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hidePivotFieldList="1" defaultThemeVersion="166925"/>
  <mc:AlternateContent xmlns:mc="http://schemas.openxmlformats.org/markup-compatibility/2006">
    <mc:Choice Requires="x15">
      <x15ac:absPath xmlns:x15ac="http://schemas.microsoft.com/office/spreadsheetml/2010/11/ac" url="C:\Users\U6066254\Downloads\"/>
    </mc:Choice>
  </mc:AlternateContent>
  <xr:revisionPtr revIDLastSave="0" documentId="13_ncr:1_{FA17D41C-ABAC-4524-8957-38A7529349B2}" xr6:coauthVersionLast="47" xr6:coauthVersionMax="47" xr10:uidLastSave="{00000000-0000-0000-0000-000000000000}"/>
  <bookViews>
    <workbookView xWindow="-98" yWindow="-98" windowWidth="28996" windowHeight="15796" tabRatio="766" xr2:uid="{00000000-000D-0000-FFFF-FFFF00000000}"/>
  </bookViews>
  <sheets>
    <sheet name="Aggregated titles" sheetId="17" r:id="rId1"/>
    <sheet name="ebooks at Dec23" sheetId="18" r:id="rId2"/>
    <sheet name="AudioVideo at Dec23" sheetId="19" r:id="rId3"/>
    <sheet name="Topic Pages" sheetId="2" r:id="rId4"/>
    <sheet name="Counseling Session Transcripts" sheetId="15" r:id="rId5"/>
    <sheet name="Archival Material" sheetId="13" r:id="rId6"/>
  </sheets>
  <definedNames>
    <definedName name="_xlnm._FilterDatabase" localSheetId="0" hidden="1">'Aggregated titles'!$A$2:$AU$2920</definedName>
    <definedName name="_xlnm._FilterDatabase" localSheetId="5" hidden="1">'Archival Material'!$A$2:$M$2</definedName>
    <definedName name="_xlnm._FilterDatabase" localSheetId="2" hidden="1">'AudioVideo at Dec23'!$A$1:$R$2968</definedName>
    <definedName name="_xlnm._FilterDatabase" localSheetId="4" hidden="1">'Counseling Session Transcripts'!$A$2:$I$2</definedName>
    <definedName name="_xlnm._FilterDatabase" localSheetId="1" hidden="1">'ebooks at Dec23'!$A$1:$W$5344</definedName>
    <definedName name="_xlnm._FilterDatabase" localSheetId="3" hidden="1">'Topic Pages'!$A$2:$B$2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44" i="18" l="1"/>
  <c r="C5344" i="18"/>
  <c r="D5343" i="18"/>
  <c r="C5343" i="18"/>
  <c r="D5342" i="18"/>
  <c r="C5342" i="18"/>
  <c r="D5341" i="18"/>
  <c r="C5341" i="18"/>
  <c r="D5340" i="18"/>
  <c r="C5340" i="18"/>
  <c r="D5339" i="18"/>
  <c r="C5339" i="18"/>
  <c r="D5338" i="18"/>
  <c r="C5338" i="18"/>
  <c r="D5337" i="18"/>
  <c r="C5337" i="18"/>
  <c r="D5336" i="18"/>
  <c r="C5336" i="18"/>
  <c r="D5335" i="18"/>
  <c r="C5335" i="18"/>
  <c r="D5334" i="18"/>
  <c r="C5334" i="18"/>
  <c r="D5333" i="18"/>
  <c r="C5333" i="18"/>
  <c r="D5332" i="18"/>
  <c r="C5332" i="18"/>
  <c r="D5331" i="18"/>
  <c r="C5331" i="18"/>
  <c r="D5330" i="18"/>
  <c r="C5330" i="18"/>
  <c r="D5329" i="18"/>
  <c r="C5329" i="18"/>
  <c r="D5328" i="18"/>
  <c r="C5328" i="18"/>
  <c r="D5327" i="18"/>
  <c r="C5327" i="18"/>
  <c r="D5326" i="18"/>
  <c r="C5326" i="18"/>
  <c r="D5325" i="18"/>
  <c r="C5325" i="18"/>
  <c r="D5324" i="18"/>
  <c r="C5324" i="18"/>
  <c r="D5323" i="18"/>
  <c r="C5323" i="18"/>
  <c r="D5322" i="18"/>
  <c r="C5322" i="18"/>
  <c r="D5321" i="18"/>
  <c r="C5321" i="18"/>
  <c r="D5320" i="18"/>
  <c r="C5320" i="18"/>
  <c r="D5319" i="18"/>
  <c r="C5319" i="18"/>
  <c r="D5318" i="18"/>
  <c r="C5318" i="18"/>
  <c r="D5317" i="18"/>
  <c r="C5317" i="18"/>
  <c r="D5316" i="18"/>
  <c r="C5316" i="18"/>
  <c r="D5315" i="18"/>
  <c r="C5315" i="18"/>
  <c r="D5314" i="18"/>
  <c r="C5314" i="18"/>
  <c r="D5313" i="18"/>
  <c r="C5313" i="18"/>
  <c r="D5312" i="18"/>
  <c r="C5312" i="18"/>
  <c r="D5311" i="18"/>
  <c r="C5311" i="18"/>
  <c r="D5310" i="18"/>
  <c r="C5310" i="18"/>
  <c r="D5309" i="18"/>
  <c r="C5309" i="18"/>
  <c r="D5308" i="18"/>
  <c r="C5308" i="18"/>
  <c r="D5307" i="18"/>
  <c r="C5307" i="18"/>
  <c r="D5306" i="18"/>
  <c r="C5306" i="18"/>
  <c r="D5305" i="18"/>
  <c r="C5305" i="18"/>
  <c r="D5304" i="18"/>
  <c r="C5304" i="18"/>
  <c r="D5303" i="18"/>
  <c r="C5303" i="18"/>
  <c r="D5302" i="18"/>
  <c r="C5302" i="18"/>
  <c r="D5301" i="18"/>
  <c r="C5301" i="18"/>
  <c r="D5300" i="18"/>
  <c r="C5300" i="18"/>
  <c r="D5299" i="18"/>
  <c r="C5299" i="18"/>
  <c r="D5298" i="18"/>
  <c r="C5298" i="18"/>
  <c r="D5297" i="18"/>
  <c r="C5297" i="18"/>
  <c r="D5296" i="18"/>
  <c r="C5296" i="18"/>
  <c r="D5295" i="18"/>
  <c r="C5295" i="18"/>
  <c r="D5294" i="18"/>
  <c r="C5294" i="18"/>
  <c r="D5293" i="18"/>
  <c r="C5293" i="18"/>
  <c r="D5292" i="18"/>
  <c r="C5292" i="18"/>
  <c r="D5291" i="18"/>
  <c r="C5291" i="18"/>
  <c r="D5290" i="18"/>
  <c r="C5290" i="18"/>
  <c r="D5289" i="18"/>
  <c r="C5289" i="18"/>
  <c r="D5288" i="18"/>
  <c r="C5288" i="18"/>
  <c r="D5287" i="18"/>
  <c r="C5287" i="18"/>
  <c r="D5286" i="18"/>
  <c r="C5286" i="18"/>
  <c r="D5285" i="18"/>
  <c r="C5285" i="18"/>
  <c r="D5284" i="18"/>
  <c r="C5284" i="18"/>
  <c r="D5283" i="18"/>
  <c r="C5283" i="18"/>
  <c r="D5282" i="18"/>
  <c r="C5282" i="18"/>
  <c r="D5281" i="18"/>
  <c r="C5281" i="18"/>
  <c r="D5280" i="18"/>
  <c r="C5280" i="18"/>
  <c r="D5279" i="18"/>
  <c r="C5279" i="18"/>
  <c r="D5278" i="18"/>
  <c r="C5278" i="18"/>
  <c r="D5277" i="18"/>
  <c r="C5277" i="18"/>
  <c r="D5276" i="18"/>
  <c r="C5276" i="18"/>
  <c r="D5275" i="18"/>
  <c r="C5275" i="18"/>
  <c r="D5274" i="18"/>
  <c r="C5274" i="18"/>
  <c r="D5273" i="18"/>
  <c r="C5273" i="18"/>
  <c r="D5272" i="18"/>
  <c r="C5272" i="18"/>
  <c r="D5271" i="18"/>
  <c r="C5271" i="18"/>
  <c r="D5270" i="18"/>
  <c r="C5270" i="18"/>
  <c r="D5269" i="18"/>
  <c r="C5269" i="18"/>
  <c r="D5268" i="18"/>
  <c r="C5268" i="18"/>
  <c r="D5267" i="18"/>
  <c r="C5267" i="18"/>
  <c r="D5266" i="18"/>
  <c r="C5266" i="18"/>
  <c r="D5265" i="18"/>
  <c r="C5265" i="18"/>
  <c r="D5264" i="18"/>
  <c r="C5264" i="18"/>
  <c r="D5263" i="18"/>
  <c r="C5263" i="18"/>
  <c r="D5262" i="18"/>
  <c r="C5262" i="18"/>
  <c r="D5261" i="18"/>
  <c r="C5261" i="18"/>
  <c r="D5260" i="18"/>
  <c r="C5260" i="18"/>
  <c r="D5259" i="18"/>
  <c r="C5259" i="18"/>
  <c r="D5258" i="18"/>
  <c r="C5258" i="18"/>
  <c r="D5257" i="18"/>
  <c r="C5257" i="18"/>
  <c r="D5256" i="18"/>
  <c r="C5256" i="18"/>
  <c r="D5255" i="18"/>
  <c r="C5255" i="18"/>
  <c r="D5254" i="18"/>
  <c r="C5254" i="18"/>
  <c r="D5253" i="18"/>
  <c r="C5253" i="18"/>
  <c r="D5252" i="18"/>
  <c r="C5252" i="18"/>
  <c r="D5251" i="18"/>
  <c r="C5251" i="18"/>
  <c r="D5250" i="18"/>
  <c r="C5250" i="18"/>
  <c r="D5249" i="18"/>
  <c r="C5249" i="18"/>
  <c r="D5248" i="18"/>
  <c r="C5248" i="18"/>
  <c r="D5247" i="18"/>
  <c r="C5247" i="18"/>
  <c r="D5246" i="18"/>
  <c r="C5246" i="18"/>
  <c r="D5245" i="18"/>
  <c r="C5245" i="18"/>
  <c r="D5244" i="18"/>
  <c r="C5244" i="18"/>
  <c r="D5243" i="18"/>
  <c r="C5243" i="18"/>
  <c r="D5242" i="18"/>
  <c r="C5242" i="18"/>
  <c r="D5241" i="18"/>
  <c r="C5241" i="18"/>
  <c r="D5240" i="18"/>
  <c r="C5240" i="18"/>
  <c r="D5239" i="18"/>
  <c r="C5239" i="18"/>
  <c r="D5238" i="18"/>
  <c r="C5238" i="18"/>
  <c r="D5237" i="18"/>
  <c r="C5237" i="18"/>
  <c r="D5236" i="18"/>
  <c r="C5236" i="18"/>
  <c r="D5235" i="18"/>
  <c r="C5235" i="18"/>
  <c r="D5234" i="18"/>
  <c r="C5234" i="18"/>
  <c r="D5233" i="18"/>
  <c r="C5233" i="18"/>
  <c r="D5232" i="18"/>
  <c r="C5232" i="18"/>
  <c r="D5231" i="18"/>
  <c r="C5231" i="18"/>
  <c r="D5230" i="18"/>
  <c r="C5230" i="18"/>
  <c r="D5229" i="18"/>
  <c r="C5229" i="18"/>
  <c r="D5228" i="18"/>
  <c r="C5228" i="18"/>
  <c r="D5227" i="18"/>
  <c r="C5227" i="18"/>
  <c r="D5226" i="18"/>
  <c r="C5226" i="18"/>
  <c r="D5225" i="18"/>
  <c r="C5225" i="18"/>
  <c r="D5224" i="18"/>
  <c r="C5224" i="18"/>
  <c r="D5223" i="18"/>
  <c r="C5223" i="18"/>
  <c r="D5222" i="18"/>
  <c r="C5222" i="18"/>
  <c r="D5221" i="18"/>
  <c r="C5221" i="18"/>
  <c r="D5220" i="18"/>
  <c r="C5220" i="18"/>
  <c r="D5219" i="18"/>
  <c r="C5219" i="18"/>
  <c r="D5218" i="18"/>
  <c r="C5218" i="18"/>
  <c r="D5217" i="18"/>
  <c r="C5217" i="18"/>
  <c r="D5216" i="18"/>
  <c r="C5216" i="18"/>
  <c r="D5215" i="18"/>
  <c r="C5215" i="18"/>
  <c r="D5214" i="18"/>
  <c r="C5214" i="18"/>
  <c r="D5213" i="18"/>
  <c r="C5213" i="18"/>
  <c r="D5212" i="18"/>
  <c r="C5212" i="18"/>
  <c r="D5211" i="18"/>
  <c r="C5211" i="18"/>
  <c r="D5210" i="18"/>
  <c r="C5210" i="18"/>
  <c r="D5209" i="18"/>
  <c r="C5209" i="18"/>
  <c r="D5208" i="18"/>
  <c r="C5208" i="18"/>
  <c r="D5207" i="18"/>
  <c r="C5207" i="18"/>
  <c r="D5206" i="18"/>
  <c r="C5206" i="18"/>
  <c r="D5205" i="18"/>
  <c r="C5205" i="18"/>
  <c r="D5204" i="18"/>
  <c r="C5204" i="18"/>
  <c r="D5203" i="18"/>
  <c r="C5203" i="18"/>
  <c r="D5202" i="18"/>
  <c r="C5202" i="18"/>
  <c r="D5201" i="18"/>
  <c r="C5201" i="18"/>
  <c r="D5200" i="18"/>
  <c r="C5200" i="18"/>
  <c r="D5199" i="18"/>
  <c r="C5199" i="18"/>
  <c r="D5198" i="18"/>
  <c r="C5198" i="18"/>
  <c r="D5197" i="18"/>
  <c r="C5197" i="18"/>
  <c r="D5196" i="18"/>
  <c r="C5196" i="18"/>
  <c r="D5195" i="18"/>
  <c r="C5195" i="18"/>
  <c r="D5194" i="18"/>
  <c r="C5194" i="18"/>
  <c r="D5193" i="18"/>
  <c r="C5193" i="18"/>
  <c r="D5192" i="18"/>
  <c r="C5192" i="18"/>
  <c r="D5191" i="18"/>
  <c r="C5191" i="18"/>
  <c r="D5190" i="18"/>
  <c r="C5190" i="18"/>
  <c r="D5189" i="18"/>
  <c r="C5189" i="18"/>
  <c r="D5188" i="18"/>
  <c r="C5188" i="18"/>
  <c r="D5187" i="18"/>
  <c r="C5187" i="18"/>
  <c r="D5186" i="18"/>
  <c r="C5186" i="18"/>
  <c r="D5185" i="18"/>
  <c r="C5185" i="18"/>
  <c r="D5184" i="18"/>
  <c r="C5184" i="18"/>
  <c r="D5183" i="18"/>
  <c r="C5183" i="18"/>
  <c r="D5182" i="18"/>
  <c r="C5182" i="18"/>
  <c r="D5181" i="18"/>
  <c r="C5181" i="18"/>
  <c r="D5180" i="18"/>
  <c r="C5180" i="18"/>
  <c r="D5179" i="18"/>
  <c r="C5179" i="18"/>
  <c r="D5178" i="18"/>
  <c r="C5178" i="18"/>
  <c r="D5177" i="18"/>
  <c r="C5177" i="18"/>
  <c r="D5176" i="18"/>
  <c r="C5176" i="18"/>
  <c r="D5175" i="18"/>
  <c r="C5175" i="18"/>
  <c r="D5174" i="18"/>
  <c r="C5174" i="18"/>
  <c r="D5173" i="18"/>
  <c r="C5173" i="18"/>
  <c r="D5172" i="18"/>
  <c r="C5172" i="18"/>
  <c r="D5171" i="18"/>
  <c r="C5171" i="18"/>
  <c r="D5170" i="18"/>
  <c r="C5170" i="18"/>
  <c r="D5169" i="18"/>
  <c r="C5169" i="18"/>
  <c r="D5168" i="18"/>
  <c r="C5168" i="18"/>
  <c r="D5167" i="18"/>
  <c r="C5167" i="18"/>
  <c r="D5166" i="18"/>
  <c r="C5166" i="18"/>
  <c r="D5165" i="18"/>
  <c r="C5165" i="18"/>
  <c r="D5164" i="18"/>
  <c r="C5164" i="18"/>
  <c r="D5163" i="18"/>
  <c r="C5163" i="18"/>
  <c r="D5162" i="18"/>
  <c r="C5162" i="18"/>
  <c r="D5161" i="18"/>
  <c r="C5161" i="18"/>
  <c r="D5160" i="18"/>
  <c r="C5160" i="18"/>
  <c r="D5159" i="18"/>
  <c r="C5159" i="18"/>
  <c r="D5158" i="18"/>
  <c r="C5158" i="18"/>
  <c r="D5157" i="18"/>
  <c r="C5157" i="18"/>
  <c r="D5156" i="18"/>
  <c r="C5156" i="18"/>
  <c r="D5155" i="18"/>
  <c r="C5155" i="18"/>
  <c r="D5154" i="18"/>
  <c r="C5154" i="18"/>
  <c r="D5153" i="18"/>
  <c r="C5153" i="18"/>
  <c r="D5152" i="18"/>
  <c r="C5152" i="18"/>
  <c r="D5151" i="18"/>
  <c r="C5151" i="18"/>
  <c r="D5150" i="18"/>
  <c r="C5150" i="18"/>
  <c r="D5149" i="18"/>
  <c r="C5149" i="18"/>
  <c r="D5148" i="18"/>
  <c r="C5148" i="18"/>
  <c r="D5147" i="18"/>
  <c r="C5147" i="18"/>
  <c r="D5146" i="18"/>
  <c r="C5146" i="18"/>
  <c r="D5145" i="18"/>
  <c r="C5145" i="18"/>
  <c r="D5144" i="18"/>
  <c r="C5144" i="18"/>
  <c r="D5143" i="18"/>
  <c r="C5143" i="18"/>
  <c r="D5142" i="18"/>
  <c r="C5142" i="18"/>
  <c r="D5141" i="18"/>
  <c r="C5141" i="18"/>
  <c r="D5140" i="18"/>
  <c r="C5140" i="18"/>
  <c r="D5139" i="18"/>
  <c r="C5139" i="18"/>
  <c r="D5138" i="18"/>
  <c r="C5138" i="18"/>
  <c r="D5137" i="18"/>
  <c r="C5137" i="18"/>
  <c r="D5136" i="18"/>
  <c r="C5136" i="18"/>
  <c r="D5135" i="18"/>
  <c r="C5135" i="18"/>
  <c r="D5134" i="18"/>
  <c r="C5134" i="18"/>
  <c r="D5133" i="18"/>
  <c r="C5133" i="18"/>
  <c r="D5132" i="18"/>
  <c r="C5132" i="18"/>
  <c r="D5131" i="18"/>
  <c r="C5131" i="18"/>
  <c r="D5130" i="18"/>
  <c r="C5130" i="18"/>
  <c r="D5129" i="18"/>
  <c r="C5129" i="18"/>
  <c r="D5128" i="18"/>
  <c r="C5128" i="18"/>
  <c r="D5127" i="18"/>
  <c r="C5127" i="18"/>
  <c r="D5126" i="18"/>
  <c r="C5126" i="18"/>
  <c r="D5125" i="18"/>
  <c r="C5125" i="18"/>
  <c r="D5124" i="18"/>
  <c r="C5124" i="18"/>
  <c r="D5123" i="18"/>
  <c r="C5123" i="18"/>
  <c r="D5122" i="18"/>
  <c r="C5122" i="18"/>
  <c r="D5121" i="18"/>
  <c r="C5121" i="18"/>
  <c r="D5120" i="18"/>
  <c r="C5120" i="18"/>
  <c r="D5119" i="18"/>
  <c r="C5119" i="18"/>
  <c r="D5118" i="18"/>
  <c r="C5118" i="18"/>
  <c r="D5117" i="18"/>
  <c r="C5117" i="18"/>
  <c r="D5116" i="18"/>
  <c r="C5116" i="18"/>
  <c r="D5115" i="18"/>
  <c r="C5115" i="18"/>
  <c r="D5114" i="18"/>
  <c r="C5114" i="18"/>
  <c r="D5113" i="18"/>
  <c r="C5113" i="18"/>
  <c r="D5112" i="18"/>
  <c r="C5112" i="18"/>
  <c r="D5111" i="18"/>
  <c r="C5111" i="18"/>
  <c r="D5110" i="18"/>
  <c r="C5110" i="18"/>
  <c r="D5109" i="18"/>
  <c r="C5109" i="18"/>
  <c r="D5108" i="18"/>
  <c r="C5108" i="18"/>
  <c r="D5107" i="18"/>
  <c r="C5107" i="18"/>
  <c r="D5106" i="18"/>
  <c r="C5106" i="18"/>
  <c r="D5105" i="18"/>
  <c r="C5105" i="18"/>
  <c r="D5104" i="18"/>
  <c r="C5104" i="18"/>
  <c r="D5103" i="18"/>
  <c r="C5103" i="18"/>
  <c r="D5102" i="18"/>
  <c r="C5102" i="18"/>
  <c r="D5101" i="18"/>
  <c r="C5101" i="18"/>
  <c r="D5100" i="18"/>
  <c r="C5100" i="18"/>
  <c r="D5099" i="18"/>
  <c r="C5099" i="18"/>
  <c r="D5098" i="18"/>
  <c r="C5098" i="18"/>
  <c r="D5097" i="18"/>
  <c r="C5097" i="18"/>
  <c r="D5096" i="18"/>
  <c r="C5096" i="18"/>
  <c r="D5095" i="18"/>
  <c r="C5095" i="18"/>
  <c r="D5094" i="18"/>
  <c r="C5094" i="18"/>
  <c r="D5093" i="18"/>
  <c r="C5093" i="18"/>
  <c r="D5092" i="18"/>
  <c r="C5092" i="18"/>
  <c r="D5091" i="18"/>
  <c r="C5091" i="18"/>
  <c r="D5090" i="18"/>
  <c r="C5090" i="18"/>
  <c r="D5089" i="18"/>
  <c r="C5089" i="18"/>
  <c r="D5088" i="18"/>
  <c r="C5088" i="18"/>
  <c r="D5087" i="18"/>
  <c r="C5087" i="18"/>
  <c r="D5086" i="18"/>
  <c r="C5086" i="18"/>
  <c r="D5085" i="18"/>
  <c r="C5085" i="18"/>
  <c r="D5084" i="18"/>
  <c r="C5084" i="18"/>
  <c r="D5083" i="18"/>
  <c r="C5083" i="18"/>
  <c r="D5082" i="18"/>
  <c r="C5082" i="18"/>
  <c r="D5081" i="18"/>
  <c r="C5081" i="18"/>
  <c r="D5080" i="18"/>
  <c r="C5080" i="18"/>
  <c r="D5079" i="18"/>
  <c r="C5079" i="18"/>
  <c r="D5078" i="18"/>
  <c r="C5078" i="18"/>
  <c r="D5077" i="18"/>
  <c r="C5077" i="18"/>
  <c r="D5076" i="18"/>
  <c r="C5076" i="18"/>
  <c r="D5075" i="18"/>
  <c r="C5075" i="18"/>
  <c r="D5074" i="18"/>
  <c r="C5074" i="18"/>
  <c r="D5073" i="18"/>
  <c r="C5073" i="18"/>
  <c r="D5072" i="18"/>
  <c r="C5072" i="18"/>
  <c r="D5071" i="18"/>
  <c r="C5071" i="18"/>
  <c r="D5070" i="18"/>
  <c r="C5070" i="18"/>
  <c r="D5069" i="18"/>
  <c r="C5069" i="18"/>
  <c r="D5068" i="18"/>
  <c r="C5068" i="18"/>
  <c r="D5067" i="18"/>
  <c r="C5067" i="18"/>
  <c r="D5066" i="18"/>
  <c r="C5066" i="18"/>
  <c r="D5065" i="18"/>
  <c r="C5065" i="18"/>
  <c r="D5064" i="18"/>
  <c r="C5064" i="18"/>
  <c r="D5063" i="18"/>
  <c r="C5063" i="18"/>
  <c r="D5062" i="18"/>
  <c r="C5062" i="18"/>
  <c r="D5061" i="18"/>
  <c r="C5061" i="18"/>
  <c r="D5060" i="18"/>
  <c r="C5060" i="18"/>
  <c r="D5059" i="18"/>
  <c r="C5059" i="18"/>
  <c r="D5058" i="18"/>
  <c r="C5058" i="18"/>
  <c r="D5057" i="18"/>
  <c r="C5057" i="18"/>
  <c r="D5056" i="18"/>
  <c r="C5056" i="18"/>
  <c r="D5055" i="18"/>
  <c r="C5055" i="18"/>
  <c r="D5054" i="18"/>
  <c r="C5054" i="18"/>
  <c r="D5053" i="18"/>
  <c r="C5053" i="18"/>
  <c r="D5052" i="18"/>
  <c r="C5052" i="18"/>
  <c r="D5051" i="18"/>
  <c r="C5051" i="18"/>
  <c r="D5050" i="18"/>
  <c r="C5050" i="18"/>
  <c r="D5049" i="18"/>
  <c r="C5049" i="18"/>
  <c r="D5048" i="18"/>
  <c r="C5048" i="18"/>
  <c r="D5047" i="18"/>
  <c r="C5047" i="18"/>
  <c r="D5046" i="18"/>
  <c r="C5046" i="18"/>
  <c r="D5045" i="18"/>
  <c r="C5045" i="18"/>
  <c r="D5044" i="18"/>
  <c r="C5044" i="18"/>
  <c r="D5043" i="18"/>
  <c r="C5043" i="18"/>
  <c r="D5042" i="18"/>
  <c r="C5042" i="18"/>
  <c r="D5041" i="18"/>
  <c r="C5041" i="18"/>
  <c r="D5040" i="18"/>
  <c r="C5040" i="18"/>
  <c r="D5039" i="18"/>
  <c r="C5039" i="18"/>
  <c r="D5038" i="18"/>
  <c r="C5038" i="18"/>
  <c r="D5037" i="18"/>
  <c r="C5037" i="18"/>
  <c r="D5036" i="18"/>
  <c r="C5036" i="18"/>
  <c r="D5035" i="18"/>
  <c r="C5035" i="18"/>
  <c r="D5034" i="18"/>
  <c r="C5034" i="18"/>
  <c r="D5033" i="18"/>
  <c r="C5033" i="18"/>
  <c r="D5032" i="18"/>
  <c r="C5032" i="18"/>
  <c r="D5031" i="18"/>
  <c r="C5031" i="18"/>
  <c r="D5030" i="18"/>
  <c r="C5030" i="18"/>
  <c r="D5029" i="18"/>
  <c r="C5029" i="18"/>
  <c r="D5028" i="18"/>
  <c r="C5028" i="18"/>
  <c r="D5027" i="18"/>
  <c r="C5027" i="18"/>
  <c r="D5026" i="18"/>
  <c r="C5026" i="18"/>
  <c r="D5025" i="18"/>
  <c r="C5025" i="18"/>
  <c r="D5024" i="18"/>
  <c r="C5024" i="18"/>
  <c r="D5023" i="18"/>
  <c r="C5023" i="18"/>
  <c r="D5022" i="18"/>
  <c r="C5022" i="18"/>
  <c r="D5021" i="18"/>
  <c r="C5021" i="18"/>
  <c r="D5020" i="18"/>
  <c r="C5020" i="18"/>
  <c r="D5019" i="18"/>
  <c r="C5019" i="18"/>
  <c r="D5018" i="18"/>
  <c r="C5018" i="18"/>
  <c r="D5017" i="18"/>
  <c r="C5017" i="18"/>
  <c r="D5016" i="18"/>
  <c r="C5016" i="18"/>
  <c r="D5015" i="18"/>
  <c r="C5015" i="18"/>
  <c r="D5014" i="18"/>
  <c r="C5014" i="18"/>
  <c r="D5013" i="18"/>
  <c r="C5013" i="18"/>
  <c r="D5012" i="18"/>
  <c r="C5012" i="18"/>
  <c r="D5011" i="18"/>
  <c r="C5011" i="18"/>
  <c r="D5010" i="18"/>
  <c r="C5010" i="18"/>
  <c r="D5009" i="18"/>
  <c r="C5009" i="18"/>
  <c r="D5008" i="18"/>
  <c r="C5008" i="18"/>
  <c r="D5007" i="18"/>
  <c r="C5007" i="18"/>
  <c r="D5006" i="18"/>
  <c r="C5006" i="18"/>
  <c r="D5005" i="18"/>
  <c r="C5005" i="18"/>
  <c r="D5004" i="18"/>
  <c r="C5004" i="18"/>
  <c r="D5003" i="18"/>
  <c r="C5003" i="18"/>
  <c r="D5002" i="18"/>
  <c r="C5002" i="18"/>
  <c r="D5001" i="18"/>
  <c r="C5001" i="18"/>
  <c r="D5000" i="18"/>
  <c r="C5000" i="18"/>
  <c r="D4999" i="18"/>
  <c r="C4999" i="18"/>
  <c r="D4998" i="18"/>
  <c r="C4998" i="18"/>
  <c r="D4997" i="18"/>
  <c r="C4997" i="18"/>
  <c r="D4996" i="18"/>
  <c r="C4996" i="18"/>
  <c r="D4995" i="18"/>
  <c r="C4995" i="18"/>
  <c r="D4994" i="18"/>
  <c r="C4994" i="18"/>
  <c r="D4993" i="18"/>
  <c r="C4993" i="18"/>
  <c r="D4992" i="18"/>
  <c r="C4992" i="18"/>
  <c r="D4991" i="18"/>
  <c r="C4991" i="18"/>
  <c r="D4990" i="18"/>
  <c r="C4990" i="18"/>
  <c r="D4989" i="18"/>
  <c r="C4989" i="18"/>
  <c r="D4988" i="18"/>
  <c r="C4988" i="18"/>
  <c r="D4987" i="18"/>
  <c r="C4987" i="18"/>
  <c r="D4986" i="18"/>
  <c r="C4986" i="18"/>
  <c r="D4985" i="18"/>
  <c r="C4985" i="18"/>
  <c r="D4984" i="18"/>
  <c r="C4984" i="18"/>
  <c r="D4983" i="18"/>
  <c r="C4983" i="18"/>
  <c r="D4982" i="18"/>
  <c r="C4982" i="18"/>
  <c r="D4981" i="18"/>
  <c r="C4981" i="18"/>
  <c r="D4980" i="18"/>
  <c r="C4980" i="18"/>
  <c r="D4979" i="18"/>
  <c r="C4979" i="18"/>
  <c r="D4978" i="18"/>
  <c r="C4978" i="18"/>
  <c r="D4977" i="18"/>
  <c r="C4977" i="18"/>
  <c r="D4976" i="18"/>
  <c r="C4976" i="18"/>
  <c r="D4975" i="18"/>
  <c r="C4975" i="18"/>
  <c r="D4974" i="18"/>
  <c r="C4974" i="18"/>
  <c r="D4973" i="18"/>
  <c r="C4973" i="18"/>
  <c r="D4972" i="18"/>
  <c r="C4972" i="18"/>
  <c r="D4971" i="18"/>
  <c r="C4971" i="18"/>
  <c r="D4970" i="18"/>
  <c r="C4970" i="18"/>
  <c r="D4969" i="18"/>
  <c r="C4969" i="18"/>
  <c r="D4968" i="18"/>
  <c r="C4968" i="18"/>
  <c r="D4967" i="18"/>
  <c r="C4967" i="18"/>
  <c r="D4966" i="18"/>
  <c r="C4966" i="18"/>
  <c r="D4965" i="18"/>
  <c r="C4965" i="18"/>
  <c r="D4964" i="18"/>
  <c r="C4964" i="18"/>
  <c r="D4963" i="18"/>
  <c r="C4963" i="18"/>
  <c r="D4962" i="18"/>
  <c r="C4962" i="18"/>
  <c r="D4961" i="18"/>
  <c r="C4961" i="18"/>
  <c r="D4960" i="18"/>
  <c r="C4960" i="18"/>
  <c r="D4959" i="18"/>
  <c r="C4959" i="18"/>
  <c r="D4958" i="18"/>
  <c r="C4958" i="18"/>
  <c r="D4957" i="18"/>
  <c r="C4957" i="18"/>
  <c r="D4956" i="18"/>
  <c r="C4956" i="18"/>
  <c r="D4955" i="18"/>
  <c r="C4955" i="18"/>
  <c r="D4954" i="18"/>
  <c r="C4954" i="18"/>
  <c r="D4953" i="18"/>
  <c r="C4953" i="18"/>
  <c r="D4952" i="18"/>
  <c r="C4952" i="18"/>
  <c r="D4951" i="18"/>
  <c r="C4951" i="18"/>
  <c r="D4950" i="18"/>
  <c r="C4950" i="18"/>
  <c r="D4949" i="18"/>
  <c r="C4949" i="18"/>
  <c r="D4948" i="18"/>
  <c r="C4948" i="18"/>
  <c r="D4947" i="18"/>
  <c r="C4947" i="18"/>
  <c r="D4946" i="18"/>
  <c r="C4946" i="18"/>
  <c r="D4945" i="18"/>
  <c r="C4945" i="18"/>
  <c r="D4944" i="18"/>
  <c r="C4944" i="18"/>
  <c r="D4943" i="18"/>
  <c r="C4943" i="18"/>
  <c r="D4942" i="18"/>
  <c r="C4942" i="18"/>
  <c r="D4941" i="18"/>
  <c r="C4941" i="18"/>
  <c r="D4940" i="18"/>
  <c r="C4940" i="18"/>
  <c r="D4939" i="18"/>
  <c r="C4939" i="18"/>
  <c r="D4938" i="18"/>
  <c r="C4938" i="18"/>
  <c r="D4937" i="18"/>
  <c r="C4937" i="18"/>
  <c r="D4936" i="18"/>
  <c r="C4936" i="18"/>
  <c r="D4935" i="18"/>
  <c r="C4935" i="18"/>
  <c r="D4934" i="18"/>
  <c r="C4934" i="18"/>
  <c r="D4933" i="18"/>
  <c r="C4933" i="18"/>
  <c r="D4932" i="18"/>
  <c r="C4932" i="18"/>
  <c r="D4931" i="18"/>
  <c r="C4931" i="18"/>
  <c r="D4930" i="18"/>
  <c r="C4930" i="18"/>
  <c r="D4929" i="18"/>
  <c r="C4929" i="18"/>
  <c r="D4928" i="18"/>
  <c r="C4928" i="18"/>
  <c r="D4927" i="18"/>
  <c r="C4927" i="18"/>
  <c r="D4926" i="18"/>
  <c r="C4926" i="18"/>
  <c r="D4925" i="18"/>
  <c r="C4925" i="18"/>
  <c r="D4924" i="18"/>
  <c r="C4924" i="18"/>
  <c r="D4923" i="18"/>
  <c r="C4923" i="18"/>
  <c r="D4922" i="18"/>
  <c r="C4922" i="18"/>
  <c r="D4921" i="18"/>
  <c r="C4921" i="18"/>
  <c r="D4920" i="18"/>
  <c r="C4920" i="18"/>
  <c r="D4919" i="18"/>
  <c r="C4919" i="18"/>
  <c r="D4918" i="18"/>
  <c r="C4918" i="18"/>
  <c r="D4917" i="18"/>
  <c r="C4917" i="18"/>
  <c r="D4916" i="18"/>
  <c r="C4916" i="18"/>
  <c r="D4915" i="18"/>
  <c r="C4915" i="18"/>
  <c r="D4914" i="18"/>
  <c r="C4914" i="18"/>
  <c r="D4913" i="18"/>
  <c r="C4913" i="18"/>
  <c r="D4912" i="18"/>
  <c r="C4912" i="18"/>
  <c r="D4911" i="18"/>
  <c r="C4911" i="18"/>
  <c r="D4910" i="18"/>
  <c r="C4910" i="18"/>
  <c r="D4909" i="18"/>
  <c r="C4909" i="18"/>
  <c r="D4908" i="18"/>
  <c r="C4908" i="18"/>
  <c r="D4907" i="18"/>
  <c r="C4907" i="18"/>
  <c r="D4906" i="18"/>
  <c r="C4906" i="18"/>
  <c r="D4905" i="18"/>
  <c r="C4905" i="18"/>
  <c r="D4904" i="18"/>
  <c r="C4904" i="18"/>
  <c r="D4903" i="18"/>
  <c r="C4903" i="18"/>
  <c r="D4902" i="18"/>
  <c r="C4902" i="18"/>
  <c r="D4901" i="18"/>
  <c r="C4901" i="18"/>
  <c r="D4900" i="18"/>
  <c r="C4900" i="18"/>
  <c r="D4899" i="18"/>
  <c r="C4899" i="18"/>
  <c r="D4898" i="18"/>
  <c r="C4898" i="18"/>
  <c r="D4897" i="18"/>
  <c r="C4897" i="18"/>
  <c r="D4896" i="18"/>
  <c r="C4896" i="18"/>
  <c r="D4895" i="18"/>
  <c r="C4895" i="18"/>
  <c r="D4894" i="18"/>
  <c r="C4894" i="18"/>
  <c r="D4893" i="18"/>
  <c r="C4893" i="18"/>
  <c r="D4892" i="18"/>
  <c r="C4892" i="18"/>
  <c r="D4891" i="18"/>
  <c r="C4891" i="18"/>
  <c r="D4890" i="18"/>
  <c r="C4890" i="18"/>
  <c r="D4889" i="18"/>
  <c r="C4889" i="18"/>
  <c r="D4888" i="18"/>
  <c r="C4888" i="18"/>
  <c r="D4887" i="18"/>
  <c r="C4887" i="18"/>
  <c r="D4886" i="18"/>
  <c r="C4886" i="18"/>
  <c r="D4885" i="18"/>
  <c r="C4885" i="18"/>
  <c r="D4884" i="18"/>
  <c r="C4884" i="18"/>
  <c r="D4883" i="18"/>
  <c r="C4883" i="18"/>
  <c r="D4882" i="18"/>
  <c r="C4882" i="18"/>
  <c r="D4881" i="18"/>
  <c r="C4881" i="18"/>
  <c r="D4880" i="18"/>
  <c r="C4880" i="18"/>
  <c r="D4879" i="18"/>
  <c r="C4879" i="18"/>
  <c r="D4878" i="18"/>
  <c r="C4878" i="18"/>
  <c r="D4877" i="18"/>
  <c r="C4877" i="18"/>
  <c r="D4876" i="18"/>
  <c r="C4876" i="18"/>
  <c r="D4875" i="18"/>
  <c r="C4875" i="18"/>
  <c r="D4874" i="18"/>
  <c r="C4874" i="18"/>
  <c r="D4873" i="18"/>
  <c r="C4873" i="18"/>
  <c r="D4872" i="18"/>
  <c r="C4872" i="18"/>
  <c r="D4871" i="18"/>
  <c r="C4871" i="18"/>
  <c r="D4870" i="18"/>
  <c r="C4870" i="18"/>
  <c r="D4869" i="18"/>
  <c r="C4869" i="18"/>
  <c r="D4868" i="18"/>
  <c r="C4868" i="18"/>
  <c r="D4867" i="18"/>
  <c r="C4867" i="18"/>
  <c r="D4866" i="18"/>
  <c r="C4866" i="18"/>
  <c r="D4865" i="18"/>
  <c r="C4865" i="18"/>
  <c r="D4864" i="18"/>
  <c r="C4864" i="18"/>
  <c r="D4863" i="18"/>
  <c r="C4863" i="18"/>
  <c r="D4862" i="18"/>
  <c r="C4862" i="18"/>
  <c r="D4861" i="18"/>
  <c r="C4861" i="18"/>
  <c r="D4860" i="18"/>
  <c r="C4860" i="18"/>
  <c r="D4859" i="18"/>
  <c r="C4859" i="18"/>
  <c r="D4858" i="18"/>
  <c r="C4858" i="18"/>
  <c r="D4857" i="18"/>
  <c r="C4857" i="18"/>
  <c r="D4856" i="18"/>
  <c r="C4856" i="18"/>
  <c r="D4855" i="18"/>
  <c r="C4855" i="18"/>
  <c r="D4854" i="18"/>
  <c r="C4854" i="18"/>
  <c r="D4853" i="18"/>
  <c r="C4853" i="18"/>
  <c r="D4852" i="18"/>
  <c r="C4852" i="18"/>
  <c r="D4851" i="18"/>
  <c r="C4851" i="18"/>
  <c r="D4850" i="18"/>
  <c r="C4850" i="18"/>
  <c r="D4849" i="18"/>
  <c r="C4849" i="18"/>
  <c r="D4848" i="18"/>
  <c r="C4848" i="18"/>
  <c r="D4847" i="18"/>
  <c r="C4847" i="18"/>
  <c r="D4846" i="18"/>
  <c r="C4846" i="18"/>
  <c r="D4845" i="18"/>
  <c r="C4845" i="18"/>
  <c r="D4844" i="18"/>
  <c r="C4844" i="18"/>
  <c r="D4843" i="18"/>
  <c r="C4843" i="18"/>
  <c r="D4842" i="18"/>
  <c r="C4842" i="18"/>
  <c r="D4841" i="18"/>
  <c r="C4841" i="18"/>
  <c r="D4840" i="18"/>
  <c r="C4840" i="18"/>
  <c r="D4839" i="18"/>
  <c r="C4839" i="18"/>
  <c r="D4838" i="18"/>
  <c r="C4838" i="18"/>
  <c r="D4837" i="18"/>
  <c r="C4837" i="18"/>
  <c r="D4836" i="18"/>
  <c r="C4836" i="18"/>
  <c r="D4835" i="18"/>
  <c r="C4835" i="18"/>
  <c r="D4834" i="18"/>
  <c r="C4834" i="18"/>
  <c r="D4833" i="18"/>
  <c r="C4833" i="18"/>
  <c r="D4832" i="18"/>
  <c r="C4832" i="18"/>
  <c r="D4831" i="18"/>
  <c r="C4831" i="18"/>
  <c r="D4830" i="18"/>
  <c r="C4830" i="18"/>
  <c r="D4829" i="18"/>
  <c r="C4829" i="18"/>
  <c r="D4828" i="18"/>
  <c r="C4828" i="18"/>
  <c r="D4827" i="18"/>
  <c r="C4827" i="18"/>
  <c r="D4826" i="18"/>
  <c r="C4826" i="18"/>
  <c r="D4825" i="18"/>
  <c r="C4825" i="18"/>
  <c r="D4824" i="18"/>
  <c r="C4824" i="18"/>
  <c r="D4823" i="18"/>
  <c r="C4823" i="18"/>
  <c r="D4822" i="18"/>
  <c r="C4822" i="18"/>
  <c r="D4821" i="18"/>
  <c r="C4821" i="18"/>
  <c r="D4820" i="18"/>
  <c r="C4820" i="18"/>
  <c r="D4819" i="18"/>
  <c r="C4819" i="18"/>
  <c r="D4818" i="18"/>
  <c r="C4818" i="18"/>
  <c r="D4817" i="18"/>
  <c r="C4817" i="18"/>
  <c r="D4816" i="18"/>
  <c r="C4816" i="18"/>
  <c r="D4815" i="18"/>
  <c r="C4815" i="18"/>
  <c r="D4814" i="18"/>
  <c r="C4814" i="18"/>
  <c r="D4813" i="18"/>
  <c r="C4813" i="18"/>
  <c r="D4812" i="18"/>
  <c r="C4812" i="18"/>
  <c r="D4811" i="18"/>
  <c r="C4811" i="18"/>
  <c r="D4810" i="18"/>
  <c r="C4810" i="18"/>
  <c r="D4809" i="18"/>
  <c r="C4809" i="18"/>
  <c r="D4808" i="18"/>
  <c r="C4808" i="18"/>
  <c r="D4807" i="18"/>
  <c r="C4807" i="18"/>
  <c r="D4806" i="18"/>
  <c r="C4806" i="18"/>
  <c r="D4805" i="18"/>
  <c r="C4805" i="18"/>
  <c r="D4804" i="18"/>
  <c r="C4804" i="18"/>
  <c r="D4803" i="18"/>
  <c r="C4803" i="18"/>
  <c r="D4802" i="18"/>
  <c r="C4802" i="18"/>
  <c r="D4801" i="18"/>
  <c r="C4801" i="18"/>
  <c r="D4800" i="18"/>
  <c r="C4800" i="18"/>
  <c r="D4799" i="18"/>
  <c r="C4799" i="18"/>
  <c r="D4798" i="18"/>
  <c r="C4798" i="18"/>
  <c r="D4797" i="18"/>
  <c r="C4797" i="18"/>
  <c r="D4796" i="18"/>
  <c r="C4796" i="18"/>
  <c r="D4795" i="18"/>
  <c r="C4795" i="18"/>
  <c r="D4794" i="18"/>
  <c r="C4794" i="18"/>
  <c r="D4793" i="18"/>
  <c r="C4793" i="18"/>
  <c r="D4792" i="18"/>
  <c r="C4792" i="18"/>
  <c r="D4791" i="18"/>
  <c r="C4791" i="18"/>
  <c r="D4790" i="18"/>
  <c r="C4790" i="18"/>
  <c r="D4789" i="18"/>
  <c r="C4789" i="18"/>
  <c r="D4788" i="18"/>
  <c r="C4788" i="18"/>
  <c r="D4787" i="18"/>
  <c r="C4787" i="18"/>
  <c r="D4786" i="18"/>
  <c r="C4786" i="18"/>
  <c r="D4785" i="18"/>
  <c r="C4785" i="18"/>
  <c r="D4784" i="18"/>
  <c r="C4784" i="18"/>
  <c r="D4783" i="18"/>
  <c r="C4783" i="18"/>
  <c r="D4782" i="18"/>
  <c r="C4782" i="18"/>
  <c r="D4781" i="18"/>
  <c r="C4781" i="18"/>
  <c r="D4780" i="18"/>
  <c r="C4780" i="18"/>
  <c r="D4779" i="18"/>
  <c r="C4779" i="18"/>
  <c r="D4778" i="18"/>
  <c r="C4778" i="18"/>
  <c r="D4777" i="18"/>
  <c r="C4777" i="18"/>
  <c r="D4776" i="18"/>
  <c r="C4776" i="18"/>
  <c r="D4775" i="18"/>
  <c r="C4775" i="18"/>
  <c r="D4774" i="18"/>
  <c r="C4774" i="18"/>
  <c r="D4773" i="18"/>
  <c r="C4773" i="18"/>
  <c r="D4772" i="18"/>
  <c r="C4772" i="18"/>
  <c r="D4771" i="18"/>
  <c r="C4771" i="18"/>
  <c r="D4770" i="18"/>
  <c r="C4770" i="18"/>
  <c r="D4769" i="18"/>
  <c r="C4769" i="18"/>
  <c r="D4768" i="18"/>
  <c r="C4768" i="18"/>
  <c r="D4767" i="18"/>
  <c r="C4767" i="18"/>
  <c r="D4766" i="18"/>
  <c r="C4766" i="18"/>
  <c r="D4765" i="18"/>
  <c r="C4765" i="18"/>
  <c r="D4764" i="18"/>
  <c r="C4764" i="18"/>
  <c r="D4763" i="18"/>
  <c r="C4763" i="18"/>
  <c r="D4762" i="18"/>
  <c r="C4762" i="18"/>
  <c r="D4761" i="18"/>
  <c r="C4761" i="18"/>
  <c r="D4760" i="18"/>
  <c r="C4760" i="18"/>
  <c r="D4759" i="18"/>
  <c r="C4759" i="18"/>
  <c r="D4758" i="18"/>
  <c r="C4758" i="18"/>
  <c r="D4757" i="18"/>
  <c r="C4757" i="18"/>
  <c r="D4756" i="18"/>
  <c r="C4756" i="18"/>
  <c r="D4755" i="18"/>
  <c r="C4755" i="18"/>
  <c r="D4754" i="18"/>
  <c r="C4754" i="18"/>
  <c r="D4753" i="18"/>
  <c r="C4753" i="18"/>
  <c r="D4752" i="18"/>
  <c r="C4752" i="18"/>
  <c r="D4751" i="18"/>
  <c r="C4751" i="18"/>
  <c r="D4750" i="18"/>
  <c r="C4750" i="18"/>
  <c r="D4749" i="18"/>
  <c r="C4749" i="18"/>
  <c r="D4748" i="18"/>
  <c r="C4748" i="18"/>
  <c r="D4747" i="18"/>
  <c r="C4747" i="18"/>
  <c r="D4746" i="18"/>
  <c r="C4746" i="18"/>
  <c r="D4745" i="18"/>
  <c r="C4745" i="18"/>
  <c r="D4744" i="18"/>
  <c r="C4744" i="18"/>
  <c r="D4743" i="18"/>
  <c r="C4743" i="18"/>
  <c r="D4742" i="18"/>
  <c r="C4742" i="18"/>
  <c r="D4741" i="18"/>
  <c r="C4741" i="18"/>
  <c r="D4740" i="18"/>
  <c r="C4740" i="18"/>
  <c r="D4739" i="18"/>
  <c r="C4739" i="18"/>
  <c r="D4738" i="18"/>
  <c r="C4738" i="18"/>
  <c r="D4737" i="18"/>
  <c r="C4737" i="18"/>
  <c r="D4736" i="18"/>
  <c r="C4736" i="18"/>
  <c r="D4735" i="18"/>
  <c r="C4735" i="18"/>
  <c r="D4734" i="18"/>
  <c r="C4734" i="18"/>
  <c r="D4733" i="18"/>
  <c r="C4733" i="18"/>
  <c r="D4732" i="18"/>
  <c r="C4732" i="18"/>
  <c r="D4731" i="18"/>
  <c r="C4731" i="18"/>
  <c r="D4730" i="18"/>
  <c r="C4730" i="18"/>
  <c r="D4729" i="18"/>
  <c r="C4729" i="18"/>
  <c r="D4728" i="18"/>
  <c r="C4728" i="18"/>
  <c r="D4727" i="18"/>
  <c r="C4727" i="18"/>
  <c r="D4726" i="18"/>
  <c r="C4726" i="18"/>
  <c r="D4725" i="18"/>
  <c r="C4725" i="18"/>
  <c r="D4724" i="18"/>
  <c r="C4724" i="18"/>
  <c r="D4723" i="18"/>
  <c r="C4723" i="18"/>
  <c r="D4722" i="18"/>
  <c r="C4722" i="18"/>
  <c r="D4721" i="18"/>
  <c r="C4721" i="18"/>
  <c r="D4720" i="18"/>
  <c r="C4720" i="18"/>
  <c r="D4719" i="18"/>
  <c r="C4719" i="18"/>
  <c r="D4718" i="18"/>
  <c r="C4718" i="18"/>
  <c r="D4717" i="18"/>
  <c r="C4717" i="18"/>
  <c r="D4716" i="18"/>
  <c r="C4716" i="18"/>
  <c r="D4715" i="18"/>
  <c r="C4715" i="18"/>
  <c r="D4714" i="18"/>
  <c r="C4714" i="18"/>
  <c r="D4713" i="18"/>
  <c r="C4713" i="18"/>
  <c r="D4712" i="18"/>
  <c r="C4712" i="18"/>
  <c r="D4711" i="18"/>
  <c r="C4711" i="18"/>
  <c r="D4710" i="18"/>
  <c r="C4710" i="18"/>
  <c r="D4709" i="18"/>
  <c r="C4709" i="18"/>
  <c r="D4708" i="18"/>
  <c r="C4708" i="18"/>
  <c r="D4707" i="18"/>
  <c r="C4707" i="18"/>
  <c r="D4706" i="18"/>
  <c r="C4706" i="18"/>
  <c r="D4705" i="18"/>
  <c r="C4705" i="18"/>
  <c r="D4704" i="18"/>
  <c r="C4704" i="18"/>
  <c r="D4703" i="18"/>
  <c r="C4703" i="18"/>
  <c r="D4702" i="18"/>
  <c r="C4702" i="18"/>
  <c r="D4701" i="18"/>
  <c r="C4701" i="18"/>
  <c r="D4700" i="18"/>
  <c r="C4700" i="18"/>
  <c r="D4699" i="18"/>
  <c r="C4699" i="18"/>
  <c r="D4698" i="18"/>
  <c r="C4698" i="18"/>
  <c r="D4697" i="18"/>
  <c r="C4697" i="18"/>
  <c r="D4696" i="18"/>
  <c r="C4696" i="18"/>
  <c r="D4695" i="18"/>
  <c r="C4695" i="18"/>
  <c r="D4694" i="18"/>
  <c r="C4694" i="18"/>
  <c r="D4693" i="18"/>
  <c r="C4693" i="18"/>
  <c r="D4692" i="18"/>
  <c r="C4692" i="18"/>
  <c r="D4691" i="18"/>
  <c r="C4691" i="18"/>
  <c r="D4690" i="18"/>
  <c r="C4690" i="18"/>
  <c r="D4689" i="18"/>
  <c r="C4689" i="18"/>
  <c r="D4688" i="18"/>
  <c r="C4688" i="18"/>
  <c r="D4687" i="18"/>
  <c r="C4687" i="18"/>
  <c r="D4686" i="18"/>
  <c r="C4686" i="18"/>
  <c r="D4685" i="18"/>
  <c r="C4685" i="18"/>
  <c r="D4684" i="18"/>
  <c r="C4684" i="18"/>
  <c r="D4683" i="18"/>
  <c r="C4683" i="18"/>
  <c r="D4682" i="18"/>
  <c r="C4682" i="18"/>
  <c r="D4681" i="18"/>
  <c r="C4681" i="18"/>
  <c r="D4680" i="18"/>
  <c r="C4680" i="18"/>
  <c r="D4679" i="18"/>
  <c r="C4679" i="18"/>
  <c r="D4678" i="18"/>
  <c r="C4678" i="18"/>
  <c r="D4677" i="18"/>
  <c r="C4677" i="18"/>
  <c r="D4676" i="18"/>
  <c r="C4676" i="18"/>
  <c r="D4675" i="18"/>
  <c r="C4675" i="18"/>
  <c r="D4674" i="18"/>
  <c r="C4674" i="18"/>
  <c r="D4673" i="18"/>
  <c r="C4673" i="18"/>
  <c r="D4672" i="18"/>
  <c r="C4672" i="18"/>
  <c r="D4671" i="18"/>
  <c r="C4671" i="18"/>
  <c r="D4670" i="18"/>
  <c r="C4670" i="18"/>
  <c r="D4669" i="18"/>
  <c r="C4669" i="18"/>
  <c r="D4668" i="18"/>
  <c r="C4668" i="18"/>
  <c r="D4667" i="18"/>
  <c r="C4667" i="18"/>
  <c r="D4666" i="18"/>
  <c r="C4666" i="18"/>
  <c r="D4665" i="18"/>
  <c r="C4665" i="18"/>
  <c r="D4664" i="18"/>
  <c r="C4664" i="18"/>
  <c r="D4663" i="18"/>
  <c r="C4663" i="18"/>
  <c r="D4662" i="18"/>
  <c r="C4662" i="18"/>
  <c r="D4661" i="18"/>
  <c r="C4661" i="18"/>
  <c r="D4660" i="18"/>
  <c r="C4660" i="18"/>
  <c r="D4659" i="18"/>
  <c r="C4659" i="18"/>
  <c r="D4658" i="18"/>
  <c r="C4658" i="18"/>
  <c r="D4657" i="18"/>
  <c r="C4657" i="18"/>
  <c r="D4656" i="18"/>
  <c r="C4656" i="18"/>
  <c r="D4655" i="18"/>
  <c r="C4655" i="18"/>
  <c r="D4654" i="18"/>
  <c r="C4654" i="18"/>
  <c r="D4653" i="18"/>
  <c r="C4653" i="18"/>
  <c r="D4652" i="18"/>
  <c r="C4652" i="18"/>
  <c r="D4651" i="18"/>
  <c r="C4651" i="18"/>
  <c r="D4650" i="18"/>
  <c r="C4650" i="18"/>
  <c r="D4649" i="18"/>
  <c r="C4649" i="18"/>
  <c r="D4648" i="18"/>
  <c r="C4648" i="18"/>
  <c r="D4647" i="18"/>
  <c r="C4647" i="18"/>
  <c r="D4646" i="18"/>
  <c r="C4646" i="18"/>
  <c r="D4645" i="18"/>
  <c r="C4645" i="18"/>
  <c r="D4644" i="18"/>
  <c r="C4644" i="18"/>
  <c r="D4643" i="18"/>
  <c r="C4643" i="18"/>
  <c r="D4642" i="18"/>
  <c r="C4642" i="18"/>
  <c r="D4641" i="18"/>
  <c r="C4641" i="18"/>
  <c r="D4640" i="18"/>
  <c r="C4640" i="18"/>
  <c r="D4639" i="18"/>
  <c r="C4639" i="18"/>
  <c r="D4638" i="18"/>
  <c r="C4638" i="18"/>
  <c r="D4637" i="18"/>
  <c r="C4637" i="18"/>
  <c r="D4636" i="18"/>
  <c r="C4636" i="18"/>
  <c r="D4635" i="18"/>
  <c r="C4635" i="18"/>
  <c r="D4634" i="18"/>
  <c r="C4634" i="18"/>
  <c r="D4633" i="18"/>
  <c r="C4633" i="18"/>
  <c r="D4632" i="18"/>
  <c r="C4632" i="18"/>
  <c r="D4631" i="18"/>
  <c r="C4631" i="18"/>
  <c r="D4630" i="18"/>
  <c r="C4630" i="18"/>
  <c r="D4629" i="18"/>
  <c r="C4629" i="18"/>
  <c r="D4628" i="18"/>
  <c r="C4628" i="18"/>
  <c r="D4627" i="18"/>
  <c r="C4627" i="18"/>
  <c r="D4626" i="18"/>
  <c r="C4626" i="18"/>
  <c r="D4625" i="18"/>
  <c r="C4625" i="18"/>
  <c r="D4624" i="18"/>
  <c r="C4624" i="18"/>
  <c r="D4623" i="18"/>
  <c r="C4623" i="18"/>
  <c r="D4622" i="18"/>
  <c r="C4622" i="18"/>
  <c r="D4621" i="18"/>
  <c r="C4621" i="18"/>
  <c r="D4620" i="18"/>
  <c r="C4620" i="18"/>
  <c r="D4619" i="18"/>
  <c r="C4619" i="18"/>
  <c r="D4618" i="18"/>
  <c r="C4618" i="18"/>
  <c r="D4617" i="18"/>
  <c r="C4617" i="18"/>
  <c r="D4616" i="18"/>
  <c r="C4616" i="18"/>
  <c r="D4615" i="18"/>
  <c r="C4615" i="18"/>
  <c r="D4614" i="18"/>
  <c r="C4614" i="18"/>
  <c r="D4613" i="18"/>
  <c r="C4613" i="18"/>
  <c r="D4612" i="18"/>
  <c r="C4612" i="18"/>
  <c r="D4611" i="18"/>
  <c r="C4611" i="18"/>
  <c r="D4610" i="18"/>
  <c r="C4610" i="18"/>
  <c r="D4609" i="18"/>
  <c r="C4609" i="18"/>
  <c r="D4608" i="18"/>
  <c r="C4608" i="18"/>
  <c r="D4607" i="18"/>
  <c r="C4607" i="18"/>
  <c r="D4606" i="18"/>
  <c r="C4606" i="18"/>
  <c r="D4605" i="18"/>
  <c r="C4605" i="18"/>
  <c r="D4604" i="18"/>
  <c r="C4604" i="18"/>
  <c r="D4603" i="18"/>
  <c r="C4603" i="18"/>
  <c r="D4602" i="18"/>
  <c r="C4602" i="18"/>
  <c r="D4601" i="18"/>
  <c r="C4601" i="18"/>
  <c r="D4600" i="18"/>
  <c r="C4600" i="18"/>
  <c r="D4599" i="18"/>
  <c r="C4599" i="18"/>
  <c r="D4598" i="18"/>
  <c r="C4598" i="18"/>
  <c r="D4597" i="18"/>
  <c r="C4597" i="18"/>
  <c r="D4596" i="18"/>
  <c r="C4596" i="18"/>
  <c r="D4595" i="18"/>
  <c r="C4595" i="18"/>
  <c r="D4594" i="18"/>
  <c r="C4594" i="18"/>
  <c r="D4593" i="18"/>
  <c r="C4593" i="18"/>
  <c r="D4592" i="18"/>
  <c r="C4592" i="18"/>
  <c r="D4591" i="18"/>
  <c r="C4591" i="18"/>
  <c r="D4590" i="18"/>
  <c r="C4590" i="18"/>
  <c r="D4589" i="18"/>
  <c r="C4589" i="18"/>
  <c r="D4588" i="18"/>
  <c r="C4588" i="18"/>
  <c r="D4587" i="18"/>
  <c r="C4587" i="18"/>
  <c r="D4586" i="18"/>
  <c r="C4586" i="18"/>
  <c r="D4585" i="18"/>
  <c r="C4585" i="18"/>
  <c r="D4584" i="18"/>
  <c r="C4584" i="18"/>
  <c r="D4583" i="18"/>
  <c r="C4583" i="18"/>
  <c r="D4582" i="18"/>
  <c r="C4582" i="18"/>
  <c r="D4581" i="18"/>
  <c r="C4581" i="18"/>
  <c r="D4580" i="18"/>
  <c r="C4580" i="18"/>
  <c r="D4579" i="18"/>
  <c r="C4579" i="18"/>
  <c r="D4578" i="18"/>
  <c r="C4578" i="18"/>
  <c r="D4577" i="18"/>
  <c r="C4577" i="18"/>
  <c r="D4576" i="18"/>
  <c r="C4576" i="18"/>
  <c r="D4575" i="18"/>
  <c r="C4575" i="18"/>
  <c r="D4574" i="18"/>
  <c r="C4574" i="18"/>
  <c r="D4573" i="18"/>
  <c r="C4573" i="18"/>
  <c r="D4572" i="18"/>
  <c r="C4572" i="18"/>
  <c r="D4571" i="18"/>
  <c r="C4571" i="18"/>
  <c r="D4570" i="18"/>
  <c r="C4570" i="18"/>
  <c r="D4569" i="18"/>
  <c r="C4569" i="18"/>
  <c r="D4568" i="18"/>
  <c r="C4568" i="18"/>
  <c r="D4567" i="18"/>
  <c r="C4567" i="18"/>
  <c r="D4566" i="18"/>
  <c r="C4566" i="18"/>
  <c r="D4565" i="18"/>
  <c r="C4565" i="18"/>
  <c r="D4564" i="18"/>
  <c r="C4564" i="18"/>
  <c r="D4563" i="18"/>
  <c r="C4563" i="18"/>
  <c r="D4562" i="18"/>
  <c r="C4562" i="18"/>
  <c r="D4561" i="18"/>
  <c r="C4561" i="18"/>
  <c r="D4560" i="18"/>
  <c r="C4560" i="18"/>
  <c r="D4559" i="18"/>
  <c r="C4559" i="18"/>
  <c r="D4558" i="18"/>
  <c r="C4558" i="18"/>
  <c r="D4557" i="18"/>
  <c r="C4557" i="18"/>
  <c r="D4556" i="18"/>
  <c r="C4556" i="18"/>
  <c r="D4555" i="18"/>
  <c r="C4555" i="18"/>
  <c r="D4554" i="18"/>
  <c r="C4554" i="18"/>
  <c r="D4553" i="18"/>
  <c r="C4553" i="18"/>
  <c r="D4552" i="18"/>
  <c r="C4552" i="18"/>
  <c r="D4551" i="18"/>
  <c r="C4551" i="18"/>
  <c r="D4550" i="18"/>
  <c r="C4550" i="18"/>
  <c r="D4549" i="18"/>
  <c r="C4549" i="18"/>
  <c r="D4548" i="18"/>
  <c r="C4548" i="18"/>
  <c r="D4547" i="18"/>
  <c r="C4547" i="18"/>
  <c r="D4546" i="18"/>
  <c r="C4546" i="18"/>
  <c r="D4545" i="18"/>
  <c r="C4545" i="18"/>
  <c r="D4544" i="18"/>
  <c r="C4544" i="18"/>
  <c r="D4543" i="18"/>
  <c r="C4543" i="18"/>
  <c r="D4542" i="18"/>
  <c r="C4542" i="18"/>
  <c r="D4541" i="18"/>
  <c r="C4541" i="18"/>
  <c r="D4540" i="18"/>
  <c r="C4540" i="18"/>
  <c r="D4539" i="18"/>
  <c r="C4539" i="18"/>
  <c r="D4538" i="18"/>
  <c r="C4538" i="18"/>
  <c r="D4537" i="18"/>
  <c r="C4537" i="18"/>
  <c r="D4536" i="18"/>
  <c r="C4536" i="18"/>
  <c r="D4535" i="18"/>
  <c r="C4535" i="18"/>
  <c r="D4534" i="18"/>
  <c r="C4534" i="18"/>
  <c r="D4533" i="18"/>
  <c r="C4533" i="18"/>
  <c r="D4532" i="18"/>
  <c r="C4532" i="18"/>
  <c r="D4531" i="18"/>
  <c r="C4531" i="18"/>
  <c r="D4530" i="18"/>
  <c r="C4530" i="18"/>
  <c r="D4529" i="18"/>
  <c r="C4529" i="18"/>
  <c r="D4528" i="18"/>
  <c r="C4528" i="18"/>
  <c r="D4527" i="18"/>
  <c r="C4527" i="18"/>
  <c r="D4526" i="18"/>
  <c r="C4526" i="18"/>
  <c r="D4525" i="18"/>
  <c r="C4525" i="18"/>
  <c r="D4524" i="18"/>
  <c r="C4524" i="18"/>
  <c r="D4523" i="18"/>
  <c r="C4523" i="18"/>
  <c r="D4522" i="18"/>
  <c r="C4522" i="18"/>
  <c r="D4521" i="18"/>
  <c r="C4521" i="18"/>
  <c r="D4520" i="18"/>
  <c r="C4520" i="18"/>
  <c r="D4519" i="18"/>
  <c r="C4519" i="18"/>
  <c r="D4518" i="18"/>
  <c r="C4518" i="18"/>
  <c r="D4517" i="18"/>
  <c r="C4517" i="18"/>
  <c r="D4516" i="18"/>
  <c r="C4516" i="18"/>
  <c r="D4515" i="18"/>
  <c r="C4515" i="18"/>
  <c r="D4514" i="18"/>
  <c r="C4514" i="18"/>
  <c r="D4513" i="18"/>
  <c r="C4513" i="18"/>
  <c r="D4512" i="18"/>
  <c r="C4512" i="18"/>
  <c r="D4511" i="18"/>
  <c r="C4511" i="18"/>
  <c r="D4510" i="18"/>
  <c r="C4510" i="18"/>
  <c r="D4509" i="18"/>
  <c r="C4509" i="18"/>
  <c r="D4508" i="18"/>
  <c r="C4508" i="18"/>
  <c r="D4507" i="18"/>
  <c r="C4507" i="18"/>
  <c r="D4506" i="18"/>
  <c r="C4506" i="18"/>
  <c r="D4505" i="18"/>
  <c r="C4505" i="18"/>
  <c r="D4504" i="18"/>
  <c r="C4504" i="18"/>
  <c r="D4503" i="18"/>
  <c r="C4503" i="18"/>
  <c r="D4502" i="18"/>
  <c r="C4502" i="18"/>
  <c r="D4501" i="18"/>
  <c r="C4501" i="18"/>
  <c r="D4500" i="18"/>
  <c r="C4500" i="18"/>
  <c r="D4499" i="18"/>
  <c r="C4499" i="18"/>
  <c r="D4498" i="18"/>
  <c r="C4498" i="18"/>
  <c r="D4497" i="18"/>
  <c r="C4497" i="18"/>
  <c r="D4496" i="18"/>
  <c r="C4496" i="18"/>
  <c r="D4495" i="18"/>
  <c r="C4495" i="18"/>
  <c r="D4494" i="18"/>
  <c r="C4494" i="18"/>
  <c r="D4493" i="18"/>
  <c r="C4493" i="18"/>
  <c r="D4492" i="18"/>
  <c r="C4492" i="18"/>
  <c r="D4491" i="18"/>
  <c r="C4491" i="18"/>
  <c r="D4490" i="18"/>
  <c r="C4490" i="18"/>
  <c r="D4489" i="18"/>
  <c r="C4489" i="18"/>
  <c r="D4488" i="18"/>
  <c r="C4488" i="18"/>
  <c r="D4487" i="18"/>
  <c r="C4487" i="18"/>
  <c r="D4486" i="18"/>
  <c r="C4486" i="18"/>
  <c r="D4485" i="18"/>
  <c r="C4485" i="18"/>
  <c r="D4484" i="18"/>
  <c r="C4484" i="18"/>
  <c r="D4483" i="18"/>
  <c r="C4483" i="18"/>
  <c r="D4482" i="18"/>
  <c r="C4482" i="18"/>
  <c r="D4481" i="18"/>
  <c r="C4481" i="18"/>
  <c r="D4480" i="18"/>
  <c r="C4480" i="18"/>
  <c r="D4479" i="18"/>
  <c r="C4479" i="18"/>
  <c r="D4478" i="18"/>
  <c r="C4478" i="18"/>
  <c r="D4477" i="18"/>
  <c r="C4477" i="18"/>
  <c r="D4476" i="18"/>
  <c r="C4476" i="18"/>
  <c r="D4475" i="18"/>
  <c r="C4475" i="18"/>
  <c r="D4474" i="18"/>
  <c r="C4474" i="18"/>
  <c r="D4473" i="18"/>
  <c r="C4473" i="18"/>
  <c r="D4472" i="18"/>
  <c r="C4472" i="18"/>
  <c r="D4471" i="18"/>
  <c r="C4471" i="18"/>
  <c r="D4470" i="18"/>
  <c r="C4470" i="18"/>
  <c r="D4469" i="18"/>
  <c r="C4469" i="18"/>
  <c r="D4468" i="18"/>
  <c r="C4468" i="18"/>
  <c r="D4467" i="18"/>
  <c r="C4467" i="18"/>
  <c r="D4466" i="18"/>
  <c r="C4466" i="18"/>
  <c r="D4465" i="18"/>
  <c r="C4465" i="18"/>
  <c r="D4464" i="18"/>
  <c r="C4464" i="18"/>
  <c r="D4463" i="18"/>
  <c r="C4463" i="18"/>
  <c r="D4462" i="18"/>
  <c r="C4462" i="18"/>
  <c r="D4461" i="18"/>
  <c r="C4461" i="18"/>
  <c r="D4460" i="18"/>
  <c r="C4460" i="18"/>
  <c r="D4459" i="18"/>
  <c r="C4459" i="18"/>
  <c r="D4458" i="18"/>
  <c r="C4458" i="18"/>
  <c r="D4457" i="18"/>
  <c r="C4457" i="18"/>
  <c r="D4456" i="18"/>
  <c r="C4456" i="18"/>
  <c r="D4455" i="18"/>
  <c r="C4455" i="18"/>
  <c r="D4454" i="18"/>
  <c r="C4454" i="18"/>
  <c r="D4453" i="18"/>
  <c r="C4453" i="18"/>
  <c r="D4452" i="18"/>
  <c r="C4452" i="18"/>
  <c r="D4451" i="18"/>
  <c r="C4451" i="18"/>
  <c r="D4450" i="18"/>
  <c r="C4450" i="18"/>
  <c r="D4449" i="18"/>
  <c r="C4449" i="18"/>
  <c r="D4448" i="18"/>
  <c r="C4448" i="18"/>
  <c r="D4447" i="18"/>
  <c r="C4447" i="18"/>
  <c r="D4446" i="18"/>
  <c r="C4446" i="18"/>
  <c r="D4445" i="18"/>
  <c r="C4445" i="18"/>
  <c r="D4444" i="18"/>
  <c r="C4444" i="18"/>
  <c r="D4443" i="18"/>
  <c r="C4443" i="18"/>
  <c r="D4442" i="18"/>
  <c r="C4442" i="18"/>
  <c r="D4441" i="18"/>
  <c r="C4441" i="18"/>
  <c r="D4440" i="18"/>
  <c r="C4440" i="18"/>
  <c r="D4439" i="18"/>
  <c r="C4439" i="18"/>
  <c r="D4438" i="18"/>
  <c r="C4438" i="18"/>
  <c r="D4437" i="18"/>
  <c r="C4437" i="18"/>
  <c r="D4436" i="18"/>
  <c r="C4436" i="18"/>
  <c r="D4435" i="18"/>
  <c r="C4435" i="18"/>
  <c r="D4434" i="18"/>
  <c r="C4434" i="18"/>
  <c r="D4433" i="18"/>
  <c r="C4433" i="18"/>
  <c r="D4432" i="18"/>
  <c r="C4432" i="18"/>
  <c r="D4431" i="18"/>
  <c r="C4431" i="18"/>
  <c r="D4430" i="18"/>
  <c r="C4430" i="18"/>
  <c r="D4429" i="18"/>
  <c r="C4429" i="18"/>
  <c r="D4428" i="18"/>
  <c r="C4428" i="18"/>
  <c r="D4427" i="18"/>
  <c r="C4427" i="18"/>
  <c r="D4426" i="18"/>
  <c r="C4426" i="18"/>
  <c r="D4425" i="18"/>
  <c r="C4425" i="18"/>
  <c r="D4424" i="18"/>
  <c r="C4424" i="18"/>
  <c r="D4423" i="18"/>
  <c r="C4423" i="18"/>
  <c r="D4422" i="18"/>
  <c r="C4422" i="18"/>
  <c r="D4421" i="18"/>
  <c r="C4421" i="18"/>
  <c r="D4420" i="18"/>
  <c r="C4420" i="18"/>
  <c r="D4419" i="18"/>
  <c r="C4419" i="18"/>
  <c r="D4418" i="18"/>
  <c r="C4418" i="18"/>
  <c r="D4417" i="18"/>
  <c r="C4417" i="18"/>
  <c r="D4416" i="18"/>
  <c r="C4416" i="18"/>
  <c r="D4415" i="18"/>
  <c r="C4415" i="18"/>
  <c r="D4414" i="18"/>
  <c r="C4414" i="18"/>
  <c r="D4413" i="18"/>
  <c r="C4413" i="18"/>
  <c r="D4412" i="18"/>
  <c r="C4412" i="18"/>
  <c r="D4411" i="18"/>
  <c r="C4411" i="18"/>
  <c r="D4410" i="18"/>
  <c r="C4410" i="18"/>
  <c r="D4409" i="18"/>
  <c r="C4409" i="18"/>
  <c r="D4408" i="18"/>
  <c r="C4408" i="18"/>
  <c r="D4407" i="18"/>
  <c r="C4407" i="18"/>
  <c r="D4406" i="18"/>
  <c r="C4406" i="18"/>
  <c r="D4405" i="18"/>
  <c r="C4405" i="18"/>
  <c r="D4404" i="18"/>
  <c r="C4404" i="18"/>
  <c r="D4403" i="18"/>
  <c r="C4403" i="18"/>
  <c r="D4402" i="18"/>
  <c r="C4402" i="18"/>
  <c r="D4401" i="18"/>
  <c r="C4401" i="18"/>
  <c r="D4400" i="18"/>
  <c r="C4400" i="18"/>
  <c r="D4399" i="18"/>
  <c r="C4399" i="18"/>
  <c r="D4398" i="18"/>
  <c r="C4398" i="18"/>
  <c r="D4397" i="18"/>
  <c r="C4397" i="18"/>
  <c r="D4396" i="18"/>
  <c r="C4396" i="18"/>
  <c r="D4395" i="18"/>
  <c r="C4395" i="18"/>
  <c r="D4394" i="18"/>
  <c r="C4394" i="18"/>
  <c r="D4393" i="18"/>
  <c r="C4393" i="18"/>
  <c r="D4392" i="18"/>
  <c r="C4392" i="18"/>
  <c r="D4391" i="18"/>
  <c r="C4391" i="18"/>
  <c r="D4390" i="18"/>
  <c r="C4390" i="18"/>
  <c r="D4389" i="18"/>
  <c r="C4389" i="18"/>
  <c r="D4388" i="18"/>
  <c r="C4388" i="18"/>
  <c r="D4387" i="18"/>
  <c r="C4387" i="18"/>
  <c r="D4386" i="18"/>
  <c r="C4386" i="18"/>
  <c r="D4385" i="18"/>
  <c r="C4385" i="18"/>
  <c r="D4384" i="18"/>
  <c r="C4384" i="18"/>
  <c r="D4383" i="18"/>
  <c r="C4383" i="18"/>
  <c r="D4382" i="18"/>
  <c r="C4382" i="18"/>
  <c r="D4381" i="18"/>
  <c r="C4381" i="18"/>
  <c r="D4380" i="18"/>
  <c r="C4380" i="18"/>
  <c r="D4379" i="18"/>
  <c r="C4379" i="18"/>
  <c r="D4378" i="18"/>
  <c r="C4378" i="18"/>
  <c r="D4377" i="18"/>
  <c r="C4377" i="18"/>
  <c r="D4376" i="18"/>
  <c r="C4376" i="18"/>
  <c r="D4375" i="18"/>
  <c r="C4375" i="18"/>
  <c r="D4374" i="18"/>
  <c r="C4374" i="18"/>
  <c r="D4373" i="18"/>
  <c r="C4373" i="18"/>
  <c r="D4372" i="18"/>
  <c r="C4372" i="18"/>
  <c r="D4371" i="18"/>
  <c r="C4371" i="18"/>
  <c r="D4370" i="18"/>
  <c r="C4370" i="18"/>
  <c r="D4369" i="18"/>
  <c r="C4369" i="18"/>
  <c r="D4368" i="18"/>
  <c r="C4368" i="18"/>
  <c r="D4367" i="18"/>
  <c r="C4367" i="18"/>
  <c r="D4366" i="18"/>
  <c r="C4366" i="18"/>
  <c r="D4365" i="18"/>
  <c r="C4365" i="18"/>
  <c r="D4364" i="18"/>
  <c r="C4364" i="18"/>
  <c r="D4363" i="18"/>
  <c r="C4363" i="18"/>
  <c r="D4362" i="18"/>
  <c r="C4362" i="18"/>
  <c r="D4361" i="18"/>
  <c r="C4361" i="18"/>
  <c r="D4360" i="18"/>
  <c r="C4360" i="18"/>
  <c r="D4359" i="18"/>
  <c r="C4359" i="18"/>
  <c r="D4358" i="18"/>
  <c r="C4358" i="18"/>
  <c r="D4357" i="18"/>
  <c r="C4357" i="18"/>
  <c r="D4356" i="18"/>
  <c r="C4356" i="18"/>
  <c r="D4355" i="18"/>
  <c r="C4355" i="18"/>
  <c r="D4354" i="18"/>
  <c r="C4354" i="18"/>
  <c r="D4353" i="18"/>
  <c r="C4353" i="18"/>
  <c r="D4352" i="18"/>
  <c r="C4352" i="18"/>
  <c r="D4351" i="18"/>
  <c r="C4351" i="18"/>
  <c r="D4350" i="18"/>
  <c r="C4350" i="18"/>
  <c r="D4349" i="18"/>
  <c r="C4349" i="18"/>
  <c r="D4348" i="18"/>
  <c r="C4348" i="18"/>
  <c r="D4347" i="18"/>
  <c r="C4347" i="18"/>
  <c r="D4346" i="18"/>
  <c r="C4346" i="18"/>
  <c r="D4345" i="18"/>
  <c r="C4345" i="18"/>
  <c r="D4344" i="18"/>
  <c r="C4344" i="18"/>
  <c r="D4343" i="18"/>
  <c r="C4343" i="18"/>
  <c r="D4342" i="18"/>
  <c r="C4342" i="18"/>
  <c r="D4341" i="18"/>
  <c r="C4341" i="18"/>
  <c r="D4340" i="18"/>
  <c r="C4340" i="18"/>
  <c r="D4339" i="18"/>
  <c r="C4339" i="18"/>
  <c r="D4338" i="18"/>
  <c r="C4338" i="18"/>
  <c r="D4337" i="18"/>
  <c r="C4337" i="18"/>
  <c r="D4336" i="18"/>
  <c r="C4336" i="18"/>
  <c r="D4335" i="18"/>
  <c r="C4335" i="18"/>
  <c r="D4334" i="18"/>
  <c r="C4334" i="18"/>
  <c r="D4333" i="18"/>
  <c r="C4333" i="18"/>
  <c r="D4332" i="18"/>
  <c r="C4332" i="18"/>
  <c r="D4331" i="18"/>
  <c r="C4331" i="18"/>
  <c r="D4330" i="18"/>
  <c r="C4330" i="18"/>
  <c r="D4329" i="18"/>
  <c r="C4329" i="18"/>
  <c r="D4328" i="18"/>
  <c r="C4328" i="18"/>
  <c r="D4327" i="18"/>
  <c r="C4327" i="18"/>
  <c r="D4326" i="18"/>
  <c r="C4326" i="18"/>
  <c r="D4325" i="18"/>
  <c r="C4325" i="18"/>
  <c r="D4324" i="18"/>
  <c r="C4324" i="18"/>
  <c r="D4323" i="18"/>
  <c r="C4323" i="18"/>
  <c r="D4322" i="18"/>
  <c r="C4322" i="18"/>
  <c r="D4321" i="18"/>
  <c r="C4321" i="18"/>
  <c r="D4320" i="18"/>
  <c r="C4320" i="18"/>
  <c r="D4319" i="18"/>
  <c r="C4319" i="18"/>
  <c r="D4318" i="18"/>
  <c r="C4318" i="18"/>
  <c r="D4317" i="18"/>
  <c r="C4317" i="18"/>
  <c r="D4316" i="18"/>
  <c r="C4316" i="18"/>
  <c r="D4315" i="18"/>
  <c r="C4315" i="18"/>
  <c r="D4314" i="18"/>
  <c r="C4314" i="18"/>
  <c r="D4313" i="18"/>
  <c r="C4313" i="18"/>
  <c r="D4312" i="18"/>
  <c r="C4312" i="18"/>
  <c r="D4311" i="18"/>
  <c r="C4311" i="18"/>
  <c r="D4310" i="18"/>
  <c r="C4310" i="18"/>
  <c r="D4309" i="18"/>
  <c r="C4309" i="18"/>
  <c r="D4308" i="18"/>
  <c r="C4308" i="18"/>
  <c r="D4307" i="18"/>
  <c r="C4307" i="18"/>
  <c r="D4306" i="18"/>
  <c r="C4306" i="18"/>
  <c r="D4305" i="18"/>
  <c r="C4305" i="18"/>
  <c r="D4304" i="18"/>
  <c r="C4304" i="18"/>
  <c r="D4303" i="18"/>
  <c r="C4303" i="18"/>
  <c r="D4302" i="18"/>
  <c r="C4302" i="18"/>
  <c r="D4301" i="18"/>
  <c r="C4301" i="18"/>
  <c r="D4300" i="18"/>
  <c r="C4300" i="18"/>
  <c r="D4299" i="18"/>
  <c r="C4299" i="18"/>
  <c r="D4298" i="18"/>
  <c r="C4298" i="18"/>
  <c r="D4297" i="18"/>
  <c r="C4297" i="18"/>
  <c r="D4296" i="18"/>
  <c r="C4296" i="18"/>
  <c r="D4295" i="18"/>
  <c r="C4295" i="18"/>
  <c r="D4294" i="18"/>
  <c r="C4294" i="18"/>
  <c r="D4293" i="18"/>
  <c r="C4293" i="18"/>
  <c r="D4292" i="18"/>
  <c r="C4292" i="18"/>
  <c r="D4291" i="18"/>
  <c r="C4291" i="18"/>
  <c r="D4290" i="18"/>
  <c r="C4290" i="18"/>
  <c r="D4289" i="18"/>
  <c r="C4289" i="18"/>
  <c r="D4288" i="18"/>
  <c r="C4288" i="18"/>
  <c r="D4287" i="18"/>
  <c r="C4287" i="18"/>
  <c r="D4286" i="18"/>
  <c r="C4286" i="18"/>
  <c r="D4285" i="18"/>
  <c r="C4285" i="18"/>
  <c r="D4284" i="18"/>
  <c r="C4284" i="18"/>
  <c r="D4283" i="18"/>
  <c r="C4283" i="18"/>
  <c r="D4282" i="18"/>
  <c r="C4282" i="18"/>
  <c r="D4281" i="18"/>
  <c r="C4281" i="18"/>
  <c r="D4280" i="18"/>
  <c r="C4280" i="18"/>
  <c r="D4279" i="18"/>
  <c r="C4279" i="18"/>
  <c r="D4278" i="18"/>
  <c r="C4278" i="18"/>
  <c r="D4277" i="18"/>
  <c r="C4277" i="18"/>
  <c r="D4276" i="18"/>
  <c r="C4276" i="18"/>
  <c r="D4275" i="18"/>
  <c r="C4275" i="18"/>
  <c r="D4274" i="18"/>
  <c r="C4274" i="18"/>
  <c r="D4273" i="18"/>
  <c r="C4273" i="18"/>
  <c r="D4272" i="18"/>
  <c r="C4272" i="18"/>
  <c r="D4271" i="18"/>
  <c r="C4271" i="18"/>
  <c r="D4270" i="18"/>
  <c r="C4270" i="18"/>
  <c r="D4269" i="18"/>
  <c r="C4269" i="18"/>
  <c r="D4268" i="18"/>
  <c r="C4268" i="18"/>
  <c r="D4267" i="18"/>
  <c r="C4267" i="18"/>
  <c r="D4266" i="18"/>
  <c r="C4266" i="18"/>
  <c r="D4265" i="18"/>
  <c r="C4265" i="18"/>
  <c r="D4264" i="18"/>
  <c r="C4264" i="18"/>
  <c r="D4263" i="18"/>
  <c r="C4263" i="18"/>
  <c r="D4262" i="18"/>
  <c r="C4262" i="18"/>
  <c r="D4261" i="18"/>
  <c r="C4261" i="18"/>
  <c r="D4260" i="18"/>
  <c r="C4260" i="18"/>
  <c r="D4259" i="18"/>
  <c r="C4259" i="18"/>
  <c r="D4258" i="18"/>
  <c r="C4258" i="18"/>
  <c r="D4257" i="18"/>
  <c r="C4257" i="18"/>
  <c r="D4256" i="18"/>
  <c r="C4256" i="18"/>
  <c r="D4255" i="18"/>
  <c r="C4255" i="18"/>
  <c r="D4254" i="18"/>
  <c r="C4254" i="18"/>
  <c r="D4253" i="18"/>
  <c r="C4253" i="18"/>
  <c r="D4252" i="18"/>
  <c r="C4252" i="18"/>
  <c r="D4251" i="18"/>
  <c r="C4251" i="18"/>
  <c r="D4250" i="18"/>
  <c r="C4250" i="18"/>
  <c r="D4249" i="18"/>
  <c r="C4249" i="18"/>
  <c r="D4248" i="18"/>
  <c r="C4248" i="18"/>
  <c r="D4247" i="18"/>
  <c r="C4247" i="18"/>
  <c r="D4246" i="18"/>
  <c r="C4246" i="18"/>
  <c r="D4245" i="18"/>
  <c r="C4245" i="18"/>
  <c r="D4244" i="18"/>
  <c r="C4244" i="18"/>
  <c r="D4243" i="18"/>
  <c r="C4243" i="18"/>
  <c r="D4242" i="18"/>
  <c r="C4242" i="18"/>
  <c r="D4241" i="18"/>
  <c r="C4241" i="18"/>
  <c r="D4240" i="18"/>
  <c r="C4240" i="18"/>
  <c r="D4239" i="18"/>
  <c r="C4239" i="18"/>
  <c r="D4238" i="18"/>
  <c r="C4238" i="18"/>
  <c r="D4237" i="18"/>
  <c r="C4237" i="18"/>
  <c r="D4236" i="18"/>
  <c r="C4236" i="18"/>
  <c r="D4235" i="18"/>
  <c r="C4235" i="18"/>
  <c r="D4234" i="18"/>
  <c r="C4234" i="18"/>
  <c r="D4233" i="18"/>
  <c r="C4233" i="18"/>
  <c r="D4232" i="18"/>
  <c r="C4232" i="18"/>
  <c r="D4231" i="18"/>
  <c r="C4231" i="18"/>
  <c r="D4230" i="18"/>
  <c r="C4230" i="18"/>
  <c r="D4229" i="18"/>
  <c r="C4229" i="18"/>
  <c r="D4228" i="18"/>
  <c r="C4228" i="18"/>
  <c r="D4227" i="18"/>
  <c r="C4227" i="18"/>
  <c r="D4226" i="18"/>
  <c r="C4226" i="18"/>
  <c r="D4225" i="18"/>
  <c r="C4225" i="18"/>
  <c r="D4224" i="18"/>
  <c r="C4224" i="18"/>
  <c r="D4223" i="18"/>
  <c r="C4223" i="18"/>
  <c r="D4222" i="18"/>
  <c r="C4222" i="18"/>
  <c r="D4221" i="18"/>
  <c r="C4221" i="18"/>
  <c r="D4220" i="18"/>
  <c r="C4220" i="18"/>
  <c r="D4219" i="18"/>
  <c r="C4219" i="18"/>
  <c r="D4218" i="18"/>
  <c r="C4218" i="18"/>
  <c r="D4217" i="18"/>
  <c r="C4217" i="18"/>
  <c r="D4216" i="18"/>
  <c r="C4216" i="18"/>
  <c r="D4215" i="18"/>
  <c r="C4215" i="18"/>
  <c r="D4214" i="18"/>
  <c r="C4214" i="18"/>
  <c r="D4213" i="18"/>
  <c r="C4213" i="18"/>
  <c r="D4212" i="18"/>
  <c r="C4212" i="18"/>
  <c r="D4211" i="18"/>
  <c r="C4211" i="18"/>
  <c r="D4210" i="18"/>
  <c r="C4210" i="18"/>
  <c r="D4209" i="18"/>
  <c r="C4209" i="18"/>
  <c r="D4208" i="18"/>
  <c r="C4208" i="18"/>
  <c r="D4207" i="18"/>
  <c r="C4207" i="18"/>
  <c r="D4206" i="18"/>
  <c r="C4206" i="18"/>
  <c r="D4205" i="18"/>
  <c r="C4205" i="18"/>
  <c r="D4204" i="18"/>
  <c r="C4204" i="18"/>
  <c r="D4203" i="18"/>
  <c r="C4203" i="18"/>
  <c r="D4202" i="18"/>
  <c r="C4202" i="18"/>
  <c r="D4201" i="18"/>
  <c r="C4201" i="18"/>
  <c r="D4200" i="18"/>
  <c r="C4200" i="18"/>
  <c r="D4199" i="18"/>
  <c r="C4199" i="18"/>
  <c r="D4198" i="18"/>
  <c r="C4198" i="18"/>
  <c r="D4197" i="18"/>
  <c r="C4197" i="18"/>
  <c r="D4196" i="18"/>
  <c r="C4196" i="18"/>
  <c r="D4195" i="18"/>
  <c r="C4195" i="18"/>
  <c r="D4194" i="18"/>
  <c r="C4194" i="18"/>
  <c r="D4193" i="18"/>
  <c r="C4193" i="18"/>
  <c r="D4192" i="18"/>
  <c r="C4192" i="18"/>
  <c r="D4191" i="18"/>
  <c r="C4191" i="18"/>
  <c r="D4190" i="18"/>
  <c r="C4190" i="18"/>
  <c r="D4189" i="18"/>
  <c r="C4189" i="18"/>
  <c r="D4188" i="18"/>
  <c r="C4188" i="18"/>
  <c r="D4187" i="18"/>
  <c r="C4187" i="18"/>
  <c r="D4186" i="18"/>
  <c r="C4186" i="18"/>
  <c r="D4185" i="18"/>
  <c r="C4185" i="18"/>
  <c r="D4184" i="18"/>
  <c r="C4184" i="18"/>
  <c r="D4183" i="18"/>
  <c r="C4183" i="18"/>
  <c r="D4182" i="18"/>
  <c r="C4182" i="18"/>
  <c r="D4181" i="18"/>
  <c r="C4181" i="18"/>
  <c r="D4180" i="18"/>
  <c r="C4180" i="18"/>
  <c r="D4179" i="18"/>
  <c r="C4179" i="18"/>
  <c r="D4178" i="18"/>
  <c r="C4178" i="18"/>
  <c r="D4177" i="18"/>
  <c r="C4177" i="18"/>
  <c r="D4176" i="18"/>
  <c r="C4176" i="18"/>
  <c r="D4175" i="18"/>
  <c r="C4175" i="18"/>
  <c r="D4174" i="18"/>
  <c r="C4174" i="18"/>
  <c r="D4173" i="18"/>
  <c r="C4173" i="18"/>
  <c r="D4172" i="18"/>
  <c r="C4172" i="18"/>
  <c r="D4171" i="18"/>
  <c r="C4171" i="18"/>
  <c r="D4170" i="18"/>
  <c r="C4170" i="18"/>
  <c r="D4169" i="18"/>
  <c r="C4169" i="18"/>
  <c r="D4168" i="18"/>
  <c r="C4168" i="18"/>
  <c r="D4167" i="18"/>
  <c r="C4167" i="18"/>
  <c r="D4166" i="18"/>
  <c r="C4166" i="18"/>
  <c r="D4165" i="18"/>
  <c r="C4165" i="18"/>
  <c r="D4164" i="18"/>
  <c r="C4164" i="18"/>
  <c r="D4163" i="18"/>
  <c r="C4163" i="18"/>
  <c r="D4162" i="18"/>
  <c r="C4162" i="18"/>
  <c r="D4161" i="18"/>
  <c r="C4161" i="18"/>
  <c r="D4160" i="18"/>
  <c r="C4160" i="18"/>
  <c r="D4159" i="18"/>
  <c r="C4159" i="18"/>
  <c r="D4158" i="18"/>
  <c r="C4158" i="18"/>
  <c r="D4157" i="18"/>
  <c r="C4157" i="18"/>
  <c r="D4156" i="18"/>
  <c r="C4156" i="18"/>
  <c r="D4155" i="18"/>
  <c r="C4155" i="18"/>
  <c r="D4154" i="18"/>
  <c r="C4154" i="18"/>
  <c r="D4153" i="18"/>
  <c r="C4153" i="18"/>
  <c r="D4152" i="18"/>
  <c r="C4152" i="18"/>
  <c r="D4151" i="18"/>
  <c r="C4151" i="18"/>
  <c r="D4150" i="18"/>
  <c r="C4150" i="18"/>
  <c r="D4149" i="18"/>
  <c r="C4149" i="18"/>
  <c r="D4148" i="18"/>
  <c r="C4148" i="18"/>
  <c r="D4147" i="18"/>
  <c r="C4147" i="18"/>
  <c r="D4146" i="18"/>
  <c r="C4146" i="18"/>
  <c r="D4145" i="18"/>
  <c r="C4145" i="18"/>
  <c r="D4144" i="18"/>
  <c r="C4144" i="18"/>
  <c r="D4143" i="18"/>
  <c r="C4143" i="18"/>
  <c r="D4142" i="18"/>
  <c r="C4142" i="18"/>
  <c r="D4141" i="18"/>
  <c r="C4141" i="18"/>
  <c r="D4140" i="18"/>
  <c r="C4140" i="18"/>
  <c r="D4139" i="18"/>
  <c r="C4139" i="18"/>
  <c r="D4138" i="18"/>
  <c r="C4138" i="18"/>
  <c r="D4137" i="18"/>
  <c r="C4137" i="18"/>
  <c r="D4136" i="18"/>
  <c r="C4136" i="18"/>
  <c r="D4135" i="18"/>
  <c r="C4135" i="18"/>
  <c r="D4134" i="18"/>
  <c r="C4134" i="18"/>
  <c r="D4133" i="18"/>
  <c r="C4133" i="18"/>
  <c r="D4132" i="18"/>
  <c r="C4132" i="18"/>
  <c r="D4131" i="18"/>
  <c r="C4131" i="18"/>
  <c r="D4130" i="18"/>
  <c r="C4130" i="18"/>
  <c r="D4129" i="18"/>
  <c r="C4129" i="18"/>
  <c r="D4128" i="18"/>
  <c r="C4128" i="18"/>
  <c r="D4127" i="18"/>
  <c r="C4127" i="18"/>
  <c r="D4126" i="18"/>
  <c r="C4126" i="18"/>
  <c r="D4125" i="18"/>
  <c r="C4125" i="18"/>
  <c r="D4124" i="18"/>
  <c r="C4124" i="18"/>
  <c r="D4123" i="18"/>
  <c r="C4123" i="18"/>
  <c r="D4122" i="18"/>
  <c r="C4122" i="18"/>
  <c r="D4121" i="18"/>
  <c r="C4121" i="18"/>
  <c r="D4120" i="18"/>
  <c r="C4120" i="18"/>
  <c r="D4119" i="18"/>
  <c r="C4119" i="18"/>
  <c r="D4118" i="18"/>
  <c r="C4118" i="18"/>
  <c r="D4117" i="18"/>
  <c r="C4117" i="18"/>
  <c r="D4116" i="18"/>
  <c r="C4116" i="18"/>
  <c r="D4115" i="18"/>
  <c r="C4115" i="18"/>
  <c r="D4114" i="18"/>
  <c r="C4114" i="18"/>
  <c r="D4113" i="18"/>
  <c r="C4113" i="18"/>
  <c r="D4112" i="18"/>
  <c r="C4112" i="18"/>
  <c r="D4111" i="18"/>
  <c r="C4111" i="18"/>
  <c r="D4110" i="18"/>
  <c r="C4110" i="18"/>
  <c r="D4109" i="18"/>
  <c r="C4109" i="18"/>
  <c r="D4108" i="18"/>
  <c r="C4108" i="18"/>
  <c r="D4107" i="18"/>
  <c r="C4107" i="18"/>
  <c r="D4106" i="18"/>
  <c r="C4106" i="18"/>
  <c r="D4105" i="18"/>
  <c r="C4105" i="18"/>
  <c r="D4104" i="18"/>
  <c r="C4104" i="18"/>
  <c r="D4103" i="18"/>
  <c r="C4103" i="18"/>
  <c r="D4102" i="18"/>
  <c r="C4102" i="18"/>
  <c r="D4101" i="18"/>
  <c r="C4101" i="18"/>
  <c r="D4100" i="18"/>
  <c r="C4100" i="18"/>
  <c r="D4099" i="18"/>
  <c r="C4099" i="18"/>
  <c r="D4098" i="18"/>
  <c r="C4098" i="18"/>
  <c r="D4097" i="18"/>
  <c r="C4097" i="18"/>
  <c r="D4096" i="18"/>
  <c r="C4096" i="18"/>
  <c r="D4095" i="18"/>
  <c r="C4095" i="18"/>
  <c r="D4094" i="18"/>
  <c r="C4094" i="18"/>
  <c r="D4093" i="18"/>
  <c r="C4093" i="18"/>
  <c r="D4092" i="18"/>
  <c r="C4092" i="18"/>
  <c r="D4091" i="18"/>
  <c r="C4091" i="18"/>
  <c r="D4090" i="18"/>
  <c r="C4090" i="18"/>
  <c r="D4089" i="18"/>
  <c r="C4089" i="18"/>
  <c r="D4088" i="18"/>
  <c r="C4088" i="18"/>
  <c r="D4087" i="18"/>
  <c r="C4087" i="18"/>
  <c r="D4086" i="18"/>
  <c r="C4086" i="18"/>
  <c r="D4085" i="18"/>
  <c r="C4085" i="18"/>
  <c r="D4084" i="18"/>
  <c r="C4084" i="18"/>
  <c r="D4083" i="18"/>
  <c r="C4083" i="18"/>
  <c r="D4082" i="18"/>
  <c r="C4082" i="18"/>
  <c r="D4081" i="18"/>
  <c r="C4081" i="18"/>
  <c r="D4080" i="18"/>
  <c r="C4080" i="18"/>
  <c r="D4079" i="18"/>
  <c r="C4079" i="18"/>
  <c r="D4078" i="18"/>
  <c r="C4078" i="18"/>
  <c r="D4077" i="18"/>
  <c r="C4077" i="18"/>
  <c r="D4076" i="18"/>
  <c r="C4076" i="18"/>
  <c r="D4075" i="18"/>
  <c r="C4075" i="18"/>
  <c r="D4074" i="18"/>
  <c r="C4074" i="18"/>
  <c r="D4073" i="18"/>
  <c r="C4073" i="18"/>
  <c r="D4072" i="18"/>
  <c r="C4072" i="18"/>
  <c r="D4071" i="18"/>
  <c r="C4071" i="18"/>
  <c r="D4070" i="18"/>
  <c r="C4070" i="18"/>
  <c r="D4069" i="18"/>
  <c r="C4069" i="18"/>
  <c r="D4068" i="18"/>
  <c r="C4068" i="18"/>
  <c r="D4067" i="18"/>
  <c r="C4067" i="18"/>
  <c r="D4066" i="18"/>
  <c r="C4066" i="18"/>
  <c r="D4065" i="18"/>
  <c r="C4065" i="18"/>
  <c r="D4064" i="18"/>
  <c r="C4064" i="18"/>
  <c r="D4063" i="18"/>
  <c r="C4063" i="18"/>
  <c r="D4062" i="18"/>
  <c r="C4062" i="18"/>
  <c r="D4061" i="18"/>
  <c r="C4061" i="18"/>
  <c r="D4060" i="18"/>
  <c r="C4060" i="18"/>
  <c r="D4059" i="18"/>
  <c r="C4059" i="18"/>
  <c r="D4058" i="18"/>
  <c r="C4058" i="18"/>
  <c r="D4057" i="18"/>
  <c r="C4057" i="18"/>
  <c r="D4056" i="18"/>
  <c r="C4056" i="18"/>
  <c r="D4055" i="18"/>
  <c r="C4055" i="18"/>
  <c r="D4054" i="18"/>
  <c r="C4054" i="18"/>
  <c r="D4053" i="18"/>
  <c r="C4053" i="18"/>
  <c r="D4052" i="18"/>
  <c r="C4052" i="18"/>
  <c r="D4051" i="18"/>
  <c r="C4051" i="18"/>
  <c r="D4050" i="18"/>
  <c r="C4050" i="18"/>
  <c r="D4049" i="18"/>
  <c r="C4049" i="18"/>
  <c r="D4048" i="18"/>
  <c r="C4048" i="18"/>
  <c r="D4047" i="18"/>
  <c r="C4047" i="18"/>
  <c r="D4046" i="18"/>
  <c r="C4046" i="18"/>
  <c r="D4045" i="18"/>
  <c r="C4045" i="18"/>
  <c r="D4044" i="18"/>
  <c r="C4044" i="18"/>
  <c r="D4043" i="18"/>
  <c r="C4043" i="18"/>
  <c r="D4042" i="18"/>
  <c r="C4042" i="18"/>
  <c r="D4041" i="18"/>
  <c r="C4041" i="18"/>
  <c r="D4040" i="18"/>
  <c r="C4040" i="18"/>
  <c r="D4039" i="18"/>
  <c r="C4039" i="18"/>
  <c r="D4038" i="18"/>
  <c r="C4038" i="18"/>
  <c r="D4037" i="18"/>
  <c r="C4037" i="18"/>
  <c r="D4036" i="18"/>
  <c r="C4036" i="18"/>
  <c r="D4035" i="18"/>
  <c r="C4035" i="18"/>
  <c r="D4034" i="18"/>
  <c r="C4034" i="18"/>
  <c r="D4033" i="18"/>
  <c r="C4033" i="18"/>
  <c r="D4032" i="18"/>
  <c r="C4032" i="18"/>
  <c r="D4031" i="18"/>
  <c r="C4031" i="18"/>
  <c r="D4030" i="18"/>
  <c r="C4030" i="18"/>
  <c r="D4029" i="18"/>
  <c r="C4029" i="18"/>
  <c r="D4028" i="18"/>
  <c r="C4028" i="18"/>
  <c r="D4027" i="18"/>
  <c r="C4027" i="18"/>
  <c r="D4026" i="18"/>
  <c r="C4026" i="18"/>
  <c r="D4025" i="18"/>
  <c r="C4025" i="18"/>
  <c r="D4024" i="18"/>
  <c r="C4024" i="18"/>
  <c r="D4023" i="18"/>
  <c r="C4023" i="18"/>
  <c r="D4022" i="18"/>
  <c r="C4022" i="18"/>
  <c r="D4021" i="18"/>
  <c r="C4021" i="18"/>
  <c r="D4020" i="18"/>
  <c r="C4020" i="18"/>
  <c r="D4019" i="18"/>
  <c r="C4019" i="18"/>
  <c r="D4018" i="18"/>
  <c r="C4018" i="18"/>
  <c r="D4017" i="18"/>
  <c r="C4017" i="18"/>
  <c r="D4016" i="18"/>
  <c r="C4016" i="18"/>
  <c r="D4015" i="18"/>
  <c r="C4015" i="18"/>
  <c r="D4014" i="18"/>
  <c r="C4014" i="18"/>
  <c r="D4013" i="18"/>
  <c r="C4013" i="18"/>
  <c r="D4012" i="18"/>
  <c r="C4012" i="18"/>
  <c r="D4011" i="18"/>
  <c r="C4011" i="18"/>
  <c r="D4010" i="18"/>
  <c r="C4010" i="18"/>
  <c r="D4009" i="18"/>
  <c r="C4009" i="18"/>
  <c r="D4008" i="18"/>
  <c r="C4008" i="18"/>
  <c r="D4007" i="18"/>
  <c r="C4007" i="18"/>
  <c r="D4006" i="18"/>
  <c r="C4006" i="18"/>
  <c r="D4005" i="18"/>
  <c r="C4005" i="18"/>
  <c r="D4004" i="18"/>
  <c r="C4004" i="18"/>
  <c r="D4003" i="18"/>
  <c r="C4003" i="18"/>
  <c r="D4002" i="18"/>
  <c r="C4002" i="18"/>
  <c r="D4001" i="18"/>
  <c r="C4001" i="18"/>
  <c r="D4000" i="18"/>
  <c r="C4000" i="18"/>
  <c r="D3999" i="18"/>
  <c r="C3999" i="18"/>
  <c r="D3998" i="18"/>
  <c r="C3998" i="18"/>
  <c r="D3997" i="18"/>
  <c r="C3997" i="18"/>
  <c r="D3996" i="18"/>
  <c r="C3996" i="18"/>
  <c r="D3995" i="18"/>
  <c r="C3995" i="18"/>
  <c r="D3994" i="18"/>
  <c r="C3994" i="18"/>
  <c r="D3993" i="18"/>
  <c r="C3993" i="18"/>
  <c r="D3992" i="18"/>
  <c r="C3992" i="18"/>
  <c r="D3991" i="18"/>
  <c r="C3991" i="18"/>
  <c r="D3990" i="18"/>
  <c r="C3990" i="18"/>
  <c r="D3989" i="18"/>
  <c r="C3989" i="18"/>
  <c r="D3988" i="18"/>
  <c r="C3988" i="18"/>
  <c r="D3987" i="18"/>
  <c r="C3987" i="18"/>
  <c r="D3986" i="18"/>
  <c r="C3986" i="18"/>
  <c r="D3985" i="18"/>
  <c r="C3985" i="18"/>
  <c r="D3984" i="18"/>
  <c r="C3984" i="18"/>
  <c r="D3983" i="18"/>
  <c r="C3983" i="18"/>
  <c r="D3982" i="18"/>
  <c r="C3982" i="18"/>
  <c r="D3981" i="18"/>
  <c r="C3981" i="18"/>
  <c r="D3980" i="18"/>
  <c r="C3980" i="18"/>
  <c r="D3979" i="18"/>
  <c r="C3979" i="18"/>
  <c r="D3978" i="18"/>
  <c r="C3978" i="18"/>
  <c r="D3977" i="18"/>
  <c r="C3977" i="18"/>
  <c r="D3976" i="18"/>
  <c r="C3976" i="18"/>
  <c r="D3975" i="18"/>
  <c r="C3975" i="18"/>
  <c r="D3974" i="18"/>
  <c r="C3974" i="18"/>
  <c r="D3973" i="18"/>
  <c r="C3973" i="18"/>
  <c r="D3972" i="18"/>
  <c r="C3972" i="18"/>
  <c r="D3971" i="18"/>
  <c r="C3971" i="18"/>
  <c r="D3970" i="18"/>
  <c r="C3970" i="18"/>
  <c r="D3969" i="18"/>
  <c r="C3969" i="18"/>
  <c r="D3968" i="18"/>
  <c r="C3968" i="18"/>
  <c r="D3967" i="18"/>
  <c r="C3967" i="18"/>
  <c r="D3966" i="18"/>
  <c r="C3966" i="18"/>
  <c r="D3965" i="18"/>
  <c r="C3965" i="18"/>
  <c r="D3964" i="18"/>
  <c r="C3964" i="18"/>
  <c r="D3963" i="18"/>
  <c r="C3963" i="18"/>
  <c r="D3962" i="18"/>
  <c r="C3962" i="18"/>
  <c r="D3961" i="18"/>
  <c r="C3961" i="18"/>
  <c r="D3960" i="18"/>
  <c r="C3960" i="18"/>
  <c r="D3959" i="18"/>
  <c r="C3959" i="18"/>
  <c r="D3958" i="18"/>
  <c r="C3958" i="18"/>
  <c r="D3957" i="18"/>
  <c r="C3957" i="18"/>
  <c r="D3956" i="18"/>
  <c r="C3956" i="18"/>
  <c r="D3955" i="18"/>
  <c r="C3955" i="18"/>
  <c r="D3954" i="18"/>
  <c r="C3954" i="18"/>
  <c r="D3953" i="18"/>
  <c r="C3953" i="18"/>
  <c r="D3952" i="18"/>
  <c r="C3952" i="18"/>
  <c r="D3951" i="18"/>
  <c r="C3951" i="18"/>
  <c r="D3950" i="18"/>
  <c r="C3950" i="18"/>
  <c r="D3949" i="18"/>
  <c r="C3949" i="18"/>
  <c r="D3948" i="18"/>
  <c r="C3948" i="18"/>
  <c r="D3947" i="18"/>
  <c r="C3947" i="18"/>
  <c r="D3946" i="18"/>
  <c r="C3946" i="18"/>
  <c r="D3945" i="18"/>
  <c r="C3945" i="18"/>
  <c r="D3944" i="18"/>
  <c r="C3944" i="18"/>
  <c r="D3943" i="18"/>
  <c r="C3943" i="18"/>
  <c r="D3942" i="18"/>
  <c r="C3942" i="18"/>
  <c r="D3941" i="18"/>
  <c r="C3941" i="18"/>
  <c r="D3940" i="18"/>
  <c r="C3940" i="18"/>
  <c r="D3939" i="18"/>
  <c r="C3939" i="18"/>
  <c r="D3938" i="18"/>
  <c r="C3938" i="18"/>
  <c r="D3937" i="18"/>
  <c r="C3937" i="18"/>
  <c r="D3936" i="18"/>
  <c r="C3936" i="18"/>
  <c r="D3935" i="18"/>
  <c r="C3935" i="18"/>
  <c r="D3934" i="18"/>
  <c r="C3934" i="18"/>
  <c r="D3933" i="18"/>
  <c r="C3933" i="18"/>
  <c r="D3932" i="18"/>
  <c r="C3932" i="18"/>
  <c r="D3931" i="18"/>
  <c r="C3931" i="18"/>
  <c r="D3930" i="18"/>
  <c r="C3930" i="18"/>
  <c r="D3929" i="18"/>
  <c r="C3929" i="18"/>
  <c r="D3928" i="18"/>
  <c r="C3928" i="18"/>
  <c r="D3927" i="18"/>
  <c r="C3927" i="18"/>
  <c r="D3926" i="18"/>
  <c r="C3926" i="18"/>
  <c r="D3925" i="18"/>
  <c r="C3925" i="18"/>
  <c r="D3924" i="18"/>
  <c r="C3924" i="18"/>
  <c r="D3923" i="18"/>
  <c r="C3923" i="18"/>
  <c r="D3922" i="18"/>
  <c r="C3922" i="18"/>
  <c r="D3921" i="18"/>
  <c r="C3921" i="18"/>
  <c r="D3920" i="18"/>
  <c r="C3920" i="18"/>
  <c r="D3919" i="18"/>
  <c r="C3919" i="18"/>
  <c r="D3918" i="18"/>
  <c r="C3918" i="18"/>
  <c r="D3917" i="18"/>
  <c r="C3917" i="18"/>
  <c r="D3916" i="18"/>
  <c r="C3916" i="18"/>
  <c r="D3915" i="18"/>
  <c r="C3915" i="18"/>
  <c r="D3914" i="18"/>
  <c r="C3914" i="18"/>
  <c r="D3913" i="18"/>
  <c r="C3913" i="18"/>
  <c r="D3912" i="18"/>
  <c r="C3912" i="18"/>
  <c r="D3911" i="18"/>
  <c r="C3911" i="18"/>
  <c r="D3910" i="18"/>
  <c r="C3910" i="18"/>
  <c r="D3909" i="18"/>
  <c r="C3909" i="18"/>
  <c r="D3908" i="18"/>
  <c r="C3908" i="18"/>
  <c r="D3907" i="18"/>
  <c r="C3907" i="18"/>
  <c r="D3906" i="18"/>
  <c r="C3906" i="18"/>
  <c r="D3905" i="18"/>
  <c r="C3905" i="18"/>
  <c r="D3904" i="18"/>
  <c r="C3904" i="18"/>
  <c r="D3903" i="18"/>
  <c r="C3903" i="18"/>
  <c r="D3902" i="18"/>
  <c r="C3902" i="18"/>
  <c r="D3901" i="18"/>
  <c r="C3901" i="18"/>
  <c r="D3900" i="18"/>
  <c r="C3900" i="18"/>
  <c r="D3899" i="18"/>
  <c r="C3899" i="18"/>
  <c r="D3898" i="18"/>
  <c r="C3898" i="18"/>
  <c r="D3897" i="18"/>
  <c r="C3897" i="18"/>
  <c r="D3896" i="18"/>
  <c r="C3896" i="18"/>
  <c r="D3895" i="18"/>
  <c r="C3895" i="18"/>
  <c r="D3894" i="18"/>
  <c r="C3894" i="18"/>
  <c r="D3893" i="18"/>
  <c r="C3893" i="18"/>
  <c r="D3892" i="18"/>
  <c r="C3892" i="18"/>
  <c r="D3891" i="18"/>
  <c r="C3891" i="18"/>
  <c r="D3890" i="18"/>
  <c r="C3890" i="18"/>
  <c r="D3889" i="18"/>
  <c r="C3889" i="18"/>
  <c r="D3888" i="18"/>
  <c r="C3888" i="18"/>
  <c r="D3887" i="18"/>
  <c r="C3887" i="18"/>
  <c r="D3886" i="18"/>
  <c r="C3886" i="18"/>
  <c r="D3885" i="18"/>
  <c r="C3885" i="18"/>
  <c r="D3884" i="18"/>
  <c r="C3884" i="18"/>
  <c r="D3883" i="18"/>
  <c r="C3883" i="18"/>
  <c r="D3882" i="18"/>
  <c r="C3882" i="18"/>
  <c r="D3881" i="18"/>
  <c r="C3881" i="18"/>
  <c r="D3880" i="18"/>
  <c r="C3880" i="18"/>
  <c r="D3879" i="18"/>
  <c r="C3879" i="18"/>
  <c r="D3878" i="18"/>
  <c r="C3878" i="18"/>
  <c r="D3877" i="18"/>
  <c r="C3877" i="18"/>
  <c r="D3876" i="18"/>
  <c r="C3876" i="18"/>
  <c r="D3875" i="18"/>
  <c r="C3875" i="18"/>
  <c r="D3874" i="18"/>
  <c r="C3874" i="18"/>
  <c r="D3873" i="18"/>
  <c r="C3873" i="18"/>
  <c r="D3872" i="18"/>
  <c r="C3872" i="18"/>
  <c r="D3871" i="18"/>
  <c r="C3871" i="18"/>
  <c r="D3870" i="18"/>
  <c r="C3870" i="18"/>
  <c r="D3869" i="18"/>
  <c r="C3869" i="18"/>
  <c r="D3868" i="18"/>
  <c r="C3868" i="18"/>
  <c r="D3867" i="18"/>
  <c r="C3867" i="18"/>
  <c r="D3866" i="18"/>
  <c r="C3866" i="18"/>
  <c r="D3865" i="18"/>
  <c r="C3865" i="18"/>
  <c r="D3864" i="18"/>
  <c r="C3864" i="18"/>
  <c r="D3863" i="18"/>
  <c r="C3863" i="18"/>
  <c r="D3862" i="18"/>
  <c r="C3862" i="18"/>
  <c r="D3861" i="18"/>
  <c r="C3861" i="18"/>
  <c r="D3860" i="18"/>
  <c r="C3860" i="18"/>
  <c r="D3859" i="18"/>
  <c r="C3859" i="18"/>
  <c r="D3858" i="18"/>
  <c r="C3858" i="18"/>
  <c r="D3857" i="18"/>
  <c r="C3857" i="18"/>
  <c r="D3856" i="18"/>
  <c r="C3856" i="18"/>
  <c r="D3855" i="18"/>
  <c r="C3855" i="18"/>
  <c r="D3854" i="18"/>
  <c r="C3854" i="18"/>
  <c r="D3853" i="18"/>
  <c r="C3853" i="18"/>
  <c r="D3852" i="18"/>
  <c r="C3852" i="18"/>
  <c r="D3851" i="18"/>
  <c r="C3851" i="18"/>
  <c r="D3850" i="18"/>
  <c r="C3850" i="18"/>
  <c r="D3849" i="18"/>
  <c r="C3849" i="18"/>
  <c r="D3848" i="18"/>
  <c r="C3848" i="18"/>
  <c r="D3847" i="18"/>
  <c r="C3847" i="18"/>
  <c r="D3846" i="18"/>
  <c r="C3846" i="18"/>
  <c r="D3845" i="18"/>
  <c r="C3845" i="18"/>
  <c r="D3844" i="18"/>
  <c r="C3844" i="18"/>
  <c r="D3843" i="18"/>
  <c r="C3843" i="18"/>
  <c r="D3842" i="18"/>
  <c r="C3842" i="18"/>
  <c r="D3841" i="18"/>
  <c r="C3841" i="18"/>
  <c r="D3840" i="18"/>
  <c r="C3840" i="18"/>
  <c r="D3839" i="18"/>
  <c r="C3839" i="18"/>
  <c r="D3838" i="18"/>
  <c r="C3838" i="18"/>
  <c r="D3837" i="18"/>
  <c r="C3837" i="18"/>
  <c r="D3836" i="18"/>
  <c r="C3836" i="18"/>
  <c r="D3835" i="18"/>
  <c r="C3835" i="18"/>
  <c r="D3834" i="18"/>
  <c r="C3834" i="18"/>
  <c r="D3833" i="18"/>
  <c r="C3833" i="18"/>
  <c r="D3832" i="18"/>
  <c r="C3832" i="18"/>
  <c r="D3831" i="18"/>
  <c r="C3831" i="18"/>
  <c r="D3830" i="18"/>
  <c r="C3830" i="18"/>
  <c r="D3829" i="18"/>
  <c r="C3829" i="18"/>
  <c r="D3828" i="18"/>
  <c r="C3828" i="18"/>
  <c r="D3827" i="18"/>
  <c r="C3827" i="18"/>
  <c r="D3826" i="18"/>
  <c r="C3826" i="18"/>
  <c r="D3825" i="18"/>
  <c r="C3825" i="18"/>
  <c r="D3824" i="18"/>
  <c r="C3824" i="18"/>
  <c r="D3823" i="18"/>
  <c r="C3823" i="18"/>
  <c r="D3822" i="18"/>
  <c r="C3822" i="18"/>
  <c r="D3821" i="18"/>
  <c r="C3821" i="18"/>
  <c r="D3820" i="18"/>
  <c r="C3820" i="18"/>
  <c r="D3819" i="18"/>
  <c r="C3819" i="18"/>
  <c r="D3818" i="18"/>
  <c r="C3818" i="18"/>
  <c r="D3817" i="18"/>
  <c r="C3817" i="18"/>
  <c r="D3816" i="18"/>
  <c r="C3816" i="18"/>
  <c r="D3815" i="18"/>
  <c r="C3815" i="18"/>
  <c r="D3814" i="18"/>
  <c r="C3814" i="18"/>
  <c r="D3813" i="18"/>
  <c r="C3813" i="18"/>
  <c r="D3812" i="18"/>
  <c r="C3812" i="18"/>
  <c r="D3811" i="18"/>
  <c r="C3811" i="18"/>
  <c r="D3810" i="18"/>
  <c r="C3810" i="18"/>
  <c r="D3809" i="18"/>
  <c r="C3809" i="18"/>
  <c r="D3808" i="18"/>
  <c r="C3808" i="18"/>
  <c r="D3807" i="18"/>
  <c r="C3807" i="18"/>
  <c r="D3806" i="18"/>
  <c r="C3806" i="18"/>
  <c r="D3805" i="18"/>
  <c r="C3805" i="18"/>
  <c r="D3804" i="18"/>
  <c r="C3804" i="18"/>
  <c r="D3803" i="18"/>
  <c r="C3803" i="18"/>
  <c r="D3802" i="18"/>
  <c r="C3802" i="18"/>
  <c r="D3801" i="18"/>
  <c r="C3801" i="18"/>
  <c r="D3800" i="18"/>
  <c r="C3800" i="18"/>
  <c r="D3799" i="18"/>
  <c r="C3799" i="18"/>
  <c r="D3798" i="18"/>
  <c r="C3798" i="18"/>
  <c r="D3797" i="18"/>
  <c r="C3797" i="18"/>
  <c r="D3796" i="18"/>
  <c r="C3796" i="18"/>
  <c r="D3795" i="18"/>
  <c r="C3795" i="18"/>
  <c r="D3794" i="18"/>
  <c r="C3794" i="18"/>
  <c r="D3793" i="18"/>
  <c r="C3793" i="18"/>
  <c r="D3792" i="18"/>
  <c r="C3792" i="18"/>
  <c r="D3791" i="18"/>
  <c r="C3791" i="18"/>
  <c r="D3790" i="18"/>
  <c r="C3790" i="18"/>
  <c r="D3789" i="18"/>
  <c r="C3789" i="18"/>
  <c r="D3788" i="18"/>
  <c r="C3788" i="18"/>
  <c r="D3787" i="18"/>
  <c r="C3787" i="18"/>
  <c r="D3786" i="18"/>
  <c r="C3786" i="18"/>
  <c r="D3785" i="18"/>
  <c r="C3785" i="18"/>
  <c r="D3784" i="18"/>
  <c r="C3784" i="18"/>
  <c r="D3783" i="18"/>
  <c r="C3783" i="18"/>
  <c r="D3782" i="18"/>
  <c r="C3782" i="18"/>
  <c r="D3781" i="18"/>
  <c r="C3781" i="18"/>
  <c r="D3780" i="18"/>
  <c r="C3780" i="18"/>
  <c r="D3779" i="18"/>
  <c r="C3779" i="18"/>
  <c r="D3778" i="18"/>
  <c r="C3778" i="18"/>
  <c r="D3777" i="18"/>
  <c r="C3777" i="18"/>
  <c r="D3776" i="18"/>
  <c r="C3776" i="18"/>
  <c r="D3775" i="18"/>
  <c r="C3775" i="18"/>
  <c r="D3774" i="18"/>
  <c r="C3774" i="18"/>
  <c r="D3773" i="18"/>
  <c r="C3773" i="18"/>
  <c r="D3772" i="18"/>
  <c r="C3772" i="18"/>
  <c r="D3771" i="18"/>
  <c r="C3771" i="18"/>
  <c r="D3770" i="18"/>
  <c r="C3770" i="18"/>
  <c r="D3769" i="18"/>
  <c r="C3769" i="18"/>
  <c r="D3768" i="18"/>
  <c r="C3768" i="18"/>
  <c r="D3767" i="18"/>
  <c r="C3767" i="18"/>
  <c r="D3766" i="18"/>
  <c r="C3766" i="18"/>
  <c r="D3765" i="18"/>
  <c r="C3765" i="18"/>
  <c r="D3764" i="18"/>
  <c r="C3764" i="18"/>
  <c r="D3763" i="18"/>
  <c r="C3763" i="18"/>
  <c r="D3762" i="18"/>
  <c r="C3762" i="18"/>
  <c r="D3761" i="18"/>
  <c r="C3761" i="18"/>
  <c r="D3760" i="18"/>
  <c r="C3760" i="18"/>
  <c r="D3759" i="18"/>
  <c r="C3759" i="18"/>
  <c r="D3758" i="18"/>
  <c r="C3758" i="18"/>
  <c r="D3757" i="18"/>
  <c r="C3757" i="18"/>
  <c r="D3756" i="18"/>
  <c r="C3756" i="18"/>
  <c r="D3755" i="18"/>
  <c r="C3755" i="18"/>
  <c r="D3754" i="18"/>
  <c r="C3754" i="18"/>
  <c r="D3753" i="18"/>
  <c r="C3753" i="18"/>
  <c r="D3752" i="18"/>
  <c r="C3752" i="18"/>
  <c r="D3751" i="18"/>
  <c r="C3751" i="18"/>
  <c r="D3750" i="18"/>
  <c r="C3750" i="18"/>
  <c r="D3749" i="18"/>
  <c r="C3749" i="18"/>
  <c r="D3748" i="18"/>
  <c r="C3748" i="18"/>
  <c r="D3747" i="18"/>
  <c r="C3747" i="18"/>
  <c r="D3746" i="18"/>
  <c r="C3746" i="18"/>
  <c r="D3745" i="18"/>
  <c r="C3745" i="18"/>
  <c r="D3744" i="18"/>
  <c r="C3744" i="18"/>
  <c r="D3743" i="18"/>
  <c r="C3743" i="18"/>
  <c r="D3742" i="18"/>
  <c r="C3742" i="18"/>
  <c r="D3741" i="18"/>
  <c r="C3741" i="18"/>
  <c r="D3740" i="18"/>
  <c r="C3740" i="18"/>
  <c r="D3739" i="18"/>
  <c r="C3739" i="18"/>
  <c r="D3738" i="18"/>
  <c r="C3738" i="18"/>
  <c r="D3737" i="18"/>
  <c r="C3737" i="18"/>
  <c r="D3736" i="18"/>
  <c r="C3736" i="18"/>
  <c r="D3735" i="18"/>
  <c r="C3735" i="18"/>
  <c r="D3734" i="18"/>
  <c r="C3734" i="18"/>
  <c r="D3733" i="18"/>
  <c r="C3733" i="18"/>
  <c r="D3732" i="18"/>
  <c r="C3732" i="18"/>
  <c r="D3731" i="18"/>
  <c r="C3731" i="18"/>
  <c r="D3730" i="18"/>
  <c r="C3730" i="18"/>
  <c r="D3729" i="18"/>
  <c r="C3729" i="18"/>
  <c r="D3728" i="18"/>
  <c r="C3728" i="18"/>
  <c r="D3727" i="18"/>
  <c r="C3727" i="18"/>
  <c r="D3726" i="18"/>
  <c r="C3726" i="18"/>
  <c r="D3725" i="18"/>
  <c r="C3725" i="18"/>
  <c r="D3724" i="18"/>
  <c r="C3724" i="18"/>
  <c r="D3723" i="18"/>
  <c r="C3723" i="18"/>
  <c r="D3722" i="18"/>
  <c r="C3722" i="18"/>
  <c r="D3721" i="18"/>
  <c r="C3721" i="18"/>
  <c r="D3720" i="18"/>
  <c r="C3720" i="18"/>
  <c r="D3719" i="18"/>
  <c r="C3719" i="18"/>
  <c r="D3718" i="18"/>
  <c r="C3718" i="18"/>
  <c r="D3717" i="18"/>
  <c r="C3717" i="18"/>
  <c r="D3716" i="18"/>
  <c r="C3716" i="18"/>
  <c r="D3715" i="18"/>
  <c r="C3715" i="18"/>
  <c r="D3714" i="18"/>
  <c r="C3714" i="18"/>
  <c r="D3713" i="18"/>
  <c r="C3713" i="18"/>
  <c r="D3712" i="18"/>
  <c r="C3712" i="18"/>
  <c r="D3711" i="18"/>
  <c r="C3711" i="18"/>
  <c r="D3710" i="18"/>
  <c r="C3710" i="18"/>
  <c r="D3709" i="18"/>
  <c r="C3709" i="18"/>
  <c r="D3708" i="18"/>
  <c r="C3708" i="18"/>
  <c r="D3707" i="18"/>
  <c r="C3707" i="18"/>
  <c r="D3706" i="18"/>
  <c r="C3706" i="18"/>
  <c r="D3705" i="18"/>
  <c r="C3705" i="18"/>
  <c r="D3704" i="18"/>
  <c r="C3704" i="18"/>
  <c r="D3703" i="18"/>
  <c r="C3703" i="18"/>
  <c r="D3702" i="18"/>
  <c r="C3702" i="18"/>
  <c r="D3701" i="18"/>
  <c r="C3701" i="18"/>
  <c r="D3700" i="18"/>
  <c r="C3700" i="18"/>
  <c r="D3699" i="18"/>
  <c r="C3699" i="18"/>
  <c r="D3698" i="18"/>
  <c r="C3698" i="18"/>
  <c r="D3697" i="18"/>
  <c r="C3697" i="18"/>
  <c r="D3696" i="18"/>
  <c r="C3696" i="18"/>
  <c r="D3695" i="18"/>
  <c r="C3695" i="18"/>
  <c r="D3694" i="18"/>
  <c r="C3694" i="18"/>
  <c r="D3693" i="18"/>
  <c r="C3693" i="18"/>
  <c r="D3692" i="18"/>
  <c r="C3692" i="18"/>
  <c r="D3691" i="18"/>
  <c r="C3691" i="18"/>
  <c r="D3690" i="18"/>
  <c r="C3690" i="18"/>
  <c r="D3689" i="18"/>
  <c r="C3689" i="18"/>
  <c r="D3688" i="18"/>
  <c r="C3688" i="18"/>
  <c r="D3687" i="18"/>
  <c r="C3687" i="18"/>
  <c r="D3686" i="18"/>
  <c r="C3686" i="18"/>
  <c r="D3685" i="18"/>
  <c r="C3685" i="18"/>
  <c r="D3684" i="18"/>
  <c r="C3684" i="18"/>
  <c r="D3683" i="18"/>
  <c r="C3683" i="18"/>
  <c r="D3682" i="18"/>
  <c r="C3682" i="18"/>
  <c r="D3681" i="18"/>
  <c r="C3681" i="18"/>
  <c r="D3680" i="18"/>
  <c r="C3680" i="18"/>
  <c r="D3679" i="18"/>
  <c r="C3679" i="18"/>
  <c r="D3678" i="18"/>
  <c r="C3678" i="18"/>
  <c r="D3677" i="18"/>
  <c r="C3677" i="18"/>
  <c r="D3676" i="18"/>
  <c r="C3676" i="18"/>
  <c r="D3675" i="18"/>
  <c r="C3675" i="18"/>
  <c r="D3674" i="18"/>
  <c r="C3674" i="18"/>
  <c r="D3673" i="18"/>
  <c r="C3673" i="18"/>
  <c r="D3672" i="18"/>
  <c r="C3672" i="18"/>
  <c r="D3671" i="18"/>
  <c r="C3671" i="18"/>
  <c r="D3670" i="18"/>
  <c r="C3670" i="18"/>
  <c r="D3669" i="18"/>
  <c r="C3669" i="18"/>
  <c r="D3668" i="18"/>
  <c r="C3668" i="18"/>
  <c r="D3667" i="18"/>
  <c r="C3667" i="18"/>
  <c r="D3666" i="18"/>
  <c r="C3666" i="18"/>
  <c r="D3665" i="18"/>
  <c r="C3665" i="18"/>
  <c r="D3664" i="18"/>
  <c r="C3664" i="18"/>
  <c r="D3663" i="18"/>
  <c r="C3663" i="18"/>
  <c r="D3662" i="18"/>
  <c r="C3662" i="18"/>
  <c r="D3661" i="18"/>
  <c r="C3661" i="18"/>
  <c r="D3660" i="18"/>
  <c r="C3660" i="18"/>
  <c r="D3659" i="18"/>
  <c r="C3659" i="18"/>
  <c r="D3658" i="18"/>
  <c r="C3658" i="18"/>
  <c r="D3657" i="18"/>
  <c r="C3657" i="18"/>
  <c r="D3656" i="18"/>
  <c r="C3656" i="18"/>
  <c r="D3655" i="18"/>
  <c r="C3655" i="18"/>
  <c r="D3654" i="18"/>
  <c r="C3654" i="18"/>
  <c r="D3653" i="18"/>
  <c r="C3653" i="18"/>
  <c r="D3652" i="18"/>
  <c r="C3652" i="18"/>
  <c r="D3651" i="18"/>
  <c r="C3651" i="18"/>
  <c r="D3650" i="18"/>
  <c r="C3650" i="18"/>
  <c r="D3649" i="18"/>
  <c r="C3649" i="18"/>
  <c r="D3648" i="18"/>
  <c r="C3648" i="18"/>
  <c r="D3647" i="18"/>
  <c r="C3647" i="18"/>
  <c r="D3646" i="18"/>
  <c r="C3646" i="18"/>
  <c r="D3645" i="18"/>
  <c r="C3645" i="18"/>
  <c r="D3644" i="18"/>
  <c r="C3644" i="18"/>
  <c r="D3643" i="18"/>
  <c r="C3643" i="18"/>
  <c r="D3642" i="18"/>
  <c r="C3642" i="18"/>
  <c r="D3641" i="18"/>
  <c r="C3641" i="18"/>
  <c r="D3640" i="18"/>
  <c r="C3640" i="18"/>
  <c r="D3639" i="18"/>
  <c r="C3639" i="18"/>
  <c r="D3638" i="18"/>
  <c r="C3638" i="18"/>
  <c r="D3637" i="18"/>
  <c r="C3637" i="18"/>
  <c r="D3636" i="18"/>
  <c r="C3636" i="18"/>
  <c r="D3635" i="18"/>
  <c r="C3635" i="18"/>
  <c r="D3634" i="18"/>
  <c r="C3634" i="18"/>
  <c r="D3633" i="18"/>
  <c r="C3633" i="18"/>
  <c r="D3632" i="18"/>
  <c r="C3632" i="18"/>
  <c r="D3631" i="18"/>
  <c r="C3631" i="18"/>
  <c r="D3630" i="18"/>
  <c r="C3630" i="18"/>
  <c r="D3629" i="18"/>
  <c r="C3629" i="18"/>
  <c r="D3628" i="18"/>
  <c r="C3628" i="18"/>
  <c r="D3627" i="18"/>
  <c r="C3627" i="18"/>
  <c r="D3626" i="18"/>
  <c r="C3626" i="18"/>
  <c r="D3625" i="18"/>
  <c r="C3625" i="18"/>
  <c r="D3624" i="18"/>
  <c r="C3624" i="18"/>
  <c r="D3623" i="18"/>
  <c r="C3623" i="18"/>
  <c r="D3622" i="18"/>
  <c r="C3622" i="18"/>
  <c r="D3621" i="18"/>
  <c r="C3621" i="18"/>
  <c r="D3620" i="18"/>
  <c r="C3620" i="18"/>
  <c r="D3619" i="18"/>
  <c r="C3619" i="18"/>
  <c r="D3618" i="18"/>
  <c r="C3618" i="18"/>
  <c r="D3617" i="18"/>
  <c r="C3617" i="18"/>
  <c r="D3616" i="18"/>
  <c r="C3616" i="18"/>
  <c r="D3615" i="18"/>
  <c r="C3615" i="18"/>
  <c r="D3614" i="18"/>
  <c r="C3614" i="18"/>
  <c r="D3613" i="18"/>
  <c r="C3613" i="18"/>
  <c r="D3612" i="18"/>
  <c r="C3612" i="18"/>
  <c r="D3611" i="18"/>
  <c r="C3611" i="18"/>
  <c r="D3610" i="18"/>
  <c r="C3610" i="18"/>
  <c r="D3609" i="18"/>
  <c r="C3609" i="18"/>
  <c r="D3608" i="18"/>
  <c r="C3608" i="18"/>
  <c r="D3607" i="18"/>
  <c r="C3607" i="18"/>
  <c r="D3606" i="18"/>
  <c r="C3606" i="18"/>
  <c r="D3605" i="18"/>
  <c r="C3605" i="18"/>
  <c r="D3604" i="18"/>
  <c r="C3604" i="18"/>
  <c r="D3603" i="18"/>
  <c r="C3603" i="18"/>
  <c r="D3602" i="18"/>
  <c r="C3602" i="18"/>
  <c r="D3601" i="18"/>
  <c r="C3601" i="18"/>
  <c r="D3600" i="18"/>
  <c r="C3600" i="18"/>
  <c r="D3599" i="18"/>
  <c r="C3599" i="18"/>
  <c r="D3598" i="18"/>
  <c r="C3598" i="18"/>
  <c r="D3597" i="18"/>
  <c r="C3597" i="18"/>
  <c r="D3596" i="18"/>
  <c r="C3596" i="18"/>
  <c r="D3595" i="18"/>
  <c r="C3595" i="18"/>
  <c r="D3594" i="18"/>
  <c r="C3594" i="18"/>
  <c r="D3593" i="18"/>
  <c r="C3593" i="18"/>
  <c r="D3592" i="18"/>
  <c r="C3592" i="18"/>
  <c r="D3591" i="18"/>
  <c r="C3591" i="18"/>
  <c r="D3590" i="18"/>
  <c r="C3590" i="18"/>
  <c r="D3589" i="18"/>
  <c r="C3589" i="18"/>
  <c r="D3588" i="18"/>
  <c r="C3588" i="18"/>
  <c r="D3587" i="18"/>
  <c r="C3587" i="18"/>
  <c r="D3586" i="18"/>
  <c r="C3586" i="18"/>
  <c r="D3585" i="18"/>
  <c r="C3585" i="18"/>
  <c r="D3584" i="18"/>
  <c r="C3584" i="18"/>
  <c r="D3583" i="18"/>
  <c r="C3583" i="18"/>
  <c r="D3582" i="18"/>
  <c r="C3582" i="18"/>
  <c r="D3581" i="18"/>
  <c r="C3581" i="18"/>
  <c r="D3580" i="18"/>
  <c r="C3580" i="18"/>
  <c r="D3579" i="18"/>
  <c r="C3579" i="18"/>
  <c r="D3578" i="18"/>
  <c r="C3578" i="18"/>
  <c r="D3577" i="18"/>
  <c r="C3577" i="18"/>
  <c r="D3576" i="18"/>
  <c r="C3576" i="18"/>
  <c r="D3575" i="18"/>
  <c r="C3575" i="18"/>
  <c r="D3574" i="18"/>
  <c r="C3574" i="18"/>
  <c r="D3573" i="18"/>
  <c r="C3573" i="18"/>
  <c r="D3572" i="18"/>
  <c r="C3572" i="18"/>
  <c r="D3571" i="18"/>
  <c r="C3571" i="18"/>
  <c r="D3570" i="18"/>
  <c r="C3570" i="18"/>
  <c r="D3569" i="18"/>
  <c r="C3569" i="18"/>
  <c r="D3568" i="18"/>
  <c r="C3568" i="18"/>
  <c r="D3567" i="18"/>
  <c r="C3567" i="18"/>
  <c r="D3566" i="18"/>
  <c r="C3566" i="18"/>
  <c r="D3565" i="18"/>
  <c r="C3565" i="18"/>
  <c r="D3564" i="18"/>
  <c r="C3564" i="18"/>
  <c r="D3563" i="18"/>
  <c r="C3563" i="18"/>
  <c r="D3562" i="18"/>
  <c r="C3562" i="18"/>
  <c r="D3561" i="18"/>
  <c r="C3561" i="18"/>
  <c r="D3560" i="18"/>
  <c r="C3560" i="18"/>
  <c r="D3559" i="18"/>
  <c r="C3559" i="18"/>
  <c r="D3558" i="18"/>
  <c r="C3558" i="18"/>
  <c r="D3557" i="18"/>
  <c r="C3557" i="18"/>
  <c r="D3556" i="18"/>
  <c r="C3556" i="18"/>
  <c r="D3555" i="18"/>
  <c r="C3555" i="18"/>
  <c r="D3554" i="18"/>
  <c r="C3554" i="18"/>
  <c r="D3553" i="18"/>
  <c r="C3553" i="18"/>
  <c r="D3552" i="18"/>
  <c r="C3552" i="18"/>
  <c r="D3551" i="18"/>
  <c r="C3551" i="18"/>
  <c r="D3550" i="18"/>
  <c r="C3550" i="18"/>
  <c r="D3549" i="18"/>
  <c r="C3549" i="18"/>
  <c r="D3548" i="18"/>
  <c r="C3548" i="18"/>
  <c r="D3547" i="18"/>
  <c r="C3547" i="18"/>
  <c r="D3546" i="18"/>
  <c r="C3546" i="18"/>
  <c r="D3545" i="18"/>
  <c r="C3545" i="18"/>
  <c r="D3544" i="18"/>
  <c r="C3544" i="18"/>
  <c r="D3543" i="18"/>
  <c r="C3543" i="18"/>
  <c r="D3542" i="18"/>
  <c r="C3542" i="18"/>
  <c r="D3541" i="18"/>
  <c r="C3541" i="18"/>
  <c r="D3540" i="18"/>
  <c r="C3540" i="18"/>
  <c r="D3539" i="18"/>
  <c r="C3539" i="18"/>
  <c r="D3538" i="18"/>
  <c r="C3538" i="18"/>
  <c r="D3537" i="18"/>
  <c r="C3537" i="18"/>
  <c r="D3536" i="18"/>
  <c r="C3536" i="18"/>
  <c r="D3535" i="18"/>
  <c r="C3535" i="18"/>
  <c r="D3534" i="18"/>
  <c r="C3534" i="18"/>
  <c r="D3533" i="18"/>
  <c r="C3533" i="18"/>
  <c r="D3532" i="18"/>
  <c r="C3532" i="18"/>
  <c r="D3531" i="18"/>
  <c r="C3531" i="18"/>
  <c r="D3530" i="18"/>
  <c r="C3530" i="18"/>
  <c r="D3529" i="18"/>
  <c r="C3529" i="18"/>
  <c r="D3528" i="18"/>
  <c r="C3528" i="18"/>
  <c r="D3527" i="18"/>
  <c r="C3527" i="18"/>
  <c r="D3526" i="18"/>
  <c r="C3526" i="18"/>
  <c r="D3525" i="18"/>
  <c r="C3525" i="18"/>
  <c r="D3524" i="18"/>
  <c r="C3524" i="18"/>
  <c r="D3523" i="18"/>
  <c r="C3523" i="18"/>
  <c r="D3522" i="18"/>
  <c r="C3522" i="18"/>
  <c r="D3521" i="18"/>
  <c r="C3521" i="18"/>
  <c r="D3520" i="18"/>
  <c r="C3520" i="18"/>
  <c r="D3519" i="18"/>
  <c r="C3519" i="18"/>
  <c r="D3518" i="18"/>
  <c r="C3518" i="18"/>
  <c r="D3517" i="18"/>
  <c r="C3517" i="18"/>
  <c r="D3516" i="18"/>
  <c r="C3516" i="18"/>
  <c r="D3515" i="18"/>
  <c r="C3515" i="18"/>
  <c r="D3514" i="18"/>
  <c r="C3514" i="18"/>
  <c r="D3513" i="18"/>
  <c r="C3513" i="18"/>
  <c r="D3512" i="18"/>
  <c r="C3512" i="18"/>
  <c r="D3511" i="18"/>
  <c r="C3511" i="18"/>
  <c r="D3510" i="18"/>
  <c r="C3510" i="18"/>
  <c r="D3509" i="18"/>
  <c r="C3509" i="18"/>
  <c r="D3508" i="18"/>
  <c r="C3508" i="18"/>
  <c r="D3507" i="18"/>
  <c r="C3507" i="18"/>
  <c r="D3506" i="18"/>
  <c r="C3506" i="18"/>
  <c r="D3505" i="18"/>
  <c r="C3505" i="18"/>
  <c r="D3504" i="18"/>
  <c r="C3504" i="18"/>
  <c r="D3503" i="18"/>
  <c r="C3503" i="18"/>
  <c r="D3502" i="18"/>
  <c r="C3502" i="18"/>
  <c r="D3501" i="18"/>
  <c r="C3501" i="18"/>
  <c r="D3500" i="18"/>
  <c r="C3500" i="18"/>
  <c r="D3499" i="18"/>
  <c r="C3499" i="18"/>
  <c r="D3498" i="18"/>
  <c r="C3498" i="18"/>
  <c r="D3497" i="18"/>
  <c r="C3497" i="18"/>
  <c r="D3496" i="18"/>
  <c r="C3496" i="18"/>
  <c r="D3495" i="18"/>
  <c r="C3495" i="18"/>
  <c r="D3494" i="18"/>
  <c r="C3494" i="18"/>
  <c r="D3493" i="18"/>
  <c r="C3493" i="18"/>
  <c r="D3492" i="18"/>
  <c r="C3492" i="18"/>
  <c r="D3491" i="18"/>
  <c r="C3491" i="18"/>
  <c r="D3490" i="18"/>
  <c r="C3490" i="18"/>
  <c r="D3489" i="18"/>
  <c r="C3489" i="18"/>
  <c r="D3488" i="18"/>
  <c r="C3488" i="18"/>
  <c r="D3487" i="18"/>
  <c r="C3487" i="18"/>
  <c r="D3486" i="18"/>
  <c r="C3486" i="18"/>
  <c r="D3485" i="18"/>
  <c r="C3485" i="18"/>
  <c r="D3484" i="18"/>
  <c r="C3484" i="18"/>
  <c r="D3483" i="18"/>
  <c r="C3483" i="18"/>
  <c r="D3482" i="18"/>
  <c r="C3482" i="18"/>
  <c r="D3481" i="18"/>
  <c r="C3481" i="18"/>
  <c r="D3480" i="18"/>
  <c r="C3480" i="18"/>
  <c r="D3479" i="18"/>
  <c r="C3479" i="18"/>
  <c r="D3478" i="18"/>
  <c r="C3478" i="18"/>
  <c r="D3477" i="18"/>
  <c r="C3477" i="18"/>
  <c r="D3476" i="18"/>
  <c r="C3476" i="18"/>
  <c r="D3475" i="18"/>
  <c r="C3475" i="18"/>
  <c r="D3474" i="18"/>
  <c r="C3474" i="18"/>
  <c r="D3473" i="18"/>
  <c r="C3473" i="18"/>
  <c r="D3472" i="18"/>
  <c r="C3472" i="18"/>
  <c r="D3471" i="18"/>
  <c r="C3471" i="18"/>
  <c r="D3470" i="18"/>
  <c r="C3470" i="18"/>
  <c r="D3469" i="18"/>
  <c r="C3469" i="18"/>
  <c r="D3468" i="18"/>
  <c r="C3468" i="18"/>
  <c r="D3467" i="18"/>
  <c r="C3467" i="18"/>
  <c r="D3466" i="18"/>
  <c r="C3466" i="18"/>
  <c r="D3465" i="18"/>
  <c r="C3465" i="18"/>
  <c r="D3464" i="18"/>
  <c r="C3464" i="18"/>
  <c r="D3463" i="18"/>
  <c r="C3463" i="18"/>
  <c r="D3462" i="18"/>
  <c r="C3462" i="18"/>
  <c r="D3461" i="18"/>
  <c r="C3461" i="18"/>
  <c r="D3460" i="18"/>
  <c r="C3460" i="18"/>
  <c r="D3459" i="18"/>
  <c r="C3459" i="18"/>
  <c r="D3458" i="18"/>
  <c r="C3458" i="18"/>
  <c r="D3457" i="18"/>
  <c r="C3457" i="18"/>
  <c r="D3456" i="18"/>
  <c r="C3456" i="18"/>
  <c r="D3455" i="18"/>
  <c r="C3455" i="18"/>
  <c r="D3454" i="18"/>
  <c r="C3454" i="18"/>
  <c r="D3453" i="18"/>
  <c r="C3453" i="18"/>
  <c r="D3452" i="18"/>
  <c r="C3452" i="18"/>
  <c r="D3451" i="18"/>
  <c r="C3451" i="18"/>
  <c r="D3450" i="18"/>
  <c r="C3450" i="18"/>
  <c r="D3449" i="18"/>
  <c r="C3449" i="18"/>
  <c r="D3448" i="18"/>
  <c r="C3448" i="18"/>
  <c r="D3447" i="18"/>
  <c r="C3447" i="18"/>
  <c r="D3446" i="18"/>
  <c r="C3446" i="18"/>
  <c r="D3445" i="18"/>
  <c r="C3445" i="18"/>
  <c r="D3444" i="18"/>
  <c r="C3444" i="18"/>
  <c r="D3443" i="18"/>
  <c r="C3443" i="18"/>
  <c r="D3442" i="18"/>
  <c r="C3442" i="18"/>
  <c r="D3441" i="18"/>
  <c r="C3441" i="18"/>
  <c r="D3440" i="18"/>
  <c r="C3440" i="18"/>
  <c r="D3439" i="18"/>
  <c r="C3439" i="18"/>
  <c r="D3438" i="18"/>
  <c r="C3438" i="18"/>
  <c r="D3437" i="18"/>
  <c r="C3437" i="18"/>
  <c r="D3436" i="18"/>
  <c r="C3436" i="18"/>
  <c r="D3435" i="18"/>
  <c r="C3435" i="18"/>
  <c r="D3434" i="18"/>
  <c r="C3434" i="18"/>
  <c r="D3433" i="18"/>
  <c r="C3433" i="18"/>
  <c r="D3432" i="18"/>
  <c r="C3432" i="18"/>
  <c r="D3431" i="18"/>
  <c r="C3431" i="18"/>
  <c r="D3430" i="18"/>
  <c r="C3430" i="18"/>
  <c r="D3429" i="18"/>
  <c r="C3429" i="18"/>
  <c r="D3428" i="18"/>
  <c r="C3428" i="18"/>
  <c r="D3427" i="18"/>
  <c r="C3427" i="18"/>
  <c r="D3426" i="18"/>
  <c r="C3426" i="18"/>
  <c r="D3425" i="18"/>
  <c r="C3425" i="18"/>
  <c r="D3424" i="18"/>
  <c r="C3424" i="18"/>
  <c r="D3423" i="18"/>
  <c r="C3423" i="18"/>
  <c r="D3422" i="18"/>
  <c r="C3422" i="18"/>
  <c r="D3421" i="18"/>
  <c r="C3421" i="18"/>
  <c r="D3420" i="18"/>
  <c r="C3420" i="18"/>
  <c r="D3419" i="18"/>
  <c r="C3419" i="18"/>
  <c r="D3418" i="18"/>
  <c r="C3418" i="18"/>
  <c r="D3417" i="18"/>
  <c r="C3417" i="18"/>
  <c r="D3416" i="18"/>
  <c r="C3416" i="18"/>
  <c r="D3415" i="18"/>
  <c r="C3415" i="18"/>
  <c r="D3414" i="18"/>
  <c r="C3414" i="18"/>
  <c r="D3413" i="18"/>
  <c r="C3413" i="18"/>
  <c r="D3412" i="18"/>
  <c r="C3412" i="18"/>
  <c r="D3411" i="18"/>
  <c r="C3411" i="18"/>
  <c r="D3410" i="18"/>
  <c r="C3410" i="18"/>
  <c r="D3409" i="18"/>
  <c r="C3409" i="18"/>
  <c r="D3408" i="18"/>
  <c r="C3408" i="18"/>
  <c r="D3407" i="18"/>
  <c r="C3407" i="18"/>
  <c r="D3406" i="18"/>
  <c r="C3406" i="18"/>
  <c r="D3405" i="18"/>
  <c r="C3405" i="18"/>
  <c r="D3404" i="18"/>
  <c r="C3404" i="18"/>
  <c r="D3403" i="18"/>
  <c r="C3403" i="18"/>
  <c r="D3402" i="18"/>
  <c r="C3402" i="18"/>
  <c r="D3401" i="18"/>
  <c r="C3401" i="18"/>
  <c r="D3400" i="18"/>
  <c r="C3400" i="18"/>
  <c r="D3399" i="18"/>
  <c r="C3399" i="18"/>
  <c r="D3398" i="18"/>
  <c r="C3398" i="18"/>
  <c r="D3397" i="18"/>
  <c r="C3397" i="18"/>
  <c r="D3396" i="18"/>
  <c r="C3396" i="18"/>
  <c r="D3395" i="18"/>
  <c r="C3395" i="18"/>
  <c r="D3394" i="18"/>
  <c r="C3394" i="18"/>
  <c r="D3393" i="18"/>
  <c r="C3393" i="18"/>
  <c r="D3392" i="18"/>
  <c r="C3392" i="18"/>
  <c r="D3391" i="18"/>
  <c r="C3391" i="18"/>
  <c r="D3390" i="18"/>
  <c r="C3390" i="18"/>
  <c r="D3389" i="18"/>
  <c r="C3389" i="18"/>
  <c r="D3388" i="18"/>
  <c r="C3388" i="18"/>
  <c r="D3387" i="18"/>
  <c r="C3387" i="18"/>
  <c r="D3386" i="18"/>
  <c r="C3386" i="18"/>
  <c r="D3385" i="18"/>
  <c r="C3385" i="18"/>
  <c r="D3384" i="18"/>
  <c r="C3384" i="18"/>
  <c r="D3383" i="18"/>
  <c r="C3383" i="18"/>
  <c r="D3382" i="18"/>
  <c r="C3382" i="18"/>
  <c r="D3381" i="18"/>
  <c r="C3381" i="18"/>
  <c r="D3380" i="18"/>
  <c r="C3380" i="18"/>
  <c r="D3379" i="18"/>
  <c r="C3379" i="18"/>
  <c r="D3378" i="18"/>
  <c r="C3378" i="18"/>
  <c r="D3377" i="18"/>
  <c r="C3377" i="18"/>
  <c r="D3376" i="18"/>
  <c r="C3376" i="18"/>
  <c r="D3375" i="18"/>
  <c r="C3375" i="18"/>
  <c r="D3374" i="18"/>
  <c r="C3374" i="18"/>
  <c r="D3373" i="18"/>
  <c r="C3373" i="18"/>
  <c r="D3372" i="18"/>
  <c r="C3372" i="18"/>
  <c r="D3371" i="18"/>
  <c r="C3371" i="18"/>
  <c r="D3370" i="18"/>
  <c r="C3370" i="18"/>
  <c r="D3369" i="18"/>
  <c r="C3369" i="18"/>
  <c r="D3368" i="18"/>
  <c r="C3368" i="18"/>
  <c r="D3367" i="18"/>
  <c r="C3367" i="18"/>
  <c r="D3366" i="18"/>
  <c r="C3366" i="18"/>
  <c r="D3365" i="18"/>
  <c r="C3365" i="18"/>
  <c r="D3364" i="18"/>
  <c r="C3364" i="18"/>
  <c r="D3363" i="18"/>
  <c r="C3363" i="18"/>
  <c r="D3362" i="18"/>
  <c r="C3362" i="18"/>
  <c r="D3361" i="18"/>
  <c r="C3361" i="18"/>
  <c r="D3360" i="18"/>
  <c r="C3360" i="18"/>
  <c r="D3359" i="18"/>
  <c r="C3359" i="18"/>
  <c r="D3358" i="18"/>
  <c r="C3358" i="18"/>
  <c r="D3357" i="18"/>
  <c r="C3357" i="18"/>
  <c r="D3356" i="18"/>
  <c r="C3356" i="18"/>
  <c r="D3355" i="18"/>
  <c r="C3355" i="18"/>
  <c r="D3354" i="18"/>
  <c r="C3354" i="18"/>
  <c r="D3353" i="18"/>
  <c r="C3353" i="18"/>
  <c r="D3352" i="18"/>
  <c r="C3352" i="18"/>
  <c r="D3351" i="18"/>
  <c r="C3351" i="18"/>
  <c r="D3350" i="18"/>
  <c r="C3350" i="18"/>
  <c r="D3349" i="18"/>
  <c r="C3349" i="18"/>
  <c r="D3348" i="18"/>
  <c r="C3348" i="18"/>
  <c r="D3347" i="18"/>
  <c r="C3347" i="18"/>
  <c r="D3346" i="18"/>
  <c r="C3346" i="18"/>
  <c r="D3345" i="18"/>
  <c r="C3345" i="18"/>
  <c r="D3344" i="18"/>
  <c r="C3344" i="18"/>
  <c r="D3343" i="18"/>
  <c r="C3343" i="18"/>
  <c r="D3342" i="18"/>
  <c r="C3342" i="18"/>
  <c r="D3341" i="18"/>
  <c r="C3341" i="18"/>
  <c r="D3340" i="18"/>
  <c r="C3340" i="18"/>
  <c r="D3339" i="18"/>
  <c r="C3339" i="18"/>
  <c r="D3338" i="18"/>
  <c r="C3338" i="18"/>
  <c r="D3337" i="18"/>
  <c r="C3337" i="18"/>
  <c r="D3336" i="18"/>
  <c r="C3336" i="18"/>
  <c r="D3335" i="18"/>
  <c r="C3335" i="18"/>
  <c r="D3334" i="18"/>
  <c r="C3334" i="18"/>
  <c r="D3333" i="18"/>
  <c r="C3333" i="18"/>
  <c r="D3332" i="18"/>
  <c r="C3332" i="18"/>
  <c r="D3331" i="18"/>
  <c r="C3331" i="18"/>
  <c r="D3330" i="18"/>
  <c r="C3330" i="18"/>
  <c r="D3329" i="18"/>
  <c r="C3329" i="18"/>
  <c r="D3328" i="18"/>
  <c r="C3328" i="18"/>
  <c r="D3327" i="18"/>
  <c r="C3327" i="18"/>
  <c r="D3326" i="18"/>
  <c r="C3326" i="18"/>
  <c r="D3325" i="18"/>
  <c r="C3325" i="18"/>
  <c r="D3324" i="18"/>
  <c r="C3324" i="18"/>
  <c r="D3323" i="18"/>
  <c r="C3323" i="18"/>
  <c r="D3322" i="18"/>
  <c r="C3322" i="18"/>
  <c r="D3321" i="18"/>
  <c r="C3321" i="18"/>
  <c r="D3320" i="18"/>
  <c r="C3320" i="18"/>
  <c r="D3319" i="18"/>
  <c r="C3319" i="18"/>
  <c r="D3318" i="18"/>
  <c r="C3318" i="18"/>
  <c r="D3317" i="18"/>
  <c r="C3317" i="18"/>
  <c r="D3316" i="18"/>
  <c r="C3316" i="18"/>
  <c r="D3315" i="18"/>
  <c r="C3315" i="18"/>
  <c r="D3314" i="18"/>
  <c r="C3314" i="18"/>
  <c r="D3313" i="18"/>
  <c r="C3313" i="18"/>
  <c r="D3312" i="18"/>
  <c r="C3312" i="18"/>
  <c r="D3311" i="18"/>
  <c r="C3311" i="18"/>
  <c r="D3310" i="18"/>
  <c r="C3310" i="18"/>
  <c r="D3309" i="18"/>
  <c r="C3309" i="18"/>
  <c r="D3308" i="18"/>
  <c r="C3308" i="18"/>
  <c r="D3307" i="18"/>
  <c r="C3307" i="18"/>
  <c r="D3306" i="18"/>
  <c r="C3306" i="18"/>
  <c r="D3305" i="18"/>
  <c r="C3305" i="18"/>
  <c r="D3304" i="18"/>
  <c r="C3304" i="18"/>
  <c r="D3303" i="18"/>
  <c r="C3303" i="18"/>
  <c r="D3302" i="18"/>
  <c r="C3302" i="18"/>
  <c r="D3301" i="18"/>
  <c r="C3301" i="18"/>
  <c r="D3300" i="18"/>
  <c r="C3300" i="18"/>
  <c r="D3299" i="18"/>
  <c r="C3299" i="18"/>
  <c r="D3298" i="18"/>
  <c r="C3298" i="18"/>
  <c r="D3297" i="18"/>
  <c r="C3297" i="18"/>
  <c r="D3296" i="18"/>
  <c r="C3296" i="18"/>
  <c r="D3295" i="18"/>
  <c r="C3295" i="18"/>
  <c r="D3294" i="18"/>
  <c r="C3294" i="18"/>
  <c r="D3293" i="18"/>
  <c r="C3293" i="18"/>
  <c r="D3292" i="18"/>
  <c r="C3292" i="18"/>
  <c r="D3291" i="18"/>
  <c r="C3291" i="18"/>
  <c r="D3290" i="18"/>
  <c r="C3290" i="18"/>
  <c r="D3289" i="18"/>
  <c r="C3289" i="18"/>
  <c r="D3288" i="18"/>
  <c r="C3288" i="18"/>
  <c r="D3287" i="18"/>
  <c r="C3287" i="18"/>
  <c r="D3286" i="18"/>
  <c r="C3286" i="18"/>
  <c r="D3285" i="18"/>
  <c r="C3285" i="18"/>
  <c r="D3284" i="18"/>
  <c r="C3284" i="18"/>
  <c r="D3283" i="18"/>
  <c r="C3283" i="18"/>
  <c r="D3282" i="18"/>
  <c r="C3282" i="18"/>
  <c r="D3281" i="18"/>
  <c r="C3281" i="18"/>
  <c r="D3280" i="18"/>
  <c r="C3280" i="18"/>
  <c r="D3279" i="18"/>
  <c r="C3279" i="18"/>
  <c r="D3278" i="18"/>
  <c r="C3278" i="18"/>
  <c r="D3277" i="18"/>
  <c r="C3277" i="18"/>
  <c r="D3276" i="18"/>
  <c r="C3276" i="18"/>
  <c r="D3275" i="18"/>
  <c r="C3275" i="18"/>
  <c r="D3274" i="18"/>
  <c r="C3274" i="18"/>
  <c r="D3273" i="18"/>
  <c r="C3273" i="18"/>
  <c r="D3272" i="18"/>
  <c r="C3272" i="18"/>
  <c r="D3271" i="18"/>
  <c r="C3271" i="18"/>
  <c r="D3270" i="18"/>
  <c r="C3270" i="18"/>
  <c r="D3269" i="18"/>
  <c r="C3269" i="18"/>
  <c r="D3268" i="18"/>
  <c r="C3268" i="18"/>
  <c r="D3267" i="18"/>
  <c r="C3267" i="18"/>
  <c r="D3266" i="18"/>
  <c r="C3266" i="18"/>
  <c r="D3265" i="18"/>
  <c r="C3265" i="18"/>
  <c r="D3264" i="18"/>
  <c r="C3264" i="18"/>
  <c r="D3263" i="18"/>
  <c r="C3263" i="18"/>
  <c r="D3262" i="18"/>
  <c r="C3262" i="18"/>
  <c r="D3261" i="18"/>
  <c r="C3261" i="18"/>
  <c r="D3260" i="18"/>
  <c r="C3260" i="18"/>
  <c r="D3259" i="18"/>
  <c r="C3259" i="18"/>
  <c r="D3258" i="18"/>
  <c r="C3258" i="18"/>
  <c r="D3257" i="18"/>
  <c r="C3257" i="18"/>
  <c r="D3256" i="18"/>
  <c r="C3256" i="18"/>
  <c r="D3255" i="18"/>
  <c r="C3255" i="18"/>
  <c r="D3254" i="18"/>
  <c r="C3254" i="18"/>
  <c r="D3253" i="18"/>
  <c r="C3253" i="18"/>
  <c r="D3252" i="18"/>
  <c r="C3252" i="18"/>
  <c r="D3251" i="18"/>
  <c r="C3251" i="18"/>
  <c r="D3250" i="18"/>
  <c r="C3250" i="18"/>
  <c r="D3249" i="18"/>
  <c r="C3249" i="18"/>
  <c r="D3248" i="18"/>
  <c r="C3248" i="18"/>
  <c r="D3247" i="18"/>
  <c r="C3247" i="18"/>
  <c r="D3246" i="18"/>
  <c r="C3246" i="18"/>
  <c r="D3245" i="18"/>
  <c r="C3245" i="18"/>
  <c r="D3244" i="18"/>
  <c r="C3244" i="18"/>
  <c r="D3243" i="18"/>
  <c r="C3243" i="18"/>
  <c r="D3242" i="18"/>
  <c r="C3242" i="18"/>
  <c r="D3241" i="18"/>
  <c r="C3241" i="18"/>
  <c r="D3240" i="18"/>
  <c r="C3240" i="18"/>
  <c r="D3239" i="18"/>
  <c r="C3239" i="18"/>
  <c r="D3238" i="18"/>
  <c r="C3238" i="18"/>
  <c r="D3237" i="18"/>
  <c r="C3237" i="18"/>
  <c r="D3236" i="18"/>
  <c r="C3236" i="18"/>
  <c r="D3235" i="18"/>
  <c r="C3235" i="18"/>
  <c r="D3234" i="18"/>
  <c r="C3234" i="18"/>
  <c r="D3233" i="18"/>
  <c r="C3233" i="18"/>
  <c r="D3232" i="18"/>
  <c r="C3232" i="18"/>
  <c r="D3231" i="18"/>
  <c r="C3231" i="18"/>
  <c r="D3230" i="18"/>
  <c r="C3230" i="18"/>
  <c r="D3229" i="18"/>
  <c r="C3229" i="18"/>
  <c r="D3228" i="18"/>
  <c r="C3228" i="18"/>
  <c r="D3227" i="18"/>
  <c r="C3227" i="18"/>
  <c r="D3226" i="18"/>
  <c r="C3226" i="18"/>
  <c r="D3225" i="18"/>
  <c r="C3225" i="18"/>
  <c r="D3224" i="18"/>
  <c r="C3224" i="18"/>
  <c r="D3223" i="18"/>
  <c r="C3223" i="18"/>
  <c r="D3222" i="18"/>
  <c r="C3222" i="18"/>
  <c r="D3221" i="18"/>
  <c r="C3221" i="18"/>
  <c r="D3220" i="18"/>
  <c r="C3220" i="18"/>
  <c r="D3219" i="18"/>
  <c r="C3219" i="18"/>
  <c r="D3218" i="18"/>
  <c r="C3218" i="18"/>
  <c r="D3217" i="18"/>
  <c r="C3217" i="18"/>
  <c r="D3216" i="18"/>
  <c r="C3216" i="18"/>
  <c r="D3215" i="18"/>
  <c r="C3215" i="18"/>
  <c r="D3214" i="18"/>
  <c r="C3214" i="18"/>
  <c r="D3213" i="18"/>
  <c r="C3213" i="18"/>
  <c r="D3212" i="18"/>
  <c r="C3212" i="18"/>
  <c r="D3211" i="18"/>
  <c r="C3211" i="18"/>
  <c r="D3210" i="18"/>
  <c r="C3210" i="18"/>
  <c r="D3209" i="18"/>
  <c r="C3209" i="18"/>
  <c r="D3208" i="18"/>
  <c r="C3208" i="18"/>
  <c r="D3207" i="18"/>
  <c r="C3207" i="18"/>
  <c r="D3206" i="18"/>
  <c r="C3206" i="18"/>
  <c r="D3205" i="18"/>
  <c r="C3205" i="18"/>
  <c r="D3204" i="18"/>
  <c r="C3204" i="18"/>
  <c r="D3203" i="18"/>
  <c r="C3203" i="18"/>
  <c r="D3202" i="18"/>
  <c r="C3202" i="18"/>
  <c r="D3201" i="18"/>
  <c r="C3201" i="18"/>
  <c r="D3200" i="18"/>
  <c r="C3200" i="18"/>
  <c r="D3199" i="18"/>
  <c r="C3199" i="18"/>
  <c r="D3198" i="18"/>
  <c r="C3198" i="18"/>
  <c r="D3197" i="18"/>
  <c r="C3197" i="18"/>
  <c r="D3196" i="18"/>
  <c r="C3196" i="18"/>
  <c r="D3195" i="18"/>
  <c r="C3195" i="18"/>
  <c r="D3194" i="18"/>
  <c r="C3194" i="18"/>
  <c r="D3193" i="18"/>
  <c r="C3193" i="18"/>
  <c r="D3192" i="18"/>
  <c r="C3192" i="18"/>
  <c r="D3191" i="18"/>
  <c r="C3191" i="18"/>
  <c r="D3190" i="18"/>
  <c r="C3190" i="18"/>
  <c r="D3189" i="18"/>
  <c r="C3189" i="18"/>
  <c r="D3188" i="18"/>
  <c r="C3188" i="18"/>
  <c r="D3187" i="18"/>
  <c r="C3187" i="18"/>
  <c r="D3186" i="18"/>
  <c r="C3186" i="18"/>
  <c r="D3185" i="18"/>
  <c r="C3185" i="18"/>
  <c r="D3184" i="18"/>
  <c r="C3184" i="18"/>
  <c r="D3183" i="18"/>
  <c r="C3183" i="18"/>
  <c r="D3182" i="18"/>
  <c r="C3182" i="18"/>
  <c r="D3181" i="18"/>
  <c r="C3181" i="18"/>
  <c r="D3180" i="18"/>
  <c r="C3180" i="18"/>
  <c r="D3179" i="18"/>
  <c r="C3179" i="18"/>
  <c r="D3178" i="18"/>
  <c r="C3178" i="18"/>
  <c r="D3177" i="18"/>
  <c r="C3177" i="18"/>
  <c r="D3176" i="18"/>
  <c r="C3176" i="18"/>
  <c r="D3175" i="18"/>
  <c r="C3175" i="18"/>
  <c r="D3174" i="18"/>
  <c r="C3174" i="18"/>
  <c r="D3173" i="18"/>
  <c r="C3173" i="18"/>
  <c r="D3172" i="18"/>
  <c r="C3172" i="18"/>
  <c r="D3171" i="18"/>
  <c r="C3171" i="18"/>
  <c r="D3170" i="18"/>
  <c r="C3170" i="18"/>
  <c r="D3169" i="18"/>
  <c r="C3169" i="18"/>
  <c r="D3168" i="18"/>
  <c r="C3168" i="18"/>
  <c r="D3167" i="18"/>
  <c r="C3167" i="18"/>
  <c r="D3166" i="18"/>
  <c r="C3166" i="18"/>
  <c r="D3165" i="18"/>
  <c r="C3165" i="18"/>
  <c r="D3164" i="18"/>
  <c r="C3164" i="18"/>
  <c r="D3163" i="18"/>
  <c r="C3163" i="18"/>
  <c r="D3162" i="18"/>
  <c r="C3162" i="18"/>
  <c r="D3161" i="18"/>
  <c r="C3161" i="18"/>
  <c r="D3160" i="18"/>
  <c r="C3160" i="18"/>
  <c r="D3159" i="18"/>
  <c r="C3159" i="18"/>
  <c r="D3158" i="18"/>
  <c r="C3158" i="18"/>
  <c r="D3157" i="18"/>
  <c r="C3157" i="18"/>
  <c r="D3156" i="18"/>
  <c r="C3156" i="18"/>
  <c r="D3155" i="18"/>
  <c r="C3155" i="18"/>
  <c r="D3154" i="18"/>
  <c r="C3154" i="18"/>
  <c r="D3153" i="18"/>
  <c r="C3153" i="18"/>
  <c r="D3152" i="18"/>
  <c r="C3152" i="18"/>
  <c r="D3151" i="18"/>
  <c r="C3151" i="18"/>
  <c r="D3150" i="18"/>
  <c r="C3150" i="18"/>
  <c r="D3149" i="18"/>
  <c r="C3149" i="18"/>
  <c r="D3148" i="18"/>
  <c r="C3148" i="18"/>
  <c r="D3147" i="18"/>
  <c r="C3147" i="18"/>
  <c r="D3146" i="18"/>
  <c r="C3146" i="18"/>
  <c r="D3145" i="18"/>
  <c r="C3145" i="18"/>
  <c r="D3144" i="18"/>
  <c r="C3144" i="18"/>
  <c r="D3143" i="18"/>
  <c r="C3143" i="18"/>
  <c r="D3142" i="18"/>
  <c r="C3142" i="18"/>
  <c r="D3141" i="18"/>
  <c r="C3141" i="18"/>
  <c r="D3140" i="18"/>
  <c r="C3140" i="18"/>
  <c r="D3139" i="18"/>
  <c r="C3139" i="18"/>
  <c r="D3138" i="18"/>
  <c r="C3138" i="18"/>
  <c r="D3137" i="18"/>
  <c r="C3137" i="18"/>
  <c r="D3136" i="18"/>
  <c r="C3136" i="18"/>
  <c r="D3135" i="18"/>
  <c r="C3135" i="18"/>
  <c r="D3134" i="18"/>
  <c r="C3134" i="18"/>
  <c r="D3133" i="18"/>
  <c r="C3133" i="18"/>
  <c r="D3132" i="18"/>
  <c r="C3132" i="18"/>
  <c r="D3131" i="18"/>
  <c r="C3131" i="18"/>
  <c r="D3130" i="18"/>
  <c r="C3130" i="18"/>
  <c r="D3129" i="18"/>
  <c r="C3129" i="18"/>
  <c r="D3128" i="18"/>
  <c r="C3128" i="18"/>
  <c r="D3127" i="18"/>
  <c r="C3127" i="18"/>
  <c r="D3126" i="18"/>
  <c r="C3126" i="18"/>
  <c r="D3125" i="18"/>
  <c r="C3125" i="18"/>
  <c r="D3124" i="18"/>
  <c r="C3124" i="18"/>
  <c r="D3123" i="18"/>
  <c r="C3123" i="18"/>
  <c r="D3122" i="18"/>
  <c r="C3122" i="18"/>
  <c r="D3121" i="18"/>
  <c r="C3121" i="18"/>
  <c r="D3120" i="18"/>
  <c r="C3120" i="18"/>
  <c r="D3119" i="18"/>
  <c r="C3119" i="18"/>
  <c r="D3118" i="18"/>
  <c r="C3118" i="18"/>
  <c r="D3117" i="18"/>
  <c r="C3117" i="18"/>
  <c r="D3116" i="18"/>
  <c r="C3116" i="18"/>
  <c r="D3115" i="18"/>
  <c r="C3115" i="18"/>
  <c r="D3114" i="18"/>
  <c r="C3114" i="18"/>
  <c r="D3113" i="18"/>
  <c r="C3113" i="18"/>
  <c r="D3112" i="18"/>
  <c r="C3112" i="18"/>
  <c r="D3111" i="18"/>
  <c r="C3111" i="18"/>
  <c r="D3110" i="18"/>
  <c r="C3110" i="18"/>
  <c r="D3109" i="18"/>
  <c r="C3109" i="18"/>
  <c r="D3108" i="18"/>
  <c r="C3108" i="18"/>
  <c r="D3107" i="18"/>
  <c r="C3107" i="18"/>
  <c r="D3106" i="18"/>
  <c r="C3106" i="18"/>
  <c r="D3105" i="18"/>
  <c r="C3105" i="18"/>
  <c r="D3104" i="18"/>
  <c r="C3104" i="18"/>
  <c r="D3103" i="18"/>
  <c r="C3103" i="18"/>
  <c r="D3102" i="18"/>
  <c r="C3102" i="18"/>
  <c r="D3101" i="18"/>
  <c r="C3101" i="18"/>
  <c r="D3100" i="18"/>
  <c r="C3100" i="18"/>
  <c r="D3099" i="18"/>
  <c r="C3099" i="18"/>
  <c r="D3098" i="18"/>
  <c r="C3098" i="18"/>
  <c r="D3097" i="18"/>
  <c r="C3097" i="18"/>
  <c r="D3096" i="18"/>
  <c r="C3096" i="18"/>
  <c r="D3095" i="18"/>
  <c r="C3095" i="18"/>
  <c r="D3094" i="18"/>
  <c r="C3094" i="18"/>
  <c r="D3093" i="18"/>
  <c r="C3093" i="18"/>
  <c r="D3092" i="18"/>
  <c r="C3092" i="18"/>
  <c r="D3091" i="18"/>
  <c r="C3091" i="18"/>
  <c r="D3090" i="18"/>
  <c r="C3090" i="18"/>
  <c r="D3089" i="18"/>
  <c r="C3089" i="18"/>
  <c r="D3088" i="18"/>
  <c r="C3088" i="18"/>
  <c r="D3087" i="18"/>
  <c r="C3087" i="18"/>
  <c r="D3086" i="18"/>
  <c r="C3086" i="18"/>
  <c r="D3085" i="18"/>
  <c r="C3085" i="18"/>
  <c r="D3084" i="18"/>
  <c r="C3084" i="18"/>
  <c r="D3083" i="18"/>
  <c r="C3083" i="18"/>
  <c r="D3082" i="18"/>
  <c r="C3082" i="18"/>
  <c r="D3081" i="18"/>
  <c r="C3081" i="18"/>
  <c r="D3080" i="18"/>
  <c r="C3080" i="18"/>
  <c r="D3079" i="18"/>
  <c r="C3079" i="18"/>
  <c r="D3078" i="18"/>
  <c r="C3078" i="18"/>
  <c r="D3077" i="18"/>
  <c r="C3077" i="18"/>
  <c r="D3076" i="18"/>
  <c r="C3076" i="18"/>
  <c r="D3075" i="18"/>
  <c r="C3075" i="18"/>
  <c r="D3074" i="18"/>
  <c r="C3074" i="18"/>
  <c r="D3073" i="18"/>
  <c r="C3073" i="18"/>
  <c r="D3072" i="18"/>
  <c r="C3072" i="18"/>
  <c r="D3071" i="18"/>
  <c r="C3071" i="18"/>
  <c r="D3070" i="18"/>
  <c r="C3070" i="18"/>
  <c r="D3069" i="18"/>
  <c r="C3069" i="18"/>
  <c r="D3068" i="18"/>
  <c r="C3068" i="18"/>
  <c r="D3067" i="18"/>
  <c r="C3067" i="18"/>
  <c r="D3066" i="18"/>
  <c r="C3066" i="18"/>
  <c r="D3065" i="18"/>
  <c r="C3065" i="18"/>
  <c r="D3064" i="18"/>
  <c r="C3064" i="18"/>
  <c r="D3063" i="18"/>
  <c r="C3063" i="18"/>
  <c r="D3062" i="18"/>
  <c r="C3062" i="18"/>
  <c r="D3061" i="18"/>
  <c r="C3061" i="18"/>
  <c r="D3060" i="18"/>
  <c r="C3060" i="18"/>
  <c r="D3059" i="18"/>
  <c r="C3059" i="18"/>
  <c r="D3058" i="18"/>
  <c r="C3058" i="18"/>
  <c r="D3057" i="18"/>
  <c r="C3057" i="18"/>
  <c r="D3056" i="18"/>
  <c r="C3056" i="18"/>
  <c r="D3055" i="18"/>
  <c r="C3055" i="18"/>
  <c r="D3054" i="18"/>
  <c r="C3054" i="18"/>
  <c r="D3053" i="18"/>
  <c r="C3053" i="18"/>
  <c r="D3052" i="18"/>
  <c r="C3052" i="18"/>
  <c r="D3051" i="18"/>
  <c r="C3051" i="18"/>
  <c r="D3050" i="18"/>
  <c r="C3050" i="18"/>
  <c r="D3049" i="18"/>
  <c r="C3049" i="18"/>
  <c r="D3048" i="18"/>
  <c r="C3048" i="18"/>
  <c r="D3047" i="18"/>
  <c r="C3047" i="18"/>
  <c r="D3046" i="18"/>
  <c r="C3046" i="18"/>
  <c r="D3045" i="18"/>
  <c r="C3045" i="18"/>
  <c r="D3044" i="18"/>
  <c r="C3044" i="18"/>
  <c r="D3043" i="18"/>
  <c r="C3043" i="18"/>
  <c r="D3042" i="18"/>
  <c r="C3042" i="18"/>
  <c r="D3041" i="18"/>
  <c r="C3041" i="18"/>
  <c r="D3040" i="18"/>
  <c r="C3040" i="18"/>
  <c r="D3039" i="18"/>
  <c r="C3039" i="18"/>
  <c r="D3038" i="18"/>
  <c r="C3038" i="18"/>
  <c r="D3037" i="18"/>
  <c r="C3037" i="18"/>
  <c r="D3036" i="18"/>
  <c r="C3036" i="18"/>
  <c r="D3035" i="18"/>
  <c r="C3035" i="18"/>
  <c r="D3034" i="18"/>
  <c r="C3034" i="18"/>
  <c r="D3033" i="18"/>
  <c r="C3033" i="18"/>
  <c r="D3032" i="18"/>
  <c r="C3032" i="18"/>
  <c r="D3031" i="18"/>
  <c r="C3031" i="18"/>
  <c r="D3030" i="18"/>
  <c r="C3030" i="18"/>
  <c r="D3029" i="18"/>
  <c r="C3029" i="18"/>
  <c r="D3028" i="18"/>
  <c r="C3028" i="18"/>
  <c r="D3027" i="18"/>
  <c r="C3027" i="18"/>
  <c r="D3026" i="18"/>
  <c r="C3026" i="18"/>
  <c r="D3025" i="18"/>
  <c r="C3025" i="18"/>
  <c r="D3024" i="18"/>
  <c r="C3024" i="18"/>
  <c r="D3023" i="18"/>
  <c r="C3023" i="18"/>
  <c r="D3022" i="18"/>
  <c r="C3022" i="18"/>
  <c r="D3021" i="18"/>
  <c r="C3021" i="18"/>
  <c r="D3020" i="18"/>
  <c r="C3020" i="18"/>
  <c r="D3019" i="18"/>
  <c r="C3019" i="18"/>
  <c r="D3018" i="18"/>
  <c r="C3018" i="18"/>
  <c r="D3017" i="18"/>
  <c r="C3017" i="18"/>
  <c r="D3016" i="18"/>
  <c r="C3016" i="18"/>
  <c r="D3015" i="18"/>
  <c r="C3015" i="18"/>
  <c r="D3014" i="18"/>
  <c r="C3014" i="18"/>
  <c r="D3013" i="18"/>
  <c r="C3013" i="18"/>
  <c r="D3012" i="18"/>
  <c r="C3012" i="18"/>
  <c r="D3011" i="18"/>
  <c r="C3011" i="18"/>
  <c r="D3010" i="18"/>
  <c r="C3010" i="18"/>
  <c r="D3009" i="18"/>
  <c r="C3009" i="18"/>
  <c r="D3008" i="18"/>
  <c r="C3008" i="18"/>
  <c r="D3007" i="18"/>
  <c r="C3007" i="18"/>
  <c r="D3006" i="18"/>
  <c r="C3006" i="18"/>
  <c r="D3005" i="18"/>
  <c r="C3005" i="18"/>
  <c r="D3004" i="18"/>
  <c r="C3004" i="18"/>
  <c r="D3003" i="18"/>
  <c r="C3003" i="18"/>
  <c r="D3002" i="18"/>
  <c r="C3002" i="18"/>
  <c r="D3001" i="18"/>
  <c r="C3001" i="18"/>
  <c r="D3000" i="18"/>
  <c r="C3000" i="18"/>
  <c r="D2999" i="18"/>
  <c r="C2999" i="18"/>
  <c r="D2998" i="18"/>
  <c r="C2998" i="18"/>
  <c r="D2997" i="18"/>
  <c r="C2997" i="18"/>
  <c r="D2996" i="18"/>
  <c r="C2996" i="18"/>
  <c r="D2995" i="18"/>
  <c r="C2995" i="18"/>
  <c r="D2994" i="18"/>
  <c r="C2994" i="18"/>
  <c r="D2993" i="18"/>
  <c r="C2993" i="18"/>
  <c r="D2992" i="18"/>
  <c r="C2992" i="18"/>
  <c r="D2991" i="18"/>
  <c r="C2991" i="18"/>
  <c r="D2990" i="18"/>
  <c r="C2990" i="18"/>
  <c r="D2989" i="18"/>
  <c r="C2989" i="18"/>
  <c r="D2988" i="18"/>
  <c r="C2988" i="18"/>
  <c r="D2987" i="18"/>
  <c r="C2987" i="18"/>
  <c r="D2986" i="18"/>
  <c r="C2986" i="18"/>
  <c r="D2985" i="18"/>
  <c r="C2985" i="18"/>
  <c r="D2984" i="18"/>
  <c r="C2984" i="18"/>
  <c r="D2983" i="18"/>
  <c r="C2983" i="18"/>
  <c r="D2982" i="18"/>
  <c r="C2982" i="18"/>
  <c r="D2981" i="18"/>
  <c r="C2981" i="18"/>
  <c r="D2980" i="18"/>
  <c r="C2980" i="18"/>
  <c r="D2979" i="18"/>
  <c r="C2979" i="18"/>
  <c r="D2978" i="18"/>
  <c r="C2978" i="18"/>
  <c r="D2977" i="18"/>
  <c r="C2977" i="18"/>
  <c r="D2976" i="18"/>
  <c r="C2976" i="18"/>
  <c r="D2975" i="18"/>
  <c r="C2975" i="18"/>
  <c r="D2974" i="18"/>
  <c r="C2974" i="18"/>
  <c r="D2973" i="18"/>
  <c r="C2973" i="18"/>
  <c r="D2972" i="18"/>
  <c r="C2972" i="18"/>
  <c r="D2971" i="18"/>
  <c r="C2971" i="18"/>
  <c r="D2970" i="18"/>
  <c r="C2970" i="18"/>
  <c r="D2969" i="18"/>
  <c r="C2969" i="18"/>
  <c r="D2968" i="18"/>
  <c r="C2968" i="18"/>
  <c r="D2967" i="18"/>
  <c r="C2967" i="18"/>
  <c r="D2966" i="18"/>
  <c r="C2966" i="18"/>
  <c r="D2965" i="18"/>
  <c r="C2965" i="18"/>
  <c r="D2964" i="18"/>
  <c r="C2964" i="18"/>
  <c r="D2963" i="18"/>
  <c r="C2963" i="18"/>
  <c r="D2962" i="18"/>
  <c r="C2962" i="18"/>
  <c r="D2961" i="18"/>
  <c r="C2961" i="18"/>
  <c r="D2960" i="18"/>
  <c r="C2960" i="18"/>
  <c r="D2959" i="18"/>
  <c r="C2959" i="18"/>
  <c r="D2958" i="18"/>
  <c r="C2958" i="18"/>
  <c r="D2957" i="18"/>
  <c r="C2957" i="18"/>
  <c r="D2956" i="18"/>
  <c r="C2956" i="18"/>
  <c r="D2955" i="18"/>
  <c r="C2955" i="18"/>
  <c r="D2954" i="18"/>
  <c r="C2954" i="18"/>
  <c r="D2953" i="18"/>
  <c r="C2953" i="18"/>
  <c r="D2952" i="18"/>
  <c r="C2952" i="18"/>
  <c r="D2951" i="18"/>
  <c r="C2951" i="18"/>
  <c r="D2950" i="18"/>
  <c r="C2950" i="18"/>
  <c r="D2949" i="18"/>
  <c r="C2949" i="18"/>
  <c r="D2948" i="18"/>
  <c r="C2948" i="18"/>
  <c r="D2947" i="18"/>
  <c r="C2947" i="18"/>
  <c r="D2946" i="18"/>
  <c r="C2946" i="18"/>
  <c r="D2945" i="18"/>
  <c r="C2945" i="18"/>
  <c r="D2944" i="18"/>
  <c r="C2944" i="18"/>
  <c r="D2943" i="18"/>
  <c r="C2943" i="18"/>
  <c r="D2942" i="18"/>
  <c r="C2942" i="18"/>
  <c r="D2941" i="18"/>
  <c r="C2941" i="18"/>
  <c r="D2940" i="18"/>
  <c r="C2940" i="18"/>
  <c r="D2939" i="18"/>
  <c r="C2939" i="18"/>
  <c r="D2938" i="18"/>
  <c r="C2938" i="18"/>
  <c r="D2937" i="18"/>
  <c r="C2937" i="18"/>
  <c r="D2936" i="18"/>
  <c r="C2936" i="18"/>
  <c r="D2935" i="18"/>
  <c r="C2935" i="18"/>
  <c r="D2934" i="18"/>
  <c r="C2934" i="18"/>
  <c r="D2933" i="18"/>
  <c r="C2933" i="18"/>
  <c r="D2932" i="18"/>
  <c r="C2932" i="18"/>
  <c r="D2931" i="18"/>
  <c r="C2931" i="18"/>
  <c r="D2930" i="18"/>
  <c r="C2930" i="18"/>
  <c r="D2929" i="18"/>
  <c r="C2929" i="18"/>
  <c r="D2928" i="18"/>
  <c r="C2928" i="18"/>
  <c r="D2927" i="18"/>
  <c r="C2927" i="18"/>
  <c r="D2926" i="18"/>
  <c r="C2926" i="18"/>
  <c r="D2925" i="18"/>
  <c r="C2925" i="18"/>
  <c r="D2924" i="18"/>
  <c r="C2924" i="18"/>
  <c r="D2923" i="18"/>
  <c r="C2923" i="18"/>
  <c r="D2922" i="18"/>
  <c r="C2922" i="18"/>
  <c r="D2921" i="18"/>
  <c r="C2921" i="18"/>
  <c r="D2920" i="18"/>
  <c r="C2920" i="18"/>
  <c r="D2919" i="18"/>
  <c r="C2919" i="18"/>
  <c r="D2918" i="18"/>
  <c r="C2918" i="18"/>
  <c r="D2917" i="18"/>
  <c r="C2917" i="18"/>
  <c r="D2916" i="18"/>
  <c r="C2916" i="18"/>
  <c r="D2915" i="18"/>
  <c r="C2915" i="18"/>
  <c r="D2914" i="18"/>
  <c r="C2914" i="18"/>
  <c r="D2913" i="18"/>
  <c r="C2913" i="18"/>
  <c r="D2912" i="18"/>
  <c r="C2912" i="18"/>
  <c r="D2911" i="18"/>
  <c r="C2911" i="18"/>
  <c r="D2910" i="18"/>
  <c r="C2910" i="18"/>
  <c r="D2909" i="18"/>
  <c r="C2909" i="18"/>
  <c r="D2908" i="18"/>
  <c r="C2908" i="18"/>
  <c r="D2907" i="18"/>
  <c r="C2907" i="18"/>
  <c r="D2906" i="18"/>
  <c r="C2906" i="18"/>
  <c r="D2905" i="18"/>
  <c r="C2905" i="18"/>
  <c r="D2904" i="18"/>
  <c r="C2904" i="18"/>
  <c r="D2903" i="18"/>
  <c r="C2903" i="18"/>
  <c r="D2902" i="18"/>
  <c r="C2902" i="18"/>
  <c r="D2901" i="18"/>
  <c r="C2901" i="18"/>
  <c r="D2900" i="18"/>
  <c r="C2900" i="18"/>
  <c r="D2899" i="18"/>
  <c r="C2899" i="18"/>
  <c r="D2898" i="18"/>
  <c r="C2898" i="18"/>
  <c r="D2897" i="18"/>
  <c r="C2897" i="18"/>
  <c r="D2896" i="18"/>
  <c r="C2896" i="18"/>
  <c r="D2895" i="18"/>
  <c r="C2895" i="18"/>
  <c r="D2894" i="18"/>
  <c r="C2894" i="18"/>
  <c r="D2893" i="18"/>
  <c r="C2893" i="18"/>
  <c r="D2892" i="18"/>
  <c r="C2892" i="18"/>
  <c r="D2891" i="18"/>
  <c r="C2891" i="18"/>
  <c r="D2890" i="18"/>
  <c r="C2890" i="18"/>
  <c r="D2889" i="18"/>
  <c r="C2889" i="18"/>
  <c r="D2888" i="18"/>
  <c r="C2888" i="18"/>
  <c r="D2887" i="18"/>
  <c r="C2887" i="18"/>
  <c r="D2886" i="18"/>
  <c r="C2886" i="18"/>
  <c r="D2885" i="18"/>
  <c r="C2885" i="18"/>
  <c r="D2884" i="18"/>
  <c r="C2884" i="18"/>
  <c r="D2883" i="18"/>
  <c r="C2883" i="18"/>
  <c r="D2882" i="18"/>
  <c r="C2882" i="18"/>
  <c r="D2881" i="18"/>
  <c r="C2881" i="18"/>
  <c r="D2880" i="18"/>
  <c r="C2880" i="18"/>
  <c r="D2879" i="18"/>
  <c r="C2879" i="18"/>
  <c r="D2878" i="18"/>
  <c r="C2878" i="18"/>
  <c r="D2877" i="18"/>
  <c r="C2877" i="18"/>
  <c r="D2876" i="18"/>
  <c r="C2876" i="18"/>
  <c r="D2875" i="18"/>
  <c r="C2875" i="18"/>
  <c r="D2874" i="18"/>
  <c r="C2874" i="18"/>
  <c r="D2873" i="18"/>
  <c r="C2873" i="18"/>
  <c r="D2872" i="18"/>
  <c r="C2872" i="18"/>
  <c r="D2871" i="18"/>
  <c r="C2871" i="18"/>
  <c r="D2870" i="18"/>
  <c r="C2870" i="18"/>
  <c r="D2869" i="18"/>
  <c r="C2869" i="18"/>
  <c r="D2868" i="18"/>
  <c r="C2868" i="18"/>
  <c r="D2867" i="18"/>
  <c r="C2867" i="18"/>
  <c r="D2866" i="18"/>
  <c r="C2866" i="18"/>
  <c r="D2865" i="18"/>
  <c r="C2865" i="18"/>
  <c r="D2864" i="18"/>
  <c r="C2864" i="18"/>
  <c r="D2863" i="18"/>
  <c r="C2863" i="18"/>
  <c r="D2862" i="18"/>
  <c r="C2862" i="18"/>
  <c r="D2861" i="18"/>
  <c r="C2861" i="18"/>
  <c r="D2860" i="18"/>
  <c r="C2860" i="18"/>
  <c r="D2859" i="18"/>
  <c r="C2859" i="18"/>
  <c r="D2858" i="18"/>
  <c r="C2858" i="18"/>
  <c r="D2857" i="18"/>
  <c r="C2857" i="18"/>
  <c r="D2856" i="18"/>
  <c r="C2856" i="18"/>
  <c r="D2855" i="18"/>
  <c r="C2855" i="18"/>
  <c r="D2854" i="18"/>
  <c r="C2854" i="18"/>
  <c r="D2853" i="18"/>
  <c r="C2853" i="18"/>
  <c r="D2852" i="18"/>
  <c r="C2852" i="18"/>
  <c r="D2851" i="18"/>
  <c r="C2851" i="18"/>
  <c r="D2850" i="18"/>
  <c r="C2850" i="18"/>
  <c r="D2849" i="18"/>
  <c r="C2849" i="18"/>
  <c r="D2848" i="18"/>
  <c r="C2848" i="18"/>
  <c r="D2847" i="18"/>
  <c r="C2847" i="18"/>
  <c r="D2846" i="18"/>
  <c r="C2846" i="18"/>
  <c r="D2845" i="18"/>
  <c r="C2845" i="18"/>
  <c r="D2844" i="18"/>
  <c r="C2844" i="18"/>
  <c r="D2843" i="18"/>
  <c r="C2843" i="18"/>
  <c r="D2842" i="18"/>
  <c r="C2842" i="18"/>
  <c r="D2841" i="18"/>
  <c r="C2841" i="18"/>
  <c r="D2840" i="18"/>
  <c r="C2840" i="18"/>
  <c r="D2839" i="18"/>
  <c r="C2839" i="18"/>
  <c r="D2838" i="18"/>
  <c r="C2838" i="18"/>
  <c r="D2837" i="18"/>
  <c r="C2837" i="18"/>
  <c r="D2836" i="18"/>
  <c r="C2836" i="18"/>
  <c r="D2835" i="18"/>
  <c r="C2835" i="18"/>
  <c r="D2834" i="18"/>
  <c r="C2834" i="18"/>
  <c r="D2833" i="18"/>
  <c r="C2833" i="18"/>
  <c r="D2832" i="18"/>
  <c r="C2832" i="18"/>
  <c r="D2831" i="18"/>
  <c r="C2831" i="18"/>
  <c r="D2830" i="18"/>
  <c r="C2830" i="18"/>
  <c r="D2829" i="18"/>
  <c r="C2829" i="18"/>
  <c r="D2828" i="18"/>
  <c r="C2828" i="18"/>
  <c r="D2827" i="18"/>
  <c r="C2827" i="18"/>
  <c r="D2826" i="18"/>
  <c r="C2826" i="18"/>
  <c r="D2825" i="18"/>
  <c r="C2825" i="18"/>
  <c r="D2824" i="18"/>
  <c r="C2824" i="18"/>
  <c r="D2823" i="18"/>
  <c r="C2823" i="18"/>
  <c r="D2822" i="18"/>
  <c r="C2822" i="18"/>
  <c r="D2821" i="18"/>
  <c r="C2821" i="18"/>
  <c r="D2820" i="18"/>
  <c r="C2820" i="18"/>
  <c r="D2819" i="18"/>
  <c r="C2819" i="18"/>
  <c r="D2818" i="18"/>
  <c r="C2818" i="18"/>
  <c r="D2817" i="18"/>
  <c r="C2817" i="18"/>
  <c r="D2816" i="18"/>
  <c r="C2816" i="18"/>
  <c r="D2815" i="18"/>
  <c r="C2815" i="18"/>
  <c r="D2814" i="18"/>
  <c r="C2814" i="18"/>
  <c r="D2813" i="18"/>
  <c r="C2813" i="18"/>
  <c r="D2812" i="18"/>
  <c r="C2812" i="18"/>
  <c r="D2811" i="18"/>
  <c r="C2811" i="18"/>
  <c r="D2810" i="18"/>
  <c r="C2810" i="18"/>
  <c r="D2809" i="18"/>
  <c r="C2809" i="18"/>
  <c r="D2808" i="18"/>
  <c r="C2808" i="18"/>
  <c r="D2807" i="18"/>
  <c r="C2807" i="18"/>
  <c r="D2806" i="18"/>
  <c r="C2806" i="18"/>
  <c r="D2805" i="18"/>
  <c r="C2805" i="18"/>
  <c r="D2804" i="18"/>
  <c r="C2804" i="18"/>
  <c r="D2803" i="18"/>
  <c r="C2803" i="18"/>
  <c r="D2802" i="18"/>
  <c r="C2802" i="18"/>
  <c r="D2801" i="18"/>
  <c r="C2801" i="18"/>
  <c r="D2800" i="18"/>
  <c r="C2800" i="18"/>
  <c r="D2799" i="18"/>
  <c r="C2799" i="18"/>
  <c r="D2798" i="18"/>
  <c r="C2798" i="18"/>
  <c r="D2797" i="18"/>
  <c r="C2797" i="18"/>
  <c r="D2796" i="18"/>
  <c r="C2796" i="18"/>
  <c r="D2795" i="18"/>
  <c r="C2795" i="18"/>
  <c r="D2794" i="18"/>
  <c r="C2794" i="18"/>
  <c r="D2793" i="18"/>
  <c r="C2793" i="18"/>
  <c r="D2792" i="18"/>
  <c r="C2792" i="18"/>
  <c r="D2791" i="18"/>
  <c r="C2791" i="18"/>
  <c r="D2790" i="18"/>
  <c r="C2790" i="18"/>
  <c r="D2789" i="18"/>
  <c r="C2789" i="18"/>
  <c r="D2788" i="18"/>
  <c r="C2788" i="18"/>
  <c r="D2787" i="18"/>
  <c r="C2787" i="18"/>
  <c r="D2786" i="18"/>
  <c r="C2786" i="18"/>
  <c r="D2785" i="18"/>
  <c r="C2785" i="18"/>
  <c r="D2784" i="18"/>
  <c r="C2784" i="18"/>
  <c r="D2783" i="18"/>
  <c r="C2783" i="18"/>
  <c r="D2782" i="18"/>
  <c r="C2782" i="18"/>
  <c r="D2781" i="18"/>
  <c r="C2781" i="18"/>
  <c r="D2780" i="18"/>
  <c r="C2780" i="18"/>
  <c r="D2779" i="18"/>
  <c r="C2779" i="18"/>
  <c r="D2778" i="18"/>
  <c r="C2778" i="18"/>
  <c r="D2777" i="18"/>
  <c r="C2777" i="18"/>
  <c r="D2776" i="18"/>
  <c r="C2776" i="18"/>
  <c r="D2775" i="18"/>
  <c r="C2775" i="18"/>
  <c r="D2774" i="18"/>
  <c r="C2774" i="18"/>
  <c r="D2773" i="18"/>
  <c r="C2773" i="18"/>
  <c r="D2772" i="18"/>
  <c r="C2772" i="18"/>
  <c r="D2771" i="18"/>
  <c r="C2771" i="18"/>
  <c r="D2770" i="18"/>
  <c r="C2770" i="18"/>
  <c r="D2769" i="18"/>
  <c r="C2769" i="18"/>
  <c r="D2768" i="18"/>
  <c r="C2768" i="18"/>
  <c r="D2767" i="18"/>
  <c r="C2767" i="18"/>
  <c r="D2766" i="18"/>
  <c r="C2766" i="18"/>
  <c r="D2765" i="18"/>
  <c r="C2765" i="18"/>
  <c r="D2764" i="18"/>
  <c r="C2764" i="18"/>
  <c r="D2763" i="18"/>
  <c r="C2763" i="18"/>
  <c r="D2762" i="18"/>
  <c r="C2762" i="18"/>
  <c r="D2761" i="18"/>
  <c r="C2761" i="18"/>
  <c r="D2760" i="18"/>
  <c r="C2760" i="18"/>
  <c r="D2759" i="18"/>
  <c r="C2759" i="18"/>
  <c r="D2758" i="18"/>
  <c r="C2758" i="18"/>
  <c r="D2757" i="18"/>
  <c r="C2757" i="18"/>
  <c r="D2756" i="18"/>
  <c r="C2756" i="18"/>
  <c r="D2755" i="18"/>
  <c r="C2755" i="18"/>
  <c r="D2754" i="18"/>
  <c r="C2754" i="18"/>
  <c r="D2753" i="18"/>
  <c r="C2753" i="18"/>
  <c r="D2752" i="18"/>
  <c r="C2752" i="18"/>
  <c r="D2751" i="18"/>
  <c r="C2751" i="18"/>
  <c r="D2750" i="18"/>
  <c r="C2750" i="18"/>
  <c r="D2749" i="18"/>
  <c r="C2749" i="18"/>
  <c r="D2748" i="18"/>
  <c r="C2748" i="18"/>
  <c r="D2747" i="18"/>
  <c r="C2747" i="18"/>
  <c r="D2746" i="18"/>
  <c r="C2746" i="18"/>
  <c r="D2745" i="18"/>
  <c r="C2745" i="18"/>
  <c r="D2744" i="18"/>
  <c r="C2744" i="18"/>
  <c r="D2743" i="18"/>
  <c r="C2743" i="18"/>
  <c r="D2742" i="18"/>
  <c r="C2742" i="18"/>
  <c r="D2741" i="18"/>
  <c r="C2741" i="18"/>
  <c r="D2740" i="18"/>
  <c r="C2740" i="18"/>
  <c r="D2739" i="18"/>
  <c r="C2739" i="18"/>
  <c r="D2738" i="18"/>
  <c r="C2738" i="18"/>
  <c r="D2737" i="18"/>
  <c r="C2737" i="18"/>
  <c r="D2736" i="18"/>
  <c r="C2736" i="18"/>
  <c r="D2735" i="18"/>
  <c r="C2735" i="18"/>
  <c r="D2734" i="18"/>
  <c r="C2734" i="18"/>
  <c r="D2733" i="18"/>
  <c r="C2733" i="18"/>
  <c r="D2732" i="18"/>
  <c r="C2732" i="18"/>
  <c r="D2731" i="18"/>
  <c r="C2731" i="18"/>
  <c r="D2730" i="18"/>
  <c r="C2730" i="18"/>
  <c r="D2729" i="18"/>
  <c r="C2729" i="18"/>
  <c r="D2728" i="18"/>
  <c r="C2728" i="18"/>
  <c r="D2727" i="18"/>
  <c r="C2727" i="18"/>
  <c r="D2726" i="18"/>
  <c r="C2726" i="18"/>
  <c r="D2725" i="18"/>
  <c r="C2725" i="18"/>
  <c r="D2724" i="18"/>
  <c r="C2724" i="18"/>
  <c r="D2723" i="18"/>
  <c r="C2723" i="18"/>
  <c r="D2722" i="18"/>
  <c r="C2722" i="18"/>
  <c r="D2721" i="18"/>
  <c r="C2721" i="18"/>
  <c r="D2720" i="18"/>
  <c r="C2720" i="18"/>
  <c r="D2719" i="18"/>
  <c r="C2719" i="18"/>
  <c r="D2718" i="18"/>
  <c r="C2718" i="18"/>
  <c r="D2717" i="18"/>
  <c r="C2717" i="18"/>
  <c r="D2716" i="18"/>
  <c r="C2716" i="18"/>
  <c r="D2715" i="18"/>
  <c r="C2715" i="18"/>
  <c r="D2714" i="18"/>
  <c r="C2714" i="18"/>
  <c r="D2713" i="18"/>
  <c r="C2713" i="18"/>
  <c r="D2712" i="18"/>
  <c r="C2712" i="18"/>
  <c r="D2711" i="18"/>
  <c r="C2711" i="18"/>
  <c r="D2710" i="18"/>
  <c r="C2710" i="18"/>
  <c r="D2709" i="18"/>
  <c r="C2709" i="18"/>
  <c r="D2708" i="18"/>
  <c r="C2708" i="18"/>
  <c r="D2707" i="18"/>
  <c r="C2707" i="18"/>
  <c r="D2706" i="18"/>
  <c r="C2706" i="18"/>
  <c r="D2705" i="18"/>
  <c r="C2705" i="18"/>
  <c r="D2704" i="18"/>
  <c r="C2704" i="18"/>
  <c r="D2703" i="18"/>
  <c r="C2703" i="18"/>
  <c r="D2702" i="18"/>
  <c r="C2702" i="18"/>
  <c r="D2701" i="18"/>
  <c r="C2701" i="18"/>
  <c r="D2700" i="18"/>
  <c r="C2700" i="18"/>
  <c r="D2699" i="18"/>
  <c r="C2699" i="18"/>
  <c r="D2698" i="18"/>
  <c r="C2698" i="18"/>
  <c r="D2697" i="18"/>
  <c r="C2697" i="18"/>
  <c r="D2696" i="18"/>
  <c r="C2696" i="18"/>
  <c r="D2695" i="18"/>
  <c r="C2695" i="18"/>
  <c r="D2694" i="18"/>
  <c r="C2694" i="18"/>
  <c r="D2693" i="18"/>
  <c r="C2693" i="18"/>
  <c r="D2692" i="18"/>
  <c r="C2692" i="18"/>
  <c r="D2691" i="18"/>
  <c r="C2691" i="18"/>
  <c r="D2690" i="18"/>
  <c r="C2690" i="18"/>
  <c r="D2689" i="18"/>
  <c r="C2689" i="18"/>
  <c r="D2688" i="18"/>
  <c r="C2688" i="18"/>
  <c r="D2687" i="18"/>
  <c r="C2687" i="18"/>
  <c r="D2686" i="18"/>
  <c r="C2686" i="18"/>
  <c r="D2685" i="18"/>
  <c r="C2685" i="18"/>
  <c r="D2684" i="18"/>
  <c r="C2684" i="18"/>
  <c r="D2683" i="18"/>
  <c r="C2683" i="18"/>
  <c r="D2682" i="18"/>
  <c r="C2682" i="18"/>
  <c r="D2681" i="18"/>
  <c r="C2681" i="18"/>
  <c r="D2680" i="18"/>
  <c r="C2680" i="18"/>
  <c r="D2679" i="18"/>
  <c r="C2679" i="18"/>
  <c r="D2678" i="18"/>
  <c r="C2678" i="18"/>
  <c r="D2677" i="18"/>
  <c r="C2677" i="18"/>
  <c r="D2676" i="18"/>
  <c r="C2676" i="18"/>
  <c r="D2675" i="18"/>
  <c r="C2675" i="18"/>
  <c r="D2674" i="18"/>
  <c r="C2674" i="18"/>
  <c r="D2673" i="18"/>
  <c r="C2673" i="18"/>
  <c r="D2672" i="18"/>
  <c r="C2672" i="18"/>
  <c r="D2671" i="18"/>
  <c r="C2671" i="18"/>
  <c r="D2670" i="18"/>
  <c r="C2670" i="18"/>
  <c r="D2669" i="18"/>
  <c r="C2669" i="18"/>
  <c r="D2668" i="18"/>
  <c r="C2668" i="18"/>
  <c r="D2667" i="18"/>
  <c r="C2667" i="18"/>
  <c r="D2666" i="18"/>
  <c r="C2666" i="18"/>
  <c r="D2665" i="18"/>
  <c r="C2665" i="18"/>
  <c r="D2664" i="18"/>
  <c r="C2664" i="18"/>
  <c r="D2663" i="18"/>
  <c r="C2663" i="18"/>
  <c r="D2662" i="18"/>
  <c r="C2662" i="18"/>
  <c r="D2661" i="18"/>
  <c r="C2661" i="18"/>
  <c r="D2660" i="18"/>
  <c r="C2660" i="18"/>
  <c r="D2659" i="18"/>
  <c r="C2659" i="18"/>
  <c r="D2658" i="18"/>
  <c r="C2658" i="18"/>
  <c r="D2657" i="18"/>
  <c r="C2657" i="18"/>
  <c r="D2656" i="18"/>
  <c r="C2656" i="18"/>
  <c r="D2655" i="18"/>
  <c r="C2655" i="18"/>
  <c r="D2654" i="18"/>
  <c r="C2654" i="18"/>
  <c r="D2653" i="18"/>
  <c r="C2653" i="18"/>
  <c r="D2652" i="18"/>
  <c r="C2652" i="18"/>
  <c r="D2651" i="18"/>
  <c r="C2651" i="18"/>
  <c r="D2650" i="18"/>
  <c r="C2650" i="18"/>
  <c r="D2649" i="18"/>
  <c r="C2649" i="18"/>
  <c r="D2648" i="18"/>
  <c r="C2648" i="18"/>
  <c r="D2647" i="18"/>
  <c r="C2647" i="18"/>
  <c r="D2646" i="18"/>
  <c r="C2646" i="18"/>
  <c r="D2645" i="18"/>
  <c r="C2645" i="18"/>
  <c r="D2644" i="18"/>
  <c r="C2644" i="18"/>
  <c r="D2643" i="18"/>
  <c r="C2643" i="18"/>
  <c r="D2642" i="18"/>
  <c r="C2642" i="18"/>
  <c r="D2641" i="18"/>
  <c r="C2641" i="18"/>
  <c r="D2640" i="18"/>
  <c r="C2640" i="18"/>
  <c r="D2639" i="18"/>
  <c r="C2639" i="18"/>
  <c r="D2638" i="18"/>
  <c r="C2638" i="18"/>
  <c r="D2637" i="18"/>
  <c r="C2637" i="18"/>
  <c r="D2636" i="18"/>
  <c r="C2636" i="18"/>
  <c r="D2635" i="18"/>
  <c r="C2635" i="18"/>
  <c r="D2634" i="18"/>
  <c r="C2634" i="18"/>
  <c r="D2633" i="18"/>
  <c r="C2633" i="18"/>
  <c r="D2632" i="18"/>
  <c r="C2632" i="18"/>
  <c r="D2631" i="18"/>
  <c r="C2631" i="18"/>
  <c r="D2630" i="18"/>
  <c r="C2630" i="18"/>
  <c r="D2629" i="18"/>
  <c r="C2629" i="18"/>
  <c r="D2628" i="18"/>
  <c r="C2628" i="18"/>
  <c r="D2627" i="18"/>
  <c r="C2627" i="18"/>
  <c r="D2626" i="18"/>
  <c r="C2626" i="18"/>
  <c r="D2625" i="18"/>
  <c r="C2625" i="18"/>
  <c r="D2624" i="18"/>
  <c r="C2624" i="18"/>
  <c r="D2623" i="18"/>
  <c r="C2623" i="18"/>
  <c r="D2622" i="18"/>
  <c r="C2622" i="18"/>
  <c r="D2621" i="18"/>
  <c r="C2621" i="18"/>
  <c r="D2620" i="18"/>
  <c r="C2620" i="18"/>
  <c r="D2619" i="18"/>
  <c r="C2619" i="18"/>
  <c r="D2618" i="18"/>
  <c r="C2618" i="18"/>
  <c r="D2617" i="18"/>
  <c r="C2617" i="18"/>
  <c r="D2616" i="18"/>
  <c r="C2616" i="18"/>
  <c r="D2615" i="18"/>
  <c r="C2615" i="18"/>
  <c r="D2614" i="18"/>
  <c r="C2614" i="18"/>
  <c r="D2613" i="18"/>
  <c r="C2613" i="18"/>
  <c r="D2612" i="18"/>
  <c r="C2612" i="18"/>
  <c r="D2611" i="18"/>
  <c r="C2611" i="18"/>
  <c r="D2610" i="18"/>
  <c r="C2610" i="18"/>
  <c r="D2609" i="18"/>
  <c r="C2609" i="18"/>
  <c r="D2608" i="18"/>
  <c r="C2608" i="18"/>
  <c r="D2607" i="18"/>
  <c r="C2607" i="18"/>
  <c r="D2606" i="18"/>
  <c r="C2606" i="18"/>
  <c r="D2605" i="18"/>
  <c r="C2605" i="18"/>
  <c r="D2604" i="18"/>
  <c r="C2604" i="18"/>
  <c r="D2603" i="18"/>
  <c r="C2603" i="18"/>
  <c r="D2602" i="18"/>
  <c r="C2602" i="18"/>
  <c r="D2601" i="18"/>
  <c r="C2601" i="18"/>
  <c r="D2600" i="18"/>
  <c r="C2600" i="18"/>
  <c r="D2599" i="18"/>
  <c r="C2599" i="18"/>
  <c r="D2598" i="18"/>
  <c r="C2598" i="18"/>
  <c r="D2597" i="18"/>
  <c r="C2597" i="18"/>
  <c r="D2596" i="18"/>
  <c r="C2596" i="18"/>
  <c r="D2595" i="18"/>
  <c r="C2595" i="18"/>
  <c r="D2594" i="18"/>
  <c r="C2594" i="18"/>
  <c r="D2593" i="18"/>
  <c r="C2593" i="18"/>
  <c r="D2592" i="18"/>
  <c r="C2592" i="18"/>
  <c r="D2591" i="18"/>
  <c r="C2591" i="18"/>
  <c r="D2590" i="18"/>
  <c r="C2590" i="18"/>
  <c r="D2589" i="18"/>
  <c r="C2589" i="18"/>
  <c r="D2588" i="18"/>
  <c r="C2588" i="18"/>
  <c r="D2587" i="18"/>
  <c r="C2587" i="18"/>
  <c r="D2586" i="18"/>
  <c r="C2586" i="18"/>
  <c r="D2585" i="18"/>
  <c r="C2585" i="18"/>
  <c r="D2584" i="18"/>
  <c r="C2584" i="18"/>
  <c r="D2583" i="18"/>
  <c r="C2583" i="18"/>
  <c r="D2582" i="18"/>
  <c r="C2582" i="18"/>
  <c r="D2581" i="18"/>
  <c r="C2581" i="18"/>
  <c r="D2580" i="18"/>
  <c r="C2580" i="18"/>
  <c r="D2579" i="18"/>
  <c r="C2579" i="18"/>
  <c r="D2578" i="18"/>
  <c r="C2578" i="18"/>
  <c r="D2577" i="18"/>
  <c r="C2577" i="18"/>
  <c r="D2576" i="18"/>
  <c r="C2576" i="18"/>
  <c r="D2575" i="18"/>
  <c r="C2575" i="18"/>
  <c r="D2574" i="18"/>
  <c r="C2574" i="18"/>
  <c r="D2573" i="18"/>
  <c r="C2573" i="18"/>
  <c r="D2572" i="18"/>
  <c r="C2572" i="18"/>
  <c r="D2571" i="18"/>
  <c r="C2571" i="18"/>
  <c r="D2570" i="18"/>
  <c r="C2570" i="18"/>
  <c r="D2569" i="18"/>
  <c r="C2569" i="18"/>
  <c r="D2568" i="18"/>
  <c r="C2568" i="18"/>
  <c r="D2567" i="18"/>
  <c r="C2567" i="18"/>
  <c r="D2566" i="18"/>
  <c r="C2566" i="18"/>
  <c r="D2565" i="18"/>
  <c r="C2565" i="18"/>
  <c r="D2564" i="18"/>
  <c r="C2564" i="18"/>
  <c r="D2563" i="18"/>
  <c r="C2563" i="18"/>
  <c r="D2562" i="18"/>
  <c r="C2562" i="18"/>
  <c r="D2561" i="18"/>
  <c r="C2561" i="18"/>
  <c r="D2560" i="18"/>
  <c r="C2560" i="18"/>
  <c r="D2559" i="18"/>
  <c r="C2559" i="18"/>
  <c r="D2558" i="18"/>
  <c r="C2558" i="18"/>
  <c r="D2557" i="18"/>
  <c r="C2557" i="18"/>
  <c r="D2556" i="18"/>
  <c r="C2556" i="18"/>
  <c r="D2555" i="18"/>
  <c r="C2555" i="18"/>
  <c r="D2554" i="18"/>
  <c r="C2554" i="18"/>
  <c r="D2553" i="18"/>
  <c r="C2553" i="18"/>
  <c r="D2552" i="18"/>
  <c r="C2552" i="18"/>
  <c r="D2551" i="18"/>
  <c r="C2551" i="18"/>
  <c r="D2550" i="18"/>
  <c r="C2550" i="18"/>
  <c r="D2549" i="18"/>
  <c r="C2549" i="18"/>
  <c r="D2548" i="18"/>
  <c r="C2548" i="18"/>
  <c r="D2547" i="18"/>
  <c r="C2547" i="18"/>
  <c r="D2546" i="18"/>
  <c r="C2546" i="18"/>
  <c r="D2545" i="18"/>
  <c r="C2545" i="18"/>
  <c r="D2544" i="18"/>
  <c r="C2544" i="18"/>
  <c r="D2543" i="18"/>
  <c r="C2543" i="18"/>
  <c r="D2542" i="18"/>
  <c r="C2542" i="18"/>
  <c r="D2541" i="18"/>
  <c r="C2541" i="18"/>
  <c r="D2540" i="18"/>
  <c r="C2540" i="18"/>
  <c r="D2539" i="18"/>
  <c r="C2539" i="18"/>
  <c r="D2538" i="18"/>
  <c r="C2538" i="18"/>
  <c r="D2537" i="18"/>
  <c r="C2537" i="18"/>
  <c r="D2536" i="18"/>
  <c r="C2536" i="18"/>
  <c r="D2535" i="18"/>
  <c r="C2535" i="18"/>
  <c r="D2534" i="18"/>
  <c r="C2534" i="18"/>
  <c r="D2533" i="18"/>
  <c r="C2533" i="18"/>
  <c r="D2532" i="18"/>
  <c r="C2532" i="18"/>
  <c r="D2531" i="18"/>
  <c r="C2531" i="18"/>
  <c r="D2530" i="18"/>
  <c r="C2530" i="18"/>
  <c r="D2529" i="18"/>
  <c r="C2529" i="18"/>
  <c r="D2528" i="18"/>
  <c r="C2528" i="18"/>
  <c r="D2527" i="18"/>
  <c r="C2527" i="18"/>
  <c r="D2526" i="18"/>
  <c r="C2526" i="18"/>
  <c r="D2525" i="18"/>
  <c r="C2525" i="18"/>
  <c r="D2524" i="18"/>
  <c r="C2524" i="18"/>
  <c r="D2523" i="18"/>
  <c r="C2523" i="18"/>
  <c r="D2522" i="18"/>
  <c r="C2522" i="18"/>
  <c r="D2521" i="18"/>
  <c r="C2521" i="18"/>
  <c r="D2520" i="18"/>
  <c r="C2520" i="18"/>
  <c r="D2519" i="18"/>
  <c r="C2519" i="18"/>
  <c r="D2518" i="18"/>
  <c r="C2518" i="18"/>
  <c r="D2517" i="18"/>
  <c r="C2517" i="18"/>
  <c r="D2516" i="18"/>
  <c r="C2516" i="18"/>
  <c r="D2515" i="18"/>
  <c r="C2515" i="18"/>
  <c r="D2514" i="18"/>
  <c r="C2514" i="18"/>
  <c r="D2513" i="18"/>
  <c r="C2513" i="18"/>
  <c r="D2512" i="18"/>
  <c r="C2512" i="18"/>
  <c r="D2511" i="18"/>
  <c r="C2511" i="18"/>
  <c r="D2510" i="18"/>
  <c r="C2510" i="18"/>
  <c r="D2509" i="18"/>
  <c r="C2509" i="18"/>
  <c r="D2508" i="18"/>
  <c r="C2508" i="18"/>
  <c r="D2507" i="18"/>
  <c r="C2507" i="18"/>
  <c r="D2506" i="18"/>
  <c r="C2506" i="18"/>
  <c r="D2505" i="18"/>
  <c r="C2505" i="18"/>
  <c r="D2504" i="18"/>
  <c r="C2504" i="18"/>
  <c r="D2503" i="18"/>
  <c r="C2503" i="18"/>
  <c r="D2502" i="18"/>
  <c r="C2502" i="18"/>
  <c r="D2501" i="18"/>
  <c r="C2501" i="18"/>
  <c r="D2500" i="18"/>
  <c r="C2500" i="18"/>
  <c r="D2499" i="18"/>
  <c r="C2499" i="18"/>
  <c r="D2498" i="18"/>
  <c r="C2498" i="18"/>
  <c r="D2497" i="18"/>
  <c r="C2497" i="18"/>
  <c r="D2496" i="18"/>
  <c r="C2496" i="18"/>
  <c r="D2495" i="18"/>
  <c r="C2495" i="18"/>
  <c r="D2494" i="18"/>
  <c r="C2494" i="18"/>
  <c r="D2493" i="18"/>
  <c r="C2493" i="18"/>
  <c r="D2492" i="18"/>
  <c r="C2492" i="18"/>
  <c r="D2491" i="18"/>
  <c r="C2491" i="18"/>
  <c r="D2490" i="18"/>
  <c r="C2490" i="18"/>
  <c r="D2489" i="18"/>
  <c r="C2489" i="18"/>
  <c r="D2488" i="18"/>
  <c r="C2488" i="18"/>
  <c r="D2487" i="18"/>
  <c r="C2487" i="18"/>
  <c r="D2486" i="18"/>
  <c r="C2486" i="18"/>
  <c r="D2485" i="18"/>
  <c r="C2485" i="18"/>
  <c r="D2484" i="18"/>
  <c r="C2484" i="18"/>
  <c r="D2483" i="18"/>
  <c r="C2483" i="18"/>
  <c r="D2482" i="18"/>
  <c r="C2482" i="18"/>
  <c r="D2481" i="18"/>
  <c r="C2481" i="18"/>
  <c r="D2480" i="18"/>
  <c r="C2480" i="18"/>
  <c r="D2479" i="18"/>
  <c r="C2479" i="18"/>
  <c r="D2478" i="18"/>
  <c r="C2478" i="18"/>
  <c r="D2477" i="18"/>
  <c r="C2477" i="18"/>
  <c r="D2476" i="18"/>
  <c r="C2476" i="18"/>
  <c r="D2475" i="18"/>
  <c r="C2475" i="18"/>
  <c r="D2474" i="18"/>
  <c r="C2474" i="18"/>
  <c r="D2473" i="18"/>
  <c r="C2473" i="18"/>
  <c r="D2472" i="18"/>
  <c r="C2472" i="18"/>
  <c r="D2471" i="18"/>
  <c r="C2471" i="18"/>
  <c r="D2470" i="18"/>
  <c r="C2470" i="18"/>
  <c r="D2469" i="18"/>
  <c r="C2469" i="18"/>
  <c r="D2468" i="18"/>
  <c r="C2468" i="18"/>
  <c r="D2467" i="18"/>
  <c r="C2467" i="18"/>
  <c r="D2466" i="18"/>
  <c r="C2466" i="18"/>
  <c r="D2465" i="18"/>
  <c r="C2465" i="18"/>
  <c r="D2464" i="18"/>
  <c r="C2464" i="18"/>
  <c r="D2463" i="18"/>
  <c r="C2463" i="18"/>
  <c r="D2462" i="18"/>
  <c r="C2462" i="18"/>
  <c r="D2461" i="18"/>
  <c r="C2461" i="18"/>
  <c r="D2460" i="18"/>
  <c r="C2460" i="18"/>
  <c r="D2459" i="18"/>
  <c r="C2459" i="18"/>
  <c r="D2458" i="18"/>
  <c r="C2458" i="18"/>
  <c r="D2457" i="18"/>
  <c r="C2457" i="18"/>
  <c r="D2456" i="18"/>
  <c r="C2456" i="18"/>
  <c r="D2455" i="18"/>
  <c r="C2455" i="18"/>
  <c r="D2454" i="18"/>
  <c r="C2454" i="18"/>
  <c r="D2453" i="18"/>
  <c r="C2453" i="18"/>
  <c r="D2452" i="18"/>
  <c r="C2452" i="18"/>
  <c r="D2451" i="18"/>
  <c r="C2451" i="18"/>
  <c r="D2450" i="18"/>
  <c r="C2450" i="18"/>
  <c r="D2449" i="18"/>
  <c r="C2449" i="18"/>
  <c r="D2448" i="18"/>
  <c r="C2448" i="18"/>
  <c r="D2447" i="18"/>
  <c r="C2447" i="18"/>
  <c r="D2446" i="18"/>
  <c r="C2446" i="18"/>
  <c r="D2445" i="18"/>
  <c r="C2445" i="18"/>
  <c r="D2444" i="18"/>
  <c r="C2444" i="18"/>
  <c r="D2443" i="18"/>
  <c r="C2443" i="18"/>
  <c r="D2442" i="18"/>
  <c r="C2442" i="18"/>
  <c r="D2441" i="18"/>
  <c r="C2441" i="18"/>
  <c r="D2440" i="18"/>
  <c r="C2440" i="18"/>
  <c r="D2439" i="18"/>
  <c r="C2439" i="18"/>
  <c r="D2438" i="18"/>
  <c r="C2438" i="18"/>
  <c r="D2437" i="18"/>
  <c r="C2437" i="18"/>
  <c r="D2436" i="18"/>
  <c r="C2436" i="18"/>
  <c r="D2435" i="18"/>
  <c r="C2435" i="18"/>
  <c r="D2434" i="18"/>
  <c r="C2434" i="18"/>
  <c r="D2433" i="18"/>
  <c r="C2433" i="18"/>
  <c r="D2432" i="18"/>
  <c r="C2432" i="18"/>
  <c r="D2431" i="18"/>
  <c r="C2431" i="18"/>
  <c r="D2430" i="18"/>
  <c r="C2430" i="18"/>
  <c r="D2429" i="18"/>
  <c r="C2429" i="18"/>
  <c r="D2428" i="18"/>
  <c r="C2428" i="18"/>
  <c r="D2427" i="18"/>
  <c r="C2427" i="18"/>
  <c r="D2426" i="18"/>
  <c r="C2426" i="18"/>
  <c r="D2425" i="18"/>
  <c r="C2425" i="18"/>
  <c r="D2424" i="18"/>
  <c r="C2424" i="18"/>
  <c r="D2423" i="18"/>
  <c r="C2423" i="18"/>
  <c r="D2422" i="18"/>
  <c r="C2422" i="18"/>
  <c r="D2421" i="18"/>
  <c r="C2421" i="18"/>
  <c r="D2420" i="18"/>
  <c r="C2420" i="18"/>
  <c r="D2419" i="18"/>
  <c r="C2419" i="18"/>
  <c r="D2418" i="18"/>
  <c r="C2418" i="18"/>
  <c r="D2417" i="18"/>
  <c r="C2417" i="18"/>
  <c r="D2416" i="18"/>
  <c r="C2416" i="18"/>
  <c r="D2415" i="18"/>
  <c r="C2415" i="18"/>
  <c r="D2414" i="18"/>
  <c r="C2414" i="18"/>
  <c r="D2413" i="18"/>
  <c r="C2413" i="18"/>
  <c r="D2412" i="18"/>
  <c r="C2412" i="18"/>
  <c r="D2411" i="18"/>
  <c r="C2411" i="18"/>
  <c r="D2410" i="18"/>
  <c r="C2410" i="18"/>
  <c r="D2409" i="18"/>
  <c r="C2409" i="18"/>
  <c r="D2408" i="18"/>
  <c r="C2408" i="18"/>
  <c r="D2407" i="18"/>
  <c r="C2407" i="18"/>
  <c r="D2406" i="18"/>
  <c r="C2406" i="18"/>
  <c r="D2405" i="18"/>
  <c r="C2405" i="18"/>
  <c r="D2404" i="18"/>
  <c r="C2404" i="18"/>
  <c r="D2403" i="18"/>
  <c r="C2403" i="18"/>
  <c r="D2402" i="18"/>
  <c r="C2402" i="18"/>
  <c r="D2401" i="18"/>
  <c r="C2401" i="18"/>
  <c r="D2400" i="18"/>
  <c r="C2400" i="18"/>
  <c r="D2399" i="18"/>
  <c r="C2399" i="18"/>
  <c r="D2398" i="18"/>
  <c r="C2398" i="18"/>
  <c r="D2397" i="18"/>
  <c r="C2397" i="18"/>
  <c r="D2396" i="18"/>
  <c r="C2396" i="18"/>
  <c r="D2395" i="18"/>
  <c r="C2395" i="18"/>
  <c r="D2394" i="18"/>
  <c r="C2394" i="18"/>
  <c r="D2393" i="18"/>
  <c r="C2393" i="18"/>
  <c r="D2392" i="18"/>
  <c r="C2392" i="18"/>
  <c r="D2391" i="18"/>
  <c r="C2391" i="18"/>
  <c r="D2390" i="18"/>
  <c r="C2390" i="18"/>
  <c r="D2389" i="18"/>
  <c r="C2389" i="18"/>
  <c r="D2388" i="18"/>
  <c r="C2388" i="18"/>
  <c r="D2387" i="18"/>
  <c r="C2387" i="18"/>
  <c r="D2386" i="18"/>
  <c r="C2386" i="18"/>
  <c r="D2385" i="18"/>
  <c r="C2385" i="18"/>
  <c r="D2384" i="18"/>
  <c r="C2384" i="18"/>
  <c r="D2383" i="18"/>
  <c r="C2383" i="18"/>
  <c r="D2382" i="18"/>
  <c r="C2382" i="18"/>
  <c r="D2381" i="18"/>
  <c r="C2381" i="18"/>
  <c r="D2380" i="18"/>
  <c r="C2380" i="18"/>
  <c r="D2379" i="18"/>
  <c r="C2379" i="18"/>
  <c r="D2378" i="18"/>
  <c r="C2378" i="18"/>
  <c r="D2377" i="18"/>
  <c r="C2377" i="18"/>
  <c r="D2376" i="18"/>
  <c r="C2376" i="18"/>
  <c r="D2375" i="18"/>
  <c r="C2375" i="18"/>
  <c r="D2374" i="18"/>
  <c r="C2374" i="18"/>
  <c r="D2373" i="18"/>
  <c r="C2373" i="18"/>
  <c r="D2372" i="18"/>
  <c r="C2372" i="18"/>
  <c r="D2371" i="18"/>
  <c r="C2371" i="18"/>
  <c r="D2370" i="18"/>
  <c r="C2370" i="18"/>
  <c r="D2369" i="18"/>
  <c r="C2369" i="18"/>
  <c r="D2368" i="18"/>
  <c r="C2368" i="18"/>
  <c r="D2367" i="18"/>
  <c r="C2367" i="18"/>
  <c r="D2366" i="18"/>
  <c r="C2366" i="18"/>
  <c r="D2365" i="18"/>
  <c r="C2365" i="18"/>
  <c r="D2364" i="18"/>
  <c r="C2364" i="18"/>
  <c r="D2363" i="18"/>
  <c r="C2363" i="18"/>
  <c r="D2362" i="18"/>
  <c r="C2362" i="18"/>
  <c r="D2361" i="18"/>
  <c r="C2361" i="18"/>
  <c r="D2360" i="18"/>
  <c r="C2360" i="18"/>
  <c r="D2359" i="18"/>
  <c r="C2359" i="18"/>
  <c r="D2358" i="18"/>
  <c r="C2358" i="18"/>
  <c r="D2357" i="18"/>
  <c r="C2357" i="18"/>
  <c r="D2356" i="18"/>
  <c r="C2356" i="18"/>
  <c r="D2355" i="18"/>
  <c r="C2355" i="18"/>
  <c r="D2354" i="18"/>
  <c r="C2354" i="18"/>
  <c r="D2353" i="18"/>
  <c r="C2353" i="18"/>
  <c r="D2352" i="18"/>
  <c r="C2352" i="18"/>
  <c r="D2351" i="18"/>
  <c r="C2351" i="18"/>
  <c r="D2350" i="18"/>
  <c r="C2350" i="18"/>
  <c r="D2349" i="18"/>
  <c r="C2349" i="18"/>
  <c r="D2348" i="18"/>
  <c r="C2348" i="18"/>
  <c r="D2347" i="18"/>
  <c r="C2347" i="18"/>
  <c r="D2346" i="18"/>
  <c r="C2346" i="18"/>
  <c r="D2345" i="18"/>
  <c r="C2345" i="18"/>
  <c r="D2344" i="18"/>
  <c r="C2344" i="18"/>
  <c r="D2343" i="18"/>
  <c r="C2343" i="18"/>
  <c r="D2342" i="18"/>
  <c r="C2342" i="18"/>
  <c r="D2341" i="18"/>
  <c r="C2341" i="18"/>
  <c r="D2340" i="18"/>
  <c r="C2340" i="18"/>
  <c r="D2339" i="18"/>
  <c r="C2339" i="18"/>
  <c r="D2338" i="18"/>
  <c r="C2338" i="18"/>
  <c r="D2337" i="18"/>
  <c r="C2337" i="18"/>
  <c r="D2336" i="18"/>
  <c r="C2336" i="18"/>
  <c r="D2335" i="18"/>
  <c r="C2335" i="18"/>
  <c r="D2334" i="18"/>
  <c r="C2334" i="18"/>
  <c r="D2333" i="18"/>
  <c r="C2333" i="18"/>
  <c r="D2332" i="18"/>
  <c r="C2332" i="18"/>
  <c r="D2331" i="18"/>
  <c r="C2331" i="18"/>
  <c r="D2330" i="18"/>
  <c r="C2330" i="18"/>
  <c r="D2329" i="18"/>
  <c r="C2329" i="18"/>
  <c r="D2328" i="18"/>
  <c r="C2328" i="18"/>
  <c r="D2327" i="18"/>
  <c r="C2327" i="18"/>
  <c r="D2326" i="18"/>
  <c r="C2326" i="18"/>
  <c r="D2325" i="18"/>
  <c r="C2325" i="18"/>
  <c r="D2324" i="18"/>
  <c r="C2324" i="18"/>
  <c r="D2323" i="18"/>
  <c r="C2323" i="18"/>
  <c r="D2322" i="18"/>
  <c r="C2322" i="18"/>
  <c r="D2321" i="18"/>
  <c r="C2321" i="18"/>
  <c r="D2320" i="18"/>
  <c r="C2320" i="18"/>
  <c r="D2319" i="18"/>
  <c r="C2319" i="18"/>
  <c r="D2318" i="18"/>
  <c r="C2318" i="18"/>
  <c r="D2317" i="18"/>
  <c r="C2317" i="18"/>
  <c r="D2316" i="18"/>
  <c r="C2316" i="18"/>
  <c r="D2315" i="18"/>
  <c r="C2315" i="18"/>
  <c r="D2314" i="18"/>
  <c r="C2314" i="18"/>
  <c r="D2313" i="18"/>
  <c r="C2313" i="18"/>
  <c r="D2312" i="18"/>
  <c r="C2312" i="18"/>
  <c r="D2311" i="18"/>
  <c r="C2311" i="18"/>
  <c r="D2310" i="18"/>
  <c r="C2310" i="18"/>
  <c r="D2309" i="18"/>
  <c r="C2309" i="18"/>
  <c r="D2308" i="18"/>
  <c r="C2308" i="18"/>
  <c r="D2307" i="18"/>
  <c r="C2307" i="18"/>
  <c r="D2306" i="18"/>
  <c r="C2306" i="18"/>
  <c r="D2305" i="18"/>
  <c r="C2305" i="18"/>
  <c r="D2304" i="18"/>
  <c r="C2304" i="18"/>
  <c r="D2303" i="18"/>
  <c r="C2303" i="18"/>
  <c r="D2302" i="18"/>
  <c r="C2302" i="18"/>
  <c r="D2301" i="18"/>
  <c r="C2301" i="18"/>
  <c r="D2300" i="18"/>
  <c r="C2300" i="18"/>
  <c r="D2299" i="18"/>
  <c r="C2299" i="18"/>
  <c r="D2298" i="18"/>
  <c r="C2298" i="18"/>
  <c r="D2297" i="18"/>
  <c r="C2297" i="18"/>
  <c r="D2296" i="18"/>
  <c r="C2296" i="18"/>
  <c r="D2295" i="18"/>
  <c r="C2295" i="18"/>
  <c r="D2294" i="18"/>
  <c r="C2294" i="18"/>
  <c r="D2293" i="18"/>
  <c r="C2293" i="18"/>
  <c r="D2292" i="18"/>
  <c r="C2292" i="18"/>
  <c r="D2291" i="18"/>
  <c r="C2291" i="18"/>
  <c r="D2290" i="18"/>
  <c r="C2290" i="18"/>
  <c r="D2289" i="18"/>
  <c r="C2289" i="18"/>
  <c r="D2288" i="18"/>
  <c r="C2288" i="18"/>
  <c r="D2287" i="18"/>
  <c r="C2287" i="18"/>
  <c r="D2286" i="18"/>
  <c r="C2286" i="18"/>
  <c r="D2285" i="18"/>
  <c r="C2285" i="18"/>
  <c r="D2284" i="18"/>
  <c r="C2284" i="18"/>
  <c r="D2283" i="18"/>
  <c r="C2283" i="18"/>
  <c r="D2282" i="18"/>
  <c r="C2282" i="18"/>
  <c r="D2281" i="18"/>
  <c r="C2281" i="18"/>
  <c r="D2280" i="18"/>
  <c r="C2280" i="18"/>
  <c r="D2279" i="18"/>
  <c r="C2279" i="18"/>
  <c r="D2278" i="18"/>
  <c r="C2278" i="18"/>
  <c r="D2277" i="18"/>
  <c r="C2277" i="18"/>
  <c r="D2276" i="18"/>
  <c r="C2276" i="18"/>
  <c r="D2275" i="18"/>
  <c r="C2275" i="18"/>
  <c r="D2274" i="18"/>
  <c r="C2274" i="18"/>
  <c r="D2273" i="18"/>
  <c r="C2273" i="18"/>
  <c r="D2272" i="18"/>
  <c r="C2272" i="18"/>
  <c r="D2271" i="18"/>
  <c r="C2271" i="18"/>
  <c r="D2270" i="18"/>
  <c r="C2270" i="18"/>
  <c r="D2269" i="18"/>
  <c r="C2269" i="18"/>
  <c r="D2268" i="18"/>
  <c r="C2268" i="18"/>
  <c r="D2267" i="18"/>
  <c r="C2267" i="18"/>
  <c r="D2266" i="18"/>
  <c r="C2266" i="18"/>
  <c r="D2265" i="18"/>
  <c r="C2265" i="18"/>
  <c r="D2264" i="18"/>
  <c r="C2264" i="18"/>
  <c r="D2263" i="18"/>
  <c r="C2263" i="18"/>
  <c r="D2262" i="18"/>
  <c r="C2262" i="18"/>
  <c r="D2261" i="18"/>
  <c r="C2261" i="18"/>
  <c r="D2260" i="18"/>
  <c r="C2260" i="18"/>
  <c r="D2259" i="18"/>
  <c r="C2259" i="18"/>
  <c r="D2258" i="18"/>
  <c r="C2258" i="18"/>
  <c r="D2257" i="18"/>
  <c r="C2257" i="18"/>
  <c r="D2256" i="18"/>
  <c r="C2256" i="18"/>
  <c r="D2255" i="18"/>
  <c r="C2255" i="18"/>
  <c r="D2254" i="18"/>
  <c r="C2254" i="18"/>
  <c r="D2253" i="18"/>
  <c r="C2253" i="18"/>
  <c r="D2252" i="18"/>
  <c r="C2252" i="18"/>
  <c r="D2251" i="18"/>
  <c r="C2251" i="18"/>
  <c r="D2250" i="18"/>
  <c r="C2250" i="18"/>
  <c r="D2249" i="18"/>
  <c r="C2249" i="18"/>
  <c r="D2248" i="18"/>
  <c r="C2248" i="18"/>
  <c r="D2247" i="18"/>
  <c r="C2247" i="18"/>
  <c r="D2246" i="18"/>
  <c r="C2246" i="18"/>
  <c r="D2245" i="18"/>
  <c r="C2245" i="18"/>
  <c r="D2244" i="18"/>
  <c r="C2244" i="18"/>
  <c r="D2243" i="18"/>
  <c r="C2243" i="18"/>
  <c r="D2242" i="18"/>
  <c r="C2242" i="18"/>
  <c r="D2241" i="18"/>
  <c r="C2241" i="18"/>
  <c r="D2240" i="18"/>
  <c r="C2240" i="18"/>
  <c r="D2239" i="18"/>
  <c r="C2239" i="18"/>
  <c r="D2238" i="18"/>
  <c r="C2238" i="18"/>
  <c r="D2237" i="18"/>
  <c r="C2237" i="18"/>
  <c r="D2236" i="18"/>
  <c r="C2236" i="18"/>
  <c r="D2235" i="18"/>
  <c r="C2235" i="18"/>
  <c r="D2234" i="18"/>
  <c r="C2234" i="18"/>
  <c r="D2233" i="18"/>
  <c r="C2233" i="18"/>
  <c r="D2232" i="18"/>
  <c r="C2232" i="18"/>
  <c r="D2231" i="18"/>
  <c r="C2231" i="18"/>
  <c r="D2230" i="18"/>
  <c r="C2230" i="18"/>
  <c r="D2229" i="18"/>
  <c r="C2229" i="18"/>
  <c r="D2228" i="18"/>
  <c r="C2228" i="18"/>
  <c r="D2227" i="18"/>
  <c r="C2227" i="18"/>
  <c r="D2226" i="18"/>
  <c r="C2226" i="18"/>
  <c r="D2225" i="18"/>
  <c r="C2225" i="18"/>
  <c r="D2224" i="18"/>
  <c r="C2224" i="18"/>
  <c r="D2223" i="18"/>
  <c r="C2223" i="18"/>
  <c r="D2222" i="18"/>
  <c r="C2222" i="18"/>
  <c r="D2221" i="18"/>
  <c r="C2221" i="18"/>
  <c r="D2220" i="18"/>
  <c r="C2220" i="18"/>
  <c r="D2219" i="18"/>
  <c r="C2219" i="18"/>
  <c r="D2218" i="18"/>
  <c r="C2218" i="18"/>
  <c r="D2217" i="18"/>
  <c r="C2217" i="18"/>
  <c r="D2216" i="18"/>
  <c r="C2216" i="18"/>
  <c r="D2215" i="18"/>
  <c r="C2215" i="18"/>
  <c r="D2214" i="18"/>
  <c r="C2214" i="18"/>
  <c r="D2213" i="18"/>
  <c r="C2213" i="18"/>
  <c r="D2212" i="18"/>
  <c r="C2212" i="18"/>
  <c r="D2211" i="18"/>
  <c r="C2211" i="18"/>
  <c r="D2210" i="18"/>
  <c r="C2210" i="18"/>
  <c r="D2209" i="18"/>
  <c r="C2209" i="18"/>
  <c r="D2208" i="18"/>
  <c r="C2208" i="18"/>
  <c r="D2207" i="18"/>
  <c r="C2207" i="18"/>
  <c r="D2206" i="18"/>
  <c r="C2206" i="18"/>
  <c r="D2205" i="18"/>
  <c r="C2205" i="18"/>
  <c r="D2204" i="18"/>
  <c r="C2204" i="18"/>
  <c r="D2203" i="18"/>
  <c r="C2203" i="18"/>
  <c r="D2202" i="18"/>
  <c r="C2202" i="18"/>
  <c r="D2201" i="18"/>
  <c r="C2201" i="18"/>
  <c r="D2200" i="18"/>
  <c r="C2200" i="18"/>
  <c r="D2199" i="18"/>
  <c r="C2199" i="18"/>
  <c r="D2198" i="18"/>
  <c r="C2198" i="18"/>
  <c r="D2197" i="18"/>
  <c r="C2197" i="18"/>
  <c r="D2196" i="18"/>
  <c r="C2196" i="18"/>
  <c r="D2195" i="18"/>
  <c r="C2195" i="18"/>
  <c r="D2194" i="18"/>
  <c r="C2194" i="18"/>
  <c r="D2193" i="18"/>
  <c r="C2193" i="18"/>
  <c r="D2192" i="18"/>
  <c r="C2192" i="18"/>
  <c r="D2191" i="18"/>
  <c r="C2191" i="18"/>
  <c r="D2190" i="18"/>
  <c r="C2190" i="18"/>
  <c r="D2189" i="18"/>
  <c r="C2189" i="18"/>
  <c r="D2188" i="18"/>
  <c r="C2188" i="18"/>
  <c r="D2187" i="18"/>
  <c r="C2187" i="18"/>
  <c r="D2186" i="18"/>
  <c r="C2186" i="18"/>
  <c r="D2185" i="18"/>
  <c r="C2185" i="18"/>
  <c r="D2184" i="18"/>
  <c r="C2184" i="18"/>
  <c r="D2183" i="18"/>
  <c r="C2183" i="18"/>
  <c r="D2182" i="18"/>
  <c r="C2182" i="18"/>
  <c r="D2181" i="18"/>
  <c r="C2181" i="18"/>
  <c r="D2180" i="18"/>
  <c r="C2180" i="18"/>
  <c r="D2179" i="18"/>
  <c r="C2179" i="18"/>
  <c r="D2178" i="18"/>
  <c r="C2178" i="18"/>
  <c r="D2177" i="18"/>
  <c r="C2177" i="18"/>
  <c r="D2176" i="18"/>
  <c r="C2176" i="18"/>
  <c r="D2175" i="18"/>
  <c r="C2175" i="18"/>
  <c r="D2174" i="18"/>
  <c r="C2174" i="18"/>
  <c r="D2173" i="18"/>
  <c r="C2173" i="18"/>
  <c r="D2172" i="18"/>
  <c r="C2172" i="18"/>
  <c r="D2171" i="18"/>
  <c r="C2171" i="18"/>
  <c r="D2170" i="18"/>
  <c r="C2170" i="18"/>
  <c r="D2169" i="18"/>
  <c r="C2169" i="18"/>
  <c r="D2168" i="18"/>
  <c r="C2168" i="18"/>
  <c r="D2167" i="18"/>
  <c r="C2167" i="18"/>
  <c r="D2166" i="18"/>
  <c r="C2166" i="18"/>
  <c r="D2165" i="18"/>
  <c r="C2165" i="18"/>
  <c r="D2164" i="18"/>
  <c r="C2164" i="18"/>
  <c r="D2163" i="18"/>
  <c r="C2163" i="18"/>
  <c r="D2162" i="18"/>
  <c r="C2162" i="18"/>
  <c r="D2161" i="18"/>
  <c r="C2161" i="18"/>
  <c r="D2160" i="18"/>
  <c r="C2160" i="18"/>
  <c r="D2159" i="18"/>
  <c r="C2159" i="18"/>
  <c r="D2158" i="18"/>
  <c r="C2158" i="18"/>
  <c r="D2157" i="18"/>
  <c r="C2157" i="18"/>
  <c r="D2156" i="18"/>
  <c r="C2156" i="18"/>
  <c r="D2155" i="18"/>
  <c r="C2155" i="18"/>
  <c r="D2154" i="18"/>
  <c r="C2154" i="18"/>
  <c r="D2153" i="18"/>
  <c r="C2153" i="18"/>
  <c r="D2152" i="18"/>
  <c r="C2152" i="18"/>
  <c r="D2151" i="18"/>
  <c r="C2151" i="18"/>
  <c r="D2150" i="18"/>
  <c r="C2150" i="18"/>
  <c r="D2149" i="18"/>
  <c r="C2149" i="18"/>
  <c r="D2148" i="18"/>
  <c r="C2148" i="18"/>
  <c r="D2147" i="18"/>
  <c r="C2147" i="18"/>
  <c r="D2146" i="18"/>
  <c r="C2146" i="18"/>
  <c r="D2145" i="18"/>
  <c r="C2145" i="18"/>
  <c r="D2144" i="18"/>
  <c r="C2144" i="18"/>
  <c r="D2143" i="18"/>
  <c r="C2143" i="18"/>
  <c r="D2142" i="18"/>
  <c r="C2142" i="18"/>
  <c r="D2141" i="18"/>
  <c r="C2141" i="18"/>
  <c r="D2140" i="18"/>
  <c r="C2140" i="18"/>
  <c r="D2139" i="18"/>
  <c r="C2139" i="18"/>
  <c r="D2138" i="18"/>
  <c r="C2138" i="18"/>
  <c r="D2137" i="18"/>
  <c r="C2137" i="18"/>
  <c r="D2136" i="18"/>
  <c r="C2136" i="18"/>
  <c r="D2135" i="18"/>
  <c r="C2135" i="18"/>
  <c r="D2134" i="18"/>
  <c r="C2134" i="18"/>
  <c r="D2133" i="18"/>
  <c r="C2133" i="18"/>
  <c r="D2132" i="18"/>
  <c r="C2132" i="18"/>
  <c r="D2131" i="18"/>
  <c r="C2131" i="18"/>
  <c r="D2130" i="18"/>
  <c r="C2130" i="18"/>
  <c r="D2129" i="18"/>
  <c r="C2129" i="18"/>
  <c r="D2128" i="18"/>
  <c r="C2128" i="18"/>
  <c r="D2127" i="18"/>
  <c r="C2127" i="18"/>
  <c r="D2126" i="18"/>
  <c r="C2126" i="18"/>
  <c r="D2125" i="18"/>
  <c r="C2125" i="18"/>
  <c r="D2124" i="18"/>
  <c r="C2124" i="18"/>
  <c r="D2123" i="18"/>
  <c r="C2123" i="18"/>
  <c r="D2122" i="18"/>
  <c r="C2122" i="18"/>
  <c r="D2121" i="18"/>
  <c r="C2121" i="18"/>
  <c r="D2120" i="18"/>
  <c r="C2120" i="18"/>
  <c r="D2119" i="18"/>
  <c r="C2119" i="18"/>
  <c r="D2118" i="18"/>
  <c r="C2118" i="18"/>
  <c r="D2117" i="18"/>
  <c r="C2117" i="18"/>
  <c r="D2116" i="18"/>
  <c r="C2116" i="18"/>
  <c r="D2115" i="18"/>
  <c r="C2115" i="18"/>
  <c r="D2114" i="18"/>
  <c r="C2114" i="18"/>
  <c r="D2113" i="18"/>
  <c r="C2113" i="18"/>
  <c r="D2112" i="18"/>
  <c r="C2112" i="18"/>
  <c r="D2111" i="18"/>
  <c r="C2111" i="18"/>
  <c r="D2110" i="18"/>
  <c r="C2110" i="18"/>
  <c r="D2109" i="18"/>
  <c r="C2109" i="18"/>
  <c r="D2108" i="18"/>
  <c r="C2108" i="18"/>
  <c r="D2107" i="18"/>
  <c r="C2107" i="18"/>
  <c r="D2106" i="18"/>
  <c r="C2106" i="18"/>
  <c r="D2105" i="18"/>
  <c r="C2105" i="18"/>
  <c r="D2104" i="18"/>
  <c r="C2104" i="18"/>
  <c r="D2103" i="18"/>
  <c r="C2103" i="18"/>
  <c r="D2102" i="18"/>
  <c r="C2102" i="18"/>
  <c r="D2101" i="18"/>
  <c r="C2101" i="18"/>
  <c r="D2100" i="18"/>
  <c r="C2100" i="18"/>
  <c r="D2099" i="18"/>
  <c r="C2099" i="18"/>
  <c r="D2098" i="18"/>
  <c r="C2098" i="18"/>
  <c r="D2097" i="18"/>
  <c r="C2097" i="18"/>
  <c r="D2096" i="18"/>
  <c r="C2096" i="18"/>
  <c r="D2095" i="18"/>
  <c r="C2095" i="18"/>
  <c r="D2094" i="18"/>
  <c r="C2094" i="18"/>
  <c r="D2093" i="18"/>
  <c r="C2093" i="18"/>
  <c r="D2092" i="18"/>
  <c r="C2092" i="18"/>
  <c r="D2091" i="18"/>
  <c r="C2091" i="18"/>
  <c r="D2090" i="18"/>
  <c r="C2090" i="18"/>
  <c r="D2089" i="18"/>
  <c r="C2089" i="18"/>
  <c r="D2088" i="18"/>
  <c r="C2088" i="18"/>
  <c r="D2087" i="18"/>
  <c r="C2087" i="18"/>
  <c r="D2086" i="18"/>
  <c r="C2086" i="18"/>
  <c r="D2085" i="18"/>
  <c r="C2085" i="18"/>
  <c r="D2084" i="18"/>
  <c r="C2084" i="18"/>
  <c r="D2083" i="18"/>
  <c r="C2083" i="18"/>
  <c r="D2082" i="18"/>
  <c r="C2082" i="18"/>
  <c r="D2081" i="18"/>
  <c r="C2081" i="18"/>
  <c r="D2080" i="18"/>
  <c r="C2080" i="18"/>
  <c r="D2079" i="18"/>
  <c r="C2079" i="18"/>
  <c r="D2078" i="18"/>
  <c r="C2078" i="18"/>
  <c r="D2077" i="18"/>
  <c r="C2077" i="18"/>
  <c r="D2076" i="18"/>
  <c r="C2076" i="18"/>
  <c r="D2075" i="18"/>
  <c r="C2075" i="18"/>
  <c r="D2074" i="18"/>
  <c r="C2074" i="18"/>
  <c r="D2073" i="18"/>
  <c r="C2073" i="18"/>
  <c r="D2072" i="18"/>
  <c r="C2072" i="18"/>
  <c r="D2071" i="18"/>
  <c r="C2071" i="18"/>
  <c r="D2070" i="18"/>
  <c r="C2070" i="18"/>
  <c r="D2069" i="18"/>
  <c r="C2069" i="18"/>
  <c r="D2068" i="18"/>
  <c r="C2068" i="18"/>
  <c r="D2067" i="18"/>
  <c r="C2067" i="18"/>
  <c r="D2066" i="18"/>
  <c r="C2066" i="18"/>
  <c r="D2065" i="18"/>
  <c r="C2065" i="18"/>
  <c r="D2064" i="18"/>
  <c r="C2064" i="18"/>
  <c r="D2063" i="18"/>
  <c r="C2063" i="18"/>
  <c r="D2062" i="18"/>
  <c r="C2062" i="18"/>
  <c r="D2061" i="18"/>
  <c r="C2061" i="18"/>
  <c r="D2060" i="18"/>
  <c r="C2060" i="18"/>
  <c r="D2059" i="18"/>
  <c r="C2059" i="18"/>
  <c r="D2058" i="18"/>
  <c r="C2058" i="18"/>
  <c r="D2057" i="18"/>
  <c r="C2057" i="18"/>
  <c r="D2056" i="18"/>
  <c r="C2056" i="18"/>
  <c r="D2055" i="18"/>
  <c r="C2055" i="18"/>
  <c r="D2054" i="18"/>
  <c r="C2054" i="18"/>
  <c r="D2053" i="18"/>
  <c r="C2053" i="18"/>
  <c r="D2052" i="18"/>
  <c r="C2052" i="18"/>
  <c r="D2051" i="18"/>
  <c r="C2051" i="18"/>
  <c r="D2050" i="18"/>
  <c r="C2050" i="18"/>
  <c r="D2049" i="18"/>
  <c r="C2049" i="18"/>
  <c r="D2048" i="18"/>
  <c r="C2048" i="18"/>
  <c r="D2047" i="18"/>
  <c r="C2047" i="18"/>
  <c r="D2046" i="18"/>
  <c r="C2046" i="18"/>
  <c r="D2045" i="18"/>
  <c r="C2045" i="18"/>
  <c r="D2044" i="18"/>
  <c r="C2044" i="18"/>
  <c r="D2043" i="18"/>
  <c r="C2043" i="18"/>
  <c r="D2042" i="18"/>
  <c r="C2042" i="18"/>
  <c r="D2041" i="18"/>
  <c r="C2041" i="18"/>
  <c r="D2040" i="18"/>
  <c r="C2040" i="18"/>
  <c r="D2039" i="18"/>
  <c r="C2039" i="18"/>
  <c r="D2038" i="18"/>
  <c r="C2038" i="18"/>
  <c r="D2037" i="18"/>
  <c r="C2037" i="18"/>
  <c r="D2036" i="18"/>
  <c r="C2036" i="18"/>
  <c r="D2035" i="18"/>
  <c r="C2035" i="18"/>
  <c r="D2034" i="18"/>
  <c r="C2034" i="18"/>
  <c r="D2033" i="18"/>
  <c r="C2033" i="18"/>
  <c r="D2032" i="18"/>
  <c r="C2032" i="18"/>
  <c r="D2031" i="18"/>
  <c r="C2031" i="18"/>
  <c r="D2030" i="18"/>
  <c r="C2030" i="18"/>
  <c r="D2029" i="18"/>
  <c r="C2029" i="18"/>
  <c r="D2028" i="18"/>
  <c r="C2028" i="18"/>
  <c r="D2027" i="18"/>
  <c r="C2027" i="18"/>
  <c r="D2026" i="18"/>
  <c r="C2026" i="18"/>
  <c r="D2025" i="18"/>
  <c r="C2025" i="18"/>
  <c r="D2024" i="18"/>
  <c r="C2024" i="18"/>
  <c r="D2023" i="18"/>
  <c r="C2023" i="18"/>
  <c r="D2022" i="18"/>
  <c r="C2022" i="18"/>
  <c r="D2021" i="18"/>
  <c r="C2021" i="18"/>
  <c r="D2020" i="18"/>
  <c r="C2020" i="18"/>
  <c r="D2019" i="18"/>
  <c r="C2019" i="18"/>
  <c r="D2018" i="18"/>
  <c r="C2018" i="18"/>
  <c r="D2017" i="18"/>
  <c r="C2017" i="18"/>
  <c r="D2016" i="18"/>
  <c r="C2016" i="18"/>
  <c r="D2015" i="18"/>
  <c r="C2015" i="18"/>
  <c r="D2014" i="18"/>
  <c r="C2014" i="18"/>
  <c r="D2013" i="18"/>
  <c r="C2013" i="18"/>
  <c r="D2012" i="18"/>
  <c r="C2012" i="18"/>
  <c r="D2011" i="18"/>
  <c r="C2011" i="18"/>
  <c r="D2010" i="18"/>
  <c r="C2010" i="18"/>
  <c r="D2009" i="18"/>
  <c r="C2009" i="18"/>
  <c r="D2008" i="18"/>
  <c r="C2008" i="18"/>
  <c r="D2007" i="18"/>
  <c r="C2007" i="18"/>
  <c r="D2006" i="18"/>
  <c r="C2006" i="18"/>
  <c r="D2005" i="18"/>
  <c r="C2005" i="18"/>
  <c r="D2004" i="18"/>
  <c r="C2004" i="18"/>
  <c r="D2003" i="18"/>
  <c r="C2003" i="18"/>
  <c r="D2002" i="18"/>
  <c r="C2002" i="18"/>
  <c r="D2001" i="18"/>
  <c r="C2001" i="18"/>
  <c r="D2000" i="18"/>
  <c r="C2000" i="18"/>
  <c r="D1999" i="18"/>
  <c r="C1999" i="18"/>
  <c r="D1998" i="18"/>
  <c r="C1998" i="18"/>
  <c r="D1997" i="18"/>
  <c r="C1997" i="18"/>
  <c r="D1996" i="18"/>
  <c r="C1996" i="18"/>
  <c r="D1995" i="18"/>
  <c r="C1995" i="18"/>
  <c r="D1994" i="18"/>
  <c r="C1994" i="18"/>
  <c r="D1993" i="18"/>
  <c r="C1993" i="18"/>
  <c r="D1992" i="18"/>
  <c r="C1992" i="18"/>
  <c r="D1991" i="18"/>
  <c r="C1991" i="18"/>
  <c r="D1990" i="18"/>
  <c r="C1990" i="18"/>
  <c r="D1989" i="18"/>
  <c r="C1989" i="18"/>
  <c r="D1988" i="18"/>
  <c r="C1988" i="18"/>
  <c r="D1987" i="18"/>
  <c r="C1987" i="18"/>
  <c r="D1986" i="18"/>
  <c r="C1986" i="18"/>
  <c r="D1985" i="18"/>
  <c r="C1985" i="18"/>
  <c r="D1984" i="18"/>
  <c r="C1984" i="18"/>
  <c r="D1983" i="18"/>
  <c r="C1983" i="18"/>
  <c r="D1982" i="18"/>
  <c r="C1982" i="18"/>
  <c r="D1981" i="18"/>
  <c r="C1981" i="18"/>
  <c r="D1980" i="18"/>
  <c r="C1980" i="18"/>
  <c r="D1979" i="18"/>
  <c r="C1979" i="18"/>
  <c r="D1978" i="18"/>
  <c r="C1978" i="18"/>
  <c r="D1977" i="18"/>
  <c r="C1977" i="18"/>
  <c r="D1976" i="18"/>
  <c r="C1976" i="18"/>
  <c r="D1975" i="18"/>
  <c r="C1975" i="18"/>
  <c r="D1974" i="18"/>
  <c r="C1974" i="18"/>
  <c r="D1973" i="18"/>
  <c r="C1973" i="18"/>
  <c r="D1972" i="18"/>
  <c r="C1972" i="18"/>
  <c r="D1971" i="18"/>
  <c r="C1971" i="18"/>
  <c r="D1970" i="18"/>
  <c r="C1970" i="18"/>
  <c r="D1969" i="18"/>
  <c r="C1969" i="18"/>
  <c r="D1968" i="18"/>
  <c r="C1968" i="18"/>
  <c r="D1967" i="18"/>
  <c r="C1967" i="18"/>
  <c r="D1966" i="18"/>
  <c r="C1966" i="18"/>
  <c r="D1965" i="18"/>
  <c r="C1965" i="18"/>
  <c r="D1964" i="18"/>
  <c r="C1964" i="18"/>
  <c r="D1963" i="18"/>
  <c r="C1963" i="18"/>
  <c r="D1962" i="18"/>
  <c r="C1962" i="18"/>
  <c r="D1961" i="18"/>
  <c r="C1961" i="18"/>
  <c r="D1960" i="18"/>
  <c r="C1960" i="18"/>
  <c r="D1959" i="18"/>
  <c r="C1959" i="18"/>
  <c r="D1958" i="18"/>
  <c r="C1958" i="18"/>
  <c r="D1957" i="18"/>
  <c r="C1957" i="18"/>
  <c r="D1956" i="18"/>
  <c r="C1956" i="18"/>
  <c r="D1955" i="18"/>
  <c r="C1955" i="18"/>
  <c r="D1954" i="18"/>
  <c r="C1954" i="18"/>
  <c r="D1953" i="18"/>
  <c r="C1953" i="18"/>
  <c r="D1952" i="18"/>
  <c r="C1952" i="18"/>
  <c r="D1951" i="18"/>
  <c r="C1951" i="18"/>
  <c r="D1950" i="18"/>
  <c r="C1950" i="18"/>
  <c r="D1949" i="18"/>
  <c r="C1949" i="18"/>
  <c r="D1948" i="18"/>
  <c r="C1948" i="18"/>
  <c r="D1947" i="18"/>
  <c r="C1947" i="18"/>
  <c r="D1946" i="18"/>
  <c r="C1946" i="18"/>
  <c r="D1945" i="18"/>
  <c r="C1945" i="18"/>
  <c r="D1944" i="18"/>
  <c r="C1944" i="18"/>
  <c r="D1943" i="18"/>
  <c r="C1943" i="18"/>
  <c r="D1942" i="18"/>
  <c r="C1942" i="18"/>
  <c r="D1941" i="18"/>
  <c r="C1941" i="18"/>
  <c r="D1940" i="18"/>
  <c r="C1940" i="18"/>
  <c r="D1939" i="18"/>
  <c r="C1939" i="18"/>
  <c r="D1938" i="18"/>
  <c r="C1938" i="18"/>
  <c r="D1937" i="18"/>
  <c r="C1937" i="18"/>
  <c r="D1936" i="18"/>
  <c r="C1936" i="18"/>
  <c r="D1935" i="18"/>
  <c r="C1935" i="18"/>
  <c r="D1934" i="18"/>
  <c r="C1934" i="18"/>
  <c r="D1933" i="18"/>
  <c r="C1933" i="18"/>
  <c r="D1932" i="18"/>
  <c r="C1932" i="18"/>
  <c r="D1931" i="18"/>
  <c r="C1931" i="18"/>
  <c r="D1930" i="18"/>
  <c r="C1930" i="18"/>
  <c r="D1929" i="18"/>
  <c r="C1929" i="18"/>
  <c r="D1928" i="18"/>
  <c r="C1928" i="18"/>
  <c r="D1927" i="18"/>
  <c r="C1927" i="18"/>
  <c r="D1926" i="18"/>
  <c r="C1926" i="18"/>
  <c r="D1925" i="18"/>
  <c r="C1925" i="18"/>
  <c r="D1924" i="18"/>
  <c r="C1924" i="18"/>
  <c r="D1923" i="18"/>
  <c r="C1923" i="18"/>
  <c r="D1922" i="18"/>
  <c r="C1922" i="18"/>
  <c r="D1921" i="18"/>
  <c r="C1921" i="18"/>
  <c r="D1920" i="18"/>
  <c r="C1920" i="18"/>
  <c r="D1919" i="18"/>
  <c r="C1919" i="18"/>
  <c r="D1918" i="18"/>
  <c r="C1918" i="18"/>
  <c r="D1917" i="18"/>
  <c r="C1917" i="18"/>
  <c r="D1916" i="18"/>
  <c r="C1916" i="18"/>
  <c r="D1915" i="18"/>
  <c r="C1915" i="18"/>
  <c r="D1914" i="18"/>
  <c r="C1914" i="18"/>
  <c r="D1913" i="18"/>
  <c r="C1913" i="18"/>
  <c r="D1912" i="18"/>
  <c r="C1912" i="18"/>
  <c r="D1911" i="18"/>
  <c r="C1911" i="18"/>
  <c r="D1910" i="18"/>
  <c r="C1910" i="18"/>
  <c r="D1909" i="18"/>
  <c r="C1909" i="18"/>
  <c r="D1908" i="18"/>
  <c r="C1908" i="18"/>
  <c r="D1907" i="18"/>
  <c r="C1907" i="18"/>
  <c r="D1906" i="18"/>
  <c r="C1906" i="18"/>
  <c r="D1905" i="18"/>
  <c r="C1905" i="18"/>
  <c r="D1904" i="18"/>
  <c r="C1904" i="18"/>
  <c r="D1903" i="18"/>
  <c r="C1903" i="18"/>
  <c r="D1902" i="18"/>
  <c r="C1902" i="18"/>
  <c r="D1901" i="18"/>
  <c r="C1901" i="18"/>
  <c r="D1900" i="18"/>
  <c r="C1900" i="18"/>
  <c r="D1899" i="18"/>
  <c r="C1899" i="18"/>
  <c r="D1898" i="18"/>
  <c r="C1898" i="18"/>
  <c r="D1897" i="18"/>
  <c r="C1897" i="18"/>
  <c r="D1896" i="18"/>
  <c r="C1896" i="18"/>
  <c r="D1895" i="18"/>
  <c r="C1895" i="18"/>
  <c r="D1894" i="18"/>
  <c r="C1894" i="18"/>
  <c r="D1893" i="18"/>
  <c r="C1893" i="18"/>
  <c r="D1892" i="18"/>
  <c r="C1892" i="18"/>
  <c r="D1891" i="18"/>
  <c r="C1891" i="18"/>
  <c r="D1890" i="18"/>
  <c r="C1890" i="18"/>
  <c r="D1889" i="18"/>
  <c r="C1889" i="18"/>
  <c r="D1888" i="18"/>
  <c r="C1888" i="18"/>
  <c r="D1887" i="18"/>
  <c r="C1887" i="18"/>
  <c r="D1886" i="18"/>
  <c r="C1886" i="18"/>
  <c r="D1885" i="18"/>
  <c r="C1885" i="18"/>
  <c r="D1884" i="18"/>
  <c r="C1884" i="18"/>
  <c r="D1883" i="18"/>
  <c r="C1883" i="18"/>
  <c r="D1882" i="18"/>
  <c r="C1882" i="18"/>
  <c r="D1881" i="18"/>
  <c r="C1881" i="18"/>
  <c r="D1880" i="18"/>
  <c r="C1880" i="18"/>
  <c r="D1879" i="18"/>
  <c r="C1879" i="18"/>
  <c r="D1878" i="18"/>
  <c r="C1878" i="18"/>
  <c r="D1877" i="18"/>
  <c r="C1877" i="18"/>
  <c r="D1876" i="18"/>
  <c r="C1876" i="18"/>
  <c r="D1875" i="18"/>
  <c r="C1875" i="18"/>
  <c r="D1874" i="18"/>
  <c r="C1874" i="18"/>
  <c r="D1873" i="18"/>
  <c r="C1873" i="18"/>
  <c r="D1872" i="18"/>
  <c r="C1872" i="18"/>
  <c r="D1871" i="18"/>
  <c r="C1871" i="18"/>
  <c r="D1870" i="18"/>
  <c r="C1870" i="18"/>
  <c r="D1869" i="18"/>
  <c r="C1869" i="18"/>
  <c r="D1868" i="18"/>
  <c r="C1868" i="18"/>
  <c r="D1867" i="18"/>
  <c r="C1867" i="18"/>
  <c r="D1866" i="18"/>
  <c r="C1866" i="18"/>
  <c r="D1865" i="18"/>
  <c r="C1865" i="18"/>
  <c r="D1864" i="18"/>
  <c r="C1864" i="18"/>
  <c r="D1863" i="18"/>
  <c r="C1863" i="18"/>
  <c r="D1862" i="18"/>
  <c r="C1862" i="18"/>
  <c r="D1861" i="18"/>
  <c r="C1861" i="18"/>
  <c r="D1860" i="18"/>
  <c r="C1860" i="18"/>
  <c r="D1859" i="18"/>
  <c r="C1859" i="18"/>
  <c r="D1858" i="18"/>
  <c r="C1858" i="18"/>
  <c r="D1857" i="18"/>
  <c r="C1857" i="18"/>
  <c r="D1856" i="18"/>
  <c r="C1856" i="18"/>
  <c r="D1855" i="18"/>
  <c r="C1855" i="18"/>
  <c r="D1854" i="18"/>
  <c r="C1854" i="18"/>
  <c r="D1853" i="18"/>
  <c r="C1853" i="18"/>
  <c r="D1852" i="18"/>
  <c r="C1852" i="18"/>
  <c r="D1851" i="18"/>
  <c r="C1851" i="18"/>
  <c r="D1850" i="18"/>
  <c r="C1850" i="18"/>
  <c r="D1849" i="18"/>
  <c r="C1849" i="18"/>
  <c r="D1848" i="18"/>
  <c r="C1848" i="18"/>
  <c r="D1847" i="18"/>
  <c r="C1847" i="18"/>
  <c r="D1846" i="18"/>
  <c r="C1846" i="18"/>
  <c r="D1845" i="18"/>
  <c r="C1845" i="18"/>
  <c r="D1844" i="18"/>
  <c r="C1844" i="18"/>
  <c r="D1843" i="18"/>
  <c r="C1843" i="18"/>
  <c r="D1842" i="18"/>
  <c r="C1842" i="18"/>
  <c r="D1841" i="18"/>
  <c r="C1841" i="18"/>
  <c r="D1840" i="18"/>
  <c r="C1840" i="18"/>
  <c r="D1839" i="18"/>
  <c r="C1839" i="18"/>
  <c r="D1838" i="18"/>
  <c r="C1838" i="18"/>
  <c r="D1837" i="18"/>
  <c r="C1837" i="18"/>
  <c r="D1836" i="18"/>
  <c r="C1836" i="18"/>
  <c r="D1835" i="18"/>
  <c r="C1835" i="18"/>
  <c r="D1834" i="18"/>
  <c r="C1834" i="18"/>
  <c r="D1833" i="18"/>
  <c r="C1833" i="18"/>
  <c r="D1832" i="18"/>
  <c r="C1832" i="18"/>
  <c r="D1831" i="18"/>
  <c r="C1831" i="18"/>
  <c r="D1830" i="18"/>
  <c r="C1830" i="18"/>
  <c r="D1829" i="18"/>
  <c r="C1829" i="18"/>
  <c r="D1828" i="18"/>
  <c r="C1828" i="18"/>
  <c r="D1827" i="18"/>
  <c r="C1827" i="18"/>
  <c r="D1826" i="18"/>
  <c r="C1826" i="18"/>
  <c r="D1825" i="18"/>
  <c r="C1825" i="18"/>
  <c r="D1824" i="18"/>
  <c r="C1824" i="18"/>
  <c r="D1823" i="18"/>
  <c r="C1823" i="18"/>
  <c r="D1822" i="18"/>
  <c r="C1822" i="18"/>
  <c r="D1821" i="18"/>
  <c r="C1821" i="18"/>
  <c r="D1820" i="18"/>
  <c r="C1820" i="18"/>
  <c r="D1819" i="18"/>
  <c r="C1819" i="18"/>
  <c r="D1818" i="18"/>
  <c r="C1818" i="18"/>
  <c r="D1817" i="18"/>
  <c r="C1817" i="18"/>
  <c r="D1816" i="18"/>
  <c r="C1816" i="18"/>
  <c r="D1815" i="18"/>
  <c r="C1815" i="18"/>
  <c r="D1814" i="18"/>
  <c r="C1814" i="18"/>
  <c r="D1813" i="18"/>
  <c r="C1813" i="18"/>
  <c r="D1812" i="18"/>
  <c r="C1812" i="18"/>
  <c r="D1811" i="18"/>
  <c r="C1811" i="18"/>
  <c r="D1810" i="18"/>
  <c r="C1810" i="18"/>
  <c r="D1809" i="18"/>
  <c r="C1809" i="18"/>
  <c r="D1808" i="18"/>
  <c r="C1808" i="18"/>
  <c r="D1807" i="18"/>
  <c r="C1807" i="18"/>
  <c r="D1806" i="18"/>
  <c r="C1806" i="18"/>
  <c r="D1805" i="18"/>
  <c r="C1805" i="18"/>
  <c r="D1804" i="18"/>
  <c r="C1804" i="18"/>
  <c r="D1803" i="18"/>
  <c r="C1803" i="18"/>
  <c r="D1802" i="18"/>
  <c r="C1802" i="18"/>
  <c r="D1801" i="18"/>
  <c r="C1801" i="18"/>
  <c r="D1800" i="18"/>
  <c r="C1800" i="18"/>
  <c r="D1799" i="18"/>
  <c r="C1799" i="18"/>
  <c r="D1798" i="18"/>
  <c r="C1798" i="18"/>
  <c r="D1797" i="18"/>
  <c r="C1797" i="18"/>
  <c r="D1796" i="18"/>
  <c r="C1796" i="18"/>
  <c r="D1795" i="18"/>
  <c r="C1795" i="18"/>
  <c r="D1794" i="18"/>
  <c r="C1794" i="18"/>
  <c r="D1793" i="18"/>
  <c r="C1793" i="18"/>
  <c r="D1792" i="18"/>
  <c r="C1792" i="18"/>
  <c r="D1791" i="18"/>
  <c r="C1791" i="18"/>
  <c r="D1790" i="18"/>
  <c r="C1790" i="18"/>
  <c r="D1789" i="18"/>
  <c r="C1789" i="18"/>
  <c r="D1788" i="18"/>
  <c r="C1788" i="18"/>
  <c r="D1787" i="18"/>
  <c r="C1787" i="18"/>
  <c r="D1786" i="18"/>
  <c r="C1786" i="18"/>
  <c r="D1785" i="18"/>
  <c r="C1785" i="18"/>
  <c r="D1784" i="18"/>
  <c r="C1784" i="18"/>
  <c r="D1783" i="18"/>
  <c r="C1783" i="18"/>
  <c r="D1782" i="18"/>
  <c r="C1782" i="18"/>
  <c r="D1781" i="18"/>
  <c r="C1781" i="18"/>
  <c r="D1780" i="18"/>
  <c r="C1780" i="18"/>
  <c r="D1779" i="18"/>
  <c r="C1779" i="18"/>
  <c r="D1778" i="18"/>
  <c r="C1778" i="18"/>
  <c r="D1777" i="18"/>
  <c r="C1777" i="18"/>
  <c r="D1776" i="18"/>
  <c r="C1776" i="18"/>
  <c r="D1775" i="18"/>
  <c r="C1775" i="18"/>
  <c r="D1774" i="18"/>
  <c r="C1774" i="18"/>
  <c r="D1773" i="18"/>
  <c r="C1773" i="18"/>
  <c r="D1772" i="18"/>
  <c r="C1772" i="18"/>
  <c r="D1771" i="18"/>
  <c r="C1771" i="18"/>
  <c r="D1770" i="18"/>
  <c r="C1770" i="18"/>
  <c r="D1769" i="18"/>
  <c r="C1769" i="18"/>
  <c r="D1768" i="18"/>
  <c r="C1768" i="18"/>
  <c r="D1767" i="18"/>
  <c r="C1767" i="18"/>
  <c r="D1766" i="18"/>
  <c r="C1766" i="18"/>
  <c r="D1765" i="18"/>
  <c r="C1765" i="18"/>
  <c r="D1764" i="18"/>
  <c r="C1764" i="18"/>
  <c r="D1763" i="18"/>
  <c r="C1763" i="18"/>
  <c r="D1762" i="18"/>
  <c r="C1762" i="18"/>
  <c r="D1761" i="18"/>
  <c r="C1761" i="18"/>
  <c r="D1760" i="18"/>
  <c r="C1760" i="18"/>
  <c r="D1759" i="18"/>
  <c r="C1759" i="18"/>
  <c r="D1758" i="18"/>
  <c r="C1758" i="18"/>
  <c r="D1757" i="18"/>
  <c r="C1757" i="18"/>
  <c r="D1756" i="18"/>
  <c r="C1756" i="18"/>
  <c r="D1755" i="18"/>
  <c r="C1755" i="18"/>
  <c r="D1754" i="18"/>
  <c r="C1754" i="18"/>
  <c r="D1753" i="18"/>
  <c r="C1753" i="18"/>
  <c r="D1752" i="18"/>
  <c r="C1752" i="18"/>
  <c r="D1751" i="18"/>
  <c r="C1751" i="18"/>
  <c r="D1750" i="18"/>
  <c r="C1750" i="18"/>
  <c r="D1749" i="18"/>
  <c r="C1749" i="18"/>
  <c r="D1748" i="18"/>
  <c r="C1748" i="18"/>
  <c r="D1747" i="18"/>
  <c r="C1747" i="18"/>
  <c r="D1746" i="18"/>
  <c r="C1746" i="18"/>
  <c r="D1745" i="18"/>
  <c r="C1745" i="18"/>
  <c r="D1744" i="18"/>
  <c r="C1744" i="18"/>
  <c r="D1743" i="18"/>
  <c r="C1743" i="18"/>
  <c r="D1742" i="18"/>
  <c r="C1742" i="18"/>
  <c r="D1741" i="18"/>
  <c r="C1741" i="18"/>
  <c r="D1740" i="18"/>
  <c r="C1740" i="18"/>
  <c r="D1739" i="18"/>
  <c r="C1739" i="18"/>
  <c r="D1738" i="18"/>
  <c r="C1738" i="18"/>
  <c r="D1737" i="18"/>
  <c r="C1737" i="18"/>
  <c r="D1736" i="18"/>
  <c r="C1736" i="18"/>
  <c r="D1735" i="18"/>
  <c r="C1735" i="18"/>
  <c r="D1734" i="18"/>
  <c r="C1734" i="18"/>
  <c r="D1733" i="18"/>
  <c r="C1733" i="18"/>
  <c r="D1732" i="18"/>
  <c r="C1732" i="18"/>
  <c r="D1731" i="18"/>
  <c r="C1731" i="18"/>
  <c r="D1730" i="18"/>
  <c r="C1730" i="18"/>
  <c r="D1729" i="18"/>
  <c r="C1729" i="18"/>
  <c r="D1728" i="18"/>
  <c r="C1728" i="18"/>
  <c r="D1727" i="18"/>
  <c r="C1727" i="18"/>
  <c r="D1726" i="18"/>
  <c r="C1726" i="18"/>
  <c r="D1725" i="18"/>
  <c r="C1725" i="18"/>
  <c r="D1724" i="18"/>
  <c r="C1724" i="18"/>
  <c r="D1723" i="18"/>
  <c r="C1723" i="18"/>
  <c r="D1722" i="18"/>
  <c r="C1722" i="18"/>
  <c r="D1721" i="18"/>
  <c r="C1721" i="18"/>
  <c r="D1720" i="18"/>
  <c r="C1720" i="18"/>
  <c r="D1719" i="18"/>
  <c r="C1719" i="18"/>
  <c r="D1718" i="18"/>
  <c r="C1718" i="18"/>
  <c r="D1717" i="18"/>
  <c r="C1717" i="18"/>
  <c r="D1716" i="18"/>
  <c r="C1716" i="18"/>
  <c r="D1715" i="18"/>
  <c r="C1715" i="18"/>
  <c r="D1714" i="18"/>
  <c r="C1714" i="18"/>
  <c r="D1713" i="18"/>
  <c r="C1713" i="18"/>
  <c r="D1712" i="18"/>
  <c r="C1712" i="18"/>
  <c r="D1711" i="18"/>
  <c r="C1711" i="18"/>
  <c r="D1710" i="18"/>
  <c r="C1710" i="18"/>
  <c r="D1709" i="18"/>
  <c r="C1709" i="18"/>
  <c r="D1708" i="18"/>
  <c r="C1708" i="18"/>
  <c r="D1707" i="18"/>
  <c r="C1707" i="18"/>
  <c r="D1706" i="18"/>
  <c r="C1706" i="18"/>
  <c r="D1705" i="18"/>
  <c r="C1705" i="18"/>
  <c r="D1704" i="18"/>
  <c r="C1704" i="18"/>
  <c r="D1703" i="18"/>
  <c r="C1703" i="18"/>
  <c r="D1702" i="18"/>
  <c r="C1702" i="18"/>
  <c r="D1701" i="18"/>
  <c r="C1701" i="18"/>
  <c r="D1700" i="18"/>
  <c r="C1700" i="18"/>
  <c r="D1699" i="18"/>
  <c r="C1699" i="18"/>
  <c r="D1698" i="18"/>
  <c r="C1698" i="18"/>
  <c r="D1697" i="18"/>
  <c r="C1697" i="18"/>
  <c r="D1696" i="18"/>
  <c r="C1696" i="18"/>
  <c r="D1695" i="18"/>
  <c r="C1695" i="18"/>
  <c r="D1694" i="18"/>
  <c r="C1694" i="18"/>
  <c r="D1693" i="18"/>
  <c r="C1693" i="18"/>
  <c r="D1692" i="18"/>
  <c r="C1692" i="18"/>
  <c r="D1691" i="18"/>
  <c r="C1691" i="18"/>
  <c r="D1690" i="18"/>
  <c r="C1690" i="18"/>
  <c r="D1689" i="18"/>
  <c r="C1689" i="18"/>
  <c r="D1688" i="18"/>
  <c r="C1688" i="18"/>
  <c r="D1687" i="18"/>
  <c r="C1687" i="18"/>
  <c r="D1686" i="18"/>
  <c r="C1686" i="18"/>
  <c r="D1685" i="18"/>
  <c r="C1685" i="18"/>
  <c r="D1684" i="18"/>
  <c r="C1684" i="18"/>
  <c r="D1683" i="18"/>
  <c r="C1683" i="18"/>
  <c r="D1682" i="18"/>
  <c r="C1682" i="18"/>
  <c r="D1681" i="18"/>
  <c r="C1681" i="18"/>
  <c r="D1680" i="18"/>
  <c r="C1680" i="18"/>
  <c r="D1679" i="18"/>
  <c r="C1679" i="18"/>
  <c r="D1678" i="18"/>
  <c r="C1678" i="18"/>
  <c r="D1677" i="18"/>
  <c r="C1677" i="18"/>
  <c r="D1676" i="18"/>
  <c r="C1676" i="18"/>
  <c r="D1675" i="18"/>
  <c r="C1675" i="18"/>
  <c r="D1674" i="18"/>
  <c r="C1674" i="18"/>
  <c r="D1673" i="18"/>
  <c r="C1673" i="18"/>
  <c r="D1672" i="18"/>
  <c r="C1672" i="18"/>
  <c r="D1671" i="18"/>
  <c r="C1671" i="18"/>
  <c r="D1670" i="18"/>
  <c r="C1670" i="18"/>
  <c r="D1669" i="18"/>
  <c r="C1669" i="18"/>
  <c r="D1668" i="18"/>
  <c r="C1668" i="18"/>
  <c r="D1667" i="18"/>
  <c r="C1667" i="18"/>
  <c r="D1666" i="18"/>
  <c r="C1666" i="18"/>
  <c r="D1665" i="18"/>
  <c r="C1665" i="18"/>
  <c r="D1664" i="18"/>
  <c r="C1664" i="18"/>
  <c r="D1663" i="18"/>
  <c r="C1663" i="18"/>
  <c r="D1662" i="18"/>
  <c r="C1662" i="18"/>
  <c r="D1661" i="18"/>
  <c r="C1661" i="18"/>
  <c r="D1660" i="18"/>
  <c r="C1660" i="18"/>
  <c r="D1659" i="18"/>
  <c r="C1659" i="18"/>
  <c r="D1658" i="18"/>
  <c r="C1658" i="18"/>
  <c r="D1657" i="18"/>
  <c r="C1657" i="18"/>
  <c r="D1656" i="18"/>
  <c r="C1656" i="18"/>
  <c r="D1655" i="18"/>
  <c r="C1655" i="18"/>
  <c r="D1654" i="18"/>
  <c r="C1654" i="18"/>
  <c r="D1653" i="18"/>
  <c r="C1653" i="18"/>
  <c r="D1652" i="18"/>
  <c r="C1652" i="18"/>
  <c r="D1651" i="18"/>
  <c r="C1651" i="18"/>
  <c r="D1650" i="18"/>
  <c r="C1650" i="18"/>
  <c r="D1649" i="18"/>
  <c r="C1649" i="18"/>
  <c r="D1648" i="18"/>
  <c r="C1648" i="18"/>
  <c r="D1647" i="18"/>
  <c r="C1647" i="18"/>
  <c r="D1646" i="18"/>
  <c r="C1646" i="18"/>
  <c r="D1645" i="18"/>
  <c r="C1645" i="18"/>
  <c r="D1644" i="18"/>
  <c r="C1644" i="18"/>
  <c r="D1643" i="18"/>
  <c r="C1643" i="18"/>
  <c r="D1642" i="18"/>
  <c r="C1642" i="18"/>
  <c r="D1641" i="18"/>
  <c r="C1641" i="18"/>
  <c r="D1640" i="18"/>
  <c r="C1640" i="18"/>
  <c r="D1639" i="18"/>
  <c r="C1639" i="18"/>
  <c r="D1638" i="18"/>
  <c r="C1638" i="18"/>
  <c r="D1637" i="18"/>
  <c r="C1637" i="18"/>
  <c r="D1636" i="18"/>
  <c r="C1636" i="18"/>
  <c r="D1635" i="18"/>
  <c r="C1635" i="18"/>
  <c r="D1634" i="18"/>
  <c r="C1634" i="18"/>
  <c r="D1633" i="18"/>
  <c r="C1633" i="18"/>
  <c r="D1632" i="18"/>
  <c r="C1632" i="18"/>
  <c r="D1631" i="18"/>
  <c r="C1631" i="18"/>
  <c r="D1630" i="18"/>
  <c r="C1630" i="18"/>
  <c r="D1629" i="18"/>
  <c r="C1629" i="18"/>
  <c r="D1628" i="18"/>
  <c r="C1628" i="18"/>
  <c r="D1627" i="18"/>
  <c r="C1627" i="18"/>
  <c r="D1626" i="18"/>
  <c r="C1626" i="18"/>
  <c r="D1625" i="18"/>
  <c r="C1625" i="18"/>
  <c r="D1624" i="18"/>
  <c r="C1624" i="18"/>
  <c r="D1623" i="18"/>
  <c r="C1623" i="18"/>
  <c r="D1622" i="18"/>
  <c r="C1622" i="18"/>
  <c r="D1621" i="18"/>
  <c r="C1621" i="18"/>
  <c r="D1620" i="18"/>
  <c r="C1620" i="18"/>
  <c r="D1619" i="18"/>
  <c r="C1619" i="18"/>
  <c r="D1618" i="18"/>
  <c r="C1618" i="18"/>
  <c r="D1617" i="18"/>
  <c r="C1617" i="18"/>
  <c r="D1616" i="18"/>
  <c r="C1616" i="18"/>
  <c r="D1615" i="18"/>
  <c r="C1615" i="18"/>
  <c r="D1614" i="18"/>
  <c r="C1614" i="18"/>
  <c r="D1613" i="18"/>
  <c r="C1613" i="18"/>
  <c r="D1612" i="18"/>
  <c r="C1612" i="18"/>
  <c r="D1611" i="18"/>
  <c r="C1611" i="18"/>
  <c r="D1610" i="18"/>
  <c r="C1610" i="18"/>
  <c r="D1609" i="18"/>
  <c r="C1609" i="18"/>
  <c r="D1608" i="18"/>
  <c r="C1608" i="18"/>
  <c r="D1607" i="18"/>
  <c r="C1607" i="18"/>
  <c r="D1606" i="18"/>
  <c r="C1606" i="18"/>
  <c r="D1605" i="18"/>
  <c r="C1605" i="18"/>
  <c r="D1604" i="18"/>
  <c r="C1604" i="18"/>
  <c r="D1603" i="18"/>
  <c r="C1603" i="18"/>
  <c r="D1602" i="18"/>
  <c r="C1602" i="18"/>
  <c r="D1601" i="18"/>
  <c r="C1601" i="18"/>
  <c r="D1600" i="18"/>
  <c r="C1600" i="18"/>
  <c r="D1599" i="18"/>
  <c r="C1599" i="18"/>
  <c r="D1598" i="18"/>
  <c r="C1598" i="18"/>
  <c r="D1597" i="18"/>
  <c r="C1597" i="18"/>
  <c r="D1596" i="18"/>
  <c r="C1596" i="18"/>
  <c r="D1595" i="18"/>
  <c r="C1595" i="18"/>
  <c r="D1594" i="18"/>
  <c r="C1594" i="18"/>
  <c r="D1593" i="18"/>
  <c r="C1593" i="18"/>
  <c r="D1592" i="18"/>
  <c r="C1592" i="18"/>
  <c r="D1591" i="18"/>
  <c r="C1591" i="18"/>
  <c r="D1590" i="18"/>
  <c r="C1590" i="18"/>
  <c r="D1589" i="18"/>
  <c r="C1589" i="18"/>
  <c r="D1588" i="18"/>
  <c r="C1588" i="18"/>
  <c r="D1587" i="18"/>
  <c r="C1587" i="18"/>
  <c r="D1586" i="18"/>
  <c r="C1586" i="18"/>
  <c r="D1585" i="18"/>
  <c r="C1585" i="18"/>
  <c r="D1584" i="18"/>
  <c r="C1584" i="18"/>
  <c r="D1583" i="18"/>
  <c r="C1583" i="18"/>
  <c r="D1582" i="18"/>
  <c r="C1582" i="18"/>
  <c r="D1581" i="18"/>
  <c r="C1581" i="18"/>
  <c r="D1580" i="18"/>
  <c r="C1580" i="18"/>
  <c r="D1579" i="18"/>
  <c r="C1579" i="18"/>
  <c r="D1578" i="18"/>
  <c r="C1578" i="18"/>
  <c r="D1577" i="18"/>
  <c r="C1577" i="18"/>
  <c r="D1576" i="18"/>
  <c r="C1576" i="18"/>
  <c r="D1575" i="18"/>
  <c r="C1575" i="18"/>
  <c r="D1574" i="18"/>
  <c r="C1574" i="18"/>
  <c r="D1573" i="18"/>
  <c r="C1573" i="18"/>
  <c r="D1572" i="18"/>
  <c r="C1572" i="18"/>
  <c r="D1571" i="18"/>
  <c r="C1571" i="18"/>
  <c r="D1570" i="18"/>
  <c r="C1570" i="18"/>
  <c r="D1569" i="18"/>
  <c r="C1569" i="18"/>
  <c r="D1568" i="18"/>
  <c r="C1568" i="18"/>
  <c r="D1567" i="18"/>
  <c r="C1567" i="18"/>
  <c r="D1566" i="18"/>
  <c r="C1566" i="18"/>
  <c r="D1565" i="18"/>
  <c r="C1565" i="18"/>
  <c r="D1564" i="18"/>
  <c r="C1564" i="18"/>
  <c r="D1563" i="18"/>
  <c r="C1563" i="18"/>
  <c r="D1562" i="18"/>
  <c r="C1562" i="18"/>
  <c r="D1561" i="18"/>
  <c r="C1561" i="18"/>
  <c r="D1560" i="18"/>
  <c r="C1560" i="18"/>
  <c r="D1559" i="18"/>
  <c r="C1559" i="18"/>
  <c r="D1558" i="18"/>
  <c r="C1558" i="18"/>
  <c r="D1557" i="18"/>
  <c r="C1557" i="18"/>
  <c r="D1556" i="18"/>
  <c r="C1556" i="18"/>
  <c r="D1555" i="18"/>
  <c r="C1555" i="18"/>
  <c r="D1554" i="18"/>
  <c r="C1554" i="18"/>
  <c r="D1553" i="18"/>
  <c r="C1553" i="18"/>
  <c r="D1552" i="18"/>
  <c r="C1552" i="18"/>
  <c r="D1551" i="18"/>
  <c r="C1551" i="18"/>
  <c r="D1550" i="18"/>
  <c r="C1550" i="18"/>
  <c r="D1549" i="18"/>
  <c r="C1549" i="18"/>
  <c r="D1548" i="18"/>
  <c r="C1548" i="18"/>
  <c r="D1547" i="18"/>
  <c r="C1547" i="18"/>
  <c r="D1546" i="18"/>
  <c r="C1546" i="18"/>
  <c r="D1545" i="18"/>
  <c r="C1545" i="18"/>
  <c r="D1544" i="18"/>
  <c r="C1544" i="18"/>
  <c r="D1543" i="18"/>
  <c r="C1543" i="18"/>
  <c r="D1542" i="18"/>
  <c r="C1542" i="18"/>
  <c r="D1541" i="18"/>
  <c r="C1541" i="18"/>
  <c r="D1540" i="18"/>
  <c r="C1540" i="18"/>
  <c r="D1539" i="18"/>
  <c r="C1539" i="18"/>
  <c r="D1538" i="18"/>
  <c r="C1538" i="18"/>
  <c r="D1537" i="18"/>
  <c r="C1537" i="18"/>
  <c r="D1536" i="18"/>
  <c r="C1536" i="18"/>
  <c r="D1535" i="18"/>
  <c r="C1535" i="18"/>
  <c r="D1534" i="18"/>
  <c r="C1534" i="18"/>
  <c r="D1533" i="18"/>
  <c r="C1533" i="18"/>
  <c r="D1532" i="18"/>
  <c r="C1532" i="18"/>
  <c r="D1531" i="18"/>
  <c r="C1531" i="18"/>
  <c r="D1530" i="18"/>
  <c r="C1530" i="18"/>
  <c r="D1529" i="18"/>
  <c r="C1529" i="18"/>
  <c r="D1528" i="18"/>
  <c r="C1528" i="18"/>
  <c r="D1527" i="18"/>
  <c r="C1527" i="18"/>
  <c r="D1526" i="18"/>
  <c r="C1526" i="18"/>
  <c r="D1525" i="18"/>
  <c r="C1525" i="18"/>
  <c r="D1524" i="18"/>
  <c r="C1524" i="18"/>
  <c r="D1523" i="18"/>
  <c r="C1523" i="18"/>
  <c r="D1522" i="18"/>
  <c r="C1522" i="18"/>
  <c r="D1521" i="18"/>
  <c r="C1521" i="18"/>
  <c r="D1520" i="18"/>
  <c r="C1520" i="18"/>
  <c r="D1519" i="18"/>
  <c r="C1519" i="18"/>
  <c r="D1518" i="18"/>
  <c r="C1518" i="18"/>
  <c r="D1517" i="18"/>
  <c r="C1517" i="18"/>
  <c r="D1516" i="18"/>
  <c r="C1516" i="18"/>
  <c r="D1515" i="18"/>
  <c r="C1515" i="18"/>
  <c r="D1514" i="18"/>
  <c r="C1514" i="18"/>
  <c r="D1513" i="18"/>
  <c r="C1513" i="18"/>
  <c r="D1512" i="18"/>
  <c r="C1512" i="18"/>
  <c r="D1511" i="18"/>
  <c r="C1511" i="18"/>
  <c r="D1510" i="18"/>
  <c r="C1510" i="18"/>
  <c r="D1509" i="18"/>
  <c r="C1509" i="18"/>
  <c r="D1508" i="18"/>
  <c r="C1508" i="18"/>
  <c r="D1507" i="18"/>
  <c r="C1507" i="18"/>
  <c r="D1506" i="18"/>
  <c r="C1506" i="18"/>
  <c r="D1505" i="18"/>
  <c r="C1505" i="18"/>
  <c r="D1504" i="18"/>
  <c r="C1504" i="18"/>
  <c r="D1503" i="18"/>
  <c r="C1503" i="18"/>
  <c r="D1502" i="18"/>
  <c r="C1502" i="18"/>
  <c r="D1501" i="18"/>
  <c r="C1501" i="18"/>
  <c r="D1500" i="18"/>
  <c r="C1500" i="18"/>
  <c r="D1499" i="18"/>
  <c r="C1499" i="18"/>
  <c r="D1498" i="18"/>
  <c r="C1498" i="18"/>
  <c r="D1497" i="18"/>
  <c r="C1497" i="18"/>
  <c r="D1496" i="18"/>
  <c r="C1496" i="18"/>
  <c r="D1495" i="18"/>
  <c r="C1495" i="18"/>
  <c r="D1494" i="18"/>
  <c r="C1494" i="18"/>
  <c r="D1493" i="18"/>
  <c r="C1493" i="18"/>
  <c r="D1492" i="18"/>
  <c r="C1492" i="18"/>
  <c r="D1491" i="18"/>
  <c r="C1491" i="18"/>
  <c r="D1490" i="18"/>
  <c r="C1490" i="18"/>
  <c r="D1489" i="18"/>
  <c r="C1489" i="18"/>
  <c r="D1488" i="18"/>
  <c r="C1488" i="18"/>
  <c r="D1487" i="18"/>
  <c r="C1487" i="18"/>
  <c r="D1486" i="18"/>
  <c r="C1486" i="18"/>
  <c r="D1485" i="18"/>
  <c r="C1485" i="18"/>
  <c r="D1484" i="18"/>
  <c r="C1484" i="18"/>
  <c r="D1483" i="18"/>
  <c r="C1483" i="18"/>
  <c r="D1482" i="18"/>
  <c r="C1482" i="18"/>
  <c r="D1481" i="18"/>
  <c r="C1481" i="18"/>
  <c r="D1480" i="18"/>
  <c r="C1480" i="18"/>
  <c r="D1479" i="18"/>
  <c r="C1479" i="18"/>
  <c r="D1478" i="18"/>
  <c r="C1478" i="18"/>
  <c r="D1477" i="18"/>
  <c r="C1477" i="18"/>
  <c r="D1476" i="18"/>
  <c r="C1476" i="18"/>
  <c r="D1475" i="18"/>
  <c r="C1475" i="18"/>
  <c r="D1474" i="18"/>
  <c r="C1474" i="18"/>
  <c r="D1473" i="18"/>
  <c r="C1473" i="18"/>
  <c r="D1472" i="18"/>
  <c r="C1472" i="18"/>
  <c r="D1471" i="18"/>
  <c r="C1471" i="18"/>
  <c r="D1470" i="18"/>
  <c r="C1470" i="18"/>
  <c r="D1469" i="18"/>
  <c r="C1469" i="18"/>
  <c r="D1468" i="18"/>
  <c r="C1468" i="18"/>
  <c r="D1467" i="18"/>
  <c r="C1467" i="18"/>
  <c r="D1466" i="18"/>
  <c r="C1466" i="18"/>
  <c r="D1465" i="18"/>
  <c r="C1465" i="18"/>
  <c r="D1464" i="18"/>
  <c r="C1464" i="18"/>
  <c r="D1463" i="18"/>
  <c r="C1463" i="18"/>
  <c r="D1462" i="18"/>
  <c r="C1462" i="18"/>
  <c r="D1461" i="18"/>
  <c r="C1461" i="18"/>
  <c r="D1460" i="18"/>
  <c r="C1460" i="18"/>
  <c r="D1459" i="18"/>
  <c r="C1459" i="18"/>
  <c r="D1458" i="18"/>
  <c r="C1458" i="18"/>
  <c r="D1457" i="18"/>
  <c r="C1457" i="18"/>
  <c r="D1456" i="18"/>
  <c r="C1456" i="18"/>
  <c r="D1455" i="18"/>
  <c r="C1455" i="18"/>
  <c r="D1454" i="18"/>
  <c r="C1454" i="18"/>
  <c r="D1453" i="18"/>
  <c r="C1453" i="18"/>
  <c r="D1452" i="18"/>
  <c r="C1452" i="18"/>
  <c r="D1451" i="18"/>
  <c r="C1451" i="18"/>
  <c r="D1450" i="18"/>
  <c r="C1450" i="18"/>
  <c r="D1449" i="18"/>
  <c r="C1449" i="18"/>
  <c r="D1448" i="18"/>
  <c r="C1448" i="18"/>
  <c r="D1447" i="18"/>
  <c r="C1447" i="18"/>
  <c r="D1446" i="18"/>
  <c r="C1446" i="18"/>
  <c r="D1445" i="18"/>
  <c r="C1445" i="18"/>
  <c r="D1444" i="18"/>
  <c r="C1444" i="18"/>
  <c r="D1443" i="18"/>
  <c r="C1443" i="18"/>
  <c r="D1442" i="18"/>
  <c r="C1442" i="18"/>
  <c r="D1441" i="18"/>
  <c r="C1441" i="18"/>
  <c r="D1440" i="18"/>
  <c r="C1440" i="18"/>
  <c r="D1439" i="18"/>
  <c r="C1439" i="18"/>
  <c r="D1438" i="18"/>
  <c r="C1438" i="18"/>
  <c r="D1437" i="18"/>
  <c r="C1437" i="18"/>
  <c r="D1436" i="18"/>
  <c r="C1436" i="18"/>
  <c r="D1435" i="18"/>
  <c r="C1435" i="18"/>
  <c r="D1434" i="18"/>
  <c r="C1434" i="18"/>
  <c r="D1433" i="18"/>
  <c r="C1433" i="18"/>
  <c r="D1432" i="18"/>
  <c r="C1432" i="18"/>
  <c r="D1431" i="18"/>
  <c r="C1431" i="18"/>
  <c r="D1430" i="18"/>
  <c r="C1430" i="18"/>
  <c r="D1429" i="18"/>
  <c r="C1429" i="18"/>
  <c r="D1428" i="18"/>
  <c r="C1428" i="18"/>
  <c r="D1427" i="18"/>
  <c r="C1427" i="18"/>
  <c r="D1426" i="18"/>
  <c r="C1426" i="18"/>
  <c r="D1425" i="18"/>
  <c r="C1425" i="18"/>
  <c r="D1424" i="18"/>
  <c r="C1424" i="18"/>
  <c r="D1423" i="18"/>
  <c r="C1423" i="18"/>
  <c r="D1422" i="18"/>
  <c r="C1422" i="18"/>
  <c r="D1421" i="18"/>
  <c r="C1421" i="18"/>
  <c r="D1420" i="18"/>
  <c r="C1420" i="18"/>
  <c r="D1419" i="18"/>
  <c r="C1419" i="18"/>
  <c r="D1418" i="18"/>
  <c r="C1418" i="18"/>
  <c r="D1417" i="18"/>
  <c r="C1417" i="18"/>
  <c r="D1416" i="18"/>
  <c r="C1416" i="18"/>
  <c r="D1415" i="18"/>
  <c r="C1415" i="18"/>
  <c r="D1414" i="18"/>
  <c r="C1414" i="18"/>
  <c r="D1413" i="18"/>
  <c r="C1413" i="18"/>
  <c r="D1412" i="18"/>
  <c r="C1412" i="18"/>
  <c r="D1411" i="18"/>
  <c r="C1411" i="18"/>
  <c r="D1410" i="18"/>
  <c r="C1410" i="18"/>
  <c r="D1409" i="18"/>
  <c r="C1409" i="18"/>
  <c r="D1408" i="18"/>
  <c r="C1408" i="18"/>
  <c r="D1407" i="18"/>
  <c r="C1407" i="18"/>
  <c r="D1406" i="18"/>
  <c r="C1406" i="18"/>
  <c r="D1405" i="18"/>
  <c r="C1405" i="18"/>
  <c r="D1404" i="18"/>
  <c r="C1404" i="18"/>
  <c r="D1403" i="18"/>
  <c r="C1403" i="18"/>
  <c r="D1402" i="18"/>
  <c r="C1402" i="18"/>
  <c r="D1401" i="18"/>
  <c r="C1401" i="18"/>
  <c r="D1400" i="18"/>
  <c r="C1400" i="18"/>
  <c r="D1399" i="18"/>
  <c r="C1399" i="18"/>
  <c r="D1398" i="18"/>
  <c r="C1398" i="18"/>
  <c r="D1397" i="18"/>
  <c r="C1397" i="18"/>
  <c r="D1396" i="18"/>
  <c r="C1396" i="18"/>
  <c r="D1395" i="18"/>
  <c r="C1395" i="18"/>
  <c r="D1394" i="18"/>
  <c r="C1394" i="18"/>
  <c r="D1393" i="18"/>
  <c r="C1393" i="18"/>
  <c r="D1392" i="18"/>
  <c r="C1392" i="18"/>
  <c r="D1391" i="18"/>
  <c r="C1391" i="18"/>
  <c r="D1390" i="18"/>
  <c r="C1390" i="18"/>
  <c r="D1389" i="18"/>
  <c r="C1389" i="18"/>
  <c r="D1388" i="18"/>
  <c r="C1388" i="18"/>
  <c r="D1387" i="18"/>
  <c r="C1387" i="18"/>
  <c r="D1386" i="18"/>
  <c r="C1386" i="18"/>
  <c r="D1385" i="18"/>
  <c r="C1385" i="18"/>
  <c r="D1384" i="18"/>
  <c r="C1384" i="18"/>
  <c r="D1383" i="18"/>
  <c r="C1383" i="18"/>
  <c r="D1382" i="18"/>
  <c r="C1382" i="18"/>
  <c r="D1381" i="18"/>
  <c r="C1381" i="18"/>
  <c r="D1380" i="18"/>
  <c r="C1380" i="18"/>
  <c r="D1379" i="18"/>
  <c r="C1379" i="18"/>
  <c r="D1378" i="18"/>
  <c r="C1378" i="18"/>
  <c r="D1377" i="18"/>
  <c r="C1377" i="18"/>
  <c r="D1376" i="18"/>
  <c r="C1376" i="18"/>
  <c r="D1375" i="18"/>
  <c r="C1375" i="18"/>
  <c r="D1374" i="18"/>
  <c r="C1374" i="18"/>
  <c r="D1373" i="18"/>
  <c r="C1373" i="18"/>
  <c r="D1372" i="18"/>
  <c r="C1372" i="18"/>
  <c r="D1371" i="18"/>
  <c r="C1371" i="18"/>
  <c r="D1370" i="18"/>
  <c r="C1370" i="18"/>
  <c r="D1369" i="18"/>
  <c r="C1369" i="18"/>
  <c r="D1368" i="18"/>
  <c r="C1368" i="18"/>
  <c r="D1367" i="18"/>
  <c r="C1367" i="18"/>
  <c r="D1366" i="18"/>
  <c r="C1366" i="18"/>
  <c r="D1365" i="18"/>
  <c r="C1365" i="18"/>
  <c r="D1364" i="18"/>
  <c r="C1364" i="18"/>
  <c r="D1363" i="18"/>
  <c r="C1363" i="18"/>
  <c r="D1362" i="18"/>
  <c r="C1362" i="18"/>
  <c r="D1361" i="18"/>
  <c r="C1361" i="18"/>
  <c r="D1360" i="18"/>
  <c r="C1360" i="18"/>
  <c r="D1359" i="18"/>
  <c r="C1359" i="18"/>
  <c r="D1358" i="18"/>
  <c r="C1358" i="18"/>
  <c r="D1357" i="18"/>
  <c r="C1357" i="18"/>
  <c r="D1356" i="18"/>
  <c r="C1356" i="18"/>
  <c r="D1355" i="18"/>
  <c r="C1355" i="18"/>
  <c r="D1354" i="18"/>
  <c r="C1354" i="18"/>
  <c r="D1353" i="18"/>
  <c r="C1353" i="18"/>
  <c r="D1352" i="18"/>
  <c r="C1352" i="18"/>
  <c r="D1351" i="18"/>
  <c r="C1351" i="18"/>
  <c r="D1350" i="18"/>
  <c r="C1350" i="18"/>
  <c r="D1349" i="18"/>
  <c r="C1349" i="18"/>
  <c r="D1348" i="18"/>
  <c r="C1348" i="18"/>
  <c r="D1347" i="18"/>
  <c r="C1347" i="18"/>
  <c r="D1346" i="18"/>
  <c r="C1346" i="18"/>
  <c r="D1345" i="18"/>
  <c r="C1345" i="18"/>
  <c r="D1344" i="18"/>
  <c r="C1344" i="18"/>
  <c r="D1343" i="18"/>
  <c r="C1343" i="18"/>
  <c r="D1342" i="18"/>
  <c r="C1342" i="18"/>
  <c r="D1341" i="18"/>
  <c r="C1341" i="18"/>
  <c r="D1340" i="18"/>
  <c r="C1340" i="18"/>
  <c r="D1339" i="18"/>
  <c r="C1339" i="18"/>
  <c r="D1338" i="18"/>
  <c r="C1338" i="18"/>
  <c r="D1337" i="18"/>
  <c r="C1337" i="18"/>
  <c r="D1336" i="18"/>
  <c r="C1336" i="18"/>
  <c r="D1335" i="18"/>
  <c r="C1335" i="18"/>
  <c r="D1334" i="18"/>
  <c r="C1334" i="18"/>
  <c r="D1333" i="18"/>
  <c r="C1333" i="18"/>
  <c r="D1332" i="18"/>
  <c r="C1332" i="18"/>
  <c r="D1331" i="18"/>
  <c r="C1331" i="18"/>
  <c r="D1330" i="18"/>
  <c r="C1330" i="18"/>
  <c r="D1329" i="18"/>
  <c r="C1329" i="18"/>
  <c r="D1328" i="18"/>
  <c r="C1328" i="18"/>
  <c r="D1327" i="18"/>
  <c r="C1327" i="18"/>
  <c r="D1326" i="18"/>
  <c r="C1326" i="18"/>
  <c r="D1325" i="18"/>
  <c r="C1325" i="18"/>
  <c r="D1324" i="18"/>
  <c r="C1324" i="18"/>
  <c r="D1323" i="18"/>
  <c r="C1323" i="18"/>
  <c r="D1322" i="18"/>
  <c r="C1322" i="18"/>
  <c r="D1321" i="18"/>
  <c r="C1321" i="18"/>
  <c r="D1320" i="18"/>
  <c r="C1320" i="18"/>
  <c r="D1319" i="18"/>
  <c r="C1319" i="18"/>
  <c r="D1318" i="18"/>
  <c r="C1318" i="18"/>
  <c r="D1317" i="18"/>
  <c r="C1317" i="18"/>
  <c r="D1316" i="18"/>
  <c r="C1316" i="18"/>
  <c r="D1315" i="18"/>
  <c r="C1315" i="18"/>
  <c r="D1314" i="18"/>
  <c r="C1314" i="18"/>
  <c r="D1313" i="18"/>
  <c r="C1313" i="18"/>
  <c r="D1312" i="18"/>
  <c r="C1312" i="18"/>
  <c r="D1311" i="18"/>
  <c r="C1311" i="18"/>
  <c r="D1310" i="18"/>
  <c r="C1310" i="18"/>
  <c r="D1309" i="18"/>
  <c r="C1309" i="18"/>
  <c r="D1308" i="18"/>
  <c r="C1308" i="18"/>
  <c r="D1307" i="18"/>
  <c r="C1307" i="18"/>
  <c r="D1306" i="18"/>
  <c r="C1306" i="18"/>
  <c r="D1305" i="18"/>
  <c r="C1305" i="18"/>
  <c r="D1304" i="18"/>
  <c r="C1304" i="18"/>
  <c r="D1303" i="18"/>
  <c r="C1303" i="18"/>
  <c r="D1302" i="18"/>
  <c r="C1302" i="18"/>
  <c r="D1301" i="18"/>
  <c r="C1301" i="18"/>
  <c r="D1300" i="18"/>
  <c r="C1300" i="18"/>
  <c r="D1299" i="18"/>
  <c r="C1299" i="18"/>
  <c r="D1298" i="18"/>
  <c r="C1298" i="18"/>
  <c r="D1297" i="18"/>
  <c r="C1297" i="18"/>
  <c r="D1296" i="18"/>
  <c r="C1296" i="18"/>
  <c r="D1295" i="18"/>
  <c r="C1295" i="18"/>
  <c r="D1294" i="18"/>
  <c r="C1294" i="18"/>
  <c r="D1293" i="18"/>
  <c r="C1293" i="18"/>
  <c r="D1292" i="18"/>
  <c r="C1292" i="18"/>
  <c r="D1291" i="18"/>
  <c r="C1291" i="18"/>
  <c r="D1290" i="18"/>
  <c r="C1290" i="18"/>
  <c r="D1289" i="18"/>
  <c r="C1289" i="18"/>
  <c r="D1288" i="18"/>
  <c r="C1288" i="18"/>
  <c r="D1287" i="18"/>
  <c r="C1287" i="18"/>
  <c r="D1286" i="18"/>
  <c r="C1286" i="18"/>
  <c r="D1285" i="18"/>
  <c r="C1285" i="18"/>
  <c r="D1284" i="18"/>
  <c r="C1284" i="18"/>
  <c r="D1283" i="18"/>
  <c r="C1283" i="18"/>
  <c r="D1282" i="18"/>
  <c r="C1282" i="18"/>
  <c r="D1281" i="18"/>
  <c r="C1281" i="18"/>
  <c r="D1280" i="18"/>
  <c r="C1280" i="18"/>
  <c r="D1279" i="18"/>
  <c r="C1279" i="18"/>
  <c r="D1278" i="18"/>
  <c r="C1278" i="18"/>
  <c r="D1277" i="18"/>
  <c r="C1277" i="18"/>
  <c r="D1276" i="18"/>
  <c r="C1276" i="18"/>
  <c r="D1275" i="18"/>
  <c r="C1275" i="18"/>
  <c r="D1274" i="18"/>
  <c r="C1274" i="18"/>
  <c r="D1273" i="18"/>
  <c r="C1273" i="18"/>
  <c r="D1272" i="18"/>
  <c r="C1272" i="18"/>
  <c r="D1271" i="18"/>
  <c r="C1271" i="18"/>
  <c r="D1270" i="18"/>
  <c r="C1270" i="18"/>
  <c r="D1269" i="18"/>
  <c r="C1269" i="18"/>
  <c r="D1268" i="18"/>
  <c r="C1268" i="18"/>
  <c r="D1267" i="18"/>
  <c r="C1267" i="18"/>
  <c r="D1266" i="18"/>
  <c r="C1266" i="18"/>
  <c r="D1265" i="18"/>
  <c r="C1265" i="18"/>
  <c r="D1264" i="18"/>
  <c r="C1264" i="18"/>
  <c r="D1263" i="18"/>
  <c r="C1263" i="18"/>
  <c r="D1262" i="18"/>
  <c r="C1262" i="18"/>
  <c r="D1261" i="18"/>
  <c r="C1261" i="18"/>
  <c r="D1260" i="18"/>
  <c r="C1260" i="18"/>
  <c r="D1259" i="18"/>
  <c r="C1259" i="18"/>
  <c r="D1258" i="18"/>
  <c r="C1258" i="18"/>
  <c r="D1257" i="18"/>
  <c r="C1257" i="18"/>
  <c r="D1256" i="18"/>
  <c r="C1256" i="18"/>
  <c r="D1255" i="18"/>
  <c r="C1255" i="18"/>
  <c r="D1254" i="18"/>
  <c r="C1254" i="18"/>
  <c r="D1253" i="18"/>
  <c r="C1253" i="18"/>
  <c r="D1252" i="18"/>
  <c r="C1252" i="18"/>
  <c r="D1251" i="18"/>
  <c r="C1251" i="18"/>
  <c r="D1250" i="18"/>
  <c r="C1250" i="18"/>
  <c r="D1249" i="18"/>
  <c r="C1249" i="18"/>
  <c r="D1248" i="18"/>
  <c r="C1248" i="18"/>
  <c r="D1247" i="18"/>
  <c r="C1247" i="18"/>
  <c r="D1246" i="18"/>
  <c r="C1246" i="18"/>
  <c r="D1245" i="18"/>
  <c r="C1245" i="18"/>
  <c r="D1244" i="18"/>
  <c r="C1244" i="18"/>
  <c r="D1243" i="18"/>
  <c r="C1243" i="18"/>
  <c r="D1242" i="18"/>
  <c r="C1242" i="18"/>
  <c r="D1241" i="18"/>
  <c r="C1241" i="18"/>
  <c r="D1240" i="18"/>
  <c r="C1240" i="18"/>
  <c r="D1239" i="18"/>
  <c r="C1239" i="18"/>
  <c r="D1238" i="18"/>
  <c r="C1238" i="18"/>
  <c r="D1237" i="18"/>
  <c r="C1237" i="18"/>
  <c r="D1236" i="18"/>
  <c r="C1236" i="18"/>
  <c r="D1235" i="18"/>
  <c r="C1235" i="18"/>
  <c r="D1234" i="18"/>
  <c r="C1234" i="18"/>
  <c r="D1233" i="18"/>
  <c r="C1233" i="18"/>
  <c r="D1232" i="18"/>
  <c r="C1232" i="18"/>
  <c r="D1231" i="18"/>
  <c r="C1231" i="18"/>
  <c r="D1230" i="18"/>
  <c r="C1230" i="18"/>
  <c r="D1229" i="18"/>
  <c r="C1229" i="18"/>
  <c r="D1228" i="18"/>
  <c r="C1228" i="18"/>
  <c r="D1227" i="18"/>
  <c r="C1227" i="18"/>
  <c r="D1226" i="18"/>
  <c r="C1226" i="18"/>
  <c r="D1225" i="18"/>
  <c r="C1225" i="18"/>
  <c r="D1224" i="18"/>
  <c r="C1224" i="18"/>
  <c r="D1223" i="18"/>
  <c r="C1223" i="18"/>
  <c r="D1222" i="18"/>
  <c r="C1222" i="18"/>
  <c r="D1221" i="18"/>
  <c r="C1221" i="18"/>
  <c r="D1220" i="18"/>
  <c r="C1220" i="18"/>
  <c r="D1219" i="18"/>
  <c r="C1219" i="18"/>
  <c r="D1218" i="18"/>
  <c r="C1218" i="18"/>
  <c r="D1217" i="18"/>
  <c r="C1217" i="18"/>
  <c r="D1216" i="18"/>
  <c r="C1216" i="18"/>
  <c r="D1215" i="18"/>
  <c r="C1215" i="18"/>
  <c r="D1214" i="18"/>
  <c r="C1214" i="18"/>
  <c r="D1213" i="18"/>
  <c r="C1213" i="18"/>
  <c r="D1212" i="18"/>
  <c r="C1212" i="18"/>
  <c r="D1211" i="18"/>
  <c r="C1211" i="18"/>
  <c r="D1210" i="18"/>
  <c r="C1210" i="18"/>
  <c r="D1209" i="18"/>
  <c r="C1209" i="18"/>
  <c r="D1208" i="18"/>
  <c r="C1208" i="18"/>
  <c r="D1207" i="18"/>
  <c r="C1207" i="18"/>
  <c r="D1206" i="18"/>
  <c r="C1206" i="18"/>
  <c r="D1205" i="18"/>
  <c r="C1205" i="18"/>
  <c r="D1204" i="18"/>
  <c r="C1204" i="18"/>
  <c r="D1203" i="18"/>
  <c r="C1203" i="18"/>
  <c r="D1202" i="18"/>
  <c r="C1202" i="18"/>
  <c r="D1201" i="18"/>
  <c r="C1201" i="18"/>
  <c r="D1200" i="18"/>
  <c r="C1200" i="18"/>
  <c r="D1199" i="18"/>
  <c r="C1199" i="18"/>
  <c r="D1198" i="18"/>
  <c r="C1198" i="18"/>
  <c r="D1197" i="18"/>
  <c r="C1197" i="18"/>
  <c r="D1196" i="18"/>
  <c r="C1196" i="18"/>
  <c r="D1195" i="18"/>
  <c r="C1195" i="18"/>
  <c r="D1194" i="18"/>
  <c r="C1194" i="18"/>
  <c r="D1193" i="18"/>
  <c r="C1193" i="18"/>
  <c r="D1192" i="18"/>
  <c r="C1192" i="18"/>
  <c r="D1191" i="18"/>
  <c r="C1191" i="18"/>
  <c r="D1190" i="18"/>
  <c r="C1190" i="18"/>
  <c r="D1189" i="18"/>
  <c r="C1189" i="18"/>
  <c r="D1188" i="18"/>
  <c r="C1188" i="18"/>
  <c r="D1187" i="18"/>
  <c r="C1187" i="18"/>
  <c r="D1186" i="18"/>
  <c r="C1186" i="18"/>
  <c r="D1185" i="18"/>
  <c r="C1185" i="18"/>
  <c r="D1184" i="18"/>
  <c r="C1184" i="18"/>
  <c r="D1183" i="18"/>
  <c r="C1183" i="18"/>
  <c r="D1182" i="18"/>
  <c r="C1182" i="18"/>
  <c r="D1181" i="18"/>
  <c r="C1181" i="18"/>
  <c r="D1180" i="18"/>
  <c r="C1180" i="18"/>
  <c r="D1179" i="18"/>
  <c r="C1179" i="18"/>
  <c r="D1178" i="18"/>
  <c r="C1178" i="18"/>
  <c r="D1177" i="18"/>
  <c r="C1177" i="18"/>
  <c r="D1176" i="18"/>
  <c r="C1176" i="18"/>
  <c r="D1175" i="18"/>
  <c r="C1175" i="18"/>
  <c r="D1174" i="18"/>
  <c r="C1174" i="18"/>
  <c r="D1173" i="18"/>
  <c r="C1173" i="18"/>
  <c r="D1172" i="18"/>
  <c r="C1172" i="18"/>
  <c r="D1171" i="18"/>
  <c r="C1171" i="18"/>
  <c r="D1170" i="18"/>
  <c r="C1170" i="18"/>
  <c r="D1169" i="18"/>
  <c r="C1169" i="18"/>
  <c r="D1168" i="18"/>
  <c r="C1168" i="18"/>
  <c r="D1167" i="18"/>
  <c r="C1167" i="18"/>
  <c r="D1166" i="18"/>
  <c r="C1166" i="18"/>
  <c r="D1165" i="18"/>
  <c r="C1165" i="18"/>
  <c r="D1164" i="18"/>
  <c r="C1164" i="18"/>
  <c r="D1163" i="18"/>
  <c r="C1163" i="18"/>
  <c r="D1162" i="18"/>
  <c r="C1162" i="18"/>
  <c r="D1161" i="18"/>
  <c r="C1161" i="18"/>
  <c r="D1160" i="18"/>
  <c r="C1160" i="18"/>
  <c r="D1159" i="18"/>
  <c r="C1159" i="18"/>
  <c r="D1158" i="18"/>
  <c r="C1158" i="18"/>
  <c r="D1157" i="18"/>
  <c r="C1157" i="18"/>
  <c r="D1156" i="18"/>
  <c r="C1156" i="18"/>
  <c r="D1155" i="18"/>
  <c r="C1155" i="18"/>
  <c r="D1154" i="18"/>
  <c r="C1154" i="18"/>
  <c r="D1153" i="18"/>
  <c r="C1153" i="18"/>
  <c r="D1152" i="18"/>
  <c r="C1152" i="18"/>
  <c r="D1151" i="18"/>
  <c r="C1151" i="18"/>
  <c r="D1150" i="18"/>
  <c r="C1150" i="18"/>
  <c r="D1149" i="18"/>
  <c r="C1149" i="18"/>
  <c r="D1148" i="18"/>
  <c r="C1148" i="18"/>
  <c r="D1147" i="18"/>
  <c r="C1147" i="18"/>
  <c r="D1146" i="18"/>
  <c r="C1146" i="18"/>
  <c r="D1145" i="18"/>
  <c r="C1145" i="18"/>
  <c r="D1144" i="18"/>
  <c r="C1144" i="18"/>
  <c r="D1143" i="18"/>
  <c r="C1143" i="18"/>
  <c r="D1142" i="18"/>
  <c r="C1142" i="18"/>
  <c r="D1141" i="18"/>
  <c r="C1141" i="18"/>
  <c r="D1140" i="18"/>
  <c r="C1140" i="18"/>
  <c r="D1139" i="18"/>
  <c r="C1139" i="18"/>
  <c r="D1138" i="18"/>
  <c r="C1138" i="18"/>
  <c r="D1137" i="18"/>
  <c r="C1137" i="18"/>
  <c r="D1136" i="18"/>
  <c r="C1136" i="18"/>
  <c r="D1135" i="18"/>
  <c r="C1135" i="18"/>
  <c r="D1134" i="18"/>
  <c r="C1134" i="18"/>
  <c r="D1133" i="18"/>
  <c r="C1133" i="18"/>
  <c r="D1132" i="18"/>
  <c r="C1132" i="18"/>
  <c r="D1131" i="18"/>
  <c r="C1131" i="18"/>
  <c r="D1130" i="18"/>
  <c r="C1130" i="18"/>
  <c r="D1129" i="18"/>
  <c r="C1129" i="18"/>
  <c r="D1128" i="18"/>
  <c r="C1128" i="18"/>
  <c r="D1127" i="18"/>
  <c r="C1127" i="18"/>
  <c r="D1126" i="18"/>
  <c r="C1126" i="18"/>
  <c r="D1125" i="18"/>
  <c r="C1125" i="18"/>
  <c r="D1124" i="18"/>
  <c r="C1124" i="18"/>
  <c r="D1123" i="18"/>
  <c r="C1123" i="18"/>
  <c r="D1122" i="18"/>
  <c r="C1122" i="18"/>
  <c r="D1121" i="18"/>
  <c r="C1121" i="18"/>
  <c r="D1120" i="18"/>
  <c r="C1120" i="18"/>
  <c r="D1119" i="18"/>
  <c r="C1119" i="18"/>
  <c r="D1118" i="18"/>
  <c r="C1118" i="18"/>
  <c r="D1117" i="18"/>
  <c r="C1117" i="18"/>
  <c r="D1116" i="18"/>
  <c r="C1116" i="18"/>
  <c r="D1115" i="18"/>
  <c r="C1115" i="18"/>
  <c r="D1114" i="18"/>
  <c r="C1114" i="18"/>
  <c r="D1113" i="18"/>
  <c r="C1113" i="18"/>
  <c r="D1112" i="18"/>
  <c r="C1112" i="18"/>
  <c r="D1111" i="18"/>
  <c r="C1111" i="18"/>
  <c r="D1110" i="18"/>
  <c r="C1110" i="18"/>
  <c r="D1109" i="18"/>
  <c r="C1109" i="18"/>
  <c r="D1108" i="18"/>
  <c r="C1108" i="18"/>
  <c r="D1107" i="18"/>
  <c r="C1107" i="18"/>
  <c r="D1106" i="18"/>
  <c r="C1106" i="18"/>
  <c r="D1105" i="18"/>
  <c r="C1105" i="18"/>
  <c r="D1104" i="18"/>
  <c r="C1104" i="18"/>
  <c r="D1103" i="18"/>
  <c r="C1103" i="18"/>
  <c r="D1102" i="18"/>
  <c r="C1102" i="18"/>
  <c r="D1101" i="18"/>
  <c r="C1101" i="18"/>
  <c r="D1100" i="18"/>
  <c r="C1100" i="18"/>
  <c r="D1099" i="18"/>
  <c r="C1099" i="18"/>
  <c r="D1098" i="18"/>
  <c r="C1098" i="18"/>
  <c r="D1097" i="18"/>
  <c r="C1097" i="18"/>
  <c r="D1096" i="18"/>
  <c r="C1096" i="18"/>
  <c r="D1095" i="18"/>
  <c r="C1095" i="18"/>
  <c r="D1094" i="18"/>
  <c r="C1094" i="18"/>
  <c r="D1093" i="18"/>
  <c r="C1093" i="18"/>
  <c r="D1092" i="18"/>
  <c r="C1092" i="18"/>
  <c r="D1091" i="18"/>
  <c r="C1091" i="18"/>
  <c r="D1090" i="18"/>
  <c r="C1090" i="18"/>
  <c r="D1089" i="18"/>
  <c r="C1089" i="18"/>
  <c r="D1088" i="18"/>
  <c r="C1088" i="18"/>
  <c r="D1087" i="18"/>
  <c r="C1087" i="18"/>
  <c r="D1086" i="18"/>
  <c r="C1086" i="18"/>
  <c r="D1085" i="18"/>
  <c r="C1085" i="18"/>
  <c r="D1084" i="18"/>
  <c r="C1084" i="18"/>
  <c r="D1083" i="18"/>
  <c r="C1083" i="18"/>
  <c r="D1082" i="18"/>
  <c r="C1082" i="18"/>
  <c r="D1081" i="18"/>
  <c r="C1081" i="18"/>
  <c r="D1080" i="18"/>
  <c r="C1080" i="18"/>
  <c r="D1079" i="18"/>
  <c r="C1079" i="18"/>
  <c r="D1078" i="18"/>
  <c r="C1078" i="18"/>
  <c r="D1077" i="18"/>
  <c r="C1077" i="18"/>
  <c r="D1076" i="18"/>
  <c r="C1076" i="18"/>
  <c r="D1075" i="18"/>
  <c r="C1075" i="18"/>
  <c r="D1074" i="18"/>
  <c r="C1074" i="18"/>
  <c r="D1073" i="18"/>
  <c r="C1073" i="18"/>
  <c r="D1072" i="18"/>
  <c r="C1072" i="18"/>
  <c r="D1071" i="18"/>
  <c r="C1071" i="18"/>
  <c r="D1070" i="18"/>
  <c r="C1070" i="18"/>
  <c r="D1069" i="18"/>
  <c r="C1069" i="18"/>
  <c r="D1068" i="18"/>
  <c r="C1068" i="18"/>
  <c r="D1067" i="18"/>
  <c r="C1067" i="18"/>
  <c r="D1066" i="18"/>
  <c r="C1066" i="18"/>
  <c r="D1065" i="18"/>
  <c r="C1065" i="18"/>
  <c r="D1064" i="18"/>
  <c r="C1064" i="18"/>
  <c r="D1063" i="18"/>
  <c r="C1063" i="18"/>
  <c r="D1062" i="18"/>
  <c r="C1062" i="18"/>
  <c r="D1061" i="18"/>
  <c r="C1061" i="18"/>
  <c r="D1060" i="18"/>
  <c r="C1060" i="18"/>
  <c r="D1059" i="18"/>
  <c r="C1059" i="18"/>
  <c r="D1058" i="18"/>
  <c r="C1058" i="18"/>
  <c r="D1057" i="18"/>
  <c r="C1057" i="18"/>
  <c r="D1056" i="18"/>
  <c r="C1056" i="18"/>
  <c r="D1055" i="18"/>
  <c r="C1055" i="18"/>
  <c r="D1054" i="18"/>
  <c r="C1054" i="18"/>
  <c r="D1053" i="18"/>
  <c r="C1053" i="18"/>
  <c r="D1052" i="18"/>
  <c r="C1052" i="18"/>
  <c r="D1051" i="18"/>
  <c r="C1051" i="18"/>
  <c r="D1050" i="18"/>
  <c r="C1050" i="18"/>
  <c r="D1049" i="18"/>
  <c r="C1049" i="18"/>
  <c r="D1048" i="18"/>
  <c r="C1048" i="18"/>
  <c r="D1047" i="18"/>
  <c r="C1047" i="18"/>
  <c r="D1046" i="18"/>
  <c r="C1046" i="18"/>
  <c r="D1045" i="18"/>
  <c r="C1045" i="18"/>
  <c r="D1044" i="18"/>
  <c r="C1044" i="18"/>
  <c r="D1043" i="18"/>
  <c r="C1043" i="18"/>
  <c r="D1042" i="18"/>
  <c r="C1042" i="18"/>
  <c r="D1041" i="18"/>
  <c r="C1041" i="18"/>
  <c r="D1040" i="18"/>
  <c r="C1040" i="18"/>
  <c r="D1039" i="18"/>
  <c r="C1039" i="18"/>
  <c r="D1038" i="18"/>
  <c r="C1038" i="18"/>
  <c r="D1037" i="18"/>
  <c r="C1037" i="18"/>
  <c r="D1036" i="18"/>
  <c r="C1036" i="18"/>
  <c r="D1035" i="18"/>
  <c r="C1035" i="18"/>
  <c r="D1034" i="18"/>
  <c r="C1034" i="18"/>
  <c r="D1033" i="18"/>
  <c r="C1033" i="18"/>
  <c r="D1032" i="18"/>
  <c r="C1032" i="18"/>
  <c r="D1031" i="18"/>
  <c r="C1031" i="18"/>
  <c r="D1030" i="18"/>
  <c r="C1030" i="18"/>
  <c r="D1029" i="18"/>
  <c r="C1029" i="18"/>
  <c r="D1028" i="18"/>
  <c r="C1028" i="18"/>
  <c r="D1027" i="18"/>
  <c r="C1027" i="18"/>
  <c r="D1026" i="18"/>
  <c r="C1026" i="18"/>
  <c r="D1025" i="18"/>
  <c r="C1025" i="18"/>
  <c r="D1024" i="18"/>
  <c r="C1024" i="18"/>
  <c r="D1023" i="18"/>
  <c r="C1023" i="18"/>
  <c r="D1022" i="18"/>
  <c r="C1022" i="18"/>
  <c r="D1021" i="18"/>
  <c r="C1021" i="18"/>
  <c r="D1020" i="18"/>
  <c r="C1020" i="18"/>
  <c r="D1019" i="18"/>
  <c r="C1019" i="18"/>
  <c r="D1018" i="18"/>
  <c r="C1018" i="18"/>
  <c r="D1017" i="18"/>
  <c r="C1017" i="18"/>
  <c r="D1016" i="18"/>
  <c r="C1016" i="18"/>
  <c r="D1015" i="18"/>
  <c r="C1015" i="18"/>
  <c r="D1014" i="18"/>
  <c r="C1014" i="18"/>
  <c r="D1013" i="18"/>
  <c r="C1013" i="18"/>
  <c r="D1012" i="18"/>
  <c r="C1012" i="18"/>
  <c r="D1011" i="18"/>
  <c r="C1011" i="18"/>
  <c r="D1010" i="18"/>
  <c r="C1010" i="18"/>
  <c r="D1009" i="18"/>
  <c r="C1009" i="18"/>
  <c r="D1008" i="18"/>
  <c r="C1008" i="18"/>
  <c r="D1007" i="18"/>
  <c r="C1007" i="18"/>
  <c r="D1006" i="18"/>
  <c r="C1006" i="18"/>
  <c r="D1005" i="18"/>
  <c r="C1005" i="18"/>
  <c r="D1004" i="18"/>
  <c r="C1004" i="18"/>
  <c r="D1003" i="18"/>
  <c r="C1003" i="18"/>
  <c r="D1002" i="18"/>
  <c r="C1002" i="18"/>
  <c r="D1001" i="18"/>
  <c r="C1001" i="18"/>
  <c r="D1000" i="18"/>
  <c r="C1000" i="18"/>
  <c r="D999" i="18"/>
  <c r="C999" i="18"/>
  <c r="D998" i="18"/>
  <c r="C998" i="18"/>
  <c r="D997" i="18"/>
  <c r="C997" i="18"/>
  <c r="D996" i="18"/>
  <c r="C996" i="18"/>
  <c r="D995" i="18"/>
  <c r="C995" i="18"/>
  <c r="D994" i="18"/>
  <c r="C994" i="18"/>
  <c r="D993" i="18"/>
  <c r="C993" i="18"/>
  <c r="D992" i="18"/>
  <c r="C992" i="18"/>
  <c r="D991" i="18"/>
  <c r="C991" i="18"/>
  <c r="D990" i="18"/>
  <c r="C990" i="18"/>
  <c r="D989" i="18"/>
  <c r="C989" i="18"/>
  <c r="D988" i="18"/>
  <c r="C988" i="18"/>
  <c r="D987" i="18"/>
  <c r="C987" i="18"/>
  <c r="D986" i="18"/>
  <c r="C986" i="18"/>
  <c r="D985" i="18"/>
  <c r="C985" i="18"/>
  <c r="D984" i="18"/>
  <c r="C984" i="18"/>
  <c r="D983" i="18"/>
  <c r="C983" i="18"/>
  <c r="D982" i="18"/>
  <c r="C982" i="18"/>
  <c r="D981" i="18"/>
  <c r="C981" i="18"/>
  <c r="D980" i="18"/>
  <c r="C980" i="18"/>
  <c r="D979" i="18"/>
  <c r="C979" i="18"/>
  <c r="D978" i="18"/>
  <c r="C978" i="18"/>
  <c r="D977" i="18"/>
  <c r="C977" i="18"/>
  <c r="D976" i="18"/>
  <c r="C976" i="18"/>
  <c r="D975" i="18"/>
  <c r="C975" i="18"/>
  <c r="D974" i="18"/>
  <c r="C974" i="18"/>
  <c r="D973" i="18"/>
  <c r="C973" i="18"/>
  <c r="D972" i="18"/>
  <c r="C972" i="18"/>
  <c r="D971" i="18"/>
  <c r="C971" i="18"/>
  <c r="D970" i="18"/>
  <c r="C970" i="18"/>
  <c r="D969" i="18"/>
  <c r="C969" i="18"/>
  <c r="D968" i="18"/>
  <c r="C968" i="18"/>
  <c r="D967" i="18"/>
  <c r="C967" i="18"/>
  <c r="D966" i="18"/>
  <c r="C966" i="18"/>
  <c r="D965" i="18"/>
  <c r="C965" i="18"/>
  <c r="D964" i="18"/>
  <c r="C964" i="18"/>
  <c r="D963" i="18"/>
  <c r="C963" i="18"/>
  <c r="D962" i="18"/>
  <c r="C962" i="18"/>
  <c r="D961" i="18"/>
  <c r="C961" i="18"/>
  <c r="D960" i="18"/>
  <c r="C960" i="18"/>
  <c r="D959" i="18"/>
  <c r="C959" i="18"/>
  <c r="D958" i="18"/>
  <c r="C958" i="18"/>
  <c r="D957" i="18"/>
  <c r="C957" i="18"/>
  <c r="D956" i="18"/>
  <c r="C956" i="18"/>
  <c r="D955" i="18"/>
  <c r="C955" i="18"/>
  <c r="D954" i="18"/>
  <c r="C954" i="18"/>
  <c r="D953" i="18"/>
  <c r="C953" i="18"/>
  <c r="D952" i="18"/>
  <c r="C952" i="18"/>
  <c r="D951" i="18"/>
  <c r="C951" i="18"/>
  <c r="D950" i="18"/>
  <c r="C950" i="18"/>
  <c r="D949" i="18"/>
  <c r="C949" i="18"/>
  <c r="D948" i="18"/>
  <c r="C948" i="18"/>
  <c r="D947" i="18"/>
  <c r="C947" i="18"/>
  <c r="D946" i="18"/>
  <c r="C946" i="18"/>
  <c r="D945" i="18"/>
  <c r="C945" i="18"/>
  <c r="D944" i="18"/>
  <c r="C944" i="18"/>
  <c r="D943" i="18"/>
  <c r="C943" i="18"/>
  <c r="D942" i="18"/>
  <c r="C942" i="18"/>
  <c r="D941" i="18"/>
  <c r="C941" i="18"/>
  <c r="D940" i="18"/>
  <c r="C940" i="18"/>
  <c r="D939" i="18"/>
  <c r="C939" i="18"/>
  <c r="D938" i="18"/>
  <c r="C938" i="18"/>
  <c r="D937" i="18"/>
  <c r="C937" i="18"/>
  <c r="D936" i="18"/>
  <c r="C936" i="18"/>
  <c r="D935" i="18"/>
  <c r="C935" i="18"/>
  <c r="D934" i="18"/>
  <c r="C934" i="18"/>
  <c r="D933" i="18"/>
  <c r="C933" i="18"/>
  <c r="D932" i="18"/>
  <c r="C932" i="18"/>
  <c r="D931" i="18"/>
  <c r="C931" i="18"/>
  <c r="D930" i="18"/>
  <c r="C930" i="18"/>
  <c r="D929" i="18"/>
  <c r="C929" i="18"/>
  <c r="D928" i="18"/>
  <c r="C928" i="18"/>
  <c r="D927" i="18"/>
  <c r="C927" i="18"/>
  <c r="D926" i="18"/>
  <c r="C926" i="18"/>
  <c r="D925" i="18"/>
  <c r="C925" i="18"/>
  <c r="D924" i="18"/>
  <c r="C924" i="18"/>
  <c r="D923" i="18"/>
  <c r="C923" i="18"/>
  <c r="D922" i="18"/>
  <c r="C922" i="18"/>
  <c r="D921" i="18"/>
  <c r="C921" i="18"/>
  <c r="D920" i="18"/>
  <c r="C920" i="18"/>
  <c r="D919" i="18"/>
  <c r="C919" i="18"/>
  <c r="D918" i="18"/>
  <c r="C918" i="18"/>
  <c r="D917" i="18"/>
  <c r="C917" i="18"/>
  <c r="D916" i="18"/>
  <c r="C916" i="18"/>
  <c r="D915" i="18"/>
  <c r="C915" i="18"/>
  <c r="D914" i="18"/>
  <c r="C914" i="18"/>
  <c r="D913" i="18"/>
  <c r="C913" i="18"/>
  <c r="D912" i="18"/>
  <c r="C912" i="18"/>
  <c r="D911" i="18"/>
  <c r="C911" i="18"/>
  <c r="D910" i="18"/>
  <c r="C910" i="18"/>
  <c r="D909" i="18"/>
  <c r="C909" i="18"/>
  <c r="D908" i="18"/>
  <c r="C908" i="18"/>
  <c r="D907" i="18"/>
  <c r="C907" i="18"/>
  <c r="D906" i="18"/>
  <c r="C906" i="18"/>
  <c r="D905" i="18"/>
  <c r="C905" i="18"/>
  <c r="D904" i="18"/>
  <c r="C904" i="18"/>
  <c r="D903" i="18"/>
  <c r="C903" i="18"/>
  <c r="D902" i="18"/>
  <c r="C902" i="18"/>
  <c r="D901" i="18"/>
  <c r="C901" i="18"/>
  <c r="D900" i="18"/>
  <c r="C900" i="18"/>
  <c r="D899" i="18"/>
  <c r="C899" i="18"/>
  <c r="D898" i="18"/>
  <c r="C898" i="18"/>
  <c r="D897" i="18"/>
  <c r="C897" i="18"/>
  <c r="D896" i="18"/>
  <c r="C896" i="18"/>
  <c r="D895" i="18"/>
  <c r="C895" i="18"/>
  <c r="D894" i="18"/>
  <c r="C894" i="18"/>
  <c r="D893" i="18"/>
  <c r="C893" i="18"/>
  <c r="D892" i="18"/>
  <c r="C892" i="18"/>
  <c r="D891" i="18"/>
  <c r="C891" i="18"/>
  <c r="D890" i="18"/>
  <c r="C890" i="18"/>
  <c r="D889" i="18"/>
  <c r="C889" i="18"/>
  <c r="D888" i="18"/>
  <c r="C888" i="18"/>
  <c r="D887" i="18"/>
  <c r="C887" i="18"/>
  <c r="D886" i="18"/>
  <c r="C886" i="18"/>
  <c r="D885" i="18"/>
  <c r="C885" i="18"/>
  <c r="D884" i="18"/>
  <c r="C884" i="18"/>
  <c r="D883" i="18"/>
  <c r="C883" i="18"/>
  <c r="D882" i="18"/>
  <c r="C882" i="18"/>
  <c r="D881" i="18"/>
  <c r="C881" i="18"/>
  <c r="D880" i="18"/>
  <c r="C880" i="18"/>
  <c r="D879" i="18"/>
  <c r="C879" i="18"/>
  <c r="D878" i="18"/>
  <c r="C878" i="18"/>
  <c r="D877" i="18"/>
  <c r="C877" i="18"/>
  <c r="D876" i="18"/>
  <c r="C876" i="18"/>
  <c r="D875" i="18"/>
  <c r="C875" i="18"/>
  <c r="D874" i="18"/>
  <c r="C874" i="18"/>
  <c r="D873" i="18"/>
  <c r="C873" i="18"/>
  <c r="D872" i="18"/>
  <c r="C872" i="18"/>
  <c r="D871" i="18"/>
  <c r="C871" i="18"/>
  <c r="D870" i="18"/>
  <c r="C870" i="18"/>
  <c r="D869" i="18"/>
  <c r="C869" i="18"/>
  <c r="D868" i="18"/>
  <c r="C868" i="18"/>
  <c r="D867" i="18"/>
  <c r="C867" i="18"/>
  <c r="D866" i="18"/>
  <c r="C866" i="18"/>
  <c r="D865" i="18"/>
  <c r="C865" i="18"/>
  <c r="D864" i="18"/>
  <c r="C864" i="18"/>
  <c r="D863" i="18"/>
  <c r="C863" i="18"/>
  <c r="D862" i="18"/>
  <c r="C862" i="18"/>
  <c r="D861" i="18"/>
  <c r="C861" i="18"/>
  <c r="D860" i="18"/>
  <c r="C860" i="18"/>
  <c r="D859" i="18"/>
  <c r="C859" i="18"/>
  <c r="D858" i="18"/>
  <c r="C858" i="18"/>
  <c r="D857" i="18"/>
  <c r="C857" i="18"/>
  <c r="D856" i="18"/>
  <c r="C856" i="18"/>
  <c r="D855" i="18"/>
  <c r="C855" i="18"/>
  <c r="D854" i="18"/>
  <c r="C854" i="18"/>
  <c r="D853" i="18"/>
  <c r="C853" i="18"/>
  <c r="D852" i="18"/>
  <c r="C852" i="18"/>
  <c r="D851" i="18"/>
  <c r="C851" i="18"/>
  <c r="D850" i="18"/>
  <c r="C850" i="18"/>
  <c r="D849" i="18"/>
  <c r="C849" i="18"/>
  <c r="D848" i="18"/>
  <c r="C848" i="18"/>
  <c r="D847" i="18"/>
  <c r="C847" i="18"/>
  <c r="D846" i="18"/>
  <c r="C846" i="18"/>
  <c r="D845" i="18"/>
  <c r="C845" i="18"/>
  <c r="D844" i="18"/>
  <c r="C844" i="18"/>
  <c r="D843" i="18"/>
  <c r="C843" i="18"/>
  <c r="D842" i="18"/>
  <c r="C842" i="18"/>
  <c r="D841" i="18"/>
  <c r="C841" i="18"/>
  <c r="D840" i="18"/>
  <c r="C840" i="18"/>
  <c r="D839" i="18"/>
  <c r="C839" i="18"/>
  <c r="D838" i="18"/>
  <c r="C838" i="18"/>
  <c r="D837" i="18"/>
  <c r="C837" i="18"/>
  <c r="D836" i="18"/>
  <c r="C836" i="18"/>
  <c r="D835" i="18"/>
  <c r="C835" i="18"/>
  <c r="D834" i="18"/>
  <c r="C834" i="18"/>
  <c r="D833" i="18"/>
  <c r="C833" i="18"/>
  <c r="D832" i="18"/>
  <c r="C832" i="18"/>
  <c r="D831" i="18"/>
  <c r="C831" i="18"/>
  <c r="D830" i="18"/>
  <c r="C830" i="18"/>
  <c r="D829" i="18"/>
  <c r="C829" i="18"/>
  <c r="D828" i="18"/>
  <c r="C828" i="18"/>
  <c r="D827" i="18"/>
  <c r="C827" i="18"/>
  <c r="D826" i="18"/>
  <c r="C826" i="18"/>
  <c r="D825" i="18"/>
  <c r="C825" i="18"/>
  <c r="D824" i="18"/>
  <c r="C824" i="18"/>
  <c r="D823" i="18"/>
  <c r="C823" i="18"/>
  <c r="D822" i="18"/>
  <c r="C822" i="18"/>
  <c r="D821" i="18"/>
  <c r="C821" i="18"/>
  <c r="D820" i="18"/>
  <c r="C820" i="18"/>
  <c r="D819" i="18"/>
  <c r="C819" i="18"/>
  <c r="D818" i="18"/>
  <c r="C818" i="18"/>
  <c r="D817" i="18"/>
  <c r="C817" i="18"/>
  <c r="D816" i="18"/>
  <c r="C816" i="18"/>
  <c r="D815" i="18"/>
  <c r="C815" i="18"/>
  <c r="D814" i="18"/>
  <c r="C814" i="18"/>
  <c r="D813" i="18"/>
  <c r="C813" i="18"/>
  <c r="D812" i="18"/>
  <c r="C812" i="18"/>
  <c r="D811" i="18"/>
  <c r="C811" i="18"/>
  <c r="D810" i="18"/>
  <c r="C810" i="18"/>
  <c r="D809" i="18"/>
  <c r="C809" i="18"/>
  <c r="D808" i="18"/>
  <c r="C808" i="18"/>
  <c r="D807" i="18"/>
  <c r="C807" i="18"/>
  <c r="D806" i="18"/>
  <c r="C806" i="18"/>
  <c r="D805" i="18"/>
  <c r="C805" i="18"/>
  <c r="D804" i="18"/>
  <c r="C804" i="18"/>
  <c r="D803" i="18"/>
  <c r="C803" i="18"/>
  <c r="D802" i="18"/>
  <c r="C802" i="18"/>
  <c r="D801" i="18"/>
  <c r="C801" i="18"/>
  <c r="D800" i="18"/>
  <c r="C800" i="18"/>
  <c r="D799" i="18"/>
  <c r="C799" i="18"/>
  <c r="D798" i="18"/>
  <c r="C798" i="18"/>
  <c r="D797" i="18"/>
  <c r="C797" i="18"/>
  <c r="D796" i="18"/>
  <c r="C796" i="18"/>
  <c r="D795" i="18"/>
  <c r="C795" i="18"/>
  <c r="D794" i="18"/>
  <c r="C794" i="18"/>
  <c r="D793" i="18"/>
  <c r="C793" i="18"/>
  <c r="D792" i="18"/>
  <c r="C792" i="18"/>
  <c r="D791" i="18"/>
  <c r="C791" i="18"/>
  <c r="D790" i="18"/>
  <c r="C790" i="18"/>
  <c r="D789" i="18"/>
  <c r="C789" i="18"/>
  <c r="D788" i="18"/>
  <c r="C788" i="18"/>
  <c r="D787" i="18"/>
  <c r="C787" i="18"/>
  <c r="D786" i="18"/>
  <c r="C786" i="18"/>
  <c r="D785" i="18"/>
  <c r="C785" i="18"/>
  <c r="D784" i="18"/>
  <c r="C784" i="18"/>
  <c r="D783" i="18"/>
  <c r="C783" i="18"/>
  <c r="D782" i="18"/>
  <c r="C782" i="18"/>
  <c r="D781" i="18"/>
  <c r="C781" i="18"/>
  <c r="D780" i="18"/>
  <c r="C780" i="18"/>
  <c r="D779" i="18"/>
  <c r="C779" i="18"/>
  <c r="D778" i="18"/>
  <c r="C778" i="18"/>
  <c r="D777" i="18"/>
  <c r="C777" i="18"/>
  <c r="D776" i="18"/>
  <c r="C776" i="18"/>
  <c r="D775" i="18"/>
  <c r="C775" i="18"/>
  <c r="D774" i="18"/>
  <c r="C774" i="18"/>
  <c r="D773" i="18"/>
  <c r="C773" i="18"/>
  <c r="D772" i="18"/>
  <c r="C772" i="18"/>
  <c r="D771" i="18"/>
  <c r="C771" i="18"/>
  <c r="D770" i="18"/>
  <c r="C770" i="18"/>
  <c r="D769" i="18"/>
  <c r="C769" i="18"/>
  <c r="D768" i="18"/>
  <c r="C768" i="18"/>
  <c r="D767" i="18"/>
  <c r="C767" i="18"/>
  <c r="D766" i="18"/>
  <c r="C766" i="18"/>
  <c r="D765" i="18"/>
  <c r="C765" i="18"/>
  <c r="D764" i="18"/>
  <c r="C764" i="18"/>
  <c r="D763" i="18"/>
  <c r="C763" i="18"/>
  <c r="D762" i="18"/>
  <c r="C762" i="18"/>
  <c r="D761" i="18"/>
  <c r="C761" i="18"/>
  <c r="D760" i="18"/>
  <c r="C760" i="18"/>
  <c r="D759" i="18"/>
  <c r="C759" i="18"/>
  <c r="D758" i="18"/>
  <c r="C758" i="18"/>
  <c r="D757" i="18"/>
  <c r="C757" i="18"/>
  <c r="D756" i="18"/>
  <c r="C756" i="18"/>
  <c r="D755" i="18"/>
  <c r="C755" i="18"/>
  <c r="D754" i="18"/>
  <c r="C754" i="18"/>
  <c r="D753" i="18"/>
  <c r="C753" i="18"/>
  <c r="D752" i="18"/>
  <c r="C752" i="18"/>
  <c r="D751" i="18"/>
  <c r="C751" i="18"/>
  <c r="D750" i="18"/>
  <c r="C750" i="18"/>
  <c r="D749" i="18"/>
  <c r="C749" i="18"/>
  <c r="D748" i="18"/>
  <c r="C748" i="18"/>
  <c r="D747" i="18"/>
  <c r="C747" i="18"/>
  <c r="D746" i="18"/>
  <c r="C746" i="18"/>
  <c r="D745" i="18"/>
  <c r="C745" i="18"/>
  <c r="D744" i="18"/>
  <c r="C744" i="18"/>
  <c r="D743" i="18"/>
  <c r="C743" i="18"/>
  <c r="D742" i="18"/>
  <c r="C742" i="18"/>
  <c r="D741" i="18"/>
  <c r="C741" i="18"/>
  <c r="D740" i="18"/>
  <c r="C740" i="18"/>
  <c r="D739" i="18"/>
  <c r="C739" i="18"/>
  <c r="D738" i="18"/>
  <c r="C738" i="18"/>
  <c r="D737" i="18"/>
  <c r="C737" i="18"/>
  <c r="D736" i="18"/>
  <c r="C736" i="18"/>
  <c r="D735" i="18"/>
  <c r="C735" i="18"/>
  <c r="D734" i="18"/>
  <c r="C734" i="18"/>
  <c r="D733" i="18"/>
  <c r="C733" i="18"/>
  <c r="D732" i="18"/>
  <c r="C732" i="18"/>
  <c r="D731" i="18"/>
  <c r="C731" i="18"/>
  <c r="D730" i="18"/>
  <c r="C730" i="18"/>
  <c r="D729" i="18"/>
  <c r="C729" i="18"/>
  <c r="D728" i="18"/>
  <c r="C728" i="18"/>
  <c r="D727" i="18"/>
  <c r="C727" i="18"/>
  <c r="D726" i="18"/>
  <c r="C726" i="18"/>
  <c r="D725" i="18"/>
  <c r="C725" i="18"/>
  <c r="D724" i="18"/>
  <c r="C724" i="18"/>
  <c r="D723" i="18"/>
  <c r="C723" i="18"/>
  <c r="D722" i="18"/>
  <c r="C722" i="18"/>
  <c r="D721" i="18"/>
  <c r="C721" i="18"/>
  <c r="D720" i="18"/>
  <c r="C720" i="18"/>
  <c r="D719" i="18"/>
  <c r="C719" i="18"/>
  <c r="D718" i="18"/>
  <c r="C718" i="18"/>
  <c r="D717" i="18"/>
  <c r="C717" i="18"/>
  <c r="D716" i="18"/>
  <c r="C716" i="18"/>
  <c r="D715" i="18"/>
  <c r="C715" i="18"/>
  <c r="D714" i="18"/>
  <c r="C714" i="18"/>
  <c r="D713" i="18"/>
  <c r="C713" i="18"/>
  <c r="D712" i="18"/>
  <c r="C712" i="18"/>
  <c r="D711" i="18"/>
  <c r="C711" i="18"/>
  <c r="D710" i="18"/>
  <c r="C710" i="18"/>
  <c r="D709" i="18"/>
  <c r="C709" i="18"/>
  <c r="D708" i="18"/>
  <c r="C708" i="18"/>
  <c r="D707" i="18"/>
  <c r="C707" i="18"/>
  <c r="D706" i="18"/>
  <c r="C706" i="18"/>
  <c r="D705" i="18"/>
  <c r="C705" i="18"/>
  <c r="D704" i="18"/>
  <c r="C704" i="18"/>
  <c r="D703" i="18"/>
  <c r="C703" i="18"/>
  <c r="D702" i="18"/>
  <c r="C702" i="18"/>
  <c r="D701" i="18"/>
  <c r="C701" i="18"/>
  <c r="D700" i="18"/>
  <c r="C700" i="18"/>
  <c r="D699" i="18"/>
  <c r="C699" i="18"/>
  <c r="D698" i="18"/>
  <c r="C698" i="18"/>
  <c r="D697" i="18"/>
  <c r="C697" i="18"/>
  <c r="D696" i="18"/>
  <c r="C696" i="18"/>
  <c r="D695" i="18"/>
  <c r="C695" i="18"/>
  <c r="D694" i="18"/>
  <c r="C694" i="18"/>
  <c r="D693" i="18"/>
  <c r="C693" i="18"/>
  <c r="D692" i="18"/>
  <c r="C692" i="18"/>
  <c r="D691" i="18"/>
  <c r="C691" i="18"/>
  <c r="D690" i="18"/>
  <c r="C690" i="18"/>
  <c r="D689" i="18"/>
  <c r="C689" i="18"/>
  <c r="D688" i="18"/>
  <c r="C688" i="18"/>
  <c r="D687" i="18"/>
  <c r="C687" i="18"/>
  <c r="D686" i="18"/>
  <c r="C686" i="18"/>
  <c r="D685" i="18"/>
  <c r="C685" i="18"/>
  <c r="D684" i="18"/>
  <c r="C684" i="18"/>
  <c r="D683" i="18"/>
  <c r="C683" i="18"/>
  <c r="D682" i="18"/>
  <c r="C682" i="18"/>
  <c r="D681" i="18"/>
  <c r="C681" i="18"/>
  <c r="D680" i="18"/>
  <c r="C680" i="18"/>
  <c r="D679" i="18"/>
  <c r="C679" i="18"/>
  <c r="D678" i="18"/>
  <c r="C678" i="18"/>
  <c r="D677" i="18"/>
  <c r="C677" i="18"/>
  <c r="D676" i="18"/>
  <c r="C676" i="18"/>
  <c r="D675" i="18"/>
  <c r="C675" i="18"/>
  <c r="D674" i="18"/>
  <c r="C674" i="18"/>
  <c r="D673" i="18"/>
  <c r="C673" i="18"/>
  <c r="D672" i="18"/>
  <c r="C672" i="18"/>
  <c r="D671" i="18"/>
  <c r="C671" i="18"/>
  <c r="D670" i="18"/>
  <c r="C670" i="18"/>
  <c r="D669" i="18"/>
  <c r="C669" i="18"/>
  <c r="D668" i="18"/>
  <c r="C668" i="18"/>
  <c r="D667" i="18"/>
  <c r="C667" i="18"/>
  <c r="D666" i="18"/>
  <c r="C666" i="18"/>
  <c r="D665" i="18"/>
  <c r="C665" i="18"/>
  <c r="D664" i="18"/>
  <c r="C664" i="18"/>
  <c r="D663" i="18"/>
  <c r="C663" i="18"/>
  <c r="D662" i="18"/>
  <c r="C662" i="18"/>
  <c r="D661" i="18"/>
  <c r="C661" i="18"/>
  <c r="D660" i="18"/>
  <c r="C660" i="18"/>
  <c r="D659" i="18"/>
  <c r="C659" i="18"/>
  <c r="D658" i="18"/>
  <c r="C658" i="18"/>
  <c r="D657" i="18"/>
  <c r="C657" i="18"/>
  <c r="D656" i="18"/>
  <c r="C656" i="18"/>
  <c r="D655" i="18"/>
  <c r="C655" i="18"/>
  <c r="D654" i="18"/>
  <c r="C654" i="18"/>
  <c r="D653" i="18"/>
  <c r="C653" i="18"/>
  <c r="D652" i="18"/>
  <c r="C652" i="18"/>
  <c r="D651" i="18"/>
  <c r="C651" i="18"/>
  <c r="D650" i="18"/>
  <c r="C650" i="18"/>
  <c r="D649" i="18"/>
  <c r="C649" i="18"/>
  <c r="D648" i="18"/>
  <c r="C648" i="18"/>
  <c r="D647" i="18"/>
  <c r="C647" i="18"/>
  <c r="D646" i="18"/>
  <c r="C646" i="18"/>
  <c r="D645" i="18"/>
  <c r="C645" i="18"/>
  <c r="D644" i="18"/>
  <c r="C644" i="18"/>
  <c r="D643" i="18"/>
  <c r="C643" i="18"/>
  <c r="D642" i="18"/>
  <c r="C642" i="18"/>
  <c r="D641" i="18"/>
  <c r="C641" i="18"/>
  <c r="D640" i="18"/>
  <c r="C640" i="18"/>
  <c r="D639" i="18"/>
  <c r="C639" i="18"/>
  <c r="D638" i="18"/>
  <c r="C638" i="18"/>
  <c r="D637" i="18"/>
  <c r="C637" i="18"/>
  <c r="D636" i="18"/>
  <c r="C636" i="18"/>
  <c r="D635" i="18"/>
  <c r="C635" i="18"/>
  <c r="D634" i="18"/>
  <c r="C634" i="18"/>
  <c r="D633" i="18"/>
  <c r="C633" i="18"/>
  <c r="D632" i="18"/>
  <c r="C632" i="18"/>
  <c r="D631" i="18"/>
  <c r="C631" i="18"/>
  <c r="D630" i="18"/>
  <c r="C630" i="18"/>
  <c r="D629" i="18"/>
  <c r="C629" i="18"/>
  <c r="D628" i="18"/>
  <c r="C628" i="18"/>
  <c r="D627" i="18"/>
  <c r="C627" i="18"/>
  <c r="D626" i="18"/>
  <c r="C626" i="18"/>
  <c r="D625" i="18"/>
  <c r="C625" i="18"/>
  <c r="D624" i="18"/>
  <c r="C624" i="18"/>
  <c r="D623" i="18"/>
  <c r="C623" i="18"/>
  <c r="D622" i="18"/>
  <c r="C622" i="18"/>
  <c r="D621" i="18"/>
  <c r="C621" i="18"/>
  <c r="D620" i="18"/>
  <c r="C620" i="18"/>
  <c r="D619" i="18"/>
  <c r="C619" i="18"/>
  <c r="D618" i="18"/>
  <c r="C618" i="18"/>
  <c r="D617" i="18"/>
  <c r="C617" i="18"/>
  <c r="D616" i="18"/>
  <c r="C616" i="18"/>
  <c r="D615" i="18"/>
  <c r="C615" i="18"/>
  <c r="D614" i="18"/>
  <c r="C614" i="18"/>
  <c r="D613" i="18"/>
  <c r="C613" i="18"/>
  <c r="D612" i="18"/>
  <c r="C612" i="18"/>
  <c r="D611" i="18"/>
  <c r="C611" i="18"/>
  <c r="D610" i="18"/>
  <c r="C610" i="18"/>
  <c r="D609" i="18"/>
  <c r="C609" i="18"/>
  <c r="D608" i="18"/>
  <c r="C608" i="18"/>
  <c r="D607" i="18"/>
  <c r="C607" i="18"/>
  <c r="D606" i="18"/>
  <c r="C606" i="18"/>
  <c r="D605" i="18"/>
  <c r="C605" i="18"/>
  <c r="D604" i="18"/>
  <c r="C604" i="18"/>
  <c r="D603" i="18"/>
  <c r="C603" i="18"/>
  <c r="D602" i="18"/>
  <c r="C602" i="18"/>
  <c r="D601" i="18"/>
  <c r="C601" i="18"/>
  <c r="D600" i="18"/>
  <c r="C600" i="18"/>
  <c r="D599" i="18"/>
  <c r="C599" i="18"/>
  <c r="D598" i="18"/>
  <c r="C598" i="18"/>
  <c r="D597" i="18"/>
  <c r="C597" i="18"/>
  <c r="D596" i="18"/>
  <c r="C596" i="18"/>
  <c r="D595" i="18"/>
  <c r="C595" i="18"/>
  <c r="D594" i="18"/>
  <c r="C594" i="18"/>
  <c r="D593" i="18"/>
  <c r="C593" i="18"/>
  <c r="D592" i="18"/>
  <c r="C592" i="18"/>
  <c r="D591" i="18"/>
  <c r="C591" i="18"/>
  <c r="D590" i="18"/>
  <c r="C590" i="18"/>
  <c r="D589" i="18"/>
  <c r="C589" i="18"/>
  <c r="D588" i="18"/>
  <c r="C588" i="18"/>
  <c r="D587" i="18"/>
  <c r="C587" i="18"/>
  <c r="D586" i="18"/>
  <c r="C586" i="18"/>
  <c r="D585" i="18"/>
  <c r="C585" i="18"/>
  <c r="D584" i="18"/>
  <c r="C584" i="18"/>
  <c r="D583" i="18"/>
  <c r="C583" i="18"/>
  <c r="D582" i="18"/>
  <c r="C582" i="18"/>
  <c r="D581" i="18"/>
  <c r="C581" i="18"/>
  <c r="D580" i="18"/>
  <c r="C580" i="18"/>
  <c r="D579" i="18"/>
  <c r="C579" i="18"/>
  <c r="D578" i="18"/>
  <c r="C578" i="18"/>
  <c r="D577" i="18"/>
  <c r="C577" i="18"/>
  <c r="D576" i="18"/>
  <c r="C576" i="18"/>
  <c r="D575" i="18"/>
  <c r="C575" i="18"/>
  <c r="D574" i="18"/>
  <c r="C574" i="18"/>
  <c r="D573" i="18"/>
  <c r="C573" i="18"/>
  <c r="D572" i="18"/>
  <c r="C572" i="18"/>
  <c r="D571" i="18"/>
  <c r="C571" i="18"/>
  <c r="D570" i="18"/>
  <c r="C570" i="18"/>
  <c r="D569" i="18"/>
  <c r="C569" i="18"/>
  <c r="D568" i="18"/>
  <c r="C568" i="18"/>
  <c r="D567" i="18"/>
  <c r="C567" i="18"/>
  <c r="D566" i="18"/>
  <c r="C566" i="18"/>
  <c r="D565" i="18"/>
  <c r="C565" i="18"/>
  <c r="D564" i="18"/>
  <c r="C564" i="18"/>
  <c r="D563" i="18"/>
  <c r="C563" i="18"/>
  <c r="D562" i="18"/>
  <c r="C562" i="18"/>
  <c r="D561" i="18"/>
  <c r="C561" i="18"/>
  <c r="D560" i="18"/>
  <c r="C560" i="18"/>
  <c r="D559" i="18"/>
  <c r="C559" i="18"/>
  <c r="D558" i="18"/>
  <c r="C558" i="18"/>
  <c r="D557" i="18"/>
  <c r="C557" i="18"/>
  <c r="D556" i="18"/>
  <c r="C556" i="18"/>
  <c r="D555" i="18"/>
  <c r="C555" i="18"/>
  <c r="D554" i="18"/>
  <c r="C554" i="18"/>
  <c r="D553" i="18"/>
  <c r="C553" i="18"/>
  <c r="D552" i="18"/>
  <c r="C552" i="18"/>
  <c r="D551" i="18"/>
  <c r="C551" i="18"/>
  <c r="D550" i="18"/>
  <c r="C550" i="18"/>
  <c r="D549" i="18"/>
  <c r="C549" i="18"/>
  <c r="D548" i="18"/>
  <c r="C548" i="18"/>
  <c r="D547" i="18"/>
  <c r="C547" i="18"/>
  <c r="D546" i="18"/>
  <c r="C546" i="18"/>
  <c r="D545" i="18"/>
  <c r="C545" i="18"/>
  <c r="D544" i="18"/>
  <c r="C544" i="18"/>
  <c r="D543" i="18"/>
  <c r="C543" i="18"/>
  <c r="D542" i="18"/>
  <c r="C542" i="18"/>
  <c r="D541" i="18"/>
  <c r="C541" i="18"/>
  <c r="D540" i="18"/>
  <c r="C540" i="18"/>
  <c r="D539" i="18"/>
  <c r="C539" i="18"/>
  <c r="D538" i="18"/>
  <c r="C538" i="18"/>
  <c r="D537" i="18"/>
  <c r="C537" i="18"/>
  <c r="D536" i="18"/>
  <c r="C536" i="18"/>
  <c r="D535" i="18"/>
  <c r="C535" i="18"/>
  <c r="D534" i="18"/>
  <c r="C534" i="18"/>
  <c r="D533" i="18"/>
  <c r="C533" i="18"/>
  <c r="D532" i="18"/>
  <c r="C532" i="18"/>
  <c r="D531" i="18"/>
  <c r="C531" i="18"/>
  <c r="D530" i="18"/>
  <c r="C530" i="18"/>
  <c r="D529" i="18"/>
  <c r="C529" i="18"/>
  <c r="D528" i="18"/>
  <c r="C528" i="18"/>
  <c r="D527" i="18"/>
  <c r="C527" i="18"/>
  <c r="D526" i="18"/>
  <c r="C526" i="18"/>
  <c r="D525" i="18"/>
  <c r="C525" i="18"/>
  <c r="D524" i="18"/>
  <c r="C524" i="18"/>
  <c r="D523" i="18"/>
  <c r="C523" i="18"/>
  <c r="D522" i="18"/>
  <c r="C522" i="18"/>
  <c r="D521" i="18"/>
  <c r="C521" i="18"/>
  <c r="D520" i="18"/>
  <c r="C520" i="18"/>
  <c r="D519" i="18"/>
  <c r="C519" i="18"/>
  <c r="D518" i="18"/>
  <c r="C518" i="18"/>
  <c r="D517" i="18"/>
  <c r="C517" i="18"/>
  <c r="D516" i="18"/>
  <c r="C516" i="18"/>
  <c r="D515" i="18"/>
  <c r="C515" i="18"/>
  <c r="D514" i="18"/>
  <c r="C514" i="18"/>
  <c r="D513" i="18"/>
  <c r="C513" i="18"/>
  <c r="D512" i="18"/>
  <c r="C512" i="18"/>
  <c r="D511" i="18"/>
  <c r="C511" i="18"/>
  <c r="D510" i="18"/>
  <c r="C510" i="18"/>
  <c r="D509" i="18"/>
  <c r="C509" i="18"/>
  <c r="D508" i="18"/>
  <c r="C508" i="18"/>
  <c r="D507" i="18"/>
  <c r="C507" i="18"/>
  <c r="D506" i="18"/>
  <c r="C506" i="18"/>
  <c r="D505" i="18"/>
  <c r="C505" i="18"/>
  <c r="D504" i="18"/>
  <c r="C504" i="18"/>
  <c r="D503" i="18"/>
  <c r="C503" i="18"/>
  <c r="D502" i="18"/>
  <c r="C502" i="18"/>
  <c r="D501" i="18"/>
  <c r="C501" i="18"/>
  <c r="D500" i="18"/>
  <c r="C500" i="18"/>
  <c r="D499" i="18"/>
  <c r="C499" i="18"/>
  <c r="D498" i="18"/>
  <c r="C498" i="18"/>
  <c r="D497" i="18"/>
  <c r="C497" i="18"/>
  <c r="D496" i="18"/>
  <c r="C496" i="18"/>
  <c r="D495" i="18"/>
  <c r="C495" i="18"/>
  <c r="D494" i="18"/>
  <c r="C494" i="18"/>
  <c r="D493" i="18"/>
  <c r="C493" i="18"/>
  <c r="D492" i="18"/>
  <c r="C492" i="18"/>
  <c r="D491" i="18"/>
  <c r="C491" i="18"/>
  <c r="D490" i="18"/>
  <c r="C490" i="18"/>
  <c r="D489" i="18"/>
  <c r="C489" i="18"/>
  <c r="D488" i="18"/>
  <c r="C488" i="18"/>
  <c r="D487" i="18"/>
  <c r="C487" i="18"/>
  <c r="D486" i="18"/>
  <c r="C486" i="18"/>
  <c r="D485" i="18"/>
  <c r="C485" i="18"/>
  <c r="D484" i="18"/>
  <c r="C484" i="18"/>
  <c r="D483" i="18"/>
  <c r="C483" i="18"/>
  <c r="D482" i="18"/>
  <c r="C482" i="18"/>
  <c r="D481" i="18"/>
  <c r="C481" i="18"/>
  <c r="D480" i="18"/>
  <c r="C480" i="18"/>
  <c r="D479" i="18"/>
  <c r="C479" i="18"/>
  <c r="D478" i="18"/>
  <c r="C478" i="18"/>
  <c r="D477" i="18"/>
  <c r="C477" i="18"/>
  <c r="D476" i="18"/>
  <c r="C476" i="18"/>
  <c r="D475" i="18"/>
  <c r="C475" i="18"/>
  <c r="D474" i="18"/>
  <c r="C474" i="18"/>
  <c r="D473" i="18"/>
  <c r="C473" i="18"/>
  <c r="D472" i="18"/>
  <c r="C472" i="18"/>
  <c r="D471" i="18"/>
  <c r="C471" i="18"/>
  <c r="D470" i="18"/>
  <c r="C470" i="18"/>
  <c r="D469" i="18"/>
  <c r="C469" i="18"/>
  <c r="D468" i="18"/>
  <c r="C468" i="18"/>
  <c r="D467" i="18"/>
  <c r="C467" i="18"/>
  <c r="D466" i="18"/>
  <c r="C466" i="18"/>
  <c r="D465" i="18"/>
  <c r="C465" i="18"/>
  <c r="D464" i="18"/>
  <c r="C464" i="18"/>
  <c r="D463" i="18"/>
  <c r="C463" i="18"/>
  <c r="D462" i="18"/>
  <c r="C462" i="18"/>
  <c r="D461" i="18"/>
  <c r="C461" i="18"/>
  <c r="D460" i="18"/>
  <c r="C460" i="18"/>
  <c r="D459" i="18"/>
  <c r="C459" i="18"/>
  <c r="D458" i="18"/>
  <c r="C458" i="18"/>
  <c r="D457" i="18"/>
  <c r="C457" i="18"/>
  <c r="D456" i="18"/>
  <c r="C456" i="18"/>
  <c r="D455" i="18"/>
  <c r="C455" i="18"/>
  <c r="D454" i="18"/>
  <c r="C454" i="18"/>
  <c r="D453" i="18"/>
  <c r="C453" i="18"/>
  <c r="D452" i="18"/>
  <c r="C452" i="18"/>
  <c r="D451" i="18"/>
  <c r="C451" i="18"/>
  <c r="D450" i="18"/>
  <c r="C450" i="18"/>
  <c r="D449" i="18"/>
  <c r="C449" i="18"/>
  <c r="D448" i="18"/>
  <c r="C448" i="18"/>
  <c r="D447" i="18"/>
  <c r="C447" i="18"/>
  <c r="D446" i="18"/>
  <c r="C446" i="18"/>
  <c r="D445" i="18"/>
  <c r="C445" i="18"/>
  <c r="D444" i="18"/>
  <c r="C444" i="18"/>
  <c r="D443" i="18"/>
  <c r="C443" i="18"/>
  <c r="D442" i="18"/>
  <c r="C442" i="18"/>
  <c r="D441" i="18"/>
  <c r="C441" i="18"/>
  <c r="D440" i="18"/>
  <c r="C440" i="18"/>
  <c r="D439" i="18"/>
  <c r="C439" i="18"/>
  <c r="D438" i="18"/>
  <c r="C438" i="18"/>
  <c r="D437" i="18"/>
  <c r="C437" i="18"/>
  <c r="D436" i="18"/>
  <c r="C436" i="18"/>
  <c r="D435" i="18"/>
  <c r="C435" i="18"/>
  <c r="D434" i="18"/>
  <c r="C434" i="18"/>
  <c r="D433" i="18"/>
  <c r="C433" i="18"/>
  <c r="D432" i="18"/>
  <c r="C432" i="18"/>
  <c r="D431" i="18"/>
  <c r="C431" i="18"/>
  <c r="D430" i="18"/>
  <c r="C430" i="18"/>
  <c r="D429" i="18"/>
  <c r="C429" i="18"/>
  <c r="D428" i="18"/>
  <c r="C428" i="18"/>
  <c r="D427" i="18"/>
  <c r="C427" i="18"/>
  <c r="D426" i="18"/>
  <c r="C426" i="18"/>
  <c r="D425" i="18"/>
  <c r="C425" i="18"/>
  <c r="D424" i="18"/>
  <c r="C424" i="18"/>
  <c r="D423" i="18"/>
  <c r="C423" i="18"/>
  <c r="D422" i="18"/>
  <c r="C422" i="18"/>
  <c r="D421" i="18"/>
  <c r="C421" i="18"/>
  <c r="D420" i="18"/>
  <c r="C420" i="18"/>
  <c r="D419" i="18"/>
  <c r="C419" i="18"/>
  <c r="D418" i="18"/>
  <c r="C418" i="18"/>
  <c r="D417" i="18"/>
  <c r="C417" i="18"/>
  <c r="D416" i="18"/>
  <c r="C416" i="18"/>
  <c r="D415" i="18"/>
  <c r="C415" i="18"/>
  <c r="D414" i="18"/>
  <c r="C414" i="18"/>
  <c r="D413" i="18"/>
  <c r="C413" i="18"/>
  <c r="D412" i="18"/>
  <c r="C412" i="18"/>
  <c r="D411" i="18"/>
  <c r="C411" i="18"/>
  <c r="D410" i="18"/>
  <c r="C410" i="18"/>
  <c r="D409" i="18"/>
  <c r="C409" i="18"/>
  <c r="D408" i="18"/>
  <c r="C408" i="18"/>
  <c r="D407" i="18"/>
  <c r="C407" i="18"/>
  <c r="D406" i="18"/>
  <c r="C406" i="18"/>
  <c r="D405" i="18"/>
  <c r="C405" i="18"/>
  <c r="D404" i="18"/>
  <c r="C404" i="18"/>
  <c r="D403" i="18"/>
  <c r="C403" i="18"/>
  <c r="D402" i="18"/>
  <c r="C402" i="18"/>
  <c r="D401" i="18"/>
  <c r="C401" i="18"/>
  <c r="D400" i="18"/>
  <c r="C400" i="18"/>
  <c r="D399" i="18"/>
  <c r="C399" i="18"/>
  <c r="D398" i="18"/>
  <c r="C398" i="18"/>
  <c r="D397" i="18"/>
  <c r="C397" i="18"/>
  <c r="D396" i="18"/>
  <c r="C396" i="18"/>
  <c r="D395" i="18"/>
  <c r="C395" i="18"/>
  <c r="D394" i="18"/>
  <c r="C394" i="18"/>
  <c r="D393" i="18"/>
  <c r="C393" i="18"/>
  <c r="D392" i="18"/>
  <c r="C392" i="18"/>
  <c r="D391" i="18"/>
  <c r="C391" i="18"/>
  <c r="D390" i="18"/>
  <c r="C390" i="18"/>
  <c r="D389" i="18"/>
  <c r="C389" i="18"/>
  <c r="D388" i="18"/>
  <c r="C388" i="18"/>
  <c r="D387" i="18"/>
  <c r="C387" i="18"/>
  <c r="D386" i="18"/>
  <c r="C386" i="18"/>
  <c r="D385" i="18"/>
  <c r="C385" i="18"/>
  <c r="D384" i="18"/>
  <c r="C384" i="18"/>
  <c r="D383" i="18"/>
  <c r="C383" i="18"/>
  <c r="D382" i="18"/>
  <c r="C382" i="18"/>
  <c r="D381" i="18"/>
  <c r="C381" i="18"/>
  <c r="D380" i="18"/>
  <c r="C380" i="18"/>
  <c r="D379" i="18"/>
  <c r="C379" i="18"/>
  <c r="D378" i="18"/>
  <c r="C378" i="18"/>
  <c r="D377" i="18"/>
  <c r="C377" i="18"/>
  <c r="D376" i="18"/>
  <c r="C376" i="18"/>
  <c r="D375" i="18"/>
  <c r="C375" i="18"/>
  <c r="D374" i="18"/>
  <c r="C374" i="18"/>
  <c r="D373" i="18"/>
  <c r="C373" i="18"/>
  <c r="D372" i="18"/>
  <c r="C372" i="18"/>
  <c r="D371" i="18"/>
  <c r="C371" i="18"/>
  <c r="D370" i="18"/>
  <c r="C370" i="18"/>
  <c r="D369" i="18"/>
  <c r="C369" i="18"/>
  <c r="D368" i="18"/>
  <c r="C368" i="18"/>
  <c r="D367" i="18"/>
  <c r="C367" i="18"/>
  <c r="D366" i="18"/>
  <c r="C366" i="18"/>
  <c r="D365" i="18"/>
  <c r="C365" i="18"/>
  <c r="D364" i="18"/>
  <c r="C364" i="18"/>
  <c r="D363" i="18"/>
  <c r="C363" i="18"/>
  <c r="D362" i="18"/>
  <c r="C362" i="18"/>
  <c r="D361" i="18"/>
  <c r="C361" i="18"/>
  <c r="D360" i="18"/>
  <c r="C360" i="18"/>
  <c r="D359" i="18"/>
  <c r="C359" i="18"/>
  <c r="D358" i="18"/>
  <c r="C358" i="18"/>
  <c r="D357" i="18"/>
  <c r="C357" i="18"/>
  <c r="D356" i="18"/>
  <c r="C356" i="18"/>
  <c r="D355" i="18"/>
  <c r="C355" i="18"/>
  <c r="D354" i="18"/>
  <c r="C354" i="18"/>
  <c r="D353" i="18"/>
  <c r="C353" i="18"/>
  <c r="D352" i="18"/>
  <c r="C352" i="18"/>
  <c r="D351" i="18"/>
  <c r="C351" i="18"/>
  <c r="D350" i="18"/>
  <c r="C350" i="18"/>
  <c r="D349" i="18"/>
  <c r="C349" i="18"/>
  <c r="D348" i="18"/>
  <c r="C348" i="18"/>
  <c r="D347" i="18"/>
  <c r="C347" i="18"/>
  <c r="D346" i="18"/>
  <c r="C346" i="18"/>
  <c r="D345" i="18"/>
  <c r="C345" i="18"/>
  <c r="D344" i="18"/>
  <c r="C344" i="18"/>
  <c r="D343" i="18"/>
  <c r="C343" i="18"/>
  <c r="D342" i="18"/>
  <c r="C342" i="18"/>
  <c r="D341" i="18"/>
  <c r="C341" i="18"/>
  <c r="D340" i="18"/>
  <c r="C340" i="18"/>
  <c r="D339" i="18"/>
  <c r="C339" i="18"/>
  <c r="D338" i="18"/>
  <c r="C338" i="18"/>
  <c r="D337" i="18"/>
  <c r="C337" i="18"/>
  <c r="D336" i="18"/>
  <c r="C336" i="18"/>
  <c r="D335" i="18"/>
  <c r="C335" i="18"/>
  <c r="D334" i="18"/>
  <c r="C334" i="18"/>
  <c r="D333" i="18"/>
  <c r="C333" i="18"/>
  <c r="D332" i="18"/>
  <c r="C332" i="18"/>
  <c r="D331" i="18"/>
  <c r="C331" i="18"/>
  <c r="D330" i="18"/>
  <c r="C330" i="18"/>
  <c r="D329" i="18"/>
  <c r="C329" i="18"/>
  <c r="D328" i="18"/>
  <c r="C328" i="18"/>
  <c r="D327" i="18"/>
  <c r="C327" i="18"/>
  <c r="D326" i="18"/>
  <c r="C326" i="18"/>
  <c r="D325" i="18"/>
  <c r="C325" i="18"/>
  <c r="D324" i="18"/>
  <c r="C324" i="18"/>
  <c r="D323" i="18"/>
  <c r="C323" i="18"/>
  <c r="D322" i="18"/>
  <c r="C322" i="18"/>
  <c r="D321" i="18"/>
  <c r="C321" i="18"/>
  <c r="D320" i="18"/>
  <c r="C320" i="18"/>
  <c r="D319" i="18"/>
  <c r="C319" i="18"/>
  <c r="D318" i="18"/>
  <c r="C318" i="18"/>
  <c r="D317" i="18"/>
  <c r="C317" i="18"/>
  <c r="D316" i="18"/>
  <c r="C316" i="18"/>
  <c r="D315" i="18"/>
  <c r="C315" i="18"/>
  <c r="D314" i="18"/>
  <c r="C314" i="18"/>
  <c r="D313" i="18"/>
  <c r="C313" i="18"/>
  <c r="D312" i="18"/>
  <c r="C312" i="18"/>
  <c r="D311" i="18"/>
  <c r="C311" i="18"/>
  <c r="D310" i="18"/>
  <c r="C310" i="18"/>
  <c r="D309" i="18"/>
  <c r="C309" i="18"/>
  <c r="D308" i="18"/>
  <c r="C308" i="18"/>
  <c r="D307" i="18"/>
  <c r="C307" i="18"/>
  <c r="D306" i="18"/>
  <c r="C306" i="18"/>
  <c r="D305" i="18"/>
  <c r="C305" i="18"/>
  <c r="D304" i="18"/>
  <c r="C304" i="18"/>
  <c r="D303" i="18"/>
  <c r="C303" i="18"/>
  <c r="D302" i="18"/>
  <c r="C302" i="18"/>
  <c r="D301" i="18"/>
  <c r="C301" i="18"/>
  <c r="D300" i="18"/>
  <c r="C300" i="18"/>
  <c r="D299" i="18"/>
  <c r="C299" i="18"/>
  <c r="D298" i="18"/>
  <c r="C298" i="18"/>
  <c r="D297" i="18"/>
  <c r="C297" i="18"/>
  <c r="D296" i="18"/>
  <c r="C296" i="18"/>
  <c r="D295" i="18"/>
  <c r="C295" i="18"/>
  <c r="D294" i="18"/>
  <c r="C294" i="18"/>
  <c r="D293" i="18"/>
  <c r="C293" i="18"/>
  <c r="D292" i="18"/>
  <c r="C292" i="18"/>
  <c r="D291" i="18"/>
  <c r="C291" i="18"/>
  <c r="D290" i="18"/>
  <c r="C290" i="18"/>
  <c r="D289" i="18"/>
  <c r="C289" i="18"/>
  <c r="D288" i="18"/>
  <c r="C288" i="18"/>
  <c r="D287" i="18"/>
  <c r="C287" i="18"/>
  <c r="D286" i="18"/>
  <c r="C286" i="18"/>
  <c r="D285" i="18"/>
  <c r="C285" i="18"/>
  <c r="D284" i="18"/>
  <c r="C284" i="18"/>
  <c r="D283" i="18"/>
  <c r="C283" i="18"/>
  <c r="D282" i="18"/>
  <c r="C282" i="18"/>
  <c r="D281" i="18"/>
  <c r="C281" i="18"/>
  <c r="D280" i="18"/>
  <c r="C280" i="18"/>
  <c r="D279" i="18"/>
  <c r="C279" i="18"/>
  <c r="D278" i="18"/>
  <c r="C278" i="18"/>
  <c r="D277" i="18"/>
  <c r="C277" i="18"/>
  <c r="D276" i="18"/>
  <c r="C276" i="18"/>
  <c r="D275" i="18"/>
  <c r="C275" i="18"/>
  <c r="D274" i="18"/>
  <c r="C274" i="18"/>
  <c r="D273" i="18"/>
  <c r="C273" i="18"/>
  <c r="D272" i="18"/>
  <c r="C272" i="18"/>
  <c r="D271" i="18"/>
  <c r="C271" i="18"/>
  <c r="D270" i="18"/>
  <c r="C270" i="18"/>
  <c r="D269" i="18"/>
  <c r="C269" i="18"/>
  <c r="D268" i="18"/>
  <c r="C268" i="18"/>
  <c r="D267" i="18"/>
  <c r="C267" i="18"/>
  <c r="D266" i="18"/>
  <c r="C266" i="18"/>
  <c r="D265" i="18"/>
  <c r="C265" i="18"/>
  <c r="D264" i="18"/>
  <c r="C264" i="18"/>
  <c r="D263" i="18"/>
  <c r="C263" i="18"/>
  <c r="D262" i="18"/>
  <c r="C262" i="18"/>
  <c r="D261" i="18"/>
  <c r="C261" i="18"/>
  <c r="D260" i="18"/>
  <c r="C260" i="18"/>
  <c r="D259" i="18"/>
  <c r="C259" i="18"/>
  <c r="D258" i="18"/>
  <c r="C258" i="18"/>
  <c r="D257" i="18"/>
  <c r="C257" i="18"/>
  <c r="D256" i="18"/>
  <c r="C256" i="18"/>
  <c r="D255" i="18"/>
  <c r="C255" i="18"/>
  <c r="D254" i="18"/>
  <c r="C254" i="18"/>
  <c r="D253" i="18"/>
  <c r="C253" i="18"/>
  <c r="D252" i="18"/>
  <c r="C252" i="18"/>
  <c r="D251" i="18"/>
  <c r="C251" i="18"/>
  <c r="D250" i="18"/>
  <c r="C250" i="18"/>
  <c r="D249" i="18"/>
  <c r="C249" i="18"/>
  <c r="D248" i="18"/>
  <c r="C248" i="18"/>
  <c r="D247" i="18"/>
  <c r="C247" i="18"/>
  <c r="D246" i="18"/>
  <c r="C246" i="18"/>
  <c r="D245" i="18"/>
  <c r="C245" i="18"/>
  <c r="D244" i="18"/>
  <c r="C244" i="18"/>
  <c r="D243" i="18"/>
  <c r="C243" i="18"/>
  <c r="D242" i="18"/>
  <c r="C242" i="18"/>
  <c r="D241" i="18"/>
  <c r="C241" i="18"/>
  <c r="D240" i="18"/>
  <c r="C240" i="18"/>
  <c r="D239" i="18"/>
  <c r="C239" i="18"/>
  <c r="D238" i="18"/>
  <c r="C238" i="18"/>
  <c r="D237" i="18"/>
  <c r="C237" i="18"/>
  <c r="D236" i="18"/>
  <c r="C236" i="18"/>
  <c r="D235" i="18"/>
  <c r="C235" i="18"/>
  <c r="D234" i="18"/>
  <c r="C234" i="18"/>
  <c r="D233" i="18"/>
  <c r="C233" i="18"/>
  <c r="D232" i="18"/>
  <c r="C232" i="18"/>
  <c r="D231" i="18"/>
  <c r="C231" i="18"/>
  <c r="D230" i="18"/>
  <c r="C230" i="18"/>
  <c r="D229" i="18"/>
  <c r="C229" i="18"/>
  <c r="D228" i="18"/>
  <c r="C228" i="18"/>
  <c r="D227" i="18"/>
  <c r="C227" i="18"/>
  <c r="D226" i="18"/>
  <c r="C226" i="18"/>
  <c r="D225" i="18"/>
  <c r="C225" i="18"/>
  <c r="D224" i="18"/>
  <c r="C224" i="18"/>
  <c r="D223" i="18"/>
  <c r="C223" i="18"/>
  <c r="D222" i="18"/>
  <c r="C222" i="18"/>
  <c r="D221" i="18"/>
  <c r="C221" i="18"/>
  <c r="D220" i="18"/>
  <c r="C220" i="18"/>
  <c r="D219" i="18"/>
  <c r="C219" i="18"/>
  <c r="D218" i="18"/>
  <c r="C218" i="18"/>
  <c r="D217" i="18"/>
  <c r="C217" i="18"/>
  <c r="D216" i="18"/>
  <c r="C216" i="18"/>
  <c r="D215" i="18"/>
  <c r="C215" i="18"/>
  <c r="D214" i="18"/>
  <c r="C214" i="18"/>
  <c r="D213" i="18"/>
  <c r="C213" i="18"/>
  <c r="D212" i="18"/>
  <c r="C212" i="18"/>
  <c r="D211" i="18"/>
  <c r="C211" i="18"/>
  <c r="D210" i="18"/>
  <c r="C210" i="18"/>
  <c r="D209" i="18"/>
  <c r="C209" i="18"/>
  <c r="D208" i="18"/>
  <c r="C208" i="18"/>
  <c r="D207" i="18"/>
  <c r="C207" i="18"/>
  <c r="D206" i="18"/>
  <c r="C206" i="18"/>
  <c r="D205" i="18"/>
  <c r="C205" i="18"/>
  <c r="D204" i="18"/>
  <c r="C204" i="18"/>
  <c r="D203" i="18"/>
  <c r="C203" i="18"/>
  <c r="D202" i="18"/>
  <c r="C202" i="18"/>
  <c r="D201" i="18"/>
  <c r="C201" i="18"/>
  <c r="D200" i="18"/>
  <c r="C200" i="18"/>
  <c r="D199" i="18"/>
  <c r="C199" i="18"/>
  <c r="D198" i="18"/>
  <c r="C198" i="18"/>
  <c r="D197" i="18"/>
  <c r="C197" i="18"/>
  <c r="D196" i="18"/>
  <c r="C196" i="18"/>
  <c r="D195" i="18"/>
  <c r="C195" i="18"/>
  <c r="D194" i="18"/>
  <c r="C194" i="18"/>
  <c r="D193" i="18"/>
  <c r="C193" i="18"/>
  <c r="D192" i="18"/>
  <c r="C192" i="18"/>
  <c r="D191" i="18"/>
  <c r="C191" i="18"/>
  <c r="D190" i="18"/>
  <c r="C190" i="18"/>
  <c r="D189" i="18"/>
  <c r="C189" i="18"/>
  <c r="D188" i="18"/>
  <c r="C188" i="18"/>
  <c r="D187" i="18"/>
  <c r="C187" i="18"/>
  <c r="D186" i="18"/>
  <c r="C186" i="18"/>
  <c r="D185" i="18"/>
  <c r="C185" i="18"/>
  <c r="D184" i="18"/>
  <c r="C184" i="18"/>
  <c r="D183" i="18"/>
  <c r="C183" i="18"/>
  <c r="D182" i="18"/>
  <c r="C182" i="18"/>
  <c r="D181" i="18"/>
  <c r="C181" i="18"/>
  <c r="D180" i="18"/>
  <c r="C180" i="18"/>
  <c r="D179" i="18"/>
  <c r="C179" i="18"/>
  <c r="D178" i="18"/>
  <c r="C178" i="18"/>
  <c r="D177" i="18"/>
  <c r="C177" i="18"/>
  <c r="D176" i="18"/>
  <c r="C176" i="18"/>
  <c r="D175" i="18"/>
  <c r="C175" i="18"/>
  <c r="D174" i="18"/>
  <c r="C174" i="18"/>
  <c r="D173" i="18"/>
  <c r="C173" i="18"/>
  <c r="D172" i="18"/>
  <c r="C172" i="18"/>
  <c r="D171" i="18"/>
  <c r="C171" i="18"/>
  <c r="D170" i="18"/>
  <c r="C170" i="18"/>
  <c r="D169" i="18"/>
  <c r="C169" i="18"/>
  <c r="D168" i="18"/>
  <c r="C168" i="18"/>
  <c r="D167" i="18"/>
  <c r="C167" i="18"/>
  <c r="D166" i="18"/>
  <c r="C166" i="18"/>
  <c r="D165" i="18"/>
  <c r="C165" i="18"/>
  <c r="D164" i="18"/>
  <c r="C164" i="18"/>
  <c r="D163" i="18"/>
  <c r="C163" i="18"/>
  <c r="D162" i="18"/>
  <c r="C162" i="18"/>
  <c r="D161" i="18"/>
  <c r="C161" i="18"/>
  <c r="D160" i="18"/>
  <c r="C160" i="18"/>
  <c r="D159" i="18"/>
  <c r="C159" i="18"/>
  <c r="D158" i="18"/>
  <c r="C158" i="18"/>
  <c r="D157" i="18"/>
  <c r="C157" i="18"/>
  <c r="D156" i="18"/>
  <c r="C156" i="18"/>
  <c r="D155" i="18"/>
  <c r="C155" i="18"/>
  <c r="D154" i="18"/>
  <c r="C154" i="18"/>
  <c r="D153" i="18"/>
  <c r="C153" i="18"/>
  <c r="D152" i="18"/>
  <c r="C152" i="18"/>
  <c r="D151" i="18"/>
  <c r="C151" i="18"/>
  <c r="D150" i="18"/>
  <c r="C150" i="18"/>
  <c r="D149" i="18"/>
  <c r="C149" i="18"/>
  <c r="D148" i="18"/>
  <c r="C148" i="18"/>
  <c r="D147" i="18"/>
  <c r="C147" i="18"/>
  <c r="D146" i="18"/>
  <c r="C146" i="18"/>
  <c r="D145" i="18"/>
  <c r="C145" i="18"/>
  <c r="D144" i="18"/>
  <c r="C144" i="18"/>
  <c r="D143" i="18"/>
  <c r="C143" i="18"/>
  <c r="D142" i="18"/>
  <c r="C142" i="18"/>
  <c r="D141" i="18"/>
  <c r="C141" i="18"/>
  <c r="D140" i="18"/>
  <c r="C140" i="18"/>
  <c r="D139" i="18"/>
  <c r="C139" i="18"/>
  <c r="D138" i="18"/>
  <c r="C138" i="18"/>
  <c r="D137" i="18"/>
  <c r="C137" i="18"/>
  <c r="D136" i="18"/>
  <c r="C136" i="18"/>
  <c r="D135" i="18"/>
  <c r="C135" i="18"/>
  <c r="D134" i="18"/>
  <c r="C134" i="18"/>
  <c r="D133" i="18"/>
  <c r="C133" i="18"/>
  <c r="D132" i="18"/>
  <c r="C132" i="18"/>
  <c r="D131" i="18"/>
  <c r="C131" i="18"/>
  <c r="D130" i="18"/>
  <c r="C130" i="18"/>
  <c r="D129" i="18"/>
  <c r="C129" i="18"/>
  <c r="D128" i="18"/>
  <c r="C128" i="18"/>
  <c r="D127" i="18"/>
  <c r="C127" i="18"/>
  <c r="D126" i="18"/>
  <c r="C126" i="18"/>
  <c r="D125" i="18"/>
  <c r="C125" i="18"/>
  <c r="D124" i="18"/>
  <c r="C124" i="18"/>
  <c r="D123" i="18"/>
  <c r="C123" i="18"/>
  <c r="D122" i="18"/>
  <c r="C122" i="18"/>
  <c r="D121" i="18"/>
  <c r="C121" i="18"/>
  <c r="D120" i="18"/>
  <c r="C120" i="18"/>
  <c r="D119" i="18"/>
  <c r="C119" i="18"/>
  <c r="D118" i="18"/>
  <c r="C118" i="18"/>
  <c r="D117" i="18"/>
  <c r="C117" i="18"/>
  <c r="D116" i="18"/>
  <c r="C116" i="18"/>
  <c r="D115" i="18"/>
  <c r="C115" i="18"/>
  <c r="D114" i="18"/>
  <c r="C114" i="18"/>
  <c r="D113" i="18"/>
  <c r="C113" i="18"/>
  <c r="D112" i="18"/>
  <c r="C112" i="18"/>
  <c r="D111" i="18"/>
  <c r="C111" i="18"/>
  <c r="D110" i="18"/>
  <c r="C110" i="18"/>
  <c r="D109" i="18"/>
  <c r="C109" i="18"/>
  <c r="D108" i="18"/>
  <c r="C108" i="18"/>
  <c r="D107" i="18"/>
  <c r="C107" i="18"/>
  <c r="D106" i="18"/>
  <c r="C106" i="18"/>
  <c r="D105" i="18"/>
  <c r="C105" i="18"/>
  <c r="D104" i="18"/>
  <c r="C104" i="18"/>
  <c r="D103" i="18"/>
  <c r="C103" i="18"/>
  <c r="D102" i="18"/>
  <c r="C102" i="18"/>
  <c r="D101" i="18"/>
  <c r="C101" i="18"/>
  <c r="D100" i="18"/>
  <c r="C100" i="18"/>
  <c r="D99" i="18"/>
  <c r="C99" i="18"/>
  <c r="D98" i="18"/>
  <c r="C98" i="18"/>
  <c r="D97" i="18"/>
  <c r="C97" i="18"/>
  <c r="D96" i="18"/>
  <c r="C96" i="18"/>
  <c r="D95" i="18"/>
  <c r="C95" i="18"/>
  <c r="D94" i="18"/>
  <c r="C94" i="18"/>
  <c r="D93" i="18"/>
  <c r="C93" i="18"/>
  <c r="D92" i="18"/>
  <c r="C92" i="18"/>
  <c r="D91" i="18"/>
  <c r="C91" i="18"/>
  <c r="D90" i="18"/>
  <c r="C90" i="18"/>
  <c r="D89" i="18"/>
  <c r="C89" i="18"/>
  <c r="D88" i="18"/>
  <c r="C88" i="18"/>
  <c r="D87" i="18"/>
  <c r="C87" i="18"/>
  <c r="D86" i="18"/>
  <c r="C86" i="18"/>
  <c r="D85" i="18"/>
  <c r="C85" i="18"/>
  <c r="D84" i="18"/>
  <c r="C84" i="18"/>
  <c r="D83" i="18"/>
  <c r="C83" i="18"/>
  <c r="D82" i="18"/>
  <c r="C82" i="18"/>
  <c r="D81" i="18"/>
  <c r="C81" i="18"/>
  <c r="D80" i="18"/>
  <c r="C80" i="18"/>
  <c r="D79" i="18"/>
  <c r="C79" i="18"/>
  <c r="D78" i="18"/>
  <c r="C78" i="18"/>
  <c r="D77" i="18"/>
  <c r="C77" i="18"/>
  <c r="D76" i="18"/>
  <c r="C76" i="18"/>
  <c r="D75" i="18"/>
  <c r="C75" i="18"/>
  <c r="D74" i="18"/>
  <c r="C74" i="18"/>
  <c r="D73" i="18"/>
  <c r="C73" i="18"/>
  <c r="D72" i="18"/>
  <c r="C72" i="18"/>
  <c r="D71" i="18"/>
  <c r="C71" i="18"/>
  <c r="D70" i="18"/>
  <c r="C70" i="18"/>
  <c r="D69" i="18"/>
  <c r="C69" i="18"/>
  <c r="D68" i="18"/>
  <c r="C68" i="18"/>
  <c r="D67" i="18"/>
  <c r="C67" i="18"/>
  <c r="D66" i="18"/>
  <c r="C66" i="18"/>
  <c r="D65" i="18"/>
  <c r="C65" i="18"/>
  <c r="D64" i="18"/>
  <c r="C64" i="18"/>
  <c r="D63" i="18"/>
  <c r="C63" i="18"/>
  <c r="D62" i="18"/>
  <c r="C62" i="18"/>
  <c r="D61" i="18"/>
  <c r="C61" i="18"/>
  <c r="D60" i="18"/>
  <c r="C60" i="18"/>
  <c r="D59" i="18"/>
  <c r="C59" i="18"/>
  <c r="D58" i="18"/>
  <c r="C58" i="18"/>
  <c r="D57" i="18"/>
  <c r="C57"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16" i="18"/>
  <c r="C16" i="18"/>
  <c r="D15" i="18"/>
  <c r="C15" i="18"/>
  <c r="D14" i="18"/>
  <c r="C14" i="18"/>
  <c r="D13" i="18"/>
  <c r="C13" i="18"/>
  <c r="D12" i="18"/>
  <c r="C12" i="18"/>
  <c r="D11" i="18"/>
  <c r="C11" i="18"/>
  <c r="D10" i="18"/>
  <c r="C10" i="18"/>
  <c r="D9" i="18"/>
  <c r="C9" i="18"/>
  <c r="D8" i="18"/>
  <c r="C8" i="18"/>
  <c r="D7" i="18"/>
  <c r="C7" i="18"/>
  <c r="D6" i="18"/>
  <c r="C6" i="18"/>
  <c r="D5" i="18"/>
  <c r="C5" i="18"/>
  <c r="D4" i="18"/>
  <c r="C4" i="18"/>
  <c r="D3" i="18"/>
  <c r="C3" i="18"/>
  <c r="D2" i="18"/>
  <c r="C2" i="18"/>
</calcChain>
</file>

<file path=xl/sharedStrings.xml><?xml version="1.0" encoding="utf-8"?>
<sst xmlns="http://schemas.openxmlformats.org/spreadsheetml/2006/main" count="236835" uniqueCount="48345">
  <si>
    <t>Title</t>
  </si>
  <si>
    <t>Edition</t>
  </si>
  <si>
    <t>Publisher</t>
  </si>
  <si>
    <t>Publication Country</t>
  </si>
  <si>
    <t>ISSN</t>
  </si>
  <si>
    <t>eISSN</t>
  </si>
  <si>
    <t>ISBN</t>
  </si>
  <si>
    <t>Full Text
(combined)
First</t>
  </si>
  <si>
    <t>Full Text
(combined)
Last</t>
  </si>
  <si>
    <t>Full Text
(combined)
Gaps</t>
  </si>
  <si>
    <t>Scholarly / Peer-
Reviewed</t>
  </si>
  <si>
    <t>Embargo Days</t>
  </si>
  <si>
    <t>Cit/Abs
(combined)
First</t>
  </si>
  <si>
    <t>Cit/Abs
(combined)
Last</t>
  </si>
  <si>
    <t>Cit/Abs
(combined)
Gaps</t>
  </si>
  <si>
    <t>Other
Formats First</t>
  </si>
  <si>
    <t>Other
Formats Last</t>
  </si>
  <si>
    <t>Other
Formats Gaps</t>
  </si>
  <si>
    <t>Audio/Video
First</t>
  </si>
  <si>
    <t>Audio/Video
Last</t>
  </si>
  <si>
    <t>Audio/Video
Gaps</t>
  </si>
  <si>
    <t>Peer-
Reviewed</t>
  </si>
  <si>
    <t>Pub Type</t>
  </si>
  <si>
    <t>Pub Language</t>
  </si>
  <si>
    <t>Subjects</t>
  </si>
  <si>
    <t>Pub ID</t>
  </si>
  <si>
    <t/>
  </si>
  <si>
    <t>BRILL</t>
  </si>
  <si>
    <t>N</t>
  </si>
  <si>
    <t>Books</t>
  </si>
  <si>
    <t>English</t>
  </si>
  <si>
    <t>Oxford University Press, Incorporated</t>
  </si>
  <si>
    <t>101 Careers in Counseling</t>
  </si>
  <si>
    <t>Springer Publishing Company, Incorporated</t>
  </si>
  <si>
    <t>101 Coaching Strategies and Techniques</t>
  </si>
  <si>
    <t>Taylor &amp; Francis Group</t>
  </si>
  <si>
    <t>Counseling - Practice</t>
  </si>
  <si>
    <t>101 Favorite Play Therapy Techniques</t>
  </si>
  <si>
    <t>Rowman &amp; Littlefield Publishers, Incorporated</t>
  </si>
  <si>
    <t>Play therapy</t>
  </si>
  <si>
    <t>101 More Favorite Play Therapy Techniques</t>
  </si>
  <si>
    <t>12th International Congress on Ericksonian Approaches to Psychotherapy</t>
  </si>
  <si>
    <t>United States</t>
  </si>
  <si>
    <t>Audio &amp; Video Works</t>
  </si>
  <si>
    <t>Medical Sciences|Psychology</t>
  </si>
  <si>
    <t>Archival Materials</t>
  </si>
  <si>
    <t>Psychology</t>
  </si>
  <si>
    <t>30 Scripts for Relaxation Imagery and Inner Healing, Volume One</t>
  </si>
  <si>
    <t>Whole Person Associates, Inc.</t>
  </si>
  <si>
    <t>30 Scripts for Relaxation Imagery and Inner Healing, Volume Two</t>
  </si>
  <si>
    <t>32nd Annual Winter Roundtable on Cultural Psychology and Education</t>
  </si>
  <si>
    <t>Microtraining Associates</t>
  </si>
  <si>
    <t>33rd Annual Winter Roundtable on Cultural Psychology and Education</t>
  </si>
  <si>
    <t>The 3-Point Therapist</t>
  </si>
  <si>
    <t>5 Forces of Counseling and Psychotherapy</t>
  </si>
  <si>
    <t>The 5 to 10 Year-Old Child</t>
  </si>
  <si>
    <t>50 Health Scares That Fizzled</t>
  </si>
  <si>
    <t>ABC-CLIO, LLC</t>
  </si>
  <si>
    <t>The 8 Steps to Strategic Success : Unleashing the Power of Engagement</t>
  </si>
  <si>
    <t>Kogan Page Ltd.</t>
  </si>
  <si>
    <t>United Kingdom</t>
  </si>
  <si>
    <t>9780749469191;9780749469191</t>
  </si>
  <si>
    <t>The ABC Model of Crisis Counseling</t>
  </si>
  <si>
    <t>ABCT Clinical Grand Rounds</t>
  </si>
  <si>
    <t>The ADHD Report</t>
  </si>
  <si>
    <t>Guilford Press</t>
  </si>
  <si>
    <t>1065-8025</t>
  </si>
  <si>
    <t>1943-2747</t>
  </si>
  <si>
    <t>Y</t>
  </si>
  <si>
    <t>Scholarly Journals</t>
  </si>
  <si>
    <t>Medical Sciences--Psychiatry And Neurology</t>
  </si>
  <si>
    <t>Medical Sciences--Psychiatry And Neurology|Psychology</t>
  </si>
  <si>
    <t>AI &amp; Society</t>
  </si>
  <si>
    <t>Springer Nature B.V.</t>
  </si>
  <si>
    <t>Netherlands</t>
  </si>
  <si>
    <t>0951-5666</t>
  </si>
  <si>
    <t>1435-5655</t>
  </si>
  <si>
    <t>Current</t>
  </si>
  <si>
    <t>Computers--Artificial Intelligence</t>
  </si>
  <si>
    <t>AIDS Care</t>
  </si>
  <si>
    <t>Taylor &amp; Francis Ltd.</t>
  </si>
  <si>
    <t>0954-0121</t>
  </si>
  <si>
    <t>1360-0451</t>
  </si>
  <si>
    <t>Medical Sciences--Communicable Diseases|Medical Sciences--Psychiatry And Neurology</t>
  </si>
  <si>
    <t>AIDS Education and Prevention</t>
  </si>
  <si>
    <t>0899-9546</t>
  </si>
  <si>
    <t>1943-2755</t>
  </si>
  <si>
    <t>Medical Sciences--Communicable Diseases|Physical Fitness And Hygiene|Public Health And Safety</t>
  </si>
  <si>
    <t>AIDS and Behavior</t>
  </si>
  <si>
    <t>1090-7165</t>
  </si>
  <si>
    <t>1573-3254</t>
  </si>
  <si>
    <t>01-Jan-1998--31-Dec-1998</t>
  </si>
  <si>
    <t>Medical Sciences--Allergology And Immunology|Psychology</t>
  </si>
  <si>
    <t>AIS Transactions on Human-Computer Interactions</t>
  </si>
  <si>
    <t>Association for Information Systems</t>
  </si>
  <si>
    <t>1944-3900</t>
  </si>
  <si>
    <t>Computers</t>
  </si>
  <si>
    <t>AJOB Neuroscience</t>
  </si>
  <si>
    <t>2150-7740</t>
  </si>
  <si>
    <t>2150-7759</t>
  </si>
  <si>
    <t>Medical Sciences--Psychiatry And Neurology|Philosophy</t>
  </si>
  <si>
    <t>ANS</t>
  </si>
  <si>
    <t>Lippincott Williams &amp; Wilkins Ovid Technologies</t>
  </si>
  <si>
    <t>0161-9268</t>
  </si>
  <si>
    <t>1550-5014</t>
  </si>
  <si>
    <t>Medical Sciences--Nurses And Nursing</t>
  </si>
  <si>
    <t>The APSAC Handbook on Child Maltreatment, Second Edition</t>
  </si>
  <si>
    <t>SAGE PUBLICATIONS, INC.</t>
  </si>
  <si>
    <t>Ability</t>
  </si>
  <si>
    <t>Ability Magazine</t>
  </si>
  <si>
    <t>1062-5321</t>
  </si>
  <si>
    <t>01-Jan-1999--31-Dec-1999</t>
  </si>
  <si>
    <t>Magazines</t>
  </si>
  <si>
    <t>Academic Psychiatry</t>
  </si>
  <si>
    <t>American Psychiatric Publishing, Inc.</t>
  </si>
  <si>
    <t>1042-9670</t>
  </si>
  <si>
    <t>1545-7230</t>
  </si>
  <si>
    <t>Education--Higher Education|Medical Sciences--Psychiatry And Neurology</t>
  </si>
  <si>
    <t>Academica Science Journal, Psychologica Series</t>
  </si>
  <si>
    <t>Dimitrie Cantemir University of Targu Mures</t>
  </si>
  <si>
    <t>Romania</t>
  </si>
  <si>
    <t>2285-8083</t>
  </si>
  <si>
    <t>2285-8849</t>
  </si>
  <si>
    <t>Education|Psychology</t>
  </si>
  <si>
    <t>Academy of Management Journal</t>
  </si>
  <si>
    <t>Academy of Management</t>
  </si>
  <si>
    <t>0001-4273</t>
  </si>
  <si>
    <t>1948-0989</t>
  </si>
  <si>
    <t>Business And Economics--Management</t>
  </si>
  <si>
    <t>Academy of Management. The Academy of Management Review</t>
  </si>
  <si>
    <t>0363-7425</t>
  </si>
  <si>
    <t>1930-3807</t>
  </si>
  <si>
    <t>Access to Health Risk Behavior in the United States</t>
  </si>
  <si>
    <t>New Strategist Press, LLC</t>
  </si>
  <si>
    <t>9781885070593;9781885070593</t>
  </si>
  <si>
    <t>Reports</t>
  </si>
  <si>
    <t>Statistics</t>
  </si>
  <si>
    <t>Acción Psicológica</t>
  </si>
  <si>
    <t>Universidad Nacional de Educacion a Distancia (UNED)</t>
  </si>
  <si>
    <t>Spain</t>
  </si>
  <si>
    <t>1578-908X</t>
  </si>
  <si>
    <t>2255-1271</t>
  </si>
  <si>
    <t>Spanish; Castilian</t>
  </si>
  <si>
    <t>An Account of the Imprisonment and Sufferings of Robert Fuller, of Cambridge</t>
  </si>
  <si>
    <t>1833</t>
  </si>
  <si>
    <t>Achieving Successful Transitions for Young People With Disabilities : A Practical Guide</t>
  </si>
  <si>
    <t>Jessica Kingsley Publishers</t>
  </si>
  <si>
    <t>Social Services And Welfare</t>
  </si>
  <si>
    <t>Acta Analytica</t>
  </si>
  <si>
    <t>0353-5150</t>
  </si>
  <si>
    <t>1874-6349</t>
  </si>
  <si>
    <t>English|German</t>
  </si>
  <si>
    <t>Philosophy</t>
  </si>
  <si>
    <t>Acta Colombiana de Psicología</t>
  </si>
  <si>
    <t>Universidad Católica de Colombia, Facultad de Psicología</t>
  </si>
  <si>
    <t>Colombia</t>
  </si>
  <si>
    <t>0123-9155</t>
  </si>
  <si>
    <t>1909-9711</t>
  </si>
  <si>
    <t>English|Portuguese|Spanish; Castilian</t>
  </si>
  <si>
    <t>Acta Ethologica</t>
  </si>
  <si>
    <t>0873-9749</t>
  </si>
  <si>
    <t>1437-9546</t>
  </si>
  <si>
    <t>Biology--Zoology|Psychology</t>
  </si>
  <si>
    <t>Acta Neuropathologica</t>
  </si>
  <si>
    <t>0001-6322</t>
  </si>
  <si>
    <t>1432-0533</t>
  </si>
  <si>
    <t>Acta Neuropsychiatrica</t>
  </si>
  <si>
    <t>Cambridge University Press</t>
  </si>
  <si>
    <t>0924-2708</t>
  </si>
  <si>
    <t>1601-5215</t>
  </si>
  <si>
    <t>Dutch; Flemish|English</t>
  </si>
  <si>
    <t>Acta Psychiatrica Scandinavica</t>
  </si>
  <si>
    <t>Blackwell Publishing Ltd.</t>
  </si>
  <si>
    <t>0001-690X</t>
  </si>
  <si>
    <t>1600-0447</t>
  </si>
  <si>
    <t>Acta Psychologica</t>
  </si>
  <si>
    <t>Elsevier Science Ltd.</t>
  </si>
  <si>
    <t>0001-6918</t>
  </si>
  <si>
    <t>1873-6297</t>
  </si>
  <si>
    <t>English|French|German</t>
  </si>
  <si>
    <t>Acta Sociologica</t>
  </si>
  <si>
    <t>Sage Publications Ltd.</t>
  </si>
  <si>
    <t>0001-6993</t>
  </si>
  <si>
    <t>2067-3809</t>
  </si>
  <si>
    <t>Sociology</t>
  </si>
  <si>
    <t>Acta Universitatis Lodziensis. Folia Sociologica</t>
  </si>
  <si>
    <t>Uniwersytet Lodzki, Wydzial Ekonomiczno-Socjologiczny, Instytut Socjol</t>
  </si>
  <si>
    <t>Poland</t>
  </si>
  <si>
    <t>0208-600X</t>
  </si>
  <si>
    <t>2353-4850</t>
  </si>
  <si>
    <t>Polish</t>
  </si>
  <si>
    <t>Education|Sociology</t>
  </si>
  <si>
    <t>Activitas Nervosa Superior</t>
  </si>
  <si>
    <t>1802-9698</t>
  </si>
  <si>
    <t>01-Jan-2008--31-Dec-2008</t>
  </si>
  <si>
    <t>Adaptive Human Behavior and Physiology</t>
  </si>
  <si>
    <t>2198-7335</t>
  </si>
  <si>
    <t>Biology--Physiology</t>
  </si>
  <si>
    <t>Addicted Like Me : A Mother-Daughter Story of Substance Abuse and Recovery</t>
  </si>
  <si>
    <t>Addiction</t>
  </si>
  <si>
    <t>0965-2140</t>
  </si>
  <si>
    <t>1360-0443</t>
  </si>
  <si>
    <t>01-Jan-2002--31-Dec-2003</t>
  </si>
  <si>
    <t>Drug Abuse And Alcoholism</t>
  </si>
  <si>
    <t>Addiction Biology</t>
  </si>
  <si>
    <t>1355-6215</t>
  </si>
  <si>
    <t>1369-1600</t>
  </si>
  <si>
    <t>Addiction Professional</t>
  </si>
  <si>
    <t>HMP Communications</t>
  </si>
  <si>
    <t>1542-8435</t>
  </si>
  <si>
    <t>2168-460X</t>
  </si>
  <si>
    <t>Trade Journals</t>
  </si>
  <si>
    <t>Addiction Science &amp; Clinical Practice</t>
  </si>
  <si>
    <t>BioMed Central</t>
  </si>
  <si>
    <t>1940-0632</t>
  </si>
  <si>
    <t>1940-0640</t>
  </si>
  <si>
    <t>Addiction and Substance Use, Case 1 : Dan</t>
  </si>
  <si>
    <t>Addiction and Substance Use, Case 2 : Jenny</t>
  </si>
  <si>
    <t>Addiction and Substance Use, Case 3 : Claire</t>
  </si>
  <si>
    <t>Addictive Behaviors</t>
  </si>
  <si>
    <t>0306-4603</t>
  </si>
  <si>
    <t>1873-6327</t>
  </si>
  <si>
    <t>Drug Abuse And Alcoholism|Physical Fitness And Hygiene|Public Health And Safety</t>
  </si>
  <si>
    <t>Adicciones</t>
  </si>
  <si>
    <t>Socidrogalcohol</t>
  </si>
  <si>
    <t>0214-4840</t>
  </si>
  <si>
    <t>English|Spanish; Castilian</t>
  </si>
  <si>
    <t>Administration and Policy in Mental Health</t>
  </si>
  <si>
    <t>0894-587X</t>
  </si>
  <si>
    <t>1573-3289</t>
  </si>
  <si>
    <t>Public Health And Safety</t>
  </si>
  <si>
    <t>Administration and Policy in Mental Health and Mental Health Services Research</t>
  </si>
  <si>
    <t>Medical Sciences|Public Health And Safety</t>
  </si>
  <si>
    <t>Administrative Science Quarterly</t>
  </si>
  <si>
    <t>0001-8392</t>
  </si>
  <si>
    <t>1930-3815</t>
  </si>
  <si>
    <t>Public Administration|Sociology</t>
  </si>
  <si>
    <t>Adolescence</t>
  </si>
  <si>
    <t>Libra Publishers Incorporated</t>
  </si>
  <si>
    <t>0001-8449</t>
  </si>
  <si>
    <t>Children And Youth - About|Education|Medical Sciences--Psychiatry And Neurology|Psychology</t>
  </si>
  <si>
    <t>Adolescent Psychiatry</t>
  </si>
  <si>
    <t>Analytic Press</t>
  </si>
  <si>
    <t>0065-2008</t>
  </si>
  <si>
    <t>Adult Drug and Alcohol Problems, Children's Needs</t>
  </si>
  <si>
    <t>Medical Sciences|Psychology|Social Services And Welfare</t>
  </si>
  <si>
    <t>Adult Education Quarterly</t>
  </si>
  <si>
    <t>0741-7136</t>
  </si>
  <si>
    <t>1552-3047</t>
  </si>
  <si>
    <t>Education--Adult Education</t>
  </si>
  <si>
    <t>Adultspan Journal</t>
  </si>
  <si>
    <t>1524-6817</t>
  </si>
  <si>
    <t>2161-0029</t>
  </si>
  <si>
    <t>Gerontology And Geriatrics|Psychology</t>
  </si>
  <si>
    <t>Advanced Development</t>
  </si>
  <si>
    <t>Institute for the Study of Advanced Development</t>
  </si>
  <si>
    <t>1042-2021</t>
  </si>
  <si>
    <t>Psychology|Sociology</t>
  </si>
  <si>
    <t>Advances in Artificial Neural Systems</t>
  </si>
  <si>
    <t>Hindawi Limited</t>
  </si>
  <si>
    <t>1687-7594</t>
  </si>
  <si>
    <t>1687-7608</t>
  </si>
  <si>
    <t>01-Jan-2011--31-Dec-2011</t>
  </si>
  <si>
    <t>Advances in Autism</t>
  </si>
  <si>
    <t>Emerald Group Publishing Limited</t>
  </si>
  <si>
    <t>2056-3868</t>
  </si>
  <si>
    <t>Advances in Cognitive Psychology</t>
  </si>
  <si>
    <t>Vizja Press &amp; IT</t>
  </si>
  <si>
    <t>1895-1171</t>
  </si>
  <si>
    <t>Advances in Consumer Research</t>
  </si>
  <si>
    <t>Association for Consumer Research</t>
  </si>
  <si>
    <t>0098-9258</t>
  </si>
  <si>
    <t>Conference Papers &amp; Proceedings</t>
  </si>
  <si>
    <t>Business And Economics--Marketing And Purchasing|Consumer Education And Protection</t>
  </si>
  <si>
    <t>Advances in Dual Diagnosis</t>
  </si>
  <si>
    <t>1757-0972</t>
  </si>
  <si>
    <t>2042-8324</t>
  </si>
  <si>
    <t>Medical Sciences</t>
  </si>
  <si>
    <t>1529-2126</t>
  </si>
  <si>
    <t>Other Sources</t>
  </si>
  <si>
    <t>Anthropology|Women's Studies</t>
  </si>
  <si>
    <t>Advances in Human - Computer Interaction</t>
  </si>
  <si>
    <t>1687-5893</t>
  </si>
  <si>
    <t>1687-5907</t>
  </si>
  <si>
    <t>Advances in Mental Health</t>
  </si>
  <si>
    <t>1838-7357</t>
  </si>
  <si>
    <t>1837-4905</t>
  </si>
  <si>
    <t>Advances in Mental Health and Intellectual Disabilities</t>
  </si>
  <si>
    <t>2044-1282</t>
  </si>
  <si>
    <t>2044-1290</t>
  </si>
  <si>
    <t>Education--Special Education And Rehabilitation|Medical Sciences--Psychiatry And Neurology</t>
  </si>
  <si>
    <t>Advancing Human Rights in Social Work Education</t>
  </si>
  <si>
    <t>Council on Social Work Education, Inc.</t>
  </si>
  <si>
    <t>Advocating for Children in Foster and Kinship Care</t>
  </si>
  <si>
    <t>Columbia University Press</t>
  </si>
  <si>
    <t>1</t>
  </si>
  <si>
    <t>Affectio Societatis</t>
  </si>
  <si>
    <t>Universidad de Antioquía</t>
  </si>
  <si>
    <t>0123-8884</t>
  </si>
  <si>
    <t>African American Children and Families in Child Welfare</t>
  </si>
  <si>
    <t>Children And Youth - For|Social Services And Welfare</t>
  </si>
  <si>
    <t>African Americans and Depression : Signs, Awareness, Treatment, and Interventions</t>
  </si>
  <si>
    <t>Rowman &amp; Littlefield Publishers, Inc.</t>
  </si>
  <si>
    <t>African Journal of Sociological and Psychological Studies</t>
  </si>
  <si>
    <t>Adonis &amp; Abbey Publishers Ltd</t>
  </si>
  <si>
    <t>2752-6577</t>
  </si>
  <si>
    <t>2752-6585</t>
  </si>
  <si>
    <t>African-American Counseling and Psychotherapy</t>
  </si>
  <si>
    <t>Ageing and Society</t>
  </si>
  <si>
    <t>0144-686X</t>
  </si>
  <si>
    <t>1469-1779</t>
  </si>
  <si>
    <t>Gerontology And Geriatrics|Social Sciences: Comprehensive Works</t>
  </si>
  <si>
    <t>Agenda : a Journal About Women and Gender</t>
  </si>
  <si>
    <t>1013-0950</t>
  </si>
  <si>
    <t>2158-978X</t>
  </si>
  <si>
    <t>Political Science--Civil Rights|Women's Studies</t>
  </si>
  <si>
    <t>Aggression and Violent Behavior</t>
  </si>
  <si>
    <t>1359-1789</t>
  </si>
  <si>
    <t>1873-6335</t>
  </si>
  <si>
    <t>Aggressive Behavior</t>
  </si>
  <si>
    <t>Wiley Subscription Services, Inc.</t>
  </si>
  <si>
    <t>0096-140X</t>
  </si>
  <si>
    <t>1098-2337</t>
  </si>
  <si>
    <t>Aging &amp; Mental Health</t>
  </si>
  <si>
    <t>1360-7863</t>
  </si>
  <si>
    <t>Gerontology And Geriatrics|Medical Sciences--Psychiatry And Neurology|Psychology</t>
  </si>
  <si>
    <t>Agora - estudos em teoria psicanalítica</t>
  </si>
  <si>
    <t>Universidade Federal do Rio de Janeiro (UFRJ), Programa de Pós-graduação em Teoria Psicanalítica</t>
  </si>
  <si>
    <t>Brazil</t>
  </si>
  <si>
    <t>1516-1498</t>
  </si>
  <si>
    <t>1809-4414</t>
  </si>
  <si>
    <t>Portuguese</t>
  </si>
  <si>
    <t>Alexander Street Press</t>
  </si>
  <si>
    <t>Alberta Counselletter</t>
  </si>
  <si>
    <t>The Alberta Teachers' Association</t>
  </si>
  <si>
    <t>Canada</t>
  </si>
  <si>
    <t>0381-5951</t>
  </si>
  <si>
    <t>Education</t>
  </si>
  <si>
    <t>Alberta Counsellor</t>
  </si>
  <si>
    <t>0382-5167</t>
  </si>
  <si>
    <t>Alcohol</t>
  </si>
  <si>
    <t>Elsevier Limited</t>
  </si>
  <si>
    <t>0741-8329</t>
  </si>
  <si>
    <t>1873-6823</t>
  </si>
  <si>
    <t>01-Jan-2002--31-Dec-2002</t>
  </si>
  <si>
    <t>Alcohol Assessment Series</t>
  </si>
  <si>
    <t>Alcohol Research</t>
  </si>
  <si>
    <t>Superintendent of Documents</t>
  </si>
  <si>
    <t>2168-3492</t>
  </si>
  <si>
    <t>2169-4796</t>
  </si>
  <si>
    <t>Alcohol and Alcoholism : International Journal of the Medical Council on Alcoholism</t>
  </si>
  <si>
    <t>Oxford Publishing Limited (England)</t>
  </si>
  <si>
    <t>0735-0414</t>
  </si>
  <si>
    <t>1464-3502</t>
  </si>
  <si>
    <t>Alcoholism</t>
  </si>
  <si>
    <t>0145-6008</t>
  </si>
  <si>
    <t>1530-0277</t>
  </si>
  <si>
    <t>Alcoholism &amp; Drug Abuse Weekly</t>
  </si>
  <si>
    <t>1042-1394</t>
  </si>
  <si>
    <t>1556-7591</t>
  </si>
  <si>
    <t>Alcoholism Treatment Quarterly</t>
  </si>
  <si>
    <t>0734-7324</t>
  </si>
  <si>
    <t>1544-4538</t>
  </si>
  <si>
    <t>Aliventures [BLOG]</t>
  </si>
  <si>
    <t>Newstex</t>
  </si>
  <si>
    <t>Blogs, Podcasts, &amp; Websites</t>
  </si>
  <si>
    <t>Literature</t>
  </si>
  <si>
    <t>Allied Academies International Conference. Academy of Organizational Culture, Communications and Conflict. Proceedings</t>
  </si>
  <si>
    <t>Jordan Whitney Enterprises, Inc</t>
  </si>
  <si>
    <t>Business And Economics--Management|Communications</t>
  </si>
  <si>
    <t>Altruism in Humans</t>
  </si>
  <si>
    <t>Oxford University Press USA</t>
  </si>
  <si>
    <t>Am I a Lunatic? Or, Dr. Henry T. Helmbold's Exposure of His Personal Experience in the Lunatic Asylums of Europe and America</t>
  </si>
  <si>
    <t>1877</t>
  </si>
  <si>
    <t>American Annals of the Deaf</t>
  </si>
  <si>
    <t>Gallaudet University Press</t>
  </si>
  <si>
    <t>0002-726X</t>
  </si>
  <si>
    <t>1543-0375</t>
  </si>
  <si>
    <t>American Anthropologist</t>
  </si>
  <si>
    <t>0002-7294</t>
  </si>
  <si>
    <t>1548-1433</t>
  </si>
  <si>
    <t>Anthropology</t>
  </si>
  <si>
    <t>The American Behavioral Scientist</t>
  </si>
  <si>
    <t>0002-7642</t>
  </si>
  <si>
    <t>1552-3381</t>
  </si>
  <si>
    <t>Psychology|Social Sciences: Comprehensive Works</t>
  </si>
  <si>
    <t>American Counseling Association Videos</t>
  </si>
  <si>
    <t>American Counseling Association</t>
  </si>
  <si>
    <t>American Educational Research Journal</t>
  </si>
  <si>
    <t>American Educational Research Association</t>
  </si>
  <si>
    <t>0002-8312</t>
  </si>
  <si>
    <t>1935-1011</t>
  </si>
  <si>
    <t>01-Jan-1979--31-Dec-1996</t>
  </si>
  <si>
    <t>01-Jan-1982--31-Dec-1985; 01-Jan-1987--31-Dec-1994; 01-Jan-2001--31-Dec-2003</t>
  </si>
  <si>
    <t>Education|Psychology|Social Sciences: Comprehensive Works</t>
  </si>
  <si>
    <t>American Ethnologist</t>
  </si>
  <si>
    <t>0094-0496</t>
  </si>
  <si>
    <t>1548-1425</t>
  </si>
  <si>
    <t>The American Historical Review</t>
  </si>
  <si>
    <t>Oxford University Press</t>
  </si>
  <si>
    <t>0002-8762</t>
  </si>
  <si>
    <t>1937-5239</t>
  </si>
  <si>
    <t>History</t>
  </si>
  <si>
    <t>American Imago</t>
  </si>
  <si>
    <t>Johns Hopkins University Press</t>
  </si>
  <si>
    <t>0065-860X</t>
  </si>
  <si>
    <t>1085-7931</t>
  </si>
  <si>
    <t>Literary And Political Reviews|Psychology</t>
  </si>
  <si>
    <t>American Indian and Alaska Native Mental Health Research</t>
  </si>
  <si>
    <t>UCHSC</t>
  </si>
  <si>
    <t>0893-5394</t>
  </si>
  <si>
    <t>1533-7731</t>
  </si>
  <si>
    <t>American Indian and Alaska Native Mental Health Research (Online)</t>
  </si>
  <si>
    <t>Ethnic Interests|Medical Sciences--Psychiatry And Neurology|Native People|Psychology</t>
  </si>
  <si>
    <t>American Journal of Business</t>
  </si>
  <si>
    <t>1935-519X</t>
  </si>
  <si>
    <t>1935-5181</t>
  </si>
  <si>
    <t>Business And Economics</t>
  </si>
  <si>
    <t>American Journal of Clinical Hypnosis</t>
  </si>
  <si>
    <t>0002-9157</t>
  </si>
  <si>
    <t>2160-0562</t>
  </si>
  <si>
    <t>01-Apr-2010--30-Jun-2011</t>
  </si>
  <si>
    <t>Medical Sciences--Hypnosis|Medical Sciences--Psychiatry And Neurology|Psychology</t>
  </si>
  <si>
    <t>American Journal of Community Psychology</t>
  </si>
  <si>
    <t>Blackwell Science Ltd.</t>
  </si>
  <si>
    <t>0091-0562</t>
  </si>
  <si>
    <t>1573-2770</t>
  </si>
  <si>
    <t>01-Sep-2004--31-Dec-2015</t>
  </si>
  <si>
    <t>American Journal of Criminal Justice : AJCJ</t>
  </si>
  <si>
    <t>1066-2316</t>
  </si>
  <si>
    <t>1936-1351</t>
  </si>
  <si>
    <t>01-Jan-2010--31-Dec-2010</t>
  </si>
  <si>
    <t>01-Jan-1983--31-Dec-1992</t>
  </si>
  <si>
    <t>Criminology And Law Enforcement</t>
  </si>
  <si>
    <t>American Journal of Critical Care</t>
  </si>
  <si>
    <t>American Association of Critical - Care Nurses</t>
  </si>
  <si>
    <t>1062-3264</t>
  </si>
  <si>
    <t>1937-710X</t>
  </si>
  <si>
    <t>Medical Sciences--Nurses And Nursing|Medical Sciences--Orthopedics And Traumatology</t>
  </si>
  <si>
    <t>American Journal of Dance Therapy</t>
  </si>
  <si>
    <t>0146-3721</t>
  </si>
  <si>
    <t>1573-3262</t>
  </si>
  <si>
    <t>Dance|Psychology</t>
  </si>
  <si>
    <t>The American Journal of Drug and Alcohol Abuse</t>
  </si>
  <si>
    <t>0095-2990</t>
  </si>
  <si>
    <t>1097-9891</t>
  </si>
  <si>
    <t>American Journal of Education</t>
  </si>
  <si>
    <t>University of Chicago, acting through its Press</t>
  </si>
  <si>
    <t>0195-6744</t>
  </si>
  <si>
    <t>1549-6511</t>
  </si>
  <si>
    <t>Children And Youth - About|Education</t>
  </si>
  <si>
    <t>The American Journal of Family Therapy</t>
  </si>
  <si>
    <t>Brunner-Mazel Publishing Company</t>
  </si>
  <si>
    <t>0192-6187</t>
  </si>
  <si>
    <t>1521-0383</t>
  </si>
  <si>
    <t>The American Journal of Geriatric Psychiatry</t>
  </si>
  <si>
    <t>1064-7481</t>
  </si>
  <si>
    <t>1545-7214</t>
  </si>
  <si>
    <t>Gerontology And Geriatrics|Medical Sciences--Psychiatry And Neurology</t>
  </si>
  <si>
    <t>American Journal of Health Behavior</t>
  </si>
  <si>
    <t>PNG Publications</t>
  </si>
  <si>
    <t>1087-3244</t>
  </si>
  <si>
    <t>1945-7359</t>
  </si>
  <si>
    <t>Physical Fitness And Hygiene</t>
  </si>
  <si>
    <t>American Journal of Orthopsychiatry</t>
  </si>
  <si>
    <t>American Psychological Association</t>
  </si>
  <si>
    <t>0002-9432</t>
  </si>
  <si>
    <t>1939-0025</t>
  </si>
  <si>
    <t>Children And Youth - About|Medical Sciences--Psychiatry And Neurology|Psychology|Social Services And Welfare</t>
  </si>
  <si>
    <t>American Journal of Play</t>
  </si>
  <si>
    <t>The Strong</t>
  </si>
  <si>
    <t>1938-0399</t>
  </si>
  <si>
    <t>1938-0402</t>
  </si>
  <si>
    <t>Children And Youth - About|Leisure And Recreation|Psychology</t>
  </si>
  <si>
    <t>American Journal of Psychiatric Rehabilitation</t>
  </si>
  <si>
    <t>1548-7768</t>
  </si>
  <si>
    <t>1548-7776</t>
  </si>
  <si>
    <t>The American Journal of Psychiatry</t>
  </si>
  <si>
    <t>American Psychiatric Association</t>
  </si>
  <si>
    <t>US Minor Outlying Islands</t>
  </si>
  <si>
    <t>0002-953X</t>
  </si>
  <si>
    <t>1535-7228</t>
  </si>
  <si>
    <t>American Journal of Psychoanalysis</t>
  </si>
  <si>
    <t>Palgrave Macmillan</t>
  </si>
  <si>
    <t>0002-9548</t>
  </si>
  <si>
    <t>1573-6741</t>
  </si>
  <si>
    <t>The American Journal of Psychology</t>
  </si>
  <si>
    <t>University of Illinois Press</t>
  </si>
  <si>
    <t>0002-9556</t>
  </si>
  <si>
    <t>1939-8298</t>
  </si>
  <si>
    <t>American Journal of Psychotherapy</t>
  </si>
  <si>
    <t>0002-9564</t>
  </si>
  <si>
    <t>2575-6559</t>
  </si>
  <si>
    <t>American Journal of Public Health</t>
  </si>
  <si>
    <t>American Public Health Association</t>
  </si>
  <si>
    <t>0090-0036</t>
  </si>
  <si>
    <t>American Journal of Sexuality Education</t>
  </si>
  <si>
    <t>1554-6128</t>
  </si>
  <si>
    <t>1554-6136</t>
  </si>
  <si>
    <t>Physical Fitness And Hygiene|Psychology</t>
  </si>
  <si>
    <t>The American Journal of Sociology</t>
  </si>
  <si>
    <t>0002-9602</t>
  </si>
  <si>
    <t>1537-5390</t>
  </si>
  <si>
    <t>American Journal of Speech - Language Pathology</t>
  </si>
  <si>
    <t>American Speech-Language-Hearing Association</t>
  </si>
  <si>
    <t>1058-0360</t>
  </si>
  <si>
    <t>1558-9110</t>
  </si>
  <si>
    <t>American Journal of Speech - Language Pathology (Online)</t>
  </si>
  <si>
    <t>The American Journal on Addictions</t>
  </si>
  <si>
    <t>1055-0496</t>
  </si>
  <si>
    <t>1521-0391</t>
  </si>
  <si>
    <t>Drug Abuse And Alcoholism|Medical Sciences--Psychiatry And Neurology</t>
  </si>
  <si>
    <t>American Journal on Intellectual and Developmental Disabilities</t>
  </si>
  <si>
    <t>American Association of Intellectual &amp; Developmental Disabilities</t>
  </si>
  <si>
    <t>1944-7515</t>
  </si>
  <si>
    <t>1944-7558</t>
  </si>
  <si>
    <t>The American Psychologist</t>
  </si>
  <si>
    <t>0003-066X</t>
  </si>
  <si>
    <t>1935-990X</t>
  </si>
  <si>
    <t>American Sociological Review</t>
  </si>
  <si>
    <t>American Sociological Association</t>
  </si>
  <si>
    <t>0003-1224</t>
  </si>
  <si>
    <t>1939-8271</t>
  </si>
  <si>
    <t>Population Studies|Psychology|Social Sciences: Comprehensive Works|Sociology</t>
  </si>
  <si>
    <t>Anadolu Psikiyatri Dergisi</t>
  </si>
  <si>
    <t>Anatolian Journal of Psychiatry</t>
  </si>
  <si>
    <t>Turkey</t>
  </si>
  <si>
    <t>1302-6631</t>
  </si>
  <si>
    <t>English|Turkish</t>
  </si>
  <si>
    <t>Anales de Psicología</t>
  </si>
  <si>
    <t>Servicio de Publicaciones, Universidad de Murcia</t>
  </si>
  <si>
    <t>0212-9728</t>
  </si>
  <si>
    <t>1695-2294</t>
  </si>
  <si>
    <t>Analysing Witness Testimony : Psychological, Investigative, and Evidential Perspectives, A Guide for Legal Practitioners and Other Professionals</t>
  </si>
  <si>
    <t>The Angel and the Dragon : A Father's Search for Answers to His Son's Mental Illness and Suicide</t>
  </si>
  <si>
    <t>Health Communications, Inc.</t>
  </si>
  <si>
    <t>Anglican Theological Review</t>
  </si>
  <si>
    <t>0003-3286</t>
  </si>
  <si>
    <t>2163-6214</t>
  </si>
  <si>
    <t>History|Philosophy|Religions And Theology--Protestant</t>
  </si>
  <si>
    <t>Animal Behaviour</t>
  </si>
  <si>
    <t>Harcourt Brace Jovanovich Ltd.</t>
  </si>
  <si>
    <t>0003-3472</t>
  </si>
  <si>
    <t>1095-8282</t>
  </si>
  <si>
    <t>01-Jan-1993--31-Dec-1993</t>
  </si>
  <si>
    <t>Biology--Zoology|Psychology|Veterinary Science</t>
  </si>
  <si>
    <t>Animal Cognition</t>
  </si>
  <si>
    <t>1435-9448</t>
  </si>
  <si>
    <t>1435-9456</t>
  </si>
  <si>
    <t>Animal Education : An Experimental Study on the Psychical Development of the White Rat, Correlated With the Growth of Its Nervous System</t>
  </si>
  <si>
    <t>University of Chicago Press</t>
  </si>
  <si>
    <t>Anna</t>
  </si>
  <si>
    <t>Perseus Books Group</t>
  </si>
  <si>
    <t>Annals of A.I. I. Cuza University. Psychology Series</t>
  </si>
  <si>
    <t>Alexandru Ioan Cuza University Psychology Department</t>
  </si>
  <si>
    <t>2069-1386</t>
  </si>
  <si>
    <t>Annals of Behavioral Medicine</t>
  </si>
  <si>
    <t>0883-6612</t>
  </si>
  <si>
    <t>1532-4796</t>
  </si>
  <si>
    <t>Abstracting And Indexing Services|Medical Sciences--Abstracting, Bibliographies, Statistics</t>
  </si>
  <si>
    <t>Annals of Clinical Psychiatry</t>
  </si>
  <si>
    <t>1040-1237</t>
  </si>
  <si>
    <t>1573-3238</t>
  </si>
  <si>
    <t>Annals of Clinical and Translational Neurology</t>
  </si>
  <si>
    <t>John Wiley &amp; Sons, Inc.</t>
  </si>
  <si>
    <t>2328-9503</t>
  </si>
  <si>
    <t>Annals of Dyslexia</t>
  </si>
  <si>
    <t>0736-9387</t>
  </si>
  <si>
    <t>1934-7243</t>
  </si>
  <si>
    <t>Education--Special Education And Rehabilitation</t>
  </si>
  <si>
    <t>Annals of General Psychiatry</t>
  </si>
  <si>
    <t>1744-859X</t>
  </si>
  <si>
    <t>Health Facilities And Administration|Medical Sciences--Psychiatry And Neurology</t>
  </si>
  <si>
    <t>Annals of Neurosciences</t>
  </si>
  <si>
    <t>India</t>
  </si>
  <si>
    <t>0972-7531</t>
  </si>
  <si>
    <t>0976-3260</t>
  </si>
  <si>
    <t>Annual Review of Anthropology</t>
  </si>
  <si>
    <t>Annual Reviews, Inc.</t>
  </si>
  <si>
    <t>0084-6570</t>
  </si>
  <si>
    <t>1545-4290</t>
  </si>
  <si>
    <t>Annual Review of Clinical Psychology</t>
  </si>
  <si>
    <t>1548-5943</t>
  </si>
  <si>
    <t>1548-5951</t>
  </si>
  <si>
    <t>Annual Review of Medicine</t>
  </si>
  <si>
    <t>0066-4219</t>
  </si>
  <si>
    <t>1545-326X</t>
  </si>
  <si>
    <t>01-Jan-2001--31-Dec-2001</t>
  </si>
  <si>
    <t>Biology|Health Facilities And Administration|Medical Sciences</t>
  </si>
  <si>
    <t>Annual Review of Neuroscience</t>
  </si>
  <si>
    <t>0147-006X</t>
  </si>
  <si>
    <t>1545-4126</t>
  </si>
  <si>
    <t>01-Jan-1998--31-Dec-2000</t>
  </si>
  <si>
    <t>Biology--Physiology|Medical Sciences--Psychiatry And Neurology</t>
  </si>
  <si>
    <t>Annual Review of Pharmacology and Toxicology</t>
  </si>
  <si>
    <t>0362-1642</t>
  </si>
  <si>
    <t>1545-4304</t>
  </si>
  <si>
    <t>Chemistry|Environmental Studies--Toxicology And Environmental Safety|Pharmacy And Pharmacology</t>
  </si>
  <si>
    <t>Annual Review of Physiology</t>
  </si>
  <si>
    <t>0066-4278</t>
  </si>
  <si>
    <t>1545-1585</t>
  </si>
  <si>
    <t>Annual Review of Psychology</t>
  </si>
  <si>
    <t>0066-4308</t>
  </si>
  <si>
    <t>1545-2085</t>
  </si>
  <si>
    <t>01-Jan-2000--31-Dec-2001</t>
  </si>
  <si>
    <t>Biology|Medical Sciences--Psychiatry And Neurology|Psychology</t>
  </si>
  <si>
    <t>Annual Review of Sex Research</t>
  </si>
  <si>
    <t>Society for the Scientific Study of Sexuality</t>
  </si>
  <si>
    <t>1053-2528</t>
  </si>
  <si>
    <t>2168-3654</t>
  </si>
  <si>
    <t>Annual Review of Sociology</t>
  </si>
  <si>
    <t>0360-0572</t>
  </si>
  <si>
    <t>1545-2115</t>
  </si>
  <si>
    <t>The Annual of Psychoanalysis</t>
  </si>
  <si>
    <t>0092-5055</t>
  </si>
  <si>
    <t>Another World</t>
  </si>
  <si>
    <t>Anthropologica</t>
  </si>
  <si>
    <t>Canadian Anthropology Society</t>
  </si>
  <si>
    <t>0003-5459</t>
  </si>
  <si>
    <t>2292-3586</t>
  </si>
  <si>
    <t>English|French</t>
  </si>
  <si>
    <t>Anthropology|Archaeology|Multi-Ethnic</t>
  </si>
  <si>
    <t>Anthropological Quarterly</t>
  </si>
  <si>
    <t>Institute for Ethnographic Research</t>
  </si>
  <si>
    <t>0003-5491</t>
  </si>
  <si>
    <t>1534-1518</t>
  </si>
  <si>
    <t>Anthropological Review</t>
  </si>
  <si>
    <t>De Gruyter Poland</t>
  </si>
  <si>
    <t>1898-6773</t>
  </si>
  <si>
    <t>2083-4594</t>
  </si>
  <si>
    <t>Anthropology and Education Quarterly</t>
  </si>
  <si>
    <t>0161-7761</t>
  </si>
  <si>
    <t>1548-1492</t>
  </si>
  <si>
    <t>Anthropology|Education</t>
  </si>
  <si>
    <t>Anthropology in Action</t>
  </si>
  <si>
    <t>Berghahn Books, Inc.</t>
  </si>
  <si>
    <t>0967-201X</t>
  </si>
  <si>
    <t>1752-2285</t>
  </si>
  <si>
    <t>Anthropology of Consciousness</t>
  </si>
  <si>
    <t>1053-4202</t>
  </si>
  <si>
    <t>1556-3537</t>
  </si>
  <si>
    <t>Anthropology|Psychology</t>
  </si>
  <si>
    <t>Anuario de Psicología</t>
  </si>
  <si>
    <t>Universitat de Barcelona, Facultat de Psicología</t>
  </si>
  <si>
    <t>0066-5126</t>
  </si>
  <si>
    <t>1988-5253</t>
  </si>
  <si>
    <t>Anuario de Psicología Juridica</t>
  </si>
  <si>
    <t>1133-0740</t>
  </si>
  <si>
    <t>2174-0542</t>
  </si>
  <si>
    <t>01-Jan-1996--31-Dec-1996</t>
  </si>
  <si>
    <t>Law|Psychology</t>
  </si>
  <si>
    <t>Anxiety, Case 1 : Lauren</t>
  </si>
  <si>
    <t>Anxiety, Case 2 : Ryan</t>
  </si>
  <si>
    <t>Anxiety, Stress, and Coping</t>
  </si>
  <si>
    <t>1061-5806</t>
  </si>
  <si>
    <t>1477-2205</t>
  </si>
  <si>
    <t>Applied Cognitive Psychology</t>
  </si>
  <si>
    <t>0888-4080</t>
  </si>
  <si>
    <t>1099-0720</t>
  </si>
  <si>
    <t>Applied Developmental Science</t>
  </si>
  <si>
    <t>Psychology Press</t>
  </si>
  <si>
    <t>1088-8691</t>
  </si>
  <si>
    <t>1532-480X</t>
  </si>
  <si>
    <t>Applied H.R.M. Research</t>
  </si>
  <si>
    <t>Society of I-O Graduates</t>
  </si>
  <si>
    <t>1055-9094</t>
  </si>
  <si>
    <t>Business And Economics--Management|Psychology</t>
  </si>
  <si>
    <t>Applied Intelligence</t>
  </si>
  <si>
    <t>0924-669X</t>
  </si>
  <si>
    <t>1573-7497</t>
  </si>
  <si>
    <t>Computers--Artificial Intelligence|Computers--Computer Networks</t>
  </si>
  <si>
    <t>Applied Linguistics</t>
  </si>
  <si>
    <t>0142-6001</t>
  </si>
  <si>
    <t>1477-450X</t>
  </si>
  <si>
    <t>Linguistics</t>
  </si>
  <si>
    <t>Applied Mathematical Modelling</t>
  </si>
  <si>
    <t>Elsevier BV</t>
  </si>
  <si>
    <t>0307-904X</t>
  </si>
  <si>
    <t>Mathematics|Mathematics--Computer Applications</t>
  </si>
  <si>
    <t>Applied Measurement in Education</t>
  </si>
  <si>
    <t>0895-7347</t>
  </si>
  <si>
    <t>1532-4818</t>
  </si>
  <si>
    <t>Applied Psycholinguistics</t>
  </si>
  <si>
    <t>0142-7164</t>
  </si>
  <si>
    <t>1469-1817</t>
  </si>
  <si>
    <t>Linguistics|Medical Sciences--Psychiatry And Neurology|Psychology</t>
  </si>
  <si>
    <t>Applied Psychological Measurement</t>
  </si>
  <si>
    <t>0146-6216</t>
  </si>
  <si>
    <t>1552-3497</t>
  </si>
  <si>
    <t>Applied Psychology</t>
  </si>
  <si>
    <t>0269-994X</t>
  </si>
  <si>
    <t>1464-0597</t>
  </si>
  <si>
    <t>Applied Psychology in Criminal Justice</t>
  </si>
  <si>
    <t>Sam Houston State University</t>
  </si>
  <si>
    <t>1550-3550</t>
  </si>
  <si>
    <t>1550-4409</t>
  </si>
  <si>
    <t>01-Jan-2020--31-Dec-2020</t>
  </si>
  <si>
    <t>Law--Criminal Law|Psychology</t>
  </si>
  <si>
    <t>Applied Psychology. Health and Well - Being</t>
  </si>
  <si>
    <t>1758-0846</t>
  </si>
  <si>
    <t>1758-0854</t>
  </si>
  <si>
    <t>Applied Psychophysiology and Biofeedback</t>
  </si>
  <si>
    <t>1090-0586</t>
  </si>
  <si>
    <t>1573-3270</t>
  </si>
  <si>
    <t>Medical Sciences|Medical Sciences--Psychiatry And Neurology</t>
  </si>
  <si>
    <t>Apprentissage et Socialisation</t>
  </si>
  <si>
    <t>Presses Inter Universitaires</t>
  </si>
  <si>
    <t>1189-3958</t>
  </si>
  <si>
    <t>French</t>
  </si>
  <si>
    <t>Archives de Psychologie</t>
  </si>
  <si>
    <t>Éditions Médecine et Hygiène</t>
  </si>
  <si>
    <t>Switzerland</t>
  </si>
  <si>
    <t>0003-9640</t>
  </si>
  <si>
    <t>Archives of Psychiatry Research</t>
  </si>
  <si>
    <t>Centre for Study and Control of Alcoholism and Addictions, Zagreb</t>
  </si>
  <si>
    <t>Croatia</t>
  </si>
  <si>
    <t>2671-1079</t>
  </si>
  <si>
    <t>2671-2008</t>
  </si>
  <si>
    <t>Drug Abuse And Alcoholism|Medical Sciences</t>
  </si>
  <si>
    <t>Archives of Sexual Behavior</t>
  </si>
  <si>
    <t>0004-0002</t>
  </si>
  <si>
    <t>1573-2800</t>
  </si>
  <si>
    <t>Archives of Suicide Research</t>
  </si>
  <si>
    <t>1381-1118</t>
  </si>
  <si>
    <t>1543-6136</t>
  </si>
  <si>
    <t>Archives of Women's Mental Health</t>
  </si>
  <si>
    <t>1434-1816</t>
  </si>
  <si>
    <t>1435-1102</t>
  </si>
  <si>
    <t>Psychology|Women's Health</t>
  </si>
  <si>
    <t>Are the Keys in the Freezer? : An Advocate's Guide for Alzheimer's and Other Dementias</t>
  </si>
  <si>
    <t>Armed Forces and Society</t>
  </si>
  <si>
    <t>Transaction Inc.</t>
  </si>
  <si>
    <t>0095-327X</t>
  </si>
  <si>
    <t>1556-0848</t>
  </si>
  <si>
    <t>Military|Political Science|Sociology</t>
  </si>
  <si>
    <t>Art Therapy : Journal of the American Art Therapy Association</t>
  </si>
  <si>
    <t>0742-1656</t>
  </si>
  <si>
    <t>2159-9394</t>
  </si>
  <si>
    <t>01-Jan-2013--31-Dec-2016</t>
  </si>
  <si>
    <t>Art|Education--Special Education And Rehabilitation|Psychology</t>
  </si>
  <si>
    <t>The Art of Persuasion : Changing the Mind on OCD</t>
  </si>
  <si>
    <t>Arteterapia</t>
  </si>
  <si>
    <t>Universidad Complutense de Madrid</t>
  </si>
  <si>
    <t>1886-6190</t>
  </si>
  <si>
    <t>1988-8309</t>
  </si>
  <si>
    <t>Art</t>
  </si>
  <si>
    <t>Artifacts in Behavioral Research : Robert Rosenthal and Ralph L. Rosnow's Classic Books, a Re-issue of Artifact in Behavioral Research, Experimenter Effects in Behavioral Research and the Volunteer Subject</t>
  </si>
  <si>
    <t>The Artificial Intelligence Review</t>
  </si>
  <si>
    <t>0269-2821</t>
  </si>
  <si>
    <t>1573-7462</t>
  </si>
  <si>
    <t>Arts Therapists in Multidisciplinary Settings</t>
  </si>
  <si>
    <t>Asia Pacific Journal of Human Resources</t>
  </si>
  <si>
    <t>1038-4111</t>
  </si>
  <si>
    <t>1744-7941</t>
  </si>
  <si>
    <t>Asian Journal of Gambling Issues and Public Health</t>
  </si>
  <si>
    <t>2218-7138</t>
  </si>
  <si>
    <t>2195-3007</t>
  </si>
  <si>
    <t>Psychology|Public Health And Safety|Sociology|Sports And Games</t>
  </si>
  <si>
    <t>Asian Journal of Social Psychology</t>
  </si>
  <si>
    <t>1367-2223</t>
  </si>
  <si>
    <t>1467-839X</t>
  </si>
  <si>
    <t>History--History of Asia|Psychology</t>
  </si>
  <si>
    <t>Assessing Caregiver Reflective Capacity, Commitment, Insightfulness, and Sensitivity</t>
  </si>
  <si>
    <t>Assessing Children With Complex Trauma and Attachment Disorders</t>
  </si>
  <si>
    <t>Assessing Disorganized Attachment Behavior in Children</t>
  </si>
  <si>
    <t>Assessment</t>
  </si>
  <si>
    <t>1073-1911</t>
  </si>
  <si>
    <t>1552-3489</t>
  </si>
  <si>
    <t>Assessment : Ali, Alcohol Use Disorder, Moderate</t>
  </si>
  <si>
    <t>Assessment : Arnie, Opioid Use Disorder, Mild</t>
  </si>
  <si>
    <t>Assessment : Gil, Bipolar I Disorder, Current or Most Recent Episode Hypomanic</t>
  </si>
  <si>
    <t>Assessment : Greg, Cannabis Use Disorder</t>
  </si>
  <si>
    <t>Assessment : Mrs. Collins, Sedative, Hypnotic, Anxiolytic Use Disorder, Mild</t>
  </si>
  <si>
    <t>Assessment : Nicole, Opioid Use Disorder, Moderate, Doctor Shopping</t>
  </si>
  <si>
    <t>Assessment Tools Index : Mental Status Examination Measures</t>
  </si>
  <si>
    <t>Assessment Tools Index : Suicide Assessment Tools</t>
  </si>
  <si>
    <t>Assessment and Evaluation in Higher Education</t>
  </si>
  <si>
    <t>0260-2938</t>
  </si>
  <si>
    <t>1469-297X</t>
  </si>
  <si>
    <t>Education|Education--Higher Education</t>
  </si>
  <si>
    <t>Assessment and Intervention With Mothers and Partners Following Child Sexual Abuse : Empowering to Protect</t>
  </si>
  <si>
    <t>Assessment for Effective Intervention</t>
  </si>
  <si>
    <t>1534-5084</t>
  </si>
  <si>
    <t>Education|Education--Special Education And Rehabilitation|Psychology</t>
  </si>
  <si>
    <t>Assessment in Education</t>
  </si>
  <si>
    <t>0969-594X</t>
  </si>
  <si>
    <t>1465-329X</t>
  </si>
  <si>
    <t>Association for Specialists in Group Work Videos</t>
  </si>
  <si>
    <t>Athletic Insight</t>
  </si>
  <si>
    <t>Nova Science Publishers, Inc.</t>
  </si>
  <si>
    <t>2374-0531</t>
  </si>
  <si>
    <t>1947-6299</t>
  </si>
  <si>
    <t>Attachment &amp; Human Development</t>
  </si>
  <si>
    <t>1461-6734</t>
  </si>
  <si>
    <t>1469-2988</t>
  </si>
  <si>
    <t>Attachment, Trauma and Healing</t>
  </si>
  <si>
    <t>Attention, Perception and Psychophysics</t>
  </si>
  <si>
    <t>1943-3921</t>
  </si>
  <si>
    <t>1943-393X</t>
  </si>
  <si>
    <t>Audiology</t>
  </si>
  <si>
    <t>Decker Periodicals, Inc.</t>
  </si>
  <si>
    <t>0020-6091</t>
  </si>
  <si>
    <t>Audiology &amp; Neurotology</t>
  </si>
  <si>
    <t>S. Karger AG</t>
  </si>
  <si>
    <t>1420-3030</t>
  </si>
  <si>
    <t>1421-9700</t>
  </si>
  <si>
    <t>Medical Sciences--Otorhinolaryngology</t>
  </si>
  <si>
    <t>Augmentative and Alternative Communication</t>
  </si>
  <si>
    <t>0743-4618</t>
  </si>
  <si>
    <t>1477-3848</t>
  </si>
  <si>
    <t>Australasian Journal of Disaster and Trauma Studies</t>
  </si>
  <si>
    <t>MASSEY UNIVERSITY</t>
  </si>
  <si>
    <t>New Zealand</t>
  </si>
  <si>
    <t>1174-4707</t>
  </si>
  <si>
    <t>Medical Sciences--Orthopedics And Traumatology</t>
  </si>
  <si>
    <t>The Australasian Journal of Organisational Psychology</t>
  </si>
  <si>
    <t>2054-2232</t>
  </si>
  <si>
    <t>Australasian Journal of Special and Inclusive Education</t>
  </si>
  <si>
    <t>2515-0731</t>
  </si>
  <si>
    <t>2515-074X</t>
  </si>
  <si>
    <t>The Australasian journal of special education.</t>
  </si>
  <si>
    <t>Copyright Agency Limited (Distributor)</t>
  </si>
  <si>
    <t>Australia</t>
  </si>
  <si>
    <t>1030-0112</t>
  </si>
  <si>
    <t>1833-6914</t>
  </si>
  <si>
    <t>Australian Institute of Professional Counsellors Videos</t>
  </si>
  <si>
    <t>Australian Journal of Chemistry</t>
  </si>
  <si>
    <t>CSIRO</t>
  </si>
  <si>
    <t>1529-5036</t>
  </si>
  <si>
    <t>Chemistry</t>
  </si>
  <si>
    <t>Australian Journal of Clinical Hypnotherapy and Hypnosis</t>
  </si>
  <si>
    <t>Australian Society of Clinical Hypnotherapists</t>
  </si>
  <si>
    <t>0810-0713</t>
  </si>
  <si>
    <t>01-Jan-2019--31-Dec-2019</t>
  </si>
  <si>
    <t>Medical Sciences--Hypnosis</t>
  </si>
  <si>
    <t>Australian Journal of Clinical and Experimental Hypnosis</t>
  </si>
  <si>
    <t>0156-0417</t>
  </si>
  <si>
    <t>Australian Journal of Clinical and Experimental Hypnosis (Online)</t>
  </si>
  <si>
    <t>1839-2563</t>
  </si>
  <si>
    <t>Australian Journal of Learning Difficulties</t>
  </si>
  <si>
    <t>1940-4158</t>
  </si>
  <si>
    <t>1940-4166</t>
  </si>
  <si>
    <t>The Australian Journal of Music Therapy</t>
  </si>
  <si>
    <t>1036-9457</t>
  </si>
  <si>
    <t>Music</t>
  </si>
  <si>
    <t>Australian Journal of Psychology</t>
  </si>
  <si>
    <t>0004-9530</t>
  </si>
  <si>
    <t>1742-9536</t>
  </si>
  <si>
    <t>The Australian Journal of Rehabilitation Counselling</t>
  </si>
  <si>
    <t>1323-8922</t>
  </si>
  <si>
    <t>1838-6059</t>
  </si>
  <si>
    <t>Education--Special Education And Rehabilitation|Medical Sciences--Physical Medicine And Rehabilitation</t>
  </si>
  <si>
    <t>Australian Psychologist</t>
  </si>
  <si>
    <t>0005-0067</t>
  </si>
  <si>
    <t>1742-9544</t>
  </si>
  <si>
    <t>Autism</t>
  </si>
  <si>
    <t>1362-3613</t>
  </si>
  <si>
    <t>Autism &amp; Developmental Language Impairments</t>
  </si>
  <si>
    <t>2396-9415</t>
  </si>
  <si>
    <t>01-Jan-2017--31-Dec-2017</t>
  </si>
  <si>
    <t>Autism Research</t>
  </si>
  <si>
    <t>1939-3792</t>
  </si>
  <si>
    <t>1939-3806</t>
  </si>
  <si>
    <t>Autism Research and Treatment</t>
  </si>
  <si>
    <t>2090-1925</t>
  </si>
  <si>
    <t>2090-1933</t>
  </si>
  <si>
    <t>Autism Spectrum Disorder - Subject Expert Analysis Series</t>
  </si>
  <si>
    <t>Autism Spectrum Disorder Series</t>
  </si>
  <si>
    <t>Autism and Everyday Executive Function</t>
  </si>
  <si>
    <t>The Autobiography of Mark Rutherford</t>
  </si>
  <si>
    <t>Autobiography of the Rev. William Walford</t>
  </si>
  <si>
    <t>1851</t>
  </si>
  <si>
    <t>Avaliação Psicológica</t>
  </si>
  <si>
    <t>Universidade São Francisco, Revista Avaliação Psicológica</t>
  </si>
  <si>
    <t>1677-0471</t>
  </si>
  <si>
    <t>2175-3431</t>
  </si>
  <si>
    <t>English|Portuguese</t>
  </si>
  <si>
    <t>B. C. Journal of Special Education</t>
  </si>
  <si>
    <t>British Columbia Teachers' Federation</t>
  </si>
  <si>
    <t>0704-7509</t>
  </si>
  <si>
    <t>The B.C. Counsellor</t>
  </si>
  <si>
    <t>British Columbia School Counsellors' Association</t>
  </si>
  <si>
    <t>0225-5693</t>
  </si>
  <si>
    <t>Education--Teaching Methods And Curriculum</t>
  </si>
  <si>
    <t>BBC Studios Americas, Inc. Counseling and Therapy Videos</t>
  </si>
  <si>
    <t>BJPsych Advances</t>
  </si>
  <si>
    <t>2056-4678</t>
  </si>
  <si>
    <t>2056-4686</t>
  </si>
  <si>
    <t>BJPsych Bulletin</t>
  </si>
  <si>
    <t>2056-4694</t>
  </si>
  <si>
    <t>2053-4868</t>
  </si>
  <si>
    <t>BJPsych International</t>
  </si>
  <si>
    <t>2056-4740</t>
  </si>
  <si>
    <t>2058-6264</t>
  </si>
  <si>
    <t>BJPsych Open</t>
  </si>
  <si>
    <t>2056-4724</t>
  </si>
  <si>
    <t>Medical Sciences--Pediatrics</t>
  </si>
  <si>
    <t>BMC Neuroscience</t>
  </si>
  <si>
    <t>1471-2202</t>
  </si>
  <si>
    <t>Biology--Physiology|Medical Sciences|Medical Sciences--Psychiatry And Neurology</t>
  </si>
  <si>
    <t>BMC Psychiatry</t>
  </si>
  <si>
    <t>1471-244X</t>
  </si>
  <si>
    <t>BMC Psychology</t>
  </si>
  <si>
    <t>2050-7283</t>
  </si>
  <si>
    <t>BMC Women's Health</t>
  </si>
  <si>
    <t>1472-6874</t>
  </si>
  <si>
    <t>Women's Health</t>
  </si>
  <si>
    <t>BMJ Open</t>
  </si>
  <si>
    <t>BMJ Publishing Group LTD</t>
  </si>
  <si>
    <t>2044-6055</t>
  </si>
  <si>
    <t>BMJ Supportive &amp; Palliative Care</t>
  </si>
  <si>
    <t>2045-435X</t>
  </si>
  <si>
    <t>2045-4368</t>
  </si>
  <si>
    <t>Baby Boomers of Color</t>
  </si>
  <si>
    <t>Social Sciences: Comprehensive Works|Social Services And Welfare</t>
  </si>
  <si>
    <t>Bahria Journal of Professional Psychology</t>
  </si>
  <si>
    <t>Bahria University - Karachi Campus</t>
  </si>
  <si>
    <t>Pakistan</t>
  </si>
  <si>
    <t>1816-0840</t>
  </si>
  <si>
    <t>Basic Attending Skills : Foundations of Empathic Relationships and Problem Solving</t>
  </si>
  <si>
    <t>Basic Attending Skills : Foundations of Empathic Relationships and Problem Solving, 5th edition</t>
  </si>
  <si>
    <t>Basic Attending Skills : Foundations of Empathic Relationships and Problem Solving, 6th edition</t>
  </si>
  <si>
    <t>Basic Influencing Skills</t>
  </si>
  <si>
    <t>Basic Influencing Skills, 3rd edition</t>
  </si>
  <si>
    <t>Basic Stress Management</t>
  </si>
  <si>
    <t>Basic Writings in the History of Psychology</t>
  </si>
  <si>
    <t>Basic and Applied Social Psychology</t>
  </si>
  <si>
    <t>0197-3533</t>
  </si>
  <si>
    <t>1532-4834</t>
  </si>
  <si>
    <t>The Bastilles of England, or the Lunacy Laws at Work</t>
  </si>
  <si>
    <t>1883</t>
  </si>
  <si>
    <t>Bedlamiana : Or Selections From the Asylum Journal</t>
  </si>
  <si>
    <t>1846</t>
  </si>
  <si>
    <t>Behavior Genetics</t>
  </si>
  <si>
    <t>0001-8244</t>
  </si>
  <si>
    <t>1573-3297</t>
  </si>
  <si>
    <t>Biology|Biology--Genetics|Medical Sciences|Psychology</t>
  </si>
  <si>
    <t>Behavior Modification</t>
  </si>
  <si>
    <t>0145-4455</t>
  </si>
  <si>
    <t>1552-4167</t>
  </si>
  <si>
    <t>Behavior Research Methods</t>
  </si>
  <si>
    <t>Psychonomic Society, Inc.</t>
  </si>
  <si>
    <t>1554-351X</t>
  </si>
  <si>
    <t>1554-3528</t>
  </si>
  <si>
    <t>Behavior Research Methods (Online)</t>
  </si>
  <si>
    <t>Behavior Therapy</t>
  </si>
  <si>
    <t>Academic Press</t>
  </si>
  <si>
    <t>0005-7894</t>
  </si>
  <si>
    <t>1878-1888</t>
  </si>
  <si>
    <t>Behavior and Philosophy</t>
  </si>
  <si>
    <t>Cambridge Center for Behavioral Studies</t>
  </si>
  <si>
    <t>1053-8348</t>
  </si>
  <si>
    <t>Philosophy|Psychology</t>
  </si>
  <si>
    <t>Behavior and Philosophy (Online)</t>
  </si>
  <si>
    <t>1943-3328</t>
  </si>
  <si>
    <t>Behavior and Social Issues</t>
  </si>
  <si>
    <t>1064-9506</t>
  </si>
  <si>
    <t>2376-6786</t>
  </si>
  <si>
    <t>Behavioral Disorders</t>
  </si>
  <si>
    <t>0198-7429</t>
  </si>
  <si>
    <t>2163-5307</t>
  </si>
  <si>
    <t>Behavioral Ecology</t>
  </si>
  <si>
    <t>1045-2249</t>
  </si>
  <si>
    <t>1465-7279</t>
  </si>
  <si>
    <t>Environmental Studies|Psychology</t>
  </si>
  <si>
    <t>Behavioral Ecology and Sociobiology</t>
  </si>
  <si>
    <t>0340-5443</t>
  </si>
  <si>
    <t>1432-0762</t>
  </si>
  <si>
    <t>Biology|Environmental Studies|Psychology</t>
  </si>
  <si>
    <t>Behavioral Health Management</t>
  </si>
  <si>
    <t>Vendome Group LLC</t>
  </si>
  <si>
    <t>1075-6701</t>
  </si>
  <si>
    <t>01-Nov-2001--31-Oct-2003</t>
  </si>
  <si>
    <t>Behavioral Healthcare</t>
  </si>
  <si>
    <t>1931-7093</t>
  </si>
  <si>
    <t>2167-9649</t>
  </si>
  <si>
    <t>Behavioral Interventions</t>
  </si>
  <si>
    <t>1072-0847</t>
  </si>
  <si>
    <t>1099-078X</t>
  </si>
  <si>
    <t>Environmental Studies|Gerontology And Geriatrics|Medical Sciences--Psychiatry And Neurology</t>
  </si>
  <si>
    <t>Behavioral Medicine</t>
  </si>
  <si>
    <t>Taylor &amp; Francis Inc.</t>
  </si>
  <si>
    <t>0896-4289</t>
  </si>
  <si>
    <t>1940-4026</t>
  </si>
  <si>
    <t>Behavioral Neuroscience</t>
  </si>
  <si>
    <t>0735-7044</t>
  </si>
  <si>
    <t>1939-0084</t>
  </si>
  <si>
    <t>Behavioral Science</t>
  </si>
  <si>
    <t>General Systems Science Foundation</t>
  </si>
  <si>
    <t>0005-7940</t>
  </si>
  <si>
    <t>1932-300X</t>
  </si>
  <si>
    <t>Psychology|Sciences: Comprehensive Works</t>
  </si>
  <si>
    <t>Behavioral Science &amp; Policy</t>
  </si>
  <si>
    <t>The Brookings Institution</t>
  </si>
  <si>
    <t>2379-4607</t>
  </si>
  <si>
    <t>2379-4615</t>
  </si>
  <si>
    <t>Social Sciences: Comprehensive Works</t>
  </si>
  <si>
    <t>Behavioral Sciences</t>
  </si>
  <si>
    <t>MDPI AG</t>
  </si>
  <si>
    <t>2076-328X</t>
  </si>
  <si>
    <t>Behavioral Sciences &amp; the Law</t>
  </si>
  <si>
    <t>0735-3936</t>
  </si>
  <si>
    <t>1099-0798</t>
  </si>
  <si>
    <t>Law|Medical Sciences--Forensic Sciences|Psychology</t>
  </si>
  <si>
    <t>Behavioral Sciences of Terrorism and Political Aggression</t>
  </si>
  <si>
    <t>1943-4472</t>
  </si>
  <si>
    <t>1943-4480</t>
  </si>
  <si>
    <t>Political Science--International Relations</t>
  </si>
  <si>
    <t>Behavioral Sleep Medicine</t>
  </si>
  <si>
    <t>1540-2002</t>
  </si>
  <si>
    <t>1540-2010</t>
  </si>
  <si>
    <t>Behavioral and Brain Functions</t>
  </si>
  <si>
    <t>1744-9081</t>
  </si>
  <si>
    <t>Behavioral and Brain Sciences</t>
  </si>
  <si>
    <t>0140-525X</t>
  </si>
  <si>
    <t>1469-1825</t>
  </si>
  <si>
    <t>Behaviour</t>
  </si>
  <si>
    <t>Brill Academic Publishers, Inc.</t>
  </si>
  <si>
    <t>Netherlands Antilles</t>
  </si>
  <si>
    <t>0005-7959</t>
  </si>
  <si>
    <t>1568-539X</t>
  </si>
  <si>
    <t>Behaviour &amp; Information Technology</t>
  </si>
  <si>
    <t>0144-929X</t>
  </si>
  <si>
    <t>1362-3001</t>
  </si>
  <si>
    <t>Psychology|Sociology--Computer Applications</t>
  </si>
  <si>
    <t>Behaviour Change</t>
  </si>
  <si>
    <t>0813-4839</t>
  </si>
  <si>
    <t>2049-7768</t>
  </si>
  <si>
    <t>Behaviour Research and Therapy</t>
  </si>
  <si>
    <t>0005-7967</t>
  </si>
  <si>
    <t>1873-622X</t>
  </si>
  <si>
    <t>Behavioural Neurology</t>
  </si>
  <si>
    <t>0953-4180</t>
  </si>
  <si>
    <t>1875-8584</t>
  </si>
  <si>
    <t>Behavioural and Cognitive Psychotherapy</t>
  </si>
  <si>
    <t>1352-4658</t>
  </si>
  <si>
    <t>1469-1833</t>
  </si>
  <si>
    <t>Behind the Bars</t>
  </si>
  <si>
    <t>Lee &amp; Shepard</t>
  </si>
  <si>
    <t>1871</t>
  </si>
  <si>
    <t>Behind the Scenes, or Life in an Insane Asylum</t>
  </si>
  <si>
    <t>1878</t>
  </si>
  <si>
    <t>Bereavement Care</t>
  </si>
  <si>
    <t>Cruse Bereavement Care</t>
  </si>
  <si>
    <t>0268-2621</t>
  </si>
  <si>
    <t>1944-8279</t>
  </si>
  <si>
    <t>Psychology|Social Services And Welfare</t>
  </si>
  <si>
    <t>Berkeley Media Counseling and Therapy Videos</t>
  </si>
  <si>
    <t>Best Practices in Mental Health</t>
  </si>
  <si>
    <t>The Follmer Group, Inc</t>
  </si>
  <si>
    <t>1553-555X</t>
  </si>
  <si>
    <t>2329-5384</t>
  </si>
  <si>
    <t>Beyond Borders : Transforming Lives Through Traditions and Innovations</t>
  </si>
  <si>
    <t>Beyond Caring Labor : To Provisioning Work</t>
  </si>
  <si>
    <t>University of Toronto Press</t>
  </si>
  <si>
    <t>Social Services And Welfare|Women's Studies</t>
  </si>
  <si>
    <t>Big Voice Pictures Counseling and Therapy Videos</t>
  </si>
  <si>
    <t>Bilingualism</t>
  </si>
  <si>
    <t>1366-7289</t>
  </si>
  <si>
    <t>1469-1841</t>
  </si>
  <si>
    <t>Billy Says... Series</t>
  </si>
  <si>
    <t>Billy and the Tingles (Storybook) : A Narrative Approach to Working With Young Children and Sexually Concerning Behaviour</t>
  </si>
  <si>
    <t>BioPsychoSocial Medicine</t>
  </si>
  <si>
    <t>1751-0759</t>
  </si>
  <si>
    <t>Biodemography and Social Biology</t>
  </si>
  <si>
    <t>1948-5565</t>
  </si>
  <si>
    <t>1948-5573</t>
  </si>
  <si>
    <t>01-Jan-2007--31-Dec-2007</t>
  </si>
  <si>
    <t>01-Jan-2007--31-Dec-2007; 01-Jan-2017--31-Dec-2017</t>
  </si>
  <si>
    <t>Anthropology|Biology|Biology--Genetics|Population Studies|Sciences: Comprehensive Works</t>
  </si>
  <si>
    <t>Biofeedback</t>
  </si>
  <si>
    <t>Allen Press Inc.</t>
  </si>
  <si>
    <t>1081-5937</t>
  </si>
  <si>
    <t>2158-348X</t>
  </si>
  <si>
    <t>Biofeedback (Online)</t>
  </si>
  <si>
    <t>Biographical Dictionary of Psychology</t>
  </si>
  <si>
    <t>ABC-CLIO</t>
  </si>
  <si>
    <t>Medical Sciences|Psychology--Abstracting, Bibliographies, Statistics</t>
  </si>
  <si>
    <t>Biological Rhythm Research</t>
  </si>
  <si>
    <t>0929-1016</t>
  </si>
  <si>
    <t>1744-4179</t>
  </si>
  <si>
    <t>Biology|Sciences: Comprehensive Works</t>
  </si>
  <si>
    <t>Biology of Mood &amp; Anxiety Disorders</t>
  </si>
  <si>
    <t>2045-5380</t>
  </si>
  <si>
    <t>Biology of Sex Differences</t>
  </si>
  <si>
    <t>2042-6410</t>
  </si>
  <si>
    <t>Biology</t>
  </si>
  <si>
    <t>Biomedical Human Kinetics</t>
  </si>
  <si>
    <t>2080-2234</t>
  </si>
  <si>
    <t>Education--Teaching Methods And Curriculum|Physical Fitness And Hygiene</t>
  </si>
  <si>
    <t>Bipolar Disorders</t>
  </si>
  <si>
    <t>1398-5647</t>
  </si>
  <si>
    <t>1399-5618</t>
  </si>
  <si>
    <t>Bipolar, Case 1 : Jessica</t>
  </si>
  <si>
    <t>Bipolar, Case 2 : Logan</t>
  </si>
  <si>
    <t>Bipolar, Case 3 : Mr. Barber</t>
  </si>
  <si>
    <t>Bipolar, Case 4 : Brittany</t>
  </si>
  <si>
    <t>Bipolar, Case 5 : Scott and Glenn</t>
  </si>
  <si>
    <t>The Black Power Movement and American Social Work</t>
  </si>
  <si>
    <t>Political Science--Civil Rights|Social Services And Welfare|Sociology</t>
  </si>
  <si>
    <t>The Black Scholar</t>
  </si>
  <si>
    <t>0006-4246</t>
  </si>
  <si>
    <t>2162-5387</t>
  </si>
  <si>
    <t>Education|Ethnic Interests|Political Science|Social Sciences: Comprehensive Works</t>
  </si>
  <si>
    <t>Blues Buster</t>
  </si>
  <si>
    <t>Sussex Publishers, LLC</t>
  </si>
  <si>
    <t>1535-8364</t>
  </si>
  <si>
    <t>Body &amp; Soul Series</t>
  </si>
  <si>
    <t>Body, Movement, and Dance in Psychotherapy</t>
  </si>
  <si>
    <t>1743-2979</t>
  </si>
  <si>
    <t>1743-2987</t>
  </si>
  <si>
    <t>Dance|Medical Sciences--Physical Medicine And Rehabilitation|Medical Sciences--Psychiatry And Neurology</t>
  </si>
  <si>
    <t>The Book of Ethics</t>
  </si>
  <si>
    <t>Hazelden Betty Ford Foundation</t>
  </si>
  <si>
    <t>Borderline Personality Disorder and Emotion Dysregulation</t>
  </si>
  <si>
    <t>2051-6673</t>
  </si>
  <si>
    <t>Bordón</t>
  </si>
  <si>
    <t>Fundação Getulio Vargas</t>
  </si>
  <si>
    <t>0210-5934</t>
  </si>
  <si>
    <t>2340-6577</t>
  </si>
  <si>
    <t>The Boy Who Built a Wall Around Himself</t>
  </si>
  <si>
    <t>The Boy Who Loved Windows : Opening the Heart and Mind of a Child Threatened With Autism</t>
  </si>
  <si>
    <t>Brain</t>
  </si>
  <si>
    <t>0006-8950</t>
  </si>
  <si>
    <t>1460-2156</t>
  </si>
  <si>
    <t>Brain Blogger [BLOG]</t>
  </si>
  <si>
    <t>Brain Connectivity</t>
  </si>
  <si>
    <t>Mary Ann Liebert, Inc.</t>
  </si>
  <si>
    <t>2158-0014</t>
  </si>
  <si>
    <t>2158-0022</t>
  </si>
  <si>
    <t>Brain Imaging and Behavior</t>
  </si>
  <si>
    <t>1931-7557</t>
  </si>
  <si>
    <t>1931-7565</t>
  </si>
  <si>
    <t>Brain Impairment</t>
  </si>
  <si>
    <t>1443-9646</t>
  </si>
  <si>
    <t>1839-5252</t>
  </si>
  <si>
    <t>Brain Informatics</t>
  </si>
  <si>
    <t>2198-4018</t>
  </si>
  <si>
    <t>2198-4026</t>
  </si>
  <si>
    <t>Computers--Artificial Intelligence|Medical Sciences--Psychiatry And Neurology</t>
  </si>
  <si>
    <t>The Brain Injury Workbook : Exercises for Cognitive Rehabilitation</t>
  </si>
  <si>
    <t>Speechmark Publishing Ltd.</t>
  </si>
  <si>
    <t>Brain Posts [BLOG]</t>
  </si>
  <si>
    <t>Medical Sciences--Internal Medicine</t>
  </si>
  <si>
    <t>Brain Structure and Function</t>
  </si>
  <si>
    <t>1863-2653</t>
  </si>
  <si>
    <t>0340-2061</t>
  </si>
  <si>
    <t>Biology--Physiology|Medical Sciences</t>
  </si>
  <si>
    <t>Brain Topography</t>
  </si>
  <si>
    <t>0896-0267</t>
  </si>
  <si>
    <t>1573-6792</t>
  </si>
  <si>
    <t>Brain and Behavior</t>
  </si>
  <si>
    <t>2162-3279</t>
  </si>
  <si>
    <t>Brain and Cognition</t>
  </si>
  <si>
    <t>Elsevier Science</t>
  </si>
  <si>
    <t>0278-2626</t>
  </si>
  <si>
    <t>1090-2147</t>
  </si>
  <si>
    <t>Brain and Language</t>
  </si>
  <si>
    <t>0093-934X</t>
  </si>
  <si>
    <t>1090-2155</t>
  </si>
  <si>
    <t>Linguistics|Psychology</t>
  </si>
  <si>
    <t>Brain and Mind</t>
  </si>
  <si>
    <t>1389-1987</t>
  </si>
  <si>
    <t>1573-3300</t>
  </si>
  <si>
    <t>Brain, Behavior and Evolution</t>
  </si>
  <si>
    <t>0006-8977</t>
  </si>
  <si>
    <t>1421-9743</t>
  </si>
  <si>
    <t>Medical Sciences--Psychiatry And Neurology|Psychology|Sciences: Comprehensive Works</t>
  </si>
  <si>
    <t>Brandy Y Productions Counseling and Therapy Videos</t>
  </si>
  <si>
    <t>Breaking Up Is Hard To Do</t>
  </si>
  <si>
    <t>Medical Sciences|Social Services And Welfare</t>
  </si>
  <si>
    <t>Brief Therapy Inside Out</t>
  </si>
  <si>
    <t>Brief Therapy Lasting Impressions</t>
  </si>
  <si>
    <t>Brief Treatment and Crisis Intervention</t>
  </si>
  <si>
    <t>1474-3310</t>
  </si>
  <si>
    <t>1474-3329</t>
  </si>
  <si>
    <t>British Educational Research Journal</t>
  </si>
  <si>
    <t>0141-1926</t>
  </si>
  <si>
    <t>1469-3518</t>
  </si>
  <si>
    <t>The British Journal of Clinical Psychology</t>
  </si>
  <si>
    <t>British Psychological Society</t>
  </si>
  <si>
    <t>0144-6657</t>
  </si>
  <si>
    <t>2044-8260</t>
  </si>
  <si>
    <t>British Journal of Community Justice</t>
  </si>
  <si>
    <t>1475-0279</t>
  </si>
  <si>
    <t>01-Jan-2017--31-Dec-2018</t>
  </si>
  <si>
    <t>The British Journal of Criminology</t>
  </si>
  <si>
    <t>0007-0955</t>
  </si>
  <si>
    <t>1464-3529</t>
  </si>
  <si>
    <t>01-Jan-1988--31-Dec-1988</t>
  </si>
  <si>
    <t>Criminology And Law Enforcement|Psychology</t>
  </si>
  <si>
    <t>The British Journal of Developmental Psychology</t>
  </si>
  <si>
    <t>0261-510X</t>
  </si>
  <si>
    <t>2044-835X</t>
  </si>
  <si>
    <t>British Journal of Educational Psychology</t>
  </si>
  <si>
    <t>0007-0998</t>
  </si>
  <si>
    <t>2044-8279</t>
  </si>
  <si>
    <t>British Journal of Guidance &amp; Counselling</t>
  </si>
  <si>
    <t>0306-9885</t>
  </si>
  <si>
    <t>1469-3534</t>
  </si>
  <si>
    <t>Occupations And Careers|Psychology</t>
  </si>
  <si>
    <t>British Journal of Health Psychology</t>
  </si>
  <si>
    <t>1359-107X</t>
  </si>
  <si>
    <t>2044-8287</t>
  </si>
  <si>
    <t>British Journal of Learning Disabilities</t>
  </si>
  <si>
    <t>1354-4187</t>
  </si>
  <si>
    <t>1468-3156</t>
  </si>
  <si>
    <t>British Journal of Mathematical &amp; Statistical Psychology</t>
  </si>
  <si>
    <t>0007-1102</t>
  </si>
  <si>
    <t>2044-8317</t>
  </si>
  <si>
    <t>Mathematics|Psychology|Statistics</t>
  </si>
  <si>
    <t>British Journal of Mental Health Nursing</t>
  </si>
  <si>
    <t>Mark Allen Group Ltd</t>
  </si>
  <si>
    <t>2049-5919</t>
  </si>
  <si>
    <t>2052-496X</t>
  </si>
  <si>
    <t>British Journal of Music Education</t>
  </si>
  <si>
    <t>0265-0517</t>
  </si>
  <si>
    <t>1469-2104</t>
  </si>
  <si>
    <t>British Journal of Preventive and Social Medicine</t>
  </si>
  <si>
    <t>0007-1242</t>
  </si>
  <si>
    <t>The British Journal of Psychiatry</t>
  </si>
  <si>
    <t>0007-1250</t>
  </si>
  <si>
    <t>1472-1465</t>
  </si>
  <si>
    <t>British Journal of Psychology</t>
  </si>
  <si>
    <t>0007-1269</t>
  </si>
  <si>
    <t>2044-8295</t>
  </si>
  <si>
    <t>British Journal of Psychotherapy</t>
  </si>
  <si>
    <t>0265-9883</t>
  </si>
  <si>
    <t>1752-0118</t>
  </si>
  <si>
    <t>British Journal of Social Medicine</t>
  </si>
  <si>
    <t>0366-0842</t>
  </si>
  <si>
    <t>The British Journal of Social Psychology</t>
  </si>
  <si>
    <t>0144-6665</t>
  </si>
  <si>
    <t>2044-8309</t>
  </si>
  <si>
    <t>British Journal of Social Work</t>
  </si>
  <si>
    <t>0045-3102</t>
  </si>
  <si>
    <t>1468-263X</t>
  </si>
  <si>
    <t>British Psychological Society's Research Digest [BLOG]</t>
  </si>
  <si>
    <t>British Psychological Society. Proceedings</t>
  </si>
  <si>
    <t>1350-472X</t>
  </si>
  <si>
    <t>The Brown University Child and Adolescent Behavior Letter</t>
  </si>
  <si>
    <t>1058-1073</t>
  </si>
  <si>
    <t>1556-7575</t>
  </si>
  <si>
    <t>Children And Youth - About|Psychology|Social Services And Welfare</t>
  </si>
  <si>
    <t>The Brown University Child and Adolescent Psychopharmacology Update</t>
  </si>
  <si>
    <t>1527-8395</t>
  </si>
  <si>
    <t>1556-7567</t>
  </si>
  <si>
    <t>Children And Youth - About|Medical Sciences--Pediatrics</t>
  </si>
  <si>
    <t>The Building Resiliency Workbook : Facilitator Reproducible Self-Assessments, Exercises and Educational Handouts</t>
  </si>
  <si>
    <t>Bulletin of the Menninger Clinic</t>
  </si>
  <si>
    <t>0025-9284</t>
  </si>
  <si>
    <t>1943-2828</t>
  </si>
  <si>
    <t>Business And Economics|Philosophy</t>
  </si>
  <si>
    <t>Busker's Guide</t>
  </si>
  <si>
    <t>CACREP : Essential Skills for Counseling Practice</t>
  </si>
  <si>
    <t>CBC Learning Canadian Broadcasting Corporation Counseling and Therapy Videos</t>
  </si>
  <si>
    <t>A CBT Approach to Mental Health Problems in Psychosis</t>
  </si>
  <si>
    <t>The CBT Art Activity Book</t>
  </si>
  <si>
    <t>CNS Drugs</t>
  </si>
  <si>
    <t>1172-7047</t>
  </si>
  <si>
    <t>1179-1934</t>
  </si>
  <si>
    <t>Medical Sciences--Psychiatry And Neurology|Pharmacy And Pharmacology</t>
  </si>
  <si>
    <t>CNS Spectrums</t>
  </si>
  <si>
    <t>1092-8529</t>
  </si>
  <si>
    <t>01-Jan-2017--31-Dec-2019</t>
  </si>
  <si>
    <t>Call to Teach : Philosophy, Process, and Pragmatics of Social Work Education</t>
  </si>
  <si>
    <t>Cambridge Journal of Education</t>
  </si>
  <si>
    <t>0305-764X</t>
  </si>
  <si>
    <t>1469-3577</t>
  </si>
  <si>
    <t>Education--Higher Education</t>
  </si>
  <si>
    <t>Canadian Graduate Journal of Sociology and Criminology</t>
  </si>
  <si>
    <t>Canadian Graduate Journal of Sociology &amp; Criminology</t>
  </si>
  <si>
    <t>1927-9825</t>
  </si>
  <si>
    <t>Criminology And Law Enforcement|Sociology</t>
  </si>
  <si>
    <t>The Canadian Health Psychologist</t>
  </si>
  <si>
    <t>Canadian Psychological Association</t>
  </si>
  <si>
    <t>1192-4179</t>
  </si>
  <si>
    <t>Canadian Journal of Behavioural Science</t>
  </si>
  <si>
    <t>0008-400X</t>
  </si>
  <si>
    <t>1879-2669</t>
  </si>
  <si>
    <t>Canadian Journal of Community Mental Health</t>
  </si>
  <si>
    <t>Canadian Periodical for Community Studies</t>
  </si>
  <si>
    <t>0713-3936</t>
  </si>
  <si>
    <t>1929-7084</t>
  </si>
  <si>
    <t>Psychology|Public Health And Safety</t>
  </si>
  <si>
    <t>Canadian Journal of Counselling</t>
  </si>
  <si>
    <t>Canadian Counselling and Psychotherapy Association</t>
  </si>
  <si>
    <t>0828-3893</t>
  </si>
  <si>
    <t>Canadian Journal of Counselling and Psychotherapy (Online)</t>
  </si>
  <si>
    <t>1923-6182</t>
  </si>
  <si>
    <t>Canadian Journal of Criminology and Criminal Justice</t>
  </si>
  <si>
    <t>1707-7753</t>
  </si>
  <si>
    <t>1911-0219</t>
  </si>
  <si>
    <t>Criminology And Law Enforcement|Education</t>
  </si>
  <si>
    <t>Canadian Journal of Education</t>
  </si>
  <si>
    <t>Canadian Society for the Study of Education</t>
  </si>
  <si>
    <t>0380-2361</t>
  </si>
  <si>
    <t>1918-5979</t>
  </si>
  <si>
    <t>Canadian Journal of Experimental Psychology</t>
  </si>
  <si>
    <t>1196-1961</t>
  </si>
  <si>
    <t>1878-7290</t>
  </si>
  <si>
    <t>The Canadian Journal of Human Sexuality</t>
  </si>
  <si>
    <t>Sex Information and Education Council of Canada</t>
  </si>
  <si>
    <t>1188-4517</t>
  </si>
  <si>
    <t>2291-7063</t>
  </si>
  <si>
    <t>The Canadian Journal of Infancy and Early Childhood</t>
  </si>
  <si>
    <t>University of Guelph, Department of Family Relations &amp; Applied Nutrition</t>
  </si>
  <si>
    <t>1912-9637</t>
  </si>
  <si>
    <t>Canadian Journal of Music Therapy</t>
  </si>
  <si>
    <t>Canadian Association for Music Therapy</t>
  </si>
  <si>
    <t>1199-1054</t>
  </si>
  <si>
    <t>Canadian Journal of Neurological Sciences</t>
  </si>
  <si>
    <t>0317-1671</t>
  </si>
  <si>
    <t>The Canadian Journal of Occupational Therapy</t>
  </si>
  <si>
    <t>0008-4174</t>
  </si>
  <si>
    <t>1911-9828</t>
  </si>
  <si>
    <t>Canadian Journal of Psychiatry</t>
  </si>
  <si>
    <t>0706-7437</t>
  </si>
  <si>
    <t>1497-0015</t>
  </si>
  <si>
    <t>Canadian Journal of Psychoanalysis</t>
  </si>
  <si>
    <t>Canadian Psychoanalytic Society</t>
  </si>
  <si>
    <t>1195-3330</t>
  </si>
  <si>
    <t>Canadian Journal of School Psychology</t>
  </si>
  <si>
    <t>0829-5735</t>
  </si>
  <si>
    <t>2154-3984</t>
  </si>
  <si>
    <t>Canadian Journal of Special Education</t>
  </si>
  <si>
    <t>University of British Columbia, Dept. of Educational Psychology and Special Education</t>
  </si>
  <si>
    <t>0827-3391</t>
  </si>
  <si>
    <t>01-Jan-1994--31-Dec-1994</t>
  </si>
  <si>
    <t>Canadian Journal on Aging</t>
  </si>
  <si>
    <t>0714-9808</t>
  </si>
  <si>
    <t>1710-1107</t>
  </si>
  <si>
    <t>Gerontology And Geriatrics</t>
  </si>
  <si>
    <t>Canadian Medical Association. Journal</t>
  </si>
  <si>
    <t>CMA Impact, Inc.</t>
  </si>
  <si>
    <t>0820-3946</t>
  </si>
  <si>
    <t>1488-2329</t>
  </si>
  <si>
    <t>Canadian Psychology</t>
  </si>
  <si>
    <t>0708-5591</t>
  </si>
  <si>
    <t>1878-7304</t>
  </si>
  <si>
    <t>The Canadian Review of Sociology</t>
  </si>
  <si>
    <t>Canadian Sociology and Anthropology Association, c/o Concordia University Department of Sociology and Anthropology</t>
  </si>
  <si>
    <t>1755-6171</t>
  </si>
  <si>
    <t>1755-618X</t>
  </si>
  <si>
    <t>Anthropology|Sociology</t>
  </si>
  <si>
    <t>Canadian School Counselling Review</t>
  </si>
  <si>
    <t>2371-5847</t>
  </si>
  <si>
    <t>Cancer Letters</t>
  </si>
  <si>
    <t>0304-3835</t>
  </si>
  <si>
    <t>1872-7980</t>
  </si>
  <si>
    <t>Medical Sciences--Oncology</t>
  </si>
  <si>
    <t>The Career Development Quarterly</t>
  </si>
  <si>
    <t>0889-4019</t>
  </si>
  <si>
    <t>2161-0045</t>
  </si>
  <si>
    <t>Education|Occupations And Careers</t>
  </si>
  <si>
    <t>Career Development and Transition for Exceptional Individuals</t>
  </si>
  <si>
    <t>2165-1434</t>
  </si>
  <si>
    <t>2165-1442</t>
  </si>
  <si>
    <t>Education--Special Education And Rehabilitation|Occupations And Careers</t>
  </si>
  <si>
    <t>Carlos Zalaquett Counseling and Therapy Videos</t>
  </si>
  <si>
    <t>Case Reports in Psychiatry</t>
  </si>
  <si>
    <t>2090-682X</t>
  </si>
  <si>
    <t>2090-6838</t>
  </si>
  <si>
    <t>Case Scenarios for Teaching and Learning Social Work Practice</t>
  </si>
  <si>
    <t>Case Studies in Sport and Exercise Psychology</t>
  </si>
  <si>
    <t>Human Kinetics</t>
  </si>
  <si>
    <t>2470-4849</t>
  </si>
  <si>
    <t>2470-4857</t>
  </si>
  <si>
    <t>Psychology|Sports And Games</t>
  </si>
  <si>
    <t>Castalia Media Videos</t>
  </si>
  <si>
    <t>The Causes and Consequences of Group Violence : From Bullies to Terrorists</t>
  </si>
  <si>
    <t>Celebrating Cultural Diversity : A Group for Fifth Graders</t>
  </si>
  <si>
    <t>Center For Reality Therapy Videos</t>
  </si>
  <si>
    <t>Center for Play Therapy Videos</t>
  </si>
  <si>
    <t>Center for the History of Psychology Videos</t>
  </si>
  <si>
    <t>The Cerebellum</t>
  </si>
  <si>
    <t>1473-4222</t>
  </si>
  <si>
    <t>1473-4230</t>
  </si>
  <si>
    <t>Cerebral Cortex</t>
  </si>
  <si>
    <t>1047-3211</t>
  </si>
  <si>
    <t>1460-2199</t>
  </si>
  <si>
    <t>Ceskoslovenska Psychologie</t>
  </si>
  <si>
    <t>Institute of Psychology, Academy of Science</t>
  </si>
  <si>
    <t>Czech Republic</t>
  </si>
  <si>
    <t>0009-062X</t>
  </si>
  <si>
    <t>1804-6436</t>
  </si>
  <si>
    <t>Czech</t>
  </si>
  <si>
    <t>Challenges in Professional Supervision : Current Themes and Models for Practice</t>
  </si>
  <si>
    <t>Challenging Stress, Burnout and Rust-Out : Finding Balance in Busy Lives</t>
  </si>
  <si>
    <t>Changing Minds : Our Lives and Mental Illness</t>
  </si>
  <si>
    <t>Gaskell Society</t>
  </si>
  <si>
    <t>A Checkered Life</t>
  </si>
  <si>
    <t>The Chelsea Whistle</t>
  </si>
  <si>
    <t>Chemical Senses</t>
  </si>
  <si>
    <t>0379-864X</t>
  </si>
  <si>
    <t>1464-3553</t>
  </si>
  <si>
    <t>Biology--Biochemistry|Biology--Physiology</t>
  </si>
  <si>
    <t>Chemosensory Perception</t>
  </si>
  <si>
    <t>1936-5802</t>
  </si>
  <si>
    <t>1936-5810</t>
  </si>
  <si>
    <t>Biology--Biochemistry</t>
  </si>
  <si>
    <t>Child &amp; Adolescent Psychopharmacology News</t>
  </si>
  <si>
    <t>1085-0295</t>
  </si>
  <si>
    <t>1943-2739</t>
  </si>
  <si>
    <t>Medical Sciences--Pediatrics|Medical Sciences--Psychiatry And Neurology|Pharmacy And Pharmacology</t>
  </si>
  <si>
    <t>Child &amp; Adolescent Social Work Journal</t>
  </si>
  <si>
    <t>0738-0151</t>
  </si>
  <si>
    <t>1573-2797</t>
  </si>
  <si>
    <t>Children And Youth - About|Psychology|Sociology</t>
  </si>
  <si>
    <t>Child &amp; Family Behavior Therapy</t>
  </si>
  <si>
    <t>0731-7107</t>
  </si>
  <si>
    <t>1545-228X</t>
  </si>
  <si>
    <t>Child &amp; Family Social Work</t>
  </si>
  <si>
    <t>1356-7500</t>
  </si>
  <si>
    <t>1365-2206</t>
  </si>
  <si>
    <t>Children And Youth - About|Social Services And Welfare</t>
  </si>
  <si>
    <t>Child &amp; Youth Care Forum</t>
  </si>
  <si>
    <t>1053-1890</t>
  </si>
  <si>
    <t>1573-3319</t>
  </si>
  <si>
    <t>Children And Youth - About|Psychology</t>
  </si>
  <si>
    <t>Child &amp; Youth Services</t>
  </si>
  <si>
    <t>0145-935X</t>
  </si>
  <si>
    <t>1545-2298</t>
  </si>
  <si>
    <t>Child Abuse &amp; Neglect</t>
  </si>
  <si>
    <t>0145-2134</t>
  </si>
  <si>
    <t>1873-7757</t>
  </si>
  <si>
    <t>Children And Youth - About|Criminology And Law Enforcement|Social Sciences: Comprehensive Works|Sociology</t>
  </si>
  <si>
    <t>Child Abuse Review</t>
  </si>
  <si>
    <t>0952-9136</t>
  </si>
  <si>
    <t>1099-0852</t>
  </si>
  <si>
    <t>Child Care in Practice</t>
  </si>
  <si>
    <t>1357-5279</t>
  </si>
  <si>
    <t>1476-489X</t>
  </si>
  <si>
    <t>Children And Youth - About|Education|Medical Sciences--Pediatrics|Psychology</t>
  </si>
  <si>
    <t>Child Custody and Visitation Disputes in Sweden and the United States : A Study of Love, Justice and Knowledge</t>
  </si>
  <si>
    <t>Child Development</t>
  </si>
  <si>
    <t>0009-3920</t>
  </si>
  <si>
    <t>1467-8624</t>
  </si>
  <si>
    <t>Children And Youth - About|Medical Sciences--Pediatrics|Psychology</t>
  </si>
  <si>
    <t>Child Language Teaching and Therapy</t>
  </si>
  <si>
    <t>0265-6590</t>
  </si>
  <si>
    <t>1477-0865</t>
  </si>
  <si>
    <t>01-Jan-1990--31-Dec-1990; 01-Jan-1995--31-Dec-1995</t>
  </si>
  <si>
    <t>Education--Special Education And Rehabilitation|Education--Teaching Methods And Curriculum</t>
  </si>
  <si>
    <t>Child Maltreatment</t>
  </si>
  <si>
    <t>1077-5595</t>
  </si>
  <si>
    <t>1552-6119</t>
  </si>
  <si>
    <t>Child Psychiatry and Human Development</t>
  </si>
  <si>
    <t>0009-398X</t>
  </si>
  <si>
    <t>1573-3327</t>
  </si>
  <si>
    <t>Children And Youth - About|Education--Special Education And Rehabilitation|Medical Sciences--Pediatrics|Medical Sciences--Psychiatry And Neurology</t>
  </si>
  <si>
    <t>Child Welfare</t>
  </si>
  <si>
    <t>Child Welfare League of America, Inc.</t>
  </si>
  <si>
    <t>0009-4021</t>
  </si>
  <si>
    <t>Children And Youth - About|Medical Sciences--Psychiatry And Neurology|Psychology|Social Services And Welfare|Sociology</t>
  </si>
  <si>
    <t>Child and Adolescent Mental Health</t>
  </si>
  <si>
    <t>1475-357X</t>
  </si>
  <si>
    <t>1475-3588</t>
  </si>
  <si>
    <t>Child and Adolescent Psychiatry and Mental Health</t>
  </si>
  <si>
    <t>1753-2000</t>
  </si>
  <si>
    <t>Childhood</t>
  </si>
  <si>
    <t>0907-5682</t>
  </si>
  <si>
    <t>1461-7013</t>
  </si>
  <si>
    <t>01-Jan-1995--31-Dec-1995</t>
  </si>
  <si>
    <t>Children And Youth - About</t>
  </si>
  <si>
    <t>Children &amp; Schools</t>
  </si>
  <si>
    <t>1532-8759</t>
  </si>
  <si>
    <t>1545-682X</t>
  </si>
  <si>
    <t>Education|Social Services And Welfare</t>
  </si>
  <si>
    <t>Children &amp; Society</t>
  </si>
  <si>
    <t>0951-0605</t>
  </si>
  <si>
    <t>1099-0860</t>
  </si>
  <si>
    <t>Children And Stress : A Handbook for Families, Teachers, and Therapists</t>
  </si>
  <si>
    <t>Children and Young People Whose Behaviour is Sexually Concerning or Harmful</t>
  </si>
  <si>
    <t>Children as Research Subjects</t>
  </si>
  <si>
    <t>Children And Youth - About|Medical Sciences|Medical Sciences--Pediatrics|Sciences: Comprehensive Works</t>
  </si>
  <si>
    <t>Children at Their Best</t>
  </si>
  <si>
    <t>Children's Geographies</t>
  </si>
  <si>
    <t>1473-3285</t>
  </si>
  <si>
    <t>1473-3277</t>
  </si>
  <si>
    <t>Children's Health Care</t>
  </si>
  <si>
    <t>Routledge, Taylor &amp; Francis Group</t>
  </si>
  <si>
    <t>0273-9615</t>
  </si>
  <si>
    <t>1532-6888</t>
  </si>
  <si>
    <t>Children And Youth - About|Health Facilities And Administration|Social Services And Welfare</t>
  </si>
  <si>
    <t>Chip Taylor Communications Videos</t>
  </si>
  <si>
    <t>Chronic Stress</t>
  </si>
  <si>
    <t>2470-5470</t>
  </si>
  <si>
    <t>City &amp; Community</t>
  </si>
  <si>
    <t>1535-6841</t>
  </si>
  <si>
    <t>1540-6040</t>
  </si>
  <si>
    <t>Classic Experiments in Psychology</t>
  </si>
  <si>
    <t>Greenwood Publishing Group, Inc</t>
  </si>
  <si>
    <t>The Classroom Experiment</t>
  </si>
  <si>
    <t>The Cleft Palate - Craniofacial Journal</t>
  </si>
  <si>
    <t>1055-6656</t>
  </si>
  <si>
    <t>1545-1569</t>
  </si>
  <si>
    <t>Medical Sciences--Dentistry|Medical Sciences--Surgery</t>
  </si>
  <si>
    <t>Clinical Child Psychology and Psychiatry</t>
  </si>
  <si>
    <t>1359-1045</t>
  </si>
  <si>
    <t>Clinical Child and Family Psychology Review</t>
  </si>
  <si>
    <t>1096-4037</t>
  </si>
  <si>
    <t>1573-2827</t>
  </si>
  <si>
    <t>Clinical Excellence for Nurse Practitioners</t>
  </si>
  <si>
    <t>Springer Publishing Company</t>
  </si>
  <si>
    <t>1085-2360</t>
  </si>
  <si>
    <t>1532-8236</t>
  </si>
  <si>
    <t>Clinical Exercises for Treating Traumatic Stress in Children and Adolescents</t>
  </si>
  <si>
    <t>Clinical Interventions With Gang Adolescents and Their Families</t>
  </si>
  <si>
    <t>Taylor &amp; Francis Books Ltd</t>
  </si>
  <si>
    <t>Clinical Neurology and Neurosurgery</t>
  </si>
  <si>
    <t>0303-8467</t>
  </si>
  <si>
    <t>1872-6968</t>
  </si>
  <si>
    <t>01-Jan-1997--31-Dec-2001</t>
  </si>
  <si>
    <t>Medical Sciences--Psychiatry And Neurology|Medical Sciences--Surgery</t>
  </si>
  <si>
    <t>Clinical Nursing Research</t>
  </si>
  <si>
    <t>1054-7738</t>
  </si>
  <si>
    <t>1552-3799</t>
  </si>
  <si>
    <t>Clinical Pediatrics</t>
  </si>
  <si>
    <t>Westminster Publications, Inc.</t>
  </si>
  <si>
    <t>0009-9228</t>
  </si>
  <si>
    <t>1938-2707</t>
  </si>
  <si>
    <t>Clinical Psychologist</t>
  </si>
  <si>
    <t>1328-4207</t>
  </si>
  <si>
    <t>1742-9552</t>
  </si>
  <si>
    <t>Clinical Psychology Forum</t>
  </si>
  <si>
    <t>1747-5732</t>
  </si>
  <si>
    <t>Clinical Psychology and Psychotherapy</t>
  </si>
  <si>
    <t>John Wiley and Sons, Limited</t>
  </si>
  <si>
    <t>1063-3995</t>
  </si>
  <si>
    <t>1099-0879</t>
  </si>
  <si>
    <t>Clinical Psychology in Europe</t>
  </si>
  <si>
    <t>Bulgaria</t>
  </si>
  <si>
    <t>2625-3410</t>
  </si>
  <si>
    <t>Clinical Psychology: Science and Practice</t>
  </si>
  <si>
    <t>0969-5893</t>
  </si>
  <si>
    <t>1468-2850</t>
  </si>
  <si>
    <t>01-Jan-2006--31-Dec-2009</t>
  </si>
  <si>
    <t>Clinical Rehabilitation</t>
  </si>
  <si>
    <t>0269-2155</t>
  </si>
  <si>
    <t>1477-0873</t>
  </si>
  <si>
    <t>Medical Sciences|Medical Sciences--Physical Medicine And Rehabilitation</t>
  </si>
  <si>
    <t>Clinical Social Work : A Narrative Approach</t>
  </si>
  <si>
    <t>Clinical Social Work Journal</t>
  </si>
  <si>
    <t>0091-1674</t>
  </si>
  <si>
    <t>1573-3343</t>
  </si>
  <si>
    <t>Clinical Social Work and Health Intervention</t>
  </si>
  <si>
    <t>International Society of Applied Preventative Medicine i-gap</t>
  </si>
  <si>
    <t>Austria</t>
  </si>
  <si>
    <t>2222-386X</t>
  </si>
  <si>
    <t>2076-9741</t>
  </si>
  <si>
    <t>Clocks &amp; Sleep</t>
  </si>
  <si>
    <t>2624-5175</t>
  </si>
  <si>
    <t>Close Relationships : A Sourcebook</t>
  </si>
  <si>
    <t>Clínica Contemporánea</t>
  </si>
  <si>
    <t>1989-9912</t>
  </si>
  <si>
    <t>Clínica y Salud</t>
  </si>
  <si>
    <t>1130-5274</t>
  </si>
  <si>
    <t>2174-0550</t>
  </si>
  <si>
    <t>01-Jan-2021--31-Dec-2021</t>
  </si>
  <si>
    <t>Coaching</t>
  </si>
  <si>
    <t>1752-1882</t>
  </si>
  <si>
    <t>1752-1890</t>
  </si>
  <si>
    <t>The Coaching Psychologist</t>
  </si>
  <si>
    <t>1748-1104</t>
  </si>
  <si>
    <t>Cogent Psychology</t>
  </si>
  <si>
    <t>2331-1908</t>
  </si>
  <si>
    <t>Cognition</t>
  </si>
  <si>
    <t>0010-0277</t>
  </si>
  <si>
    <t>1873-7838</t>
  </si>
  <si>
    <t>Cognition &amp; Emotion</t>
  </si>
  <si>
    <t>0269-9931</t>
  </si>
  <si>
    <t>Cognition and Instruction</t>
  </si>
  <si>
    <t>0737-0008</t>
  </si>
  <si>
    <t>1532-690X</t>
  </si>
  <si>
    <t>Cognition, Brain, Behavior</t>
  </si>
  <si>
    <t>A.S.C.R. PRESS</t>
  </si>
  <si>
    <t>2247-9228</t>
  </si>
  <si>
    <t>2061-226X</t>
  </si>
  <si>
    <t>Cognition, Technology &amp; Work</t>
  </si>
  <si>
    <t>1435-5558</t>
  </si>
  <si>
    <t>1435-5566</t>
  </si>
  <si>
    <t>Cognitive Behavioral Therapy for PTSD</t>
  </si>
  <si>
    <t>The Cognitive Behaviour Therapist</t>
  </si>
  <si>
    <t>1754-470X</t>
  </si>
  <si>
    <t>Cognitive Behaviour Therapy</t>
  </si>
  <si>
    <t>1650-6073</t>
  </si>
  <si>
    <t>1651-2316</t>
  </si>
  <si>
    <t>Cognitive Neuropsychiatry</t>
  </si>
  <si>
    <t>1354-6805</t>
  </si>
  <si>
    <t>1464-0619</t>
  </si>
  <si>
    <t>Cognitive Neuroscience</t>
  </si>
  <si>
    <t>1758-8928</t>
  </si>
  <si>
    <t>1758-8936</t>
  </si>
  <si>
    <t>01-Jan-2015--31-Dec-2015</t>
  </si>
  <si>
    <t>Cognitive Psychology</t>
  </si>
  <si>
    <t>0010-0285</t>
  </si>
  <si>
    <t>1095-5623</t>
  </si>
  <si>
    <t>Cognitive Research</t>
  </si>
  <si>
    <t>2365-7464</t>
  </si>
  <si>
    <t>Cognitive Science</t>
  </si>
  <si>
    <t>0364-0213</t>
  </si>
  <si>
    <t>1551-6709</t>
  </si>
  <si>
    <t>Cognitive Sciences</t>
  </si>
  <si>
    <t>1556-8237</t>
  </si>
  <si>
    <t>Cognitive Therapy and Research</t>
  </si>
  <si>
    <t>0147-5916</t>
  </si>
  <si>
    <t>1573-2819</t>
  </si>
  <si>
    <t>Cognitive, Affective and Behavioral Neuroscience</t>
  </si>
  <si>
    <t>1530-7026</t>
  </si>
  <si>
    <t>1531-135X</t>
  </si>
  <si>
    <t>Cohabitation Nation? : Gender, Class, and the Remaking of Relationships</t>
  </si>
  <si>
    <t>University of California Press</t>
  </si>
  <si>
    <t>Collabra : Psychology</t>
  </si>
  <si>
    <t>University of California Press, Journals &amp; Digital Publishing Division</t>
  </si>
  <si>
    <t>2474-7394</t>
  </si>
  <si>
    <t>Humanities: Comprehensive Works|Sciences: Comprehensive Works|Social Sciences: Comprehensive Works</t>
  </si>
  <si>
    <t>The Color of Social Policy</t>
  </si>
  <si>
    <t>The Common-Sense Guide to Improving the Safeguarding of Children : Three Steps to Make a Real Difference</t>
  </si>
  <si>
    <t>Communicate With Me : A Resource to Enable Effective Communication and Involvement With People Who Have a Learning Disability</t>
  </si>
  <si>
    <t>Communication Disorders Quarterly</t>
  </si>
  <si>
    <t>1525-7401</t>
  </si>
  <si>
    <t>1538-4837</t>
  </si>
  <si>
    <t>Children And Youth - About|Education--Special Education And Rehabilitation</t>
  </si>
  <si>
    <t>Communication Education</t>
  </si>
  <si>
    <t>0363-4523</t>
  </si>
  <si>
    <t>1479-5795</t>
  </si>
  <si>
    <t>Communications|Education--Special Education And Rehabilitation|Education--Teaching Methods And Curriculum</t>
  </si>
  <si>
    <t>Communication Monographs</t>
  </si>
  <si>
    <t>0363-7751</t>
  </si>
  <si>
    <t>1479-5787</t>
  </si>
  <si>
    <t>Communications|Education|Linguistics</t>
  </si>
  <si>
    <t>Communication Reports</t>
  </si>
  <si>
    <t>0893-4215</t>
  </si>
  <si>
    <t>1745-1043</t>
  </si>
  <si>
    <t>Education|Linguistics</t>
  </si>
  <si>
    <t>Communication Research</t>
  </si>
  <si>
    <t>0093-6502</t>
  </si>
  <si>
    <t>1552-3810</t>
  </si>
  <si>
    <t>Communications|Sociology</t>
  </si>
  <si>
    <t>Communication Studies</t>
  </si>
  <si>
    <t>Central States Speech Association</t>
  </si>
  <si>
    <t>1051-0974</t>
  </si>
  <si>
    <t>1745-1035</t>
  </si>
  <si>
    <t>Communication Theory</t>
  </si>
  <si>
    <t>1050-3293</t>
  </si>
  <si>
    <t>1468-2885</t>
  </si>
  <si>
    <t>Communications|Linguistics</t>
  </si>
  <si>
    <t>Community Health Equity Research &amp; Policy</t>
  </si>
  <si>
    <t>2752-535X</t>
  </si>
  <si>
    <t>2752-5368</t>
  </si>
  <si>
    <t>Community Mental Health Journal</t>
  </si>
  <si>
    <t>0010-3853</t>
  </si>
  <si>
    <t>1573-2789</t>
  </si>
  <si>
    <t>Medical Sciences--Psychiatry And Neurology|Psychology|Social Services And Welfare</t>
  </si>
  <si>
    <t>Community Psychology in Global Perspective</t>
  </si>
  <si>
    <t>Universita del Salento</t>
  </si>
  <si>
    <t>Italy</t>
  </si>
  <si>
    <t>2421-2113</t>
  </si>
  <si>
    <t>The Compassionate Practitioner</t>
  </si>
  <si>
    <t>Complementary Therapies in Medicine</t>
  </si>
  <si>
    <t>0965-2299</t>
  </si>
  <si>
    <t>1873-6963</t>
  </si>
  <si>
    <t>Alternative Medicine|Medical Sciences--Chiropractic, Homeopathy, Osteopathy</t>
  </si>
  <si>
    <t>The Complete Caregiver Support Guide : A Reproducible Workbook for Groups and Individuals</t>
  </si>
  <si>
    <t>Comprehensive Psychiatry</t>
  </si>
  <si>
    <t>0010-440X</t>
  </si>
  <si>
    <t>1532-8384</t>
  </si>
  <si>
    <t>Computational Cognitive Science</t>
  </si>
  <si>
    <t>2195-3961</t>
  </si>
  <si>
    <t>Medical Sciences--Computer Applications|Psychology</t>
  </si>
  <si>
    <t>Computational Intelligence</t>
  </si>
  <si>
    <t>0824-7935</t>
  </si>
  <si>
    <t>1467-8640</t>
  </si>
  <si>
    <t>Computers|Computers--Artificial Intelligence</t>
  </si>
  <si>
    <t>Computational Intelligence and Neuroscience : CIN</t>
  </si>
  <si>
    <t>1687-5265</t>
  </si>
  <si>
    <t>1687-5273</t>
  </si>
  <si>
    <t>Computers in Human Behavior</t>
  </si>
  <si>
    <t>0747-5632</t>
  </si>
  <si>
    <t>1873-7692</t>
  </si>
  <si>
    <t>Computers|Psychology|Sociology--Computer Applications</t>
  </si>
  <si>
    <t>Conditioned Emotional Reactions</t>
  </si>
  <si>
    <t>Conditioned Reflexes : An Investigation of the Physiological Activity of the Cerebral Cortex</t>
  </si>
  <si>
    <t>The Confession of a Fool</t>
  </si>
  <si>
    <t>Confessions of an Agoraphobic Victim</t>
  </si>
  <si>
    <t>Confidence at Work : Get It, Feel It, Keep It</t>
  </si>
  <si>
    <t>9780749467753;9780749467753</t>
  </si>
  <si>
    <t>Business And Economics--Personnel Management</t>
  </si>
  <si>
    <t>The Conflict Management Skills Workbook : Self-Assessments, Exercises and Educational Handouts</t>
  </si>
  <si>
    <t>Conflict Resolution Quarterly</t>
  </si>
  <si>
    <t>Wiley Periodicals Inc.</t>
  </si>
  <si>
    <t>1536-5581</t>
  </si>
  <si>
    <t>1541-1508</t>
  </si>
  <si>
    <t>Confronting Oppression, Restoring Justice : From Policy Analysis to Social Action</t>
  </si>
  <si>
    <t>Connection Science</t>
  </si>
  <si>
    <t>0954-0091</t>
  </si>
  <si>
    <t>1360-0494</t>
  </si>
  <si>
    <t>Computers--Artificial Intelligence|Computers--Computer Systems</t>
  </si>
  <si>
    <t>Connections</t>
  </si>
  <si>
    <t>0701-0400</t>
  </si>
  <si>
    <t>01-Jan-1997--31-Dec-1998</t>
  </si>
  <si>
    <t>Conscious Will and Responsibility : A Tribute to Benjamin Libet</t>
  </si>
  <si>
    <t>Consciousness and Cognition</t>
  </si>
  <si>
    <t>1053-8100</t>
  </si>
  <si>
    <t>1090-2376</t>
  </si>
  <si>
    <t>Conservative Christian Beliefs and Sexual Orientation in Social Work : Privilege, Oppression, and the Pursuit of Human Rights</t>
  </si>
  <si>
    <t>A Constant Error in Psychological Ratings</t>
  </si>
  <si>
    <t>Constructivism in the Human Sciences</t>
  </si>
  <si>
    <t>Salve Regina University</t>
  </si>
  <si>
    <t>1520-2984</t>
  </si>
  <si>
    <t>Contemporary Drug Problems</t>
  </si>
  <si>
    <t>0091-4509</t>
  </si>
  <si>
    <t>2163-1808</t>
  </si>
  <si>
    <t>Drug Abuse And Alcoholism|Law|Medical Sciences</t>
  </si>
  <si>
    <t>Contemporary Educational Psychology</t>
  </si>
  <si>
    <t>0361-476X</t>
  </si>
  <si>
    <t>1090-2384</t>
  </si>
  <si>
    <t>Contemporary Family Justice : Policy and Practice in Complex Child Protection Decisions</t>
  </si>
  <si>
    <t>Contemporary Family Therapy</t>
  </si>
  <si>
    <t>0892-2764</t>
  </si>
  <si>
    <t>1573-3335</t>
  </si>
  <si>
    <t>01-Jan-2001--31-Dec-2001; 01-Jan-2003--31-Dec-2006; 01-Jan-2009--31-Dec-2009; 01-Jan-2011--31-Dec-2011; 01-Jan-2015--31-Dec-2015</t>
  </si>
  <si>
    <t>Contemporary Hypnosis &amp; Integrative Therapy</t>
  </si>
  <si>
    <t>Crown House Publishing</t>
  </si>
  <si>
    <t>2049-2146</t>
  </si>
  <si>
    <t>2049-2154</t>
  </si>
  <si>
    <t>01-Jan-2003--31-Dec-2014; 01-Jan-2017--31-Dec-2017; 01-Jan-2019--31-Dec-2019</t>
  </si>
  <si>
    <t>Medical Sciences--Hypnosis|Psychology</t>
  </si>
  <si>
    <t>Contemporary Psychoanalytic Studies</t>
  </si>
  <si>
    <t>1571-4977</t>
  </si>
  <si>
    <t>Contemporary Review</t>
  </si>
  <si>
    <t>Contemporary Review Company Ltd.</t>
  </si>
  <si>
    <t>0010-7565</t>
  </si>
  <si>
    <t>Art|History|Literary And Political Reviews|Literature</t>
  </si>
  <si>
    <t>Contemporary School Psychology</t>
  </si>
  <si>
    <t>2159-2020</t>
  </si>
  <si>
    <t>2161-1505</t>
  </si>
  <si>
    <t>Contextos Clínicos</t>
  </si>
  <si>
    <t>Universidade do Vale do Rio dos Sinos - UNISINOS, Editoria de Periódicos Científicos</t>
  </si>
  <si>
    <t>1983-3482</t>
  </si>
  <si>
    <t>Control and Protect : Collaboration, Carceral Protection, and Domestic Sex Trafficking in the United States</t>
  </si>
  <si>
    <t>Cooper, Major Depressive Disorder, Single Episode, Severe</t>
  </si>
  <si>
    <t>Coping Mechanisms and Defenses</t>
  </si>
  <si>
    <t>Coping With Anxiety Workbook</t>
  </si>
  <si>
    <t>Coping With Change Workbook</t>
  </si>
  <si>
    <t>Coping With Chaos Workbook</t>
  </si>
  <si>
    <t>Coping With Difficult People Workbook</t>
  </si>
  <si>
    <t>Coping With Emotional &amp; Physical Pain Workbook</t>
  </si>
  <si>
    <t>Coping With Everday Stressors</t>
  </si>
  <si>
    <t>Coping With Guilt &amp; Shame Workbook : Facilitator Reproducible Guided Self-Exploration Activities</t>
  </si>
  <si>
    <t>Coping With Loneliness Workbook</t>
  </si>
  <si>
    <t>Coping With Negativity - Yours &amp; Mine</t>
  </si>
  <si>
    <t>Coping With Sexual Abuse</t>
  </si>
  <si>
    <t>Coping With Stress in the Workplace</t>
  </si>
  <si>
    <t>Corporate Communications</t>
  </si>
  <si>
    <t>1356-3289</t>
  </si>
  <si>
    <t>1758-6046</t>
  </si>
  <si>
    <t>Corporate Reputation Review</t>
  </si>
  <si>
    <t>1363-3589</t>
  </si>
  <si>
    <t>1479-1889</t>
  </si>
  <si>
    <t>Counseling Arab Americans</t>
  </si>
  <si>
    <t>Counseling Elders</t>
  </si>
  <si>
    <t>Counseling Filipino Americans</t>
  </si>
  <si>
    <t>Counseling Outcome Research and Evaluation</t>
  </si>
  <si>
    <t>2150-1378</t>
  </si>
  <si>
    <t>2150-1386</t>
  </si>
  <si>
    <t>Counseling Psychologist</t>
  </si>
  <si>
    <t>0011-0000</t>
  </si>
  <si>
    <t>1552-3861</t>
  </si>
  <si>
    <t>The Counseling Series</t>
  </si>
  <si>
    <t>Counseling Theories in Action</t>
  </si>
  <si>
    <t>Counseling a Child With ADHD : Assessment and Interventions</t>
  </si>
  <si>
    <t>Counseling and Human Development</t>
  </si>
  <si>
    <t>Love Publishing Company</t>
  </si>
  <si>
    <t>0193-7375</t>
  </si>
  <si>
    <t>Counseling and Privilege</t>
  </si>
  <si>
    <t>Counseling and Values</t>
  </si>
  <si>
    <t>0160-7960</t>
  </si>
  <si>
    <t>2161-007X</t>
  </si>
  <si>
    <t>Education--Special Education And Rehabilitation|Psychology|Religions And Theology--Roman Catholic</t>
  </si>
  <si>
    <t>Counseling the Culturally Diverse</t>
  </si>
  <si>
    <t>The Counselling Channel Videos</t>
  </si>
  <si>
    <t>Counselling Children</t>
  </si>
  <si>
    <t>Counselling DVDs</t>
  </si>
  <si>
    <t>Counselling Psychology Quarterly</t>
  </si>
  <si>
    <t>0951-5070</t>
  </si>
  <si>
    <t>1469-3674</t>
  </si>
  <si>
    <t>Counselling Skills for Becoming a Wiser Practitioner</t>
  </si>
  <si>
    <t>Counselling Skills for Working With Shame</t>
  </si>
  <si>
    <t>Counselling With Reality Therapy</t>
  </si>
  <si>
    <t>Counselling and Psychotherapy Research</t>
  </si>
  <si>
    <t>1473-3145</t>
  </si>
  <si>
    <t>1746-1405</t>
  </si>
  <si>
    <t>Counsellor - New Brunswick Teachers' Federation</t>
  </si>
  <si>
    <t>New Brunswick Teachers' Association</t>
  </si>
  <si>
    <t>0847-3811</t>
  </si>
  <si>
    <t>Counselor Education and Supervision</t>
  </si>
  <si>
    <t>0011-0035</t>
  </si>
  <si>
    <t>1556-6978</t>
  </si>
  <si>
    <t>The Couples Conference : Attachment Differentiation &amp; Neuroscience in Couples Therapy</t>
  </si>
  <si>
    <t>Creating Authentic Organizations : Bringing Meaning and Engagement Back to Work</t>
  </si>
  <si>
    <t>9780749471439;9780749471439</t>
  </si>
  <si>
    <t>Creating Effective Groups : The Art of Small Group Communication</t>
  </si>
  <si>
    <t>Creating Positive Systems of Child and Family Welfare</t>
  </si>
  <si>
    <t>Creating a Healthy Balanced Life : Unique Facilitator Reproducible Activities and Handouts</t>
  </si>
  <si>
    <t>Creating a New Profession : The Beginnings of Social Work Education in the United States</t>
  </si>
  <si>
    <t>A Creative Toolkit for Communication in Dementia Care</t>
  </si>
  <si>
    <t>Creativity Research Journal</t>
  </si>
  <si>
    <t>1040-0419</t>
  </si>
  <si>
    <t>1532-6934</t>
  </si>
  <si>
    <t>Creativity at Work : Supercharge Your Brain and Make Your Ideas Stick</t>
  </si>
  <si>
    <t>9780749466664;9780749466664</t>
  </si>
  <si>
    <t>Crime &amp; Justice</t>
  </si>
  <si>
    <t>0192-3234</t>
  </si>
  <si>
    <t>2153-0416</t>
  </si>
  <si>
    <t>Crime and Autism Spectrum Disorder : Myths and Mechanisms</t>
  </si>
  <si>
    <t>Crime and Delinquency</t>
  </si>
  <si>
    <t>0011-1287</t>
  </si>
  <si>
    <t>1552-387X</t>
  </si>
  <si>
    <t>Crime, Media, Culture</t>
  </si>
  <si>
    <t>1741-6590</t>
  </si>
  <si>
    <t>1741-6604</t>
  </si>
  <si>
    <t>Criminal Behaviour and Mental Health : CBMH</t>
  </si>
  <si>
    <t>Whurr Publishers Ltd.</t>
  </si>
  <si>
    <t>0957-9664</t>
  </si>
  <si>
    <t>1471-2857</t>
  </si>
  <si>
    <t>01-Apr-2002--31-Dec-2009; 01-Jan-2002--31-Dec-2009</t>
  </si>
  <si>
    <t>Criminology And Law Enforcement|Medical Sciences--Psychiatry And Neurology</t>
  </si>
  <si>
    <t>Criminal Justice Ethics</t>
  </si>
  <si>
    <t>Institute for Criminal Justice Ethics</t>
  </si>
  <si>
    <t>0731-129X</t>
  </si>
  <si>
    <t>1937-5948</t>
  </si>
  <si>
    <t>01-Jan-1987--31-Dec-1988</t>
  </si>
  <si>
    <t>Criminal Justice Review</t>
  </si>
  <si>
    <t>0734-0168</t>
  </si>
  <si>
    <t>1556-3839</t>
  </si>
  <si>
    <t>01-Jan-1987--31-Dec-1987; 01-Jan-1996--31-Dec-1996</t>
  </si>
  <si>
    <t>Criminology And Law Enforcement|Law--Civil Law</t>
  </si>
  <si>
    <t>Criminal Justice Studies</t>
  </si>
  <si>
    <t>1478-601X</t>
  </si>
  <si>
    <t>1478-6028</t>
  </si>
  <si>
    <t>Biology|Law</t>
  </si>
  <si>
    <t>Criminal Justice and Behavior</t>
  </si>
  <si>
    <t>0093-8548</t>
  </si>
  <si>
    <t>1552-3594</t>
  </si>
  <si>
    <t>01-Jan-1982--31-Dec-1984</t>
  </si>
  <si>
    <t>Criminology</t>
  </si>
  <si>
    <t>American Society of Criminology</t>
  </si>
  <si>
    <t>0011-1384</t>
  </si>
  <si>
    <t>1745-9125</t>
  </si>
  <si>
    <t>Criminology, Criminal Justice, Law &amp; Society</t>
  </si>
  <si>
    <t>Western Criminology Review</t>
  </si>
  <si>
    <t>2332-886X</t>
  </si>
  <si>
    <t>Critical Care : Delivering Spiritual Care in Healthcare Contexts</t>
  </si>
  <si>
    <t>Critical Supervision for the Human Services : A Social Model to Promote Learning and Values-Based Practice</t>
  </si>
  <si>
    <t>Cross - Cultural Management Journal</t>
  </si>
  <si>
    <t>Romanian Foundation for Business Intelligence</t>
  </si>
  <si>
    <t>2286-0452</t>
  </si>
  <si>
    <t>Cross - Cultural Research</t>
  </si>
  <si>
    <t>1069-3971</t>
  </si>
  <si>
    <t>1552-3578</t>
  </si>
  <si>
    <t>01-Jan-1982--31-Dec-1982; 01-Jan-1985--31-Dec-1986; 01-Jan-1989--31-Dec-1989</t>
  </si>
  <si>
    <t>Psychology|Social Sciences: Comprehensive Works|Sociology</t>
  </si>
  <si>
    <t>Cross Cultural &amp; Strategic Management</t>
  </si>
  <si>
    <t>2059-5794</t>
  </si>
  <si>
    <t>2059-5808</t>
  </si>
  <si>
    <t>CrossCurrents</t>
  </si>
  <si>
    <t>Centre for Addiction and Mental Health</t>
  </si>
  <si>
    <t>1706-9548</t>
  </si>
  <si>
    <t>Cuadernos Hispanoamericanos de Psicología</t>
  </si>
  <si>
    <t>Universidad El Bosque</t>
  </si>
  <si>
    <t>1657-3412</t>
  </si>
  <si>
    <t>2346-0253</t>
  </si>
  <si>
    <t>Cuadernos de Administración</t>
  </si>
  <si>
    <t>Editorial Pontificia Universidad Javeriana</t>
  </si>
  <si>
    <t>0120-3592</t>
  </si>
  <si>
    <t>1900-7205</t>
  </si>
  <si>
    <t>Culturally Competent Counseling and Therapy</t>
  </si>
  <si>
    <t>Culture &amp; Psychology</t>
  </si>
  <si>
    <t>1354-067X</t>
  </si>
  <si>
    <t>1461-7056</t>
  </si>
  <si>
    <t>Anthropology|Psychology|Sociology</t>
  </si>
  <si>
    <t>Culture, Health &amp; Sexuality</t>
  </si>
  <si>
    <t>1369-1058</t>
  </si>
  <si>
    <t>1464-5351</t>
  </si>
  <si>
    <t>Culture, Medicine and Psychiatry</t>
  </si>
  <si>
    <t>0165-005X</t>
  </si>
  <si>
    <t>1573-076X</t>
  </si>
  <si>
    <t>Anthropology|Medical Sciences|Medical Sciences--Psychiatry And Neurology</t>
  </si>
  <si>
    <t>Curbside Consultation in Neuro - Ophthalmology</t>
  </si>
  <si>
    <t>SLACK INCORPORATED</t>
  </si>
  <si>
    <t>9781556428401;9781556428401</t>
  </si>
  <si>
    <t>Medical Sciences--Ophthalmology And Optometry</t>
  </si>
  <si>
    <t>Curbside Consultation of the Spine</t>
  </si>
  <si>
    <t>9781556428234;9781556428234</t>
  </si>
  <si>
    <t>CuriousCortex [BLOG]</t>
  </si>
  <si>
    <t>Current Anthropology</t>
  </si>
  <si>
    <t>0011-3204</t>
  </si>
  <si>
    <t>1537-5382</t>
  </si>
  <si>
    <t>Current Directions in Psychological Science</t>
  </si>
  <si>
    <t>0963-7214</t>
  </si>
  <si>
    <t>1467-8721</t>
  </si>
  <si>
    <t>Current Medical Literature</t>
  </si>
  <si>
    <t>Remedica Medical Education and Publishing</t>
  </si>
  <si>
    <t>0957-770X</t>
  </si>
  <si>
    <t>1759-8184</t>
  </si>
  <si>
    <t>1356-6237</t>
  </si>
  <si>
    <t>1759-815X</t>
  </si>
  <si>
    <t>Current Neurology</t>
  </si>
  <si>
    <t>Medical Communications Sp. z o.o.</t>
  </si>
  <si>
    <t>1641-9227</t>
  </si>
  <si>
    <t>2451-0696</t>
  </si>
  <si>
    <t>English|Polish</t>
  </si>
  <si>
    <t>Current Neurology and Neuroscience Reports</t>
  </si>
  <si>
    <t>1528-4042</t>
  </si>
  <si>
    <t>1534-6293</t>
  </si>
  <si>
    <t>Current Opinion in Psychiatry</t>
  </si>
  <si>
    <t>0951-7367</t>
  </si>
  <si>
    <t>1473-6578</t>
  </si>
  <si>
    <t>Current Psychiatry Reports</t>
  </si>
  <si>
    <t>1523-3812</t>
  </si>
  <si>
    <t>1535-1645</t>
  </si>
  <si>
    <t>Current Psychology</t>
  </si>
  <si>
    <t>1046-1310</t>
  </si>
  <si>
    <t>1936-4733</t>
  </si>
  <si>
    <t>Current Research in Social Psychology</t>
  </si>
  <si>
    <t>University of Iowa, Dept of Sociology, Center for the Study of Group Processes</t>
  </si>
  <si>
    <t>1088-7423</t>
  </si>
  <si>
    <t>Cyberpsychology</t>
  </si>
  <si>
    <t>Masaryk University, Faculty of Social Science</t>
  </si>
  <si>
    <t>1802-7962</t>
  </si>
  <si>
    <t>Cynthia, Opioid Use Disorder</t>
  </si>
  <si>
    <t>DSM 5 : Gil, Bipolar I Disorder, Current or Most Recent Episode Hypomanic</t>
  </si>
  <si>
    <t>DSM 5 : Greg, Cannabis Use Disorder</t>
  </si>
  <si>
    <t>DSM 5 : Mr. Smith, Catatonia Associated With Schizophrenia</t>
  </si>
  <si>
    <t>DSM 5 : Mrs. Warren, Schizophrenia Spectrum</t>
  </si>
  <si>
    <t>DSM 5 Case Scenarios Series</t>
  </si>
  <si>
    <t>DSM 5 Case Scenarios Series : Anxiety Disorders</t>
  </si>
  <si>
    <t>DSM 5 Case Scenarios Series : Bipolar and Related Disorders</t>
  </si>
  <si>
    <t>DSM 5 Case Scenarios Series : Depressive Disorders</t>
  </si>
  <si>
    <t>DSM 5 Case Scenarios Series : Other Conditions That May Be a Focus of Clinical Attention Nonadherence to Medical Treatment</t>
  </si>
  <si>
    <t>DSM 5 Case Scenarios Series : Personality Disorders</t>
  </si>
  <si>
    <t>DSM 5 Case Scenarios Series : Schizophrenia Spectrum and Other Psychotic Disorders</t>
  </si>
  <si>
    <t>DSM 5 Case Scenarios Series : Somatic Symptom and Related Disorders</t>
  </si>
  <si>
    <t>DSM 5 Case Scenarios Series : Trauma- and Stressor-Related Disorders : Post-Traumatic Stress Disorder</t>
  </si>
  <si>
    <t>DSM 5 Guided OCD Series</t>
  </si>
  <si>
    <t>DSM 5 Guided Sleep-Wake Disorders Series</t>
  </si>
  <si>
    <t>DSM 5 Military Case Scenarios Series Index</t>
  </si>
  <si>
    <t>DSM 5 Military Case Scenarios Series Index : Trauma- and Stressor-Related Disorders</t>
  </si>
  <si>
    <t>DSM 5 Symptom Media Individual Video Titles</t>
  </si>
  <si>
    <t>Daily Practice : Trauma Recovery</t>
  </si>
  <si>
    <t>Darkness Is My Only Companion : A Christian Response to Mental Illness</t>
  </si>
  <si>
    <t>Davidson Films, Inc. Videos</t>
  </si>
  <si>
    <t>The Day the Voices Stopped</t>
  </si>
  <si>
    <t>Dealing with Difficult People</t>
  </si>
  <si>
    <t>9780749466947;9780749466947</t>
  </si>
  <si>
    <t>Death Studies</t>
  </si>
  <si>
    <t>Taylor &amp; Francis LLC</t>
  </si>
  <si>
    <t>0748-1187</t>
  </si>
  <si>
    <t>1091-7683</t>
  </si>
  <si>
    <t>Education--Teaching Methods And Curriculum|Gerontology And Geriatrics|Psychology|Sociology</t>
  </si>
  <si>
    <t>Decide : Better Ways of Making Better Decisions</t>
  </si>
  <si>
    <t>9780749466299;9780749466299</t>
  </si>
  <si>
    <t>Decision</t>
  </si>
  <si>
    <t>0304-0941</t>
  </si>
  <si>
    <t>2197-1722</t>
  </si>
  <si>
    <t>Decision Analysis</t>
  </si>
  <si>
    <t>Institute for Operations Research and the Management Sciences</t>
  </si>
  <si>
    <t>1545-8490</t>
  </si>
  <si>
    <t>1545-8504</t>
  </si>
  <si>
    <t>Decision Making and Problem Solving</t>
  </si>
  <si>
    <t>2nd Edition</t>
  </si>
  <si>
    <t>9780749466961;9780749466961</t>
  </si>
  <si>
    <t>Decision Sciences</t>
  </si>
  <si>
    <t>American Institute for Decision Sciences</t>
  </si>
  <si>
    <t>0011-7315</t>
  </si>
  <si>
    <t>1540-5915</t>
  </si>
  <si>
    <t>Decision Support Systems</t>
  </si>
  <si>
    <t>Elsevier Sequoia S.A.</t>
  </si>
  <si>
    <t>0167-9236</t>
  </si>
  <si>
    <t>1873-5797</t>
  </si>
  <si>
    <t>Computers--Automation</t>
  </si>
  <si>
    <t>Deep Play - Exploring the Use of Depth in Psychotherapy With Children</t>
  </si>
  <si>
    <t>Degenerative Neurological and Neuromuscular Disease</t>
  </si>
  <si>
    <t>1179-9900</t>
  </si>
  <si>
    <t>Delivering Home-Based Services</t>
  </si>
  <si>
    <t>The Dementia Diaries</t>
  </si>
  <si>
    <t>Dementia and Geriatric Cognitive Disorders</t>
  </si>
  <si>
    <t>1420-8008</t>
  </si>
  <si>
    <t>1421-9824</t>
  </si>
  <si>
    <t>Dementia and Geriatric Cognitive Disorders Extra</t>
  </si>
  <si>
    <t>1664-5464</t>
  </si>
  <si>
    <t>Gerontology And Geriatrics|Medical Sciences--Psychiatry And Neurology|Pharmacy And Pharmacology</t>
  </si>
  <si>
    <t>Dementia, Culture and Ethnicity : Issues for All</t>
  </si>
  <si>
    <t>Depression Research and Treatment</t>
  </si>
  <si>
    <t>2090-1321</t>
  </si>
  <si>
    <t>2090-133X</t>
  </si>
  <si>
    <t>Depression and Anxiety</t>
  </si>
  <si>
    <t>1091-4269</t>
  </si>
  <si>
    <t>1520-6394</t>
  </si>
  <si>
    <t>Depression, Case 1 : Paul</t>
  </si>
  <si>
    <t>Depression, Case 2 : Natalie</t>
  </si>
  <si>
    <t>Depression, Case 3 : Brian</t>
  </si>
  <si>
    <t>Depression, Case 4 : Kramer</t>
  </si>
  <si>
    <t>Derald Wing Sue's Series on Racism</t>
  </si>
  <si>
    <t>A Description of the Crimes and Horrors in the Interior of Warburton's Private Mad-Houses at Hoxton and Bethnal Green and of These Establishments in General, With Reasons for Their Total Abolition</t>
  </si>
  <si>
    <t>1825</t>
  </si>
  <si>
    <t>Desde el Jardín de Freud</t>
  </si>
  <si>
    <t>Universidad Nacional de Colombia</t>
  </si>
  <si>
    <t>1657-3986</t>
  </si>
  <si>
    <t>2256-5477</t>
  </si>
  <si>
    <t>Developing Excellent Care for People Living With Dementia in Care Homes</t>
  </si>
  <si>
    <t>Development and Learning in Organizations</t>
  </si>
  <si>
    <t>1477-7282</t>
  </si>
  <si>
    <t>1758-6097</t>
  </si>
  <si>
    <t>Development and Psychopathology</t>
  </si>
  <si>
    <t>0954-5794</t>
  </si>
  <si>
    <t>1469-2198</t>
  </si>
  <si>
    <t>Developmental Aspects of Group Counseling</t>
  </si>
  <si>
    <t>Developmental Child Welfare</t>
  </si>
  <si>
    <t>2516-1032</t>
  </si>
  <si>
    <t>2516-1040</t>
  </si>
  <si>
    <t>Developmental Counseling and Therapy</t>
  </si>
  <si>
    <t>Developmental Disabilities Bulletin</t>
  </si>
  <si>
    <t>University of Alberta - The Governors of, Developmental Disabilities Centre</t>
  </si>
  <si>
    <t>1184-0412</t>
  </si>
  <si>
    <t>Developmental Disabilities Special Interest Section Quarterly / American Occupational Therapy Association</t>
  </si>
  <si>
    <t>American Occupational Therapy Association, Inc.</t>
  </si>
  <si>
    <t>1093-7196</t>
  </si>
  <si>
    <t>Education--Special Education And Rehabilitation|Occupational Health And Safety|Psychology</t>
  </si>
  <si>
    <t>Developmental Medicine and Child Neurology</t>
  </si>
  <si>
    <t>Mac Keith Press</t>
  </si>
  <si>
    <t>0012-1622</t>
  </si>
  <si>
    <t>1469-8749</t>
  </si>
  <si>
    <t>Children And Youth - About|Medical Sciences--Pediatrics|Medical Sciences--Psychiatry And Neurology</t>
  </si>
  <si>
    <t>Developmental Neuropsychology</t>
  </si>
  <si>
    <t>8756-5641</t>
  </si>
  <si>
    <t>1532-6942</t>
  </si>
  <si>
    <t>Developmental Neuroscience</t>
  </si>
  <si>
    <t>0378-5866</t>
  </si>
  <si>
    <t>1421-9859</t>
  </si>
  <si>
    <t>Developmental Psychology</t>
  </si>
  <si>
    <t>0012-1649</t>
  </si>
  <si>
    <t>1939-0599</t>
  </si>
  <si>
    <t>Developmental Science</t>
  </si>
  <si>
    <t>1363-755X</t>
  </si>
  <si>
    <t>Developmental Science (Online)</t>
  </si>
  <si>
    <t>1467-7687</t>
  </si>
  <si>
    <t>Deviant Behavior</t>
  </si>
  <si>
    <t>0163-9625</t>
  </si>
  <si>
    <t>1521-0456</t>
  </si>
  <si>
    <t>Criminology And Law Enforcement|Medical Sciences--Psychiatry And Neurology|Psychology|Sociology</t>
  </si>
  <si>
    <t>Diamond Law Training Videos</t>
  </si>
  <si>
    <t>Direct Work With Family Groups : Simple, Fun Ideas to Aid Engagement and Assessment and Enable Positive Change</t>
  </si>
  <si>
    <t>Disability &amp; Society</t>
  </si>
  <si>
    <t>0968-7599</t>
  </si>
  <si>
    <t>1360-0508</t>
  </si>
  <si>
    <t>01-Jan-2001--31-Dec-2001; 01-Jan-2003--31-Dec-2005; 01-Jan-2011--31-Dec-2011</t>
  </si>
  <si>
    <t>Disaster Concepts and Issues : A Guide for Social Work Education and Practice</t>
  </si>
  <si>
    <t>Discourse &amp; Society</t>
  </si>
  <si>
    <t>0957-9265</t>
  </si>
  <si>
    <t>1460-3624</t>
  </si>
  <si>
    <t>Discourse Processes</t>
  </si>
  <si>
    <t>0163-853X</t>
  </si>
  <si>
    <t>1532-6950</t>
  </si>
  <si>
    <t>Discourse Studies</t>
  </si>
  <si>
    <t>1461-4456</t>
  </si>
  <si>
    <t>1461-7080</t>
  </si>
  <si>
    <t>01-Jan-2012--31-Dec-2012; 01-Jan-2014--31-Dec-2014</t>
  </si>
  <si>
    <t>Linguistics|Literature|Psychology</t>
  </si>
  <si>
    <t>Discover Mental Health</t>
  </si>
  <si>
    <t>2731-4383</t>
  </si>
  <si>
    <t>Discover Psychology</t>
  </si>
  <si>
    <t>2731-4537</t>
  </si>
  <si>
    <t>Discovering Your Spiritual Path : Self-Assessments, Exercises and Educational Handouts</t>
  </si>
  <si>
    <t>Distinguished Contributors to Play Therapy Series</t>
  </si>
  <si>
    <t>Diversitas</t>
  </si>
  <si>
    <t>Universidad Santo Tomás de Colombia</t>
  </si>
  <si>
    <t>1794-9998</t>
  </si>
  <si>
    <t>2256-3067</t>
  </si>
  <si>
    <t>Diversity Insight [BLOG]</t>
  </si>
  <si>
    <t>Business And Economics--Labor And Industrial Relations</t>
  </si>
  <si>
    <t>Diversity in Coaching : Working With Gender, Culture, Race and Age</t>
  </si>
  <si>
    <t>2nd edition</t>
  </si>
  <si>
    <t>9780749466626;9780749466626</t>
  </si>
  <si>
    <t>The Divided Self : The Healing of a Nervous Disorder</t>
  </si>
  <si>
    <t>Allen &amp; Unwin</t>
  </si>
  <si>
    <t>Doctor Is In</t>
  </si>
  <si>
    <t>Domestic Violence and Protecting Children : New Thinking and Approaches</t>
  </si>
  <si>
    <t>Don't Think About Monkeys : Extraordinary Stories Written by People With Tourette Syndrome</t>
  </si>
  <si>
    <t>Hope Press</t>
  </si>
  <si>
    <t>Dr. Bessel A. van der Kolk's 24th Annual International Trauma Conference : Psychological Trauma : Neuroscience, Attachment and Therapeutic Interventions</t>
  </si>
  <si>
    <t>The Drama of the Gifted Child : The Search for the True Self</t>
  </si>
  <si>
    <t>Dramatherapy</t>
  </si>
  <si>
    <t>0263-0672</t>
  </si>
  <si>
    <t>2157-1430</t>
  </si>
  <si>
    <t>A Dream Denied : Incarceration, Recidivism, and Young Minority Men in America</t>
  </si>
  <si>
    <t>Drug and Alcohol Dependence</t>
  </si>
  <si>
    <t>0376-8716</t>
  </si>
  <si>
    <t>1879-0046</t>
  </si>
  <si>
    <t>Drug and Alcohol Review</t>
  </si>
  <si>
    <t>0959-5236</t>
  </si>
  <si>
    <t>1465-3362</t>
  </si>
  <si>
    <t>Drug Abuse And Alcoholism|Education</t>
  </si>
  <si>
    <t>Drugs &amp; Aging</t>
  </si>
  <si>
    <t>1170-229X</t>
  </si>
  <si>
    <t>1179-1969</t>
  </si>
  <si>
    <t>Gerontology And Geriatrics|Pharmacy And Pharmacology</t>
  </si>
  <si>
    <t>Drugs and Alcohol Today</t>
  </si>
  <si>
    <t>1745-9265</t>
  </si>
  <si>
    <t>2042-8359</t>
  </si>
  <si>
    <t>01-Jan-2009--31-Dec-2010</t>
  </si>
  <si>
    <t>Drugs; Education, Prevention and Policy</t>
  </si>
  <si>
    <t>0968-7637</t>
  </si>
  <si>
    <t>1465-3370</t>
  </si>
  <si>
    <t>Dusunen Adam</t>
  </si>
  <si>
    <t>Yerkure Tanitim ve Yayincilik Hizmetleri A.S.</t>
  </si>
  <si>
    <t>Trinidad And Tobago</t>
  </si>
  <si>
    <t>1018-8681</t>
  </si>
  <si>
    <t>1309-5749</t>
  </si>
  <si>
    <t>Dynamics of Asymmetric Conflict</t>
  </si>
  <si>
    <t>1746-7586</t>
  </si>
  <si>
    <t>1746-7594</t>
  </si>
  <si>
    <t>Dyslexia</t>
  </si>
  <si>
    <t>1076-9242</t>
  </si>
  <si>
    <t>1099-0909</t>
  </si>
  <si>
    <t>Dyslexia, Case 1 : Anna</t>
  </si>
  <si>
    <t>EURO Journal on Decision Processes</t>
  </si>
  <si>
    <t>2193-9438</t>
  </si>
  <si>
    <t>2193-9446</t>
  </si>
  <si>
    <t>Early Childhood Education Journal</t>
  </si>
  <si>
    <t>1082-3301</t>
  </si>
  <si>
    <t>1573-1707</t>
  </si>
  <si>
    <t>01-Jan-2018--31-Dec-2018</t>
  </si>
  <si>
    <t>Children And Youth - About|Education|Psychology|Social Services And Welfare</t>
  </si>
  <si>
    <t>Early Childhood Research &amp; Practice</t>
  </si>
  <si>
    <t>Loyola University of Chicago</t>
  </si>
  <si>
    <t>1524-5039</t>
  </si>
  <si>
    <t>Children And Youth - About|Education|Psychology</t>
  </si>
  <si>
    <t>Early Education and Development</t>
  </si>
  <si>
    <t>1040-9289</t>
  </si>
  <si>
    <t>1556-6935</t>
  </si>
  <si>
    <t>Early Intervention &amp; School Special Interest Section Quarterly / American Occupational Therapy Association</t>
  </si>
  <si>
    <t>2150-3370</t>
  </si>
  <si>
    <t>Early Years</t>
  </si>
  <si>
    <t>0957-5146</t>
  </si>
  <si>
    <t>1472-4421</t>
  </si>
  <si>
    <t>Pharmacy And Pharmacology</t>
  </si>
  <si>
    <t>East Asian Archives of Psychiatry</t>
  </si>
  <si>
    <t>Hong Kong Academy of Medicine</t>
  </si>
  <si>
    <t>China</t>
  </si>
  <si>
    <t>2078-9947</t>
  </si>
  <si>
    <t>2224-7041</t>
  </si>
  <si>
    <t>Eating Disorder Assessment Series</t>
  </si>
  <si>
    <t>Eating Disorders : the Journal of Treatment &amp; Prevention</t>
  </si>
  <si>
    <t>1064-0266</t>
  </si>
  <si>
    <t>Eating and Weight Disorders</t>
  </si>
  <si>
    <t>1124-4909</t>
  </si>
  <si>
    <t>1590-1262</t>
  </si>
  <si>
    <t>Medical Sciences--Psychiatry And Neurology|Nutrition And Dietetics|Psychology</t>
  </si>
  <si>
    <t>Ecological Psychology</t>
  </si>
  <si>
    <t>1040-7413</t>
  </si>
  <si>
    <t>1532-6969</t>
  </si>
  <si>
    <t>Conservation|Psychology</t>
  </si>
  <si>
    <t>Edmetic</t>
  </si>
  <si>
    <t>University of Cordoba</t>
  </si>
  <si>
    <t>2254-0059</t>
  </si>
  <si>
    <t>Communications|Education</t>
  </si>
  <si>
    <t>Education &amp; Training</t>
  </si>
  <si>
    <t>0040-0912</t>
  </si>
  <si>
    <t>1758-6127</t>
  </si>
  <si>
    <t>Education|Technology: Comprehensive Works</t>
  </si>
  <si>
    <t>Education &amp; Treatment of Children</t>
  </si>
  <si>
    <t>0748-8491</t>
  </si>
  <si>
    <t>1934-8924</t>
  </si>
  <si>
    <t>Educational Assessment</t>
  </si>
  <si>
    <t>1062-7197</t>
  </si>
  <si>
    <t>1532-6977</t>
  </si>
  <si>
    <t>Educational Assessment, Evaluation and Accountability</t>
  </si>
  <si>
    <t>1874-8597</t>
  </si>
  <si>
    <t>1874-8600</t>
  </si>
  <si>
    <t>Business And Economics--Management|Business And Economics--Personnel Management|Education</t>
  </si>
  <si>
    <t>Educational Evaluation and Policy Analysis</t>
  </si>
  <si>
    <t>0162-3737</t>
  </si>
  <si>
    <t>1935-1062</t>
  </si>
  <si>
    <t>01-Jan-1987--31-Dec-1987; 01-Jan-2000--31-Dec-2000</t>
  </si>
  <si>
    <t>Education|Public Administration</t>
  </si>
  <si>
    <t>Educational Gerontology</t>
  </si>
  <si>
    <t>0360-1277</t>
  </si>
  <si>
    <t>1521-0472</t>
  </si>
  <si>
    <t>Education--Adult Education|Gerontology And Geriatrics</t>
  </si>
  <si>
    <t>Educational Measurement, Issues and Practice</t>
  </si>
  <si>
    <t>0731-1745</t>
  </si>
  <si>
    <t>1745-3992</t>
  </si>
  <si>
    <t>Educational Psychologist</t>
  </si>
  <si>
    <t>0046-1520</t>
  </si>
  <si>
    <t>1532-6985</t>
  </si>
  <si>
    <t>Educational Psychology</t>
  </si>
  <si>
    <t>0144-3410</t>
  </si>
  <si>
    <t>1469-5820</t>
  </si>
  <si>
    <t>Educational Psychology Review</t>
  </si>
  <si>
    <t>1040-726X</t>
  </si>
  <si>
    <t>1573-336X</t>
  </si>
  <si>
    <t>Educational Psychology in Practice</t>
  </si>
  <si>
    <t>0266-7363</t>
  </si>
  <si>
    <t>1469-5839</t>
  </si>
  <si>
    <t>Educational Researcher</t>
  </si>
  <si>
    <t>0013-189X</t>
  </si>
  <si>
    <t>1935-102X</t>
  </si>
  <si>
    <t>Educational Review</t>
  </si>
  <si>
    <t>0013-1911</t>
  </si>
  <si>
    <t>1465-3397</t>
  </si>
  <si>
    <t>Educational Studies</t>
  </si>
  <si>
    <t>0305-5698</t>
  </si>
  <si>
    <t>1465-3400</t>
  </si>
  <si>
    <t>0013-1946</t>
  </si>
  <si>
    <t>1532-6993</t>
  </si>
  <si>
    <t>1042-1629</t>
  </si>
  <si>
    <t>1556-6501</t>
  </si>
  <si>
    <t>Communications|Education|Motion Pictures</t>
  </si>
  <si>
    <t>Educational Video Center Videos</t>
  </si>
  <si>
    <t>The Educational and Developmental Psychologist</t>
  </si>
  <si>
    <t>2059-0776</t>
  </si>
  <si>
    <t>2059-0784</t>
  </si>
  <si>
    <t>Educational and Psychological Measurement</t>
  </si>
  <si>
    <t>0013-1644</t>
  </si>
  <si>
    <t>1552-3888</t>
  </si>
  <si>
    <t>The Egyptian Journal of Neurology, Psychiatry, and Neurosurgery</t>
  </si>
  <si>
    <t>1110-1083</t>
  </si>
  <si>
    <t>1687-8329</t>
  </si>
  <si>
    <t>Elementary School Guidance and Counseling</t>
  </si>
  <si>
    <t>0013-5976</t>
  </si>
  <si>
    <t>The Elementary School Journal</t>
  </si>
  <si>
    <t>0013-5984</t>
  </si>
  <si>
    <t>1554-8279</t>
  </si>
  <si>
    <t>Emerging Adulthood</t>
  </si>
  <si>
    <t>2167-6968</t>
  </si>
  <si>
    <t>2167-6984</t>
  </si>
  <si>
    <t>Emerging Practice in Focusing-Oriented Psychotherapy</t>
  </si>
  <si>
    <t>Emotion Revolution : Harnessing the Power of Mind, Body, and Soul</t>
  </si>
  <si>
    <t>Psychotherapy Networker, Inc.</t>
  </si>
  <si>
    <t>Emotional Intelligence : the New Rules</t>
  </si>
  <si>
    <t>Marshall Cavendish International (Asia) Pte Ltd</t>
  </si>
  <si>
    <t>Singapore</t>
  </si>
  <si>
    <t>9781905736294;9781905736294</t>
  </si>
  <si>
    <t>Emotional and Behavioural Difficulties</t>
  </si>
  <si>
    <t>1363-2752</t>
  </si>
  <si>
    <t>Employee Benefits and Wellness Excellence Essentials</t>
  </si>
  <si>
    <t>HR.COM</t>
  </si>
  <si>
    <t>Employee Engagement</t>
  </si>
  <si>
    <t>9780749472016;9780749472016</t>
  </si>
  <si>
    <t>Employee Relations</t>
  </si>
  <si>
    <t>0142-5455</t>
  </si>
  <si>
    <t>1758-7069</t>
  </si>
  <si>
    <t>Employee Responsibilities and Rights Journal</t>
  </si>
  <si>
    <t>0892-7545</t>
  </si>
  <si>
    <t>1573-3378</t>
  </si>
  <si>
    <t>Empowering Therapeutic Practice : Integrating Psychodrama Into Other Therapies</t>
  </si>
  <si>
    <t>Encounter</t>
  </si>
  <si>
    <t>Christian Theological Seminary</t>
  </si>
  <si>
    <t>0013-7081</t>
  </si>
  <si>
    <t>Religions And Theology</t>
  </si>
  <si>
    <t>Encyclopedia of Applied Developmental Science, vol. 1</t>
  </si>
  <si>
    <t>Encyclopedias &amp; Reference Works</t>
  </si>
  <si>
    <t>Encyclopedia of Applied Developmental Science, vol. 2</t>
  </si>
  <si>
    <t>Encyclopedia of Behavior Modification and Cognitive Behavior Therapy, vol. 1 : Adult Clinical Applications</t>
  </si>
  <si>
    <t>Encyclopedia of Behavior Modification and Cognitive Behavior Therapy, vol. 2 : Child Clinical Applications</t>
  </si>
  <si>
    <t>Encyclopedia of Behavior Modification and Cognitive Behavior Therapy, vol. 3 : Educational Applications</t>
  </si>
  <si>
    <t>Encyclopedia of Health &amp; Behavior, vol. 1</t>
  </si>
  <si>
    <t>Encyclopedia of Health &amp; Behavior, vol. 2</t>
  </si>
  <si>
    <t>Encyclopedia of Human Development, vol. 1</t>
  </si>
  <si>
    <t>Encyclopedia of Human Development, vol. 2</t>
  </si>
  <si>
    <t>Encyclopedia of Human Development, vol. 3</t>
  </si>
  <si>
    <t>Encyclopedia of School Psychology</t>
  </si>
  <si>
    <t>End of Life Care for People With Dementia : A Person-Centered Approach</t>
  </si>
  <si>
    <t>Engaging With Perpetrators of Domestic Violence</t>
  </si>
  <si>
    <t>Enhancing Organizational Performance Through Strategic Initiatives : Handbook of Management Cases</t>
  </si>
  <si>
    <t>Institute of Management Education</t>
  </si>
  <si>
    <t>0230328237;0230328237</t>
  </si>
  <si>
    <t>The Enlightened Organization : Executive Tools and Techniques From the world of Organizational Psychology</t>
  </si>
  <si>
    <t>9780749470272;9780749470272</t>
  </si>
  <si>
    <t>Business And Economics--Personnel Management|Psychology</t>
  </si>
  <si>
    <t>The Enneagram Journal</t>
  </si>
  <si>
    <t>International Enneagram Association</t>
  </si>
  <si>
    <t>Entomologia Experimentalis et Applicata</t>
  </si>
  <si>
    <t>0013-8703</t>
  </si>
  <si>
    <t>1570-7458</t>
  </si>
  <si>
    <t>Biology--Entomology</t>
  </si>
  <si>
    <t>Environment and Behavior</t>
  </si>
  <si>
    <t>0013-9165</t>
  </si>
  <si>
    <t>1552-390X</t>
  </si>
  <si>
    <t>Epidemiology and Community Health</t>
  </si>
  <si>
    <t>0142-467X</t>
  </si>
  <si>
    <t>Epidemiology and Psychiatric Sciences</t>
  </si>
  <si>
    <t>2045-7960</t>
  </si>
  <si>
    <t>2045-7979</t>
  </si>
  <si>
    <t>English|Italian</t>
  </si>
  <si>
    <t>Medical Sciences--Psychiatry And Neurology|Public Health And Safety</t>
  </si>
  <si>
    <t>Epilepsia</t>
  </si>
  <si>
    <t>0013-9580</t>
  </si>
  <si>
    <t>1528-1167</t>
  </si>
  <si>
    <t>Epilepsy Research and Treatment</t>
  </si>
  <si>
    <t>2090-1348</t>
  </si>
  <si>
    <t>2090-1356</t>
  </si>
  <si>
    <t>Episteme</t>
  </si>
  <si>
    <t>1742-3600</t>
  </si>
  <si>
    <t>1750-0117</t>
  </si>
  <si>
    <t>Eradicating Child Maltreatment : Evidence-Based Approaches to Prevention and Intervention Across Services</t>
  </si>
  <si>
    <t>Erasing the Stigma of Mental Health Issues Through Awareness</t>
  </si>
  <si>
    <t>Erdelyi Pszichologiai Szemle = Transylvanian Journal of Psychology</t>
  </si>
  <si>
    <t>Babes-Bolyai University, Department of Applied Psychology</t>
  </si>
  <si>
    <t>1454-797X</t>
  </si>
  <si>
    <t>2286-0525</t>
  </si>
  <si>
    <t>English|Hungarian</t>
  </si>
  <si>
    <t>Ergonomics</t>
  </si>
  <si>
    <t>0014-0139</t>
  </si>
  <si>
    <t>1366-5847</t>
  </si>
  <si>
    <t>Engineering|Psychology</t>
  </si>
  <si>
    <t>Ergonomics in Design</t>
  </si>
  <si>
    <t>Human Factors and Ergonomics Society</t>
  </si>
  <si>
    <t>1064-8046</t>
  </si>
  <si>
    <t>2169-5083</t>
  </si>
  <si>
    <t>Escape to Prison : Penal Tourism and the Pull of Punishment</t>
  </si>
  <si>
    <t>Essence</t>
  </si>
  <si>
    <t>Essence Communications, Inc.</t>
  </si>
  <si>
    <t>0014-0880</t>
  </si>
  <si>
    <t>African American/Caribbean/African|Ethnic Interests|Women's Interests</t>
  </si>
  <si>
    <t>The Essential Work Skills Workbook for Jobs, Community and Home</t>
  </si>
  <si>
    <t>Ethical Human Psychology and Psychiatry</t>
  </si>
  <si>
    <t>1559-4343</t>
  </si>
  <si>
    <t>1938-9000</t>
  </si>
  <si>
    <t>Medical Sciences--Psychiatry And Neurology|Social Services And Welfare</t>
  </si>
  <si>
    <t>Ethics &amp; Behavior</t>
  </si>
  <si>
    <t>1050-8422</t>
  </si>
  <si>
    <t>1532-7019</t>
  </si>
  <si>
    <t>Ethics &amp; Human Research</t>
  </si>
  <si>
    <t>The Hastings Center</t>
  </si>
  <si>
    <t>2578-2355</t>
  </si>
  <si>
    <t>2578-2363</t>
  </si>
  <si>
    <t>Medical Sciences--Experimental Medicine, Laboratory Technique</t>
  </si>
  <si>
    <t>Ethics &amp; Social Welfare</t>
  </si>
  <si>
    <t>1749-6535</t>
  </si>
  <si>
    <t>1749-6543</t>
  </si>
  <si>
    <t>Ethnicity and Health</t>
  </si>
  <si>
    <t>1355-7858</t>
  </si>
  <si>
    <t>1465-3419</t>
  </si>
  <si>
    <t>Ethnic Interests|Public Health And Safety</t>
  </si>
  <si>
    <t>Ethology</t>
  </si>
  <si>
    <t>0179-1613</t>
  </si>
  <si>
    <t>1439-0310</t>
  </si>
  <si>
    <t>Agriculture--Poultry And Livestock|Biology--Zoology|Psychology</t>
  </si>
  <si>
    <t>Ethos</t>
  </si>
  <si>
    <t>0091-2131</t>
  </si>
  <si>
    <t>1548-1352</t>
  </si>
  <si>
    <t>Europe's Journal of Psychology</t>
  </si>
  <si>
    <t>1841-0413</t>
  </si>
  <si>
    <t>European Addiction Research</t>
  </si>
  <si>
    <t>1022-6877</t>
  </si>
  <si>
    <t>1421-9891</t>
  </si>
  <si>
    <t>European Archives of Psychiatry and Clinical Neuroscience</t>
  </si>
  <si>
    <t>0940-1334</t>
  </si>
  <si>
    <t>1433-8491</t>
  </si>
  <si>
    <t>European Child &amp; Adolescent Psychiatry</t>
  </si>
  <si>
    <t>1018-8827</t>
  </si>
  <si>
    <t>1435-165X</t>
  </si>
  <si>
    <t>European Eating Disorders Review</t>
  </si>
  <si>
    <t>1072-4133</t>
  </si>
  <si>
    <t>1099-0968</t>
  </si>
  <si>
    <t>Medical Sciences--Psychiatry And Neurology|Nutrition And Dietetics</t>
  </si>
  <si>
    <t>European Journal of Communication</t>
  </si>
  <si>
    <t>0267-3231</t>
  </si>
  <si>
    <t>1460-3705</t>
  </si>
  <si>
    <t>The European Journal of Counselling Psychology</t>
  </si>
  <si>
    <t>European Journal of Counselling Psychology (EJCP)</t>
  </si>
  <si>
    <t>2195-7614</t>
  </si>
  <si>
    <t>European Journal of Criminology</t>
  </si>
  <si>
    <t>1477-3708</t>
  </si>
  <si>
    <t>1741-2609</t>
  </si>
  <si>
    <t>European Journal of Developmental Psychology</t>
  </si>
  <si>
    <t>1740-5629</t>
  </si>
  <si>
    <t>1740-5610</t>
  </si>
  <si>
    <t>European Journal of Investigation in Health, Psychology and Education</t>
  </si>
  <si>
    <t>2174-8144</t>
  </si>
  <si>
    <t>2254-9625</t>
  </si>
  <si>
    <t>Education|Medical Sciences|Psychology</t>
  </si>
  <si>
    <t>European Journal of Marketing</t>
  </si>
  <si>
    <t>0309-0566</t>
  </si>
  <si>
    <t>1758-7123</t>
  </si>
  <si>
    <t>Business And Economics--Marketing And Purchasing</t>
  </si>
  <si>
    <t>European Journal of Mental Health</t>
  </si>
  <si>
    <t>Semmelweis University Faculty of Health and Public Service, Institute of Mental Health</t>
  </si>
  <si>
    <t>Hungary</t>
  </si>
  <si>
    <t>1788-4934</t>
  </si>
  <si>
    <t>1788-7119</t>
  </si>
  <si>
    <t>European Journal of Neuroscience</t>
  </si>
  <si>
    <t>0953-816X</t>
  </si>
  <si>
    <t>1460-9568</t>
  </si>
  <si>
    <t>01-Feb-2001--31-Dec-2016; 01-Jan-2015--31-Dec-2016</t>
  </si>
  <si>
    <t>Biology--Biochemistry|Medical Sciences--Psychiatry And Neurology</t>
  </si>
  <si>
    <t>European Journal of Personality</t>
  </si>
  <si>
    <t>0890-2070</t>
  </si>
  <si>
    <t>1099-0984</t>
  </si>
  <si>
    <t>European Journal of Psychology &amp; Educational Studies</t>
  </si>
  <si>
    <t>Medknow Publications &amp; Media Pvt. Ltd.</t>
  </si>
  <si>
    <t>2395-2555</t>
  </si>
  <si>
    <t>The European Journal of Psychology Applied to Legal Context</t>
  </si>
  <si>
    <t>Sociedad Española de Psicología Jurídica y Forense</t>
  </si>
  <si>
    <t>1889-1861</t>
  </si>
  <si>
    <t>1989-4007</t>
  </si>
  <si>
    <t>Colegio Oficial de Psicólogos (PSICODOC)</t>
  </si>
  <si>
    <t>European Journal of Psychology of Education</t>
  </si>
  <si>
    <t>0256-2928</t>
  </si>
  <si>
    <t>1878-5174</t>
  </si>
  <si>
    <t>European Journal of Psychotherapy &amp; Counselling</t>
  </si>
  <si>
    <t>1364-2537</t>
  </si>
  <si>
    <t>1469-5901</t>
  </si>
  <si>
    <t>European Journal of Psychotraumatology</t>
  </si>
  <si>
    <t>2000-8066</t>
  </si>
  <si>
    <t>European Journal of Public Health</t>
  </si>
  <si>
    <t>1101-1262</t>
  </si>
  <si>
    <t>1464-360X</t>
  </si>
  <si>
    <t>The European Journal of Social &amp; Behavioural Sciences</t>
  </si>
  <si>
    <t>European Publisher</t>
  </si>
  <si>
    <t>Cyprus</t>
  </si>
  <si>
    <t>2301-2218</t>
  </si>
  <si>
    <t>European Journal of Social Psychology</t>
  </si>
  <si>
    <t>0046-2772</t>
  </si>
  <si>
    <t>1099-0992</t>
  </si>
  <si>
    <t>European Journal of Training and Development</t>
  </si>
  <si>
    <t>2046-9012</t>
  </si>
  <si>
    <t>2046-9020</t>
  </si>
  <si>
    <t>European Journal of Work and Organizational Psychology</t>
  </si>
  <si>
    <t>1359-432X</t>
  </si>
  <si>
    <t>1464-0643</t>
  </si>
  <si>
    <t>European Neurology</t>
  </si>
  <si>
    <t>0014-3022</t>
  </si>
  <si>
    <t>1421-9913</t>
  </si>
  <si>
    <t>European Psychiatry</t>
  </si>
  <si>
    <t>0924-9338</t>
  </si>
  <si>
    <t>1778-3585</t>
  </si>
  <si>
    <t>European Review of Social Psychology</t>
  </si>
  <si>
    <t>1046-3283</t>
  </si>
  <si>
    <t>1479-277X</t>
  </si>
  <si>
    <t>Evaluation &amp; the Health Professions</t>
  </si>
  <si>
    <t>0163-2787</t>
  </si>
  <si>
    <t>1552-3918</t>
  </si>
  <si>
    <t>Evaluation Review</t>
  </si>
  <si>
    <t>0193-841X</t>
  </si>
  <si>
    <t>1552-3926</t>
  </si>
  <si>
    <t>Every Day Gets a Little Closer : A Twice-Told Therapy</t>
  </si>
  <si>
    <t>Everyday Illegal : When Policies Undermine Immigrant Families</t>
  </si>
  <si>
    <t>Everyday Psychophilosophy [BLOG]</t>
  </si>
  <si>
    <t>Evidence - Based Complementary and Alternative Medicine</t>
  </si>
  <si>
    <t>1741-427X</t>
  </si>
  <si>
    <t>1741-4288</t>
  </si>
  <si>
    <t>Alternative Medicine</t>
  </si>
  <si>
    <t>Evidence - Based HRM</t>
  </si>
  <si>
    <t>2049-3983</t>
  </si>
  <si>
    <t>2049-3991</t>
  </si>
  <si>
    <t>Evidence - Based Protocols for Managing Wandering Behaviors</t>
  </si>
  <si>
    <t>9780826163653;9780826163653</t>
  </si>
  <si>
    <t>Evolution of Psychotherapy</t>
  </si>
  <si>
    <t>Evolutionary Behavioral Sciences</t>
  </si>
  <si>
    <t>2330-2925</t>
  </si>
  <si>
    <t>2330-2933</t>
  </si>
  <si>
    <t>Evolutionary Psychology</t>
  </si>
  <si>
    <t>1474-7049</t>
  </si>
  <si>
    <t>01-Jan-2014--31-Dec-2015</t>
  </si>
  <si>
    <t>An Evolutionary Psychology of Sleep and Dreams</t>
  </si>
  <si>
    <t>Exceptional Children</t>
  </si>
  <si>
    <t>0014-4029</t>
  </si>
  <si>
    <t>2163-5560</t>
  </si>
  <si>
    <t>01-Jan-1936--31-Dec-1936; 01-Jan-1967--31-Dec-1970; 01-Jan-1975--31-Dec-1983; 01-Jan-1985--31-Dec-1988</t>
  </si>
  <si>
    <t>Exceptionality</t>
  </si>
  <si>
    <t>0936-2835</t>
  </si>
  <si>
    <t>1532-7035</t>
  </si>
  <si>
    <t>Exceptionality Education International</t>
  </si>
  <si>
    <t>Western University, Canada</t>
  </si>
  <si>
    <t>1918-5227</t>
  </si>
  <si>
    <t>01-Jan-2013--31-Dec-2013</t>
  </si>
  <si>
    <t>Existential, Cognitive-Behavioral, Strategic Psychotherapy Collection by Dr. Wes Crenshaw</t>
  </si>
  <si>
    <t>The Experience of Living in Cities</t>
  </si>
  <si>
    <t>Experimental Aging Research</t>
  </si>
  <si>
    <t>0361-073X</t>
  </si>
  <si>
    <t>1096-4657</t>
  </si>
  <si>
    <t>Experimental Brain Research</t>
  </si>
  <si>
    <t>0014-4819</t>
  </si>
  <si>
    <t>1432-1106</t>
  </si>
  <si>
    <t>Experimental Design and Analysis for Psychology</t>
  </si>
  <si>
    <t>Expert Review of Neurotherapeutics</t>
  </si>
  <si>
    <t>Informa Healthcare</t>
  </si>
  <si>
    <t>1473-7175</t>
  </si>
  <si>
    <t>1744-8360</t>
  </si>
  <si>
    <t>Expressive Media Inc. Videos</t>
  </si>
  <si>
    <t>Eye and Brain</t>
  </si>
  <si>
    <t>1179-2744</t>
  </si>
  <si>
    <t>Medical Sciences--Ophthalmology And Optometry|Medical Sciences--Psychiatry And Neurology</t>
  </si>
  <si>
    <t>The Eye of the Storm</t>
  </si>
  <si>
    <t>FBI Law Enforcement Bulletin</t>
  </si>
  <si>
    <t>United States. Federal Bureau of Investigation</t>
  </si>
  <si>
    <t>0014-5688</t>
  </si>
  <si>
    <t>1937-4674</t>
  </si>
  <si>
    <t>Facilitating Spiritual Reminiscence for Older People With Dementia : A Learning Guide</t>
  </si>
  <si>
    <t>Families in Society</t>
  </si>
  <si>
    <t>1044-3894</t>
  </si>
  <si>
    <t>1945-1350</t>
  </si>
  <si>
    <t>Social Services And Welfare|Sociology</t>
  </si>
  <si>
    <t>Families, Systems &amp; Health</t>
  </si>
  <si>
    <t>1091-7527</t>
  </si>
  <si>
    <t>1939-0602</t>
  </si>
  <si>
    <t>Family Breakup and Survival</t>
  </si>
  <si>
    <t>Family Court Review</t>
  </si>
  <si>
    <t>1531-2445</t>
  </si>
  <si>
    <t>1744-1617</t>
  </si>
  <si>
    <t>Law|Law--Family And Matrimonial Law</t>
  </si>
  <si>
    <t>Family Journal</t>
  </si>
  <si>
    <t>1066-4807</t>
  </si>
  <si>
    <t>1552-3950</t>
  </si>
  <si>
    <t>Matrimony|Psychology|Social Services And Welfare|Sociology</t>
  </si>
  <si>
    <t>Family Practice</t>
  </si>
  <si>
    <t>0263-2136</t>
  </si>
  <si>
    <t>1460-2229</t>
  </si>
  <si>
    <t>Family Process</t>
  </si>
  <si>
    <t>0014-7370</t>
  </si>
  <si>
    <t>1545-5300</t>
  </si>
  <si>
    <t>Family Relations</t>
  </si>
  <si>
    <t>National Council on Family Relations</t>
  </si>
  <si>
    <t>0197-6664</t>
  </si>
  <si>
    <t>Family Therapy</t>
  </si>
  <si>
    <t>0091-6544</t>
  </si>
  <si>
    <t>Family and Community Health</t>
  </si>
  <si>
    <t>0160-6379</t>
  </si>
  <si>
    <t>1550-5057</t>
  </si>
  <si>
    <t>Family and Social Change : The Household as a Process in an Industrializing Community</t>
  </si>
  <si>
    <t>History--History Of Europe|Psychology|Social Sciences: Comprehensive Works</t>
  </si>
  <si>
    <t>Family and Social Change Series</t>
  </si>
  <si>
    <t>Fathering</t>
  </si>
  <si>
    <t>Men's Studies Press</t>
  </si>
  <si>
    <t>1537-6680</t>
  </si>
  <si>
    <t>1933-026X</t>
  </si>
  <si>
    <t>Children And Youth - About|Sociology</t>
  </si>
  <si>
    <t>Federal Probation</t>
  </si>
  <si>
    <t>Administrative Office of the United States Courts</t>
  </si>
  <si>
    <t>0014-9128</t>
  </si>
  <si>
    <t>1555-0303</t>
  </si>
  <si>
    <t>Feminism &amp; Psychology</t>
  </si>
  <si>
    <t>0959-3535</t>
  </si>
  <si>
    <t>1461-7161</t>
  </si>
  <si>
    <t>Psychology|Women's Interests|Women's Studies</t>
  </si>
  <si>
    <t>Feminist Anthropology</t>
  </si>
  <si>
    <t>2643-7961</t>
  </si>
  <si>
    <t>Feminist Criminology</t>
  </si>
  <si>
    <t>1557-0851</t>
  </si>
  <si>
    <t>1557-086X</t>
  </si>
  <si>
    <t>Criminology And Law Enforcement|Women's Studies</t>
  </si>
  <si>
    <t>Feminist Studies</t>
  </si>
  <si>
    <t>0046-3663</t>
  </si>
  <si>
    <t>01-Jan-1977--31-Dec-1977</t>
  </si>
  <si>
    <t>Philosophy|Political Science--Civil Rights|Women's Interests</t>
  </si>
  <si>
    <t>First and Final Nightmare of Sonia Reich : A Son's Memoir</t>
  </si>
  <si>
    <t>Five Months in a Mad-House; an Actual Experience, by an Inmate</t>
  </si>
  <si>
    <t>The Flock : The Autobiography of a Multiple Personality</t>
  </si>
  <si>
    <t>Focus on Autism and Other Developmental Disabilities</t>
  </si>
  <si>
    <t>1088-3576</t>
  </si>
  <si>
    <t>1538-4829</t>
  </si>
  <si>
    <t>Children And Youth - About|Medical Sciences--Psychiatry And Neurology|Psychology</t>
  </si>
  <si>
    <t>Focus on Exceptional Children</t>
  </si>
  <si>
    <t>0015-511X</t>
  </si>
  <si>
    <t>Folia Phoniatrica et Logopaedica</t>
  </si>
  <si>
    <t>1021-7762</t>
  </si>
  <si>
    <t>1421-9972</t>
  </si>
  <si>
    <t>Medical Sciences|Medical Sciences--Otorhinolaryngology|Medical Sciences--Psychiatry And Neurology</t>
  </si>
  <si>
    <t>Folia Primatologica</t>
  </si>
  <si>
    <t>0015-5713</t>
  </si>
  <si>
    <t>1421-9980</t>
  </si>
  <si>
    <t>Forensic Examiner</t>
  </si>
  <si>
    <t>American College of Forensic Examiners</t>
  </si>
  <si>
    <t>1084-5569</t>
  </si>
  <si>
    <t>Medical Sciences--Forensic Sciences</t>
  </si>
  <si>
    <t>Forensische Psychiatrie, Psychologie, Kriminologie</t>
  </si>
  <si>
    <t>1862-7072</t>
  </si>
  <si>
    <t>1862-7080</t>
  </si>
  <si>
    <t>German</t>
  </si>
  <si>
    <t>Criminology And Law Enforcement|Medical Sciences--Psychiatry And Neurology|Psychology</t>
  </si>
  <si>
    <t>The Forgiveness Project : Stories for a Vengeful Age</t>
  </si>
  <si>
    <t>The Forgotten Room : Inside a Public Alternative School for At-Risk Youth</t>
  </si>
  <si>
    <t>Fortean Times</t>
  </si>
  <si>
    <t>Diamond Publishing Ltd.</t>
  </si>
  <si>
    <t>0308-5899</t>
  </si>
  <si>
    <t>Parapsychology And Occultism|Sciences: Comprehensive Works</t>
  </si>
  <si>
    <t>Forum der Psychoanalyse</t>
  </si>
  <si>
    <t>0178-7667</t>
  </si>
  <si>
    <t>1437-0751</t>
  </si>
  <si>
    <t>Forum for Social Economics</t>
  </si>
  <si>
    <t>0736-0932</t>
  </si>
  <si>
    <t>1874-6381</t>
  </si>
  <si>
    <t>Business And Economics--Economic Systems And Theories, Economic History</t>
  </si>
  <si>
    <t>Forward Film Production Videos</t>
  </si>
  <si>
    <t>Foundation University Journal of Psychology</t>
  </si>
  <si>
    <t>Foundation University</t>
  </si>
  <si>
    <t>2519-710X</t>
  </si>
  <si>
    <t>2520-4343</t>
  </si>
  <si>
    <t>Founders &amp; Foundations : Art Therapy in America</t>
  </si>
  <si>
    <t>From Exclusion to Reciprocity : Learning From Success</t>
  </si>
  <si>
    <t>From Perception to Consciousness : Searching With Anne Treisman</t>
  </si>
  <si>
    <t>From Privileges to Rights : People With Psychiatric Disabilities Speak for Themselves</t>
  </si>
  <si>
    <t>United States Government Publishing Office</t>
  </si>
  <si>
    <t>From Under the Cloud; Or, Personal Reminiscences of Insanity</t>
  </si>
  <si>
    <t>1891</t>
  </si>
  <si>
    <t>Frontiers in Behavioral Neuroscience</t>
  </si>
  <si>
    <t>Frontiers Research Foundation</t>
  </si>
  <si>
    <t>1662-5153</t>
  </si>
  <si>
    <t>Functional Neurology</t>
  </si>
  <si>
    <t>CIC Edizioni Internazionali</t>
  </si>
  <si>
    <t>0393-5264</t>
  </si>
  <si>
    <t>1971-3274</t>
  </si>
  <si>
    <t>Functional Neurology, Rehabilitation, and Ergonomics</t>
  </si>
  <si>
    <t>2156-941X</t>
  </si>
  <si>
    <t>2374-0566</t>
  </si>
  <si>
    <t>The Future of Children</t>
  </si>
  <si>
    <t>Princeton University</t>
  </si>
  <si>
    <t>1054-8289</t>
  </si>
  <si>
    <t>1550-1558</t>
  </si>
  <si>
    <t>Children And Youth - About|Public Health And Safety|Social Services And Welfare</t>
  </si>
  <si>
    <t>Games and Economic Behavior</t>
  </si>
  <si>
    <t>0899-8256</t>
  </si>
  <si>
    <t>1090-2473</t>
  </si>
  <si>
    <t>Mathematics--Computer Applications|Psychology</t>
  </si>
  <si>
    <t>Gay Men and Substance Abuse</t>
  </si>
  <si>
    <t>Homosexuality|Medical Sciences</t>
  </si>
  <si>
    <t>Gay and Lesbian Issues and Psychology Review</t>
  </si>
  <si>
    <t>The Australian Psychological Society Limited</t>
  </si>
  <si>
    <t>1833-4512</t>
  </si>
  <si>
    <t>Gender</t>
  </si>
  <si>
    <t>Verlag Barbara Budrich</t>
  </si>
  <si>
    <t>Germany</t>
  </si>
  <si>
    <t>1868-7245</t>
  </si>
  <si>
    <t>2193-1534</t>
  </si>
  <si>
    <t>Women's Studies</t>
  </si>
  <si>
    <t>Gender &amp; Behaviour</t>
  </si>
  <si>
    <t>IFE Centre for Psychological Studies</t>
  </si>
  <si>
    <t>Nigeria</t>
  </si>
  <si>
    <t>1596-9231</t>
  </si>
  <si>
    <t>Gender &amp; Society</t>
  </si>
  <si>
    <t>0891-2432</t>
  </si>
  <si>
    <t>1552-3977</t>
  </si>
  <si>
    <t>Men's Studies|Sociology|Women's Interests|Women's Studies</t>
  </si>
  <si>
    <t>Gender Oppression and Globalization : Challenges for Social Work</t>
  </si>
  <si>
    <t>Gender and Development</t>
  </si>
  <si>
    <t>1355-2074</t>
  </si>
  <si>
    <t>1364-9221</t>
  </si>
  <si>
    <t>Business And Economics--International Development And Assistance|Social Sciences: Comprehensive Works|Women's Studies</t>
  </si>
  <si>
    <t>Gender, Work and Organization</t>
  </si>
  <si>
    <t>0968-6673</t>
  </si>
  <si>
    <t>1468-0432</t>
  </si>
  <si>
    <t>Business And Economics--Management|Sociology|Women's Studies</t>
  </si>
  <si>
    <t>Gender-Based Perspectives on Batterer Programs : Program Leaders on History, Approach, Research, and Development</t>
  </si>
  <si>
    <t>General Psychiatry</t>
  </si>
  <si>
    <t>2096-5923</t>
  </si>
  <si>
    <t>2517-729X</t>
  </si>
  <si>
    <t>Generations Today</t>
  </si>
  <si>
    <t>American Society on Aging</t>
  </si>
  <si>
    <t>2694-5207</t>
  </si>
  <si>
    <t>Genes, Brain, and Behavior</t>
  </si>
  <si>
    <t>1601-1848</t>
  </si>
  <si>
    <t>1601-183X</t>
  </si>
  <si>
    <t>Biology--Genetics|Medical Sciences--Psychiatry And Neurology|Sociology</t>
  </si>
  <si>
    <t>Genetic Counseling</t>
  </si>
  <si>
    <t>1015-8146</t>
  </si>
  <si>
    <t>Biology--Genetics</t>
  </si>
  <si>
    <t>Genetic, Social, and General Psychology Monographs</t>
  </si>
  <si>
    <t>Kirkpatrick Jordon Foundation</t>
  </si>
  <si>
    <t>8756-7547</t>
  </si>
  <si>
    <t>1940-5286</t>
  </si>
  <si>
    <t>George Fox: An Autobiography, Vol. 1</t>
  </si>
  <si>
    <t>George Fox: An Autobiography, Vol. 2</t>
  </si>
  <si>
    <t>The Gerontologist</t>
  </si>
  <si>
    <t>0016-9013</t>
  </si>
  <si>
    <t>1758-5341</t>
  </si>
  <si>
    <t>Gerontology And Geriatrics|Medical Sciences</t>
  </si>
  <si>
    <t>Gerontology</t>
  </si>
  <si>
    <t>0304-324X</t>
  </si>
  <si>
    <t>1423-0003</t>
  </si>
  <si>
    <t>Gestalt Review</t>
  </si>
  <si>
    <t>Pennsylvania State University Press</t>
  </si>
  <si>
    <t>1084-8657</t>
  </si>
  <si>
    <t>1945-4023</t>
  </si>
  <si>
    <t>Getting Advisory Right : Tools for Supporting Effective Advisories</t>
  </si>
  <si>
    <t>Getting Better at Getting People Better : Creating Successful Therapeutic Relationships</t>
  </si>
  <si>
    <t>The Gifted Child Quarterly</t>
  </si>
  <si>
    <t>0016-9862</t>
  </si>
  <si>
    <t>1934-9041</t>
  </si>
  <si>
    <t>Children And Youth - About|Education--Special Education And Rehabilitation|Psychology</t>
  </si>
  <si>
    <t>Gifted Child Today</t>
  </si>
  <si>
    <t>1076-2175</t>
  </si>
  <si>
    <t>2162-951X</t>
  </si>
  <si>
    <t>Gifted Education International</t>
  </si>
  <si>
    <t>0261-4294</t>
  </si>
  <si>
    <t>2407-9077</t>
  </si>
  <si>
    <t>01-Jan-2013--31-Dec-2014; 01-May-2011--31-Dec-2015</t>
  </si>
  <si>
    <t>Girl in Need of a Tourniquet : Memoir of a Borderline Personality</t>
  </si>
  <si>
    <t>Girl, Interrupted</t>
  </si>
  <si>
    <t>Random House, Inc.</t>
  </si>
  <si>
    <t>Global Mental Health</t>
  </si>
  <si>
    <t>2054-4251</t>
  </si>
  <si>
    <t>Global Social Welfare</t>
  </si>
  <si>
    <t>2196-8799</t>
  </si>
  <si>
    <t>Goal Setting and Motivation in Therapy : Engaging Children and Parents</t>
  </si>
  <si>
    <t>Gracefully Insane : The Rise and Fall of America's Premier Mental Hospital</t>
  </si>
  <si>
    <t>PublicAffairs</t>
  </si>
  <si>
    <t>Gravitas Ventures Videos</t>
  </si>
  <si>
    <t>Great Days at Work : How Positive Psychology Can Transform Your Working Life</t>
  </si>
  <si>
    <t>9780749469238;9780749469238</t>
  </si>
  <si>
    <t>Great Teachers, Great Courses</t>
  </si>
  <si>
    <t>Grief, Loss, and Treatment for Death Row Families : Forgotten no More</t>
  </si>
  <si>
    <t>GriefWork for Teens : Healing From Loss</t>
  </si>
  <si>
    <t>The Griefwork Companion : Activities for Healing</t>
  </si>
  <si>
    <t>Group &amp; Organization Management</t>
  </si>
  <si>
    <t>1059-6011</t>
  </si>
  <si>
    <t>1552-3993</t>
  </si>
  <si>
    <t>Group &amp; Organization Studies  (1986-1998)</t>
  </si>
  <si>
    <t>0364-1082</t>
  </si>
  <si>
    <t>Group &amp; Organization Studies  (pre-1986)</t>
  </si>
  <si>
    <t>Group Analysis</t>
  </si>
  <si>
    <t>0533-3164</t>
  </si>
  <si>
    <t>1461-717X</t>
  </si>
  <si>
    <t>Group Coaching : a Practical Guide to Optimizing Collective Talent in Any Organization</t>
  </si>
  <si>
    <t>1st edition</t>
  </si>
  <si>
    <t>9780749467593;9780749467593</t>
  </si>
  <si>
    <t>Group Decision and Negotiation</t>
  </si>
  <si>
    <t>0926-2644</t>
  </si>
  <si>
    <t>1572-9907</t>
  </si>
  <si>
    <t>Business And Economics--Cooperatives|Business And Economics--Management|Computers</t>
  </si>
  <si>
    <t>Group Dynamics : Theory, Research, and Practice</t>
  </si>
  <si>
    <t>1089-2699</t>
  </si>
  <si>
    <t>1930-7802</t>
  </si>
  <si>
    <t>Group Facilitation</t>
  </si>
  <si>
    <t>International Association of Facilitators</t>
  </si>
  <si>
    <t>1534-5653</t>
  </si>
  <si>
    <t>1545-5947</t>
  </si>
  <si>
    <t>Group Microskills : Culture-Centered Group Process and Strategies</t>
  </si>
  <si>
    <t>Group Relations at the Crossroads</t>
  </si>
  <si>
    <t>Group Work Practice to Advance Social Competence</t>
  </si>
  <si>
    <t>Groups in Harmony and Tension : An Integration of Studies on Intergroup Relations</t>
  </si>
  <si>
    <t>Gruppe. Interaktion. Organisation</t>
  </si>
  <si>
    <t>2366-6145</t>
  </si>
  <si>
    <t>2366-6218</t>
  </si>
  <si>
    <t>Guidance &amp; Counselling</t>
  </si>
  <si>
    <t>Guidance Centre, Faculty of Education, University of Toronto</t>
  </si>
  <si>
    <t>0831-5493</t>
  </si>
  <si>
    <t>A Guide for Living With PTSD : Perspectives for Professionals and Their Clients</t>
  </si>
  <si>
    <t>Guidebook for International Field Placements and Student Exchanges</t>
  </si>
  <si>
    <t>Guidelines</t>
  </si>
  <si>
    <t>Saskatchewan Guidance and Counselling Association</t>
  </si>
  <si>
    <t>0048-9190</t>
  </si>
  <si>
    <t>Guilford Press Videos</t>
  </si>
  <si>
    <t>HIV Prevention and Bisexual Realities</t>
  </si>
  <si>
    <t>Homosexuality|Medical Sciences--Communicable Diseases|Public Health And Safety|Social Services And Welfare</t>
  </si>
  <si>
    <t>Handbook for Child Protection Practice</t>
  </si>
  <si>
    <t>Handbook for Practice Learning in Social Work and Social Care : Knowledge and Theory</t>
  </si>
  <si>
    <t>Handbook for Social Justice in Counseling Psychology</t>
  </si>
  <si>
    <t>Handbook for Working With Children and Youth</t>
  </si>
  <si>
    <t>Handbook of Asian American Psychology</t>
  </si>
  <si>
    <t>The Handbook of Community Practice</t>
  </si>
  <si>
    <t>Handbook of Counseling &amp; Psychotherapy With Men</t>
  </si>
  <si>
    <t>The Handbook of Counseling</t>
  </si>
  <si>
    <t>Handbook of Counseling Women</t>
  </si>
  <si>
    <t>Handbook of Dynamics in Parent-Child Relations</t>
  </si>
  <si>
    <t>Handbook of Emotional &amp; Behavioral Difficulties</t>
  </si>
  <si>
    <t>A Handbook of Employee Reward Management and Practice</t>
  </si>
  <si>
    <t>2nd ed.</t>
  </si>
  <si>
    <t>9780749451981;9780749451981</t>
  </si>
  <si>
    <t>The Handbook of Experiential Learning and Management Education</t>
  </si>
  <si>
    <t>Handbook of Families &amp; Health</t>
  </si>
  <si>
    <t>Handbook of Family Life Education :  Foundations of Family Life Education, vol. 1</t>
  </si>
  <si>
    <t>Handbook of Group Counseling and Psychotherapy</t>
  </si>
  <si>
    <t>The Handbook of Humanistic Psychology : Leading Edges in Theory, Research and Practice</t>
  </si>
  <si>
    <t>Handbook of Implicit Cognition and Addiction</t>
  </si>
  <si>
    <t>A Handbook of Management Techniques : a Comprehensive Guide to Achieving Managerial Excellence and Improved Decision Making</t>
  </si>
  <si>
    <t>Rev. 3rd ed.</t>
  </si>
  <si>
    <t>9780749447663;9780749447663</t>
  </si>
  <si>
    <t>Handbook of Mental Health in the Workplace</t>
  </si>
  <si>
    <t>Handbook of Mind-Body Medicine for Primary Care</t>
  </si>
  <si>
    <t>Handbook of Multicultural Competencies in Counseling and Psychology</t>
  </si>
  <si>
    <t>Handbook of Multicultural Counseling</t>
  </si>
  <si>
    <t>The Handbook of Narrative and Psychotherapy : Practice, Theory and Research</t>
  </si>
  <si>
    <t>Handbook of Parenting : Theory and Research for Practice</t>
  </si>
  <si>
    <t>The Handbook of Psychological Testing</t>
  </si>
  <si>
    <t>Handbook of Racial &amp; Ethnic Minority Psychology</t>
  </si>
  <si>
    <t>The Handbook of Social Welfare Management</t>
  </si>
  <si>
    <t>The Handbook of Social Work : Direct Practice</t>
  </si>
  <si>
    <t>The Handbook of Social Work Research Methods</t>
  </si>
  <si>
    <t>Handbook of Stress, Coping and Health : Implications for Nursing Research, Theory and Practice</t>
  </si>
  <si>
    <t>The Happy Manifesto : Make Your Organization a Great Workplace.</t>
  </si>
  <si>
    <t>9780749467517;9780749467517</t>
  </si>
  <si>
    <t>Harmonizing Work, Family, and Personal Life : From Policy to Practice</t>
  </si>
  <si>
    <t>Harvard Educational Review</t>
  </si>
  <si>
    <t>0017-8055</t>
  </si>
  <si>
    <t>1943-5045</t>
  </si>
  <si>
    <t>Harvard Health Publications. The Harvard Mental Health Letter</t>
  </si>
  <si>
    <t>Harvard Health Publications</t>
  </si>
  <si>
    <t>1057-5022</t>
  </si>
  <si>
    <t>1943-5118</t>
  </si>
  <si>
    <t>01-Jan-2013--31-Dec-2020</t>
  </si>
  <si>
    <t>Healing Child Trauma Through Restorative Parenting</t>
  </si>
  <si>
    <t>Healing Home : Health and Homelessness in the Life Stories of Young Women</t>
  </si>
  <si>
    <t>Social Services And Welfare|Women's Health|Women's Studies</t>
  </si>
  <si>
    <t>Health &amp; Social Work</t>
  </si>
  <si>
    <t>0360-7283</t>
  </si>
  <si>
    <t>1545-6854</t>
  </si>
  <si>
    <t>Public Health And Safety|Social Services And Welfare</t>
  </si>
  <si>
    <t>Health Behavior and Policy Review</t>
  </si>
  <si>
    <t>2326-4403</t>
  </si>
  <si>
    <t>Health Education Research</t>
  </si>
  <si>
    <t>0268-1153</t>
  </si>
  <si>
    <t>1465-3648</t>
  </si>
  <si>
    <t>Health Education and Behavior</t>
  </si>
  <si>
    <t>1090-1981</t>
  </si>
  <si>
    <t>1552-6127</t>
  </si>
  <si>
    <t>01-Jan-1964--31-Dec-1973; 01-Jan-1976--31-Dec-1976; 01-Jan-1979--31-Dec-1981; 01-Jan-1983--31-Dec-1992; 01-Jan-1995--31-Dec-1995</t>
  </si>
  <si>
    <t>Education--Adult Education|Public Health And Safety</t>
  </si>
  <si>
    <t>Health Marketing Quarterly</t>
  </si>
  <si>
    <t>0735-9683</t>
  </si>
  <si>
    <t>1545-0864</t>
  </si>
  <si>
    <t>Health Promotion International</t>
  </si>
  <si>
    <t>0957-4824</t>
  </si>
  <si>
    <t>1460-2245</t>
  </si>
  <si>
    <t>Health Psychology</t>
  </si>
  <si>
    <t>0278-6133</t>
  </si>
  <si>
    <t>Medical Sciences|Psychology|Public Health And Safety</t>
  </si>
  <si>
    <t>The Health Psychology Handbook</t>
  </si>
  <si>
    <t>Health Psychology Open</t>
  </si>
  <si>
    <t>2055-1029</t>
  </si>
  <si>
    <t>Health Psychology Review</t>
  </si>
  <si>
    <t>1743-7199</t>
  </si>
  <si>
    <t>1743-7202</t>
  </si>
  <si>
    <t>Health Psychology and Behavioral Medicine</t>
  </si>
  <si>
    <t>2164-2850</t>
  </si>
  <si>
    <t>01-Jan-2018--31-Dec-2019</t>
  </si>
  <si>
    <t>Health Sociology Review</t>
  </si>
  <si>
    <t>1446-1242</t>
  </si>
  <si>
    <t>1839-3551</t>
  </si>
  <si>
    <t>Health and Social Care Chaplaincy</t>
  </si>
  <si>
    <t>Equinox Publishing Ltd.</t>
  </si>
  <si>
    <t>2051-5553</t>
  </si>
  <si>
    <t>2051-5561</t>
  </si>
  <si>
    <t>Physical Fitness And Hygiene|Religions And Theology|Social Services And Welfare</t>
  </si>
  <si>
    <t>Heart Asia</t>
  </si>
  <si>
    <t>1759-1104</t>
  </si>
  <si>
    <t>1468-201X</t>
  </si>
  <si>
    <t>Medical Sciences--Cardiovascular Diseases</t>
  </si>
  <si>
    <t>Helping Adolescents and Adults to Build Self-Esteem</t>
  </si>
  <si>
    <t>Helping Children Affected by Parental Substance Abuse : Activities and Photocopiable Worksheets</t>
  </si>
  <si>
    <t>Helping Children to Learn About Safer Sexual Behaviour : Taking Steps to Safety (Workbook)</t>
  </si>
  <si>
    <t>Helping Children to Tell About Sexual Abuse : Guidance for Helpers</t>
  </si>
  <si>
    <t>Children And Youth - About|Social Services And Welfare|Sociology</t>
  </si>
  <si>
    <t>Helping Foster Children in School : A Guide for Foster Parents, Social Workers and Teachers</t>
  </si>
  <si>
    <t>Helping Substance-Abusing Women of Vulnerable Populations</t>
  </si>
  <si>
    <t>Helping Today's Parents : Practical New Approaches for Good Parenting in Challenging Times</t>
  </si>
  <si>
    <t>Hidden Cameras : Everything You Need to Know About Covert Recording, Undercover Cameras and Secret Filming</t>
  </si>
  <si>
    <t>Hidden Truth : Young Men Navigating Lives in and out of Juvenile Prison</t>
  </si>
  <si>
    <t>High Ability Studies</t>
  </si>
  <si>
    <t>1359-8139</t>
  </si>
  <si>
    <t>1469-834X</t>
  </si>
  <si>
    <t>The High School Journal</t>
  </si>
  <si>
    <t>The University of North Carolina Press</t>
  </si>
  <si>
    <t>0018-1498</t>
  </si>
  <si>
    <t>1534-5157</t>
  </si>
  <si>
    <t>Hispanic Journal of Behavioral Sciences</t>
  </si>
  <si>
    <t>0739-9863</t>
  </si>
  <si>
    <t>1552-6364</t>
  </si>
  <si>
    <t>Ethnic Interests|Psychology</t>
  </si>
  <si>
    <t>History of Psychology</t>
  </si>
  <si>
    <t>The History of Swimming : A Memoir</t>
  </si>
  <si>
    <t>History of the Human Sciences</t>
  </si>
  <si>
    <t>0952-6951</t>
  </si>
  <si>
    <t>1461-720X</t>
  </si>
  <si>
    <t>Holocaust and Genocide Studies</t>
  </si>
  <si>
    <t>8756-6583</t>
  </si>
  <si>
    <t>1476-7937</t>
  </si>
  <si>
    <t>Criminology And Law Enforcement|Ethnic Interests|History--History Of Europe|Psychology|Sociology</t>
  </si>
  <si>
    <t>Homicide Studies</t>
  </si>
  <si>
    <t>1088-7679</t>
  </si>
  <si>
    <t>1552-6720</t>
  </si>
  <si>
    <t>Hope and Grace : Spiritual Experiences in Severe Distress, Illness and Dying</t>
  </si>
  <si>
    <t>Hormones and Behavior</t>
  </si>
  <si>
    <t>0018-506X</t>
  </si>
  <si>
    <t>1095-6867</t>
  </si>
  <si>
    <t>Medical Sciences--Endocrinology</t>
  </si>
  <si>
    <t>Housing First Manual</t>
  </si>
  <si>
    <t>How I Escaped the Mad Doctors</t>
  </si>
  <si>
    <t>1879</t>
  </si>
  <si>
    <t>How Psychology Applies to Everyday Life</t>
  </si>
  <si>
    <t>How to Deal with Stress</t>
  </si>
  <si>
    <t>Third edition</t>
  </si>
  <si>
    <t>9780749467067;9780749467067</t>
  </si>
  <si>
    <t>How to Motivate People</t>
  </si>
  <si>
    <t>9780749451806;9780749451806</t>
  </si>
  <si>
    <t>How to Pass Professional Level Psychometric Tests : Challenging Practice Questions for Graduate and Professional Recruitment</t>
  </si>
  <si>
    <t>3rd edition</t>
  </si>
  <si>
    <t>9780749467951;9780749467951</t>
  </si>
  <si>
    <t>The Howard Journal of Crime and Justice</t>
  </si>
  <si>
    <t>2059-1098</t>
  </si>
  <si>
    <t>2059-1101</t>
  </si>
  <si>
    <t>Human - Computer Interaction</t>
  </si>
  <si>
    <t>0737-0024</t>
  </si>
  <si>
    <t>1532-7051</t>
  </si>
  <si>
    <t>Computers|Psychology</t>
  </si>
  <si>
    <t>Human Architecture : Journal of the Sociology of Self - Knowledge</t>
  </si>
  <si>
    <t>Ahead Publishing House Okcir Press</t>
  </si>
  <si>
    <t>1540-5699</t>
  </si>
  <si>
    <t>01-Jan-2014--31-Dec-2018</t>
  </si>
  <si>
    <t>Human Behavior and Emerging Technologies</t>
  </si>
  <si>
    <t>2578-1863</t>
  </si>
  <si>
    <t>Anthropology|Technology: Comprehensive Works</t>
  </si>
  <si>
    <t>Human Behavior in a Just World : Reaching for Common Ground</t>
  </si>
  <si>
    <t>Human Communication Research</t>
  </si>
  <si>
    <t>0360-3989</t>
  </si>
  <si>
    <t>1468-2958</t>
  </si>
  <si>
    <t>Communications|Linguistics|Psychology</t>
  </si>
  <si>
    <t>Human Development</t>
  </si>
  <si>
    <t>0018-716X</t>
  </si>
  <si>
    <t>1423-0054</t>
  </si>
  <si>
    <t>Human Development Stages Index - Erik Erikson : Stage 1</t>
  </si>
  <si>
    <t>Human Development Stages Index - Erik Erikson : Stage 2</t>
  </si>
  <si>
    <t>Human Development Stages Index - Erik Erikson : Stage 3</t>
  </si>
  <si>
    <t>Human Development Stages Index - Erik Erikson : Stage 4</t>
  </si>
  <si>
    <t>Human Development Stages Index - Erik Erikson : Stage 5</t>
  </si>
  <si>
    <t>Human Development Stages Index - Erik Erikson : Stage 6</t>
  </si>
  <si>
    <t>Human Development Stages Index - Erik Erikson : Stage 7</t>
  </si>
  <si>
    <t>Human Development Stages Index - Erik Erikson : Stage 8</t>
  </si>
  <si>
    <t>Human Development Stages Index - Erik Erikson : Stage 9</t>
  </si>
  <si>
    <t>Human Ecology</t>
  </si>
  <si>
    <t>Cornell University</t>
  </si>
  <si>
    <t>1530-7069</t>
  </si>
  <si>
    <t>2163-520X</t>
  </si>
  <si>
    <t>College And Alumni|Environmental Studies|Social Sciences: Comprehensive Works</t>
  </si>
  <si>
    <t>Cornell University, College of Human Ecology</t>
  </si>
  <si>
    <t>Human Factors</t>
  </si>
  <si>
    <t>0018-7208</t>
  </si>
  <si>
    <t>1547-8181</t>
  </si>
  <si>
    <t>Sciences: Comprehensive Works</t>
  </si>
  <si>
    <t>Human Nature : An Interdisciplinary Biosocial Perspective</t>
  </si>
  <si>
    <t>1045-6767</t>
  </si>
  <si>
    <t>1936-4776</t>
  </si>
  <si>
    <t>Biology|Psychology|Social Sciences: Comprehensive Works|Sociology</t>
  </si>
  <si>
    <t>Human Organization</t>
  </si>
  <si>
    <t>Society of Applied Anthropology</t>
  </si>
  <si>
    <t>0018-7259</t>
  </si>
  <si>
    <t>1938-3525</t>
  </si>
  <si>
    <t>Anthropology|Sciences: Comprehensive Works|Social Sciences: Comprehensive Works</t>
  </si>
  <si>
    <t>Human Performance</t>
  </si>
  <si>
    <t>0895-9285</t>
  </si>
  <si>
    <t>1532-7043</t>
  </si>
  <si>
    <t>Human Psychopharmacology</t>
  </si>
  <si>
    <t>0885-6222</t>
  </si>
  <si>
    <t>1099-1077</t>
  </si>
  <si>
    <t>Human Relations</t>
  </si>
  <si>
    <t>0018-7267</t>
  </si>
  <si>
    <t>1741-282X</t>
  </si>
  <si>
    <t>Social Sciences: Comprehensive Works|Sociology</t>
  </si>
  <si>
    <t>Human Resource Development Quarterly</t>
  </si>
  <si>
    <t>1044-8004</t>
  </si>
  <si>
    <t>1532-1096</t>
  </si>
  <si>
    <t>01-Jan-2003--30-Sep-2004</t>
  </si>
  <si>
    <t>Business And Economics--Management|Business And Economics--Personnel Management</t>
  </si>
  <si>
    <t>Human Resource Management</t>
  </si>
  <si>
    <t>0090-4848</t>
  </si>
  <si>
    <t>1099-050X</t>
  </si>
  <si>
    <t>Human Technology</t>
  </si>
  <si>
    <t>Centre of Sociological Research (NGO)</t>
  </si>
  <si>
    <t>1795-6889</t>
  </si>
  <si>
    <t>Communications|Computers--Information Science And Information Theory|Education|Psychology</t>
  </si>
  <si>
    <t>The Humanistic Psychologist</t>
  </si>
  <si>
    <t>0887-3267</t>
  </si>
  <si>
    <t>1547-3333</t>
  </si>
  <si>
    <t>Humanitas</t>
  </si>
  <si>
    <t>Universitas Ahmad Dahlan</t>
  </si>
  <si>
    <t>Indonesia</t>
  </si>
  <si>
    <t>1693-7236</t>
  </si>
  <si>
    <t>2598-6368</t>
  </si>
  <si>
    <t>I, Goldstein : My Screwed Life</t>
  </si>
  <si>
    <t>Hachette Book Group US</t>
  </si>
  <si>
    <t>ICD 10 : Gil, Bipolar I Disorder, Current or Most Recent Episode Hypomanic</t>
  </si>
  <si>
    <t>ICD 10 : Greg, Cannabis Use Disorder</t>
  </si>
  <si>
    <t>ICD 10 : Mr. Smith, Catatonia Associated With Schizophrenia</t>
  </si>
  <si>
    <t>ICD 10 : Mrs. Warren, Schizophrenia Spectrum</t>
  </si>
  <si>
    <t>ICD 10 Guided OCD Series</t>
  </si>
  <si>
    <t>ICD 10 Guided Sleep-Wake Disorders Series</t>
  </si>
  <si>
    <t>ICD 10 Symptom Media Individual Video Titles</t>
  </si>
  <si>
    <t>ICD-10 Case Scenarios Series Index</t>
  </si>
  <si>
    <t>IEEE Transactions on Cognitive and Developmental Systems</t>
  </si>
  <si>
    <t>The Institute of Electrical and Electronics Engineers, Inc. (IEEE)</t>
  </si>
  <si>
    <t>2379-8920</t>
  </si>
  <si>
    <t>2379-8939</t>
  </si>
  <si>
    <t>01-Jan-2016--31-Dec-2017</t>
  </si>
  <si>
    <t>Computers--Artificial Intelligence|Psychology</t>
  </si>
  <si>
    <t>IEEE Transactions on Neural Networks and Learning Systems</t>
  </si>
  <si>
    <t>2162-237X</t>
  </si>
  <si>
    <t>2162-2388</t>
  </si>
  <si>
    <t>ISRN Psychiatry</t>
  </si>
  <si>
    <t>2090-7966</t>
  </si>
  <si>
    <t>IUP Journal of Behavioral Finance</t>
  </si>
  <si>
    <t>IUP Publications</t>
  </si>
  <si>
    <t>0972-9089</t>
  </si>
  <si>
    <t>IUP Journal of Organizational Behavior</t>
  </si>
  <si>
    <t>IUP Journal of Soft Skills</t>
  </si>
  <si>
    <t>0973-8479</t>
  </si>
  <si>
    <t>Identity</t>
  </si>
  <si>
    <t>1528-3488</t>
  </si>
  <si>
    <t>1532-706X</t>
  </si>
  <si>
    <t>Ethnic Interests|Sociology</t>
  </si>
  <si>
    <t>Idesygn Creative Videos</t>
  </si>
  <si>
    <t>Ife Psychologia</t>
  </si>
  <si>
    <t>1117-1421</t>
  </si>
  <si>
    <t>Ilinniq</t>
  </si>
  <si>
    <t>Illustrations of Madness</t>
  </si>
  <si>
    <t>1810</t>
  </si>
  <si>
    <t>Imagination, Cognition and Personality</t>
  </si>
  <si>
    <t>0276-2366</t>
  </si>
  <si>
    <t>1541-4477</t>
  </si>
  <si>
    <t>Parapsychology And Occultism|Psychology</t>
  </si>
  <si>
    <t>Imagining Robert : My Brother, Madness, Survival, a Memoir</t>
  </si>
  <si>
    <t>Rutgers University Press</t>
  </si>
  <si>
    <t>Implementing Evidence Based Practices in Behavioral Health</t>
  </si>
  <si>
    <t>Improving Mental Health Through Social Support : Building Positive and Empowering Relationships</t>
  </si>
  <si>
    <t>Improving Sensory Processing in Traumatized Children</t>
  </si>
  <si>
    <t>In Common Predicament : Social Psychology of Intergroup Conflict and Cooperation</t>
  </si>
  <si>
    <t>In Her Wake :  A Child Psychiatrist Explores the Mystery of Her Mother's Suicide</t>
  </si>
  <si>
    <t>In and Out of Anorexia : The Story of the Client, the Therapist, and the Process of Recovery</t>
  </si>
  <si>
    <t>In-Conversation Series</t>
  </si>
  <si>
    <t>Inclusion</t>
  </si>
  <si>
    <t>2326-6988</t>
  </si>
  <si>
    <t>Inconsolable : How I Threw My Mental Health Out With the Diapers</t>
  </si>
  <si>
    <t>Independent Mental Health Advocacy : The Right To Be Heard, Context, Values and Good Practice</t>
  </si>
  <si>
    <t>Indian Journal of Positive Psychology</t>
  </si>
  <si>
    <t>Indian Association of Health, Research and Welfare</t>
  </si>
  <si>
    <t>2229-4937</t>
  </si>
  <si>
    <t>2321-368X</t>
  </si>
  <si>
    <t>Indian Journal of Psychological Medicine</t>
  </si>
  <si>
    <t>Sage Publications, New Delhi India</t>
  </si>
  <si>
    <t>0253-7176</t>
  </si>
  <si>
    <t>0975-1564</t>
  </si>
  <si>
    <t>Indian Journal of Social Psychiatry</t>
  </si>
  <si>
    <t>0971-9962</t>
  </si>
  <si>
    <t>2454-8316</t>
  </si>
  <si>
    <t>The Individual Service Funds Handbook : Implementing Personal Budgets in Provider Organizations</t>
  </si>
  <si>
    <t>Indo - Pacific Journal of Phenomenology</t>
  </si>
  <si>
    <t>South Africa</t>
  </si>
  <si>
    <t>2079-7222</t>
  </si>
  <si>
    <t>1445-7377</t>
  </si>
  <si>
    <t>Industrial Psychiatry Journal</t>
  </si>
  <si>
    <t>0972-6748</t>
  </si>
  <si>
    <t>0976-2795</t>
  </si>
  <si>
    <t>Industrial and Commercial Training</t>
  </si>
  <si>
    <t>0019-7858</t>
  </si>
  <si>
    <t>1758-5767</t>
  </si>
  <si>
    <t>01-Oct-1981--01-Apr-1986</t>
  </si>
  <si>
    <t>Industrial and Organizational Psychology</t>
  </si>
  <si>
    <t>1754-9426</t>
  </si>
  <si>
    <t>1754-9434</t>
  </si>
  <si>
    <t>Infancy</t>
  </si>
  <si>
    <t>1525-0008</t>
  </si>
  <si>
    <t>1532-7078</t>
  </si>
  <si>
    <t>Infant Mental Health Journal</t>
  </si>
  <si>
    <t>0163-9641</t>
  </si>
  <si>
    <t>1097-0355</t>
  </si>
  <si>
    <t>Medical Sciences--Pediatrics|Physics--Nuclear Physics</t>
  </si>
  <si>
    <t>Infant and Child Development</t>
  </si>
  <si>
    <t>1522-7227</t>
  </si>
  <si>
    <t>1522-7219</t>
  </si>
  <si>
    <t>Infant and Child Development (Online)</t>
  </si>
  <si>
    <t>The Inferno</t>
  </si>
  <si>
    <t>Inform'APPIPC</t>
  </si>
  <si>
    <t>Association Provinciale des Professeurs d'Immersion et des Professeurs du Programme Francophone de la Colombie - Britannique</t>
  </si>
  <si>
    <t>0820-3938</t>
  </si>
  <si>
    <t>Information Systems Research</t>
  </si>
  <si>
    <t>1047-7047</t>
  </si>
  <si>
    <t>1526-5536</t>
  </si>
  <si>
    <t>01-Jan-2015--31-Dec-2017</t>
  </si>
  <si>
    <t>Computers--Information Science And Information Theory</t>
  </si>
  <si>
    <t>Information Technology &amp; People</t>
  </si>
  <si>
    <t>0959-3845</t>
  </si>
  <si>
    <t>1758-5813</t>
  </si>
  <si>
    <t>01-Jan-1986--31-Dec-1986; 01-Jan-1990--31-Dec-1991; 01-Jan-1993--31-Dec-1994</t>
  </si>
  <si>
    <t>Business And Economics--Office Equipment And Services|Library And Information Sciences--Computer Applications</t>
  </si>
  <si>
    <t>Informes Psicológicos</t>
  </si>
  <si>
    <t>Universidad Pontificia Bolivariana, Facultad de Psicología</t>
  </si>
  <si>
    <t>2145-3535</t>
  </si>
  <si>
    <t>2422-3271</t>
  </si>
  <si>
    <t>01-Jan-2010--31-Dec-2011</t>
  </si>
  <si>
    <t>Innovation : Organization &amp; Management</t>
  </si>
  <si>
    <t>1447-9338</t>
  </si>
  <si>
    <t>2204-0226</t>
  </si>
  <si>
    <t>Inside Psychology : A Science Over 50 Years</t>
  </si>
  <si>
    <t>Inside out and Outside in : Psychodynamic Clinical Theory and Psychopathology in Contemporary Multicultural Contexts</t>
  </si>
  <si>
    <t>An Insight Into an Insane Asylum</t>
  </si>
  <si>
    <t>1882</t>
  </si>
  <si>
    <t>Integrated Care in Action : A Practical Guide for Health, Social Care and Housing Support</t>
  </si>
  <si>
    <t>Integrating Spirituality in Counseling</t>
  </si>
  <si>
    <t>An Integrative Approach to Anxiety</t>
  </si>
  <si>
    <t>Integrative Approach, Adlerian Psychotherapy Collection With Dr. Jon Carlson</t>
  </si>
  <si>
    <t>Integrative Psychological &amp; Behavioral Science</t>
  </si>
  <si>
    <t>1932-4502</t>
  </si>
  <si>
    <t>1936-3567</t>
  </si>
  <si>
    <t>01-Jan-2003--31-Dec-2003; 01-Jan-2006--31-Dec-2008; 01-Jan-2012--31-Dec-2015</t>
  </si>
  <si>
    <t>Biology--Physiology|Medical Sciences--Psychiatry And Neurology|Psychology</t>
  </si>
  <si>
    <t>Integrative Psychotherapy Collection by Caryn Bello, Psy.D.</t>
  </si>
  <si>
    <t>Intellectual and Developmental Disabilities</t>
  </si>
  <si>
    <t>1934-9491</t>
  </si>
  <si>
    <t>1934-9556</t>
  </si>
  <si>
    <t>Intelligence</t>
  </si>
  <si>
    <t>0160-2896</t>
  </si>
  <si>
    <t>1873-7935</t>
  </si>
  <si>
    <t>Interacao em Psicologia</t>
  </si>
  <si>
    <t>Universidade de Federal do Paraná - Departmento de Psicologia</t>
  </si>
  <si>
    <t>1981-8068</t>
  </si>
  <si>
    <t>1981-8076</t>
  </si>
  <si>
    <t>Intergroup Attitudes and Relations in Childhood Through Adulthood</t>
  </si>
  <si>
    <t>Children And Youth - About|Ethnic Interests|Medical Sciences|Sociology</t>
  </si>
  <si>
    <t>Intergroup Relations And Leadership : Approaches and Research in Industrial, Ethnic, Cultural, and Political Areas</t>
  </si>
  <si>
    <t>International Coaching Psychology Review</t>
  </si>
  <si>
    <t>1750-2764</t>
  </si>
  <si>
    <t>International Forum of Psychoanalysis</t>
  </si>
  <si>
    <t>0803-706X</t>
  </si>
  <si>
    <t>1651-2324</t>
  </si>
  <si>
    <t>International Gambling Studies</t>
  </si>
  <si>
    <t>1445-9795</t>
  </si>
  <si>
    <t>International Journal for Educational and Vocational Guidance</t>
  </si>
  <si>
    <t>0251-2513</t>
  </si>
  <si>
    <t>1573-1782</t>
  </si>
  <si>
    <t>International Journal for Human Capital Development</t>
  </si>
  <si>
    <t>Amphitheatre Foundation</t>
  </si>
  <si>
    <t>2286-1084</t>
  </si>
  <si>
    <t>International Journal for the Advancement of Counselling</t>
  </si>
  <si>
    <t>0165-0653</t>
  </si>
  <si>
    <t>1573-3246</t>
  </si>
  <si>
    <t>The International Journal for the Psychology of Religion</t>
  </si>
  <si>
    <t>1050-8619</t>
  </si>
  <si>
    <t>1532-7582</t>
  </si>
  <si>
    <t>Psychology|Religions And Theology</t>
  </si>
  <si>
    <t>International Journal of Adolescent Medicine and Health</t>
  </si>
  <si>
    <t>Walter de Gruyter GmbH</t>
  </si>
  <si>
    <t>0334-0139</t>
  </si>
  <si>
    <t>2191-0278</t>
  </si>
  <si>
    <t>International Journal of Alzheimer's Disease</t>
  </si>
  <si>
    <t>2090-8024</t>
  </si>
  <si>
    <t>2090-0252</t>
  </si>
  <si>
    <t>International Journal of Applied Pattern Recognition</t>
  </si>
  <si>
    <t>Inderscience Enterprises Ltd.</t>
  </si>
  <si>
    <t>2049-887X</t>
  </si>
  <si>
    <t>2049-8888</t>
  </si>
  <si>
    <t>International Journal of Applied Psychoanalytic Studies</t>
  </si>
  <si>
    <t>1742-3341</t>
  </si>
  <si>
    <t>1556-9187</t>
  </si>
  <si>
    <t>The International Journal of Aviation Psychology</t>
  </si>
  <si>
    <t>Lawrence Erlbaum Associates, Inc.</t>
  </si>
  <si>
    <t>1050-8414</t>
  </si>
  <si>
    <t>1532-7108</t>
  </si>
  <si>
    <t>Aeronautics And Space Flight|Psychology</t>
  </si>
  <si>
    <t>International Journal of Behavioral Development : IJBD</t>
  </si>
  <si>
    <t>0165-0254</t>
  </si>
  <si>
    <t>International Journal of Behavioral Medicine</t>
  </si>
  <si>
    <t>1070-5503</t>
  </si>
  <si>
    <t>1532-7558</t>
  </si>
  <si>
    <t>01-Jan-2007--31-Dec-2009</t>
  </si>
  <si>
    <t>International Journal of Bipolar Disorders</t>
  </si>
  <si>
    <t>2194-7511</t>
  </si>
  <si>
    <t>International Journal of Business Performance Management</t>
  </si>
  <si>
    <t>1368-4892</t>
  </si>
  <si>
    <t>1741-5039</t>
  </si>
  <si>
    <t>International Journal of Children's Spirituality</t>
  </si>
  <si>
    <t>1364-436X</t>
  </si>
  <si>
    <t>1469-8455</t>
  </si>
  <si>
    <t>Children And Youth - About|Education|Philosophy|Psychology|Religions And Theology</t>
  </si>
  <si>
    <t>International Journal of Choice Theory and Reality Therapy</t>
  </si>
  <si>
    <t>International Journal of Reality Therapy</t>
  </si>
  <si>
    <t>International Journal of Clinical and Experimental Hypnosis</t>
  </si>
  <si>
    <t>0020-7144</t>
  </si>
  <si>
    <t>1744-5183</t>
  </si>
  <si>
    <t>01-Oct-2001--31-Dec-2009</t>
  </si>
  <si>
    <t>Medical Sciences--Hypnosis|Medical Sciences--Psychiatry And Neurology</t>
  </si>
  <si>
    <t>International Journal of Clinical and Health Psychology</t>
  </si>
  <si>
    <t>Juan Carlos Sierra</t>
  </si>
  <si>
    <t>1697-2600</t>
  </si>
  <si>
    <t>2174-0852</t>
  </si>
  <si>
    <t>International Journal of Cognitive Informatics &amp; Natural Intelligence.</t>
  </si>
  <si>
    <t>IGI Global</t>
  </si>
  <si>
    <t>1557-3958</t>
  </si>
  <si>
    <t>1557-3966</t>
  </si>
  <si>
    <t>International Journal of Cognitive Informatics and Natural Intelligence</t>
  </si>
  <si>
    <t>International Journal of Cognitive Therapy</t>
  </si>
  <si>
    <t>1937-1209</t>
  </si>
  <si>
    <t>1937-1217</t>
  </si>
  <si>
    <t>International Journal of Comparative Psychology</t>
  </si>
  <si>
    <t>University of California Digital Library - eScholarship</t>
  </si>
  <si>
    <t>0889-3667</t>
  </si>
  <si>
    <t>2168-3344</t>
  </si>
  <si>
    <t>International Journal of Comparative and Applied Criminal Justice</t>
  </si>
  <si>
    <t>0192-4036</t>
  </si>
  <si>
    <t>2157-6475</t>
  </si>
  <si>
    <t>01-Jan-1990--31-Dec-1990; 01-Jan-1992--31-Dec-1992; 01-Jan-1996--31-Dec-1996</t>
  </si>
  <si>
    <t>Criminology And Law Enforcement|Law</t>
  </si>
  <si>
    <t>International Journal of Conflict Management</t>
  </si>
  <si>
    <t>1044-4068</t>
  </si>
  <si>
    <t>1758-8545</t>
  </si>
  <si>
    <t>International Journal of Consumer Studies</t>
  </si>
  <si>
    <t>1470-6423</t>
  </si>
  <si>
    <t>1470-6431</t>
  </si>
  <si>
    <t>Consumer Education And Protection</t>
  </si>
  <si>
    <t>International Journal of Cross Cultural Management : CCM</t>
  </si>
  <si>
    <t>1470-5958</t>
  </si>
  <si>
    <t>1741-2838</t>
  </si>
  <si>
    <t>International Journal of Culture and Mental Health</t>
  </si>
  <si>
    <t>1754-2863</t>
  </si>
  <si>
    <t>1754-2871</t>
  </si>
  <si>
    <t>International Journal of Cyber Behavior, Psychology and Learning</t>
  </si>
  <si>
    <t>2155-7136</t>
  </si>
  <si>
    <t>2155-7144</t>
  </si>
  <si>
    <t>Computers|Education|Psychology</t>
  </si>
  <si>
    <t>International Journal of Developmental Science</t>
  </si>
  <si>
    <t>IOS Press BV</t>
  </si>
  <si>
    <t>2192-001X</t>
  </si>
  <si>
    <t>2191-7485</t>
  </si>
  <si>
    <t>International Journal of Disability, Community &amp; Rehabilitation</t>
  </si>
  <si>
    <t>University of Calgary, Rehabilitation Studies</t>
  </si>
  <si>
    <t>1703-3381</t>
  </si>
  <si>
    <t>International Journal of Disability, Development, and Education</t>
  </si>
  <si>
    <t>1034-912X</t>
  </si>
  <si>
    <t>1465-346X</t>
  </si>
  <si>
    <t>Education|Education--Special Education And Rehabilitation</t>
  </si>
  <si>
    <t>International Journal of Early Childhood</t>
  </si>
  <si>
    <t>0020-7187</t>
  </si>
  <si>
    <t>1878-4658</t>
  </si>
  <si>
    <t>International Journal of Early Years Education</t>
  </si>
  <si>
    <t>0966-9760</t>
  </si>
  <si>
    <t>1469-8463</t>
  </si>
  <si>
    <t>International Journal of Eating Disorders</t>
  </si>
  <si>
    <t>0276-3478</t>
  </si>
  <si>
    <t>1098-108X</t>
  </si>
  <si>
    <t>Medical Sciences--Gastroenterology|Psychology</t>
  </si>
  <si>
    <t>International Journal of Education and Psychology in the Community</t>
  </si>
  <si>
    <t>International Journal of Education &amp; Psychology in the Community</t>
  </si>
  <si>
    <t>2069-4695</t>
  </si>
  <si>
    <t>International Journal of Educational Psychology</t>
  </si>
  <si>
    <t>Hipatia Press</t>
  </si>
  <si>
    <t>2014-3591</t>
  </si>
  <si>
    <t>International Journal of Emotional Education</t>
  </si>
  <si>
    <t>European Centre for Educational Resilience and Socio-Emotional Health</t>
  </si>
  <si>
    <t>Malta</t>
  </si>
  <si>
    <t>2073-7629</t>
  </si>
  <si>
    <t>International Journal of Forensic Mental Health</t>
  </si>
  <si>
    <t>1499-9013</t>
  </si>
  <si>
    <t>1932-9903</t>
  </si>
  <si>
    <t>International Journal of Geriatric Psychiatry</t>
  </si>
  <si>
    <t>0885-6230</t>
  </si>
  <si>
    <t>1099-1166</t>
  </si>
  <si>
    <t>International Journal of Group Psychotherapy</t>
  </si>
  <si>
    <t>0020-7284</t>
  </si>
  <si>
    <t>1943-2836</t>
  </si>
  <si>
    <t>International Journal of Hispanic Psychology</t>
  </si>
  <si>
    <t>1939-5841</t>
  </si>
  <si>
    <t>2374-0965</t>
  </si>
  <si>
    <t>International Journal of Human - Computer Interaction</t>
  </si>
  <si>
    <t>1044-7318</t>
  </si>
  <si>
    <t>Sociology--Computer Applications</t>
  </si>
  <si>
    <t>International Journal of Jungian Studies</t>
  </si>
  <si>
    <t>1940-9052</t>
  </si>
  <si>
    <t>1940-9060</t>
  </si>
  <si>
    <t>International Journal of Language &amp; Communication Disorders</t>
  </si>
  <si>
    <t>1368-2822</t>
  </si>
  <si>
    <t>1460-6984</t>
  </si>
  <si>
    <t>International Journal of Learning and Intellectual Capital</t>
  </si>
  <si>
    <t>1479-4853</t>
  </si>
  <si>
    <t>1479-4861</t>
  </si>
  <si>
    <t>International Journal of Management &amp; Decision Making</t>
  </si>
  <si>
    <t>Inderscience Enterprises, Ltd.</t>
  </si>
  <si>
    <t>1462-4621</t>
  </si>
  <si>
    <t>1741-5187</t>
  </si>
  <si>
    <t>International Journal of Market Research</t>
  </si>
  <si>
    <t>Market Research Society</t>
  </si>
  <si>
    <t>1470-7853</t>
  </si>
  <si>
    <t>2515-2173</t>
  </si>
  <si>
    <t>International Journal of Men's Health</t>
  </si>
  <si>
    <t>1532-6306</t>
  </si>
  <si>
    <t>1933-0278</t>
  </si>
  <si>
    <t>Men's Health</t>
  </si>
  <si>
    <t>International Journal of Mental Health</t>
  </si>
  <si>
    <t>0020-7411</t>
  </si>
  <si>
    <t>Psychology|Public Health And Safety|Social Sciences: Comprehensive Works</t>
  </si>
  <si>
    <t>International Journal of Mental Health Nursing</t>
  </si>
  <si>
    <t>1445-8330</t>
  </si>
  <si>
    <t>1447-0349</t>
  </si>
  <si>
    <t>Medical Sciences--Nurses And Nursing|Medical Sciences--Psychiatry And Neurology</t>
  </si>
  <si>
    <t>International Journal of Mental Health Systems</t>
  </si>
  <si>
    <t>1752-4458</t>
  </si>
  <si>
    <t>International Journal of Methods in Psychiatric Research (Online)</t>
  </si>
  <si>
    <t>1557-0657</t>
  </si>
  <si>
    <t>01-Jan-2003--31-Dec-2021; 01-Jan-2018--31-Dec-2021</t>
  </si>
  <si>
    <t>01-Jan-2003--31-Dec-2010; 01-Jan-2012--31-Dec-2013</t>
  </si>
  <si>
    <t>International Journal of Mobile Human Computer Interaction</t>
  </si>
  <si>
    <t>1942-390X</t>
  </si>
  <si>
    <t>1942-3918</t>
  </si>
  <si>
    <t>The International Journal of Narrative Therapy and Community Work</t>
  </si>
  <si>
    <t>Dulwich Centre</t>
  </si>
  <si>
    <t>1446-5019</t>
  </si>
  <si>
    <t>International Journal of Neural Systems</t>
  </si>
  <si>
    <t>World Scientific Publishing Co. Pte., Ltd.</t>
  </si>
  <si>
    <t>0129-0657</t>
  </si>
  <si>
    <t>1793-6462</t>
  </si>
  <si>
    <t>The International Journal of Neuropsychopharmacology</t>
  </si>
  <si>
    <t>1461-1457</t>
  </si>
  <si>
    <t>1469-5111</t>
  </si>
  <si>
    <t>Pharmacy And Pharmacology|Psychology</t>
  </si>
  <si>
    <t>International Journal of Obesity</t>
  </si>
  <si>
    <t>Nature Publishing Group</t>
  </si>
  <si>
    <t>0307-0565</t>
  </si>
  <si>
    <t>1476-5497</t>
  </si>
  <si>
    <t>Nutrition And Dietetics|Physical Fitness And Hygiene</t>
  </si>
  <si>
    <t>International Journal of Occupational Medicine and Environmental Health</t>
  </si>
  <si>
    <t>Nofer Institute of Occupational Medicine</t>
  </si>
  <si>
    <t>1232-1087</t>
  </si>
  <si>
    <t>1896-494X</t>
  </si>
  <si>
    <t>Occupational Health And Safety|Public Health And Safety</t>
  </si>
  <si>
    <t>International Journal of Offender Therapy and Comparative Criminology</t>
  </si>
  <si>
    <t>0306-624X</t>
  </si>
  <si>
    <t>1552-6933</t>
  </si>
  <si>
    <t>International Journal of Organization Theory and Behavior</t>
  </si>
  <si>
    <t>1093-4537</t>
  </si>
  <si>
    <t>1532-4273</t>
  </si>
  <si>
    <t>International Journal of Organizational Analysis</t>
  </si>
  <si>
    <t>1934-8835</t>
  </si>
  <si>
    <t>1758-8561</t>
  </si>
  <si>
    <t>International Journal of Pattern Recognition and Artificial Intelligence</t>
  </si>
  <si>
    <t>0218-0014</t>
  </si>
  <si>
    <t>1793-6381</t>
  </si>
  <si>
    <t>International Journal of Practical Approaches to Disability</t>
  </si>
  <si>
    <t>1205-4291</t>
  </si>
  <si>
    <t>International Journal of Primatology</t>
  </si>
  <si>
    <t>0164-0291</t>
  </si>
  <si>
    <t>1573-8604</t>
  </si>
  <si>
    <t>Biology--Zoology</t>
  </si>
  <si>
    <t>International Journal of Productivity and Performance Management</t>
  </si>
  <si>
    <t>1741-0401</t>
  </si>
  <si>
    <t>1758-6658</t>
  </si>
  <si>
    <t>International Journal of Psychiatry in Medicine</t>
  </si>
  <si>
    <t>0091-2174</t>
  </si>
  <si>
    <t>1541-3527</t>
  </si>
  <si>
    <t>International Journal of Psychoanalysis</t>
  </si>
  <si>
    <t>0020-7578</t>
  </si>
  <si>
    <t>1745-8315</t>
  </si>
  <si>
    <t>International Journal of Psychological Research</t>
  </si>
  <si>
    <t>Universidad de San Buenaventura, Medellin</t>
  </si>
  <si>
    <t>2011-2084</t>
  </si>
  <si>
    <t>2011-7922</t>
  </si>
  <si>
    <t>International Journal of Psychology</t>
  </si>
  <si>
    <t>0020-7594</t>
  </si>
  <si>
    <t>1464-066X</t>
  </si>
  <si>
    <t>International Journal of Psychology Research</t>
  </si>
  <si>
    <t>1932-6092</t>
  </si>
  <si>
    <t>International Journal of Psychology and Psychological Therapy</t>
  </si>
  <si>
    <t>La Asociación de Análisis del Comportamiento</t>
  </si>
  <si>
    <t>1577-7057</t>
  </si>
  <si>
    <t>International Journal of Psychotherapy</t>
  </si>
  <si>
    <t>1356-9082</t>
  </si>
  <si>
    <t>1469-8498</t>
  </si>
  <si>
    <t>International Journal of Public Opinion Research</t>
  </si>
  <si>
    <t>0954-2892</t>
  </si>
  <si>
    <t>1471-6909</t>
  </si>
  <si>
    <t>Political Science|Social Sciences: Comprehensive Works</t>
  </si>
  <si>
    <t>1099-7717</t>
  </si>
  <si>
    <t>2168-4782</t>
  </si>
  <si>
    <t>International Journal of Reasoning-Based Intelligent Systems</t>
  </si>
  <si>
    <t>1755-0556</t>
  </si>
  <si>
    <t>1755-0564</t>
  </si>
  <si>
    <t>International Journal of STD &amp; AIDS</t>
  </si>
  <si>
    <t>0956-4624</t>
  </si>
  <si>
    <t>1758-1052</t>
  </si>
  <si>
    <t>Medical Sciences--Communicable Diseases</t>
  </si>
  <si>
    <t>International Journal of Selection and Assessment</t>
  </si>
  <si>
    <t>0965-075X</t>
  </si>
  <si>
    <t>1468-2389</t>
  </si>
  <si>
    <t>Business And Economics--Management|Business And Economics--Personnel Management|Psychology</t>
  </si>
  <si>
    <t>International Journal of Sexual Health</t>
  </si>
  <si>
    <t>1931-7611</t>
  </si>
  <si>
    <t>1931-762X</t>
  </si>
  <si>
    <t>The International Journal of Social Psychiatry</t>
  </si>
  <si>
    <t>0020-7640</t>
  </si>
  <si>
    <t>1741-2854</t>
  </si>
  <si>
    <t>International Journal of Social Welfare</t>
  </si>
  <si>
    <t>1369-6866</t>
  </si>
  <si>
    <t>1468-2397</t>
  </si>
  <si>
    <t>International Journal of Special Education</t>
  </si>
  <si>
    <t>0827-3383</t>
  </si>
  <si>
    <t>1917-7844</t>
  </si>
  <si>
    <t>International Journal of Sport Psychology : Official Journal of the International Society of Sports Psychology</t>
  </si>
  <si>
    <t>Edizioni Luigi Pozzi</t>
  </si>
  <si>
    <t>0047-0767</t>
  </si>
  <si>
    <t>Medical Sciences|Medical Sciences--Sports Medicine|Psychology</t>
  </si>
  <si>
    <t>International Journal of Sport and Exercise Psychology</t>
  </si>
  <si>
    <t>1612-197X</t>
  </si>
  <si>
    <t>1557-251X</t>
  </si>
  <si>
    <t>International Journal of Testing</t>
  </si>
  <si>
    <t>1530-5058</t>
  </si>
  <si>
    <t>1532-7574</t>
  </si>
  <si>
    <t>International Journal of Training &amp; Development</t>
  </si>
  <si>
    <t>1360-3736</t>
  </si>
  <si>
    <t>1468-2419</t>
  </si>
  <si>
    <t>The International Journal on Drug Policy</t>
  </si>
  <si>
    <t>0955-3959</t>
  </si>
  <si>
    <t>1873-4758</t>
  </si>
  <si>
    <t>Drug Abuse And Alcoholism|Pharmacy And Pharmacology</t>
  </si>
  <si>
    <t>International Marketing Review</t>
  </si>
  <si>
    <t>0265-1335</t>
  </si>
  <si>
    <t>1758-6763</t>
  </si>
  <si>
    <t>International Psychogeriatrics</t>
  </si>
  <si>
    <t>1041-6102</t>
  </si>
  <si>
    <t>1741-203X</t>
  </si>
  <si>
    <t>International Review of Psychiatry</t>
  </si>
  <si>
    <t>0954-0261</t>
  </si>
  <si>
    <t>1369-1627</t>
  </si>
  <si>
    <t>International Review of Sport and Exercise Psychology</t>
  </si>
  <si>
    <t>1750-984X</t>
  </si>
  <si>
    <t>1750-9858</t>
  </si>
  <si>
    <t>Medical Sciences--Sports Medicine|Physical Fitness And Hygiene|Psychology</t>
  </si>
  <si>
    <t>International Social Work</t>
  </si>
  <si>
    <t>0020-8728</t>
  </si>
  <si>
    <t>1461-7234</t>
  </si>
  <si>
    <t>International Studies in Sociology of Education</t>
  </si>
  <si>
    <t>0962-0214</t>
  </si>
  <si>
    <t>1747-5066</t>
  </si>
  <si>
    <t>Education--Teaching Methods And Curriculum|Sociology</t>
  </si>
  <si>
    <t>Interpersona</t>
  </si>
  <si>
    <t>International Center for Interpersonal Relationship Research</t>
  </si>
  <si>
    <t>1981-6472</t>
  </si>
  <si>
    <t>Interpersonal Considerations in Personality and Anxiety</t>
  </si>
  <si>
    <t>Interpersonal Process Approach Psychotherapy Collection by Dr. Katherine Helm</t>
  </si>
  <si>
    <t>Interpersonal Process Recall</t>
  </si>
  <si>
    <t>Interpersonal World of the Infant : A View From Psychoanalysis and Developmental Psychology</t>
  </si>
  <si>
    <t>Perseus Books Group LLC</t>
  </si>
  <si>
    <t>Intervención Psicosocial</t>
  </si>
  <si>
    <t>1132-0559</t>
  </si>
  <si>
    <t>2173-4712</t>
  </si>
  <si>
    <t>01-Jan-1998--31-Dec-2014</t>
  </si>
  <si>
    <t>Intervention</t>
  </si>
  <si>
    <t>1571-8883</t>
  </si>
  <si>
    <t>1872-1001</t>
  </si>
  <si>
    <t>Intervention in School and Clinic</t>
  </si>
  <si>
    <t>1053-4512</t>
  </si>
  <si>
    <t>1538-4810</t>
  </si>
  <si>
    <t>Education--Special Education And Rehabilitation|Psychology</t>
  </si>
  <si>
    <t>Introducing Mental Health : A Practical Guide</t>
  </si>
  <si>
    <t>Introducing Sociology</t>
  </si>
  <si>
    <t>Introduction to Dyadic Development Psychotherapy</t>
  </si>
  <si>
    <t>Introduction to the Psychology of Ageing for Non-Specialists</t>
  </si>
  <si>
    <t>Invisibilia (Podcast)</t>
  </si>
  <si>
    <t>NPR</t>
  </si>
  <si>
    <t>Invisible Labor : Hidden Work in the Contemporary World</t>
  </si>
  <si>
    <t>Iranian Journal of Psychiatry</t>
  </si>
  <si>
    <t>Tehran University of Medical Sciences, Psychiatry and Psychology Research Center</t>
  </si>
  <si>
    <t>Iran</t>
  </si>
  <si>
    <t>1735-4587</t>
  </si>
  <si>
    <t>2008-2215</t>
  </si>
  <si>
    <t>Irish Journal of Psychological Medicine</t>
  </si>
  <si>
    <t>0790-9667</t>
  </si>
  <si>
    <t>2051-6967</t>
  </si>
  <si>
    <t>The Irish Journal of Psychology</t>
  </si>
  <si>
    <t>0303-3910</t>
  </si>
  <si>
    <t>2158-0812</t>
  </si>
  <si>
    <t>Is Attachment the Problem?  Putting Attachment Theory into Practice</t>
  </si>
  <si>
    <t>Israel Journal of Psychiatry</t>
  </si>
  <si>
    <t>Israel Journal of Psychiatry and Related Sciences</t>
  </si>
  <si>
    <t>Israel</t>
  </si>
  <si>
    <t>2617-2402</t>
  </si>
  <si>
    <t>Issues in Child Abuse Accusations</t>
  </si>
  <si>
    <t>Institute for Psychological Therapies</t>
  </si>
  <si>
    <t>1043-8823</t>
  </si>
  <si>
    <t>2169-0308</t>
  </si>
  <si>
    <t>Children And Youth - About|Criminology And Law Enforcement|Law--Criminal Law|Social Services And Welfare</t>
  </si>
  <si>
    <t>Issues in Comprehensive Pediatric Nursing</t>
  </si>
  <si>
    <t>0146-0862</t>
  </si>
  <si>
    <t>Medical Sciences--Nurses And Nursing|Medical Sciences--Pediatrics</t>
  </si>
  <si>
    <t>Issues in Mental Health Nursing</t>
  </si>
  <si>
    <t>0161-2840</t>
  </si>
  <si>
    <t>1096-4673</t>
  </si>
  <si>
    <t>Medical Sciences--Nurses And Nursing|Medical Sciences--Psychiatry And Neurology|Psychology</t>
  </si>
  <si>
    <t>It's Not Like I'm Poor : How Working Families Make Ends Meet in a Post-Welfare World</t>
  </si>
  <si>
    <t>JAMA</t>
  </si>
  <si>
    <t>American Medical Association</t>
  </si>
  <si>
    <t>0098-7484</t>
  </si>
  <si>
    <t>1538-3598</t>
  </si>
  <si>
    <t>Abstracting And Indexing Services|Medical Sciences|Meetings And Congresses</t>
  </si>
  <si>
    <t>JAMA Neurology</t>
  </si>
  <si>
    <t>2168-6149</t>
  </si>
  <si>
    <t>2168-6157</t>
  </si>
  <si>
    <t>Abstracting And Indexing Services|Medical Sciences--Psychiatry And Neurology</t>
  </si>
  <si>
    <t>JAMA Psychiatry</t>
  </si>
  <si>
    <t>2168-622X</t>
  </si>
  <si>
    <t>2168-6238</t>
  </si>
  <si>
    <t>JEM</t>
  </si>
  <si>
    <t>0022-0655</t>
  </si>
  <si>
    <t>1745-3984</t>
  </si>
  <si>
    <t>JMIR Human Factors</t>
  </si>
  <si>
    <t>JMIR Publications</t>
  </si>
  <si>
    <t>2292-9495</t>
  </si>
  <si>
    <t>JMIR Mental Health</t>
  </si>
  <si>
    <t>2368-7959</t>
  </si>
  <si>
    <t>JMR, Journal of Marketing Research</t>
  </si>
  <si>
    <t>0022-2437</t>
  </si>
  <si>
    <t>1547-7193</t>
  </si>
  <si>
    <t>JMR, Journal of Marketing Research  (pre-1986)</t>
  </si>
  <si>
    <t>Java Films</t>
  </si>
  <si>
    <t>France</t>
  </si>
  <si>
    <t>Jay Haley : Lectures on Therapy</t>
  </si>
  <si>
    <t>Jay Haley Workshop : Directive Therapy for Problems at the Stages of the Family Life Cycle</t>
  </si>
  <si>
    <t>Jennifer, Generalized Anxiety Disorder</t>
  </si>
  <si>
    <t>Jessica Kingsley Publishers Videos</t>
  </si>
  <si>
    <t>Jimmy Warde's Experiences as a Lunatic</t>
  </si>
  <si>
    <t>The Johnson-Gottman Summit</t>
  </si>
  <si>
    <t>The Journal - Addiction Research Foundation</t>
  </si>
  <si>
    <t>0044-6203</t>
  </si>
  <si>
    <t>Journal for Research in Mathematics Education</t>
  </si>
  <si>
    <t>National Council of Teachers of Mathematics</t>
  </si>
  <si>
    <t>0021-8251</t>
  </si>
  <si>
    <t>1945-2306</t>
  </si>
  <si>
    <t>Education--Teaching Methods And Curriculum|Mathematics</t>
  </si>
  <si>
    <t>Journal for Social Action in Counseling and Psychology</t>
  </si>
  <si>
    <t>Ball State University</t>
  </si>
  <si>
    <t>2159-8142</t>
  </si>
  <si>
    <t>Journal for Specialists in Group Work</t>
  </si>
  <si>
    <t>0193-3922</t>
  </si>
  <si>
    <t>1549-6295</t>
  </si>
  <si>
    <t>Journal for Specialists in Pediatric Nursing</t>
  </si>
  <si>
    <t>1539-0136</t>
  </si>
  <si>
    <t>1744-6155</t>
  </si>
  <si>
    <t>01-Jan-2012--31-Dec-2012</t>
  </si>
  <si>
    <t>Journal for the Cognitive Science of Religion</t>
  </si>
  <si>
    <t>2049-7555</t>
  </si>
  <si>
    <t>2049-7563</t>
  </si>
  <si>
    <t>Journal for the Education of the Gifted</t>
  </si>
  <si>
    <t>0162-3532</t>
  </si>
  <si>
    <t>2162-9501</t>
  </si>
  <si>
    <t>Journal for the Scientific Study of Religion</t>
  </si>
  <si>
    <t>0021-8294</t>
  </si>
  <si>
    <t>1468-5906</t>
  </si>
  <si>
    <t>Philosophy|Religions And Theology|Sciences: Comprehensive Works|Sociology</t>
  </si>
  <si>
    <t>Journal for the Study of Religions and Ideologies</t>
  </si>
  <si>
    <t>SACRI The Academic Society for the Research of Religions and Ideologies</t>
  </si>
  <si>
    <t>1583-0039</t>
  </si>
  <si>
    <t>Journal for the Theory of Social Behaviour</t>
  </si>
  <si>
    <t>0021-8308</t>
  </si>
  <si>
    <t>1468-5914</t>
  </si>
  <si>
    <t>Philosophy|Psychology|Social Sciences: Comprehensive Works</t>
  </si>
  <si>
    <t>Journal of Addictions &amp; Offender Counseling</t>
  </si>
  <si>
    <t>1055-3835</t>
  </si>
  <si>
    <t>2161-1874</t>
  </si>
  <si>
    <t>Criminology And Law Enforcement|Social Services And Welfare</t>
  </si>
  <si>
    <t>Journal of Addictive Diseases</t>
  </si>
  <si>
    <t>1055-0887</t>
  </si>
  <si>
    <t>1545-0848</t>
  </si>
  <si>
    <t>Journal of Adolescence</t>
  </si>
  <si>
    <t>0140-1971</t>
  </si>
  <si>
    <t>1095-9254</t>
  </si>
  <si>
    <t>01-Jan-1991--31-Dec-1991</t>
  </si>
  <si>
    <t>Journal of Adolescent Research</t>
  </si>
  <si>
    <t>0743-5584</t>
  </si>
  <si>
    <t>1552-6895</t>
  </si>
  <si>
    <t>Journal of Adolescent and Family Health</t>
  </si>
  <si>
    <t>University of Tennessee at Chattanooga</t>
  </si>
  <si>
    <t>01-Jan-2011--31-Dec-2013</t>
  </si>
  <si>
    <t>Journal of Adult Development</t>
  </si>
  <si>
    <t>1068-0667</t>
  </si>
  <si>
    <t>1573-3440</t>
  </si>
  <si>
    <t>Journal of Advertising</t>
  </si>
  <si>
    <t>0091-3367</t>
  </si>
  <si>
    <t>1557-7805</t>
  </si>
  <si>
    <t>Advertising And Public Relations|Business And Economics</t>
  </si>
  <si>
    <t>Journal of Advertising  (pre-1986)</t>
  </si>
  <si>
    <t>Journal of Advertising Research</t>
  </si>
  <si>
    <t>Advertising Research Foundation</t>
  </si>
  <si>
    <t>0021-8499</t>
  </si>
  <si>
    <t>1740-1909</t>
  </si>
  <si>
    <t>Advertising And Public Relations</t>
  </si>
  <si>
    <t>Journal of Aggression, Conflict and Peace Research</t>
  </si>
  <si>
    <t>1759-6599</t>
  </si>
  <si>
    <t>2042-8715</t>
  </si>
  <si>
    <t>Journal of Aggression, Maltreatment &amp; Trauma</t>
  </si>
  <si>
    <t>1092-6771</t>
  </si>
  <si>
    <t>1545-083X</t>
  </si>
  <si>
    <t>Journal of Aging and Health</t>
  </si>
  <si>
    <t>0898-2643</t>
  </si>
  <si>
    <t>1552-6887</t>
  </si>
  <si>
    <t>The Journal of Aging and Social Change</t>
  </si>
  <si>
    <t>Common Ground Research Networks</t>
  </si>
  <si>
    <t>2576-5310</t>
  </si>
  <si>
    <t>2576-5329</t>
  </si>
  <si>
    <t>Journal of Alcohol and Drug Education</t>
  </si>
  <si>
    <t>American Alcohol and Drug Information Foundation</t>
  </si>
  <si>
    <t>0090-1482</t>
  </si>
  <si>
    <t>2162-4119</t>
  </si>
  <si>
    <t>Journal of American College Health</t>
  </si>
  <si>
    <t>0744-8481</t>
  </si>
  <si>
    <t>1940-3208</t>
  </si>
  <si>
    <t>Education--Higher Education|Physical Fitness And Hygiene|Public Health And Safety</t>
  </si>
  <si>
    <t>Journal of Analytical Psychology</t>
  </si>
  <si>
    <t>0021-8774</t>
  </si>
  <si>
    <t>1468-5922</t>
  </si>
  <si>
    <t>Journal of Applied Animal Welfare Science</t>
  </si>
  <si>
    <t>1088-8705</t>
  </si>
  <si>
    <t>1532-7604</t>
  </si>
  <si>
    <t>Agriculture--Poultry And Livestock|Medical Sciences--Experimental Medicine, Laboratory Technique|Psychology</t>
  </si>
  <si>
    <t>Journal of Applied Behavior Analysis</t>
  </si>
  <si>
    <t>0021-8855</t>
  </si>
  <si>
    <t>1938-3703</t>
  </si>
  <si>
    <t>The Journal of Applied Behavioral Science</t>
  </si>
  <si>
    <t>0021-8863</t>
  </si>
  <si>
    <t>1552-6879</t>
  </si>
  <si>
    <t>01-Mar-1972--31-Dec-1974</t>
  </si>
  <si>
    <t>Journal of Applied Biobehavioral Research</t>
  </si>
  <si>
    <t>1071-2089</t>
  </si>
  <si>
    <t>1751-9861</t>
  </si>
  <si>
    <t>Journal of Applied Communication Research</t>
  </si>
  <si>
    <t>National Communication Association</t>
  </si>
  <si>
    <t>0090-9882</t>
  </si>
  <si>
    <t>1479-5752</t>
  </si>
  <si>
    <t>Communications</t>
  </si>
  <si>
    <t>Journal of Applied Developmental Psychology</t>
  </si>
  <si>
    <t>0193-3973</t>
  </si>
  <si>
    <t>Journal of Applied Gerontology</t>
  </si>
  <si>
    <t>0733-4648</t>
  </si>
  <si>
    <t>1552-4523</t>
  </si>
  <si>
    <t>Journal of Applied Psychology</t>
  </si>
  <si>
    <t>0021-9010</t>
  </si>
  <si>
    <t>1939-1854</t>
  </si>
  <si>
    <t>01-Jan-1975--31-Dec-1975</t>
  </si>
  <si>
    <t>Journal of Applied Rehabilitation Counseling</t>
  </si>
  <si>
    <t>National Rehabilitation Counseling Association</t>
  </si>
  <si>
    <t>0047-2220</t>
  </si>
  <si>
    <t>2639-7641</t>
  </si>
  <si>
    <t>Education|Education--Special Education And Rehabilitation|Psychology|Social Services And Welfare</t>
  </si>
  <si>
    <t>Journal of Applied Research on Children</t>
  </si>
  <si>
    <t>Children at Risk</t>
  </si>
  <si>
    <t>2155-5834</t>
  </si>
  <si>
    <t>Journal of Applied School Psychology</t>
  </si>
  <si>
    <t>1537-7903</t>
  </si>
  <si>
    <t>Journal of Applied Social Psychology</t>
  </si>
  <si>
    <t>0021-9029</t>
  </si>
  <si>
    <t>1559-1816</t>
  </si>
  <si>
    <t>01-Jan-2004--31-Dec-2005</t>
  </si>
  <si>
    <t>Journal of Applied Sport Psychology</t>
  </si>
  <si>
    <t>1041-3200</t>
  </si>
  <si>
    <t>Medical Sciences--Sports Medicine|Psychology</t>
  </si>
  <si>
    <t>Journal of Athletic Training</t>
  </si>
  <si>
    <t>National Athletic Trainers Association</t>
  </si>
  <si>
    <t>1062-6050</t>
  </si>
  <si>
    <t>1938-162X</t>
  </si>
  <si>
    <t>Sports And Games</t>
  </si>
  <si>
    <t>Journal of Autism and Developmental Disorders</t>
  </si>
  <si>
    <t>0162-3257</t>
  </si>
  <si>
    <t>1573-3432</t>
  </si>
  <si>
    <t>Children And Youth - About|Education--Special Education And Rehabilitation|Medical Sciences--Psychiatry And Neurology|Psychology</t>
  </si>
  <si>
    <t>Journal of Behavior Therapy and Experimental Psychiatry</t>
  </si>
  <si>
    <t>0005-7916</t>
  </si>
  <si>
    <t>1873-7943</t>
  </si>
  <si>
    <t>Journal of Behavioral Decision Making</t>
  </si>
  <si>
    <t>0894-3257</t>
  </si>
  <si>
    <t>1099-0771</t>
  </si>
  <si>
    <t>Journal of Behavioral Education</t>
  </si>
  <si>
    <t>1053-0819</t>
  </si>
  <si>
    <t>1573-3513</t>
  </si>
  <si>
    <t>The Journal of Behavioral Finance</t>
  </si>
  <si>
    <t>1542-7560</t>
  </si>
  <si>
    <t>1542-7579</t>
  </si>
  <si>
    <t>Business And Economics--Banking And Finance|Psychology</t>
  </si>
  <si>
    <t>The Journal of Behavioral Health Services &amp; Research</t>
  </si>
  <si>
    <t>1094-3412</t>
  </si>
  <si>
    <t>1556-3308</t>
  </si>
  <si>
    <t>01-Jan-2005--30-Sep-2009</t>
  </si>
  <si>
    <t>Drug Abuse And Alcoholism|Health Facilities And Administration|Psychology|Public Health And Safety|Social Services And Welfare</t>
  </si>
  <si>
    <t>Journal of Behavioral Medicine</t>
  </si>
  <si>
    <t>0160-7715</t>
  </si>
  <si>
    <t>1573-3521</t>
  </si>
  <si>
    <t>Journal of Behavioral Optometry</t>
  </si>
  <si>
    <t>Optometric Extension Program Foundation</t>
  </si>
  <si>
    <t>1045-8395</t>
  </si>
  <si>
    <t>Journal of Behavioral and Applied Management</t>
  </si>
  <si>
    <t>Institute of Behavioral and Applied Management</t>
  </si>
  <si>
    <t>1930-0158</t>
  </si>
  <si>
    <t>Journal of Behavioural Sciences</t>
  </si>
  <si>
    <t>AsiaNet Pakistan (Pvt) Ltd.</t>
  </si>
  <si>
    <t>1028-9097</t>
  </si>
  <si>
    <t>Journal of Bioeconomics</t>
  </si>
  <si>
    <t>1387-6996</t>
  </si>
  <si>
    <t>1573-6989</t>
  </si>
  <si>
    <t>Biology|Business And Economics--Economic Systems And Theories, Economic History</t>
  </si>
  <si>
    <t>Journal of Biological Rhythms</t>
  </si>
  <si>
    <t>0748-7304</t>
  </si>
  <si>
    <t>1552-4531</t>
  </si>
  <si>
    <t>Journal of Biosocial Science</t>
  </si>
  <si>
    <t>0021-9320</t>
  </si>
  <si>
    <t>1469-7599</t>
  </si>
  <si>
    <t>Biology--Genetics|Population Studies|Sociology</t>
  </si>
  <si>
    <t>Journal of Bisexuality</t>
  </si>
  <si>
    <t>1529-9716</t>
  </si>
  <si>
    <t>1529-9724</t>
  </si>
  <si>
    <t>Journal of Black Psychology</t>
  </si>
  <si>
    <t>0095-7984</t>
  </si>
  <si>
    <t>1552-4558</t>
  </si>
  <si>
    <t>01-Jan-1984--31-Dec-1984; 01-Jan-1988--31-Dec-1988</t>
  </si>
  <si>
    <t>Journal of Black Studies</t>
  </si>
  <si>
    <t>0021-9347</t>
  </si>
  <si>
    <t>1552-4566</t>
  </si>
  <si>
    <t>Education|Ethnic Interests|Social Sciences: Comprehensive Works</t>
  </si>
  <si>
    <t>Journal of Broadcasting &amp; Electronic Media</t>
  </si>
  <si>
    <t>0883-8151</t>
  </si>
  <si>
    <t>1550-6878</t>
  </si>
  <si>
    <t>01-Jan-1987--31-Dec-1987</t>
  </si>
  <si>
    <t>Communications--Television And Cable|Education</t>
  </si>
  <si>
    <t>Journal of Business Ethics</t>
  </si>
  <si>
    <t>0167-4544</t>
  </si>
  <si>
    <t>1573-0697</t>
  </si>
  <si>
    <t>Business And Economics|Law</t>
  </si>
  <si>
    <t>Journal of Business Ethics  (1986-1998)</t>
  </si>
  <si>
    <t>Journal of Business Ethics  (pre-1986)</t>
  </si>
  <si>
    <t>Journal of Business and Behavioral Sciences</t>
  </si>
  <si>
    <t>American Society of Business and Behavioral Sciences</t>
  </si>
  <si>
    <t>1099-5374</t>
  </si>
  <si>
    <t>1946-8113</t>
  </si>
  <si>
    <t>Journal of Business and Psychology</t>
  </si>
  <si>
    <t>0889-3268</t>
  </si>
  <si>
    <t>1573-353X</t>
  </si>
  <si>
    <t>Business And Economics|Psychology</t>
  </si>
  <si>
    <t>Journal of Cancer Education</t>
  </si>
  <si>
    <t>0885-8195</t>
  </si>
  <si>
    <t>1543-0154</t>
  </si>
  <si>
    <t>01-Jan-2004--31-Dec-2006</t>
  </si>
  <si>
    <t>01-Dec-2003--31-Dec-2006</t>
  </si>
  <si>
    <t>Journal of Cancer Survivorship</t>
  </si>
  <si>
    <t>1932-2259</t>
  </si>
  <si>
    <t>1932-2267</t>
  </si>
  <si>
    <t>Journal of Career Assessment</t>
  </si>
  <si>
    <t>Psychological Assessment Resources, Inc.</t>
  </si>
  <si>
    <t>1069-0727</t>
  </si>
  <si>
    <t>1552-4590</t>
  </si>
  <si>
    <t>Journal of Career Development</t>
  </si>
  <si>
    <t>0894-8453</t>
  </si>
  <si>
    <t>1573-3548</t>
  </si>
  <si>
    <t>Occupations And Careers</t>
  </si>
  <si>
    <t>Journal of Change Management</t>
  </si>
  <si>
    <t>1469-7017</t>
  </si>
  <si>
    <t>1479-1811</t>
  </si>
  <si>
    <t>Journal of Character Education</t>
  </si>
  <si>
    <t>Information Age Publishing</t>
  </si>
  <si>
    <t>1543-1223</t>
  </si>
  <si>
    <t>Education--Teaching Methods And Curriculum|Religions And Theology</t>
  </si>
  <si>
    <t>Journal of Child &amp; Adolescent Substance Abuse</t>
  </si>
  <si>
    <t>1067-828X</t>
  </si>
  <si>
    <t>1547-0652</t>
  </si>
  <si>
    <t>Children And Youth - About|Drug Abuse And Alcoholism</t>
  </si>
  <si>
    <t>Journal of Child &amp; Adolescent Trauma</t>
  </si>
  <si>
    <t>1936-1521</t>
  </si>
  <si>
    <t>1936-153X</t>
  </si>
  <si>
    <t>01-Jan-2014--31-Dec-2017</t>
  </si>
  <si>
    <t>Journal of Child Language</t>
  </si>
  <si>
    <t>0305-0009</t>
  </si>
  <si>
    <t>1469-7602</t>
  </si>
  <si>
    <t>Children And Youth - About|Linguistics|Psychology</t>
  </si>
  <si>
    <t>Journal of Child Neurology</t>
  </si>
  <si>
    <t>0883-0738</t>
  </si>
  <si>
    <t>1708-8283</t>
  </si>
  <si>
    <t>Medical Sciences--Pediatrics|Medical Sciences--Psychiatry And Neurology</t>
  </si>
  <si>
    <t>Journal of Child Psychology and Psychiatry</t>
  </si>
  <si>
    <t>0021-9630</t>
  </si>
  <si>
    <t>1469-7610</t>
  </si>
  <si>
    <t>Journal of Child Psychotherapy</t>
  </si>
  <si>
    <t>0075-417X</t>
  </si>
  <si>
    <t>Journal of Child Sexual Abuse</t>
  </si>
  <si>
    <t>1053-8712</t>
  </si>
  <si>
    <t>1547-0679</t>
  </si>
  <si>
    <t>Journal of Child and Adolescent Psychiatric Nursing</t>
  </si>
  <si>
    <t>1073-6077</t>
  </si>
  <si>
    <t>1744-6171</t>
  </si>
  <si>
    <t>Medical Sciences--Nurses And Nursing|Medical Sciences--Pediatrics|Medical Sciences--Psychiatry And Neurology</t>
  </si>
  <si>
    <t>Journal of Child and Adolescent Psychopharmacology</t>
  </si>
  <si>
    <t>1044-5463</t>
  </si>
  <si>
    <t>1557-8992</t>
  </si>
  <si>
    <t>Journal of Child and Family Studies</t>
  </si>
  <si>
    <t>1062-1024</t>
  </si>
  <si>
    <t>1573-2843</t>
  </si>
  <si>
    <t>Journal of Children's Services</t>
  </si>
  <si>
    <t>1746-6660</t>
  </si>
  <si>
    <t>2042-8677</t>
  </si>
  <si>
    <t>Journal of Clinical Child and Adolescent Psychology</t>
  </si>
  <si>
    <t>1537-4416</t>
  </si>
  <si>
    <t>1537-4424</t>
  </si>
  <si>
    <t>The Journal of Clinical Psychiatry</t>
  </si>
  <si>
    <t>Physicians Postgraduate Press</t>
  </si>
  <si>
    <t>0160-6689</t>
  </si>
  <si>
    <t>1555-2101</t>
  </si>
  <si>
    <t>Journal of Clinical Psychology</t>
  </si>
  <si>
    <t>0021-9762</t>
  </si>
  <si>
    <t>1097-4679</t>
  </si>
  <si>
    <t>Journal of Clinical Sport Psychology</t>
  </si>
  <si>
    <t>1932-9261</t>
  </si>
  <si>
    <t>1932-927X</t>
  </si>
  <si>
    <t>Journal of Clinical and Experimental Neuropsychology : Official Journal of the International Neuropsychological Society</t>
  </si>
  <si>
    <t>Swets &amp; Zeitlinger bv</t>
  </si>
  <si>
    <t>1380-3395</t>
  </si>
  <si>
    <t>1744-411X</t>
  </si>
  <si>
    <t>Journal of Cognition and Development</t>
  </si>
  <si>
    <t>1524-8372</t>
  </si>
  <si>
    <t>1532-7647</t>
  </si>
  <si>
    <t>Journal of Cognitive Education and Psychology</t>
  </si>
  <si>
    <t>1945-8959</t>
  </si>
  <si>
    <t>1810-7621</t>
  </si>
  <si>
    <t>Education--Teaching Methods And Curriculum|Psychology</t>
  </si>
  <si>
    <t>Journal of Cognitive Neuroscience</t>
  </si>
  <si>
    <t>MIT Press Journals, The</t>
  </si>
  <si>
    <t>0898-929X</t>
  </si>
  <si>
    <t>1530-8898</t>
  </si>
  <si>
    <t>Journal of Cognitive Psychotherapy</t>
  </si>
  <si>
    <t>0889-8391</t>
  </si>
  <si>
    <t>1938-887X</t>
  </si>
  <si>
    <t>Journal of College Admission</t>
  </si>
  <si>
    <t>National Association of College Admissions Counselors</t>
  </si>
  <si>
    <t>0734-6670</t>
  </si>
  <si>
    <t>Education--Higher Education|Education--School Organization And Administration</t>
  </si>
  <si>
    <t>Journal of College Counseling</t>
  </si>
  <si>
    <t>1099-0399</t>
  </si>
  <si>
    <t>2161-1882</t>
  </si>
  <si>
    <t>Education--Higher Education|Psychology</t>
  </si>
  <si>
    <t>Journal of College Student Development</t>
  </si>
  <si>
    <t>0897-5264</t>
  </si>
  <si>
    <t>1543-3382</t>
  </si>
  <si>
    <t>Journal of College Student Psychotherapy</t>
  </si>
  <si>
    <t>8756-8225</t>
  </si>
  <si>
    <t>Journal of Communication</t>
  </si>
  <si>
    <t>0021-9916</t>
  </si>
  <si>
    <t>1460-2466</t>
  </si>
  <si>
    <t>Communications|Education|Journalism|Medical Sciences|Psychology|Sociology</t>
  </si>
  <si>
    <t>Journal of Communication (1986-1998)</t>
  </si>
  <si>
    <t>Journal of Communication (pre-1986)</t>
  </si>
  <si>
    <t>Journal of Communication Management</t>
  </si>
  <si>
    <t>1363-254X</t>
  </si>
  <si>
    <t>1478-0852</t>
  </si>
  <si>
    <t>Journal of Community &amp; Applied Social Psychology</t>
  </si>
  <si>
    <t>1052-9284</t>
  </si>
  <si>
    <t>1099-1298</t>
  </si>
  <si>
    <t>Journal of Community Health</t>
  </si>
  <si>
    <t>0094-5145</t>
  </si>
  <si>
    <t>1573-3610</t>
  </si>
  <si>
    <t>Health Facilities And Administration|Medical Sciences|Public Health And Safety</t>
  </si>
  <si>
    <t>Journal of Community Health Nursing</t>
  </si>
  <si>
    <t>0737-0016</t>
  </si>
  <si>
    <t>1532-7655</t>
  </si>
  <si>
    <t>Journal of Community Psychology</t>
  </si>
  <si>
    <t>0090-4392</t>
  </si>
  <si>
    <t>1520-6629</t>
  </si>
  <si>
    <t>Journal of Comparative Family Studies</t>
  </si>
  <si>
    <t>0047-2328</t>
  </si>
  <si>
    <t>1929-9850</t>
  </si>
  <si>
    <t>Journal of Comparative Psychology</t>
  </si>
  <si>
    <t>0735-7036</t>
  </si>
  <si>
    <t>1939-2087</t>
  </si>
  <si>
    <t>Journal of Comparative Research in Anthropology and Sociology</t>
  </si>
  <si>
    <t>University of Bucharest, Department of Sociology, Doctoral School of Sociology</t>
  </si>
  <si>
    <t>2068-0317</t>
  </si>
  <si>
    <t>Journal of Computational Neuroscience</t>
  </si>
  <si>
    <t>0929-5313</t>
  </si>
  <si>
    <t>1573-6873</t>
  </si>
  <si>
    <t>Journal of Computer Assisted Learning</t>
  </si>
  <si>
    <t>0266-4909</t>
  </si>
  <si>
    <t>1365-2729</t>
  </si>
  <si>
    <t>Computers--Computer Assisted Instruction|Education--Computer Applications</t>
  </si>
  <si>
    <t>Journal of Concurrent Disorders</t>
  </si>
  <si>
    <t>Concurrent Disorders Society Inc.</t>
  </si>
  <si>
    <t>2562-7546</t>
  </si>
  <si>
    <t>The Journal of Conflict Resolution  (1986-1998)</t>
  </si>
  <si>
    <t>0022-0027</t>
  </si>
  <si>
    <t>1552-8766</t>
  </si>
  <si>
    <t>Political Science--International Relations|Psychology|Social Sciences: Comprehensive Works|Sociology</t>
  </si>
  <si>
    <t>The Journal of Conflict Resolution  (pre-1986)</t>
  </si>
  <si>
    <t>The Journal of Conflict Resolution</t>
  </si>
  <si>
    <t>Journal of Constructivist Psychology</t>
  </si>
  <si>
    <t>1072-0537</t>
  </si>
  <si>
    <t>1521-0650</t>
  </si>
  <si>
    <t>Journal of Consulting and Clinical Psychology</t>
  </si>
  <si>
    <t>0022-006X</t>
  </si>
  <si>
    <t>1939-2117</t>
  </si>
  <si>
    <t>The Journal of Consumer Affairs (1986-1998)</t>
  </si>
  <si>
    <t>0022-0078</t>
  </si>
  <si>
    <t>1745-6606</t>
  </si>
  <si>
    <t>Business And Economics|Consumer Education And Protection</t>
  </si>
  <si>
    <t>The Journal of Consumer Affairs (pre-1986)</t>
  </si>
  <si>
    <t>The Journal of Consumer Affairs</t>
  </si>
  <si>
    <t>01-Jan-1973--31-Dec-1973</t>
  </si>
  <si>
    <t>Journal of Consumer Behaviour</t>
  </si>
  <si>
    <t>1472-0817</t>
  </si>
  <si>
    <t>1479-1838</t>
  </si>
  <si>
    <t>The Journal of Consumer Marketing</t>
  </si>
  <si>
    <t>0736-3761</t>
  </si>
  <si>
    <t>2052-1200</t>
  </si>
  <si>
    <t>Journal of Consumer Psychology</t>
  </si>
  <si>
    <t>Elsevier Science Publishing Company, Incorporated</t>
  </si>
  <si>
    <t>1057-7408</t>
  </si>
  <si>
    <t>1532-7663</t>
  </si>
  <si>
    <t>Advertising And Public Relations|Psychology</t>
  </si>
  <si>
    <t>Journal of Consumer Research</t>
  </si>
  <si>
    <t>0093-5301</t>
  </si>
  <si>
    <t>1537-5277</t>
  </si>
  <si>
    <t>Journal of Consumer Satisfaction, Dissatisfaction and Complaining Behavior</t>
  </si>
  <si>
    <t>Consumer Satisfaction, Dissatisfaction and Complaining Behavior</t>
  </si>
  <si>
    <t>0899-8620</t>
  </si>
  <si>
    <t>Journal of Contemporary Criminal Justice</t>
  </si>
  <si>
    <t>1043-9862</t>
  </si>
  <si>
    <t>1552-5406</t>
  </si>
  <si>
    <t>Journal of Contemporary Ethnography</t>
  </si>
  <si>
    <t>0891-2416</t>
  </si>
  <si>
    <t>1552-5414</t>
  </si>
  <si>
    <t>01-Jan-1973--31-Dec-1974; 01-Jan-1979--31-Dec-1979; 01-Jan-1981--31-Dec-1981; 01-Jan-1983--31-Dec-1984; 01-Jan-1986--31-Dec-1986; 01-Jan-1988--31-Dec-1988</t>
  </si>
  <si>
    <t>Journal of Contemporary Psychotherapy</t>
  </si>
  <si>
    <t>0022-0116</t>
  </si>
  <si>
    <t>1573-3564</t>
  </si>
  <si>
    <t>Medical Sciences--Psychiatry And Neurology|Physics|Psychology</t>
  </si>
  <si>
    <t>Journal of Contingencies and Crisis Management</t>
  </si>
  <si>
    <t>0966-0879</t>
  </si>
  <si>
    <t>1468-5973</t>
  </si>
  <si>
    <t>Business And Economics--Management|Psychology|Social Services And Welfare</t>
  </si>
  <si>
    <t>Journal of Counseling Psychology</t>
  </si>
  <si>
    <t>0022-0167</t>
  </si>
  <si>
    <t>1939-2168</t>
  </si>
  <si>
    <t>Journal of Counseling and Development : JCD</t>
  </si>
  <si>
    <t>0748-9633</t>
  </si>
  <si>
    <t>1556-6676</t>
  </si>
  <si>
    <t>Education|Occupations And Careers|Psychology</t>
  </si>
  <si>
    <t>Journal of Counselor Preparation and Supervision</t>
  </si>
  <si>
    <t>North Atlantic Region Association for Counselor Education and Supervision</t>
  </si>
  <si>
    <t>2164-3288</t>
  </si>
  <si>
    <t>Journal of Couple &amp; Relationship Therapy</t>
  </si>
  <si>
    <t>1533-2691</t>
  </si>
  <si>
    <t>1533-2683</t>
  </si>
  <si>
    <t>Men's Interests|Psychology|Women's Interests</t>
  </si>
  <si>
    <t>Journal of Creativity in Mental Health</t>
  </si>
  <si>
    <t>Haworth Press, Inc.</t>
  </si>
  <si>
    <t>1540-1383</t>
  </si>
  <si>
    <t>1540-1391</t>
  </si>
  <si>
    <t>Journal of Crime &amp; Justice</t>
  </si>
  <si>
    <t>0735-648X</t>
  </si>
  <si>
    <t>2158-9119</t>
  </si>
  <si>
    <t>01-Jan-1992--31-Dec-1992</t>
  </si>
  <si>
    <t>Journal of Criminal Justice</t>
  </si>
  <si>
    <t>0047-2352</t>
  </si>
  <si>
    <t>1873-6203</t>
  </si>
  <si>
    <t>Criminology And Law Enforcement|Law|Law--Criminal Law</t>
  </si>
  <si>
    <t>Journal of Criminal Justice Education</t>
  </si>
  <si>
    <t>1051-1253</t>
  </si>
  <si>
    <t>1745-9117</t>
  </si>
  <si>
    <t>Criminology And Law Enforcement|Education--Teaching Methods And Curriculum</t>
  </si>
  <si>
    <t>Journal of Criminal Psychology</t>
  </si>
  <si>
    <t>2009-3829</t>
  </si>
  <si>
    <t>2049-9388</t>
  </si>
  <si>
    <t>The Journal of Critical Psychology, Counselling and Psychotherapy</t>
  </si>
  <si>
    <t>PCCS Books</t>
  </si>
  <si>
    <t>1471-7646</t>
  </si>
  <si>
    <t>Journal of Cross - Cultural Psychology</t>
  </si>
  <si>
    <t>0022-0221</t>
  </si>
  <si>
    <t>1552-5422</t>
  </si>
  <si>
    <t>Journal of Cross-Cultural Gerontology</t>
  </si>
  <si>
    <t>0169-3816</t>
  </si>
  <si>
    <t>1573-0719</t>
  </si>
  <si>
    <t>Anthropology|Gerontology And Geriatrics</t>
  </si>
  <si>
    <t>Journal of Deaf Studies and Deaf Education</t>
  </si>
  <si>
    <t>1081-4159</t>
  </si>
  <si>
    <t>1465-7325</t>
  </si>
  <si>
    <t>Journal of Developmental and Behavioral Pediatrics</t>
  </si>
  <si>
    <t>0196-206X</t>
  </si>
  <si>
    <t>1536-7312</t>
  </si>
  <si>
    <t>Medical Sciences--Pediatrics|Psychology</t>
  </si>
  <si>
    <t>Journal of Disability &amp; Religion</t>
  </si>
  <si>
    <t>2331-2521</t>
  </si>
  <si>
    <t>2331-253X</t>
  </si>
  <si>
    <t>Journal of Disability Policy Studies</t>
  </si>
  <si>
    <t>1044-2073</t>
  </si>
  <si>
    <t>1538-4802</t>
  </si>
  <si>
    <t>Journal of Diversity Management (Online)</t>
  </si>
  <si>
    <t>The Clute Institute</t>
  </si>
  <si>
    <t>2157-9512</t>
  </si>
  <si>
    <t>Journal of Divorce &amp; Remarriage</t>
  </si>
  <si>
    <t>1050-2556</t>
  </si>
  <si>
    <t>1540-4811</t>
  </si>
  <si>
    <t>Law--Family And Matrimonial Law|Matrimony|Sociology</t>
  </si>
  <si>
    <t>Journal of Drug Addiction, Education, and Eradication</t>
  </si>
  <si>
    <t>Drug Abuse And Alcoholism|Education--Special Education And Rehabilitation</t>
  </si>
  <si>
    <t>Journal of Drug Education</t>
  </si>
  <si>
    <t>0047-2379</t>
  </si>
  <si>
    <t>1541-4159</t>
  </si>
  <si>
    <t>Journal of Drug Issues</t>
  </si>
  <si>
    <t>0022-0426</t>
  </si>
  <si>
    <t>1945-1369</t>
  </si>
  <si>
    <t>01-Jan-1988--01-Jul-1995</t>
  </si>
  <si>
    <t>The Journal of ECT</t>
  </si>
  <si>
    <t>1095-0680</t>
  </si>
  <si>
    <t>1533-4112</t>
  </si>
  <si>
    <t>Journal of EMDR Practice and Research</t>
  </si>
  <si>
    <t>1933-3196</t>
  </si>
  <si>
    <t>1933-320X</t>
  </si>
  <si>
    <t>The Journal of Early Adolescence</t>
  </si>
  <si>
    <t>0272-4316</t>
  </si>
  <si>
    <t>1552-5449</t>
  </si>
  <si>
    <t>Journal of Early Childhood Care and Education</t>
  </si>
  <si>
    <t>Allama Iqbal Open University</t>
  </si>
  <si>
    <t>2616-7557</t>
  </si>
  <si>
    <t>2616-7565</t>
  </si>
  <si>
    <t>Journal of Early Childhood and Infant Psychology</t>
  </si>
  <si>
    <t>Pace University</t>
  </si>
  <si>
    <t>1554-6144</t>
  </si>
  <si>
    <t>Journal of Early Intervention</t>
  </si>
  <si>
    <t>1053-8151</t>
  </si>
  <si>
    <t>2154-3992</t>
  </si>
  <si>
    <t>Children And Youth - About|Education--Special Education And Rehabilitation|Education--Teaching Methods And Curriculum</t>
  </si>
  <si>
    <t>Journal of Eating Disorders</t>
  </si>
  <si>
    <t>2050-2974</t>
  </si>
  <si>
    <t>Journal of Economic Behavior &amp; Organization</t>
  </si>
  <si>
    <t>0167-2681</t>
  </si>
  <si>
    <t>1879-1751</t>
  </si>
  <si>
    <t>Journal of Economic Psychology</t>
  </si>
  <si>
    <t>0167-4870</t>
  </si>
  <si>
    <t>1872-7719</t>
  </si>
  <si>
    <t>Business And Economics--Marketing And Purchasing|Psychology</t>
  </si>
  <si>
    <t>Journal of Education</t>
  </si>
  <si>
    <t>0022-0574</t>
  </si>
  <si>
    <t>2515-5741</t>
  </si>
  <si>
    <t>Journal of Education &amp; Psychology</t>
  </si>
  <si>
    <t>National Chengchi University, Editorial Board of Journal of Education &amp; Psychology</t>
  </si>
  <si>
    <t>Taiwan</t>
  </si>
  <si>
    <t>1024-9885</t>
  </si>
  <si>
    <t>Chinese</t>
  </si>
  <si>
    <t>Journal of Education for Students Placed at Risk</t>
  </si>
  <si>
    <t>1082-4669</t>
  </si>
  <si>
    <t>1532-7671</t>
  </si>
  <si>
    <t>Journal of Educational &amp; Psychological Consultation</t>
  </si>
  <si>
    <t>1047-4412</t>
  </si>
  <si>
    <t>1532-768X</t>
  </si>
  <si>
    <t>Journal of Educational Psychology</t>
  </si>
  <si>
    <t>0022-0663</t>
  </si>
  <si>
    <t>1939-2176</t>
  </si>
  <si>
    <t>The Journal of Educational Research</t>
  </si>
  <si>
    <t>0022-0671</t>
  </si>
  <si>
    <t>1940-0675</t>
  </si>
  <si>
    <t>Journal of Educational Sciences and Psychology</t>
  </si>
  <si>
    <t>PG University Ploiesti Publishling House</t>
  </si>
  <si>
    <t>2247-6377</t>
  </si>
  <si>
    <t>2247-8558</t>
  </si>
  <si>
    <t>Journal of Educational and Behavioral Statistics</t>
  </si>
  <si>
    <t>1076-9986</t>
  </si>
  <si>
    <t>1935-1054</t>
  </si>
  <si>
    <t>Education|Statistics</t>
  </si>
  <si>
    <t>Journal of Elder Abuse &amp; Neglect</t>
  </si>
  <si>
    <t>0894-6566</t>
  </si>
  <si>
    <t>1540-4129</t>
  </si>
  <si>
    <t>Journal of Emotional and Behavioral Disorders</t>
  </si>
  <si>
    <t>1063-4266</t>
  </si>
  <si>
    <t>1538-4799</t>
  </si>
  <si>
    <t>Education--Special Education And Rehabilitation|Medical Sciences|Medical Sciences--Psychiatry And Neurology|Psychology</t>
  </si>
  <si>
    <t>Journal of Empirical Research on Human Research Ethics</t>
  </si>
  <si>
    <t>1556-2646</t>
  </si>
  <si>
    <t>1556-2654</t>
  </si>
  <si>
    <t>Journal of Employment Counseling</t>
  </si>
  <si>
    <t>0022-0787</t>
  </si>
  <si>
    <t>2161-1920</t>
  </si>
  <si>
    <t>The Journal of Environmental Education</t>
  </si>
  <si>
    <t>0095-8964</t>
  </si>
  <si>
    <t>1940-1892</t>
  </si>
  <si>
    <t>Environmental Studies</t>
  </si>
  <si>
    <t>Journal of Epidemiology and Community Health</t>
  </si>
  <si>
    <t>0143-005X</t>
  </si>
  <si>
    <t>1470-2738</t>
  </si>
  <si>
    <t>Journal of Epidemiology and Community Health (1978)</t>
  </si>
  <si>
    <t>0141-7681</t>
  </si>
  <si>
    <t>Journal of Ethics in Mental Health</t>
  </si>
  <si>
    <t>1916-2405</t>
  </si>
  <si>
    <t>Journal of Ethnic &amp; Cultural Diversity in Social Work</t>
  </si>
  <si>
    <t>1531-3204</t>
  </si>
  <si>
    <t>1531-3212</t>
  </si>
  <si>
    <t>Ethnic Interests|Social Services And Welfare</t>
  </si>
  <si>
    <t>Journal of Ethnicity in Substance Abuse</t>
  </si>
  <si>
    <t>1533-2640</t>
  </si>
  <si>
    <t>1533-2659</t>
  </si>
  <si>
    <t>Drug Abuse And Alcoholism|Library And Information Sciences</t>
  </si>
  <si>
    <t>Journal of Evidence - Based Psychotherapies</t>
  </si>
  <si>
    <t>2360-0853</t>
  </si>
  <si>
    <t>Journal of Evidence-Informed Social Work</t>
  </si>
  <si>
    <t>1543-3714</t>
  </si>
  <si>
    <t>1543-3722</t>
  </si>
  <si>
    <t>Journal of Evolutionary Economics</t>
  </si>
  <si>
    <t>0936-9937</t>
  </si>
  <si>
    <t>1432-1386</t>
  </si>
  <si>
    <t>01-Jan-1999--31-Dec-2001</t>
  </si>
  <si>
    <t>Journal of Experimental Child Psychology</t>
  </si>
  <si>
    <t>0022-0965</t>
  </si>
  <si>
    <t>1096-0457</t>
  </si>
  <si>
    <t>01-Mar-2001--30-Jun-2006</t>
  </si>
  <si>
    <t>Journal of Experimental Criminology</t>
  </si>
  <si>
    <t>1573-3750</t>
  </si>
  <si>
    <t>1572-8315</t>
  </si>
  <si>
    <t>The Journal of Experimental Education</t>
  </si>
  <si>
    <t>0022-0973</t>
  </si>
  <si>
    <t>1940-0683</t>
  </si>
  <si>
    <t>Journal of Experimental Psychology</t>
  </si>
  <si>
    <t>0278-7393</t>
  </si>
  <si>
    <t>1939-1285</t>
  </si>
  <si>
    <t>0096-1523</t>
  </si>
  <si>
    <t>1939-1277</t>
  </si>
  <si>
    <t>2329-8456</t>
  </si>
  <si>
    <t>2329-8464</t>
  </si>
  <si>
    <t>0096-3445</t>
  </si>
  <si>
    <t>1939-2222</t>
  </si>
  <si>
    <t>Journal of Experimental Psychopathology</t>
  </si>
  <si>
    <t>2043-8087</t>
  </si>
  <si>
    <t>Journal of Experimental Social Psychology</t>
  </si>
  <si>
    <t>0022-1031</t>
  </si>
  <si>
    <t>1096-0465</t>
  </si>
  <si>
    <t>Journal of Family Communication</t>
  </si>
  <si>
    <t>1526-7431</t>
  </si>
  <si>
    <t>1532-7698</t>
  </si>
  <si>
    <t>Journal of Family Issues</t>
  </si>
  <si>
    <t>0192-513X</t>
  </si>
  <si>
    <t>1552-5481</t>
  </si>
  <si>
    <t>Journal of Family Nursing</t>
  </si>
  <si>
    <t>1074-8407</t>
  </si>
  <si>
    <t>1552-549X</t>
  </si>
  <si>
    <t>Journal of Family Psychology</t>
  </si>
  <si>
    <t>0893-3200</t>
  </si>
  <si>
    <t>1939-1293</t>
  </si>
  <si>
    <t>Journal of Family Psychotherapy</t>
  </si>
  <si>
    <t>0897-5353</t>
  </si>
  <si>
    <t>1540-4080</t>
  </si>
  <si>
    <t>Journal of Family Social Work</t>
  </si>
  <si>
    <t>1052-2158</t>
  </si>
  <si>
    <t>Journal of Family Strengths</t>
  </si>
  <si>
    <t>2168-670X</t>
  </si>
  <si>
    <t>01-Jan-2004--31-Dec-2004; 01-Jan-2008--31-Dec-2010</t>
  </si>
  <si>
    <t>Journal of Family Studies</t>
  </si>
  <si>
    <t>1322-9400</t>
  </si>
  <si>
    <t>1839-3543</t>
  </si>
  <si>
    <t>Matrimony|Psychology</t>
  </si>
  <si>
    <t>Journal of Family Therapy</t>
  </si>
  <si>
    <t>0163-4445</t>
  </si>
  <si>
    <t>1467-6427</t>
  </si>
  <si>
    <t>Medical Sciences--Psychiatry And Neurology|Psychology|Sociology</t>
  </si>
  <si>
    <t>Journal of Family Trauma, Child Custody &amp; Child Development</t>
  </si>
  <si>
    <t>2690-4586</t>
  </si>
  <si>
    <t>2690-4594</t>
  </si>
  <si>
    <t>Journal of Family Violence</t>
  </si>
  <si>
    <t>0885-7482</t>
  </si>
  <si>
    <t>1573-2851</t>
  </si>
  <si>
    <t>Criminology And Law Enforcement|Psychology|Sociology</t>
  </si>
  <si>
    <t>Journal of Family and Economic Issues</t>
  </si>
  <si>
    <t>1058-0476</t>
  </si>
  <si>
    <t>1573-3475</t>
  </si>
  <si>
    <t>Journal of Feminist Family Therapy</t>
  </si>
  <si>
    <t>0895-2833</t>
  </si>
  <si>
    <t>1540-4099</t>
  </si>
  <si>
    <t>Journal of Financial Counseling and Planning</t>
  </si>
  <si>
    <t>Association for Financial Counseling and Planning Education</t>
  </si>
  <si>
    <t>1052-3073</t>
  </si>
  <si>
    <t>Business And Economics--Banking And Finance</t>
  </si>
  <si>
    <t>Journal of Fluency Disorders</t>
  </si>
  <si>
    <t>0094-730X</t>
  </si>
  <si>
    <t>1873-801X</t>
  </si>
  <si>
    <t>Journal of Forensic Practice</t>
  </si>
  <si>
    <t>2050-8794</t>
  </si>
  <si>
    <t>2050-8808</t>
  </si>
  <si>
    <t>The Journal of Forensic Psychiatry &amp; Psychology</t>
  </si>
  <si>
    <t>1478-9949</t>
  </si>
  <si>
    <t>1478-9957</t>
  </si>
  <si>
    <t>Medical Sciences--Forensic Sciences|Medical Sciences--Psychiatry And Neurology</t>
  </si>
  <si>
    <t>Journal of Forensic Psychology Research and Practice</t>
  </si>
  <si>
    <t>2473-2850</t>
  </si>
  <si>
    <t>2473-2842</t>
  </si>
  <si>
    <t>Journal of Gambling Studies</t>
  </si>
  <si>
    <t>1050-5350</t>
  </si>
  <si>
    <t>1573-3602</t>
  </si>
  <si>
    <t>Medical Sciences--Psychiatry And Neurology|Psychology|Sports And Games</t>
  </si>
  <si>
    <t>Journal of Gambling Studies (Online)</t>
  </si>
  <si>
    <t>Medical Sciences--Psychiatry And Neurology|Sports And Games</t>
  </si>
  <si>
    <t>Journal of Gay &amp; Lesbian Mental Health</t>
  </si>
  <si>
    <t>1935-9705</t>
  </si>
  <si>
    <t>1935-9713</t>
  </si>
  <si>
    <t>Journal of Gay &amp; Lesbian Social Services</t>
  </si>
  <si>
    <t>1053-8720</t>
  </si>
  <si>
    <t>1540-4056</t>
  </si>
  <si>
    <t>Journal of Gender Studies</t>
  </si>
  <si>
    <t>0958-9236</t>
  </si>
  <si>
    <t>1465-3869</t>
  </si>
  <si>
    <t>Men's Studies|Women's Studies</t>
  </si>
  <si>
    <t>The Journal of General Psychology</t>
  </si>
  <si>
    <t>0022-1309</t>
  </si>
  <si>
    <t>1940-0888</t>
  </si>
  <si>
    <t>Journal of Genetic Counseling</t>
  </si>
  <si>
    <t>1059-7700</t>
  </si>
  <si>
    <t>1573-3599</t>
  </si>
  <si>
    <t>The Journal of Genetic Psychology</t>
  </si>
  <si>
    <t>0022-1325</t>
  </si>
  <si>
    <t>1940-0896</t>
  </si>
  <si>
    <t>Biology--Genetics|Psychology</t>
  </si>
  <si>
    <t>Journal of Geriatric Mental Health</t>
  </si>
  <si>
    <t>2348-9995</t>
  </si>
  <si>
    <t>2395-3322</t>
  </si>
  <si>
    <t>Journal of Geriatric Psychiatry and Neurology</t>
  </si>
  <si>
    <t>0891-9887</t>
  </si>
  <si>
    <t>Journal of Gerontological Social Work</t>
  </si>
  <si>
    <t>0163-4372</t>
  </si>
  <si>
    <t>1540-4048</t>
  </si>
  <si>
    <t>Journal of Groups in Addiction &amp; Recovery</t>
  </si>
  <si>
    <t>1556-035X</t>
  </si>
  <si>
    <t>1556-0368</t>
  </si>
  <si>
    <t>Drug Abuse And Alcoholism|Psychology</t>
  </si>
  <si>
    <t>Journal of HIV.AIDS &amp; Social Services</t>
  </si>
  <si>
    <t>1538-1501</t>
  </si>
  <si>
    <t>1538-151X</t>
  </si>
  <si>
    <t>Medical Sciences--Communicable Diseases|Social Services And Welfare</t>
  </si>
  <si>
    <t>Journal of Happiness Studies</t>
  </si>
  <si>
    <t>1389-4978</t>
  </si>
  <si>
    <t>1573-7780</t>
  </si>
  <si>
    <t>The Journal of Head Trauma Rehabilitation</t>
  </si>
  <si>
    <t>0885-9701</t>
  </si>
  <si>
    <t>1550-509X</t>
  </si>
  <si>
    <t>The Journal of Headache and Pain</t>
  </si>
  <si>
    <t>1129-2369</t>
  </si>
  <si>
    <t>1129-2377</t>
  </si>
  <si>
    <t>Journal of Health Care Chaplaincy</t>
  </si>
  <si>
    <t>0885-4726</t>
  </si>
  <si>
    <t>1528-6916</t>
  </si>
  <si>
    <t>Physical Fitness And Hygiene|Religions And Theology</t>
  </si>
  <si>
    <t>Journal of Health Care for the Poor and Underserved</t>
  </si>
  <si>
    <t>1049-2089</t>
  </si>
  <si>
    <t>1548-6869</t>
  </si>
  <si>
    <t>Medical Sciences|Public Health And Safety|Social Services And Welfare</t>
  </si>
  <si>
    <t>Journal of Health Communication</t>
  </si>
  <si>
    <t>1081-0730</t>
  </si>
  <si>
    <t>1087-0415</t>
  </si>
  <si>
    <t>Communications|Medical Sciences</t>
  </si>
  <si>
    <t>Journal of Health Psychology</t>
  </si>
  <si>
    <t>1359-1053</t>
  </si>
  <si>
    <t>Journal of Health Sciences</t>
  </si>
  <si>
    <t>University of Sarajevo, Faculty of Health Studies</t>
  </si>
  <si>
    <t>Bosnia And Herzegovina</t>
  </si>
  <si>
    <t>2232-7576</t>
  </si>
  <si>
    <t>1986-8049</t>
  </si>
  <si>
    <t>Journal of Health and Social Behavior</t>
  </si>
  <si>
    <t>0022-1465</t>
  </si>
  <si>
    <t>2150-6000</t>
  </si>
  <si>
    <t>The Journal of Higher Education</t>
  </si>
  <si>
    <t>0022-1546</t>
  </si>
  <si>
    <t>1538-4640</t>
  </si>
  <si>
    <t>Journal of Homosexuality</t>
  </si>
  <si>
    <t>0091-8369</t>
  </si>
  <si>
    <t>1540-3602</t>
  </si>
  <si>
    <t>Journal of Human Behavior in the Social Environment</t>
  </si>
  <si>
    <t>1091-1359</t>
  </si>
  <si>
    <t>1540-3556</t>
  </si>
  <si>
    <t>Journal of Human Development and Capabilities</t>
  </si>
  <si>
    <t>1945-2829</t>
  </si>
  <si>
    <t>1945-2837</t>
  </si>
  <si>
    <t>Journal of Human Sexuality</t>
  </si>
  <si>
    <t>National Association for Research and Therapy of Homosexuality</t>
  </si>
  <si>
    <t>2165-0851</t>
  </si>
  <si>
    <t>The Journal of Humanistic Counseling</t>
  </si>
  <si>
    <t>2159-0311</t>
  </si>
  <si>
    <t>2161-1939</t>
  </si>
  <si>
    <t>The Journal of Humanistic Psychology</t>
  </si>
  <si>
    <t>0022-1678</t>
  </si>
  <si>
    <t>1552-650X</t>
  </si>
  <si>
    <t>Journal of Immigrant and Minority Health</t>
  </si>
  <si>
    <t>1557-1912</t>
  </si>
  <si>
    <t>1557-1920</t>
  </si>
  <si>
    <t>Ethnic Interests|Medical Sciences</t>
  </si>
  <si>
    <t>Journal of Individual Psychology</t>
  </si>
  <si>
    <t>University of Texas at Austin (University of Texas Press)</t>
  </si>
  <si>
    <t>1522-2527</t>
  </si>
  <si>
    <t>2332-0583</t>
  </si>
  <si>
    <t>Journal of Infant, Child, and Adolescent Psychotherapy</t>
  </si>
  <si>
    <t>1528-9168</t>
  </si>
  <si>
    <t>1940-9214</t>
  </si>
  <si>
    <t>Journal of Injury and Violence Research</t>
  </si>
  <si>
    <t>Kermanshah University of Medical Sciences</t>
  </si>
  <si>
    <t>2008-2053</t>
  </si>
  <si>
    <t>2008-4072</t>
  </si>
  <si>
    <t>Journal of Innovation in Psychology, Education and Didactics</t>
  </si>
  <si>
    <t>“Vasile Alecsandri” University of Bacau Pedagogy of Primary and Preschool Education</t>
  </si>
  <si>
    <t>2247-4579</t>
  </si>
  <si>
    <t>2392-7127</t>
  </si>
  <si>
    <t>Journal of Instructional Psychology</t>
  </si>
  <si>
    <t>0094-1956</t>
  </si>
  <si>
    <t>Journal of Intellectual &amp; Developmental Disability</t>
  </si>
  <si>
    <t>1366-8250</t>
  </si>
  <si>
    <t>1469-9532</t>
  </si>
  <si>
    <t>Journal of Intellectual Disabilities and Offending Behaviour</t>
  </si>
  <si>
    <t>2050-8824</t>
  </si>
  <si>
    <t>2050-8832</t>
  </si>
  <si>
    <t>Criminology And Law Enforcement|Education--Special Education And Rehabilitation</t>
  </si>
  <si>
    <t>Journal of Intellectual Disability Research</t>
  </si>
  <si>
    <t>0964-2633</t>
  </si>
  <si>
    <t>1365-2788</t>
  </si>
  <si>
    <t>Journal of Intelligence</t>
  </si>
  <si>
    <t>2079-3200</t>
  </si>
  <si>
    <t>Journal of Interactional Research in Communication Disorders</t>
  </si>
  <si>
    <t>2040-5111</t>
  </si>
  <si>
    <t>2040-512X</t>
  </si>
  <si>
    <t>Education--Special Education And Rehabilitation|Linguistics|Psychology</t>
  </si>
  <si>
    <t>Journal of Intergenerational Relationships</t>
  </si>
  <si>
    <t>1535-0770</t>
  </si>
  <si>
    <t>1535-0932</t>
  </si>
  <si>
    <t>Journal of International Consumer Marketing</t>
  </si>
  <si>
    <t>0896-1530</t>
  </si>
  <si>
    <t>1528-7068</t>
  </si>
  <si>
    <t>Business And Economics--International Commerce|Business And Economics--Marketing And Purchasing|Consumer Education And Protection</t>
  </si>
  <si>
    <t>Journal of Interpersonal Violence</t>
  </si>
  <si>
    <t>0886-2605</t>
  </si>
  <si>
    <t>1552-6518</t>
  </si>
  <si>
    <t>Journal of Interprofessional Care</t>
  </si>
  <si>
    <t>1356-1820</t>
  </si>
  <si>
    <t>1469-9567</t>
  </si>
  <si>
    <t>Alternative Medicine|Medical Sciences|Medical Sciences--Chiropractic, Homeopathy, Osteopathy|Medical Sciences--Psychiatry And Neurology</t>
  </si>
  <si>
    <t>Journal of Investigative Psychology and Offender Profiling</t>
  </si>
  <si>
    <t>1544-4759</t>
  </si>
  <si>
    <t>Journal of Investigative Psychology and Offender Profiling (Online)</t>
  </si>
  <si>
    <t>1544-4767</t>
  </si>
  <si>
    <t>Journal of Juvenile Justice</t>
  </si>
  <si>
    <t>CSR Incorporated</t>
  </si>
  <si>
    <t>2153-8026</t>
  </si>
  <si>
    <t>Children And Youth--Abstracting, Bibliographies, Statistics</t>
  </si>
  <si>
    <t>Journal of Knowledge Management</t>
  </si>
  <si>
    <t>1367-3270</t>
  </si>
  <si>
    <t>1758-7484</t>
  </si>
  <si>
    <t>Business And Economics--Management|Library And Information Sciences</t>
  </si>
  <si>
    <t>Journal of Language and Social Psychology</t>
  </si>
  <si>
    <t>0261-927X</t>
  </si>
  <si>
    <t>1552-6526</t>
  </si>
  <si>
    <t>01-Jan-1985--31-Dec-1985; 01-Jan-1989--31-Dec-1989</t>
  </si>
  <si>
    <t>Journal of Leadership &amp; Organizational Studies</t>
  </si>
  <si>
    <t>1548-0518</t>
  </si>
  <si>
    <t>1939-7089</t>
  </si>
  <si>
    <t>Journal of Leadership, Accountability and Ethics</t>
  </si>
  <si>
    <t>North American Business Press</t>
  </si>
  <si>
    <t>1913-8059</t>
  </si>
  <si>
    <t>Journal of Learning Disabilities</t>
  </si>
  <si>
    <t>0022-2194</t>
  </si>
  <si>
    <t>1538-4780</t>
  </si>
  <si>
    <t>Education--Special Education And Rehabilitation|Medical Sciences|Psychology</t>
  </si>
  <si>
    <t>Journal of Leisure Research</t>
  </si>
  <si>
    <t>0022-2216</t>
  </si>
  <si>
    <t>2159-6417</t>
  </si>
  <si>
    <t>Conservation|Leisure And Recreation|Sports And Games--Outdoor Life</t>
  </si>
  <si>
    <t>Journal of Lesbian Studies</t>
  </si>
  <si>
    <t>1089-4160</t>
  </si>
  <si>
    <t>1540-3548</t>
  </si>
  <si>
    <t>Journal of Literacy Research</t>
  </si>
  <si>
    <t>1086-296X</t>
  </si>
  <si>
    <t>1554-8430</t>
  </si>
  <si>
    <t>Journal of Literary &amp; Cultural Disability Studies</t>
  </si>
  <si>
    <t>Liverpool University Press</t>
  </si>
  <si>
    <t>1757-6458</t>
  </si>
  <si>
    <t>1757-6466</t>
  </si>
  <si>
    <t>Journal of Loss &amp; Trauma</t>
  </si>
  <si>
    <t>1532-5024</t>
  </si>
  <si>
    <t>1532-5032</t>
  </si>
  <si>
    <t>The Journal of Management Development</t>
  </si>
  <si>
    <t>0262-1711</t>
  </si>
  <si>
    <t>1758-7492</t>
  </si>
  <si>
    <t>Journal of Management and Organization</t>
  </si>
  <si>
    <t>Australian and New Zealand Academy of Management (ANZAM)</t>
  </si>
  <si>
    <t>1833-3672</t>
  </si>
  <si>
    <t>1839-3527</t>
  </si>
  <si>
    <t>Journal of Managerial Issues</t>
  </si>
  <si>
    <t>Pittsburg State University, Department of Economics</t>
  </si>
  <si>
    <t>1045-3695</t>
  </si>
  <si>
    <t>2328-7470</t>
  </si>
  <si>
    <t>Business And Economics|Business And Economics--Accounting|Business And Economics--Management|Business And Economics--Marketing And Purchasing</t>
  </si>
  <si>
    <t>Journal of Managerial Psychology</t>
  </si>
  <si>
    <t>0268-3946</t>
  </si>
  <si>
    <t>1758-7778</t>
  </si>
  <si>
    <t>Journal of Marital and Family Therapy</t>
  </si>
  <si>
    <t>0194-472X</t>
  </si>
  <si>
    <t>1752-0606</t>
  </si>
  <si>
    <t>Journal of Marketing</t>
  </si>
  <si>
    <t>0022-2429</t>
  </si>
  <si>
    <t>1547-7185</t>
  </si>
  <si>
    <t>Abstracting And Indexing Services|Business And Economics--Abstracting, Bibliographies, Statistics|Business And Economics--Marketing And Purchasing</t>
  </si>
  <si>
    <t>Journal of Marketing  (pre-1986)</t>
  </si>
  <si>
    <t>01-Jan-1952--31-Dec-1952; 01-Jan-1957--31-Dec-1957; 01-Jan-1959--31-Dec-1959</t>
  </si>
  <si>
    <t>Journal of Marriage and Family</t>
  </si>
  <si>
    <t>0022-2445</t>
  </si>
  <si>
    <t>1741-3737</t>
  </si>
  <si>
    <t>Children And Youth - About|Education|Matrimony|Public Health And Safety|Sociology</t>
  </si>
  <si>
    <t>Journal of Media Ethics</t>
  </si>
  <si>
    <t>2373-6992</t>
  </si>
  <si>
    <t>2373-700X</t>
  </si>
  <si>
    <t>Communications|Philosophy|Psychology|Sociology</t>
  </si>
  <si>
    <t>Journal of Media and Religion</t>
  </si>
  <si>
    <t>1534-8423</t>
  </si>
  <si>
    <t>1534-8415</t>
  </si>
  <si>
    <t>Communications|Religions And Theology</t>
  </si>
  <si>
    <t>Journal of Memory and Language</t>
  </si>
  <si>
    <t>0749-596X</t>
  </si>
  <si>
    <t>1096-0821</t>
  </si>
  <si>
    <t>01-Feb-2001--30-Jun-2006</t>
  </si>
  <si>
    <t>Education|Linguistics|Psychology</t>
  </si>
  <si>
    <t>Journal of Men's Studies</t>
  </si>
  <si>
    <t>1060-8265</t>
  </si>
  <si>
    <t>1933-0251</t>
  </si>
  <si>
    <t>Men's Studies</t>
  </si>
  <si>
    <t>Journal of Mental Health</t>
  </si>
  <si>
    <t>0963-8237</t>
  </si>
  <si>
    <t>1360-0567</t>
  </si>
  <si>
    <t>Journal of Mental Health Counseling</t>
  </si>
  <si>
    <t>American Mental Health Counselors Association</t>
  </si>
  <si>
    <t>1040-2861</t>
  </si>
  <si>
    <t>2163-5749</t>
  </si>
  <si>
    <t>Journal of Mental Health Research in Intellectual Disabilities</t>
  </si>
  <si>
    <t>1931-5864</t>
  </si>
  <si>
    <t>1931-5872</t>
  </si>
  <si>
    <t>The Journal of Mental Health Training, Education, and Practice</t>
  </si>
  <si>
    <t>1755-6228</t>
  </si>
  <si>
    <t>2042-8707</t>
  </si>
  <si>
    <t>Medical Sciences--Psychiatry And Neurology|Occupational Health And Safety</t>
  </si>
  <si>
    <t>The Journal of Mind and Behavior</t>
  </si>
  <si>
    <t>Institute of Mind &amp; Behavior</t>
  </si>
  <si>
    <t>0271-0137</t>
  </si>
  <si>
    <t>Journal of Molecular Neuroscience</t>
  </si>
  <si>
    <t>0895-8696</t>
  </si>
  <si>
    <t>1559-1166</t>
  </si>
  <si>
    <t>Biology--Microbiology|Medical Sciences--Psychiatry And Neurology</t>
  </si>
  <si>
    <t>Journal of Molecular Psychiatry</t>
  </si>
  <si>
    <t>2049-9256</t>
  </si>
  <si>
    <t>Biology|Medical Sciences--Psychiatry And Neurology</t>
  </si>
  <si>
    <t>Journal of Motor Behavior</t>
  </si>
  <si>
    <t>0022-2895</t>
  </si>
  <si>
    <t>1940-1027</t>
  </si>
  <si>
    <t>Journal of Motor Learning and Development</t>
  </si>
  <si>
    <t>2325-3193</t>
  </si>
  <si>
    <t>2325-3215</t>
  </si>
  <si>
    <t>Medical Sciences|Physical Fitness And Hygiene|Psychology</t>
  </si>
  <si>
    <t>Journal of Multicultural Counseling and Development</t>
  </si>
  <si>
    <t>0883-8534</t>
  </si>
  <si>
    <t>2161-1912</t>
  </si>
  <si>
    <t>Ethnic Interests|Multi-Ethnic|Sociology</t>
  </si>
  <si>
    <t>Journal of Music Therapy</t>
  </si>
  <si>
    <t>0022-2917</t>
  </si>
  <si>
    <t>2053-7395</t>
  </si>
  <si>
    <t>01-Jan-1997--31-Dec-1997</t>
  </si>
  <si>
    <t>Education--Special Education And Rehabilitation|Music</t>
  </si>
  <si>
    <t>The Journal of Muslim Mental Health</t>
  </si>
  <si>
    <t>Michigan Publishing (University of Michigan Library)</t>
  </si>
  <si>
    <t>1556-4908</t>
  </si>
  <si>
    <t>1556-5009</t>
  </si>
  <si>
    <t>Psychology|Religions And Theology--Islamic</t>
  </si>
  <si>
    <t>The Journal of Negro Education</t>
  </si>
  <si>
    <t>Howard University, School of Divinity</t>
  </si>
  <si>
    <t>0022-2984</t>
  </si>
  <si>
    <t>2167-6437</t>
  </si>
  <si>
    <t>Education|Ethnic Interests</t>
  </si>
  <si>
    <t>Journal of Nervous and Mental Disease</t>
  </si>
  <si>
    <t>0022-3018</t>
  </si>
  <si>
    <t>1539-736X</t>
  </si>
  <si>
    <t>Journal of Neural Transmission</t>
  </si>
  <si>
    <t>0300-9564</t>
  </si>
  <si>
    <t>1435-1463</t>
  </si>
  <si>
    <t>Journal of Neurochemistry</t>
  </si>
  <si>
    <t>0022-3042</t>
  </si>
  <si>
    <t>1471-4159</t>
  </si>
  <si>
    <t>Biology--Biochemistry|Chemistry|Medical Sciences--Psychiatry And Neurology|Psychology</t>
  </si>
  <si>
    <t>Journal of Neurodevelopmental Disorders</t>
  </si>
  <si>
    <t>1866-1947</t>
  </si>
  <si>
    <t>1866-1955</t>
  </si>
  <si>
    <t>Journal of Neurology and Psychiatry</t>
  </si>
  <si>
    <t>0368-329X</t>
  </si>
  <si>
    <t>The Journal of Neurology and Psychopathology</t>
  </si>
  <si>
    <t>Journal of Neurology, Neurosurgery and Psychiatry</t>
  </si>
  <si>
    <t>0022-3050</t>
  </si>
  <si>
    <t>1468-330X</t>
  </si>
  <si>
    <t>The Journal of Neuropsychiatry and Clinical Neurosciences</t>
  </si>
  <si>
    <t>0895-0172</t>
  </si>
  <si>
    <t>1545-7222</t>
  </si>
  <si>
    <t>Journal of Neurosciences in Rural Practice</t>
  </si>
  <si>
    <t>Thieme Medical Publishers Inc.</t>
  </si>
  <si>
    <t>0976-3147</t>
  </si>
  <si>
    <t>0976-3155</t>
  </si>
  <si>
    <t>Journal of Neurotherapy</t>
  </si>
  <si>
    <t>1087-4208</t>
  </si>
  <si>
    <t>1530-017X</t>
  </si>
  <si>
    <t>Journal of Neurotrauma</t>
  </si>
  <si>
    <t>0897-7151</t>
  </si>
  <si>
    <t>1557-9042</t>
  </si>
  <si>
    <t>Medical Sciences--Orthopedics And Traumatology|Medical Sciences--Psychiatry And Neurology</t>
  </si>
  <si>
    <t>Journal of Nonverbal Behavior</t>
  </si>
  <si>
    <t>0191-5886</t>
  </si>
  <si>
    <t>1573-3653</t>
  </si>
  <si>
    <t>Journal of Nursing Measurement</t>
  </si>
  <si>
    <t>1061-3749</t>
  </si>
  <si>
    <t>1945-7049</t>
  </si>
  <si>
    <t>Journal of Nursing Scholarship</t>
  </si>
  <si>
    <t>1527-6546</t>
  </si>
  <si>
    <t>1547-5069</t>
  </si>
  <si>
    <t>Education--Higher Education|Medical Sciences--Nurses And Nursing</t>
  </si>
  <si>
    <t>Journal of Nutrition Education and Behavior</t>
  </si>
  <si>
    <t>1499-4046</t>
  </si>
  <si>
    <t>1708-8259</t>
  </si>
  <si>
    <t>Nutrition And Dietetics</t>
  </si>
  <si>
    <t>The Journal of Nutrition, Health &amp; Aging</t>
  </si>
  <si>
    <t>1279-7707</t>
  </si>
  <si>
    <t>1760-4788</t>
  </si>
  <si>
    <t>Medical Sciences|Nutrition And Dietetics</t>
  </si>
  <si>
    <t>Journal of Occupational Behavior (1986-1998)</t>
  </si>
  <si>
    <t>0142-2774</t>
  </si>
  <si>
    <t>1936-0894</t>
  </si>
  <si>
    <t>Business And Economics--Labor And Industrial Relations|Psychology|Sociology</t>
  </si>
  <si>
    <t>Journal of Occupational Behavior (pre-1986)</t>
  </si>
  <si>
    <t>Journal of Occupational Rehabilitation</t>
  </si>
  <si>
    <t>1053-0487</t>
  </si>
  <si>
    <t>1573-3688</t>
  </si>
  <si>
    <t>Medical Sciences|Medical Sciences--Physical Medicine And Rehabilitation|Occupational Health And Safety</t>
  </si>
  <si>
    <t>Journal of Occupational and Organizational Psychology</t>
  </si>
  <si>
    <t>0963-1798</t>
  </si>
  <si>
    <t>2044-8325</t>
  </si>
  <si>
    <t>Journal of Offender Rehabilitation</t>
  </si>
  <si>
    <t>1050-9674</t>
  </si>
  <si>
    <t>1540-8558</t>
  </si>
  <si>
    <t>01-Jan-1987--31-Dec-1987; 01-Jan-1997--31-Dec-1997</t>
  </si>
  <si>
    <t>Criminology And Law Enforcement|Psychology|Social Services And Welfare</t>
  </si>
  <si>
    <t>Journal of Organisation and Human Behaviour</t>
  </si>
  <si>
    <t>Publishing India Group</t>
  </si>
  <si>
    <t>2277-3274</t>
  </si>
  <si>
    <t>2320-4966</t>
  </si>
  <si>
    <t>Journal of Organizational Behavior</t>
  </si>
  <si>
    <t>0894-3796</t>
  </si>
  <si>
    <t>1099-1379</t>
  </si>
  <si>
    <t>Journal of Organizational Behavior (1986-1998)</t>
  </si>
  <si>
    <t>Journal of Organizational Behavior Education : JOBE</t>
  </si>
  <si>
    <t>NeilsonJournals Publishing</t>
  </si>
  <si>
    <t>1649-7627</t>
  </si>
  <si>
    <t>2047-9999</t>
  </si>
  <si>
    <t>Journal of Organizational Behavior Management</t>
  </si>
  <si>
    <t>0160-8061</t>
  </si>
  <si>
    <t>1540-8604</t>
  </si>
  <si>
    <t>Journal of Organizational Change Management</t>
  </si>
  <si>
    <t>0953-4814</t>
  </si>
  <si>
    <t>1758-7816</t>
  </si>
  <si>
    <t>Journal of Organizational Effectiveness</t>
  </si>
  <si>
    <t>2051-6614</t>
  </si>
  <si>
    <t>2051-6622</t>
  </si>
  <si>
    <t>Journal of Organizational Moral Psychology</t>
  </si>
  <si>
    <t>1949-4890</t>
  </si>
  <si>
    <t>Journal of Organizational Psychology</t>
  </si>
  <si>
    <t>2158-3609</t>
  </si>
  <si>
    <t>Journal of Pain Management</t>
  </si>
  <si>
    <t>1939-5914</t>
  </si>
  <si>
    <t>Journal of Palliative Care</t>
  </si>
  <si>
    <t>0825-8597</t>
  </si>
  <si>
    <t>2369-5293</t>
  </si>
  <si>
    <t>01-Jan-2016--31-Dec-2016</t>
  </si>
  <si>
    <t>The Journal of Parapsychology</t>
  </si>
  <si>
    <t>Parapsychology Press</t>
  </si>
  <si>
    <t>0022-3387</t>
  </si>
  <si>
    <t>Journal of Parkinsonism &amp; Restless Legs Syndrome</t>
  </si>
  <si>
    <t>1927-7725</t>
  </si>
  <si>
    <t>Journal of Participation and Employee Ownership</t>
  </si>
  <si>
    <t>2514-7641</t>
  </si>
  <si>
    <t>2514-765X</t>
  </si>
  <si>
    <t>The Journal of Pastoral Care &amp; Counseling : JPCC</t>
  </si>
  <si>
    <t>1542-3050</t>
  </si>
  <si>
    <t>Journal of Pastoral Counseling</t>
  </si>
  <si>
    <t>The Journal of Pastoral Counseling</t>
  </si>
  <si>
    <t>0449-508X</t>
  </si>
  <si>
    <t>Journal of Pediatric Neurology</t>
  </si>
  <si>
    <t>1304-2580</t>
  </si>
  <si>
    <t>1875-9041</t>
  </si>
  <si>
    <t>Journal of Pediatric Neurosciences</t>
  </si>
  <si>
    <t>1817-1745</t>
  </si>
  <si>
    <t>1998-3948</t>
  </si>
  <si>
    <t>The Journal of Personal Selling &amp; Sales Management</t>
  </si>
  <si>
    <t>0885-3134</t>
  </si>
  <si>
    <t>1557-7813</t>
  </si>
  <si>
    <t>Advertising And Public Relations|Business And Economics--Marketing And Purchasing</t>
  </si>
  <si>
    <t>Journal of Personality</t>
  </si>
  <si>
    <t>0022-3506</t>
  </si>
  <si>
    <t>1467-6494</t>
  </si>
  <si>
    <t>Journal of Personality Assessment</t>
  </si>
  <si>
    <t>0022-3891</t>
  </si>
  <si>
    <t>1532-7752</t>
  </si>
  <si>
    <t>Journal of Personality Disorders</t>
  </si>
  <si>
    <t>0885-579X</t>
  </si>
  <si>
    <t>1943-2763</t>
  </si>
  <si>
    <t>Journal of Personality and Social Psychology</t>
  </si>
  <si>
    <t>0022-3514</t>
  </si>
  <si>
    <t>1939-1315</t>
  </si>
  <si>
    <t>Journal of Phenomenological Psychology</t>
  </si>
  <si>
    <t>0047-2662</t>
  </si>
  <si>
    <t>1569-1624</t>
  </si>
  <si>
    <t>01-Jan-1999--31-Dec-2002</t>
  </si>
  <si>
    <t>Brill Academic Publishers</t>
  </si>
  <si>
    <t>Journal of Poetry Therapy</t>
  </si>
  <si>
    <t>0889-3675</t>
  </si>
  <si>
    <t>1567-2344</t>
  </si>
  <si>
    <t>Literature--Poetry|Psychology</t>
  </si>
  <si>
    <t>Journal of Police Science and Administration</t>
  </si>
  <si>
    <t>International Association of Chiefs of Police</t>
  </si>
  <si>
    <t>0090-9084</t>
  </si>
  <si>
    <t>01-Jan-1983--31-Dec-1983</t>
  </si>
  <si>
    <t>Journal of Police and Criminal Psychology</t>
  </si>
  <si>
    <t>0882-0783</t>
  </si>
  <si>
    <t>1936-6469</t>
  </si>
  <si>
    <t>01-Jan-1987--31-Mar-1989; 01-Jan-1990--31-Dec-1990</t>
  </si>
  <si>
    <t>Journal of Popular Culture</t>
  </si>
  <si>
    <t>0022-3840</t>
  </si>
  <si>
    <t>1540-5931</t>
  </si>
  <si>
    <t>Folklore|Literature|Music|Sociology</t>
  </si>
  <si>
    <t>Journal of Positive Behavior Interventions</t>
  </si>
  <si>
    <t>1098-3007</t>
  </si>
  <si>
    <t>1538-4772</t>
  </si>
  <si>
    <t>Journal of Positive Management</t>
  </si>
  <si>
    <t>Nicolaus Copernicus University Press</t>
  </si>
  <si>
    <t>2083-103X</t>
  </si>
  <si>
    <t>The Journal of Positive Psychology</t>
  </si>
  <si>
    <t>1743-9760</t>
  </si>
  <si>
    <t>1743-9779</t>
  </si>
  <si>
    <t>Journal of Postgraduate Medicine</t>
  </si>
  <si>
    <t>0022-3859</t>
  </si>
  <si>
    <t>0972-2823</t>
  </si>
  <si>
    <t>The Journal of Poverty and Social Justice</t>
  </si>
  <si>
    <t>Policy Press</t>
  </si>
  <si>
    <t>1759-8273</t>
  </si>
  <si>
    <t>1759-8281</t>
  </si>
  <si>
    <t>Journal of Prenatal &amp; Perinatal Psychology &amp; Health</t>
  </si>
  <si>
    <t>Association for Pre &amp; Perinatal Psychology and Health</t>
  </si>
  <si>
    <t>1097-8003</t>
  </si>
  <si>
    <t>Birth Control|Medical Sciences--Obstetrics And Gynecology|Psychology</t>
  </si>
  <si>
    <t>Journal of Prevention &amp; Intervention in the Community</t>
  </si>
  <si>
    <t>1085-2352</t>
  </si>
  <si>
    <t>1540-7330</t>
  </si>
  <si>
    <t>Journal of Primary Prevention</t>
  </si>
  <si>
    <t>0278-095X</t>
  </si>
  <si>
    <t>1573-6547</t>
  </si>
  <si>
    <t>Medical Sciences--Psychiatry And Neurology|Physical Fitness And Hygiene|Psychology</t>
  </si>
  <si>
    <t>Journal of Professional Counseling, Practice, Theory, &amp; Research</t>
  </si>
  <si>
    <t>1556-6382</t>
  </si>
  <si>
    <t>2168-9156</t>
  </si>
  <si>
    <t>Journal of Progressive Human Services</t>
  </si>
  <si>
    <t>1042-8232</t>
  </si>
  <si>
    <t>1540-7616</t>
  </si>
  <si>
    <t>Political Science|Social Services And Welfare</t>
  </si>
  <si>
    <t>Journal of Psychiatric Administration and Management</t>
  </si>
  <si>
    <t>2163-3878</t>
  </si>
  <si>
    <t>Journal of Psychiatric Intensive Care</t>
  </si>
  <si>
    <t>1742-6464</t>
  </si>
  <si>
    <t>1744-2206</t>
  </si>
  <si>
    <t>National Association of Psychiatric Intensive Care and Low Secure Units, NAPICU</t>
  </si>
  <si>
    <t>Journal of Psychiatric Nursing</t>
  </si>
  <si>
    <t>Kare Publishing</t>
  </si>
  <si>
    <t>1309-3568</t>
  </si>
  <si>
    <t>2149-374X</t>
  </si>
  <si>
    <t>Journal of Psychiatric and Mental Health Nursing</t>
  </si>
  <si>
    <t>1351-0126</t>
  </si>
  <si>
    <t>1365-2850</t>
  </si>
  <si>
    <t>01-Jan-2007--31-Dec-2011</t>
  </si>
  <si>
    <t>Journal of Psychiatry &amp; Law</t>
  </si>
  <si>
    <t>0093-1853</t>
  </si>
  <si>
    <t>2163-1794</t>
  </si>
  <si>
    <t>Law|Medical Sciences--Psychiatry And Neurology</t>
  </si>
  <si>
    <t>Journal of Psychiatry &amp; Neuroscience : JPN</t>
  </si>
  <si>
    <t>1180-4882</t>
  </si>
  <si>
    <t>1488-2434</t>
  </si>
  <si>
    <t>Journal of Psychiatry and Clinical Psychology</t>
  </si>
  <si>
    <t>1644-6313</t>
  </si>
  <si>
    <t>Journal of Psychoactive Drugs</t>
  </si>
  <si>
    <t>Haight Ashbury Publications</t>
  </si>
  <si>
    <t>0279-1072</t>
  </si>
  <si>
    <t>2159-9777</t>
  </si>
  <si>
    <t>Drug Abuse And Alcoholism|Medical Sciences--Psychiatry And Neurology|Pharmacy And Pharmacology</t>
  </si>
  <si>
    <t>The Journal of Psychodrama, Sociometry, and Group Psychotherapy</t>
  </si>
  <si>
    <t>American Society of Group Psychotherapy and Psychodrama (ASGPP)</t>
  </si>
  <si>
    <t>2161-1947</t>
  </si>
  <si>
    <t>01-Jan-2004--31-Dec-2004; 01-Jan-2008--31-Dec-2010; 01-Jan-2012--31-Dec-2012; 01-Jan-2019--31-Dec-2019</t>
  </si>
  <si>
    <t>The Journal of Psychohistory</t>
  </si>
  <si>
    <t>Association for Psychohistory, Inc.</t>
  </si>
  <si>
    <t>0145-3378</t>
  </si>
  <si>
    <t>History|Psychology</t>
  </si>
  <si>
    <t>Journal of Psycholinguistic Research</t>
  </si>
  <si>
    <t>0090-6905</t>
  </si>
  <si>
    <t>1573-6555</t>
  </si>
  <si>
    <t>Journal of Psychological and Educational Research</t>
  </si>
  <si>
    <t>University of Oradea, Faculty of Social and Humanistic Sciences</t>
  </si>
  <si>
    <t>2247-1537</t>
  </si>
  <si>
    <t>Journal of Psychologists and Counsellors in Schools</t>
  </si>
  <si>
    <t>2055-6365</t>
  </si>
  <si>
    <t>2055-6373</t>
  </si>
  <si>
    <t>The Journal of Psychology</t>
  </si>
  <si>
    <t>0022-3980</t>
  </si>
  <si>
    <t>1940-1019</t>
  </si>
  <si>
    <t>Journal of Psychology and Christianity</t>
  </si>
  <si>
    <t>Christian Association for Psychological Studies, Inc.</t>
  </si>
  <si>
    <t>0733-4273</t>
  </si>
  <si>
    <t>Journal of Psychology and Theology</t>
  </si>
  <si>
    <t>0091-6471</t>
  </si>
  <si>
    <t>2328-1162</t>
  </si>
  <si>
    <t>Journal of Psychology in Africa</t>
  </si>
  <si>
    <t>1433-0237</t>
  </si>
  <si>
    <t>1815-5626</t>
  </si>
  <si>
    <t>English|French|Portuguese</t>
  </si>
  <si>
    <t>Journal of Psychology in Chinese Societies</t>
  </si>
  <si>
    <t>The Hong Kong Psychological Society</t>
  </si>
  <si>
    <t>1563-3403</t>
  </si>
  <si>
    <t>2224-7866</t>
  </si>
  <si>
    <t>Chinese|English</t>
  </si>
  <si>
    <t>Journal of Psychopathology and Behavioral Assessment</t>
  </si>
  <si>
    <t>0882-2689</t>
  </si>
  <si>
    <t>1573-3505</t>
  </si>
  <si>
    <t>Journal of Psychopathology and Clinical Science</t>
  </si>
  <si>
    <t>2769-7541</t>
  </si>
  <si>
    <t>2769-755X</t>
  </si>
  <si>
    <t>Journal of Psychopharmacology</t>
  </si>
  <si>
    <t>0269-8811</t>
  </si>
  <si>
    <t>1461-7285</t>
  </si>
  <si>
    <t>Journal of Psychosocial Nursing &amp; Mental Health Services</t>
  </si>
  <si>
    <t>0279-3695</t>
  </si>
  <si>
    <t>1938-2413</t>
  </si>
  <si>
    <t>01-Jan-1967--31-Dec-1976</t>
  </si>
  <si>
    <t>Medical Sciences--Nurses And Nursing|Medical Sciences--Psychiatry And Neurology|Social Services And Welfare</t>
  </si>
  <si>
    <t>Journal of Psychosocial Oncology</t>
  </si>
  <si>
    <t>0734-7332</t>
  </si>
  <si>
    <t>1540-7586</t>
  </si>
  <si>
    <t>Journal of Psychosocial Research</t>
  </si>
  <si>
    <t>Prints Publications Pvt. Ltd.</t>
  </si>
  <si>
    <t>0973-5410</t>
  </si>
  <si>
    <t>0976-3937</t>
  </si>
  <si>
    <t>Journal of Psychosomatic Obstetrics and Gynecology</t>
  </si>
  <si>
    <t>0167-482X</t>
  </si>
  <si>
    <t>1743-8942</t>
  </si>
  <si>
    <t>Medical Sciences--Obstetrics And Gynecology|Medical Sciences--Psychiatry And Neurology</t>
  </si>
  <si>
    <t>Journal of Psychosomatic Research</t>
  </si>
  <si>
    <t>0022-3999</t>
  </si>
  <si>
    <t>1879-1360</t>
  </si>
  <si>
    <t>The Journal of Psychotherapy Practice and Research</t>
  </si>
  <si>
    <t>1055-050X</t>
  </si>
  <si>
    <t>2160-0058</t>
  </si>
  <si>
    <t>Journal of Public Child Welfare</t>
  </si>
  <si>
    <t>1554-8732</t>
  </si>
  <si>
    <t>1554-8740</t>
  </si>
  <si>
    <t>Journal of Public Mental Health</t>
  </si>
  <si>
    <t>1746-5729</t>
  </si>
  <si>
    <t>2042-8731</t>
  </si>
  <si>
    <t>Medical Sciences--Psychiatry And Neurology|Psychology|Public Health And Safety|Social Services And Welfare</t>
  </si>
  <si>
    <t>Journal of Quantitative Criminology</t>
  </si>
  <si>
    <t>0748-4518</t>
  </si>
  <si>
    <t>1573-7799</t>
  </si>
  <si>
    <t>Journal of Rational - Emotive &amp; Cognitive - Behavior Therapy</t>
  </si>
  <si>
    <t>0894-9085</t>
  </si>
  <si>
    <t>1573-6563</t>
  </si>
  <si>
    <t>Journal of Rehabilitation</t>
  </si>
  <si>
    <t>0022-4154</t>
  </si>
  <si>
    <t>Journal of Relationships Research</t>
  </si>
  <si>
    <t>1838-0956</t>
  </si>
  <si>
    <t>Journal of Religion &amp; Spirituality in Social Work</t>
  </si>
  <si>
    <t>1542-6432</t>
  </si>
  <si>
    <t>1542-6440</t>
  </si>
  <si>
    <t>Religions And Theology|Social Services And Welfare</t>
  </si>
  <si>
    <t>Journal of Religion and Health</t>
  </si>
  <si>
    <t>0022-4197</t>
  </si>
  <si>
    <t>1573-6571</t>
  </si>
  <si>
    <t>Journal of Religion, Spirituality &amp; Aging</t>
  </si>
  <si>
    <t>1552-8030</t>
  </si>
  <si>
    <t>1552-8049</t>
  </si>
  <si>
    <t>Gerontology And Geriatrics|Religions And Theology</t>
  </si>
  <si>
    <t>Journal of Reproductive and Infant Psychology</t>
  </si>
  <si>
    <t>0264-6838</t>
  </si>
  <si>
    <t>1469-672X</t>
  </si>
  <si>
    <t>Journal of Research in Childhood Education</t>
  </si>
  <si>
    <t>0256-8543</t>
  </si>
  <si>
    <t>2150-2641</t>
  </si>
  <si>
    <t>The Journal of Research in Crime and Delinquency</t>
  </si>
  <si>
    <t>0022-4278</t>
  </si>
  <si>
    <t>1552-731X</t>
  </si>
  <si>
    <t>Journal of Research in Music Education</t>
  </si>
  <si>
    <t>National Association for Music Education</t>
  </si>
  <si>
    <t>0022-4294</t>
  </si>
  <si>
    <t>1945-0095</t>
  </si>
  <si>
    <t>Education|Music</t>
  </si>
  <si>
    <t>Journal of Research in Reading</t>
  </si>
  <si>
    <t>0141-0423</t>
  </si>
  <si>
    <t>1467-9817</t>
  </si>
  <si>
    <t>Journal of Research on Adolescence</t>
  </si>
  <si>
    <t>1050-8392</t>
  </si>
  <si>
    <t>1532-7795</t>
  </si>
  <si>
    <t>Journal of Retailing</t>
  </si>
  <si>
    <t>0022-4359</t>
  </si>
  <si>
    <t>1873-3271</t>
  </si>
  <si>
    <t>01-Jan-1994--30-Jun-2006</t>
  </si>
  <si>
    <t>Journal of Risk and Uncertainty</t>
  </si>
  <si>
    <t>0895-5646</t>
  </si>
  <si>
    <t>1573-0476</t>
  </si>
  <si>
    <t>Business And Economics|Psychology|Statistics</t>
  </si>
  <si>
    <t>Journal of Scandinavian Studies in Criminology &amp; Crime Prevention</t>
  </si>
  <si>
    <t>1404-3858</t>
  </si>
  <si>
    <t>1651-2340</t>
  </si>
  <si>
    <t>Journal of School Psychology</t>
  </si>
  <si>
    <t>0022-4405</t>
  </si>
  <si>
    <t>1873-3506</t>
  </si>
  <si>
    <t>Journal of School Violence</t>
  </si>
  <si>
    <t>1538-8220</t>
  </si>
  <si>
    <t>1538-8239</t>
  </si>
  <si>
    <t>The Journal of Sex Research</t>
  </si>
  <si>
    <t>0022-4499</t>
  </si>
  <si>
    <t>1559-8519</t>
  </si>
  <si>
    <t>Medical Sciences|Psychology|Sociology</t>
  </si>
  <si>
    <t>Journal of Sex and Marital Therapy</t>
  </si>
  <si>
    <t>0092-623X</t>
  </si>
  <si>
    <t>1521-0715</t>
  </si>
  <si>
    <t>The Journal of Sexual Aggression</t>
  </si>
  <si>
    <t>1355-2600</t>
  </si>
  <si>
    <t>1742-6545</t>
  </si>
  <si>
    <t>Journal of Smoking Cessation</t>
  </si>
  <si>
    <t>1834-2612</t>
  </si>
  <si>
    <t>Medical Sciences--Physical Medicine And Rehabilitation</t>
  </si>
  <si>
    <t>Journal of Social Behavior and Personality</t>
  </si>
  <si>
    <t>Select Press</t>
  </si>
  <si>
    <t>0886-1641</t>
  </si>
  <si>
    <t>2168-3263</t>
  </si>
  <si>
    <t>The Journal of Social Psychology</t>
  </si>
  <si>
    <t>0022-4545</t>
  </si>
  <si>
    <t>1940-1183</t>
  </si>
  <si>
    <t>Journal of Social Service Research</t>
  </si>
  <si>
    <t>0148-8376</t>
  </si>
  <si>
    <t>1540-7314</t>
  </si>
  <si>
    <t>Journal of Social Work Education</t>
  </si>
  <si>
    <t>1043-7797</t>
  </si>
  <si>
    <t>2163-5811</t>
  </si>
  <si>
    <t>Journal of Social Work Research and Evaluation</t>
  </si>
  <si>
    <t>1521-3668</t>
  </si>
  <si>
    <t>Journal of Social Work in End-of-Life &amp; Palliative Care</t>
  </si>
  <si>
    <t>1552-4256</t>
  </si>
  <si>
    <t>Journal of Social and Clinical Psychology</t>
  </si>
  <si>
    <t>0736-7236</t>
  </si>
  <si>
    <t>1943-2771</t>
  </si>
  <si>
    <t>Journal of Social and Personal Relationships</t>
  </si>
  <si>
    <t>0265-4075</t>
  </si>
  <si>
    <t>1460-3608</t>
  </si>
  <si>
    <t>Journal of Sociology and Social Anthropology</t>
  </si>
  <si>
    <t>Kamla-Raj Enterprises</t>
  </si>
  <si>
    <t>0976-6634</t>
  </si>
  <si>
    <t>The Journal of Special Education</t>
  </si>
  <si>
    <t>0022-4669</t>
  </si>
  <si>
    <t>1538-4764</t>
  </si>
  <si>
    <t>The Journal of Special Education and Rehabilitation</t>
  </si>
  <si>
    <t>Institute of Special Education and Rehabilitation - Faculty of Philosophy</t>
  </si>
  <si>
    <t>Macedonia</t>
  </si>
  <si>
    <t>1409-6099</t>
  </si>
  <si>
    <t>1857-663X</t>
  </si>
  <si>
    <t>English|Macedonian</t>
  </si>
  <si>
    <t>Education|Education--Special Education And Rehabilitation|Medical Sciences</t>
  </si>
  <si>
    <t>Journal of Speech, Language and Hearing Research (Online)</t>
  </si>
  <si>
    <t>1558-9102</t>
  </si>
  <si>
    <t>Journal of Speech, Language, and Hearing Research</t>
  </si>
  <si>
    <t>1092-4388</t>
  </si>
  <si>
    <t>Journal of Spirituality in Mental Health</t>
  </si>
  <si>
    <t>1934-9637</t>
  </si>
  <si>
    <t>1934-9645</t>
  </si>
  <si>
    <t>Journal of Sport &amp; Exercise Psychology</t>
  </si>
  <si>
    <t>Human Kinetics Publishers, Inc.</t>
  </si>
  <si>
    <t>0895-2779</t>
  </si>
  <si>
    <t>1543-2904</t>
  </si>
  <si>
    <t>Journal of Sport Behavior</t>
  </si>
  <si>
    <t>0162-7341</t>
  </si>
  <si>
    <t>2641-3477</t>
  </si>
  <si>
    <t>Journal of Studies on Alcohol and Drugs</t>
  </si>
  <si>
    <t>Alcohol Research Documentation, Inc.</t>
  </si>
  <si>
    <t>1937-1888</t>
  </si>
  <si>
    <t>1938-4114</t>
  </si>
  <si>
    <t>Journal of Substance Abuse Treatment</t>
  </si>
  <si>
    <t>0740-5472</t>
  </si>
  <si>
    <t>1873-6483</t>
  </si>
  <si>
    <t>Journal of Systemic Therapies</t>
  </si>
  <si>
    <t>1195-4396</t>
  </si>
  <si>
    <t>1930-6318</t>
  </si>
  <si>
    <t>Journal of Telemedicine and Telecare</t>
  </si>
  <si>
    <t>1357-633X</t>
  </si>
  <si>
    <t>1758-1109</t>
  </si>
  <si>
    <t>The Journal of Total Rewards</t>
  </si>
  <si>
    <t>WorldatWork</t>
  </si>
  <si>
    <t>2690-6074</t>
  </si>
  <si>
    <t>2690-6082</t>
  </si>
  <si>
    <t>01-Jan-2007--31-Dec-2019</t>
  </si>
  <si>
    <t>01-Jan-2010--31-Dec-2010; 01-Jan-2018--31-Dec-2018</t>
  </si>
  <si>
    <t>Business And Economics--Labor And Industrial Relations|Business And Economics--Personnel Management</t>
  </si>
  <si>
    <t>Journal of Transcultural Nursing</t>
  </si>
  <si>
    <t>1043-6596</t>
  </si>
  <si>
    <t>1552-7832</t>
  </si>
  <si>
    <t>01-Jan-1998--31-Dec-1998; 01-Jul-2004--31-Dec-2006</t>
  </si>
  <si>
    <t>Journal of Transpersonal Psychology</t>
  </si>
  <si>
    <t>0022-524X</t>
  </si>
  <si>
    <t>Journal of Trauma &amp; Dissociation</t>
  </si>
  <si>
    <t>1529-9732</t>
  </si>
  <si>
    <t>1529-9740</t>
  </si>
  <si>
    <t>Journal of Traumatic Stress</t>
  </si>
  <si>
    <t>0894-9867</t>
  </si>
  <si>
    <t>1573-6598</t>
  </si>
  <si>
    <t>01-Jan-2007--31-Dec-2010</t>
  </si>
  <si>
    <t>Journal of Tropical Psychology</t>
  </si>
  <si>
    <t>1838-9902</t>
  </si>
  <si>
    <t>Journal of Vietnamese Studies</t>
  </si>
  <si>
    <t>University of California Press Books Division</t>
  </si>
  <si>
    <t>1559-372X</t>
  </si>
  <si>
    <t>1559-3738</t>
  </si>
  <si>
    <t>Asian Studies|History--History Of Asia|Political Science</t>
  </si>
  <si>
    <t>Journal of Visual Impairment &amp; Blindness</t>
  </si>
  <si>
    <t>0145-482X</t>
  </si>
  <si>
    <t>Journal of Visual Impairment &amp; Blindness (Online)</t>
  </si>
  <si>
    <t>1559-1476</t>
  </si>
  <si>
    <t>01-Jan-1937--31-Dec-1937; 01-Jan-1943--31-Dec-1948; 01-Jan-1950--31-Dec-1950</t>
  </si>
  <si>
    <t>Journal of Vocational Behavior</t>
  </si>
  <si>
    <t>0001-8791</t>
  </si>
  <si>
    <t>1095-9084</t>
  </si>
  <si>
    <t>Journal of Women &amp; Aging</t>
  </si>
  <si>
    <t>0895-2841</t>
  </si>
  <si>
    <t>1540-7322</t>
  </si>
  <si>
    <t>Gerontology And Geriatrics|Women's Interests|Women's Studies</t>
  </si>
  <si>
    <t>Journal of Work-Applied Management</t>
  </si>
  <si>
    <t>2205-2062</t>
  </si>
  <si>
    <t>2205-149X</t>
  </si>
  <si>
    <t>Journal of Workplace Behavioral Health</t>
  </si>
  <si>
    <t>1555-5240</t>
  </si>
  <si>
    <t>1555-5259</t>
  </si>
  <si>
    <t>Business And Economics--Management|Business And Economics--Personnel Management|Drug Abuse And Alcoholism</t>
  </si>
  <si>
    <t>Journal of Workplace Learning</t>
  </si>
  <si>
    <t>1366-5626</t>
  </si>
  <si>
    <t>1758-7859</t>
  </si>
  <si>
    <t>Journal of Youth Development</t>
  </si>
  <si>
    <t>University Library System, University of Pittsburgh</t>
  </si>
  <si>
    <t>2325-4009</t>
  </si>
  <si>
    <t>2325-4017</t>
  </si>
  <si>
    <t>Journal of Youth and Adolescence</t>
  </si>
  <si>
    <t>0047-2891</t>
  </si>
  <si>
    <t>1573-6601</t>
  </si>
  <si>
    <t>Journal of the Academy of Marketing Science</t>
  </si>
  <si>
    <t>0092-0703</t>
  </si>
  <si>
    <t>1552-7824</t>
  </si>
  <si>
    <t>Journal of the American Academy of Audiology</t>
  </si>
  <si>
    <t>American Academy of Audiology</t>
  </si>
  <si>
    <t>1050-0545</t>
  </si>
  <si>
    <t>2157-3107</t>
  </si>
  <si>
    <t>Journal of the American Academy of Child and Adolescent Psychiatry</t>
  </si>
  <si>
    <t>0890-8567</t>
  </si>
  <si>
    <t>1527-5418</t>
  </si>
  <si>
    <t>Children And Youth - About|Medical Sciences--Psychiatry And Neurology</t>
  </si>
  <si>
    <t>Journal of the Association for Consumer Research</t>
  </si>
  <si>
    <t>2378-1815</t>
  </si>
  <si>
    <t>2378-1823</t>
  </si>
  <si>
    <t>The Journal of the Association of Nurses in AIDS Care</t>
  </si>
  <si>
    <t>1055-3290</t>
  </si>
  <si>
    <t>1552-6917</t>
  </si>
  <si>
    <t>Medical Sciences|Medical Sciences--Allergology And Immunology|Medical Sciences--Communicable Diseases|Medical Sciences--Nurses And Nursing</t>
  </si>
  <si>
    <t>Journal of the Experimental Analysis of Behavior</t>
  </si>
  <si>
    <t>0022-5002</t>
  </si>
  <si>
    <t>1938-3711</t>
  </si>
  <si>
    <t>Journal of the History of Sexuality</t>
  </si>
  <si>
    <t>1043-4070</t>
  </si>
  <si>
    <t>1535-3605</t>
  </si>
  <si>
    <t>Journal of the History of the Behavioral Sciences</t>
  </si>
  <si>
    <t>0022-5061</t>
  </si>
  <si>
    <t>1520-6696</t>
  </si>
  <si>
    <t>Journal of the History of the Neurosciences</t>
  </si>
  <si>
    <t>0964-704X</t>
  </si>
  <si>
    <t>1744-5213</t>
  </si>
  <si>
    <t>Journal of the Indian Academy of Applied Psychology</t>
  </si>
  <si>
    <t>Indian Academy of Applied Psychology (IAAP)</t>
  </si>
  <si>
    <t>0019-4247</t>
  </si>
  <si>
    <t>Journal of the International Neuropsychological Society : JINS</t>
  </si>
  <si>
    <t>1355-6177</t>
  </si>
  <si>
    <t>1469-7661</t>
  </si>
  <si>
    <t>Journal of the National Medical Association</t>
  </si>
  <si>
    <t>0027-9684</t>
  </si>
  <si>
    <t>1943-4693</t>
  </si>
  <si>
    <t>Journal on Developmental Disabilities</t>
  </si>
  <si>
    <t>Ontario Association on Developmental Disabilities</t>
  </si>
  <si>
    <t>1188-9136</t>
  </si>
  <si>
    <t>1917-7909</t>
  </si>
  <si>
    <t>The Journals of Gerontology</t>
  </si>
  <si>
    <t>1079-5006</t>
  </si>
  <si>
    <t>1758-535X</t>
  </si>
  <si>
    <t>Biology|Gerontology And Geriatrics|Medical Sciences</t>
  </si>
  <si>
    <t>1079-5014</t>
  </si>
  <si>
    <t>1758-5368</t>
  </si>
  <si>
    <t>Judgements Under Stress</t>
  </si>
  <si>
    <t>Judith Smith Videos</t>
  </si>
  <si>
    <t>Jung Journal</t>
  </si>
  <si>
    <t>1934-2039</t>
  </si>
  <si>
    <t>1934-2047</t>
  </si>
  <si>
    <t>Keeping Kids Healthy</t>
  </si>
  <si>
    <t>Kit Kitten and the Topsy-Turvy Feelings : A Story About Parents Who Aren't Always Able to Care</t>
  </si>
  <si>
    <t>Kohlberg Moral Developmental Stages Index : Level 1</t>
  </si>
  <si>
    <t>Kohlberg Moral Developmental Stages Index : Level 2</t>
  </si>
  <si>
    <t>Kohlberg Moral Developmental Stages Index : Level 3</t>
  </si>
  <si>
    <t>Kölner Zeitschrift für Soziologie und Sozialpsychologie</t>
  </si>
  <si>
    <t>0023-2653</t>
  </si>
  <si>
    <t>1861-891X</t>
  </si>
  <si>
    <t>Kriminologija &amp; Socijalna Integracija</t>
  </si>
  <si>
    <t>University of Zagreb, Faculty of Education and Rehabilitation Sciences</t>
  </si>
  <si>
    <t>1330-2604</t>
  </si>
  <si>
    <t>1848-7963</t>
  </si>
  <si>
    <t>Croatian|English|Serbian</t>
  </si>
  <si>
    <t>Kuram ve Uygulamada Egitim Bilimleri</t>
  </si>
  <si>
    <t>EDAM (Educational Consultancy Ltd.)</t>
  </si>
  <si>
    <t>1303-0485</t>
  </si>
  <si>
    <t>The Lancet Neurology</t>
  </si>
  <si>
    <t>1474-4422</t>
  </si>
  <si>
    <t>1474-4465</t>
  </si>
  <si>
    <t>The Lancet</t>
  </si>
  <si>
    <t>0140-6736</t>
  </si>
  <si>
    <t>1474-547X</t>
  </si>
  <si>
    <t>01-Jan-1935--31-Dec-1935; 01-Jan-1937--31-Dec-1937; 01-Jan-1941--31-Dec-1946; 01-Jan-1949--31-Dec-1949</t>
  </si>
  <si>
    <t>Language &amp; Communication</t>
  </si>
  <si>
    <t>Pergamon Press Inc.</t>
  </si>
  <si>
    <t>0271-5309</t>
  </si>
  <si>
    <t>1873-3395</t>
  </si>
  <si>
    <t>Communications|Linguistics|Sociology</t>
  </si>
  <si>
    <t>Language Acquisition</t>
  </si>
  <si>
    <t>1048-9223</t>
  </si>
  <si>
    <t>1532-7817</t>
  </si>
  <si>
    <t>Language Assessment Quarterly</t>
  </si>
  <si>
    <t>1543-4303</t>
  </si>
  <si>
    <t>1543-4311</t>
  </si>
  <si>
    <t>Language Learning and Development</t>
  </si>
  <si>
    <t>1547-5441</t>
  </si>
  <si>
    <t>1547-3341</t>
  </si>
  <si>
    <t>Language Testing</t>
  </si>
  <si>
    <t>0265-5322</t>
  </si>
  <si>
    <t>1477-0946</t>
  </si>
  <si>
    <t>Language and Speech</t>
  </si>
  <si>
    <t>0023-8309</t>
  </si>
  <si>
    <t>1756-6053</t>
  </si>
  <si>
    <t>Education--Special Education And Rehabilitation|Linguistics|Medical Sciences|Psychology</t>
  </si>
  <si>
    <t>Language in Society</t>
  </si>
  <si>
    <t>0047-4045</t>
  </si>
  <si>
    <t>1469-8013</t>
  </si>
  <si>
    <t>The Language of Leaders : How Top CEOs Communicate to Inspire, Influence and Achieve Results</t>
  </si>
  <si>
    <t>2nd edition.</t>
  </si>
  <si>
    <t>9780749468125;9780749468125</t>
  </si>
  <si>
    <t>Language, Speech &amp; Hearing Services in Schools</t>
  </si>
  <si>
    <t>0161-1461</t>
  </si>
  <si>
    <t>1558-9129</t>
  </si>
  <si>
    <t>Language, Speech &amp; Hearing Services in Schools (Online)</t>
  </si>
  <si>
    <t>Laterality</t>
  </si>
  <si>
    <t>1357-650X</t>
  </si>
  <si>
    <t>Law &amp; Psychology Review</t>
  </si>
  <si>
    <t>University of Alabama, School of Law</t>
  </si>
  <si>
    <t>0098-5961</t>
  </si>
  <si>
    <t>Law &amp; Society Review</t>
  </si>
  <si>
    <t>Law and Society Association</t>
  </si>
  <si>
    <t>0023-9216</t>
  </si>
  <si>
    <t>1540-5893</t>
  </si>
  <si>
    <t>Law|Psychology|Social Sciences: Comprehensive Works|Sociology</t>
  </si>
  <si>
    <t>Law and Human Behavior</t>
  </si>
  <si>
    <t>American Psychological Law Society</t>
  </si>
  <si>
    <t>0147-7307</t>
  </si>
  <si>
    <t>1573-661X</t>
  </si>
  <si>
    <t>Leadership &amp; Organization Development Journal</t>
  </si>
  <si>
    <t>0143-7739</t>
  </si>
  <si>
    <t>1472-5347</t>
  </si>
  <si>
    <t>Leadership Excellence</t>
  </si>
  <si>
    <t>8756-2308</t>
  </si>
  <si>
    <t>Business And Economics--Management|Education</t>
  </si>
  <si>
    <t>Leadership Psychology : How the Best Leaders Inspire Their People</t>
  </si>
  <si>
    <t>9780749470814;9780749470814</t>
  </si>
  <si>
    <t>Leadership Quarterly</t>
  </si>
  <si>
    <t>1048-9843</t>
  </si>
  <si>
    <t>1873-3409</t>
  </si>
  <si>
    <t>Business And Economics--Management|Political Science|Psychology|Sociology</t>
  </si>
  <si>
    <t>Leadership and Motivation : the Fifty - Fifty Rule and the Eight Key Principles of Motivating Others</t>
  </si>
  <si>
    <t>9780749450496;9780749450496</t>
  </si>
  <si>
    <t>Business And Economics--Personnel Management|Communications</t>
  </si>
  <si>
    <t>Leading Good Care : The Task, Heart and Art of Managing Social Care</t>
  </si>
  <si>
    <t>Leading in the Here and Now</t>
  </si>
  <si>
    <t>Learning &amp; Behavior</t>
  </si>
  <si>
    <t>1543-4494</t>
  </si>
  <si>
    <t>1543-4508</t>
  </si>
  <si>
    <t>01-Sep-2014--31-May-2017</t>
  </si>
  <si>
    <t>Learning &amp; Behavior (pre-2011)</t>
  </si>
  <si>
    <t>Learning Disability Practice (2014+)</t>
  </si>
  <si>
    <t>RCNi</t>
  </si>
  <si>
    <t>1465-8712</t>
  </si>
  <si>
    <t>2047-8968</t>
  </si>
  <si>
    <t>Learning Disability Practice (through 2013)</t>
  </si>
  <si>
    <t>Learning Disability Quarterly</t>
  </si>
  <si>
    <t>0731-9487</t>
  </si>
  <si>
    <t>2168-376X</t>
  </si>
  <si>
    <t>Learning Environments Research</t>
  </si>
  <si>
    <t>1387-1579</t>
  </si>
  <si>
    <t>1573-1855</t>
  </si>
  <si>
    <t>Learning Through Child Observation</t>
  </si>
  <si>
    <t>Learning and Individual Differences</t>
  </si>
  <si>
    <t>1041-6080</t>
  </si>
  <si>
    <t>1873-3425</t>
  </si>
  <si>
    <t>Learning and Motivation</t>
  </si>
  <si>
    <t>0023-9690</t>
  </si>
  <si>
    <t>1095-9122</t>
  </si>
  <si>
    <t>Learning and Teaching Therapy With Jay Haley</t>
  </si>
  <si>
    <t>Learning to Teach, Teaching to Learn : A Guide for Social Work Field Education</t>
  </si>
  <si>
    <t>Learning, Media and Technology</t>
  </si>
  <si>
    <t>1743-9884</t>
  </si>
  <si>
    <t>1743-9892</t>
  </si>
  <si>
    <t>Legal and Criminological Psychology</t>
  </si>
  <si>
    <t>1355-3259</t>
  </si>
  <si>
    <t>2044-8333</t>
  </si>
  <si>
    <t>Criminology And Law Enforcement|Medical Sciences--Forensic Sciences|Psychology</t>
  </si>
  <si>
    <t>Les Greenberg : EXTRAS</t>
  </si>
  <si>
    <t>Letters of a Lunatic : A Brief Exposition of My University Life During the Years 1853-1854</t>
  </si>
  <si>
    <t>1854</t>
  </si>
  <si>
    <t>Letters to a Young Therapist</t>
  </si>
  <si>
    <t>La Lettre des Therapies Innovantes</t>
  </si>
  <si>
    <t>Les Neurones Moteurs</t>
  </si>
  <si>
    <t>1969-9786</t>
  </si>
  <si>
    <t>Liberabit</t>
  </si>
  <si>
    <t>Universidad de San Martin de Porres, Facultad de Ciencias de la Comunicación, Turismo y Psicología</t>
  </si>
  <si>
    <t>Peru</t>
  </si>
  <si>
    <t>1729-4827</t>
  </si>
  <si>
    <t>2223-7666</t>
  </si>
  <si>
    <t>Life Among the Insane</t>
  </si>
  <si>
    <t>North American Review</t>
  </si>
  <si>
    <t>1887</t>
  </si>
  <si>
    <t>Life Coaching for Kids : A Practical Manual to Coach Children and Young People to Success, Well-Being and Fulfilment</t>
  </si>
  <si>
    <t>Life Skills to Help Teens Balance Way too Much : Relevant Facilitator Reproducible Activities and Handouts</t>
  </si>
  <si>
    <t>Listen 2 Kids Videos</t>
  </si>
  <si>
    <t>Literacy Research and Instruction</t>
  </si>
  <si>
    <t>1938-8071</t>
  </si>
  <si>
    <t>1938-8063</t>
  </si>
  <si>
    <t>Literature and Psychology</t>
  </si>
  <si>
    <t>Richard Feldstein</t>
  </si>
  <si>
    <t>0024-4759</t>
  </si>
  <si>
    <t>Living Better With Dementia : Good Practice and Innovation for the Future</t>
  </si>
  <si>
    <t>Living Beyond Brain Injury : A Resource Manual</t>
  </si>
  <si>
    <t>Living Love</t>
  </si>
  <si>
    <t>Loaded : Women and Addiction</t>
  </si>
  <si>
    <t>The London-Citizen Exceedingly Injured; or, a British Inquisition Display'd, in an Account of the Unparallel'd Case of a Citizen of London, Bookseller to the Late Queen, Who Was in a Most Unjust and Arbitrary Manner Sent on the 23rd of March Last, 1738, by One Robert Wightman, a Mere Stranger, to a Private Madhouse</t>
  </si>
  <si>
    <t>Love at Goon Park : Harry Harlow and the Science of Affection</t>
  </si>
  <si>
    <t>MIMH Professional Training</t>
  </si>
  <si>
    <t>Mad Humanity : Its Forms Apparent and Obscure</t>
  </si>
  <si>
    <t>C. Arthur Pearson Ltd.</t>
  </si>
  <si>
    <t>1898</t>
  </si>
  <si>
    <t>A Mad World and Its Inhabitants</t>
  </si>
  <si>
    <t>Madness Network News Reader</t>
  </si>
  <si>
    <t>Glide Publications</t>
  </si>
  <si>
    <t>The Malaysian Journal of Psychiatry</t>
  </si>
  <si>
    <t>0128-8628</t>
  </si>
  <si>
    <t>A Man Remade : Or Out of Delirium's Wonderland</t>
  </si>
  <si>
    <t>The Man Who Shocked the World : The Life and Legacy of Stanley Milgram</t>
  </si>
  <si>
    <t>M@n@gement</t>
  </si>
  <si>
    <t>Association Internationale de Management Stratégique</t>
  </si>
  <si>
    <t>1286-4692</t>
  </si>
  <si>
    <t>English|French|German|Italian|Spanish; Castilian</t>
  </si>
  <si>
    <t>Management Science</t>
  </si>
  <si>
    <t>0025-1909</t>
  </si>
  <si>
    <t>1526-5501</t>
  </si>
  <si>
    <t>Management and Leadership in Social Work Practice and Education</t>
  </si>
  <si>
    <t>Manitoba Journal of Counselling</t>
  </si>
  <si>
    <t>Manitoba School Counsellors' Association</t>
  </si>
  <si>
    <t>0831-3245</t>
  </si>
  <si>
    <t>Marine and Freshwater Behaviour and Physiology</t>
  </si>
  <si>
    <t>1023-6244</t>
  </si>
  <si>
    <t>1029-0362</t>
  </si>
  <si>
    <t>Biology|Fish And Fisheries</t>
  </si>
  <si>
    <t>Marketing Intelligence &amp; Planning</t>
  </si>
  <si>
    <t>0263-4503</t>
  </si>
  <si>
    <t>1758-8049</t>
  </si>
  <si>
    <t>Marketing Science</t>
  </si>
  <si>
    <t>0732-2399</t>
  </si>
  <si>
    <t>1526-548X</t>
  </si>
  <si>
    <t>Marriage &amp; Family Review</t>
  </si>
  <si>
    <t>0149-4929</t>
  </si>
  <si>
    <t>1540-9635</t>
  </si>
  <si>
    <t>Matrimony|Sociology</t>
  </si>
  <si>
    <t>Mass Communication &amp; Society</t>
  </si>
  <si>
    <t>1520-5436</t>
  </si>
  <si>
    <t>1532-7825</t>
  </si>
  <si>
    <t>Mastersworks Masterwork Productions Videos</t>
  </si>
  <si>
    <t>Mastery in Coaching : A Complete Psychological Toolkit for Advanced Coaching</t>
  </si>
  <si>
    <t>9780749471798;9780749471798</t>
  </si>
  <si>
    <t>Measurement Instruments for the Social Sciences</t>
  </si>
  <si>
    <t>2523-8930</t>
  </si>
  <si>
    <t>Measurement and Evaluation in Counseling and Development</t>
  </si>
  <si>
    <t>0748-1756</t>
  </si>
  <si>
    <t>1947-6302</t>
  </si>
  <si>
    <t>Media Psychology</t>
  </si>
  <si>
    <t>1521-3269</t>
  </si>
  <si>
    <t>1532-785X</t>
  </si>
  <si>
    <t>Medical Care Research and Review</t>
  </si>
  <si>
    <t>1077-5587</t>
  </si>
  <si>
    <t>1552-6801</t>
  </si>
  <si>
    <t>Abstracting And Indexing Services|Medical Sciences|Medical Sciences--Abstracting, Bibliographies, Statistics|Public Health And Safety|Public Health And Safety--Abstracting, Bibliographies, Statistics</t>
  </si>
  <si>
    <t>Medical Decision Making</t>
  </si>
  <si>
    <t>0272-989X</t>
  </si>
  <si>
    <t>1552-681X</t>
  </si>
  <si>
    <t>Medycyna Pracy</t>
  </si>
  <si>
    <t>0465-5893</t>
  </si>
  <si>
    <t>2353-1339</t>
  </si>
  <si>
    <t>Medical Sciences|Occupational Health And Safety</t>
  </si>
  <si>
    <t>Memoir of the Early Life of William Cowper</t>
  </si>
  <si>
    <t>1816</t>
  </si>
  <si>
    <t>Memory</t>
  </si>
  <si>
    <t>0965-8211</t>
  </si>
  <si>
    <t>1464-0686</t>
  </si>
  <si>
    <t>Memory &amp; Cognition</t>
  </si>
  <si>
    <t>0090-502X</t>
  </si>
  <si>
    <t>1532-5946</t>
  </si>
  <si>
    <t>Men and Masculinities</t>
  </si>
  <si>
    <t>1097-184X</t>
  </si>
  <si>
    <t>1552-6828</t>
  </si>
  <si>
    <t>01-Jan-2012--31-Dec-2014</t>
  </si>
  <si>
    <t>Men in Therapy : What Clinicians Need to Know</t>
  </si>
  <si>
    <t>Mental Disorder / Illness Symptoms Index</t>
  </si>
  <si>
    <t>Mental Health Academy Videos</t>
  </si>
  <si>
    <t>Mental Health NIMH [BLOG]</t>
  </si>
  <si>
    <t>Political Science</t>
  </si>
  <si>
    <t>Mental Health Nursing</t>
  </si>
  <si>
    <t>Community Psychiatric Nurses Association</t>
  </si>
  <si>
    <t>1353-0283</t>
  </si>
  <si>
    <t>Mental Health Nursing (Online)</t>
  </si>
  <si>
    <t>2043-7501</t>
  </si>
  <si>
    <t>Mental Health Practice (2014+)</t>
  </si>
  <si>
    <t>1465-8720</t>
  </si>
  <si>
    <t>2047-895X</t>
  </si>
  <si>
    <t>Mental Health Practice (through 2013)</t>
  </si>
  <si>
    <t>The Mental Health Review</t>
  </si>
  <si>
    <t>1361-9322</t>
  </si>
  <si>
    <t>2042-8758</t>
  </si>
  <si>
    <t>Mental Health Services Research</t>
  </si>
  <si>
    <t>1522-3434</t>
  </si>
  <si>
    <t>1573-6636</t>
  </si>
  <si>
    <t>Mental Health Special Interest Section Quarterly / American Occupational Therapy Association</t>
  </si>
  <si>
    <t>1093-7226</t>
  </si>
  <si>
    <t>Occupational Health And Safety|Psychology</t>
  </si>
  <si>
    <t>Mental Health Today</t>
  </si>
  <si>
    <t>Pavilion Publishing (Brighton) Ltd.</t>
  </si>
  <si>
    <t>1474-5186</t>
  </si>
  <si>
    <t>Mental Health Weekly</t>
  </si>
  <si>
    <t>1058-1103</t>
  </si>
  <si>
    <t>1556-7583</t>
  </si>
  <si>
    <t>Law|Medical Sciences--Psychiatry And Neurology|Psychology</t>
  </si>
  <si>
    <t>Mental Health and Social Inclusion</t>
  </si>
  <si>
    <t>2042-8308</t>
  </si>
  <si>
    <t>2042-8316</t>
  </si>
  <si>
    <t>Mental Health and Substance Use</t>
  </si>
  <si>
    <t>1752-3281</t>
  </si>
  <si>
    <t>1752-3273</t>
  </si>
  <si>
    <t>Mental Health, Religion &amp; Culture</t>
  </si>
  <si>
    <t>1367-4676</t>
  </si>
  <si>
    <t>1469-9737</t>
  </si>
  <si>
    <t>Anthropology|Psychology|Religions And Theology|Sociology</t>
  </si>
  <si>
    <t>Mental Illness</t>
  </si>
  <si>
    <t>2036-7465</t>
  </si>
  <si>
    <t>Mental and Physical Disability Law Reporter</t>
  </si>
  <si>
    <t>American Bar Association</t>
  </si>
  <si>
    <t>0883-7902</t>
  </si>
  <si>
    <t>2327-4301</t>
  </si>
  <si>
    <t>Merrill - Palmer Quarterly</t>
  </si>
  <si>
    <t>Wayne State University Press</t>
  </si>
  <si>
    <t>0272-930X</t>
  </si>
  <si>
    <t>1535-0266</t>
  </si>
  <si>
    <t>Metabolic Brain Disease</t>
  </si>
  <si>
    <t>0885-7490</t>
  </si>
  <si>
    <t>1573-7365</t>
  </si>
  <si>
    <t>01-Dec-1997--31-Dec-1998</t>
  </si>
  <si>
    <t>Metacognition and Learning</t>
  </si>
  <si>
    <t>1556-1623</t>
  </si>
  <si>
    <t>1556-1631</t>
  </si>
  <si>
    <t>Metaphor and Symbol</t>
  </si>
  <si>
    <t>1092-6488</t>
  </si>
  <si>
    <t>1532-7868</t>
  </si>
  <si>
    <t>Methamphetamine : A Love Story</t>
  </si>
  <si>
    <t>The Method of Pavlov in Animal Psychology</t>
  </si>
  <si>
    <t>Michigan State University Symposium on Multicultural Psychology</t>
  </si>
  <si>
    <t>Middle East Current Psychiatry</t>
  </si>
  <si>
    <t>2090-5408</t>
  </si>
  <si>
    <t>2090-5416</t>
  </si>
  <si>
    <t>Military Medicine</t>
  </si>
  <si>
    <t>0026-4075</t>
  </si>
  <si>
    <t>1930-613X</t>
  </si>
  <si>
    <t>Military Psychology</t>
  </si>
  <si>
    <t>0899-5605</t>
  </si>
  <si>
    <t>1532-7876</t>
  </si>
  <si>
    <t>Military|Psychology</t>
  </si>
  <si>
    <t>Military Review</t>
  </si>
  <si>
    <t>Department of the Army Headquarters</t>
  </si>
  <si>
    <t>0026-4148</t>
  </si>
  <si>
    <t>1943-1147</t>
  </si>
  <si>
    <t>History|Military|Political Science--International Relations</t>
  </si>
  <si>
    <t>Military Technology</t>
  </si>
  <si>
    <t>Monch Publications</t>
  </si>
  <si>
    <t>0722-3226</t>
  </si>
  <si>
    <t>Aeronautics And Space Flight</t>
  </si>
  <si>
    <t>The Milton H. Erickson Foundation Videos</t>
  </si>
  <si>
    <t>Mind &amp; Brain</t>
  </si>
  <si>
    <t>San Lucas Medical Limited</t>
  </si>
  <si>
    <t>2042-4698</t>
  </si>
  <si>
    <t>Mind &amp; Society</t>
  </si>
  <si>
    <t>1593-7879</t>
  </si>
  <si>
    <t>1860-1839</t>
  </si>
  <si>
    <t>Mind at Night : The New Science of How and Why We Dream</t>
  </si>
  <si>
    <t>Mind, Culture, and Activity</t>
  </si>
  <si>
    <t>1074-9039</t>
  </si>
  <si>
    <t>1532-7884</t>
  </si>
  <si>
    <t>Mind-Body Wellness Series</t>
  </si>
  <si>
    <t>Mindful Art Therapy</t>
  </si>
  <si>
    <t>Mindful Coaching : How Mindfulness can Transform Coaching Practice.</t>
  </si>
  <si>
    <t>9780749465667;9780749465667</t>
  </si>
  <si>
    <t>The Mindful International Manager : How to Work Effectively Across Cultures</t>
  </si>
  <si>
    <t>Second edition.</t>
  </si>
  <si>
    <t>9780749469825;9780749469825</t>
  </si>
  <si>
    <t>Mindfulness Groups : A Demonstration</t>
  </si>
  <si>
    <t>Mindfulness for Careers</t>
  </si>
  <si>
    <t>Mindfulness-Based Interventions for Older Adults : Evidence for Practice</t>
  </si>
  <si>
    <t>Minds and Machines</t>
  </si>
  <si>
    <t>0924-6495</t>
  </si>
  <si>
    <t>1572-8641</t>
  </si>
  <si>
    <t>01-Jan-2008--31-Dec-2008; 01-Jan-2010--31-Dec-2015</t>
  </si>
  <si>
    <t>Missouri Institute of Mental Health Videos</t>
  </si>
  <si>
    <t>Mixed Experiences : Growing Up Mixed Race - Mental Health and Well-Being</t>
  </si>
  <si>
    <t>Mockingbird Years : A Life In and Out of Therapy</t>
  </si>
  <si>
    <t>Basic Books The Perseus Books Group</t>
  </si>
  <si>
    <t>Modern Psychoanalysis</t>
  </si>
  <si>
    <t>Center for Modern Psychoanalytic Studies</t>
  </si>
  <si>
    <t>0361-5227</t>
  </si>
  <si>
    <t>Molecular Autism</t>
  </si>
  <si>
    <t>2040-2392</t>
  </si>
  <si>
    <t>Molecular Neurobiology</t>
  </si>
  <si>
    <t>0893-7648</t>
  </si>
  <si>
    <t>1559-1182</t>
  </si>
  <si>
    <t>Biology--Biochemistry|Biology--Genetics|Medical Sciences--Psychiatry And Neurology</t>
  </si>
  <si>
    <t>Molecular Psychiatry</t>
  </si>
  <si>
    <t>1359-4184</t>
  </si>
  <si>
    <t>1476-5578</t>
  </si>
  <si>
    <t>Monographs of the Society for Research in Child Development</t>
  </si>
  <si>
    <t>0037-976X</t>
  </si>
  <si>
    <t>1540-5834</t>
  </si>
  <si>
    <t>Mortality</t>
  </si>
  <si>
    <t>1357-6275</t>
  </si>
  <si>
    <t>1469-9885</t>
  </si>
  <si>
    <t>Motivation : Identifying Strengths, Interests, Abilities</t>
  </si>
  <si>
    <t>Motivation and Emotion</t>
  </si>
  <si>
    <t>0146-7239</t>
  </si>
  <si>
    <t>1573-6644</t>
  </si>
  <si>
    <t>Motricidade</t>
  </si>
  <si>
    <t>Edições Desafio Singular</t>
  </si>
  <si>
    <t>Portugal</t>
  </si>
  <si>
    <t>1646-107X</t>
  </si>
  <si>
    <t>2182-2972</t>
  </si>
  <si>
    <t>Physical Fitness And Hygiene|Sports And Games</t>
  </si>
  <si>
    <t>The Moving Child</t>
  </si>
  <si>
    <t>Mr. Dyce Sombre's Refutation of the Charges of Lunacy Brought Against Him in Court of Chancery</t>
  </si>
  <si>
    <t>1849</t>
  </si>
  <si>
    <t>Mr. Smith, Delusional Disorder</t>
  </si>
  <si>
    <t>Mrs. Olsen's Narrative of Her One Year's Imprisonment at Jacksonville Insane Asylum</t>
  </si>
  <si>
    <t>1868</t>
  </si>
  <si>
    <t>Mrs. Sanders, Catatonia Associated With Schizophrenia</t>
  </si>
  <si>
    <t>Multicultural and International Approaches in Social Work Practice</t>
  </si>
  <si>
    <t>Multifaith Care for Sick and Dying Children and Their Families : A Multidisciplinary Guide</t>
  </si>
  <si>
    <t>Multitheoretical Counseling and Psychotherapy</t>
  </si>
  <si>
    <t>Multivariate Behavioral Research</t>
  </si>
  <si>
    <t>0027-3171</t>
  </si>
  <si>
    <t>1532-7906</t>
  </si>
  <si>
    <t>Music Perception</t>
  </si>
  <si>
    <t>0730-7829</t>
  </si>
  <si>
    <t>1533-8312</t>
  </si>
  <si>
    <t>Music Therapy Perspectives</t>
  </si>
  <si>
    <t>0734-6875</t>
  </si>
  <si>
    <t>2053-7387</t>
  </si>
  <si>
    <t>Music|Psychology</t>
  </si>
  <si>
    <t>Muzafer and Carolyn Wood Sherif Papers</t>
  </si>
  <si>
    <t>My Husband Betty : Love, Sex, and Life With a Crossdresser</t>
  </si>
  <si>
    <t>The Myth of the Missing Black Father</t>
  </si>
  <si>
    <t>NEJM Journal Watch. Neurology</t>
  </si>
  <si>
    <t>Massachusetts Medical Society</t>
  </si>
  <si>
    <t>2330-0507</t>
  </si>
  <si>
    <t>NEJM Journal Watch. Psychiatry</t>
  </si>
  <si>
    <t>2330-0493</t>
  </si>
  <si>
    <t>NPJ Schizophrenia</t>
  </si>
  <si>
    <t>2334-265X</t>
  </si>
  <si>
    <t>The Narrative Edge in Expert Testimony : A Guide for Social Workers</t>
  </si>
  <si>
    <t>Narrative Skills, Practice Exercises for Developing Counseling Skills</t>
  </si>
  <si>
    <t>Nathan, Major Depressive Disorder, Recurrent Episode, Severe</t>
  </si>
  <si>
    <t>National - Learning Disabilities Association of Canada</t>
  </si>
  <si>
    <t>Learning Disabilities Association of Canada</t>
  </si>
  <si>
    <t>0709-1370</t>
  </si>
  <si>
    <t>01-Jan-2006--31-Dec-2007</t>
  </si>
  <si>
    <t>National Association of School Psychologists</t>
  </si>
  <si>
    <t>Natural Language Engineering</t>
  </si>
  <si>
    <t>1351-3249</t>
  </si>
  <si>
    <t>1469-8110</t>
  </si>
  <si>
    <t>Computers--Computer Programming</t>
  </si>
  <si>
    <t>Natural Remedies Series</t>
  </si>
  <si>
    <t>Nature</t>
  </si>
  <si>
    <t>0028-0836</t>
  </si>
  <si>
    <t>1476-4687</t>
  </si>
  <si>
    <t>Environmental Studies|Sciences: Comprehensive Works</t>
  </si>
  <si>
    <t>Nature Human Behaviour</t>
  </si>
  <si>
    <t>2397-3374</t>
  </si>
  <si>
    <t>Nature Neuroscience</t>
  </si>
  <si>
    <t>1097-6256</t>
  </si>
  <si>
    <t>1546-1726</t>
  </si>
  <si>
    <t>Nature Reviews. Neuroscience</t>
  </si>
  <si>
    <t>1471-003X</t>
  </si>
  <si>
    <t>1469-3178</t>
  </si>
  <si>
    <t>Nature and Science of Sleep</t>
  </si>
  <si>
    <t>1179-1608</t>
  </si>
  <si>
    <t>Nature of Things</t>
  </si>
  <si>
    <t>Negotiation Journal</t>
  </si>
  <si>
    <t>0748-4526</t>
  </si>
  <si>
    <t>1571-9979</t>
  </si>
  <si>
    <t>Neo-Kleinian Psychoanalytic Approach Collection by Anonymous Male Therapist</t>
  </si>
  <si>
    <t>Netherlands Journal of Psychology</t>
  </si>
  <si>
    <t>1872-552X</t>
  </si>
  <si>
    <t>1876-8768</t>
  </si>
  <si>
    <t>Neural Computation</t>
  </si>
  <si>
    <t>0899-7667</t>
  </si>
  <si>
    <t>1530-888X</t>
  </si>
  <si>
    <t>Medical Sciences--Computer Applications|Medical Sciences--Psychiatry And Neurology</t>
  </si>
  <si>
    <t>Neural Development</t>
  </si>
  <si>
    <t>1749-8104</t>
  </si>
  <si>
    <t>Neural Network World</t>
  </si>
  <si>
    <t>Institute of Computer Science</t>
  </si>
  <si>
    <t>1210-0552</t>
  </si>
  <si>
    <t>2336-4335</t>
  </si>
  <si>
    <t>Czech Technical University in Prague, Faculty of Transportation Sciences</t>
  </si>
  <si>
    <t>Neural Plasticity</t>
  </si>
  <si>
    <t>2090-5904</t>
  </si>
  <si>
    <t>1687-5443</t>
  </si>
  <si>
    <t>Neural Processing Letters</t>
  </si>
  <si>
    <t>1370-4621</t>
  </si>
  <si>
    <t>1573-773X</t>
  </si>
  <si>
    <t>01-Jan-2008--31-Dec-2015</t>
  </si>
  <si>
    <t>Neural Regeneration Research</t>
  </si>
  <si>
    <t>1673-5374</t>
  </si>
  <si>
    <t>1876-7958</t>
  </si>
  <si>
    <t>Neuro - Degenerative Diseases</t>
  </si>
  <si>
    <t>1660-2854</t>
  </si>
  <si>
    <t>1660-2862</t>
  </si>
  <si>
    <t>Biology|Medical Sciences--Gastroenterology|Medical Sciences--Psychiatry And Neurology</t>
  </si>
  <si>
    <t>Neuro-Sell : How Neuroscience Can Power Your Sales Success</t>
  </si>
  <si>
    <t>9780749469214;9780749469214</t>
  </si>
  <si>
    <t>NeuroImage</t>
  </si>
  <si>
    <t>1053-8119</t>
  </si>
  <si>
    <t>1095-9572</t>
  </si>
  <si>
    <t>NeuroQuantology</t>
  </si>
  <si>
    <t>1303-5150</t>
  </si>
  <si>
    <t>Medical Sciences--Psychiatry And Neurology|Physics</t>
  </si>
  <si>
    <t>NeuroRegulation</t>
  </si>
  <si>
    <t>International Society for Neurofeedback &amp; Research</t>
  </si>
  <si>
    <t>2373-0587</t>
  </si>
  <si>
    <t>Medical Sciences--Physical Medicine And Rehabilitation|Medical Sciences--Psychiatry And Neurology</t>
  </si>
  <si>
    <t>Neurobiology of Learning and Memory</t>
  </si>
  <si>
    <t>1074-7427</t>
  </si>
  <si>
    <t>1095-9564</t>
  </si>
  <si>
    <t>Neurocase</t>
  </si>
  <si>
    <t>1355-4794</t>
  </si>
  <si>
    <t>1362-4970</t>
  </si>
  <si>
    <t>01-Jan-2003--31-Dec-2014</t>
  </si>
  <si>
    <t>Neurocognitive Disorder, Case 1 : Susan</t>
  </si>
  <si>
    <t>Neurocognitive Disorder, Case 2 : Mrs. Pearson</t>
  </si>
  <si>
    <t>Neurocognitive Disorder, Case 3 : Mr. Smith</t>
  </si>
  <si>
    <t>Neurocognitive Disorder, Case 4 : Mrs. Baker</t>
  </si>
  <si>
    <t>Neurocognitive Disorder, Case 5 : Olive</t>
  </si>
  <si>
    <t>Neurodegenerative Disease Management</t>
  </si>
  <si>
    <t>Future Medicine Ltd</t>
  </si>
  <si>
    <t>1758-2024</t>
  </si>
  <si>
    <t>1758-2032</t>
  </si>
  <si>
    <t>The Neurodiagnostic Journal</t>
  </si>
  <si>
    <t>2164-6821</t>
  </si>
  <si>
    <t>2375-8627</t>
  </si>
  <si>
    <t>Neuroendocrinology</t>
  </si>
  <si>
    <t>0028-3835</t>
  </si>
  <si>
    <t>1423-0194</t>
  </si>
  <si>
    <t>Neuroepidemiology</t>
  </si>
  <si>
    <t>0251-5350</t>
  </si>
  <si>
    <t>1423-0208</t>
  </si>
  <si>
    <t>Neuroethics</t>
  </si>
  <si>
    <t>1874-5490</t>
  </si>
  <si>
    <t>1874-5504</t>
  </si>
  <si>
    <t>Neurogenetics</t>
  </si>
  <si>
    <t>1364-6745</t>
  </si>
  <si>
    <t>1364-6753</t>
  </si>
  <si>
    <t>Biology--Genetics|Medical Sciences--Psychiatry And Neurology</t>
  </si>
  <si>
    <t>Neuroinformatics</t>
  </si>
  <si>
    <t>1539-2791</t>
  </si>
  <si>
    <t>1559-0089</t>
  </si>
  <si>
    <t>Neurologia i Neurochirurgia Polska</t>
  </si>
  <si>
    <t>Wydawnictwo Via Medica</t>
  </si>
  <si>
    <t>0028-3843</t>
  </si>
  <si>
    <t>1897-4260</t>
  </si>
  <si>
    <t>Neurological Research and Practice</t>
  </si>
  <si>
    <t>2524-3489</t>
  </si>
  <si>
    <t>Neurological Sciences</t>
  </si>
  <si>
    <t>1590-1874</t>
  </si>
  <si>
    <t>1590-3478</t>
  </si>
  <si>
    <t>Neurology Alert</t>
  </si>
  <si>
    <t>Relias Learning</t>
  </si>
  <si>
    <t>0741-4234</t>
  </si>
  <si>
    <t>2168-4251</t>
  </si>
  <si>
    <t>Neurology International</t>
  </si>
  <si>
    <t>2035-8385</t>
  </si>
  <si>
    <t>2035-8377</t>
  </si>
  <si>
    <t>Neurology and Therapy</t>
  </si>
  <si>
    <t>2193-8253</t>
  </si>
  <si>
    <t>2193-6536</t>
  </si>
  <si>
    <t>Neuromarketing in Action : How to Talk and Sell to the Brain</t>
  </si>
  <si>
    <t>9780749469276;9780749469276</t>
  </si>
  <si>
    <t>Neuromolecular Medicine</t>
  </si>
  <si>
    <t>1535-1084</t>
  </si>
  <si>
    <t>1559-1174</t>
  </si>
  <si>
    <t>Neuron</t>
  </si>
  <si>
    <t>0896-6273</t>
  </si>
  <si>
    <t>1097-4199</t>
  </si>
  <si>
    <t>Neuron Glia Biology</t>
  </si>
  <si>
    <t>1740-925X</t>
  </si>
  <si>
    <t>1741-0533</t>
  </si>
  <si>
    <t>Neuropathology</t>
  </si>
  <si>
    <t>0919-6544</t>
  </si>
  <si>
    <t>1440-1789</t>
  </si>
  <si>
    <t>Neurophysiology</t>
  </si>
  <si>
    <t>0090-2977</t>
  </si>
  <si>
    <t>1573-9007</t>
  </si>
  <si>
    <t>Neuropsychiatria i Neuropsychologia</t>
  </si>
  <si>
    <t>Termedia Publishing House</t>
  </si>
  <si>
    <t>1896-6764</t>
  </si>
  <si>
    <t>2084-9885</t>
  </si>
  <si>
    <t>Neuropsychiatric Disease and Treatment</t>
  </si>
  <si>
    <t>1176-6328</t>
  </si>
  <si>
    <t>1178-2021</t>
  </si>
  <si>
    <t>Neuropsychiatric Electrophysiology</t>
  </si>
  <si>
    <t>2055-4788</t>
  </si>
  <si>
    <t>Neuropsychiatry</t>
  </si>
  <si>
    <t>1758-2008</t>
  </si>
  <si>
    <t>1758-2016</t>
  </si>
  <si>
    <t>Neuropsychobiology</t>
  </si>
  <si>
    <t>0302-282X</t>
  </si>
  <si>
    <t>1423-0224</t>
  </si>
  <si>
    <t>Neuropsychological Rehabilitation</t>
  </si>
  <si>
    <t>0960-2011</t>
  </si>
  <si>
    <t>1464-0694</t>
  </si>
  <si>
    <t>Neuropsychology Review</t>
  </si>
  <si>
    <t>1040-7308</t>
  </si>
  <si>
    <t>1573-6660</t>
  </si>
  <si>
    <t>Neuropsychopharmacology</t>
  </si>
  <si>
    <t>0893-133X</t>
  </si>
  <si>
    <t>1740-634X</t>
  </si>
  <si>
    <t>Neuropsychopharmacology Reports</t>
  </si>
  <si>
    <t>2574-173X</t>
  </si>
  <si>
    <t>Neuroscience and Behavioral Physiology</t>
  </si>
  <si>
    <t>0097-0549</t>
  </si>
  <si>
    <t>1573-899X</t>
  </si>
  <si>
    <t>Neuroscience and Neuroeconomics</t>
  </si>
  <si>
    <t>2230-3561</t>
  </si>
  <si>
    <t>Neuroscience for Counsellors : Practical Applications for Counsellors, Therapists and Mental Health Practitioners</t>
  </si>
  <si>
    <t>Neurotherapeutics</t>
  </si>
  <si>
    <t>1933-7213</t>
  </si>
  <si>
    <t>1878-7479</t>
  </si>
  <si>
    <t>New Directions for Child and Adolescent Development</t>
  </si>
  <si>
    <t>1520-3247</t>
  </si>
  <si>
    <t>1534-8687</t>
  </si>
  <si>
    <t>New Directions for Higher Education</t>
  </si>
  <si>
    <t>0271-0560</t>
  </si>
  <si>
    <t>1536-0741</t>
  </si>
  <si>
    <t>New Directions for Student Services</t>
  </si>
  <si>
    <t>0164-7970</t>
  </si>
  <si>
    <t>1536-0695</t>
  </si>
  <si>
    <t>Education--School Organization And Administration</t>
  </si>
  <si>
    <t>The New England Journal of Medicine</t>
  </si>
  <si>
    <t>0028-4793</t>
  </si>
  <si>
    <t>1533-4406</t>
  </si>
  <si>
    <t>New Perspectives : 21st Century Trauma Treatment : The State of the Art</t>
  </si>
  <si>
    <t>New Perspectives, Who's Afraid of Couples Therapy?</t>
  </si>
  <si>
    <t>New Trends in Psychology</t>
  </si>
  <si>
    <t>Universitatea Danubius Galati</t>
  </si>
  <si>
    <t>2668-0696</t>
  </si>
  <si>
    <t>New Zealand Journal of Educational Studies</t>
  </si>
  <si>
    <t>New Zealand Association for Research in Education</t>
  </si>
  <si>
    <t>0028-8276</t>
  </si>
  <si>
    <t>2199-4714</t>
  </si>
  <si>
    <t>English|Maori</t>
  </si>
  <si>
    <t>New Zealand Journal of Psychology</t>
  </si>
  <si>
    <t>New Zealand Psychological Society</t>
  </si>
  <si>
    <t>0112-109X</t>
  </si>
  <si>
    <t>New Zealand Journal of Psychology (Online)</t>
  </si>
  <si>
    <t>1179-7924</t>
  </si>
  <si>
    <t>01-Jan-2005--31-Dec-2008</t>
  </si>
  <si>
    <t>Nicole, Bipolar I Disorder, Current or Most Recent Episode Depressed, Severe</t>
  </si>
  <si>
    <t>Nobody Nowhere : The Extraordinary Autobiography of an Autistic</t>
  </si>
  <si>
    <t>Biography|Psychology</t>
  </si>
  <si>
    <t>Nobody's Child</t>
  </si>
  <si>
    <t>Nordic Journal of Music Therapy</t>
  </si>
  <si>
    <t>0809-8131</t>
  </si>
  <si>
    <t>1944-8260</t>
  </si>
  <si>
    <t>01-Jan-2013--31-Dec-2014; 01-Jan-2016--31-Dec-2016</t>
  </si>
  <si>
    <t>Medical Sciences--Physical Medicine And Rehabilitation|Music</t>
  </si>
  <si>
    <t>Nordic Psychology</t>
  </si>
  <si>
    <t>1901-2276</t>
  </si>
  <si>
    <t>Nordic Studies on Alcohol and Drugs</t>
  </si>
  <si>
    <t>1455-0725</t>
  </si>
  <si>
    <t>1458-6126</t>
  </si>
  <si>
    <t>Danish|English|Norwegian|Swedish</t>
  </si>
  <si>
    <t>Noro-Psikyatri Arsivi</t>
  </si>
  <si>
    <t>BAYT Ltd. Co.</t>
  </si>
  <si>
    <t>1300-0667</t>
  </si>
  <si>
    <t>1309-4866</t>
  </si>
  <si>
    <t>Turkish</t>
  </si>
  <si>
    <t>North American Journal of Psychology</t>
  </si>
  <si>
    <t>1527-7143</t>
  </si>
  <si>
    <t>Education|Psychology|Sociology</t>
  </si>
  <si>
    <t>Not by Faith Alone : Social Services, Social Justice, and Faith-Based Organizations in the United States</t>
  </si>
  <si>
    <t>Notable Contributors to the Psychology of Personality</t>
  </si>
  <si>
    <t>Nothing About Us, Without Us! : 20 Years of Dementia Advocacy</t>
  </si>
  <si>
    <t>OTJR</t>
  </si>
  <si>
    <t>1539-4492</t>
  </si>
  <si>
    <t>1938-2383</t>
  </si>
  <si>
    <t>Occupational Therapy In Mental Health</t>
  </si>
  <si>
    <t>0164-212X</t>
  </si>
  <si>
    <t>1541-3101</t>
  </si>
  <si>
    <t>Medical Sciences|Medical Sciences--Psychiatry And Neurology|Social Services And Welfare</t>
  </si>
  <si>
    <t>Older Adults and Autism Spectrum Conditions : An Introduction and Guide</t>
  </si>
  <si>
    <t>Older Australians : Alcohol and Other Drug Use</t>
  </si>
  <si>
    <t>Omega</t>
  </si>
  <si>
    <t>0030-2228</t>
  </si>
  <si>
    <t>1541-3764</t>
  </si>
  <si>
    <t>On the Frontline With Voices : A Grassroots Handbook for Voice-Hearers, Carers and Clinicians</t>
  </si>
  <si>
    <t>The Only Boy in the World : A Father Explores the Mysteries of Autism</t>
  </si>
  <si>
    <t>Marlowe &amp; Company</t>
  </si>
  <si>
    <t>Ophthalmic &amp; Physiological Optics</t>
  </si>
  <si>
    <t>0275-5408</t>
  </si>
  <si>
    <t>1475-1313</t>
  </si>
  <si>
    <t>Medical Sciences--Ophthalmology And Optometry|Physics--Optics</t>
  </si>
  <si>
    <t>Opinions and Social Pressure</t>
  </si>
  <si>
    <t>Scientific American, Incorporated</t>
  </si>
  <si>
    <t>Opioid Use Disorder Series</t>
  </si>
  <si>
    <t>Organisational and Social Dynamics</t>
  </si>
  <si>
    <t>Phoenix Publishing House</t>
  </si>
  <si>
    <t>1474-2780</t>
  </si>
  <si>
    <t>2044-3765</t>
  </si>
  <si>
    <t>Organisationsberatung, Supervision, Coaching</t>
  </si>
  <si>
    <t>1618-808X</t>
  </si>
  <si>
    <t>1862-2577</t>
  </si>
  <si>
    <t>Organization Development Journal</t>
  </si>
  <si>
    <t>International Society for Organization Development, Inc.</t>
  </si>
  <si>
    <t>0889-6402</t>
  </si>
  <si>
    <t>Organization Management Journal</t>
  </si>
  <si>
    <t>1541-6518</t>
  </si>
  <si>
    <t>01-Jan-2012--31-Dec-2019</t>
  </si>
  <si>
    <t>Organization Science</t>
  </si>
  <si>
    <t>1047-7039</t>
  </si>
  <si>
    <t>1526-5455</t>
  </si>
  <si>
    <t>Organization Studies</t>
  </si>
  <si>
    <t>0170-8406</t>
  </si>
  <si>
    <t>1741-3044</t>
  </si>
  <si>
    <t>Organizational Behavior and Human Decision Processes</t>
  </si>
  <si>
    <t>Elsevier Science Publishing Company, Inc.</t>
  </si>
  <si>
    <t>0749-5978</t>
  </si>
  <si>
    <t>1095-9920</t>
  </si>
  <si>
    <t>Organizational Behaviour : People, Process, Work and Human Resource Management</t>
  </si>
  <si>
    <t>9780749463601;9780749463601</t>
  </si>
  <si>
    <t>Organizational Dynamics</t>
  </si>
  <si>
    <t>0090-2616</t>
  </si>
  <si>
    <t>1873-3530</t>
  </si>
  <si>
    <t>Ornithology</t>
  </si>
  <si>
    <t>American Ornithological Society</t>
  </si>
  <si>
    <t>2732-4613</t>
  </si>
  <si>
    <t>Biology--Ornithology</t>
  </si>
  <si>
    <t>The Other Great Depression</t>
  </si>
  <si>
    <t>The Other Side of Cannabis : Negative Effects of Marijuana on our Youth</t>
  </si>
  <si>
    <t>Outlines : Critical Practice Studies</t>
  </si>
  <si>
    <t>Outlines, Critical Practice Studies</t>
  </si>
  <si>
    <t>Denmark</t>
  </si>
  <si>
    <t>1399-5510</t>
  </si>
  <si>
    <t>1904-0210</t>
  </si>
  <si>
    <t>Overcoming the Magnetism of Street Life : Crime-Engagement Youth and the Programs That Transform Them</t>
  </si>
  <si>
    <t>Lexington Books</t>
  </si>
  <si>
    <t>Oxford Review of Education</t>
  </si>
  <si>
    <t>0305-4985</t>
  </si>
  <si>
    <t>1465-3915</t>
  </si>
  <si>
    <t>PAA : Pattern Analysis and Applications</t>
  </si>
  <si>
    <t>1433-7541</t>
  </si>
  <si>
    <t>1433-755X</t>
  </si>
  <si>
    <t>01-Jan-2008--31-Dec-2010; 01-Jan-2012--31-Dec-2015</t>
  </si>
  <si>
    <t>PESI Counseling and Therapy Videos</t>
  </si>
  <si>
    <t>POTS and Other Acquired Dysautonomia in Children and Adolescents</t>
  </si>
  <si>
    <t>PSYART</t>
  </si>
  <si>
    <t>University of Florida</t>
  </si>
  <si>
    <t>1088-5870</t>
  </si>
  <si>
    <t>Paideía</t>
  </si>
  <si>
    <t>Universidade de São Paulo-Programa de Pós Graduação em Psicologia, Faculdade de Filosofia Ciências e Letras de Ribeirão Preto</t>
  </si>
  <si>
    <t>0103-863X</t>
  </si>
  <si>
    <t>1982-4327</t>
  </si>
  <si>
    <t>Pain Medicine</t>
  </si>
  <si>
    <t>1526-2375</t>
  </si>
  <si>
    <t>1526-4637</t>
  </si>
  <si>
    <t>Medical Sciences--Anaesthesiology|Medical Sciences--Psychiatry And Neurology</t>
  </si>
  <si>
    <t>Pain Research &amp; Management : The Journal of the Canadian Pain Society</t>
  </si>
  <si>
    <t>1203-6765</t>
  </si>
  <si>
    <t>1918-1523</t>
  </si>
  <si>
    <t>Pain Reviews</t>
  </si>
  <si>
    <t>0968-1302</t>
  </si>
  <si>
    <t>1477-0318</t>
  </si>
  <si>
    <t>Pain and Therapy</t>
  </si>
  <si>
    <t>2193-8237</t>
  </si>
  <si>
    <t>2193-651X</t>
  </si>
  <si>
    <t>Pakistan Journal of Clinical Psychology</t>
  </si>
  <si>
    <t>1019-438X</t>
  </si>
  <si>
    <t>Pakistan Journal of Psychological Research</t>
  </si>
  <si>
    <t>1016-0604</t>
  </si>
  <si>
    <t>2663-208X</t>
  </si>
  <si>
    <t>Pakistan Journal of Psychology</t>
  </si>
  <si>
    <t>0030-9869</t>
  </si>
  <si>
    <t>Pakistan Journal of Social and Clinical Psychology</t>
  </si>
  <si>
    <t>GC University Lahore</t>
  </si>
  <si>
    <t>1727-4931</t>
  </si>
  <si>
    <t>Palliative Medicine</t>
  </si>
  <si>
    <t>0269-2163</t>
  </si>
  <si>
    <t>1477-030X</t>
  </si>
  <si>
    <t>Paraclete Press Videos</t>
  </si>
  <si>
    <t>Parallel Lines Videos</t>
  </si>
  <si>
    <t>Parenting</t>
  </si>
  <si>
    <t>1529-5192</t>
  </si>
  <si>
    <t>1532-7922</t>
  </si>
  <si>
    <t>Parenting With the Experts</t>
  </si>
  <si>
    <t>Parkinson's Disease</t>
  </si>
  <si>
    <t>2090-8083</t>
  </si>
  <si>
    <t>2042-0080</t>
  </si>
  <si>
    <t>Partner Abuse</t>
  </si>
  <si>
    <t>1946-6560</t>
  </si>
  <si>
    <t>1946-6579</t>
  </si>
  <si>
    <t>Partnering With Parents : Family-Centered Practice in Children's Services</t>
  </si>
  <si>
    <t>Children And Youth - About|Handicapped|Social Services And Welfare</t>
  </si>
  <si>
    <t>Passages From the History of a Wasted Life</t>
  </si>
  <si>
    <t>1853</t>
  </si>
  <si>
    <t>Pastoral Psychology</t>
  </si>
  <si>
    <t>0031-2789</t>
  </si>
  <si>
    <t>1573-6679</t>
  </si>
  <si>
    <t>Pavlov's Theory of the Function of the Central Nervous System and a Digest of Some of the More Recent Contributions to This Subject From Pavlov's Laboratory</t>
  </si>
  <si>
    <t>Peace &amp; Conflict</t>
  </si>
  <si>
    <t>1078-1919</t>
  </si>
  <si>
    <t>1532-7949</t>
  </si>
  <si>
    <t>Pensamiento Psicologico</t>
  </si>
  <si>
    <t>Revista Pensamiento Psicologico</t>
  </si>
  <si>
    <t>1657-8961</t>
  </si>
  <si>
    <t>People With Dementia Speak Out</t>
  </si>
  <si>
    <t>Perceptual and Motor Skills</t>
  </si>
  <si>
    <t>0031-5125</t>
  </si>
  <si>
    <t>1558-688X</t>
  </si>
  <si>
    <t>Performance Coaching : A Complete Guide to Best Practice Coaching and Training</t>
  </si>
  <si>
    <t>Second edition</t>
  </si>
  <si>
    <t>9780749470319;9780749470319</t>
  </si>
  <si>
    <t>A Person Centred Counsellor</t>
  </si>
  <si>
    <t>Person-Centered Dementia Care : Making Services Better With the VIPS Framework</t>
  </si>
  <si>
    <t>Person-Centred Thinking With Older People : 6 Essential Practices</t>
  </si>
  <si>
    <t>The Personal &amp; Intimate Relationship Workbook : Self-Assessments, Exercises and Educational Handouts</t>
  </si>
  <si>
    <t>Personal Relationships</t>
  </si>
  <si>
    <t>1350-4126</t>
  </si>
  <si>
    <t>1475-6811</t>
  </si>
  <si>
    <t>Psychology|Psychology--Abstracting, Bibliographies, Statistics</t>
  </si>
  <si>
    <t>Personality Neuroscience</t>
  </si>
  <si>
    <t>2513-9886</t>
  </si>
  <si>
    <t>Personality Profiles</t>
  </si>
  <si>
    <t>NSTP e-Media Sdn Bhd</t>
  </si>
  <si>
    <t>Malaysia</t>
  </si>
  <si>
    <t>Personality and Individual Differences</t>
  </si>
  <si>
    <t>0191-8869</t>
  </si>
  <si>
    <t>Personality and Mental Health</t>
  </si>
  <si>
    <t>1932-8621</t>
  </si>
  <si>
    <t>1932-863X</t>
  </si>
  <si>
    <t>Personality and Social Psychology Bulletin</t>
  </si>
  <si>
    <t>0146-1672</t>
  </si>
  <si>
    <t>1552-7433</t>
  </si>
  <si>
    <t>Personality and Social Psychology Review</t>
  </si>
  <si>
    <t>1088-8683</t>
  </si>
  <si>
    <t>1532-7957</t>
  </si>
  <si>
    <t>Personnel Psychology</t>
  </si>
  <si>
    <t>0031-5826</t>
  </si>
  <si>
    <t>1744-6570</t>
  </si>
  <si>
    <t>Personnel Review</t>
  </si>
  <si>
    <t>0048-3486</t>
  </si>
  <si>
    <t>1758-6933</t>
  </si>
  <si>
    <t>Persons With Disabilities : Seeking Truth, Busting Myths, and Being an Advocate</t>
  </si>
  <si>
    <t>Persons, Situations, and Emotions : An Ecological Approach</t>
  </si>
  <si>
    <t>Perspectives in Psychiatric Care</t>
  </si>
  <si>
    <t>0031-5990</t>
  </si>
  <si>
    <t>1744-6163</t>
  </si>
  <si>
    <t>Perspectives on Psychological Science</t>
  </si>
  <si>
    <t>1745-6916</t>
  </si>
  <si>
    <t>Peshawar Journal of Psychology and Behavioral Sciences (PJPBS)</t>
  </si>
  <si>
    <t>Islamia College Peshawar</t>
  </si>
  <si>
    <t>2415-6779</t>
  </si>
  <si>
    <t>2518-4474</t>
  </si>
  <si>
    <t>PharmacoEconomics</t>
  </si>
  <si>
    <t>1170-7690</t>
  </si>
  <si>
    <t>1179-2027</t>
  </si>
  <si>
    <t>Business And Economics|Pharmacy And Pharmacology</t>
  </si>
  <si>
    <t>Philip Zimbardo Papers (Courtesy of Alexander Street Press)</t>
  </si>
  <si>
    <t>Philosophical Psychology</t>
  </si>
  <si>
    <t>0951-5089</t>
  </si>
  <si>
    <t>1465-394X</t>
  </si>
  <si>
    <t>Philosophy, Psychiatry &amp; Psychology : PPP</t>
  </si>
  <si>
    <t>1071-6076</t>
  </si>
  <si>
    <t>1086-3303</t>
  </si>
  <si>
    <t>Medical Sciences--Psychiatry And Neurology|Philosophy|Psychology</t>
  </si>
  <si>
    <t>PhotoSynthesis Productions Videos</t>
  </si>
  <si>
    <t>Pimping the Welfare System : Empowering Participants With Economic, Social, and Cultural Capital</t>
  </si>
  <si>
    <t>The Pits and the Pendulum : A Life With Bipolar Disorder</t>
  </si>
  <si>
    <t>Plan A Is for Autism : Using the AFFECTs Model to Promote Positive Behaviour</t>
  </si>
  <si>
    <t>Planet Widow : A Mother's Story of Navigating a Suddenly Unrecognizable World</t>
  </si>
  <si>
    <t>Play Therapy in the Outdoors</t>
  </si>
  <si>
    <t>Play and Art in Child Psychotherapy</t>
  </si>
  <si>
    <t>The Pleasure's All Mine : The Memoir of a Professional Submissive</t>
  </si>
  <si>
    <t>The Police Chief</t>
  </si>
  <si>
    <t>0032-2571</t>
  </si>
  <si>
    <t>1944-9100</t>
  </si>
  <si>
    <t>Police Practice &amp; Research</t>
  </si>
  <si>
    <t>1561-4263</t>
  </si>
  <si>
    <t>1477-271X</t>
  </si>
  <si>
    <t>Policing &amp; Society</t>
  </si>
  <si>
    <t>1043-9463</t>
  </si>
  <si>
    <t>1477-2728</t>
  </si>
  <si>
    <t>Polish Psychological Bulletin</t>
  </si>
  <si>
    <t>Polish Academy of Sciences</t>
  </si>
  <si>
    <t>0079-2993</t>
  </si>
  <si>
    <t>1641-7844</t>
  </si>
  <si>
    <t>Political Behavior</t>
  </si>
  <si>
    <t>0190-9320</t>
  </si>
  <si>
    <t>1573-6687</t>
  </si>
  <si>
    <t>Political Psychology</t>
  </si>
  <si>
    <t>0162-895X</t>
  </si>
  <si>
    <t>1467-9221</t>
  </si>
  <si>
    <t>Political Science|Psychology</t>
  </si>
  <si>
    <t>Popular Psychology : An Encyclopedia</t>
  </si>
  <si>
    <t>Population and Environment</t>
  </si>
  <si>
    <t>0199-0039</t>
  </si>
  <si>
    <t>1573-7810</t>
  </si>
  <si>
    <t>Population Studies|Psychology|Sociology</t>
  </si>
  <si>
    <t>Positive Focus :  A Groupwork Approach to Self-Harm</t>
  </si>
  <si>
    <t>Postepy Rehabilitacji</t>
  </si>
  <si>
    <t>0860-6161</t>
  </si>
  <si>
    <t>1734-4948</t>
  </si>
  <si>
    <t>Poverty and Power : The Problem of Structural Inequality</t>
  </si>
  <si>
    <t>Poverty, Interrupted</t>
  </si>
  <si>
    <t>The Power and Pathology of Imprisonment : Statement of Philip G. Zimbardo, Hearings Before Subcommittee no. 3 of the Committee on the Judiciary, House of Representatives, Ninety-Second Congress, First Session on Corrections, Part II. Prison, Prison Reform, and Prisoner's Rights : California. October 25, 1971</t>
  </si>
  <si>
    <t>Government &amp; Official Publications</t>
  </si>
  <si>
    <t>Practical Guide to Child Protection : The Challenges, Pitfalls and Practical Solutions</t>
  </si>
  <si>
    <t>A Practical Guide to Early Intervention and Family Support</t>
  </si>
  <si>
    <t>A Practical Guide to Helping Children and Young People Who Experience Trauma</t>
  </si>
  <si>
    <t>A Practical Guide to the Mental Capacity Act 2005 : Putting the Principles of the Act Into Practice</t>
  </si>
  <si>
    <t>The Practical Handbook of Clinical Gerontology</t>
  </si>
  <si>
    <t>Practical Neurology</t>
  </si>
  <si>
    <t>1474-7758</t>
  </si>
  <si>
    <t>1474-7766</t>
  </si>
  <si>
    <t>Practical Supervision : How to Become a Supervisor for the Helping Professions</t>
  </si>
  <si>
    <t>Pretend Friends : A Story About Schizophrenia and Other Illnesses That Can Cause Hallucinations</t>
  </si>
  <si>
    <t>Prevention Science</t>
  </si>
  <si>
    <t>1389-4986</t>
  </si>
  <si>
    <t>1573-6695</t>
  </si>
  <si>
    <t>Primary Focus</t>
  </si>
  <si>
    <t>Primates</t>
  </si>
  <si>
    <t>0032-8332</t>
  </si>
  <si>
    <t>1610-7365</t>
  </si>
  <si>
    <t>Anthropology|Biology--Zoology|Psychology|Veterinary Science</t>
  </si>
  <si>
    <t>Principles</t>
  </si>
  <si>
    <t>The Prison Journal</t>
  </si>
  <si>
    <t>0032-8855</t>
  </si>
  <si>
    <t>1552-7522</t>
  </si>
  <si>
    <t>The Prisoner's Hidden Life, or Insane Asylums Unveiled</t>
  </si>
  <si>
    <t>Privileging Indigenous Voices : Hearing the Wisdom of Generations</t>
  </si>
  <si>
    <t>ProQuest Counseling and Therapy Videos</t>
  </si>
  <si>
    <t>ProQuest Counseling and Therapy Videos (Formerly Microtraining Associates)</t>
  </si>
  <si>
    <t>ProQuest Historical Psychological Experiment Pages</t>
  </si>
  <si>
    <t>ProQuest</t>
  </si>
  <si>
    <t>ProQuest Psychological Presenting Issues Topic Pages</t>
  </si>
  <si>
    <t>ProQuest Psychological Research Concepts Topic Pages</t>
  </si>
  <si>
    <t>ProQuest Psychological Tests and Measures Topic Pages</t>
  </si>
  <si>
    <t>ProQuest Psychological Therapeutic Approaches Topic Pages</t>
  </si>
  <si>
    <t>ProQuest Psychology Subject Category Topic Pages</t>
  </si>
  <si>
    <t>ProQuest Psychology Subjects Topic Pages</t>
  </si>
  <si>
    <t>Proceedings of the Human Factors and Ergonomics Society ... Annual Meeting</t>
  </si>
  <si>
    <t>1071-1813</t>
  </si>
  <si>
    <t>2169-5067</t>
  </si>
  <si>
    <t>The Professional Counselor</t>
  </si>
  <si>
    <t>National Board for Certified Counselors (NBCC)</t>
  </si>
  <si>
    <t>2164-3989</t>
  </si>
  <si>
    <t>Professional Psychology : Research and Practice</t>
  </si>
  <si>
    <t>0735-7028</t>
  </si>
  <si>
    <t>1939-1323</t>
  </si>
  <si>
    <t>Professional School Counseling</t>
  </si>
  <si>
    <t>1096-2409</t>
  </si>
  <si>
    <t>2156-759X</t>
  </si>
  <si>
    <t>Professor Child Videos</t>
  </si>
  <si>
    <t>Progress in Development Studies</t>
  </si>
  <si>
    <t>1464-9934</t>
  </si>
  <si>
    <t>1477-027X</t>
  </si>
  <si>
    <t>Anthropology|Business And Economics--Economic Situation And Conditions|Geography|Political Science--International Relations|Sociology</t>
  </si>
  <si>
    <t>Progress in Neurology and Psychiatry</t>
  </si>
  <si>
    <t>1367-7543</t>
  </si>
  <si>
    <t>1931-227X</t>
  </si>
  <si>
    <t>Progress in Neurotherapeutics and Neuropsychopharmacology</t>
  </si>
  <si>
    <t>1748-2321</t>
  </si>
  <si>
    <t>1748-233X</t>
  </si>
  <si>
    <t>Progress in Self Psychology</t>
  </si>
  <si>
    <t>0893-5483</t>
  </si>
  <si>
    <t>1943-5703</t>
  </si>
  <si>
    <t>Promedion Videos</t>
  </si>
  <si>
    <t>Promoting Attachment With a Wiggle, Giggle, Hug and Tickle</t>
  </si>
  <si>
    <t>Promoting Child and Parent Wellbeing : How to Use Evidence and Strengths-Based Strategies in Practice</t>
  </si>
  <si>
    <t>Promoting Public Mental Health and Well-Being : Principles Into Practice</t>
  </si>
  <si>
    <t>Propositos y Representaciones</t>
  </si>
  <si>
    <t>Universidad San Ignacio de Loyola S.A.</t>
  </si>
  <si>
    <t>2307-7999</t>
  </si>
  <si>
    <t>2310-4635</t>
  </si>
  <si>
    <t>Protoplasma</t>
  </si>
  <si>
    <t>0033-183X</t>
  </si>
  <si>
    <t>1615-6102</t>
  </si>
  <si>
    <t>01-Jan-1998--31-Dec-1998; 01-Jan-2002--31-Dec-2002</t>
  </si>
  <si>
    <t>Biology--Cytology And Histology</t>
  </si>
  <si>
    <t>Providentia [BLOG]</t>
  </si>
  <si>
    <t>Prozac Diary</t>
  </si>
  <si>
    <t>Psico-USF</t>
  </si>
  <si>
    <t>Universidade São Francisco</t>
  </si>
  <si>
    <t>1413-8271</t>
  </si>
  <si>
    <t>2175-3563</t>
  </si>
  <si>
    <t>PsicoArt</t>
  </si>
  <si>
    <t>International Association for Art and Psychology</t>
  </si>
  <si>
    <t>2038-6184</t>
  </si>
  <si>
    <t>Art|Psychology</t>
  </si>
  <si>
    <t>Psicogente</t>
  </si>
  <si>
    <t>Universidad Simon Bolivar, Instituto de Investigaciones</t>
  </si>
  <si>
    <t>0124-0137</t>
  </si>
  <si>
    <t>2027-212X</t>
  </si>
  <si>
    <t>01-Jan-2014--31-Dec-2014</t>
  </si>
  <si>
    <t>Psicologia</t>
  </si>
  <si>
    <t>Universidade de Brasilia, Instituto de Psicologia</t>
  </si>
  <si>
    <t>0102-3772</t>
  </si>
  <si>
    <t>1806-3446</t>
  </si>
  <si>
    <t>Psicologia &amp; Sociedade</t>
  </si>
  <si>
    <t>Brazilian Society of Social Psychology, Universidade Federal do Rio Grande do Sul</t>
  </si>
  <si>
    <t>0102-7182</t>
  </si>
  <si>
    <t>1807-0310</t>
  </si>
  <si>
    <t>Portuguese|Spanish; Castilian</t>
  </si>
  <si>
    <t>Psicologia : Ciencia e Profissao</t>
  </si>
  <si>
    <t>Conselho Federal de Psicologia</t>
  </si>
  <si>
    <t>1414-9893</t>
  </si>
  <si>
    <t>1982-3703</t>
  </si>
  <si>
    <t>Psicologia : Teoria, e Prática</t>
  </si>
  <si>
    <t>Universidade Presbiteriana Mackenzie</t>
  </si>
  <si>
    <t>1516-3687</t>
  </si>
  <si>
    <t>1980-6906</t>
  </si>
  <si>
    <t>01-Jan-2003--31-Dec-2003; 01-Jan-2008--31-Dec-2009; 01-Jan-2011--31-Dec-2011; 01-Jan-2015--31-Dec-2017; 01-Jan-2020--31-Dec-2021</t>
  </si>
  <si>
    <t>Fundacíon VECA</t>
  </si>
  <si>
    <t>1132-9483</t>
  </si>
  <si>
    <t>Psicologia Escolar e Educacional</t>
  </si>
  <si>
    <t>Associacao Brasileira de Psicologia Escolar e Educacional ABRAPEE</t>
  </si>
  <si>
    <t>1413-8557</t>
  </si>
  <si>
    <t>2175-3539</t>
  </si>
  <si>
    <t>Psicologia USP</t>
  </si>
  <si>
    <t>Universidade de São Paulo -  Instituto de Psicologia</t>
  </si>
  <si>
    <t>0103-6564</t>
  </si>
  <si>
    <t>1678-5177</t>
  </si>
  <si>
    <t>French|Portuguese|Spanish; Castilian</t>
  </si>
  <si>
    <t>Psicología desde el Caribe</t>
  </si>
  <si>
    <t>Fundación Universidad del Norte</t>
  </si>
  <si>
    <t>0123-417X</t>
  </si>
  <si>
    <t>2145-9428</t>
  </si>
  <si>
    <t>Psicologia, Reflexão e Crítica</t>
  </si>
  <si>
    <t>0102-7972</t>
  </si>
  <si>
    <t>1678-7153</t>
  </si>
  <si>
    <t>Psicología Educativa</t>
  </si>
  <si>
    <t>1135-755X</t>
  </si>
  <si>
    <t>2174-0526</t>
  </si>
  <si>
    <t>Psicooncología</t>
  </si>
  <si>
    <t>1696-7240</t>
  </si>
  <si>
    <t>1988-8287</t>
  </si>
  <si>
    <t>Medical Sciences--Oncology|Psychology</t>
  </si>
  <si>
    <t>Psicoperspectivas</t>
  </si>
  <si>
    <t>Pontificia Universidad Catolica de Valparaiso</t>
  </si>
  <si>
    <t>Chile</t>
  </si>
  <si>
    <t>0717-7798</t>
  </si>
  <si>
    <t>0718-6924</t>
  </si>
  <si>
    <t>Psihologia Resurselor Umane</t>
  </si>
  <si>
    <t>Asociatia de Psihologie Industriala si Organizationala (APIO)</t>
  </si>
  <si>
    <t>1583-7327</t>
  </si>
  <si>
    <t>2392-8077</t>
  </si>
  <si>
    <t>English|Romanian; Moldavian; Moldovan</t>
  </si>
  <si>
    <t>Psihologia Sociala</t>
  </si>
  <si>
    <t>1454-5667</t>
  </si>
  <si>
    <t>Romanian; Moldavian; Moldovan</t>
  </si>
  <si>
    <t>Psikiyatride Guncel Yaklasimlar</t>
  </si>
  <si>
    <t>Psikiyatride Guncel Yaklasimlar : Current Approaches in Psychiatry</t>
  </si>
  <si>
    <t>1309-0658</t>
  </si>
  <si>
    <t>1309-0674</t>
  </si>
  <si>
    <t>PsyCh Journal</t>
  </si>
  <si>
    <t>2046-0252</t>
  </si>
  <si>
    <t>2046-0260</t>
  </si>
  <si>
    <t>Psych</t>
  </si>
  <si>
    <t>2624-8611</t>
  </si>
  <si>
    <t>Psychiatric Annals</t>
  </si>
  <si>
    <t>0048-5713</t>
  </si>
  <si>
    <t>1938-2456</t>
  </si>
  <si>
    <t>The Psychiatric Bulletin</t>
  </si>
  <si>
    <t>Royal College of Psychiatrists</t>
  </si>
  <si>
    <t>2053-4876</t>
  </si>
  <si>
    <t>Psychiatric News</t>
  </si>
  <si>
    <t>0033-2704</t>
  </si>
  <si>
    <t>1559-1255</t>
  </si>
  <si>
    <t>Psychiatric Quarterly</t>
  </si>
  <si>
    <t>0033-2720</t>
  </si>
  <si>
    <t>1573-6709</t>
  </si>
  <si>
    <t>Psychiatric Rehabilitation Journal</t>
  </si>
  <si>
    <t>1095-158X</t>
  </si>
  <si>
    <t>1559-3126</t>
  </si>
  <si>
    <t>Psychiatric Services</t>
  </si>
  <si>
    <t>1075-2730</t>
  </si>
  <si>
    <t>1557-9700</t>
  </si>
  <si>
    <t>Psychiatric Times</t>
  </si>
  <si>
    <t>UBM LLC</t>
  </si>
  <si>
    <t>0893-2905</t>
  </si>
  <si>
    <t>Psychiatry</t>
  </si>
  <si>
    <t>0033-2747</t>
  </si>
  <si>
    <t>1943-281X</t>
  </si>
  <si>
    <t>Health Facilities And Administration|Medical Sciences--Psychiatry And Neurology|Psychology|Social Sciences: Comprehensive Works|Sociology</t>
  </si>
  <si>
    <t>Psychiatry International</t>
  </si>
  <si>
    <t>2673-5318</t>
  </si>
  <si>
    <t>Psychiatry and Behavioral Sciences</t>
  </si>
  <si>
    <t>2636-834X</t>
  </si>
  <si>
    <t>Psychiatry and Clinical Neurosciences</t>
  </si>
  <si>
    <t>1323-1316</t>
  </si>
  <si>
    <t>1440-1819</t>
  </si>
  <si>
    <t>Psychiatry and Clinical Psychopharmacology</t>
  </si>
  <si>
    <t>Aves Yayincilik Ltd. STI.</t>
  </si>
  <si>
    <t>2475-0573</t>
  </si>
  <si>
    <t>2475-0581</t>
  </si>
  <si>
    <t>Psychiatry, Psychology, and Law: an Interdisciplinary Journal of the Australian and New Zealand Association of Psychiatry, Psychology and Law</t>
  </si>
  <si>
    <t>Australian Academic Press Group Pty Ltd</t>
  </si>
  <si>
    <t>1321-8719</t>
  </si>
  <si>
    <t>Psycho - Oncology</t>
  </si>
  <si>
    <t>1057-9249</t>
  </si>
  <si>
    <t>1099-1611</t>
  </si>
  <si>
    <t>Medical Sciences--Oncology|Medical Sciences--Psychiatry And Neurology|Psychology</t>
  </si>
  <si>
    <t>Psycho-Oncologie</t>
  </si>
  <si>
    <t>1778-3798</t>
  </si>
  <si>
    <t>1778-381X</t>
  </si>
  <si>
    <t>Psycho-Oncology</t>
  </si>
  <si>
    <t>Psychoanalysis, Culture &amp; Society</t>
  </si>
  <si>
    <t>1088-0763</t>
  </si>
  <si>
    <t>1543-3390</t>
  </si>
  <si>
    <t>Psychoanalysis, Self and Context</t>
  </si>
  <si>
    <t>2472-0038</t>
  </si>
  <si>
    <t>2472-0046</t>
  </si>
  <si>
    <t>Psychoanalytic Dialogues</t>
  </si>
  <si>
    <t>1048-1885</t>
  </si>
  <si>
    <t>1940-9222</t>
  </si>
  <si>
    <t>Psychoanalytic Inquiry</t>
  </si>
  <si>
    <t>0735-1690</t>
  </si>
  <si>
    <t>1940-9133</t>
  </si>
  <si>
    <t>Psychoanalytic Practice</t>
  </si>
  <si>
    <t>Psycho-analytic Psychotherapy in South Africa</t>
  </si>
  <si>
    <t>2709-6971</t>
  </si>
  <si>
    <t>2709-698X</t>
  </si>
  <si>
    <t>Psychoanalytic Psychotherapy</t>
  </si>
  <si>
    <t>0266-8734</t>
  </si>
  <si>
    <t>1474-9734</t>
  </si>
  <si>
    <t>Psychoanalytic Psychotherapy Collection by Anonymous Male Therapist</t>
  </si>
  <si>
    <t>Psychoanalytic Psychotherapy Collection by Dr. Abigail McNally</t>
  </si>
  <si>
    <t>Psychoanalytic Psychotherapy Collection by Dr. Tamara Feldman</t>
  </si>
  <si>
    <t>The Psychoanalytic Quarterly</t>
  </si>
  <si>
    <t>0033-2828</t>
  </si>
  <si>
    <t>2167-4086</t>
  </si>
  <si>
    <t>Beverages</t>
  </si>
  <si>
    <t>Psychoanalytic Review</t>
  </si>
  <si>
    <t>0033-2836</t>
  </si>
  <si>
    <t>1943-3301</t>
  </si>
  <si>
    <t>Psychoanalytic Social Work</t>
  </si>
  <si>
    <t>1522-8878</t>
  </si>
  <si>
    <t>1522-9033</t>
  </si>
  <si>
    <t>The Psychoanalytic Study of the Child</t>
  </si>
  <si>
    <t>0079-7308</t>
  </si>
  <si>
    <t>2474-3356</t>
  </si>
  <si>
    <t>Psychodynamic Practice</t>
  </si>
  <si>
    <t>1475-3634</t>
  </si>
  <si>
    <t>Psychodynamic Psychiatry</t>
  </si>
  <si>
    <t>2162-2590</t>
  </si>
  <si>
    <t>2162-2604</t>
  </si>
  <si>
    <t>Psychodynamic, Interpersonal, Cognitive Psychotherapy Collection by Dr. Jeffrey Binder, Ph.D., ABPP</t>
  </si>
  <si>
    <t>Psychogeriatrics</t>
  </si>
  <si>
    <t>1346-3500</t>
  </si>
  <si>
    <t>1479-8301</t>
  </si>
  <si>
    <t>The Psychohistory Review</t>
  </si>
  <si>
    <t>University of Illinois at Springfield</t>
  </si>
  <si>
    <t>0363-891X</t>
  </si>
  <si>
    <t>Psychologia : Avances de la Disciplina</t>
  </si>
  <si>
    <t>Universidad de San Buenaventura, Bogotá</t>
  </si>
  <si>
    <t>1900-2386</t>
  </si>
  <si>
    <t>Psychologia Rozwojowa</t>
  </si>
  <si>
    <t>Jagiellonian University-Jagiellonian University Press</t>
  </si>
  <si>
    <t>1895-6297</t>
  </si>
  <si>
    <t>2084-3879</t>
  </si>
  <si>
    <t>Psychological Assessment</t>
  </si>
  <si>
    <t>1040-3590</t>
  </si>
  <si>
    <t>1939-134X</t>
  </si>
  <si>
    <t>Psychological Bulletin</t>
  </si>
  <si>
    <t>0033-2909</t>
  </si>
  <si>
    <t>1939-1455</t>
  </si>
  <si>
    <t>Psychological Inquiry</t>
  </si>
  <si>
    <t>1047-840X</t>
  </si>
  <si>
    <t>1532-7965</t>
  </si>
  <si>
    <t>Psychological Medicine</t>
  </si>
  <si>
    <t>0033-2917</t>
  </si>
  <si>
    <t>1469-8978</t>
  </si>
  <si>
    <t>Psychological Perspectives</t>
  </si>
  <si>
    <t>0033-2925</t>
  </si>
  <si>
    <t>1556-3030</t>
  </si>
  <si>
    <t>The Psychological Record</t>
  </si>
  <si>
    <t>0033-2933</t>
  </si>
  <si>
    <t>2163-3452</t>
  </si>
  <si>
    <t>01-Jan-2015--31-Aug-2017</t>
  </si>
  <si>
    <t>Psychological Reports</t>
  </si>
  <si>
    <t>Southern Universities Press</t>
  </si>
  <si>
    <t>0033-2941</t>
  </si>
  <si>
    <t>1558-691X</t>
  </si>
  <si>
    <t>Psychological Research</t>
  </si>
  <si>
    <t>0340-0727</t>
  </si>
  <si>
    <t>1430-2772</t>
  </si>
  <si>
    <t>Psychological Review</t>
  </si>
  <si>
    <t>0033-295X</t>
  </si>
  <si>
    <t>1939-1471</t>
  </si>
  <si>
    <t>Psychological Science</t>
  </si>
  <si>
    <t>0956-7976</t>
  </si>
  <si>
    <t>1467-9280</t>
  </si>
  <si>
    <t>Psychological Science in the Public Interest</t>
  </si>
  <si>
    <t>1529-1006</t>
  </si>
  <si>
    <t>2160-0031</t>
  </si>
  <si>
    <t>Psychological Services</t>
  </si>
  <si>
    <t>1541-1559</t>
  </si>
  <si>
    <t>1939-148X</t>
  </si>
  <si>
    <t>Psychological Test and Assessment Modeling</t>
  </si>
  <si>
    <t>PABST Science Publishers</t>
  </si>
  <si>
    <t>2190-0493</t>
  </si>
  <si>
    <t>2190-0507</t>
  </si>
  <si>
    <t>Psychological Thought</t>
  </si>
  <si>
    <t>South-West University "Neofit Rilski", Department of Psychology</t>
  </si>
  <si>
    <t>2193-7281</t>
  </si>
  <si>
    <t>Bulgarian|English</t>
  </si>
  <si>
    <t>Psychological Topics</t>
  </si>
  <si>
    <t>Department of Psychology, Faculty of Arts and Sciences</t>
  </si>
  <si>
    <t>1332-0742</t>
  </si>
  <si>
    <t>1849-0395</t>
  </si>
  <si>
    <t>Croatian|English</t>
  </si>
  <si>
    <t>Psychologist</t>
  </si>
  <si>
    <t>0952-8229</t>
  </si>
  <si>
    <t>2398-1598</t>
  </si>
  <si>
    <t>Psychology &amp; Marketing</t>
  </si>
  <si>
    <t>0742-6046</t>
  </si>
  <si>
    <t>1520-6793</t>
  </si>
  <si>
    <t>Psychology &amp; Marketing  (pre-1986)</t>
  </si>
  <si>
    <t>Psychology &amp; Marketing (1986-1998)</t>
  </si>
  <si>
    <t>Psychology From the Standpoint of a Behaviorist</t>
  </si>
  <si>
    <t>J. B. Lippincott Company</t>
  </si>
  <si>
    <t>Psychology Research</t>
  </si>
  <si>
    <t>St. Plum-Blossom Press Pty Ltd.</t>
  </si>
  <si>
    <t>1838-658X</t>
  </si>
  <si>
    <t>2204-2016</t>
  </si>
  <si>
    <t>Psychology Research and Behavior Management</t>
  </si>
  <si>
    <t>1179-1578</t>
  </si>
  <si>
    <t>Psychology Today</t>
  </si>
  <si>
    <t>0033-3107</t>
  </si>
  <si>
    <t>2169-2254</t>
  </si>
  <si>
    <t>01-Jan-1990--31-Dec-1991</t>
  </si>
  <si>
    <t>Psychology Uncovered</t>
  </si>
  <si>
    <t>Trotman Publishing Ltd</t>
  </si>
  <si>
    <t>9781844552023;9781844552023</t>
  </si>
  <si>
    <t>Psychology and Aging</t>
  </si>
  <si>
    <t>0882-7974</t>
  </si>
  <si>
    <t>1939-1498</t>
  </si>
  <si>
    <t>Psychology and Health</t>
  </si>
  <si>
    <t>0887-0446</t>
  </si>
  <si>
    <t>1476-8321</t>
  </si>
  <si>
    <t>Psychology and Psychotherapy</t>
  </si>
  <si>
    <t>1476-0835</t>
  </si>
  <si>
    <t>2044-8341</t>
  </si>
  <si>
    <t>Psychology and Sexuality</t>
  </si>
  <si>
    <t>1941-9899</t>
  </si>
  <si>
    <t>1941-9902</t>
  </si>
  <si>
    <t>Psychology in Russia</t>
  </si>
  <si>
    <t>Russian Psychological Society</t>
  </si>
  <si>
    <t>Russian Federation</t>
  </si>
  <si>
    <t>2074-6857</t>
  </si>
  <si>
    <t>2307-2202</t>
  </si>
  <si>
    <t>Psychology in the Schools</t>
  </si>
  <si>
    <t>0033-3085</t>
  </si>
  <si>
    <t>1520-6807</t>
  </si>
  <si>
    <t>Psychology of Addictive Behaviors : Journal of the Society of Psychologists in Addictive Behaviors</t>
  </si>
  <si>
    <t>0893-164X</t>
  </si>
  <si>
    <t>Psychology of Aesthetics, Creativity, and the Arts</t>
  </si>
  <si>
    <t>1931-3896</t>
  </si>
  <si>
    <t>1931-390X</t>
  </si>
  <si>
    <t>The Psychology of Economic Decisions, Volume 2 : Reasons and Choices</t>
  </si>
  <si>
    <t>The Psychology of Ego-Involvements, Social Attitudes &amp; Identifications</t>
  </si>
  <si>
    <t>The Psychology of Emotion in Restorative Practice</t>
  </si>
  <si>
    <t>Psychology of Language and Communication</t>
  </si>
  <si>
    <t>1234-2238</t>
  </si>
  <si>
    <t>2083-8506</t>
  </si>
  <si>
    <t>Psychology of Leaders and Leadership</t>
  </si>
  <si>
    <t>2769-6863</t>
  </si>
  <si>
    <t>2769-6898</t>
  </si>
  <si>
    <t>Psychology of Men &amp; Masculinities</t>
  </si>
  <si>
    <t>1524-9220</t>
  </si>
  <si>
    <t>1939-151X</t>
  </si>
  <si>
    <t>Men's Studies|Psychology</t>
  </si>
  <si>
    <t>Psychology of Music</t>
  </si>
  <si>
    <t>0305-7356</t>
  </si>
  <si>
    <t>1741-3087</t>
  </si>
  <si>
    <t>Music|Music Theory/Analysis/Composition|Music and Other Disciplines|Psychology</t>
  </si>
  <si>
    <t>The Psychology of Prejudice and Discrimination</t>
  </si>
  <si>
    <t>Psychology of Religion and Spirituality</t>
  </si>
  <si>
    <t>1941-1022</t>
  </si>
  <si>
    <t>1943-1562</t>
  </si>
  <si>
    <t>Psychology of Well-Being</t>
  </si>
  <si>
    <t>2211-1522</t>
  </si>
  <si>
    <t>Psychology of Women Quarterly</t>
  </si>
  <si>
    <t>0361-6843</t>
  </si>
  <si>
    <t>1471-6402</t>
  </si>
  <si>
    <t>01-Jan-1982--31-Dec-1984; 01-Jan-1986--31-Dec-1988</t>
  </si>
  <si>
    <t>Psychology|Women's Studies</t>
  </si>
  <si>
    <t>Psychology, Community &amp; Health</t>
  </si>
  <si>
    <t>Isabel Leal</t>
  </si>
  <si>
    <t>2182-438X</t>
  </si>
  <si>
    <t>Psychology, Crime &amp; Law : PC &amp; L</t>
  </si>
  <si>
    <t>1068-316X</t>
  </si>
  <si>
    <t>1477-2744</t>
  </si>
  <si>
    <t>Criminology And Law Enforcement|Law|Psychology</t>
  </si>
  <si>
    <t>Psychology, Health &amp; Medicine</t>
  </si>
  <si>
    <t>1354-8506</t>
  </si>
  <si>
    <t>1465-3966</t>
  </si>
  <si>
    <t>01-Jan-2001--31-Dec-2014; 01-Jan-2016--31-Dec-2016</t>
  </si>
  <si>
    <t>Psychometrika</t>
  </si>
  <si>
    <t>0033-3123</t>
  </si>
  <si>
    <t>1860-0980</t>
  </si>
  <si>
    <t>01-Jan-2001--31-Dec-2002; 01-Jan-2004--31-Dec-2004</t>
  </si>
  <si>
    <t>Psychomusicology</t>
  </si>
  <si>
    <t>0275-3987</t>
  </si>
  <si>
    <t>2162-1535</t>
  </si>
  <si>
    <t>Psychonomic Bulletin &amp; Review</t>
  </si>
  <si>
    <t>1069-9384</t>
  </si>
  <si>
    <t>1531-5320</t>
  </si>
  <si>
    <t>Psychopathology</t>
  </si>
  <si>
    <t>0254-4962</t>
  </si>
  <si>
    <t>1423-033X</t>
  </si>
  <si>
    <t>Psychopharmacology</t>
  </si>
  <si>
    <t>0033-3158</t>
  </si>
  <si>
    <t>1432-2072</t>
  </si>
  <si>
    <t>Psychopharmacology Update</t>
  </si>
  <si>
    <t>1068-5308</t>
  </si>
  <si>
    <t>1556-7532</t>
  </si>
  <si>
    <t>Psychophysiology</t>
  </si>
  <si>
    <t>0048-5772</t>
  </si>
  <si>
    <t>1540-5958</t>
  </si>
  <si>
    <t>Psychosis</t>
  </si>
  <si>
    <t>1752-2439</t>
  </si>
  <si>
    <t>1752-2447</t>
  </si>
  <si>
    <t>Psychosociological Issues in Human Resource Management</t>
  </si>
  <si>
    <t>Addleton Academic Publishers</t>
  </si>
  <si>
    <t>2332-399X</t>
  </si>
  <si>
    <t>2377-0716</t>
  </si>
  <si>
    <t>Psychosomatic Medicine</t>
  </si>
  <si>
    <t>0033-3174</t>
  </si>
  <si>
    <t>1534-7796</t>
  </si>
  <si>
    <t>Psychosomatics</t>
  </si>
  <si>
    <t>0033-3182</t>
  </si>
  <si>
    <t>1545-7206</t>
  </si>
  <si>
    <t>Medical Sciences--Psychiatry And Neurology|Psychology|Public Health And Safety|Social Sciences: Comprehensive Works</t>
  </si>
  <si>
    <t>Psychosozial</t>
  </si>
  <si>
    <t>Psychosozial Verlag</t>
  </si>
  <si>
    <t>0171-3434</t>
  </si>
  <si>
    <t>Psychotherapies</t>
  </si>
  <si>
    <t>0251-737X</t>
  </si>
  <si>
    <t>2235-2104</t>
  </si>
  <si>
    <t>Psychotherapy Networker</t>
  </si>
  <si>
    <t>1535-573X</t>
  </si>
  <si>
    <t>Drug Abuse And Alcoholism|Psychology|Social Services And Welfare</t>
  </si>
  <si>
    <t>Psychotherapy Networker Videos</t>
  </si>
  <si>
    <t>Psychotherapy Research</t>
  </si>
  <si>
    <t>1050-3307</t>
  </si>
  <si>
    <t>1468-4381</t>
  </si>
  <si>
    <t>01-Sep-2008--10-Jan-2010</t>
  </si>
  <si>
    <t>Psychotherapy and Psychosomatics</t>
  </si>
  <si>
    <t>0033-3190</t>
  </si>
  <si>
    <t>1423-0348</t>
  </si>
  <si>
    <t>Psychotropic Medications : Adverse Drug Reactions</t>
  </si>
  <si>
    <t>Psykhe</t>
  </si>
  <si>
    <t>Pontificia Universidad Católica de Chile</t>
  </si>
  <si>
    <t>0717-0297</t>
  </si>
  <si>
    <t>0718-2228</t>
  </si>
  <si>
    <t>Psynopsis</t>
  </si>
  <si>
    <t>1187-1180</t>
  </si>
  <si>
    <t>Public Administration Review</t>
  </si>
  <si>
    <t>American Society for Public Administration</t>
  </si>
  <si>
    <t>0033-3352</t>
  </si>
  <si>
    <t>1540-6210</t>
  </si>
  <si>
    <t>Public Administration</t>
  </si>
  <si>
    <t>Public Opinion Quarterly</t>
  </si>
  <si>
    <t>0033-362X</t>
  </si>
  <si>
    <t>1537-5331</t>
  </si>
  <si>
    <t>Public Personnel Management</t>
  </si>
  <si>
    <t>0091-0260</t>
  </si>
  <si>
    <t>1945-7421</t>
  </si>
  <si>
    <t>Punishment &amp; Society</t>
  </si>
  <si>
    <t>1462-4745</t>
  </si>
  <si>
    <t>1741-3095</t>
  </si>
  <si>
    <t>Purge : Rehab Diaries</t>
  </si>
  <si>
    <t>Put Emotional Intelligence to Work : EQuip Yourself for Success</t>
  </si>
  <si>
    <t>Association for Talent Development</t>
  </si>
  <si>
    <t>9781562864828;9781562864828</t>
  </si>
  <si>
    <t>Putting Analysis Into Child and Family Assessment</t>
  </si>
  <si>
    <t>Qigong for Wellbeing in Dementia and Aging</t>
  </si>
  <si>
    <t>Quaderns de Psicologia</t>
  </si>
  <si>
    <t>Universitat Autonoma de Barcelona</t>
  </si>
  <si>
    <t>0211-3481</t>
  </si>
  <si>
    <t>2014-4520</t>
  </si>
  <si>
    <t>Catalan; Valencian|English|Spanish; Castilian</t>
  </si>
  <si>
    <t>Qualitative Health Research</t>
  </si>
  <si>
    <t>1049-7323</t>
  </si>
  <si>
    <t>1552-7557</t>
  </si>
  <si>
    <t>Qualitative Market Research</t>
  </si>
  <si>
    <t>1352-2752</t>
  </si>
  <si>
    <t>1758-7646</t>
  </si>
  <si>
    <t>Qualitative Research in Organizations and Management</t>
  </si>
  <si>
    <t>1746-5648</t>
  </si>
  <si>
    <t>1746-5656</t>
  </si>
  <si>
    <t>Qualitative Research in Psychology</t>
  </si>
  <si>
    <t>1478-0887</t>
  </si>
  <si>
    <t>1478-0895</t>
  </si>
  <si>
    <t>Qualitative Research in Social Work</t>
  </si>
  <si>
    <t>Quality and Quantity</t>
  </si>
  <si>
    <t>0033-5177</t>
  </si>
  <si>
    <t>1573-7845</t>
  </si>
  <si>
    <t>Sociology--Abstracting, Bibliographies, Statistics|Statistics</t>
  </si>
  <si>
    <t>Quality of Life Research</t>
  </si>
  <si>
    <t>0962-9343</t>
  </si>
  <si>
    <t>1573-2649</t>
  </si>
  <si>
    <t>The Quarterly Journal of Experimental Psychology</t>
  </si>
  <si>
    <t>1747-0218</t>
  </si>
  <si>
    <t>1747-0226</t>
  </si>
  <si>
    <t>The Quarterly Journal of Speech</t>
  </si>
  <si>
    <t>0033-5630</t>
  </si>
  <si>
    <t>1479-5779</t>
  </si>
  <si>
    <t>RBSE. Revista Brasileira de Sociologia da Emocao</t>
  </si>
  <si>
    <t>Universidade Federal da Paraiba, Grupo de Pesquisa em Antropologia e Sociologia das Emocoes</t>
  </si>
  <si>
    <t>1676-8965</t>
  </si>
  <si>
    <t>RE:view</t>
  </si>
  <si>
    <t>0899-1510</t>
  </si>
  <si>
    <t>1940-4018</t>
  </si>
  <si>
    <t>RISE : International Journal of Sociology of Education</t>
  </si>
  <si>
    <t>2014-3575</t>
  </si>
  <si>
    <t>A Race Is a Nice Thing to Have</t>
  </si>
  <si>
    <t>Race and Social Problems</t>
  </si>
  <si>
    <t>1867-1748</t>
  </si>
  <si>
    <t>1867-1756</t>
  </si>
  <si>
    <t>Race, Ethnicity and Education</t>
  </si>
  <si>
    <t>1361-3324</t>
  </si>
  <si>
    <t>1470-109X</t>
  </si>
  <si>
    <t>Radha Horton-Parker and Richard C. Fawcett Collection</t>
  </si>
  <si>
    <t>Raising Self-Esteem in Adults</t>
  </si>
  <si>
    <t>Rational Emotive Behavior Therapy Collection by Dr. Debbie Joffe-Ellis</t>
  </si>
  <si>
    <t>Rationality and Society</t>
  </si>
  <si>
    <t>1043-4631</t>
  </si>
  <si>
    <t>1461-7358</t>
  </si>
  <si>
    <t>ReCALL : the Journal of EUROCALL</t>
  </si>
  <si>
    <t>0958-3440</t>
  </si>
  <si>
    <t>1474-0109</t>
  </si>
  <si>
    <t>Computers--Computer Assisted Instruction|Linguistics--Computer Applications</t>
  </si>
  <si>
    <t>Reading Psychology</t>
  </si>
  <si>
    <t>0270-2711</t>
  </si>
  <si>
    <t>1521-0685</t>
  </si>
  <si>
    <t>Reading Research Quarterly</t>
  </si>
  <si>
    <t>0034-0553</t>
  </si>
  <si>
    <t>1936-2722</t>
  </si>
  <si>
    <t>Reading and Expressive Writing With Traumatised Children, Young Refugees and Asylum Seekers : Unpack My Heart With Words</t>
  </si>
  <si>
    <t>The Real School Safety Problem : The Long-Term Consequences of Harsh School Punishment</t>
  </si>
  <si>
    <t>The Reality of Recovery in Personality Disorder</t>
  </si>
  <si>
    <t>Reclaiming Children and Youth</t>
  </si>
  <si>
    <t>Starr Global Learning Network (dba Reclaiming Youth International)</t>
  </si>
  <si>
    <t>1089-5701</t>
  </si>
  <si>
    <t>Recovered Memories and False Memories</t>
  </si>
  <si>
    <t>Recovery from “Schizophrenia” and other “Psychotic Disorders” [BLOG]</t>
  </si>
  <si>
    <t>Reference Groups : Exploration Into Conformity and Deviation of Adolescents</t>
  </si>
  <si>
    <t>Henry Regnery Company</t>
  </si>
  <si>
    <t>Rehabilitation Counseling Bulletin</t>
  </si>
  <si>
    <t>0034-3552</t>
  </si>
  <si>
    <t>1538-4853</t>
  </si>
  <si>
    <t>Education--Special Education And Rehabilitation|Medical Sciences|Psychology|Social Services And Welfare|Sociology</t>
  </si>
  <si>
    <t>Rehabilitation Research, Policy, and Education</t>
  </si>
  <si>
    <t>2168-6653</t>
  </si>
  <si>
    <t>2168-6661</t>
  </si>
  <si>
    <t>Education--Special Education And Rehabilitation|Social Services And Welfare</t>
  </si>
  <si>
    <t>Relationship-Based Research in Social Work : Understanding Practice Research</t>
  </si>
  <si>
    <t>Remedial and Special Education</t>
  </si>
  <si>
    <t>0741-9325</t>
  </si>
  <si>
    <t>1538-4756</t>
  </si>
  <si>
    <t>Research &amp; Practice in Assessment</t>
  </si>
  <si>
    <t>2161-4210</t>
  </si>
  <si>
    <t>Research &amp; Teaching in Developmental Education</t>
  </si>
  <si>
    <t>New York College Learning Skills Association, Developmental Studies Department</t>
  </si>
  <si>
    <t>1046-3364</t>
  </si>
  <si>
    <t>Research Ethics : A Psychological Approach</t>
  </si>
  <si>
    <t>University of Nebraska Press</t>
  </si>
  <si>
    <t>Research Highlights in Social Work</t>
  </si>
  <si>
    <t>Research Synthesis Methods</t>
  </si>
  <si>
    <t>1759-2879</t>
  </si>
  <si>
    <t>1759-2887</t>
  </si>
  <si>
    <t>Research in Education</t>
  </si>
  <si>
    <t>0034-5237</t>
  </si>
  <si>
    <t>2050-4608</t>
  </si>
  <si>
    <t>Research in Human Development</t>
  </si>
  <si>
    <t>1542-7609</t>
  </si>
  <si>
    <t>1542-7617</t>
  </si>
  <si>
    <t>Research in Organizational Behavior</t>
  </si>
  <si>
    <t>0191-3085</t>
  </si>
  <si>
    <t>2468-1741</t>
  </si>
  <si>
    <t>Research in Science &amp; Technological Education</t>
  </si>
  <si>
    <t>0263-5143</t>
  </si>
  <si>
    <t>1470-1138</t>
  </si>
  <si>
    <t>Research in the Schools</t>
  </si>
  <si>
    <t>1085-5300</t>
  </si>
  <si>
    <t>01-Jan-2014--31-Dec-2014; 01-Jan-2020--31-Dec-2020</t>
  </si>
  <si>
    <t>Research on Aging</t>
  </si>
  <si>
    <t>0164-0275</t>
  </si>
  <si>
    <t>1552-7573</t>
  </si>
  <si>
    <t>Research on Child and Adolescent Psychopathology</t>
  </si>
  <si>
    <t>2730-7166</t>
  </si>
  <si>
    <t>2730-7174</t>
  </si>
  <si>
    <t>Children And Youth - About|Education--Special Education And Rehabilitation|Medical Sciences--Physical Medicine And Rehabilitation|Psychology</t>
  </si>
  <si>
    <t>Research on Language and Social Interaction</t>
  </si>
  <si>
    <t>0835-1813</t>
  </si>
  <si>
    <t>1532-7973</t>
  </si>
  <si>
    <t>Linguistics|Sociology</t>
  </si>
  <si>
    <t>Research on Social Work Practice</t>
  </si>
  <si>
    <t>1049-7315</t>
  </si>
  <si>
    <t>1552-7581</t>
  </si>
  <si>
    <t>Psychology|Social Services And Welfare|Sociology</t>
  </si>
  <si>
    <t>Residential Treatment for Children &amp; Youth</t>
  </si>
  <si>
    <t>0886-571X</t>
  </si>
  <si>
    <t>Restorative Justice for Domestic Violence Victims : An Integrated Approach to Their Hunger for Healing</t>
  </si>
  <si>
    <t>Restorative Theory in Practice : Insights Into What Works and Why</t>
  </si>
  <si>
    <t>Returned : Going and Coming in an Age of Deportation</t>
  </si>
  <si>
    <t>The Review of Education, Pedagogy, &amp; Cultural Studies</t>
  </si>
  <si>
    <t>1071-4413</t>
  </si>
  <si>
    <t>1556-3022</t>
  </si>
  <si>
    <t>Bibliographies|Education|Education--Abstracting, Bibliographies, Statistics</t>
  </si>
  <si>
    <t>Review of Educational Research</t>
  </si>
  <si>
    <t>0034-6543</t>
  </si>
  <si>
    <t>1935-1046</t>
  </si>
  <si>
    <t>The Review of English Studies</t>
  </si>
  <si>
    <t>0034-6551</t>
  </si>
  <si>
    <t>1471-6968</t>
  </si>
  <si>
    <t>Linguistics|Literature</t>
  </si>
  <si>
    <t>Review of General Psychology</t>
  </si>
  <si>
    <t>1089-2680</t>
  </si>
  <si>
    <t>1939-1552</t>
  </si>
  <si>
    <t>Review of Higher Education</t>
  </si>
  <si>
    <t>0162-5748</t>
  </si>
  <si>
    <t>1090-7009</t>
  </si>
  <si>
    <t>Review of Managerial Science</t>
  </si>
  <si>
    <t>1863-6683</t>
  </si>
  <si>
    <t>1863-6691</t>
  </si>
  <si>
    <t>Review of Philosophy and Psychology</t>
  </si>
  <si>
    <t>1878-5158</t>
  </si>
  <si>
    <t>1878-5166</t>
  </si>
  <si>
    <t>Reviews in Clinical Gerontology</t>
  </si>
  <si>
    <t>0959-2598</t>
  </si>
  <si>
    <t>1469-9036</t>
  </si>
  <si>
    <t>Reviews in the Neurosciences</t>
  </si>
  <si>
    <t>0334-1763</t>
  </si>
  <si>
    <t>2191-0200</t>
  </si>
  <si>
    <t>Revista Argentina de Clínica Psicológica</t>
  </si>
  <si>
    <t>FUNDACIÓN AIGLÉ</t>
  </si>
  <si>
    <t>Argentina</t>
  </si>
  <si>
    <t>0327-6716</t>
  </si>
  <si>
    <t>1851-7951</t>
  </si>
  <si>
    <t>Revista Brasileira de Psicodrama</t>
  </si>
  <si>
    <t>Federação Brasileira de Psicodrama</t>
  </si>
  <si>
    <t>0104-5393</t>
  </si>
  <si>
    <t>2318-0498</t>
  </si>
  <si>
    <t>Psychology|Theater</t>
  </si>
  <si>
    <t>Revista CES Psicología</t>
  </si>
  <si>
    <t>Universidad CES</t>
  </si>
  <si>
    <t>2011-3080</t>
  </si>
  <si>
    <t>Revista Colombiana de Psicología</t>
  </si>
  <si>
    <t>0121-5469</t>
  </si>
  <si>
    <t>2344-8644</t>
  </si>
  <si>
    <t>Revista Española de Orientación y Psicopedagogia</t>
  </si>
  <si>
    <t>1139-7853</t>
  </si>
  <si>
    <t>1989-7448</t>
  </si>
  <si>
    <t>Revista Interamericana de Psicologia Ocupacional</t>
  </si>
  <si>
    <t>Centro de Investigación en Comportamiento Organizacional</t>
  </si>
  <si>
    <t>2539-5238</t>
  </si>
  <si>
    <t>2500-5669</t>
  </si>
  <si>
    <t>Revista Latinoamericana de Psicopatologia Fundamental</t>
  </si>
  <si>
    <t>University Association for Research in Fundamental Psychopathology</t>
  </si>
  <si>
    <t>1415-4714</t>
  </si>
  <si>
    <t>1984-0381</t>
  </si>
  <si>
    <t>English|French|Portuguese|Spanish; Castilian</t>
  </si>
  <si>
    <t>Revista Mexicana de Investigación en Psicología</t>
  </si>
  <si>
    <t>Revista Mexicana de Investigacion en Psicologia</t>
  </si>
  <si>
    <t>Mexico</t>
  </si>
  <si>
    <t>2007-0926</t>
  </si>
  <si>
    <t>2007-3240</t>
  </si>
  <si>
    <t>Revista da Abordagem Gestáltica</t>
  </si>
  <si>
    <t>Instituto de Treinamento e Pesquisa em Gestalt-terapia de Goiânia</t>
  </si>
  <si>
    <t>1809-6867</t>
  </si>
  <si>
    <t>1984-3542</t>
  </si>
  <si>
    <t>Revista da SPAGESP</t>
  </si>
  <si>
    <t>Sociedade de Psicoterapias Analíticas Grupais do Estado de São Paulo</t>
  </si>
  <si>
    <t>1677-2970</t>
  </si>
  <si>
    <t>2175-3628</t>
  </si>
  <si>
    <t>Revista de Psicología GEPU</t>
  </si>
  <si>
    <t>Andrey Velásquez Fernández/Revista de Psicología GEPU</t>
  </si>
  <si>
    <t>2145-6569</t>
  </si>
  <si>
    <t>Revista de Psicología del Trabajo y de las Organizaciones</t>
  </si>
  <si>
    <t>1576-5962</t>
  </si>
  <si>
    <t>2174-0534</t>
  </si>
  <si>
    <t>Business And Economics--Labor And Industrial Relations|Psychology</t>
  </si>
  <si>
    <t>Revista de Psicología Aplicada al Deporte y al Ejercicio Físico</t>
  </si>
  <si>
    <t>2530-3910</t>
  </si>
  <si>
    <t>Revista de Psicología del Deporte</t>
  </si>
  <si>
    <t>Universitat Autonoma de Barcelona, Servei de Publicacions</t>
  </si>
  <si>
    <t>1132-239X</t>
  </si>
  <si>
    <t>1988-5636</t>
  </si>
  <si>
    <t>Medical Sciences--Sports Medicine|Psychology|Sports And Games</t>
  </si>
  <si>
    <t>Revista de Psicología</t>
  </si>
  <si>
    <t>Pontificia Universidad Católica del Perú</t>
  </si>
  <si>
    <t>0254-9247</t>
  </si>
  <si>
    <t>2223-3733</t>
  </si>
  <si>
    <t>Revista de Psicopatología y Psicología Clinica</t>
  </si>
  <si>
    <t>1136-5420</t>
  </si>
  <si>
    <t>2254-6057</t>
  </si>
  <si>
    <t>Revista iberoamericana de psicologia y salud.</t>
  </si>
  <si>
    <t>Ramón González Cabanach</t>
  </si>
  <si>
    <t>2171-2069</t>
  </si>
  <si>
    <t>1989-9246</t>
  </si>
  <si>
    <t>Revue internationale de Psychosociologie et de Gestion des Comportements Organisationnels</t>
  </si>
  <si>
    <t>Editions ESKA</t>
  </si>
  <si>
    <t>2262-8401</t>
  </si>
  <si>
    <t>2430-3275</t>
  </si>
  <si>
    <t>Richard D. Walk Papers</t>
  </si>
  <si>
    <t>Risk in Child Protection : Assessment Challenges and Frameworks for Practice</t>
  </si>
  <si>
    <t>Rita Milhollin Collection</t>
  </si>
  <si>
    <t>The Robbers Cave Experiment : Intergroup Conflict and Cooperation</t>
  </si>
  <si>
    <t>Wesleyan University Press</t>
  </si>
  <si>
    <t>Rocznik Kognitywistyczny</t>
  </si>
  <si>
    <t>1689-927X</t>
  </si>
  <si>
    <t>2084-3895</t>
  </si>
  <si>
    <t>Roeper Review</t>
  </si>
  <si>
    <t>0278-3193</t>
  </si>
  <si>
    <t>1940-865X</t>
  </si>
  <si>
    <t>Romanian Journal of Experimental Applied Psychology</t>
  </si>
  <si>
    <t>Romanian Society of Experimental Applied Psychology</t>
  </si>
  <si>
    <t>2069-1971</t>
  </si>
  <si>
    <t>2286-1831</t>
  </si>
  <si>
    <t>Romanian Journal of School Psychology</t>
  </si>
  <si>
    <t>Asociatia Nationala A Psihologilor Scolari</t>
  </si>
  <si>
    <t>2248-244X</t>
  </si>
  <si>
    <t>Ryan : A Mother's Story of Her Hyperactive/Tourette Syndrome Child</t>
  </si>
  <si>
    <t>SA Journal of Industrial Psychology</t>
  </si>
  <si>
    <t>AOSIS (Pty) Ltd</t>
  </si>
  <si>
    <t>0258-5200</t>
  </si>
  <si>
    <t>2071-0763</t>
  </si>
  <si>
    <t>Afrikaans|English</t>
  </si>
  <si>
    <t>SAMHSA/CSAT Treatment Improvement Protocols</t>
  </si>
  <si>
    <t>Substance Abuse and Mental Health Services Administration</t>
  </si>
  <si>
    <t>SAMHSA: Substance Abuse and Mental Health Services Administration Newsletter [BLOG]</t>
  </si>
  <si>
    <t>SIS Journal of Projective Psychology &amp; Mental Health</t>
  </si>
  <si>
    <t>Somatic Inkblot Society. SIS Center</t>
  </si>
  <si>
    <t>0971-6610</t>
  </si>
  <si>
    <t>Safeguarding Black Children : Good Practice in Child Protection</t>
  </si>
  <si>
    <t>Children And Youth - About|Ethnic Interests|Social Services And Welfare</t>
  </si>
  <si>
    <t>Sam, (Adolescent) Bipolar I Disorder, Current or Most Recent Episode Manic, Severe</t>
  </si>
  <si>
    <t>Sample : Administrative Responsibilities</t>
  </si>
  <si>
    <t>Sample : Application Process for International Field Placements</t>
  </si>
  <si>
    <t>Sample : Application for International Field Placement</t>
  </si>
  <si>
    <t>Sample : Assignment</t>
  </si>
  <si>
    <t>Sample : BSW Field Evaluation (Second Semester)</t>
  </si>
  <si>
    <t>Sample : BSW Field Evalution (First Semester)</t>
  </si>
  <si>
    <t>Sample : Cooperative Agreement (1)</t>
  </si>
  <si>
    <t>Sample : Cooperative Agreement (2)</t>
  </si>
  <si>
    <t>Sample : Educational Contract</t>
  </si>
  <si>
    <t>Sample : Educational Contract for Clinical Concentration</t>
  </si>
  <si>
    <t>Sample : Educational Contract for Generalist Field Placement</t>
  </si>
  <si>
    <t>Sample : Exchange Agreement (1)</t>
  </si>
  <si>
    <t>Sample : Exchange Agreement (2)</t>
  </si>
  <si>
    <t>Sample : Faculty Agreement</t>
  </si>
  <si>
    <t>Sample : Field Education Affiliation Agreement</t>
  </si>
  <si>
    <t>Sample : Field Experience Survey Form</t>
  </si>
  <si>
    <t>Sample : Field Placement Agency Form</t>
  </si>
  <si>
    <t>Sample : Graduate Learning Objectives</t>
  </si>
  <si>
    <t>Sample : International Educational Opportunities Application</t>
  </si>
  <si>
    <t>Sample : International Field Placement Reentry Survey</t>
  </si>
  <si>
    <t>Sample : International Internship Application</t>
  </si>
  <si>
    <t>Sample : International Routing Slip</t>
  </si>
  <si>
    <t>Sample : International Travel Checklist</t>
  </si>
  <si>
    <t>Sample : Internship Recommendation Form</t>
  </si>
  <si>
    <t>Sample : Letter of Recommendation</t>
  </si>
  <si>
    <t>Sample : MSW Advanced Field Learning Objectives</t>
  </si>
  <si>
    <t>Sample : MSW Final Field Evaluation</t>
  </si>
  <si>
    <t>Sample : MSW First-Term Field Evaluation</t>
  </si>
  <si>
    <t>Sample : MSW Initial Midterm Field Evaluation</t>
  </si>
  <si>
    <t>Sample : MSW Second-Year Field Evaluation (Fall)</t>
  </si>
  <si>
    <t>Sample : MSW Second-Year Field Evaluation (Winter)</t>
  </si>
  <si>
    <t>Sample : Medical Self-Report Form</t>
  </si>
  <si>
    <t>Sample : Online MSW Field Seminar</t>
  </si>
  <si>
    <t>Sample : Program Evaluation Form</t>
  </si>
  <si>
    <t>Sample : Release of Information</t>
  </si>
  <si>
    <t>Sample : Release of Liability</t>
  </si>
  <si>
    <t>Sample : Responsibilities Exchange Agreement</t>
  </si>
  <si>
    <t>Sample : Student Agreement</t>
  </si>
  <si>
    <t>Sample : Student Discussion Questions</t>
  </si>
  <si>
    <t>Sample : Student Evaluation of International Experience</t>
  </si>
  <si>
    <t>Sample : Student Questionnaire (English)</t>
  </si>
  <si>
    <t>Sample : Student Questionnaire (Spanish)</t>
  </si>
  <si>
    <t>Sample : Student Support and Knowledge Production, Trondheim, Norway</t>
  </si>
  <si>
    <t>Sample : Syllabus for MSW Hybrid Seminar</t>
  </si>
  <si>
    <t>Sample : Travel Course Application</t>
  </si>
  <si>
    <t>Sample : Verification of Medical Clearance</t>
  </si>
  <si>
    <t>Scandinavian Journal of Educational Research</t>
  </si>
  <si>
    <t>0031-3831</t>
  </si>
  <si>
    <t>1470-1170</t>
  </si>
  <si>
    <t>01-Jan-2001--31-Dec-2011</t>
  </si>
  <si>
    <t>Scandinavian Journal of Primary Health Care</t>
  </si>
  <si>
    <t>0281-3432</t>
  </si>
  <si>
    <t>1502-7724</t>
  </si>
  <si>
    <t>Health Facilities And Administration|Medical Sciences|Medical Sciences--Nurses And Nursing</t>
  </si>
  <si>
    <t>Scandinavian Journal of Psychology</t>
  </si>
  <si>
    <t>0036-5564</t>
  </si>
  <si>
    <t>1467-9450</t>
  </si>
  <si>
    <t>Scandinavian Journal of Work, Environment &amp; Health</t>
  </si>
  <si>
    <t>Finland</t>
  </si>
  <si>
    <t>0355-3140</t>
  </si>
  <si>
    <t>1795-990X</t>
  </si>
  <si>
    <t>Occupational Health And Safety</t>
  </si>
  <si>
    <t>Schizophrenia Bulletin</t>
  </si>
  <si>
    <t>0586-7614</t>
  </si>
  <si>
    <t>1745-1701</t>
  </si>
  <si>
    <t>Schizophrenia Research and Treatment</t>
  </si>
  <si>
    <t>2090-2085</t>
  </si>
  <si>
    <t>2090-2093</t>
  </si>
  <si>
    <t>Schizophrenia, Case 1 : Chase</t>
  </si>
  <si>
    <t>School Community Journal</t>
  </si>
  <si>
    <t>Academic Development Institute</t>
  </si>
  <si>
    <t>1059-308X</t>
  </si>
  <si>
    <t>The School Counselor</t>
  </si>
  <si>
    <t>0036-6536</t>
  </si>
  <si>
    <t>Children And Youth - About|Education|Occupations And Careers|Psychology</t>
  </si>
  <si>
    <t>School Mental Health</t>
  </si>
  <si>
    <t>1866-2625</t>
  </si>
  <si>
    <t>1866-2633</t>
  </si>
  <si>
    <t>01-Jan-2012--31-Dec-2015</t>
  </si>
  <si>
    <t>School Psychology</t>
  </si>
  <si>
    <t>2578-4218</t>
  </si>
  <si>
    <t>2578-4226</t>
  </si>
  <si>
    <t>School Psychology Forum, Research in Practice</t>
  </si>
  <si>
    <t>1938-2243</t>
  </si>
  <si>
    <t>School Psychology International</t>
  </si>
  <si>
    <t>0143-0343</t>
  </si>
  <si>
    <t>1461-7374</t>
  </si>
  <si>
    <t>School Psychology Review</t>
  </si>
  <si>
    <t>0279-6015</t>
  </si>
  <si>
    <t>2372-966X</t>
  </si>
  <si>
    <t>School Social Work Journal</t>
  </si>
  <si>
    <t>0161-5653</t>
  </si>
  <si>
    <t>Children And Youth - About|Education--Special Education And Rehabilitation|Social Services And Welfare</t>
  </si>
  <si>
    <t>Schopenhauer's Porcupines : Intimacy and Its Dilemmas, Five Stories of Psychotherapy</t>
  </si>
  <si>
    <t>Science  (pre-1986)</t>
  </si>
  <si>
    <t>The American Association for the Advancement of Science</t>
  </si>
  <si>
    <t>0036-8075</t>
  </si>
  <si>
    <t>1095-9203</t>
  </si>
  <si>
    <t>01-Jan-1981--31-Dec-1984</t>
  </si>
  <si>
    <t>Sciences: Comprehensive Works|Technology: Comprehensive Works</t>
  </si>
  <si>
    <t>Scientific American Presents</t>
  </si>
  <si>
    <t>1524-0223</t>
  </si>
  <si>
    <t>Scientific Studies of Reading</t>
  </si>
  <si>
    <t>1088-8438</t>
  </si>
  <si>
    <t>1532-799X</t>
  </si>
  <si>
    <t>Screening and Assessment for People With Co-Occurring Disorders</t>
  </si>
  <si>
    <t>Searching for Memory</t>
  </si>
  <si>
    <t>A Secret Worth Knowing : A Treatise on the Most Important Subject in the World: Simply to Say, Insanity</t>
  </si>
  <si>
    <t>A Secret Worth Knowing</t>
  </si>
  <si>
    <t>1847</t>
  </si>
  <si>
    <t>Security Journal</t>
  </si>
  <si>
    <t>0955-1662</t>
  </si>
  <si>
    <t>1743-4645</t>
  </si>
  <si>
    <t>01-Jan-2001--31-Dec-2006; 01-Jul-2001--31-Dec-2006</t>
  </si>
  <si>
    <t>Criminology And Law Enforcement|Criminology And Law Enforcement--Security</t>
  </si>
  <si>
    <t>See You in Court : A Social Worker's Guide to Presenting Evidence in Care Proceedings</t>
  </si>
  <si>
    <t>Self and Identity</t>
  </si>
  <si>
    <t>1529-8868</t>
  </si>
  <si>
    <t>1529-8876</t>
  </si>
  <si>
    <t>Self-Care for the Mental Health Practitioner</t>
  </si>
  <si>
    <t>Sex Education</t>
  </si>
  <si>
    <t>1468-1811</t>
  </si>
  <si>
    <t>1472-0825</t>
  </si>
  <si>
    <t>Children And Youth - About|Education|Medical Sciences--Communicable Diseases</t>
  </si>
  <si>
    <t>Sex Roles</t>
  </si>
  <si>
    <t>0360-0025</t>
  </si>
  <si>
    <t>1573-2762</t>
  </si>
  <si>
    <t>Sexual Abuse</t>
  </si>
  <si>
    <t>1079-0632</t>
  </si>
  <si>
    <t>1573-286X</t>
  </si>
  <si>
    <t>Criminology And Law Enforcement|Medical Sciences|Psychology|Sociology</t>
  </si>
  <si>
    <t>Sexual Abuse in Australia and New Zealand</t>
  </si>
  <si>
    <t>Australia and New Zealand Association for the Treatment of Sexual Abuse (A NZATS A)</t>
  </si>
  <si>
    <t>1833-8488</t>
  </si>
  <si>
    <t>Sexual Addiction &amp; Compulsivity</t>
  </si>
  <si>
    <t>1072-0162</t>
  </si>
  <si>
    <t>1532-5318</t>
  </si>
  <si>
    <t>Sexual and Relationship Therapy</t>
  </si>
  <si>
    <t>1468-1994</t>
  </si>
  <si>
    <t>1468-1749</t>
  </si>
  <si>
    <t>01-Jan-2001--31-Dec-2010</t>
  </si>
  <si>
    <t>Sexualities</t>
  </si>
  <si>
    <t>1363-4607</t>
  </si>
  <si>
    <t>1461-7382</t>
  </si>
  <si>
    <t>01-Jan-2001--31-Dec-2001; 01-Jan-2003--31-Dec-2003; 01-Jan-2012--31-Dec-2013</t>
  </si>
  <si>
    <t>Sexuality &amp; Culture</t>
  </si>
  <si>
    <t>1095-5143</t>
  </si>
  <si>
    <t>1936-4822</t>
  </si>
  <si>
    <t>Lifestyle|Medical Sciences|Physical Fitness And Hygiene|Political Science--Civil Rights|Psychology|Sociology</t>
  </si>
  <si>
    <t>Sexuality Research &amp; Social Policy</t>
  </si>
  <si>
    <t>1868-9884</t>
  </si>
  <si>
    <t>1553-6610</t>
  </si>
  <si>
    <t>Medical Sciences|Sociology</t>
  </si>
  <si>
    <t>Sexuality and Disability</t>
  </si>
  <si>
    <t>0146-1044</t>
  </si>
  <si>
    <t>1573-6717</t>
  </si>
  <si>
    <t>Sexualization, Media and Society</t>
  </si>
  <si>
    <t>2374-6238</t>
  </si>
  <si>
    <t>She Bets Her Life : A True Story of Gambling Addiction</t>
  </si>
  <si>
    <t>She's Not the Man I Married : My Life With a Transgender Husband</t>
  </si>
  <si>
    <t>A Short Introduction to Understanding and Supporting Children With Eating Disorders</t>
  </si>
  <si>
    <t>Sign Language Studies</t>
  </si>
  <si>
    <t>0302-1475</t>
  </si>
  <si>
    <t>1533-6263</t>
  </si>
  <si>
    <t>Anthropology|Linguistics</t>
  </si>
  <si>
    <t>Signs</t>
  </si>
  <si>
    <t>0097-9740</t>
  </si>
  <si>
    <t>1545-6943</t>
  </si>
  <si>
    <t>Signum Temporis</t>
  </si>
  <si>
    <t>1691-4929</t>
  </si>
  <si>
    <t>2199-5931</t>
  </si>
  <si>
    <t>Simulation &amp; Gaming</t>
  </si>
  <si>
    <t>1046-8781</t>
  </si>
  <si>
    <t>1552-826X</t>
  </si>
  <si>
    <t>Business And Economics--Computer Applications|Computers--Computer Simulation|Psychology|Sociology</t>
  </si>
  <si>
    <t>Six Degrees of Social Influence : Science, Application, and the Psychology of Robert Cialdini</t>
  </si>
  <si>
    <t>Skeptic</t>
  </si>
  <si>
    <t>Millennium Press, Inc.</t>
  </si>
  <si>
    <t>1063-9330</t>
  </si>
  <si>
    <t>2168-3360</t>
  </si>
  <si>
    <t>New Age Publications|Parapsychology And Occultism</t>
  </si>
  <si>
    <t>The Skeptical Inquirer</t>
  </si>
  <si>
    <t>The Committee for the Scientific Investigation of Claims of the Paranormal (SCICOP)</t>
  </si>
  <si>
    <t>0194-6730</t>
  </si>
  <si>
    <t>Parapsychology And Occultism</t>
  </si>
  <si>
    <t>The Skills of Counseling</t>
  </si>
  <si>
    <t>Slavic &amp; East European Information Resources</t>
  </si>
  <si>
    <t>1522-8886</t>
  </si>
  <si>
    <t>1522-9041</t>
  </si>
  <si>
    <t>Criminology And Law Enforcement|Library And Information Sciences</t>
  </si>
  <si>
    <t>Sleep</t>
  </si>
  <si>
    <t>0161-8105</t>
  </si>
  <si>
    <t>1550-9109</t>
  </si>
  <si>
    <t>Sleep Assessment Series 2</t>
  </si>
  <si>
    <t>Sleep Disorders</t>
  </si>
  <si>
    <t>2090-3545</t>
  </si>
  <si>
    <t>2090-3553</t>
  </si>
  <si>
    <t>Sleep Science and Practice</t>
  </si>
  <si>
    <t>2398-2683</t>
  </si>
  <si>
    <t>Sleep and Breathing</t>
  </si>
  <si>
    <t>1520-9512</t>
  </si>
  <si>
    <t>1522-1709</t>
  </si>
  <si>
    <t>Sleep and Hypnosis</t>
  </si>
  <si>
    <t>1302-1192</t>
  </si>
  <si>
    <t>Sleep and Hypnosis (Online)</t>
  </si>
  <si>
    <t>2458-9101</t>
  </si>
  <si>
    <t>Slum Health : From the Cell to the Street</t>
  </si>
  <si>
    <t>Small Group Research</t>
  </si>
  <si>
    <t>1046-4964</t>
  </si>
  <si>
    <t>1552-8278</t>
  </si>
  <si>
    <t>Smith College Studies in Social Work</t>
  </si>
  <si>
    <t>0037-7317</t>
  </si>
  <si>
    <t>1553-0426</t>
  </si>
  <si>
    <t>01-Jan-2010--31-Dec-2017</t>
  </si>
  <si>
    <t>Social Analysis</t>
  </si>
  <si>
    <t>0155-977X</t>
  </si>
  <si>
    <t>1558-5727</t>
  </si>
  <si>
    <t>Social Behavior and Personality</t>
  </si>
  <si>
    <t>Scientific Journal Publishers Ltd</t>
  </si>
  <si>
    <t>0301-2212</t>
  </si>
  <si>
    <t>1179-6391</t>
  </si>
  <si>
    <t>Social Care and Neurodisability</t>
  </si>
  <si>
    <t>2042-0919</t>
  </si>
  <si>
    <t>2042-874X</t>
  </si>
  <si>
    <t>Social Choice and Welfare</t>
  </si>
  <si>
    <t>0176-1714</t>
  </si>
  <si>
    <t>1432-217X</t>
  </si>
  <si>
    <t>Social Cognition</t>
  </si>
  <si>
    <t>0278-016X</t>
  </si>
  <si>
    <t>1943-2798</t>
  </si>
  <si>
    <t>The Social Costs of Underemployment : Inadequate Employment as Disguised Unemployment</t>
  </si>
  <si>
    <t>Business And Economics--Economic Situation And Conditions|Social Services And Welfare</t>
  </si>
  <si>
    <t>Social Dominance : An Intergroup Theory of Social Hierarchy and Oppression</t>
  </si>
  <si>
    <t>Social Forces</t>
  </si>
  <si>
    <t>0037-7732</t>
  </si>
  <si>
    <t>1534-7605</t>
  </si>
  <si>
    <t>Social Identities</t>
  </si>
  <si>
    <t>1350-4630</t>
  </si>
  <si>
    <t>1363-0296</t>
  </si>
  <si>
    <t>Ethnic Interests|Political Science--Civil Rights|Sociology</t>
  </si>
  <si>
    <t>Social Inclusion of People With Mental Illness</t>
  </si>
  <si>
    <t>Social Indicators Research</t>
  </si>
  <si>
    <t>0303-8300</t>
  </si>
  <si>
    <t>1573-0921</t>
  </si>
  <si>
    <t>Sociology|Sociology--Abstracting, Bibliographies, Statistics|Statistics</t>
  </si>
  <si>
    <t>Social Influences</t>
  </si>
  <si>
    <t>Social Interaction : Process And Products, Selected Essays</t>
  </si>
  <si>
    <t>Social Justice Research</t>
  </si>
  <si>
    <t>0885-7466</t>
  </si>
  <si>
    <t>1573-6725</t>
  </si>
  <si>
    <t>Social Justice and the Urban Obesity Crisis</t>
  </si>
  <si>
    <t>Medical Sciences|Social Services And Welfare|Sociology</t>
  </si>
  <si>
    <t>The Social Mind : Cognitive and Motivational Aspects of Interpersonal Behavior</t>
  </si>
  <si>
    <t>Psychology|Social Sciences: Comprehensive Works|Social Services And Welfare</t>
  </si>
  <si>
    <t>Social Motivation : Conscious and Unconscious Processes</t>
  </si>
  <si>
    <t>Social Neuroscience</t>
  </si>
  <si>
    <t>1747-0919</t>
  </si>
  <si>
    <t>1747-0927</t>
  </si>
  <si>
    <t>Medical Sciences--Psychiatry And Neurology|Sociology</t>
  </si>
  <si>
    <t>The Social Origins of Health and Well-Being</t>
  </si>
  <si>
    <t>Social Perception and Social Reality : Why Accuracy Dominates Bias and Self-Fulfilling Prophecy</t>
  </si>
  <si>
    <t>Social Perspective : The Missing Element in Mental Health Practice</t>
  </si>
  <si>
    <t>Medical Sciences--Psychiatry And Neurology|Psychology|Social Services And Welfare|Sociology</t>
  </si>
  <si>
    <t>Social Phobia : An Interpersonal Approach</t>
  </si>
  <si>
    <t>Social Problems</t>
  </si>
  <si>
    <t>0037-7791</t>
  </si>
  <si>
    <t>1533-8533</t>
  </si>
  <si>
    <t>Social Psychiatry and Psychiatric Epidemiology</t>
  </si>
  <si>
    <t>0933-7954</t>
  </si>
  <si>
    <t>1433-9285</t>
  </si>
  <si>
    <t>Medical Sciences--Radiology And Nuclear Medicine</t>
  </si>
  <si>
    <t>Social Psychological &amp; Personality Science</t>
  </si>
  <si>
    <t>1948-5506</t>
  </si>
  <si>
    <t>1948-5514</t>
  </si>
  <si>
    <t>Social Psychological Review</t>
  </si>
  <si>
    <t>1369-7862</t>
  </si>
  <si>
    <t>Social Psychology</t>
  </si>
  <si>
    <t>Hogrefe &amp; Huber Publishers GmbH</t>
  </si>
  <si>
    <t>1864-9335</t>
  </si>
  <si>
    <t>2151-2590</t>
  </si>
  <si>
    <t>Harper &amp; Row</t>
  </si>
  <si>
    <t>Social Psychology Quarterly</t>
  </si>
  <si>
    <t>0190-2725</t>
  </si>
  <si>
    <t>1939-8999</t>
  </si>
  <si>
    <t>Social Psychology of Education : An International Journal</t>
  </si>
  <si>
    <t>1381-2890</t>
  </si>
  <si>
    <t>1573-1928</t>
  </si>
  <si>
    <t>The Social Psychology of Prejudice</t>
  </si>
  <si>
    <t>Social Science &amp; Medicine</t>
  </si>
  <si>
    <t>0277-9536</t>
  </si>
  <si>
    <t>1873-5347</t>
  </si>
  <si>
    <t>Medical Sciences|Social Sciences: Comprehensive Works|Sociology</t>
  </si>
  <si>
    <t>Social Science Computer Review</t>
  </si>
  <si>
    <t>0894-4393</t>
  </si>
  <si>
    <t>1552-8286</t>
  </si>
  <si>
    <t>Education--Computer Applications|Public Administration--Computer Applications|Social Sciences: Comprehensive Works</t>
  </si>
  <si>
    <t>Social Science Journal</t>
  </si>
  <si>
    <t>0362-3319</t>
  </si>
  <si>
    <t>1873-5355</t>
  </si>
  <si>
    <t>Social Science Quarterly</t>
  </si>
  <si>
    <t>0038-4941</t>
  </si>
  <si>
    <t>1540-6237</t>
  </si>
  <si>
    <t>The Social Service Review</t>
  </si>
  <si>
    <t>0037-7961</t>
  </si>
  <si>
    <t>1537-5404</t>
  </si>
  <si>
    <t>Social Support, Health, and Illness : A Complicated Relationship</t>
  </si>
  <si>
    <t>Medical Sciences|Social Services And Welfare|Sociology--Computer Applications</t>
  </si>
  <si>
    <t>Social Theory &amp; Health</t>
  </si>
  <si>
    <t>1477-8211</t>
  </si>
  <si>
    <t>1477-822X</t>
  </si>
  <si>
    <t>Health Facilities And Administration|Medical Sciences|Public Health And Safety|Sociology</t>
  </si>
  <si>
    <t>Social Theory : Twenty Introductory Lectures</t>
  </si>
  <si>
    <t>Philosophy|Social Services And Welfare|Sociology</t>
  </si>
  <si>
    <t>Social Work</t>
  </si>
  <si>
    <t>0037-8046</t>
  </si>
  <si>
    <t>1545-6846</t>
  </si>
  <si>
    <t>Social Work &amp; Social Sciences Review</t>
  </si>
  <si>
    <t>Whiting &amp; Birch Ltd.</t>
  </si>
  <si>
    <t>0953-5225</t>
  </si>
  <si>
    <t>Social Work Practice Research for the Twenty-First Century</t>
  </si>
  <si>
    <t>Social Work Practice for Social Justice : Cultural Competence in Action</t>
  </si>
  <si>
    <t>The Social Work Practitioner-Researcher</t>
  </si>
  <si>
    <t>Unisa Press</t>
  </si>
  <si>
    <t>1011-2324</t>
  </si>
  <si>
    <t>Social Work Research</t>
  </si>
  <si>
    <t>1070-5309</t>
  </si>
  <si>
    <t>1545-6838</t>
  </si>
  <si>
    <t>Abstracting And Indexing Services|Social Services And Welfare|Sociology</t>
  </si>
  <si>
    <t>Social Work With Troubled Families : A Critical Introduction</t>
  </si>
  <si>
    <t>Social Work and Christianity</t>
  </si>
  <si>
    <t>North American Association of Christians in Social Work</t>
  </si>
  <si>
    <t>0737-5778</t>
  </si>
  <si>
    <t>1944-7779</t>
  </si>
  <si>
    <t>Social Work in Health Care</t>
  </si>
  <si>
    <t>0098-1389</t>
  </si>
  <si>
    <t>1541-034X</t>
  </si>
  <si>
    <t>Social Work in Mental Health</t>
  </si>
  <si>
    <t>1533-2985</t>
  </si>
  <si>
    <t>1533-2993</t>
  </si>
  <si>
    <t>Social Work in Public Health</t>
  </si>
  <si>
    <t>1937-1918</t>
  </si>
  <si>
    <t>1937-190X</t>
  </si>
  <si>
    <t>01-Jan-2013--31-Dec-2014</t>
  </si>
  <si>
    <t>Social Work in Rural Communities, Fifth Edition</t>
  </si>
  <si>
    <t>Social Work with Groups</t>
  </si>
  <si>
    <t>0160-9513</t>
  </si>
  <si>
    <t>1540-9481</t>
  </si>
  <si>
    <t>The Social in the Global : Social Theory, Governmentality and Global Politics</t>
  </si>
  <si>
    <t>Political Science--International Relations|Social Services And Welfare</t>
  </si>
  <si>
    <t>Society and Mental Health</t>
  </si>
  <si>
    <t>2156-8693</t>
  </si>
  <si>
    <t>2156-8731</t>
  </si>
  <si>
    <t>Socioaffective Neuroscience &amp; Psychology</t>
  </si>
  <si>
    <t>2000-9011</t>
  </si>
  <si>
    <t>Sociological Methods and Research</t>
  </si>
  <si>
    <t>0049-1241</t>
  </si>
  <si>
    <t>1552-8294</t>
  </si>
  <si>
    <t>Sociological Perspectives</t>
  </si>
  <si>
    <t>0731-1214</t>
  </si>
  <si>
    <t>1533-8673</t>
  </si>
  <si>
    <t>Sociological Quarterly</t>
  </si>
  <si>
    <t>0038-0253</t>
  </si>
  <si>
    <t>1533-8525</t>
  </si>
  <si>
    <t>Sociologus</t>
  </si>
  <si>
    <t>Duncker &amp; Humblot Gmbh</t>
  </si>
  <si>
    <t>0038-0377</t>
  </si>
  <si>
    <t>1865-5106</t>
  </si>
  <si>
    <t>Anthropology/Ethnology|Sociology</t>
  </si>
  <si>
    <t>Sociology of Education</t>
  </si>
  <si>
    <t>0038-0407</t>
  </si>
  <si>
    <t>1939-8573</t>
  </si>
  <si>
    <t>Education|Psychology|Social Sciences: Comprehensive Works|Sociology</t>
  </si>
  <si>
    <t>Somebody Somewhere : Breaking Free From the World of Autism</t>
  </si>
  <si>
    <t>The Spanish Journal of Psychology</t>
  </si>
  <si>
    <t>1138-7416</t>
  </si>
  <si>
    <t>1988-2904</t>
  </si>
  <si>
    <t>Spatial Cognition and Computation</t>
  </si>
  <si>
    <t>1387-5868</t>
  </si>
  <si>
    <t>1573-9252</t>
  </si>
  <si>
    <t>Special Education Report</t>
  </si>
  <si>
    <t>LRP Publications, Inc.</t>
  </si>
  <si>
    <t>1553-4294</t>
  </si>
  <si>
    <t>01-Jan-2005--31-Dec-2005</t>
  </si>
  <si>
    <t>Spiritual Accompaniment and Counselling : Journeying With Psyche and Soul</t>
  </si>
  <si>
    <t>Spiritual Adventures</t>
  </si>
  <si>
    <t>Spiritual Care With Sick Children and Young People : A Handbook for Chaplains, Paediatric Health Professionals, Arts Therapists and Youth Workers</t>
  </si>
  <si>
    <t>Spiritual Care in Practice : Case Studies in Healthcare Chaplaincy</t>
  </si>
  <si>
    <t>Spirituality, Culture, and Development : Implications for Social Work</t>
  </si>
  <si>
    <t>The Sport Psychologist</t>
  </si>
  <si>
    <t>0888-4781</t>
  </si>
  <si>
    <t>1543-2793</t>
  </si>
  <si>
    <t>Stanley Milgram Personal Papers 1</t>
  </si>
  <si>
    <t>State Crime</t>
  </si>
  <si>
    <t>Pluto Journals</t>
  </si>
  <si>
    <t>2046-6056</t>
  </si>
  <si>
    <t>2046-6064</t>
  </si>
  <si>
    <t>The State of Economic and Social Human Rights : A Global Overview</t>
  </si>
  <si>
    <t>The Strange Effects of Faith : With Remarkable Prophecies of Things Which Are to Come. Also, Some Account of My Life</t>
  </si>
  <si>
    <t>1801</t>
  </si>
  <si>
    <t>Structural Equation Modeling</t>
  </si>
  <si>
    <t>1070-5511</t>
  </si>
  <si>
    <t>1532-8007</t>
  </si>
  <si>
    <t>Studia Psychologica</t>
  </si>
  <si>
    <t>Institute of Experimental Psychology, Slovak Academy of Sciences</t>
  </si>
  <si>
    <t>Slovakia</t>
  </si>
  <si>
    <t>0039-3320</t>
  </si>
  <si>
    <t>2585-8815</t>
  </si>
  <si>
    <t>English|German|Russian</t>
  </si>
  <si>
    <t>Studia Psychologiczne</t>
  </si>
  <si>
    <t>0081-685X</t>
  </si>
  <si>
    <t>2300-8520</t>
  </si>
  <si>
    <t>Studia Universitatis Babeș-Bolyai. Psychologia-Paedagogia</t>
  </si>
  <si>
    <t>Babes-Bolyai University, STUDIA UNIVERSITATIS BABES-BOLYAI</t>
  </si>
  <si>
    <t>1221-8111</t>
  </si>
  <si>
    <t>2065-9431</t>
  </si>
  <si>
    <t>English|French|German|Romanian; Moldavian; Moldovan</t>
  </si>
  <si>
    <t>Studies in Conflict and Terrorism</t>
  </si>
  <si>
    <t>1057-610X</t>
  </si>
  <si>
    <t>1521-0731</t>
  </si>
  <si>
    <t>Civil Defense|Criminology And Law Enforcement|Political Science--International Relations</t>
  </si>
  <si>
    <t>Studies in Family Planning</t>
  </si>
  <si>
    <t>0039-3665</t>
  </si>
  <si>
    <t>1728-4465</t>
  </si>
  <si>
    <t>Population Studies|Sociology</t>
  </si>
  <si>
    <t>Studies in Gender and Sexuality</t>
  </si>
  <si>
    <t>1524-0657</t>
  </si>
  <si>
    <t>1940-9206</t>
  </si>
  <si>
    <t>Studies in Higher Education</t>
  </si>
  <si>
    <t>0307-5079</t>
  </si>
  <si>
    <t>1470-174X</t>
  </si>
  <si>
    <t>Studies in Meaning</t>
  </si>
  <si>
    <t>9780944473863;9780944473863</t>
  </si>
  <si>
    <t>Studies in Meaning 2</t>
  </si>
  <si>
    <t>9780944473665;9780944473665</t>
  </si>
  <si>
    <t>Studies in Meaning 3</t>
  </si>
  <si>
    <t>Studies in Meaning 4</t>
  </si>
  <si>
    <t>9780944473986;9780944473986</t>
  </si>
  <si>
    <t>Studies in Second Language Acquisition</t>
  </si>
  <si>
    <t>0272-2631</t>
  </si>
  <si>
    <t>1470-1545</t>
  </si>
  <si>
    <t>Studies of Independence and Conformity : A Minority of One Against a Unanimous Majority</t>
  </si>
  <si>
    <t>A Study and Analysis of the Conditioned Reflex</t>
  </si>
  <si>
    <t>Subjectivity</t>
  </si>
  <si>
    <t>1755-6341</t>
  </si>
  <si>
    <t>1755-635X</t>
  </si>
  <si>
    <t>Substance Abuse</t>
  </si>
  <si>
    <t>0889-7077</t>
  </si>
  <si>
    <t>1547-0164</t>
  </si>
  <si>
    <t>Substance Abuse : Research and Treatment</t>
  </si>
  <si>
    <t>1178-2218</t>
  </si>
  <si>
    <t>Substance Abuse Treatment, Prevention and Policy</t>
  </si>
  <si>
    <t>1747-597X</t>
  </si>
  <si>
    <t>Substance Abuse and Rehabilitation</t>
  </si>
  <si>
    <t>1179-8467</t>
  </si>
  <si>
    <t>Substance Use &amp; Misuse</t>
  </si>
  <si>
    <t>1082-6084</t>
  </si>
  <si>
    <t>1532-2491</t>
  </si>
  <si>
    <t>Success</t>
  </si>
  <si>
    <t>Success Holding Company, LLC</t>
  </si>
  <si>
    <t>0745-2489</t>
  </si>
  <si>
    <t>Suffering and Moral Responsibility</t>
  </si>
  <si>
    <t>Medical Sciences|Philosophy</t>
  </si>
  <si>
    <t>Suicide &amp; Life - Threatening Behavior</t>
  </si>
  <si>
    <t>0363-0234</t>
  </si>
  <si>
    <t>1943-278X</t>
  </si>
  <si>
    <t>Super Brain Summit</t>
  </si>
  <si>
    <t>Supotsu Shinrigaku Kenkyu = Japanese Journal of Sport Psychology</t>
  </si>
  <si>
    <t>Japan Science and Technology Agency</t>
  </si>
  <si>
    <t>Japan</t>
  </si>
  <si>
    <t>0388-7014</t>
  </si>
  <si>
    <t>1883-6410</t>
  </si>
  <si>
    <t>Japanese</t>
  </si>
  <si>
    <t>Support for Learning</t>
  </si>
  <si>
    <t>0268-2141</t>
  </si>
  <si>
    <t>1467-9604</t>
  </si>
  <si>
    <t>Supporting Disabled People With Their Sexual Lives</t>
  </si>
  <si>
    <t>The Survival Guide for Newly Qualified Social Workers : Hitting the Ground Running</t>
  </si>
  <si>
    <t>Symbolic Interaction</t>
  </si>
  <si>
    <t>0195-6086</t>
  </si>
  <si>
    <t>1533-8665</t>
  </si>
  <si>
    <t>Symptom Media Individual Video Titles</t>
  </si>
  <si>
    <t>Symptom Media Test Section Index</t>
  </si>
  <si>
    <t>System Dynamics Review</t>
  </si>
  <si>
    <t>0883-7066</t>
  </si>
  <si>
    <t>1099-1727</t>
  </si>
  <si>
    <t>Business And Economics--Management|Social Sciences: Comprehensive Works</t>
  </si>
  <si>
    <t>Systemic Practice and Action Research</t>
  </si>
  <si>
    <t>1094-429X</t>
  </si>
  <si>
    <t>1573-9295</t>
  </si>
  <si>
    <t>Systems Research and Behavioral Science</t>
  </si>
  <si>
    <t>1092-7026</t>
  </si>
  <si>
    <t>1099-1743</t>
  </si>
  <si>
    <t>Business And Economics--Management|Computers--Computer Systems|Engineering</t>
  </si>
  <si>
    <t>Tackling Selective Mutism : A Guide for Professionals and Parents</t>
  </si>
  <si>
    <t>Take It as a Compliment</t>
  </si>
  <si>
    <t>Talking to Angels : A Life Spent at High Latitudes</t>
  </si>
  <si>
    <t>Beacon Press</t>
  </si>
  <si>
    <t>Taxing the Poor : Doing Damage to the Truly Disadvantaged</t>
  </si>
  <si>
    <t>Teaching Human Rights : Curriculum Resources for Social Work Educators</t>
  </si>
  <si>
    <t>Teaching In Higher Education</t>
  </si>
  <si>
    <t>1356-2517</t>
  </si>
  <si>
    <t>1470-1294</t>
  </si>
  <si>
    <t>Teaching Social Work Values and Ethics : A Curriculum Resource</t>
  </si>
  <si>
    <t>Teaching Verbal Behavior</t>
  </si>
  <si>
    <t>Teaching of Psychology</t>
  </si>
  <si>
    <t>0098-6283</t>
  </si>
  <si>
    <t>1532-8023</t>
  </si>
  <si>
    <t>Teen Addictions &amp; Recovery Workbook</t>
  </si>
  <si>
    <t>Teen Anger Workbook : Facilitator Reproducible Self-Assessments, Exercises and Educational Handouts</t>
  </si>
  <si>
    <t>Teen Anxiety : A CBT and ACT Activity Resource Book for Helping Anxious Adolescents</t>
  </si>
  <si>
    <t>Teen Choices Workbook : Facilitator Reproducible Self-Assessments, Exercises and Educational Handouts</t>
  </si>
  <si>
    <t>Teen Communication Skills Workbook : Facilitator Reproducible Self-Assessments, Exercises &amp; Educational Handouts</t>
  </si>
  <si>
    <t>Teen Conflict Management Skills Workbook</t>
  </si>
  <si>
    <t>Teen Friendship Workbook : Facilitator Reproducible Self-Assessments, Exercises and Educational Handouts</t>
  </si>
  <si>
    <t>Teen Intervene, 2nd Edition</t>
  </si>
  <si>
    <t>Children And Youth - About|Medical Sciences|Psychology</t>
  </si>
  <si>
    <t>Teen Practical Life Skills Workbook : Facilitator Reproducible Self-Assessments, Exercises &amp; Educational Handouts</t>
  </si>
  <si>
    <t>Teen Resiliency Building Workbook : Reproducible Self-Assessments, Exercises &amp; Educational Handouts</t>
  </si>
  <si>
    <t>Teen Respect of Self &amp; Others Workbook : Facilitator Reproducible Self-Assessments, Exercises and Educational Handouts</t>
  </si>
  <si>
    <t>Teen Safety Workbook : Facilitator Reproducible Self-Assessments, Exercises &amp; Educational Handouts</t>
  </si>
  <si>
    <t>Teen Self-Esteem Workbook : Facilitator Reproducible Self-Assessments, Exercises and Educational Handouts</t>
  </si>
  <si>
    <t>Teen Stress Workbook</t>
  </si>
  <si>
    <t>Teen Violence Workbook</t>
  </si>
  <si>
    <t>Teens - Body Image and Beyond</t>
  </si>
  <si>
    <t>Teens - It's Time to Grow Up</t>
  </si>
  <si>
    <t>Tempo Psicanalítico</t>
  </si>
  <si>
    <t>Sociedade de Psicanálise Iracy Doyle, Revista Tempo Psicanalítico</t>
  </si>
  <si>
    <t>0101-4838</t>
  </si>
  <si>
    <t>2316-6576</t>
  </si>
  <si>
    <t>Terrorism &amp; Political Violence</t>
  </si>
  <si>
    <t>0954-6553</t>
  </si>
  <si>
    <t>1556-1836</t>
  </si>
  <si>
    <t>Criminology And Law Enforcement|Political Science--International Relations</t>
  </si>
  <si>
    <t>Theoretical Criminology</t>
  </si>
  <si>
    <t>1362-4806</t>
  </si>
  <si>
    <t>1461-7439</t>
  </si>
  <si>
    <t>Theory &amp; Psychology</t>
  </si>
  <si>
    <t>0959-3543</t>
  </si>
  <si>
    <t>1461-7447</t>
  </si>
  <si>
    <t>Theory and Decision</t>
  </si>
  <si>
    <t>0040-5833</t>
  </si>
  <si>
    <t>1573-7187</t>
  </si>
  <si>
    <t>Philosophy|Social Sciences: Comprehensive Works</t>
  </si>
  <si>
    <t>Theory and Practice of Focusing-Oriented Psychotherapy : Beyond the Talking Cure</t>
  </si>
  <si>
    <t>Theory into Practice</t>
  </si>
  <si>
    <t>Ohio State University, College of Education</t>
  </si>
  <si>
    <t>0040-5841</t>
  </si>
  <si>
    <t>1543-0421</t>
  </si>
  <si>
    <t>Therapeutic Advances in Neurological Disorders</t>
  </si>
  <si>
    <t>1756-2856</t>
  </si>
  <si>
    <t>1756-2864</t>
  </si>
  <si>
    <t>Therapeutic Advances in Psychopharmacology</t>
  </si>
  <si>
    <t>2045-1253</t>
  </si>
  <si>
    <t>2045-1261</t>
  </si>
  <si>
    <t>Therapeutic Communities</t>
  </si>
  <si>
    <t>0964-1866</t>
  </si>
  <si>
    <t>2052-4730</t>
  </si>
  <si>
    <t>Medical Sciences--Psychiatry And Neurology|Social Sciences: Comprehensive Works</t>
  </si>
  <si>
    <t>Therapeutic Journeys</t>
  </si>
  <si>
    <t>Therapeutic Recreation Journal</t>
  </si>
  <si>
    <t>Sagamore Publishing LLC</t>
  </si>
  <si>
    <t>0040-5914</t>
  </si>
  <si>
    <t>2159-6433</t>
  </si>
  <si>
    <t>Education--Special Education And Rehabilitation|Medical Sciences</t>
  </si>
  <si>
    <t>Therapie Familiale</t>
  </si>
  <si>
    <t>0250-4952</t>
  </si>
  <si>
    <t>2235-2112</t>
  </si>
  <si>
    <t>Therapies In-Action</t>
  </si>
  <si>
    <t>Therapists and Professional Negligence : A Duty of Care?</t>
  </si>
  <si>
    <t>Therapy Talks</t>
  </si>
  <si>
    <t>They F*** You Up : How to Survive Family Life</t>
  </si>
  <si>
    <t>Thinking &amp; Reasoning</t>
  </si>
  <si>
    <t>1354-6783</t>
  </si>
  <si>
    <t>1464-0708</t>
  </si>
  <si>
    <t>Thinking Allowed Video Collection</t>
  </si>
  <si>
    <t>Thirty-Two Years of the Life of an Adventurer</t>
  </si>
  <si>
    <t>Three Approaches to Psychotherapy 1-3 Parts : Rogers, Perls, and Ellis</t>
  </si>
  <si>
    <t>Through the Looking Glass : Women and Borderline Personality Disorder</t>
  </si>
  <si>
    <t>Time and Memory : Issues in Philosophy and Psychology</t>
  </si>
  <si>
    <t>Tizard Learning Disability Review</t>
  </si>
  <si>
    <t>1359-5474</t>
  </si>
  <si>
    <t>2042-8782</t>
  </si>
  <si>
    <t>Topics in Cognitive Science</t>
  </si>
  <si>
    <t>1756-8757</t>
  </si>
  <si>
    <t>1756-8765</t>
  </si>
  <si>
    <t>Topics in Early Childhood Special Education</t>
  </si>
  <si>
    <t>0271-1214</t>
  </si>
  <si>
    <t>1538-4845</t>
  </si>
  <si>
    <t>Topics in Language Disorders</t>
  </si>
  <si>
    <t>0271-8294</t>
  </si>
  <si>
    <t>1550-3259</t>
  </si>
  <si>
    <t>Education--Special Education And Rehabilitation|Linguistics|Medical Sciences</t>
  </si>
  <si>
    <t>Topics in Stroke Rehabilitation</t>
  </si>
  <si>
    <t>1074-9357</t>
  </si>
  <si>
    <t>1945-5119</t>
  </si>
  <si>
    <t>Medical Sciences|Medical Sciences--Cardiovascular Diseases|Medical Sciences--Physical Medicine And Rehabilitation</t>
  </si>
  <si>
    <t>Topoi</t>
  </si>
  <si>
    <t>0167-7411</t>
  </si>
  <si>
    <t>1572-8749</t>
  </si>
  <si>
    <t>Tough Customers : Treating Clients With Challenging Issues</t>
  </si>
  <si>
    <t>Trainers' Forum</t>
  </si>
  <si>
    <t>Trainers of School Psychologists</t>
  </si>
  <si>
    <t>0277-2574</t>
  </si>
  <si>
    <t>Training &amp; Development</t>
  </si>
  <si>
    <t>1839-8561</t>
  </si>
  <si>
    <t>2200-2081</t>
  </si>
  <si>
    <t>Business And Economics--Labor And Industrial Relations|Business And Economics--Management|Business And Economics--Personnel Management</t>
  </si>
  <si>
    <t>The Traitor: Being the Untampered With Unrevised Account of the Trial and All that Led to It</t>
  </si>
  <si>
    <t>Transactional Analysis Journal</t>
  </si>
  <si>
    <t>0362-1537</t>
  </si>
  <si>
    <t>2329-5244</t>
  </si>
  <si>
    <t>Transactions of the Antiseptic Club</t>
  </si>
  <si>
    <t>Transforming Children's Mental Health Policy Into Practice</t>
  </si>
  <si>
    <t>Transforming Emotional Pain : An Illustration of Emotion-Focused Therapy</t>
  </si>
  <si>
    <t>Transgender Health</t>
  </si>
  <si>
    <t>2380-193X</t>
  </si>
  <si>
    <t>Transitional Life Skills for Teens</t>
  </si>
  <si>
    <t>Translational Developmental Psychiatry</t>
  </si>
  <si>
    <t>2001-7022</t>
  </si>
  <si>
    <t>Transnational Social Work Practice</t>
  </si>
  <si>
    <t>Trauma, Violence &amp; Abuse</t>
  </si>
  <si>
    <t>1524-8380</t>
  </si>
  <si>
    <t>1552-8324</t>
  </si>
  <si>
    <t>Medical Sciences|Medical Sciences--Orthopedics And Traumatology|Public Health And Safety</t>
  </si>
  <si>
    <t>Traumatology Institute Videos</t>
  </si>
  <si>
    <t>Treating Anxiety : Latest Advances</t>
  </si>
  <si>
    <t>Trends in Neurosciences</t>
  </si>
  <si>
    <t>0166-2236</t>
  </si>
  <si>
    <t>1878-108X</t>
  </si>
  <si>
    <t>Trends in psychiatry and psychotherapy</t>
  </si>
  <si>
    <t>Associação de Psiquiatria do Rio Grande do Sul - Trends in Psychiatry and Psychotherapy</t>
  </si>
  <si>
    <t>2238-0019</t>
  </si>
  <si>
    <t>2237-6089</t>
  </si>
  <si>
    <t>Triangle Press Videos</t>
  </si>
  <si>
    <t>The True Cause of Insanity Explained, or the Terrible Experiences of an Insane</t>
  </si>
  <si>
    <t>Turk Psikiyatri Dergisi</t>
  </si>
  <si>
    <t>Turkiye Sinir ve Ruh Sagligi Dernegi (Turkish Association of Nervous and Mental Health)</t>
  </si>
  <si>
    <t>1300-2163</t>
  </si>
  <si>
    <t>Türk Psikoloji Dergisi</t>
  </si>
  <si>
    <t>Turkish Psychological Association</t>
  </si>
  <si>
    <t>1399-4433</t>
  </si>
  <si>
    <t>Turk Psikoloji Yazilari</t>
  </si>
  <si>
    <t>1301-9961</t>
  </si>
  <si>
    <t>The UMTRI Research Review</t>
  </si>
  <si>
    <t>Transportation Research Institute</t>
  </si>
  <si>
    <t>0739-7100</t>
  </si>
  <si>
    <t>2379-3635</t>
  </si>
  <si>
    <t>Transportation|Transportation--Automobiles</t>
  </si>
  <si>
    <t>Ultimate Aptitude Tests : Assess Your Potential with Aptitude, Motivational and Personality Tests</t>
  </si>
  <si>
    <t>9780749455545;9780749455545</t>
  </si>
  <si>
    <t>Ultimate Psychometric Tests : Over 1,000 Verbal, Numerical, Diagrammatic and IQ Practice Tests</t>
  </si>
  <si>
    <t>9780749455521;9780749455521</t>
  </si>
  <si>
    <t>Understanding Applied Behavior Analysis</t>
  </si>
  <si>
    <t>Understanding Family Support</t>
  </si>
  <si>
    <t>Unequal Childhoods : Class, Race, and Family Life</t>
  </si>
  <si>
    <t>The United Nations System : Coordinating Its Economic and Social Work</t>
  </si>
  <si>
    <t>Universitas Psychologica</t>
  </si>
  <si>
    <t>1657-9267</t>
  </si>
  <si>
    <t>University of Manchester Counseling and Therapy Videos</t>
  </si>
  <si>
    <t>University of Wales Counseling and Therapy Videos</t>
  </si>
  <si>
    <t>Unlocking Happiness at Work : How a Data-driven Happiness Strategy Fuels Purpose, Passion and Performance</t>
  </si>
  <si>
    <t>9780749478070;9780749478070</t>
  </si>
  <si>
    <t>The Unseen Politics of Public Housing : Resident Councils, Communities, and Change</t>
  </si>
  <si>
    <t>Upstairs in the Crazy House : The Life of a Psychiatric Survivor</t>
  </si>
  <si>
    <t>Viking Penguin</t>
  </si>
  <si>
    <t>The Urban Review</t>
  </si>
  <si>
    <t>0042-0972</t>
  </si>
  <si>
    <t>1573-1960</t>
  </si>
  <si>
    <t>Education|Education--School Organization And Administration|Sociology</t>
  </si>
  <si>
    <t>User Modeling and User - Adapted Interaction</t>
  </si>
  <si>
    <t>0924-1868</t>
  </si>
  <si>
    <t>1573-1391</t>
  </si>
  <si>
    <t>Using Simulation in Assessment and Teaching : OSCE Adapted for Social Work</t>
  </si>
  <si>
    <t>Using Stories to Build Bridges With Traumatized Children</t>
  </si>
  <si>
    <t>VSM Productions Videos</t>
  </si>
  <si>
    <t>Veterans-Surviving &amp; Thriving After Trauma</t>
  </si>
  <si>
    <t>Victims &amp; Offenders</t>
  </si>
  <si>
    <t>1556-4886</t>
  </si>
  <si>
    <t>1556-4991</t>
  </si>
  <si>
    <t>Video Enhanced Reflective Practice : Professional Development through Attuned Interactions</t>
  </si>
  <si>
    <t>Violence &amp; Abuse Abstracts</t>
  </si>
  <si>
    <t>1077-2197</t>
  </si>
  <si>
    <t>1940-4050</t>
  </si>
  <si>
    <t>Violence Against Women</t>
  </si>
  <si>
    <t>1077-8012</t>
  </si>
  <si>
    <t>1552-8448</t>
  </si>
  <si>
    <t>Law--Family And Matrimonial Law|Political Science--Civil Rights|Sociology|Women's Health|Women's Interests|Women's Studies</t>
  </si>
  <si>
    <t>Violence and Gender</t>
  </si>
  <si>
    <t>2326-7836</t>
  </si>
  <si>
    <t>2326-7852</t>
  </si>
  <si>
    <t>Violence and Victims</t>
  </si>
  <si>
    <t>0886-6708</t>
  </si>
  <si>
    <t>1945-7073</t>
  </si>
  <si>
    <t>Criminology And Law Enforcement|Psychology|Social Services And Welfare|Sociology</t>
  </si>
  <si>
    <t>The Virginia Quarterly Review</t>
  </si>
  <si>
    <t>Virginia Quarterly Review</t>
  </si>
  <si>
    <t>0042-675X</t>
  </si>
  <si>
    <t>2154-6932</t>
  </si>
  <si>
    <t>Literary And Political Reviews</t>
  </si>
  <si>
    <t>Visions: BC’s Mental Health and Substance Use Journal</t>
  </si>
  <si>
    <t>Canadian Mental Health Association, BC Division</t>
  </si>
  <si>
    <t>1490-2494</t>
  </si>
  <si>
    <t>Visitor Studies</t>
  </si>
  <si>
    <t>1064-5578</t>
  </si>
  <si>
    <t>1934-7715</t>
  </si>
  <si>
    <t>Visual Cognition</t>
  </si>
  <si>
    <t>1350-6285</t>
  </si>
  <si>
    <t>1464-0716</t>
  </si>
  <si>
    <t>Visual Neuroscience</t>
  </si>
  <si>
    <t>0952-5238</t>
  </si>
  <si>
    <t>1469-8714</t>
  </si>
  <si>
    <t>Volume 2 ICD 10 Guided New Releases : ICD 10 Guided ADHD Series</t>
  </si>
  <si>
    <t>Volume 2 ICD 10 Guided New Releases : ICD 10 Guided Child &amp; Adolescent Series</t>
  </si>
  <si>
    <t>Volume 2 ICD 10 Guided New Releases : ICD 10 Guided Eating Disorder Series</t>
  </si>
  <si>
    <t>Volume 2 ICD 10 Guided New Releases : ICD 10 Guided First Responder Series</t>
  </si>
  <si>
    <t>Volume 2 ICD 10 Guided New Releases : ICD 10 Guided Violence Series</t>
  </si>
  <si>
    <t>Volume 2 ICD-9 Guided New Releases : ICD 10 Guided Substance-Related and Addictive Disorders</t>
  </si>
  <si>
    <t>Volume 2 New Releases : Assessment Tools : Anger Assessment Series</t>
  </si>
  <si>
    <t>Volume 2 New Releases : Assessment Tools : Anxiety Assessment Series</t>
  </si>
  <si>
    <t>Volume 2 New Releases : Assessment Tools : CAGE Questions Series</t>
  </si>
  <si>
    <t>Volume 2 New Releases : Assessment Tools : Depression Assessment Series</t>
  </si>
  <si>
    <t>Volume 2 New Releases : Assessment Tools : Gun Safety Assessment Series</t>
  </si>
  <si>
    <t>Volume 2 New Releases : Assessment Tools : Healthy Thinking Assessment Series</t>
  </si>
  <si>
    <t>Volume 2 New Releases : Assessment Tools : Loss and Grief Assessment Series 1</t>
  </si>
  <si>
    <t>Volume 2 New Releases : Assessment Tools : Loss and Grief Assessment Series 2</t>
  </si>
  <si>
    <t>Volume 2 New Releases : Assessment Tools : Mental Status Exam Series</t>
  </si>
  <si>
    <t>Volume 2 New Releases : Assessment Tools : OCD Assessment Series</t>
  </si>
  <si>
    <t>Volume 2 New Releases : Assessment Tools : PTSD Brief Screening Assessment Series</t>
  </si>
  <si>
    <t>Volume 2 New Releases : Assessment Tools : Stress Assessment Series</t>
  </si>
  <si>
    <t>Volume 2 New Releases : Assessment Tools : Substance Use Assessment Series</t>
  </si>
  <si>
    <t>Volume 2 New Releases : Assessment Tools : Suicide Assessment Series</t>
  </si>
  <si>
    <t>Volume 2 New Releases : Assessment Tools : Trauma Assessment Series</t>
  </si>
  <si>
    <t>Volume 2 New Releases : DSM 5 Guided ADHD Series</t>
  </si>
  <si>
    <t>Volume 2 New Releases : DSM 5 Guided Child &amp; Adolescent Series</t>
  </si>
  <si>
    <t>Volume 2 New Releases : DSM 5 Guided Eating Disorder Series</t>
  </si>
  <si>
    <t>Volume 2 New Releases : DSM 5 Guided First Responder Series</t>
  </si>
  <si>
    <t>Volume 2 New Releases : DSM 5 Guided Substance-Related and Addictive Disorders</t>
  </si>
  <si>
    <t>Volume 2 New Releases : DSM 5 Guided Violence Series</t>
  </si>
  <si>
    <t>Volume 2, Assessment Tools : Homicide Assessment</t>
  </si>
  <si>
    <t>Volume 2, Assessment Tools : Sleep Assessment</t>
  </si>
  <si>
    <t>Vulnerable Children and Youth Studies</t>
  </si>
  <si>
    <t>1745-0128</t>
  </si>
  <si>
    <t>1745-0136</t>
  </si>
  <si>
    <t>WETA Washington DC Videos</t>
  </si>
  <si>
    <t>The Weighted Blanket Guide</t>
  </si>
  <si>
    <t>Wellness Coaching for Lasting Lifestyle Change</t>
  </si>
  <si>
    <t>Western Journal of Black Studies</t>
  </si>
  <si>
    <t>Washington State University Press</t>
  </si>
  <si>
    <t>0197-4327</t>
  </si>
  <si>
    <t>Ethnic Interests</t>
  </si>
  <si>
    <t>Western Journal of Communication</t>
  </si>
  <si>
    <t>1057-0314</t>
  </si>
  <si>
    <t>1745-1027</t>
  </si>
  <si>
    <t>Linguistics|Theater</t>
  </si>
  <si>
    <t>Western Journal of Nursing Research</t>
  </si>
  <si>
    <t>0193-9459</t>
  </si>
  <si>
    <t>1552-8456</t>
  </si>
  <si>
    <t>Health Facilities And Administration|Medical Sciences--Nurses And Nursing</t>
  </si>
  <si>
    <t>What the Face Reveals : Basic and Applied Studies of Spontaneous Expression Using the Facial Action Encoding System (FACS)</t>
  </si>
  <si>
    <t>What the Hell Happened to My Brain? : Living Beyond Dementia</t>
  </si>
  <si>
    <t>When the Abuser Goes to Work [BLOG]</t>
  </si>
  <si>
    <t>When the Music's Over : My Journey Into Schizophrenia</t>
  </si>
  <si>
    <t>When the Piano Stops : A Memoir of Healing From Sexual Abuse</t>
  </si>
  <si>
    <t>Whistleblowing and Ethics in Health and Social Care</t>
  </si>
  <si>
    <t>Whose Child Am I? : Unaccompanied, Undocumented Children in US Immigration Custody</t>
  </si>
  <si>
    <t>Why Neuroscience Matters : Concrete Strategies for Your Practice</t>
  </si>
  <si>
    <t>Wiley Interdisciplinary Reviews</t>
  </si>
  <si>
    <t>1939-5078</t>
  </si>
  <si>
    <t>1939-5086</t>
  </si>
  <si>
    <t>Women &amp; Health</t>
  </si>
  <si>
    <t>0363-0242</t>
  </si>
  <si>
    <t>1541-0331</t>
  </si>
  <si>
    <t>Medical Sciences|Women's Health|Women's Interests</t>
  </si>
  <si>
    <t>Women &amp; Therapy</t>
  </si>
  <si>
    <t>0270-3149</t>
  </si>
  <si>
    <t>1541-0315</t>
  </si>
  <si>
    <t>01-Jan-2000--31-Dec-2000; 01-Jan-2018--31-Dec-2018</t>
  </si>
  <si>
    <t>Psychology|Women's Health|Women's Interests|Women's Studies</t>
  </si>
  <si>
    <t>Women and Children First : The Contribution for the Children's Bureau to Social Work</t>
  </si>
  <si>
    <t>Women of Color as Social Work Educators : Strengths and Survival</t>
  </si>
  <si>
    <t>Work and Occupations</t>
  </si>
  <si>
    <t>0730-8884</t>
  </si>
  <si>
    <t>1552-8464</t>
  </si>
  <si>
    <t>Work and Stress</t>
  </si>
  <si>
    <t>0267-8373</t>
  </si>
  <si>
    <t>1464-5335</t>
  </si>
  <si>
    <t>Business And Economics--Personnel Management|Business And Economics--Production Of Goods And Services|Occupational Health And Safety|Psychology</t>
  </si>
  <si>
    <t>The Work of Global Justice : Human Rights as Practices</t>
  </si>
  <si>
    <t>Working Therapeutically With Families</t>
  </si>
  <si>
    <t>Working With Core Emotion</t>
  </si>
  <si>
    <t>Working With Current and Historical Trauma</t>
  </si>
  <si>
    <t>Working With Families</t>
  </si>
  <si>
    <t>Working With Gay and Lesbian People of Color</t>
  </si>
  <si>
    <t>Working With Older People</t>
  </si>
  <si>
    <t>1366-3666</t>
  </si>
  <si>
    <t>2042-8790</t>
  </si>
  <si>
    <t>Gerontology And Geriatrics|Social Services And Welfare</t>
  </si>
  <si>
    <t>World Psychiatry</t>
  </si>
  <si>
    <t>1723-8617</t>
  </si>
  <si>
    <t>2051-5545</t>
  </si>
  <si>
    <t>Written Communication</t>
  </si>
  <si>
    <t>0741-0883</t>
  </si>
  <si>
    <t>1552-8472</t>
  </si>
  <si>
    <t>Communications|Literature</t>
  </si>
  <si>
    <t>Young Consumers</t>
  </si>
  <si>
    <t>1747-3616</t>
  </si>
  <si>
    <t>1758-7212</t>
  </si>
  <si>
    <t>Youth Violence and Juvenile Justice</t>
  </si>
  <si>
    <t>1541-2040</t>
  </si>
  <si>
    <t>1556-9330</t>
  </si>
  <si>
    <t>Children And Youth - About|Criminology And Law Enforcement</t>
  </si>
  <si>
    <t>Youth and Society</t>
  </si>
  <si>
    <t>0044-118X</t>
  </si>
  <si>
    <t>1552-8499</t>
  </si>
  <si>
    <t>Children And Youth - About|Political Science|Sociology</t>
  </si>
  <si>
    <t>Zeig, Tucker &amp; Theisen Videos</t>
  </si>
  <si>
    <t>Zeitschrift Führung + Organisation</t>
  </si>
  <si>
    <t>Schaeffer Poeschel Verlag</t>
  </si>
  <si>
    <t>0722-7485</t>
  </si>
  <si>
    <t>Zeitschrift für Evaluation</t>
  </si>
  <si>
    <t>Waxmann Verlag GmbH</t>
  </si>
  <si>
    <t>1619-5515</t>
  </si>
  <si>
    <t>Zeitschrift für Soziologie</t>
  </si>
  <si>
    <t>0340-1804</t>
  </si>
  <si>
    <t>2366-0325</t>
  </si>
  <si>
    <t>Zeitschrift fur Sportpsychologie</t>
  </si>
  <si>
    <t>Hogrefe Verlag</t>
  </si>
  <si>
    <t>1612-5010</t>
  </si>
  <si>
    <t>2190-6300</t>
  </si>
  <si>
    <t>Zygon</t>
  </si>
  <si>
    <t>0591-2385</t>
  </si>
  <si>
    <t>1467-9744</t>
  </si>
  <si>
    <t>Philosophy|Religions And Theology|Sciences: Comprehensive Works</t>
  </si>
  <si>
    <t>Context Press</t>
  </si>
  <si>
    <t>Guilford Publications</t>
  </si>
  <si>
    <t>Acceptance and Commitment Therapy</t>
  </si>
  <si>
    <t>Australian Academic Press</t>
  </si>
  <si>
    <t>Acceptance and commitment therapy.</t>
  </si>
  <si>
    <t>New Harbinger Publications</t>
  </si>
  <si>
    <t>Stress Disorders, Traumatic, Acute - therapy</t>
  </si>
  <si>
    <t>PSYCHOLOGY / Movements / Behaviorism</t>
  </si>
  <si>
    <t>Action, Emotion and Will</t>
  </si>
  <si>
    <t>Acute and Transient Psychoses</t>
  </si>
  <si>
    <t>Psychoses</t>
  </si>
  <si>
    <t>SAGE Publications, Limited</t>
  </si>
  <si>
    <t>Psychiatric nursing</t>
  </si>
  <si>
    <t>Diversity in the workplace</t>
  </si>
  <si>
    <t>Developmental psychology</t>
  </si>
  <si>
    <t>SAGE Publications, Incorporated</t>
  </si>
  <si>
    <t>Addictions</t>
  </si>
  <si>
    <t>Addictive States of Mind</t>
  </si>
  <si>
    <t>Attention-deficit hyperactivity disorder</t>
  </si>
  <si>
    <t>Attention-deficit hyperactivity disorder -- Treatment -- Finance.</t>
  </si>
  <si>
    <t>Specialty Press/A.D.D. Warehouse</t>
  </si>
  <si>
    <t>Abortion</t>
  </si>
  <si>
    <t>Adolescent Boy's Literate Identity</t>
  </si>
  <si>
    <t>Emerald Publishing Limited</t>
  </si>
  <si>
    <t>Adolescent Breakdown and Beyond</t>
  </si>
  <si>
    <t>Adolescent psychopathology</t>
  </si>
  <si>
    <t>Adolescence - Counseling of</t>
  </si>
  <si>
    <t>The Adolescent Experience</t>
  </si>
  <si>
    <t>Elsevier Science &amp; Technology</t>
  </si>
  <si>
    <t>Adolescent psychology</t>
  </si>
  <si>
    <t>Health and hygiene</t>
  </si>
  <si>
    <t>Adolescent Problems</t>
  </si>
  <si>
    <t>De Gruyter, Inc.</t>
  </si>
  <si>
    <t>Adolescent Psychology Around the World</t>
  </si>
  <si>
    <t>Adolescent psychology -- Textbooks.</t>
  </si>
  <si>
    <t>Sleep disorders in children</t>
  </si>
  <si>
    <t>The Adolescent with Developmental Co-Ordination Disorder (DCD)</t>
  </si>
  <si>
    <t>Play Therapy</t>
  </si>
  <si>
    <t>Advanced Research Methods in Psychology</t>
  </si>
  <si>
    <t>Methodology</t>
  </si>
  <si>
    <t>Advances in Group Processes</t>
  </si>
  <si>
    <t>Advances in Intergroup Contact</t>
  </si>
  <si>
    <t>Intergroup relations</t>
  </si>
  <si>
    <t>Advances in the Neuroscience of Addiction</t>
  </si>
  <si>
    <t>Advances in Organisational Psychology</t>
  </si>
  <si>
    <t>Advances in Social Work Practice with the Military</t>
  </si>
  <si>
    <t>Soldiers - Mental health services - United States</t>
  </si>
  <si>
    <t>Employment tests</t>
  </si>
  <si>
    <t>Adversity, Stress, and Psychopathology</t>
  </si>
  <si>
    <t>Emotions and cognition</t>
  </si>
  <si>
    <t>Affirmative Psychotherapy and Counseling for Lesbians and Gay Men</t>
  </si>
  <si>
    <t>African American Grief</t>
  </si>
  <si>
    <t>University of Minnesota Press</t>
  </si>
  <si>
    <t>Berghahn Books, Incorporated</t>
  </si>
  <si>
    <t>University of NSW Press</t>
  </si>
  <si>
    <t>Bloomsbury Academic &amp; Professional</t>
  </si>
  <si>
    <t>Depression, Mental - History.</t>
  </si>
  <si>
    <t>Ageing and Spirituality Across Faiths and Cultures</t>
  </si>
  <si>
    <t>McGraw-Hill Education</t>
  </si>
  <si>
    <t>Aggressiveness -- Congresses.</t>
  </si>
  <si>
    <t>Aggression and Violence in Adolescence</t>
  </si>
  <si>
    <t>Aggressiveness in adolescence</t>
  </si>
  <si>
    <t>Aging and Quality of Life</t>
  </si>
  <si>
    <t>Older consumers</t>
  </si>
  <si>
    <t>The Aging Intellect</t>
  </si>
  <si>
    <t>Aging, Society, and the Life Course</t>
  </si>
  <si>
    <t>Albert Ellis Live!</t>
  </si>
  <si>
    <t>Rational emotive behavior therapy</t>
  </si>
  <si>
    <t>The Alchemy of Wolves and Sheep: a Relational Approach to Internalized Perpetration in Complex Trauma Survivors</t>
  </si>
  <si>
    <t>Alcohol Problems in the Community</t>
  </si>
  <si>
    <t>Health status indicators</t>
  </si>
  <si>
    <t>Alcohol Use among Adolescents</t>
  </si>
  <si>
    <t>Social aspects</t>
  </si>
  <si>
    <t>Alfred Adler Revisited</t>
  </si>
  <si>
    <t>Adler, Alfred</t>
  </si>
  <si>
    <t>Alice Stories</t>
  </si>
  <si>
    <t>Families -- Fiction.</t>
  </si>
  <si>
    <t>Sibling attachment</t>
  </si>
  <si>
    <t>Amsterdam University Press</t>
  </si>
  <si>
    <t>Altruism</t>
  </si>
  <si>
    <t>Alzheimer's and Other Dementias</t>
  </si>
  <si>
    <t>Dementia</t>
  </si>
  <si>
    <t>Am I Crazy, or Is It My Shrink?</t>
  </si>
  <si>
    <t>Popular works</t>
  </si>
  <si>
    <t>Scully, John</t>
  </si>
  <si>
    <t>Spiritual healing - Shamanism</t>
  </si>
  <si>
    <t>Amnesia - physiopathology</t>
  </si>
  <si>
    <t>The Analysand's Tale</t>
  </si>
  <si>
    <t>Group identity</t>
  </si>
  <si>
    <t>The Analysis of Mind</t>
  </si>
  <si>
    <t>Psychology.</t>
  </si>
  <si>
    <t>Psychiatric clinics - Sociological aspects</t>
  </si>
  <si>
    <t>The Analyst's Analyst Within</t>
  </si>
  <si>
    <t>Psychoanalysts - Psychology</t>
  </si>
  <si>
    <t>The Analytic Attitude</t>
  </si>
  <si>
    <t>Psychoanalysis.</t>
  </si>
  <si>
    <t>Analytical Psychology</t>
  </si>
  <si>
    <t>Jungian psychology</t>
  </si>
  <si>
    <t>Princeton University Press</t>
  </si>
  <si>
    <t>Race</t>
  </si>
  <si>
    <t>The Analyzing Situation</t>
  </si>
  <si>
    <t>Anatomy of Judgment</t>
  </si>
  <si>
    <t>Universitat Bar-Ilan</t>
  </si>
  <si>
    <t>Anger Management</t>
  </si>
  <si>
    <t>Anger Management Games for Children</t>
  </si>
  <si>
    <t>Animal-Assisted Interventions for Individuals with Autism</t>
  </si>
  <si>
    <t>Animal Encounters</t>
  </si>
  <si>
    <t>Animal-assisted therapy</t>
  </si>
  <si>
    <t>Child analysis</t>
  </si>
  <si>
    <t>Anna Freud, Melanie Klein, and the Psychoanalysis of Children and Adolescents</t>
  </si>
  <si>
    <t>Child analysis.</t>
  </si>
  <si>
    <t>Europe</t>
  </si>
  <si>
    <t>The Anorexic Mind</t>
  </si>
  <si>
    <t>New York University Press</t>
  </si>
  <si>
    <t>Anthropology and the Cognitive Challenge</t>
  </si>
  <si>
    <t>Anxiety</t>
  </si>
  <si>
    <t>Anxiety and Neurosis</t>
  </si>
  <si>
    <t>Anxiety, Depression, and Emotion</t>
  </si>
  <si>
    <t>Anxiety Disorders</t>
  </si>
  <si>
    <t>Anxiety -- Treatment.</t>
  </si>
  <si>
    <t>Speech therapy</t>
  </si>
  <si>
    <t>Indiana University Press</t>
  </si>
  <si>
    <t>Applied Metacognition</t>
  </si>
  <si>
    <t>Metacognition -- Congresses.</t>
  </si>
  <si>
    <t>Clinical neuropsychology</t>
  </si>
  <si>
    <t>Adolescent psychology - Research</t>
  </si>
  <si>
    <t>Applied Social Psychology</t>
  </si>
  <si>
    <t>Social psychology</t>
  </si>
  <si>
    <t>Approaches to Positive Youth Development</t>
  </si>
  <si>
    <t>Youth - Services for</t>
  </si>
  <si>
    <t>The Approved Mental Health Professionals Guide to Psychiatry and Medication</t>
  </si>
  <si>
    <t>Georgetown University Press</t>
  </si>
  <si>
    <t>The Archaeological Imagination</t>
  </si>
  <si>
    <t>Archaeology - Social aspects</t>
  </si>
  <si>
    <t>Attachment behavior.</t>
  </si>
  <si>
    <t>Architecture of Thought</t>
  </si>
  <si>
    <t>Art and Psychoanalysis</t>
  </si>
  <si>
    <t>Psychoanalysis and art.</t>
  </si>
  <si>
    <t>Art, Creativity, Living</t>
  </si>
  <si>
    <t>Creative ability</t>
  </si>
  <si>
    <t>Art therapy</t>
  </si>
  <si>
    <t>The Art of Counselling and Psychotherapy</t>
  </si>
  <si>
    <t>Algora Publishing</t>
  </si>
  <si>
    <t>The Art of Solution Focused Therapy</t>
  </si>
  <si>
    <t>Art of Suicide</t>
  </si>
  <si>
    <t>Reaktion Books, Limited</t>
  </si>
  <si>
    <t>Prisoners - Mental health services</t>
  </si>
  <si>
    <t>Art, Psychotherapy and Psychosis</t>
  </si>
  <si>
    <t>Treatment</t>
  </si>
  <si>
    <t>Art Therapy and Anger</t>
  </si>
  <si>
    <t>Art Therapy and Clinical Neuroscience</t>
  </si>
  <si>
    <t>Art Therapy and Health Care</t>
  </si>
  <si>
    <t>Group psychotherapy</t>
  </si>
  <si>
    <t>Art Therapy, Research and Evidence-Based Practice</t>
  </si>
  <si>
    <t>Art therapy - Research</t>
  </si>
  <si>
    <t>Artists - Psychology</t>
  </si>
  <si>
    <t>Nonverbal communication</t>
  </si>
  <si>
    <t>Pan American Health Organization</t>
  </si>
  <si>
    <t>Asparagus Dreams</t>
  </si>
  <si>
    <t>Asperger's syndrome - Patients -</t>
  </si>
  <si>
    <t>An Asperger Marriage</t>
  </si>
  <si>
    <t>Aspergers in Love</t>
  </si>
  <si>
    <t>Testing</t>
  </si>
  <si>
    <t>Mindfulness-based cognitive therapy</t>
  </si>
  <si>
    <t>Assessing Psychological Trauma and PTSD</t>
  </si>
  <si>
    <t>Assessment in Child Psychotherapy</t>
  </si>
  <si>
    <t>Assessment in Neuropsychology</t>
  </si>
  <si>
    <t>Assessment in Psychotherapy</t>
  </si>
  <si>
    <t>Assessment of Eating Disorders</t>
  </si>
  <si>
    <t>Eating disorders -- Diagnosis.</t>
  </si>
  <si>
    <t>Medical care - Needs assessment</t>
  </si>
  <si>
    <t>International Development Research Centre</t>
  </si>
  <si>
    <t>Athletes' Careers Across Cultures</t>
  </si>
  <si>
    <t>Sports - Anthropological aspects</t>
  </si>
  <si>
    <t>An Atlas of Interpersonal Situations</t>
  </si>
  <si>
    <t>Interpersonal communication</t>
  </si>
  <si>
    <t>Attachment</t>
  </si>
  <si>
    <t>Attachment behavior</t>
  </si>
  <si>
    <t>Attachment Across the Life Cycle</t>
  </si>
  <si>
    <t>Attachment and Human Survival</t>
  </si>
  <si>
    <t>Attachment and Sexuality</t>
  </si>
  <si>
    <t>Sexuality - psychology</t>
  </si>
  <si>
    <t>Attachment, Evolution, and the Psychology of Religion</t>
  </si>
  <si>
    <t>Attachment behavior -- Longitudinal studies.</t>
  </si>
  <si>
    <t>Attachment in Sport, Exercise and Wellness</t>
  </si>
  <si>
    <t>Attachment Narrative Therapy</t>
  </si>
  <si>
    <t>Attachment Processes in Couple and Family Therapy</t>
  </si>
  <si>
    <t>Attachment Theory and Research in Clinical Work with Adults</t>
  </si>
  <si>
    <t>Attention</t>
  </si>
  <si>
    <t>Human-machine systems</t>
  </si>
  <si>
    <t>Attention and Implicit Learning</t>
  </si>
  <si>
    <t>John Benjamins Publishing Company</t>
  </si>
  <si>
    <t>Attention and Interpretation</t>
  </si>
  <si>
    <t>Gedeachtnis</t>
  </si>
  <si>
    <t>Emotions and</t>
  </si>
  <si>
    <t>Attitudes and Opinions</t>
  </si>
  <si>
    <t>Attitudes, Personality and Behaviour</t>
  </si>
  <si>
    <t>Außenpolitikanalyse</t>
  </si>
  <si>
    <t>Play in literature.</t>
  </si>
  <si>
    <t>Auditory cortex.</t>
  </si>
  <si>
    <t>Aural Rehabilitation for People with Disabilities</t>
  </si>
  <si>
    <t>Pluralism (Social sciences) - Australia.</t>
  </si>
  <si>
    <t>SOCIAL SCIENCE / Sociology / General</t>
  </si>
  <si>
    <t>Autism and Childhood Psychosis</t>
  </si>
  <si>
    <t>Autism and Loss</t>
  </si>
  <si>
    <t>Greenwood Publishing Group</t>
  </si>
  <si>
    <t>Autism, Brain, and Environment</t>
  </si>
  <si>
    <t>Autism - from Research to Individualized Practice</t>
  </si>
  <si>
    <t>The Autisms</t>
  </si>
  <si>
    <t>Autistic Barriers in Neurotic Patients</t>
  </si>
  <si>
    <t>Autism.</t>
  </si>
  <si>
    <t>Autobiography and the Psychological Study of Religious Lives</t>
  </si>
  <si>
    <t>Autopsy of a Suicidal Mind</t>
  </si>
  <si>
    <t>Awakening and Sleep–Wake Cycle Across Development</t>
  </si>
  <si>
    <t>Awareness</t>
  </si>
  <si>
    <t>Bad Girls of Japan</t>
  </si>
  <si>
    <t>A Basic Theory of Neuropsychoanalysis</t>
  </si>
  <si>
    <t>The Battered Woman Syndrome, Third Edition</t>
  </si>
  <si>
    <t>Transitional objects (Psychology)</t>
  </si>
  <si>
    <t>Becoming Anna</t>
  </si>
  <si>
    <t>Assimilation - United States</t>
  </si>
  <si>
    <t>Community psychology.</t>
  </si>
  <si>
    <t>Becoming a Person Through Psychoanalysis</t>
  </si>
  <si>
    <t>Becoming a Psychologist in Australia</t>
  </si>
  <si>
    <t>Psychologists -- Training of -- Australia.</t>
  </si>
  <si>
    <t>Becoming a Reflexive Researcher - Using Our Selves in Research</t>
  </si>
  <si>
    <t>Forgiveness.</t>
  </si>
  <si>
    <t>Before Homosexuality in the Arab-Islamic World, 1500-1800</t>
  </si>
  <si>
    <t>A Beginners Guide to Training in Counselling and Psychotherapy</t>
  </si>
  <si>
    <t>Psychotherapy</t>
  </si>
  <si>
    <t>The Behavioral and Cognitive Neurology of Stroke</t>
  </si>
  <si>
    <t>Behavioral and Psychopharmacologic Pain Management</t>
  </si>
  <si>
    <t>Behavioral Ecology and the Transition to Agriculture</t>
  </si>
  <si>
    <t>Behavioral Emergencies for the Emergency Physician</t>
  </si>
  <si>
    <t>Behavioral Neurology</t>
  </si>
  <si>
    <t>Neuropsychiatry.</t>
  </si>
  <si>
    <t>Behavioral Neurology and Neuropsychiatry</t>
  </si>
  <si>
    <t>The Behavioral Neurology of White Matter</t>
  </si>
  <si>
    <t>A Behaviorist Looks at Form Recognition</t>
  </si>
  <si>
    <t>IOS Press, Incorporated</t>
  </si>
  <si>
    <t>Temple University Press</t>
  </si>
  <si>
    <t>Behavior therapy.</t>
  </si>
  <si>
    <t>Psychoanalysis</t>
  </si>
  <si>
    <t>Superstition.</t>
  </si>
  <si>
    <t>Toleration</t>
  </si>
  <si>
    <t>Best of Five MCQs for MRCPsych Paper 1</t>
  </si>
  <si>
    <t>Best of Five MCQs for MRCPsych Paper 3</t>
  </si>
  <si>
    <t>Best Practices for Teaching Introduction to Psychology</t>
  </si>
  <si>
    <t>Psychology -- Study and teaching.</t>
  </si>
  <si>
    <t>Bettelheim: Living and Dying</t>
  </si>
  <si>
    <t>Better Mental Health Care</t>
  </si>
  <si>
    <t>Outcome and Process Assessment (Health Care) - methods</t>
  </si>
  <si>
    <t>Child psychology</t>
  </si>
  <si>
    <t>Between Feminism and Psychoanalysis</t>
  </si>
  <si>
    <t>Karnac Books</t>
  </si>
  <si>
    <t>Psychoanalysis -- Poetry.</t>
  </si>
  <si>
    <t>Between One and One Another</t>
  </si>
  <si>
    <t>Winnicott, D. W</t>
  </si>
  <si>
    <t>Psychotherapy.</t>
  </si>
  <si>
    <t>Classroom learning centers - Handbooks, manuals, etc</t>
  </si>
  <si>
    <t>Avoidance (Psychology)</t>
  </si>
  <si>
    <t>Iraq War, 2003-2011 - Psychological aspects</t>
  </si>
  <si>
    <t>Latin Americans - Services for - United States</t>
  </si>
  <si>
    <t>Bulimia - therapy</t>
  </si>
  <si>
    <t>Biography and Turning Points in Europe and America</t>
  </si>
  <si>
    <t>Drug addiction - Treatment</t>
  </si>
  <si>
    <t>Biology of Personality and Individual Differences</t>
  </si>
  <si>
    <t>Bion's Legacy to Groups</t>
  </si>
  <si>
    <t>Bion, Wilfred R. ]q (Wilfred Ruprecht) - Criticism and interpretation</t>
  </si>
  <si>
    <t>Biopsychosocial Regulatory Processes in the Development of Childhood Behavioral Problems</t>
  </si>
  <si>
    <t>Behavior Control</t>
  </si>
  <si>
    <t>Electronic &amp; Database Publishing, Inc.</t>
  </si>
  <si>
    <t>Manic-depressive illness.</t>
  </si>
  <si>
    <t>Hypomania - Treatment</t>
  </si>
  <si>
    <t>Diagnostic Errors - trends</t>
  </si>
  <si>
    <t>Manic-depressive illness in adolescence -- Popular works.</t>
  </si>
  <si>
    <t>African American fathers.</t>
  </si>
  <si>
    <t>Psychology, Religious - History</t>
  </si>
  <si>
    <t>Coming of age - Social aspects - United States</t>
  </si>
  <si>
    <t>Shame.</t>
  </si>
  <si>
    <t>Clinical neuropsychology -- Certification -- Study guides.</t>
  </si>
  <si>
    <t>Bodily Communication</t>
  </si>
  <si>
    <t>Body language.</t>
  </si>
  <si>
    <t>The Body and Everyday Life</t>
  </si>
  <si>
    <t>Human body in popular culture</t>
  </si>
  <si>
    <t>The Body and Psychology</t>
  </si>
  <si>
    <t>Body Landscape Journals</t>
  </si>
  <si>
    <t>Spinifex Press</t>
  </si>
  <si>
    <t>Social interaction</t>
  </si>
  <si>
    <t>The Body of the Organisation and Its Health</t>
  </si>
  <si>
    <t>Body image disturbance--Treatment.</t>
  </si>
  <si>
    <t>Body Psychotherapy</t>
  </si>
  <si>
    <t>Body image in women</t>
  </si>
  <si>
    <t>Civilization, Medieval - Psychological aspects</t>
  </si>
  <si>
    <t>Borderline Personality Disorder</t>
  </si>
  <si>
    <t>Bothered by Alligators</t>
  </si>
  <si>
    <t>Milner, Marion Blackett - Family</t>
  </si>
  <si>
    <t>Brain, Mind, and Developmental Psychopathology in Childhood</t>
  </si>
  <si>
    <t>Neuropsychology</t>
  </si>
  <si>
    <t>Berrett-Koehler Publishers, Incorporated</t>
  </si>
  <si>
    <t>Breakdown of Will</t>
  </si>
  <si>
    <t>Will</t>
  </si>
  <si>
    <t>Group decision making.</t>
  </si>
  <si>
    <t>Breast Cancer</t>
  </si>
  <si>
    <t>University of Queensland Press</t>
  </si>
  <si>
    <t>Creative ability.</t>
  </si>
  <si>
    <t>Short-term counseling.</t>
  </si>
  <si>
    <t>Marital psychotherapy.</t>
  </si>
  <si>
    <t>Brief Gestalt Therapy</t>
  </si>
  <si>
    <t>Gestalt therapy</t>
  </si>
  <si>
    <t>Brief NLP Therapy</t>
  </si>
  <si>
    <t>Neurolinguistic programming</t>
  </si>
  <si>
    <t>Brief Person-Centred Therapies</t>
  </si>
  <si>
    <t>Client-centered psychotherapy</t>
  </si>
  <si>
    <t>University of North Carolina Press</t>
  </si>
  <si>
    <t>Systemic therapy (Family therapy)</t>
  </si>
  <si>
    <t>Attitude (Psychology)</t>
  </si>
  <si>
    <t>Great Britain</t>
  </si>
  <si>
    <t>Antisocial personality disorders.</t>
  </si>
  <si>
    <t>Refugees - Rehabilitation.</t>
  </si>
  <si>
    <t>Self.</t>
  </si>
  <si>
    <t>Building Object Categories in Developmental Time</t>
  </si>
  <si>
    <t>Categorization (Psychology) in children -- Congresses.</t>
  </si>
  <si>
    <t>Building Self-Esteem with Adult Learners</t>
  </si>
  <si>
    <t>Psychological aspects</t>
  </si>
  <si>
    <t>Bulimia Nervosa</t>
  </si>
  <si>
    <t>Bulimics on Bulimia</t>
  </si>
  <si>
    <t>Bullying</t>
  </si>
  <si>
    <t>Prevention</t>
  </si>
  <si>
    <t>Willan Publishing</t>
  </si>
  <si>
    <t>Bullying in Different Contexts</t>
  </si>
  <si>
    <t>Obsessive-compulsive disorder.</t>
  </si>
  <si>
    <t>Berd'iaev, Nikolai</t>
  </si>
  <si>
    <t>The Cambridge Handbook of Human Affective Neuroscience</t>
  </si>
  <si>
    <t>The Cambridge Handbook of Intelligence</t>
  </si>
  <si>
    <t>The Cambridge Handbook of Psycholinguistics</t>
  </si>
  <si>
    <t>The Cambridge Handbook of Violent Behavior and Aggression</t>
  </si>
  <si>
    <t>Violence</t>
  </si>
  <si>
    <t>Cambridge Textbook of Effective Treatments in Psychiatry</t>
  </si>
  <si>
    <t>Mental illness - Treatment</t>
  </si>
  <si>
    <t>Family relationships</t>
  </si>
  <si>
    <t>Bloomsbury Publishing Plc</t>
  </si>
  <si>
    <t>Carl Gustav Jung</t>
  </si>
  <si>
    <t>Carl Jung, Darwin of the Mind</t>
  </si>
  <si>
    <t>Rogers, Carl R</t>
  </si>
  <si>
    <t>Case Material and Role Play in Counselling Training</t>
  </si>
  <si>
    <t>Clinical psychology--Case studies.</t>
  </si>
  <si>
    <t>Couples therapy - Case studies</t>
  </si>
  <si>
    <t>A Casebook of Cognitive Therapy for Traumatic Stress Reactions</t>
  </si>
  <si>
    <t>Cognitive Therapy - methods</t>
  </si>
  <si>
    <t>A Casebook of Ethical Challenges in Neuropsychology</t>
  </si>
  <si>
    <t>CRC Press LLC</t>
  </si>
  <si>
    <t>Psychoanalysis -- History.</t>
  </si>
  <si>
    <t>Catch Them Before They Fall: the Psychoanalysis of Breakdown</t>
  </si>
  <si>
    <t>Mental health consultation</t>
  </si>
  <si>
    <t>Categorization in Social Psychology</t>
  </si>
  <si>
    <t>Categorization (Psychology)</t>
  </si>
  <si>
    <t>Categorization of Spatial Entities in Language and Cognition</t>
  </si>
  <si>
    <t>Causes and Consequences of Feelings</t>
  </si>
  <si>
    <t>Emotions</t>
  </si>
  <si>
    <t>Hallucinations - therapy</t>
  </si>
  <si>
    <t>Celibacy - Catholic church</t>
  </si>
  <si>
    <t>Work - psychology</t>
  </si>
  <si>
    <t>The Challenge of Attachment for Caregiving</t>
  </si>
  <si>
    <t>Challenges to Practice</t>
  </si>
  <si>
    <t>Challenging Ideas in Psychiatric Nursing</t>
  </si>
  <si>
    <t>Change (Psychology)</t>
  </si>
  <si>
    <t>Psychoanalysis - methods</t>
  </si>
  <si>
    <t>Mother and infant</t>
  </si>
  <si>
    <t>Habit breaking</t>
  </si>
  <si>
    <t>Changing Adolescence</t>
  </si>
  <si>
    <t>Adolescence--Forecasting</t>
  </si>
  <si>
    <t>Family counseling</t>
  </si>
  <si>
    <t>Changing Conceptions of Psychological Life</t>
  </si>
  <si>
    <t>Self -- Congresses.</t>
  </si>
  <si>
    <t>Changing Emotions</t>
  </si>
  <si>
    <t>The Changing Portrayal of Adolescents in the Media Since 1950</t>
  </si>
  <si>
    <t>Changing Roles for a New Psychotherapy</t>
  </si>
  <si>
    <t>PSYCHOLOGY / Psychotherapy / Counseling</t>
  </si>
  <si>
    <t>Child Analysis Today</t>
  </si>
  <si>
    <t>Family assessment</t>
  </si>
  <si>
    <t>Anxiety in children.</t>
  </si>
  <si>
    <t>Observation (Psychology)</t>
  </si>
  <si>
    <t>Child Psychotherapist and Problems of Young People</t>
  </si>
  <si>
    <t>Parent and child</t>
  </si>
  <si>
    <t>Child Social Work Policy and Practice</t>
  </si>
  <si>
    <t>Child care - Government policy - Great Britain</t>
  </si>
  <si>
    <t>Child Survivors of the Holocaust</t>
  </si>
  <si>
    <t>Nature, Healing power of</t>
  </si>
  <si>
    <t>Psychoses in children.</t>
  </si>
  <si>
    <t>Attitudes</t>
  </si>
  <si>
    <t>Childhood, Well-Being and a Therapeutic Ethos</t>
  </si>
  <si>
    <t>Children and Armed Conflict</t>
  </si>
  <si>
    <t>Cambridge Scholars Publishing</t>
  </si>
  <si>
    <t>Springer New York</t>
  </si>
  <si>
    <t>Child psychopathology</t>
  </si>
  <si>
    <t>Divorce - United States</t>
  </si>
  <si>
    <t>Children with social disabilities - United States</t>
  </si>
  <si>
    <t>Children, Politics and Communication</t>
  </si>
  <si>
    <t>Children's Unspoken Language</t>
  </si>
  <si>
    <t>Bereavement in adolescence</t>
  </si>
  <si>
    <t>Gender identity disorders in children - Moral and ethical aspects</t>
  </si>
  <si>
    <t>Children's and Families' Holiday Experience</t>
  </si>
  <si>
    <t>Children's dreams</t>
  </si>
  <si>
    <t>Children's Mathematical Thinking in Primary Years</t>
  </si>
  <si>
    <t>Childrens Perspectives on Domestic Violence</t>
  </si>
  <si>
    <t>Child abuse</t>
  </si>
  <si>
    <t>Children's Understanding of Society</t>
  </si>
  <si>
    <t>The CHILD's CONCEPTION of Physical CAUSALITY</t>
  </si>
  <si>
    <t>The Child's Creation of a Pictorial World</t>
  </si>
  <si>
    <t>Children's drawings -- Psychological aspects.</t>
  </si>
  <si>
    <t>Gay men - China - Identity</t>
  </si>
  <si>
    <t>The Christopher Bollas Reader</t>
  </si>
  <si>
    <t>Subconsciousness</t>
  </si>
  <si>
    <t>Israel - Politics and government - Psychological aspects</t>
  </si>
  <si>
    <t>Classic Papers in Glaucoma</t>
  </si>
  <si>
    <t>Client Assessment</t>
  </si>
  <si>
    <t>Counseling</t>
  </si>
  <si>
    <t>The Clinical Application of the Theory of Psychoanalysis</t>
  </si>
  <si>
    <t>Clinical Applications of the Adult Attachment Interview</t>
  </si>
  <si>
    <t>Clinical Applications of the Personality Assessment Inventory</t>
  </si>
  <si>
    <t>Personality Assessment Inventory</t>
  </si>
  <si>
    <t>Clinical Assessment and Diagnosis in Social Work Practice</t>
  </si>
  <si>
    <t>Clinical Assessment, Computerized Methods, and Instrumentation</t>
  </si>
  <si>
    <t>Medical audit - Great Britain</t>
  </si>
  <si>
    <t>A Clinical Guide to Transcranial Magnetic Stimulation</t>
  </si>
  <si>
    <t>Clinical Handbook of Schizophrenia</t>
  </si>
  <si>
    <t>Schizophrenia</t>
  </si>
  <si>
    <t>Clinical Interpretation of the WAIS-III and WMS-III</t>
  </si>
  <si>
    <t>Wechsler Adult Intelligence Scale</t>
  </si>
  <si>
    <t>Clinical Lectures on Klein and Bion</t>
  </si>
  <si>
    <t>Clinical Neuropsychological Foundations of Schizophrenia</t>
  </si>
  <si>
    <t>Clinical Neuropsychology of Emotion</t>
  </si>
  <si>
    <t>Clinical Neuropsychology Study Guide and Board Review</t>
  </si>
  <si>
    <t>Clinical Papers and Essays on Psychoanalysis</t>
  </si>
  <si>
    <t>Clinical Practice and the Architecture of the Mind</t>
  </si>
  <si>
    <t>Epilepsy</t>
  </si>
  <si>
    <t>Clinical Seminars and Other Works</t>
  </si>
  <si>
    <t>Clinical Strategies for Becoming a Master Psychotherapist</t>
  </si>
  <si>
    <t>Neurobehavioral disorders.</t>
  </si>
  <si>
    <t>The Clinical Thinking of Wilfred Bion</t>
  </si>
  <si>
    <t>Emotions.</t>
  </si>
  <si>
    <t>M&amp;K Update Ltd</t>
  </si>
  <si>
    <t>Attention-deficit disorder in adults</t>
  </si>
  <si>
    <t>A Clinician's Guide to Binge Eating Disorder</t>
  </si>
  <si>
    <t>Compulsive eating - Psychological aspects</t>
  </si>
  <si>
    <t>Eating Disorders - therapy</t>
  </si>
  <si>
    <t>A Clinician's Guide to Normal Cognitive Development in Childhood</t>
  </si>
  <si>
    <t>Cognition in children</t>
  </si>
  <si>
    <t>A Clinician's Guide to Psychodrama</t>
  </si>
  <si>
    <t>Psychiatry - Statistical methods</t>
  </si>
  <si>
    <t>Clinician's Guide to Violence Risk Assessment</t>
  </si>
  <si>
    <t>Clinician's Handbook of Adult Behavioral Assessment</t>
  </si>
  <si>
    <t>Clinician's Handbook of Child Behavioral Assessment</t>
  </si>
  <si>
    <t>Clinician's Quick Guide to Interpersonal Psychotherapy</t>
  </si>
  <si>
    <t>Interpersonal psychotherapy.</t>
  </si>
  <si>
    <t>Close Relationships</t>
  </si>
  <si>
    <t>Intimacy (Psychology)</t>
  </si>
  <si>
    <t>Cluttering (Speech pathology)</t>
  </si>
  <si>
    <t>Coaching with Meaning and Spirituality</t>
  </si>
  <si>
    <t>Personal coaching</t>
  </si>
  <si>
    <t>Cocaine</t>
  </si>
  <si>
    <t>Cocaine industry</t>
  </si>
  <si>
    <t>Family psychotherapy.</t>
  </si>
  <si>
    <t>Re-evaluation counseling.</t>
  </si>
  <si>
    <t>Cogitations</t>
  </si>
  <si>
    <t>Criminal psychology.</t>
  </si>
  <si>
    <t>Cognitive therapy.</t>
  </si>
  <si>
    <t>Adaptation (Physiology)</t>
  </si>
  <si>
    <t>Cognitive and Behavioral Theories in Clinical Practice</t>
  </si>
  <si>
    <t>Cognitive therapy</t>
  </si>
  <si>
    <t>Cognitive Behavior Therapy in Nursing Practice</t>
  </si>
  <si>
    <t>PSYCHOLOGY / Psychotherapy / Child &amp; Adolescent</t>
  </si>
  <si>
    <t>Cognitive Behaviour Therapy for Children and Families</t>
  </si>
  <si>
    <t>Cognitive Behavioural Approaches to the Understanding and Treatment of Dissociation</t>
  </si>
  <si>
    <t>PSYCHOLOGY / Psychopathology / Post-Traumatic Stress Disorder (PTSD)</t>
  </si>
  <si>
    <t>Compulsive gamblers - Rehabilitation</t>
  </si>
  <si>
    <t>Cognitive Development</t>
  </si>
  <si>
    <t>Cognitive Models of Science</t>
  </si>
  <si>
    <t>Cognitive Neuroscience of Emotion</t>
  </si>
  <si>
    <t>Cognitive Perspectives on Peer Learning</t>
  </si>
  <si>
    <t>The Cognitive Psychology of Planning</t>
  </si>
  <si>
    <t>The Cognitive Psychology of Proper Names</t>
  </si>
  <si>
    <t>Cognitive science</t>
  </si>
  <si>
    <t>Cognitive Systems - Information Processing Meets Brain Science</t>
  </si>
  <si>
    <t>Cognitive Therapy and Dreams</t>
  </si>
  <si>
    <t>Cognitive Therapy for Adolescents in School Settings</t>
  </si>
  <si>
    <t>Cognitive-Behavioral Stress Management for Prostate Cancer Recovery Facilitator Guide</t>
  </si>
  <si>
    <t>Cognitive-Behavioral Stress Management for Prostate Cancer Recovery Workbook</t>
  </si>
  <si>
    <t>Cognitive-Behavioral Therapies for Trauma, Second Edition</t>
  </si>
  <si>
    <t>A Collaborative Approach to Eating Disorders</t>
  </si>
  <si>
    <t>Eating Disorders - psychology</t>
  </si>
  <si>
    <t>Collaborative Autoethnography</t>
  </si>
  <si>
    <t>Ethnology - Research</t>
  </si>
  <si>
    <t>Collaborative Brief Therapy with Children</t>
  </si>
  <si>
    <t>Music -- Performance.</t>
  </si>
  <si>
    <t>College Drinking and Drug Use</t>
  </si>
  <si>
    <t>Colour and Colour Theories</t>
  </si>
  <si>
    <t>Veterans - psychology</t>
  </si>
  <si>
    <t>Childbirth -- Psychological aspects.</t>
  </si>
  <si>
    <t>Work - Psychological aspects</t>
  </si>
  <si>
    <t>Common Dilemmas in Couple Therapy</t>
  </si>
  <si>
    <t>Treatment Refusal</t>
  </si>
  <si>
    <t>Communities, Identities and Crime</t>
  </si>
  <si>
    <t>Community Interventions and AIDS</t>
  </si>
  <si>
    <t>Companion to an Untold Story</t>
  </si>
  <si>
    <t>University of Georgia Press</t>
  </si>
  <si>
    <t>Comparative Methods in Psychology</t>
  </si>
  <si>
    <t>Comparative Treatments for Borderline Personality Disorder</t>
  </si>
  <si>
    <t>Grief therapy</t>
  </si>
  <si>
    <t>Drug abuse</t>
  </si>
  <si>
    <t>Comprehensive Dictionary of Psychoanalysis</t>
  </si>
  <si>
    <t>Psychoanalysis -- Dictionaries.</t>
  </si>
  <si>
    <t>A Comprehensive Guide to Child Custody Evaluations: Mental Health and Legal Perspectives</t>
  </si>
  <si>
    <t>Anemia, Sickle Cell - psychology</t>
  </si>
  <si>
    <t>Comprehensive Textbook of AIDS Psychiatry</t>
  </si>
  <si>
    <t>Conceptualizing and Measuring Father Involvement</t>
  </si>
  <si>
    <t>Sex - California - Los Angeles - History</t>
  </si>
  <si>
    <t>Negotiation</t>
  </si>
  <si>
    <t>Conflict management</t>
  </si>
  <si>
    <t>Nurturing behavior - Political aspects</t>
  </si>
  <si>
    <t>Congratulations! It's Asperger Syndrome</t>
  </si>
  <si>
    <t>Texas A&amp;M University Press</t>
  </si>
  <si>
    <t>Connectionist Models in Cognitive Psychology</t>
  </si>
  <si>
    <t>Consanguinity in Context</t>
  </si>
  <si>
    <t>Conscience and Conscientious Objections</t>
  </si>
  <si>
    <t>Consciousness.</t>
  </si>
  <si>
    <t>Consciousness, Emotional Self-Regulation and the Brain</t>
  </si>
  <si>
    <t>Constructing and Deconstructing Woman's Power</t>
  </si>
  <si>
    <t>Women -- Psychology.</t>
  </si>
  <si>
    <t>Identity (Psychology)</t>
  </si>
  <si>
    <t>Constructive Work with Offenders</t>
  </si>
  <si>
    <t>The Constructivist Credo</t>
  </si>
  <si>
    <t>Personal Construct Theory</t>
  </si>
  <si>
    <t>Consultations in Dynamic Psychotherapy</t>
  </si>
  <si>
    <t>Contact with the Depths</t>
  </si>
  <si>
    <t>Contemporary Identities of Creativity and Creative Work</t>
  </si>
  <si>
    <t>Couples - Counseling of</t>
  </si>
  <si>
    <t>Contemporary Jungian Clinical Practice</t>
  </si>
  <si>
    <t>Jungian psychology.</t>
  </si>
  <si>
    <t>Behavioral Symptoms - physiopathology</t>
  </si>
  <si>
    <t>Attitude (Psychology) -- Congresses.</t>
  </si>
  <si>
    <t>PSYCHOLOGY / Mental Health</t>
  </si>
  <si>
    <t>Memory - Political aspects.</t>
  </si>
  <si>
    <t>Contested Spaces of Nobility in Early Modern Europe</t>
  </si>
  <si>
    <t>Behaviorism (Psychology)</t>
  </si>
  <si>
    <t>Contextualization of Language</t>
  </si>
  <si>
    <t>Contingency Management in Substance Abuse Treatment</t>
  </si>
  <si>
    <t>Controversies and Subjectivity</t>
  </si>
  <si>
    <t>Controversies in Analytical Psychology</t>
  </si>
  <si>
    <t>Controversies in Psychology</t>
  </si>
  <si>
    <t>Moral and ethical aspects</t>
  </si>
  <si>
    <t>Controversies in Psychotherapy and Counselling</t>
  </si>
  <si>
    <t>Chicago Review Press</t>
  </si>
  <si>
    <t>Conversations about Psychology and Sexual Orientation</t>
  </si>
  <si>
    <t>Conversations with Landscape</t>
  </si>
  <si>
    <t>Conversations with Michael Eigen</t>
  </si>
  <si>
    <t>Participant observation</t>
  </si>
  <si>
    <t>Adjustment (Psychology)</t>
  </si>
  <si>
    <t>Sick - Psychology</t>
  </si>
  <si>
    <t>Athletes - Psychology</t>
  </si>
  <si>
    <t>Coping, Health and Organizations</t>
  </si>
  <si>
    <t>Coping Skills Manual for Treating Chronic and Terminal Illness</t>
  </si>
  <si>
    <t>Coping Skills Therapy for Managing Chronic and Terminal Illness</t>
  </si>
  <si>
    <t>Coping with Aging</t>
  </si>
  <si>
    <t>Child psychotherapy - Parent participation</t>
  </si>
  <si>
    <t>Counseling Individuals with Life Threatening Illness</t>
  </si>
  <si>
    <t>Counseling Individuals with Life-Threatening Illness</t>
  </si>
  <si>
    <t>Counseling Kids</t>
  </si>
  <si>
    <t>Minorities - Counseling of - United States</t>
  </si>
  <si>
    <t>Counseling Multiracial Families</t>
  </si>
  <si>
    <t>Interracial adoption</t>
  </si>
  <si>
    <t>Counseling - Religious aspects - Islam</t>
  </si>
  <si>
    <t>Counseling Older Adults</t>
  </si>
  <si>
    <t>Older people - Counseling of</t>
  </si>
  <si>
    <t>Counseling Psychology and Optimal Human Functioning</t>
  </si>
  <si>
    <t>Counseling psychology.</t>
  </si>
  <si>
    <t>The Counseling Skills Practice Manual</t>
  </si>
  <si>
    <t>Counseling Survivors of Childhood Sexual Abuse (US ONLY)</t>
  </si>
  <si>
    <t>Counselling and the Life Course</t>
  </si>
  <si>
    <t>Counselling and Psychotherapy in Private Practice</t>
  </si>
  <si>
    <t>Psychotherapists' offices</t>
  </si>
  <si>
    <t>Counselling and Psychotherapy with Refugees</t>
  </si>
  <si>
    <t>Counselling and Supporting Children in Distress</t>
  </si>
  <si>
    <t>Distress (Psychology)</t>
  </si>
  <si>
    <t>Hotlines (Counseling) - Great Britain</t>
  </si>
  <si>
    <t>Family psychotherapy</t>
  </si>
  <si>
    <t>Counselling for Anxiety Problems</t>
  </si>
  <si>
    <t>Counselling for Asperger Couples</t>
  </si>
  <si>
    <t>Counselling for Post-Traumatic Stress Disorder</t>
  </si>
  <si>
    <t>Post-traumatic stress disorder - Patients - Counseling of</t>
  </si>
  <si>
    <t>Counselling for Stress Problems</t>
  </si>
  <si>
    <t>Stress (Psychology)</t>
  </si>
  <si>
    <t>Counselling in a Multicultural Society</t>
  </si>
  <si>
    <t>Cross-cultural counseling</t>
  </si>
  <si>
    <t>Counselling Older Clients</t>
  </si>
  <si>
    <t>Counseling - Aged</t>
  </si>
  <si>
    <t>Counselling Skills for Nurses, Midwives and Health Visitors</t>
  </si>
  <si>
    <t>Counselling Skills in Social Work Practice</t>
  </si>
  <si>
    <t>Counselling Survivors of Domestic Abuse</t>
  </si>
  <si>
    <t>Counselling Young People</t>
  </si>
  <si>
    <t>Counselor Supervision</t>
  </si>
  <si>
    <t>Counselors - Supervision of</t>
  </si>
  <si>
    <t>Counterfactual Thinking - Counterfactual Writing</t>
  </si>
  <si>
    <t>Countertransference (Psychology)</t>
  </si>
  <si>
    <t>Countertransference in Psychoanalytic Psychotherapy with Children and Adolescents</t>
  </si>
  <si>
    <t>Couple Observational Coding Systems</t>
  </si>
  <si>
    <t>Couples therapy</t>
  </si>
  <si>
    <t>The Craft of Life Course Research</t>
  </si>
  <si>
    <t>SOCIAL SCIENCE / Anthropology / Physical</t>
  </si>
  <si>
    <t>Sexual minority parents</t>
  </si>
  <si>
    <t>The Creative Arts in Palliative Care</t>
  </si>
  <si>
    <t>Creative Collaboration</t>
  </si>
  <si>
    <t>PSYCHOLOGY / Movements / Psychoanalysis</t>
  </si>
  <si>
    <t>Creative Therapies with Traumatised Children</t>
  </si>
  <si>
    <t>Creativity</t>
  </si>
  <si>
    <t>Creative ability - Psychological aspects</t>
  </si>
  <si>
    <t>Cognitive psychology</t>
  </si>
  <si>
    <t>The Creativity of Social Dreaming</t>
  </si>
  <si>
    <t>Crew Resource Management</t>
  </si>
  <si>
    <t>Criminal behavior.</t>
  </si>
  <si>
    <t>Crisis Counseling, Intervention and Prevention in the Schools</t>
  </si>
  <si>
    <t>Crisis Intervention - education</t>
  </si>
  <si>
    <t>Crisis Resolution and Home Treatment in Mental Health</t>
  </si>
  <si>
    <t>Mental Disorders - therapy - Great Britain</t>
  </si>
  <si>
    <t>Critical Cyberculture Studies</t>
  </si>
  <si>
    <t>Critical thinking--Study and teaching (Secondary)</t>
  </si>
  <si>
    <t>Achievement motivation</t>
  </si>
  <si>
    <t>Critical Perspectives on Mental Health</t>
  </si>
  <si>
    <t>Critical psychology</t>
  </si>
  <si>
    <t>Critical Readings on Piaget</t>
  </si>
  <si>
    <t>Critical Social Psychology</t>
  </si>
  <si>
    <t>Critical Thinking for Addiction Professionals</t>
  </si>
  <si>
    <t>Slobin, Dan Isaac</t>
  </si>
  <si>
    <t>Psychoanalysis and religion</t>
  </si>
  <si>
    <t>Cultural Changes in Attitudes Toward Death, Dying, and Bereavement</t>
  </si>
  <si>
    <t>Psychosexual disorders - Treatment</t>
  </si>
  <si>
    <t>Drug addiction - Social aspects</t>
  </si>
  <si>
    <t>Material culture - Psychological aspects</t>
  </si>
  <si>
    <t>The Cultural Nature of Human Development</t>
  </si>
  <si>
    <t>Cultural Trauma and Collective Identity</t>
  </si>
  <si>
    <t>Culturally Responsive Counseling with Asian American Men</t>
  </si>
  <si>
    <t>Asian American men - Counseling</t>
  </si>
  <si>
    <t>Cross-cultural counseling.</t>
  </si>
  <si>
    <t>Culture and Human Development</t>
  </si>
  <si>
    <t>Culture and Identity in a Muslim Society</t>
  </si>
  <si>
    <t>Culture and System in Family Therapy</t>
  </si>
  <si>
    <t>Cross-cultural counselling</t>
  </si>
  <si>
    <t>Social ethics</t>
  </si>
  <si>
    <t>Manchester University Press</t>
  </si>
  <si>
    <t>Culture, Suicide, and the Human Condition</t>
  </si>
  <si>
    <t>Postmodernism</t>
  </si>
  <si>
    <t>Cultures of Fetishism</t>
  </si>
  <si>
    <t>Psychology, Pathological</t>
  </si>
  <si>
    <t>Cultures of Transnational Adoption</t>
  </si>
  <si>
    <t>Current Issues in Applied Memory Research</t>
  </si>
  <si>
    <t>Current Issues in Developmental Disorders</t>
  </si>
  <si>
    <t>Obesity - Surgery</t>
  </si>
  <si>
    <t>Identity (Psychology) in children</t>
  </si>
  <si>
    <t>Cybernetics of Prejudices in the Practice of Psychotherapy</t>
  </si>
  <si>
    <t>D W Winnicott</t>
  </si>
  <si>
    <t>Biography</t>
  </si>
  <si>
    <t>Damaged Bonds</t>
  </si>
  <si>
    <t>Dance therapy</t>
  </si>
  <si>
    <t>Psychoanalysis and art</t>
  </si>
  <si>
    <t>The Dark Side of Creativity</t>
  </si>
  <si>
    <t>Sports sciences - Research - Methodology.</t>
  </si>
  <si>
    <t>Deaf Mental Health Care</t>
  </si>
  <si>
    <t>Deaf - Mental health - Massachusetts</t>
  </si>
  <si>
    <t>Dealing with Bullying</t>
  </si>
  <si>
    <t>Spinney Press, The</t>
  </si>
  <si>
    <t>Death and Bereavement Across Cultures</t>
  </si>
  <si>
    <t>Death Anxiety and Clinical Practice</t>
  </si>
  <si>
    <t>Fear of death</t>
  </si>
  <si>
    <t>Genetic psychology</t>
  </si>
  <si>
    <t>Debates in Psychology</t>
  </si>
  <si>
    <t>Deception in adolescence</t>
  </si>
  <si>
    <t>Domestic relations courts</t>
  </si>
  <si>
    <t>PSYCHOLOGY / Clinical Psychology</t>
  </si>
  <si>
    <t>Deconstructing Feminist Psychology</t>
  </si>
  <si>
    <t>Feminism</t>
  </si>
  <si>
    <t>Deconstructing Psychopathology</t>
  </si>
  <si>
    <t>Deconstruction</t>
  </si>
  <si>
    <t>Deconstructing Psychotherapy</t>
  </si>
  <si>
    <t>Psychotherapy - Philosophy</t>
  </si>
  <si>
    <t>The Deja Vu Experience</t>
  </si>
  <si>
    <t>Déjà vu.</t>
  </si>
  <si>
    <t>Deleuze and Sex</t>
  </si>
  <si>
    <t>Edinburgh University Press</t>
  </si>
  <si>
    <t>Delhi Psychiatry Journal, 12-1</t>
  </si>
  <si>
    <t>Deliberate Self-Harm in Adolescence</t>
  </si>
  <si>
    <t>Delusions</t>
  </si>
  <si>
    <t>Delusions and the Madness of the Masses</t>
  </si>
  <si>
    <t>Denial and Quality of Life in Lung Cancer Patients</t>
  </si>
  <si>
    <t>Depression</t>
  </si>
  <si>
    <t>Depression 101</t>
  </si>
  <si>
    <t>Depression, Mental</t>
  </si>
  <si>
    <t>Depression in Later Life</t>
  </si>
  <si>
    <t>Descriptive Psychology</t>
  </si>
  <si>
    <t>Design for Nature in Dementia Care</t>
  </si>
  <si>
    <t>Designing for Humans</t>
  </si>
  <si>
    <t>Psychology, Industrial</t>
  </si>
  <si>
    <t>Race awareness</t>
  </si>
  <si>
    <t>Determinants of Animal Behaviour</t>
  </si>
  <si>
    <t>Psychology, Comparative</t>
  </si>
  <si>
    <t>Developing and Validating Test Items</t>
  </si>
  <si>
    <t>EDUCATION / Testing &amp; Measurement</t>
  </si>
  <si>
    <t>Developing College Skills in Students with Autism and Asperger's Syndrome</t>
  </si>
  <si>
    <t>Developing Emotional Intelligence in the Primary School</t>
  </si>
  <si>
    <t>Education (Elementary) - Great Britain</t>
  </si>
  <si>
    <t>Emotions in children - Study and teaching - Great Britain</t>
  </si>
  <si>
    <t>Expert Testimony - legislation &amp; jurisprudence</t>
  </si>
  <si>
    <t>Developing Person-Centred Counselling</t>
  </si>
  <si>
    <t>Developing Psychodynamic Counselling</t>
  </si>
  <si>
    <t>Psychoanalytic counseling</t>
  </si>
  <si>
    <t>Developing Transactional Analysis Counselling</t>
  </si>
  <si>
    <t>Transactional analysis</t>
  </si>
  <si>
    <t>The Developing World of the Child</t>
  </si>
  <si>
    <t>Development and Brain Systems in Autism</t>
  </si>
  <si>
    <t>Conduct Disorder - prevention &amp; control</t>
  </si>
  <si>
    <t>Development of Implicit and Explicit Memory</t>
  </si>
  <si>
    <t>The Development of Judgment and Decision Making in Children and Adolescents</t>
  </si>
  <si>
    <t>The Development of a Latino Gay Identity</t>
  </si>
  <si>
    <t>Development of the Nervous System</t>
  </si>
  <si>
    <t>Developmental neurophysiology.</t>
  </si>
  <si>
    <t>The Development of Play</t>
  </si>
  <si>
    <t>The Development of Social Cognition and Communication</t>
  </si>
  <si>
    <t>The Development of the Social Self</t>
  </si>
  <si>
    <t>Self - Social aspects.</t>
  </si>
  <si>
    <t>The Development of Thinking and Reasoning</t>
  </si>
  <si>
    <t>The Developmental Psychopathology of Anxiety</t>
  </si>
  <si>
    <t>Developments in Psychoanalysis</t>
  </si>
  <si>
    <t>Devil Notebooks</t>
  </si>
  <si>
    <t>Diabetes in adolescence</t>
  </si>
  <si>
    <t>Dialogical Meetings in Social Networks</t>
  </si>
  <si>
    <t>Dialogues on Sexuality, Gender and Psychoanalysis</t>
  </si>
  <si>
    <t>Cognitive science -- Dictionaries.</t>
  </si>
  <si>
    <t>Dictionary of Existential Psychotherapy and Counselling</t>
  </si>
  <si>
    <t>Psychanalyse et counseling</t>
  </si>
  <si>
    <t>The Dictionary of Family Psychology and Family Therapy</t>
  </si>
  <si>
    <t>Dictionary of Mental Handicap</t>
  </si>
  <si>
    <t>Dictionary of Psychopathology</t>
  </si>
  <si>
    <t>The Dictionary of the Work of W. R. Bion</t>
  </si>
  <si>
    <t>Difference and Discrimination in Psychotherapy and Counselling</t>
  </si>
  <si>
    <t>Differential Diagnosis in Adult Neuropsychological Assessment</t>
  </si>
  <si>
    <t>Difficulties in the Analytic Encounter</t>
  </si>
  <si>
    <t>Dilemmas in the Consulting Room</t>
  </si>
  <si>
    <t>Dimensions of Conscious Experience</t>
  </si>
  <si>
    <t>Consciousness -- Congresses.</t>
  </si>
  <si>
    <t>The Disappearance of the Social in American Social Psychology</t>
  </si>
  <si>
    <t>Social psychology--United States--History</t>
  </si>
  <si>
    <t>The Disappearing Male</t>
  </si>
  <si>
    <t>Man woman relationships - Psychological aspects</t>
  </si>
  <si>
    <t>Disasters - Psychological aspects</t>
  </si>
  <si>
    <t>EDUCATION / Curricula</t>
  </si>
  <si>
    <t>Lexington Books/Fortress Academic</t>
  </si>
  <si>
    <t>Discourse and Cognition</t>
  </si>
  <si>
    <t>Discourse of Child Counselling</t>
  </si>
  <si>
    <t>The Discursive Mind</t>
  </si>
  <si>
    <t>Discursive psychology</t>
  </si>
  <si>
    <t>Disgust</t>
  </si>
  <si>
    <t>Mentally ill - Biography.</t>
  </si>
  <si>
    <t>Disorganized Attachment and Caregiving</t>
  </si>
  <si>
    <t>Distance Writing and Computer-Assisted Interventions in Psychiatry and Mental Health</t>
  </si>
  <si>
    <t>Distinctiveness and Memory</t>
  </si>
  <si>
    <t>Memory.</t>
  </si>
  <si>
    <t>Transference (Psychology)</t>
  </si>
  <si>
    <t>Diversity Issues in the Diagnosis, Treatment, and Research of Mood Disorders</t>
  </si>
  <si>
    <t>Divorce</t>
  </si>
  <si>
    <t>Burial</t>
  </si>
  <si>
    <t>Doing Psychotherapy Effectively</t>
  </si>
  <si>
    <t>Doing Statistical Mediation and Moderation</t>
  </si>
  <si>
    <t>Doing Supervision and Being Supervised</t>
  </si>
  <si>
    <t>Strategic therapy</t>
  </si>
  <si>
    <t>Sex Offenses - psychology</t>
  </si>
  <si>
    <t>Domestic Partner Abuse</t>
  </si>
  <si>
    <t>The Dominion of the Dead</t>
  </si>
  <si>
    <t>Winnicott, D. W. -- (Donald Woods), -- 1896-1971.</t>
  </si>
  <si>
    <t>Multiple personality.</t>
  </si>
  <si>
    <t>Doubts and Certainties in the Practice of Psychotherapy</t>
  </si>
  <si>
    <t>Dragon Gate</t>
  </si>
  <si>
    <t>Learning disabled</t>
  </si>
  <si>
    <t>Dream Analysis</t>
  </si>
  <si>
    <t>Dreams</t>
  </si>
  <si>
    <t>Dreaming and Thinking</t>
  </si>
  <si>
    <t>Dream interpretation - History</t>
  </si>
  <si>
    <t>Drug Abuse</t>
  </si>
  <si>
    <t>Drug Addiction and Families</t>
  </si>
  <si>
    <t>Drugs</t>
  </si>
  <si>
    <t>Drug addicts - Psychology</t>
  </si>
  <si>
    <t>Dual Relationships and Psychotherapy</t>
  </si>
  <si>
    <t>Counselors - Professional ethics.</t>
  </si>
  <si>
    <t>Duoethnography</t>
  </si>
  <si>
    <t>Qualitative research - Methodology</t>
  </si>
  <si>
    <t>Psychotherapist and patient</t>
  </si>
  <si>
    <t>The Dyadic Developmental Psychotherapy Casebook</t>
  </si>
  <si>
    <t>Meaning (Philosophy)</t>
  </si>
  <si>
    <t>Dying, Bereavement and the Healing Arts</t>
  </si>
  <si>
    <t>A Dynamic Systems Approach to Adolescent Development</t>
  </si>
  <si>
    <t>Biological Evolution</t>
  </si>
  <si>
    <t>Dynamics of Contention</t>
  </si>
  <si>
    <t>Collective behavior</t>
  </si>
  <si>
    <t>Dyslexia.</t>
  </si>
  <si>
    <t>Parent and infant</t>
  </si>
  <si>
    <t>Early Development of Body Representations</t>
  </si>
  <si>
    <t>Hong Kong University Press</t>
  </si>
  <si>
    <t>Socialization</t>
  </si>
  <si>
    <t>Violent crimes.</t>
  </si>
  <si>
    <t>Eating Behaviour</t>
  </si>
  <si>
    <t>Eating Disorders</t>
  </si>
  <si>
    <t>Eating Disorders and Marital Relationships</t>
  </si>
  <si>
    <t>Eating Disorders and Obesity: How Drugs Can Help</t>
  </si>
  <si>
    <t>Eating Disorders in Sport</t>
  </si>
  <si>
    <t>Holocaust survivors - Family relationships</t>
  </si>
  <si>
    <t>An Ecological Approach to Perceptual Learning and Development</t>
  </si>
  <si>
    <t>Ecological Psychoacoustics</t>
  </si>
  <si>
    <t>Economic Analysis of the Financial Records of al-Qa'ida in Iraq</t>
  </si>
  <si>
    <t>RAND Corporation, The</t>
  </si>
  <si>
    <t>Clinical psychology.</t>
  </si>
  <si>
    <t>Risk-taking (Psychology) - Social aspects</t>
  </si>
  <si>
    <t>Educating College Students with Autism Spectrum Disorders</t>
  </si>
  <si>
    <t>Autism - Patients - Education</t>
  </si>
  <si>
    <t>EDUCATION / Statistics</t>
  </si>
  <si>
    <t>The Effects of Imprisonment</t>
  </si>
  <si>
    <t>The Ego and the Mechanisms of Defence</t>
  </si>
  <si>
    <t>The Electrified Tightrope</t>
  </si>
  <si>
    <t>Electroconvulsive Therapy</t>
  </si>
  <si>
    <t>Electroconvulsive Therapy in Children and Adolescents</t>
  </si>
  <si>
    <t>Electroconvulsive therapy -- Handbooks, manuals, etc.</t>
  </si>
  <si>
    <t>Elements of Psychoanalysis</t>
  </si>
  <si>
    <t>Elements of Psychophysical Theory</t>
  </si>
  <si>
    <t>Elusive Elements in Practice</t>
  </si>
  <si>
    <t>The Embodied Female</t>
  </si>
  <si>
    <t>Embodied Theories</t>
  </si>
  <si>
    <t>Psychotherapists</t>
  </si>
  <si>
    <t>Embodiment</t>
  </si>
  <si>
    <t>Embodiment in Cognition and Culture</t>
  </si>
  <si>
    <t>Abnormalities, Human</t>
  </si>
  <si>
    <t>EMDR and the Art of Psychotherapy with Children</t>
  </si>
  <si>
    <t>Grammar, Comparative and general - Phonology</t>
  </si>
  <si>
    <t>Quality of Health Care - standards - United States</t>
  </si>
  <si>
    <t>Emergency Psychiatry</t>
  </si>
  <si>
    <t>The Emerging Spatial Mind</t>
  </si>
  <si>
    <t>Emotion and Consciousness</t>
  </si>
  <si>
    <t>Emotions - Sociological aspects</t>
  </si>
  <si>
    <t>Emotion and Spirit</t>
  </si>
  <si>
    <t>Emotion In Healthcare Organization</t>
  </si>
  <si>
    <t>Interpersonal relations</t>
  </si>
  <si>
    <t>Emotions--Sociological aspects</t>
  </si>
  <si>
    <t>Emotions and cognition.</t>
  </si>
  <si>
    <t>Emotional intelligence</t>
  </si>
  <si>
    <t>Mind and body</t>
  </si>
  <si>
    <t>Emotional Geographies</t>
  </si>
  <si>
    <t>Emotional Intelligence in Everyday Life</t>
  </si>
  <si>
    <t>Emotional intelligence.</t>
  </si>
  <si>
    <t>PSYCHOLOGY / Industrial &amp; Organizational Psychology</t>
  </si>
  <si>
    <t>Emotional Literacy at the Heart of the School Ethos</t>
  </si>
  <si>
    <t>Emotion-focused therapy</t>
  </si>
  <si>
    <t>Vertigo</t>
  </si>
  <si>
    <t>The Emotions and Cultural Analysis</t>
  </si>
  <si>
    <t>Emotions and Health, 1200-1700</t>
  </si>
  <si>
    <t>Emotions and Social Movements</t>
  </si>
  <si>
    <t>Emotions, Ethics, and Authenticity</t>
  </si>
  <si>
    <t>Emotions, Ethics and Decision-Making</t>
  </si>
  <si>
    <t>Emotions, Imagination, and Moral Reasoning</t>
  </si>
  <si>
    <t>Stanford University Press</t>
  </si>
  <si>
    <t>Emotions, Values, and the Law</t>
  </si>
  <si>
    <t>Empathy in the Treatment of Trauma and PTSD</t>
  </si>
  <si>
    <t>Empiricism and the Foundations of Psychology</t>
  </si>
  <si>
    <t>Empowerment Evaluation Principles in Practice</t>
  </si>
  <si>
    <t>Encyclopedia of Body Image and Human Appearance</t>
  </si>
  <si>
    <t>Encyclopedia of Creativity</t>
  </si>
  <si>
    <t>Encyclopedia of Multicultural Psychology</t>
  </si>
  <si>
    <t>Encyclopedia of Psychological Assessment</t>
  </si>
  <si>
    <t>Encyclopedia of Religious and Spiritual Development</t>
  </si>
  <si>
    <t>Private Practice - United States</t>
  </si>
  <si>
    <t>Insomniac Press</t>
  </si>
  <si>
    <t>Enduring Questions in Gerontology</t>
  </si>
  <si>
    <t>Gerontology.</t>
  </si>
  <si>
    <t>Enduring Trauma Through the Life Cycle</t>
  </si>
  <si>
    <t>Editorial Kairos</t>
  </si>
  <si>
    <t>International relations - Psychological aspects</t>
  </si>
  <si>
    <t>Energy Psychology</t>
  </si>
  <si>
    <t>Climatic changes - Psychological aspects</t>
  </si>
  <si>
    <t>Enigmas of Identity</t>
  </si>
  <si>
    <t>Nebraska Paperback</t>
  </si>
  <si>
    <t>Environmental Effects on Cognitive Abilities</t>
  </si>
  <si>
    <t>Envy and Gratitude Revisited</t>
  </si>
  <si>
    <t>Envy.</t>
  </si>
  <si>
    <t>AMACOM</t>
  </si>
  <si>
    <t>Essays on Otherness</t>
  </si>
  <si>
    <t>Essays on the Sociology of Perception</t>
  </si>
  <si>
    <t>Play and Playthings - psychology</t>
  </si>
  <si>
    <t>Essential Behaviour Analysis</t>
  </si>
  <si>
    <t>Essential Biological Psychology</t>
  </si>
  <si>
    <t>Psychobiology.</t>
  </si>
  <si>
    <t>Essential Evolutionary Psychology</t>
  </si>
  <si>
    <t>Evolutionary psychology.</t>
  </si>
  <si>
    <t>Essential Psychology for Nurses and Other Health Professionals</t>
  </si>
  <si>
    <t>The Essential Skills for Setting up a Counselling and Psychotherapy Practice</t>
  </si>
  <si>
    <t>Essentials of Cross-Cultural Counseling</t>
  </si>
  <si>
    <t>Essentials of Human Memory (Classic Edition)</t>
  </si>
  <si>
    <t>et Cetera</t>
  </si>
  <si>
    <t>Institute of General Semantics, Inc.</t>
  </si>
  <si>
    <t>0014-164X</t>
  </si>
  <si>
    <t>2168-9245</t>
  </si>
  <si>
    <t>Ethical Issues in Forensic Mental Health Research</t>
  </si>
  <si>
    <t>Ethical Issues in Psychology</t>
  </si>
  <si>
    <t>Psychology - Moral and ethical aspects</t>
  </si>
  <si>
    <t>Ethical Issues in the Psychotherapies</t>
  </si>
  <si>
    <t>Psychoanalysis -- Practice.</t>
  </si>
  <si>
    <t>The Ethics of Interpersonal Relationships</t>
  </si>
  <si>
    <t>Ethnic Politics and Democratic Transition in Rwanda</t>
  </si>
  <si>
    <t>Conflict management - European Union countries</t>
  </si>
  <si>
    <t>Eugenics, Race and Intelligence in Education</t>
  </si>
  <si>
    <t>European Cultural Memory Post-89</t>
  </si>
  <si>
    <t>European Multiculturalism Revisited</t>
  </si>
  <si>
    <t>Evaluating the Impact of Prevention and Early Intervention Activities on the Mental Health of California’s Population</t>
  </si>
  <si>
    <t>Evaluation for Risk of Violence in Adults</t>
  </si>
  <si>
    <t>Evaluation for Risk of Violence in Juveniles</t>
  </si>
  <si>
    <t>Evaluation of Competence to Stand Trial</t>
  </si>
  <si>
    <t>Evaluation of Criminal Responsibility</t>
  </si>
  <si>
    <t>Evaluation of Workplace Disability</t>
  </si>
  <si>
    <t>Children--Cross-cultural studies</t>
  </si>
  <si>
    <t>Evidence-based medicine - Great Britain.</t>
  </si>
  <si>
    <t>Evidence-Based Protocols for Managing Wandering Behaviors</t>
  </si>
  <si>
    <t>The Evolution and Function of Cognition</t>
  </si>
  <si>
    <t>The Evolution of Counseling Psychology</t>
  </si>
  <si>
    <t>The Evolution of the Emotion-Processing Mind</t>
  </si>
  <si>
    <t>The Evolution of Family Patterns and Indirect Therapy with Adolescents</t>
  </si>
  <si>
    <t>The Evolutionary Biology of Human Female Sexuality</t>
  </si>
  <si>
    <t>Evolutionary Playwork</t>
  </si>
  <si>
    <t>Recreation centers</t>
  </si>
  <si>
    <t>Evolutionary Psychology 101</t>
  </si>
  <si>
    <t>Evolutionary Psychology, Public Policy and Personal Decisions</t>
  </si>
  <si>
    <t>Evolutionary Theory and Cognitive Therapy</t>
  </si>
  <si>
    <t>Executive Function</t>
  </si>
  <si>
    <t>Self-actualization (Psychology)</t>
  </si>
  <si>
    <t>Athletic trainers - Professional ethics</t>
  </si>
  <si>
    <t>Existential psychology</t>
  </si>
  <si>
    <t>Existential psychotherapy</t>
  </si>
  <si>
    <t>Thought and thinking</t>
  </si>
  <si>
    <t>Experiences in Social Dreaming</t>
  </si>
  <si>
    <t>Experiencing Identity</t>
  </si>
  <si>
    <t>Psychotic Disorders - psychology</t>
  </si>
  <si>
    <t>Group relations training</t>
  </si>
  <si>
    <t>An Experiment in Leisure</t>
  </si>
  <si>
    <t>Expert Negotiator 2nd Edition</t>
  </si>
  <si>
    <t>Explorations in Personality</t>
  </si>
  <si>
    <t>Exploratory Factor Analysis</t>
  </si>
  <si>
    <t>Ethnocentrism</t>
  </si>
  <si>
    <t>Exploring Children's Creative Narratives</t>
  </si>
  <si>
    <t>Drawing ability in children</t>
  </si>
  <si>
    <t>Eating disorders in adolescence.</t>
  </si>
  <si>
    <t>Introspection.</t>
  </si>
  <si>
    <t>Cross-cultural studies</t>
  </si>
  <si>
    <t>Alcoholism - Physiological aspects</t>
  </si>
  <si>
    <t>Expressive and Creative Arts Methods for Trauma Survivors</t>
  </si>
  <si>
    <t>Arts -- Therapeutic use.</t>
  </si>
  <si>
    <t>Parapsychology.</t>
  </si>
  <si>
    <t>Extraordinary Memories for Exceptional Events</t>
  </si>
  <si>
    <t>Face Perception</t>
  </si>
  <si>
    <t>Face perception</t>
  </si>
  <si>
    <t>Face perception.</t>
  </si>
  <si>
    <t>Social work with children - Great Britain</t>
  </si>
  <si>
    <t>Facilitating Groups</t>
  </si>
  <si>
    <t>Fact and Value in Emotion</t>
  </si>
  <si>
    <t>Facts about Teenage Pregnancies</t>
  </si>
  <si>
    <t>Fairbairn and the Object Relations Tradition</t>
  </si>
  <si>
    <t>Fairbairn and Relational Theory</t>
  </si>
  <si>
    <t>Fairness and Groups</t>
  </si>
  <si>
    <t>The Fallacy of Understanding and the Ambiguity of Change</t>
  </si>
  <si>
    <t>Family Communication</t>
  </si>
  <si>
    <t>Families -- Psychological aspects.</t>
  </si>
  <si>
    <t>Family Therapy in Focus</t>
  </si>
  <si>
    <t>Family Therapy Review: Contrasting Contemporary Models</t>
  </si>
  <si>
    <t>PSYCHOLOGY / Psychotherapy / Couples &amp; Family</t>
  </si>
  <si>
    <t>Family-Based Treatment for Young Children with OCD Workbook</t>
  </si>
  <si>
    <t>Young adults - Family relationships</t>
  </si>
  <si>
    <t>Fan Cultures</t>
  </si>
  <si>
    <t>Popular culture - Psychological aspects</t>
  </si>
  <si>
    <t>Mass media and culture</t>
  </si>
  <si>
    <t>Jungian Theory</t>
  </si>
  <si>
    <t>Italian</t>
  </si>
  <si>
    <t>Fathers, Families and the Outside World</t>
  </si>
  <si>
    <t>Fear</t>
  </si>
  <si>
    <t>Social phobia</t>
  </si>
  <si>
    <t>Fechner, Gustav Theodor</t>
  </si>
  <si>
    <t>Body image.</t>
  </si>
  <si>
    <t>Feeling Matters</t>
  </si>
  <si>
    <t>Marquette University Press</t>
  </si>
  <si>
    <t>Feelings</t>
  </si>
  <si>
    <t>Emotions - Social aspects</t>
  </si>
  <si>
    <t>Women - Sexual behavior</t>
  </si>
  <si>
    <t>Feminine Sensuality</t>
  </si>
  <si>
    <t>Feminist Counselling in Action</t>
  </si>
  <si>
    <t>Feminist psychology</t>
  </si>
  <si>
    <t>Feminist Perspectives in Medical Family Therapy</t>
  </si>
  <si>
    <t>The Field Research Survival Guide</t>
  </si>
  <si>
    <t>Interpersonal relations.</t>
  </si>
  <si>
    <t>Cognition and culture</t>
  </si>
  <si>
    <t>Italy in motion pictures</t>
  </si>
  <si>
    <t>Final Contributions to the Problems and Methods of Psycho-Analysis</t>
  </si>
  <si>
    <t>Communication in sex</t>
  </si>
  <si>
    <t>University Press of New England</t>
  </si>
  <si>
    <t>Cognitive neuroscience.</t>
  </si>
  <si>
    <t>Counseling - Vocational guidance</t>
  </si>
  <si>
    <t>First Contributions to Psycho-Analysis</t>
  </si>
  <si>
    <t>First Impressions</t>
  </si>
  <si>
    <t>First Person Jewish</t>
  </si>
  <si>
    <t>Motor ability in infants</t>
  </si>
  <si>
    <t>Focus Group Discussions</t>
  </si>
  <si>
    <t>Compulsive eating.</t>
  </si>
  <si>
    <t>Football Delirium</t>
  </si>
  <si>
    <t>Forensic Aspects of Dissociative Identity Disorder</t>
  </si>
  <si>
    <t>Forensic Mental Health Assessment of Children and Adolescents</t>
  </si>
  <si>
    <t>Psychology, Forensic</t>
  </si>
  <si>
    <t>Forgetting</t>
  </si>
  <si>
    <t>Autobiographical memory</t>
  </si>
  <si>
    <t>Forgiveness - Religious aspects</t>
  </si>
  <si>
    <t>Forgiveness in Perspective</t>
  </si>
  <si>
    <t>Formal Approaches in Categorization</t>
  </si>
  <si>
    <t>Foundations for Conceptual Research in Psychoanalysis</t>
  </si>
  <si>
    <t>Research</t>
  </si>
  <si>
    <t>Foundations of Ethical Practice, Research, and Teaching in Psychology and Counseling</t>
  </si>
  <si>
    <t>Psychology - Study and teaching - Moral and ethical aspects</t>
  </si>
  <si>
    <t>Foundations of Forensic Mental Health Assessment</t>
  </si>
  <si>
    <t>Foundations of Health Psychology</t>
  </si>
  <si>
    <t>Clinical health psychology.</t>
  </si>
  <si>
    <t>Foundations of Understanding</t>
  </si>
  <si>
    <t>Clinical neuropsychology -- Case studies.</t>
  </si>
  <si>
    <t>Intellect Books Ltd</t>
  </si>
  <si>
    <t>Food habits - United States - History</t>
  </si>
  <si>
    <t>Free Association</t>
  </si>
  <si>
    <t>Free association (Psychology)</t>
  </si>
  <si>
    <t>Freud and the Desire of the Psychoanalyst</t>
  </si>
  <si>
    <t>Freud and Education</t>
  </si>
  <si>
    <t>Psychoanalysis and education</t>
  </si>
  <si>
    <t>Freud and the History of Psychoanalysis</t>
  </si>
  <si>
    <t>Freud and Judaism</t>
  </si>
  <si>
    <t>Freud and Nietzsche</t>
  </si>
  <si>
    <t>Freud, Sigmund</t>
  </si>
  <si>
    <t>Psychoanalysis - history</t>
  </si>
  <si>
    <t>Freud on the Psychology of Ordinary Mental Life</t>
  </si>
  <si>
    <t>Freud, Psychoanalysis and Symbolism</t>
  </si>
  <si>
    <t>Freud, Sigmund,--1856-1939</t>
  </si>
  <si>
    <t>Freud, the Reluctant Philosopher</t>
  </si>
  <si>
    <t>Psychoanalysis - Philosophy.</t>
  </si>
  <si>
    <t>Repression (Psychology)</t>
  </si>
  <si>
    <t>Freudian Repression, the Unconscious, and the Dynamics of Inhibition</t>
  </si>
  <si>
    <t>Freud's Converts</t>
  </si>
  <si>
    <t>Psychoanalysis -- Europe -- History -- 20th century.</t>
  </si>
  <si>
    <t>Freud's Wishful Dream Book</t>
  </si>
  <si>
    <t>Friendships in Childhood and Adolescence</t>
  </si>
  <si>
    <t>Evolutionary psychology -- Congresses.</t>
  </si>
  <si>
    <t>From the Mental Patient to the Person</t>
  </si>
  <si>
    <t>Frontiers of Developmental Psychopathology</t>
  </si>
  <si>
    <t>Psychometrics</t>
  </si>
  <si>
    <t>Sudan - Politics and government - 1956-1985</t>
  </si>
  <si>
    <t>Psychodynamic psychotherapy.</t>
  </si>
  <si>
    <t>Functional Analysis in Clinical Treatment</t>
  </si>
  <si>
    <t>Behandelingsmethoden</t>
  </si>
  <si>
    <t>Functional Analytic Psychotherapy</t>
  </si>
  <si>
    <t>Behavior therapy</t>
  </si>
  <si>
    <t>Behavior therapy for teenagers - United States</t>
  </si>
  <si>
    <t>Cognitive maps (Psychology)</t>
  </si>
  <si>
    <t>Fundamental Questions in Cross-Cultural Psychology</t>
  </si>
  <si>
    <t>Ethnopsychology.</t>
  </si>
  <si>
    <t>Fundamentals of Amputation Care and Prosthetics</t>
  </si>
  <si>
    <t>The Fundamentals of Clinical Neuropsychiatry</t>
  </si>
  <si>
    <t>Fundamentals of Developmental Psychology</t>
  </si>
  <si>
    <t>The Fundamentals of Psychoanalytic Technique</t>
  </si>
  <si>
    <t>Fundamentals of Qualitative Research</t>
  </si>
  <si>
    <t>Further Contributions to the Theory and Technique of Psycho-Analysis</t>
  </si>
  <si>
    <t>Intellect.</t>
  </si>
  <si>
    <t>Dutch; Flemish</t>
  </si>
  <si>
    <t>The Future of Assisted Suicide and Euthanasia</t>
  </si>
  <si>
    <t>The Future of Childhood</t>
  </si>
  <si>
    <t>Social conditions</t>
  </si>
  <si>
    <t>The Future of the Cognitive Revolution</t>
  </si>
  <si>
    <t>The Future of Memory</t>
  </si>
  <si>
    <t>Gays - United States.</t>
  </si>
  <si>
    <t>Gay Men Choosing Parenthood</t>
  </si>
  <si>
    <t>Gay fathers - United States - Psychology.</t>
  </si>
  <si>
    <t>Gender and Choice in Education and Occupation</t>
  </si>
  <si>
    <t>Sex differences</t>
  </si>
  <si>
    <t>Gender and Family Therapy</t>
  </si>
  <si>
    <t>Gender and Sexuality in Modern Chinese History</t>
  </si>
  <si>
    <t>Gender and Social Psychology</t>
  </si>
  <si>
    <t>Gender Development</t>
  </si>
  <si>
    <t>Families in mass media</t>
  </si>
  <si>
    <t>Gender Differences in Human Cognition</t>
  </si>
  <si>
    <t>Mathematics - Study and teaching - Psychological aspects.</t>
  </si>
  <si>
    <t>Gender Issues in Art Therapy</t>
  </si>
  <si>
    <t>Military occupation</t>
  </si>
  <si>
    <t>Gender, Sexuality and Reproduction in Evolutionary Narratives</t>
  </si>
  <si>
    <t>Cognitive learning</t>
  </si>
  <si>
    <t>Generalized Anxiety Disorder</t>
  </si>
  <si>
    <t>Generation, Discourse, and Social Change</t>
  </si>
  <si>
    <t>Genius Explained</t>
  </si>
  <si>
    <t>Genius Unmasked</t>
  </si>
  <si>
    <t>Geriatric Mental Health Disaster and Emergency Preparedness</t>
  </si>
  <si>
    <t>Gerontological Social Work in Home Health Care</t>
  </si>
  <si>
    <t>Geropsychological Interventions in Long-term Care</t>
  </si>
  <si>
    <t>Gestalt Therapy</t>
  </si>
  <si>
    <t>Gestalt Therapy for Addictive and Self-Medicating Behaviors</t>
  </si>
  <si>
    <t>Gestural Communication in Nonhuman and Human Primates</t>
  </si>
  <si>
    <t>Gesture and Thought</t>
  </si>
  <si>
    <t>Psychoanalytic Theory</t>
  </si>
  <si>
    <t>Acceptance and commitment therapy</t>
  </si>
  <si>
    <t>School phobia.</t>
  </si>
  <si>
    <t>Strategy (Philosophy)</t>
  </si>
  <si>
    <t>Behavior, Addictive</t>
  </si>
  <si>
    <t>Ghost Hunters of the South</t>
  </si>
  <si>
    <t>University Press of Mississippi</t>
  </si>
  <si>
    <t>The Gift of European Thought and the Cost of Living</t>
  </si>
  <si>
    <t>Bereavement - Psychological aspects</t>
  </si>
  <si>
    <t>The Girl Who Committed Hara-Kiri and Other Clinical and Historical Essays</t>
  </si>
  <si>
    <t>Enfants et sexualitae</t>
  </si>
  <si>
    <t>National characteristics</t>
  </si>
  <si>
    <t>Global Dimensions of Qualitative Inquiry</t>
  </si>
  <si>
    <t>Goal-Directed Behavior</t>
  </si>
  <si>
    <t>Intentionalism</t>
  </si>
  <si>
    <t>Mental health - Religious aspects - Christianity</t>
  </si>
  <si>
    <t>The Gold Leaf Lady and Other Parapsychological Investigations</t>
  </si>
  <si>
    <t>Good Practice in Adult Mental Health</t>
  </si>
  <si>
    <t>Good Practice in Brain Injury Case Management</t>
  </si>
  <si>
    <t>Goodwin and Guze's Psychiatric Diagnosis</t>
  </si>
  <si>
    <t>Google and the Culture of Search</t>
  </si>
  <si>
    <t>Grief and Bereavement in the Adult Palliative Care Setting</t>
  </si>
  <si>
    <t>Death - Psychological aspects</t>
  </si>
  <si>
    <t>Ground Rules in Psychotherapy and Counselling</t>
  </si>
  <si>
    <t>Social interaction - Psychological aspects</t>
  </si>
  <si>
    <t>Group Analytic Art Therapy</t>
  </si>
  <si>
    <t>Affective disorders - Treatment</t>
  </si>
  <si>
    <t>Group Counseling</t>
  </si>
  <si>
    <t>Group counseling.</t>
  </si>
  <si>
    <t>Group Counselling</t>
  </si>
  <si>
    <t>Group counseling</t>
  </si>
  <si>
    <t>Group facilitation</t>
  </si>
  <si>
    <t>Group Dynamics and Emotional Expression</t>
  </si>
  <si>
    <t>Group Problem Solving</t>
  </si>
  <si>
    <t>Group Processes</t>
  </si>
  <si>
    <t>Social groups</t>
  </si>
  <si>
    <t>Older people - Care</t>
  </si>
  <si>
    <t>Guía práctica de salud mental en situaciones de desastres</t>
  </si>
  <si>
    <t>A Guide to Assessment for Psychoanalytic Psychotherapists</t>
  </si>
  <si>
    <t>A Guide to Assessments That Work</t>
  </si>
  <si>
    <t>Guide to Board Certification in Clinical Psychology</t>
  </si>
  <si>
    <t>A Guide to the Extrapyramidal Side Effects of Antipsychotic Drugs</t>
  </si>
  <si>
    <t>A Guide to Psychotherapy</t>
  </si>
  <si>
    <t>A Guide to Self-Help Workbooks for Mental Health Clinicians and Researchers</t>
  </si>
  <si>
    <t>A Guide to the Standard EMDR Protocols for Clinicians, Supervisors, and Consultants</t>
  </si>
  <si>
    <t>Visualization - Therapeutic use</t>
  </si>
  <si>
    <t>Guidelines for the Systematic Treatment of the Depressed Patient</t>
  </si>
  <si>
    <t>Guilt</t>
  </si>
  <si>
    <t>Companion Press</t>
  </si>
  <si>
    <t>Handbook for Theory, Research, and Practice in Gestalt Therapy</t>
  </si>
  <si>
    <t>Handbook of Adult Development and Learning</t>
  </si>
  <si>
    <t>Handbook of Adult Resilience</t>
  </si>
  <si>
    <t>Handbook of Affective Sciences</t>
  </si>
  <si>
    <t>Handbook of African American Health</t>
  </si>
  <si>
    <t>Handbook of Aging and the Social Sciences</t>
  </si>
  <si>
    <t>Handbook of Applied Behavior Analysis</t>
  </si>
  <si>
    <t>Handbook of Applied Disability and Rehabilitation Research</t>
  </si>
  <si>
    <t>Handbook of the Biology of Aging</t>
  </si>
  <si>
    <t>Aging--Physiological aspects--Handbooks, manuals, etc.</t>
  </si>
  <si>
    <t>Handbook of Categorization in Cognitive Science</t>
  </si>
  <si>
    <t>Sciences cognitives</t>
  </si>
  <si>
    <t>Handbook of Child and Adolescent Psychopathy</t>
  </si>
  <si>
    <t>Adolescent psychotherapy</t>
  </si>
  <si>
    <t>Adolescent analysis</t>
  </si>
  <si>
    <t>Child development -- Handbooks, manuals, etc.</t>
  </si>
  <si>
    <t>Handbook of Childhood Death and Bereavement</t>
  </si>
  <si>
    <t>The Handbook of Clinical Intervention with Young People Who Sexually Abuse</t>
  </si>
  <si>
    <t>Handbook of Clinical Issues in Couple Therapy</t>
  </si>
  <si>
    <t>Handbook of Closeness and Intimacy</t>
  </si>
  <si>
    <t>Handbook of Cognition and Emotion</t>
  </si>
  <si>
    <t>Handbook of Cognitive-Behavioral Approaches in Primary Care</t>
  </si>
  <si>
    <t>Handbook of Communication and Aging Research</t>
  </si>
  <si>
    <t>Handbook of Communication and Social Interaction Skills</t>
  </si>
  <si>
    <t>Handbook of Counseling and Psychotherapy in an International Context</t>
  </si>
  <si>
    <t>Handbook of Counseling Military Couples</t>
  </si>
  <si>
    <t>Military spouses - Services for - United States</t>
  </si>
  <si>
    <t>The Handbook of Culture and Psychology</t>
  </si>
  <si>
    <t>Handbook of Developmental Disabilities</t>
  </si>
  <si>
    <t>Developmental disabilities -- Handbooks, manuals, etc.</t>
  </si>
  <si>
    <t>Handbook of Developmental Social Neuroscience</t>
  </si>
  <si>
    <t>Handbook of Developmental Systems Theory and Methodology</t>
  </si>
  <si>
    <t>Handbook of Dialogical Self Theory</t>
  </si>
  <si>
    <t>Handbook of Diversity in Feminist Psychology</t>
  </si>
  <si>
    <t>Handbook of Divorce and Relationship Dissolution</t>
  </si>
  <si>
    <t>The Handbook of Dramatherapy</t>
  </si>
  <si>
    <t>Handbook of Ethics in Quantitative Methodology</t>
  </si>
  <si>
    <t>Handbook of Evidence-Based Treatment Manuals for Children and Adolescents</t>
  </si>
  <si>
    <t>Handbook of Experimental Existential Psychology</t>
  </si>
  <si>
    <t>Handbook of Exposure Therapies</t>
  </si>
  <si>
    <t>Families</t>
  </si>
  <si>
    <t>Handbook of Forensic Neuropsychology</t>
  </si>
  <si>
    <t>Handbook of Girls' and Women's Psychological Health</t>
  </si>
  <si>
    <t>The Handbook of Health Behavior Change, 4th Edition</t>
  </si>
  <si>
    <t>The Handbook of Health Behavior Change, Third Edition</t>
  </si>
  <si>
    <t>Handbook of Health Psychology and Aging</t>
  </si>
  <si>
    <t>Handbook of the History of Social Psychology</t>
  </si>
  <si>
    <t>Social psychology - History</t>
  </si>
  <si>
    <t>Handbook of Imagination and Mental Simulation</t>
  </si>
  <si>
    <t>Imagination</t>
  </si>
  <si>
    <t>Handbook of Infant, Toddler, and Preschool Mental Health Assessment</t>
  </si>
  <si>
    <t>The Handbook of International Psychology</t>
  </si>
  <si>
    <t>Handbook of Learning Disabilities</t>
  </si>
  <si>
    <t>EDUCATION / Special Education / Communicative Disorders</t>
  </si>
  <si>
    <t>Handbook of Mental Health Administration and Management</t>
  </si>
  <si>
    <t>Mental health services - Administration</t>
  </si>
  <si>
    <t>Handbook of Minority Aging</t>
  </si>
  <si>
    <t>Motivation (Psychology)</t>
  </si>
  <si>
    <t>Handbook of Neurodevelopmental and Genetic Disorders in Adults</t>
  </si>
  <si>
    <t>Handbook of Neurological Rehabilitation</t>
  </si>
  <si>
    <t>Handbook of Normative Data for Neuropsychological Assessment</t>
  </si>
  <si>
    <t>Parenting -- Research.</t>
  </si>
  <si>
    <t>Handbook of Personality at Work</t>
  </si>
  <si>
    <t>Handbook of Personality Psychology</t>
  </si>
  <si>
    <t>Handbook of Physiological Research Methods in Health Psychology</t>
  </si>
  <si>
    <t>Clinical health psychology -- Research -- Methodology.</t>
  </si>
  <si>
    <t>Item response theory</t>
  </si>
  <si>
    <t>Handbook of Positive Emotions</t>
  </si>
  <si>
    <t>Handbook of Primary Care Psychology</t>
  </si>
  <si>
    <t>Handbook of Psychobiography</t>
  </si>
  <si>
    <t>Handbook of Psychological Services for Children and Adolescents</t>
  </si>
  <si>
    <t>The Handbook of Psychology for Forensic Practitioners</t>
  </si>
  <si>
    <t>Criminal psychology</t>
  </si>
  <si>
    <t>Handbook of the Psychology of Aging</t>
  </si>
  <si>
    <t>Handbook of Psychotherapy Integration</t>
  </si>
  <si>
    <t>Handbook of Research Methods in Personality Psychology</t>
  </si>
  <si>
    <t>Personality -- Research -- Methodology.</t>
  </si>
  <si>
    <t>Handbook of Self and Identity, Second Edition</t>
  </si>
  <si>
    <t>Handbook of Self-Enhancement and Self-Protection</t>
  </si>
  <si>
    <t>Handbook of Self-Knowledge</t>
  </si>
  <si>
    <t>Handbook of Self-Regulation</t>
  </si>
  <si>
    <t>Self-control in children</t>
  </si>
  <si>
    <t>The Handbook of Sexuality in Close Relationships</t>
  </si>
  <si>
    <t>A Handbook of Short-Term Psychodynamic Psychotherapy</t>
  </si>
  <si>
    <t>Psychodynamic psychotherapy -- Handbooks, manuals, etc.</t>
  </si>
  <si>
    <t>The Handbook of Sport Neuropsychology</t>
  </si>
  <si>
    <t>Handbook of Stress, Trauma, and the Family</t>
  </si>
  <si>
    <t>Handbook of Temperament</t>
  </si>
  <si>
    <t>Handbook of Traffic Psychology</t>
  </si>
  <si>
    <t>Motor vehicle drivers - Psychology</t>
  </si>
  <si>
    <t>The Handbook of Transcultural Counselling and Psychotherapy</t>
  </si>
  <si>
    <t>Handbook of Understanding and Measuring Intelligence</t>
  </si>
  <si>
    <t>Handbook of Vowels and Vowel Disorders</t>
  </si>
  <si>
    <t>Vowels</t>
  </si>
  <si>
    <t>Handbook of Women, Stress and Trauma</t>
  </si>
  <si>
    <t>Handbook on Communicating and Disseminating Behavioral Science</t>
  </si>
  <si>
    <t>Handbook on Peace Education</t>
  </si>
  <si>
    <t>Peace -- Study and teaching.</t>
  </si>
  <si>
    <t>Health services administration.</t>
  </si>
  <si>
    <t>Handling Death and Bereavement at Work</t>
  </si>
  <si>
    <t>Death - Psychological aspects.</t>
  </si>
  <si>
    <t>Happiness.</t>
  </si>
  <si>
    <t>Family violence - Prevention - Citizen participation</t>
  </si>
  <si>
    <t>Hard-Earned Lessons from Counselling in Action</t>
  </si>
  <si>
    <t>The Harvard Lectures</t>
  </si>
  <si>
    <t>University of Alabama Press</t>
  </si>
  <si>
    <t>Healing Crisis and Trauma with Mind, Body, and Spirit</t>
  </si>
  <si>
    <t>Health Communication</t>
  </si>
  <si>
    <t>The Heart of Listening</t>
  </si>
  <si>
    <t>Psychoanalysis - Moral and ethical aspects</t>
  </si>
  <si>
    <t>Anxiety in children - Treatment</t>
  </si>
  <si>
    <t>Help Yourself Towards Mental Health</t>
  </si>
  <si>
    <t>Mental health.</t>
  </si>
  <si>
    <t>Helping the Bereaved College Student</t>
  </si>
  <si>
    <t>Parents - Counseling of</t>
  </si>
  <si>
    <t>Self-destructive behavior in children</t>
  </si>
  <si>
    <t>Helping Parents with Challenging Children Positive Family Intervention Facilitator Guide</t>
  </si>
  <si>
    <t>Helping Teens Work Through Grief</t>
  </si>
  <si>
    <t>Bereavement in adolescence.</t>
  </si>
  <si>
    <t>Helping Traumatized Families</t>
  </si>
  <si>
    <t>Hermaphroditism, Medical Science and Sexual Identity in Spain, 18501960</t>
  </si>
  <si>
    <t>Intersexuality.</t>
  </si>
  <si>
    <t>Volunteer workers in search and rescue operations - United States - Psychology</t>
  </si>
  <si>
    <t>Heroin Century</t>
  </si>
  <si>
    <t>Heroin.</t>
  </si>
  <si>
    <t>Het opvoeden verleerd</t>
  </si>
  <si>
    <t>Heterosexuality in Theory and Practice</t>
  </si>
  <si>
    <t>Andrews UK Ltd.</t>
  </si>
  <si>
    <t>Personality and emotions</t>
  </si>
  <si>
    <t>Philosophy - history</t>
  </si>
  <si>
    <t>Hipnosis y autohipnosis</t>
  </si>
  <si>
    <t>De Vecchi Ediciones</t>
  </si>
  <si>
    <t>A Historical Dictionary of Psychiatry</t>
  </si>
  <si>
    <t>Psychiatry -- History -- Dictionaries.</t>
  </si>
  <si>
    <t>Historical Influences on Lives and Aging</t>
  </si>
  <si>
    <t>HIV / AIDS, Health and the Media in China</t>
  </si>
  <si>
    <t>Acquired Immunodeficiency Syndrome - psychology - China</t>
  </si>
  <si>
    <t>Holland's Guide to Psychoanalytic Psychology and Literature-And-Psychology</t>
  </si>
  <si>
    <t>Homicidal Insanity, 1800-1985</t>
  </si>
  <si>
    <t>Hope in the Age of Anxiety</t>
  </si>
  <si>
    <t>Geriatric psychiatry</t>
  </si>
  <si>
    <t>How Authors' Minds Make Stories</t>
  </si>
  <si>
    <t>How Children Learn to Be Healthy</t>
  </si>
  <si>
    <t>Medicine, Preventive</t>
  </si>
  <si>
    <t>How Does Psychotherapy Work?</t>
  </si>
  <si>
    <t>Psychotherapy -- Methodology.</t>
  </si>
  <si>
    <t>How Dogmatic Beliefs Harm Creativity and Higher-Level Thinking</t>
  </si>
  <si>
    <t>Dogmatism</t>
  </si>
  <si>
    <t>How Money Talks</t>
  </si>
  <si>
    <t>Termination</t>
  </si>
  <si>
    <t>How People Evaluate Others in Organizations</t>
  </si>
  <si>
    <t>Laughter -- Therapeutic use.</t>
  </si>
  <si>
    <t>How to Talk to a Borderline</t>
  </si>
  <si>
    <t>Borderline personality disorder - Classification</t>
  </si>
  <si>
    <t>How to Think Like a Neandertal</t>
  </si>
  <si>
    <t>How to Understand Autism - the Easy Way</t>
  </si>
  <si>
    <t>How We Reason</t>
  </si>
  <si>
    <t>The How-To Book for Students of Psychoanalysis and Psychotherapy</t>
  </si>
  <si>
    <t>The Human Amygdala</t>
  </si>
  <si>
    <t>Social psychology.</t>
  </si>
  <si>
    <t>Human Cognition and Social Agent Technology</t>
  </si>
  <si>
    <t>Developmental psychology.</t>
  </si>
  <si>
    <t>Human Differences</t>
  </si>
  <si>
    <t>Individual differences.</t>
  </si>
  <si>
    <t>Human Identity and Identification</t>
  </si>
  <si>
    <t>Human Nature, Cultural Diversity, and the French Enlightenment</t>
  </si>
  <si>
    <t>Human Psychology As Seen Through the Dream</t>
  </si>
  <si>
    <t>Human Symmetry Perception and Its Computational Analysis</t>
  </si>
  <si>
    <t>Humanistic Perspectives on Contemporary Counseling Issues</t>
  </si>
  <si>
    <t>Hunting and Gathering in the Corporate Tribe</t>
  </si>
  <si>
    <t>Hyperactivity and Attention Disorders of Childhood</t>
  </si>
  <si>
    <t>Chronic Disease - therapy</t>
  </si>
  <si>
    <t>Hysteria</t>
  </si>
  <si>
    <t>i-Manager's Journal on Educational Psychology</t>
  </si>
  <si>
    <t>iManager Publications</t>
  </si>
  <si>
    <t>0973-8827</t>
  </si>
  <si>
    <t>2230-7141</t>
  </si>
  <si>
    <t>The Idea of Creativity (paperback)</t>
  </si>
  <si>
    <t>Ideas and Realities of Emotion</t>
  </si>
  <si>
    <t>Ideas in Practice</t>
  </si>
  <si>
    <t>Identifying and Understanding the Narcissistic Personality</t>
  </si>
  <si>
    <t>Narcissism.</t>
  </si>
  <si>
    <t>Identities in Talk</t>
  </si>
  <si>
    <t>Ethnomethodology</t>
  </si>
  <si>
    <t>Identity, Belonging and Migration</t>
  </si>
  <si>
    <t>Identity in Question</t>
  </si>
  <si>
    <t>If This Is Mid-Life, Where's the Crisis</t>
  </si>
  <si>
    <t>Youth - Alcohol use - Great Britain</t>
  </si>
  <si>
    <t>Illusions and Disillusions of Psychoanalytic Work</t>
  </si>
  <si>
    <t>Imagery, Language and Visuo-Spatial Thinking</t>
  </si>
  <si>
    <t>Imagery (Psychology)</t>
  </si>
  <si>
    <t>Imagination.</t>
  </si>
  <si>
    <t>Imaginary Companions and the Children Who Create Them</t>
  </si>
  <si>
    <t>Imaginary companions</t>
  </si>
  <si>
    <t>Imagination from Fantasy to Delusion</t>
  </si>
  <si>
    <t>Imagery (Psychology) in children</t>
  </si>
  <si>
    <t>Human body in literature</t>
  </si>
  <si>
    <t>Imitation</t>
  </si>
  <si>
    <t>Immigrant Families in Contemporary Society</t>
  </si>
  <si>
    <t>LFB Scholarly Publishing LLC</t>
  </si>
  <si>
    <t>Immigrant Women Tell Their Stories</t>
  </si>
  <si>
    <t>Emigration and immigration - Psychological aspects.</t>
  </si>
  <si>
    <t>The Impact of Complex Trauma on Development</t>
  </si>
  <si>
    <t>impacts and legacies of sports events</t>
  </si>
  <si>
    <t>Ethnopsychology</t>
  </si>
  <si>
    <t>The Importance of Disappointment</t>
  </si>
  <si>
    <t>The Importance of Sibling Relationships in Psychoanalysis</t>
  </si>
  <si>
    <t>Sibling rivalry</t>
  </si>
  <si>
    <t>Imprisoned Pain and Its Transformation</t>
  </si>
  <si>
    <t>Improving Intergroup Relations</t>
  </si>
  <si>
    <t>Visual perception.</t>
  </si>
  <si>
    <t>Learning, Psychology of.</t>
  </si>
  <si>
    <t>In Praise of Flattery</t>
  </si>
  <si>
    <t>In Search of Human Nature</t>
  </si>
  <si>
    <t>Evolution</t>
  </si>
  <si>
    <t>Schizophrenia.</t>
  </si>
  <si>
    <t>In Search of Synergy in Small Group Performance</t>
  </si>
  <si>
    <t>Names -- Psychological aspects.</t>
  </si>
  <si>
    <t>Increasing Awareness of Child and Adolescent Mental Health</t>
  </si>
  <si>
    <t>Independent Psychoanalysis Today</t>
  </si>
  <si>
    <t>Indeterminacy and Society</t>
  </si>
  <si>
    <t>Individual Differences in Conscious Experience</t>
  </si>
  <si>
    <t>Individual Sources, Dynamics and Expressions of Emotions</t>
  </si>
  <si>
    <t>Individualisme</t>
  </si>
  <si>
    <t>Gender identity</t>
  </si>
  <si>
    <t>An Industrial Geography of Cocaine</t>
  </si>
  <si>
    <t>The Infant and Family in the Twenty-First Century</t>
  </si>
  <si>
    <t>Parent and infant - Congresses.</t>
  </si>
  <si>
    <t>Infant Observation at the Heart of Training</t>
  </si>
  <si>
    <t>Child psychotherapy.</t>
  </si>
  <si>
    <t>Parent-child interaction therapy.</t>
  </si>
  <si>
    <t>Infinite Possibilities of Social Dreaming</t>
  </si>
  <si>
    <t>Influential Papers from The 1920s</t>
  </si>
  <si>
    <t>Influential Papers from The 1940s</t>
  </si>
  <si>
    <t>Influential Papers from The 1950s</t>
  </si>
  <si>
    <t>Expertise</t>
  </si>
  <si>
    <t>The Inner Life of the Dying Person</t>
  </si>
  <si>
    <t>Terminally ill - Psychology</t>
  </si>
  <si>
    <t>Innovations in Parent-Infant Psychotherapy</t>
  </si>
  <si>
    <t>Innovative Interventions in Child and Adolescent Mental Health</t>
  </si>
  <si>
    <t>Infant</t>
  </si>
  <si>
    <t>Insanity, Institutions and Society, 1800-1914</t>
  </si>
  <si>
    <t>Insidious Workplace Behavior</t>
  </si>
  <si>
    <t>An Insight into an Insane Asylum</t>
  </si>
  <si>
    <t>Insomniac</t>
  </si>
  <si>
    <t>The Inspiration of Hope in Bereavement Counselling</t>
  </si>
  <si>
    <t>Integrated Group Therapy for Bipolar Disorder and Substance Abuse</t>
  </si>
  <si>
    <t>Integrated Management of Depression in the Elderly</t>
  </si>
  <si>
    <t>Depression in old age - Treatment</t>
  </si>
  <si>
    <t>Integrated Models of Cognitive Systems</t>
  </si>
  <si>
    <t>Integrative Approaches to Supervision</t>
  </si>
  <si>
    <t>Integrative Psychiatry</t>
  </si>
  <si>
    <t>Integrative Psychotherapy in Action</t>
  </si>
  <si>
    <t>Integrative Medicine</t>
  </si>
  <si>
    <t>Intellectual Disability</t>
  </si>
  <si>
    <t>Intelligence 101</t>
  </si>
  <si>
    <t>Intelligent Clinician's Guide to the DSM-5RG</t>
  </si>
  <si>
    <t>Social sciences -- Research -- Methodology.</t>
  </si>
  <si>
    <t>Intentional Conceptual Change</t>
  </si>
  <si>
    <t>Intentions in the Experience of Meaning</t>
  </si>
  <si>
    <t>Meaning (Psychology)</t>
  </si>
  <si>
    <t>Interactionism</t>
  </si>
  <si>
    <t>Sociology - Great Britain - History - 20th century.</t>
  </si>
  <si>
    <t>Intergenerational Communication Across the Life Span</t>
  </si>
  <si>
    <t>Intergenerational relations</t>
  </si>
  <si>
    <t>Intergenerational Justice</t>
  </si>
  <si>
    <t>Internal Consultation in Health Care Settings</t>
  </si>
  <si>
    <t>Internal Objects Revisited</t>
  </si>
  <si>
    <t>Peace-building - Pacific Area.</t>
  </si>
  <si>
    <t>International Dictionary of Music Therapy</t>
  </si>
  <si>
    <t>Music therapy</t>
  </si>
  <si>
    <t>International Handbook of Intelligence</t>
  </si>
  <si>
    <t>The International Handbook of Psychology</t>
  </si>
  <si>
    <t>International Handbook of Threat Assessment</t>
  </si>
  <si>
    <t>International Perspectives on Youth Conflict and Development</t>
  </si>
  <si>
    <t>Internationalizing the History of Psychology</t>
  </si>
  <si>
    <t>Internet Use in the Aftermath of Trauma</t>
  </si>
  <si>
    <t>Interpersonal Cognition</t>
  </si>
  <si>
    <t>Social perception.</t>
  </si>
  <si>
    <t>Interpersonal Communication</t>
  </si>
  <si>
    <t>The Interpersonal Neurobiology of Group Psychotherapy and Group Process</t>
  </si>
  <si>
    <t>Interpersonal Rejection</t>
  </si>
  <si>
    <t>The Interpersonal Unconscious</t>
  </si>
  <si>
    <t>Interpreting the MMPI-2-RF</t>
  </si>
  <si>
    <t>Minnesota Multiphasic Personality Inventory.</t>
  </si>
  <si>
    <t>Cultural Competency</t>
  </si>
  <si>
    <t>Intersubjective Mirror in Infant Learning and Evolution of Speech</t>
  </si>
  <si>
    <t>Bion, Wilfred R</t>
  </si>
  <si>
    <t>Interview and Indicators in Psychoanalysis and Psychotherapy</t>
  </si>
  <si>
    <t>The Interwoven Sources of Dreams</t>
  </si>
  <si>
    <t>Intimacies</t>
  </si>
  <si>
    <t>Intimacy and Isolation</t>
  </si>
  <si>
    <t>Intimate and Personal Care with People with Learning Disabilities</t>
  </si>
  <si>
    <t>Wife abuse - Psychological aspects</t>
  </si>
  <si>
    <t>Psychopharmacology.</t>
  </si>
  <si>
    <t>Bruner, Jerome S</t>
  </si>
  <si>
    <t>Introducing Cognitive Development</t>
  </si>
  <si>
    <t>Cognition in children.</t>
  </si>
  <si>
    <t>Introducing Psychology Through Research</t>
  </si>
  <si>
    <t>Introduction to Childhood Studies</t>
  </si>
  <si>
    <t>Introduction to Counselling Survivors of Interpersonal Trauma</t>
  </si>
  <si>
    <t>An Introduction to Critical Social Psychology</t>
  </si>
  <si>
    <t>Drama - Therapeutic use</t>
  </si>
  <si>
    <t>Group psychotherapy.</t>
  </si>
  <si>
    <t>An Introduction to Meaning and Purpose in Analytical Psychology</t>
  </si>
  <si>
    <t>Neurobehavioral disorders - Patients - Rehabilitation</t>
  </si>
  <si>
    <t>Introduction to Play Therapy</t>
  </si>
  <si>
    <t>An Introduction to the Psychodynamics of Workplace Bullying</t>
  </si>
  <si>
    <t>Introduction to Psychometric Theory</t>
  </si>
  <si>
    <t>Psychometrics.</t>
  </si>
  <si>
    <t>Introduction to Psychopathology</t>
  </si>
  <si>
    <t>Dreams - Social aspects.</t>
  </si>
  <si>
    <t>Personality.</t>
  </si>
  <si>
    <t>Introduction to the Work of Donald Meltzer</t>
  </si>
  <si>
    <t>Married people - Psychology.</t>
  </si>
  <si>
    <t>Intrusiveness and Intimacy in the Couple</t>
  </si>
  <si>
    <t>Invariant measures</t>
  </si>
  <si>
    <t>Invitation to Community Music Therapy</t>
  </si>
  <si>
    <t>Music - Social aspects</t>
  </si>
  <si>
    <t>Intellect</t>
  </si>
  <si>
    <t>Irony Through Psychoanalysis</t>
  </si>
  <si>
    <t>Issues in Intimate Violence</t>
  </si>
  <si>
    <t>Psychoanalysis and culture.</t>
  </si>
  <si>
    <t>The Italian Seminars</t>
  </si>
  <si>
    <t>Jacques Lacan and Feminist Epistemology</t>
  </si>
  <si>
    <t>Women in politics</t>
  </si>
  <si>
    <t>Psychology--Japan</t>
  </si>
  <si>
    <t>Psychology - Philosophy</t>
  </si>
  <si>
    <t>Social interaction in adolescence - Congresses.</t>
  </si>
  <si>
    <t>Joint attention</t>
  </si>
  <si>
    <t>Jokes and Targets</t>
  </si>
  <si>
    <t>Noshpitz, Joseph D.</t>
  </si>
  <si>
    <t>Judaic Spiritual Psychotherapy</t>
  </si>
  <si>
    <t>Judgement and Reasoning in the Child</t>
  </si>
  <si>
    <t>Child psychology.</t>
  </si>
  <si>
    <t>Judgment and Decision Making</t>
  </si>
  <si>
    <t>Judgment</t>
  </si>
  <si>
    <t>Moreno, J. L</t>
  </si>
  <si>
    <t>Jung As a Writer</t>
  </si>
  <si>
    <t>Psychoanalysts as authors</t>
  </si>
  <si>
    <t>Psychology and art</t>
  </si>
  <si>
    <t>The Jung Reader</t>
  </si>
  <si>
    <t>Gymnastics for children</t>
  </si>
  <si>
    <t>Jung, C. G.-(Carl Gustav),-1875-1961.</t>
  </si>
  <si>
    <t>Just Breathe Normally</t>
  </si>
  <si>
    <t>Juvenile Delinquency</t>
  </si>
  <si>
    <t>Teenage sex offenders.</t>
  </si>
  <si>
    <t>Kabbalah and Psychoanalysis</t>
  </si>
  <si>
    <t>Kant's Transcendental Psychology</t>
  </si>
  <si>
    <t>Psychoanalytic Therapy</t>
  </si>
  <si>
    <t>Key Research and Study Skills in Psychology</t>
  </si>
  <si>
    <t>Psychology - Examinations</t>
  </si>
  <si>
    <t>Key Themes in Interpersonal Communication</t>
  </si>
  <si>
    <t>Klein</t>
  </si>
  <si>
    <t>Medical sciences</t>
  </si>
  <si>
    <t>Knowing and Not Knowing in Intimate Relationships</t>
  </si>
  <si>
    <t>Psychoanalysis and philosophy</t>
  </si>
  <si>
    <t>Knowledge, Communication and Creativity</t>
  </si>
  <si>
    <t>Knowledge, Sociology of</t>
  </si>
  <si>
    <t>Separation (Psychology)</t>
  </si>
  <si>
    <t>Lacan and Levi-Strauss or the Return to Freud (1951-1957)</t>
  </si>
  <si>
    <t>Lacan and the Political</t>
  </si>
  <si>
    <t>Lacan and Science</t>
  </si>
  <si>
    <t>Science and psychology</t>
  </si>
  <si>
    <t>Lacan's Medievalism</t>
  </si>
  <si>
    <t>Psychoanalytic Therapy - methods</t>
  </si>
  <si>
    <t>Landscapes of Fear</t>
  </si>
  <si>
    <t>Language and Action in Cognitive Neuroscience</t>
  </si>
  <si>
    <t>Language and Bilingual Cognition</t>
  </si>
  <si>
    <t>Bilingualism - Psychological aspects</t>
  </si>
  <si>
    <t>Cognition - Psychological aspects</t>
  </si>
  <si>
    <t>Language and Schizophrenia</t>
  </si>
  <si>
    <t>Schizophrenics -- Language.</t>
  </si>
  <si>
    <t>Language Development across Childhood and Adolescence</t>
  </si>
  <si>
    <t>American Sign Language</t>
  </si>
  <si>
    <t>Language of Memory in a Crosslinguistic Perspective</t>
  </si>
  <si>
    <t>The Language of Psychoanalysis</t>
  </si>
  <si>
    <t>Hispanic American teenage girls - Psychology</t>
  </si>
  <si>
    <t>Laughter</t>
  </si>
  <si>
    <t>Law's Dream of a Common Knowledge</t>
  </si>
  <si>
    <t>Leadership</t>
  </si>
  <si>
    <t>Leadership Processes and Follower Self-Identity</t>
  </si>
  <si>
    <t>Leading Psychoeducational Groups for Children and Adolescents</t>
  </si>
  <si>
    <t>Leading a Support Group</t>
  </si>
  <si>
    <t>Kings County Hospital (Kings County, N.Y.)</t>
  </si>
  <si>
    <t>Social interaction - Mathematical models</t>
  </si>
  <si>
    <t>Learning and Writing in Counselling</t>
  </si>
  <si>
    <t>Authorship</t>
  </si>
  <si>
    <t>Handbooks, manuals, etc.</t>
  </si>
  <si>
    <t>Learning Disability</t>
  </si>
  <si>
    <t>Learning from Experience</t>
  </si>
  <si>
    <t>Psychoanalysis - Vocational guidance</t>
  </si>
  <si>
    <t>Learning from Mistakes in Rational Emotive Behaviour Therapy</t>
  </si>
  <si>
    <t>Learning to Use Statistical Skills in Psychology</t>
  </si>
  <si>
    <t>Lectures on Violence, Perversion and Delinquency</t>
  </si>
  <si>
    <t>Peace-building - International cooperation</t>
  </si>
  <si>
    <t>Leonardo Da Vinci</t>
  </si>
  <si>
    <t>Leonardo, -- da Vinci, -- 1452-1519.</t>
  </si>
  <si>
    <t>International organization</t>
  </si>
  <si>
    <t>Self-injurious behavior - Popular works.</t>
  </si>
  <si>
    <t>Creation (Literary, artistic, etc.)</t>
  </si>
  <si>
    <t>Life and Death in Freud and Heidegger</t>
  </si>
  <si>
    <t>The Life and Death of Psychoanalysis</t>
  </si>
  <si>
    <t>Life Configurations</t>
  </si>
  <si>
    <t>A Life of One's Own</t>
  </si>
  <si>
    <t>Positive psychology.</t>
  </si>
  <si>
    <t>Brain - Growth</t>
  </si>
  <si>
    <t>Life-Span Maintenance of Knowledge</t>
  </si>
  <si>
    <t>Long-term memory</t>
  </si>
  <si>
    <t>The Limits of Medical Paternalism</t>
  </si>
  <si>
    <t>Linguistic Stereotyping and Minority Groups in Japan</t>
  </si>
  <si>
    <t>Literacy Instruction for Students Who Are Deaf and Hard of Hearing</t>
  </si>
  <si>
    <t>Living and Dying with Cancer</t>
  </si>
  <si>
    <t>Cancer - Psychological aspects.</t>
  </si>
  <si>
    <t>Living the Good Life with Autism</t>
  </si>
  <si>
    <t>Phenomenology</t>
  </si>
  <si>
    <t>Manic-depressive illness -- Popular works.</t>
  </si>
  <si>
    <t>Locating Consciousness</t>
  </si>
  <si>
    <t>The Logical Foundations of Cognition</t>
  </si>
  <si>
    <t>The Long View of Crime: a Synthesis of Longitudinal Research</t>
  </si>
  <si>
    <t>Nursing home patients - Psychology</t>
  </si>
  <si>
    <t>Los consejos del psicólogo para entender a tu hijo</t>
  </si>
  <si>
    <t>Love and Its Vicissitudes</t>
  </si>
  <si>
    <t>Love</t>
  </si>
  <si>
    <t>Love and Loss in Life and in Treatment</t>
  </si>
  <si>
    <t>Love - Psychological aspects</t>
  </si>
  <si>
    <t>Love, Heterosexuality and Society</t>
  </si>
  <si>
    <t>Love--Computer network resources</t>
  </si>
  <si>
    <t>Environmental psychology</t>
  </si>
  <si>
    <t>Madness and Creativity</t>
  </si>
  <si>
    <t>20th century</t>
  </si>
  <si>
    <t>Maintaining Long-Distance and Cross-Residential Relationships</t>
  </si>
  <si>
    <t>Major Theories of Personality Disorder</t>
  </si>
  <si>
    <t>Personality disorders.</t>
  </si>
  <si>
    <t>Demos Medical Publishing</t>
  </si>
  <si>
    <t>Decision making</t>
  </si>
  <si>
    <t>Making Freud More Freudian</t>
  </si>
  <si>
    <t>University of New South Wales Press</t>
  </si>
  <si>
    <t>The Making of Anti-Sexist Men</t>
  </si>
  <si>
    <t>The Making of a Counsellor</t>
  </si>
  <si>
    <t>The Making of a Psychotherapist</t>
  </si>
  <si>
    <t>Health services administration - United States</t>
  </si>
  <si>
    <t>Making Sense of Children's Drawings</t>
  </si>
  <si>
    <t>Making the System Work for Your Child with ADHD</t>
  </si>
  <si>
    <t>Attention-deficit hyperactivity disorder - Patients - Care</t>
  </si>
  <si>
    <t>The Malleability of Intellectual Styles</t>
  </si>
  <si>
    <t>Management of Childhood Obesity</t>
  </si>
  <si>
    <t>Obesity - psychology</t>
  </si>
  <si>
    <t>Management of Common Health Problems of Drug Users</t>
  </si>
  <si>
    <t>WHO Regional Office for South-East Asia</t>
  </si>
  <si>
    <t>The Management of Counselling and Psychotherapy Agencies</t>
  </si>
  <si>
    <t>Psychotherapy - Practice - Great Britain</t>
  </si>
  <si>
    <t>Management of Treatment-Resistant Major Psychiatric Disorders</t>
  </si>
  <si>
    <t>Drug Resistance</t>
  </si>
  <si>
    <t>HRD Press</t>
  </si>
  <si>
    <t>Managing the Ageing Experience</t>
  </si>
  <si>
    <t>Managing Behaviour in the Early Years</t>
  </si>
  <si>
    <t>Child behavior</t>
  </si>
  <si>
    <t>Burn out (Psychology)</t>
  </si>
  <si>
    <t>Management</t>
  </si>
  <si>
    <t>Managing Professionals</t>
  </si>
  <si>
    <t>Organizational culture</t>
  </si>
  <si>
    <t>Managing the Residential Treatment Center in Troubled Times</t>
  </si>
  <si>
    <t>Comportement autodestructeur</t>
  </si>
  <si>
    <t>Anxiety--Treatment.</t>
  </si>
  <si>
    <t>Organization</t>
  </si>
  <si>
    <t>Managing with Asperger Syndrome</t>
  </si>
  <si>
    <t>Manipulative behavior - Political aspects</t>
  </si>
  <si>
    <t>Manual for Short-Term Psychoanalytic Child Therapy (PaCT)</t>
  </si>
  <si>
    <t>Manual of Panic Focused Psychodynamic Psychotherapy - EXtended Range</t>
  </si>
  <si>
    <t>Panic Disorder - therapy</t>
  </si>
  <si>
    <t>The Many Faces of Asperger's Syndrome</t>
  </si>
  <si>
    <t>Marijuana and Madness</t>
  </si>
  <si>
    <t>Marriage in Men's Lives</t>
  </si>
  <si>
    <t>Masculine Scenarios</t>
  </si>
  <si>
    <t>Sex (Psychology)</t>
  </si>
  <si>
    <t>Masculinities and Management in Agricultural Organizations Worldwide</t>
  </si>
  <si>
    <t>Masculinities at School</t>
  </si>
  <si>
    <t>Masculinity and Femininity in the MMPI-2 and MMPI-A</t>
  </si>
  <si>
    <t>Attention-deficit disorder in adults.</t>
  </si>
  <si>
    <t>Worry - Treatment</t>
  </si>
  <si>
    <t>Material Discourses of Health and Illness</t>
  </si>
  <si>
    <t>Clinical health psychology</t>
  </si>
  <si>
    <t>Art Therapy - instrumentation</t>
  </si>
  <si>
    <t>Mathematics for Neuroscientists</t>
  </si>
  <si>
    <t>Object relations (Psychoanalysis)</t>
  </si>
  <si>
    <t>Maudsley Handbook of Practical Psychiatry</t>
  </si>
  <si>
    <t>Help-seeking behavior.</t>
  </si>
  <si>
    <t>Meaning, Medicine and the 'Placebo Effect'</t>
  </si>
  <si>
    <t>Healing--Psychological aspects</t>
  </si>
  <si>
    <t>Psychometrics--History</t>
  </si>
  <si>
    <t>Psychological tests.</t>
  </si>
  <si>
    <t>Intelligence tests</t>
  </si>
  <si>
    <t>Medical and Psychiatric Issues for Counsellors</t>
  </si>
  <si>
    <t>Health counseling</t>
  </si>
  <si>
    <t>Hypnosis - methods</t>
  </si>
  <si>
    <t>Depressive Disorder</t>
  </si>
  <si>
    <t>Melanie Klein</t>
  </si>
  <si>
    <t>Women psychoanalysts - Austria - Biography</t>
  </si>
  <si>
    <t>Memoires van een stressvol bestaan</t>
  </si>
  <si>
    <t>Memory - Age factors</t>
  </si>
  <si>
    <t>Memory and Brain</t>
  </si>
  <si>
    <t>Memory and Suggestibility in the Forensic Interview</t>
  </si>
  <si>
    <t>Memory in Dispute</t>
  </si>
  <si>
    <t>Recovered memory.</t>
  </si>
  <si>
    <t>Memory in Mind and Culture</t>
  </si>
  <si>
    <t>Recollection (Psychology)</t>
  </si>
  <si>
    <t>Memory disorders</t>
  </si>
  <si>
    <t>Recovered memory</t>
  </si>
  <si>
    <t>Substance abuse - Patients - Counseling of</t>
  </si>
  <si>
    <t>Men in Black</t>
  </si>
  <si>
    <t>Men in Feminism (RLE Feminist Theory)</t>
  </si>
  <si>
    <t>Mental Disorders in the Classical World</t>
  </si>
  <si>
    <t>Mental Health and Care Homes</t>
  </si>
  <si>
    <t>Nursing Homes - Great Britain</t>
  </si>
  <si>
    <t>Mental Health and Deafness</t>
  </si>
  <si>
    <t>Mental Health and HIV Infection</t>
  </si>
  <si>
    <t>HIV infections</t>
  </si>
  <si>
    <t>Older people - Mental health services</t>
  </si>
  <si>
    <t>Mental Health Aspects of Autism and Asperger Syndrome</t>
  </si>
  <si>
    <t>Japan - epidemiology</t>
  </si>
  <si>
    <t>WHO Regional Office for Europe</t>
  </si>
  <si>
    <t>Mental health--Congresses.</t>
  </si>
  <si>
    <t>Mental Health Informatics</t>
  </si>
  <si>
    <t>Medical informatics.</t>
  </si>
  <si>
    <t>Mental Health Interventions and Services for Vulnerable Children and Young People</t>
  </si>
  <si>
    <t>Mental health services -- Information technology.</t>
  </si>
  <si>
    <t>Mental Health Promotion</t>
  </si>
  <si>
    <t>Mental Health Promotion in Schools</t>
  </si>
  <si>
    <t>Bentham Science Publishers</t>
  </si>
  <si>
    <t>Mentally Disabled Persons - Great Britain</t>
  </si>
  <si>
    <t>Mental Health Services for Minority Ethnic Children and Adolescents</t>
  </si>
  <si>
    <t>Adoption - psychology</t>
  </si>
  <si>
    <t>Case studies</t>
  </si>
  <si>
    <t>Mental Space</t>
  </si>
  <si>
    <t>Athletes - Mental health</t>
  </si>
  <si>
    <t>Mentalizing in the Development and Treatment of Attachment Trauma</t>
  </si>
  <si>
    <t>Mentoring in education - United States</t>
  </si>
  <si>
    <t>Metabolic Syndrome and Psychiatric Illness: Interactions, Pathophysiology, Assessment and Treatment</t>
  </si>
  <si>
    <t>Metacognition</t>
  </si>
  <si>
    <t>Psychology, Social</t>
  </si>
  <si>
    <t>Metacognition, Strategy Use, and Instruction</t>
  </si>
  <si>
    <t>Language and emotions</t>
  </si>
  <si>
    <t>Metaphor and Gesture</t>
  </si>
  <si>
    <t>Methodology of Frontal and Executive Function</t>
  </si>
  <si>
    <t>Methods for Disaster Mental Health Research</t>
  </si>
  <si>
    <t>Methods in Social Neuroscience</t>
  </si>
  <si>
    <t>Microgenetic Approach to the Conscious Mind</t>
  </si>
  <si>
    <t>Career changes</t>
  </si>
  <si>
    <t>Middle-aged persons in literature</t>
  </si>
  <si>
    <t>Midwives’ Emotional Care of Women becoming Mothers</t>
  </si>
  <si>
    <t>Psychiatric nursing.</t>
  </si>
  <si>
    <t>Military Neuropsychology</t>
  </si>
  <si>
    <t>Military Psychologists' Desk Reference</t>
  </si>
  <si>
    <t>Psychology, Military -- Handbooks, manuals, etc.</t>
  </si>
  <si>
    <t>Millon inventories (Personality tests)</t>
  </si>
  <si>
    <t>Milton H Erickson</t>
  </si>
  <si>
    <t>Melancholy--Poetry.</t>
  </si>
  <si>
    <t>Mind, Brain, and Schizophrenia</t>
  </si>
  <si>
    <t>The Mind in Context</t>
  </si>
  <si>
    <t>Manic-depressive illness in adolescence</t>
  </si>
  <si>
    <t>The Mind-Brain Relationship</t>
  </si>
  <si>
    <t>SELF-HELP / Anxieties &amp; Phobias</t>
  </si>
  <si>
    <t>Mindfulness-based cognitive therapy.</t>
  </si>
  <si>
    <t>A Mindfulness-Based Approach to Working with High-Risk Adolescents</t>
  </si>
  <si>
    <t>Problem youth - Psychology</t>
  </si>
  <si>
    <t>Minding Spirituality</t>
  </si>
  <si>
    <t>Spirituality - Psychology.</t>
  </si>
  <si>
    <t>Theory of Mind</t>
  </si>
  <si>
    <t>Minnesota Symposia on Child Psychology</t>
  </si>
  <si>
    <t>The Mirror and the Hammer</t>
  </si>
  <si>
    <t>Mirror Neurons and the Evolution of Brain and Language</t>
  </si>
  <si>
    <t>Missing observations (Statistics)</t>
  </si>
  <si>
    <t>Mnemonics.</t>
  </si>
  <si>
    <t>Modelling High-Level Cognitive Processes</t>
  </si>
  <si>
    <t>Modelpsychologie</t>
  </si>
  <si>
    <t>Models of Cognitive Development</t>
  </si>
  <si>
    <t>Schizophrenia - Social aspects</t>
  </si>
  <si>
    <t>Models of Psychopathology</t>
  </si>
  <si>
    <t>Models of Visuospatial Cognition</t>
  </si>
  <si>
    <t>Critical Publishing</t>
  </si>
  <si>
    <t>Psychiatry.</t>
  </si>
  <si>
    <t>Modern Perspectives on J. R. Kantor and Interbehaviorism</t>
  </si>
  <si>
    <t>Modular Cognitive-Behavioral Therapy for Childhood Anxiety Disorders</t>
  </si>
  <si>
    <t>Acting Out</t>
  </si>
  <si>
    <t>Surrogate motherhood - Psychological aspects</t>
  </si>
  <si>
    <t>Marriage</t>
  </si>
  <si>
    <t>The Moon and Madness</t>
  </si>
  <si>
    <t>Moral Development, Self, and Identity</t>
  </si>
  <si>
    <t>Moral development.</t>
  </si>
  <si>
    <t>Moral Panics</t>
  </si>
  <si>
    <t>Sociological aspects</t>
  </si>
  <si>
    <t>Moral Psychology</t>
  </si>
  <si>
    <t>Morality and Self-Interest</t>
  </si>
  <si>
    <t>Scott &amp; Nix, Inc.</t>
  </si>
  <si>
    <t>Sexual deviation.</t>
  </si>
  <si>
    <t>Motherhood in the Twenty-First Century</t>
  </si>
  <si>
    <t>Mothering and Ambivalence</t>
  </si>
  <si>
    <t>Ambivalence</t>
  </si>
  <si>
    <t>Mothers, Babies and Their Body Language</t>
  </si>
  <si>
    <t>Motivation and Action</t>
  </si>
  <si>
    <t>Motivational Interviewing in the Treatment of Anxiety</t>
  </si>
  <si>
    <t>Motor learning</t>
  </si>
  <si>
    <t>Multimedia systems</t>
  </si>
  <si>
    <t>Multiple Intelligences in the Classroom</t>
  </si>
  <si>
    <t>Association for Supervision &amp; Curriculum Development</t>
  </si>
  <si>
    <t>Eating disorders - Treatment</t>
  </si>
  <si>
    <t>Music Therapy</t>
  </si>
  <si>
    <t>Music Therapy with Children and Their Families</t>
  </si>
  <si>
    <t>United States - Ethnic relations - Research - Methodology</t>
  </si>
  <si>
    <t>Jungian psychology -- History.</t>
  </si>
  <si>
    <t>My Self, My Many Selves</t>
  </si>
  <si>
    <t>Self</t>
  </si>
  <si>
    <t>The Myriad Gifts of Asperger's Syndrome</t>
  </si>
  <si>
    <t>Moral panics</t>
  </si>
  <si>
    <t>The Myth of Sex Addiction</t>
  </si>
  <si>
    <t>Savant syndrome - Longitudinal studies</t>
  </si>
  <si>
    <t>Couples - Psychology</t>
  </si>
  <si>
    <t>Narrative and Psychotherapy</t>
  </si>
  <si>
    <t>Narrative Approaches in Play with Children</t>
  </si>
  <si>
    <t>Narrative Approaches to Brain Injury</t>
  </si>
  <si>
    <t>Narrative Gerontology in Research and Practice</t>
  </si>
  <si>
    <t>Narrative Intelligence</t>
  </si>
  <si>
    <t>Narrative Therapy</t>
  </si>
  <si>
    <t>Constructivism (Psychology)</t>
  </si>
  <si>
    <t>Narratives in Psychiatry</t>
  </si>
  <si>
    <t>Narratives of Identity and Place</t>
  </si>
  <si>
    <t>Place attachment - Psychological aspects</t>
  </si>
  <si>
    <t>Nationalism and the Body Politic</t>
  </si>
  <si>
    <t>Nationalism and War</t>
  </si>
  <si>
    <t>Natural Conflict Resolution</t>
  </si>
  <si>
    <t>Naturalistic Decision Making and Macrocognition</t>
  </si>
  <si>
    <t>Nature and Nurture in Early Child Development</t>
  </si>
  <si>
    <t>Nature and Nurture of Antisocial Outcomes</t>
  </si>
  <si>
    <t>The Nature of Adolescence</t>
  </si>
  <si>
    <t>Grief</t>
  </si>
  <si>
    <t>Couples Therapy - methods</t>
  </si>
  <si>
    <t>Neural Basis of Consciousness</t>
  </si>
  <si>
    <t>Psychology, Pathological--Computer simulation</t>
  </si>
  <si>
    <t>Neurobiology of Mental Illness</t>
  </si>
  <si>
    <t>Neuroplasticity and Rehabilitation</t>
  </si>
  <si>
    <t>The Neuropsychiatry of Epilepsy</t>
  </si>
  <si>
    <t>The Neuropsychiatry of Headache</t>
  </si>
  <si>
    <t>Neuropsychological Assessment of Neuropsychiatric and Neuromedical Disorders</t>
  </si>
  <si>
    <t>Neuropsychological Assessment of Work-Related Injuries</t>
  </si>
  <si>
    <t>Neuropsychological Management of Mild Traumatic Brain Injury</t>
  </si>
  <si>
    <t>Forensic neuropsychology.</t>
  </si>
  <si>
    <t>The Neuropsychology of Asian Americans</t>
  </si>
  <si>
    <t>Asian Americans - ethnology - United States</t>
  </si>
  <si>
    <t>Neuropsychology of Cancer and Oncology</t>
  </si>
  <si>
    <t>The Neuropsychology of Emotion</t>
  </si>
  <si>
    <t>Neuropsychology of Epilepsy and Epilepsy Surgery</t>
  </si>
  <si>
    <t>The Neuropsychology of Mental Illness</t>
  </si>
  <si>
    <t>Mental illness - Psychological aspects</t>
  </si>
  <si>
    <t>The Neuropsychology of Psychopathology</t>
  </si>
  <si>
    <t>The Neuropsychology of Smell and Taste</t>
  </si>
  <si>
    <t>Taste</t>
  </si>
  <si>
    <t>Neuroscience of Decision Making</t>
  </si>
  <si>
    <t>Neurosciences</t>
  </si>
  <si>
    <t>The New Dictionary of Kleinian Thought</t>
  </si>
  <si>
    <t>Psychoanalytic Theory - English</t>
  </si>
  <si>
    <t>New Dimensions in Body Psychotherapy</t>
  </si>
  <si>
    <t>New Directions in Counselling</t>
  </si>
  <si>
    <t>Training of</t>
  </si>
  <si>
    <t>New Directions in Human Associative Learning</t>
  </si>
  <si>
    <t>Paired-association learning -- Textbooks.</t>
  </si>
  <si>
    <t>New Directions in Organizational Psychology and Behavioral Medicine</t>
  </si>
  <si>
    <t>Relaxation -- Study and teaching.</t>
  </si>
  <si>
    <t>Child psychotherapy</t>
  </si>
  <si>
    <t>New Frontiers in Work and Family Research</t>
  </si>
  <si>
    <t>Work-life balance</t>
  </si>
  <si>
    <t>The New Handbook of Counseling Supervision</t>
  </si>
  <si>
    <t>Counselors -- Supervision of.</t>
  </si>
  <si>
    <t>The New Science of Axiological Psychology</t>
  </si>
  <si>
    <t>New Unconscious</t>
  </si>
  <si>
    <t>Subconsciousness.</t>
  </si>
  <si>
    <t>Eating disorders.</t>
  </si>
  <si>
    <t>No Child Left Different</t>
  </si>
  <si>
    <t>Psychologists - Great Britain - Biography</t>
  </si>
  <si>
    <t>Nonlinear Dynamics and Chaos with Applications to Hydrodynamics and Hydrological Modelling</t>
  </si>
  <si>
    <t>Nonverbal Behavior in Clinical Settings</t>
  </si>
  <si>
    <t>Nonverbal Communication in Close Relationships</t>
  </si>
  <si>
    <t>Normal and Abnormal Fear and Anxiety in Children and Adolescents</t>
  </si>
  <si>
    <t>Not Now . . . I'm Having a No Hair Day</t>
  </si>
  <si>
    <t>Psychotherapy - Complications</t>
  </si>
  <si>
    <t>Novel Approaches to the Diagnosis and Treatment of Posttraumatic Stress Disorder</t>
  </si>
  <si>
    <t>npj Mental Health Research</t>
  </si>
  <si>
    <t>2731-4251</t>
  </si>
  <si>
    <t>The Nursery Age Child</t>
  </si>
  <si>
    <t>Nurses' Guide to Teaching Diabetes Self-Management</t>
  </si>
  <si>
    <t>Nursing and Health Survival Guide: Compassion, Caring and Communication</t>
  </si>
  <si>
    <t>Nutrition Counseling in the Treatment of Eating Disorders</t>
  </si>
  <si>
    <t>Nutritional Strategies for the Very Low Birthweight Infant</t>
  </si>
  <si>
    <t>Infant, Very Low Birth Weight</t>
  </si>
  <si>
    <t>Object Relations, the Self and the Group</t>
  </si>
  <si>
    <t>Health care teams - Psychological aspects.</t>
  </si>
  <si>
    <t>Obsessive-Compulsive Disorder: Subtypes and Spectrum Conditions</t>
  </si>
  <si>
    <t>Occupational Health: a Practical Guide for Managers</t>
  </si>
  <si>
    <t>Oedipus and the Couple</t>
  </si>
  <si>
    <t>Oedipus complex.</t>
  </si>
  <si>
    <t>Off the Couch</t>
  </si>
  <si>
    <t>Group psychoanalysis</t>
  </si>
  <si>
    <t>Older Adults' Views on Death</t>
  </si>
  <si>
    <t>On Apologising in Negative and Positive Politeness Cultures</t>
  </si>
  <si>
    <t>On Apology</t>
  </si>
  <si>
    <t>On Courage</t>
  </si>
  <si>
    <t>Courage</t>
  </si>
  <si>
    <t>On Delusion</t>
  </si>
  <si>
    <t>Desire.</t>
  </si>
  <si>
    <t>On Freud's Beyond the Pleasure Principle</t>
  </si>
  <si>
    <t>On Freud's Constructions in Analysis</t>
  </si>
  <si>
    <t>On Freud's Creative Writers and Day-Dreaming</t>
  </si>
  <si>
    <t>On Freud's Femininity</t>
  </si>
  <si>
    <t>On Freud's the Future of an Illusion</t>
  </si>
  <si>
    <t>On Freud's Inhibitions, Symptoms and Anxiety</t>
  </si>
  <si>
    <t>On Freud's Mourning and Melancholia</t>
  </si>
  <si>
    <t>On Freud's Negation</t>
  </si>
  <si>
    <t>On Freud's Observations on Transference-Love</t>
  </si>
  <si>
    <t>On Freud's on Beginning the Treatment</t>
  </si>
  <si>
    <t>On Freud's Splitting of the Ego in the Process of Defence</t>
  </si>
  <si>
    <t>Parricide in literature</t>
  </si>
  <si>
    <t>On Paedophilia</t>
  </si>
  <si>
    <t>On Private Madness</t>
  </si>
  <si>
    <t>On Sexuality and Power</t>
  </si>
  <si>
    <t>Internet - trends</t>
  </si>
  <si>
    <t>Ordinal Measurement in the Behavioral Sciences</t>
  </si>
  <si>
    <t>The Organic and the Inner World</t>
  </si>
  <si>
    <t>Organization and Identity</t>
  </si>
  <si>
    <t>Neuropsychology.</t>
  </si>
  <si>
    <t>Orienting of Attention</t>
  </si>
  <si>
    <t>Origins of Responsibility</t>
  </si>
  <si>
    <t>The Origins of Schizophrenia</t>
  </si>
  <si>
    <t>Schizophrenia -- Etiology.</t>
  </si>
  <si>
    <t>Springer Japan</t>
  </si>
  <si>
    <t>Osama Bin Laden</t>
  </si>
  <si>
    <t>Social isolation</t>
  </si>
  <si>
    <t>Self-consciousness (Sensitivity)</t>
  </si>
  <si>
    <t>Our Needs for Others and Its Roots in Infancy</t>
  </si>
  <si>
    <t>Racism - Psychological aspects</t>
  </si>
  <si>
    <t>Out of the Mainstream: Helping the Children of Parents with a Mental Illness</t>
  </si>
  <si>
    <t>Teenagers--Suicidal behavior</t>
  </si>
  <si>
    <t>Outcome Assessment in Residential Treatment</t>
  </si>
  <si>
    <t>Learning Disorders - therapy</t>
  </si>
  <si>
    <t>Overcoming Pathological Gambling</t>
  </si>
  <si>
    <t>Compulsive gambling - Treatment</t>
  </si>
  <si>
    <t>Recovering addicts - Counseling of</t>
  </si>
  <si>
    <t>Overcoming Your Pathological Gambling</t>
  </si>
  <si>
    <t>Compulsive gambling -- Treatment.</t>
  </si>
  <si>
    <t>Job stress</t>
  </si>
  <si>
    <t>Oxford Guide to CBT for People with Cancer</t>
  </si>
  <si>
    <t>Neoplasms - psychology</t>
  </si>
  <si>
    <t>The Oxford Handbook of Child Psychological Assessment</t>
  </si>
  <si>
    <t>Oxford Handbook of Clinical Haematology</t>
  </si>
  <si>
    <t>The Oxford Handbook of Culture and Psychology</t>
  </si>
  <si>
    <t>The Oxford Handbook of Education and Training in Professional Psychology</t>
  </si>
  <si>
    <t>Oxford Handbook of Face Perception</t>
  </si>
  <si>
    <t>The Oxford Handbook of Hoarding and Acquiring</t>
  </si>
  <si>
    <t>The Oxford Handbook of Infant, Child, and Adolescent Sleep and Behavior</t>
  </si>
  <si>
    <t>The Oxford Handbook of Research Strategies for Clinical Psychology</t>
  </si>
  <si>
    <t>Clinical psychology -- Research -- Methodology -- Handbooks, manuals, etc.</t>
  </si>
  <si>
    <t>Oxytocin, Vasopressin and Related Peptides in the Regulation of Behavior</t>
  </si>
  <si>
    <t>Pacific Islanders - New Zealand - Ethnic identity</t>
  </si>
  <si>
    <t>Motor Skills - physiology</t>
  </si>
  <si>
    <t>Pain - Psychological aspects.</t>
  </si>
  <si>
    <t>Panic</t>
  </si>
  <si>
    <t>Papers on Psychoanalysis</t>
  </si>
  <si>
    <t>Online chat groups.</t>
  </si>
  <si>
    <t>The Paradoxical Legacy of Sigmund Freud</t>
  </si>
  <si>
    <t>Paranoia</t>
  </si>
  <si>
    <t>Parapsychology -- Research.</t>
  </si>
  <si>
    <t>Behavior disorders in adolescence - Prevention</t>
  </si>
  <si>
    <t>Partiality</t>
  </si>
  <si>
    <t>A Passion for Friends</t>
  </si>
  <si>
    <t>Passionate Supervision</t>
  </si>
  <si>
    <t>Past, Present, and Future Contributions of Cognitive Writing Research to Cognitive Psychology</t>
  </si>
  <si>
    <t>Research - Psychological aspects</t>
  </si>
  <si>
    <t>Psychophysiology - methods</t>
  </si>
  <si>
    <t>Phenomenological psychology</t>
  </si>
  <si>
    <t>Patient Safety - a Psychological Perspective</t>
  </si>
  <si>
    <t>Peak Performance Every Time</t>
  </si>
  <si>
    <t>Self-management (Psychology)</t>
  </si>
  <si>
    <t>The Pedagogy of Creativity</t>
  </si>
  <si>
    <t>Creative teaching - Philosophy</t>
  </si>
  <si>
    <t>Pediatric Forensic Neuropsychology</t>
  </si>
  <si>
    <t>Brain-damaged children - Rehabilitation</t>
  </si>
  <si>
    <t>Harrae, Rom</t>
  </si>
  <si>
    <t>Perception</t>
  </si>
  <si>
    <t>Perception, Hallucination, and Illusion</t>
  </si>
  <si>
    <t>Perceptual Experience</t>
  </si>
  <si>
    <t>Communication in politics - Psychological aspects</t>
  </si>
  <si>
    <t>Perfectionism and Contemporary Feminist Values</t>
  </si>
  <si>
    <t>Performance under Stress</t>
  </si>
  <si>
    <t>Person Centred Planning and Care Management with People with Learning Disabilities</t>
  </si>
  <si>
    <t>Person Centred Practice for Professionals</t>
  </si>
  <si>
    <t>The Person in Social Psychology</t>
  </si>
  <si>
    <t>Personal and Professional Development for Counsellors</t>
  </si>
  <si>
    <t>Personal Construct Counselling in Action</t>
  </si>
  <si>
    <t>Personal construct therapy</t>
  </si>
  <si>
    <t>Personal Construct Perspectives on Forensic Psychology</t>
  </si>
  <si>
    <t>Personal construct theory</t>
  </si>
  <si>
    <t>Personal Hygiene? What's That Got to Do with Me?</t>
  </si>
  <si>
    <t>Personality</t>
  </si>
  <si>
    <t>Personality 101</t>
  </si>
  <si>
    <t>Personality and the Cultural Construction of Society</t>
  </si>
  <si>
    <t>Antisocial personality disorders--History</t>
  </si>
  <si>
    <t>Personality and Intellectual Competence</t>
  </si>
  <si>
    <t>Personality and intelligence.</t>
  </si>
  <si>
    <t>Personality and Organizations</t>
  </si>
  <si>
    <t>Personality and occupation.</t>
  </si>
  <si>
    <t>Personality and Social Behavior</t>
  </si>
  <si>
    <t>Personality assessment</t>
  </si>
  <si>
    <t>Personality Development</t>
  </si>
  <si>
    <t>The Person-Centred Approach to Therapeutic Change</t>
  </si>
  <si>
    <t>Psychotherapy - methods</t>
  </si>
  <si>
    <t>Person-Centred Counselling Training</t>
  </si>
  <si>
    <t>Client-centered psychotherapy -</t>
  </si>
  <si>
    <t>Person-Centred Therapy in Focus</t>
  </si>
  <si>
    <t>Self-analysis (Psychoanalysis)</t>
  </si>
  <si>
    <t>Perspectives on Agrammatism</t>
  </si>
  <si>
    <t>Agrammatism</t>
  </si>
  <si>
    <t>Perspectives on Classifier Constructions in Sign Languages</t>
  </si>
  <si>
    <t>Perspectives on Drug Use in the United States</t>
  </si>
  <si>
    <t>Body schema</t>
  </si>
  <si>
    <t>Perspectives on Supervision</t>
  </si>
  <si>
    <t>Family therapists -- Supervision of.</t>
  </si>
  <si>
    <t>Perspectives on Thinking, Learning, and Cognitive Styles</t>
  </si>
  <si>
    <t>The Perverse Organisation and Its Deadly Sins</t>
  </si>
  <si>
    <t>Pharmacotherapeutics in General, Mental and Sexual Health</t>
  </si>
  <si>
    <t>Pharmacotherapeutics in Medical Disorders</t>
  </si>
  <si>
    <t>Philosophical Dimensions of Personal Construct Psychology</t>
  </si>
  <si>
    <t>Personal construct theory -- Philosophy.</t>
  </si>
  <si>
    <t>Truth Disclosure</t>
  </si>
  <si>
    <t>Philosophy and Organization Theory</t>
  </si>
  <si>
    <t>The Philosophy of Play</t>
  </si>
  <si>
    <t>The Philosophy of Psychology</t>
  </si>
  <si>
    <t>Psychology and philosophy</t>
  </si>
  <si>
    <t>Psychology--Philosophy</t>
  </si>
  <si>
    <t>Physical Activity and Behavioral Medicine</t>
  </si>
  <si>
    <t>Physical Activity and Psychological Well-Being</t>
  </si>
  <si>
    <t>Exercise</t>
  </si>
  <si>
    <t>Physical Development in the Early Years</t>
  </si>
  <si>
    <t>Visual perception</t>
  </si>
  <si>
    <t>Young women - United States - Psychology</t>
  </si>
  <si>
    <t>Place Identity, Participation and Planning</t>
  </si>
  <si>
    <t>The Placebo Effect in Clinical Practice</t>
  </si>
  <si>
    <t>The Placebo Response and the Power of Unconscious Healing</t>
  </si>
  <si>
    <t>Placebo Effect</t>
  </si>
  <si>
    <t>Spielforschung</t>
  </si>
  <si>
    <t>Play and Power</t>
  </si>
  <si>
    <t>Play therapy.</t>
  </si>
  <si>
    <t>Play and Reflection in Donald Winnicott's Writings</t>
  </si>
  <si>
    <t>Play, Dreams and Imitation in Childhood</t>
  </si>
  <si>
    <t>Play, Playfulness, Creativity and Innovation</t>
  </si>
  <si>
    <t>Play Therapy with Adolescents</t>
  </si>
  <si>
    <t>Play-Based Interventions for Children and Adolescents with Autism Spectrum Disorders</t>
  </si>
  <si>
    <t>Child Development Disorders, Pervasive - therapy</t>
  </si>
  <si>
    <t>Princeton Book Company</t>
  </si>
  <si>
    <t>Learning</t>
  </si>
  <si>
    <t>Psychodrama</t>
  </si>
  <si>
    <t>Transgender people</t>
  </si>
  <si>
    <t>Sex.</t>
  </si>
  <si>
    <t>Plurality and Perspective in Psychoanalysis</t>
  </si>
  <si>
    <t>Families - Psychological aspects</t>
  </si>
  <si>
    <t>Policing Sex</t>
  </si>
  <si>
    <t>SOCIAL SCIENCE - Criminology</t>
  </si>
  <si>
    <t>The Political Economy of Peacemaking</t>
  </si>
  <si>
    <t>Peace - Political aspects</t>
  </si>
  <si>
    <t>Political Emotions</t>
  </si>
  <si>
    <t>Social action.</t>
  </si>
  <si>
    <t>Popular Culture in Counseling, Psychotherapy, and Play-Based Interventions</t>
  </si>
  <si>
    <t>Portraits of Pioneers in Developmental Psychology</t>
  </si>
  <si>
    <t>Developmental psychology - History</t>
  </si>
  <si>
    <t>Positive Psychology</t>
  </si>
  <si>
    <t>The Positive Side of Negative Emotions</t>
  </si>
  <si>
    <t>Templeton Press</t>
  </si>
  <si>
    <t>The Possible Profession:the Analytic Process of Change</t>
  </si>
  <si>
    <t>Post-Traumatic Stress Disorder and Chronic Health Conditions</t>
  </si>
  <si>
    <t>APHA Press</t>
  </si>
  <si>
    <t>Posttraumatic Growth in Clinical Practice</t>
  </si>
  <si>
    <t>Power and Organizations</t>
  </si>
  <si>
    <t>Control (Psychology)</t>
  </si>
  <si>
    <t>Power of Appreciation, The</t>
  </si>
  <si>
    <t>Sympathy.</t>
  </si>
  <si>
    <t>The Power of a Positive Attitude</t>
  </si>
  <si>
    <t>Nonverbal communication.</t>
  </si>
  <si>
    <t>FAMILY &amp; RELATIONSHIPS / General</t>
  </si>
  <si>
    <t>A Practical Art Therapy</t>
  </si>
  <si>
    <t>Practical Child and Adolescent Psychopharmacology</t>
  </si>
  <si>
    <t>Practical Counselling and Helping</t>
  </si>
  <si>
    <t>Practical Dementia Care</t>
  </si>
  <si>
    <t>A Practical Guide to Caring for Children and Teenagers with Attachment Difficulties</t>
  </si>
  <si>
    <t>The Practice of Counselling in Primary Care</t>
  </si>
  <si>
    <t>Mental health counseling</t>
  </si>
  <si>
    <t>The Practice of Psychoanalysis</t>
  </si>
  <si>
    <t>Practitioner Research in Counselling</t>
  </si>
  <si>
    <t>Counseling - Research - Methodology</t>
  </si>
  <si>
    <t>A Practitioner's Guide to Rational Emotive Behavior Therapy</t>
  </si>
  <si>
    <t>Rational emotive behavior therapy.</t>
  </si>
  <si>
    <t>Praeger Guide to the Psychology of Gender</t>
  </si>
  <si>
    <t>Predicates and Temporal Arguments</t>
  </si>
  <si>
    <t>Diplomica Verlag</t>
  </si>
  <si>
    <t>Pregnancy</t>
  </si>
  <si>
    <t>Pregnant women</t>
  </si>
  <si>
    <t>Pregnancy and Abortion Counselling</t>
  </si>
  <si>
    <t>Law and legislation</t>
  </si>
  <si>
    <t>The Prenatal Theme in Psychotherapy</t>
  </si>
  <si>
    <t>Preparing for Weight Loss Surgery</t>
  </si>
  <si>
    <t>The Pre-Psychoanalytic Writings of Sigmund Freud</t>
  </si>
  <si>
    <t>The Prescription Drug Guide for Nurses</t>
  </si>
  <si>
    <t>Presence of Mind in Neurophysiological Processes</t>
  </si>
  <si>
    <t>Neurophysiology.</t>
  </si>
  <si>
    <t>Preventing Boundary Violations in Clinical Practice</t>
  </si>
  <si>
    <t>Preventing Childhood Disorders, Substance Abuse, and Delinquency</t>
  </si>
  <si>
    <t>Mental illness - Prevention</t>
  </si>
  <si>
    <t>Preventing Mental Illness in Practice</t>
  </si>
  <si>
    <t>Preventive Counseling</t>
  </si>
  <si>
    <t>Primate Models of Children's Health and Developmental Disabilities</t>
  </si>
  <si>
    <t>A Primer for Beginning Psychotherapy</t>
  </si>
  <si>
    <t>A Primer of Signal Detection Theory</t>
  </si>
  <si>
    <t>Primitive Agony and Symbolization</t>
  </si>
  <si>
    <t>Principles and Practice of Grief Counseling</t>
  </si>
  <si>
    <t>Principles and Practice of Group Work in Addictions</t>
  </si>
  <si>
    <t>Principles and Practice of Lifespan Developmental Neuropsychology</t>
  </si>
  <si>
    <t>Pediatric neuropsychology</t>
  </si>
  <si>
    <t>Principles and Practice of Trial Consultation</t>
  </si>
  <si>
    <t>Principles of Behavioral and Cognitive Neurology</t>
  </si>
  <si>
    <t>Principles of Frontal Lobe Function</t>
  </si>
  <si>
    <t>Principles of Neuropsychological Rehabilitation</t>
  </si>
  <si>
    <t>Principles of Rorschach Interpretation</t>
  </si>
  <si>
    <t>Rorschach Test -- Interpretation.</t>
  </si>
  <si>
    <t>The Problem of Emotions in Societies</t>
  </si>
  <si>
    <t>Monthly Review Press</t>
  </si>
  <si>
    <t>Psychotic Disorders - complications</t>
  </si>
  <si>
    <t>Problem-Solving and Thinking Skills Resources for Able and Talented Children</t>
  </si>
  <si>
    <t>Gifted children-Education-Activity programs.</t>
  </si>
  <si>
    <t>Processes of Community Change and Social Action</t>
  </si>
  <si>
    <t>The Procrastinator's Guide to Getting Things Done</t>
  </si>
  <si>
    <t>Procuring Innovative Architecture</t>
  </si>
  <si>
    <t>Product Experience</t>
  </si>
  <si>
    <t>Sports psychologists</t>
  </si>
  <si>
    <t>Profiling in Policy and Practice</t>
  </si>
  <si>
    <t>Projection, Identification, Projective Identification</t>
  </si>
  <si>
    <t>Promises</t>
  </si>
  <si>
    <t>Promoting Psychological Resilience in the U.S. Military</t>
  </si>
  <si>
    <t>Promoting Psychological Well-Being in Children with Acute and Chronic Illness</t>
  </si>
  <si>
    <t>Promoting the Psychosocial Well Being of Children Following War and Terrorism</t>
  </si>
  <si>
    <t>Pro-Social and Anti-Social Behaviour</t>
  </si>
  <si>
    <t>Prosocial Behaviour</t>
  </si>
  <si>
    <t>Social interaction in children</t>
  </si>
  <si>
    <t>Protección de la salud mental en situaciones de desastres y emergencias</t>
  </si>
  <si>
    <t>Children and violence - Psychological aspects</t>
  </si>
  <si>
    <t>The Protective Shell in Children and Adults</t>
  </si>
  <si>
    <t>Psychiatric and Behavioural Disorders in Intellectual and Developmental Disabilities</t>
  </si>
  <si>
    <t>People with mental disabilities--Mental health</t>
  </si>
  <si>
    <t>Psychiatric and Cognitive Disorders in Parkinson's Disease</t>
  </si>
  <si>
    <t>Parkinson's disease--Patients--Mental health</t>
  </si>
  <si>
    <t>The Psychiatric Mental Status Examination</t>
  </si>
  <si>
    <t>Psychiatric Rehabilitation</t>
  </si>
  <si>
    <t>Mentally ill--Rehabilitation.</t>
  </si>
  <si>
    <t>Psychiatry on the Move</t>
  </si>
  <si>
    <t>Psychiatry--Examinations--Study guides.</t>
  </si>
  <si>
    <t>Psychic Deadness</t>
  </si>
  <si>
    <t>Psychoanalysis and culture</t>
  </si>
  <si>
    <t>Psychoanalysis and Developmental Therapy</t>
  </si>
  <si>
    <t>Psychoanalysis and Film</t>
  </si>
  <si>
    <t>Motion pictures - Psychological aspects</t>
  </si>
  <si>
    <t>Psychoanalysis and Positivity</t>
  </si>
  <si>
    <t>Psychoanalysis in Focus</t>
  </si>
  <si>
    <t>Social sciences and psychoanalysis</t>
  </si>
  <si>
    <t>The Psychoanalysis of Sexual Functions of Women</t>
  </si>
  <si>
    <t>A Psychoanalytic Approach to Visual Artists</t>
  </si>
  <si>
    <t>Psychoanalytic Essays on Power and Vulnerability</t>
  </si>
  <si>
    <t>Psychoanalytic Ideas and Shakespeare</t>
  </si>
  <si>
    <t>Psychoanalytic interpretation.</t>
  </si>
  <si>
    <t>Psychoanalytic Perspectives on a Turbulent World</t>
  </si>
  <si>
    <t>Social policy.</t>
  </si>
  <si>
    <t>Psychoanalytic Practice and State Regulation</t>
  </si>
  <si>
    <t>Psychoanalytic Psychotherapy in the Independent Tradition</t>
  </si>
  <si>
    <t>Psychoanalytic Psychotherapy in Institutional Settings</t>
  </si>
  <si>
    <t>Psychoanalytic Psychotherapy in the Kleinian Tradition</t>
  </si>
  <si>
    <t>Psychoanalytic Psychotherapy of the Severely Disturbed Adolescent</t>
  </si>
  <si>
    <t>Psychoanalytic Reflections on a Changing World</t>
  </si>
  <si>
    <t>Psychoanalytic Studies of the Personality</t>
  </si>
  <si>
    <t>Psychoanalytic Technique and the Creation of Analytic Patients</t>
  </si>
  <si>
    <t>Psychoanalytic Theories of Affect</t>
  </si>
  <si>
    <t>Psychoanalytic Theory, Therapy and the Self</t>
  </si>
  <si>
    <t>The Psychoanalytic Therapy of Severe Disturbance</t>
  </si>
  <si>
    <t>Transcendence (Philosophy)</t>
  </si>
  <si>
    <t>Psychodrama and Systemic Therapy</t>
  </si>
  <si>
    <t>A Psychodynamic Approach to Brief Therapy</t>
  </si>
  <si>
    <t>Brief psychotherapy</t>
  </si>
  <si>
    <t>The Psychodynamic Approach to Therapeutic Change</t>
  </si>
  <si>
    <t>Psychotherapist and patient.</t>
  </si>
  <si>
    <t>Psychological and Health-Related Assessment Tools Developed in China</t>
  </si>
  <si>
    <t>The Psychological and Social Impact of Illness and Disability</t>
  </si>
  <si>
    <t>Psychological Aspects of Crisis Negotiation</t>
  </si>
  <si>
    <t>Hostage negotiations -- Psychological aspects.</t>
  </si>
  <si>
    <t>Psychological Dimensions of Executive Coaching</t>
  </si>
  <si>
    <t>The Psychological Foundations of Culture</t>
  </si>
  <si>
    <t>Psychological Interventions in Times of Crisis</t>
  </si>
  <si>
    <t>Social networks - Therapeutic use.</t>
  </si>
  <si>
    <t>The Psychological Origins of Institutionalized Torture</t>
  </si>
  <si>
    <t>The Psychological Significance of the Blush</t>
  </si>
  <si>
    <t>Psychological tests</t>
  </si>
  <si>
    <t>Psychological Therapy in Prisons and Other Settings</t>
  </si>
  <si>
    <t>Psychologisation in Times of Globalisation</t>
  </si>
  <si>
    <t>Human behavior</t>
  </si>
  <si>
    <t>Psychologists' Desk Reference</t>
  </si>
  <si>
    <t>Psychology and Environmental Change</t>
  </si>
  <si>
    <t>Environmental psychology.</t>
  </si>
  <si>
    <t>Psychology and 'Human Nature'</t>
  </si>
  <si>
    <t>Psychology and the Natural Law of Reparation</t>
  </si>
  <si>
    <t>Reparation (Psychoanalysis)</t>
  </si>
  <si>
    <t>Psychology and Policing</t>
  </si>
  <si>
    <t>Police psychology</t>
  </si>
  <si>
    <t>Identity (Philosophical concept)</t>
  </si>
  <si>
    <t>Psychology and Selfhood in the Segregated South</t>
  </si>
  <si>
    <t>Psychology - Study and teaching - Southern States - History</t>
  </si>
  <si>
    <t>Psychology for Midwives</t>
  </si>
  <si>
    <t>Psychology for Nurses and the Caring Professions</t>
  </si>
  <si>
    <t>Football - Psychological aspects</t>
  </si>
  <si>
    <t>Psychology in Prisons</t>
  </si>
  <si>
    <t>Prison psychology</t>
  </si>
  <si>
    <t>The Psychology of Appearance</t>
  </si>
  <si>
    <t>The Psychology of Attitudes and Attitude Change</t>
  </si>
  <si>
    <t>The Psychology of B F Skinner</t>
  </si>
  <si>
    <t>The Psychology of Closed Mindedness</t>
  </si>
  <si>
    <t>The Psychology of Contemporary Art</t>
  </si>
  <si>
    <t>The Psychology of Death</t>
  </si>
  <si>
    <t>The Psychology of Digital Media at Work</t>
  </si>
  <si>
    <t>PSYCHOLOGY / General</t>
  </si>
  <si>
    <t>Lawrence Erlbaum Associates, Incorporated</t>
  </si>
  <si>
    <t>The Psychology of Ethnic Groups in the United States</t>
  </si>
  <si>
    <t>The Psychology of Eyewitness Identification</t>
  </si>
  <si>
    <t>Mistaken identity - Psychological aspects</t>
  </si>
  <si>
    <t>Fatigue.</t>
  </si>
  <si>
    <t>CABI</t>
  </si>
  <si>
    <t>Sex differences (Psychology) - Textbooks.</t>
  </si>
  <si>
    <t>The Psychology of Gratitude</t>
  </si>
  <si>
    <t>Gratitude.</t>
  </si>
  <si>
    <t>Medicine and pychology</t>
  </si>
  <si>
    <t>Psychology of the Image</t>
  </si>
  <si>
    <t>Psycholinguistics</t>
  </si>
  <si>
    <t>Productivity Press</t>
  </si>
  <si>
    <t>Psychology of Love 101</t>
  </si>
  <si>
    <t>The Psychology of Media and Politics</t>
  </si>
  <si>
    <t>University Of Hertfordshire Press</t>
  </si>
  <si>
    <t>The Psychology of Politicians</t>
  </si>
  <si>
    <t>Reading, Psychology of</t>
  </si>
  <si>
    <t>Reasoning (Psychology)</t>
  </si>
  <si>
    <t>The Psychology of Social Conflict and Aggression</t>
  </si>
  <si>
    <t>The Psychology of Stereotyping</t>
  </si>
  <si>
    <t>The Psychology of the Supreme Court</t>
  </si>
  <si>
    <t>Conduct of court proceedings - United States - Psychological aspects</t>
  </si>
  <si>
    <t>Filosofische aspecten</t>
  </si>
  <si>
    <t>Psychoonkologische Betreuung in der Gynäkologie</t>
  </si>
  <si>
    <t>Psychopathology and the Family</t>
  </si>
  <si>
    <t>Psychophysiology of Sex</t>
  </si>
  <si>
    <t>Psycho-Politics and Cultural Desires</t>
  </si>
  <si>
    <t>Psychoanalysis and the humanities</t>
  </si>
  <si>
    <t>Hallucinations - etiology</t>
  </si>
  <si>
    <t>Psychosis (Madness)</t>
  </si>
  <si>
    <t>Psychosocial Assessment and Treatment of Bariatric Surgery Patients</t>
  </si>
  <si>
    <t>Obesity, Morbid - therapy</t>
  </si>
  <si>
    <t>Psychosocial Assessment in Terminal Care</t>
  </si>
  <si>
    <t>Psychosocial Effects of Screening for Disease Prevention and Detection</t>
  </si>
  <si>
    <t>Psychosocial Practice Within a Residential Setting</t>
  </si>
  <si>
    <t>Psychotherapists - Professional ethics</t>
  </si>
  <si>
    <t>Psychotherapy and Politics</t>
  </si>
  <si>
    <t>Psychotherapy - Political aspects</t>
  </si>
  <si>
    <t>Psychotherapy and the Quest for Happiness</t>
  </si>
  <si>
    <t>Psychotherapy and Science</t>
  </si>
  <si>
    <t>Religious aspects</t>
  </si>
  <si>
    <t>Psychotherapy for Children with Bipolar and Depressive Disorders</t>
  </si>
  <si>
    <t>Psychotherapy for Neuropsychological Challenges</t>
  </si>
  <si>
    <t>Nervous System Diseases - psychology</t>
  </si>
  <si>
    <t>Psychotherapy in Everyday Life</t>
  </si>
  <si>
    <t>Psychotherapy of Abused and Neglected Children</t>
  </si>
  <si>
    <t>Psychotherapy with Older Men</t>
  </si>
  <si>
    <t>Older men - Mental health</t>
  </si>
  <si>
    <t>The Psychotic Core</t>
  </si>
  <si>
    <t>Psychoses.</t>
  </si>
  <si>
    <t>Psychotic States in Children</t>
  </si>
  <si>
    <t>Psychotic Temptation</t>
  </si>
  <si>
    <t>PTSD and Mild Traumatic Brain Injury</t>
  </si>
  <si>
    <t>Qualitative research</t>
  </si>
  <si>
    <t>Qualitative Research</t>
  </si>
  <si>
    <t>Qualitative Inquiry and the Conservative Challenge</t>
  </si>
  <si>
    <t>Qualitative research -- Political aspects.</t>
  </si>
  <si>
    <t>Qualitative Inquiry and Global Crises</t>
  </si>
  <si>
    <t>Qualitative Inquiry and Human Rights</t>
  </si>
  <si>
    <t>Qualitative Inquiry and the Politics of Advocacy</t>
  </si>
  <si>
    <t>Qualitative Inquiry and the Politics of Evidence</t>
  </si>
  <si>
    <t>Qualitative Interpretation and Analysis in Psychology</t>
  </si>
  <si>
    <t>Qualitative Interviewing</t>
  </si>
  <si>
    <t>Queering Freedom</t>
  </si>
  <si>
    <t>The Quest for Conscience and the Birth of the Mind</t>
  </si>
  <si>
    <t>The Quest to Feel Good</t>
  </si>
  <si>
    <t>Emotions -- Psychological aspects.</t>
  </si>
  <si>
    <t>Psychodynamic psychotherapy</t>
  </si>
  <si>
    <t>Race and Nation in Modern Latin America</t>
  </si>
  <si>
    <t>Manic-depressive illness in children - Popular works</t>
  </si>
  <si>
    <t>Psychic trauma in children - Treatment.</t>
  </si>
  <si>
    <t>The Rational Emotive Behavioural Approach to Therapeutic Change</t>
  </si>
  <si>
    <t>Rational Emotive Behavioural Counselling in Action</t>
  </si>
  <si>
    <t>Rational-emotive psychotherapy</t>
  </si>
  <si>
    <t>The Rationalizing Voter</t>
  </si>
  <si>
    <t>Reading and Dyslexia in Different Orthographies</t>
  </si>
  <si>
    <t>Dyslexic children - Education</t>
  </si>
  <si>
    <t>Reading Anna Freud</t>
  </si>
  <si>
    <t>Developmental therapy for children</t>
  </si>
  <si>
    <t>Psychoanalysis and human geography</t>
  </si>
  <si>
    <t>The Reality of Social Construction</t>
  </si>
  <si>
    <t>Recent Theories of Human Development</t>
  </si>
  <si>
    <t>Discourse analysis</t>
  </si>
  <si>
    <t>Recovery from Stuttering</t>
  </si>
  <si>
    <t>Stuttering</t>
  </si>
  <si>
    <t>Reductionism and the Development of Knowledge</t>
  </si>
  <si>
    <t>Referral and Termination Issues for Counsellors</t>
  </si>
  <si>
    <t>PSYCHOLOGY / Personality</t>
  </si>
  <si>
    <t>Reflective Enquiry into Therapeutic Institutions</t>
  </si>
  <si>
    <t>Reflective Practice in Psychotherapy and Counselling</t>
  </si>
  <si>
    <t>Refocused Psychotherapy As the First Line Intervention in Behavioral Health</t>
  </si>
  <si>
    <t>Regimes of Memory</t>
  </si>
  <si>
    <t>Memory (Philosophy)</t>
  </si>
  <si>
    <t>Regression Periods in Human Infancy</t>
  </si>
  <si>
    <t>Sex - Political aspects</t>
  </si>
  <si>
    <t>The Regulation of Emotion</t>
  </si>
  <si>
    <t>Rehabilitation Counselling in Physical and Mental Health</t>
  </si>
  <si>
    <t>Vision disorders - Patients - Rehabilitation</t>
  </si>
  <si>
    <t>Relatedness in a Global Economy</t>
  </si>
  <si>
    <t>Brain damage -- Patients -- Rehabilitation.</t>
  </si>
  <si>
    <t>Relational Theory and the Practice of Psychotherapy</t>
  </si>
  <si>
    <t>Transactional analysis.</t>
  </si>
  <si>
    <t>Religion and Coping in Mental Health Care</t>
  </si>
  <si>
    <t>Religion and Mental Health</t>
  </si>
  <si>
    <t>Religion and Spirituality in Psychiatry</t>
  </si>
  <si>
    <t>Mental Disorders - psychology</t>
  </si>
  <si>
    <t>The Religious Function of the Psyche</t>
  </si>
  <si>
    <t>Psychology, Religious</t>
  </si>
  <si>
    <t>The Religious Roots of Contemporary European Identity</t>
  </si>
  <si>
    <t>Psychiatric records</t>
  </si>
  <si>
    <t>Rescuing Psychoanalysis from Freud and Other Essays in Re-Vision</t>
  </si>
  <si>
    <t>Counseling - Research</t>
  </si>
  <si>
    <t>Research in Occupational Stress and Well Being</t>
  </si>
  <si>
    <t>Research in Psychotherapy and Counselling</t>
  </si>
  <si>
    <t>Psychoanalysis -- Research.</t>
  </si>
  <si>
    <t>Research on Psychoanalytic Psychotherapy with Adults</t>
  </si>
  <si>
    <t>Researching Children's Experiences</t>
  </si>
  <si>
    <t>Creative ability - Research</t>
  </si>
  <si>
    <t>Researching Psychotherapy and Counselling</t>
  </si>
  <si>
    <t>Resilience</t>
  </si>
  <si>
    <t>Grandparents as parents - United States</t>
  </si>
  <si>
    <t>Resilient Health Care</t>
  </si>
  <si>
    <t>Resistance and Persuasion</t>
  </si>
  <si>
    <t>Resource Focused Therapy</t>
  </si>
  <si>
    <t>Respectful Relationships</t>
  </si>
  <si>
    <t>Drugs - Social aspects - Great Britain</t>
  </si>
  <si>
    <t>Family violence.</t>
  </si>
  <si>
    <t>Restless Legs Syndrome</t>
  </si>
  <si>
    <t>Rethinking Aggression and Violence in Sport</t>
  </si>
  <si>
    <t>Violence in sports</t>
  </si>
  <si>
    <t>Marriage.</t>
  </si>
  <si>
    <t>Rethinking Palliative Care</t>
  </si>
  <si>
    <t>Critical pedagogy</t>
  </si>
  <si>
    <t>Rethinking Sexuality</t>
  </si>
  <si>
    <t>Substance abuse.</t>
  </si>
  <si>
    <t>Retirement</t>
  </si>
  <si>
    <t>The Rhetoric of Intention in Human Affairs</t>
  </si>
  <si>
    <t>LANGUAGE ARTS &amp; DISCIPLINES / Rhetoric</t>
  </si>
  <si>
    <t>Vico, Giambattista</t>
  </si>
  <si>
    <t>Biological rhythms</t>
  </si>
  <si>
    <t>The Rise of Consciousness and the Development of Emotional Life</t>
  </si>
  <si>
    <t>Risk and Everyday Life</t>
  </si>
  <si>
    <t>Risk-taking (Psychology)</t>
  </si>
  <si>
    <t>Risk and Society</t>
  </si>
  <si>
    <t>Risk and 'the Other'</t>
  </si>
  <si>
    <t>Risk perception</t>
  </si>
  <si>
    <t>University of North Texas Press</t>
  </si>
  <si>
    <t>Risk Markers for Sexual Victimization and Predation in Prison</t>
  </si>
  <si>
    <t>Prisoners - Violence against - United States</t>
  </si>
  <si>
    <t>The Role of Communication in Learning to Model</t>
  </si>
  <si>
    <t>Routledge Handbook of Motor Control and Motor Learning</t>
  </si>
  <si>
    <t>Routledge Handbook of Peacebuilding</t>
  </si>
  <si>
    <t>POLITICAL SCIENCE / Peace</t>
  </si>
  <si>
    <t>Routledge Handbook of Sports Performance Analysis</t>
  </si>
  <si>
    <t>The Routledge Spanish Bilingual Dictionary of Psychology and Psychiatry</t>
  </si>
  <si>
    <t>Psychiatry - Dictionaries - Spanish</t>
  </si>
  <si>
    <t>Young adult fiction - lcsh</t>
  </si>
  <si>
    <t>The SAGE Glossary of the Social and Behavioral Sciences</t>
  </si>
  <si>
    <t>Scaling Methods</t>
  </si>
  <si>
    <t>Scale analysis (Psychology)</t>
  </si>
  <si>
    <t>Schema-focused cognitive therapy</t>
  </si>
  <si>
    <t>Schizoid Phenomena, Object Relations and the Self</t>
  </si>
  <si>
    <t>Schizo-Obsessive Disorder</t>
  </si>
  <si>
    <t>Murray, Robin M.</t>
  </si>
  <si>
    <t>Science and Skiing</t>
  </si>
  <si>
    <t>Generosity - Psychological aspects</t>
  </si>
  <si>
    <t>The Science of Living (Psychology Revivals)</t>
  </si>
  <si>
    <t>The Science of Subjective Well-Being</t>
  </si>
  <si>
    <t>Science, Systems and Psychoanalysis</t>
  </si>
  <si>
    <t>Aronson, Elliot</t>
  </si>
  <si>
    <t>Rorschach Test.</t>
  </si>
  <si>
    <t>Screening for Perinatal Depression</t>
  </si>
  <si>
    <t>Second Thoughts on the Theory and Practice of the Milan Approach to Family Therapy</t>
  </si>
  <si>
    <t>Secondary Schizophrenia</t>
  </si>
  <si>
    <t>Psychological manifestations of general diseases</t>
  </si>
  <si>
    <t>Totemism.</t>
  </si>
  <si>
    <t>Crowd control</t>
  </si>
  <si>
    <t>Defense Mechanisms</t>
  </si>
  <si>
    <t>Seeing Spatial Form</t>
  </si>
  <si>
    <t>Crying.</t>
  </si>
  <si>
    <t>Selected Contributions to Psycho-Analysis</t>
  </si>
  <si>
    <t>Selected Papers on Psychoanalysis</t>
  </si>
  <si>
    <t>Self and Others: Selected Works of R d Laing Vol 2</t>
  </si>
  <si>
    <t>The Self and Society in Aging Processes</t>
  </si>
  <si>
    <t>Self-Harm and Young People</t>
  </si>
  <si>
    <t>Self-Healing Through Visual and Verbal Art Therapy</t>
  </si>
  <si>
    <t>The Self in Social Judgment</t>
  </si>
  <si>
    <t>Social perception</t>
  </si>
  <si>
    <t>The Self in Transformation</t>
  </si>
  <si>
    <t>Self Perception</t>
  </si>
  <si>
    <t>The Self, the Soul and the Psychology of Good and Evil</t>
  </si>
  <si>
    <t>Self-Deception Unmasked</t>
  </si>
  <si>
    <t>Self-Disclosure in Psychotherapy</t>
  </si>
  <si>
    <t>Self-Esteem</t>
  </si>
  <si>
    <t>Self-esteem</t>
  </si>
  <si>
    <t>Positive psychology</t>
  </si>
  <si>
    <t>Self-Harm</t>
  </si>
  <si>
    <t>Self-Injurious Behavior in Intellectual Disabilities</t>
  </si>
  <si>
    <t>Self-perception.</t>
  </si>
  <si>
    <t>Self-Knowledge</t>
  </si>
  <si>
    <t>Self-knowledge, Theory of</t>
  </si>
  <si>
    <t>Self-Knowledge and the Self</t>
  </si>
  <si>
    <t>Self-Medication and Violent Behavior</t>
  </si>
  <si>
    <t>Sensuality and Sexuality Across the Divide of Shame</t>
  </si>
  <si>
    <t>Motherhood - Psychological aspects</t>
  </si>
  <si>
    <t>Sentence Processing</t>
  </si>
  <si>
    <t>Psychnolinguistics</t>
  </si>
  <si>
    <t>Psychic trauma - New York Metropolitan Area.</t>
  </si>
  <si>
    <t>Sequential Analysis and Observational Methods for the Behavioral Sciences</t>
  </si>
  <si>
    <t>Services for People with Learning Disabilities</t>
  </si>
  <si>
    <t>Seven Views of Mind</t>
  </si>
  <si>
    <t>Severe Domestic Squalor</t>
  </si>
  <si>
    <t>Severe Personality Disorders</t>
  </si>
  <si>
    <t>Personality disorders</t>
  </si>
  <si>
    <t>Computer sex.</t>
  </si>
  <si>
    <t>Conduct disorders in adolescence--Sex differences--Longitudinal studies</t>
  </si>
  <si>
    <t>Sex in advertising.</t>
  </si>
  <si>
    <t>Sex - Psychological aspects</t>
  </si>
  <si>
    <t>Sex, Sexuality and the Autism Spectrum</t>
  </si>
  <si>
    <t>Sextuplets -- Italy -- Psychology.</t>
  </si>
  <si>
    <t>Sexual Ambiguities</t>
  </si>
  <si>
    <t>Sexual Morality in Ancient Rome</t>
  </si>
  <si>
    <t>Sexual ethics--Rome</t>
  </si>
  <si>
    <t>Sexual Predators Amongst Us</t>
  </si>
  <si>
    <t>Sexual Selection and the Origins of Human Mating Systems</t>
  </si>
  <si>
    <t>Sexuality and Attachment in Clinical Practice</t>
  </si>
  <si>
    <t>Sexology</t>
  </si>
  <si>
    <t>Sexuality, Intimacy, Power</t>
  </si>
  <si>
    <t>Dualism.</t>
  </si>
  <si>
    <t>Shame</t>
  </si>
  <si>
    <t>Shame and Guilt</t>
  </si>
  <si>
    <t>The Shame of Death, Grief, and Trauma</t>
  </si>
  <si>
    <t>A Short Introduction to Clinical Psychology</t>
  </si>
  <si>
    <t>Clinical psychology - Great Britain</t>
  </si>
  <si>
    <t>A Short Introduction to Psychiatry</t>
  </si>
  <si>
    <t>A Short Introduction to Psychotherapy</t>
  </si>
  <si>
    <t>Psychotherapy - Practice</t>
  </si>
  <si>
    <t>Psychodynamic therapy</t>
  </si>
  <si>
    <t>Motion pictures - Marketing - Social aspects</t>
  </si>
  <si>
    <t>Nebraska</t>
  </si>
  <si>
    <t>Psychoanalysis -- United States -- History.</t>
  </si>
  <si>
    <t>Sibling Relationships</t>
  </si>
  <si>
    <t>Siblings</t>
  </si>
  <si>
    <t>Sigmund Freud</t>
  </si>
  <si>
    <t>Counseling - History</t>
  </si>
  <si>
    <t>Boundaries</t>
  </si>
  <si>
    <t>Psychic trauma</t>
  </si>
  <si>
    <t>Simulation and Knowledge of Action</t>
  </si>
  <si>
    <t>Philosophy of mind in children.</t>
  </si>
  <si>
    <t>Single-Case Research Methods in Sport and Exercise Psychology</t>
  </si>
  <si>
    <t>Sports psychology</t>
  </si>
  <si>
    <t>Six Therapists and One Client</t>
  </si>
  <si>
    <t>Skills in Transactional Analysis Counselling and Psychotherapy</t>
  </si>
  <si>
    <t>Skills of Clinical Supervision for Nurses</t>
  </si>
  <si>
    <t>Skills Training for Counselling</t>
  </si>
  <si>
    <t>Skin in Psychoanalysis</t>
  </si>
  <si>
    <t>Sleep and Mental Illness</t>
  </si>
  <si>
    <t>Social sciences--Philosophy</t>
  </si>
  <si>
    <t>Social Adjustment and Personality Development in Children</t>
  </si>
  <si>
    <t>Social and Cognitive Development in the Context of Individual, Social, and Cultural Processes</t>
  </si>
  <si>
    <t>Child development</t>
  </si>
  <si>
    <t>Personality development</t>
  </si>
  <si>
    <t>Social Capital and Mental Health</t>
  </si>
  <si>
    <t>Social Choice (Routledge Revivals)</t>
  </si>
  <si>
    <t>Social work - United States</t>
  </si>
  <si>
    <t>Social Construction in Context</t>
  </si>
  <si>
    <t>Construction (Philosophy)</t>
  </si>
  <si>
    <t>The Social Construction of Anorexia Nervosa</t>
  </si>
  <si>
    <t>Anorexia nervosa</t>
  </si>
  <si>
    <t>The Social Construction of Intellectual Disability</t>
  </si>
  <si>
    <t>Social Constructionism, Discourse and Realism</t>
  </si>
  <si>
    <t>Well being - Social aspects</t>
  </si>
  <si>
    <t>Social Dreaming @ Work</t>
  </si>
  <si>
    <t>Social Identity, Intergroup Conflict, and Conflict Reduction</t>
  </si>
  <si>
    <t>Social influence</t>
  </si>
  <si>
    <t>Social Interaction and the Development of Knowledge</t>
  </si>
  <si>
    <t>Social Metacognition</t>
  </si>
  <si>
    <t>Social Motivation</t>
  </si>
  <si>
    <t>Motivation (Psychology) - Social aspects</t>
  </si>
  <si>
    <t>Social Psychology and Evaluation</t>
  </si>
  <si>
    <t>Social Psychology and Health</t>
  </si>
  <si>
    <t>Aggressiveness</t>
  </si>
  <si>
    <t>The Social Psychology of Exercise and Sport</t>
  </si>
  <si>
    <t>Experience - Psychological aspects</t>
  </si>
  <si>
    <t>Social Psychology of Inclusion and Exclusion</t>
  </si>
  <si>
    <t>The Social Psychology of Power</t>
  </si>
  <si>
    <t>Social Psychology of Visual Perception</t>
  </si>
  <si>
    <t>Social Psychology of the Work Organization (RLE: Organizations)</t>
  </si>
  <si>
    <t>Psychology, Industrial.</t>
  </si>
  <si>
    <t>Social Representations in the 'Social Arena'</t>
  </si>
  <si>
    <t>Social representations</t>
  </si>
  <si>
    <t>Social Skills and Autistic Spectrum Disorders</t>
  </si>
  <si>
    <t>Social Skills Training for Children with Asperger Syndrome and High-Functioning Autism</t>
  </si>
  <si>
    <t>Social Theory in Contemporary Asia</t>
  </si>
  <si>
    <t>Social sciences and psychoanalysis - History.</t>
  </si>
  <si>
    <t>Social Work and Drug Use</t>
  </si>
  <si>
    <t>Social Work and Mental Health in Scotland</t>
  </si>
  <si>
    <t>Psychiatric social work -- Scotland.</t>
  </si>
  <si>
    <t>Social Work Approaches in Health and Mental Health from Around the Globe</t>
  </si>
  <si>
    <t>Afro-American men</t>
  </si>
  <si>
    <t>Socialisation as Behaviour Management and the Ascendancy of Expert Authority</t>
  </si>
  <si>
    <t>The Socially Constructed Organization</t>
  </si>
  <si>
    <t>Organizational sociology</t>
  </si>
  <si>
    <t>Societies of Wolves and Free-Ranging Dogs</t>
  </si>
  <si>
    <t>Society and Culture in the Slave South</t>
  </si>
  <si>
    <t>Society and Psychosis</t>
  </si>
  <si>
    <t>Psychoses - Social aspects</t>
  </si>
  <si>
    <t>A Society of Signs?</t>
  </si>
  <si>
    <t>A Sociocognitive Approach to Social Norms</t>
  </si>
  <si>
    <t>Sociocultural Situatedness</t>
  </si>
  <si>
    <t>Sociodrama and Collective Trauma</t>
  </si>
  <si>
    <t>Socioeconomic Status, Parenting, and Child Development</t>
  </si>
  <si>
    <t>PSYCHOLOGY / Psychotherapy / General</t>
  </si>
  <si>
    <t>Solution Focused Coaching in Practice</t>
  </si>
  <si>
    <t>Solution-Focused Stress Counselling</t>
  </si>
  <si>
    <t>Stress management</t>
  </si>
  <si>
    <t>Solution-Focused Substance Abuse Treatment</t>
  </si>
  <si>
    <t>Solution-focused therapy</t>
  </si>
  <si>
    <t>The Soul, the Mind, and the Psychoanalyst</t>
  </si>
  <si>
    <t>Intellectual capital</t>
  </si>
  <si>
    <t>Specialty Competencies in Clinical Psychology</t>
  </si>
  <si>
    <t>Clinical competence</t>
  </si>
  <si>
    <t>Specialty Competencies in Cognitive and Behavioral Psychology</t>
  </si>
  <si>
    <t>Specialty Competencies in Counseling Psychology</t>
  </si>
  <si>
    <t>Psychoanalytic Interpretation</t>
  </si>
  <si>
    <t>Physician-Patient Relations</t>
  </si>
  <si>
    <t>The Spirit of Sanity</t>
  </si>
  <si>
    <t>Santa Monica Press</t>
  </si>
  <si>
    <t>Spirituality in Counselling and Psychotherapy</t>
  </si>
  <si>
    <t>Psychotherapy - Religious aspects</t>
  </si>
  <si>
    <t>Nottingham University Press</t>
  </si>
  <si>
    <t>Sports - Asia - Psychological aspects</t>
  </si>
  <si>
    <t>Sports Marketing and the Psychology of Marketing Communication</t>
  </si>
  <si>
    <t>Spousal Bereavement in Late Life</t>
  </si>
  <si>
    <t>Stability and Change in Relationships</t>
  </si>
  <si>
    <t>Stalkers and Their Victims</t>
  </si>
  <si>
    <t>Crime Victims - psychology</t>
  </si>
  <si>
    <t>Stalking</t>
  </si>
  <si>
    <t>Mental representation</t>
  </si>
  <si>
    <t>Statistical Analysis of Human Growth and Development</t>
  </si>
  <si>
    <t>Statistical Approaches to Measurement Invariance</t>
  </si>
  <si>
    <t>Social sciences - Statistics</t>
  </si>
  <si>
    <t>Stereotype (Psychology)</t>
  </si>
  <si>
    <t>Stereotypes During the Decline and Fall of Communism</t>
  </si>
  <si>
    <t>Stereotyping As Inductive Hypothesis Testing</t>
  </si>
  <si>
    <t>BODY, MIND &amp; SPIRIT / Meditation</t>
  </si>
  <si>
    <t>Statistics.</t>
  </si>
  <si>
    <t>Stop a la adicción al tabaco</t>
  </si>
  <si>
    <t>University of Iowa Press</t>
  </si>
  <si>
    <t>Straight Talk about Psychological Testing for Kids</t>
  </si>
  <si>
    <t>Psychological tests for children -- Popular works.</t>
  </si>
  <si>
    <t>Strategic Conflict</t>
  </si>
  <si>
    <t>Stratification in Cognition and Consciousness</t>
  </si>
  <si>
    <t>Stress (Psychology) - Physiological aspects</t>
  </si>
  <si>
    <t>Stress, the Brain and Depression</t>
  </si>
  <si>
    <t>Depression, Mental--Pathogenesis</t>
  </si>
  <si>
    <t>Stress Management for Teachers</t>
  </si>
  <si>
    <t>Adjustment Disorders</t>
  </si>
  <si>
    <t>Self-perception -- Congresses.</t>
  </si>
  <si>
    <t>Studies in Symbolic Interaction</t>
  </si>
  <si>
    <t>Studies on Femininity</t>
  </si>
  <si>
    <t>The Study of Anosognosia</t>
  </si>
  <si>
    <t>Psychology - Study and teaching (Higher)</t>
  </si>
  <si>
    <t>Subjects of Analysis</t>
  </si>
  <si>
    <t>Substance Use Disorders</t>
  </si>
  <si>
    <t>The Suicidal Adolescent</t>
  </si>
  <si>
    <t>Young adults -- Suicidal behavior.</t>
  </si>
  <si>
    <t>Suicide</t>
  </si>
  <si>
    <t>Suicide and Self-Harm in Prisons and Jails</t>
  </si>
  <si>
    <t>Suicide Bombings</t>
  </si>
  <si>
    <t>Suicide Prevention</t>
  </si>
  <si>
    <t>Counselors - Supervision of - Great Britain</t>
  </si>
  <si>
    <t>Psychotherapists - Supervision of</t>
  </si>
  <si>
    <t>Supervision and Its Vicissitudes</t>
  </si>
  <si>
    <t>Supporting Young People Coping with Grief, Loss and Death</t>
  </si>
  <si>
    <t>Survival Strategies for People on the Autism Spectrum</t>
  </si>
  <si>
    <t>Social movements - Psychological aspects</t>
  </si>
  <si>
    <t>Surviving Stalking</t>
  </si>
  <si>
    <t>A Systemic Approach to Consultation</t>
  </si>
  <si>
    <t>Systemic Approaches to Training in Child Protection</t>
  </si>
  <si>
    <t>Child welfare.</t>
  </si>
  <si>
    <t>Systemic Couple Therapy and Depression</t>
  </si>
  <si>
    <t>Couples therapy.</t>
  </si>
  <si>
    <t>Racism - United States - History</t>
  </si>
  <si>
    <t>Systemic Therapy with Individuals</t>
  </si>
  <si>
    <t>Decision-making, Group.</t>
  </si>
  <si>
    <t>Systems-Centered Therapy for Groups</t>
  </si>
  <si>
    <t>Taking Charge of Breast Cancer</t>
  </si>
  <si>
    <t>Taking the Crime Out of Sex Work</t>
  </si>
  <si>
    <t>Taming Wild Thoughts</t>
  </si>
  <si>
    <t>The Tavistock Seminars</t>
  </si>
  <si>
    <t>The Taxonomy of Metacognition</t>
  </si>
  <si>
    <t>Teaching Anger Management and Problem-Solving Skills for 9-12 Year Olds</t>
  </si>
  <si>
    <t>Teaching Family Therapy</t>
  </si>
  <si>
    <t>Family psychotherapy -- Study and teaching.</t>
  </si>
  <si>
    <t>Teaching Music to Students with Autism</t>
  </si>
  <si>
    <t>Psychology - Computer-assisted instruction</t>
  </si>
  <si>
    <t>Technique in Child and Adolescent Analysis</t>
  </si>
  <si>
    <t>Technique in Jungian Analysis</t>
  </si>
  <si>
    <t>Technologies of Sexuality, Identity and Sexual Health</t>
  </si>
  <si>
    <t>Reproductive Behavior</t>
  </si>
  <si>
    <t>Television and Child Development</t>
  </si>
  <si>
    <t>Ten Lectures on Psychotherapy and Spirituality</t>
  </si>
  <si>
    <t>Psychoanalysis and religion.</t>
  </si>
  <si>
    <t>Political violence - Psychological aspects</t>
  </si>
  <si>
    <t>Terrorists - Psychology</t>
  </si>
  <si>
    <t>Test anxiety - Research - Statistical methods</t>
  </si>
  <si>
    <t>Personality tests.</t>
  </si>
  <si>
    <t>Testing and Assessment in Counseling Practice</t>
  </si>
  <si>
    <t>Textbook of Disaster Psychiatry</t>
  </si>
  <si>
    <t>The Theology of Reconciliation</t>
  </si>
  <si>
    <t>Theories of Social Remembering</t>
  </si>
  <si>
    <t>Theories of Visual Perception</t>
  </si>
  <si>
    <t>Reconciliation</t>
  </si>
  <si>
    <t>Theorizing Sexual Violence</t>
  </si>
  <si>
    <t>Rape</t>
  </si>
  <si>
    <t>Theory and Practice of Experiential Dynamic Psychotherapy</t>
  </si>
  <si>
    <t>A Theory of Feelings</t>
  </si>
  <si>
    <t>Theory-Based Assessment, Treatment, and Prevention of Sexual Aggression</t>
  </si>
  <si>
    <t>Therapeutic Approaches in Psychology</t>
  </si>
  <si>
    <t>PSYCHOLOGY / Assessment, Testing &amp; Measurement</t>
  </si>
  <si>
    <t>Therapeutic Group Analysis</t>
  </si>
  <si>
    <t>Speech therapist and patient</t>
  </si>
  <si>
    <t>The Therapeutic Purposes of Reminiscence</t>
  </si>
  <si>
    <t>Therapeutic use</t>
  </si>
  <si>
    <t>The Therapeutic Relationship in Systemic Therapy</t>
  </si>
  <si>
    <t>The Therapeutic Situation in the 21st Century</t>
  </si>
  <si>
    <t>Therapeutic Uses of Rap and Hip-Hop</t>
  </si>
  <si>
    <t>Hip-hop - Psychological aspects</t>
  </si>
  <si>
    <t>Therapeutic Work with Sexually Abused Children</t>
  </si>
  <si>
    <t>Sexually abused children - Counseling of</t>
  </si>
  <si>
    <t>Therapeutische psychodiagnostiek</t>
  </si>
  <si>
    <t>Therapist into Coach</t>
  </si>
  <si>
    <t>PSYCHOLOGY / Psychopathology / Addiction</t>
  </si>
  <si>
    <t>Therapist's Guide to Evidence-Based Relapse Prevention</t>
  </si>
  <si>
    <t>Mental illness - Relapse - Prevention</t>
  </si>
  <si>
    <t>Therapist's Guide to Learning and Attention Disorders</t>
  </si>
  <si>
    <t>Child psychiatry - Differential therapeutics</t>
  </si>
  <si>
    <t>Therapist's Guide to Self-Care</t>
  </si>
  <si>
    <t>September 11 Terrorist Attacks, 2001--Psychological aspects</t>
  </si>
  <si>
    <t>Open Court</t>
  </si>
  <si>
    <t>Young men - Mental health</t>
  </si>
  <si>
    <t>Thinking about Cognition: Concepts, Targets and Therapeutics</t>
  </si>
  <si>
    <t>Thinking Clearly about Psychology</t>
  </si>
  <si>
    <t>Critical thinking.</t>
  </si>
  <si>
    <t>Thinking of Becoming a Counsellor?</t>
  </si>
  <si>
    <t>Psychology -- Vocational guidance.</t>
  </si>
  <si>
    <t>Men - Psychology</t>
  </si>
  <si>
    <t>Thought and Choice in Chess</t>
  </si>
  <si>
    <t>Discrimination -- Psychological aspects.</t>
  </si>
  <si>
    <t>Thought Suppression</t>
  </si>
  <si>
    <t>Obsessive-compulsive disorder</t>
  </si>
  <si>
    <t>Thoughts on Thought</t>
  </si>
  <si>
    <t>Three Faces of Desire</t>
  </si>
  <si>
    <t>Thriving in the Face of Childhood Adversity</t>
  </si>
  <si>
    <t>Children with disabilities - Care</t>
  </si>
  <si>
    <t>Time and Memory</t>
  </si>
  <si>
    <t>Time-Limited Counselling</t>
  </si>
  <si>
    <t>Primary health care</t>
  </si>
  <si>
    <t>The Tip of the Tongue State</t>
  </si>
  <si>
    <t>Tobacco Smoking</t>
  </si>
  <si>
    <t>Cancer -- Psychological aspects.</t>
  </si>
  <si>
    <t>Touch</t>
  </si>
  <si>
    <t>Mind and body therapies.</t>
  </si>
  <si>
    <t>Authoritarianism (Personality trait)</t>
  </si>
  <si>
    <t>Toward an Anthropology of the Will</t>
  </si>
  <si>
    <t>Toward a Comparison of DNA Profiling and Databases in the United States and England</t>
  </si>
  <si>
    <t>Christianity - Psychology</t>
  </si>
  <si>
    <t>Towards a Contextual Psychology of Disablism</t>
  </si>
  <si>
    <t>Disabled Persons - psychology</t>
  </si>
  <si>
    <t>Toxic Nourishment</t>
  </si>
  <si>
    <t>Tradition and Change in Psychoanalysis</t>
  </si>
  <si>
    <t>Psychoanalysis -- Philosophy.</t>
  </si>
  <si>
    <t>Psychoanalysis -- Great Britain.</t>
  </si>
  <si>
    <t>Training and Supervision for Counselling in Action</t>
  </si>
  <si>
    <t>Counseling - Study and teaching</t>
  </si>
  <si>
    <t>The Trainings of the Psychoanalyst</t>
  </si>
  <si>
    <t>Resilience, Psychological</t>
  </si>
  <si>
    <t>Transcultural Counselling in Action</t>
  </si>
  <si>
    <t>Transference and Countertransference Today</t>
  </si>
  <si>
    <t>The Transformation of the Psyche in British Primary Care, 1870-1970</t>
  </si>
  <si>
    <t>Medicine and psychology.</t>
  </si>
  <si>
    <t>Transforming Knowledge 2Nd Edition</t>
  </si>
  <si>
    <t>The Transitional Approach to Change</t>
  </si>
  <si>
    <t>Translating Psychological Research into Practice</t>
  </si>
  <si>
    <t>Translation of Addictions Science into Practice</t>
  </si>
  <si>
    <t>Writing - Psychological aspects</t>
  </si>
  <si>
    <t>Transpersonal Psychotherapy</t>
  </si>
  <si>
    <t>Transvestism, Transsexualism in the Psychoanalytic Dimension</t>
  </si>
  <si>
    <t>Trauma and Attachment</t>
  </si>
  <si>
    <t>Reminiscing</t>
  </si>
  <si>
    <t>Trauma and Organizations</t>
  </si>
  <si>
    <t>Psychotherapy - Social aspects</t>
  </si>
  <si>
    <t>Dissociative Disorders</t>
  </si>
  <si>
    <t>Aboriginal Australians - Crimes against.</t>
  </si>
  <si>
    <t>Traumatic Brain Injury</t>
  </si>
  <si>
    <t>Traumatic Reliving in History, Literature and Film</t>
  </si>
  <si>
    <t>Attachment disorder in children.</t>
  </si>
  <si>
    <t>Treating Compassion Fatigue</t>
  </si>
  <si>
    <t>Burn out (Psychology) - Treatment.</t>
  </si>
  <si>
    <t>Treating Complex Trauma in Adolescents and Young Adults</t>
  </si>
  <si>
    <t>Treating the Juvenile Offender</t>
  </si>
  <si>
    <t>Community Mental Health Services - organization &amp; administration</t>
  </si>
  <si>
    <t>Psychic trauma in adolescence - Treatment</t>
  </si>
  <si>
    <t>Post-traumatic stress disorder - Treatment - United States</t>
  </si>
  <si>
    <t>Psychotherapy, Group - methods</t>
  </si>
  <si>
    <t>Treatment Matching for Substance-Abusing Offenders</t>
  </si>
  <si>
    <t>Treatment Plans and Interventions for Bulimia and Binge-Eating Disorder</t>
  </si>
  <si>
    <t>Anxiety Disorders - complications</t>
  </si>
  <si>
    <t>Triumphs in Early Autism Treatment</t>
  </si>
  <si>
    <t>The Trouble with Play</t>
  </si>
  <si>
    <t>Farmers - Oklahoma - Psychology.</t>
  </si>
  <si>
    <t>Trust Matters in Health Care</t>
  </si>
  <si>
    <t>Tuberous Sclerosis Complex</t>
  </si>
  <si>
    <t>Tutorials in Visual Cognition</t>
  </si>
  <si>
    <t>Sydney, Australia</t>
  </si>
  <si>
    <t>Tyranny Of Pleasure</t>
  </si>
  <si>
    <t>Sexual ethics.</t>
  </si>
  <si>
    <t>UN Ideas That Changed the World</t>
  </si>
  <si>
    <t>Sanctions (International law)</t>
  </si>
  <si>
    <t>The Unconscious</t>
  </si>
  <si>
    <t>Psychoanalysis and literature</t>
  </si>
  <si>
    <t>Unconscious Mental Life and Reality</t>
  </si>
  <si>
    <t>Unconscious Phantasy</t>
  </si>
  <si>
    <t>Gays - Mental health.</t>
  </si>
  <si>
    <t>Understanding 6-7-Year-Olds</t>
  </si>
  <si>
    <t>Understanding 8-9-Year-Olds</t>
  </si>
  <si>
    <t>Understanding Addiction</t>
  </si>
  <si>
    <t>Anxiety - therapy</t>
  </si>
  <si>
    <t>Understanding and Assessing Child Sexual Maltreatment</t>
  </si>
  <si>
    <t>Understanding and Evaluating Research in Applied and Clinical Settings</t>
  </si>
  <si>
    <t>Learning disabled - Services for</t>
  </si>
  <si>
    <t>Understanding and Treating Dissociative Identity Disorder (or Multiple Personality Disorder)</t>
  </si>
  <si>
    <t>Understanding Anger Disorders</t>
  </si>
  <si>
    <t>Understanding Asexuality</t>
  </si>
  <si>
    <t>Understanding Attention Deficit Hyperactivity Disorder</t>
  </si>
  <si>
    <t>Attention-deficit hyperactivity disorder -- Popular works.</t>
  </si>
  <si>
    <t>Early childhood education</t>
  </si>
  <si>
    <t>Understanding Black Male Learning Styles</t>
  </si>
  <si>
    <t>African American Images</t>
  </si>
  <si>
    <t>Understanding Body Dysmorphic Disorder</t>
  </si>
  <si>
    <t>Understanding Boundaries and Containment in Clinical Practice</t>
  </si>
  <si>
    <t>Understanding Childhood Obesity</t>
  </si>
  <si>
    <t>Understanding Commanders' Information Needs for Influence Operations</t>
  </si>
  <si>
    <t>Consciousness - Physiological aspects</t>
  </si>
  <si>
    <t>Understanding the Counselling Relationship</t>
  </si>
  <si>
    <t>Counselor and client</t>
  </si>
  <si>
    <t>Understanding Critical Social Psychology</t>
  </si>
  <si>
    <t>Understanding Depression</t>
  </si>
  <si>
    <t>Understanding Desistance from Crime</t>
  </si>
  <si>
    <t>Understanding Dreams in Clinical Practice</t>
  </si>
  <si>
    <t>Understanding Drugs, Alcohol and Crime</t>
  </si>
  <si>
    <t>Soccer hooliganism -- Europe, Western.</t>
  </si>
  <si>
    <t>Understanding Human Nature (Psychology Revivals)</t>
  </si>
  <si>
    <t>Understanding Narcissism in Clinical Practice</t>
  </si>
  <si>
    <t>Understanding Non-Monogamies</t>
  </si>
  <si>
    <t>Non-monogamous relationships</t>
  </si>
  <si>
    <t>Understanding Prejudice, Racism, and Social Conflict</t>
  </si>
  <si>
    <t>Social conflict</t>
  </si>
  <si>
    <t>SAGE Publications India Pvt, Ltd.</t>
  </si>
  <si>
    <t>Understanding Psychology and Crime</t>
  </si>
  <si>
    <t>Understanding Religion and Spirituality in Clinical Practice</t>
  </si>
  <si>
    <t>Psychology, Religious.</t>
  </si>
  <si>
    <t>Interpersonal relations - Research</t>
  </si>
  <si>
    <t>Understanding Statistics in the Behavioral Sciences</t>
  </si>
  <si>
    <t>Brain -- Wounds and injuries.</t>
  </si>
  <si>
    <t>Understanding Women in Distress</t>
  </si>
  <si>
    <t>Understanding Your One-Year-Old</t>
  </si>
  <si>
    <t>Understanding Youth and Crime</t>
  </si>
  <si>
    <t>Marriage in literature</t>
  </si>
  <si>
    <t>Difference (Psychology)</t>
  </si>
  <si>
    <t>Unmasking Race, Culture, and Attachment in the Psychoanalytic Space</t>
  </si>
  <si>
    <t>Parent-child interaction theraphy</t>
  </si>
  <si>
    <t>Poor teenagers - United States</t>
  </si>
  <si>
    <t>A User Guide to the GF/CF Diet for Autism, Asperger Syndrome and AD/HD</t>
  </si>
  <si>
    <t>The Uses of Psychoanalysis in Working with Children's Emotional Lives</t>
  </si>
  <si>
    <t>Using CNS Autopsy Tissue in Psychiatric Research: a Practical Guide</t>
  </si>
  <si>
    <t>Using Conflict in Organizations</t>
  </si>
  <si>
    <t>Drawing, Psychology of.</t>
  </si>
  <si>
    <t>Using Groups to Help People</t>
  </si>
  <si>
    <t>Developing countries - Social policy</t>
  </si>
  <si>
    <t>Using Superheroes in Counseling and Play Therapy</t>
  </si>
  <si>
    <t>Mental health services - Technological innovations</t>
  </si>
  <si>
    <t>Validity and Validation</t>
  </si>
  <si>
    <t>The Values of Psychotherapy</t>
  </si>
  <si>
    <t>Abused women - United States - Psychology</t>
  </si>
  <si>
    <t>Violence: 'Mercurial Gestalt'</t>
  </si>
  <si>
    <t>Emotions - Psychological aspects</t>
  </si>
  <si>
    <t>The Visible and Invisible Group</t>
  </si>
  <si>
    <t>Visual Attention and Consciousness</t>
  </si>
  <si>
    <t>Visuelle Aufmerksamkeit</t>
  </si>
  <si>
    <t>Visuo-Spatial Working Memory and Individual Differences</t>
  </si>
  <si>
    <t>Therapeutics</t>
  </si>
  <si>
    <t>Memory--Social aspects</t>
  </si>
  <si>
    <t>Psychotic Disorders - physiopathology</t>
  </si>
  <si>
    <t>Vygotsky and Sociology</t>
  </si>
  <si>
    <t>Vygotsky in Perspective</t>
  </si>
  <si>
    <t>Auckland University Press</t>
  </si>
  <si>
    <t>War Memoirs 1917-1919</t>
  </si>
  <si>
    <t>Personal narratives, British</t>
  </si>
  <si>
    <t>Soldiers - Wounds and injuries</t>
  </si>
  <si>
    <t>Wat is psychiatrie?</t>
  </si>
  <si>
    <t>The Welfare of Children</t>
  </si>
  <si>
    <t>Foster home care - Psychological aspects</t>
  </si>
  <si>
    <t>Mothers - Psychology</t>
  </si>
  <si>
    <t>What Happened to Gay Life</t>
  </si>
  <si>
    <t>What Is Psychotherapeutic Research?</t>
  </si>
  <si>
    <t>Psychotherapy -- Research.</t>
  </si>
  <si>
    <t>AltaMira Press</t>
  </si>
  <si>
    <t>What to Do with Your Psychology Degree</t>
  </si>
  <si>
    <t>What We Mean by Experience</t>
  </si>
  <si>
    <t>Visual sociology - Research</t>
  </si>
  <si>
    <t>What Will You Do with My Story?</t>
  </si>
  <si>
    <t>Manic-depressive illness in children</t>
  </si>
  <si>
    <t>Social phobia in adolescence -- Popular works.</t>
  </si>
  <si>
    <t>Innate ideas (Philosophy)</t>
  </si>
  <si>
    <t>Middle-aged persons - Mental health</t>
  </si>
  <si>
    <t>Sleep disorders in children -- Treatment.</t>
  </si>
  <si>
    <t>Children of uxoricides - Mental health.</t>
  </si>
  <si>
    <t>Autism spectrum disorders - Patients - Language</t>
  </si>
  <si>
    <t>Post-traumatic stress disorder -- Popular works.</t>
  </si>
  <si>
    <t>Psychoanalysis and the arts</t>
  </si>
  <si>
    <t>Where Men Hide</t>
  </si>
  <si>
    <t>Who Owns Jung?</t>
  </si>
  <si>
    <t>Who Owns Psychoanalysis?</t>
  </si>
  <si>
    <t>Female juvenile delinquents - United States</t>
  </si>
  <si>
    <t>Why Language Matters for Theory of Mind</t>
  </si>
  <si>
    <t>Filicide</t>
  </si>
  <si>
    <t>Risk assessment</t>
  </si>
  <si>
    <t>William James, Sciences of Mind, and Anti-Imperial Discourse</t>
  </si>
  <si>
    <t>James, William, -- 1842-1910.</t>
  </si>
  <si>
    <t>Winnicott Studies</t>
  </si>
  <si>
    <t>Winnicott Studies. No 8</t>
  </si>
  <si>
    <t>WISC-IV Advanced Clinical Interpretation</t>
  </si>
  <si>
    <t>Wechsler Intelligence Scale for Children</t>
  </si>
  <si>
    <t>Wechsler Intelligence Scale for Children.</t>
  </si>
  <si>
    <t>Wisdom, Intelligence, and Creativity Synthesized</t>
  </si>
  <si>
    <t>Wise Therapy</t>
  </si>
  <si>
    <t>Masturbation.</t>
  </si>
  <si>
    <t>Without You - Children and Young People Growing up with Loss and Its Effects</t>
  </si>
  <si>
    <t>History - Psychological aspects</t>
  </si>
  <si>
    <t>Wittgenstein and the Theory of Perception</t>
  </si>
  <si>
    <t>The Wolf-Man and Sigmund Freud</t>
  </si>
  <si>
    <t>Neuroses - Case studies</t>
  </si>
  <si>
    <t>Northeastern University Press</t>
  </si>
  <si>
    <t>Women - Identity.</t>
  </si>
  <si>
    <t>Women and Depression</t>
  </si>
  <si>
    <t>Compulsive gambling</t>
  </si>
  <si>
    <t>Self-mutilation</t>
  </si>
  <si>
    <t>Women in Italy, 1945-1960: an Interdisciplinary Study</t>
  </si>
  <si>
    <t>Women Taking Risks in Contemporary Autobiographical Narratives</t>
  </si>
  <si>
    <t>Women with disabilities.</t>
  </si>
  <si>
    <t>Women's Bodies in Psychoanalysis</t>
  </si>
  <si>
    <t>Women’s Voices and Feminism in Polish Cultural Memory</t>
  </si>
  <si>
    <t>Words and Symbols</t>
  </si>
  <si>
    <t>Work and Leisure</t>
  </si>
  <si>
    <t>Working Memory and Education</t>
  </si>
  <si>
    <t>Working Therapeutically with Women in Secure Mental Health Settings</t>
  </si>
  <si>
    <t>Teenagers</t>
  </si>
  <si>
    <t>Working with Adult Survivors of Child Sexual Abuse</t>
  </si>
  <si>
    <t>Rehabilitation</t>
  </si>
  <si>
    <t>Children of divorced parents - Counseling of</t>
  </si>
  <si>
    <t>Working with Anger and Young People</t>
  </si>
  <si>
    <t>Working with Children in Art Therapy</t>
  </si>
  <si>
    <t>Working with Children with Sexual Behavior Problems</t>
  </si>
  <si>
    <t>Working with Families of the Poor</t>
  </si>
  <si>
    <t>Immigrant families - Counseling of - United States</t>
  </si>
  <si>
    <t>Social workers - Psychology</t>
  </si>
  <si>
    <t>Working with Parents Makes Therapy Work</t>
  </si>
  <si>
    <t>Services for</t>
  </si>
  <si>
    <t>Working with Traumatized Youth in Child Welfare</t>
  </si>
  <si>
    <t>Industrial psychiatry.</t>
  </si>
  <si>
    <t>Adolescence--Cross-cultural studies</t>
  </si>
  <si>
    <t>Writing and Cognition</t>
  </si>
  <si>
    <t>Writing in Psychoanalysis</t>
  </si>
  <si>
    <t>You and Your Toddler</t>
  </si>
  <si>
    <t>A Young Mind in a Growing Brain</t>
  </si>
  <si>
    <t>Children - Institutional care</t>
  </si>
  <si>
    <t>Young People, Place and Identity</t>
  </si>
  <si>
    <t>Place (Philosophy) - Social aspects</t>
  </si>
  <si>
    <t>Young People's Experiences of Loss and Bereavment</t>
  </si>
  <si>
    <t>Young People's Involvement in Sport</t>
  </si>
  <si>
    <t>Children of handicapped parents</t>
  </si>
  <si>
    <t>Agate Publishing, Incorporated</t>
  </si>
  <si>
    <t>Youth, Drugs, and Nightlife</t>
  </si>
  <si>
    <t>Youth - Drug use</t>
  </si>
  <si>
    <t>Urban youth</t>
  </si>
  <si>
    <t>Zone Morality</t>
  </si>
  <si>
    <t>Çocuk ve Gençlik Ruh Sağlığı Dergisi = Turkish Journal of Child and Adolescent Health</t>
  </si>
  <si>
    <t>Galenos Publishing House</t>
  </si>
  <si>
    <t>1301-3904</t>
  </si>
  <si>
    <t>2687-3532</t>
  </si>
  <si>
    <t>Loneliness</t>
  </si>
  <si>
    <t>Obesity</t>
  </si>
  <si>
    <t>Obsessive Behavior</t>
  </si>
  <si>
    <t>Inattentiveness</t>
  </si>
  <si>
    <t>Postpartum Depression</t>
  </si>
  <si>
    <t>Unconsciousness</t>
  </si>
  <si>
    <t>Withdrawal Sickness</t>
  </si>
  <si>
    <t>Encopresis</t>
  </si>
  <si>
    <t>Pervasive Developmental Disorders</t>
  </si>
  <si>
    <t>Racing Thoughts</t>
  </si>
  <si>
    <t>Paralysis</t>
  </si>
  <si>
    <t>Fearlessness</t>
  </si>
  <si>
    <t>Dysphoria</t>
  </si>
  <si>
    <t>Gastroesophageal Reflux</t>
  </si>
  <si>
    <t>Hair Pulling</t>
  </si>
  <si>
    <t>Nausea</t>
  </si>
  <si>
    <t>Headache</t>
  </si>
  <si>
    <t>Perseveration</t>
  </si>
  <si>
    <t>Sexual Dysfunction</t>
  </si>
  <si>
    <t>Oppositional Defiant Disorder (ODD)</t>
  </si>
  <si>
    <t>Social Inhibition</t>
  </si>
  <si>
    <t>Somatoform Disorders</t>
  </si>
  <si>
    <t>Tourette's Syndrome</t>
  </si>
  <si>
    <t>Stomach Pain</t>
  </si>
  <si>
    <t>Loss of Appetite</t>
  </si>
  <si>
    <t>Low Self-Esteem</t>
  </si>
  <si>
    <t>Restlessness</t>
  </si>
  <si>
    <t>Irresponsibility</t>
  </si>
  <si>
    <t>Paresis</t>
  </si>
  <si>
    <t>Enuresis</t>
  </si>
  <si>
    <t>Insomnia</t>
  </si>
  <si>
    <t>Forgetfulness</t>
  </si>
  <si>
    <t>Weight Gain</t>
  </si>
  <si>
    <t>General Pain</t>
  </si>
  <si>
    <t>Hedonism</t>
  </si>
  <si>
    <t>Detached Behavior</t>
  </si>
  <si>
    <t>Sweating</t>
  </si>
  <si>
    <t>Rash</t>
  </si>
  <si>
    <t>Visual Dysfunction</t>
  </si>
  <si>
    <t>Psychopathology in Children</t>
  </si>
  <si>
    <t>Hyperphagia</t>
  </si>
  <si>
    <t>Posttraumatic Stress Disorder (PTSD)</t>
  </si>
  <si>
    <t>Resentment</t>
  </si>
  <si>
    <t>Mood Disorders</t>
  </si>
  <si>
    <t>Tics</t>
  </si>
  <si>
    <t>Hyperactivity</t>
  </si>
  <si>
    <t>Risk-Taking Behavior</t>
  </si>
  <si>
    <t>Shyness</t>
  </si>
  <si>
    <t>Lameness</t>
  </si>
  <si>
    <t>Shaking</t>
  </si>
  <si>
    <t>Numbness</t>
  </si>
  <si>
    <t>Delusions of Grandeur</t>
  </si>
  <si>
    <t>Heart Palpitations</t>
  </si>
  <si>
    <t>Despair</t>
  </si>
  <si>
    <t>Obsessive-Compulsive Disorder</t>
  </si>
  <si>
    <t>Phobias</t>
  </si>
  <si>
    <t>Dyspnea</t>
  </si>
  <si>
    <t>Suicidal Ideation</t>
  </si>
  <si>
    <t>Social Anxiety Disorder</t>
  </si>
  <si>
    <t>Metabolic Changes</t>
  </si>
  <si>
    <t>Disorganized Thoughts</t>
  </si>
  <si>
    <t>Tremors</t>
  </si>
  <si>
    <t>Suspiciousness</t>
  </si>
  <si>
    <t>Stress</t>
  </si>
  <si>
    <t>Grandiosity</t>
  </si>
  <si>
    <t>Phantom Pain</t>
  </si>
  <si>
    <t>Delirium</t>
  </si>
  <si>
    <t>Dry Mouth</t>
  </si>
  <si>
    <t>Externalizing Behavior Problems</t>
  </si>
  <si>
    <t>Panic Disorder</t>
  </si>
  <si>
    <t>Weight Loss</t>
  </si>
  <si>
    <t>Dysmenorrhea</t>
  </si>
  <si>
    <t>Self-Mutilation</t>
  </si>
  <si>
    <t>Deceitfulness</t>
  </si>
  <si>
    <t>Disordered Eating</t>
  </si>
  <si>
    <t>Withdrawn</t>
  </si>
  <si>
    <t>Respiratory Distress</t>
  </si>
  <si>
    <t>Pain: Psychosocial Aspects</t>
  </si>
  <si>
    <t>Fearfulness</t>
  </si>
  <si>
    <t>Reactive Attachment Disorder of Infancy and Early Childhood</t>
  </si>
  <si>
    <t>Isolation</t>
  </si>
  <si>
    <t>Sciatica</t>
  </si>
  <si>
    <t>Frustration</t>
  </si>
  <si>
    <t>Fever</t>
  </si>
  <si>
    <t>Fidgeting</t>
  </si>
  <si>
    <t>Psychomotor Retardation</t>
  </si>
  <si>
    <t>Dysphagia</t>
  </si>
  <si>
    <t>Personality Changes</t>
  </si>
  <si>
    <t>Hallucinations</t>
  </si>
  <si>
    <t>Vomiting</t>
  </si>
  <si>
    <t>Night Terrors</t>
  </si>
  <si>
    <t>Hypoglycemia</t>
  </si>
  <si>
    <t>Hyperventilation</t>
  </si>
  <si>
    <t>Special Needs Children</t>
  </si>
  <si>
    <t>Spasms</t>
  </si>
  <si>
    <t>Mania</t>
  </si>
  <si>
    <t>Suicidal Behavior</t>
  </si>
  <si>
    <t>Drunk Driving</t>
  </si>
  <si>
    <t>Fantasizing</t>
  </si>
  <si>
    <t>Myofascial Pain</t>
  </si>
  <si>
    <t>Severe Sensitivity</t>
  </si>
  <si>
    <t>Psychomotor Agitation</t>
  </si>
  <si>
    <t>Sadness</t>
  </si>
  <si>
    <t>Irritability</t>
  </si>
  <si>
    <t>Delusions of Persecution</t>
  </si>
  <si>
    <t>Maternal Depression</t>
  </si>
  <si>
    <t>Impulsivity</t>
  </si>
  <si>
    <t>Otitis Media</t>
  </si>
  <si>
    <t>Nightmares</t>
  </si>
  <si>
    <t>Muscle Tonus</t>
  </si>
  <si>
    <t>Tardive Dyskinesia</t>
  </si>
  <si>
    <t>Heart Arrythmias</t>
  </si>
  <si>
    <t>Moodiness</t>
  </si>
  <si>
    <t>Fatigue</t>
  </si>
  <si>
    <t>Hypersomnia</t>
  </si>
  <si>
    <t>Fibromyalgia Syndrome: Biobehavioral Aspects</t>
  </si>
  <si>
    <t>Depersonalization Disorder</t>
  </si>
  <si>
    <t>Self-Injury and Suicide</t>
  </si>
  <si>
    <t>Self-Injurious Behavior</t>
  </si>
  <si>
    <t>Underweight</t>
  </si>
  <si>
    <t>Problems Concentrating</t>
  </si>
  <si>
    <t>Stomach Ulcer</t>
  </si>
  <si>
    <t>Fainting</t>
  </si>
  <si>
    <t>Exhaustion</t>
  </si>
  <si>
    <t>Indecisiveness</t>
  </si>
  <si>
    <t>Itching</t>
  </si>
  <si>
    <t>Peacefulness</t>
  </si>
  <si>
    <t>Dissociation</t>
  </si>
  <si>
    <t>Fetal Alcohol Syndrome</t>
  </si>
  <si>
    <t>Down Syndrome</t>
  </si>
  <si>
    <t>Panting</t>
  </si>
  <si>
    <t>Speech and Language Disorders</t>
  </si>
  <si>
    <t>Tooth Pain</t>
  </si>
  <si>
    <t>Fugue State</t>
  </si>
  <si>
    <t>Selective Mutism</t>
  </si>
  <si>
    <t>Pica</t>
  </si>
  <si>
    <t>Childhood Feeding Disorders</t>
  </si>
  <si>
    <t>Danger To Others</t>
  </si>
  <si>
    <t>Apathy</t>
  </si>
  <si>
    <t>Compulsive Behavior</t>
  </si>
  <si>
    <t>Burnout</t>
  </si>
  <si>
    <t>Chronic Pain</t>
  </si>
  <si>
    <t>Academic Achievement</t>
  </si>
  <si>
    <t>Catatonia</t>
  </si>
  <si>
    <t>Alopecia</t>
  </si>
  <si>
    <t>Convulsions</t>
  </si>
  <si>
    <t>Adolescent Use of Stimulants</t>
  </si>
  <si>
    <t>Chronic Fatigue Syndrome</t>
  </si>
  <si>
    <t>Crying</t>
  </si>
  <si>
    <t>Back Pain</t>
  </si>
  <si>
    <t>Aphasia</t>
  </si>
  <si>
    <t>Amnesia</t>
  </si>
  <si>
    <t>Aura</t>
  </si>
  <si>
    <t>Apnea</t>
  </si>
  <si>
    <t>Anhedonia</t>
  </si>
  <si>
    <t>Anger</t>
  </si>
  <si>
    <t>Adolescent Depression</t>
  </si>
  <si>
    <t>Amenorrhea</t>
  </si>
  <si>
    <t>Cluster Suicide</t>
  </si>
  <si>
    <t>Binge Drinking</t>
  </si>
  <si>
    <t>Adjustment</t>
  </si>
  <si>
    <t>Bipolar Disorder in Children</t>
  </si>
  <si>
    <t>Cognitive Behavior Therapy: Child Clinical Applications</t>
  </si>
  <si>
    <t>Attention deficit hyperactivity disorder</t>
  </si>
  <si>
    <t>Aphagia</t>
  </si>
  <si>
    <t>Alcohol Use and Disorders Among Youth</t>
  </si>
  <si>
    <t>Danger To Self</t>
  </si>
  <si>
    <t>Antisocial Behavior</t>
  </si>
  <si>
    <t>Anxiety Disorders in Children</t>
  </si>
  <si>
    <t>Ataxia</t>
  </si>
  <si>
    <t>Binge Eating</t>
  </si>
  <si>
    <t>Conduct Disorder</t>
  </si>
  <si>
    <t>Avoidance</t>
  </si>
  <si>
    <t>Asthenia</t>
  </si>
  <si>
    <t>Cutting</t>
  </si>
  <si>
    <t>Anorexia</t>
  </si>
  <si>
    <t>Confusion</t>
  </si>
  <si>
    <t>https://www.proquest.com/docview/2781138831</t>
  </si>
  <si>
    <t>https://www.proquest.com/docview/2781138272</t>
  </si>
  <si>
    <t>https://www.proquest.com/docview/2781138269</t>
  </si>
  <si>
    <t>https://www.proquest.com/docview/2781133931</t>
  </si>
  <si>
    <t>https://www.proquest.com/docview/2781133929</t>
  </si>
  <si>
    <t>https://www.proquest.com/docview/2781133927</t>
  </si>
  <si>
    <t>https://www.proquest.com/docview/2781133925</t>
  </si>
  <si>
    <t>https://www.proquest.com/docview/2781133923</t>
  </si>
  <si>
    <t>https://www.proquest.com/docview/2781133922</t>
  </si>
  <si>
    <t>https://www.proquest.com/docview/2781133921</t>
  </si>
  <si>
    <t>https://www.proquest.com/docview/2781133919</t>
  </si>
  <si>
    <t>https://www.proquest.com/docview/2781133916</t>
  </si>
  <si>
    <t>https://www.proquest.com/docview/2781133914</t>
  </si>
  <si>
    <t>https://www.proquest.com/docview/2781133913</t>
  </si>
  <si>
    <t>https://www.proquest.com/docview/2781133910</t>
  </si>
  <si>
    <t>https://www.proquest.com/docview/2781133908</t>
  </si>
  <si>
    <t>https://www.proquest.com/docview/2781133906</t>
  </si>
  <si>
    <t>https://www.proquest.com/docview/2781133904</t>
  </si>
  <si>
    <t>https://www.proquest.com/docview/2781133903</t>
  </si>
  <si>
    <t>https://www.proquest.com/docview/2781133900</t>
  </si>
  <si>
    <t>https://www.proquest.com/docview/2781133899</t>
  </si>
  <si>
    <t>https://www.proquest.com/docview/2781133898</t>
  </si>
  <si>
    <t>https://www.proquest.com/docview/2781133897</t>
  </si>
  <si>
    <t>https://www.proquest.com/docview/2781133896</t>
  </si>
  <si>
    <t>https://www.proquest.com/docview/2781133893</t>
  </si>
  <si>
    <t>https://www.proquest.com/docview/2781133891</t>
  </si>
  <si>
    <t>https://www.proquest.com/docview/2781133890</t>
  </si>
  <si>
    <t>https://www.proquest.com/docview/2781133889</t>
  </si>
  <si>
    <t>https://www.proquest.com/docview/2781133888</t>
  </si>
  <si>
    <t>https://www.proquest.com/docview/2781133887</t>
  </si>
  <si>
    <t>https://www.proquest.com/docview/2781133883</t>
  </si>
  <si>
    <t>https://www.proquest.com/docview/2781133882</t>
  </si>
  <si>
    <t>https://www.proquest.com/docview/2781133879</t>
  </si>
  <si>
    <t>https://www.proquest.com/docview/2781133877</t>
  </si>
  <si>
    <t>https://www.proquest.com/docview/2781133875</t>
  </si>
  <si>
    <t>https://www.proquest.com/docview/2781133872</t>
  </si>
  <si>
    <t>https://www.proquest.com/docview/2781133871</t>
  </si>
  <si>
    <t>https://www.proquest.com/docview/2781133870</t>
  </si>
  <si>
    <t>https://www.proquest.com/docview/2781133868</t>
  </si>
  <si>
    <t>https://www.proquest.com/docview/2781133867</t>
  </si>
  <si>
    <t>https://www.proquest.com/docview/2781133866</t>
  </si>
  <si>
    <t>https://www.proquest.com/docview/2781133865</t>
  </si>
  <si>
    <t>https://www.proquest.com/docview/2781133864</t>
  </si>
  <si>
    <t>https://www.proquest.com/docview/2781133863</t>
  </si>
  <si>
    <t>https://www.proquest.com/docview/2781133861</t>
  </si>
  <si>
    <t>https://www.proquest.com/docview/2781133859</t>
  </si>
  <si>
    <t>https://www.proquest.com/docview/2781133858</t>
  </si>
  <si>
    <t>https://www.proquest.com/docview/2781133856</t>
  </si>
  <si>
    <t>https://www.proquest.com/docview/2781133854</t>
  </si>
  <si>
    <t>https://www.proquest.com/docview/2781133853</t>
  </si>
  <si>
    <t>https://www.proquest.com/docview/2781133852</t>
  </si>
  <si>
    <t>https://www.proquest.com/docview/2781133850</t>
  </si>
  <si>
    <t>https://www.proquest.com/docview/2781133845</t>
  </si>
  <si>
    <t>https://www.proquest.com/docview/2781133844</t>
  </si>
  <si>
    <t>https://www.proquest.com/docview/2781133842</t>
  </si>
  <si>
    <t>https://www.proquest.com/docview/2781133841</t>
  </si>
  <si>
    <t>https://www.proquest.com/docview/2781133839</t>
  </si>
  <si>
    <t>https://www.proquest.com/docview/2781133838</t>
  </si>
  <si>
    <t>https://www.proquest.com/docview/2781133837</t>
  </si>
  <si>
    <t>https://www.proquest.com/docview/2781133834</t>
  </si>
  <si>
    <t>https://www.proquest.com/docview/2781133833</t>
  </si>
  <si>
    <t>https://www.proquest.com/docview/2781133832</t>
  </si>
  <si>
    <t>https://www.proquest.com/docview/2781133831</t>
  </si>
  <si>
    <t>https://www.proquest.com/docview/2781133830</t>
  </si>
  <si>
    <t>https://www.proquest.com/docview/2781133829</t>
  </si>
  <si>
    <t>https://www.proquest.com/docview/2781133828</t>
  </si>
  <si>
    <t>https://www.proquest.com/docview/2781133827</t>
  </si>
  <si>
    <t>https://www.proquest.com/docview/2781133826</t>
  </si>
  <si>
    <t>https://www.proquest.com/docview/2781133825</t>
  </si>
  <si>
    <t>https://www.proquest.com/docview/2781133821</t>
  </si>
  <si>
    <t>https://www.proquest.com/docview/2781133820</t>
  </si>
  <si>
    <t>https://www.proquest.com/docview/2781133817</t>
  </si>
  <si>
    <t>https://www.proquest.com/docview/2781133815</t>
  </si>
  <si>
    <t>https://www.proquest.com/docview/2781133814</t>
  </si>
  <si>
    <t>https://www.proquest.com/docview/2781133813</t>
  </si>
  <si>
    <t>https://www.proquest.com/docview/2781133812</t>
  </si>
  <si>
    <t>https://www.proquest.com/docview/2781133811</t>
  </si>
  <si>
    <t>https://www.proquest.com/docview/2781133810</t>
  </si>
  <si>
    <t>https://www.proquest.com/docview/2781133808</t>
  </si>
  <si>
    <t>https://www.proquest.com/docview/2781133807</t>
  </si>
  <si>
    <t>https://www.proquest.com/docview/2781133805</t>
  </si>
  <si>
    <t>https://www.proquest.com/docview/2781133803</t>
  </si>
  <si>
    <t>https://www.proquest.com/docview/2781133801</t>
  </si>
  <si>
    <t>https://www.proquest.com/docview/2781133800</t>
  </si>
  <si>
    <t>https://www.proquest.com/docview/2781133799</t>
  </si>
  <si>
    <t>https://www.proquest.com/docview/2781133798</t>
  </si>
  <si>
    <t>https://www.proquest.com/docview/2781133797</t>
  </si>
  <si>
    <t>https://www.proquest.com/docview/2781133796</t>
  </si>
  <si>
    <t>https://www.proquest.com/docview/2781133794</t>
  </si>
  <si>
    <t>https://www.proquest.com/docview/2781133793</t>
  </si>
  <si>
    <t>https://www.proquest.com/docview/2781133791</t>
  </si>
  <si>
    <t>https://www.proquest.com/docview/2781133790</t>
  </si>
  <si>
    <t>https://www.proquest.com/docview/2781133786</t>
  </si>
  <si>
    <t>https://www.proquest.com/docview/2781133785</t>
  </si>
  <si>
    <t>https://www.proquest.com/docview/2781133782</t>
  </si>
  <si>
    <t>https://www.proquest.com/docview/2781133781</t>
  </si>
  <si>
    <t>https://www.proquest.com/docview/2781133780</t>
  </si>
  <si>
    <t>https://www.proquest.com/docview/2781133779</t>
  </si>
  <si>
    <t>https://www.proquest.com/docview/2781133778</t>
  </si>
  <si>
    <t>https://www.proquest.com/docview/2781133776</t>
  </si>
  <si>
    <t>https://www.proquest.com/docview/2781133775</t>
  </si>
  <si>
    <t>https://www.proquest.com/docview/2781133774</t>
  </si>
  <si>
    <t>https://www.proquest.com/docview/2781133773</t>
  </si>
  <si>
    <t>https://www.proquest.com/docview/2781133772</t>
  </si>
  <si>
    <t>https://www.proquest.com/docview/2781133769</t>
  </si>
  <si>
    <t>https://www.proquest.com/docview/2781133767</t>
  </si>
  <si>
    <t>https://www.proquest.com/docview/2781133763</t>
  </si>
  <si>
    <t>https://www.proquest.com/docview/2781133761</t>
  </si>
  <si>
    <t>https://www.proquest.com/docview/2781133760</t>
  </si>
  <si>
    <t>https://www.proquest.com/docview/2781133759</t>
  </si>
  <si>
    <t>https://www.proquest.com/docview/2781133756</t>
  </si>
  <si>
    <t>https://www.proquest.com/docview/2781133753</t>
  </si>
  <si>
    <t>https://www.proquest.com/docview/2781133752</t>
  </si>
  <si>
    <t>https://www.proquest.com/docview/2781133751</t>
  </si>
  <si>
    <t>https://www.proquest.com/docview/2781133750</t>
  </si>
  <si>
    <t>https://www.proquest.com/docview/2781133749</t>
  </si>
  <si>
    <t>https://www.proquest.com/docview/2781133748</t>
  </si>
  <si>
    <t>https://www.proquest.com/docview/2781133745</t>
  </si>
  <si>
    <t>https://www.proquest.com/docview/2781133744</t>
  </si>
  <si>
    <t>https://www.proquest.com/docview/2781133742</t>
  </si>
  <si>
    <t>https://www.proquest.com/docview/2781133740</t>
  </si>
  <si>
    <t>https://www.proquest.com/docview/2781133738</t>
  </si>
  <si>
    <t>https://www.proquest.com/docview/2781133737</t>
  </si>
  <si>
    <t>https://www.proquest.com/docview/2781133734</t>
  </si>
  <si>
    <t>https://www.proquest.com/docview/2781133733</t>
  </si>
  <si>
    <t>https://www.proquest.com/docview/2781133730</t>
  </si>
  <si>
    <t>https://www.proquest.com/docview/2781133729</t>
  </si>
  <si>
    <t>https://www.proquest.com/docview/2781133727</t>
  </si>
  <si>
    <t>https://www.proquest.com/docview/2781133726</t>
  </si>
  <si>
    <t>https://www.proquest.com/docview/2781133723</t>
  </si>
  <si>
    <t>https://www.proquest.com/docview/2781133721</t>
  </si>
  <si>
    <t>https://www.proquest.com/docview/2781133720</t>
  </si>
  <si>
    <t>https://www.proquest.com/docview/2781133719</t>
  </si>
  <si>
    <t>https://www.proquest.com/docview/2781133716</t>
  </si>
  <si>
    <t>https://www.proquest.com/docview/2781133715</t>
  </si>
  <si>
    <t>https://www.proquest.com/docview/2781133714</t>
  </si>
  <si>
    <t>https://www.proquest.com/docview/2781133712</t>
  </si>
  <si>
    <t>https://www.proquest.com/docview/2781133710</t>
  </si>
  <si>
    <t>https://www.proquest.com/docview/2781133709</t>
  </si>
  <si>
    <t>https://www.proquest.com/docview/2781133708</t>
  </si>
  <si>
    <t>https://www.proquest.com/docview/2781133707</t>
  </si>
  <si>
    <t>https://www.proquest.com/docview/2781133705</t>
  </si>
  <si>
    <t>https://www.proquest.com/docview/2781133701</t>
  </si>
  <si>
    <t>https://www.proquest.com/docview/2781133700</t>
  </si>
  <si>
    <t>https://www.proquest.com/docview/2781133699</t>
  </si>
  <si>
    <t>https://www.proquest.com/docview/2781133697</t>
  </si>
  <si>
    <t>https://www.proquest.com/docview/2781133696</t>
  </si>
  <si>
    <t>https://www.proquest.com/docview/2781133695</t>
  </si>
  <si>
    <t>https://www.proquest.com/docview/2781133690</t>
  </si>
  <si>
    <t>https://www.proquest.com/docview/2781133689</t>
  </si>
  <si>
    <t>https://www.proquest.com/docview/2781133687</t>
  </si>
  <si>
    <t>https://www.proquest.com/docview/2781133686</t>
  </si>
  <si>
    <t>https://www.proquest.com/docview/2781133685</t>
  </si>
  <si>
    <t>https://www.proquest.com/docview/2781133682</t>
  </si>
  <si>
    <t>https://www.proquest.com/docview/2781133681</t>
  </si>
  <si>
    <t>https://www.proquest.com/docview/2781133680</t>
  </si>
  <si>
    <t>https://www.proquest.com/docview/2781133679</t>
  </si>
  <si>
    <t>https://www.proquest.com/docview/2781133638</t>
  </si>
  <si>
    <t>https://www.proquest.com/docview/2781133599</t>
  </si>
  <si>
    <t>https://www.proquest.com/docview/2781133586</t>
  </si>
  <si>
    <t>https://www.proquest.com/docview/2781133584</t>
  </si>
  <si>
    <t>https://www.proquest.com/docview/2781133566</t>
  </si>
  <si>
    <t>https://www.proquest.com/docview/2781133544</t>
  </si>
  <si>
    <t>https://www.proquest.com/docview/2781133537</t>
  </si>
  <si>
    <t>https://www.proquest.com/docview/2781133526</t>
  </si>
  <si>
    <t>https://www.proquest.com/docview/2781133522</t>
  </si>
  <si>
    <t>https://www.proquest.com/docview/2781133517</t>
  </si>
  <si>
    <t>https://www.proquest.com/docview/2781133497</t>
  </si>
  <si>
    <t>https://www.proquest.com/docview/2781133496</t>
  </si>
  <si>
    <t>https://www.proquest.com/docview/2781133494</t>
  </si>
  <si>
    <t>https://www.proquest.com/docview/2781133493</t>
  </si>
  <si>
    <t>https://www.proquest.com/docview/2781133463</t>
  </si>
  <si>
    <t>https://www.proquest.com/docview/2781133455</t>
  </si>
  <si>
    <t>https://www.proquest.com/docview/2781133437</t>
  </si>
  <si>
    <t>https://www.proquest.com/docview/2781133430</t>
  </si>
  <si>
    <t>https://www.proquest.com/docview/2781133425</t>
  </si>
  <si>
    <t>https://www.proquest.com/docview/2781133407</t>
  </si>
  <si>
    <t>https://www.proquest.com/docview/2781133390</t>
  </si>
  <si>
    <t>https://www.proquest.com/docview/2781133388</t>
  </si>
  <si>
    <t>https://www.proquest.com/docview/2781133369</t>
  </si>
  <si>
    <t>https://www.proquest.com/docview/2781133354</t>
  </si>
  <si>
    <t>https://www.proquest.com/docview/2781133353</t>
  </si>
  <si>
    <t>https://www.proquest.com/docview/2781133326</t>
  </si>
  <si>
    <t>https://www.proquest.com/docview/2781133323</t>
  </si>
  <si>
    <t>https://www.proquest.com/docview/2781133308</t>
  </si>
  <si>
    <t>https://www.proquest.com/docview/2781133303</t>
  </si>
  <si>
    <t>https://www.proquest.com/docview/2781133295</t>
  </si>
  <si>
    <t>https://www.proquest.com/docview/2781133270</t>
  </si>
  <si>
    <t>https://www.proquest.com/docview/2781133263</t>
  </si>
  <si>
    <t>https://www.proquest.com/docview/2781133254</t>
  </si>
  <si>
    <t>https://www.proquest.com/docview/2781133250</t>
  </si>
  <si>
    <t>https://www.proquest.com/docview/2781133232</t>
  </si>
  <si>
    <t>https://www.proquest.com/docview/2781133224</t>
  </si>
  <si>
    <t>https://www.proquest.com/docview/2781133210</t>
  </si>
  <si>
    <t>https://www.proquest.com/docview/2781133200</t>
  </si>
  <si>
    <t>https://www.proquest.com/docview/2781133177</t>
  </si>
  <si>
    <t>https://www.proquest.com/docview/2781133162</t>
  </si>
  <si>
    <t>https://www.proquest.com/docview/2781133155</t>
  </si>
  <si>
    <t>https://www.proquest.com/docview/2781133153</t>
  </si>
  <si>
    <t>https://www.proquest.com/docview/2781133134</t>
  </si>
  <si>
    <t>https://www.proquest.com/docview/2781133125</t>
  </si>
  <si>
    <t>https://www.proquest.com/docview/2781133116</t>
  </si>
  <si>
    <t>https://www.proquest.com/docview/2781133112</t>
  </si>
  <si>
    <t>https://www.proquest.com/docview/2781133107</t>
  </si>
  <si>
    <t>https://www.proquest.com/docview/2781133106</t>
  </si>
  <si>
    <t>https://www.proquest.com/docview/2781133095</t>
  </si>
  <si>
    <t>https://www.proquest.com/docview/2781133069</t>
  </si>
  <si>
    <t>Wire Cloth Monkey Experiment</t>
  </si>
  <si>
    <t>What are Babies Watching?</t>
  </si>
  <si>
    <t>Little Albert Experiment</t>
  </si>
  <si>
    <t>Rosenhan Experiment</t>
  </si>
  <si>
    <t>Pygmalion Effect Experiment</t>
  </si>
  <si>
    <t>Spitz' Infant Isolation Experiment</t>
  </si>
  <si>
    <t>Pigeon Experiment</t>
  </si>
  <si>
    <t>Magic Number Seven, Plus or Minus Two</t>
  </si>
  <si>
    <t>Prospect Theory</t>
  </si>
  <si>
    <t>Visual Cliff Experiment</t>
  </si>
  <si>
    <t>Sleep Experiments</t>
  </si>
  <si>
    <t>Pavlov's Dogs Experiment</t>
  </si>
  <si>
    <t>Reconstruction of Automobile Destruction</t>
  </si>
  <si>
    <t>Moral Code Experiments</t>
  </si>
  <si>
    <t>Learned Helplessness Experiment</t>
  </si>
  <si>
    <t>Stanford Prison Experiment</t>
  </si>
  <si>
    <t>Stanford Marshmallow Experiment</t>
  </si>
  <si>
    <t>Small World Experiment</t>
  </si>
  <si>
    <t>Robbers Cave Experiment</t>
  </si>
  <si>
    <t>Two Factor Theory of Emotion Experiment</t>
  </si>
  <si>
    <t>Good Samaritan Experiment</t>
  </si>
  <si>
    <t>Lost Letter Experiment</t>
  </si>
  <si>
    <t>Happiness Experiments</t>
  </si>
  <si>
    <t>Halo Effect</t>
  </si>
  <si>
    <t>Facial Affect Experiments</t>
  </si>
  <si>
    <t>Cognitive Dissonance Experiment</t>
  </si>
  <si>
    <t>Behavioral Study of Obedience</t>
  </si>
  <si>
    <t>Bobo Doll Experiment</t>
  </si>
  <si>
    <t>Asch Conformity Experiment</t>
  </si>
  <si>
    <t>Experimental Study of the Effect of Evaluative Labeling of Speech Fluency</t>
  </si>
  <si>
    <t>Blue Eyed Brown Eyed Experiment</t>
  </si>
  <si>
    <t>Child Separation from Mother Experiment</t>
  </si>
  <si>
    <t>Bystander Effect</t>
  </si>
  <si>
    <t>Black Doll White Doll Experiment</t>
  </si>
  <si>
    <t>https://www.proquest.com/docview/2781122356</t>
  </si>
  <si>
    <t>https://www.proquest.com/docview/2781122341</t>
  </si>
  <si>
    <t>https://www.proquest.com/docview/2781121887</t>
  </si>
  <si>
    <t>https://www.proquest.com/docview/2781121886</t>
  </si>
  <si>
    <t>https://www.proquest.com/docview/2781121885</t>
  </si>
  <si>
    <t>https://www.proquest.com/docview/2781121884</t>
  </si>
  <si>
    <t>https://www.proquest.com/docview/2781121883</t>
  </si>
  <si>
    <t>https://www.proquest.com/docview/2781121882</t>
  </si>
  <si>
    <t>https://www.proquest.com/docview/2781121881</t>
  </si>
  <si>
    <t>https://www.proquest.com/docview/2781121880</t>
  </si>
  <si>
    <t>https://www.proquest.com/docview/2781121879</t>
  </si>
  <si>
    <t>https://www.proquest.com/docview/2781121878</t>
  </si>
  <si>
    <t>https://www.proquest.com/docview/2781121877</t>
  </si>
  <si>
    <t>https://www.proquest.com/docview/2781121876</t>
  </si>
  <si>
    <t>https://www.proquest.com/docview/2781121875</t>
  </si>
  <si>
    <t>https://www.proquest.com/docview/2781121874</t>
  </si>
  <si>
    <t>https://www.proquest.com/docview/2781121873</t>
  </si>
  <si>
    <t>https://www.proquest.com/docview/2781121872</t>
  </si>
  <si>
    <t>https://www.proquest.com/docview/2781121871</t>
  </si>
  <si>
    <t>https://www.proquest.com/docview/2781121870</t>
  </si>
  <si>
    <t>https://www.proquest.com/docview/2781121866</t>
  </si>
  <si>
    <t>https://www.proquest.com/docview/2781121865</t>
  </si>
  <si>
    <t>https://www.proquest.com/docview/2781121864</t>
  </si>
  <si>
    <t>https://www.proquest.com/docview/2781121863</t>
  </si>
  <si>
    <t>https://www.proquest.com/docview/2781121559</t>
  </si>
  <si>
    <t>https://www.proquest.com/docview/2781121558</t>
  </si>
  <si>
    <t>https://www.proquest.com/docview/2781121557</t>
  </si>
  <si>
    <t>https://www.proquest.com/docview/2781121556</t>
  </si>
  <si>
    <t>https://www.proquest.com/docview/2781121555</t>
  </si>
  <si>
    <t>https://www.proquest.com/docview/2781121554</t>
  </si>
  <si>
    <t>https://www.proquest.com/docview/2781121553</t>
  </si>
  <si>
    <t>https://www.proquest.com/docview/2781121552</t>
  </si>
  <si>
    <t>https://www.proquest.com/docview/2781121551</t>
  </si>
  <si>
    <t>https://www.proquest.com/docview/2781121550</t>
  </si>
  <si>
    <t>Program Evaluation</t>
  </si>
  <si>
    <t>Criterion-Referenced Tests</t>
  </si>
  <si>
    <t>Direct Observation</t>
  </si>
  <si>
    <t>Visual Cliff</t>
  </si>
  <si>
    <t>Twin Studies</t>
  </si>
  <si>
    <t>Test Standardization</t>
  </si>
  <si>
    <t>School Psychology Research</t>
  </si>
  <si>
    <t>Generalizability</t>
  </si>
  <si>
    <t>Cohort Analysis</t>
  </si>
  <si>
    <t>Scientific Method</t>
  </si>
  <si>
    <t>Meta-Analysis</t>
  </si>
  <si>
    <t>Normal Distribution</t>
  </si>
  <si>
    <t>Behavior Rating Scales</t>
  </si>
  <si>
    <t>Standard Deviation</t>
  </si>
  <si>
    <t>Research Involving Children</t>
  </si>
  <si>
    <t>Experimental Methods</t>
  </si>
  <si>
    <t>Functional Relation</t>
  </si>
  <si>
    <t>Ethical Standards of Research</t>
  </si>
  <si>
    <t>Norms</t>
  </si>
  <si>
    <t>Cross-Sectional Studies</t>
  </si>
  <si>
    <t>Participatory Research</t>
  </si>
  <si>
    <t>Quantitative Research</t>
  </si>
  <si>
    <t>Experiments</t>
  </si>
  <si>
    <t>Validity</t>
  </si>
  <si>
    <t>Correlation Analysis</t>
  </si>
  <si>
    <t>Chi-Square Test</t>
  </si>
  <si>
    <t>Confounding</t>
  </si>
  <si>
    <t>Dependent Variables</t>
  </si>
  <si>
    <t>Effect Size</t>
  </si>
  <si>
    <t>Multilevel Methods</t>
  </si>
  <si>
    <t>Quasi-Experimental Design</t>
  </si>
  <si>
    <t>Reliability</t>
  </si>
  <si>
    <t>Ethnography</t>
  </si>
  <si>
    <t>Hypothesis</t>
  </si>
  <si>
    <t>Case Study</t>
  </si>
  <si>
    <t>Experimental Group</t>
  </si>
  <si>
    <t>Visual Analysis of Graphic Data</t>
  </si>
  <si>
    <t>Research Designs</t>
  </si>
  <si>
    <t>Developmental Research</t>
  </si>
  <si>
    <t>Percentile Rank</t>
  </si>
  <si>
    <t>Stanines</t>
  </si>
  <si>
    <t>Single-Subject Research Design</t>
  </si>
  <si>
    <t>Longitudinal Studies</t>
  </si>
  <si>
    <t>Single-Case Experimental Design</t>
  </si>
  <si>
    <t>Informed Consent</t>
  </si>
  <si>
    <t>Field Experimentation Research</t>
  </si>
  <si>
    <t>Clinical Significance</t>
  </si>
  <si>
    <t>Community-Based Participatory Research</t>
  </si>
  <si>
    <t>Self Report</t>
  </si>
  <si>
    <t>Confidence Interval</t>
  </si>
  <si>
    <t>Norm-Referenced Tests</t>
  </si>
  <si>
    <t>Standard Error of Measurement</t>
  </si>
  <si>
    <t>Trend Lines</t>
  </si>
  <si>
    <t>Key Informants</t>
  </si>
  <si>
    <t>Standard Celeration Chart System</t>
  </si>
  <si>
    <t>Statistical Significance</t>
  </si>
  <si>
    <t>Sampling</t>
  </si>
  <si>
    <t>https://www.proquest.com/docview/2781133930</t>
  </si>
  <si>
    <t>https://www.proquest.com/docview/2781133928</t>
  </si>
  <si>
    <t>https://www.proquest.com/docview/2781133926</t>
  </si>
  <si>
    <t>https://www.proquest.com/docview/2781133924</t>
  </si>
  <si>
    <t>https://www.proquest.com/docview/2781133917</t>
  </si>
  <si>
    <t>https://www.proquest.com/docview/2781133911</t>
  </si>
  <si>
    <t>https://www.proquest.com/docview/2781133909</t>
  </si>
  <si>
    <t>https://www.proquest.com/docview/2781133907</t>
  </si>
  <si>
    <t>https://www.proquest.com/docview/2781133905</t>
  </si>
  <si>
    <t>https://www.proquest.com/docview/2781133902</t>
  </si>
  <si>
    <t>https://www.proquest.com/docview/2781133901</t>
  </si>
  <si>
    <t>https://www.proquest.com/docview/2781133894</t>
  </si>
  <si>
    <t>https://www.proquest.com/docview/2781133892</t>
  </si>
  <si>
    <t>https://www.proquest.com/docview/2781133885</t>
  </si>
  <si>
    <t>https://www.proquest.com/docview/2781133884</t>
  </si>
  <si>
    <t>https://www.proquest.com/docview/2781133881</t>
  </si>
  <si>
    <t>https://www.proquest.com/docview/2781133878</t>
  </si>
  <si>
    <t>https://www.proquest.com/docview/2781133876</t>
  </si>
  <si>
    <t>https://www.proquest.com/docview/2781133862</t>
  </si>
  <si>
    <t>https://www.proquest.com/docview/2781133857</t>
  </si>
  <si>
    <t>https://www.proquest.com/docview/2781133849</t>
  </si>
  <si>
    <t>https://www.proquest.com/docview/2781133847</t>
  </si>
  <si>
    <t>https://www.proquest.com/docview/2781133836</t>
  </si>
  <si>
    <t>https://www.proquest.com/docview/2781133823</t>
  </si>
  <si>
    <t>https://www.proquest.com/docview/2781133822</t>
  </si>
  <si>
    <t>https://www.proquest.com/docview/2781133819</t>
  </si>
  <si>
    <t>https://www.proquest.com/docview/2781133816</t>
  </si>
  <si>
    <t>https://www.proquest.com/docview/2781133806</t>
  </si>
  <si>
    <t>https://www.proquest.com/docview/2781133792</t>
  </si>
  <si>
    <t>https://www.proquest.com/docview/2781133788</t>
  </si>
  <si>
    <t>https://www.proquest.com/docview/2781133787</t>
  </si>
  <si>
    <t>https://www.proquest.com/docview/2781133784</t>
  </si>
  <si>
    <t>https://www.proquest.com/docview/2781133770</t>
  </si>
  <si>
    <t>https://www.proquest.com/docview/2781133766</t>
  </si>
  <si>
    <t>https://www.proquest.com/docview/2781133765</t>
  </si>
  <si>
    <t>https://www.proquest.com/docview/2781133764</t>
  </si>
  <si>
    <t>https://www.proquest.com/docview/2781133762</t>
  </si>
  <si>
    <t>https://www.proquest.com/docview/2781133758</t>
  </si>
  <si>
    <t>https://www.proquest.com/docview/2781133754</t>
  </si>
  <si>
    <t>https://www.proquest.com/docview/2781133743</t>
  </si>
  <si>
    <t>https://www.proquest.com/docview/2781133741</t>
  </si>
  <si>
    <t>https://www.proquest.com/docview/2781133739</t>
  </si>
  <si>
    <t>https://www.proquest.com/docview/2781133735</t>
  </si>
  <si>
    <t>https://www.proquest.com/docview/2781133732</t>
  </si>
  <si>
    <t>https://www.proquest.com/docview/2781133731</t>
  </si>
  <si>
    <t>https://www.proquest.com/docview/2781133725</t>
  </si>
  <si>
    <t>https://www.proquest.com/docview/2781133724</t>
  </si>
  <si>
    <t>https://www.proquest.com/docview/2781133717</t>
  </si>
  <si>
    <t>https://www.proquest.com/docview/2781133711</t>
  </si>
  <si>
    <t>https://www.proquest.com/docview/2781133706</t>
  </si>
  <si>
    <t>https://www.proquest.com/docview/2781133702</t>
  </si>
  <si>
    <t>https://www.proquest.com/docview/2781133694</t>
  </si>
  <si>
    <t>https://www.proquest.com/docview/2781133693</t>
  </si>
  <si>
    <t>https://www.proquest.com/docview/2781133692</t>
  </si>
  <si>
    <t>https://www.proquest.com/docview/2781133691</t>
  </si>
  <si>
    <t>https://www.proquest.com/docview/2781133688</t>
  </si>
  <si>
    <t>https://www.proquest.com/docview/2781133683</t>
  </si>
  <si>
    <t>https://www.proquest.com/docview/2781133678</t>
  </si>
  <si>
    <t>Hostility: Measurement</t>
  </si>
  <si>
    <t>Behavioral Risk Factor Surveillance System</t>
  </si>
  <si>
    <t>Neuro-QoL: Pediatric Measures</t>
  </si>
  <si>
    <t>Anxiety: Its Meaning and Measurement</t>
  </si>
  <si>
    <t>Beck Depression Inventory</t>
  </si>
  <si>
    <t>Standardized Tests Assessment</t>
  </si>
  <si>
    <t>Five-Factor Model of Personality</t>
  </si>
  <si>
    <t>Quality of Life</t>
  </si>
  <si>
    <t>Anger: Measurement</t>
  </si>
  <si>
    <t>Dynamic Indicators of Basic Early Literacy Skills (DIBELS)</t>
  </si>
  <si>
    <t>Neonatal Behavioral Assessment Scale</t>
  </si>
  <si>
    <t>Optimism and Pessimism: Measurement</t>
  </si>
  <si>
    <t>NIH Toolbox: Emotion</t>
  </si>
  <si>
    <t>PROMIS: Adult Measures</t>
  </si>
  <si>
    <t>PROMIS: Pediatric Measures</t>
  </si>
  <si>
    <t>Social-Emotional Assessment</t>
  </si>
  <si>
    <t>NIH Toolbox: Sensation</t>
  </si>
  <si>
    <t>Sociometric Assessment</t>
  </si>
  <si>
    <t>PROMIS: Parent Proxy Measures</t>
  </si>
  <si>
    <t>Depression: Measurement</t>
  </si>
  <si>
    <t>NIH Toolbox: Cognition</t>
  </si>
  <si>
    <t>Special Education Assessment</t>
  </si>
  <si>
    <t>Bayley Scales of Infant Development</t>
  </si>
  <si>
    <t>NIH Toolbox: Motor</t>
  </si>
  <si>
    <t>Neuro-QoL: Adult Measures</t>
  </si>
  <si>
    <t>Performance-Based Personality Measures</t>
  </si>
  <si>
    <t>Personality Assessment Inventory (PAI)</t>
  </si>
  <si>
    <t>Minnesota Multiphasic Personality Inventory</t>
  </si>
  <si>
    <t>Psychology Pioneers</t>
  </si>
  <si>
    <t>Social and Cultural Factors</t>
  </si>
  <si>
    <t>Biopsychology and Neuroscience</t>
  </si>
  <si>
    <t>Psychology and Counseling Fields</t>
  </si>
  <si>
    <t>Health Promotion and Disease Prevention</t>
  </si>
  <si>
    <t>Theories and Models</t>
  </si>
  <si>
    <t>https://www.proquest.com/docview/2781133912</t>
  </si>
  <si>
    <t>https://www.proquest.com/docview/2781133886</t>
  </si>
  <si>
    <t>https://www.proquest.com/docview/2781133860</t>
  </si>
  <si>
    <t>https://www.proquest.com/docview/2781133855</t>
  </si>
  <si>
    <t>https://www.proquest.com/docview/2781133809</t>
  </si>
  <si>
    <t>https://www.proquest.com/docview/2781133783</t>
  </si>
  <si>
    <t>https://www.proquest.com/docview/2781133755</t>
  </si>
  <si>
    <t>https://www.proquest.com/docview/2781133746</t>
  </si>
  <si>
    <t>https://www.proquest.com/docview/2781133918</t>
  </si>
  <si>
    <t>https://www.proquest.com/docview/2781133915</t>
  </si>
  <si>
    <t>https://www.proquest.com/docview/2781133895</t>
  </si>
  <si>
    <t>https://www.proquest.com/docview/2781133880</t>
  </si>
  <si>
    <t>https://www.proquest.com/docview/2781133874</t>
  </si>
  <si>
    <t>https://www.proquest.com/docview/2781133873</t>
  </si>
  <si>
    <t>https://www.proquest.com/docview/2781133869</t>
  </si>
  <si>
    <t>https://www.proquest.com/docview/2781133851</t>
  </si>
  <si>
    <t>https://www.proquest.com/docview/2781133848</t>
  </si>
  <si>
    <t>https://www.proquest.com/docview/2781133846</t>
  </si>
  <si>
    <t>https://www.proquest.com/docview/2781133840</t>
  </si>
  <si>
    <t>https://www.proquest.com/docview/2781133835</t>
  </si>
  <si>
    <t>https://www.proquest.com/docview/2781133824</t>
  </si>
  <si>
    <t>https://www.proquest.com/docview/2781133802</t>
  </si>
  <si>
    <t>https://www.proquest.com/docview/2781133795</t>
  </si>
  <si>
    <t>https://www.proquest.com/docview/2781133789</t>
  </si>
  <si>
    <t>https://www.proquest.com/docview/2781133777</t>
  </si>
  <si>
    <t>https://www.proquest.com/docview/2781133771</t>
  </si>
  <si>
    <t>https://www.proquest.com/docview/2781133768</t>
  </si>
  <si>
    <t>https://www.proquest.com/docview/2781133757</t>
  </si>
  <si>
    <t>https://www.proquest.com/docview/2781133747</t>
  </si>
  <si>
    <t>https://www.proquest.com/docview/2781133736</t>
  </si>
  <si>
    <t>https://www.proquest.com/docview/2781133728</t>
  </si>
  <si>
    <t>https://www.proquest.com/docview/2781133718</t>
  </si>
  <si>
    <t>https://www.proquest.com/docview/2781133713</t>
  </si>
  <si>
    <t>https://www.proquest.com/docview/2781133704</t>
  </si>
  <si>
    <t>https://www.proquest.com/docview/2781133703</t>
  </si>
  <si>
    <t>https://www.proquest.com/docview/2781133698</t>
  </si>
  <si>
    <t>https://www.proquest.com/docview/2781133684</t>
  </si>
  <si>
    <t>Resilience and Protective Factors</t>
  </si>
  <si>
    <t>Youniss, James</t>
  </si>
  <si>
    <t>Skinner, Burhus Fredrick</t>
  </si>
  <si>
    <t>Natural Childbirth</t>
  </si>
  <si>
    <t>Weight</t>
  </si>
  <si>
    <t>Smyer, Michael A.</t>
  </si>
  <si>
    <t>Wheeler, Wendy</t>
  </si>
  <si>
    <t>Thalidomide</t>
  </si>
  <si>
    <t>Positive Peer Reporting</t>
  </si>
  <si>
    <t>Vitamin Deficiency</t>
  </si>
  <si>
    <t>Toddlers</t>
  </si>
  <si>
    <t>Work-Related Stress and Health</t>
  </si>
  <si>
    <t>Therapeutic Relationship</t>
  </si>
  <si>
    <t>Understanding of Ethnicity and Race</t>
  </si>
  <si>
    <t>Universal Grammar</t>
  </si>
  <si>
    <t>Social Exclusion</t>
  </si>
  <si>
    <t>Operant</t>
  </si>
  <si>
    <t>Single-Parent Family</t>
  </si>
  <si>
    <t>Teratogen</t>
  </si>
  <si>
    <t>Social and Interpersonal Skills Training</t>
  </si>
  <si>
    <t>Socioeconomic Status</t>
  </si>
  <si>
    <t>Theories of Human Development</t>
  </si>
  <si>
    <t>Volunteering</t>
  </si>
  <si>
    <t>Stress: Biological Aspects</t>
  </si>
  <si>
    <t>Social Capital</t>
  </si>
  <si>
    <t>Testable Hypothesis</t>
  </si>
  <si>
    <t>Task Interspersal</t>
  </si>
  <si>
    <t>Stimulus Control</t>
  </si>
  <si>
    <t>Social Skills</t>
  </si>
  <si>
    <t>Vicarious Extinction</t>
  </si>
  <si>
    <t>Vicarious Punishment</t>
  </si>
  <si>
    <t>Social Development</t>
  </si>
  <si>
    <t>Social Class</t>
  </si>
  <si>
    <t>Piaget, Jean</t>
  </si>
  <si>
    <t>Sports and Positive Youth Development</t>
  </si>
  <si>
    <t>Whole Language</t>
  </si>
  <si>
    <t>Smoking and Health</t>
  </si>
  <si>
    <t>Supervision in School Psychology</t>
  </si>
  <si>
    <t>Single-Case Research</t>
  </si>
  <si>
    <t>Worksite Health Promotion</t>
  </si>
  <si>
    <t>Violence in Schools</t>
  </si>
  <si>
    <t>Stranger Anxiety</t>
  </si>
  <si>
    <t>Wright, John C.</t>
  </si>
  <si>
    <t>Social Marketing</t>
  </si>
  <si>
    <t>Statewide Tests</t>
  </si>
  <si>
    <t>Testosterone</t>
  </si>
  <si>
    <t>Time-Out</t>
  </si>
  <si>
    <t>Vygotsky, Lev Semenovich</t>
  </si>
  <si>
    <t>T Cells</t>
  </si>
  <si>
    <t>Intervention for Premature Infants</t>
  </si>
  <si>
    <t>Homosexuality</t>
  </si>
  <si>
    <t>Social Support in Old Age</t>
  </si>
  <si>
    <t>Stepfamilies</t>
  </si>
  <si>
    <t>Teenage Smoking</t>
  </si>
  <si>
    <t>Pets</t>
  </si>
  <si>
    <t>Television Viewing and Health</t>
  </si>
  <si>
    <t>Stages of Development</t>
  </si>
  <si>
    <t>Schedules of Reinforcement</t>
  </si>
  <si>
    <t>Transition in Adulthood</t>
  </si>
  <si>
    <t>Social Or Status Incongruence</t>
  </si>
  <si>
    <t>Theory of Reasoned Action</t>
  </si>
  <si>
    <t>Vision and Hearing and Sensory Impairment</t>
  </si>
  <si>
    <t>Smell</t>
  </si>
  <si>
    <t>Stroke</t>
  </si>
  <si>
    <t>Theory of Planned Behavior</t>
  </si>
  <si>
    <t>Single Parents</t>
  </si>
  <si>
    <t>Social Support</t>
  </si>
  <si>
    <t>Substance Use, Prevention, and Treatment and Abuse Across the Life Span</t>
  </si>
  <si>
    <t>Twins</t>
  </si>
  <si>
    <t>Special Supplemental Food Program for Women, Infants, and Children</t>
  </si>
  <si>
    <t>Silbereisen, Rainer K.</t>
  </si>
  <si>
    <t>Verbal Praise</t>
  </si>
  <si>
    <t>Youth Civic/Political Development</t>
  </si>
  <si>
    <t>Windle, Michael</t>
  </si>
  <si>
    <t>Spontaneous Recovery</t>
  </si>
  <si>
    <t>Teaching Students Self-Control</t>
  </si>
  <si>
    <t>Smoking and Nicotine Dependence: Interventions</t>
  </si>
  <si>
    <t>Social Competence</t>
  </si>
  <si>
    <t>Vicarious Conditioning</t>
  </si>
  <si>
    <t>Wisdom</t>
  </si>
  <si>
    <t>Supervision</t>
  </si>
  <si>
    <t>Video Games</t>
  </si>
  <si>
    <t>Theories of Aging</t>
  </si>
  <si>
    <t>Transition to College</t>
  </si>
  <si>
    <t>Widows &amp; widowers</t>
  </si>
  <si>
    <t>Spanier, Graham B.</t>
  </si>
  <si>
    <t>Surrogate Mothers</t>
  </si>
  <si>
    <t>Work and Family Life</t>
  </si>
  <si>
    <t>Weinberg, Richard A.</t>
  </si>
  <si>
    <t>Sport Skill Training</t>
  </si>
  <si>
    <t>Television's Mediating Effects of Family Communication</t>
  </si>
  <si>
    <t>Youth Mentoring</t>
  </si>
  <si>
    <t>Sensorimotor Stage of Development</t>
  </si>
  <si>
    <t>Young Adulthood</t>
  </si>
  <si>
    <t>Token Economy</t>
  </si>
  <si>
    <t>Stages of Moral Development</t>
  </si>
  <si>
    <t>Smoking and Nicotine Dependence</t>
  </si>
  <si>
    <t>Vicarious Reinforcement</t>
  </si>
  <si>
    <t>United Nations Convention on the Rights of the Child</t>
  </si>
  <si>
    <t>Short-Term Memory</t>
  </si>
  <si>
    <t>Spanking</t>
  </si>
  <si>
    <t>Overcorrection</t>
  </si>
  <si>
    <t>Sports and Entertainment Psychology</t>
  </si>
  <si>
    <t>Performance Assessment</t>
  </si>
  <si>
    <t>Women's Health Issues</t>
  </si>
  <si>
    <t>Written Language Assessment</t>
  </si>
  <si>
    <t>National Hospice Study</t>
  </si>
  <si>
    <t>Turner, Samuel M.</t>
  </si>
  <si>
    <t>Visual Impairment across the Life Span</t>
  </si>
  <si>
    <t>Storm and Stress</t>
  </si>
  <si>
    <t>Time on Task</t>
  </si>
  <si>
    <t>Zero Tolerance</t>
  </si>
  <si>
    <t>Personal relationships</t>
  </si>
  <si>
    <t>Very Old Age</t>
  </si>
  <si>
    <t>Spirituality</t>
  </si>
  <si>
    <t>Social Justice</t>
  </si>
  <si>
    <t>Study Skills</t>
  </si>
  <si>
    <t>Stages of Dying</t>
  </si>
  <si>
    <t>Teenage Parents</t>
  </si>
  <si>
    <t>Occupational Health and Safety</t>
  </si>
  <si>
    <t>Spirituality and Health</t>
  </si>
  <si>
    <t>Stress-Related Growth</t>
  </si>
  <si>
    <t>Youth Prostitution</t>
  </si>
  <si>
    <t>Thalassemia</t>
  </si>
  <si>
    <t>Palliative Care</t>
  </si>
  <si>
    <t>Savin-Williams, Ritch C.</t>
  </si>
  <si>
    <t>Tailored Communications</t>
  </si>
  <si>
    <t>Vaccination</t>
  </si>
  <si>
    <t>Wraparound</t>
  </si>
  <si>
    <t>Successful Aging</t>
  </si>
  <si>
    <t>Strange Situation</t>
  </si>
  <si>
    <t>Watson, John B.</t>
  </si>
  <si>
    <t>Spiritual and Religious Coping in Later Life</t>
  </si>
  <si>
    <t>Sucking Behaviors</t>
  </si>
  <si>
    <t>Toxoplasmosis</t>
  </si>
  <si>
    <t>Welfare Reform</t>
  </si>
  <si>
    <t>Sudden Infant Death Syndrome (SIDS)</t>
  </si>
  <si>
    <t>Social Integration, Social Networks, and Health</t>
  </si>
  <si>
    <t>Sickle Cell Disease: Psychosocial Aspects</t>
  </si>
  <si>
    <t>Zygote</t>
  </si>
  <si>
    <t>Vision Impairment, Late Life Adjustment and Rehabilitation</t>
  </si>
  <si>
    <t>Social Change and Human Development</t>
  </si>
  <si>
    <t>Seligman's Concept of Positive Psychology</t>
  </si>
  <si>
    <t>Transitions to Siblinghood</t>
  </si>
  <si>
    <t>Urban Education</t>
  </si>
  <si>
    <t>Theory of Triadic Influence</t>
  </si>
  <si>
    <t>Sociobiology</t>
  </si>
  <si>
    <t>Wertlieb, Donald</t>
  </si>
  <si>
    <t>Wound Healing and Stress</t>
  </si>
  <si>
    <t>Social Security</t>
  </si>
  <si>
    <t>Stress-Buffering Hypothesis</t>
  </si>
  <si>
    <t>Tutoring</t>
  </si>
  <si>
    <t>Systems of Care</t>
  </si>
  <si>
    <t>Stage-Environment Fit Theory</t>
  </si>
  <si>
    <t>Morality</t>
  </si>
  <si>
    <t>Temperament</t>
  </si>
  <si>
    <t>Self-Determination</t>
  </si>
  <si>
    <t>Superego</t>
  </si>
  <si>
    <t>Sherrod, Lonnie R.</t>
  </si>
  <si>
    <t>The No Child Left Behind Act of 2001</t>
  </si>
  <si>
    <t>Ultrasound</t>
  </si>
  <si>
    <t>Sexually Transmitted Diseases (STDs)</t>
  </si>
  <si>
    <t>Terman, Lewis Madison</t>
  </si>
  <si>
    <t>Teenage Pregnancy</t>
  </si>
  <si>
    <t>Zone of Proximal Development (ZPD)</t>
  </si>
  <si>
    <t>Wolpe, Joseph</t>
  </si>
  <si>
    <t>Street Children</t>
  </si>
  <si>
    <t>Suspension</t>
  </si>
  <si>
    <t>Transition from School to Young Adulthood in Special Education</t>
  </si>
  <si>
    <t>Work</t>
  </si>
  <si>
    <t>Smoking Prevention and Tobacco Control Among Youth</t>
  </si>
  <si>
    <t>Teacher-Student Relationships</t>
  </si>
  <si>
    <t>Tabula Rasa</t>
  </si>
  <si>
    <t>Play, Nonsocial, and Social-Emotional Development in Childhood</t>
  </si>
  <si>
    <t>Stress, Appraisal, and Coping</t>
  </si>
  <si>
    <t>Tay-Sachs Disease</t>
  </si>
  <si>
    <t>Societal Views of Body Size</t>
  </si>
  <si>
    <t>Transtheoretical Model of Behavior Change</t>
  </si>
  <si>
    <t>Self-Actualization</t>
  </si>
  <si>
    <t>Urban Adolescents Social Support</t>
  </si>
  <si>
    <t>Resource Rooms</t>
  </si>
  <si>
    <t>Vital Exhaustion</t>
  </si>
  <si>
    <t>Violence Prevention</t>
  </si>
  <si>
    <t>Rogers, Fred</t>
  </si>
  <si>
    <t>Prenatal Development</t>
  </si>
  <si>
    <t>Ovulation</t>
  </si>
  <si>
    <t>Service-Learning versus Community-Collaborative Models for Positive Youth Development</t>
  </si>
  <si>
    <t>Service Learning</t>
  </si>
  <si>
    <t>Parent-Child Bonding</t>
  </si>
  <si>
    <t>Self-Efficacy</t>
  </si>
  <si>
    <t>School Climate</t>
  </si>
  <si>
    <t>Sexual Activity</t>
  </si>
  <si>
    <t>Petersen, Anne C.</t>
  </si>
  <si>
    <t>Kinsey Institute</t>
  </si>
  <si>
    <t>Physical Activity Interventions</t>
  </si>
  <si>
    <t>Parental Involvement in Education</t>
  </si>
  <si>
    <t>Phonological Awareness</t>
  </si>
  <si>
    <t>Response to Intervention (RTI) Model</t>
  </si>
  <si>
    <t>Sex Differences</t>
  </si>
  <si>
    <t>Optimism, Pessimism, and Health</t>
  </si>
  <si>
    <t>Separation-Individuation</t>
  </si>
  <si>
    <t>Resiliency in Adolescence</t>
  </si>
  <si>
    <t>Sexually Transmitted Diseases: Prevention</t>
  </si>
  <si>
    <t>School Psychologist</t>
  </si>
  <si>
    <t>Schedule-Induced Behavior</t>
  </si>
  <si>
    <t>Magical Thinking</t>
  </si>
  <si>
    <t>Toilet Training</t>
  </si>
  <si>
    <t>Very Low Birth Weight (VLBW)</t>
  </si>
  <si>
    <t>Semantic Development</t>
  </si>
  <si>
    <t>Menopause</t>
  </si>
  <si>
    <t>Schema</t>
  </si>
  <si>
    <t>Scaffolding</t>
  </si>
  <si>
    <t>Well-Baby Checkup</t>
  </si>
  <si>
    <t>Satiation</t>
  </si>
  <si>
    <t>Self-Concept</t>
  </si>
  <si>
    <t>School-Home Notes</t>
  </si>
  <si>
    <t>Seligman, Martin E. P.</t>
  </si>
  <si>
    <t>School Reform</t>
  </si>
  <si>
    <t>School Counselors</t>
  </si>
  <si>
    <t>Schools and School Reform</t>
  </si>
  <si>
    <t>Smiling</t>
  </si>
  <si>
    <t>Short-Term Objectives</t>
  </si>
  <si>
    <t>Perceptual Development</t>
  </si>
  <si>
    <t>Seizure Disorders</t>
  </si>
  <si>
    <t>Schoolwide Discipline</t>
  </si>
  <si>
    <t>Preschool Assessment</t>
  </si>
  <si>
    <t>Old Age</t>
  </si>
  <si>
    <t>Sensory Development</t>
  </si>
  <si>
    <t>Immunization</t>
  </si>
  <si>
    <t>Osteoporosis</t>
  </si>
  <si>
    <t>Positive Development</t>
  </si>
  <si>
    <t>Youth-Adult Partnerships</t>
  </si>
  <si>
    <t>Utopianism</t>
  </si>
  <si>
    <t>Research to Practice in Health and Behavior</t>
  </si>
  <si>
    <t>Second Languages</t>
  </si>
  <si>
    <t>Neighborhood Effects on Health and Behavior</t>
  </si>
  <si>
    <t>Retention and Promotion</t>
  </si>
  <si>
    <t>Response Class Theory</t>
  </si>
  <si>
    <t>Self-Fulfilling Prophecy</t>
  </si>
  <si>
    <t>School Refusal Behavior</t>
  </si>
  <si>
    <t>School Transitions, Impact, Intervention, and Policy</t>
  </si>
  <si>
    <t>Rhodes, Jean</t>
  </si>
  <si>
    <t>Sensitive Period</t>
  </si>
  <si>
    <t>Public Policy and Youth Development</t>
  </si>
  <si>
    <t>Retention</t>
  </si>
  <si>
    <t>Single Mothers and Parenting</t>
  </si>
  <si>
    <t>Social Workers (School)</t>
  </si>
  <si>
    <t>Outcomes-Based Assessment</t>
  </si>
  <si>
    <t>Separation Anxiety</t>
  </si>
  <si>
    <t>Religion and Applied Developmental Science</t>
  </si>
  <si>
    <t>Political Engagement</t>
  </si>
  <si>
    <t>Pacing</t>
  </si>
  <si>
    <t>Peer Mediation</t>
  </si>
  <si>
    <t>Psychosocial Development</t>
  </si>
  <si>
    <t>Parenting in Adolescence</t>
  </si>
  <si>
    <t>Suinn, Richard M.</t>
  </si>
  <si>
    <t>Relational Frame Theory</t>
  </si>
  <si>
    <t>Rett Syndrome</t>
  </si>
  <si>
    <t>Self-Assessment</t>
  </si>
  <si>
    <t>Sears, Robert</t>
  </si>
  <si>
    <t>Setting Events</t>
  </si>
  <si>
    <t>Self-Concept and Efficacy</t>
  </si>
  <si>
    <t>Lesbians</t>
  </si>
  <si>
    <t>Religious Development</t>
  </si>
  <si>
    <t>Sleep Deprivation</t>
  </si>
  <si>
    <t>Rules</t>
  </si>
  <si>
    <t>Section 504 of the U.S. Rehabilitation Act ofÂ 1973</t>
  </si>
  <si>
    <t>School Adjustment after Traumatic Brain Injury</t>
  </si>
  <si>
    <t>Marshall, William L.</t>
  </si>
  <si>
    <t>School-Based Health Promotion</t>
  </si>
  <si>
    <t>Rubella (German Measles)</t>
  </si>
  <si>
    <t>Religion-Related Child Abuse</t>
  </si>
  <si>
    <t>Mean Length Utterance</t>
  </si>
  <si>
    <t>Sensation Seeking</t>
  </si>
  <si>
    <t>Secure Attachment</t>
  </si>
  <si>
    <t>Self-Concepts and Self-Esteem in Children and Adolescents</t>
  </si>
  <si>
    <t>Self-Regulation</t>
  </si>
  <si>
    <t>QuinceaÃ±era</t>
  </si>
  <si>
    <t>Osteoarthritis</t>
  </si>
  <si>
    <t>Reflexes</t>
  </si>
  <si>
    <t>Reinforcement</t>
  </si>
  <si>
    <t>Parent Advocacy</t>
  </si>
  <si>
    <t>Rogers, Carl Ransom</t>
  </si>
  <si>
    <t>Rheumatoid Arthritis</t>
  </si>
  <si>
    <t>Parents As Teachers</t>
  </si>
  <si>
    <t>Noise</t>
  </si>
  <si>
    <t>Programs in Parent Involvement</t>
  </si>
  <si>
    <t>Prosocial Behavior</t>
  </si>
  <si>
    <t>Peptic Ulcers and Stress</t>
  </si>
  <si>
    <t>Parent-child Relations</t>
  </si>
  <si>
    <t>Problem-Solving Consultation Model</t>
  </si>
  <si>
    <t>Private Speech</t>
  </si>
  <si>
    <t>Operant Conditioning</t>
  </si>
  <si>
    <t>Problem Solving</t>
  </si>
  <si>
    <t>Organizational Consultation and Development</t>
  </si>
  <si>
    <t>Nutrition</t>
  </si>
  <si>
    <t>Precision Teaching</t>
  </si>
  <si>
    <t>Obesity: Prevention and Treatment</t>
  </si>
  <si>
    <t>Programmed Instruction</t>
  </si>
  <si>
    <t>Individual Differences</t>
  </si>
  <si>
    <t>Reports (Psychological)</t>
  </si>
  <si>
    <t>Pregnancy Outcomes: Psychosocial Aspects</t>
  </si>
  <si>
    <t>Parent-Child Interaction</t>
  </si>
  <si>
    <t>Osofsky, Joy Doniger</t>
  </si>
  <si>
    <t>Pregnancy Prevention in Adolescents</t>
  </si>
  <si>
    <t>Parent Training</t>
  </si>
  <si>
    <t>Identity Statuses</t>
  </si>
  <si>
    <t>Recapitulation</t>
  </si>
  <si>
    <t>Punishment</t>
  </si>
  <si>
    <t>Religion</t>
  </si>
  <si>
    <t>Physical Activity of Adolescent Females</t>
  </si>
  <si>
    <t>Prejudice and Parenting</t>
  </si>
  <si>
    <t>Phonemic Awareness</t>
  </si>
  <si>
    <t>Polychlorinated Biphenyls (PCB)</t>
  </si>
  <si>
    <t>Identical Twins</t>
  </si>
  <si>
    <t>Only Children</t>
  </si>
  <si>
    <t>Prostate Cancer</t>
  </si>
  <si>
    <t>Peer Play in Early Childhood</t>
  </si>
  <si>
    <t>Peers</t>
  </si>
  <si>
    <t>Observational Learning</t>
  </si>
  <si>
    <t>Pittman, Karen J.</t>
  </si>
  <si>
    <t>Primary Circular Reactions</t>
  </si>
  <si>
    <t>Right to Die</t>
  </si>
  <si>
    <t>Pivotal Response Training</t>
  </si>
  <si>
    <t>Preventive Medicine</t>
  </si>
  <si>
    <t>Peer Relationships</t>
  </si>
  <si>
    <t>Language and Communication</t>
  </si>
  <si>
    <t>Problem Behavior Theory</t>
  </si>
  <si>
    <t>Parasuicide</t>
  </si>
  <si>
    <t>Parent-Teacher Conferences</t>
  </si>
  <si>
    <t>Out-Of-School Activities and Youth Programs</t>
  </si>
  <si>
    <t>Parental Self-Efficacy</t>
  </si>
  <si>
    <t>Progress Monitoring: Conceptual, Methodological, and Practical Applications</t>
  </si>
  <si>
    <t>Permissive Parenting Style</t>
  </si>
  <si>
    <t>Philosophical Aspects of Behaviorism</t>
  </si>
  <si>
    <t>Opportunity to Respond</t>
  </si>
  <si>
    <t>Pesticides</t>
  </si>
  <si>
    <t>Pavlov, Ivan Petrovich</t>
  </si>
  <si>
    <t>Preventing Escalated Behavior: Strategies for Defusing Problem Behavior</t>
  </si>
  <si>
    <t>Physical Development and Growth</t>
  </si>
  <si>
    <t>Orphans</t>
  </si>
  <si>
    <t>Occupations and Gender</t>
  </si>
  <si>
    <t>Older Americans Act</t>
  </si>
  <si>
    <t>RH Factor</t>
  </si>
  <si>
    <t>Public Policy and Human Development</t>
  </si>
  <si>
    <t>Physical Activity and Mood</t>
  </si>
  <si>
    <t>Parent-Child Relationships</t>
  </si>
  <si>
    <t>Multiple Sclerosis</t>
  </si>
  <si>
    <t>Project Follow Through and Direct Instruction</t>
  </si>
  <si>
    <t>Preschool Children</t>
  </si>
  <si>
    <t>Paul, Gordon L.</t>
  </si>
  <si>
    <t>Rate and Frequency</t>
  </si>
  <si>
    <t>Reggio Emilia Childhood Program</t>
  </si>
  <si>
    <t>Individuals with Disabilities Education Act (IDEA)</t>
  </si>
  <si>
    <t>Programs and Policies for Teenage Parents</t>
  </si>
  <si>
    <t>Preterm Infants</t>
  </si>
  <si>
    <t>Racism</t>
  </si>
  <si>
    <t>Religiosity and Resilience in Adolescence</t>
  </si>
  <si>
    <t>Obesity in Children: Physical Activity and Nutritional Approaches</t>
  </si>
  <si>
    <t>Parent Education</t>
  </si>
  <si>
    <t>Phinney, Jean S.</t>
  </si>
  <si>
    <t>Preschool Years</t>
  </si>
  <si>
    <t>Preschool Education</t>
  </si>
  <si>
    <t>Perry Preschool Program</t>
  </si>
  <si>
    <t>Repressive Coping and Health</t>
  </si>
  <si>
    <t>Puberty</t>
  </si>
  <si>
    <t>Prejudice in Childhood</t>
  </si>
  <si>
    <t>Response Prevention</t>
  </si>
  <si>
    <t>Positron Emission Topography (PET)</t>
  </si>
  <si>
    <t>Reciprocal Determinism</t>
  </si>
  <si>
    <t>Phenotype</t>
  </si>
  <si>
    <t>Long-Term Objectives</t>
  </si>
  <si>
    <t>Phases of Learning</t>
  </si>
  <si>
    <t>Foa, Edna B</t>
  </si>
  <si>
    <t>Locus of Control</t>
  </si>
  <si>
    <t>Phonics</t>
  </si>
  <si>
    <t>Gender Role Development</t>
  </si>
  <si>
    <t>Gender Intensification</t>
  </si>
  <si>
    <t>Latchkey Children</t>
  </si>
  <si>
    <t>Genetic Testing: Ethical, Legal, and Social Aspects</t>
  </si>
  <si>
    <t>Keystone Behaviors</t>
  </si>
  <si>
    <t>Language Production in Infants and Toddlers</t>
  </si>
  <si>
    <t>Mainstreaming</t>
  </si>
  <si>
    <t>Lesbian, Gay, and Bisexual Youth</t>
  </si>
  <si>
    <t>Older Adulthood and Old Age</t>
  </si>
  <si>
    <t>Learning in the Life Cycle</t>
  </si>
  <si>
    <t>Jurors' Perceptions of Child Witnesses</t>
  </si>
  <si>
    <t>Hemophilia</t>
  </si>
  <si>
    <t>Peer Pressure</t>
  </si>
  <si>
    <t>Learned Helplessness</t>
  </si>
  <si>
    <t>Incest</t>
  </si>
  <si>
    <t>Native American Children and Families</t>
  </si>
  <si>
    <t>Moral Reasoning</t>
  </si>
  <si>
    <t>Mastery Learning</t>
  </si>
  <si>
    <t>Preoperational Thought</t>
  </si>
  <si>
    <t>Nature-Nurture</t>
  </si>
  <si>
    <t>Human Immunodeficiency Virus (HIV)</t>
  </si>
  <si>
    <t>Obesity: Causes and Consequences</t>
  </si>
  <si>
    <t>Media Use, Reading, and Academic Achievement</t>
  </si>
  <si>
    <t>Montessori, Maria</t>
  </si>
  <si>
    <t>Multigenerational Families</t>
  </si>
  <si>
    <t>Gardner, Howard</t>
  </si>
  <si>
    <t>Peer Tutoring</t>
  </si>
  <si>
    <t>Injuries</t>
  </si>
  <si>
    <t>Negative Cognitions</t>
  </si>
  <si>
    <t>Racial Differences in Juvenile Justice</t>
  </si>
  <si>
    <t>Hewett, Frank M.</t>
  </si>
  <si>
    <t>Motor Assessment</t>
  </si>
  <si>
    <t>Hersen, Michel</t>
  </si>
  <si>
    <t>Rule-Governed Behavior</t>
  </si>
  <si>
    <t>Psychoneuroimmunology</t>
  </si>
  <si>
    <t>National Cholesterol Education Program (NCEP)</t>
  </si>
  <si>
    <t>Native Americans and Parenting</t>
  </si>
  <si>
    <t>Reinforcer Sampling/Assessment</t>
  </si>
  <si>
    <t>Inclusion/Mainstreaming</t>
  </si>
  <si>
    <t>Pedophilia</t>
  </si>
  <si>
    <t>Helms's Theory of Racial Identity</t>
  </si>
  <si>
    <t>Income Inequality and Health</t>
  </si>
  <si>
    <t>Home Economics</t>
  </si>
  <si>
    <t>Heart Disease and Type A Behavior</t>
  </si>
  <si>
    <t>Refugees</t>
  </si>
  <si>
    <t>Native Alaskan Tribes</t>
  </si>
  <si>
    <t>Phenylketonuria (Pku)</t>
  </si>
  <si>
    <t>Neighborhoods</t>
  </si>
  <si>
    <t>Hospice Care</t>
  </si>
  <si>
    <t>Individualized Education Programs</t>
  </si>
  <si>
    <t>Inhibitory Control</t>
  </si>
  <si>
    <t>Organizational Behavior Management</t>
  </si>
  <si>
    <t>Precorrection</t>
  </si>
  <si>
    <t>Intimacy</t>
  </si>
  <si>
    <t>Object Permanence</t>
  </si>
  <si>
    <t>Job Strain and Health</t>
  </si>
  <si>
    <t>Overton, Willis F.</t>
  </si>
  <si>
    <t>Neuropsychological Assessment</t>
  </si>
  <si>
    <t>Informed Consent to Treatment</t>
  </si>
  <si>
    <t>Older Adulthood</t>
  </si>
  <si>
    <t>Myopia</t>
  </si>
  <si>
    <t>Mathematics Curriculum and Instruction</t>
  </si>
  <si>
    <t>Meisels, Samuel J.</t>
  </si>
  <si>
    <t>Portfolio Assessment</t>
  </si>
  <si>
    <t>Physical Activity and Health</t>
  </si>
  <si>
    <t>Hostility and Health</t>
  </si>
  <si>
    <t>Pediatric Obesity</t>
  </si>
  <si>
    <t>Mozart Effect</t>
  </si>
  <si>
    <t>Methylmercury</t>
  </si>
  <si>
    <t>Midwifery</t>
  </si>
  <si>
    <t>Naturalistic Observation</t>
  </si>
  <si>
    <t>Multiple Intelligences</t>
  </si>
  <si>
    <t>Negative Practice</t>
  </si>
  <si>
    <t>Metabolic Syndrome and Stress</t>
  </si>
  <si>
    <t>Parent Expectations</t>
  </si>
  <si>
    <t>Homicide</t>
  </si>
  <si>
    <t>Public Policy</t>
  </si>
  <si>
    <t>Miltenberger, Raymond G.</t>
  </si>
  <si>
    <t>Prader-Willi Syndrome</t>
  </si>
  <si>
    <t>Multidisciplinary Teams</t>
  </si>
  <si>
    <t>Prevention in Childhood Obesity</t>
  </si>
  <si>
    <t>Multiple births</t>
  </si>
  <si>
    <t>Race, Ethnicity, Class, and Gender</t>
  </si>
  <si>
    <t>Motor Activity and Behavioral Assessment</t>
  </si>
  <si>
    <t>Id</t>
  </si>
  <si>
    <t>Interracial Marriages</t>
  </si>
  <si>
    <t>Midlife Crisis</t>
  </si>
  <si>
    <t>Private Events</t>
  </si>
  <si>
    <t>Moore, Kristin</t>
  </si>
  <si>
    <t>Native Americans</t>
  </si>
  <si>
    <t>Mussen, Paul H.</t>
  </si>
  <si>
    <t>Neuroimaging</t>
  </si>
  <si>
    <t>Neonate</t>
  </si>
  <si>
    <t>Heterosexuality</t>
  </si>
  <si>
    <t>Latino Health and Behavior</t>
  </si>
  <si>
    <t>Media and Developmental Science</t>
  </si>
  <si>
    <t>Latino Families in America</t>
  </si>
  <si>
    <t>Immune System</t>
  </si>
  <si>
    <t>Irritable Bowel Syndrome: Psychosocial Aspects</t>
  </si>
  <si>
    <t>High-Risk Infants</t>
  </si>
  <si>
    <t>Health Disparities</t>
  </si>
  <si>
    <t>Function-Based Approach to Behavior Support: Logic, Practices, and Systems</t>
  </si>
  <si>
    <t>Full-Service Schools</t>
  </si>
  <si>
    <t>HIV Prevention With Injecting Drug Users</t>
  </si>
  <si>
    <t>Hot Flashes</t>
  </si>
  <si>
    <t>Kohlberg's Stages of Moral Development</t>
  </si>
  <si>
    <t>Infant mortality</t>
  </si>
  <si>
    <t>Learning Styles</t>
  </si>
  <si>
    <t>Hope</t>
  </si>
  <si>
    <t>Infanticide</t>
  </si>
  <si>
    <t>Lipsitt, Lewis P.</t>
  </si>
  <si>
    <t>Hydrocephalus</t>
  </si>
  <si>
    <t>Inborn Errors of Metabolism</t>
  </si>
  <si>
    <t>Internet</t>
  </si>
  <si>
    <t>Life Skills Training</t>
  </si>
  <si>
    <t>Gateway Drug</t>
  </si>
  <si>
    <t>Licensing and Certification in School Psychology</t>
  </si>
  <si>
    <t>Health Care Service Utilization: Determinants</t>
  </si>
  <si>
    <t>Joint Custody</t>
  </si>
  <si>
    <t>Genotype</t>
  </si>
  <si>
    <t>Locke, John</t>
  </si>
  <si>
    <t>Maslow, Abraham</t>
  </si>
  <si>
    <t>Horowitz, Frances Degen</t>
  </si>
  <si>
    <t>IQ Tests</t>
  </si>
  <si>
    <t>John Henryism and Health</t>
  </si>
  <si>
    <t>Kibbutzim</t>
  </si>
  <si>
    <t>Hormone Replacement Therapy</t>
  </si>
  <si>
    <t>Homelessness and Runaway Youth</t>
  </si>
  <si>
    <t>Lipids: Psychosocial Aspects</t>
  </si>
  <si>
    <t>High Blood Pressure (Hypertension)</t>
  </si>
  <si>
    <t>Lamb, Michael E.</t>
  </si>
  <si>
    <t>Health Belief Model</t>
  </si>
  <si>
    <t>Hormones</t>
  </si>
  <si>
    <t>Low Birth Weight (LBW)</t>
  </si>
  <si>
    <t>Lindsley, Ogden R.</t>
  </si>
  <si>
    <t>Happiness and Health</t>
  </si>
  <si>
    <t>Lerner, Jacqueline V.</t>
  </si>
  <si>
    <t>Identity Development in Biracial Children</t>
  </si>
  <si>
    <t>Huntington's Chorea</t>
  </si>
  <si>
    <t>Life Expectancy and the Life Span</t>
  </si>
  <si>
    <t>Infantile colic</t>
  </si>
  <si>
    <t>Language Acquisition Device</t>
  </si>
  <si>
    <t>Holocaust</t>
  </si>
  <si>
    <t>Heart Disease: Anger, Depression, and Anxiety</t>
  </si>
  <si>
    <t>Massed Practice</t>
  </si>
  <si>
    <t>Infertility</t>
  </si>
  <si>
    <t>Hetherington, E. Mavis</t>
  </si>
  <si>
    <t>Functions of Behavior</t>
  </si>
  <si>
    <t>Gross Motor Development</t>
  </si>
  <si>
    <t>Incidental Teaching</t>
  </si>
  <si>
    <t>Haring, Norris</t>
  </si>
  <si>
    <t>Lead Exposure</t>
  </si>
  <si>
    <t>High School</t>
  </si>
  <si>
    <t>Information Processing</t>
  </si>
  <si>
    <t>Limbic System</t>
  </si>
  <si>
    <t>Long-Term Memory</t>
  </si>
  <si>
    <t>Immigrant Populations and Health</t>
  </si>
  <si>
    <t>Harassment</t>
  </si>
  <si>
    <t>KÃ¼bler-Ross, Elisabeth</t>
  </si>
  <si>
    <t>Injury Prevention in Children</t>
  </si>
  <si>
    <t>Imaginary Friend</t>
  </si>
  <si>
    <t>Intergenerational Relationships</t>
  </si>
  <si>
    <t>Health Insurance</t>
  </si>
  <si>
    <t>Levels of Community Linkages</t>
  </si>
  <si>
    <t>Home-School Collaboration</t>
  </si>
  <si>
    <t>Heart Disease and Diet</t>
  </si>
  <si>
    <t>Infant Assessment</t>
  </si>
  <si>
    <t>Immigrants</t>
  </si>
  <si>
    <t>HIV Prevention in Young Adults</t>
  </si>
  <si>
    <t>Manifestation Determination</t>
  </si>
  <si>
    <t>Least Restrictive Environment</t>
  </si>
  <si>
    <t>Inductive Reasoning</t>
  </si>
  <si>
    <t>Klinefelter's Syndrome</t>
  </si>
  <si>
    <t>Friendship</t>
  </si>
  <si>
    <t>Hall, G. Stanley</t>
  </si>
  <si>
    <t>Health Literacy</t>
  </si>
  <si>
    <t>High School Sports</t>
  </si>
  <si>
    <t>Gilligan's Theory of Feminine Morality</t>
  </si>
  <si>
    <t>Gesell, Arnold Lucius</t>
  </si>
  <si>
    <t>Heart Disease and Smoking</t>
  </si>
  <si>
    <t>Interviewing</t>
  </si>
  <si>
    <t>Grade Equivalent Scores</t>
  </si>
  <si>
    <t>Hopelessness and Health</t>
  </si>
  <si>
    <t>Learning Disabilities</t>
  </si>
  <si>
    <t>Meichenbaum, Donald H.</t>
  </si>
  <si>
    <t>Gender Identity</t>
  </si>
  <si>
    <t>Lesch-Nyhan Syndrome</t>
  </si>
  <si>
    <t>Functional Behavioral Assessment</t>
  </si>
  <si>
    <t>Maternal Employment</t>
  </si>
  <si>
    <t>Impact on Women and Children of Domestic Violence</t>
  </si>
  <si>
    <t>Kazdin, Alan E.</t>
  </si>
  <si>
    <t>Lazarus, Arnold A.</t>
  </si>
  <si>
    <t>Infectious Diseases</t>
  </si>
  <si>
    <t>Media and Children</t>
  </si>
  <si>
    <t>Learning and Memory</t>
  </si>
  <si>
    <t>Fundamental Social Causes of Disease and Mortality</t>
  </si>
  <si>
    <t>Heart Disease and Physical Activity</t>
  </si>
  <si>
    <t>Gamete</t>
  </si>
  <si>
    <t>Hardiness and Health</t>
  </si>
  <si>
    <t>Independent Living</t>
  </si>
  <si>
    <t>Gate Control Theory of Pain</t>
  </si>
  <si>
    <t>Home births</t>
  </si>
  <si>
    <t>Hate Crimes</t>
  </si>
  <si>
    <t>Floyd, Donald T., Jr.</t>
  </si>
  <si>
    <t>Lewinsohn, Peter M.</t>
  </si>
  <si>
    <t>Foster Care</t>
  </si>
  <si>
    <t>Ionizing Radiation</t>
  </si>
  <si>
    <t>Judaism</t>
  </si>
  <si>
    <t>Jacobs, Francine</t>
  </si>
  <si>
    <t>Intellectual Decline</t>
  </si>
  <si>
    <t>Infant Reflexes</t>
  </si>
  <si>
    <t>Incontinence</t>
  </si>
  <si>
    <t>Graduated Extinction</t>
  </si>
  <si>
    <t>Hagen, John William</t>
  </si>
  <si>
    <t>Marijuana</t>
  </si>
  <si>
    <t>Grades</t>
  </si>
  <si>
    <t>Khoo, Kim Choo</t>
  </si>
  <si>
    <t>Maternal Smoking</t>
  </si>
  <si>
    <t>Kantor's Interbehaviorism</t>
  </si>
  <si>
    <t>Human Genome Project</t>
  </si>
  <si>
    <t>Mastery Motivation in Preschool and Early Childhood</t>
  </si>
  <si>
    <t>Lerner, Richard M.</t>
  </si>
  <si>
    <t>Imaginary Audience</t>
  </si>
  <si>
    <t>Kohlberg, Lawrence</t>
  </si>
  <si>
    <t>HIV/AIDS</t>
  </si>
  <si>
    <t>Ilg, Frances</t>
  </si>
  <si>
    <t>Lemon Juice Therapy</t>
  </si>
  <si>
    <t>Lovaas, O. Ivar</t>
  </si>
  <si>
    <t>Helms, Janet E.</t>
  </si>
  <si>
    <t>Heart Disease and Reactivity</t>
  </si>
  <si>
    <t>Fraternal Twins</t>
  </si>
  <si>
    <t>Little, Rick R.</t>
  </si>
  <si>
    <t>Kanfer, Frederick H.</t>
  </si>
  <si>
    <t>Immune Responses to Stress</t>
  </si>
  <si>
    <t>Humor</t>
  </si>
  <si>
    <t>Homeschooling</t>
  </si>
  <si>
    <t>Home-Based Reinforcement</t>
  </si>
  <si>
    <t>Imprinting</t>
  </si>
  <si>
    <t>Funerals</t>
  </si>
  <si>
    <t>Intelligence and Aptitude</t>
  </si>
  <si>
    <t>Life Events</t>
  </si>
  <si>
    <t>Errorless Learning</t>
  </si>
  <si>
    <t>Habituation</t>
  </si>
  <si>
    <t>Individualized Education Plan Meeting</t>
  </si>
  <si>
    <t>Later Adulthood</t>
  </si>
  <si>
    <t>Intelligence Testing</t>
  </si>
  <si>
    <t>Mentor</t>
  </si>
  <si>
    <t>Middle Adulthood</t>
  </si>
  <si>
    <t>Motor Skill Mastering</t>
  </si>
  <si>
    <t>Maturation</t>
  </si>
  <si>
    <t>Mathematics Interventions and Strategies</t>
  </si>
  <si>
    <t>Female Attitudes and Perceptions about Body Size and Image</t>
  </si>
  <si>
    <t>False Memories</t>
  </si>
  <si>
    <t>Eisenberg, Nancy</t>
  </si>
  <si>
    <t>Miscarriage</t>
  </si>
  <si>
    <t>Ethnic Identity Development in Minority Adolescents</t>
  </si>
  <si>
    <t>Mental Age</t>
  </si>
  <si>
    <t>Maintenance</t>
  </si>
  <si>
    <t>Expressive Writing and Health</t>
  </si>
  <si>
    <t>Menstruation</t>
  </si>
  <si>
    <t>Generalized Conditioned Reinforcer</t>
  </si>
  <si>
    <t>Neurotransmitters</t>
  </si>
  <si>
    <t>Ego Development</t>
  </si>
  <si>
    <t>Menarche</t>
  </si>
  <si>
    <t>Gangs</t>
  </si>
  <si>
    <t>Immigrant Families in the United States</t>
  </si>
  <si>
    <t>Hostility: Psychophysiology</t>
  </si>
  <si>
    <t>Medicare</t>
  </si>
  <si>
    <t>Malnutrition</t>
  </si>
  <si>
    <t>Maternal Health</t>
  </si>
  <si>
    <t>Marital Equity</t>
  </si>
  <si>
    <t>Mental Illness, Serotonin, and Genetics</t>
  </si>
  <si>
    <t>Health Care Costs and Behavior</t>
  </si>
  <si>
    <t>Moral Development</t>
  </si>
  <si>
    <t>Mediated Learning Experience</t>
  </si>
  <si>
    <t>Harlow, Harry F.</t>
  </si>
  <si>
    <t>Media and Children's Fears</t>
  </si>
  <si>
    <t>Memory Failure</t>
  </si>
  <si>
    <t>Media Violence</t>
  </si>
  <si>
    <t>Marks, Isaac M.</t>
  </si>
  <si>
    <t>Measuring Quality of Care in Daycare</t>
  </si>
  <si>
    <t>Middle School</t>
  </si>
  <si>
    <t>Mentoring</t>
  </si>
  <si>
    <t>Dual-Career Families</t>
  </si>
  <si>
    <t>Gray Panthers</t>
  </si>
  <si>
    <t>Endocrine Disruptors</t>
  </si>
  <si>
    <t>Emotional Intelligence</t>
  </si>
  <si>
    <t>Fisher, Celia B.</t>
  </si>
  <si>
    <t>Drug Craving</t>
  </si>
  <si>
    <t>Fetuses</t>
  </si>
  <si>
    <t>Glass Ceiling</t>
  </si>
  <si>
    <t>Empathy</t>
  </si>
  <si>
    <t>Ethnic Cleansing</t>
  </si>
  <si>
    <t>Erikson, Erik Homburger</t>
  </si>
  <si>
    <t>Freud, Anna</t>
  </si>
  <si>
    <t>Endogenous Opioids, Stress, and Health</t>
  </si>
  <si>
    <t>Due Process</t>
  </si>
  <si>
    <t>Evaluating Behavioral Plans</t>
  </si>
  <si>
    <t>Families and Parenting</t>
  </si>
  <si>
    <t>Frontal Cortex</t>
  </si>
  <si>
    <t>Emotional Development</t>
  </si>
  <si>
    <t>Expectancy-Value Model of Achievement Choice</t>
  </si>
  <si>
    <t>Fragile X Syndrome</t>
  </si>
  <si>
    <t>Dual-Earner Households</t>
  </si>
  <si>
    <t>Genetics and Human Development</t>
  </si>
  <si>
    <t>Early Childhood Care, Development, and Education in Asia</t>
  </si>
  <si>
    <t>Euthanasia</t>
  </si>
  <si>
    <t>Farrington, David P.</t>
  </si>
  <si>
    <t>Electra and Oedipal Complexes</t>
  </si>
  <si>
    <t>Evidence-Based Practice</t>
  </si>
  <si>
    <t>Expulsion</t>
  </si>
  <si>
    <t>Early Intervention</t>
  </si>
  <si>
    <t>Dying</t>
  </si>
  <si>
    <t>Forensic Interviewing</t>
  </si>
  <si>
    <t>Direct Instruction Mathematics</t>
  </si>
  <si>
    <t>Facilitated Communication</t>
  </si>
  <si>
    <t>Ecosocial Theory</t>
  </si>
  <si>
    <t>Ethnic Identity</t>
  </si>
  <si>
    <t>Elderhostel Programs</t>
  </si>
  <si>
    <t>Divorce and Parenting</t>
  </si>
  <si>
    <t>Embryos</t>
  </si>
  <si>
    <t>Discipline</t>
  </si>
  <si>
    <t>Gender Differences</t>
  </si>
  <si>
    <t>Empowerment Theory and Youth</t>
  </si>
  <si>
    <t>Early Childhood Development</t>
  </si>
  <si>
    <t>Dynamical Systems</t>
  </si>
  <si>
    <t>Errorless Compliance Training</t>
  </si>
  <si>
    <t>Fathers</t>
  </si>
  <si>
    <t>Emmelkamp, Paul M. G.</t>
  </si>
  <si>
    <t>Father Involvement</t>
  </si>
  <si>
    <t>European Immigrant Families</t>
  </si>
  <si>
    <t>Elder Abuse</t>
  </si>
  <si>
    <t>Education and Applied Developmental Science</t>
  </si>
  <si>
    <t>Disasters and Health</t>
  </si>
  <si>
    <t>Early Childhood Education in Turkey</t>
  </si>
  <si>
    <t>Elder Maltreatment</t>
  </si>
  <si>
    <t>Generalization</t>
  </si>
  <si>
    <t>Ethnic Gloss</t>
  </si>
  <si>
    <t>Egocentrism</t>
  </si>
  <si>
    <t>Dropouts</t>
  </si>
  <si>
    <t>Ego</t>
  </si>
  <si>
    <t>Equilibration</t>
  </si>
  <si>
    <t>Explanatory Style and Physical Health</t>
  </si>
  <si>
    <t>Fine Motor Development</t>
  </si>
  <si>
    <t>Ecological Momentary Assessment</t>
  </si>
  <si>
    <t>Educational and Prosocial Effects of Television</t>
  </si>
  <si>
    <t>Error Correction</t>
  </si>
  <si>
    <t>Effective Learning Environments</t>
  </si>
  <si>
    <t>Family Policy</t>
  </si>
  <si>
    <t>Direct Instruction</t>
  </si>
  <si>
    <t>Eyewitness Testimony</t>
  </si>
  <si>
    <t>Ecological Theory</t>
  </si>
  <si>
    <t>Emotions: Negative Emotions and Health</t>
  </si>
  <si>
    <t>Effects of Advertising on Children</t>
  </si>
  <si>
    <t>Emotions: Positive Emotions and Health</t>
  </si>
  <si>
    <t>Functional Behavioral Assessment of Problem Behavior</t>
  </si>
  <si>
    <t>Fetal Medicine</t>
  </si>
  <si>
    <t>Early Childhood Discipline</t>
  </si>
  <si>
    <t>Family Caregiving for Elders</t>
  </si>
  <si>
    <t>Electroencephalogram (EEG)</t>
  </si>
  <si>
    <t>Extended Family</t>
  </si>
  <si>
    <t>Functional Analysis</t>
  </si>
  <si>
    <t>Early Risk Screening for School-Related Behavior Disorders</t>
  </si>
  <si>
    <t>Elkind, David</t>
  </si>
  <si>
    <t>Flanagan, Constance A.</t>
  </si>
  <si>
    <t>Education and African Family Traditions</t>
  </si>
  <si>
    <t>Evidence-Based Behavioral Medicine</t>
  </si>
  <si>
    <t>Establishing Operations</t>
  </si>
  <si>
    <t>Effort-Reward Imbalance</t>
  </si>
  <si>
    <t>Failure to Thrive</t>
  </si>
  <si>
    <t>Early Childhood Performance Assessment</t>
  </si>
  <si>
    <t>Etiology</t>
  </si>
  <si>
    <t>Flavell, John</t>
  </si>
  <si>
    <t>Elder Neglect</t>
  </si>
  <si>
    <t>Firearms</t>
  </si>
  <si>
    <t>Erectile Dysfunction</t>
  </si>
  <si>
    <t>Ethical Issues in School Psychology</t>
  </si>
  <si>
    <t>Flashbulb Memory</t>
  </si>
  <si>
    <t>Consultation to Schools</t>
  </si>
  <si>
    <t>Childhood Play</t>
  </si>
  <si>
    <t>Fluid Intelligence</t>
  </si>
  <si>
    <t>Cardiovascular Psychophysiology: Measures</t>
  </si>
  <si>
    <t>Compliance Training</t>
  </si>
  <si>
    <t>Estrogen</t>
  </si>
  <si>
    <t>Domestic Violence</t>
  </si>
  <si>
    <t>Grandparents</t>
  </si>
  <si>
    <t>Divorce Mediation</t>
  </si>
  <si>
    <t>Death and Bereavement</t>
  </si>
  <si>
    <t>Decision Making Among Adolescents</t>
  </si>
  <si>
    <t>Children and Sports/Athletics</t>
  </si>
  <si>
    <t>Child Custody</t>
  </si>
  <si>
    <t>Developmental Disabilities</t>
  </si>
  <si>
    <t>English as a Second Language (ESL)</t>
  </si>
  <si>
    <t>Celiac Disease</t>
  </si>
  <si>
    <t>Congregate Housing</t>
  </si>
  <si>
    <t>Brain Mapping</t>
  </si>
  <si>
    <t>Community Coalitions</t>
  </si>
  <si>
    <t>Crawling</t>
  </si>
  <si>
    <t>Chinese Families and Parenting</t>
  </si>
  <si>
    <t>Classwide Peer Tutoring</t>
  </si>
  <si>
    <t>Character Education</t>
  </si>
  <si>
    <t>Contraception</t>
  </si>
  <si>
    <t>Community Attitudes Toward Gay and Lesbian Parenting</t>
  </si>
  <si>
    <t>Conflict</t>
  </si>
  <si>
    <t>Cancer Screening</t>
  </si>
  <si>
    <t>Church-Based Interventions</t>
  </si>
  <si>
    <t>Goodness of Fit and Development</t>
  </si>
  <si>
    <t>Contingencies in Educational Settings</t>
  </si>
  <si>
    <t>General Adaptation Syndrome</t>
  </si>
  <si>
    <t>Family Systems Theory</t>
  </si>
  <si>
    <t>Donor Insemination</t>
  </si>
  <si>
    <t>Gastric Ulcers and Stress</t>
  </si>
  <si>
    <t>Drug Abuse: Prevention</t>
  </si>
  <si>
    <t>Empty Nest</t>
  </si>
  <si>
    <t>Cystic Fibrosis</t>
  </si>
  <si>
    <t>Deprivation</t>
  </si>
  <si>
    <t>Depression: Mortality and Other Adverse Outcomes</t>
  </si>
  <si>
    <t>Cheating</t>
  </si>
  <si>
    <t>Cancer Prevention</t>
  </si>
  <si>
    <t>Ethnic Identity Assessment</t>
  </si>
  <si>
    <t>Crystallized Intelligence</t>
  </si>
  <si>
    <t>Ceci, Stephen J.</t>
  </si>
  <si>
    <t>Formal Operational Period</t>
  </si>
  <si>
    <t>Effects of Interactive Media</t>
  </si>
  <si>
    <t>Breech Birth</t>
  </si>
  <si>
    <t>Consequence</t>
  </si>
  <si>
    <t>Effect Modification</t>
  </si>
  <si>
    <t>Franks, Cyril, M.</t>
  </si>
  <si>
    <t>Comorbid Mental and Other Physical Disorders</t>
  </si>
  <si>
    <t>Classroom Management</t>
  </si>
  <si>
    <t>Doctor-Patient Communication</t>
  </si>
  <si>
    <t>General Case Programming</t>
  </si>
  <si>
    <t>Gilligan, Carol</t>
  </si>
  <si>
    <t>Head Start Project</t>
  </si>
  <si>
    <t>Extramarital Sex</t>
  </si>
  <si>
    <t>Goal Attainment Scaling</t>
  </si>
  <si>
    <t>Generation Gap</t>
  </si>
  <si>
    <t>Cancer and Diet</t>
  </si>
  <si>
    <t>Career Assessment</t>
  </si>
  <si>
    <t>Contingency Management</t>
  </si>
  <si>
    <t>Convergent Thinking</t>
  </si>
  <si>
    <t>Cardiovascular Reactivity</t>
  </si>
  <si>
    <t>Continuity and Discontinuity in Development</t>
  </si>
  <si>
    <t>Cross-Age Tutoring</t>
  </si>
  <si>
    <t>Children's Rights</t>
  </si>
  <si>
    <t>Evolution of the Human Brain</t>
  </si>
  <si>
    <t>Formative Evaluation</t>
  </si>
  <si>
    <t>Family Size</t>
  </si>
  <si>
    <t>Giftedness Assessment</t>
  </si>
  <si>
    <t>Fine Motor Control</t>
  </si>
  <si>
    <t>Computer Technology</t>
  </si>
  <si>
    <t>Generalized Conditioned Punisher</t>
  </si>
  <si>
    <t>Erikson's Stages of Psychosocial Development</t>
  </si>
  <si>
    <t>Engelmann, Siegfried</t>
  </si>
  <si>
    <t>Ecological Models: Application to Physical Activity</t>
  </si>
  <si>
    <t>Effects of Day Care on Child Development</t>
  </si>
  <si>
    <t>Consultation: Conjoint Behavioral</t>
  </si>
  <si>
    <t>Cooperative Learning</t>
  </si>
  <si>
    <t>Circadian Rhythm</t>
  </si>
  <si>
    <t>Childhood Poverty</t>
  </si>
  <si>
    <t>Chromosomes</t>
  </si>
  <si>
    <t>Echolalia</t>
  </si>
  <si>
    <t>Experiences of Immigrants</t>
  </si>
  <si>
    <t>Cost-Effectiveness</t>
  </si>
  <si>
    <t>Goldiamond, Israel</t>
  </si>
  <si>
    <t>Effects of Violence on Development</t>
  </si>
  <si>
    <t>Consultation: Ecobehavioral</t>
  </si>
  <si>
    <t>Disasters</t>
  </si>
  <si>
    <t>Child Witnesses</t>
  </si>
  <si>
    <t>Cancer and Smoking</t>
  </si>
  <si>
    <t>Cross-Cultural Development</t>
  </si>
  <si>
    <t>Developmental Assets</t>
  </si>
  <si>
    <t>Damon, William</t>
  </si>
  <si>
    <t>Child Development Across Cultures</t>
  </si>
  <si>
    <t>Children's Processing of Television</t>
  </si>
  <si>
    <t>Community Youth Development</t>
  </si>
  <si>
    <t>Differential Reinforcement of Incompatible Behavior</t>
  </si>
  <si>
    <t>Circumcision</t>
  </si>
  <si>
    <t>Developmental Contextualism</t>
  </si>
  <si>
    <t>Children's Competence for Testimony</t>
  </si>
  <si>
    <t>Categorization</t>
  </si>
  <si>
    <t>Chase-Lansdale, P. Lindsay</t>
  </si>
  <si>
    <t>Child-Parent Attachment</t>
  </si>
  <si>
    <t>Developmental Systems Theories</t>
  </si>
  <si>
    <t>Cognitive Assessment</t>
  </si>
  <si>
    <t>Diabetes</t>
  </si>
  <si>
    <t>Cognitive Function and Health</t>
  </si>
  <si>
    <t>Concrete Operational Period</t>
  </si>
  <si>
    <t>Cortisol and Stress</t>
  </si>
  <si>
    <t>Cognitive Dissonance</t>
  </si>
  <si>
    <t>Discrete Trial Therapy</t>
  </si>
  <si>
    <t>Cigarette Smoking in Adolescents</t>
  </si>
  <si>
    <t>Bruner, Jerome</t>
  </si>
  <si>
    <t>Deferred Imitation</t>
  </si>
  <si>
    <t>Cochlear Implant</t>
  </si>
  <si>
    <t>Brain Lateralization</t>
  </si>
  <si>
    <t>Development</t>
  </si>
  <si>
    <t>Child abuse &amp; neglect</t>
  </si>
  <si>
    <t>Cancer and Physical Activity</t>
  </si>
  <si>
    <t>Cultural Differences in Cognitive Therapy</t>
  </si>
  <si>
    <t>Child Labor</t>
  </si>
  <si>
    <t>Deductive Reasoning</t>
  </si>
  <si>
    <t>Creutzfeldt-Jakob Disease</t>
  </si>
  <si>
    <t>Chomsky, A. Noam</t>
  </si>
  <si>
    <t>Cultural Influences on African American Youth Development</t>
  </si>
  <si>
    <t>Dieting</t>
  </si>
  <si>
    <t>Child Care</t>
  </si>
  <si>
    <t>Death With Dignity</t>
  </si>
  <si>
    <t>Diagnosis and Labeling</t>
  </si>
  <si>
    <t>Buddhism</t>
  </si>
  <si>
    <t>Community-Campus Partnerships and Community-Based Program Evaluations</t>
  </si>
  <si>
    <t>Cognitive Behavior Therapy With Religious Beliefs and Practices</t>
  </si>
  <si>
    <t>Chronic Illness: Psychological Aspects</t>
  </si>
  <si>
    <t>Delinquency</t>
  </si>
  <si>
    <t>Catholicism</t>
  </si>
  <si>
    <t>Brooks-Gunn, Jeanne</t>
  </si>
  <si>
    <t>Chronic Illness</t>
  </si>
  <si>
    <t>Chronic Disease Management</t>
  </si>
  <si>
    <t>Bronfenbrenner, Urie</t>
  </si>
  <si>
    <t>Deadbeat Dads</t>
  </si>
  <si>
    <t>Cardiovascular Disease</t>
  </si>
  <si>
    <t>Contextualism</t>
  </si>
  <si>
    <t>Classroom Observation</t>
  </si>
  <si>
    <t>Computer Games</t>
  </si>
  <si>
    <t>Conscience</t>
  </si>
  <si>
    <t>Contextual Fit</t>
  </si>
  <si>
    <t>Corporal Punishment</t>
  </si>
  <si>
    <t>Children with Special Health Care Needs (CSHCN)</t>
  </si>
  <si>
    <t>Coercive Cycles in Families</t>
  </si>
  <si>
    <t>Diabetes: Psychosocial Aspects</t>
  </si>
  <si>
    <t>Cognitive Skills and Aging</t>
  </si>
  <si>
    <t>Chaining</t>
  </si>
  <si>
    <t>Cerebral Palsy</t>
  </si>
  <si>
    <t>Developmental Contextualism and Cultural Adjustment of Immigrant Children</t>
  </si>
  <si>
    <t>Davison, Gerald C</t>
  </si>
  <si>
    <t>Developmental Quotient</t>
  </si>
  <si>
    <t>Control and Health</t>
  </si>
  <si>
    <t>Confidentiality</t>
  </si>
  <si>
    <t>Children's Reading Comprehension</t>
  </si>
  <si>
    <t>Childlessness</t>
  </si>
  <si>
    <t>Cerebrovascular Disease: Psychosocial Aspects</t>
  </si>
  <si>
    <t>Coverant Control</t>
  </si>
  <si>
    <t>Child Advocacy</t>
  </si>
  <si>
    <t>Consultation: Behavioral</t>
  </si>
  <si>
    <t>Community</t>
  </si>
  <si>
    <t>Classroom Climate</t>
  </si>
  <si>
    <t>Common Law Marriage</t>
  </si>
  <si>
    <t>Brazelton, T. Berry</t>
  </si>
  <si>
    <t>Brown, Roger</t>
  </si>
  <si>
    <t>Contextualism and Behavior Analysis</t>
  </si>
  <si>
    <t>Cultural Factors and Health</t>
  </si>
  <si>
    <t>Childbirth &amp; labor</t>
  </si>
  <si>
    <t>Child Rearing</t>
  </si>
  <si>
    <t>Discrimination and Health</t>
  </si>
  <si>
    <t>Communication Disorders</t>
  </si>
  <si>
    <t>Courtroom Testimony</t>
  </si>
  <si>
    <t>Children of Incarcerated Mothers</t>
  </si>
  <si>
    <t>Child and Adolescent Psychology</t>
  </si>
  <si>
    <t>Conflict and Conflict Resolution in Early Childhood</t>
  </si>
  <si>
    <t>Differential Reinforcement of Low Rates of Behavior</t>
  </si>
  <si>
    <t>Civic Engagement</t>
  </si>
  <si>
    <t>Chronological Age</t>
  </si>
  <si>
    <t>Congestive Heart Failure</t>
  </si>
  <si>
    <t>Chronic Disability in Old Age</t>
  </si>
  <si>
    <t>Cancer</t>
  </si>
  <si>
    <t>Child Neglect</t>
  </si>
  <si>
    <t>Darwin, Charles</t>
  </si>
  <si>
    <t>Child Exposure to Domestic Violence</t>
  </si>
  <si>
    <t>Cognitive Style</t>
  </si>
  <si>
    <t>Cross-Cultural Consultation</t>
  </si>
  <si>
    <t>Culture and Health</t>
  </si>
  <si>
    <t>Behavioral Social Work</t>
  </si>
  <si>
    <t>Apgar, Virginia</t>
  </si>
  <si>
    <t>Career Development</t>
  </si>
  <si>
    <t>Correspondence Training</t>
  </si>
  <si>
    <t>Beck, Aaron T.</t>
  </si>
  <si>
    <t>Career Choice</t>
  </si>
  <si>
    <t>Cauce, Ana Mari</t>
  </si>
  <si>
    <t>Consultation: Mental Health</t>
  </si>
  <si>
    <t>Development of Just-World Beliefs</t>
  </si>
  <si>
    <t>Baby Talk</t>
  </si>
  <si>
    <t>Barlow, David H.</t>
  </si>
  <si>
    <t>BMI (Body Mass Index)</t>
  </si>
  <si>
    <t>Benson, Peter L.</t>
  </si>
  <si>
    <t>Bar/Bat Mitzvah</t>
  </si>
  <si>
    <t>Asthma and Stress</t>
  </si>
  <si>
    <t>Curriculum-Based Assessment</t>
  </si>
  <si>
    <t>Behavioral Working Alliance</t>
  </si>
  <si>
    <t>Binge Drinking in College Students</t>
  </si>
  <si>
    <t>Biological Clock</t>
  </si>
  <si>
    <t>Complementary and Alternative Medicine</t>
  </si>
  <si>
    <t>Authentic Assessment</t>
  </si>
  <si>
    <t>Conservation</t>
  </si>
  <si>
    <t>Brain Death</t>
  </si>
  <si>
    <t>Cooperative Play</t>
  </si>
  <si>
    <t>Binet, Alfred</t>
  </si>
  <si>
    <t>Behavioral Case Formulation</t>
  </si>
  <si>
    <t>Behavioral Consultation</t>
  </si>
  <si>
    <t>Assimilation</t>
  </si>
  <si>
    <t>Behavioral Objectives</t>
  </si>
  <si>
    <t>Developmental Psychopathology</t>
  </si>
  <si>
    <t>Bowlby, John</t>
  </si>
  <si>
    <t>At Risk Youth</t>
  </si>
  <si>
    <t>Counterconditioning</t>
  </si>
  <si>
    <t>Beginning Reading</t>
  </si>
  <si>
    <t>Developmental Milestones</t>
  </si>
  <si>
    <t>Alzheimer's Disease: Psychosocial Aspects for Caregivers</t>
  </si>
  <si>
    <t>Behavioral Fluency</t>
  </si>
  <si>
    <t>Crack Baby Syndrome</t>
  </si>
  <si>
    <t>American Sign Language (ASL)</t>
  </si>
  <si>
    <t>Chronic Fatigue Syndrome: Psychosocial Aspects</t>
  </si>
  <si>
    <t>Asian American Families and Youth</t>
  </si>
  <si>
    <t>Behavioral Rehearsal</t>
  </si>
  <si>
    <t>Bisexuality</t>
  </si>
  <si>
    <t>Bandura, Albert</t>
  </si>
  <si>
    <t>Asian American/Pacific Islander Health and Behavior</t>
  </si>
  <si>
    <t>Barker, Roger</t>
  </si>
  <si>
    <t>Babinski Reflex</t>
  </si>
  <si>
    <t>Childhood Phobias</t>
  </si>
  <si>
    <t>Crowding and Health</t>
  </si>
  <si>
    <t>Brain Plasticity</t>
  </si>
  <si>
    <t>Decoding</t>
  </si>
  <si>
    <t>Critical Period</t>
  </si>
  <si>
    <t>Case Conceptualization</t>
  </si>
  <si>
    <t>Cardiovascular Disease Prevention: Community-Level Interventions</t>
  </si>
  <si>
    <t>Developmental Direction</t>
  </si>
  <si>
    <t>Criminalization and Mental Illness</t>
  </si>
  <si>
    <t>Caregiving and Stress</t>
  </si>
  <si>
    <t>Computerized Behavioral Assessment</t>
  </si>
  <si>
    <t>Diffusion of Innovation</t>
  </si>
  <si>
    <t>Clinical Psychology</t>
  </si>
  <si>
    <t>Cardiac Rehabilitation</t>
  </si>
  <si>
    <t>Deafness</t>
  </si>
  <si>
    <t>Behavior Therapy and Neuropsychology</t>
  </si>
  <si>
    <t>Dating in Adolescence</t>
  </si>
  <si>
    <t>Applied Behavior Analysis</t>
  </si>
  <si>
    <t>Cautela, Joseph R.</t>
  </si>
  <si>
    <t>Comorbidity</t>
  </si>
  <si>
    <t>Descriptive and Functional Analysis</t>
  </si>
  <si>
    <t>Cohabitation</t>
  </si>
  <si>
    <t>CÃ´tÃ©, James E.</t>
  </si>
  <si>
    <t>Cosleeping Arrangements</t>
  </si>
  <si>
    <t>Dibels</t>
  </si>
  <si>
    <t>Death and Dying</t>
  </si>
  <si>
    <t>Assisted Living Facilities</t>
  </si>
  <si>
    <t>Aptitude</t>
  </si>
  <si>
    <t>Attribution Theory</t>
  </si>
  <si>
    <t>Behavioral Treatment of Minorities</t>
  </si>
  <si>
    <t>Behavioral Genetics and Health</t>
  </si>
  <si>
    <t>Apgar score</t>
  </si>
  <si>
    <t>Americans with Disabilities Act 1990-US</t>
  </si>
  <si>
    <t>Behavior Intervention Planning</t>
  </si>
  <si>
    <t>Amphetamines</t>
  </si>
  <si>
    <t>Behavioral Gerontology</t>
  </si>
  <si>
    <t>Asthma</t>
  </si>
  <si>
    <t>Athletics</t>
  </si>
  <si>
    <t>Baer, Donald M.</t>
  </si>
  <si>
    <t>Authoritative Parenting Style</t>
  </si>
  <si>
    <t>Anxiety, Heart Disease, and Mortality</t>
  </si>
  <si>
    <t>Bayley, Nancy</t>
  </si>
  <si>
    <t>Behavior Contracting</t>
  </si>
  <si>
    <t>Antisemitism</t>
  </si>
  <si>
    <t>Asset Mapping</t>
  </si>
  <si>
    <t>Blood Pressure and Hypertension: Measurement</t>
  </si>
  <si>
    <t>Behavioral Analytic Approach to Supervision</t>
  </si>
  <si>
    <t>Aging and Older Development</t>
  </si>
  <si>
    <t>Alcoholism Prevention Programs for Children</t>
  </si>
  <si>
    <t>Arteriosclerosis</t>
  </si>
  <si>
    <t>Alleles</t>
  </si>
  <si>
    <t>Adolescent Consent and Refusal of Treatment</t>
  </si>
  <si>
    <t>Ainsworth, Mary D. Salter</t>
  </si>
  <si>
    <t>Aging Well</t>
  </si>
  <si>
    <t>Abstinence in Adolescence</t>
  </si>
  <si>
    <t>Battered Woman Syndrome</t>
  </si>
  <si>
    <t>AIDS and HIV: Adherence to Medications in Persons With HIV Infection</t>
  </si>
  <si>
    <t>Alcohol Abuse and Dependence</t>
  </si>
  <si>
    <t>Birthing centers</t>
  </si>
  <si>
    <t>Applied Developmental Science Concepts</t>
  </si>
  <si>
    <t>Behavioral Observations (Event/Interval)</t>
  </si>
  <si>
    <t>Aging and Sensory Impairment</t>
  </si>
  <si>
    <t>AIDS and HIV: Stress</t>
  </si>
  <si>
    <t>AIDS and HIV: Prevention of HIV Infection</t>
  </si>
  <si>
    <t>Activities of Daily Living (ADLs)</t>
  </si>
  <si>
    <t>Abstract Reasoning</t>
  </si>
  <si>
    <t>AIDS and HIV</t>
  </si>
  <si>
    <t>African American Health and Behavior</t>
  </si>
  <si>
    <t>Adolescents' Development of Sexuality</t>
  </si>
  <si>
    <t>Aging Parents</t>
  </si>
  <si>
    <t>Adaptive Behavior</t>
  </si>
  <si>
    <t>Adolescent Sexuality</t>
  </si>
  <si>
    <t>AIDS, Women, and Poverty</t>
  </si>
  <si>
    <t>5 a Day-For Better Health! Program</t>
  </si>
  <si>
    <t>Acculturation of Immigrants</t>
  </si>
  <si>
    <t>Alameda County Study</t>
  </si>
  <si>
    <t>A Developmental Systems View of Positive Youth Development</t>
  </si>
  <si>
    <t>Agras, W. Stewart</t>
  </si>
  <si>
    <t>African Americans</t>
  </si>
  <si>
    <t>Accommodation</t>
  </si>
  <si>
    <t>Allergy</t>
  </si>
  <si>
    <t>Assisted Suicide</t>
  </si>
  <si>
    <t>Behavioral Pediatrics</t>
  </si>
  <si>
    <t>Anger and Hypertension</t>
  </si>
  <si>
    <t>Baseline</t>
  </si>
  <si>
    <t>Behavior Rehearsal</t>
  </si>
  <si>
    <t>Behavioral Assessment</t>
  </si>
  <si>
    <t>Behavioral Interview</t>
  </si>
  <si>
    <t>Brain Development</t>
  </si>
  <si>
    <t>Birth defects</t>
  </si>
  <si>
    <t>Battered Child Syndrome</t>
  </si>
  <si>
    <t>Anger and Heart Disease</t>
  </si>
  <si>
    <t>Alzheimer's Disease</t>
  </si>
  <si>
    <t>Babbling</t>
  </si>
  <si>
    <t>Behavior Activation</t>
  </si>
  <si>
    <t>Anastasi, Anne</t>
  </si>
  <si>
    <t>Archival Records</t>
  </si>
  <si>
    <t>Blood Pressure and Hypertension: Physical Activity</t>
  </si>
  <si>
    <t>Autoimmune Diseases: Psychosocial Aspects</t>
  </si>
  <si>
    <t>Behavior Therapy Theory</t>
  </si>
  <si>
    <t>Antecedent</t>
  </si>
  <si>
    <t>Asthma in Adolescence</t>
  </si>
  <si>
    <t>Baumrind, Diana</t>
  </si>
  <si>
    <t>Birth order</t>
  </si>
  <si>
    <t>Antecedent Control Procedures</t>
  </si>
  <si>
    <t>Blood Pressure, Hypertension, and Stress</t>
  </si>
  <si>
    <t>Becker, Wesley</t>
  </si>
  <si>
    <t>Bellack, Alan S.</t>
  </si>
  <si>
    <t>Behavior</t>
  </si>
  <si>
    <t>Birth and Infancy</t>
  </si>
  <si>
    <t>Behavioral Assessment Interviews</t>
  </si>
  <si>
    <t>Bornstein, Marc H.</t>
  </si>
  <si>
    <t>Attention Span</t>
  </si>
  <si>
    <t>Authoritarian Parenting Style</t>
  </si>
  <si>
    <t>Ames, Louise Bates</t>
  </si>
  <si>
    <t>Behavior Training</t>
  </si>
  <si>
    <t>Beginning Reading Instruction</t>
  </si>
  <si>
    <t>Athletic Participation and Girls' Development</t>
  </si>
  <si>
    <t>Androgyny</t>
  </si>
  <si>
    <t>Behavioral Dimensions</t>
  </si>
  <si>
    <t>Allostasis, Allostatic Load, and Stress</t>
  </si>
  <si>
    <t>Behaviorology</t>
  </si>
  <si>
    <t>Behavior Management</t>
  </si>
  <si>
    <t>Adoption of Health Behavior</t>
  </si>
  <si>
    <t>Aggression in Schools</t>
  </si>
  <si>
    <t>Adolescent Development</t>
  </si>
  <si>
    <t>Age Discrimination</t>
  </si>
  <si>
    <t>Activity Theory</t>
  </si>
  <si>
    <t>Acculturation</t>
  </si>
  <si>
    <t>Acculturation Stress</t>
  </si>
  <si>
    <t>Academic Readiness</t>
  </si>
  <si>
    <t>Adolescent Anger Management</t>
  </si>
  <si>
    <t>Blum, Robert W.</t>
  </si>
  <si>
    <t>Azrin, Nathan H.</t>
  </si>
  <si>
    <t>Arthritis: Psychosocial Aspects</t>
  </si>
  <si>
    <t>Birth weight</t>
  </si>
  <si>
    <t>Anemia</t>
  </si>
  <si>
    <t>Behavior Intervention</t>
  </si>
  <si>
    <t>Adherence to Treatment Regimens</t>
  </si>
  <si>
    <t>Acquisition</t>
  </si>
  <si>
    <t>Abecedarian Research Project</t>
  </si>
  <si>
    <t>Adoption</t>
  </si>
  <si>
    <t>Advance Directives</t>
  </si>
  <si>
    <t>Adolescence and Thriving</t>
  </si>
  <si>
    <t>Acculturation and Health</t>
  </si>
  <si>
    <t>Adaptation</t>
  </si>
  <si>
    <t>https://www.proquest.com/docview/2781122361</t>
  </si>
  <si>
    <t>https://www.proquest.com/docview/2781122357</t>
  </si>
  <si>
    <t>https://www.proquest.com/docview/2781122347</t>
  </si>
  <si>
    <t>https://www.proquest.com/docview/2781122369</t>
  </si>
  <si>
    <t>https://www.proquest.com/docview/2781122355</t>
  </si>
  <si>
    <t>https://www.proquest.com/docview/2781122349</t>
  </si>
  <si>
    <t>https://www.proquest.com/docview/2781122367</t>
  </si>
  <si>
    <t>https://www.proquest.com/docview/2781122359</t>
  </si>
  <si>
    <t>https://www.proquest.com/docview/2781122372</t>
  </si>
  <si>
    <t>https://www.proquest.com/docview/2781122344</t>
  </si>
  <si>
    <t>https://www.proquest.com/docview/2781122362</t>
  </si>
  <si>
    <t>https://www.proquest.com/docview/2781122373</t>
  </si>
  <si>
    <t>https://www.proquest.com/docview/2781122346</t>
  </si>
  <si>
    <t>https://www.proquest.com/docview/2781122351</t>
  </si>
  <si>
    <t>https://www.proquest.com/docview/2781122371</t>
  </si>
  <si>
    <t>https://www.proquest.com/docview/2781122340</t>
  </si>
  <si>
    <t>https://www.proquest.com/docview/2781122366</t>
  </si>
  <si>
    <t>https://www.proquest.com/docview/2781122345</t>
  </si>
  <si>
    <t>https://www.proquest.com/docview/2781122377</t>
  </si>
  <si>
    <t>https://www.proquest.com/docview/2781122343</t>
  </si>
  <si>
    <t>https://www.proquest.com/docview/2781122368</t>
  </si>
  <si>
    <t>https://www.proquest.com/docview/2781122353</t>
  </si>
  <si>
    <t>https://www.proquest.com/docview/2781122376</t>
  </si>
  <si>
    <t>https://www.proquest.com/docview/2781122360</t>
  </si>
  <si>
    <t>https://www.proquest.com/docview/2781122364</t>
  </si>
  <si>
    <t>https://www.proquest.com/docview/2781122348</t>
  </si>
  <si>
    <t>https://www.proquest.com/docview/2781122374</t>
  </si>
  <si>
    <t>https://www.proquest.com/docview/2781122342</t>
  </si>
  <si>
    <t>https://www.proquest.com/docview/2781122363</t>
  </si>
  <si>
    <t>https://www.proquest.com/docview/2781122358</t>
  </si>
  <si>
    <t>https://www.proquest.com/docview/2781122370</t>
  </si>
  <si>
    <t>https://www.proquest.com/docview/2781122375</t>
  </si>
  <si>
    <t>https://www.proquest.com/docview/2781122352</t>
  </si>
  <si>
    <t>https://www.proquest.com/docview/2781122350</t>
  </si>
  <si>
    <t>https://www.proquest.com/docview/2781122365</t>
  </si>
  <si>
    <t>https://www.proquest.com/docview/2781122354</t>
  </si>
  <si>
    <t>https://www.proquest.com/docview/2781123687</t>
  </si>
  <si>
    <t>https://www.proquest.com/docview/2781123679</t>
  </si>
  <si>
    <t>https://www.proquest.com/docview/2781123685</t>
  </si>
  <si>
    <t>https://www.proquest.com/docview/2781123681</t>
  </si>
  <si>
    <t>https://www.proquest.com/docview/2781123682</t>
  </si>
  <si>
    <t>https://www.proquest.com/docview/2781123690</t>
  </si>
  <si>
    <t>https://www.proquest.com/docview/2781123686</t>
  </si>
  <si>
    <t>https://www.proquest.com/docview/2781123688</t>
  </si>
  <si>
    <t>https://www.proquest.com/docview/2781123680</t>
  </si>
  <si>
    <t>https://www.proquest.com/docview/2781123684</t>
  </si>
  <si>
    <t>https://www.proquest.com/docview/2781123683</t>
  </si>
  <si>
    <t>https://www.proquest.com/docview/2781123689</t>
  </si>
  <si>
    <t>https://www.proquest.com/docview/2781124336</t>
  </si>
  <si>
    <t>https://www.proquest.com/docview/2781124410</t>
  </si>
  <si>
    <t>https://www.proquest.com/docview/2781124366</t>
  </si>
  <si>
    <t>https://www.proquest.com/docview/2781124383</t>
  </si>
  <si>
    <t>https://www.proquest.com/docview/2781124385</t>
  </si>
  <si>
    <t>https://www.proquest.com/docview/2781124431</t>
  </si>
  <si>
    <t>https://www.proquest.com/docview/2781124346</t>
  </si>
  <si>
    <t>https://www.proquest.com/docview/2781124395</t>
  </si>
  <si>
    <t>https://www.proquest.com/docview/2781124367</t>
  </si>
  <si>
    <t>https://www.proquest.com/docview/2781124341</t>
  </si>
  <si>
    <t>https://www.proquest.com/docview/2781124320</t>
  </si>
  <si>
    <t>https://www.proquest.com/docview/2781124360</t>
  </si>
  <si>
    <t>https://www.proquest.com/docview/2781124357</t>
  </si>
  <si>
    <t>https://www.proquest.com/docview/2781124358</t>
  </si>
  <si>
    <t>https://www.proquest.com/docview/2781124334</t>
  </si>
  <si>
    <t>https://www.proquest.com/docview/2781124426</t>
  </si>
  <si>
    <t>https://www.proquest.com/docview/2781124425</t>
  </si>
  <si>
    <t>https://www.proquest.com/docview/2781124432</t>
  </si>
  <si>
    <t>https://www.proquest.com/docview/2781124412</t>
  </si>
  <si>
    <t>https://www.proquest.com/docview/2781124400</t>
  </si>
  <si>
    <t>https://www.proquest.com/docview/2781124372</t>
  </si>
  <si>
    <t>https://www.proquest.com/docview/2781124390</t>
  </si>
  <si>
    <t>https://www.proquest.com/docview/2781124362</t>
  </si>
  <si>
    <t>https://www.proquest.com/docview/2781124376</t>
  </si>
  <si>
    <t>https://www.proquest.com/docview/2781124324</t>
  </si>
  <si>
    <t>https://www.proquest.com/docview/2781124418</t>
  </si>
  <si>
    <t>https://www.proquest.com/docview/2781124413</t>
  </si>
  <si>
    <t>https://www.proquest.com/docview/2781124371</t>
  </si>
  <si>
    <t>https://www.proquest.com/docview/2781124387</t>
  </si>
  <si>
    <t>https://www.proquest.com/docview/2781124391</t>
  </si>
  <si>
    <t>https://www.proquest.com/docview/2781124355</t>
  </si>
  <si>
    <t>https://www.proquest.com/docview/2781124430</t>
  </si>
  <si>
    <t>https://www.proquest.com/docview/2781124402</t>
  </si>
  <si>
    <t>https://www.proquest.com/docview/2781124333</t>
  </si>
  <si>
    <t>https://www.proquest.com/docview/2781124389</t>
  </si>
  <si>
    <t>https://www.proquest.com/docview/2781124342</t>
  </si>
  <si>
    <t>https://www.proquest.com/docview/2781124397</t>
  </si>
  <si>
    <t>https://www.proquest.com/docview/2781124348</t>
  </si>
  <si>
    <t>https://www.proquest.com/docview/2781124374</t>
  </si>
  <si>
    <t>https://www.proquest.com/docview/2781124344</t>
  </si>
  <si>
    <t>https://www.proquest.com/docview/2781124433</t>
  </si>
  <si>
    <t>https://www.proquest.com/docview/2781124393</t>
  </si>
  <si>
    <t>https://www.proquest.com/docview/2781124359</t>
  </si>
  <si>
    <t>https://www.proquest.com/docview/2781124382</t>
  </si>
  <si>
    <t>https://www.proquest.com/docview/2781124343</t>
  </si>
  <si>
    <t>https://www.proquest.com/docview/2781124428</t>
  </si>
  <si>
    <t>https://www.proquest.com/docview/2781124364</t>
  </si>
  <si>
    <t>https://www.proquest.com/docview/2781124321</t>
  </si>
  <si>
    <t>https://www.proquest.com/docview/2781124365</t>
  </si>
  <si>
    <t>https://www.proquest.com/docview/2781124415</t>
  </si>
  <si>
    <t>https://www.proquest.com/docview/2781124407</t>
  </si>
  <si>
    <t>https://www.proquest.com/docview/2781124396</t>
  </si>
  <si>
    <t>https://www.proquest.com/docview/2781124414</t>
  </si>
  <si>
    <t>https://www.proquest.com/docview/2781124403</t>
  </si>
  <si>
    <t>https://www.proquest.com/docview/2781124416</t>
  </si>
  <si>
    <t>https://www.proquest.com/docview/2781124406</t>
  </si>
  <si>
    <t>https://www.proquest.com/docview/2781124356</t>
  </si>
  <si>
    <t>https://www.proquest.com/docview/2781124349</t>
  </si>
  <si>
    <t>https://www.proquest.com/docview/2781124378</t>
  </si>
  <si>
    <t>https://www.proquest.com/docview/2781124332</t>
  </si>
  <si>
    <t>https://www.proquest.com/docview/2781124424</t>
  </si>
  <si>
    <t>https://www.proquest.com/docview/2781124411</t>
  </si>
  <si>
    <t>https://www.proquest.com/docview/2781124330</t>
  </si>
  <si>
    <t>https://www.proquest.com/docview/2781124384</t>
  </si>
  <si>
    <t>https://www.proquest.com/docview/2781124340</t>
  </si>
  <si>
    <t>https://www.proquest.com/docview/2781124326</t>
  </si>
  <si>
    <t>https://www.proquest.com/docview/2781124368</t>
  </si>
  <si>
    <t>https://www.proquest.com/docview/2781124427</t>
  </si>
  <si>
    <t>https://www.proquest.com/docview/2781124319</t>
  </si>
  <si>
    <t>https://www.proquest.com/docview/2781124398</t>
  </si>
  <si>
    <t>https://www.proquest.com/docview/2781124338</t>
  </si>
  <si>
    <t>https://www.proquest.com/docview/2781124351</t>
  </si>
  <si>
    <t>https://www.proquest.com/docview/2781124401</t>
  </si>
  <si>
    <t>https://www.proquest.com/docview/2781124363</t>
  </si>
  <si>
    <t>https://www.proquest.com/docview/2781124345</t>
  </si>
  <si>
    <t>https://www.proquest.com/docview/2781124377</t>
  </si>
  <si>
    <t>https://www.proquest.com/docview/2781124350</t>
  </si>
  <si>
    <t>https://www.proquest.com/docview/2781124328</t>
  </si>
  <si>
    <t>https://www.proquest.com/docview/2781124421</t>
  </si>
  <si>
    <t>https://www.proquest.com/docview/2781124420</t>
  </si>
  <si>
    <t>https://www.proquest.com/docview/2781124337</t>
  </si>
  <si>
    <t>https://www.proquest.com/docview/2781124386</t>
  </si>
  <si>
    <t>https://www.proquest.com/docview/2781124399</t>
  </si>
  <si>
    <t>https://www.proquest.com/docview/2781124394</t>
  </si>
  <si>
    <t>https://www.proquest.com/docview/2781124353</t>
  </si>
  <si>
    <t>https://www.proquest.com/docview/2781124369</t>
  </si>
  <si>
    <t>https://www.proquest.com/docview/2781124423</t>
  </si>
  <si>
    <t>https://www.proquest.com/docview/2781124375</t>
  </si>
  <si>
    <t>https://www.proquest.com/docview/2781124354</t>
  </si>
  <si>
    <t>https://www.proquest.com/docview/2781124417</t>
  </si>
  <si>
    <t>https://www.proquest.com/docview/2781124379</t>
  </si>
  <si>
    <t>https://www.proquest.com/docview/2781124392</t>
  </si>
  <si>
    <t>https://www.proquest.com/docview/2781124405</t>
  </si>
  <si>
    <t>https://www.proquest.com/docview/2781124339</t>
  </si>
  <si>
    <t>https://www.proquest.com/docview/2781124329</t>
  </si>
  <si>
    <t>https://www.proquest.com/docview/2781124408</t>
  </si>
  <si>
    <t>https://www.proquest.com/docview/2781124429</t>
  </si>
  <si>
    <t>https://www.proquest.com/docview/2781124388</t>
  </si>
  <si>
    <t>https://www.proquest.com/docview/2781124404</t>
  </si>
  <si>
    <t>https://www.proquest.com/docview/2781124380</t>
  </si>
  <si>
    <t>https://www.proquest.com/docview/2781124325</t>
  </si>
  <si>
    <t>https://www.proquest.com/docview/2781124347</t>
  </si>
  <si>
    <t>https://www.proquest.com/docview/2781124335</t>
  </si>
  <si>
    <t>https://www.proquest.com/docview/2781124323</t>
  </si>
  <si>
    <t>https://www.proquest.com/docview/2781124373</t>
  </si>
  <si>
    <t>https://www.proquest.com/docview/2781124419</t>
  </si>
  <si>
    <t>https://www.proquest.com/docview/2781124370</t>
  </si>
  <si>
    <t>https://www.proquest.com/docview/2781124361</t>
  </si>
  <si>
    <t>https://www.proquest.com/docview/2781124331</t>
  </si>
  <si>
    <t>https://www.proquest.com/docview/2781124322</t>
  </si>
  <si>
    <t>https://www.proquest.com/docview/2781124409</t>
  </si>
  <si>
    <t>https://www.proquest.com/docview/2781124327</t>
  </si>
  <si>
    <t>https://www.proquest.com/docview/2781124422</t>
  </si>
  <si>
    <t>https://www.proquest.com/docview/2781124381</t>
  </si>
  <si>
    <t>https://www.proquest.com/docview/2781124352</t>
  </si>
  <si>
    <t>https://www.proquest.com/docview/2781125685</t>
  </si>
  <si>
    <t>https://www.proquest.com/docview/2781125753</t>
  </si>
  <si>
    <t>https://www.proquest.com/docview/2781125600</t>
  </si>
  <si>
    <t>https://www.proquest.com/docview/2781125641</t>
  </si>
  <si>
    <t>https://www.proquest.com/docview/2781125754</t>
  </si>
  <si>
    <t>https://www.proquest.com/docview/2781125712</t>
  </si>
  <si>
    <t>https://www.proquest.com/docview/2781125603</t>
  </si>
  <si>
    <t>https://www.proquest.com/docview/2781125608</t>
  </si>
  <si>
    <t>https://www.proquest.com/docview/2781125642</t>
  </si>
  <si>
    <t>https://www.proquest.com/docview/2781125680</t>
  </si>
  <si>
    <t>https://www.proquest.com/docview/2781125697</t>
  </si>
  <si>
    <t>https://www.proquest.com/docview/2781125661</t>
  </si>
  <si>
    <t>https://www.proquest.com/docview/2781125572</t>
  </si>
  <si>
    <t>https://www.proquest.com/docview/2781125648</t>
  </si>
  <si>
    <t>https://www.proquest.com/docview/2781125728</t>
  </si>
  <si>
    <t>https://www.proquest.com/docview/2781125684</t>
  </si>
  <si>
    <t>https://www.proquest.com/docview/2781125755</t>
  </si>
  <si>
    <t>https://www.proquest.com/docview/2781125713</t>
  </si>
  <si>
    <t>https://www.proquest.com/docview/2781125745</t>
  </si>
  <si>
    <t>https://www.proquest.com/docview/2781125577</t>
  </si>
  <si>
    <t>https://www.proquest.com/docview/2781125689</t>
  </si>
  <si>
    <t>https://www.proquest.com/docview/2781125563</t>
  </si>
  <si>
    <t>https://www.proquest.com/docview/2781125740</t>
  </si>
  <si>
    <t>https://www.proquest.com/docview/2781125724</t>
  </si>
  <si>
    <t>https://www.proquest.com/docview/2781125729</t>
  </si>
  <si>
    <t>https://www.proquest.com/docview/2781125584</t>
  </si>
  <si>
    <t>https://www.proquest.com/docview/2781125586</t>
  </si>
  <si>
    <t>https://www.proquest.com/docview/2781125559</t>
  </si>
  <si>
    <t>https://www.proquest.com/docview/2781125562</t>
  </si>
  <si>
    <t>https://www.proquest.com/docview/2781125613</t>
  </si>
  <si>
    <t>https://www.proquest.com/docview/2781125607</t>
  </si>
  <si>
    <t>https://www.proquest.com/docview/2781125585</t>
  </si>
  <si>
    <t>https://www.proquest.com/docview/2781125576</t>
  </si>
  <si>
    <t>https://www.proquest.com/docview/2781125711</t>
  </si>
  <si>
    <t>https://www.proquest.com/docview/2781125733</t>
  </si>
  <si>
    <t>https://www.proquest.com/docview/2781125657</t>
  </si>
  <si>
    <t>https://www.proquest.com/docview/2781125671</t>
  </si>
  <si>
    <t>https://www.proquest.com/docview/2781125656</t>
  </si>
  <si>
    <t>https://www.proquest.com/docview/2781125749</t>
  </si>
  <si>
    <t>https://www.proquest.com/docview/2781125632</t>
  </si>
  <si>
    <t>https://www.proquest.com/docview/2781125716</t>
  </si>
  <si>
    <t>https://www.proquest.com/docview/2781125683</t>
  </si>
  <si>
    <t>https://www.proquest.com/docview/2781125700</t>
  </si>
  <si>
    <t>https://www.proquest.com/docview/2781125655</t>
  </si>
  <si>
    <t>https://www.proquest.com/docview/2781125611</t>
  </si>
  <si>
    <t>https://www.proquest.com/docview/2781125735</t>
  </si>
  <si>
    <t>https://www.proquest.com/docview/2781125620</t>
  </si>
  <si>
    <t>https://www.proquest.com/docview/2781125580</t>
  </si>
  <si>
    <t>https://www.proquest.com/docview/2781125682</t>
  </si>
  <si>
    <t>https://www.proquest.com/docview/2781125645</t>
  </si>
  <si>
    <t>https://www.proquest.com/docview/2781125636</t>
  </si>
  <si>
    <t>https://www.proquest.com/docview/2781125709</t>
  </si>
  <si>
    <t>https://www.proquest.com/docview/2781125639</t>
  </si>
  <si>
    <t>https://www.proquest.com/docview/2781125566</t>
  </si>
  <si>
    <t>https://www.proquest.com/docview/2781125743</t>
  </si>
  <si>
    <t>https://www.proquest.com/docview/2781125705</t>
  </si>
  <si>
    <t>https://www.proquest.com/docview/2781125670</t>
  </si>
  <si>
    <t>https://www.proquest.com/docview/2781125633</t>
  </si>
  <si>
    <t>https://www.proquest.com/docview/2781125738</t>
  </si>
  <si>
    <t>https://www.proquest.com/docview/2781125654</t>
  </si>
  <si>
    <t>https://www.proquest.com/docview/2781125662</t>
  </si>
  <si>
    <t>https://www.proquest.com/docview/2781125612</t>
  </si>
  <si>
    <t>https://www.proquest.com/docview/2781125618</t>
  </si>
  <si>
    <t>https://www.proquest.com/docview/2781125673</t>
  </si>
  <si>
    <t>https://www.proquest.com/docview/2781125723</t>
  </si>
  <si>
    <t>https://www.proquest.com/docview/2781125750</t>
  </si>
  <si>
    <t>https://www.proquest.com/docview/2781125690</t>
  </si>
  <si>
    <t>https://www.proquest.com/docview/2781125702</t>
  </si>
  <si>
    <t>https://www.proquest.com/docview/2781125647</t>
  </si>
  <si>
    <t>https://www.proquest.com/docview/2781125606</t>
  </si>
  <si>
    <t>https://www.proquest.com/docview/2781125594</t>
  </si>
  <si>
    <t>https://www.proquest.com/docview/2781125605</t>
  </si>
  <si>
    <t>https://www.proquest.com/docview/2781125692</t>
  </si>
  <si>
    <t>https://www.proquest.com/docview/2781125651</t>
  </si>
  <si>
    <t>https://www.proquest.com/docview/2781125720</t>
  </si>
  <si>
    <t>https://www.proquest.com/docview/2781125624</t>
  </si>
  <si>
    <t>https://www.proquest.com/docview/2781125704</t>
  </si>
  <si>
    <t>https://www.proquest.com/docview/2781125614</t>
  </si>
  <si>
    <t>https://www.proquest.com/docview/2781125650</t>
  </si>
  <si>
    <t>https://www.proquest.com/docview/2781125643</t>
  </si>
  <si>
    <t>https://www.proquest.com/docview/2781125732</t>
  </si>
  <si>
    <t>https://www.proquest.com/docview/2781125602</t>
  </si>
  <si>
    <t>https://www.proquest.com/docview/2781125748</t>
  </si>
  <si>
    <t>https://www.proquest.com/docview/2781125570</t>
  </si>
  <si>
    <t>https://www.proquest.com/docview/2781125610</t>
  </si>
  <si>
    <t>https://www.proquest.com/docview/2781125688</t>
  </si>
  <si>
    <t>https://www.proquest.com/docview/2781125660</t>
  </si>
  <si>
    <t>https://www.proquest.com/docview/2781125631</t>
  </si>
  <si>
    <t>https://www.proquest.com/docview/2781125695</t>
  </si>
  <si>
    <t>https://www.proquest.com/docview/2781125626</t>
  </si>
  <si>
    <t>https://www.proquest.com/docview/2781125627</t>
  </si>
  <si>
    <t>https://www.proquest.com/docview/2781125659</t>
  </si>
  <si>
    <t>https://www.proquest.com/docview/2781125581</t>
  </si>
  <si>
    <t>https://www.proquest.com/docview/2781125571</t>
  </si>
  <si>
    <t>https://www.proquest.com/docview/2781125644</t>
  </si>
  <si>
    <t>https://www.proquest.com/docview/2781125634</t>
  </si>
  <si>
    <t>https://www.proquest.com/docview/2781125668</t>
  </si>
  <si>
    <t>https://www.proquest.com/docview/2781125747</t>
  </si>
  <si>
    <t>https://www.proquest.com/docview/2781125751</t>
  </si>
  <si>
    <t>https://www.proquest.com/docview/2781125616</t>
  </si>
  <si>
    <t>https://www.proquest.com/docview/2781125694</t>
  </si>
  <si>
    <t>https://www.proquest.com/docview/2781125731</t>
  </si>
  <si>
    <t>https://www.proquest.com/docview/2781125573</t>
  </si>
  <si>
    <t>https://www.proquest.com/docview/2781125592</t>
  </si>
  <si>
    <t>https://www.proquest.com/docview/2781125741</t>
  </si>
  <si>
    <t>https://www.proquest.com/docview/2781125609</t>
  </si>
  <si>
    <t>https://www.proquest.com/docview/2781125710</t>
  </si>
  <si>
    <t>https://www.proquest.com/docview/2781125557</t>
  </si>
  <si>
    <t>https://www.proquest.com/docview/2781125628</t>
  </si>
  <si>
    <t>https://www.proquest.com/docview/2781125672</t>
  </si>
  <si>
    <t>https://www.proquest.com/docview/2781125744</t>
  </si>
  <si>
    <t>https://www.proquest.com/docview/2781125652</t>
  </si>
  <si>
    <t>https://www.proquest.com/docview/2781125649</t>
  </si>
  <si>
    <t>https://www.proquest.com/docview/2781125734</t>
  </si>
  <si>
    <t>https://www.proquest.com/docview/2781125666</t>
  </si>
  <si>
    <t>https://www.proquest.com/docview/2781125719</t>
  </si>
  <si>
    <t>https://www.proquest.com/docview/2781125590</t>
  </si>
  <si>
    <t>https://www.proquest.com/docview/2781125742</t>
  </si>
  <si>
    <t>https://www.proquest.com/docview/2781125667</t>
  </si>
  <si>
    <t>https://www.proquest.com/docview/2781125706</t>
  </si>
  <si>
    <t>https://www.proquest.com/docview/2781125701</t>
  </si>
  <si>
    <t>https://www.proquest.com/docview/2781125582</t>
  </si>
  <si>
    <t>https://www.proquest.com/docview/2781125663</t>
  </si>
  <si>
    <t>https://www.proquest.com/docview/2781125601</t>
  </si>
  <si>
    <t>https://www.proquest.com/docview/2781125640</t>
  </si>
  <si>
    <t>https://www.proquest.com/docview/2781125721</t>
  </si>
  <si>
    <t>https://www.proquest.com/docview/2781125726</t>
  </si>
  <si>
    <t>https://www.proquest.com/docview/2781125725</t>
  </si>
  <si>
    <t>https://www.proquest.com/docview/2781125746</t>
  </si>
  <si>
    <t>https://www.proquest.com/docview/2781125675</t>
  </si>
  <si>
    <t>https://www.proquest.com/docview/2781125727</t>
  </si>
  <si>
    <t>https://www.proquest.com/docview/2781125707</t>
  </si>
  <si>
    <t>https://www.proquest.com/docview/2781125599</t>
  </si>
  <si>
    <t>https://www.proquest.com/docview/2781125664</t>
  </si>
  <si>
    <t>https://www.proquest.com/docview/2781125587</t>
  </si>
  <si>
    <t>https://www.proquest.com/docview/2781125625</t>
  </si>
  <si>
    <t>https://www.proquest.com/docview/2781125568</t>
  </si>
  <si>
    <t>https://www.proquest.com/docview/2781125703</t>
  </si>
  <si>
    <t>https://www.proquest.com/docview/2781125595</t>
  </si>
  <si>
    <t>https://www.proquest.com/docview/2781125635</t>
  </si>
  <si>
    <t>https://www.proquest.com/docview/2781125669</t>
  </si>
  <si>
    <t>https://www.proquest.com/docview/2781125593</t>
  </si>
  <si>
    <t>https://www.proquest.com/docview/2781125752</t>
  </si>
  <si>
    <t>https://www.proquest.com/docview/2781125619</t>
  </si>
  <si>
    <t>https://www.proquest.com/docview/2781125679</t>
  </si>
  <si>
    <t>https://www.proquest.com/docview/2781125561</t>
  </si>
  <si>
    <t>https://www.proquest.com/docview/2781125565</t>
  </si>
  <si>
    <t>https://www.proquest.com/docview/2781125722</t>
  </si>
  <si>
    <t>https://www.proquest.com/docview/2781125588</t>
  </si>
  <si>
    <t>https://www.proquest.com/docview/2781125756</t>
  </si>
  <si>
    <t>https://www.proquest.com/docview/2781125567</t>
  </si>
  <si>
    <t>https://www.proquest.com/docview/2781125714</t>
  </si>
  <si>
    <t>https://www.proquest.com/docview/2781125681</t>
  </si>
  <si>
    <t>https://www.proquest.com/docview/2781125638</t>
  </si>
  <si>
    <t>https://www.proquest.com/docview/2781125691</t>
  </si>
  <si>
    <t>https://www.proquest.com/docview/2781125589</t>
  </si>
  <si>
    <t>https://www.proquest.com/docview/2781125591</t>
  </si>
  <si>
    <t>https://www.proquest.com/docview/2781125579</t>
  </si>
  <si>
    <t>https://www.proquest.com/docview/2781125717</t>
  </si>
  <si>
    <t>https://www.proquest.com/docview/2781125622</t>
  </si>
  <si>
    <t>https://www.proquest.com/docview/2781125646</t>
  </si>
  <si>
    <t>https://www.proquest.com/docview/2781125575</t>
  </si>
  <si>
    <t>https://www.proquest.com/docview/2781125677</t>
  </si>
  <si>
    <t>https://www.proquest.com/docview/2781125604</t>
  </si>
  <si>
    <t>https://www.proquest.com/docview/2781125578</t>
  </si>
  <si>
    <t>https://www.proquest.com/docview/2781125739</t>
  </si>
  <si>
    <t>https://www.proquest.com/docview/2781125556</t>
  </si>
  <si>
    <t>https://www.proquest.com/docview/2781125699</t>
  </si>
  <si>
    <t>https://www.proquest.com/docview/2781125737</t>
  </si>
  <si>
    <t>https://www.proquest.com/docview/2781125564</t>
  </si>
  <si>
    <t>https://www.proquest.com/docview/2781125678</t>
  </si>
  <si>
    <t>https://www.proquest.com/docview/2781125597</t>
  </si>
  <si>
    <t>https://www.proquest.com/docview/2781125687</t>
  </si>
  <si>
    <t>https://www.proquest.com/docview/2781125693</t>
  </si>
  <si>
    <t>https://www.proquest.com/docview/2781125730</t>
  </si>
  <si>
    <t>https://www.proquest.com/docview/2781125715</t>
  </si>
  <si>
    <t>https://www.proquest.com/docview/2781125718</t>
  </si>
  <si>
    <t>https://www.proquest.com/docview/2781125574</t>
  </si>
  <si>
    <t>https://www.proquest.com/docview/2781125686</t>
  </si>
  <si>
    <t>https://www.proquest.com/docview/2781125583</t>
  </si>
  <si>
    <t>https://www.proquest.com/docview/2781125621</t>
  </si>
  <si>
    <t>https://www.proquest.com/docview/2781125615</t>
  </si>
  <si>
    <t>https://www.proquest.com/docview/2781125676</t>
  </si>
  <si>
    <t>https://www.proquest.com/docview/2781125560</t>
  </si>
  <si>
    <t>https://www.proquest.com/docview/2781125736</t>
  </si>
  <si>
    <t>https://www.proquest.com/docview/2781125596</t>
  </si>
  <si>
    <t>https://www.proquest.com/docview/2781125598</t>
  </si>
  <si>
    <t>https://www.proquest.com/docview/2781125674</t>
  </si>
  <si>
    <t>https://www.proquest.com/docview/2781125630</t>
  </si>
  <si>
    <t>https://www.proquest.com/docview/2781125629</t>
  </si>
  <si>
    <t>https://www.proquest.com/docview/2781125658</t>
  </si>
  <si>
    <t>https://www.proquest.com/docview/2781125696</t>
  </si>
  <si>
    <t>https://www.proquest.com/docview/2781125569</t>
  </si>
  <si>
    <t>https://www.proquest.com/docview/2781125698</t>
  </si>
  <si>
    <t>https://www.proquest.com/docview/2781125617</t>
  </si>
  <si>
    <t>https://www.proquest.com/docview/2781125653</t>
  </si>
  <si>
    <t>https://www.proquest.com/docview/2781125558</t>
  </si>
  <si>
    <t>https://www.proquest.com/docview/2781126883</t>
  </si>
  <si>
    <t>https://www.proquest.com/docview/2781126807</t>
  </si>
  <si>
    <t>https://www.proquest.com/docview/2781125708</t>
  </si>
  <si>
    <t>https://www.proquest.com/docview/2781126875</t>
  </si>
  <si>
    <t>https://www.proquest.com/docview/2781126809</t>
  </si>
  <si>
    <t>https://www.proquest.com/docview/2781125623</t>
  </si>
  <si>
    <t>https://www.proquest.com/docview/2781125637</t>
  </si>
  <si>
    <t>https://www.proquest.com/docview/2781126777</t>
  </si>
  <si>
    <t>https://www.proquest.com/docview/2781125665</t>
  </si>
  <si>
    <t>https://www.proquest.com/docview/2781126801</t>
  </si>
  <si>
    <t>https://www.proquest.com/docview/2781126793</t>
  </si>
  <si>
    <t>https://www.proquest.com/docview/2781126788</t>
  </si>
  <si>
    <t>https://www.proquest.com/docview/2781126795</t>
  </si>
  <si>
    <t>https://www.proquest.com/docview/2781126772</t>
  </si>
  <si>
    <t>https://www.proquest.com/docview/2781126870</t>
  </si>
  <si>
    <t>https://www.proquest.com/docview/2781126770</t>
  </si>
  <si>
    <t>https://www.proquest.com/docview/2781126830</t>
  </si>
  <si>
    <t>https://www.proquest.com/docview/2781126798</t>
  </si>
  <si>
    <t>https://www.proquest.com/docview/2781126836</t>
  </si>
  <si>
    <t>https://www.proquest.com/docview/2781126842</t>
  </si>
  <si>
    <t>https://www.proquest.com/docview/2781126892</t>
  </si>
  <si>
    <t>https://www.proquest.com/docview/2781126818</t>
  </si>
  <si>
    <t>https://www.proquest.com/docview/2781126834</t>
  </si>
  <si>
    <t>https://www.proquest.com/docview/2781126817</t>
  </si>
  <si>
    <t>https://www.proquest.com/docview/2781126851</t>
  </si>
  <si>
    <t>https://www.proquest.com/docview/2781126876</t>
  </si>
  <si>
    <t>https://www.proquest.com/docview/2781126861</t>
  </si>
  <si>
    <t>https://www.proquest.com/docview/2781126894</t>
  </si>
  <si>
    <t>https://www.proquest.com/docview/2781126846</t>
  </si>
  <si>
    <t>https://www.proquest.com/docview/2781126758</t>
  </si>
  <si>
    <t>https://www.proquest.com/docview/2781126762</t>
  </si>
  <si>
    <t>https://www.proquest.com/docview/2781126886</t>
  </si>
  <si>
    <t>https://www.proquest.com/docview/2781126881</t>
  </si>
  <si>
    <t>https://www.proquest.com/docview/2781126805</t>
  </si>
  <si>
    <t>https://www.proquest.com/docview/2781126778</t>
  </si>
  <si>
    <t>https://www.proquest.com/docview/2781126845</t>
  </si>
  <si>
    <t>https://www.proquest.com/docview/2781126819</t>
  </si>
  <si>
    <t>https://www.proquest.com/docview/2781126887</t>
  </si>
  <si>
    <t>https://www.proquest.com/docview/2781126780</t>
  </si>
  <si>
    <t>https://www.proquest.com/docview/2781126885</t>
  </si>
  <si>
    <t>https://www.proquest.com/docview/2781126877</t>
  </si>
  <si>
    <t>https://www.proquest.com/docview/2781126760</t>
  </si>
  <si>
    <t>https://www.proquest.com/docview/2781126768</t>
  </si>
  <si>
    <t>https://www.proquest.com/docview/2781126757</t>
  </si>
  <si>
    <t>https://www.proquest.com/docview/2781126863</t>
  </si>
  <si>
    <t>https://www.proquest.com/docview/2781126868</t>
  </si>
  <si>
    <t>https://www.proquest.com/docview/2781126900</t>
  </si>
  <si>
    <t>https://www.proquest.com/docview/2781126872</t>
  </si>
  <si>
    <t>https://www.proquest.com/docview/2781126903</t>
  </si>
  <si>
    <t>https://www.proquest.com/docview/2781126812</t>
  </si>
  <si>
    <t>https://www.proquest.com/docview/2781126873</t>
  </si>
  <si>
    <t>https://www.proquest.com/docview/2781126858</t>
  </si>
  <si>
    <t>https://www.proquest.com/docview/2781126800</t>
  </si>
  <si>
    <t>https://www.proquest.com/docview/2781126895</t>
  </si>
  <si>
    <t>https://www.proquest.com/docview/2781126850</t>
  </si>
  <si>
    <t>https://www.proquest.com/docview/2781126847</t>
  </si>
  <si>
    <t>https://www.proquest.com/docview/2781126808</t>
  </si>
  <si>
    <t>https://www.proquest.com/docview/2781126862</t>
  </si>
  <si>
    <t>https://www.proquest.com/docview/2781126813</t>
  </si>
  <si>
    <t>https://www.proquest.com/docview/2781126839</t>
  </si>
  <si>
    <t>https://www.proquest.com/docview/2781126799</t>
  </si>
  <si>
    <t>https://www.proquest.com/docview/2781126879</t>
  </si>
  <si>
    <t>https://www.proquest.com/docview/2781126878</t>
  </si>
  <si>
    <t>https://www.proquest.com/docview/2781126826</t>
  </si>
  <si>
    <t>https://www.proquest.com/docview/2781126821</t>
  </si>
  <si>
    <t>https://www.proquest.com/docview/2781126771</t>
  </si>
  <si>
    <t>https://www.proquest.com/docview/2781126832</t>
  </si>
  <si>
    <t>https://www.proquest.com/docview/2781126823</t>
  </si>
  <si>
    <t>https://www.proquest.com/docview/2781126761</t>
  </si>
  <si>
    <t>https://www.proquest.com/docview/2781126789</t>
  </si>
  <si>
    <t>https://www.proquest.com/docview/2781126869</t>
  </si>
  <si>
    <t>https://www.proquest.com/docview/2781126856</t>
  </si>
  <si>
    <t>https://www.proquest.com/docview/2781126825</t>
  </si>
  <si>
    <t>https://www.proquest.com/docview/2781126764</t>
  </si>
  <si>
    <t>https://www.proquest.com/docview/2781126884</t>
  </si>
  <si>
    <t>https://www.proquest.com/docview/2781126815</t>
  </si>
  <si>
    <t>https://www.proquest.com/docview/2781126899</t>
  </si>
  <si>
    <t>https://www.proquest.com/docview/2781126865</t>
  </si>
  <si>
    <t>https://www.proquest.com/docview/2781126794</t>
  </si>
  <si>
    <t>https://www.proquest.com/docview/2781126790</t>
  </si>
  <si>
    <t>https://www.proquest.com/docview/2781126824</t>
  </si>
  <si>
    <t>https://www.proquest.com/docview/2781126871</t>
  </si>
  <si>
    <t>https://www.proquest.com/docview/2781126803</t>
  </si>
  <si>
    <t>https://www.proquest.com/docview/2781126769</t>
  </si>
  <si>
    <t>https://www.proquest.com/docview/2781126904</t>
  </si>
  <si>
    <t>https://www.proquest.com/docview/2781126802</t>
  </si>
  <si>
    <t>https://www.proquest.com/docview/2781126859</t>
  </si>
  <si>
    <t>https://www.proquest.com/docview/2781126811</t>
  </si>
  <si>
    <t>https://www.proquest.com/docview/2781126890</t>
  </si>
  <si>
    <t>https://www.proquest.com/docview/2781126843</t>
  </si>
  <si>
    <t>https://www.proquest.com/docview/2781126864</t>
  </si>
  <si>
    <t>https://www.proquest.com/docview/2781126896</t>
  </si>
  <si>
    <t>https://www.proquest.com/docview/2781126754</t>
  </si>
  <si>
    <t>https://www.proquest.com/docview/2781126837</t>
  </si>
  <si>
    <t>https://www.proquest.com/docview/2781126827</t>
  </si>
  <si>
    <t>https://www.proquest.com/docview/2781126889</t>
  </si>
  <si>
    <t>https://www.proquest.com/docview/2781126838</t>
  </si>
  <si>
    <t>https://www.proquest.com/docview/2781126759</t>
  </si>
  <si>
    <t>https://www.proquest.com/docview/2781126866</t>
  </si>
  <si>
    <t>https://www.proquest.com/docview/2781126901</t>
  </si>
  <si>
    <t>https://www.proquest.com/docview/2781126893</t>
  </si>
  <si>
    <t>https://www.proquest.com/docview/2781126848</t>
  </si>
  <si>
    <t>https://www.proquest.com/docview/2781126784</t>
  </si>
  <si>
    <t>https://www.proquest.com/docview/2781126880</t>
  </si>
  <si>
    <t>https://www.proquest.com/docview/2781126804</t>
  </si>
  <si>
    <t>https://www.proquest.com/docview/2781126860</t>
  </si>
  <si>
    <t>https://www.proquest.com/docview/2781126906</t>
  </si>
  <si>
    <t>https://www.proquest.com/docview/2781126840</t>
  </si>
  <si>
    <t>https://www.proquest.com/docview/2781126852</t>
  </si>
  <si>
    <t>https://www.proquest.com/docview/2781126882</t>
  </si>
  <si>
    <t>https://www.proquest.com/docview/2781126753</t>
  </si>
  <si>
    <t>https://www.proquest.com/docview/2781126775</t>
  </si>
  <si>
    <t>https://www.proquest.com/docview/2781126810</t>
  </si>
  <si>
    <t>https://www.proquest.com/docview/2781126814</t>
  </si>
  <si>
    <t>https://www.proquest.com/docview/2781126816</t>
  </si>
  <si>
    <t>https://www.proquest.com/docview/2781126905</t>
  </si>
  <si>
    <t>https://www.proquest.com/docview/2781126854</t>
  </si>
  <si>
    <t>https://www.proquest.com/docview/2781126828</t>
  </si>
  <si>
    <t>https://www.proquest.com/docview/2781126766</t>
  </si>
  <si>
    <t>https://www.proquest.com/docview/2781126867</t>
  </si>
  <si>
    <t>https://www.proquest.com/docview/2781126855</t>
  </si>
  <si>
    <t>https://www.proquest.com/docview/2781126797</t>
  </si>
  <si>
    <t>https://www.proquest.com/docview/2781126844</t>
  </si>
  <si>
    <t>https://www.proquest.com/docview/2781126791</t>
  </si>
  <si>
    <t>https://www.proquest.com/docview/2781126857</t>
  </si>
  <si>
    <t>https://www.proquest.com/docview/2781127899</t>
  </si>
  <si>
    <t>https://www.proquest.com/docview/2781126796</t>
  </si>
  <si>
    <t>https://www.proquest.com/docview/2781128034</t>
  </si>
  <si>
    <t>https://www.proquest.com/docview/2781126806</t>
  </si>
  <si>
    <t>https://www.proquest.com/docview/2781126767</t>
  </si>
  <si>
    <t>https://www.proquest.com/docview/2781126755</t>
  </si>
  <si>
    <t>https://www.proquest.com/docview/2781127897</t>
  </si>
  <si>
    <t>https://www.proquest.com/docview/2781126835</t>
  </si>
  <si>
    <t>https://www.proquest.com/docview/2781126787</t>
  </si>
  <si>
    <t>https://www.proquest.com/docview/2781127872</t>
  </si>
  <si>
    <t>https://www.proquest.com/docview/2781126822</t>
  </si>
  <si>
    <t>https://www.proquest.com/docview/2781126888</t>
  </si>
  <si>
    <t>https://www.proquest.com/docview/2781127952</t>
  </si>
  <si>
    <t>https://www.proquest.com/docview/2781126841</t>
  </si>
  <si>
    <t>https://www.proquest.com/docview/2781127932</t>
  </si>
  <si>
    <t>https://www.proquest.com/docview/2781126849</t>
  </si>
  <si>
    <t>https://www.proquest.com/docview/2781127944</t>
  </si>
  <si>
    <t>https://www.proquest.com/docview/2781126853</t>
  </si>
  <si>
    <t>https://www.proquest.com/docview/2781127919</t>
  </si>
  <si>
    <t>https://www.proquest.com/docview/2781127976</t>
  </si>
  <si>
    <t>https://www.proquest.com/docview/2781127881</t>
  </si>
  <si>
    <t>https://www.proquest.com/docview/2781127869</t>
  </si>
  <si>
    <t>https://www.proquest.com/docview/2781127879</t>
  </si>
  <si>
    <t>https://www.proquest.com/docview/2781126907</t>
  </si>
  <si>
    <t>https://www.proquest.com/docview/2781128015</t>
  </si>
  <si>
    <t>https://www.proquest.com/docview/2781126773</t>
  </si>
  <si>
    <t>https://www.proquest.com/docview/2781127878</t>
  </si>
  <si>
    <t>https://www.proquest.com/docview/2781127983</t>
  </si>
  <si>
    <t>https://www.proquest.com/docview/2781126779</t>
  </si>
  <si>
    <t>https://www.proquest.com/docview/2781126820</t>
  </si>
  <si>
    <t>https://www.proquest.com/docview/2781127946</t>
  </si>
  <si>
    <t>https://www.proquest.com/docview/2781128031</t>
  </si>
  <si>
    <t>https://www.proquest.com/docview/2781128032</t>
  </si>
  <si>
    <t>https://www.proquest.com/docview/2781126774</t>
  </si>
  <si>
    <t>https://www.proquest.com/docview/2781126785</t>
  </si>
  <si>
    <t>https://www.proquest.com/docview/2781126874</t>
  </si>
  <si>
    <t>https://www.proquest.com/docview/2781126763</t>
  </si>
  <si>
    <t>https://www.proquest.com/docview/2781126902</t>
  </si>
  <si>
    <t>https://www.proquest.com/docview/2781126782</t>
  </si>
  <si>
    <t>https://www.proquest.com/docview/2781128039</t>
  </si>
  <si>
    <t>https://www.proquest.com/docview/2781126833</t>
  </si>
  <si>
    <t>https://www.proquest.com/docview/2781127979</t>
  </si>
  <si>
    <t>https://www.proquest.com/docview/2781127967</t>
  </si>
  <si>
    <t>https://www.proquest.com/docview/2781128005</t>
  </si>
  <si>
    <t>https://www.proquest.com/docview/2781126765</t>
  </si>
  <si>
    <t>https://www.proquest.com/docview/2781126786</t>
  </si>
  <si>
    <t>https://www.proquest.com/docview/2781127950</t>
  </si>
  <si>
    <t>https://www.proquest.com/docview/2781126829</t>
  </si>
  <si>
    <t>https://www.proquest.com/docview/2781126781</t>
  </si>
  <si>
    <t>https://www.proquest.com/docview/2781126756</t>
  </si>
  <si>
    <t>https://www.proquest.com/docview/2781126776</t>
  </si>
  <si>
    <t>https://www.proquest.com/docview/2781128002</t>
  </si>
  <si>
    <t>https://www.proquest.com/docview/2781127864</t>
  </si>
  <si>
    <t>https://www.proquest.com/docview/2781126897</t>
  </si>
  <si>
    <t>https://www.proquest.com/docview/2781126792</t>
  </si>
  <si>
    <t>https://www.proquest.com/docview/2781126831</t>
  </si>
  <si>
    <t>https://www.proquest.com/docview/2781127975</t>
  </si>
  <si>
    <t>https://www.proquest.com/docview/2781127900</t>
  </si>
  <si>
    <t>https://www.proquest.com/docview/2781126898</t>
  </si>
  <si>
    <t>https://www.proquest.com/docview/2781128007</t>
  </si>
  <si>
    <t>https://www.proquest.com/docview/2781126891</t>
  </si>
  <si>
    <t>https://www.proquest.com/docview/2781128010</t>
  </si>
  <si>
    <t>https://www.proquest.com/docview/2781127942</t>
  </si>
  <si>
    <t>https://www.proquest.com/docview/2781127912</t>
  </si>
  <si>
    <t>https://www.proquest.com/docview/2781127973</t>
  </si>
  <si>
    <t>https://www.proquest.com/docview/2781127832</t>
  </si>
  <si>
    <t>https://www.proquest.com/docview/2781127890</t>
  </si>
  <si>
    <t>https://www.proquest.com/docview/2781126783</t>
  </si>
  <si>
    <t>https://www.proquest.com/docview/2781127989</t>
  </si>
  <si>
    <t>https://www.proquest.com/docview/2781127846</t>
  </si>
  <si>
    <t>https://www.proquest.com/docview/2781127981</t>
  </si>
  <si>
    <t>https://www.proquest.com/docview/2781127969</t>
  </si>
  <si>
    <t>https://www.proquest.com/docview/2781127999</t>
  </si>
  <si>
    <t>https://www.proquest.com/docview/2781127937</t>
  </si>
  <si>
    <t>https://www.proquest.com/docview/2781128006</t>
  </si>
  <si>
    <t>https://www.proquest.com/docview/2781127852</t>
  </si>
  <si>
    <t>https://www.proquest.com/docview/2781127934</t>
  </si>
  <si>
    <t>https://www.proquest.com/docview/2781127913</t>
  </si>
  <si>
    <t>https://www.proquest.com/docview/2781127873</t>
  </si>
  <si>
    <t>https://www.proquest.com/docview/2781128004</t>
  </si>
  <si>
    <t>https://www.proquest.com/docview/2781128020</t>
  </si>
  <si>
    <t>https://www.proquest.com/docview/2781127958</t>
  </si>
  <si>
    <t>https://www.proquest.com/docview/2781127874</t>
  </si>
  <si>
    <t>https://www.proquest.com/docview/2781128540</t>
  </si>
  <si>
    <t>https://www.proquest.com/docview/2781128537</t>
  </si>
  <si>
    <t>https://www.proquest.com/docview/2781128529</t>
  </si>
  <si>
    <t>https://www.proquest.com/docview/2781127921</t>
  </si>
  <si>
    <t>https://www.proquest.com/docview/2781127955</t>
  </si>
  <si>
    <t>https://www.proquest.com/docview/2781129740</t>
  </si>
  <si>
    <t>https://www.proquest.com/docview/2781127992</t>
  </si>
  <si>
    <t>https://www.proquest.com/docview/2781127971</t>
  </si>
  <si>
    <t>https://www.proquest.com/docview/2781127951</t>
  </si>
  <si>
    <t>https://www.proquest.com/docview/2781127914</t>
  </si>
  <si>
    <t>https://www.proquest.com/docview/2781128000</t>
  </si>
  <si>
    <t>https://www.proquest.com/docview/2781127931</t>
  </si>
  <si>
    <t>https://www.proquest.com/docview/2781127910</t>
  </si>
  <si>
    <t>https://www.proquest.com/docview/2781127959</t>
  </si>
  <si>
    <t>https://www.proquest.com/docview/2781127891</t>
  </si>
  <si>
    <t>https://www.proquest.com/docview/2781128021</t>
  </si>
  <si>
    <t>https://www.proquest.com/docview/2781127903</t>
  </si>
  <si>
    <t>https://www.proquest.com/docview/2781127994</t>
  </si>
  <si>
    <t>https://www.proquest.com/docview/2781127935</t>
  </si>
  <si>
    <t>https://www.proquest.com/docview/2781127905</t>
  </si>
  <si>
    <t>https://www.proquest.com/docview/2781128526</t>
  </si>
  <si>
    <t>https://www.proquest.com/docview/2781133843</t>
  </si>
  <si>
    <t>https://www.proquest.com/docview/2781127925</t>
  </si>
  <si>
    <t>https://www.proquest.com/docview/2781127949</t>
  </si>
  <si>
    <t>https://www.proquest.com/docview/2781127995</t>
  </si>
  <si>
    <t>https://www.proquest.com/docview/2781127988</t>
  </si>
  <si>
    <t>https://www.proquest.com/docview/2781127990</t>
  </si>
  <si>
    <t>https://www.proquest.com/docview/2781128029</t>
  </si>
  <si>
    <t>https://www.proquest.com/docview/2781128539</t>
  </si>
  <si>
    <t>https://www.proquest.com/docview/2781127854</t>
  </si>
  <si>
    <t>https://www.proquest.com/docview/2781127930</t>
  </si>
  <si>
    <t>https://www.proquest.com/docview/2781127860</t>
  </si>
  <si>
    <t>https://www.proquest.com/docview/2781128017</t>
  </si>
  <si>
    <t>https://www.proquest.com/docview/2781127906</t>
  </si>
  <si>
    <t>https://www.proquest.com/docview/2781127962</t>
  </si>
  <si>
    <t>https://www.proquest.com/docview/2781127987</t>
  </si>
  <si>
    <t>https://www.proquest.com/docview/2781129732</t>
  </si>
  <si>
    <t>https://www.proquest.com/docview/2781129828</t>
  </si>
  <si>
    <t>https://www.proquest.com/docview/2781127924</t>
  </si>
  <si>
    <t>https://www.proquest.com/docview/2781127963</t>
  </si>
  <si>
    <t>https://www.proquest.com/docview/2781129832</t>
  </si>
  <si>
    <t>https://www.proquest.com/docview/2781127877</t>
  </si>
  <si>
    <t>https://www.proquest.com/docview/2781127857</t>
  </si>
  <si>
    <t>https://www.proquest.com/docview/2781127939</t>
  </si>
  <si>
    <t>https://www.proquest.com/docview/2781127904</t>
  </si>
  <si>
    <t>https://www.proquest.com/docview/2781127855</t>
  </si>
  <si>
    <t>https://www.proquest.com/docview/2781127943</t>
  </si>
  <si>
    <t>https://www.proquest.com/docview/2781128001</t>
  </si>
  <si>
    <t>https://www.proquest.com/docview/2781127907</t>
  </si>
  <si>
    <t>https://www.proquest.com/docview/2781127916</t>
  </si>
  <si>
    <t>https://www.proquest.com/docview/2781129865</t>
  </si>
  <si>
    <t>https://www.proquest.com/docview/2781127888</t>
  </si>
  <si>
    <t>https://www.proquest.com/docview/2781127902</t>
  </si>
  <si>
    <t>https://www.proquest.com/docview/2781127986</t>
  </si>
  <si>
    <t>https://www.proquest.com/docview/2781128019</t>
  </si>
  <si>
    <t>https://www.proquest.com/docview/2781127974</t>
  </si>
  <si>
    <t>https://www.proquest.com/docview/2781128023</t>
  </si>
  <si>
    <t>https://www.proquest.com/docview/2781128022</t>
  </si>
  <si>
    <t>https://www.proquest.com/docview/2781127866</t>
  </si>
  <si>
    <t>https://www.proquest.com/docview/2781127911</t>
  </si>
  <si>
    <t>https://www.proquest.com/docview/2781129792</t>
  </si>
  <si>
    <t>https://www.proquest.com/docview/2781127867</t>
  </si>
  <si>
    <t>https://www.proquest.com/docview/2781129756</t>
  </si>
  <si>
    <t>https://www.proquest.com/docview/2781129845</t>
  </si>
  <si>
    <t>https://www.proquest.com/docview/2781127953</t>
  </si>
  <si>
    <t>https://www.proquest.com/docview/2781127933</t>
  </si>
  <si>
    <t>https://www.proquest.com/docview/2781127927</t>
  </si>
  <si>
    <t>https://www.proquest.com/docview/2781127889</t>
  </si>
  <si>
    <t>https://www.proquest.com/docview/2781127923</t>
  </si>
  <si>
    <t>https://www.proquest.com/docview/2781127960</t>
  </si>
  <si>
    <t>https://www.proquest.com/docview/2781127884</t>
  </si>
  <si>
    <t>https://www.proquest.com/docview/2781127956</t>
  </si>
  <si>
    <t>https://www.proquest.com/docview/2781127970</t>
  </si>
  <si>
    <t>https://www.proquest.com/docview/2781128025</t>
  </si>
  <si>
    <t>https://www.proquest.com/docview/2781128028</t>
  </si>
  <si>
    <t>https://www.proquest.com/docview/2781128014</t>
  </si>
  <si>
    <t>https://www.proquest.com/docview/2781127940</t>
  </si>
  <si>
    <t>https://www.proquest.com/docview/2781127892</t>
  </si>
  <si>
    <t>https://www.proquest.com/docview/2781127901</t>
  </si>
  <si>
    <t>https://www.proquest.com/docview/2781127908</t>
  </si>
  <si>
    <t>https://www.proquest.com/docview/2781127938</t>
  </si>
  <si>
    <t>https://www.proquest.com/docview/2781127985</t>
  </si>
  <si>
    <t>https://www.proquest.com/docview/2781129731</t>
  </si>
  <si>
    <t>https://www.proquest.com/docview/2781127894</t>
  </si>
  <si>
    <t>https://www.proquest.com/docview/2781133722</t>
  </si>
  <si>
    <t>https://www.proquest.com/docview/2781128003</t>
  </si>
  <si>
    <t>https://www.proquest.com/docview/2781128027</t>
  </si>
  <si>
    <t>https://www.proquest.com/docview/2781127896</t>
  </si>
  <si>
    <t>https://www.proquest.com/docview/2781127998</t>
  </si>
  <si>
    <t>https://www.proquest.com/docview/2781127915</t>
  </si>
  <si>
    <t>https://www.proquest.com/docview/2781127893</t>
  </si>
  <si>
    <t>https://www.proquest.com/docview/2781128026</t>
  </si>
  <si>
    <t>https://www.proquest.com/docview/2781127997</t>
  </si>
  <si>
    <t>https://www.proquest.com/docview/2781127980</t>
  </si>
  <si>
    <t>https://www.proquest.com/docview/2781127895</t>
  </si>
  <si>
    <t>https://www.proquest.com/docview/2781128040</t>
  </si>
  <si>
    <t>https://www.proquest.com/docview/2781127886</t>
  </si>
  <si>
    <t>https://www.proquest.com/docview/2781127941</t>
  </si>
  <si>
    <t>https://www.proquest.com/docview/2781127870</t>
  </si>
  <si>
    <t>https://www.proquest.com/docview/2781127861</t>
  </si>
  <si>
    <t>https://www.proquest.com/docview/2781127887</t>
  </si>
  <si>
    <t>https://www.proquest.com/docview/2781128038</t>
  </si>
  <si>
    <t>https://www.proquest.com/docview/2781127863</t>
  </si>
  <si>
    <t>https://www.proquest.com/docview/2781127996</t>
  </si>
  <si>
    <t>https://www.proquest.com/docview/2781129887</t>
  </si>
  <si>
    <t>https://www.proquest.com/docview/2781128008</t>
  </si>
  <si>
    <t>https://www.proquest.com/docview/2781127856</t>
  </si>
  <si>
    <t>https://www.proquest.com/docview/2781127928</t>
  </si>
  <si>
    <t>https://www.proquest.com/docview/2781127991</t>
  </si>
  <si>
    <t>https://www.proquest.com/docview/2781128013</t>
  </si>
  <si>
    <t>https://www.proquest.com/docview/2781129763</t>
  </si>
  <si>
    <t>https://www.proquest.com/docview/2781128037</t>
  </si>
  <si>
    <t>https://www.proquest.com/docview/2781128030</t>
  </si>
  <si>
    <t>https://www.proquest.com/docview/2781127909</t>
  </si>
  <si>
    <t>https://www.proquest.com/docview/2781127917</t>
  </si>
  <si>
    <t>https://www.proquest.com/docview/2781127920</t>
  </si>
  <si>
    <t>https://www.proquest.com/docview/2781127885</t>
  </si>
  <si>
    <t>https://www.proquest.com/docview/2781127972</t>
  </si>
  <si>
    <t>https://www.proquest.com/docview/2781129746</t>
  </si>
  <si>
    <t>https://www.proquest.com/docview/2781127882</t>
  </si>
  <si>
    <t>https://www.proquest.com/docview/2781127948</t>
  </si>
  <si>
    <t>https://www.proquest.com/docview/2781128041</t>
  </si>
  <si>
    <t>https://www.proquest.com/docview/2781127926</t>
  </si>
  <si>
    <t>https://www.proquest.com/docview/2781127954</t>
  </si>
  <si>
    <t>https://www.proquest.com/docview/2781127876</t>
  </si>
  <si>
    <t>https://www.proquest.com/docview/2781127965</t>
  </si>
  <si>
    <t>https://www.proquest.com/docview/2781127858</t>
  </si>
  <si>
    <t>https://www.proquest.com/docview/2781128035</t>
  </si>
  <si>
    <t>https://www.proquest.com/docview/2781130675</t>
  </si>
  <si>
    <t>https://www.proquest.com/docview/2781127945</t>
  </si>
  <si>
    <t>https://www.proquest.com/docview/2781127936</t>
  </si>
  <si>
    <t>https://www.proquest.com/docview/2781127898</t>
  </si>
  <si>
    <t>https://www.proquest.com/docview/2781127982</t>
  </si>
  <si>
    <t>https://www.proquest.com/docview/2781127868</t>
  </si>
  <si>
    <t>https://www.proquest.com/docview/2781127961</t>
  </si>
  <si>
    <t>https://www.proquest.com/docview/2781127984</t>
  </si>
  <si>
    <t>https://www.proquest.com/docview/2781127968</t>
  </si>
  <si>
    <t>https://www.proquest.com/docview/2781128011</t>
  </si>
  <si>
    <t>https://www.proquest.com/docview/2781127993</t>
  </si>
  <si>
    <t>https://www.proquest.com/docview/2781127922</t>
  </si>
  <si>
    <t>https://www.proquest.com/docview/2781127871</t>
  </si>
  <si>
    <t>https://www.proquest.com/docview/2781127978</t>
  </si>
  <si>
    <t>https://www.proquest.com/docview/2781128033</t>
  </si>
  <si>
    <t>https://www.proquest.com/docview/2781127966</t>
  </si>
  <si>
    <t>https://www.proquest.com/docview/2781129848</t>
  </si>
  <si>
    <t>https://www.proquest.com/docview/2781127875</t>
  </si>
  <si>
    <t>https://www.proquest.com/docview/2781128012</t>
  </si>
  <si>
    <t>https://www.proquest.com/docview/2781130989</t>
  </si>
  <si>
    <t>https://www.proquest.com/docview/2781128036</t>
  </si>
  <si>
    <t>https://www.proquest.com/docview/2781127837</t>
  </si>
  <si>
    <t>https://www.proquest.com/docview/2781127850</t>
  </si>
  <si>
    <t>https://www.proquest.com/docview/2781128009</t>
  </si>
  <si>
    <t>https://www.proquest.com/docview/2781127865</t>
  </si>
  <si>
    <t>https://www.proquest.com/docview/2781127848</t>
  </si>
  <si>
    <t>https://www.proquest.com/docview/2781127828</t>
  </si>
  <si>
    <t>https://www.proquest.com/docview/2781127964</t>
  </si>
  <si>
    <t>https://www.proquest.com/docview/2781130682</t>
  </si>
  <si>
    <t>https://www.proquest.com/docview/2781127977</t>
  </si>
  <si>
    <t>https://www.proquest.com/docview/2781127957</t>
  </si>
  <si>
    <t>https://www.proquest.com/docview/2781128018</t>
  </si>
  <si>
    <t>https://www.proquest.com/docview/2781127859</t>
  </si>
  <si>
    <t>https://www.proquest.com/docview/2781127880</t>
  </si>
  <si>
    <t>https://www.proquest.com/docview/2781127849</t>
  </si>
  <si>
    <t>https://www.proquest.com/docview/2781127862</t>
  </si>
  <si>
    <t>https://www.proquest.com/docview/2781128541</t>
  </si>
  <si>
    <t>https://www.proquest.com/docview/2781127840</t>
  </si>
  <si>
    <t>https://www.proquest.com/docview/2781127841</t>
  </si>
  <si>
    <t>https://www.proquest.com/docview/2781130703</t>
  </si>
  <si>
    <t>https://www.proquest.com/docview/2781127827</t>
  </si>
  <si>
    <t>https://www.proquest.com/docview/2781127883</t>
  </si>
  <si>
    <t>https://www.proquest.com/docview/2781127831</t>
  </si>
  <si>
    <t>https://www.proquest.com/docview/2781127918</t>
  </si>
  <si>
    <t>https://www.proquest.com/docview/2781128016</t>
  </si>
  <si>
    <t>https://www.proquest.com/docview/2781127829</t>
  </si>
  <si>
    <t>https://www.proquest.com/docview/2781127833</t>
  </si>
  <si>
    <t>https://www.proquest.com/docview/2781127853</t>
  </si>
  <si>
    <t>https://www.proquest.com/docview/2781127947</t>
  </si>
  <si>
    <t>https://www.proquest.com/docview/2781128024</t>
  </si>
  <si>
    <t>https://www.proquest.com/docview/2781127929</t>
  </si>
  <si>
    <t>https://www.proquest.com/docview/2781127830</t>
  </si>
  <si>
    <t>https://www.proquest.com/docview/2781127834</t>
  </si>
  <si>
    <t>https://www.proquest.com/docview/2781130970</t>
  </si>
  <si>
    <t>https://www.proquest.com/docview/2781127836</t>
  </si>
  <si>
    <t>https://www.proquest.com/docview/2781127838</t>
  </si>
  <si>
    <t>https://www.proquest.com/docview/2781127847</t>
  </si>
  <si>
    <t>https://www.proquest.com/docview/2781127844</t>
  </si>
  <si>
    <t>https://www.proquest.com/docview/2781127825</t>
  </si>
  <si>
    <t>https://www.proquest.com/docview/2781128510</t>
  </si>
  <si>
    <t>https://www.proquest.com/docview/2781127851</t>
  </si>
  <si>
    <t>https://www.proquest.com/docview/2781128515</t>
  </si>
  <si>
    <t>https://www.proquest.com/docview/2781127843</t>
  </si>
  <si>
    <t>https://www.proquest.com/docview/2781127826</t>
  </si>
  <si>
    <t>https://www.proquest.com/docview/2781128521</t>
  </si>
  <si>
    <t>https://www.proquest.com/docview/2781128514</t>
  </si>
  <si>
    <t>https://www.proquest.com/docview/2781128525</t>
  </si>
  <si>
    <t>https://www.proquest.com/docview/2781127839</t>
  </si>
  <si>
    <t>https://www.proquest.com/docview/2781128533</t>
  </si>
  <si>
    <t>https://www.proquest.com/docview/2781128520</t>
  </si>
  <si>
    <t>https://www.proquest.com/docview/2781127845</t>
  </si>
  <si>
    <t>https://www.proquest.com/docview/2781128535</t>
  </si>
  <si>
    <t>https://www.proquest.com/docview/2781133179</t>
  </si>
  <si>
    <t>https://www.proquest.com/docview/2781133624</t>
  </si>
  <si>
    <t>https://www.proquest.com/docview/2781128522</t>
  </si>
  <si>
    <t>https://www.proquest.com/docview/2781128530</t>
  </si>
  <si>
    <t>https://www.proquest.com/docview/2781127842</t>
  </si>
  <si>
    <t>https://www.proquest.com/docview/2781128538</t>
  </si>
  <si>
    <t>https://www.proquest.com/docview/2781128524</t>
  </si>
  <si>
    <t>https://www.proquest.com/docview/2781128532</t>
  </si>
  <si>
    <t>https://www.proquest.com/docview/2781128523</t>
  </si>
  <si>
    <t>https://www.proquest.com/docview/2781128512</t>
  </si>
  <si>
    <t>https://www.proquest.com/docview/2781129860</t>
  </si>
  <si>
    <t>https://www.proquest.com/docview/2781128518</t>
  </si>
  <si>
    <t>https://www.proquest.com/docview/2781128542</t>
  </si>
  <si>
    <t>https://www.proquest.com/docview/2781128528</t>
  </si>
  <si>
    <t>https://www.proquest.com/docview/2781133356</t>
  </si>
  <si>
    <t>https://www.proquest.com/docview/2781128547</t>
  </si>
  <si>
    <t>https://www.proquest.com/docview/2781128536</t>
  </si>
  <si>
    <t>https://www.proquest.com/docview/2781128519</t>
  </si>
  <si>
    <t>https://www.proquest.com/docview/2781128527</t>
  </si>
  <si>
    <t>https://www.proquest.com/docview/2781133642</t>
  </si>
  <si>
    <t>https://www.proquest.com/docview/2781128513</t>
  </si>
  <si>
    <t>https://www.proquest.com/docview/2781128534</t>
  </si>
  <si>
    <t>https://www.proquest.com/docview/2781128531</t>
  </si>
  <si>
    <t>https://www.proquest.com/docview/2781128511</t>
  </si>
  <si>
    <t>https://www.proquest.com/docview/2781129870</t>
  </si>
  <si>
    <t>https://www.proquest.com/docview/2781128546</t>
  </si>
  <si>
    <t>https://www.proquest.com/docview/2781128516</t>
  </si>
  <si>
    <t>https://www.proquest.com/docview/2781128517</t>
  </si>
  <si>
    <t>https://www.proquest.com/docview/2781128543</t>
  </si>
  <si>
    <t>https://www.proquest.com/docview/2781127835</t>
  </si>
  <si>
    <t>https://www.proquest.com/docview/2781129821</t>
  </si>
  <si>
    <t>https://www.proquest.com/docview/2781129815</t>
  </si>
  <si>
    <t>https://www.proquest.com/docview/2781129840</t>
  </si>
  <si>
    <t>https://www.proquest.com/docview/2781129743</t>
  </si>
  <si>
    <t>https://www.proquest.com/docview/2781129794</t>
  </si>
  <si>
    <t>https://www.proquest.com/docview/2781128544</t>
  </si>
  <si>
    <t>https://www.proquest.com/docview/2781129769</t>
  </si>
  <si>
    <t>https://www.proquest.com/docview/2781133121</t>
  </si>
  <si>
    <t>https://www.proquest.com/docview/2781129809</t>
  </si>
  <si>
    <t>https://www.proquest.com/docview/2781129866</t>
  </si>
  <si>
    <t>https://www.proquest.com/docview/2781129752</t>
  </si>
  <si>
    <t>https://www.proquest.com/docview/2781129759</t>
  </si>
  <si>
    <t>https://www.proquest.com/docview/2781129808</t>
  </si>
  <si>
    <t>https://www.proquest.com/docview/2781129827</t>
  </si>
  <si>
    <t>https://www.proquest.com/docview/2781133479</t>
  </si>
  <si>
    <t>https://www.proquest.com/docview/2781129818</t>
  </si>
  <si>
    <t>https://www.proquest.com/docview/2781129777</t>
  </si>
  <si>
    <t>https://www.proquest.com/docview/2781133059</t>
  </si>
  <si>
    <t>https://www.proquest.com/docview/2781128545</t>
  </si>
  <si>
    <t>https://www.proquest.com/docview/2781129816</t>
  </si>
  <si>
    <t>https://www.proquest.com/docview/2781129773</t>
  </si>
  <si>
    <t>https://www.proquest.com/docview/2781129834</t>
  </si>
  <si>
    <t>https://www.proquest.com/docview/2781129782</t>
  </si>
  <si>
    <t>https://www.proquest.com/docview/2781129864</t>
  </si>
  <si>
    <t>https://www.proquest.com/docview/2781129877</t>
  </si>
  <si>
    <t>https://www.proquest.com/docview/2781129813</t>
  </si>
  <si>
    <t>https://www.proquest.com/docview/2781133133</t>
  </si>
  <si>
    <t>https://www.proquest.com/docview/2781129753</t>
  </si>
  <si>
    <t>https://www.proquest.com/docview/2781129881</t>
  </si>
  <si>
    <t>https://www.proquest.com/docview/2781129874</t>
  </si>
  <si>
    <t>https://www.proquest.com/docview/2781133346</t>
  </si>
  <si>
    <t>https://www.proquest.com/docview/2781129771</t>
  </si>
  <si>
    <t>https://www.proquest.com/docview/2781129823</t>
  </si>
  <si>
    <t>https://www.proquest.com/docview/2781129839</t>
  </si>
  <si>
    <t>https://www.proquest.com/docview/2781128509</t>
  </si>
  <si>
    <t>https://www.proquest.com/docview/2781129799</t>
  </si>
  <si>
    <t>https://www.proquest.com/docview/2781129885</t>
  </si>
  <si>
    <t>https://www.proquest.com/docview/2781129779</t>
  </si>
  <si>
    <t>https://www.proquest.com/docview/2781129880</t>
  </si>
  <si>
    <t>https://www.proquest.com/docview/2781129835</t>
  </si>
  <si>
    <t>https://www.proquest.com/docview/2781129785</t>
  </si>
  <si>
    <t>https://www.proquest.com/docview/2781129803</t>
  </si>
  <si>
    <t>https://www.proquest.com/docview/2781129869</t>
  </si>
  <si>
    <t>https://www.proquest.com/docview/2781129788</t>
  </si>
  <si>
    <t>https://www.proquest.com/docview/2781129770</t>
  </si>
  <si>
    <t>https://www.proquest.com/docview/2781129859</t>
  </si>
  <si>
    <t>https://www.proquest.com/docview/2781129776</t>
  </si>
  <si>
    <t>https://www.proquest.com/docview/2781129748</t>
  </si>
  <si>
    <t>https://www.proquest.com/docview/2781129750</t>
  </si>
  <si>
    <t>https://www.proquest.com/docview/2781129873</t>
  </si>
  <si>
    <t>https://www.proquest.com/docview/2781129825</t>
  </si>
  <si>
    <t>https://www.proquest.com/docview/2781129747</t>
  </si>
  <si>
    <t>https://www.proquest.com/docview/2781129764</t>
  </si>
  <si>
    <t>https://www.proquest.com/docview/2781129742</t>
  </si>
  <si>
    <t>https://www.proquest.com/docview/2781129802</t>
  </si>
  <si>
    <t>https://www.proquest.com/docview/2781129786</t>
  </si>
  <si>
    <t>https://www.proquest.com/docview/2781129868</t>
  </si>
  <si>
    <t>https://www.proquest.com/docview/2781133117</t>
  </si>
  <si>
    <t>https://www.proquest.com/docview/2781129811</t>
  </si>
  <si>
    <t>https://www.proquest.com/docview/2781129857</t>
  </si>
  <si>
    <t>https://www.proquest.com/docview/2781133362</t>
  </si>
  <si>
    <t>https://www.proquest.com/docview/2781129810</t>
  </si>
  <si>
    <t>https://www.proquest.com/docview/2781129889</t>
  </si>
  <si>
    <t>https://www.proquest.com/docview/2781133604</t>
  </si>
  <si>
    <t>https://www.proquest.com/docview/2781129847</t>
  </si>
  <si>
    <t>https://www.proquest.com/docview/2781129849</t>
  </si>
  <si>
    <t>https://www.proquest.com/docview/2781129757</t>
  </si>
  <si>
    <t>https://www.proquest.com/docview/2781129778</t>
  </si>
  <si>
    <t>https://www.proquest.com/docview/2781129838</t>
  </si>
  <si>
    <t>https://www.proquest.com/docview/2781129795</t>
  </si>
  <si>
    <t>https://www.proquest.com/docview/2781129760</t>
  </si>
  <si>
    <t>https://www.proquest.com/docview/2781129883</t>
  </si>
  <si>
    <t>https://www.proquest.com/docview/2781129749</t>
  </si>
  <si>
    <t>https://www.proquest.com/docview/2781129804</t>
  </si>
  <si>
    <t>https://www.proquest.com/docview/2781129886</t>
  </si>
  <si>
    <t>https://www.proquest.com/docview/2781129830</t>
  </si>
  <si>
    <t>https://www.proquest.com/docview/2781129774</t>
  </si>
  <si>
    <t>https://www.proquest.com/docview/2781133503</t>
  </si>
  <si>
    <t>https://www.proquest.com/docview/2781129768</t>
  </si>
  <si>
    <t>https://www.proquest.com/docview/2781129766</t>
  </si>
  <si>
    <t>https://www.proquest.com/docview/2781133309</t>
  </si>
  <si>
    <t>https://www.proquest.com/docview/2781129875</t>
  </si>
  <si>
    <t>https://www.proquest.com/docview/2781129829</t>
  </si>
  <si>
    <t>https://www.proquest.com/docview/2781129751</t>
  </si>
  <si>
    <t>https://www.proquest.com/docview/2781129863</t>
  </si>
  <si>
    <t>https://www.proquest.com/docview/2781133491</t>
  </si>
  <si>
    <t>https://www.proquest.com/docview/2781129806</t>
  </si>
  <si>
    <t>https://www.proquest.com/docview/2781129852</t>
  </si>
  <si>
    <t>https://www.proquest.com/docview/2781129735</t>
  </si>
  <si>
    <t>https://www.proquest.com/docview/2781129814</t>
  </si>
  <si>
    <t>https://www.proquest.com/docview/2781129755</t>
  </si>
  <si>
    <t>https://www.proquest.com/docview/2781129745</t>
  </si>
  <si>
    <t>https://www.proquest.com/docview/2781129790</t>
  </si>
  <si>
    <t>https://www.proquest.com/docview/2781129833</t>
  </si>
  <si>
    <t>https://www.proquest.com/docview/2781129796</t>
  </si>
  <si>
    <t>https://www.proquest.com/docview/2781129854</t>
  </si>
  <si>
    <t>https://www.proquest.com/docview/2781129882</t>
  </si>
  <si>
    <t>https://www.proquest.com/docview/2781129744</t>
  </si>
  <si>
    <t>https://www.proquest.com/docview/2781129867</t>
  </si>
  <si>
    <t>https://www.proquest.com/docview/2781129861</t>
  </si>
  <si>
    <t>https://www.proquest.com/docview/2781129836</t>
  </si>
  <si>
    <t>https://www.proquest.com/docview/2781129837</t>
  </si>
  <si>
    <t>https://www.proquest.com/docview/2781129843</t>
  </si>
  <si>
    <t>https://www.proquest.com/docview/2781129775</t>
  </si>
  <si>
    <t>https://www.proquest.com/docview/2781129762</t>
  </si>
  <si>
    <t>https://www.proquest.com/docview/2781129734</t>
  </si>
  <si>
    <t>https://www.proquest.com/docview/2781129765</t>
  </si>
  <si>
    <t>https://www.proquest.com/docview/2781129801</t>
  </si>
  <si>
    <t>https://www.proquest.com/docview/2781129730</t>
  </si>
  <si>
    <t>https://www.proquest.com/docview/2781129819</t>
  </si>
  <si>
    <t>https://www.proquest.com/docview/2781129772</t>
  </si>
  <si>
    <t>https://www.proquest.com/docview/2781129817</t>
  </si>
  <si>
    <t>https://www.proquest.com/docview/2781129784</t>
  </si>
  <si>
    <t>https://www.proquest.com/docview/2781129793</t>
  </si>
  <si>
    <t>https://www.proquest.com/docview/2781129844</t>
  </si>
  <si>
    <t>https://www.proquest.com/docview/2781129787</t>
  </si>
  <si>
    <t>https://www.proquest.com/docview/2781129812</t>
  </si>
  <si>
    <t>https://www.proquest.com/docview/2781129862</t>
  </si>
  <si>
    <t>https://www.proquest.com/docview/2781129820</t>
  </si>
  <si>
    <t>https://www.proquest.com/docview/2781129826</t>
  </si>
  <si>
    <t>https://www.proquest.com/docview/2781129761</t>
  </si>
  <si>
    <t>https://www.proquest.com/docview/2781129738</t>
  </si>
  <si>
    <t>https://www.proquest.com/docview/2781129781</t>
  </si>
  <si>
    <t>https://www.proquest.com/docview/2781129884</t>
  </si>
  <si>
    <t>https://www.proquest.com/docview/2781129872</t>
  </si>
  <si>
    <t>https://www.proquest.com/docview/2781129855</t>
  </si>
  <si>
    <t>https://www.proquest.com/docview/2781129736</t>
  </si>
  <si>
    <t>https://www.proquest.com/docview/2781129805</t>
  </si>
  <si>
    <t>https://www.proquest.com/docview/2781129879</t>
  </si>
  <si>
    <t>https://www.proquest.com/docview/2781129798</t>
  </si>
  <si>
    <t>https://www.proquest.com/docview/2781129783</t>
  </si>
  <si>
    <t>https://www.proquest.com/docview/2781129733</t>
  </si>
  <si>
    <t>https://www.proquest.com/docview/2781129741</t>
  </si>
  <si>
    <t>https://www.proquest.com/docview/2781129842</t>
  </si>
  <si>
    <t>https://www.proquest.com/docview/2781129754</t>
  </si>
  <si>
    <t>https://www.proquest.com/docview/2781129858</t>
  </si>
  <si>
    <t>https://www.proquest.com/docview/2781129831</t>
  </si>
  <si>
    <t>https://www.proquest.com/docview/2781129851</t>
  </si>
  <si>
    <t>https://www.proquest.com/docview/2781129780</t>
  </si>
  <si>
    <t>https://www.proquest.com/docview/2781129758</t>
  </si>
  <si>
    <t>https://www.proquest.com/docview/2781129846</t>
  </si>
  <si>
    <t>https://www.proquest.com/docview/2781129824</t>
  </si>
  <si>
    <t>https://www.proquest.com/docview/2781129737</t>
  </si>
  <si>
    <t>https://www.proquest.com/docview/2781130691</t>
  </si>
  <si>
    <t>https://www.proquest.com/docview/2781129797</t>
  </si>
  <si>
    <t>https://www.proquest.com/docview/2781129876</t>
  </si>
  <si>
    <t>https://www.proquest.com/docview/2781129888</t>
  </si>
  <si>
    <t>https://www.proquest.com/docview/2781130700</t>
  </si>
  <si>
    <t>https://www.proquest.com/docview/2781129841</t>
  </si>
  <si>
    <t>https://www.proquest.com/docview/2781130677</t>
  </si>
  <si>
    <t>https://www.proquest.com/docview/2781129791</t>
  </si>
  <si>
    <t>https://www.proquest.com/docview/2781129856</t>
  </si>
  <si>
    <t>https://www.proquest.com/docview/2781129871</t>
  </si>
  <si>
    <t>https://www.proquest.com/docview/2781129767</t>
  </si>
  <si>
    <t>https://www.proquest.com/docview/2781133403</t>
  </si>
  <si>
    <t>https://www.proquest.com/docview/2781130985</t>
  </si>
  <si>
    <t>https://www.proquest.com/docview/2781133136</t>
  </si>
  <si>
    <t>https://www.proquest.com/docview/2781130686</t>
  </si>
  <si>
    <t>https://www.proquest.com/docview/2781129853</t>
  </si>
  <si>
    <t>https://www.proquest.com/docview/2781130981</t>
  </si>
  <si>
    <t>https://www.proquest.com/docview/2781129878</t>
  </si>
  <si>
    <t>https://www.proquest.com/docview/2781130683</t>
  </si>
  <si>
    <t>https://www.proquest.com/docview/2781129850</t>
  </si>
  <si>
    <t>https://www.proquest.com/docview/2781130690</t>
  </si>
  <si>
    <t>https://www.proquest.com/docview/2781129807</t>
  </si>
  <si>
    <t>https://www.proquest.com/docview/2781129822</t>
  </si>
  <si>
    <t>https://www.proquest.com/docview/2781130689</t>
  </si>
  <si>
    <t>https://www.proquest.com/docview/2781129800</t>
  </si>
  <si>
    <t>https://www.proquest.com/docview/2781129789</t>
  </si>
  <si>
    <t>https://www.proquest.com/docview/2781130992</t>
  </si>
  <si>
    <t>https://www.proquest.com/docview/2781130701</t>
  </si>
  <si>
    <t>https://www.proquest.com/docview/2781129739</t>
  </si>
  <si>
    <t>https://www.proquest.com/docview/2781130679</t>
  </si>
  <si>
    <t>https://www.proquest.com/docview/2781130697</t>
  </si>
  <si>
    <t>https://www.proquest.com/docview/2781133108</t>
  </si>
  <si>
    <t>https://www.proquest.com/docview/2781130972</t>
  </si>
  <si>
    <t>https://www.proquest.com/docview/2781130986</t>
  </si>
  <si>
    <t>https://www.proquest.com/docview/2781133602</t>
  </si>
  <si>
    <t>https://www.proquest.com/docview/2781130695</t>
  </si>
  <si>
    <t>https://www.proquest.com/docview/2781130680</t>
  </si>
  <si>
    <t>https://www.proquest.com/docview/2781130996</t>
  </si>
  <si>
    <t>https://www.proquest.com/docview/2781130973</t>
  </si>
  <si>
    <t>https://www.proquest.com/docview/2781130987</t>
  </si>
  <si>
    <t>https://www.proquest.com/docview/2781130674</t>
  </si>
  <si>
    <t>https://www.proquest.com/docview/2781130699</t>
  </si>
  <si>
    <t>https://www.proquest.com/docview/2781130688</t>
  </si>
  <si>
    <t>https://www.proquest.com/docview/2781130687</t>
  </si>
  <si>
    <t>https://www.proquest.com/docview/2781130681</t>
  </si>
  <si>
    <t>https://www.proquest.com/docview/2781130696</t>
  </si>
  <si>
    <t>https://www.proquest.com/docview/2781130698</t>
  </si>
  <si>
    <t>https://www.proquest.com/docview/2781130977</t>
  </si>
  <si>
    <t>https://www.proquest.com/docview/2781130692</t>
  </si>
  <si>
    <t>https://www.proquest.com/docview/2781130684</t>
  </si>
  <si>
    <t>https://www.proquest.com/docview/2781130678</t>
  </si>
  <si>
    <t>https://www.proquest.com/docview/2781130702</t>
  </si>
  <si>
    <t>https://www.proquest.com/docview/2781130978</t>
  </si>
  <si>
    <t>https://www.proquest.com/docview/2781133137</t>
  </si>
  <si>
    <t>https://www.proquest.com/docview/2781130693</t>
  </si>
  <si>
    <t>https://www.proquest.com/docview/2781130971</t>
  </si>
  <si>
    <t>https://www.proquest.com/docview/2781130672</t>
  </si>
  <si>
    <t>https://www.proquest.com/docview/2781130671</t>
  </si>
  <si>
    <t>https://www.proquest.com/docview/2781133297</t>
  </si>
  <si>
    <t>https://www.proquest.com/docview/2781130993</t>
  </si>
  <si>
    <t>https://www.proquest.com/docview/2781130694</t>
  </si>
  <si>
    <t>https://www.proquest.com/docview/2781130685</t>
  </si>
  <si>
    <t>https://www.proquest.com/docview/2781130670</t>
  </si>
  <si>
    <t>https://www.proquest.com/docview/2781130974</t>
  </si>
  <si>
    <t>https://www.proquest.com/docview/2781133221</t>
  </si>
  <si>
    <t>https://www.proquest.com/docview/2781130990</t>
  </si>
  <si>
    <t>https://www.proquest.com/docview/2781130669</t>
  </si>
  <si>
    <t>https://www.proquest.com/docview/2781130967</t>
  </si>
  <si>
    <t>https://www.proquest.com/docview/2781133129</t>
  </si>
  <si>
    <t>https://www.proquest.com/docview/2781130979</t>
  </si>
  <si>
    <t>https://www.proquest.com/docview/2781130968</t>
  </si>
  <si>
    <t>https://www.proquest.com/docview/2781130982</t>
  </si>
  <si>
    <t>https://www.proquest.com/docview/2781130994</t>
  </si>
  <si>
    <t>https://www.proquest.com/docview/2781130991</t>
  </si>
  <si>
    <t>https://www.proquest.com/docview/2781130673</t>
  </si>
  <si>
    <t>https://www.proquest.com/docview/2781130983</t>
  </si>
  <si>
    <t>https://www.proquest.com/docview/2781133144</t>
  </si>
  <si>
    <t>https://www.proquest.com/docview/2781130995</t>
  </si>
  <si>
    <t>https://www.proquest.com/docview/2781133285</t>
  </si>
  <si>
    <t>https://www.proquest.com/docview/2781130984</t>
  </si>
  <si>
    <t>https://www.proquest.com/docview/2781133279</t>
  </si>
  <si>
    <t>https://www.proquest.com/docview/2781133256</t>
  </si>
  <si>
    <t>https://www.proquest.com/docview/2781130975</t>
  </si>
  <si>
    <t>https://www.proquest.com/docview/2781130980</t>
  </si>
  <si>
    <t>https://www.proquest.com/docview/2781133223</t>
  </si>
  <si>
    <t>https://www.proquest.com/docview/2781133442</t>
  </si>
  <si>
    <t>https://www.proquest.com/docview/2781130966</t>
  </si>
  <si>
    <t>https://www.proquest.com/docview/2781133555</t>
  </si>
  <si>
    <t>https://www.proquest.com/docview/2781133595</t>
  </si>
  <si>
    <t>https://www.proquest.com/docview/2781133510</t>
  </si>
  <si>
    <t>https://www.proquest.com/docview/2781133368</t>
  </si>
  <si>
    <t>https://www.proquest.com/docview/2781130988</t>
  </si>
  <si>
    <t>https://www.proquest.com/docview/2781130676</t>
  </si>
  <si>
    <t>https://www.proquest.com/docview/2781133557</t>
  </si>
  <si>
    <t>https://www.proquest.com/docview/2781130976</t>
  </si>
  <si>
    <t>https://www.proquest.com/docview/2781133592</t>
  </si>
  <si>
    <t>https://www.proquest.com/docview/2781133130</t>
  </si>
  <si>
    <t>https://www.proquest.com/docview/2781133393</t>
  </si>
  <si>
    <t>https://www.proquest.com/docview/2781133301</t>
  </si>
  <si>
    <t>https://www.proquest.com/docview/2781133528</t>
  </si>
  <si>
    <t>https://www.proquest.com/docview/2781133477</t>
  </si>
  <si>
    <t>https://www.proquest.com/docview/2781133487</t>
  </si>
  <si>
    <t>https://www.proquest.com/docview/2781133068</t>
  </si>
  <si>
    <t>https://www.proquest.com/docview/2781133504</t>
  </si>
  <si>
    <t>https://www.proquest.com/docview/2781133573</t>
  </si>
  <si>
    <t>https://www.proquest.com/docview/2781133399</t>
  </si>
  <si>
    <t>https://www.proquest.com/docview/2781133620</t>
  </si>
  <si>
    <t>https://www.proquest.com/docview/2781133633</t>
  </si>
  <si>
    <t>https://www.proquest.com/docview/2781133064</t>
  </si>
  <si>
    <t>https://www.proquest.com/docview/2781133366</t>
  </si>
  <si>
    <t>https://www.proquest.com/docview/2781133610</t>
  </si>
  <si>
    <t>https://www.proquest.com/docview/2781133464</t>
  </si>
  <si>
    <t>https://www.proquest.com/docview/2781133575</t>
  </si>
  <si>
    <t>https://www.proquest.com/docview/2781133327</t>
  </si>
  <si>
    <t>https://www.proquest.com/docview/2781133501</t>
  </si>
  <si>
    <t>https://www.proquest.com/docview/2781133433</t>
  </si>
  <si>
    <t>https://www.proquest.com/docview/2781133568</t>
  </si>
  <si>
    <t>https://www.proquest.com/docview/2781130969</t>
  </si>
  <si>
    <t>https://www.proquest.com/docview/2781133278</t>
  </si>
  <si>
    <t>https://www.proquest.com/docview/2781133202</t>
  </si>
  <si>
    <t>https://www.proquest.com/docview/2781133637</t>
  </si>
  <si>
    <t>https://www.proquest.com/docview/2781133380</t>
  </si>
  <si>
    <t>https://www.proquest.com/docview/2781133255</t>
  </si>
  <si>
    <t>https://www.proquest.com/docview/2781133564</t>
  </si>
  <si>
    <t>https://www.proquest.com/docview/2781133110</t>
  </si>
  <si>
    <t>https://www.proquest.com/docview/2781133084</t>
  </si>
  <si>
    <t>https://www.proquest.com/docview/2781133088</t>
  </si>
  <si>
    <t>https://www.proquest.com/docview/2781133422</t>
  </si>
  <si>
    <t>https://www.proquest.com/docview/2781133127</t>
  </si>
  <si>
    <t>https://www.proquest.com/docview/2781133132</t>
  </si>
  <si>
    <t>https://www.proquest.com/docview/2781133629</t>
  </si>
  <si>
    <t>https://www.proquest.com/docview/2781133293</t>
  </si>
  <si>
    <t>https://www.proquest.com/docview/2781133449</t>
  </si>
  <si>
    <t>https://www.proquest.com/docview/2781133243</t>
  </si>
  <si>
    <t>https://www.proquest.com/docview/2781133098</t>
  </si>
  <si>
    <t>https://www.proquest.com/docview/2781133576</t>
  </si>
  <si>
    <t>https://www.proquest.com/docview/2781133601</t>
  </si>
  <si>
    <t>https://www.proquest.com/docview/2781133469</t>
  </si>
  <si>
    <t>https://www.proquest.com/docview/2781133239</t>
  </si>
  <si>
    <t>https://www.proquest.com/docview/2781133079</t>
  </si>
  <si>
    <t>https://www.proquest.com/docview/2781133579</t>
  </si>
  <si>
    <t>https://www.proquest.com/docview/2781133165</t>
  </si>
  <si>
    <t>https://www.proquest.com/docview/2781133151</t>
  </si>
  <si>
    <t>https://www.proquest.com/docview/2781133520</t>
  </si>
  <si>
    <t>https://www.proquest.com/docview/2781133206</t>
  </si>
  <si>
    <t>https://www.proquest.com/docview/2781133242</t>
  </si>
  <si>
    <t>https://www.proquest.com/docview/2781133556</t>
  </si>
  <si>
    <t>https://www.proquest.com/docview/2781133364</t>
  </si>
  <si>
    <t>https://www.proquest.com/docview/2781133438</t>
  </si>
  <si>
    <t>https://www.proquest.com/docview/2781133194</t>
  </si>
  <si>
    <t>https://www.proquest.com/docview/2781133215</t>
  </si>
  <si>
    <t>https://www.proquest.com/docview/2781133340</t>
  </si>
  <si>
    <t>https://www.proquest.com/docview/2781133047</t>
  </si>
  <si>
    <t>https://www.proquest.com/docview/2781133330</t>
  </si>
  <si>
    <t>https://www.proquest.com/docview/2781133413</t>
  </si>
  <si>
    <t>https://www.proquest.com/docview/2781133597</t>
  </si>
  <si>
    <t>https://www.proquest.com/docview/2781133386</t>
  </si>
  <si>
    <t>https://www.proquest.com/docview/2781133286</t>
  </si>
  <si>
    <t>https://www.proquest.com/docview/2781133170</t>
  </si>
  <si>
    <t>https://www.proquest.com/docview/2781133465</t>
  </si>
  <si>
    <t>https://www.proquest.com/docview/2781133307</t>
  </si>
  <si>
    <t>https://www.proquest.com/docview/2781133192</t>
  </si>
  <si>
    <t>https://www.proquest.com/docview/2781133485</t>
  </si>
  <si>
    <t>https://www.proquest.com/docview/2781133328</t>
  </si>
  <si>
    <t>https://www.proquest.com/docview/2781133150</t>
  </si>
  <si>
    <t>https://www.proquest.com/docview/2781133147</t>
  </si>
  <si>
    <t>https://www.proquest.com/docview/2781133547</t>
  </si>
  <si>
    <t>https://www.proquest.com/docview/2781133122</t>
  </si>
  <si>
    <t>https://www.proquest.com/docview/2781133283</t>
  </si>
  <si>
    <t>https://www.proquest.com/docview/2781133565</t>
  </si>
  <si>
    <t>https://www.proquest.com/docview/2781133603</t>
  </si>
  <si>
    <t>https://www.proquest.com/docview/2781133126</t>
  </si>
  <si>
    <t>https://www.proquest.com/docview/2781133178</t>
  </si>
  <si>
    <t>https://www.proquest.com/docview/2781133631</t>
  </si>
  <si>
    <t>https://www.proquest.com/docview/2781133163</t>
  </si>
  <si>
    <t>https://www.proquest.com/docview/2781133578</t>
  </si>
  <si>
    <t>https://www.proquest.com/docview/2781133641</t>
  </si>
  <si>
    <t>https://www.proquest.com/docview/2781133615</t>
  </si>
  <si>
    <t>https://www.proquest.com/docview/2781133225</t>
  </si>
  <si>
    <t>https://www.proquest.com/docview/2781133527</t>
  </si>
  <si>
    <t>https://www.proquest.com/docview/2781133312</t>
  </si>
  <si>
    <t>https://www.proquest.com/docview/2781133532</t>
  </si>
  <si>
    <t>https://www.proquest.com/docview/2781133636</t>
  </si>
  <si>
    <t>https://www.proquest.com/docview/2781133074</t>
  </si>
  <si>
    <t>https://www.proquest.com/docview/2781133435</t>
  </si>
  <si>
    <t>https://www.proquest.com/docview/2781133452</t>
  </si>
  <si>
    <t>https://www.proquest.com/docview/2781133205</t>
  </si>
  <si>
    <t>https://www.proquest.com/docview/2781133375</t>
  </si>
  <si>
    <t>https://www.proquest.com/docview/2781133083</t>
  </si>
  <si>
    <t>https://www.proquest.com/docview/2781133618</t>
  </si>
  <si>
    <t>https://www.proquest.com/docview/2781133498</t>
  </si>
  <si>
    <t>https://www.proquest.com/docview/2781133063</t>
  </si>
  <si>
    <t>https://www.proquest.com/docview/2781133131</t>
  </si>
  <si>
    <t>https://www.proquest.com/docview/2781133226</t>
  </si>
  <si>
    <t>https://www.proquest.com/docview/2781133334</t>
  </si>
  <si>
    <t>https://www.proquest.com/docview/2781133269</t>
  </si>
  <si>
    <t>https://www.proquest.com/docview/2781133607</t>
  </si>
  <si>
    <t>https://www.proquest.com/docview/2781133538</t>
  </si>
  <si>
    <t>https://www.proquest.com/docview/2781133341</t>
  </si>
  <si>
    <t>https://www.proquest.com/docview/2781133259</t>
  </si>
  <si>
    <t>https://www.proquest.com/docview/2781133342</t>
  </si>
  <si>
    <t>https://www.proquest.com/docview/2781133119</t>
  </si>
  <si>
    <t>https://www.proquest.com/docview/2781133292</t>
  </si>
  <si>
    <t>https://www.proquest.com/docview/2781133443</t>
  </si>
  <si>
    <t>https://www.proquest.com/docview/2781133281</t>
  </si>
  <si>
    <t>https://www.proquest.com/docview/2781133374</t>
  </si>
  <si>
    <t>https://www.proquest.com/docview/2781133135</t>
  </si>
  <si>
    <t>https://www.proquest.com/docview/2781133495</t>
  </si>
  <si>
    <t>https://www.proquest.com/docview/2781133258</t>
  </si>
  <si>
    <t>https://www.proquest.com/docview/2781133066</t>
  </si>
  <si>
    <t>https://www.proquest.com/docview/2781133052</t>
  </si>
  <si>
    <t>https://www.proquest.com/docview/2781133071</t>
  </si>
  <si>
    <t>https://www.proquest.com/docview/2781133563</t>
  </si>
  <si>
    <t>https://www.proquest.com/docview/2781133062</t>
  </si>
  <si>
    <t>https://www.proquest.com/docview/2781133120</t>
  </si>
  <si>
    <t>https://www.proquest.com/docview/2781133432</t>
  </si>
  <si>
    <t>https://www.proquest.com/docview/2781133621</t>
  </si>
  <si>
    <t>https://www.proquest.com/docview/2781133466</t>
  </si>
  <si>
    <t>https://www.proquest.com/docview/2781133251</t>
  </si>
  <si>
    <t>https://www.proquest.com/docview/2781133411</t>
  </si>
  <si>
    <t>https://www.proquest.com/docview/2781133473</t>
  </si>
  <si>
    <t>https://www.proquest.com/docview/2781133266</t>
  </si>
  <si>
    <t>https://www.proquest.com/docview/2781133436</t>
  </si>
  <si>
    <t>https://www.proquest.com/docview/2781133189</t>
  </si>
  <si>
    <t>https://www.proquest.com/docview/2781133118</t>
  </si>
  <si>
    <t>https://www.proquest.com/docview/2781133141</t>
  </si>
  <si>
    <t>https://www.proquest.com/docview/2781133370</t>
  </si>
  <si>
    <t>https://www.proquest.com/docview/2781133482</t>
  </si>
  <si>
    <t>https://www.proquest.com/docview/2781133580</t>
  </si>
  <si>
    <t>https://www.proquest.com/docview/2781133078</t>
  </si>
  <si>
    <t>https://www.proquest.com/docview/2781133400</t>
  </si>
  <si>
    <t>https://www.proquest.com/docview/2781133128</t>
  </si>
  <si>
    <t>https://www.proquest.com/docview/2781133218</t>
  </si>
  <si>
    <t>https://www.proquest.com/docview/2781133049</t>
  </si>
  <si>
    <t>https://www.proquest.com/docview/2781133208</t>
  </si>
  <si>
    <t>https://www.proquest.com/docview/2781133406</t>
  </si>
  <si>
    <t>https://www.proquest.com/docview/2781133628</t>
  </si>
  <si>
    <t>https://www.proquest.com/docview/2781133818</t>
  </si>
  <si>
    <t>https://www.proquest.com/docview/2781133389</t>
  </si>
  <si>
    <t>https://www.proquest.com/docview/2781133552</t>
  </si>
  <si>
    <t>https://www.proquest.com/docview/2781133320</t>
  </si>
  <si>
    <t>https://www.proquest.com/docview/2781133358</t>
  </si>
  <si>
    <t>https://www.proquest.com/docview/2781133302</t>
  </si>
  <si>
    <t>https://www.proquest.com/docview/2781133385</t>
  </si>
  <si>
    <t>https://www.proquest.com/docview/2781133530</t>
  </si>
  <si>
    <t>https://www.proquest.com/docview/2781133474</t>
  </si>
  <si>
    <t>https://www.proquest.com/docview/2781133329</t>
  </si>
  <si>
    <t>https://www.proquest.com/docview/2781133075</t>
  </si>
  <si>
    <t>https://www.proquest.com/docview/2781133611</t>
  </si>
  <si>
    <t>https://www.proquest.com/docview/2781133115</t>
  </si>
  <si>
    <t>https://www.proquest.com/docview/2781133094</t>
  </si>
  <si>
    <t>https://www.proquest.com/docview/2781133401</t>
  </si>
  <si>
    <t>https://www.proquest.com/docview/2781133424</t>
  </si>
  <si>
    <t>https://www.proquest.com/docview/2781133246</t>
  </si>
  <si>
    <t>https://www.proquest.com/docview/2781133348</t>
  </si>
  <si>
    <t>https://www.proquest.com/docview/2781133053</t>
  </si>
  <si>
    <t>https://www.proquest.com/docview/2781133081</t>
  </si>
  <si>
    <t>https://www.proquest.com/docview/2781133322</t>
  </si>
  <si>
    <t>https://www.proquest.com/docview/2781133344</t>
  </si>
  <si>
    <t>Placebos</t>
  </si>
  <si>
    <t>Breathwork</t>
  </si>
  <si>
    <t>Coherence Therapy</t>
  </si>
  <si>
    <t>Depression: Treatment</t>
  </si>
  <si>
    <t>Modeling</t>
  </si>
  <si>
    <t>Gerontological Counseling</t>
  </si>
  <si>
    <t>Self-Control Desensitization</t>
  </si>
  <si>
    <t>Integrative Psychotherapy</t>
  </si>
  <si>
    <t>Impact Therapy</t>
  </si>
  <si>
    <t>Self-Instruction Training</t>
  </si>
  <si>
    <t>Habit Reversal</t>
  </si>
  <si>
    <t>Mediation</t>
  </si>
  <si>
    <t>Motivational Interviewing</t>
  </si>
  <si>
    <t>Age Regression</t>
  </si>
  <si>
    <t>Arthritis: Behavioral Treatment</t>
  </si>
  <si>
    <t>Family Counseling</t>
  </si>
  <si>
    <t>Depth Therapy</t>
  </si>
  <si>
    <t>Systematic Desensitization</t>
  </si>
  <si>
    <t>Alternative Approaches</t>
  </si>
  <si>
    <t>Classical Conditioning</t>
  </si>
  <si>
    <t>Behavioral Approaches to Schizophrenia</t>
  </si>
  <si>
    <t>Cognitive-Behavioral Modification</t>
  </si>
  <si>
    <t>Fluoxetine Hydrochloride</t>
  </si>
  <si>
    <t>Contingent Restraint</t>
  </si>
  <si>
    <t>Public Posting</t>
  </si>
  <si>
    <t>Sex Therapy</t>
  </si>
  <si>
    <t>Psychotherapeutic Processes</t>
  </si>
  <si>
    <t>Active Listening</t>
  </si>
  <si>
    <t>Drug Abuse: Behavioral Treatment</t>
  </si>
  <si>
    <t>Fading</t>
  </si>
  <si>
    <t>Morphine Sulfate</t>
  </si>
  <si>
    <t>Behavioral Contracting</t>
  </si>
  <si>
    <t>Goal Setting</t>
  </si>
  <si>
    <t>Aversion Therapy</t>
  </si>
  <si>
    <t>Attention Training Procedures</t>
  </si>
  <si>
    <t>Differential Reinforcement</t>
  </si>
  <si>
    <t>Water Misting</t>
  </si>
  <si>
    <t>Therapeutic Community</t>
  </si>
  <si>
    <t>Mind-body Therapy</t>
  </si>
  <si>
    <t>Bupropion Hydrochloride</t>
  </si>
  <si>
    <t>Instructions</t>
  </si>
  <si>
    <t>Sports Counseling</t>
  </si>
  <si>
    <t>Intercultural Counseling</t>
  </si>
  <si>
    <t>Citralopram Hydrobromide</t>
  </si>
  <si>
    <t>Positive Behavior Support</t>
  </si>
  <si>
    <t>Self-Control</t>
  </si>
  <si>
    <t>Stress Inoculation Strategies</t>
  </si>
  <si>
    <t>Web-Based Intervention Programs</t>
  </si>
  <si>
    <t>Shaping to Teach New Behaviors</t>
  </si>
  <si>
    <t>Eye Movement Desensitization and Reprocessing Therapy</t>
  </si>
  <si>
    <t>Paradoxical Interventions</t>
  </si>
  <si>
    <t>Freudian Psychoanalysis</t>
  </si>
  <si>
    <t>Covert Sensitization Conditioning</t>
  </si>
  <si>
    <t>Chronic Pain Management</t>
  </si>
  <si>
    <t>Multicultural Counseling</t>
  </si>
  <si>
    <t>Ethnic Diversity Counseling</t>
  </si>
  <si>
    <t>Methylphenidate Hydrochloride</t>
  </si>
  <si>
    <t>Catalepsy</t>
  </si>
  <si>
    <t>Extinction and Habituation</t>
  </si>
  <si>
    <t>Testimony Therapy</t>
  </si>
  <si>
    <t>Orgasmic Reconditioning</t>
  </si>
  <si>
    <t>Socratic Dialogue</t>
  </si>
  <si>
    <t>Core Beliefs Psychotherapy</t>
  </si>
  <si>
    <t>Child Psychotherapy</t>
  </si>
  <si>
    <t>Object Relations</t>
  </si>
  <si>
    <t>Hydrotherapy</t>
  </si>
  <si>
    <t>Empty Chair Technique</t>
  </si>
  <si>
    <t>Cognitive-Behavioral Approach to Bipolar Disorder</t>
  </si>
  <si>
    <t>Treatment Compliance in Cognitive Behavior Therapy</t>
  </si>
  <si>
    <t>Virtual Reality Therapy With Children</t>
  </si>
  <si>
    <t>Educational Treatments for Autism</t>
  </si>
  <si>
    <t>Community Counseling</t>
  </si>
  <si>
    <t>Relationship Therapy</t>
  </si>
  <si>
    <t>Positive Practice</t>
  </si>
  <si>
    <t>Virtual Reality Exposure Therapy</t>
  </si>
  <si>
    <t>Applied Tension</t>
  </si>
  <si>
    <t>Chlorpromazine Hydrochloride</t>
  </si>
  <si>
    <t>Bibliotherapy</t>
  </si>
  <si>
    <t>Covert Reinforcer Sampling</t>
  </si>
  <si>
    <t>Self-Statement Modification</t>
  </si>
  <si>
    <t>Methadone</t>
  </si>
  <si>
    <t>Shadowing</t>
  </si>
  <si>
    <t>Visualization</t>
  </si>
  <si>
    <t>Dextroamphetamine</t>
  </si>
  <si>
    <t>Anxiety Management Training</t>
  </si>
  <si>
    <t>Risperidone</t>
  </si>
  <si>
    <t>Cognitive Therapy</t>
  </si>
  <si>
    <t>Homework</t>
  </si>
  <si>
    <t>Thioridazine Hydrochloride</t>
  </si>
  <si>
    <t>Affirmative Psychotherapy</t>
  </si>
  <si>
    <t>Humanistic Counseling</t>
  </si>
  <si>
    <t>Meperidine Hydrochloride</t>
  </si>
  <si>
    <t>Case Management</t>
  </si>
  <si>
    <t>Feedback</t>
  </si>
  <si>
    <t>Role Play</t>
  </si>
  <si>
    <t>Guided Discovery</t>
  </si>
  <si>
    <t>Family Systems Therapy</t>
  </si>
  <si>
    <t>Rational Emotive Behavior Therapy</t>
  </si>
  <si>
    <t>Raynaud's Disease: Behavioral Treatment</t>
  </si>
  <si>
    <t>Feminist Therapy</t>
  </si>
  <si>
    <t>Expressive Psychotherapy</t>
  </si>
  <si>
    <t>Sensory Extinction</t>
  </si>
  <si>
    <t>Twelve Step Programs</t>
  </si>
  <si>
    <t>Paroxetine</t>
  </si>
  <si>
    <t>Pharmacotherapy for Children and Adolescents</t>
  </si>
  <si>
    <t>Mutual Storytelling Technique</t>
  </si>
  <si>
    <t>Squeeze Technique</t>
  </si>
  <si>
    <t>Person-Centered Planning</t>
  </si>
  <si>
    <t>Job Club Method</t>
  </si>
  <si>
    <t>Self-Monitoring</t>
  </si>
  <si>
    <t>Treatment Failures in Behavior Therapy</t>
  </si>
  <si>
    <t>Existential Counseling</t>
  </si>
  <si>
    <t>Sensory Integration Treatment</t>
  </si>
  <si>
    <t>Electrical Aversion</t>
  </si>
  <si>
    <t>Behavioral Approaches to Sexual Deviation</t>
  </si>
  <si>
    <t>Crisis Management</t>
  </si>
  <si>
    <t>Systems-based Family Counseling</t>
  </si>
  <si>
    <t>Person-centered Therapy</t>
  </si>
  <si>
    <t>Bowenian Therapy</t>
  </si>
  <si>
    <t>Supportive Psychotherapy</t>
  </si>
  <si>
    <t>Transactional Analysis</t>
  </si>
  <si>
    <t>Spelling Interventions and Strategies</t>
  </si>
  <si>
    <t>Relational Cultural Therapy</t>
  </si>
  <si>
    <t>Drama Therapy</t>
  </si>
  <si>
    <t>Dance Therapy</t>
  </si>
  <si>
    <t>Option Method</t>
  </si>
  <si>
    <t>Motivational Enhancement Therapy</t>
  </si>
  <si>
    <t>Codeine Phosphate</t>
  </si>
  <si>
    <t>Applied Relaxation and Tension</t>
  </si>
  <si>
    <t>Cognitive-affective Behavior Therapy</t>
  </si>
  <si>
    <t>Response Blocking</t>
  </si>
  <si>
    <t>Relational Psychoanalysis</t>
  </si>
  <si>
    <t>Transfer of Stimulus Control</t>
  </si>
  <si>
    <t>Support Groups</t>
  </si>
  <si>
    <t>Prompting</t>
  </si>
  <si>
    <t>Cognitive Processing Therapy</t>
  </si>
  <si>
    <t>Self-Instruction</t>
  </si>
  <si>
    <t>Child Guidance</t>
  </si>
  <si>
    <t>Multidimensional Family Therapy</t>
  </si>
  <si>
    <t>Hypnosis</t>
  </si>
  <si>
    <t>Substance Use Counseling</t>
  </si>
  <si>
    <t>Pain Management</t>
  </si>
  <si>
    <t>Nutritional Therapy</t>
  </si>
  <si>
    <t>Sedatives</t>
  </si>
  <si>
    <t>Lorazepam</t>
  </si>
  <si>
    <t>Prompt</t>
  </si>
  <si>
    <t>Wilderness Programs</t>
  </si>
  <si>
    <t>Adventure Therapy</t>
  </si>
  <si>
    <t>Lithium</t>
  </si>
  <si>
    <t>Milieu Therapy</t>
  </si>
  <si>
    <t>Direct Decision Therapy</t>
  </si>
  <si>
    <t>Contingent Exercise</t>
  </si>
  <si>
    <t>Monoamine Oxidase Inhibitors</t>
  </si>
  <si>
    <t>Phenothiazines</t>
  </si>
  <si>
    <t>Interpersonal Psychotherapy</t>
  </si>
  <si>
    <t>Self-Praise</t>
  </si>
  <si>
    <t>Emotion-focused Therapy</t>
  </si>
  <si>
    <t>Task Analysis</t>
  </si>
  <si>
    <t>Phenobarbital</t>
  </si>
  <si>
    <t>Alprazolam</t>
  </si>
  <si>
    <t>Individual Psychotherapy</t>
  </si>
  <si>
    <t>Clonazepam</t>
  </si>
  <si>
    <t>Mindfulness Meditation</t>
  </si>
  <si>
    <t>Social Competence Treatment</t>
  </si>
  <si>
    <t>Cross-cultural Counseling</t>
  </si>
  <si>
    <t>Transpersonal Counseling</t>
  </si>
  <si>
    <t>Peer Intervention</t>
  </si>
  <si>
    <t>Spiritual Counseling</t>
  </si>
  <si>
    <t>Rehabilitation Counseling</t>
  </si>
  <si>
    <t>Symptoms-based Treatment</t>
  </si>
  <si>
    <t>Behavioral Approaches to Gambling</t>
  </si>
  <si>
    <t>Thought Stopping</t>
  </si>
  <si>
    <t>School Counseling</t>
  </si>
  <si>
    <t>Imago Therapy</t>
  </si>
  <si>
    <t>Structural Family Counseling</t>
  </si>
  <si>
    <t>Fluvoxamine Maleate</t>
  </si>
  <si>
    <t>Relaxation Training in Children</t>
  </si>
  <si>
    <t>Imaginal Procedures</t>
  </si>
  <si>
    <t>Neuro-linguistic Programming</t>
  </si>
  <si>
    <t>Escape Training</t>
  </si>
  <si>
    <t>Pharmacotherapy and Behavior Therapy</t>
  </si>
  <si>
    <t>Haloperidol</t>
  </si>
  <si>
    <t>Brain-Based Therapy</t>
  </si>
  <si>
    <t>Exposure Therapy and Response Prevention</t>
  </si>
  <si>
    <t>Sertraline Hydrochloride</t>
  </si>
  <si>
    <t>Social Effectiveness Training</t>
  </si>
  <si>
    <t>Logotherapy</t>
  </si>
  <si>
    <t>Alcoholics Anonymous</t>
  </si>
  <si>
    <t>Process-oriented Therapy</t>
  </si>
  <si>
    <t>Retention Control Training</t>
  </si>
  <si>
    <t>Vocational Guidance</t>
  </si>
  <si>
    <t>Flooding</t>
  </si>
  <si>
    <t>In Vivo Desensitization</t>
  </si>
  <si>
    <t>Bell and Pad Bladder Training</t>
  </si>
  <si>
    <t>Behavioral Weight Control Therapy With Children</t>
  </si>
  <si>
    <t>Self-Control Therapy</t>
  </si>
  <si>
    <t>Olanzapine-fluoxetine Hydrochloride</t>
  </si>
  <si>
    <t>Empirically Supported Treatments for Childhood Disorders</t>
  </si>
  <si>
    <t>Psychotherapeutic Techniques</t>
  </si>
  <si>
    <t>Journal Writing</t>
  </si>
  <si>
    <t>Encounter Group Therapy</t>
  </si>
  <si>
    <t>Clozapine</t>
  </si>
  <si>
    <t>Negative Reinforcement</t>
  </si>
  <si>
    <t>Trauma Management Therapy</t>
  </si>
  <si>
    <t>Paradoxical Intention</t>
  </si>
  <si>
    <t>Special Diet</t>
  </si>
  <si>
    <t>Competing Response Training</t>
  </si>
  <si>
    <t>Change Strategies</t>
  </si>
  <si>
    <t>Behavioral Marital Therapy</t>
  </si>
  <si>
    <t>Lifestyle Analysis</t>
  </si>
  <si>
    <t>Oral Medication</t>
  </si>
  <si>
    <t>Behavioral Group Work</t>
  </si>
  <si>
    <t>Focusing-oriented Psychotherapy</t>
  </si>
  <si>
    <t>Recreational Therapy</t>
  </si>
  <si>
    <t>Tricyclic Antidepressants</t>
  </si>
  <si>
    <t>Strategic Therapy</t>
  </si>
  <si>
    <t>Crisis Intervention</t>
  </si>
  <si>
    <t>Homeopathic Therapy</t>
  </si>
  <si>
    <t>Olanzapine</t>
  </si>
  <si>
    <t>Autogenic Training</t>
  </si>
  <si>
    <t>Strategic Family Therapy</t>
  </si>
  <si>
    <t>Noncontingent Reward (Reinforcement)</t>
  </si>
  <si>
    <t>Mindfulness Centered Therapy</t>
  </si>
  <si>
    <t>Psychosurgery</t>
  </si>
  <si>
    <t>Behavioral Weight Control Treatments</t>
  </si>
  <si>
    <t>Stimulus Discrimination Training</t>
  </si>
  <si>
    <t>Occupational Therapy</t>
  </si>
  <si>
    <t>Psychodynamic Psychotherapy</t>
  </si>
  <si>
    <t>Wellness Counseling</t>
  </si>
  <si>
    <t>Guidance</t>
  </si>
  <si>
    <t>Drawing</t>
  </si>
  <si>
    <t>Video Feedback</t>
  </si>
  <si>
    <t>Psychoanalysis in Adults, Theory and Technique</t>
  </si>
  <si>
    <t>Psychotherapeutic Resistance</t>
  </si>
  <si>
    <t>Exposure</t>
  </si>
  <si>
    <t>Acupuncture</t>
  </si>
  <si>
    <t>Multimodal Therapy</t>
  </si>
  <si>
    <t>Cognitive Behavioral Therapy</t>
  </si>
  <si>
    <t>Reading Interventions and Strategies</t>
  </si>
  <si>
    <t>Adolescent Psychotherapy</t>
  </si>
  <si>
    <t>Antitremor Drugs</t>
  </si>
  <si>
    <t>Systematic Desensitization With Children and Adolescents</t>
  </si>
  <si>
    <t>Premack Principle</t>
  </si>
  <si>
    <t>Multisystemic Therapy</t>
  </si>
  <si>
    <t>Coping With Depression</t>
  </si>
  <si>
    <t>Covert Positive Reinforcement</t>
  </si>
  <si>
    <t>Behavioral Group Therapy With Children and Youth</t>
  </si>
  <si>
    <t>Panic Control Treatment</t>
  </si>
  <si>
    <t>Behavioral Treatment in Natural Environments</t>
  </si>
  <si>
    <t>Functional Communication Training</t>
  </si>
  <si>
    <t>Fibromyalgia Syndrome: Cognitive-Behavioral Treatment</t>
  </si>
  <si>
    <t>Controlled Drinking</t>
  </si>
  <si>
    <t>Paradigmatic Behavior Therapy</t>
  </si>
  <si>
    <t>Reality Therapy</t>
  </si>
  <si>
    <t>Dialectical Behavior Therapy</t>
  </si>
  <si>
    <t>Cognitive Restructuring</t>
  </si>
  <si>
    <t>Point System</t>
  </si>
  <si>
    <t>Diazepam</t>
  </si>
  <si>
    <t>Preference and Reinforcer Identification</t>
  </si>
  <si>
    <t>Discrimination Training</t>
  </si>
  <si>
    <t>Regulated Breathing</t>
  </si>
  <si>
    <t>Paradoxical Techniques</t>
  </si>
  <si>
    <t>Grief Counseling</t>
  </si>
  <si>
    <t>Assertiveness Training</t>
  </si>
  <si>
    <t>Extinction</t>
  </si>
  <si>
    <t>Thiothixene</t>
  </si>
  <si>
    <t>Exposure and Response Prevention</t>
  </si>
  <si>
    <t>Adlerian Counseling</t>
  </si>
  <si>
    <t>Behavioral Momentum</t>
  </si>
  <si>
    <t>Reinforced Practice</t>
  </si>
  <si>
    <t>Somatic Control Strategies</t>
  </si>
  <si>
    <t>Response Cost</t>
  </si>
  <si>
    <t>Diabetes: Behavioral Treatment</t>
  </si>
  <si>
    <t>Antipsychotics</t>
  </si>
  <si>
    <t>Directive Counseling</t>
  </si>
  <si>
    <t>Self-Management</t>
  </si>
  <si>
    <t>Behavioral Treatment of Cigarette Smoking</t>
  </si>
  <si>
    <t>Poetry Therapy</t>
  </si>
  <si>
    <t>Propranolol</t>
  </si>
  <si>
    <t>Solution-Focused Brief Counseling</t>
  </si>
  <si>
    <t>Carbamazepine</t>
  </si>
  <si>
    <t>Memory Rehabilitation After Traumatic Brain Injury</t>
  </si>
  <si>
    <t>Drug Therapy</t>
  </si>
  <si>
    <t>Behavioral Treatment of Insomnia</t>
  </si>
  <si>
    <t>Behavioral Family Therapy</t>
  </si>
  <si>
    <t>Reserpine</t>
  </si>
  <si>
    <t>Relapse Prevention</t>
  </si>
  <si>
    <t>Guided Mastery</t>
  </si>
  <si>
    <t>Ritual Prevention</t>
  </si>
  <si>
    <t>Differential Reinforcement of Other Behavior</t>
  </si>
  <si>
    <t>Couples Counseling</t>
  </si>
  <si>
    <t>Group Behavioral Therapy for Depression</t>
  </si>
  <si>
    <t>Chronic Obstructive Pulmonary Disease: Psychosocial Aspects and Behavioral Treatments</t>
  </si>
  <si>
    <t>Problem-Solving Therapy</t>
  </si>
  <si>
    <t>Writing Interventions and Strategies</t>
  </si>
  <si>
    <t>Dynamic Therapy</t>
  </si>
  <si>
    <t>Masturbatory Retraining</t>
  </si>
  <si>
    <t>Good Behavior Game</t>
  </si>
  <si>
    <t>Desensitization</t>
  </si>
  <si>
    <t>Breathing Retraining</t>
  </si>
  <si>
    <t>Positive Reinforcement</t>
  </si>
  <si>
    <t>Relaxation Strategies</t>
  </si>
  <si>
    <t>Hormone Therapy</t>
  </si>
  <si>
    <t>Microcounseling</t>
  </si>
  <si>
    <t>Behavioral Treatment for Aggression in Couples</t>
  </si>
  <si>
    <t>Asthma: Behavioral Treatment</t>
  </si>
  <si>
    <t>Social Skills Training</t>
  </si>
  <si>
    <t>Irritable Bowel Syndrome: Psychological Treatment</t>
  </si>
  <si>
    <t>Group Contingency</t>
  </si>
  <si>
    <t>Facial Screening</t>
  </si>
  <si>
    <t>Educational Counseling</t>
  </si>
  <si>
    <t>Self Help</t>
  </si>
  <si>
    <t>Animal Assisted Therapy</t>
  </si>
  <si>
    <t>Antidepressants</t>
  </si>
  <si>
    <t>Career Counseling</t>
  </si>
  <si>
    <t>Alcohol Abuse and Dependence: Treatment</t>
  </si>
  <si>
    <t>Behavioral Treatments for the Addictions</t>
  </si>
  <si>
    <t>Self Analysis</t>
  </si>
  <si>
    <t>Experiential Psychotherapy</t>
  </si>
  <si>
    <t>Physical Therapy</t>
  </si>
  <si>
    <t>Progressive Muscular Relaxation</t>
  </si>
  <si>
    <t>Cue-Controlled Relaxation</t>
  </si>
  <si>
    <t>Sexual Orientation Counseling</t>
  </si>
  <si>
    <t>Beat the Buzzer</t>
  </si>
  <si>
    <t>Art Therapy</t>
  </si>
  <si>
    <t>Psychotherapeutic Counseling</t>
  </si>
  <si>
    <t>Covert Rehearsal</t>
  </si>
  <si>
    <t>Holistic Therapy</t>
  </si>
  <si>
    <t>Fluphenazine Hydrochloride</t>
  </si>
  <si>
    <t>Parent-Child Interaction Therapy</t>
  </si>
  <si>
    <t>Psychotropic Medications</t>
  </si>
  <si>
    <t>Ritalin</t>
  </si>
  <si>
    <t>Restitution</t>
  </si>
  <si>
    <t>Mirroring</t>
  </si>
  <si>
    <t>https://www.proquest.com/docview/2781138271</t>
  </si>
  <si>
    <t>https://www.proquest.com/docview/2781138270</t>
  </si>
  <si>
    <t>https://www.proquest.com/docview/2781138268</t>
  </si>
  <si>
    <t>https://www.proquest.com/docview/2781133804</t>
  </si>
  <si>
    <t>https://www.proquest.com/docview/2781133645</t>
  </si>
  <si>
    <t>https://www.proquest.com/docview/2781133644</t>
  </si>
  <si>
    <t>https://www.proquest.com/docview/2781133643</t>
  </si>
  <si>
    <t>https://www.proquest.com/docview/2781133640</t>
  </si>
  <si>
    <t>https://www.proquest.com/docview/2781133639</t>
  </si>
  <si>
    <t>https://www.proquest.com/docview/2781133635</t>
  </si>
  <si>
    <t>https://www.proquest.com/docview/2781133634</t>
  </si>
  <si>
    <t>https://www.proquest.com/docview/2781133632</t>
  </si>
  <si>
    <t>https://www.proquest.com/docview/2781133630</t>
  </si>
  <si>
    <t>https://www.proquest.com/docview/2781133627</t>
  </si>
  <si>
    <t>https://www.proquest.com/docview/2781133626</t>
  </si>
  <si>
    <t>https://www.proquest.com/docview/2781133625</t>
  </si>
  <si>
    <t>https://www.proquest.com/docview/2781133623</t>
  </si>
  <si>
    <t>https://www.proquest.com/docview/2781133622</t>
  </si>
  <si>
    <t>https://www.proquest.com/docview/2781133619</t>
  </si>
  <si>
    <t>https://www.proquest.com/docview/2781133617</t>
  </si>
  <si>
    <t>https://www.proquest.com/docview/2781133616</t>
  </si>
  <si>
    <t>https://www.proquest.com/docview/2781133614</t>
  </si>
  <si>
    <t>https://www.proquest.com/docview/2781133613</t>
  </si>
  <si>
    <t>https://www.proquest.com/docview/2781133612</t>
  </si>
  <si>
    <t>https://www.proquest.com/docview/2781133609</t>
  </si>
  <si>
    <t>https://www.proquest.com/docview/2781133608</t>
  </si>
  <si>
    <t>https://www.proquest.com/docview/2781133606</t>
  </si>
  <si>
    <t>https://www.proquest.com/docview/2781133605</t>
  </si>
  <si>
    <t>https://www.proquest.com/docview/2781133600</t>
  </si>
  <si>
    <t>https://www.proquest.com/docview/2781133598</t>
  </si>
  <si>
    <t>https://www.proquest.com/docview/2781133596</t>
  </si>
  <si>
    <t>https://www.proquest.com/docview/2781133594</t>
  </si>
  <si>
    <t>https://www.proquest.com/docview/2781133593</t>
  </si>
  <si>
    <t>https://www.proquest.com/docview/2781133591</t>
  </si>
  <si>
    <t>https://www.proquest.com/docview/2781133590</t>
  </si>
  <si>
    <t>https://www.proquest.com/docview/2781133589</t>
  </si>
  <si>
    <t>https://www.proquest.com/docview/2781133588</t>
  </si>
  <si>
    <t>https://www.proquest.com/docview/2781133587</t>
  </si>
  <si>
    <t>https://www.proquest.com/docview/2781133585</t>
  </si>
  <si>
    <t>https://www.proquest.com/docview/2781133583</t>
  </si>
  <si>
    <t>https://www.proquest.com/docview/2781133582</t>
  </si>
  <si>
    <t>https://www.proquest.com/docview/2781133581</t>
  </si>
  <si>
    <t>https://www.proquest.com/docview/2781133577</t>
  </si>
  <si>
    <t>https://www.proquest.com/docview/2781133574</t>
  </si>
  <si>
    <t>https://www.proquest.com/docview/2781133572</t>
  </si>
  <si>
    <t>https://www.proquest.com/docview/2781133571</t>
  </si>
  <si>
    <t>https://www.proquest.com/docview/2781133570</t>
  </si>
  <si>
    <t>https://www.proquest.com/docview/2781133569</t>
  </si>
  <si>
    <t>https://www.proquest.com/docview/2781133567</t>
  </si>
  <si>
    <t>https://www.proquest.com/docview/2781133562</t>
  </si>
  <si>
    <t>https://www.proquest.com/docview/2781133561</t>
  </si>
  <si>
    <t>https://www.proquest.com/docview/2781133560</t>
  </si>
  <si>
    <t>https://www.proquest.com/docview/2781133559</t>
  </si>
  <si>
    <t>https://www.proquest.com/docview/2781133558</t>
  </si>
  <si>
    <t>https://www.proquest.com/docview/2781133554</t>
  </si>
  <si>
    <t>https://www.proquest.com/docview/2781133553</t>
  </si>
  <si>
    <t>https://www.proquest.com/docview/2781133551</t>
  </si>
  <si>
    <t>https://www.proquest.com/docview/2781133550</t>
  </si>
  <si>
    <t>https://www.proquest.com/docview/2781133549</t>
  </si>
  <si>
    <t>https://www.proquest.com/docview/2781133548</t>
  </si>
  <si>
    <t>https://www.proquest.com/docview/2781133546</t>
  </si>
  <si>
    <t>https://www.proquest.com/docview/2781133545</t>
  </si>
  <si>
    <t>https://www.proquest.com/docview/2781133543</t>
  </si>
  <si>
    <t>https://www.proquest.com/docview/2781133542</t>
  </si>
  <si>
    <t>https://www.proquest.com/docview/2781133541</t>
  </si>
  <si>
    <t>https://www.proquest.com/docview/2781133540</t>
  </si>
  <si>
    <t>https://www.proquest.com/docview/2781133539</t>
  </si>
  <si>
    <t>https://www.proquest.com/docview/2781133536</t>
  </si>
  <si>
    <t>https://www.proquest.com/docview/2781133535</t>
  </si>
  <si>
    <t>https://www.proquest.com/docview/2781133534</t>
  </si>
  <si>
    <t>https://www.proquest.com/docview/2781133533</t>
  </si>
  <si>
    <t>https://www.proquest.com/docview/2781133531</t>
  </si>
  <si>
    <t>https://www.proquest.com/docview/2781133529</t>
  </si>
  <si>
    <t>https://www.proquest.com/docview/2781133525</t>
  </si>
  <si>
    <t>https://www.proquest.com/docview/2781133524</t>
  </si>
  <si>
    <t>https://www.proquest.com/docview/2781133523</t>
  </si>
  <si>
    <t>https://www.proquest.com/docview/2781133521</t>
  </si>
  <si>
    <t>https://www.proquest.com/docview/2781133519</t>
  </si>
  <si>
    <t>https://www.proquest.com/docview/2781133518</t>
  </si>
  <si>
    <t>https://www.proquest.com/docview/2781133516</t>
  </si>
  <si>
    <t>https://www.proquest.com/docview/2781133515</t>
  </si>
  <si>
    <t>https://www.proquest.com/docview/2781133514</t>
  </si>
  <si>
    <t>https://www.proquest.com/docview/2781133513</t>
  </si>
  <si>
    <t>https://www.proquest.com/docview/2781133512</t>
  </si>
  <si>
    <t>https://www.proquest.com/docview/2781133511</t>
  </si>
  <si>
    <t>https://www.proquest.com/docview/2781133509</t>
  </si>
  <si>
    <t>https://www.proquest.com/docview/2781133508</t>
  </si>
  <si>
    <t>https://www.proquest.com/docview/2781133507</t>
  </si>
  <si>
    <t>https://www.proquest.com/docview/2781133506</t>
  </si>
  <si>
    <t>https://www.proquest.com/docview/2781133505</t>
  </si>
  <si>
    <t>https://www.proquest.com/docview/2781133502</t>
  </si>
  <si>
    <t>https://www.proquest.com/docview/2781133500</t>
  </si>
  <si>
    <t>https://www.proquest.com/docview/2781133499</t>
  </si>
  <si>
    <t>https://www.proquest.com/docview/2781133492</t>
  </si>
  <si>
    <t>https://www.proquest.com/docview/2781133490</t>
  </si>
  <si>
    <t>https://www.proquest.com/docview/2781133489</t>
  </si>
  <si>
    <t>https://www.proquest.com/docview/2781133488</t>
  </si>
  <si>
    <t>https://www.proquest.com/docview/2781133486</t>
  </si>
  <si>
    <t>https://www.proquest.com/docview/2781133484</t>
  </si>
  <si>
    <t>https://www.proquest.com/docview/2781133483</t>
  </si>
  <si>
    <t>https://www.proquest.com/docview/2781133481</t>
  </si>
  <si>
    <t>https://www.proquest.com/docview/2781133480</t>
  </si>
  <si>
    <t>https://www.proquest.com/docview/2781133478</t>
  </si>
  <si>
    <t>https://www.proquest.com/docview/2781133476</t>
  </si>
  <si>
    <t>https://www.proquest.com/docview/2781133475</t>
  </si>
  <si>
    <t>https://www.proquest.com/docview/2781133472</t>
  </si>
  <si>
    <t>https://www.proquest.com/docview/2781133471</t>
  </si>
  <si>
    <t>https://www.proquest.com/docview/2781133470</t>
  </si>
  <si>
    <t>https://www.proquest.com/docview/2781133468</t>
  </si>
  <si>
    <t>https://www.proquest.com/docview/2781133467</t>
  </si>
  <si>
    <t>https://www.proquest.com/docview/2781133462</t>
  </si>
  <si>
    <t>https://www.proquest.com/docview/2781133461</t>
  </si>
  <si>
    <t>https://www.proquest.com/docview/2781133460</t>
  </si>
  <si>
    <t>https://www.proquest.com/docview/2781133459</t>
  </si>
  <si>
    <t>https://www.proquest.com/docview/2781133458</t>
  </si>
  <si>
    <t>https://www.proquest.com/docview/2781133457</t>
  </si>
  <si>
    <t>https://www.proquest.com/docview/2781133456</t>
  </si>
  <si>
    <t>https://www.proquest.com/docview/2781133454</t>
  </si>
  <si>
    <t>https://www.proquest.com/docview/2781133453</t>
  </si>
  <si>
    <t>https://www.proquest.com/docview/2781133451</t>
  </si>
  <si>
    <t>https://www.proquest.com/docview/2781133450</t>
  </si>
  <si>
    <t>https://www.proquest.com/docview/2781133448</t>
  </si>
  <si>
    <t>https://www.proquest.com/docview/2781133447</t>
  </si>
  <si>
    <t>https://www.proquest.com/docview/2781133446</t>
  </si>
  <si>
    <t>https://www.proquest.com/docview/2781133445</t>
  </si>
  <si>
    <t>https://www.proquest.com/docview/2781133444</t>
  </si>
  <si>
    <t>https://www.proquest.com/docview/2781133441</t>
  </si>
  <si>
    <t>https://www.proquest.com/docview/2781133440</t>
  </si>
  <si>
    <t>https://www.proquest.com/docview/2781133439</t>
  </si>
  <si>
    <t>https://www.proquest.com/docview/2781133434</t>
  </si>
  <si>
    <t>https://www.proquest.com/docview/2781133431</t>
  </si>
  <si>
    <t>https://www.proquest.com/docview/2781133429</t>
  </si>
  <si>
    <t>https://www.proquest.com/docview/2781133428</t>
  </si>
  <si>
    <t>https://www.proquest.com/docview/2781133427</t>
  </si>
  <si>
    <t>https://www.proquest.com/docview/2781133426</t>
  </si>
  <si>
    <t>https://www.proquest.com/docview/2781133423</t>
  </si>
  <si>
    <t>https://www.proquest.com/docview/2781133421</t>
  </si>
  <si>
    <t>https://www.proquest.com/docview/2781133420</t>
  </si>
  <si>
    <t>https://www.proquest.com/docview/2781133419</t>
  </si>
  <si>
    <t>https://www.proquest.com/docview/2781133418</t>
  </si>
  <si>
    <t>https://www.proquest.com/docview/2781133417</t>
  </si>
  <si>
    <t>https://www.proquest.com/docview/2781133416</t>
  </si>
  <si>
    <t>https://www.proquest.com/docview/2781133415</t>
  </si>
  <si>
    <t>https://www.proquest.com/docview/2781133414</t>
  </si>
  <si>
    <t>https://www.proquest.com/docview/2781133412</t>
  </si>
  <si>
    <t>https://www.proquest.com/docview/2781133410</t>
  </si>
  <si>
    <t>https://www.proquest.com/docview/2781133409</t>
  </si>
  <si>
    <t>https://www.proquest.com/docview/2781133408</t>
  </si>
  <si>
    <t>https://www.proquest.com/docview/2781133405</t>
  </si>
  <si>
    <t>https://www.proquest.com/docview/2781133404</t>
  </si>
  <si>
    <t>https://www.proquest.com/docview/2781133402</t>
  </si>
  <si>
    <t>https://www.proquest.com/docview/2781133398</t>
  </si>
  <si>
    <t>https://www.proquest.com/docview/2781133397</t>
  </si>
  <si>
    <t>https://www.proquest.com/docview/2781133396</t>
  </si>
  <si>
    <t>https://www.proquest.com/docview/2781133395</t>
  </si>
  <si>
    <t>https://www.proquest.com/docview/2781133394</t>
  </si>
  <si>
    <t>https://www.proquest.com/docview/2781133392</t>
  </si>
  <si>
    <t>https://www.proquest.com/docview/2781133391</t>
  </si>
  <si>
    <t>https://www.proquest.com/docview/2781133387</t>
  </si>
  <si>
    <t>https://www.proquest.com/docview/2781133384</t>
  </si>
  <si>
    <t>https://www.proquest.com/docview/2781133383</t>
  </si>
  <si>
    <t>https://www.proquest.com/docview/2781133382</t>
  </si>
  <si>
    <t>https://www.proquest.com/docview/2781133381</t>
  </si>
  <si>
    <t>https://www.proquest.com/docview/2781133379</t>
  </si>
  <si>
    <t>https://www.proquest.com/docview/2781133378</t>
  </si>
  <si>
    <t>https://www.proquest.com/docview/2781133377</t>
  </si>
  <si>
    <t>https://www.proquest.com/docview/2781133376</t>
  </si>
  <si>
    <t>https://www.proquest.com/docview/2781133373</t>
  </si>
  <si>
    <t>https://www.proquest.com/docview/2781133372</t>
  </si>
  <si>
    <t>https://www.proquest.com/docview/2781133371</t>
  </si>
  <si>
    <t>https://www.proquest.com/docview/2781133367</t>
  </si>
  <si>
    <t>https://www.proquest.com/docview/2781133365</t>
  </si>
  <si>
    <t>https://www.proquest.com/docview/2781133363</t>
  </si>
  <si>
    <t>https://www.proquest.com/docview/2781133361</t>
  </si>
  <si>
    <t>https://www.proquest.com/docview/2781133360</t>
  </si>
  <si>
    <t>https://www.proquest.com/docview/2781133359</t>
  </si>
  <si>
    <t>https://www.proquest.com/docview/2781133357</t>
  </si>
  <si>
    <t>https://www.proquest.com/docview/2781133355</t>
  </si>
  <si>
    <t>https://www.proquest.com/docview/2781133352</t>
  </si>
  <si>
    <t>https://www.proquest.com/docview/2781133351</t>
  </si>
  <si>
    <t>https://www.proquest.com/docview/2781133350</t>
  </si>
  <si>
    <t>https://www.proquest.com/docview/2781133349</t>
  </si>
  <si>
    <t>https://www.proquest.com/docview/2781133347</t>
  </si>
  <si>
    <t>https://www.proquest.com/docview/2781133345</t>
  </si>
  <si>
    <t>https://www.proquest.com/docview/2781133343</t>
  </si>
  <si>
    <t>https://www.proquest.com/docview/2781133339</t>
  </si>
  <si>
    <t>https://www.proquest.com/docview/2781133338</t>
  </si>
  <si>
    <t>https://www.proquest.com/docview/2781133337</t>
  </si>
  <si>
    <t>https://www.proquest.com/docview/2781133336</t>
  </si>
  <si>
    <t>https://www.proquest.com/docview/2781133335</t>
  </si>
  <si>
    <t>https://www.proquest.com/docview/2781133333</t>
  </si>
  <si>
    <t>https://www.proquest.com/docview/2781133332</t>
  </si>
  <si>
    <t>https://www.proquest.com/docview/2781133331</t>
  </si>
  <si>
    <t>https://www.proquest.com/docview/2781133325</t>
  </si>
  <si>
    <t>https://www.proquest.com/docview/2781133324</t>
  </si>
  <si>
    <t>https://www.proquest.com/docview/2781133321</t>
  </si>
  <si>
    <t>https://www.proquest.com/docview/2781133319</t>
  </si>
  <si>
    <t>https://www.proquest.com/docview/2781133318</t>
  </si>
  <si>
    <t>https://www.proquest.com/docview/2781133317</t>
  </si>
  <si>
    <t>https://www.proquest.com/docview/2781133316</t>
  </si>
  <si>
    <t>https://www.proquest.com/docview/2781133315</t>
  </si>
  <si>
    <t>https://www.proquest.com/docview/2781133314</t>
  </si>
  <si>
    <t>https://www.proquest.com/docview/2781133313</t>
  </si>
  <si>
    <t>https://www.proquest.com/docview/2781133311</t>
  </si>
  <si>
    <t>https://www.proquest.com/docview/2781133310</t>
  </si>
  <si>
    <t>https://www.proquest.com/docview/2781133306</t>
  </si>
  <si>
    <t>https://www.proquest.com/docview/2781133305</t>
  </si>
  <si>
    <t>https://www.proquest.com/docview/2781133304</t>
  </si>
  <si>
    <t>https://www.proquest.com/docview/2781133300</t>
  </si>
  <si>
    <t>https://www.proquest.com/docview/2781133299</t>
  </si>
  <si>
    <t>https://www.proquest.com/docview/2781133298</t>
  </si>
  <si>
    <t>https://www.proquest.com/docview/2781133296</t>
  </si>
  <si>
    <t>https://www.proquest.com/docview/2781133294</t>
  </si>
  <si>
    <t>https://www.proquest.com/docview/2781133291</t>
  </si>
  <si>
    <t>https://www.proquest.com/docview/2781133290</t>
  </si>
  <si>
    <t>https://www.proquest.com/docview/2781133289</t>
  </si>
  <si>
    <t>https://www.proquest.com/docview/2781133288</t>
  </si>
  <si>
    <t>https://www.proquest.com/docview/2781133287</t>
  </si>
  <si>
    <t>https://www.proquest.com/docview/2781133284</t>
  </si>
  <si>
    <t>https://www.proquest.com/docview/2781133282</t>
  </si>
  <si>
    <t>https://www.proquest.com/docview/2781133280</t>
  </si>
  <si>
    <t>https://www.proquest.com/docview/2781133277</t>
  </si>
  <si>
    <t>https://www.proquest.com/docview/2781133276</t>
  </si>
  <si>
    <t>https://www.proquest.com/docview/2781133275</t>
  </si>
  <si>
    <t>https://www.proquest.com/docview/2781133274</t>
  </si>
  <si>
    <t>https://www.proquest.com/docview/2781133273</t>
  </si>
  <si>
    <t>https://www.proquest.com/docview/2781133272</t>
  </si>
  <si>
    <t>https://www.proquest.com/docview/2781133271</t>
  </si>
  <si>
    <t>https://www.proquest.com/docview/2781133268</t>
  </si>
  <si>
    <t>https://www.proquest.com/docview/2781133267</t>
  </si>
  <si>
    <t>https://www.proquest.com/docview/2781133265</t>
  </si>
  <si>
    <t>https://www.proquest.com/docview/2781133264</t>
  </si>
  <si>
    <t>https://www.proquest.com/docview/2781133262</t>
  </si>
  <si>
    <t>https://www.proquest.com/docview/2781133261</t>
  </si>
  <si>
    <t>https://www.proquest.com/docview/2781133260</t>
  </si>
  <si>
    <t>https://www.proquest.com/docview/2781133257</t>
  </si>
  <si>
    <t>https://www.proquest.com/docview/2781133253</t>
  </si>
  <si>
    <t>https://www.proquest.com/docview/2781133252</t>
  </si>
  <si>
    <t>https://www.proquest.com/docview/2781133249</t>
  </si>
  <si>
    <t>https://www.proquest.com/docview/2781133248</t>
  </si>
  <si>
    <t>https://www.proquest.com/docview/2781133247</t>
  </si>
  <si>
    <t>https://www.proquest.com/docview/2781133245</t>
  </si>
  <si>
    <t>https://www.proquest.com/docview/2781133244</t>
  </si>
  <si>
    <t>https://www.proquest.com/docview/2781133241</t>
  </si>
  <si>
    <t>https://www.proquest.com/docview/2781133240</t>
  </si>
  <si>
    <t>https://www.proquest.com/docview/2781133238</t>
  </si>
  <si>
    <t>https://www.proquest.com/docview/2781133237</t>
  </si>
  <si>
    <t>https://www.proquest.com/docview/2781133236</t>
  </si>
  <si>
    <t>https://www.proquest.com/docview/2781133235</t>
  </si>
  <si>
    <t>https://www.proquest.com/docview/2781133234</t>
  </si>
  <si>
    <t>https://www.proquest.com/docview/2781133233</t>
  </si>
  <si>
    <t>https://www.proquest.com/docview/2781133231</t>
  </si>
  <si>
    <t>https://www.proquest.com/docview/2781133230</t>
  </si>
  <si>
    <t>https://www.proquest.com/docview/2781133229</t>
  </si>
  <si>
    <t>https://www.proquest.com/docview/2781133228</t>
  </si>
  <si>
    <t>https://www.proquest.com/docview/2781133227</t>
  </si>
  <si>
    <t>https://www.proquest.com/docview/2781133222</t>
  </si>
  <si>
    <t>https://www.proquest.com/docview/2781133220</t>
  </si>
  <si>
    <t>https://www.proquest.com/docview/2781133219</t>
  </si>
  <si>
    <t>https://www.proquest.com/docview/2781133217</t>
  </si>
  <si>
    <t>https://www.proquest.com/docview/2781133216</t>
  </si>
  <si>
    <t>https://www.proquest.com/docview/2781133214</t>
  </si>
  <si>
    <t>https://www.proquest.com/docview/2781133213</t>
  </si>
  <si>
    <t>https://www.proquest.com/docview/2781133212</t>
  </si>
  <si>
    <t>https://www.proquest.com/docview/2781133211</t>
  </si>
  <si>
    <t>https://www.proquest.com/docview/2781133209</t>
  </si>
  <si>
    <t>https://www.proquest.com/docview/2781133207</t>
  </si>
  <si>
    <t>https://www.proquest.com/docview/2781133204</t>
  </si>
  <si>
    <t>https://www.proquest.com/docview/2781133203</t>
  </si>
  <si>
    <t>https://www.proquest.com/docview/2781133201</t>
  </si>
  <si>
    <t>https://www.proquest.com/docview/2781133199</t>
  </si>
  <si>
    <t>https://www.proquest.com/docview/2781133198</t>
  </si>
  <si>
    <t>https://www.proquest.com/docview/2781133197</t>
  </si>
  <si>
    <t>https://www.proquest.com/docview/2781133196</t>
  </si>
  <si>
    <t>https://www.proquest.com/docview/2781133195</t>
  </si>
  <si>
    <t>https://www.proquest.com/docview/2781133193</t>
  </si>
  <si>
    <t>https://www.proquest.com/docview/2781133191</t>
  </si>
  <si>
    <t>https://www.proquest.com/docview/2781133190</t>
  </si>
  <si>
    <t>https://www.proquest.com/docview/2781133188</t>
  </si>
  <si>
    <t>https://www.proquest.com/docview/2781133187</t>
  </si>
  <si>
    <t>https://www.proquest.com/docview/2781133186</t>
  </si>
  <si>
    <t>https://www.proquest.com/docview/2781133185</t>
  </si>
  <si>
    <t>https://www.proquest.com/docview/2781133184</t>
  </si>
  <si>
    <t>https://www.proquest.com/docview/2781133183</t>
  </si>
  <si>
    <t>https://www.proquest.com/docview/2781133182</t>
  </si>
  <si>
    <t>https://www.proquest.com/docview/2781133181</t>
  </si>
  <si>
    <t>https://www.proquest.com/docview/2781133180</t>
  </si>
  <si>
    <t>https://www.proquest.com/docview/2781133176</t>
  </si>
  <si>
    <t>https://www.proquest.com/docview/2781133175</t>
  </si>
  <si>
    <t>https://www.proquest.com/docview/2781133174</t>
  </si>
  <si>
    <t>https://www.proquest.com/docview/2781133173</t>
  </si>
  <si>
    <t>https://www.proquest.com/docview/2781133172</t>
  </si>
  <si>
    <t>https://www.proquest.com/docview/2781133171</t>
  </si>
  <si>
    <t>https://www.proquest.com/docview/2781133169</t>
  </si>
  <si>
    <t>https://www.proquest.com/docview/2781133168</t>
  </si>
  <si>
    <t>https://www.proquest.com/docview/2781133167</t>
  </si>
  <si>
    <t>https://www.proquest.com/docview/2781133166</t>
  </si>
  <si>
    <t>https://www.proquest.com/docview/2781133164</t>
  </si>
  <si>
    <t>https://www.proquest.com/docview/2781133161</t>
  </si>
  <si>
    <t>https://www.proquest.com/docview/2781133160</t>
  </si>
  <si>
    <t>https://www.proquest.com/docview/2781133159</t>
  </si>
  <si>
    <t>https://www.proquest.com/docview/2781133158</t>
  </si>
  <si>
    <t>https://www.proquest.com/docview/2781133157</t>
  </si>
  <si>
    <t>https://www.proquest.com/docview/2781133156</t>
  </si>
  <si>
    <t>https://www.proquest.com/docview/2781133154</t>
  </si>
  <si>
    <t>https://www.proquest.com/docview/2781133152</t>
  </si>
  <si>
    <t>https://www.proquest.com/docview/2781133149</t>
  </si>
  <si>
    <t>https://www.proquest.com/docview/2781133148</t>
  </si>
  <si>
    <t>https://www.proquest.com/docview/2781133146</t>
  </si>
  <si>
    <t>https://www.proquest.com/docview/2781133145</t>
  </si>
  <si>
    <t>https://www.proquest.com/docview/2781133143</t>
  </si>
  <si>
    <t>https://www.proquest.com/docview/2781133142</t>
  </si>
  <si>
    <t>https://www.proquest.com/docview/2781133140</t>
  </si>
  <si>
    <t>https://www.proquest.com/docview/2781133139</t>
  </si>
  <si>
    <t>https://www.proquest.com/docview/2781133138</t>
  </si>
  <si>
    <t>https://www.proquest.com/docview/2781133124</t>
  </si>
  <si>
    <t>https://www.proquest.com/docview/2781133123</t>
  </si>
  <si>
    <t>https://www.proquest.com/docview/2781133114</t>
  </si>
  <si>
    <t>https://www.proquest.com/docview/2781133113</t>
  </si>
  <si>
    <t>https://www.proquest.com/docview/2781133111</t>
  </si>
  <si>
    <t>https://www.proquest.com/docview/2781133109</t>
  </si>
  <si>
    <t>https://www.proquest.com/docview/2781133105</t>
  </si>
  <si>
    <t>https://www.proquest.com/docview/2781133104</t>
  </si>
  <si>
    <t>https://www.proquest.com/docview/2781133103</t>
  </si>
  <si>
    <t>https://www.proquest.com/docview/2781133102</t>
  </si>
  <si>
    <t>https://www.proquest.com/docview/2781133101</t>
  </si>
  <si>
    <t>https://www.proquest.com/docview/2781133100</t>
  </si>
  <si>
    <t>https://www.proquest.com/docview/2781133099</t>
  </si>
  <si>
    <t>https://www.proquest.com/docview/2781133097</t>
  </si>
  <si>
    <t>https://www.proquest.com/docview/2781133096</t>
  </si>
  <si>
    <t>https://www.proquest.com/docview/2781133093</t>
  </si>
  <si>
    <t>https://www.proquest.com/docview/2781133092</t>
  </si>
  <si>
    <t>https://www.proquest.com/docview/2781133091</t>
  </si>
  <si>
    <t>https://www.proquest.com/docview/2781133090</t>
  </si>
  <si>
    <t>https://www.proquest.com/docview/2781133089</t>
  </si>
  <si>
    <t>https://www.proquest.com/docview/2781133087</t>
  </si>
  <si>
    <t>https://www.proquest.com/docview/2781133086</t>
  </si>
  <si>
    <t>https://www.proquest.com/docview/2781133085</t>
  </si>
  <si>
    <t>https://www.proquest.com/docview/2781133082</t>
  </si>
  <si>
    <t>https://www.proquest.com/docview/2781133080</t>
  </si>
  <si>
    <t>https://www.proquest.com/docview/2781133077</t>
  </si>
  <si>
    <t>https://www.proquest.com/docview/2781133076</t>
  </si>
  <si>
    <t>https://www.proquest.com/docview/2781133073</t>
  </si>
  <si>
    <t>https://www.proquest.com/docview/2781133072</t>
  </si>
  <si>
    <t>https://www.proquest.com/docview/2781133070</t>
  </si>
  <si>
    <t>https://www.proquest.com/docview/2781133067</t>
  </si>
  <si>
    <t>https://www.proquest.com/docview/2781133061</t>
  </si>
  <si>
    <t>https://www.proquest.com/docview/2781133060</t>
  </si>
  <si>
    <t>https://www.proquest.com/docview/2781133058</t>
  </si>
  <si>
    <t>https://www.proquest.com/docview/2781133057</t>
  </si>
  <si>
    <t>https://www.proquest.com/docview/2781133056</t>
  </si>
  <si>
    <t>https://www.proquest.com/docview/2781133055</t>
  </si>
  <si>
    <t>https://www.proquest.com/docview/2781133054</t>
  </si>
  <si>
    <t>https://www.proquest.com/docview/2781133051</t>
  </si>
  <si>
    <t>https://www.proquest.com/docview/2781133050</t>
  </si>
  <si>
    <t>https://www.proquest.com/docview/2781133048</t>
  </si>
  <si>
    <t>https://www.proquest.com/docview/2781133046</t>
  </si>
  <si>
    <t>https://www.proquest.com/docview/2781133045</t>
  </si>
  <si>
    <t>No Place Like Home</t>
  </si>
  <si>
    <t>Abstract</t>
  </si>
  <si>
    <t>Subtitle</t>
  </si>
  <si>
    <t>Author</t>
  </si>
  <si>
    <t>Freedom From Pain, in 12th International Congress on Ericksonian Approaches to Psychotherapy</t>
  </si>
  <si>
    <t>Hypnosis and Experiential Learning, in 12th International Congress on Ericksonian Approaches to Psychotherapy</t>
  </si>
  <si>
    <t>Experiential Therapy: Integrating Therapist Sculpting and Hypnosis, in 12th International Congress on Ericksonian Approaches to Psychotherapy</t>
  </si>
  <si>
    <t>Chatting as Brief Therapy, in 12th International Congress on Ericksonian Approaches to Psychotherapy</t>
  </si>
  <si>
    <t>Mindfulness to Your Practice: Teaching Mindful Skills for Better Self-Regulation, in 12th International Congress on Ericksonian Approaches to Psychotherapy</t>
  </si>
  <si>
    <t>Transforming Negative Self-Talk Into A Support Ally, in 12th International Congress on Ericksonian Approaches to Psychotherapy</t>
  </si>
  <si>
    <t>Hypnosis and Anxiety: Opportunities Beyond Relaxation, in 12th International Congress on Ericksonian Approaches to Psychotherapy</t>
  </si>
  <si>
    <t>Enhancing Brief Outcomes, in 12th International Congress on Ericksonian Approaches to Psychotherapy</t>
  </si>
  <si>
    <t>Core Transformation, in 12th International Congress on Ericksonian Approaches to Psychotherapy</t>
  </si>
  <si>
    <t>Generative Therapy: Using Positive Connections to Create Transformational Change, in 12th International Congress on Ericksonian Approaches to Psychotherapy</t>
  </si>
  <si>
    <t>Conversational Hypnosis - For the Clients' Solutions, in 12th International Congress on Ericksonian Approaches to Psychotherapy</t>
  </si>
  <si>
    <t>Utilizing the Unconscious Mind, in 12th International Congress on Ericksonian Approaches to Psychotherapy</t>
  </si>
  <si>
    <t>Resolving Identity Conflicts Through the "Tetra Lemma", in 12th International Congress on Ericksonian Approaches to Psychotherapy</t>
  </si>
  <si>
    <t>Self Hypnosis Training as a First Trance Induction, in 12th International Congress on Ericksonian Approaches to Psychotherapy</t>
  </si>
  <si>
    <t>Working with Deep Trance Phenomena, in 12th International Congress on Ericksonian Approaches to Psychotherapy</t>
  </si>
  <si>
    <t>Experiential Hypnosis, in 12th International Congress on Ericksonian Approaches to Psychotherapy</t>
  </si>
  <si>
    <t>Deep Trance for Problem Resolution, in 12th International Congress on Ericksonian Approaches to Psychotherapy</t>
  </si>
  <si>
    <t>Solution-Oriented Hypnosis, in 12th International Congress on Ericksonian Approaches to Psychotherapy</t>
  </si>
  <si>
    <t>Targeted Utilization of Dissociative Processes in Hypnosis, in 12th International Congress on Ericksonian Approaches to Psychotherapy</t>
  </si>
  <si>
    <t>Creating New Consciousness with Spiritual Yoga in Ericksonian Work, in 12th International Congress on Ericksonian Approaches to Psychotherapy</t>
  </si>
  <si>
    <t>Brief Ericksonian Psychotherapy, in 12th International Congress on Ericksonian Approaches to Psychotherapy</t>
  </si>
  <si>
    <t>Advanced Techniques of Experiential Therapy, in 12th International Congress on Ericksonian Approaches to Psychotherapy</t>
  </si>
  <si>
    <t>Integrating Energy Psychology and Ericksonian Hypnosis to Remove the Pain of a Traumatic Event, in 12th International Congress on Ericksonian Approaches to Psychotherapy</t>
  </si>
  <si>
    <t>Challenges to Safety, Identity, And Mental Health Amidst Violence Exposure And Discrimination Among Minority Youth, in 32nd Annual Winter Roundtable on Cultural Psychology and Education</t>
  </si>
  <si>
    <t>(Re)Focusing Intersectionality: From Current Status to Origins and Promise, in 32nd Annual Winter Roundtable on Cultural Psychology and Education</t>
  </si>
  <si>
    <t>#HoodiesUp2015: Bending Toward The Arc of Social Justice, in 32nd Annual Winter Roundtable on Cultural Psychology and Education</t>
  </si>
  <si>
    <t>Violence in Indian Country, in 32nd Annual Winter Roundtable on Cultural Psychology and Education</t>
  </si>
  <si>
    <t>Racial Trauma Recovery: A Race Informed Therapeutic Approach to Racial Wounds, in 32nd Annual Winter Roundtable on Cultural Psychology and Education</t>
  </si>
  <si>
    <t>Peace: Mattering, Wellness, and Fairness, in 32nd Annual Winter Roundtable on Cultural Psychology and Education</t>
  </si>
  <si>
    <t>Understanding the Role of Objectification and Misogyny in Aggression and Violence, in 32nd Annual Winter Roundtable on Cultural Psychology and Education</t>
  </si>
  <si>
    <t>The 12th Annual Social Justice Action Award Address, in 32nd Annual Winter Roundtable on Cultural Psychology and Education</t>
  </si>
  <si>
    <t>Extending the benefits of EBIs to Marginalized Populations, in 33rd Annual Winter Roundtable on Cultural Psychology and Education</t>
  </si>
  <si>
    <t>Social Justice Leadership in the Digital World: Holding Ourselves Accountable, in 33rd Annual Winter Roundtable on Cultural Psychology and Education</t>
  </si>
  <si>
    <t>Teaching Culture Competency Online, in 33rd Annual Winter Roundtable on Cultural Psychology and Education</t>
  </si>
  <si>
    <t>Mentoring to promote cultural competence in the next generations: A social justice imperative, in 33rd Annual Winter Roundtable on Cultural Psychology and Education</t>
  </si>
  <si>
    <t>Giving Psychology Away: How to use Social Media and Mainstream Media to Advocate for Social Justice, in 33rd Annual Winter Roundtable on Cultural Psychology and Education</t>
  </si>
  <si>
    <t>Cultural Competence in the Digital World: Centering Voices of Emerging Scholars, in 33rd Annual Winter Roundtable on Cultural Psychology and Education</t>
  </si>
  <si>
    <t>#Neoteric Racism: Racial Idealologies in Digital Spaces, in 33rd Annual Winter Roundtable on Cultural Psychology and Education</t>
  </si>
  <si>
    <t>"So You Basically Study Yourself?": Studying the Sikh Community From the Inside Out, in 33rd Annual Winter Roundtable on Cultural Psychology and Education</t>
  </si>
  <si>
    <t>Games and Well-being: Leveling Up in our Use of Interactive Media, in 33rd Annual Winter Roundtable on Cultural Psychology and Education</t>
  </si>
  <si>
    <t>Fourth Force: The Multicultural Counseling Session, in 5 "Forces" of Counseling and Psychotherapy</t>
  </si>
  <si>
    <t>Third Force: The Existential-Humanistic Counseling Session, in 5 "Forces" of Counseling and Psychotherapy</t>
  </si>
  <si>
    <t>Second Force: The Cognitive-Behavior Counseling Session, in 5 "Forces" of Counseling and Psychotherapy</t>
  </si>
  <si>
    <t>Fifth Force: The Social Justice Counseling Session, in 5 "Forces" of Counseling and Psychotherapy</t>
  </si>
  <si>
    <t>First Force: The Psychoanalytic Paradigm Interview, in 5 "Forces" of Counseling and Psychotherapy</t>
  </si>
  <si>
    <t>A Guide for Living With PTSD: Perspectives for Professionals and Their Clients</t>
  </si>
  <si>
    <t>The Session Debriefs, in A Person Centred Counsellor, Part 3</t>
  </si>
  <si>
    <t>The Session, in A Person Centred Counsellor, Part 1</t>
  </si>
  <si>
    <t>The Discussion, in A Person Centred Counsellor, Part 2</t>
  </si>
  <si>
    <t>Preparation, Change, and Forgiveness Strategies for Treating Angry Adults, in ABCT Clinical Grand Rounds, 10</t>
  </si>
  <si>
    <t>Redirecting Anger Toward Self Change, in ABCT Clinical Grand Rounds, 11</t>
  </si>
  <si>
    <t>Dan, Adolescent Cannabis Use, Substance Use Assessment V1, in Addiction and Substance Use, Case 1: Dan, Case 1</t>
  </si>
  <si>
    <t>Dan, Core Video: Adolescent Cannabis Use, in Addiction and Substance Use, Case 1: Dan, Case 1</t>
  </si>
  <si>
    <t>Dan, Adolescent Cannabis Use, Depression Assessment, in Addiction and Substance Use, Case 1: Dan, Case 1</t>
  </si>
  <si>
    <t>Dan, Adolescent Cannabis Use, Substance Use Assessment V2, in Addiction and Substance Use, Case 1: Dan, Case 1</t>
  </si>
  <si>
    <t>Dan, Adolescent Cannabis Use, Thought Disorder Assessment, in Addiction and Substance Use, Case 1: Dan, Case 1</t>
  </si>
  <si>
    <t>Jenny, Age 15, Adolescent Cannabis Use, Substance Use Assessment V2, in Addiction and Substance Use, Case 2: Jenny, Case 2</t>
  </si>
  <si>
    <t>Jenny, Age 17, Core Video: Adolescent Cannabis Use, in Addiction and Substance Use, Case 2: Jenny, Case 2</t>
  </si>
  <si>
    <t>Jenny, Age 15, Adolescent Cannabis Use, Substance Use Assessment V1, in Addiction and Substance Use, Case 2: Jenny, Case 2</t>
  </si>
  <si>
    <t>Jenny, Age 15, Core Video: Adolescent Cannabis Use, in Addiction and Substance Use, Case 2: Jenny, Case 2</t>
  </si>
  <si>
    <t>Jenny, Age 15, Adolescent Cannabis Use, Stress / Anxiety Assessment V2, in Addiction and Substance Use, Case 2: Jenny, Case 2</t>
  </si>
  <si>
    <t>Jenny, Age 15, Adolescent Cannabis Use, Stress / Anxiety Assessment V1, in Addiction and Substance Use, Case 2: Jenny, Case 2</t>
  </si>
  <si>
    <t>Jenny, Age 17, Adolescent Cannabis Use, Depression Assessment, in Addiction and Substance Use, Case 2: Jenny, Case 2</t>
  </si>
  <si>
    <t>Jenny, Age 17, Adolescent Cannabis Use, Substance Use Assessment, in Addiction and Substance Use, Case 2: Jenny, Case 2</t>
  </si>
  <si>
    <t>Claire, Core Video: Opioid Use Disorder, Part 2, in Addiction and Substance Use, Case 3: Claire, Case 3</t>
  </si>
  <si>
    <t>Claire, Core Video: Opioid Use Disorder, Part 4, in Addiction and Substance Use, Case 3: Claire, Case 3</t>
  </si>
  <si>
    <t>Claire, Opioid Use Disorder, Depression Assessment, in Addiction and Substance Use, Case 3: Claire, Case 3</t>
  </si>
  <si>
    <t>Claire, Opioid Use Disorder, Anxiety Assessment, in Addiction and Substance Use, Case 3: Claire, Case 3</t>
  </si>
  <si>
    <t>Claire, Core Video: Opioid Use Disorder, Part 3, in Addiction and Substance Use, Case 3: Claire, Case 3</t>
  </si>
  <si>
    <t>Claire, Core Video: Opioid Use Disorder, Part 1, in Addiction and Substance Use, Case 3: Claire, Case 3</t>
  </si>
  <si>
    <t>Claire, Opioid Use Disorder, Drug Abuse Assessment, in Addiction and Substance Use, Case 3: Claire, Case 3</t>
  </si>
  <si>
    <t>Claire, Opioid Use Disorder, Alcohol Assessment, in Addiction and Substance Use, Case 3: Claire, Case 3</t>
  </si>
  <si>
    <t>Claire, Opioid Use Disorder, Trauma Assessment, in Addiction and Substance Use, Case 3: Claire, Case 3</t>
  </si>
  <si>
    <t>Claire, Opioid Use Disorder, Criminal History Assessment, in Addiction and Substance Use, Case 3: Claire, Case 3</t>
  </si>
  <si>
    <t>Managing Therapeutic Issues With African-American Clients, in African-American Counseling and Psychotherapy</t>
  </si>
  <si>
    <t>Issues In Counseling African-American Clients, in African-American Counseling and Psychotherapy</t>
  </si>
  <si>
    <t>A Threat Assessment with a Non-Traditional Student</t>
  </si>
  <si>
    <t>Counselors Responding to Mass Violence Following a University Shooting: A Live Demonstration of Crisis Counseling</t>
  </si>
  <si>
    <t>Empowering Youth Victimized by Cyber-bullying: A Solution Focused Adlerian Counseling Model</t>
  </si>
  <si>
    <t>Treating Video Game Addiction: Three Brief Sessions</t>
  </si>
  <si>
    <t>Counseling Military Spouses and Families</t>
  </si>
  <si>
    <t>Counseling Returning Veterans With Post Traumatic Stress Disorder</t>
  </si>
  <si>
    <t>Remediation Planning for a Graduate Student Refusing to Counsel Specific Populations</t>
  </si>
  <si>
    <t>The Counselor as Person and Professional</t>
  </si>
  <si>
    <t>Living Legends</t>
  </si>
  <si>
    <t>Uses of Metaphors and Poetry in Counseling</t>
  </si>
  <si>
    <t>An Integrative Approach to Anxiety: Video Lecture 1</t>
  </si>
  <si>
    <t>An Integrative Approach to Anxiety: Video Lecture 4</t>
  </si>
  <si>
    <t>An Integrative Approach to Anxiety: Video Lecture 3</t>
  </si>
  <si>
    <t>Lauren, Adolescent Social Anxiety Disorder, OCD Assessment V3, in Anxiety, Case 1: Lauren, Case 1</t>
  </si>
  <si>
    <t>Lauren, Adolescent Social Anxiety Disorder, Depression Assessment - Relationships and Interests, in Anxiety, Case 1: Lauren, Case 1</t>
  </si>
  <si>
    <t>Lauren, Core Video: Adolescent Social Anxiety Disorder, in Anxiety, Case 1: Lauren, Case 1</t>
  </si>
  <si>
    <t>Lauren, Adolescent Social Anxiety Disorder, Depression Assessment - Sleep and Appetite, in Anxiety, Case 1: Lauren, Case 1</t>
  </si>
  <si>
    <t>Lauren, Adolescent Social Anxiety Disorder, Depression Assessment - Mood and Thinking, in Anxiety, Case 1: Lauren, Case 1</t>
  </si>
  <si>
    <t>Lauren, Adolescent Social Anxiety Disorder, OCD Assessment V1, in Anxiety, Case 1: Lauren, Case 1</t>
  </si>
  <si>
    <t>Lauren, Adolescent Social Anxiety Disorder, OCD Assessment V2, in Anxiety, Case 1: Lauren, Case 1</t>
  </si>
  <si>
    <t>Lauren, Adolescent Social Anxiety Disorder, Bullying Assessment, in Anxiety, Case 1: Lauren, Case 1</t>
  </si>
  <si>
    <t>Lauren, Adolescent Social Anxiety Disorder, Suicide and Self-Harm Assessment, in Anxiety, Case 1: Lauren, Case 1</t>
  </si>
  <si>
    <t>Ryan, Adolescent Panic Disorder, Stress / Anxiety Assessment V2 with Social Phobia, in Anxiety, Case 2: Ryan, Case 2</t>
  </si>
  <si>
    <t>Ryan, Adolescent Panic Disorder, Substance Use Assessment, in Anxiety, Case 2: Ryan, Case 2</t>
  </si>
  <si>
    <t>Ryan, Adolescent Panic Disorder, Panic Assessment, in Anxiety, Case 2: Ryan, Case 2</t>
  </si>
  <si>
    <t>Ryan, Adolescent Panic Disorder, Stress / Anxiety Assessment V1 with Social Phobia, in Anxiety, Case 2: Ryan, Case 2</t>
  </si>
  <si>
    <t>Ryan, Core Video: Adolescent Panic Disorder, in Anxiety, Case 2: Ryan, Case 2</t>
  </si>
  <si>
    <t>Ryan, Adolescent Panic Disorder, Depression Assessment (Full), in Anxiety, Case 2: Ryan, Case 2</t>
  </si>
  <si>
    <t>Assessing Caregiver Reflective Capacity, Commitment, Insightfulness, and Sensitivity, Part 1</t>
  </si>
  <si>
    <t>Assessing Caregiver Reflective Capacity, Commitment, Insightfulness, and Sensitivity, Part 2</t>
  </si>
  <si>
    <t>Assessing Children with Complex Trauma and Attachment Disorders, Part 2</t>
  </si>
  <si>
    <t>Assessing Children with Complex Trauma and Attachment Disorders, Part 1</t>
  </si>
  <si>
    <t>Anxiety Assessment, in Assessment: Greg, Cannabis Use Disorder</t>
  </si>
  <si>
    <t>Depression Assessment, in Assessment: Greg, Cannabis Use Disorder</t>
  </si>
  <si>
    <t>Cannabis Use Scale Assessment, in Assessment: Greg, Cannabis Use Disorder</t>
  </si>
  <si>
    <t>Substance Use Assessment, in Assessment: Mrs. Collins, Sedative, Hypnotic, Anxiolytic Use Disorder, Mild</t>
  </si>
  <si>
    <t>Drug Abuse Assessment, in Assessment: Mrs. Collins, Sedative, Hypnotic, Anxiolytic Use Disorder, Mild</t>
  </si>
  <si>
    <t>Dependence Withdrawal Assessment V1, in Assessment: Mrs. Collins, Sedative, Hypnotic, Anxiolytic Use Disorder, Mild</t>
  </si>
  <si>
    <t>Dependence Withdrawal Assessment V2, in Assessment: Mrs. Collins, Sedative, Hypnotic, Anxiolytic Use Disorder, Mild</t>
  </si>
  <si>
    <t>Relationships, Work, Interests Assessment, in Assessment: Mrs. Collins, Sedative, Hypnotic, Anxiolytic Use Disorder, Mild</t>
  </si>
  <si>
    <t>Core Video: F11.20 Opioid Use Disorder, Moderate, Doctor Shopping, in Assessment: Nicole, Opioid Use Disorder, Moderate, Doctor Shopping</t>
  </si>
  <si>
    <t>Core Video: Opioid Use Disorder, Moderate, Doctor Shopping, in Assessment: Nicole, Opioid Use Disorder, Moderate, Doctor Shopping</t>
  </si>
  <si>
    <t>Poor Concentration, in Assessment Tools Index: Mental Status Examination Measures, Episode 5</t>
  </si>
  <si>
    <t>Impaired Short-Term Memory, in Assessment Tools Index: Mental Status Examination Measures, Episode 4</t>
  </si>
  <si>
    <t>Impaired Immediate Recall, in Assessment Tools Index: Mental Status Examination Measures, Episode 2</t>
  </si>
  <si>
    <t>Impaired Long-Term Memory, in Assessment Tools Index: Mental Status Examination Measures, Episode 3</t>
  </si>
  <si>
    <t>Suicide Assessment A, in Assessment Tools Index: Suicide Assessment Tools, Episode 6</t>
  </si>
  <si>
    <t>Suicide Assessment B, in Assessment Tools Index: Suicide Assessment Tools, Episode 7</t>
  </si>
  <si>
    <t>Leading Counseling Groups with Adults: A Demonstration of the Art of Engagement</t>
  </si>
  <si>
    <t>Exploring Developmental Issues in a Multicultural Group of 8th Graders</t>
  </si>
  <si>
    <t>Counseling Tips for Helping Professionals, in Miller Chat</t>
  </si>
  <si>
    <t>Paediatric Bipolar Disorder: A Controversy from the U.S.A.</t>
  </si>
  <si>
    <t>Basic Stress Management, Disc 1</t>
  </si>
  <si>
    <t>Basic Stress Management, Disc 2</t>
  </si>
  <si>
    <t>Depression and Me</t>
  </si>
  <si>
    <t>The Madness in Me</t>
  </si>
  <si>
    <t>Billy: A Violent Mind, in Modern Times</t>
  </si>
  <si>
    <t>Men at Work: Voices from Detroit's Underground Economy</t>
  </si>
  <si>
    <t>To Catch a Dollar: Muhammad Yunus Banks on America</t>
  </si>
  <si>
    <t>Radical Disciple: The Story of Father Pfleger</t>
  </si>
  <si>
    <t>Roots of Health</t>
  </si>
  <si>
    <t>The New Los Angeles, in California and the American dream, Part 3</t>
  </si>
  <si>
    <t>Homeland</t>
  </si>
  <si>
    <t>UND</t>
  </si>
  <si>
    <t>Sixteen Decisions</t>
  </si>
  <si>
    <t>The Human Face: Emotions, Identities and Masks</t>
  </si>
  <si>
    <t>Looking for Me</t>
  </si>
  <si>
    <t>Still Looking</t>
  </si>
  <si>
    <t>Socio-Structural Influences on the Work Participation of Refugees, in Beyond Borders: Transforming Lives through Traditions and Innovations</t>
  </si>
  <si>
    <t>Pulling the Tiger's Tail: Scholarship and Advocacy, in Beyond Borders: Transforming Lives through Traditions and Innovations</t>
  </si>
  <si>
    <t>Lessons Learned: Understanding the Meaning of Internationalization of Counseling, in Beyond Borders: Transforming Lives through Traditions and Innovations</t>
  </si>
  <si>
    <t>Working Across Cultural Borders: Examples from Haiti, in Beyond Borders: Transforming Lives through Traditions and Innovations</t>
  </si>
  <si>
    <t>Reducing Mental Health Disparities, in Beyond Borders: Transforming Lives through Traditions and Innovations</t>
  </si>
  <si>
    <t>Decolonizing International Border Crossings, in Beyond Borders: Transforming Lives through Traditions and Innovations</t>
  </si>
  <si>
    <t>In the Shadows: The Educational Implications of Unauthorized Status, in Beyond Borders: Transforming Lives through Traditions and Innovations</t>
  </si>
  <si>
    <t>Multiculturalism in the Classroom, in Beyond Borders: Transforming Lives through Traditions and Innovations</t>
  </si>
  <si>
    <t>Boys and Men Healing: From Child Sexual Abuse</t>
  </si>
  <si>
    <t>The Healing Years: Women Survivors of Child Sexual Abuse</t>
  </si>
  <si>
    <t>Jessica, Core Video: Bipolar I, Conclusion of Case and Future Treatment Options, in Bipolar, Case 1: Jessica, Case 1</t>
  </si>
  <si>
    <t>Jessica, Bipolar I, Substance Use V1 and Risky Behavior, in Bipolar, Case 1: Jessica, Case 1</t>
  </si>
  <si>
    <t>Jessica, Core Video: Bipolar I, Key Takeaway: Lability of Mood, in Bipolar, Case 1: Jessica, Case 1</t>
  </si>
  <si>
    <t>Jessica, Bipolar I, Relationships, in Bipolar, Case 1: Jessica, Case 1</t>
  </si>
  <si>
    <t>Jessica, Core Video: Bipolar I, Current Manic State and Remarkable Hypersexuality, in Bipolar, Case 1: Jessica, Case 1</t>
  </si>
  <si>
    <t>Jessica, Bipolar I, Medication Compliance Assessment, in Bipolar, Case 1: Jessica, Case 1</t>
  </si>
  <si>
    <t>Jessica, Bipolar I, Suicidality, in Bipolar, Case 1: Jessica, Case 1</t>
  </si>
  <si>
    <t>Jessica, Core Video: Bipolar I, Introduction to Case, in Bipolar, Case 1: Jessica, Case 1</t>
  </si>
  <si>
    <t>Jessica, Bipolar I, Inappropriate Behavior Intervention, in Bipolar, Case 1: Jessica, Case 1</t>
  </si>
  <si>
    <t>Jessica, Bipolar I, Substance Use V2, in Bipolar, Case 1: Jessica, Case 1</t>
  </si>
  <si>
    <t>Jessica, Bipolar I, Lability of Mood, in Bipolar, Case 1: Jessica, Case 1</t>
  </si>
  <si>
    <t>Jessica, Core Video: Bipolar I, Director's Cut, in Bipolar, Case 1: Jessica, Case 1</t>
  </si>
  <si>
    <t>Jessica, Core Video: Bipolar I, Key Takeaway: Interventions, in Bipolar, Case 1: Jessica, Case 1</t>
  </si>
  <si>
    <t>Logan, Bipolar I, Limit Setting for his Intrusiveness and Disruptive Behavior V1 - Compliant, in Bipolar, Case 2: Logan, Case 2</t>
  </si>
  <si>
    <t>Logan, Bipolar I, Limit Setting, Yelling - Negotiating while Diffusing the Tension, in Bipolar, Case 2: Logan, Case 2</t>
  </si>
  <si>
    <t>Logan, Bipolar I, Suicide Assessment, in Bipolar, Case 2: Logan, Case 2</t>
  </si>
  <si>
    <t>Logan, Core Video: Bipolar I, Conclusion of Case and Future Treatment Options, in Bipolar, Case 2: Logan, Case 2</t>
  </si>
  <si>
    <t>Logan, Bipolar I, Altered Thought Process: Flight of Ideas, Racing Thoughts, in Bipolar, Case 2: Logan, Case 2</t>
  </si>
  <si>
    <t>Logan, Core Video: Bipolar I, Director's Cut, in Bipolar, Case 2: Logan, Case 2</t>
  </si>
  <si>
    <t>Logan, Core Video: Bipolar I, Key Takeaway: Patient Negotiation, in Bipolar, Case 2: Logan, Case 2</t>
  </si>
  <si>
    <t>Logan, Bipolar I, Limit Setting for his Intrusiveness and Disruptive Behavior V3 - Agreeable, in Bipolar, Case 2: Logan, Case 2</t>
  </si>
  <si>
    <t>Logan, Core Video: Bipolar I, Key Takeaway: Interventions, in Bipolar, Case 2: Logan, Case 2</t>
  </si>
  <si>
    <t>Logan, Bipolar I, Impaired Perception: Ideas of References, in Bipolar, Case 2: Logan, Case 2</t>
  </si>
  <si>
    <t>Logan, Bipolar I, Impaired Perception: Delusions and Hallucinations (Compensatory Mechanisms for Impaired Coping Skills), in Bipolar, Case 2: Logan, Case 2</t>
  </si>
  <si>
    <t>Logan, Core Video: Bipolar I, in Bipolar, Case 2: Logan, Case 2</t>
  </si>
  <si>
    <t>Logan, Bipolar I, Limit Setting for his Intrusiveness and Disruptive BehaviorV2 - Non-Agreeable, in Bipolar, Case 2: Logan, Case 2</t>
  </si>
  <si>
    <t>Logan, Core Video: Bipolar I, Introduction to Case, in Bipolar, Case 2: Logan, Case 2</t>
  </si>
  <si>
    <t>Mr. Barber, Core Video: Bipolar I, Key Takeaway: Perception, in Bipolar, Case 3: Mr. Barber, Case 3</t>
  </si>
  <si>
    <t>Mr. Barber, Bipolar I, Employment History Assessment, in Bipolar, Case 3: Mr. Barber, Case 3</t>
  </si>
  <si>
    <t>Mr. Barber, Core Video: Bipolar I, Director's Cut, in Bipolar, Case 3: Mr. Barber, Case 3</t>
  </si>
  <si>
    <t>Mr. Barber, Core Video: Bipolar I, Key Takeaway: Speech, in Bipolar, Case 3: Mr. Barber, Case 3</t>
  </si>
  <si>
    <t>Mr. Barber, Bipolar I, Relationships Assessment, in Bipolar, Case 3: Mr. Barber, Case 3</t>
  </si>
  <si>
    <t>Mr. Barber, Core Video: Bipolar I, in Bipolar, Case 3: Mr. Barber, Case 3</t>
  </si>
  <si>
    <t>Mr. Barber, Bipolar I, Post Medicating Insight Assessment V1, in Bipolar, Case 3: Mr. Barber, Case 3</t>
  </si>
  <si>
    <t>Mr. Barber, Bipolar I, Post Medicating Insight Assessment V2, in Bipolar, Case 3: Mr. Barber, Case 3</t>
  </si>
  <si>
    <t>Mr. Barber, Bipolar I, Criminal History Assessment, in Bipolar, Case 3: Mr. Barber, Case 3</t>
  </si>
  <si>
    <t>Mr. Barber, Core Video: Bipolar I, Key Takeaway: Insight and Behavior, in Bipolar, Case 3: Mr. Barber, Case 3</t>
  </si>
  <si>
    <t>Mr. Barber, Core Video: Bipolar I, Key Takeaway: Mood, in Bipolar, Case 3: Mr. Barber, Case 3</t>
  </si>
  <si>
    <t>Mr. Barber, Bipolar I, Post Medicating Insight Assessment V3, in Bipolar, Case 3: Mr. Barber, Case 3</t>
  </si>
  <si>
    <t>Mr. Barber, Core Video: Bipolar I, Introduction to Case, in Bipolar, Case 3: Mr. Barber, Case 3</t>
  </si>
  <si>
    <t>Mr. Barber, Core Video: Bipolar I, Key Takeaway: Interventions, in Bipolar, Case 3: Mr. Barber, Case 3</t>
  </si>
  <si>
    <t>Mr. Barber, Bipolar I, Suicide Assessment V1, in Bipolar, Case 3: Mr. Barber, Case 3</t>
  </si>
  <si>
    <t>Mr. Barber, Core Video: Bipolar I, Key Takeaway: Thought Process, in Bipolar, Case 3: Mr. Barber, Case 3</t>
  </si>
  <si>
    <t>Mr. Barber, Bipolar I, Suicide Assessment V2, in Bipolar, Case 3: Mr. Barber, Case 3</t>
  </si>
  <si>
    <t>Mr. Barber, Bipolar I, Re-Direction, in Bipolar, Case 3: Mr. Barber, Case 3</t>
  </si>
  <si>
    <t>Mr. Barber, Core Video: Bipolar I, Key Takeaway: Judgment, in Bipolar, Case 3: Mr. Barber, Case 3</t>
  </si>
  <si>
    <t>Mr. Barber, Core Video: Conclusion of Case and Future Treatment Options, in Bipolar, Case 3: Mr. Barber, Case 3</t>
  </si>
  <si>
    <t>Brittany, Core Video: Bipolar I, Key Takeaway: Behavior, in Bipolar, Case 4: Brittany, Case 4</t>
  </si>
  <si>
    <t>Brittany, Core Video: Bipolar I, Conclusion of Case and Future Treatment Options, in Bipolar, Case 4: Brittany, Case 4</t>
  </si>
  <si>
    <t>Brittany, Bipolar I, Anger Management V2, in Bipolar, Case 4: Brittany, Case 4</t>
  </si>
  <si>
    <t>Brittany, Bipolar I, Anger Management V1, in Bipolar, Case 4: Brittany, Case 4</t>
  </si>
  <si>
    <t>Brittany, Core Video: Bipolar I, Key Takeaway: Speech, in Bipolar, Case 4: Brittany, Case 4</t>
  </si>
  <si>
    <t>Brittany, Bipolar I, Paranoia Triggers V1, in Bipolar, Case 4: Brittany, Case 4</t>
  </si>
  <si>
    <t>Brittany, Bipolar I, Suicidal Assessment V2, in Bipolar, Case 4: Brittany, Case 4</t>
  </si>
  <si>
    <t>Brittany, Core Video: Bipolar I, Introduction to Case, in Bipolar, Case 4: Brittany, Case 4</t>
  </si>
  <si>
    <t>Brittany, Core Video: Bipolar I, Key Takeaway: Judgment and Insight, in Bipolar, Case 4: Brittany, Case 4</t>
  </si>
  <si>
    <t>Brittany, Core Video: Bipolar I, Key Takeaway: Mood, in Bipolar, Case 4: Brittany, Case 4</t>
  </si>
  <si>
    <t>Brittany, Bipolar I, Homicidal Assessment, in Bipolar, Case 4: Brittany, Case 4</t>
  </si>
  <si>
    <t>Brittany, Core Video: Bipolar I, Key Takeaway: Intervention, in Bipolar, Case 4: Brittany, Case 4</t>
  </si>
  <si>
    <t>Brittany, Core Video: Bipolar I, Key Takeaway: Perception, in Bipolar, Case 4: Brittany, Case 4</t>
  </si>
  <si>
    <t>Brittany, Bipolar I, Paranoia Triggers V2, in Bipolar, Case 4: Brittany, Case 4</t>
  </si>
  <si>
    <t>Brittany, Core Video: Bipolar I, Director's Cut, in Bipolar, Case 4: Brittany, Case 4</t>
  </si>
  <si>
    <t>Brittany, Bipolar I, Paranoia Triggers V3, in Bipolar, Case 4: Brittany, Case 4</t>
  </si>
  <si>
    <t>Brittany, Core Video: Bipolar I, Key Takeaway: Thought Process, in Bipolar, Case 4: Brittany, Case 4</t>
  </si>
  <si>
    <t>Brittany, Bipolar I, Suicidal Assessment V1, in Bipolar, Case 4: Brittany, Case 4</t>
  </si>
  <si>
    <t>Brittany, Core Video: Bipolar I, in Bipolar, Case 4: Brittany, Case 4</t>
  </si>
  <si>
    <t>Scott, Bipolar II, Post Medicating Medication Compliance Assessment with Limited Insight and Judgment, in Bipolar, Case 5: Scott and Glenn, Case 5</t>
  </si>
  <si>
    <t>Scott, Core Video: Bipolar II, Key Takeaway: Behavior, in Bipolar, Case 5: Scott and Glenn, Case 5</t>
  </si>
  <si>
    <t>Scott, Core Video: Bipolar II, Key Takeaway: Mood, in Bipolar, Case 5: Scott and Glenn, Case 5</t>
  </si>
  <si>
    <t>Scott, Core Video: Bipolar II, Key Takeaway: Thought Process, in Bipolar, Case 5: Scott and Glenn, Case 5</t>
  </si>
  <si>
    <t>Scott, Core Video: Bipolar II, Director's Cut, in Bipolar, Case 5: Scott and Glenn, Case 5</t>
  </si>
  <si>
    <t>Scott, Core Video: Bipolar II, Introduction to Case, in Bipolar, Case 5: Scott and Glenn, Case 5</t>
  </si>
  <si>
    <t>Scott, Core Video: Bipolar II, Key Takeaway: Speech, in Bipolar, Case 5: Scott and Glenn, Case 5</t>
  </si>
  <si>
    <t>Scott, Core Video: Bipolar II, Conclusion of Case and Future Treatment Options, in Bipolar, Case 5: Scott and Glenn, Case 5</t>
  </si>
  <si>
    <t>Scott, Bipolar II, Post Medicating Suicide Assessment, in Bipolar, Case 5: Scott and Glenn, Case 5</t>
  </si>
  <si>
    <t>Scott, Bipolar II, Post Medicating Medication Compliance Assessment with Good Insight and Judgment, in Bipolar, Case 5: Scott and Glenn, Case 5</t>
  </si>
  <si>
    <t>Scott, Core Video: Bipolar II, in Bipolar, Case 5: Scott and Glenn, Case 5</t>
  </si>
  <si>
    <t>Scott, Core Video: Bipolar II, Key Takeaway: Interventions, in Bipolar, Case 5: Scott and Glenn, Case 5</t>
  </si>
  <si>
    <t>Scott, Bipolar II, Post Medicating Criminal, Employment, Financial and Substance Use History, in Bipolar, Case 5: Scott and Glenn, Case 5</t>
  </si>
  <si>
    <t>Scott, Bipolar II, Argument Intervention, in Bipolar, Case 5: Scott and Glenn, Case 5</t>
  </si>
  <si>
    <t>Scott, Core Video: Bipolar II, Key Takeaway: Perception, in Bipolar, Case 5: Scott and Glenn, Case 5</t>
  </si>
  <si>
    <t>Scott and Glenn, Bipolar II, Post Medicating Relationships Assessment with Poor Insight, in Bipolar, Case 5: Scott and Glenn, Case 5</t>
  </si>
  <si>
    <t>Scott, Core Video: Bipolar II, Key Takeaway: Judgment and Insight, in Bipolar, Case 5: Scott and Glenn, Case 5</t>
  </si>
  <si>
    <t>Scott, Bipolar II, Post Medicating Relationships Assessment with Good Insight, in Bipolar, Case 5: Scott and Glenn, Case 5</t>
  </si>
  <si>
    <t>Creating Wellness: Taking Time, Making Time, in Body &amp; Soul Series</t>
  </si>
  <si>
    <t>Overcoming Anger: Healing from Within, in Body &amp; Soul Series</t>
  </si>
  <si>
    <t>Attachments of Life</t>
  </si>
  <si>
    <t>Breaking Loneliness, in Absolutely Canadian</t>
  </si>
  <si>
    <t>Cognitive Therapy for Depression, in Brief Therapy Inside Out</t>
  </si>
  <si>
    <t>Client-Directed Interaction: Adjusting the Therapy, Not the Person, in Brief Therapy Inside Out</t>
  </si>
  <si>
    <t>E.M.D.R.: Working With Grief, in Brief Therapy Inside Out, 13</t>
  </si>
  <si>
    <t>Bolstering Self-Esteem and Allaying Self-Criticism: Ericksonian Hypnotherapy, in Brief Therapy Inside Out</t>
  </si>
  <si>
    <t>Breaking Patterns of Depression: Hypnosis and Building Resources, in Brief Therapy Inside Out, 12</t>
  </si>
  <si>
    <t>Building on Adolescent Expertise: A Solution Oriented Brief Therapy Approach, in Brief Therapy Inside Out, 10</t>
  </si>
  <si>
    <t>The Difficult Patient, in Brief Therapy Inside Out</t>
  </si>
  <si>
    <t>Diffusing Reflexive Anger: A Neuro-Linguistic Programming Approach, in Brief Therapy Inside Out</t>
  </si>
  <si>
    <t>Couples Therapy: Using Themes and Metaphors to Mobilize Change, in Brief Therapy Inside Out, 14</t>
  </si>
  <si>
    <t>Working With Eating Disorders: A Cognitive Behavioral Approach, in Brief Therapy Inside Out</t>
  </si>
  <si>
    <t>Enabling Therapeutic Choices: The Process of Change in Reality Therapy, in Brief Therapy Inside Out</t>
  </si>
  <si>
    <t>A Case of Domestic Abuse: Brief Character Change, in Brief Therapy Inside Out</t>
  </si>
  <si>
    <t>Deactivating Psychosomatic Symptoms: A Biopsychosocial Approach, in Brief Therapy Inside Out, 11</t>
  </si>
  <si>
    <t>The Perfect Mother, the Absent Wife: Tapping the Client's Natural Resources, in Brief Therapy Inside Out</t>
  </si>
  <si>
    <t>Treatment of Worry, in Brief Therapy Lasting Impressions</t>
  </si>
  <si>
    <t>Strength-Based Brief Therapy, in Brief Therapy Lasting Impressions</t>
  </si>
  <si>
    <t>Research &amp; Program Evaluation: Evidence-Based Practice, in CACREP: Essential Skills for Counseling Practice</t>
  </si>
  <si>
    <t>Helping Relationships: Creating Measurable Outcomes for Counseling, in CACREP: Essential Skills for Counseling Practice</t>
  </si>
  <si>
    <t>Professional Orientation/Ethics: Ethical Dilemmas: Boundary Issues, in CACREP: Essential Skills for Counseling Practice</t>
  </si>
  <si>
    <t>Group Work: Dealing with Problems in a Group, in CACREP: Essential Skills for Counseling Practice</t>
  </si>
  <si>
    <t>Social &amp; Cultural Diversity: Discussing Race, in CACREP: Essential Skills for Counseling Practice</t>
  </si>
  <si>
    <t>Social &amp; Cultural Diversity: Counseling Transgender Clients, in CACREP: Essential Skills for Counseling Practice</t>
  </si>
  <si>
    <t>Career Development: Using a Narrative Approach, in CACREP: Essential Skills for Counseling Practice</t>
  </si>
  <si>
    <t>Human Growth &amp; Development: Working with Adolescents and Young Adults, in CACREP: Essential Skills for Counseling Practice</t>
  </si>
  <si>
    <t>Assessment &amp; Testing: Psychometric Tests - What Do They Really Tell Us?, in CACREP: Essential Skills for Counseling Practice</t>
  </si>
  <si>
    <t>The Concepts of Microaggressions &amp; Macroaggressions From a Latina/o Perspective, Part 1</t>
  </si>
  <si>
    <t>The Concepts of Microaggressions &amp; Macroaggressions From a Latina/o Perspective, Part 2</t>
  </si>
  <si>
    <t>Counseling Men: Key Concepts and Implications</t>
  </si>
  <si>
    <t>Psychology of Sport</t>
  </si>
  <si>
    <t>Maslowâ€™s Hierarchy of Needs</t>
  </si>
  <si>
    <t>Brain Gain</t>
  </si>
  <si>
    <t>When the Bough Breaks: Identifying Behavioral Problems Early</t>
  </si>
  <si>
    <t>Lost Boys: Growing Up Without a Father</t>
  </si>
  <si>
    <t>Celebrating Cultural Diversity: A Group for Fifth Graders, Disc 1</t>
  </si>
  <si>
    <t>Celebrating Cultural Diversity: A Group for Fifth Graders, Disc 2</t>
  </si>
  <si>
    <t>Celebrating Cultural Diversity: A Group for Fifth Graders, Disc 3</t>
  </si>
  <si>
    <t>Touching the Inner World of Children Through Play Therapy</t>
  </si>
  <si>
    <t>Child-Centered Play Therapy: A Clinical Session</t>
  </si>
  <si>
    <t>Understanding Play Behavior and Themes in Play Therapy</t>
  </si>
  <si>
    <t>The Play Therapists' Language of Change: Releasing Children's Creative Capacities</t>
  </si>
  <si>
    <t>Toys &amp; Materials for Play Therapy</t>
  </si>
  <si>
    <t>Therapeutic Dimensions of the Play Therapy Relationship</t>
  </si>
  <si>
    <t>Therapeutic Limit Setting in Play Therapy</t>
  </si>
  <si>
    <t>Choices, Cookies, and Kids: A Creative Approach to Discipline</t>
  </si>
  <si>
    <t>Choice Theory/Reality Therapy Couples Role Play with Robert Wubbolding</t>
  </si>
  <si>
    <t>Reality Therapy Demonstrations</t>
  </si>
  <si>
    <t>Dealing with Blaming, Resisting, Whining, Avoiding &amp; Excuse Making: A Group Reality Therapy Approach</t>
  </si>
  <si>
    <t>Counseling with a Group of "Not so Eager" Clients</t>
  </si>
  <si>
    <t>Functions Of The Brain: Behavior Of Man And Animal, Mechanism Of The Brain</t>
  </si>
  <si>
    <t>RUS</t>
  </si>
  <si>
    <t>Psychology And The Nation During The Turbulent 1960S</t>
  </si>
  <si>
    <t>Albert Bandura, Part 1</t>
  </si>
  <si>
    <t>Albert Bandura, Part 2</t>
  </si>
  <si>
    <t>Grief: A Peril In Infancy (Silent)</t>
  </si>
  <si>
    <t>B.F. Skinner, Part 1</t>
  </si>
  <si>
    <t>B.F. Skinner, Part 2</t>
  </si>
  <si>
    <t>Studies Upon The Behavior Of The Human Infant; Includes Little Albert</t>
  </si>
  <si>
    <t>Conversation With Viktor Frankl, in Notable Contributors to the Psychology of Personality</t>
  </si>
  <si>
    <t>The Conflict Partnership Process</t>
  </si>
  <si>
    <t>Carl Gustav Jung: Artist of the Soul</t>
  </si>
  <si>
    <t>Hope and Healing for Heroes</t>
  </si>
  <si>
    <t>Gentle Guidance for Clinicians</t>
  </si>
  <si>
    <t>The Psychology of Affirmative Action, in Interchange Series</t>
  </si>
  <si>
    <t>Trauma Assessment, in Cooper, Major Depressive Disorder, Single Episode, Severe</t>
  </si>
  <si>
    <t>Substance Use Assessment, in Cooper, Major Depressive Disorder, Single Episode, Severe</t>
  </si>
  <si>
    <t>Depression Assessment - Appetite, in Cooper, Major Depressive Disorder, Single Episode, Severe</t>
  </si>
  <si>
    <t>Suicide Assessment Version 1, in Cooper, Major Depressive Disorder, Single Episode, Severe</t>
  </si>
  <si>
    <t>Suicide Assessment Version 2, in Cooper, Major Depressive Disorder, Single Episode, Severe</t>
  </si>
  <si>
    <t>Core Video: Major Depressive Disorder, Single Episode, Severe, in Cooper, Major Depressive Disorder, Single Episode, Severe</t>
  </si>
  <si>
    <t>Core Video: F32.20 Major Depressive Disorder, Single Episode, Severe, in Cooper, Major Depressive Disorder, Single Episode, Severe</t>
  </si>
  <si>
    <t>Sublimation 1, in Coping Mechanisms and Defenses, Episode 18</t>
  </si>
  <si>
    <t>Splitting 3, in Coping Mechanisms and Defenses, Episode 17</t>
  </si>
  <si>
    <t>Sublimation 4, in Coping Mechanisms and Defenses, Episode 21</t>
  </si>
  <si>
    <t>Sublimation 2, in Coping Mechanisms and Defenses, Episode 19</t>
  </si>
  <si>
    <t>Suppression 2, in Coping Mechanisms and Defenses, Episode 23</t>
  </si>
  <si>
    <t>Intellectualizing 1, in Coping Mechanisms and Defenses, Episode 4</t>
  </si>
  <si>
    <t>Intellectualizing 3, in Coping Mechanisms and Defenses, Episode 6</t>
  </si>
  <si>
    <t>Denial 3, in Coping Mechanisms and Defenses, Episode 3</t>
  </si>
  <si>
    <t>Reaction Formation 2, in Coping Mechanisms and Defenses, Episode 11</t>
  </si>
  <si>
    <t>Repression 1, in Coping Mechanisms and Defenses, Episode 13</t>
  </si>
  <si>
    <t>Splitting 1, in Coping Mechanisms and Defenses, Episode 15</t>
  </si>
  <si>
    <t>Splitting 2, in Coping Mechanisms and Defenses, Episode 16</t>
  </si>
  <si>
    <t>Reaction Formation 1, in Coping Mechanisms and Defenses, Episode 10</t>
  </si>
  <si>
    <t>Denial 2, in Coping Mechanisms and Defenses, Episode 2</t>
  </si>
  <si>
    <t>Suppression 1, in Coping Mechanisms and Defenses, Episode 22</t>
  </si>
  <si>
    <t>Intellectualizing 2, in Coping Mechanisms and Defenses, Episode 5</t>
  </si>
  <si>
    <t>Projection 1, in Coping Mechanisms and Defenses, Episode 7</t>
  </si>
  <si>
    <t>Repression 2, in Coping Mechanisms and Defenses, Episode 14</t>
  </si>
  <si>
    <t>Denial 1, in Coping Mechanisms and Defenses, Episode 1</t>
  </si>
  <si>
    <t>Projection 2, in Coping Mechanisms and Defenses, Episode 8</t>
  </si>
  <si>
    <t>Reaction Formation 3, in Coping Mechanisms and Defenses, Episode 12</t>
  </si>
  <si>
    <t>Projection 3, in Coping Mechanisms and Defenses, Episode 9</t>
  </si>
  <si>
    <t>Sublimation 3, in Coping Mechanisms and Defenses, Episode 20</t>
  </si>
  <si>
    <t>Counseling a Child with ADHD: Assessment and Interventions. A 10-part series. Session 7, in Counseling a Child with ADHD: Assessment and Interventions.</t>
  </si>
  <si>
    <t>Session 3, in Counseling a Child with ADHD: Assessment and Interventions.</t>
  </si>
  <si>
    <t>Counseling a Child with ADHD: Assessment and Interventions. A 10-part series. Session 10, in Counseling a Child with ADHD: Assessment and Interventions.</t>
  </si>
  <si>
    <t>Session 1: Intake, in Counseling a Child with ADHD: Assessment and Interventions.</t>
  </si>
  <si>
    <t>Session 8, in Counseling a Child with ADHD: Assessment and Interventions.</t>
  </si>
  <si>
    <t>Counseling a Child with ADHD: Assessment and Interventions. A 10-part Series. Session 4, in Counseling a Child with ADHD: Assessment and Interventions.</t>
  </si>
  <si>
    <t>Counseling a Child with ADHD: Assessment and Interventions. A 10-part series. Session 6, in Counseling a Child with ADHD: Assessment and Interventions.</t>
  </si>
  <si>
    <t>Counseling a Child with ADHD: Assessment and Interventions. A 10-part Series. Session 5, in Counseling a Child with ADHD: Assessment and Interventions.</t>
  </si>
  <si>
    <t>Counseling a Child with ADHD: Assessment and Interventions. A 10-part series. Session 9, in Counseling a Child with ADHD: Assessment and Interventions.</t>
  </si>
  <si>
    <t>Session 2, in Counseling a Child with ADHD: Assessment and Interventions.</t>
  </si>
  <si>
    <t>Straight Privilege, in Counseling and Privilege</t>
  </si>
  <si>
    <t>Able Bodied Privilege, in Counseling and Privilege</t>
  </si>
  <si>
    <t>Christian Privilege, in Counseling and Privilege</t>
  </si>
  <si>
    <t>Male Privilege, in Counseling and Privilege</t>
  </si>
  <si>
    <t>White Privilege, in Counseling and Privilege</t>
  </si>
  <si>
    <t>Social Class Privilege, in Counseling and Privilege</t>
  </si>
  <si>
    <t>Counseling Arab Americans II: Clinical Vignettes, in Counseling Arab Americans</t>
  </si>
  <si>
    <t>Counseling Arab Americans: Diversity, Treatment Goals and Interventions, in Counseling Arab Americans</t>
  </si>
  <si>
    <t>Facing Our Future: Social and Cultural Foundations, in Counseling Elders</t>
  </si>
  <si>
    <t>Facing Our Future: Lifestyle and Career Development, in Counseling Elders</t>
  </si>
  <si>
    <t>Facing Our Future: Group Procedures With Older People, in Counseling Elders</t>
  </si>
  <si>
    <t>Facing Our Future: Helping Relationships, in Counseling Elders</t>
  </si>
  <si>
    <t>Facing Our Future: Human Growth and Development, in Counseling Elders</t>
  </si>
  <si>
    <t>Counseling Filipino Americans: Part 1, in Counseling Filipino Americans</t>
  </si>
  <si>
    <t>Counseling Filipino Americans: Part 3, in Counseling Filipino Americans</t>
  </si>
  <si>
    <t>Counseling Filipino Americans: Part 2, in Counseling Filipino Americans</t>
  </si>
  <si>
    <t>Cultural Competence in the Helping Professions, in Counseling the Culturally Diverse</t>
  </si>
  <si>
    <t>Multicultural Counseling/Therapy: Culturally Appropriate Intervention Strategies, in Counseling the Culturally Diverse</t>
  </si>
  <si>
    <t>Overcoming Barriers to Effective Multicultural Counseling and Therapy, in Counseling the Culturally Diverse</t>
  </si>
  <si>
    <t>Racial/Cultural Identity Development: Implications for Counseling/Therapy, in Counseling the Culturally Diverse</t>
  </si>
  <si>
    <t>Racial Microaggressions: Impact and Implications for Counseling Practice, in Counseling the Culturally Diverse</t>
  </si>
  <si>
    <t>White Racial Identity Development, in Counseling the Culturally Diverse</t>
  </si>
  <si>
    <t>Emotional Roadblocks to Counseling the Culturally Diverse, in Counseling the Culturally Diverse</t>
  </si>
  <si>
    <t>Solution-Focused Therapy, in Counseling Theories in Action</t>
  </si>
  <si>
    <t>Cognitive-Behavioral Therapy, in Counseling Theories in Action</t>
  </si>
  <si>
    <t>Existential Therapy, in Counseling Theories in Action</t>
  </si>
  <si>
    <t>Transpersonal Therapy, in Counseling Theories in Action</t>
  </si>
  <si>
    <t>Multicultural Feminist Therapy, in Counseling Theories in Action</t>
  </si>
  <si>
    <t>Gestalt Therapy, in Counseling Theories in Action</t>
  </si>
  <si>
    <t>Adlerian Therapy, in Counseling Theories in Action</t>
  </si>
  <si>
    <t>Psychodynamic Therapy, in Counseling Theories in Action</t>
  </si>
  <si>
    <t>Counselling Children Lectures, Lecture 1: Joining With the Child and The Use of Miniature Animals, in Counselling Children</t>
  </si>
  <si>
    <t>Counselling Children Lectures, Lecture 2: Helping the Child to Tell Their Story and the Use of Sand-Tray, in Counselling Children</t>
  </si>
  <si>
    <t>Counselling Children Lectures, Lecture 4: Helping the Child to Change Thoughts and Behaviours, in Counselling Children</t>
  </si>
  <si>
    <t>Counselling Children Lectures, Lecture 3: Sequentially Planned Integrative Counselling for Children and the Use of Clay, in Counselling Children</t>
  </si>
  <si>
    <t>CBT &amp; Grief</t>
  </si>
  <si>
    <t>An Integrative Therapist</t>
  </si>
  <si>
    <t>Return to Practice: Interview 1</t>
  </si>
  <si>
    <t>Return to Practice: Interview 2</t>
  </si>
  <si>
    <t>Couples Conference 2018</t>
  </si>
  <si>
    <t>Innovative Approaches to Counseling Latina/o People, in Culturally Competent Counseling and Therapy</t>
  </si>
  <si>
    <t>Innovative Approaches to Counseling African Descent People, in Culturally Competent Counseling and Therapy</t>
  </si>
  <si>
    <t>Innovative Approaches From a White American Perspective, in Culturally Competent Counseling and Therapy</t>
  </si>
  <si>
    <t>Culturally Competent Counseling and Therapy: Innovative Approaches to Counseling Asian-American People, in Culturally Competent Counseling and Therapy</t>
  </si>
  <si>
    <t>Innovative Approaches to Counseling Native-American Indian People, in Culturally Competent Counseling and Therapy</t>
  </si>
  <si>
    <t>Depression and Suicide Assessment, in Cynthia, Opioid Use Disorder</t>
  </si>
  <si>
    <t>Core Video: F11.20 Opioid Use Disorder, Moderate; F10.20 Alcohol Use Disorder, Mild; F15.10 Amphetamine-Type Substance Use Disorder, Mild; F12.10 Cannabis Use Disorder, Mild; F13.20 Sedative, Hypnotic, Anxiolytic Use Disorder, Mild, in Cynthia, Opioid Use Disorder</t>
  </si>
  <si>
    <t>Core Video: Opioid Use Disorder, Moderate; Alcohol Use Disorder, Mild; Amphetamine-Type Substance Use Disorder, Mild; Cannabis Use Disorder, Mild; Sedative, Hypnotic, Anxiolytic Use Disorder, Mild, in Cynthia, Opioid Use Disorder</t>
  </si>
  <si>
    <t>DAST, in Cynthia, Opioid Use Disorder</t>
  </si>
  <si>
    <t>Criminal History Assessment, in Cynthia, Opioid Use Disorder</t>
  </si>
  <si>
    <t>Trauma Assessment V2, in Cynthia, Opioid Use Disorder</t>
  </si>
  <si>
    <t>Trauma Assessment V1, in Cynthia, Opioid Use Disorder</t>
  </si>
  <si>
    <t>Rewriting the Ending, in Daily Practice: Trauma Recovery, Day 6</t>
  </si>
  <si>
    <t>The Unforgiveness Hook, in Daily Practice: Trauma Recovery, Day 27</t>
  </si>
  <si>
    <t>Making Peace with Your Sleep, in Daily Practice: Trauma Recovery, Day 17</t>
  </si>
  <si>
    <t>Happiness Demands Acceptance &amp; Commitment, in Daily Practice: Trauma Recovery, Day 10</t>
  </si>
  <si>
    <t>Expect Moments of Strain in your Change Cycle, in Daily Practice: Trauma Recovery, Day 18</t>
  </si>
  <si>
    <t>Managing the Body, in Daily Practice: Trauma Recovery, Day 1</t>
  </si>
  <si>
    <t>In the Moment I Am Safe, in Daily Practice: Trauma Recovery, Day 5</t>
  </si>
  <si>
    <t>Grounding Lightstream, in Daily Practice: Trauma Recovery, Day 15</t>
  </si>
  <si>
    <t>Do I Really Say That to Myself?, in Daily Practice: Trauma Recovery, Day 4</t>
  </si>
  <si>
    <t>Assumptions Make Us Suffer, in Daily Practice: Trauma Recovery, Day 12</t>
  </si>
  <si>
    <t>Only Use Criticism as a Door Opener, in Daily Practice: Trauma Recovery, Day 21</t>
  </si>
  <si>
    <t>Forgiveness Is Something I Give Myself, in Daily Practice: Trauma Recovery, Day 8</t>
  </si>
  <si>
    <t>Self-Compassion Reflection, in Daily Practice: Trauma Recovery, Day 31</t>
  </si>
  <si>
    <t>Freedom Through Creativity, in Daily Practice: Trauma Recovery, Day 29</t>
  </si>
  <si>
    <t>You Did It - Congratulations!, in Daily Practice: Trauma Recovery, Day 30</t>
  </si>
  <si>
    <t>Compassion is the Pathway to Calm, in Daily Practice: Trauma Recovery, Day 22</t>
  </si>
  <si>
    <t>Using Your Clever Mind to Challenge Your Thoughts, in Daily Practice: Trauma Recovery, Day 9</t>
  </si>
  <si>
    <t>A Diet of Humor Adds Flavour to Life, in Daily Practice: Trauma Recovery, Day 26</t>
  </si>
  <si>
    <t>The Fear Challenge, in Daily Practice: Trauma Recovery, Day 13</t>
  </si>
  <si>
    <t>Heart Focused Breathing, in Daily Practice: Trauma Recovery, Day 14</t>
  </si>
  <si>
    <t>Use Exercise Daily in Your Recovery Toolkit, in Daily Practice: Trauma Recovery, Day 24</t>
  </si>
  <si>
    <t>The Silencing Response, in Daily Practice: Trauma Recovery, Day 28</t>
  </si>
  <si>
    <t>The Gratitude Attitude, in Daily Practice: Trauma Recovery, Day 3</t>
  </si>
  <si>
    <t>Motivation Is a 2 - Two Letter Word "DO IT", in Daily Practice: Trauma Recovery, Day 16</t>
  </si>
  <si>
    <t>This Has To Do More with Past Than Present, in Daily Practice: Trauma Recovery, Day 25</t>
  </si>
  <si>
    <t>Replaying the Positive, in Daily Practice: Trauma Recovery, Day 2</t>
  </si>
  <si>
    <t>Relaxed Breathing Guided Practice, in Daily Practice: Trauma Recovery, Day 7</t>
  </si>
  <si>
    <t>Neuroplasticity - The Brain Can Change, in Daily Practice: Trauma Recovery, Day 23</t>
  </si>
  <si>
    <t>Take a News Break, in Daily Practice: Trauma Recovery, Day 11</t>
  </si>
  <si>
    <t>Breath Trainer with Safety Cues, in Daily Practice: Trauma Recovery, Day 19</t>
  </si>
  <si>
    <t>Remember Feeling Completely Engaged, in Daily Practice: Trauma Recovery, Day 20</t>
  </si>
  <si>
    <t>Discovering the Human Brain: New Pathways to Neuroscience</t>
  </si>
  <si>
    <t>Human Brain Development: Nature and Nurture</t>
  </si>
  <si>
    <t>Bandura's Social Cognitive Theory: An Introduction</t>
  </si>
  <si>
    <t>Mary Ainsworth: Attachment and the Growth of Love</t>
  </si>
  <si>
    <t>Morality: Judgments &amp; Action</t>
  </si>
  <si>
    <t>His Own Best Subject: A Visit to B.F. Skinner's Basement</t>
  </si>
  <si>
    <t>B.F. Skinner: A Fresh Appraisal</t>
  </si>
  <si>
    <t>Paul, Adolescent Depression, Depression Assessment - Appetite, in Depression, Case 1: Paul, Case 1</t>
  </si>
  <si>
    <t>Paul, Adolescent Depression, Depression Assessment - Mood, in Depression, Case 1: Paul, Case 1</t>
  </si>
  <si>
    <t>Paul, Core Video: Adolescent Depression, in Depression, Case 1: Paul, Case 1</t>
  </si>
  <si>
    <t>Paul, Adolescent Depression, Depression Assessment - Sleep, in Depression, Case 1: Paul, Case 1</t>
  </si>
  <si>
    <t>Paul, Adolescent Depression, Depression Assessment - Relationships, in Depression, Case 1: Paul, Case 1</t>
  </si>
  <si>
    <t>Paul, Adolescent Depression, Depression Assessment - Suicidality V1, in Depression, Case 1: Paul, Case 1</t>
  </si>
  <si>
    <t>Paul, Adolescent Depression, Depression Assessment - Substance Use, in Depression, Case 1: Paul, Case 1</t>
  </si>
  <si>
    <t>Paul, Adolescent Depression, Depression Assessment - Suicidality V2, in Depression, Case 1: Paul, Case 1</t>
  </si>
  <si>
    <t>Paul, Adolescent Depression, Depression Assessment - Interests, in Depression, Case 1: Paul, Case 1</t>
  </si>
  <si>
    <t>Paul, Adolescent Depression, Depression Assessment - Suicidality V3, in Depression, Case 1: Paul, Case 1</t>
  </si>
  <si>
    <t>Natalie, Adolescent Depression, Abuse Assessment V2, in Depression, Case 2: Natalie, Case 2</t>
  </si>
  <si>
    <t>Natalie, Adolescent Depression, Depression Assessment - Mood and Suicidality, in Depression, Case 2: Natalie, Case 2</t>
  </si>
  <si>
    <t>Natalie, Adolescent Depression, Abuse Assessment V1, in Depression, Case 2: Natalie, Case 2</t>
  </si>
  <si>
    <t>Natalie, Adolescent Depression, Abuse Assessment V3, in Depression, Case 2: Natalie, Case 2</t>
  </si>
  <si>
    <t>Natalie, Core Video: Adolescent Depression, in Depression, Case 2: Natalie, Case 2</t>
  </si>
  <si>
    <t>Natalie, Adolescent Depression, Depression Assessment - Sleep, in Depression, Case 2: Natalie, Case 2</t>
  </si>
  <si>
    <t>Natalie, Adolescent Depression, Depression Assessment - Substance Use, in Depression, Case 2: Natalie, Case 2</t>
  </si>
  <si>
    <t>Natalie, Adolescent Depression, Depression Assessment - Relationships, in Depression, Case 2: Natalie, Case 2</t>
  </si>
  <si>
    <t>Natalie, Adolescent Depression, Depression Assessment - Appetite, in Depression, Case 2: Natalie, Case 2</t>
  </si>
  <si>
    <t>Natalie, Adolescent Depression, Depression Assessment - Interests, in Depression, Case 2: Natalie, Case 2</t>
  </si>
  <si>
    <t>Brian, Adolescent Cystic Fibrosis Patient, Self Harm Assessment, in Depression, Case 3: Brian, Case 3</t>
  </si>
  <si>
    <t>Brian, Adolescent Cystic Fibrosis Patient, Depression Assessment - Mood and Thinking, in Depression, Case 3: Brian, Case 3</t>
  </si>
  <si>
    <t>Brian, Adolescent Cystic Fibrosis Patient, Depression Assessment - Relationships, in Depression, Case 3: Brian, Case 3</t>
  </si>
  <si>
    <t>Brian, Adolescent Cystic Fibrosis Patient, Depression Assessment - Interests, in Depression, Case 3: Brian, Case 3</t>
  </si>
  <si>
    <t>Brian, Adolescent Cystic Fibrosis Patient, Depression Assessment - Sleep and Appetite, in Depression, Case 3: Brian, Case 3</t>
  </si>
  <si>
    <t>Brian, Core Video: Adolescent Cystic Fibrosis Patient with Suicidal Ideation, in Depression, Case 3: Brian, Case 3</t>
  </si>
  <si>
    <t>Kramer, Core Video: Adolescent Adjustment Disorder, in Depression, Case 4: Kramer, Case 4</t>
  </si>
  <si>
    <t>Kramer, Adolescent Adjustment Disorder, Depression Assessment - Sleep and Appetite, in Depression, Case 4: Kramer, Case 4</t>
  </si>
  <si>
    <t>Kramer, Adolescent Adjustment Disorder, Depression Assessment - Suicide and Safety, in Depression, Case 4: Kramer, Case 4</t>
  </si>
  <si>
    <t>Kramer, Adolescent Adjustment Disorder, Depression Assessment - Relationships, in Depression, Case 4: Kramer, Case 4</t>
  </si>
  <si>
    <t>Kramer, Adolescent Adjustment Disorder, Depression Assessment - Interests, in Depression, Case 4: Kramer, Case 4</t>
  </si>
  <si>
    <t>Kramer, Adolescent Adjustment Disorder, Depression Assessment - Mood and Thinking, in Depression, Case 4: Kramer, Case 4</t>
  </si>
  <si>
    <t>Kramer, Adolescent Adjustment Disorder, Substance Use Assessment, in Depression, Case 4: Kramer, Case 4</t>
  </si>
  <si>
    <t>Surviving Racism: A Message to People of Color, in Derald Wing Sue's Series on Racism</t>
  </si>
  <si>
    <t>The Psychology of Racism: Where Have We Gone Wrong?, in Derald Wing Sue's Series on Racism</t>
  </si>
  <si>
    <t>What Does It Mean to be White? The Invisible Whiteness of Being, in Derald Wing Sue's Series on Racism</t>
  </si>
  <si>
    <t>Overcoming Personal Racism: What Can I Do?, in Derald Wing Sue's Series on Racism</t>
  </si>
  <si>
    <t>Early Development, in Developmental Aspects of Group Counseling</t>
  </si>
  <si>
    <t>Transition/Working Stage, in Developmental Aspects of Group Counseling</t>
  </si>
  <si>
    <t>Working Stage/Termination, in Developmental Aspects of Group Counseling</t>
  </si>
  <si>
    <t>Developmental Counseling and Therapy, Part 2</t>
  </si>
  <si>
    <t>Developmental Counseling and Therapy, Part 1</t>
  </si>
  <si>
    <t>Elimination Disorders, in Diagnosing Mental Disorders: DSM-5â„¢ and ICD-10</t>
  </si>
  <si>
    <t>Diagnosing Mental Disorders : DSM-5â„¢ and ICD-10</t>
  </si>
  <si>
    <t>Other Conditions, in Diagnosing Mental Disorders: DSM-5â„¢ and ICD-10</t>
  </si>
  <si>
    <t>Somatic Symptom and Related Disorders, in Diagnosing Mental Disorders: DSM-5â„¢ and ICD-10</t>
  </si>
  <si>
    <t>Sexual Dysfunctions, in Diagnosing Mental Disorders: DSM-5â„¢ and ICD-10</t>
  </si>
  <si>
    <t>Neurocognitive Disorders, in Diagnosing Mental Disorders: DSM-5â„¢ and ICD-10</t>
  </si>
  <si>
    <t>Sleep Disorders, in Diagnosing Mental Disorders: DSM-5â„¢ and ICD-10</t>
  </si>
  <si>
    <t>Paraphilic Disorders, in Diagnosing Mental Disorders: DSM-5â„¢ and ICD-10</t>
  </si>
  <si>
    <t>Gender Dysphoria, in Diagnosing Mental Disorders: DSM-5â„¢ and ICD-10</t>
  </si>
  <si>
    <t>Neurodevelopmental Disorders, in Diagnosing Mental Disorders: DSM-5â„¢ and ICD-10</t>
  </si>
  <si>
    <t>Dissociative Disorders, in Diagnosing Mental Disorders: DSM-5â„¢ and ICD-10</t>
  </si>
  <si>
    <t>Impulse and Conduct Disorders, in Diagnosing Mental Disorders: DSM-5â„¢ and ICD-10</t>
  </si>
  <si>
    <t>Addictive Disorders, in Diagnosing Mental Disorders: DSM-5â„¢ and ICD-10</t>
  </si>
  <si>
    <t>Personality Disorders, in Diagnosing Mental Disorders: DSM-5â„¢ and ICD-10</t>
  </si>
  <si>
    <t>Eating Disorders, in Diagnosing Mental Disorders: DSM-5â„¢ and ICD-10</t>
  </si>
  <si>
    <t>Obsessive-Compulsive Disorders, in Diagnosing Mental Disorders: DSM-5â„¢ and ICD-10</t>
  </si>
  <si>
    <t>Trauma-Related Disorders, in Diagnosing Mental Disorders: DSM-5â„¢ and ICD-10</t>
  </si>
  <si>
    <t>Depressive Disorders, in Diagnosing Mental Disorders: DSM-5â„¢ and ICD-10</t>
  </si>
  <si>
    <t>Diagnostic Criteria, in Diagnosing Mental Disorders: DSM-5â„¢ and ICD-10</t>
  </si>
  <si>
    <t>Schizophrenia and Other Psychotic Disorders, in Diagnosing Mental Disorders: DSM-5â„¢ and ICD-10</t>
  </si>
  <si>
    <t>Bipolar Disorders, in Diagnosing Mental Disorders: DSM-5â„¢ and ICD-10</t>
  </si>
  <si>
    <t>Anxiety Disorders, in Diagnosing Mental Disorders: DSM-5â„¢ and ICD-10</t>
  </si>
  <si>
    <t>My Whole Self</t>
  </si>
  <si>
    <t>SPA</t>
  </si>
  <si>
    <t>ZOOM IN</t>
  </si>
  <si>
    <t>What Are You?</t>
  </si>
  <si>
    <t>Reveal Moments: Microaggressions in Everyday Life</t>
  </si>
  <si>
    <t>Jungian Analytical Play Therapy: A Clinical Session and Interview, in Distinguished Contributors to Play Therapy Series</t>
  </si>
  <si>
    <t>Reflections on Relationship Play Therapy, in Distinguished Contributors to Play Therapy Series</t>
  </si>
  <si>
    <t>Relationship Play Therapy: A Clinical Session, in Distinguished Contributors to Play Therapy Series</t>
  </si>
  <si>
    <t>Developmental Play Therapy: A Clinical Session, in Distinguished Contributors to Play Therapy Series</t>
  </si>
  <si>
    <t>Boys and Men Healing From Child Sexual Abuse</t>
  </si>
  <si>
    <t>Life After Death: A Woman Addict's Journey Through the Healing Process</t>
  </si>
  <si>
    <t>Recognizing Child Abuse: Sexual Abuse</t>
  </si>
  <si>
    <t>Stress Relief: Healing With Dr. Russ Greenfield</t>
  </si>
  <si>
    <t>What Every Caregiver Needs to Know About Alzheimer's Disease</t>
  </si>
  <si>
    <t>Remembering</t>
  </si>
  <si>
    <t>Understanding the Mind Body Connection, in Health Choices</t>
  </si>
  <si>
    <t>Eternal High: A Teenager's Experience With Depression and Suicide That Will Change Your Life</t>
  </si>
  <si>
    <t>Blank Canvas</t>
  </si>
  <si>
    <t>Actions Have Consequences, in Ending the Cycle of Violence</t>
  </si>
  <si>
    <t>Bipolar Disorder: Research Advancements</t>
  </si>
  <si>
    <t>Bullying: What Every Adult Needs to Know</t>
  </si>
  <si>
    <t>Children are a Gift: Overcoming Child Abuse</t>
  </si>
  <si>
    <t>Don't Stress Out About It</t>
  </si>
  <si>
    <t>A.I.D.S. at 21: It Wasn't Supposed to Happen Like This</t>
  </si>
  <si>
    <t>Odd Kid Out</t>
  </si>
  <si>
    <t>Stop Bullying! Stand Up for Yourself and Others</t>
  </si>
  <si>
    <t>Jenny's Reasons</t>
  </si>
  <si>
    <t>Late Life Depression</t>
  </si>
  <si>
    <t>All of Us</t>
  </si>
  <si>
    <t>Straight Talk About Autism</t>
  </si>
  <si>
    <t>Women With Alcohol Dependency: More Common Than You Think</t>
  </si>
  <si>
    <t>Dad's Coping Tips: Basic Training for New Dads</t>
  </si>
  <si>
    <t>Warning Signs</t>
  </si>
  <si>
    <t>Raising Children of Divorce</t>
  </si>
  <si>
    <t>Childhood Depression, in Doctor Is In</t>
  </si>
  <si>
    <t>The 10 Reasons Why Parents Abuse</t>
  </si>
  <si>
    <t>Asperger Syndrome: Living Outside the Bell Curve</t>
  </si>
  <si>
    <t>Health and Happiness: Starting the Search</t>
  </si>
  <si>
    <t>It's Not Me, It's My O.C.D.</t>
  </si>
  <si>
    <t>Women and Depression, in Doctor Is In</t>
  </si>
  <si>
    <t>Substance Abuse in the Elderly, in Doctor Is In</t>
  </si>
  <si>
    <t>Trauma: A Dynamic-Maturational Perspective on Danger, Attachment, and Adaptation across Generations, in Dr. Bessel A. van der Kolk's 24th Annual International Trauma Conference: Psychological Trauma: Neuroscience, Attachment and Therapeutic Interventions</t>
  </si>
  <si>
    <t>Trauma, Mindfulness, and the Neurobiology of Self: Transformation and Healing at the Confluence of Science and Dharma, in Dr. Bessel A. van der Kolk's 24th Annual International Trauma Conference: Psychological Trauma: Neuroscience, Attachment and Therapeutic Interventions</t>
  </si>
  <si>
    <t>Transforming the self through mindfulness, meditation and neurofeedback, in Dr. Bessel A. van der Kolk's 24th Annual International Trauma Conference: Psychological Trauma: Neuroscience, Attachment and Therapeutic Interventions</t>
  </si>
  <si>
    <t>Reflection on Prior Presentations, in Dr. Bessel A. van der Kolk's 24th Annual International Trauma Conference: Psychological Trauma: Neuroscience, Attachment and Therapeutic Interventions</t>
  </si>
  <si>
    <t>Mindfulness, 'Heartfulness', &amp; Trauma Therapy, in Dr. Bessel A. van der Kolk's 24th Annual International Trauma Conference: Psychological Trauma: Neuroscience, Attachment and Therapeutic Interventions</t>
  </si>
  <si>
    <t>The Current Challenges of Managing the Long-term Consequences of Trauma: The Prolonged and Unanticipated Impact of Traumatic Stress, in Dr. Bessel A. van der Kolk's 24th Annual International Trauma Conference: Psychological Trauma: Neuroscience, Attachment and Therapeutic Interventions</t>
  </si>
  <si>
    <t>Bridging the Sensory/Linguistic Divide in Trauma: What Teaching Autistic Children to Write Poetry Might Tell Us, in Dr. Bessel A. van der Kolk's 24th Annual International Trauma Conference: Psychological Trauma: Neuroscience, Attachment and Therapeutic Interventions</t>
  </si>
  <si>
    <t>Body Awareness and Social Cognition: Transdiagnostic Psychophysiological Research, in Dr. Bessel A. van der Kolk's 24th Annual International Trauma Conference: Psychological Trauma: Neuroscience, Attachment and Therapeutic Interventions</t>
  </si>
  <si>
    <t>Core Video: Cannabis Use Disorder, Moderate; Somatic Symptom Disorder, Part 4, in DSM 5: Greg, Cannabis Use Disorder, Part 4</t>
  </si>
  <si>
    <t>Core Video: Cannabis Use Disorder, Moderate, Part 1, in DSM 5: Greg, Cannabis Use Disorder, Part 1</t>
  </si>
  <si>
    <t>Core Video: Cannabis Use Disorder, Moderate, Part 2, in DSM 5: Greg, Cannabis Use Disorder, Part 2</t>
  </si>
  <si>
    <t>Core Video: Cannabis Use Disorder, Moderate, Part 3, in DSM 5: Greg, Cannabis Use Disorder, Part 3</t>
  </si>
  <si>
    <t>Catatonia Associated with Schizophrenia, Part 7: Echopraxia and Echolalia, in DSM 5: Mr. Smith, Catatonia Associated with Schizophrenia, Part 7</t>
  </si>
  <si>
    <t>Catatonia Associated with Schizophrenia, Part 6: Echolalia, in DSM 5: Mr. Smith, Catatonia Associated with Schizophrenia, Part 6</t>
  </si>
  <si>
    <t>Catatonia Associated with Schizophrenia, Part 5, in DSM 5: Mr. Smith, Catatonia Associated with Schizophrenia, Part 5</t>
  </si>
  <si>
    <t>Catatonia Associated with Schizophrenia, Part 1, in DSM 5: Mr. Smith, Catatonia Associated with Schizophrenia, Part 1</t>
  </si>
  <si>
    <t>Catatonia Associated with Schizophrenia, Part 4, in DSM 5: Mr. Smith, Catatonia Associated with Schizophrenia, Part 4</t>
  </si>
  <si>
    <t>Catatonia Associated with Schizophrenia, Part 3, in DSM 5: Mr. Smith, Catatonia Associated with Schizophrenia, Part 3</t>
  </si>
  <si>
    <t>Catatonia Associated with Schizophrenia, Part 2, in DSM 5: Mr. Smith, Catatonia Associated with Schizophrenia, Part 2</t>
  </si>
  <si>
    <t>Schizophrenia demonstrating the symptoms of thought blocking and of a thought-withdrawal delusion, Part 11, in DSM 5: Mrs. Warren, Schizophrenia Spectrum, Part 11</t>
  </si>
  <si>
    <t>Delusional Disorder Persecutory Type, Part 13, in DSM 5: Mrs. Warren, Schizophrenia Spectrum, Episode 13</t>
  </si>
  <si>
    <t>Rule/Out Schizophrenia demonstrating the symptom of self-reference, Part 5, in DSM 5: Mrs. Warren, Schizophrenia Spectrum, Part 5</t>
  </si>
  <si>
    <t>Delusional Disorder Persecutory Type, Part 14, in DSM 5: Mrs. Warren, Schizophrenia Spectrum, Episode 14</t>
  </si>
  <si>
    <t>Rule/Out Schizophrenia demonstrating symptoms of paranoia, Part 4, in DSM 5: Mrs. Warren, Schizophrenia Spectrum, Part 4</t>
  </si>
  <si>
    <t>Schizophrenia demonstrating the symptom of a somatic delusion, Part 6, in DSM 5: Mrs. Warren, Schizophrenia Spectrum, Part 6</t>
  </si>
  <si>
    <t>Delusional Disorder Thought Broadcasting Type, Part 20, in DSM 5: Mrs. Warren, Schizophrenia Spectrum, Episode 20</t>
  </si>
  <si>
    <t>Delusional Disorder Thought Insertion Type, Part 19, in DSM 5: Mrs. Warren, Schizophrenia Spectrum, Episode 19</t>
  </si>
  <si>
    <t>Schizophrenia demonstrating the symptom of a grandiose delusion, Part 8, in DSM 5: Mrs. Warren, Schizophrenia Spectrum, Part 8</t>
  </si>
  <si>
    <t>Schizophrenia demonstrating the symptom of a thought-insertion delusion, Part 9, in DSM 5: Mrs. Warren, Schizophrenia Spectrum, Part 9</t>
  </si>
  <si>
    <t>Schizophrenia demonstrating the delusional symptom that someone else controls her behaviors/movements, Part 12, in DSM 5: Mrs. Warren, Schizophrenia Spectrum, Part 12</t>
  </si>
  <si>
    <t>Rule/Out Schizophrenia demonstrating symptoms of paranoia, Part 3, in DSM 5: Mrs. Warren, Schizophrenia Spectrum, Part 3</t>
  </si>
  <si>
    <t>Rule/Out Schizophrenia demonstrating negative symptoms, Part 1, in DSM 5: Mrs. Warren, Schizophrenia Spectrum, Part 1</t>
  </si>
  <si>
    <t>Delusional Disorder Thought Blocking and Thought Withdrawal Type, Part 21, in DSM 5: Mrs. Warren, Schizophrenia Spectrum, Episode 21</t>
  </si>
  <si>
    <t>Rule/Out Schizophrenia demonstrating negative symptoms, Part 2, in DSM 5: Mrs. Warren, Schizophrenia Spectrum, Part 2</t>
  </si>
  <si>
    <t>Delusional Disorder Grandiose Type, Part 17, in DSM 5: Mrs. Warren, Schizophrenia Spectrum, Episode 17</t>
  </si>
  <si>
    <t>Schizophrenia demonstrating the symptom of a grandiose delusion, Part 7, in DSM 5: Mrs. Warren, Schizophrenia Spectrum, Part 7</t>
  </si>
  <si>
    <t>Schizophrenia demonstrating the delusional symptom of thought broadcasting, Part 10, in DSM 5: Mrs. Warren, Schizophrenia Spectrum, Part 10</t>
  </si>
  <si>
    <t>Delusional Disorder Somatic Type, Part 16, in DSM 5: Mrs. Warren, Schizophrenia Spectrum, Episode 16</t>
  </si>
  <si>
    <t>Delusional Disorder Erotomanic Type, Part 18, in DSM 5: Mrs. Warren, Schizophrenia Spectrum, Episode 18</t>
  </si>
  <si>
    <t>Body Dysmorphic Disorder, in DSM 5 Case Scenarios Series: Obsessive-Compulsive and Related Disorders, Episode 11</t>
  </si>
  <si>
    <t>Generalized Anxiety Disorder, in DSM 5 Case Scenarios Series: Anxiety Disorders, Episode 2</t>
  </si>
  <si>
    <t>Agoraphobia, in DSM 5 Case Scenarios Series: Anxiety Disorders, Episode 1</t>
  </si>
  <si>
    <t>Panic Disorder, in DSM 5 Case Scenarios Series: Anxiety Disorders, Episode 3</t>
  </si>
  <si>
    <t>Dissociative Amnesia without Dissociative Fugue (With localized or selective amnesia as opposed to general amnesia), in DSM 5 Case Scenarios Series: Depressive Disorders, Episode 10</t>
  </si>
  <si>
    <t>Relationship Distress with Spouse or Intimate Partner; Phase of Life Problem, in DSM 5 Case Scenarios Series: Other Conditions That May Be a Focus of Clinical Attention Nonadherence to Medical Treatment</t>
  </si>
  <si>
    <t>Paranoid Personality Disorder, in DSM 5 Case Scenarios Series: Personality Disorders</t>
  </si>
  <si>
    <t>Borderline Personality Disorder, in DSM 5 Case Scenarios Series: Personality Disorders, Episode 16</t>
  </si>
  <si>
    <t>Histrionic Personality Disorder Version 2, in DSM 5 Case Scenarios Series: Personality Disorders, Episode 19</t>
  </si>
  <si>
    <t>Schizotypal Personality Disorder, in DSM 5 Case Scenarios Series: Personality Disorders, Episode 24</t>
  </si>
  <si>
    <t>Obsessive Compulsive Personality Disorder, in DSM 5 Case Scenarios Series: Personality Disorders, Episode 21</t>
  </si>
  <si>
    <t>Schizoid Personality Disorder, in DSM 5 Case Scenarios Series: Personality Disorders, Episode 23</t>
  </si>
  <si>
    <t>Avoidant Personality Disorder, in DSM 5 Case Scenarios Series: Personality Disorders, Episode 15</t>
  </si>
  <si>
    <t>Dependent Personality Disorder, in DSM 5 Case Scenarios Series: Personality Disorders, Episode 17</t>
  </si>
  <si>
    <t>Antisocial Personality Disorder Version (1), in DSM 5 Case Scenarios Series: Personality Disorders, Episode 13</t>
  </si>
  <si>
    <t>Antisocial Personality Disorder Version (2), in DSM 5 Case Scenarios Series: Personality Disorders, Episode 14</t>
  </si>
  <si>
    <t>Histrionic Personality Disorder Version 1, in DSM 5 Case Scenarios Series: Personality Disorders, Episode 18</t>
  </si>
  <si>
    <t>Narcissistic Personality Disorder, in DSM 5 Case Scenarios Series: Personality Disorders, Episode 20</t>
  </si>
  <si>
    <t>Delusional Disorder â€“ Persecutory Type, Bizarre Content, in DSM 5 Case Scenarios Series: Schizophrenia Spectrum and Other Psychotic Disorders</t>
  </si>
  <si>
    <t>Delusional Disorder - Erotomanic, in DSM 5 Case Scenarios Series: Schizophrenia Spectrum and Other Psychotic Disorders, Episode 26</t>
  </si>
  <si>
    <t>Delusional Disorder - Somatic, in DSM 5 Case Scenarios Series: Schizophrenia Spectrum and Other Psychotic Disorders, Episode 30</t>
  </si>
  <si>
    <t>Brief Psychotic Disorder, in DSM 5 Case Scenarios Series: Schizophrenia Spectrum and Other Psychotic Disorders, Episode 25</t>
  </si>
  <si>
    <t>Delusional Disorder - Mixed, in DSM 5 Case Scenarios Series: Schizophrenia Spectrum and Other Psychotic Disorders, Episode 28</t>
  </si>
  <si>
    <t>Delusional Disorder - Persecutory, in DSM 5 Case Scenarios Series: Schizophrenia Spectrum and Other Psychotic Disorders, Episode 29</t>
  </si>
  <si>
    <t>Schizophrenia (with delusions, disorganized speech of derailment type, and negative symptoms of diminished emotional expression), in DSM 5 Case Scenarios Series: Schizophrenia Spectrum and Other Psychotic Disorders, Episode 31</t>
  </si>
  <si>
    <t>Delusional Disorder - Jealous, in DSM 5 Case Scenarios Series: Schizophrenia Spectrum and Other Psychotic Disorders, Episode 27</t>
  </si>
  <si>
    <t>Illness Anxiety Disorder 3, in DSM 5 Case Scenarios Series: Somatic Symptom and Related Disorders, Episode 36</t>
  </si>
  <si>
    <t>Illness Anxiety Disorder 2, in DSM 5 Case Scenarios Series: Somatic Symptom and Related Disorders, Episode 35</t>
  </si>
  <si>
    <t>Illness Anxiety Disorder 1, in DSM 5 Case Scenarios Series: Somatic Symptom and Related Disorders, Episode 34</t>
  </si>
  <si>
    <t>Obsessive-Compulsive and Related Disorders: Trichotillomania (Hair-Pulling Disorder); Obsessive-Compulsive Disorder, in DSM 5 Guided OCD Series</t>
  </si>
  <si>
    <t>Obsessive-Compulsive and Related Disorders: Hoarding Disorder with Excessive Acquisition, in DSM 5 Guided OCD Series</t>
  </si>
  <si>
    <t>Insomnia Due to a Medical Condition, in DSM 5 Guided Sleep-Wake Disorders Series</t>
  </si>
  <si>
    <t>Insomnia Due to a Mental Disorder; Major Depressive Disorder in Partial Remission; Relationship Distress with Spouse or Intimate Partner, in DSM 5 Guided Sleep-Wake Disorders Series</t>
  </si>
  <si>
    <t>Other Health Service Encounters for Counseling and Medical Advice: Sex Counseling V65.49, in DSM 5 Military Case Scenarios Series Index: Other Conditions That May Be a Focus of Clinical Attention, Episode 31</t>
  </si>
  <si>
    <t>Post Traumatic Stress Disorder A-6, in DSM 5 Military Case Scenarios Series Index: Trauma- and Stressor-Related Disorders, Episode 34</t>
  </si>
  <si>
    <t>Military Family - Spouse of a Veteran with Post Traumatic Stress Disorder, in DSM 5 Military Case Scenarios Series Index: Trauma- and Stressor-Related Disorders, Episode 30</t>
  </si>
  <si>
    <t>Adjustment Disorder with Mixed Anxiety and Depressed Mood, in DSM 5 Military Case Scenarios Series Index: Trauma- and Stressor-Related Disorders, Episode 27</t>
  </si>
  <si>
    <t>Post Traumatic Stress Disorder and Alcohol Use Disorder A-4, in DSM 5 Military Case Scenarios Series Index: Trauma- and Stressor-Related Disorders, Episode 35</t>
  </si>
  <si>
    <t>Adjustment Disorder with Mixed Disturbance of Emotions and Conduct versus Other Conditions That May Be a Focus of Clinical Attention: Other Problems Related to the Social Environment: Acculturation Difficulty V62.4, in DSM 5 Military Case Scenarios Series Index: Trauma- and Stressor-Related Disorders, Episode 28</t>
  </si>
  <si>
    <t>Post Traumatic Stress Disorder A-2, in DSM 5 Military Case Scenarios Series Index: Trauma- and Stressor-Related Disorders, Episode 32</t>
  </si>
  <si>
    <t>Post Traumatic Stress Disorder and Traumatic Brain Injury (TBI) A-3, in DSM 5 Military Case Scenarios Series Index: Trauma- and Stressor-Related Disorders, Episode 36</t>
  </si>
  <si>
    <t>Adjustment Disorder with Anxiety A-2, in DSM 5 Military Case Scenarios Series Index: Trauma- and Stressor-Related Disorders, Episode 25</t>
  </si>
  <si>
    <t>Post Traumatic Stress Disorder A-5, in DSM 5 Military Case Scenarios Series Index: Trauma- and Stressor-Related Disorders, Episode 33</t>
  </si>
  <si>
    <t>Adjustment Disorder with Depressed Mood and Traumatic Brain Injury (TBI) (Difficulty adjusting to wrist and head injuries from work-related accident), in DSM 5 Military Case Scenarios Series Index: Trauma- and Stressor-Related Disorders, Episode 26</t>
  </si>
  <si>
    <t>Adjustment Disorder with Anxiety A-1, in DSM 5 Military Case Scenarios Series Index: Trauma- and Stressor-Related Disorders, Episode 24</t>
  </si>
  <si>
    <t>Post Traumatic Stress Disorder with Derealization A-1, in DSM 5 Military Case Scenarios Series Index: Trauma- and Stressor-Related Disorders, Episode 37</t>
  </si>
  <si>
    <t>Core Video: Sedative, Hypnotic, Anxiolytic Use Disorder, Mild, in DSM 5: Mrs. Collins, Sedative, Hypnotic, Anxiolytic Use Disorder, Mild</t>
  </si>
  <si>
    <t>Gambling Disorder, in DSM 5: Chad, Gambling Disorder</t>
  </si>
  <si>
    <t>Core Video: Opioid Use Disorder, Mild, in DSM 5: Arnie, Opioid Use Disorder, Mild</t>
  </si>
  <si>
    <t>Anna, Adolescent Dyslexia, Depression Assessment - Interests, in Dyslexia, Case 1: Anna, Case 1</t>
  </si>
  <si>
    <t>Anna, Adolescent Dyslexia, Depression Assessment - Sleep, in Dyslexia, Case 1: Anna, Case 1</t>
  </si>
  <si>
    <t>Anna, Adolescent Dyslexia, Depression Assessment - Medication and Drug Use, in Dyslexia, Case 1: Anna, Case 1</t>
  </si>
  <si>
    <t>Anna, Adolescent Dyslexia, Depression Assessment - Stress, in Dyslexia, Case 1: Anna, Case 1</t>
  </si>
  <si>
    <t>Anna, Adolescent Dyslexia, Depression Assessment - Mood &amp; Suicidality V1, in Dyslexia, Case 1: Anna, Case 1</t>
  </si>
  <si>
    <t>Anna, Core Video: Adolescent Dyslexia, in Dyslexia, Case 1: Anna, Case 1</t>
  </si>
  <si>
    <t>Anna, Adolescent Dyslexia, Depression Assessment - Mood &amp; Suicidality V2, in Dyslexia, Case 1: Anna, Case 1</t>
  </si>
  <si>
    <t>Anna, Adolescent Dyslexia, Depression Assessment - Appetite, in Dyslexia, Case 1: Anna, Case 1</t>
  </si>
  <si>
    <t>Anna, Adolescent Dyslexia, Depression Assessment - Relationships, in Dyslexia, Case 1: Anna, Case 1</t>
  </si>
  <si>
    <t>Duncan, Core Video: Adolescent Dyslexia, in Dyslexia, Case 2: DuncanÂ , Case 2</t>
  </si>
  <si>
    <t>Dyslexia, Case 2 : DuncanÂ </t>
  </si>
  <si>
    <t>Duncan, Adolescent Dyslexia, Depression Assessment - Stress &amp; Anxiety, in Dyslexia, Case 2: DuncanÂ , Case 2</t>
  </si>
  <si>
    <t>Duncan, Adolescent Dyslexia, Depression Assessment - Substance Use, in Dyslexia, Case 2: DuncanÂ , Case 2</t>
  </si>
  <si>
    <t>Duncan, Adolescent Dyslexia, Depression Assessment - Bullying, in Dyslexia, Case 2: DuncanÂ , Case 2</t>
  </si>
  <si>
    <t>Duncan, Adolescent Dyslexia, Depression Assessment - Mood &amp; Suicidality, in Dyslexia, Case 2: DuncanÂ , Case 2</t>
  </si>
  <si>
    <t>Eating Disorder Assessment A-2, in Eating Disorder Assessment Series</t>
  </si>
  <si>
    <t>Eating Disorder Assessment A-3, in Eating Disorder Assessment Series</t>
  </si>
  <si>
    <t>Eating Disorder Assessment A-4, in Eating Disorder Assessment Series</t>
  </si>
  <si>
    <t>Eating Disorder Assessment A-5, in Eating Disorder Assessment Series</t>
  </si>
  <si>
    <t>Eating Disorder Assessment A-1, in Eating Disorder Assessment Series</t>
  </si>
  <si>
    <t>Eating Disorder Assessment A-6, in Eating Disorder Assessment Series</t>
  </si>
  <si>
    <t>Brainstorming: Teens Take on Mental Health in School</t>
  </si>
  <si>
    <t>Unequal Education: Revisited</t>
  </si>
  <si>
    <t>High on Perceptions</t>
  </si>
  <si>
    <t>Beyond Bullying</t>
  </si>
  <si>
    <t>Life Under Suspicion</t>
  </si>
  <si>
    <t>Living in Limbo: Youth out of Work and Out of School</t>
  </si>
  <si>
    <t>The Great Divide: Wealth Inequality in America</t>
  </si>
  <si>
    <t>Breathing Easy: Environmental Hazards in Public Housing</t>
  </si>
  <si>
    <t>Shadows of Ignorance</t>
  </si>
  <si>
    <t>War Within: Youth Depression</t>
  </si>
  <si>
    <t>Losing Ground: The New Face of Homelessness</t>
  </si>
  <si>
    <t>It's Not About Sex</t>
  </si>
  <si>
    <t>Alienated: Undocumented Immigrant Youth</t>
  </si>
  <si>
    <t>Harnessing the Power of Emotion, in Emotion Revolution: Harnessing the Power of Mind, Body, and Soul, Session 1</t>
  </si>
  <si>
    <t>Using Mindfulness to Accept Emotionality: Deepening the Moment, in Emotion Revolution: Harnessing the Power of Mind, Body, and Soul, Session 6</t>
  </si>
  <si>
    <t>Bringing the Felt Sense into Psychotherapy, in Emotion Revolution: Harnessing the Power of Mind, Body, and Soul, Session 2</t>
  </si>
  <si>
    <t>Healing the Angry Brain, in Emotion Revolution: Harnessing the Power of Mind, Body, and Soul, Session 5</t>
  </si>
  <si>
    <t>When Your Client Cries, in Emotion Revolution: Harnessing the Power of Mind, Body, and Soul, Session 3</t>
  </si>
  <si>
    <t>Our Brain's Negativity Bias: Taking in the Good, in Emotion Revolution: Harnessing the Power of Mind, Body, and Soul, Session 4</t>
  </si>
  <si>
    <t>Ericksonian Approaches to Hypnosis and Psychotherapy</t>
  </si>
  <si>
    <t>Biopsychopharmacology: What Psychotherapists Need to Know, Part 2, in Evolution of Psychotherapy</t>
  </si>
  <si>
    <t>The Solution Oriented Approach to Change: Brief Therapy Method to Finding the Answers Within Clients, in Evolution of Psychotherapy, Workshop 5</t>
  </si>
  <si>
    <t>Acceptance and Commitment Therapy as a Form of Process-Based Therapy, in Evolution of Psychotherapy, Workshop 15</t>
  </si>
  <si>
    <t>Motivational Interviewing, in Evolution of Psychotherapy</t>
  </si>
  <si>
    <t>Couples and Work, in Evolution of Psychotherapy</t>
  </si>
  <si>
    <t>New Developments in the Treatment of PTSD and Co-occurring Disorders: Ways to Bolster Resilience Across the Life Span, Part 1, in Evolution of Psychotherapy</t>
  </si>
  <si>
    <t>The Fiction of Memory, in Evolution of Psychotherapy</t>
  </si>
  <si>
    <t>Depression, in Evolution of Psychotherapy</t>
  </si>
  <si>
    <t>Managing the Crisis of Infidelity, in Evolution of Psychotherapy, Workshop 6</t>
  </si>
  <si>
    <t>Anxiety, in Evolution of Psychotherapy</t>
  </si>
  <si>
    <t>The Neurobiological and Psycho-Social Sequelae of Trauma and Resilience, in Evolution of Psychotherapy</t>
  </si>
  <si>
    <t>Fundamentals of Hypnosis, Part 1, in Evolution of Psychotherapy</t>
  </si>
  <si>
    <t>COVID-19 Impact Panel, in Evolution of Psychotherapy</t>
  </si>
  <si>
    <t>Strategic Methods, in Evolution of Psychotherapy</t>
  </si>
  <si>
    <t>Impulsive/Compulsive Sexual Behavior: A Sex Positive and Integrated Model of Treatment, in Evolution of Psychotherapy</t>
  </si>
  <si>
    <t>Agency and Positive Psychology, in Evolution of Psychotherapy</t>
  </si>
  <si>
    <t>From Feeling Good to Feeling Great, in Evolution of Psychotherapy</t>
  </si>
  <si>
    <t>Listening and Impact: What Therapists Can Learn from Music, in Evolution of Psychotherapy</t>
  </si>
  <si>
    <t>New Developments in the Treatment of PTSD and Co-occurring Disorders: Ways to Bolster Resilience Across the Life Span, Part 2, in Evolution of Psychotherapy</t>
  </si>
  <si>
    <t>The Emergence of a Polyvagal-Informed Therapy: How Vocal Music and Voice Contribute to Healing Following Trauma, in Evolution of Psychotherapy, Workshop 10</t>
  </si>
  <si>
    <t>My Journey from Evil to Heroism, in Evolution of Psychotherapy</t>
  </si>
  <si>
    <t>Homework Assignments, in Evolution of Psychotherapy</t>
  </si>
  <si>
    <t>A Couples Approach to Addiction Recovery (CAR), in Evolution of Psychotherapy</t>
  </si>
  <si>
    <t>Transforming Symptoms Into Resources, in Evolution of Psychotherapy</t>
  </si>
  <si>
    <t>Doing Imago Therapy in the Space Between, in Evolution of Psychotherapy</t>
  </si>
  <si>
    <t>Fundamentals of Hypnosis, Part 3, in Evolution of Psychotherapy</t>
  </si>
  <si>
    <t>Culture-Centered Psychotherapy, in Evolution of Psychotherapy, Workshop 3</t>
  </si>
  <si>
    <t>Safe Conversations: From the Clinic to the Culture, in Evolution of Psychotherapy, Workshop 12</t>
  </si>
  <si>
    <t>Creative Transformation in Generative Psychotherapy, in Evolution of Psychotherapy</t>
  </si>
  <si>
    <t>Exploring Hypnosis and Therapeutic Dissociation: The Role of Detachment Across Therapies as a Precursor to Meaningful Change, in Evolution of Psychotherapy, Workshop 8</t>
  </si>
  <si>
    <t>The Sex-Starved Marriage: A Practical Model for Helping Couples Bridge the Sexual Desire Gaps, in Evolution of Psychotherapy</t>
  </si>
  <si>
    <t>Better Results: Using Deliberate Practice to Improve Therapeutic, in Evolution of Psychotherapy</t>
  </si>
  <si>
    <t>A Bolder Model: How Should We Be Training the Next Generation of Therapists?, in Evolution of Psychotherapy</t>
  </si>
  <si>
    <t>Neuroscience for Psychotherapists, Part 1, in Evolution of Psychotherapy</t>
  </si>
  <si>
    <t>From Conflict to Connecting, in Evolution of Psychotherapy</t>
  </si>
  <si>
    <t>Integrating Dimensions of Cultural and Social Identities in the Psychotherapeutic Process, in Evolution of Psychotherapy</t>
  </si>
  <si>
    <t>A Trans-affirmative Model of Assessment and Treatment of Gender Incongruence, in Evolution of Psychotherapy</t>
  </si>
  <si>
    <t>Feeling Great: A New, High-Speed Treatment for Depression, in Evolution of Psychotherapy</t>
  </si>
  <si>
    <t>Biopsychopharmacology: What Psychotherapists Need to Know, Part 3, in Evolution of Psychotherapy, Episode 20</t>
  </si>
  <si>
    <t>A Constructive Narrative Treatment Approach, in Evolution of Psychotherapy</t>
  </si>
  <si>
    <t>Working with a 3-P Framework of Consciousness in Psychotherapy, in Evolution of Psychotherapy</t>
  </si>
  <si>
    <t>Effective Psychotherapists: Eight Clinical Skills that Improve Client Outcomes, in Evolution of Psychotherapy</t>
  </si>
  <si>
    <t>A Conversation about Processes of Change in Evidence-Based Psychotherapy, in Evolution of Psychotherapy</t>
  </si>
  <si>
    <t>Symptoms as Solutions: Welcoming and Integrating Disturbing Patterns as Integral to Sustainable Change, in Evolution of Psychotherapy, Workshop 16</t>
  </si>
  <si>
    <t>An Interview with Erving Polster, in Evolution of Psychotherapy</t>
  </si>
  <si>
    <t>Gottman Sound Relationship House Theory, in Evolution of Psychotherapy</t>
  </si>
  <si>
    <t>Therapeutic Oppression or Liberation: The Case for Multicultural Counseling and Therapy (MCT), in Evolution of Psychotherapy</t>
  </si>
  <si>
    <t>MWe and the Integration of Identity: The Importance of Mind in Confronting the Pandemics of COVID-19, Social Injustice, and Climate Destruction, in Evolution of Psychotherapy</t>
  </si>
  <si>
    <t>Family and Couples Therapy, in Evolution of Psychotherapy</t>
  </si>
  <si>
    <t>Working with Resistance as "Generative Complementarities", in Evolution of Psychotherapy</t>
  </si>
  <si>
    <t>Hypnosis and Experiential Learning, in Evolution of Psychotherapy</t>
  </si>
  <si>
    <t>New Developments in the Treatment of PTSD and Co-occurring Disorders: Ways to Bolster Resilience Across the Life Span, Part 3, in Evolution of Psychotherapy, Pre-Conference 04</t>
  </si>
  <si>
    <t>Neuroscience for Psychotherapists, Part 3, in Evolution of Psychotherapy</t>
  </si>
  <si>
    <t>Healing ADD, in Evolution of Psychotherapy</t>
  </si>
  <si>
    <t>The Treatment of Depressed-Suicidal Patients and Those Experiencing Prolonged and Complicated Grief Disorders, in Evolution of Psychotherapy, Workshop 2</t>
  </si>
  <si>
    <t>Enchantment: The Secret Ally of Psychotherapy, in Evolution of Psychotherapy</t>
  </si>
  <si>
    <t>"What Makes for Lasting Change?", in Evolution of Psychotherapy</t>
  </si>
  <si>
    <t>The End of Mental Illness, in Evolution of Psychotherapy</t>
  </si>
  <si>
    <t>We've Had Antidepressants for Over 30 Years Now: So, How's That Working Out for Us?, in Evolution of Psychotherapy</t>
  </si>
  <si>
    <t>It's Time to Invite the "Crazy Cousin" to the Family Picnic: Why Every Therapist Should Know Much More About the Hypnosis They're Already (Sort of) Doing, in Evolution of Psychotherapy</t>
  </si>
  <si>
    <t>Brain Wars: How Not Looking at the Brain Hurts Patients and Professionals, in Evolution of Psychotherapy</t>
  </si>
  <si>
    <t>How Change Happens: What the World's Literature on the Mediators of Therapeutic Change Can Teach Us, in Evolution of Psychotherapy</t>
  </si>
  <si>
    <t>Affirmative Approaches to Working with Gay Sons and Mothers, in Evolution of Psychotherapy</t>
  </si>
  <si>
    <t>Fundamentals of Hypnosis, Part 2, in Evolution of Psychotherapy</t>
  </si>
  <si>
    <t>Quick, Irreversible Cures for OCD, Panic Disorder, Social Anxiety, and Phobias, in Evolution of Psychotherapy, Workshop 7</t>
  </si>
  <si>
    <t>Neuroscience for Psychotherapists, Part 2, in Evolution of Psychotherapy</t>
  </si>
  <si>
    <t>Biopsychopharmacology: What Psychotherapists Need to Know, Part 1, in Evolution of Psychotherapy</t>
  </si>
  <si>
    <t>Evolution and Status of Cognitve Behavior Therapy: A Personal and Professional Journey, in Evolution of Psychotherapy</t>
  </si>
  <si>
    <t>What Process-Based Therapy and Commitment Looks Like, in Evolution of Psychotherapy</t>
  </si>
  <si>
    <t>Multicultural Issues, in Evolution of Psychotherapy</t>
  </si>
  <si>
    <t>The Secret Life of Shame: Transforming Buried Pain into Clinical Treasure, in Evolution of Psychotherapy</t>
  </si>
  <si>
    <t>Learn to Read Brain Scans: 50 Scans in 60 Minutes, in Evolution of Psychotherapy</t>
  </si>
  <si>
    <t>Clinical Demonstration 08: The Role Of Myth And Re-creating Self, in Evolution of Psychotherapy, Episode 17</t>
  </si>
  <si>
    <t>Clinical Demonstration 02: Sharing An Early Life Challenge And Unmet Childhood Need, in Evolution of Psychotherapy, Episode 17</t>
  </si>
  <si>
    <t>Clinical Demonstration With Discussant 01: Using Stories To Create Change In Psychotherapy, in Evolution of Psychotherapy, Episode 17</t>
  </si>
  <si>
    <t>Clinical Demonstration With Discussant 04: Creative Transformation In Generative Therapy, in Evolution of Psychotherapy, Episode 17</t>
  </si>
  <si>
    <t>Episode 17 Clinical Demonstration With Discussant 08: Placing The Burden Of Effective Psychotherapy On The Patient, in Evolution of Psychotherapy</t>
  </si>
  <si>
    <t>Clinical Demonstration 03: Hypnosis As A Context Of Empowerment, in Evolution of Psychotherapy, Episode 17</t>
  </si>
  <si>
    <t>Episode 17 Clinical Demonstration 12: Going Off The Deep End: Rediscovering Our Magical Roots In Healing And Psychotherapy, in Evolution of Psychotherapy</t>
  </si>
  <si>
    <t>Episode 17 Clinical Demonstration 11: In An Unspoken Voice: A Clinical Example, in Evolution of Psychotherapy</t>
  </si>
  <si>
    <t>Episode 17 Clinical Demonstration With Discussant 05: The Therapeutic Conversation: A Reunion Of The Minds, in Evolution of Psychotherapy</t>
  </si>
  <si>
    <t>Clinical Demonstration 09: Hexadancing: A Demonstration Of The Liberating Impact Of Process-focused Evidence-based Therapy, in Evolution of Psychotherapy, Episode 17</t>
  </si>
  <si>
    <t>Clinical Demonstration With Discussant 06: Evocative Psychotherapy, in Evolution of Psychotherapy, Episode 17</t>
  </si>
  <si>
    <t>Episode 17 Clinical Demonstration With Discussant 07: The Foreground-background Process, in Evolution of Psychotherapy</t>
  </si>
  <si>
    <t>Keynote 04: Mozart And The Art Of Listening, in Evolution of Psychotherapy, Episode 17</t>
  </si>
  <si>
    <t>Episode 17 Clinical Demonstration 13: Video Demonstration: Sexuality And Intimacy With Couples, in Evolution of Psychotherapy</t>
  </si>
  <si>
    <t>Episode 17 Keynote 06: Positive Psychology, Positive Interventions, &amp; Positive Education, in Evolution of Psychotherapy</t>
  </si>
  <si>
    <t>Clinical Demonstration 07: The Clinical Application Of Mindfulness And Compassion, in Evolution of Psychotherapy, Episode 17</t>
  </si>
  <si>
    <t>Strengths-Based CBT: Making a Positive Difference, in Evolution of Psychotherapy</t>
  </si>
  <si>
    <t>Love, Brain and Mind, in Evolution of Psychotherapy</t>
  </si>
  <si>
    <t>The Wizard of Us and the Mything Links, in Evolution of Psychotherapy</t>
  </si>
  <si>
    <t>Out of the Blue: Six Non-Medication Ways to Relieve Depression, in Evolution of Psychotherapy</t>
  </si>
  <si>
    <t>Art, Integration, Wholenessâ€¦ and the Feminine, in Evolution of Psychotherapy</t>
  </si>
  <si>
    <t>The Body Keeps Score: Integration of Mind, Brain, and Body in the Treatment of Trauma, in Evolution of Psychotherapy</t>
  </si>
  <si>
    <t>Aaron T. Beck: Cognitive Therapy Past, Present and Future Pathways: A Discussion with Judith Beck, in Evolution of Psychotherapy</t>
  </si>
  <si>
    <t>Psychology of Purpose, in Evolution of Psychotherapy</t>
  </si>
  <si>
    <t>The Magnificent Seven: Heroic Steps to Transform Impossible Relationships, in Evolution of Psychotherapy</t>
  </si>
  <si>
    <t>The Craft of Family Therapy, in Evolution of Psychotherapy</t>
  </si>
  <si>
    <t>The Green Boat: Reviving Ourselves and our Capsized Culture, in Evolution of Psychotherapy</t>
  </si>
  <si>
    <t>Affairs: Helping Couples to Heal from Infidelity, in Evolution of Psychotherapy</t>
  </si>
  <si>
    <t>A New Science of Love: A New Era for Couple Interventions, in Evolution of Psychotherapy</t>
  </si>
  <si>
    <t>History of Psychotherapy, in Evolution of Psychotherapy</t>
  </si>
  <si>
    <t>Children and Adolescents, in Evolution of Psychotherapy</t>
  </si>
  <si>
    <t>On Becoming a Master Therapist, in Evolution of Psychotherapy</t>
  </si>
  <si>
    <t>Teaching Psychotherapy Through Narrative, in Evolution of Psychotherapy</t>
  </si>
  <si>
    <t>Refocused Psychotherapy as the First Line of Intervention in Behavioral Health, in Evolution of Psychotherapy</t>
  </si>
  <si>
    <t>The Evolution of Psychotherapy: An Oxymoron, in Evolution of Psychotherapy</t>
  </si>
  <si>
    <t>Love in a Time of Illness, in Evolution of Psychotherapy</t>
  </si>
  <si>
    <t>Essentials of Trauma Therapy, in Evolution of Psychotherapy</t>
  </si>
  <si>
    <t>Fundamentals of EMDR Therapy as an Integrative Trauma Treatment, in Evolution of Psychotherapy</t>
  </si>
  <si>
    <t>Brain Wars: How Not Looking at the Brain Leads to Missed Diagnoses, Failed Treatments and Dangerous Behaviors, in Evolution of Psychotherapy</t>
  </si>
  <si>
    <t>Can We Treat Neuroticism?, in Evolution of Psychotherapy</t>
  </si>
  <si>
    <t>The Wisdom of Buddhist Psychology, in Evolution of Psychotherapy</t>
  </si>
  <si>
    <t>A New Way to Think About Couples, in Evolution of Psychotherapy</t>
  </si>
  <si>
    <t>Addiction, in Evolution of Psychotherapy</t>
  </si>
  <si>
    <t>Toward the Couples' Treatment of Infidelity: A Gottman Method Therapy, in Evolution of Psychotherapy</t>
  </si>
  <si>
    <t>Group Treatment of Situational Domestic Violence for Lower-Income Couples, in Evolution of Psychotherapy</t>
  </si>
  <si>
    <t>Brainstorm: Debunking the Myths about Adolescence and Revealing the Power and Purpose of the Teenage Brain, in Evolution of Psychotherapy</t>
  </si>
  <si>
    <t>The DSV-V Proposal for Personality Disorders Classification, in Evolution of Psychotherapy</t>
  </si>
  <si>
    <t>The Palette of the Therapist, in Evolution of Psychotherapy</t>
  </si>
  <si>
    <t>Posttraumatic Disorders, in Evolution of Psychotherapy</t>
  </si>
  <si>
    <t>Treatment of Individuals with Anger-Control Problems and Aggressive Behaviors: A Life-Span Treatment Approach, in Evolution of Psychotherapy</t>
  </si>
  <si>
    <t>Frontier of Trauma Treatment, in Evolution of Psychotherapy</t>
  </si>
  <si>
    <t>Reality is Negotiable: Absorbing People in Positive Possibilities, in Evolution of Psychotherapy</t>
  </si>
  <si>
    <t>The Addictive Family: The Legacy of Trauma, in Evolution of Psychotherapy</t>
  </si>
  <si>
    <t>Facilitating the RNA/DNA Epigenetics of Creating New Consciousness is the Next Step in the Evolution of Psychotherapy, in Evolution of Psychotherapy</t>
  </si>
  <si>
    <t>Suicide: Where We Are, Where We Were and Where Are We Going, in Evolution of Psychotherapy</t>
  </si>
  <si>
    <t>Dialectical Behavior Therapy, in Evolution of Psychotherapy</t>
  </si>
  <si>
    <t>REACH: Pushing Your Clinical Effectiveness to the Next Level, in Evolution of Psychotherapy</t>
  </si>
  <si>
    <t>Trauma, Spirituality and Recovery, in Evolution of Psychotherapy</t>
  </si>
  <si>
    <t>Abuse in Families, in Evolution of Psychotherapy</t>
  </si>
  <si>
    <t>Mindfulness, Mindsight and the Brain: What is Mind and Mental Health?, in Evolution of Psychotherapy</t>
  </si>
  <si>
    <t>From Brain Dynamics to Consciousness: How Matter Becomes Imagination, in Evolution of Psychotherapy</t>
  </si>
  <si>
    <t>Necessary and Sufficient: The Key Elements of Lasting Change in Couple Therapy, in Evolution of Psychotherapy</t>
  </si>
  <si>
    <t>Motivational Interviewing and the Language of Change, in Evolution of Psychotherapy</t>
  </si>
  <si>
    <t>What Brings Children into Therapy: A Developmental View, in Evolution of Psychotherapy</t>
  </si>
  <si>
    <t>Generative Trance and Transformation</t>
  </si>
  <si>
    <t>Positive Psychology: New Developments, in Evolution of Psychotherapy</t>
  </si>
  <si>
    <t>The Motivation Revolution, in Evolution of Psychotherapy</t>
  </si>
  <si>
    <t>Psychotherapy's Evolution: Beyond Pathology Into the Landscape of Living, in Evolution of Psychotherapy</t>
  </si>
  <si>
    <t>Research in Psychotherapy, in Evolution of Psychotherapy</t>
  </si>
  <si>
    <t>Cognitive Behavioral Therapy and Positive Psychology, in Evolution of Psychotherapy</t>
  </si>
  <si>
    <t>Counseling Someone Suffering from Severe Depression, in Evolution of Psychotherapy, 32</t>
  </si>
  <si>
    <t>Reality Therapy/Choice Theory Role Play, in Evolution of Psychotherapy, 37</t>
  </si>
  <si>
    <t>Generative Trance and Transformation, in Evolution of Psychotherapy, 11</t>
  </si>
  <si>
    <t>The Evolution of Psychotherapy: Chain Analysis, in Evolution of Psychotherapy, 13</t>
  </si>
  <si>
    <t>Facilitating Gene Expression in Hypnosis and Psychotherapy, in Evolution of Psychotherapy, 10</t>
  </si>
  <si>
    <t>Hypnosis as a Context for Developing Inner Resources, in Evolution of Psychotherapy, 12</t>
  </si>
  <si>
    <t>Cognitive Behavioral Therapy in the 21st Century, in Evolution of Psychotherapy, 14</t>
  </si>
  <si>
    <t>Counseling with Choice Theory: The New Reality Therapy, in Evolution of Psychotherapy, 33</t>
  </si>
  <si>
    <t>Using Focusing in Therapy, in Evolution of Psychotherapy, 22</t>
  </si>
  <si>
    <t>Comparing Therapies: Reality Therapy, in Evolution of Psychotherapy, 31</t>
  </si>
  <si>
    <t>Psychodrama, in Evolution of Psychotherapy</t>
  </si>
  <si>
    <t>Supervision, in Evolution of Psychotherapy, 20</t>
  </si>
  <si>
    <t>Brief Rational Emotive Behavior Therapy Demonstration, in Evolution of Psychotherapy</t>
  </si>
  <si>
    <t>Bioenergetics, in Evolution of Psychotherapy, 16</t>
  </si>
  <si>
    <t>Present Tense Self-Exploration, in Evolution of Psychotherapy, 35</t>
  </si>
  <si>
    <t>Brief Therapy: Redecision Therapy, in Evolution of Psychotherapy, 17</t>
  </si>
  <si>
    <t>Rational Emotive Behavior Therapy Demonstration, in Evolution of Psychotherapy</t>
  </si>
  <si>
    <t>Guiding Associations, in Evolution of Psychotherapy, 18</t>
  </si>
  <si>
    <t>Humanization of Technique, in Evolution of Psychotherapy, 24</t>
  </si>
  <si>
    <t>Supervision of Psychodynamic Psychotherapy, in Evolution of Psychotherapy, 40</t>
  </si>
  <si>
    <t>Working With the Body in Analytic Therapy, in Evolution of Psychotherapy, 15</t>
  </si>
  <si>
    <t>Demonstration of Cognitive Therapy, in Evolution of Psychotherapy</t>
  </si>
  <si>
    <t>Reality Therapy with a Simulated Client, in Evolution of Psychotherapy, 36</t>
  </si>
  <si>
    <t>A Case of Social Anxiety, in Evolution of Psychotherapy, 27</t>
  </si>
  <si>
    <t>The Journey, in Evolution of Psychotherapy, 21</t>
  </si>
  <si>
    <t>Analysis of a Social Neurosis, in Evolution of Psychotherapy, 28</t>
  </si>
  <si>
    <t>Client Centered Therapy, in Evolution of Psychotherapy</t>
  </si>
  <si>
    <t>A Conversation Hour With Viktor Frankl, in Evolution of Psychotherapy</t>
  </si>
  <si>
    <t>Existential Psychotherapy, in Evolution of Psychotherapy, 34</t>
  </si>
  <si>
    <t>Working Close, Humanistic, in Evolution of Psychotherapy, 41</t>
  </si>
  <si>
    <t>Supervision of a Psychotherapy Case, in Evolution of Psychotherapy, 39</t>
  </si>
  <si>
    <t>The Role of the Therapist, The Role of the Client: Panel, in Evolution of Psychotherapy, 25</t>
  </si>
  <si>
    <t>To Move is To Be Alive: Penny Lewis, Dance Therapy Pioneer</t>
  </si>
  <si>
    <t>â€œYES YOU CAN !â€: Art Centered Therapy for People with Disabilities: The Story of Mickie McGraw &amp; the Art Therapy Studio</t>
  </si>
  <si>
    <t>Art Therapy: A Universal Language for Healing</t>
  </si>
  <si>
    <t>Creative Healing in Mental Health</t>
  </si>
  <si>
    <t>Art Therapy With Older Adults: Beyond Words</t>
  </si>
  <si>
    <t>The Arts as Therapy With Children: Children &amp; the Arts</t>
  </si>
  <si>
    <t>Dance Therapy and Authentic Movement: Looking for Me, Still Looking</t>
  </si>
  <si>
    <t>Art Therapy Has Many Faces</t>
  </si>
  <si>
    <t>Expressive Arts Therapy Groups: The Green Creature Within</t>
  </si>
  <si>
    <t>Video: Family and Social Change: Family Diversity</t>
  </si>
  <si>
    <t>Family and Social Change: The End of Childhood</t>
  </si>
  <si>
    <t>Family and Social Change: Late Modernity and Family Change</t>
  </si>
  <si>
    <t>Family and Social Change: Childhood and New Technology</t>
  </si>
  <si>
    <t>Where Do I Begin</t>
  </si>
  <si>
    <t>100% Asphalt</t>
  </si>
  <si>
    <t>ARA</t>
  </si>
  <si>
    <t>Visionaries, Pioneers, Early Settlers: the Story of the American Art Therapy Association, in Founders &amp; Foundations: Art Therapy in America</t>
  </si>
  <si>
    <t>Art Therapy, in Founders &amp; Foundations: Art Therapy in America</t>
  </si>
  <si>
    <t>Creating Community, in Getting Advisory Right: Tools for Supporting Effective Advisories</t>
  </si>
  <si>
    <t>Social and Emotional Learning, in Getting Advisory Right: Tools for Supporting Effective Advisories</t>
  </si>
  <si>
    <t>Postsecondary Support, in Getting Advisory Right: Tools for Supporting Effective Advisories</t>
  </si>
  <si>
    <t>Academic Advisement, in Getting Advisory Right: Tools for Supporting Effective Advisories</t>
  </si>
  <si>
    <t>Gift From Within Counseling and Therapy Videos</t>
  </si>
  <si>
    <t>Coming of Age in Cherry Grove: The Invasion</t>
  </si>
  <si>
    <t>Freeway: Crack in the System</t>
  </si>
  <si>
    <t>American Drug War 2: Cannabis Destiny</t>
  </si>
  <si>
    <t>Aging with Grace: Supporting Aging Among Older Adults, in Great teachers, great courses</t>
  </si>
  <si>
    <t>Cultivating Client Strengths in Career Counseling, in Great teachers, great courses</t>
  </si>
  <si>
    <t>The Basics of Psychopharmacology, in Great teachers, great courses</t>
  </si>
  <si>
    <t>No Questions Asked: Understanding the Foundations of Clinical Interviewing, in Great teachers, great courses</t>
  </si>
  <si>
    <t>Rational Emotive Behavior Therapy: Tools, Techniques and Practice, in Great teachers, great courses</t>
  </si>
  <si>
    <t>Developing Student Strengths to Promote College &amp; Career Readiness, in Great teachers, great courses</t>
  </si>
  <si>
    <t>Understanding Psychotherapy Outcome Research, in Great teachers, great courses</t>
  </si>
  <si>
    <t>Rational Emotive Behavior Therapy: The Theory of a Comprehensive Cognitive Behavior Therapy, in Great teachers, great courses</t>
  </si>
  <si>
    <t>Understanding Counseling Theory, in Great teachers, great courses</t>
  </si>
  <si>
    <t>Relationship Sexuality: An Overview - One Size Doesn't Fit All, in Great teachers, great courses</t>
  </si>
  <si>
    <t>How Clinicians Can Take a Scientific Approach to Practice, in Great teachers, great courses</t>
  </si>
  <si>
    <t>Relationship Sexuality: An Overview - Can Sex Go Out of Bounds?, in Great teachers, great courses</t>
  </si>
  <si>
    <t>The Psychopharmacology of Depression, in Great teachers, great courses</t>
  </si>
  <si>
    <t>Relationship Sexuality: An Overview - When History Isn't History, in Great teachers, great courses</t>
  </si>
  <si>
    <t>The Adventure/Safety Paradox, in Great teachers, great courses</t>
  </si>
  <si>
    <t>On Being an Effective, Empowering and Compassionate Therapist, in Great teachers, great courses</t>
  </si>
  <si>
    <t>Types of Designs for Outcome Research in Counseling, in Great teachers, great courses</t>
  </si>
  <si>
    <t>Counseling Theory, Models, and Techniques, in Great teachers, great courses</t>
  </si>
  <si>
    <t>The Psychopharmacology of Anxiety, in Great teachers, great courses</t>
  </si>
  <si>
    <t>The Psychopharmacology of Bipolar Depression, in Great teachers, great courses</t>
  </si>
  <si>
    <t>DSM-5 Assessment, Differential Diagnosis and Documentation Process, in Great teachers, great courses</t>
  </si>
  <si>
    <t>Clinical, Ethical and Controversial Considerations Using the DSM-5, in Great teachers, great courses</t>
  </si>
  <si>
    <t>Relationship Sexuality: An Overview - Getting Back on Track, in Great teachers, great courses</t>
  </si>
  <si>
    <t>Socio-Racial Roundtable: The Ecology of Negative Imagery, Gender Roles and Racism, in Great teachers, great courses</t>
  </si>
  <si>
    <t>History, Structure and General Use of the DSM-5, in Great teachers, great courses</t>
  </si>
  <si>
    <t>Interviewing the "Challenging" Client: Scripts and Solutions, in Great teachers, great courses</t>
  </si>
  <si>
    <t>Positive Psychology and the Study of Human Strengths, in Great teachers, great courses</t>
  </si>
  <si>
    <t>Conducting a State-of-the-Science Suicide Assessment Interview, in Great teachers, great courses</t>
  </si>
  <si>
    <t>Theoretical Case Conceptualization and Treatment Planning, in Great teachers, great courses</t>
  </si>
  <si>
    <t>The Mental Status Examination: Description and Demonstration, in Great teachers, great courses</t>
  </si>
  <si>
    <t>The Initial Clinical Interview: Goals, Process, and Procedures, in Great teachers, great courses</t>
  </si>
  <si>
    <t>No More Bets Please: Overcoming Problem Gambling</t>
  </si>
  <si>
    <t>Living With Schizophrenia</t>
  </si>
  <si>
    <t>Living Well With Bipolar Disorder: A New Look</t>
  </si>
  <si>
    <t>A New Look at A.D.H.D.</t>
  </si>
  <si>
    <t>Treating Borderline Personality Disorder</t>
  </si>
  <si>
    <t>Understanding the Defiant Child</t>
  </si>
  <si>
    <t>Techniques of Play Therapy: A Clinical Demonstration</t>
  </si>
  <si>
    <t>Testifying About Child Sexual Abuse: A Courtroom Guide</t>
  </si>
  <si>
    <t>Understanding Borderline Personality Disorder</t>
  </si>
  <si>
    <t>E.M.D.R.: A Closer Look</t>
  </si>
  <si>
    <t>Play Therapy for Severe Psychological Trauma</t>
  </si>
  <si>
    <t>I Think They Think</t>
  </si>
  <si>
    <t>Treating Time Effectively: The First Session in Brief Therapy</t>
  </si>
  <si>
    <t>Managing the Defiant Child</t>
  </si>
  <si>
    <t>Essentials of Play Therapy With Abused Children</t>
  </si>
  <si>
    <t>A.D.H.D. In Adults</t>
  </si>
  <si>
    <t>A.D.H.D.: What Can We Do?</t>
  </si>
  <si>
    <t>Day by Day: Raising the Child With Autism/P.D.D.</t>
  </si>
  <si>
    <t>Cyber Intimacy and Cyber Solitude, in Helping Today's Parents: Practical New Approaches for Good Parenting in Challenging Times</t>
  </si>
  <si>
    <t>Attachment Issues with Step Families, in Helping Today's Parents: Practical New Approaches for Good Parenting in Challenging Times</t>
  </si>
  <si>
    <t>Overprotective Parenting, in Helping Today's Parents: Practical New Approaches for Good Parenting in Challenging Times</t>
  </si>
  <si>
    <t>Parenting with the Brain in Mind, in Helping Today's Parents: Practical New Approaches for Good Parenting in Challenging Times</t>
  </si>
  <si>
    <t>How to Stop Bullying, in Helping Today's Parents: Practical New Approaches for Good Parenting in Challenging Times</t>
  </si>
  <si>
    <t>Child Therapy Without Problems: The Kids Skills Approach, in Helping Today's Parents: Practical New Approaches for Good Parenting in Challenging Times</t>
  </si>
  <si>
    <t>Rethinking Family Therapy for the Postmodern Family, in Helping Today's Parents: Practical New Approaches for Good Parenting in Challenging Times</t>
  </si>
  <si>
    <t>Reclaiming Parental Authority, in Helping Today's Parents: Practical New Approaches for Good Parenting in Challenging Times</t>
  </si>
  <si>
    <t>Freud, Jung, and Psychoanalysis, in History of Psychology, Volume 2</t>
  </si>
  <si>
    <t>Mind, Self, and Soul, in History of Psychology, Volume 1</t>
  </si>
  <si>
    <t>Ethics, Logic, and Truth, in History of Psychology, Volume 3</t>
  </si>
  <si>
    <t>Trust vs. Mistrust: Trust 2, in Human Development Stages Index - Erik Erikson: Stage 1, Episode 5</t>
  </si>
  <si>
    <t>Trust vs. Mistrust: Mistrust 3, in Human Development Stages Index - Erik Erikson: Stage 1, Episode 3</t>
  </si>
  <si>
    <t>Trust vs. Mistrust: Trust 3, in Human Development Stages Index - Erik Erikson: Stage 1, Episode 6</t>
  </si>
  <si>
    <t>Trust vs. Mistrust: Mistrust 2, in Human Development Stages Index - Erik Erikson: Stage 1, Episode 2</t>
  </si>
  <si>
    <t>Trust vs. Mistrust: Trust 1, in Human Development Stages Index - Erik Erikson: Stage 1, Episode 4</t>
  </si>
  <si>
    <t>Trust vs. Mistrust: Mistrust 1, in Human Development Stages Index - Erik Erikson: Stage 1, Episode 1</t>
  </si>
  <si>
    <t>Autonomy vs. Shame: Autonomy 1, in Human Development Stages Index - Erik Erikson: Stage 2, Episode 7</t>
  </si>
  <si>
    <t>Autonomy vs. Shame: Autonomy 4, in Human Development Stages Index - Erik Erikson: Stage 2, Episode 10</t>
  </si>
  <si>
    <t>Autonomy vs. Shame: Autonomy 2, in Human Development Stages Index - Erik Erikson: Stage 2, Episode 8</t>
  </si>
  <si>
    <t>Autonomy vs. Shame: Autonomy 3, in Human Development Stages Index - Erik Erikson: Stage 2, Episode 9</t>
  </si>
  <si>
    <t>Autonomy vs. Shame: Shame 1, in Human Development Stages Index - Erik Erikson: Stage 2, Episode 11</t>
  </si>
  <si>
    <t>Autonomy vs. Shame: Shame 2, in Human Development Stages Index - Erik Erikson: Stage 2, Episode 12</t>
  </si>
  <si>
    <t>Initiative vs. Guilt: Guilt 1, in Human Development Stages Index - Erik Erikson: Stage 3, Episode 13</t>
  </si>
  <si>
    <t>Initiative vs. Guilt: Initiative 3, in Human Development Stages Index - Erik Erikson: Stage 3, Episode 19</t>
  </si>
  <si>
    <t>Initiative vs. Guilt: Initiative 2, in Human Development Stages Index - Erik Erikson: Stage 3, Episode 18</t>
  </si>
  <si>
    <t>Initiative vs. Guilt: Guilt 4, in Human Development Stages Index - Erik Erikson: Stage 3, Episode 16</t>
  </si>
  <si>
    <t>Initiative vs. Guilt: Initiative 1, in Human Development Stages Index - Erik Erikson: Stage 3, Episode 17</t>
  </si>
  <si>
    <t>Initiative vs. Guilt: Guilt 3, in Human Development Stages Index - Erik Erikson: Stage 3, Episode 15</t>
  </si>
  <si>
    <t>Initiative vs. Guilt: Guilt 2, in Human Development Stages Index - Erik Erikson: Stage 3, Episode 14</t>
  </si>
  <si>
    <t>Industry vs. Inferiority: Inferiority 2, in Human Development Stages Index - Erik Erikson: Stage 4, Episode 25</t>
  </si>
  <si>
    <t>Industry vs. Inferiority: Inferiority 3, in Human Development Stages Index - Erik Erikson: Stage 4, Episode 26</t>
  </si>
  <si>
    <t>Industry vs. Inferiority: Industry 2, in Human Development Stages Index - Erik Erikson: Stage 4, Episode 21</t>
  </si>
  <si>
    <t>Industry vs. Inferiority: Industry 3, in Human Development Stages Index - Erik Erikson: Stage 4, Episode 22</t>
  </si>
  <si>
    <t>Industry vs. Inferiority: Industry 1, in Human Development Stages Index - Erik Erikson: Stage 4, Episode 20</t>
  </si>
  <si>
    <t>Industry vs. Inferiority: Industry 4, in Human Development Stages Index - Erik Erikson: Stage 4, Episode 23</t>
  </si>
  <si>
    <t>Industry vs. Inferiority: Inferiority 1, in Human Development Stages Index - Erik Erikson: Stage 4, Episode 24</t>
  </si>
  <si>
    <t>Industry vs. Inferiority: Inferiority 5, in Human Development Stages Index - Erik Erikson: Stage 4, Episode 28</t>
  </si>
  <si>
    <t>Industry vs. Inferiority: Inferiority 4, in Human Development Stages Index - Erik Erikson: Stage 4, Episode 27</t>
  </si>
  <si>
    <t>Identity vs. Role Confusion: Role Confusion 1, in Human Development Stages Index - Erik Erikson: Stage 5, Episode 33</t>
  </si>
  <si>
    <t>Identity vs. Role Confusion: Identity 3, in Human Development Stages Index - Erik Erikson: Stage 5, Episode 31</t>
  </si>
  <si>
    <t>Identity vs. Role Confusion: Identity 2, in Human Development Stages Index - Erik Erikson: Stage 5, Episode 30</t>
  </si>
  <si>
    <t>Identity vs. Role Confusion: Identity 1, in Human Development Stages Index - Erik Erikson: Stage 5, Episode 29</t>
  </si>
  <si>
    <t>Identity vs. Role Confusion: Identity 4, in Human Development Stages Index - Erik Erikson: Stage 5, Episode 32</t>
  </si>
  <si>
    <t>Group Identity vs. Alienation: Alienation 3, in Human Development Stages Index - Erik Erikson: Stage 6, Episode 36</t>
  </si>
  <si>
    <t>Group Identity vs. Alienation: Group Identity 1, in Human Development Stages Index - Erik Erikson: Stage 6, Episode 38</t>
  </si>
  <si>
    <t>Group Identity vs. Alienation: Alienation 4, in Human Development Stages Index - Erik Erikson: Stage 6, Episode 37</t>
  </si>
  <si>
    <t>Group Identity vs. Alienation: Alienation 2, in Human Development Stages Index - Erik Erikson: Stage 6, Episode 35</t>
  </si>
  <si>
    <t>Group Identity vs. Alienation: Alienation 1, in Human Development Stages Index - Erik Erikson: Stage 6, Episode 34</t>
  </si>
  <si>
    <t>Intimacy vs. Isolation: Isolation 2, in Human Development Stages Index - Erik Erikson: Stage 7, Episode 41</t>
  </si>
  <si>
    <t>Intimacy vs. Isolation: Isolation 1, in Human Development Stages Index - Erik Erikson: Stage 7, Episode 40</t>
  </si>
  <si>
    <t>Intimacy vs. Isolation: Intimacy 2, in Human Development Stages Index - Erik Erikson: Stage 7, Episode 39</t>
  </si>
  <si>
    <t>Generativity vs. Stagnation: Generativity 2, in Human Development Stages Index - Erik Erikson: Stage 8, Episode 43</t>
  </si>
  <si>
    <t>Generativity vs. Stagnation: Generativity 1, in Human Development Stages Index - Erik Erikson: Stage 8, Episode 42</t>
  </si>
  <si>
    <t>Generativity vs. Stagnation: Stagnation 1, in Human Development Stages Index - Erik Erikson: Stage 8, Episode 44</t>
  </si>
  <si>
    <t>Generativity vs. Stagnation: Stagnation 2, in Human Development Stages Index - Erik Erikson: Stage 8, Episode 45</t>
  </si>
  <si>
    <t>Integrity vs. Despair: Despair 1, in Human Development Stages Index - Erik Erikson: Stage 9, Episode 46</t>
  </si>
  <si>
    <t>Integrity vs. Despair: Integrity 1, in Human Development Stages Index - Erik Erikson: Stage 9, Episode 47</t>
  </si>
  <si>
    <t>Core Video: F12.20 Cannabis Use Disorder, Moderate, Part 3, in ICD 10: Greg, Cannabis Use Disorder, Part 3</t>
  </si>
  <si>
    <t>Core Video: F12.20 Cannabis Use Disorder, Moderate, Part 2, in ICD 10: Greg, Cannabis Use Disorder, Part 2</t>
  </si>
  <si>
    <t>Core Video: F12.20 Cannabis Use Disorder, Moderate, Part 1, in ICD 10: Greg, Cannabis Use Disorder, Part 1</t>
  </si>
  <si>
    <t>Core Video: F12.20 Cannabis Use Disorder, Moderate; F45.10 Somatic Symptom Disorder, Part 4, in ICD 10: Greg, Cannabis Use Disorder, Part 4</t>
  </si>
  <si>
    <t>F06.1 Catatonia Associated with F20.9 Schizophrenia, Part 4, in ICD 10: Mr. Smith, Catatonia Associated with Schizophrenia, Part 4</t>
  </si>
  <si>
    <t>F06.1 Catatonia Associated with F20.9 Schizophrenia, Part 5, in ICD 10: Mr. Smith, Catatonia Associated with Schizophrenia, Part 5</t>
  </si>
  <si>
    <t>F06.1 Catatonia Associated with F20.9 Schizophrenia, Part 6 Echolalia, in ICD 10: Mr. Smith, Catatonia Associated with Schizophrenia, Part 6</t>
  </si>
  <si>
    <t>F06.1 Catatonia Associated with F20.9 Schizophrenia, Part 3, in ICD 10: Mr. Smith, Catatonia Associated with Schizophrenia, Part 3</t>
  </si>
  <si>
    <t>F06.1 Catatonia Associated with F20.9 Schizophrenia, Part 7 Echopraxia and Echolalia, in ICD 10: Mr. Smith, Catatonia Associated with Schizophrenia, Part 7</t>
  </si>
  <si>
    <t>F06.1 Catatonia Associated with F20.9 Schizophrenia, Part 1, in ICD 10: Mr. Smith, Catatonia Associated with Schizophrenia, Part 1</t>
  </si>
  <si>
    <t>F06.1 Catatonia Associated with F20.9 Schizophrenia, Part 2, in ICD 10: Mr. Smith, Catatonia Associated with Schizophrenia, Part 2</t>
  </si>
  <si>
    <t>F22 Delusional Disorder Thought Blocking and Thought Withdrawal Type, Part 21, in ICD 10: Mrs. Warren, Schizophrenia Spectrum, Part 21</t>
  </si>
  <si>
    <t>Rule/Out F20.9 Schizophrenia demonstrating negative symptoms, Part 2, in ICD 10: Mrs. Warren, Schizophrenia Spectrum, Part 2</t>
  </si>
  <si>
    <t>F20.9 Schizophrenia demonstrating the symptom of a thought-insertion delusion, Part 9, in ICD 10: Mrs. Warren, Schizophrenia Spectrum, Part 9</t>
  </si>
  <si>
    <t>Rule/Out F20.9 Schizophrenia demonstrating symptoms of paranoia, Part 3, in ICD 10: Mrs. Warren, Schizophrenia Spectrum, Part 3</t>
  </si>
  <si>
    <t>F22 Delusional Disorder Persecutory Type, Part 14, in ICD 10: Mrs. Warren, Schizophrenia Spectrum, Part 14</t>
  </si>
  <si>
    <t>F20.9 Schizophrenia demonstrating the symptoms of thought blocking and of a thought-withdrawal delusion, Part 11, in ICD 10: Mrs. Warren, Schizophrenia Spectrum, Part 11</t>
  </si>
  <si>
    <t>F20.9 Schizophrenia demonstrating the symptom of a grandiose delusion, Part 8, in ICD 10: Mrs. Warren, Schizophrenia Spectrum, Part 8</t>
  </si>
  <si>
    <t>Rule/Out F20.9 Schizophrenia demonstrating the symptom of self-reference, Part 5, in ICD 10: Mrs. Warren, Schizophrenia Spectrum, Part 5</t>
  </si>
  <si>
    <t>Rule/Out F20.9 Schizophrenia demonstrating symptoms of paranoia, Part 4, in ICD 10: Mrs. Warren, Schizophrenia Spectrum, Part 4</t>
  </si>
  <si>
    <t>F22 Delusional Disorder Thought Insertion Type, Part 19, in ICD 10: Mrs. Warren, Schizophrenia Spectrum, Part 19</t>
  </si>
  <si>
    <t>F22 Delusional Disorder Thought Broadcasting Type, Part 20, in ICD 10: Mrs. Warren, Schizophrenia Spectrum, Part 20</t>
  </si>
  <si>
    <t>F20.9 Schizophrenia demonstrating the symptom of a somatic delusion, Part 6, in ICD 10: Mrs. Warren, Schizophrenia Spectrum, Part 6</t>
  </si>
  <si>
    <t>Rule/Out F20.9 Schizophrenia demonstrating negative symptoms, Part 1, in ICD 10: Mrs. Warren, Schizophrenia Spectrum, Part 1</t>
  </si>
  <si>
    <t>F22 Delusional Disorder Erotomanic Type, Part 18, in ICD 10: Mrs. Warren, Schizophrenia Spectrum, Part 18</t>
  </si>
  <si>
    <t>F20.9 Schizophrenia demonstrating the symptom of a grandiose delusion, Part 7, in ICD 10: Mrs. Warren, Schizophrenia Spectrum, Part 7</t>
  </si>
  <si>
    <t>F20.9 Schizophrenia demonstrating the delusional symptom that someone else controls her behaviors/movements, Part 12, in ICD 10: Mrs. Warren, Schizophrenia Spectrum, Part 12</t>
  </si>
  <si>
    <t>F20.9 Schizophrenia demonstrating the delusional symptom of thought broadcasting, Part 10, in ICD 10: Mrs. Warren, Schizophrenia Spectrum, Part 10</t>
  </si>
  <si>
    <t>F22 Delusional Disorder Somatic Type, Part 16, in ICD 10: Mrs. Warren, Schizophrenia Spectrum, Part 16</t>
  </si>
  <si>
    <t>F22 Delusional Disorder Grandiose Type, Part 17, in ICD 10: Mrs. Warren, Schizophrenia Spectrum, Part 17</t>
  </si>
  <si>
    <t>F22 Delusional Disorder Persecutory Type, Part 13, in ICD 10: Mrs. Warren, Schizophrenia Spectrum, Part 13</t>
  </si>
  <si>
    <t>F42 Obsessive-Compulsive and Related Disorders: Hoarding Disorder with Excessive Acquisition, in ICD 10 Guided OCD Series</t>
  </si>
  <si>
    <t>F63.3 Obsessive-Compulsive and Related Disorders: Trichotillomania (Hair-Pulling Disorder); F42 Obsessive-Compulsive Disorder, in ICD 10 Guided OCD Series</t>
  </si>
  <si>
    <t>F51.05 Insomnia Due to a Mental Disorder; F33.41 Major Depressive Disorder in Partial Remission; Z63.0 Relationship Distress with Spouse or Intimate Partner V61.10, in ICD 10 Guided Sleep-Wake Disorders Series</t>
  </si>
  <si>
    <t>F63.0 Gambling Disorder, in ICD 10: Chad, Gambling Disorder</t>
  </si>
  <si>
    <t>G47.01 Insomnia Due to a Medical Condition, in ICD 10 Guided Sleep-Wake Disorders Series</t>
  </si>
  <si>
    <t>Core Video: F10.20 Alcohol Use Disorder, Moderate, in ICD 10: Ali, Alcohol Use Disorder, Moderate</t>
  </si>
  <si>
    <t>Core Video: F11.10 Opioid Use Disorder, Mild, in ICD 10: Arnie, Opioid Use Disorder, Mild</t>
  </si>
  <si>
    <t>Core Video: F13.20 Sedative, Hypnotic, Anxiolytic Use Disorder, Mild, in ICD 10: Mrs. Collins, Sedative, Hypnotic, Anxiolytic Use Disorder, Mild</t>
  </si>
  <si>
    <t>F22 Delusional Disorder â€“ Persecutory Type, Bizarre Content, in ICD-10 Case Scenarios Series Index</t>
  </si>
  <si>
    <t>Z63.0 Relationship Distress with Spouse or Intimate Partner; Z60.0 Phase of Life Problem, in ICD-10 Case Scenarios Series Index</t>
  </si>
  <si>
    <t>F60.0 Paranoid Personality Disorder, in ICD-10 Case Scenarios Series Index</t>
  </si>
  <si>
    <t>F43.22 Adjustment Disorder with Anxiety, in ICD-10 Case Scenarios Series Index, Episode 21</t>
  </si>
  <si>
    <t>F43.10 Posttraumatic Stress Disorder A-1, in ICD-10 Case Scenarios Series Index, Episode 25</t>
  </si>
  <si>
    <t>F43.23 Adjustment Disorder with Mixed Anxiety and Depressed Mood, in ICD-10 Case Scenarios Series Index, Episode 34</t>
  </si>
  <si>
    <t>Z70.9 Sex Counseling, in ICD-10 Case Scenarios Series Index, Episode 36</t>
  </si>
  <si>
    <t>F43.21 Adjustment Disorder with Depressed Mood and G31.84 Mild Neurocognitive Disorder, in ICD-10 Case Scenarios Series Index, Episode 31</t>
  </si>
  <si>
    <t>F43.10 Posttraumatic Stress Disorder A-3, in ICD-10 Case Scenarios Series Index, Episode 27</t>
  </si>
  <si>
    <t>F43.22 Adjustment Disorder with Anxiety A-2, in ICD-10 Case Scenarios Series Index, Episode 33</t>
  </si>
  <si>
    <t>F32.1 Major Depressive Single Episode Moderate, in ICD-10 Case Scenarios Series Index, Episode 24</t>
  </si>
  <si>
    <t>F43.10 Posttraumatic Stress Disorder and F10.20 Alcohol Use Disorder, Severe, in ICD-10 Case Scenarios Series Index, Episode 30</t>
  </si>
  <si>
    <t>F43.25 Adjustment Disorder with Mixed Disturbance of Emotions and Conduct and Z60.4 Acculturation Difficulty, in ICD-10 Case Scenarios Series Index, Episode 35</t>
  </si>
  <si>
    <t>F43.10 Posttraumatic Stress Disorder and G3.14 Mild Neurocognitive Disorder due to Traumatic Brain Injury, in ICD-10 Case Scenarios Series Index, Episode 29</t>
  </si>
  <si>
    <t>F43.10 Posttraumatic Stress Disorder A-4, in ICD-10 Case Scenarios Series Index, Episode 28</t>
  </si>
  <si>
    <t>F43.22 Adjustment Disorder with Anxiety A-1, in ICD-10 Case Scenarios Series Index, Episode 32</t>
  </si>
  <si>
    <t>F43.10 Posttraumatic Stress Disorder A-2, in ICD-10 Case Scenarios Series Index, Episode 26</t>
  </si>
  <si>
    <t>F23 Brief Psychotic Disorder, in ICD-10 Case Scenarios Series Index, Episode 8</t>
  </si>
  <si>
    <t>F60.2 Antisocial Personality Disorder: Version 1, in ICD-10 Case Scenarios Series Index, Episode 30</t>
  </si>
  <si>
    <t>F60.6 Avoidant Personality Disorder, in ICD-10 Case Scenarios Series Index, Episode 36</t>
  </si>
  <si>
    <t>F44.0 Dissociative Amnesia, in ICD-10 Case Scenarios Series Index, Episode 22</t>
  </si>
  <si>
    <t>F45.21 Illness Anxiety Disorder 1, in ICD-10 Case Scenarios Series Index, Episode 25</t>
  </si>
  <si>
    <t>F22 Delusional Disorder - Mixed Type, in ICD-10 Case Scenarios Series Index, Episode 4</t>
  </si>
  <si>
    <t>F41.0 Panic Disorder, in ICD-10 Case Scenarios Series Index, Episode 16</t>
  </si>
  <si>
    <t>Z76.5 Malingering, in ICD-10 Case Scenarios Series Index, Episode 39</t>
  </si>
  <si>
    <t>F60.4 Histronic Personality Disorder: Version 2, in ICD-10 Case Scenarios Series Index, Episode 34</t>
  </si>
  <si>
    <t>F22 Delusional Disorder - Erotomanic Type, in ICD-10 Case Scenarios Series Index, Episode 7</t>
  </si>
  <si>
    <t>F22 Delusional Disorder - Jealous Type, in ICD-10 Case Scenarios Series Index, Episode 3</t>
  </si>
  <si>
    <t>F40.00 Agoraphobia, in ICD-10 Case Scenarios Series Index, Episode 15</t>
  </si>
  <si>
    <t>F43.10 Posttraumatic Stress Disorder (Combat Veteran), in ICD-10 Case Scenarios Series Index, Episode 19</t>
  </si>
  <si>
    <t>F60.5 Obsessive-Compulsive Personality Disorder, in ICD-10 Case Scenarios Series Index, Episode 35</t>
  </si>
  <si>
    <t>F60.3 Borderline Personality Disorder, in ICD-10 Case Scenarios Series Index, Episode 32</t>
  </si>
  <si>
    <t>F20.9 Schizophrenia, in ICD-10 Case Scenarios Series Index, Episode 1</t>
  </si>
  <si>
    <t>F60.2 Antisocial Personality Disorder: Version 2, in ICD-10 Case Scenarios Series Index, Episode 31</t>
  </si>
  <si>
    <t>F45.21 Illness Anxiety Disorder 2, in ICD-10 Case Scenarios Series Index, Episode 26</t>
  </si>
  <si>
    <t>F43.10 Posttraumatic Stress Disorder (Car Accident), in ICD-10 Case Scenarios Series Index, Episode 18</t>
  </si>
  <si>
    <t>F45.21 Illness Anxiety Disorder 3, in ICD-10 Case Scenarios Series Index, Episode 27</t>
  </si>
  <si>
    <t>F43.10 Posttraumatic Stress Disorder (Sexual Assault), in ICD-10 Case Scenarios Series Index, Episode 20</t>
  </si>
  <si>
    <t>F22 Delusional Disorder - Somatic Type, in ICD-10 Case Scenarios Series Index, Episode 6</t>
  </si>
  <si>
    <t>F60.4 Histrionic Personality Disorder: Version 1, in ICD-10 Case Scenarios Series Index, Episode 33</t>
  </si>
  <si>
    <t>F22 Delusional Disorder - Persecutory Type, in ICD-10 Case Scenarios Series Index, Episode 5</t>
  </si>
  <si>
    <t>F45.22 Body Dysmorphic Disorder, in ICD-10 Case Scenarios Series Index, Episode 28</t>
  </si>
  <si>
    <t>F60.81 Narcissistic Personality Disorder, in ICD-10 Case Scenarios Series Index, Episode 38</t>
  </si>
  <si>
    <t>F60.7 Dependent Personality Disorder, in ICD-10 Case Scenarios Series Index, Episode 37</t>
  </si>
  <si>
    <t>F60.1 Schizoid Personality Disorder, in ICD-10 Case Scenarios Series Index, Episode 29</t>
  </si>
  <si>
    <t>F60.89 Other Specified Personality Disorder, in ICD-10 Case Scenarios Series Index, Episode 40</t>
  </si>
  <si>
    <t>F21 Schizotypal Personality Disorder, in ICD-10 Case Scenarios Series Index, Episode 2</t>
  </si>
  <si>
    <t>F41.1 Generalized Anxiety Disorder, in ICD-10 Case Scenarios Series Index, Episode 17</t>
  </si>
  <si>
    <t>My Identity</t>
  </si>
  <si>
    <t>Feeling Wanted</t>
  </si>
  <si>
    <t>Parenting, in Ilinniq, Season 6, Episode 7</t>
  </si>
  <si>
    <t>IKU</t>
  </si>
  <si>
    <t>The Lowest Point in My Life, in Ilinniq, Season 6, Episode 4</t>
  </si>
  <si>
    <t>Tim Bond in Conversation With Frank Wills, in In-Conversation Series</t>
  </si>
  <si>
    <t>Dave Mearns in Conversation With Frank Wills, in In-Conversation Series</t>
  </si>
  <si>
    <t>Francesca Inskipp and Brigid Proctor in Conversation With Frank Wills, in In-Conversation Series</t>
  </si>
  <si>
    <t>Gerard Egan in Conversation, in In-Conversation Series</t>
  </si>
  <si>
    <t>Dorothy Rowe in Conversation With Frank Wills, in In-Conversation Series</t>
  </si>
  <si>
    <t>Video Lecture 2, Part A: Interpersonal Considerations in Personality and Anxiety</t>
  </si>
  <si>
    <t>Video Lecture 2, Part B: Interpersonal Considerations in Personality and Anxiety</t>
  </si>
  <si>
    <t>Interpersonal Process Recall: The Recall Process - Inquirer Role and Function (#IPR E), in Interpersonal Process Recall</t>
  </si>
  <si>
    <t>Theory and Introduction - Unit A, in Interpersonal Process Recall</t>
  </si>
  <si>
    <t>The Recall Process - Individual and Mutual Recall (#IPR F-4), in Interpersonal Process Recall</t>
  </si>
  <si>
    <t>Affect Simulation - The Process and Stimulus Vignettes, in Interpersonal Process Recall</t>
  </si>
  <si>
    <t>The Recall Process - Individual Recall (#IPR D-1), in Interpersonal Process Recall</t>
  </si>
  <si>
    <t>The Recall Process - Individual and Mutual Recall (#IPR F-3), in Interpersonal Process Recall</t>
  </si>
  <si>
    <t>The Recall Process - Individual Recall (#IPR D-2 &amp; D-3), in Interpersonal Process Recall</t>
  </si>
  <si>
    <t>Psychotherapist and New Client (Interview), in Interpersonal Process Recall</t>
  </si>
  <si>
    <t>Elements of Facilitating Communication, in Interpersonal Process Recall</t>
  </si>
  <si>
    <t>The Recall Process - Mutual Recall (#IPR F-5, F-6, F-7), in Interpersonal Process Recall</t>
  </si>
  <si>
    <t>The Recall Process - Individual Recall (#IPR F-1, F-2), in Interpersonal Process Recall</t>
  </si>
  <si>
    <t>The Recall Process - Mutual Recall (#IPR F-8, F-9, F-10), in Interpersonal Process Recall</t>
  </si>
  <si>
    <t>Introducing Sociology: Sociology and Commonsense, in Introducing Sociology</t>
  </si>
  <si>
    <t>Introducing Sociology: Social Construction, in Introducing Sociology</t>
  </si>
  <si>
    <t>Introducing Sociology: What Is Sociology, Core Concepts, in Introducing Sociology</t>
  </si>
  <si>
    <t>Introducing Sociology: Identity, in Introducing Sociology</t>
  </si>
  <si>
    <t>Introduction to Dyadic Development Psychotherapy, Part 4</t>
  </si>
  <si>
    <t>Introduction to Dyadic Development Psychotherapy, Part 2</t>
  </si>
  <si>
    <t>Introduction to Dyadic Development Psychotherapy, Part 3</t>
  </si>
  <si>
    <t>Introduction to Dyadic Development Psychotherapy, Part 1</t>
  </si>
  <si>
    <t>Presencing Secure Attachment, in Is Attachment the Problem? Putting Attachment Theory into Practice</t>
  </si>
  <si>
    <t>When is Attachment the Issue?, in Is Attachment the Problem? Putting Attachment Theory into Practice</t>
  </si>
  <si>
    <t>Heart and Bones: Attachment and Sexuality, in Is Attachment the Problem? Putting Attachment Theory into Practice</t>
  </si>
  <si>
    <t>Attachment Issues in Chronic Pain, in Is Attachment the Problem? Putting Attachment Theory into Practice</t>
  </si>
  <si>
    <t>Getting Through to Shutdown Children and Families, in Is Attachment the Problem? Putting Attachment Theory into Practice</t>
  </si>
  <si>
    <t>Healing Attachment Wounds with Energy Psychology, in Is Attachment the Problem? Putting Attachment Theory into Practice</t>
  </si>
  <si>
    <t>Transitioning:Â Transgender Children, in 30 Minuts</t>
  </si>
  <si>
    <t>CAT</t>
  </si>
  <si>
    <t>The Pansy Project</t>
  </si>
  <si>
    <t>FRE</t>
  </si>
  <si>
    <t>Open Window = Las ventanas abiertas</t>
  </si>
  <si>
    <t>Jay Haley: Adolescence, in Jay Haley: Lectures on Therapy</t>
  </si>
  <si>
    <t>Jay Haley: Abuse, in Jay Haley: Lectures on Therapy</t>
  </si>
  <si>
    <t>Jay Haley: Directive Therapy: Part 1: Important Ideas for Therapists, in Jay Haley: Lectures on Therapy</t>
  </si>
  <si>
    <t>Jay Haley: Directive Therapy: Part 2: Straightforward and Indirect Directives, in Jay Haley: Lectures on Therapy</t>
  </si>
  <si>
    <t>Jay Haley Workshop: Directive Therapy For Problems at the Stages of the Family Life Cycle: Part 1</t>
  </si>
  <si>
    <t>Jay Haley Workshop: Directive Therapy For Problems at the Stages of the Family Life Cycle: Part 2</t>
  </si>
  <si>
    <t>Substance Use Assessment V2, in Jennifer, Generalized Anxiety Disorder</t>
  </si>
  <si>
    <t>Worry Assessment V1, in Jennifer, Generalized Anxiety Disorder</t>
  </si>
  <si>
    <t>Core Video: Generalized Anxiety Disorder, Part 2, in Jennifer, Generalized Anxiety Disorder, Part 2</t>
  </si>
  <si>
    <t>Work and Home Life Assessment, in Jennifer, Generalized Anxiety Disorder</t>
  </si>
  <si>
    <t>Worry Assessment V2, in Jennifer, Generalized Anxiety Disorder</t>
  </si>
  <si>
    <t>Downward Arrow Activity, in Jennifer, Generalized Anxiety Disorder</t>
  </si>
  <si>
    <t>Core Video: F41.10 Generalized Anxiety Disorder, Part 2, in Jennifer, Generalized Anxiety Disorder, Part 2</t>
  </si>
  <si>
    <t>Substance Use Assessment V1, in Jennifer, Generalized Anxiety Disorder</t>
  </si>
  <si>
    <t>Core Video: F41.10 Generalized Anxiety Disorder, Part 1, in Jennifer, Generalized Anxiety Disorder, Part 1</t>
  </si>
  <si>
    <t>Core Video: Generalized Anxiety Disorder, Part 1, in Jennifer, Generalized Anxiety Disorder, Part 1</t>
  </si>
  <si>
    <t>Autism and Intensive Interaction: Using Body Language to Reach Children On the Autistic Spectrum</t>
  </si>
  <si>
    <t>Basic Pathfinder Mind/Body Techniques for Asperger's Syndrome</t>
  </si>
  <si>
    <t>Life and Learning With Autistic Spectrum (AS)</t>
  </si>
  <si>
    <t>Autism and Me</t>
  </si>
  <si>
    <t>Asperger's Syndrome and Employment: A Personal Guide to Succeeding at Work</t>
  </si>
  <si>
    <t>Being Bullied: Strategies and Solutions for People With Asperger's Syndrome</t>
  </si>
  <si>
    <t>Asperger Syndrome: A Different Mind</t>
  </si>
  <si>
    <t>Dancing On Blood</t>
  </si>
  <si>
    <t>Human Behavior and the Social Environment, Social Systems Theory: Mezzo Systems</t>
  </si>
  <si>
    <t>Human Behavior and the Social Environment, Social Systems Theory: Macro Systems</t>
  </si>
  <si>
    <t>Becoming a Social Worker: Real Students, Real Clients, Real Growth</t>
  </si>
  <si>
    <t>Becoming a Social Worker With Older Adults: Real Students, Real Clients, Real Growth</t>
  </si>
  <si>
    <t>Teen Anxiety Disorder, in Keeping Kids Healthy, 13</t>
  </si>
  <si>
    <t>Childhood Onset Schizophrenia: A Life Interrupted, in Keeping Kids Healthy</t>
  </si>
  <si>
    <t>Adolescent Onset Schizophrenia: 1 in 100 Young People, in Keeping Kids Healthy</t>
  </si>
  <si>
    <t>Recognizing Borderline Personality Disorder in Children, in Keeping Kids Healthy</t>
  </si>
  <si>
    <t>Coping With an Alcoholic Parent, in Keeping Kids Healthy, 11</t>
  </si>
  <si>
    <t>Dealing With Postpartum Depression, in Keeping Kids Healthy</t>
  </si>
  <si>
    <t>ADHD: What It Is, What It Isn't, in Keeping Kids Healthy</t>
  </si>
  <si>
    <t>Clinical Depression in Children, in Keeping Kids Healthy</t>
  </si>
  <si>
    <t>Bipolar Disorder in Children, in Keeping Kids Healthy</t>
  </si>
  <si>
    <t>Self-Injury in Children, in Keeping Kids Healthy</t>
  </si>
  <si>
    <t>Overcoming Obesity, in Keeping Kids Healthy, 12</t>
  </si>
  <si>
    <t>Depression &amp; Anti-Depressants in Teens, in Keeping Kids Healthy, 10</t>
  </si>
  <si>
    <t>Child Abuse: Stop it Before it Starts, in Keeping Kids Healthy, 14</t>
  </si>
  <si>
    <t>Teen Suicide: The Silent Epidemic, in Keeping Kids Healthy</t>
  </si>
  <si>
    <t>School Violence, in Keeping Kids Healthy, 15</t>
  </si>
  <si>
    <t>Pre-Conventional Self-Interest Orientation (1), in Kohlberg Moral Developmental Stages Index: Level 1, Episode 1</t>
  </si>
  <si>
    <t>Pre-Conventional Self-Interest Orientation (2), in Kohlberg Moral Developmental Stages Index: Level 1, Episode 2</t>
  </si>
  <si>
    <t>Pre-Conventional Obedience and Punishment (1), in Kohlberg Moral Developmental Stages Index: Level 1, Episode 3</t>
  </si>
  <si>
    <t>Pre-Conventional Obedience and Punishment (2), in Kohlberg Moral Developmental Stages Index: Level 1, Episode 4</t>
  </si>
  <si>
    <t>Conventional Interpersonal Accord and Conformity 2, in Kohlberg Moral Developmental Stages Index: Level 2, Episode 7</t>
  </si>
  <si>
    <t>Conventional Interpersonal Accord and Conformity 1, in Kohlberg Moral Developmental Stages Index: Level 2, Episode 6</t>
  </si>
  <si>
    <t>Authority and Social-Order Orientation, in Kohlberg Moral Developmental Stages Index: Level 2, Episode 5</t>
  </si>
  <si>
    <t>Conventional Universal Ethical Principles 1, in Kohlberg Moral Developmental Stages Index: Level 3, Episode 10</t>
  </si>
  <si>
    <t>Conventional Universal Ethical Principles 2, in Kohlberg Moral Developmental Stages Index: Level 3, Episode 11</t>
  </si>
  <si>
    <t>Conventional Social Contract Orientation 2, in Kohlberg Moral Developmental Stages Index: Level 3, Episode 9</t>
  </si>
  <si>
    <t>Conventional Social Contract Orientation 1, in Kohlberg Moral Developmental Stages Index: Level 3, Episode 8</t>
  </si>
  <si>
    <t>Leading In The Here And Now: Group Conflict and Summation</t>
  </si>
  <si>
    <t>Leading In The Here And Now: Transition and Flight</t>
  </si>
  <si>
    <t>Leading In The Here And Now: The Initial Stage</t>
  </si>
  <si>
    <t>How Many Clients Are There in One Body?, in Learning and Teaching Therapy with Jay Haley</t>
  </si>
  <si>
    <t>A Positive Approach With a Psychotic Couple, in Learning and Teaching Therapy with Jay Haley</t>
  </si>
  <si>
    <t>Brief Strategic Therapy With Couples, in Learning and Teaching Therapy with Jay Haley</t>
  </si>
  <si>
    <t>Changing a Violent Family, in Learning and Teaching Therapy with Jay Haley</t>
  </si>
  <si>
    <t>Jay Haley on Directive Family Therapy, in Learning and Teaching Therapy with Jay Haley, 10</t>
  </si>
  <si>
    <t>The Boy Who Can't Stop Fighting, in Learning and Teaching Therapy with Jay Haley</t>
  </si>
  <si>
    <t>Family Therapy at a Distance: A Case of Depression, in Learning and Teaching Therapy with Jay Haley</t>
  </si>
  <si>
    <t>Approaching a Crisis: Threats of Violence, Divorce and Suicide, in Learning and Teaching Therapy with Jay Haley</t>
  </si>
  <si>
    <t>Compulsory Therapy: A Case of Violence, in Learning and Teaching Therapy with Jay Haley</t>
  </si>
  <si>
    <t>How Did EFT Come About, in Les Greenberg: EXTRAS</t>
  </si>
  <si>
    <t>How Does EFT Relate To-Mental Health Problems, in Les Greenberg: EXTRAS</t>
  </si>
  <si>
    <t>How Do We Get To Our Core Pain, in Les Greenberg: EXTRAS</t>
  </si>
  <si>
    <t>What Is Chair Work In EFT, in Les Greenberg: EXTRAS</t>
  </si>
  <si>
    <t>Difference Between Feelings And Emotions, in Les Greenberg: EXTRAS</t>
  </si>
  <si>
    <t>What Is EFT, in Les Greenberg: EXTRAS</t>
  </si>
  <si>
    <t>Changing Emotion With Emotion, in Les Greenberg: EXTRAS</t>
  </si>
  <si>
    <t>Primary-Secondary Emotions, in Les Greenberg: EXTRAS</t>
  </si>
  <si>
    <t>Six Principles When Working With Emotions, in Les Greenberg: EXTRAS</t>
  </si>
  <si>
    <t>Anxiety (GAD) Explained By EFT, in Les Greenberg: EXTRAS</t>
  </si>
  <si>
    <t>Is Core Pain The Same-As Unmet Need?, in Les Greenberg: EXTRAS</t>
  </si>
  <si>
    <t>Depression And Relationship Difficulties Explained By EFT, in Les Greenberg: EXTRAS</t>
  </si>
  <si>
    <t>What Is Core Pain, in Les Greenberg: EXTRAS</t>
  </si>
  <si>
    <t>About Divorce</t>
  </si>
  <si>
    <t>I See Your (Dis)Ability: Inclusion in the Classroom</t>
  </si>
  <si>
    <t>The High Cost of High Conflict Divorce for the Children: Damages Through the Lifespan</t>
  </si>
  <si>
    <t>Siblings of Autism: The Challenge and the Hope</t>
  </si>
  <si>
    <t>Grief and Loss: A Child's Perspective</t>
  </si>
  <si>
    <t>What Parents Need to Know from Kids About Divorce</t>
  </si>
  <si>
    <t>What Parents Need to Know from Kids About Divorce, Spanish Edition</t>
  </si>
  <si>
    <t>Illness in the Family: Children Confronting Uncertainty</t>
  </si>
  <si>
    <t>Getting Unstuck With Michele Weiner-Davis, in Living Love</t>
  </si>
  <si>
    <t>Conscious Communication With Harville Hendrix, in Living Love</t>
  </si>
  <si>
    <t>Creating Connection With Kathlyn &amp; Gay Hendricks, in Living Love</t>
  </si>
  <si>
    <t>Keeping the Passion Alive With John Gray, in Living Love</t>
  </si>
  <si>
    <t>Loving Sexuality With Pat Love, in Living Love</t>
  </si>
  <si>
    <t>Co-creating a Positive Relationship With Richard Stuart, in Living Love</t>
  </si>
  <si>
    <t>A Greater Relationship; A Matter of Choice, Not Fate, in Living Love</t>
  </si>
  <si>
    <t>Mindfullness</t>
  </si>
  <si>
    <t>Essentials of Narrative Therapy</t>
  </si>
  <si>
    <t>Difficult Dialogues After Divorce</t>
  </si>
  <si>
    <t>What Is This Thing Called Psychotherapy?</t>
  </si>
  <si>
    <t>Finding Courage, Finding a Heart: Working With Aging Parents</t>
  </si>
  <si>
    <t>Finding Optimism In a Family With Chronic Illness</t>
  </si>
  <si>
    <t>Assessing for Domestic Violence</t>
  </si>
  <si>
    <t>Important Discussions Toward the End of Life: A Conversation With Father Time</t>
  </si>
  <si>
    <t>Crossing Bridges, Part 1</t>
  </si>
  <si>
    <t>Narrative Therapy With a Young Boy</t>
  </si>
  <si>
    <t>SWE</t>
  </si>
  <si>
    <t>Crossing Bridges, Part 2</t>
  </si>
  <si>
    <t>Solution-Oriented Art Therapy</t>
  </si>
  <si>
    <t>Mother and Daughter: A Cultural Tale</t>
  </si>
  <si>
    <t>Reauthoring Lives Through Stories of Caring</t>
  </si>
  <si>
    <t>I'm Not Leaving You, Just Going Out For a While</t>
  </si>
  <si>
    <t>Overcoming Resistence in Male Clients, in Men in Therapy: What Clinicians Need to Know</t>
  </si>
  <si>
    <t>Men and Sexuality: Challenging the Myths, in Men in Therapy: What Clinicians Need to Know, Session 4</t>
  </si>
  <si>
    <t>Men and Intimacy: A Relational Approach to Helping Male Clients, in Men in Therapy: What Clinicians Need to Know</t>
  </si>
  <si>
    <t>Men and Depression, in Men in Therapy: What Clinicians Need to Know, Session 6</t>
  </si>
  <si>
    <t>Diffusing Male Shame, in Men in Therapy: What Clinicians Need to Know</t>
  </si>
  <si>
    <t>Male Friendly Psychotherapy, in Men in Therapy: What Clinicians Need to Know</t>
  </si>
  <si>
    <t>Self-Reference 1, in Mental Disorder / Illness Symptoms Index, Episode 16</t>
  </si>
  <si>
    <t>Grandiose Delusions 1, in Mental Disorder / Illness Symptoms Index, Episode 9</t>
  </si>
  <si>
    <t>Self-Reference 2, in Mental Disorder / Illness Symptoms Index, Episode 17</t>
  </si>
  <si>
    <t>Derailment, in Mental Disorder / Illness Symptoms Index, Episode 7</t>
  </si>
  <si>
    <t>Mania, in Mental Disorder / Illness Symptoms Index, Episode 13</t>
  </si>
  <si>
    <t>Clang Associations, in Mental Disorder / Illness Symptoms Index, Episode 2</t>
  </si>
  <si>
    <t>Pressured Speech, in Mental Disorder / Illness Symptoms Index, Episode 15</t>
  </si>
  <si>
    <t>Adolescent Risk Taking, in Mental Disorder / Illness Symptoms Index, Episode 1</t>
  </si>
  <si>
    <t>Grandiose Delusions 3, in Mental Disorder / Illness Symptoms Index, Episode 11</t>
  </si>
  <si>
    <t>Command Hallucinations, in Mental Disorder / Illness Symptoms Index, Episode 3</t>
  </si>
  <si>
    <t>Concrete Thinking 1, in Mental Disorder / Illness Symptoms Index, Episode 5</t>
  </si>
  <si>
    <t>Grandiose Delusions 2, in Mental Disorder / Illness Symptoms Index, Episode 10</t>
  </si>
  <si>
    <t>Compulsions, in Mental Disorder / Illness Symptoms Index, Episode 4</t>
  </si>
  <si>
    <t>Concrete Thinking 2, in Mental Disorder / Illness Symptoms Index, Episode 6</t>
  </si>
  <si>
    <t>Flat Affect, in Mental Disorder / Illness Symptoms Index, Episode 8</t>
  </si>
  <si>
    <t>Inappropriate Affect, in Mental Disorder / Illness Symptoms Index, Episode 12</t>
  </si>
  <si>
    <t>Obsessions, in Mental Disorder / Illness Symptoms Index, Episode 14</t>
  </si>
  <si>
    <t>MATES: 5 Easy, Simple and Empowering Skills for Clients and Therapists</t>
  </si>
  <si>
    <t>Daily Evocation of Spiritual Meditative Self-Therapy Enhances Positive Affect for the Incarcerated</t>
  </si>
  <si>
    <t>Principles of Psychological First Aid</t>
  </si>
  <si>
    <t>7 Habits of a Reasonably Helpful Counsellor</t>
  </si>
  <si>
    <t>A Brief Comparison of Psychologies</t>
  </si>
  <si>
    <t>Enhancing Resilience</t>
  </si>
  <si>
    <t>Core Actions of Psychological First Aid</t>
  </si>
  <si>
    <t>Neurobiology of Behavior Change</t>
  </si>
  <si>
    <t>The Importance of Meeting the Client for Who They Are Without Comparison or Judgment</t>
  </si>
  <si>
    <t>Drinking and Alcohol-Related Harm Among Adolescents and Young Adults</t>
  </si>
  <si>
    <t>Supporting People with Chronic Pain</t>
  </si>
  <si>
    <t>Memory Reconsolidation</t>
  </si>
  <si>
    <t>Transference and Projection</t>
  </si>
  <si>
    <t>Counseling and Coaching: Compatible or Incompatible?</t>
  </si>
  <si>
    <t>Spot the Narcissist</t>
  </si>
  <si>
    <t>Building Resilience in the Next Generation: Using the Power of Higher Self-efficacy</t>
  </si>
  <si>
    <t>How Does Your Will Work?</t>
  </si>
  <si>
    <t>Nutrition and the Healthy Brain</t>
  </si>
  <si>
    <t>Romancing Our Shadow</t>
  </si>
  <si>
    <t>Diagnosis and Treatment of Obsessive-Compulsive Disorders</t>
  </si>
  <si>
    <t>The Interconnectedness of "Us": Neuroscience, mirror neurons and talking therapies</t>
  </si>
  <si>
    <t>Helping Clients Move Beyond Grief</t>
  </si>
  <si>
    <t>Ethical Principles Underpinning Counselling Best Practice</t>
  </si>
  <si>
    <t>Counseling Traumatized Children Using EMDR and Play Therapy</t>
  </si>
  <si>
    <t>Australian Aboriginal "Sorry Business" and Culturally Appropriate Counseling</t>
  </si>
  <si>
    <t>Re-Conceptualising Transpersonal Counselling</t>
  </si>
  <si>
    <t>Therapy and the Brain: What Has the Brain Got to Do With It</t>
  </si>
  <si>
    <t>Developing a Counselling Qualification for Australian Indigenous Communities</t>
  </si>
  <si>
    <t>Counselling Children Using the Interaction of All Five Senses</t>
  </si>
  <si>
    <t>Counselling: What is Your Style?</t>
  </si>
  <si>
    <t>Undercover Teams: A Restorative and Re-Storying Anti-Bullying Intervention</t>
  </si>
  <si>
    <t>What Makes Counselling Work</t>
  </si>
  <si>
    <t>Neuroscience: The Cutting Edge of Counselling's Future</t>
  </si>
  <si>
    <t>Introduction to Structured Relapse Prevention</t>
  </si>
  <si>
    <t>The Mirror Cracked: Attachment and the Therapeutic Relationship</t>
  </si>
  <si>
    <t>From Behaviour to Brain to Genes and Back Again</t>
  </si>
  <si>
    <t>Out of Our Comfort Zone: Holistic Counseling in a Multicultural Secondary School</t>
  </si>
  <si>
    <t>Interweaving Narrative and Cognitive Approaches to Therapy</t>
  </si>
  <si>
    <t>Counselling the Elderly within a Multi-Cultural Environment Using Psychosynthetic-Buddhist Technique</t>
  </si>
  <si>
    <t>Yang and Beyond: The Tao of Psychological Transformation</t>
  </si>
  <si>
    <t>Coaching and Microcounseling</t>
  </si>
  <si>
    <t>Diagnosis and Assessment with Asian Americans</t>
  </si>
  <si>
    <t>Treatment and Intervention with American Indians</t>
  </si>
  <si>
    <t>Group Discussion on Treatment and Intervention</t>
  </si>
  <si>
    <t>Treatment and Intervention with Asian Americans</t>
  </si>
  <si>
    <t>Diagnosis and Assessment with American Indians</t>
  </si>
  <si>
    <t>Treatment and Intervention with Latinos</t>
  </si>
  <si>
    <t>Diagnosis and Assessment with Latinos</t>
  </si>
  <si>
    <t>Diagnosis and Assessment with African Americans</t>
  </si>
  <si>
    <t>Commentary on Diagnosis and Assessment</t>
  </si>
  <si>
    <t>Commentary on Treatment and Intervention</t>
  </si>
  <si>
    <t>Challenge of Validation, in MIMH Professional Training</t>
  </si>
  <si>
    <t>What Makes an Excellent Case Manager, in MIMH Professional Training</t>
  </si>
  <si>
    <t>The Young Adult Group, in Mindfulness Groups: A Demonstration, Part 2</t>
  </si>
  <si>
    <t>The Adult Group, in Mindfulness Groups: A Demonstration, Part 1</t>
  </si>
  <si>
    <t>Intimate Partner Violence: Creating Opportunities to Have Conversations About It, in , Part 2</t>
  </si>
  <si>
    <t>Diagnosing Depression and Initial Antidepressant Selection</t>
  </si>
  <si>
    <t>Intimate Partner Violence: Understanding Factors that Impact Survivors, in , Part 1</t>
  </si>
  <si>
    <t>Deep, Dark Secret: A Closer Look at Mental Illness in the African American Community</t>
  </si>
  <si>
    <t>Surviving Compassion Fatigue: The LARC Method</t>
  </si>
  <si>
    <t>The Purpose &amp; Principles of Strength-based Recovery Oriented Practice</t>
  </si>
  <si>
    <t>Ethics on the Fault Line: Advanced Issues in Mental Health and Substance Abuse Counseling</t>
  </si>
  <si>
    <t>Youth at Risk: A framework for working with angry and aggressive millenium clients</t>
  </si>
  <si>
    <t>Suicide Among African American Teens and Young Adults: A discussion for People in a Position to Help</t>
  </si>
  <si>
    <t>Frontline Ethics: Issues in Mental Health and Substance Abuse Counseling</t>
  </si>
  <si>
    <t>Functional Pediatric Pain</t>
  </si>
  <si>
    <t>Empowering People with Mental Illness Through Treatment Planning</t>
  </si>
  <si>
    <t>Trauma 101: Understanding the Impact of Trauma</t>
  </si>
  <si>
    <t>Evidence-Based Practices in Mental Health</t>
  </si>
  <si>
    <t>Evidence-Based Practice in a Children's System of Care</t>
  </si>
  <si>
    <t>What is Motivational Interviewing</t>
  </si>
  <si>
    <t>How is Motivational Interviewing Applied</t>
  </si>
  <si>
    <t>Sustaining Appropriate Clinical Boundaries in Home and Community Care</t>
  </si>
  <si>
    <t>Understanding Abusive Men</t>
  </si>
  <si>
    <t>Evidence-Based Prevention Programs: What Works</t>
  </si>
  <si>
    <t>Transitioning Clients from Corrections to the Community</t>
  </si>
  <si>
    <t>Obsessive Compulsive Disorder: A Client's Perspective</t>
  </si>
  <si>
    <t>Obsessive Compulsive Disorder: A Family's Perspective</t>
  </si>
  <si>
    <t>Obsessive Compulsive Disorder: A Clinical Intervention</t>
  </si>
  <si>
    <t>Multicultural Competence</t>
  </si>
  <si>
    <t>F20.9 Schizophrenia demonstrating the delusional symptom that someone else controls his behaviors/movements, Part 12, in Mr. Smith, Delusional Disorder</t>
  </si>
  <si>
    <t>Delusional Disorder Thought Insertion Type, Part 19, in Mr. Smith, Delusional Disorder, Part 19</t>
  </si>
  <si>
    <t>Schizophrenia demonstrating the delusional symptom that someone else controls his behaviors/movements, Part 12, in Mr. Smith, Delusional Disorder</t>
  </si>
  <si>
    <t>Rule/Out Schizophrenia demonstrating negative symptoms, Part 1, in Mr. Smith, Delusional Disorder</t>
  </si>
  <si>
    <t>F22 Delusional Disorder Thought Insertion Type, Part 19, in Mr. Smith, Delusional Disorder, Part 19</t>
  </si>
  <si>
    <t>F20.9 Schizophrenia demonstrating the symptom of a thought-insertion delusion, Part 9, in Mr. Smith, Delusional Disorder</t>
  </si>
  <si>
    <t>F20.9 Schizophrenia demonstrating the symptoms of thought blocking and of a thought-withdrawal delusion, Part 11, in Mr. Smith, Delusional Disorder</t>
  </si>
  <si>
    <t>F22 Delusional Disorder Grandiose Type, Part 17, in Mr. Smith, Delusional Disorder, Part 17</t>
  </si>
  <si>
    <t>Delusional Disorder Erotomanic Type, Part 18, in Mr. Smith, Delusional Disorder, Part 18</t>
  </si>
  <si>
    <t>Schizophrenia demonstrating the symptoms of thought blocking and of a thought-withdrawal delusion, Part 11, in Mr. Smith, Delusional Disorder</t>
  </si>
  <si>
    <t>Schizophrenia demonstrating the symptom of a somatic delusion, Part 6, in Mr. Smith, Delusional Disorder</t>
  </si>
  <si>
    <t>Schizophrenia demonstrating the symptom of a grandiose delusion, Part 7, in Mr. Smith, Delusional Disorder</t>
  </si>
  <si>
    <t>Delusional Disorder Persecutory Type, Part 13, in Mr. Smith, Delusional Disorder, Part 13</t>
  </si>
  <si>
    <t>Rule/Out Schizophrenia demonstrating symptoms of paranoia, Part 4, in Mr. Smith, Delusional Disorder</t>
  </si>
  <si>
    <t>F22 Delusional Disorder Persecutory Type, Part 14, in Mr. Smith, Delusional Disorder, Part 14</t>
  </si>
  <si>
    <t>Delusional Disorder Somatic Type, Part 16, in Mr. Smith, Delusional Disorder, Part 16</t>
  </si>
  <si>
    <t>F22 Delusional Disorder Erotomanic Type, Part 18, in Mr. Smith, Delusional Disorder, Part 18</t>
  </si>
  <si>
    <t>F20.9 Schizophrenia demonstrating the symptom of a grandiose delusion, Part 8, in Mr. Smith, Delusional Disorder</t>
  </si>
  <si>
    <t>Schizophrenia demonstrating the symptom of a grandiose delusion, Part 8, in Mr. Smith, Delusional Disorder</t>
  </si>
  <si>
    <t>Schizophrenia demonstrating the delusional symptom of thought broadcasting, Part 10, in Mr. Smith, Delusional Disorder</t>
  </si>
  <si>
    <t>F22 Delusional Disorder Thought Blocking and Thought Withdrawal Type, Part 21, in Mr. Smith, Delusional Disorder, Part 21</t>
  </si>
  <si>
    <t>F20.9 Schizophrenia demonstrating the symptom of a somatic delusion, Part 6, in Mr. Smith, Delusional Disorder</t>
  </si>
  <si>
    <t>Delusional Disorder Thought Broadcasting Type, Part 20, in Mr. Smith, Delusional Disorder, Part 20</t>
  </si>
  <si>
    <t>Rule/Out Schizophrenia demonstrating negative symptoms, Part 2, in Mr. Smith, Delusional Disorder</t>
  </si>
  <si>
    <t>F22 Delusional Disorder Thought Broadcasting Type, Part 20, in Mr. Smith, Delusional Disorder, Part 20</t>
  </si>
  <si>
    <t>Schizophrenia demonstrating the symptom of a thought-insertion delusion, Part 9, in Mr. Smith, Delusional Disorder</t>
  </si>
  <si>
    <t>F22 Delusional Disorder Somatic Type, Part 16, in Mr. Smith, Delusional Disorder, Part 16</t>
  </si>
  <si>
    <t>Delusional Disorder Persecutory Type, Part 14, in Mr. Smith, Delusional Disorder, Part 14</t>
  </si>
  <si>
    <t>Delusional Disorder Thought Blocking and Thought Withdrawal Type, Part 21, in Mr. Smith, Delusional Disorder, Part 21</t>
  </si>
  <si>
    <t>F20.9 Schizophrenia demonstrating the delusional symptom of thought broadcasting, Part 10, in Mr. Smith, Delusional Disorder</t>
  </si>
  <si>
    <t>Delusional Disorder Grandiose Type, Part 17, in Mr. Smith, Delusional Disorder, Part 17</t>
  </si>
  <si>
    <t>Rule/Out Schizophrenia demonstrating the symptom of self-reference, Part 5, in Mr. Smith, Delusional Disorder</t>
  </si>
  <si>
    <t>Rule/Out Schizophrenia demonstrating symptoms of paranoia, Part 3, in Mr. Smith, Delusional Disorder</t>
  </si>
  <si>
    <t>F22 Delusional Disorder Persecutory Type, Part 13, in Mr. Smith, Delusional Disorder, Part 13</t>
  </si>
  <si>
    <t>F20.9 Schizophrenia demonstrating the symptom of a grandiose delusion, Part 7, in Mr. Smith, Delusional Disorder</t>
  </si>
  <si>
    <t>Catatonia Associated with Schizophrenia, Part 1, in Mrs. Sanders, Catatonia Associated with Schizophrenia, Part 1</t>
  </si>
  <si>
    <t>F06.10 Catatonia Associated with F20.90 Schizophrenia, Part 7Echopraxia and Echolalia, in Mrs. Sanders, Catatonia Associated with Schizophrenia</t>
  </si>
  <si>
    <t>Catatonia Associated with Schizophrenia, Part 5, in Mrs. Sanders, Catatonia Associated with Schizophrenia, Part 5</t>
  </si>
  <si>
    <t>Catatonia Associated with Schizophrenia, Part 4, in Mrs. Sanders, Catatonia Associated with Schizophrenia, Part 4</t>
  </si>
  <si>
    <t>F06.10 Catatonia Associated with F20.90 Schizophrenia, Part 5, in Mrs. Sanders, Catatonia Associated with Schizophrenia</t>
  </si>
  <si>
    <t>Catatonia Associated with Schizophrenia, Part 7Echopraxia and Echolalia, in Mrs. Sanders, Catatonia Associated with Schizophrenia, Part 7</t>
  </si>
  <si>
    <t>F06.10 Catatonia Associated with F20.90 Schizophrenia, Part 3, in Mrs. Sanders, Catatonia Associated with Schizophrenia</t>
  </si>
  <si>
    <t>F06.10 Catatonia Associated with F20.90 Schizophrenia, Part 6Echolalia, in Mrs. Sanders, Catatonia Associated with Schizophrenia</t>
  </si>
  <si>
    <t>Catatonia Associated with Schizophrenia, Part 3, in Mrs. Sanders, Catatonia Associated with Schizophrenia, Part 3</t>
  </si>
  <si>
    <t>F06.10 Catatonia Associated with F20.90 Schizophrenia, Part 4, in Mrs. Sanders, Catatonia Associated with Schizophrenia</t>
  </si>
  <si>
    <t>F06.10 Catatonia Associated with F20.90 Schizophrenia, Part 1, in Mrs. Sanders, Catatonia Associated with Schizophrenia</t>
  </si>
  <si>
    <t>F06.10 Catatonia Associated with F20.90 Schizophrenia, Part 2, in Mrs. Sanders, Catatonia Associated with Schizophrenia</t>
  </si>
  <si>
    <t>Catatonia Associated with Schizophrenia, Part 2, in Mrs. Sanders, Catatonia Associated with Schizophrenia, Part 2</t>
  </si>
  <si>
    <t>Catatonia Associated with Schizophrenia, Part 6 Echolalia, in Mrs. Sanders, Catatonia Associated with Schizophrenia, Part 6</t>
  </si>
  <si>
    <t>Psychodynamic Counseling and Psychotherapy, in Multitheoretical Counseling and Psychotherapy</t>
  </si>
  <si>
    <t>Cognitive Counseling and Psychotherapy, in Multitheoretical Counseling and Psychotherapy</t>
  </si>
  <si>
    <t>Multicultural Counseling and Psychotherapy, in Multitheoretical Counseling and Psychotherapy</t>
  </si>
  <si>
    <t>Behavioral Counseling and Psychotherapy, in Multitheoretical Counseling and Psychotherapy</t>
  </si>
  <si>
    <t>Experiential Counseling &amp; Psychotherapy, in Multitheoretical Counseling and Psychotherapy</t>
  </si>
  <si>
    <t>Narrative Skills. Practice Exercises for Developing Counseling Skills, Part 1: Developing Curiosity</t>
  </si>
  <si>
    <t>Narrative Skills, Practice Exercises for Developing Counseling Skills, Part 2: Decision-Making and Externalizing</t>
  </si>
  <si>
    <t>Core Video: Major Depressive Disorder, Recurrent Episode, Severe, Part 3, in Nathan, Major Depressive Disorder, Recurrent Episode, Severe</t>
  </si>
  <si>
    <t>Trauma and Suicide Assessment V2 - with Posttraumatic Stress Disorder, in Nathan, Major Depressive Disorder, Recurrent Episode, Severe</t>
  </si>
  <si>
    <t>Core Video: Major Depressive Disorder, Recurrent Episode, Severe, Part 2, in Nathan, Major Depressive Disorder, Recurrent Episode, Severe</t>
  </si>
  <si>
    <t>Core Video: F33.20 Major Depressive Disorder, Recurrent Episode, Severe, Part 3, in Nathan, Major Depressive Disorder, Recurrent Episode, Severe</t>
  </si>
  <si>
    <t>Core Video: F33.20 Major Depressive Disorder, Recurrent Episode, Severe, Part 2, in Nathan, Major Depressive Disorder, Recurrent Episode, Severe</t>
  </si>
  <si>
    <t>Core Video: F33.20 Major Depressive Disorder, Recurrent Episode, Severe, Part 4 Persistent Complex Bereavement Disorder (Conditions for Further Study), in Nathan, Major Depressive Disorder, Recurrent Episode, Severe</t>
  </si>
  <si>
    <t>Trauma and Suicide Assessment V1 - with Depression, in Nathan, Major Depressive Disorder, Recurrent Episode, Severe</t>
  </si>
  <si>
    <t>Core Video: Major Depressive Disorder, Recurrent Episode, Severe, Part 4 Persistent Complex Bereavement Disorder (Conditions for Further Study), in Nathan, Major Depressive Disorder, Recurrent Episode, Severe</t>
  </si>
  <si>
    <t>Get Focused: Natural Remedies for ADHD, in Natural Remedies Series</t>
  </si>
  <si>
    <t>Get Sober: Body, Mind &amp; Spirit Remedies for Addiction</t>
  </si>
  <si>
    <t>Feel Good: Natural Remedies for Depression, in Natural Remedies Series, 2.</t>
  </si>
  <si>
    <t>Feel Calm: Natural Remedies for Anxiety, in Natural Remedies Series, 1.</t>
  </si>
  <si>
    <t>Memory: The Past Imperfect, in Nature of Things</t>
  </si>
  <si>
    <t>Susan, Core Video: Alzheimer's Dementia, Key Takeaway: Speech and Cognition, in Neurocognitive Disorder, Case 1: Susan, Case 1</t>
  </si>
  <si>
    <t>Susan, Core Video: Alzheimer's Dementia, Key Takeaway: Thought Process and Perception, in Neurocognitive Disorder, Case 1: Susan, Case 1</t>
  </si>
  <si>
    <t>Susan, Core Video: Alzheimer's Dementia, Key Takeaway: Motor Response and Behavior, in Neurocognitive Disorder, Case 1: Susan, Case 1</t>
  </si>
  <si>
    <t>Susan, Core Video: Alzheimer's Dementia, in Neurocognitive Disorder, Case 1: Susan, Case 1</t>
  </si>
  <si>
    <t>Susan, Core Video: Alzheimer's Dementia, Key Takeaway: Mood and Affect, in Neurocognitive Disorder, Case 1: Susan, Case 1</t>
  </si>
  <si>
    <t>Susan, Alzheimer's Dementia, Mental Status Exam - Moderate Decline, in Neurocognitive Disorder, Case 1: Susan, Case 1</t>
  </si>
  <si>
    <t>Susan, Alzheimer's Dementia, Mental Status Exam - Very Mild Decline, in Neurocognitive Disorder, Case 1: Susan, Case 1</t>
  </si>
  <si>
    <t>Susan, Core Video: Alzheimer's Dementia, Conclusion of Case and Future Treatment Options, in Neurocognitive Disorder, Case 1: Susan, Case 1</t>
  </si>
  <si>
    <t>Susan, Core Video: Alzheimer's Dementia, Director's Cut, in Neurocognitive Disorder, Case 1: Susan, Case 1</t>
  </si>
  <si>
    <t>Susan, Alzheimer's Dementia, Mental Status Exam - Advanced Decline, in Neurocognitive Disorder, Case 1: Susan, Case 1</t>
  </si>
  <si>
    <t>Susan, Core Video: Alzheimer's Dementia, Key Takeaway: Interventions, in Neurocognitive Disorder, Case 1: Susan, Case 1</t>
  </si>
  <si>
    <t>Susan, Core Video: Alzheimer's Dementia, Introduction to Case, in Neurocognitive Disorder, Case 1: Susan, Case 1</t>
  </si>
  <si>
    <t>Susan, Alzheimer's Dementia, Mental Status Exam - Mild Decline, in Neurocognitive Disorder, Case 1: Susan, Case 1</t>
  </si>
  <si>
    <t>Mrs. Pearson, Core Video: Pseudodementia, Key Takeaway: Mood and Affect, in Neurocognitive Disorder, Case 2: Mrs. Pearson, Case 2</t>
  </si>
  <si>
    <t>Mrs. Pearson, Pseudodementia, Mental Status Exam V2 Orientation, in Neurocognitive Disorder, Case 2: Mrs. Pearson, Case 2</t>
  </si>
  <si>
    <t>Mrs. Pearson, Core Video: Pseudodementia, Conclusion of Case and Future Treatment Options, in Neurocognitive Disorder, Case 2: Mrs. Pearson, Case 2</t>
  </si>
  <si>
    <t>Mrs. Pearson, Pseudodementia, Mental Status Exam V3 Orientation with Insight, in Neurocognitive Disorder, Case 2: Mrs. Pearson, Case 2</t>
  </si>
  <si>
    <t>Mrs. Pearson, Core Video: Pseudodementia, Key Takeaway: Interventions, in Neurocognitive Disorder, Case 2: Mrs. Pearson, Case 2</t>
  </si>
  <si>
    <t>Mrs. Pearson, Core Video: Pseudodementia, Key Takeaway: Thought Content, Cognition, and Insight, in Neurocognitive Disorder, Case 2: Mrs. Pearson, Case 2</t>
  </si>
  <si>
    <t>Mrs. Pearson, Core Video: Pseudodementia, Introduction to Case, in Neurocognitive Disorder, Case 2: Mrs. Pearson, Case 2</t>
  </si>
  <si>
    <t>Mrs. Pearson, Core Video: Pseudodementia, Key Takeaway: Motor Response and Thought Process, in Neurocognitive Disorder, Case 2: Mrs. Pearson, Case 2</t>
  </si>
  <si>
    <t>Mrs. Pearson, Pseudodementia, Depression Assessment V2 Passive Death Wish with Contract for Safety, in Neurocognitive Disorder, Case 2: Mrs. Pearson, Case 2</t>
  </si>
  <si>
    <t>Mrs. Pearson, Pseudodementia, Depression Assessment V1, in Neurocognitive Disorder, Case 2: Mrs. Pearson, Case 2</t>
  </si>
  <si>
    <t>Mrs. Pearson, Core Video: Pseudodementia, in Neurocognitive Disorder, Case 2: Mrs. Pearson, Case 2</t>
  </si>
  <si>
    <t>Mrs. Pearson, Core Video: Pseudodementia, Director's Cut, in Neurocognitive Disorder, Case 2: Mrs. Pearson, Case 2</t>
  </si>
  <si>
    <t>Mrs. Pearson, Pseudodementia, Mental Status Exam V1 Orientation, in Neurocognitive Disorder, Case 2: Mrs. Pearson, Case 2</t>
  </si>
  <si>
    <t>Mr. Smith, Core Video: Dementia, Suspect Vascular, Key Takeaway: Insight, in Neurocognitive Disorder, Case 3: Mr. Smith, Case 3</t>
  </si>
  <si>
    <t>Mr. Smith, Core Video: Dementia, Suspect Vascular, Conclusion of Case and Future Treatment Options, in Neurocognitive Disorder, Case 3: Mr. Smith, Case 3</t>
  </si>
  <si>
    <t>Mr. Smith, Dementia, Suspect Vascular - Depression Assessment, in Neurocognitive Disorder, Case 3: Mr. Smith, Case 3</t>
  </si>
  <si>
    <t>Mr. Smith, Core Video: Dementia, Suspect Vascular, Key Takeaway: Thought Process, in Neurocognitive Disorder, Case 3: Mr. Smith, Case 3</t>
  </si>
  <si>
    <t>Mr. Smith, Core Video: Dementia, Suspect Vascular, Key Takeaway: Cognition and Perception, in Neurocognitive Disorder, Case 3: Mr. Smith, Case 3</t>
  </si>
  <si>
    <t>Mr. Smith, Dementia, Suspect Vascular - Poor Judgment, in Neurocognitive Disorder, Case 3: Mr. Smith, Case 3</t>
  </si>
  <si>
    <t>Mr. Smith, Core Video: Dementia, Suspect Vascular, in Neurocognitive Disorder, Case 3: Mr. Smith, Case 3</t>
  </si>
  <si>
    <t>Mr. Smith, Core Video: Dementia, Suspect Vascular, Key Takeaway: Mood and Affect, in Neurocognitive Disorder, Case 3: Mr. Smith, Case 3</t>
  </si>
  <si>
    <t>Mr. Smith, Core Video: Dementia, Suspect Vascular, Director's Cut, in Neurocognitive Disorder, Case 3: Mr. Smith, Case 3</t>
  </si>
  <si>
    <t>Mr. Smith, Core Video: Dementia, Suspect Vascular, Introduction to Case, in Neurocognitive Disorder, Case 3: Mr. Smith, Case 3</t>
  </si>
  <si>
    <t>Mr. Smith, Dementia, Suspect Vascular - Mental Status Exam - Orientation, in Neurocognitive Disorder, Case 3: Mr. Smith, Case 3</t>
  </si>
  <si>
    <t>Mr. Smith, Dementia, Suspect Vascular, Mental Status Exam, in Neurocognitive Disorder, Case 3: Mr. Smith, Case 3</t>
  </si>
  <si>
    <t>Mr. Smith, Core Video: Dementia, Suspect Vascular, Key Takeaway: Interventions, in Neurocognitive Disorder, Case 3: Mr. Smith, Case 3</t>
  </si>
  <si>
    <t>Mrs. Baker, Core Video: Vascular Dementia, Key Takeaway: Interventions, in Neurocognitive Disorder, Case 4: Mrs. Baker, Case 4</t>
  </si>
  <si>
    <t>Mrs. Baker, Core Video: Vascular Dementia, Director's Cut, in Neurocognitive Disorder, Case 4: Mrs. Baker, Case 4</t>
  </si>
  <si>
    <t>Mrs. Baker, Core Video: Vascular Dementia, Introduction to Case, in Neurocognitive Disorder, Case 4: Mrs. Baker, Case 4</t>
  </si>
  <si>
    <t>Mrs. Baker, Core Video: Vascular Dementia, Key Takeaway: Cognition and Perception, in Neurocognitive Disorder, Case 4: Mrs. Baker, Case 4</t>
  </si>
  <si>
    <t>Mrs. Baker, Vascular Dementia, Pre-Onset Medical History Interview, in Neurocognitive Disorder, Case 4: Mrs. Baker, Case 4</t>
  </si>
  <si>
    <t>Mrs. Baker, Core Video: Vascular Dementia, Key Takeaway: Thought Process and Speech, in Neurocognitive Disorder, Case 4: Mrs. Baker, Case 4</t>
  </si>
  <si>
    <t>Mrs. Baker, Core Video: Vascular Dementia, in Neurocognitive Disorder, Case 4: Mrs. Baker, Case 4</t>
  </si>
  <si>
    <t>Mrs. Baker, Vascular Dementia - Mental Status Exam, Significant Cognitive Decline, in Neurocognitive Disorder, Case 4: Mrs. Baker, Case 4</t>
  </si>
  <si>
    <t>Mrs. Baker, Vascular Dementia, Reality Orientation V1, in Neurocognitive Disorder, Case 4: Mrs. Baker, Case 4</t>
  </si>
  <si>
    <t>Mrs. Baker, Vascular Dementia - Mental Status Exam, Mild Cognitive Decline, in Neurocognitive Disorder, Case 4: Mrs. Baker, Case 4</t>
  </si>
  <si>
    <t>Mrs. Baker, Core Video: Vascular Dementia, Conclusion of Case and Future Treatment Options, in Neurocognitive Disorder, Case 4: Mrs. Baker, Case 4</t>
  </si>
  <si>
    <t>Mrs. Baker, Core Video: Vascular Dementia, Key Takeaway: Behavior, in Neurocognitive Disorder, Case 4: Mrs. Baker, Case 4</t>
  </si>
  <si>
    <t>Mrs. Baker, Vascular Dementia, Reality Orientation V2, in Neurocognitive Disorder, Case 4: Mrs. Baker, Case 4</t>
  </si>
  <si>
    <t>Olive, Alzheimer's Dementia, Mental Status Exam - Orientation Moderate Cognitive Decline, in Neurocognitive Disorder, Case 5: Olive, Case 5</t>
  </si>
  <si>
    <t>Olive, Alzheimer's Dementia, Closure Conversation V2, in Neurocognitive Disorder, Case 5: Olive, Case 5</t>
  </si>
  <si>
    <t>Olive, Alzheimer's Dementia, De-Escalation, in Neurocognitive Disorder, Case 5: Olive, Case 5</t>
  </si>
  <si>
    <t>Olive, Alzheimer's Dementia, Closure Conversation V1, in Neurocognitive Disorder, Case 5: Olive, Case 5</t>
  </si>
  <si>
    <t>Olive, Alzheimer's Dementia, Mental Status Exam - Orientation Mild Cognitive Decline V1, in Neurocognitive Disorder, Case 5: Olive, Case 5</t>
  </si>
  <si>
    <t>Olive, Alzheimer's Dementia, Closure Conversation V3, in Neurocognitive Disorder, Case 5: Olive, Case 5</t>
  </si>
  <si>
    <t>Olive, Core Video: Alzheimer's Dementia, in Neurocognitive Disorder, Case 5: Olive, Case 5</t>
  </si>
  <si>
    <t>Olive, Alzheimer's Dementia - Mental Status Exam - Orientation Mild Cognitive Decline V2, in Neurocognitive Disorder, Case 5: Olive, Case 5</t>
  </si>
  <si>
    <t>Five Essential Ingredients to Effective Trauma Treatment, in New Perspectives: 21st Century Trauma Treatment: The State of the Art</t>
  </si>
  <si>
    <t>Trauma and Transformation, in New Perspectives: 21st Century Trauma Treatment: The State of the Art</t>
  </si>
  <si>
    <t>The Body in Trauma Work, in New Perspectives: 21st Century Trauma Treatment: The State of the Art</t>
  </si>
  <si>
    <t>Trauma in Context, in New Perspectives: 21st Century Trauma Treatment: The State of the Art</t>
  </si>
  <si>
    <t>Reshaping the Trauma Narrative, in New Perspectives: 21st Century Trauma Treatment: The State of the Art</t>
  </si>
  <si>
    <t>Treating the Dissociated Client, in New Perspectives: 21st Century Trauma Treatment: The State of the Art</t>
  </si>
  <si>
    <t>The Logic of Eroticism, in New Perspectives, Who's Afraid of Couples Therapy?, Bonus Session 1</t>
  </si>
  <si>
    <t>In or Out: Helping Couples with Different Divorce Agendas, in New Perspectives, Who's Afraid of Couples Therapy?, Session 3</t>
  </si>
  <si>
    <t>Overcoming our Fears: Why Therapists Avoid Doing Couples Therapy, in New Perspectives, Who's Afraid of Couples Therapy?, Session 1</t>
  </si>
  <si>
    <t>Taking off the Masks: Truth Telling in Couples Work, in New Perspectives, Who's Afraid of Couples Therapy?, Session 6</t>
  </si>
  <si>
    <t>Riding the Wave: Harnessing the Power of Emotion, in New Perspectives, Who's Afraid of Couples Therapy?, Bonus Session 2</t>
  </si>
  <si>
    <t>Riding the Waves: Expanding Your Emotional Range as a Clinician, in New Perspectives, Who's Afraid of Couples Therapy?, Session 2</t>
  </si>
  <si>
    <t>Confidentiality, Secrets, and How to Deal With Affairs, in New Perspectives, Who's Afraid of Couples Therapy?, Session 4</t>
  </si>
  <si>
    <t>Angry Women, Withdrawn Men: Breaking Through in Couples Therapy, in New Perspectives, Who's Afraid of Couples Therapy?, Session 5</t>
  </si>
  <si>
    <t>Reality Testing Version 2, in Nicole, Bipolar I Disorder, Current or Most Recent Episode Depressed, Severe</t>
  </si>
  <si>
    <t>Core Video: F31.40 Bipolar I Disorder, Current or Most Recent Episode Depressed, Severe, Part 3, in Nicole, Bipolar I Disorder, Current or Most Recent Episode Depressed, Severe</t>
  </si>
  <si>
    <t>Suicide Assessment Version 2, in Nicole, Bipolar I Disorder, Current or Most Recent Episode Depressed, Severe</t>
  </si>
  <si>
    <t>Core Video: Bipolar I Disorder, Current or Most Recent Episode Depressed, Severe, Part 3, in Nicole, Bipolar I Disorder, Current or Most Recent Episode Depressed, Severe</t>
  </si>
  <si>
    <t>Core Video: F31.40 Bipolar I Disorder, Current or Most Recent Episode Depressed, Severe, Part 2, in Nicole, Bipolar I Disorder, Current or Most Recent Episode Depressed, Severe</t>
  </si>
  <si>
    <t>Substance Use Assessment, in Nicole, Bipolar I Disorder, Current or Most Recent Episode Depressed, Severe</t>
  </si>
  <si>
    <t>Core Video: Bipolar I Disorder, Current or Most Recent Episode Depressed, Severe, Part 2, in Nicole, Bipolar I Disorder, Current or Most Recent Episode Depressed, Severe</t>
  </si>
  <si>
    <t>Reality Testing Version 1, in Nicole, Bipolar I Disorder, Current or Most Recent Episode Depressed, Severe</t>
  </si>
  <si>
    <t>Core Video: F31.40 Bipolar I Disorder, Current or Most Recent Episode Depressed, Severe, Part 4, in Nicole, Bipolar I Disorder, Current or Most Recent Episode Depressed, Severe</t>
  </si>
  <si>
    <t>Medication Compliance Assessment, in Nicole, Bipolar I Disorder, Current or Most Recent Episode Depressed, Severe</t>
  </si>
  <si>
    <t>Suicide Assessment Version 1, in Nicole, Bipolar I Disorder, Current or Most Recent Episode Depressed, Severe</t>
  </si>
  <si>
    <t>Suicide Assessment Version 3, in Nicole, Bipolar I Disorder, Current or Most Recent Episode Depressed, Severe</t>
  </si>
  <si>
    <t>Core Video: Bipolar I Disorder, Current or Most Recent Episode Depressed, Severe, Part 4, in Nicole, Bipolar I Disorder, Current or Most Recent Episode Depressed, Severe</t>
  </si>
  <si>
    <t>Depression Assessment, in Nicole, Bipolar I Disorder, Current or Most Recent Episode Depressed, Severe</t>
  </si>
  <si>
    <t>Rollo May's Discussion With Richard Evans: Maturity and Creativity, in Notable Contributors to the Psychology of Personality</t>
  </si>
  <si>
    <t>Dr. Carl Rogers, Part 2, in Notable Contributors to the Psychology of Personality</t>
  </si>
  <si>
    <t>Rollo May's Discussion With Richard Evans: Anxiety, Love, Will, and Dying, in Notable Contributors to the Psychology of Personality</t>
  </si>
  <si>
    <t>Dr. Carl Rogers, Part 1, in Notable Contributors to the Psychology of Personality</t>
  </si>
  <si>
    <t>Working with Older Patients When Alcohol is Not the Presenting Issue, in Older Australians: Alcohol and Other Drug Use</t>
  </si>
  <si>
    <t>Working with Older Patients Using Medications, Over the Counter Drugs and Illicit Drugs, in Older Australians: Alcohol and Other Drug Use</t>
  </si>
  <si>
    <t>Aging of the Population, in Older Australians: Alcohol and Other Drug Use</t>
  </si>
  <si>
    <t>Working with Older Patients Presenting with Acute Physical Harm, in Older Australians: Alcohol and Other Drug Use</t>
  </si>
  <si>
    <t>The Transforming Power of Caregiving: Returning to Life After Caregiving Ends</t>
  </si>
  <si>
    <t>Stop Bullying with Mike Hall</t>
  </si>
  <si>
    <t>Loving Someone with an Addiction</t>
  </si>
  <si>
    <t>Caring for a Loved One with Alzheimer's: An Emotional Journey</t>
  </si>
  <si>
    <t>Helping Parents Grieve: Finding new life after the death of a child</t>
  </si>
  <si>
    <t>Journey Through the Shadows: Hope for healing after someone you love has committed suicide</t>
  </si>
  <si>
    <t>Helping Children Grieve</t>
  </si>
  <si>
    <t>At Death's Door: Facing the Terminal Illness of a Loved One</t>
  </si>
  <si>
    <t>When a Loved One Dies: Walking Through Grief as a Teenager</t>
  </si>
  <si>
    <t>When Your Parent Needs You: A Guide to Positive Growth When Caring for Aging Parents</t>
  </si>
  <si>
    <t>HomeGirls</t>
  </si>
  <si>
    <t>Sanctuary: A Documentary</t>
  </si>
  <si>
    <t>Afraid of Dark: Exploring Black Masculinity</t>
  </si>
  <si>
    <t>Finding Home: Sophorn's Story</t>
  </si>
  <si>
    <t>KHM</t>
  </si>
  <si>
    <t>A Family Portrait</t>
  </si>
  <si>
    <t>Pillar to Post: A Film About Dual Diagnosis</t>
  </si>
  <si>
    <t>Perceptions, Mythologies and Stereotypes, in Persons with Disabilities: Seeking Truth, Busting Myths, and Being an Advocate</t>
  </si>
  <si>
    <t>How to Talk to Persons With Disabilities While Being Politically Correct, in Persons with Disabilities: Seeking Truth, Busting Myths, and Being an Advocate</t>
  </si>
  <si>
    <t>Sexuality and Disability Part I: Psychosocial Aspects, in Persons with Disabilities: Seeking Truth, Busting Myths, and Being an Advocate</t>
  </si>
  <si>
    <t>Sexuality and Disability Part II: Physical Aspects, in Persons with Disabilities: Seeking Truth, Busting Myths, and Being an Advocate</t>
  </si>
  <si>
    <t>The Emergence of a Polyvagal-Informed Therapy: HarnessingÂ NeuroceptionÂ of Safety in Clinical Treatment</t>
  </si>
  <si>
    <t>Virtual EMDR: A How-to Guide to Providing EMDR via Telehealth</t>
  </si>
  <si>
    <t>The Body as a Shared Whole:Â Using Visualization Techniques to Treat Dissociation</t>
  </si>
  <si>
    <t>The Gathering Storm: Addiction and the Toxic Stressors that Drive Them</t>
  </si>
  <si>
    <t>The 14 Best Principles for Managing ADHD in Children and Teens</t>
  </si>
  <si>
    <t>Telehealth for Teens, Parents and Groups: Art Therapy Techniques to Reduce Anxiety and Depression</t>
  </si>
  <si>
    <t>Telehealth: Crisis Management with High Risk Clients</t>
  </si>
  <si>
    <t>Telehealth: Legal &amp; Ethical Implications for Mental Health Professionals</t>
  </si>
  <si>
    <t>Telehealth: The Top Client Considerations and Mistakes to Avoid</t>
  </si>
  <si>
    <t>Telehealth Meets Play Therapy: Treating Children and Adolescents in a Virtual Setting</t>
  </si>
  <si>
    <t>Navigating Youth Mental Health in Today's Educational Setting</t>
  </si>
  <si>
    <t>Trauma and The Moving Body</t>
  </si>
  <si>
    <t>Using Solution Focused Brief Therapy to Maximize Telehealth Sessions</t>
  </si>
  <si>
    <t>Telehealth and Trauma Treatment During the COVID-19 Pandemic</t>
  </si>
  <si>
    <t>Transforming Trauma: The Roots of Addiction</t>
  </si>
  <si>
    <t>Psychosis Understood: Making Meaning of Extreme States for Lasting Recovery</t>
  </si>
  <si>
    <t>Telehealth Treatment of Addictive Behavior with Janina Fisher, PhD</t>
  </si>
  <si>
    <t>Telehealth with Children &amp; Adolescents: Clinical Strategies for Maximizing Engagement and Therapeutic Progress While Managing Legal and Ethical Risk</t>
  </si>
  <si>
    <t>The â€œWowâ€ Factor: The New Ways Clinicians Can Use Awe and Gratitude in Therapy</t>
  </si>
  <si>
    <t>Nutrition, Mental Health, and Coronavirus: Eating Strategies to Help You Deal with Pandemic Anxiety and Stress</t>
  </si>
  <si>
    <t>Tech Addiction in Children &amp; Adolescents: Brain-Based Interventions to Optimize Digital Health in Todayâ€™s Screen Culture</t>
  </si>
  <si>
    <t>The Seven Myths of Addiction</t>
  </si>
  <si>
    <t>Tele-Mental Health Documentation and Medical Necessity</t>
  </si>
  <si>
    <t>The Myth of Normal in an Insane Culture</t>
  </si>
  <si>
    <t>The iPorn Universe</t>
  </si>
  <si>
    <t>Ifs And Parenting: Help Kids Transition Forward To A Calm Centered Place</t>
  </si>
  <si>
    <t>Technology Overuse: A Step-by-Step Guide to Assessment and Treatment for Children, Adolescents and Families</t>
  </si>
  <si>
    <t>Children With Adverse Childhood Experiences (Aces): Interventions For The Caregiver &amp; Child</t>
  </si>
  <si>
    <t>Adolescence In Crisis: Racial Trauma And Identity (A Trauma-Focused Dbt Perspective)</t>
  </si>
  <si>
    <t>Coping Skills For Kids And Tweens: How To Manage Big Feelings In An Uncertain Time And Beyond</t>
  </si>
  <si>
    <t>Helping Make The Unbearable Tolerable: Trauma &amp; The Treatment Of Addictions</t>
  </si>
  <si>
    <t>Oppositional Defiance or Faulty Neuroception: Disruptive Behaviors through the Lens of the Polyvagal Theory</t>
  </si>
  <si>
    <t>A Mind-Body Approach To Race-Based Traumatic Stress Recovery</t>
  </si>
  <si>
    <t>Cognition &amp; Memory Changes: Normal Vs Abnormal Aging</t>
  </si>
  <si>
    <t>Coming To Your Senses: Recovering From Trauma By Learning To Safely Inhabit Your Body</t>
  </si>
  <si>
    <t>A Harm-Reduction Approach To Addictions</t>
  </si>
  <si>
    <t>Master On-Target Effective Telehealth Therapy with Dr. Susan Johnson: Using EFT Techniques Online</t>
  </si>
  <si>
    <t>Ethics: Top 10 Mistakes Made By Mental Health Professionals</t>
  </si>
  <si>
    <t>Becoming Solution Focused In Therapy</t>
  </si>
  <si>
    <t>Beyond The Borderline Label</t>
  </si>
  <si>
    <t>Energy Psychology: AÂ BodymindÂ Approach For Rapidly Transforming Stress And Trauma</t>
  </si>
  <si>
    <t>Chronic Suicidality And Self-Destructive Behavior</t>
  </si>
  <si>
    <t>The Meth Epidemic: What Every Clinician Needs to Know</t>
  </si>
  <si>
    <t>Somatic Interventions in Couples Therapy</t>
  </si>
  <si>
    <t>Telehealth 101 for Mental Health Professionals: Best Practices for the Basics and Beyond</t>
  </si>
  <si>
    <t>Telehealth and DBT: Best Practices, Essential Skills, and Ensuring Safety</t>
  </si>
  <si>
    <t>Immobility, Helplessness and Loss of Self-regulation in the time of COVID-19</t>
  </si>
  <si>
    <t>Low-Sex and Sexless Couples</t>
  </si>
  <si>
    <t>Creating A Story Of Safety: A Polyvagal Guide To Managing Anxiety</t>
  </si>
  <si>
    <t>Hope For Treatment-Resistant Depression</t>
  </si>
  <si>
    <t>Covid-19: Managing Community Anxiety, Self-Care And Helping Our Clients</t>
  </si>
  <si>
    <t>A Guide To The Ethics Of Electronic Communication For Mental Health Professionals</t>
  </si>
  <si>
    <t>Attachment &amp; Attuned Parenting: The Power Of Showing Up</t>
  </si>
  <si>
    <t>From Body Shame To Body Positivity</t>
  </si>
  <si>
    <t>Healing Developmental Trauma In Therapy: The Science Of Restoring Self-Regulation</t>
  </si>
  <si>
    <t>Expressive Arts Therapy And Traumatic Stress: Innovative And Embodied Approaches In The Age Of Covid-19</t>
  </si>
  <si>
    <t>Healing Affairs And Repairing Attachment Injuries</t>
  </si>
  <si>
    <t>From Dysfunction To Erotic Discovery: Transforming The Sexual Narrative</t>
  </si>
  <si>
    <t>Stop the Dread &amp; Avoidance of Anxiety! How to Apply IFS Techniques for Anxiety</t>
  </si>
  <si>
    <t>Racial Trauma: Assessment and Treatment Techniques for Trauma Rooted in Racism</t>
  </si>
  <si>
    <t>When Diets Don't Work: 3 Steps to Transform Your Relationship with Food and Your Body</t>
  </si>
  <si>
    <t>The Clinical Impact of Marijuana: When the Use of Marijuana Has Gone Too Far</t>
  </si>
  <si>
    <t>Russell Barkley, Ph.D. on ADHD in Children and Adolescents: Advances in Diagnosis, Treatment and Management</t>
  </si>
  <si>
    <t>Addictive Behaviors As Self-Preservation: Key Insights From The Internal Family Systems Model</t>
  </si>
  <si>
    <t>Collective Trauma: Practical Strategies For Working Somatically In Times Of Change</t>
  </si>
  <si>
    <t>Build Resilience And Post-Traumatic Growth In Kids &amp; Community: Mindfulness Practices For Therapists, Educators And Families</t>
  </si>
  <si>
    <t>Take the â€˜Enemyâ€™ out of Frenemy: Tools to Help Girls Solve Relational Aggression and Build Healthy Friendships</t>
  </si>
  <si>
    <t>Substance Abuse, Sexuality, and Suicide: The Three Canaries in the Cage</t>
  </si>
  <si>
    <t>Alternative Learners And "Outside The Box" Thinkers: Innovative Interventions For Kids &amp; Teens With Adhd, Autism, And Learning Differences</t>
  </si>
  <si>
    <t>Screen Time, Learning, &amp; Communication in the 21st Century</t>
  </si>
  <si>
    <t>Suicide and Self-Harm in Children and Adolescents: Assessment Tools and Treatment Approaches to Help Young People Heal</t>
  </si>
  <si>
    <t>Day Two, in 2-Day: Couples Experiential</t>
  </si>
  <si>
    <t>Mindfulness-Centered CBT: Daily Practices for Managing Stress and Anxiety</t>
  </si>
  <si>
    <t>Expressive Arts Therapy As Somatically-Based Interventions With Trauma: Using Rhythm, Movement, Sound, And Imagery For Embodied Awareness</t>
  </si>
  <si>
    <t>Adhd, Relationships, And Sex: Strategies To Overcome The Over/Under-Functioner Dynamic</t>
  </si>
  <si>
    <t>Suicide Assessment and Intervention: Today's Top Challenges for Mental Health Professionals</t>
  </si>
  <si>
    <t>Happiness During Covid-19: 50 Strategies To Improve Mood, Manage Anxiety And Beat Isolation Loneliness</t>
  </si>
  <si>
    <t>Executive Function: Brain-Based Tools &amp; Strategies To Help Kids And Families Cope With The Unexpected</t>
  </si>
  <si>
    <t>Porn Addiction: Your Essential Guide to Identification, Assessment and Treatment</t>
  </si>
  <si>
    <t>Grief, Loss &amp; Bereavement In Hispanic Clients: Culturally-Informed Tools &amp; Strategies To Promote Healing &amp; Hope After Loss</t>
  </si>
  <si>
    <t>Addicted To Exercise: When Movement Takes A Dangerous Turn</t>
  </si>
  <si>
    <t>Day One, in 2-Day: Couples Experiential</t>
  </si>
  <si>
    <t>Nutrition and Mental Health in Kids &amp; Teens: What Every Mental Health Professional Needs to Know</t>
  </si>
  <si>
    <t>Gambling Disorder: A Clinician'S Guide To Screening, Assessment, &amp; Treatment Options</t>
  </si>
  <si>
    <t>Technosexual: The Improvements, Intrusions, Complexities, and Compulsions That Technology Brings to Modern Sexuality</t>
  </si>
  <si>
    <t>Cbt Strategies For Kids And Adolescents: Supporting Students With Adhd And Anxiety</t>
  </si>
  <si>
    <t>Anxiety Treatment Via Telehealth</t>
  </si>
  <si>
    <t>How Our Unconscious Biases Toward Racial &amp; Sexual Minorities Are Affecting Clients &amp; What To Do</t>
  </si>
  <si>
    <t>Helping Clients Who Can't "Feel"</t>
  </si>
  <si>
    <t>Psychedelics in Modern Healing</t>
  </si>
  <si>
    <t>Social Emotional Learning During and Post COVID: Critical Strategies for ALL Students to Thrive</t>
  </si>
  <si>
    <t>Reframing Childrenâ€™s Traumatic Experiences: Playful, Embodied Interventions to Restore, Regulate &amp; Connect</t>
  </si>
  <si>
    <t>Dreamwork As Contemplative Practice</t>
  </si>
  <si>
    <t>Stimulants: A Hidden Epidemic</t>
  </si>
  <si>
    <t>Healing Childhood Trauma With Peter Levine, Phd &amp; Dafna Lender, Lcsw: An Integrative Approach For Mental Health Clinicians</t>
  </si>
  <si>
    <t>6 Critical Areas Of Ethical Awareness And Practice</t>
  </si>
  <si>
    <t>Death, Dying &amp; Bereavement: New Strategies For Clients &amp; Their Families To Find Meaning At The End Of Life</t>
  </si>
  <si>
    <t>Overcoming Suicidality, Addictive and Unsafe Behavior</t>
  </si>
  <si>
    <t>Steps Toward Healing Traumatic Attachment &amp; Borderline Personality Disorder</t>
  </si>
  <si>
    <t>Working with Somatic Components to Overcome trauma related fears of feeling good</t>
  </si>
  <si>
    <t>Being Present with Pain</t>
  </si>
  <si>
    <t>Yoga &amp; Mindfulness Based Tools for Children &amp; Adolescents to Manage Anxiety &amp; Navigate Stressful Situations</t>
  </si>
  <si>
    <t>Cultivating Presence through Mindfulness and Compassion</t>
  </si>
  <si>
    <t>Attachment and the Dance of Sex: Integrating Couples and Sex Therapy</t>
  </si>
  <si>
    <t>The Art of Perfecting Muscle Relaxation</t>
  </si>
  <si>
    <t>The First Session After the Affair: Managing the Crisis of Infidelity</t>
  </si>
  <si>
    <t>Yoga &amp; Mindfulness Based Practices to Support Children &amp; Adolescents with ADHD</t>
  </si>
  <si>
    <t>Energy Psychology &amp; Brainspotting Under the Microscope: The New Era of Brain-Based Psychotherapy</t>
  </si>
  <si>
    <t>Trauma &amp; The Body: Sensorimotor Psychotherapy</t>
  </si>
  <si>
    <t>OCD: Ten best Treatment Strategies for Children and Adolescents</t>
  </si>
  <si>
    <t>Motivational Interviewing: Eliciting Clients' Own Arguments for Change</t>
  </si>
  <si>
    <t>How Hard Times Can Open the Heart: Deepening Your Brain's Natural Powers for Healing</t>
  </si>
  <si>
    <t>Breathwork Practices to Regulate Energy Level and Arousal in Children &amp; Adolescents</t>
  </si>
  <si>
    <t>The Science of Mindfulness and Compassionate Presence</t>
  </si>
  <si>
    <t>Mastering the Anxiety Game: Teaching Clients to Welcome Their Fears</t>
  </si>
  <si>
    <t>Couples Therapy in Action: 4 Techniques for Rapid and Lasting Change</t>
  </si>
  <si>
    <t>10 Brain-Based Strategies: Help Children Overcome Anxiety and Promote Resilience</t>
  </si>
  <si>
    <t>9 Best Strategies to Treat Panic Attacks in 90 Minutes</t>
  </si>
  <si>
    <t>MI in Action with Stephen Rollnick, Ph.D.</t>
  </si>
  <si>
    <t>Neuroscience and Trauma Therapy</t>
  </si>
  <si>
    <t>Raising an Emotionally Intelligent Child</t>
  </si>
  <si>
    <t>Beyond Fish Oil: 10 Dietary Strategies to Improve and Balance Mood</t>
  </si>
  <si>
    <t>Self-Regulation Strategies &amp; Techniques</t>
  </si>
  <si>
    <t>Motivational Interviewing in Diabetes &amp; Chronic Conditions</t>
  </si>
  <si>
    <t>Stabilizing Unsafe Behavior: Suicide &amp; Self Injury</t>
  </si>
  <si>
    <t>Dr. Gabor MatÃ© on Addiction: From Heroin to Workaholism - A Biopsychosocial Perspective</t>
  </si>
  <si>
    <t>Living Adoption: Gay Parents Speak</t>
  </si>
  <si>
    <t>Working for Social Justice</t>
  </si>
  <si>
    <t>Struggle for Identity: Issues in Transracial Adoption and A Conversation 10 Years Later</t>
  </si>
  <si>
    <t>Foster Parents Speak</t>
  </si>
  <si>
    <t>Casualties of Divorce, in Primary Focus</t>
  </si>
  <si>
    <t>Sins of the Fathers: Men Who are Sexually Abused By Priests, in Primary Focus</t>
  </si>
  <si>
    <t>Dad's Home, in Primary Focus</t>
  </si>
  <si>
    <t>Dating Violence: Should We Expect Respect?, in Principles</t>
  </si>
  <si>
    <t>Obesity: Are We Supersizing Our Kids?, in Principles</t>
  </si>
  <si>
    <t>Teen Suicide, Part 1: What Can Friends Do to Help, in Principles</t>
  </si>
  <si>
    <t>Teen Suicide, Part 2, in Principles</t>
  </si>
  <si>
    <t>The Future of Social Justice in Psychology: Recollections and Social-Historical Contexts, in Privileging Indigenous Voices: Hearing the Wisdom of Generations</t>
  </si>
  <si>
    <t>Indigenous Voices: Witnessing the Wisdom of Our "Elders", in Privileging Indigenous Voices: Hearing the Wisdom of Generations</t>
  </si>
  <si>
    <t>Training Ethnic Minority Students to Succeed in a White Graduate Program: Don't Get Bucked Off!, in Privileging Indigenous Voices: Hearing the Wisdom of Generations</t>
  </si>
  <si>
    <t>Tribal Identity Construction: An Eleven-Year-Old Boy's Journey Toward His Naming Ceremony, in Privileging Indigenous Voices: Hearing the Wisdom of Generations</t>
  </si>
  <si>
    <t>Native Implosion of a Racial/Cultural Identity Development Model, in Privileging Indigenous Voices: Hearing the Wisdom of Generations</t>
  </si>
  <si>
    <t>Children Teaching Children About Military Families</t>
  </si>
  <si>
    <t>Children and Grief</t>
  </si>
  <si>
    <t>Children and Divorce</t>
  </si>
  <si>
    <t>Choice Theory: The Basis of Reality Therapy</t>
  </si>
  <si>
    <t>Ethics in Psychological Research</t>
  </si>
  <si>
    <t>Theories in Social Work Practice</t>
  </si>
  <si>
    <t>Interpreting Nonverbal Communication</t>
  </si>
  <si>
    <t>Relapse and Recovery: The Screening, Assessment &amp; Treatment of Substance Use Disorders Part 1</t>
  </si>
  <si>
    <t>Affirmative Practice with LBGTQ Clients</t>
  </si>
  <si>
    <t>Overcoming Personal Biases in Social Work</t>
  </si>
  <si>
    <t>Relapse and Recovery: The Screening, Assessment &amp; Treatment of Substance Use Disorders Part 2</t>
  </si>
  <si>
    <t>Engaging Juvenile Offenders in a Therapeutic Relationship</t>
  </si>
  <si>
    <t>Las Habilidades Atencionales BÃ¡sicas: Pilares Fundamentales de la ComunicaciÃ³n Efectiva</t>
  </si>
  <si>
    <t>Psychology of Prejudice</t>
  </si>
  <si>
    <t>Conformity</t>
  </si>
  <si>
    <t>Psychology of Power</t>
  </si>
  <si>
    <t>Invitation to Social Psychology</t>
  </si>
  <si>
    <t>Conformity and Independence</t>
  </si>
  <si>
    <t>Nonverbal Communication</t>
  </si>
  <si>
    <t>Obedience</t>
  </si>
  <si>
    <t>Human Aggression</t>
  </si>
  <si>
    <t>The City and the Self</t>
  </si>
  <si>
    <t>A Family Systems Guide to Infidelity: Helping Couples Understand, Recover From, and Avoid Future Affairs</t>
  </si>
  <si>
    <t>Helping Counselors and Psychologists as Advocates and Activists: Strength, Solidarity, Strategy and Sustainability</t>
  </si>
  <si>
    <t>Five Approaches to Supervision</t>
  </si>
  <si>
    <t>Helping Clients in Crisis</t>
  </si>
  <si>
    <t>Ethics and Values in Social Work: Client-Centered Processes for Managing Ethical Concerns</t>
  </si>
  <si>
    <t>Social Work and Poverty</t>
  </si>
  <si>
    <t>Trauma, PTSD and Trauma-Informed Care</t>
  </si>
  <si>
    <t>Clinical Group Supervision</t>
  </si>
  <si>
    <t>Social Work Practice in Palliative Care</t>
  </si>
  <si>
    <t>Group Counseling with Inmates: San Quentin Prison</t>
  </si>
  <si>
    <t>Counseling and Psychotherapy Ethics: Self-Awareness, Competence, and Boundaries</t>
  </si>
  <si>
    <t>Developing Cultural Humility and Multicultural Orientation</t>
  </si>
  <si>
    <t>A Conversation with Gender Non-Conforming, Gender Non-Binary Youth</t>
  </si>
  <si>
    <t>Veterans: Healing Wounded Warriors: Power-Based Therapy with Female Military Veterans</t>
  </si>
  <si>
    <t>Basic Attending Skills, 5th edition</t>
  </si>
  <si>
    <t>Serving LGBTQI+ Youth in a School Context</t>
  </si>
  <si>
    <t>Three Approaches to Counseling Adolescents</t>
  </si>
  <si>
    <t>The Politics of Healing: Creating Safe Clinical Space for Activists in Trump Era</t>
  </si>
  <si>
    <t>Conscious Aging: Empowering Strategies for Working with Elders</t>
  </si>
  <si>
    <t>Mindfulness For Millennials</t>
  </si>
  <si>
    <t>Geriatric Care Management</t>
  </si>
  <si>
    <t>A Strengths-Based Approach to DSM-5 Diagnosis</t>
  </si>
  <si>
    <t>Child Maltreatment Intervention</t>
  </si>
  <si>
    <t>Social Work: Home Visit Safety</t>
  </si>
  <si>
    <t>Overcoming the Imposter Phenomenon: Working with Clients of Color</t>
  </si>
  <si>
    <t>An Introduction to Motivational Interviewing: Resolving Ambivalence and Changing Behavior</t>
  </si>
  <si>
    <t>Therapeutic Lifestyle Changes: Assessment and Use in Treatment</t>
  </si>
  <si>
    <t>Research Domain Criteria (RDoC): New Approaches to Diagnostics</t>
  </si>
  <si>
    <t>Counseling Transgender People: Three Demonstrations</t>
  </si>
  <si>
    <t>Incorporating Play-Based Interventions in Direct Services in School Counseling Programs</t>
  </si>
  <si>
    <t>Group Dynamics in a Multicultural World</t>
  </si>
  <si>
    <t>Counseling Families With Young Children: Play-Based Interventions</t>
  </si>
  <si>
    <t>Neuroscience and Neurobiology Basics for Therapists</t>
  </si>
  <si>
    <t>From Community to Congress: My Journey in Social Justice Advocacy, in Columbia University Winter Roundtable on Cultural Psychology</t>
  </si>
  <si>
    <t>Towards Justice: Reflections on the LGBT Movement, in Columbia University Winter Roundtable on Cultural Psychology</t>
  </si>
  <si>
    <t>Expressive Arts with Adolescents</t>
  </si>
  <si>
    <t>Creative Social Justice Training</t>
  </si>
  <si>
    <t>From Bhagat Singh Thind to Miss America: South Asian Immigrant Experiences in the U.S., in Columbia University Winter Roundtable on Cultural Psychology</t>
  </si>
  <si>
    <t>FIT Supervision</t>
  </si>
  <si>
    <t>DAN</t>
  </si>
  <si>
    <t>Social Justice Mentoring: Supporting the Development of Future Leaders for Struggle, Resistance, and Transformation</t>
  </si>
  <si>
    <t>Therapy Talks: 'It Only Heals When I Laugh!': Humor in Psychotherapy</t>
  </si>
  <si>
    <t>Group Leadership in Action</t>
  </si>
  <si>
    <t>Diving Deep and Resurfacing: Feminist Therapy With African-American Women Struggling With Depression</t>
  </si>
  <si>
    <t>Keeping the Wisdom and Sharing Our Gifts</t>
  </si>
  <si>
    <t>Three Approaches to Marriage Counseling</t>
  </si>
  <si>
    <t>Microaggressions: The New Face of Discrimination</t>
  </si>
  <si>
    <t>Developing Cultural Humility: Understanding How to Engage In Difficult Dialogues</t>
  </si>
  <si>
    <t>FIT Administrative Supervision</t>
  </si>
  <si>
    <t>Caught Between Two Worlds: Understanding the Cultural Integration Process, in Columbia University Winter Roundtable on Cultural Psychology</t>
  </si>
  <si>
    <t>Social Justice Advocacy: Sharing Our Wisdom</t>
  </si>
  <si>
    <t>Honoring the Spiritual and Cultural Legacy of Mentoring: Empowering Future Generations</t>
  </si>
  <si>
    <t>Testimony Therapy: Working With an African-American Couple in Crisis</t>
  </si>
  <si>
    <t>A State of Emergency: Advocating for Transgender People of Color</t>
  </si>
  <si>
    <t>Neurobiology and Narrative Therapy: Therapeutic Practices for Lasting Changes</t>
  </si>
  <si>
    <t>On a Secret Mission: An Anti-Bullying Undercover Team at Work in School</t>
  </si>
  <si>
    <t>Multicultural Feminist Leadership: Benefits for All</t>
  </si>
  <si>
    <t>Mediating Conflict in Intimate Relationships</t>
  </si>
  <si>
    <t>Toward Wholeness: Me, Thee and Weâ€¦</t>
  </si>
  <si>
    <t>Conflict from a Constructionist Standpoint: Resources for Innovation</t>
  </si>
  <si>
    <t>A "War" of Words</t>
  </si>
  <si>
    <t>Double Consciousness: Hegemonic Psychology and the Politics of Ethnic Minority Research</t>
  </si>
  <si>
    <t>Transforming Conflict in Non-Linguistic Ways</t>
  </si>
  <si>
    <t>Economic Privilege and Protection from Consequences</t>
  </si>
  <si>
    <t>Resolving Professional-Client Conflicts Through Restoring Dialogue</t>
  </si>
  <si>
    <t>Managing Conflict in Schools: A new Approach to Disciplinary Offense</t>
  </si>
  <si>
    <t>Three Counseling Sessions: Life is What Happens When You're Also Going to School</t>
  </si>
  <si>
    <t>Trauma Informed Child Centered Play Therapy</t>
  </si>
  <si>
    <t>Narrative Therapy for Eating Disorders</t>
  </si>
  <si>
    <t>Future Focus On Needs of Transgenders</t>
  </si>
  <si>
    <t>Exploring the Emotions of White Racism and Antiracism</t>
  </si>
  <si>
    <t>Pearls of Wisdom</t>
  </si>
  <si>
    <t>Indigenous Healing and Psychotherapeutic Intervention: Complicating the Prospects for Integration</t>
  </si>
  <si>
    <t>Jungian Play Therapy and Sandplay With Children: Myth, Mandala, and Meaning</t>
  </si>
  <si>
    <t>From Bullies to Buddies: From Problem Management to Developing Crucial Social Skills In All Children</t>
  </si>
  <si>
    <t>Positive Psychotherapy: Helping People Thrive</t>
  </si>
  <si>
    <t>Neighborly Ways of Being</t>
  </si>
  <si>
    <t>Relational Ethics</t>
  </si>
  <si>
    <t>Exploring Cyber-Bullying in the 21st Century: What Every Counselor Needs to Know, and What Young People Really Think!</t>
  </si>
  <si>
    <t>Solution-Focused Counseling</t>
  </si>
  <si>
    <t>iYouth: Pop Culture, Kids, and Counseling</t>
  </si>
  <si>
    <t>Transforming Powerlessness into Power</t>
  </si>
  <si>
    <t>Fiscal Trauma</t>
  </si>
  <si>
    <t>Family Therapy: Universal and Unique Approaches to Solving Problems</t>
  </si>
  <si>
    <t>Mindfulness in Counseling</t>
  </si>
  <si>
    <t>Five Approaches to Working with Adolescents, in Five Approaches to Working with Adolescents</t>
  </si>
  <si>
    <t>Healing Historic Trauma</t>
  </si>
  <si>
    <t>The Power of Mentoring: Strategies to Bring Out the Best in Anyone</t>
  </si>
  <si>
    <t>Sand Tray Counseling with Veterans and Their Families</t>
  </si>
  <si>
    <t>Brain-Based Therapy with Adolescents</t>
  </si>
  <si>
    <t>Play Therapy Supervision: Techniques and Demonstrations from a Child-centered Theoretical Model</t>
  </si>
  <si>
    <t>Integrated Care in Action: Demonstrating Effective Strategies</t>
  </si>
  <si>
    <t>Finding a Skill-ionaire in Every Person: A Conversation Map to Enhance Social and Emotional Skills</t>
  </si>
  <si>
    <t>Relational-Cultural Therapy</t>
  </si>
  <si>
    <t>The Social Justice Paradigm Interview (5F ACA Interview 2)</t>
  </si>
  <si>
    <t>Restorative Justice in School and Community Settings</t>
  </si>
  <si>
    <t>The Multicultural Paradigm Interviews (5F ACA Interview 3)</t>
  </si>
  <si>
    <t>Hope for Hard Work and Looking for a Better Life</t>
  </si>
  <si>
    <t>The Existential/Humanistic Paradigm Interview (5F ACA Interview 1)</t>
  </si>
  <si>
    <t>Counseling Military Families: Deployment, Co-Morbidity, and PTSD</t>
  </si>
  <si>
    <t>Cognitive Behavioral Techniques for Older Adults Transitioning to Long Term Care</t>
  </si>
  <si>
    <t>The Multicultural Paradigm Interviews: (5F ACA Interview 4)</t>
  </si>
  <si>
    <t>Principles of Counseling and Psychotherapy: Learning the Essential Domains and Non-Linear Thinking of Master Practitioners. Introduction</t>
  </si>
  <si>
    <t>Biofeedback for Counselors: Empowering Clients for Sustained and Positive Lifestyle Change</t>
  </si>
  <si>
    <t>The Military and PTSD</t>
  </si>
  <si>
    <t>Four Approaches to Counseling One Client: Medical, Intrapsychic, Multicultural and Social Justice Counseling Models</t>
  </si>
  <si>
    <t>Queer Theory in Action: Theoretical Resources for Therapeutic Conversations</t>
  </si>
  <si>
    <t>Coaching and Counselling</t>
  </si>
  <si>
    <t>He Just Doesn't Get it (Or Does He?)</t>
  </si>
  <si>
    <t>Stress: Things Your Doctor May Not Tell You About</t>
  </si>
  <si>
    <t>Life Coaching: Tools for Counselors</t>
  </si>
  <si>
    <t>Neurotherapy: A New Treatment for Psychological and Behavioral Problems</t>
  </si>
  <si>
    <t>Counselors Without Borders: Making Change for a Better World</t>
  </si>
  <si>
    <t>Difficult Clients: Challenging Situations</t>
  </si>
  <si>
    <t>Collaborative Helping: A Practice Framework for Family-Centered Services</t>
  </si>
  <si>
    <t>Introduction to Motivational Interviewing</t>
  </si>
  <si>
    <t>Career Coaching</t>
  </si>
  <si>
    <t>Multicultural Counseling: Intake and Follow Up</t>
  </si>
  <si>
    <t>Narrative Mediation in the Workplace</t>
  </si>
  <si>
    <t>Stress: Things Your Doctor May Not Tell You About, With Slides</t>
  </si>
  <si>
    <t>"Re-membering Conversations": A Postmodern Approach to Death-Grief</t>
  </si>
  <si>
    <t>Implicit Bias: New Forms of the American Dilemma and the New Science of Discrimination</t>
  </si>
  <si>
    <t>Is Psychological Science Acultural?</t>
  </si>
  <si>
    <t>Gestalt Integration</t>
  </si>
  <si>
    <t>Therapy as Social Construction</t>
  </si>
  <si>
    <t>Naamitapiikoan: Blackfoot Influences on Abraham Maslow's Developmental and Organizational Psychology</t>
  </si>
  <si>
    <t>Is Multicultural Psychology Ascientific?</t>
  </si>
  <si>
    <t>La Cosmovision</t>
  </si>
  <si>
    <t>Forensic Mental Health Counseling: Dialog and Demonstrations</t>
  </si>
  <si>
    <t>Empathy Training for Ethnic and Cultural Awareness</t>
  </si>
  <si>
    <t>Purity Vs. Promiscuity: If Rembrandt Met Picasso How Would Their Conversation Go?</t>
  </si>
  <si>
    <t>Feedback Informed Treatment (FIT)</t>
  </si>
  <si>
    <t>A Totalizing Description of Race: Re-storying the Use of Narrative Therapy</t>
  </si>
  <si>
    <t>Queer Theory 2</t>
  </si>
  <si>
    <t>Infusing the Psychology of Curriculum and Ethnocultural Content: Truths, Half-Truths, Anecdotes, and the Role of Critical Thinking</t>
  </si>
  <si>
    <t>What Is It About a Mountain Top</t>
  </si>
  <si>
    <t>The Counseling Intake Process: Culturally Competent Demonstrations and Debriefings</t>
  </si>
  <si>
    <t>Building and Maintaining Good Working Relationships in Indigenous Cultures</t>
  </si>
  <si>
    <t>Social Justice Counselors in Action: Walking the Talk</t>
  </si>
  <si>
    <t>The Criterion Problem in the Measurement of Cross-Cultural Competencies</t>
  </si>
  <si>
    <t>Latinos in Education: The Case of Psychology</t>
  </si>
  <si>
    <t>School Counselors Closing Achievement and College Access Gaps</t>
  </si>
  <si>
    <t>Narrative Mediation With Couples</t>
  </si>
  <si>
    <t>The Conversation With Pioneers: A Roundtable Discussion</t>
  </si>
  <si>
    <t>Poverty as Social Exclusion</t>
  </si>
  <si>
    <t>Spirituality and Counseling: Integration, Inspiration, and Insight</t>
  </si>
  <si>
    <t>Post-Obama: The Continued Relevance of Identity Theorizing and Research</t>
  </si>
  <si>
    <t>Cultural Validity of Hope: Facilitating PEAK Experiences in Community Partnerships</t>
  </si>
  <si>
    <t>Psychology's Struggle for Social Justice and the Common Good</t>
  </si>
  <si>
    <t>Counseling Immigrants</t>
  </si>
  <si>
    <t>Dialogue Understanding of Healing, An Indigenous Healer and Western Psychology</t>
  </si>
  <si>
    <t>Uncovering the Social Determinants of Health</t>
  </si>
  <si>
    <t>Conversations on Racial and Ethnic Identity Research</t>
  </si>
  <si>
    <t>Partnering With Community: Committment, Engagement, and Open Relationships</t>
  </si>
  <si>
    <t>Plenary Panel III: Research Findings on Culture and Mental Health in Ethnic Minority Communities</t>
  </si>
  <si>
    <t>Multiculturalism in Psychology Education and Training</t>
  </si>
  <si>
    <t>Multicultural Supervision</t>
  </si>
  <si>
    <t>Narrative Mediation: A Story of Two Sisters and One Will</t>
  </si>
  <si>
    <t>Training Social Justice Counselors: Walking the Talk</t>
  </si>
  <si>
    <t>Counseling the Student-Athlete</t>
  </si>
  <si>
    <t>Career Counseling With Children: The Creative Career Constellation</t>
  </si>
  <si>
    <t>Spirituality in Counseling</t>
  </si>
  <si>
    <t>The Evolution of Multiculturalism: Past, Present, &amp; Future</t>
  </si>
  <si>
    <t>Mothers and Sons: The Crucial Connection</t>
  </si>
  <si>
    <t>Bearing Witness: Participatory Methods for Tracking the Veins of Injustice and Resistance</t>
  </si>
  <si>
    <t>Creating More Satisfying Lives: A Live Demonstration of Happenstance Career Theory</t>
  </si>
  <si>
    <t>Telling Your Grief Story: Personal Growth Through Expressions of Love</t>
  </si>
  <si>
    <t>Equity-Focused School Counseling, Ensuring Career and College Readiness for Every Student: Demonstrations, Vignettes and a New Vision</t>
  </si>
  <si>
    <t>Stress Management: Understanding and Treatment</t>
  </si>
  <si>
    <t>Suicide Assessment and Prevention</t>
  </si>
  <si>
    <t>Christianity and Multiculturalism: Understanding an Important Dimension of Diversity</t>
  </si>
  <si>
    <t>Multiculturalism: Issues in Counseling and Education</t>
  </si>
  <si>
    <t>Asian Americanist Psychology: Rediscovering Our Activist Roots</t>
  </si>
  <si>
    <t>Three Counseling Approaches: One Adolescent Client</t>
  </si>
  <si>
    <t>Personal Journeys, Professional Paths: Navigating the Crossroads of a Research Center</t>
  </si>
  <si>
    <t>Basic Attending Skills, 4th Ed.</t>
  </si>
  <si>
    <t>Alzheimer's Basics for Counselors, Therapists and Medical Professionals: Definition, Assessment and Treatment</t>
  </si>
  <si>
    <t>25 Years After "Roots of Soul": Contemporary Issues In Counseling Persons of Black African Ancestry</t>
  </si>
  <si>
    <t>Social Class, Economic Privilege and Counseling</t>
  </si>
  <si>
    <t>Crisis Counseling: The ABC Model and Live Demonstration With Two PTSD Clients</t>
  </si>
  <si>
    <t>Neuroscience and Counseling: Integrating New Research Into Practice from a Wellness Base</t>
  </si>
  <si>
    <t>Break The Silence: The Power of Witnessing, A.R.T. Program for Teens</t>
  </si>
  <si>
    <t>Narrative Therapy: A Process for the Postmodern World</t>
  </si>
  <si>
    <t>Overcoming Trauma; Altruism Born of Suffering</t>
  </si>
  <si>
    <t>Twenty-Five Years Later: How Big Is the Circle of Inclusion</t>
  </si>
  <si>
    <t>Youth and Violence: Key Questions and Solutions</t>
  </si>
  <si>
    <t>Leading Groups with Adolescents</t>
  </si>
  <si>
    <t>Reading Between the Lines: Understanding Culture in Qualitative Results</t>
  </si>
  <si>
    <t>Neuroscience and the Brain: Implications for Counseling and Therapy</t>
  </si>
  <si>
    <t>Addressing Economic Inequality In Marriage: A New Therapeutic Approach</t>
  </si>
  <si>
    <t>African American Education in a Hegemonic Society: Confronting the Challenge of Westernity</t>
  </si>
  <si>
    <t>Multidimensional Family Therapy, in Relationships Series</t>
  </si>
  <si>
    <t>Counseling Veterans: Strategies for Working With Returning Soldiers</t>
  </si>
  <si>
    <t>Feminist Counseling and Cultural Therapy: Two Demonstrations</t>
  </si>
  <si>
    <t>Who's in the Kitchen - Helping Men Move Toward the Center of Family Life</t>
  </si>
  <si>
    <t>Clinical Dilemmas in Marriage: The Search for Equal Partnership</t>
  </si>
  <si>
    <t>Mentoring for Multicultural and Advocacy Competencies</t>
  </si>
  <si>
    <t>Cultural Psychology and the Fostering of Agentic Behavior</t>
  </si>
  <si>
    <t>Play Therapy: Basics for Beginning Students</t>
  </si>
  <si>
    <t>Liberation Psychology: An On-Going Practice in American Indian Country</t>
  </si>
  <si>
    <t>Joe White: Inspirational Activist and Scholar</t>
  </si>
  <si>
    <t>Delivering Psychological Services in the Midst of Social Injustice</t>
  </si>
  <si>
    <t>The Daily Battle with Oppression: Empowerment through Inclusion</t>
  </si>
  <si>
    <t>Integrating Diversity Guidelines for Practice Competency</t>
  </si>
  <si>
    <t>Career Counseling: Skills for Contextualizing Decision Making</t>
  </si>
  <si>
    <t>Making Race Not Matter: Overcoming Race and Racialization In American Society</t>
  </si>
  <si>
    <t>On the Road to...Peace of Mind</t>
  </si>
  <si>
    <t>Counseling Alcoholic Clients: A Microskills Approach</t>
  </si>
  <si>
    <t>America In a Different Mirror: A Comparative Approach to History</t>
  </si>
  <si>
    <t>A Living Legend: Life Review Interview With Patricia Arredondo</t>
  </si>
  <si>
    <t>Cross-Cultural Counseling: Clinical Case Examples</t>
  </si>
  <si>
    <t>Empowerment and Social Justice: Values, Theory and Action</t>
  </si>
  <si>
    <t>Becoming Social Justice Agents: If Not Us, Then Who?</t>
  </si>
  <si>
    <t>Ending "Sufferation" and Inspiring Freedom Conductors for the 21st Century</t>
  </si>
  <si>
    <t>A Social Justice Agenda for Multiculturalism: Societal Implications</t>
  </si>
  <si>
    <t>Counseling the Antisocial Client: Working With Resistance and Denial</t>
  </si>
  <si>
    <t>The Psychology of Working: Expanding our Vision to Affirm Race and Culture</t>
  </si>
  <si>
    <t>Social Justice in Action: Examples of Practice &amp; Visions of the Future</t>
  </si>
  <si>
    <t>Rediscovering the Roots of Counseling Psychology: Transforming Intellectual Commitment into Social Justice and Community</t>
  </si>
  <si>
    <t>Life Review Series: George Albee On Prevention</t>
  </si>
  <si>
    <t>Disaster Mental Health and Crisis Stabilization for Children</t>
  </si>
  <si>
    <t>Possible Selves &amp; Social Identities: When and How They Promote School Performance</t>
  </si>
  <si>
    <t>Healing of the Soul Wound: Native American Psychology and It's Implications for Multicultural Theory and Practice</t>
  </si>
  <si>
    <t>Disability-Affirmative Therapy: A Beginner's Guide</t>
  </si>
  <si>
    <t>Incorporating Race and Culture With Other Aspects of Anxiety: Choices, Contexts and Strategies</t>
  </si>
  <si>
    <t>Boundaries and Solidarity: The Importance of Being Real</t>
  </si>
  <si>
    <t>Race-Based Traumatic Stress: Recognition and Assessment</t>
  </si>
  <si>
    <t>What Psychotherapists Should Know About Disability</t>
  </si>
  <si>
    <t>The Challenge of Conflict Among Allies: Risks and Opportunities</t>
  </si>
  <si>
    <t>Understanding the Therapeutic Needs of Culturally Diverse Individuals with Disabilities</t>
  </si>
  <si>
    <t>At the Corner of Me and Myself: Voices of Mutiple Social Identities</t>
  </si>
  <si>
    <t>Affirmative Psychotherapy for American Jews</t>
  </si>
  <si>
    <t>Looking Beyond Race, Looking Beyond Borders: Explorations Into the Multicultural Personality</t>
  </si>
  <si>
    <t>Career Counseling: Skills for Guided Discovery and Career Assessment</t>
  </si>
  <si>
    <t>Becoming a Creative Counselor: The SCAMPER Model</t>
  </si>
  <si>
    <t>The Challenge of Counseling Teens: Techniques for Engaging and Connecting with Reluctant Youth</t>
  </si>
  <si>
    <t>Five Approaches to Supervision: Developmental, Integrated, IPR, Psychodynamic and Microskills</t>
  </si>
  <si>
    <t>Adlerian Early Recollections: Live Demonstration Including DCT Assessment</t>
  </si>
  <si>
    <t>Active Witnessing Practice Sessions for Anti-discrimination Response</t>
  </si>
  <si>
    <t>Cultural Competency in the Treatment of African-American Couples</t>
  </si>
  <si>
    <t>An Asian-American Story</t>
  </si>
  <si>
    <t>Counseling Muslims In a Western Context</t>
  </si>
  <si>
    <t>Issues In Counseling Women</t>
  </si>
  <si>
    <t>Men and Masculinity</t>
  </si>
  <si>
    <t>Measuring Acculturation: Key Issue for the Future</t>
  </si>
  <si>
    <t>Culture and Standardized Tests: Native American Issues and Examples</t>
  </si>
  <si>
    <t>Perspectives on Race, Culture, and Academic Achievement</t>
  </si>
  <si>
    <t>Pedersen's Triad Training Model: Five Vignettes of Culturally Different Counselors Interviewing a Single Client</t>
  </si>
  <si>
    <t>Cognitive Counseling</t>
  </si>
  <si>
    <t>Counseling Latino Children and Adolescents: Cross-Cultural Issues</t>
  </si>
  <si>
    <t>The Psychology of Men and Masculinity in Multicultural Perspective</t>
  </si>
  <si>
    <t>Multicultural Competence: Awareness, Knowledge &amp; Skills</t>
  </si>
  <si>
    <t>Solutions for Life</t>
  </si>
  <si>
    <t>Specifics of Practice for Counseling With Latinos</t>
  </si>
  <si>
    <t>Counseling Gay and Lesbian Youth</t>
  </si>
  <si>
    <t>Mi Cuento (My Story): Life Review Interview With Luis Vazquez</t>
  </si>
  <si>
    <t>Confronting Racial and Gender Difference: Three Approaches to Multicultural Counseling and Therapy</t>
  </si>
  <si>
    <t>An African-American Story</t>
  </si>
  <si>
    <t>Solution-Focused Brief Counseling: Two Actual Interviews with a Child</t>
  </si>
  <si>
    <t>Race, Gender and Sexual Orientation: Counseling People with Multiple Cultural Identities</t>
  </si>
  <si>
    <t>Counseling Latinos In a Time of Growth &amp; Change</t>
  </si>
  <si>
    <t>Brief Therapy In Action: Anxiety, Arousal, Or Anger?</t>
  </si>
  <si>
    <t>Cultural Identity Theory: Definition, Present Status, and Research Findings</t>
  </si>
  <si>
    <t>Solving the Mystery of Racial Bias in Testing: How Much Does it Cost to Think About Being Black?</t>
  </si>
  <si>
    <t>Race, Racism and Antiracism</t>
  </si>
  <si>
    <t>Gender and Diversity: A Female and Male Perspective</t>
  </si>
  <si>
    <t>Race &amp; Assessment: Measurement &amp; Legal Implications</t>
  </si>
  <si>
    <t>Mujeres Latinas: Santas y Marquesas</t>
  </si>
  <si>
    <t>Three Approaches to Trauma - Post 9/11: Theory, Practice, and Inspiration</t>
  </si>
  <si>
    <t>Family Counseling Using Reality Therapy</t>
  </si>
  <si>
    <t>Family &amp; Community Genograms In Multicultural Counseling</t>
  </si>
  <si>
    <t>Lessons Learned in Facilitating and Assessing American Indian Adolescent Resilience</t>
  </si>
  <si>
    <t>Counseling the Multiracial Population: Couples, Individuals, Families</t>
  </si>
  <si>
    <t>Afrocentrics Approaches to Group Work: I Am Because We Are</t>
  </si>
  <si>
    <t>Group Microskills: Encountering Diversity</t>
  </si>
  <si>
    <t>Brief Integrative Adlerian Couples Therapy</t>
  </si>
  <si>
    <t>Brief Counseling with Children and Adolescents</t>
  </si>
  <si>
    <t>Cultural Identity vs. Acculturation: Implications for Theory, Research, &amp; Practice</t>
  </si>
  <si>
    <t>Sexual Orientations in Perspective</t>
  </si>
  <si>
    <t>Senior Men of Color: Surviving Racism and Sexism: Lessons We Have Learned</t>
  </si>
  <si>
    <t>Sex and Aging: Overcoming the Obstacles to Maintaining a Vital Sex Life</t>
  </si>
  <si>
    <t>Encouraging Risk-Taking In Groups</t>
  </si>
  <si>
    <t>Gazda On Groups: Group Counseling</t>
  </si>
  <si>
    <t>Reality Therapy in Groups</t>
  </si>
  <si>
    <t>African-American Perspectives: Life Review Interview with Onawumi Jean Moss</t>
  </si>
  <si>
    <t>Basic Influencing Skills, Part 1</t>
  </si>
  <si>
    <t>Reality Therapy and AIDS</t>
  </si>
  <si>
    <t>European-American Perspectives: Growing Up With Culture</t>
  </si>
  <si>
    <t>Vignettes of Culturally Different Counseling: Working with Clients Different Than You</t>
  </si>
  <si>
    <t>Science, Ethnicity, and Bias: Where Have We Gone Wrong?</t>
  </si>
  <si>
    <t>Counseling Children: A Microskills Approach</t>
  </si>
  <si>
    <t>Beyond Tolerance: Bridging the Gap Between Imposition and Acceptance</t>
  </si>
  <si>
    <t>Jewish-American Perspectives</t>
  </si>
  <si>
    <t>Shades of Black: Diversity in African-American Identity</t>
  </si>
  <si>
    <t>The Healing Road: The Native American Tradition</t>
  </si>
  <si>
    <t>Counseling Survivors of Violence</t>
  </si>
  <si>
    <t>Microcounseling Supervision: Classifying Interview Behavior</t>
  </si>
  <si>
    <t>Brief Counseling: The Basic Skills</t>
  </si>
  <si>
    <t>Basic Influencing Skills, Part 2</t>
  </si>
  <si>
    <t>Psychoeducational Group Demonstration</t>
  </si>
  <si>
    <t>Counseling and Therapy With Native American Indians</t>
  </si>
  <si>
    <t>Three Approaches To Counseling: One Client, Three Approaches</t>
  </si>
  <si>
    <t>White Identity Theory: Origins and Prospects</t>
  </si>
  <si>
    <t>Cultural Identity Theory: Origins, Present and Future</t>
  </si>
  <si>
    <t>Ethnic Sharing: Valuing Diversity</t>
  </si>
  <si>
    <t>0001-01-01</t>
  </si>
  <si>
    <t>Dream Analysis and Counseling: Live Demonstrations</t>
  </si>
  <si>
    <t>Conflict Prevention Skills: Microskills for Correctional Officer Training</t>
  </si>
  <si>
    <t>Advanced Microskills: Focusing, Meaning, Confrontation</t>
  </si>
  <si>
    <t>Guidelines for Counseling Asian-American Clients</t>
  </si>
  <si>
    <t>Basic Listening Sequence &amp; Issues of Trauma</t>
  </si>
  <si>
    <t>When Will People Help</t>
  </si>
  <si>
    <t>New Perspectives on OCD, in Psychotherapy Networker</t>
  </si>
  <si>
    <t>Reclaiming Reflection and the Power of Pause, in Psychotherapy Networker</t>
  </si>
  <si>
    <t>Treating the Reassurance Junkie, in Psychotherapy Networker</t>
  </si>
  <si>
    <t>Microtraumas and the African American Client, in Psychotherapy Networker</t>
  </si>
  <si>
    <t>Parenting with Internal Family Systems (IFS), in Psychotherapy Networker</t>
  </si>
  <si>
    <t>Generalized Side Effects, in Psychotropic Medications: Adverse Drug Reactions</t>
  </si>
  <si>
    <t>Medication Specific Disorders, in Psychotropic Medications: Adverse Drug Reactions</t>
  </si>
  <si>
    <t>Movement Disorders, in Psychotropic Medications: Adverse Drug Reactions</t>
  </si>
  <si>
    <t>Assessment and Intervention, in Psychotropic Medications: Adverse Drug Reactions</t>
  </si>
  <si>
    <t>An Adlerian Approach for Understanding and Assisting Aging Loved Ones</t>
  </si>
  <si>
    <t>Face-Spirit: A New Model for Integrating Spirituality Into Counseling and Psychotherapy</t>
  </si>
  <si>
    <t>Carl Rogers On Counseling: A Personal Perspective</t>
  </si>
  <si>
    <t>B. F. Skinner On Counseling</t>
  </si>
  <si>
    <t>B. F. Skinner on Education, Parts 1 &amp; 2, in Distinguished Contributors to Counseling Series</t>
  </si>
  <si>
    <t>(Adolescent) F31.4 Bipolar I Disorder, Current Episode Depressed, Severe, in Sam, (Adolescent) Bipolar I Disorder, Current or Most Recent Episode Manic, Severe</t>
  </si>
  <si>
    <t>Core Video: F31.40 (Adolescent) Bipolar I Disorder, Current or Most Recent Episode Manic, Severe, Part 2, in Sam, (Adolescent) Bipolar I Disorder, Current or Most Recent Episode Manic, Severe, Part 2</t>
  </si>
  <si>
    <t>(Adolescent) Bipolar I Disorder, Current Episode Depressed, Severe, in Sam, (Adolescent) Bipolar I Disorder, Current or Most Recent Episode Manic, Severe</t>
  </si>
  <si>
    <t>(Adolescent) F31.75 Bipolar I Disorder in Partial Remission, Most Recent Episode Depressed with Anxious Distress, in Sam, (Adolescent) Bipolar I Disorder, Current or Most Recent Episode Manic, Severe</t>
  </si>
  <si>
    <t>(Adolescent) Bipolar I Disorder in Partial Remission, Most Recent Episode Depressed with Anxious Distress, in Sam, (Adolescent) Bipolar I Disorder, Current or Most Recent Episode Manic, Severe</t>
  </si>
  <si>
    <t>Core Video: (Adolescent) Bipolar I Disorder, Current or Most Recent Episode Manic, Severe, Part 2, in Sam, (Adolescent) Bipolar I Disorder, Current or Most Recent Episode Manic, Severe</t>
  </si>
  <si>
    <t>Chase, Schizophrenia Part I, Auditory Hallucinations V1 - Conversations with Reference, in Schizophrenia, Case 1: Chase, Case 1</t>
  </si>
  <si>
    <t>Chase, Schizophrenia Part I, Command Hallucinations - Suicide V2, in Schizophrenia, Case 1: Chase, Case 1</t>
  </si>
  <si>
    <t>Chase, Schizophrenia, Visual Hallucination V3, in Schizophrenia, Case 1: Chase, Case 1</t>
  </si>
  <si>
    <t>Chase, Schizophrenia Part I, Auditory Hallucinations V1 - Conversations with Paranoia, in Schizophrenia, Case 1: Chase, Case 1</t>
  </si>
  <si>
    <t>Chase, Core Video: Schizophrenia Part II, Post Medicating, in Schizophrenia, Case 1: Chase, Case 1</t>
  </si>
  <si>
    <t>Chase, Schizophrenia Part I, Command Hallucinations - Suicide V1, in Schizophrenia, Case 1: Chase, Case 1</t>
  </si>
  <si>
    <t>Chase, Schizophrenia, Visual Hallucination V2, in Schizophrenia, Case 1: Chase, Case 1</t>
  </si>
  <si>
    <t>Chase, Schizophrenia Part I, Auditory Hallucinations V1 - Without Paranoia, in Schizophrenia, Case 1: Chase, Case 1</t>
  </si>
  <si>
    <t>Chase, Schizophrenia, Hallucination Assessment, in Schizophrenia, Case 1: Chase, Case 1</t>
  </si>
  <si>
    <t>Chase, Schizophrenia Post Medicating, Trauma Assessment, in Schizophrenia, Case 1: Chase, Case 1</t>
  </si>
  <si>
    <t>Chase, Schizophrenia Part I, Auditory Hallucinations V1 - Commentary, in Schizophrenia, Case 1: Chase, Case 1</t>
  </si>
  <si>
    <t>Chase, Core Video: Schizophrenia Part I, Psychotic Episode, in Schizophrenia, Case 1: Chase, Case 1</t>
  </si>
  <si>
    <t>Chase, Schizophrenia, Visual Hallucination V1, in Schizophrenia, Case 1: Chase, Case 1</t>
  </si>
  <si>
    <t>Sleep Assessment A-6, in Sleep Assessment Series 2</t>
  </si>
  <si>
    <t>Sleep Assessment A-7, in Sleep Assessment Series 2</t>
  </si>
  <si>
    <t>Sleep Assessment A-8, in Sleep Assessment Series 2</t>
  </si>
  <si>
    <t>Sleep Assessment A-5, in Sleep Assessment Series 2</t>
  </si>
  <si>
    <t>Living Life to the Advantage of Your Brain!, in Super Brain Summit</t>
  </si>
  <si>
    <t>The Brain Tells Us Everything!, in Super Brain Summit</t>
  </si>
  <si>
    <t>Neurotherapy for Mood Disorders &amp; Sequelae of Emotional Trauma, in Super Brain Summit</t>
  </si>
  <si>
    <t>Managing Your Brain Health, in Super Brain Summit</t>
  </si>
  <si>
    <t>A Practical Guide to Your Brain's Plasticity, in Super Brain Summit</t>
  </si>
  <si>
    <t>When the ADHD Diagnosis is Wrong, in Super Brain Summit</t>
  </si>
  <si>
    <t>Rule/Out F20.9 Schizophrenia demonstrating negative symptoms, Part 1</t>
  </si>
  <si>
    <t>Rule/Out F20.9 Schizophrenia demonstrating negative symptoms, Part 2, in , Part 2</t>
  </si>
  <si>
    <t>Mindfullness Psychotherapy</t>
  </si>
  <si>
    <t>Rule/Out F20.9 Schizophrenia demonstrating symptoms of paranoia, Part 4, in , Part 4</t>
  </si>
  <si>
    <t>Rule/Out F20.9 Schizophrenia demonstrating symptoms of paranoia, Part 3, in , Part 3</t>
  </si>
  <si>
    <t>Rule/Out F20.9 Schizophrenia demonstrating the symptom of self-reference, Part 5, in , Part 5</t>
  </si>
  <si>
    <t>Cognitive Psychotherapy</t>
  </si>
  <si>
    <t>Positive Psychotherapy</t>
  </si>
  <si>
    <t>Healthy Thinking Assessment A-7</t>
  </si>
  <si>
    <t>CAGE Questions, in Assessment Tools Index: Alcohol Assessment Tool, Episode 1</t>
  </si>
  <si>
    <t>Training Title 184, in Test Section Index, Episode 184</t>
  </si>
  <si>
    <t>Training Title 185, in Test Section Index, Episode 185</t>
  </si>
  <si>
    <t>Training Title 129, in Test Section Index, 129</t>
  </si>
  <si>
    <t>Training Title 134, in Test Section Index, 134</t>
  </si>
  <si>
    <t>Training Title 188, in Test Section Index, Episode 188</t>
  </si>
  <si>
    <t>Training Title 127, in Test Section Index, 127</t>
  </si>
  <si>
    <t>Training Title 113, in Test Section Index, Episode 113</t>
  </si>
  <si>
    <t>Training Title 137, in Test Section Index, 137</t>
  </si>
  <si>
    <t>Training Title 107, in Test Section Index, Episode 107</t>
  </si>
  <si>
    <t>Training Title 106, in Test Section Index, Episode 106</t>
  </si>
  <si>
    <t>Training Title 130, in Test Section Index, 130</t>
  </si>
  <si>
    <t>Training Title 128, in Test Section Index, 128</t>
  </si>
  <si>
    <t>Training Title 118, in Test Section Index, 118</t>
  </si>
  <si>
    <t>Training Title 116, in Test Section Index, Episode 116</t>
  </si>
  <si>
    <t>Training Title 102, in Test Section Index, Episode 102</t>
  </si>
  <si>
    <t>Training Title 139, in Test Section Index, 139</t>
  </si>
  <si>
    <t>Training Title 189, in Test Section Index, Episode 189</t>
  </si>
  <si>
    <t>Training Title 141, in Test Section Index, 141</t>
  </si>
  <si>
    <t>Training Title 126, in Test Section Index, 126</t>
  </si>
  <si>
    <t>Training Title 114, in Test Section Index, Episode 114</t>
  </si>
  <si>
    <t>Training Title 104, in Test Section Index, Episode 104</t>
  </si>
  <si>
    <t>Training Title 132, in Test Section Index, 132</t>
  </si>
  <si>
    <t>Training Title 124, in Test Section Index, 124</t>
  </si>
  <si>
    <t>Training Title 103, in Test Section Index, Episode 103</t>
  </si>
  <si>
    <t>Training Title 187, in Test Section Index, Episode 187</t>
  </si>
  <si>
    <t>Training Title 121, in Test Section Index, 121</t>
  </si>
  <si>
    <t>Training Title 143, in Test Section Index, 143</t>
  </si>
  <si>
    <t>Training Title 135, in Test Section Index, 135</t>
  </si>
  <si>
    <t>Training Title 144, in Test Section Index, 144</t>
  </si>
  <si>
    <t>Training Title 140, in Test Section Index, 140</t>
  </si>
  <si>
    <t>Training Title 120, in Test Section Index, 120</t>
  </si>
  <si>
    <t>Training Title 110, in Test Section Index, Episode 110</t>
  </si>
  <si>
    <t>Training Title 105, in Test Section Index, Episode 105</t>
  </si>
  <si>
    <t>Training Title 112, in Test Section Index, Episode 112</t>
  </si>
  <si>
    <t>Training Title 138, in Test Section Index, 138</t>
  </si>
  <si>
    <t>Training Title 109, in Test Section Index, Episode 109</t>
  </si>
  <si>
    <t>Training Title 122, in Test Section Index, 122</t>
  </si>
  <si>
    <t>Training Title 125, in Test Section Index, 125</t>
  </si>
  <si>
    <t>Training Title 115, in Test Section Index, Episode 115</t>
  </si>
  <si>
    <t>Training Title 131, in Test Section Index, 131</t>
  </si>
  <si>
    <t>Training Title 186, in Test Section Index, Episode 186</t>
  </si>
  <si>
    <t>Training Title 96, in Test Section Index, Episode 96</t>
  </si>
  <si>
    <t>Training Title 123, in Test Section Index, 123</t>
  </si>
  <si>
    <t>Training Title 108, in Test Section Index, Episode 108</t>
  </si>
  <si>
    <t>Training Title 133, in Test Section Index, 133</t>
  </si>
  <si>
    <t>Training Title 142, in Test Section Index, 142</t>
  </si>
  <si>
    <t>Training Title 136, in Test Section Index, 136</t>
  </si>
  <si>
    <t>Training Title 94, in Test Section Index, Episode 94</t>
  </si>
  <si>
    <t>Training Title 111, in Test Section Index, Episode 111</t>
  </si>
  <si>
    <t>Training Title 119, in Test Section Index, 119</t>
  </si>
  <si>
    <t>Training Title 101, in Test Section Index, Episode 101</t>
  </si>
  <si>
    <t>Training Title 98, in Test Section Index, Episode 98</t>
  </si>
  <si>
    <t>Training Title 97, in Test Section Index, Episode 97</t>
  </si>
  <si>
    <t>Training Title 93, in Test Section Index, Episode 93</t>
  </si>
  <si>
    <t>Training Title 95, in Test Section Index, Episode 95</t>
  </si>
  <si>
    <t>Training Title 157, in Test Section Index, Episode 157</t>
  </si>
  <si>
    <t>Training Title 168, in Test Section Index, Episode 168</t>
  </si>
  <si>
    <t>Training Title 181, in Test Section Index, Episode 181</t>
  </si>
  <si>
    <t>Training Title 175, in Test Section Index, Episode 175</t>
  </si>
  <si>
    <t>Training Title 182, in Test Section Index, Episode 182</t>
  </si>
  <si>
    <t>Training Title 99, in Test Section Index, Episode 99</t>
  </si>
  <si>
    <t>Training Title 172, in Test Section Index, Episode 172</t>
  </si>
  <si>
    <t>Training Title 164, in Test Section Index, Episode 164</t>
  </si>
  <si>
    <t>Training Title 149, in Test Section Index, Episode 149</t>
  </si>
  <si>
    <t>Training Title 156, in Test Section Index, Episode 156</t>
  </si>
  <si>
    <t>Training Title 146, in Test Section Index, Episode 146</t>
  </si>
  <si>
    <t>Training Title 161, in Test Section Index, Episode 161</t>
  </si>
  <si>
    <t>Training Title 159, in Test Section Index, Episode 159</t>
  </si>
  <si>
    <t>Training Title 153, in Test Section Index, Episode 153</t>
  </si>
  <si>
    <t>Training Title 160, in Test Section Index, Episode 160</t>
  </si>
  <si>
    <t>Training Title 179, in Test Section Index, Episode 179</t>
  </si>
  <si>
    <t>Training Title 183, in Test Section Index, Episode 183</t>
  </si>
  <si>
    <t>Training Title 176, in Test Section Index, Episode 176</t>
  </si>
  <si>
    <t>Training Title 169, in Test Section Index, Episode 169</t>
  </si>
  <si>
    <t>Training Title 173, in Test Section Index, Episode 173</t>
  </si>
  <si>
    <t>Training Title 171, in Test Section Index, Episode 171</t>
  </si>
  <si>
    <t>Training Title 117, in Test Section Index, Episode 117</t>
  </si>
  <si>
    <t>Training Title 167, in Test Section Index, Episode 167</t>
  </si>
  <si>
    <t>Training Title 154, in Test Section Index, Episode 154</t>
  </si>
  <si>
    <t>Training Title 163, in Test Section Index, Episode 163</t>
  </si>
  <si>
    <t>Training Title 166, in Test Section Index, Episode 166</t>
  </si>
  <si>
    <t>Training Title 180, in Test Section Index, Episode 180</t>
  </si>
  <si>
    <t>Training Title 190, in Test Section Index, Episode 190</t>
  </si>
  <si>
    <t>Training Title 152, in Test Section Index, Episode 152</t>
  </si>
  <si>
    <t>Training Title 162, in Test Section Index, Episode 162</t>
  </si>
  <si>
    <t>Training Title 151, in Test Section Index, Episode 151</t>
  </si>
  <si>
    <t>Training Title 148, in Test Section Index, Episode 148</t>
  </si>
  <si>
    <t>Training Title 100, in Test Section Index, Episode 100</t>
  </si>
  <si>
    <t>Training Title 155, in Test Section Index, Episode 155</t>
  </si>
  <si>
    <t>Training Title 150, in Test Section Index, Episode 150</t>
  </si>
  <si>
    <t>Training Title 147, in Test Section Index, Episode 147</t>
  </si>
  <si>
    <t>Training Title 158, in Test Section Index, Episode 158</t>
  </si>
  <si>
    <t>Training Title 165, in Test Section Index, Episode 165</t>
  </si>
  <si>
    <t>Training Title 145, in Test Section Index, Episode 145</t>
  </si>
  <si>
    <t>Training Title 170, in Test Section Index, Episode 170</t>
  </si>
  <si>
    <t>Training Title 177, in Test Section Index, Episode 177</t>
  </si>
  <si>
    <t>Training Title 174, in Test Section Index, Episode 174</t>
  </si>
  <si>
    <t>Training Title 178, in Test Section Index, Episode 178</t>
  </si>
  <si>
    <t>Training Title 83, in Test Section Index, Episode 83</t>
  </si>
  <si>
    <t>Training Title 88, in Test Section Index, Episode 88</t>
  </si>
  <si>
    <t>Training Title 84, in Test Section Index, Episode 84</t>
  </si>
  <si>
    <t>Training Title 68, in Test Section Index, Episode 68</t>
  </si>
  <si>
    <t>Training Title 77, in Test Section Index, Episode 77</t>
  </si>
  <si>
    <t>Training Title 80, in Test Section Index, Episode 80</t>
  </si>
  <si>
    <t>Training Title 3, in Test Section Index, Episode 3</t>
  </si>
  <si>
    <t>Training Title 54, in Test Section Index, Episode 54</t>
  </si>
  <si>
    <t>Training Title 86, in Test Section Index, Episode 86</t>
  </si>
  <si>
    <t>Training Title 49, in Test Section Index, Episode 49</t>
  </si>
  <si>
    <t>Training Title 15, in Test Section Index, Episode 15</t>
  </si>
  <si>
    <t>Training Title 92, in Test Section Index, Episode 92</t>
  </si>
  <si>
    <t>Training Title 91, in Test Section Index, Episode 91</t>
  </si>
  <si>
    <t>Training Title 57, in Test Section Index, Episode 57</t>
  </si>
  <si>
    <t>Training Title 89, in Test Section Index, Episode 89</t>
  </si>
  <si>
    <t>Training Title 69, in Test Section Index, Episode 69</t>
  </si>
  <si>
    <t>Training Title 76, in Test Section Index, Episode 76</t>
  </si>
  <si>
    <t>Training Title 58, in Test Section Index, Episode 58</t>
  </si>
  <si>
    <t>Training Title 50, in Test Section Index, Episode 50</t>
  </si>
  <si>
    <t>Training Title 61, in Test Section Index, Episode 61</t>
  </si>
  <si>
    <t>Training Title 39, in Test Section Index, Episode 39</t>
  </si>
  <si>
    <t>Training Title 82, in Test Section Index, Episode 82</t>
  </si>
  <si>
    <t>Training Title 70, in Test Section Index, Episode 70</t>
  </si>
  <si>
    <t>Training Title 52, in Test Section Index, Episode 52</t>
  </si>
  <si>
    <t>Training Title 60, in Test Section Index, Episode 60</t>
  </si>
  <si>
    <t>Training Title 32, in Test Section Index, Episode 32</t>
  </si>
  <si>
    <t>Training Title 75, in Test Section Index, Episode 75</t>
  </si>
  <si>
    <t>Training Title 87, in Test Section Index, Episode 87</t>
  </si>
  <si>
    <t>Training Title 85, in Test Section Index, Episode 85</t>
  </si>
  <si>
    <t>Training Title 73, in Test Section Index, Episode 73</t>
  </si>
  <si>
    <t>Training Title 63, in Test Section Index, Episode 63</t>
  </si>
  <si>
    <t>Training Title 74, in Test Section Index, Episode 74</t>
  </si>
  <si>
    <t>Training Title 67, in Test Section Index, Episode 67</t>
  </si>
  <si>
    <t>Training Title 78, in Test Section Index, Episode 78</t>
  </si>
  <si>
    <t>Training Title 53, in Test Section Index, Episode 53</t>
  </si>
  <si>
    <t>Training Title 51, in Test Section Index, Episode 51</t>
  </si>
  <si>
    <t>Training Title 79, in Test Section Index, Episode 79</t>
  </si>
  <si>
    <t>Training Title 56, in Test Section Index, Episode 56</t>
  </si>
  <si>
    <t>Training Title 90, in Test Section Index, Episode 90</t>
  </si>
  <si>
    <t>Training Title 41, in Test Section Index, Episode 41</t>
  </si>
  <si>
    <t>Training Title 66, in Test Section Index, Episode 66</t>
  </si>
  <si>
    <t>Training Title 71, in Test Section Index, Episode 71</t>
  </si>
  <si>
    <t>Training Title 62, in Test Section Index, Episode 62</t>
  </si>
  <si>
    <t>Training Title 59, in Test Section Index, Episode 59</t>
  </si>
  <si>
    <t>Training Title 65, in Test Section Index, Episode 65</t>
  </si>
  <si>
    <t>Training Title 72, in Test Section Index, Episode 72</t>
  </si>
  <si>
    <t>Training Title 48, in Test Section Index, Episode 48</t>
  </si>
  <si>
    <t>Training Title 81, in Test Section Index, Episode 81</t>
  </si>
  <si>
    <t>Training Title 55, in Test Section Index, Episode 55</t>
  </si>
  <si>
    <t>Training Title 64, in Test Section Index, Episode 64</t>
  </si>
  <si>
    <t>Training Title 18, in Test Section Index, Episode 18</t>
  </si>
  <si>
    <t>Training Title 42, in Test Section Index, Episode 42</t>
  </si>
  <si>
    <t>Training Title 30, in Test Section Index, Episode 30</t>
  </si>
  <si>
    <t>Training Title 6, in Test Section Index, Episode 6</t>
  </si>
  <si>
    <t>Training Title 23, in Test Section Index, Episode 23</t>
  </si>
  <si>
    <t>Training Title 5, in Test Section Index, Episode 5</t>
  </si>
  <si>
    <t>Training Title 28, in Test Section Index, Episode 28</t>
  </si>
  <si>
    <t>Training Title 31, in Test Section Index, Episode 31</t>
  </si>
  <si>
    <t>Training Title 37, in Test Section Index, Episode 37</t>
  </si>
  <si>
    <t>Training Title 24, in Test Section Index, Episode 24</t>
  </si>
  <si>
    <t>Training Title 17, in Test Section Index, Episode 17</t>
  </si>
  <si>
    <t>Training Title 36, in Test Section Index, Episode 36</t>
  </si>
  <si>
    <t>Training Title 19, in Test Section Index, Episode 19</t>
  </si>
  <si>
    <t>Training Title 20, in Test Section Index, Episode 20</t>
  </si>
  <si>
    <t>Training Title 29, in Test Section Index, Episode 29</t>
  </si>
  <si>
    <t>Training Title 46, in Test Section Index, Episode 46</t>
  </si>
  <si>
    <t>Training Title 7, in Test Section Index, Episode 7</t>
  </si>
  <si>
    <t>Training Title 33, in Test Section Index, Episode 33</t>
  </si>
  <si>
    <t>Training Title 8, in Test Section Index, Episode 8</t>
  </si>
  <si>
    <t>Training Title 45, in Test Section Index, Episode 45</t>
  </si>
  <si>
    <t>Training Title 21, in Test Section Index, Episode 21</t>
  </si>
  <si>
    <t>Training Title 4, in Test Section Index, Episode 4</t>
  </si>
  <si>
    <t>Training Title 25, in Test Section Index, Episode 25</t>
  </si>
  <si>
    <t>Training Title 35, in Test Section Index, Episode 35</t>
  </si>
  <si>
    <t>Training Title 13, in Test Section Index, Episode 13</t>
  </si>
  <si>
    <t>Training Title 1, in Test Section Index, Episode 1</t>
  </si>
  <si>
    <t>Training Title 11, in Test Section Index, Episode 11</t>
  </si>
  <si>
    <t>Training Title 10, in Test Section Index, Episode 10</t>
  </si>
  <si>
    <t>Training Title 14, in Test Section Index, Episode 14</t>
  </si>
  <si>
    <t>Training Title 38, in Test Section Index, Episode 38</t>
  </si>
  <si>
    <t>Training Title 44, in Test Section Index, Episode 44</t>
  </si>
  <si>
    <t>Training Title 16, in Test Section Index, Episode 16</t>
  </si>
  <si>
    <t>Training Title 12, in Test Section Index, Episode 12</t>
  </si>
  <si>
    <t>Training Title 47, in Test Section Index, Episode 47</t>
  </si>
  <si>
    <t>Training Title 2, in Test Section Index, Episode 2</t>
  </si>
  <si>
    <t>Training Title 43, in Test Section Index, Episode 43</t>
  </si>
  <si>
    <t>Training Title 27, in Test Section Index, Episode 27</t>
  </si>
  <si>
    <t>Training Title 34, in Test Section Index, Episode 34</t>
  </si>
  <si>
    <t>Training Title 9, in Test Section Index, Episode 9</t>
  </si>
  <si>
    <t>Training Title 26, in Test Section Index, Episode 26</t>
  </si>
  <si>
    <t>Training Title 22, in Test Section Index, Episode 22</t>
  </si>
  <si>
    <t>Training Title 40, in Test Section Index, Episode 40</t>
  </si>
  <si>
    <t>Teaching Verbal Behavior In The Natural Environment: Teaching Vocal Manding (Requesting)</t>
  </si>
  <si>
    <t>Teaching Verbal Behavior In The Intensive Teaching Environment: Getting Started, in Teaching Verbal Behavior In The Intensive Teaching Environment</t>
  </si>
  <si>
    <t>Teaching Verbal Behavior In The Natural Environment: Teaching Manding (Requesting) Using Sign Language</t>
  </si>
  <si>
    <t>Teaching Verbal Behavior In The Intensive Teaching Environment: Teaching The Tact: "Expressive Label", in Teaching Verbal Behavior In The Intensive Teaching Environment</t>
  </si>
  <si>
    <t>The ABC Model of Crisis Counseling: Working with Loss and Grief, in The ABC Model of Crisis Counseling</t>
  </si>
  <si>
    <t>The ABC Model of Crisis Counseling: Working with Veterans, in The ABC Model of Crisis Counseling</t>
  </si>
  <si>
    <t>The Art of Persuasion: Changing the Mind on OCD, part 1</t>
  </si>
  <si>
    <t>The Art of Persuasion: Changing the Mind on OCD, part 2</t>
  </si>
  <si>
    <t>The Classroom Experiment, Episode 1, in The Classroom Experiment</t>
  </si>
  <si>
    <t>The Classroom Experiment, Episode 2, in The Classroom Experiment</t>
  </si>
  <si>
    <t>Grief After a Suicide: A 20-Year Perspective, in The Counseling Series</t>
  </si>
  <si>
    <t>Let It Not Be In Vain: Suicide Prevention, in The Counseling Series</t>
  </si>
  <si>
    <t>Out of Character Debrief, in Understanding Cognitive Behavioral Therapy with Stuart Rose</t>
  </si>
  <si>
    <t>Counselling for depression</t>
  </si>
  <si>
    <t>Person-centred counselling session</t>
  </si>
  <si>
    <t>Why emotions are important and why we get stuck in them</t>
  </si>
  <si>
    <t>Barry Kopp interviews Robert Elliott</t>
  </si>
  <si>
    <t>The CPCAB Model of Helping Work and Counselling Practice</t>
  </si>
  <si>
    <t>How Robert Elliott came to EFT</t>
  </si>
  <si>
    <t>Different kinds of emotional response in EFT</t>
  </si>
  <si>
    <t>Unfinished business/unresolved grief</t>
  </si>
  <si>
    <t>Introduction to Person-Centred Theory</t>
  </si>
  <si>
    <t>Client's feedback on the session</t>
  </si>
  <si>
    <t>Understanding Emotionally Focused Therapy with Professor Robert Elliott</t>
  </si>
  <si>
    <t>Emotional deepening process</t>
  </si>
  <si>
    <t>Process differentiation: differences between Person-Centred Counselling and EFT</t>
  </si>
  <si>
    <t>Commentary on the session with Barry Kopp and Anthony Crouch</t>
  </si>
  <si>
    <t>Counselling Session with Traci Postings Addiction Counsellor</t>
  </si>
  <si>
    <t>Bereavement and Loss Counseling</t>
  </si>
  <si>
    <t>The Need to Belong</t>
  </si>
  <si>
    <t>Experiences of Counselling</t>
  </si>
  <si>
    <t>Experience Counselling</t>
  </si>
  <si>
    <t>Inside the Therapeutic Relationship: Ending Therapy</t>
  </si>
  <si>
    <t>When Someone Dies: Understanding Loss and Bereavement</t>
  </si>
  <si>
    <t>Listening and Counselling Skills: A How Not To Guide</t>
  </si>
  <si>
    <t>Introducing Listening and Counselling Skills</t>
  </si>
  <si>
    <t>The Science of Trust &amp; Betrayal, in The Couples Conference: Attachment Differentiation &amp; Neuroscience in Couples Therapy</t>
  </si>
  <si>
    <t>Helping Difficult Couples Connect, in The Couples Conference: Attachment Differentiation &amp; Neuroscience in Couples Therapy</t>
  </si>
  <si>
    <t>The Eye of the Storm with Jane Elliott</t>
  </si>
  <si>
    <t>EFT with a Traumatized Couple, in The Johnson-Gottman Summit</t>
  </si>
  <si>
    <t>Emotionally Focused Therapy: Creating Secure Bonds, in The Johnson-Gottman Summit</t>
  </si>
  <si>
    <t>The Goal of Therapy</t>
  </si>
  <si>
    <t>Lies and Infidelity, in , Couples Conference: Topical Panel 01 (CC17, Topical Panel 01)</t>
  </si>
  <si>
    <t>When Intimacy Feels Unsafe: Healing the Trauma Legacy in Couples Therapy, in , CC17 Keynote 06</t>
  </si>
  <si>
    <t>Couples Boundaries: Rigid, Permeable and Transparent, in , Couples Conference: Topical Panel 03 (CC17, Topical Panel 03)</t>
  </si>
  <si>
    <t>Couples vs. Individual Therapy: What Works/What Doesn't, in , Couples Conference: Topical Panel 02 (CC17, Topical Panel 02)</t>
  </si>
  <si>
    <t>When Porn is an Issue: Couples Counseling &amp; Psychotherapy that Works, in , Couples Conference 2017: Workshop 09 (CC17, Workshop 09)</t>
  </si>
  <si>
    <t>Impact of ADHD on Relationships, in , Couples Conference: Keynote 05 (CC17, Keynote 05)</t>
  </si>
  <si>
    <t>Energy Psychology: A Brief Therapy to Treat PTSD, in , The Brief Therapy Conference 2016: SC 31 (BT16 Short Course 31)</t>
  </si>
  <si>
    <t>Utilization Sobriety: Incorporating the Essence of Mind-Body Communication for Brief Individualized Substance Abuse Treatment, in , The Brief Therapy Conference 2016: Short Course 10 (BT16, SC 10)</t>
  </si>
  <si>
    <t>Strategic Treatment of Anxiety, in , BT16 Clinical Demonstration 08</t>
  </si>
  <si>
    <t>Beyond Calming Down: Hypnosis, Anxiety, and the Need for Action Over Avoidance</t>
  </si>
  <si>
    <t>Storytelling for Effective Brief Therapy, in , Brief Therapy Conference 2016: Clinical Demonstration 09 (BT16, Clinical Demonstration 09)</t>
  </si>
  <si>
    <t>A Research-Based Couples Treatment for Domestic Violence</t>
  </si>
  <si>
    <t>Clinical Hypnosis as a Vehicle for Promoting Better Decisions</t>
  </si>
  <si>
    <t>Sewing Partners Together: Techniques for Moving Couples Toward Secure Functioning, in , Brief Therapy Conference 2016: Clinical Demonstration 11 (BT16, Clinical Demonstration 11)</t>
  </si>
  <si>
    <t>Using Hypnosis in Brief Therapy</t>
  </si>
  <si>
    <t>Mindfulness Informed Psychotherapy, in , Brief Therapy Conference 2016: Clinical Demonstration 10 (BT16, Clinical Demonstration 10)</t>
  </si>
  <si>
    <t>Generative Psychotherapy: How to Create Transformational Change</t>
  </si>
  <si>
    <t>The Mindful Path to Habit Transformation: A Four Quadrant Model, in , The Brief Therapy Conference 2016: Short Course 40 (BT16, SC 40)</t>
  </si>
  <si>
    <t>Beyond Therapy: Living and Telling In Community, in , Brief Therapy Conference 2016: Keynote Address 03 (BT16, Keynote Address 03)</t>
  </si>
  <si>
    <t>Easy Hypnosis: Bringing Out the Best in Brief Therapy, in , The Brief Therapy Conference 2016: Short Course 17 (BT16, SC 17)</t>
  </si>
  <si>
    <t>Expertise and Psychotherapy: What are the Core Tasks of Psychotherapy?</t>
  </si>
  <si>
    <t>Chain Analysis</t>
  </si>
  <si>
    <t>The Mind-Body Healing experience (MHE)</t>
  </si>
  <si>
    <t>Guerrilla Divorce Busting: Working with Couples in the Trenches</t>
  </si>
  <si>
    <t>Solution-Oriented Therapy</t>
  </si>
  <si>
    <t>10 Good Reasons Couples Donâ€™t Enjoy Sex -- And Innovative Ways to Help Them</t>
  </si>
  <si>
    <t>Marriage Rules: Connecting With a Difficult Partner</t>
  </si>
  <si>
    <t>Building Trust, Love and Loyalty in Relationships</t>
  </si>
  <si>
    <t>Feedback Informed Treatment: Making Services FIT Consumers</t>
  </si>
  <si>
    <t>A Cognitive Behavioral Consultation for Weight Loss and Maintenance</t>
  </si>
  <si>
    <t>Conversation Hour with Otto Kernberg</t>
  </si>
  <si>
    <t>Topical Panel: Infidelity</t>
  </si>
  <si>
    <t>Defeat Depression: Six Non-Medication Ways to Get Out of the Blue</t>
  </si>
  <si>
    <t>The Wheel of Awareness and the Integration of Consciousness</t>
  </si>
  <si>
    <t>Accessing and Applying Archetypal Energies as Resources for Change and Healing</t>
  </si>
  <si>
    <t>Acknowledgement and Possibility: The Two Cornerstones to Successful Couples Therapy</t>
  </si>
  <si>
    <t>Couples Therapy</t>
  </si>
  <si>
    <t>Caring for an Aging Partner or Parent and Wondering, 'Who's Going to Care for Me?'</t>
  </si>
  <si>
    <t>Attentional Absorption, Hypnosis, and Experiential Learning</t>
  </si>
  <si>
    <t>Experiential Therapy</t>
  </si>
  <si>
    <t>Transforming Trauma: Awakening the Ordinary Miracle of Healing</t>
  </si>
  <si>
    <t>The Triple Flame: Negotiating Attachment, Intimacy &amp; Sexuality in Couples</t>
  </si>
  <si>
    <t>Infidelity: What is the Essence of the Crisis for the Couple, What are the Challenges for the Therapist</t>
  </si>
  <si>
    <t>Remarkable Acts of Change: From Theory to Practice</t>
  </si>
  <si>
    <t>Clinical Implications and Applications of Neuroplasticity</t>
  </si>
  <si>
    <t>Erotic Fantasy Reconsidered: From Tragedy to Triumph</t>
  </si>
  <si>
    <t>Reinventing the Body, Resurrecting the Soul</t>
  </si>
  <si>
    <t>Impact Therapy and Ericksonian Hypnosis</t>
  </si>
  <si>
    <t>A Special Tribute to Thomas Szasz: What is Psychotherapy?</t>
  </si>
  <si>
    <t>Case History/Soul History</t>
  </si>
  <si>
    <t>Core Tasks of Psychotherapy: What Expert Therapists Do</t>
  </si>
  <si>
    <t>Crossing Belief Barriers by Creating a Belief Bridge</t>
  </si>
  <si>
    <t>Brief Couples Therapy</t>
  </si>
  <si>
    <t>Focusing on What's Right: Hypnosis and Amplifying Personal Resources</t>
  </si>
  <si>
    <t>Eliciting the Internal Sequence of a Problem in Detail</t>
  </si>
  <si>
    <t>Diagnostic Interview of a Borderline Patient</t>
  </si>
  <si>
    <t>Couple Therapy in the 21st Century</t>
  </si>
  <si>
    <t>Connecting With the Inner Self in Psychotherapy</t>
  </si>
  <si>
    <t>Clinical Supervision</t>
  </si>
  <si>
    <t>The Union of Humanity and Technique</t>
  </si>
  <si>
    <t>Solution-Focused Supervision</t>
  </si>
  <si>
    <t>Therapeutic Three Generation Family Reunion</t>
  </si>
  <si>
    <t>Macumba Trance and Spirit Healing</t>
  </si>
  <si>
    <t>The Moving Child III: Developmental Movement in the First Year, in The Moving Child Films</t>
  </si>
  <si>
    <t>Consequences and Recovery, in The Other Side of Cannabis: Negative Effects of Marijuana on our Youth, Part 2</t>
  </si>
  <si>
    <t>Marijuana Today, in The Other Side of Cannabis: Negative Effects of Marijuana on our Youth, Part 1</t>
  </si>
  <si>
    <t>Building the Therapeutic Alliance, in The Skills of Counseling</t>
  </si>
  <si>
    <t>Techniques for Creating Insight, in The Skills of Counseling</t>
  </si>
  <si>
    <t>Treatment Adherence and PreventionÂ , in The Skills of Counseling</t>
  </si>
  <si>
    <t>Methods for Creating Action and Change, in The Skills of Counseling</t>
  </si>
  <si>
    <t>Assessment Strategies, in The Skills of Counseling</t>
  </si>
  <si>
    <t>Therapeutic Journeys: Techniques for Managing Trauma and Drug Use, in Therapeutic Journeys</t>
  </si>
  <si>
    <t>Therapeutic Journeys, Alcohol Counselling Skills: Working With Binge Drinking, in Therapeutic Journeys</t>
  </si>
  <si>
    <t>Therapeutic Journeys: Working With Complex Clients, Unravelling the Chaos, in Therapeutic Journeys</t>
  </si>
  <si>
    <t>Therapeutic Journeys: Marital Counselling, in Therapeutic Journeys</t>
  </si>
  <si>
    <t>Therapeutic Journeys, Counselling Family Members. Alcohol and Drug Counselling Skills, in Therapeutic Journeys</t>
  </si>
  <si>
    <t>Therapeutic Journeys, Mental Health &amp; Drug Problems. Series One: Working With Adults, in Therapeutic Journeys</t>
  </si>
  <si>
    <t>Therapeutic Journeys, Mental Health &amp; Drug Problems. Series Two: Working With Young Adults and Adolescents, in Therapeutic Journeys</t>
  </si>
  <si>
    <t>Therapeutic Journeys, Counselling Aboriginal Clients and Their Families. Series Three: Alcohol &amp; Drug Counselling Skills, in Therapeutic Journeys</t>
  </si>
  <si>
    <t>Therapeutic Journeys, Exploring Choice. Series One: Alcohol &amp; Drug Counselling Skills, in Therapeutic Journeys</t>
  </si>
  <si>
    <t>Therapeutic Journeys, Exploring Roadblocks &amp; Effective Counselling. Series Two: Basic Counselling Skills, in Therapeutic Journeys</t>
  </si>
  <si>
    <t>Counselling Therapies, Session 5: Solutions Focused Therapy, in Therapies In-Action</t>
  </si>
  <si>
    <t>Counselling Therapies, Session 3: Behaviour Therapy, in Therapies In-Action</t>
  </si>
  <si>
    <t>Counselling Therapies, Session 1: Person Centered Therapy, in Therapies In-Action</t>
  </si>
  <si>
    <t>Counselling Therapies, Session 4: Cognitive Behaviour Therapy, in Therapies In-Action</t>
  </si>
  <si>
    <t>Counselling Therapies, Session 2: Gestalt Therapy, in Therapies In-Action</t>
  </si>
  <si>
    <t>Counselling Ethics and the Law, in Therapists and Professional Negligence: A Duty of Care?</t>
  </si>
  <si>
    <t>The Case of Dr. Theodor Werner, in Therapists and Professional Negligence: A Duty of Care?</t>
  </si>
  <si>
    <t>Evidence-Based Mental Disorder Diagnosis: How to Increase Accountability, Efficiency and Objectivity, in Therapy Talks</t>
  </si>
  <si>
    <t>Neurocounseling: Shattering the Myths of the Brain and Counseling, in Therapy Talks</t>
  </si>
  <si>
    <t>Neurofeedback: A Brain-based Intervention When Counseling and Medication are not Sufficient, in Therapy Talks</t>
  </si>
  <si>
    <t>Building Resiliency: How to Unlock your Personal Code for Well Being, in Therapy Talks</t>
  </si>
  <si>
    <t>Therapy Talks: SHAZAM! The Seven Characteristics of Master Therapists, in Therapy Talks</t>
  </si>
  <si>
    <t>Making a Passionate Career Life, in Therapy Talks</t>
  </si>
  <si>
    <t>Therapy Talks: The Supervision Question: An Essential Tool for Supervision Accountability, in Therapy Talks</t>
  </si>
  <si>
    <t>A Holistic Wellness Approach to Mental Disorder Diagnosis: A Collaborative Process for Wellness and Recovery, in Therapy Talks</t>
  </si>
  <si>
    <t>Where Do I Fit In? The Esteem of Bi-Racial Children, in Therapy Talks</t>
  </si>
  <si>
    <t>Successfully Managing Stress: Getting the Best Out of a Bad Situation, in Therapy Talks</t>
  </si>
  <si>
    <t>Therapy Talks: The 1-2-3 of Infidelity, in Therapy Talks</t>
  </si>
  <si>
    <t>Therapy Talks: the Emotional Cycle of Deployment, in Therapy Talks</t>
  </si>
  <si>
    <t>Therapy Talks: Threats to Intimacy in African American Couples, in Therapy Talks</t>
  </si>
  <si>
    <t>Therapy Talks: Sexy Body, Sexy Brain: It Helps to Know the Difference, in Therapy Talks</t>
  </si>
  <si>
    <t>Therapy Talks: Five Questions That Will Change Your Life: The Answers that Define You, in Therapy Talks</t>
  </si>
  <si>
    <t>Culturally Sensitive Treatment Approaches with African American Couples, in Therapy Talks</t>
  </si>
  <si>
    <t>Why do Kids Act that Way? Helping Children through NOT Changing their Behavior, in Therapy Talks</t>
  </si>
  <si>
    <t>Are You Out of Bounds? Make Life Easier By Staying In Boundsâ€¦, in Therapy Talks</t>
  </si>
  <si>
    <t>Suicide Assessment and Intervention for the 21st Century, in Therapy Talks</t>
  </si>
  <si>
    <t>Therapy Talks: Why Counseling Difficult Teens is So Easy (Duh!), in Therapy Talks</t>
  </si>
  <si>
    <t>Non-Voluntary Clients: Helping Those Who Don't Want Your Help, in Therapy Talks</t>
  </si>
  <si>
    <t>Fall In! Account for Everyone: Understanding Military Counseling, in Therapy Talks</t>
  </si>
  <si>
    <t>Financial Infidelity: Cheating, Money &amp; Intimacy, in Therapy Talks</t>
  </si>
  <si>
    <t>Helping Clients Find Their Happily Ever After: Cultivating Mental Health and Happiness, in Therapy Talks</t>
  </si>
  <si>
    <t>Resurrecting Black Couples, in Therapy Talks</t>
  </si>
  <si>
    <t>Therapy Talks: How to Listen so Parents Will Talk: Strategies for Influencing Parents, in Therapy Talks</t>
  </si>
  <si>
    <t>Therapy Talks: Culturally Sensitive Guidelines for Non-Black Therapists Working with African American Couples, in Therapy Talks</t>
  </si>
  <si>
    <t>Mindfulness &amp; Mental Health Practice: Benefits for Clinicians and Clients, in Therapy Talks</t>
  </si>
  <si>
    <t>Racial Authenticity: Walking the Racial Walk and Catching Hell for It, in Therapy Talks</t>
  </si>
  <si>
    <t>Managing Through Life's Transitions: Twelve Lessons from the Airport for Dramatically Improving Your Life's Journey, in Therapy Talks</t>
  </si>
  <si>
    <t>Successful Parenting through Love, Fun and Freedom, in Therapy Talks</t>
  </si>
  <si>
    <t>Counseling throughout the Relationship Cycle: Loving One's Self, One's Partner, and One's Life - in that Order, in Therapy Talks</t>
  </si>
  <si>
    <t>The Human Dilemma</t>
  </si>
  <si>
    <t>Addiction, Attachment and Spiritual Crisis</t>
  </si>
  <si>
    <t>When Neitztsche Wept</t>
  </si>
  <si>
    <t>Lucid Dreaming</t>
  </si>
  <si>
    <t>Spirituality and Psychology</t>
  </si>
  <si>
    <t>Compassion in Action</t>
  </si>
  <si>
    <t>Understanding Your Dreams</t>
  </si>
  <si>
    <t>Awakening Intuition</t>
  </si>
  <si>
    <t>Personality Development and the Psyche</t>
  </si>
  <si>
    <t>Cultivating and Applying Intuition</t>
  </si>
  <si>
    <t>The Art of Psychotherapy</t>
  </si>
  <si>
    <t>Psychodynamics of Liberation</t>
  </si>
  <si>
    <t>The Total Self</t>
  </si>
  <si>
    <t>Becoming More Fully Human</t>
  </si>
  <si>
    <t>Cultivating Mindfulness</t>
  </si>
  <si>
    <t>The Mind-Body Connection</t>
  </si>
  <si>
    <t>Communication and Congruence</t>
  </si>
  <si>
    <t>A Guide to Rational Thinking</t>
  </si>
  <si>
    <t>Transcending Limitations</t>
  </si>
  <si>
    <t>Humanistic Psychotherapy</t>
  </si>
  <si>
    <t>Memory, Suggestion and Abuse</t>
  </si>
  <si>
    <t>Part II: Dr. Frederick Perls, Founder of Gestalt Therapy, in Three Approaches to Psychotherapy, Part 2 of 3</t>
  </si>
  <si>
    <t>Part I: Carl Rogers, Ph.D. (Client-Centered Therapy), in Three Approaches to Psychotherapy, Part 1 of 3</t>
  </si>
  <si>
    <t>Part III: Dr. Albert Ellis, Founder of Rational-Emotive Therapy, in Three Approaches to Psychotherapy, Part 3 of 3</t>
  </si>
  <si>
    <t>Treating the Highly Resistant Client, in Tough Customers: Treating Clients With Challenging Issues, Session 1</t>
  </si>
  <si>
    <t>Treating Clients with Borderline Personality Disorder, in Tough Customers: Treating Clients With Challenging Issues, Session 3</t>
  </si>
  <si>
    <t>Customizing Mental Health Treatment, in Tough Customers: Treating Clients With Challenging Issues, Session 6</t>
  </si>
  <si>
    <t>When Therapy Stalls, in Tough Customers: Treating Clients With Challenging Issues, Session 5</t>
  </si>
  <si>
    <t>Treating the Narcissistic Client, in Tough Customers: Treating Clients With Challenging Issues, Session 2</t>
  </si>
  <si>
    <t>Attachment Issues: Embracing Disowned Parts, in Tough Customers: Treating Clients With Challenging Issues, Session 4</t>
  </si>
  <si>
    <t>Feedback from the client, in Transforming Emotional Pain: An Illustration of Emotion-Focused Therapy</t>
  </si>
  <si>
    <t>Feedback from the therapist, in Transforming Emotional Pain: An Illustration of Emotion-Focused Therapy</t>
  </si>
  <si>
    <t>Discussion on research developments in Emotion-Focused Therapy, in Transforming Emotional Pain: An Illustration of Emotion-Focused Therapy</t>
  </si>
  <si>
    <t>Introduction and Commentary, in Transforming Emotional Pain: An Illustration of Emotion-Focused Therapy</t>
  </si>
  <si>
    <t>Therapy session, in Transforming Emotional Pain: An Illustration of Emotion-Focused Therapy</t>
  </si>
  <si>
    <t>Thematic Map &amp; Release: Resolving Core Beliefs after Trauma</t>
  </si>
  <si>
    <t>Adrenaline &amp; Cortisol to Manage Stress</t>
  </si>
  <si>
    <t>How to Create a Wellness Mind Map</t>
  </si>
  <si>
    <t>Compassion Fatigue: I'm Done</t>
  </si>
  <si>
    <t>Thematic Map &amp; Release: Rejection &amp; Abandonment Themes</t>
  </si>
  <si>
    <t>After Trauma: Impact to Recovery</t>
  </si>
  <si>
    <t>Defeating Panic: A Paradoxical Approach, in Treating Anxiety: Latest Advances</t>
  </si>
  <si>
    <t>Interrupting the Anxiety Cycle, in Treating Anxiety: Latest Advances</t>
  </si>
  <si>
    <t>Motivating the Anxious Client: A Paradoxical Approach, in Treating Anxiety: Latest Advances</t>
  </si>
  <si>
    <t>Parents, Children and Anxiety: Changing the Family Dance, in Treating Anxiety: Latest Advances</t>
  </si>
  <si>
    <t>The Neurobiology of Anxiety, in Treating Anxiety: Latest Advances</t>
  </si>
  <si>
    <t>One-Session Cures: Brief Approaches to Anxiety, in Treating Anxiety: Latest Advances</t>
  </si>
  <si>
    <t>Jay Haley: Supervision with Couples</t>
  </si>
  <si>
    <t>Family Therapy in Bali</t>
  </si>
  <si>
    <t>Remembering Gregory Bateson</t>
  </si>
  <si>
    <t>Dance and Trance of Balinese Children</t>
  </si>
  <si>
    <t>Jay Haley on Strategic Therapy</t>
  </si>
  <si>
    <t>Whither Family Therapy? A Jay Haley Version</t>
  </si>
  <si>
    <t>Jay Haley: Birth and Development of Family Therapy: An Interview with Mony Elkaim</t>
  </si>
  <si>
    <t>The Guaranteed Cure of a Case of Anorexia/Bulimia</t>
  </si>
  <si>
    <t>Jay Haley Seminar on Clinical Hypnosis</t>
  </si>
  <si>
    <t>Remembering Milton H. Erickson, M.D.</t>
  </si>
  <si>
    <t>Milton H. Erickson, M.D.: Explorer in Hypnosis and Therapy</t>
  </si>
  <si>
    <t>Introductory Discussion, in Understanding Cognitive Behavioral Therapy with Stuart Rose</t>
  </si>
  <si>
    <t>Understanding Cognitive Behavioural Therapy With Stuart Rose</t>
  </si>
  <si>
    <t>Breaking Bad News</t>
  </si>
  <si>
    <t>The Diagnosis of Schizophrenia</t>
  </si>
  <si>
    <t>Handling Difficult Questions</t>
  </si>
  <si>
    <t>CBT for Anxiety in Adolescents, Part 1</t>
  </si>
  <si>
    <t>CBT for Anxiety in Adolescents, Part 2</t>
  </si>
  <si>
    <t>CBT for Depressed Adolescents</t>
  </si>
  <si>
    <t>Helping people at risk of suicide or self-harm</t>
  </si>
  <si>
    <t>Depression and Suicidal Behavior in Adolescents</t>
  </si>
  <si>
    <t>Seminars in Behavioural Psychotherapy, Techniques of Cognitive Therapy</t>
  </si>
  <si>
    <t>Schizophrenia: Talking to the Relatives</t>
  </si>
  <si>
    <t>Abnormal Illness Behaviour</t>
  </si>
  <si>
    <t>Promoting Change: Helping People With Alcohol Problems In Primary Care</t>
  </si>
  <si>
    <t>Counselling Depression in Primary Care</t>
  </si>
  <si>
    <t>Getting Started In Group Psychotherapy</t>
  </si>
  <si>
    <t>Depression in General Medical Settings: Methods of Detection, Assessment and Treatment: Detecting and Evaluating</t>
  </si>
  <si>
    <t>Thought for Food, Disc 1</t>
  </si>
  <si>
    <t>Thought for Food, Disc 2</t>
  </si>
  <si>
    <t>Thought for Food: Jan Gray With Elaine Davies</t>
  </si>
  <si>
    <t>Thought for Food, Disc 3</t>
  </si>
  <si>
    <t>Online Therapy</t>
  </si>
  <si>
    <t>Counselling, Confidentiality &amp; the Law, Part Two</t>
  </si>
  <si>
    <t>Counselling, Confidentiality &amp; the Law, Part One</t>
  </si>
  <si>
    <t>Making the Most of Supervision</t>
  </si>
  <si>
    <t>Personal First Aid Kits</t>
  </si>
  <si>
    <t>A Confidential Space: Ethical Considerations When Counselling Children and Young People</t>
  </si>
  <si>
    <t>An Introduction to C.B.T.</t>
  </si>
  <si>
    <t>C.B.T. for Depression: Behavioral Activation &amp; Cognitive Change</t>
  </si>
  <si>
    <t>Looking at Counselling: The Client, the Counsellor and the Unsuitable Friend</t>
  </si>
  <si>
    <t>Making Memories: Scrapbook Making for People With Dementia</t>
  </si>
  <si>
    <t>C.B.T. Skills in Practice</t>
  </si>
  <si>
    <t>Creative Group Supervision</t>
  </si>
  <si>
    <t>Talking About Counseling</t>
  </si>
  <si>
    <t>Good Practice, Bad Practice</t>
  </si>
  <si>
    <t>Training Essentials</t>
  </si>
  <si>
    <t>Michael Jacobs in Conversation With Frank Wills</t>
  </si>
  <si>
    <t>Are You in Zennor</t>
  </si>
  <si>
    <t>Holding the Line</t>
  </si>
  <si>
    <t>F90.2 ADHD Combined Presentation A-3, in Volume 2 ICD 10 Guided New Releases: ICD 10 Guided ADHD Series, Volume 2, Episode 3</t>
  </si>
  <si>
    <t>Rule Out F90.2 ADHD Combined Presentation, Rule Out Z76.5 Malingering, in Volume 2 ICD 10 Guided New Releases: ICD 10 Guided ADHD Series, Volume 2, Episode 6</t>
  </si>
  <si>
    <t>F90.2 ADHD Combined Presentation A-1, in Volume 2 ICD 10 Guided New Releases: ICD 10 Guided ADHD Series, Volume 2, Episode 1</t>
  </si>
  <si>
    <t>F90.2 ADHD Combined Presentation A-2, in Volume 2 ICD 10 Guided New Releases: ICD 10 Guided ADHD Series, Volume 2, Episode 2</t>
  </si>
  <si>
    <t>Rule Out F90.2 ADHD Combined Presentation, Rule Out F10.20 Alcohol Use Disorder, Moderate, in Volume 2 ICD 10 Guided New Releases: ICD 10 Guided ADHD Series, Volume 2, Episode 5</t>
  </si>
  <si>
    <t>Rule Out F90.2 ADHD Combined Presentation, in Volume 2 ICD 10 Guided New Releases: ICD 10 Guided ADHD Series, Volume 2, Episode 4</t>
  </si>
  <si>
    <t>F93.0 Separation Anxiety Disorder, in Volume 2 ICD 10 Guided New Releases: ICD 10 Guided Child &amp; Adolescent Series, Volume 2, Episode 11</t>
  </si>
  <si>
    <t>F34.8 Disruptive Mood Dysregulation Disorder, in Volume 2 ICD 10 Guided New Releases: ICD 10 Guided Child &amp; Adolescent Series, Volume 2, Episode 7</t>
  </si>
  <si>
    <t>F91.3 Oppositional Defiant Disorder, in Volume 2 ICD 10 Guided New Releases: ICD 10 Guided Child &amp; Adolescent Series, Volume 2, Episode 10</t>
  </si>
  <si>
    <t>F91.2 Conduct Disorder - Adolescent-Onset Type, in Volume 2 ICD 10 Guided New Releases: ICD 10 Guided Child &amp; Adolescent Series, Volume 2, Episode 9</t>
  </si>
  <si>
    <t>Z60.4 V62.4 Social Exclusion or Rejection and Z72.9 Problem Related to Lifestyle, in Volume 2 ICD 10 Guided New Releases: ICD 10 Guided Child &amp; Adolescent Series, Volume 2, Episode 12</t>
  </si>
  <si>
    <t>F43.10 Posttraumatic Stress Disorder B-1, in Volume 2 ICD 10 Guided New Releases: ICD 10 Guided Child &amp; Adolescent Series, Volume 2, Episode 8</t>
  </si>
  <si>
    <t>F50.1 Anorexia Nervosa Restricting Type Moderate B-2, in Volume 2 ICD 10 Guided New Releases: ICD 10 Guided Eating Disorder Series, Volume 2, Episode 14</t>
  </si>
  <si>
    <t>F50.1 Anorexia Nervosa Restricting Type Moderate, in Volume 2 ICD 10 Guided New Releases: ICD 10 Guided Eating Disorder Series, Volume 2, Episode 13</t>
  </si>
  <si>
    <t>F50.8 Binge Eating Disorder, in Volume 2 ICD 10 Guided New Releases: ICD 10 Guided Eating Disorder Series, Volume 2, Episode 17</t>
  </si>
  <si>
    <t>F50.2 Bulimia Nervosa, in Volume 2 ICD 10 Guided New Releases: ICD 10 Guided Eating Disorder Series, Volume 2, Episode 16</t>
  </si>
  <si>
    <t>F43.10 Posttraumatic Stress Disorder B-4 (EMT), in Volume 2 ICD 10 Guided New Releases: ICD 10 Guided First Responder Series, Volume 2, Episode 20</t>
  </si>
  <si>
    <t>F43.10 Posttraumatic Stress Disorder B-6 (Doctor), in Volume 2 ICD 10 Guided New Releases: ICD 10 Guided First Responder Series, Volume 2, Episode 22</t>
  </si>
  <si>
    <t>F43.10 Posttraumatic Stress Disorder B-5 (Nurse), in Volume 2 ICD 10 Guided New Releases: ICD 10 Guided First Responder Series, Volume 2, Episode 21</t>
  </si>
  <si>
    <t>F43.10 Posttraumatic Stress Disorder B-3 (Police Officer 2), in Volume 2 ICD 10 Guided New Releases: ICD 10 Guided First Responder Series, Volume 2, Episode 19</t>
  </si>
  <si>
    <t>F43.10 Posttraumatic Stress Disorder B-2 (Police Officer 1), in Volume 2 ICD 10 Guided New Releases: ICD 10 Guided First Responder Series, Volume 2, Episode 18</t>
  </si>
  <si>
    <t>F43.10 Posttraumatic Stress Disorder, F10.20 Alcohol Use Disorder, F19.20 Other or Unknown Substance Use Disorder, Z65.0 Conviction or Civil Proceedings without Imprisonment, in Volume 2 ICD 10 Guided New Releases: ICD 10 Guided Violence Series, Volume 2, Episode 44</t>
  </si>
  <si>
    <t>Z72.810 Adolescent Antisocial Behavior; F10.20 Alcohol Use Disorder, Severe; F19.20 Other or Unknown Substance Use Disorder, Severe, in Volume 2 ICD 10 Guided New Releases: ICD 10 Guided Violence Series, Volume 2, Episode 51</t>
  </si>
  <si>
    <t>F44.0 Dissociative Amnesia, in Volume 2 ICD 10 Guided New Releases: ICD 10 Guided Violence Series, Volume 2, Episode 48</t>
  </si>
  <si>
    <t>Z60.4 Social Exclusion or Rejection, Z72.9 Problem related to lifestyle, Z72.810 Adolescent Antisocial Behavior, in Volume 2 ICD 10 Guided New Releases: ICD 10 Guided Violence Series, Volume 2, Episode 50</t>
  </si>
  <si>
    <t>Z60.4 Social Exclusion or Rejection, in Volume 2 ICD 10 Guided New Releases: ICD 10 Guided Violence Series, Volume 2, Episode 49</t>
  </si>
  <si>
    <t>F43.22 Adjustment Disorder with Anxiety, in Volume 2 ICD 10 Guided New Releases: ICD 10 Guided Violence Series, Volume 2, Episode 45</t>
  </si>
  <si>
    <t>F14.20 Stimulant Use Disorder - A, Severe, Cocaine, in Volume 2 ICD-9 Guided New Releases: ICD 10 Guided Substance-Related and Addictive Disorders, Volume 2, Episode 41</t>
  </si>
  <si>
    <t>F11.20 Opioid Use Disorder, Moderate, in Volume 2 ICD-9 Guided New Releases: ICD 10 Guided Substance-Related and Addictive Disorders, Volume 2, Episode 39</t>
  </si>
  <si>
    <t>F11.20 Opioid Use Disorder, F10.20 Alcohol Use Disorder, F12.20Cannabis Use Disorder, F17.200 Tobacco Use Disorder, F14.20 Stimulant Use Disorder (cocaine), and F13.20 Sedative, Hypnotic, Anxiolytic Use Disorder RuleOut, in Volume 2 ICD-9 Guided New Releases: ICD 10 Guided Substance-Related and Addictive Disorders, Volume 2, Episode 38</t>
  </si>
  <si>
    <t>F14.20 Stimulant Use Disorder - B, Severe, Cocaine, in Volume 2 ICD-9 Guided New Releases: ICD 10 Guided Substance-Related and Addictive Disorders, Volume 2, Episode 42</t>
  </si>
  <si>
    <t>F11.20 Opioid Use Disorder, Severe, in Volume 2 ICD-9 Guided New Releases: ICD 10 Guided Substance-Related and Addictive Disorders, Volume 2, Episode 40</t>
  </si>
  <si>
    <t>F14.20 Stimulant Use Disorder, Moderate, Cocaine, in Volume 2 ICD-9 Guided New Releases: ICD 10 Guided Substance-Related and Addictive Disorders, Volume 2, Episode 43</t>
  </si>
  <si>
    <t>Anger Assessment A-4, in Volume 2 New Releases: Assessment Tools: Anger Assessment Series, Volume 2, Episode 4</t>
  </si>
  <si>
    <t>Anger Assessment A-5, in Volume 2 New Releases: Assessment Tools: Anger Assessment Series, Volume 2, Episode 5</t>
  </si>
  <si>
    <t>Anger Assessment A-3, in Volume 2 New Releases: Assessment Tools: Anger Assessment Series, Volume 2, Episode 3</t>
  </si>
  <si>
    <t>Anger Assessment with Primary Diagnosis Stimulant Use Disorder â€“ Cocaine, Severe, in Volume 2 New Releases: Assessment Tools: Anger Assessment Series, Volume 2, Episode 6</t>
  </si>
  <si>
    <t>Anger Assessment A-1, in Volume 2 New Releases: Assessment Tools: Anger Assessment Series, Volume 2, Episode 1</t>
  </si>
  <si>
    <t>Anger Assessment A-6, in Volume 2 New Releases: Assessment Tools: Anger Assessment Series, Volume 2, Episode 6</t>
  </si>
  <si>
    <t>Anger Assessment A-2, in Volume 2 New Releases: Assessment Tools: Anger Assessment Series, Volume 2, Episode 2</t>
  </si>
  <si>
    <t>Anxiety Assessment with Primary Diagnosis Opiate Use Disorder, Moderate, in Volume 2 New Releases: Assessment Tools: Anxiety Assessment Series, Volume 2, Episode 12</t>
  </si>
  <si>
    <t>Anxiety Assessment with Primary Diagnosis Obsessive Compulsive Disorders â€“ Tic-Related, in Volume 2 New Releases: Assessment Tools: Anxiety Assessment Series, Volume 2, Episode 11</t>
  </si>
  <si>
    <t>Anxiety Assessment A-4, in Volume 2 New Releases: Assessment Tools: Anxiety Assessment Series, Volume 2, Episode 10</t>
  </si>
  <si>
    <t>Anxiety Assessment A-1, in Volume 2 New Releases: Assessment Tools: Anxiety Assessment Series, Volume 2, Episode 7</t>
  </si>
  <si>
    <t>Anxiety Assessment A-2, in Volume 2 New Releases: Assessment Tools: Anxiety Assessment Series, Volume 2, Episode 8</t>
  </si>
  <si>
    <t>Anxiety Assessment A-3, in Volume 2 New Releases: Assessment Tools: Anxiety Assessment Series, Volume 2, Episode 9</t>
  </si>
  <si>
    <t>CAGE Questions A-1, in Volume 2 New Releases: Assessment Tools: CAGE Questions Series, Volume 2, Episode 13</t>
  </si>
  <si>
    <t>CAGE Questions A-3, in Volume 2 New Releases: Assessment Tools: CAGE Questions Series, Volume 2, Episode 15</t>
  </si>
  <si>
    <t>CAGE Questions A-7, in Volume 2 New Releases: Assessment Tools: CAGE Questions Series, Episode 19</t>
  </si>
  <si>
    <t>CAGE Questions A-5, in Volume 2 New Releases: Assessment Tools: CAGE Questions Series, Episode 17</t>
  </si>
  <si>
    <t>CAGE Questions A-8, in Volume 2 New Releases: Assessment Tools: CAGE Questions Series, Episode 20</t>
  </si>
  <si>
    <t>CAGE Questions A-2, in Volume 2 New Releases: Assessment Tools: CAGE Questions Series, Volume 2, Episode 14</t>
  </si>
  <si>
    <t>CAGE Questions A-6, in Volume 2 New Releases: Assessment Tools: CAGE Questions Series, Episode 18</t>
  </si>
  <si>
    <t>CAGE Questions A-4, in Volume 2 New Releases: Assessment Tools: CAGE Questions Series, Episode 16</t>
  </si>
  <si>
    <t>Depression Screening Assessment A-4 with Primary diagnosis PTSD, in Volume 2 New Releases: Assessment Tools: Depression Assessment Series, Episode 25</t>
  </si>
  <si>
    <t>Depression Screening Assessment A-2, in Volume 2 New Releases: Assessment Tools: Depression Assessment Series, Episode 23</t>
  </si>
  <si>
    <t>Depression Screening Assessment to Evaluate Insight or Treatment in Patients with Depression A-1, in Volume 2 New Releases: Assessment Tools: Depression Assessment Series, Episode 21</t>
  </si>
  <si>
    <t>Depression Screening Assessment A-3, in Volume 2 New Releases: Assessment Tools: Depression Assessment Series, Episode 24</t>
  </si>
  <si>
    <t>Depression Screening Assessment A-1, in Volume 2 New Releases: Assessment Tools: Depression Assessment Series, Episode 22</t>
  </si>
  <si>
    <t>Gun Safety Assessment A-3, in Volume 2 New Releases: Assessment Tools: Gun Safety Assessment Series, Episode 28</t>
  </si>
  <si>
    <t>Gun Safety Assessment A-2, in Volume 2 New Releases: Assessment Tools: Gun Safety Assessment Series, Episode 27</t>
  </si>
  <si>
    <t>Gun Safety Assessment A-4, in Volume 2 New Releases: Assessment Tools: Gun Safety Assessment Series, Episode 29</t>
  </si>
  <si>
    <t>Gun Safety Assessment A-1, in Volume 2 New Releases: Assessment Tools: Gun Safety Assessment Series, Episode 26</t>
  </si>
  <si>
    <t>Gun Safety Assessment A-8, in Volume 2 New Releases: Assessment Tools: Gun Safety Assessment Series, Episode 33</t>
  </si>
  <si>
    <t>Gun Safety Assessment A-7, in Volume 2 New Releases: Assessment Tools: Gun Safety Assessment Series, Episode 32</t>
  </si>
  <si>
    <t>Gun Safety Assessment A-5, in Volume 2 New Releases: Assessment Tools: Gun Safety Assessment Series, Episode 30</t>
  </si>
  <si>
    <t>Gun Safety Assessment A-6, in Volume 2 New Releases: Assessment Tools: Gun Safety Assessment Series, Episode 31</t>
  </si>
  <si>
    <t>Healthy Thinking Assessment A-3, in Volume 2 New Releases: Assessment Tools: Healthy Thinking Assessment Series, Volume 2, Episode 84</t>
  </si>
  <si>
    <t>Healthy Thinking Assessment A-9, in Volume 2 New Releases: Assessment Tools: Healthy Thinking Assessment Series</t>
  </si>
  <si>
    <t>Healthy Thinking Assessment A-6, in Volume 2 New Releases: Assessment Tools: Healthy Thinking Assessment Series</t>
  </si>
  <si>
    <t>Healthy Thinking Assessment A-4, in Volume 2 New Releases: Assessment Tools: Healthy Thinking Assessment Series, Volume 2, Episode 85</t>
  </si>
  <si>
    <t>Healthy Thinking Assessment A-2, in Volume 2 New Releases: Assessment Tools: Healthy Thinking Assessment Series, Volume 2, Episode 83</t>
  </si>
  <si>
    <t>Healthy Thinking Assessment A-1, in Volume 2 New Releases: Assessment Tools: Healthy Thinking Assessment Series, Volume 2, Episode 82</t>
  </si>
  <si>
    <t>Healthy Thinking Assessment A-8, in Volume 2 New Releases: Assessment Tools: Healthy Thinking Assessment Series</t>
  </si>
  <si>
    <t>Healthy Thinking Assessment A-5, in Volume 2 New Releases: Assessment Tools: Healthy Thinking Assessment Series, Volume 2, Episode 86</t>
  </si>
  <si>
    <t>Loss and Grief Assessment A-3 (Loss of Friends due to Mass Shooting), in Volume 2 New Releases: Assessment Tools: Loss and Grief Assessment Series 1, Volume 2, Episode 39</t>
  </si>
  <si>
    <t>Loss and Grief Assessment A-1 (Loss of Sister), in Volume 2 New Releases: Assessment Tools: Loss and Grief Assessment Series 1, Volume 2, Episode 37</t>
  </si>
  <si>
    <t>Loss and Grief Assessment A-5 (Loss of Parents due to Drunk Driver), in Volume 2 New Releases: Assessment Tools: Loss and Grief Assessment Series 1, Volume 2, Episode 41</t>
  </si>
  <si>
    <t>Loss and Grief Assessment A-2 (Loss of Girlfriend due to Mass Shooting), in Volume 2 New Releases: Assessment Tools: Loss and Grief Assessment Series 1, Volume 2, Episode 38</t>
  </si>
  <si>
    <t>Loss and Grief Assessment A-4 (Loss of Friend in Work Related Accident), in Volume 2 New Releases: Assessment Tools: Loss and Grief Assessment Series 1, Volume 2, Episode 40</t>
  </si>
  <si>
    <t>Loss and Grief Assessment A-6 (Loss of a Friend due to Suicide), in Volume 2 New Releases: Assessment Tools: Loss and Grief Assessment Series 2, Episode 43</t>
  </si>
  <si>
    <t>Loss and Grief Assessment A-9 (Loss of Daughter due to Addiction), in Volume 2 New Releases: Assessment Tools: Loss and Grief Assessment Series 2, Episode 49</t>
  </si>
  <si>
    <t>Loss and Grief Assessment A-7 (Loss of Identity Post Military Career), in Volume 2 New Releases: Assessment Tools: Loss and Grief Assessment Series 2, Episode 44</t>
  </si>
  <si>
    <t>Loss and Grief Assessment A-8 (Loss of Daughter Due to Overdose), in Volume 2 New Releases: Assessment Tools: Loss and Grief Assessment Series 2, Episode 45</t>
  </si>
  <si>
    <t>Loss and Grief Assessment A-10 (Loss of Friend During Military Combat/Service), in Volume 2 New Releases: Assessment Tools: Loss and Grief Assessment Series 2, Episode 42</t>
  </si>
  <si>
    <t>Mental Status Exam B-4, in Volume 2 New Releases: Assessment Tools: Mental Status Exam Series, Volume 2, Episode 50</t>
  </si>
  <si>
    <t>Mental Status Exam B-5, in Volume 2 New Releases: Assessment Tools: Mental Status Exam Series, Volume 2, Episode 51</t>
  </si>
  <si>
    <t>Mental Status Exam B-2, in Volume 2 New Releases: Assessment Tools: Mental Status Exam Series, Volume 2, Episode 48</t>
  </si>
  <si>
    <t>Mental Status Exam B-3, in Volume 2 New Releases: Assessment Tools: Mental Status Exam Series, Volume 2, Episode 49</t>
  </si>
  <si>
    <t>Mental Status Exam B-6, in Volume 2 New Releases: Assessment Tools: Mental Status Exam Series, Volume 2, Episode 52</t>
  </si>
  <si>
    <t>Mental Status Exam B-1, in Volume 2 New Releases: Assessment Tools: Mental Status Exam Series, Volume 2, Episode 47</t>
  </si>
  <si>
    <t>OCD Assessment A-5, in Volume 2 New Releases: Assessment Tools: OCD Assessment Series, Volume 2, Episode 91</t>
  </si>
  <si>
    <t>OCD Assessment A-4, in Volume 2 New Releases: Assessment Tools: OCD Assessment Series, Volume 2, Episode 90</t>
  </si>
  <si>
    <t>OCD Assessment A-1, in Volume 2 New Releases: Assessment Tools: OCD Assessment Series, Volume 2, Episode 87</t>
  </si>
  <si>
    <t>OCD Assessment A-3, in Volume 2 New Releases: Assessment Tools: OCD Assessment Series, Volume 2, Episode 89</t>
  </si>
  <si>
    <t>OCD Assessment A-2, in Volume 2 New Releases: Assessment Tools: OCD Assessment Series, Volume 2, Episode 88</t>
  </si>
  <si>
    <t>PTSD Screening Assessment A-7, in Volume 2 New Releases: Assessment Tools: PTSD Brief Screening Assessment Series, Volume 2, Episode 59</t>
  </si>
  <si>
    <t>PTSD Screening Assessment A-5, in Volume 2 New Releases: Assessment Tools: PTSD Brief Screening Assessment Series, Volume 2, Episode 57</t>
  </si>
  <si>
    <t>PTSD Screening Assessment A-6, in Volume 2 New Releases: Assessment Tools: PTSD Brief Screening Assessment Series, Volume 2, Episode 58</t>
  </si>
  <si>
    <t>PTSD Screening Assessment A-4, in Volume 2 New Releases: Assessment Tools: PTSD Brief Screening Assessment Series, Volume 2, Episode 56</t>
  </si>
  <si>
    <t>PTSD Screening Assessment A-2, in Volume 2 New Releases: Assessment Tools: PTSD Brief Screening Assessment Series, Volume 2, Episode 54</t>
  </si>
  <si>
    <t>PTSD Screening Assessment A-1, in Volume 2 New Releases: Assessment Tools: PTSD Brief Screening Assessment Series, Volume 2, Episode 53</t>
  </si>
  <si>
    <t>PTSD Screening Assessment A-3, in Volume 2 New Releases: Assessment Tools: PTSD Brief Screening Assessment Series, Volume 2, Episode 55</t>
  </si>
  <si>
    <t>Stress Assessment A-3, in Volume 2 New Releases: Assessment Tools: Stress Assessment Series, Volume 2, Episode 98</t>
  </si>
  <si>
    <t>Stress Assessment A-6, in Volume 2 New Releases: Assessment Tools: Stress Assessment Series, Volume 2, Episode 101</t>
  </si>
  <si>
    <t>Stress Assessment A-2, in Volume 2 New Releases: Assessment Tools: Stress Assessment Series, Volume 2, Episode 97</t>
  </si>
  <si>
    <t>Stress Assessment A-4, in Volume 2 New Releases: Assessment Tools: Stress Assessment Series, Volume 2, Episode 99</t>
  </si>
  <si>
    <t>Stress Assessment A-1, in Volume 2 New Releases: Assessment Tools: Stress Assessment Series, Volume 2, Episode 96</t>
  </si>
  <si>
    <t>Stress Assessment A-5, in Volume 2 New Releases: Assessment Tools: Stress Assessment Series, Volume 2, Episode 100</t>
  </si>
  <si>
    <t>Stress Assessment A-7, in Volume 2 New Releases: Assessment Tools: Stress Assessment Series, Volume 2, Episode 102</t>
  </si>
  <si>
    <t>Substance Use Assessment A-1, in Volume 2 New Releases: Assessment Tools: Substance Use Assessment Series, Volume 2, Episode 60</t>
  </si>
  <si>
    <t>Substance Use Assessment A-9, in Volume 2 New Releases: Assessment Tools: Substance Use Assessment Series, Volume 2, Episode 70</t>
  </si>
  <si>
    <t>Substance Use Assessment A-8, in Volume 2 New Releases: Assessment Tools: Substance Use Assessment Series, Volume 2, Episode 69</t>
  </si>
  <si>
    <t>Substance Use Assessment A-11, in Volume 2 New Releases: Assessment Tools: Substance Use Assessment Series, Volume 2, Episode 66</t>
  </si>
  <si>
    <t>Substance Use Assessment A-3, in Volume 2 New Releases: Assessment Tools: Substance Use Assessment Series, Volume 2, Episode 62</t>
  </si>
  <si>
    <t>Substance Use Assessment A-10, in Volume 2 New Releases: Assessment Tools: Substance Use Assessment Series, Volume 2, Episode 65</t>
  </si>
  <si>
    <t>Substance Use Assessment A-2, in Volume 2 New Releases: Assessment Tools: Substance Use Assessment Series, Volume 2, Episode 61</t>
  </si>
  <si>
    <t>Substance Use Assessment A-7, in Volume 2 New Releases: Assessment Tools: Substance Use Assessment Series, Volume 2, Episode 68</t>
  </si>
  <si>
    <t>Substance Use Assessment A-6, in Volume 2 New Releases: Assessment Tools: Substance Use Assessment Series, Volume 2, Episode 67</t>
  </si>
  <si>
    <t>Substance Use Assessment A-5, in Volume 2 New Releases: Assessment Tools: Substance Use Assessment Series, Volume 2, Episode 64</t>
  </si>
  <si>
    <t>Substance Use Assessment A-4, in Volume 2 New Releases: Assessment Tools: Substance Use Assessment Series, Volume 2, Episode 63</t>
  </si>
  <si>
    <t>Suicide Assessment A-5, in Volume 2 New Releases: Assessment Tools: Suicide Assessment Series, Volume 2, Episode 75</t>
  </si>
  <si>
    <t>Suicide Assessment A-4, in Volume 2 New Releases: Assessment Tools: Suicide Assessment Series, Volume 2, Episode 74</t>
  </si>
  <si>
    <t>Suicide Assessment A-1, in Volume 2 New Releases: Assessment Tools: Suicide Assessment Series, Volume 2, Episode 71</t>
  </si>
  <si>
    <t>Suicide Assessment A-3, in Volume 2 New Releases: Assessment Tools: Suicide Assessment Series, Volume 2, Episode 73</t>
  </si>
  <si>
    <t>Suicide Assessment A-2, in Volume 2 New Releases: Assessment Tools: Suicide Assessment Series, Volume 2, Episode 72</t>
  </si>
  <si>
    <t>Trauma Assessment A-2, in Volume 2 New Releases: Assessment Tools: Trauma Assessment Series, Volume 2, Episode 77</t>
  </si>
  <si>
    <t>Trauma Assessment A-4, in Volume 2 New Releases: Assessment Tools: Trauma Assessment Series, Volume 2, Episode 79</t>
  </si>
  <si>
    <t>Trauma Assessment A-1, in Volume 2 New Releases: Assessment Tools: Trauma Assessment Series, Volume 2, Episode 76</t>
  </si>
  <si>
    <t>Trauma Assessment A-3, in Volume 2 New Releases: Assessment Tools: Trauma Assessment Series, Volume 2, Episode 78</t>
  </si>
  <si>
    <t>Trauma Assessment A-5, in Volume 2 New Releases: Assessment Tools: Trauma Assessment Series, Volume 2, Episode 80</t>
  </si>
  <si>
    <t>Trauma Assessment A-6, in Volume 2 New Releases: Assessment Tools: Trauma Assessment Series, Volume 2, Episode 81</t>
  </si>
  <si>
    <t>ADHD Combined Presentation A-1, in Volume 2 New Releases: DSM 5 Guided ADHD Series, Volume 2, Episode 1</t>
  </si>
  <si>
    <t>Rule/Out ADHD Combined Presentation, Rule/Out Alcohol Use Disorder, Moderate, in Volume 2 New Releases: DSM 5 Guided ADHD Series, Volume 2, Episode 5</t>
  </si>
  <si>
    <t>ADHD Combined Presentation A-2, in Volume 2 New Releases: DSM 5 Guided ADHD Series, Volume 2, Episode 2</t>
  </si>
  <si>
    <t>Rule/Out ADHD Combined Presentation, Rule/Out Malingering, in Volume 2 New Releases: DSM 5 Guided ADHD Series, Volume 2, Episode 6</t>
  </si>
  <si>
    <t>ADHD Combined Presentation A-3, in Volume 2 New Releases: DSM 5 Guided ADHD Series, Volume 2, Episode 3</t>
  </si>
  <si>
    <t>Rule/Out ADHD Combined Presentation, in Volume 2 New Releases: DSM 5 Guided ADHD Series, Volume 2, Episode 4</t>
  </si>
  <si>
    <t>Posttraumatic Stress Disorder B-1, in Volume 2 New Releases: DSM 5 Guided Child &amp; Adolescent Series, Volume 2, Episode 10</t>
  </si>
  <si>
    <t>Separation Anxiety Disorder, in Volume 2 New Releases: DSM 5 Guided Child &amp; Adolescent Series, Volume 2, Episode 11</t>
  </si>
  <si>
    <t>Disruptive Mood Dysregulation Disorder, in Volume 2 New Releases: DSM 5 Guided Child &amp; Adolescent Series, Volume 2, Episode 8</t>
  </si>
  <si>
    <t>Conduct Disorder: Adolescent-Onset Type, in Volume 2 New Releases: DSM 5 Guided Child &amp; Adolescent Series, Volume 2, Episode 7</t>
  </si>
  <si>
    <t>Oppositional Defiant Disorder, in Volume 2 New Releases: DSM 5 Guided Child &amp; Adolescent Series, Volume 2, Episode 9</t>
  </si>
  <si>
    <t>Bulimia Nervosa, in Volume 2 New Releases: DSM 5 Guided Eating Disorder Series, Volume 2, Episode 17</t>
  </si>
  <si>
    <t>Binge Eating Disorder, in Volume 2 New Releases: DSM 5 Guided Eating Disorder Series, Volume 2, Episode 16</t>
  </si>
  <si>
    <t>Anorexia Nervosa Restricting Type Moderate B-1, in Volume 2 New Releases: DSM 5 Guided Eating Disorder Series, Volume 2, Episode 14</t>
  </si>
  <si>
    <t>Anorexia Nervosa Restricting Type Moderate B-2, in Volume 2 New Releases: DSM 5 Guided Eating Disorder Series, Volume 2, Episode 15</t>
  </si>
  <si>
    <t>Posttraumatic Stress Disorder B-5 (Nurse), in Volume 2 New Releases: DSM 5 Guided First Responder Series, Volume 2, Episode 21</t>
  </si>
  <si>
    <t>Posttraumatic Stress Disorder B-4 (EMT), in Volume 2 New Releases: DSM 5 Guided First Responder Series, Volume 2, Episode 20</t>
  </si>
  <si>
    <t>Posttraumatic Stress Disorder B-6 (Doctor), in Volume 2 New Releases: DSM 5 Guided First Responder Series, Volume 2, Episode 22</t>
  </si>
  <si>
    <t>Posttraumatic Stress Disorder B-2 (Police Officer 1), in Volume 2 New Releases: DSM 5 Guided First Responder Series, Volume 2, Episode 18</t>
  </si>
  <si>
    <t>Posttraumatic Stress Disorder B-3 (Police Officer 2), in Volume 2 New Releases: DSM 5 Guided First Responder Series, Volume 2, Episode 19</t>
  </si>
  <si>
    <t>Stimulant Use Disorder - B, Severe, Cocaine, in Volume 2 New Releases: DSM 5 Guided Substance-Related and Addictive Disorders, Volume 2, Episode 43</t>
  </si>
  <si>
    <t>Stimulant Use Disorder, Moderate, Cocaine, in Volume 2 New Releases: DSM 5 Guided Substance-Related and Addictive Disorders, Volume 2, Episode 44</t>
  </si>
  <si>
    <t>Opioid Use Disorder, Severe, in Volume 2 New Releases: DSM 5 Guided Substance-Related and Addictive Disorders, Volume 2, Episode 41</t>
  </si>
  <si>
    <t>Opioid Use Disorder, Alcohol Use Disorder, Cannabis Use Disorder, Tobacco Use Disorder, Stimulant Use Disorder (cocaine), and with Possible Sedative, Hypnotic, Anxiolytic Use Disorder, in Volume 2 New Releases: DSM 5 Guided Substance-Related and Addictive Disorders, Volume 2, Episode 39</t>
  </si>
  <si>
    <t>Opioid Use Disorder, Moderate, in Volume 2 New Releases: DSM 5 Guided Substance-Related and Addictive Disorders, Volume 2, Episode 40</t>
  </si>
  <si>
    <t>Stimulant Use Disorder - A, Severe, Cocaine, in Volume 2 New Releases: DSM 5 Guided Substance-Related and Addictive Disorders, Volume 2, Episode 42</t>
  </si>
  <si>
    <t>Adolescent Antisocial Behavior; Alcohol Use Disorder, Severe; Other or Unknown Substance Use Disorder; Severe, in Volume 2 New Releases: DSM 5 Guided Violence Series, Volume 2, Episode 46</t>
  </si>
  <si>
    <t>Adjustment Disorder with Anxiety, in Volume 2 New Releases: DSM 5 Guided Violence Series, Volume 2, Episode 45</t>
  </si>
  <si>
    <t>Dissociative Amnesia, in Volume 2 New Releases: DSM 5 Guided Violence Series, Volume 2, Episode 49</t>
  </si>
  <si>
    <t>Posttraumatic Stress Disorder, Alcohol Use Disorder; Other or Unknown, Conviction or Civil Proceedings without Imprisonment, in Volume 2 New Releases: DSM 5 Guided Violence Series, Volume 2, Episode 50</t>
  </si>
  <si>
    <t>Homicide Assessment A-2, in Volume 2, Assessment Tools: Homicide Assessment, Episode 35</t>
  </si>
  <si>
    <t>Homicide Assessment A-3, in Volume 2, Assessment Tools: Homicide Assessment, Episode 36</t>
  </si>
  <si>
    <t>Homicide Assessment A-1, in Volume 2, Assessment Tools: Homicide Assessment, Episode 34</t>
  </si>
  <si>
    <t>Sleep Assessment A-2, in Volume 2, Assessment Tools: Sleep Assessment, Volume 2, Episode 93</t>
  </si>
  <si>
    <t>Sleep Assessment A-1, in Volume 2, Assessment Tools: Sleep Assessment, Volume 2, Episode 92</t>
  </si>
  <si>
    <t>Sleep Assessment A-4, in Volume 2, Assessment Tools: Sleep Assessment, Volume 2, Episode 95</t>
  </si>
  <si>
    <t>Sleep Assessment A-3, in Volume 2, Assessment Tools: Sleep Assessment, Volume 2, Episode 94</t>
  </si>
  <si>
    <t>Hidden Battles</t>
  </si>
  <si>
    <t>Faith in the Hood</t>
  </si>
  <si>
    <t>Social Psychology, The Psychology of Abuse: Abuses at Abu Ghraib Prison</t>
  </si>
  <si>
    <t>Sensation and Perception - Reports from REM Sleep: Dream World</t>
  </si>
  <si>
    <t>Brain Power: Improve your Mind as You Age, in Why Neuroscience Matters: Concrete Strategies for Your Practice</t>
  </si>
  <si>
    <t>Interpersonal Neurobiology in the Consulting Room, in Why Neuroscience Matters: Concrete Strategies for Your Practice</t>
  </si>
  <si>
    <t>Understanding Polyvagal Theory: Emotion, Attachment and Self-Regulation, in Why Neuroscience Matters: Concrete Strategies for Your Practice</t>
  </si>
  <si>
    <t>The Brain that Changes Itself: Neuroplasticity in Clinical Practice, in Why Neuroscience Matters: Concrete Strategies for Your Practice</t>
  </si>
  <si>
    <t>The Myth of the Unisex Brain, in Why Neuroscience Matters: Concrete Strategies for Your Practice</t>
  </si>
  <si>
    <t>How to Take in the Good: Overcoming the Brain's Negativity Bias, in Why Neuroscience Matters: Concrete Strategies for Your Practice</t>
  </si>
  <si>
    <t>Commentary on the session, in Working With Core Emotion</t>
  </si>
  <si>
    <t>Therapy session, in Working With Core Emotion</t>
  </si>
  <si>
    <t>Introducing Les Greenberg And His Origins In EFT, in Working With Current and Historical Trauma</t>
  </si>
  <si>
    <t>Therapy Session, in Working With Current and Historical Trauma</t>
  </si>
  <si>
    <t>Commentary on the session, in Working With Current and Historical Trauma</t>
  </si>
  <si>
    <t>Counseling Gay and Lesbian People of Color: Multiple Identities: Part 2, in Working with Gay and Lesbian People of Color</t>
  </si>
  <si>
    <t>Counseling Gay and Lesbian People of Color: Multiple Identities: Part 1, in Working with Gay and Lesbian People of Color</t>
  </si>
  <si>
    <t>Expressive Arts Therapy, Client 1</t>
  </si>
  <si>
    <t>Expressive Arts Therapy, Client 2</t>
  </si>
  <si>
    <t>Man in Search of Meaning</t>
  </si>
  <si>
    <t>The Will to Meaning</t>
  </si>
  <si>
    <t>The Meaning of Life</t>
  </si>
  <si>
    <t>The Moving Child II: Dance Therapy in Action, in The Moving Child Films</t>
  </si>
  <si>
    <t>Hana Kamea Kemble</t>
  </si>
  <si>
    <t>The Moving Child I: Supporting Early Development Through Movement, in The Moving Child Films</t>
  </si>
  <si>
    <t>Being Transgender, in Horizon, Season 53, Episode 15</t>
  </si>
  <si>
    <t>BBC Worldwide</t>
  </si>
  <si>
    <t>Bill W.</t>
  </si>
  <si>
    <t>Page 124 Productions</t>
  </si>
  <si>
    <t>Exposed Jan 16 1964 ; Cats Are 27 Days Old; Kc#17; Film #2</t>
  </si>
  <si>
    <t>R.D. Walk; Visual Cliff Shots; Rat, Kitten, Monkey</t>
  </si>
  <si>
    <t>Shaping The Personality: The Role Of Mother-Child Relations In Infancy (Silent)</t>
  </si>
  <si>
    <t>University of Akron. Cummings Center for the History of Psychology</t>
  </si>
  <si>
    <t>Somatic Consequences Of Emotional Starvation In Infants (Silent)</t>
  </si>
  <si>
    <t>Geo. Wash. Univ. Dr. Walk 9/9/64; Rabbits</t>
  </si>
  <si>
    <t>Cats Developmental Age 20 Days 1/9/64</t>
  </si>
  <si>
    <t>Grasping (Silent)</t>
  </si>
  <si>
    <t>Original Sound Recording And 90 Original Photographs From Robbers Cave Experiment 1954</t>
  </si>
  <si>
    <t>Depth Perception of Light- and Dark-reared Kittens</t>
  </si>
  <si>
    <t>Motherlove (Silent)</t>
  </si>
  <si>
    <t>Anxiety: Its Phenomenology In The First Year Of Life (Silent)</t>
  </si>
  <si>
    <t>Exposed Jan 21, 1964; Cats Are Now 32 Days Old. Depth + Visual Pla[In?] Are Present</t>
  </si>
  <si>
    <t>R. D. Walk - GWU; Rabbits 13 Days Old</t>
  </si>
  <si>
    <t>Genesis Of Emotions (Silent)</t>
  </si>
  <si>
    <t>URL</t>
  </si>
  <si>
    <t>In Publication</t>
  </si>
  <si>
    <t>Eugene J. Webb to Stanley Milgram, May 09, 1967</t>
  </si>
  <si>
    <t>Letter from Martin D. Gatter to Director of Publications, February 6, 1970</t>
  </si>
  <si>
    <t>Letter from Robert W. Wesner to Carolyn W. Sherif, January 21, 1970</t>
  </si>
  <si>
    <t>Letter from Gary Goldsmith to Dr. Muzafer Sherif, May 16, 1969</t>
  </si>
  <si>
    <t>#1, 1972 [data charts]</t>
  </si>
  <si>
    <t>Facsimile copy to Mrs. Richard D. Walk from Sandra Lord, Photoright, LLC, August 16, 1999</t>
  </si>
  <si>
    <t>Experiment I</t>
  </si>
  <si>
    <t>#01, 1971 [data charts]</t>
  </si>
  <si>
    <t>Handwritten data charts</t>
  </si>
  <si>
    <t>Stanley Milgram to Raymond-Loew Associates, Inc., October 3, 1966</t>
  </si>
  <si>
    <t>Chicken test [data charts]</t>
  </si>
  <si>
    <t>Stanford Prison Experiment Media Material, Newsclippings</t>
  </si>
  <si>
    <t>Philip J. Zimbardo to Subjects, 1971-1973</t>
  </si>
  <si>
    <t>Stanley Milgram to O.E. McIntyre, Inc., February 1, 1967</t>
  </si>
  <si>
    <t>John H. Johnson to Stanley Milgram, October 21, 1966</t>
  </si>
  <si>
    <t>Stanley Milgram to Nicolas H. Charney, October 18, 1966</t>
  </si>
  <si>
    <t>Mind Control in 1984: Orwell's Political Fiction Becomes a Psychological Reality of Modern Times</t>
  </si>
  <si>
    <t>Stanford Prison Experiment Articles 1972-2000, Part 1</t>
  </si>
  <si>
    <t>Professor evaluation write up</t>
  </si>
  <si>
    <t>Napa County Stanford Prison Experiment Simulation, 1974-1976</t>
  </si>
  <si>
    <t>San Francisco Examiner</t>
  </si>
  <si>
    <t>Stanley Milgram to Brit Denholtz, October 26, 1966</t>
  </si>
  <si>
    <t>Letter from Carolyn W. Sherif to Martin D. Gatter, March 13, 1970</t>
  </si>
  <si>
    <t>Stanley Milgram to O.E. McIntyre, Inc., October 26, 1966</t>
  </si>
  <si>
    <t>Stanford Prison Experiment: Prisoner Letters and Interviews, Part 4</t>
  </si>
  <si>
    <t>Notes for Depth Perception and the Visual Cliff</t>
  </si>
  <si>
    <t>Alvin B. Zeller to Stanley Milgram, October 6, 1966</t>
  </si>
  <si>
    <t>Correspondence and Prison Interview Transcripts, 1989-2003</t>
  </si>
  <si>
    <t>Philip Zimbardo to Richard I. Evans, July 24, 1972, With Partial Transcription of SPE Narration</t>
  </si>
  <si>
    <t>Rats tested [data charts]</t>
  </si>
  <si>
    <t>Stanley Milgram to Dunhill International List Co., October 3, 1966</t>
  </si>
  <si>
    <t>Stanford Prison Experiment: Design and Analysis</t>
  </si>
  <si>
    <t>Stanford Prison Experiment Articles 1972-2000, Part 2</t>
  </si>
  <si>
    <t>Hugo Dunhill to Stanley Milgram, February 6, 1967</t>
  </si>
  <si>
    <t>Corrections: Perspectives On Research, Policy, and Impact: Summary of Proceedings</t>
  </si>
  <si>
    <t>Letter from Muzafer Sherif to Mr. Gary Goldsmith, May 27, 1969</t>
  </si>
  <si>
    <t>Pilot from cages G1, G2</t>
  </si>
  <si>
    <t>Stanford Prison Experiment: A Simulation Study of the Psychology of Imprisonment, Conducted 1971 at Stanford University</t>
  </si>
  <si>
    <t>Prescott Interview, NBC, 2005</t>
  </si>
  <si>
    <t>Prescott, Carlo</t>
  </si>
  <si>
    <t>Letter from Muzafer Sherif to Ms. Marjorie Graham, May 02, 1975</t>
  </si>
  <si>
    <t>Letter from Muzafer Sherif to William A. Nesbitt, February 5, 1971</t>
  </si>
  <si>
    <t>Stanford Prison Experiment: Guard Instructions, Orientation, Prison Rules, and Consent Forms</t>
  </si>
  <si>
    <t>Omega 2-2-71</t>
  </si>
  <si>
    <t>Stanley Milgram to Reuben H. Donnelley Corp., October 26, 1966</t>
  </si>
  <si>
    <t>Zimbardo House of Representatives Testimony, 1971</t>
  </si>
  <si>
    <t>Stanley Milgram to Dunhill International List Co. Inc., February 1, 1967</t>
  </si>
  <si>
    <t>Prisoner 819 Is Being Punished: Transcription of Audio Tape From Chronolog Film, Stanford Prison Experiment, 1971</t>
  </si>
  <si>
    <t>Letter from Muzafer Sherif to Alexander Morin, August 10, 1970</t>
  </si>
  <si>
    <t>Letter from Marjorie Graham to Dr. Muzafer Sherif, April 25, 1975</t>
  </si>
  <si>
    <t>David O. Wardwell to Stanley Milgram, November 28, 1966</t>
  </si>
  <si>
    <t>Stanley Milgram to Ebony Magazine, October 4, 1966</t>
  </si>
  <si>
    <t>James V. Lyons to Stanley Milgram, October 31, 1966</t>
  </si>
  <si>
    <t>The George Washington University - Request for Funds Form</t>
  </si>
  <si>
    <t>Orientation and Interviews With Stanford Prison Experiment Guards</t>
  </si>
  <si>
    <t>Pilot Study: A Simulated Prison</t>
  </si>
  <si>
    <t>Ideas about a book on perceptual development</t>
  </si>
  <si>
    <t>Charles Korte to Stanley Milgram, March 18, 1968</t>
  </si>
  <si>
    <t>Stanley Milgram to R.L. Polk &amp; Company, October 3, 1966</t>
  </si>
  <si>
    <t>Thea Jacks to Stanley Milgram, October 19, 1966</t>
  </si>
  <si>
    <t>Stanley Milgram to Elizabeth Burnham, March 20, 1967</t>
  </si>
  <si>
    <t>Stanley Milgram to Zeller &amp; Lettica, Inc., October 3, 1966</t>
  </si>
  <si>
    <t>Florence Schwab to Stanley Milgram, January 1968</t>
  </si>
  <si>
    <t>Beverly Burnett to Jeffrey Travers, February 11, 1969</t>
  </si>
  <si>
    <t>Stanley Milgram to Elizabeth Burnham, June 30, 1967</t>
  </si>
  <si>
    <t>Joseph Gerver to Jeffrey Travers, July 2, 1968</t>
  </si>
  <si>
    <t>48 hr recovery [data charts]</t>
  </si>
  <si>
    <t>Stanford Prison Experiment: Prisoner Letters and Interviews, Part 3</t>
  </si>
  <si>
    <t>Dark reared</t>
  </si>
  <si>
    <t>Stanford Prison Experiment: Prisoner Letters and Interviews, Part 1</t>
  </si>
  <si>
    <t>Stanford Prison Experiment: Prisoner Letters and Interviews, Part 5</t>
  </si>
  <si>
    <t>Stanley Milgram to Jet Magazine, October 4, 1966</t>
  </si>
  <si>
    <t>Richard Bilodeau to Stanley Milgram, May 18, 1967</t>
  </si>
  <si>
    <t>Stanley Milgram to United States Post Office Superintendent of Main Teller's Cage, March 21, 1967</t>
  </si>
  <si>
    <t>Stanford Prison Experiment Articles and Related Issues (Ethics and Shyness, undated)</t>
  </si>
  <si>
    <t>Subject: The Communications Project</t>
  </si>
  <si>
    <t>Jeffrey Travers to Stanley Milgram, February 6, 1969</t>
  </si>
  <si>
    <t>Stanley Milgram to Chuck Korte, December 11, 1967</t>
  </si>
  <si>
    <t>Stanley Milgram to Charles Korte, January 25, 1968</t>
  </si>
  <si>
    <t>Chuck Korte to Stanley Milgram, July 27, 1967</t>
  </si>
  <si>
    <t>A 20-item Asch-type Conformity Scale Controlled for Acquiescence</t>
  </si>
  <si>
    <t>Stanley Milgram to Franconi Mailing List Corp., October 3, 1966</t>
  </si>
  <si>
    <t>Stanford Prison Experiment Articles 1972-2000, Part 3</t>
  </si>
  <si>
    <t>Stanley Milgram to Negro Digest, October 4, 1966</t>
  </si>
  <si>
    <t>Letter from Betty Williams to Carolyn Sherif, March 17, 1970</t>
  </si>
  <si>
    <t>Letter from Bob to Dr. Muzafer Sherif, July 13, 1967</t>
  </si>
  <si>
    <t>The Small World Problem, Draft no. 2</t>
  </si>
  <si>
    <t>Chuck Korte to Dr. Bales, January 1968</t>
  </si>
  <si>
    <t>Subject # 68, 1973 [data charts]</t>
  </si>
  <si>
    <t>Memorandum, Subject: Pass Book for the Communication Project</t>
  </si>
  <si>
    <t>Omega 1-18-71</t>
  </si>
  <si>
    <t>Subject Number 1, 1972 [data charts]</t>
  </si>
  <si>
    <t>Stanley Milgram to James W. Gage, January 11, 1968</t>
  </si>
  <si>
    <t>Richard A. Denholtz to Stanley Milgram, October 31, 1966</t>
  </si>
  <si>
    <t>Stanley Milgram to Joseph Gerver, February 15, 1968</t>
  </si>
  <si>
    <t>Bruno J. Irwine to Stanley Milgram, February 10, 1967</t>
  </si>
  <si>
    <t>Stanley Milgram to Freed, November 10, 1966</t>
  </si>
  <si>
    <t>Stanley Milgram to Richard A. Denholtz, February 1, 1966</t>
  </si>
  <si>
    <t>Stanley Milgram to Florence Schwab, January 25, 1968</t>
  </si>
  <si>
    <t>Stanley Milgram to Charles Korte, March 21, 1968</t>
  </si>
  <si>
    <t>Stanley Milgram to Charles Korte, January 26, 1968</t>
  </si>
  <si>
    <t>Charles Korte to Stanley Milgram, December 20, 1967</t>
  </si>
  <si>
    <t>Vichai, July 4, 1966</t>
  </si>
  <si>
    <t>Robert Frager to Stanley Milgram, June 8, 1966</t>
  </si>
  <si>
    <t>Research Report, Erawan Hotel, July 2, 1966</t>
  </si>
  <si>
    <t>Stanley Milgram to Whom It May Concern, June 7, 1966</t>
  </si>
  <si>
    <t>To Robert Frager, Subject: Letter Dropping. July 4, 1966</t>
  </si>
  <si>
    <t>1964 babies [handwritten data charts]</t>
  </si>
  <si>
    <t>Stanley Milgram to Robert Frager, August 11, 1966</t>
  </si>
  <si>
    <t>Signed Invoice for Frager Expenses, June 25, 1966</t>
  </si>
  <si>
    <t>Is There a Unity to the Experiments?</t>
  </si>
  <si>
    <t>Victor Li to Robert Silin, December 22, 1965</t>
  </si>
  <si>
    <t>Stanley Milgram to Whom It May Concern, December 21, 1965</t>
  </si>
  <si>
    <t>K.L. Teo to Stanley Milgram, June 25, 1964</t>
  </si>
  <si>
    <t>Stanley Milgram to Pang Woon-Yiu, November 1, 1964</t>
  </si>
  <si>
    <t>Data Analysis Cards: Coded Comments of Subjects</t>
  </si>
  <si>
    <t>Kitten data charts</t>
  </si>
  <si>
    <t>1-64 No Crying [handwritten data charts]</t>
  </si>
  <si>
    <t>1-65 data charts - Mother at Side</t>
  </si>
  <si>
    <t>Depth Perception in One Day Old Chickens</t>
  </si>
  <si>
    <t>Comment on Visual Cliff Demonstration in the Fourth Grade, February 12, 1964</t>
  </si>
  <si>
    <t>Stanley Milgram to Marie Sieh, January 14, 1965</t>
  </si>
  <si>
    <t>Letter from Kathleen J. Suggs to Mr. David Kamens, May 18, 1964</t>
  </si>
  <si>
    <t>Research Project Directors to Laboratory of Social Relations, September 12, 1963</t>
  </si>
  <si>
    <t>Letter from Miriam H. Godshalk to Institute of Group Relations, January 11, 1965</t>
  </si>
  <si>
    <t>Stanley Milgram to Marie Sieh, December 4, 1964</t>
  </si>
  <si>
    <t>Stanley Milgram to Ministry of Home Affairs, Singapore, Malaysia, June 1, 1964</t>
  </si>
  <si>
    <t>Robert Silin to Victor Li: Project Financing</t>
  </si>
  <si>
    <t>Marie Sieh to Stanley Milgram, January 20, 1965</t>
  </si>
  <si>
    <t>Stanley Milgram to Mrs. Burnham, November 23, 1964, no. 1</t>
  </si>
  <si>
    <t>Robert Frager to Stanley Milgram, March 17, 1966</t>
  </si>
  <si>
    <t>Visual plane cats [data charts]</t>
  </si>
  <si>
    <t>A Note on Frager's BOAC Ticket, June 20, 1966</t>
  </si>
  <si>
    <t>Date: March 25, 1964, Cat</t>
  </si>
  <si>
    <t>Simple Contour Experiment</t>
  </si>
  <si>
    <t>Stanley Milgram to Superintendent of Postal Finance, February 9, 1966</t>
  </si>
  <si>
    <t>Paitul, July 4, 1966</t>
  </si>
  <si>
    <t>Thomas Woodhouse to Stanley Milgram, July 24, 1964</t>
  </si>
  <si>
    <t>Stanley Milgram to Commissioner of Police, Hong Kong</t>
  </si>
  <si>
    <t>Stanley Milgram to Whom It May Concern, December 20, 1965</t>
  </si>
  <si>
    <t>R.W. Dempster to Stanley Milgram, September 18, 1963</t>
  </si>
  <si>
    <t>Wisit, July 4, 1966</t>
  </si>
  <si>
    <t>Letter from David Kamens to Professor Sherif, May 04, 1964</t>
  </si>
  <si>
    <t>Stanley Milgram to Postmaster General, Singapore, Malaysia, June 1, 1964</t>
  </si>
  <si>
    <t>To Harrison, August 25, 1966</t>
  </si>
  <si>
    <t>Stanley Milgram to Postmaster General, Singapore, Malaysia, May 7, 1964</t>
  </si>
  <si>
    <t>Robert Frager to Stanley Milgram, May 18, 1966</t>
  </si>
  <si>
    <t>Stanley Milgram to Whom It May Concern, July 1, 1964</t>
  </si>
  <si>
    <t>Roger F. Gielis to Stanley Milgram, September 9, 1966</t>
  </si>
  <si>
    <t>Stanley Milgram to Whom It May Concern, June 1, 1964</t>
  </si>
  <si>
    <t>Statement By Paul Errera, M.D., Assistant Professor of Psychiatry, Yale University. Based On Interviews With Forty 'Worst Cases' in the Milgram Obedience Experiments</t>
  </si>
  <si>
    <t>Stanley Milgram to Ministry of Home Affairs, Singapore, Malaysia, June 2, 1964</t>
  </si>
  <si>
    <t>Swei Kai Psh to Thomas Woodhouse, August 17, 1964</t>
  </si>
  <si>
    <t>Robert F. Bales to Stanley Milgram, October 29, 1965</t>
  </si>
  <si>
    <t>Toads - Black &amp; White Checkerboards - Small Visual Cliff</t>
  </si>
  <si>
    <t>Urgent: Needed, May 25, 1966</t>
  </si>
  <si>
    <t>Invoice for Frager Expenses, June 25, 1966</t>
  </si>
  <si>
    <t>Stanly Milgram to Robert Frager, March 23, 1966</t>
  </si>
  <si>
    <t>Robert Frager to Stanley Milgram, August 4, 1966</t>
  </si>
  <si>
    <t>Stanley Milgram to Elizabeth Burnham, October 26, 1965</t>
  </si>
  <si>
    <t>Stanley Milgram, May 20, 1964</t>
  </si>
  <si>
    <t>Stanley Milgram to Robert Frager, May 27, 1966</t>
  </si>
  <si>
    <t>Stanley Milgram to Postmaster General, Hong Kong, June 1, 1964</t>
  </si>
  <si>
    <t>Stanley Milgram to Thomas Woodhouse, July 25, 1964</t>
  </si>
  <si>
    <t>Turtle: S-D function</t>
  </si>
  <si>
    <t>Development of Depth Perception in Rabbits</t>
  </si>
  <si>
    <t>Date: March 21, 1964 - Animal: Kittens</t>
  </si>
  <si>
    <t>Stanley Milgram to Dana Winsor, October 4, 1965</t>
  </si>
  <si>
    <t>Thomas Woodhouse to Stanley Milgram, August 4, 1964</t>
  </si>
  <si>
    <t>Stanley Milgram to Dunhill International List Company, October 26, 1965</t>
  </si>
  <si>
    <t>Robert Frager to Stanley Milgram, February 2, 1966</t>
  </si>
  <si>
    <t>Stanley Milgram to Mrs. Burnham, June 8, 1966</t>
  </si>
  <si>
    <t>Stanley Milgram to Thomas Woodhouse, July 26, 1964</t>
  </si>
  <si>
    <t>Center Board Studies</t>
  </si>
  <si>
    <t>To Stanley Milgram, June 30, 1964</t>
  </si>
  <si>
    <t>C.D. Clunies-Ross to Stanley Milgram, May 20, 1964</t>
  </si>
  <si>
    <t>Marie Sieh to Stanley Milgram, December 9, 1964</t>
  </si>
  <si>
    <t>Political Sympathies of Ethnic Chinese Pose Key Issue in Nations of Southeast Asia</t>
  </si>
  <si>
    <t>Salisbury, Harrison E</t>
  </si>
  <si>
    <t>The New York Times</t>
  </si>
  <si>
    <t>Crying data charts, 1966</t>
  </si>
  <si>
    <t>Completion of Obeience Study</t>
  </si>
  <si>
    <t>Stanley Milgram to Pang Woon-Yiu, September 11, 1964</t>
  </si>
  <si>
    <t>Stanley Milgram to Former Participants in Obedience Experiment, February 20, 1963</t>
  </si>
  <si>
    <t>Swei Kai Psh to Thomas Woodhouse, October 11, 1964</t>
  </si>
  <si>
    <t>Victor Li to Robert Silin, December 24, 1965</t>
  </si>
  <si>
    <t>Robert Silin to Stanley Milgram, December 23, 1965</t>
  </si>
  <si>
    <t>Stanley Milgram to Robert Bales, October 6, 1965</t>
  </si>
  <si>
    <t>K.L. Teo to Stanley Milgram, August 17, 1964</t>
  </si>
  <si>
    <t>Stanley Milgram to Robert Frager, February 25, 1966</t>
  </si>
  <si>
    <t>Stanley Milgram to Mrs. Burnham, November 23, 1964, no. 2</t>
  </si>
  <si>
    <t>Report to Persons Who Took Part in the Communications Project</t>
  </si>
  <si>
    <t>Jirawat, July 4, 1966</t>
  </si>
  <si>
    <t>Letter to Victor Li, December 16, 1965</t>
  </si>
  <si>
    <t>Stanley Milgram to Mrs. Burnham, December 24, 1965</t>
  </si>
  <si>
    <t>Group Identity - Rats - data</t>
  </si>
  <si>
    <t>5" below glass - 1966</t>
  </si>
  <si>
    <t>Roger F. Gielis to Stanley Milgram, May 6, 1966</t>
  </si>
  <si>
    <t>5-66 data chart</t>
  </si>
  <si>
    <t>Stanley Milgram to Thomas Woodhouse, July 5, 1964</t>
  </si>
  <si>
    <t>Stanley Milgram to the International Finance and Trade Corporation, June 23, 1966</t>
  </si>
  <si>
    <t>Chad to Stanley Milgram, re: Two Decks of Cards</t>
  </si>
  <si>
    <t>Stanley Milgram to Lawrence I. Prince, July 29, 1961</t>
  </si>
  <si>
    <t>Deep vs Shallow Data sheets</t>
  </si>
  <si>
    <t>Stanley Milgram to Charles C. Stouder, June 30, 1961</t>
  </si>
  <si>
    <t>Stanley Milgram to Norton Probstein, July 29, 1961</t>
  </si>
  <si>
    <t>Patch Baby Trials [data charts]</t>
  </si>
  <si>
    <t>Stanley Milgram to Journal of Conflict Resolution, July 6, 1961</t>
  </si>
  <si>
    <t>Mr. Taketo Murata</t>
  </si>
  <si>
    <t>David B.H. Martin to Robert L. Hall, February 20, 1962</t>
  </si>
  <si>
    <t>Computer Printouts and Data Analysis, Conditions 1-24</t>
  </si>
  <si>
    <t>August 1962: Explanation and Demonstration</t>
  </si>
  <si>
    <t>Stanley Milgram to Henry W. Riecken, August 15, 1961</t>
  </si>
  <si>
    <t>Stanley Milgram to Theodore Mills, June 29, 1961</t>
  </si>
  <si>
    <t>Developmental Inventory and cover letter</t>
  </si>
  <si>
    <t>General Notes no. 1</t>
  </si>
  <si>
    <t>Monocular [data chart]</t>
  </si>
  <si>
    <t>Janet D. Tuffli to Stanley Milgram, July 17, 1962</t>
  </si>
  <si>
    <t>Project #1-62</t>
  </si>
  <si>
    <t>Stanley Milgram to John P. Hartman, July 29, 1961</t>
  </si>
  <si>
    <t>Randal M. Robertson to A. Whitney Griswold, May 24, 1962</t>
  </si>
  <si>
    <t>Robert L. Hall to Stanley Milgram, May 29, 1962</t>
  </si>
  <si>
    <t>October 25, 1963: Box Turtles - Monocular vision in a depth perception situation</t>
  </si>
  <si>
    <t>Stanley Milgram to Robert E. Swan, July 29, 1961</t>
  </si>
  <si>
    <t>Application for Research Grant, January 25, 1962</t>
  </si>
  <si>
    <t>Stanley Milgram to Whom It May Concern, March 31, 1962</t>
  </si>
  <si>
    <t>Stanley Milgram to University Police, October 17, 1961</t>
  </si>
  <si>
    <t>Alan T. Waterman to A. Whitney Griswold, March 12, 1962</t>
  </si>
  <si>
    <t>Stanley Milgram to Joseph Walsh, April 12, 1962</t>
  </si>
  <si>
    <t>Rabbit results</t>
  </si>
  <si>
    <t>An Underlying Model for the Experiments: Field of Forces</t>
  </si>
  <si>
    <t>A Classification of Actions In Terms of Which Y Does What X Says He Should Do</t>
  </si>
  <si>
    <t>Expert: The Importance of Public Opinion</t>
  </si>
  <si>
    <t>Data charts - operated animals Sept-Nov 1962</t>
  </si>
  <si>
    <t>Henry W. Riecken to Stanley Milgram, August 3, 1961</t>
  </si>
  <si>
    <t>Stanley Milgram to Superintendent of Mails, March 29, 1962</t>
  </si>
  <si>
    <t>Stanley Milgram to Andrew, February 19, 1962</t>
  </si>
  <si>
    <t>Stanley Milgram to Robert L. Hall, February 14, 1962</t>
  </si>
  <si>
    <t>Confidential Information, National Science Foundation, Project "O"</t>
  </si>
  <si>
    <t>Stanley Milgram to Dorothy, June 19, 1962</t>
  </si>
  <si>
    <t>Stanley Milgram to Mr. Nash, March 22, 1962</t>
  </si>
  <si>
    <t>Yale University Memorandum of Gift, July 31, 1961</t>
  </si>
  <si>
    <t>Stanley Milgram to Henry Riecken, September 21, 1961</t>
  </si>
  <si>
    <t>Mrs. Edwin N. Salmon to Stanley Milgram, November 13, 1961</t>
  </si>
  <si>
    <t>Stanley Milgram to Dorothy, January 13, 1962</t>
  </si>
  <si>
    <t>Mother at Shallow - Mother at Deep</t>
  </si>
  <si>
    <t>Box Turtles - Pattern preference: Black &amp; white checkerboards</t>
  </si>
  <si>
    <t>Travel Expense Report, John T. Williams, June 19, 1962</t>
  </si>
  <si>
    <t>Williams, John T</t>
  </si>
  <si>
    <t>James P. Lewis to William Fee, July 13, 1962</t>
  </si>
  <si>
    <t>Handwritten data logs: Goats - April 23, 1962</t>
  </si>
  <si>
    <t>Stanley Milgram to Richard W. Whitney, July 29, 1961</t>
  </si>
  <si>
    <t>To Standard Time Company, July 10, 1961</t>
  </si>
  <si>
    <t>Emily Golia to Joseph T. Marinan, August 16, 1962</t>
  </si>
  <si>
    <t>Rhoda Stolper to Stanley Milgram, August 27, 1962</t>
  </si>
  <si>
    <t>Stanley Milgram to Dorothy, March 3, 1962</t>
  </si>
  <si>
    <t>Henry W. Riecken to Stanley Milgram, October 3, 1961</t>
  </si>
  <si>
    <t>Yale University Memorandum of Gift, August 26, 1961</t>
  </si>
  <si>
    <t>Stanley Milgram to Dorothy, June 1, 1962</t>
  </si>
  <si>
    <t>Stanley Milgram to Dorothy, April 26, 1962</t>
  </si>
  <si>
    <t>Listing of Small Deck: "Believers/Non-Believers"</t>
  </si>
  <si>
    <t>Elwina T. Stickney to Emily Davis, June 5, 1962</t>
  </si>
  <si>
    <t>Stickney, Elwina T</t>
  </si>
  <si>
    <t>Personnel and Expenses, Obedience Experiment</t>
  </si>
  <si>
    <t>Jim to Stan, May 23, 1962</t>
  </si>
  <si>
    <t>David B.H. Martin to Henry W. Riecken, January 31, 1962</t>
  </si>
  <si>
    <t>Robert L. Hall to Stanley Milgram, February 2, 1962</t>
  </si>
  <si>
    <t>Lewis S. Welch to Emily Celia, July 2, 1962</t>
  </si>
  <si>
    <t>Polaroid Corporation to Yale University, September 19, 1961</t>
  </si>
  <si>
    <t>Stanley Milgram to Robert L. Hall, April 19, 1962</t>
  </si>
  <si>
    <t>Stanley Milgram to Dorothy, August 17, 1962</t>
  </si>
  <si>
    <t>Stanley Milgram to Harry L. Miller, July 29, 1961</t>
  </si>
  <si>
    <t>Stanley Milgram to Henry W. Riecken, February 5, 1962</t>
  </si>
  <si>
    <t>Stanley Milgram to Harold L. Berman, July 29, 1961</t>
  </si>
  <si>
    <t>Mrs. Edwin N. Salmon to Stanley Milgram, December 1, 1961</t>
  </si>
  <si>
    <t>Alan T. Waterman to A. Whitney Griswold, July 13, 1961</t>
  </si>
  <si>
    <t>Computing Center Requisition</t>
  </si>
  <si>
    <t>Stanley Milgram to Alan T. Waterman, March 16, 1962</t>
  </si>
  <si>
    <t>Stanley Milgram to William M. Kane, July 29, 1961</t>
  </si>
  <si>
    <t>Robert L. Hall to Stanley Milgram, March 15, 1962</t>
  </si>
  <si>
    <t>Stanley Milgram to Monroe E. Freeman, August 13, 1962</t>
  </si>
  <si>
    <t>Stanley Milgram to Julius Walstein, July 29, 1961</t>
  </si>
  <si>
    <t>Stanley Milgram to Walter Korsick, July 29, 1961</t>
  </si>
  <si>
    <t>Robert L. Hall to Stanley Milgram, April 13, 1962</t>
  </si>
  <si>
    <t>Stanley Milgram to Dorothy, August 16, 1962</t>
  </si>
  <si>
    <t>From a Letter to Jack Williams, June 29, 1962</t>
  </si>
  <si>
    <t>Stanley Milgram to Dorothy, May 15, 1962</t>
  </si>
  <si>
    <t>Emil F. Elges, Jr. to Stanley Milgram, June 14, 1962</t>
  </si>
  <si>
    <t>Nancy S. Miller to Stanley Milgram, August 28, 1961</t>
  </si>
  <si>
    <t>Deep vs Shallow Data sheets [photocopy]</t>
  </si>
  <si>
    <t>Robert L. Hall to Stanley Milgram, July 31, 1962</t>
  </si>
  <si>
    <t>Stanley Milgram to Whom It May Concern, July 1, 1961</t>
  </si>
  <si>
    <t>Mary W. Bostain to Stanley Milgram, August 21, 1961</t>
  </si>
  <si>
    <t>Robert L. Hall to Stanley Milgram, July 17, 1962</t>
  </si>
  <si>
    <t>Stanley Milgram to Mrs. Henry, July 29, 1961</t>
  </si>
  <si>
    <t>Letter to Alan T. Waterman, July 24, 1961</t>
  </si>
  <si>
    <t>Listing of Big Deck: "New Deck for Analysis" N=308</t>
  </si>
  <si>
    <t>Stanley Milgram to David B.H. Martin, February 14, 1962</t>
  </si>
  <si>
    <t>Stanley Milgram to the Wheeler Company, May 28, 1962</t>
  </si>
  <si>
    <t>Obedience to Authority: Expirements in Social Psychology</t>
  </si>
  <si>
    <t>Payroll Schedules for Dorothy Badger, no. 2</t>
  </si>
  <si>
    <t>Stanley Milgram to Ann M. Canning, June 20, 1961</t>
  </si>
  <si>
    <t>Studies in Obedience: Report on Pilot Research, December 4, 1960</t>
  </si>
  <si>
    <t>Wanted: Persons to Participate In a Scientific Study for 1 Hour</t>
  </si>
  <si>
    <t>Memorandum to All Psychology Faculty and Graduate Students: The Recruitment and Use of Introductory Psychology Students As Subjects In Psychological Research</t>
  </si>
  <si>
    <t>Good Stories</t>
  </si>
  <si>
    <t>Account of Leung Chi Ting no. 1</t>
  </si>
  <si>
    <t>Ting, Leung Chi</t>
  </si>
  <si>
    <t>Help Wanted</t>
  </si>
  <si>
    <t>Free Obedience Vs. Forced Obedience</t>
  </si>
  <si>
    <t>Luigi Petrullo to Stanley Milgram, November 18, 1960</t>
  </si>
  <si>
    <t>Stanley Milgram to Otto Klineberg, June 23, 1961</t>
  </si>
  <si>
    <t>Stanley Milgram to Grason-Stadler Company, June 20, 1961</t>
  </si>
  <si>
    <t>Questionnaire Analysis</t>
  </si>
  <si>
    <t>Memorandum to Students in the First Course</t>
  </si>
  <si>
    <t>Claude E. Buxton to Faculty, Department of Psychology, October 14, 1960</t>
  </si>
  <si>
    <t>Pattern data chart</t>
  </si>
  <si>
    <t>Obedience, May 1961: Typology of Subjects</t>
  </si>
  <si>
    <t>Letter from Mrs. Lee R. Steiner to Muzafer Sherif, October 17, 1961</t>
  </si>
  <si>
    <t>Stanley Milgram to National Science Foundation</t>
  </si>
  <si>
    <t>Studies in Obedience: Analysis</t>
  </si>
  <si>
    <t>Henry W. Riecken to Stanley Milgram, November 23, 1960</t>
  </si>
  <si>
    <t>Lawrence I. Prince Study Application</t>
  </si>
  <si>
    <t>Prince, Lawrence I</t>
  </si>
  <si>
    <t>An Analysis of the Obedient Act</t>
  </si>
  <si>
    <t>Account of Leung Chi Ting no. 2</t>
  </si>
  <si>
    <t>Stanley Milgram to Alan Elms, June 27, 1961</t>
  </si>
  <si>
    <t>Grant Invoices and Reports</t>
  </si>
  <si>
    <t>Some Comments On the "Lost Letter" Study</t>
  </si>
  <si>
    <t>Stanley Milgram to Donald V. Greene, May 31, 1961</t>
  </si>
  <si>
    <t>Public Health Service Small Grant Form</t>
  </si>
  <si>
    <t>17,000,000 Overseas Chinese Oppose Admission of Red China Into U.N.</t>
  </si>
  <si>
    <t>New York Times</t>
  </si>
  <si>
    <t>Stanley Milgram to Whom It May Concern, June 6, 1961</t>
  </si>
  <si>
    <t>Some Uses of the Term Obedience</t>
  </si>
  <si>
    <t>Structure of the Small World</t>
  </si>
  <si>
    <t>Procedure for Solicitation of Subjects for Bridgeport Experiments</t>
  </si>
  <si>
    <t>Certificate of Appreciation For Your Help in the Study of Social Contact in American Society</t>
  </si>
  <si>
    <t>Learning Theory and Constitutional Factors</t>
  </si>
  <si>
    <t>Modified "F" Scale, Opinion Questionnaire</t>
  </si>
  <si>
    <t>Report to Memory Project Subjects</t>
  </si>
  <si>
    <t>Stanley Milgram to Henry W. Riecken, November 17, 1960</t>
  </si>
  <si>
    <t>Memory and Learning Project Directions, Diagrams, and Worksheets</t>
  </si>
  <si>
    <t>Stanley Milgram to Claude, June 6, 1961</t>
  </si>
  <si>
    <t>List of Post Graduates and Others "Employed In This Research"</t>
  </si>
  <si>
    <t>Stanley Milgram to Office of Research Grants, Department of Health, Education, and Welfare</t>
  </si>
  <si>
    <t>Instructions: "Blue Girl"</t>
  </si>
  <si>
    <t>Stanley Milgram to Claude</t>
  </si>
  <si>
    <t>Risk Taking Data</t>
  </si>
  <si>
    <t>Stanley Milgram to Luigi Petrullo, November 16, 1960</t>
  </si>
  <si>
    <t>Some Preliminary Views of the Questionnaire Results</t>
  </si>
  <si>
    <t>Payroll Schedules for Dorothy Badger, no. 1</t>
  </si>
  <si>
    <t>Handwritten Obedience Worksheet</t>
  </si>
  <si>
    <t>Stanley Milgram to Stoelting and Company, May 31, 1961</t>
  </si>
  <si>
    <t>Questionnaire for Subjects In Memory and Learning Project</t>
  </si>
  <si>
    <t>Stanley Milgram to Sir</t>
  </si>
  <si>
    <t>Experimenter's Instructions and Procedure As Given to the Subject</t>
  </si>
  <si>
    <t>Stanley Milgram to Institute of Human Relations, June 15, 1961</t>
  </si>
  <si>
    <t>Stanley Milgram to Raymond-Loew Associates, Inc.</t>
  </si>
  <si>
    <t>Luigi Petrullo to Stanley Milgram, October 26, 1960</t>
  </si>
  <si>
    <t>Stanley Milgram to Electonic Associates Inc., May 31, 1961</t>
  </si>
  <si>
    <t>Dynamics of Obedience: Experiments in Social Psychology</t>
  </si>
  <si>
    <t>Expressions and Inhibitions of Hostility</t>
  </si>
  <si>
    <t>Miscellaneous Notes no. 1</t>
  </si>
  <si>
    <t>Recruitment Plan Approval, October 18, 1960</t>
  </si>
  <si>
    <t>Sketch for a Study of Obedience</t>
  </si>
  <si>
    <t>Notes On Expenditures</t>
  </si>
  <si>
    <t>Notes on Manhattan Chinese</t>
  </si>
  <si>
    <t>Break-Off Points for Defiant Subjects</t>
  </si>
  <si>
    <t>Claude E. Buxton to Norman S. Buck, January 25, 1961</t>
  </si>
  <si>
    <t>Notice for Closing Account</t>
  </si>
  <si>
    <t>Essay</t>
  </si>
  <si>
    <t>Public Health Service Special Announcement, November 1, 1960</t>
  </si>
  <si>
    <t>The Small World Problem, Draft no. 1</t>
  </si>
  <si>
    <t>Memory and Learning Project Directions</t>
  </si>
  <si>
    <t>Computer Data Analysis</t>
  </si>
  <si>
    <t>Berwyn A. Cole to Stanley Milgram, November 21, 1960</t>
  </si>
  <si>
    <t>Partial Report on the 1961 Hong Kong Census</t>
  </si>
  <si>
    <t>James Justin McDonough</t>
  </si>
  <si>
    <t>Stanley Milgram to Selective Service System Local Board no. 24, December 13, 1961</t>
  </si>
  <si>
    <t>Ann M. Canning to Stanley Milgram, June 18, 1961</t>
  </si>
  <si>
    <t>Samuel Gaertner to the Editor</t>
  </si>
  <si>
    <t>Obedience Experiment, Data Analysis, Computer Printouts</t>
  </si>
  <si>
    <t>Stanley Milgram to College Department, Holt, Rinehart, and Winston, June 6, 1961</t>
  </si>
  <si>
    <t>Stanley Milgram to My Dear Sir</t>
  </si>
  <si>
    <t>Stanley Milgram to Esterline-Angus Instrument Co.</t>
  </si>
  <si>
    <t>F Scale Analysis Notes</t>
  </si>
  <si>
    <t>Robert Silin to Stanley Milgram: Invoice for Victor Li</t>
  </si>
  <si>
    <t>Milgram/Gordon Data Analysis</t>
  </si>
  <si>
    <t>A Study in the Prediction of Behavior</t>
  </si>
  <si>
    <t>Coding Manual for Background Data of Subjects</t>
  </si>
  <si>
    <t>National Institutes of Mental Health Application Dates, for New Grants and Long-Form Renewals</t>
  </si>
  <si>
    <t>Lawrence Kohlberg to Study Participants</t>
  </si>
  <si>
    <t>Stanley Milgram to Luigi Petrullo, October 14, 1960</t>
  </si>
  <si>
    <t>National Science Foundation, Washington 25, D.C.</t>
  </si>
  <si>
    <t>Communications Project Drafts, Letters and Applications</t>
  </si>
  <si>
    <t>Results of the Communication Project</t>
  </si>
  <si>
    <t>Draft, Communications Project</t>
  </si>
  <si>
    <t>Kittens tested [data charts]</t>
  </si>
  <si>
    <t>Handwritten notes</t>
  </si>
  <si>
    <t>Stephen Millert to Sir</t>
  </si>
  <si>
    <t>Data Analysis: 12 Value Cards</t>
  </si>
  <si>
    <t>Order: Plastic Sheets, May 23, 1961</t>
  </si>
  <si>
    <t>Ping Kai to Execution Secretary Shiu Sang</t>
  </si>
  <si>
    <t>Stanley Milgram Personal Papers</t>
  </si>
  <si>
    <t>There Are Questions Being Asked</t>
  </si>
  <si>
    <t>Attitudes of the Overseas Chinese Toward the Peking and Taiwan Governments</t>
  </si>
  <si>
    <t>Sketch of General Form of Control Panel in Studies of Obedience</t>
  </si>
  <si>
    <t>MRT formulas and results</t>
  </si>
  <si>
    <t>Crossers vs. Non-crossers by age groups for 1960, 1961, 1962</t>
  </si>
  <si>
    <t>Stimulation Factors in Depth Perception [handwritten draft]</t>
  </si>
  <si>
    <t>Human Infants</t>
  </si>
  <si>
    <t>Contours and Corners as Stimulus Patterns for Infant Depth Perception</t>
  </si>
  <si>
    <t>Chronological age as a determinant of responsiveness to visual depth in human infants</t>
  </si>
  <si>
    <t>Stripes map</t>
  </si>
  <si>
    <t>Black and white photograph of infant crawling on visual cliff checker board</t>
  </si>
  <si>
    <t>300+ days olds [handwritten data charts]</t>
  </si>
  <si>
    <t>$3500 Advance for Travel and Field Research</t>
  </si>
  <si>
    <t>Received of Stanley Milgram In Payment for Research Services in South East Asia</t>
  </si>
  <si>
    <t>Miscellaneous Notes no. 2</t>
  </si>
  <si>
    <t>References</t>
  </si>
  <si>
    <t>Black and white photograph of infant on checker board visual cliff</t>
  </si>
  <si>
    <t>Depth modification</t>
  </si>
  <si>
    <t>Southeast Asia?</t>
  </si>
  <si>
    <t>Percent Shallow Descents to Differential Visual Depth chart</t>
  </si>
  <si>
    <t>Stanley Milgram to Thomas Woodhouse, Hotel Victoria, Singapore</t>
  </si>
  <si>
    <t>Handwritten essay [draft]</t>
  </si>
  <si>
    <t>Rabbits data chart</t>
  </si>
  <si>
    <t>Black and white photograph of infant on visual cliff</t>
  </si>
  <si>
    <t>RECORD EXPLANATION of FALLING ACCIDENTS</t>
  </si>
  <si>
    <t>Miscellaneous Notes no. 3</t>
  </si>
  <si>
    <t>The Visual Depth Perception of a Monocular Human Infant 10 Months Old</t>
  </si>
  <si>
    <t>Handwritten data chart</t>
  </si>
  <si>
    <t>The Visual Depth Perception of a 10 Month Old Monocular Human Infant</t>
  </si>
  <si>
    <t>Down's Syndrome Infants</t>
  </si>
  <si>
    <t>A Japanese Study</t>
  </si>
  <si>
    <t>Handwritten S-D data charts</t>
  </si>
  <si>
    <t>Photographs of visual cliff - rats, kittens, goats, chickens</t>
  </si>
  <si>
    <t>Visual Cliff Studies [handwritten draft]</t>
  </si>
  <si>
    <t>They assessed 60 rats</t>
  </si>
  <si>
    <t>Lost Letters Study Notes and Comments</t>
  </si>
  <si>
    <t>Latency times of female vs male subjects and results</t>
  </si>
  <si>
    <t>A Study of some Factors Influencing the Depth Perception of Human Infants</t>
  </si>
  <si>
    <t>Black and white photo of a rabbit on the visual cliff board</t>
  </si>
  <si>
    <t>Rabbits and kittens tested daily after eye opening</t>
  </si>
  <si>
    <t>A PILOT STUDY OF VISUAL DEPTH PERCEPTION IN THE ALBINO RABBIT</t>
  </si>
  <si>
    <t>Research Report, Singapore</t>
  </si>
  <si>
    <t>Notes on Hong Kong and Singapore Political Statistics</t>
  </si>
  <si>
    <t>Public Health Service Special Announcement, July 27, 1959</t>
  </si>
  <si>
    <t>Descents to striations on plain surfaces with efficient width of stripes...</t>
  </si>
  <si>
    <t>Notion that larger texture sizes preferred by rats questioned</t>
  </si>
  <si>
    <t>Bisection</t>
  </si>
  <si>
    <t>Data Chart: Percent Shallow Descents - Day of Age</t>
  </si>
  <si>
    <t>Light and dark reared hooded rats</t>
  </si>
  <si>
    <t>Map of side view and top view of the visual cliff experiment</t>
  </si>
  <si>
    <t>Essay notes for the Visual Cliff</t>
  </si>
  <si>
    <t>Hooded rats (dark reared) [data charts]</t>
  </si>
  <si>
    <t>Deficit in Depth Perception of 90-day-old dark-reared Rats</t>
  </si>
  <si>
    <t>Black and white photograph of infant on visual cliff, partially blindfolded</t>
  </si>
  <si>
    <t>Account of Ho Chee Kong</t>
  </si>
  <si>
    <t>Kong, Ho Chee</t>
  </si>
  <si>
    <t>The Visual Cliff is an apparatus to investigate depth perception</t>
  </si>
  <si>
    <t>Rabbit - SD light used. Binocular</t>
  </si>
  <si>
    <t>S-D Function</t>
  </si>
  <si>
    <t>Figure and chart of an early model of the visual cliff</t>
  </si>
  <si>
    <t>Jan. 24, 1959 - 11 month old, crawling, not walking</t>
  </si>
  <si>
    <t>Stability and Instability in the Visual Depth Perception of Human Infants</t>
  </si>
  <si>
    <t>Dark Reared [handwritten data charts]</t>
  </si>
  <si>
    <t>Percent Crossing Deep Side charts and figures</t>
  </si>
  <si>
    <t>Perceptual Influences on Human Locomotion</t>
  </si>
  <si>
    <t>Shallow side - Deep side notes</t>
  </si>
  <si>
    <t>The Study in Hong Kong</t>
  </si>
  <si>
    <t>Handwritten notes about the center board results</t>
  </si>
  <si>
    <t>Partial Summary Human Cliff results</t>
  </si>
  <si>
    <t>Black and white photograph on infant on visual cliff</t>
  </si>
  <si>
    <t>Depth Perception: Visual Cliff Studies</t>
  </si>
  <si>
    <t>Latencies</t>
  </si>
  <si>
    <t>Blink to Object</t>
  </si>
  <si>
    <t>The Importance of Texture Density Preferences and Motion Parallax</t>
  </si>
  <si>
    <t>Hooded Rats 4 months old [data charts]</t>
  </si>
  <si>
    <t>Black and white photograph of infant on visual cliff board</t>
  </si>
  <si>
    <t>Exploratory Research with an Adult Visual Cliff</t>
  </si>
  <si>
    <t>Expenses for the "Lost Letter" Study In Asia</t>
  </si>
  <si>
    <t>Pattern Preference of Newborn Chicks as a Function of Centerboard Height, Visual Depth and Level of Illumination</t>
  </si>
  <si>
    <t>Normal cats 1st VC test [handwritten results]</t>
  </si>
  <si>
    <t>Visual Cliff References</t>
  </si>
  <si>
    <t>Percent Crossing Deep Side and Visual Depth chart</t>
  </si>
  <si>
    <t>Bibliography</t>
  </si>
  <si>
    <t>Thailand Scouts for Chinese Fifth Column</t>
  </si>
  <si>
    <t>Anonymous</t>
  </si>
  <si>
    <t>The Christian Science Monitor</t>
  </si>
  <si>
    <t>The Lost Letter Technique: A Tool of Social Research</t>
  </si>
  <si>
    <t>Handwritten notes about a reconstruction of the Visual Cliff experiment</t>
  </si>
  <si>
    <t>Visual Cliff Performance as a Function of Texture and Motion Parallax Wileen Rosner The George Washington University</t>
  </si>
  <si>
    <t>To Shallow [handwritten data]</t>
  </si>
  <si>
    <t>Has a few references to gerbils + visual cliff</t>
  </si>
  <si>
    <t>Color photograph of child on the visual cliff checkerboard</t>
  </si>
  <si>
    <t>On Making a Real Movie</t>
  </si>
  <si>
    <t>Miscellaneous Cirriculum Vitae</t>
  </si>
  <si>
    <t>Cost Estimate and Tenative Progress Outline</t>
  </si>
  <si>
    <t>Silin, Robert</t>
  </si>
  <si>
    <t>Human Cliff notes</t>
  </si>
  <si>
    <t>Differential Visual Depth Threshold of the Chick</t>
  </si>
  <si>
    <t>Pattern Data Chart: Chicks</t>
  </si>
  <si>
    <t>Paper presented at meetings of the Society for Research in Child Development, Boston, 1981.</t>
  </si>
  <si>
    <t>Table 1. Pattern Preferences of Newborn Chicks as a Function of Centerboard Height, Visual Depth and Level of Illumination</t>
  </si>
  <si>
    <t>Pattern Data Chart: Ducks</t>
  </si>
  <si>
    <t>The Development of Visually Guided Reaching in Monkeys Reared without Sight of the Hands</t>
  </si>
  <si>
    <t>1" checks, 1973 [handwritten data charts]</t>
  </si>
  <si>
    <t>Experiment registration forms</t>
  </si>
  <si>
    <t>Day - VPR to shallow</t>
  </si>
  <si>
    <t>Bisection and coaxing conditions</t>
  </si>
  <si>
    <t>Latency to M at Deep Side Called from Deep</t>
  </si>
  <si>
    <t>Dark for 28 days</t>
  </si>
  <si>
    <t>Pattern preference: Goats</t>
  </si>
  <si>
    <t>Significance levels</t>
  </si>
  <si>
    <t>Summary Chicks</t>
  </si>
  <si>
    <t>The primary focus of this proposal is on an investigation of the role of visual and visual-motor experience in the development of depth perception</t>
  </si>
  <si>
    <t>Subjects: The eleven kittens used in the study were from litters of 4, 3, 2 and 2.</t>
  </si>
  <si>
    <t>Let us suppose the deep side is 6 inches below the glass...</t>
  </si>
  <si>
    <t>Grouping of notes</t>
  </si>
  <si>
    <t>Pattern Data Chart: Chicks, 1 Day</t>
  </si>
  <si>
    <t>Pattern Data Chart: Chicks - about 36 hours old</t>
  </si>
  <si>
    <t>Early V.C. Studies</t>
  </si>
  <si>
    <t>Therapy</t>
  </si>
  <si>
    <t>Title: Visual cliff performance of human infants with the deep side 5 inches below the glass</t>
  </si>
  <si>
    <t>In a classical study of visually guided behavior...</t>
  </si>
  <si>
    <t>Results: Stat Summary</t>
  </si>
  <si>
    <t>Tested by age and condition #1 - 145</t>
  </si>
  <si>
    <t>Based on data for 1960-61-62</t>
  </si>
  <si>
    <t>Patch off - Patch on [data charts]</t>
  </si>
  <si>
    <t>Hooded rats raised over the shallow or deep sides of the visual cliff</t>
  </si>
  <si>
    <t>Pattern Data Chart: Crab, 2 medium size</t>
  </si>
  <si>
    <t>Babies to Mom Over D-side</t>
  </si>
  <si>
    <t>Visual placing infants [handwritten data chart]</t>
  </si>
  <si>
    <t>1. Title of Paper: The development of visual perception in the kitten</t>
  </si>
  <si>
    <t>Procedure</t>
  </si>
  <si>
    <t>Bateson - Hess vs Gottlieb</t>
  </si>
  <si>
    <t>Special characteristics of depth</t>
  </si>
  <si>
    <t>Behavior of 27 day old active, passive, and control cats on the visual cliff using side preference and latency to descend when called</t>
  </si>
  <si>
    <t>Procedure. Rearing.</t>
  </si>
  <si>
    <t>The Study of Visual Depth Perception</t>
  </si>
  <si>
    <t>Visual Motor Experience and Visual Depth Perception of Kittens of Two Different Ages</t>
  </si>
  <si>
    <t>Project #1</t>
  </si>
  <si>
    <t>28 day old kittens data charts</t>
  </si>
  <si>
    <t>Eyes Open [data charts]</t>
  </si>
  <si>
    <t>Year - Condition chart</t>
  </si>
  <si>
    <t>3/4 inch checks - shallow and deep</t>
  </si>
  <si>
    <t>Pattern Data Chart: Ducks, 2 days</t>
  </si>
  <si>
    <t>SD - Data</t>
  </si>
  <si>
    <t>Percent Shallow Responses chart</t>
  </si>
  <si>
    <t>Transformed Time Data - Real and Fitted</t>
  </si>
  <si>
    <t>Days to Criterion chart</t>
  </si>
  <si>
    <t>Self-produced movement is unnecessary for the development of visually-guided depth discrimination</t>
  </si>
  <si>
    <t>Lighting low on both sides, no pattern on shallow</t>
  </si>
  <si>
    <t>Handwritten Visual Placing Data Chart</t>
  </si>
  <si>
    <t>Visual Placing Noted in Active</t>
  </si>
  <si>
    <t>In their clinical study of visually guided behavior with kittens...</t>
  </si>
  <si>
    <t>Born Feb 16. 6 3/4 mo.</t>
  </si>
  <si>
    <t>Drug administration</t>
  </si>
  <si>
    <t>Mother - Baby [data chart]</t>
  </si>
  <si>
    <t>Cat - developmental [data charts]</t>
  </si>
  <si>
    <t>Handwritten graphs and data charts</t>
  </si>
  <si>
    <t>Table 1: Behavior of human infants in response to a visual cliff</t>
  </si>
  <si>
    <t>Handwritten statistics data chart</t>
  </si>
  <si>
    <t>Smith 1966</t>
  </si>
  <si>
    <t>The present research...</t>
  </si>
  <si>
    <t>Data sheets</t>
  </si>
  <si>
    <t>Table 2 - Center Board Studies: Mother Opposite Infant, Center Board Bisects Shallow and Deep sides</t>
  </si>
  <si>
    <t>Passive [data charts]</t>
  </si>
  <si>
    <t>Cochran Test Scores</t>
  </si>
  <si>
    <t>Age - Cross - No Cross data chart</t>
  </si>
  <si>
    <t>Late Trials</t>
  </si>
  <si>
    <t>Information card</t>
  </si>
  <si>
    <t>Material sent to participants and explanation of abbreviations used on registration cards</t>
  </si>
  <si>
    <t>EXPERIMENT IN THE DEPTH PERCEPTION OF CRAWLING INFANTS</t>
  </si>
  <si>
    <t>Crying Behavior</t>
  </si>
  <si>
    <t>Space Perception: Background Notes</t>
  </si>
  <si>
    <t>One method of experimental modification...</t>
  </si>
  <si>
    <t>Bibliography and visual depth charts</t>
  </si>
  <si>
    <t>The visual placing response is commonly used with animals...</t>
  </si>
  <si>
    <t>Visual Depth Preferences of the Domestic Duckling</t>
  </si>
  <si>
    <t>Kittens: Age 66 days</t>
  </si>
  <si>
    <t>The Depth Perception of Human Infants</t>
  </si>
  <si>
    <t>9 mos</t>
  </si>
  <si>
    <t>Rat: Bisection Condition - Crossing Condition [data chart]</t>
  </si>
  <si>
    <t>Title of Paper: The development of visual perception in the kitten</t>
  </si>
  <si>
    <t>Behavior of Human Infants on the Visual Cliff as a Function of Distance of Surface, Type of Texture, Age of Infant and Experimental Procedure</t>
  </si>
  <si>
    <t>Summary Tables</t>
  </si>
  <si>
    <t>Questions ab. Dev. inventory</t>
  </si>
  <si>
    <t>At 27 days the active animals were significantly better than the passive animals on the initial test</t>
  </si>
  <si>
    <t>NATIONAL SCIENCE FOUNDATION</t>
  </si>
  <si>
    <t>Something confidential to talk about</t>
  </si>
  <si>
    <t>Development Inventory</t>
  </si>
  <si>
    <t>Visual deprivation</t>
  </si>
  <si>
    <t>For Title page</t>
  </si>
  <si>
    <t>Letter from Melville J. Herskovits to Professor Muzafer Sherif, March 21, 1956</t>
  </si>
  <si>
    <t>Smith 1937</t>
  </si>
  <si>
    <t>Altricial</t>
  </si>
  <si>
    <t>Letter from Robert E. L. Faris to Dr. Muzafer Sherif, August 31, 1954</t>
  </si>
  <si>
    <t>Handwritten notes [position of arms]</t>
  </si>
  <si>
    <t>Purchase order form</t>
  </si>
  <si>
    <t>Handwritten depth charts</t>
  </si>
  <si>
    <t>EXPERIMENTAL STUDY OF POSITIVE AND NEGATIVE INTERGROUP ATTITUDES BETWEEN EXPERIMENTALLY PRODUCED GROUPS</t>
  </si>
  <si>
    <t>[Draft] Chapter 6: Intergroup Relations: Assessment of In-Group Functioning and Negative Attitudes Toward the Out-Group</t>
  </si>
  <si>
    <t>List of places where complementary copies of Robbers Cave Experiment were sent</t>
  </si>
  <si>
    <t>Handwritten letter to Washington, D.C. [draft]</t>
  </si>
  <si>
    <t>Handwritten notes and data</t>
  </si>
  <si>
    <t>Intergroup Research Outline. First Outline 1951</t>
  </si>
  <si>
    <t>Stage 1</t>
  </si>
  <si>
    <t>Stage 2</t>
  </si>
  <si>
    <t>Invoice form from University of Oregon Co-operative Store</t>
  </si>
  <si>
    <t>Book order request form from Richard Abel, Dept of Sociology, University of Oklahoma</t>
  </si>
  <si>
    <t>Superordinate Goals in the Reduction of Intergroup Conflict: An Experimental Evaluation</t>
  </si>
  <si>
    <t>Eagles to Rattlers</t>
  </si>
  <si>
    <t>[Draft] Chapter 2: Approach, Hypotheses and General Design of the Study</t>
  </si>
  <si>
    <t>Pattern under glass notes</t>
  </si>
  <si>
    <t>Lab Lore and the Visual Cliff</t>
  </si>
  <si>
    <t>[untitled section from unknown chapter] In regards to an experimental unit completed by O. J. Harvey</t>
  </si>
  <si>
    <t>Letter from Muzafer Sherif to Mr. Leon Svirsky, June 28, 1956</t>
  </si>
  <si>
    <t>Handwritten observation notes</t>
  </si>
  <si>
    <t>FURTHER EXPERIMENTS ON PROLONGED EXPOSURE TO VISUAL FORMS: THE EFFECT OF SINGLE STIMULI AND PRIOR REINFORCEMENT</t>
  </si>
  <si>
    <t>Richard D. Walk speech [draft]</t>
  </si>
  <si>
    <t>RESEARCH PROPOSAL TO NATIONAL SCIENCE FOUNDATION</t>
  </si>
  <si>
    <t>Letter from John H. Rohrer to Dr. Muzafer Sherif, October 18, 1954</t>
  </si>
  <si>
    <t>Handwritten memo</t>
  </si>
  <si>
    <t>PERMISSION TO REPRINT COPYRIGHTED MATERIAL</t>
  </si>
  <si>
    <t>Curriculum Vitae - Jacqueline M. F. Samuel</t>
  </si>
  <si>
    <t>Behavioral Science and Human Survival</t>
  </si>
  <si>
    <t>Chi - Squares. End Stages II &amp; III</t>
  </si>
  <si>
    <t>Conference Research - University of Michigan</t>
  </si>
  <si>
    <t>End of Stage 2. Stereotype Ratings of In-Group and Out-Group Members on Six Characteristics (Combined)</t>
  </si>
  <si>
    <t>[Work-Final Draft] Chapter 5: The Experiments</t>
  </si>
  <si>
    <t>[Work Copy] Experiments on Harmony and Conflict Between Groups Muzafer Sherif</t>
  </si>
  <si>
    <t>Handwritten depth chart - West-East</t>
  </si>
  <si>
    <t>A STUDY OF VISUAL DEPTH PERCEPTION IN THE HUMAN INFANT WITH A VISUAL CLIFF</t>
  </si>
  <si>
    <t>Letter from Muzafer Sherif to Dr. John Rohrer, November 5, 1954</t>
  </si>
  <si>
    <t>Sociometric questionnaires, end of Stage 1, 1953</t>
  </si>
  <si>
    <t>However, the correlation of the latencies of the pairs was +.73, meaning that the paired animals tended to descend at about the same time</t>
  </si>
  <si>
    <t>EXPERIMENTS IN GROUP CONFLICT</t>
  </si>
  <si>
    <t>Letter from Leon Svirsky to Dr. Muzafer Sherif, June 14, 1956</t>
  </si>
  <si>
    <t>Letter from Alfred McClung Lee to Professor Sherif, September 8, 1955</t>
  </si>
  <si>
    <t>The experiment shows us the dynamic sequence that ends up in this vicious circle...</t>
  </si>
  <si>
    <t>Ducklings</t>
  </si>
  <si>
    <t>Visual placing essay</t>
  </si>
  <si>
    <t>Spread of Dwellings</t>
  </si>
  <si>
    <t>Letter from O.J. Harvey to Dr. Sherif, September 28, 1954</t>
  </si>
  <si>
    <t>Allport, Boring, Lashley and Harvard</t>
  </si>
  <si>
    <t>Rattlers - Eagles</t>
  </si>
  <si>
    <t>Behavioral Effects of Limited Early Visual Experience in the Rat</t>
  </si>
  <si>
    <t>The Effect of Prolonged Exposure to Visual Patterns on Learning to Discriminate Similar and Different Patterns</t>
  </si>
  <si>
    <t>Stage 3, Hypothesis 1</t>
  </si>
  <si>
    <t>Purchas order form from University Book Center, Oakland University</t>
  </si>
  <si>
    <t>Group: Eagle, July 3, 1959</t>
  </si>
  <si>
    <t>Eleanor J. Gibson 1970 Recipient of the G. Stanley Hall Award</t>
  </si>
  <si>
    <t>Depth Perception: Visual Cliff Studies bibliography</t>
  </si>
  <si>
    <t>Rauschecker and Marler</t>
  </si>
  <si>
    <t>Copy of camp menu, 1954</t>
  </si>
  <si>
    <t>Letter from Ralph H. Turner to Professor Muzafer Sherif, September 21, 1954</t>
  </si>
  <si>
    <t>Intergroup Conflict and Cooperation: The Robbers Cave Experiment [Reviews]</t>
  </si>
  <si>
    <t>Intergroup Conflict and Cooperation - The Robbers Cave Experiment [Cover Page and Table of Contents]</t>
  </si>
  <si>
    <t>Title Page and Table of Contents of Intergroup Conflict and Cooperation: The Robbers Cave Experiment</t>
  </si>
  <si>
    <t>CAN IMAGES BE DELIBERATELY CHANGED?</t>
  </si>
  <si>
    <t>Assessment of Effects of a Series of Superordinate Goals through Stereotype Ratings</t>
  </si>
  <si>
    <t>Letter from John Volkman to Dr. Muzafer Sherif, September 10, 1954</t>
  </si>
  <si>
    <t>Editorial Report: FRIENDSHIP AND FRICTION BETWEEN GROUPS</t>
  </si>
  <si>
    <t>Handwritten Summary [depth charts]</t>
  </si>
  <si>
    <t>Letter from Marvin B. Sussman to Professor Muzafer Sherif, September 30, 1954</t>
  </si>
  <si>
    <t>THE EFFECT OF ENHANCEMENT AND DEPRIVATION OF VISUAL STIMULATION ON THE DISCRIMINATION OF VISUAL FORMS IN THE RAT</t>
  </si>
  <si>
    <t>VISUAL PLACING BY HUMAN INFANTS</t>
  </si>
  <si>
    <t>RATTLERS</t>
  </si>
  <si>
    <t>La_perception de l'image : Une integration empirique</t>
  </si>
  <si>
    <t>Duckling - Topic: Depth</t>
  </si>
  <si>
    <t>Problem: A Pekin duck is an aquatic animal and it is also a bird</t>
  </si>
  <si>
    <t>The Depth Perception of the Duckling</t>
  </si>
  <si>
    <t>Table I: Discrimination of Depth by Duckling</t>
  </si>
  <si>
    <t>Group Conflict: Its Course and Possible Cure</t>
  </si>
  <si>
    <t>Handwritten draft of a daily menu</t>
  </si>
  <si>
    <t>Campsite photograph</t>
  </si>
  <si>
    <t>OBSERVATIONS MADE DURING THE ADMINSTRATION OF THE "YOUTH SURVEY"</t>
  </si>
  <si>
    <t>[Stage 2] Table - Friendship Choices of In-group and Out-group members by Rattlers and Eagles. End of Stage 2</t>
  </si>
  <si>
    <t>General Layout of the Campsite and Respective Areas of the Two Groups</t>
  </si>
  <si>
    <t>Note about the photographer for the Panthers and Pythons groups</t>
  </si>
  <si>
    <t>Handwritten draft of camp menu schedule</t>
  </si>
  <si>
    <t>TOURNAMENT OF CONTESTS</t>
  </si>
  <si>
    <t>Letter sent to parents of children selected to participate in the Robbers Cave Experiment</t>
  </si>
  <si>
    <t>Appendix - Experimental Packet</t>
  </si>
  <si>
    <t>Subject Selection</t>
  </si>
  <si>
    <t>[Handwritten Draft] Preface</t>
  </si>
  <si>
    <t>"How early in life are children susceptible to the effects of contagion?"</t>
  </si>
  <si>
    <t>SR</t>
  </si>
  <si>
    <t>Research assistant applicant</t>
  </si>
  <si>
    <t>INTERGROUP CONFLICT AND COOPERATION THE ROBBERS CAVE EXPERIMENT</t>
  </si>
  <si>
    <t>Subject Selection, Original Draft with Revisions</t>
  </si>
  <si>
    <t>Miscellaneous postcards</t>
  </si>
  <si>
    <t>Intergroup Relations Study Summer, 1954</t>
  </si>
  <si>
    <t>Behavioral Events of Stage 2</t>
  </si>
  <si>
    <t>Intergroup Relations Project Schedule, Summer 1954</t>
  </si>
  <si>
    <t>Notes re: Publishing History</t>
  </si>
  <si>
    <t>Athletic Field, June 16</t>
  </si>
  <si>
    <t>PREFACE</t>
  </si>
  <si>
    <t>[Draft] CHAPTER II</t>
  </si>
  <si>
    <t>Experimental Study of Positive and Negative Intergroup Attitudes Between Experimentally Produced Groups</t>
  </si>
  <si>
    <t>Outline Intergroup Relations Study Summer, 1954</t>
  </si>
  <si>
    <t>Events to Finish Tournament, Stage II</t>
  </si>
  <si>
    <t>Rattlers - End of Stage 2</t>
  </si>
  <si>
    <t>Staff meeting: Night of July 30 (SII, D4)</t>
  </si>
  <si>
    <t>[Draft] Chapter 1: Integrating Field Work and Laboratory in Small Group Research</t>
  </si>
  <si>
    <t>Activities for June 30 and July 1</t>
  </si>
  <si>
    <t>[Draft] Chapter 8</t>
  </si>
  <si>
    <t>[Reprint] Waging experimental war: a review</t>
  </si>
  <si>
    <t>Journal of Conflict Resolution</t>
  </si>
  <si>
    <t>INTER GROUP CONFLICT &amp; COOPERATION</t>
  </si>
  <si>
    <t>General Orientation and Coordination of Research Plans for Participating Staff Members, June 17</t>
  </si>
  <si>
    <t>Outline Intergroup Relations Study Summer, 1954 - Final Copy with Revisions</t>
  </si>
  <si>
    <t>July 10, 1953 memo notes</t>
  </si>
  <si>
    <t>Timeline of Robbers Cave Experiment</t>
  </si>
  <si>
    <t>Procedural Points</t>
  </si>
  <si>
    <t>Aug 1 - Stage 3, Day 1</t>
  </si>
  <si>
    <t>13. Groups today are not closed systems</t>
  </si>
  <si>
    <t>WORKING &amp; HOUSING ARRANGEMENTS FOR STAFF OF CAMP TALUALACX JULY 18- AUGUST 15</t>
  </si>
  <si>
    <t>Letter from Anonymous Camper, July 31, 1953</t>
  </si>
  <si>
    <t>Handwritten Notes re: Search for Experimental Campsite</t>
  </si>
  <si>
    <t>Intergroup Conflict and Cooperation Press Release</t>
  </si>
  <si>
    <t>General Orientation and Coordination of Research Plans for Participating Staff Members</t>
  </si>
  <si>
    <t>Hypotheses Used in the Design of Intergroup Experiments with handwritten notes</t>
  </si>
  <si>
    <t>Intergroup Conflict and Cooperation: Their Social Psychology</t>
  </si>
  <si>
    <t>EXAMINING CONFLICT AND COOPERATION THROUGH THE ROBBERS CAVE EXPERIMENT</t>
  </si>
  <si>
    <t>Instructions for Observers</t>
  </si>
  <si>
    <t>[Draft] Chapter VI: Intergroup Relations: Reducing Friction</t>
  </si>
  <si>
    <t>Hypotheses Used in the Design of Intergroup Experiments</t>
  </si>
  <si>
    <t>Tom Hale Rattlers, miscellaneous Robbers Cave artwork</t>
  </si>
  <si>
    <t>Letter from Kenneth L. Dion to Prof. Muzafer Sherif, nd</t>
  </si>
  <si>
    <t>Illustration 14-1. Group identity is established through cooperative activities</t>
  </si>
  <si>
    <t>General layout of the campsite and respective areas of the two groups [Figure 18-1]</t>
  </si>
  <si>
    <t>ROBBERS CAVE STATE PARK</t>
  </si>
  <si>
    <t>Telegrams to Marvin Sussman and Harold Kelley from Muzafer Sherif, May 26, 1953</t>
  </si>
  <si>
    <t>Sacandaga Reservoir, Northville, NY</t>
  </si>
  <si>
    <t>Notes to Photographer on Preparing Slides of Beans</t>
  </si>
  <si>
    <t>Reaction to sermon by Sussman on Stage II, day II, July 26</t>
  </si>
  <si>
    <t>Handwritten Intergroup notes 1965</t>
  </si>
  <si>
    <t>Coordination of Plans and Division of Labor, July 4, 1953</t>
  </si>
  <si>
    <t>Description of Boy Scout Camp, Woodstock Valley, NY</t>
  </si>
  <si>
    <t>Preliminary Plan for Operation Integration</t>
  </si>
  <si>
    <t>Handwritten notes about the Pythons and Panthers teams</t>
  </si>
  <si>
    <t>Handwritten memo, July 23, 1953</t>
  </si>
  <si>
    <t>Bean toss experimental unit</t>
  </si>
  <si>
    <t>This is the outline of the inter-groups experiment</t>
  </si>
  <si>
    <t>Intergroup Relations Study Summer, 1953 - 54</t>
  </si>
  <si>
    <t>Instructions for Participant Observers, July 13, 1954</t>
  </si>
  <si>
    <t>Classified Ad for Summer Camp Resort and Park</t>
  </si>
  <si>
    <t>Stereotypes</t>
  </si>
  <si>
    <t>The close interest of President George L. Cross in social science...</t>
  </si>
  <si>
    <t>[Draft] Chapter 8: Summary and Conclusions</t>
  </si>
  <si>
    <t>Robbers Cave Camper Selection Letter, Draft with Revisions</t>
  </si>
  <si>
    <t>Table 3 presents the ratings of out-group members by each group at the end of Stage 2 (friction stage)</t>
  </si>
  <si>
    <t>Reluctant hypotheses</t>
  </si>
  <si>
    <t>Matters Relating to Summer Camp</t>
  </si>
  <si>
    <t>Events of the closing days of Stage 3</t>
  </si>
  <si>
    <t>Instructions and Remarks Introducing Third Superordinate Goal July 5, 1954</t>
  </si>
  <si>
    <t>Overall day 1, Stage 1, Day 1</t>
  </si>
  <si>
    <t>Outline Intergroup Relations Study Summer, 1954 - Work Copy</t>
  </si>
  <si>
    <t>Stage notes and hand drawn map of camp</t>
  </si>
  <si>
    <t>Policy</t>
  </si>
  <si>
    <t>[page 2 - rough draft]</t>
  </si>
  <si>
    <t>Methodology in Social Research</t>
  </si>
  <si>
    <t>Estimated days</t>
  </si>
  <si>
    <t>July 30, 1953, Frustration Items</t>
  </si>
  <si>
    <t>Handwritten Notes Related to Robbers Cave Experiment</t>
  </si>
  <si>
    <t>Handwritten Notes re: Robbers Cave Experiment</t>
  </si>
  <si>
    <t>Handwritten Agenda for Discussion Meetings in New Haven, July 17, 1953</t>
  </si>
  <si>
    <t>Hand drawn graph of Stage III</t>
  </si>
  <si>
    <t>OKLAHOMA GEOLOGICAL SURVEY</t>
  </si>
  <si>
    <t>Russell, Dearl T</t>
  </si>
  <si>
    <t>Postcard of Administration Building, United Spanish War Veterans, Colonization Project, Wilburton, Okla</t>
  </si>
  <si>
    <t>Notes to Administrators of Sociometric Questionnaires</t>
  </si>
  <si>
    <t>General Orientation and Coordination of Research Plans for Participating Staff Members, Draft with Revisions</t>
  </si>
  <si>
    <t>General Outline of Activities, July 3</t>
  </si>
  <si>
    <t>June 28, 1954, 1. Baseball - Rattlers won 2. Tug of War</t>
  </si>
  <si>
    <t>Word on Implications</t>
  </si>
  <si>
    <t>List of leading sociologists and psychologists how have contributed evaluations</t>
  </si>
  <si>
    <t>Hand drawn chart</t>
  </si>
  <si>
    <t>List of leading sociologists and psychologists who provided evaluations</t>
  </si>
  <si>
    <t>Instructions for Ratings on Behavioral Items</t>
  </si>
  <si>
    <t>Camp Singing</t>
  </si>
  <si>
    <t>Wagner, Dick</t>
  </si>
  <si>
    <t>Winstead Camp - Arrangements</t>
  </si>
  <si>
    <t>What's Conservation to You?</t>
  </si>
  <si>
    <t>Schmidt, Rudy</t>
  </si>
  <si>
    <t>Counselors Report to Parents</t>
  </si>
  <si>
    <t>Experimental Design; role of Mr. Mussey.</t>
  </si>
  <si>
    <t>Camp Tulualac Camp Information Bulletin</t>
  </si>
  <si>
    <t>Activities Section, National Camping School, Course Outline for Instructors</t>
  </si>
  <si>
    <t>Attitude formation and change</t>
  </si>
  <si>
    <t>Camp Talualac, Medical Supplies Required</t>
  </si>
  <si>
    <t>Discussion Notes re: Camp Winstead</t>
  </si>
  <si>
    <t>Suggestions for Staff Behavior</t>
  </si>
  <si>
    <t>National Camping School - 1947</t>
  </si>
  <si>
    <t>Camp Winstead Preparations, Typed Notes</t>
  </si>
  <si>
    <t>Camp Talualac Criteria of Subject Selection</t>
  </si>
  <si>
    <t>GENERAL OPERATING INFORMATION</t>
  </si>
  <si>
    <t>Cabin Duties Chart</t>
  </si>
  <si>
    <t>Junior Counselor's Job Description</t>
  </si>
  <si>
    <t>Winstead Camp - Program Possibilities</t>
  </si>
  <si>
    <t>Oklahoma City Y.M.C.A., Camp Classen, Game of Battleship</t>
  </si>
  <si>
    <t>Workshop in Human Behavior</t>
  </si>
  <si>
    <t>Camp Bennett in South Glastonbury</t>
  </si>
  <si>
    <t>Camp Information Bulletin</t>
  </si>
  <si>
    <t>The great weight of being an in-group member or out-group member</t>
  </si>
  <si>
    <t>Camp Winstead Preparations</t>
  </si>
  <si>
    <t>Camp Clearview</t>
  </si>
  <si>
    <t>Camp Staff Manual for Camping with Children</t>
  </si>
  <si>
    <t>PRELIMINARY INSTRUCTIONS FOR OBSERVERS (to be revised if necessary)</t>
  </si>
  <si>
    <t>Stage 1, Day 2, Friday July 24</t>
  </si>
  <si>
    <t>Schedule of Activities - Experimental Camp</t>
  </si>
  <si>
    <t>Suggested Program</t>
  </si>
  <si>
    <t>Summer Camps for Children</t>
  </si>
  <si>
    <t>Results of Bean Toss</t>
  </si>
  <si>
    <t>Stage 3, August 2, 1953, day 2</t>
  </si>
  <si>
    <t>Handwritten travel schedule and experiment notes</t>
  </si>
  <si>
    <t>Notes for Programming</t>
  </si>
  <si>
    <t>Corrections for Write-up of Connecticut Group Study</t>
  </si>
  <si>
    <t>Saturday - September 5, Symposium</t>
  </si>
  <si>
    <t>Camp Na-Wa-Kwa</t>
  </si>
  <si>
    <t>Preparing for Stage III</t>
  </si>
  <si>
    <t>Handwritten Schedule</t>
  </si>
  <si>
    <t>Sample Selection</t>
  </si>
  <si>
    <t>Agenda for Informal Meetings, July 17, 1953</t>
  </si>
  <si>
    <t>CAMPING WITH CHILDREN or LIVING AND LEARNING DEMOCRATIC HUMAN RELATIONS TOGETHER</t>
  </si>
  <si>
    <t>Hruschka, Ray</t>
  </si>
  <si>
    <t>Intergroup Relations Study Summer, 1953</t>
  </si>
  <si>
    <t>Interesting notes to CAMP MOOWEEN PARENTS</t>
  </si>
  <si>
    <t>August 6, day 6, Stage 3 Contest Craft</t>
  </si>
  <si>
    <t>Experimental Study of Factors Conducive to Positive and Negative Relations between Social Groups</t>
  </si>
  <si>
    <t>Modus operandi for treasure hunt, July 26, 1953</t>
  </si>
  <si>
    <t>Letter from G. L. Cross to Flora M. Rhind, June 3, 1953</t>
  </si>
  <si>
    <t>Agenda for Thursday Afternoon, July 30</t>
  </si>
  <si>
    <t>Stage 2, Day 2, July 26, 1953</t>
  </si>
  <si>
    <t>Program, August 1, 1953</t>
  </si>
  <si>
    <t>Camp Talualac Application Form</t>
  </si>
  <si>
    <t>Working &amp; Housing Arrangements for Staff of Camp Talualac July 18 - August 15</t>
  </si>
  <si>
    <t>Panthers vs Pythons drawings from 1949 Camp Study</t>
  </si>
  <si>
    <t>Camp Study drawings including campsite map</t>
  </si>
  <si>
    <t>P.L.F.</t>
  </si>
  <si>
    <t>Memo on Observers' Reports, Daily Planning of Activities, Communication of Plans</t>
  </si>
  <si>
    <t>Meeting: July 17, 1953 (Friday)</t>
  </si>
  <si>
    <t>Song Written Down by Anonymous Camper on Behalf of Mr. Mussee, August 2, 1953</t>
  </si>
  <si>
    <t>General Orientation and Coordination of Research Plans For Participating Staff Members</t>
  </si>
  <si>
    <t>Personality Indices - Behavior in Group Relations</t>
  </si>
  <si>
    <t>Letter from Cecil A. Gibb to Professor Muzafer Sherif, September 16, 1954</t>
  </si>
  <si>
    <t>U Thant, 1964. The League of Nations and the United Nations</t>
  </si>
  <si>
    <t>Stereotype Unit</t>
  </si>
  <si>
    <t>Factors That Have To Be Considered in Evaluating and Discussing Results</t>
  </si>
  <si>
    <t>Handwritten notes Stage II</t>
  </si>
  <si>
    <t>Program for East Group Stage 2, Day 4, July 28, 1953</t>
  </si>
  <si>
    <t>MEMO RE RATINGS ON BEHAVIORAL ITEMS</t>
  </si>
  <si>
    <t>Photographs of campsite, aerials</t>
  </si>
  <si>
    <t>Handwritten Notes re: Potential Campsites</t>
  </si>
  <si>
    <t>Tentative Suggestion of Muzafer for Informal Meetings, July 17, 1953</t>
  </si>
  <si>
    <t>Handwritten Criteria for Robbers Cave Experiment Subjects</t>
  </si>
  <si>
    <t>Handwritten Notes re: Robbers Cave Experiment Planning</t>
  </si>
  <si>
    <t>Experimental units</t>
  </si>
  <si>
    <t>Slides - Intergroup Relations Study</t>
  </si>
  <si>
    <t>Active Games and Games with Music</t>
  </si>
  <si>
    <t>Programs, August 4, 1953, Stage 3, day 4</t>
  </si>
  <si>
    <t>Workng and Housing Arrangements for Staff of Camp Talualac July 18-August 15</t>
  </si>
  <si>
    <t>FRESH AIR FUND CAMPS</t>
  </si>
  <si>
    <t>YMCA Camp Classen</t>
  </si>
  <si>
    <t>Camp Winstead Preparations, Handwritten Notes</t>
  </si>
  <si>
    <t>Oklahoma City Y.M.C.A. Camp Classen Objective Sheet</t>
  </si>
  <si>
    <t>Winstead Camp Sketch - Impression, Not to Scale</t>
  </si>
  <si>
    <t>Collated Results of 1947 Counselor and Director Questionnaire</t>
  </si>
  <si>
    <t>Lewis, Frederick H</t>
  </si>
  <si>
    <t>Camp Pequot</t>
  </si>
  <si>
    <t>Oklahoma City Y.M.C.A., Camp Classen, Camp Counselor's Rating Scale</t>
  </si>
  <si>
    <t>Camping and Campcraft</t>
  </si>
  <si>
    <t>Koch, Bill</t>
  </si>
  <si>
    <t>Letter from Floyd S. Kenyon to Carl I. Hovland, June 4, 1949</t>
  </si>
  <si>
    <t>Attitude Formation and Change as a Consequence of Experimentally</t>
  </si>
  <si>
    <t>ANNUAL REPORT SEVENTY - SEVENTH YEAR</t>
  </si>
  <si>
    <t>Stage 3, Day 1, August 1, 1953</t>
  </si>
  <si>
    <t>Frankly Speaking</t>
  </si>
  <si>
    <t>Camp Classen Counselor Orientation Summer 1953 June 4, 5, 6, and 7</t>
  </si>
  <si>
    <t>Composite Table of Total Choices of Friends</t>
  </si>
  <si>
    <t>Human Relations in Camping</t>
  </si>
  <si>
    <t>General Plans for Stage #3</t>
  </si>
  <si>
    <t>Camp Classen, Camper's Activity Record</t>
  </si>
  <si>
    <t>A Friendly Note - to some of the friendliest people in the world</t>
  </si>
  <si>
    <t>Camp Winstead Plans</t>
  </si>
  <si>
    <t>Annotated Reading List Compiled by Muzafer Sherif</t>
  </si>
  <si>
    <t>Henry Holt &amp; Co.</t>
  </si>
  <si>
    <t>Camping Course, Activities Section</t>
  </si>
  <si>
    <t>Handwritten Notes re: Robbers Cave Experiment Design</t>
  </si>
  <si>
    <t>J. J. Enright Camping Equipment Catalog</t>
  </si>
  <si>
    <t>Group products - Sanctions</t>
  </si>
  <si>
    <t>Draft of Conflict and Cooperation Between Functionally Related Groups</t>
  </si>
  <si>
    <t>A Preliminary Experimental Study of Inter-group Relations</t>
  </si>
  <si>
    <t>Camp Menus</t>
  </si>
  <si>
    <t>Criteria to Be Observed in the Choice of All Activities in Each Stage of the Camp Study, Handwritten Copy</t>
  </si>
  <si>
    <t>Wednesday, August 10th Menu</t>
  </si>
  <si>
    <t>Experiments on Group Conflict and Cooperation, Copy Omitting Deletions from Draft</t>
  </si>
  <si>
    <t>After we can deduce certain minimum features from them</t>
  </si>
  <si>
    <t>Discontinuity Theory: Cognitive &amp; Social Searches for Rationality &amp; Normality - May Lead to Madness</t>
  </si>
  <si>
    <t>Draft of Preface to "In Common Predicament," with Corrections</t>
  </si>
  <si>
    <t>Experiments on Group Conflict and Cooperation, Draft with Revisions</t>
  </si>
  <si>
    <t>Irrespective of their way of life</t>
  </si>
  <si>
    <t>Re: Criteria to Be Observed in the Choice of All Activities in Each Stage of the Camp Study</t>
  </si>
  <si>
    <t>Experiments on Group Conflict and Cooperation</t>
  </si>
  <si>
    <t>Follow-Up Proposal: An Analysis of the Power Structure In the California Correctional Authority and Within Several Selected Prisons In That System</t>
  </si>
  <si>
    <t>A Situational Perspective On the Psychology of Evil: Understanding How Good People Are Transformed Into Perpetrators (Manuscript, Undated)</t>
  </si>
  <si>
    <t>An Experimental Analysis of the Variations In Efficiency Following the Noon Meal: A Thesis Submitted to the Graduate School In Partial Fulfillment of the Requirements for the Degree Master of Arts</t>
  </si>
  <si>
    <t>Research Notes: Groups and Attitudes, First Draft, Work Copy</t>
  </si>
  <si>
    <t>Writing and Presentations From Computer Disk, Undated</t>
  </si>
  <si>
    <t>Group Integration and Group Conflict</t>
  </si>
  <si>
    <t>Research Materials From Computer Disk, Undated</t>
  </si>
  <si>
    <t>Conflict and Cooperation between Functionally Related Groups, Presented May 3, 1965</t>
  </si>
  <si>
    <t>Robbers Cave Experiment Schedule</t>
  </si>
  <si>
    <t>Stanford Prison Experiment Daily Action Notebook</t>
  </si>
  <si>
    <t>Monday, July 27, 1953, Stage 2, Day 3 (Whole Day 5) Plan</t>
  </si>
  <si>
    <t>Galley Proofs 1-11</t>
  </si>
  <si>
    <t>Contents and Preface to "In Common Predicament"</t>
  </si>
  <si>
    <t>NBC Interviews With Carlo Prescott</t>
  </si>
  <si>
    <t>Philip Zimbardo Papers</t>
  </si>
  <si>
    <t>Conflict and Cooperation Between Functionally Related Groups</t>
  </si>
  <si>
    <t>Stanford Prison Expirement: Data Analysis, Mood Adjective Checklist, Comrey Personality Inventory</t>
  </si>
  <si>
    <t>Handwritten Book Outline</t>
  </si>
  <si>
    <t>Contents and Editor's Foreward to "In Common Predicament"</t>
  </si>
  <si>
    <t>Table of Contents and Name Index from "In Common Predicament"</t>
  </si>
  <si>
    <t>Stanford Prison Experiment: Prisoner Letters and Interviews, Part 2</t>
  </si>
  <si>
    <t>The experiments were designed to test a theory of conflict between groups and its reduction</t>
  </si>
  <si>
    <t>Ironically, man's understanding of his most intimate and vital problems</t>
  </si>
  <si>
    <t>Daily Camp Schedules</t>
  </si>
  <si>
    <t>Summary of Stanford Prison Expirement, Day 1</t>
  </si>
  <si>
    <t>Review of "In Common Predicament" from the American Sociological Review, April 1967</t>
  </si>
  <si>
    <t>Handwritten Camp Winstead Notes</t>
  </si>
  <si>
    <t>Suggestions for write-up of Conn. group study - C. Hovland</t>
  </si>
  <si>
    <t>GAMES and PUZZLES to MAKE and PLAY</t>
  </si>
  <si>
    <t>Hruschka, Howard; Hruschka, Eudora</t>
  </si>
  <si>
    <t>Report on Community Building in Trumbull Park Homes, Chicago, IL, May 1, 1956</t>
  </si>
  <si>
    <t>Backus, August C E</t>
  </si>
  <si>
    <t>Review of "In Common Predicament: Social Psychology of Intergroup Conflict and Cooperation" from the American Journal of Psychiatry</t>
  </si>
  <si>
    <t>Camp . . . . Washington</t>
  </si>
  <si>
    <t>Kenyon, Floyd S</t>
  </si>
  <si>
    <t>Herald Tribune Fresh Air Fund 1948 Counselor and Director Questionnaire</t>
  </si>
  <si>
    <t>Instructor's Guide</t>
  </si>
  <si>
    <t>IN COMMON PREDICAMENT</t>
  </si>
  <si>
    <t>Campers Activity Interest Sheet</t>
  </si>
  <si>
    <t>Letter to Parents and Staff Manual from YMCA Camp Classen</t>
  </si>
  <si>
    <t>Harry K. Thaw, 1871-</t>
  </si>
  <si>
    <t>Dorrance</t>
  </si>
  <si>
    <t>Stanford Prison Experiment Simulation Exercise Using STELLA Software Program</t>
  </si>
  <si>
    <t>Controlling Behaviour</t>
  </si>
  <si>
    <t>Experiments on Conflict and Harmony Between Groups</t>
  </si>
  <si>
    <t>Preface</t>
  </si>
  <si>
    <t>Camp Happy Valley-8/15/49--9/2/49... General Log of Daily Programs</t>
  </si>
  <si>
    <t>Hacker, Byron T</t>
  </si>
  <si>
    <t>Figures - Chapter 7</t>
  </si>
  <si>
    <t>Program Stage I, First Day, Thursday, July 23</t>
  </si>
  <si>
    <t>Winstead Camp - Physical Plant</t>
  </si>
  <si>
    <t>Suggested Activities and Program Ideas For a Troop in Camp Under the Direction of the Troop Leadership</t>
  </si>
  <si>
    <t>3 Groups or 4 Groups</t>
  </si>
  <si>
    <t>Camp Washington</t>
  </si>
  <si>
    <t>Proposal for Research to the Human Resources Research Institute United States Air Force</t>
  </si>
  <si>
    <t>Miscellaneous artwork, camp study 1949</t>
  </si>
  <si>
    <t>Twenty-fifth Anniversary Dance of Camp Sokol 1921-1946</t>
  </si>
  <si>
    <t>Mr. Musee, the Caretaker</t>
  </si>
  <si>
    <t>Sage Hill Camp Inc.</t>
  </si>
  <si>
    <t>Camp Mooween</t>
  </si>
  <si>
    <t>Plan for Saturday, July 25 -- Stage II, Day 1 (Whole day 3)</t>
  </si>
  <si>
    <t>Typewritten Article re: Camp Henry</t>
  </si>
  <si>
    <t>SCHEDULE</t>
  </si>
  <si>
    <t>Camp Mooween Facts</t>
  </si>
  <si>
    <t>Gardner Lake, Colchester, Conn.</t>
  </si>
  <si>
    <t>Handwritten Camp Winstead Recruitment Letter</t>
  </si>
  <si>
    <t>Daily Program for Our Troop</t>
  </si>
  <si>
    <t>Experiments on Conflict and Harmony Between Groups, Draft with Revisions</t>
  </si>
  <si>
    <t>Experiments on Conflict and Harmony Between Groups, Paper for Indian Journal</t>
  </si>
  <si>
    <t>Draft of Proposal for Robbers Cave Experiment</t>
  </si>
  <si>
    <t>Experiments on Harmony and Conflict Between Groups</t>
  </si>
  <si>
    <t>Camp Application Form</t>
  </si>
  <si>
    <t>Calendar of Stages - Happy Valley Camp</t>
  </si>
  <si>
    <t>Lowe, Louisa</t>
  </si>
  <si>
    <t>Crookenden and Company</t>
  </si>
  <si>
    <t>1883-01-01</t>
  </si>
  <si>
    <t>Strindberg, August, 1849-</t>
  </si>
  <si>
    <t>Abrams, Albert, 1863-</t>
  </si>
  <si>
    <t>E. B. Treat and Company</t>
  </si>
  <si>
    <t>1895-01-01</t>
  </si>
  <si>
    <t>Symons, Arthur, 1865-</t>
  </si>
  <si>
    <t>E. P. Dutton</t>
  </si>
  <si>
    <t>American Association for the Advancement of Science, Washington, DC</t>
  </si>
  <si>
    <t>The Monomaniac: Or, Shirley Hall Asylum</t>
  </si>
  <si>
    <t>Gilbert, William</t>
  </si>
  <si>
    <t>James G. Gregory (Publisher)</t>
  </si>
  <si>
    <t>1864-01-01</t>
  </si>
  <si>
    <t>American Psychological Association; Psychological Bulletin</t>
  </si>
  <si>
    <t>The Mystic Key: Or The Asylum Secret Unlocked</t>
  </si>
  <si>
    <t>Packard, Elizabeth Parsons Ware, 1816-</t>
  </si>
  <si>
    <t>1886-01-01</t>
  </si>
  <si>
    <t>Ten Days in a Mad-House, or Nellie Bly's Experience on Blackwell's Island: Feigning Insanity in Order to Reveal Asylum Horrors</t>
  </si>
  <si>
    <t>Bly, Nellie, 1864-</t>
  </si>
  <si>
    <t>N. L. Munro (Publisher)</t>
  </si>
  <si>
    <t>1887-01-01</t>
  </si>
  <si>
    <t>The Maniac: A Realistic Study of Madness from the Maniac's Point of View</t>
  </si>
  <si>
    <t>Thelmar, E</t>
  </si>
  <si>
    <t>Books for the Few</t>
  </si>
  <si>
    <t>Delilez, Francis</t>
  </si>
  <si>
    <t>L. Kimball Company</t>
  </si>
  <si>
    <t>1888-01-01</t>
  </si>
  <si>
    <t>Cruden, Alexander, 1699-</t>
  </si>
  <si>
    <t>1739-01-01</t>
  </si>
  <si>
    <t>Twenty-Five Years with the Insane</t>
  </si>
  <si>
    <t>Putnam, Daniel</t>
  </si>
  <si>
    <t>John McFarlane (Publisher)</t>
  </si>
  <si>
    <t>1885-01-01</t>
  </si>
  <si>
    <t>Drake, John H., 1814</t>
  </si>
  <si>
    <t>W.H. Colyer (Publisher)</t>
  </si>
  <si>
    <t>1847-01-01</t>
  </si>
  <si>
    <t>This Red Book is Partly a Reprint of What Was Published in 1883, and Later. And Earlier Letters from Prominent Men</t>
  </si>
  <si>
    <t>Pennell, Lemira Clarissa</t>
  </si>
  <si>
    <t>Rutherford, Mark, 1841</t>
  </si>
  <si>
    <t>TrÃ¼bner &amp; Co.</t>
  </si>
  <si>
    <t>1881-01-01</t>
  </si>
  <si>
    <t>The Lunacy Law of the World: Being that of Each of the Forty-Eight States and Territories of the United States, with an Examination Thereof and Leading Cases Thereon; Together with that of the Six Great Powers of Europeâ€”Great Britain, France, Italy, Germany, Austria-Hungary, and Russia</t>
  </si>
  <si>
    <t>Chaloner, John Armstrong, 1862-</t>
  </si>
  <si>
    <t>Palmetto Publishing Group</t>
  </si>
  <si>
    <t>Sane or Insane? Or How I Regained Liberty</t>
  </si>
  <si>
    <t>Starr, Margaret</t>
  </si>
  <si>
    <t>Fosnot, Williams &amp; Company</t>
  </si>
  <si>
    <t>https://www.proquest.com/docview/2784906084</t>
  </si>
  <si>
    <t>https://www.proquest.com/docview/2784905927</t>
  </si>
  <si>
    <t>https://www.proquest.com/docview/2784905907</t>
  </si>
  <si>
    <t>https://www.proquest.com/docview/2784905579</t>
  </si>
  <si>
    <t>https://www.proquest.com/docview/2784905855</t>
  </si>
  <si>
    <t>https://www.proquest.com/docview/2784905636</t>
  </si>
  <si>
    <t>https://www.proquest.com/docview/2784905933</t>
  </si>
  <si>
    <t>https://www.proquest.com/docview/2784905871</t>
  </si>
  <si>
    <t>https://www.proquest.com/docview/2784906044</t>
  </si>
  <si>
    <t>https://www.proquest.com/docview/2784906088</t>
  </si>
  <si>
    <t>https://www.proquest.com/docview/2784905890</t>
  </si>
  <si>
    <t>https://www.proquest.com/docview/2784906089</t>
  </si>
  <si>
    <t>https://www.proquest.com/docview/2784907086</t>
  </si>
  <si>
    <t>https://www.proquest.com/docview/2784905902</t>
  </si>
  <si>
    <t>https://www.proquest.com/docview/2784907602</t>
  </si>
  <si>
    <t>https://www.proquest.com/docview/2784905864</t>
  </si>
  <si>
    <t>https://www.proquest.com/docview/2784905900</t>
  </si>
  <si>
    <t>https://www.proquest.com/docview/2784905660</t>
  </si>
  <si>
    <t>https://www.proquest.com/docview/2784905583</t>
  </si>
  <si>
    <t>https://www.proquest.com/docview/2783815800</t>
  </si>
  <si>
    <t>https://www.proquest.com/docview/2783815880</t>
  </si>
  <si>
    <t>https://www.proquest.com/docview/2783816573</t>
  </si>
  <si>
    <t>https://www.proquest.com/docview/2783827619</t>
  </si>
  <si>
    <t>https://www.proquest.com/docview/2783816575</t>
  </si>
  <si>
    <t>https://www.proquest.com/docview/2783815881</t>
  </si>
  <si>
    <t>https://www.proquest.com/docview/2783816574</t>
  </si>
  <si>
    <t>https://www.proquest.com/docview/2783816576</t>
  </si>
  <si>
    <t>https://www.proquest.com/docview/2783827624</t>
  </si>
  <si>
    <t>https://www.proquest.com/docview/2783827625</t>
  </si>
  <si>
    <t>https://www.proquest.com/docview/2783827622</t>
  </si>
  <si>
    <t>https://www.proquest.com/docview/2783827623</t>
  </si>
  <si>
    <t>https://www.proquest.com/docview/2783827628</t>
  </si>
  <si>
    <t>https://www.proquest.com/docview/2783827626</t>
  </si>
  <si>
    <t>https://www.proquest.com/docview/2783827627</t>
  </si>
  <si>
    <t>https://www.proquest.com/docview/2783827620</t>
  </si>
  <si>
    <t>https://www.proquest.com/docview/2783827621</t>
  </si>
  <si>
    <t>https://www.proquest.com/docview/2783827608</t>
  </si>
  <si>
    <t>https://www.proquest.com/docview/2783827729</t>
  </si>
  <si>
    <t>https://www.proquest.com/docview/2783827609</t>
  </si>
  <si>
    <t>https://www.proquest.com/docview/2783815752</t>
  </si>
  <si>
    <t>https://www.proquest.com/docview/2783827613</t>
  </si>
  <si>
    <t>https://www.proquest.com/docview/2784905923</t>
  </si>
  <si>
    <t>https://www.proquest.com/docview/2783827614</t>
  </si>
  <si>
    <t>https://www.proquest.com/docview/2783827617</t>
  </si>
  <si>
    <t>https://www.proquest.com/docview/2783827738</t>
  </si>
  <si>
    <t>https://www.proquest.com/docview/2783827618</t>
  </si>
  <si>
    <t>https://www.proquest.com/docview/2783827730</t>
  </si>
  <si>
    <t>https://www.proquest.com/docview/2783827610</t>
  </si>
  <si>
    <t>https://www.proquest.com/docview/2783815984</t>
  </si>
  <si>
    <t>https://www.proquest.com/docview/2783815626</t>
  </si>
  <si>
    <t>https://www.proquest.com/docview/2783815625</t>
  </si>
  <si>
    <t>https://www.proquest.com/docview/2783817242</t>
  </si>
  <si>
    <t>https://www.proquest.com/docview/2783817243</t>
  </si>
  <si>
    <t>https://www.proquest.com/docview/2783817244</t>
  </si>
  <si>
    <t>https://www.proquest.com/docview/2783815983</t>
  </si>
  <si>
    <t>https://www.proquest.com/docview/2784905637</t>
  </si>
  <si>
    <t>https://www.proquest.com/docview/2783827723</t>
  </si>
  <si>
    <t>https://www.proquest.com/docview/2783827724</t>
  </si>
  <si>
    <t>https://www.proquest.com/docview/2783823766</t>
  </si>
  <si>
    <t>https://www.proquest.com/docview/2783827721</t>
  </si>
  <si>
    <t>https://www.proquest.com/docview/2783827722</t>
  </si>
  <si>
    <t>https://www.proquest.com/docview/2783827727</t>
  </si>
  <si>
    <t>https://www.proquest.com/docview/2783821584</t>
  </si>
  <si>
    <t>https://www.proquest.com/docview/2783827607</t>
  </si>
  <si>
    <t>https://www.proquest.com/docview/2783827728</t>
  </si>
  <si>
    <t>https://www.proquest.com/docview/2783827725</t>
  </si>
  <si>
    <t>https://www.proquest.com/docview/2783827726</t>
  </si>
  <si>
    <t>https://www.proquest.com/docview/2783821582</t>
  </si>
  <si>
    <t>https://www.proquest.com/docview/2783815973</t>
  </si>
  <si>
    <t>https://www.proquest.com/docview/2783815698</t>
  </si>
  <si>
    <t>https://www.proquest.com/docview/2783815734</t>
  </si>
  <si>
    <t>https://www.proquest.com/docview/2783815613</t>
  </si>
  <si>
    <t>https://www.proquest.com/docview/2783815979</t>
  </si>
  <si>
    <t>https://www.proquest.com/docview/2783823747</t>
  </si>
  <si>
    <t>https://www.proquest.com/docview/2783823748</t>
  </si>
  <si>
    <t>https://www.proquest.com/docview/2783815971</t>
  </si>
  <si>
    <t>https://www.proquest.com/docview/2783815963</t>
  </si>
  <si>
    <t>https://www.proquest.com/docview/2783815962</t>
  </si>
  <si>
    <t>https://www.proquest.com/docview/2783815965</t>
  </si>
  <si>
    <t>https://www.proquest.com/docview/2783815964</t>
  </si>
  <si>
    <t>https://www.proquest.com/docview/2783815967</t>
  </si>
  <si>
    <t>https://www.proquest.com/docview/2783823743</t>
  </si>
  <si>
    <t>https://www.proquest.com/docview/2783823745</t>
  </si>
  <si>
    <t>https://www.proquest.com/docview/2783827662</t>
  </si>
  <si>
    <t>https://www.proquest.com/docview/2788857873</t>
  </si>
  <si>
    <t>https://www.proquest.com/docview/2783827663</t>
  </si>
  <si>
    <t>https://www.proquest.com/docview/2783815951</t>
  </si>
  <si>
    <t>https://www.proquest.com/docview/2783815954</t>
  </si>
  <si>
    <t>https://www.proquest.com/docview/2783815679</t>
  </si>
  <si>
    <t>https://www.proquest.com/docview/2783815792</t>
  </si>
  <si>
    <t>https://www.proquest.com/docview/2783815948</t>
  </si>
  <si>
    <t>https://www.proquest.com/docview/2783815821</t>
  </si>
  <si>
    <t>https://www.proquest.com/docview/2783815945</t>
  </si>
  <si>
    <t>https://www.proquest.com/docview/2783815944</t>
  </si>
  <si>
    <t>https://www.proquest.com/docview/2783815947</t>
  </si>
  <si>
    <t>https://www.proquest.com/docview/2783815780</t>
  </si>
  <si>
    <t>https://www.proquest.com/docview/2783815783</t>
  </si>
  <si>
    <t>https://www.proquest.com/docview/2783815785</t>
  </si>
  <si>
    <t>https://www.proquest.com/docview/2783815784</t>
  </si>
  <si>
    <t>https://www.proquest.com/docview/2784906922</t>
  </si>
  <si>
    <t>https://www.proquest.com/docview/2783823841</t>
  </si>
  <si>
    <t>https://www.proquest.com/docview/2788858262</t>
  </si>
  <si>
    <t>https://www.proquest.com/docview/2783825342</t>
  </si>
  <si>
    <t>https://www.proquest.com/docview/2783815777</t>
  </si>
  <si>
    <t>https://www.proquest.com/docview/2783815812</t>
  </si>
  <si>
    <t>https://www.proquest.com/docview/2783815779</t>
  </si>
  <si>
    <t>https://www.proquest.com/docview/2783815770</t>
  </si>
  <si>
    <t>https://www.proquest.com/docview/2783823826</t>
  </si>
  <si>
    <t>https://www.proquest.com/docview/2783815773</t>
  </si>
  <si>
    <t>https://www.proquest.com/docview/2783825337</t>
  </si>
  <si>
    <t>https://www.proquest.com/docview/2783827754</t>
  </si>
  <si>
    <t>https://www.proquest.com/docview/2784911022</t>
  </si>
  <si>
    <t>https://www.proquest.com/docview/2783815928</t>
  </si>
  <si>
    <t>https://www.proquest.com/docview/2783827752</t>
  </si>
  <si>
    <t>https://www.proquest.com/docview/2784907568</t>
  </si>
  <si>
    <t>https://www.proquest.com/docview/2783825179</t>
  </si>
  <si>
    <t>https://www.proquest.com/docview/2783827753</t>
  </si>
  <si>
    <t>https://www.proquest.com/docview/2783827750</t>
  </si>
  <si>
    <t>https://www.proquest.com/docview/2783827751</t>
  </si>
  <si>
    <t>https://www.proquest.com/docview/2783827866</t>
  </si>
  <si>
    <t>https://www.proquest.com/docview/2783827864</t>
  </si>
  <si>
    <t>https://www.proquest.com/docview/2783827865</t>
  </si>
  <si>
    <t>https://www.proquest.com/docview/2783827868</t>
  </si>
  <si>
    <t>https://www.proquest.com/docview/2783827862</t>
  </si>
  <si>
    <t>https://www.proquest.com/docview/2783827863</t>
  </si>
  <si>
    <t>https://www.proquest.com/docview/2783827860</t>
  </si>
  <si>
    <t>https://www.proquest.com/docview/2783828158</t>
  </si>
  <si>
    <t>https://www.proquest.com/docview/2783827861</t>
  </si>
  <si>
    <t>https://www.proquest.com/docview/2783828020</t>
  </si>
  <si>
    <t>https://www.proquest.com/docview/2783828023</t>
  </si>
  <si>
    <t>https://www.proquest.com/docview/2783828024</t>
  </si>
  <si>
    <t>https://www.proquest.com/docview/2783828021</t>
  </si>
  <si>
    <t>https://www.proquest.com/docview/2783828022</t>
  </si>
  <si>
    <t>https://www.proquest.com/docview/2783828028</t>
  </si>
  <si>
    <t>https://www.proquest.com/docview/2783828025</t>
  </si>
  <si>
    <t>https://www.proquest.com/docview/2783828026</t>
  </si>
  <si>
    <t>https://www.proquest.com/docview/2783828019</t>
  </si>
  <si>
    <t>https://www.proquest.com/docview/2783830799</t>
  </si>
  <si>
    <t>https://www.proquest.com/docview/2783828081</t>
  </si>
  <si>
    <t>https://www.proquest.com/docview/2783828000</t>
  </si>
  <si>
    <t>https://www.proquest.com/docview/2783828006</t>
  </si>
  <si>
    <t>https://www.proquest.com/docview/2783830786</t>
  </si>
  <si>
    <t>https://www.proquest.com/docview/2783830785</t>
  </si>
  <si>
    <t>https://www.proquest.com/docview/2783830784</t>
  </si>
  <si>
    <t>https://www.proquest.com/docview/2783830783</t>
  </si>
  <si>
    <t>https://www.proquest.com/docview/2783830782</t>
  </si>
  <si>
    <t>https://www.proquest.com/docview/2783830781</t>
  </si>
  <si>
    <t>https://www.proquest.com/docview/2783830780</t>
  </si>
  <si>
    <t>https://www.proquest.com/docview/2783828117</t>
  </si>
  <si>
    <t>https://www.proquest.com/docview/2783830819</t>
  </si>
  <si>
    <t>https://www.proquest.com/docview/2783830818</t>
  </si>
  <si>
    <t>https://www.proquest.com/docview/2783830817</t>
  </si>
  <si>
    <t>https://www.proquest.com/docview/2783830815</t>
  </si>
  <si>
    <t>https://www.proquest.com/docview/2783830814</t>
  </si>
  <si>
    <t>https://www.proquest.com/docview/2783830812</t>
  </si>
  <si>
    <t>https://www.proquest.com/docview/2783830779</t>
  </si>
  <si>
    <t>https://www.proquest.com/docview/2783830811</t>
  </si>
  <si>
    <t>https://www.proquest.com/docview/2783830778</t>
  </si>
  <si>
    <t>https://www.proquest.com/docview/2783830796</t>
  </si>
  <si>
    <t>https://www.proquest.com/docview/2783830795</t>
  </si>
  <si>
    <t>https://www.proquest.com/docview/2783830794</t>
  </si>
  <si>
    <t>https://www.proquest.com/docview/2783829272</t>
  </si>
  <si>
    <t>https://www.proquest.com/docview/2783830793</t>
  </si>
  <si>
    <t>https://www.proquest.com/docview/2783829271</t>
  </si>
  <si>
    <t>https://www.proquest.com/docview/2783830792</t>
  </si>
  <si>
    <t>https://www.proquest.com/docview/2783830791</t>
  </si>
  <si>
    <t>https://www.proquest.com/docview/2783830790</t>
  </si>
  <si>
    <t>https://www.proquest.com/docview/2783829273</t>
  </si>
  <si>
    <t>https://www.proquest.com/docview/2783827930</t>
  </si>
  <si>
    <t>https://www.proquest.com/docview/2783828107</t>
  </si>
  <si>
    <t>https://www.proquest.com/docview/2783827891</t>
  </si>
  <si>
    <t>https://www.proquest.com/docview/2783828101</t>
  </si>
  <si>
    <t>https://www.proquest.com/docview/2783827892</t>
  </si>
  <si>
    <t>https://www.proquest.com/docview/2783829277</t>
  </si>
  <si>
    <t>https://www.proquest.com/docview/2783827890</t>
  </si>
  <si>
    <t>https://www.proquest.com/docview/2783830824</t>
  </si>
  <si>
    <t>https://www.proquest.com/docview/2783827895</t>
  </si>
  <si>
    <t>https://www.proquest.com/docview/2783830823</t>
  </si>
  <si>
    <t>https://www.proquest.com/docview/2783830789</t>
  </si>
  <si>
    <t>https://www.proquest.com/docview/2783827896</t>
  </si>
  <si>
    <t>https://www.proquest.com/docview/2783830822</t>
  </si>
  <si>
    <t>https://www.proquest.com/docview/2783830788</t>
  </si>
  <si>
    <t>https://www.proquest.com/docview/2783830821</t>
  </si>
  <si>
    <t>https://www.proquest.com/docview/2783827893</t>
  </si>
  <si>
    <t>https://www.proquest.com/docview/2783827894</t>
  </si>
  <si>
    <t>https://www.proquest.com/docview/2783830787</t>
  </si>
  <si>
    <t>https://www.proquest.com/docview/2783828103</t>
  </si>
  <si>
    <t>https://www.proquest.com/docview/2783830820</t>
  </si>
  <si>
    <t>https://www.proquest.com/docview/2783827888</t>
  </si>
  <si>
    <t>https://www.proquest.com/docview/2783827889</t>
  </si>
  <si>
    <t>https://www.proquest.com/docview/2783827886</t>
  </si>
  <si>
    <t>https://www.proquest.com/docview/2783827887</t>
  </si>
  <si>
    <t>https://www.proquest.com/docview/2783829269</t>
  </si>
  <si>
    <t>https://www.proquest.com/docview/2783827885</t>
  </si>
  <si>
    <t>https://www.proquest.com/docview/2783828162</t>
  </si>
  <si>
    <t>https://www.proquest.com/docview/2783828160</t>
  </si>
  <si>
    <t>https://www.proquest.com/docview/2783827756</t>
  </si>
  <si>
    <t>https://www.proquest.com/docview/2783827998</t>
  </si>
  <si>
    <t>https://www.proquest.com/docview/2783827877</t>
  </si>
  <si>
    <t>https://www.proquest.com/docview/2783827999</t>
  </si>
  <si>
    <t>https://www.proquest.com/docview/2783827757</t>
  </si>
  <si>
    <t>https://www.proquest.com/docview/2783827996</t>
  </si>
  <si>
    <t>https://www.proquest.com/docview/2783827997</t>
  </si>
  <si>
    <t>https://www.proquest.com/docview/2783827755</t>
  </si>
  <si>
    <t>https://www.proquest.com/docview/2783830809</t>
  </si>
  <si>
    <t>https://www.proquest.com/docview/2783830807</t>
  </si>
  <si>
    <t>https://www.proquest.com/docview/2783827759</t>
  </si>
  <si>
    <t>https://www.proquest.com/docview/2783828166</t>
  </si>
  <si>
    <t>https://www.proquest.com/docview/2783830805</t>
  </si>
  <si>
    <t>https://www.proquest.com/docview/2783828167</t>
  </si>
  <si>
    <t>https://www.proquest.com/docview/2783830804</t>
  </si>
  <si>
    <t>https://www.proquest.com/docview/2783827991</t>
  </si>
  <si>
    <t>https://www.proquest.com/docview/2783828164</t>
  </si>
  <si>
    <t>https://www.proquest.com/docview/2783830802</t>
  </si>
  <si>
    <t>https://www.proquest.com/docview/2783827994</t>
  </si>
  <si>
    <t>https://www.proquest.com/docview/2783827995</t>
  </si>
  <si>
    <t>https://www.proquest.com/docview/2783827992</t>
  </si>
  <si>
    <t>https://www.proquest.com/docview/2783828168</t>
  </si>
  <si>
    <t>https://www.proquest.com/docview/2783827993</t>
  </si>
  <si>
    <t>https://www.proquest.com/docview/2783833733</t>
  </si>
  <si>
    <t>https://www.proquest.com/docview/2783835635</t>
  </si>
  <si>
    <t>https://www.proquest.com/docview/2783835634</t>
  </si>
  <si>
    <t>https://www.proquest.com/docview/2783838869</t>
  </si>
  <si>
    <t>https://www.proquest.com/docview/2783833734</t>
  </si>
  <si>
    <t>https://www.proquest.com/docview/2783835637</t>
  </si>
  <si>
    <t>https://www.proquest.com/docview/2783835636</t>
  </si>
  <si>
    <t>https://www.proquest.com/docview/2783835631</t>
  </si>
  <si>
    <t>https://www.proquest.com/docview/2783835630</t>
  </si>
  <si>
    <t>https://www.proquest.com/docview/2783835632</t>
  </si>
  <si>
    <t>https://www.proquest.com/docview/2783835800</t>
  </si>
  <si>
    <t>https://www.proquest.com/docview/2783838879</t>
  </si>
  <si>
    <t>https://www.proquest.com/docview/2783833744</t>
  </si>
  <si>
    <t>https://www.proquest.com/docview/2783835646</t>
  </si>
  <si>
    <t>https://www.proquest.com/docview/2783835645</t>
  </si>
  <si>
    <t>https://www.proquest.com/docview/2783833742</t>
  </si>
  <si>
    <t>https://www.proquest.com/docview/2783835647</t>
  </si>
  <si>
    <t>https://www.proquest.com/docview/2783833743</t>
  </si>
  <si>
    <t>https://www.proquest.com/docview/2783838875</t>
  </si>
  <si>
    <t>https://www.proquest.com/docview/2783833740</t>
  </si>
  <si>
    <t>https://www.proquest.com/docview/2783835642</t>
  </si>
  <si>
    <t>https://www.proquest.com/docview/2783838876</t>
  </si>
  <si>
    <t>https://www.proquest.com/docview/2783833741</t>
  </si>
  <si>
    <t>https://www.proquest.com/docview/2783835641</t>
  </si>
  <si>
    <t>https://www.proquest.com/docview/2783838877</t>
  </si>
  <si>
    <t>https://www.proquest.com/docview/2783838878</t>
  </si>
  <si>
    <t>https://www.proquest.com/docview/2783835643</t>
  </si>
  <si>
    <t>https://www.proquest.com/docview/2783838871</t>
  </si>
  <si>
    <t>https://www.proquest.com/docview/2783838872</t>
  </si>
  <si>
    <t>https://www.proquest.com/docview/2783835640</t>
  </si>
  <si>
    <t>https://www.proquest.com/docview/2783838873</t>
  </si>
  <si>
    <t>https://www.proquest.com/docview/2783838874</t>
  </si>
  <si>
    <t>https://www.proquest.com/docview/2783838870</t>
  </si>
  <si>
    <t>https://www.proquest.com/docview/2783833739</t>
  </si>
  <si>
    <t>https://www.proquest.com/docview/2783835639</t>
  </si>
  <si>
    <t>https://www.proquest.com/docview/2783833737</t>
  </si>
  <si>
    <t>https://www.proquest.com/docview/2783835638</t>
  </si>
  <si>
    <t>https://www.proquest.com/docview/2783833735</t>
  </si>
  <si>
    <t>https://www.proquest.com/docview/2783830840</t>
  </si>
  <si>
    <t>https://www.proquest.com/docview/2783830839</t>
  </si>
  <si>
    <t>https://www.proquest.com/docview/2783830838</t>
  </si>
  <si>
    <t>https://www.proquest.com/docview/2783830837</t>
  </si>
  <si>
    <t>https://www.proquest.com/docview/2783830836</t>
  </si>
  <si>
    <t>https://www.proquest.com/docview/2783830835</t>
  </si>
  <si>
    <t>https://www.proquest.com/docview/2783830834</t>
  </si>
  <si>
    <t>https://www.proquest.com/docview/2783830833</t>
  </si>
  <si>
    <t>https://www.proquest.com/docview/2783830832</t>
  </si>
  <si>
    <t>https://www.proquest.com/docview/2783830831</t>
  </si>
  <si>
    <t>https://www.proquest.com/docview/2783835796</t>
  </si>
  <si>
    <t>https://www.proquest.com/docview/2783835795</t>
  </si>
  <si>
    <t>https://www.proquest.com/docview/2783835792</t>
  </si>
  <si>
    <t>https://www.proquest.com/docview/2783835398</t>
  </si>
  <si>
    <t>https://www.proquest.com/docview/2783835794</t>
  </si>
  <si>
    <t>https://www.proquest.com/docview/2783840101</t>
  </si>
  <si>
    <t>https://www.proquest.com/docview/2783840103</t>
  </si>
  <si>
    <t>https://www.proquest.com/docview/2783840102</t>
  </si>
  <si>
    <t>https://www.proquest.com/docview/2783830830</t>
  </si>
  <si>
    <t>https://www.proquest.com/docview/2783840105</t>
  </si>
  <si>
    <t>https://www.proquest.com/docview/2783840104</t>
  </si>
  <si>
    <t>https://www.proquest.com/docview/2783840107</t>
  </si>
  <si>
    <t>https://www.proquest.com/docview/2783840106</t>
  </si>
  <si>
    <t>https://www.proquest.com/docview/2783840109</t>
  </si>
  <si>
    <t>https://www.proquest.com/docview/2783840108</t>
  </si>
  <si>
    <t>https://www.proquest.com/docview/2783830829</t>
  </si>
  <si>
    <t>https://www.proquest.com/docview/2783830828</t>
  </si>
  <si>
    <t>https://www.proquest.com/docview/2783830827</t>
  </si>
  <si>
    <t>https://www.proquest.com/docview/2783830826</t>
  </si>
  <si>
    <t>https://www.proquest.com/docview/2783830825</t>
  </si>
  <si>
    <t>https://www.proquest.com/docview/2783835811</t>
  </si>
  <si>
    <t>https://www.proquest.com/docview/2783835810</t>
  </si>
  <si>
    <t>https://www.proquest.com/docview/2783833753</t>
  </si>
  <si>
    <t>https://www.proquest.com/docview/2783838886</t>
  </si>
  <si>
    <t>https://www.proquest.com/docview/2783835774</t>
  </si>
  <si>
    <t>https://www.proquest.com/docview/2783835773</t>
  </si>
  <si>
    <t>https://www.proquest.com/docview/2783838887</t>
  </si>
  <si>
    <t>https://www.proquest.com/docview/2783838888</t>
  </si>
  <si>
    <t>https://www.proquest.com/docview/2783835776</t>
  </si>
  <si>
    <t>https://www.proquest.com/docview/2783838889</t>
  </si>
  <si>
    <t>https://www.proquest.com/docview/2783835775</t>
  </si>
  <si>
    <t>https://www.proquest.com/docview/2783838882</t>
  </si>
  <si>
    <t>https://www.proquest.com/docview/2783838883</t>
  </si>
  <si>
    <t>https://www.proquest.com/docview/2783835772</t>
  </si>
  <si>
    <t>https://www.proquest.com/docview/2783838884</t>
  </si>
  <si>
    <t>https://www.proquest.com/docview/2783838885</t>
  </si>
  <si>
    <t>https://www.proquest.com/docview/2783838880</t>
  </si>
  <si>
    <t>https://www.proquest.com/docview/2783838881</t>
  </si>
  <si>
    <t>https://www.proquest.com/docview/2783835808</t>
  </si>
  <si>
    <t>https://www.proquest.com/docview/2783835807</t>
  </si>
  <si>
    <t>https://www.proquest.com/docview/2783835809</t>
  </si>
  <si>
    <t>https://www.proquest.com/docview/2783835804</t>
  </si>
  <si>
    <t>https://www.proquest.com/docview/2783835806</t>
  </si>
  <si>
    <t>https://www.proquest.com/docview/2783833746</t>
  </si>
  <si>
    <t>https://www.proquest.com/docview/2783835805</t>
  </si>
  <si>
    <t>https://www.proquest.com/docview/2783838893</t>
  </si>
  <si>
    <t>https://www.proquest.com/docview/2783838894</t>
  </si>
  <si>
    <t>https://www.proquest.com/docview/2783838895</t>
  </si>
  <si>
    <t>https://www.proquest.com/docview/2783838896</t>
  </si>
  <si>
    <t>https://www.proquest.com/docview/2783838890</t>
  </si>
  <si>
    <t>https://www.proquest.com/docview/2783838891</t>
  </si>
  <si>
    <t>https://www.proquest.com/docview/2783838892</t>
  </si>
  <si>
    <t>https://www.proquest.com/docview/2783835633</t>
  </si>
  <si>
    <t>https://www.proquest.com/docview/2783840781</t>
  </si>
  <si>
    <t>https://www.proquest.com/docview/2783840785</t>
  </si>
  <si>
    <t>https://www.proquest.com/docview/2783827867</t>
  </si>
  <si>
    <t>https://www.proquest.com/docview/2783840775</t>
  </si>
  <si>
    <t>https://www.proquest.com/docview/2783848820</t>
  </si>
  <si>
    <t>https://www.proquest.com/docview/2783853173</t>
  </si>
  <si>
    <t>https://www.proquest.com/docview/2783840779</t>
  </si>
  <si>
    <t>https://www.proquest.com/docview/2783850586</t>
  </si>
  <si>
    <t>https://www.proquest.com/docview/2783853179</t>
  </si>
  <si>
    <t>https://www.proquest.com/docview/2783852646</t>
  </si>
  <si>
    <t>https://www.proquest.com/docview/2783852647</t>
  </si>
  <si>
    <t>https://www.proquest.com/docview/2783852644</t>
  </si>
  <si>
    <t>https://www.proquest.com/docview/2783852645</t>
  </si>
  <si>
    <t>https://www.proquest.com/docview/2788858528</t>
  </si>
  <si>
    <t>https://www.proquest.com/docview/2783852648</t>
  </si>
  <si>
    <t>https://www.proquest.com/docview/2783852649</t>
  </si>
  <si>
    <t>https://www.proquest.com/docview/2783840787</t>
  </si>
  <si>
    <t>https://www.proquest.com/docview/2783852650</t>
  </si>
  <si>
    <t>https://www.proquest.com/docview/2783852653</t>
  </si>
  <si>
    <t>https://www.proquest.com/docview/2783852654</t>
  </si>
  <si>
    <t>https://www.proquest.com/docview/2783833738</t>
  </si>
  <si>
    <t>https://www.proquest.com/docview/2783852651</t>
  </si>
  <si>
    <t>https://www.proquest.com/docview/2783852652</t>
  </si>
  <si>
    <t>https://www.proquest.com/docview/2783833736</t>
  </si>
  <si>
    <t>https://www.proquest.com/docview/2783840120</t>
  </si>
  <si>
    <t>https://www.proquest.com/docview/2783840116</t>
  </si>
  <si>
    <t>https://www.proquest.com/docview/2783840115</t>
  </si>
  <si>
    <t>https://www.proquest.com/docview/2783840118</t>
  </si>
  <si>
    <t>https://www.proquest.com/docview/2783840117</t>
  </si>
  <si>
    <t>https://www.proquest.com/docview/2783840119</t>
  </si>
  <si>
    <t>https://www.proquest.com/docview/2783830798</t>
  </si>
  <si>
    <t>https://www.proquest.com/docview/2783840771</t>
  </si>
  <si>
    <t>https://www.proquest.com/docview/2783853041</t>
  </si>
  <si>
    <t>https://www.proquest.com/docview/2783852679</t>
  </si>
  <si>
    <t>https://www.proquest.com/docview/2783853009</t>
  </si>
  <si>
    <t>https://www.proquest.com/docview/2783852677</t>
  </si>
  <si>
    <t>https://www.proquest.com/docview/2783852678</t>
  </si>
  <si>
    <t>https://www.proquest.com/docview/2783852682</t>
  </si>
  <si>
    <t>https://www.proquest.com/docview/2783853013</t>
  </si>
  <si>
    <t>https://www.proquest.com/docview/2783852683</t>
  </si>
  <si>
    <t>https://www.proquest.com/docview/2783852680</t>
  </si>
  <si>
    <t>https://www.proquest.com/docview/2783848188</t>
  </si>
  <si>
    <t>https://www.proquest.com/docview/2783853011</t>
  </si>
  <si>
    <t>https://www.proquest.com/docview/2783830813</t>
  </si>
  <si>
    <t>https://www.proquest.com/docview/2783852681</t>
  </si>
  <si>
    <t>https://www.proquest.com/docview/2783852686</t>
  </si>
  <si>
    <t>https://www.proquest.com/docview/2783853017</t>
  </si>
  <si>
    <t>https://www.proquest.com/docview/2783852687</t>
  </si>
  <si>
    <t>https://www.proquest.com/docview/2783830810</t>
  </si>
  <si>
    <t>https://www.proquest.com/docview/2783830777</t>
  </si>
  <si>
    <t>https://www.proquest.com/docview/2783852684</t>
  </si>
  <si>
    <t>https://www.proquest.com/docview/2783852685</t>
  </si>
  <si>
    <t>https://www.proquest.com/docview/2783853015</t>
  </si>
  <si>
    <t>https://www.proquest.com/docview/2783848193</t>
  </si>
  <si>
    <t>https://www.proquest.com/docview/2783830797</t>
  </si>
  <si>
    <t>https://www.proquest.com/docview/2783853018</t>
  </si>
  <si>
    <t>https://www.proquest.com/docview/2783852688</t>
  </si>
  <si>
    <t>https://www.proquest.com/docview/2783852689</t>
  </si>
  <si>
    <t>https://www.proquest.com/docview/2783840110</t>
  </si>
  <si>
    <t>https://www.proquest.com/docview/2783840112</t>
  </si>
  <si>
    <t>https://www.proquest.com/docview/2783840111</t>
  </si>
  <si>
    <t>https://www.proquest.com/docview/2783840114</t>
  </si>
  <si>
    <t>https://www.proquest.com/docview/2783840113</t>
  </si>
  <si>
    <t>https://www.proquest.com/docview/2783848636</t>
  </si>
  <si>
    <t>https://www.proquest.com/docview/2783853140</t>
  </si>
  <si>
    <t>https://www.proquest.com/docview/2783852690</t>
  </si>
  <si>
    <t>https://www.proquest.com/docview/2783853146</t>
  </si>
  <si>
    <t>https://www.proquest.com/docview/2783833755</t>
  </si>
  <si>
    <t>https://www.proquest.com/docview/2783852658</t>
  </si>
  <si>
    <t>https://www.proquest.com/docview/2783852655</t>
  </si>
  <si>
    <t>https://www.proquest.com/docview/2783852656</t>
  </si>
  <si>
    <t>https://www.proquest.com/docview/2783852659</t>
  </si>
  <si>
    <t>https://www.proquest.com/docview/2783833750</t>
  </si>
  <si>
    <t>https://www.proquest.com/docview/2783840681</t>
  </si>
  <si>
    <t>https://www.proquest.com/docview/2783852660</t>
  </si>
  <si>
    <t>https://www.proquest.com/docview/2783852661</t>
  </si>
  <si>
    <t>https://www.proquest.com/docview/2788858265</t>
  </si>
  <si>
    <t>https://www.proquest.com/docview/2783853351</t>
  </si>
  <si>
    <t>https://www.proquest.com/docview/2783852664</t>
  </si>
  <si>
    <t>https://www.proquest.com/docview/2783833748</t>
  </si>
  <si>
    <t>https://www.proquest.com/docview/2783852665</t>
  </si>
  <si>
    <t>https://www.proquest.com/docview/2783852662</t>
  </si>
  <si>
    <t>https://www.proquest.com/docview/2783852663</t>
  </si>
  <si>
    <t>https://www.proquest.com/docview/2783833747</t>
  </si>
  <si>
    <t>https://www.proquest.com/docview/2783852668</t>
  </si>
  <si>
    <t>https://www.proquest.com/docview/2783852669</t>
  </si>
  <si>
    <t>https://www.proquest.com/docview/2783852666</t>
  </si>
  <si>
    <t>https://www.proquest.com/docview/2783852667</t>
  </si>
  <si>
    <t>https://www.proquest.com/docview/2788857616</t>
  </si>
  <si>
    <t>https://www.proquest.com/docview/2783840447</t>
  </si>
  <si>
    <t>https://www.proquest.com/docview/2783852671</t>
  </si>
  <si>
    <t>https://www.proquest.com/docview/2783852672</t>
  </si>
  <si>
    <t>https://www.proquest.com/docview/2783852670</t>
  </si>
  <si>
    <t>https://www.proquest.com/docview/2783830801</t>
  </si>
  <si>
    <t>https://www.proquest.com/docview/2783852675</t>
  </si>
  <si>
    <t>https://www.proquest.com/docview/2783852676</t>
  </si>
  <si>
    <t>https://www.proquest.com/docview/2783830800</t>
  </si>
  <si>
    <t>https://www.proquest.com/docview/2783852673</t>
  </si>
  <si>
    <t>https://www.proquest.com/docview/2783852674</t>
  </si>
  <si>
    <t>https://www.proquest.com/docview/2783868891</t>
  </si>
  <si>
    <t>https://www.proquest.com/docview/2783868893</t>
  </si>
  <si>
    <t>https://www.proquest.com/docview/2783866234</t>
  </si>
  <si>
    <t>https://www.proquest.com/docview/2783868895</t>
  </si>
  <si>
    <t>https://www.proquest.com/docview/2783866235</t>
  </si>
  <si>
    <t>https://www.proquest.com/docview/2783868897</t>
  </si>
  <si>
    <t>https://www.proquest.com/docview/2783866233</t>
  </si>
  <si>
    <t>https://www.proquest.com/docview/2783868899</t>
  </si>
  <si>
    <t>https://www.proquest.com/docview/2783866238</t>
  </si>
  <si>
    <t>https://www.proquest.com/docview/2783868898</t>
  </si>
  <si>
    <t>https://www.proquest.com/docview/2783866236</t>
  </si>
  <si>
    <t>https://www.proquest.com/docview/2783866237</t>
  </si>
  <si>
    <t>https://www.proquest.com/docview/2783853170</t>
  </si>
  <si>
    <t>https://www.proquest.com/docview/2783865939</t>
  </si>
  <si>
    <t>https://www.proquest.com/docview/2783853174</t>
  </si>
  <si>
    <t>https://www.proquest.com/docview/2783853171</t>
  </si>
  <si>
    <t>https://www.proquest.com/docview/2783853172</t>
  </si>
  <si>
    <t>https://www.proquest.com/docview/2783853177</t>
  </si>
  <si>
    <t>https://www.proquest.com/docview/2783853175</t>
  </si>
  <si>
    <t>https://www.proquest.com/docview/2783853176</t>
  </si>
  <si>
    <t>https://www.proquest.com/docview/2783866183</t>
  </si>
  <si>
    <t>https://www.proquest.com/docview/2783868880</t>
  </si>
  <si>
    <t>https://www.proquest.com/docview/2783866220</t>
  </si>
  <si>
    <t>https://www.proquest.com/docview/2783868882</t>
  </si>
  <si>
    <t>https://www.proquest.com/docview/2783866185</t>
  </si>
  <si>
    <t>https://www.proquest.com/docview/2783868881</t>
  </si>
  <si>
    <t>https://www.proquest.com/docview/2783868884</t>
  </si>
  <si>
    <t>https://www.proquest.com/docview/2783868883</t>
  </si>
  <si>
    <t>https://www.proquest.com/docview/2783868886</t>
  </si>
  <si>
    <t>https://www.proquest.com/docview/2783866222</t>
  </si>
  <si>
    <t>https://www.proquest.com/docview/2783865535</t>
  </si>
  <si>
    <t>https://www.proquest.com/docview/2783868888</t>
  </si>
  <si>
    <t>https://www.proquest.com/docview/2783868887</t>
  </si>
  <si>
    <t>https://www.proquest.com/docview/2783853343</t>
  </si>
  <si>
    <t>https://www.proquest.com/docview/2783853347</t>
  </si>
  <si>
    <t>https://www.proquest.com/docview/2783853345</t>
  </si>
  <si>
    <t>https://www.proquest.com/docview/2783866253</t>
  </si>
  <si>
    <t>https://www.proquest.com/docview/2783866251</t>
  </si>
  <si>
    <t>https://www.proquest.com/docview/2783865201</t>
  </si>
  <si>
    <t>https://www.proquest.com/docview/2783866256</t>
  </si>
  <si>
    <t>https://www.proquest.com/docview/2783865204</t>
  </si>
  <si>
    <t>https://www.proquest.com/docview/2783865962</t>
  </si>
  <si>
    <t>https://www.proquest.com/docview/2783865202</t>
  </si>
  <si>
    <t>https://www.proquest.com/docview/2783865957</t>
  </si>
  <si>
    <t>https://www.proquest.com/docview/2783853158</t>
  </si>
  <si>
    <t>https://www.proquest.com/docview/2783866240</t>
  </si>
  <si>
    <t>https://www.proquest.com/docview/2783866004</t>
  </si>
  <si>
    <t>https://www.proquest.com/docview/2783866244</t>
  </si>
  <si>
    <t>https://www.proquest.com/docview/2783865951</t>
  </si>
  <si>
    <t>https://www.proquest.com/docview/2783866005</t>
  </si>
  <si>
    <t>https://www.proquest.com/docview/2783865945</t>
  </si>
  <si>
    <t>https://www.proquest.com/docview/2783853769</t>
  </si>
  <si>
    <t>https://www.proquest.com/docview/2783865184</t>
  </si>
  <si>
    <t>https://www.proquest.com/docview/2783865183</t>
  </si>
  <si>
    <t>https://www.proquest.com/docview/2783865189</t>
  </si>
  <si>
    <t>https://www.proquest.com/docview/2783865188</t>
  </si>
  <si>
    <t>https://www.proquest.com/docview/2783865466</t>
  </si>
  <si>
    <t>https://www.proquest.com/docview/2783860968</t>
  </si>
  <si>
    <t>https://www.proquest.com/docview/2783865571</t>
  </si>
  <si>
    <t>https://www.proquest.com/docview/2783865178</t>
  </si>
  <si>
    <t>https://www.proquest.com/docview/2783865177</t>
  </si>
  <si>
    <t>https://www.proquest.com/docview/2783865966</t>
  </si>
  <si>
    <t>https://www.proquest.com/docview/2783853141</t>
  </si>
  <si>
    <t>https://www.proquest.com/docview/2783853148</t>
  </si>
  <si>
    <t>https://www.proquest.com/docview/2783853147</t>
  </si>
  <si>
    <t>https://www.proquest.com/docview/2783853229</t>
  </si>
  <si>
    <t>https://www.proquest.com/docview/2783853349</t>
  </si>
  <si>
    <t>https://www.proquest.com/docview/2783868871</t>
  </si>
  <si>
    <t>https://www.proquest.com/docview/2783853748</t>
  </si>
  <si>
    <t>https://www.proquest.com/docview/2783868875</t>
  </si>
  <si>
    <t>https://www.proquest.com/docview/2783868874</t>
  </si>
  <si>
    <t>https://www.proquest.com/docview/2783868876</t>
  </si>
  <si>
    <t>https://www.proquest.com/docview/2783868878</t>
  </si>
  <si>
    <t>https://www.proquest.com/docview/2783865638</t>
  </si>
  <si>
    <t>https://www.proquest.com/docview/2783865637</t>
  </si>
  <si>
    <t>https://www.proquest.com/docview/2783865636</t>
  </si>
  <si>
    <t>https://www.proquest.com/docview/2783865639</t>
  </si>
  <si>
    <t>https://www.proquest.com/docview/2783853353</t>
  </si>
  <si>
    <t>https://www.proquest.com/docview/2783853354</t>
  </si>
  <si>
    <t>https://www.proquest.com/docview/2783853231</t>
  </si>
  <si>
    <t>https://www.proquest.com/docview/2783853753</t>
  </si>
  <si>
    <t>https://www.proquest.com/docview/2783853237</t>
  </si>
  <si>
    <t>https://www.proquest.com/docview/2783853751</t>
  </si>
  <si>
    <t>https://www.proquest.com/docview/2783865192</t>
  </si>
  <si>
    <t>https://www.proquest.com/docview/2783865191</t>
  </si>
  <si>
    <t>https://www.proquest.com/docview/2783853755</t>
  </si>
  <si>
    <t>https://www.proquest.com/docview/2783865190</t>
  </si>
  <si>
    <t>https://www.proquest.com/docview/2783853756</t>
  </si>
  <si>
    <t>https://www.proquest.com/docview/2783865194</t>
  </si>
  <si>
    <t>https://www.proquest.com/docview/2783868861</t>
  </si>
  <si>
    <t>https://www.proquest.com/docview/2783868864</t>
  </si>
  <si>
    <t>https://www.proquest.com/docview/2783865632</t>
  </si>
  <si>
    <t>https://www.proquest.com/docview/2783868868</t>
  </si>
  <si>
    <t>https://www.proquest.com/docview/2783868867</t>
  </si>
  <si>
    <t>https://www.proquest.com/docview/2783868900</t>
  </si>
  <si>
    <t>https://www.proquest.com/docview/2783853240</t>
  </si>
  <si>
    <t>https://www.proquest.com/docview/2783853243</t>
  </si>
  <si>
    <t>https://www.proquest.com/docview/2783853247</t>
  </si>
  <si>
    <t>https://www.proquest.com/docview/2783853765</t>
  </si>
  <si>
    <t>https://www.proquest.com/docview/2783853246</t>
  </si>
  <si>
    <t>https://www.proquest.com/docview/2783885250</t>
  </si>
  <si>
    <t>https://www.proquest.com/docview/2783775762</t>
  </si>
  <si>
    <t>https://www.proquest.com/docview/2783775761</t>
  </si>
  <si>
    <t>https://www.proquest.com/docview/2783885258</t>
  </si>
  <si>
    <t>https://www.proquest.com/docview/2783885257</t>
  </si>
  <si>
    <t>https://www.proquest.com/docview/2783885256</t>
  </si>
  <si>
    <t>https://www.proquest.com/docview/2783885254</t>
  </si>
  <si>
    <t>https://www.proquest.com/docview/2783885251</t>
  </si>
  <si>
    <t>https://www.proquest.com/docview/2783885249</t>
  </si>
  <si>
    <t>https://www.proquest.com/docview/2783885248</t>
  </si>
  <si>
    <t>https://www.proquest.com/docview/2783775757</t>
  </si>
  <si>
    <t>https://www.proquest.com/docview/2783775756</t>
  </si>
  <si>
    <t>https://www.proquest.com/docview/2783775758</t>
  </si>
  <si>
    <t>https://www.proquest.com/docview/2783883003</t>
  </si>
  <si>
    <t>https://www.proquest.com/docview/2783883002</t>
  </si>
  <si>
    <t>https://www.proquest.com/docview/2783883001</t>
  </si>
  <si>
    <t>https://www.proquest.com/docview/2783883000</t>
  </si>
  <si>
    <t>https://www.proquest.com/docview/2783775806</t>
  </si>
  <si>
    <t>https://www.proquest.com/docview/2783885259</t>
  </si>
  <si>
    <t>https://www.proquest.com/docview/2783883014</t>
  </si>
  <si>
    <t>https://www.proquest.com/docview/2783883013</t>
  </si>
  <si>
    <t>https://www.proquest.com/docview/2783883012</t>
  </si>
  <si>
    <t>https://www.proquest.com/docview/2783883011</t>
  </si>
  <si>
    <t>https://www.proquest.com/docview/2783883010</t>
  </si>
  <si>
    <t>https://www.proquest.com/docview/2783883009</t>
  </si>
  <si>
    <t>https://www.proquest.com/docview/2783883008</t>
  </si>
  <si>
    <t>https://www.proquest.com/docview/2783883005</t>
  </si>
  <si>
    <t>https://www.proquest.com/docview/2783877028</t>
  </si>
  <si>
    <t>https://www.proquest.com/docview/2783775753</t>
  </si>
  <si>
    <t>https://www.proquest.com/docview/2783883025</t>
  </si>
  <si>
    <t>https://www.proquest.com/docview/2783883024</t>
  </si>
  <si>
    <t>https://www.proquest.com/docview/2783883023</t>
  </si>
  <si>
    <t>https://www.proquest.com/docview/2783883021</t>
  </si>
  <si>
    <t>https://www.proquest.com/docview/2783883020</t>
  </si>
  <si>
    <t>https://www.proquest.com/docview/2783866247</t>
  </si>
  <si>
    <t>https://www.proquest.com/docview/2783883019</t>
  </si>
  <si>
    <t>https://www.proquest.com/docview/2783883018</t>
  </si>
  <si>
    <t>https://www.proquest.com/docview/2783883017</t>
  </si>
  <si>
    <t>https://www.proquest.com/docview/2783883015</t>
  </si>
  <si>
    <t>https://www.proquest.com/docview/2783775745</t>
  </si>
  <si>
    <t>https://www.proquest.com/docview/2783883036</t>
  </si>
  <si>
    <t>https://www.proquest.com/docview/2783883035</t>
  </si>
  <si>
    <t>https://www.proquest.com/docview/2783883034</t>
  </si>
  <si>
    <t>https://www.proquest.com/docview/2783883033</t>
  </si>
  <si>
    <t>https://www.proquest.com/docview/2783883032</t>
  </si>
  <si>
    <t>https://www.proquest.com/docview/2783883031</t>
  </si>
  <si>
    <t>https://www.proquest.com/docview/2783883030</t>
  </si>
  <si>
    <t>https://www.proquest.com/docview/2783882979</t>
  </si>
  <si>
    <t>https://www.proquest.com/docview/2783775719</t>
  </si>
  <si>
    <t>https://www.proquest.com/docview/2783883029</t>
  </si>
  <si>
    <t>https://www.proquest.com/docview/2783883027</t>
  </si>
  <si>
    <t>https://www.proquest.com/docview/2783883026</t>
  </si>
  <si>
    <t>https://www.proquest.com/docview/2783775711</t>
  </si>
  <si>
    <t>https://www.proquest.com/docview/2783775679</t>
  </si>
  <si>
    <t>https://www.proquest.com/docview/2783775714</t>
  </si>
  <si>
    <t>https://www.proquest.com/docview/2783882990</t>
  </si>
  <si>
    <t>https://www.proquest.com/docview/2783882991</t>
  </si>
  <si>
    <t>https://www.proquest.com/docview/2783885346</t>
  </si>
  <si>
    <t>https://www.proquest.com/docview/2783885224</t>
  </si>
  <si>
    <t>https://www.proquest.com/docview/2783885344</t>
  </si>
  <si>
    <t>https://www.proquest.com/docview/2783775721</t>
  </si>
  <si>
    <t>https://www.proquest.com/docview/2783882983</t>
  </si>
  <si>
    <t>https://www.proquest.com/docview/2783882984</t>
  </si>
  <si>
    <t>https://www.proquest.com/docview/2783882987</t>
  </si>
  <si>
    <t>https://www.proquest.com/docview/2783882988</t>
  </si>
  <si>
    <t>https://www.proquest.com/docview/2783882989</t>
  </si>
  <si>
    <t>https://www.proquest.com/docview/2783885353</t>
  </si>
  <si>
    <t>https://www.proquest.com/docview/2783885350</t>
  </si>
  <si>
    <t>https://www.proquest.com/docview/2783868903</t>
  </si>
  <si>
    <t>https://www.proquest.com/docview/2783868902</t>
  </si>
  <si>
    <t>https://www.proquest.com/docview/2783868905</t>
  </si>
  <si>
    <t>https://www.proquest.com/docview/2783775819</t>
  </si>
  <si>
    <t>https://www.proquest.com/docview/2783868906</t>
  </si>
  <si>
    <t>https://www.proquest.com/docview/2783885226</t>
  </si>
  <si>
    <t>https://www.proquest.com/docview/2783882993</t>
  </si>
  <si>
    <t>https://www.proquest.com/docview/2783882994</t>
  </si>
  <si>
    <t>https://www.proquest.com/docview/2783882995</t>
  </si>
  <si>
    <t>https://www.proquest.com/docview/2783775811</t>
  </si>
  <si>
    <t>https://www.proquest.com/docview/2783882996</t>
  </si>
  <si>
    <t>https://www.proquest.com/docview/2783775814</t>
  </si>
  <si>
    <t>https://www.proquest.com/docview/2783882998</t>
  </si>
  <si>
    <t>https://www.proquest.com/docview/2783882999</t>
  </si>
  <si>
    <t>https://www.proquest.com/docview/2783885360</t>
  </si>
  <si>
    <t>https://www.proquest.com/docview/2783775671</t>
  </si>
  <si>
    <t>https://www.proquest.com/docview/2783775676</t>
  </si>
  <si>
    <t>https://www.proquest.com/docview/2783775675</t>
  </si>
  <si>
    <t>https://www.proquest.com/docview/2783875427</t>
  </si>
  <si>
    <t>https://www.proquest.com/docview/2783885247</t>
  </si>
  <si>
    <t>https://www.proquest.com/docview/2783885246</t>
  </si>
  <si>
    <t>https://www.proquest.com/docview/2783885245</t>
  </si>
  <si>
    <t>https://www.proquest.com/docview/2783885244</t>
  </si>
  <si>
    <t>https://www.proquest.com/docview/2783885243</t>
  </si>
  <si>
    <t>https://www.proquest.com/docview/2783885242</t>
  </si>
  <si>
    <t>https://www.proquest.com/docview/2783885241</t>
  </si>
  <si>
    <t>https://www.proquest.com/docview/2783868901</t>
  </si>
  <si>
    <t>https://www.proquest.com/docview/2783885240</t>
  </si>
  <si>
    <t>https://www.proquest.com/docview/2783775828</t>
  </si>
  <si>
    <t>https://www.proquest.com/docview/2783775824</t>
  </si>
  <si>
    <t>https://www.proquest.com/docview/2783775706</t>
  </si>
  <si>
    <t>https://www.proquest.com/docview/2783775705</t>
  </si>
  <si>
    <t>https://www.proquest.com/docview/2783776055</t>
  </si>
  <si>
    <t>https://www.proquest.com/docview/2783776334</t>
  </si>
  <si>
    <t>https://www.proquest.com/docview/2783812259</t>
  </si>
  <si>
    <t>https://www.proquest.com/docview/2783812250</t>
  </si>
  <si>
    <t>https://www.proquest.com/docview/2783868896</t>
  </si>
  <si>
    <t>https://www.proquest.com/docview/2783885253</t>
  </si>
  <si>
    <t>https://www.proquest.com/docview/2783776690</t>
  </si>
  <si>
    <t>https://www.proquest.com/docview/2783802344</t>
  </si>
  <si>
    <t>https://www.proquest.com/docview/2783801490</t>
  </si>
  <si>
    <t>https://www.proquest.com/docview/2783775910</t>
  </si>
  <si>
    <t>https://www.proquest.com/docview/2783775759</t>
  </si>
  <si>
    <t>https://www.proquest.com/docview/2783812247</t>
  </si>
  <si>
    <t>https://www.proquest.com/docview/2783812246</t>
  </si>
  <si>
    <t>https://www.proquest.com/docview/2783812245</t>
  </si>
  <si>
    <t>https://www.proquest.com/docview/2783812244</t>
  </si>
  <si>
    <t>https://www.proquest.com/docview/2783810986</t>
  </si>
  <si>
    <t>https://www.proquest.com/docview/2783775893</t>
  </si>
  <si>
    <t>https://www.proquest.com/docview/2783812249</t>
  </si>
  <si>
    <t>https://www.proquest.com/docview/2783776105</t>
  </si>
  <si>
    <t>https://www.proquest.com/docview/2783776060</t>
  </si>
  <si>
    <t>https://www.proquest.com/docview/2783776339</t>
  </si>
  <si>
    <t>https://www.proquest.com/docview/2788858258</t>
  </si>
  <si>
    <t>https://www.proquest.com/docview/2783776032</t>
  </si>
  <si>
    <t>https://www.proquest.com/docview/2783775740</t>
  </si>
  <si>
    <t>https://www.proquest.com/docview/2783776157</t>
  </si>
  <si>
    <t>https://www.proquest.com/docview/2783776314</t>
  </si>
  <si>
    <t>https://www.proquest.com/docview/2783776150</t>
  </si>
  <si>
    <t>https://www.proquest.com/docview/2783775859</t>
  </si>
  <si>
    <t>https://www.proquest.com/docview/2783815974</t>
  </si>
  <si>
    <t>https://www.proquest.com/docview/2783812223</t>
  </si>
  <si>
    <t>https://www.proquest.com/docview/2783776686</t>
  </si>
  <si>
    <t>https://www.proquest.com/docview/2783775992</t>
  </si>
  <si>
    <t>https://www.proquest.com/docview/2783776688</t>
  </si>
  <si>
    <t>https://www.proquest.com/docview/2783776687</t>
  </si>
  <si>
    <t>https://www.proquest.com/docview/2783776280</t>
  </si>
  <si>
    <t>https://www.proquest.com/docview/2783812342</t>
  </si>
  <si>
    <t>https://www.proquest.com/docview/2783775906</t>
  </si>
  <si>
    <t>https://www.proquest.com/docview/2783775905</t>
  </si>
  <si>
    <t>https://www.proquest.com/docview/2783775908</t>
  </si>
  <si>
    <t>https://www.proquest.com/docview/2783801445</t>
  </si>
  <si>
    <t>https://www.proquest.com/docview/2783775909</t>
  </si>
  <si>
    <t>https://www.proquest.com/docview/2783776678</t>
  </si>
  <si>
    <t>https://www.proquest.com/docview/2783812219</t>
  </si>
  <si>
    <t>https://www.proquest.com/docview/2783776319</t>
  </si>
  <si>
    <t>https://www.proquest.com/docview/2783775680</t>
  </si>
  <si>
    <t>https://www.proquest.com/docview/2783776651</t>
  </si>
  <si>
    <t>https://www.proquest.com/docview/2783776133</t>
  </si>
  <si>
    <t>https://www.proquest.com/docview/2783812218</t>
  </si>
  <si>
    <t>https://www.proquest.com/docview/2783812217</t>
  </si>
  <si>
    <t>https://www.proquest.com/docview/2783806580</t>
  </si>
  <si>
    <t>https://www.proquest.com/docview/2783776092</t>
  </si>
  <si>
    <t>https://www.proquest.com/docview/2783812177</t>
  </si>
  <si>
    <t>https://www.proquest.com/docview/2783776371</t>
  </si>
  <si>
    <t>https://www.proquest.com/docview/2783801453</t>
  </si>
  <si>
    <t>https://www.proquest.com/docview/2783775678</t>
  </si>
  <si>
    <t>https://www.proquest.com/docview/2783815953</t>
  </si>
  <si>
    <t>https://www.proquest.com/docview/2783776661</t>
  </si>
  <si>
    <t>https://www.proquest.com/docview/2783812327</t>
  </si>
  <si>
    <t>https://www.proquest.com/docview/2783776146</t>
  </si>
  <si>
    <t>https://www.proquest.com/docview/2783776149</t>
  </si>
  <si>
    <t>https://www.proquest.com/docview/2783776303</t>
  </si>
  <si>
    <t>https://www.proquest.com/docview/2783812325</t>
  </si>
  <si>
    <t>https://www.proquest.com/docview/2783776148</t>
  </si>
  <si>
    <t>https://www.proquest.com/docview/2783812320</t>
  </si>
  <si>
    <t>https://www.proquest.com/docview/2783802796</t>
  </si>
  <si>
    <t>https://www.proquest.com/docview/2783802798</t>
  </si>
  <si>
    <t>https://www.proquest.com/docview/2783801466</t>
  </si>
  <si>
    <t>https://www.proquest.com/docview/2783803404</t>
  </si>
  <si>
    <t>https://www.proquest.com/docview/2783803405</t>
  </si>
  <si>
    <t>https://www.proquest.com/docview/2783802835</t>
  </si>
  <si>
    <t>https://www.proquest.com/docview/2783775722</t>
  </si>
  <si>
    <t>https://www.proquest.com/docview/2783776139</t>
  </si>
  <si>
    <t>https://www.proquest.com/docview/2783812319</t>
  </si>
  <si>
    <t>https://www.proquest.com/docview/2783775728</t>
  </si>
  <si>
    <t>https://www.proquest.com/docview/2783776079</t>
  </si>
  <si>
    <t>https://www.proquest.com/docview/2783812311</t>
  </si>
  <si>
    <t>https://www.proquest.com/docview/2783776113</t>
  </si>
  <si>
    <t>https://www.proquest.com/docview/2783776074</t>
  </si>
  <si>
    <t>https://www.proquest.com/docview/2783802685</t>
  </si>
  <si>
    <t>https://www.proquest.com/docview/2783801478</t>
  </si>
  <si>
    <t>https://www.proquest.com/docview/2783776106</t>
  </si>
  <si>
    <t>https://www.proquest.com/docview/2783802680</t>
  </si>
  <si>
    <t>https://www.proquest.com/docview/2783776747</t>
  </si>
  <si>
    <t>https://www.proquest.com/docview/2783833749</t>
  </si>
  <si>
    <t>https://www.proquest.com/docview/2783802684</t>
  </si>
  <si>
    <t>https://www.proquest.com/docview/2783853234</t>
  </si>
  <si>
    <t>https://www.proquest.com/docview/2783801474</t>
  </si>
  <si>
    <t>https://www.proquest.com/docview/2783801473</t>
  </si>
  <si>
    <t>https://www.proquest.com/docview/2783802683</t>
  </si>
  <si>
    <t>https://www.proquest.com/docview/2783776363</t>
  </si>
  <si>
    <t>https://www.proquest.com/docview/2783776120</t>
  </si>
  <si>
    <t>https://www.proquest.com/docview/2783776125</t>
  </si>
  <si>
    <t>https://www.proquest.com/docview/2783784810</t>
  </si>
  <si>
    <t>https://www.proquest.com/docview/2783802334</t>
  </si>
  <si>
    <t>https://www.proquest.com/docview/2783775829</t>
  </si>
  <si>
    <t>https://www.proquest.com/docview/2783802333</t>
  </si>
  <si>
    <t>https://www.proquest.com/docview/2783801486</t>
  </si>
  <si>
    <t>https://www.proquest.com/docview/2783802335</t>
  </si>
  <si>
    <t>https://www.proquest.com/docview/2783802330</t>
  </si>
  <si>
    <t>https://www.proquest.com/docview/2783776639</t>
  </si>
  <si>
    <t>https://www.proquest.com/docview/2783776330</t>
  </si>
  <si>
    <t>https://www.proquest.com/docview/2783776299</t>
  </si>
  <si>
    <t>https://www.proquest.com/docview/2783776698</t>
  </si>
  <si>
    <t>https://www.proquest.com/docview/2783776727</t>
  </si>
  <si>
    <t>https://www.proquest.com/docview/2783802343</t>
  </si>
  <si>
    <t>https://www.proquest.com/docview/2783776343</t>
  </si>
  <si>
    <t>https://www.proquest.com/docview/2783776100</t>
  </si>
  <si>
    <t>https://www.proquest.com/docview/2783776740</t>
  </si>
  <si>
    <t>https://www.proquest.com/docview/2783776102</t>
  </si>
  <si>
    <t>https://www.proquest.com/docview/2783776347</t>
  </si>
  <si>
    <t>https://www.proquest.com/docview/2783776742</t>
  </si>
  <si>
    <t>https://www.proquest.com/docview/2783868889</t>
  </si>
  <si>
    <t>https://www.proquest.com/docview/2783776337</t>
  </si>
  <si>
    <t>https://www.proquest.com/docview/2783776738</t>
  </si>
  <si>
    <t>https://www.proquest.com/docview/2783776671</t>
  </si>
  <si>
    <t>https://www.proquest.com/docview/2783776673</t>
  </si>
  <si>
    <t>https://www.proquest.com/docview/2783776672</t>
  </si>
  <si>
    <t>https://www.proquest.com/docview/2783776677</t>
  </si>
  <si>
    <t>https://www.proquest.com/docview/2783775742</t>
  </si>
  <si>
    <t>https://www.proquest.com/docview/2783775741</t>
  </si>
  <si>
    <t>https://www.proquest.com/docview/2783776709</t>
  </si>
  <si>
    <t>https://www.proquest.com/docview/2783776708</t>
  </si>
  <si>
    <t>https://www.proquest.com/docview/2783775733</t>
  </si>
  <si>
    <t>https://www.proquest.com/docview/2783776668</t>
  </si>
  <si>
    <t>https://www.proquest.com/docview/2783775732</t>
  </si>
  <si>
    <t>https://www.proquest.com/docview/2783775735</t>
  </si>
  <si>
    <t>https://www.proquest.com/docview/2783775734</t>
  </si>
  <si>
    <t>https://www.proquest.com/docview/2783775737</t>
  </si>
  <si>
    <t>https://www.proquest.com/docview/2783776704</t>
  </si>
  <si>
    <t>https://www.proquest.com/docview/2783775739</t>
  </si>
  <si>
    <t>https://www.proquest.com/docview/2783776707</t>
  </si>
  <si>
    <t>https://www.proquest.com/docview/2783776706</t>
  </si>
  <si>
    <t>https://www.proquest.com/docview/2783775738</t>
  </si>
  <si>
    <t>https://www.proquest.com/docview/2783776681</t>
  </si>
  <si>
    <t>https://www.proquest.com/docview/2783776684</t>
  </si>
  <si>
    <t>https://www.proquest.com/docview/2783776323</t>
  </si>
  <si>
    <t>https://www.proquest.com/docview/2783776685</t>
  </si>
  <si>
    <t>https://www.proquest.com/docview/2783812221</t>
  </si>
  <si>
    <t>https://www.proquest.com/docview/2783776680</t>
  </si>
  <si>
    <t>https://www.proquest.com/docview/2783801448</t>
  </si>
  <si>
    <t>https://www.proquest.com/docview/2783776712</t>
  </si>
  <si>
    <t>https://www.proquest.com/docview/2783776679</t>
  </si>
  <si>
    <t>https://www.proquest.com/docview/2783775743</t>
  </si>
  <si>
    <t>https://www.proquest.com/docview/2783776317</t>
  </si>
  <si>
    <t>https://www.proquest.com/docview/2783776713</t>
  </si>
  <si>
    <t>https://www.proquest.com/docview/2783776716</t>
  </si>
  <si>
    <t>https://www.proquest.com/docview/2783776715</t>
  </si>
  <si>
    <t>https://www.proquest.com/docview/2783776131</t>
  </si>
  <si>
    <t>https://www.proquest.com/docview/2783776375</t>
  </si>
  <si>
    <t>https://www.proquest.com/docview/2783853767</t>
  </si>
  <si>
    <t>https://www.proquest.com/docview/2783776650</t>
  </si>
  <si>
    <t>https://www.proquest.com/docview/2783776653</t>
  </si>
  <si>
    <t>https://www.proquest.com/docview/2783882980</t>
  </si>
  <si>
    <t>https://www.proquest.com/docview/2783865187</t>
  </si>
  <si>
    <t>https://www.proquest.com/docview/2783776130</t>
  </si>
  <si>
    <t>https://www.proquest.com/docview/2783776097</t>
  </si>
  <si>
    <t>https://www.proquest.com/docview/2783776096</t>
  </si>
  <si>
    <t>https://www.proquest.com/docview/2783776128</t>
  </si>
  <si>
    <t>https://www.proquest.com/docview/2783776648</t>
  </si>
  <si>
    <t>https://www.proquest.com/docview/2783776647</t>
  </si>
  <si>
    <t>https://www.proquest.com/docview/2788857871</t>
  </si>
  <si>
    <t>https://www.proquest.com/docview/2783776662</t>
  </si>
  <si>
    <t>https://www.proquest.com/docview/2783776663</t>
  </si>
  <si>
    <t>https://www.proquest.com/docview/2783776666</t>
  </si>
  <si>
    <t>https://www.proquest.com/docview/2783775730</t>
  </si>
  <si>
    <t>https://www.proquest.com/docview/2783882992</t>
  </si>
  <si>
    <t>https://www.proquest.com/docview/2783802795</t>
  </si>
  <si>
    <t>https://www.proquest.com/docview/2783801588</t>
  </si>
  <si>
    <t>https://www.proquest.com/docview/2783802797</t>
  </si>
  <si>
    <t>https://www.proquest.com/docview/2783882982</t>
  </si>
  <si>
    <t>https://www.proquest.com/docview/2783776657</t>
  </si>
  <si>
    <t>https://www.proquest.com/docview/2783776656</t>
  </si>
  <si>
    <t>https://www.proquest.com/docview/2783775724</t>
  </si>
  <si>
    <t>https://www.proquest.com/docview/2783776658</t>
  </si>
  <si>
    <t>https://www.proquest.com/docview/2783775726</t>
  </si>
  <si>
    <t>https://www.proquest.com/docview/2783776110</t>
  </si>
  <si>
    <t>https://www.proquest.com/docview/2783852657</t>
  </si>
  <si>
    <t>https://www.proquest.com/docview/2783776752</t>
  </si>
  <si>
    <t>https://www.proquest.com/docview/2783776751</t>
  </si>
  <si>
    <t>https://www.proquest.com/docview/2783776116</t>
  </si>
  <si>
    <t>https://www.proquest.com/docview/2783868870</t>
  </si>
  <si>
    <t>https://www.proquest.com/docview/2783776753</t>
  </si>
  <si>
    <t>https://www.proquest.com/docview/2783868872</t>
  </si>
  <si>
    <t>https://www.proquest.com/docview/2783801476</t>
  </si>
  <si>
    <t>https://www.proquest.com/docview/2783868904</t>
  </si>
  <si>
    <t>https://www.proquest.com/docview/2783776107</t>
  </si>
  <si>
    <t>https://www.proquest.com/docview/2783775897</t>
  </si>
  <si>
    <t>https://www.proquest.com/docview/2783802682</t>
  </si>
  <si>
    <t>https://www.proquest.com/docview/2783801472</t>
  </si>
  <si>
    <t>https://www.proquest.com/docview/2783776749</t>
  </si>
  <si>
    <t>https://www.proquest.com/docview/2783776089</t>
  </si>
  <si>
    <t>https://www.proquest.com/docview/2783776367</t>
  </si>
  <si>
    <t>https://www.proquest.com/docview/2783875426</t>
  </si>
  <si>
    <t>https://www.proquest.com/docview/2783776124</t>
  </si>
  <si>
    <t>https://www.proquest.com/docview/2783868862</t>
  </si>
  <si>
    <t>https://www.proquest.com/docview/2783776080</t>
  </si>
  <si>
    <t>https://www.proquest.com/docview/2783868866</t>
  </si>
  <si>
    <t>https://www.proquest.com/docview/2783776119</t>
  </si>
  <si>
    <t>https://www.proquest.com/docview/2783801482</t>
  </si>
  <si>
    <t>https://www.proquest.com/docview/2783853763</t>
  </si>
  <si>
    <t>https://www.proquest.com/docview/2783775760</t>
  </si>
  <si>
    <t>https://www.proquest.com/docview/2783775880</t>
  </si>
  <si>
    <t>https://www.proquest.com/docview/2783868890</t>
  </si>
  <si>
    <t>https://www.proquest.com/docview/2783775885</t>
  </si>
  <si>
    <t>https://www.proquest.com/docview/2783868892</t>
  </si>
  <si>
    <t>https://www.proquest.com/docview/2783885252</t>
  </si>
  <si>
    <t>https://www.proquest.com/docview/2783775755</t>
  </si>
  <si>
    <t>https://www.proquest.com/docview/2783775876</t>
  </si>
  <si>
    <t>https://www.proquest.com/docview/2783775754</t>
  </si>
  <si>
    <t>https://www.proquest.com/docview/2783776689</t>
  </si>
  <si>
    <t>https://www.proquest.com/docview/2783775878</t>
  </si>
  <si>
    <t>https://www.proquest.com/docview/2783775911</t>
  </si>
  <si>
    <t>https://www.proquest.com/docview/2783775879</t>
  </si>
  <si>
    <t>https://www.proquest.com/docview/2783776729</t>
  </si>
  <si>
    <t>https://www.proquest.com/docview/2783775890</t>
  </si>
  <si>
    <t>https://www.proquest.com/docview/2783776065</t>
  </si>
  <si>
    <t>https://www.proquest.com/docview/2783775892</t>
  </si>
  <si>
    <t>https://www.proquest.com/docview/2783775891</t>
  </si>
  <si>
    <t>https://www.proquest.com/docview/2783810985</t>
  </si>
  <si>
    <t>https://www.proquest.com/docview/2783775896</t>
  </si>
  <si>
    <t>https://www.proquest.com/docview/2783812248</t>
  </si>
  <si>
    <t>https://www.proquest.com/docview/2783863994</t>
  </si>
  <si>
    <t>https://www.proquest.com/docview/2783868885</t>
  </si>
  <si>
    <t>https://www.proquest.com/docview/2783775808</t>
  </si>
  <si>
    <t>https://www.proquest.com/docview/2783775887</t>
  </si>
  <si>
    <t>https://www.proquest.com/docview/2783775886</t>
  </si>
  <si>
    <t>https://www.proquest.com/docview/2783775888</t>
  </si>
  <si>
    <t>https://www.proquest.com/docview/2783853741</t>
  </si>
  <si>
    <t>https://www.proquest.com/docview/2783776154</t>
  </si>
  <si>
    <t>https://www.proquest.com/docview/2783776156</t>
  </si>
  <si>
    <t>https://www.proquest.com/docview/2783775860</t>
  </si>
  <si>
    <t>https://www.proquest.com/docview/2783776674</t>
  </si>
  <si>
    <t>https://www.proquest.com/docview/2783775862</t>
  </si>
  <si>
    <t>https://www.proquest.com/docview/2783776676</t>
  </si>
  <si>
    <t>https://www.proquest.com/docview/2783866254</t>
  </si>
  <si>
    <t>https://www.proquest.com/docview/2783883006</t>
  </si>
  <si>
    <t>https://www.proquest.com/docview/2783883004</t>
  </si>
  <si>
    <t>https://www.proquest.com/docview/2783775853</t>
  </si>
  <si>
    <t>https://www.proquest.com/docview/2783775856</t>
  </si>
  <si>
    <t>https://www.proquest.com/docview/2783775857</t>
  </si>
  <si>
    <t>https://www.proquest.com/docview/2783775736</t>
  </si>
  <si>
    <t>https://www.proquest.com/docview/2783776683</t>
  </si>
  <si>
    <t>https://www.proquest.com/docview/2783775751</t>
  </si>
  <si>
    <t>https://www.proquest.com/docview/2783775750</t>
  </si>
  <si>
    <t>https://www.proquest.com/docview/2783775752</t>
  </si>
  <si>
    <t>https://www.proquest.com/docview/2783776042</t>
  </si>
  <si>
    <t>https://www.proquest.com/docview/2783775907</t>
  </si>
  <si>
    <t>https://www.proquest.com/docview/2783883016</t>
  </si>
  <si>
    <t>https://www.proquest.com/docview/2783776652</t>
  </si>
  <si>
    <t>https://www.proquest.com/docview/2783775840</t>
  </si>
  <si>
    <t>https://www.proquest.com/docview/2783776095</t>
  </si>
  <si>
    <t>https://www.proquest.com/docview/2783815959</t>
  </si>
  <si>
    <t>https://www.proquest.com/docview/2783775710</t>
  </si>
  <si>
    <t>https://www.proquest.com/docview/2783775831</t>
  </si>
  <si>
    <t>https://www.proquest.com/docview/2783775713</t>
  </si>
  <si>
    <t>https://www.proquest.com/docview/2783775712</t>
  </si>
  <si>
    <t>https://www.proquest.com/docview/2783775836</t>
  </si>
  <si>
    <t>https://www.proquest.com/docview/2783776649</t>
  </si>
  <si>
    <t>https://www.proquest.com/docview/2783775835</t>
  </si>
  <si>
    <t>https://www.proquest.com/docview/2783830776</t>
  </si>
  <si>
    <t>https://www.proquest.com/docview/2783775837</t>
  </si>
  <si>
    <t>https://www.proquest.com/docview/2783812323</t>
  </si>
  <si>
    <t>https://www.proquest.com/docview/2783776144</t>
  </si>
  <si>
    <t>https://www.proquest.com/docview/2783775850</t>
  </si>
  <si>
    <t>https://www.proquest.com/docview/2783776147</t>
  </si>
  <si>
    <t>https://www.proquest.com/docview/2783775852</t>
  </si>
  <si>
    <t>https://www.proquest.com/docview/2783776665</t>
  </si>
  <si>
    <t>https://www.proquest.com/docview/2783885345</t>
  </si>
  <si>
    <t>https://www.proquest.com/docview/2783865968</t>
  </si>
  <si>
    <t>https://www.proquest.com/docview/2783775729</t>
  </si>
  <si>
    <t>https://www.proquest.com/docview/2783882985</t>
  </si>
  <si>
    <t>https://www.proquest.com/docview/2783775723</t>
  </si>
  <si>
    <t>https://www.proquest.com/docview/2783775847</t>
  </si>
  <si>
    <t>https://www.proquest.com/docview/2783775849</t>
  </si>
  <si>
    <t>https://www.proquest.com/docview/2783775848</t>
  </si>
  <si>
    <t>https://www.proquest.com/docview/2783776076</t>
  </si>
  <si>
    <t>https://www.proquest.com/docview/2783775663</t>
  </si>
  <si>
    <t>https://www.proquest.com/docview/2783833751</t>
  </si>
  <si>
    <t>https://www.proquest.com/docview/2783812316</t>
  </si>
  <si>
    <t>https://www.proquest.com/docview/2783833752</t>
  </si>
  <si>
    <t>https://www.proquest.com/docview/2783775662</t>
  </si>
  <si>
    <t>https://www.proquest.com/docview/2783868873</t>
  </si>
  <si>
    <t>https://www.proquest.com/docview/2783885352</t>
  </si>
  <si>
    <t>https://www.proquest.com/docview/2783868879</t>
  </si>
  <si>
    <t>https://www.proquest.com/docview/2783868869</t>
  </si>
  <si>
    <t>https://www.proquest.com/docview/2783885349</t>
  </si>
  <si>
    <t>https://www.proquest.com/docview/2788858261</t>
  </si>
  <si>
    <t>https://www.proquest.com/docview/2783775656</t>
  </si>
  <si>
    <t>https://www.proquest.com/docview/2783775810</t>
  </si>
  <si>
    <t>https://www.proquest.com/docview/2783775655</t>
  </si>
  <si>
    <t>https://www.proquest.com/docview/2783775657</t>
  </si>
  <si>
    <t>https://www.proquest.com/docview/2783802681</t>
  </si>
  <si>
    <t>https://www.proquest.com/docview/2783775674</t>
  </si>
  <si>
    <t>https://www.proquest.com/docview/2783775830</t>
  </si>
  <si>
    <t>https://www.proquest.com/docview/2783868865</t>
  </si>
  <si>
    <t>https://www.proquest.com/docview/2783775821</t>
  </si>
  <si>
    <t>https://www.proquest.com/docview/2783775823</t>
  </si>
  <si>
    <t>https://www.proquest.com/docview/2783775822</t>
  </si>
  <si>
    <t>https://www.proquest.com/docview/2783775827</t>
  </si>
  <si>
    <t>https://www.proquest.com/docview/2783775826</t>
  </si>
  <si>
    <t>https://www.proquest.com/docview/2783776693</t>
  </si>
  <si>
    <t>https://www.proquest.com/docview/2783776692</t>
  </si>
  <si>
    <t>https://www.proquest.com/docview/2783776695</t>
  </si>
  <si>
    <t>https://www.proquest.com/docview/2783776694</t>
  </si>
  <si>
    <t>https://www.proquest.com/docview/2783776730</t>
  </si>
  <si>
    <t>https://www.proquest.com/docview/2783776697</t>
  </si>
  <si>
    <t>https://www.proquest.com/docview/2783776696</t>
  </si>
  <si>
    <t>https://www.proquest.com/docview/2783776732</t>
  </si>
  <si>
    <t>https://www.proquest.com/docview/2783776699</t>
  </si>
  <si>
    <t>https://www.proquest.com/docview/2783776731</t>
  </si>
  <si>
    <t>https://www.proquest.com/docview/2783868894</t>
  </si>
  <si>
    <t>https://www.proquest.com/docview/2783885255</t>
  </si>
  <si>
    <t>https://www.proquest.com/docview/2783776691</t>
  </si>
  <si>
    <t>https://www.proquest.com/docview/2783876150</t>
  </si>
  <si>
    <t>https://www.proquest.com/docview/2783776722</t>
  </si>
  <si>
    <t>https://www.proquest.com/docview/2783776728</t>
  </si>
  <si>
    <t>https://www.proquest.com/docview/2783833745</t>
  </si>
  <si>
    <t>https://www.proquest.com/docview/2783835801</t>
  </si>
  <si>
    <t>https://www.proquest.com/docview/2783776741</t>
  </si>
  <si>
    <t>https://www.proquest.com/docview/2788858529</t>
  </si>
  <si>
    <t>https://www.proquest.com/docview/2783776743</t>
  </si>
  <si>
    <t>https://www.proquest.com/docview/2784911087</t>
  </si>
  <si>
    <t>https://www.proquest.com/docview/2783776734</t>
  </si>
  <si>
    <t>https://www.proquest.com/docview/2783776733</t>
  </si>
  <si>
    <t>https://www.proquest.com/docview/2783776736</t>
  </si>
  <si>
    <t>https://www.proquest.com/docview/2783776735</t>
  </si>
  <si>
    <t>https://www.proquest.com/docview/2783776737</t>
  </si>
  <si>
    <t>https://www.proquest.com/docview/2788858533</t>
  </si>
  <si>
    <t>https://www.proquest.com/docview/2783776670</t>
  </si>
  <si>
    <t>https://www.proquest.com/docview/2783776675</t>
  </si>
  <si>
    <t>https://www.proquest.com/docview/2783776710</t>
  </si>
  <si>
    <t>https://www.proquest.com/docview/2783815981</t>
  </si>
  <si>
    <t>https://www.proquest.com/docview/2783815980</t>
  </si>
  <si>
    <t>https://www.proquest.com/docview/2783865203</t>
  </si>
  <si>
    <t>https://www.proquest.com/docview/2783815982</t>
  </si>
  <si>
    <t>https://www.proquest.com/docview/2783883007</t>
  </si>
  <si>
    <t>https://www.proquest.com/docview/2783776701</t>
  </si>
  <si>
    <t>https://www.proquest.com/docview/2783776667</t>
  </si>
  <si>
    <t>https://www.proquest.com/docview/2783776700</t>
  </si>
  <si>
    <t>https://www.proquest.com/docview/2783776703</t>
  </si>
  <si>
    <t>https://www.proquest.com/docview/2783776702</t>
  </si>
  <si>
    <t>https://www.proquest.com/docview/2783776669</t>
  </si>
  <si>
    <t>https://www.proquest.com/docview/2783776705</t>
  </si>
  <si>
    <t>https://www.proquest.com/docview/2783776682</t>
  </si>
  <si>
    <t>https://www.proquest.com/docview/2783776721</t>
  </si>
  <si>
    <t>https://www.proquest.com/docview/2783883022</t>
  </si>
  <si>
    <t>https://www.proquest.com/docview/2783815970</t>
  </si>
  <si>
    <t>https://www.proquest.com/docview/2783815972</t>
  </si>
  <si>
    <t>https://www.proquest.com/docview/2783853042</t>
  </si>
  <si>
    <t>https://www.proquest.com/docview/2783776711</t>
  </si>
  <si>
    <t>https://www.proquest.com/docview/2783776714</t>
  </si>
  <si>
    <t>https://www.proquest.com/docview/2783775902</t>
  </si>
  <si>
    <t>https://www.proquest.com/docview/2783835799</t>
  </si>
  <si>
    <t>https://www.proquest.com/docview/2783835399</t>
  </si>
  <si>
    <t>https://www.proquest.com/docview/2783815966</t>
  </si>
  <si>
    <t>https://www.proquest.com/docview/2783776655</t>
  </si>
  <si>
    <t>https://www.proquest.com/docview/2783815969</t>
  </si>
  <si>
    <t>https://www.proquest.com/docview/2783776654</t>
  </si>
  <si>
    <t>https://www.proquest.com/docview/2783882981</t>
  </si>
  <si>
    <t>https://www.proquest.com/docview/2783815968</t>
  </si>
  <si>
    <t>https://www.proquest.com/docview/2783835791</t>
  </si>
  <si>
    <t>https://www.proquest.com/docview/2783835397</t>
  </si>
  <si>
    <t>https://www.proquest.com/docview/2783815961</t>
  </si>
  <si>
    <t>https://www.proquest.com/docview/2783815960</t>
  </si>
  <si>
    <t>https://www.proquest.com/docview/2783883028</t>
  </si>
  <si>
    <t>https://www.proquest.com/docview/2783830816</t>
  </si>
  <si>
    <t>https://www.proquest.com/docview/2783815952</t>
  </si>
  <si>
    <t>https://www.proquest.com/docview/2783776660</t>
  </si>
  <si>
    <t>https://www.proquest.com/docview/2788857875</t>
  </si>
  <si>
    <t>https://www.proquest.com/docview/2788857877</t>
  </si>
  <si>
    <t>https://www.proquest.com/docview/2783776664</t>
  </si>
  <si>
    <t>https://www.proquest.com/docview/2783885225</t>
  </si>
  <si>
    <t>https://www.proquest.com/docview/2783815950</t>
  </si>
  <si>
    <t>https://www.proquest.com/docview/2783815949</t>
  </si>
  <si>
    <t>https://www.proquest.com/docview/2783776659</t>
  </si>
  <si>
    <t>https://www.proquest.com/docview/2783882986</t>
  </si>
  <si>
    <t>https://www.proquest.com/docview/2783815940</t>
  </si>
  <si>
    <t>https://www.proquest.com/docview/2783776750</t>
  </si>
  <si>
    <t>https://www.proquest.com/docview/2783833754</t>
  </si>
  <si>
    <t>https://www.proquest.com/docview/2783776754</t>
  </si>
  <si>
    <t>https://www.proquest.com/docview/2783815946</t>
  </si>
  <si>
    <t>https://www.proquest.com/docview/2783868877</t>
  </si>
  <si>
    <t>https://www.proquest.com/docview/2788858260</t>
  </si>
  <si>
    <t>https://www.proquest.com/docview/2788858263</t>
  </si>
  <si>
    <t>https://www.proquest.com/docview/2783776745</t>
  </si>
  <si>
    <t>https://www.proquest.com/docview/2783776744</t>
  </si>
  <si>
    <t>https://www.proquest.com/docview/2783776746</t>
  </si>
  <si>
    <t>https://www.proquest.com/docview/2783815939</t>
  </si>
  <si>
    <t>https://www.proquest.com/docview/2788858267</t>
  </si>
  <si>
    <t>https://www.proquest.com/docview/2783882997</t>
  </si>
  <si>
    <t>https://www.proquest.com/docview/2783776748</t>
  </si>
  <si>
    <t>https://www.proquest.com/docview/2783865193</t>
  </si>
  <si>
    <t>https://www.proquest.com/docview/2783868860</t>
  </si>
  <si>
    <t>https://www.proquest.com/docview/2783868863</t>
  </si>
  <si>
    <t>https://www.proquest.com/docview/2783885361</t>
  </si>
  <si>
    <t>https://www.proquest.com/docview/2783868859</t>
  </si>
  <si>
    <t>https://www.proquest.com/docview/2783830808</t>
  </si>
  <si>
    <t>https://www.proquest.com/docview/2783830806</t>
  </si>
  <si>
    <t>https://www.proquest.com/docview/2783830803</t>
  </si>
  <si>
    <t>https://www.proquest.com/docview/2783775704</t>
  </si>
  <si>
    <t>Client "S" Therapy Session Audio Recording, December 31, 2012: Client discusses how she cannot reciprocate the love in her relationship because she feels undeserving. Client also discusses how she often plays the role of victim in all aspects of her life.</t>
  </si>
  <si>
    <t>ProQuest LLC</t>
  </si>
  <si>
    <t>Client "J", Session July 19, 2013: Client discusses his upcoming weekend plans and how he's handling his money issues.</t>
  </si>
  <si>
    <t>Client "Ju", Session January 07, 2014: Client discusses switching to a new medication, communication issues, and racial prejudice.</t>
  </si>
  <si>
    <t>Client "R", Session March 21, 2014: Client discusses being upset over a past therapy session where a therapist-related dream was discussed.</t>
  </si>
  <si>
    <t>Client "K", Session September 15, 2014: Client discusses the feeling that life is very repetitive and their attempt to be more flexible.</t>
  </si>
  <si>
    <t>Client "AP", Session 105: July 24, 2013: Client is stressed out about being broke and not being able to pay his rent for his new job. Client discusses his plans to make money and expand his new business.</t>
  </si>
  <si>
    <t>Client "R", Session April 9, 2013: Client talks about her fantasy about her therapist and a concert she attended.</t>
  </si>
  <si>
    <t>Client "JM", Session 4: October 21, 2013: Client is concerned about the messages her brain is receiving from the chronic pain she is experiencing; how does it affect her psychologically.</t>
  </si>
  <si>
    <t>Client "K" Session July 2, 2013: Client discusses her boyfriend, her dissatisfaction that his mother is still living with them, and wanting friendships with more intimacy.</t>
  </si>
  <si>
    <t>Client "S" Therapy Session Audio Recording, September 25, 2013: Client discusses how she feels bad for hurting her boyfriend and doesn't know how he feels about her anymore. Client believes that no one can love her once they see the 'muck' lurking behind the facade.</t>
  </si>
  <si>
    <t>Client "AP", Session 55: February 22, 2013: Client has noticed that he feels an increase in his anxiety levels when he is in these therapy sessions. He recollects about a time when he was intensely humiliated in front of a group of older friends he looked up to and admired.</t>
  </si>
  <si>
    <t>Client "L" Therapy Session Audio Recording, November 06, 2013: Client discusses his most recent couples' therapy session and how he discusses leaving his wife. Client feels his needs are not being met in his marriage and it might be time to end it.</t>
  </si>
  <si>
    <t>Client "D", Session May 13, 2013: Client discusses his apprehension about starting school and the possibility of moving. Client discusses his relationship with his father.</t>
  </si>
  <si>
    <t>Client "S" Therapy Session Audio Recording, December 28, 2012: Client discusses a recent altercation with a classmate and how she takes certain situations and comments personally to the point of getting very angry.</t>
  </si>
  <si>
    <t>Client "SR", Session December 05, 2013: Client discusses relationships with siblings, a lack of sexual intimacy with spouse, and ongoing marital issues.</t>
  </si>
  <si>
    <t>Client "J", Session March 18, 2014: Client discusses ongoing financial and legal issues.</t>
  </si>
  <si>
    <t>Client "AP", Session 131: October 04, 2013: Client discusses possible plans to teach overseas. Client discusses his interaction with women in the area and how there is a major disconnect between his interests and theirs.</t>
  </si>
  <si>
    <t>Client "AP", Session 182: March 20, 2014: Client discusses romantic interests. Client also discusses the possibility of losing his grandmother.</t>
  </si>
  <si>
    <t>Client "D", Session March 14, 2013: Client discusses paying for therapy and how it impacts client-therapist relationship, anxiety.</t>
  </si>
  <si>
    <t>Client "RY", Session 3: March 11, 2013: Client discusses her anger toward her spouse, the toll her spouse's depression is taking on their marriage, lack of support from his parents.</t>
  </si>
  <si>
    <t>Client "L" Therapy Session Audio Recording, October 16, 2013: Client discusses the stress he feels about his upcoming dissertation defense and the state of his marriage. Client discusses his first couples therapy session.</t>
  </si>
  <si>
    <t>Client "R" Session February 25, 2013: Client talks about feeling panicky and suicidal when she feels like she's trapped in a situation.</t>
  </si>
  <si>
    <t>Client "R", Session April 10, 2013: Client talks about her wedding, how her marriage impacted her relationship with her parents, and a recent panic attack.</t>
  </si>
  <si>
    <t>Client "L" Therapy Session Audio Recording, April 02, 2014: Client discusses his commitment to his marriage, which feel very one-sided as his wife struggles with her depression.</t>
  </si>
  <si>
    <t>Client "S", Session May 17, 2013: Client expresses frustration about a friend, talks about issues she experiences in friendships in general, her weight, and loneliness.</t>
  </si>
  <si>
    <t>Client "S" Therapy Session Audio Recording, January 30, 2013: Client discusses the possibility of doing couples therapy with her current therapist. Client also discusses the relationship she has with her mother and her desire to feel burdened.</t>
  </si>
  <si>
    <t>Client "R" Session March 17, 2014: Client is not having much luck in finding a new position and is starting to look for different opportunities outside of her current field. Client discusses being frustrated by her boyfriend and feeling as if she's been here before with other romantic partners.</t>
  </si>
  <si>
    <t>Client "Ma", Session April 09, 2013: Client is worried that the conversation from yesterday's session (regarding client-therapist attractions) will change the dynamics of relationship.</t>
  </si>
  <si>
    <t>Client "M", Session January 17, 2013: Client discusses her perception of social interactions relationships lacking depth, and the suicide of Aaron Swartz.</t>
  </si>
  <si>
    <t>Client "D" Therapy Session Audio Recording, March 19, 2014: Client talks about family members, trust, and the difference between niceness and kindness.</t>
  </si>
  <si>
    <t>Client "Ma", Session March 18, 2013: Client is still having problems piecing together even recent memories due to the ECT treatments.</t>
  </si>
  <si>
    <t>Client "J" Therapy Session Audio Recording, November 26, 2013: Client discusses a recent fight she had with her boyfriend over money and how she is tired of having to pay for everything.</t>
  </si>
  <si>
    <t>Client "Ma", Session February 19, 2014: Client discusses something the therapist said in a previous session that was hurtful. Client discusses how painful it is for her to criticize her therapist and what it means to her ability to be present in her sessions if she feels he is wrong.</t>
  </si>
  <si>
    <t>Client "Ma", Session January 28, 2014: Client discusses being really sad and in a bad place recently. Client does not want to go through the same treatment options as last time, if she does go to the hospital, and is tired of having to defend herself to others.</t>
  </si>
  <si>
    <t>Client "S" Therapy Session Audio Recording, February 06, 2013: Client discusses the resentment she feels towards her mother, but would feel guilty if she didn't take care of her.</t>
  </si>
  <si>
    <t>Client "Ju", Session June 4, 2013: Client thinks she is communicating poorly with friends and coworkers; expresses serious dissatisfaction with her workplace and manager.</t>
  </si>
  <si>
    <t>Client "A", Session January 16, 2013: Client is feeling more optimistic about his occupational outlook.</t>
  </si>
  <si>
    <t>Client "RY", Session 24: August 12, 2013: Client discusses the dissatisfaction she feels in her marriage and her fears about divorce.</t>
  </si>
  <si>
    <t>Client "AP", Session 147: November 21, 2013: Client discusses a fight he had with his mother over his lack of income and him not moving in with his mother so they can rent out his apartment. Client is not yet at the point of applying to coffee shops, but he is getting close.</t>
  </si>
  <si>
    <t>Client "S" Therapy Session Audio Recording, January 02, 2013: Client discusses how she feels guilt towards her mother and how difficult life was for her and her family when they first immigrated.</t>
  </si>
  <si>
    <t>Client "S" Therapy Session Audio Recording, November 18, 2013: Client discusses how her relationship with power and socioeconomic status stems from her childhood.</t>
  </si>
  <si>
    <t>Client "B", Session April 24, 2014: Client discusses a major issue of abuse and internet trolling that is occurring in her career field. Client discusses the anger and frustration she feels towards her friend who is naming herself as the expert on sexual violence and how best to handle abusive relationships.</t>
  </si>
  <si>
    <t>Client "Ma", Session July 8, 2013: Client discusses their suicidal tendencies in their daily life.</t>
  </si>
  <si>
    <t>Client "Ma", Session February 18, 2013: Client is extremely anxious in this session; she can't even look at the therapist while speaking to him.</t>
  </si>
  <si>
    <t>Client "G", Session February 22, 2013: Client is frustrated with the status of his relationship with his girlfriend. Client is unmotivated to get a job or go back to school.</t>
  </si>
  <si>
    <t>Client "J", Session March 29, 2013: Client is upset about the current trajectory of his separation as it is hindering his dating chances. Client is stressed about money and paying his bills.</t>
  </si>
  <si>
    <t>Client "L" Therapy Session Audio Recording, January 27, 2014: Client discusses his anger and anxiety over always feeling like he isn't allowed to express himself for sake of other people's feelings, especially his wife's feelings. He speaks openly about his strong feelings of love and attraction towards the therapist.</t>
  </si>
  <si>
    <t>Client "L" Therapy Session Audio Recording, April 17, 2014: Client discusses his therapist's pregnancy and her recent marriage. Client discusses his loneliness, which stems from the lack of intimacy with his wife. Client wonders if he can ever get this intimacy back or if he even wants to.</t>
  </si>
  <si>
    <t>Client "S" Session March 05, 2013: Client is worried that she will not get into graduate school and is still having difficulties with her roommates.</t>
  </si>
  <si>
    <t>Client "R", Session August 15, 2013: Client discusses a recent altercation she had with a family member. Client discusses her fantasies and dreams involving her therapist.</t>
  </si>
  <si>
    <t>Client "B", Session August 14, 2013: Client feels hurt by and unsure how to act around a friend who is trying to support her and the person who violated her consent.</t>
  </si>
  <si>
    <t>Client "A", Session February 06, 2013: Client talks about fiscal conflict and how it has played a part in the conflict amongst his family members and now in his interpersonal interactions. He often feels disoriented, and he wants to figure out a way to manage his life better.</t>
  </si>
  <si>
    <t>Client "J", Session June 18, 2013: Client discusses the medications he is going on to assist with his sexual dysfunction and anxiety.</t>
  </si>
  <si>
    <t>Client "L" Therapy Session Audio Recording, March 06, 2013: Client discusses a major event in his relationship and how he still feels anger about it towards his now wife. Client discusses his wife's rehabilitation and how her talk of suicide had an impact on him.</t>
  </si>
  <si>
    <t>Client "G", Session April 2, 2013: Client discusses difficult relationship with roommates, general religious beliefs, and basketball.</t>
  </si>
  <si>
    <t>Client "SRH" Therapy Session Audio Recording, December 12, 2013: Client discusses her frustration about how long it's taking her stomach issues to heal. Client discusses her ability to sabotage her current relationship because of her lack of patience.</t>
  </si>
  <si>
    <t>Client "YM", Session November 26, 2013: Client discusses her academic life and her extra-curricular interests, such as Toastmasters.</t>
  </si>
  <si>
    <t>Client "B", Session April 25, 2013: Client is fearful that people are talking behind her back. She has a hard time believing it when she feels socially accepted by individuals or a group.</t>
  </si>
  <si>
    <t>Client "S", Session May 31, 2013: Client talks about leasing a new car, being asked out on a date, and issues in relationships both romantic and platonic.</t>
  </si>
  <si>
    <t>Client "D", Session April 25, 2013: Client discusses leaving his job for law school, and his relationships with his parents.</t>
  </si>
  <si>
    <t>Client "R", Session April 8, 2013: Client talks about her housing situation, her boyfriend, whether or not they should share a living situation, her job, her diet, and anxiety-inducing habits.</t>
  </si>
  <si>
    <t>Client "R", Session March 20, 2014: Client discusses finding a therapist for their spouse and feelings of being emotionally overwhelmed.</t>
  </si>
  <si>
    <t>Client "Ma", Session May 24, 2013: Client discusses her relationship with her father and how she's upset that he doesn't remember important topics they discuss. Client is disorganized and unsure of what to discuss throughout the session.</t>
  </si>
  <si>
    <t>Client "Ma", Session December 21, 2012: Client and therapist talk about the possibility of her trying dialectical behavior therapy (DBT).</t>
  </si>
  <si>
    <t>Client "Ju", Session May 14, 2013: Client is still upset with her parents, particularly her mother, for prioritizing a card game over verifying her safety; struggles to accept their apology and communicate her feelings.</t>
  </si>
  <si>
    <t>Client "LJ", Session June 26, 2014: Client discusses drugs, both legal and illegal, video games, and eBay bidding wars.</t>
  </si>
  <si>
    <t>Client "MC" Therapy Session Audio Recording, June 19, 2013: Client discusses finishing his degree and trying to move on with his life and career after his break up.</t>
  </si>
  <si>
    <t>Client "GH", Session April 16, 2013: Client discusses expanding his interests into dancing, his dependance on masturbation, and his relationship with his roommate.</t>
  </si>
  <si>
    <t>Client "AP", Session 148: November 27, 2013: Client discusses his plans to pay down his mortgage and actually make some money off of his properties. Client wonders how life would have been if he had decided to marry the women he dated in the past.</t>
  </si>
  <si>
    <t>Client "AP", Session 160: January 08, 2014: Client discusses his upcoming move to Europe, which feels youthful and freeing to him. Client cannot wait to move and escape the life that he's entrenched himself in here.</t>
  </si>
  <si>
    <t>Client "Ma", Session March 19, 2014: Client discusses feeling bullied into having to show their cutting scars at a preschool pool day.</t>
  </si>
  <si>
    <t>Client "S", Session May 10, 2013: Client discusses his thoughts on seeing many different types of students studying in a local library.</t>
  </si>
  <si>
    <t>Client "A", Session January 18, 2013: Client is positive about his career move, he feels validated.</t>
  </si>
  <si>
    <t>Client "D", Session June 13, 2013: Client discusses his lack of emotional connection to his family, especially his parents.</t>
  </si>
  <si>
    <t>Client "JM", Session 14: January 28, 2014: Client talks about how much easier she finds the REBT process after her work with the therapist over the past 14 sessions, and how much more self-accepting she is now.</t>
  </si>
  <si>
    <t>Client "Ma", Session May 6, 2013: Client talks about how she handles anger, her inability to forgive herself, her partner's difficulty trusting her, and graduate school.</t>
  </si>
  <si>
    <t>Client "E", Session February 05, 2013: Client discusses her financial issues. They talk about what she expects from this therapeutic process. She feels drained and unmotivated by her negative thinking.</t>
  </si>
  <si>
    <t>Client "Ma", Session April 09, 2014: Client discusses her complicated feelings towards senior citizens; including her mother and grandmother.</t>
  </si>
  <si>
    <t>Client "AP", Session 78: May 08, 2013: Therapist recounts the discussion had with the client since the tape recorder shut off early in the session. Client worked through his issues with his current relationship and realized that he needs to break up with his girlfriend since they are not in the same place in life.</t>
  </si>
  <si>
    <t>Client "AP", Session 144: November 14, 2013: Client discusses a recent date he went on, which spirals into a discussion about the women he's dated in the past and why it never worked out with them.</t>
  </si>
  <si>
    <t>Client "Ju", Session November 26, 2013: Client discusses spending time with her family recently and the awkwardness of hearing them fight about infertility issues. Client is stressed about work and discusses trying to get some time off.</t>
  </si>
  <si>
    <t>Client "Ma", Session April 14, 2014: Client discusses the feeling that they are unable to do anything right.</t>
  </si>
  <si>
    <t>Client "B", Session February 26, 2014: Client discusses feeling like a failure at work as work performance reviews approach.</t>
  </si>
  <si>
    <t>Client "AP", Session 167: January 24, 2014: Client discusses a recent dream he had and his mother's desire to be a martyr. Client discusses his upcoming move overseas and how he won't buy his plane ticket because that makes it real.</t>
  </si>
  <si>
    <t>Client "R" Session March 03, 2014: Client discusses how she's getting some more exercise via dancing, but has yet to put into place a good eating plan. Client is also applying to more jobs and starting some volunteering. Client is worried about her boyfriend's panics and how he keeps canceling his psychiatrist appointments.</t>
  </si>
  <si>
    <t>Client "Ma", Session March 19, 2013: Client is feeling hopeless about finding employment; she feels frustrated with being 'unmarketable'.</t>
  </si>
  <si>
    <t>Client "L", Session January 25, 2013: Client discusses her post-surgery experience, her daughter's lesbian relationship, and her boyfriend.</t>
  </si>
  <si>
    <t>Client "S", Session June 28, 2013: Client discusses working on his new house. Client discusses the most recent news about an NFL football player.</t>
  </si>
  <si>
    <t>Client "Ma", Session April 23, 2013: Client is having a hard time with the concept of free-association as part of her therapeutic process in these sessions; it doesn't come naturally or easily to her.</t>
  </si>
  <si>
    <t>Client "K", Session December 17, 2012: Client describes how frustrated she becomes when she feels as though she has thrown herself off-track.</t>
  </si>
  <si>
    <t>Client "R" Session February 19, 2013: Client was hired for a job, but she may be slightly fearful that it is not the right job for her. She has been experiencing feelings of panic and having nightmares again.</t>
  </si>
  <si>
    <t>Client "DF", Session March 25, 2013: Client discusses how he plans to pay for his therapist appointments.</t>
  </si>
  <si>
    <t>Client "SM", Session October 8, 2012: Client discusses minor problems he and spouse are having, a concert he attended, and his math class.</t>
  </si>
  <si>
    <t>Client "Ma", Session February 17, 2014: Client discusses feeling cut off from her husband and good friend when they're together, and no longer feels the connection she used to. Client misses the work she did in grad school and wonders if she should re-apply.</t>
  </si>
  <si>
    <t>Client "Ju", Session February 25, 2014: Client discusses an emotional and depressive week, and being able unable to function academically as a result.</t>
  </si>
  <si>
    <t>Client "R", Session February 6, 2013: Client shares a conversation she had wither her mother, talks about her father and traumas endured by her extended family.</t>
  </si>
  <si>
    <t>Client "G", Session July 26, 2013: Client discusses his tendency to pick fights or find fault with potential romantic partners.</t>
  </si>
  <si>
    <t>Client "J", Session February 26, 2013: Client discusses issues surrounding her son's nursing habits and trying to wean off breast feeding altogether.</t>
  </si>
  <si>
    <t>Client "SR", Session February 11, 2014: Client discusses their difficulties with self- confidence, self-esteem, and self-acceptance.</t>
  </si>
  <si>
    <t>Client "A", Session March 06, 2014: Client discusses his job search and how the climate of academia has led him to not be offered positions. Client discusses how he's communicating in his marriage.</t>
  </si>
  <si>
    <t>Clients "Couple", Therapy Session Audio Recording, June 29, 2012: Clients discuss their extreme trust issues when they are hanging out with members of the opposite sex without each other present. Clients' trust issues stem from previous indiscretions.</t>
  </si>
  <si>
    <t>Client "A", Session May 29, 2013: Client discusses his current job situation and his paranoia over whether his contract will be extended. Client has difficulty communicating his desires to his boss.</t>
  </si>
  <si>
    <t>Client "Ma", Session February 25, 2013: Client and therapist discuss how her memory loss and cognitive functioning are still relatively poor, even though the intensity of her ECT treatment has been lowered.</t>
  </si>
  <si>
    <t>Client "Ma", Session April 16, 2014: Client discusses her work and how she feels about her employers. Client discusses the therapist's upcoming vacation and the anxiety she has over him leaving for an extended period of time.</t>
  </si>
  <si>
    <t>Client "Ju", Session February 19, 2013: Client is nervous about housing situation and frustrated with work and employment prospects.</t>
  </si>
  <si>
    <t>Client "E", Session March 05, 2013: Client is having her last session before moving away and discusses her feelings about the move and how she will handle her new life.</t>
  </si>
  <si>
    <t>Client "G", Session May 14, 2013: Client discusses his brash and forward attitude towards people. Client discusses his issues with sexual intimacy and his relationship with his mother.</t>
  </si>
  <si>
    <t>Client "K", Session January 23, 2014: Client discusses feeling stuck and anxious in current relationship.</t>
  </si>
  <si>
    <t>Client "R", Session June 13, 2014: Client discusses the stress of apartment hunting, and the disappointment of having holiday plans fall through.</t>
  </si>
  <si>
    <t>Client "Ma", Session May 21, 2013: Client discusses her reliance on other people to help her get by in life and how devastating it would be if those people were to leave her.</t>
  </si>
  <si>
    <t>Client "ML" Therapy Session Audio Recording, January 30, 2013: Client discusses his anger over how the insurance companies are handling his wife's hospitalization and soon release. Client discusses starting personal therapy sessions in lieu of couples therapy.</t>
  </si>
  <si>
    <t>Client "A", Session April 26, 2013: Client has fantasies that he is being left out of work projects and believes that his peers are trying to get him fired.</t>
  </si>
  <si>
    <t>Client "B", Session April 22, 2013: Client and therapist discuss the possibility of increasing the intensity/frequency of her sessions. She has been dealing with a stressful, personal interaction recently.</t>
  </si>
  <si>
    <t>Client "B", Session February 25, 2013: Client is still resistant to work. She has become afraid of expressing her thoughts and beliefs to friends since she recently lost a few friendships when she spoke her mind.</t>
  </si>
  <si>
    <t>Client "ML" Therapy Session Audio Recording, January 16, 2013: Client discusses his wife's hospitalization and her current treatment. Client sometimes believes that his wife will commit suicide which makes him feel exceedingly lonely.</t>
  </si>
  <si>
    <t>Client "L", Session December 19, 2012: Client talks about her boyfriend's relationship with her daughter and her frustrations with both, also her daughter's substance abuse and new girlfriend.</t>
  </si>
  <si>
    <t>Client "JM", Session 5: October 28th, 2013: Client is convinced that she is the only person, in her life, that doesn't have it all figured out. Therapist and client practice REBT.</t>
  </si>
  <si>
    <t>Client "SM", Session May 31, 2013: Client discusses the importance of taking stock of one's own life.</t>
  </si>
  <si>
    <t>Client "ADR" Therapy Session Audio Recording, February 12, 2013: Client discusses getting tired of everyone calling her to vent or fix issues. Client discusses the issues in her marriage.</t>
  </si>
  <si>
    <t>Client "A", Session November 22, 2013: Client's mother is helping him and his girlfriend take care of their newborn son and the client discusses how they've had more meaningful conversations about parenting and marriage in the process.</t>
  </si>
  <si>
    <t>Client "D", Session May 09, 2013: Client discusses the strained relationship he has with his father and how it is difficult to talk to him.</t>
  </si>
  <si>
    <t>Client "AP", Session 110: August 08, 2013: Client discusses the sadness he's been feeling but not communicating to his therapist. Client has started seeing someone new and is backing off despite everything going well. Client stresses about all of his dreams that he feels he cannot follow.</t>
  </si>
  <si>
    <t>Client "L", Session March 15, 2013: Client talks about a negative dining experience at a restaurant for which she once worked, and upcoming doctors' visits.</t>
  </si>
  <si>
    <t>Client "JM", Session 12: January 13, 2014: Client has opted to proceed with the surgery for chronic back pain. She talks about a family crisis and how it triggered an activating event between her and her mother.</t>
  </si>
  <si>
    <t>Client "R", Session July 19, 2013: Client discusses how she felt in the last session and how she reacts strongly to her therapist's actions.</t>
  </si>
  <si>
    <t>Client "B", Session July 24, 2013: Client talks about her choir and voice commitments and feeling like she should cut back various parts of her schedule.</t>
  </si>
  <si>
    <t>Client "L" Therapy Session Audio Recording, March 26, 2014: Client discusses his wife's depression and how it's having a negative impact on their relationship. Client feels as if he has to do double-duty in the relationship, and has difficulty trusting his wife once more.</t>
  </si>
  <si>
    <t>Client "KF", Session November 06, 2013: Client and his parents discuss the way his medications interact with his body and appetite. Client also discusses his use of electronics, and his attendance record at school.</t>
  </si>
  <si>
    <t>Client "Ma", Session February 10, 2014: Client discusses the role of self-harm in their life.</t>
  </si>
  <si>
    <t>Client "L" Therapy Session Audio Recording, June 12, 2013: Client discusses the frustration he feels when his wife forgets to get her medicine refilled and becomes depressed again because of it.</t>
  </si>
  <si>
    <t>Client "J", Session January 25, 2013: Client has noticed that his motivation levels are increasing and he is feeling more competent with his work.</t>
  </si>
  <si>
    <t>Client "S", Session June 7, 2013: Client addresses her self-esteem issues, feelings of loneliness and depression, and continues to discuss her ex-boyfriend.</t>
  </si>
  <si>
    <t>Client "Ma", Session January 24, 2014: Client discusses their feelings towards hospitalization and suicide.</t>
  </si>
  <si>
    <t>Client "A", Session November 28, 2012: Client discusses a recent conflict he's been having with his girlfriend.</t>
  </si>
  <si>
    <t>Client "JM", Session 10: January 06, 2014: Client talks about her emotional struggles with her parents, and her decision-making process regarding surgery for her back pain.</t>
  </si>
  <si>
    <t>Client "M", Session February 21, 2013: Client talks about recovering from a work-related injury, her spouse's sadness, and her spouse's family.</t>
  </si>
  <si>
    <t>Client "D", Session July 25 2013: Client discusses the sadness he felt about leaving a job and his plans when he gets back from a vacation.</t>
  </si>
  <si>
    <t>Client "M", Session January 02, 2013: Client talks about holidays, parents' illnesses, and a negative experience at work.</t>
  </si>
  <si>
    <t>Client "S" Therapy Session Audio Recording, September 16, 2013: Client discusses her new apartment and how it feels to live without her boyfriend. Client discusses the inadequacy of her profession when compared to others.</t>
  </si>
  <si>
    <t>Client "Ju", Session June 24, 2013: Client experienced night terrors and other panic symptoms after encountering an old girlfriend, therapist suggests her panic is triggered by feelings of disorientation.</t>
  </si>
  <si>
    <t>Client "K", Session November 20, 2012: Client talks about her perceived dependence on others in interpersonal relationships.</t>
  </si>
  <si>
    <t>Client "B", Session January 08, 2014: Client discusses a trip she took with her husband over the holidays. Client discusses her sadness over a recent breakup and wonders if she made the wrong decision.</t>
  </si>
  <si>
    <t>Client "B", Session November 15, 2012: Client feels like wounds from her childhood are constantly being reopened when she is reminded of the kindness that most people possess, but she was never afforded by her parents.</t>
  </si>
  <si>
    <t>Client "RY", Session 31: September 16, 2013: Client discusses some new and upsetting information she discovered about her husband. Client is furious, angry, and feels betrayed by the man she loves and married.</t>
  </si>
  <si>
    <t>Client "L" Therapy Session Audio Recording, August 21, 2013: Client discusses a wedding he went to over the weekend that brought up many feelings about his marriage. Client wonders if he married someone who has a different "personal and moral ethic" than him.</t>
  </si>
  <si>
    <t>Client "LJ", Session April 14, 2014: Client discusses a fight he had with his wife and how it would have been worse if he hadn't been on his medication. Client discusses a conference he went to and how his anxiety kicked in because of the crowd.</t>
  </si>
  <si>
    <t>Client "S" Therapy Session Audio Recording, March 04, 2013: Client discusses the anxiety she feels after speaking in front of crowds and her desire for approval from people who she deems are more important than her.</t>
  </si>
  <si>
    <t>Client "A", Session January 07, 2014: Client discusses their child, relationships, feeling trapped, and their employment.</t>
  </si>
  <si>
    <t>Client "AP", Session 135: October 17, 2013: Client discusses his relationship with his father, and whether or not he agreed with his son's choice of career.</t>
  </si>
  <si>
    <t>Client "AP", Session 42: January 10, 2013: Client talks about his tendency to make a big deal out of small, normal, everyday occurrences; such as, getting a common cold normally becomes a very big issue for him.</t>
  </si>
  <si>
    <t>Client "S" Therapy Session Audio Recording, May 07, 2014: Client discusses how she is planning a party for her boyfriend, but feels awkward inviting people she doesn't know. Client discusses her childhood and the socioeconomic difference between her and her neighbors.</t>
  </si>
  <si>
    <t>Client "S" Therapy Session Audio Recording, February 19, 2014: Client discusses her anxiety over completing her project and embarrassment over her socioeconomic status compared to others. Client discusses the power and control she feels when being destructive, and her desire to find approval through success.</t>
  </si>
  <si>
    <t>Client "D", Session March 04, 2013: Client discusses having to borrow money from his mother because his father cannot currently pay him back.</t>
  </si>
  <si>
    <t>Client "Ju", Session April 29, 2014: Client discusses the continued difficulties she is having at her job and how she doesn't feel she can finish out the year. Client discusses the issues she is having with disability benefits and the diversity at her school.</t>
  </si>
  <si>
    <t>Client "K", Session January 30, 2014: Client discusses feeling overwhelmed dealing with others.</t>
  </si>
  <si>
    <t>Client "B", Session February 05, 2014: Client discusses never being able to live up to parents' expectations.</t>
  </si>
  <si>
    <t>Client "C" Therapy Session Audio Recording, October 05, 2012: Client is burdened by her mother's living and working situation and struggles to fix her mother's issues while attempting to fix her own.</t>
  </si>
  <si>
    <t>Client "A", Session March 11, 2014: Client discusses a recent fight he had with his wife, and how their current living and working situation is tenuous.</t>
  </si>
  <si>
    <t>Client "AP", Session 139: October 31, 2013: Client discusses his plans to finish his Ph.D. Client discusses his fears about moving away to get a teaching position.</t>
  </si>
  <si>
    <t>Client "S" Therapy Session Audio Recording, April 02, 2014: Client discusses her job hunt and how she gets angry when rejected from a job or interview. Client feels entitled to things from people she does not know, but does not feel entitled when she has a relationship with someone.</t>
  </si>
  <si>
    <t>Client "C" Therapy Session Audio Recording, November 27, 2012: Client discusses how his parents attributed to his past drug issues by always being available with money and never saying no.</t>
  </si>
  <si>
    <t>Client "Ma", Session January 08, 2014: Client discusses a stomach virus that is going around the family she babysits for and she hopes she doesn't catch it. Client discusses cutting herself and how she almost wants to scar herself permanently by it.</t>
  </si>
  <si>
    <t>Client "M" Session April 25, 2014: Client discusses sending an important letter to his father and how he hates waiting for a reply. Client discusses his thoughts on dying and watching people die.</t>
  </si>
  <si>
    <t>Client "R", Session April 22, 2013: Client discusses apartment-hunting, possibly moving into her boyfriend's group housing situation, and her financial issues.</t>
  </si>
  <si>
    <t>Client "SZ" Session February 11, 2014: Client discusses a recent interview she had and how she feels that she will mess up everything in her quest to find a job. Client discusses her issues with work, sleep, and exhaustion.</t>
  </si>
  <si>
    <t>Client "A", Session August 21, 2013: Client discusses his frustration over his wife's difficulties with her job, which is only giving her a short period of maternity leave. Client discusses his current job situation.</t>
  </si>
  <si>
    <t>Client "S", Session July 19, 2013: Client criticizes a wedding she attended with her mother, continues to worry about her financial position and apply for jobs.</t>
  </si>
  <si>
    <t>Client "S" Therapy Session Audio Recording, February 13, 2013: Client has a hard time understanding why others can go through life with positive and mature emotions while she struggles with those aspects. She so badly wants to feel approved of and appreciated.</t>
  </si>
  <si>
    <t>Client "AP", Session 159: January 03, 2014: Client discusses his mother's narcissistic behavior and how it runs throughout his family. Client's move abroad is starting to inch closer and become more of a reality.</t>
  </si>
  <si>
    <t>Client "Ma", Session March 21, 2013: Client admits she has trouble trusting supportive relationships because she feels her issues are overly burdensome.</t>
  </si>
  <si>
    <t>Client "Ma", Session May 17, 2013: Client discusses her new job, a conversation with her spouse, and whether or not she will attend a family event.</t>
  </si>
  <si>
    <t>Client "G", Session February 26, 2013: Client talks about avoiding confrontation whenever possible. He also discusses the intense, intimate feelings he has for his cousin.</t>
  </si>
  <si>
    <t>Client "LJ", Session January 23, 2014: Client discusses his wife's new job and his plans to get hired at a new firm. Client discusses his plans to write a young adult novel and details some early parts that he's already written.</t>
  </si>
  <si>
    <t>Client "R" Session March 23, 2014: Client discusses her unfulfilled sex life and her boyfriends issues with sex. Client sometimes thinks that she deserves to die, because she is not contributing anything meaningful to society.</t>
  </si>
  <si>
    <t>Client "AP", Session 118: September 04, 2013: Client discusses the stress and anxiety he feels about starting his own business without the capital he needs.</t>
  </si>
  <si>
    <t>Client "R", Session May 30, 2013: Client discusses her feelings for her therapist and her need to be really in touch with the people close to her.</t>
  </si>
  <si>
    <t>Client "Ma", Session July 09, 2013: Client discusses places from her childhood and the idea of protection. Client discusses how things that were supposed to protect her actually ended up hurting her.</t>
  </si>
  <si>
    <t>Client "Ma", Session June 18, 2013: Client discusses the visitation of family members and the array of feelings that come up during these visits.</t>
  </si>
  <si>
    <t>Client "B", Session April 02, 2014: Client discusses her desire to hang out with friends, but they are having serious personal issues, such as depression and divorce, and it's hard for them to hang out.</t>
  </si>
  <si>
    <t>Client "Ad", Session February 24, 2014: Client discusses the coldness he's feeling in light of his marital separation and he worries he should feel more empathy. Client discusses the selfish nature of his wife ultimately led to their separation and divorce.</t>
  </si>
  <si>
    <t>Client "S", Session November 19, 2012: Client has gone from being excited about her recent break-up to being upset and saddened.</t>
  </si>
  <si>
    <t>Client "R", Session June 13, 2013: Client discusses how dependent she is on her therapist and the relationship they have. Client fears losing him over all other people in her life.</t>
  </si>
  <si>
    <t>Client "A", Session February 08, 2013: Client has anxieties about working with other people. He worries about not being a good team-player.</t>
  </si>
  <si>
    <t>Client "J", Session March 03, 2014: Client discusses the differences between the two men she is dating and which aspects she likes better.</t>
  </si>
  <si>
    <t>Client "SM", Session December 8, 2013: Client talks about how his wife's absence is affecting him, his Linear Algebra class, and the television show, Dexter.</t>
  </si>
  <si>
    <t>Client "K", Session February 18, 2014: Client discusses the possibility of moving back to their hometown and the difficulty of dealing with their parents.</t>
  </si>
  <si>
    <t>Client "LJ", Session July 17, 2014: Client discusses his love for writing fan fiction and erotica. Client also discusses his frustration of not having regular sex with his wife.</t>
  </si>
  <si>
    <t>Client "A", Session December 14, 2012: Client discusses his interpersonal relations with individuals he has worked with over the years.</t>
  </si>
  <si>
    <t>Client "Ju", Session December 3, 2012: Client talks about issues with friends, body image, and dating.</t>
  </si>
  <si>
    <t>Client "RY", Session 4: March 14, 2013: Client feels unable to discuss her own feelings in couple's therapy sessions due to her husband suicidal threats, struggles with feeling responsible for his depression and their marriage troubles.</t>
  </si>
  <si>
    <t>Client "B", Session January 30, 2014: Client discusses frustration with romantic partner over intimacy and using the words, 'I love you.'</t>
  </si>
  <si>
    <t>Client "L" Therapy Session Audio Recording, September 04, 2013: Client discusses his couples therapy sessions and some upsetting news about his wife's struggle with depression.</t>
  </si>
  <si>
    <t>Client "R", Session February 17, 2014: Client discusses her anger regarding the therapist's decision to stop accepting insurance several months back. Client discusses what times and days she feels best able to discuss her feelings.</t>
  </si>
  <si>
    <t>Client "AP", Session 149: December 04, 2013: Client discusses a good date he went on recently that somehow went sour when the woman accused him of drinking and driving. Client discusses his tendency to shut down and revert inside of himself when people are incorrectly critical of him.</t>
  </si>
  <si>
    <t>Client "CRT" Therapy Session Audio Recording, February 11, 2013: Client discusses the mixed messages she's receiving from her ex-boyfriend. Client discusses leaving her current position and her mother's fascination with the client's dog.</t>
  </si>
  <si>
    <t>Client "R", Session April 15, 2014: Client discusses feeling overwhelmed by the prospect of applying to and finding a job,</t>
  </si>
  <si>
    <t>Client "RY", Session 28: August 30, 2013: Client discusses how she's feeling about separating from her husband and how he is finally reacting to the separation. Client discusses her sense of denial about the separation, but desire to go through with it to better work out their issues.</t>
  </si>
  <si>
    <t>Client "R", Session April 22, 2013: Client discusses her spouse and sexual fantasies about her therapist.</t>
  </si>
  <si>
    <t>Client "Ju", Session June 25, 2013: Client is frustrated with work and her inability to effect change there, angry at perceived lack of justice.</t>
  </si>
  <si>
    <t>Client "K" Session January 11, 2013: Client talks about her boyfriend's heart condition and how it hasn't responded positively to the latest round of treatment. She has had a bad week and feels depressed.</t>
  </si>
  <si>
    <t>Client "AP", Session 65: April 03, 2013: Client discusses romantic relationship, and relationship with family.</t>
  </si>
  <si>
    <t>Client "DF", Session June 16, 2014: Client discusses his law studies, his possible future as a lawyer, and his father's questionable behavior towards women.</t>
  </si>
  <si>
    <t>Client "B", Session February 11, 2013: Client feels picked on at work. Any criticism of her work creates a feeling of self-loathing.</t>
  </si>
  <si>
    <t>Client "S", Session July 19, 2013: Client discusses the possibility of taking a new position and his dilemma over whether or not he wants this job.</t>
  </si>
  <si>
    <t>Client "J", Session March 26, 2013: Client is stressed over his lack of funds and the relationship he has with his separated wife. Client also discusses his most recent dating experiences.</t>
  </si>
  <si>
    <t>Client "D", Session January 17, 2014: Client discusses his schoolwork and how he's progressing. Client discusses his anxiety over his family relations, his parent's divorce, and his relationship with his girlfriend.</t>
  </si>
  <si>
    <t>Client "S" Therapy Session Audio Recording, September 04, 2013: Client discusses how she told her partner that she was intimate with someone else and is now in the process of getting her own place. Client is conflicted over how to handle this situation.</t>
  </si>
  <si>
    <t>Client "R" Session February 24, 2014: Client discusses her parents' intervention regarding her weight and lack of exercise. Client discusses her unhappiness in her current relationship, and how she feels responsible for her boyfriend's panic and anxiety.</t>
  </si>
  <si>
    <t>Client "J", Session May 24, 2013: Client discusses his mother's upcoming visit and her opinion of his girlfriends. Client discusses his use of humor and deflection to avoid talking about specific topics.</t>
  </si>
  <si>
    <t>Client "AP", Session 46: January 25, 2013: Client has been feeling anxious and not sleeping well. He is still pondering what happened in his relationship, unsure of where it will go now. He finds the prospect of trying to date someone new to be exhausting and depressing. He brings up a traumatic experience from nearly two decades ago.</t>
  </si>
  <si>
    <t>Client "Ma", Session March 31, 2014: Client discusses feelings of betrayal and the inability to connect with spouse.</t>
  </si>
  <si>
    <t>Client "A", Session April 29, 2014: Client discusses feelings of anxiety, stress, abandonment, and avoidance.</t>
  </si>
  <si>
    <t>Client "J" Therapy Session Audio Recording, July 16, 2013: Client discusses upsetting and shocking news she received from her mother. Client discusses how her parents' marriage and their personalities led to a strange childhood.</t>
  </si>
  <si>
    <t>Client "R", Session January 28, 2013: Client discusses her family history and thoughts on raising children with her spouse.</t>
  </si>
  <si>
    <t>Client "Ma", Session March 27, 2013: Client feels her job prospects are low, and guilty that she does not want the position she has been offered.</t>
  </si>
  <si>
    <t>Client "M", Session December 11, 2012: Client is coping with physical issues, some resulting from medication and supporting her spouse, who is struggling with his mother's mental illness diagnosis.</t>
  </si>
  <si>
    <t>Client "L" Therapy Session Audio February 19, 2014: Client discusses his wife's issues and how it's possible that her internalized anger is leading to her depression and suicidal thoughts. Client discusses his extreme sensitivity.</t>
  </si>
  <si>
    <t>Client "B", Session May 8, 2013: Client recounts being sexually assaulted by a friend and resulting feelings of guilt and helplessness. Client and her spouse are also fighting.</t>
  </si>
  <si>
    <t>Client "J", Session March 04, 2014: Client discusses ongoing tax issues, inappropriate interactions with others, and issues with sobriety.</t>
  </si>
  <si>
    <t>Client "M", Session June 13, 2014: Client discusses working on his relationship. Client also discusses his family pet.</t>
  </si>
  <si>
    <t>Client "R" Session January 27, 2014: Client discusses her continued anxiety over her recent move and unpacking. Client feels unbelievably overwhelmed by everything in her life and wants to be mentally healthy once more.</t>
  </si>
  <si>
    <t>Client "RY", Session 30: September 09, 2013: Client discusses the new job she just accepted. Client discusses her husband finally moving out of their apartment and how she feels about the separation.</t>
  </si>
  <si>
    <t>Client "AP", Session 53: February 20, 2013: Client is at a point in his life where he feels like he is having to adjust to adulthood, finally. He worries that he has not been living to his fullest capacity.</t>
  </si>
  <si>
    <t>Client "CRT" Therapy Session Audio Recording, February 20, 2013: Client discusses leaving her job and moving to a new city during her last therapy session. Client discusses her hopes of finding a new therapist and continuing to work through her personal issues.</t>
  </si>
  <si>
    <t>Client "Ju", Session August 13, 2013: Client discusses her life on the internet and her worry about harassment and stalking. Client discusses not getting credit for some of the pieces she's published on the Internet.</t>
  </si>
  <si>
    <t>Client "S" Therapy Session Audio Recording, August 28, 2013: Client discusses her shame over dating two people at once. Client is conflicted about who she should date.</t>
  </si>
  <si>
    <t>Client "J", Session February 17, 2014: Client discusses how things are going well with one of the men she is dating, but she cannot stop herself from wanting the other man, despite the fact that he's married.</t>
  </si>
  <si>
    <t>Client "J", Session July 09, 2013: Client discusses a busy holiday weekend that was stressful in part because of work and lots of events. Client discusses introducing his son to his girlfriend and how his ex-wife might think about it.</t>
  </si>
  <si>
    <t>Client "S", Session August 02, 2013: Client discusses her upcoming move, her brother, and her financial issues.</t>
  </si>
  <si>
    <t>Client "SM", Session November 5, 2012: Client talks about his wife, who is traveling, as well as her childhood, personality, and women in general.</t>
  </si>
  <si>
    <t>Client "A", Session December 26, 2012: Client has been finding comfort in exercise.</t>
  </si>
  <si>
    <t>Client "S", Session December 07, 2012: Client talks about issues pertaining to her recent break-up with her boyfriend.</t>
  </si>
  <si>
    <t>Client "Ma", Session June 07, 2013: Client discusses her fear of moving and having to leave everything behind. Client discusses her marriage.</t>
  </si>
  <si>
    <t>Client "RY", Session 45: January 20, 2014: Client discusses how a stressful week at work has helped channel her anxiety about her marriage. Client is still unsure about the state of her marriage after a recent step backward.</t>
  </si>
  <si>
    <t>Client "AP", Session 26: November 29, 2012: Client feels a disconnect between his passions and the motivation to follow through.</t>
  </si>
  <si>
    <t>Client "K" Session July 9, 2013: Client is considering going off Zoloft; discusses her boyfriend's needs, her anxiety, and alcohol consumption.</t>
  </si>
  <si>
    <t>Client "D", Session February 14, 2013: Client recalls the tension that played out between himself and his father as he was growing up, much of it surrounding academics.</t>
  </si>
  <si>
    <t>Client "B", Session March 18, 2013: Client has been overwhelmed by anxiety recently, more than usual.</t>
  </si>
  <si>
    <t>Client "R", Session January 23, 2014: Client discusses meditation, gurus, and transference and counter-transferenceness in relationships.</t>
  </si>
  <si>
    <t>Client "M", Session May 21, 2013: Client and her spouse are experiencing financial issues. Client discusses a painful sexual experience with her spouse.</t>
  </si>
  <si>
    <t>Client "M", Session June 18, 2013: Client discusses spouse's addiction and treatments.</t>
  </si>
  <si>
    <t>Client "Ju", Session November 28, 2012: Client struggles with father's recent cancer diagnosis and grief.</t>
  </si>
  <si>
    <t>Client "Ma", Session January 22, 2014: Client discusses feelings of frustration and thoughts on the church.</t>
  </si>
  <si>
    <t>Client "RY", Session 41: December 02, 2013: Client discusses going home for the holidays and how her mother's depression makes it a less than enjoyable experience.</t>
  </si>
  <si>
    <t>Client "D" Therapy Session Audio Recording, April 24, 2014: Client describes her irritation with her mother-in-law's constant interference in her and her husband's life.</t>
  </si>
  <si>
    <t>Client "AP", Session 154: December 18, 2013: Client is really fed up with his family, including their actions and their opinions of others, and discusses his joy that he will be leaving soon. Client is ready for a clean break and a new life overseas.</t>
  </si>
  <si>
    <t>Client "R", Session February 21, 2013: Client discusses sexual attraction to her therapist and reality of fantasy.</t>
  </si>
  <si>
    <t>Client "BA", Session October 17, 2013: Client and therapist discuss how his OCD manifests. Client talks in detail about obsessive thought patterns that cause him to feel guilty or uncomfortable.</t>
  </si>
  <si>
    <t>Client "S", Session April 28, 2014: Client discusses her need to move out of her apartment, and possibly the city, and go somewhere new. Client is tired of her current life and feels stagnated in her job and life.</t>
  </si>
  <si>
    <t>Client "AP", Session 124: September 18, 2013: Client discusses a dream he had and how it may relate to his current relationships and job issues.</t>
  </si>
  <si>
    <t>Client "RY", Session 20: July 22, 2013: Client discusses her couples therapy sessions and the issues she has in getting her feelings across.</t>
  </si>
  <si>
    <t>Client "ML" Therapy Session Audio Recording, January 23, 2013: Client discusses his wife's hospitalization and treatment. Client discusses the difficulty of supporting someone who is depressed and how to handle visitation from family members.</t>
  </si>
  <si>
    <t>Jon Carlson Interview GH</t>
  </si>
  <si>
    <t>Client "R" Session December 03, 2012: Client is still experiencing bouts of panic often; most notably around mid-night.</t>
  </si>
  <si>
    <t>Client "SM", Session September 24, 2012: Client talks about house-hunting with his wife, different neighborhoods and why he prefers them, and sports.</t>
  </si>
  <si>
    <t>Client "R", Session February 28, 2013: Client talks about upcoming family event and her cousins, as well as client-therapist relationship.</t>
  </si>
  <si>
    <t>Client "L", Session January 09, 2014: Client discusses a difficult time she had at the doctors and how family relations were strained over the holidays.</t>
  </si>
  <si>
    <t>Client "LJ", Session April 21, 2014: Client discusses several science shows he's been watching and debates about the truth these shows allege. Client discusses his thoughts on religion and his former coworkers.</t>
  </si>
  <si>
    <t>Client "R", Session December 13, 2012: Client talks about transitions at work, relationship with spouse, and role of therapist.</t>
  </si>
  <si>
    <t>Client "CRT" Therapy Session Audio Recording, February 07, 2013: Client discusses the confusion with how she feels about her recent breakup. Client discusses her need to move on from her current position and start anew.</t>
  </si>
  <si>
    <t>Client "CRT" Therapy Session Audio Recording, January 24, 2013: Client discusses her current legal issues and how it's having a negative impact on the relationship with her boyfriend. Client discusses her current work situation and how she often gets taken advantage of by her employers.</t>
  </si>
  <si>
    <t>Client "K", Session February 27, 2014: Client discusses feeling anxious and overwhelmed in terms of their work environment.</t>
  </si>
  <si>
    <t>Client "AP", Session 80: May 10, 2013: Client discusses a verbal conflict with his girlfriend about the long-term future of their relationship; his uncertainty about whether or not he wants a marriage and children.</t>
  </si>
  <si>
    <t>Client "S", Session February 12, 2014: Client discusses how resentful she feels that others seem to be moving forward in their professional lives; while the client feels that she has made no similar professional advancements. Client also briefly mentions her relationships with her parents.</t>
  </si>
  <si>
    <t>Client "AP", Session 158: January 02, 2014: Client discusses his unemployment being cut due to government spending cuts and the difficulty of finding a job. Client discusses his plans to move abroad as soon as possible.</t>
  </si>
  <si>
    <t>Client "J", Session March 25, 2014: Client discusses communication issues with romantic partner due possibly to being overly-sensitive.</t>
  </si>
  <si>
    <t>Client "S" Therapy Session Audio Recording, November 21, 2012: Client discusses her desire to break out of the victim narrative she lives in and wants to break her self-defeating attitude in regards to her career.</t>
  </si>
  <si>
    <t>Client "AP", Session 103: July 18, 2013: Client discusses his past love life and why they ended. Client is hoping to meet someone soon to settle down with.</t>
  </si>
  <si>
    <t>Client "S", Session July 26, 2013: Client discusses a recent documentary he watched that resonated with him. Client discusses a potential job offer.</t>
  </si>
  <si>
    <t>Client "S", Session June 21, 2013: Client discusses his new house being close to a famous cemetery and his adventures in visiting the grave sites.</t>
  </si>
  <si>
    <t>Client "J", Session December 07, 2012: Client talks about his responsibilities.</t>
  </si>
  <si>
    <t>Client "SZ", Session December 7, 2012: Client discusses feeling hurt when other people's sadness is the source of laughter. Client also discusses feeling picked on, especially by what she watches on television with her romantic partner.</t>
  </si>
  <si>
    <t>Client "SRH" Therapy Session Audio Recording, December 05, 2013: Client discusses her past and current issues with food, eating, and body image.</t>
  </si>
  <si>
    <t>Client "S", Session January 13, 2014: Client discusses a bad date that she saved herself from by cancelling. Client discusses meeting up for a family breakfast and how she really doesn't like most members of her immediate family.</t>
  </si>
  <si>
    <t>Client "S", Session March 7, 2014: Client discusses missing past relationships, attraction, and wanting to find the right person,</t>
  </si>
  <si>
    <t>Client "SM", Session September 21, 2012: Client discusses his mother-in-law visiting, and the reflection his math class is provoking.</t>
  </si>
  <si>
    <t>Client "S" Therapy Session Audio Recording, August 12, 2013: Client discusses a traumatizing event that happened while away for the summer and her desire to frame everything in the narrative of a victim.</t>
  </si>
  <si>
    <t>Client "R", Session June 02, 2014: Client discusses the frustration of being a pet owner.</t>
  </si>
  <si>
    <t>Client "S" Therapy Session Audio Recording, April 24, 2014: Client discusses the possibility of marrying one of the men she is dating, but only because his parents approve of her and think she would make a good wife.</t>
  </si>
  <si>
    <t>Client "R" Session December 07, 2012: Client discusses her most recent panic attacks and how her anxiety stems partially from employment issues.</t>
  </si>
  <si>
    <t>Client "R", Session March 27, 2014: Client discusses therapist-related feelings of attachment, love, and boundary issues.</t>
  </si>
  <si>
    <t>Client "AP", Session 143: November 13, 2013: Client discusses his plan to make sure his mother continues to live comfortably. Client discusses his future plans to travel to Europe and write.</t>
  </si>
  <si>
    <t>Client "LJ", Session February 03, 2014: Client discusses hanging out with his group of friends during the Super Bowl, and which ones he likes more than the others. Client discusses a poor grade he got on a test and his upcoming interview.</t>
  </si>
  <si>
    <t>Client "S", Session March 14, 2014: Client discusses not being pregnant, school, and their frustration with their current roommate situation.</t>
  </si>
  <si>
    <t>Client "K", Session December 03, 2012: Client is somewhat frustrated with the therapeutic process; she feels like she is always straining to come up with something to talk about in each session.</t>
  </si>
  <si>
    <t>Client "G", Session May 03, 2013: Client discusses his issues with masturbation and where his life is headed.</t>
  </si>
  <si>
    <t>Client "Ma", Session March 21, 2014: Client discusses the difficulties and challenges of learning a foreign language.</t>
  </si>
  <si>
    <t>Client "RY", Session 10: May 06, 2013: Client discusses dealing with both her parents' and spouse's academic and professional expectations for her.</t>
  </si>
  <si>
    <t>Client "K", Session November 27, 2012: Client has issues with being over responsive at work and discusses her past battles with perfectionism.</t>
  </si>
  <si>
    <t>Client "Ju", Session December 18, 2012: Client is unsettled by landlord's disrespect for boundaries, feels uncomfortable in her apartment.</t>
  </si>
  <si>
    <t>Client "B", Session February 27, 2014: Client discusses feeling envious of others who are well off financially.</t>
  </si>
  <si>
    <t>Client "AP", Session 140: November 01, 2013: Client discusses the woman he is currently dating and how he feels about their future. Client discusses his introverted tendencies and difficulty making time for people.</t>
  </si>
  <si>
    <t>Client "LJ", Session March 10, 2014: Client discusses his reliance on certain drugs to level out his anger and treat his bi-polar disorder. Client discusses religion, and the penalties within each religion for failure, and how these institutions rationalize horrible acts.</t>
  </si>
  <si>
    <t>Client "G", Session March 05, 2013: Client discusses his relationship with his mother and how it has an impact on his relationships with members of the opposite sex.</t>
  </si>
  <si>
    <t>Client "L" Therapy Session Audio Recording, January 22, 2014: Client is used to having to mind his reactions in order to not upset his wife's emotional state.</t>
  </si>
  <si>
    <t>Client "S", Session May 03, 2013: Client discusses a recent move into a new house and his new neighbors.</t>
  </si>
  <si>
    <t>Client "SR", Session November 14, 2013: Client discusses unhappy marriage, feeling the need to please others, and the inability to connect with their spouse.</t>
  </si>
  <si>
    <t>Client "Ju", Session February 6, 2013: Client discusses ethics issue, and an ethical dilemma at work.</t>
  </si>
  <si>
    <t>Client "D", Session April 8, 2013: Client discusses how his parents' divorce impacted and continues to impact his relationship with each of them, also his mother's rheumatoid arthritis and his sympathy for her and conflicted feelings about his father.</t>
  </si>
  <si>
    <t>Client "S", Session March 06, 2014: Client discusses feeling like the last five years have been a mistake, and wishing to get the time back.</t>
  </si>
  <si>
    <t>Client "DF", Session June 30, 2014: Client discusses the impact of his parent's divorce, and worrying about his mother's well-being.</t>
  </si>
  <si>
    <t>Client "Ma", Session August 16, 2013: Client discusses the difficulty she feels in doing some of the most mundane tasks, like getting her prescription refilled.</t>
  </si>
  <si>
    <t>Client "B", Session July 18, 2013: Client feels she is obsessing about the man she is dating, wants to increase how much he communicates with her, discusses past relationships.</t>
  </si>
  <si>
    <t>Client "S" Therapy Session Audio Recording, February 04, 2013: Client discusses her relationship with her mother. Client ponders what makes her keep paying her mother's rent and discusses her fear of being separated from her.</t>
  </si>
  <si>
    <t>Client "LJ", Session April 18, 2013: Client discusses pornography, and his sexual interests through out his teenage years and 20's.</t>
  </si>
  <si>
    <t>Client "S" Therapy Session Audio Recording, November 25, 2013: Client discusses her fear over losing her boyfriend and the intellectually stimulating conversations they have. Client discusses her issues with power in relationships.</t>
  </si>
  <si>
    <t>Client "Ju", Session November 19, 2012: Client talks about workplace issues, anxiety over job prospects, and depression.</t>
  </si>
  <si>
    <t>Client "R" Session February 10, 2014: Client discusses her anxiety and panic over her new apartment, and how she really cannot stand to be there. Client is feeling hopeless about her current situation, but does not think she is ready to be hospitalized for her issues.</t>
  </si>
  <si>
    <t>Client "J", Session January 20, 2014: Client discusses a recent date she went on and how she felt a real connection with her date. Client discusses how her relationship with her mother has grown over the last decade.</t>
  </si>
  <si>
    <t>Client "M", Session March 07, 2014: Client discusses the difficulty of staying focused on a task and following through until it is completed.</t>
  </si>
  <si>
    <t>Client "B", Session February 06, 2014: Client discusses shutting down towards work, but making a compromise by focusing on an alternate activity.</t>
  </si>
  <si>
    <t>Client "D", Session July 15, 2013: Client discusses his relationship with his girlfriend.</t>
  </si>
  <si>
    <t>Client "R" Session February 03, 2014: Client discusses her stress and anxiety over finding a new job, but how she's finding it difficult to even apply to jobs at the moment. Client discusses how trapped she feels in her apartment, but also how much she hates her commute.</t>
  </si>
  <si>
    <t>Client "RY", Session 55: March 17, 2014: Client discusses ongoing trust issues with her husband, and the impact of finding him creating an online account for the purpose of seeking a 'discrete relationship.'</t>
  </si>
  <si>
    <t>Client "S" Therapy Session Audio Recording, April 07, 2014: Client and therapist discusses the importance of exercise and how best to start running. Client discusses her desire to be independent, but is unsure if she is actually living an independent lifestyle, since she leans on others for assistance.</t>
  </si>
  <si>
    <t>Client "B", Session July 31, 2013: Client discusses her past history with abuse and her issues with trust.</t>
  </si>
  <si>
    <t>Client "SRH" Therapy Session Audio Recording, October 31, 2013: Client discusses her time overseas and the hate she felt from the local population when they found out her religious background and sexual orientation.</t>
  </si>
  <si>
    <t>Client "RY", Session 54: March 24, 2014: Client discusses the shame and humiliation associated with her parents dirty house, and feeling a sense of self-loathing and self-hatred if others don't stay in regular contact with her. Client also wonders whether or not sex can be a part of her marriage.</t>
  </si>
  <si>
    <t>Client "AP", Session 107: July 26, 2013: Client discusses his plans to go away, but the fact that he is broke is getting in the way of enjoying himself. Client is extremely focused on money and how his career decisions did not lend themselves to him becoming rich.</t>
  </si>
  <si>
    <t>Client "AP", Session 49: February 04, 2013: Client is overwhelmed by his emotional states sometimes. He is worried about his mother's bizarre behavior recently.</t>
  </si>
  <si>
    <t>Client "GH", Session July 31, 2014: Client discusses being possibly attracted to his cousin, and feeling sexually aroused by a variety of women in his life.</t>
  </si>
  <si>
    <t>Client "S", Session November 27, 2012: Client has been drinking a lot since her break-up. She worries about her ability to control the drinking since she watched her mother suffer with alcoholism her whole childhood.</t>
  </si>
  <si>
    <t>Client "JM", Session 7: November 25, 2013: Client has felt angry and frustrated by telling herself that she can't stand the physical pain she is enduring. Client and therapist speak extensively about 'activating events'.</t>
  </si>
  <si>
    <t>Client "J" Therapy Session Audio Recording, June 25, 2013: Client discusses her eating habits and issues with insecurity that have plagued her since childhood. Client discusses her parents' relationship and how it had an impact on her view of romantic relationships.</t>
  </si>
  <si>
    <t>Client "LJ", Session April 25, 2013: Client discusses his drug use, his bipolar diagnosis, his driving habits while on drugs, and his mother's habit of getting in car accidents.</t>
  </si>
  <si>
    <t>Client "A", Session March 20, 2013: Client has issues with performance and completing assignments for work when there are deadlines. Client discusses the anxiety he felt about his girlfriend's ultrasound.</t>
  </si>
  <si>
    <t>Client "L" Therapy Session Audio Recording, August 14, 2013: Client discusses his recent trip and how it's brought up more feelings about his marriage. Client feels pulled away from his work and unhappy in his marriage.</t>
  </si>
  <si>
    <t>Client "YM", Session July 18, 2013: Client feels happy, discusses school, attention issues, care-taking duties, and family.</t>
  </si>
  <si>
    <t>Client "R", Session January 30, 2013: Client discusses meditation, dissatisfaction in the client-therapist relationship, and her spouse.</t>
  </si>
  <si>
    <t>Client "M", Session April 02, 2014: Client discusses husband's family, the need to lose weight for pregnancy, and religion.</t>
  </si>
  <si>
    <t>Client "M", Session July 12, 2013: Client discusses the relationship with her parents and how it's difficult to get her father to take care of his health. Client discusses the possibility of adoption to start a family.</t>
  </si>
  <si>
    <t>Client "K", Session April 02, 2014: Client discusses feeling sick recently and her fear of not being able to get work done because she is under the weather. Client discusses a recent exchange with her brother and how it makes her anxious when she hears from her family.</t>
  </si>
  <si>
    <t>Client "S", Session March 17, 2014: Client discusses their relationship with their parents.</t>
  </si>
  <si>
    <t>Client "SM", Session December 3, 2012: Client discusses a student he is tutoring and his work.</t>
  </si>
  <si>
    <t>Client "L" Therapy Session Audio Recording, August 16, 2013: Client discusses his unhappiness in his marriage and how it's holding him back because he feels as if he cannot leave his wife.</t>
  </si>
  <si>
    <t>Client "R", Session March 24, 2014: Client discusses finding the perfect therapist for their spouse.</t>
  </si>
  <si>
    <t>Client "Ma", Session January 2, 2014: Client discusses feelings of alienation with both their family and their spouse's family.</t>
  </si>
  <si>
    <t>Client "Kthl" Therapy Session Audio Recording, December 04, 2013: Client discusses the frustration and anger she felt towards her mother during a recent family visit. Client is worried that other people judge her because she's not engaged or married to her boyfriend, and because she has put on weight.</t>
  </si>
  <si>
    <t>Client "Ma", Session April 03, 2013: Client discusses how she quits when things get too difficult and that she has started burning herself when anxious.</t>
  </si>
  <si>
    <t>Client "J", Session February 26, 2013: Client talks about feelings of dejection in all aspects of his life; things don't go his way romantically, socially, financially, etc.</t>
  </si>
  <si>
    <t>Client "S" Therapy Session Audio Recording, September 18, 2013: Client discusses the difficult times she's had while visiting her home country, as they treat women differently.</t>
  </si>
  <si>
    <t>Client "L", Session December 3, 2012: Client discusses shopping with her daughter, her sex life, and her boyfriend.</t>
  </si>
  <si>
    <t>Client "J" Session December 18, 2012: Client is looking forward to spending quality time with her family members over the holidays. The intensity of schoolwork has lessened recently, and she feels more at ease.</t>
  </si>
  <si>
    <t>Client "G", Session May 17, 2013: Client discusses his thoughts on pornography, masturbation, and sexual fantasies.</t>
  </si>
  <si>
    <t>Client "B", Session December 21, 2012: Client has been involved in multiple social conflicts recently, creating a greater sense of social angst for her.</t>
  </si>
  <si>
    <t>Client "LJ", Session May 23, 2013: Client discusses his current lack of employment and need to speak with his wife when she gets home because he's lonely. Client discusses his mother and the childhood trauma he experienced.</t>
  </si>
  <si>
    <t>Client "L" Therapy Session Audio Recording, August 28, 2013: Client discusses how marriage no longer gives him the security or feeling of being in a 'safe' relationship as it used to in the beginning.</t>
  </si>
  <si>
    <t>Client "B", Session April 11, 2013: Client discusses friendships and wanting others to confirm that she has good judgment.</t>
  </si>
  <si>
    <t>Client "AP", Session 163: January 16, 2014: Client is second-guessing all of his major life decisions, including dating and breaking up with several different women. Client is anxious over his upcoming move abroad and is becoming increasingly unsure of his actions.</t>
  </si>
  <si>
    <t>Client "MC" Therapy Session Audio Recording, July 17, 2013: Client discusses the difficulties he's having and work and how he felt after bumping into his ex-boyfriend at the airport.</t>
  </si>
  <si>
    <t>Client "J", Session May 28, 2013: Client discusses his relationship with his mother and her opinion of his current life situation. Client discusses his relationship with his son and how he doesn't agree with his ex's parenting style.</t>
  </si>
  <si>
    <t>Client "AP", Session 47: January 28, 2013: Client feels much better today after having reconciled with his girlfriend. They are working on communication within their relationship.</t>
  </si>
  <si>
    <t>Client "L" Therapy Session Audio Recording, April 30, 2014: Client discusses the therapist's pregnancy and apologized for overstepping any boundaries or asking any questions that were uncomfortable. Client discusses his wish to have a family, but his anxiety and fear that he cannot start one, or does not want to start one, with his wife because of her depression.</t>
  </si>
  <si>
    <t>Client "R", Session July 30, 2013: Client discusses the purchase of cars and several family stories that she remembers.</t>
  </si>
  <si>
    <t>Client "DF", Session March 28, 2013: Client discusses trouble with his sister's wedding and their father not funding the occasion as previously agreed upon. Client also discusses wishing that his father was a better person, and not understanding as a child why his parents divorced.</t>
  </si>
  <si>
    <t>Client "J", Session April 28, 2014: Client discusses her frustration over her current relationship and how difficult it is to be in love with a married man who has not yet left his wife. Client recounts a childhood story and wonders if she is like a submissive dog in her relationships.</t>
  </si>
  <si>
    <t>Client "L", Session January 22, 2014: Client discusses her upcoming surgery. Client discusses the social dynamic of her apartment building and how she's tired of people using her.</t>
  </si>
  <si>
    <t>Client "R", Session April 15, 2013: Client discusses a dream about her spouse, therapy, and a method to manage emotions.</t>
  </si>
  <si>
    <t>Client "J" Therapy Session Audio Recording, August 20, 2013: Client discusses a huge fight she had with her boyfriend and how she is feeling after. Client wonders if she should also see a psychiatrist to fix her major mood swings.</t>
  </si>
  <si>
    <t>Client "J", Session May 31, 2013: Client discusses what he has planned for his girlfriend's birthday and how he's nervous about messing it up. Client discusses the relationship he has with his children and if he should tell them he is dating someone.</t>
  </si>
  <si>
    <t>Client "JM", Session 8: December 02, 2013: Client is having a hard time with certain steps of the therapeutic process. She finds the "disputing" work to be extremely challenging.</t>
  </si>
  <si>
    <t>Client "J", Session April 07, 2014: Client discusses a situation at work where she felt that she did not assist the customer to the best of her ability and is embarrassed that she brought shame onto her organization. Client discusses her family relations and how she's upset that her parents aren't prepared for retirement. Client discusses the current relationship she is in and how sad she feels when she remembers that he is married.</t>
  </si>
  <si>
    <t>Client "A", Session January 28, 2014: Client discusses how he and his mother are still traumatized by his father's infidelities, which happened many decades ago. Client discusses how he wants to have a good connection with his wife and how he feels he is faring as a father.</t>
  </si>
  <si>
    <t>Client "J", Session April 14, 2014: Client discusses a weekend away with one of her boyfriends that ended in a fight when the client found out he's been cheating on her. Client discusses her anger about this, and how she wants this relationship to work, but only if he is loyal to her.</t>
  </si>
  <si>
    <t>Client "AP", Session 67: April 5, 2013: Client discusses the woman he is currently dating, uncertainty about forming long-lasting romantic relationships, and dating women of his ethnicity.</t>
  </si>
  <si>
    <t>Client "Ma", Session December 07, 2012: Client discusses the impact of depression throughout their life.</t>
  </si>
  <si>
    <t>Client "J", Session March 13, 2013: Client discusses his missteps as he attempts to navigate the dating pool for the first time in many years. Client is having difficulty getting clients and which is leading to money issues and boredom.</t>
  </si>
  <si>
    <t>Client "R" Session April 28, 2014: Client discusses her attempts at getting a job and starting to exercise more. Client is starting couples therapy and is hoping that it helps her relationship grow stronger.</t>
  </si>
  <si>
    <t>Client "L", Session February 12, 2014: Client discusses her anger with her doctor who never gets her medications to her on time. Client discusses her relationship with her daughter and how she does nothing but smoke and steal from her.</t>
  </si>
  <si>
    <t>Client "L", Session February 15, 2013: Client discusses a recent medical appointment, how her daughter's choices are impacting her relationship with her granddaughter, and a cousin's drug use.</t>
  </si>
  <si>
    <t>Client "Ma", Session January 03, 2014: Client discusses a friend who is having some marital problems and how she's mad at some people who stopped being her friend after her depression became to much for them to handle.</t>
  </si>
  <si>
    <t>Client "D", Session February 11, 2013: Client talks about his parents, especially about how confusing and somewhat trying his relationship with his father could be at times.</t>
  </si>
  <si>
    <t>Client "K" Session January 04, 2013: Client has been having problems sleeping again. She feels somewhat ambivalent about her romantic feelings towards her boyfriend.</t>
  </si>
  <si>
    <t>Client "M" Session January 05 2014: Client discusses his disinterest in going out with friends on New Year's Eve, because he is no longer interested in sitting around and drinking with people. Client discusses how he has changed after a recent trip.</t>
  </si>
  <si>
    <t>Client "AP", Session 54: February 21, 2013: Client feels a sense of affirmation about his life as an artist after an event where he was the main focus.</t>
  </si>
  <si>
    <t>Client "AP", Session 106: July 25, 2013: Client discusses some recent and vivid dreams he has had, which seem to point towards him going on a journey. Client discusses his desire to feel attractive and wanted by a woman.</t>
  </si>
  <si>
    <t>Client "JM", Session 1, October 08, 2013: Client and therapist discuss therapist's approach, what client hopes to gain from therapy. Client discusses an encounter that caused her to experience serious panic.</t>
  </si>
  <si>
    <t>Client "S" Therapy Session Audio Recording, October 09, 2013: Client discusses her confusion on whether or not she is currently single. Client cannot bear to be without someone so she is trying to be with two different people at once.</t>
  </si>
  <si>
    <t>Client "J" Therapy Session Audio Recording, November 05, 2013: Client discusses her desire to progress in her relationship and life, but is not sure if her boyfriend is the best fit for her. Client is tired of his laziness and wish he would be willing to be more assertive for her and their relationship.</t>
  </si>
  <si>
    <t>Client "B", Session February 14, 2013: Client has been experiencing intense feelings of self-doubt and shame at work. Her supervisors have been expressing their lack of faith in her abilities.</t>
  </si>
  <si>
    <t>Client "S" Therapy Session Audio Recording, October 08, 2012: Client is conflicted about her current relationship and whether or not she really wants to marry her boyfriend. Client discusses her strained relationship with her mother.</t>
  </si>
  <si>
    <t>Client "L" Therapy Session Audio Recording, December 21, 2012: Client discusses his wife's depressive disorder and how he is often stressed and unsure of how to act.</t>
  </si>
  <si>
    <t>Client "RY", Session 6: April 8, 2013: Client and therapist discuss her aversion to medications, her diagnosis, and methods to begin overcoming her anxiety.</t>
  </si>
  <si>
    <t>Client "R", Session March 25, 2013: Client talks about feeling frustrated, receiving support from her spouse, and her relationship with her therapist.</t>
  </si>
  <si>
    <t>Client "E", Session December 18, 2012: Client is still considering other occupational possibilities for herself; her fiance is actively job searching.</t>
  </si>
  <si>
    <t>Client "Ju", Session December 17, 2012: Client discusses her living situation and her anxiety about her landlord.</t>
  </si>
  <si>
    <t>Client "K", Session November 26, 2012: Client discusses the worry she feels when she's being watched by her superiors at work. Client also upset about a recent trip to see a friend.</t>
  </si>
  <si>
    <t>Client "JJ" Therapy Session Audio Recording, April 30, 2013: Clients discuss their major communication issue and how it is having a detrimental effect on their relationship.</t>
  </si>
  <si>
    <t>Client "K" Session January 28, 2013: Client talks about her boyfriend's heart condition and all the other issues it brings into their lives.</t>
  </si>
  <si>
    <t>Client "B", Session January 21, 2013: Client fears exhibiting hoarding behavior like her parents, so when she is struck by an impulse to clear out the physical clutter in her life, she does so, compulsively.</t>
  </si>
  <si>
    <t>Client "B", Session February 12, 2014: Client discusses a demoralizing week at work and how it's been really hard to focus and be motivated at her job. Client laments turning another year older and not being happy with her life.</t>
  </si>
  <si>
    <t>Client "K" Session February 11, 2014: Client discusses her stress and anxiety over spending time with her boyfriend while he's in the hospital, but also trying to make time for herself. Client feels disconnected from her boyfriend right now, as he doesn't have the physical and mental ability to be a true partner.</t>
  </si>
  <si>
    <t>Client "C" Therapy Session Audio Recording, December 11, 2012: Client discusses conflict within his family due to his upcoming wedding.</t>
  </si>
  <si>
    <t>Client "R", Session February 20, 2013: Client discusses sexual attraction to therapist, intimacy and physical displays of affection in her family.</t>
  </si>
  <si>
    <t>Client "R" Session January 31, 2014: Client discusses finding out that her job is ending and they are removing her position in six weeks. Client is stressed about finding a new job, making sure she can pay her rent, and all the leftover anxiety from her recent move.</t>
  </si>
  <si>
    <t>Client "R" Session January 07, 2013: Client has been experiencing conflict with her boyfriend regarding the lack of intimacy they share.</t>
  </si>
  <si>
    <t>Client "DF", Session June 10, 2013: Client discusses memories of his parents marriage and subsequent divorce. Client discusses feeling like he wasn't quite part of the divorce that split his family up.</t>
  </si>
  <si>
    <t>Client "S" Therapy Session Audio Recording, May 29, 2013: Client discusses her upcoming trip and her issue with always comparing herself to others. Client discusses her need for success in his chosen profession and the difficulty she has had finding it.</t>
  </si>
  <si>
    <t>Client "B", Session June 27, 2013: Client discusses how she reacts to tension in three different areas of her life.</t>
  </si>
  <si>
    <t>Client "AP", Session 141: November 06, 2013: Client discusses his new outlook on life and relationships. Client discusses his plans for future employment and his life goals.</t>
  </si>
  <si>
    <t>Client "S", Session April 07, 2014: Client discusses being angry and hateful towards their life, and mostly from disappointment with themselves.</t>
  </si>
  <si>
    <t>Client "B", Session November 26, 2012: Client wants to discuss personal interactions and the way she handles many interpersonal relationships.</t>
  </si>
  <si>
    <t>Client "AP", Session 102: July 17, 2013: Client discusses how he's in a good place with his new career and life goals. Client discusses his feelings about women he's dated and the ones he misses.</t>
  </si>
  <si>
    <t>Client "J", Session March 05, 2013: Client talks about the stress she puts on herself by creating goals that tend to be hard to attain.</t>
  </si>
  <si>
    <t>Client "S", Session March 22, 2013: Client is having difficulties in the relationships with her roommates. Client discusses her issues with making and keeping friends.</t>
  </si>
  <si>
    <t>Client "SN" Therapy Session Audio Recording, August 01, 2013: Client discusses his job and his feelings about death. Client discusses his issues with emotion and disconnect in conversations.</t>
  </si>
  <si>
    <t>Client "S", Therapy Session Audio Recording, January 27, 2014: Client discusses her dislike for getting lost in other people's worlds. Client also discusses dating two individuals at once, and not knowing exactly what she is doing.</t>
  </si>
  <si>
    <t>Client "Ma", Session December 04, 2012: Client describes how intense and hard her relationship and interactions with her mother can be.</t>
  </si>
  <si>
    <t>Client "L", Session November 19, 2012: Client discusses her extended family, her father forcing her to undergo an abortion, and other ways he asserted dominance in her family.</t>
  </si>
  <si>
    <t>Client "M" Session March 31, 2014: Client discusses a busy weekend he had and how he feels that his wife deserves someone who love her and wants to be with her. Client discusses the shame he feels about his behavior and how he judges himself harshly for his actions.</t>
  </si>
  <si>
    <t>Client "B", Session July 10, 2013: Client discusses her social anxiety, continuing doubt in whether or not her friendships are genuine, and how these things are linked to her relationship with her parents.</t>
  </si>
  <si>
    <t>Client "AP", Session 178: March 06, 2014: Client discusses his impending move abroad and the feelings that are starting to creep in. Client is beginning to realize that he is actually leaving and is feeling a sense of sadness for everything he's leaving behind.</t>
  </si>
  <si>
    <t>Client "E", Session November 07, 2012: Client talks about some work adjustments and how she is perceived by her coworkers, according to a recent job evaluation.</t>
  </si>
  <si>
    <t>Client "S" Therapy Session Audio Recording, July 03, 2012: Client discusses how her relationship with her father has had a major impact on what kind of men she desires romantically. Client discusses how her role in a relationship depends on whether the other person needs her or not.</t>
  </si>
  <si>
    <t>Client "DF", Session June 06, 2013: Client discusses memories from childhood, his childhood home, and holidays; such as, Halloween.</t>
  </si>
  <si>
    <t>Client "S" Therapy Session Audio Recording, December 30, 2013: Client discusses assisting a friend on his college applications and how she does it to feel needed and wanted by someone.</t>
  </si>
  <si>
    <t>Client "J" Session April 23, 2013: Client talks about the Boston Marathon Bombings and the mixed emotions that are elicited.</t>
  </si>
  <si>
    <t>Client "K" Session November 20, 2012: Client talks about recent experiences involving temptations and social expectations to drink more alcohol than she wants to, and her ability to control her urges. They discuss ways to make sleeping more productive and natural for her.</t>
  </si>
  <si>
    <t>Client "J", Session May 22, 2013: Client discusses the relationships he's having with several different women and how his medications are having an impact on his anxiety.</t>
  </si>
  <si>
    <t>Client "G", Session July 02, 2013: Client discusses a recent trip he took and his interactions with different people along the way.</t>
  </si>
  <si>
    <t>Client "CRT" Therapy Session Audio Recording, December 31, 2012: Client discusses a recent altercation with her boyfriend and how she needs to work through issues from a previous relationship before she can continue on with her current one.</t>
  </si>
  <si>
    <t>Client "K", Session December 21, 2012: Client discusses boyfriend's ongoing medical condition and care. Therapist helps client with breathing and calming exercises.</t>
  </si>
  <si>
    <t>Client "KF", Session January 29, 2014: Client's parents discuss the different medications he is on and which works best for the client. Client discusses balancing his eating habits with his medication.</t>
  </si>
  <si>
    <t>Client "Ju", Session November 20, 2012: Client discusses job dissatisfaction, previous sexual harassment incident, being betrayed by old friends.</t>
  </si>
  <si>
    <t>Client "K", Session March 18, 2014: Client discusses feeling confused about what she wants and needs in live. Client wonders if she is in therapy just to have someone give her these answers so she doesn't have to do it herself.</t>
  </si>
  <si>
    <t>Client "SM", Session May 24, 2013: Client discusses home improvement projects, his child's school, educational expectations of Asian families, and his experiences as a school child.</t>
  </si>
  <si>
    <t>Client "A", Session February 22, 2013: Client just found out that he is going to be a father. He talks about the the types of communication breakdowns and interactions he and his girlfriend have. He recognizes the immature qualities in his behaviors, especially when he gets overly angry or irritated.</t>
  </si>
  <si>
    <t>Client "M", Session February 26, 2013: Client talks about her physical health, exhaustion, and different treatments.</t>
  </si>
  <si>
    <t>Client "D" Therapy Session Audio Recording, April 29, 2014: Client talks about her distaste for her husband's mother and sister.</t>
  </si>
  <si>
    <t>Client "C" Therapy Session Audio Recording, October 16, 2012: Client feels frustrated that he cannot communicate his feelings to his father about his extended family and make the necessary changes in his life to feel in control.</t>
  </si>
  <si>
    <t>Client "C" Therapy Session Audio Recording, June 26, 2012: Client has anger issues and is trying to distance himself from the negativity in his life to slow down his tantrums. Client has a strained relationship with food and his family because of his childhood.</t>
  </si>
  <si>
    <t>Client "Ma", Session April 15, 2014: Client discusses their diagnosis and the fear of possibly having Borderline Personality disorder.</t>
  </si>
  <si>
    <t>Client "D", Session January 03, 2014: Client discusses spending the holidays with friends and family, and how he felt more in control of his family association compared to other holidays.</t>
  </si>
  <si>
    <t>Client "R", Session February 18, 2013: Client discusses her attraction to her therapist and to people other than her spouse.</t>
  </si>
  <si>
    <t>Client "R", Session February 13, 2013: Client talks about anxiety in her everyday life, her spouse, and her therapy.</t>
  </si>
  <si>
    <t>Client "J", Session February 12, 2013: Client's fears of incompetency has started to crop up in his work again recently.</t>
  </si>
  <si>
    <t>Client "SRH" Therapy Session Audio Recording, October 24, 2013: Client discusses the anxiety she feels when her girlfriend doesn't stay in touch. Client discusses her history of separation anxiety and her worry that she is controlling in her relationship.</t>
  </si>
  <si>
    <t>Client "Ma", Session April 12, 2013: Client is having a hard time coming up with material to discuss in this session. She worries that the therapist will perceive her as deceitful and seductive.</t>
  </si>
  <si>
    <t>Client "SM", Session January 7, 2013: Client reflects on his neighbor's funeral, his neighbor's widow, and interest in moving.</t>
  </si>
  <si>
    <t>Client "S" Session April 02, 2013: Client has a fight with her mother which brings up issues from the past. Client is still unsure of her future education and needs to decide soon where to move.</t>
  </si>
  <si>
    <t>Client "R", Session December 6, 2012: Client discusses therapeutic process, childrearing, and relationship with her mother.</t>
  </si>
  <si>
    <t>Client "M", Session June 11, 2013: Client reflects on her relationship with her spouse and their recent anniversary.</t>
  </si>
  <si>
    <t>Client "SR", Session February 18, 2014: Client discusses feeling like they have never been emotionally or sexually validated in their marriage, and the need to stop censoring their own thoughts.</t>
  </si>
  <si>
    <t>Client "AP", Session 44: January 17, 2013: Client has been sick and recently spent a day or two completely avoiding all his prior commitments without any notice. They talk about his traumatic life experiences, that they were real, these things happened.</t>
  </si>
  <si>
    <t>Client "ADR" Therapy Session Audio Recording, February 05, 2013: Client discusses a recent trip she took to visit her daughter. Client discusses her husband's continued health problems and the strain it's having on their relationship.</t>
  </si>
  <si>
    <t>Client "R", Session January 2, 2013: Client discusses relationship with therapist, her spouse, and thoughts on monogamy.</t>
  </si>
  <si>
    <t>Client "AP", Session 142: November 07, 2013: Client discusses his thoughts and opinions on his culture and homeland. Client discusses how his country's history affects him and his outlook on the world.</t>
  </si>
  <si>
    <t>Client "RY", Session 19: March 03, 2013: Client discusses the ongoing relationships issues she is having with her husband. Topics include their couples therapy sessions, his struggles with depression and anger, and how a possible separation and divorce would be perceived by friends and family.</t>
  </si>
  <si>
    <t>Client "J", Session June 07, 2013: Client discusses the issues in his current relationship and the anxiety he is feeling about his life in general. Client is stressed about work and money.</t>
  </si>
  <si>
    <t>Client "SZ" Session March 11, 2013: Client talks about her apartment, her boyfriend's insecurities, and receiving support at work.</t>
  </si>
  <si>
    <t>Client "L" Therapy Session Audio Recording, May 08, 2013: Client discusses his relationship with his adviser. Client discusses the anger he still feels towards his wife regarding her almost suicide and wonders if he's just maintaining her, but not helping her get better.</t>
  </si>
  <si>
    <t>Client "L", Session November 5, 2012 A: Client discusses holiday plans, her boyfriend's plans for his granddaughter and her daughter, and her dog.</t>
  </si>
  <si>
    <t>Client "AP", Session 128: September 27, 2013: Client discusses his anger over a recent letter informing him that he will be defaulting on his college loans soon. Client's unemployment pay will run out in a few months and he has yet to find a reliable source of income.</t>
  </si>
  <si>
    <t>Client "AP", Session 153: December 12, 2013: Client discusses his conflicted feelings about moving to Europe to get a job, as he will miss the family and community he has here.</t>
  </si>
  <si>
    <t>Client "Ma", Session March 18, 2014: Client discusses difficult friendships and their dislike of big crowds during the holidays.</t>
  </si>
  <si>
    <t>Client "R" Session June 24, 2013: Client discusses her current living situation as she spends more time at her boyfriend's apartment than she does her own. Client discusses trying to distance herself from her boyfriend's depression, since she cannot control that part of her life</t>
  </si>
  <si>
    <t>Client "L" Therapy Session Audio Recording, April 09, 2014: Client discusses the state of his marriage and his issues with trust. Client is strongly considering leaving his wife, but feels that his friends would be disappointed in him if he did.</t>
  </si>
  <si>
    <t>Client "S" Therapy Session Audio Recording, July 18, 2012: Client is conflicted about how she feels for her current boyfriend and whether or not she's still in love with an ex. Client does not feel accepted by her family and wishes she was deserving of love and a good career.</t>
  </si>
  <si>
    <t>Client "AP", Session 33: December 14, 2012: Client discusses his recent drinking habits and how it is affecting his sleep cycle. Client discusses his need for human contact as a way to express himself.</t>
  </si>
  <si>
    <t>Client "S" Therapy Session Audio Recording, June 26, 2012: Client wishes her mother would be more proactive in trying to take care of herself and not rely as much on her daughter. Client is afraid that she is not a nice person and thus does not deserve nice things.</t>
  </si>
  <si>
    <t>Client "J" Therapy Session Audio Recording, July 09, 2013: Client discusses her desire to always be doing work and how she finds it hard to have downtime. Client discusses how she's been used by friends in the past and it's made her feel abandoned.</t>
  </si>
  <si>
    <t>Client "K" Session January 04, 2014: Client discusses her boyfriend's recent hospitalization and how it's affecting everyone. Client is stressed over taking care of him, creating a network for him, and trying to finish grad school.</t>
  </si>
  <si>
    <t>Client "M" Session April 04, 2014: Client discusses his inability to break his bad habits and the shame and guilt he feels after. Client discusses his disinterest in having sex with his wife and how he feel he will never be interested again.</t>
  </si>
  <si>
    <t>Client "D", Session March 11, 2013: Client has been admitted to law school, talks about his job and feeling guilty about missing an appointment.</t>
  </si>
  <si>
    <t>Client "Ma", Session June 19, 2013: Client discusses body image and how she feels about her body. Client discusses her childhood and the difficulties of being raised by her father alone.</t>
  </si>
  <si>
    <t>Client "R", Session May 24, 2013: Client discusses how she felt much happier and lighter after their most recent session, but still had the feelings of sadness.</t>
  </si>
  <si>
    <t>Client "Ma", Session July 24, 2013: Client discusses the role of books in their high school experience.</t>
  </si>
  <si>
    <t>Client "AP", Session 136: October 23, 2013: Client discusses his plans to finish his graduate degree overseas and travel a lot in the future.</t>
  </si>
  <si>
    <t>Client "S", Session January 25, 2013: Client is thinking about making a move out of her comfort zone to make some changes in her lifestyle and environment.</t>
  </si>
  <si>
    <t>Client "Ma", Session August 05, 2013: Client discusses some childhood memories and how she feels the need to act a certain way so people don't think she's close to suicide again.</t>
  </si>
  <si>
    <t>Client "S", Session February 21, 2014: Client discusses frustration, anger, and resentment at having to pretend that she does not harbor feelings of anger and resentment towards family members and friends.</t>
  </si>
  <si>
    <t>Client "A", Session January 21, 2014: Client discusses current relationship and dealing with their own mother's presence.</t>
  </si>
  <si>
    <t>Client "Ma", Session November 21, 2012: Client discusses some of the issues surrounding her illness and her relationship with her husband. The therapist talks to her about the symptoms of PTSD that she often displays.</t>
  </si>
  <si>
    <t>Client "S" Therapy Session Audio Recording, February 26, 2014: Client discusses her issues with marriage and engagement, and why she has yet to make the leap in her relationships.</t>
  </si>
  <si>
    <t>Client "CRT" Therapy Session Audio Recording, February 04, 2013: Client discusses breaking up with her boyfriend and the mixed messages she is receiving after this breakup. Client discusses her current living and working situation, and how she needs to get out of it soon.</t>
  </si>
  <si>
    <t>Client "Ju", Session February 12, 2013, Client discusses issues communicating in relationships.</t>
  </si>
  <si>
    <t>Client "K" Session April 30 2014: Client's boyfriend got a heart transplant and it was a successful surgery. Client discusses her elation over the transplant, becoming engaged to her boyfriend, and how she need to calm her anxieties after several traumatic months.</t>
  </si>
  <si>
    <t>Client "SZ" Session April 08, 2014: Client discusses the panic she gets into when she sends an email and is waiting for a reply. Client discusses her issues with sex and performance during intercourse.</t>
  </si>
  <si>
    <t>Client "SM", Session December 19, 2012: Client talks about his math class, education as a catalyst for personal change, and education choices.</t>
  </si>
  <si>
    <t>Client "J", Session May 10, 2013: Client talks about negotiating shared custody with his spouse, and the woman he is dating.</t>
  </si>
  <si>
    <t>Client "LJ", Session May 02, 2013: Client discusses his interest in video games and superheros. Client discusses his sexual relationship with his wife and their issues in the bedroom.</t>
  </si>
  <si>
    <t>Client "AP", Session 162: January 15, 2014: Client is starting to second-guess his move abroad and is almost setting himself up for disappointment. Client discusses his feelings on moving and his anxiety over such a major life change.</t>
  </si>
  <si>
    <t>Client "SRH" Therapy Session Audio Recording, October 10, 2013: Client discusses her family history of anxiety and depression, which makes her feel less alone. Client discusses her history of binge-eating and her current relationship with food.</t>
  </si>
  <si>
    <t>Client "R", Session May 13, 2013: Client discusses how going to therapy negatively affects their marriage.</t>
  </si>
  <si>
    <t>Client "AP", Session 126: September 25, 2013: Client discusses how his stress over money and paying the bills is reaching a breaking point. Client is on the verge of a panic attack and cannot seem to find the funds to pay his expenses.</t>
  </si>
  <si>
    <t>Client "M", Session May 23, 2014: Client discusses his job search journey and difficulties.</t>
  </si>
  <si>
    <t>Client "C" Therapy Session Audio Recording, December 18, 2012: Client is frustrated with his family members; he feels like there is a lack of communication, and he isn't being heard. He expects financial assistance with no strings attached, and he is frustrated that he can't get that from his parents.</t>
  </si>
  <si>
    <t>Client "Ma", Session February 26, 2013: Client is frustrated with her lack of improvement both emotionally and cognitively.</t>
  </si>
  <si>
    <t>Client "Ju", Session November 14, 2012: Client has been having intense dreams that flood her full of anxiety. The anxiousness is displaying physically as tension, causing her pain and discomfort. She talks about her relationship with her long-time roommate.</t>
  </si>
  <si>
    <t>Client "Ma", Session March 03, 2013: Client doesn't know how to continue living in the pain she has been emotionally enduring. Everything is overwhelming and panic-producing for her.</t>
  </si>
  <si>
    <t>Client "MC" Therapy Session Audio Recording, June 05, 2013: Client discusses how he is handling a recent breakup. Client is often one to mask his emotions and does not want to put his problems on other people's shoulders.</t>
  </si>
  <si>
    <t>Client "M", Session December 04, 2012: Client worries about her husband's kidney stone, her appendix and talks about her work.</t>
  </si>
  <si>
    <t>Client "RY", Session 59: April 21, 2014: Client discusses her anger towards husband's list of the 'perfect female' attributes. Client also discusses feeling disappointed by the person her husband has become and feeling mislead by who she thought he was when they were married.</t>
  </si>
  <si>
    <t>Client "S" Therapy Session Audio Recording, September 30, 2013: Client discusses the anger she feels towards her boyfriend and mother for preventing her from following her dreams. Client feels that she gave up on her dreams to help them survive and received no thanks in return.</t>
  </si>
  <si>
    <t>Client "M", Session April 09, 2013: Client talks about her health, trying to find a doctor she trusts to help her, her medications, and her immune system.</t>
  </si>
  <si>
    <t>Client "LJ", Session June 27, 2013: Client discusses his plans to finish his degree and hopefully get a new job.</t>
  </si>
  <si>
    <t>Client "R", Session March 05, 2014: Client discusses client/therapist relationship boundaries.</t>
  </si>
  <si>
    <t>Client "M", Session July 30, 2013: Client discusses recently assisting with an event with children and how she handles being around young children. Client discusses her opinion of subcultures and how she feels about people literally and figuratively "walking over her."</t>
  </si>
  <si>
    <t>Client "R", Session April 1, 2013: Client talks about her discomfort with Christianity, Passover, a recent family visit, and whether or not she would stay at home to raise children.</t>
  </si>
  <si>
    <t>Client "Ma", Session June 04, 2013: Client discusses her constant worry about saying and doing the wrong thing. Client discusses the state of her marriage.</t>
  </si>
  <si>
    <t>Client "R", Session March 12, 2013: Client discusses her feelings for her therapist, how his support helps her feelings of abandonment.</t>
  </si>
  <si>
    <t>Client "J", Session November 30, 2012: Client is feeling intense anxiety mainly due to a lot of work activity taking place in a short time span.</t>
  </si>
  <si>
    <t>Client "K", Session April 07, 2014: Client discusses feeling drained from certain tasks and not being able to complete others. Client discusses her work behavior and how she feels her colleagues perceive her.</t>
  </si>
  <si>
    <t>Client "RY", Session 63: May 19, 2014: Client discusses her relationship with her sister, and how her mother influenced both their lives and development.</t>
  </si>
  <si>
    <t>Client "B", Session February 21, 2013: Client has been feeling immensely worse than usual. She has to force herself to get out of bed each day; depressive feelings have become overwhelming for her.</t>
  </si>
  <si>
    <t>Client "Ma", Session June 21, 2013: Client discusses her fear of the future and whether or not she will be leaving. Client discusses her fear of feeling happy, because she is not sure if she is truly happy.</t>
  </si>
  <si>
    <t>Client "L" Therapy Session Audio Recording, November 27, 2013: Client discusses his sister's impending divorce from her husband. Client hasn't told his wife this, because he is unsure of how she will handle the news and does not want to deal with a breakdown.</t>
  </si>
  <si>
    <t>Client "R", Session February 27, 2013: Client and therapist discuss her feelings for him and how he reacts.</t>
  </si>
  <si>
    <t>Client "SZ" Session December 28, 2012: Client is trying to work out daily decisions that are made by herself, and that are right for her. She wants to be more assertive in her relationships with her sister. She talks about her lingering guilt over having indiscriminate sex with someone other than her boyfriend.</t>
  </si>
  <si>
    <t>Client "S" Session April 22, 2013: Client has figured out work, education, and her living situation. Client is working through some self esteem and body issues that have plagued her since childhood.</t>
  </si>
  <si>
    <t>Client "SZ" Session April 29, 2014: Client discusses the problems she is having in the bedroom with her fiancee and how she finds it difficult and awkward to talk to him about this.</t>
  </si>
  <si>
    <t>Client "J" Session March 19, 2013: Client has mixed emotions about her son's first birthday; it's hard for her to let go of the perception that he is just a baby. She has also been trying to hold on to their breast-feeding routine instead of trying to wean him off.</t>
  </si>
  <si>
    <t>Client "AP", Session 125: September 19, 2013: Client discusses how broke he is and he is unsure of how to make money to pay basic bills. Client is stressed over how to get to a wedding of a close friend since he does not have the money for such an expense.</t>
  </si>
  <si>
    <t>Client "Ma", Session February 05, 2014: Client discusses the role of cutting as a harmful coping mechanism.</t>
  </si>
  <si>
    <t>Client "D", Session April 04, 2014: Client discusses an internship he got for the summer and how it will help his career. Client discusses his relationship with his family and girlfriend, and a dream he had about his mother dying.</t>
  </si>
  <si>
    <t>Client "J", Session April 29, 2014: Client discusses ongoing divorce, insurance issues, debt, and work.</t>
  </si>
  <si>
    <t>Client "R", Session January 24, 2013: Client talks about therapeutic process, her childhood and her adolescence.</t>
  </si>
  <si>
    <t>Client "Ju", Session March 12, 2013: Client had a frustrating meeting at work to discuss diversity in the workplace and her own job prospects.</t>
  </si>
  <si>
    <t>Client "J", Session April 08, 2014: Client discusses being in debt, religion, and work.</t>
  </si>
  <si>
    <t>Client "M", Session February 05, 2013: Client is working to ignore the family and work drama that surround her while helping her husband with his career. Client wishes she could have a specific job, but knows it would be difficult because of her chronic pain.</t>
  </si>
  <si>
    <t>Client "R", Session May 12, 2014: Client discusses the difficulties of the job search process. Client also discusses needing to learn how to better process relationship-fueled anger.</t>
  </si>
  <si>
    <t>Client "J" Session March 10, 2014: Client discusses how difficult it can be to deal with her son without her husband there to help. Client discusses her son's upcoming birthday party and how she's trying to invite a lot of friends she hasn't seen in awhile.</t>
  </si>
  <si>
    <t>Client "Ma", Session May 14, 2013: Client may have to relocate for her spouse's work. Client also talks about her ECT and her depression.</t>
  </si>
  <si>
    <t>Client "Ju", Session April 15, 2014: Client discusses some stressful times she's having at work with her colleagues and superiors. Client does not feel appreciated and no one seems to listen to her in meetings where she is bringing up important issues.</t>
  </si>
  <si>
    <t>Client "AP", Session 119: September 05, 2013: Client discusses his new job and how he feels about starting a business. Client discusses his opinions on different philosophers.</t>
  </si>
  <si>
    <t>Client "S", Session February 28, 2014: Client discusses a difficult friendship.</t>
  </si>
  <si>
    <t>Client "B", Session May 09, 2013: Client seems slightly more jovial in this session. She recently wrote a song/poem in response to a critical individual in her community, which has amused her.</t>
  </si>
  <si>
    <t>Client "RCH" Therapy Session Audio Recording, August 21, 2013: Client discusses his plans to go away for the weekend with his girlfriend and is feeling apathetic about their relationship. Client believes that that they are incompatible in many ways and that he will never be able to satisfy her need for attention.</t>
  </si>
  <si>
    <t>Client "D" Therapy Session Audio Recording, May 05, 2014: Client talks about her feelings of irritation and uncertainly about her self-control when she is dealing with her mother-in-law.</t>
  </si>
  <si>
    <t>Client "Kthl", Therapy Session Audio Recording, October 09, 2014: Client discusses having to be in control and with a specific plan, or risk feeling empty and restless. Client also discusses displeasing her parents by not living up to their professional expectations.</t>
  </si>
  <si>
    <t>Client "M", Session June 06, 2014: Client discusses learning to trust his own instincts; especially when it comes to his work.</t>
  </si>
  <si>
    <t>Client "D", Session April 29, 2013: Client discusses his relationship with is father; he is feeling frustrated and they have trouble communicating.</t>
  </si>
  <si>
    <t>Client "K", Session March 26, 2014: Client discusses her work atmosphere and which manager she works best with. Client discusses grad school and her fears about that upcoming life change.</t>
  </si>
  <si>
    <t>Client "K", Session January 06, 2013: Client discusses the fear of being unable to communicate.</t>
  </si>
  <si>
    <t>Client "Ma", Session May 13, 2013: Client talks about her ECT and subsequent memory loss, as well as her repression.</t>
  </si>
  <si>
    <t>Client "R", Session March 26, 2014: Client discusses the ongoing therapist search for their spouse.</t>
  </si>
  <si>
    <t>Client "Ju", Session August 20, 2013: Client discusses her job and how she feels uncomfortable in her current position. Client discusses how technology affects her job.</t>
  </si>
  <si>
    <t>Client "SR", Session April 01, 2014: Client discusses feeling like the 'bad guy' for wanting sexual and emotional intimacy in their marriage.</t>
  </si>
  <si>
    <t>Client "S" Therapy Session Audio Recording, November 07, 2012: Client discusses her current relationship issues and why she shies away from being an adult and instead, acts "like a child".</t>
  </si>
  <si>
    <t>Client "AP", Session 48: January 30, 2013: Client thinks he's being fairly hard on himself. It is causing him to feel overwhelmed, stressed, and unmotivated.</t>
  </si>
  <si>
    <t>Client "S", Session January 06, 2014: Client discusses the anger and abandonment she feels after a recent breakup. Client is angry that she keeps dating men that aren't good for her and it blows up in her face.</t>
  </si>
  <si>
    <t>Client "J" Session January 27, 2014: Client discusses how she's attempting to balance her work and home life, and wants her colleagues to stop calling her after a certain hour. Client discusses the grief her mother is feeling over her grandmother's death and how she worries about her.</t>
  </si>
  <si>
    <t>Client "M", Session March 26, 2013: Client discusses grinding her teeth, judging others at work, and her financial issues.</t>
  </si>
  <si>
    <t>Client "B", Session March 04, 2013: Client is reconnecting with people from her past; she feels insecure about her former self and how these people will perceive her now.</t>
  </si>
  <si>
    <t>Client "RY", Session 29: September 04, 2013: Client discusses her frustration that her husband refuses to apologize for several breaches of trust, thus preventing them from discussing other issues in their marriage.</t>
  </si>
  <si>
    <t>Client "Vn" Therapy Session Audio Recording, March 12, 2014: Client discusses her impending divorce and how things are moving quickly legally. Client discusses her stress about being able to financially support her son and hopes that she will be more stable in her apartment and life in a few months.</t>
  </si>
  <si>
    <t>Client "B", Session June 26, 2013: Client discusses an upcoming artistic project, a friend in an abusive relationship, and possibly reaching out to an established author to help with her project.</t>
  </si>
  <si>
    <t>Client "Ma", Session April 26, 2013: Client has a few good job offers to consider; she's excited about the prospect of working and earning a living again. She is somewhat upset with the amount of money the therapist charges her per session.</t>
  </si>
  <si>
    <t>Client "S", Session January 20, 2014: Client discusses her weekend out of town and how she's dreading the upcoming work week. Client is exhausted from driving and cuts the session short.</t>
  </si>
  <si>
    <t>Client "AP", Session 152: December 11, 2013: Client discusses the real possibility that he will be moving abroad in the coming months and how that will impact his family and relationships.</t>
  </si>
  <si>
    <t>Client "S" Therapy Session Audio Recording, March 26, 2014: Client discusses trying to keep calm as she is very stressed about finishing her work, education, and finding a job to pay the rent. Client discusses feeling both burdened and stuck in her life.</t>
  </si>
  <si>
    <t>Client "R" Session February 19, 2014: Client discusses having to leave work early because she was having a panic attack and what affect her new medicine is having. Client is periodically feeling suicidal, depressed, and her whole body is tight.</t>
  </si>
  <si>
    <t>Client "Ad", Session December 17, 2013: Client discusses a personality test he took online and whether or not he believes that people just fall into these haphazard categories.</t>
  </si>
  <si>
    <t>Client "L" Therapy Session Audio Recording, February 27, 2013: Client discusses the frustration and anger he has towards the care his wife receives and the effort he has to put in to care for her.</t>
  </si>
  <si>
    <t>Client "MK", Session October 24, 2013: Client discusses juggling two part-time jobs, in order to work full-time hours.</t>
  </si>
  <si>
    <t>Client "Kthl" Therapy Session Audio Recording, January 08, 2014: Client discusses how her weight and body image has a negative impact on her self-esteem. Client thinks that everyone focuses on her weight when they see her and that they all judge her accordingly.</t>
  </si>
  <si>
    <t>Client "L" Therapy Session Audio Recording, May 22, 2013: Client discusses his relationship with his therapist. Client discusses an event that happened the previous weekend and his difficulty in balancing his needs in the relationship now that his wife is getting better.</t>
  </si>
  <si>
    <t>Client "R", Session January 28, 2014: Client discusses yoga and family health.</t>
  </si>
  <si>
    <t>Client "AP", Session 56: February 28, 2013: Client has been feeling so overwhelmed that it has become hard to concentrate, keep focused, and remember simple tasks.</t>
  </si>
  <si>
    <t>Client "Ju", Session June 11, 2013: Client talks about her cousin's children and celebrating her birthday with her parents. Client and therapist discuss her anger toward her mother and why the relationship is difficult.</t>
  </si>
  <si>
    <t>Client "B", Session December 03, 2012: Client feels like she allows herself to get into situations where she behaves immaturely despite herself.</t>
  </si>
  <si>
    <t>Client "AP", Session 120: September 06, 2013: Client discusses his current mood and sense of anxiety he feels. Client discusses starting his new position and how it will work into his schedule.</t>
  </si>
  <si>
    <t>Client "Ma", Session March 10, 2014: Client discusses the car breaking down on the way to couples therapy and how it threw off her entire day. Client feels at fault and feels she is going to be yelled at.</t>
  </si>
  <si>
    <t>Client "K", Session April 10, 2014: Client discusses struggling to be more engaged and interested with daily life.</t>
  </si>
  <si>
    <t>Client "Ma", Session August 06, 2013: Client discusses the possibility of joining a choir and her memories of past choirs she has been a part of.</t>
  </si>
  <si>
    <t>Client "D", Session March 14, 2014: Client discusses how his parent's handle his therapy and how they wonder if they really messed up so much that their son needs weekly sessions of therapy. Client wonders if his parents think he's wasting his time in therapy.</t>
  </si>
  <si>
    <t>Client "SZ" Session April 29, 2013: Client talks about her boyfriend and the challenges of living together.</t>
  </si>
  <si>
    <t>Client "Ju", Session February 5, 2013: Client discusses work issues and an ethics case study.</t>
  </si>
  <si>
    <t>Client "RY", Session 34: September 30, 2013: Client discusses some good moves forward in her marriage and how this separation is very important to fixing their relationship.</t>
  </si>
  <si>
    <t>Client "B", Session June 6, 2013: Client is unsure and anxious in friendships after her recent assault and her friend's rape.</t>
  </si>
  <si>
    <t>Client "G", Session February 19, 2013: Client is searching for intimacy in his sexual relationships, but he isn't sure he is going about it the right way.</t>
  </si>
  <si>
    <t>Client "AP", Session 112: August 14, 2013: Client discusses his desire to be alone with his thoughts, which is hindering his plans to hang out with friends and go on dates.</t>
  </si>
  <si>
    <t>Client "Ma", Session February 03, 2014: Client discusses suicide, isolation, and the inability to open up to others about depression and suicide.</t>
  </si>
  <si>
    <t>Client "AP", Session 64: March 27, 2013: Client discusses friendships, his connection to his family, anxiety about the future, and fears.</t>
  </si>
  <si>
    <t>Client "K", Session March 25, 2014: Client discusses the anger she feels towards a coworker and how she's avoiding him at work. Client discusses her fear of being dominated by others.</t>
  </si>
  <si>
    <t>Client "AP", Session 82: May 16, 2013: Client discusses romantic interest in and interactions with two women, and an itch that manifests when he feels anxious.</t>
  </si>
  <si>
    <t>Client "AP", Session 117: August 30, 2013: Client discusses his new office space and plan to open his own business. Client discusses his plans to network and his issues in finding a woman to date and possibly marry.</t>
  </si>
  <si>
    <t>Client "K", Session April 15, 2014: Client discusses feeling stressed and anxious about work and an upcoming move. Client discusses how to handle being angry at her mom and her coworkers.</t>
  </si>
  <si>
    <t>Client "J" Therapy Session Audio Recording, July 30, 2013: Client discusses issues at work and her inability to stand up for herself or say no when she can't do something.</t>
  </si>
  <si>
    <t>Client "MC" Therapy Session Audio Recording, May 29, 2013: Client discusses spending a good part of the weekend with his ex-boyfriend and how they're transitioning into being friends.</t>
  </si>
  <si>
    <t>Client "K", Session November 15, 2012: Client has had a particularly hard time making decisions lately; especially concerning to her is her perceived lack of ability to judge her thoughts with clarity.</t>
  </si>
  <si>
    <t>Client "SM", Session March 28, 2013: Client talks about his upcoming household move and his partner.</t>
  </si>
  <si>
    <t>Client "R" Session January 31, 2013: Client's work prospects are starting to open up more, but she is still feeling the same sense of dread often.</t>
  </si>
  <si>
    <t>Client "J", Session November 16, 2012: Client believes his medications and the dosages are causing him to feel more anxious and depressed.</t>
  </si>
  <si>
    <t>Client "S" Session November 27, 2012: Client feels anxious about the possibility of quitting her job. She is unhappy about some steps that management is taking, but she isn't certain that leaving is the best option for her.</t>
  </si>
  <si>
    <t>Client "L", Session November 12, 2012: Client discusses extended family history, her health, holiday plans.</t>
  </si>
  <si>
    <t>Client "LJ", Session July 18, 2013: Client discusses the power of religion to both inspire and mislead people in a variety of different manners.</t>
  </si>
  <si>
    <t>Client "Ma", Session August 02, 2014: Client discusses sexism and depression.</t>
  </si>
  <si>
    <t>Client "AP", Session 175: February 28, 2014: Client discusses his plans to finish his degree abroad and the recent influx he's had in getting blog posts published.</t>
  </si>
  <si>
    <t>Client "AP", Session 66: April 4, 2013: Client discusses a conflict with fellow musicians and complicated relationships of his extended family.</t>
  </si>
  <si>
    <t>Client "S" Therapy Session Audio Recording, March 12, 2014: Client discusses the trapped feelings she has when she spends too much time with one man she is dating. Client discusses her thoughts on driving and cross-country travel.</t>
  </si>
  <si>
    <t>Client "S", Session June 14, 2013: Client discusses his education history and tells stories about his family.</t>
  </si>
  <si>
    <t>Client "LJ", Session January 30, 2014: Client discusses the different medications he is taking and how the doctors keep changing them, which leads to different side-effects that are making his life difficult and leading to some suicidal ideation. Client discusses the work setting at his previous jobs.</t>
  </si>
  <si>
    <t>Client "Ju", Session January 17, 2013: Client is apprehensive about returning to work, discusses health and weight myths.</t>
  </si>
  <si>
    <t>Client "AP", Session 39: January 03, 2013: Client talks about his relationship, and how he is leaving a slight out for himself in case he meets the "perfect" woman. He envisions himself with a woman from his ethnic background.</t>
  </si>
  <si>
    <t>Client "A", Session August 14, 2013: Client discusses his job prospects and how he's handling the negotiation process. Client discusses how his sleep issues have returned since vacation.</t>
  </si>
  <si>
    <t>Client "G", Session March 12, 2013: Client discusses a moment from his past that impaired the trust he had with his aunt. Client has an intimate moment with one of his cousins but is confused by the ambiguity of the moment.</t>
  </si>
  <si>
    <t>Client "Ju", Session January 01, 2014: Client discusses ongoing medication issues; as well as the lack of African American individuals within the technology field.</t>
  </si>
  <si>
    <t>Client "M", Session May 29, 2013: Client discusses a service that could help her manage her medications. Client shares apprehension over a friend's upcoming marriage, as she does not like her friend's partner.</t>
  </si>
  <si>
    <t>Client "SZ" Session April 22, 2013: Client discusses her trouble leaving her home, issues with her boyfriend, her diet, and medication.</t>
  </si>
  <si>
    <t>Client "S" Therapy Session Audio Recording, January 20, 2014: Client discusses feeling abandoned by friends who exclude her from events and betray the supposed contract that exists between friends. Client discusses how she often takes the position of the victim.</t>
  </si>
  <si>
    <t>Client "R", Session March 11, 2013: Client discusses her feelings for her therapist and sex.</t>
  </si>
  <si>
    <t>Client "D", Session June 24, 2013: Client discusses the impact his parents' divorce has on his relationship with them and the family as a whole.</t>
  </si>
  <si>
    <t>Client "S" Therapy Session Audio Recording, May 15, 2013: Client discusses her often childlike behavior, such as asking permission to not do something that she signed up for in the first place.</t>
  </si>
  <si>
    <t>Client "ML" Therapy Session Audio Recording, January 02, 2013: Clients discuss the pros and cons of their recent trip home to visit family.</t>
  </si>
  <si>
    <t>Client "SZ" Session March 25, 2014: Client discusses a recent breakout of acne and how she feels about her physical appearance. Client discusses her fiancee's job and a recent crunch of money.</t>
  </si>
  <si>
    <t>Client "Ma", Session February 01, 2013: Client fears that she is not trying to recover correctly. She also fears that every time it feels manageable, there's a downward spiral waiting around the corner.</t>
  </si>
  <si>
    <t>Client "L" Therapy Session Audio February 12, 2014: Client discusses fear and how the fear of fear can be paralyzing. Client discusses his wife's current hospitalization and making sure she leaves soon.</t>
  </si>
  <si>
    <t>Client "AP", Session 59: March 7, 2013: Client discusses financial difficulties, his mother's lack of assistance, and his creative endeavors.</t>
  </si>
  <si>
    <t>Client "A", Session January 23, 2014: Client discusses relationship with father.</t>
  </si>
  <si>
    <t>Client "J", Session June 21, 2013: Client discusses his tiredness and wonders if it has to do with the medications he's on. Client discusses his low self esteem and how he handles it in his current relationship.</t>
  </si>
  <si>
    <t>Client "R", Session July 11, 2013: Client discusses the fantasies she has about her therapist and how she imagines him in place of her husband during sex.</t>
  </si>
  <si>
    <t>Client "Ma", Session January 15, 2014: Client discusses their views on children and vulnerability.</t>
  </si>
  <si>
    <t>Client "K", Session March 27, 2014: Client discusses her work settings and how she feels bad that she takes her issues out on colleagues. Client discusses trying to be more herself.</t>
  </si>
  <si>
    <t>Client "R", Session July 01, 2013: Client discusses the pain and sadness she feels because she could not talk to her therapist about her feelings during a weekend away.</t>
  </si>
  <si>
    <t>Client "S", Therapy Session Audio Recording, December 10, 2012: Client discusses potentiality. Client then feels embarrassed and judged that she isn't more independent and self-sufficient.</t>
  </si>
  <si>
    <t>Client "S", Session March 21, 2014: Client discusses feelings of resignation.</t>
  </si>
  <si>
    <t>Client "M", Session April 30, 2013: Client discusses a work initiative, her spouse, and her physical health.</t>
  </si>
  <si>
    <t>Client "MC" Therapy Session Audio Recording, June 26, 2013: Client discusses the stress he feels from his boss at work who doesn't trust him. Client discusses how many people in his life don't trust his judgement, even though he ends up being right later.</t>
  </si>
  <si>
    <t>Client "A", Session April 05, 2013: Client often turns a bad day of work into a larger issue, unnecessarily exacerbating a relatively minor situation.</t>
  </si>
  <si>
    <t>Client "Ma", Session February 11, 2013: Client feels so sad, tired, and defeated that she doesn't know how to function.</t>
  </si>
  <si>
    <t>Client "AP", Session 37: December 28, 2012: Client feels significantly better after last session. He believes that the lack of therapy for a week triggered his anxiety.</t>
  </si>
  <si>
    <t>Client "L", Session January 21, 2013: Client discusses recent hand surgery and sadness at lack of support from her daughter and cousin.</t>
  </si>
  <si>
    <t>Client "S", Session January 24, 2014: Client discusses having an extremely stressful week at work and at home. Client is stressed and angry over interviews she is conducting at work, and is sad about the state of her love life. Client is annoyed at her roommate, who is very lazy and does nothing to help around the apartment.</t>
  </si>
  <si>
    <t>Client "B", Session December 28, 2012: Client is worried about her intuition being off in her personal relationship choices. She finds herself sexually frustrated in her spousal relationship.</t>
  </si>
  <si>
    <t>Client "SN" Therapy Session Audio Recording, September 17, 2013: Client discusses realizing how much he missed being home now that the summer is over and he's back in school. Client discusses his issues over touching and physical contact.</t>
  </si>
  <si>
    <t>Client "R", Session March 6, 2013: Client shares a sexual dream she had about her therapist.</t>
  </si>
  <si>
    <t>Client "D", Session May 30, 2013: Client discusses the frustration he feels towards people who are using him and his recent move towards being more assertive in his life and relationships.</t>
  </si>
  <si>
    <t>Client "Ma", Session April 15, 2013: Client has hard a very hard weekend, but she is determined to not end up back in the hospital for suicidal behavior.</t>
  </si>
  <si>
    <t>Client "S" Therapy Session Audio Recording, March 03, 2014: Client discusses her confusion over which man of the two she is dating with whom she feels more comfortable.</t>
  </si>
  <si>
    <t>Client "JM", Session 9: Client and therapist work on distinguishing between thoughts, opinions, instincts, &amp; emotions.</t>
  </si>
  <si>
    <t>Client "Ju", Session March 26, 2013: Client discusses several disagreements between friends, and body size.</t>
  </si>
  <si>
    <t>Client "LJ", Session July 15, 2013: Client discusses his relationship with his dogs, and feelings of anxiety.</t>
  </si>
  <si>
    <t>Client "G", Session May 10, 2013: Client discusses his rapport with his therapist and how their sessions flow. Client discusses his decision not to go to a certain university and where that put him today.</t>
  </si>
  <si>
    <t>Client "LJ", Session March 21, 2014: Client discusses his schoolwork and how he's progressing in his classes. Client discusses his past history with drug use, party games, and regretting making a mistake in the past.</t>
  </si>
  <si>
    <t>Client "Ma", Session November 28, 2012: Client has had intense suicidal feelings and is reluctant to talk with the therapist about them; she believes she is being protective of him by not wanting to tell him.</t>
  </si>
  <si>
    <t>Client "R", Session May 06, 2013: Client discusses her thoughts on boundaries and how she wants to create her own instead of living by others. Client discusses the seductive nature of art.</t>
  </si>
  <si>
    <t>Client "D" Therapy Session Audio Recording, March 14, 2014: Client discusses family members and how close they all are with each other.</t>
  </si>
  <si>
    <t>Client "S" Therapy Session Audio Recording, January 14, 2013: Client discusses her boyfriend's desire to put her on a schedule and the possibility of them starting couples therapy.</t>
  </si>
  <si>
    <t>Client "S" Therapy Session Audio Recording, January 28, 2013: Client discusses her relationship and moving in with her boyfriend, admitting she needs to do so only to afford to keep paying her mother's rent. Client discusses how she might be living in denial.</t>
  </si>
  <si>
    <t>Client "A", Session March 18, 2014: Client discusses their difficulty expressing emotion.</t>
  </si>
  <si>
    <t>Client "DF", Session July 12, 2014: Client discusses the anxiety surrounding his relationship with his parents, and his many attempts to form a stronger bond.</t>
  </si>
  <si>
    <t>Client "J" Therapy Session Audio Recording, September 10, 2013: Client discusses some good moments that are happening in her current relationship. Client discusses her father's obsessive nature and how she may have picked up that trait.</t>
  </si>
  <si>
    <t>Client "AP", Session 61: March 14, 2013: Client talks about his novel, friendships, anxiety, and his therapy.</t>
  </si>
  <si>
    <t>Client "Ma", Session February 12, 2014: Client discusses how book plot lines mirror relationships in life.</t>
  </si>
  <si>
    <t>Client "L" Therapy Session Audio Recording, October 30, 2013: Client discusses the advice he gave to someone who's husband was recently hospitalized. Client discusses his other therapist.</t>
  </si>
  <si>
    <t>Client "GH", Session April 30, 2013: Client discusses feeling numb to others and not wanting to be around others often- possibly due to too much masturbation and pornography.</t>
  </si>
  <si>
    <t>Client "J", Session April 01, 2014: Client discusses financial court proceedings, and their children.</t>
  </si>
  <si>
    <t>Client "B", Session January 22, 2014: Client discusses actually enjoying spending time with friends, and work projects.</t>
  </si>
  <si>
    <t>Client "J" Therapy Session Audio Recording, October 01, 2013: Client discusses how her new medication is helping with her anxiety. Client discusses how stressful her job is and how she picked up her anxiety issues from her parents.</t>
  </si>
  <si>
    <t>Client "A", Session May 22, 2013: Client discusses his difficulty sleeping through the night and how it's having an impact on his cognitive functions.</t>
  </si>
  <si>
    <t>Client "B", Session July 26, 2013: Client discusses her father's future death and how it will probably be good for her, since he makes her miserable all the time.</t>
  </si>
  <si>
    <t>Client "Ma", Session January 31, 2014: Client discusses wanting all of her pain to just stop. Client wants to feel better, but she is unsure of how to do that.</t>
  </si>
  <si>
    <t>Client "ADR" Therapy Session Audio Recording, March 05, 2013: Client discusses her plan of stopping individual therapy and transitioning into couples therapy. Client discusses how far she's come in therapy and how much help it's been in her relationship.</t>
  </si>
  <si>
    <t>Client "K" Session March 12, 2014: Client discusses the return of her dogs and how it's been good for her boyfriend. Client cannot seem to relax, even when running or during yoga classes, and discusses trying to find new ways to relieve her anxiety.</t>
  </si>
  <si>
    <t>Client "R", Session February 4, 2013: Client talks about an encounter at her gym, family relationships, and her spouse.</t>
  </si>
  <si>
    <t>Client "RY", Session 17: June 24, 2013: Client discusses her dissatisfaction with her husband's career and goals in life. Client discusses the hopelessness of searching for a job.</t>
  </si>
  <si>
    <t>Client "Ma", Session April 17, 2013: Client and therapist review why she is attending intensive therapy. She asks for reassurance about her health insurance since they meet most days of the week. She has been feeling very suicidal again lately, and fighting the urge to call the therapist when the desire arises.</t>
  </si>
  <si>
    <t>Client "S" Therapy Session Audio Recording, December 26, 2012: Client discusses how she felt over the holidays and her feelings on what it means to her to be successful.</t>
  </si>
  <si>
    <t>Client "A", Session March 01, 2013: Client feels dislocated from his memories, work, and his relationships. He has difficulty remembering his sessions. He is often unsure of where he stands in these situations which leads to anxiety.</t>
  </si>
  <si>
    <t>Client "M", Session January 31, 2013: Client discusses her husband's sister, derogatory comments she makes, and issues in his family.</t>
  </si>
  <si>
    <t>Client "Ma", Session February 18, 2014: Client discusses trying to communicate with her husband. Client feels hurt and wants to communicate it without receiving a solution.</t>
  </si>
  <si>
    <t>Client "Ma", Session February 22, 2013: Client is frustrated with therapy and wants to stop.</t>
  </si>
  <si>
    <t>Client "S", Session March 10, 2014: Client discusses being consumed by the thought of possibly being pregnant.</t>
  </si>
  <si>
    <t>Client "K", Session March 05, 2014: Client discusses her interactions with colleagues at work and how she assess their perception of her.</t>
  </si>
  <si>
    <t>Client "AP", Session 25: November 26, 2012: Client is learning how to handle his emotions better. His past irresponsible financial decisions come back to haunt him, but he copes with it much better now than he would have a year ago.</t>
  </si>
  <si>
    <t>Client "R", Session January 30, 2014: Client discusses anxiety and respecting one's marriage.</t>
  </si>
  <si>
    <t>Client "GH", Session July 18, 2014: Client discusses trying to live his life by a plan, and trying to overcome his current writing procrastination.</t>
  </si>
  <si>
    <t>Client "RY", Session 18: July 01, 2013: Client discusses her frustration with the job search and her husband.</t>
  </si>
  <si>
    <t>Client "A", Session April 8, 2014: Client discusses some childhood family recollections of abandonment, sadness, and tension.</t>
  </si>
  <si>
    <t>Client "S" Therapy Session Audio Recording, April 03, 2013: Client discusses her sexual awakening and whether or not she needs to get out of her relationship and apartment.</t>
  </si>
  <si>
    <t>Client "AP", Session 70: April 12, 2013: Client feeling some guilt about how he's feeling uncertain about his relationship. He's no longer sure what he wants or needs in a relationship, but it unsure of how to impart this information to his girlfriend.</t>
  </si>
  <si>
    <t>Client "R", Session March 28, 2014: Client discusses therapist-related feelings of love and attachment.</t>
  </si>
  <si>
    <t>Client "J", Session January 25, 2013: Client is starting to think ahead about how she will use her doctorate in her field of interest when she returns to the workforce full-time.</t>
  </si>
  <si>
    <t>Client "S" Therapy Session Audio Recording, February 27, 2013: Client discusses the hierarchy she creates with her and her colleagues. Client discusses her judgmental nature and where that stems from.</t>
  </si>
  <si>
    <t>Client "Ma", Session August 20, 2013: Client discusses the state of her marriage and how her past suicidal thoughts and hospitalization has broken the trust between her and her husband.</t>
  </si>
  <si>
    <t>Client "B", Session November 19, 2012: Client demonstrates her overdeveloped competitive side by divulging how she sees even Thanksgiving dinner as a competition and an opportunity to 'win'.</t>
  </si>
  <si>
    <t>Client "J", Session July 02, 2013: Client discusses his recent jobs and how they're making him more money, but causing him stress. Client discusses a wedding he went to over the weekend with his girlfriend and how he feels about their relationship.</t>
  </si>
  <si>
    <t>Client "K", Session February 19, 2014: Client discusses the confusion emotional nature surrounding the possibility of moving home.</t>
  </si>
  <si>
    <t>Client "Ma", Session March 14, 2014: Client discusses friends, changes, and the possibility of moving.</t>
  </si>
  <si>
    <t>Client "AP", Session 41: January 07, 2013: Client is uncertain about where his relationship currently stands with his girlfriend. The lack of communication between them right now is making him feel more anxious.</t>
  </si>
  <si>
    <t>Client "Ma", Session July 10, 2013: Client discusses her thoughts on religion and faith, and if she will ever get better.</t>
  </si>
  <si>
    <t>Client "R", Session February 10, 2014: Client discusses her frustration with her husband for his lack of initiative. Client's husband backs out on social events to do work, but then doesn't do the work he says he would. Client discusses changing her work behavior to finish her degree soon.</t>
  </si>
  <si>
    <t>Client "S" Therapy Session Audio Recording, June 27, 2012: Client discusses the burden of having to help her mother in life while attempting to start her own career. Client discusses how her parents' failed marriage continues to have an impact on her life.</t>
  </si>
  <si>
    <t>Client "D", Session February 04, 2013: Client recently told his current employers that he was taking a new job with a different company; he was left feeling empowered by his decision. He tells therapist about a bad dream he had where the therapist made unwanted sexual advances towards him.</t>
  </si>
  <si>
    <t>Client "AP", Session 146: November 20, 2013: Client discusses the anger and sadness he feels about his current living situation. Client cannot pay his bills and his mother might have to start using food stamps, despite the fact that he has a lot of equity in his house.</t>
  </si>
  <si>
    <t>Client "Ju", Session February 13, 2013: Client discusses anxiety, her housing situation, and speech condition.</t>
  </si>
  <si>
    <t>Client "S", Session June 14, 2013: Client discusses some recent dates she has gone on and her feelings about dating again after a long-term relationship.</t>
  </si>
  <si>
    <t>Client "J" Session March 24, 2014: Client discusses celebrating her son's birthday and how she's juggling family visits during this time. Client got a new position at her job and discusses how she will balance the new responsibilities while finishing her dissertation.</t>
  </si>
  <si>
    <t>Client "AP", Session 62: March 15, 2013: Client talks about his musical ventures, college, friends with manic behavior, and PTSD.</t>
  </si>
  <si>
    <t>Client "S", Session August 01, 2013: Client talks about her brother, her financial issues and dating.</t>
  </si>
  <si>
    <t>Client "Ma", Session March 07, 2014: Client discusses boundary issues with father and family.</t>
  </si>
  <si>
    <t>Client "R", Session March 7, 2013: Client shares her anxiety about an upcoming trip and talks about perceived tension in client-therapist relationship.</t>
  </si>
  <si>
    <t>Client "E", Session January 28, 2013: Client talks about her relationships and conflict with some coworkers. She is starting to worry that her wedding will be a disaster.</t>
  </si>
  <si>
    <t>Client "R", Session March 28, 2013: Client discusses sexual dreams, fantasies, and desires, especially those about her therapist.</t>
  </si>
  <si>
    <t>Client "D", Session May 02, 2013: Client discusses an argument he had with his father and the anger he felt about that. Client discusses his plans to go work and go back to school.</t>
  </si>
  <si>
    <t>Client "SB", Session November 29, 2010: Client discusses his inability to deal with the chaotic state of his family. Client's parents are then brought in to discuss ongoing issues of physical abuse, alcohol abuse, and violent mental disorders.</t>
  </si>
  <si>
    <t>Client "L" Therapy Session Audio Recording, January 08, 2014: Client discusses his thoughts on divorce and why he is unsure if he wants to leave his wife. Client discusses both his capability and willingness to trust others.</t>
  </si>
  <si>
    <t>Client "LJ", Session February 13, 2014: Client discusses a tattoo he is getting as a surprise for his wife and his apprehension about his therapist meeting with his wife. Client discusses breaking up with his psychiatrist.</t>
  </si>
  <si>
    <t>Client "R", Session February 06, 2014: Client discusses her work schedule and how she is okay with not working as much as her colleagues. Client discusses a new birth in the family and how she wants to know more about her therapist's personal life.</t>
  </si>
  <si>
    <t>Client "RY", Session 2: March 4, 2013: Client expresses anger and frustration about her spouse, discusses possibly separating from him and criticizes and blames herself for troubles in their marriage.</t>
  </si>
  <si>
    <t>Client "AP", Session 138: October 30, 2013: Client discusses his past relationships and why he thinks they all failed.</t>
  </si>
  <si>
    <t>Client "LJ", Session June 17, 2013: Client discusses his interest in pornography.</t>
  </si>
  <si>
    <t>Client "J", Session March 15, 2013: Client talks about financial issues, his mother and brother, and social situations.</t>
  </si>
  <si>
    <t>Client "L", Session February 22, 2013: Client discusses her pacemaker, her physical health, her father's death, her children, and interracial relationships.</t>
  </si>
  <si>
    <t>Client "M" Session March 28, 2014: Client discusses his sexual relationship with his wife and how their personal issues have gotten in the way of them desiring one another. Client wants to try to get back to having sex for the sake of doing it and not just as a bargaining chip or to make his wife feel desired.</t>
  </si>
  <si>
    <t>Client "Ma", Session April 07, 2014: Client discusses her worries about money and the credit card debt she accrued while not being able to work. Client discusses meeting up with some old friends and the anxiety she feels over having the same, tired conversation regarding her inability to get back into teaching.</t>
  </si>
  <si>
    <t>Client "S" Therapy Session Audio Recording, April 17, 2013: Client discusses her plans for the summer and how she's feeling suffocated in her current romantic relationship.</t>
  </si>
  <si>
    <t>Client "B", Session August 16, 2013: Client is having trouble sleeping but is reluctant to pursue medical help, discusses her general hesitancy to go to the doctor and concern about what her therapist thinks.</t>
  </si>
  <si>
    <t>Client "Ma", Session February 04, 2014: Client discusses the inconsistent nature and credibility of their ever-changing emotions.</t>
  </si>
  <si>
    <t>Client "Ma", Session January 06, 2014: Client discusses the relief in finding her wedding ring, but the worry she has in talking with her husband about his job search. Client is cutting again, but is ashamed of it because it is an adolescent behavior.</t>
  </si>
  <si>
    <t>Client "A", Session February 11, 2014: Client discusses the idea of shame and scandal after discovering a very in depth story about late family members.</t>
  </si>
  <si>
    <t>Client "K", Session January 13, 2014: Client discusses their brother's financial and emotional issues.</t>
  </si>
  <si>
    <t>Client "SN" Therapy Session Audio Recording, July 30, 2013: Client discusses the relationship he has with his family and how he thinks his visit home will go. Client discusses a potential date and how he engages differently than others.</t>
  </si>
  <si>
    <t>Client "Ma", Session March 15, 2013: Client talks about her relationship with her father in light of a recent incident that upset her, also a positive interaction with her spouse.</t>
  </si>
  <si>
    <t>Client "S" Therapy Session Audio Recording, July 02, 2012: Client seeks validation from ex-boyfriend's approval of her and is heartbroken after he tells her they can never get back together. Client discusses other dating adventures and her desire for success at her chosen profession.</t>
  </si>
  <si>
    <t>Client "J" Therapy Session Audio Recording, October 08, 2013: Client discusses a recent fight she had with her boyfriend and whether it's time to end the relationship. Client wishes her boyfriend spent more time with her and communicated better, but he might not be that type of person.</t>
  </si>
  <si>
    <t>Client "D", Session March 07, 2014: Client discusses having a nice weekend away with his dad and not wanting to get back into the swing of school and work. Client worries about his ability to fall asleep and discusses wanting to be in a state of 'oblivion'.</t>
  </si>
  <si>
    <t>Client "Ma", Session January 22, 2013: Client hopes that the ECT regimen is starting to help. She has a lot of feelings of despair and fear.</t>
  </si>
  <si>
    <t>Client "SM", Session November 21, 2012: Client talks about bonding with friends at an Indian wedding, mathematics and philosophy.</t>
  </si>
  <si>
    <t>Client "L" Therapy Session Audio Recording, April 03, 2013: Client discusses some personal events that happened with his wife was first hospitalized that had an impact on personal and family relationships.</t>
  </si>
  <si>
    <t>Client "Ma", Session June 25, 2013: Client discusses her feat that life is moving too fast and she does not want to move. Client discusses her reliance and dependence on therapist.</t>
  </si>
  <si>
    <t>Client "R", Session March 17, 2014: Client discusses getting a therapist for her husband and asks her therapist for a recommendation. Client discusses her relationship with her therapist and a recent email she sent him.</t>
  </si>
  <si>
    <t>Client "S" Therapy Session Audio Recording, October 21, 2013: Client discusses her agony over how to progress in her relationships, as she is dating two men and feels guilty about it.</t>
  </si>
  <si>
    <t>Client "A", Session March 04, 2014: Client discusses what it felt like when his wife was away and how stressful it was to take care of the baby by himself. Client discusses the different 'versions' he has of his therapist.</t>
  </si>
  <si>
    <t>Client "L" Therapy Session Audio Recording, July 03, 2013: Client discusses how happy he is in his marriage and if it would be a good time to start couples therapy again.</t>
  </si>
  <si>
    <t>Client "SRH" Therapy Session Audio Recording, January 09, 2014: Client discusses her trips over the holiday season to visit her family and her girlfriend's family. Client discusses her anxiety over eating and taking medicine, and how she's become a bit of a hypochondriac.</t>
  </si>
  <si>
    <t>Client "M" Session February 14, 2014: Client discusses his increased work rate and lack of procrastination, which may be linked to some classes he's attended and continuing his exercise regimen. Client discusses his thoughts when walking through a massive supermarket and all the choices offered in the store.</t>
  </si>
  <si>
    <t>Client "J" Session April 07, 2014: Client discusses her wish to be out of graduate school and making money so she can help support her family. Client discusses how her parenting style is different from her mother's and her focus on having a work-life balance.</t>
  </si>
  <si>
    <t>Client "S" Therapy Session Audio February 12, 2014: Client discusses how her parents' relationship has had a negative impact on how she perceives sex, strip clubs, and naked bodies.</t>
  </si>
  <si>
    <t>Client "Ju", Session February 04, 2014: Client discusses racism talks within an American Library Association panel.</t>
  </si>
  <si>
    <t>Client "SM", Session October 22, 2012: Client discusses a new client, his mathematics class, and mathematical theory.</t>
  </si>
  <si>
    <t>Client "Ma", Session August 13, 2013: Client discusses books and reading, and how many books have had an impact on her psyche. Client discusses the feeling of being tossed around and people intentionally hurting her.</t>
  </si>
  <si>
    <t>Client "B", Session January 23, 2014: Client discusses how she's no longer confident in asking people out, because she's worried about the hurt and risk.</t>
  </si>
  <si>
    <t>Client "G", Session February 15, 2013: Client talks about some general issues with intimacy he has which he relates back to his relationship with his mother.</t>
  </si>
  <si>
    <t>Client "AP", Session 36: December 27, 2012: Client has been feeling very stressed, overwhelmed, and anxious again.</t>
  </si>
  <si>
    <t>Client "LJ", Session June 10, 2013: Client discusses his anxiety over the most recent national security leaks.</t>
  </si>
  <si>
    <t>Client "S" Therapy Session Audio Recording, September 23, 2013: Client discusses how she felt attending two parties over the weekend. Client recently stopped spending as much time at her boyfriend's place and is feeling more lonely than usual.</t>
  </si>
  <si>
    <t>Client "AP", Session 151: December 06, 2013: Client discusses his plans to get a job overseas and teach in his native country.</t>
  </si>
  <si>
    <t>Client "AP", Session 51: February 08, 2013: Client is giving up a part-time job because it doesn't suit him any more, although he will be worse off financially now.</t>
  </si>
  <si>
    <t>Client "L" Therapy Session Audio Recording, June 19, 2013: Client discusses the accountability his wife has towards her illness and if he supposed to make her accountable for the pain she's caused.</t>
  </si>
  <si>
    <t>Client "J", Session April 2, 2013: Client discusses health and progress and insecurities around a romantic relationship.</t>
  </si>
  <si>
    <t>Client "AP", Session 45: January 24, 2013: Client is having a lot of emotional insecurities revolving around his relationship status with his girlfriend. He's fairly certain that they are no longer in a relationship, but he is confused and irritated about that.</t>
  </si>
  <si>
    <t>Client "R" Session April 1, 2013: Client discusses her living situation and why it is unsatisfactory. Client continues to experience panic.</t>
  </si>
  <si>
    <t>Client "K" Session March 03, 2014: Client discusses feeling disconnected from her boyfriend. He is in deep pain and she cannot do anything more to help him. Client cannot get the human contact that she expects from her relationship and wants her pets back to have someone to feel close to.</t>
  </si>
  <si>
    <t>Client "R" Session July 15, 2013: Client discusses the issues she is having with her boyfriend and his struggle with depression. Client is anxious about her housing situation and job search.</t>
  </si>
  <si>
    <t>Client "LJ", Session April 03, 2014: Client discusses doing poorly on a test and how he wishes he could find a doctor that allowed him to try medicinal marijuana. Client discusses some current and past family conflict, leading into the client's issues with authority.</t>
  </si>
  <si>
    <t>Client "Ma", Session June 28, 2013: Client discusses speaking publicly about her ECT treatment and how she felt about being open about it.</t>
  </si>
  <si>
    <t>Client "Ma", Session March 05, 2014: Client discusses the difficulty of sharing mental and emotional health information with family and friends.</t>
  </si>
  <si>
    <t>Client "Kthl" Therapy Session Audio Recording, January 15, 2014: Client discusses her tendency to try to make herself smaller, which stems from her relationship with her mother.</t>
  </si>
  <si>
    <t>Client "A", Session March 29, 2013: Client discusses his fear of being dependent and how that has an impact on his work relationships.</t>
  </si>
  <si>
    <t>Client "L" Therapy Session Audio Recording, September 18, 2013: Client discusses why he's stopped seeing his couples therapist. Client discusses the status of his current sex life.</t>
  </si>
  <si>
    <t>Client "R", Session July 25, 2013: Client discusses the different relationships she has with people and how her culture has an impact on them.</t>
  </si>
  <si>
    <t>Client "SR", Session October 24, 2013: Client discusses depression, marital issues, religion, sexuality, and family.</t>
  </si>
  <si>
    <t>Client "Ju", Session June 17, 2013: Client is experiencing disassociation and is struggling with how a friend is handling a recent sexual assault. Therapist posits she is anticipating trauma.</t>
  </si>
  <si>
    <t>Client "SM", Session November 14, 2012: Client talks about an irritating job experience and coworker, and his mathematics coursework.</t>
  </si>
  <si>
    <t>Client "J" Therapy Session Audio Recording, October 22, 2013: Client discusses the issues in her relationship with her boyfriend, and how she reacts to fighting and being told no.</t>
  </si>
  <si>
    <t>Client "SJ" Therapy Session Audio Recording, July 25, 2013: Clients discusses a family member who is making their lives difficult because she is rude and ignores them. Client discusses the estranged relationship with her father and her siblings.</t>
  </si>
  <si>
    <t>Client "LM", Session April 26, 2013: Client discusses deep family conflict, mental illness issues, and child neglect that may result in calling the local authorities.</t>
  </si>
  <si>
    <t>Client "LJ", Session February 07, 2014: Client discusses an episode he recently had when he was extremely angry and suicidal. Client doesn't like his psychiatrist and how she doesn't seem to listen to his needs when prescribing medication.</t>
  </si>
  <si>
    <t>Client "LJ", Session July 01, 2013: Client discusses some possible leads in his job search. Client discusses his thoughts on movies, society, and life.</t>
  </si>
  <si>
    <t>Client "J", Session February 03, 2014: Client discusses her relationship with her mother and how her mother treats her siblings. Client discusses her family relations and the issues they have. Client discusses the new man she is dating and compares him to other lovers.</t>
  </si>
  <si>
    <t>Client "SM", Session October 15, 2012: Client discusses recent conflict with spouse, and his efforts to replace his tires.</t>
  </si>
  <si>
    <t>Client "Ju", Session January 29, 2013: Client talks about encounters in the fetish and kink community, and racism.</t>
  </si>
  <si>
    <t>Client "RY", Session 27: August 26, 2013: Client discusses her imminent separation from her husband and how she feels about the situation.</t>
  </si>
  <si>
    <t>Client "RY", Session 5: April 1, 2013: Client discusses obsessive-compulsive work habits, her father's workaholism, negative thoughts toward herself, her spouse's depression, and her experiences in couple's therapy.</t>
  </si>
  <si>
    <t>Client "RY", Session 19: July 15, 2013: Client discusses her relationship with her husband. With an upcoming trip home looming, client discusses her issues with her parents.</t>
  </si>
  <si>
    <t>Client "R", Session July 09, 2013: Client discusses her anger with her therapist for not replying to her email. Client discusses her relationship with her therapist and how she wonders about his personal life.</t>
  </si>
  <si>
    <t>Client "S", Session April 14, 2014: Client discusses mother's weight problems and their general disgust with overweight people.</t>
  </si>
  <si>
    <t>Client "S" Therapy Session Audio Recording, November 19, 2012: Client decides to move out of her house and boyfriend. Client discusses how many times in her life, she leaves or is asked to leave before she is ready.</t>
  </si>
  <si>
    <t>Client "K", Session January 08, 2014: Client discusses needing to learn to deal with their anxiety.</t>
  </si>
  <si>
    <t>Client "S" Therapy Session Audio Recording, May 01 2013: Client discusses her thoughts on love and decides that she doesn't believe in it. Client discusses how her desire to act like a child in her romantic relationships ruins them.</t>
  </si>
  <si>
    <t>Client "Ma", Session February 19, 2013: Client has been experiencing memory loss associated with her electroconvulsive therapy. She is also having a very difficult time coming up with words and thoughts. The therapist is intent on finding out why the ECT clinic hasn't picked up on this dramatic difference in her functioning; he requests to speak with her husband about reaching out to the treatment clinicians there.</t>
  </si>
  <si>
    <t>Client "S" Therapy Session Audio Recording, November 27, 2013: Client discusses her conflicted feelings about the two men she is dating. She likes her boyfriend for the intellectually stimulating conversation, but isn't sexually attracted to him.</t>
  </si>
  <si>
    <t>Client "AP", Session 115: August 28, 2013: Client discusses his fears about having enough money to pay for his and his mother's bills. Client discusses his issue with getting permanent employment.</t>
  </si>
  <si>
    <t>Client "JM", Session 11: January 08, 2014: Client and therapist work on some relaxation strategies during this session.</t>
  </si>
  <si>
    <t>Client "Ma", Session March 14, 2013: Client's family members have been trying to convince her to move back home, so she'll have a broader support system. They discuss her experience with ECT.</t>
  </si>
  <si>
    <t>Client "SZ", Session July 8, 2014: Client discusses feeling resentful that her fiance does not share in more wedding preparation duties. Client also discusses her dislike of her fiance's habit of pointing out other attractive women when out and about.</t>
  </si>
  <si>
    <t>Client "J", Session January 18, 2013: Client has been taking his newly prescribed Adderall with good results so far; no additional anxiety or other unwanted side effects.</t>
  </si>
  <si>
    <t>Client "D", Session March 28, 2014: Client discusses having the cancel his last session and feeling sorry for his life interrupting his therapist's schedule. Client discusses punishing himself with the therapist, but that it's not something he would discuss with his girlfriend.</t>
  </si>
  <si>
    <t>Client "SZ", Session May 16, 2014: Client discusses adjusting to having her sister in her home while her sister gets better after medical treatments. Client also discusses upcoming wedding, and the difficulty of discussing financial matters with her romantic partner.</t>
  </si>
  <si>
    <t>Client "S", Session April 25, 2014: Client discusses confusing romantic relationship.</t>
  </si>
  <si>
    <t>Client "RY", Session 11: May 13, 2013: Client discusses feeling at fault for the behavior of both their spouse and parents, and being unable to communicate in either relationship.</t>
  </si>
  <si>
    <t>Client "KF", Session January 10, 2014: Client and his parents discuss his behavior on the current medicine, the client's desire to find pornography, and the need to find different ways to deal with the client's negative behavior.</t>
  </si>
  <si>
    <t>Client "Ma", Session July 30, 2013: Client discusses their thoughts on poetry and suicide.</t>
  </si>
  <si>
    <t>Client "Ma", Session April 08, 2013: Client tries to discuss how she carefully words most things in these sessions; she worries about how she may come off to the therapist. She has a real fear of her and the therapist finding each other attractive.</t>
  </si>
  <si>
    <t>Client "Ma", Session March 22, 2013: Client talks about her and her husband's separate therapy, feeling resentful, her depression, and her ECT.</t>
  </si>
  <si>
    <t>Client "R", Session July 22, 2013: Client discusses how she feels both neglected and care for by her therapist, and is confused about their relationship.</t>
  </si>
  <si>
    <t>Client "Ma", Session November 30, 2012: Client is trying to work out her near future plans...go back to school, keep working her part-time job, or apply for full-time work. She is fairly certain that she won't be able to handle a full schedule, she is trying not to be overzealous in any plans she makes.</t>
  </si>
  <si>
    <t>Client "G", Session January 17, 2014: Client discusses hanging out with a younger girl from one of his classes and how he thinks about being 'cock-blocked' by her sister. Client compares selling cars to 'sealing the deal' with women.</t>
  </si>
  <si>
    <t>Client "J" Session July 15, 2013: Client had a busy several weeks with work and a family vacation. Client is working on breaking her "rules" and being more flexible with work and family time.</t>
  </si>
  <si>
    <t>Client "S" Therapy Session Audio Recording, October 02, 2013: Client discusses a life choice she made several years back that she believes had an impact on where she is in her life today. Client blames herself for this decision and wonders how things would be different.</t>
  </si>
  <si>
    <t>Client "S" Therapy Session Audio Recording, April 16, 2014: Client discusses her issues with over-scheduling herself and then getting annoyed when she is stressed. Client discusses her feelings of obligation towards authority figures, especially her therapist.</t>
  </si>
  <si>
    <t>Client "E", Session January 02, 2013: Client talks about the way some members of her fiance's family that make them feel left out and unimportant.</t>
  </si>
  <si>
    <t>Client "E", Session February 19, 2013: Client discusses the hurt and depth of the coldness from her soon to be family-in-law, especially her fiance's sister-in-law.</t>
  </si>
  <si>
    <t>Client "Ma", Session January 13, 2014: Client discusses trust issues in their relationship with their spouse.</t>
  </si>
  <si>
    <t>Client "A", Session February 18, 2013: Client describes how physically ill he becomes due to, what he believes is, emotional and mental stress.</t>
  </si>
  <si>
    <t>Client "K" Session February 05, 2013: Client is debating whether or not she should continue attending therapy. Financially it is a drain, and she's been feeling much better with less to talk about in these sessions.</t>
  </si>
  <si>
    <t>Client "A", Session June 21, 2013: Client discusses the fact that his contract job is ending and he is realizing that he sees no future for himself on the job market. Client tried to understand why he's been "punching himself in the face" for so long.</t>
  </si>
  <si>
    <t>Client "G", Session March 15, 2013: Client has difficulty with the boundaries between him and his mother. Client is unsure of how he feels about his roommate and former lover moving out of the apartment.</t>
  </si>
  <si>
    <t>Client "Ma", Session April 02, 2013: Client notices that she feels panicky when she knows she is expected to speak to others.</t>
  </si>
  <si>
    <t>Client "M", Session August 16, 2013: Client discusses helping a friend move into town and how expensive it is to live in a city. Client laments her life and the difficulties she faces dealing with chronic pain.</t>
  </si>
  <si>
    <t>Client "Ju", Session May 21, 2013: Client does not want to celebrate her birthday with her parents; is dismayed by her mother's lack of reaction and emotion to some of her choices.</t>
  </si>
  <si>
    <t>Client "Ma", Session July 19, 2013: Client discusses the role of education and educational figures in their emotional life.</t>
  </si>
  <si>
    <t>Client "CRT" Therapy Session Audio Recording, January 10, 2013: Client discusses her mother's passive aggressive attitude and how it has a negative impact on their relationship.</t>
  </si>
  <si>
    <t>Client "S", Session March 31, 2014: Client discusses not liking where their life has gone and feeling like nothing matters.</t>
  </si>
  <si>
    <t>Client "L" Therapy Session Audio Recording, May 07, 2014: Client discusses going to a conference recently where he was reminded that he is not content with his life and wants it to be different. Client is conflicted by this, however, as it would mean leaving him marriage.</t>
  </si>
  <si>
    <t>Client "MC" Therapy Session Audio Recording, May 22, 2013: Client discusses the status of his relationship with his ex. Client discusses how kids and teachers growing up did not know how to handle his condition.</t>
  </si>
  <si>
    <t>Client "Ma", Session March 26, 2013: Client has started tutoring two high-school age girls and is feeling both anxiety and low self-esteem because she feels that she is not good enough to hold this position.</t>
  </si>
  <si>
    <t>Client "SR", Session February 04, 2014: Client discusses their sexuality as a teen, their marriage, and wanting to belong.</t>
  </si>
  <si>
    <t>Client "B", Session February 04, 2013: Client hasn't been sleeping well; the lack of sleep leaves her feeling irritable and depressed which leads to emotional meltdowns.</t>
  </si>
  <si>
    <t>Client "Ju", Session March 11, 2014: Client discusses race, bigotry, and professional librarian roles.</t>
  </si>
  <si>
    <t>Client "S", Session March 24, 2014: Client discusses frustration and anger with roommate, and sadness over a past breakup.</t>
  </si>
  <si>
    <t>Client "S", Session February 14, 2014: Client discusses the role of therapy in their life from childhood to present.</t>
  </si>
  <si>
    <t>Client "S" Therapy Session Audio Recording, January 06, 2014: Client wonders if she is destructive in her life, as she keeps ruining her friendships and relationships.</t>
  </si>
  <si>
    <t>Client "RY", Session 1: February 25, 2013: Client experiences anxiety while her spouse is away, discusses past feelings of betrayal and abandonment due to her parents' actions.</t>
  </si>
  <si>
    <t>Client "S" Therapy Session Audio Recording, March 11, 2013: Client discusses meeting people at a recent conference and how their life stories and relationships touched her. Client discusses the dependent relationship she has with her boyfriend and mother.</t>
  </si>
  <si>
    <t>Client "Ma", Session April 11, 2013: Client and therapist try to get to the root of her depression by dissecting her communication with others; she is extremely guarded with her emotions and constantly fears rejection.</t>
  </si>
  <si>
    <t>Client "KF", Session October 23, 2013: Client and his parents discuss the results of client's efforts at self-regulation strategies for doing his schoolwork. Client's parents also discuss his medication with therapist.</t>
  </si>
  <si>
    <t>Client "A", Session June 28, 2013: Client discusses the relationship he had with his former therapist and why he decided to stop seeing her.</t>
  </si>
  <si>
    <t>Client "S" Therapy Session Audio Recording, February 24, 2014: Client discusses a fight she had with her boyfriend and how she feels about this relationship. Client wonders if she is using two men and if she's ready for the commitment that her boyfriend seems ready for.</t>
  </si>
  <si>
    <t>Client "L", Session October 23, 2012: Client discusses reconciliation with her boyfriend, frustration with her daughter's choices.</t>
  </si>
  <si>
    <t>Client "J", Session November 20, 2012: Client talks about his blossoming relationship with his young son. He admits to not wanting to own up to being responsible for his life outcomes. They discuss his sense of laziness and how it may likely to tied to his feelings of depression and loneliness.</t>
  </si>
  <si>
    <t>Client "L", Session January 14, 2013: Client expresses concerns about her cousin's and daughter's substance abuse and poor treatment of her, talks about her boyfriend's transgender daughter.</t>
  </si>
  <si>
    <t>Client "SZ" Session February 25, 2013: Client discusses how her anxiety prevents her from wanting to leave her home.</t>
  </si>
  <si>
    <t>Client "E", Session November 02, 2012: Client is having a hard time focusing and putting any attention into her wedding plans; she is unsure if this is avoidant behavior or if her ADD has worsened.</t>
  </si>
  <si>
    <t>Client "SR", Session February 25, 2014: Client discusses finally approaching the subject of their broken marriage with their spouse, and still feeling negative about their marriage afterwards.</t>
  </si>
  <si>
    <t>Client "J", Session August 13, 2013: Client discusses whether or not his Crohn's disease is because of his drinking and eating habits. Client discusses the relationship he has with his girlfriend.</t>
  </si>
  <si>
    <t>Client "R", Session January 09, 2014: Client discusses her relationship with her father and he desire for his attention. Client discusses how she interacted with her husband over the holidays.</t>
  </si>
  <si>
    <t>Client "SR", Session April 08, 2014: Client discusses the role of sex throughout their life and marriage, and no longer fitting in his marital role of going along with everything.</t>
  </si>
  <si>
    <t>Client "S", Session June 21, 2013: Client discusses the strain of trying to find a new place to live. Client discusses all the changing relationships in her life and how she feels about everyone getting engaged or married.</t>
  </si>
  <si>
    <t>Client "A", Session February 13, 2014: Client discusses more stories from his family's past and the trajectory of his father's life. Client is adamant that he is not his father and plans on never becoming the kind of man and parent his father was.</t>
  </si>
  <si>
    <t>Client "S", Session April 11, 2014: Client discusses downstairs neighbor's boyfriend dying of an overdose while staying in the building.</t>
  </si>
  <si>
    <t>Client "Ma", Session February 25, 2014: Client discusses her continued feelings on suicide and how much trust she places in her therapist. Therapist decides to make things easier for her by sending her back to the hospital, this time to be evaluated.</t>
  </si>
  <si>
    <t>Client "C" Therapy Session Audio Recording, October 30, 2012: Client discusses his frustrations at his current job, for he feels as if he cannot communicate correctly. Client discusses how he was never punished as a child and now gets angry when people say no or don't let him do things he wants to.</t>
  </si>
  <si>
    <t>Client "LJ", Session May 09, 2013: Client discusses his interest in superheros and his past history with drug use.</t>
  </si>
  <si>
    <t>Client "R", Session April 3, 2013: Client talks about the client-therapist relationship, her spouse, and her parents.</t>
  </si>
  <si>
    <t>Client "ML" Therapy Session Audio Recording, February 20, 2013: Client discusses his frustration with the hospital care his wife is receiving. Client discusses how his wife's treatment has affected her memory and their relationship.</t>
  </si>
  <si>
    <t>Client "Ma", Session July 31, 2013: Client discusses their feelings of alienation when relating to others.</t>
  </si>
  <si>
    <t>Client "K", Session January 15, 2013: Client and therapist discuss starting analysis, a more intensive form of psychotherapy.</t>
  </si>
  <si>
    <t>Client "LM", Session June 04, 2014: Client discusses recent medical interventions. Client also discusses current happenings in her family.</t>
  </si>
  <si>
    <t>Client "Ju", Session May 13, 2013: Client is upset about her relationship with her mother and the way her mother treats her, discusses similar behavior in other members of her extended family.</t>
  </si>
  <si>
    <t>Client "S", Session April 12, 2013: Client discusses her recent travel, dissatisfaction with her job, a recent job interview, disapproval of her subordinate and her friends.</t>
  </si>
  <si>
    <t>Client "K", Session March 31, 2014: Client discusses feeling lazy and unmotivated at work, and feeling like this makes her a bad person that is judged by her colleagues.</t>
  </si>
  <si>
    <t>Client "Ad", Session November 04, 2013: Clients discuss pregnancy, breast feeding, and early childhood development.</t>
  </si>
  <si>
    <t>Client "SM", Session October 1, 2012: Client is struggling in his math and logic class, discusses tutoring and board games.</t>
  </si>
  <si>
    <t>Client "LJ", Session February 06, 2014: Client discusses an interview that went well and how he feels the need to reward himself after a hard or successful day. Client wishes he would stop this, because he spends money on things he doesn't need.</t>
  </si>
  <si>
    <t>Client "RY", Session 58: April 15, 2014: Client discusses hurt over the match.com list of wanted qualities in a partner that her husband wrote. Client also discusses the distrust and sense of betrayal she has for her husband since finding the profile and list.</t>
  </si>
  <si>
    <t>Client "S" Therapy Session Audio Recording, December 09, 2013: Client discusses her frustration and confusion with the men she is currently dating. Client believes that she cannot live alone or independently, because she needs to be accepted and sheltered by someone to feel worthwhile.</t>
  </si>
  <si>
    <t>Client "G", Session June 07, 2013: Client discusses his new job and his interaction with members of the opposite sex.</t>
  </si>
  <si>
    <t>Client "R", Session March 10, 2014: Client discusses grandfather and aging.</t>
  </si>
  <si>
    <t>Client "S", Session May 17, 2013: Client discusses his work and chats he has with fellow employees.</t>
  </si>
  <si>
    <t>Client "S" Therapy Session Audio Recording, April 08, 2013: Client discusses how she sees her boyfriend as more of a father figure and is not sexually attracted to him. Client sometimes wants to move out on her own, but focuses on the difficulties involved in doing so.</t>
  </si>
  <si>
    <t>Client "R", Session January 13, 2014: Client and therapist discuss insurance and payment options, which takes up most of the session. Client is annoyed to find out that her session was completely taken up by administrative duties.</t>
  </si>
  <si>
    <t>Client "M", Session January 15, 2014: Client discusses the possibility of being pregnant, past miscarriages, and the difficulties that would arise with pregnancy.</t>
  </si>
  <si>
    <t>Client "S", Session July 25, 2013: Client talks about her job hunting and receiving financial support from her father.</t>
  </si>
  <si>
    <t>Client "SRH" Therapy Session Audio Recording, October 17, 2013: Client discusses her issues with weight, and her fear that she does not have control of her relationship and fears that she will lose her girlfriend.</t>
  </si>
  <si>
    <t>Client "Ju", Session March 6, 2013: Client talks about workplace issues and attempts to manage her anger.</t>
  </si>
  <si>
    <t>Client "A", Session February 04, 2014: Client discusses how his wife is surprised by how well he's adapting to being a father and husband. Client discusses his thoughts on if this is a backlash against his father's parenting style.</t>
  </si>
  <si>
    <t>Client "S" Session February 05, 2013: Client was recently fired from her job. She made some communications mistakes which cost her the job, and she took it personally. She is hoping to find another job shortly. They discuss her tendency to globalize and catastrophize.</t>
  </si>
  <si>
    <t>Client "J", Session January 30, 2013: Client is stressed out and disappointed with the way work has been going recently.</t>
  </si>
  <si>
    <t>Client "M", Session November 14, 2012: Client discusses a recent bout of vertigo, her mother's immigration, and her family ancestry.</t>
  </si>
  <si>
    <t>Client "Ju", Session July 08, 2013: Client discusses a recent hospital visit over a reaction to a new drug prescribed by her doctor.</t>
  </si>
  <si>
    <t>Client "ML" Therapy Session Audio Recording, December 14, 2012: Clients discuss how life in academia is difficult and has had a negative impact on the female client's depressive disorder. Clients discuss a new plan for their current living situation.</t>
  </si>
  <si>
    <t>Client "SZ" Session March 29, 2013: Client is disappointed with herself for not constantly focusing on her coursework. Client is trying to balance her social life while she grows up, looks for jobs, and begins to focus on starting a life with her boyfriend.</t>
  </si>
  <si>
    <t>Client "G", Session July 19, 2013: Client discusses a failed date and his desire to have a sexual connection with a woman.</t>
  </si>
  <si>
    <t>Client "B", Session November 29, 2012: Client speaks more to her interpersonal communication complications.</t>
  </si>
  <si>
    <t>Client "R", Session April 26, 2013: Client expresses dissatisfaction with the way therapist communicates with her and her work.</t>
  </si>
  <si>
    <t>Client "A", Session February 15, 2013: Client tries to pinpoint what it is that causes him to disassociate and 'blank out' in certain circumstances.</t>
  </si>
  <si>
    <t>Client "M", Session March 19, 2014: Client discusses her husband's injuries, issues with pain, and addiction problems. Client is carrying a lot of stress at the moment as she worries about her health as well as the health of her family.</t>
  </si>
  <si>
    <t>Client "B", Session March 08, 2013: Client describes some of her interpersonal relationships and how they all intertwine.</t>
  </si>
  <si>
    <t>Client "Ju", Session January 14, 2014: Client discusses the difficulty of transitioning to a new medication, and generally feeling overwhelmed and pessimistic.</t>
  </si>
  <si>
    <t>Client "SZ" Session March 07, 2014: Client discusses a recent work conference she attended and how she felt being away. Client discusses some issues between her and her fiancee, and how they're working towards becoming a unit before they're married.</t>
  </si>
  <si>
    <t>Client "MC" Therapy Session Audio Recording, May 15, 2013: Client discusses strain at work and the events he went to over the weekend. Client discusses how he's transitioning from being boyfriend to friend with his ex.</t>
  </si>
  <si>
    <t>Client "Ma", Session March 28, 2013: Client discusses applying for jobs, how depression and anxiety intensify her feelings of isolation, and her sister.</t>
  </si>
  <si>
    <t>Client "D", Session April 11, 2013: Client discusses paying for therapy, the end of his parents' marriage, his relationships with his sister and his father.</t>
  </si>
  <si>
    <t>Client "L", Session December 5, 2012: Client talks about her therapy coming to an end, religion, client-therapist relationship.</t>
  </si>
  <si>
    <t>Client "Ma", Session April 10, 2013: Client is having a very difficult time within the constraints of the client-counselor relationship right now. She is trying to formulate a way to freely express all of her thoughts and feelings to the therapist without assuming that he will take them personally or use them against her in the therapeutic process.</t>
  </si>
  <si>
    <t>Client "BA", Session November 07, 2013: Client discusses a series of very serious obsessive thoughts. Therapist urges client to 'accept the obsession' as obsessive thoughts arise.</t>
  </si>
  <si>
    <t>Client "R", Session January 10, 2014: Client discusses sharing a very private and emotional moment with her meditation teacher, and how it has had a lasting impact on her.</t>
  </si>
  <si>
    <t>Client "K" Session April 01 2014: Client discusses releasing her pent-up anger and anxiety through dancing and drinking, and then paying for it because she's exhausted. Client needs to create boundaries for her and her boyfriend's mother, because she is trying to help but keep dropping by without notice.</t>
  </si>
  <si>
    <t>Client "Ma", Session August 19, 2013: Client discusses the fun but anxiety she felt during a wedding weekend for a family member. Client discusses the burden she feels for her depression.</t>
  </si>
  <si>
    <t>Client "M", Session August 20, 2013: Client discusses the hassle she gets from customers at work and how it almost led her to quit. Client discusses the possibility of moving to a new country for her husband's job and a recent injury.</t>
  </si>
  <si>
    <t>Client "J", Session August 16, 2013: Client discusses the blossoming relationship with his girlfriend. Client discusses his busy work week and the hope that it brings in more money to pay his mounting bills.</t>
  </si>
  <si>
    <t>Client "S" Therapy Session Audio Recording, October 14, 2013: Client discusses her parent's separation and when she first learned that she wanted to be an artist.</t>
  </si>
  <si>
    <t>Client "R", Session January 23, 2013: Client talks about relationship to therapist, a friend who is a musician, and spouse.</t>
  </si>
  <si>
    <t>Client "MC" Therapy Session Audio Recording, May 09, 2013: Client discusses how he is handling the end of a relationship with his longtime boyfriend. Client discusses his parents' acceptance of him and his sexuality.</t>
  </si>
  <si>
    <t>Client "C" Therapy Session Audio Recording, October 02, 2012: Client discusses his perception of how negative his family is, especially his parents. He is also concerned about his fiance's inability to stop drinking before she blacks out.</t>
  </si>
  <si>
    <t>Client "SRH" Therapy Session Audio Recording, November 07, 2013: Client discusses how and when she became aware of her sexuality, and what it was like to come out. Client discusses how her sexuality has grown and changed since coming out.</t>
  </si>
  <si>
    <t>Client "K" Session June 25, 2013: Client wants her boyfriend's mother to move out of their apartment; is having trouble supporting him emotionally while he copes with his graduate school rejections.</t>
  </si>
  <si>
    <t>Client "G", Session March 29, 2013: Client's roommate is not pregnant, but his relationship with her continues to be hindered by a lack of trust and open communication.</t>
  </si>
  <si>
    <t>Client "A", Session February 20, 2014: Client discusses a near death experience he had while driving in bad weather. Client discusses how he and his wife are handling their responsibilities and the fact that her job is paying the rent.</t>
  </si>
  <si>
    <t>Client "J", Session May 14, 2013: Client discusses the relationship he has with his kids during his marital separation. Client discusses how he is getting into shape and being more active.</t>
  </si>
  <si>
    <t>Client "D", Session February 07, 2014: Client discusses a recent birthday and how getting older has made him realize the need to take care of his body. Client links his body image to that of his parents, who are selfish about their bodies in different ways.</t>
  </si>
  <si>
    <t>Client "AP", Session 50: February 07, 2013: Client tries to piece together some of his most recent dreams during this session. They discuss PTSD and how trauma victims can heal.</t>
  </si>
  <si>
    <t>Client "AP", Session 164: January 17, 2014: Client discusses taking his cat with him when he moves abroad and how he feels guilty, because he mom is really attached to this cat. Client is really excited for his move abroad and the new life he will be able to start there.</t>
  </si>
  <si>
    <t>Client "R" Session July 26, 2013: Client is stressed about her housing situation and applying for jobs.</t>
  </si>
  <si>
    <t>Client "S" Session January 08, 2013: Client recently visited her family only to be in constant conflict with her mother the whole time. Upon her return to work, she received some critical feedback from her supervisor regarding her professionalism, time management skills, and poor leadership style.</t>
  </si>
  <si>
    <t>Client "D", Session June 20, 2013: Client discusses the fractious relationship he has with his mother.</t>
  </si>
  <si>
    <t>Client "J", Session February 22, 2013: Client is worried about the jaw clenching and teeth grinding side effects from the ADD medication he has been taking.</t>
  </si>
  <si>
    <t>Client "A", Session January 16, 2014: Client's mother is visiting for awhile to take care of his newborn so he and his wife can go back to work. Client discusses his stress over this situation, as well as his feelings about some revelations from his childhood.</t>
  </si>
  <si>
    <t>Client "A", Session May 17, 2013: Client discusses the lack of sleep he got before the session and how his anxiety leads to a heightened state of psychological arousal.</t>
  </si>
  <si>
    <t>Client "K", Session April 09, 2014: Client discusses the inability to enjoy life without feeling anxious.</t>
  </si>
  <si>
    <t>Client "S" Therapy Session Audio Recording, May 13, 2013: Client discusses how she hates that her boyfriend's ideas and opinions are constantly driving her life, but seeks validation in him and her therapist.</t>
  </si>
  <si>
    <t>Client "AP", Session 167, Part 2: January 29, 2014: Client discusses the death of a friend's parent and his thoughts on his own family relations. Client discusses his upcoming move abroad and how it will be better than last time.</t>
  </si>
  <si>
    <t>Client "S" Therapy Session Audio Recording, August 21, 2013: Client discusses a major event that happened during her summer vacation and whether or not she handled the situation as best she could. Client discusses if she feels jealous or fearful of people who have more power and prestige than her.</t>
  </si>
  <si>
    <t>Client "A", Session April 03, 2014: Client discusses ongoing difficulties with their relationship.</t>
  </si>
  <si>
    <t>Client "Ju", Session December 19, 2012: Client discusses ongoing trouble with landlord and dealing with apartment issues.</t>
  </si>
  <si>
    <t>Client "Ma", Session February 07, 2013: Client thinks about suicide all the time; 'violent' scenarios: cutting her wrists, slashing her throat, stabbing herself, jumping to her death, etc.</t>
  </si>
  <si>
    <t>Client "L", Session December 10, 2012: Client talks about her relationship with her granddaughter, her daughter's recent cancer diagnosis, and her extended family.</t>
  </si>
  <si>
    <t>Client "K" Session July 19, 2013: Client discusses continuing tension and anxiety she is experiencing from her boyfriend's mother living with them, concern over her boyfriend.</t>
  </si>
  <si>
    <t>Client "L" Therapy Session Audio Recording, May 01 2013: Client discusses his issues with the relationship he has with the therapist. Client discusses why he wants to stop coming to therapy, but changes his mind by the end of the session.</t>
  </si>
  <si>
    <t>Client "B", Session February 28, 2013: Client is ashamed when incorrect assumptions are made about her, but she accepts the assumptions as evidence of her perceived horribleness.</t>
  </si>
  <si>
    <t>Client "S" Therapy Session Audio Recording, August 14, 2013: Client discusses her anger with her therapist and a friend over how they handled a recent situation. Client discusses a traumatizing childhood experience.</t>
  </si>
  <si>
    <t>Client "A", Session April 26, 2013: Client is unsure of the progress he is making with his therapy sessions. Therapist believes they have made a recent breakthrough and is helping to persuade the client to keep moving forward.</t>
  </si>
  <si>
    <t>Client "B", Session May 16, 2013: Client discusses the fear that they will never be good enough in the eyes of others.</t>
  </si>
  <si>
    <t>Client "RY", Session 61: May 05, 2014: Client discusses husband's list of 'desirable female' attributes. Client discusses how list reminds her of her own self-loathing, that was directly contributed to by her mother's criticism growing up.</t>
  </si>
  <si>
    <t>Client "Ma", Session April 18, 2013: Client and therapist talk about her tendency to avoid some of these hurtful emotions and feelings by pretending.</t>
  </si>
  <si>
    <t>Client "R" Session May 05, 2014 A: Client discusses her fixation on suicide that her boyfriend thinks is a major issue, but she does not.</t>
  </si>
  <si>
    <t>Client "G", Session March 01, 2013: Client has a strained relationship with his father, who is upset about the life path his son is currently following. Client is striving for the recognition and approval from his parents that he never receives.</t>
  </si>
  <si>
    <t>Client "BA", Session December 19, 2013: Client discusses his desire for his wife to notice when he is in a "mopey mood." Client also discusses strategies of how to personally bring up his need for attention.</t>
  </si>
  <si>
    <t>Client "Ma", Session April 02, 2014: Client discusses feeling 'strong' recently, which may have to do with the spring weather. Client discusses her friendships, her depression, and her worry about putting her sadness on others.</t>
  </si>
  <si>
    <t>Client "B", Session August 02, 2013: Client discusses her father's obsession with secrecy and a recent death in the family. Client discusses her work and the stress she experiences from it.</t>
  </si>
  <si>
    <t>Client "R", Session April 18, 2013: Client shares about being at the Boston Marathon bombings, a sexual fantasy about her therapist, and a health scare with her father.</t>
  </si>
  <si>
    <t>Client "MK" Session September 19, 2013: Client discusses his first job and how he felt after being laid off. Client discusses how he's handled rejection and the job market since, and how he's inherited the 'worrywart trait' from his mother's side.</t>
  </si>
  <si>
    <t>Client "MC" Therapy Session Audio Recording, June 12, 2013: Client discusses coming out to his parents and how their negative response hurt him.</t>
  </si>
  <si>
    <t>Client "SM", Session January 14, 2013: Client discusses job hunt, ambivalence about what he wants to do, and auto troubles.</t>
  </si>
  <si>
    <t>Client "D" Therapy Session Audio Recording, April 18, 2014: Client talks about coming home from a trip to her home being violated by contractors for her neighbors' home construction. She has a sense of violation.</t>
  </si>
  <si>
    <t>Client "Ju", Session January 23, 2013: Client talks about tensions with friends and racism.</t>
  </si>
  <si>
    <t>Client "S" Therapy Session Audio Recording, March 05, 2014: Client discusses her issues with her socioeconomic status, even though she chose to get another degree. Client discusses her confusion over which man she loves.</t>
  </si>
  <si>
    <t>Client "SZ" Session January 17, 2014: Client discusses her stress over paying for and finishing projects for the wedding. Client discusses her relationship with her father, and how her fiancee is recently commenting on her new fashion style.</t>
  </si>
  <si>
    <t>Client "Ma", Session January 02, 2013: Client has been feeling very good for a few days, but she fears what will come next. Normally, after a few good days comes a very bad downward spiral.</t>
  </si>
  <si>
    <t>Client "ADR" Therapy Session Audio Recording, February 26, 2013: Client discusses the recent improvement in her marriage and the possibility of starting couples therapy. Client discusses some of her recent dreams and her focus on "home".</t>
  </si>
  <si>
    <t>Client "K", Session April 24, 2014: Client discusses feeling overwhelmed and trying to not be anxious about her life. Client wishes she could be free of the anger she feels towards others and also be free of the criticism she places on herself.</t>
  </si>
  <si>
    <t>Client "A", Session December 07, 2012: Client is disheartened by a recent business proposal that was supposed to help his financial securities; instead, he now feels just as insecure about his future.</t>
  </si>
  <si>
    <t>Client "AP", Session 133: October 10, 2013: Client discusses his recent case of hives and believes it came upon because he is stressed. Client discusses his plans to apply for teaching jobs overseas and his newest writing project.</t>
  </si>
  <si>
    <t>Client "L" Therapy Session Audio Recording, April 24, 2013: Client discusses this sense of burden he feels for the actions and opinions of others. Client discusses how his parents and teachers treated him and his religious upbringing.</t>
  </si>
  <si>
    <t>Client "S", Session February 17, 2014: Client discusses relationship with mother and father, and announcing her own pregnancy.</t>
  </si>
  <si>
    <t>Client "S" Therapy Session Audio Recording, October 07, 2013: Client discusses the stress she feels over money and how she wishes she had a better job to pay her bills. Client discusses the anger she feels towards her mother.</t>
  </si>
  <si>
    <t>Client "J" Therapy Session Audio Recording, October 29, 2013: Client discusses her recent fights with her boyfriend and the neglect and abandonment she feels in this relationship.</t>
  </si>
  <si>
    <t>Client "B", Session January 31, 2013: Client has reverted back to procrastinating at work by spending time on the internet instead of working. Her boss has noticed and brought it up with her recently. She experiences peer-group isolation at work; it makes her feel angry and hurt.</t>
  </si>
  <si>
    <t>Client "S", Session March 1, 2013: Client discusses looking for another job, an upcoming social event, her medication, and concerns about self-regulating her alcohol intake.</t>
  </si>
  <si>
    <t>Client "S" Therapy Session Audio Recording, April 22, 2013: Client discusses a dream she had about her father and how his actions had a negative impact on her and her mother's lives. Client discusses possibly adding another weekly therapy session.</t>
  </si>
  <si>
    <t>Client "A", Session May 15, 2013: Client discusses duplicity and deception, and how it's hard for him to handle it when others use it against him. Client wonders is his issue with people being late has to do with his desire for control and desire to feel important to his peers.</t>
  </si>
  <si>
    <t>Client "L" Therapy Session Audio Recording, October 09, 2013: Client discusses a recent discussion he had with his wife about her depression and attempted suicide. Client feels as if his feelings are no longer important in the trajectory of his marriage.</t>
  </si>
  <si>
    <t>Client "S" Therapy Session Audio Recording, August 19, 2013: Client discusses how she handled a mean email sent to her from a former colleague. Client discusses the events that happened during her summer vacation.</t>
  </si>
  <si>
    <t>Client "AP", Session 121: September 11, 2013: Client discusses how his new job is progressing and how he sees himself expanding his business. Client discusses his relationships with women and his cat.</t>
  </si>
  <si>
    <t>Client "Ju", Session July 16, 2013: Client discusses gay culture and panel discussions.</t>
  </si>
  <si>
    <t>Client "DF", Session April 18, 2013: Client discusses how his parents' divorce impacted his parents, himself, and his sister differently; expresses conflicted feelings toward his father and sympathy for his mother.</t>
  </si>
  <si>
    <t>Client "D", Session May 06, 2013: Client discusses the anxiety he feels over an upcoming trip to Europe that may not happen because his father has not purchased the tickets. Client is worried about disappointing his girlfriend.</t>
  </si>
  <si>
    <t>Client "AP", Session 104: July 19, 2013: Client discusses the great sadness he's been feeling lately. Client is getting strange vibes from a girl he dated once and wish she would just communicate openly with him about her feelings.</t>
  </si>
  <si>
    <t>Client "S" Therapy Session Audio Recording, February 11, 2013: Client discusses the differences between her culture and American culture, specifically in regards to parenting and relationships. Client discusses the similarities and differences between her and her mother.</t>
  </si>
  <si>
    <t>Client "A", Session June 07, 2013: Client discusses his continued disappointment and comes to a conclusion and he will continue to work through his issues with his therapist.</t>
  </si>
  <si>
    <t>Client "AP", Session 170: February 12, 2014: Client discusses a very productive week in which he purchased his ticket and put his apartment up for rent, among other things. Client feels ready and prepared to leave his life here and start a new one abroad.</t>
  </si>
  <si>
    <t>Client "RY", Session 22: August 05, 2013: Client discusses a recent event that happened between her and her husband that violated her trust once more.</t>
  </si>
  <si>
    <t>Client "AP", Session 150: December 05, 2013: Client discusses his lack of funds and is trying to find a job to pay his bills.</t>
  </si>
  <si>
    <t>Client "K", Session March 06, 2014: Client discusses feeling anxious about other people's opinions of her and how she worries that they are using her.</t>
  </si>
  <si>
    <t>Client "Ju", Session January 30, 2013: Client talks about her landlord, her physical therapy, and her job.</t>
  </si>
  <si>
    <t>Client "Ju", Session March 13, 2013: Client is very frustrated by a recent experience at work. Client and therapist discuss the efficacy of her therapy.</t>
  </si>
  <si>
    <t>Client "J", Session April 10, 2013: Client discusses efficacy of therapy, his romantic relationships, his social life, and his family.</t>
  </si>
  <si>
    <t>Client "Ma", Session November 26, 2012: Client has been having a hard time trying to process her past. She wants the trauma and negative feelings associated with her childhood to be 'okay', but it can't be.</t>
  </si>
  <si>
    <t>Client "S", Session May 21, 2013: Client talks about her ex-boyfriend, being annoyed with friends, and feeling lonely.</t>
  </si>
  <si>
    <t>Client "S" Therapy Session Audio Recording, September 13, 2013: Client discusses her conflicted feelings about moving into her own apartment, without her boyfriend. Client worries that she is making a mistake by moving out, but also wonders if there is another person more suitable to date.</t>
  </si>
  <si>
    <t>Client "L" Therapy Session Audio Recording, March 12, 2014: Client discusses the therapist's pregnancy and feeling uncomfortable in asking too many personal questions. Client discusses his stressful week and a visit from his father-in-law.</t>
  </si>
  <si>
    <t>Client "Ad", Session February 21, 2014: Client discusses his recent separation in a calm and organized matter, and is handling it much better than his wife. Client discusses his feelings on love and how he's become jaded to the idea of monogamy and long-term relationships.</t>
  </si>
  <si>
    <t>Client "Ju", Session April 01, 2014: Client discusses death in the family and how her relatives deal with it. Client discusses a family history of illness and obesity.</t>
  </si>
  <si>
    <t>Client "L", Session February 26, 2014: Client discusses all the trouble she's having with health issues and how hard it is to get money from the government to assist her, reminding the client of how her family treated her. Client discusses the difficulties in her family relations.</t>
  </si>
  <si>
    <t>Client "RCH" Therapy Session Audio Recording, August 28, 2013: Client discusses his current relationship and how he feels the need to leave because it is unhealthy. Client discusses the past women he's dated and why he left or cheated on them.</t>
  </si>
  <si>
    <t>Client "AP", Session 111: August 09, 2013: Client discusses a stressful trip to the ER with his mother and how he's worried about her stress levels. Client discusses his plans to get another degree.</t>
  </si>
  <si>
    <t>Client "J", Session April 16, 2014: Client discusses ongoing divorce, and progress with clients at work.</t>
  </si>
  <si>
    <t>Client "Ma", Session February 05, 2013: Client is silent for half of the session. She feels hopeless and feels as if there's a possibility that she has just given up.</t>
  </si>
  <si>
    <t>Client "B", Session March 12, 2014: Client discusses difficulties at work with author contracts.</t>
  </si>
  <si>
    <t>Client "S" Therapy Session Audio Recording, May 07 2013: Client discusses events that happened during her weekend away. Client discusses her relationship with power and is often attracted to men who wield power over her.</t>
  </si>
  <si>
    <t>Client "S" Therapy Session Audio Recording, April 03, 2014: Client discusses if her relationship is more transactional, and is uncomfortable receiving gifts from those she dates. Client discusses her opinions of the roles that women play and works towards how to best value herself.</t>
  </si>
  <si>
    <t>Client "J", Session November 27, 2012: Client was recently sick and in pain over the Thanksgiving holiday; he believes he is suffering from Gout.</t>
  </si>
  <si>
    <t>Client "LJ", Session March 03, 2014: Client discusses his recent anger issues and how certain drugs and medication help alleviate his problems temporarily. Client discusses his schoolwork and job hunt.</t>
  </si>
  <si>
    <t>Client "Ma", Session June 24, 2013: Client discusses the possibility of moving soon and her fear of leaving her therapist.</t>
  </si>
  <si>
    <t>Client "R", Session February 7, 2013: Client admits to looking for information about therapist's external life and feeling guilt.</t>
  </si>
  <si>
    <t>Client "S", Session December 14, 2012: Client is concerned about her finances, and can't stand the thought of having to live paycheck-to-paycheck now that she doesn't have her ex-boyfriend helping out with any of their joint bills.</t>
  </si>
  <si>
    <t>Client "L", Session November 26, 2012: Client discusses her holiday plans, her childhood, and her frustrations with her boyfriend.</t>
  </si>
  <si>
    <t>Client "LJ", Session January 16, 2014: Client discusses a poem he wrote that was upsetting for his wife as it dealt with suicide. Client discusses his interest in suicide, his desire to start fights online, and his lack of a sex life with his wife.</t>
  </si>
  <si>
    <t>Client "RCH" Therapy Session Audio Recording, August 14, 2013: Client discusses some exciting news about work and how he might be switching companies. Client discusses his current relationship and how it's going better than it was when they were first dating. Client discusses his growing disinterest in bars and going out every night.</t>
  </si>
  <si>
    <t>Client "E", Session February 12, 2013: Client quit her job, has plans to move to a new state with her fiance, and couldn't be happier about the anticipated changes.</t>
  </si>
  <si>
    <t>Client "A", Session April 10, 2014: Client discusses resentment and fear of abandonment from romantic partner due to being unable to complete work applications.</t>
  </si>
  <si>
    <t>Client "SZ" Session February 04, 2013: Client is worried about her father; on a recent vacation, he was drinking large amounts of alcohol and creating a scene.</t>
  </si>
  <si>
    <t>Client "R", Session February 21, 2014: Client discusses the labor-intensive aspects of her wedding, and some recent dreams she had. Client discusses her relationship with her husband and how her therapist fits in there.</t>
  </si>
  <si>
    <t>Client "S" Therapy Session Audio Recording, November 02, 2012: Client is doing better with her schooling and passion, but is still confused over her current relationship.</t>
  </si>
  <si>
    <t>Client "L" Therapy Session Audio Recording, December 18, 2013: Client discusses the successful defense of his dissertation and his plans to look for jobs around the country.</t>
  </si>
  <si>
    <t>Client "S" Therapy Session Audio Recording, December 19, 2012: Client struggles to find a way to just accept her life as it is. She feels like she victimizes herself, always looking for the negative aspects of her life. They discuss a dream she had recently.</t>
  </si>
  <si>
    <t>Client "RY", Session 39: November 11, 2013: Client discusses her fear of moving back in with her husband. Client fears that moving back in too soon will end all of the improvements they've made and push aside all the issues that still exist.</t>
  </si>
  <si>
    <t>Client "G", Session January 10, 2014: Client discusses all the difficulties he had interviewing for a job recently. Client discusses why he decided to drop out of college.</t>
  </si>
  <si>
    <t>Client "R", Session November 29, 2012: Client discusses a dream about her wedding and her actual wedding, as well as her relationships with her spouse and family.</t>
  </si>
  <si>
    <t>Client "R", Session March 27, 2013: Client discusses sexual experiences, dreams, and her sexuality.</t>
  </si>
  <si>
    <t>Client "B", Session April 29, 2013: Client is feeling very worked up and anxious over an interaction that occurred before this session. She spends time discussing her communication breakdowns with her husband and two miscarriages she has endured over the past few years.</t>
  </si>
  <si>
    <t>Client "L", Session November 28, 2012: Client talks about job opportunities and attempting to work through her issues.</t>
  </si>
  <si>
    <t>Client "BA", Session November 21, 2013: Client talks about how a recent business trip aggravated his OCD, discusses his compulsive thought patterns and how they usually involve feeling guilty for thinking about women other than his wife.</t>
  </si>
  <si>
    <t>Client "Ma", Session March 25, 2013: Client discusses previous conversations with spouse concerning finances and the inability to find a job due to having a humanities degree.</t>
  </si>
  <si>
    <t>Client "S" Therapy Session Audio Recording, May 20, 2013: Client discusses the transactional nature of her relationship with her boyfriend.</t>
  </si>
  <si>
    <t>Client "Kthl" Therapy Session Audio Recording, October 16, 2013: Client discusses her self-esteem issues that flared up at a recent wedding. Client discusses the body image issues that began when she was a child.</t>
  </si>
  <si>
    <t>Client "AP", Session 171: February 13, 2014: Client discusses his recent bout of productiveness in regards to getting work, finishing his degrees, and moving abroad. Client discusses being neglected by his mother and how he's starting to care less about what happened in the past.</t>
  </si>
  <si>
    <t>Client "RY", Session 5: March 25 2013: Client discusses feeling like she has to the responsible adult in her marriage and take care of her husband. Client does not know if she can continue caring for her husband indefinitely.</t>
  </si>
  <si>
    <t>Client "B", Session June 13, 2013: Client discusses her confusion about experiences with a man she is dating and a retreat she plans to attend.</t>
  </si>
  <si>
    <t>Client "B", Session March 13, 2014: Client discusses challenges with work trainings and printings.</t>
  </si>
  <si>
    <t>Client "Ma", Session March 24, 2014: Client discusses the strain on her marriage due to mistrust, suicidal tendencies, hospitalizations, and a dependance on therapy.</t>
  </si>
  <si>
    <t>Client "Ma", Session December 13, 2012: Client and husband have started couples counseling in addition to their individual therapies. The stress in their marriage has increased dramatically and she is highly depressed and participates in suicidal ideations often. She feels like being alive is her prison.</t>
  </si>
  <si>
    <t>Client "R", Session February 11, 2013: Client discusses her love for her therapist and his feelings for her.</t>
  </si>
  <si>
    <t>Client "Ma", Session April 11, 2014: Client discusses dealing with children, faith, and the church.</t>
  </si>
  <si>
    <t>Client "Kthl", Therapy Session Audio Recording, October 02, 2013: Client discusses feeling jealous and angry when others get married or have babies, and her frustration with her boyfriend for not proposing to her. Client also discusses anxiety over weight gain and the possible addition of anti-depressants. Client also discusses her mother's critical nature towards her appearance and cleanliness.</t>
  </si>
  <si>
    <t>Client "KF", Session December 18, 2013: Client is grieving about the death of the family dog. Client and parents discuss how this is impacting his behavior.</t>
  </si>
  <si>
    <t>Client "Ma", Session July 06, 2013: Client discusses their suicidal tendencies and the desire to be dead.</t>
  </si>
  <si>
    <t>Client "K" Session December 04, 2012: Client has been feeling overly worked up, hyperactive, and unable to relax. She presumes this is a form of anxiety since she is so feeling very anxious and overwhelmed recently.</t>
  </si>
  <si>
    <t>Client "B", Session February 18, 2013: Client resents the mandatory work she has in off-business hours. She procrastinates which creates more anxiety.</t>
  </si>
  <si>
    <t>Client "R", Session August 13, 2013: Client discusses the anger and disappointment she feels towards her therapist.</t>
  </si>
  <si>
    <t>Client "A", Session May 10, 2013: Client discusses his issue with remembering what they discussed in the past session. Client discusses his relationship with the therapist and what kind of rapport they have.</t>
  </si>
  <si>
    <t>Client "K", Session March 20, 2014: Client discusses the anxiety of not knowing what to do next.</t>
  </si>
  <si>
    <t>Client "Ma", Session July 3, 2013: Client discusses their desire to not continue discussing their marital problems.</t>
  </si>
  <si>
    <t>Client "AP", Session 73: April 24, 2013: Client discusses a recent traumatic event and how it has stirred up feelings about his father and his current relationships.</t>
  </si>
  <si>
    <t>Client "A", Session December 02, 2013: Client discusses how his newborn child has changed the dynamic in his relationships with his girlfriend and mother.</t>
  </si>
  <si>
    <t>Client "RY", Session 53: March 10, 2014: Client discusses struggling to deal with both her mother and father as they live in an uncommunicative, filthy environment. Client also mentions the possibility of again sharing a bed with her spouse.</t>
  </si>
  <si>
    <t>Client "D", Session January 10, 2014: Client discusses spending his school break with his girlfriend and how it's been difficult to get back into his work since the semester began. Client discusses his fantasies about what life would be like if he only had school to worry about and not a relationship, and vice versa.</t>
  </si>
  <si>
    <t>Client "B", Session January 17, 2013: Client talks about her frustrations over an extramarital relationship she has been involved with. She is struggling with feelings of dejection.</t>
  </si>
  <si>
    <t>Client "J", Session February 05, 2013: Client talks about some parenting and spousal relationship frustrations. She is having a hard time letting go of breast feeding her son.</t>
  </si>
  <si>
    <t>Client "Ma", Session February 27, 2013: Client feels sad all the time. She is feeling very self-destructive and is having a hard time not cutting herself.</t>
  </si>
  <si>
    <t>Client "S" Therapy Session Audio Recording, April 24, 2013: Client discusses the embarrassment she feels towards her mother and her boyfriend and how they handle themselves in certain situations.</t>
  </si>
  <si>
    <t>Client "R", Session March 31, 2014: Client discusses purchasing a new keyboard named 'Peg' to deal with feelings of being settled and unsettled.</t>
  </si>
  <si>
    <t>Client "RY", Session 43: January 07, 2014: Client discusses the great progress she is making in her marriage, as her and her husband are no longer separated. Client discusses the level of trust between them and what it will take for them to once more have consensual sex.</t>
  </si>
  <si>
    <t>Client "DF", Session June 23, 2014: Client discusses client-therapist relationship, and relationship with his father.</t>
  </si>
  <si>
    <t>Client "R", Session January 31, 2014: Client discusses relationship with spouse.</t>
  </si>
  <si>
    <t>Client "R", Session March 20, 2013: Client talks about a recent work-related trip.</t>
  </si>
  <si>
    <t>Client "AP", Session 114: August 16, 2013: Client discusses his conflicted feelings about marrying someone who is not part of the same ethnic background as he. Client's family is very tight knit and he needs someone who understands that lifestyle.</t>
  </si>
  <si>
    <t>Client "LJ", Session May 16, 2013: Client discusses the extreme anxiety he has over leaving the house and how he's cancelled trips because he does not want to be in a car for a long period of time.</t>
  </si>
  <si>
    <t>Client "R", Session February 20, 2014: Client discusses being very upset after a weekend away and how he comments triggered something in her husband who broke down at home. Client discusses her husband's fears and an intense dream she had after their discussion.</t>
  </si>
  <si>
    <t>Client "Ma", Session December 06, 2012: Client discusses boundaries with therapist.</t>
  </si>
  <si>
    <t>Client "S", Session February 15, 2013: Client got black-out drunk on her birthday, and ended up with a minor concussion and a fractured nose. She says this was a wake-up call for her, especially given the history of alcoholism in her family.</t>
  </si>
  <si>
    <t>Client "Ma", Session March 11, 2014: Client discusses the expectations of therapy and the feeling of being unable to meet them.</t>
  </si>
  <si>
    <t>Client "S" Therapy Session Audio Recording, April 23, 2014: Client discusses reliving a memory of child abuse at the hands of her father, and how her mother reacted after via email. Client discusses the relationship she has with her mother and weighs relationship equality she has with the two men she is dating.</t>
  </si>
  <si>
    <t>Client "A", Session July 03, 2013: Client discusses his plan of action to handle the issues he's having at work. Client discusses how he balances his relationship and career.</t>
  </si>
  <si>
    <t>Client "SZ" Session April 15, 2014: Client discusses the stress she feels over being pulled in several different directions. Client's sister-in-law makes her feel bad for not spending more time with her nephew, but the client needs to work and spend time on her other relationships.</t>
  </si>
  <si>
    <t>Client "L" Therapy Session Audio Recording, April 17, 2013: Client discusses philosophical and theoretical issues about gun control and jobs in America.</t>
  </si>
  <si>
    <t>Client "K", Session March 04, 2014: Client discusses feeling frustrated, overwhelmed, and trapped in both her job and in her relationships.</t>
  </si>
  <si>
    <t>Client "LJ", Session January 27, 2014: Client discusses his interest in suicide, how he's been thinking more about it and actually planning it, and how he gets angry at people who think suicide is selfish. Client discusses his family history and a long apology he received from his mother.</t>
  </si>
  <si>
    <t>Client "Ju", Session May 7, 2013: Client feels unloved by her parents and dissatisfied with the ways they express their feelings. Client is also dissatisfied with reaction from a superior about ideas she has to improve the workplace.</t>
  </si>
  <si>
    <t>Client "A", Session April 15, 2014: Client discusses the tension between him and his wife and how they're working towards communication better. Client discusses what he wanted to study in school.</t>
  </si>
  <si>
    <t>Client "Ma", Session May 28, 2013: Client discusses her husband's unhappiness and how they will probably move in a few months. Client discusses tutoring and what is really important in academia.</t>
  </si>
  <si>
    <t>Client "K", Session January 21, 2014: Client discusses difficulties communicating with their mother.</t>
  </si>
  <si>
    <t>Client "AP", Session 168: February 06, 2014: Client discusses a massive blow up he had with his uncle over his grandmother's deteriorating condition and current level of care. Client is calling protective services on them, because they refuse to assist.</t>
  </si>
  <si>
    <t>Client "LJ", Session June 20, 2013: Client discusses his issues finding a job and the most recent jobs he's had. Client discusses he interest in video games.</t>
  </si>
  <si>
    <t>Client "LM", Session July 16, 2014: Client discusses 16-year-old grand daughter's current threats to commit suicide if she is made to return home.</t>
  </si>
  <si>
    <t>Client "J" Session December 11, 2012: Client has noticed intense hormonal changes in herself ever since the return of her menstrual cycle after giving birth.</t>
  </si>
  <si>
    <t>Client "Ma", Session April 24, 2013: Client is experiencing a great amount of anxiety. Client and therapist discuss her anxiety about their relationship.</t>
  </si>
  <si>
    <t>Client "B", Session July 3, 2012: Client asks therapist about his feelings on polyamourous relationships, discusses dating several of her partners.</t>
  </si>
  <si>
    <t>Client "S", Session January 10, 2014: Client discusses meeting up with her ex-boyfriend and how it made her even more confused over the situation. Client is still in love with him, and he loves her, but refuses to leave his wife.</t>
  </si>
  <si>
    <t>Client "RY", Session 40: November 25, 2013: Client discusses how the feeling of abandonment she got from her parents has had a negative impact on how she handles large fights with her husband. Client discusses her worry about where to spend the holidays and if she should spend them with her spouse, despite their separation.</t>
  </si>
  <si>
    <t>Client "R", Session May 01, 2013: Client discusses the extreme grief and sadness she is feeling.</t>
  </si>
  <si>
    <t>Client "Ma", Session February 06, 2013: Client has been feeling 'blank', without much to say to anyone. They discuss whether this may be a result of the ECT or perhaps she is resisting talking for fear of it being emotionally painful.</t>
  </si>
  <si>
    <t>Client "S" Therapy Session Audio Recording, April 10, 2013: Client discusses how she feels about her current romantic relationship. Client also discusses her lack of success in her career and how it has an impact on her desire and self-esteem.</t>
  </si>
  <si>
    <t>Client "B", Session May 30, 2013: Client discusses her anxiety about dating other people and having difficulty knowing if they are interested.</t>
  </si>
  <si>
    <t>Client "A", Session March 6, 2013: Client talks about a serious misunderstanding with a long-term friend.</t>
  </si>
  <si>
    <t>Client "SR", Session march 25, 2014: Client discusses breaking the pattern of keeping things in by discussing marital issues with their spouse.</t>
  </si>
  <si>
    <t>Client "D", Session June 17, 2013: Client discusses how he treats his family and his level of ambivalence he has towards their feelings and issues.</t>
  </si>
  <si>
    <t>Client "S" Therapy Session Audio Recording, April 01, 2013: Client discusses the rejection she got from three men in her life recently and how it has negatively affected her psyche.</t>
  </si>
  <si>
    <t>Client "S" Therapy Session Audio Recording, November 13, 2013: Client discusses the narrative of her life that she clings to, uses for her own opinion of herself, but is embarrassed by. Client discusses how she tries to protect her mother's narrative.</t>
  </si>
  <si>
    <t>Client "G", Session June 28, 2013: Client discusses his current job and how he seems to never receive the respect he feels deserves from coworkers and women.</t>
  </si>
  <si>
    <t>Client "M", Session March 19, 2013: Client talks about a recent visit with her husband's family, her weight, and judging others.</t>
  </si>
  <si>
    <t>Client "G", Session February 05, 2013: They briefly discuss the audio-recording of these sessions and how it affects the therapeutic process, if at all.</t>
  </si>
  <si>
    <t>Client "M", Session May 07, 2013: Client is frustrated by her spouse's limited ambition in his career, feels she is more invested than him.</t>
  </si>
  <si>
    <t>Client "M" Session January 14 2014: Client discusses his most recent psychiatrist appointment and how he's changing some of his medication. Client discusses his weekend away and how he feels about making new friends.</t>
  </si>
  <si>
    <t>Client "K", Session March 24, 2014: Client discusses the difficulty of feeling invested in anything.</t>
  </si>
  <si>
    <t>Client "L" Therapy Session Audio Recording, March 13, 2013: Client discusses how his wife and he are coping as she continues to recuperate. Client discusses his need to finish his degree and move ahead in his career.</t>
  </si>
  <si>
    <t>Client "Ma", Session March 04, 2014: Client discusses not appearing sick to other Clients and friends.</t>
  </si>
  <si>
    <t>Client "Ju", Session March 27, 2013: Client discusses turbulent friendships.</t>
  </si>
  <si>
    <t>Client "S", Session November 16, 2012: Client has officially broken up with her boyfriend; she is relieved, excited, and happy to live her life without him holding her back any longer.</t>
  </si>
  <si>
    <t>Client "J", Session November 27, 2012: Client is trying to find a nice balance in her life between parenting, graduate school, work, and being a wife.</t>
  </si>
  <si>
    <t>Client "Kthl" Therapy Session Audio Recording, December 18, 2013: Client discusses her anxiety about the holidays, which are filled with food, pictures, and her mother.</t>
  </si>
  <si>
    <t>Client "Ma", Session July 22, 2013: Client discusses the role of academia in their life and the impact of its absence.</t>
  </si>
  <si>
    <t>Client "Ma", Session May 31, 2013: Client discusses how her marriage was damaged by her depression and suicidal thoughts.</t>
  </si>
  <si>
    <t>Client "K", Session February 28, 2014: Client discusses feeling empty when hobbies are stripped away.</t>
  </si>
  <si>
    <t>Client "RY", Session 23: August 09, 2013: Client discusses the crumbling state of her marriage and her husband's issues with self-loathing and narcissism.</t>
  </si>
  <si>
    <t>Client "L" Therapy Session Audio Recording, November 20, 2013: Client discusses his childhood experiences and relationship with his mother to discover what kind of impact it had on his current world view and relationship.</t>
  </si>
  <si>
    <t>Client "RY", Session 66: June 09, 2014: Client admits to wishing that her husband would take better care of his physical state. Client also discusses whether or not she could ever re-introduce sex into her marriage.</t>
  </si>
  <si>
    <t>Client "CRT" Therapy Session Audio Recording, January 07, 2013: Client discusses the current difficulties she is having with her mother, which are being exacerbated by external issues in her life at the moment.</t>
  </si>
  <si>
    <t>Client "BA", Session October 22, 2013: Client discusses his OCD behavior, and trying to break patterns of behavior.</t>
  </si>
  <si>
    <t>Client "Ma", Session January 31, 2013: Client seems distracted and absent during this session. She is uncertain if this has been building up or if it has just occurred. She is also experiencing intense anxiety today.</t>
  </si>
  <si>
    <t>Client "Ma", Session November 20, 2012: Client feels guilty for relying so much on others, especially in the relationships she has with her husband and with her therapist.</t>
  </si>
  <si>
    <t>Client "J", Session March 5, 2013: Client discusses cost of treatment, trouble with spouse, anxiety about dating.</t>
  </si>
  <si>
    <t>Client "B", Session February 07, 2013: Client is still having problems adjusting to work and the processes utilized there.</t>
  </si>
  <si>
    <t>Client "Ma", Session February 28, 2013: Although the client's cognitive facilities are returning, she is still struck by a sense of mental blankness and helplessness often.</t>
  </si>
  <si>
    <t>Client "Ma", Session July 17, 2013: Client discusses their feelings of estrangement with loved ones around them.</t>
  </si>
  <si>
    <t>Client "K", Session March 03, 2014: Client discusses the fear and insecurity she feels in certain relationships. Client discusses needing to have more self confidence and being more open to vulnerability in her life.</t>
  </si>
  <si>
    <t>Client "R" Session April 08, 2014: Client discusses losing a scarf and getting angry at herself over her own stupidity. Client displays self-defeating behavior and discusses trying to give herself a break when it comes to mistakes and errors in life.</t>
  </si>
  <si>
    <t>Client "RY", Session 52, March 20, 2014: Client discusses parent's unhealthy relationship. Client also discusses the lack of a sexual relationship with her husband.</t>
  </si>
  <si>
    <t>Client "K", Session December 10, 2012: Client is upset for not being included in activities with friends, but is hesitant to discuss it because she feels like she is constantly complaining and whining.</t>
  </si>
  <si>
    <t>Client "RY", Session 21: July 29, 2013: Client discusses her mother's recent diagnosis, her husband's lack of initiative around the house, and an upcoming interview.</t>
  </si>
  <si>
    <t>Client "K" Session March 17, 2014: Client discusses her inability to relax even when just watching television. Client might be bitter over how her boyfriend's condition has affected her life and she feels bad that she feels this way. Client discusses the hope of moving away and getting a job somewhere else.</t>
  </si>
  <si>
    <t>Client "Ma", Session February 20, 2013: Client has extreme memory loss, probably associated with her ECT treatments. Therapist tries to learn the extent of her memory loss by asking questions about her most recent activities as well as going back a decade.</t>
  </si>
  <si>
    <t>Client "K", Session February 12, 2014: Client discusses feeling stuck and overwhelmed both professionally and in therapy.</t>
  </si>
  <si>
    <t>Client "LJ", Session June 03, 2013: Client discusses a day out with his niece and how grown up she is.</t>
  </si>
  <si>
    <t>Client "R" Session July 08, 2013: Client has been increasingly depressed these past two weeks and attempts to uncover where these feelings are coming from.</t>
  </si>
  <si>
    <t>Client "Ma", Session April 01, 2014: Client discusses panic over possibly moving and leaving behind their therapist.</t>
  </si>
  <si>
    <t>Client "AP", Session 58: March 06, 2013: Client seems to be adjusting to his life as it is.</t>
  </si>
  <si>
    <t>Client "J", Session June 25, 2013: Client is getting back on track with his work and life, but is always worried and anxious that it will all fall apart. Client discusses the relationship he has with his children and girlfriend.</t>
  </si>
  <si>
    <t>Client "M", Session March 12, 2014: Client discusses possibly getting pregnant and nutrition.</t>
  </si>
  <si>
    <t>Client "B", Session May 15, 2013: Client discusses an encounter with her assaulter during which he apologized to her. Client and therapist discuss the varying ways she expresses anger and an upcoming trip with her family.</t>
  </si>
  <si>
    <t>Client "M/L Couples" Therapy Session Audio Recording, December 19, 2012: The couple talk about the female client's worsening depression, inability to cope with the depression, increased thoughts of suicide and self-harm, and the exhausting emotional toll it is taking on both individuals in the relationship.</t>
  </si>
  <si>
    <t>Client "AP", Session 81: May 15, 2013: Client discusses difficulty in separating from his mother, job opportunities, and the decline of a romantic relationship.</t>
  </si>
  <si>
    <t>Client "AP", Session 57: March 01, 2013: Client is feeling stressed and overwhelmed.</t>
  </si>
  <si>
    <t>Client "Ju", Session January 3, 2013: Client discusses old friends, high school, encounters with racism, and trouble with emotional intimacy.</t>
  </si>
  <si>
    <t>Client "D", Session July 18, 2013: Client discusses quitting his job and his issues with letting people down.</t>
  </si>
  <si>
    <t>Client "Ma", Session April 29, 2013: Client expresses a sense of frustration and anger she has held towards her husband; he implied that she was intellectually stagnate if she wasn't in school, so started graduate school only to leave after experiencing intense emotional distress.</t>
  </si>
  <si>
    <t>Client "J" Therapy Session Audio Recording, September 24, 2013: Client discusses a traumatic event from her past and how it has affected her romantic relationships. Client discusses her frustration at her current education system.</t>
  </si>
  <si>
    <t>Client "J", Session March 1, 2013: Client talks about work, parenting, finances, and relationship with spouse.</t>
  </si>
  <si>
    <t>Client "S", Session March 26, 2014: Client discusses feeling vulnerable in their current relationship.</t>
  </si>
  <si>
    <t>Client "AP", Session 155: December 19, 2013: Client discusses the fact that his attempts to have a successful band are no longer viable and his best course of action to make money is to move overseas. Client discusses his need to bring his cat with him.</t>
  </si>
  <si>
    <t>Client "S" Therapy Session Audio Recording, April 29, 2013: Client discusses how an event made her think of her ex, which led to a bad weekend. Client discusses whether or not she loves her current boyfriend and her dependent relationship with her mother.</t>
  </si>
  <si>
    <t>Client "GH", Session April 26, 2013: Client discusses work, and his relationship with his parents.</t>
  </si>
  <si>
    <t>Client "L", Session March 8, 2013: Client broke up with her boyfriend partially due to drug and alcohol use, discusses her daughter's alcohol and drug use.</t>
  </si>
  <si>
    <t>Client "L" Therapy Session Audio Recording, April 10, 2013: Client discusses the legal and moral principles he tries to live by, and his issues with attempting to understand other people when they break social and legal rules. Discusses his monetary difficulties with the health insurance company not reimbursing him for his therapist payments.</t>
  </si>
  <si>
    <t>Client "J", Session January 22, 2013: Client and therapist discuss his tendency to become overwhelmed, feel anxious, and experience a sense of helplessness. Client lacks self-confidence.</t>
  </si>
  <si>
    <t>Client "K" Session January 05, 2014: Client discusses her boyfriend's recent hear pump implant and the stress she feels over his situation. Client feels torn over not wanting to go to the hospital, but wanting to see her boyfriend. Client is trying to lean on her friends for an outlet from this difficult situation.</t>
  </si>
  <si>
    <t>Client "S" Therapy Session Audio Recording, December 31, 2013: Client discusses her feelings of indebtedness towards those close to her. Client feels obligated to be the best she can for everyone, but can never live up to her own expectations.</t>
  </si>
  <si>
    <t>Client "AP", Session 19: May 17, 2013: Client discusses his issues with making money and paying bills and loans on time.</t>
  </si>
  <si>
    <t>Client "K", Session December 04, 2012: Client discusses a boyfriend and her lack of emotional control regarding her feelings about him and the relationship.</t>
  </si>
  <si>
    <t>Client "K", Session April 08, 2014: Client discusses her work behavior and how she is very critical of herself when she feels unproductive. Client has difficulty articulating her feelings, because it feels as if everything is bothering her and often for no discernible reason.</t>
  </si>
  <si>
    <t>Client "AP", Session 28: December 03, 2012: Client is becoming very emotionally invested in his new girlfriend, but he is nervous about what will happen next as he is aware of this behavior being a pattern of his.</t>
  </si>
  <si>
    <t>Client "S" Therapy Session Audio Recording, December 03, 2012: Client discusses her social anxiety and how she's often perceived as either "aloof or hostile." Client struggles with inadequacy in social situations.</t>
  </si>
  <si>
    <t>Client "SZ", Session April 08, 2013: Client is obsessed by her appearance and has difficultly being in public without perfect makeup. She discusses her self control and self esteem issues regarding eating and her body.</t>
  </si>
  <si>
    <t>Client "L" Therapy Session Audio Recording, October 02, 2013: Client discusses his current job search and the difficulties in finding a position. Client discusses his couples therapy sessions and how he's still angry at his wife.</t>
  </si>
  <si>
    <t>Client "A", Session April 17, 2013: Client discusses his relationship with money and how it has an impact on his personal and professional relationships.</t>
  </si>
  <si>
    <t>Client "SZ", Session February 12, 2013: Client discusses feeling upset when she feels like she doesn't have a say in day to day matters. Client also discusses wanting to create boundaries in her relationship with her sister.</t>
  </si>
  <si>
    <t>Client "G", Session May 21, 2013: Client discusses his attempts to woo women and his inability to connect with them in the way that makes both parties happy and fulfilled.</t>
  </si>
  <si>
    <t>Client "Ju", Session March 5, 2013: Client discusses recent household move, work, and thoughts on privilege and disadvantage.</t>
  </si>
  <si>
    <t>Client "M", Session March 05, 2013: Client discusses how her and her husband's different childhoods impact their relationships with each other's parents.</t>
  </si>
  <si>
    <t>Client "Ma", Session December 12, 2012: Client feels resentment towards the people she relies upon. She feels like she could just kill herself and be done with the suffering if these people didn't expect her to hang on and get better.</t>
  </si>
  <si>
    <t>Client "S" Therapy Session Audio Recording, December 23, 2013: Client discusses how her low self-esteem and volatility have had a negative impact on her current relationship. Client feels both shame and guilt over the situation, and wants to stop comparing herself to others all the time.</t>
  </si>
  <si>
    <t>Client "K", Session February 20, 2014: Client discusses the inability to process their issues with their parents and siblings.</t>
  </si>
  <si>
    <t>Client "R", Session February 24, 2014: Client discusses having to change her plans due to a traffic problem and this causing her to stress out about her weekend plans. Client discusses how she got engaged.</t>
  </si>
  <si>
    <t>Client "B", Session July 11, 2013: Client talks about a disatisfactory social experience and feeling relief it was bad, as well as trying to find a primary care physician.</t>
  </si>
  <si>
    <t>Client "A", Session May 31, 2013: Client discusses his sleep deprivation and how it's having an impact on his social life. Client discusses possible changes in his current job situation.</t>
  </si>
  <si>
    <t>Client "J", Session May 7, 2013: Client and his spouse are having trouble negotiating their separation agreement in regard to their children. Client also discusses his medication and the woman he is seeing.</t>
  </si>
  <si>
    <t>Client "R", Session April 11, 2013: Client discusses client-therapist relationship.</t>
  </si>
  <si>
    <t>Client "L" Therapy Session Audio Recording, December 04, 2013: Client discusses finishing up his dissertation and his jaded feelings about academia.</t>
  </si>
  <si>
    <t>Client "D", Session January 31, 2014: Client discusses his self-destructive behavior. jobs.</t>
  </si>
  <si>
    <t>Client "D" Therapy Session Audio Recording, April 01, 2014: Client tries to explain the difference in her low mood emotional states; difference between normal lows and hormonal induced lows.</t>
  </si>
  <si>
    <t>Client "S" Therapy Session Audio Recording, February 20, 2013: Client discusses the self-pity she generates when she has to make tough decisions. Client believes this may stem from her relationship with her mother.</t>
  </si>
  <si>
    <t>Client "L" Therapy Session Audio Recording, March 20, 2013: Client is concerned about his wife; she is experiencing intense emotional swings and near constant thoughts of suicide.</t>
  </si>
  <si>
    <t>Client "S" Therapy Session Audio Recording, February 25, 2013: Client discusses a weekend in which she went from being very happy after begin recognized for her talents to being extremely sad when she decided she wasn't good enough.</t>
  </si>
  <si>
    <t>Client "G", Session April 17, 2014: Client discusses the issues he's having at work and how his managers don't allow him to do his job. Client discusses his wish to get a degree, but the expense is too much with his current job. Client discusses why he left school in the first place.</t>
  </si>
  <si>
    <t>Client "KF", Session October 9, 2013: Client and parents discuss client's anger issues and mutual mistrust, specifically surrounding completion of schoolwork. Client, parents, and therapist discuss multiple strategies to insure client completes his schoolwork and also builds trust in his relationship with his parents. Therapists and client's parents also discuss client's adoptive family's history.</t>
  </si>
  <si>
    <t>Client "S" Therapy Session Audio February 10, 2014: Client discusses her desire to make meaningful and emotional connections with people, and how she isolates herself when she feels superiorly sad about something that others cannot feel.</t>
  </si>
  <si>
    <t>Client "Ma", Session February 12, 2013: Client feels even worse that her husband takes such good care of her and she cannot repay the kindness.</t>
  </si>
  <si>
    <t>Client "R", Session August 01, 2013: Client discusses her relationship with her therapist and her need for attention and love from all her relationships.</t>
  </si>
  <si>
    <t>Client "B", Session April 03, 2014: Client discusses her circle of friends and the social anxiety she feels about inviting one to hang out over the other.relationships.</t>
  </si>
  <si>
    <t>Client "A", Session November 15, 2013: Client discusses a recent visit of his girlfriend's mother to help them with the baby. Client is stressed over taking care of his new baby and a recent plumbing mishap at his apartment.</t>
  </si>
  <si>
    <t>Client "Ma", Session February 14, 2014: Client discusses missing the academic environment and the desire to become a priest.</t>
  </si>
  <si>
    <t>Client "RY", Session 44: January 13, 2014: Client discusses the anger and frustration she feels towards her husband after major setback in their relationship. Client wonders if this relationship will ever work out.</t>
  </si>
  <si>
    <t>Client "G", Session March 08, 2013: Client discusses his issues with intimacy, which stem from his strained relationship with his mother.</t>
  </si>
  <si>
    <t>Client "R", Session January 31, 2013: Client discusses dream she had about her therapist and its implications.</t>
  </si>
  <si>
    <t>Client "CRT" Therapy Session Audio Recording, January 31, 2013: Client discusses how a recent weekend trip with her boyfriend dissolved into a week of fighting and poor communication.</t>
  </si>
  <si>
    <t>Client "A", Session May 24, 2013: Client is overwhelmed by the status of the future as he attempts to get a job and pay his bills. Client discusses his anxiety about applying for jobs and his fear that he won't be able to support himself and a family.</t>
  </si>
  <si>
    <t>Client "D", Session February 18, 2013: Client talks about his relationship with his father and his father's behavior towards women.</t>
  </si>
  <si>
    <t>Client "Ma", Session February 21, 2014: Client discusses the feeling of being done with life and the desire to be pitied by others; while also not wanting to be pitied.</t>
  </si>
  <si>
    <t>Client "CRT" Therapy Session Audio Recording, January 14, 2013: Client discusses the events leading up a recent altercation with her boyfriend and how it conjured up her issues with trust and abandonment.</t>
  </si>
  <si>
    <t>Client "A", Session November 21, 2012: Client talks about his anger over others progressing in their careers while he remains stagnate.</t>
  </si>
  <si>
    <t>Client "SB", Session September 23, 2013: Client's parents are extremely concerned about their son, who is experiencing psychosis, and committed himself. Client's parents also had a medical scare with him experiencing a seizure. Client's parents discuss the stress this has put on their marriage, as well as the wife's problematic drinking. Client is very upset by his parents' fighting.</t>
  </si>
  <si>
    <t>Client "ADR" Therapy Session Audio Recording, January 22, 2013: Client discusses her husband's pain and depression and her detached feelings towards him. Client becomes anxious when discussing intimacy and her childhood.</t>
  </si>
  <si>
    <t>Client "LJ", Session February 10, 2014: Client discusses his favorite martial arts fighters and the importance in knowing self-defense. Client decides to leave his psychiatrist and go with one he feels more comfortable with.</t>
  </si>
  <si>
    <t>Client "AP", Session 132: October 09, 2013: Client discusses his plan to get a reverse mortgage on his house, thus pulling himself out of debt. Client took a Benadryl before his session and discusses the effect it had on him.</t>
  </si>
  <si>
    <t>Client "L", Session October 1, 2012: Client discusses difficult relationships with extended family members.</t>
  </si>
  <si>
    <t>Client "A", Session November 18, 2013: Client discusses the naming ceremony he had for his newborn son and how he reacted to family visiting. Client discusses his amazement with his newborn son.</t>
  </si>
  <si>
    <t>Client "R", Session May 09, 2013: Client discusses the anger and sadness she is feeling. Client discusses the fantasies she has about her therapist and his life outside of their conversations. Client discusses her issues with boundaries and painful separations.</t>
  </si>
  <si>
    <t>Client "Ma", Session March 28, 2014: Client discusses the possibility of taking a new job in another state.</t>
  </si>
  <si>
    <t>Client "SZ" Session June 24, 2013: Client is busy preparing for her wedding and is beginning to stress about all the details. This is causing the client and her fiancee to have several fights about the event, money, and the future.</t>
  </si>
  <si>
    <t>Client "J", Session April 16, 2013: Client talks about romantic relationships, efforts to improve health, dissatisfaction with sports league management.</t>
  </si>
  <si>
    <t>Client "LJ", Session January 09, 2014: Client discusses his interest in writing stories and how he's hoping to be published in the future. Client discusses his education and plan to take more classes.</t>
  </si>
  <si>
    <t>Client "Ma", Session March 01, 2013: Client struggles to process her thoughts clearly in the session; it is difficult for her to form words into sentences.</t>
  </si>
  <si>
    <t>Client "KF", Session November 20, 2013: Client and client's parents discuss recent issues with bullying at school as well as client's differing responses to discipline depending on which parent he is interacting with, and strategies to manage him.</t>
  </si>
  <si>
    <t>Client "R", Session July 18, 2013: Client discusses her self esteem issues and feelings about her body. Client discusses the annoyance and hurt she feels when she wants to talk to someone and they seem disinterested.</t>
  </si>
  <si>
    <t>Client "A", Session June 05, 2013: Client discusses his disappointment with his therapist. Client feels he still has the same issues he had eight years ago and that the therapist hasn't helped to fix them.</t>
  </si>
  <si>
    <t>Client "M" Session April 10, 2014: Client reads the letter he has written and wishes to send to his father, detailing all the pain he's caused him over the years. Client discusses his feelings about this letter and how it feels to finally have completed it.</t>
  </si>
  <si>
    <t>Client "Ad", Session February 11, 2014: Client discusses his feelings of freedom now that he is in the process of separating from his wife. Client discusses his excitement for his future plans.</t>
  </si>
  <si>
    <t>Client "AP", Session 156: December 20, 2013: Client discusses an upcoming family birthday party and the issues in his family.</t>
  </si>
  <si>
    <t>Client "S", Session February 24, 2014: Client discusses family disagreements and arguments.</t>
  </si>
  <si>
    <t>Client "J" Session February 10, 2014: Client discusses a new engagement in the family and recent weekend away with her husband. Client is trying to balance being a mother and a wife, and doing her best to give her attention equally.</t>
  </si>
  <si>
    <t>Client "S" Therapy Session Audio Recording, December 18, 2013: Client discusses her weekend away and he confused feelings over the men she is dating.</t>
  </si>
  <si>
    <t>Client "AP", Session 68: April 10, 2013: Client is unsure of how to progress in his current romantic relationship. He likes his girlfriend but is feeling claustrophobic at times and is starting to pull away.</t>
  </si>
  <si>
    <t>Client "K", Session January 31, 2014: Client discusses issues at work and trying to deal with the feeling of helplessness.</t>
  </si>
  <si>
    <t>Client "B", Session January 28, 2013: Client feels hurt and passed over by individuals at her church. She is fairly confident that they don't like her.</t>
  </si>
  <si>
    <t>Client "L" Therapy Session Audio Recording, November 13, 2013: Client discusses his most recent couples therapy session and how he's communicating his issues better. Client discusses his childhood and his relationship with his parents.</t>
  </si>
  <si>
    <t>Client "Ma", Session June 11, 2013: Client discusses her need to find a community in her city and the worry that she will have to move before that happens.</t>
  </si>
  <si>
    <t>Client "Ma", Session April 25, 2014: Client discusses her work situation and how she worries a lot about having to get a new job if she ends up moving away.</t>
  </si>
  <si>
    <t>Client "R", Session May 13, 2013: Client talks about apartment-hunting, what she desires from roommates, and possible carpal-tunnel syndrome.</t>
  </si>
  <si>
    <t>Client "J", Session April 26, 2013: Client discusses everyday life, concerns about self-control and romantic relationships.</t>
  </si>
  <si>
    <t>Client "S" Therapy Session Audio Recording, March 25, 2013: Client discusses her fear of seeking out new experiences and her sheltered childhood. Client discusses her perception of male authority as protecting her from the outside world, stemming from her father's influence.</t>
  </si>
  <si>
    <t>Client "C" Therapy Session Audio Recording, October 09, 2012: Client's upcoming wedding is stirring up family drama and leading to fights with his father. Client's father did not stand up to his sister or mother, which has led the client to be emotionally scarred about his childhood.</t>
  </si>
  <si>
    <t>Client "Ma", Session January 01, 2013: Client has been hospitalized for major depressive disorder and suicidal ideations again. She has begun an ECT regimen and believes it is helping. They discuss borderline personality disorder, but she doesn't fit that diagnosis very well since she maintains stable, close relationships.</t>
  </si>
  <si>
    <t>Client "L" Therapy Session Audio Recording, January 02, 2014: Client discusses the new furniture in his therapists office. Client discusses his trip home for the holidays and how therapy has changed his view on his family.</t>
  </si>
  <si>
    <t>Client "Ma", Session March 20, 2013: Client is reluctant to tell therapist how intense her suicidality has been over the last two days because she does not want to be admitted to the hospital again.</t>
  </si>
  <si>
    <t>Client "RY", Session 35: October 04, 2013: Client discusses the work her husband is doing to fix their relationship, but she is not sure it's time for them to move back in together. Client is still having trouble trusting him.</t>
  </si>
  <si>
    <t>Client "L", Session January 2, 2013: Client discusses daughter's drug use and daughter's threats against her. Therapist expresses concern for her safety.</t>
  </si>
  <si>
    <t>Client "B", Session June 19, 2013: Client talks about her social anxiety and difficulty in trusting friendships, relates it back to her childhood.</t>
  </si>
  <si>
    <t>Client "RY", Session 8: April 23, 2013: Client and therapist discuss the different ways client and her spouse address their anxiety. Client talks about her upcoming graduation and looking for jobs.</t>
  </si>
  <si>
    <t>Client "AP", Session 157: December 27, 2013: Client discusses a recent blow up he had with his family over the Christmas holiday. Client is very ready to go overseas and teach.</t>
  </si>
  <si>
    <t>Client "AP", Session 71: April 17, 2013: Client is continuing to work through his relationship hurdles with his girlfriend, coming to the conclusion that it's healthier than previous romantic relationships.</t>
  </si>
  <si>
    <t>Client "B", Session April 17, 2014: Client discusses how she still misses her ex-boyfriend, even though she knows she's better without him. Client is ashamed that she can't get over him, but misses the affection she received from him that she doesn't get in her other relationships.</t>
  </si>
  <si>
    <t>Client "AP", Session 40: January 04, 2013: Client talks about some recent, vivid dreams. He is feeling insecure about some of his unconscious behaviors, such as snoring.</t>
  </si>
  <si>
    <t>Client "Ju", Session March 19: Client is very frustrated with her physical therapy and hiring practices within her current workplace.</t>
  </si>
  <si>
    <t>Client "R", Session February 14, 2013: Client talks about relationship boundaries, her marriage's impact on her relationship with her parents, and her general outlook.</t>
  </si>
  <si>
    <t>Client "AP", Session 32: December 13, 2012: Client feels like he has been much more tolerant of situations that would normally bother him. They discuss his sleep habits as he feels somewhat guilty about them.</t>
  </si>
  <si>
    <t>Client "D" Therapy Session Audio Recording, March 25, 2014: Client attributes her recent feelings of lowness and tiredness to her menstrual cycle.</t>
  </si>
  <si>
    <t>Client "RY", Session 37: October 29, 2013: Client discusses the anger and frustration she feels towards her husband's family, who seem to blame her for his depression and issues. Client discusses how she is slowly working on her marriage and how to build the trust again.</t>
  </si>
  <si>
    <t>Client "Ma", Session November 27, 2012: Client feels afraid with her husband whether they are fighting or not; he has never given her any reason to fear him though. She feels guilty for feeling fearful. She discusses her feelings about her once estranged mother's love for her.</t>
  </si>
  <si>
    <t>Client "K", Session January 24, 2013: Client doesn't think she gives herself enough purpose. She presumes that her peers are doing bigger, better things with their lives and handling it much better than she would.</t>
  </si>
  <si>
    <t>Client "YM", Session October 29, 2013: Client discusses her academic interests and goals. Client also discusses her interest in speechmaking.</t>
  </si>
  <si>
    <t>Client "J", Session June 24, 2013: Client discusses balancing work with family and personal time. Also discusses letting go of her obsessive behavior about her son's daycare.</t>
  </si>
  <si>
    <t>Client "J", Session December 14, 2012: Client likes the fact that the therapist is late to their sessions on occasion; it takes the pressure off of him.</t>
  </si>
  <si>
    <t>Client "S" Therapy Session Audio Recording, October 15, 2012: Client discusses her current relationship and whether or not it's time to finally break up and focus on herself.</t>
  </si>
  <si>
    <t>Client "A", Session February 06, 2014: Client discusses reminiscing with some family friends over the weekend and how his son is growing up so fast already. Client discusses a time in which he didn't want the life he has now and how odd it is that he's locked into this life.</t>
  </si>
  <si>
    <t>Client "AP", Session 109: August 07, 2013: Client discusses his lack of monetary funds and his desire to finish his degree. Client discusses some other job opportunities and some interesting tidbits about his religion.</t>
  </si>
  <si>
    <t>Client "RY", Session 26: August 19, 2013: Client discusses her mother's successful surgery and how frustrated she is by her parents. Client discusses how she hates to go home to visit because of all the problems that still exist between her parents.</t>
  </si>
  <si>
    <t>Client "ADR" Therapy Session Audio Recording, January 08, 2013: Client discusses her issues with intimacy in her marriage and whether or not events in her childhood are the cause of these issues.</t>
  </si>
  <si>
    <t>Client "K", Session December 18, 2012: Client speculates as to whether her emotional baseline is similar to what everyone else experiences or not. She feels like she keeps coming into therapy without enough significant material to go over.</t>
  </si>
  <si>
    <t>Client "JM", Session 6: November 04, 2013: Client is starting to recognize REBT in action in other aspects of her life and career. Her chronic pain makes it very hard for her to focus on anything else.</t>
  </si>
  <si>
    <t>Client "Ma", Session March 05, 2013: Client has been brooding over past decisions; why did she make certain choices, why did she forego others, how have these decisions effected her presently.</t>
  </si>
  <si>
    <t>Client "R", Session July 08, 2014: Client discusses anger and anxiety over on going current affairs regarding birth control and conflicts between Israel and Palestine.</t>
  </si>
  <si>
    <t>Client "Ma", Session March 4, 2013: Client talks about her financial issues, is experiencing feelings of shame and suicidal thoughts.</t>
  </si>
  <si>
    <t>Client "Kthl" Therapy Session Audio Recording, December 31, 2013: Client discusses an recent party where she was the only one left out of a surprise moment. Client discusses the toxic friendships she holds onto and how it might be time to let them go.</t>
  </si>
  <si>
    <t>Client "R", Session June 06, 2013: Client discusses upcoming first anniversary, feelings of loneliness, and frustration.</t>
  </si>
  <si>
    <t>Client "Kthl" Therapy Session Audio Recording, November 01, 2013: Client discusses her issues with wondering if her friends actually want to be her friend. Client discusses her childhood traumas.</t>
  </si>
  <si>
    <t>Client "S" Therapy Session Audio Recording, November 26, 2012: Client discusses a recent experience with a classmate/friend and wonders if she is too judgmental of her friends, thus pushing them away. Client discusses her issues with forgiveness.</t>
  </si>
  <si>
    <t>Client "A", Session March 27, 2013: Client discusses a recent business meeting in which he had power issues with a business partner.</t>
  </si>
  <si>
    <t>Client "K", Session February 24, 2014: Client discusses their need to be more trusting of others in order to cope with current issues.</t>
  </si>
  <si>
    <t>Client "L" Therapy Session Audio Recording, April 24, 2014: Client discusses opening up to his friends about having feelings for someone other than his wife. Client discusses his therapist's pregnancy and his comments regarding her sexuality and personal thoughts.</t>
  </si>
  <si>
    <t>Client "S", Session April 14, 2014: Client discusses the issues he's having as a teacher, as his students keep getting sidetracked in the classroom. Client discusses his plans to travel in the summer and his relationship with his wife.</t>
  </si>
  <si>
    <t>Client "S" Therapy Session Audio Recording, January 13, 2014: Client discusses how having dinner with a friend made her feel unsuccessful and depressed about her future in her current field.</t>
  </si>
  <si>
    <t>Client "M", Session November 20, 2012: Client discusses her husband's health issue, some communications problems they are having.</t>
  </si>
  <si>
    <t>Client "S" Therapy Session Audio Recording, December 11, 2013: Client discusses her progress towards becoming a better, calmer person. Client discusses her issues with accepting gifts and being independent.</t>
  </si>
  <si>
    <t>Client "L", Session November 21, 2012: Client discusses job opportunities, and dissatisfaction with current position.</t>
  </si>
  <si>
    <t>Client "AP", Session 174: February 27, 2014: Client discusses an email he received that cleared the air on a recent mix up and is paving the way for his return to graduate school. Client discusses his opinion on finishing his dissertation and why it has taken him so long.</t>
  </si>
  <si>
    <t>Client "G", Session March 26, 2013: Client's roommate is possibly pregnant and the client could be the father. However, the infidelity of this roommate is causing the client to have trust issues regarding their relationship and its boundaries.</t>
  </si>
  <si>
    <t>Client "RY", Session 38: November 11, 2013: Client discusses how her marital separation is working and whether or not they are making progress in healing the rifts in her marriage.</t>
  </si>
  <si>
    <t>Client "YM", Session July 11, 2013: Client discusses the difficulty of growing up impoverished and with a drug-addicted parent, and the hardships of looking after her siblings.</t>
  </si>
  <si>
    <t>Client "K", Session March 17, 2014: Client discusses her plans to go to grad school after she receives an offer. Client thinks she should be happy about it, but is instead anxious and worries that all the work she's done in therapy will fall apart if she leaves.</t>
  </si>
  <si>
    <t>Client "S" Therapy Session Audio Recording, January 21, 2013: Client discusses the recent trip to a friend's apartment and her interest in houses and life being beautiful instead of messy. Client discusses moving in with her boyfriend.</t>
  </si>
  <si>
    <t>Client "B", Session August 15, 2013: Client discusses the issues in her marriage and how her husband is being distant and irritable. Client discusses issues at her job.</t>
  </si>
  <si>
    <t>Client "Ma", Session June 17, 2013: Client discusses feeling overwhelmed by family members visiting and life in general, which is triggering memories of when she was most recently admitted to the hospital for thoughts of suicide.</t>
  </si>
  <si>
    <t>Client "S" Therapy Session Audio Recording, January 09, 2013: Client discusses a recent setback in her career and her need for approval. Client discusses her current relationship with her boyfriend and his opinion of her.</t>
  </si>
  <si>
    <t>Client "SM", Session November 26, 2012: Client talks about various professional sports events, Thanksgiving, and his work.</t>
  </si>
  <si>
    <t>Client "D", Session July 01, 2013: Client discusses the monetary strains he feels and how he wishes his parents would help pay for therapy since they are partially responsible for him being in it. Client discusses his relationship with his mother.</t>
  </si>
  <si>
    <t>Client "R", Session July 15, 2013: Client discusses the history of her family and family rituals that continue to occur at large gatherings.</t>
  </si>
  <si>
    <t>Client "K", Session April 30, 2014: Client discusses feeling confused about what she wants and needs in live. Client wonders if she is in therapy just to have someone give her these answers so she doesn't have to do it herself.</t>
  </si>
  <si>
    <t>Client "K", Session March 12, 2014: Client discusses a recent interaction with a colleague that made her angry. Client is resentful that she feels the need to apologize for speaking her mind, even if it came off as rude.</t>
  </si>
  <si>
    <t>Client "AP", Session 137: October 25, 2013: Client discusses a conversation he had with a former lover. Client discusses a saga-like dream he had recently.</t>
  </si>
  <si>
    <t>Client "G", Session February 08, 2013: Client talks about a confrontation he had with an ex-girlfriend.</t>
  </si>
  <si>
    <t>Client "J" Session May 07, 2013: Client talks about balancing her work, dissertation research, and family life. Although she feels like she has a better sense of control over her anxieties, she sometimes worries that it will come back in full force.</t>
  </si>
  <si>
    <t>Client "Ju", Session February 11, 2014: Client discusses the awkward set up at her job and how it makes her part of conversations that she doesn't feel necessary. Client discusses how she's happy to be finishing up school and her thoughts on what she will do once she is done.</t>
  </si>
  <si>
    <t>Client "AP", Session 130: October 03, 2013: Client discusses his plans to get another degree and his relationship past. Client discusses his earliest childhood memories.</t>
  </si>
  <si>
    <t>Client "R", Session February 14, 2014: Client discusses feeling exhausted after yesterday's session. Client discusses feeling adrift and without an anchor, and how scary it feels to her.</t>
  </si>
  <si>
    <t>Client "S" Therapy Session Audio Recording, November 11, 2013: Client discusses a blow up she had at a recent meeting with friends and her attempts to make amends. Client discusses the feeling of resentment she has for those who are more successful than her.</t>
  </si>
  <si>
    <t>Client "KF", Session September 24, 2013: Client's parents discuss the effect of a variety of different behavioral pharmaceuticals on their son. Client also shares the effect of those medications on his school life.</t>
  </si>
  <si>
    <t>Client "R", Session May 07, 2014: Client discusses applying to new jobs. Client also mentions finally initiating sexual contact with her romantic partner.</t>
  </si>
  <si>
    <t>Client "K", Session January 22, 2013: Client has been physically exhausted and sleeping a lot recently.</t>
  </si>
  <si>
    <t>Client "J" Therapy Session Audio Recording, November 19, 2013: Client discusses her current relationship and how she feels neglected by her boyfriend. Client's boyfriend changed drastically when his dad died and she worries that he will never return to his old self.</t>
  </si>
  <si>
    <t>Client "B", Session March 14, 2013: Client fears that her friends are only friends with her because she does things for them. She is still worried that her performance at work leaves much to be desired.</t>
  </si>
  <si>
    <t>Client "R", Session May 29, 2013: Client discusses her dark moods and a recent sleepwalking episode. Client discusses a dream involving her therapist and when she started having feelings for him.</t>
  </si>
  <si>
    <t>Client "LM", Session July 30, 2014: Client discusses ongoing situation with her 16-year-old grand daughter refusing to return home until she turns 17.</t>
  </si>
  <si>
    <t>Client "Ju", Session February 19, 2014: Client discusses professional interests and struggles.</t>
  </si>
  <si>
    <t>Client "AP", Session 113: August 15, 2013: Client discusses some recent deaths and illnesses in his family and the issues it has brought up among family members.</t>
  </si>
  <si>
    <t>Client "ML" Therapy Session Audio Recording, February 13, 2013: Client discusses his wife's most recent hospitalization. Client discusses the role of the therapist in this setting and how they will work together to make the sessions worthwhile.</t>
  </si>
  <si>
    <t>Client "AP", Session 173: February 26, 2014: Client discusses some good news he heard about finishing up his doctoral dissertation. Client discusses a major fight he had with his mom and how he's completely checked out from his life in America.</t>
  </si>
  <si>
    <t>Client "LJ", Session June 06, 2013: Client discusses his childhood and life living in a sexually-restricted, yet open household. Client discusses his mother's impact on his sexual desires and actions.</t>
  </si>
  <si>
    <t>Client "R", Session November 15, 2012: Client discusses difficulties with everyday routine and how spouse supports her.</t>
  </si>
  <si>
    <t>Client "LJ", Session May 22, 2013: Client discusses his issues with getting work. Client discusses his battle with depressive thoughts.</t>
  </si>
  <si>
    <t>Client "B", Session August 15, 2013: Client discusses the stress she feels from her boss because she is failing at work. Client discusses the awkwardness and alienation she felt a conference she attended over the weekend.</t>
  </si>
  <si>
    <t>Client "SN" Therapy Session Audio Recording, July 23, 2013: Client discusses a recent exercise her participated in that discussed shame. Client discusses a past relationship and some difficulties in high-school.</t>
  </si>
  <si>
    <t>Client "R" Session December 10, 2012: Client is still experiencing feelings of panic and free-floating anxiety. There is a worry that the client may be trying to convince herself that she isn't capable of doing anything about her current situation; she constantly diverts from taking responsibility for herself.</t>
  </si>
  <si>
    <t>Client "G", Session March 06, 2014: Client discusses his new job and how he envies his therapist for his 'cushy' job. Client discusses an interaction he had with a woman on the bus.</t>
  </si>
  <si>
    <t>Client "Ma", Session January 27, 2014: Client discusses the ongoing presence of suicidal thoughts in their life.</t>
  </si>
  <si>
    <t>Client "A", Session December 12, 2012: Client has a hard time expressing himself in basic interpersonal communications when he is feeling stressed.</t>
  </si>
  <si>
    <t>Client "J", Session June 27, 2013: Client discusses issues with work and getting paid. Client discusses recent events in the news and how people don't get his sense of humor.</t>
  </si>
  <si>
    <t>Client "SR", Session October 31, 2013: Client discusses their marital and family issues.</t>
  </si>
  <si>
    <t>Client "ADR" Therapy Session Audio Recording, January 15, 2013: Client discusses the different relationships she has with her daughters and which one may have inherited her personal traits. Client also discusses her past and future travels.</t>
  </si>
  <si>
    <t>Client "R", Session March 22, 2013: Client discusses her feelings for her therapist and her feelings of rejection.</t>
  </si>
  <si>
    <t>Client "M", Session March 05, 2014: Client discusses spouse's family.</t>
  </si>
  <si>
    <t>Client "R", Session March 14, 2014: Client discusses spouse and past therapists.</t>
  </si>
  <si>
    <t>Client "R", Session June 06, 2014: Client discusses having a panic attack, her health status, feeling oppressed by Orthodox Judaism, and her relationship with her father.</t>
  </si>
  <si>
    <t>Client "Ma", Session March 29, 2013: Client talks about the impact of ECT on her memory and a friend from school.</t>
  </si>
  <si>
    <t>Client "RY", Session 47: February 03, 2014: Client discusses a difficult couples therapy session where she had to pretend what life would be life if she were divorced. Client is conflicted about what to do in her relationship and is scared that her husband will once again betray her trust.</t>
  </si>
  <si>
    <t>Client "SR", Session March 13, 2014: Client discusses the lack of physical and emotional intimacy.</t>
  </si>
  <si>
    <t>Client "B", Session March 21, 2013: Client is convinced that her co-workers dislike her, and she keeps having dreams that reinforce this belief.</t>
  </si>
  <si>
    <t>Client "R" Session May 05, 2014 B: Client discusses the feelings of worthlessness that pervade her mind. Client worries that she has a worthless degree that cannot get her a job, which makes her a useless member of society and one that should not live.</t>
  </si>
  <si>
    <t>Client "Ju", Session June 3, 2013: Client feels bad about borrowing money from a friend to go on a trip; is frustrated with her parents' failure to listen to her and modify their behavior.</t>
  </si>
  <si>
    <t>Client "SZ" Session May 20, 2014: Client's sister is coming for a visit, but since having a recent surgery, she is somewhat immobile. Client's boyfriend doesn't seem very supportive about having her 'disabled' sister visit.</t>
  </si>
  <si>
    <t>Client "R", Session March 21, 2013: Client talks about a sexual dream she had about her therapist and their relationship.</t>
  </si>
  <si>
    <t>Client "R", Session January 16, 2013: Client talks about her wedding, her spouse, and relationship with her therapist.</t>
  </si>
  <si>
    <t>Client "A", Session November 16, 2012: Client is concerned about managing his anxieties and occupational adjustments.</t>
  </si>
  <si>
    <t>Client "Ma", Session April 30, 2013: Client still expects abusive reactions from her husband even though he has never displayed abusive behavior towards her throughout the duration of their relationship. She feels guilty for still being angry with her father, twenty years later.</t>
  </si>
  <si>
    <t>Client "AP", Session 38: December 31, 2012: Client has been experiencing intense dreams and worsening TMJ (temporomandibular joint) pain recently. He wonders if it is caused by sleep apnea and or anxiety issues.</t>
  </si>
  <si>
    <t>Client "AP", Session 145: November 15, 2013: Client discusses some upsetting news he recently heard about a friend and tries to figure out if he believes the rumors. Client discusses the band he plays in and where they might be headed.</t>
  </si>
  <si>
    <t>Client "R", Session March 5, 2013: Client looks over her wedding photographs with her therapist and shares about her wedding.</t>
  </si>
  <si>
    <t>Client "S", Session July 3, 2013: Client discusses how her financial issues and her issues with her father are exacerbated by one another.</t>
  </si>
  <si>
    <t>Client "S" Therapy Session Audio Recording, November 14, 2012: Client feels that when people tell her to chill and relax, she interprets that as be "dead" and cannot imagine desiring anything without urgency.</t>
  </si>
  <si>
    <t>Client "C" Therapy Session Audio Recording, September 18, 2012: Client talks about his awareness of self-control issues.</t>
  </si>
  <si>
    <t>Client "S" Therapy Session Audio Recording, March 06, 2013: Client discusses her current relationship and how she's so focused on approval from her boyfriend that it is more of a teacher-student relationship as opposed to one of mutual respect and companionship</t>
  </si>
  <si>
    <t>Client "S" Therapy Session Audio Recording, October 30, 2013: Client discusses her confusion about her current path in life and how she should proceed. Client has not had much success and is jealous of those around her who have.</t>
  </si>
  <si>
    <t>Client "J", Session April 23, 2013: Client discusses financial windfall, several women he is dating, his favorite television shows, and his medication.</t>
  </si>
  <si>
    <t>Client "Ma", Session March 07, 2013: Client has decided that she is definitely not returning to ECT treatments; which goes against the advice of others. She and her husband have both been experiencing increased anxiety levels.</t>
  </si>
  <si>
    <t>Client "Ma", Session December 20, 2012: Client feels like there is no limit to her despair, pain, and hopelessness.</t>
  </si>
  <si>
    <t>Client "A", Session January 30, 2014: Client and therapist pick up on the discussion of infidelity from the previous session, and focus on how the client feels about his father's betrayal of his family.</t>
  </si>
  <si>
    <t>Client "RY", Session 64: May 27, 2014: Client discusses trying not to use the word 'disappointment' to describe her husband. Client wishes her husband would make the changes he previously promised he would make.</t>
  </si>
  <si>
    <t>Client "S" Therapy Session Audio Recording, October 28, 2013: Client discusses her relationship with her father and how it has impacted her self confidence today.</t>
  </si>
  <si>
    <t>Client "AP", Session 43: January 11, 2013: Client talks about his mother.</t>
  </si>
  <si>
    <t>Client "L" Therapy Session Audio Recording, April 23, 2014: Client discusses is curiosity in his therapist's pregnancy and her personal life. Client discusses his fears, including that of intimacy and trust in regards to his marriage.</t>
  </si>
  <si>
    <t>Client "R", Session August 06, 2013: Client discusses watching a movie and the feelings that is brought up in her. Client feels guilty for wanting to cheat on her husband with her therapist.</t>
  </si>
  <si>
    <t>Client "Ma", Session March 17, 2014: Client discusses the inappropriate nature of certain friendships and possible romantic feelings towards their therapist.</t>
  </si>
  <si>
    <t>Client "B", Session February 19, 2014: Client discusses her fear over calling her broker, because she's worried that she has lost a bunch of money and does not want to be perceived as a fool.</t>
  </si>
  <si>
    <t>Client "B", Session April 09, 2014: Client discusses all the drama that is going on in her friend's life and how she wants to get involved, but doesn't want to alienate anyone.</t>
  </si>
  <si>
    <t>Client "Ma", Session July 15, 2013: Client discusses their relationship with their in-laws and their previous suicide attempt.</t>
  </si>
  <si>
    <t>Client "R", Session March 4, 2013: Client reads a speech she wrote for her father, talks about a recent family gathering, and her mother's depression during her infancy.</t>
  </si>
  <si>
    <t>Client "B", Session July 17, 2013: Client talks about a convention she attended, her writing, a romantic relationship, and her relationship with her therapist.</t>
  </si>
  <si>
    <t>Client "Ma", Session January 20, 2014: Client discusses the ongoing desire to commit suicide and no longer exist in the world.</t>
  </si>
  <si>
    <t>Client "S" Therapy Session Audio Recording, December 12, 2012: Client discusses how she feels lost without a sense of structure and has difficulty getting work done when left to her own devices.</t>
  </si>
  <si>
    <t>Client "RY", Session 25: August 15, 2013: Client recognizes the fact that constantly cleaning both her house, and her parents' house, will not fix ongoing underlying emotional issues.</t>
  </si>
  <si>
    <t>Client "AP", Session 52: February 15, 2013: Client talks about his romantic relationship and how he is feeling more settled in it. He brings up jealous feelings that sometime occur over other artists' successes.</t>
  </si>
  <si>
    <t>Client "S", Session February 10, 2014: Client discusses the aftermath of their affair ending badly, and feeling like a 'homewrecker.'</t>
  </si>
  <si>
    <t>Client "J", Session May 17, 2013: Client discusses problems with medication, and ongoing financial issues.</t>
  </si>
  <si>
    <t>Client "JM", Session 2: October 10, 2013: Client does not feel like herself due to the chronic pain she has been experiencing, which makes staying active very difficult.</t>
  </si>
  <si>
    <t>Client "SM", Session April 12, 2013: Client discusses moving, back pain, and obtaining an oil change for his car.</t>
  </si>
  <si>
    <t>Client "R" Session December 17, 2012: Client and therapist discuss the previous session; it was a 'hard' session for both of them.</t>
  </si>
  <si>
    <t>Client "K", Session January 29, 2013: Client has no motivation in the evenings; she knows that she must accomplish goals earlier in the day if they are going to get done. She feels a mounting pressure to find the motivation to complete tasks.</t>
  </si>
  <si>
    <t>Client "Ma", Session March 10, 2013: Client presents in a better mood than usual. She has made plans to officially withdraw from graduate school and start applying for jobs. She is also planning on ending her ECT sessions and feels empowered by these decisions.</t>
  </si>
  <si>
    <t>Client "B", Session June 14, 2013: Client talks about her dream career, and a friend's encounter with racism in a professional setting.</t>
  </si>
  <si>
    <t>Client "S" Therapy Session Audio Recording, October 22, 2012: Client is frustrated by the lack of romance and sex in her current relationship, but is stuck and cannot seem to break up with her boyfriend.</t>
  </si>
  <si>
    <t>Client "LJ", Session July 29, 2013: Client discusses movies and thoughts on society that resonate with him.</t>
  </si>
  <si>
    <t>Client "S", Session March 22, 2013: Client discusses recent and upcoming travel as well as a job opportunity that would require her to move.</t>
  </si>
  <si>
    <t>Client "AP", Session 75: May 1, 2013: Client discusses the woman he is dating, his extended family, work prospects, and financial issues.</t>
  </si>
  <si>
    <t>Client "AP", Session 179: March 07, 2014: Client's move abroad is getting closer and he discusses his excitement over the move. Client is mentally and physically preparing himself for a move to a new country and hopes it will work out for his career.</t>
  </si>
  <si>
    <t>Client "R", Session February 25, 2013: Client discusses sexual attraction to and fantasies about her therapist.</t>
  </si>
  <si>
    <t>Client "J", Session February 15, 2013: Client has been feeling incredibly anxious again; he feels angry and overwhelmed with financial responsibilities.</t>
  </si>
  <si>
    <t>Client "J", Session February 25, 2014: Client discusses ongoing financial difficulties.</t>
  </si>
  <si>
    <t>Client "SZ", Session May 30, 2014: Client discusses the difficulty of getting along with her sister and her desire to create boundaries. Client also discusses her sister's declaration that she dislikes her fiance and that she should not get married.</t>
  </si>
  <si>
    <t>Client "Vn" Therapy Session Audio Recording, March 19, 2014: Client discusses a stressful mediation with her husband as they are trying to divorce amicably. Client did not think he was going to get a lawyer, but he did and now she needs one so she gets her equal share in the divorce and is able to take care of her son.</t>
  </si>
  <si>
    <t>Client "Kthl" Therapy Session Audio Recording, November 13, 2013: Client discusses how she puts aside her personal needs for the needs of others. Client places an enormous amount of pressure on herself and bottles up all her pain instead of letting it out.</t>
  </si>
  <si>
    <t>Client "S" Therapy Session Audio Recording, April 15, 2013: Client discusses her mother and how she desires her own life and identity separate from her mother. Client discusses her habit of eating when anxious and stressed.</t>
  </si>
  <si>
    <t>Client "S", Session February 01, 2013: Client is very excited about the prospect of being able to move soon; she already has three job interviews lined up.</t>
  </si>
  <si>
    <t>Client "D", Session February 07, 2013: Client has a lot of discomfort around going to sleep. He believes that talking about his in therapy has produced some of the odd dreams he has had recently. He continuously tries to put a time frame on when he will be over these anxieties about falling asleep.</t>
  </si>
  <si>
    <t>Client "B", Session December 17, 2012: Client talks about a close friend of hers, whom she believes is in need of professional help for his abusive behaviors towards his girlfriend; behaviors including rape, emotional, and other physical abuse. She feels angry, betrayed and hurt by her friend's behaviors.</t>
  </si>
  <si>
    <t>Client "LJ", Session July 25, 2013: Client discusses his childhood and all the psychiatrists he has seen over the years.</t>
  </si>
  <si>
    <t>Client "S", Therapy Session Audio Recording, January 22, 2014: Client discusses the fact that she believes love is 'performance-driven'- love is only given in accordance with how well the person succeeds. Client realizes that she believes many aspects of life are 'performance-driven;' such as self-esteem.</t>
  </si>
  <si>
    <t>Client "Ju", Session March 25, 2014: Client talks about work situations and professionalism.</t>
  </si>
  <si>
    <t>Client "Ma", Session June 14, 2013: Client discusses how she feels about her current place of employment and her issue with remembering things that happened before her ECT.</t>
  </si>
  <si>
    <t>Client "Ma", Session April 30, 2014: Client discusses wanting to self-injure recently, which is something she hasn't felt in a couple of months. Client discusses her family relations and how she feels about having children who might have the same issues as she.</t>
  </si>
  <si>
    <t>Client "AP", Session 30: December 07, 2012: Client is feeling dramatically better today than yesterday. There has been a shift in his emotions and behavior management, but he is unclear as to why or what causes this change.</t>
  </si>
  <si>
    <t>Client "L" Therapy Session Audio Recording, February 26, 2014: Client discusses his sadness over his wife's recent hospitalization. Client discusses the trust he places in his therapist and how it makes him feel safe during this difficult time.</t>
  </si>
  <si>
    <t>Client "L", Session November 5, 2012 B: Client expresses annoyance about her daughter, talks about a movie in theaters.</t>
  </si>
  <si>
    <t>Client "Ju", Session January 15, 2013: Client discusses experiences with racism in friendships.</t>
  </si>
  <si>
    <t>Client "Ma", Session January 14, 2014: Client discusses PhD educations and the possibility of having children.</t>
  </si>
  <si>
    <t>Client "K", Session February 17, 2014: Client discusses their difficult relationship with their mother and family.</t>
  </si>
  <si>
    <t>Client "A", Session March 27, 2014: Client discusses frustration with their professional life, and their fantasy about some day no longer needing therapy.</t>
  </si>
  <si>
    <t>Client "L" Therapy Session Audio Recording, July 10, 2013: Client discusses his thoughts on a virtuous life is and why one might live this kind of life.</t>
  </si>
  <si>
    <t>Client "RY", Session 33: September 23, 2013: Client discusses her fears about the future of her marriage. Client's husband seems to be taking small steps towards reconciliation, but she doesn't know if he is to be trusted.</t>
  </si>
  <si>
    <t>Client "SJ" Therapy Session Audio Recording, August 22, 2013: Clients discusses a recent family trip they took and the issues they had with certain family members during that trip.</t>
  </si>
  <si>
    <t>Client "LJ", Session May 30, 2013: Client discusses his sexual awakening in high school and college.</t>
  </si>
  <si>
    <t>Client "SRH" Therapy Session Audio Recording, November 21, 2013: Client discusses the anxiety she felt when her girlfriend's flight got cancelled. Client discusses the boredom she feels in her current relationship and the hope that it will get better when she's back in school.</t>
  </si>
  <si>
    <t>Client "M" Session February 07, 2014: Client discusses an recent moment in which his moral principles were questioned, and one in which he was taken advantage of and left to feel vulnerable.</t>
  </si>
  <si>
    <t>Client "A", Session March 25, 2014: Client discusses hoping that the therapist enjoys their sessions.</t>
  </si>
  <si>
    <t>Client "Ma", Session May 7, 2013: Client discusses her thyroid issues, feels anxious about her relationship with her therapist, talks about her need to feel in control in relationships.</t>
  </si>
  <si>
    <t>Client "S", Session April 01, 2013: Client is annoyed that he is being placed in family drama when he is informed that his father is refusing to pay for his sister's wedding. His father's lack of communication is having a detrimental affect on the family. Parents' divorce unearthing lingering issues with both his mother and father.</t>
  </si>
  <si>
    <t>Client "JJ" Therapy Session Audio Recording, May 07 2013: Clients discuss a better week in their relationship and how spending more time together helps. Client discusses how she used to fight with her parents a lot and her boyfriend discusses his need for space.</t>
  </si>
  <si>
    <t>Client "R", Session June 03, 2013: Client discusses her separation anxiety when it comes to friends and lovers, and how she wants to be in control of these relationships.</t>
  </si>
  <si>
    <t>Client "Ma", Session March 03, 2014: Client discusses a recent hospitalization.</t>
  </si>
  <si>
    <t>Client "RY", Session 7: April 15, 2013: Client and therapist discuss how her childhood trauma relates to her marital issues, her ambivalence about what to do in her marriage, and her anxiety.</t>
  </si>
  <si>
    <t>Client "J", Session December 17, 2013: Client discusses a vacation he recently went on and how angry he was throughout the trip. Client discusses some stressful dealings at work.</t>
  </si>
  <si>
    <t>Client "Ma", Session April 29, 2014: Client discusses sexism and the complexities of characters in the popular television show, 'Mad Men.'</t>
  </si>
  <si>
    <t>Client "AP", Session 79: May 09, 2013: Client is in limbo over how to end his current relationship. Client details his nightly escapades and is surprised that women want to be with him.</t>
  </si>
  <si>
    <t>Client "AP", Session 24: November 21, 2012: Client is proud of his less compulsive behavior with the woman he is currently dating. He normally needs constant validation, but he has managed to go a few days without persistently contacting her. He is trying to not take it personally when people don't get back to him immediately when he calls, emails, or texts them.</t>
  </si>
  <si>
    <t>Client "S" Therapy Session Audio Recording, November 12, 2012: Client discusses her difficulty in accepting compliments and praise, and is always worried of disappointing someone who has high hopes for her.</t>
  </si>
  <si>
    <t>Client "Ju", Session April 9, 2013: Client talks about work, technology in the work environment.</t>
  </si>
  <si>
    <t>Client "AP", Session 181: March 19, 2014: Client discusses his relationship with a possible romantic interest, his professional accomplishments, and the possibility of moving.</t>
  </si>
  <si>
    <t>Client "A", Session October 17, 2013: Client discusses husband's desire for a divorce, and the overall state of her marriage.</t>
  </si>
  <si>
    <t>Client "R" Session March 11, 2013 A: Client is starting a food journal to try and keep track of her daily caloric intake in an attempt to lose weight.</t>
  </si>
  <si>
    <t>Client "J", Session February 08, 2013: Client talks about issues revolving around work. He also describes himself as having been a 'bad kid', and that is why his family doesn't really care for him.</t>
  </si>
  <si>
    <t>Client "SRH" Therapy Session Audio Recording, January 16, 2014: Client discusses her anxiety issues and if she should go visit a clinic to get medication for it. Client discusses how great her relationship is going and how good she feels about life at the moment.</t>
  </si>
  <si>
    <t>Client "YM", Session September 03, 2013: Client discusses anger and disappointment over sister's drug habits; especially since they remind the client of their mother's drug problems. Client also discusses the possibility of starting rolling skating.</t>
  </si>
  <si>
    <t>Client "G", Session May 28, 2013: Client discusses his relationship with members of his family. Client discusses his mishaps in dating and talking to women.</t>
  </si>
  <si>
    <t>Client "M", Session June 20, 2014: Client discusses moving. Client also discusses trying to expand beyond his comfort zone.</t>
  </si>
  <si>
    <t>Client "AP", Session 34: December 17, 2012: Client discusses a recent family party and the feelings it uncovered about the death of his father. Client discusses issues with his current relationship.</t>
  </si>
  <si>
    <t>Client "J" Session January 12, 2014: Client discusses a recent death in the family and how it's brought everyone together. Client discusses how she's working through balancing her work with her family, especially the alone time she spends with her husband.</t>
  </si>
  <si>
    <t>Client "SM", Session March 4, 2013: Client discusses house-hunting, his math class' instructors and a negative experience with one of them.</t>
  </si>
  <si>
    <t>Client "D", Session May 20, 2013: Client discusses the guilt he feels over not being as in touch with family members as he should be.</t>
  </si>
  <si>
    <t>Client "C" Therapy Session Audio Recording, September 11, 2012: Client just got engaged and is anxious about setting the invite list. Client only wants people he likes at his wedding and feels this will alienate his parents and other family members.</t>
  </si>
  <si>
    <t>Client "AP", Session 134: October 16, 2013: Client discusses the stress he feels over finding a job that will help him pay off his debt. Client discusses how the death of his father had a major impact on his path in life.</t>
  </si>
  <si>
    <t>Client "S", Session January 27, 2014: Client discusses her continued roommate struggles and how she wants to move out or get a new roommate.</t>
  </si>
  <si>
    <t>Client "J", Session April 21, 2014: Client discusses issues in her mother's life and how her parent's have a dysfunctional relationship. Client discusses how things are progressing with her boyfriend, and how she thinks she may have messed up her last relationship.</t>
  </si>
  <si>
    <t>Client "Ma", Session April 16, 2013: Client has been overwhelmed by reminiscing about anything she believes she has ever done wrong. She feels like a terrible person and worries that no one (including the therapist) will want to listen to her problems.</t>
  </si>
  <si>
    <t>Client "JJ" Therapy Session Audio Recording, May 14, 2013: Clients discuss how they're doing better in communicating and not fighting as much. The female client discusses a past relationship and trust issues she had after it ended. Client discusses how their happy that there are not trust issues in this relationship.</t>
  </si>
  <si>
    <t>Client "J", Session January 11, 2013: Client talks about the new family life schedule and adjusting to slumps in breast feeding. She has been feeling more sad recently than her normal worried feeling.</t>
  </si>
  <si>
    <t>Client "G", Session June 21, 2013: Client discusses some past birthdays that were not enjoyable to him. Client discusses his rapport with several different women he knows.</t>
  </si>
  <si>
    <t>Client "M", Session December 19, 2012: Client talks about wanting to recover her health, her spouse's support, and her parents' high opinion of her.</t>
  </si>
  <si>
    <t>Client "A", Session April 09, 2013: Client is frustrated that he knows what causes his fits of anxiety, but cannot seem to stop them when he senses one coming on.</t>
  </si>
  <si>
    <t>Client "G", Session April 12, 2013: Client talks about feeling betrayed and disappointed in past and current relationships.</t>
  </si>
  <si>
    <t>Client "AP", Session 27: November 30, 2012: Client recently made progress on some mundane tasks that he's been avoiding for years. He feels good about having found the motivation to complete these goals.</t>
  </si>
  <si>
    <t>Client "J", Session March 11, 2014: Client discusses ongoing financial and communication issues.</t>
  </si>
  <si>
    <t>Client "A", Session February 01, 2013: Client feels a sense of disempowerment when he has to pay for what he sees as someone else's mistakes; this situation includes, but is not limited to, having to pay for part of a session that he didn't show up to even though he thought he notified the therapist far enough in advance.</t>
  </si>
  <si>
    <t>Client "ML" Therapy Session Audio Recording, February 06, 2013: Client discusses his wife's return home from the hospital and how her treatment is going. Client is frustrated and confused on how to assist his wife without running and planning her life.</t>
  </si>
  <si>
    <t>Client "A", Session March 13, 2013: Client and therapist discuss whether or not he has a nihilistic outlook.</t>
  </si>
  <si>
    <t>Client "J", Session March 10, 2014: Client discusses a party she went to with her colleagues and how the event led to her being very angry and getting into a fight with her boyfriend. Client is worried that this man does not satisfy her needs and that she's stringing him along just to have someone near.</t>
  </si>
  <si>
    <t>Client "AP", Session 74: April 26, 2013: Client talks about the woman he is seeing, past relationships, commitment issues, and having children.</t>
  </si>
  <si>
    <t>Client "AP", Session 63: March 25, 2013: Client talks about the woman he is dating, past romantic relationships, and how their histories are impacting this relationship.</t>
  </si>
  <si>
    <t>Client "SM", Session April 07, 2014: Client discusses difficulties at work, arguments with his wife, and discussing current affairs with his mother.</t>
  </si>
  <si>
    <t>Client "AP", Session 180: March 13, 2014: Client discusses his dating life, his difficulties with real estate, and the constant thought that so much of his life has already passed by.</t>
  </si>
  <si>
    <t>Client "RY", Session 36: October 23, 2013: Client discusses the new progress in her relationships and how they are working towards being more comfortable with each other. Client discusses her levels of trust and whether or not she will ever be able to put aside her husband's indiscretions.</t>
  </si>
  <si>
    <t>Client "S" Therapy Session Audio Recording, March 24, 2014: Client discusses a friend who purchased her a ticket for her to fly abroad and she is unsure how she feels about it. Client discusses a program she got into for school, but is worried she can't pay for it.</t>
  </si>
  <si>
    <t>Client "M", Session December 18, 2012: Client discusses balancing her relationship with her spouse and her relationship with her parents, adoption, her health, and her spouse's stubbornness.</t>
  </si>
  <si>
    <t>Client "K" Session January 28, 2014: Client is under extreme levels of stress due to her boyfriend's heart condition and current hospitalization. Client discuses her anxiety over the situation and how she hopes to alleviate some stress.</t>
  </si>
  <si>
    <t>Client "Ju", Session May 20, 2013: Client is very worried about a friend recovery from surgery, especially considering the friend's recurring health issues. Client also discusses recent conflict with her roommate.</t>
  </si>
  <si>
    <t>Client "B", Session June 17, 2013: Client discusses a religious retreat she went on, and her continuing sadness over the way her parents treat her and view their relationship.</t>
  </si>
  <si>
    <t>Client "J", Session August 06, 2013: Client discusses his extreme lack of funds to pay his bills. Client discusses an argument he had with his girlfriend over a sexual encounter.</t>
  </si>
  <si>
    <t>Client "Ma", Session May 10, 2013: Client talks about her relationship with her mother in childhood and at present. Client feels her mother is afraid she will reject her.</t>
  </si>
  <si>
    <t>Client "S", Session December 21, 2012: Client has been feeling somewhat sad and lonely, especially since breaking up with her boyfriend so near the holidays.</t>
  </si>
  <si>
    <t>Client "AP", Session 123: September 13, 2013: Client discusses his thoughts on social media as a community and how he feels it is ruining real friendships and communities. Client discusses his antisocial behavior and his interactions with friends and women.</t>
  </si>
  <si>
    <t>Client "D", Session April 18, 2014: Client discusses his girlfriend's upcoming trip and how things will be while she's away. Client discusses the dynamics in his 'love' relationships.</t>
  </si>
  <si>
    <t>Client "M" Session April 30, 2014: Client received a letter back from his father and he discusses what is in the letter and how he feels about it. Client discusses changing his therapy sessions to every other week.</t>
  </si>
  <si>
    <t>Client "K", Session August 12, 2013: Client discusses an upcoming wedding she's attending. Client discusses how she feels like life is passing her by and this makes her anxious and upset.</t>
  </si>
  <si>
    <t>Client "K", Session December 13, 2012: Client is feeling unsure about what she should do with her future; she worries about repaying her student loans.</t>
  </si>
  <si>
    <t>Client "Ma", Session March 08, 2013: Client's suicidal thoughts have come back strongly. Previously, she had reported a significant decline in her feelings of suicidality while attending ECT treatment.</t>
  </si>
  <si>
    <t>Client "R", Session January 03, 2014: Client discusses the fear of being abandoned by their therapist, and possible inappropriate feelings for them.</t>
  </si>
  <si>
    <t>Client "D" Therapy Session Audio Recording, April 08, 2014: Client discusses the relationship work that she and her husband are doing by each working on their own issues.</t>
  </si>
  <si>
    <t>Client "S" Therapy Session Audio Recording, December 04, 2013: Client discusses her antisocial behavior around certain people with whom she wants to be friends, but can never say the right thing.</t>
  </si>
  <si>
    <t>Client "R" Session March 26, 2013: Client is experiencing panic and depression that are making it difficult for her to live her regular life. Client also discusses her medications, her job and her boyfriend.</t>
  </si>
  <si>
    <t>Client "L" Therapy Session Audio Recording, January 15, 2014: Client discusses an embarrassing memory from his childhood that he hasn't told anyone before. Client discusses the trust issues in his marriage.</t>
  </si>
  <si>
    <t>Client "AP", Session 76: May 02, 2013: Client is stressed over money and discusses a venture to make some capital and possibly move away from his current home.</t>
  </si>
  <si>
    <t>Client "JM", Session 3, October 14, 2013: Client discusses ongoing shoulder pain, effectiveness of REBT, irrational beliefs and thought patterns and how to correct them. Client and therapist review her homework from previous sessions.</t>
  </si>
  <si>
    <t>Client "S" Therapy Session Audio Recording, April 09, 2014: Client discusses feeling overwhelmed by the amount of work she needs to complete for a class that doesn't seem worthwhile. Client discusses the difficulties she is having in choosing who to date.</t>
  </si>
  <si>
    <t>Client "J", Session March 24, 2014: Client discusses the differences between the two men she is dating and which one she would rather be with more. Client is trying to decide what she wants in a relationship and which man best serves her needs.</t>
  </si>
  <si>
    <t>Client "DF", Session April 22, 2013: Client discusses the effects of his parent's divorce. Client also discusses his negative relationship with his father, and how his mother badly reacted to the divorce.</t>
  </si>
  <si>
    <t>Client "S" Therapy Session Audio Recording, March 18, 2013: Client doesn't interact with others in a way that is conducive to 'getting to know her'. She wants to be accepted, but she is very closed-off and unresponsive in most social situations. It is hard for her to emotionally connect to others, even with her boyfriend.</t>
  </si>
  <si>
    <t>Client "SR", Session April 29, 2014: Client discusses ongoing marital conflict, and being the 'bad guy' by letting spouse know that their marriage must change.</t>
  </si>
  <si>
    <t>Client "JJ", Therapy Session Audio Recording August 27, 2013: Client discusses wanting to respond differently to conflicts; in a positive, rather than negative manner. Client also discusses feeling frustrated with her romantic partner's lack of responsibility and knowledge of basic day-to-day tasks.</t>
  </si>
  <si>
    <t>Client "J", Session October 11, 2012: Client's work often makes him feel like he's incapable simply because of the nature of his occupation.</t>
  </si>
  <si>
    <t>Client "CRT" Therapy Session Audio Recording, January 04, 2013: Client discusses how she has inherited traits from her mother, such as a need for control and anxiety, which has a negative impact on her current romantic relationship.</t>
  </si>
  <si>
    <t>Client "S" Therapy Session Audio Recording, December 17, 2012: Client discusses her childhood and the difficult relationship she has and had with her father. Client was excluded from many things growing up and this has had a negative impact on how she perceives the world as an adult.</t>
  </si>
  <si>
    <t>Client "M", Session August 06, 2013: Client discusses the sadness she feels over the fact that she is aging and has missed out on a lot in life due to her physical and genetic issues.</t>
  </si>
  <si>
    <t>Client "SZ" Session January 05, 2014: Client discusses the uptake in her anxiety lately, which mainly has to due with all the planning involved in her upcoming wedding.</t>
  </si>
  <si>
    <t>Client "Ma", Session January 07, 2014: Client discusses feeling in touch with family members recently, but also feeling very sad and anxious. Client no longer feels secure in her relationship with her husband, or anyone else, and believes her future is quite bleak if she continues to feel this way.</t>
  </si>
  <si>
    <t>Client "S" Therapy Session Audio Recording, January 16, 2013: Client discusses her attraction to the "darkness", regarding the people and life to which she is attracted.</t>
  </si>
  <si>
    <t>Client "LM", Session June 25, 2014: Client discusses issues in her family; such as: teen pregnancies, drug use, physical abuse, and general family conflict.</t>
  </si>
  <si>
    <t>Client "B", Session March 28. 2013: Client discusses guilt, dating, self-confidence, and having consciously changed in the last 10 years.</t>
  </si>
  <si>
    <t>Client "B", Session March 25, 2013: Client expresses concern about job performance, dissatisfaction over therapy progress, parents' unrealistic academic standards for her.</t>
  </si>
  <si>
    <t>Client "R" Session February 11, 2013: Client stopped taking her birth control pills, and within a week her suicidal ideations had drastically intensified.</t>
  </si>
  <si>
    <t>Client "S" Therapy Session Audio Recording, October 16, 2013: Client discusses her current relationships and the differences between the men she is currently seeing.</t>
  </si>
  <si>
    <t>Client "S" Therapy Session Audio Recording, February 18, 2013: Client talks about her religious identity and her need for approval.</t>
  </si>
  <si>
    <t>Client "R", Session July 02, 2014: Client discusses the difficulty of being a pet owner. Client also discusses the schedule at her current work assignment.</t>
  </si>
  <si>
    <t>Jon Carlson Interview SM</t>
  </si>
  <si>
    <t>Client "B", Session June 5, 2013: Client talks about a friend's recent rape, revisits her own rape and past abusive relationships and the feelings those memories arouse.</t>
  </si>
  <si>
    <t>Client "S" Therapy Session Audio Recording, May 22, 2013: Client discusses her plans to create her own standards of approval instead of focusing on what her boyfriend thinks. Client discusses whether or not she is manipulative in relationships.</t>
  </si>
  <si>
    <t>Client "K" Session December 11, 2012: Client has been doing very well; she is feeling happy and successful.</t>
  </si>
  <si>
    <t>Client "YM", Session October 15, 2013: Client discusses her anxiety about public speaking, client and therapist name her self-doubt to make it easier for her to discuss it.</t>
  </si>
  <si>
    <t>Client "SR", Session November 21, 2013: Client discusses being unhappy in their marriage, loneliness, and struggling with a lack of intimacy.</t>
  </si>
  <si>
    <t>Client "E", Session January 24, 2013: Client and her fiance are actively trying to relocate; it's just a matter of finding new jobs and then they will move. She is finding the job search and waiting to be more stressful than she anticipated.</t>
  </si>
  <si>
    <t>Client "S" Therapy Session Audio Recording, October 17, 2012: Client is scared that she has upset her relationship with her boyfriend and feels uncomfortable when friends or loved ones are angry or upset with her.</t>
  </si>
  <si>
    <t>Client "RY", Session 46: January 27, 2014: Client discusses the anger and frustration she feels towards her husband, and how everything they've been working towards has fallen apart.</t>
  </si>
  <si>
    <t>Client "K" Session February 19, 2014: Client's boyfriend is home from the hospital and she is trying to learn how to be his nurse. Client discusses trying to balance everything, while also feeling the need to be strong for everyone else who is affected by this situation.</t>
  </si>
  <si>
    <t>Client "E", Session November 28, 2012: Client has a hard time being assertive when she second guesses herself in conflict. She recounts how she was often bullied and teased as a teenager, so she has learned not to fight against it in adulthood.</t>
  </si>
  <si>
    <t>Client "S" Therapy Session Audio Recording, January 23, 2013: Client discusses the possibility to starting couples therapy and the issue with inadequacy in her relationship.</t>
  </si>
  <si>
    <t>Client "S" Therapy Session Audio Recording, September 20, 2013: Client discusses her past and current feelings about hierarchy and how one's economic status impacts her feeling about that person.</t>
  </si>
  <si>
    <t>Client "Ju", Session April 2, 2013: Client discusses dissatisfaction with work environment and management practices.</t>
  </si>
  <si>
    <t>Client "R", Session June 23, 2014: Client discusses the stress of finding a new apartment, and making her new temp agency job schedule successful.</t>
  </si>
  <si>
    <t>Client "J", Session January 15, 2013: Client has recently been prescribed Adderall for his inattentiveness, anxiety, and depression. His ex-wife is now having their six year old son tested for ADHD; therapist and client disagree about the likelihood of the child having the disorder.</t>
  </si>
  <si>
    <t>Client "L" Therapy Session Audio Recording, May 29, 2013: Client discusses how he is handling his wife's treatment and his feelings of anger and sadness. Client discusses his wife's past infidelity and whether or not he has come to terms with it.</t>
  </si>
  <si>
    <t>Client "Ma", Session May 1, 2013: Client admits she has trouble in therapy unless she is in crisis, discusses her feelings of guilt and how she hides her feelings.</t>
  </si>
  <si>
    <t>Client "A", Session January 09, 2014: Client discusses feeling inhibited by therapy and feeling like therapy is going nowhere.</t>
  </si>
  <si>
    <t>Client "J", Session July 16, 2013: Client discusses the recent hospitalization he had due to a flare up in his Crohn's disease.</t>
  </si>
  <si>
    <t>Client "S" Therapy Session Audio Recording, March 20, 2013: Client talks about not putting much energy into her relationship with her boyfriend. The fact that they seem to be "coasting" with little to no effort works for him, but not for her.</t>
  </si>
  <si>
    <t>Client "J", Session June 04, 2013: Client discusses his heightened levels of anxiety which has led to issues in the bedroom with his girlfriend.</t>
  </si>
  <si>
    <t>Client "Ju", Session July 09, 2013: Client discusses relationship-related PTSD and being multiracial.</t>
  </si>
  <si>
    <t>Client "S" Therapy Session Audio Recording, November 06, 2013: Client discusses the issues she is having with the current man she is dating, as she feels disconnected from him. Client discusses her sexual needs and desires, and how each of her recent boyfriends have fulfilled them.</t>
  </si>
  <si>
    <t>Client "R", Session February 27, 2014: Client discusses some visiting scholars on campus and how their interests work with her interests. Client discusses how certain types of music really cling to her feelings and thoughts.</t>
  </si>
  <si>
    <t>Client "Ma", Session February 24, 2014: Client discusses feeling suicidal and the therapist advises her that he wishes her to go to the hospital for awhile, in hopes that she will feel better in the evening and no longer want to kill herself.</t>
  </si>
  <si>
    <t>Client "S", Session June 17, 2013: Client discusses helping her mother out one day and the annoyance she feels towards her brother and mother about their current living situation. Client discusses her plans to start anew, whether that means moving far away or just to a new apartment.</t>
  </si>
  <si>
    <t>Client "K" Session March 26, 2014: Client discusses feeling pent up inside with anxiety, panic, and anger, but not feeling able to vent to her boyfriend about it because he's sick. Client is looking to music as a coping mechanism for her stress and anxiety.</t>
  </si>
  <si>
    <t>Client "G", Session June 10, 2013: Client discusses how he stays close to his cousins and some upcoming summer vacations.</t>
  </si>
  <si>
    <t>Client "D", Session May 23, 2013: Client discusses the anxiety he feels over performing well in his therapist sessions. Client wants to make sure that he is getting something out of his investment.</t>
  </si>
  <si>
    <t>Client "B", Session January 24, 2013: Client has always wanted to explore her creative side more, so she is starting music lessons. Her parents always thought it was a waster of time, but she is done trying to prove her worth and value to them now.</t>
  </si>
  <si>
    <t>Client "Ju", Session February 20, 2013: Client expresses anxiety about returning to work and discusses job dissatisfaction.</t>
  </si>
  <si>
    <t>Client "K", Session February 11, 2014: Client discusses feeling anxious and overwhelmed by work demands.</t>
  </si>
  <si>
    <t>Client "R", Session May 16, 2013: Client discusses a vivid dream and a fantasy she had involving her therapist. Client discusses her current relationship with her therapist and what role he plays in her therapy.</t>
  </si>
  <si>
    <t>Client "AP", Session 161: January 09, 2014: Client discusses going out to dinner with friends and not being able to pay, because he has no cash. Client is very stressed over his lack of funds and tries to think of ways to get money.</t>
  </si>
  <si>
    <t>Client "R" Session March 10, 2014: Client discusses her irregular sleep behavior and how it negatively impacts her day. Client discusses how her extra-curricular activities are expanding her social life, but it can be frustrating to her when people don't follow the rules.</t>
  </si>
  <si>
    <t>Client "Ju", Session March 18, 2014: Client discusses her continued bad week, which is exacerbated for her work environment. Client has been given more responsibility, but not a raise, and she feels overworked at her position.</t>
  </si>
  <si>
    <t>Client "A", Session February 25, 2014: Client's wife is traveling for the first time since having their child and he is worried about how it will work out. Client discusses his fear of failing his wife and child.</t>
  </si>
  <si>
    <t>Client "Ju", Session November 21, 2012: Client talks about her struggles with racial and sexual identity.</t>
  </si>
  <si>
    <t>Client "K", Session November 19, 2012: Client feels stuck in general; she keeps becoming easily distracted and losing track of her thoughts.</t>
  </si>
  <si>
    <t>Client "Ma", Session January 10, 2014: Client discusses relationship tension with spouse.</t>
  </si>
  <si>
    <t>Client "AP", Session 69: April 11, 2013: Client is working through the issues he has with his current girlfriend and past partners, figuring out what went wrong and how he needs to communicate correctly his needs and desires.</t>
  </si>
  <si>
    <t>Client "MK", Session September 26, 2013: Client discusses the need to plan in order to avoid the anxiety of not being able to control events in his life. Client also discusses having learned as a child to worry from his mother's behavior.</t>
  </si>
  <si>
    <t>Client "AP", Session 166: January 23, 2014: Client discusses some pain he's feeling and brings up his hypochondria. Client discusses his youthful sexual experiences and his feelings on sex currently.</t>
  </si>
  <si>
    <t>Client "C" Therapy Session Audio Recording, August 14, 2012: Client has an unhealthy relationship with food that stems back to being obese as a child.</t>
  </si>
  <si>
    <t>Client "AP", Session 129: October 02, 2013: Client discusses his continued issues with money and the embarrassment he feels that his uncle is helping out his mother with her car payments. Client discusses his plans to get another degree.</t>
  </si>
  <si>
    <t>Client "K", Session January 17, 2013: Client discusses her anxiety when telling stories and her difficulty rediscovering herself after college.</t>
  </si>
  <si>
    <t>Client "S", Session August 06, 2013: Client discusses the strained relationship she has with her brother. Her brother has undiagnosed mental issues and they have hurt their relationship.</t>
  </si>
  <si>
    <t>Client "RY", Session 57: April 07, 2014: Client discusses difficult relationship with her in laws, and the fact that they did nothing to treat their son's, her husband's, psychological issues as he grew up.</t>
  </si>
  <si>
    <t>Client "S" Therapy Session Audio Recording, December 02, 2013: Client discusses a fight she had with a colleague and how she feels slighted by other people. Client discusses her issues with power in relationships and how she feels unworthy around those who are more educated than her.</t>
  </si>
  <si>
    <t>Client "Kthl" Therapy Session Audio Recording, September 27, 2013: Client discusses her unhealthy history with eating and body weight. The client's mother put her on diets from a young age and this has had a negative impact on her self image and eating behavior as an adult.</t>
  </si>
  <si>
    <t>Client "L" Therapy Session Audio Recording, September 25, 2013: Client discusses his new couples therapist and some of the issues in his sex life.</t>
  </si>
  <si>
    <t>Client "S" Therapy Session Audio Recording, October 23, 2013: Client discusses her combative nature when dealing with certain authority figures. Client compares and contrasts the two men she is dating.</t>
  </si>
  <si>
    <t>Client "R", Session March 13, 2014: Client discusses dreams, boundaries, and client/therapist relationships.</t>
  </si>
  <si>
    <t>Client "J", Session March 8, 2013: Client expresses anxiety at dating, issues with spouse, curiosity about therapist's thoughts.</t>
  </si>
  <si>
    <t>Jon Carlson Interview KB</t>
  </si>
  <si>
    <t>Client "L" Therapy Session Audio Recording, October 23, 2013: Client discusses some good news about his upcoming dissertation defense, but is still unsure of the current state of his marriage.</t>
  </si>
  <si>
    <t>Client "AP", Session 116: August 29, 2013: Client discusses the realization that he is getting older and is starting to worry and what his future will bring.</t>
  </si>
  <si>
    <t>Client "J", Session January 13, 2014: Client discusses her excitement over passing a big exam, which was dampened by her on-again, off-again boyfriend. Client finally heard from him, but is not sure he is as invested in this relationship as she.</t>
  </si>
  <si>
    <t>Client "A", Session March 13, 2014: Client discusses the continuing battle he's having with his wife over their roles in the relationship. She makes the money, while he takes care of the baby, but the situation is tenuous and no one is receiving the gratitude they desire.</t>
  </si>
  <si>
    <t>Client "Ma", Session November 16, 2012: Client discusses her options with the therapist after recently being hospitalized. She is fearful of losing the client-therapist relationship they have formed. She wants to put more focus on her self-injurious behavior.</t>
  </si>
  <si>
    <t>Client "A", Session April 24, 2014: Client discusses passive aggression and conflict in their relationship.</t>
  </si>
  <si>
    <t>Client "S", Session May 5, 2014: Client discusses friendships and difficulties with an ongoing romantic relationship.</t>
  </si>
  <si>
    <t>Client "JM", Session June 28, 2014: Client discusses feeling manipulated by the married man she is having an affair with. Client is also reminded of feeling manipulated by her father as a child.</t>
  </si>
  <si>
    <t>Client "S" Therapy Session Audio Recording, May 10, 2013: Client discusses her upcoming trip and how she seeks to destroy her relationships with men.</t>
  </si>
  <si>
    <t>Client "RY", Session 42: December 16, 2013: Client discusses her couples therapy sessions and how she feels that therapist sometimes places blame on her for things her husband does wrong. Client discusses how her and her husband are communicating better to work through their relationship.</t>
  </si>
  <si>
    <t>Client "Ma", Session April 22, 2013: Client tries to be more assertive in this session; it makes her feel anxious.</t>
  </si>
  <si>
    <t>Client "M", Session April 16, 2013: Client was proud of how her workplace handled a recent crisis, wishes her physical issues would abate and she could resume a more normal life.</t>
  </si>
  <si>
    <t>Client "Ma", Session December 18, 2012: Client wishes she could learn to be more in control and feel less helpless.</t>
  </si>
  <si>
    <t>Client "A", Session February 13, 2013: Client discusses his social anxieties and perceptions, mainly revolving around his work interactions. He believes it is connected to his feelings of abandonment.</t>
  </si>
  <si>
    <t>Client "A", Session March 8, 2013: Client continues to talk about his falling out with a friend and if he was really to blame.</t>
  </si>
  <si>
    <t>Client "L" Therapy Session Audio Recording, May 15, 2013: Client discusses the anger and hurt he feels towards his wife. Client doesn't trust his wife after her most recent suicide scare and is having difficulty being a good partner in their marriage.</t>
  </si>
  <si>
    <t>Client "M", Session July 17, 2013: Client discusses her medical need to lose weight and the methods she is following. Client discusses how pines for her younger years.</t>
  </si>
  <si>
    <t>Client "R", Session January 06, 2014: Client discusses feelings of attachment, anxiety, and possibly being in love with their therapist.</t>
  </si>
  <si>
    <t>Client "Ma", Session May 9, 2013: Client talks about her ECT and past treatment, as well as her troubled relationship with her father.</t>
  </si>
  <si>
    <t>Client "SM", Session January 21, 2013: Client discusses a current student and then talks about many of the children he grew up with and their goals and interests.</t>
  </si>
  <si>
    <t>Client "BA", Session December 03, 2013: Client discusses how his marriage interacts with his obsessive compulsive disorder and anxiety.</t>
  </si>
  <si>
    <t>Client "D", Session June 03, 2013: Client discusses the relationship he has with his parents and his issues with paying for an overseas trip to a family wedding.</t>
  </si>
  <si>
    <t>Client "JJ" Therapy Session Audio Recording, June 11, 2013: Clients discuss that they're ending their couples therapy and their relationship because it's not working out.</t>
  </si>
  <si>
    <t>Client "Vn" Therapy Session Audio Recording, April 16, 2014: Client is trying to work out a child support schedule with her ex.</t>
  </si>
  <si>
    <t>Client "Kthl", Therapy Session Audio Recording, November 20, 2013: Client discusses feeling guilty for not spending more time with her family. Client also discusses feeling that she has to limit her contact with her mother, and general family, due to the constant negativity.</t>
  </si>
  <si>
    <t>Client "J", Session July 29, 2013: Client discusses a new job that she was hired for. Client discusses her current relationship and her troubles with alcohol.</t>
  </si>
  <si>
    <t>Client "J", Session December 20, 2012: Client feels displaced during holiday season, stressed from work.</t>
  </si>
  <si>
    <t>Client "R", Session February 07, 2014: Client discusses a group meeting she went to and how she likes the idea of starting a meditation practice. Client discusses the idea of having sex with other people, something her husband is on board with.</t>
  </si>
  <si>
    <t>Client "LJ", Session March 24, 2014: Client discusses his recent and past work projects and what he's working on now. Client discusses his past in theater and how he's going to celebrate his anniversary.</t>
  </si>
  <si>
    <t>Client "M" Session February 21, 2014: Client discusses his thrill-seeking behavior and desire to lie to his wife about his whereabouts. Client feels to need to be desired by beautiful women he sees and does what he can to get them to notice him.</t>
  </si>
  <si>
    <t>Client "Ma", Session February 20, 2014: Client discusses vulnerability when communicating with therapist.</t>
  </si>
  <si>
    <t>Client "L" Therapy Session Audio Recording, March 27, 2013: Client discusses the anger he feels towards his wife and how her depression has had a major impact on him. Client discusses trusting the therapist more and if he feels abandoned by his wife.</t>
  </si>
  <si>
    <t>Client "J", Session February 10, 2014: Client discusses the two relationships she is in and the difference between the men. One of the men is more of a father figure and there is a strong sexual desire between them, but he's married and the client is unsure if he will ever leave his wife. The other man seems to be really open and caring, and the client doesn't feel like she deserves this.</t>
  </si>
  <si>
    <t>Client "M" Session February 28, 2014: Client discusses his personal sex life and how his wife can no longer fulfill his needs in the bedroom. Client discusses his thrill-seeking behavior and addictive personality.</t>
  </si>
  <si>
    <t>Client "B", Session March 05, 2014: Client discusses the negative effects of procrastination and being unable to stay on-task.</t>
  </si>
  <si>
    <t>Client "K", Session March 10, 2014: Client discusses feeling inadequate when asked a question and not having an answer. Client discusses her social anxiety and general worry about how others perceive her.</t>
  </si>
  <si>
    <t>Client "J", Session February 04, 2014: Client discusses miscommunication in current relationship due to alcohol use.</t>
  </si>
  <si>
    <t>Client "Ma", Session April 08, 2014: Client discusses meeting up with her friend and how it made her miss school and the topics she used to study. Client discusses cleaning out her closet and her thoughts on daydreams.</t>
  </si>
  <si>
    <t>Client "S" Therapy Session Audio Recording, March 27, 2013: Client discusses an event she attended at her old school and how it made her feel unsuccessful in her career. Client discusses clothing, weight gain, and generally taking care of herself.</t>
  </si>
  <si>
    <t>Client "Ma", Session July 26, 2013: Client discusses their childhood relationship with their parents.</t>
  </si>
  <si>
    <t>Client "A", Session April 24, 2013: Client discusses his propensity to get overly attached to situations that are in the past or that he has no control over.</t>
  </si>
  <si>
    <t>Client "Ma", Session April 28, 2014: Client discusses feelings of anger and not wanting to be angry anymore.</t>
  </si>
  <si>
    <t>Client "Ma", Session June 10, 2013: Client discusses her feelings about religion and church, and the state of her marriage.</t>
  </si>
  <si>
    <t>Client "Ju", Session March 20, 2013: Client is very frustrated with work and her job prospects.</t>
  </si>
  <si>
    <t>Client "R", Session February 03, 2014: Client discusses her thoughts on her therapist's other Clients and whether or not she wants them to need him more than she needs him. Client discusses her grandfather's failing health and a family member who committed suicide.</t>
  </si>
  <si>
    <t>Client "B", Session April 30, 2014: Client discusses being forced into going to her sister's graduation and feeling angry because her parents never came to her graduation. Client discusses some drama going on in her personal life between friends.</t>
  </si>
  <si>
    <t>Client "Ma", Session February 07, 2014: Client discusses the stress associated with the possibility of moving with their spouse.</t>
  </si>
  <si>
    <t>Client "S" Therapy Session Audio Recording, April 30, 2014: Client discusses her lack of desire to go to class and therapy, as she just wants to work and not have to deal with outside distractions. Client and therapist discuss how things will work during the therapist's maternity leave.</t>
  </si>
  <si>
    <t>Client "SZ" Session January 11, 2013: Client fears disappointing her mother if she cannot complete her dissertation this year. She feels lonely and disliked sometimes; she is one of the only single, childless females in her social circle and often feels left out. She is embarrassed about her obsessive-compulsive behaviors and realizes that she is the one who has withdrawn from many of her relationships because of it.</t>
  </si>
  <si>
    <t>Client "R", Session January 24, 2013: Client discusses her career work, and her health.</t>
  </si>
  <si>
    <t>Client "M", Session June 04, 2013: Client talks about her spouse and their difficult relationship with his family, especially his relationship with his mother.</t>
  </si>
  <si>
    <t>Client "L", Session January 7, 2013: Client discusses daughter's lesbian relationship, and her frustration at her daughter's and cousin's substance abuse.</t>
  </si>
  <si>
    <t>Client "SZ" Session April 01, 2014: Client discusses the ever-present issue of trying to have a work-life balance, where she can give her attention to her work, but also give attention to her fiancee.</t>
  </si>
  <si>
    <t>Client "Kthl" Therapy Session Audio Recording, December 11, 2013: Client discusses the perceptions she has about how people view her and how she hates to see herself in photographs. Client discusses how frustrated she gets by her mother's comments about her and other people.</t>
  </si>
  <si>
    <t>Client "J", Session January 17, 2013: Client discusses ongoing financial difficulties, and relationships.</t>
  </si>
  <si>
    <t>Client "Ma", Session April 04, 2014: Client discusses different biblical and literature stories.</t>
  </si>
  <si>
    <t>Client "Ma", Session January 17, 2014: Client discusses the frustration of dealing with children and their parents, and the vulnerability that comes with being in therapy.</t>
  </si>
  <si>
    <t>Client "S", Session June 28, 2013: Client is apprehensive about moving in with her brother and concerned about his maturity, is very frustrated by her financial issues.</t>
  </si>
  <si>
    <t>Client "Ju", Session July 30, 2014: Client discusses difficulty dealing with a past relationship breakup and ex.</t>
  </si>
  <si>
    <t>Client "M" Session January 31, 2014: Client discusses his obsession with focusing on fantasies and imagining a different world than the one he lives in. Client discusses a letter he wrote to his father and how he channels his desire for approval into the world of social media.</t>
  </si>
  <si>
    <t>Client "Ma", Session April 01, 2013: Client has a hard time handling the pressure of being cared for by her family and friends. It feels like a tremendous pressure instead of a relief.</t>
  </si>
  <si>
    <t>Client "R", Session June 18, 2013: Client discusses the role of therapy and Client/therapist roles.</t>
  </si>
  <si>
    <t>Client "J" Therapy Session Audio Recording, July 23, 2013: Client discusses the issues in her current relationship and how they compare to the other relationships that influence her.</t>
  </si>
  <si>
    <t>Client "SZ" Session May 6, 2013: Client discusses her recent engagement, eating rituals, and eating habits.</t>
  </si>
  <si>
    <t>Client "Vn" Therapy Session Audio Recording, April 02, 2014: Client discusses the current state of her divorce and how things are progressing. Client knows she did the right thing in leaving her husband, but wishes it wasn't so difficult financially. Client is worried about explaining the situation to her family.</t>
  </si>
  <si>
    <t>Client "SR", Session April 22, 2014: Client discusses the possibility of divorce, and no longer doing things because they are expected of him.</t>
  </si>
  <si>
    <t>Client "S" Therapy Session Audio Recording, September 11, 2013: Client discusses her feeling of inadequacy when compared to her boyfriend. Client feels like she doesn't have an identity when compared to him, but cannot seem to break up with him.</t>
  </si>
  <si>
    <t>Client "SZ" Session November 30, 2012: Client has been working hard on not washing her hands compulsively, or for as long as usual. She noticed with some recent social stressors, she was hand-washing much more than usual to compensate for her social anxiety. She discusses how her family often neglects to acknowledge her achievements.</t>
  </si>
  <si>
    <t>Client "AP", Session 169: February 07, 2014: Client discusses his strained relationship with his family and how it has made him realize how much he needs to move away. Client discusses his plans for therapy while he's abroad.</t>
  </si>
  <si>
    <t>Client "S", Therapy Session Audio Recording, September 13, 2012: Client discusses feeling pressured to take a full-time job, over her preferred part-time job. Client also discusses the uncertainty of her relationship status.</t>
  </si>
  <si>
    <t>Client "SR", Session April 15, 2014: Client discusses the impact of sharing their true feelings towards their marriage and the possibility of separating from their spouse.</t>
  </si>
  <si>
    <t>Client "G", Session March 13, 2014: Client discusses spending the evening with a woman and what aspects he likes most from foreplay and sex. Client enjoys having the ability to arouse a woman and have her want him, even if they do not have sex. Client is more interested in having a woman under his physical control and desire than the actual act of sex.</t>
  </si>
  <si>
    <t>Client "Ma", Session March 25, 2014: Client discusses suicide and her own opinions on mortality.</t>
  </si>
  <si>
    <t>Client "K", Session February 05, 2014: Client discusses the difficulties of teaching others new tasks.</t>
  </si>
  <si>
    <t>Client "Ma", Session December 05, 2012: Client has been having self-injurious fantasies about slitting her wrists or throat and bleeding out.</t>
  </si>
  <si>
    <t>Client "AP", Session 127: September 26, 2013: Client discusses his continual issues with money and how his upbringing may have contributed to his relationship with money.</t>
  </si>
  <si>
    <t>Client "R" Session March 11, 2013 B: Client and therapist go over easy, nutritional items that can help client manage her weight better.</t>
  </si>
  <si>
    <t>Client "Vn" Therapy Session Audio Recording, May 07, 2014: Client discusses how her trip home went really well and helped her feel good about her divorce. Client discusses how she's communicating with her husband and how she's starting to do more things for herself.</t>
  </si>
  <si>
    <t>Client "K", Session January 22, 2014: Client discusses friendships and wishing to be viewed differently by friends.</t>
  </si>
  <si>
    <t>Client "J", Session April 5, 2013: Client discusses romantic and platonic relationships, ADD, difficulty relying on others.</t>
  </si>
  <si>
    <t>Client "AP", Session 77: May 03, 2013: Client is sensitive and gets his feelings hurt often by his girlfriend's attitude towards their relationship. Client discusses the current state of this relationship and whether his choice of women stems from his relationship with his mother.</t>
  </si>
  <si>
    <t>Client "Ju", Session April 08, 2014: Client discusses difficulties at work with their supervisor, mentor, and work responsibilities.</t>
  </si>
  <si>
    <t>Client "A", Session March 20, 2014: Client discusses avoiding moving forward in their professional career.</t>
  </si>
  <si>
    <t>Client "B", Session March 06, 2014: Client discusses the disappointment and negative feelings surrounding their own birthday celebrations.</t>
  </si>
  <si>
    <t>Client "RY", Session 56: March 31, 2014: Client discusses building towards a sexual relationship with her spouse. Client also discusses feeling unable to move forward in case relationship doesn't last.</t>
  </si>
  <si>
    <t>Client "R", Session June 10, 2013: Client discusses attending spiritual services with husband, and personal grooming.</t>
  </si>
  <si>
    <t>Client "S", Session March 25, 2013: Client discusses frustrations at a coworker, her work, and upcoming travel and holidays.</t>
  </si>
  <si>
    <t>Client "E", Session December 05, 2012: Client has been mulling over the possibility of applying for nanny positions.</t>
  </si>
  <si>
    <t>Client "L", Session December 12, 2012: Client discusses meditation and job opportunities.</t>
  </si>
  <si>
    <t>Client "AP", Session 72: April 18, 2013: Client is trying to eat better and work out more without completely restricting himself, since he knows that will cause him to revert to his old habits.</t>
  </si>
  <si>
    <t>Client "S" Therapy Session Audio Recording, January 08, 2014: Client discusses whether the current man she is dating is just using her for sex and sexual pleasure. Client feels as is she is not getting the necessary amount of security that she desires.</t>
  </si>
  <si>
    <t>Client "R", Session March 07, 2014: Client discusses relationships and therapist-related dreams.</t>
  </si>
  <si>
    <t>Client "AP", Session 183: March 21, 2014: Client discusses emotional drama with family. Client also discusses moving on to a new place.</t>
  </si>
  <si>
    <t>Client "S" Therapy Session Audio Recording, November 20, 2013: Client discusses her low self-esteem and how she feels insecure in relationships when she perceived that the balance of power is off.</t>
  </si>
  <si>
    <t>Client "SN" Therapy Session Audio Recording, September 24, 2013: Client discusses his difficulty with writing and how he would much rather communicate verbally. Client discusses his feeling of exhaustion.</t>
  </si>
  <si>
    <t>Client "K", Session January 28, 2014: Client discusses feeling lost on how to handle issues with their mother and brother.</t>
  </si>
  <si>
    <t>Client "J", Session December 10, 2013: Client discusses the recent and sudden death of his grandmother. Client discusses his family relationships, his issues with getting money to pay his bills, and the state of his current romantic relationship.</t>
  </si>
  <si>
    <t>Client "S", Session April 04, 2014: Client discusses issues with roommate, issues with medication, and feeling valueless and worthless.</t>
  </si>
  <si>
    <t>Client "S" Therapy Session Audio Recording, March 13, 2013: Client discusses her issues with accepting compliments and focusing on negative feedback instead of positive feedback.</t>
  </si>
  <si>
    <t>Client "S" Therapy Session Audio Recording, August 28, 2012: Client has returned from a trip abroad and is stressed about making enough money to pay rent, health insurance, and follow her passion.</t>
  </si>
  <si>
    <t>Client "J", Session August 02, 2013: Client discusses his current money issues as work is slowing down. Client discusses pushing forward with his marital separation and introducing his kids to his girlfriend.</t>
  </si>
  <si>
    <t>Client "J", Session February 19, 2013: Client is feeling generally irritated and overwhelmed by everyone.</t>
  </si>
  <si>
    <t>Client "S", Session February 22, 2013: Client has been experiencing conflict in a friendship ever since her black-out drunk birthday night. She feels very critical of everyone in general.</t>
  </si>
  <si>
    <t>Client "D", Session April 01, 2013: Client is moving into a new place and discusses the strain it's causing in his relationship.</t>
  </si>
  <si>
    <t>Client "K", Session January 20, 2014: Client discusses feeling stuck and dealing with anxiety.</t>
  </si>
  <si>
    <t>Client "LJ", Session January 13, 2014: Client discusses his interest in Sherlock Holmes and how he's writing a spin-off about Holmes' childhood.</t>
  </si>
  <si>
    <t>Client "L" Therapy Session Audio Recording, June 26, 2013: Client discusses weighing his options for his future and whether or not he should bring his wife's desires into his need to further his career.</t>
  </si>
  <si>
    <t>Client "JM", Session 13: January 16, 2014: Client talks about her belief that humans need to be in the company of other humans; whether they need or just want their approval is another matter.</t>
  </si>
  <si>
    <t>Client "CRT" Therapy Session Audio Recording, January 17, 2013: Client is exhausted and frustrated by her mother's actions towards her. Client discusses her mother's issues and how it has a negative impact on her life.</t>
  </si>
  <si>
    <t>Client "D", Session May 16, 2013: Client discusses his cigarette use and his failed attempts to quit.</t>
  </si>
  <si>
    <t>Client "KF", Session December 4, 2013: Client and his parents discuss a recent disagreement and therapist helps each of them empathize with the other's viewpoint.</t>
  </si>
  <si>
    <t>Client "Ju", Session June 18, 2013: Client discusses continuing encounters with a past boyfriend, fears of being alone, and a phone call with a friend.</t>
  </si>
  <si>
    <t>Client "A", Session August 16, 2013: Client discusses whether or not he is being exploited at his current job. Client discusses his issues getting work done after having heated discussions with his boss.</t>
  </si>
  <si>
    <t>Client "LJ", Session March 06, 2014: Client discusses his most recent test scores and what he's studying in class. Client discusses a story he's working on and his thoughts on martial arts.</t>
  </si>
  <si>
    <t>Client "R", Session February 04, 2014: Client and therapist discuss their relationship and how the client relies heavily upon the therapist to be a guiding light for her.</t>
  </si>
  <si>
    <t>Client "R", Session February 13, 2014: Client professes her love for her therapist, and discusses her anger over their current relationship. Client discusses consoling a friend after a breakup and a very strange dream she had recently.</t>
  </si>
  <si>
    <t>Client "Ma", Session January 21, 2014: Client discusses feelings of self-hatred and frustration.</t>
  </si>
  <si>
    <t>Client "A", Session January 14, 2014: Client discusses how he and his girlfriend are balancing out their schedules so they can work and take care of their new baby.</t>
  </si>
  <si>
    <t>Client "Ju", Session November 26, 2012: Client isn't very happy with the status of her friendships for the most part.</t>
  </si>
  <si>
    <t>Client "R", Session January 21, 2013: Client discusses how her relationship with her therapist is impacting her relationship with her spouse.</t>
  </si>
  <si>
    <t>Client "G", Session May 24, 2013: Client discusses his relationship with his mother and how he felt like a fraud while in high school and college.</t>
  </si>
  <si>
    <t>Client "M", Session July 11, 2014: Client discusses his interest in dancing, and dancing techniques. Client also discusses trying to deal with a variety of emotions in a rational manner.</t>
  </si>
  <si>
    <t>Client "E", Session November 15, 2012: Client talks about problems at her job, mostly concerning her coworkers.</t>
  </si>
  <si>
    <t>Client "S", Therapy Session Audio Recording, August 26, 2013: Client discusses the uncertainty of her romantic relationship with her roommate. Client discusses being unsure whether to break up with him, move out, get married, or if they are even a good match.</t>
  </si>
  <si>
    <t>Client "S", Session August 24, 2012: Client discusses feelings of relief and guilt as romantic partner moves out.</t>
  </si>
  <si>
    <t>Client "RY", Session 32: September 19, 2013: Client discusses the extreme sense of betrayal she feels from her husband and how she wishes he would apologized. Client discusses her anxiety issues and how overly-critical she is of herself and others.</t>
  </si>
  <si>
    <t>Client "B", Session July 25, 2013: Client compares the social anxiety she feels during an experience of sharing her writing with a friend and dating someone.</t>
  </si>
  <si>
    <t>Client "D", Session February 28, 2013: Client has been feeling low regarding his financial station in life. It makes him feel immature, irresponsible, and ashamed when he can barely pay his bills.</t>
  </si>
  <si>
    <t>Client "A", Session June 26, 2013: Client discusses his neurosis and his struggle to be productive at work and in the job market.</t>
  </si>
  <si>
    <t>Client "YM", Session October 22, 2013: Client and therapist discuss her self-confidence issues in public speaking and school, therapist empowers client.</t>
  </si>
  <si>
    <t>Client "J", Session April 12, 2013: Client discusses romantic relationships, his Crohn's disease, and difficulties with finances and work.</t>
  </si>
  <si>
    <t>Client "AP", Session 122: September 11, 2013: Client discusses a new woman he is dating and his feelings about affection and sex. Client discusses his thoughts on famous psychologists.</t>
  </si>
  <si>
    <t>Client "ML" Therapy Session Audio Recording, January 09, 2013: Client discusses his wife's recent hospitalization and the toll it's taking on his life and their relationship.</t>
  </si>
  <si>
    <t>Client "M" Session March 14, 2014: Client discusses his position as a role model for his nieces and nephews and wonders if he actually is one. Client discusses boundaries and whether or not his wife reads into his writing as a reflection of his thoughts on their marriage.</t>
  </si>
  <si>
    <t>Client "S", Session January 18, 2013: Client is frustrated and feeling stuck in her environment and her life situation.</t>
  </si>
  <si>
    <t>Client "R" Session January 05, 2014: Client discusses her recent move and how stressful it's been for her. Client is overwhelmed by everything that she needs to do and thus cannot get anything done.</t>
  </si>
  <si>
    <t>Client "A", Session November 30, 2012: Client feels a great deal of relief after finalizing a new occupational deal; however, because so much is riding on it, he fears that he will freeze up and be unable to deliver.</t>
  </si>
  <si>
    <t>Client "B", Session April 15, 2013: Client talks about being thought of as 'heartless' and less than human by some individuals in her life because she often showed less emotion than others.</t>
  </si>
  <si>
    <t>Client "Ju", Session December 10, 2012: Client feels torn between returning to work and remaining on disability leave.</t>
  </si>
  <si>
    <t>Client "AP", Session 31: December 10, 2012: Client is leaning towards accomplishing past goals, such as completing his doctorate. He talks about his relationship with his girlfriend and his relationship with his mother.</t>
  </si>
  <si>
    <t>Client "K" Session February 24, 2014: Client is feeling the strain of being her boyfriend's nurse and it's beginning to get to her. Client discusses feeling bad over wishing she wasn't in this situation and tries to find new ways to alleviate her stress without upsetting her boyfriend.</t>
  </si>
  <si>
    <t>Client "K", Session January 09, 2014: Client discusses how to deal with sensitivity issues.</t>
  </si>
  <si>
    <t>Client "AP", Session 29: December 06, 2012: Client is feeling highly irritable and down; he is not sure what precipitated these emotions.</t>
  </si>
  <si>
    <t>Client "K", Session March 19, 2014: Client discusses the anxiety of dealing with others and trying new activities.</t>
  </si>
  <si>
    <t>Client "B", Session May 29, 2013: Client discusses a recent family trip and everything that went wrong during it. Client discusses her difficulty getting work done before and after her recent vacation.</t>
  </si>
  <si>
    <t>Client "M", Session April 23, 2013: Client feels guilty asking her husband for help, is worried for one friend about to enter into marriage and another who is grieving.</t>
  </si>
  <si>
    <t>Client "Ma", Session May 08, 2013: Client is very angry at her therapist for what happened during the last session. Client discusses whether or not her therapist is correct and what kind of relationship they have.</t>
  </si>
  <si>
    <t>Client "S" Therapy Session Audio Recording, November 08, 2013: Client discusses her insecurity in relationships and how she keep sabotaging them. Client discusses her low self esteem and self confidence, and how it impacts her relationships and profession.</t>
  </si>
  <si>
    <t>Client "J", Session March 22, 2013: Client discusses sharing custody of his children with his wife, needing money, dating, and his medications.</t>
  </si>
  <si>
    <t>Client "R", Session July 24, 2013: Client discusses why she doesn't feel like talking during her sessions and the fractured relationship with her therapist.</t>
  </si>
  <si>
    <t>Client "K", Session April 03, 2014: Client discusses feeling less anxious at work lately, but still quite sad about her path in life. Client is overwhelmed by all the decisions she needs to make and feels as if she is doing it all wrong.</t>
  </si>
  <si>
    <t>Client "Ma", Session February 11, 2014: Client discusses therapist-client relationship and boundaries.</t>
  </si>
  <si>
    <t>Client "Ma", Session May 20, 2013: Client discusses a weekend she took to visit family and how is made her more relaxed. Client discusses the relationship she has with her husband and the difficulty she has in handling her past mistakes.</t>
  </si>
  <si>
    <t>Client "AP", Session 165: January 22, 2014: Client discusses some good news he heard about the employment situation in his new home. Client discusses his confidence levels and what kind of women he attracts.</t>
  </si>
  <si>
    <t>Client "Ma", Session July 2, 2013: Client discusses the effects of their depression on their marriage and spouse.</t>
  </si>
  <si>
    <t>Client "K", Session April 14, 2014: Client discusses difficulties at work.</t>
  </si>
  <si>
    <t>Client "SN" Therapy Session Audio Recording, July 18, 2013: Client discusses what his childhood was like and how it felt to come out to his parents. Client wishes his parents understood his sexuality, but know it will probably never happen.</t>
  </si>
  <si>
    <t>Client "LJ", Session June 13, 2013: Client discusses the religious beliefs he grew up with and how they shaped his beliefs today. Client discusses his family relations.</t>
  </si>
  <si>
    <t>Client "SR", Session January 21, 2014: Client discusses a recent trip, and wanting to feel a sense of belonging rather than alienation.</t>
  </si>
  <si>
    <t>Client "B", Session April 18, 2013: Client talks about her perception of herself as an undergraduate student over a decade ago; she dislikes that version of herself just as much as her current version, but for different reasons. She often feels embarrassed and ashamed of ways she has behaved in the past, and dwells on these negative emotions.</t>
  </si>
  <si>
    <t>Client "K", Session February 06, 2014: Client discusses the anxiety and frustration that comes with interacting with others.</t>
  </si>
  <si>
    <t>Client "G", Session April 03, 2014: Client discusses an interaction he had with a female classmate recently. Client enjoys feeling potent, but if the 'deal isn't sealed' immediately, he feels worthless and sex is off the table. Client discusses being called weird by his coworkers.</t>
  </si>
  <si>
    <t>Client "A", Session August 05, 2013: Client discusses how a recent work trip and vacation went, and how he may have made his position at his company more secure. Client discusses whether or not it's worth working there anymore and that it will all depend on his salary.</t>
  </si>
  <si>
    <t>Client "L" Therapy Session Audio Recording, June 05, 2013: Client discusses the residual anger he feels towards his wife and how it's seeping into other parts of his life. Client discusses how to trust his wife once more and whether or not it's time to start couples therapy.</t>
  </si>
  <si>
    <t>Client "RY", Session 9: April 29, 2013: Client discusses her upcoming graduation, her parents' lack of interest in household management during her childhood, and how it impacts her currently.</t>
  </si>
  <si>
    <t>Client "Ma", Session March 11, 2013: Client is frustrated that she cannot figure out how to get over her feelings of anxiety. She talks about her parents and her relationships with them.</t>
  </si>
  <si>
    <t>Client "G", Session May 07, 2013: Client discusses his issues with intimacy and sex, especially when it comes to acting on his desires.</t>
  </si>
  <si>
    <t>Client "SR", Session December 12, 2013: Client discusses the lack of a physical connection with their spouse, and other marital issues.</t>
  </si>
  <si>
    <t>Client "AP", Session 108: August 02, 2013: Client discusses the money he needs to pay to get his car fixed and how he's very far behind on his therapist payments. Client discusses his plans to expand his business.</t>
  </si>
  <si>
    <t>Client "R", Session May 23, 2013: Client discusses the sexual attraction between her and her therapist. Client discusses her feelings of sadness and depression.</t>
  </si>
  <si>
    <t>Client "K", Session January 14, 2014: Client discusses struggling with control and stress.</t>
  </si>
  <si>
    <t>Client "L", Session March 1, 2013: Client talks about her physical recovery, her daughter and cousin intruding on her personal space at home, and her father's manipulation of her son.</t>
  </si>
  <si>
    <t>Client "G", Session June 14, 2013: Client discusses the relationship he has with his mother and delves into his past to discuss family relations.</t>
  </si>
  <si>
    <t>Client "A", Session April 03, 2014: Client discusses feelings of envy and jealousy towards others.</t>
  </si>
  <si>
    <t>Client "S", Session June 27, 2013: Client discusses her issues with finding a place to live. Client discusses her debt and the issues she is having paying it off.</t>
  </si>
  <si>
    <t>Client "Ma", Session March 06, 2013: Client talks about her issues with anger and how she shows it was inwardly expressed frustration.</t>
  </si>
  <si>
    <t>Client "A", Session January 25, 2013: Client talks about the cathartic affect that automatic writing has on him. He brings up his irritation and anger at the insurance company's refusal to pay for this therapy, at least not as much as he had expected. He's not only upset with the insurance company though, he is also frustrated with the therapist; however, he believes this may be a visceral reaction to his feelings about psychotherapy.</t>
  </si>
  <si>
    <t>Client "YM", Session October 01, 2013: Client discusses the loss of her aunt when she was young. Client also discusses her inability to grieve and face her grief.</t>
  </si>
  <si>
    <t>Client "SB", Session December 12, 2013: Client discusses his fear of his parent's divorce and how he worries that he is to blame for all of his family's issues. Client's parents are fearful of their mentally ill son, who they worry will hurt them. Client's parents discuss their money issues and the wife's drinking issues.</t>
  </si>
  <si>
    <t>Client "D", Session February 21, 2013: Client feels like he really needs a fresh start. He is going to start with healthier behavior such as trying to quit smoking, and starting a gym membership. He talks about some issues that caused noticeable tension between his parents.</t>
  </si>
  <si>
    <t>Client "K", Session February 10, 2014: Client discusses happiness and pride in both themselves and others.</t>
  </si>
  <si>
    <t>Client "R", Session February 28, 2014: Client discusses not getting into the program that she wished and how she feels about her future career. Client discusses wishing she could be someone different and handle setbacks better.</t>
  </si>
  <si>
    <t>Client "K", Session December 06, 2012: Client becomes frustrated when she doesn't live up to her own expectations.</t>
  </si>
  <si>
    <t>Client "LM", Session June 11, 2014: Client discusses a variety of family-related conflicts; including her daughter's inability to be an effective mother.</t>
  </si>
  <si>
    <t>Client "R", Session August 05, 2013: Client discusses her feelings about nature and farming. Client discusses a traumatic event that happened right before her wedding and how her husband feels about it.</t>
  </si>
  <si>
    <t>Client "RCH" Therapy Session Audio Recording, July 31, 2013: Client discusses the woman he is currently dating and their tumultuous dating past. Client discusses how he feels about the future, with marriage and settling down, and how he might not be ready to give up on travelling just yet.</t>
  </si>
  <si>
    <t>Client "Ma", Session July 12, 2013: Client discusses her upcoming trip to the beach and her anxiety about wearing a bathing suit. Client discusses her desire to cry all the time.</t>
  </si>
  <si>
    <t>Client "S" Therapy Session Audio Recording, January 07, 2013: Client's former boyfriend has started dating again, which is bringing up difficult feelings. Client discusses her past and current relationships.</t>
  </si>
  <si>
    <t>Client "S" Therapy Session Audio Recording, January 15, 2014: Client discusses feeling like an outsider at a recent party, because of her current socioeconomic status. Client discusses how this issues has plagued her since childhood.</t>
  </si>
  <si>
    <t>Client "Ma", Session February 21, 2013: Client feels very disorganized and confused.</t>
  </si>
  <si>
    <t>Client "Ju", Session January 22, 2013: Client talks about pain management, concern about her roommate's anger, and plans to vacate her apartment.</t>
  </si>
  <si>
    <t>Client "R" Session November 27, 2012: Client has been experiencing higher intensity anxiety and panic again.</t>
  </si>
  <si>
    <t>Client "YM", Session November 12, 2013: Client and therapist discuss how childhood trauma contributes to her anxiety, and how she has transferred her anxiety into school.</t>
  </si>
  <si>
    <t>Client "Ma", Session December 14, 2012: Client has been more productive the last few days and is feeling better for it.</t>
  </si>
  <si>
    <t>Client "AP", Session 35: December 20, 2012: Client feels like he is finally starting to settle in to the idea that this is his life; there won't be any major shifts that change the base of his life as it is now.</t>
  </si>
  <si>
    <t>Client "Ma", Session January 21, 2013: Client thinks about killing herself often, but she is unsure if she has the courage to actually follow through.</t>
  </si>
  <si>
    <t>Client "G", Session April 5, 2013: Client discusses sexual infidelity in past relationships and its continuing effect on him; bad relationship with his roommates.</t>
  </si>
  <si>
    <t>Client "LJ", Session May 28, 2013: Client discusses his current job prospects and his past history with acting.</t>
  </si>
  <si>
    <t>Client "C" Therapy Session Audio Recording, August 30, 2012: Client accepted a new job, but is upset that his mother reacted negatively toward this. Client discusses the impact his negativity has on his life and the relationship with his family.</t>
  </si>
  <si>
    <t>Client "S" Therapy Session Audio Recording, December 05, 2012: Client is having difficulty getting her career started and rejection in her professional life is having an impact on her personal life.</t>
  </si>
  <si>
    <t>Client "Ma", Session December 10, 2012: Client has been feeling very suicidal; she assumes that she would be better off dead than living in misery. She feels as though no one has ever cared about her or her feelings.</t>
  </si>
  <si>
    <t>https://www.proquest.com/docview/2778603042</t>
  </si>
  <si>
    <t>https://www.proquest.com/docview/2778622211</t>
  </si>
  <si>
    <t>https://www.proquest.com/docview/2778622671</t>
  </si>
  <si>
    <t>https://www.proquest.com/docview/2778599818</t>
  </si>
  <si>
    <t>https://www.proquest.com/docview/2778598500</t>
  </si>
  <si>
    <t>https://www.proquest.com/docview/2778602812</t>
  </si>
  <si>
    <t>https://www.proquest.com/docview/2778620900</t>
  </si>
  <si>
    <t>https://www.proquest.com/docview/2778602773</t>
  </si>
  <si>
    <t>https://www.proquest.com/docview/2778598609</t>
  </si>
  <si>
    <t>https://www.proquest.com/docview/2778595961</t>
  </si>
  <si>
    <t>https://www.proquest.com/docview/2778600495</t>
  </si>
  <si>
    <t>https://www.proquest.com/docview/2778603084</t>
  </si>
  <si>
    <t>https://www.proquest.com/docview/2778624161</t>
  </si>
  <si>
    <t>https://www.proquest.com/docview/2778622933</t>
  </si>
  <si>
    <t>https://www.proquest.com/docview/2778615181</t>
  </si>
  <si>
    <t>https://www.proquest.com/docview/2778624157</t>
  </si>
  <si>
    <t>https://www.proquest.com/docview/2778617082</t>
  </si>
  <si>
    <t>https://www.proquest.com/docview/2778620990</t>
  </si>
  <si>
    <t>https://www.proquest.com/docview/2778599898</t>
  </si>
  <si>
    <t>https://www.proquest.com/docview/2778617409</t>
  </si>
  <si>
    <t>https://www.proquest.com/docview/2778617007</t>
  </si>
  <si>
    <t>https://www.proquest.com/docview/2778597870</t>
  </si>
  <si>
    <t>https://www.proquest.com/docview/2778625480</t>
  </si>
  <si>
    <t>https://www.proquest.com/docview/2778598600</t>
  </si>
  <si>
    <t>https://www.proquest.com/docview/2778615194</t>
  </si>
  <si>
    <t>https://www.proquest.com/docview/2778603643</t>
  </si>
  <si>
    <t>https://www.proquest.com/docview/2778617017</t>
  </si>
  <si>
    <t>https://www.proquest.com/docview/2778621190</t>
  </si>
  <si>
    <t>https://www.proquest.com/docview/2778599787</t>
  </si>
  <si>
    <t>https://www.proquest.com/docview/2778597800</t>
  </si>
  <si>
    <t>https://www.proquest.com/docview/2778617337</t>
  </si>
  <si>
    <t>https://www.proquest.com/docview/2778614466</t>
  </si>
  <si>
    <t>https://www.proquest.com/docview/2778622285</t>
  </si>
  <si>
    <t>https://www.proquest.com/docview/2778598296</t>
  </si>
  <si>
    <t>https://www.proquest.com/docview/2778599829</t>
  </si>
  <si>
    <t>https://www.proquest.com/docview/2778603576</t>
  </si>
  <si>
    <t>https://www.proquest.com/docview/2778620379</t>
  </si>
  <si>
    <t>https://www.proquest.com/docview/2778624170</t>
  </si>
  <si>
    <t>https://www.proquest.com/docview/2778614517</t>
  </si>
  <si>
    <t>https://www.proquest.com/docview/2778599795</t>
  </si>
  <si>
    <t>https://www.proquest.com/docview/2778616898</t>
  </si>
  <si>
    <t>https://www.proquest.com/docview/2778603751</t>
  </si>
  <si>
    <t>https://www.proquest.com/docview/2778598620</t>
  </si>
  <si>
    <t>https://www.proquest.com/docview/2778600599</t>
  </si>
  <si>
    <t>https://www.proquest.com/docview/2778624048</t>
  </si>
  <si>
    <t>https://www.proquest.com/docview/2778620363</t>
  </si>
  <si>
    <t>https://www.proquest.com/docview/2778614484</t>
  </si>
  <si>
    <t>https://www.proquest.com/docview/2778621971</t>
  </si>
  <si>
    <t>https://www.proquest.com/docview/2778614565</t>
  </si>
  <si>
    <t>https://www.proquest.com/docview/2778617954</t>
  </si>
  <si>
    <t>https://www.proquest.com/docview/2778620163</t>
  </si>
  <si>
    <t>https://www.proquest.com/docview/2778617835</t>
  </si>
  <si>
    <t>https://www.proquest.com/docview/2778603200</t>
  </si>
  <si>
    <t>https://www.proquest.com/docview/2778624241</t>
  </si>
  <si>
    <t>https://www.proquest.com/docview/2778614607</t>
  </si>
  <si>
    <t>https://www.proquest.com/docview/2778603317</t>
  </si>
  <si>
    <t>https://www.proquest.com/docview/2778614694</t>
  </si>
  <si>
    <t>https://www.proquest.com/docview/2778620153</t>
  </si>
  <si>
    <t>https://www.proquest.com/docview/2778621762</t>
  </si>
  <si>
    <t>https://www.proquest.com/docview/2778617043</t>
  </si>
  <si>
    <t>https://www.proquest.com/docview/2778598525</t>
  </si>
  <si>
    <t>https://www.proquest.com/docview/2778621362</t>
  </si>
  <si>
    <t>https://www.proquest.com/docview/2778600181</t>
  </si>
  <si>
    <t>https://www.proquest.com/docview/2778602912</t>
  </si>
  <si>
    <t>https://www.proquest.com/docview/2778615270</t>
  </si>
  <si>
    <t>https://www.proquest.com/docview/2778598370</t>
  </si>
  <si>
    <t>https://www.proquest.com/docview/2778603843</t>
  </si>
  <si>
    <t>https://www.proquest.com/docview/2778598130</t>
  </si>
  <si>
    <t>https://www.proquest.com/docview/2778622564</t>
  </si>
  <si>
    <t>https://www.proquest.com/docview/2778622686</t>
  </si>
  <si>
    <t>https://www.proquest.com/docview/2778602517</t>
  </si>
  <si>
    <t>https://www.proquest.com/docview/2778597843</t>
  </si>
  <si>
    <t>https://www.proquest.com/docview/2778614547</t>
  </si>
  <si>
    <t>https://www.proquest.com/docview/2778598935</t>
  </si>
  <si>
    <t>https://www.proquest.com/docview/2778614664</t>
  </si>
  <si>
    <t>https://www.proquest.com/docview/2778599860</t>
  </si>
  <si>
    <t>https://www.proquest.com/docview/2778600031</t>
  </si>
  <si>
    <t>https://www.proquest.com/docview/2778624144</t>
  </si>
  <si>
    <t>https://www.proquest.com/docview/2778598499</t>
  </si>
  <si>
    <t>https://www.proquest.com/docview/2778598776</t>
  </si>
  <si>
    <t>https://www.proquest.com/docview/2778600424</t>
  </si>
  <si>
    <t>https://www.proquest.com/docview/2778602448</t>
  </si>
  <si>
    <t>https://www.proquest.com/docview/2778600266</t>
  </si>
  <si>
    <t>https://www.proquest.com/docview/2778617146</t>
  </si>
  <si>
    <t>https://www.proquest.com/docview/2778617269</t>
  </si>
  <si>
    <t>https://www.proquest.com/docview/2778617028</t>
  </si>
  <si>
    <t>https://www.proquest.com/docview/2778617303</t>
  </si>
  <si>
    <t>https://www.proquest.com/docview/2778599876</t>
  </si>
  <si>
    <t>https://www.proquest.com/docview/2778614833</t>
  </si>
  <si>
    <t>https://www.proquest.com/docview/2778614558</t>
  </si>
  <si>
    <t>https://www.proquest.com/docview/2778596008</t>
  </si>
  <si>
    <t>https://www.proquest.com/docview/2778599873</t>
  </si>
  <si>
    <t>https://www.proquest.com/docview/2778622471</t>
  </si>
  <si>
    <t>https://www.proquest.com/docview/2778625982</t>
  </si>
  <si>
    <t>https://www.proquest.com/docview/2778624132</t>
  </si>
  <si>
    <t>https://www.proquest.com/docview/2778600282</t>
  </si>
  <si>
    <t>https://www.proquest.com/docview/2778617272</t>
  </si>
  <si>
    <t>https://www.proquest.com/docview/2778598390</t>
  </si>
  <si>
    <t>https://www.proquest.com/docview/2778603149</t>
  </si>
  <si>
    <t>https://www.proquest.com/docview/2778600674</t>
  </si>
  <si>
    <t>https://www.proquest.com/docview/2778615497</t>
  </si>
  <si>
    <t>https://www.proquest.com/docview/2778622189</t>
  </si>
  <si>
    <t>https://www.proquest.com/docview/2778622982</t>
  </si>
  <si>
    <t>https://www.proquest.com/docview/2778621255</t>
  </si>
  <si>
    <t>https://www.proquest.com/docview/2778617792</t>
  </si>
  <si>
    <t>https://www.proquest.com/docview/2778617033</t>
  </si>
  <si>
    <t>https://www.proquest.com/docview/2778623954</t>
  </si>
  <si>
    <t>https://www.proquest.com/docview/2778623955</t>
  </si>
  <si>
    <t>https://www.proquest.com/docview/2778622228</t>
  </si>
  <si>
    <t>https://www.proquest.com/docview/2778617118</t>
  </si>
  <si>
    <t>https://www.proquest.com/docview/2778623990</t>
  </si>
  <si>
    <t>https://www.proquest.com/docview/2778620240</t>
  </si>
  <si>
    <t>https://www.proquest.com/docview/2778599928</t>
  </si>
  <si>
    <t>https://www.proquest.com/docview/2778598552</t>
  </si>
  <si>
    <t>https://www.proquest.com/docview/2778614927</t>
  </si>
  <si>
    <t>https://www.proquest.com/docview/2778617086</t>
  </si>
  <si>
    <t>https://www.proquest.com/docview/2778621960</t>
  </si>
  <si>
    <t>https://www.proquest.com/docview/2778617089</t>
  </si>
  <si>
    <t>https://www.proquest.com/docview/2778620236</t>
  </si>
  <si>
    <t>https://www.proquest.com/docview/2778620194</t>
  </si>
  <si>
    <t>https://www.proquest.com/docview/2778621284</t>
  </si>
  <si>
    <t>https://www.proquest.com/docview/2778603491</t>
  </si>
  <si>
    <t>https://www.proquest.com/docview/2778617807</t>
  </si>
  <si>
    <t>https://www.proquest.com/docview/2778624030</t>
  </si>
  <si>
    <t>https://www.proquest.com/docview/2778596301</t>
  </si>
  <si>
    <t>https://www.proquest.com/docview/2778622768</t>
  </si>
  <si>
    <t>https://www.proquest.com/docview/2778603247</t>
  </si>
  <si>
    <t>https://www.proquest.com/docview/2778617774</t>
  </si>
  <si>
    <t>https://www.proquest.com/docview/2778621431</t>
  </si>
  <si>
    <t>https://www.proquest.com/docview/2778599788</t>
  </si>
  <si>
    <t>https://www.proquest.com/docview/2778598735</t>
  </si>
  <si>
    <t>https://www.proquest.com/docview/2778623011</t>
  </si>
  <si>
    <t>https://www.proquest.com/docview/2778623012</t>
  </si>
  <si>
    <t>https://www.proquest.com/docview/2778596319</t>
  </si>
  <si>
    <t>https://www.proquest.com/docview/2778624222</t>
  </si>
  <si>
    <t>https://www.proquest.com/docview/2778598572</t>
  </si>
  <si>
    <t>https://www.proquest.com/docview/2778624062</t>
  </si>
  <si>
    <t>https://www.proquest.com/docview/2778596036</t>
  </si>
  <si>
    <t>https://www.proquest.com/docview/2778624219</t>
  </si>
  <si>
    <t>https://www.proquest.com/docview/2778617061</t>
  </si>
  <si>
    <t>https://www.proquest.com/docview/2778602520</t>
  </si>
  <si>
    <t>https://www.proquest.com/docview/2778598460</t>
  </si>
  <si>
    <t>https://www.proquest.com/docview/2778615684</t>
  </si>
  <si>
    <t>https://www.proquest.com/docview/2778614594</t>
  </si>
  <si>
    <t>https://www.proquest.com/docview/2778617104</t>
  </si>
  <si>
    <t>https://www.proquest.com/docview/2778621467</t>
  </si>
  <si>
    <t>https://www.proquest.com/docview/2778616936</t>
  </si>
  <si>
    <t>https://www.proquest.com/docview/2778624178</t>
  </si>
  <si>
    <t>https://www.proquest.com/docview/2778598462</t>
  </si>
  <si>
    <t>https://www.proquest.com/docview/2778598067</t>
  </si>
  <si>
    <t>https://www.proquest.com/docview/2778614519</t>
  </si>
  <si>
    <t>https://www.proquest.com/docview/2778596321</t>
  </si>
  <si>
    <t>https://www.proquest.com/docview/2778595993</t>
  </si>
  <si>
    <t>https://www.proquest.com/docview/2778624171</t>
  </si>
  <si>
    <t>https://www.proquest.com/docview/2778617193</t>
  </si>
  <si>
    <t>https://www.proquest.com/docview/2778621218</t>
  </si>
  <si>
    <t>https://www.proquest.com/docview/2778617194</t>
  </si>
  <si>
    <t>https://www.proquest.com/docview/2778603589</t>
  </si>
  <si>
    <t>https://www.proquest.com/docview/2778615298</t>
  </si>
  <si>
    <t>https://www.proquest.com/docview/2778621212</t>
  </si>
  <si>
    <t>https://www.proquest.com/docview/2778603629</t>
  </si>
  <si>
    <t>https://www.proquest.com/docview/2778615055</t>
  </si>
  <si>
    <t>https://www.proquest.com/docview/2778622183</t>
  </si>
  <si>
    <t>https://www.proquest.com/docview/2778620160</t>
  </si>
  <si>
    <t>https://www.proquest.com/docview/2778616986</t>
  </si>
  <si>
    <t>https://www.proquest.com/docview/2778617679</t>
  </si>
  <si>
    <t>https://www.proquest.com/docview/2778616909</t>
  </si>
  <si>
    <t>https://www.proquest.com/docview/2778598351</t>
  </si>
  <si>
    <t>https://www.proquest.com/docview/2778600323</t>
  </si>
  <si>
    <t>https://www.proquest.com/docview/2778624234</t>
  </si>
  <si>
    <t>https://www.proquest.com/docview/2778616993</t>
  </si>
  <si>
    <t>https://www.proquest.com/docview/2778597955</t>
  </si>
  <si>
    <t>https://www.proquest.com/docview/2778599850</t>
  </si>
  <si>
    <t>https://www.proquest.com/docview/2778616911</t>
  </si>
  <si>
    <t>https://www.proquest.com/docview/2778600066</t>
  </si>
  <si>
    <t>https://www.proquest.com/docview/2778599858</t>
  </si>
  <si>
    <t>https://www.proquest.com/docview/2778624109</t>
  </si>
  <si>
    <t>https://www.proquest.com/docview/2778623935</t>
  </si>
  <si>
    <t>https://www.proquest.com/docview/2778624107</t>
  </si>
  <si>
    <t>https://www.proquest.com/docview/2778600179</t>
  </si>
  <si>
    <t>https://www.proquest.com/docview/2778625838</t>
  </si>
  <si>
    <t>https://www.proquest.com/docview/2778598810</t>
  </si>
  <si>
    <t>https://www.proquest.com/docview/2778615479</t>
  </si>
  <si>
    <t>https://www.proquest.com/docview/2778617139</t>
  </si>
  <si>
    <t>https://www.proquest.com/docview/2778615239</t>
  </si>
  <si>
    <t>https://www.proquest.com/docview/2778624023</t>
  </si>
  <si>
    <t>https://www.proquest.com/docview/2778603387</t>
  </si>
  <si>
    <t>https://www.proquest.com/docview/2778615918</t>
  </si>
  <si>
    <t>https://www.proquest.com/docview/2778602602</t>
  </si>
  <si>
    <t>https://www.proquest.com/docview/2778602845</t>
  </si>
  <si>
    <t>https://www.proquest.com/docview/2778603258</t>
  </si>
  <si>
    <t>https://www.proquest.com/docview/2778622916</t>
  </si>
  <si>
    <t>https://www.proquest.com/docview/2778624014</t>
  </si>
  <si>
    <t>https://www.proquest.com/docview/2778621421</t>
  </si>
  <si>
    <t>https://www.proquest.com/docview/2778620972</t>
  </si>
  <si>
    <t>https://www.proquest.com/docview/2778620213</t>
  </si>
  <si>
    <t>https://www.proquest.com/docview/2778602968</t>
  </si>
  <si>
    <t>https://www.proquest.com/docview/2778617143</t>
  </si>
  <si>
    <t>https://www.proquest.com/docview/2778599871</t>
  </si>
  <si>
    <t>https://www.proquest.com/docview/2778620690</t>
  </si>
  <si>
    <t>https://www.proquest.com/docview/2778624134</t>
  </si>
  <si>
    <t>https://www.proquest.com/docview/2778596004</t>
  </si>
  <si>
    <t>https://www.proquest.com/docview/2778603152</t>
  </si>
  <si>
    <t>https://www.proquest.com/docview/2778620846</t>
  </si>
  <si>
    <t>https://www.proquest.com/docview/2778624004</t>
  </si>
  <si>
    <t>https://www.proquest.com/docview/2778624124</t>
  </si>
  <si>
    <t>https://www.proquest.com/docview/2778624003</t>
  </si>
  <si>
    <t>https://www.proquest.com/docview/2778623952</t>
  </si>
  <si>
    <t>https://www.proquest.com/docview/2778622226</t>
  </si>
  <si>
    <t>https://www.proquest.com/docview/2778616945</t>
  </si>
  <si>
    <t>https://www.proquest.com/docview/2778599766</t>
  </si>
  <si>
    <t>https://www.proquest.com/docview/2778622142</t>
  </si>
  <si>
    <t>https://www.proquest.com/docview/2778621965</t>
  </si>
  <si>
    <t>https://www.proquest.com/docview/2778622417</t>
  </si>
  <si>
    <t>https://www.proquest.com/docview/2778626216</t>
  </si>
  <si>
    <t>https://www.proquest.com/docview/2778621287</t>
  </si>
  <si>
    <t>https://www.proquest.com/docview/2778617127</t>
  </si>
  <si>
    <t>https://www.proquest.com/docview/2778600769</t>
  </si>
  <si>
    <t>https://www.proquest.com/docview/2778599777</t>
  </si>
  <si>
    <t>https://www.proquest.com/docview/2778617926</t>
  </si>
  <si>
    <t>https://www.proquest.com/docview/2778621281</t>
  </si>
  <si>
    <t>https://www.proquest.com/docview/2778597911</t>
  </si>
  <si>
    <t>https://www.proquest.com/docview/2778622250</t>
  </si>
  <si>
    <t>https://www.proquest.com/docview/2778615742</t>
  </si>
  <si>
    <t>https://www.proquest.com/docview/2778617129</t>
  </si>
  <si>
    <t>https://www.proquest.com/docview/2778599934</t>
  </si>
  <si>
    <t>https://www.proquest.com/docview/2778599813</t>
  </si>
  <si>
    <t>https://www.proquest.com/docview/2778600260</t>
  </si>
  <si>
    <t>https://www.proquest.com/docview/2778599778</t>
  </si>
  <si>
    <t>https://www.proquest.com/docview/2778598290</t>
  </si>
  <si>
    <t>https://www.proquest.com/docview/2778617130</t>
  </si>
  <si>
    <t>https://www.proquest.com/docview/2778617097</t>
  </si>
  <si>
    <t>https://www.proquest.com/docview/2778617093</t>
  </si>
  <si>
    <t>https://www.proquest.com/docview/2778624025</t>
  </si>
  <si>
    <t>https://www.proquest.com/docview/2778614661</t>
  </si>
  <si>
    <t>https://www.proquest.com/docview/2778614781</t>
  </si>
  <si>
    <t>https://www.proquest.com/docview/2778621953</t>
  </si>
  <si>
    <t>https://www.proquest.com/docview/2778615956</t>
  </si>
  <si>
    <t>https://www.proquest.com/docview/2778616921</t>
  </si>
  <si>
    <t>https://www.proquest.com/docview/2778614589</t>
  </si>
  <si>
    <t>https://www.proquest.com/docview/2778624220</t>
  </si>
  <si>
    <t>https://www.proquest.com/docview/2778599948</t>
  </si>
  <si>
    <t>https://www.proquest.com/docview/2778598974</t>
  </si>
  <si>
    <t>https://www.proquest.com/docview/2778602646</t>
  </si>
  <si>
    <t>https://www.proquest.com/docview/2778624215</t>
  </si>
  <si>
    <t>https://www.proquest.com/docview/2778622717</t>
  </si>
  <si>
    <t>https://www.proquest.com/docview/2778598184</t>
  </si>
  <si>
    <t>https://www.proquest.com/docview/2778597806</t>
  </si>
  <si>
    <t>https://www.proquest.com/docview/2778621982</t>
  </si>
  <si>
    <t>https://www.proquest.com/docview/2778622831</t>
  </si>
  <si>
    <t>https://www.proquest.com/docview/2778598348</t>
  </si>
  <si>
    <t>https://www.proquest.com/docview/2778598228</t>
  </si>
  <si>
    <t>https://www.proquest.com/docview/2778598626</t>
  </si>
  <si>
    <t>https://www.proquest.com/docview/2778595998</t>
  </si>
  <si>
    <t>https://www.proquest.com/docview/2778624057</t>
  </si>
  <si>
    <t>https://www.proquest.com/docview/2778614918</t>
  </si>
  <si>
    <t>https://www.proquest.com/docview/2778596041</t>
  </si>
  <si>
    <t>https://www.proquest.com/docview/2778597774</t>
  </si>
  <si>
    <t>https://www.proquest.com/docview/2778622669</t>
  </si>
  <si>
    <t>https://www.proquest.com/docview/2778624207</t>
  </si>
  <si>
    <t>https://www.proquest.com/docview/2778596291</t>
  </si>
  <si>
    <t>https://www.proquest.com/docview/2778603467</t>
  </si>
  <si>
    <t>https://www.proquest.com/docview/2778603863</t>
  </si>
  <si>
    <t>https://www.proquest.com/docview/2778620409</t>
  </si>
  <si>
    <t>https://www.proquest.com/docview/2778622146</t>
  </si>
  <si>
    <t>https://www.proquest.com/docview/2778617717</t>
  </si>
  <si>
    <t>https://www.proquest.com/docview/2778598473</t>
  </si>
  <si>
    <t>https://www.proquest.com/docview/2778615938</t>
  </si>
  <si>
    <t>https://www.proquest.com/docview/2778621928</t>
  </si>
  <si>
    <t>https://www.proquest.com/docview/2778622975</t>
  </si>
  <si>
    <t>https://www.proquest.com/docview/2778599853</t>
  </si>
  <si>
    <t>https://www.proquest.com/docview/2778624191</t>
  </si>
  <si>
    <t>https://www.proquest.com/docview/2778598923</t>
  </si>
  <si>
    <t>https://www.proquest.com/docview/2778622296</t>
  </si>
  <si>
    <t>https://www.proquest.com/docview/2778598242</t>
  </si>
  <si>
    <t>https://www.proquest.com/docview/2778600583</t>
  </si>
  <si>
    <t>https://www.proquest.com/docview/2778624198</t>
  </si>
  <si>
    <t>https://www.proquest.com/docview/2778625836</t>
  </si>
  <si>
    <t>https://www.proquest.com/docview/2778620668</t>
  </si>
  <si>
    <t>https://www.proquest.com/docview/2778624108</t>
  </si>
  <si>
    <t>https://www.proquest.com/docview/2778596190</t>
  </si>
  <si>
    <t>https://www.proquest.com/docview/2778623937</t>
  </si>
  <si>
    <t>https://www.proquest.com/docview/2778624224</t>
  </si>
  <si>
    <t>https://www.proquest.com/docview/2778617175</t>
  </si>
  <si>
    <t>https://www.proquest.com/docview/2778603849</t>
  </si>
  <si>
    <t>https://www.proquest.com/docview/2778600735</t>
  </si>
  <si>
    <t>https://www.proquest.com/docview/2778615153</t>
  </si>
  <si>
    <t>https://www.proquest.com/docview/2778598937</t>
  </si>
  <si>
    <t>https://www.proquest.com/docview/2778599867</t>
  </si>
  <si>
    <t>https://www.proquest.com/docview/2778621947</t>
  </si>
  <si>
    <t>https://www.proquest.com/docview/2778602842</t>
  </si>
  <si>
    <t>https://www.proquest.com/docview/2778614793</t>
  </si>
  <si>
    <t>https://www.proquest.com/docview/2778615880</t>
  </si>
  <si>
    <t>https://www.proquest.com/docview/2778615921</t>
  </si>
  <si>
    <t>https://www.proquest.com/docview/2778614556</t>
  </si>
  <si>
    <t>https://www.proquest.com/docview/2778598263</t>
  </si>
  <si>
    <t>https://www.proquest.com/docview/2778603157</t>
  </si>
  <si>
    <t>https://www.proquest.com/docview/2778624097</t>
  </si>
  <si>
    <t>https://www.proquest.com/docview/2778621933</t>
  </si>
  <si>
    <t>https://www.proquest.com/docview/2778622868</t>
  </si>
  <si>
    <t>https://www.proquest.com/docview/2778621934</t>
  </si>
  <si>
    <t>https://www.proquest.com/docview/2778620848</t>
  </si>
  <si>
    <t>https://www.proquest.com/docview/2778620968</t>
  </si>
  <si>
    <t>https://www.proquest.com/docview/2778600279</t>
  </si>
  <si>
    <t>https://www.proquest.com/docview/2778603667</t>
  </si>
  <si>
    <t>https://www.proquest.com/docview/2778622981</t>
  </si>
  <si>
    <t>https://www.proquest.com/docview/2778614443</t>
  </si>
  <si>
    <t>https://www.proquest.com/docview/2778617434</t>
  </si>
  <si>
    <t>https://www.proquest.com/docview/2778620961</t>
  </si>
  <si>
    <t>https://www.proquest.com/docview/2778598396</t>
  </si>
  <si>
    <t>https://www.proquest.com/docview/2778603364</t>
  </si>
  <si>
    <t>https://www.proquest.com/docview/2778603487</t>
  </si>
  <si>
    <t>https://www.proquest.com/docview/2778599803</t>
  </si>
  <si>
    <t>https://www.proquest.com/docview/2778596013</t>
  </si>
  <si>
    <t>https://www.proquest.com/docview/2778624042</t>
  </si>
  <si>
    <t>https://www.proquest.com/docview/2778602546</t>
  </si>
  <si>
    <t>https://www.proquest.com/docview/2778599809</t>
  </si>
  <si>
    <t>https://www.proquest.com/docview/2778617369</t>
  </si>
  <si>
    <t>https://www.proquest.com/docview/2778622776</t>
  </si>
  <si>
    <t>https://www.proquest.com/docview/2778622930</t>
  </si>
  <si>
    <t>https://www.proquest.com/docview/2778599776</t>
  </si>
  <si>
    <t>https://www.proquest.com/docview/2778598207</t>
  </si>
  <si>
    <t>https://www.proquest.com/docview/2778599411</t>
  </si>
  <si>
    <t>https://www.proquest.com/docview/2778620191</t>
  </si>
  <si>
    <t>https://www.proquest.com/docview/2778599410</t>
  </si>
  <si>
    <t>https://www.proquest.com/docview/2778600262</t>
  </si>
  <si>
    <t>https://www.proquest.com/docview/2778599419</t>
  </si>
  <si>
    <t>https://www.proquest.com/docview/2778624152</t>
  </si>
  <si>
    <t>https://www.proquest.com/docview/2778599933</t>
  </si>
  <si>
    <t>https://www.proquest.com/docview/2778595970</t>
  </si>
  <si>
    <t>https://www.proquest.com/docview/2778598204</t>
  </si>
  <si>
    <t>https://www.proquest.com/docview/2778622802</t>
  </si>
  <si>
    <t>https://www.proquest.com/docview/2778603649</t>
  </si>
  <si>
    <t>https://www.proquest.com/docview/2778622928</t>
  </si>
  <si>
    <t>https://www.proquest.com/docview/2778620220</t>
  </si>
  <si>
    <t>https://www.proquest.com/docview/2778621399</t>
  </si>
  <si>
    <t>https://www.proquest.com/docview/2778620221</t>
  </si>
  <si>
    <t>https://www.proquest.com/docview/2778617413</t>
  </si>
  <si>
    <t>https://www.proquest.com/docview/2778621279</t>
  </si>
  <si>
    <t>https://www.proquest.com/docview/2778617134</t>
  </si>
  <si>
    <t>https://www.proquest.com/docview/2778616923</t>
  </si>
  <si>
    <t>https://www.proquest.com/docview/2778624180</t>
  </si>
  <si>
    <t>https://www.proquest.com/docview/2778598338</t>
  </si>
  <si>
    <t>https://www.proquest.com/docview/2778615437</t>
  </si>
  <si>
    <t>https://www.proquest.com/docview/2778621196</t>
  </si>
  <si>
    <t>https://www.proquest.com/docview/2778598454</t>
  </si>
  <si>
    <t>https://www.proquest.com/docview/2778624183</t>
  </si>
  <si>
    <t>https://www.proquest.com/docview/2778600072</t>
  </si>
  <si>
    <t>https://www.proquest.com/docview/2778624218</t>
  </si>
  <si>
    <t>https://www.proquest.com/docview/2778600744</t>
  </si>
  <si>
    <t>https://www.proquest.com/docview/2778624213</t>
  </si>
  <si>
    <t>https://www.proquest.com/docview/2778620133</t>
  </si>
  <si>
    <t>https://www.proquest.com/docview/2778617188</t>
  </si>
  <si>
    <t>https://www.proquest.com/docview/2778616930</t>
  </si>
  <si>
    <t>https://www.proquest.com/docview/2778599792</t>
  </si>
  <si>
    <t>https://www.proquest.com/docview/2778599033</t>
  </si>
  <si>
    <t>https://www.proquest.com/docview/2778626075</t>
  </si>
  <si>
    <t>https://www.proquest.com/docview/2778620404</t>
  </si>
  <si>
    <t>https://www.proquest.com/docview/2778620128</t>
  </si>
  <si>
    <t>https://www.proquest.com/docview/2778615171</t>
  </si>
  <si>
    <t>https://www.proquest.com/docview/2778620804</t>
  </si>
  <si>
    <t>https://www.proquest.com/docview/2778625896</t>
  </si>
  <si>
    <t>https://www.proquest.com/docview/2778599840</t>
  </si>
  <si>
    <t>https://www.proquest.com/docview/2778614962</t>
  </si>
  <si>
    <t>https://www.proquest.com/docview/2778597947</t>
  </si>
  <si>
    <t>https://www.proquest.com/docview/2778602990</t>
  </si>
  <si>
    <t>https://www.proquest.com/docview/2778624001</t>
  </si>
  <si>
    <t>https://www.proquest.com/docview/2778624121</t>
  </si>
  <si>
    <t>https://www.proquest.com/docview/2778624086</t>
  </si>
  <si>
    <t>https://www.proquest.com/docview/2778598633</t>
  </si>
  <si>
    <t>https://www.proquest.com/docview/2778617282</t>
  </si>
  <si>
    <t>https://www.proquest.com/docview/2778600046</t>
  </si>
  <si>
    <t>https://www.proquest.com/docview/2778602501</t>
  </si>
  <si>
    <t>https://www.proquest.com/docview/2778622851</t>
  </si>
  <si>
    <t>https://www.proquest.com/docview/2778620157</t>
  </si>
  <si>
    <t>https://www.proquest.com/docview/2778615261</t>
  </si>
  <si>
    <t>https://www.proquest.com/docview/2778599852</t>
  </si>
  <si>
    <t>https://www.proquest.com/docview/2778622175</t>
  </si>
  <si>
    <t>https://www.proquest.com/docview/2778614974</t>
  </si>
  <si>
    <t>https://www.proquest.com/docview/2778603574</t>
  </si>
  <si>
    <t>https://www.proquest.com/docview/2778600186</t>
  </si>
  <si>
    <t>https://www.proquest.com/docview/2778596982</t>
  </si>
  <si>
    <t>https://www.proquest.com/docview/2778600182</t>
  </si>
  <si>
    <t>https://www.proquest.com/docview/2778626005</t>
  </si>
  <si>
    <t>https://www.proquest.com/docview/2778615431</t>
  </si>
  <si>
    <t>https://www.proquest.com/docview/2778617335</t>
  </si>
  <si>
    <t>https://www.proquest.com/docview/2778620664</t>
  </si>
  <si>
    <t>https://www.proquest.com/docview/2778620146</t>
  </si>
  <si>
    <t>https://www.proquest.com/docview/2778622723</t>
  </si>
  <si>
    <t>https://www.proquest.com/docview/2778617935</t>
  </si>
  <si>
    <t>https://www.proquest.com/docview/2778614544</t>
  </si>
  <si>
    <t>https://www.proquest.com/docview/2778603895</t>
  </si>
  <si>
    <t>https://www.proquest.com/docview/2778614553</t>
  </si>
  <si>
    <t>https://www.proquest.com/docview/2778621266</t>
  </si>
  <si>
    <t>https://www.proquest.com/docview/2778617021</t>
  </si>
  <si>
    <t>https://www.proquest.com/docview/2778621268</t>
  </si>
  <si>
    <t>https://www.proquest.com/docview/2778617024</t>
  </si>
  <si>
    <t>https://www.proquest.com/docview/2778624090</t>
  </si>
  <si>
    <t>https://www.proquest.com/docview/2778620174</t>
  </si>
  <si>
    <t>https://www.proquest.com/docview/2778624130</t>
  </si>
  <si>
    <t>https://www.proquest.com/docview/2778622867</t>
  </si>
  <si>
    <t>https://www.proquest.com/docview/2778617271</t>
  </si>
  <si>
    <t>https://www.proquest.com/docview/2778602851</t>
  </si>
  <si>
    <t>https://www.proquest.com/docview/2778602698</t>
  </si>
  <si>
    <t>https://www.proquest.com/docview/2778603028</t>
  </si>
  <si>
    <t>https://www.proquest.com/docview/2778623950</t>
  </si>
  <si>
    <t>https://www.proquest.com/docview/2778622740</t>
  </si>
  <si>
    <t>https://www.proquest.com/docview/2778622587</t>
  </si>
  <si>
    <t>https://www.proquest.com/docview/2778622743</t>
  </si>
  <si>
    <t>https://www.proquest.com/docview/2778614764</t>
  </si>
  <si>
    <t>https://www.proquest.com/docview/2778603363</t>
  </si>
  <si>
    <t>https://www.proquest.com/docview/2778621966</t>
  </si>
  <si>
    <t>https://www.proquest.com/docview/2778620911</t>
  </si>
  <si>
    <t>https://www.proquest.com/docview/2778603479</t>
  </si>
  <si>
    <t>https://www.proquest.com/docview/2778615741</t>
  </si>
  <si>
    <t>https://www.proquest.com/docview/2778602826</t>
  </si>
  <si>
    <t>https://www.proquest.com/docview/2778603916</t>
  </si>
  <si>
    <t>https://www.proquest.com/docview/2778598726</t>
  </si>
  <si>
    <t>https://www.proquest.com/docview/2778614777</t>
  </si>
  <si>
    <t>https://www.proquest.com/docview/2778598608</t>
  </si>
  <si>
    <t>https://www.proquest.com/docview/2778603410</t>
  </si>
  <si>
    <t>https://www.proquest.com/docview/2778598567</t>
  </si>
  <si>
    <t>https://www.proquest.com/docview/2778621959</t>
  </si>
  <si>
    <t>https://www.proquest.com/docview/2778603645</t>
  </si>
  <si>
    <t>https://www.proquest.com/docview/2778599381</t>
  </si>
  <si>
    <t>https://www.proquest.com/docview/2778620862</t>
  </si>
  <si>
    <t>https://www.proquest.com/docview/2778617771</t>
  </si>
  <si>
    <t>https://www.proquest.com/docview/2778602718</t>
  </si>
  <si>
    <t>https://www.proquest.com/docview/2778622800</t>
  </si>
  <si>
    <t>https://www.proquest.com/docview/2778597768</t>
  </si>
  <si>
    <t>https://www.proquest.com/docview/2778614742</t>
  </si>
  <si>
    <t>https://www.proquest.com/docview/2778614469</t>
  </si>
  <si>
    <t>https://www.proquest.com/docview/2778616922</t>
  </si>
  <si>
    <t>https://www.proquest.com/docview/2778600470</t>
  </si>
  <si>
    <t>https://www.proquest.com/docview/2778596033</t>
  </si>
  <si>
    <t>https://www.proquest.com/docview/2778624065</t>
  </si>
  <si>
    <t>https://www.proquest.com/docview/2778614508</t>
  </si>
  <si>
    <t>https://www.proquest.com/docview/2778600745</t>
  </si>
  <si>
    <t>https://www.proquest.com/docview/2778603851</t>
  </si>
  <si>
    <t>https://www.proquest.com/docview/2778599791</t>
  </si>
  <si>
    <t>https://www.proquest.com/docview/2778622155</t>
  </si>
  <si>
    <t>https://www.proquest.com/docview/2778623003</t>
  </si>
  <si>
    <t>https://www.proquest.com/docview/2778621465</t>
  </si>
  <si>
    <t>https://www.proquest.com/docview/2778618033</t>
  </si>
  <si>
    <t>https://www.proquest.com/docview/2778620136</t>
  </si>
  <si>
    <t>https://www.proquest.com/docview/2778614516</t>
  </si>
  <si>
    <t>https://www.proquest.com/docview/2778604040</t>
  </si>
  <si>
    <t>https://www.proquest.com/docview/2778624211</t>
  </si>
  <si>
    <t>https://www.proquest.com/docview/2778599839</t>
  </si>
  <si>
    <t>https://www.proquest.com/docview/2778598588</t>
  </si>
  <si>
    <t>https://www.proquest.com/docview/2778595992</t>
  </si>
  <si>
    <t>https://www.proquest.com/docview/2778624047</t>
  </si>
  <si>
    <t>https://www.proquest.com/docview/2778617192</t>
  </si>
  <si>
    <t>https://www.proquest.com/docview/2778622709</t>
  </si>
  <si>
    <t>https://www.proquest.com/docview/2778621298</t>
  </si>
  <si>
    <t>https://www.proquest.com/docview/2778596978</t>
  </si>
  <si>
    <t>https://www.proquest.com/docview/2778598639</t>
  </si>
  <si>
    <t>https://www.proquest.com/docview/2778621929</t>
  </si>
  <si>
    <t>https://www.proquest.com/docview/2778616907</t>
  </si>
  <si>
    <t>https://www.proquest.com/docview/2778621768</t>
  </si>
  <si>
    <t>https://www.proquest.com/docview/2778617284</t>
  </si>
  <si>
    <t>https://www.proquest.com/docview/2778601135</t>
  </si>
  <si>
    <t>https://www.proquest.com/docview/2778598361</t>
  </si>
  <si>
    <t>https://www.proquest.com/docview/2778621927</t>
  </si>
  <si>
    <t>https://www.proquest.com/docview/2778614572</t>
  </si>
  <si>
    <t>https://www.proquest.com/docview/2778614454</t>
  </si>
  <si>
    <t>https://www.proquest.com/docview/2778622854</t>
  </si>
  <si>
    <t>https://www.proquest.com/docview/2778617684</t>
  </si>
  <si>
    <t>https://www.proquest.com/docview/2778597953</t>
  </si>
  <si>
    <t>https://www.proquest.com/docview/2778622294</t>
  </si>
  <si>
    <t>https://www.proquest.com/docview/2778597956</t>
  </si>
  <si>
    <t>https://www.proquest.com/docview/2778622295</t>
  </si>
  <si>
    <t>https://www.proquest.com/docview/2778600184</t>
  </si>
  <si>
    <t>https://www.proquest.com/docview/2778624111</t>
  </si>
  <si>
    <t>https://www.proquest.com/docview/2778603211</t>
  </si>
  <si>
    <t>https://www.proquest.com/docview/2778624075</t>
  </si>
  <si>
    <t>https://www.proquest.com/docview/2778600579</t>
  </si>
  <si>
    <t>https://www.proquest.com/docview/2778624105</t>
  </si>
  <si>
    <t>https://www.proquest.com/docview/2778617290</t>
  </si>
  <si>
    <t>https://www.proquest.com/docview/2778603326</t>
  </si>
  <si>
    <t>https://www.proquest.com/docview/2778622287</t>
  </si>
  <si>
    <t>https://www.proquest.com/docview/2778623931</t>
  </si>
  <si>
    <t>https://www.proquest.com/docview/2778617018</t>
  </si>
  <si>
    <t>https://www.proquest.com/docview/2778624024</t>
  </si>
  <si>
    <t>https://www.proquest.com/docview/2778603143</t>
  </si>
  <si>
    <t>https://www.proquest.com/docview/2778598253</t>
  </si>
  <si>
    <t>https://www.proquest.com/docview/2778602970</t>
  </si>
  <si>
    <t>https://www.proquest.com/docview/2778626043</t>
  </si>
  <si>
    <t>https://www.proquest.com/docview/2778601084</t>
  </si>
  <si>
    <t>https://www.proquest.com/docview/2778621943</t>
  </si>
  <si>
    <t>https://www.proquest.com/docview/2778621946</t>
  </si>
  <si>
    <t>https://www.proquest.com/docview/2778621948</t>
  </si>
  <si>
    <t>https://www.proquest.com/docview/2778616851</t>
  </si>
  <si>
    <t>https://www.proquest.com/docview/2778621942</t>
  </si>
  <si>
    <t>https://www.proquest.com/docview/2778600947</t>
  </si>
  <si>
    <t>https://www.proquest.com/docview/2778596006</t>
  </si>
  <si>
    <t>https://www.proquest.com/docview/2778598268</t>
  </si>
  <si>
    <t>https://www.proquest.com/docview/2778600281</t>
  </si>
  <si>
    <t>https://www.proquest.com/docview/2778602854</t>
  </si>
  <si>
    <t>https://www.proquest.com/docview/2778621935</t>
  </si>
  <si>
    <t>https://www.proquest.com/docview/2778624007</t>
  </si>
  <si>
    <t>https://www.proquest.com/docview/2778620969</t>
  </si>
  <si>
    <t>https://www.proquest.com/docview/2778602697</t>
  </si>
  <si>
    <t>https://www.proquest.com/docview/2778603303</t>
  </si>
  <si>
    <t>https://www.proquest.com/docview/2778620165</t>
  </si>
  <si>
    <t>https://www.proquest.com/docview/2778621256</t>
  </si>
  <si>
    <t>https://www.proquest.com/docview/2778620166</t>
  </si>
  <si>
    <t>https://www.proquest.com/docview/2778621931</t>
  </si>
  <si>
    <t>https://www.proquest.com/docview/2778621776</t>
  </si>
  <si>
    <t>https://www.proquest.com/docview/2778614801</t>
  </si>
  <si>
    <t>https://www.proquest.com/docview/2778597901</t>
  </si>
  <si>
    <t>https://www.proquest.com/docview/2778622261</t>
  </si>
  <si>
    <t>https://www.proquest.com/docview/2778603000</t>
  </si>
  <si>
    <t>https://www.proquest.com/docview/2778624044</t>
  </si>
  <si>
    <t>https://www.proquest.com/docview/2778603756</t>
  </si>
  <si>
    <t>https://www.proquest.com/docview/2778622934</t>
  </si>
  <si>
    <t>https://www.proquest.com/docview/2778621968</t>
  </si>
  <si>
    <t>https://www.proquest.com/docview/2778603638</t>
  </si>
  <si>
    <t>https://www.proquest.com/docview/2778595969</t>
  </si>
  <si>
    <t>https://www.proquest.com/docview/2778620871</t>
  </si>
  <si>
    <t>https://www.proquest.com/docview/2778614812</t>
  </si>
  <si>
    <t>https://www.proquest.com/docview/2778624156</t>
  </si>
  <si>
    <t>https://www.proquest.com/docview/2778601073</t>
  </si>
  <si>
    <t>https://www.proquest.com/docview/2778617370</t>
  </si>
  <si>
    <t>https://www.proquest.com/docview/2778620227</t>
  </si>
  <si>
    <t>https://www.proquest.com/docview/2778624026</t>
  </si>
  <si>
    <t>https://www.proquest.com/docview/2778598052</t>
  </si>
  <si>
    <t>https://www.proquest.com/docview/2778617010</t>
  </si>
  <si>
    <t>https://www.proquest.com/docview/2778620861</t>
  </si>
  <si>
    <t>https://www.proquest.com/docview/2778617099</t>
  </si>
  <si>
    <t>https://www.proquest.com/docview/2778599029</t>
  </si>
  <si>
    <t>https://www.proquest.com/docview/2778614989</t>
  </si>
  <si>
    <t>https://www.proquest.com/docview/2778616889</t>
  </si>
  <si>
    <t>https://www.proquest.com/docview/2778595989</t>
  </si>
  <si>
    <t>https://www.proquest.com/docview/2778603341</t>
  </si>
  <si>
    <t>https://www.proquest.com/docview/2778600074</t>
  </si>
  <si>
    <t>https://www.proquest.com/docview/2778603102</t>
  </si>
  <si>
    <t>https://www.proquest.com/docview/2778598457</t>
  </si>
  <si>
    <t>https://www.proquest.com/docview/2778620139</t>
  </si>
  <si>
    <t>https://www.proquest.com/docview/2778614595</t>
  </si>
  <si>
    <t>https://www.proquest.com/docview/2778616894</t>
  </si>
  <si>
    <t>https://www.proquest.com/docview/2778599152</t>
  </si>
  <si>
    <t>https://www.proquest.com/docview/2778623004</t>
  </si>
  <si>
    <t>https://www.proquest.com/docview/2778600747</t>
  </si>
  <si>
    <t>https://www.proquest.com/docview/2778622313</t>
  </si>
  <si>
    <t>https://www.proquest.com/docview/2778625827</t>
  </si>
  <si>
    <t>https://www.proquest.com/docview/2778614593</t>
  </si>
  <si>
    <t>https://www.proquest.com/docview/2778622832</t>
  </si>
  <si>
    <t>https://www.proquest.com/docview/2778617101</t>
  </si>
  <si>
    <t>https://www.proquest.com/docview/2778597932</t>
  </si>
  <si>
    <t>https://www.proquest.com/docview/2778614477</t>
  </si>
  <si>
    <t>https://www.proquest.com/docview/2778622670</t>
  </si>
  <si>
    <t>https://www.proquest.com/docview/2778603350</t>
  </si>
  <si>
    <t>https://www.proquest.com/docview/2778599316</t>
  </si>
  <si>
    <t>https://www.proquest.com/docview/2778622427</t>
  </si>
  <si>
    <t>https://www.proquest.com/docview/2778617073</t>
  </si>
  <si>
    <t>https://www.proquest.com/docview/2778617074</t>
  </si>
  <si>
    <t>https://www.proquest.com/docview/2778621219</t>
  </si>
  <si>
    <t>https://www.proquest.com/docview/2778617190</t>
  </si>
  <si>
    <t>https://www.proquest.com/docview/2778602774</t>
  </si>
  <si>
    <t>https://www.proquest.com/docview/2778625897</t>
  </si>
  <si>
    <t>https://www.proquest.com/docview/2778596293</t>
  </si>
  <si>
    <t>https://www.proquest.com/docview/2778600630</t>
  </si>
  <si>
    <t>https://www.proquest.com/docview/2778622423</t>
  </si>
  <si>
    <t>https://www.proquest.com/docview/2778622667</t>
  </si>
  <si>
    <t>https://www.proquest.com/docview/2778622700</t>
  </si>
  <si>
    <t>https://www.proquest.com/docview/2778624080</t>
  </si>
  <si>
    <t>https://www.proquest.com/docview/2778599849</t>
  </si>
  <si>
    <t>https://www.proquest.com/docview/2778624084</t>
  </si>
  <si>
    <t>https://www.proquest.com/docview/2778615144</t>
  </si>
  <si>
    <t>https://www.proquest.com/docview/2778615665</t>
  </si>
  <si>
    <t>https://www.proquest.com/docview/2778615027</t>
  </si>
  <si>
    <t>https://www.proquest.com/docview/2778615302</t>
  </si>
  <si>
    <t>https://www.proquest.com/docview/2778616910</t>
  </si>
  <si>
    <t>https://www.proquest.com/docview/2778617329</t>
  </si>
  <si>
    <t>https://www.proquest.com/docview/2778624230</t>
  </si>
  <si>
    <t>https://www.proquest.com/docview/2778603602</t>
  </si>
  <si>
    <t>https://www.proquest.com/docview/2778602516</t>
  </si>
  <si>
    <t>https://www.proquest.com/docview/2778604016</t>
  </si>
  <si>
    <t>https://www.proquest.com/docview/2778600177</t>
  </si>
  <si>
    <t>https://www.proquest.com/docview/2778596070</t>
  </si>
  <si>
    <t>https://www.proquest.com/docview/2778602599</t>
  </si>
  <si>
    <t>https://www.proquest.com/docview/2778624103</t>
  </si>
  <si>
    <t>https://www.proquest.com/docview/2778596193</t>
  </si>
  <si>
    <t>https://www.proquest.com/docview/2778622563</t>
  </si>
  <si>
    <t>https://www.proquest.com/docview/2778620144</t>
  </si>
  <si>
    <t>https://www.proquest.com/docview/2778620941</t>
  </si>
  <si>
    <t>https://www.proquest.com/docview/2778599862</t>
  </si>
  <si>
    <t>https://www.proquest.com/docview/2778620184</t>
  </si>
  <si>
    <t>https://www.proquest.com/docview/2778624143</t>
  </si>
  <si>
    <t>https://www.proquest.com/docview/2778598379</t>
  </si>
  <si>
    <t>https://www.proquest.com/docview/2778599866</t>
  </si>
  <si>
    <t>https://www.proquest.com/docview/2778622913</t>
  </si>
  <si>
    <t>https://www.proquest.com/docview/2778598380</t>
  </si>
  <si>
    <t>https://www.proquest.com/docview/2778603015</t>
  </si>
  <si>
    <t>https://www.proquest.com/docview/2778624135</t>
  </si>
  <si>
    <t>https://www.proquest.com/docview/2778622874</t>
  </si>
  <si>
    <t>https://www.proquest.com/docview/2778621261</t>
  </si>
  <si>
    <t>https://www.proquest.com/docview/2778603397</t>
  </si>
  <si>
    <t>https://www.proquest.com/docview/2778624010</t>
  </si>
  <si>
    <t>https://www.proquest.com/docview/2778603432</t>
  </si>
  <si>
    <t>https://www.proquest.com/docview/2778601123</t>
  </si>
  <si>
    <t>https://www.proquest.com/docview/2778600950</t>
  </si>
  <si>
    <t>https://www.proquest.com/docview/2778620164</t>
  </si>
  <si>
    <t>https://www.proquest.com/docview/2778621253</t>
  </si>
  <si>
    <t>https://www.proquest.com/docview/2778622586</t>
  </si>
  <si>
    <t>https://www.proquest.com/docview/2778615251</t>
  </si>
  <si>
    <t>https://www.proquest.com/docview/2778620963</t>
  </si>
  <si>
    <t>https://www.proquest.com/docview/2778615132</t>
  </si>
  <si>
    <t>https://www.proquest.com/docview/2778621571</t>
  </si>
  <si>
    <t>https://www.proquest.com/docview/2778621296</t>
  </si>
  <si>
    <t>https://www.proquest.com/docview/2778597861</t>
  </si>
  <si>
    <t>https://www.proquest.com/docview/2778599801</t>
  </si>
  <si>
    <t>https://www.proquest.com/docview/2778617083</t>
  </si>
  <si>
    <t>https://www.proquest.com/docview/2778603757</t>
  </si>
  <si>
    <t>https://www.proquest.com/docview/2778598160</t>
  </si>
  <si>
    <t>https://www.proquest.com/docview/2778620991</t>
  </si>
  <si>
    <t>https://www.proquest.com/docview/2778600807</t>
  </si>
  <si>
    <t>https://www.proquest.com/docview/2778622775</t>
  </si>
  <si>
    <t>https://www.proquest.com/docview/2778598329</t>
  </si>
  <si>
    <t>https://www.proquest.com/docview/2778617009</t>
  </si>
  <si>
    <t>https://www.proquest.com/docview/2778615865</t>
  </si>
  <si>
    <t>https://www.proquest.com/docview/2778602681</t>
  </si>
  <si>
    <t>https://www.proquest.com/docview/2778599817</t>
  </si>
  <si>
    <t>https://www.proquest.com/docview/2778603498</t>
  </si>
  <si>
    <t>https://www.proquest.com/docview/2778603371</t>
  </si>
  <si>
    <t>https://www.proquest.com/docview/2778602832</t>
  </si>
  <si>
    <t>https://www.proquest.com/docview/2778625912</t>
  </si>
  <si>
    <t>https://www.proquest.com/docview/2778622649</t>
  </si>
  <si>
    <t>https://www.proquest.com/docview/2778622803</t>
  </si>
  <si>
    <t>https://www.proquest.com/docview/2778624027</t>
  </si>
  <si>
    <t>https://www.proquest.com/docview/2778621278</t>
  </si>
  <si>
    <t>https://www.proquest.com/docview/2778616926</t>
  </si>
  <si>
    <t>https://www.proquest.com/docview/2778615798</t>
  </si>
  <si>
    <t>https://www.proquest.com/docview/2778614622</t>
  </si>
  <si>
    <t>https://www.proquest.com/docview/2778624187</t>
  </si>
  <si>
    <t>https://www.proquest.com/docview/2778596035</t>
  </si>
  <si>
    <t>https://www.proquest.com/docview/2778604034</t>
  </si>
  <si>
    <t>https://www.proquest.com/docview/2778603335</t>
  </si>
  <si>
    <t>https://www.proquest.com/docview/2778616895</t>
  </si>
  <si>
    <t>https://www.proquest.com/docview/2778622312</t>
  </si>
  <si>
    <t>https://www.proquest.com/docview/2778620138</t>
  </si>
  <si>
    <t>https://www.proquest.com/docview/2778598623</t>
  </si>
  <si>
    <t>https://www.proquest.com/docview/2778615324</t>
  </si>
  <si>
    <t>https://www.proquest.com/docview/2778599034</t>
  </si>
  <si>
    <t>https://www.proquest.com/docview/2778603353</t>
  </si>
  <si>
    <t>https://www.proquest.com/docview/2778600088</t>
  </si>
  <si>
    <t>https://www.proquest.com/docview/2778624175</t>
  </si>
  <si>
    <t>https://www.proquest.com/docview/2778624054</t>
  </si>
  <si>
    <t>https://www.proquest.com/docview/2778599834</t>
  </si>
  <si>
    <t>https://www.proquest.com/docview/2778598589</t>
  </si>
  <si>
    <t>https://www.proquest.com/docview/2778604038</t>
  </si>
  <si>
    <t>https://www.proquest.com/docview/2778615050</t>
  </si>
  <si>
    <t>https://www.proquest.com/docview/2778624202</t>
  </si>
  <si>
    <t>https://www.proquest.com/docview/2778602534</t>
  </si>
  <si>
    <t>https://www.proquest.com/docview/2778614485</t>
  </si>
  <si>
    <t>https://www.proquest.com/docview/2778622424</t>
  </si>
  <si>
    <t>https://www.proquest.com/docview/2778617836</t>
  </si>
  <si>
    <t>https://www.proquest.com/docview/2778615899</t>
  </si>
  <si>
    <t>https://www.proquest.com/docview/2778603440</t>
  </si>
  <si>
    <t>https://www.proquest.com/docview/2778596297</t>
  </si>
  <si>
    <t>https://www.proquest.com/docview/2778620836</t>
  </si>
  <si>
    <t>https://www.proquest.com/docview/2778600728</t>
  </si>
  <si>
    <t>https://www.proquest.com/docview/2778622972</t>
  </si>
  <si>
    <t>https://www.proquest.com/docview/2778617166</t>
  </si>
  <si>
    <t>https://www.proquest.com/docview/2778615264</t>
  </si>
  <si>
    <t>https://www.proquest.com/docview/2778620159</t>
  </si>
  <si>
    <t>https://www.proquest.com/docview/2778614977</t>
  </si>
  <si>
    <t>https://www.proquest.com/docview/2778599851</t>
  </si>
  <si>
    <t>https://www.proquest.com/docview/2778617207</t>
  </si>
  <si>
    <t>https://www.proquest.com/docview/2778624199</t>
  </si>
  <si>
    <t>https://www.proquest.com/docview/2778598245</t>
  </si>
  <si>
    <t>https://www.proquest.com/docview/2778614738</t>
  </si>
  <si>
    <t>https://www.proquest.com/docview/2778624195</t>
  </si>
  <si>
    <t>https://www.proquest.com/docview/2778616917</t>
  </si>
  <si>
    <t>https://www.proquest.com/docview/2778603448</t>
  </si>
  <si>
    <t>https://www.proquest.com/docview/2778603207</t>
  </si>
  <si>
    <t>https://www.proquest.com/docview/2778617294</t>
  </si>
  <si>
    <t>https://www.proquest.com/docview/2778600734</t>
  </si>
  <si>
    <t>https://www.proquest.com/docview/2778620944</t>
  </si>
  <si>
    <t>https://www.proquest.com/docview/2778603840</t>
  </si>
  <si>
    <t>https://www.proquest.com/docview/2778617058</t>
  </si>
  <si>
    <t>https://www.proquest.com/docview/2778620145</t>
  </si>
  <si>
    <t>https://www.proquest.com/docview/2778622961</t>
  </si>
  <si>
    <t>https://www.proquest.com/docview/2778620147</t>
  </si>
  <si>
    <t>https://www.proquest.com/docview/2778624145</t>
  </si>
  <si>
    <t>https://www.proquest.com/docview/2778603145</t>
  </si>
  <si>
    <t>https://www.proquest.com/docview/2778596079</t>
  </si>
  <si>
    <t>https://www.proquest.com/docview/2778600662</t>
  </si>
  <si>
    <t>https://www.proquest.com/docview/2778600661</t>
  </si>
  <si>
    <t>https://www.proquest.com/docview/2778622232</t>
  </si>
  <si>
    <t>https://www.proquest.com/docview/2778617025</t>
  </si>
  <si>
    <t>https://www.proquest.com/docview/2778621423</t>
  </si>
  <si>
    <t>https://www.proquest.com/docview/2778615121</t>
  </si>
  <si>
    <t>https://www.proquest.com/docview/2778620214</t>
  </si>
  <si>
    <t>https://www.proquest.com/docview/2778615120</t>
  </si>
  <si>
    <t>https://www.proquest.com/docview/2778617029</t>
  </si>
  <si>
    <t>https://www.proquest.com/docview/2778599914</t>
  </si>
  <si>
    <t>https://www.proquest.com/docview/2778596002</t>
  </si>
  <si>
    <t>https://www.proquest.com/docview/2778614716</t>
  </si>
  <si>
    <t>https://www.proquest.com/docview/2778596001</t>
  </si>
  <si>
    <t>https://www.proquest.com/docview/2778623958</t>
  </si>
  <si>
    <t>https://www.proquest.com/docview/2778620845</t>
  </si>
  <si>
    <t>https://www.proquest.com/docview/2778603304</t>
  </si>
  <si>
    <t>https://www.proquest.com/docview/2778603425</t>
  </si>
  <si>
    <t>https://www.proquest.com/docview/2778621254</t>
  </si>
  <si>
    <t>https://www.proquest.com/docview/2778617798</t>
  </si>
  <si>
    <t>https://www.proquest.com/docview/2778615130</t>
  </si>
  <si>
    <t>https://www.proquest.com/docview/2778621257</t>
  </si>
  <si>
    <t>https://www.proquest.com/docview/2778622264</t>
  </si>
  <si>
    <t>https://www.proquest.com/docview/2778624046</t>
  </si>
  <si>
    <t>https://www.proquest.com/docview/2778624045</t>
  </si>
  <si>
    <t>https://www.proquest.com/docview/2778602551</t>
  </si>
  <si>
    <t>https://www.proquest.com/docview/2778626066</t>
  </si>
  <si>
    <t>https://www.proquest.com/docview/2778599800</t>
  </si>
  <si>
    <t>https://www.proquest.com/docview/2778603356</t>
  </si>
  <si>
    <t>https://www.proquest.com/docview/2778603996</t>
  </si>
  <si>
    <t>https://www.proquest.com/docview/2778603633</t>
  </si>
  <si>
    <t>https://www.proquest.com/docview/2778599890</t>
  </si>
  <si>
    <t>https://www.proquest.com/docview/2778622892</t>
  </si>
  <si>
    <t>https://www.proquest.com/docview/2778622138</t>
  </si>
  <si>
    <t>https://www.proquest.com/docview/2778623988</t>
  </si>
  <si>
    <t>https://www.proquest.com/docview/2778622778</t>
  </si>
  <si>
    <t>https://www.proquest.com/docview/2778617128</t>
  </si>
  <si>
    <t>https://www.proquest.com/docview/2778595978</t>
  </si>
  <si>
    <t>https://www.proquest.com/docview/2778620909</t>
  </si>
  <si>
    <t>https://www.proquest.com/docview/2778598563</t>
  </si>
  <si>
    <t>https://www.proquest.com/docview/2778624031</t>
  </si>
  <si>
    <t>https://www.proquest.com/docview/2778599779</t>
  </si>
  <si>
    <t>https://www.proquest.com/docview/2778599416</t>
  </si>
  <si>
    <t>https://www.proquest.com/docview/2778602953</t>
  </si>
  <si>
    <t>https://www.proquest.com/docview/2778603648</t>
  </si>
  <si>
    <t>https://www.proquest.com/docview/2778615190</t>
  </si>
  <si>
    <t>https://www.proquest.com/docview/2778599819</t>
  </si>
  <si>
    <t>https://www.proquest.com/docview/2778599780</t>
  </si>
  <si>
    <t>https://www.proquest.com/docview/2778623971</t>
  </si>
  <si>
    <t>https://www.proquest.com/docview/2778623972</t>
  </si>
  <si>
    <t>https://www.proquest.com/docview/2778617138</t>
  </si>
  <si>
    <t>https://www.proquest.com/docview/2778602715</t>
  </si>
  <si>
    <t>https://www.proquest.com/docview/2778620985</t>
  </si>
  <si>
    <t>https://www.proquest.com/docview/2778621952</t>
  </si>
  <si>
    <t>https://www.proquest.com/docview/2778624181</t>
  </si>
  <si>
    <t>https://www.proquest.com/docview/2778599820</t>
  </si>
  <si>
    <t>https://www.proquest.com/docview/2778621192</t>
  </si>
  <si>
    <t>https://www.proquest.com/docview/2778616920</t>
  </si>
  <si>
    <t>https://www.proquest.com/docview/2778624101</t>
  </si>
  <si>
    <t>https://www.proquest.com/docview/2778624221</t>
  </si>
  <si>
    <t>https://www.proquest.com/docview/2778614509</t>
  </si>
  <si>
    <t>https://www.proquest.com/docview/2778603856</t>
  </si>
  <si>
    <t>https://www.proquest.com/docview/2778603858</t>
  </si>
  <si>
    <t>https://www.proquest.com/docview/2778602643</t>
  </si>
  <si>
    <t>https://www.proquest.com/docview/2778600069</t>
  </si>
  <si>
    <t>https://www.proquest.com/docview/2778618037</t>
  </si>
  <si>
    <t>https://www.proquest.com/docview/2778622794</t>
  </si>
  <si>
    <t>https://www.proquest.com/docview/2778621464</t>
  </si>
  <si>
    <t>https://www.proquest.com/docview/2778622796</t>
  </si>
  <si>
    <t>https://www.proquest.com/docview/2778615162</t>
  </si>
  <si>
    <t>https://www.proquest.com/docview/2778621986</t>
  </si>
  <si>
    <t>https://www.proquest.com/docview/2778622953</t>
  </si>
  <si>
    <t>https://www.proquest.com/docview/2778599797</t>
  </si>
  <si>
    <t>https://www.proquest.com/docview/2778599434</t>
  </si>
  <si>
    <t>https://www.proquest.com/docview/2778614912</t>
  </si>
  <si>
    <t>https://www.proquest.com/docview/2778622152</t>
  </si>
  <si>
    <t>https://www.proquest.com/docview/2778624055</t>
  </si>
  <si>
    <t>https://www.proquest.com/docview/2778624204</t>
  </si>
  <si>
    <t>https://www.proquest.com/docview/2778615697</t>
  </si>
  <si>
    <t>https://www.proquest.com/docview/2778623995</t>
  </si>
  <si>
    <t>https://www.proquest.com/docview/2778615693</t>
  </si>
  <si>
    <t>https://www.proquest.com/docview/2778599843</t>
  </si>
  <si>
    <t>https://www.proquest.com/docview/2778624081</t>
  </si>
  <si>
    <t>https://www.proquest.com/docview/2778624122</t>
  </si>
  <si>
    <t>https://www.proquest.com/docview/2778617042</t>
  </si>
  <si>
    <t>https://www.proquest.com/docview/2778624115</t>
  </si>
  <si>
    <t>https://www.proquest.com/docview/2778622177</t>
  </si>
  <si>
    <t>https://www.proquest.com/docview/2778614971</t>
  </si>
  <si>
    <t>https://www.proquest.com/docview/2778620155</t>
  </si>
  <si>
    <t>https://www.proquest.com/docview/2778622698</t>
  </si>
  <si>
    <t>https://www.proquest.com/docview/2778603453</t>
  </si>
  <si>
    <t>https://www.proquest.com/docview/2778598123</t>
  </si>
  <si>
    <t>https://www.proquest.com/docview/2778624074</t>
  </si>
  <si>
    <t>https://www.proquest.com/docview/2778600732</t>
  </si>
  <si>
    <t>https://www.proquest.com/docview/2778623934</t>
  </si>
  <si>
    <t>https://www.proquest.com/docview/2778598092</t>
  </si>
  <si>
    <t>https://www.proquest.com/docview/2778624227</t>
  </si>
  <si>
    <t>https://www.proquest.com/docview/2778625830</t>
  </si>
  <si>
    <t>https://www.proquest.com/docview/2778615277</t>
  </si>
  <si>
    <t>https://www.proquest.com/docview/2778615036</t>
  </si>
  <si>
    <t>https://www.proquest.com/docview/2778621391</t>
  </si>
  <si>
    <t>https://www.proquest.com/docview/2778625993</t>
  </si>
  <si>
    <t>https://www.proquest.com/docview/2778598376</t>
  </si>
  <si>
    <t>https://www.proquest.com/docview/2778598655</t>
  </si>
  <si>
    <t>https://www.proquest.com/docview/2778602569</t>
  </si>
  <si>
    <t>https://www.proquest.com/docview/2778622879</t>
  </si>
  <si>
    <t>https://www.proquest.com/docview/2778615086</t>
  </si>
  <si>
    <t>https://www.proquest.com/docview/2778603817</t>
  </si>
  <si>
    <t>https://www.proquest.com/docview/2778624093</t>
  </si>
  <si>
    <t>https://www.proquest.com/docview/2778599916</t>
  </si>
  <si>
    <t>https://www.proquest.com/docview/2778624096</t>
  </si>
  <si>
    <t>https://www.proquest.com/docview/2778597972</t>
  </si>
  <si>
    <t>https://www.proquest.com/docview/2778598544</t>
  </si>
  <si>
    <t>https://www.proquest.com/docview/2778603273</t>
  </si>
  <si>
    <t>https://www.proquest.com/docview/2778599877</t>
  </si>
  <si>
    <t>https://www.proquest.com/docview/2778621779</t>
  </si>
  <si>
    <t>https://www.proquest.com/docview/2778624129</t>
  </si>
  <si>
    <t>https://www.proquest.com/docview/2778622221</t>
  </si>
  <si>
    <t>https://www.proquest.com/docview/2778623951</t>
  </si>
  <si>
    <t>https://www.proquest.com/docview/2778621258</t>
  </si>
  <si>
    <t>https://www.proquest.com/docview/2778615891</t>
  </si>
  <si>
    <t>https://www.proquest.com/docview/2778617035</t>
  </si>
  <si>
    <t>https://www.proquest.com/docview/2778599884</t>
  </si>
  <si>
    <t>https://www.proquest.com/docview/2778599806</t>
  </si>
  <si>
    <t>https://www.proquest.com/docview/2778596010</t>
  </si>
  <si>
    <t>https://www.proquest.com/docview/2778597983</t>
  </si>
  <si>
    <t>https://www.proquest.com/docview/2778622938</t>
  </si>
  <si>
    <t>https://www.proquest.com/docview/2778621286</t>
  </si>
  <si>
    <t>https://www.proquest.com/docview/2778599810</t>
  </si>
  <si>
    <t>https://www.proquest.com/docview/2778614536</t>
  </si>
  <si>
    <t>https://www.proquest.com/docview/2778617806</t>
  </si>
  <si>
    <t>https://www.proquest.com/docview/2778598046</t>
  </si>
  <si>
    <t>https://www.proquest.com/docview/2778596267</t>
  </si>
  <si>
    <t>https://www.proquest.com/docview/2778623978</t>
  </si>
  <si>
    <t>https://www.proquest.com/docview/2778622526</t>
  </si>
  <si>
    <t>https://www.proquest.com/docview/2778623979</t>
  </si>
  <si>
    <t>https://www.proquest.com/docview/2778603403</t>
  </si>
  <si>
    <t>https://www.proquest.com/docview/2778623973</t>
  </si>
  <si>
    <t>https://www.proquest.com/docview/2778614504</t>
  </si>
  <si>
    <t>https://www.proquest.com/docview/2778615159</t>
  </si>
  <si>
    <t>https://www.proquest.com/docview/2778614502</t>
  </si>
  <si>
    <t>https://www.proquest.com/docview/2778598619</t>
  </si>
  <si>
    <t>https://www.proquest.com/docview/2778617736</t>
  </si>
  <si>
    <t>https://www.proquest.com/docview/2778626003</t>
  </si>
  <si>
    <t>https://www.proquest.com/docview/2778603189</t>
  </si>
  <si>
    <t>https://www.proquest.com/docview/2778599947</t>
  </si>
  <si>
    <t>https://www.proquest.com/docview/2778598059</t>
  </si>
  <si>
    <t>https://www.proquest.com/docview/2778603852</t>
  </si>
  <si>
    <t>https://www.proquest.com/docview/2778624212</t>
  </si>
  <si>
    <t>https://www.proquest.com/docview/2778599032</t>
  </si>
  <si>
    <t>https://www.proquest.com/docview/2778617102</t>
  </si>
  <si>
    <t>https://www.proquest.com/docview/2778602929</t>
  </si>
  <si>
    <t>https://www.proquest.com/docview/2778620893</t>
  </si>
  <si>
    <t>https://www.proquest.com/docview/2778614630</t>
  </si>
  <si>
    <t>https://www.proquest.com/docview/2778615283</t>
  </si>
  <si>
    <t>https://www.proquest.com/docview/2778614515</t>
  </si>
  <si>
    <t>https://www.proquest.com/docview/2778599798</t>
  </si>
  <si>
    <t>https://www.proquest.com/docview/2778595996</t>
  </si>
  <si>
    <t>https://www.proquest.com/docview/2778622271</t>
  </si>
  <si>
    <t>https://www.proquest.com/docview/2778614995</t>
  </si>
  <si>
    <t>https://www.proquest.com/docview/2778599794</t>
  </si>
  <si>
    <t>https://www.proquest.com/docview/2778599838</t>
  </si>
  <si>
    <t>https://www.proquest.com/docview/2778595990</t>
  </si>
  <si>
    <t>https://www.proquest.com/docview/2778617072</t>
  </si>
  <si>
    <t>https://www.proquest.com/docview/2778603103</t>
  </si>
  <si>
    <t>https://www.proquest.com/docview/2778623992</t>
  </si>
  <si>
    <t>https://www.proquest.com/docview/2778615174</t>
  </si>
  <si>
    <t>https://www.proquest.com/docview/2778617197</t>
  </si>
  <si>
    <t>https://www.proquest.com/docview/2778617799</t>
  </si>
  <si>
    <t>https://www.proquest.com/docview/2778624123</t>
  </si>
  <si>
    <t>https://www.proquest.com/docview/2778600450</t>
  </si>
  <si>
    <t>https://www.proquest.com/docview/2778616906</t>
  </si>
  <si>
    <t>https://www.proquest.com/docview/2778600050</t>
  </si>
  <si>
    <t>https://www.proquest.com/docview/2778623947</t>
  </si>
  <si>
    <t>https://www.proquest.com/docview/2778622738</t>
  </si>
  <si>
    <t>https://www.proquest.com/docview/2778601014</t>
  </si>
  <si>
    <t>https://www.proquest.com/docview/2778599296</t>
  </si>
  <si>
    <t>https://www.proquest.com/docview/2778617168</t>
  </si>
  <si>
    <t>https://www.proquest.com/docview/2778620154</t>
  </si>
  <si>
    <t>https://www.proquest.com/docview/2778615026</t>
  </si>
  <si>
    <t>https://www.proquest.com/docview/2778614453</t>
  </si>
  <si>
    <t>https://www.proquest.com/docview/2778621367</t>
  </si>
  <si>
    <t>https://www.proquest.com/docview/2778600603</t>
  </si>
  <si>
    <t>https://www.proquest.com/docview/2778615944</t>
  </si>
  <si>
    <t>https://www.proquest.com/docview/2778622174</t>
  </si>
  <si>
    <t>https://www.proquest.com/docview/2778614732</t>
  </si>
  <si>
    <t>https://www.proquest.com/docview/2778599859</t>
  </si>
  <si>
    <t>https://www.proquest.com/docview/2778622967</t>
  </si>
  <si>
    <t>https://www.proquest.com/docview/2778618021</t>
  </si>
  <si>
    <t>https://www.proquest.com/docview/2778621353</t>
  </si>
  <si>
    <t>https://www.proquest.com/docview/2778617336</t>
  </si>
  <si>
    <t>https://www.proquest.com/docview/2778618022</t>
  </si>
  <si>
    <t>https://www.proquest.com/docview/2778599502</t>
  </si>
  <si>
    <t>https://www.proquest.com/docview/2778616968</t>
  </si>
  <si>
    <t>https://www.proquest.com/docview/2778614665</t>
  </si>
  <si>
    <t>https://www.proquest.com/docview/2778598419</t>
  </si>
  <si>
    <t>https://www.proquest.com/docview/2778597969</t>
  </si>
  <si>
    <t>https://www.proquest.com/docview/2778596195</t>
  </si>
  <si>
    <t>https://www.proquest.com/docview/2778598099</t>
  </si>
  <si>
    <t>https://www.proquest.com/docview/2778599903</t>
  </si>
  <si>
    <t>https://www.proquest.com/docview/2778599628</t>
  </si>
  <si>
    <t>https://www.proquest.com/docview/2778625990</t>
  </si>
  <si>
    <t>https://www.proquest.com/docview/2778615916</t>
  </si>
  <si>
    <t>https://www.proquest.com/docview/2778596078</t>
  </si>
  <si>
    <t>https://www.proquest.com/docview/2778602967</t>
  </si>
  <si>
    <t>https://www.proquest.com/docview/2778622991</t>
  </si>
  <si>
    <t>https://www.proquest.com/docview/2778621264</t>
  </si>
  <si>
    <t>https://www.proquest.com/docview/2778623961</t>
  </si>
  <si>
    <t>https://www.proquest.com/docview/2778617145</t>
  </si>
  <si>
    <t>https://www.proquest.com/docview/2778620973</t>
  </si>
  <si>
    <t>https://www.proquest.com/docview/2778616978</t>
  </si>
  <si>
    <t>https://www.proquest.com/docview/2778599995</t>
  </si>
  <si>
    <t>https://www.proquest.com/docview/2778599477</t>
  </si>
  <si>
    <t>https://www.proquest.com/docview/2778603277</t>
  </si>
  <si>
    <t>https://www.proquest.com/docview/2778624098</t>
  </si>
  <si>
    <t>https://www.proquest.com/docview/2778624131</t>
  </si>
  <si>
    <t>https://www.proquest.com/docview/2778620965</t>
  </si>
  <si>
    <t>https://www.proquest.com/docview/2778622900</t>
  </si>
  <si>
    <t>https://www.proquest.com/docview/2778615490</t>
  </si>
  <si>
    <t>https://www.proquest.com/docview/2778614561</t>
  </si>
  <si>
    <t>https://www.proquest.com/docview/2778614681</t>
  </si>
  <si>
    <t>https://www.proquest.com/docview/2778603707</t>
  </si>
  <si>
    <t>https://www.proquest.com/docview/2778598956</t>
  </si>
  <si>
    <t>https://www.proquest.com/docview/2778614763</t>
  </si>
  <si>
    <t>https://www.proquest.com/docview/2778595965</t>
  </si>
  <si>
    <t>https://www.proquest.com/docview/2778615734</t>
  </si>
  <si>
    <t>https://www.proquest.com/docview/2778616943</t>
  </si>
  <si>
    <t>https://www.proquest.com/docview/2778598153</t>
  </si>
  <si>
    <t>https://www.proquest.com/docview/2778598793</t>
  </si>
  <si>
    <t>https://www.proquest.com/docview/2778624043</t>
  </si>
  <si>
    <t>https://www.proquest.com/docview/2778624164</t>
  </si>
  <si>
    <t>https://www.proquest.com/docview/2778598432</t>
  </si>
  <si>
    <t>https://www.proquest.com/docview/2778599889</t>
  </si>
  <si>
    <t>https://www.proquest.com/docview/2778602822</t>
  </si>
  <si>
    <t>https://www.proquest.com/docview/2778617085</t>
  </si>
  <si>
    <t>https://www.proquest.com/docview/2778602664</t>
  </si>
  <si>
    <t>https://www.proquest.com/docview/2778603238</t>
  </si>
  <si>
    <t>https://www.proquest.com/docview/2778615462</t>
  </si>
  <si>
    <t>https://www.proquest.com/docview/2778596302</t>
  </si>
  <si>
    <t>https://www.proquest.com/docview/2778621280</t>
  </si>
  <si>
    <t>https://www.proquest.com/docview/2778621283</t>
  </si>
  <si>
    <t>https://www.proquest.com/docview/2778598561</t>
  </si>
  <si>
    <t>https://www.proquest.com/docview/2778601075</t>
  </si>
  <si>
    <t>https://www.proquest.com/docview/2778599815</t>
  </si>
  <si>
    <t>https://www.proquest.com/docview/2778597993</t>
  </si>
  <si>
    <t>https://www.proquest.com/docview/2778603525</t>
  </si>
  <si>
    <t>https://www.proquest.com/docview/2778625999</t>
  </si>
  <si>
    <t>https://www.proquest.com/docview/2778620229</t>
  </si>
  <si>
    <t>https://www.proquest.com/docview/2778624029</t>
  </si>
  <si>
    <t>https://www.proquest.com/docview/2778603367</t>
  </si>
  <si>
    <t>https://www.proquest.com/docview/2778624147</t>
  </si>
  <si>
    <t>https://www.proquest.com/docview/2778617650</t>
  </si>
  <si>
    <t>https://www.proquest.com/docview/2778622283</t>
  </si>
  <si>
    <t>https://www.proquest.com/docview/2778621194</t>
  </si>
  <si>
    <t>https://www.proquest.com/docview/2778617977</t>
  </si>
  <si>
    <t>https://www.proquest.com/docview/2778620141</t>
  </si>
  <si>
    <t>https://www.proquest.com/docview/2778620140</t>
  </si>
  <si>
    <t>https://www.proquest.com/docview/2778599828</t>
  </si>
  <si>
    <t>https://www.proquest.com/docview/2778599825</t>
  </si>
  <si>
    <t>https://www.proquest.com/docview/2778598215</t>
  </si>
  <si>
    <t>https://www.proquest.com/docview/2778599822</t>
  </si>
  <si>
    <t>https://www.proquest.com/docview/2778600467</t>
  </si>
  <si>
    <t>https://www.proquest.com/docview/2778600068</t>
  </si>
  <si>
    <t>https://www.proquest.com/docview/2778602641</t>
  </si>
  <si>
    <t>https://www.proquest.com/docview/2778623929</t>
  </si>
  <si>
    <t>https://www.proquest.com/docview/2778624179</t>
  </si>
  <si>
    <t>https://www.proquest.com/docview/2778597812</t>
  </si>
  <si>
    <t>https://www.proquest.com/docview/2778614632</t>
  </si>
  <si>
    <t>https://www.proquest.com/docview/2778597771</t>
  </si>
  <si>
    <t>https://www.proquest.com/docview/2778617075</t>
  </si>
  <si>
    <t>https://www.proquest.com/docview/2778624203</t>
  </si>
  <si>
    <t>https://www.proquest.com/docview/2778603864</t>
  </si>
  <si>
    <t>https://www.proquest.com/docview/2778623996</t>
  </si>
  <si>
    <t>https://www.proquest.com/docview/2778617351</t>
  </si>
  <si>
    <t>https://www.proquest.com/docview/2778615692</t>
  </si>
  <si>
    <t>https://www.proquest.com/docview/2778599842</t>
  </si>
  <si>
    <t>https://www.proquest.com/docview/2778598635</t>
  </si>
  <si>
    <t>https://www.proquest.com/docview/2778598636</t>
  </si>
  <si>
    <t>https://www.proquest.com/docview/2778596977</t>
  </si>
  <si>
    <t>https://www.proquest.com/docview/2778620162</t>
  </si>
  <si>
    <t>https://www.proquest.com/docview/2778603167</t>
  </si>
  <si>
    <t>https://www.proquest.com/docview/2778624083</t>
  </si>
  <si>
    <t>https://www.proquest.com/docview/2778620716</t>
  </si>
  <si>
    <t>https://www.proquest.com/docview/2778622739</t>
  </si>
  <si>
    <t>https://www.proquest.com/docview/2778624116</t>
  </si>
  <si>
    <t>https://www.proquest.com/docview/2778600607</t>
  </si>
  <si>
    <t>https://www.proquest.com/docview/2778620399</t>
  </si>
  <si>
    <t>https://www.proquest.com/docview/2778598524</t>
  </si>
  <si>
    <t>https://www.proquest.com/docview/2778616914</t>
  </si>
  <si>
    <t>https://www.proquest.com/docview/2778615941</t>
  </si>
  <si>
    <t>https://www.proquest.com/docview/2778599058</t>
  </si>
  <si>
    <t>https://www.proquest.com/docview/2778617328</t>
  </si>
  <si>
    <t>https://www.proquest.com/docview/2778626014</t>
  </si>
  <si>
    <t>https://www.proquest.com/docview/2778598121</t>
  </si>
  <si>
    <t>https://www.proquest.com/docview/2778598520</t>
  </si>
  <si>
    <t>https://www.proquest.com/docview/2778624073</t>
  </si>
  <si>
    <t>https://www.proquest.com/docview/2778624194</t>
  </si>
  <si>
    <t>https://www.proquest.com/docview/2778617052</t>
  </si>
  <si>
    <t>https://www.proquest.com/docview/2778624069</t>
  </si>
  <si>
    <t>https://www.proquest.com/docview/2778617059</t>
  </si>
  <si>
    <t>https://www.proquest.com/docview/2778615671</t>
  </si>
  <si>
    <t>https://www.proquest.com/docview/2778623932</t>
  </si>
  <si>
    <t>https://www.proquest.com/docview/2778598777</t>
  </si>
  <si>
    <t>https://www.proquest.com/docview/2778602572</t>
  </si>
  <si>
    <t>https://www.proquest.com/docview/2778600032</t>
  </si>
  <si>
    <t>https://www.proquest.com/docview/2778624021</t>
  </si>
  <si>
    <t>https://www.proquest.com/docview/2778621945</t>
  </si>
  <si>
    <t>https://www.proquest.com/docview/2778602840</t>
  </si>
  <si>
    <t>https://www.proquest.com/docview/2778624015</t>
  </si>
  <si>
    <t>https://www.proquest.com/docview/2778617268</t>
  </si>
  <si>
    <t>https://www.proquest.com/docview/2778616850</t>
  </si>
  <si>
    <t>https://www.proquest.com/docview/2778616971</t>
  </si>
  <si>
    <t>https://www.proquest.com/docview/2778617265</t>
  </si>
  <si>
    <t>https://www.proquest.com/docview/2778614790</t>
  </si>
  <si>
    <t>https://www.proquest.com/docview/2778623966</t>
  </si>
  <si>
    <t>https://www.proquest.com/docview/2778620698</t>
  </si>
  <si>
    <t>https://www.proquest.com/docview/2778598707</t>
  </si>
  <si>
    <t>https://www.proquest.com/docview/2778598264</t>
  </si>
  <si>
    <t>https://www.proquest.com/docview/2778603553</t>
  </si>
  <si>
    <t>https://www.proquest.com/docview/2778600277</t>
  </si>
  <si>
    <t>https://www.proquest.com/docview/2778621936</t>
  </si>
  <si>
    <t>https://www.proquest.com/docview/2778620962</t>
  </si>
  <si>
    <t>https://www.proquest.com/docview/2778616947</t>
  </si>
  <si>
    <t>https://www.proquest.com/docview/2778599883</t>
  </si>
  <si>
    <t>https://www.proquest.com/docview/2778624167</t>
  </si>
  <si>
    <t>https://www.proquest.com/docview/2778626068</t>
  </si>
  <si>
    <t>https://www.proquest.com/docview/2778599804</t>
  </si>
  <si>
    <t>https://www.proquest.com/docview/2778602552</t>
  </si>
  <si>
    <t>https://www.proquest.com/docview/2778598796</t>
  </si>
  <si>
    <t>https://www.proquest.com/docview/2778603753</t>
  </si>
  <si>
    <t>https://www.proquest.com/docview/2778617004</t>
  </si>
  <si>
    <t>https://www.proquest.com/docview/2778614770</t>
  </si>
  <si>
    <t>https://www.proquest.com/docview/2778620992</t>
  </si>
  <si>
    <t>https://www.proquest.com/docview/2778599534</t>
  </si>
  <si>
    <t>https://www.proquest.com/docview/2778616957</t>
  </si>
  <si>
    <t>https://www.proquest.com/docview/2778599772</t>
  </si>
  <si>
    <t>https://www.proquest.com/docview/2778622770</t>
  </si>
  <si>
    <t>https://www.proquest.com/docview/2778597995</t>
  </si>
  <si>
    <t>https://www.proquest.com/docview/2778621956</t>
  </si>
  <si>
    <t>https://www.proquest.com/docview/2778616962</t>
  </si>
  <si>
    <t>https://www.proquest.com/docview/2778614541</t>
  </si>
  <si>
    <t>https://www.proquest.com/docview/2778621277</t>
  </si>
  <si>
    <t>https://www.proquest.com/docview/2778620743</t>
  </si>
  <si>
    <t>https://www.proquest.com/docview/2778617012</t>
  </si>
  <si>
    <t>https://www.proquest.com/docview/2778614624</t>
  </si>
  <si>
    <t>https://www.proquest.com/docview/2778614503</t>
  </si>
  <si>
    <t>https://www.proquest.com/docview/2778614506</t>
  </si>
  <si>
    <t>https://www.proquest.com/docview/2778622164</t>
  </si>
  <si>
    <t>https://www.proquest.com/docview/2778596037</t>
  </si>
  <si>
    <t>https://www.proquest.com/docview/2778620810</t>
  </si>
  <si>
    <t>https://www.proquest.com/docview/2778620658</t>
  </si>
  <si>
    <t>https://www.proquest.com/docview/2778624059</t>
  </si>
  <si>
    <t>https://www.proquest.com/docview/2778621463</t>
  </si>
  <si>
    <t>https://www.proquest.com/docview/2778620651</t>
  </si>
  <si>
    <t>https://www.proquest.com/docview/2778620134</t>
  </si>
  <si>
    <t>https://www.proquest.com/docview/2778616896</t>
  </si>
  <si>
    <t>https://www.proquest.com/docview/2778620650</t>
  </si>
  <si>
    <t>https://www.proquest.com/docview/2778616890</t>
  </si>
  <si>
    <t>https://www.proquest.com/docview/2778616897</t>
  </si>
  <si>
    <t>https://www.proquest.com/docview/2778603990</t>
  </si>
  <si>
    <t>https://www.proquest.com/docview/2778616939</t>
  </si>
  <si>
    <t>https://www.proquest.com/docview/2778603472</t>
  </si>
  <si>
    <t>https://www.proquest.com/docview/2778603503</t>
  </si>
  <si>
    <t>https://www.proquest.com/docview/2778622703</t>
  </si>
  <si>
    <t>https://www.proquest.com/docview/2778603625</t>
  </si>
  <si>
    <t>https://www.proquest.com/docview/2778620923</t>
  </si>
  <si>
    <t>https://www.proquest.com/docview/2778603620</t>
  </si>
  <si>
    <t>https://www.proquest.com/docview/2778599164</t>
  </si>
  <si>
    <t>https://www.proquest.com/docview/2778622300</t>
  </si>
  <si>
    <t>https://www.proquest.com/docview/2778617079</t>
  </si>
  <si>
    <t>https://www.proquest.com/docview/2778615017</t>
  </si>
  <si>
    <t>https://www.proquest.com/docview/2778615810</t>
  </si>
  <si>
    <t>https://www.proquest.com/docview/2778624088</t>
  </si>
  <si>
    <t>https://www.proquest.com/docview/2778616905</t>
  </si>
  <si>
    <t>https://www.proquest.com/docview/2778620954</t>
  </si>
  <si>
    <t>https://www.proquest.com/docview/2778603558</t>
  </si>
  <si>
    <t>https://www.proquest.com/docview/2778623946</t>
  </si>
  <si>
    <t>https://www.proquest.com/docview/2778617041</t>
  </si>
  <si>
    <t>https://www.proquest.com/docview/2778621407</t>
  </si>
  <si>
    <t>https://www.proquest.com/docview/2778624236</t>
  </si>
  <si>
    <t>https://www.proquest.com/docview/2778620717</t>
  </si>
  <si>
    <t>https://www.proquest.com/docview/2778621364</t>
  </si>
  <si>
    <t>https://www.proquest.com/docview/2778622850</t>
  </si>
  <si>
    <t>https://www.proquest.com/docview/2778622213</t>
  </si>
  <si>
    <t>https://www.proquest.com/docview/2778623940</t>
  </si>
  <si>
    <t>https://www.proquest.com/docview/2778615020</t>
  </si>
  <si>
    <t>https://www.proquest.com/docview/2778602749</t>
  </si>
  <si>
    <t>https://www.proquest.com/docview/2778600606</t>
  </si>
  <si>
    <t>https://www.proquest.com/docview/2778599854</t>
  </si>
  <si>
    <t>https://www.proquest.com/docview/2778617205</t>
  </si>
  <si>
    <t>https://www.proquest.com/docview/2778603297</t>
  </si>
  <si>
    <t>https://www.proquest.com/docview/2778626012</t>
  </si>
  <si>
    <t>https://www.proquest.com/docview/2778624076</t>
  </si>
  <si>
    <t>https://www.proquest.com/docview/2778603690</t>
  </si>
  <si>
    <t>https://www.proquest.com/docview/2778600578</t>
  </si>
  <si>
    <t>https://www.proquest.com/docview/2778602637</t>
  </si>
  <si>
    <t>https://www.proquest.com/docview/2778623930</t>
  </si>
  <si>
    <t>https://www.proquest.com/docview/2778599865</t>
  </si>
  <si>
    <t>https://www.proquest.com/docview/2778616969</t>
  </si>
  <si>
    <t>https://www.proquest.com/docview/2778599466</t>
  </si>
  <si>
    <t>https://www.proquest.com/docview/2778621390</t>
  </si>
  <si>
    <t>https://www.proquest.com/docview/2778603144</t>
  </si>
  <si>
    <t>https://www.proquest.com/docview/2778603420</t>
  </si>
  <si>
    <t>https://www.proquest.com/docview/2778623967</t>
  </si>
  <si>
    <t>https://www.proquest.com/docview/2778603416</t>
  </si>
  <si>
    <t>https://www.proquest.com/docview/2778620977</t>
  </si>
  <si>
    <t>https://www.proquest.com/docview/2778621949</t>
  </si>
  <si>
    <t>https://www.proquest.com/docview/2778617149</t>
  </si>
  <si>
    <t>https://www.proquest.com/docview/2778620697</t>
  </si>
  <si>
    <t>https://www.proquest.com/docview/2778617264</t>
  </si>
  <si>
    <t>https://www.proquest.com/docview/2778617783</t>
  </si>
  <si>
    <t>https://www.proquest.com/docview/2778614715</t>
  </si>
  <si>
    <t>https://www.proquest.com/docview/2778616974</t>
  </si>
  <si>
    <t>https://www.proquest.com/docview/2778621260</t>
  </si>
  <si>
    <t>https://www.proquest.com/docview/2778625860</t>
  </si>
  <si>
    <t>https://www.proquest.com/docview/2778602580</t>
  </si>
  <si>
    <t>https://www.proquest.com/docview/2778598820</t>
  </si>
  <si>
    <t>https://www.proquest.com/docview/2778621932</t>
  </si>
  <si>
    <t>https://www.proquest.com/docview/2778624008</t>
  </si>
  <si>
    <t>https://www.proquest.com/docview/2778600034</t>
  </si>
  <si>
    <t>https://www.proquest.com/docview/2778603666</t>
  </si>
  <si>
    <t>https://www.proquest.com/docview/2778623953</t>
  </si>
  <si>
    <t>https://www.proquest.com/docview/2778596137</t>
  </si>
  <si>
    <t>https://www.proquest.com/docview/2778614649</t>
  </si>
  <si>
    <t>https://www.proquest.com/docview/2778617117</t>
  </si>
  <si>
    <t>https://www.proquest.com/docview/2778598958</t>
  </si>
  <si>
    <t>https://www.proquest.com/docview/2778614920</t>
  </si>
  <si>
    <t>https://www.proquest.com/docview/2778621570</t>
  </si>
  <si>
    <t>https://www.proquest.com/docview/2778599805</t>
  </si>
  <si>
    <t>https://www.proquest.com/docview/2778599767</t>
  </si>
  <si>
    <t>https://www.proquest.com/docview/2778600003</t>
  </si>
  <si>
    <t>https://www.proquest.com/docview/2778624036</t>
  </si>
  <si>
    <t>https://www.proquest.com/docview/2778621440</t>
  </si>
  <si>
    <t>https://www.proquest.com/docview/2778621962</t>
  </si>
  <si>
    <t>https://www.proquest.com/docview/2778615461</t>
  </si>
  <si>
    <t>https://www.proquest.com/docview/2778617123</t>
  </si>
  <si>
    <t>https://www.proquest.com/docview/2778598326</t>
  </si>
  <si>
    <t>https://www.proquest.com/docview/2778595975</t>
  </si>
  <si>
    <t>https://www.proquest.com/docview/2778599774</t>
  </si>
  <si>
    <t>https://www.proquest.com/docview/2778595976</t>
  </si>
  <si>
    <t>https://www.proquest.com/docview/2778597914</t>
  </si>
  <si>
    <t>https://www.proquest.com/docview/2778601076</t>
  </si>
  <si>
    <t>https://www.proquest.com/docview/2778624035</t>
  </si>
  <si>
    <t>https://www.proquest.com/docview/2778624151</t>
  </si>
  <si>
    <t>https://www.proquest.com/docview/2778620866</t>
  </si>
  <si>
    <t>https://www.proquest.com/docview/2778621397</t>
  </si>
  <si>
    <t>https://www.proquest.com/docview/2778620186</t>
  </si>
  <si>
    <t>https://www.proquest.com/docview/2778620189</t>
  </si>
  <si>
    <t>https://www.proquest.com/docview/2778620226</t>
  </si>
  <si>
    <t>https://www.proquest.com/docview/2778617013</t>
  </si>
  <si>
    <t>https://www.proquest.com/docview/2778622682</t>
  </si>
  <si>
    <t>https://www.proquest.com/docview/2778598971</t>
  </si>
  <si>
    <t>https://www.proquest.com/docview/2778615718</t>
  </si>
  <si>
    <t>https://www.proquest.com/docview/2778622959</t>
  </si>
  <si>
    <t>https://www.proquest.com/docview/2778600464</t>
  </si>
  <si>
    <t>https://www.proquest.com/docview/2778596040</t>
  </si>
  <si>
    <t>https://www.proquest.com/docview/2778599790</t>
  </si>
  <si>
    <t>https://www.proquest.com/docview/2778614750</t>
  </si>
  <si>
    <t>https://www.proquest.com/docview/2778620894</t>
  </si>
  <si>
    <t>https://www.proquest.com/docview/2778617100</t>
  </si>
  <si>
    <t>https://www.proquest.com/docview/2778620137</t>
  </si>
  <si>
    <t>https://www.proquest.com/docview/2778615967</t>
  </si>
  <si>
    <t>https://www.proquest.com/docview/2778614637</t>
  </si>
  <si>
    <t>https://www.proquest.com/docview/2778620130</t>
  </si>
  <si>
    <t>https://www.proquest.com/docview/2778617108</t>
  </si>
  <si>
    <t>https://www.proquest.com/docview/2778624177</t>
  </si>
  <si>
    <t>https://www.proquest.com/docview/2778624056</t>
  </si>
  <si>
    <t>https://www.proquest.com/docview/2778626077</t>
  </si>
  <si>
    <t>https://www.proquest.com/docview/2778622702</t>
  </si>
  <si>
    <t>https://www.proquest.com/docview/2778617195</t>
  </si>
  <si>
    <t>https://www.proquest.com/docview/2778598194</t>
  </si>
  <si>
    <t>https://www.proquest.com/docview/2778624168</t>
  </si>
  <si>
    <t>https://www.proquest.com/docview/2778622541</t>
  </si>
  <si>
    <t>https://www.proquest.com/docview/2778617110</t>
  </si>
  <si>
    <t>https://www.proquest.com/docview/2778603906</t>
  </si>
  <si>
    <t>https://www.proquest.com/docview/2778614686</t>
  </si>
  <si>
    <t>https://www.proquest.com/docview/2778624243</t>
  </si>
  <si>
    <t>https://www.proquest.com/docview/2778600052</t>
  </si>
  <si>
    <t>https://www.proquest.com/docview/2778602991</t>
  </si>
  <si>
    <t>https://www.proquest.com/docview/2778603289</t>
  </si>
  <si>
    <t>https://www.proquest.com/docview/2778598599</t>
  </si>
  <si>
    <t>https://www.proquest.com/docview/2778617040</t>
  </si>
  <si>
    <t>https://www.proquest.com/docview/2778620837</t>
  </si>
  <si>
    <t>https://www.proquest.com/docview/2778621925</t>
  </si>
  <si>
    <t>https://www.proquest.com/docview/2778597828</t>
  </si>
  <si>
    <t>https://www.proquest.com/docview/2778614574</t>
  </si>
  <si>
    <t>https://www.proquest.com/docview/2778621368</t>
  </si>
  <si>
    <t>https://www.proquest.com/docview/2778614450</t>
  </si>
  <si>
    <t>https://www.proquest.com/docview/2778617045</t>
  </si>
  <si>
    <t>https://www.proquest.com/docview/2778621765</t>
  </si>
  <si>
    <t>https://www.proquest.com/docview/2778597952</t>
  </si>
  <si>
    <t>https://www.proquest.com/docview/2778598922</t>
  </si>
  <si>
    <t>https://www.proquest.com/docview/2778624233</t>
  </si>
  <si>
    <t>https://www.proquest.com/docview/2778624077</t>
  </si>
  <si>
    <t>https://www.proquest.com/docview/2778624196</t>
  </si>
  <si>
    <t>https://www.proquest.com/docview/2778603571</t>
  </si>
  <si>
    <t>https://www.proquest.com/docview/2778617292</t>
  </si>
  <si>
    <t>https://www.proquest.com/docview/2778620143</t>
  </si>
  <si>
    <t>https://www.proquest.com/docview/2778620142</t>
  </si>
  <si>
    <t>https://www.proquest.com/docview/2778615278</t>
  </si>
  <si>
    <t>https://www.proquest.com/docview/2778598657</t>
  </si>
  <si>
    <t>https://www.proquest.com/docview/2778598532</t>
  </si>
  <si>
    <t>https://www.proquest.com/docview/2778603263</t>
  </si>
  <si>
    <t>https://www.proquest.com/docview/2778620976</t>
  </si>
  <si>
    <t>https://www.proquest.com/docview/2778603418</t>
  </si>
  <si>
    <t>https://www.proquest.com/docview/2778603016</t>
  </si>
  <si>
    <t>https://www.proquest.com/docview/2778620979</t>
  </si>
  <si>
    <t>https://www.proquest.com/docview/2778600782</t>
  </si>
  <si>
    <t>https://www.proquest.com/docview/2778616973</t>
  </si>
  <si>
    <t>https://www.proquest.com/docview/2778622875</t>
  </si>
  <si>
    <t>https://www.proquest.com/docview/2778596005</t>
  </si>
  <si>
    <t>https://www.proquest.com/docview/2778598823</t>
  </si>
  <si>
    <t>https://www.proquest.com/docview/2778596128</t>
  </si>
  <si>
    <t>https://www.proquest.com/docview/2778596009</t>
  </si>
  <si>
    <t>https://www.proquest.com/docview/2778603396</t>
  </si>
  <si>
    <t>https://www.proquest.com/docview/2778624099</t>
  </si>
  <si>
    <t>https://www.proquest.com/docview/2778614958</t>
  </si>
  <si>
    <t>https://www.proquest.com/docview/2778600435</t>
  </si>
  <si>
    <t>https://www.proquest.com/docview/2778622869</t>
  </si>
  <si>
    <t>https://www.proquest.com/docview/2778620966</t>
  </si>
  <si>
    <t>https://www.proquest.com/docview/2778599919</t>
  </si>
  <si>
    <t>https://www.proquest.com/docview/2778603708</t>
  </si>
  <si>
    <t>https://www.proquest.com/docview/2778614528</t>
  </si>
  <si>
    <t>https://www.proquest.com/docview/2778614769</t>
  </si>
  <si>
    <t>https://www.proquest.com/docview/2778614765</t>
  </si>
  <si>
    <t>https://www.proquest.com/docview/2778616944</t>
  </si>
  <si>
    <t>https://www.proquest.com/docview/2778599769</t>
  </si>
  <si>
    <t>https://www.proquest.com/docview/2778602392</t>
  </si>
  <si>
    <t>https://www.proquest.com/docview/2778624160</t>
  </si>
  <si>
    <t>https://www.proquest.com/docview/2778621967</t>
  </si>
  <si>
    <t>https://www.proquest.com/docview/2778603873</t>
  </si>
  <si>
    <t>https://www.proquest.com/docview/2778624037</t>
  </si>
  <si>
    <t>https://www.proquest.com/docview/2778603359</t>
  </si>
  <si>
    <t>https://www.proquest.com/docview/2778599929</t>
  </si>
  <si>
    <t>https://www.proquest.com/docview/2778602820</t>
  </si>
  <si>
    <t>https://www.proquest.com/docview/2778622254</t>
  </si>
  <si>
    <t>https://www.proquest.com/docview/2778599010</t>
  </si>
  <si>
    <t>https://www.proquest.com/docview/2778622772</t>
  </si>
  <si>
    <t>https://www.proquest.com/docview/2778615740</t>
  </si>
  <si>
    <t>https://www.proquest.com/docview/2778623987</t>
  </si>
  <si>
    <t>https://www.proquest.com/docview/2778622415</t>
  </si>
  <si>
    <t>https://www.proquest.com/docview/2778599931</t>
  </si>
  <si>
    <t>https://www.proquest.com/docview/2778615108</t>
  </si>
  <si>
    <t>https://www.proquest.com/docview/2778598968</t>
  </si>
  <si>
    <t>https://www.proquest.com/docview/2778598607</t>
  </si>
  <si>
    <t>https://www.proquest.com/docview/2778598047</t>
  </si>
  <si>
    <t>https://www.proquest.com/docview/2778601074</t>
  </si>
  <si>
    <t>https://www.proquest.com/docview/2778622801</t>
  </si>
  <si>
    <t>https://www.proquest.com/docview/2778624148</t>
  </si>
  <si>
    <t>https://www.proquest.com/docview/2778603765</t>
  </si>
  <si>
    <t>https://www.proquest.com/docview/2778617410</t>
  </si>
  <si>
    <t>https://www.proquest.com/docview/2778617015</t>
  </si>
  <si>
    <t>https://www.proquest.com/docview/2778616289</t>
  </si>
  <si>
    <t>https://www.proquest.com/docview/2778602957</t>
  </si>
  <si>
    <t>https://www.proquest.com/docview/2778621951</t>
  </si>
  <si>
    <t>https://www.proquest.com/docview/2778614780</t>
  </si>
  <si>
    <t>https://www.proquest.com/docview/2778615317</t>
  </si>
  <si>
    <t>https://www.proquest.com/docview/2778615676</t>
  </si>
  <si>
    <t>https://www.proquest.com/docview/2778598618</t>
  </si>
  <si>
    <t>https://www.proquest.com/docview/2778598571</t>
  </si>
  <si>
    <t>https://www.proquest.com/docview/2778598732</t>
  </si>
  <si>
    <t>https://www.proquest.com/docview/2778624182</t>
  </si>
  <si>
    <t>https://www.proquest.com/docview/2778622955</t>
  </si>
  <si>
    <t>https://www.proquest.com/docview/2778620659</t>
  </si>
  <si>
    <t>https://www.proquest.com/docview/2778622838</t>
  </si>
  <si>
    <t>https://www.proquest.com/docview/2778623928</t>
  </si>
  <si>
    <t>https://www.proquest.com/docview/2778599153</t>
  </si>
  <si>
    <t>https://www.proquest.com/docview/2778620897</t>
  </si>
  <si>
    <t>https://www.proquest.com/docview/2778622678</t>
  </si>
  <si>
    <t>https://www.proquest.com/docview/2778622153</t>
  </si>
  <si>
    <t>https://www.proquest.com/docview/2778598583</t>
  </si>
  <si>
    <t>https://www.proquest.com/docview/2778624053</t>
  </si>
  <si>
    <t>https://www.proquest.com/docview/2778596320</t>
  </si>
  <si>
    <t>https://www.proquest.com/docview/2778614914</t>
  </si>
  <si>
    <t>https://www.proquest.com/docview/2778620889</t>
  </si>
  <si>
    <t>https://www.proquest.com/docview/2778622705</t>
  </si>
  <si>
    <t>https://www.proquest.com/docview/2778603224</t>
  </si>
  <si>
    <t>https://www.proquest.com/docview/2778622542</t>
  </si>
  <si>
    <t>https://www.proquest.com/docview/2778621216</t>
  </si>
  <si>
    <t>https://www.proquest.com/docview/2778598517</t>
  </si>
  <si>
    <t>https://www.proquest.com/docview/2778614688</t>
  </si>
  <si>
    <t>https://www.proquest.com/docview/2778602596</t>
  </si>
  <si>
    <t>https://www.proquest.com/docview/2778596299</t>
  </si>
  <si>
    <t>https://www.proquest.com/docview/2778598632</t>
  </si>
  <si>
    <t>https://www.proquest.com/docview/2778604013</t>
  </si>
  <si>
    <t>https://www.proquest.com/docview/2778623945</t>
  </si>
  <si>
    <t>https://www.proquest.com/docview/2778600600</t>
  </si>
  <si>
    <t>https://www.proquest.com/docview/2778603437</t>
  </si>
  <si>
    <t>https://www.proquest.com/docview/2778604008</t>
  </si>
  <si>
    <t>https://www.proquest.com/docview/2778601134</t>
  </si>
  <si>
    <t>https://www.proquest.com/docview/2778620715</t>
  </si>
  <si>
    <t>https://www.proquest.com/docview/2778622973</t>
  </si>
  <si>
    <t>https://www.proquest.com/docview/2778622217</t>
  </si>
  <si>
    <t>https://www.proquest.com/docview/2778624071</t>
  </si>
  <si>
    <t>https://www.proquest.com/docview/2778603290</t>
  </si>
  <si>
    <t>https://www.proquest.com/docview/2778615148</t>
  </si>
  <si>
    <t>https://www.proquest.com/docview/2778617206</t>
  </si>
  <si>
    <t>https://www.proquest.com/docview/2778620152</t>
  </si>
  <si>
    <t>https://www.proquest.com/docview/2778600580</t>
  </si>
  <si>
    <t>https://www.proquest.com/docview/2778596189</t>
  </si>
  <si>
    <t>https://www.proquest.com/docview/2778596192</t>
  </si>
  <si>
    <t>https://www.proquest.com/docview/2778622684</t>
  </si>
  <si>
    <t>https://www.proquest.com/docview/2778600737</t>
  </si>
  <si>
    <t>https://www.proquest.com/docview/2778615877</t>
  </si>
  <si>
    <t>https://www.proquest.com/docview/2778596198</t>
  </si>
  <si>
    <t>https://www.proquest.com/docview/2778596077</t>
  </si>
  <si>
    <t>https://www.proquest.com/docview/2778624142</t>
  </si>
  <si>
    <t>https://www.proquest.com/docview/2778617140</t>
  </si>
  <si>
    <t>https://www.proquest.com/docview/2778622914</t>
  </si>
  <si>
    <t>https://www.proquest.com/docview/2778598262</t>
  </si>
  <si>
    <t>https://www.proquest.com/docview/2778622478</t>
  </si>
  <si>
    <t>https://www.proquest.com/docview/2778615922</t>
  </si>
  <si>
    <t>https://www.proquest.com/docview/2778598548</t>
  </si>
  <si>
    <t>https://www.proquest.com/docview/2778598944</t>
  </si>
  <si>
    <t>https://www.proquest.com/docview/2778603390</t>
  </si>
  <si>
    <t>https://www.proquest.com/docview/2778626157</t>
  </si>
  <si>
    <t>https://www.proquest.com/docview/2778624133</t>
  </si>
  <si>
    <t>https://www.proquest.com/docview/2778596003</t>
  </si>
  <si>
    <t>https://www.proquest.com/docview/2778596090</t>
  </si>
  <si>
    <t>https://www.proquest.com/docview/2778621937</t>
  </si>
  <si>
    <t>https://www.proquest.com/docview/2778615770</t>
  </si>
  <si>
    <t>https://www.proquest.com/docview/2778621259</t>
  </si>
  <si>
    <t>https://www.proquest.com/docview/2778622262</t>
  </si>
  <si>
    <t>https://www.proquest.com/docview/2778614809</t>
  </si>
  <si>
    <t>https://www.proquest.com/docview/2778624200</t>
  </si>
  <si>
    <t>https://www.proquest.com/docview/2778626069</t>
  </si>
  <si>
    <t>https://www.proquest.com/docview/2778596011</t>
  </si>
  <si>
    <t>https://www.proquest.com/docview/2778598431</t>
  </si>
  <si>
    <t>https://www.proquest.com/docview/2778602700</t>
  </si>
  <si>
    <t>https://www.proquest.com/docview/2778622538</t>
  </si>
  <si>
    <t>https://www.proquest.com/docview/2778599493</t>
  </si>
  <si>
    <t>https://www.proquest.com/docview/2778617006</t>
  </si>
  <si>
    <t>https://www.proquest.com/docview/2778599773</t>
  </si>
  <si>
    <t>https://www.proquest.com/docview/2778595977</t>
  </si>
  <si>
    <t>https://www.proquest.com/docview/2778624155</t>
  </si>
  <si>
    <t>https://www.proquest.com/docview/2778600781</t>
  </si>
  <si>
    <t>https://www.proquest.com/docview/2778601077</t>
  </si>
  <si>
    <t>https://www.proquest.com/docview/2778598289</t>
  </si>
  <si>
    <t>https://www.proquest.com/docview/2778603370</t>
  </si>
  <si>
    <t>https://www.proquest.com/docview/2778620228</t>
  </si>
  <si>
    <t>https://www.proquest.com/docview/2778621954</t>
  </si>
  <si>
    <t>https://www.proquest.com/docview/2778621957</t>
  </si>
  <si>
    <t>https://www.proquest.com/docview/2778600778</t>
  </si>
  <si>
    <t>https://www.proquest.com/docview/2778624028</t>
  </si>
  <si>
    <t>https://www.proquest.com/docview/2778624149</t>
  </si>
  <si>
    <t>https://www.proquest.com/docview/2778626206</t>
  </si>
  <si>
    <t>https://www.proquest.com/docview/2778621958</t>
  </si>
  <si>
    <t>https://www.proquest.com/docview/2778620742</t>
  </si>
  <si>
    <t>https://www.proquest.com/docview/2778599300</t>
  </si>
  <si>
    <t>https://www.proquest.com/docview/2778596317</t>
  </si>
  <si>
    <t>https://www.proquest.com/docview/2778599540</t>
  </si>
  <si>
    <t>https://www.proquest.com/docview/2778617978</t>
  </si>
  <si>
    <t>https://www.proquest.com/docview/2778598730</t>
  </si>
  <si>
    <t>https://www.proquest.com/docview/2778599945</t>
  </si>
  <si>
    <t>https://www.proquest.com/docview/2778598455</t>
  </si>
  <si>
    <t>https://www.proquest.com/docview/2778603340</t>
  </si>
  <si>
    <t>https://www.proquest.com/docview/2778603855</t>
  </si>
  <si>
    <t>https://www.proquest.com/docview/2778620657</t>
  </si>
  <si>
    <t>https://www.proquest.com/docview/2778600741</t>
  </si>
  <si>
    <t>https://www.proquest.com/docview/2778617189</t>
  </si>
  <si>
    <t>https://www.proquest.com/docview/2778599799</t>
  </si>
  <si>
    <t>https://www.proquest.com/docview/2778626073</t>
  </si>
  <si>
    <t>https://www.proquest.com/docview/2778614752</t>
  </si>
  <si>
    <t>https://www.proquest.com/docview/2778624173</t>
  </si>
  <si>
    <t>https://www.proquest.com/docview/2778615290</t>
  </si>
  <si>
    <t>https://www.proquest.com/docview/2778600631</t>
  </si>
  <si>
    <t>https://www.proquest.com/docview/2778600476</t>
  </si>
  <si>
    <t>https://www.proquest.com/docview/2778597938</t>
  </si>
  <si>
    <t>https://www.proquest.com/docview/2778616940</t>
  </si>
  <si>
    <t>https://www.proquest.com/docview/2778623998</t>
  </si>
  <si>
    <t>https://www.proquest.com/docview/2778620402</t>
  </si>
  <si>
    <t>https://www.proquest.com/docview/2778616144</t>
  </si>
  <si>
    <t>https://www.proquest.com/docview/2778624119</t>
  </si>
  <si>
    <t>https://www.proquest.com/docview/2778621921</t>
  </si>
  <si>
    <t>https://www.proquest.com/docview/2778603439</t>
  </si>
  <si>
    <t>https://www.proquest.com/docview/2778623949</t>
  </si>
  <si>
    <t>https://www.proquest.com/docview/2778601137</t>
  </si>
  <si>
    <t>https://www.proquest.com/docview/2778600729</t>
  </si>
  <si>
    <t>https://www.proquest.com/docview/2778600727</t>
  </si>
  <si>
    <t>https://www.proquest.com/docview/2778596105</t>
  </si>
  <si>
    <t>https://www.proquest.com/docview/2778598806</t>
  </si>
  <si>
    <t>https://www.proquest.com/docview/2778624197</t>
  </si>
  <si>
    <t>https://www.proquest.com/docview/2778600065</t>
  </si>
  <si>
    <t>https://www.proquest.com/docview/2778603212</t>
  </si>
  <si>
    <t>https://www.proquest.com/docview/2778624193</t>
  </si>
  <si>
    <t>https://www.proquest.com/docview/2778616919</t>
  </si>
  <si>
    <t>https://www.proquest.com/docview/2778620943</t>
  </si>
  <si>
    <t>https://www.proquest.com/docview/2778624225</t>
  </si>
  <si>
    <t>https://www.proquest.com/docview/2778598807</t>
  </si>
  <si>
    <t>https://www.proquest.com/docview/2778621357</t>
  </si>
  <si>
    <t>https://www.proquest.com/docview/2778620663</t>
  </si>
  <si>
    <t>https://www.proquest.com/docview/2778615032</t>
  </si>
  <si>
    <t>https://www.proquest.com/docview/2778620180</t>
  </si>
  <si>
    <t>https://www.proquest.com/docview/2778603380</t>
  </si>
  <si>
    <t>https://www.proquest.com/docview/2778598817</t>
  </si>
  <si>
    <t>https://www.proquest.com/docview/2778624022</t>
  </si>
  <si>
    <t>https://www.proquest.com/docview/2778603300</t>
  </si>
  <si>
    <t>https://www.proquest.com/docview/2778603141</t>
  </si>
  <si>
    <t>https://www.proquest.com/docview/2778623969</t>
  </si>
  <si>
    <t>https://www.proquest.com/docview/2778625864</t>
  </si>
  <si>
    <t>https://www.proquest.com/docview/2778603138</t>
  </si>
  <si>
    <t>https://www.proquest.com/docview/2778621265</t>
  </si>
  <si>
    <t>https://www.proquest.com/docview/2778620175</t>
  </si>
  <si>
    <t>https://www.proquest.com/docview/2778622994</t>
  </si>
  <si>
    <t>https://www.proquest.com/docview/2778622236</t>
  </si>
  <si>
    <t>https://www.proquest.com/docview/2778623965</t>
  </si>
  <si>
    <t>https://www.proquest.com/docview/2778615923</t>
  </si>
  <si>
    <t>https://www.proquest.com/docview/2778624091</t>
  </si>
  <si>
    <t>https://www.proquest.com/docview/2778622593</t>
  </si>
  <si>
    <t>https://www.proquest.com/docview/2778598385</t>
  </si>
  <si>
    <t>https://www.proquest.com/docview/2778599915</t>
  </si>
  <si>
    <t>https://www.proquest.com/docview/2778617708</t>
  </si>
  <si>
    <t>https://www.proquest.com/docview/2778598267</t>
  </si>
  <si>
    <t>https://www.proquest.com/docview/2778599912</t>
  </si>
  <si>
    <t>https://www.proquest.com/docview/2778598269</t>
  </si>
  <si>
    <t>https://www.proquest.com/docview/2778599911</t>
  </si>
  <si>
    <t>https://www.proquest.com/docview/2778624125</t>
  </si>
  <si>
    <t>https://www.proquest.com/docview/2778603709</t>
  </si>
  <si>
    <t>https://www.proquest.com/docview/2778622463</t>
  </si>
  <si>
    <t>https://www.proquest.com/docview/2778614442</t>
  </si>
  <si>
    <t>https://www.proquest.com/docview/2778615492</t>
  </si>
  <si>
    <t>https://www.proquest.com/docview/2778621414</t>
  </si>
  <si>
    <t>https://www.proquest.com/docview/2778616948</t>
  </si>
  <si>
    <t>https://www.proquest.com/docview/2778598957</t>
  </si>
  <si>
    <t>https://www.proquest.com/docview/2778599882</t>
  </si>
  <si>
    <t>https://www.proquest.com/docview/2778598791</t>
  </si>
  <si>
    <t>https://www.proquest.com/docview/2778599927</t>
  </si>
  <si>
    <t>https://www.proquest.com/docview/2778626224</t>
  </si>
  <si>
    <t>https://www.proquest.com/docview/2778598554</t>
  </si>
  <si>
    <t>https://www.proquest.com/docview/2778600089</t>
  </si>
  <si>
    <t>https://www.proquest.com/docview/2778621969</t>
  </si>
  <si>
    <t>https://www.proquest.com/docview/2778617081</t>
  </si>
  <si>
    <t>https://www.proquest.com/docview/2778599808</t>
  </si>
  <si>
    <t>https://www.proquest.com/docview/2778600805</t>
  </si>
  <si>
    <t>https://www.proquest.com/docview/2778621203</t>
  </si>
  <si>
    <t>https://www.proquest.com/docview/2778621568</t>
  </si>
  <si>
    <t>https://www.proquest.com/docview/2778600804</t>
  </si>
  <si>
    <t>https://www.proquest.com/docview/2778599930</t>
  </si>
  <si>
    <t>https://www.proquest.com/docview/2778620192</t>
  </si>
  <si>
    <t>https://www.proquest.com/docview/2778599771</t>
  </si>
  <si>
    <t>https://www.proquest.com/docview/2778622891</t>
  </si>
  <si>
    <t>https://www.proquest.com/docview/2778620906</t>
  </si>
  <si>
    <t>https://www.proquest.com/docview/2778596263</t>
  </si>
  <si>
    <t>https://www.proquest.com/docview/2778624153</t>
  </si>
  <si>
    <t>https://www.proquest.com/docview/2778597991</t>
  </si>
  <si>
    <t>https://www.proquest.com/docview/2778624060</t>
  </si>
  <si>
    <t>https://www.proquest.com/docview/2778597769</t>
  </si>
  <si>
    <t>https://www.proquest.com/docview/2778616887</t>
  </si>
  <si>
    <t>https://www.proquest.com/docview/2778616888</t>
  </si>
  <si>
    <t>https://www.proquest.com/docview/2778624100</t>
  </si>
  <si>
    <t>https://www.proquest.com/docview/2778596032</t>
  </si>
  <si>
    <t>https://www.proquest.com/docview/2778599946</t>
  </si>
  <si>
    <t>https://www.proquest.com/docview/2778600071</t>
  </si>
  <si>
    <t>https://www.proquest.com/docview/2778599789</t>
  </si>
  <si>
    <t>https://www.proquest.com/docview/2778622956</t>
  </si>
  <si>
    <t>https://www.proquest.com/docview/2778621987</t>
  </si>
  <si>
    <t>https://www.proquest.com/docview/2778620934</t>
  </si>
  <si>
    <t>https://www.proquest.com/docview/2778622837</t>
  </si>
  <si>
    <t>https://www.proquest.com/docview/2778625820</t>
  </si>
  <si>
    <t>https://www.proquest.com/docview/2778620132</t>
  </si>
  <si>
    <t>https://www.proquest.com/docview/2778616893</t>
  </si>
  <si>
    <t>https://www.proquest.com/docview/2778622795</t>
  </si>
  <si>
    <t>https://www.proquest.com/docview/2778622675</t>
  </si>
  <si>
    <t>https://www.proquest.com/docview/2778603190</t>
  </si>
  <si>
    <t>https://www.proquest.com/docview/2778599831</t>
  </si>
  <si>
    <t>https://www.proquest.com/docview/2778599796</t>
  </si>
  <si>
    <t>https://www.proquest.com/docview/2778603198</t>
  </si>
  <si>
    <t>https://www.proquest.com/docview/2778597773</t>
  </si>
  <si>
    <t>https://www.proquest.com/docview/2778596322</t>
  </si>
  <si>
    <t>https://www.proquest.com/docview/2778596289</t>
  </si>
  <si>
    <t>https://www.proquest.com/docview/2778621977</t>
  </si>
  <si>
    <t>https://www.proquest.com/docview/2778621459</t>
  </si>
  <si>
    <t>https://www.proquest.com/docview/2778621979</t>
  </si>
  <si>
    <t>https://www.proquest.com/docview/2778620408</t>
  </si>
  <si>
    <t>https://www.proquest.com/docview/2778626105</t>
  </si>
  <si>
    <t>https://www.proquest.com/docview/2778602814</t>
  </si>
  <si>
    <t>https://www.proquest.com/docview/2778621973</t>
  </si>
  <si>
    <t>https://www.proquest.com/docview/2778623997</t>
  </si>
  <si>
    <t>https://www.proquest.com/docview/2778621975</t>
  </si>
  <si>
    <t>https://www.proquest.com/docview/2778617078</t>
  </si>
  <si>
    <t>https://www.proquest.com/docview/2778599841</t>
  </si>
  <si>
    <t>https://www.proquest.com/docview/2778614967</t>
  </si>
  <si>
    <t>https://www.proquest.com/docview/2778615018</t>
  </si>
  <si>
    <t>https://www.proquest.com/docview/2778616900</t>
  </si>
  <si>
    <t>https://www.proquest.com/docview/2778602595</t>
  </si>
  <si>
    <t>https://www.proquest.com/docview/2778598233</t>
  </si>
  <si>
    <t>https://www.proquest.com/docview/2778598355</t>
  </si>
  <si>
    <t>https://www.proquest.com/docview/2778621405</t>
  </si>
  <si>
    <t>https://www.proquest.com/docview/2778622857</t>
  </si>
  <si>
    <t>https://www.proquest.com/docview/2778615024</t>
  </si>
  <si>
    <t>https://www.proquest.com/docview/2778603838</t>
  </si>
  <si>
    <t>https://www.proquest.com/docview/2778615660</t>
  </si>
  <si>
    <t>https://www.proquest.com/docview/2778598403</t>
  </si>
  <si>
    <t>https://www.proquest.com/docview/2778615947</t>
  </si>
  <si>
    <t>https://www.proquest.com/docview/2778614455</t>
  </si>
  <si>
    <t>https://www.proquest.com/docview/2778600582</t>
  </si>
  <si>
    <t>https://www.proquest.com/docview/2778624072</t>
  </si>
  <si>
    <t>https://www.proquest.com/docview/2778615708</t>
  </si>
  <si>
    <t>https://www.proquest.com/docview/2778622443</t>
  </si>
  <si>
    <t>https://www.proquest.com/docview/2778621750</t>
  </si>
  <si>
    <t>https://www.proquest.com/docview/2778600738</t>
  </si>
  <si>
    <t>https://www.proquest.com/docview/2778598139</t>
  </si>
  <si>
    <t>https://www.proquest.com/docview/2778598812</t>
  </si>
  <si>
    <t>https://www.proquest.com/docview/2778616965</t>
  </si>
  <si>
    <t>https://www.proquest.com/docview/2778614545</t>
  </si>
  <si>
    <t>https://www.proquest.com/docview/2778625991</t>
  </si>
  <si>
    <t>https://www.proquest.com/docview/2778603421</t>
  </si>
  <si>
    <t>https://www.proquest.com/docview/2778603780</t>
  </si>
  <si>
    <t>https://www.proquest.com/docview/2778603019</t>
  </si>
  <si>
    <t>https://www.proquest.com/docview/2778623968</t>
  </si>
  <si>
    <t>https://www.proquest.com/docview/2778620219</t>
  </si>
  <si>
    <t>https://www.proquest.com/docview/2778620856</t>
  </si>
  <si>
    <t>https://www.proquest.com/docview/2778620699</t>
  </si>
  <si>
    <t>https://www.proquest.com/docview/2778615925</t>
  </si>
  <si>
    <t>https://www.proquest.com/docview/2778598825</t>
  </si>
  <si>
    <t>https://www.proquest.com/docview/2778624012</t>
  </si>
  <si>
    <t>https://www.proquest.com/docview/2778600280</t>
  </si>
  <si>
    <t>https://www.proquest.com/docview/2778603422</t>
  </si>
  <si>
    <t>https://www.proquest.com/docview/2778600433</t>
  </si>
  <si>
    <t>https://www.proquest.com/docview/2778600278</t>
  </si>
  <si>
    <t>https://www.proquest.com/docview/2778620684</t>
  </si>
  <si>
    <t>https://www.proquest.com/docview/2778620685</t>
  </si>
  <si>
    <t>https://www.proquest.com/docview/2778596138</t>
  </si>
  <si>
    <t>https://www.proquest.com/docview/2778614525</t>
  </si>
  <si>
    <t>https://www.proquest.com/docview/2778615731</t>
  </si>
  <si>
    <t>https://www.proquest.com/docview/2778599807</t>
  </si>
  <si>
    <t>https://www.proquest.com/docview/2778598314</t>
  </si>
  <si>
    <t>https://www.proquest.com/docview/2778622416</t>
  </si>
  <si>
    <t>https://www.proquest.com/docview/2778622418</t>
  </si>
  <si>
    <t>https://www.proquest.com/docview/2778617124</t>
  </si>
  <si>
    <t>https://www.proquest.com/docview/2778623981</t>
  </si>
  <si>
    <t>https://www.proquest.com/docview/2778617126</t>
  </si>
  <si>
    <t>https://www.proquest.com/docview/2778620199</t>
  </si>
  <si>
    <t>https://www.proquest.com/docview/2778600803</t>
  </si>
  <si>
    <t>https://www.proquest.com/docview/2778614539</t>
  </si>
  <si>
    <t>https://www.proquest.com/docview/2778620193</t>
  </si>
  <si>
    <t>https://www.proquest.com/docview/2778617008</t>
  </si>
  <si>
    <t>https://www.proquest.com/docview/2778599539</t>
  </si>
  <si>
    <t>https://www.proquest.com/docview/2778599932</t>
  </si>
  <si>
    <t>https://www.proquest.com/docview/2778616280</t>
  </si>
  <si>
    <t>https://www.proquest.com/docview/2778617094</t>
  </si>
  <si>
    <t>https://www.proquest.com/docview/2778603248</t>
  </si>
  <si>
    <t>https://www.proquest.com/docview/2778617135</t>
  </si>
  <si>
    <t>https://www.proquest.com/docview/2778620222</t>
  </si>
  <si>
    <t>https://www.proquest.com/docview/2778614542</t>
  </si>
  <si>
    <t>https://www.proquest.com/docview/2778614500</t>
  </si>
  <si>
    <t>https://www.proquest.com/docview/2778616886</t>
  </si>
  <si>
    <t>https://www.proquest.com/docview/2778621470</t>
  </si>
  <si>
    <t>https://www.proquest.com/docview/2778597804</t>
  </si>
  <si>
    <t>https://www.proquest.com/docview/2778599781</t>
  </si>
  <si>
    <t>https://www.proquest.com/docview/2778598573</t>
  </si>
  <si>
    <t>https://www.proquest.com/docview/2778614629</t>
  </si>
  <si>
    <t>https://www.proquest.com/docview/2778603582</t>
  </si>
  <si>
    <t>https://www.proquest.com/docview/2778622674</t>
  </si>
  <si>
    <t>https://www.proquest.com/docview/2778622799</t>
  </si>
  <si>
    <t>https://www.proquest.com/docview/2778614757</t>
  </si>
  <si>
    <t>https://www.proquest.com/docview/2778615727</t>
  </si>
  <si>
    <t>https://www.proquest.com/docview/2778597890</t>
  </si>
  <si>
    <t>https://www.proquest.com/docview/2778596286</t>
  </si>
  <si>
    <t>https://www.proquest.com/docview/2778598864</t>
  </si>
  <si>
    <t>https://www.proquest.com/docview/2778617196</t>
  </si>
  <si>
    <t>https://www.proquest.com/docview/2778621978</t>
  </si>
  <si>
    <t>https://www.proquest.com/docview/2778623993</t>
  </si>
  <si>
    <t>https://www.proquest.com/docview/2778622422</t>
  </si>
  <si>
    <t>https://www.proquest.com/docview/2778617077</t>
  </si>
  <si>
    <t>https://www.proquest.com/docview/2778622668</t>
  </si>
  <si>
    <t>https://www.proquest.com/docview/2778616901</t>
  </si>
  <si>
    <t>https://www.proquest.com/docview/2778617839</t>
  </si>
  <si>
    <t>https://www.proquest.com/docview/2778620161</t>
  </si>
  <si>
    <t>https://www.proquest.com/docview/2778597948</t>
  </si>
  <si>
    <t>https://www.proquest.com/docview/2778626144</t>
  </si>
  <si>
    <t>https://www.proquest.com/docview/2778624085</t>
  </si>
  <si>
    <t>https://www.proquest.com/docview/2778620714</t>
  </si>
  <si>
    <t>https://www.proquest.com/docview/2778621926</t>
  </si>
  <si>
    <t>https://www.proquest.com/docview/2778616992</t>
  </si>
  <si>
    <t>https://www.proquest.com/docview/2778622299</t>
  </si>
  <si>
    <t>https://www.proquest.com/docview/2778600725</t>
  </si>
  <si>
    <t>https://www.proquest.com/docview/2778623941</t>
  </si>
  <si>
    <t>https://www.proquest.com/docview/2778600207</t>
  </si>
  <si>
    <t>https://www.proquest.com/docview/2778615263</t>
  </si>
  <si>
    <t>https://www.proquest.com/docview/2778617046</t>
  </si>
  <si>
    <t>https://www.proquest.com/docview/2778600726</t>
  </si>
  <si>
    <t>https://www.proquest.com/docview/2778615668</t>
  </si>
  <si>
    <t>https://www.proquest.com/docview/2778624078</t>
  </si>
  <si>
    <t>https://www.proquest.com/docview/2778603210</t>
  </si>
  <si>
    <t>https://www.proquest.com/docview/2778600187</t>
  </si>
  <si>
    <t>https://www.proquest.com/docview/2778602881</t>
  </si>
  <si>
    <t>https://www.proquest.com/docview/2778626013</t>
  </si>
  <si>
    <t>https://www.proquest.com/docview/2778615949</t>
  </si>
  <si>
    <t>https://www.proquest.com/docview/2778616918</t>
  </si>
  <si>
    <t>https://www.proquest.com/docview/2778614619</t>
  </si>
  <si>
    <t>https://www.proquest.com/docview/2778600457</t>
  </si>
  <si>
    <t>https://www.proquest.com/docview/2778624229</t>
  </si>
  <si>
    <t>https://www.proquest.com/docview/2778617053</t>
  </si>
  <si>
    <t>https://www.proquest.com/docview/2778596072</t>
  </si>
  <si>
    <t>https://www.proquest.com/docview/2778624102</t>
  </si>
  <si>
    <t>https://www.proquest.com/docview/2778615672</t>
  </si>
  <si>
    <t>https://www.proquest.com/docview/2778617056</t>
  </si>
  <si>
    <t>https://www.proquest.com/docview/2778625837</t>
  </si>
  <si>
    <t>https://www.proquest.com/docview/2778597963</t>
  </si>
  <si>
    <t>https://www.proquest.com/docview/2778622083</t>
  </si>
  <si>
    <t>https://www.proquest.com/docview/2778599982</t>
  </si>
  <si>
    <t>https://www.proquest.com/docview/2778617417</t>
  </si>
  <si>
    <t>https://www.proquest.com/docview/2778622880</t>
  </si>
  <si>
    <t>https://www.proquest.com/docview/2778617934</t>
  </si>
  <si>
    <t>https://www.proquest.com/docview/2778625992</t>
  </si>
  <si>
    <t>https://www.proquest.com/docview/2778598496</t>
  </si>
  <si>
    <t>https://www.proquest.com/docview/2778621944</t>
  </si>
  <si>
    <t>https://www.proquest.com/docview/2778600423</t>
  </si>
  <si>
    <t>https://www.proquest.com/docview/2778602445</t>
  </si>
  <si>
    <t>https://www.proquest.com/docview/2778603777</t>
  </si>
  <si>
    <t>https://www.proquest.com/docview/2778622993</t>
  </si>
  <si>
    <t>https://www.proquest.com/docview/2778614955</t>
  </si>
  <si>
    <t>https://www.proquest.com/docview/2778598308</t>
  </si>
  <si>
    <t>https://www.proquest.com/docview/2778616977</t>
  </si>
  <si>
    <t>https://www.proquest.com/docview/2778599917</t>
  </si>
  <si>
    <t>https://www.proquest.com/docview/2778597970</t>
  </si>
  <si>
    <t>https://www.proquest.com/docview/2778599879</t>
  </si>
  <si>
    <t>https://www.proquest.com/docview/2778621778</t>
  </si>
  <si>
    <t>https://www.proquest.com/docview/2778602699</t>
  </si>
  <si>
    <t>https://www.proquest.com/docview/2778615496</t>
  </si>
  <si>
    <t>https://www.proquest.com/docview/2778622864</t>
  </si>
  <si>
    <t>https://www.proquest.com/docview/2778616942</t>
  </si>
  <si>
    <t>https://www.proquest.com/docview/2778598156</t>
  </si>
  <si>
    <t>https://www.proquest.com/docview/2778596012</t>
  </si>
  <si>
    <t>https://www.proquest.com/docview/2778599921</t>
  </si>
  <si>
    <t>https://www.proquest.com/docview/2778603999</t>
  </si>
  <si>
    <t>https://www.proquest.com/docview/2778617125</t>
  </si>
  <si>
    <t>https://www.proquest.com/docview/2778617241</t>
  </si>
  <si>
    <t>https://www.proquest.com/docview/2778598602</t>
  </si>
  <si>
    <t>https://www.proquest.com/docview/2778598327</t>
  </si>
  <si>
    <t>https://www.proquest.com/docview/2778595974</t>
  </si>
  <si>
    <t>https://www.proquest.com/docview/2778600264</t>
  </si>
  <si>
    <t>https://www.proquest.com/docview/2778603531</t>
  </si>
  <si>
    <t>https://www.proquest.com/docview/2778599814</t>
  </si>
  <si>
    <t>https://www.proquest.com/docview/2778598962</t>
  </si>
  <si>
    <t>https://www.proquest.com/docview/2778603373</t>
  </si>
  <si>
    <t>https://www.proquest.com/docview/2778598325</t>
  </si>
  <si>
    <t>https://www.proquest.com/docview/2778621955</t>
  </si>
  <si>
    <t>https://www.proquest.com/docview/2778617092</t>
  </si>
  <si>
    <t>https://www.proquest.com/docview/2778621275</t>
  </si>
  <si>
    <t>https://www.proquest.com/docview/2778617016</t>
  </si>
  <si>
    <t>https://www.proquest.com/docview/2778622246</t>
  </si>
  <si>
    <t>https://www.proquest.com/docview/2778621398</t>
  </si>
  <si>
    <t>https://www.proquest.com/docview/2778620225</t>
  </si>
  <si>
    <t>https://www.proquest.com/docview/2778597925</t>
  </si>
  <si>
    <t>https://www.proquest.com/docview/2778614501</t>
  </si>
  <si>
    <t>https://www.proquest.com/docview/2778626002</t>
  </si>
  <si>
    <t>https://www.proquest.com/docview/2778600070</t>
  </si>
  <si>
    <t>https://www.proquest.com/docview/2778615719</t>
  </si>
  <si>
    <t>https://www.proquest.com/docview/2778600743</t>
  </si>
  <si>
    <t>https://www.proquest.com/docview/2778620414</t>
  </si>
  <si>
    <t>https://www.proquest.com/docview/2778622318</t>
  </si>
  <si>
    <t>https://www.proquest.com/docview/2778622718</t>
  </si>
  <si>
    <t>https://www.proquest.com/docview/2778602522</t>
  </si>
  <si>
    <t>https://www.proquest.com/docview/2778624058</t>
  </si>
  <si>
    <t>https://www.proquest.com/docview/2778620131</t>
  </si>
  <si>
    <t>https://www.proquest.com/docview/2778615443</t>
  </si>
  <si>
    <t>https://www.proquest.com/docview/2778602528</t>
  </si>
  <si>
    <t>https://www.proquest.com/docview/2778614470</t>
  </si>
  <si>
    <t>https://www.proquest.com/docview/2778620135</t>
  </si>
  <si>
    <t>https://www.proquest.com/docview/2778595994</t>
  </si>
  <si>
    <t>https://www.proquest.com/docview/2778597937</t>
  </si>
  <si>
    <t>https://www.proquest.com/docview/2778614633</t>
  </si>
  <si>
    <t>https://www.proquest.com/docview/2778603233</t>
  </si>
  <si>
    <t>https://www.proquest.com/docview/2778598584</t>
  </si>
  <si>
    <t>https://www.proquest.com/docview/2778624201</t>
  </si>
  <si>
    <t>https://www.proquest.com/docview/2778599161</t>
  </si>
  <si>
    <t>https://www.proquest.com/docview/2778622665</t>
  </si>
  <si>
    <t>https://www.proquest.com/docview/2778615933</t>
  </si>
  <si>
    <t>https://www.proquest.com/docview/2778614968</t>
  </si>
  <si>
    <t>https://www.proquest.com/docview/2778614726</t>
  </si>
  <si>
    <t>https://www.proquest.com/docview/2778616904</t>
  </si>
  <si>
    <t>https://www.proquest.com/docview/2778596296</t>
  </si>
  <si>
    <t>https://www.proquest.com/docview/2778624120</t>
  </si>
  <si>
    <t>https://www.proquest.com/docview/2778626145</t>
  </si>
  <si>
    <t>https://www.proquest.com/docview/2778602475</t>
  </si>
  <si>
    <t>https://www.proquest.com/docview/2778598235</t>
  </si>
  <si>
    <t>https://www.proquest.com/docview/2778602625</t>
  </si>
  <si>
    <t>https://www.proquest.com/docview/2778615260</t>
  </si>
  <si>
    <t>https://www.proquest.com/docview/2778621408</t>
  </si>
  <si>
    <t>https://www.proquest.com/docview/2778624235</t>
  </si>
  <si>
    <t>https://www.proquest.com/docview/2778622298</t>
  </si>
  <si>
    <t>https://www.proquest.com/docview/2778622178</t>
  </si>
  <si>
    <t>https://www.proquest.com/docview/2778620398</t>
  </si>
  <si>
    <t>https://www.proquest.com/docview/2778615664</t>
  </si>
  <si>
    <t>https://www.proquest.com/docview/2778614575</t>
  </si>
  <si>
    <t>https://www.proquest.com/docview/2778622179</t>
  </si>
  <si>
    <t>https://www.proquest.com/docview/2778617204</t>
  </si>
  <si>
    <t>https://www.proquest.com/docview/2778616915</t>
  </si>
  <si>
    <t>https://www.proquest.com/docview/2778624079</t>
  </si>
  <si>
    <t>https://www.proquest.com/docview/2778603452</t>
  </si>
  <si>
    <t>https://www.proquest.com/docview/2778624232</t>
  </si>
  <si>
    <t>https://www.proquest.com/docview/2778604024</t>
  </si>
  <si>
    <t>https://www.proquest.com/docview/2778602476</t>
  </si>
  <si>
    <t>https://www.proquest.com/docview/2778598808</t>
  </si>
  <si>
    <t>https://www.proquest.com/docview/2778622960</t>
  </si>
  <si>
    <t>https://www.proquest.com/docview/2778615432</t>
  </si>
  <si>
    <t>https://www.proquest.com/docview/2778623933</t>
  </si>
  <si>
    <t>https://www.proquest.com/docview/2778615670</t>
  </si>
  <si>
    <t>https://www.proquest.com/docview/2778596197</t>
  </si>
  <si>
    <t>https://www.proquest.com/docview/2778624141</t>
  </si>
  <si>
    <t>https://www.proquest.com/docview/2778620858</t>
  </si>
  <si>
    <t>https://www.proquest.com/docview/2778598819</t>
  </si>
  <si>
    <t>https://www.proquest.com/docview/2778622596</t>
  </si>
  <si>
    <t>https://www.proquest.com/docview/2778622237</t>
  </si>
  <si>
    <t>https://www.proquest.com/docview/2778620974</t>
  </si>
  <si>
    <t>https://www.proquest.com/docview/2778598306</t>
  </si>
  <si>
    <t>https://www.proquest.com/docview/2778622901</t>
  </si>
  <si>
    <t>https://www.proquest.com/docview/2778600951</t>
  </si>
  <si>
    <t>https://www.proquest.com/docview/2778623957</t>
  </si>
  <si>
    <t>https://www.proquest.com/docview/2778620967</t>
  </si>
  <si>
    <t>https://www.proquest.com/docview/2778624005</t>
  </si>
  <si>
    <t>https://www.proquest.com/docview/2778598152</t>
  </si>
  <si>
    <t>https://www.proquest.com/docview/2778625851</t>
  </si>
  <si>
    <t>https://www.proquest.com/docview/2778614683</t>
  </si>
  <si>
    <t>https://www.proquest.com/docview/2778622188</t>
  </si>
  <si>
    <t>https://www.proquest.com/docview/2778617797</t>
  </si>
  <si>
    <t>https://www.proquest.com/docview/2778621410</t>
  </si>
  <si>
    <t>https://www.proquest.com/docview/2778617710</t>
  </si>
  <si>
    <t>https://www.proquest.com/docview/2778614563</t>
  </si>
  <si>
    <t>https://www.proquest.com/docview/2778621930</t>
  </si>
  <si>
    <r>
      <rPr>
        <b/>
        <sz val="16"/>
        <rFont val="Calibri"/>
        <family val="2"/>
      </rPr>
      <t>ProQuest One Psychology -- Topic Pages</t>
    </r>
    <r>
      <rPr>
        <sz val="10"/>
        <rFont val="Calibri"/>
        <family val="2"/>
      </rPr>
      <t xml:space="preserve">
Accurate as of 18 March 2023</t>
    </r>
  </si>
  <si>
    <r>
      <rPr>
        <b/>
        <sz val="16"/>
        <rFont val="Calibri"/>
        <family val="2"/>
        <scheme val="minor"/>
      </rPr>
      <t>ProQuest One Psychology -- Counseling Sessions Transcripts</t>
    </r>
    <r>
      <rPr>
        <sz val="10"/>
        <rFont val="Calibri"/>
        <family val="2"/>
        <scheme val="minor"/>
      </rPr>
      <t xml:space="preserve">
Accurate as of 18 March 2023</t>
    </r>
  </si>
  <si>
    <r>
      <rPr>
        <b/>
        <sz val="16"/>
        <rFont val="Calibri"/>
        <family val="2"/>
        <scheme val="minor"/>
      </rPr>
      <t>ProQuest One Psychology -- Archival Material</t>
    </r>
    <r>
      <rPr>
        <sz val="10"/>
        <rFont val="Calibri"/>
        <family val="2"/>
        <scheme val="minor"/>
      </rPr>
      <t xml:space="preserve">
Accurate as of 18 March 2023</t>
    </r>
  </si>
  <si>
    <t>Publication Place</t>
  </si>
  <si>
    <t>Full Text
First</t>
  </si>
  <si>
    <t>Full Text
Last</t>
  </si>
  <si>
    <t>Full Text
Gaps</t>
  </si>
  <si>
    <t>Full
Text - PDF
First</t>
  </si>
  <si>
    <t>Full
Text - PDF
Last</t>
  </si>
  <si>
    <t>Full
Text - PDF
Gaps</t>
  </si>
  <si>
    <t>Link to FT
First</t>
  </si>
  <si>
    <t>Link to FT
Last</t>
  </si>
  <si>
    <t>Link to FT
Gaps</t>
  </si>
  <si>
    <t>Citation First</t>
  </si>
  <si>
    <t>Citation Last</t>
  </si>
  <si>
    <t>Citation Gaps</t>
  </si>
  <si>
    <t>Abstract First</t>
  </si>
  <si>
    <t>Abstract Last</t>
  </si>
  <si>
    <t>Abstract
Gaps</t>
  </si>
  <si>
    <t>Office Suite
First</t>
  </si>
  <si>
    <t>Office Suite
Last</t>
  </si>
  <si>
    <t>Office Suite
Gaps</t>
  </si>
  <si>
    <t>Notes and Changes</t>
  </si>
  <si>
    <t>Open URL</t>
  </si>
  <si>
    <t>The Milton H. Erickson Foundation</t>
  </si>
  <si>
    <t>http://gateway.proquest.com/openurl?url_ver=Z39.88-2004&amp;res_dat=xri:pqm&amp;rft_val_fmt=info:ofi/fmt:kev:mtx:journal&amp;genre=journal&amp;req_dat=xri:pqil:pq_clntid=131239&amp;svc_dat=xri:pqil:context=title&amp;rft_dat=xri:pqd:PMID=5263190</t>
  </si>
  <si>
    <t>A 20-Item Asch-Type Conformity Scale Controlled for Acquiescence</t>
  </si>
  <si>
    <t>Akron</t>
  </si>
  <si>
    <t>http://gateway.proquest.com/openurl?url_ver=Z39.88-2004&amp;res_dat=xri:pqm&amp;rft_val_fmt=info:ofi/fmt:kev:mtx:journal&amp;genre=journal&amp;req_dat=xri:pqil:pq_clntid=131239&amp;svc_dat=xri:pqil:context=title&amp;rft_dat=xri:pqd:PMID=5983420</t>
  </si>
  <si>
    <t>Duluth</t>
  </si>
  <si>
    <t>http://gateway.proquest.com/openurl?url_ver=Z39.88-2004&amp;res_dat=xri:pqm&amp;rft_val_fmt=info:ofi/fmt:kev:mtx:journal&amp;genre=journal&amp;req_dat=xri:pqil:pq_clntid=131239&amp;svc_dat=xri:pqil:context=title&amp;rft_dat=xri:pqd:PMID=5983422</t>
  </si>
  <si>
    <t>http://gateway.proquest.com/openurl?url_ver=Z39.88-2004&amp;res_dat=xri:pqm&amp;rft_val_fmt=info:ofi/fmt:kev:mtx:journal&amp;genre=journal&amp;req_dat=xri:pqil:pq_clntid=131239&amp;svc_dat=xri:pqil:context=title&amp;rft_dat=xri:pqd:PMID=5983421</t>
  </si>
  <si>
    <t>http://gateway.proquest.com/openurl?url_ver=Z39.88-2004&amp;res_dat=xri:pqm&amp;rft_val_fmt=info:ofi/fmt:kev:mtx:journal&amp;genre=journal&amp;req_dat=xri:pqil:pq_clntid=131239&amp;svc_dat=xri:pqil:context=title&amp;rft_dat=xri:pqd:PMID=5256684</t>
  </si>
  <si>
    <t>http://gateway.proquest.com/openurl?url_ver=Z39.88-2004&amp;res_dat=xri:pqm&amp;rft_val_fmt=info:ofi/fmt:kev:mtx:journal&amp;genre=journal&amp;req_dat=xri:pqil:pq_clntid=131239&amp;svc_dat=xri:pqil:context=title&amp;rft_dat=xri:pqd:PMID=5256689</t>
  </si>
  <si>
    <t>http://gateway.proquest.com/openurl?url_ver=Z39.88-2004&amp;res_dat=xri:pqm&amp;rft_val_fmt=info:ofi/fmt:kev:mtx:journal&amp;genre=journal&amp;req_dat=xri:pqil:pq_clntid=131239&amp;svc_dat=xri:pqil:context=title&amp;rft_dat=xri:pqd:PMID=5256683</t>
  </si>
  <si>
    <t>London</t>
  </si>
  <si>
    <t>http://gateway.proquest.com/openurl?url_ver=Z39.88-2004&amp;res_dat=xri:pqm&amp;rft_val_fmt=info:ofi/fmt:kev:mtx:journal&amp;genre=journal&amp;req_dat=xri:pqil:pq_clntid=131239&amp;svc_dat=xri:pqil:context=title&amp;rft_dat=xri:pqd:PMID=2043171</t>
  </si>
  <si>
    <t>http://gateway.proquest.com/openurl?url_ver=Z39.88-2004&amp;res_dat=xri:pqm&amp;rft_val_fmt=info:ofi/fmt:kev:mtx:journal&amp;genre=journal&amp;req_dat=xri:pqil:pq_clntid=131239&amp;svc_dat=xri:pqil:context=title&amp;rft_dat=xri:pqd:PMID=5256665</t>
  </si>
  <si>
    <t>Psychotherapy.net, LLC</t>
  </si>
  <si>
    <t>http://gateway.proquest.com/openurl?url_ver=Z39.88-2004&amp;res_dat=xri:pqm&amp;rft_val_fmt=info:ofi/fmt:kev:mtx:journal&amp;genre=journal&amp;req_dat=xri:pqil:pq_clntid=131239&amp;svc_dat=xri:pqil:context=title&amp;rft_dat=xri:pqd:PMID=5262109</t>
  </si>
  <si>
    <t>New York</t>
  </si>
  <si>
    <t>http://gateway.proquest.com/openurl?url_ver=Z39.88-2004&amp;res_dat=xri:pqm&amp;rft_val_fmt=info:ofi/fmt:kev:mtx:journal&amp;genre=journal&amp;req_dat=xri:pqil:pq_clntid=131239&amp;svc_dat=xri:pqil:context=title&amp;rft_dat=xri:pqd:PMID=44810</t>
  </si>
  <si>
    <t>Selective Coverage</t>
  </si>
  <si>
    <t>http://gateway.proquest.com/openurl?url_ver=Z39.88-2004&amp;res_dat=xri:pqm&amp;rft_val_fmt=info:ofi/fmt:kev:mtx:journal&amp;genre=journal&amp;req_dat=xri:pqil:pq_clntid=131239&amp;svc_dat=xri:pqil:context=title&amp;rft_dat=xri:pqd:PMID=6394504</t>
  </si>
  <si>
    <t>http://gateway.proquest.com/openurl?url_ver=Z39.88-2004&amp;res_dat=xri:pqm&amp;rft_val_fmt=info:ofi/fmt:kev:mtx:journal&amp;genre=journal&amp;req_dat=xri:pqil:pq_clntid=131239&amp;svc_dat=xri:pqil:context=title&amp;rft_dat=xri:pqd:PMID=30083</t>
  </si>
  <si>
    <t>Abingdon</t>
  </si>
  <si>
    <t>http://gateway.proquest.com/openurl?url_ver=Z39.88-2004&amp;res_dat=xri:pqm&amp;rft_val_fmt=info:ofi/fmt:kev:mtx:journal&amp;genre=journal&amp;req_dat=xri:pqil:pq_clntid=131239&amp;svc_dat=xri:pqil:context=title&amp;rft_dat=xri:pqd:PMID=32745</t>
  </si>
  <si>
    <t>http://gateway.proquest.com/openurl?url_ver=Z39.88-2004&amp;res_dat=xri:pqm&amp;rft_val_fmt=info:ofi/fmt:kev:mtx:journal&amp;genre=journal&amp;req_dat=xri:pqil:pq_clntid=131239&amp;svc_dat=xri:pqil:context=title&amp;rft_dat=xri:pqd:PMID=32604</t>
  </si>
  <si>
    <t>http://gateway.proquest.com/openurl?url_ver=Z39.88-2004&amp;res_dat=xri:pqm&amp;rft_val_fmt=info:ofi/fmt:kev:mtx:journal&amp;genre=journal&amp;req_dat=xri:pqil:pq_clntid=131239&amp;svc_dat=xri:pqil:context=title&amp;rft_dat=xri:pqd:PMID=33605</t>
  </si>
  <si>
    <t>Atlanta</t>
  </si>
  <si>
    <t>http://gateway.proquest.com/openurl?url_ver=Z39.88-2004&amp;res_dat=xri:pqm&amp;rft_val_fmt=info:ofi/fmt:kev:mtx:journal&amp;genre=journal&amp;req_dat=xri:pqil:pq_clntid=131239&amp;svc_dat=xri:pqil:context=title&amp;rft_dat=xri:pqd:PMID=4990210</t>
  </si>
  <si>
    <t>Philadelphia</t>
  </si>
  <si>
    <t>http://gateway.proquest.com/openurl?url_ver=Z39.88-2004&amp;res_dat=xri:pqm&amp;rft_val_fmt=info:ofi/fmt:kev:mtx:journal&amp;genre=journal&amp;req_dat=xri:pqil:pq_clntid=131239&amp;svc_dat=xri:pqil:context=title&amp;rft_dat=xri:pqd:PMID=436440</t>
  </si>
  <si>
    <t>Baltimore</t>
  </si>
  <si>
    <t>http://gateway.proquest.com/openurl?url_ver=Z39.88-2004&amp;res_dat=xri:pqm&amp;rft_val_fmt=info:ofi/fmt:kev:mtx:journal&amp;genre=journal&amp;req_dat=xri:pqil:pq_clntid=131239&amp;svc_dat=xri:pqil:context=title&amp;rft_dat=xri:pqd:PMID=48107</t>
  </si>
  <si>
    <t>Thousand Oaks</t>
  </si>
  <si>
    <t>http://gateway.proquest.com/openurl?url_ver=Z39.88-2004&amp;res_dat=xri:pqm&amp;rft_val_fmt=info:ofi/fmt:kev:mtx:journal&amp;genre=journal&amp;req_dat=xri:pqil:pq_clntid=131239&amp;svc_dat=xri:pqil:context=title&amp;rft_dat=xri:pqd:PMID=6059448</t>
  </si>
  <si>
    <t>Costa Mesa</t>
  </si>
  <si>
    <t>People With Disabilities</t>
  </si>
  <si>
    <t>http://gateway.proquest.com/openurl?url_ver=Z39.88-2004&amp;res_dat=xri:pqm&amp;rft_val_fmt=info:ofi/fmt:kev:mtx:journal&amp;genre=journal&amp;req_dat=xri:pqil:pq_clntid=131239&amp;svc_dat=xri:pqil:context=title&amp;rft_dat=xri:pqd:PMID=26760</t>
  </si>
  <si>
    <t>http://gateway.proquest.com/openurl?url_ver=Z39.88-2004&amp;res_dat=xri:pqm&amp;rft_val_fmt=info:ofi/fmt:kev:mtx:journal&amp;genre=journal&amp;req_dat=xri:pqil:pq_clntid=131239&amp;svc_dat=xri:pqil:context=title&amp;rft_dat=xri:pqd:PMID=48683</t>
  </si>
  <si>
    <t>Targu Mures</t>
  </si>
  <si>
    <t>http://gateway.proquest.com/openurl?url_ver=Z39.88-2004&amp;res_dat=xri:pqm&amp;rft_val_fmt=info:ofi/fmt:kev:mtx:journal&amp;genre=journal&amp;req_dat=xri:pqil:pq_clntid=131239&amp;svc_dat=xri:pqil:context=title&amp;rft_dat=xri:pqd:PMID=2032448</t>
  </si>
  <si>
    <t>Briarcliff Manor</t>
  </si>
  <si>
    <t>http://gateway.proquest.com/openurl?url_ver=Z39.88-2004&amp;res_dat=xri:pqm&amp;rft_val_fmt=info:ofi/fmt:kev:mtx:journal&amp;genre=journal&amp;req_dat=xri:pqil:pq_clntid=131239&amp;svc_dat=xri:pqil:context=title&amp;rft_dat=xri:pqd:PMID=35200</t>
  </si>
  <si>
    <t>http://gateway.proquest.com/openurl?url_ver=Z39.88-2004&amp;res_dat=xri:pqm&amp;rft_val_fmt=info:ofi/fmt:kev:mtx:journal&amp;genre=journal&amp;req_dat=xri:pqil:pq_clntid=131239&amp;svc_dat=xri:pqil:context=title&amp;rft_dat=xri:pqd:PMID=37198</t>
  </si>
  <si>
    <t>Amityville</t>
  </si>
  <si>
    <t>http://gateway.proquest.com/openurl?url_ver=Z39.88-2004&amp;res_dat=xri:pqm&amp;rft_val_fmt=info:ofi/fmt:kev:mtx:journal&amp;genre=journal&amp;req_dat=xri:pqil:pq_clntid=131239&amp;svc_dat=xri:pqil:context=title&amp;rft_dat=xri:pqd:PMID=39256</t>
  </si>
  <si>
    <t>Madrid</t>
  </si>
  <si>
    <t>http://gateway.proquest.com/openurl?url_ver=Z39.88-2004&amp;res_dat=xri:pqm&amp;rft_val_fmt=info:ofi/fmt:kev:mtx:journal&amp;genre=journal&amp;req_dat=xri:pqil:pq_clntid=131239&amp;svc_dat=xri:pqil:context=title&amp;rft_dat=xri:pqd:PMID=1576339</t>
  </si>
  <si>
    <t>http://gateway.proquest.com/openurl?url_ver=Z39.88-2004&amp;res_dat=xri:pqm&amp;rft_val_fmt=info:ofi/fmt:kev:mtx:journal&amp;genre=journal&amp;req_dat=xri:pqil:pq_clntid=131239&amp;svc_dat=xri:pqil:context=title&amp;rft_dat=xri:pqd:PMID=6009040</t>
  </si>
  <si>
    <t>http://gateway.proquest.com/openurl?url_ver=Z39.88-2004&amp;res_dat=xri:pqm&amp;rft_val_fmt=info:ofi/fmt:kev:mtx:journal&amp;genre=journal&amp;req_dat=xri:pqil:pq_clntid=131239&amp;svc_dat=xri:pqil:context=title&amp;rft_dat=xri:pqd:PMID=5483607</t>
  </si>
  <si>
    <t>Dordrecht</t>
  </si>
  <si>
    <t>http://gateway.proquest.com/openurl?url_ver=Z39.88-2004&amp;res_dat=xri:pqm&amp;rft_val_fmt=info:ofi/fmt:kev:mtx:journal&amp;genre=journal&amp;req_dat=xri:pqil:pq_clntid=131239&amp;svc_dat=xri:pqil:context=title&amp;rft_dat=xri:pqd:PMID=2034507</t>
  </si>
  <si>
    <t>Bogotá</t>
  </si>
  <si>
    <t>http://gateway.proquest.com/openurl?url_ver=Z39.88-2004&amp;res_dat=xri:pqm&amp;rft_val_fmt=info:ofi/fmt:kev:mtx:journal&amp;genre=journal&amp;req_dat=xri:pqil:pq_clntid=131239&amp;svc_dat=xri:pqil:context=title&amp;rft_dat=xri:pqd:PMID=5517080</t>
  </si>
  <si>
    <t>Heidelberg</t>
  </si>
  <si>
    <t>http://gateway.proquest.com/openurl?url_ver=Z39.88-2004&amp;res_dat=xri:pqm&amp;rft_val_fmt=info:ofi/fmt:kev:mtx:journal&amp;genre=journal&amp;req_dat=xri:pqil:pq_clntid=131239&amp;svc_dat=xri:pqil:context=title&amp;rft_dat=xri:pqd:PMID=43992</t>
  </si>
  <si>
    <t>http://gateway.proquest.com/openurl?url_ver=Z39.88-2004&amp;res_dat=xri:pqm&amp;rft_val_fmt=info:ofi/fmt:kev:mtx:journal&amp;genre=journal&amp;req_dat=xri:pqil:pq_clntid=131239&amp;svc_dat=xri:pqil:context=title&amp;rft_dat=xri:pqd:PMID=49178</t>
  </si>
  <si>
    <t>Cambridge</t>
  </si>
  <si>
    <t>http://gateway.proquest.com/openurl?url_ver=Z39.88-2004&amp;res_dat=xri:pqm&amp;rft_val_fmt=info:ofi/fmt:kev:mtx:journal&amp;genre=journal&amp;req_dat=xri:pqil:pq_clntid=131239&amp;svc_dat=xri:pqil:context=title&amp;rft_dat=xri:pqd:PMID=5514149</t>
  </si>
  <si>
    <t>Aalborg</t>
  </si>
  <si>
    <t>http://gateway.proquest.com/openurl?url_ver=Z39.88-2004&amp;res_dat=xri:pqm&amp;rft_val_fmt=info:ofi/fmt:kev:mtx:journal&amp;genre=journal&amp;req_dat=xri:pqil:pq_clntid=131239&amp;svc_dat=xri:pqil:context=title&amp;rft_dat=xri:pqd:PMID=33508</t>
  </si>
  <si>
    <t>Amsterdam</t>
  </si>
  <si>
    <t>http://gateway.proquest.com/openurl?url_ver=Z39.88-2004&amp;res_dat=xri:pqm&amp;rft_val_fmt=info:ofi/fmt:kev:mtx:journal&amp;genre=journal&amp;req_dat=xri:pqil:pq_clntid=131239&amp;svc_dat=xri:pqil:context=title&amp;rft_dat=xri:pqd:PMID=2038283</t>
  </si>
  <si>
    <t>Oslo</t>
  </si>
  <si>
    <t>http://gateway.proquest.com/openurl?url_ver=Z39.88-2004&amp;res_dat=xri:pqm&amp;rft_val_fmt=info:ofi/fmt:kev:mtx:journal&amp;genre=journal&amp;req_dat=xri:pqil:pq_clntid=131239&amp;svc_dat=xri:pqil:context=title&amp;rft_dat=xri:pqd:PMID=47835</t>
  </si>
  <si>
    <t>Lodz</t>
  </si>
  <si>
    <t>http://gateway.proquest.com/openurl?url_ver=Z39.88-2004&amp;res_dat=xri:pqm&amp;rft_val_fmt=info:ofi/fmt:kev:mtx:journal&amp;genre=journal&amp;req_dat=xri:pqil:pq_clntid=131239&amp;svc_dat=xri:pqil:context=title&amp;rft_dat=xri:pqd:PMID=2042053</t>
  </si>
  <si>
    <t>Prague</t>
  </si>
  <si>
    <t>http://gateway.proquest.com/openurl?url_ver=Z39.88-2004&amp;res_dat=xri:pqm&amp;rft_val_fmt=info:ofi/fmt:kev:mtx:journal&amp;genre=journal&amp;req_dat=xri:pqil:pq_clntid=131239&amp;svc_dat=xri:pqil:context=title&amp;rft_dat=xri:pqd:PMID=28235</t>
  </si>
  <si>
    <t>http://gateway.proquest.com/openurl?url_ver=Z39.88-2004&amp;res_dat=xri:pqm&amp;rft_val_fmt=info:ofi/fmt:kev:mtx:journal&amp;genre=journal&amp;req_dat=xri:pqil:pq_clntid=131239&amp;svc_dat=xri:pqil:context=title&amp;rft_dat=xri:pqd:PMID=2044271</t>
  </si>
  <si>
    <t>Boston</t>
  </si>
  <si>
    <t>http://gateway.proquest.com/openurl?url_ver=Z39.88-2004&amp;res_dat=xri:pqm&amp;rft_val_fmt=info:ofi/fmt:kev:mtx:journal&amp;genre=journal&amp;req_dat=xri:pqil:pq_clntid=131239&amp;svc_dat=xri:pqil:context=title&amp;rft_dat=xri:pqd:PMID=6009042</t>
  </si>
  <si>
    <t>http://gateway.proquest.com/openurl?url_ver=Z39.88-2004&amp;res_dat=xri:pqm&amp;rft_val_fmt=info:ofi/fmt:kev:mtx:journal&amp;genre=journal&amp;req_dat=xri:pqil:pq_clntid=131239&amp;svc_dat=xri:pqil:context=title&amp;rft_dat=xri:pqd:PMID=37458</t>
  </si>
  <si>
    <t>http://gateway.proquest.com/openurl?url_ver=Z39.88-2004&amp;res_dat=xri:pqm&amp;rft_val_fmt=info:ofi/fmt:kev:mtx:journal&amp;genre=journal&amp;req_dat=xri:pqil:pq_clntid=131239&amp;svc_dat=xri:pqil:context=title&amp;rft_dat=xri:pqd:PMID=33521</t>
  </si>
  <si>
    <t>Malvern</t>
  </si>
  <si>
    <t>http://gateway.proquest.com/openurl?url_ver=Z39.88-2004&amp;res_dat=xri:pqm&amp;rft_val_fmt=info:ofi/fmt:kev:mtx:journal&amp;genre=journal&amp;req_dat=xri:pqil:pq_clntid=131239&amp;svc_dat=xri:pqil:context=title&amp;rft_dat=xri:pqd:PMID=29211</t>
  </si>
  <si>
    <t>http://gateway.proquest.com/openurl?url_ver=Z39.88-2004&amp;res_dat=xri:pqm&amp;rft_val_fmt=info:ofi/fmt:kev:mtx:journal&amp;genre=journal&amp;req_dat=xri:pqil:pq_clntid=131239&amp;svc_dat=xri:pqil:context=title&amp;rft_dat=xri:pqd:PMID=2040177</t>
  </si>
  <si>
    <t>Symptom Media</t>
  </si>
  <si>
    <t>http://gateway.proquest.com/openurl?url_ver=Z39.88-2004&amp;res_dat=xri:pqm&amp;rft_val_fmt=info:ofi/fmt:kev:mtx:journal&amp;genre=journal&amp;req_dat=xri:pqil:pq_clntid=131239&amp;svc_dat=xri:pqil:context=title&amp;rft_dat=xri:pqd:PMID=5262100</t>
  </si>
  <si>
    <t>http://gateway.proquest.com/openurl?url_ver=Z39.88-2004&amp;res_dat=xri:pqm&amp;rft_val_fmt=info:ofi/fmt:kev:mtx:journal&amp;genre=journal&amp;req_dat=xri:pqil:pq_clntid=131239&amp;svc_dat=xri:pqil:context=title&amp;rft_dat=xri:pqd:PMID=5262099</t>
  </si>
  <si>
    <t>http://gateway.proquest.com/openurl?url_ver=Z39.88-2004&amp;res_dat=xri:pqm&amp;rft_val_fmt=info:ofi/fmt:kev:mtx:journal&amp;genre=journal&amp;req_dat=xri:pqil:pq_clntid=131239&amp;svc_dat=xri:pqil:context=title&amp;rft_dat=xri:pqd:PMID=5262098</t>
  </si>
  <si>
    <t>Oxford</t>
  </si>
  <si>
    <t>http://gateway.proquest.com/openurl?url_ver=Z39.88-2004&amp;res_dat=xri:pqm&amp;rft_val_fmt=info:ofi/fmt:kev:mtx:journal&amp;genre=journal&amp;req_dat=xri:pqil:pq_clntid=131239&amp;svc_dat=xri:pqil:context=title&amp;rft_dat=xri:pqd:PMID=45705</t>
  </si>
  <si>
    <t>Palma de Mallorca</t>
  </si>
  <si>
    <t>http://gateway.proquest.com/openurl?url_ver=Z39.88-2004&amp;res_dat=xri:pqm&amp;rft_val_fmt=info:ofi/fmt:kev:mtx:journal&amp;genre=journal&amp;req_dat=xri:pqil:pq_clntid=131239&amp;svc_dat=xri:pqil:context=title&amp;rft_dat=xri:pqd:PMID=2032270</t>
  </si>
  <si>
    <t>http://gateway.proquest.com/openurl?url_ver=Z39.88-2004&amp;res_dat=xri:pqm&amp;rft_val_fmt=info:ofi/fmt:kev:mtx:journal&amp;genre=journal&amp;req_dat=xri:pqil:pq_clntid=131239&amp;svc_dat=xri:pqil:context=title&amp;rft_dat=xri:pqd:PMID=47289</t>
  </si>
  <si>
    <t>http://gateway.proquest.com/openurl?url_ver=Z39.88-2004&amp;res_dat=xri:pqm&amp;rft_val_fmt=info:ofi/fmt:kev:mtx:journal&amp;genre=journal&amp;req_dat=xri:pqil:pq_clntid=131239&amp;svc_dat=xri:pqil:context=title&amp;rft_dat=xri:pqd:PMID=38575</t>
  </si>
  <si>
    <t>http://gateway.proquest.com/openurl?url_ver=Z39.88-2004&amp;res_dat=xri:pqm&amp;rft_val_fmt=info:ofi/fmt:kev:mtx:journal&amp;genre=journal&amp;req_dat=xri:pqil:pq_clntid=131239&amp;svc_dat=xri:pqil:context=title&amp;rft_dat=xri:pqd:PMID=24293</t>
  </si>
  <si>
    <t>Roslyn Heights</t>
  </si>
  <si>
    <t>http://gateway.proquest.com/openurl?url_ver=Z39.88-2004&amp;res_dat=xri:pqm&amp;rft_val_fmt=info:ofi/fmt:kev:mtx:journal&amp;genre=journal&amp;req_dat=xri:pqil:pq_clntid=131239&amp;svc_dat=xri:pqil:context=title&amp;rft_dat=xri:pqd:PMID=41539</t>
  </si>
  <si>
    <t>Hillsdale</t>
  </si>
  <si>
    <t>http://gateway.proquest.com/openurl?url_ver=Z39.88-2004&amp;res_dat=xri:pqm&amp;rft_val_fmt=info:ofi/fmt:kev:mtx:journal&amp;genre=journal&amp;req_dat=xri:pqil:pq_clntid=131239&amp;svc_dat=xri:pqil:context=title&amp;rft_dat=xri:pqd:PMID=48299</t>
  </si>
  <si>
    <t>http://gateway.proquest.com/openurl?url_ver=Z39.88-2004&amp;res_dat=xri:pqm&amp;rft_val_fmt=info:ofi/fmt:kev:mtx:journal&amp;genre=journal&amp;req_dat=xri:pqil:pq_clntid=131239&amp;svc_dat=xri:pqil:context=title&amp;rft_dat=xri:pqd:PMID=5483588</t>
  </si>
  <si>
    <t>Washington</t>
  </si>
  <si>
    <t>http://gateway.proquest.com/openurl?url_ver=Z39.88-2004&amp;res_dat=xri:pqm&amp;rft_val_fmt=info:ofi/fmt:kev:mtx:journal&amp;genre=journal&amp;req_dat=xri:pqil:pq_clntid=131239&amp;svc_dat=xri:pqil:context=title&amp;rft_dat=xri:pqd:PMID=277</t>
  </si>
  <si>
    <t>Alexandria</t>
  </si>
  <si>
    <t>http://gateway.proquest.com/openurl?url_ver=Z39.88-2004&amp;res_dat=xri:pqm&amp;rft_val_fmt=info:ofi/fmt:kev:mtx:journal&amp;genre=journal&amp;req_dat=xri:pqil:pq_clntid=131239&amp;svc_dat=xri:pqil:context=title&amp;rft_dat=xri:pqd:PMID=45903</t>
  </si>
  <si>
    <t>Denver</t>
  </si>
  <si>
    <t>http://gateway.proquest.com/openurl?url_ver=Z39.88-2004&amp;res_dat=xri:pqm&amp;rft_val_fmt=info:ofi/fmt:kev:mtx:journal&amp;genre=journal&amp;req_dat=xri:pqil:pq_clntid=131239&amp;svc_dat=xri:pqil:context=title&amp;rft_dat=xri:pqd:PMID=28640</t>
  </si>
  <si>
    <t>http://gateway.proquest.com/openurl?url_ver=Z39.88-2004&amp;res_dat=xri:pqm&amp;rft_val_fmt=info:ofi/fmt:kev:mtx:journal&amp;genre=journal&amp;req_dat=xri:pqil:pq_clntid=131239&amp;svc_dat=xri:pqil:context=title&amp;rft_dat=xri:pqd:PMID=237360</t>
  </si>
  <si>
    <t>Bingley</t>
  </si>
  <si>
    <t>http://gateway.proquest.com/openurl?url_ver=Z39.88-2004&amp;res_dat=xri:pqm&amp;rft_val_fmt=info:ofi/fmt:kev:mtx:journal&amp;genre=journal&amp;req_dat=xri:pqil:pq_clntid=131239&amp;svc_dat=xri:pqil:context=title&amp;rft_dat=xri:pqd:PMID=2050554</t>
  </si>
  <si>
    <t>Warsaw</t>
  </si>
  <si>
    <t>http://gateway.proquest.com/openurl?url_ver=Z39.88-2004&amp;res_dat=xri:pqm&amp;rft_val_fmt=info:ofi/fmt:kev:mtx:journal&amp;genre=journal&amp;req_dat=xri:pqil:pq_clntid=131239&amp;svc_dat=xri:pqil:context=title&amp;rft_dat=xri:pqd:PMID=4661186</t>
  </si>
  <si>
    <t>Urbana</t>
  </si>
  <si>
    <t>http://gateway.proquest.com/openurl?url_ver=Z39.88-2004&amp;res_dat=xri:pqm&amp;rft_val_fmt=info:ofi/fmt:kev:mtx:journal&amp;genre=journal&amp;req_dat=xri:pqil:pq_clntid=131239&amp;svc_dat=xri:pqil:context=title&amp;rft_dat=xri:pqd:PMID=30304</t>
  </si>
  <si>
    <t>Hove</t>
  </si>
  <si>
    <t>http://gateway.proquest.com/openurl?url_ver=Z39.88-2004&amp;res_dat=xri:pqm&amp;rft_val_fmt=info:ofi/fmt:kev:mtx:journal&amp;genre=journal&amp;req_dat=xri:pqil:pq_clntid=131239&amp;svc_dat=xri:pqil:context=title&amp;rft_dat=xri:pqd:PMID=1046394</t>
  </si>
  <si>
    <t>Advances in Gender Research</t>
  </si>
  <si>
    <t>1875-5194</t>
  </si>
  <si>
    <t>http://gateway.proquest.com/openurl?url_ver=Z39.88-2004&amp;res_dat=xri:pqm&amp;rft_val_fmt=info:ofi/fmt:kev:mtx:journal&amp;genre=journal&amp;req_dat=xri:pqil:pq_clntid=131239&amp;svc_dat=xri:pqil:context=title&amp;rft_dat=xri:pqd:PMID=2040076</t>
  </si>
  <si>
    <t>http://gateway.proquest.com/openurl?url_ver=Z39.88-2004&amp;res_dat=xri:pqm&amp;rft_val_fmt=info:ofi/fmt:kev:mtx:journal&amp;genre=journal&amp;req_dat=xri:pqil:pq_clntid=131239&amp;svc_dat=xri:pqil:context=title&amp;rft_dat=xri:pqd:PMID=237352</t>
  </si>
  <si>
    <t>Maleny</t>
  </si>
  <si>
    <t>http://gateway.proquest.com/openurl?url_ver=Z39.88-2004&amp;res_dat=xri:pqm&amp;rft_val_fmt=info:ofi/fmt:kev:mtx:journal&amp;genre=journal&amp;req_dat=xri:pqil:pq_clntid=131239&amp;svc_dat=xri:pqil:context=title&amp;rft_dat=xri:pqd:PMID=826331</t>
  </si>
  <si>
    <t>http://gateway.proquest.com/openurl?url_ver=Z39.88-2004&amp;res_dat=xri:pqm&amp;rft_val_fmt=info:ofi/fmt:kev:mtx:journal&amp;genre=journal&amp;req_dat=xri:pqil:pq_clntid=131239&amp;svc_dat=xri:pqil:context=title&amp;rft_dat=xri:pqd:PMID=1046392</t>
  </si>
  <si>
    <t>Advances in Neurodevelopmental Disorders</t>
  </si>
  <si>
    <t>Augusta</t>
  </si>
  <si>
    <t>2366-7532</t>
  </si>
  <si>
    <t>2366-7540</t>
  </si>
  <si>
    <t>http://gateway.proquest.com/openurl?url_ver=Z39.88-2004&amp;res_dat=xri:pqm&amp;rft_val_fmt=info:ofi/fmt:kev:mtx:journal&amp;genre=journal&amp;req_dat=xri:pqil:pq_clntid=131239&amp;svc_dat=xri:pqil:context=title&amp;rft_dat=xri:pqd:PMID=6420653</t>
  </si>
  <si>
    <t>http://gateway.proquest.com/openurl?url_ver=Z39.88-2004&amp;res_dat=xri:pqm&amp;rft_val_fmt=info:ofi/fmt:kev:mtx:journal&amp;genre=journal&amp;req_dat=xri:pqil:pq_clntid=131239&amp;svc_dat=xri:pqil:context=title&amp;rft_dat=xri:pqd:PMID=5325198</t>
  </si>
  <si>
    <t>http://gateway.proquest.com/openurl?url_ver=Z39.88-2004&amp;res_dat=xri:pqm&amp;rft_val_fmt=info:ofi/fmt:kev:mtx:journal&amp;genre=journal&amp;req_dat=xri:pqil:pq_clntid=131239&amp;svc_dat=xri:pqil:context=title&amp;rft_dat=xri:pqd:PMID=5325208</t>
  </si>
  <si>
    <t>Medellín</t>
  </si>
  <si>
    <t>http://gateway.proquest.com/openurl?url_ver=Z39.88-2004&amp;res_dat=xri:pqm&amp;rft_val_fmt=info:ofi/fmt:kev:mtx:journal&amp;genre=journal&amp;req_dat=xri:pqil:pq_clntid=131239&amp;svc_dat=xri:pqil:context=title&amp;rft_dat=xri:pqd:PMID=1806356</t>
  </si>
  <si>
    <t>http://gateway.proquest.com/openurl?url_ver=Z39.88-2004&amp;res_dat=xri:pqm&amp;rft_val_fmt=info:ofi/fmt:kev:mtx:journal&amp;genre=journal&amp;req_dat=xri:pqil:pq_clntid=131239&amp;svc_dat=xri:pqil:context=title&amp;rft_dat=xri:pqd:PMID=5325201</t>
  </si>
  <si>
    <t>Lanham</t>
  </si>
  <si>
    <t>http://gateway.proquest.com/openurl?url_ver=Z39.88-2004&amp;res_dat=xri:pqm&amp;rft_val_fmt=info:ofi/fmt:kev:mtx:journal&amp;genre=journal&amp;req_dat=xri:pqil:pq_clntid=131239&amp;svc_dat=xri:pqil:context=title&amp;rft_dat=xri:pqd:PMID=5483566</t>
  </si>
  <si>
    <t>http://gateway.proquest.com/openurl?url_ver=Z39.88-2004&amp;res_dat=xri:pqm&amp;rft_val_fmt=info:ofi/fmt:kev:mtx:journal&amp;genre=journal&amp;req_dat=xri:pqil:pq_clntid=131239&amp;svc_dat=xri:pqil:context=title&amp;rft_dat=xri:pqd:PMID=5455931</t>
  </si>
  <si>
    <t>http://gateway.proquest.com/openurl?url_ver=Z39.88-2004&amp;res_dat=xri:pqm&amp;rft_val_fmt=info:ofi/fmt:kev:mtx:journal&amp;genre=journal&amp;req_dat=xri:pqil:pq_clntid=131239&amp;svc_dat=xri:pqil:context=title&amp;rft_dat=xri:pqd:PMID=5256682</t>
  </si>
  <si>
    <t>http://gateway.proquest.com/openurl?url_ver=Z39.88-2004&amp;res_dat=xri:pqm&amp;rft_val_fmt=info:ofi/fmt:kev:mtx:journal&amp;genre=journal&amp;req_dat=xri:pqil:pq_clntid=131239&amp;svc_dat=xri:pqil:context=title&amp;rft_dat=xri:pqd:PMID=37022</t>
  </si>
  <si>
    <t>http://gateway.proquest.com/openurl?url_ver=Z39.88-2004&amp;res_dat=xri:pqm&amp;rft_val_fmt=info:ofi/fmt:kev:mtx:journal&amp;genre=journal&amp;req_dat=xri:pqil:pq_clntid=131239&amp;svc_dat=xri:pqil:context=title&amp;rft_dat=xri:pqd:PMID=2039241</t>
  </si>
  <si>
    <t>Tarrytown</t>
  </si>
  <si>
    <t>http://gateway.proquest.com/openurl?url_ver=Z39.88-2004&amp;res_dat=xri:pqm&amp;rft_val_fmt=info:ofi/fmt:kev:mtx:journal&amp;genre=journal&amp;req_dat=xri:pqil:pq_clntid=131239&amp;svc_dat=xri:pqil:context=title&amp;rft_dat=xri:pqd:PMID=186261</t>
  </si>
  <si>
    <t>Hoboken</t>
  </si>
  <si>
    <t>http://gateway.proquest.com/openurl?url_ver=Z39.88-2004&amp;res_dat=xri:pqm&amp;rft_val_fmt=info:ofi/fmt:kev:mtx:journal&amp;genre=journal&amp;req_dat=xri:pqil:pq_clntid=131239&amp;svc_dat=xri:pqil:context=title&amp;rft_dat=xri:pqd:PMID=1936366</t>
  </si>
  <si>
    <t>01-Jan-2021--31-Dec-2022</t>
  </si>
  <si>
    <t>http://gateway.proquest.com/openurl?url_ver=Z39.88-2004&amp;res_dat=xri:pqm&amp;rft_val_fmt=info:ofi/fmt:kev:mtx:journal&amp;genre=journal&amp;req_dat=xri:pqil:pq_clntid=131239&amp;svc_dat=xri:pqil:context=title&amp;rft_dat=xri:pqd:PMID=53150</t>
  </si>
  <si>
    <t>http://gateway.proquest.com/openurl?url_ver=Z39.88-2004&amp;res_dat=xri:pqm&amp;rft_val_fmt=info:ofi/fmt:kev:mtx:journal&amp;genre=journal&amp;req_dat=xri:pqil:pq_clntid=131239&amp;svc_dat=xri:pqil:context=title&amp;rft_dat=xri:pqd:PMID=2033431</t>
  </si>
  <si>
    <t>Rio de Janeiro</t>
  </si>
  <si>
    <t>http://gateway.proquest.com/openurl?url_ver=Z39.88-2004&amp;res_dat=xri:pqm&amp;rft_val_fmt=info:ofi/fmt:kev:mtx:journal&amp;genre=journal&amp;req_dat=xri:pqil:pq_clntid=131239&amp;svc_dat=xri:pqil:context=title&amp;rft_dat=xri:pqd:PMID=2040943</t>
  </si>
  <si>
    <t>Albert Ellis Institute Collection</t>
  </si>
  <si>
    <t>http://gateway.proquest.com/openurl?url_ver=Z39.88-2004&amp;res_dat=xri:pqm&amp;rft_val_fmt=info:ofi/fmt:kev:mtx:journal&amp;genre=journal&amp;req_dat=xri:pqil:pq_clntid=131239&amp;svc_dat=xri:pqil:context=title&amp;rft_dat=xri:pqd:PMID=6128791</t>
  </si>
  <si>
    <t>Edmonton</t>
  </si>
  <si>
    <t>http://gateway.proquest.com/openurl?url_ver=Z39.88-2004&amp;res_dat=xri:pqm&amp;rft_val_fmt=info:ofi/fmt:kev:mtx:journal&amp;genre=journal&amp;req_dat=xri:pqil:pq_clntid=131239&amp;svc_dat=xri:pqil:context=title&amp;rft_dat=xri:pqd:PMID=44535</t>
  </si>
  <si>
    <t>http://gateway.proquest.com/openurl?url_ver=Z39.88-2004&amp;res_dat=xri:pqm&amp;rft_val_fmt=info:ofi/fmt:kev:mtx:journal&amp;genre=journal&amp;req_dat=xri:pqil:pq_clntid=131239&amp;svc_dat=xri:pqil:context=title&amp;rft_dat=xri:pqd:PMID=44723</t>
  </si>
  <si>
    <t>http://gateway.proquest.com/openurl?url_ver=Z39.88-2004&amp;res_dat=xri:pqm&amp;rft_val_fmt=info:ofi/fmt:kev:mtx:journal&amp;genre=journal&amp;req_dat=xri:pqil:pq_clntid=131239&amp;svc_dat=xri:pqil:context=title&amp;rft_dat=xri:pqd:PMID=1216346</t>
  </si>
  <si>
    <t>Santa Monica</t>
  </si>
  <si>
    <t>http://gateway.proquest.com/openurl?url_ver=Z39.88-2004&amp;res_dat=xri:pqm&amp;rft_val_fmt=info:ofi/fmt:kev:mtx:journal&amp;genre=journal&amp;req_dat=xri:pqil:pq_clntid=131239&amp;svc_dat=xri:pqil:context=title&amp;rft_dat=xri:pqd:PMID=6447833</t>
  </si>
  <si>
    <t>Bethesda</t>
  </si>
  <si>
    <t>http://gateway.proquest.com/openurl?url_ver=Z39.88-2004&amp;res_dat=xri:pqm&amp;rft_val_fmt=info:ofi/fmt:kev:mtx:journal&amp;genre=journal&amp;req_dat=xri:pqil:pq_clntid=131239&amp;svc_dat=xri:pqil:context=title&amp;rft_dat=xri:pqd:PMID=48866</t>
  </si>
  <si>
    <t>http://gateway.proquest.com/openurl?url_ver=Z39.88-2004&amp;res_dat=xri:pqm&amp;rft_val_fmt=info:ofi/fmt:kev:mtx:journal&amp;genre=journal&amp;req_dat=xri:pqil:pq_clntid=131239&amp;svc_dat=xri:pqil:context=title&amp;rft_dat=xri:pqd:PMID=46106</t>
  </si>
  <si>
    <t>Austin</t>
  </si>
  <si>
    <t>http://gateway.proquest.com/openurl?url_ver=Z39.88-2004&amp;res_dat=xri:pqm&amp;rft_val_fmt=info:ofi/fmt:kev:mtx:journal&amp;genre=journal&amp;req_dat=xri:pqil:pq_clntid=131239&amp;svc_dat=xri:pqil:context=title&amp;rft_dat=xri:pqd:PMID=946353</t>
  </si>
  <si>
    <t>http://gateway.proquest.com/openurl?url_ver=Z39.88-2004&amp;res_dat=xri:pqm&amp;rft_val_fmt=info:ofi/fmt:kev:mtx:journal&amp;genre=journal&amp;req_dat=xri:pqil:pq_clntid=131239&amp;svc_dat=xri:pqil:context=title&amp;rft_dat=xri:pqd:PMID=4240</t>
  </si>
  <si>
    <t>http://gateway.proquest.com/openurl?url_ver=Z39.88-2004&amp;res_dat=xri:pqm&amp;rft_val_fmt=info:ofi/fmt:kev:mtx:journal&amp;genre=journal&amp;req_dat=xri:pqil:pq_clntid=131239&amp;svc_dat=xri:pqil:context=title&amp;rft_dat=xri:pqd:PMID=2040012</t>
  </si>
  <si>
    <t>Aligning Perceptual Positions : The Idea of Stepping Into Someone Else's Experience in Order To Understand Them Better Is a Very Old One. However, When Most People Attempt This, They Bring Along Their Own Viewpoints, Biases, Self-Talk, and Feelings…</t>
  </si>
  <si>
    <t>http://gateway.proquest.com/openurl?url_ver=Z39.88-2004&amp;res_dat=xri:pqm&amp;rft_val_fmt=info:ofi/fmt:kev:mtx:journal&amp;genre=journal&amp;req_dat=xri:pqil:pq_clntid=131239&amp;svc_dat=xri:pqil:context=title&amp;rft_dat=xri:pqd:PMID=6394515</t>
  </si>
  <si>
    <t>Leeds</t>
  </si>
  <si>
    <t>http://gateway.proquest.com/openurl?url_ver=Z39.88-2004&amp;res_dat=xri:pqm&amp;rft_val_fmt=info:ofi/fmt:kev:mtx:journal&amp;genre=journal&amp;req_dat=xri:pqil:pq_clntid=131239&amp;svc_dat=xri:pqil:context=title&amp;rft_dat=xri:pqd:PMID=4396020</t>
  </si>
  <si>
    <t>Arden</t>
  </si>
  <si>
    <t>http://gateway.proquest.com/openurl?url_ver=Z39.88-2004&amp;res_dat=xri:pqm&amp;rft_val_fmt=info:ofi/fmt:kev:mtx:journal&amp;genre=journal&amp;req_dat=xri:pqil:pq_clntid=131239&amp;svc_dat=xri:pqil:context=title&amp;rft_dat=xri:pqd:PMID=38769</t>
  </si>
  <si>
    <t>http://gateway.proquest.com/openurl?url_ver=Z39.88-2004&amp;res_dat=xri:pqm&amp;rft_val_fmt=info:ofi/fmt:kev:mtx:journal&amp;genre=journal&amp;req_dat=xri:pqil:pq_clntid=131239&amp;svc_dat=xri:pqil:context=title&amp;rft_dat=xri:pqd:PMID=5483575</t>
  </si>
  <si>
    <t>http://gateway.proquest.com/openurl?url_ver=Z39.88-2004&amp;res_dat=xri:pqm&amp;rft_val_fmt=info:ofi/fmt:kev:mtx:journal&amp;genre=journal&amp;req_dat=xri:pqil:pq_clntid=131239&amp;svc_dat=xri:pqil:context=title&amp;rft_dat=xri:pqd:PMID=6009041</t>
  </si>
  <si>
    <t>American Academy of Psychotherapists</t>
  </si>
  <si>
    <t>http://gateway.proquest.com/openurl?url_ver=Z39.88-2004&amp;res_dat=xri:pqm&amp;rft_val_fmt=info:ofi/fmt:kev:mtx:journal&amp;genre=journal&amp;req_dat=xri:pqil:pq_clntid=131239&amp;svc_dat=xri:pqil:context=title&amp;rft_dat=xri:pqd:PMID=6128790</t>
  </si>
  <si>
    <t>01-Apr-2012--31-Mar-2017</t>
  </si>
  <si>
    <t>Education--Special Education And Rehabilitation|People With Disabilities--Hearing Impaired</t>
  </si>
  <si>
    <t>http://gateway.proquest.com/openurl?url_ver=Z39.88-2004&amp;res_dat=xri:pqm&amp;rft_val_fmt=info:ofi/fmt:kev:mtx:journal&amp;genre=journal&amp;req_dat=xri:pqil:pq_clntid=131239&amp;svc_dat=xri:pqil:context=title&amp;rft_dat=xri:pqd:PMID=25220</t>
  </si>
  <si>
    <t>http://gateway.proquest.com/openurl?url_ver=Z39.88-2004&amp;res_dat=xri:pqm&amp;rft_val_fmt=info:ofi/fmt:kev:mtx:journal&amp;genre=journal&amp;req_dat=xri:pqil:pq_clntid=131239&amp;svc_dat=xri:pqil:context=title&amp;rft_dat=xri:pqd:PMID=40961</t>
  </si>
  <si>
    <t>http://gateway.proquest.com/openurl?url_ver=Z39.88-2004&amp;res_dat=xri:pqm&amp;rft_val_fmt=info:ofi/fmt:kev:mtx:journal&amp;genre=journal&amp;req_dat=xri:pqil:pq_clntid=131239&amp;svc_dat=xri:pqil:context=title&amp;rft_dat=xri:pqd:PMID=40592</t>
  </si>
  <si>
    <t>http://gateway.proquest.com/openurl?url_ver=Z39.88-2004&amp;res_dat=xri:pqm&amp;rft_val_fmt=info:ofi/fmt:kev:mtx:journal&amp;genre=journal&amp;req_dat=xri:pqil:pq_clntid=131239&amp;svc_dat=xri:pqil:context=title&amp;rft_dat=xri:pqd:PMID=6359431</t>
  </si>
  <si>
    <t>01-Jan-1982--31-Dec-1985; 01-Jan-1987--31-Dec-1994</t>
  </si>
  <si>
    <t>http://gateway.proquest.com/openurl?url_ver=Z39.88-2004&amp;res_dat=xri:pqm&amp;rft_val_fmt=info:ofi/fmt:kev:mtx:journal&amp;genre=journal&amp;req_dat=xri:pqil:pq_clntid=131239&amp;svc_dat=xri:pqil:context=title&amp;rft_dat=xri:pqd:PMID=40697</t>
  </si>
  <si>
    <t>Arlington</t>
  </si>
  <si>
    <t>http://gateway.proquest.com/openurl?url_ver=Z39.88-2004&amp;res_dat=xri:pqm&amp;rft_val_fmt=info:ofi/fmt:kev:mtx:journal&amp;genre=journal&amp;req_dat=xri:pqil:pq_clntid=131239&amp;svc_dat=xri:pqil:context=title&amp;rft_dat=xri:pqd:PMID=47675</t>
  </si>
  <si>
    <t>http://gateway.proquest.com/openurl?url_ver=Z39.88-2004&amp;res_dat=xri:pqm&amp;rft_val_fmt=info:ofi/fmt:kev:mtx:journal&amp;genre=journal&amp;req_dat=xri:pqil:pq_clntid=131239&amp;svc_dat=xri:pqil:context=title&amp;rft_dat=xri:pqd:PMID=41907</t>
  </si>
  <si>
    <t>http://gateway.proquest.com/openurl?url_ver=Z39.88-2004&amp;res_dat=xri:pqm&amp;rft_val_fmt=info:ofi/fmt:kev:mtx:journal&amp;genre=journal&amp;req_dat=xri:pqil:pq_clntid=131239&amp;svc_dat=xri:pqil:context=title&amp;rft_dat=xri:pqd:PMID=40970</t>
  </si>
  <si>
    <t>http://gateway.proquest.com/openurl?url_ver=Z39.88-2004&amp;res_dat=xri:pqm&amp;rft_val_fmt=info:ofi/fmt:kev:mtx:journal&amp;genre=journal&amp;req_dat=xri:pqil:pq_clntid=131239&amp;svc_dat=xri:pqil:context=title&amp;rft_dat=xri:pqd:PMID=33077</t>
  </si>
  <si>
    <t>Aurora</t>
  </si>
  <si>
    <t>http://gateway.proquest.com/openurl?url_ver=Z39.88-2004&amp;res_dat=xri:pqm&amp;rft_val_fmt=info:ofi/fmt:kev:mtx:journal&amp;genre=journal&amp;req_dat=xri:pqil:pq_clntid=131239&amp;svc_dat=xri:pqil:context=title&amp;rft_dat=xri:pqd:PMID=28776</t>
  </si>
  <si>
    <t>http://gateway.proquest.com/openurl?url_ver=Z39.88-2004&amp;res_dat=xri:pqm&amp;rft_val_fmt=info:ofi/fmt:kev:mtx:journal&amp;genre=journal&amp;req_dat=xri:pqil:pq_clntid=131239&amp;svc_dat=xri:pqil:context=title&amp;rft_dat=xri:pqd:PMID=38574</t>
  </si>
  <si>
    <t>Bloomingdale</t>
  </si>
  <si>
    <t>http://gateway.proquest.com/openurl?url_ver=Z39.88-2004&amp;res_dat=xri:pqm&amp;rft_val_fmt=info:ofi/fmt:kev:mtx:journal&amp;genre=journal&amp;req_dat=xri:pqil:pq_clntid=131239&amp;svc_dat=xri:pqil:context=title&amp;rft_dat=xri:pqd:PMID=41536</t>
  </si>
  <si>
    <t>Macon</t>
  </si>
  <si>
    <t>http://gateway.proquest.com/openurl?url_ver=Z39.88-2004&amp;res_dat=xri:pqm&amp;rft_val_fmt=info:ofi/fmt:kev:mtx:journal&amp;genre=journal&amp;req_dat=xri:pqil:pq_clntid=131239&amp;svc_dat=xri:pqil:context=title&amp;rft_dat=xri:pqd:PMID=47760</t>
  </si>
  <si>
    <t>Louisville</t>
  </si>
  <si>
    <t>http://gateway.proquest.com/openurl?url_ver=Z39.88-2004&amp;res_dat=xri:pqm&amp;rft_val_fmt=info:ofi/fmt:kev:mtx:journal&amp;genre=journal&amp;req_dat=xri:pqil:pq_clntid=131239&amp;svc_dat=xri:pqil:context=title&amp;rft_dat=xri:pqd:PMID=49167</t>
  </si>
  <si>
    <t>Aliso Viejo</t>
  </si>
  <si>
    <t>http://gateway.proquest.com/openurl?url_ver=Z39.88-2004&amp;res_dat=xri:pqm&amp;rft_val_fmt=info:ofi/fmt:kev:mtx:journal&amp;genre=journal&amp;req_dat=xri:pqil:pq_clntid=131239&amp;svc_dat=xri:pqil:context=title&amp;rft_dat=xri:pqd:PMID=33078</t>
  </si>
  <si>
    <t>http://gateway.proquest.com/openurl?url_ver=Z39.88-2004&amp;res_dat=xri:pqm&amp;rft_val_fmt=info:ofi/fmt:kev:mtx:journal&amp;genre=journal&amp;req_dat=xri:pqil:pq_clntid=131239&amp;svc_dat=xri:pqil:context=title&amp;rft_dat=xri:pqd:PMID=54104</t>
  </si>
  <si>
    <t>http://gateway.proquest.com/openurl?url_ver=Z39.88-2004&amp;res_dat=xri:pqm&amp;rft_val_fmt=info:ofi/fmt:kev:mtx:journal&amp;genre=journal&amp;req_dat=xri:pqil:pq_clntid=131239&amp;svc_dat=xri:pqil:context=title&amp;rft_dat=xri:pqd:PMID=48364</t>
  </si>
  <si>
    <t>Chicago</t>
  </si>
  <si>
    <t>http://gateway.proquest.com/openurl?url_ver=Z39.88-2004&amp;res_dat=xri:pqm&amp;rft_val_fmt=info:ofi/fmt:kev:mtx:journal&amp;genre=journal&amp;req_dat=xri:pqil:pq_clntid=131239&amp;svc_dat=xri:pqil:context=title&amp;rft_dat=xri:pqd:PMID=41725</t>
  </si>
  <si>
    <t>http://gateway.proquest.com/openurl?url_ver=Z39.88-2004&amp;res_dat=xri:pqm&amp;rft_val_fmt=info:ofi/fmt:kev:mtx:journal&amp;genre=journal&amp;req_dat=xri:pqil:pq_clntid=131239&amp;svc_dat=xri:pqil:context=title&amp;rft_dat=xri:pqd:PMID=23101</t>
  </si>
  <si>
    <t>http://gateway.proquest.com/openurl?url_ver=Z39.88-2004&amp;res_dat=xri:pqm&amp;rft_val_fmt=info:ofi/fmt:kev:mtx:journal&amp;genre=journal&amp;req_dat=xri:pqil:pq_clntid=131239&amp;svc_dat=xri:pqil:context=title&amp;rft_dat=xri:pqd:PMID=30840</t>
  </si>
  <si>
    <t>Star City</t>
  </si>
  <si>
    <t>http://gateway.proquest.com/openurl?url_ver=Z39.88-2004&amp;res_dat=xri:pqm&amp;rft_val_fmt=info:ofi/fmt:kev:mtx:journal&amp;genre=journal&amp;req_dat=xri:pqil:pq_clntid=131239&amp;svc_dat=xri:pqil:context=title&amp;rft_dat=xri:pqd:PMID=48054</t>
  </si>
  <si>
    <t>http://gateway.proquest.com/openurl?url_ver=Z39.88-2004&amp;res_dat=xri:pqm&amp;rft_val_fmt=info:ofi/fmt:kev:mtx:journal&amp;genre=journal&amp;req_dat=xri:pqil:pq_clntid=131239&amp;svc_dat=xri:pqil:context=title&amp;rft_dat=xri:pqd:PMID=35372</t>
  </si>
  <si>
    <t>Rochester</t>
  </si>
  <si>
    <t>http://gateway.proquest.com/openurl?url_ver=Z39.88-2004&amp;res_dat=xri:pqm&amp;rft_val_fmt=info:ofi/fmt:kev:mtx:journal&amp;genre=journal&amp;req_dat=xri:pqil:pq_clntid=131239&amp;svc_dat=xri:pqil:context=title&amp;rft_dat=xri:pqd:PMID=1946343</t>
  </si>
  <si>
    <t>Evanston</t>
  </si>
  <si>
    <t>http://gateway.proquest.com/openurl?url_ver=Z39.88-2004&amp;res_dat=xri:pqm&amp;rft_val_fmt=info:ofi/fmt:kev:mtx:journal&amp;genre=journal&amp;req_dat=xri:pqil:pq_clntid=131239&amp;svc_dat=xri:pqil:context=title&amp;rft_dat=xri:pqd:PMID=186265</t>
  </si>
  <si>
    <t>http://gateway.proquest.com/openurl?url_ver=Z39.88-2004&amp;res_dat=xri:pqm&amp;rft_val_fmt=info:ofi/fmt:kev:mtx:journal&amp;genre=journal&amp;req_dat=xri:pqil:pq_clntid=131239&amp;svc_dat=xri:pqil:context=title&amp;rft_dat=xri:pqd:PMID=40661</t>
  </si>
  <si>
    <t>Basingstoke</t>
  </si>
  <si>
    <t>01-Jul-2004--31-Dec-2006</t>
  </si>
  <si>
    <t>http://gateway.proquest.com/openurl?url_ver=Z39.88-2004&amp;res_dat=xri:pqm&amp;rft_val_fmt=info:ofi/fmt:kev:mtx:journal&amp;genre=journal&amp;req_dat=xri:pqil:pq_clntid=131239&amp;svc_dat=xri:pqil:context=title&amp;rft_dat=xri:pqd:PMID=24122</t>
  </si>
  <si>
    <t>http://gateway.proquest.com/openurl?url_ver=Z39.88-2004&amp;res_dat=xri:pqm&amp;rft_val_fmt=info:ofi/fmt:kev:mtx:journal&amp;genre=journal&amp;req_dat=xri:pqil:pq_clntid=131239&amp;svc_dat=xri:pqil:context=title&amp;rft_dat=xri:pqd:PMID=41758</t>
  </si>
  <si>
    <t>http://gateway.proquest.com/openurl?url_ver=Z39.88-2004&amp;res_dat=xri:pqm&amp;rft_val_fmt=info:ofi/fmt:kev:mtx:journal&amp;genre=journal&amp;req_dat=xri:pqil:pq_clntid=131239&amp;svc_dat=xri:pqil:context=title&amp;rft_dat=xri:pqd:PMID=32010</t>
  </si>
  <si>
    <t>http://gateway.proquest.com/openurl?url_ver=Z39.88-2004&amp;res_dat=xri:pqm&amp;rft_val_fmt=info:ofi/fmt:kev:mtx:journal&amp;genre=journal&amp;req_dat=xri:pqil:pq_clntid=131239&amp;svc_dat=xri:pqil:context=title&amp;rft_dat=xri:pqd:PMID=41804</t>
  </si>
  <si>
    <t>http://gateway.proquest.com/openurl?url_ver=Z39.88-2004&amp;res_dat=xri:pqm&amp;rft_val_fmt=info:ofi/fmt:kev:mtx:journal&amp;genre=journal&amp;req_dat=xri:pqil:pq_clntid=131239&amp;svc_dat=xri:pqil:context=title&amp;rft_dat=xri:pqd:PMID=186263</t>
  </si>
  <si>
    <t>http://gateway.proquest.com/openurl?url_ver=Z39.88-2004&amp;res_dat=xri:pqm&amp;rft_val_fmt=info:ofi/fmt:kev:mtx:journal&amp;genre=journal&amp;req_dat=xri:pqil:pq_clntid=131239&amp;svc_dat=xri:pqil:context=title&amp;rft_dat=xri:pqd:PMID=42155</t>
  </si>
  <si>
    <t>Rockville</t>
  </si>
  <si>
    <t>Linguistics|Medical Sciences|People With Disabilities--Hearing Impaired</t>
  </si>
  <si>
    <t>http://gateway.proquest.com/openurl?url_ver=Z39.88-2004&amp;res_dat=xri:pqm&amp;rft_val_fmt=info:ofi/fmt:kev:mtx:journal&amp;genre=journal&amp;req_dat=xri:pqil:pq_clntid=131239&amp;svc_dat=xri:pqil:context=title&amp;rft_dat=xri:pqd:PMID=33337</t>
  </si>
  <si>
    <t>People With Disabilities--Hearing Impaired</t>
  </si>
  <si>
    <t>http://gateway.proquest.com/openurl?url_ver=Z39.88-2004&amp;res_dat=xri:pqm&amp;rft_val_fmt=info:ofi/fmt:kev:mtx:journal&amp;genre=journal&amp;req_dat=xri:pqil:pq_clntid=131239&amp;svc_dat=xri:pqil:context=title&amp;rft_dat=xri:pqd:PMID=135353</t>
  </si>
  <si>
    <t>http://gateway.proquest.com/openurl?url_ver=Z39.88-2004&amp;res_dat=xri:pqm&amp;rft_val_fmt=info:ofi/fmt:kev:mtx:journal&amp;genre=journal&amp;req_dat=xri:pqil:pq_clntid=131239&amp;svc_dat=xri:pqil:context=title&amp;rft_dat=xri:pqd:PMID=30841</t>
  </si>
  <si>
    <t>http://gateway.proquest.com/openurl?url_ver=Z39.88-2004&amp;res_dat=xri:pqm&amp;rft_val_fmt=info:ofi/fmt:kev:mtx:journal&amp;genre=journal&amp;req_dat=xri:pqil:pq_clntid=131239&amp;svc_dat=xri:pqil:context=title&amp;rft_dat=xri:pqd:PMID=806346</t>
  </si>
  <si>
    <t>http://gateway.proquest.com/openurl?url_ver=Z39.88-2004&amp;res_dat=xri:pqm&amp;rft_val_fmt=info:ofi/fmt:kev:mtx:journal&amp;genre=journal&amp;req_dat=xri:pqil:pq_clntid=131239&amp;svc_dat=xri:pqil:context=title&amp;rft_dat=xri:pqd:PMID=42223</t>
  </si>
  <si>
    <t>http://gateway.proquest.com/openurl?url_ver=Z39.88-2004&amp;res_dat=xri:pqm&amp;rft_val_fmt=info:ofi/fmt:kev:mtx:journal&amp;genre=journal&amp;req_dat=xri:pqil:pq_clntid=131239&amp;svc_dat=xri:pqil:context=title&amp;rft_dat=xri:pqd:PMID=41945</t>
  </si>
  <si>
    <t>Sivas</t>
  </si>
  <si>
    <t>http://gateway.proquest.com/openurl?url_ver=Z39.88-2004&amp;res_dat=xri:pqm&amp;rft_val_fmt=info:ofi/fmt:kev:mtx:journal&amp;genre=journal&amp;req_dat=xri:pqil:pq_clntid=131239&amp;svc_dat=xri:pqil:context=title&amp;rft_dat=xri:pqd:PMID=136214</t>
  </si>
  <si>
    <t>Murcia</t>
  </si>
  <si>
    <t>http://gateway.proquest.com/openurl?url_ver=Z39.88-2004&amp;res_dat=xri:pqm&amp;rft_val_fmt=info:ofi/fmt:kev:mtx:journal&amp;genre=journal&amp;req_dat=xri:pqil:pq_clntid=131239&amp;svc_dat=xri:pqil:context=title&amp;rft_dat=xri:pqd:PMID=1606360</t>
  </si>
  <si>
    <t>http://gateway.proquest.com/openurl?url_ver=Z39.88-2004&amp;res_dat=xri:pqm&amp;rft_val_fmt=info:ofi/fmt:kev:mtx:journal&amp;genre=journal&amp;req_dat=xri:pqil:pq_clntid=131239&amp;svc_dat=xri:pqil:context=title&amp;rft_dat=xri:pqd:PMID=5483647</t>
  </si>
  <si>
    <t>Edison</t>
  </si>
  <si>
    <t>http://gateway.proquest.com/openurl?url_ver=Z39.88-2004&amp;res_dat=xri:pqm&amp;rft_val_fmt=info:ofi/fmt:kev:mtx:journal&amp;genre=journal&amp;req_dat=xri:pqil:pq_clntid=131239&amp;svc_dat=xri:pqil:context=title&amp;rft_dat=xri:pqd:PMID=6059449</t>
  </si>
  <si>
    <t>http://gateway.proquest.com/openurl?url_ver=Z39.88-2004&amp;res_dat=xri:pqm&amp;rft_val_fmt=info:ofi/fmt:kev:mtx:journal&amp;genre=journal&amp;req_dat=xri:pqil:pq_clntid=131239&amp;svc_dat=xri:pqil:context=title&amp;rft_dat=xri:pqd:PMID=41101</t>
  </si>
  <si>
    <t>http://gateway.proquest.com/openurl?url_ver=Z39.88-2004&amp;res_dat=xri:pqm&amp;rft_val_fmt=info:ofi/fmt:kev:mtx:journal&amp;genre=journal&amp;req_dat=xri:pqil:pq_clntid=131239&amp;svc_dat=xri:pqil:context=title&amp;rft_dat=xri:pqd:PMID=47204</t>
  </si>
  <si>
    <t>http://gateway.proquest.com/openurl?url_ver=Z39.88-2004&amp;res_dat=xri:pqm&amp;rft_val_fmt=info:ofi/fmt:kev:mtx:journal&amp;genre=journal&amp;req_dat=xri:pqil:pq_clntid=131239&amp;svc_dat=xri:pqil:context=title&amp;rft_dat=xri:pqd:PMID=55406</t>
  </si>
  <si>
    <t>http://gateway.proquest.com/openurl?url_ver=Z39.88-2004&amp;res_dat=xri:pqm&amp;rft_val_fmt=info:ofi/fmt:kev:mtx:journal&amp;genre=journal&amp;req_dat=xri:pqil:pq_clntid=131239&amp;svc_dat=xri:pqil:context=title&amp;rft_dat=xri:pqd:PMID=6009038</t>
  </si>
  <si>
    <t>http://gateway.proquest.com/openurl?url_ver=Z39.88-2004&amp;res_dat=xri:pqm&amp;rft_val_fmt=info:ofi/fmt:kev:mtx:journal&amp;genre=journal&amp;req_dat=xri:pqil:pq_clntid=131239&amp;svc_dat=xri:pqil:context=title&amp;rft_dat=xri:pqd:PMID=6009037</t>
  </si>
  <si>
    <t>Iasi</t>
  </si>
  <si>
    <t>http://gateway.proquest.com/openurl?url_ver=Z39.88-2004&amp;res_dat=xri:pqm&amp;rft_val_fmt=info:ofi/fmt:kev:mtx:journal&amp;genre=journal&amp;req_dat=xri:pqil:pq_clntid=131239&amp;svc_dat=xri:pqil:context=title&amp;rft_dat=xri:pqd:PMID=2032490</t>
  </si>
  <si>
    <t>http://gateway.proquest.com/openurl?url_ver=Z39.88-2004&amp;res_dat=xri:pqm&amp;rft_val_fmt=info:ofi/fmt:kev:mtx:journal&amp;genre=journal&amp;req_dat=xri:pqil:pq_clntid=131239&amp;svc_dat=xri:pqil:context=title&amp;rft_dat=xri:pqd:PMID=30054</t>
  </si>
  <si>
    <t>http://gateway.proquest.com/openurl?url_ver=Z39.88-2004&amp;res_dat=xri:pqm&amp;rft_val_fmt=info:ofi/fmt:kev:mtx:journal&amp;genre=journal&amp;req_dat=xri:pqil:pq_clntid=131239&amp;svc_dat=xri:pqil:context=title&amp;rft_dat=xri:pqd:PMID=44867</t>
  </si>
  <si>
    <t>Bognor Regis</t>
  </si>
  <si>
    <t>http://gateway.proquest.com/openurl?url_ver=Z39.88-2004&amp;res_dat=xri:pqm&amp;rft_val_fmt=info:ofi/fmt:kev:mtx:journal&amp;genre=journal&amp;req_dat=xri:pqil:pq_clntid=131239&amp;svc_dat=xri:pqil:context=title&amp;rft_dat=xri:pqd:PMID=2034580</t>
  </si>
  <si>
    <t>01-Jan-1999--31-Dec-1999; 01-Jan-2009--31-Dec-2010</t>
  </si>
  <si>
    <t>http://gateway.proquest.com/openurl?url_ver=Z39.88-2004&amp;res_dat=xri:pqm&amp;rft_val_fmt=info:ofi/fmt:kev:mtx:journal&amp;genre=journal&amp;req_dat=xri:pqil:pq_clntid=131239&amp;svc_dat=xri:pqil:context=title&amp;rft_dat=xri:pqd:PMID=38024</t>
  </si>
  <si>
    <t>http://gateway.proquest.com/openurl?url_ver=Z39.88-2004&amp;res_dat=xri:pqm&amp;rft_val_fmt=info:ofi/fmt:kev:mtx:journal&amp;genre=journal&amp;req_dat=xri:pqil:pq_clntid=131239&amp;svc_dat=xri:pqil:context=title&amp;rft_dat=xri:pqd:PMID=28123</t>
  </si>
  <si>
    <t>Chandigarh</t>
  </si>
  <si>
    <t>http://gateway.proquest.com/openurl?url_ver=Z39.88-2004&amp;res_dat=xri:pqm&amp;rft_val_fmt=info:ofi/fmt:kev:mtx:journal&amp;genre=journal&amp;req_dat=xri:pqil:pq_clntid=131239&amp;svc_dat=xri:pqil:context=title&amp;rft_dat=xri:pqd:PMID=686313</t>
  </si>
  <si>
    <t>Palo Alto</t>
  </si>
  <si>
    <t>http://gateway.proquest.com/openurl?url_ver=Z39.88-2004&amp;res_dat=xri:pqm&amp;rft_val_fmt=info:ofi/fmt:kev:mtx:journal&amp;genre=journal&amp;req_dat=xri:pqil:pq_clntid=131239&amp;svc_dat=xri:pqil:context=title&amp;rft_dat=xri:pqd:PMID=47370</t>
  </si>
  <si>
    <t>http://gateway.proquest.com/openurl?url_ver=Z39.88-2004&amp;res_dat=xri:pqm&amp;rft_val_fmt=info:ofi/fmt:kev:mtx:journal&amp;genre=journal&amp;req_dat=xri:pqil:pq_clntid=131239&amp;svc_dat=xri:pqil:context=title&amp;rft_dat=xri:pqd:PMID=29191</t>
  </si>
  <si>
    <t>http://gateway.proquest.com/openurl?url_ver=Z39.88-2004&amp;res_dat=xri:pqm&amp;rft_val_fmt=info:ofi/fmt:kev:mtx:journal&amp;genre=journal&amp;req_dat=xri:pqil:pq_clntid=131239&amp;svc_dat=xri:pqil:context=title&amp;rft_dat=xri:pqd:PMID=24900</t>
  </si>
  <si>
    <t>http://gateway.proquest.com/openurl?url_ver=Z39.88-2004&amp;res_dat=xri:pqm&amp;rft_val_fmt=info:ofi/fmt:kev:mtx:journal&amp;genre=journal&amp;req_dat=xri:pqil:pq_clntid=131239&amp;svc_dat=xri:pqil:context=title&amp;rft_dat=xri:pqd:PMID=48084</t>
  </si>
  <si>
    <t>01-Jan-2000--31-Dec-2000</t>
  </si>
  <si>
    <t>http://gateway.proquest.com/openurl?url_ver=Z39.88-2004&amp;res_dat=xri:pqm&amp;rft_val_fmt=info:ofi/fmt:kev:mtx:journal&amp;genre=journal&amp;req_dat=xri:pqil:pq_clntid=131239&amp;svc_dat=xri:pqil:context=title&amp;rft_dat=xri:pqd:PMID=24895</t>
  </si>
  <si>
    <t>http://gateway.proquest.com/openurl?url_ver=Z39.88-2004&amp;res_dat=xri:pqm&amp;rft_val_fmt=info:ofi/fmt:kev:mtx:journal&amp;genre=journal&amp;req_dat=xri:pqil:pq_clntid=131239&amp;svc_dat=xri:pqil:context=title&amp;rft_dat=xri:pqd:PMID=24890</t>
  </si>
  <si>
    <t>http://gateway.proquest.com/openurl?url_ver=Z39.88-2004&amp;res_dat=xri:pqm&amp;rft_val_fmt=info:ofi/fmt:kev:mtx:journal&amp;genre=journal&amp;req_dat=xri:pqil:pq_clntid=131239&amp;svc_dat=xri:pqil:context=title&amp;rft_dat=xri:pqd:PMID=24892</t>
  </si>
  <si>
    <t>Mount Vernon</t>
  </si>
  <si>
    <t>http://gateway.proquest.com/openurl?url_ver=Z39.88-2004&amp;res_dat=xri:pqm&amp;rft_val_fmt=info:ofi/fmt:kev:mtx:journal&amp;genre=journal&amp;req_dat=xri:pqil:pq_clntid=131239&amp;svc_dat=xri:pqil:context=title&amp;rft_dat=xri:pqd:PMID=33860</t>
  </si>
  <si>
    <t>http://gateway.proquest.com/openurl?url_ver=Z39.88-2004&amp;res_dat=xri:pqm&amp;rft_val_fmt=info:ofi/fmt:kev:mtx:journal&amp;genre=journal&amp;req_dat=xri:pqil:pq_clntid=131239&amp;svc_dat=xri:pqil:context=title&amp;rft_dat=xri:pqd:PMID=48086</t>
  </si>
  <si>
    <t>http://gateway.proquest.com/openurl?url_ver=Z39.88-2004&amp;res_dat=xri:pqm&amp;rft_val_fmt=info:ofi/fmt:kev:mtx:journal&amp;genre=journal&amp;req_dat=xri:pqil:pq_clntid=131239&amp;svc_dat=xri:pqil:context=title&amp;rft_dat=xri:pqd:PMID=46523</t>
  </si>
  <si>
    <t>Acton</t>
  </si>
  <si>
    <t>http://gateway.proquest.com/openurl?url_ver=Z39.88-2004&amp;res_dat=xri:pqm&amp;rft_val_fmt=info:ofi/fmt:kev:mtx:journal&amp;genre=journal&amp;req_dat=xri:pqil:pq_clntid=131239&amp;svc_dat=xri:pqil:context=title&amp;rft_dat=xri:pqd:PMID=6009036</t>
  </si>
  <si>
    <t>Waterloo</t>
  </si>
  <si>
    <t>http://gateway.proquest.com/openurl?url_ver=Z39.88-2004&amp;res_dat=xri:pqm&amp;rft_val_fmt=info:ofi/fmt:kev:mtx:journal&amp;genre=journal&amp;req_dat=xri:pqil:pq_clntid=131239&amp;svc_dat=xri:pqil:context=title&amp;rft_dat=xri:pqd:PMID=46875</t>
  </si>
  <si>
    <t>http://gateway.proquest.com/openurl?url_ver=Z39.88-2004&amp;res_dat=xri:pqm&amp;rft_val_fmt=info:ofi/fmt:kev:mtx:journal&amp;genre=journal&amp;req_dat=xri:pqil:pq_clntid=131239&amp;svc_dat=xri:pqil:context=title&amp;rft_dat=xri:pqd:PMID=34818</t>
  </si>
  <si>
    <t>University of Łódź</t>
  </si>
  <si>
    <t>Poznan</t>
  </si>
  <si>
    <t>http://gateway.proquest.com/openurl?url_ver=Z39.88-2004&amp;res_dat=xri:pqm&amp;rft_val_fmt=info:ofi/fmt:kev:mtx:journal&amp;genre=journal&amp;req_dat=xri:pqil:pq_clntid=131239&amp;svc_dat=xri:pqil:context=title&amp;rft_dat=xri:pqd:PMID=1976405</t>
  </si>
  <si>
    <t>http://gateway.proquest.com/openurl?url_ver=Z39.88-2004&amp;res_dat=xri:pqm&amp;rft_val_fmt=info:ofi/fmt:kev:mtx:journal&amp;genre=journal&amp;req_dat=xri:pqil:pq_clntid=131239&amp;svc_dat=xri:pqil:context=title&amp;rft_dat=xri:pqd:PMID=48441</t>
  </si>
  <si>
    <t>http://gateway.proquest.com/openurl?url_ver=Z39.88-2004&amp;res_dat=xri:pqm&amp;rft_val_fmt=info:ofi/fmt:kev:mtx:journal&amp;genre=journal&amp;req_dat=xri:pqil:pq_clntid=131239&amp;svc_dat=xri:pqil:context=title&amp;rft_dat=xri:pqd:PMID=2037568</t>
  </si>
  <si>
    <t>http://gateway.proquest.com/openurl?url_ver=Z39.88-2004&amp;res_dat=xri:pqm&amp;rft_val_fmt=info:ofi/fmt:kev:mtx:journal&amp;genre=journal&amp;req_dat=xri:pqil:pq_clntid=131239&amp;svc_dat=xri:pqil:context=title&amp;rft_dat=xri:pqd:PMID=886385</t>
  </si>
  <si>
    <t>Barcelona</t>
  </si>
  <si>
    <t>http://gateway.proquest.com/openurl?url_ver=Z39.88-2004&amp;res_dat=xri:pqm&amp;rft_val_fmt=info:ofi/fmt:kev:mtx:journal&amp;genre=journal&amp;req_dat=xri:pqil:pq_clntid=131239&amp;svc_dat=xri:pqil:context=title&amp;rft_dat=xri:pqd:PMID=5500197</t>
  </si>
  <si>
    <t>01-Jan-1996--31-Dec-1996; 01-Jan-1998--31-Dec-2013</t>
  </si>
  <si>
    <t>http://gateway.proquest.com/openurl?url_ver=Z39.88-2004&amp;res_dat=xri:pqm&amp;rft_val_fmt=info:ofi/fmt:kev:mtx:journal&amp;genre=journal&amp;req_dat=xri:pqil:pq_clntid=131239&amp;svc_dat=xri:pqil:context=title&amp;rft_dat=xri:pqd:PMID=4852146</t>
  </si>
  <si>
    <t>http://gateway.proquest.com/openurl?url_ver=Z39.88-2004&amp;res_dat=xri:pqm&amp;rft_val_fmt=info:ofi/fmt:kev:mtx:journal&amp;genre=journal&amp;req_dat=xri:pqil:pq_clntid=131239&amp;svc_dat=xri:pqil:context=title&amp;rft_dat=xri:pqd:PMID=5262097</t>
  </si>
  <si>
    <t>http://gateway.proquest.com/openurl?url_ver=Z39.88-2004&amp;res_dat=xri:pqm&amp;rft_val_fmt=info:ofi/fmt:kev:mtx:journal&amp;genre=journal&amp;req_dat=xri:pqil:pq_clntid=131239&amp;svc_dat=xri:pqil:context=title&amp;rft_dat=xri:pqd:PMID=5262533</t>
  </si>
  <si>
    <t>http://gateway.proquest.com/openurl?url_ver=Z39.88-2004&amp;res_dat=xri:pqm&amp;rft_val_fmt=info:ofi/fmt:kev:mtx:journal&amp;genre=journal&amp;req_dat=xri:pqil:pq_clntid=131239&amp;svc_dat=xri:pqil:context=title&amp;rft_dat=xri:pqd:PMID=186254</t>
  </si>
  <si>
    <t>http://gateway.proquest.com/openurl?url_ver=Z39.88-2004&amp;res_dat=xri:pqm&amp;rft_val_fmt=info:ofi/fmt:kev:mtx:journal&amp;genre=journal&amp;req_dat=xri:pqil:pq_clntid=131239&amp;svc_dat=xri:pqil:context=title&amp;rft_dat=xri:pqd:PMID=37238</t>
  </si>
  <si>
    <t>Mahwah</t>
  </si>
  <si>
    <t>http://gateway.proquest.com/openurl?url_ver=Z39.88-2004&amp;res_dat=xri:pqm&amp;rft_val_fmt=info:ofi/fmt:kev:mtx:journal&amp;genre=journal&amp;req_dat=xri:pqil:pq_clntid=131239&amp;svc_dat=xri:pqil:context=title&amp;rft_dat=xri:pqd:PMID=32555</t>
  </si>
  <si>
    <t>Radford</t>
  </si>
  <si>
    <t>http://gateway.proquest.com/openurl?url_ver=Z39.88-2004&amp;res_dat=xri:pqm&amp;rft_val_fmt=info:ofi/fmt:kev:mtx:journal&amp;genre=journal&amp;req_dat=xri:pqil:pq_clntid=131239&amp;svc_dat=xri:pqil:context=title&amp;rft_dat=xri:pqd:PMID=29081</t>
  </si>
  <si>
    <t>http://gateway.proquest.com/openurl?url_ver=Z39.88-2004&amp;res_dat=xri:pqm&amp;rft_val_fmt=info:ofi/fmt:kev:mtx:journal&amp;genre=journal&amp;req_dat=xri:pqil:pq_clntid=131239&amp;svc_dat=xri:pqil:context=title&amp;rft_dat=xri:pqd:PMID=326365</t>
  </si>
  <si>
    <t>http://gateway.proquest.com/openurl?url_ver=Z39.88-2004&amp;res_dat=xri:pqm&amp;rft_val_fmt=info:ofi/fmt:kev:mtx:journal&amp;genre=journal&amp;req_dat=xri:pqil:pq_clntid=131239&amp;svc_dat=xri:pqil:context=title&amp;rft_dat=xri:pqd:PMID=36686</t>
  </si>
  <si>
    <t>http://gateway.proquest.com/openurl?url_ver=Z39.88-2004&amp;res_dat=xri:pqm&amp;rft_val_fmt=info:ofi/fmt:kev:mtx:journal&amp;genre=journal&amp;req_dat=xri:pqil:pq_clntid=131239&amp;svc_dat=xri:pqil:context=title&amp;rft_dat=xri:pqd:PMID=2045280</t>
  </si>
  <si>
    <t>http://gateway.proquest.com/openurl?url_ver=Z39.88-2004&amp;res_dat=xri:pqm&amp;rft_val_fmt=info:ofi/fmt:kev:mtx:journal&amp;genre=journal&amp;req_dat=xri:pqil:pq_clntid=131239&amp;svc_dat=xri:pqil:context=title&amp;rft_dat=xri:pqd:PMID=46253</t>
  </si>
  <si>
    <t>http://gateway.proquest.com/openurl?url_ver=Z39.88-2004&amp;res_dat=xri:pqm&amp;rft_val_fmt=info:ofi/fmt:kev:mtx:journal&amp;genre=journal&amp;req_dat=xri:pqil:pq_clntid=131239&amp;svc_dat=xri:pqil:context=title&amp;rft_dat=xri:pqd:PMID=47826</t>
  </si>
  <si>
    <t>http://gateway.proquest.com/openurl?url_ver=Z39.88-2004&amp;res_dat=xri:pqm&amp;rft_val_fmt=info:ofi/fmt:kev:mtx:journal&amp;genre=journal&amp;req_dat=xri:pqil:pq_clntid=131239&amp;svc_dat=xri:pqil:context=title&amp;rft_dat=xri:pqd:PMID=48091</t>
  </si>
  <si>
    <t>http://gateway.proquest.com/openurl?url_ver=Z39.88-2004&amp;res_dat=xri:pqm&amp;rft_val_fmt=info:ofi/fmt:kev:mtx:journal&amp;genre=journal&amp;req_dat=xri:pqil:pq_clntid=131239&amp;svc_dat=xri:pqil:context=title&amp;rft_dat=xri:pqd:PMID=46971</t>
  </si>
  <si>
    <t>Huntsville</t>
  </si>
  <si>
    <t>http://gateway.proquest.com/openurl?url_ver=Z39.88-2004&amp;res_dat=xri:pqm&amp;rft_val_fmt=info:ofi/fmt:kev:mtx:journal&amp;genre=journal&amp;req_dat=xri:pqil:pq_clntid=131239&amp;svc_dat=xri:pqil:context=title&amp;rft_dat=xri:pqd:PMID=2042022</t>
  </si>
  <si>
    <t>http://gateway.proquest.com/openurl?url_ver=Z39.88-2004&amp;res_dat=xri:pqm&amp;rft_val_fmt=info:ofi/fmt:kev:mtx:journal&amp;genre=journal&amp;req_dat=xri:pqil:pq_clntid=131239&amp;svc_dat=xri:pqil:context=title&amp;rft_dat=xri:pqd:PMID=2026874</t>
  </si>
  <si>
    <t>http://gateway.proquest.com/openurl?url_ver=Z39.88-2004&amp;res_dat=xri:pqm&amp;rft_val_fmt=info:ofi/fmt:kev:mtx:journal&amp;genre=journal&amp;req_dat=xri:pqil:pq_clntid=131239&amp;svc_dat=xri:pqil:context=title&amp;rft_dat=xri:pqd:PMID=37406</t>
  </si>
  <si>
    <t>Montreal</t>
  </si>
  <si>
    <t>http://gateway.proquest.com/openurl?url_ver=Z39.88-2004&amp;res_dat=xri:pqm&amp;rft_val_fmt=info:ofi/fmt:kev:mtx:journal&amp;genre=journal&amp;req_dat=xri:pqil:pq_clntid=131239&amp;svc_dat=xri:pqil:context=title&amp;rft_dat=xri:pqd:PMID=29250</t>
  </si>
  <si>
    <t>Geneva</t>
  </si>
  <si>
    <t>http://gateway.proquest.com/openurl?url_ver=Z39.88-2004&amp;res_dat=xri:pqm&amp;rft_val_fmt=info:ofi/fmt:kev:mtx:journal&amp;genre=journal&amp;req_dat=xri:pqil:pq_clntid=131239&amp;svc_dat=xri:pqil:context=title&amp;rft_dat=xri:pqd:PMID=37974</t>
  </si>
  <si>
    <t>Zagreb</t>
  </si>
  <si>
    <t>http://gateway.proquest.com/openurl?url_ver=Z39.88-2004&amp;res_dat=xri:pqm&amp;rft_val_fmt=info:ofi/fmt:kev:mtx:journal&amp;genre=journal&amp;req_dat=xri:pqil:pq_clntid=131239&amp;svc_dat=xri:pqil:context=title&amp;rft_dat=xri:pqd:PMID=34821</t>
  </si>
  <si>
    <t>http://gateway.proquest.com/openurl?url_ver=Z39.88-2004&amp;res_dat=xri:pqm&amp;rft_val_fmt=info:ofi/fmt:kev:mtx:journal&amp;genre=journal&amp;req_dat=xri:pqil:pq_clntid=131239&amp;svc_dat=xri:pqil:context=title&amp;rft_dat=xri:pqd:PMID=48144</t>
  </si>
  <si>
    <t>http://gateway.proquest.com/openurl?url_ver=Z39.88-2004&amp;res_dat=xri:pqm&amp;rft_val_fmt=info:ofi/fmt:kev:mtx:journal&amp;genre=journal&amp;req_dat=xri:pqil:pq_clntid=131239&amp;svc_dat=xri:pqil:context=title&amp;rft_dat=xri:pqd:PMID=186242</t>
  </si>
  <si>
    <t>http://gateway.proquest.com/openurl?url_ver=Z39.88-2004&amp;res_dat=xri:pqm&amp;rft_val_fmt=info:ofi/fmt:kev:mtx:journal&amp;genre=journal&amp;req_dat=xri:pqil:pq_clntid=131239&amp;svc_dat=xri:pqil:context=title&amp;rft_dat=xri:pqd:PMID=32254</t>
  </si>
  <si>
    <t>http://gateway.proquest.com/openurl?url_ver=Z39.88-2004&amp;res_dat=xri:pqm&amp;rft_val_fmt=info:ofi/fmt:kev:mtx:journal&amp;genre=journal&amp;req_dat=xri:pqil:pq_clntid=131239&amp;svc_dat=xri:pqil:context=title&amp;rft_dat=xri:pqd:PMID=5483597</t>
  </si>
  <si>
    <t>http://gateway.proquest.com/openurl?url_ver=Z39.88-2004&amp;res_dat=xri:pqm&amp;rft_val_fmt=info:ofi/fmt:kev:mtx:journal&amp;genre=journal&amp;req_dat=xri:pqil:pq_clntid=131239&amp;svc_dat=xri:pqil:context=title&amp;rft_dat=xri:pqd:PMID=47537</t>
  </si>
  <si>
    <t>http://gateway.proquest.com/openurl?url_ver=Z39.88-2004&amp;res_dat=xri:pqm&amp;rft_val_fmt=info:ofi/fmt:kev:mtx:journal&amp;genre=journal&amp;req_dat=xri:pqil:pq_clntid=131239&amp;svc_dat=xri:pqil:context=title&amp;rft_dat=xri:pqd:PMID=2045332</t>
  </si>
  <si>
    <t>http://gateway.proquest.com/openurl?url_ver=Z39.88-2004&amp;res_dat=xri:pqm&amp;rft_val_fmt=info:ofi/fmt:kev:mtx:journal&amp;genre=journal&amp;req_dat=xri:pqil:pq_clntid=131239&amp;svc_dat=xri:pqil:context=title&amp;rft_dat=xri:pqd:PMID=6364597</t>
  </si>
  <si>
    <t>http://gateway.proquest.com/openurl?url_ver=Z39.88-2004&amp;res_dat=xri:pqm&amp;rft_val_fmt=info:ofi/fmt:kev:mtx:journal&amp;genre=journal&amp;req_dat=xri:pqil:pq_clntid=131239&amp;svc_dat=xri:pqil:context=title&amp;rft_dat=xri:pqd:PMID=54821</t>
  </si>
  <si>
    <t>http://gateway.proquest.com/openurl?url_ver=Z39.88-2004&amp;res_dat=xri:pqm&amp;rft_val_fmt=info:ofi/fmt:kev:mtx:journal&amp;genre=journal&amp;req_dat=xri:pqil:pq_clntid=131239&amp;svc_dat=xri:pqil:context=title&amp;rft_dat=xri:pqd:PMID=5483568</t>
  </si>
  <si>
    <t>http://gateway.proquest.com/openurl?url_ver=Z39.88-2004&amp;res_dat=xri:pqm&amp;rft_val_fmt=info:ofi/fmt:kev:mtx:journal&amp;genre=journal&amp;req_dat=xri:pqil:pq_clntid=131239&amp;svc_dat=xri:pqil:context=title&amp;rft_dat=xri:pqd:PMID=36790</t>
  </si>
  <si>
    <t>http://gateway.proquest.com/openurl?url_ver=Z39.88-2004&amp;res_dat=xri:pqm&amp;rft_val_fmt=info:ofi/fmt:kev:mtx:journal&amp;genre=journal&amp;req_dat=xri:pqil:pq_clntid=131239&amp;svc_dat=xri:pqil:context=title&amp;rft_dat=xri:pqd:PMID=5483634</t>
  </si>
  <si>
    <t>http://gateway.proquest.com/openurl?url_ver=Z39.88-2004&amp;res_dat=xri:pqm&amp;rft_val_fmt=info:ofi/fmt:kev:mtx:journal&amp;genre=journal&amp;req_dat=xri:pqil:pq_clntid=131239&amp;svc_dat=xri:pqil:context=title&amp;rft_dat=xri:pqd:PMID=33440</t>
  </si>
  <si>
    <t>http://gateway.proquest.com/openurl?url_ver=Z39.88-2004&amp;res_dat=xri:pqm&amp;rft_val_fmt=info:ofi/fmt:kev:mtx:journal&amp;genre=journal&amp;req_dat=xri:pqil:pq_clntid=131239&amp;svc_dat=xri:pqil:context=title&amp;rft_dat=xri:pqd:PMID=2034797</t>
  </si>
  <si>
    <t>http://gateway.proquest.com/openurl?url_ver=Z39.88-2004&amp;res_dat=xri:pqm&amp;rft_val_fmt=info:ofi/fmt:kev:mtx:journal&amp;genre=journal&amp;req_dat=xri:pqil:pq_clntid=131239&amp;svc_dat=xri:pqil:context=title&amp;rft_dat=xri:pqd:PMID=26998</t>
  </si>
  <si>
    <t>Art Becker-Weidman Center for Family Development</t>
  </si>
  <si>
    <t>Williamsville</t>
  </si>
  <si>
    <t>http://gateway.proquest.com/openurl?url_ver=Z39.88-2004&amp;res_dat=xri:pqm&amp;rft_val_fmt=info:ofi/fmt:kev:mtx:journal&amp;genre=journal&amp;req_dat=xri:pqil:pq_clntid=131239&amp;svc_dat=xri:pqil:context=title&amp;rft_dat=xri:pqd:PMID=6359428</t>
  </si>
  <si>
    <t>http://gateway.proquest.com/openurl?url_ver=Z39.88-2004&amp;res_dat=xri:pqm&amp;rft_val_fmt=info:ofi/fmt:kev:mtx:journal&amp;genre=journal&amp;req_dat=xri:pqil:pq_clntid=131239&amp;svc_dat=xri:pqil:context=title&amp;rft_dat=xri:pqd:PMID=6359427</t>
  </si>
  <si>
    <t>http://gateway.proquest.com/openurl?url_ver=Z39.88-2004&amp;res_dat=xri:pqm&amp;rft_val_fmt=info:ofi/fmt:kev:mtx:journal&amp;genre=journal&amp;req_dat=xri:pqil:pq_clntid=131239&amp;svc_dat=xri:pqil:context=title&amp;rft_dat=xri:pqd:PMID=5483633</t>
  </si>
  <si>
    <t>Odessa</t>
  </si>
  <si>
    <t>http://gateway.proquest.com/openurl?url_ver=Z39.88-2004&amp;res_dat=xri:pqm&amp;rft_val_fmt=info:ofi/fmt:kev:mtx:journal&amp;genre=journal&amp;req_dat=xri:pqil:pq_clntid=131239&amp;svc_dat=xri:pqil:context=title&amp;rft_dat=xri:pqd:PMID=12799</t>
  </si>
  <si>
    <t>http://gateway.proquest.com/openurl?url_ver=Z39.88-2004&amp;res_dat=xri:pqm&amp;rft_val_fmt=info:ofi/fmt:kev:mtx:journal&amp;genre=journal&amp;req_dat=xri:pqil:pq_clntid=131239&amp;svc_dat=xri:pqil:context=title&amp;rft_dat=xri:pqd:PMID=6447830</t>
  </si>
  <si>
    <t>http://gateway.proquest.com/openurl?url_ver=Z39.88-2004&amp;res_dat=xri:pqm&amp;rft_val_fmt=info:ofi/fmt:kev:mtx:journal&amp;genre=journal&amp;req_dat=xri:pqil:pq_clntid=131239&amp;svc_dat=xri:pqil:context=title&amp;rft_dat=xri:pqd:PMID=5262096</t>
  </si>
  <si>
    <t>http://gateway.proquest.com/openurl?url_ver=Z39.88-2004&amp;res_dat=xri:pqm&amp;rft_val_fmt=info:ofi/fmt:kev:mtx:journal&amp;genre=journal&amp;req_dat=xri:pqil:pq_clntid=131239&amp;svc_dat=xri:pqil:context=title&amp;rft_dat=xri:pqd:PMID=6447829</t>
  </si>
  <si>
    <t>http://gateway.proquest.com/openurl?url_ver=Z39.88-2004&amp;res_dat=xri:pqm&amp;rft_val_fmt=info:ofi/fmt:kev:mtx:journal&amp;genre=journal&amp;req_dat=xri:pqil:pq_clntid=131239&amp;svc_dat=xri:pqil:context=title&amp;rft_dat=xri:pqd:PMID=5262095</t>
  </si>
  <si>
    <t>http://gateway.proquest.com/openurl?url_ver=Z39.88-2004&amp;res_dat=xri:pqm&amp;rft_val_fmt=info:ofi/fmt:kev:mtx:journal&amp;genre=journal&amp;req_dat=xri:pqil:pq_clntid=131239&amp;svc_dat=xri:pqil:context=title&amp;rft_dat=xri:pqd:PMID=5262532</t>
  </si>
  <si>
    <t>http://gateway.proquest.com/openurl?url_ver=Z39.88-2004&amp;res_dat=xri:pqm&amp;rft_val_fmt=info:ofi/fmt:kev:mtx:journal&amp;genre=journal&amp;req_dat=xri:pqil:pq_clntid=131239&amp;svc_dat=xri:pqil:context=title&amp;rft_dat=xri:pqd:PMID=5262094</t>
  </si>
  <si>
    <t>http://gateway.proquest.com/openurl?url_ver=Z39.88-2004&amp;res_dat=xri:pqm&amp;rft_val_fmt=info:ofi/fmt:kev:mtx:journal&amp;genre=journal&amp;req_dat=xri:pqil:pq_clntid=131239&amp;svc_dat=xri:pqil:context=title&amp;rft_dat=xri:pqd:PMID=6447832</t>
  </si>
  <si>
    <t>http://gateway.proquest.com/openurl?url_ver=Z39.88-2004&amp;res_dat=xri:pqm&amp;rft_val_fmt=info:ofi/fmt:kev:mtx:journal&amp;genre=journal&amp;req_dat=xri:pqil:pq_clntid=131239&amp;svc_dat=xri:pqil:context=title&amp;rft_dat=xri:pqd:PMID=6447831</t>
  </si>
  <si>
    <t>http://gateway.proquest.com/openurl?url_ver=Z39.88-2004&amp;res_dat=xri:pqm&amp;rft_val_fmt=info:ofi/fmt:kev:mtx:journal&amp;genre=journal&amp;req_dat=xri:pqil:pq_clntid=131239&amp;svc_dat=xri:pqil:context=title&amp;rft_dat=xri:pqd:PMID=48239</t>
  </si>
  <si>
    <t>http://gateway.proquest.com/openurl?url_ver=Z39.88-2004&amp;res_dat=xri:pqm&amp;rft_val_fmt=info:ofi/fmt:kev:mtx:journal&amp;genre=journal&amp;req_dat=xri:pqil:pq_clntid=131239&amp;svc_dat=xri:pqil:context=title&amp;rft_dat=xri:pqd:PMID=5483590</t>
  </si>
  <si>
    <t>http://gateway.proquest.com/openurl?url_ver=Z39.88-2004&amp;res_dat=xri:pqm&amp;rft_val_fmt=info:ofi/fmt:kev:mtx:journal&amp;genre=journal&amp;req_dat=xri:pqil:pq_clntid=131239&amp;svc_dat=xri:pqil:context=title&amp;rft_dat=xri:pqd:PMID=2033411</t>
  </si>
  <si>
    <t>http://gateway.proquest.com/openurl?url_ver=Z39.88-2004&amp;res_dat=xri:pqm&amp;rft_val_fmt=info:ofi/fmt:kev:mtx:journal&amp;genre=journal&amp;req_dat=xri:pqil:pq_clntid=131239&amp;svc_dat=xri:pqil:context=title&amp;rft_dat=xri:pqd:PMID=32872</t>
  </si>
  <si>
    <t>Association for Specialists in Group Work (ASGW)</t>
  </si>
  <si>
    <t>http://gateway.proquest.com/openurl?url_ver=Z39.88-2004&amp;res_dat=xri:pqm&amp;rft_val_fmt=info:ofi/fmt:kev:mtx:journal&amp;genre=journal&amp;req_dat=xri:pqil:pq_clntid=131239&amp;svc_dat=xri:pqil:context=title&amp;rft_dat=xri:pqd:PMID=6359425</t>
  </si>
  <si>
    <t>Hauppauge</t>
  </si>
  <si>
    <t>http://gateway.proquest.com/openurl?url_ver=Z39.88-2004&amp;res_dat=xri:pqm&amp;rft_val_fmt=info:ofi/fmt:kev:mtx:journal&amp;genre=journal&amp;req_dat=xri:pqil:pq_clntid=131239&amp;svc_dat=xri:pqil:context=title&amp;rft_dat=xri:pqd:PMID=2034813</t>
  </si>
  <si>
    <t>http://gateway.proquest.com/openurl?url_ver=Z39.88-2004&amp;res_dat=xri:pqm&amp;rft_val_fmt=info:ofi/fmt:kev:mtx:journal&amp;genre=journal&amp;req_dat=xri:pqil:pq_clntid=131239&amp;svc_dat=xri:pqil:context=title&amp;rft_dat=xri:pqd:PMID=186232</t>
  </si>
  <si>
    <t>http://gateway.proquest.com/openurl?url_ver=Z39.88-2004&amp;res_dat=xri:pqm&amp;rft_val_fmt=info:ofi/fmt:kev:mtx:journal&amp;genre=journal&amp;req_dat=xri:pqil:pq_clntid=131239&amp;svc_dat=xri:pqil:context=title&amp;rft_dat=xri:pqd:PMID=5483632</t>
  </si>
  <si>
    <t>http://gateway.proquest.com/openurl?url_ver=Z39.88-2004&amp;res_dat=xri:pqm&amp;rft_val_fmt=info:ofi/fmt:kev:mtx:journal&amp;genre=journal&amp;req_dat=xri:pqil:pq_clntid=131239&amp;svc_dat=xri:pqil:context=title&amp;rft_dat=xri:pqd:PMID=976350</t>
  </si>
  <si>
    <t>Hamilton</t>
  </si>
  <si>
    <t>http://gateway.proquest.com/openurl?url_ver=Z39.88-2004&amp;res_dat=xri:pqm&amp;rft_val_fmt=info:ofi/fmt:kev:mtx:journal&amp;genre=journal&amp;req_dat=xri:pqil:pq_clntid=131239&amp;svc_dat=xri:pqil:context=title&amp;rft_dat=xri:pqd:PMID=34796</t>
  </si>
  <si>
    <t>Basel</t>
  </si>
  <si>
    <t>http://gateway.proquest.com/openurl?url_ver=Z39.88-2004&amp;res_dat=xri:pqm&amp;rft_val_fmt=info:ofi/fmt:kev:mtx:journal&amp;genre=journal&amp;req_dat=xri:pqil:pq_clntid=131239&amp;svc_dat=xri:pqil:context=title&amp;rft_dat=xri:pqd:PMID=33658</t>
  </si>
  <si>
    <t>http://gateway.proquest.com/openurl?url_ver=Z39.88-2004&amp;res_dat=xri:pqm&amp;rft_val_fmt=info:ofi/fmt:kev:mtx:journal&amp;genre=journal&amp;req_dat=xri:pqil:pq_clntid=131239&amp;svc_dat=xri:pqil:context=title&amp;rft_dat=xri:pqd:PMID=32867</t>
  </si>
  <si>
    <t>Palmerston North</t>
  </si>
  <si>
    <t>http://gateway.proquest.com/openurl?url_ver=Z39.88-2004&amp;res_dat=xri:pqm&amp;rft_val_fmt=info:ofi/fmt:kev:mtx:journal&amp;genre=journal&amp;req_dat=xri:pqil:pq_clntid=131239&amp;svc_dat=xri:pqil:context=title&amp;rft_dat=xri:pqd:PMID=2036038</t>
  </si>
  <si>
    <t>http://gateway.proquest.com/openurl?url_ver=Z39.88-2004&amp;res_dat=xri:pqm&amp;rft_val_fmt=info:ofi/fmt:kev:mtx:journal&amp;genre=journal&amp;req_dat=xri:pqil:pq_clntid=131239&amp;svc_dat=xri:pqil:context=title&amp;rft_dat=xri:pqd:PMID=1586362</t>
  </si>
  <si>
    <t>http://gateway.proquest.com/openurl?url_ver=Z39.88-2004&amp;res_dat=xri:pqm&amp;rft_val_fmt=info:ofi/fmt:kev:mtx:journal&amp;genre=journal&amp;req_dat=xri:pqil:pq_clntid=131239&amp;svc_dat=xri:pqil:context=title&amp;rft_dat=xri:pqd:PMID=1596390</t>
  </si>
  <si>
    <t>Bomaderry</t>
  </si>
  <si>
    <t>http://gateway.proquest.com/openurl?url_ver=Z39.88-2004&amp;res_dat=xri:pqm&amp;rft_val_fmt=info:ofi/fmt:kev:mtx:journal&amp;genre=journal&amp;req_dat=xri:pqil:pq_clntid=131239&amp;svc_dat=xri:pqil:context=title&amp;rft_dat=xri:pqd:PMID=28373</t>
  </si>
  <si>
    <t>http://gateway.proquest.com/openurl?url_ver=Z39.88-2004&amp;res_dat=xri:pqm&amp;rft_val_fmt=info:ofi/fmt:kev:mtx:journal&amp;genre=journal&amp;req_dat=xri:pqil:pq_clntid=131239&amp;svc_dat=xri:pqil:context=title&amp;rft_dat=xri:pqd:PMID=6359424</t>
  </si>
  <si>
    <t>Collingwood</t>
  </si>
  <si>
    <t>http://gateway.proquest.com/openurl?url_ver=Z39.88-2004&amp;res_dat=xri:pqm&amp;rft_val_fmt=info:ofi/fmt:kev:mtx:journal&amp;genre=journal&amp;req_dat=xri:pqil:pq_clntid=131239&amp;svc_dat=xri:pqil:context=title&amp;rft_dat=xri:pqd:PMID=53079</t>
  </si>
  <si>
    <t>Brisbane</t>
  </si>
  <si>
    <t>http://gateway.proquest.com/openurl?url_ver=Z39.88-2004&amp;res_dat=xri:pqm&amp;rft_val_fmt=info:ofi/fmt:kev:mtx:journal&amp;genre=journal&amp;req_dat=xri:pqil:pq_clntid=131239&amp;svc_dat=xri:pqil:context=title&amp;rft_dat=xri:pqd:PMID=30864</t>
  </si>
  <si>
    <t>http://gateway.proquest.com/openurl?url_ver=Z39.88-2004&amp;res_dat=xri:pqm&amp;rft_val_fmt=info:ofi/fmt:kev:mtx:journal&amp;genre=journal&amp;req_dat=xri:pqil:pq_clntid=131239&amp;svc_dat=xri:pqil:context=title&amp;rft_dat=xri:pqd:PMID=27665</t>
  </si>
  <si>
    <t>http://gateway.proquest.com/openurl?url_ver=Z39.88-2004&amp;res_dat=xri:pqm&amp;rft_val_fmt=info:ofi/fmt:kev:mtx:journal&amp;genre=journal&amp;req_dat=xri:pqil:pq_clntid=131239&amp;svc_dat=xri:pqil:context=title&amp;rft_dat=xri:pqd:PMID=446302</t>
  </si>
  <si>
    <t>Carlton South</t>
  </si>
  <si>
    <t>http://gateway.proquest.com/openurl?url_ver=Z39.88-2004&amp;res_dat=xri:pqm&amp;rft_val_fmt=info:ofi/fmt:kev:mtx:journal&amp;genre=journal&amp;req_dat=xri:pqil:pq_clntid=131239&amp;svc_dat=xri:pqil:context=title&amp;rft_dat=xri:pqd:PMID=186230</t>
  </si>
  <si>
    <t>Turramurra</t>
  </si>
  <si>
    <t>http://gateway.proquest.com/openurl?url_ver=Z39.88-2004&amp;res_dat=xri:pqm&amp;rft_val_fmt=info:ofi/fmt:kev:mtx:journal&amp;genre=journal&amp;req_dat=xri:pqil:pq_clntid=131239&amp;svc_dat=xri:pqil:context=title&amp;rft_dat=xri:pqd:PMID=28265</t>
  </si>
  <si>
    <t>Melbourne</t>
  </si>
  <si>
    <t>http://gateway.proquest.com/openurl?url_ver=Z39.88-2004&amp;res_dat=xri:pqm&amp;rft_val_fmt=info:ofi/fmt:kev:mtx:journal&amp;genre=journal&amp;req_dat=xri:pqil:pq_clntid=131239&amp;svc_dat=xri:pqil:context=title&amp;rft_dat=xri:pqd:PMID=33721</t>
  </si>
  <si>
    <t>http://gateway.proquest.com/openurl?url_ver=Z39.88-2004&amp;res_dat=xri:pqm&amp;rft_val_fmt=info:ofi/fmt:kev:mtx:journal&amp;genre=journal&amp;req_dat=xri:pqil:pq_clntid=131239&amp;svc_dat=xri:pqil:context=title&amp;rft_dat=xri:pqd:PMID=2033408</t>
  </si>
  <si>
    <t>Sydney</t>
  </si>
  <si>
    <t>http://gateway.proquest.com/openurl?url_ver=Z39.88-2004&amp;res_dat=xri:pqm&amp;rft_val_fmt=info:ofi/fmt:kev:mtx:journal&amp;genre=journal&amp;req_dat=xri:pqil:pq_clntid=131239&amp;svc_dat=xri:pqil:context=title&amp;rft_dat=xri:pqd:PMID=1586359</t>
  </si>
  <si>
    <t>http://gateway.proquest.com/openurl?url_ver=Z39.88-2004&amp;res_dat=xri:pqm&amp;rft_val_fmt=info:ofi/fmt:kev:mtx:journal&amp;genre=journal&amp;req_dat=xri:pqil:pq_clntid=131239&amp;svc_dat=xri:pqil:context=title&amp;rft_dat=xri:pqd:PMID=30051</t>
  </si>
  <si>
    <t>http://gateway.proquest.com/openurl?url_ver=Z39.88-2004&amp;res_dat=xri:pqm&amp;rft_val_fmt=info:ofi/fmt:kev:mtx:journal&amp;genre=journal&amp;req_dat=xri:pqil:pq_clntid=131239&amp;svc_dat=xri:pqil:context=title&amp;rft_dat=xri:pqd:PMID=2033405</t>
  </si>
  <si>
    <t>http://gateway.proquest.com/openurl?url_ver=Z39.88-2004&amp;res_dat=xri:pqm&amp;rft_val_fmt=info:ofi/fmt:kev:mtx:journal&amp;genre=journal&amp;req_dat=xri:pqil:pq_clntid=131239&amp;svc_dat=xri:pqil:context=title&amp;rft_dat=xri:pqd:PMID=2033404</t>
  </si>
  <si>
    <t>http://gateway.proquest.com/openurl?url_ver=Z39.88-2004&amp;res_dat=xri:pqm&amp;rft_val_fmt=info:ofi/fmt:kev:mtx:journal&amp;genre=journal&amp;req_dat=xri:pqil:pq_clntid=131239&amp;svc_dat=xri:pqil:context=title&amp;rft_dat=xri:pqd:PMID=4450821</t>
  </si>
  <si>
    <t>West Hartford</t>
  </si>
  <si>
    <t>http://gateway.proquest.com/openurl?url_ver=Z39.88-2004&amp;res_dat=xri:pqm&amp;rft_val_fmt=info:ofi/fmt:kev:mtx:journal&amp;genre=journal&amp;req_dat=xri:pqil:pq_clntid=131239&amp;svc_dat=xri:pqil:context=title&amp;rft_dat=xri:pqd:PMID=956340</t>
  </si>
  <si>
    <t>http://gateway.proquest.com/openurl?url_ver=Z39.88-2004&amp;res_dat=xri:pqm&amp;rft_val_fmt=info:ofi/fmt:kev:mtx:journal&amp;genre=journal&amp;req_dat=xri:pqil:pq_clntid=131239&amp;svc_dat=xri:pqil:context=title&amp;rft_dat=xri:pqd:PMID=2037470</t>
  </si>
  <si>
    <t>http://gateway.proquest.com/openurl?url_ver=Z39.88-2004&amp;res_dat=xri:pqm&amp;rft_val_fmt=info:ofi/fmt:kev:mtx:journal&amp;genre=journal&amp;req_dat=xri:pqil:pq_clntid=131239&amp;svc_dat=xri:pqil:context=title&amp;rft_dat=xri:pqd:PMID=5262531</t>
  </si>
  <si>
    <t>http://gateway.proquest.com/openurl?url_ver=Z39.88-2004&amp;res_dat=xri:pqm&amp;rft_val_fmt=info:ofi/fmt:kev:mtx:journal&amp;genre=journal&amp;req_dat=xri:pqil:pq_clntid=131239&amp;svc_dat=xri:pqil:context=title&amp;rft_dat=xri:pqd:PMID=5263209</t>
  </si>
  <si>
    <t>http://gateway.proquest.com/openurl?url_ver=Z39.88-2004&amp;res_dat=xri:pqm&amp;rft_val_fmt=info:ofi/fmt:kev:mtx:journal&amp;genre=journal&amp;req_dat=xri:pqil:pq_clntid=131239&amp;svc_dat=xri:pqil:context=title&amp;rft_dat=xri:pqd:PMID=5483631</t>
  </si>
  <si>
    <t>1881</t>
  </si>
  <si>
    <t>http://gateway.proquest.com/openurl?url_ver=Z39.88-2004&amp;res_dat=xri:pqm&amp;rft_val_fmt=info:ofi/fmt:kev:mtx:journal&amp;genre=journal&amp;req_dat=xri:pqil:pq_clntid=131239&amp;svc_dat=xri:pqil:context=title&amp;rft_dat=xri:pqd:PMID=5983395</t>
  </si>
  <si>
    <t>http://gateway.proquest.com/openurl?url_ver=Z39.88-2004&amp;res_dat=xri:pqm&amp;rft_val_fmt=info:ofi/fmt:kev:mtx:journal&amp;genre=journal&amp;req_dat=xri:pqil:pq_clntid=131239&amp;svc_dat=xri:pqil:context=title&amp;rft_dat=xri:pqd:PMID=6009034</t>
  </si>
  <si>
    <t>Itatiba</t>
  </si>
  <si>
    <t>http://gateway.proquest.com/openurl?url_ver=Z39.88-2004&amp;res_dat=xri:pqm&amp;rft_val_fmt=info:ofi/fmt:kev:mtx:journal&amp;genre=journal&amp;req_dat=xri:pqil:pq_clntid=131239&amp;svc_dat=xri:pqil:context=title&amp;rft_dat=xri:pqd:PMID=5599823</t>
  </si>
  <si>
    <t>Vancouver</t>
  </si>
  <si>
    <t>http://gateway.proquest.com/openurl?url_ver=Z39.88-2004&amp;res_dat=xri:pqm&amp;rft_val_fmt=info:ofi/fmt:kev:mtx:journal&amp;genre=journal&amp;req_dat=xri:pqil:pq_clntid=131239&amp;svc_dat=xri:pqil:context=title&amp;rft_dat=xri:pqd:PMID=46660</t>
  </si>
  <si>
    <t>http://gateway.proquest.com/openurl?url_ver=Z39.88-2004&amp;res_dat=xri:pqm&amp;rft_val_fmt=info:ofi/fmt:kev:mtx:journal&amp;genre=journal&amp;req_dat=xri:pqil:pq_clntid=131239&amp;svc_dat=xri:pqil:context=title&amp;rft_dat=xri:pqd:PMID=43975</t>
  </si>
  <si>
    <t>BBC Studios Americas, Inc.</t>
  </si>
  <si>
    <t>http://gateway.proquest.com/openurl?url_ver=Z39.88-2004&amp;res_dat=xri:pqm&amp;rft_val_fmt=info:ofi/fmt:kev:mtx:journal&amp;genre=journal&amp;req_dat=xri:pqil:pq_clntid=131239&amp;svc_dat=xri:pqil:context=title&amp;rft_dat=xri:pqd:PMID=6359422</t>
  </si>
  <si>
    <t>BJ - Amy 3-01 Session</t>
  </si>
  <si>
    <t>Richmond</t>
  </si>
  <si>
    <t>http://gateway.proquest.com/openurl?url_ver=Z39.88-2004&amp;res_dat=xri:pqm&amp;rft_val_fmt=info:ofi/fmt:kev:mtx:journal&amp;genre=journal&amp;req_dat=xri:pqil:pq_clntid=131239&amp;svc_dat=xri:pqil:context=title&amp;rft_dat=xri:pqd:PMID=6009027</t>
  </si>
  <si>
    <t>http://gateway.proquest.com/openurl?url_ver=Z39.88-2004&amp;res_dat=xri:pqm&amp;rft_val_fmt=info:ofi/fmt:kev:mtx:journal&amp;genre=journal&amp;req_dat=xri:pqil:pq_clntid=131239&amp;svc_dat=xri:pqil:context=title&amp;rft_dat=xri:pqd:PMID=3962592</t>
  </si>
  <si>
    <t>http://gateway.proquest.com/openurl?url_ver=Z39.88-2004&amp;res_dat=xri:pqm&amp;rft_val_fmt=info:ofi/fmt:kev:mtx:journal&amp;genre=journal&amp;req_dat=xri:pqil:pq_clntid=131239&amp;svc_dat=xri:pqil:context=title&amp;rft_dat=xri:pqd:PMID=2040981</t>
  </si>
  <si>
    <t>http://gateway.proquest.com/openurl?url_ver=Z39.88-2004&amp;res_dat=xri:pqm&amp;rft_val_fmt=info:ofi/fmt:kev:mtx:journal&amp;genre=journal&amp;req_dat=xri:pqil:pq_clntid=131239&amp;svc_dat=xri:pqil:context=title&amp;rft_dat=xri:pqd:PMID=2040207</t>
  </si>
  <si>
    <t>http://gateway.proquest.com/openurl?url_ver=Z39.88-2004&amp;res_dat=xri:pqm&amp;rft_val_fmt=info:ofi/fmt:kev:mtx:journal&amp;genre=journal&amp;req_dat=xri:pqil:pq_clntid=131239&amp;svc_dat=xri:pqil:context=title&amp;rft_dat=xri:pqd:PMID=3962591</t>
  </si>
  <si>
    <t>http://gateway.proquest.com/openurl?url_ver=Z39.88-2004&amp;res_dat=xri:pqm&amp;rft_val_fmt=info:ofi/fmt:kev:mtx:journal&amp;genre=journal&amp;req_dat=xri:pqil:pq_clntid=131239&amp;svc_dat=xri:pqil:context=title&amp;rft_dat=xri:pqd:PMID=44779</t>
  </si>
  <si>
    <t>http://gateway.proquest.com/openurl?url_ver=Z39.88-2004&amp;res_dat=xri:pqm&amp;rft_val_fmt=info:ofi/fmt:kev:mtx:journal&amp;genre=journal&amp;req_dat=xri:pqil:pq_clntid=131239&amp;svc_dat=xri:pqil:context=title&amp;rft_dat=xri:pqd:PMID=44775</t>
  </si>
  <si>
    <t>http://gateway.proquest.com/openurl?url_ver=Z39.88-2004&amp;res_dat=xri:pqm&amp;rft_val_fmt=info:ofi/fmt:kev:mtx:journal&amp;genre=journal&amp;req_dat=xri:pqil:pq_clntid=131239&amp;svc_dat=xri:pqil:context=title&amp;rft_dat=xri:pqd:PMID=2040159</t>
  </si>
  <si>
    <t>http://gateway.proquest.com/openurl?url_ver=Z39.88-2004&amp;res_dat=xri:pqm&amp;rft_val_fmt=info:ofi/fmt:kev:mtx:journal&amp;genre=journal&amp;req_dat=xri:pqil:pq_clntid=131239&amp;svc_dat=xri:pqil:context=title&amp;rft_dat=xri:pqd:PMID=42554</t>
  </si>
  <si>
    <t>BMJ Mental Health</t>
  </si>
  <si>
    <t>2755-9734</t>
  </si>
  <si>
    <t>http://gateway.proquest.com/openurl?url_ver=Z39.88-2004&amp;res_dat=xri:pqm&amp;rft_val_fmt=info:ofi/fmt:kev:mtx:journal&amp;genre=journal&amp;req_dat=xri:pqil:pq_clntid=131239&amp;svc_dat=xri:pqil:context=title&amp;rft_dat=xri:pqd:PMID=2041886</t>
  </si>
  <si>
    <t>http://gateway.proquest.com/openurl?url_ver=Z39.88-2004&amp;res_dat=xri:pqm&amp;rft_val_fmt=info:ofi/fmt:kev:mtx:journal&amp;genre=journal&amp;req_dat=xri:pqil:pq_clntid=131239&amp;svc_dat=xri:pqil:context=title&amp;rft_dat=xri:pqd:PMID=2040975</t>
  </si>
  <si>
    <t>http://gateway.proquest.com/openurl?url_ver=Z39.88-2004&amp;res_dat=xri:pqm&amp;rft_val_fmt=info:ofi/fmt:kev:mtx:journal&amp;genre=journal&amp;req_dat=xri:pqil:pq_clntid=131239&amp;svc_dat=xri:pqil:context=title&amp;rft_dat=xri:pqd:PMID=2040968</t>
  </si>
  <si>
    <t>http://gateway.proquest.com/openurl?url_ver=Z39.88-2004&amp;res_dat=xri:pqm&amp;rft_val_fmt=info:ofi/fmt:kev:mtx:journal&amp;genre=journal&amp;req_dat=xri:pqil:pq_clntid=131239&amp;svc_dat=xri:pqil:context=title&amp;rft_dat=xri:pqd:PMID=5325199</t>
  </si>
  <si>
    <t>Karachi</t>
  </si>
  <si>
    <t>http://gateway.proquest.com/openurl?url_ver=Z39.88-2004&amp;res_dat=xri:pqm&amp;rft_val_fmt=info:ofi/fmt:kev:mtx:journal&amp;genre=journal&amp;req_dat=xri:pqil:pq_clntid=131239&amp;svc_dat=xri:pqil:context=title&amp;rft_dat=xri:pqd:PMID=3950100</t>
  </si>
  <si>
    <t>http://gateway.proquest.com/openurl?url_ver=Z39.88-2004&amp;res_dat=xri:pqm&amp;rft_val_fmt=info:ofi/fmt:kev:mtx:journal&amp;genre=journal&amp;req_dat=xri:pqil:pq_clntid=131239&amp;svc_dat=xri:pqil:context=title&amp;rft_dat=xri:pqd:PMID=5483580</t>
  </si>
  <si>
    <t>http://gateway.proquest.com/openurl?url_ver=Z39.88-2004&amp;res_dat=xri:pqm&amp;rft_val_fmt=info:ofi/fmt:kev:mtx:journal&amp;genre=journal&amp;req_dat=xri:pqil:pq_clntid=131239&amp;svc_dat=xri:pqil:context=title&amp;rft_dat=xri:pqd:PMID=6009033</t>
  </si>
  <si>
    <t>http://gateway.proquest.com/openurl?url_ver=Z39.88-2004&amp;res_dat=xri:pqm&amp;rft_val_fmt=info:ofi/fmt:kev:mtx:journal&amp;genre=journal&amp;req_dat=xri:pqil:pq_clntid=131239&amp;svc_dat=xri:pqil:context=title&amp;rft_dat=xri:pqd:PMID=6009032</t>
  </si>
  <si>
    <t>http://gateway.proquest.com/openurl?url_ver=Z39.88-2004&amp;res_dat=xri:pqm&amp;rft_val_fmt=info:ofi/fmt:kev:mtx:journal&amp;genre=journal&amp;req_dat=xri:pqil:pq_clntid=131239&amp;svc_dat=xri:pqil:context=title&amp;rft_dat=xri:pqd:PMID=5483579</t>
  </si>
  <si>
    <t>http://gateway.proquest.com/openurl?url_ver=Z39.88-2004&amp;res_dat=xri:pqm&amp;rft_val_fmt=info:ofi/fmt:kev:mtx:journal&amp;genre=journal&amp;req_dat=xri:pqil:pq_clntid=131239&amp;svc_dat=xri:pqil:context=title&amp;rft_dat=xri:pqd:PMID=6009031</t>
  </si>
  <si>
    <t>http://gateway.proquest.com/openurl?url_ver=Z39.88-2004&amp;res_dat=xri:pqm&amp;rft_val_fmt=info:ofi/fmt:kev:mtx:journal&amp;genre=journal&amp;req_dat=xri:pqil:pq_clntid=131239&amp;svc_dat=xri:pqil:context=title&amp;rft_dat=xri:pqd:PMID=6359423</t>
  </si>
  <si>
    <t>http://gateway.proquest.com/openurl?url_ver=Z39.88-2004&amp;res_dat=xri:pqm&amp;rft_val_fmt=info:ofi/fmt:kev:mtx:journal&amp;genre=journal&amp;req_dat=xri:pqil:pq_clntid=131239&amp;svc_dat=xri:pqil:context=title&amp;rft_dat=xri:pqd:PMID=5483576</t>
  </si>
  <si>
    <t>http://gateway.proquest.com/openurl?url_ver=Z39.88-2004&amp;res_dat=xri:pqm&amp;rft_val_fmt=info:ofi/fmt:kev:mtx:journal&amp;genre=journal&amp;req_dat=xri:pqil:pq_clntid=131239&amp;svc_dat=xri:pqil:context=title&amp;rft_dat=xri:pqd:PMID=36966</t>
  </si>
  <si>
    <t>http://gateway.proquest.com/openurl?url_ver=Z39.88-2004&amp;res_dat=xri:pqm&amp;rft_val_fmt=info:ofi/fmt:kev:mtx:journal&amp;genre=journal&amp;req_dat=xri:pqil:pq_clntid=131239&amp;svc_dat=xri:pqil:context=title&amp;rft_dat=xri:pqd:PMID=5983394</t>
  </si>
  <si>
    <t>http://gateway.proquest.com/openurl?url_ver=Z39.88-2004&amp;res_dat=xri:pqm&amp;rft_val_fmt=info:ofi/fmt:kev:mtx:journal&amp;genre=journal&amp;req_dat=xri:pqil:pq_clntid=131239&amp;svc_dat=xri:pqil:context=title&amp;rft_dat=xri:pqd:PMID=6009030</t>
  </si>
  <si>
    <t>Behavior Analysis in Practice</t>
  </si>
  <si>
    <t>1998-1929</t>
  </si>
  <si>
    <t>2196-8934</t>
  </si>
  <si>
    <t>http://gateway.proquest.com/openurl?url_ver=Z39.88-2004&amp;res_dat=xri:pqm&amp;rft_val_fmt=info:ofi/fmt:kev:mtx:journal&amp;genre=journal&amp;req_dat=xri:pqil:pq_clntid=131239&amp;svc_dat=xri:pqil:context=title&amp;rft_dat=xri:pqd:PMID=6420654</t>
  </si>
  <si>
    <t>http://gateway.proquest.com/openurl?url_ver=Z39.88-2004&amp;res_dat=xri:pqm&amp;rft_val_fmt=info:ofi/fmt:kev:mtx:journal&amp;genre=journal&amp;req_dat=xri:pqil:pq_clntid=131239&amp;svc_dat=xri:pqil:context=title&amp;rft_dat=xri:pqd:PMID=48147</t>
  </si>
  <si>
    <t>http://gateway.proquest.com/openurl?url_ver=Z39.88-2004&amp;res_dat=xri:pqm&amp;rft_val_fmt=info:ofi/fmt:kev:mtx:journal&amp;genre=journal&amp;req_dat=xri:pqil:pq_clntid=131239&amp;svc_dat=xri:pqil:context=title&amp;rft_dat=xri:pqd:PMID=37698</t>
  </si>
  <si>
    <t>Madison</t>
  </si>
  <si>
    <t>http://gateway.proquest.com/openurl?url_ver=Z39.88-2004&amp;res_dat=xri:pqm&amp;rft_val_fmt=info:ofi/fmt:kev:mtx:journal&amp;genre=journal&amp;req_dat=xri:pqil:pq_clntid=131239&amp;svc_dat=xri:pqil:context=title&amp;rft_dat=xri:pqd:PMID=28877</t>
  </si>
  <si>
    <t>http://gateway.proquest.com/openurl?url_ver=Z39.88-2004&amp;res_dat=xri:pqm&amp;rft_val_fmt=info:ofi/fmt:kev:mtx:journal&amp;genre=journal&amp;req_dat=xri:pqil:pq_clntid=131239&amp;svc_dat=xri:pqil:context=title&amp;rft_dat=xri:pqd:PMID=976348</t>
  </si>
  <si>
    <t>Orlando</t>
  </si>
  <si>
    <t>http://gateway.proquest.com/openurl?url_ver=Z39.88-2004&amp;res_dat=xri:pqm&amp;rft_val_fmt=info:ofi/fmt:kev:mtx:journal&amp;genre=journal&amp;req_dat=xri:pqil:pq_clntid=131239&amp;svc_dat=xri:pqil:context=title&amp;rft_dat=xri:pqd:PMID=29855</t>
  </si>
  <si>
    <t>http://gateway.proquest.com/openurl?url_ver=Z39.88-2004&amp;res_dat=xri:pqm&amp;rft_val_fmt=info:ofi/fmt:kev:mtx:journal&amp;genre=journal&amp;req_dat=xri:pqil:pq_clntid=131239&amp;svc_dat=xri:pqil:context=title&amp;rft_dat=xri:pqd:PMID=6094</t>
  </si>
  <si>
    <t>Cambridge, Mass.</t>
  </si>
  <si>
    <t>http://gateway.proquest.com/openurl?url_ver=Z39.88-2004&amp;res_dat=xri:pqm&amp;rft_val_fmt=info:ofi/fmt:kev:mtx:journal&amp;genre=journal&amp;req_dat=xri:pqil:pq_clntid=131239&amp;svc_dat=xri:pqil:context=title&amp;rft_dat=xri:pqd:PMID=1821434</t>
  </si>
  <si>
    <t>Littleton</t>
  </si>
  <si>
    <t>http://gateway.proquest.com/openurl?url_ver=Z39.88-2004&amp;res_dat=xri:pqm&amp;rft_val_fmt=info:ofi/fmt:kev:mtx:journal&amp;genre=journal&amp;req_dat=xri:pqil:pq_clntid=131239&amp;svc_dat=xri:pqil:context=title&amp;rft_dat=xri:pqd:PMID=2034343</t>
  </si>
  <si>
    <t>http://gateway.proquest.com/openurl?url_ver=Z39.88-2004&amp;res_dat=xri:pqm&amp;rft_val_fmt=info:ofi/fmt:kev:mtx:journal&amp;genre=journal&amp;req_dat=xri:pqil:pq_clntid=131239&amp;svc_dat=xri:pqil:context=title&amp;rft_dat=xri:pqd:PMID=32980</t>
  </si>
  <si>
    <t>http://gateway.proquest.com/openurl?url_ver=Z39.88-2004&amp;res_dat=xri:pqm&amp;rft_val_fmt=info:ofi/fmt:kev:mtx:journal&amp;genre=journal&amp;req_dat=xri:pqil:pq_clntid=131239&amp;svc_dat=xri:pqil:context=title&amp;rft_dat=xri:pqd:PMID=32981</t>
  </si>
  <si>
    <t>Tempe</t>
  </si>
  <si>
    <t>01-Jan-1998--31-Dec-2003</t>
  </si>
  <si>
    <t>http://gateway.proquest.com/openurl?url_ver=Z39.88-2004&amp;res_dat=xri:pqm&amp;rft_val_fmt=info:ofi/fmt:kev:mtx:journal&amp;genre=journal&amp;req_dat=xri:pqil:pq_clntid=131239&amp;svc_dat=xri:pqil:context=title&amp;rft_dat=xri:pqd:PMID=48220</t>
  </si>
  <si>
    <t>http://gateway.proquest.com/openurl?url_ver=Z39.88-2004&amp;res_dat=xri:pqm&amp;rft_val_fmt=info:ofi/fmt:kev:mtx:journal&amp;genre=journal&amp;req_dat=xri:pqil:pq_clntid=131239&amp;svc_dat=xri:pqil:context=title&amp;rft_dat=xri:pqd:PMID=30428</t>
  </si>
  <si>
    <t>http://gateway.proquest.com/openurl?url_ver=Z39.88-2004&amp;res_dat=xri:pqm&amp;rft_val_fmt=info:ofi/fmt:kev:mtx:journal&amp;genre=journal&amp;req_dat=xri:pqil:pq_clntid=131239&amp;svc_dat=xri:pqil:context=title&amp;rft_dat=xri:pqd:PMID=54055</t>
  </si>
  <si>
    <t>Cleveland</t>
  </si>
  <si>
    <t>http://gateway.proquest.com/openurl?url_ver=Z39.88-2004&amp;res_dat=xri:pqm&amp;rft_val_fmt=info:ofi/fmt:kev:mtx:journal&amp;genre=journal&amp;req_dat=xri:pqil:pq_clntid=131239&amp;svc_dat=xri:pqil:context=title&amp;rft_dat=xri:pqd:PMID=32449</t>
  </si>
  <si>
    <t>http://gateway.proquest.com/openurl?url_ver=Z39.88-2004&amp;res_dat=xri:pqm&amp;rft_val_fmt=info:ofi/fmt:kev:mtx:journal&amp;genre=journal&amp;req_dat=xri:pqil:pq_clntid=131239&amp;svc_dat=xri:pqil:context=title&amp;rft_dat=xri:pqd:PMID=28544</t>
  </si>
  <si>
    <t>Chichester</t>
  </si>
  <si>
    <t>http://gateway.proquest.com/openurl?url_ver=Z39.88-2004&amp;res_dat=xri:pqm&amp;rft_val_fmt=info:ofi/fmt:kev:mtx:journal&amp;genre=journal&amp;req_dat=xri:pqil:pq_clntid=131239&amp;svc_dat=xri:pqil:context=title&amp;rft_dat=xri:pqd:PMID=37557</t>
  </si>
  <si>
    <t>http://gateway.proquest.com/openurl?url_ver=Z39.88-2004&amp;res_dat=xri:pqm&amp;rft_val_fmt=info:ofi/fmt:kev:mtx:journal&amp;genre=journal&amp;req_dat=xri:pqil:pq_clntid=131239&amp;svc_dat=xri:pqil:context=title&amp;rft_dat=xri:pqd:PMID=37579</t>
  </si>
  <si>
    <t>http://gateway.proquest.com/openurl?url_ver=Z39.88-2004&amp;res_dat=xri:pqm&amp;rft_val_fmt=info:ofi/fmt:kev:mtx:journal&amp;genre=journal&amp;req_dat=xri:pqil:pq_clntid=131239&amp;svc_dat=xri:pqil:context=title&amp;rft_dat=xri:pqd:PMID=49168</t>
  </si>
  <si>
    <t>Behavioral Psychology = Psicología Conductual</t>
  </si>
  <si>
    <t>http://gateway.proquest.com/openurl?url_ver=Z39.88-2004&amp;res_dat=xri:pqm&amp;rft_val_fmt=info:ofi/fmt:kev:mtx:journal&amp;genre=journal&amp;req_dat=xri:pqil:pq_clntid=131239&amp;svc_dat=xri:pqil:context=title&amp;rft_dat=xri:pqd:PMID=966333</t>
  </si>
  <si>
    <t>Santa Barbara</t>
  </si>
  <si>
    <t>http://gateway.proquest.com/openurl?url_ver=Z39.88-2004&amp;res_dat=xri:pqm&amp;rft_val_fmt=info:ofi/fmt:kev:mtx:journal&amp;genre=journal&amp;req_dat=xri:pqil:pq_clntid=131239&amp;svc_dat=xri:pqil:context=title&amp;rft_dat=xri:pqd:PMID=41994</t>
  </si>
  <si>
    <t>http://gateway.proquest.com/openurl?url_ver=Z39.88-2004&amp;res_dat=xri:pqm&amp;rft_val_fmt=info:ofi/fmt:kev:mtx:journal&amp;genre=journal&amp;req_dat=xri:pqil:pq_clntid=131239&amp;svc_dat=xri:pqil:context=title&amp;rft_dat=xri:pqd:PMID=2041190</t>
  </si>
  <si>
    <t>http://gateway.proquest.com/openurl?url_ver=Z39.88-2004&amp;res_dat=xri:pqm&amp;rft_val_fmt=info:ofi/fmt:kev:mtx:journal&amp;genre=journal&amp;req_dat=xri:pqil:pq_clntid=131239&amp;svc_dat=xri:pqil:context=title&amp;rft_dat=xri:pqd:PMID=2032428</t>
  </si>
  <si>
    <t>http://gateway.proquest.com/openurl?url_ver=Z39.88-2004&amp;res_dat=xri:pqm&amp;rft_val_fmt=info:ofi/fmt:kev:mtx:journal&amp;genre=journal&amp;req_dat=xri:pqil:pq_clntid=131239&amp;svc_dat=xri:pqil:context=title&amp;rft_dat=xri:pqd:PMID=49030</t>
  </si>
  <si>
    <t>http://gateway.proquest.com/openurl?url_ver=Z39.88-2004&amp;res_dat=xri:pqm&amp;rft_val_fmt=info:ofi/fmt:kev:mtx:journal&amp;genre=journal&amp;req_dat=xri:pqil:pq_clntid=131239&amp;svc_dat=xri:pqil:context=title&amp;rft_dat=xri:pqd:PMID=186229</t>
  </si>
  <si>
    <t>http://gateway.proquest.com/openurl?url_ver=Z39.88-2004&amp;res_dat=xri:pqm&amp;rft_val_fmt=info:ofi/fmt:kev:mtx:journal&amp;genre=journal&amp;req_dat=xri:pqil:pq_clntid=131239&amp;svc_dat=xri:pqil:context=title&amp;rft_dat=xri:pqd:PMID=216142</t>
  </si>
  <si>
    <t>http://gateway.proquest.com/openurl?url_ver=Z39.88-2004&amp;res_dat=xri:pqm&amp;rft_val_fmt=info:ofi/fmt:kev:mtx:journal&amp;genre=journal&amp;req_dat=xri:pqil:pq_clntid=131239&amp;svc_dat=xri:pqil:context=title&amp;rft_dat=xri:pqd:PMID=55045</t>
  </si>
  <si>
    <t>http://gateway.proquest.com/openurl?url_ver=Z39.88-2004&amp;res_dat=xri:pqm&amp;rft_val_fmt=info:ofi/fmt:kev:mtx:journal&amp;genre=journal&amp;req_dat=xri:pqil:pq_clntid=131239&amp;svc_dat=xri:pqil:context=title&amp;rft_dat=xri:pqd:PMID=47829</t>
  </si>
  <si>
    <t>Leiden</t>
  </si>
  <si>
    <t>http://gateway.proquest.com/openurl?url_ver=Z39.88-2004&amp;res_dat=xri:pqm&amp;rft_val_fmt=info:ofi/fmt:kev:mtx:journal&amp;genre=journal&amp;req_dat=xri:pqil:pq_clntid=131239&amp;svc_dat=xri:pqil:context=title&amp;rft_dat=xri:pqd:PMID=2049050</t>
  </si>
  <si>
    <t>http://gateway.proquest.com/openurl?url_ver=Z39.88-2004&amp;res_dat=xri:pqm&amp;rft_val_fmt=info:ofi/fmt:kev:mtx:journal&amp;genre=journal&amp;req_dat=xri:pqil:pq_clntid=131239&amp;svc_dat=xri:pqil:context=title&amp;rft_dat=xri:pqd:PMID=53127</t>
  </si>
  <si>
    <t>Bowen Hills</t>
  </si>
  <si>
    <t>http://gateway.proquest.com/openurl?url_ver=Z39.88-2004&amp;res_dat=xri:pqm&amp;rft_val_fmt=info:ofi/fmt:kev:mtx:journal&amp;genre=journal&amp;req_dat=xri:pqil:pq_clntid=131239&amp;svc_dat=xri:pqil:context=title&amp;rft_dat=xri:pqd:PMID=31179</t>
  </si>
  <si>
    <t>http://gateway.proquest.com/openurl?url_ver=Z39.88-2004&amp;res_dat=xri:pqm&amp;rft_val_fmt=info:ofi/fmt:kev:mtx:journal&amp;genre=journal&amp;req_dat=xri:pqil:pq_clntid=131239&amp;svc_dat=xri:pqil:context=title&amp;rft_dat=xri:pqd:PMID=45719</t>
  </si>
  <si>
    <t>Cairo</t>
  </si>
  <si>
    <t>http://gateway.proquest.com/openurl?url_ver=Z39.88-2004&amp;res_dat=xri:pqm&amp;rft_val_fmt=info:ofi/fmt:kev:mtx:journal&amp;genre=journal&amp;req_dat=xri:pqil:pq_clntid=131239&amp;svc_dat=xri:pqil:context=title&amp;rft_dat=xri:pqd:PMID=2037352</t>
  </si>
  <si>
    <t>http://gateway.proquest.com/openurl?url_ver=Z39.88-2004&amp;res_dat=xri:pqm&amp;rft_val_fmt=info:ofi/fmt:kev:mtx:journal&amp;genre=journal&amp;req_dat=xri:pqil:pq_clntid=131239&amp;svc_dat=xri:pqil:context=title&amp;rft_dat=xri:pqd:PMID=10905</t>
  </si>
  <si>
    <t>http://gateway.proquest.com/openurl?url_ver=Z39.88-2004&amp;res_dat=xri:pqm&amp;rft_val_fmt=info:ofi/fmt:kev:mtx:journal&amp;genre=journal&amp;req_dat=xri:pqil:pq_clntid=131239&amp;svc_dat=xri:pqil:context=title&amp;rft_dat=xri:pqd:PMID=6009029</t>
  </si>
  <si>
    <t>http://gateway.proquest.com/openurl?url_ver=Z39.88-2004&amp;res_dat=xri:pqm&amp;rft_val_fmt=info:ofi/fmt:kev:mtx:journal&amp;genre=journal&amp;req_dat=xri:pqil:pq_clntid=131239&amp;svc_dat=xri:pqil:context=title&amp;rft_dat=xri:pqd:PMID=6009028</t>
  </si>
  <si>
    <t>Bell</t>
  </si>
  <si>
    <t>National Association for Mental Health</t>
  </si>
  <si>
    <t>http://gateway.proquest.com/openurl?url_ver=Z39.88-2004&amp;res_dat=xri:pqm&amp;rft_val_fmt=info:ofi/fmt:kev:mtx:journal&amp;genre=journal&amp;req_dat=xri:pqil:pq_clntid=131239&amp;svc_dat=xri:pqil:context=title&amp;rft_dat=xri:pqd:PMID=26072</t>
  </si>
  <si>
    <t>http://gateway.proquest.com/openurl?url_ver=Z39.88-2004&amp;res_dat=xri:pqm&amp;rft_val_fmt=info:ofi/fmt:kev:mtx:journal&amp;genre=journal&amp;req_dat=xri:pqil:pq_clntid=131239&amp;svc_dat=xri:pqil:context=title&amp;rft_dat=xri:pqd:PMID=436439</t>
  </si>
  <si>
    <t>Berkeley Media LLC</t>
  </si>
  <si>
    <t>Berkeley</t>
  </si>
  <si>
    <t>http://gateway.proquest.com/openurl?url_ver=Z39.88-2004&amp;res_dat=xri:pqm&amp;rft_val_fmt=info:ofi/fmt:kev:mtx:journal&amp;genre=journal&amp;req_dat=xri:pqil:pq_clntid=131239&amp;svc_dat=xri:pqil:context=title&amp;rft_dat=xri:pqd:PMID=6359420</t>
  </si>
  <si>
    <t>http://gateway.proquest.com/openurl?url_ver=Z39.88-2004&amp;res_dat=xri:pqm&amp;rft_val_fmt=info:ofi/fmt:kev:mtx:journal&amp;genre=journal&amp;req_dat=xri:pqil:pq_clntid=131239&amp;svc_dat=xri:pqil:context=title&amp;rft_dat=xri:pqd:PMID=2035674</t>
  </si>
  <si>
    <t>http://gateway.proquest.com/openurl?url_ver=Z39.88-2004&amp;res_dat=xri:pqm&amp;rft_val_fmt=info:ofi/fmt:kev:mtx:journal&amp;genre=journal&amp;req_dat=xri:pqil:pq_clntid=131239&amp;svc_dat=xri:pqil:context=title&amp;rft_dat=xri:pqd:PMID=6359419</t>
  </si>
  <si>
    <t>Toronto</t>
  </si>
  <si>
    <t>http://gateway.proquest.com/openurl?url_ver=Z39.88-2004&amp;res_dat=xri:pqm&amp;rft_val_fmt=info:ofi/fmt:kev:mtx:journal&amp;genre=journal&amp;req_dat=xri:pqil:pq_clntid=131239&amp;svc_dat=xri:pqil:context=title&amp;rft_dat=xri:pqd:PMID=5483544</t>
  </si>
  <si>
    <t>Big Voice Pictures</t>
  </si>
  <si>
    <t>Ashland</t>
  </si>
  <si>
    <t>http://gateway.proquest.com/openurl?url_ver=Z39.88-2004&amp;res_dat=xri:pqm&amp;rft_val_fmt=info:ofi/fmt:kev:mtx:journal&amp;genre=journal&amp;req_dat=xri:pqil:pq_clntid=131239&amp;svc_dat=xri:pqil:context=title&amp;rft_dat=xri:pqd:PMID=6359417</t>
  </si>
  <si>
    <t>http://gateway.proquest.com/openurl?url_ver=Z39.88-2004&amp;res_dat=xri:pqm&amp;rft_val_fmt=info:ofi/fmt:kev:mtx:journal&amp;genre=journal&amp;req_dat=xri:pqil:pq_clntid=131239&amp;svc_dat=xri:pqil:context=title&amp;rft_dat=xri:pqd:PMID=32700</t>
  </si>
  <si>
    <t>http://gateway.proquest.com/openurl?url_ver=Z39.88-2004&amp;res_dat=xri:pqm&amp;rft_val_fmt=info:ofi/fmt:kev:mtx:journal&amp;genre=journal&amp;req_dat=xri:pqil:pq_clntid=131239&amp;svc_dat=xri:pqil:context=title&amp;rft_dat=xri:pqd:PMID=6128789</t>
  </si>
  <si>
    <t>http://gateway.proquest.com/openurl?url_ver=Z39.88-2004&amp;res_dat=xri:pqm&amp;rft_val_fmt=info:ofi/fmt:kev:mtx:journal&amp;genre=journal&amp;req_dat=xri:pqil:pq_clntid=131239&amp;svc_dat=xri:pqil:context=title&amp;rft_dat=xri:pqd:PMID=5483559</t>
  </si>
  <si>
    <t>http://gateway.proquest.com/openurl?url_ver=Z39.88-2004&amp;res_dat=xri:pqm&amp;rft_val_fmt=info:ofi/fmt:kev:mtx:journal&amp;genre=journal&amp;req_dat=xri:pqil:pq_clntid=131239&amp;svc_dat=xri:pqil:context=title&amp;rft_dat=xri:pqd:PMID=55235</t>
  </si>
  <si>
    <t>http://gateway.proquest.com/openurl?url_ver=Z39.88-2004&amp;res_dat=xri:pqm&amp;rft_val_fmt=info:ofi/fmt:kev:mtx:journal&amp;genre=journal&amp;req_dat=xri:pqil:pq_clntid=131239&amp;svc_dat=xri:pqil:context=title&amp;rft_dat=xri:pqd:PMID=42418</t>
  </si>
  <si>
    <t>Lawrence</t>
  </si>
  <si>
    <t>http://gateway.proquest.com/openurl?url_ver=Z39.88-2004&amp;res_dat=xri:pqm&amp;rft_val_fmt=info:ofi/fmt:kev:mtx:journal&amp;genre=journal&amp;req_dat=xri:pqil:pq_clntid=131239&amp;svc_dat=xri:pqil:context=title&amp;rft_dat=xri:pqd:PMID=39806</t>
  </si>
  <si>
    <t>http://gateway.proquest.com/openurl?url_ver=Z39.88-2004&amp;res_dat=xri:pqm&amp;rft_val_fmt=info:ofi/fmt:kev:mtx:journal&amp;genre=journal&amp;req_dat=xri:pqil:pq_clntid=131239&amp;svc_dat=xri:pqil:context=title&amp;rft_dat=xri:pqd:PMID=506344</t>
  </si>
  <si>
    <t>Westport</t>
  </si>
  <si>
    <t>http://gateway.proquest.com/openurl?url_ver=Z39.88-2004&amp;res_dat=xri:pqm&amp;rft_val_fmt=info:ofi/fmt:kev:mtx:journal&amp;genre=journal&amp;req_dat=xri:pqil:pq_clntid=131239&amp;svc_dat=xri:pqil:context=title&amp;rft_dat=xri:pqd:PMID=5483643</t>
  </si>
  <si>
    <t>http://gateway.proquest.com/openurl?url_ver=Z39.88-2004&amp;res_dat=xri:pqm&amp;rft_val_fmt=info:ofi/fmt:kev:mtx:journal&amp;genre=journal&amp;req_dat=xri:pqil:pq_clntid=131239&amp;svc_dat=xri:pqil:context=title&amp;rft_dat=xri:pqd:PMID=53107</t>
  </si>
  <si>
    <t>http://gateway.proquest.com/openurl?url_ver=Z39.88-2004&amp;res_dat=xri:pqm&amp;rft_val_fmt=info:ofi/fmt:kev:mtx:journal&amp;genre=journal&amp;req_dat=xri:pqil:pq_clntid=131239&amp;svc_dat=xri:pqil:context=title&amp;rft_dat=xri:pqd:PMID=2040164</t>
  </si>
  <si>
    <t>http://gateway.proquest.com/openurl?url_ver=Z39.88-2004&amp;res_dat=xri:pqm&amp;rft_val_fmt=info:ofi/fmt:kev:mtx:journal&amp;genre=journal&amp;req_dat=xri:pqil:pq_clntid=131239&amp;svc_dat=xri:pqil:context=title&amp;rft_dat=xri:pqd:PMID=2040163</t>
  </si>
  <si>
    <t>http://gateway.proquest.com/openurl?url_ver=Z39.88-2004&amp;res_dat=xri:pqm&amp;rft_val_fmt=info:ofi/fmt:kev:mtx:journal&amp;genre=journal&amp;req_dat=xri:pqil:pq_clntid=131239&amp;svc_dat=xri:pqil:context=title&amp;rft_dat=xri:pqd:PMID=2026354</t>
  </si>
  <si>
    <t>http://gateway.proquest.com/openurl?url_ver=Z39.88-2004&amp;res_dat=xri:pqm&amp;rft_val_fmt=info:ofi/fmt:kev:mtx:journal&amp;genre=journal&amp;req_dat=xri:pqil:pq_clntid=131239&amp;svc_dat=xri:pqil:context=title&amp;rft_dat=xri:pqd:PMID=2045186</t>
  </si>
  <si>
    <t>http://gateway.proquest.com/openurl?url_ver=Z39.88-2004&amp;res_dat=xri:pqm&amp;rft_val_fmt=info:ofi/fmt:kev:mtx:journal&amp;genre=journal&amp;req_dat=xri:pqil:pq_clntid=131239&amp;svc_dat=xri:pqil:context=title&amp;rft_dat=xri:pqd:PMID=5262530</t>
  </si>
  <si>
    <t>http://gateway.proquest.com/openurl?url_ver=Z39.88-2004&amp;res_dat=xri:pqm&amp;rft_val_fmt=info:ofi/fmt:kev:mtx:journal&amp;genre=journal&amp;req_dat=xri:pqil:pq_clntid=131239&amp;svc_dat=xri:pqil:context=title&amp;rft_dat=xri:pqd:PMID=5262529</t>
  </si>
  <si>
    <t>http://gateway.proquest.com/openurl?url_ver=Z39.88-2004&amp;res_dat=xri:pqm&amp;rft_val_fmt=info:ofi/fmt:kev:mtx:journal&amp;genre=journal&amp;req_dat=xri:pqil:pq_clntid=131239&amp;svc_dat=xri:pqil:context=title&amp;rft_dat=xri:pqd:PMID=5262528</t>
  </si>
  <si>
    <t>http://gateway.proquest.com/openurl?url_ver=Z39.88-2004&amp;res_dat=xri:pqm&amp;rft_val_fmt=info:ofi/fmt:kev:mtx:journal&amp;genre=journal&amp;req_dat=xri:pqil:pq_clntid=131239&amp;svc_dat=xri:pqil:context=title&amp;rft_dat=xri:pqd:PMID=5263208</t>
  </si>
  <si>
    <t>http://gateway.proquest.com/openurl?url_ver=Z39.88-2004&amp;res_dat=xri:pqm&amp;rft_val_fmt=info:ofi/fmt:kev:mtx:journal&amp;genre=journal&amp;req_dat=xri:pqil:pq_clntid=131239&amp;svc_dat=xri:pqil:context=title&amp;rft_dat=xri:pqd:PMID=5262527</t>
  </si>
  <si>
    <t>http://gateway.proquest.com/openurl?url_ver=Z39.88-2004&amp;res_dat=xri:pqm&amp;rft_val_fmt=info:ofi/fmt:kev:mtx:journal&amp;genre=journal&amp;req_dat=xri:pqil:pq_clntid=131239&amp;svc_dat=xri:pqil:context=title&amp;rft_dat=xri:pqd:PMID=5325200</t>
  </si>
  <si>
    <t>San Francisco</t>
  </si>
  <si>
    <t>http://gateway.proquest.com/openurl?url_ver=Z39.88-2004&amp;res_dat=xri:pqm&amp;rft_val_fmt=info:ofi/fmt:kev:mtx:journal&amp;genre=journal&amp;req_dat=xri:pqil:pq_clntid=131239&amp;svc_dat=xri:pqil:context=title&amp;rft_dat=xri:pqd:PMID=35485</t>
  </si>
  <si>
    <t>http://gateway.proquest.com/openurl?url_ver=Z39.88-2004&amp;res_dat=xri:pqm&amp;rft_val_fmt=info:ofi/fmt:kev:mtx:journal&amp;genre=journal&amp;req_dat=xri:pqil:pq_clntid=131239&amp;svc_dat=xri:pqil:context=title&amp;rft_dat=xri:pqd:PMID=27244</t>
  </si>
  <si>
    <t>Aquarius Health Care Media</t>
  </si>
  <si>
    <t>http://gateway.proquest.com/openurl?url_ver=Z39.88-2004&amp;res_dat=xri:pqm&amp;rft_val_fmt=info:ofi/fmt:kev:mtx:journal&amp;genre=journal&amp;req_dat=xri:pqil:pq_clntid=131239&amp;svc_dat=xri:pqil:context=title&amp;rft_dat=xri:pqd:PMID=5256701</t>
  </si>
  <si>
    <t>http://gateway.proquest.com/openurl?url_ver=Z39.88-2004&amp;res_dat=xri:pqm&amp;rft_val_fmt=info:ofi/fmt:kev:mtx:journal&amp;genre=journal&amp;req_dat=xri:pqil:pq_clntid=131239&amp;svc_dat=xri:pqil:context=title&amp;rft_dat=xri:pqd:PMID=2045311</t>
  </si>
  <si>
    <t>Center City</t>
  </si>
  <si>
    <t>http://gateway.proquest.com/openurl?url_ver=Z39.88-2004&amp;res_dat=xri:pqm&amp;rft_val_fmt=info:ofi/fmt:kev:mtx:journal&amp;genre=journal&amp;req_dat=xri:pqil:pq_clntid=131239&amp;svc_dat=xri:pqil:context=title&amp;rft_dat=xri:pqd:PMID=6059447</t>
  </si>
  <si>
    <t>http://gateway.proquest.com/openurl?url_ver=Z39.88-2004&amp;res_dat=xri:pqm&amp;rft_val_fmt=info:ofi/fmt:kev:mtx:journal&amp;genre=journal&amp;req_dat=xri:pqil:pq_clntid=131239&amp;svc_dat=xri:pqil:context=title&amp;rft_dat=xri:pqd:PMID=2040158</t>
  </si>
  <si>
    <t>http://gateway.proquest.com/openurl?url_ver=Z39.88-2004&amp;res_dat=xri:pqm&amp;rft_val_fmt=info:ofi/fmt:kev:mtx:journal&amp;genre=journal&amp;req_dat=xri:pqil:pq_clntid=131239&amp;svc_dat=xri:pqil:context=title&amp;rft_dat=xri:pqd:PMID=2042614</t>
  </si>
  <si>
    <t>http://gateway.proquest.com/openurl?url_ver=Z39.88-2004&amp;res_dat=xri:pqm&amp;rft_val_fmt=info:ofi/fmt:kev:mtx:journal&amp;genre=journal&amp;req_dat=xri:pqil:pq_clntid=131239&amp;svc_dat=xri:pqil:context=title&amp;rft_dat=xri:pqd:PMID=6059446</t>
  </si>
  <si>
    <t>http://gateway.proquest.com/openurl?url_ver=Z39.88-2004&amp;res_dat=xri:pqm&amp;rft_val_fmt=info:ofi/fmt:kev:mtx:journal&amp;genre=journal&amp;req_dat=xri:pqil:pq_clntid=131239&amp;svc_dat=xri:pqil:context=title&amp;rft_dat=xri:pqd:PMID=6059445</t>
  </si>
  <si>
    <t>http://gateway.proquest.com/openurl?url_ver=Z39.88-2004&amp;res_dat=xri:pqm&amp;rft_val_fmt=info:ofi/fmt:kev:mtx:journal&amp;genre=journal&amp;req_dat=xri:pqil:pq_clntid=131239&amp;svc_dat=xri:pqil:context=title&amp;rft_dat=xri:pqd:PMID=35133</t>
  </si>
  <si>
    <t>http://gateway.proquest.com/openurl?url_ver=Z39.88-2004&amp;res_dat=xri:pqm&amp;rft_val_fmt=info:ofi/fmt:kev:mtx:journal&amp;genre=journal&amp;req_dat=xri:pqil:pq_clntid=131239&amp;svc_dat=xri:pqil:context=title&amp;rft_dat=xri:pqd:PMID=4395946</t>
  </si>
  <si>
    <t>New Rochelle</t>
  </si>
  <si>
    <t>http://gateway.proquest.com/openurl?url_ver=Z39.88-2004&amp;res_dat=xri:pqm&amp;rft_val_fmt=info:ofi/fmt:kev:mtx:journal&amp;genre=journal&amp;req_dat=xri:pqil:pq_clntid=131239&amp;svc_dat=xri:pqil:context=title&amp;rft_dat=xri:pqd:PMID=2029230</t>
  </si>
  <si>
    <t>Indianapolis</t>
  </si>
  <si>
    <t>http://gateway.proquest.com/openurl?url_ver=Z39.88-2004&amp;res_dat=xri:pqm&amp;rft_val_fmt=info:ofi/fmt:kev:mtx:journal&amp;genre=journal&amp;req_dat=xri:pqil:pq_clntid=131239&amp;svc_dat=xri:pqil:context=title&amp;rft_dat=xri:pqd:PMID=1486349</t>
  </si>
  <si>
    <t>http://gateway.proquest.com/openurl?url_ver=Z39.88-2004&amp;res_dat=xri:pqm&amp;rft_val_fmt=info:ofi/fmt:kev:mtx:journal&amp;genre=journal&amp;req_dat=xri:pqil:pq_clntid=131239&amp;svc_dat=xri:pqil:context=title&amp;rft_dat=xri:pqd:PMID=5515558</t>
  </si>
  <si>
    <t>http://gateway.proquest.com/openurl?url_ver=Z39.88-2004&amp;res_dat=xri:pqm&amp;rft_val_fmt=info:ofi/fmt:kev:mtx:journal&amp;genre=journal&amp;req_dat=xri:pqil:pq_clntid=131239&amp;svc_dat=xri:pqil:context=title&amp;rft_dat=xri:pqd:PMID=2046126</t>
  </si>
  <si>
    <t>Milton Keynes</t>
  </si>
  <si>
    <t>http://gateway.proquest.com/openurl?url_ver=Z39.88-2004&amp;res_dat=xri:pqm&amp;rft_val_fmt=info:ofi/fmt:kev:mtx:journal&amp;genre=journal&amp;req_dat=xri:pqil:pq_clntid=131239&amp;svc_dat=xri:pqil:context=title&amp;rft_dat=xri:pqd:PMID=5488554</t>
  </si>
  <si>
    <t>Tulsa</t>
  </si>
  <si>
    <t>http://gateway.proquest.com/openurl?url_ver=Z39.88-2004&amp;res_dat=xri:pqm&amp;rft_val_fmt=info:ofi/fmt:kev:mtx:journal&amp;genre=journal&amp;req_dat=xri:pqil:pq_clntid=131239&amp;svc_dat=xri:pqil:context=title&amp;rft_dat=xri:pqd:PMID=4395944</t>
  </si>
  <si>
    <t>http://gateway.proquest.com/openurl?url_ver=Z39.88-2004&amp;res_dat=xri:pqm&amp;rft_val_fmt=info:ofi/fmt:kev:mtx:journal&amp;genre=journal&amp;req_dat=xri:pqil:pq_clntid=131239&amp;svc_dat=xri:pqil:context=title&amp;rft_dat=xri:pqd:PMID=38983</t>
  </si>
  <si>
    <t>http://gateway.proquest.com/openurl?url_ver=Z39.88-2004&amp;res_dat=xri:pqm&amp;rft_val_fmt=info:ofi/fmt:kev:mtx:journal&amp;genre=journal&amp;req_dat=xri:pqil:pq_clntid=131239&amp;svc_dat=xri:pqil:context=title&amp;rft_dat=xri:pqd:PMID=37296</t>
  </si>
  <si>
    <t>Los Angeles</t>
  </si>
  <si>
    <t>http://gateway.proquest.com/openurl?url_ver=Z39.88-2004&amp;res_dat=xri:pqm&amp;rft_val_fmt=info:ofi/fmt:kev:mtx:journal&amp;genre=journal&amp;req_dat=xri:pqil:pq_clntid=131239&amp;svc_dat=xri:pqil:context=title&amp;rft_dat=xri:pqd:PMID=976341</t>
  </si>
  <si>
    <t>http://gateway.proquest.com/openurl?url_ver=Z39.88-2004&amp;res_dat=xri:pqm&amp;rft_val_fmt=info:ofi/fmt:kev:mtx:journal&amp;genre=journal&amp;req_dat=xri:pqil:pq_clntid=131239&amp;svc_dat=xri:pqil:context=title&amp;rft_dat=xri:pqd:PMID=2038114</t>
  </si>
  <si>
    <t>San Diego</t>
  </si>
  <si>
    <t>http://gateway.proquest.com/openurl?url_ver=Z39.88-2004&amp;res_dat=xri:pqm&amp;rft_val_fmt=info:ofi/fmt:kev:mtx:journal&amp;genre=journal&amp;req_dat=xri:pqil:pq_clntid=131239&amp;svc_dat=xri:pqil:context=title&amp;rft_dat=xri:pqd:PMID=2038115</t>
  </si>
  <si>
    <t>http://gateway.proquest.com/openurl?url_ver=Z39.88-2004&amp;res_dat=xri:pqm&amp;rft_val_fmt=info:ofi/fmt:kev:mtx:journal&amp;genre=journal&amp;req_dat=xri:pqil:pq_clntid=131239&amp;svc_dat=xri:pqil:context=title&amp;rft_dat=xri:pqd:PMID=42631</t>
  </si>
  <si>
    <t>Brain and Neuroscience Advances</t>
  </si>
  <si>
    <t>2398-2128</t>
  </si>
  <si>
    <t>http://gateway.proquest.com/openurl?url_ver=Z39.88-2004&amp;res_dat=xri:pqm&amp;rft_val_fmt=info:ofi/fmt:kev:mtx:journal&amp;genre=journal&amp;req_dat=xri:pqil:pq_clntid=131239&amp;svc_dat=xri:pqil:context=title&amp;rft_dat=xri:pqd:PMID=4450819</t>
  </si>
  <si>
    <t>http://gateway.proquest.com/openurl?url_ver=Z39.88-2004&amp;res_dat=xri:pqm&amp;rft_val_fmt=info:ofi/fmt:kev:mtx:journal&amp;genre=journal&amp;req_dat=xri:pqil:pq_clntid=131239&amp;svc_dat=xri:pqil:context=title&amp;rft_dat=xri:pqd:PMID=35174</t>
  </si>
  <si>
    <t>Brandy Y Productions</t>
  </si>
  <si>
    <t>http://gateway.proquest.com/openurl?url_ver=Z39.88-2004&amp;res_dat=xri:pqm&amp;rft_val_fmt=info:ofi/fmt:kev:mtx:journal&amp;genre=journal&amp;req_dat=xri:pqil:pq_clntid=131239&amp;svc_dat=xri:pqil:context=title&amp;rft_dat=xri:pqd:PMID=6359416</t>
  </si>
  <si>
    <t>http://gateway.proquest.com/openurl?url_ver=Z39.88-2004&amp;res_dat=xri:pqm&amp;rft_val_fmt=info:ofi/fmt:kev:mtx:journal&amp;genre=journal&amp;req_dat=xri:pqil:pq_clntid=131239&amp;svc_dat=xri:pqil:context=title&amp;rft_dat=xri:pqd:PMID=5483541</t>
  </si>
  <si>
    <t>Zeig, Tucker and Theisen</t>
  </si>
  <si>
    <t>http://gateway.proquest.com/openurl?url_ver=Z39.88-2004&amp;res_dat=xri:pqm&amp;rft_val_fmt=info:ofi/fmt:kev:mtx:journal&amp;genre=journal&amp;req_dat=xri:pqil:pq_clntid=131239&amp;svc_dat=xri:pqil:context=title&amp;rft_dat=xri:pqd:PMID=5263182</t>
  </si>
  <si>
    <t>Phoenix</t>
  </si>
  <si>
    <t>http://gateway.proquest.com/openurl?url_ver=Z39.88-2004&amp;res_dat=xri:pqm&amp;rft_val_fmt=info:ofi/fmt:kev:mtx:journal&amp;genre=journal&amp;req_dat=xri:pqil:pq_clntid=131239&amp;svc_dat=xri:pqil:context=title&amp;rft_dat=xri:pqd:PMID=6359415</t>
  </si>
  <si>
    <t>Cary</t>
  </si>
  <si>
    <t>http://gateway.proquest.com/openurl?url_ver=Z39.88-2004&amp;res_dat=xri:pqm&amp;rft_val_fmt=info:ofi/fmt:kev:mtx:journal&amp;genre=journal&amp;req_dat=xri:pqil:pq_clntid=131239&amp;svc_dat=xri:pqil:context=title&amp;rft_dat=xri:pqd:PMID=43770</t>
  </si>
  <si>
    <t>http://gateway.proquest.com/openurl?url_ver=Z39.88-2004&amp;res_dat=xri:pqm&amp;rft_val_fmt=info:ofi/fmt:kev:mtx:journal&amp;genre=journal&amp;req_dat=xri:pqil:pq_clntid=131239&amp;svc_dat=xri:pqil:context=title&amp;rft_dat=xri:pqd:PMID=33034</t>
  </si>
  <si>
    <t>Leicester</t>
  </si>
  <si>
    <t>http://gateway.proquest.com/openurl?url_ver=Z39.88-2004&amp;res_dat=xri:pqm&amp;rft_val_fmt=info:ofi/fmt:kev:mtx:journal&amp;genre=journal&amp;req_dat=xri:pqil:pq_clntid=131239&amp;svc_dat=xri:pqil:context=title&amp;rft_dat=xri:pqd:PMID=38181</t>
  </si>
  <si>
    <t>http://gateway.proquest.com/openurl?url_ver=Z39.88-2004&amp;res_dat=xri:pqm&amp;rft_val_fmt=info:ofi/fmt:kev:mtx:journal&amp;genre=journal&amp;req_dat=xri:pqil:pq_clntid=131239&amp;svc_dat=xri:pqil:context=title&amp;rft_dat=xri:pqd:PMID=2033394</t>
  </si>
  <si>
    <t>Sheffield</t>
  </si>
  <si>
    <t>http://gateway.proquest.com/openurl?url_ver=Z39.88-2004&amp;res_dat=xri:pqm&amp;rft_val_fmt=info:ofi/fmt:kev:mtx:journal&amp;genre=journal&amp;req_dat=xri:pqil:pq_clntid=131239&amp;svc_dat=xri:pqil:context=title&amp;rft_dat=xri:pqd:PMID=38621</t>
  </si>
  <si>
    <t>http://gateway.proquest.com/openurl?url_ver=Z39.88-2004&amp;res_dat=xri:pqm&amp;rft_val_fmt=info:ofi/fmt:kev:mtx:journal&amp;genre=journal&amp;req_dat=xri:pqil:pq_clntid=131239&amp;svc_dat=xri:pqil:context=title&amp;rft_dat=xri:pqd:PMID=34052</t>
  </si>
  <si>
    <t>http://gateway.proquest.com/openurl?url_ver=Z39.88-2004&amp;res_dat=xri:pqm&amp;rft_val_fmt=info:ofi/fmt:kev:mtx:journal&amp;genre=journal&amp;req_dat=xri:pqil:pq_clntid=131239&amp;svc_dat=xri:pqil:context=title&amp;rft_dat=xri:pqd:PMID=36006</t>
  </si>
  <si>
    <t>http://gateway.proquest.com/openurl?url_ver=Z39.88-2004&amp;res_dat=xri:pqm&amp;rft_val_fmt=info:ofi/fmt:kev:mtx:journal&amp;genre=journal&amp;req_dat=xri:pqil:pq_clntid=131239&amp;svc_dat=xri:pqil:context=title&amp;rft_dat=xri:pqd:PMID=2033393</t>
  </si>
  <si>
    <t>http://gateway.proquest.com/openurl?url_ver=Z39.88-2004&amp;res_dat=xri:pqm&amp;rft_val_fmt=info:ofi/fmt:kev:mtx:journal&amp;genre=journal&amp;req_dat=xri:pqil:pq_clntid=131239&amp;svc_dat=xri:pqil:context=title&amp;rft_dat=xri:pqd:PMID=32346</t>
  </si>
  <si>
    <t>http://gateway.proquest.com/openurl?url_ver=Z39.88-2004&amp;res_dat=xri:pqm&amp;rft_val_fmt=info:ofi/fmt:kev:mtx:journal&amp;genre=journal&amp;req_dat=xri:pqil:pq_clntid=131239&amp;svc_dat=xri:pqil:context=title&amp;rft_dat=xri:pqd:PMID=33035</t>
  </si>
  <si>
    <t>http://gateway.proquest.com/openurl?url_ver=Z39.88-2004&amp;res_dat=xri:pqm&amp;rft_val_fmt=info:ofi/fmt:kev:mtx:journal&amp;genre=journal&amp;req_dat=xri:pqil:pq_clntid=131239&amp;svc_dat=xri:pqil:context=title&amp;rft_dat=xri:pqd:PMID=33660</t>
  </si>
  <si>
    <t>Kidderminster</t>
  </si>
  <si>
    <t>http://gateway.proquest.com/openurl?url_ver=Z39.88-2004&amp;res_dat=xri:pqm&amp;rft_val_fmt=info:ofi/fmt:kev:mtx:journal&amp;genre=journal&amp;req_dat=xri:pqil:pq_clntid=131239&amp;svc_dat=xri:pqil:context=title&amp;rft_dat=xri:pqd:PMID=1006523</t>
  </si>
  <si>
    <t>http://gateway.proquest.com/openurl?url_ver=Z39.88-2004&amp;res_dat=xri:pqm&amp;rft_val_fmt=info:ofi/fmt:kev:mtx:journal&amp;genre=journal&amp;req_dat=xri:pqil:pq_clntid=131239&amp;svc_dat=xri:pqil:context=title&amp;rft_dat=xri:pqd:PMID=36005</t>
  </si>
  <si>
    <t>http://gateway.proquest.com/openurl?url_ver=Z39.88-2004&amp;res_dat=xri:pqm&amp;rft_val_fmt=info:ofi/fmt:kev:mtx:journal&amp;genre=journal&amp;req_dat=xri:pqil:pq_clntid=131239&amp;svc_dat=xri:pqil:context=title&amp;rft_dat=xri:pqd:PMID=2046464</t>
  </si>
  <si>
    <t>http://gateway.proquest.com/openurl?url_ver=Z39.88-2004&amp;res_dat=xri:pqm&amp;rft_val_fmt=info:ofi/fmt:kev:mtx:journal&amp;genre=journal&amp;req_dat=xri:pqil:pq_clntid=131239&amp;svc_dat=xri:pqil:context=title&amp;rft_dat=xri:pqd:PMID=37435</t>
  </si>
  <si>
    <t>http://gateway.proquest.com/openurl?url_ver=Z39.88-2004&amp;res_dat=xri:pqm&amp;rft_val_fmt=info:ofi/fmt:kev:mtx:journal&amp;genre=journal&amp;req_dat=xri:pqil:pq_clntid=131239&amp;svc_dat=xri:pqil:context=title&amp;rft_dat=xri:pqd:PMID=2041064</t>
  </si>
  <si>
    <t>01-Jan-1998--31-Dec-1999</t>
  </si>
  <si>
    <t>http://gateway.proquest.com/openurl?url_ver=Z39.88-2004&amp;res_dat=xri:pqm&amp;rft_val_fmt=info:ofi/fmt:kev:mtx:journal&amp;genre=journal&amp;req_dat=xri:pqil:pq_clntid=131239&amp;svc_dat=xri:pqil:context=title&amp;rft_dat=xri:pqd:PMID=40635</t>
  </si>
  <si>
    <t>http://gateway.proquest.com/openurl?url_ver=Z39.88-2004&amp;res_dat=xri:pqm&amp;rft_val_fmt=info:ofi/fmt:kev:mtx:journal&amp;genre=journal&amp;req_dat=xri:pqil:pq_clntid=131239&amp;svc_dat=xri:pqil:context=title&amp;rft_dat=xri:pqd:PMID=38178</t>
  </si>
  <si>
    <t>http://gateway.proquest.com/openurl?url_ver=Z39.88-2004&amp;res_dat=xri:pqm&amp;rft_val_fmt=info:ofi/fmt:kev:mtx:journal&amp;genre=journal&amp;req_dat=xri:pqil:pq_clntid=131239&amp;svc_dat=xri:pqil:context=title&amp;rft_dat=xri:pqd:PMID=976339</t>
  </si>
  <si>
    <t>http://gateway.proquest.com/openurl?url_ver=Z39.88-2004&amp;res_dat=xri:pqm&amp;rft_val_fmt=info:ofi/fmt:kev:mtx:journal&amp;genre=journal&amp;req_dat=xri:pqil:pq_clntid=131239&amp;svc_dat=xri:pqil:context=title&amp;rft_dat=xri:pqd:PMID=2041063</t>
  </si>
  <si>
    <t>http://gateway.proquest.com/openurl?url_ver=Z39.88-2004&amp;res_dat=xri:pqm&amp;rft_val_fmt=info:ofi/fmt:kev:mtx:journal&amp;genre=journal&amp;req_dat=xri:pqil:pq_clntid=131239&amp;svc_dat=xri:pqil:context=title&amp;rft_dat=xri:pqd:PMID=38180</t>
  </si>
  <si>
    <t>http://gateway.proquest.com/openurl?url_ver=Z39.88-2004&amp;res_dat=xri:pqm&amp;rft_val_fmt=info:ofi/fmt:kev:mtx:journal&amp;genre=journal&amp;req_dat=xri:pqil:pq_clntid=131239&amp;svc_dat=xri:pqil:context=title&amp;rft_dat=xri:pqd:PMID=2033387</t>
  </si>
  <si>
    <t>http://gateway.proquest.com/openurl?url_ver=Z39.88-2004&amp;res_dat=xri:pqm&amp;rft_val_fmt=info:ofi/fmt:kev:mtx:journal&amp;genre=journal&amp;req_dat=xri:pqil:pq_clntid=131239&amp;svc_dat=xri:pqil:context=title&amp;rft_dat=xri:pqd:PMID=47486</t>
  </si>
  <si>
    <t>http://gateway.proquest.com/openurl?url_ver=Z39.88-2004&amp;res_dat=xri:pqm&amp;rft_val_fmt=info:ofi/fmt:kev:mtx:journal&amp;genre=journal&amp;req_dat=xri:pqil:pq_clntid=131239&amp;svc_dat=xri:pqil:context=title&amp;rft_dat=xri:pqd:PMID=4395937</t>
  </si>
  <si>
    <t>http://gateway.proquest.com/openurl?url_ver=Z39.88-2004&amp;res_dat=xri:pqm&amp;rft_val_fmt=info:ofi/fmt:kev:mtx:journal&amp;genre=journal&amp;req_dat=xri:pqil:pq_clntid=131239&amp;svc_dat=xri:pqil:context=title&amp;rft_dat=xri:pqd:PMID=32350</t>
  </si>
  <si>
    <t>Providence</t>
  </si>
  <si>
    <t>http://gateway.proquest.com/openurl?url_ver=Z39.88-2004&amp;res_dat=xri:pqm&amp;rft_val_fmt=info:ofi/fmt:kev:mtx:journal&amp;genre=journal&amp;req_dat=xri:pqil:pq_clntid=131239&amp;svc_dat=xri:pqil:context=title&amp;rft_dat=xri:pqd:PMID=976336</t>
  </si>
  <si>
    <t>http://gateway.proquest.com/openurl?url_ver=Z39.88-2004&amp;res_dat=xri:pqm&amp;rft_val_fmt=info:ofi/fmt:kev:mtx:journal&amp;genre=journal&amp;req_dat=xri:pqil:pq_clntid=131239&amp;svc_dat=xri:pqil:context=title&amp;rft_dat=xri:pqd:PMID=976335</t>
  </si>
  <si>
    <t>http://gateway.proquest.com/openurl?url_ver=Z39.88-2004&amp;res_dat=xri:pqm&amp;rft_val_fmt=info:ofi/fmt:kev:mtx:journal&amp;genre=journal&amp;req_dat=xri:pqil:pq_clntid=131239&amp;svc_dat=xri:pqil:context=title&amp;rft_dat=xri:pqd:PMID=5488540</t>
  </si>
  <si>
    <t>http://gateway.proquest.com/openurl?url_ver=Z39.88-2004&amp;res_dat=xri:pqm&amp;rft_val_fmt=info:ofi/fmt:kev:mtx:journal&amp;genre=journal&amp;req_dat=xri:pqil:pq_clntid=131239&amp;svc_dat=xri:pqil:context=title&amp;rft_dat=xri:pqd:PMID=40729</t>
  </si>
  <si>
    <t>Business Ethics, the Environment &amp; Responsibility</t>
  </si>
  <si>
    <t>2694-6416</t>
  </si>
  <si>
    <t>2694-6424</t>
  </si>
  <si>
    <t>http://gateway.proquest.com/openurl?url_ver=Z39.88-2004&amp;res_dat=xri:pqm&amp;rft_val_fmt=info:ofi/fmt:kev:mtx:journal&amp;genre=journal&amp;req_dat=xri:pqil:pq_clntid=131239&amp;svc_dat=xri:pqil:context=title&amp;rft_dat=xri:pqd:PMID=29942</t>
  </si>
  <si>
    <t>http://gateway.proquest.com/openurl?url_ver=Z39.88-2004&amp;res_dat=xri:pqm&amp;rft_val_fmt=info:ofi/fmt:kev:mtx:journal&amp;genre=journal&amp;req_dat=xri:pqil:pq_clntid=131239&amp;svc_dat=xri:pqil:context=title&amp;rft_dat=xri:pqd:PMID=6128788</t>
  </si>
  <si>
    <t>http://gateway.proquest.com/openurl?url_ver=Z39.88-2004&amp;res_dat=xri:pqm&amp;rft_val_fmt=info:ofi/fmt:kev:mtx:journal&amp;genre=journal&amp;req_dat=xri:pqil:pq_clntid=131239&amp;svc_dat=xri:pqil:context=title&amp;rft_dat=xri:pqd:PMID=5256681</t>
  </si>
  <si>
    <t>CBC Learning Canadian Broadcasting Corporation</t>
  </si>
  <si>
    <t>http://gateway.proquest.com/openurl?url_ver=Z39.88-2004&amp;res_dat=xri:pqm&amp;rft_val_fmt=info:ofi/fmt:kev:mtx:journal&amp;genre=journal&amp;req_dat=xri:pqil:pq_clntid=131239&amp;svc_dat=xri:pqil:context=title&amp;rft_dat=xri:pqd:PMID=6359412</t>
  </si>
  <si>
    <t>http://gateway.proquest.com/openurl?url_ver=Z39.88-2004&amp;res_dat=xri:pqm&amp;rft_val_fmt=info:ofi/fmt:kev:mtx:journal&amp;genre=journal&amp;req_dat=xri:pqil:pq_clntid=131239&amp;svc_dat=xri:pqil:context=title&amp;rft_dat=xri:pqd:PMID=5483413</t>
  </si>
  <si>
    <t>http://gateway.proquest.com/openurl?url_ver=Z39.88-2004&amp;res_dat=xri:pqm&amp;rft_val_fmt=info:ofi/fmt:kev:mtx:journal&amp;genre=journal&amp;req_dat=xri:pqil:pq_clntid=131239&amp;svc_dat=xri:pqil:context=title&amp;rft_dat=xri:pqd:PMID=5488578</t>
  </si>
  <si>
    <t>Auckland</t>
  </si>
  <si>
    <t>http://gateway.proquest.com/openurl?url_ver=Z39.88-2004&amp;res_dat=xri:pqm&amp;rft_val_fmt=info:ofi/fmt:kev:mtx:journal&amp;genre=journal&amp;req_dat=xri:pqil:pq_clntid=131239&amp;svc_dat=xri:pqil:context=title&amp;rft_dat=xri:pqd:PMID=33311</t>
  </si>
  <si>
    <t>http://gateway.proquest.com/openurl?url_ver=Z39.88-2004&amp;res_dat=xri:pqm&amp;rft_val_fmt=info:ofi/fmt:kev:mtx:journal&amp;genre=journal&amp;req_dat=xri:pqil:pq_clntid=131239&amp;svc_dat=xri:pqil:context=title&amp;rft_dat=xri:pqd:PMID=5528237</t>
  </si>
  <si>
    <t>http://gateway.proquest.com/openurl?url_ver=Z39.88-2004&amp;res_dat=xri:pqm&amp;rft_val_fmt=info:ofi/fmt:kev:mtx:journal&amp;genre=journal&amp;req_dat=xri:pqil:pq_clntid=131239&amp;svc_dat=xri:pqil:context=title&amp;rft_dat=xri:pqd:PMID=5325197</t>
  </si>
  <si>
    <t>http://gateway.proquest.com/openurl?url_ver=Z39.88-2004&amp;res_dat=xri:pqm&amp;rft_val_fmt=info:ofi/fmt:kev:mtx:journal&amp;genre=journal&amp;req_dat=xri:pqil:pq_clntid=131239&amp;svc_dat=xri:pqil:context=title&amp;rft_dat=xri:pqd:PMID=49174</t>
  </si>
  <si>
    <t>Kitchener</t>
  </si>
  <si>
    <t>http://gateway.proquest.com/openurl?url_ver=Z39.88-2004&amp;res_dat=xri:pqm&amp;rft_val_fmt=info:ofi/fmt:kev:mtx:journal&amp;genre=journal&amp;req_dat=xri:pqil:pq_clntid=131239&amp;svc_dat=xri:pqil:context=title&amp;rft_dat=xri:pqd:PMID=2032057</t>
  </si>
  <si>
    <t>http://gateway.proquest.com/openurl?url_ver=Z39.88-2004&amp;res_dat=xri:pqm&amp;rft_val_fmt=info:ofi/fmt:kev:mtx:journal&amp;genre=journal&amp;req_dat=xri:pqil:pq_clntid=131239&amp;svc_dat=xri:pqil:context=title&amp;rft_dat=xri:pqd:PMID=26651</t>
  </si>
  <si>
    <t>Ottawa</t>
  </si>
  <si>
    <t>01-Jan-1996--31-Dec-1999</t>
  </si>
  <si>
    <t>http://gateway.proquest.com/openurl?url_ver=Z39.88-2004&amp;res_dat=xri:pqm&amp;rft_val_fmt=info:ofi/fmt:kev:mtx:journal&amp;genre=journal&amp;req_dat=xri:pqil:pq_clntid=131239&amp;svc_dat=xri:pqil:context=title&amp;rft_dat=xri:pqd:PMID=48737</t>
  </si>
  <si>
    <t>http://gateway.proquest.com/openurl?url_ver=Z39.88-2004&amp;res_dat=xri:pqm&amp;rft_val_fmt=info:ofi/fmt:kev:mtx:journal&amp;genre=journal&amp;req_dat=xri:pqil:pq_clntid=131239&amp;svc_dat=xri:pqil:context=title&amp;rft_dat=xri:pqd:PMID=33963</t>
  </si>
  <si>
    <t>Kanata</t>
  </si>
  <si>
    <t>http://gateway.proquest.com/openurl?url_ver=Z39.88-2004&amp;res_dat=xri:pqm&amp;rft_val_fmt=info:ofi/fmt:kev:mtx:journal&amp;genre=journal&amp;req_dat=xri:pqil:pq_clntid=131239&amp;svc_dat=xri:pqil:context=title&amp;rft_dat=xri:pqd:PMID=49259</t>
  </si>
  <si>
    <t>http://gateway.proquest.com/openurl?url_ver=Z39.88-2004&amp;res_dat=xri:pqm&amp;rft_val_fmt=info:ofi/fmt:kev:mtx:journal&amp;genre=journal&amp;req_dat=xri:pqil:pq_clntid=131239&amp;svc_dat=xri:pqil:context=title&amp;rft_dat=xri:pqd:PMID=266703</t>
  </si>
  <si>
    <t>http://gateway.proquest.com/openurl?url_ver=Z39.88-2004&amp;res_dat=xri:pqm&amp;rft_val_fmt=info:ofi/fmt:kev:mtx:journal&amp;genre=journal&amp;req_dat=xri:pqil:pq_clntid=131239&amp;svc_dat=xri:pqil:context=title&amp;rft_dat=xri:pqd:PMID=43670</t>
  </si>
  <si>
    <t>http://gateway.proquest.com/openurl?url_ver=Z39.88-2004&amp;res_dat=xri:pqm&amp;rft_val_fmt=info:ofi/fmt:kev:mtx:journal&amp;genre=journal&amp;req_dat=xri:pqil:pq_clntid=131239&amp;svc_dat=xri:pqil:context=title&amp;rft_dat=xri:pqd:PMID=37189</t>
  </si>
  <si>
    <t>http://gateway.proquest.com/openurl?url_ver=Z39.88-2004&amp;res_dat=xri:pqm&amp;rft_val_fmt=info:ofi/fmt:kev:mtx:journal&amp;genre=journal&amp;req_dat=xri:pqil:pq_clntid=131239&amp;svc_dat=xri:pqil:context=title&amp;rft_dat=xri:pqd:PMID=47265</t>
  </si>
  <si>
    <t>http://gateway.proquest.com/openurl?url_ver=Z39.88-2004&amp;res_dat=xri:pqm&amp;rft_val_fmt=info:ofi/fmt:kev:mtx:journal&amp;genre=journal&amp;req_dat=xri:pqil:pq_clntid=131239&amp;svc_dat=xri:pqil:context=title&amp;rft_dat=xri:pqd:PMID=33400</t>
  </si>
  <si>
    <t>http://gateway.proquest.com/openurl?url_ver=Z39.88-2004&amp;res_dat=xri:pqm&amp;rft_val_fmt=info:ofi/fmt:kev:mtx:journal&amp;genre=journal&amp;req_dat=xri:pqil:pq_clntid=131239&amp;svc_dat=xri:pqil:context=title&amp;rft_dat=xri:pqd:PMID=2037334</t>
  </si>
  <si>
    <t>Guelph</t>
  </si>
  <si>
    <t>http://gateway.proquest.com/openurl?url_ver=Z39.88-2004&amp;res_dat=xri:pqm&amp;rft_val_fmt=info:ofi/fmt:kev:mtx:journal&amp;genre=journal&amp;req_dat=xri:pqil:pq_clntid=131239&amp;svc_dat=xri:pqil:context=title&amp;rft_dat=xri:pqd:PMID=27710</t>
  </si>
  <si>
    <t>01-Jan-2012--31-Dec-2013; 01-Jan-2016--31-Dec-2016</t>
  </si>
  <si>
    <t>http://gateway.proquest.com/openurl?url_ver=Z39.88-2004&amp;res_dat=xri:pqm&amp;rft_val_fmt=info:ofi/fmt:kev:mtx:journal&amp;genre=journal&amp;req_dat=xri:pqil:pq_clntid=131239&amp;svc_dat=xri:pqil:context=title&amp;rft_dat=xri:pqd:PMID=29370</t>
  </si>
  <si>
    <t>Calgary</t>
  </si>
  <si>
    <t>http://gateway.proquest.com/openurl?url_ver=Z39.88-2004&amp;res_dat=xri:pqm&amp;rft_val_fmt=info:ofi/fmt:kev:mtx:journal&amp;genre=journal&amp;req_dat=xri:pqil:pq_clntid=131239&amp;svc_dat=xri:pqil:context=title&amp;rft_dat=xri:pqd:PMID=5515555</t>
  </si>
  <si>
    <t>01-Jan-1935--31-Dec-1937; 01-Jan-1940--31-Dec-1941; 01-Jan-1943--31-Dec-1945; 01-Jan-1950--31-Dec-1952; 01-Jan-1955--31-Dec-1955; 01-Jan-1958--31-Dec-1958; 01-Jan-1960--31-Dec-1960; 01-Jan-1964--31-Dec-1964</t>
  </si>
  <si>
    <t>01-Jan-1935--31-Dec-1937; 01-Jan-1941--31-Dec-1941; 01-Jan-1943--31-Dec-1944</t>
  </si>
  <si>
    <t>http://gateway.proquest.com/openurl?url_ver=Z39.88-2004&amp;res_dat=xri:pqm&amp;rft_val_fmt=info:ofi/fmt:kev:mtx:journal&amp;genre=journal&amp;req_dat=xri:pqil:pq_clntid=131239&amp;svc_dat=xri:pqil:context=title&amp;rft_dat=xri:pqd:PMID=37339</t>
  </si>
  <si>
    <t>http://gateway.proquest.com/openurl?url_ver=Z39.88-2004&amp;res_dat=xri:pqm&amp;rft_val_fmt=info:ofi/fmt:kev:mtx:journal&amp;genre=journal&amp;req_dat=xri:pqil:pq_clntid=131239&amp;svc_dat=xri:pqil:context=title&amp;rft_dat=xri:pqd:PMID=35547</t>
  </si>
  <si>
    <t>Montréal</t>
  </si>
  <si>
    <t>http://gateway.proquest.com/openurl?url_ver=Z39.88-2004&amp;res_dat=xri:pqm&amp;rft_val_fmt=info:ofi/fmt:kev:mtx:journal&amp;genre=journal&amp;req_dat=xri:pqil:pq_clntid=131239&amp;svc_dat=xri:pqil:context=title&amp;rft_dat=xri:pqd:PMID=44050</t>
  </si>
  <si>
    <t>01-Jan-2010--31-Aug-2016</t>
  </si>
  <si>
    <t>http://gateway.proquest.com/openurl?url_ver=Z39.88-2004&amp;res_dat=xri:pqm&amp;rft_val_fmt=info:ofi/fmt:kev:mtx:journal&amp;genre=journal&amp;req_dat=xri:pqil:pq_clntid=131239&amp;svc_dat=xri:pqil:context=title&amp;rft_dat=xri:pqd:PMID=46521</t>
  </si>
  <si>
    <t>http://gateway.proquest.com/openurl?url_ver=Z39.88-2004&amp;res_dat=xri:pqm&amp;rft_val_fmt=info:ofi/fmt:kev:mtx:journal&amp;genre=journal&amp;req_dat=xri:pqil:pq_clntid=131239&amp;svc_dat=xri:pqil:context=title&amp;rft_dat=xri:pqd:PMID=43662</t>
  </si>
  <si>
    <t>http://gateway.proquest.com/openurl?url_ver=Z39.88-2004&amp;res_dat=xri:pqm&amp;rft_val_fmt=info:ofi/fmt:kev:mtx:journal&amp;genre=journal&amp;req_dat=xri:pqil:pq_clntid=131239&amp;svc_dat=xri:pqil:context=title&amp;rft_dat=xri:pqd:PMID=32817</t>
  </si>
  <si>
    <t>http://gateway.proquest.com/openurl?url_ver=Z39.88-2004&amp;res_dat=xri:pqm&amp;rft_val_fmt=info:ofi/fmt:kev:mtx:journal&amp;genre=journal&amp;req_dat=xri:pqil:pq_clntid=131239&amp;svc_dat=xri:pqil:context=title&amp;rft_dat=xri:pqd:PMID=41339</t>
  </si>
  <si>
    <t>http://gateway.proquest.com/openurl?url_ver=Z39.88-2004&amp;res_dat=xri:pqm&amp;rft_val_fmt=info:ofi/fmt:kev:mtx:journal&amp;genre=journal&amp;req_dat=xri:pqil:pq_clntid=131239&amp;svc_dat=xri:pqil:context=title&amp;rft_dat=xri:pqd:PMID=41992</t>
  </si>
  <si>
    <t>http://gateway.proquest.com/openurl?url_ver=Z39.88-2004&amp;res_dat=xri:pqm&amp;rft_val_fmt=info:ofi/fmt:kev:mtx:journal&amp;genre=journal&amp;req_dat=xri:pqil:pq_clntid=131239&amp;svc_dat=xri:pqil:context=title&amp;rft_dat=xri:pqd:PMID=39159</t>
  </si>
  <si>
    <t>http://gateway.proquest.com/openurl?url_ver=Z39.88-2004&amp;res_dat=xri:pqm&amp;rft_val_fmt=info:ofi/fmt:kev:mtx:journal&amp;genre=journal&amp;req_dat=xri:pqil:pq_clntid=131239&amp;svc_dat=xri:pqil:context=title&amp;rft_dat=xri:pqd:PMID=2045973</t>
  </si>
  <si>
    <t>Clare</t>
  </si>
  <si>
    <t>http://gateway.proquest.com/openurl?url_ver=Z39.88-2004&amp;res_dat=xri:pqm&amp;rft_val_fmt=info:ofi/fmt:kev:mtx:journal&amp;genre=journal&amp;req_dat=xri:pqil:pq_clntid=131239&amp;svc_dat=xri:pqil:context=title&amp;rft_dat=xri:pqd:PMID=2031080</t>
  </si>
  <si>
    <t>http://gateway.proquest.com/openurl?url_ver=Z39.88-2004&amp;res_dat=xri:pqm&amp;rft_val_fmt=info:ofi/fmt:kev:mtx:journal&amp;genre=journal&amp;req_dat=xri:pqil:pq_clntid=131239&amp;svc_dat=xri:pqil:context=title&amp;rft_dat=xri:pqd:PMID=35120</t>
  </si>
  <si>
    <t>http://gateway.proquest.com/openurl?url_ver=Z39.88-2004&amp;res_dat=xri:pqm&amp;rft_val_fmt=info:ofi/fmt:kev:mtx:journal&amp;genre=journal&amp;req_dat=xri:pqil:pq_clntid=131239&amp;svc_dat=xri:pqil:context=title&amp;rft_dat=xri:pqd:PMID=37725</t>
  </si>
  <si>
    <t>http://gateway.proquest.com/openurl?url_ver=Z39.88-2004&amp;res_dat=xri:pqm&amp;rft_val_fmt=info:ofi/fmt:kev:mtx:journal&amp;genre=journal&amp;req_dat=xri:pqil:pq_clntid=131239&amp;svc_dat=xri:pqil:context=title&amp;rft_dat=xri:pqd:PMID=6359413</t>
  </si>
  <si>
    <t>http://gateway.proquest.com/openurl?url_ver=Z39.88-2004&amp;res_dat=xri:pqm&amp;rft_val_fmt=info:ofi/fmt:kev:mtx:journal&amp;genre=journal&amp;req_dat=xri:pqil:pq_clntid=131239&amp;svc_dat=xri:pqil:context=title&amp;rft_dat=xri:pqd:PMID=1096422</t>
  </si>
  <si>
    <t>http://gateway.proquest.com/openurl?url_ver=Z39.88-2004&amp;res_dat=xri:pqm&amp;rft_val_fmt=info:ofi/fmt:kev:mtx:journal&amp;genre=journal&amp;req_dat=xri:pqil:pq_clntid=131239&amp;svc_dat=xri:pqil:context=title&amp;rft_dat=xri:pqd:PMID=5325189</t>
  </si>
  <si>
    <t>Champaign</t>
  </si>
  <si>
    <t>http://gateway.proquest.com/openurl?url_ver=Z39.88-2004&amp;res_dat=xri:pqm&amp;rft_val_fmt=info:ofi/fmt:kev:mtx:journal&amp;genre=journal&amp;req_dat=xri:pqil:pq_clntid=131239&amp;svc_dat=xri:pqil:context=title&amp;rft_dat=xri:pqd:PMID=3748015</t>
  </si>
  <si>
    <t>Castalia Media</t>
  </si>
  <si>
    <t>http://gateway.proquest.com/openurl?url_ver=Z39.88-2004&amp;res_dat=xri:pqm&amp;rft_val_fmt=info:ofi/fmt:kev:mtx:journal&amp;genre=journal&amp;req_dat=xri:pqil:pq_clntid=131239&amp;svc_dat=xri:pqil:context=title&amp;rft_dat=xri:pqd:PMID=6364625</t>
  </si>
  <si>
    <t>http://gateway.proquest.com/openurl?url_ver=Z39.88-2004&amp;res_dat=xri:pqm&amp;rft_val_fmt=info:ofi/fmt:kev:mtx:journal&amp;genre=journal&amp;req_dat=xri:pqil:pq_clntid=131239&amp;svc_dat=xri:pqil:context=title&amp;rft_dat=xri:pqd:PMID=5488561</t>
  </si>
  <si>
    <t>http://gateway.proquest.com/openurl?url_ver=Z39.88-2004&amp;res_dat=xri:pqm&amp;rft_val_fmt=info:ofi/fmt:kev:mtx:journal&amp;genre=journal&amp;req_dat=xri:pqil:pq_clntid=131239&amp;svc_dat=xri:pqil:context=title&amp;rft_dat=xri:pqd:PMID=6362764</t>
  </si>
  <si>
    <t>http://gateway.proquest.com/openurl?url_ver=Z39.88-2004&amp;res_dat=xri:pqm&amp;rft_val_fmt=info:ofi/fmt:kev:mtx:journal&amp;genre=journal&amp;req_dat=xri:pqil:pq_clntid=131239&amp;svc_dat=xri:pqil:context=title&amp;rft_dat=xri:pqd:PMID=6362762</t>
  </si>
  <si>
    <t>http://gateway.proquest.com/openurl?url_ver=Z39.88-2004&amp;res_dat=xri:pqm&amp;rft_val_fmt=info:ofi/fmt:kev:mtx:journal&amp;genre=journal&amp;req_dat=xri:pqil:pq_clntid=131239&amp;svc_dat=xri:pqil:context=title&amp;rft_dat=xri:pqd:PMID=6362763</t>
  </si>
  <si>
    <t>Center for the History of Psychology</t>
  </si>
  <si>
    <t>http://gateway.proquest.com/openurl?url_ver=Z39.88-2004&amp;res_dat=xri:pqm&amp;rft_val_fmt=info:ofi/fmt:kev:mtx:journal&amp;genre=journal&amp;req_dat=xri:pqil:pq_clntid=131239&amp;svc_dat=xri:pqil:context=title&amp;rft_dat=xri:pqd:PMID=6362761</t>
  </si>
  <si>
    <t>http://gateway.proquest.com/openurl?url_ver=Z39.88-2004&amp;res_dat=xri:pqm&amp;rft_val_fmt=info:ofi/fmt:kev:mtx:journal&amp;genre=journal&amp;req_dat=xri:pqil:pq_clntid=131239&amp;svc_dat=xri:pqil:context=title&amp;rft_dat=xri:pqd:PMID=1456356</t>
  </si>
  <si>
    <t>http://gateway.proquest.com/openurl?url_ver=Z39.88-2004&amp;res_dat=xri:pqm&amp;rft_val_fmt=info:ofi/fmt:kev:mtx:journal&amp;genre=journal&amp;req_dat=xri:pqil:pq_clntid=131239&amp;svc_dat=xri:pqil:context=title&amp;rft_dat=xri:pqd:PMID=31422</t>
  </si>
  <si>
    <t>Praha</t>
  </si>
  <si>
    <t>http://gateway.proquest.com/openurl?url_ver=Z39.88-2004&amp;res_dat=xri:pqm&amp;rft_val_fmt=info:ofi/fmt:kev:mtx:journal&amp;genre=journal&amp;req_dat=xri:pqil:pq_clntid=131239&amp;svc_dat=xri:pqil:context=title&amp;rft_dat=xri:pqd:PMID=28548</t>
  </si>
  <si>
    <t>http://gateway.proquest.com/openurl?url_ver=Z39.88-2004&amp;res_dat=xri:pqm&amp;rft_val_fmt=info:ofi/fmt:kev:mtx:journal&amp;genre=journal&amp;req_dat=xri:pqil:pq_clntid=131239&amp;svc_dat=xri:pqil:context=title&amp;rft_dat=xri:pqd:PMID=5483616</t>
  </si>
  <si>
    <t>http://gateway.proquest.com/openurl?url_ver=Z39.88-2004&amp;res_dat=xri:pqm&amp;rft_val_fmt=info:ofi/fmt:kev:mtx:journal&amp;genre=journal&amp;req_dat=xri:pqil:pq_clntid=131239&amp;svc_dat=xri:pqil:context=title&amp;rft_dat=xri:pqd:PMID=6394511</t>
  </si>
  <si>
    <t>http://gateway.proquest.com/openurl?url_ver=Z39.88-2004&amp;res_dat=xri:pqm&amp;rft_val_fmt=info:ofi/fmt:kev:mtx:journal&amp;genre=journal&amp;req_dat=xri:pqil:pq_clntid=131239&amp;svc_dat=xri:pqil:context=title&amp;rft_dat=xri:pqd:PMID=6009026</t>
  </si>
  <si>
    <t>Chasing Happiness</t>
  </si>
  <si>
    <t>TVF International</t>
  </si>
  <si>
    <t>http://gateway.proquest.com/openurl?url_ver=Z39.88-2004&amp;res_dat=xri:pqm&amp;rft_val_fmt=info:ofi/fmt:kev:mtx:journal&amp;genre=journal&amp;req_dat=xri:pqil:pq_clntid=131239&amp;svc_dat=xri:pqil:context=title&amp;rft_dat=xri:pqd:PMID=5263185</t>
  </si>
  <si>
    <t>Chasing Sleep</t>
  </si>
  <si>
    <t>http://gateway.proquest.com/openurl?url_ver=Z39.88-2004&amp;res_dat=xri:pqm&amp;rft_val_fmt=info:ofi/fmt:kev:mtx:journal&amp;genre=journal&amp;req_dat=xri:pqil:pq_clntid=131239&amp;svc_dat=xri:pqil:context=title&amp;rft_dat=xri:pqd:PMID=5263184</t>
  </si>
  <si>
    <t>http://gateway.proquest.com/openurl?url_ver=Z39.88-2004&amp;res_dat=xri:pqm&amp;rft_val_fmt=info:ofi/fmt:kev:mtx:journal&amp;genre=journal&amp;req_dat=xri:pqil:pq_clntid=131239&amp;svc_dat=xri:pqil:context=title&amp;rft_dat=xri:pqd:PMID=5983419</t>
  </si>
  <si>
    <t>http://gateway.proquest.com/openurl?url_ver=Z39.88-2004&amp;res_dat=xri:pqm&amp;rft_val_fmt=info:ofi/fmt:kev:mtx:journal&amp;genre=journal&amp;req_dat=xri:pqil:pq_clntid=131239&amp;svc_dat=xri:pqil:context=title&amp;rft_dat=xri:pqd:PMID=6059444</t>
  </si>
  <si>
    <t>http://gateway.proquest.com/openurl?url_ver=Z39.88-2004&amp;res_dat=xri:pqm&amp;rft_val_fmt=info:ofi/fmt:kev:mtx:journal&amp;genre=journal&amp;req_dat=xri:pqil:pq_clntid=131239&amp;svc_dat=xri:pqil:context=title&amp;rft_dat=xri:pqd:PMID=35981</t>
  </si>
  <si>
    <t>http://gateway.proquest.com/openurl?url_ver=Z39.88-2004&amp;res_dat=xri:pqm&amp;rft_val_fmt=info:ofi/fmt:kev:mtx:journal&amp;genre=journal&amp;req_dat=xri:pqil:pq_clntid=131239&amp;svc_dat=xri:pqil:context=title&amp;rft_dat=xri:pqd:PMID=54772</t>
  </si>
  <si>
    <t>http://gateway.proquest.com/openurl?url_ver=Z39.88-2004&amp;res_dat=xri:pqm&amp;rft_val_fmt=info:ofi/fmt:kev:mtx:journal&amp;genre=journal&amp;req_dat=xri:pqil:pq_clntid=131239&amp;svc_dat=xri:pqil:context=title&amp;rft_dat=xri:pqd:PMID=44811</t>
  </si>
  <si>
    <t>http://gateway.proquest.com/openurl?url_ver=Z39.88-2004&amp;res_dat=xri:pqm&amp;rft_val_fmt=info:ofi/fmt:kev:mtx:journal&amp;genre=journal&amp;req_dat=xri:pqil:pq_clntid=131239&amp;svc_dat=xri:pqil:context=title&amp;rft_dat=xri:pqd:PMID=37911</t>
  </si>
  <si>
    <t>http://gateway.proquest.com/openurl?url_ver=Z39.88-2004&amp;res_dat=xri:pqm&amp;rft_val_fmt=info:ofi/fmt:kev:mtx:journal&amp;genre=journal&amp;req_dat=xri:pqil:pq_clntid=131239&amp;svc_dat=xri:pqil:context=title&amp;rft_dat=xri:pqd:PMID=47006</t>
  </si>
  <si>
    <t>http://gateway.proquest.com/openurl?url_ver=Z39.88-2004&amp;res_dat=xri:pqm&amp;rft_val_fmt=info:ofi/fmt:kev:mtx:journal&amp;genre=journal&amp;req_dat=xri:pqil:pq_clntid=131239&amp;svc_dat=xri:pqil:context=title&amp;rft_dat=xri:pqd:PMID=33491</t>
  </si>
  <si>
    <t>http://gateway.proquest.com/openurl?url_ver=Z39.88-2004&amp;res_dat=xri:pqm&amp;rft_val_fmt=info:ofi/fmt:kev:mtx:journal&amp;genre=journal&amp;req_dat=xri:pqil:pq_clntid=131239&amp;svc_dat=xri:pqil:context=title&amp;rft_dat=xri:pqd:PMID=54018</t>
  </si>
  <si>
    <t>http://gateway.proquest.com/openurl?url_ver=Z39.88-2004&amp;res_dat=xri:pqm&amp;rft_val_fmt=info:ofi/fmt:kev:mtx:journal&amp;genre=journal&amp;req_dat=xri:pqil:pq_clntid=131239&amp;svc_dat=xri:pqil:context=title&amp;rft_dat=xri:pqd:PMID=52925</t>
  </si>
  <si>
    <t>http://gateway.proquest.com/openurl?url_ver=Z39.88-2004&amp;res_dat=xri:pqm&amp;rft_val_fmt=info:ofi/fmt:kev:mtx:journal&amp;genre=journal&amp;req_dat=xri:pqil:pq_clntid=131239&amp;svc_dat=xri:pqil:context=title&amp;rft_dat=xri:pqd:PMID=2040016</t>
  </si>
  <si>
    <t>http://gateway.proquest.com/openurl?url_ver=Z39.88-2004&amp;res_dat=xri:pqm&amp;rft_val_fmt=info:ofi/fmt:kev:mtx:journal&amp;genre=journal&amp;req_dat=xri:pqil:pq_clntid=131239&amp;svc_dat=xri:pqil:context=title&amp;rft_dat=xri:pqd:PMID=46284</t>
  </si>
  <si>
    <t>http://gateway.proquest.com/openurl?url_ver=Z39.88-2004&amp;res_dat=xri:pqm&amp;rft_val_fmt=info:ofi/fmt:kev:mtx:journal&amp;genre=journal&amp;req_dat=xri:pqil:pq_clntid=131239&amp;svc_dat=xri:pqil:context=title&amp;rft_dat=xri:pqd:PMID=196251</t>
  </si>
  <si>
    <t>http://gateway.proquest.com/openurl?url_ver=Z39.88-2004&amp;res_dat=xri:pqm&amp;rft_val_fmt=info:ofi/fmt:kev:mtx:journal&amp;genre=journal&amp;req_dat=xri:pqil:pq_clntid=131239&amp;svc_dat=xri:pqil:context=title&amp;rft_dat=xri:pqd:PMID=53163</t>
  </si>
  <si>
    <t>http://gateway.proquest.com/openurl?url_ver=Z39.88-2004&amp;res_dat=xri:pqm&amp;rft_val_fmt=info:ofi/fmt:kev:mtx:journal&amp;genre=journal&amp;req_dat=xri:pqil:pq_clntid=131239&amp;svc_dat=xri:pqil:context=title&amp;rft_dat=xri:pqd:PMID=5483583</t>
  </si>
  <si>
    <t>Ann Arbor</t>
  </si>
  <si>
    <t>http://gateway.proquest.com/openurl?url_ver=Z39.88-2004&amp;res_dat=xri:pqm&amp;rft_val_fmt=info:ofi/fmt:kev:mtx:journal&amp;genre=journal&amp;req_dat=xri:pqil:pq_clntid=131239&amp;svc_dat=xri:pqil:context=title&amp;rft_dat=xri:pqd:PMID=35183</t>
  </si>
  <si>
    <t>http://gateway.proquest.com/openurl?url_ver=Z39.88-2004&amp;res_dat=xri:pqm&amp;rft_val_fmt=info:ofi/fmt:kev:mtx:journal&amp;genre=journal&amp;req_dat=xri:pqil:pq_clntid=131239&amp;svc_dat=xri:pqil:context=title&amp;rft_dat=xri:pqd:PMID=32208</t>
  </si>
  <si>
    <t>http://gateway.proquest.com/openurl?url_ver=Z39.88-2004&amp;res_dat=xri:pqm&amp;rft_val_fmt=info:ofi/fmt:kev:mtx:journal&amp;genre=journal&amp;req_dat=xri:pqil:pq_clntid=131239&amp;svc_dat=xri:pqil:context=title&amp;rft_dat=xri:pqd:PMID=31924</t>
  </si>
  <si>
    <t>http://gateway.proquest.com/openurl?url_ver=Z39.88-2004&amp;res_dat=xri:pqm&amp;rft_val_fmt=info:ofi/fmt:kev:mtx:journal&amp;genre=journal&amp;req_dat=xri:pqil:pq_clntid=131239&amp;svc_dat=xri:pqil:context=title&amp;rft_dat=xri:pqd:PMID=54019</t>
  </si>
  <si>
    <t>http://gateway.proquest.com/openurl?url_ver=Z39.88-2004&amp;res_dat=xri:pqm&amp;rft_val_fmt=info:ofi/fmt:kev:mtx:journal&amp;genre=journal&amp;req_dat=xri:pqil:pq_clntid=131239&amp;svc_dat=xri:pqil:context=title&amp;rft_dat=xri:pqd:PMID=40853</t>
  </si>
  <si>
    <t>http://gateway.proquest.com/openurl?url_ver=Z39.88-2004&amp;res_dat=xri:pqm&amp;rft_val_fmt=info:ofi/fmt:kev:mtx:journal&amp;genre=journal&amp;req_dat=xri:pqil:pq_clntid=131239&amp;svc_dat=xri:pqil:context=title&amp;rft_dat=xri:pqd:PMID=1006522</t>
  </si>
  <si>
    <t>http://gateway.proquest.com/openurl?url_ver=Z39.88-2004&amp;res_dat=xri:pqm&amp;rft_val_fmt=info:ofi/fmt:kev:mtx:journal&amp;genre=journal&amp;req_dat=xri:pqil:pq_clntid=131239&amp;svc_dat=xri:pqil:context=title&amp;rft_dat=xri:pqd:PMID=54777</t>
  </si>
  <si>
    <t>http://gateway.proquest.com/openurl?url_ver=Z39.88-2004&amp;res_dat=xri:pqm&amp;rft_val_fmt=info:ofi/fmt:kev:mtx:journal&amp;genre=journal&amp;req_dat=xri:pqil:pq_clntid=131239&amp;svc_dat=xri:pqil:context=title&amp;rft_dat=xri:pqd:PMID=46519</t>
  </si>
  <si>
    <t>http://gateway.proquest.com/openurl?url_ver=Z39.88-2004&amp;res_dat=xri:pqm&amp;rft_val_fmt=info:ofi/fmt:kev:mtx:journal&amp;genre=journal&amp;req_dat=xri:pqil:pq_clntid=131239&amp;svc_dat=xri:pqil:context=title&amp;rft_dat=xri:pqd:PMID=26011</t>
  </si>
  <si>
    <t>http://gateway.proquest.com/openurl?url_ver=Z39.88-2004&amp;res_dat=xri:pqm&amp;rft_val_fmt=info:ofi/fmt:kev:mtx:journal&amp;genre=journal&amp;req_dat=xri:pqil:pq_clntid=131239&amp;svc_dat=xri:pqil:context=title&amp;rft_dat=xri:pqd:PMID=2038856</t>
  </si>
  <si>
    <t>http://gateway.proquest.com/openurl?url_ver=Z39.88-2004&amp;res_dat=xri:pqm&amp;rft_val_fmt=info:ofi/fmt:kev:mtx:journal&amp;genre=journal&amp;req_dat=xri:pqil:pq_clntid=131239&amp;svc_dat=xri:pqil:context=title&amp;rft_dat=xri:pqd:PMID=5483540</t>
  </si>
  <si>
    <t>http://gateway.proquest.com/openurl?url_ver=Z39.88-2004&amp;res_dat=xri:pqm&amp;rft_val_fmt=info:ofi/fmt:kev:mtx:journal&amp;genre=journal&amp;req_dat=xri:pqil:pq_clntid=131239&amp;svc_dat=xri:pqil:context=title&amp;rft_dat=xri:pqd:PMID=5483619</t>
  </si>
  <si>
    <t>http://gateway.proquest.com/openurl?url_ver=Z39.88-2004&amp;res_dat=xri:pqm&amp;rft_val_fmt=info:ofi/fmt:kev:mtx:journal&amp;genre=journal&amp;req_dat=xri:pqil:pq_clntid=131239&amp;svc_dat=xri:pqil:context=title&amp;rft_dat=xri:pqd:PMID=5483586</t>
  </si>
  <si>
    <t>http://gateway.proquest.com/openurl?url_ver=Z39.88-2004&amp;res_dat=xri:pqm&amp;rft_val_fmt=info:ofi/fmt:kev:mtx:journal&amp;genre=journal&amp;req_dat=xri:pqil:pq_clntid=131239&amp;svc_dat=xri:pqil:context=title&amp;rft_dat=xri:pqd:PMID=5483562</t>
  </si>
  <si>
    <t>http://gateway.proquest.com/openurl?url_ver=Z39.88-2004&amp;res_dat=xri:pqm&amp;rft_val_fmt=info:ofi/fmt:kev:mtx:journal&amp;genre=journal&amp;req_dat=xri:pqil:pq_clntid=131239&amp;svc_dat=xri:pqil:context=title&amp;rft_dat=xri:pqd:PMID=186225</t>
  </si>
  <si>
    <t>http://gateway.proquest.com/openurl?url_ver=Z39.88-2004&amp;res_dat=xri:pqm&amp;rft_val_fmt=info:ofi/fmt:kev:mtx:journal&amp;genre=journal&amp;req_dat=xri:pqil:pq_clntid=131239&amp;svc_dat=xri:pqil:context=title&amp;rft_dat=xri:pqd:PMID=48043</t>
  </si>
  <si>
    <t>Chip Taylor Communications, LLC</t>
  </si>
  <si>
    <t>Derry</t>
  </si>
  <si>
    <t>http://gateway.proquest.com/openurl?url_ver=Z39.88-2004&amp;res_dat=xri:pqm&amp;rft_val_fmt=info:ofi/fmt:kev:mtx:journal&amp;genre=journal&amp;req_dat=xri:pqil:pq_clntid=131239&amp;svc_dat=xri:pqil:context=title&amp;rft_dat=xri:pqd:PMID=6362759</t>
  </si>
  <si>
    <t>http://gateway.proquest.com/openurl?url_ver=Z39.88-2004&amp;res_dat=xri:pqm&amp;rft_val_fmt=info:ofi/fmt:kev:mtx:journal&amp;genre=journal&amp;req_dat=xri:pqil:pq_clntid=131239&amp;svc_dat=xri:pqil:context=title&amp;rft_dat=xri:pqd:PMID=4450814</t>
  </si>
  <si>
    <t>http://gateway.proquest.com/openurl?url_ver=Z39.88-2004&amp;res_dat=xri:pqm&amp;rft_val_fmt=info:ofi/fmt:kev:mtx:journal&amp;genre=journal&amp;req_dat=xri:pqil:pq_clntid=131239&amp;svc_dat=xri:pqil:context=title&amp;rft_dat=xri:pqd:PMID=28185</t>
  </si>
  <si>
    <t>http://gateway.proquest.com/openurl?url_ver=Z39.88-2004&amp;res_dat=xri:pqm&amp;rft_val_fmt=info:ofi/fmt:kev:mtx:journal&amp;genre=journal&amp;req_dat=xri:pqil:pq_clntid=131239&amp;svc_dat=xri:pqil:context=title&amp;rft_dat=xri:pqd:PMID=6394496</t>
  </si>
  <si>
    <t>http://gateway.proquest.com/openurl?url_ver=Z39.88-2004&amp;res_dat=xri:pqm&amp;rft_val_fmt=info:ofi/fmt:kev:mtx:journal&amp;genre=journal&amp;req_dat=xri:pqil:pq_clntid=131239&amp;svc_dat=xri:pqil:context=title&amp;rft_dat=xri:pqd:PMID=6364596</t>
  </si>
  <si>
    <t>http://gateway.proquest.com/openurl?url_ver=Z39.88-2004&amp;res_dat=xri:pqm&amp;rft_val_fmt=info:ofi/fmt:kev:mtx:journal&amp;genre=journal&amp;req_dat=xri:pqil:pq_clntid=131239&amp;svc_dat=xri:pqil:context=title&amp;rft_dat=xri:pqd:PMID=36255</t>
  </si>
  <si>
    <t>Client 002 : Female, Heterosexual Client Between 25-30 Years of Age Suffers From Sexual Dysfunction, Lack of Orgasm During Intercourse</t>
  </si>
  <si>
    <t>http://gateway.proquest.com/openurl?url_ver=Z39.88-2004&amp;res_dat=xri:pqm&amp;rft_val_fmt=info:ofi/fmt:kev:mtx:journal&amp;genre=journal&amp;req_dat=xri:pqil:pq_clntid=131239&amp;svc_dat=xri:pqil:context=title&amp;rft_dat=xri:pqd:PMID=6128787</t>
  </si>
  <si>
    <t>Client 003 : Heterosexual Male Between 30-35 Years of Age Suffers From Sexual Dysfunction</t>
  </si>
  <si>
    <t>http://gateway.proquest.com/openurl?url_ver=Z39.88-2004&amp;res_dat=xri:pqm&amp;rft_val_fmt=info:ofi/fmt:kev:mtx:journal&amp;genre=journal&amp;req_dat=xri:pqil:pq_clntid=131239&amp;svc_dat=xri:pqil:context=title&amp;rft_dat=xri:pqd:PMID=6128786</t>
  </si>
  <si>
    <t>Client 004 : Heterosexual Male Between 25-30 Years of Age Suffers From Dysphoria</t>
  </si>
  <si>
    <t>http://gateway.proquest.com/openurl?url_ver=Z39.88-2004&amp;res_dat=xri:pqm&amp;rft_val_fmt=info:ofi/fmt:kev:mtx:journal&amp;genre=journal&amp;req_dat=xri:pqil:pq_clntid=131239&amp;svc_dat=xri:pqil:context=title&amp;rft_dat=xri:pqd:PMID=6128785</t>
  </si>
  <si>
    <t>Client 006 : Heterosexual Female Between 20-25 Years of Age Has Thoughts of Suicide and Would Like to Not Be as Self-Centered</t>
  </si>
  <si>
    <t>http://gateway.proquest.com/openurl?url_ver=Z39.88-2004&amp;res_dat=xri:pqm&amp;rft_val_fmt=info:ofi/fmt:kev:mtx:journal&amp;genre=journal&amp;req_dat=xri:pqil:pq_clntid=131239&amp;svc_dat=xri:pqil:context=title&amp;rft_dat=xri:pqd:PMID=6128784</t>
  </si>
  <si>
    <t>Client 011 : Female in Her Early Twenties Suffers From a Lack of Self-Confidence and Problems in Interpersonal Relationships, Particularly With Men</t>
  </si>
  <si>
    <t>http://gateway.proquest.com/openurl?url_ver=Z39.88-2004&amp;res_dat=xri:pqm&amp;rft_val_fmt=info:ofi/fmt:kev:mtx:journal&amp;genre=journal&amp;req_dat=xri:pqil:pq_clntid=131239&amp;svc_dat=xri:pqil:context=title&amp;rft_dat=xri:pqd:PMID=6128782</t>
  </si>
  <si>
    <t>Client 014 : Female in Her Late Teens Presented With Symptoms of InDecision, other-Directedness, and Dissatisfying Interpersonal Relationships</t>
  </si>
  <si>
    <t>http://gateway.proquest.com/openurl?url_ver=Z39.88-2004&amp;res_dat=xri:pqm&amp;rft_val_fmt=info:ofi/fmt:kev:mtx:journal&amp;genre=journal&amp;req_dat=xri:pqil:pq_clntid=131239&amp;svc_dat=xri:pqil:context=title&amp;rft_dat=xri:pqd:PMID=6128781</t>
  </si>
  <si>
    <t>Client 016 : Female in Her Early Twenties Presents With a Sense of Lack of Control in Her Life; She Wants to be Her Own Person</t>
  </si>
  <si>
    <t>http://gateway.proquest.com/openurl?url_ver=Z39.88-2004&amp;res_dat=xri:pqm&amp;rft_val_fmt=info:ofi/fmt:kev:mtx:journal&amp;genre=journal&amp;req_dat=xri:pqil:pq_clntid=131239&amp;svc_dat=xri:pqil:context=title&amp;rft_dat=xri:pqd:PMID=6128780</t>
  </si>
  <si>
    <t>Client 017 : Female in Her Mid-Twenties Presents With Depression and Lack of Clear Sense of Self</t>
  </si>
  <si>
    <t>http://gateway.proquest.com/openurl?url_ver=Z39.88-2004&amp;res_dat=xri:pqm&amp;rft_val_fmt=info:ofi/fmt:kev:mtx:journal&amp;genre=journal&amp;req_dat=xri:pqil:pq_clntid=131239&amp;svc_dat=xri:pqil:context=title&amp;rft_dat=xri:pqd:PMID=6128779</t>
  </si>
  <si>
    <t>Client 018 : Female in Her Early Twenties Presents With Poor Self-Esteem</t>
  </si>
  <si>
    <t>http://gateway.proquest.com/openurl?url_ver=Z39.88-2004&amp;res_dat=xri:pqm&amp;rft_val_fmt=info:ofi/fmt:kev:mtx:journal&amp;genre=journal&amp;req_dat=xri:pqil:pq_clntid=131239&amp;svc_dat=xri:pqil:context=title&amp;rft_dat=xri:pqd:PMID=6128778</t>
  </si>
  <si>
    <t>Client 019 : Female in Her Early Twenties Presents With Anxiety and Lack of Confidence</t>
  </si>
  <si>
    <t>http://gateway.proquest.com/openurl?url_ver=Z39.88-2004&amp;res_dat=xri:pqm&amp;rft_val_fmt=info:ofi/fmt:kev:mtx:journal&amp;genre=journal&amp;req_dat=xri:pqil:pq_clntid=131239&amp;svc_dat=xri:pqil:context=title&amp;rft_dat=xri:pqd:PMID=6128777</t>
  </si>
  <si>
    <t>Client 027 : Client Presents in Therapy With Lack of Self-Confidence and a Poor Sexual Relationship With Her Husband-To-Be</t>
  </si>
  <si>
    <t>http://gateway.proquest.com/openurl?url_ver=Z39.88-2004&amp;res_dat=xri:pqm&amp;rft_val_fmt=info:ofi/fmt:kev:mtx:journal&amp;genre=journal&amp;req_dat=xri:pqil:pq_clntid=131239&amp;svc_dat=xri:pqil:context=title&amp;rft_dat=xri:pqd:PMID=6128776</t>
  </si>
  <si>
    <t>Client 031 : Client Presents in Therapy With Low Self-Esteem</t>
  </si>
  <si>
    <t>http://gateway.proquest.com/openurl?url_ver=Z39.88-2004&amp;res_dat=xri:pqm&amp;rft_val_fmt=info:ofi/fmt:kev:mtx:journal&amp;genre=journal&amp;req_dat=xri:pqil:pq_clntid=131239&amp;svc_dat=xri:pqil:context=title&amp;rft_dat=xri:pqd:PMID=6128775</t>
  </si>
  <si>
    <t>Client 032 : Client Presents in Therapy With Depression and Low Self-Esteem</t>
  </si>
  <si>
    <t>http://gateway.proquest.com/openurl?url_ver=Z39.88-2004&amp;res_dat=xri:pqm&amp;rft_val_fmt=info:ofi/fmt:kev:mtx:journal&amp;genre=journal&amp;req_dat=xri:pqil:pq_clntid=131239&amp;svc_dat=xri:pqil:context=title&amp;rft_dat=xri:pqd:PMID=6128774</t>
  </si>
  <si>
    <t>Client 034 : Female Client in Her Early Twenties Presents in Therapy With Lack of Self-Trust and Feelings of Detachment From Self</t>
  </si>
  <si>
    <t>http://gateway.proquest.com/openurl?url_ver=Z39.88-2004&amp;res_dat=xri:pqm&amp;rft_val_fmt=info:ofi/fmt:kev:mtx:journal&amp;genre=journal&amp;req_dat=xri:pqil:pq_clntid=131239&amp;svc_dat=xri:pqil:context=title&amp;rft_dat=xri:pqd:PMID=6128773</t>
  </si>
  <si>
    <t>Client 038 : Client Presents in Therapy With Feelings of Despair and Emptiness. She Experiences Poor Interpersonal Relationships</t>
  </si>
  <si>
    <t>http://gateway.proquest.com/openurl?url_ver=Z39.88-2004&amp;res_dat=xri:pqm&amp;rft_val_fmt=info:ofi/fmt:kev:mtx:journal&amp;genre=journal&amp;req_dat=xri:pqil:pq_clntid=131239&amp;svc_dat=xri:pqil:context=title&amp;rft_dat=xri:pqd:PMID=6128772</t>
  </si>
  <si>
    <t>Client 105 : Heterosexual Male Between 15-20 Years of Age Suffers From Lack of Enjoyment in Life</t>
  </si>
  <si>
    <t>http://gateway.proquest.com/openurl?url_ver=Z39.88-2004&amp;res_dat=xri:pqm&amp;rft_val_fmt=info:ofi/fmt:kev:mtx:journal&amp;genre=journal&amp;req_dat=xri:pqil:pq_clntid=131239&amp;svc_dat=xri:pqil:context=title&amp;rft_dat=xri:pqd:PMID=6128771</t>
  </si>
  <si>
    <t>Client 107 : Heterosexual Male Between 25-30 Years of Age Suffers From Feelings of Guilt Involving Sexual Relationships and Issues With Fidelity</t>
  </si>
  <si>
    <t>http://gateway.proquest.com/openurl?url_ver=Z39.88-2004&amp;res_dat=xri:pqm&amp;rft_val_fmt=info:ofi/fmt:kev:mtx:journal&amp;genre=journal&amp;req_dat=xri:pqil:pq_clntid=131239&amp;svc_dat=xri:pqil:context=title&amp;rft_dat=xri:pqd:PMID=6128770</t>
  </si>
  <si>
    <t>Client 110 : Male in His Late Twenties Suffers From Feeling Disconnected From Himself</t>
  </si>
  <si>
    <t>http://gateway.proquest.com/openurl?url_ver=Z39.88-2004&amp;res_dat=xri:pqm&amp;rft_val_fmt=info:ofi/fmt:kev:mtx:journal&amp;genre=journal&amp;req_dat=xri:pqil:pq_clntid=131239&amp;svc_dat=xri:pqil:context=title&amp;rft_dat=xri:pqd:PMID=6128769</t>
  </si>
  <si>
    <t>Client 112 : Male in His Late Twenties Presented in Therapy With Issues of Being Emotionally Constricted and Distant From Others</t>
  </si>
  <si>
    <t>http://gateway.proquest.com/openurl?url_ver=Z39.88-2004&amp;res_dat=xri:pqm&amp;rft_val_fmt=info:ofi/fmt:kev:mtx:journal&amp;genre=journal&amp;req_dat=xri:pqil:pq_clntid=131239&amp;svc_dat=xri:pqil:context=title&amp;rft_dat=xri:pqd:PMID=6128768</t>
  </si>
  <si>
    <t>Client 115 : Heterosexual Male Between 21-30 Years of Age. Client's Substance Abuse is Causing Problems With His Sleep Pattern and Relationships</t>
  </si>
  <si>
    <t>http://gateway.proquest.com/openurl?url_ver=Z39.88-2004&amp;res_dat=xri:pqm&amp;rft_val_fmt=info:ofi/fmt:kev:mtx:journal&amp;genre=journal&amp;req_dat=xri:pqil:pq_clntid=131239&amp;svc_dat=xri:pqil:context=title&amp;rft_dat=xri:pqd:PMID=6131824</t>
  </si>
  <si>
    <t>Client 123 : Male in His Early Twenties Presented With Depression, Despair, and Lack of a Sense of Purpose</t>
  </si>
  <si>
    <t>http://gateway.proquest.com/openurl?url_ver=Z39.88-2004&amp;res_dat=xri:pqm&amp;rft_val_fmt=info:ofi/fmt:kev:mtx:journal&amp;genre=journal&amp;req_dat=xri:pqil:pq_clntid=131239&amp;svc_dat=xri:pqil:context=title&amp;rft_dat=xri:pqd:PMID=6131819</t>
  </si>
  <si>
    <t>Client 124 : Client Experiences Discomfort in Interpersonal Relationships. He Presents a False Front to Others on Initial Meeting</t>
  </si>
  <si>
    <t>http://gateway.proquest.com/openurl?url_ver=Z39.88-2004&amp;res_dat=xri:pqm&amp;rft_val_fmt=info:ofi/fmt:kev:mtx:journal&amp;genre=journal&amp;req_dat=xri:pqil:pq_clntid=131239&amp;svc_dat=xri:pqil:context=title&amp;rft_dat=xri:pqd:PMID=6131814</t>
  </si>
  <si>
    <t>Client 130 : Client Has Concerns Over His Sexual Orientation. He Experiences Anxiety When Around Women</t>
  </si>
  <si>
    <t>http://gateway.proquest.com/openurl?url_ver=Z39.88-2004&amp;res_dat=xri:pqm&amp;rft_val_fmt=info:ofi/fmt:kev:mtx:journal&amp;genre=journal&amp;req_dat=xri:pqil:pq_clntid=131239&amp;svc_dat=xri:pqil:context=title&amp;rft_dat=xri:pqd:PMID=6131810</t>
  </si>
  <si>
    <t>Client 137 : Heterosexual Male Client, Single and in His Late Twenties Presents With Resentment Towards His Parents and A Deep Need to Instill Some Goals Into His Life</t>
  </si>
  <si>
    <t>http://gateway.proquest.com/openurl?url_ver=Z39.88-2004&amp;res_dat=xri:pqm&amp;rft_val_fmt=info:ofi/fmt:kev:mtx:journal&amp;genre=journal&amp;req_dat=xri:pqil:pq_clntid=131239&amp;svc_dat=xri:pqil:context=title&amp;rft_dat=xri:pqd:PMID=6131806</t>
  </si>
  <si>
    <t>Client 201 : White Female in Her Mid-Forties Suffers From an Avoidant Personality, Recurring Major Depression, and Social Phobias</t>
  </si>
  <si>
    <t>http://gateway.proquest.com/openurl?url_ver=Z39.88-2004&amp;res_dat=xri:pqm&amp;rft_val_fmt=info:ofi/fmt:kev:mtx:journal&amp;genre=journal&amp;req_dat=xri:pqil:pq_clntid=131239&amp;svc_dat=xri:pqil:context=title&amp;rft_dat=xri:pqd:PMID=6131802</t>
  </si>
  <si>
    <t>Client 202 : White Male in His Fifties Suffers From Obsessive Compulsive Tendencies and a Major Depressive Episode</t>
  </si>
  <si>
    <t>http://gateway.proquest.com/openurl?url_ver=Z39.88-2004&amp;res_dat=xri:pqm&amp;rft_val_fmt=info:ofi/fmt:kev:mtx:journal&amp;genre=journal&amp;req_dat=xri:pqil:pq_clntid=131239&amp;svc_dat=xri:pqil:context=title&amp;rft_dat=xri:pqd:PMID=6131797</t>
  </si>
  <si>
    <t>Client 203 : White Female in Her Mid-Forties Suffers From Depressive Disorder</t>
  </si>
  <si>
    <t>http://gateway.proquest.com/openurl?url_ver=Z39.88-2004&amp;res_dat=xri:pqm&amp;rft_val_fmt=info:ofi/fmt:kev:mtx:journal&amp;genre=journal&amp;req_dat=xri:pqil:pq_clntid=131239&amp;svc_dat=xri:pqil:context=title&amp;rft_dat=xri:pqd:PMID=6131792</t>
  </si>
  <si>
    <t>Client 204 : White Female in Her Mid-Twenties Suffers From Avoidant Personality and Social Phobias</t>
  </si>
  <si>
    <t>http://gateway.proquest.com/openurl?url_ver=Z39.88-2004&amp;res_dat=xri:pqm&amp;rft_val_fmt=info:ofi/fmt:kev:mtx:journal&amp;genre=journal&amp;req_dat=xri:pqil:pq_clntid=131239&amp;svc_dat=xri:pqil:context=title&amp;rft_dat=xri:pqd:PMID=6131787</t>
  </si>
  <si>
    <t>Client 205 : White Female in Her Late Twenties Suffers From Generalized Anxiety Disorder and Histrionic Personality</t>
  </si>
  <si>
    <t>http://gateway.proquest.com/openurl?url_ver=Z39.88-2004&amp;res_dat=xri:pqm&amp;rft_val_fmt=info:ofi/fmt:kev:mtx:journal&amp;genre=journal&amp;req_dat=xri:pqil:pq_clntid=131239&amp;svc_dat=xri:pqil:context=title&amp;rft_dat=xri:pqd:PMID=6131782</t>
  </si>
  <si>
    <t>Client 206 : White Female in Her Early Fifties Suffers From Dysthymia</t>
  </si>
  <si>
    <t>http://gateway.proquest.com/openurl?url_ver=Z39.88-2004&amp;res_dat=xri:pqm&amp;rft_val_fmt=info:ofi/fmt:kev:mtx:journal&amp;genre=journal&amp;req_dat=xri:pqil:pq_clntid=131239&amp;svc_dat=xri:pqil:context=title&amp;rft_dat=xri:pqd:PMID=6131777</t>
  </si>
  <si>
    <t>Client 207 : White Female in Her Late Thirties Suffers From Dysthymia and Panic Disorder With Agoraphobia</t>
  </si>
  <si>
    <t>http://gateway.proquest.com/openurl?url_ver=Z39.88-2004&amp;res_dat=xri:pqm&amp;rft_val_fmt=info:ofi/fmt:kev:mtx:journal&amp;genre=journal&amp;req_dat=xri:pqil:pq_clntid=131239&amp;svc_dat=xri:pqil:context=title&amp;rft_dat=xri:pqd:PMID=6131773</t>
  </si>
  <si>
    <t>Client 208 : White Female in Her Mid-Fifties Suffer From Major Depression</t>
  </si>
  <si>
    <t>http://gateway.proquest.com/openurl?url_ver=Z39.88-2004&amp;res_dat=xri:pqm&amp;rft_val_fmt=info:ofi/fmt:kev:mtx:journal&amp;genre=journal&amp;req_dat=xri:pqil:pq_clntid=131239&amp;svc_dat=xri:pqil:context=title&amp;rft_dat=xri:pqd:PMID=6131767</t>
  </si>
  <si>
    <t>Client 209 : White Female in Her Mid-Sixties Suffers From Dysthymia and Obsessive Compulsive Disorder</t>
  </si>
  <si>
    <t>http://gateway.proquest.com/openurl?url_ver=Z39.88-2004&amp;res_dat=xri:pqm&amp;rft_val_fmt=info:ofi/fmt:kev:mtx:journal&amp;genre=journal&amp;req_dat=xri:pqil:pq_clntid=131239&amp;svc_dat=xri:pqil:context=title&amp;rft_dat=xri:pqd:PMID=6131763</t>
  </si>
  <si>
    <t>Client 210 : White Male in His Early Fifties Suffers From Dysthymia and Avoidant Personality Disorder</t>
  </si>
  <si>
    <t>http://gateway.proquest.com/openurl?url_ver=Z39.88-2004&amp;res_dat=xri:pqm&amp;rft_val_fmt=info:ofi/fmt:kev:mtx:journal&amp;genre=journal&amp;req_dat=xri:pqil:pq_clntid=131239&amp;svc_dat=xri:pqil:context=title&amp;rft_dat=xri:pqd:PMID=6131759</t>
  </si>
  <si>
    <t>Client 211 : White Male in His Early Forties Suffers From Dysthymia and Avoidant Personality Disorder</t>
  </si>
  <si>
    <t>http://gateway.proquest.com/openurl?url_ver=Z39.88-2004&amp;res_dat=xri:pqm&amp;rft_val_fmt=info:ofi/fmt:kev:mtx:journal&amp;genre=journal&amp;req_dat=xri:pqil:pq_clntid=131239&amp;svc_dat=xri:pqil:context=title&amp;rft_dat=xri:pqd:PMID=6131754</t>
  </si>
  <si>
    <t>Client 212 : White Male in His Late Sixties Suffers From a Past Major Depressive Episode</t>
  </si>
  <si>
    <t>http://gateway.proquest.com/openurl?url_ver=Z39.88-2004&amp;res_dat=xri:pqm&amp;rft_val_fmt=info:ofi/fmt:kev:mtx:journal&amp;genre=journal&amp;req_dat=xri:pqil:pq_clntid=131239&amp;svc_dat=xri:pqil:context=title&amp;rft_dat=xri:pqd:PMID=6131749</t>
  </si>
  <si>
    <t>Client 213 : White Male in His Mid-Fifties Suffers From Depressive Disorder</t>
  </si>
  <si>
    <t>http://gateway.proquest.com/openurl?url_ver=Z39.88-2004&amp;res_dat=xri:pqm&amp;rft_val_fmt=info:ofi/fmt:kev:mtx:journal&amp;genre=journal&amp;req_dat=xri:pqil:pq_clntid=131239&amp;svc_dat=xri:pqil:context=title&amp;rft_dat=xri:pqd:PMID=6009025</t>
  </si>
  <si>
    <t>Client 214 : White Female in Mid-Thirties Suffers From Dysthymia and Anxiety Disorder</t>
  </si>
  <si>
    <t>http://gateway.proquest.com/openurl?url_ver=Z39.88-2004&amp;res_dat=xri:pqm&amp;rft_val_fmt=info:ofi/fmt:kev:mtx:journal&amp;genre=journal&amp;req_dat=xri:pqil:pq_clntid=131239&amp;svc_dat=xri:pqil:context=title&amp;rft_dat=xri:pqd:PMID=6131745</t>
  </si>
  <si>
    <t>Client 215 : A Female in Her Mid-Thirties Suffers From Past Major Depressive Episode</t>
  </si>
  <si>
    <t>http://gateway.proquest.com/openurl?url_ver=Z39.88-2004&amp;res_dat=xri:pqm&amp;rft_val_fmt=info:ofi/fmt:kev:mtx:journal&amp;genre=journal&amp;req_dat=xri:pqil:pq_clntid=131239&amp;svc_dat=xri:pqil:context=title&amp;rft_dat=xri:pqd:PMID=6131741</t>
  </si>
  <si>
    <t>Client 216 : Hispanic Female in Her Late Forties Suffers From Avoidant Personality Disorder and Past Major Depressive Episode</t>
  </si>
  <si>
    <t>http://gateway.proquest.com/openurl?url_ver=Z39.88-2004&amp;res_dat=xri:pqm&amp;rft_val_fmt=info:ofi/fmt:kev:mtx:journal&amp;genre=journal&amp;req_dat=xri:pqil:pq_clntid=131239&amp;svc_dat=xri:pqil:context=title&amp;rft_dat=xri:pqd:PMID=6131737</t>
  </si>
  <si>
    <t>Client 217 : White Male in His Early Fifties Suffers From Dysthymia and Recurrent Major Depression</t>
  </si>
  <si>
    <t>http://gateway.proquest.com/openurl?url_ver=Z39.88-2004&amp;res_dat=xri:pqm&amp;rft_val_fmt=info:ofi/fmt:kev:mtx:journal&amp;genre=journal&amp;req_dat=xri:pqil:pq_clntid=131239&amp;svc_dat=xri:pqil:context=title&amp;rft_dat=xri:pqd:PMID=6131735</t>
  </si>
  <si>
    <t>Client 218 : White Female in Her Late Twenties Suffers From Obsessive Compulsive Disorder</t>
  </si>
  <si>
    <t>http://gateway.proquest.com/openurl?url_ver=Z39.88-2004&amp;res_dat=xri:pqm&amp;rft_val_fmt=info:ofi/fmt:kev:mtx:journal&amp;genre=journal&amp;req_dat=xri:pqil:pq_clntid=131239&amp;svc_dat=xri:pqil:context=title&amp;rft_dat=xri:pqd:PMID=6009024</t>
  </si>
  <si>
    <t>Client 219 : Asian Female in Her Mid-Twenties Suffers From Adjustment Disorder With Depressed Mood</t>
  </si>
  <si>
    <t>http://gateway.proquest.com/openurl?url_ver=Z39.88-2004&amp;res_dat=xri:pqm&amp;rft_val_fmt=info:ofi/fmt:kev:mtx:journal&amp;genre=journal&amp;req_dat=xri:pqil:pq_clntid=131239&amp;svc_dat=xri:pqil:context=title&amp;rft_dat=xri:pqd:PMID=6131734</t>
  </si>
  <si>
    <t>Client 220 : White Male in His Mid-Thirties; No Diagnosis</t>
  </si>
  <si>
    <t>http://gateway.proquest.com/openurl?url_ver=Z39.88-2004&amp;res_dat=xri:pqm&amp;rft_val_fmt=info:ofi/fmt:kev:mtx:journal&amp;genre=journal&amp;req_dat=xri:pqil:pq_clntid=131239&amp;svc_dat=xri:pqil:context=title&amp;rft_dat=xri:pqd:PMID=6131732</t>
  </si>
  <si>
    <t>Client 221 : White Male in His Mid-Thirties Suffers From Recurrent Major Depression and Simple Phobias</t>
  </si>
  <si>
    <t>http://gateway.proquest.com/openurl?url_ver=Z39.88-2004&amp;res_dat=xri:pqm&amp;rft_val_fmt=info:ofi/fmt:kev:mtx:journal&amp;genre=journal&amp;req_dat=xri:pqil:pq_clntid=131239&amp;svc_dat=xri:pqil:context=title&amp;rft_dat=xri:pqd:PMID=6131728</t>
  </si>
  <si>
    <t>Client 222 : Asian Male in His Early Forties Suffers From Adjustment Disorder</t>
  </si>
  <si>
    <t>http://gateway.proquest.com/openurl?url_ver=Z39.88-2004&amp;res_dat=xri:pqm&amp;rft_val_fmt=info:ofi/fmt:kev:mtx:journal&amp;genre=journal&amp;req_dat=xri:pqil:pq_clntid=131239&amp;svc_dat=xri:pqil:context=title&amp;rft_dat=xri:pqd:PMID=6131722</t>
  </si>
  <si>
    <t>Client 223 : Asian Female Suffers From Generalized Anxiety Disorder and Obsessive Compulsive Disorder</t>
  </si>
  <si>
    <t>http://gateway.proquest.com/openurl?url_ver=Z39.88-2004&amp;res_dat=xri:pqm&amp;rft_val_fmt=info:ofi/fmt:kev:mtx:journal&amp;genre=journal&amp;req_dat=xri:pqil:pq_clntid=131239&amp;svc_dat=xri:pqil:context=title&amp;rft_dat=xri:pqd:PMID=6131716</t>
  </si>
  <si>
    <t>Client 224 : Heterosexual Male Presents in Therapy Suffering From Anger, Exhaustion and a General Frustration in Life</t>
  </si>
  <si>
    <t>http://gateway.proquest.com/openurl?url_ver=Z39.88-2004&amp;res_dat=xri:pqm&amp;rft_val_fmt=info:ofi/fmt:kev:mtx:journal&amp;genre=journal&amp;req_dat=xri:pqil:pq_clntid=131239&amp;svc_dat=xri:pqil:context=title&amp;rft_dat=xri:pqd:PMID=6131712</t>
  </si>
  <si>
    <t>Client 225 : Heterosexual Female Client Presents in Therapy With Feelings of Anxiety and Depressed Emotions</t>
  </si>
  <si>
    <t>http://gateway.proquest.com/openurl?url_ver=Z39.88-2004&amp;res_dat=xri:pqm&amp;rft_val_fmt=info:ofi/fmt:kev:mtx:journal&amp;genre=journal&amp;req_dat=xri:pqil:pq_clntid=131239&amp;svc_dat=xri:pqil:context=title&amp;rft_dat=xri:pqd:PMID=6131706</t>
  </si>
  <si>
    <t>Client 226 : Male Client Presents in Therapy With Feelings of Boredom and Frustration With Life</t>
  </si>
  <si>
    <t>http://gateway.proquest.com/openurl?url_ver=Z39.88-2004&amp;res_dat=xri:pqm&amp;rft_val_fmt=info:ofi/fmt:kev:mtx:journal&amp;genre=journal&amp;req_dat=xri:pqil:pq_clntid=131239&amp;svc_dat=xri:pqil:context=title&amp;rft_dat=xri:pqd:PMID=6131701</t>
  </si>
  <si>
    <t>Client 227 : Female Heterosexual Client Presents in Therapy With Feelings of Depression and Anxiety</t>
  </si>
  <si>
    <t>http://gateway.proquest.com/openurl?url_ver=Z39.88-2004&amp;res_dat=xri:pqm&amp;rft_val_fmt=info:ofi/fmt:kev:mtx:journal&amp;genre=journal&amp;req_dat=xri:pqil:pq_clntid=131239&amp;svc_dat=xri:pqil:context=title&amp;rft_dat=xri:pqd:PMID=6275784</t>
  </si>
  <si>
    <t>Client 228 : Female Heterosexual Client Presents in Therapy With Feelings of Anxiety, Frustration and Dejection</t>
  </si>
  <si>
    <t>http://gateway.proquest.com/openurl?url_ver=Z39.88-2004&amp;res_dat=xri:pqm&amp;rft_val_fmt=info:ofi/fmt:kev:mtx:journal&amp;genre=journal&amp;req_dat=xri:pqil:pq_clntid=131239&amp;svc_dat=xri:pqil:context=title&amp;rft_dat=xri:pqd:PMID=6275783</t>
  </si>
  <si>
    <t>Client 229 : Homosexual Male Client Presents in Therapy Suffering From insomnia</t>
  </si>
  <si>
    <t>http://gateway.proquest.com/openurl?url_ver=Z39.88-2004&amp;res_dat=xri:pqm&amp;rft_val_fmt=info:ofi/fmt:kev:mtx:journal&amp;genre=journal&amp;req_dat=xri:pqil:pq_clntid=131239&amp;svc_dat=xri:pqil:context=title&amp;rft_dat=xri:pqd:PMID=6275782</t>
  </si>
  <si>
    <t>Client 230 : Male Homosexual Client Presents in Therapy With Feelings of Anxiety and a Dissatisfaction in Life</t>
  </si>
  <si>
    <t>http://gateway.proquest.com/openurl?url_ver=Z39.88-2004&amp;res_dat=xri:pqm&amp;rft_val_fmt=info:ofi/fmt:kev:mtx:journal&amp;genre=journal&amp;req_dat=xri:pqil:pq_clntid=131239&amp;svc_dat=xri:pqil:context=title&amp;rft_dat=xri:pqd:PMID=6275781</t>
  </si>
  <si>
    <t>Client 303 : Female in Her Mid-Forties Who Left the Group Therapy Sessions Recently and Relapsed. She Is Now Working Harder and With More Commitment to Her Recovery</t>
  </si>
  <si>
    <t>http://gateway.proquest.com/openurl?url_ver=Z39.88-2004&amp;res_dat=xri:pqm&amp;rft_val_fmt=info:ofi/fmt:kev:mtx:journal&amp;genre=journal&amp;req_dat=xri:pqil:pq_clntid=131239&amp;svc_dat=xri:pqil:context=title&amp;rft_dat=xri:pqd:PMID=6275780</t>
  </si>
  <si>
    <t>Client 304 : Female in Her Mid-Thirties. She Has a History of Dieting and Restricting Herself Due to Being a Dancer in Her Youth. She Has Relapsed Several Times but Has Remained Abstinent for the Last 6 Months in Therapy</t>
  </si>
  <si>
    <t>http://gateway.proquest.com/openurl?url_ver=Z39.88-2004&amp;res_dat=xri:pqm&amp;rft_val_fmt=info:ofi/fmt:kev:mtx:journal&amp;genre=journal&amp;req_dat=xri:pqil:pq_clntid=131239&amp;svc_dat=xri:pqil:context=title&amp;rft_dat=xri:pqd:PMID=6009023</t>
  </si>
  <si>
    <t>Client 305 : Female in Her Mid-Forties Has Retained a Year of Abstinence From Her Eating Disorder</t>
  </si>
  <si>
    <t>http://gateway.proquest.com/openurl?url_ver=Z39.88-2004&amp;res_dat=xri:pqm&amp;rft_val_fmt=info:ofi/fmt:kev:mtx:journal&amp;genre=journal&amp;req_dat=xri:pqil:pq_clntid=131239&amp;svc_dat=xri:pqil:context=title&amp;rft_dat=xri:pqd:PMID=6275779</t>
  </si>
  <si>
    <t>Client 307 : Female in Her Early Twenties in the Military Has Remained Abstinent for Over a Year. She Is Working on Relationship and Grief Issues</t>
  </si>
  <si>
    <t>http://gateway.proquest.com/openurl?url_ver=Z39.88-2004&amp;res_dat=xri:pqm&amp;rft_val_fmt=info:ofi/fmt:kev:mtx:journal&amp;genre=journal&amp;req_dat=xri:pqil:pq_clntid=131239&amp;svc_dat=xri:pqil:context=title&amp;rft_dat=xri:pqd:PMID=6009022</t>
  </si>
  <si>
    <t>Client 309 : Female in Her Late Thirties Has Remained Abstinent for 2 Months</t>
  </si>
  <si>
    <t>http://gateway.proquest.com/openurl?url_ver=Z39.88-2004&amp;res_dat=xri:pqm&amp;rft_val_fmt=info:ofi/fmt:kev:mtx:journal&amp;genre=journal&amp;req_dat=xri:pqil:pq_clntid=131239&amp;svc_dat=xri:pqil:context=title&amp;rft_dat=xri:pqd:PMID=6009021</t>
  </si>
  <si>
    <t>Client 310 : Female in Her Mid-Twenties. She Recently Graduated College and Is Searching for a Job. She Is in Her First 6 Months of Abstinence</t>
  </si>
  <si>
    <t>http://gateway.proquest.com/openurl?url_ver=Z39.88-2004&amp;res_dat=xri:pqm&amp;rft_val_fmt=info:ofi/fmt:kev:mtx:journal&amp;genre=journal&amp;req_dat=xri:pqil:pq_clntid=131239&amp;svc_dat=xri:pqil:context=title&amp;rft_dat=xri:pqd:PMID=6009020</t>
  </si>
  <si>
    <t>Client 401 : Client Suffers From and Deals With Issues of Depression, Culture, Educational Anxieties, Compulsive Patterns of Behavior, Repetitions of Past Self-Sabotaging Behaviors, Suicidal Behaviors, Relationship/Conflict Stress</t>
  </si>
  <si>
    <t>http://gateway.proquest.com/openurl?url_ver=Z39.88-2004&amp;res_dat=xri:pqm&amp;rft_val_fmt=info:ofi/fmt:kev:mtx:journal&amp;genre=journal&amp;req_dat=xri:pqil:pq_clntid=131239&amp;svc_dat=xri:pqil:context=title&amp;rft_dat=xri:pqd:PMID=6275778</t>
  </si>
  <si>
    <t>Client 402 : Unmarried Female Heterosexual Patient, Aged 21-30 Years Manifests Low Self Esteem, Feelings of Inadequacy, Poor Body Image, Unresolved Childhood Traumas, and Repetitive Relationship Dynamics</t>
  </si>
  <si>
    <t>http://gateway.proquest.com/openurl?url_ver=Z39.88-2004&amp;res_dat=xri:pqm&amp;rft_val_fmt=info:ofi/fmt:kev:mtx:journal&amp;genre=journal&amp;req_dat=xri:pqil:pq_clntid=131239&amp;svc_dat=xri:pqil:context=title&amp;rft_dat=xri:pqd:PMID=6275777</t>
  </si>
  <si>
    <t>Client 403 : Client Experiences Medical Conditions That Adversely Impact Marital/Familial Relationships; Marital/Family Conflict, Anger, Unresolved Childhood Traumas, Dissatisfaction With Life and Physical Limitations</t>
  </si>
  <si>
    <t>http://gateway.proquest.com/openurl?url_ver=Z39.88-2004&amp;res_dat=xri:pqm&amp;rft_val_fmt=info:ofi/fmt:kev:mtx:journal&amp;genre=journal&amp;req_dat=xri:pqil:pq_clntid=131239&amp;svc_dat=xri:pqil:context=title&amp;rft_dat=xri:pqd:PMID=6275776</t>
  </si>
  <si>
    <t>Client 404 : Client Comes to Therapy Seeking Help Coping With Life Transitions</t>
  </si>
  <si>
    <t>http://gateway.proquest.com/openurl?url_ver=Z39.88-2004&amp;res_dat=xri:pqm&amp;rft_val_fmt=info:ofi/fmt:kev:mtx:journal&amp;genre=journal&amp;req_dat=xri:pqil:pq_clntid=131239&amp;svc_dat=xri:pqil:context=title&amp;rft_dat=xri:pqd:PMID=6009019</t>
  </si>
  <si>
    <t>Client 405 : Heterosexual Single, Female Between 21-30 Manifests Dysthymia and Symptoms of Anxiety</t>
  </si>
  <si>
    <t>http://gateway.proquest.com/openurl?url_ver=Z39.88-2004&amp;res_dat=xri:pqm&amp;rft_val_fmt=info:ofi/fmt:kev:mtx:journal&amp;genre=journal&amp;req_dat=xri:pqil:pq_clntid=131239&amp;svc_dat=xri:pqil:context=title&amp;rft_dat=xri:pqd:PMID=6275775</t>
  </si>
  <si>
    <t>Client 406 : Male Client Between the Ages of 21-30 Presents With Feelings of Inadequacy in Relationships, Depressive Disorder, Conflict Around Personal and Parental Values, and Conflict Around Purpose in Life</t>
  </si>
  <si>
    <t>http://gateway.proquest.com/openurl?url_ver=Z39.88-2004&amp;res_dat=xri:pqm&amp;rft_val_fmt=info:ofi/fmt:kev:mtx:journal&amp;genre=journal&amp;req_dat=xri:pqil:pq_clntid=131239&amp;svc_dat=xri:pqil:context=title&amp;rft_dat=xri:pqd:PMID=6275774</t>
  </si>
  <si>
    <t>Client 408 : Client Is Frustrated and Angry With the Relationship He Has With His Father. He Is Working On Self-Control and Anger Resolution. He Has Been Struggling With Flashbacks of the Sexual Abuse He Endured as a Child</t>
  </si>
  <si>
    <t>http://gateway.proquest.com/openurl?url_ver=Z39.88-2004&amp;res_dat=xri:pqm&amp;rft_val_fmt=info:ofi/fmt:kev:mtx:journal&amp;genre=journal&amp;req_dat=xri:pqil:pq_clntid=131239&amp;svc_dat=xri:pqil:context=title&amp;rft_dat=xri:pqd:PMID=6275773</t>
  </si>
  <si>
    <t>http://gateway.proquest.com/openurl?url_ver=Z39.88-2004&amp;res_dat=xri:pqm&amp;rft_val_fmt=info:ofi/fmt:kev:mtx:journal&amp;genre=journal&amp;req_dat=xri:pqil:pq_clntid=131239&amp;svc_dat=xri:pqil:context=title&amp;rft_dat=xri:pqd:PMID=2033369</t>
  </si>
  <si>
    <t>http://gateway.proquest.com/openurl?url_ver=Z39.88-2004&amp;res_dat=xri:pqm&amp;rft_val_fmt=info:ofi/fmt:kev:mtx:journal&amp;genre=journal&amp;req_dat=xri:pqil:pq_clntid=131239&amp;svc_dat=xri:pqil:context=title&amp;rft_dat=xri:pqd:PMID=54101</t>
  </si>
  <si>
    <t>http://gateway.proquest.com/openurl?url_ver=Z39.88-2004&amp;res_dat=xri:pqm&amp;rft_val_fmt=info:ofi/fmt:kev:mtx:journal&amp;genre=journal&amp;req_dat=xri:pqil:pq_clntid=131239&amp;svc_dat=xri:pqil:context=title&amp;rft_dat=xri:pqd:PMID=32206</t>
  </si>
  <si>
    <t>http://gateway.proquest.com/openurl?url_ver=Z39.88-2004&amp;res_dat=xri:pqm&amp;rft_val_fmt=info:ofi/fmt:kev:mtx:journal&amp;genre=journal&amp;req_dat=xri:pqil:pq_clntid=131239&amp;svc_dat=xri:pqil:context=title&amp;rft_dat=xri:pqd:PMID=5483630</t>
  </si>
  <si>
    <t>http://gateway.proquest.com/openurl?url_ver=Z39.88-2004&amp;res_dat=xri:pqm&amp;rft_val_fmt=info:ofi/fmt:kev:mtx:journal&amp;genre=journal&amp;req_dat=xri:pqil:pq_clntid=131239&amp;svc_dat=xri:pqil:context=title&amp;rft_dat=xri:pqd:PMID=6009018</t>
  </si>
  <si>
    <t>Assen</t>
  </si>
  <si>
    <t>http://gateway.proquest.com/openurl?url_ver=Z39.88-2004&amp;res_dat=xri:pqm&amp;rft_val_fmt=info:ofi/fmt:kev:mtx:journal&amp;genre=journal&amp;req_dat=xri:pqil:pq_clntid=131239&amp;svc_dat=xri:pqil:context=title&amp;rft_dat=xri:pqd:PMID=1226360</t>
  </si>
  <si>
    <t>http://gateway.proquest.com/openurl?url_ver=Z39.88-2004&amp;res_dat=xri:pqm&amp;rft_val_fmt=info:ofi/fmt:kev:mtx:journal&amp;genre=journal&amp;req_dat=xri:pqil:pq_clntid=131239&amp;svc_dat=xri:pqil:context=title&amp;rft_dat=xri:pqd:PMID=15130</t>
  </si>
  <si>
    <t>Glen Head</t>
  </si>
  <si>
    <t>http://gateway.proquest.com/openurl?url_ver=Z39.88-2004&amp;res_dat=xri:pqm&amp;rft_val_fmt=info:ofi/fmt:kev:mtx:journal&amp;genre=journal&amp;req_dat=xri:pqil:pq_clntid=131239&amp;svc_dat=xri:pqil:context=title&amp;rft_dat=xri:pqd:PMID=42114</t>
  </si>
  <si>
    <t>http://gateway.proquest.com/openurl?url_ver=Z39.88-2004&amp;res_dat=xri:pqm&amp;rft_val_fmt=info:ofi/fmt:kev:mtx:journal&amp;genre=journal&amp;req_dat=xri:pqil:pq_clntid=131239&amp;svc_dat=xri:pqil:context=title&amp;rft_dat=xri:pqd:PMID=186214</t>
  </si>
  <si>
    <t>http://gateway.proquest.com/openurl?url_ver=Z39.88-2004&amp;res_dat=xri:pqm&amp;rft_val_fmt=info:ofi/fmt:kev:mtx:journal&amp;genre=journal&amp;req_dat=xri:pqil:pq_clntid=131239&amp;svc_dat=xri:pqil:context=title&amp;rft_dat=xri:pqd:PMID=2033364</t>
  </si>
  <si>
    <t>http://gateway.proquest.com/openurl?url_ver=Z39.88-2004&amp;res_dat=xri:pqm&amp;rft_val_fmt=info:ofi/fmt:kev:mtx:journal&amp;genre=journal&amp;req_dat=xri:pqil:pq_clntid=131239&amp;svc_dat=xri:pqil:context=title&amp;rft_dat=xri:pqd:PMID=32495</t>
  </si>
  <si>
    <t>PsychOpen</t>
  </si>
  <si>
    <t>Trier</t>
  </si>
  <si>
    <t>http://gateway.proquest.com/openurl?url_ver=Z39.88-2004&amp;res_dat=xri:pqm&amp;rft_val_fmt=info:ofi/fmt:kev:mtx:journal&amp;genre=journal&amp;req_dat=xri:pqil:pq_clntid=131239&amp;svc_dat=xri:pqil:context=title&amp;rft_dat=xri:pqd:PMID=4433877</t>
  </si>
  <si>
    <t>http://gateway.proquest.com/openurl?url_ver=Z39.88-2004&amp;res_dat=xri:pqm&amp;rft_val_fmt=info:ofi/fmt:kev:mtx:journal&amp;genre=journal&amp;req_dat=xri:pqil:pq_clntid=131239&amp;svc_dat=xri:pqil:context=title&amp;rft_dat=xri:pqd:PMID=32887</t>
  </si>
  <si>
    <t>http://gateway.proquest.com/openurl?url_ver=Z39.88-2004&amp;res_dat=xri:pqm&amp;rft_val_fmt=info:ofi/fmt:kev:mtx:journal&amp;genre=journal&amp;req_dat=xri:pqil:pq_clntid=131239&amp;svc_dat=xri:pqil:context=title&amp;rft_dat=xri:pqd:PMID=32201</t>
  </si>
  <si>
    <t>http://gateway.proquest.com/openurl?url_ver=Z39.88-2004&amp;res_dat=xri:pqm&amp;rft_val_fmt=info:ofi/fmt:kev:mtx:journal&amp;genre=journal&amp;req_dat=xri:pqil:pq_clntid=131239&amp;svc_dat=xri:pqil:context=title&amp;rft_dat=xri:pqd:PMID=5325196</t>
  </si>
  <si>
    <t>http://gateway.proquest.com/openurl?url_ver=Z39.88-2004&amp;res_dat=xri:pqm&amp;rft_val_fmt=info:ofi/fmt:kev:mtx:journal&amp;genre=journal&amp;req_dat=xri:pqil:pq_clntid=131239&amp;svc_dat=xri:pqil:context=title&amp;rft_dat=xri:pqd:PMID=48519</t>
  </si>
  <si>
    <t>Vienna</t>
  </si>
  <si>
    <t>http://gateway.proquest.com/openurl?url_ver=Z39.88-2004&amp;res_dat=xri:pqm&amp;rft_val_fmt=info:ofi/fmt:kev:mtx:journal&amp;genre=journal&amp;req_dat=xri:pqil:pq_clntid=131239&amp;svc_dat=xri:pqil:context=title&amp;rft_dat=xri:pqd:PMID=5603889</t>
  </si>
  <si>
    <t>http://gateway.proquest.com/openurl?url_ver=Z39.88-2004&amp;res_dat=xri:pqm&amp;rft_val_fmt=info:ofi/fmt:kev:mtx:journal&amp;genre=journal&amp;req_dat=xri:pqil:pq_clntid=131239&amp;svc_dat=xri:pqil:context=title&amp;rft_dat=xri:pqd:PMID=5046909</t>
  </si>
  <si>
    <t>http://gateway.proquest.com/openurl?url_ver=Z39.88-2004&amp;res_dat=xri:pqm&amp;rft_val_fmt=info:ofi/fmt:kev:mtx:journal&amp;genre=journal&amp;req_dat=xri:pqil:pq_clntid=131239&amp;svc_dat=xri:pqil:context=title&amp;rft_dat=xri:pqd:PMID=6009017</t>
  </si>
  <si>
    <t>http://gateway.proquest.com/openurl?url_ver=Z39.88-2004&amp;res_dat=xri:pqm&amp;rft_val_fmt=info:ofi/fmt:kev:mtx:journal&amp;genre=journal&amp;req_dat=xri:pqil:pq_clntid=131239&amp;svc_dat=xri:pqil:context=title&amp;rft_dat=xri:pqd:PMID=4852145</t>
  </si>
  <si>
    <t>01-Jan-1998--31-Dec-2012; 01-Jan-2021--31-Dec-2021</t>
  </si>
  <si>
    <t>http://gateway.proquest.com/openurl?url_ver=Z39.88-2004&amp;res_dat=xri:pqm&amp;rft_val_fmt=info:ofi/fmt:kev:mtx:journal&amp;genre=journal&amp;req_dat=xri:pqil:pq_clntid=131239&amp;svc_dat=xri:pqil:context=title&amp;rft_dat=xri:pqd:PMID=4852149</t>
  </si>
  <si>
    <t>http://gateway.proquest.com/openurl?url_ver=Z39.88-2004&amp;res_dat=xri:pqm&amp;rft_val_fmt=info:ofi/fmt:kev:mtx:journal&amp;genre=journal&amp;req_dat=xri:pqil:pq_clntid=131239&amp;svc_dat=xri:pqil:context=title&amp;rft_dat=xri:pqd:PMID=186212</t>
  </si>
  <si>
    <t>http://gateway.proquest.com/openurl?url_ver=Z39.88-2004&amp;res_dat=xri:pqm&amp;rft_val_fmt=info:ofi/fmt:kev:mtx:journal&amp;genre=journal&amp;req_dat=xri:pqil:pq_clntid=131239&amp;svc_dat=xri:pqil:context=title&amp;rft_dat=xri:pqd:PMID=2032934</t>
  </si>
  <si>
    <t>http://gateway.proquest.com/openurl?url_ver=Z39.88-2004&amp;res_dat=xri:pqm&amp;rft_val_fmt=info:ofi/fmt:kev:mtx:journal&amp;genre=journal&amp;req_dat=xri:pqil:pq_clntid=131239&amp;svc_dat=xri:pqil:context=title&amp;rft_dat=xri:pqd:PMID=2043308</t>
  </si>
  <si>
    <t>Lausanne</t>
  </si>
  <si>
    <t>http://gateway.proquest.com/openurl?url_ver=Z39.88-2004&amp;res_dat=xri:pqm&amp;rft_val_fmt=info:ofi/fmt:kev:mtx:journal&amp;genre=journal&amp;req_dat=xri:pqil:pq_clntid=131239&amp;svc_dat=xri:pqil:context=title&amp;rft_dat=xri:pqd:PMID=2038288</t>
  </si>
  <si>
    <t>http://gateway.proquest.com/openurl?url_ver=Z39.88-2004&amp;res_dat=xri:pqm&amp;rft_val_fmt=info:ofi/fmt:kev:mtx:journal&amp;genre=journal&amp;req_dat=xri:pqil:pq_clntid=131239&amp;svc_dat=xri:pqil:context=title&amp;rft_dat=xri:pqd:PMID=53130</t>
  </si>
  <si>
    <t>http://gateway.proquest.com/openurl?url_ver=Z39.88-2004&amp;res_dat=xri:pqm&amp;rft_val_fmt=info:ofi/fmt:kev:mtx:journal&amp;genre=journal&amp;req_dat=xri:pqil:pq_clntid=131239&amp;svc_dat=xri:pqil:context=title&amp;rft_dat=xri:pqd:PMID=2033360</t>
  </si>
  <si>
    <t>http://gateway.proquest.com/openurl?url_ver=Z39.88-2004&amp;res_dat=xri:pqm&amp;rft_val_fmt=info:ofi/fmt:kev:mtx:journal&amp;genre=journal&amp;req_dat=xri:pqil:pq_clntid=131239&amp;svc_dat=xri:pqil:context=title&amp;rft_dat=xri:pqd:PMID=46254</t>
  </si>
  <si>
    <t>Cluj-Napoca</t>
  </si>
  <si>
    <t>http://gateway.proquest.com/openurl?url_ver=Z39.88-2004&amp;res_dat=xri:pqm&amp;rft_val_fmt=info:ofi/fmt:kev:mtx:journal&amp;genre=journal&amp;req_dat=xri:pqil:pq_clntid=131239&amp;svc_dat=xri:pqil:context=title&amp;rft_dat=xri:pqd:PMID=29487</t>
  </si>
  <si>
    <t>http://gateway.proquest.com/openurl?url_ver=Z39.88-2004&amp;res_dat=xri:pqm&amp;rft_val_fmt=info:ofi/fmt:kev:mtx:journal&amp;genre=journal&amp;req_dat=xri:pqil:pq_clntid=131239&amp;svc_dat=xri:pqil:context=title&amp;rft_dat=xri:pqd:PMID=43846</t>
  </si>
  <si>
    <t>Cognitive Behavioral Therapy Collection With Dr. Frank M. Dattilio</t>
  </si>
  <si>
    <t>http://gateway.proquest.com/openurl?url_ver=Z39.88-2004&amp;res_dat=xri:pqm&amp;rft_val_fmt=info:ofi/fmt:kev:mtx:journal&amp;genre=journal&amp;req_dat=xri:pqil:pq_clntid=131239&amp;svc_dat=xri:pqil:context=title&amp;rft_dat=xri:pqd:PMID=6275772</t>
  </si>
  <si>
    <t>http://gateway.proquest.com/openurl?url_ver=Z39.88-2004&amp;res_dat=xri:pqm&amp;rft_val_fmt=info:ofi/fmt:kev:mtx:journal&amp;genre=journal&amp;req_dat=xri:pqil:pq_clntid=131239&amp;svc_dat=xri:pqil:context=title&amp;rft_dat=xri:pqd:PMID=5483641</t>
  </si>
  <si>
    <t>http://gateway.proquest.com/openurl?url_ver=Z39.88-2004&amp;res_dat=xri:pqm&amp;rft_val_fmt=info:ofi/fmt:kev:mtx:journal&amp;genre=journal&amp;req_dat=xri:pqil:pq_clntid=131239&amp;svc_dat=xri:pqil:context=title&amp;rft_dat=xri:pqd:PMID=5516371</t>
  </si>
  <si>
    <t>http://gateway.proquest.com/openurl?url_ver=Z39.88-2004&amp;res_dat=xri:pqm&amp;rft_val_fmt=info:ofi/fmt:kev:mtx:journal&amp;genre=journal&amp;req_dat=xri:pqil:pq_clntid=131239&amp;svc_dat=xri:pqil:context=title&amp;rft_dat=xri:pqd:PMID=186210</t>
  </si>
  <si>
    <t>Cognitive Neurodynamics</t>
  </si>
  <si>
    <t>1871-4080</t>
  </si>
  <si>
    <t>1871-4099</t>
  </si>
  <si>
    <t>http://gateway.proquest.com/openurl?url_ver=Z39.88-2004&amp;res_dat=xri:pqm&amp;rft_val_fmt=info:ofi/fmt:kev:mtx:journal&amp;genre=journal&amp;req_dat=xri:pqil:pq_clntid=131239&amp;svc_dat=xri:pqil:context=title&amp;rft_dat=xri:pqd:PMID=2043944</t>
  </si>
  <si>
    <t>http://gateway.proquest.com/openurl?url_ver=Z39.88-2004&amp;res_dat=xri:pqm&amp;rft_val_fmt=info:ofi/fmt:kev:mtx:journal&amp;genre=journal&amp;req_dat=xri:pqil:pq_clntid=131239&amp;svc_dat=xri:pqil:context=title&amp;rft_dat=xri:pqd:PMID=186209</t>
  </si>
  <si>
    <t>http://gateway.proquest.com/openurl?url_ver=Z39.88-2004&amp;res_dat=xri:pqm&amp;rft_val_fmt=info:ofi/fmt:kev:mtx:journal&amp;genre=journal&amp;req_dat=xri:pqil:pq_clntid=131239&amp;svc_dat=xri:pqil:context=title&amp;rft_dat=xri:pqd:PMID=2045309</t>
  </si>
  <si>
    <t>http://gateway.proquest.com/openurl?url_ver=Z39.88-2004&amp;res_dat=xri:pqm&amp;rft_val_fmt=info:ofi/fmt:kev:mtx:journal&amp;genre=journal&amp;req_dat=xri:pqil:pq_clntid=131239&amp;svc_dat=xri:pqil:context=title&amp;rft_dat=xri:pqd:PMID=5199</t>
  </si>
  <si>
    <t>http://gateway.proquest.com/openurl?url_ver=Z39.88-2004&amp;res_dat=xri:pqm&amp;rft_val_fmt=info:ofi/fmt:kev:mtx:journal&amp;genre=journal&amp;req_dat=xri:pqil:pq_clntid=131239&amp;svc_dat=xri:pqil:context=title&amp;rft_dat=xri:pqd:PMID=4402895</t>
  </si>
  <si>
    <t>http://gateway.proquest.com/openurl?url_ver=Z39.88-2004&amp;res_dat=xri:pqm&amp;rft_val_fmt=info:ofi/fmt:kev:mtx:journal&amp;genre=journal&amp;req_dat=xri:pqil:pq_clntid=131239&amp;svc_dat=xri:pqil:context=title&amp;rft_dat=xri:pqd:PMID=30149</t>
  </si>
  <si>
    <t>http://gateway.proquest.com/openurl?url_ver=Z39.88-2004&amp;res_dat=xri:pqm&amp;rft_val_fmt=info:ofi/fmt:kev:mtx:journal&amp;genre=journal&amp;req_dat=xri:pqil:pq_clntid=131239&amp;svc_dat=xri:pqil:context=title&amp;rft_dat=xri:pqd:PMID=2034886</t>
  </si>
  <si>
    <t>http://gateway.proquest.com/openurl?url_ver=Z39.88-2004&amp;res_dat=xri:pqm&amp;rft_val_fmt=info:ofi/fmt:kev:mtx:journal&amp;genre=journal&amp;req_dat=xri:pqil:pq_clntid=131239&amp;svc_dat=xri:pqil:context=title&amp;rft_dat=xri:pqd:PMID=47945</t>
  </si>
  <si>
    <t>01-Jan-2014--31-Dec-2016</t>
  </si>
  <si>
    <t>http://gateway.proquest.com/openurl?url_ver=Z39.88-2004&amp;res_dat=xri:pqm&amp;rft_val_fmt=info:ofi/fmt:kev:mtx:journal&amp;genre=journal&amp;req_dat=xri:pqil:pq_clntid=131239&amp;svc_dat=xri:pqil:context=title&amp;rft_dat=xri:pqd:PMID=976343</t>
  </si>
  <si>
    <t>Oakland</t>
  </si>
  <si>
    <t>http://gateway.proquest.com/openurl?url_ver=Z39.88-2004&amp;res_dat=xri:pqm&amp;rft_val_fmt=info:ofi/fmt:kev:mtx:journal&amp;genre=journal&amp;req_dat=xri:pqil:pq_clntid=131239&amp;svc_dat=xri:pqil:context=title&amp;rft_dat=xri:pqd:PMID=5483549</t>
  </si>
  <si>
    <t>http://gateway.proquest.com/openurl?url_ver=Z39.88-2004&amp;res_dat=xri:pqm&amp;rft_val_fmt=info:ofi/fmt:kev:mtx:journal&amp;genre=journal&amp;req_dat=xri:pqil:pq_clntid=131239&amp;svc_dat=xri:pqil:context=title&amp;rft_dat=xri:pqd:PMID=5583636</t>
  </si>
  <si>
    <t>http://gateway.proquest.com/openurl?url_ver=Z39.88-2004&amp;res_dat=xri:pqm&amp;rft_val_fmt=info:ofi/fmt:kev:mtx:journal&amp;genre=journal&amp;req_dat=xri:pqil:pq_clntid=131239&amp;svc_dat=xri:pqil:context=title&amp;rft_dat=xri:pqd:PMID=5325185</t>
  </si>
  <si>
    <t>http://gateway.proquest.com/openurl?url_ver=Z39.88-2004&amp;res_dat=xri:pqm&amp;rft_val_fmt=info:ofi/fmt:kev:mtx:journal&amp;genre=journal&amp;req_dat=xri:pqil:pq_clntid=131239&amp;svc_dat=xri:pqil:context=title&amp;rft_dat=xri:pqd:PMID=5488567</t>
  </si>
  <si>
    <t>http://gateway.proquest.com/openurl?url_ver=Z39.88-2004&amp;res_dat=xri:pqm&amp;rft_val_fmt=info:ofi/fmt:kev:mtx:journal&amp;genre=journal&amp;req_dat=xri:pqil:pq_clntid=131239&amp;svc_dat=xri:pqil:context=title&amp;rft_dat=xri:pqd:PMID=5483558</t>
  </si>
  <si>
    <t>http://gateway.proquest.com/openurl?url_ver=Z39.88-2004&amp;res_dat=xri:pqm&amp;rft_val_fmt=info:ofi/fmt:kev:mtx:journal&amp;genre=journal&amp;req_dat=xri:pqil:pq_clntid=131239&amp;svc_dat=xri:pqil:context=title&amp;rft_dat=xri:pqd:PMID=46927</t>
  </si>
  <si>
    <t>http://gateway.proquest.com/openurl?url_ver=Z39.88-2004&amp;res_dat=xri:pqm&amp;rft_val_fmt=info:ofi/fmt:kev:mtx:journal&amp;genre=journal&amp;req_dat=xri:pqil:pq_clntid=131239&amp;svc_dat=xri:pqil:context=title&amp;rft_dat=xri:pqd:PMID=1271</t>
  </si>
  <si>
    <t>http://gateway.proquest.com/openurl?url_ver=Z39.88-2004&amp;res_dat=xri:pqm&amp;rft_val_fmt=info:ofi/fmt:kev:mtx:journal&amp;genre=journal&amp;req_dat=xri:pqil:pq_clntid=131239&amp;svc_dat=xri:pqil:context=title&amp;rft_dat=xri:pqd:PMID=1273</t>
  </si>
  <si>
    <t>Salt Lake City</t>
  </si>
  <si>
    <t>http://gateway.proquest.com/openurl?url_ver=Z39.88-2004&amp;res_dat=xri:pqm&amp;rft_val_fmt=info:ofi/fmt:kev:mtx:journal&amp;genre=journal&amp;req_dat=xri:pqil:pq_clntid=131239&amp;svc_dat=xri:pqil:context=title&amp;rft_dat=xri:pqd:PMID=21770</t>
  </si>
  <si>
    <t>Beverly Hills</t>
  </si>
  <si>
    <t>http://gateway.proquest.com/openurl?url_ver=Z39.88-2004&amp;res_dat=xri:pqm&amp;rft_val_fmt=info:ofi/fmt:kev:mtx:journal&amp;genre=journal&amp;req_dat=xri:pqil:pq_clntid=131239&amp;svc_dat=xri:pqil:context=title&amp;rft_dat=xri:pqd:PMID=37611</t>
  </si>
  <si>
    <t>West Lafayette</t>
  </si>
  <si>
    <t>http://gateway.proquest.com/openurl?url_ver=Z39.88-2004&amp;res_dat=xri:pqm&amp;rft_val_fmt=info:ofi/fmt:kev:mtx:journal&amp;genre=journal&amp;req_dat=xri:pqil:pq_clntid=131239&amp;svc_dat=xri:pqil:context=title&amp;rft_dat=xri:pqd:PMID=36627</t>
  </si>
  <si>
    <t>http://gateway.proquest.com/openurl?url_ver=Z39.88-2004&amp;res_dat=xri:pqm&amp;rft_val_fmt=info:ofi/fmt:kev:mtx:journal&amp;genre=journal&amp;req_dat=xri:pqil:pq_clntid=131239&amp;svc_dat=xri:pqil:context=title&amp;rft_dat=xri:pqd:PMID=31255</t>
  </si>
  <si>
    <t>http://gateway.proquest.com/openurl?url_ver=Z39.88-2004&amp;res_dat=xri:pqm&amp;rft_val_fmt=info:ofi/fmt:kev:mtx:journal&amp;genre=journal&amp;req_dat=xri:pqil:pq_clntid=131239&amp;svc_dat=xri:pqil:context=title&amp;rft_dat=xri:pqd:PMID=44801</t>
  </si>
  <si>
    <t>http://gateway.proquest.com/openurl?url_ver=Z39.88-2004&amp;res_dat=xri:pqm&amp;rft_val_fmt=info:ofi/fmt:kev:mtx:journal&amp;genre=journal&amp;req_dat=xri:pqil:pq_clntid=131239&amp;svc_dat=xri:pqil:context=title&amp;rft_dat=xri:pqd:PMID=48521</t>
  </si>
  <si>
    <t>Lecce</t>
  </si>
  <si>
    <t>http://gateway.proquest.com/openurl?url_ver=Z39.88-2004&amp;res_dat=xri:pqm&amp;rft_val_fmt=info:ofi/fmt:kev:mtx:journal&amp;genre=journal&amp;req_dat=xri:pqil:pq_clntid=131239&amp;svc_dat=xri:pqil:context=title&amp;rft_dat=xri:pqd:PMID=2069550</t>
  </si>
  <si>
    <t>Compassion Scale (CS)</t>
  </si>
  <si>
    <t>Kristin Neff</t>
  </si>
  <si>
    <t>http://gateway.proquest.com/openurl?url_ver=Z39.88-2004&amp;res_dat=xri:pqm&amp;rft_val_fmt=info:ofi/fmt:kev:mtx:journal&amp;genre=journal&amp;req_dat=xri:pqil:pq_clntid=131239&amp;svc_dat=xri:pqil:context=title&amp;rft_dat=xri:pqd:PMID=6600372</t>
  </si>
  <si>
    <t>http://gateway.proquest.com/openurl?url_ver=Z39.88-2004&amp;res_dat=xri:pqm&amp;rft_val_fmt=info:ofi/fmt:kev:mtx:journal&amp;genre=journal&amp;req_dat=xri:pqil:pq_clntid=131239&amp;svc_dat=xri:pqil:context=title&amp;rft_dat=xri:pqd:PMID=5488555</t>
  </si>
  <si>
    <t>Kidlington</t>
  </si>
  <si>
    <t>http://gateway.proquest.com/openurl?url_ver=Z39.88-2004&amp;res_dat=xri:pqm&amp;rft_val_fmt=info:ofi/fmt:kev:mtx:journal&amp;genre=journal&amp;req_dat=xri:pqil:pq_clntid=131239&amp;svc_dat=xri:pqil:context=title&amp;rft_dat=xri:pqd:PMID=1226357</t>
  </si>
  <si>
    <t>http://gateway.proquest.com/openurl?url_ver=Z39.88-2004&amp;res_dat=xri:pqm&amp;rft_val_fmt=info:ofi/fmt:kev:mtx:journal&amp;genre=journal&amp;req_dat=xri:pqil:pq_clntid=131239&amp;svc_dat=xri:pqil:context=title&amp;rft_dat=xri:pqd:PMID=5488539</t>
  </si>
  <si>
    <t>http://gateway.proquest.com/openurl?url_ver=Z39.88-2004&amp;res_dat=xri:pqm&amp;rft_val_fmt=info:ofi/fmt:kev:mtx:journal&amp;genre=journal&amp;req_dat=xri:pqil:pq_clntid=131239&amp;svc_dat=xri:pqil:context=title&amp;rft_dat=xri:pqd:PMID=1226356</t>
  </si>
  <si>
    <t>http://gateway.proquest.com/openurl?url_ver=Z39.88-2004&amp;res_dat=xri:pqm&amp;rft_val_fmt=info:ofi/fmt:kev:mtx:journal&amp;genre=journal&amp;req_dat=xri:pqil:pq_clntid=131239&amp;svc_dat=xri:pqil:context=title&amp;rft_dat=xri:pqd:PMID=2046143</t>
  </si>
  <si>
    <t>http://gateway.proquest.com/openurl?url_ver=Z39.88-2004&amp;res_dat=xri:pqm&amp;rft_val_fmt=info:ofi/fmt:kev:mtx:journal&amp;genre=journal&amp;req_dat=xri:pqil:pq_clntid=131239&amp;svc_dat=xri:pqil:context=title&amp;rft_dat=xri:pqd:PMID=34323</t>
  </si>
  <si>
    <t>http://gateway.proquest.com/openurl?url_ver=Z39.88-2004&amp;res_dat=xri:pqm&amp;rft_val_fmt=info:ofi/fmt:kev:mtx:journal&amp;genre=journal&amp;req_dat=xri:pqil:pq_clntid=131239&amp;svc_dat=xri:pqil:context=title&amp;rft_dat=xri:pqd:PMID=237303</t>
  </si>
  <si>
    <t>Elmsford</t>
  </si>
  <si>
    <t>http://gateway.proquest.com/openurl?url_ver=Z39.88-2004&amp;res_dat=xri:pqm&amp;rft_val_fmt=info:ofi/fmt:kev:mtx:journal&amp;genre=journal&amp;req_dat=xri:pqil:pq_clntid=131239&amp;svc_dat=xri:pqil:context=title&amp;rft_dat=xri:pqd:PMID=2038346</t>
  </si>
  <si>
    <t>http://gateway.proquest.com/openurl?url_ver=Z39.88-2004&amp;res_dat=xri:pqm&amp;rft_val_fmt=info:ofi/fmt:kev:mtx:journal&amp;genre=journal&amp;req_dat=xri:pqil:pq_clntid=131239&amp;svc_dat=xri:pqil:context=title&amp;rft_dat=xri:pqd:PMID=5983410</t>
  </si>
  <si>
    <t>http://gateway.proquest.com/openurl?url_ver=Z39.88-2004&amp;res_dat=xri:pqm&amp;rft_val_fmt=info:ofi/fmt:kev:mtx:journal&amp;genre=journal&amp;req_dat=xri:pqil:pq_clntid=131239&amp;svc_dat=xri:pqil:context=title&amp;rft_dat=xri:pqd:PMID=5483646</t>
  </si>
  <si>
    <t>http://gateway.proquest.com/openurl?url_ver=Z39.88-2004&amp;res_dat=xri:pqm&amp;rft_val_fmt=info:ofi/fmt:kev:mtx:journal&amp;genre=journal&amp;req_dat=xri:pqil:pq_clntid=131239&amp;svc_dat=xri:pqil:context=title&amp;rft_dat=xri:pqd:PMID=5983393</t>
  </si>
  <si>
    <t>http://gateway.proquest.com/openurl?url_ver=Z39.88-2004&amp;res_dat=xri:pqm&amp;rft_val_fmt=info:ofi/fmt:kev:mtx:journal&amp;genre=journal&amp;req_dat=xri:pqil:pq_clntid=131239&amp;svc_dat=xri:pqil:context=title&amp;rft_dat=xri:pqd:PMID=5983407</t>
  </si>
  <si>
    <t>http://gateway.proquest.com/openurl?url_ver=Z39.88-2004&amp;res_dat=xri:pqm&amp;rft_val_fmt=info:ofi/fmt:kev:mtx:journal&amp;genre=journal&amp;req_dat=xri:pqil:pq_clntid=131239&amp;svc_dat=xri:pqil:context=title&amp;rft_dat=xri:pqd:PMID=2043145</t>
  </si>
  <si>
    <t>http://gateway.proquest.com/openurl?url_ver=Z39.88-2004&amp;res_dat=xri:pqm&amp;rft_val_fmt=info:ofi/fmt:kev:mtx:journal&amp;genre=journal&amp;req_dat=xri:pqil:pq_clntid=131239&amp;svc_dat=xri:pqil:context=title&amp;rft_dat=xri:pqd:PMID=5488538</t>
  </si>
  <si>
    <t>Kennesaw</t>
  </si>
  <si>
    <t>http://gateway.proquest.com/openurl?url_ver=Z39.88-2004&amp;res_dat=xri:pqm&amp;rft_val_fmt=info:ofi/fmt:kev:mtx:journal&amp;genre=journal&amp;req_dat=xri:pqil:pq_clntid=131239&amp;svc_dat=xri:pqil:context=title&amp;rft_dat=xri:pqd:PMID=25641</t>
  </si>
  <si>
    <t>http://gateway.proquest.com/openurl?url_ver=Z39.88-2004&amp;res_dat=xri:pqm&amp;rft_val_fmt=info:ofi/fmt:kev:mtx:journal&amp;genre=journal&amp;req_dat=xri:pqil:pq_clntid=131239&amp;svc_dat=xri:pqil:context=title&amp;rft_dat=xri:pqd:PMID=5325194</t>
  </si>
  <si>
    <t>http://gateway.proquest.com/openurl?url_ver=Z39.88-2004&amp;res_dat=xri:pqm&amp;rft_val_fmt=info:ofi/fmt:kev:mtx:journal&amp;genre=journal&amp;req_dat=xri:pqil:pq_clntid=131239&amp;svc_dat=xri:pqil:context=title&amp;rft_dat=xri:pqd:PMID=32754</t>
  </si>
  <si>
    <t>http://gateway.proquest.com/openurl?url_ver=Z39.88-2004&amp;res_dat=xri:pqm&amp;rft_val_fmt=info:ofi/fmt:kev:mtx:journal&amp;genre=journal&amp;req_dat=xri:pqil:pq_clntid=131239&amp;svc_dat=xri:pqil:context=title&amp;rft_dat=xri:pqd:PMID=42880</t>
  </si>
  <si>
    <t>http://gateway.proquest.com/openurl?url_ver=Z39.88-2004&amp;res_dat=xri:pqm&amp;rft_val_fmt=info:ofi/fmt:kev:mtx:journal&amp;genre=journal&amp;req_dat=xri:pqil:pq_clntid=131239&amp;svc_dat=xri:pqil:context=title&amp;rft_dat=xri:pqd:PMID=5483542</t>
  </si>
  <si>
    <t>http://gateway.proquest.com/openurl?url_ver=Z39.88-2004&amp;res_dat=xri:pqm&amp;rft_val_fmt=info:ofi/fmt:kev:mtx:journal&amp;genre=journal&amp;req_dat=xri:pqil:pq_clntid=131239&amp;svc_dat=xri:pqil:context=title&amp;rft_dat=xri:pqd:PMID=34117</t>
  </si>
  <si>
    <t>http://gateway.proquest.com/openurl?url_ver=Z39.88-2004&amp;res_dat=xri:pqm&amp;rft_val_fmt=info:ofi/fmt:kev:mtx:journal&amp;genre=journal&amp;req_dat=xri:pqil:pq_clntid=131239&amp;svc_dat=xri:pqil:context=title&amp;rft_dat=xri:pqd:PMID=5325195</t>
  </si>
  <si>
    <t>http://gateway.proquest.com/openurl?url_ver=Z39.88-2004&amp;res_dat=xri:pqm&amp;rft_val_fmt=info:ofi/fmt:kev:mtx:journal&amp;genre=journal&amp;req_dat=xri:pqil:pq_clntid=131239&amp;svc_dat=xri:pqil:context=title&amp;rft_dat=xri:pqd:PMID=5983418</t>
  </si>
  <si>
    <t>Denton</t>
  </si>
  <si>
    <t>http://gateway.proquest.com/openurl?url_ver=Z39.88-2004&amp;res_dat=xri:pqm&amp;rft_val_fmt=info:ofi/fmt:kev:mtx:journal&amp;genre=journal&amp;req_dat=xri:pqil:pq_clntid=131239&amp;svc_dat=xri:pqil:context=title&amp;rft_dat=xri:pqd:PMID=29080</t>
  </si>
  <si>
    <t>http://gateway.proquest.com/openurl?url_ver=Z39.88-2004&amp;res_dat=xri:pqm&amp;rft_val_fmt=info:ofi/fmt:kev:mtx:journal&amp;genre=journal&amp;req_dat=xri:pqil:pq_clntid=131239&amp;svc_dat=xri:pqil:context=title&amp;rft_dat=xri:pqd:PMID=35338</t>
  </si>
  <si>
    <t>http://gateway.proquest.com/openurl?url_ver=Z39.88-2004&amp;res_dat=xri:pqm&amp;rft_val_fmt=info:ofi/fmt:kev:mtx:journal&amp;genre=journal&amp;req_dat=xri:pqil:pq_clntid=131239&amp;svc_dat=xri:pqil:context=title&amp;rft_dat=xri:pqd:PMID=30987</t>
  </si>
  <si>
    <t>http://gateway.proquest.com/openurl?url_ver=Z39.88-2004&amp;res_dat=xri:pqm&amp;rft_val_fmt=info:ofi/fmt:kev:mtx:journal&amp;genre=journal&amp;req_dat=xri:pqil:pq_clntid=131239&amp;svc_dat=xri:pqil:context=title&amp;rft_dat=xri:pqd:PMID=5483591</t>
  </si>
  <si>
    <t>http://gateway.proquest.com/openurl?url_ver=Z39.88-2004&amp;res_dat=xri:pqm&amp;rft_val_fmt=info:ofi/fmt:kev:mtx:journal&amp;genre=journal&amp;req_dat=xri:pqil:pq_clntid=131239&amp;svc_dat=xri:pqil:context=title&amp;rft_dat=xri:pqd:PMID=2043525</t>
  </si>
  <si>
    <t>Bancyfelin</t>
  </si>
  <si>
    <t>01-Jan-2017--31-Dec-2017; 01-Jan-2019--31-Dec-2019</t>
  </si>
  <si>
    <t>http://gateway.proquest.com/openurl?url_ver=Z39.88-2004&amp;res_dat=xri:pqm&amp;rft_val_fmt=info:ofi/fmt:kev:mtx:journal&amp;genre=journal&amp;req_dat=xri:pqil:pq_clntid=131239&amp;svc_dat=xri:pqil:context=title&amp;rft_dat=xri:pqd:PMID=31416</t>
  </si>
  <si>
    <t>http://gateway.proquest.com/openurl?url_ver=Z39.88-2004&amp;res_dat=xri:pqm&amp;rft_val_fmt=info:ofi/fmt:kev:mtx:journal&amp;genre=journal&amp;req_dat=xri:pqil:pq_clntid=131239&amp;svc_dat=xri:pqil:context=title&amp;rft_dat=xri:pqd:PMID=76064</t>
  </si>
  <si>
    <t>Cheam</t>
  </si>
  <si>
    <t>http://gateway.proquest.com/openurl?url_ver=Z39.88-2004&amp;res_dat=xri:pqm&amp;rft_val_fmt=info:ofi/fmt:kev:mtx:journal&amp;genre=journal&amp;req_dat=xri:pqil:pq_clntid=131239&amp;svc_dat=xri:pqil:context=title&amp;rft_dat=xri:pqd:PMID=41301</t>
  </si>
  <si>
    <t>01-Jan-2006--31-Dec-2007; 01-Jan-2009--31-Dec-2012</t>
  </si>
  <si>
    <t>http://gateway.proquest.com/openurl?url_ver=Z39.88-2004&amp;res_dat=xri:pqm&amp;rft_val_fmt=info:ofi/fmt:kev:mtx:journal&amp;genre=journal&amp;req_dat=xri:pqil:pq_clntid=131239&amp;svc_dat=xri:pqil:context=title&amp;rft_dat=xri:pqd:PMID=28234</t>
  </si>
  <si>
    <t>São Leopoldo</t>
  </si>
  <si>
    <t>http://gateway.proquest.com/openurl?url_ver=Z39.88-2004&amp;res_dat=xri:pqm&amp;rft_val_fmt=info:ofi/fmt:kev:mtx:journal&amp;genre=journal&amp;req_dat=xri:pqil:pq_clntid=131239&amp;svc_dat=xri:pqil:context=title&amp;rft_dat=xri:pqd:PMID=2040962</t>
  </si>
  <si>
    <t>http://gateway.proquest.com/openurl?url_ver=Z39.88-2004&amp;res_dat=xri:pqm&amp;rft_val_fmt=info:ofi/fmt:kev:mtx:journal&amp;genre=journal&amp;req_dat=xri:pqil:pq_clntid=131239&amp;svc_dat=xri:pqil:context=title&amp;rft_dat=xri:pqd:PMID=5483554</t>
  </si>
  <si>
    <t>http://gateway.proquest.com/openurl?url_ver=Z39.88-2004&amp;res_dat=xri:pqm&amp;rft_val_fmt=info:ofi/fmt:kev:mtx:journal&amp;genre=journal&amp;req_dat=xri:pqil:pq_clntid=131239&amp;svc_dat=xri:pqil:context=title&amp;rft_dat=xri:pqd:PMID=5262526</t>
  </si>
  <si>
    <t>http://gateway.proquest.com/openurl?url_ver=Z39.88-2004&amp;res_dat=xri:pqm&amp;rft_val_fmt=info:ofi/fmt:kev:mtx:journal&amp;genre=journal&amp;req_dat=xri:pqil:pq_clntid=131239&amp;svc_dat=xri:pqil:context=title&amp;rft_dat=xri:pqd:PMID=6447828</t>
  </si>
  <si>
    <t>http://gateway.proquest.com/openurl?url_ver=Z39.88-2004&amp;res_dat=xri:pqm&amp;rft_val_fmt=info:ofi/fmt:kev:mtx:journal&amp;genre=journal&amp;req_dat=xri:pqil:pq_clntid=131239&amp;svc_dat=xri:pqil:context=title&amp;rft_dat=xri:pqd:PMID=5483539</t>
  </si>
  <si>
    <t>http://gateway.proquest.com/openurl?url_ver=Z39.88-2004&amp;res_dat=xri:pqm&amp;rft_val_fmt=info:ofi/fmt:kev:mtx:journal&amp;genre=journal&amp;req_dat=xri:pqil:pq_clntid=131239&amp;svc_dat=xri:pqil:context=title&amp;rft_dat=xri:pqd:PMID=5483538</t>
  </si>
  <si>
    <t>http://gateway.proquest.com/openurl?url_ver=Z39.88-2004&amp;res_dat=xri:pqm&amp;rft_val_fmt=info:ofi/fmt:kev:mtx:journal&amp;genre=journal&amp;req_dat=xri:pqil:pq_clntid=131239&amp;svc_dat=xri:pqil:context=title&amp;rft_dat=xri:pqd:PMID=5483537</t>
  </si>
  <si>
    <t>http://gateway.proquest.com/openurl?url_ver=Z39.88-2004&amp;res_dat=xri:pqm&amp;rft_val_fmt=info:ofi/fmt:kev:mtx:journal&amp;genre=journal&amp;req_dat=xri:pqil:pq_clntid=131239&amp;svc_dat=xri:pqil:context=title&amp;rft_dat=xri:pqd:PMID=5483536</t>
  </si>
  <si>
    <t>http://gateway.proquest.com/openurl?url_ver=Z39.88-2004&amp;res_dat=xri:pqm&amp;rft_val_fmt=info:ofi/fmt:kev:mtx:journal&amp;genre=journal&amp;req_dat=xri:pqil:pq_clntid=131239&amp;svc_dat=xri:pqil:context=title&amp;rft_dat=xri:pqd:PMID=5483535</t>
  </si>
  <si>
    <t>http://gateway.proquest.com/openurl?url_ver=Z39.88-2004&amp;res_dat=xri:pqm&amp;rft_val_fmt=info:ofi/fmt:kev:mtx:journal&amp;genre=journal&amp;req_dat=xri:pqil:pq_clntid=131239&amp;svc_dat=xri:pqil:context=title&amp;rft_dat=xri:pqd:PMID=5483534</t>
  </si>
  <si>
    <t>http://gateway.proquest.com/openurl?url_ver=Z39.88-2004&amp;res_dat=xri:pqm&amp;rft_val_fmt=info:ofi/fmt:kev:mtx:journal&amp;genre=journal&amp;req_dat=xri:pqil:pq_clntid=131239&amp;svc_dat=xri:pqil:context=title&amp;rft_dat=xri:pqd:PMID=5483533</t>
  </si>
  <si>
    <t>http://gateway.proquest.com/openurl?url_ver=Z39.88-2004&amp;res_dat=xri:pqm&amp;rft_val_fmt=info:ofi/fmt:kev:mtx:journal&amp;genre=journal&amp;req_dat=xri:pqil:pq_clntid=131239&amp;svc_dat=xri:pqil:context=title&amp;rft_dat=xri:pqd:PMID=5483532</t>
  </si>
  <si>
    <t>http://gateway.proquest.com/openurl?url_ver=Z39.88-2004&amp;res_dat=xri:pqm&amp;rft_val_fmt=info:ofi/fmt:kev:mtx:journal&amp;genre=journal&amp;req_dat=xri:pqil:pq_clntid=131239&amp;svc_dat=xri:pqil:context=title&amp;rft_dat=xri:pqd:PMID=5483531</t>
  </si>
  <si>
    <t>http://gateway.proquest.com/openurl?url_ver=Z39.88-2004&amp;res_dat=xri:pqm&amp;rft_val_fmt=info:ofi/fmt:kev:mtx:journal&amp;genre=journal&amp;req_dat=xri:pqil:pq_clntid=131239&amp;svc_dat=xri:pqil:context=title&amp;rft_dat=xri:pqd:PMID=5483530</t>
  </si>
  <si>
    <t>http://gateway.proquest.com/openurl?url_ver=Z39.88-2004&amp;res_dat=xri:pqm&amp;rft_val_fmt=info:ofi/fmt:kev:mtx:journal&amp;genre=journal&amp;req_dat=xri:pqil:pq_clntid=131239&amp;svc_dat=xri:pqil:context=title&amp;rft_dat=xri:pqd:PMID=5483529</t>
  </si>
  <si>
    <t>Bradford</t>
  </si>
  <si>
    <t>01-Jan-1999--31-Dec-2000</t>
  </si>
  <si>
    <t>http://gateway.proquest.com/openurl?url_ver=Z39.88-2004&amp;res_dat=xri:pqm&amp;rft_val_fmt=info:ofi/fmt:kev:mtx:journal&amp;genre=journal&amp;req_dat=xri:pqil:pq_clntid=131239&amp;svc_dat=xri:pqil:context=title&amp;rft_dat=xri:pqd:PMID=25916</t>
  </si>
  <si>
    <t>http://gateway.proquest.com/openurl?url_ver=Z39.88-2004&amp;res_dat=xri:pqm&amp;rft_val_fmt=info:ofi/fmt:kev:mtx:journal&amp;genre=journal&amp;req_dat=xri:pqil:pq_clntid=131239&amp;svc_dat=xri:pqil:context=title&amp;rft_dat=xri:pqd:PMID=26974</t>
  </si>
  <si>
    <t>http://gateway.proquest.com/openurl?url_ver=Z39.88-2004&amp;res_dat=xri:pqm&amp;rft_val_fmt=info:ofi/fmt:kev:mtx:journal&amp;genre=journal&amp;req_dat=xri:pqil:pq_clntid=131239&amp;svc_dat=xri:pqil:context=title&amp;rft_dat=xri:pqd:PMID=5256679</t>
  </si>
  <si>
    <t>http://gateway.proquest.com/openurl?url_ver=Z39.88-2004&amp;res_dat=xri:pqm&amp;rft_val_fmt=info:ofi/fmt:kev:mtx:journal&amp;genre=journal&amp;req_dat=xri:pqil:pq_clntid=131239&amp;svc_dat=xri:pqil:context=title&amp;rft_dat=xri:pqd:PMID=5256678</t>
  </si>
  <si>
    <t>http://gateway.proquest.com/openurl?url_ver=Z39.88-2004&amp;res_dat=xri:pqm&amp;rft_val_fmt=info:ofi/fmt:kev:mtx:journal&amp;genre=journal&amp;req_dat=xri:pqil:pq_clntid=131239&amp;svc_dat=xri:pqil:context=title&amp;rft_dat=xri:pqd:PMID=5256677</t>
  </si>
  <si>
    <t>http://gateway.proquest.com/openurl?url_ver=Z39.88-2004&amp;res_dat=xri:pqm&amp;rft_val_fmt=info:ofi/fmt:kev:mtx:journal&amp;genre=journal&amp;req_dat=xri:pqil:pq_clntid=131239&amp;svc_dat=xri:pqil:context=title&amp;rft_dat=xri:pqd:PMID=5203033</t>
  </si>
  <si>
    <t>College Park</t>
  </si>
  <si>
    <t>http://gateway.proquest.com/openurl?url_ver=Z39.88-2004&amp;res_dat=xri:pqm&amp;rft_val_fmt=info:ofi/fmt:kev:mtx:journal&amp;genre=journal&amp;req_dat=xri:pqil:pq_clntid=131239&amp;svc_dat=xri:pqil:context=title&amp;rft_dat=xri:pqd:PMID=47491</t>
  </si>
  <si>
    <t>http://gateway.proquest.com/openurl?url_ver=Z39.88-2004&amp;res_dat=xri:pqm&amp;rft_val_fmt=info:ofi/fmt:kev:mtx:journal&amp;genre=journal&amp;req_dat=xri:pqil:pq_clntid=131239&amp;svc_dat=xri:pqil:context=title&amp;rft_dat=xri:pqd:PMID=5256690</t>
  </si>
  <si>
    <t>http://gateway.proquest.com/openurl?url_ver=Z39.88-2004&amp;res_dat=xri:pqm&amp;rft_val_fmt=info:ofi/fmt:kev:mtx:journal&amp;genre=journal&amp;req_dat=xri:pqil:pq_clntid=131239&amp;svc_dat=xri:pqil:context=title&amp;rft_dat=xri:pqd:PMID=5256702</t>
  </si>
  <si>
    <t>http://gateway.proquest.com/openurl?url_ver=Z39.88-2004&amp;res_dat=xri:pqm&amp;rft_val_fmt=info:ofi/fmt:kev:mtx:journal&amp;genre=journal&amp;req_dat=xri:pqil:pq_clntid=131239&amp;svc_dat=xri:pqil:context=title&amp;rft_dat=xri:pqd:PMID=5262106</t>
  </si>
  <si>
    <t>http://gateway.proquest.com/openurl?url_ver=Z39.88-2004&amp;res_dat=xri:pqm&amp;rft_val_fmt=info:ofi/fmt:kev:mtx:journal&amp;genre=journal&amp;req_dat=xri:pqil:pq_clntid=131239&amp;svc_dat=xri:pqil:context=title&amp;rft_dat=xri:pqd:PMID=48224</t>
  </si>
  <si>
    <t>http://gateway.proquest.com/openurl?url_ver=Z39.88-2004&amp;res_dat=xri:pqm&amp;rft_val_fmt=info:ofi/fmt:kev:mtx:journal&amp;genre=journal&amp;req_dat=xri:pqil:pq_clntid=131239&amp;svc_dat=xri:pqil:context=title&amp;rft_dat=xri:pqd:PMID=5256680</t>
  </si>
  <si>
    <t>http://gateway.proquest.com/openurl?url_ver=Z39.88-2004&amp;res_dat=xri:pqm&amp;rft_val_fmt=info:ofi/fmt:kev:mtx:journal&amp;genre=journal&amp;req_dat=xri:pqil:pq_clntid=131239&amp;svc_dat=xri:pqil:context=title&amp;rft_dat=xri:pqd:PMID=48734</t>
  </si>
  <si>
    <t>http://gateway.proquest.com/openurl?url_ver=Z39.88-2004&amp;res_dat=xri:pqm&amp;rft_val_fmt=info:ofi/fmt:kev:mtx:journal&amp;genre=journal&amp;req_dat=xri:pqil:pq_clntid=131239&amp;svc_dat=xri:pqil:context=title&amp;rft_dat=xri:pqd:PMID=5256676</t>
  </si>
  <si>
    <t>The Counselling Channel</t>
  </si>
  <si>
    <t>http://gateway.proquest.com/openurl?url_ver=Z39.88-2004&amp;res_dat=xri:pqm&amp;rft_val_fmt=info:ofi/fmt:kev:mtx:journal&amp;genre=journal&amp;req_dat=xri:pqil:pq_clntid=131239&amp;svc_dat=xri:pqil:context=title&amp;rft_dat=xri:pqd:PMID=6364595</t>
  </si>
  <si>
    <t>http://gateway.proquest.com/openurl?url_ver=Z39.88-2004&amp;res_dat=xri:pqm&amp;rft_val_fmt=info:ofi/fmt:kev:mtx:journal&amp;genre=journal&amp;req_dat=xri:pqil:pq_clntid=131239&amp;svc_dat=xri:pqil:context=title&amp;rft_dat=xri:pqd:PMID=5256686</t>
  </si>
  <si>
    <t>Fownhope</t>
  </si>
  <si>
    <t>http://gateway.proquest.com/openurl?url_ver=Z39.88-2004&amp;res_dat=xri:pqm&amp;rft_val_fmt=info:ofi/fmt:kev:mtx:journal&amp;genre=journal&amp;req_dat=xri:pqil:pq_clntid=131239&amp;svc_dat=xri:pqil:context=title&amp;rft_dat=xri:pqd:PMID=6362755</t>
  </si>
  <si>
    <t>http://gateway.proquest.com/openurl?url_ver=Z39.88-2004&amp;res_dat=xri:pqm&amp;rft_val_fmt=info:ofi/fmt:kev:mtx:journal&amp;genre=journal&amp;req_dat=xri:pqil:pq_clntid=131239&amp;svc_dat=xri:pqil:context=title&amp;rft_dat=xri:pqd:PMID=32882</t>
  </si>
  <si>
    <t>http://gateway.proquest.com/openurl?url_ver=Z39.88-2004&amp;res_dat=xri:pqm&amp;rft_val_fmt=info:ofi/fmt:kev:mtx:journal&amp;genre=journal&amp;req_dat=xri:pqil:pq_clntid=131239&amp;svc_dat=xri:pqil:context=title&amp;rft_dat=xri:pqd:PMID=5483629</t>
  </si>
  <si>
    <t>http://gateway.proquest.com/openurl?url_ver=Z39.88-2004&amp;res_dat=xri:pqm&amp;rft_val_fmt=info:ofi/fmt:kev:mtx:journal&amp;genre=journal&amp;req_dat=xri:pqil:pq_clntid=131239&amp;svc_dat=xri:pqil:context=title&amp;rft_dat=xri:pqd:PMID=6009016</t>
  </si>
  <si>
    <t>http://gateway.proquest.com/openurl?url_ver=Z39.88-2004&amp;res_dat=xri:pqm&amp;rft_val_fmt=info:ofi/fmt:kev:mtx:journal&amp;genre=journal&amp;req_dat=xri:pqil:pq_clntid=131239&amp;svc_dat=xri:pqil:context=title&amp;rft_dat=xri:pqd:PMID=5485073</t>
  </si>
  <si>
    <t>http://gateway.proquest.com/openurl?url_ver=Z39.88-2004&amp;res_dat=xri:pqm&amp;rft_val_fmt=info:ofi/fmt:kev:mtx:journal&amp;genre=journal&amp;req_dat=xri:pqil:pq_clntid=131239&amp;svc_dat=xri:pqil:context=title&amp;rft_dat=xri:pqd:PMID=178183</t>
  </si>
  <si>
    <t>Fredericton</t>
  </si>
  <si>
    <t>http://gateway.proquest.com/openurl?url_ver=Z39.88-2004&amp;res_dat=xri:pqm&amp;rft_val_fmt=info:ofi/fmt:kev:mtx:journal&amp;genre=journal&amp;req_dat=xri:pqil:pq_clntid=131239&amp;svc_dat=xri:pqil:context=title&amp;rft_dat=xri:pqd:PMID=43537</t>
  </si>
  <si>
    <t>http://gateway.proquest.com/openurl?url_ver=Z39.88-2004&amp;res_dat=xri:pqm&amp;rft_val_fmt=info:ofi/fmt:kev:mtx:journal&amp;genre=journal&amp;req_dat=xri:pqil:pq_clntid=131239&amp;svc_dat=xri:pqil:context=title&amp;rft_dat=xri:pqd:PMID=25206</t>
  </si>
  <si>
    <t>http://gateway.proquest.com/openurl?url_ver=Z39.88-2004&amp;res_dat=xri:pqm&amp;rft_val_fmt=info:ofi/fmt:kev:mtx:journal&amp;genre=journal&amp;req_dat=xri:pqil:pq_clntid=131239&amp;svc_dat=xri:pqil:context=title&amp;rft_dat=xri:pqd:PMID=6362754</t>
  </si>
  <si>
    <t>Glastonbury</t>
  </si>
  <si>
    <t>http://gateway.proquest.com/openurl?url_ver=Z39.88-2004&amp;res_dat=xri:pqm&amp;rft_val_fmt=info:ofi/fmt:kev:mtx:journal&amp;genre=journal&amp;req_dat=xri:pqil:pq_clntid=131239&amp;svc_dat=xri:pqil:context=title&amp;rft_dat=xri:pqd:PMID=6364594</t>
  </si>
  <si>
    <t>http://gateway.proquest.com/openurl?url_ver=Z39.88-2004&amp;res_dat=xri:pqm&amp;rft_val_fmt=info:ofi/fmt:kev:mtx:journal&amp;genre=journal&amp;req_dat=xri:pqil:pq_clntid=131239&amp;svc_dat=xri:pqil:context=title&amp;rft_dat=xri:pqd:PMID=2043254</t>
  </si>
  <si>
    <t>http://gateway.proquest.com/openurl?url_ver=Z39.88-2004&amp;res_dat=xri:pqm&amp;rft_val_fmt=info:ofi/fmt:kev:mtx:journal&amp;genre=journal&amp;req_dat=xri:pqil:pq_clntid=131239&amp;svc_dat=xri:pqil:context=title&amp;rft_dat=xri:pqd:PMID=5483565</t>
  </si>
  <si>
    <t>http://gateway.proquest.com/openurl?url_ver=Z39.88-2004&amp;res_dat=xri:pqm&amp;rft_val_fmt=info:ofi/fmt:kev:mtx:journal&amp;genre=journal&amp;req_dat=xri:pqil:pq_clntid=131239&amp;svc_dat=xri:pqil:context=title&amp;rft_dat=xri:pqd:PMID=5483546</t>
  </si>
  <si>
    <t>http://gateway.proquest.com/openurl?url_ver=Z39.88-2004&amp;res_dat=xri:pqm&amp;rft_val_fmt=info:ofi/fmt:kev:mtx:journal&amp;genre=journal&amp;req_dat=xri:pqil:pq_clntid=131239&amp;svc_dat=xri:pqil:context=title&amp;rft_dat=xri:pqd:PMID=5483528</t>
  </si>
  <si>
    <t>http://gateway.proquest.com/openurl?url_ver=Z39.88-2004&amp;res_dat=xri:pqm&amp;rft_val_fmt=info:ofi/fmt:kev:mtx:journal&amp;genre=journal&amp;req_dat=xri:pqil:pq_clntid=131239&amp;svc_dat=xri:pqil:context=title&amp;rft_dat=xri:pqd:PMID=5325193</t>
  </si>
  <si>
    <t>http://gateway.proquest.com/openurl?url_ver=Z39.88-2004&amp;res_dat=xri:pqm&amp;rft_val_fmt=info:ofi/fmt:kev:mtx:journal&amp;genre=journal&amp;req_dat=xri:pqil:pq_clntid=131239&amp;svc_dat=xri:pqil:context=title&amp;rft_dat=xri:pqd:PMID=5483595</t>
  </si>
  <si>
    <t>http://gateway.proquest.com/openurl?url_ver=Z39.88-2004&amp;res_dat=xri:pqm&amp;rft_val_fmt=info:ofi/fmt:kev:mtx:journal&amp;genre=journal&amp;req_dat=xri:pqil:pq_clntid=131239&amp;svc_dat=xri:pqil:context=title&amp;rft_dat=xri:pqd:PMID=46257</t>
  </si>
  <si>
    <t>http://gateway.proquest.com/openurl?url_ver=Z39.88-2004&amp;res_dat=xri:pqm&amp;rft_val_fmt=info:ofi/fmt:kev:mtx:journal&amp;genre=journal&amp;req_dat=xri:pqil:pq_clntid=131239&amp;svc_dat=xri:pqil:context=title&amp;rft_dat=xri:pqd:PMID=2043143</t>
  </si>
  <si>
    <t>http://gateway.proquest.com/openurl?url_ver=Z39.88-2004&amp;res_dat=xri:pqm&amp;rft_val_fmt=info:ofi/fmt:kev:mtx:journal&amp;genre=journal&amp;req_dat=xri:pqil:pq_clntid=131239&amp;svc_dat=xri:pqil:context=title&amp;rft_dat=xri:pqd:PMID=186259</t>
  </si>
  <si>
    <t>http://gateway.proquest.com/openurl?url_ver=Z39.88-2004&amp;res_dat=xri:pqm&amp;rft_val_fmt=info:ofi/fmt:kev:mtx:journal&amp;genre=journal&amp;req_dat=xri:pqil:pq_clntid=131239&amp;svc_dat=xri:pqil:context=title&amp;rft_dat=xri:pqd:PMID=6394510</t>
  </si>
  <si>
    <t>http://gateway.proquest.com/openurl?url_ver=Z39.88-2004&amp;res_dat=xri:pqm&amp;rft_val_fmt=info:ofi/fmt:kev:mtx:journal&amp;genre=journal&amp;req_dat=xri:pqil:pq_clntid=131239&amp;svc_dat=xri:pqil:context=title&amp;rft_dat=xri:pqd:PMID=41464</t>
  </si>
  <si>
    <t>http://gateway.proquest.com/openurl?url_ver=Z39.88-2004&amp;res_dat=xri:pqm&amp;rft_val_fmt=info:ofi/fmt:kev:mtx:journal&amp;genre=journal&amp;req_dat=xri:pqil:pq_clntid=131239&amp;svc_dat=xri:pqil:context=title&amp;rft_dat=xri:pqd:PMID=186257</t>
  </si>
  <si>
    <t>http://gateway.proquest.com/openurl?url_ver=Z39.88-2004&amp;res_dat=xri:pqm&amp;rft_val_fmt=info:ofi/fmt:kev:mtx:journal&amp;genre=journal&amp;req_dat=xri:pqil:pq_clntid=131239&amp;svc_dat=xri:pqil:context=title&amp;rft_dat=xri:pqd:PMID=33008</t>
  </si>
  <si>
    <t>http://gateway.proquest.com/openurl?url_ver=Z39.88-2004&amp;res_dat=xri:pqm&amp;rft_val_fmt=info:ofi/fmt:kev:mtx:journal&amp;genre=journal&amp;req_dat=xri:pqil:pq_clntid=131239&amp;svc_dat=xri:pqil:context=title&amp;rft_dat=xri:pqd:PMID=49045</t>
  </si>
  <si>
    <t>http://gateway.proquest.com/openurl?url_ver=Z39.88-2004&amp;res_dat=xri:pqm&amp;rft_val_fmt=info:ofi/fmt:kev:mtx:journal&amp;genre=journal&amp;req_dat=xri:pqil:pq_clntid=131239&amp;svc_dat=xri:pqil:context=title&amp;rft_dat=xri:pqd:PMID=48351</t>
  </si>
  <si>
    <t>http://gateway.proquest.com/openurl?url_ver=Z39.88-2004&amp;res_dat=xri:pqm&amp;rft_val_fmt=info:ofi/fmt:kev:mtx:journal&amp;genre=journal&amp;req_dat=xri:pqil:pq_clntid=131239&amp;svc_dat=xri:pqil:context=title&amp;rft_dat=xri:pqd:PMID=52969</t>
  </si>
  <si>
    <t>http://gateway.proquest.com/openurl?url_ver=Z39.88-2004&amp;res_dat=xri:pqm&amp;rft_val_fmt=info:ofi/fmt:kev:mtx:journal&amp;genre=journal&amp;req_dat=xri:pqil:pq_clntid=131239&amp;svc_dat=xri:pqil:context=title&amp;rft_dat=xri:pqd:PMID=37718</t>
  </si>
  <si>
    <t>Columbus</t>
  </si>
  <si>
    <t>http://gateway.proquest.com/openurl?url_ver=Z39.88-2004&amp;res_dat=xri:pqm&amp;rft_val_fmt=info:ofi/fmt:kev:mtx:journal&amp;genre=journal&amp;req_dat=xri:pqil:pq_clntid=131239&amp;svc_dat=xri:pqil:context=title&amp;rft_dat=xri:pqd:PMID=49230</t>
  </si>
  <si>
    <t>Pullman</t>
  </si>
  <si>
    <t>http://gateway.proquest.com/openurl?url_ver=Z39.88-2004&amp;res_dat=xri:pqm&amp;rft_val_fmt=info:ofi/fmt:kev:mtx:journal&amp;genre=journal&amp;req_dat=xri:pqil:pq_clntid=131239&amp;svc_dat=xri:pqil:context=title&amp;rft_dat=xri:pqd:PMID=38354</t>
  </si>
  <si>
    <t>http://gateway.proquest.com/openurl?url_ver=Z39.88-2004&amp;res_dat=xri:pqm&amp;rft_val_fmt=info:ofi/fmt:kev:mtx:journal&amp;genre=journal&amp;req_dat=xri:pqil:pq_clntid=131239&amp;svc_dat=xri:pqil:context=title&amp;rft_dat=xri:pqd:PMID=5483613</t>
  </si>
  <si>
    <t>http://gateway.proquest.com/openurl?url_ver=Z39.88-2004&amp;res_dat=xri:pqm&amp;rft_val_fmt=info:ofi/fmt:kev:mtx:journal&amp;genre=journal&amp;req_dat=xri:pqil:pq_clntid=131239&amp;svc_dat=xri:pqil:context=title&amp;rft_dat=xri:pqd:PMID=5483604</t>
  </si>
  <si>
    <t>Iași</t>
  </si>
  <si>
    <t>01-Jan-2003--31-Dec-2003</t>
  </si>
  <si>
    <t>http://gateway.proquest.com/openurl?url_ver=Z39.88-2004&amp;res_dat=xri:pqm&amp;rft_val_fmt=info:ofi/fmt:kev:mtx:journal&amp;genre=journal&amp;req_dat=xri:pqil:pq_clntid=131239&amp;svc_dat=xri:pqil:context=title&amp;rft_dat=xri:pqd:PMID=4464511</t>
  </si>
  <si>
    <t>01-Jan-1982--31-Dec-1982; 01-Jan-1985--31-Dec-1986; 01-Jan-1989--31-Dec-1989; 01-Jan-1991--31-Dec-1991</t>
  </si>
  <si>
    <t>http://gateway.proquest.com/openurl?url_ver=Z39.88-2004&amp;res_dat=xri:pqm&amp;rft_val_fmt=info:ofi/fmt:kev:mtx:journal&amp;genre=journal&amp;req_dat=xri:pqil:pq_clntid=131239&amp;svc_dat=xri:pqil:context=title&amp;rft_dat=xri:pqd:PMID=41336</t>
  </si>
  <si>
    <t>http://gateway.proquest.com/openurl?url_ver=Z39.88-2004&amp;res_dat=xri:pqm&amp;rft_val_fmt=info:ofi/fmt:kev:mtx:journal&amp;genre=journal&amp;req_dat=xri:pqil:pq_clntid=131239&amp;svc_dat=xri:pqil:context=title&amp;rft_dat=xri:pqd:PMID=27266</t>
  </si>
  <si>
    <t>Cross Cultural Counseling</t>
  </si>
  <si>
    <t>http://gateway.proquest.com/openurl?url_ver=Z39.88-2004&amp;res_dat=xri:pqm&amp;rft_val_fmt=info:ofi/fmt:kev:mtx:journal&amp;genre=journal&amp;req_dat=xri:pqil:pq_clntid=131239&amp;svc_dat=xri:pqil:context=title&amp;rft_dat=xri:pqd:PMID=6009015</t>
  </si>
  <si>
    <t>http://gateway.proquest.com/openurl?url_ver=Z39.88-2004&amp;res_dat=xri:pqm&amp;rft_val_fmt=info:ofi/fmt:kev:mtx:journal&amp;genre=journal&amp;req_dat=xri:pqil:pq_clntid=131239&amp;svc_dat=xri:pqil:context=title&amp;rft_dat=xri:pqd:PMID=43474</t>
  </si>
  <si>
    <t>Bogata</t>
  </si>
  <si>
    <t>http://gateway.proquest.com/openurl?url_ver=Z39.88-2004&amp;res_dat=xri:pqm&amp;rft_val_fmt=info:ofi/fmt:kev:mtx:journal&amp;genre=journal&amp;req_dat=xri:pqil:pq_clntid=131239&amp;svc_dat=xri:pqil:context=title&amp;rft_dat=xri:pqd:PMID=5251206</t>
  </si>
  <si>
    <t>Bogotá</t>
  </si>
  <si>
    <t>http://gateway.proquest.com/openurl?url_ver=Z39.88-2004&amp;res_dat=xri:pqm&amp;rft_val_fmt=info:ofi/fmt:kev:mtx:journal&amp;genre=journal&amp;req_dat=xri:pqil:pq_clntid=131239&amp;svc_dat=xri:pqil:context=title&amp;rft_dat=xri:pqd:PMID=2041081</t>
  </si>
  <si>
    <t>http://gateway.proquest.com/openurl?url_ver=Z39.88-2004&amp;res_dat=xri:pqm&amp;rft_val_fmt=info:ofi/fmt:kev:mtx:journal&amp;genre=journal&amp;req_dat=xri:pqil:pq_clntid=131239&amp;svc_dat=xri:pqil:context=title&amp;rft_dat=xri:pqd:PMID=5256674</t>
  </si>
  <si>
    <t>http://gateway.proquest.com/openurl?url_ver=Z39.88-2004&amp;res_dat=xri:pqm&amp;rft_val_fmt=info:ofi/fmt:kev:mtx:journal&amp;genre=journal&amp;req_dat=xri:pqil:pq_clntid=131239&amp;svc_dat=xri:pqil:context=title&amp;rft_dat=xri:pqd:PMID=27126</t>
  </si>
  <si>
    <t>http://gateway.proquest.com/openurl?url_ver=Z39.88-2004&amp;res_dat=xri:pqm&amp;rft_val_fmt=info:ofi/fmt:kev:mtx:journal&amp;genre=journal&amp;req_dat=xri:pqil:pq_clntid=131239&amp;svc_dat=xri:pqil:context=title&amp;rft_dat=xri:pqd:PMID=105554</t>
  </si>
  <si>
    <t>http://gateway.proquest.com/openurl?url_ver=Z39.88-2004&amp;res_dat=xri:pqm&amp;rft_val_fmt=info:ofi/fmt:kev:mtx:journal&amp;genre=journal&amp;req_dat=xri:pqil:pq_clntid=131239&amp;svc_dat=xri:pqil:context=title&amp;rft_dat=xri:pqd:PMID=36299</t>
  </si>
  <si>
    <t>Culture, Society and Masculinities</t>
  </si>
  <si>
    <t>Harriman</t>
  </si>
  <si>
    <t>1941-5583</t>
  </si>
  <si>
    <t>1941-5591</t>
  </si>
  <si>
    <t>http://gateway.proquest.com/openurl?url_ver=Z39.88-2004&amp;res_dat=xri:pqm&amp;rft_val_fmt=info:ofi/fmt:kev:mtx:journal&amp;genre=journal&amp;req_dat=xri:pqil:pq_clntid=131239&amp;svc_dat=xri:pqil:context=title&amp;rft_dat=xri:pqd:PMID=53089</t>
  </si>
  <si>
    <t>Thorofare</t>
  </si>
  <si>
    <t>http://gateway.proquest.com/openurl?url_ver=Z39.88-2004&amp;res_dat=xri:pqm&amp;rft_val_fmt=info:ofi/fmt:kev:mtx:journal&amp;genre=journal&amp;req_dat=xri:pqil:pq_clntid=131239&amp;svc_dat=xri:pqil:context=title&amp;rft_dat=xri:pqd:PMID=2026863</t>
  </si>
  <si>
    <t>http://gateway.proquest.com/openurl?url_ver=Z39.88-2004&amp;res_dat=xri:pqm&amp;rft_val_fmt=info:ofi/fmt:kev:mtx:journal&amp;genre=journal&amp;req_dat=xri:pqil:pq_clntid=131239&amp;svc_dat=xri:pqil:context=title&amp;rft_dat=xri:pqd:PMID=2026852</t>
  </si>
  <si>
    <t>http://gateway.proquest.com/openurl?url_ver=Z39.88-2004&amp;res_dat=xri:pqm&amp;rft_val_fmt=info:ofi/fmt:kev:mtx:journal&amp;genre=journal&amp;req_dat=xri:pqil:pq_clntid=131239&amp;svc_dat=xri:pqil:context=title&amp;rft_dat=xri:pqd:PMID=4395860</t>
  </si>
  <si>
    <t>http://gateway.proquest.com/openurl?url_ver=Z39.88-2004&amp;res_dat=xri:pqm&amp;rft_val_fmt=info:ofi/fmt:kev:mtx:journal&amp;genre=journal&amp;req_dat=xri:pqil:pq_clntid=131239&amp;svc_dat=xri:pqil:context=title&amp;rft_dat=xri:pqd:PMID=41592</t>
  </si>
  <si>
    <t>Current Behavioral Neuroscience Reports</t>
  </si>
  <si>
    <t>2196-2979</t>
  </si>
  <si>
    <t>http://gateway.proquest.com/openurl?url_ver=Z39.88-2004&amp;res_dat=xri:pqm&amp;rft_val_fmt=info:ofi/fmt:kev:mtx:journal&amp;genre=journal&amp;req_dat=xri:pqil:pq_clntid=131239&amp;svc_dat=xri:pqil:context=title&amp;rft_dat=xri:pqd:PMID=6420652</t>
  </si>
  <si>
    <t>Current Developmental Disorders Reports</t>
  </si>
  <si>
    <t>2196-2987</t>
  </si>
  <si>
    <t>http://gateway.proquest.com/openurl?url_ver=Z39.88-2004&amp;res_dat=xri:pqm&amp;rft_val_fmt=info:ofi/fmt:kev:mtx:journal&amp;genre=journal&amp;req_dat=xri:pqil:pq_clntid=131239&amp;svc_dat=xri:pqil:context=title&amp;rft_dat=xri:pqd:PMID=6420651</t>
  </si>
  <si>
    <t>http://gateway.proquest.com/openurl?url_ver=Z39.88-2004&amp;res_dat=xri:pqm&amp;rft_val_fmt=info:ofi/fmt:kev:mtx:journal&amp;genre=journal&amp;req_dat=xri:pqil:pq_clntid=131239&amp;svc_dat=xri:pqil:context=title&amp;rft_dat=xri:pqd:PMID=32166</t>
  </si>
  <si>
    <t>http://gateway.proquest.com/openurl?url_ver=Z39.88-2004&amp;res_dat=xri:pqm&amp;rft_val_fmt=info:ofi/fmt:kev:mtx:journal&amp;genre=journal&amp;req_dat=xri:pqil:pq_clntid=131239&amp;svc_dat=xri:pqil:context=title&amp;rft_dat=xri:pqd:PMID=486463</t>
  </si>
  <si>
    <t>http://gateway.proquest.com/openurl?url_ver=Z39.88-2004&amp;res_dat=xri:pqm&amp;rft_val_fmt=info:ofi/fmt:kev:mtx:journal&amp;genre=journal&amp;req_dat=xri:pqil:pq_clntid=131239&amp;svc_dat=xri:pqil:context=title&amp;rft_dat=xri:pqd:PMID=486465</t>
  </si>
  <si>
    <t>http://gateway.proquest.com/openurl?url_ver=Z39.88-2004&amp;res_dat=xri:pqm&amp;rft_val_fmt=info:ofi/fmt:kev:mtx:journal&amp;genre=journal&amp;req_dat=xri:pqil:pq_clntid=131239&amp;svc_dat=xri:pqil:context=title&amp;rft_dat=xri:pqd:PMID=5540467</t>
  </si>
  <si>
    <t>http://gateway.proquest.com/openurl?url_ver=Z39.88-2004&amp;res_dat=xri:pqm&amp;rft_val_fmt=info:ofi/fmt:kev:mtx:journal&amp;genre=journal&amp;req_dat=xri:pqil:pq_clntid=131239&amp;svc_dat=xri:pqil:context=title&amp;rft_dat=xri:pqd:PMID=326346</t>
  </si>
  <si>
    <t>http://gateway.proquest.com/openurl?url_ver=Z39.88-2004&amp;res_dat=xri:pqm&amp;rft_val_fmt=info:ofi/fmt:kev:mtx:journal&amp;genre=journal&amp;req_dat=xri:pqil:pq_clntid=131239&amp;svc_dat=xri:pqil:context=title&amp;rft_dat=xri:pqd:PMID=32643</t>
  </si>
  <si>
    <t>http://gateway.proquest.com/openurl?url_ver=Z39.88-2004&amp;res_dat=xri:pqm&amp;rft_val_fmt=info:ofi/fmt:kev:mtx:journal&amp;genre=journal&amp;req_dat=xri:pqil:pq_clntid=131239&amp;svc_dat=xri:pqil:context=title&amp;rft_dat=xri:pqd:PMID=4402920</t>
  </si>
  <si>
    <t>http://gateway.proquest.com/openurl?url_ver=Z39.88-2004&amp;res_dat=xri:pqm&amp;rft_val_fmt=info:ofi/fmt:kev:mtx:journal&amp;genre=journal&amp;req_dat=xri:pqil:pq_clntid=131239&amp;svc_dat=xri:pqil:context=title&amp;rft_dat=xri:pqd:PMID=37947</t>
  </si>
  <si>
    <t>Iowa City</t>
  </si>
  <si>
    <t>http://gateway.proquest.com/openurl?url_ver=Z39.88-2004&amp;res_dat=xri:pqm&amp;rft_val_fmt=info:ofi/fmt:kev:mtx:journal&amp;genre=journal&amp;req_dat=xri:pqil:pq_clntid=131239&amp;svc_dat=xri:pqil:context=title&amp;rft_dat=xri:pqd:PMID=2039982</t>
  </si>
  <si>
    <t>Current Treatment Options in Psychiatry</t>
  </si>
  <si>
    <t>2196-3061</t>
  </si>
  <si>
    <t>http://gateway.proquest.com/openurl?url_ver=Z39.88-2004&amp;res_dat=xri:pqm&amp;rft_val_fmt=info:ofi/fmt:kev:mtx:journal&amp;genre=journal&amp;req_dat=xri:pqil:pq_clntid=131239&amp;svc_dat=xri:pqil:context=title&amp;rft_dat=xri:pqd:PMID=6420650</t>
  </si>
  <si>
    <t>Brno</t>
  </si>
  <si>
    <t>http://gateway.proquest.com/openurl?url_ver=Z39.88-2004&amp;res_dat=xri:pqm&amp;rft_val_fmt=info:ofi/fmt:kev:mtx:journal&amp;genre=journal&amp;req_dat=xri:pqil:pq_clntid=131239&amp;svc_dat=xri:pqil:context=title&amp;rft_dat=xri:pqd:PMID=5246727</t>
  </si>
  <si>
    <t>http://gateway.proquest.com/openurl?url_ver=Z39.88-2004&amp;res_dat=xri:pqm&amp;rft_val_fmt=info:ofi/fmt:kev:mtx:journal&amp;genre=journal&amp;req_dat=xri:pqil:pq_clntid=131239&amp;svc_dat=xri:pqil:context=title&amp;rft_dat=xri:pqd:PMID=6447827</t>
  </si>
  <si>
    <t>http://gateway.proquest.com/openurl?url_ver=Z39.88-2004&amp;res_dat=xri:pqm&amp;rft_val_fmt=info:ofi/fmt:kev:mtx:journal&amp;genre=journal&amp;req_dat=xri:pqil:pq_clntid=131239&amp;svc_dat=xri:pqil:context=title&amp;rft_dat=xri:pqd:PMID=5262521</t>
  </si>
  <si>
    <t>http://gateway.proquest.com/openurl?url_ver=Z39.88-2004&amp;res_dat=xri:pqm&amp;rft_val_fmt=info:ofi/fmt:kev:mtx:journal&amp;genre=journal&amp;req_dat=xri:pqil:pq_clntid=131239&amp;svc_dat=xri:pqil:context=title&amp;rft_dat=xri:pqd:PMID=5262520</t>
  </si>
  <si>
    <t>http://gateway.proquest.com/openurl?url_ver=Z39.88-2004&amp;res_dat=xri:pqm&amp;rft_val_fmt=info:ofi/fmt:kev:mtx:journal&amp;genre=journal&amp;req_dat=xri:pqil:pq_clntid=131239&amp;svc_dat=xri:pqil:context=title&amp;rft_dat=xri:pqd:PMID=5262519</t>
  </si>
  <si>
    <t>http://gateway.proquest.com/openurl?url_ver=Z39.88-2004&amp;res_dat=xri:pqm&amp;rft_val_fmt=info:ofi/fmt:kev:mtx:journal&amp;genre=journal&amp;req_dat=xri:pqil:pq_clntid=131239&amp;svc_dat=xri:pqil:context=title&amp;rft_dat=xri:pqd:PMID=5262518</t>
  </si>
  <si>
    <t>http://gateway.proquest.com/openurl?url_ver=Z39.88-2004&amp;res_dat=xri:pqm&amp;rft_val_fmt=info:ofi/fmt:kev:mtx:journal&amp;genre=journal&amp;req_dat=xri:pqil:pq_clntid=131239&amp;svc_dat=xri:pqil:context=title&amp;rft_dat=xri:pqd:PMID=6447772</t>
  </si>
  <si>
    <t>http://gateway.proquest.com/openurl?url_ver=Z39.88-2004&amp;res_dat=xri:pqm&amp;rft_val_fmt=info:ofi/fmt:kev:mtx:journal&amp;genre=journal&amp;req_dat=xri:pqil:pq_clntid=131239&amp;svc_dat=xri:pqil:context=title&amp;rft_dat=xri:pqd:PMID=6447826</t>
  </si>
  <si>
    <t>http://gateway.proquest.com/openurl?url_ver=Z39.88-2004&amp;res_dat=xri:pqm&amp;rft_val_fmt=info:ofi/fmt:kev:mtx:journal&amp;genre=journal&amp;req_dat=xri:pqil:pq_clntid=131239&amp;svc_dat=xri:pqil:context=title&amp;rft_dat=xri:pqd:PMID=6447825</t>
  </si>
  <si>
    <t>http://gateway.proquest.com/openurl?url_ver=Z39.88-2004&amp;res_dat=xri:pqm&amp;rft_val_fmt=info:ofi/fmt:kev:mtx:journal&amp;genre=journal&amp;req_dat=xri:pqil:pq_clntid=131239&amp;svc_dat=xri:pqil:context=title&amp;rft_dat=xri:pqd:PMID=6447824</t>
  </si>
  <si>
    <t>http://gateway.proquest.com/openurl?url_ver=Z39.88-2004&amp;res_dat=xri:pqm&amp;rft_val_fmt=info:ofi/fmt:kev:mtx:journal&amp;genre=journal&amp;req_dat=xri:pqil:pq_clntid=131239&amp;svc_dat=xri:pqil:context=title&amp;rft_dat=xri:pqd:PMID=5262517</t>
  </si>
  <si>
    <t>http://gateway.proquest.com/openurl?url_ver=Z39.88-2004&amp;res_dat=xri:pqm&amp;rft_val_fmt=info:ofi/fmt:kev:mtx:journal&amp;genre=journal&amp;req_dat=xri:pqil:pq_clntid=131239&amp;svc_dat=xri:pqil:context=title&amp;rft_dat=xri:pqd:PMID=6447823</t>
  </si>
  <si>
    <t>http://gateway.proquest.com/openurl?url_ver=Z39.88-2004&amp;res_dat=xri:pqm&amp;rft_val_fmt=info:ofi/fmt:kev:mtx:journal&amp;genre=journal&amp;req_dat=xri:pqil:pq_clntid=131239&amp;svc_dat=xri:pqil:context=title&amp;rft_dat=xri:pqd:PMID=6447822</t>
  </si>
  <si>
    <t>http://gateway.proquest.com/openurl?url_ver=Z39.88-2004&amp;res_dat=xri:pqm&amp;rft_val_fmt=info:ofi/fmt:kev:mtx:journal&amp;genre=journal&amp;req_dat=xri:pqil:pq_clntid=131239&amp;svc_dat=xri:pqil:context=title&amp;rft_dat=xri:pqd:PMID=6447821</t>
  </si>
  <si>
    <t>http://gateway.proquest.com/openurl?url_ver=Z39.88-2004&amp;res_dat=xri:pqm&amp;rft_val_fmt=info:ofi/fmt:kev:mtx:journal&amp;genre=journal&amp;req_dat=xri:pqil:pq_clntid=131239&amp;svc_dat=xri:pqil:context=title&amp;rft_dat=xri:pqd:PMID=6447820</t>
  </si>
  <si>
    <t>http://gateway.proquest.com/openurl?url_ver=Z39.88-2004&amp;res_dat=xri:pqm&amp;rft_val_fmt=info:ofi/fmt:kev:mtx:journal&amp;genre=journal&amp;req_dat=xri:pqil:pq_clntid=131239&amp;svc_dat=xri:pqil:context=title&amp;rft_dat=xri:pqd:PMID=5262516</t>
  </si>
  <si>
    <t>http://gateway.proquest.com/openurl?url_ver=Z39.88-2004&amp;res_dat=xri:pqm&amp;rft_val_fmt=info:ofi/fmt:kev:mtx:journal&amp;genre=journal&amp;req_dat=xri:pqil:pq_clntid=131239&amp;svc_dat=xri:pqil:context=title&amp;rft_dat=xri:pqd:PMID=5262515</t>
  </si>
  <si>
    <t>http://gateway.proquest.com/openurl?url_ver=Z39.88-2004&amp;res_dat=xri:pqm&amp;rft_val_fmt=info:ofi/fmt:kev:mtx:journal&amp;genre=journal&amp;req_dat=xri:pqil:pq_clntid=131239&amp;svc_dat=xri:pqil:context=title&amp;rft_dat=xri:pqd:PMID=6447771</t>
  </si>
  <si>
    <t>http://gateway.proquest.com/openurl?url_ver=Z39.88-2004&amp;res_dat=xri:pqm&amp;rft_val_fmt=info:ofi/fmt:kev:mtx:journal&amp;genre=journal&amp;req_dat=xri:pqil:pq_clntid=131239&amp;svc_dat=xri:pqil:context=title&amp;rft_dat=xri:pqd:PMID=6447819</t>
  </si>
  <si>
    <t>http://gateway.proquest.com/openurl?url_ver=Z39.88-2004&amp;res_dat=xri:pqm&amp;rft_val_fmt=info:ofi/fmt:kev:mtx:journal&amp;genre=journal&amp;req_dat=xri:pqil:pq_clntid=131239&amp;svc_dat=xri:pqil:context=title&amp;rft_dat=xri:pqd:PMID=6447770</t>
  </si>
  <si>
    <t>Traumatology Institute</t>
  </si>
  <si>
    <t>http://gateway.proquest.com/openurl?url_ver=Z39.88-2004&amp;res_dat=xri:pqm&amp;rft_val_fmt=info:ofi/fmt:kev:mtx:journal&amp;genre=journal&amp;req_dat=xri:pqil:pq_clntid=131239&amp;svc_dat=xri:pqil:context=title&amp;rft_dat=xri:pqd:PMID=5263188</t>
  </si>
  <si>
    <t>El Cerrito</t>
  </si>
  <si>
    <t>http://gateway.proquest.com/openurl?url_ver=Z39.88-2004&amp;res_dat=xri:pqm&amp;rft_val_fmt=info:ofi/fmt:kev:mtx:journal&amp;genre=journal&amp;req_dat=xri:pqil:pq_clntid=131239&amp;svc_dat=xri:pqil:context=title&amp;rft_dat=xri:pqd:PMID=6009014</t>
  </si>
  <si>
    <t>David Mee-Lee's Instructional Sessions on Engaging Challenging Clients</t>
  </si>
  <si>
    <t>http://gateway.proquest.com/openurl?url_ver=Z39.88-2004&amp;res_dat=xri:pqm&amp;rft_val_fmt=info:ofi/fmt:kev:mtx:journal&amp;genre=journal&amp;req_dat=xri:pqil:pq_clntid=131239&amp;svc_dat=xri:pqil:context=title&amp;rft_dat=xri:pqd:PMID=6009013</t>
  </si>
  <si>
    <t>Davidson Films, Inc.</t>
  </si>
  <si>
    <t>San Luis Obispo</t>
  </si>
  <si>
    <t>http://gateway.proquest.com/openurl?url_ver=Z39.88-2004&amp;res_dat=xri:pqm&amp;rft_val_fmt=info:ofi/fmt:kev:mtx:journal&amp;genre=journal&amp;req_dat=xri:pqil:pq_clntid=131239&amp;svc_dat=xri:pqil:context=title&amp;rft_dat=xri:pqd:PMID=6362752</t>
  </si>
  <si>
    <t>http://gateway.proquest.com/openurl?url_ver=Z39.88-2004&amp;res_dat=xri:pqm&amp;rft_val_fmt=info:ofi/fmt:kev:mtx:journal&amp;genre=journal&amp;req_dat=xri:pqil:pq_clntid=131239&amp;svc_dat=xri:pqil:context=title&amp;rft_dat=xri:pqd:PMID=6059442</t>
  </si>
  <si>
    <t>http://gateway.proquest.com/openurl?url_ver=Z39.88-2004&amp;res_dat=xri:pqm&amp;rft_val_fmt=info:ofi/fmt:kev:mtx:journal&amp;genre=journal&amp;req_dat=xri:pqil:pq_clntid=131239&amp;svc_dat=xri:pqil:context=title&amp;rft_dat=xri:pqd:PMID=2043141</t>
  </si>
  <si>
    <t>http://gateway.proquest.com/openurl?url_ver=Z39.88-2004&amp;res_dat=xri:pqm&amp;rft_val_fmt=info:ofi/fmt:kev:mtx:journal&amp;genre=journal&amp;req_dat=xri:pqil:pq_clntid=131239&amp;svc_dat=xri:pqil:context=title&amp;rft_dat=xri:pqd:PMID=48005</t>
  </si>
  <si>
    <t>http://gateway.proquest.com/openurl?url_ver=Z39.88-2004&amp;res_dat=xri:pqm&amp;rft_val_fmt=info:ofi/fmt:kev:mtx:journal&amp;genre=journal&amp;req_dat=xri:pqil:pq_clntid=131239&amp;svc_dat=xri:pqil:context=title&amp;rft_dat=xri:pqd:PMID=2043140</t>
  </si>
  <si>
    <t>Kolkata</t>
  </si>
  <si>
    <t>http://gateway.proquest.com/openurl?url_ver=Z39.88-2004&amp;res_dat=xri:pqm&amp;rft_val_fmt=info:ofi/fmt:kev:mtx:journal&amp;genre=journal&amp;req_dat=xri:pqil:pq_clntid=131239&amp;svc_dat=xri:pqil:context=title&amp;rft_dat=xri:pqd:PMID=456299</t>
  </si>
  <si>
    <t>Linthicum</t>
  </si>
  <si>
    <t>http://gateway.proquest.com/openurl?url_ver=Z39.88-2004&amp;res_dat=xri:pqm&amp;rft_val_fmt=info:ofi/fmt:kev:mtx:journal&amp;genre=journal&amp;req_dat=xri:pqil:pq_clntid=131239&amp;svc_dat=xri:pqil:context=title&amp;rft_dat=xri:pqd:PMID=28339</t>
  </si>
  <si>
    <t>http://gateway.proquest.com/openurl?url_ver=Z39.88-2004&amp;res_dat=xri:pqm&amp;rft_val_fmt=info:ofi/fmt:kev:mtx:journal&amp;genre=journal&amp;req_dat=xri:pqil:pq_clntid=131239&amp;svc_dat=xri:pqil:context=title&amp;rft_dat=xri:pqd:PMID=2043139</t>
  </si>
  <si>
    <t>http://gateway.proquest.com/openurl?url_ver=Z39.88-2004&amp;res_dat=xri:pqm&amp;rft_val_fmt=info:ofi/fmt:kev:mtx:journal&amp;genre=journal&amp;req_dat=xri:pqil:pq_clntid=131239&amp;svc_dat=xri:pqil:context=title&amp;rft_dat=xri:pqd:PMID=37118</t>
  </si>
  <si>
    <t>http://gateway.proquest.com/openurl?url_ver=Z39.88-2004&amp;res_dat=xri:pqm&amp;rft_val_fmt=info:ofi/fmt:kev:mtx:journal&amp;genre=journal&amp;req_dat=xri:pqil:pq_clntid=131239&amp;svc_dat=xri:pqil:context=title&amp;rft_dat=xri:pqd:PMID=46291</t>
  </si>
  <si>
    <t>http://gateway.proquest.com/openurl?url_ver=Z39.88-2004&amp;res_dat=xri:pqm&amp;rft_val_fmt=info:ofi/fmt:kev:mtx:journal&amp;genre=journal&amp;req_dat=xri:pqil:pq_clntid=131239&amp;svc_dat=xri:pqil:context=title&amp;rft_dat=xri:pqd:PMID=5483628</t>
  </si>
  <si>
    <t>Macclesfield</t>
  </si>
  <si>
    <t>http://gateway.proquest.com/openurl?url_ver=Z39.88-2004&amp;res_dat=xri:pqm&amp;rft_val_fmt=info:ofi/fmt:kev:mtx:journal&amp;genre=journal&amp;req_dat=xri:pqil:pq_clntid=131239&amp;svc_dat=xri:pqil:context=title&amp;rft_dat=xri:pqd:PMID=3933172</t>
  </si>
  <si>
    <t>http://gateway.proquest.com/openurl?url_ver=Z39.88-2004&amp;res_dat=xri:pqm&amp;rft_val_fmt=info:ofi/fmt:kev:mtx:journal&amp;genre=journal&amp;req_dat=xri:pqil:pq_clntid=131239&amp;svc_dat=xri:pqil:context=title&amp;rft_dat=xri:pqd:PMID=5325207</t>
  </si>
  <si>
    <t>http://gateway.proquest.com/openurl?url_ver=Z39.88-2004&amp;res_dat=xri:pqm&amp;rft_val_fmt=info:ofi/fmt:kev:mtx:journal&amp;genre=journal&amp;req_dat=xri:pqil:pq_clntid=131239&amp;svc_dat=xri:pqil:context=title&amp;rft_dat=xri:pqd:PMID=5488564</t>
  </si>
  <si>
    <t>http://gateway.proquest.com/openurl?url_ver=Z39.88-2004&amp;res_dat=xri:pqm&amp;rft_val_fmt=info:ofi/fmt:kev:mtx:journal&amp;genre=journal&amp;req_dat=xri:pqil:pq_clntid=131239&amp;svc_dat=xri:pqil:context=title&amp;rft_dat=xri:pqd:PMID=34042</t>
  </si>
  <si>
    <t>http://gateway.proquest.com/openurl?url_ver=Z39.88-2004&amp;res_dat=xri:pqm&amp;rft_val_fmt=info:ofi/fmt:kev:mtx:journal&amp;genre=journal&amp;req_dat=xri:pqil:pq_clntid=131239&amp;svc_dat=xri:pqil:context=title&amp;rft_dat=xri:pqd:PMID=2047987</t>
  </si>
  <si>
    <t>http://gateway.proquest.com/openurl?url_ver=Z39.88-2004&amp;res_dat=xri:pqm&amp;rft_val_fmt=info:ofi/fmt:kev:mtx:journal&amp;genre=journal&amp;req_dat=xri:pqil:pq_clntid=131239&amp;svc_dat=xri:pqil:context=title&amp;rft_dat=xri:pqd:PMID=5483614</t>
  </si>
  <si>
    <t>http://gateway.proquest.com/openurl?url_ver=Z39.88-2004&amp;res_dat=xri:pqm&amp;rft_val_fmt=info:ofi/fmt:kev:mtx:journal&amp;genre=journal&amp;req_dat=xri:pqil:pq_clntid=131239&amp;svc_dat=xri:pqil:context=title&amp;rft_dat=xri:pqd:PMID=2037466</t>
  </si>
  <si>
    <t>http://gateway.proquest.com/openurl?url_ver=Z39.88-2004&amp;res_dat=xri:pqm&amp;rft_val_fmt=info:ofi/fmt:kev:mtx:journal&amp;genre=journal&amp;req_dat=xri:pqil:pq_clntid=131239&amp;svc_dat=xri:pqil:context=title&amp;rft_dat=xri:pqd:PMID=946360</t>
  </si>
  <si>
    <t>http://gateway.proquest.com/openurl?url_ver=Z39.88-2004&amp;res_dat=xri:pqm&amp;rft_val_fmt=info:ofi/fmt:kev:mtx:journal&amp;genre=journal&amp;req_dat=xri:pqil:pq_clntid=131239&amp;svc_dat=xri:pqil:context=title&amp;rft_dat=xri:pqd:PMID=5262525</t>
  </si>
  <si>
    <t>http://gateway.proquest.com/openurl?url_ver=Z39.88-2004&amp;res_dat=xri:pqm&amp;rft_val_fmt=info:ofi/fmt:kev:mtx:journal&amp;genre=journal&amp;req_dat=xri:pqil:pq_clntid=131239&amp;svc_dat=xri:pqil:context=title&amp;rft_dat=xri:pqd:PMID=5262524</t>
  </si>
  <si>
    <t>http://gateway.proquest.com/openurl?url_ver=Z39.88-2004&amp;res_dat=xri:pqm&amp;rft_val_fmt=info:ofi/fmt:kev:mtx:journal&amp;genre=journal&amp;req_dat=xri:pqil:pq_clntid=131239&amp;svc_dat=xri:pqil:context=title&amp;rft_dat=xri:pqd:PMID=5262523</t>
  </si>
  <si>
    <t>http://gateway.proquest.com/openurl?url_ver=Z39.88-2004&amp;res_dat=xri:pqm&amp;rft_val_fmt=info:ofi/fmt:kev:mtx:journal&amp;genre=journal&amp;req_dat=xri:pqil:pq_clntid=131239&amp;svc_dat=xri:pqil:context=title&amp;rft_dat=xri:pqd:PMID=5262522</t>
  </si>
  <si>
    <t>http://gateway.proquest.com/openurl?url_ver=Z39.88-2004&amp;res_dat=xri:pqm&amp;rft_val_fmt=info:ofi/fmt:kev:mtx:journal&amp;genre=journal&amp;req_dat=xri:pqil:pq_clntid=131239&amp;svc_dat=xri:pqil:context=title&amp;rft_dat=xri:pqd:PMID=5256673</t>
  </si>
  <si>
    <t>http://gateway.proquest.com/openurl?url_ver=Z39.88-2004&amp;res_dat=xri:pqm&amp;rft_val_fmt=info:ofi/fmt:kev:mtx:journal&amp;genre=journal&amp;req_dat=xri:pqil:pq_clntid=131239&amp;svc_dat=xri:pqil:context=title&amp;rft_dat=xri:pqd:PMID=5983417</t>
  </si>
  <si>
    <t>Bogota</t>
  </si>
  <si>
    <t>http://gateway.proquest.com/openurl?url_ver=Z39.88-2004&amp;res_dat=xri:pqm&amp;rft_val_fmt=info:ofi/fmt:kev:mtx:journal&amp;genre=journal&amp;req_dat=xri:pqil:pq_clntid=131239&amp;svc_dat=xri:pqil:context=title&amp;rft_dat=xri:pqd:PMID=2035737</t>
  </si>
  <si>
    <t>http://gateway.proquest.com/openurl?url_ver=Z39.88-2004&amp;res_dat=xri:pqm&amp;rft_val_fmt=info:ofi/fmt:kev:mtx:journal&amp;genre=journal&amp;req_dat=xri:pqil:pq_clntid=131239&amp;svc_dat=xri:pqil:context=title&amp;rft_dat=xri:pqd:PMID=6009012</t>
  </si>
  <si>
    <t>http://gateway.proquest.com/openurl?url_ver=Z39.88-2004&amp;res_dat=xri:pqm&amp;rft_val_fmt=info:ofi/fmt:kev:mtx:journal&amp;genre=journal&amp;req_dat=xri:pqil:pq_clntid=131239&amp;svc_dat=xri:pqil:context=title&amp;rft_dat=xri:pqd:PMID=43762</t>
  </si>
  <si>
    <t>http://gateway.proquest.com/openurl?url_ver=Z39.88-2004&amp;res_dat=xri:pqm&amp;rft_val_fmt=info:ofi/fmt:kev:mtx:journal&amp;genre=journal&amp;req_dat=xri:pqil:pq_clntid=131239&amp;svc_dat=xri:pqil:context=title&amp;rft_dat=xri:pqd:PMID=30453</t>
  </si>
  <si>
    <t>http://gateway.proquest.com/openurl?url_ver=Z39.88-2004&amp;res_dat=xri:pqm&amp;rft_val_fmt=info:ofi/fmt:kev:mtx:journal&amp;genre=journal&amp;req_dat=xri:pqil:pq_clntid=131239&amp;svc_dat=xri:pqil:context=title&amp;rft_dat=xri:pqd:PMID=5256672</t>
  </si>
  <si>
    <t>http://gateway.proquest.com/openurl?url_ver=Z39.88-2004&amp;res_dat=xri:pqm&amp;rft_val_fmt=info:ofi/fmt:kev:mtx:journal&amp;genre=journal&amp;req_dat=xri:pqil:pq_clntid=131239&amp;svc_dat=xri:pqil:context=title&amp;rft_dat=xri:pqd:PMID=4720766</t>
  </si>
  <si>
    <t>http://gateway.proquest.com/openurl?url_ver=Z39.88-2004&amp;res_dat=xri:pqm&amp;rft_val_fmt=info:ofi/fmt:kev:mtx:journal&amp;genre=journal&amp;req_dat=xri:pqil:pq_clntid=131239&amp;svc_dat=xri:pqil:context=title&amp;rft_dat=xri:pqd:PMID=6394501</t>
  </si>
  <si>
    <t>http://gateway.proquest.com/openurl?url_ver=Z39.88-2004&amp;res_dat=xri:pqm&amp;rft_val_fmt=info:ofi/fmt:kev:mtx:journal&amp;genre=journal&amp;req_dat=xri:pqil:pq_clntid=131239&amp;svc_dat=xri:pqil:context=title&amp;rft_dat=xri:pqd:PMID=32979</t>
  </si>
  <si>
    <t>http://gateway.proquest.com/openurl?url_ver=Z39.88-2004&amp;res_dat=xri:pqm&amp;rft_val_fmt=info:ofi/fmt:kev:mtx:journal&amp;genre=journal&amp;req_dat=xri:pqil:pq_clntid=131239&amp;svc_dat=xri:pqil:context=title&amp;rft_dat=xri:pqd:PMID=27571</t>
  </si>
  <si>
    <t>http://gateway.proquest.com/openurl?url_ver=Z39.88-2004&amp;res_dat=xri:pqm&amp;rft_val_fmt=info:ofi/fmt:kev:mtx:journal&amp;genre=journal&amp;req_dat=xri:pqil:pq_clntid=131239&amp;svc_dat=xri:pqil:context=title&amp;rft_dat=xri:pqd:PMID=34809</t>
  </si>
  <si>
    <t>http://gateway.proquest.com/openurl?url_ver=Z39.88-2004&amp;res_dat=xri:pqm&amp;rft_val_fmt=info:ofi/fmt:kev:mtx:journal&amp;genre=journal&amp;req_dat=xri:pqil:pq_clntid=131239&amp;svc_dat=xri:pqil:context=title&amp;rft_dat=xri:pqd:PMID=36967</t>
  </si>
  <si>
    <t>http://gateway.proquest.com/openurl?url_ver=Z39.88-2004&amp;res_dat=xri:pqm&amp;rft_val_fmt=info:ofi/fmt:kev:mtx:journal&amp;genre=journal&amp;req_dat=xri:pqil:pq_clntid=131239&amp;svc_dat=xri:pqil:context=title&amp;rft_dat=xri:pqd:PMID=34046</t>
  </si>
  <si>
    <t>http://gateway.proquest.com/openurl?url_ver=Z39.88-2004&amp;res_dat=xri:pqm&amp;rft_val_fmt=info:ofi/fmt:kev:mtx:journal&amp;genre=journal&amp;req_dat=xri:pqil:pq_clntid=131239&amp;svc_dat=xri:pqil:context=title&amp;rft_dat=xri:pqd:PMID=35458</t>
  </si>
  <si>
    <t>http://gateway.proquest.com/openurl?url_ver=Z39.88-2004&amp;res_dat=xri:pqm&amp;rft_val_fmt=info:ofi/fmt:kev:mtx:journal&amp;genre=journal&amp;req_dat=xri:pqil:pq_clntid=131239&amp;svc_dat=xri:pqil:context=title&amp;rft_dat=xri:pqd:PMID=33162</t>
  </si>
  <si>
    <t>http://gateway.proquest.com/openurl?url_ver=Z39.88-2004&amp;res_dat=xri:pqm&amp;rft_val_fmt=info:ofi/fmt:kev:mtx:journal&amp;genre=journal&amp;req_dat=xri:pqil:pq_clntid=131239&amp;svc_dat=xri:pqil:context=title&amp;rft_dat=xri:pqd:PMID=2030115</t>
  </si>
  <si>
    <t>http://gateway.proquest.com/openurl?url_ver=Z39.88-2004&amp;res_dat=xri:pqm&amp;rft_val_fmt=info:ofi/fmt:kev:mtx:journal&amp;genre=journal&amp;req_dat=xri:pqil:pq_clntid=131239&amp;svc_dat=xri:pqil:context=title&amp;rft_dat=xri:pqd:PMID=53036</t>
  </si>
  <si>
    <t>Diagnosing Mental Disorders : DSM-5™ and ICD-10</t>
  </si>
  <si>
    <t>http://gateway.proquest.com/openurl?url_ver=Z39.88-2004&amp;res_dat=xri:pqm&amp;rft_val_fmt=info:ofi/fmt:kev:mtx:journal&amp;genre=journal&amp;req_dat=xri:pqil:pq_clntid=131239&amp;svc_dat=xri:pqil:context=title&amp;rft_dat=xri:pqd:PMID=5256671</t>
  </si>
  <si>
    <t>Portland</t>
  </si>
  <si>
    <t>http://gateway.proquest.com/openurl?url_ver=Z39.88-2004&amp;res_dat=xri:pqm&amp;rft_val_fmt=info:ofi/fmt:kev:mtx:journal&amp;genre=journal&amp;req_dat=xri:pqil:pq_clntid=131239&amp;svc_dat=xri:pqil:context=title&amp;rft_dat=xri:pqd:PMID=6362750</t>
  </si>
  <si>
    <t>http://gateway.proquest.com/openurl?url_ver=Z39.88-2004&amp;res_dat=xri:pqm&amp;rft_val_fmt=info:ofi/fmt:kev:mtx:journal&amp;genre=journal&amp;req_dat=xri:pqil:pq_clntid=131239&amp;svc_dat=xri:pqil:context=title&amp;rft_dat=xri:pqd:PMID=5483608</t>
  </si>
  <si>
    <t>Education--Special Education And Rehabilitation|People With Disabilities--Physically Impaired</t>
  </si>
  <si>
    <t>http://gateway.proquest.com/openurl?url_ver=Z39.88-2004&amp;res_dat=xri:pqm&amp;rft_val_fmt=info:ofi/fmt:kev:mtx:journal&amp;genre=journal&amp;req_dat=xri:pqil:pq_clntid=131239&amp;svc_dat=xri:pqil:context=title&amp;rft_dat=xri:pqd:PMID=11434</t>
  </si>
  <si>
    <t>http://gateway.proquest.com/openurl?url_ver=Z39.88-2004&amp;res_dat=xri:pqm&amp;rft_val_fmt=info:ofi/fmt:kev:mtx:journal&amp;genre=journal&amp;req_dat=xri:pqil:pq_clntid=131239&amp;svc_dat=xri:pqil:context=title&amp;rft_dat=xri:pqd:PMID=5325188</t>
  </si>
  <si>
    <t>http://gateway.proquest.com/openurl?url_ver=Z39.88-2004&amp;res_dat=xri:pqm&amp;rft_val_fmt=info:ofi/fmt:kev:mtx:journal&amp;genre=journal&amp;req_dat=xri:pqil:pq_clntid=131239&amp;svc_dat=xri:pqil:context=title&amp;rft_dat=xri:pqd:PMID=27124</t>
  </si>
  <si>
    <t>http://gateway.proquest.com/openurl?url_ver=Z39.88-2004&amp;res_dat=xri:pqm&amp;rft_val_fmt=info:ofi/fmt:kev:mtx:journal&amp;genre=journal&amp;req_dat=xri:pqil:pq_clntid=131239&amp;svc_dat=xri:pqil:context=title&amp;rft_dat=xri:pqd:PMID=32811</t>
  </si>
  <si>
    <t>http://gateway.proquest.com/openurl?url_ver=Z39.88-2004&amp;res_dat=xri:pqm&amp;rft_val_fmt=info:ofi/fmt:kev:mtx:journal&amp;genre=journal&amp;req_dat=xri:pqil:pq_clntid=131239&amp;svc_dat=xri:pqil:context=title&amp;rft_dat=xri:pqd:PMID=2038182</t>
  </si>
  <si>
    <t>Syracuse</t>
  </si>
  <si>
    <t>http://gateway.proquest.com/openurl?url_ver=Z39.88-2004&amp;res_dat=xri:pqm&amp;rft_val_fmt=info:ofi/fmt:kev:mtx:journal&amp;genre=journal&amp;req_dat=xri:pqil:pq_clntid=131239&amp;svc_dat=xri:pqil:context=title&amp;rft_dat=xri:pqd:PMID=5642931</t>
  </si>
  <si>
    <t>http://gateway.proquest.com/openurl?url_ver=Z39.88-2004&amp;res_dat=xri:pqm&amp;rft_val_fmt=info:ofi/fmt:kev:mtx:journal&amp;genre=journal&amp;req_dat=xri:pqil:pq_clntid=131239&amp;svc_dat=xri:pqil:context=title&amp;rft_dat=xri:pqd:PMID=5642929</t>
  </si>
  <si>
    <t>http://gateway.proquest.com/openurl?url_ver=Z39.88-2004&amp;res_dat=xri:pqm&amp;rft_val_fmt=info:ofi/fmt:kev:mtx:journal&amp;genre=journal&amp;req_dat=xri:pqil:pq_clntid=131239&amp;svc_dat=xri:pqil:context=title&amp;rft_dat=xri:pqd:PMID=5483527</t>
  </si>
  <si>
    <t>http://gateway.proquest.com/openurl?url_ver=Z39.88-2004&amp;res_dat=xri:pqm&amp;rft_val_fmt=info:ofi/fmt:kev:mtx:journal&amp;genre=journal&amp;req_dat=xri:pqil:pq_clntid=131239&amp;svc_dat=xri:pqil:context=title&amp;rft_dat=xri:pqd:PMID=5256692</t>
  </si>
  <si>
    <t>http://gateway.proquest.com/openurl?url_ver=Z39.88-2004&amp;res_dat=xri:pqm&amp;rft_val_fmt=info:ofi/fmt:kev:mtx:journal&amp;genre=journal&amp;req_dat=xri:pqil:pq_clntid=131239&amp;svc_dat=xri:pqil:context=title&amp;rft_dat=xri:pqd:PMID=2043479</t>
  </si>
  <si>
    <t>http://gateway.proquest.com/openurl?url_ver=Z39.88-2004&amp;res_dat=xri:pqm&amp;rft_val_fmt=info:ofi/fmt:kev:mtx:journal&amp;genre=journal&amp;req_dat=xri:pqil:pq_clntid=131239&amp;svc_dat=xri:pqil:context=title&amp;rft_dat=xri:pqd:PMID=4395833</t>
  </si>
  <si>
    <t>http://gateway.proquest.com/openurl?url_ver=Z39.88-2004&amp;res_dat=xri:pqm&amp;rft_val_fmt=info:ofi/fmt:kev:mtx:journal&amp;genre=journal&amp;req_dat=xri:pqil:pq_clntid=131239&amp;svc_dat=xri:pqil:context=title&amp;rft_dat=xri:pqd:PMID=2043131</t>
  </si>
  <si>
    <t>http://gateway.proquest.com/openurl?url_ver=Z39.88-2004&amp;res_dat=xri:pqm&amp;rft_val_fmt=info:ofi/fmt:kev:mtx:journal&amp;genre=journal&amp;req_dat=xri:pqil:pq_clntid=131239&amp;svc_dat=xri:pqil:context=title&amp;rft_dat=xri:pqd:PMID=6059441</t>
  </si>
  <si>
    <t>http://gateway.proquest.com/openurl?url_ver=Z39.88-2004&amp;res_dat=xri:pqm&amp;rft_val_fmt=info:ofi/fmt:kev:mtx:journal&amp;genre=journal&amp;req_dat=xri:pqil:pq_clntid=131239&amp;svc_dat=xri:pqil:context=title&amp;rft_dat=xri:pqd:PMID=5256700</t>
  </si>
  <si>
    <t>http://gateway.proquest.com/openurl?url_ver=Z39.88-2004&amp;res_dat=xri:pqm&amp;rft_val_fmt=info:ofi/fmt:kev:mtx:journal&amp;genre=journal&amp;req_dat=xri:pqil:pq_clntid=131239&amp;svc_dat=xri:pqil:context=title&amp;rft_dat=xri:pqd:PMID=5483615</t>
  </si>
  <si>
    <t>Duarte</t>
  </si>
  <si>
    <t>http://gateway.proquest.com/openurl?url_ver=Z39.88-2004&amp;res_dat=xri:pqm&amp;rft_val_fmt=info:ofi/fmt:kev:mtx:journal&amp;genre=journal&amp;req_dat=xri:pqil:pq_clntid=131239&amp;svc_dat=xri:pqil:context=title&amp;rft_dat=xri:pqd:PMID=6009011</t>
  </si>
  <si>
    <t>http://gateway.proquest.com/openurl?url_ver=Z39.88-2004&amp;res_dat=xri:pqm&amp;rft_val_fmt=info:ofi/fmt:kev:mtx:journal&amp;genre=journal&amp;req_dat=xri:pqil:pq_clntid=131239&amp;svc_dat=xri:pqil:context=title&amp;rft_dat=xri:pqd:PMID=6362749</t>
  </si>
  <si>
    <t>http://gateway.proquest.com/openurl?url_ver=Z39.88-2004&amp;res_dat=xri:pqm&amp;rft_val_fmt=info:ofi/fmt:kev:mtx:journal&amp;genre=journal&amp;req_dat=xri:pqil:pq_clntid=131239&amp;svc_dat=xri:pqil:context=title&amp;rft_dat=xri:pqd:PMID=6059440</t>
  </si>
  <si>
    <t>Gloucestershire</t>
  </si>
  <si>
    <t>http://gateway.proquest.com/openurl?url_ver=Z39.88-2004&amp;res_dat=xri:pqm&amp;rft_val_fmt=info:ofi/fmt:kev:mtx:journal&amp;genre=journal&amp;req_dat=xri:pqil:pq_clntid=131239&amp;svc_dat=xri:pqil:context=title&amp;rft_dat=xri:pqd:PMID=436435</t>
  </si>
  <si>
    <t>http://gateway.proquest.com/openurl?url_ver=Z39.88-2004&amp;res_dat=xri:pqm&amp;rft_val_fmt=info:ofi/fmt:kev:mtx:journal&amp;genre=journal&amp;req_dat=xri:pqil:pq_clntid=131239&amp;svc_dat=xri:pqil:context=title&amp;rft_dat=xri:pqd:PMID=5483548</t>
  </si>
  <si>
    <t>http://gateway.proquest.com/openurl?url_ver=Z39.88-2004&amp;res_dat=xri:pqm&amp;rft_val_fmt=info:ofi/fmt:kev:mtx:journal&amp;genre=journal&amp;req_dat=xri:pqil:pq_clntid=131239&amp;svc_dat=xri:pqil:context=title&amp;rft_dat=xri:pqd:PMID=2033333</t>
  </si>
  <si>
    <t>Surry Hills</t>
  </si>
  <si>
    <t>http://gateway.proquest.com/openurl?url_ver=Z39.88-2004&amp;res_dat=xri:pqm&amp;rft_val_fmt=info:ofi/fmt:kev:mtx:journal&amp;genre=journal&amp;req_dat=xri:pqil:pq_clntid=131239&amp;svc_dat=xri:pqil:context=title&amp;rft_dat=xri:pqd:PMID=33024</t>
  </si>
  <si>
    <t>http://gateway.proquest.com/openurl?url_ver=Z39.88-2004&amp;res_dat=xri:pqm&amp;rft_val_fmt=info:ofi/fmt:kev:mtx:journal&amp;genre=journal&amp;req_dat=xri:pqil:pq_clntid=131239&amp;svc_dat=xri:pqil:context=title&amp;rft_dat=xri:pqd:PMID=2033332</t>
  </si>
  <si>
    <t>01-Jan-2015--31-Dec-2016</t>
  </si>
  <si>
    <t>http://gateway.proquest.com/openurl?url_ver=Z39.88-2004&amp;res_dat=xri:pqm&amp;rft_val_fmt=info:ofi/fmt:kev:mtx:journal&amp;genre=journal&amp;req_dat=xri:pqil:pq_clntid=131239&amp;svc_dat=xri:pqil:context=title&amp;rft_dat=xri:pqd:PMID=32188</t>
  </si>
  <si>
    <t>Brighton</t>
  </si>
  <si>
    <t>http://gateway.proquest.com/openurl?url_ver=Z39.88-2004&amp;res_dat=xri:pqm&amp;rft_val_fmt=info:ofi/fmt:kev:mtx:journal&amp;genre=journal&amp;req_dat=xri:pqil:pq_clntid=131239&amp;svc_dat=xri:pqil:context=title&amp;rft_dat=xri:pqd:PMID=28228</t>
  </si>
  <si>
    <t>http://gateway.proquest.com/openurl?url_ver=Z39.88-2004&amp;res_dat=xri:pqm&amp;rft_val_fmt=info:ofi/fmt:kev:mtx:journal&amp;genre=journal&amp;req_dat=xri:pqil:pq_clntid=131239&amp;svc_dat=xri:pqil:context=title&amp;rft_dat=xri:pqd:PMID=33679</t>
  </si>
  <si>
    <t>Istanbul</t>
  </si>
  <si>
    <t>http://gateway.proquest.com/openurl?url_ver=Z39.88-2004&amp;res_dat=xri:pqm&amp;rft_val_fmt=info:ofi/fmt:kev:mtx:journal&amp;genre=journal&amp;req_dat=xri:pqil:pq_clntid=131239&amp;svc_dat=xri:pqil:context=title&amp;rft_dat=xri:pqd:PMID=237750</t>
  </si>
  <si>
    <t>http://gateway.proquest.com/openurl?url_ver=Z39.88-2004&amp;res_dat=xri:pqm&amp;rft_val_fmt=info:ofi/fmt:kev:mtx:journal&amp;genre=journal&amp;req_dat=xri:pqil:pq_clntid=131239&amp;svc_dat=xri:pqil:context=title&amp;rft_dat=xri:pqd:PMID=5167664</t>
  </si>
  <si>
    <t>Bracknell</t>
  </si>
  <si>
    <t>http://gateway.proquest.com/openurl?url_ver=Z39.88-2004&amp;res_dat=xri:pqm&amp;rft_val_fmt=info:ofi/fmt:kev:mtx:journal&amp;genre=journal&amp;req_dat=xri:pqil:pq_clntid=131239&amp;svc_dat=xri:pqil:context=title&amp;rft_dat=xri:pqd:PMID=866383</t>
  </si>
  <si>
    <t>http://gateway.proquest.com/openurl?url_ver=Z39.88-2004&amp;res_dat=xri:pqm&amp;rft_val_fmt=info:ofi/fmt:kev:mtx:journal&amp;genre=journal&amp;req_dat=xri:pqil:pq_clntid=131239&amp;svc_dat=xri:pqil:context=title&amp;rft_dat=xri:pqd:PMID=5262514</t>
  </si>
  <si>
    <t>Dyslexia, Case 2 : Duncan </t>
  </si>
  <si>
    <t>http://gateway.proquest.com/openurl?url_ver=Z39.88-2004&amp;res_dat=xri:pqm&amp;rft_val_fmt=info:ofi/fmt:kev:mtx:journal&amp;genre=journal&amp;req_dat=xri:pqil:pq_clntid=131239&amp;svc_dat=xri:pqil:context=title&amp;rft_dat=xri:pqd:PMID=5262513</t>
  </si>
  <si>
    <t>EMDR Sessions</t>
  </si>
  <si>
    <t>http://gateway.proquest.com/openurl?url_ver=Z39.88-2004&amp;res_dat=xri:pqm&amp;rft_val_fmt=info:ofi/fmt:kev:mtx:journal&amp;genre=journal&amp;req_dat=xri:pqil:pq_clntid=131239&amp;svc_dat=xri:pqil:context=title&amp;rft_dat=xri:pqd:PMID=6275771</t>
  </si>
  <si>
    <t>http://gateway.proquest.com/openurl?url_ver=Z39.88-2004&amp;res_dat=xri:pqm&amp;rft_val_fmt=info:ofi/fmt:kev:mtx:journal&amp;genre=journal&amp;req_dat=xri:pqil:pq_clntid=131239&amp;svc_dat=xri:pqil:context=title&amp;rft_dat=xri:pqd:PMID=2034551</t>
  </si>
  <si>
    <t>http://gateway.proquest.com/openurl?url_ver=Z39.88-2004&amp;res_dat=xri:pqm&amp;rft_val_fmt=info:ofi/fmt:kev:mtx:journal&amp;genre=journal&amp;req_dat=xri:pqil:pq_clntid=131239&amp;svc_dat=xri:pqil:context=title&amp;rft_dat=xri:pqd:PMID=54020</t>
  </si>
  <si>
    <t>http://gateway.proquest.com/openurl?url_ver=Z39.88-2004&amp;res_dat=xri:pqm&amp;rft_val_fmt=info:ofi/fmt:kev:mtx:journal&amp;genre=journal&amp;req_dat=xri:pqil:pq_clntid=131239&amp;svc_dat=xri:pqil:context=title&amp;rft_dat=xri:pqd:PMID=2033328</t>
  </si>
  <si>
    <t>http://gateway.proquest.com/openurl?url_ver=Z39.88-2004&amp;res_dat=xri:pqm&amp;rft_val_fmt=info:ofi/fmt:kev:mtx:journal&amp;genre=journal&amp;req_dat=xri:pqil:pq_clntid=131239&amp;svc_dat=xri:pqil:context=title&amp;rft_dat=xri:pqd:PMID=536298</t>
  </si>
  <si>
    <t>http://gateway.proquest.com/openurl?url_ver=Z39.88-2004&amp;res_dat=xri:pqm&amp;rft_val_fmt=info:ofi/fmt:kev:mtx:journal&amp;genre=journal&amp;req_dat=xri:pqil:pq_clntid=131239&amp;svc_dat=xri:pqil:context=title&amp;rft_dat=xri:pqd:PMID=52470</t>
  </si>
  <si>
    <t>http://gateway.proquest.com/openurl?url_ver=Z39.88-2004&amp;res_dat=xri:pqm&amp;rft_val_fmt=info:ofi/fmt:kev:mtx:journal&amp;genre=journal&amp;req_dat=xri:pqil:pq_clntid=131239&amp;svc_dat=xri:pqil:context=title&amp;rft_dat=xri:pqd:PMID=426783</t>
  </si>
  <si>
    <t>Aberdeen</t>
  </si>
  <si>
    <t>01-Jan-1992--31-Dec-1992; 01-Jan-2016--31-Dec-2016</t>
  </si>
  <si>
    <t>http://gateway.proquest.com/openurl?url_ver=Z39.88-2004&amp;res_dat=xri:pqm&amp;rft_val_fmt=info:ofi/fmt:kev:mtx:journal&amp;genre=journal&amp;req_dat=xri:pqil:pq_clntid=131239&amp;svc_dat=xri:pqil:context=title&amp;rft_dat=xri:pqd:PMID=27817</t>
  </si>
  <si>
    <t>Eating Attitudes Test (EAT)</t>
  </si>
  <si>
    <t>Eating Attitudes LLC</t>
  </si>
  <si>
    <t>Arvada</t>
  </si>
  <si>
    <t>http://gateway.proquest.com/openurl?url_ver=Z39.88-2004&amp;res_dat=xri:pqm&amp;rft_val_fmt=info:ofi/fmt:kev:mtx:journal&amp;genre=journal&amp;req_dat=xri:pqil:pq_clntid=131239&amp;svc_dat=xri:pqil:context=title&amp;rft_dat=xri:pqd:PMID=6534443</t>
  </si>
  <si>
    <t>http://gateway.proquest.com/openurl?url_ver=Z39.88-2004&amp;res_dat=xri:pqm&amp;rft_val_fmt=info:ofi/fmt:kev:mtx:journal&amp;genre=journal&amp;req_dat=xri:pqil:pq_clntid=131239&amp;svc_dat=xri:pqil:context=title&amp;rft_dat=xri:pqd:PMID=6447818</t>
  </si>
  <si>
    <t>http://gateway.proquest.com/openurl?url_ver=Z39.88-2004&amp;res_dat=xri:pqm&amp;rft_val_fmt=info:ofi/fmt:kev:mtx:journal&amp;genre=journal&amp;req_dat=xri:pqil:pq_clntid=131239&amp;svc_dat=xri:pqil:context=title&amp;rft_dat=xri:pqd:PMID=2033326</t>
  </si>
  <si>
    <t>http://gateway.proquest.com/openurl?url_ver=Z39.88-2004&amp;res_dat=xri:pqm&amp;rft_val_fmt=info:ofi/fmt:kev:mtx:journal&amp;genre=journal&amp;req_dat=xri:pqil:pq_clntid=131239&amp;svc_dat=xri:pqil:context=title&amp;rft_dat=xri:pqd:PMID=4402912</t>
  </si>
  <si>
    <t>http://gateway.proquest.com/openurl?url_ver=Z39.88-2004&amp;res_dat=xri:pqm&amp;rft_val_fmt=info:ofi/fmt:kev:mtx:journal&amp;genre=journal&amp;req_dat=xri:pqil:pq_clntid=131239&amp;svc_dat=xri:pqil:context=title&amp;rft_dat=xri:pqd:PMID=46260</t>
  </si>
  <si>
    <t>Córdoba</t>
  </si>
  <si>
    <t>http://gateway.proquest.com/openurl?url_ver=Z39.88-2004&amp;res_dat=xri:pqm&amp;rft_val_fmt=info:ofi/fmt:kev:mtx:journal&amp;genre=journal&amp;req_dat=xri:pqil:pq_clntid=131239&amp;svc_dat=xri:pqil:context=title&amp;rft_dat=xri:pqd:PMID=4573629</t>
  </si>
  <si>
    <t>http://gateway.proquest.com/openurl?url_ver=Z39.88-2004&amp;res_dat=xri:pqm&amp;rft_val_fmt=info:ofi/fmt:kev:mtx:journal&amp;genre=journal&amp;req_dat=xri:pqil:pq_clntid=131239&amp;svc_dat=xri:pqil:context=title&amp;rft_dat=xri:pqd:PMID=35632</t>
  </si>
  <si>
    <t>http://gateway.proquest.com/openurl?url_ver=Z39.88-2004&amp;res_dat=xri:pqm&amp;rft_val_fmt=info:ofi/fmt:kev:mtx:journal&amp;genre=journal&amp;req_dat=xri:pqil:pq_clntid=131239&amp;svc_dat=xri:pqil:context=title&amp;rft_dat=xri:pqd:PMID=31077</t>
  </si>
  <si>
    <t>http://gateway.proquest.com/openurl?url_ver=Z39.88-2004&amp;res_dat=xri:pqm&amp;rft_val_fmt=info:ofi/fmt:kev:mtx:journal&amp;genre=journal&amp;req_dat=xri:pqil:pq_clntid=131239&amp;svc_dat=xri:pqil:context=title&amp;rft_dat=xri:pqd:PMID=46262</t>
  </si>
  <si>
    <t>http://gateway.proquest.com/openurl?url_ver=Z39.88-2004&amp;res_dat=xri:pqm&amp;rft_val_fmt=info:ofi/fmt:kev:mtx:journal&amp;genre=journal&amp;req_dat=xri:pqil:pq_clntid=131239&amp;svc_dat=xri:pqil:context=title&amp;rft_dat=xri:pqd:PMID=52522</t>
  </si>
  <si>
    <t>01-Jan-1987--31-Dec-1987; 01-Jan-2000--31-Dec-2000; 01-Jan-2002--31-Dec-2003</t>
  </si>
  <si>
    <t>http://gateway.proquest.com/openurl?url_ver=Z39.88-2004&amp;res_dat=xri:pqm&amp;rft_val_fmt=info:ofi/fmt:kev:mtx:journal&amp;genre=journal&amp;req_dat=xri:pqil:pq_clntid=131239&amp;svc_dat=xri:pqil:context=title&amp;rft_dat=xri:pqd:PMID=49007</t>
  </si>
  <si>
    <t>http://gateway.proquest.com/openurl?url_ver=Z39.88-2004&amp;res_dat=xri:pqm&amp;rft_val_fmt=info:ofi/fmt:kev:mtx:journal&amp;genre=journal&amp;req_dat=xri:pqil:pq_clntid=131239&amp;svc_dat=xri:pqil:context=title&amp;rft_dat=xri:pqd:PMID=536297</t>
  </si>
  <si>
    <t>http://gateway.proquest.com/openurl?url_ver=Z39.88-2004&amp;res_dat=xri:pqm&amp;rft_val_fmt=info:ofi/fmt:kev:mtx:journal&amp;genre=journal&amp;req_dat=xri:pqil:pq_clntid=131239&amp;svc_dat=xri:pqil:context=title&amp;rft_dat=xri:pqd:PMID=30860</t>
  </si>
  <si>
    <t>http://gateway.proquest.com/openurl?url_ver=Z39.88-2004&amp;res_dat=xri:pqm&amp;rft_val_fmt=info:ofi/fmt:kev:mtx:journal&amp;genre=journal&amp;req_dat=xri:pqil:pq_clntid=131239&amp;svc_dat=xri:pqil:context=title&amp;rft_dat=xri:pqd:PMID=48036</t>
  </si>
  <si>
    <t>Dorchester-on-Thames</t>
  </si>
  <si>
    <t>http://gateway.proquest.com/openurl?url_ver=Z39.88-2004&amp;res_dat=xri:pqm&amp;rft_val_fmt=info:ofi/fmt:kev:mtx:journal&amp;genre=journal&amp;req_dat=xri:pqil:pq_clntid=131239&amp;svc_dat=xri:pqil:context=title&amp;rft_dat=xri:pqd:PMID=33176</t>
  </si>
  <si>
    <t>http://gateway.proquest.com/openurl?url_ver=Z39.88-2004&amp;res_dat=xri:pqm&amp;rft_val_fmt=info:ofi/fmt:kev:mtx:journal&amp;genre=journal&amp;req_dat=xri:pqil:pq_clntid=131239&amp;svc_dat=xri:pqil:context=title&amp;rft_dat=xri:pqd:PMID=54191</t>
  </si>
  <si>
    <t>Harlow</t>
  </si>
  <si>
    <t>http://gateway.proquest.com/openurl?url_ver=Z39.88-2004&amp;res_dat=xri:pqm&amp;rft_val_fmt=info:ofi/fmt:kev:mtx:journal&amp;genre=journal&amp;req_dat=xri:pqil:pq_clntid=131239&amp;svc_dat=xri:pqil:context=title&amp;rft_dat=xri:pqd:PMID=426777</t>
  </si>
  <si>
    <t>http://gateway.proquest.com/openurl?url_ver=Z39.88-2004&amp;res_dat=xri:pqm&amp;rft_val_fmt=info:ofi/fmt:kev:mtx:journal&amp;genre=journal&amp;req_dat=xri:pqil:pq_clntid=131239&amp;svc_dat=xri:pqil:context=title&amp;rft_dat=xri:pqd:PMID=34461</t>
  </si>
  <si>
    <t>Birmingham</t>
  </si>
  <si>
    <t>http://gateway.proquest.com/openurl?url_ver=Z39.88-2004&amp;res_dat=xri:pqm&amp;rft_val_fmt=info:ofi/fmt:kev:mtx:journal&amp;genre=journal&amp;req_dat=xri:pqil:pq_clntid=131239&amp;svc_dat=xri:pqil:context=title&amp;rft_dat=xri:pqd:PMID=17608</t>
  </si>
  <si>
    <t>http://gateway.proquest.com/openurl?url_ver=Z39.88-2004&amp;res_dat=xri:pqm&amp;rft_val_fmt=info:ofi/fmt:kev:mtx:journal&amp;genre=journal&amp;req_dat=xri:pqil:pq_clntid=131239&amp;svc_dat=xri:pqil:context=title&amp;rft_dat=xri:pqd:PMID=12732</t>
  </si>
  <si>
    <t>http://gateway.proquest.com/openurl?url_ver=Z39.88-2004&amp;res_dat=xri:pqm&amp;rft_val_fmt=info:ofi/fmt:kev:mtx:journal&amp;genre=journal&amp;req_dat=xri:pqil:pq_clntid=131239&amp;svc_dat=xri:pqil:context=title&amp;rft_dat=xri:pqd:PMID=2037194</t>
  </si>
  <si>
    <t>Educational Technology Research and Development</t>
  </si>
  <si>
    <t>01-Jan-1998--31-Dec-2005; 01-Jan-2008--31-Dec-2008</t>
  </si>
  <si>
    <t>http://gateway.proquest.com/openurl?url_ver=Z39.88-2004&amp;res_dat=xri:pqm&amp;rft_val_fmt=info:ofi/fmt:kev:mtx:journal&amp;genre=journal&amp;req_dat=xri:pqil:pq_clntid=131239&amp;svc_dat=xri:pqil:context=title&amp;rft_dat=xri:pqd:PMID=31121</t>
  </si>
  <si>
    <t>Educational Video Center</t>
  </si>
  <si>
    <t>http://gateway.proquest.com/openurl?url_ver=Z39.88-2004&amp;res_dat=xri:pqm&amp;rft_val_fmt=info:ofi/fmt:kev:mtx:journal&amp;genre=journal&amp;req_dat=xri:pqil:pq_clntid=131239&amp;svc_dat=xri:pqil:context=title&amp;rft_dat=xri:pqd:PMID=6362748</t>
  </si>
  <si>
    <t>http://gateway.proquest.com/openurl?url_ver=Z39.88-2004&amp;res_dat=xri:pqm&amp;rft_val_fmt=info:ofi/fmt:kev:mtx:journal&amp;genre=journal&amp;req_dat=xri:pqil:pq_clntid=131239&amp;svc_dat=xri:pqil:context=title&amp;rft_dat=xri:pqd:PMID=1586361</t>
  </si>
  <si>
    <t>Durham</t>
  </si>
  <si>
    <t>http://gateway.proquest.com/openurl?url_ver=Z39.88-2004&amp;res_dat=xri:pqm&amp;rft_val_fmt=info:ofi/fmt:kev:mtx:journal&amp;genre=journal&amp;req_dat=xri:pqil:pq_clntid=131239&amp;svc_dat=xri:pqil:context=title&amp;rft_dat=xri:pqd:PMID=40846</t>
  </si>
  <si>
    <t>Mumbai</t>
  </si>
  <si>
    <t>http://gateway.proquest.com/openurl?url_ver=Z39.88-2004&amp;res_dat=xri:pqm&amp;rft_val_fmt=info:ofi/fmt:kev:mtx:journal&amp;genre=journal&amp;req_dat=xri:pqil:pq_clntid=131239&amp;svc_dat=xri:pqil:context=title&amp;rft_dat=xri:pqd:PMID=2042896</t>
  </si>
  <si>
    <t>http://gateway.proquest.com/openurl?url_ver=Z39.88-2004&amp;res_dat=xri:pqm&amp;rft_val_fmt=info:ofi/fmt:kev:mtx:journal&amp;genre=journal&amp;req_dat=xri:pqil:pq_clntid=131239&amp;svc_dat=xri:pqil:context=title&amp;rft_dat=xri:pqd:PMID=34942</t>
  </si>
  <si>
    <t>http://gateway.proquest.com/openurl?url_ver=Z39.88-2004&amp;res_dat=xri:pqm&amp;rft_val_fmt=info:ofi/fmt:kev:mtx:journal&amp;genre=journal&amp;req_dat=xri:pqil:pq_clntid=131239&amp;svc_dat=xri:pqil:context=title&amp;rft_dat=xri:pqd:PMID=40700</t>
  </si>
  <si>
    <t>Eliminating Allergies</t>
  </si>
  <si>
    <t>http://gateway.proquest.com/openurl?url_ver=Z39.88-2004&amp;res_dat=xri:pqm&amp;rft_val_fmt=info:ofi/fmt:kev:mtx:journal&amp;genre=journal&amp;req_dat=xri:pqil:pq_clntid=131239&amp;svc_dat=xri:pqil:context=title&amp;rft_dat=xri:pqd:PMID=6394517</t>
  </si>
  <si>
    <t>http://gateway.proquest.com/openurl?url_ver=Z39.88-2004&amp;res_dat=xri:pqm&amp;rft_val_fmt=info:ofi/fmt:kev:mtx:journal&amp;genre=journal&amp;req_dat=xri:pqil:pq_clntid=131239&amp;svc_dat=xri:pqil:context=title&amp;rft_dat=xri:pqd:PMID=2041996</t>
  </si>
  <si>
    <t>http://gateway.proquest.com/openurl?url_ver=Z39.88-2004&amp;res_dat=xri:pqm&amp;rft_val_fmt=info:ofi/fmt:kev:mtx:journal&amp;genre=journal&amp;req_dat=xri:pqil:pq_clntid=131239&amp;svc_dat=xri:pqil:context=title&amp;rft_dat=xri:pqd:PMID=5483627</t>
  </si>
  <si>
    <t>http://gateway.proquest.com/openurl?url_ver=Z39.88-2004&amp;res_dat=xri:pqm&amp;rft_val_fmt=info:ofi/fmt:kev:mtx:journal&amp;genre=journal&amp;req_dat=xri:pqil:pq_clntid=131239&amp;svc_dat=xri:pqil:context=title&amp;rft_dat=xri:pqd:PMID=5262119</t>
  </si>
  <si>
    <t>http://gateway.proquest.com/openurl?url_ver=Z39.88-2004&amp;res_dat=xri:pqm&amp;rft_val_fmt=info:ofi/fmt:kev:mtx:journal&amp;genre=journal&amp;req_dat=xri:pqil:pq_clntid=131239&amp;svc_dat=xri:pqil:context=title&amp;rft_dat=xri:pqd:PMID=75949</t>
  </si>
  <si>
    <t>http://gateway.proquest.com/openurl?url_ver=Z39.88-2004&amp;res_dat=xri:pqm&amp;rft_val_fmt=info:ofi/fmt:kev:mtx:journal&amp;genre=journal&amp;req_dat=xri:pqil:pq_clntid=131239&amp;svc_dat=xri:pqil:context=title&amp;rft_dat=xri:pqd:PMID=53168</t>
  </si>
  <si>
    <t>http://gateway.proquest.com/openurl?url_ver=Z39.88-2004&amp;res_dat=xri:pqm&amp;rft_val_fmt=info:ofi/fmt:kev:mtx:journal&amp;genre=journal&amp;req_dat=xri:pqil:pq_clntid=131239&amp;svc_dat=xri:pqil:context=title&amp;rft_dat=xri:pqd:PMID=2033322</t>
  </si>
  <si>
    <t>http://gateway.proquest.com/openurl?url_ver=Z39.88-2004&amp;res_dat=xri:pqm&amp;rft_val_fmt=info:ofi/fmt:kev:mtx:journal&amp;genre=journal&amp;req_dat=xri:pqil:pq_clntid=131239&amp;svc_dat=xri:pqil:context=title&amp;rft_dat=xri:pqd:PMID=2046028</t>
  </si>
  <si>
    <t>http://gateway.proquest.com/openurl?url_ver=Z39.88-2004&amp;res_dat=xri:pqm&amp;rft_val_fmt=info:ofi/fmt:kev:mtx:journal&amp;genre=journal&amp;req_dat=xri:pqil:pq_clntid=131239&amp;svc_dat=xri:pqil:context=title&amp;rft_dat=xri:pqd:PMID=2043128</t>
  </si>
  <si>
    <t>http://gateway.proquest.com/openurl?url_ver=Z39.88-2004&amp;res_dat=xri:pqm&amp;rft_val_fmt=info:ofi/fmt:kev:mtx:journal&amp;genre=journal&amp;req_dat=xri:pqil:pq_clntid=131239&amp;svc_dat=xri:pqil:context=title&amp;rft_dat=xri:pqd:PMID=36364</t>
  </si>
  <si>
    <t>http://gateway.proquest.com/openurl?url_ver=Z39.88-2004&amp;res_dat=xri:pqm&amp;rft_val_fmt=info:ofi/fmt:kev:mtx:journal&amp;genre=journal&amp;req_dat=xri:pqil:pq_clntid=131239&amp;svc_dat=xri:pqil:context=title&amp;rft_dat=xri:pqd:PMID=37413</t>
  </si>
  <si>
    <t>http://gateway.proquest.com/openurl?url_ver=Z39.88-2004&amp;res_dat=xri:pqm&amp;rft_val_fmt=info:ofi/fmt:kev:mtx:journal&amp;genre=journal&amp;req_dat=xri:pqil:pq_clntid=131239&amp;svc_dat=xri:pqil:context=title&amp;rft_dat=xri:pqd:PMID=5483626</t>
  </si>
  <si>
    <t>http://gateway.proquest.com/openurl?url_ver=Z39.88-2004&amp;res_dat=xri:pqm&amp;rft_val_fmt=info:ofi/fmt:kev:mtx:journal&amp;genre=journal&amp;req_dat=xri:pqil:pq_clntid=131239&amp;svc_dat=xri:pqil:context=title&amp;rft_dat=xri:pqd:PMID=41872</t>
  </si>
  <si>
    <t>http://gateway.proquest.com/openurl?url_ver=Z39.88-2004&amp;res_dat=xri:pqm&amp;rft_val_fmt=info:ofi/fmt:kev:mtx:journal&amp;genre=journal&amp;req_dat=xri:pqil:pq_clntid=131239&amp;svc_dat=xri:pqil:context=title&amp;rft_dat=xri:pqd:PMID=5876691</t>
  </si>
  <si>
    <t>http://gateway.proquest.com/openurl?url_ver=Z39.88-2004&amp;res_dat=xri:pqm&amp;rft_val_fmt=info:ofi/fmt:kev:mtx:journal&amp;genre=journal&amp;req_dat=xri:pqil:pq_clntid=131239&amp;svc_dat=xri:pqil:context=title&amp;rft_dat=xri:pqd:PMID=5876690</t>
  </si>
  <si>
    <t>http://gateway.proquest.com/openurl?url_ver=Z39.88-2004&amp;res_dat=xri:pqm&amp;rft_val_fmt=info:ofi/fmt:kev:mtx:journal&amp;genre=journal&amp;req_dat=xri:pqil:pq_clntid=131239&amp;svc_dat=xri:pqil:context=title&amp;rft_dat=xri:pqd:PMID=5876689</t>
  </si>
  <si>
    <t>http://gateway.proquest.com/openurl?url_ver=Z39.88-2004&amp;res_dat=xri:pqm&amp;rft_val_fmt=info:ofi/fmt:kev:mtx:journal&amp;genre=journal&amp;req_dat=xri:pqil:pq_clntid=131239&amp;svc_dat=xri:pqil:context=title&amp;rft_dat=xri:pqd:PMID=5876688</t>
  </si>
  <si>
    <t>http://gateway.proquest.com/openurl?url_ver=Z39.88-2004&amp;res_dat=xri:pqm&amp;rft_val_fmt=info:ofi/fmt:kev:mtx:journal&amp;genre=journal&amp;req_dat=xri:pqil:pq_clntid=131239&amp;svc_dat=xri:pqil:context=title&amp;rft_dat=xri:pqd:PMID=5876687</t>
  </si>
  <si>
    <t>http://gateway.proquest.com/openurl?url_ver=Z39.88-2004&amp;res_dat=xri:pqm&amp;rft_val_fmt=info:ofi/fmt:kev:mtx:journal&amp;genre=journal&amp;req_dat=xri:pqil:pq_clntid=131239&amp;svc_dat=xri:pqil:context=title&amp;rft_dat=xri:pqd:PMID=5876686</t>
  </si>
  <si>
    <t>http://gateway.proquest.com/openurl?url_ver=Z39.88-2004&amp;res_dat=xri:pqm&amp;rft_val_fmt=info:ofi/fmt:kev:mtx:journal&amp;genre=journal&amp;req_dat=xri:pqil:pq_clntid=131239&amp;svc_dat=xri:pqil:context=title&amp;rft_dat=xri:pqd:PMID=5876685</t>
  </si>
  <si>
    <t>http://gateway.proquest.com/openurl?url_ver=Z39.88-2004&amp;res_dat=xri:pqm&amp;rft_val_fmt=info:ofi/fmt:kev:mtx:journal&amp;genre=journal&amp;req_dat=xri:pqil:pq_clntid=131239&amp;svc_dat=xri:pqil:context=title&amp;rft_dat=xri:pqd:PMID=5876684</t>
  </si>
  <si>
    <t>http://gateway.proquest.com/openurl?url_ver=Z39.88-2004&amp;res_dat=xri:pqm&amp;rft_val_fmt=info:ofi/fmt:kev:mtx:journal&amp;genre=journal&amp;req_dat=xri:pqil:pq_clntid=131239&amp;svc_dat=xri:pqil:context=title&amp;rft_dat=xri:pqd:PMID=5876683</t>
  </si>
  <si>
    <t>http://gateway.proquest.com/openurl?url_ver=Z39.88-2004&amp;res_dat=xri:pqm&amp;rft_val_fmt=info:ofi/fmt:kev:mtx:journal&amp;genre=journal&amp;req_dat=xri:pqil:pq_clntid=131239&amp;svc_dat=xri:pqil:context=title&amp;rft_dat=xri:pqd:PMID=5876682</t>
  </si>
  <si>
    <t>http://gateway.proquest.com/openurl?url_ver=Z39.88-2004&amp;res_dat=xri:pqm&amp;rft_val_fmt=info:ofi/fmt:kev:mtx:journal&amp;genre=journal&amp;req_dat=xri:pqil:pq_clntid=131239&amp;svc_dat=xri:pqil:context=title&amp;rft_dat=xri:pqd:PMID=5876681</t>
  </si>
  <si>
    <t>http://gateway.proquest.com/openurl?url_ver=Z39.88-2004&amp;res_dat=xri:pqm&amp;rft_val_fmt=info:ofi/fmt:kev:mtx:journal&amp;genre=journal&amp;req_dat=xri:pqil:pq_clntid=131239&amp;svc_dat=xri:pqil:context=title&amp;rft_dat=xri:pqd:PMID=6009010</t>
  </si>
  <si>
    <t>http://gateway.proquest.com/openurl?url_ver=Z39.88-2004&amp;res_dat=xri:pqm&amp;rft_val_fmt=info:ofi/fmt:kev:mtx:journal&amp;genre=journal&amp;req_dat=xri:pqil:pq_clntid=131239&amp;svc_dat=xri:pqil:context=title&amp;rft_dat=xri:pqd:PMID=5483625</t>
  </si>
  <si>
    <t>Sahibabad</t>
  </si>
  <si>
    <t>http://gateway.proquest.com/openurl?url_ver=Z39.88-2004&amp;res_dat=xri:pqm&amp;rft_val_fmt=info:ofi/fmt:kev:mtx:journal&amp;genre=journal&amp;req_dat=xri:pqil:pq_clntid=131239&amp;svc_dat=xri:pqil:context=title&amp;rft_dat=xri:pqd:PMID=135354</t>
  </si>
  <si>
    <t>http://gateway.proquest.com/openurl?url_ver=Z39.88-2004&amp;res_dat=xri:pqm&amp;rft_val_fmt=info:ofi/fmt:kev:mtx:journal&amp;genre=journal&amp;req_dat=xri:pqil:pq_clntid=131239&amp;svc_dat=xri:pqil:context=title&amp;rft_dat=xri:pqd:PMID=2043184</t>
  </si>
  <si>
    <t>Cincinnati</t>
  </si>
  <si>
    <t>http://gateway.proquest.com/openurl?url_ver=Z39.88-2004&amp;res_dat=xri:pqm&amp;rft_val_fmt=info:ofi/fmt:kev:mtx:journal&amp;genre=journal&amp;req_dat=xri:pqil:pq_clntid=131239&amp;svc_dat=xri:pqil:context=title&amp;rft_dat=xri:pqd:PMID=60372</t>
  </si>
  <si>
    <t>http://gateway.proquest.com/openurl?url_ver=Z39.88-2004&amp;res_dat=xri:pqm&amp;rft_val_fmt=info:ofi/fmt:kev:mtx:journal&amp;genre=journal&amp;req_dat=xri:pqil:pq_clntid=131239&amp;svc_dat=xri:pqil:context=title&amp;rft_dat=xri:pqd:PMID=1066361</t>
  </si>
  <si>
    <t>http://gateway.proquest.com/openurl?url_ver=Z39.88-2004&amp;res_dat=xri:pqm&amp;rft_val_fmt=info:ofi/fmt:kev:mtx:journal&amp;genre=journal&amp;req_dat=xri:pqil:pq_clntid=131239&amp;svc_dat=xri:pqil:context=title&amp;rft_dat=xri:pqd:PMID=47859</t>
  </si>
  <si>
    <t>http://gateway.proquest.com/openurl?url_ver=Z39.88-2004&amp;res_dat=xri:pqm&amp;rft_val_fmt=info:ofi/fmt:kev:mtx:journal&amp;genre=journal&amp;req_dat=xri:pqil:pq_clntid=131239&amp;svc_dat=xri:pqil:context=title&amp;rft_dat=xri:pqd:PMID=2041061</t>
  </si>
  <si>
    <t>Verona</t>
  </si>
  <si>
    <t>http://gateway.proquest.com/openurl?url_ver=Z39.88-2004&amp;res_dat=xri:pqm&amp;rft_val_fmt=info:ofi/fmt:kev:mtx:journal&amp;genre=journal&amp;req_dat=xri:pqil:pq_clntid=131239&amp;svc_dat=xri:pqil:context=title&amp;rft_dat=xri:pqd:PMID=1586337</t>
  </si>
  <si>
    <t>http://gateway.proquest.com/openurl?url_ver=Z39.88-2004&amp;res_dat=xri:pqm&amp;rft_val_fmt=info:ofi/fmt:kev:mtx:journal&amp;genre=journal&amp;req_dat=xri:pqil:pq_clntid=131239&amp;svc_dat=xri:pqil:context=title&amp;rft_dat=xri:pqd:PMID=1066359</t>
  </si>
  <si>
    <t>http://gateway.proquest.com/openurl?url_ver=Z39.88-2004&amp;res_dat=xri:pqm&amp;rft_val_fmt=info:ofi/fmt:kev:mtx:journal&amp;genre=journal&amp;req_dat=xri:pqil:pq_clntid=131239&amp;svc_dat=xri:pqil:context=title&amp;rft_dat=xri:pqd:PMID=2037464</t>
  </si>
  <si>
    <t>http://gateway.proquest.com/openurl?url_ver=Z39.88-2004&amp;res_dat=xri:pqm&amp;rft_val_fmt=info:ofi/fmt:kev:mtx:journal&amp;genre=journal&amp;req_dat=xri:pqil:pq_clntid=131239&amp;svc_dat=xri:pqil:context=title&amp;rft_dat=xri:pqd:PMID=1586353</t>
  </si>
  <si>
    <t>http://gateway.proquest.com/openurl?url_ver=Z39.88-2004&amp;res_dat=xri:pqm&amp;rft_val_fmt=info:ofi/fmt:kev:mtx:journal&amp;genre=journal&amp;req_dat=xri:pqil:pq_clntid=131239&amp;svc_dat=xri:pqil:context=title&amp;rft_dat=xri:pqd:PMID=5483618</t>
  </si>
  <si>
    <t>http://gateway.proquest.com/openurl?url_ver=Z39.88-2004&amp;res_dat=xri:pqm&amp;rft_val_fmt=info:ofi/fmt:kev:mtx:journal&amp;genre=journal&amp;req_dat=xri:pqil:pq_clntid=131239&amp;svc_dat=xri:pqil:context=title&amp;rft_dat=xri:pqd:PMID=6275770</t>
  </si>
  <si>
    <t>http://gateway.proquest.com/openurl?url_ver=Z39.88-2004&amp;res_dat=xri:pqm&amp;rft_val_fmt=info:ofi/fmt:kev:mtx:journal&amp;genre=journal&amp;req_dat=xri:pqil:pq_clntid=131239&amp;svc_dat=xri:pqil:context=title&amp;rft_dat=xri:pqd:PMID=2035941</t>
  </si>
  <si>
    <t>http://gateway.proquest.com/openurl?url_ver=Z39.88-2004&amp;res_dat=xri:pqm&amp;rft_val_fmt=info:ofi/fmt:kev:mtx:journal&amp;genre=journal&amp;req_dat=xri:pqil:pq_clntid=131239&amp;svc_dat=xri:pqil:context=title&amp;rft_dat=xri:pqd:PMID=33733</t>
  </si>
  <si>
    <t>http://gateway.proquest.com/openurl?url_ver=Z39.88-2004&amp;res_dat=xri:pqm&amp;rft_val_fmt=info:ofi/fmt:kev:mtx:journal&amp;genre=journal&amp;req_dat=xri:pqil:pq_clntid=131239&amp;svc_dat=xri:pqil:context=title&amp;rft_dat=xri:pqd:PMID=2048876</t>
  </si>
  <si>
    <t>http://gateway.proquest.com/openurl?url_ver=Z39.88-2004&amp;res_dat=xri:pqm&amp;rft_val_fmt=info:ofi/fmt:kev:mtx:journal&amp;genre=journal&amp;req_dat=xri:pqil:pq_clntid=131239&amp;svc_dat=xri:pqil:context=title&amp;rft_dat=xri:pqd:PMID=6362747</t>
  </si>
  <si>
    <t>http://gateway.proquest.com/openurl?url_ver=Z39.88-2004&amp;res_dat=xri:pqm&amp;rft_val_fmt=info:ofi/fmt:kev:mtx:journal&amp;genre=journal&amp;req_dat=xri:pqil:pq_clntid=131239&amp;svc_dat=xri:pqil:context=title&amp;rft_dat=xri:pqd:PMID=5483551</t>
  </si>
  <si>
    <t>01-Jan-1989--31-Dec-1991</t>
  </si>
  <si>
    <t>http://gateway.proquest.com/openurl?url_ver=Z39.88-2004&amp;res_dat=xri:pqm&amp;rft_val_fmt=info:ofi/fmt:kev:mtx:journal&amp;genre=journal&amp;req_dat=xri:pqil:pq_clntid=131239&amp;svc_dat=xri:pqil:context=title&amp;rft_dat=xri:pqd:PMID=47627</t>
  </si>
  <si>
    <t>http://gateway.proquest.com/openurl?url_ver=Z39.88-2004&amp;res_dat=xri:pqm&amp;rft_val_fmt=info:ofi/fmt:kev:mtx:journal&amp;genre=journal&amp;req_dat=xri:pqil:pq_clntid=131239&amp;svc_dat=xri:pqil:context=title&amp;rft_dat=xri:pqd:PMID=5488537</t>
  </si>
  <si>
    <t>01-Jul-2006--30-Sep-2014</t>
  </si>
  <si>
    <t>http://gateway.proquest.com/openurl?url_ver=Z39.88-2004&amp;res_dat=xri:pqm&amp;rft_val_fmt=info:ofi/fmt:kev:mtx:journal&amp;genre=journal&amp;req_dat=xri:pqil:pq_clntid=131239&amp;svc_dat=xri:pqil:context=title&amp;rft_dat=xri:pqd:PMID=28974</t>
  </si>
  <si>
    <t>http://gateway.proquest.com/openurl?url_ver=Z39.88-2004&amp;res_dat=xri:pqm&amp;rft_val_fmt=info:ofi/fmt:kev:mtx:journal&amp;genre=journal&amp;req_dat=xri:pqil:pq_clntid=131239&amp;svc_dat=xri:pqil:context=title&amp;rft_dat=xri:pqd:PMID=46403</t>
  </si>
  <si>
    <t>Garrison</t>
  </si>
  <si>
    <t>http://gateway.proquest.com/openurl?url_ver=Z39.88-2004&amp;res_dat=xri:pqm&amp;rft_val_fmt=info:ofi/fmt:kev:mtx:journal&amp;genre=journal&amp;req_dat=xri:pqil:pq_clntid=131239&amp;svc_dat=xri:pqil:context=title&amp;rft_dat=xri:pqd:PMID=28444</t>
  </si>
  <si>
    <t>http://gateway.proquest.com/openurl?url_ver=Z39.88-2004&amp;res_dat=xri:pqm&amp;rft_val_fmt=info:ofi/fmt:kev:mtx:journal&amp;genre=journal&amp;req_dat=xri:pqil:pq_clntid=131239&amp;svc_dat=xri:pqil:context=title&amp;rft_dat=xri:pqd:PMID=196243</t>
  </si>
  <si>
    <t>01-Jan-2001--31-Dec-2017; 01-Jan-2021--31-Dec-2022</t>
  </si>
  <si>
    <t>http://gateway.proquest.com/openurl?url_ver=Z39.88-2004&amp;res_dat=xri:pqm&amp;rft_val_fmt=info:ofi/fmt:kev:mtx:journal&amp;genre=journal&amp;req_dat=xri:pqil:pq_clntid=131239&amp;svc_dat=xri:pqil:context=title&amp;rft_dat=xri:pqd:PMID=32903</t>
  </si>
  <si>
    <t>Hamburg</t>
  </si>
  <si>
    <t>http://gateway.proquest.com/openurl?url_ver=Z39.88-2004&amp;res_dat=xri:pqm&amp;rft_val_fmt=info:ofi/fmt:kev:mtx:journal&amp;genre=journal&amp;req_dat=xri:pqil:pq_clntid=131239&amp;svc_dat=xri:pqil:context=title&amp;rft_dat=xri:pqd:PMID=46960</t>
  </si>
  <si>
    <t>http://gateway.proquest.com/openurl?url_ver=Z39.88-2004&amp;res_dat=xri:pqm&amp;rft_val_fmt=info:ofi/fmt:kev:mtx:journal&amp;genre=journal&amp;req_dat=xri:pqil:pq_clntid=131239&amp;svc_dat=xri:pqil:context=title&amp;rft_dat=xri:pqd:PMID=48704</t>
  </si>
  <si>
    <t>Bucharest</t>
  </si>
  <si>
    <t>http://gateway.proquest.com/openurl?url_ver=Z39.88-2004&amp;res_dat=xri:pqm&amp;rft_val_fmt=info:ofi/fmt:kev:mtx:journal&amp;genre=journal&amp;req_dat=xri:pqil:pq_clntid=131239&amp;svc_dat=xri:pqil:context=title&amp;rft_dat=xri:pqd:PMID=1296373</t>
  </si>
  <si>
    <t>http://gateway.proquest.com/openurl?url_ver=Z39.88-2004&amp;res_dat=xri:pqm&amp;rft_val_fmt=info:ofi/fmt:kev:mtx:journal&amp;genre=journal&amp;req_dat=xri:pqil:pq_clntid=131239&amp;svc_dat=xri:pqil:context=title&amp;rft_dat=xri:pqd:PMID=196252</t>
  </si>
  <si>
    <t>http://gateway.proquest.com/openurl?url_ver=Z39.88-2004&amp;res_dat=xri:pqm&amp;rft_val_fmt=info:ofi/fmt:kev:mtx:journal&amp;genre=journal&amp;req_dat=xri:pqil:pq_clntid=131239&amp;svc_dat=xri:pqil:context=title&amp;rft_dat=xri:pqd:PMID=47319</t>
  </si>
  <si>
    <t>http://gateway.proquest.com/openurl?url_ver=Z39.88-2004&amp;res_dat=xri:pqm&amp;rft_val_fmt=info:ofi/fmt:kev:mtx:journal&amp;genre=journal&amp;req_dat=xri:pqil:pq_clntid=131239&amp;svc_dat=xri:pqil:context=title&amp;rft_dat=xri:pqd:PMID=32987</t>
  </si>
  <si>
    <t>http://gateway.proquest.com/openurl?url_ver=Z39.88-2004&amp;res_dat=xri:pqm&amp;rft_val_fmt=info:ofi/fmt:kev:mtx:journal&amp;genre=journal&amp;req_dat=xri:pqil:pq_clntid=131239&amp;svc_dat=xri:pqil:context=title&amp;rft_dat=xri:pqd:PMID=32464</t>
  </si>
  <si>
    <t>http://gateway.proquest.com/openurl?url_ver=Z39.88-2004&amp;res_dat=xri:pqm&amp;rft_val_fmt=info:ofi/fmt:kev:mtx:journal&amp;genre=journal&amp;req_dat=xri:pqil:pq_clntid=131239&amp;svc_dat=xri:pqil:context=title&amp;rft_dat=xri:pqd:PMID=33301</t>
  </si>
  <si>
    <t>Faversham</t>
  </si>
  <si>
    <t>http://gateway.proquest.com/openurl?url_ver=Z39.88-2004&amp;res_dat=xri:pqm&amp;rft_val_fmt=info:ofi/fmt:kev:mtx:journal&amp;genre=journal&amp;req_dat=xri:pqil:pq_clntid=131239&amp;svc_dat=xri:pqil:context=title&amp;rft_dat=xri:pqd:PMID=2034488</t>
  </si>
  <si>
    <t>http://gateway.proquest.com/openurl?url_ver=Z39.88-2004&amp;res_dat=xri:pqm&amp;rft_val_fmt=info:ofi/fmt:kev:mtx:journal&amp;genre=journal&amp;req_dat=xri:pqil:pq_clntid=131239&amp;svc_dat=xri:pqil:context=title&amp;rft_dat=xri:pqd:PMID=186246</t>
  </si>
  <si>
    <t>http://gateway.proquest.com/openurl?url_ver=Z39.88-2004&amp;res_dat=xri:pqm&amp;rft_val_fmt=info:ofi/fmt:kev:mtx:journal&amp;genre=journal&amp;req_dat=xri:pqil:pq_clntid=131239&amp;svc_dat=xri:pqil:context=title&amp;rft_dat=xri:pqd:PMID=216153</t>
  </si>
  <si>
    <t>http://gateway.proquest.com/openurl?url_ver=Z39.88-2004&amp;res_dat=xri:pqm&amp;rft_val_fmt=info:ofi/fmt:kev:mtx:journal&amp;genre=journal&amp;req_dat=xri:pqil:pq_clntid=131239&amp;svc_dat=xri:pqil:context=title&amp;rft_dat=xri:pqd:PMID=5046900</t>
  </si>
  <si>
    <t>01-Mar-1996--30-Apr-2001</t>
  </si>
  <si>
    <t>http://gateway.proquest.com/openurl?url_ver=Z39.88-2004&amp;res_dat=xri:pqm&amp;rft_val_fmt=info:ofi/fmt:kev:mtx:journal&amp;genre=journal&amp;req_dat=xri:pqil:pq_clntid=131239&amp;svc_dat=xri:pqil:context=title&amp;rft_dat=xri:pqd:PMID=3659</t>
  </si>
  <si>
    <t>Budapest</t>
  </si>
  <si>
    <t>http://gateway.proquest.com/openurl?url_ver=Z39.88-2004&amp;res_dat=xri:pqm&amp;rft_val_fmt=info:ofi/fmt:kev:mtx:journal&amp;genre=journal&amp;req_dat=xri:pqil:pq_clntid=131239&amp;svc_dat=xri:pqil:context=title&amp;rft_dat=xri:pqd:PMID=2028923</t>
  </si>
  <si>
    <t>http://gateway.proquest.com/openurl?url_ver=Z39.88-2004&amp;res_dat=xri:pqm&amp;rft_val_fmt=info:ofi/fmt:kev:mtx:journal&amp;genre=journal&amp;req_dat=xri:pqil:pq_clntid=131239&amp;svc_dat=xri:pqil:context=title&amp;rft_dat=xri:pqd:PMID=34057</t>
  </si>
  <si>
    <t>http://gateway.proquest.com/openurl?url_ver=Z39.88-2004&amp;res_dat=xri:pqm&amp;rft_val_fmt=info:ofi/fmt:kev:mtx:journal&amp;genre=journal&amp;req_dat=xri:pqil:pq_clntid=131239&amp;svc_dat=xri:pqil:context=title&amp;rft_dat=xri:pqd:PMID=37239</t>
  </si>
  <si>
    <t>http://gateway.proquest.com/openurl?url_ver=Z39.88-2004&amp;res_dat=xri:pqm&amp;rft_val_fmt=info:ofi/fmt:kev:mtx:journal&amp;genre=journal&amp;req_dat=xri:pqil:pq_clntid=131239&amp;svc_dat=xri:pqil:context=title&amp;rft_dat=xri:pqd:PMID=2042883</t>
  </si>
  <si>
    <t>Santiago de Campostela</t>
  </si>
  <si>
    <t>http://gateway.proquest.com/openurl?url_ver=Z39.88-2004&amp;res_dat=xri:pqm&amp;rft_val_fmt=info:ofi/fmt:kev:mtx:journal&amp;genre=journal&amp;req_dat=xri:pqil:pq_clntid=131239&amp;svc_dat=xri:pqil:context=title&amp;rft_dat=xri:pqd:PMID=1536337</t>
  </si>
  <si>
    <t>http://gateway.proquest.com/openurl?url_ver=Z39.88-2004&amp;res_dat=xri:pqm&amp;rft_val_fmt=info:ofi/fmt:kev:mtx:journal&amp;genre=journal&amp;req_dat=xri:pqil:pq_clntid=131239&amp;svc_dat=xri:pqil:context=title&amp;rft_dat=xri:pqd:PMID=2046293</t>
  </si>
  <si>
    <t>http://gateway.proquest.com/openurl?url_ver=Z39.88-2004&amp;res_dat=xri:pqm&amp;rft_val_fmt=info:ofi/fmt:kev:mtx:journal&amp;genre=journal&amp;req_dat=xri:pqil:pq_clntid=131239&amp;svc_dat=xri:pqil:context=title&amp;rft_dat=xri:pqd:PMID=2034548</t>
  </si>
  <si>
    <t>http://gateway.proquest.com/openurl?url_ver=Z39.88-2004&amp;res_dat=xri:pqm&amp;rft_val_fmt=info:ofi/fmt:kev:mtx:journal&amp;genre=journal&amp;req_dat=xri:pqil:pq_clntid=131239&amp;svc_dat=xri:pqil:context=title&amp;rft_dat=xri:pqd:PMID=176160</t>
  </si>
  <si>
    <t>http://gateway.proquest.com/openurl?url_ver=Z39.88-2004&amp;res_dat=xri:pqm&amp;rft_val_fmt=info:ofi/fmt:kev:mtx:journal&amp;genre=journal&amp;req_dat=xri:pqil:pq_clntid=131239&amp;svc_dat=xri:pqil:context=title&amp;rft_dat=xri:pqd:PMID=2030020</t>
  </si>
  <si>
    <t>http://gateway.proquest.com/openurl?url_ver=Z39.88-2004&amp;res_dat=xri:pqm&amp;rft_val_fmt=info:ofi/fmt:kev:mtx:journal&amp;genre=journal&amp;req_dat=xri:pqil:pq_clntid=131239&amp;svc_dat=xri:pqil:context=title&amp;rft_dat=xri:pqd:PMID=29883</t>
  </si>
  <si>
    <t>Nicosia</t>
  </si>
  <si>
    <t>http://gateway.proquest.com/openurl?url_ver=Z39.88-2004&amp;res_dat=xri:pqm&amp;rft_val_fmt=info:ofi/fmt:kev:mtx:journal&amp;genre=journal&amp;req_dat=xri:pqil:pq_clntid=131239&amp;svc_dat=xri:pqil:context=title&amp;rft_dat=xri:pqd:PMID=2032479</t>
  </si>
  <si>
    <t>http://gateway.proquest.com/openurl?url_ver=Z39.88-2004&amp;res_dat=xri:pqm&amp;rft_val_fmt=info:ofi/fmt:kev:mtx:journal&amp;genre=journal&amp;req_dat=xri:pqil:pq_clntid=131239&amp;svc_dat=xri:pqil:context=title&amp;rft_dat=xri:pqd:PMID=47820</t>
  </si>
  <si>
    <t>Limerick</t>
  </si>
  <si>
    <t>http://gateway.proquest.com/openurl?url_ver=Z39.88-2004&amp;res_dat=xri:pqm&amp;rft_val_fmt=info:ofi/fmt:kev:mtx:journal&amp;genre=journal&amp;req_dat=xri:pqil:pq_clntid=131239&amp;svc_dat=xri:pqil:context=title&amp;rft_dat=xri:pqd:PMID=37218</t>
  </si>
  <si>
    <t>http://gateway.proquest.com/openurl?url_ver=Z39.88-2004&amp;res_dat=xri:pqm&amp;rft_val_fmt=info:ofi/fmt:kev:mtx:journal&amp;genre=journal&amp;req_dat=xri:pqil:pq_clntid=131239&amp;svc_dat=xri:pqil:context=title&amp;rft_dat=xri:pqd:PMID=44209</t>
  </si>
  <si>
    <t>http://gateway.proquest.com/openurl?url_ver=Z39.88-2004&amp;res_dat=xri:pqm&amp;rft_val_fmt=info:ofi/fmt:kev:mtx:journal&amp;genre=journal&amp;req_dat=xri:pqil:pq_clntid=131239&amp;svc_dat=xri:pqil:context=title&amp;rft_dat=xri:pqd:PMID=41501</t>
  </si>
  <si>
    <t>Paris</t>
  </si>
  <si>
    <t>http://gateway.proquest.com/openurl?url_ver=Z39.88-2004&amp;res_dat=xri:pqm&amp;rft_val_fmt=info:ofi/fmt:kev:mtx:journal&amp;genre=journal&amp;req_dat=xri:pqil:pq_clntid=131239&amp;svc_dat=xri:pqil:context=title&amp;rft_dat=xri:pqd:PMID=4933639</t>
  </si>
  <si>
    <t>http://gateway.proquest.com/openurl?url_ver=Z39.88-2004&amp;res_dat=xri:pqm&amp;rft_val_fmt=info:ofi/fmt:kev:mtx:journal&amp;genre=journal&amp;req_dat=xri:pqil:pq_clntid=131239&amp;svc_dat=xri:pqil:context=title&amp;rft_dat=xri:pqd:PMID=176159</t>
  </si>
  <si>
    <t>http://gateway.proquest.com/openurl?url_ver=Z39.88-2004&amp;res_dat=xri:pqm&amp;rft_val_fmt=info:ofi/fmt:kev:mtx:journal&amp;genre=journal&amp;req_dat=xri:pqil:pq_clntid=131239&amp;svc_dat=xri:pqil:context=title&amp;rft_dat=xri:pqd:PMID=37701</t>
  </si>
  <si>
    <t>http://gateway.proquest.com/openurl?url_ver=Z39.88-2004&amp;res_dat=xri:pqm&amp;rft_val_fmt=info:ofi/fmt:kev:mtx:journal&amp;genre=journal&amp;req_dat=xri:pqil:pq_clntid=131239&amp;svc_dat=xri:pqil:context=title&amp;rft_dat=xri:pqd:PMID=5399</t>
  </si>
  <si>
    <t>http://gateway.proquest.com/openurl?url_ver=Z39.88-2004&amp;res_dat=xri:pqm&amp;rft_val_fmt=info:ofi/fmt:kev:mtx:journal&amp;genre=journal&amp;req_dat=xri:pqil:pq_clntid=131239&amp;svc_dat=xri:pqil:context=title&amp;rft_dat=xri:pqd:PMID=6009009</t>
  </si>
  <si>
    <t>http://gateway.proquest.com/openurl?url_ver=Z39.88-2004&amp;res_dat=xri:pqm&amp;rft_val_fmt=info:ofi/fmt:kev:mtx:journal&amp;genre=journal&amp;req_dat=xri:pqil:pq_clntid=131239&amp;svc_dat=xri:pqil:context=title&amp;rft_dat=xri:pqd:PMID=5483552</t>
  </si>
  <si>
    <t>http://gateway.proquest.com/openurl?url_ver=Z39.88-2004&amp;res_dat=xri:pqm&amp;rft_val_fmt=info:ofi/fmt:kev:mtx:journal&amp;genre=journal&amp;req_dat=xri:pqil:pq_clntid=131239&amp;svc_dat=xri:pqil:context=title&amp;rft_dat=xri:pqd:PMID=4396548</t>
  </si>
  <si>
    <t>http://gateway.proquest.com/openurl?url_ver=Z39.88-2004&amp;res_dat=xri:pqm&amp;rft_val_fmt=info:ofi/fmt:kev:mtx:journal&amp;genre=journal&amp;req_dat=xri:pqil:pq_clntid=131239&amp;svc_dat=xri:pqil:context=title&amp;rft_dat=xri:pqd:PMID=2037463</t>
  </si>
  <si>
    <t>http://gateway.proquest.com/openurl?url_ver=Z39.88-2004&amp;res_dat=xri:pqm&amp;rft_val_fmt=info:ofi/fmt:kev:mtx:journal&amp;genre=journal&amp;req_dat=xri:pqil:pq_clntid=131239&amp;svc_dat=xri:pqil:context=title&amp;rft_dat=xri:pqd:PMID=2030903</t>
  </si>
  <si>
    <t>http://gateway.proquest.com/openurl?url_ver=Z39.88-2004&amp;res_dat=xri:pqm&amp;rft_val_fmt=info:ofi/fmt:kev:mtx:journal&amp;genre=journal&amp;req_dat=xri:pqil:pq_clntid=131239&amp;svc_dat=xri:pqil:context=title&amp;rft_dat=xri:pqd:PMID=51240</t>
  </si>
  <si>
    <t>http://gateway.proquest.com/openurl?url_ver=Z39.88-2004&amp;res_dat=xri:pqm&amp;rft_val_fmt=info:ofi/fmt:kev:mtx:journal&amp;genre=journal&amp;req_dat=xri:pqil:pq_clntid=131239&amp;svc_dat=xri:pqil:context=title&amp;rft_dat=xri:pqd:PMID=5263189</t>
  </si>
  <si>
    <t>http://gateway.proquest.com/openurl?url_ver=Z39.88-2004&amp;res_dat=xri:pqm&amp;rft_val_fmt=info:ofi/fmt:kev:mtx:journal&amp;genre=journal&amp;req_dat=xri:pqil:pq_clntid=131239&amp;svc_dat=xri:pqil:context=title&amp;rft_dat=xri:pqd:PMID=2042635</t>
  </si>
  <si>
    <t>http://gateway.proquest.com/openurl?url_ver=Z39.88-2004&amp;res_dat=xri:pqm&amp;rft_val_fmt=info:ofi/fmt:kev:mtx:journal&amp;genre=journal&amp;req_dat=xri:pqil:pq_clntid=131239&amp;svc_dat=xri:pqil:context=title&amp;rft_dat=xri:pqd:PMID=4451125</t>
  </si>
  <si>
    <t>http://gateway.proquest.com/openurl?url_ver=Z39.88-2004&amp;res_dat=xri:pqm&amp;rft_val_fmt=info:ofi/fmt:kev:mtx:journal&amp;genre=journal&amp;req_dat=xri:pqil:pq_clntid=131239&amp;svc_dat=xri:pqil:context=title&amp;rft_dat=xri:pqd:PMID=5483645</t>
  </si>
  <si>
    <t>Reston</t>
  </si>
  <si>
    <t>01-Jan-1936--31-Dec-1938; 01-Jan-1950--31-Dec-1951; 01-Jan-1954--31-Dec-1954; 01-Jan-1961--31-Dec-1962; 01-Jan-1967--31-Dec-1970; 01-Jan-1975--31-Dec-1983; 01-Jan-1985--31-Dec-1988</t>
  </si>
  <si>
    <t>http://gateway.proquest.com/openurl?url_ver=Z39.88-2004&amp;res_dat=xri:pqm&amp;rft_val_fmt=info:ofi/fmt:kev:mtx:journal&amp;genre=journal&amp;req_dat=xri:pqil:pq_clntid=131239&amp;svc_dat=xri:pqil:context=title&amp;rft_dat=xri:pqd:PMID=7735</t>
  </si>
  <si>
    <t>http://gateway.proquest.com/openurl?url_ver=Z39.88-2004&amp;res_dat=xri:pqm&amp;rft_val_fmt=info:ofi/fmt:kev:mtx:journal&amp;genre=journal&amp;req_dat=xri:pqil:pq_clntid=131239&amp;svc_dat=xri:pqil:context=title&amp;rft_dat=xri:pqd:PMID=36998</t>
  </si>
  <si>
    <t>http://gateway.proquest.com/openurl?url_ver=Z39.88-2004&amp;res_dat=xri:pqm&amp;rft_val_fmt=info:ofi/fmt:kev:mtx:journal&amp;genre=journal&amp;req_dat=xri:pqil:pq_clntid=131239&amp;svc_dat=xri:pqil:context=title&amp;rft_dat=xri:pqd:PMID=43052</t>
  </si>
  <si>
    <t>http://gateway.proquest.com/openurl?url_ver=Z39.88-2004&amp;res_dat=xri:pqm&amp;rft_val_fmt=info:ofi/fmt:kev:mtx:journal&amp;genre=journal&amp;req_dat=xri:pqil:pq_clntid=131239&amp;svc_dat=xri:pqil:context=title&amp;rft_dat=xri:pqd:PMID=6275769</t>
  </si>
  <si>
    <t>http://gateway.proquest.com/openurl?url_ver=Z39.88-2004&amp;res_dat=xri:pqm&amp;rft_val_fmt=info:ofi/fmt:kev:mtx:journal&amp;genre=journal&amp;req_dat=xri:pqil:pq_clntid=131239&amp;svc_dat=xri:pqil:context=title&amp;rft_dat=xri:pqd:PMID=5983392</t>
  </si>
  <si>
    <t>http://gateway.proquest.com/openurl?url_ver=Z39.88-2004&amp;res_dat=xri:pqm&amp;rft_val_fmt=info:ofi/fmt:kev:mtx:journal&amp;genre=journal&amp;req_dat=xri:pqil:pq_clntid=131239&amp;svc_dat=xri:pqil:context=title&amp;rft_dat=xri:pqd:PMID=176158</t>
  </si>
  <si>
    <t>http://gateway.proquest.com/openurl?url_ver=Z39.88-2004&amp;res_dat=xri:pqm&amp;rft_val_fmt=info:ofi/fmt:kev:mtx:journal&amp;genre=journal&amp;req_dat=xri:pqil:pq_clntid=131239&amp;svc_dat=xri:pqil:context=title&amp;rft_dat=xri:pqd:PMID=47176</t>
  </si>
  <si>
    <t>http://gateway.proquest.com/openurl?url_ver=Z39.88-2004&amp;res_dat=xri:pqm&amp;rft_val_fmt=info:ofi/fmt:kev:mtx:journal&amp;genre=journal&amp;req_dat=xri:pqil:pq_clntid=131239&amp;svc_dat=xri:pqil:context=title&amp;rft_dat=xri:pqd:PMID=5483573</t>
  </si>
  <si>
    <t>http://gateway.proquest.com/openurl?url_ver=Z39.88-2004&amp;res_dat=xri:pqm&amp;rft_val_fmt=info:ofi/fmt:kev:mtx:journal&amp;genre=journal&amp;req_dat=xri:pqil:pq_clntid=131239&amp;svc_dat=xri:pqil:context=title&amp;rft_dat=xri:pqd:PMID=54578</t>
  </si>
  <si>
    <t>Expressive Media Inc.</t>
  </si>
  <si>
    <t>Pittsburgh</t>
  </si>
  <si>
    <t>http://gateway.proquest.com/openurl?url_ver=Z39.88-2004&amp;res_dat=xri:pqm&amp;rft_val_fmt=info:ofi/fmt:kev:mtx:journal&amp;genre=journal&amp;req_dat=xri:pqil:pq_clntid=131239&amp;svc_dat=xri:pqil:context=title&amp;rft_dat=xri:pqd:PMID=6362746</t>
  </si>
  <si>
    <t>http://gateway.proquest.com/openurl?url_ver=Z39.88-2004&amp;res_dat=xri:pqm&amp;rft_val_fmt=info:ofi/fmt:kev:mtx:journal&amp;genre=journal&amp;req_dat=xri:pqil:pq_clntid=131239&amp;svc_dat=xri:pqil:context=title&amp;rft_dat=xri:pqd:PMID=3933164</t>
  </si>
  <si>
    <t>Admire Entertainment, Inc.</t>
  </si>
  <si>
    <t>Redwood City</t>
  </si>
  <si>
    <t>http://gateway.proquest.com/openurl?url_ver=Z39.88-2004&amp;res_dat=xri:pqm&amp;rft_val_fmt=info:ofi/fmt:kev:mtx:journal&amp;genre=journal&amp;req_dat=xri:pqil:pq_clntid=131239&amp;svc_dat=xri:pqil:context=title&amp;rft_dat=xri:pqd:PMID=6364592</t>
  </si>
  <si>
    <t>http://gateway.proquest.com/openurl?url_ver=Z39.88-2004&amp;res_dat=xri:pqm&amp;rft_val_fmt=info:ofi/fmt:kev:mtx:journal&amp;genre=journal&amp;req_dat=xri:pqil:pq_clntid=131239&amp;svc_dat=xri:pqil:context=title&amp;rft_dat=xri:pqd:PMID=6543</t>
  </si>
  <si>
    <t>http://gateway.proquest.com/openurl?url_ver=Z39.88-2004&amp;res_dat=xri:pqm&amp;rft_val_fmt=info:ofi/fmt:kev:mtx:journal&amp;genre=journal&amp;req_dat=xri:pqil:pq_clntid=131239&amp;svc_dat=xri:pqil:context=title&amp;rft_dat=xri:pqd:PMID=5483605</t>
  </si>
  <si>
    <t>Milwaukee</t>
  </si>
  <si>
    <t>http://gateway.proquest.com/openurl?url_ver=Z39.88-2004&amp;res_dat=xri:pqm&amp;rft_val_fmt=info:ofi/fmt:kev:mtx:journal&amp;genre=journal&amp;req_dat=xri:pqil:pq_clntid=131239&amp;svc_dat=xri:pqil:context=title&amp;rft_dat=xri:pqd:PMID=41932</t>
  </si>
  <si>
    <t>http://gateway.proquest.com/openurl?url_ver=Z39.88-2004&amp;res_dat=xri:pqm&amp;rft_val_fmt=info:ofi/fmt:kev:mtx:journal&amp;genre=journal&amp;req_dat=xri:pqil:pq_clntid=131239&amp;svc_dat=xri:pqil:context=title&amp;rft_dat=xri:pqd:PMID=49309</t>
  </si>
  <si>
    <t>http://gateway.proquest.com/openurl?url_ver=Z39.88-2004&amp;res_dat=xri:pqm&amp;rft_val_fmt=info:ofi/fmt:kev:mtx:journal&amp;genre=journal&amp;req_dat=xri:pqil:pq_clntid=131239&amp;svc_dat=xri:pqil:context=title&amp;rft_dat=xri:pqd:PMID=5483526</t>
  </si>
  <si>
    <t>http://gateway.proquest.com/openurl?url_ver=Z39.88-2004&amp;res_dat=xri:pqm&amp;rft_val_fmt=info:ofi/fmt:kev:mtx:journal&amp;genre=journal&amp;req_dat=xri:pqil:pq_clntid=131239&amp;svc_dat=xri:pqil:context=title&amp;rft_dat=xri:pqd:PMID=42521</t>
  </si>
  <si>
    <t>http://gateway.proquest.com/openurl?url_ver=Z39.88-2004&amp;res_dat=xri:pqm&amp;rft_val_fmt=info:ofi/fmt:kev:mtx:journal&amp;genre=journal&amp;req_dat=xri:pqil:pq_clntid=131239&amp;svc_dat=xri:pqil:context=title&amp;rft_dat=xri:pqd:PMID=31181</t>
  </si>
  <si>
    <t>http://gateway.proquest.com/openurl?url_ver=Z39.88-2004&amp;res_dat=xri:pqm&amp;rft_val_fmt=info:ofi/fmt:kev:mtx:journal&amp;genre=journal&amp;req_dat=xri:pqil:pq_clntid=131239&amp;svc_dat=xri:pqil:context=title&amp;rft_dat=xri:pqd:PMID=36687</t>
  </si>
  <si>
    <t>http://gateway.proquest.com/openurl?url_ver=Z39.88-2004&amp;res_dat=xri:pqm&amp;rft_val_fmt=info:ofi/fmt:kev:mtx:journal&amp;genre=journal&amp;req_dat=xri:pqil:pq_clntid=131239&amp;svc_dat=xri:pqil:context=title&amp;rft_dat=xri:pqd:PMID=49117</t>
  </si>
  <si>
    <t>Minneapolis</t>
  </si>
  <si>
    <t>http://gateway.proquest.com/openurl?url_ver=Z39.88-2004&amp;res_dat=xri:pqm&amp;rft_val_fmt=info:ofi/fmt:kev:mtx:journal&amp;genre=journal&amp;req_dat=xri:pqil:pq_clntid=131239&amp;svc_dat=xri:pqil:context=title&amp;rft_dat=xri:pqd:PMID=41641</t>
  </si>
  <si>
    <t>http://gateway.proquest.com/openurl?url_ver=Z39.88-2004&amp;res_dat=xri:pqm&amp;rft_val_fmt=info:ofi/fmt:kev:mtx:journal&amp;genre=journal&amp;req_dat=xri:pqil:pq_clntid=131239&amp;svc_dat=xri:pqil:context=title&amp;rft_dat=xri:pqd:PMID=47866</t>
  </si>
  <si>
    <t>Gaithersburg</t>
  </si>
  <si>
    <t>http://gateway.proquest.com/openurl?url_ver=Z39.88-2004&amp;res_dat=xri:pqm&amp;rft_val_fmt=info:ofi/fmt:kev:mtx:journal&amp;genre=journal&amp;req_dat=xri:pqil:pq_clntid=131239&amp;svc_dat=xri:pqil:context=title&amp;rft_dat=xri:pqd:PMID=48112</t>
  </si>
  <si>
    <t>http://gateway.proquest.com/openurl?url_ver=Z39.88-2004&amp;res_dat=xri:pqm&amp;rft_val_fmt=info:ofi/fmt:kev:mtx:journal&amp;genre=journal&amp;req_dat=xri:pqil:pq_clntid=131239&amp;svc_dat=xri:pqil:context=title&amp;rft_dat=xri:pqd:PMID=6009008</t>
  </si>
  <si>
    <t>Shortcuts TV</t>
  </si>
  <si>
    <t>Burbage</t>
  </si>
  <si>
    <t>http://gateway.proquest.com/openurl?url_ver=Z39.88-2004&amp;res_dat=xri:pqm&amp;rft_val_fmt=info:ofi/fmt:kev:mtx:journal&amp;genre=journal&amp;req_dat=xri:pqil:pq_clntid=131239&amp;svc_dat=xri:pqil:context=title&amp;rft_dat=xri:pqd:PMID=6362744</t>
  </si>
  <si>
    <t>Fast Phobia Cure : A Woman's 22-Year Intense Phobia of Bees Is Successfully Resolved in a 7-Minute Session in a Workshop Setting. Includes Summary of 10-Month Follow-Up Interview Including In Vivo Testing to Verify That Her Phobia Is Gone</t>
  </si>
  <si>
    <t>http://gateway.proquest.com/openurl?url_ver=Z39.88-2004&amp;res_dat=xri:pqm&amp;rft_val_fmt=info:ofi/fmt:kev:mtx:journal&amp;genre=journal&amp;req_dat=xri:pqil:pq_clntid=131239&amp;svc_dat=xri:pqil:context=title&amp;rft_dat=xri:pqd:PMID=6394516</t>
  </si>
  <si>
    <t>http://gateway.proquest.com/openurl?url_ver=Z39.88-2004&amp;res_dat=xri:pqm&amp;rft_val_fmt=info:ofi/fmt:kev:mtx:journal&amp;genre=journal&amp;req_dat=xri:pqil:pq_clntid=131239&amp;svc_dat=xri:pqil:context=title&amp;rft_dat=xri:pqd:PMID=43303</t>
  </si>
  <si>
    <t>http://gateway.proquest.com/openurl?url_ver=Z39.88-2004&amp;res_dat=xri:pqm&amp;rft_val_fmt=info:ofi/fmt:kev:mtx:journal&amp;genre=journal&amp;req_dat=xri:pqil:pq_clntid=131239&amp;svc_dat=xri:pqil:context=title&amp;rft_dat=xri:pqd:PMID=25138</t>
  </si>
  <si>
    <t>http://gateway.proquest.com/openurl?url_ver=Z39.88-2004&amp;res_dat=xri:pqm&amp;rft_val_fmt=info:ofi/fmt:kev:mtx:journal&amp;genre=journal&amp;req_dat=xri:pqil:pq_clntid=131239&amp;svc_dat=xri:pqil:context=title&amp;rft_dat=xri:pqd:PMID=32812</t>
  </si>
  <si>
    <t>http://gateway.proquest.com/openurl?url_ver=Z39.88-2004&amp;res_dat=xri:pqm&amp;rft_val_fmt=info:ofi/fmt:kev:mtx:journal&amp;genre=journal&amp;req_dat=xri:pqil:pq_clntid=131239&amp;svc_dat=xri:pqil:context=title&amp;rft_dat=xri:pqd:PMID=5014763</t>
  </si>
  <si>
    <t>http://gateway.proquest.com/openurl?url_ver=Z39.88-2004&amp;res_dat=xri:pqm&amp;rft_val_fmt=info:ofi/fmt:kev:mtx:journal&amp;genre=journal&amp;req_dat=xri:pqil:pq_clntid=131239&amp;svc_dat=xri:pqil:context=title&amp;rft_dat=xri:pqd:PMID=186244</t>
  </si>
  <si>
    <t>College Park, Md.</t>
  </si>
  <si>
    <t>http://gateway.proquest.com/openurl?url_ver=Z39.88-2004&amp;res_dat=xri:pqm&amp;rft_val_fmt=info:ofi/fmt:kev:mtx:journal&amp;genre=journal&amp;req_dat=xri:pqil:pq_clntid=131239&amp;svc_dat=xri:pqil:context=title&amp;rft_dat=xri:pqd:PMID=1816517</t>
  </si>
  <si>
    <t>Filial Therapy Videos</t>
  </si>
  <si>
    <t>http://gateway.proquest.com/openurl?url_ver=Z39.88-2004&amp;res_dat=xri:pqm&amp;rft_val_fmt=info:ofi/fmt:kev:mtx:journal&amp;genre=journal&amp;req_dat=xri:pqil:pq_clntid=131239&amp;svc_dat=xri:pqil:context=title&amp;rft_dat=xri:pqd:PMID=5262121</t>
  </si>
  <si>
    <t>http://gateway.proquest.com/openurl?url_ver=Z39.88-2004&amp;res_dat=xri:pqm&amp;rft_val_fmt=info:ofi/fmt:kev:mtx:journal&amp;genre=journal&amp;req_dat=xri:pqil:pq_clntid=131239&amp;svc_dat=xri:pqil:context=title&amp;rft_dat=xri:pqd:PMID=6009007</t>
  </si>
  <si>
    <t>Five Approaches to Linda</t>
  </si>
  <si>
    <t>http://gateway.proquest.com/openurl?url_ver=Z39.88-2004&amp;res_dat=xri:pqm&amp;rft_val_fmt=info:ofi/fmt:kev:mtx:journal&amp;genre=journal&amp;req_dat=xri:pqil:pq_clntid=131239&amp;svc_dat=xri:pqil:context=title&amp;rft_dat=xri:pqd:PMID=6275767</t>
  </si>
  <si>
    <t>http://gateway.proquest.com/openurl?url_ver=Z39.88-2004&amp;res_dat=xri:pqm&amp;rft_val_fmt=info:ofi/fmt:kev:mtx:journal&amp;genre=journal&amp;req_dat=xri:pqil:pq_clntid=131239&amp;svc_dat=xri:pqil:context=title&amp;rft_dat=xri:pqd:PMID=6009006</t>
  </si>
  <si>
    <t>http://gateway.proquest.com/openurl?url_ver=Z39.88-2004&amp;res_dat=xri:pqm&amp;rft_val_fmt=info:ofi/fmt:kev:mtx:journal&amp;genre=journal&amp;req_dat=xri:pqil:pq_clntid=131239&amp;svc_dat=xri:pqil:context=title&amp;rft_dat=xri:pqd:PMID=6059439</t>
  </si>
  <si>
    <t>http://gateway.proquest.com/openurl?url_ver=Z39.88-2004&amp;res_dat=xri:pqm&amp;rft_val_fmt=info:ofi/fmt:kev:mtx:journal&amp;genre=journal&amp;req_dat=xri:pqil:pq_clntid=131239&amp;svc_dat=xri:pqil:context=title&amp;rft_dat=xri:pqd:PMID=31128</t>
  </si>
  <si>
    <t>http://gateway.proquest.com/openurl?url_ver=Z39.88-2004&amp;res_dat=xri:pqm&amp;rft_val_fmt=info:ofi/fmt:kev:mtx:journal&amp;genre=journal&amp;req_dat=xri:pqil:pq_clntid=131239&amp;svc_dat=xri:pqil:context=title&amp;rft_dat=xri:pqd:PMID=48488</t>
  </si>
  <si>
    <t>http://gateway.proquest.com/openurl?url_ver=Z39.88-2004&amp;res_dat=xri:pqm&amp;rft_val_fmt=info:ofi/fmt:kev:mtx:journal&amp;genre=journal&amp;req_dat=xri:pqil:pq_clntid=131239&amp;svc_dat=xri:pqil:context=title&amp;rft_dat=xri:pqd:PMID=40950</t>
  </si>
  <si>
    <t>http://gateway.proquest.com/openurl?url_ver=Z39.88-2004&amp;res_dat=xri:pqm&amp;rft_val_fmt=info:ofi/fmt:kev:mtx:journal&amp;genre=journal&amp;req_dat=xri:pqil:pq_clntid=131239&amp;svc_dat=xri:pqil:context=title&amp;rft_dat=xri:pqd:PMID=40952</t>
  </si>
  <si>
    <t>Springfield</t>
  </si>
  <si>
    <t>http://gateway.proquest.com/openurl?url_ver=Z39.88-2004&amp;res_dat=xri:pqm&amp;rft_val_fmt=info:ofi/fmt:kev:mtx:journal&amp;genre=journal&amp;req_dat=xri:pqil:pq_clntid=131239&amp;svc_dat=xri:pqil:context=title&amp;rft_dat=xri:pqd:PMID=25766</t>
  </si>
  <si>
    <t>http://gateway.proquest.com/openurl?url_ver=Z39.88-2004&amp;res_dat=xri:pqm&amp;rft_val_fmt=info:ofi/fmt:kev:mtx:journal&amp;genre=journal&amp;req_dat=xri:pqil:pq_clntid=131239&amp;svc_dat=xri:pqil:context=title&amp;rft_dat=xri:pqd:PMID=2044087</t>
  </si>
  <si>
    <t>http://gateway.proquest.com/openurl?url_ver=Z39.88-2004&amp;res_dat=xri:pqm&amp;rft_val_fmt=info:ofi/fmt:kev:mtx:journal&amp;genre=journal&amp;req_dat=xri:pqil:pq_clntid=131239&amp;svc_dat=xri:pqil:context=title&amp;rft_dat=xri:pqd:PMID=5488569</t>
  </si>
  <si>
    <t>Forgiving Parents - Virginia Satir - Families &amp; Relationships</t>
  </si>
  <si>
    <t>http://gateway.proquest.com/openurl?url_ver=Z39.88-2004&amp;res_dat=xri:pqm&amp;rft_val_fmt=info:ofi/fmt:kev:mtx:journal&amp;genre=journal&amp;req_dat=xri:pqil:pq_clntid=131239&amp;svc_dat=xri:pqil:context=title&amp;rft_dat=xri:pqd:PMID=6009005</t>
  </si>
  <si>
    <t>http://gateway.proquest.com/openurl?url_ver=Z39.88-2004&amp;res_dat=xri:pqm&amp;rft_val_fmt=info:ofi/fmt:kev:mtx:journal&amp;genre=journal&amp;req_dat=xri:pqil:pq_clntid=131239&amp;svc_dat=xri:pqil:context=title&amp;rft_dat=xri:pqd:PMID=5488559</t>
  </si>
  <si>
    <t>http://gateway.proquest.com/openurl?url_ver=Z39.88-2004&amp;res_dat=xri:pqm&amp;rft_val_fmt=info:ofi/fmt:kev:mtx:journal&amp;genre=journal&amp;req_dat=xri:pqil:pq_clntid=131239&amp;svc_dat=xri:pqil:context=title&amp;rft_dat=xri:pqd:PMID=2032228</t>
  </si>
  <si>
    <t>http://gateway.proquest.com/openurl?url_ver=Z39.88-2004&amp;res_dat=xri:pqm&amp;rft_val_fmt=info:ofi/fmt:kev:mtx:journal&amp;genre=journal&amp;req_dat=xri:pqil:pq_clntid=131239&amp;svc_dat=xri:pqil:context=title&amp;rft_dat=xri:pqd:PMID=54082</t>
  </si>
  <si>
    <t>http://gateway.proquest.com/openurl?url_ver=Z39.88-2004&amp;res_dat=xri:pqm&amp;rft_val_fmt=info:ofi/fmt:kev:mtx:journal&amp;genre=journal&amp;req_dat=xri:pqil:pq_clntid=131239&amp;svc_dat=xri:pqil:context=title&amp;rft_dat=xri:pqd:PMID=54513</t>
  </si>
  <si>
    <t>Forward Film Production</t>
  </si>
  <si>
    <t>Lebanon</t>
  </si>
  <si>
    <t>http://gateway.proquest.com/openurl?url_ver=Z39.88-2004&amp;res_dat=xri:pqm&amp;rft_val_fmt=info:ofi/fmt:kev:mtx:journal&amp;genre=journal&amp;req_dat=xri:pqil:pq_clntid=131239&amp;svc_dat=xri:pqil:context=title&amp;rft_dat=xri:pqd:PMID=6362743</t>
  </si>
  <si>
    <t>Islamabad</t>
  </si>
  <si>
    <t>http://gateway.proquest.com/openurl?url_ver=Z39.88-2004&amp;res_dat=xri:pqm&amp;rft_val_fmt=info:ofi/fmt:kev:mtx:journal&amp;genre=journal&amp;req_dat=xri:pqil:pq_clntid=131239&amp;svc_dat=xri:pqil:context=title&amp;rft_dat=xri:pqd:PMID=4914462</t>
  </si>
  <si>
    <t>http://gateway.proquest.com/openurl?url_ver=Z39.88-2004&amp;res_dat=xri:pqm&amp;rft_val_fmt=info:ofi/fmt:kev:mtx:journal&amp;genre=journal&amp;req_dat=xri:pqil:pq_clntid=131239&amp;svc_dat=xri:pqil:context=title&amp;rft_dat=xri:pqd:PMID=6394502</t>
  </si>
  <si>
    <t>http://gateway.proquest.com/openurl?url_ver=Z39.88-2004&amp;res_dat=xri:pqm&amp;rft_val_fmt=info:ofi/fmt:kev:mtx:journal&amp;genre=journal&amp;req_dat=xri:pqil:pq_clntid=131239&amp;svc_dat=xri:pqil:context=title&amp;rft_dat=xri:pqd:PMID=6009004</t>
  </si>
  <si>
    <t>http://gateway.proquest.com/openurl?url_ver=Z39.88-2004&amp;res_dat=xri:pqm&amp;rft_val_fmt=info:ofi/fmt:kev:mtx:journal&amp;genre=journal&amp;req_dat=xri:pqil:pq_clntid=131239&amp;svc_dat=xri:pqil:context=title&amp;rft_dat=xri:pqd:PMID=5483636</t>
  </si>
  <si>
    <t>Washington, D.C.</t>
  </si>
  <si>
    <t>http://gateway.proquest.com/openurl?url_ver=Z39.88-2004&amp;res_dat=xri:pqm&amp;rft_val_fmt=info:ofi/fmt:kev:mtx:journal&amp;genre=journal&amp;req_dat=xri:pqil:pq_clntid=131239&amp;svc_dat=xri:pqil:context=title&amp;rft_dat=xri:pqd:PMID=6009003</t>
  </si>
  <si>
    <t>http://gateway.proquest.com/openurl?url_ver=Z39.88-2004&amp;res_dat=xri:pqm&amp;rft_val_fmt=info:ofi/fmt:kev:mtx:journal&amp;genre=journal&amp;req_dat=xri:pqil:pq_clntid=131239&amp;svc_dat=xri:pqil:context=title&amp;rft_dat=xri:pqd:PMID=6009002</t>
  </si>
  <si>
    <t>01-Jan-2022--31-Dec-2022</t>
  </si>
  <si>
    <t>http://gateway.proquest.com/openurl?url_ver=Z39.88-2004&amp;res_dat=xri:pqm&amp;rft_val_fmt=info:ofi/fmt:kev:mtx:journal&amp;genre=journal&amp;req_dat=xri:pqil:pq_clntid=131239&amp;svc_dat=xri:pqil:context=title&amp;rft_dat=xri:pqd:PMID=2046456</t>
  </si>
  <si>
    <t>Roma</t>
  </si>
  <si>
    <t>01-Oct-2014--31-Mar-2017</t>
  </si>
  <si>
    <t>http://gateway.proquest.com/openurl?url_ver=Z39.88-2004&amp;res_dat=xri:pqm&amp;rft_val_fmt=info:ofi/fmt:kev:mtx:journal&amp;genre=journal&amp;req_dat=xri:pqil:pq_clntid=131239&amp;svc_dat=xri:pqil:context=title&amp;rft_dat=xri:pqd:PMID=34390</t>
  </si>
  <si>
    <t>http://gateway.proquest.com/openurl?url_ver=Z39.88-2004&amp;res_dat=xri:pqm&amp;rft_val_fmt=info:ofi/fmt:kev:mtx:journal&amp;genre=journal&amp;req_dat=xri:pqil:pq_clntid=131239&amp;svc_dat=xri:pqil:context=title&amp;rft_dat=xri:pqd:PMID=2034878</t>
  </si>
  <si>
    <t>Princeton</t>
  </si>
  <si>
    <t>http://gateway.proquest.com/openurl?url_ver=Z39.88-2004&amp;res_dat=xri:pqm&amp;rft_val_fmt=info:ofi/fmt:kev:mtx:journal&amp;genre=journal&amp;req_dat=xri:pqil:pq_clntid=131239&amp;svc_dat=xri:pqil:context=title&amp;rft_dat=xri:pqd:PMID=34391</t>
  </si>
  <si>
    <t>http://gateway.proquest.com/openurl?url_ver=Z39.88-2004&amp;res_dat=xri:pqm&amp;rft_val_fmt=info:ofi/fmt:kev:mtx:journal&amp;genre=journal&amp;req_dat=xri:pqil:pq_clntid=131239&amp;svc_dat=xri:pqil:context=title&amp;rft_dat=xri:pqd:PMID=33317</t>
  </si>
  <si>
    <t>http://gateway.proquest.com/openurl?url_ver=Z39.88-2004&amp;res_dat=xri:pqm&amp;rft_val_fmt=info:ofi/fmt:kev:mtx:journal&amp;genre=journal&amp;req_dat=xri:pqil:pq_clntid=131239&amp;svc_dat=xri:pqil:context=title&amp;rft_dat=xri:pqd:PMID=5483640</t>
  </si>
  <si>
    <t>Lgbtq+|Psychology</t>
  </si>
  <si>
    <t>http://gateway.proquest.com/openurl?url_ver=Z39.88-2004&amp;res_dat=xri:pqm&amp;rft_val_fmt=info:ofi/fmt:kev:mtx:journal&amp;genre=journal&amp;req_dat=xri:pqil:pq_clntid=131239&amp;svc_dat=xri:pqil:context=title&amp;rft_dat=xri:pqd:PMID=38956</t>
  </si>
  <si>
    <t>Leverkusen</t>
  </si>
  <si>
    <t>http://gateway.proquest.com/openurl?url_ver=Z39.88-2004&amp;res_dat=xri:pqm&amp;rft_val_fmt=info:ofi/fmt:kev:mtx:journal&amp;genre=journal&amp;req_dat=xri:pqil:pq_clntid=131239&amp;svc_dat=xri:pqil:context=title&amp;rft_dat=xri:pqd:PMID=2038922</t>
  </si>
  <si>
    <t>Ile-Ife</t>
  </si>
  <si>
    <t>http://gateway.proquest.com/openurl?url_ver=Z39.88-2004&amp;res_dat=xri:pqm&amp;rft_val_fmt=info:ofi/fmt:kev:mtx:journal&amp;genre=journal&amp;req_dat=xri:pqil:pq_clntid=131239&amp;svc_dat=xri:pqil:context=title&amp;rft_dat=xri:pqd:PMID=39577</t>
  </si>
  <si>
    <t>http://gateway.proquest.com/openurl?url_ver=Z39.88-2004&amp;res_dat=xri:pqm&amp;rft_val_fmt=info:ofi/fmt:kev:mtx:journal&amp;genre=journal&amp;req_dat=xri:pqil:pq_clntid=131239&amp;svc_dat=xri:pqil:context=title&amp;rft_dat=xri:pqd:PMID=5019</t>
  </si>
  <si>
    <t>Gender Forum</t>
  </si>
  <si>
    <t>Prof. Dr. Beate Neumeier</t>
  </si>
  <si>
    <t>Köln</t>
  </si>
  <si>
    <t>1613-1878</t>
  </si>
  <si>
    <t>Lgbtq+</t>
  </si>
  <si>
    <t>http://gateway.proquest.com/openurl?url_ver=Z39.88-2004&amp;res_dat=xri:pqm&amp;rft_val_fmt=info:ofi/fmt:kev:mtx:journal&amp;genre=journal&amp;req_dat=xri:pqil:pq_clntid=131239&amp;svc_dat=xri:pqil:context=title&amp;rft_dat=xri:pqd:PMID=29335</t>
  </si>
  <si>
    <t>http://gateway.proquest.com/openurl?url_ver=Z39.88-2004&amp;res_dat=xri:pqm&amp;rft_val_fmt=info:ofi/fmt:kev:mtx:journal&amp;genre=journal&amp;req_dat=xri:pqil:pq_clntid=131239&amp;svc_dat=xri:pqil:context=title&amp;rft_dat=xri:pqd:PMID=5325182</t>
  </si>
  <si>
    <t>http://gateway.proquest.com/openurl?url_ver=Z39.88-2004&amp;res_dat=xri:pqm&amp;rft_val_fmt=info:ofi/fmt:kev:mtx:journal&amp;genre=journal&amp;req_dat=xri:pqil:pq_clntid=131239&amp;svc_dat=xri:pqil:context=title&amp;rft_dat=xri:pqd:PMID=53217</t>
  </si>
  <si>
    <t>http://gateway.proquest.com/openurl?url_ver=Z39.88-2004&amp;res_dat=xri:pqm&amp;rft_val_fmt=info:ofi/fmt:kev:mtx:journal&amp;genre=journal&amp;req_dat=xri:pqil:pq_clntid=131239&amp;svc_dat=xri:pqil:context=title&amp;rft_dat=xri:pqd:PMID=2039211</t>
  </si>
  <si>
    <t>http://gateway.proquest.com/openurl?url_ver=Z39.88-2004&amp;res_dat=xri:pqm&amp;rft_val_fmt=info:ofi/fmt:kev:mtx:journal&amp;genre=journal&amp;req_dat=xri:pqil:pq_clntid=131239&amp;svc_dat=xri:pqil:context=title&amp;rft_dat=xri:pqd:PMID=29898</t>
  </si>
  <si>
    <t>http://gateway.proquest.com/openurl?url_ver=Z39.88-2004&amp;res_dat=xri:pqm&amp;rft_val_fmt=info:ofi/fmt:kev:mtx:journal&amp;genre=journal&amp;req_dat=xri:pqil:pq_clntid=131239&amp;svc_dat=xri:pqil:context=title&amp;rft_dat=xri:pqd:PMID=5483585</t>
  </si>
  <si>
    <t>http://gateway.proquest.com/openurl?url_ver=Z39.88-2004&amp;res_dat=xri:pqm&amp;rft_val_fmt=info:ofi/fmt:kev:mtx:journal&amp;genre=journal&amp;req_dat=xri:pqil:pq_clntid=131239&amp;svc_dat=xri:pqil:context=title&amp;rft_dat=xri:pqd:PMID=4758913</t>
  </si>
  <si>
    <t>http://gateway.proquest.com/openurl?url_ver=Z39.88-2004&amp;res_dat=xri:pqm&amp;rft_val_fmt=info:ofi/fmt:kev:mtx:journal&amp;genre=journal&amp;req_dat=xri:pqil:pq_clntid=131239&amp;svc_dat=xri:pqil:context=title&amp;rft_dat=xri:pqd:PMID=33559</t>
  </si>
  <si>
    <t>Malden</t>
  </si>
  <si>
    <t>http://gateway.proquest.com/openurl?url_ver=Z39.88-2004&amp;res_dat=xri:pqm&amp;rft_val_fmt=info:ofi/fmt:kev:mtx:journal&amp;genre=journal&amp;req_dat=xri:pqil:pq_clntid=131239&amp;svc_dat=xri:pqil:context=title&amp;rft_dat=xri:pqd:PMID=1066353</t>
  </si>
  <si>
    <t>http://gateway.proquest.com/openurl?url_ver=Z39.88-2004&amp;res_dat=xri:pqm&amp;rft_val_fmt=info:ofi/fmt:kev:mtx:journal&amp;genre=journal&amp;req_dat=xri:pqil:pq_clntid=131239&amp;svc_dat=xri:pqil:context=title&amp;rft_dat=xri:pqd:PMID=36889</t>
  </si>
  <si>
    <t>http://gateway.proquest.com/openurl?url_ver=Z39.88-2004&amp;res_dat=xri:pqm&amp;rft_val_fmt=info:ofi/fmt:kev:mtx:journal&amp;genre=journal&amp;req_dat=xri:pqil:pq_clntid=131239&amp;svc_dat=xri:pqil:context=title&amp;rft_dat=xri:pqd:PMID=36144</t>
  </si>
  <si>
    <t>http://gateway.proquest.com/openurl?url_ver=Z39.88-2004&amp;res_dat=xri:pqm&amp;rft_val_fmt=info:ofi/fmt:kev:mtx:journal&amp;genre=journal&amp;req_dat=xri:pqil:pq_clntid=131239&amp;svc_dat=xri:pqil:context=title&amp;rft_dat=xri:pqd:PMID=6009001</t>
  </si>
  <si>
    <t>http://gateway.proquest.com/openurl?url_ver=Z39.88-2004&amp;res_dat=xri:pqm&amp;rft_val_fmt=info:ofi/fmt:kev:mtx:journal&amp;genre=journal&amp;req_dat=xri:pqil:pq_clntid=131239&amp;svc_dat=xri:pqil:context=title&amp;rft_dat=xri:pqd:PMID=6009000</t>
  </si>
  <si>
    <t>http://gateway.proquest.com/openurl?url_ver=Z39.88-2004&amp;res_dat=xri:pqm&amp;rft_val_fmt=info:ofi/fmt:kev:mtx:journal&amp;genre=journal&amp;req_dat=xri:pqil:pq_clntid=131239&amp;svc_dat=xri:pqil:context=title&amp;rft_dat=xri:pqd:PMID=41522</t>
  </si>
  <si>
    <t>http://gateway.proquest.com/openurl?url_ver=Z39.88-2004&amp;res_dat=xri:pqm&amp;rft_val_fmt=info:ofi/fmt:kev:mtx:journal&amp;genre=journal&amp;req_dat=xri:pqil:pq_clntid=131239&amp;svc_dat=xri:pqil:context=title&amp;rft_dat=xri:pqd:PMID=33168</t>
  </si>
  <si>
    <t>South Wellfleet</t>
  </si>
  <si>
    <t>http://gateway.proquest.com/openurl?url_ver=Z39.88-2004&amp;res_dat=xri:pqm&amp;rft_val_fmt=info:ofi/fmt:kev:mtx:journal&amp;genre=journal&amp;req_dat=xri:pqil:pq_clntid=131239&amp;svc_dat=xri:pqil:context=title&amp;rft_dat=xri:pqd:PMID=29198</t>
  </si>
  <si>
    <t>Educators for Social Responsibility</t>
  </si>
  <si>
    <t>http://gateway.proquest.com/openurl?url_ver=Z39.88-2004&amp;res_dat=xri:pqm&amp;rft_val_fmt=info:ofi/fmt:kev:mtx:journal&amp;genre=journal&amp;req_dat=xri:pqil:pq_clntid=131239&amp;svc_dat=xri:pqil:context=title&amp;rft_dat=xri:pqd:PMID=5256687</t>
  </si>
  <si>
    <t>http://gateway.proquest.com/openurl?url_ver=Z39.88-2004&amp;res_dat=xri:pqm&amp;rft_val_fmt=info:ofi/fmt:kev:mtx:journal&amp;genre=journal&amp;req_dat=xri:pqil:pq_clntid=131239&amp;svc_dat=xri:pqil:context=title&amp;rft_dat=xri:pqd:PMID=5483561</t>
  </si>
  <si>
    <t>Gift From Within</t>
  </si>
  <si>
    <t>Beirut</t>
  </si>
  <si>
    <t>http://gateway.proquest.com/openurl?url_ver=Z39.88-2004&amp;res_dat=xri:pqm&amp;rft_val_fmt=info:ofi/fmt:kev:mtx:journal&amp;genre=journal&amp;req_dat=xri:pqil:pq_clntid=131239&amp;svc_dat=xri:pqil:context=title&amp;rft_dat=xri:pqd:PMID=6362742</t>
  </si>
  <si>
    <t>http://gateway.proquest.com/openurl?url_ver=Z39.88-2004&amp;res_dat=xri:pqm&amp;rft_val_fmt=info:ofi/fmt:kev:mtx:journal&amp;genre=journal&amp;req_dat=xri:pqil:pq_clntid=131239&amp;svc_dat=xri:pqil:context=title&amp;rft_dat=xri:pqd:PMID=41008</t>
  </si>
  <si>
    <t>http://gateway.proquest.com/openurl?url_ver=Z39.88-2004&amp;res_dat=xri:pqm&amp;rft_val_fmt=info:ofi/fmt:kev:mtx:journal&amp;genre=journal&amp;req_dat=xri:pqil:pq_clntid=131239&amp;svc_dat=xri:pqil:context=title&amp;rft_dat=xri:pqd:PMID=46372</t>
  </si>
  <si>
    <t>http://gateway.proquest.com/openurl?url_ver=Z39.88-2004&amp;res_dat=xri:pqm&amp;rft_val_fmt=info:ofi/fmt:kev:mtx:journal&amp;genre=journal&amp;req_dat=xri:pqil:pq_clntid=131239&amp;svc_dat=xri:pqil:context=title&amp;rft_dat=xri:pqd:PMID=2033297</t>
  </si>
  <si>
    <t>http://gateway.proquest.com/openurl?url_ver=Z39.88-2004&amp;res_dat=xri:pqm&amp;rft_val_fmt=info:ofi/fmt:kev:mtx:journal&amp;genre=journal&amp;req_dat=xri:pqil:pq_clntid=131239&amp;svc_dat=xri:pqil:context=title&amp;rft_dat=xri:pqd:PMID=6008999</t>
  </si>
  <si>
    <t>http://gateway.proquest.com/openurl?url_ver=Z39.88-2004&amp;res_dat=xri:pqm&amp;rft_val_fmt=info:ofi/fmt:kev:mtx:journal&amp;genre=journal&amp;req_dat=xri:pqil:pq_clntid=131239&amp;svc_dat=xri:pqil:context=title&amp;rft_dat=xri:pqd:PMID=6008998</t>
  </si>
  <si>
    <t>Glicken Collection</t>
  </si>
  <si>
    <t>http://gateway.proquest.com/openurl?url_ver=Z39.88-2004&amp;res_dat=xri:pqm&amp;rft_val_fmt=info:ofi/fmt:kev:mtx:journal&amp;genre=journal&amp;req_dat=xri:pqil:pq_clntid=131239&amp;svc_dat=xri:pqil:context=title&amp;rft_dat=xri:pqd:PMID=6275766</t>
  </si>
  <si>
    <t>http://gateway.proquest.com/openurl?url_ver=Z39.88-2004&amp;res_dat=xri:pqm&amp;rft_val_fmt=info:ofi/fmt:kev:mtx:journal&amp;genre=journal&amp;req_dat=xri:pqil:pq_clntid=131239&amp;svc_dat=xri:pqil:context=title&amp;rft_dat=xri:pqd:PMID=2035934</t>
  </si>
  <si>
    <t>http://gateway.proquest.com/openurl?url_ver=Z39.88-2004&amp;res_dat=xri:pqm&amp;rft_val_fmt=info:ofi/fmt:kev:mtx:journal&amp;genre=journal&amp;req_dat=xri:pqil:pq_clntid=131239&amp;svc_dat=xri:pqil:context=title&amp;rft_dat=xri:pqd:PMID=2034540</t>
  </si>
  <si>
    <t>http://gateway.proquest.com/openurl?url_ver=Z39.88-2004&amp;res_dat=xri:pqm&amp;rft_val_fmt=info:ofi/fmt:kev:mtx:journal&amp;genre=journal&amp;req_dat=xri:pqil:pq_clntid=131239&amp;svc_dat=xri:pqil:context=title&amp;rft_dat=xri:pqd:PMID=5483617</t>
  </si>
  <si>
    <t>http://gateway.proquest.com/openurl?url_ver=Z39.88-2004&amp;res_dat=xri:pqm&amp;rft_val_fmt=info:ofi/fmt:kev:mtx:journal&amp;genre=journal&amp;req_dat=xri:pqil:pq_clntid=131239&amp;svc_dat=xri:pqil:context=title&amp;rft_dat=xri:pqd:PMID=6008997</t>
  </si>
  <si>
    <t>Gravitas Ventures, LLC</t>
  </si>
  <si>
    <t>Camden</t>
  </si>
  <si>
    <t>http://gateway.proquest.com/openurl?url_ver=Z39.88-2004&amp;res_dat=xri:pqm&amp;rft_val_fmt=info:ofi/fmt:kev:mtx:journal&amp;genre=journal&amp;req_dat=xri:pqil:pq_clntid=131239&amp;svc_dat=xri:pqil:context=title&amp;rft_dat=xri:pqd:PMID=6362741</t>
  </si>
  <si>
    <t>http://gateway.proquest.com/openurl?url_ver=Z39.88-2004&amp;res_dat=xri:pqm&amp;rft_val_fmt=info:ofi/fmt:kev:mtx:journal&amp;genre=journal&amp;req_dat=xri:pqil:pq_clntid=131239&amp;svc_dat=xri:pqil:context=title&amp;rft_dat=xri:pqd:PMID=2043117</t>
  </si>
  <si>
    <t>http://gateway.proquest.com/openurl?url_ver=Z39.88-2004&amp;res_dat=xri:pqm&amp;rft_val_fmt=info:ofi/fmt:kev:mtx:journal&amp;genre=journal&amp;req_dat=xri:pqil:pq_clntid=131239&amp;svc_dat=xri:pqil:context=title&amp;rft_dat=xri:pqd:PMID=5256670</t>
  </si>
  <si>
    <t>http://gateway.proquest.com/openurl?url_ver=Z39.88-2004&amp;res_dat=xri:pqm&amp;rft_val_fmt=info:ofi/fmt:kev:mtx:journal&amp;genre=journal&amp;req_dat=xri:pqil:pq_clntid=131239&amp;svc_dat=xri:pqil:context=title&amp;rft_dat=xri:pqd:PMID=5483584</t>
  </si>
  <si>
    <t>http://gateway.proquest.com/openurl?url_ver=Z39.88-2004&amp;res_dat=xri:pqm&amp;rft_val_fmt=info:ofi/fmt:kev:mtx:journal&amp;genre=journal&amp;req_dat=xri:pqil:pq_clntid=131239&amp;svc_dat=xri:pqil:context=title&amp;rft_dat=xri:pqd:PMID=5483525</t>
  </si>
  <si>
    <t>http://gateway.proquest.com/openurl?url_ver=Z39.88-2004&amp;res_dat=xri:pqm&amp;rft_val_fmt=info:ofi/fmt:kev:mtx:journal&amp;genre=journal&amp;req_dat=xri:pqil:pq_clntid=131239&amp;svc_dat=xri:pqil:context=title&amp;rft_dat=xri:pqd:PMID=5488536</t>
  </si>
  <si>
    <t>http://gateway.proquest.com/openurl?url_ver=Z39.88-2004&amp;res_dat=xri:pqm&amp;rft_val_fmt=info:ofi/fmt:kev:mtx:journal&amp;genre=journal&amp;req_dat=xri:pqil:pq_clntid=131239&amp;svc_dat=xri:pqil:context=title&amp;rft_dat=xri:pqd:PMID=47347</t>
  </si>
  <si>
    <t>http://gateway.proquest.com/openurl?url_ver=Z39.88-2004&amp;res_dat=xri:pqm&amp;rft_val_fmt=info:ofi/fmt:kev:mtx:journal&amp;genre=journal&amp;req_dat=xri:pqil:pq_clntid=131239&amp;svc_dat=xri:pqil:context=title&amp;rft_dat=xri:pqd:PMID=47345</t>
  </si>
  <si>
    <t>http://gateway.proquest.com/openurl?url_ver=Z39.88-2004&amp;res_dat=xri:pqm&amp;rft_val_fmt=info:ofi/fmt:kev:mtx:journal&amp;genre=journal&amp;req_dat=xri:pqil:pq_clntid=131239&amp;svc_dat=xri:pqil:context=title&amp;rft_dat=xri:pqd:PMID=47346</t>
  </si>
  <si>
    <t>http://gateway.proquest.com/openurl?url_ver=Z39.88-2004&amp;res_dat=xri:pqm&amp;rft_val_fmt=info:ofi/fmt:kev:mtx:journal&amp;genre=journal&amp;req_dat=xri:pqil:pq_clntid=131239&amp;svc_dat=xri:pqil:context=title&amp;rft_dat=xri:pqd:PMID=32990</t>
  </si>
  <si>
    <t>http://gateway.proquest.com/openurl?url_ver=Z39.88-2004&amp;res_dat=xri:pqm&amp;rft_val_fmt=info:ofi/fmt:kev:mtx:journal&amp;genre=journal&amp;req_dat=xri:pqil:pq_clntid=131239&amp;svc_dat=xri:pqil:context=title&amp;rft_dat=xri:pqd:PMID=2033295</t>
  </si>
  <si>
    <t>http://gateway.proquest.com/openurl?url_ver=Z39.88-2004&amp;res_dat=xri:pqm&amp;rft_val_fmt=info:ofi/fmt:kev:mtx:journal&amp;genre=journal&amp;req_dat=xri:pqil:pq_clntid=131239&amp;svc_dat=xri:pqil:context=title&amp;rft_dat=xri:pqd:PMID=2043116</t>
  </si>
  <si>
    <t>http://gateway.proquest.com/openurl?url_ver=Z39.88-2004&amp;res_dat=xri:pqm&amp;rft_val_fmt=info:ofi/fmt:kev:mtx:journal&amp;genre=journal&amp;req_dat=xri:pqil:pq_clntid=131239&amp;svc_dat=xri:pqil:context=title&amp;rft_dat=xri:pqd:PMID=30672</t>
  </si>
  <si>
    <t>http://gateway.proquest.com/openurl?url_ver=Z39.88-2004&amp;res_dat=xri:pqm&amp;rft_val_fmt=info:ofi/fmt:kev:mtx:journal&amp;genre=journal&amp;req_dat=xri:pqil:pq_clntid=131239&amp;svc_dat=xri:pqil:context=title&amp;rft_dat=xri:pqd:PMID=2039932</t>
  </si>
  <si>
    <t>St. Paul</t>
  </si>
  <si>
    <t>http://gateway.proquest.com/openurl?url_ver=Z39.88-2004&amp;res_dat=xri:pqm&amp;rft_val_fmt=info:ofi/fmt:kev:mtx:journal&amp;genre=journal&amp;req_dat=xri:pqil:pq_clntid=131239&amp;svc_dat=xri:pqil:context=title&amp;rft_dat=xri:pqd:PMID=43244</t>
  </si>
  <si>
    <t>http://gateway.proquest.com/openurl?url_ver=Z39.88-2004&amp;res_dat=xri:pqm&amp;rft_val_fmt=info:ofi/fmt:kev:mtx:journal&amp;genre=journal&amp;req_dat=xri:pqil:pq_clntid=131239&amp;svc_dat=xri:pqil:context=title&amp;rft_dat=xri:pqd:PMID=5483578</t>
  </si>
  <si>
    <t>http://gateway.proquest.com/openurl?url_ver=Z39.88-2004&amp;res_dat=xri:pqm&amp;rft_val_fmt=info:ofi/fmt:kev:mtx:journal&amp;genre=journal&amp;req_dat=xri:pqil:pq_clntid=131239&amp;svc_dat=xri:pqil:context=title&amp;rft_dat=xri:pqd:PMID=5483582</t>
  </si>
  <si>
    <t>Group Therapy 301 : This Group is Made Up of Four Women Ranging in Age From Late Twenties to Late Fifties. the Length of Abstinence Ranges From Over One Year to Less Than One Year</t>
  </si>
  <si>
    <t>http://gateway.proquest.com/openurl?url_ver=Z39.88-2004&amp;res_dat=xri:pqm&amp;rft_val_fmt=info:ofi/fmt:kev:mtx:journal&amp;genre=journal&amp;req_dat=xri:pqil:pq_clntid=131239&amp;svc_dat=xri:pqil:context=title&amp;rft_dat=xri:pqd:PMID=6275765</t>
  </si>
  <si>
    <t>Group Therapy 302 : This Group is Made Up of 8 Women Ranging in Age From Mid-Twenties to Late Fifties. They Range in Length of Abstinence From Over 7 Years to Less Than 1 Year</t>
  </si>
  <si>
    <t>http://gateway.proquest.com/openurl?url_ver=Z39.88-2004&amp;res_dat=xri:pqm&amp;rft_val_fmt=info:ofi/fmt:kev:mtx:journal&amp;genre=journal&amp;req_dat=xri:pqil:pq_clntid=131239&amp;svc_dat=xri:pqil:context=title&amp;rft_dat=xri:pqd:PMID=6275764</t>
  </si>
  <si>
    <t>Group Therapy 306 : This Group is Made Up of 7 Women Between the Ages of Early Thirties to Late Fifties. Six of the Seven Women Have Remained Abstinent for Over 2 Years now</t>
  </si>
  <si>
    <t>http://gateway.proquest.com/openurl?url_ver=Z39.88-2004&amp;res_dat=xri:pqm&amp;rft_val_fmt=info:ofi/fmt:kev:mtx:journal&amp;genre=journal&amp;req_dat=xri:pqil:pq_clntid=131239&amp;svc_dat=xri:pqil:context=title&amp;rft_dat=xri:pqd:PMID=6275763</t>
  </si>
  <si>
    <t>http://gateway.proquest.com/openurl?url_ver=Z39.88-2004&amp;res_dat=xri:pqm&amp;rft_val_fmt=info:ofi/fmt:kev:mtx:journal&amp;genre=journal&amp;req_dat=xri:pqil:pq_clntid=131239&amp;svc_dat=xri:pqil:context=title&amp;rft_dat=xri:pqd:PMID=5325205</t>
  </si>
  <si>
    <t>http://gateway.proquest.com/openurl?url_ver=Z39.88-2004&amp;res_dat=xri:pqm&amp;rft_val_fmt=info:ofi/fmt:kev:mtx:journal&amp;genre=journal&amp;req_dat=xri:pqil:pq_clntid=131239&amp;svc_dat=xri:pqil:context=title&amp;rft_dat=xri:pqd:PMID=5483642</t>
  </si>
  <si>
    <t>http://gateway.proquest.com/openurl?url_ver=Z39.88-2004&amp;res_dat=xri:pqm&amp;rft_val_fmt=info:ofi/fmt:kev:mtx:journal&amp;genre=journal&amp;req_dat=xri:pqil:pq_clntid=131239&amp;svc_dat=xri:pqil:context=title&amp;rft_dat=xri:pqd:PMID=2043847</t>
  </si>
  <si>
    <t>http://gateway.proquest.com/openurl?url_ver=Z39.88-2004&amp;res_dat=xri:pqm&amp;rft_val_fmt=info:ofi/fmt:kev:mtx:journal&amp;genre=journal&amp;req_dat=xri:pqil:pq_clntid=131239&amp;svc_dat=xri:pqil:context=title&amp;rft_dat=xri:pqd:PMID=37079</t>
  </si>
  <si>
    <t>http://gateway.proquest.com/openurl?url_ver=Z39.88-2004&amp;res_dat=xri:pqm&amp;rft_val_fmt=info:ofi/fmt:kev:mtx:journal&amp;genre=journal&amp;req_dat=xri:pqil:pq_clntid=131239&amp;svc_dat=xri:pqil:context=title&amp;rft_dat=xri:pqd:PMID=6359434</t>
  </si>
  <si>
    <t>http://gateway.proquest.com/openurl?url_ver=Z39.88-2004&amp;res_dat=xri:pqm&amp;rft_val_fmt=info:ofi/fmt:kev:mtx:journal&amp;genre=journal&amp;req_dat=xri:pqil:pq_clntid=131239&amp;svc_dat=xri:pqil:context=title&amp;rft_dat=xri:pqd:PMID=5483648</t>
  </si>
  <si>
    <t>Saskatoon</t>
  </si>
  <si>
    <t>http://gateway.proquest.com/openurl?url_ver=Z39.88-2004&amp;res_dat=xri:pqm&amp;rft_val_fmt=info:ofi/fmt:kev:mtx:journal&amp;genre=journal&amp;req_dat=xri:pqil:pq_clntid=131239&amp;svc_dat=xri:pqil:context=title&amp;rft_dat=xri:pqd:PMID=43056</t>
  </si>
  <si>
    <t>http://gateway.proquest.com/openurl?url_ver=Z39.88-2004&amp;res_dat=xri:pqm&amp;rft_val_fmt=info:ofi/fmt:kev:mtx:journal&amp;genre=journal&amp;req_dat=xri:pqil:pq_clntid=131239&amp;svc_dat=xri:pqil:context=title&amp;rft_dat=xri:pqd:PMID=6362738</t>
  </si>
  <si>
    <t>http://gateway.proquest.com/openurl?url_ver=Z39.88-2004&amp;res_dat=xri:pqm&amp;rft_val_fmt=info:ofi/fmt:kev:mtx:journal&amp;genre=journal&amp;req_dat=xri:pqil:pq_clntid=131239&amp;svc_dat=xri:pqil:context=title&amp;rft_dat=xri:pqd:PMID=5483545</t>
  </si>
  <si>
    <t>http://gateway.proquest.com/openurl?url_ver=Z39.88-2004&amp;res_dat=xri:pqm&amp;rft_val_fmt=info:ofi/fmt:kev:mtx:journal&amp;genre=journal&amp;req_dat=xri:pqil:pq_clntid=131239&amp;svc_dat=xri:pqil:context=title&amp;rft_dat=xri:pqd:PMID=6008996</t>
  </si>
  <si>
    <t>http://gateway.proquest.com/openurl?url_ver=Z39.88-2004&amp;res_dat=xri:pqm&amp;rft_val_fmt=info:ofi/fmt:kev:mtx:journal&amp;genre=journal&amp;req_dat=xri:pqil:pq_clntid=131239&amp;svc_dat=xri:pqil:context=title&amp;rft_dat=xri:pqd:PMID=5483606</t>
  </si>
  <si>
    <t>http://gateway.proquest.com/openurl?url_ver=Z39.88-2004&amp;res_dat=xri:pqm&amp;rft_val_fmt=info:ofi/fmt:kev:mtx:journal&amp;genre=journal&amp;req_dat=xri:pqil:pq_clntid=131239&amp;svc_dat=xri:pqil:context=title&amp;rft_dat=xri:pqd:PMID=6008995</t>
  </si>
  <si>
    <t>http://gateway.proquest.com/openurl?url_ver=Z39.88-2004&amp;res_dat=xri:pqm&amp;rft_val_fmt=info:ofi/fmt:kev:mtx:journal&amp;genre=journal&amp;req_dat=xri:pqil:pq_clntid=131239&amp;svc_dat=xri:pqil:context=title&amp;rft_dat=xri:pqd:PMID=6008994</t>
  </si>
  <si>
    <t>http://gateway.proquest.com/openurl?url_ver=Z39.88-2004&amp;res_dat=xri:pqm&amp;rft_val_fmt=info:ofi/fmt:kev:mtx:journal&amp;genre=journal&amp;req_dat=xri:pqil:pq_clntid=131239&amp;svc_dat=xri:pqil:context=title&amp;rft_dat=xri:pqd:PMID=6008993</t>
  </si>
  <si>
    <t>http://gateway.proquest.com/openurl?url_ver=Z39.88-2004&amp;res_dat=xri:pqm&amp;rft_val_fmt=info:ofi/fmt:kev:mtx:journal&amp;genre=journal&amp;req_dat=xri:pqil:pq_clntid=131239&amp;svc_dat=xri:pqil:context=title&amp;rft_dat=xri:pqd:PMID=6059437</t>
  </si>
  <si>
    <t>http://gateway.proquest.com/openurl?url_ver=Z39.88-2004&amp;res_dat=xri:pqm&amp;rft_val_fmt=info:ofi/fmt:kev:mtx:journal&amp;genre=journal&amp;req_dat=xri:pqil:pq_clntid=131239&amp;svc_dat=xri:pqil:context=title&amp;rft_dat=xri:pqd:PMID=6008992</t>
  </si>
  <si>
    <t>http://gateway.proquest.com/openurl?url_ver=Z39.88-2004&amp;res_dat=xri:pqm&amp;rft_val_fmt=info:ofi/fmt:kev:mtx:journal&amp;genre=journal&amp;req_dat=xri:pqil:pq_clntid=131239&amp;svc_dat=xri:pqil:context=title&amp;rft_dat=xri:pqd:PMID=6059436</t>
  </si>
  <si>
    <t>http://gateway.proquest.com/openurl?url_ver=Z39.88-2004&amp;res_dat=xri:pqm&amp;rft_val_fmt=info:ofi/fmt:kev:mtx:journal&amp;genre=journal&amp;req_dat=xri:pqil:pq_clntid=131239&amp;svc_dat=xri:pqil:context=title&amp;rft_dat=xri:pqd:PMID=6008991</t>
  </si>
  <si>
    <t>http://gateway.proquest.com/openurl?url_ver=Z39.88-2004&amp;res_dat=xri:pqm&amp;rft_val_fmt=info:ofi/fmt:kev:mtx:journal&amp;genre=journal&amp;req_dat=xri:pqil:pq_clntid=131239&amp;svc_dat=xri:pqil:context=title&amp;rft_dat=xri:pqd:PMID=6008990</t>
  </si>
  <si>
    <t>http://gateway.proquest.com/openurl?url_ver=Z39.88-2004&amp;res_dat=xri:pqm&amp;rft_val_fmt=info:ofi/fmt:kev:mtx:journal&amp;genre=journal&amp;req_dat=xri:pqil:pq_clntid=131239&amp;svc_dat=xri:pqil:context=title&amp;rft_dat=xri:pqd:PMID=6008989</t>
  </si>
  <si>
    <t>http://gateway.proquest.com/openurl?url_ver=Z39.88-2004&amp;res_dat=xri:pqm&amp;rft_val_fmt=info:ofi/fmt:kev:mtx:journal&amp;genre=journal&amp;req_dat=xri:pqil:pq_clntid=131239&amp;svc_dat=xri:pqil:context=title&amp;rft_dat=xri:pqd:PMID=105944</t>
  </si>
  <si>
    <t>http://gateway.proquest.com/openurl?url_ver=Z39.88-2004&amp;res_dat=xri:pqm&amp;rft_val_fmt=info:ofi/fmt:kev:mtx:journal&amp;genre=journal&amp;req_dat=xri:pqil:pq_clntid=131239&amp;svc_dat=xri:pqil:context=title&amp;rft_dat=xri:pqd:PMID=5488556</t>
  </si>
  <si>
    <t>http://gateway.proquest.com/openurl?url_ver=Z39.88-2004&amp;res_dat=xri:pqm&amp;rft_val_fmt=info:ofi/fmt:kev:mtx:journal&amp;genre=journal&amp;req_dat=xri:pqil:pq_clntid=131239&amp;svc_dat=xri:pqil:context=title&amp;rft_dat=xri:pqd:PMID=6008988</t>
  </si>
  <si>
    <t>http://gateway.proquest.com/openurl?url_ver=Z39.88-2004&amp;res_dat=xri:pqm&amp;rft_val_fmt=info:ofi/fmt:kev:mtx:journal&amp;genre=journal&amp;req_dat=xri:pqil:pq_clntid=131239&amp;svc_dat=xri:pqil:context=title&amp;rft_dat=xri:pqd:PMID=6008987</t>
  </si>
  <si>
    <t>http://gateway.proquest.com/openurl?url_ver=Z39.88-2004&amp;res_dat=xri:pqm&amp;rft_val_fmt=info:ofi/fmt:kev:mtx:journal&amp;genre=journal&amp;req_dat=xri:pqil:pq_clntid=131239&amp;svc_dat=xri:pqil:context=title&amp;rft_dat=xri:pqd:PMID=6008985</t>
  </si>
  <si>
    <t>http://gateway.proquest.com/openurl?url_ver=Z39.88-2004&amp;res_dat=xri:pqm&amp;rft_val_fmt=info:ofi/fmt:kev:mtx:journal&amp;genre=journal&amp;req_dat=xri:pqil:pq_clntid=131239&amp;svc_dat=xri:pqil:context=title&amp;rft_dat=xri:pqd:PMID=6059435</t>
  </si>
  <si>
    <t>http://gateway.proquest.com/openurl?url_ver=Z39.88-2004&amp;res_dat=xri:pqm&amp;rft_val_fmt=info:ofi/fmt:kev:mtx:journal&amp;genre=journal&amp;req_dat=xri:pqil:pq_clntid=131239&amp;svc_dat=xri:pqil:context=title&amp;rft_dat=xri:pqd:PMID=6008984</t>
  </si>
  <si>
    <t>http://gateway.proquest.com/openurl?url_ver=Z39.88-2004&amp;res_dat=xri:pqm&amp;rft_val_fmt=info:ofi/fmt:kev:mtx:journal&amp;genre=journal&amp;req_dat=xri:pqil:pq_clntid=131239&amp;svc_dat=xri:pqil:context=title&amp;rft_dat=xri:pqd:PMID=105910</t>
  </si>
  <si>
    <t>http://gateway.proquest.com/openurl?url_ver=Z39.88-2004&amp;res_dat=xri:pqm&amp;rft_val_fmt=info:ofi/fmt:kev:mtx:journal&amp;genre=journal&amp;req_dat=xri:pqil:pq_clntid=131239&amp;svc_dat=xri:pqil:context=title&amp;rft_dat=xri:pqd:PMID=6059497</t>
  </si>
  <si>
    <t>http://gateway.proquest.com/openurl?url_ver=Z39.88-2004&amp;res_dat=xri:pqm&amp;rft_val_fmt=info:ofi/fmt:kev:mtx:journal&amp;genre=journal&amp;req_dat=xri:pqil:pq_clntid=131239&amp;svc_dat=xri:pqil:context=title&amp;rft_dat=xri:pqd:PMID=6059496</t>
  </si>
  <si>
    <t>http://gateway.proquest.com/openurl?url_ver=Z39.88-2004&amp;res_dat=xri:pqm&amp;rft_val_fmt=info:ofi/fmt:kev:mtx:journal&amp;genre=journal&amp;req_dat=xri:pqil:pq_clntid=131239&amp;svc_dat=xri:pqil:context=title&amp;rft_dat=xri:pqd:PMID=6059495</t>
  </si>
  <si>
    <t>http://gateway.proquest.com/openurl?url_ver=Z39.88-2004&amp;res_dat=xri:pqm&amp;rft_val_fmt=info:ofi/fmt:kev:mtx:journal&amp;genre=journal&amp;req_dat=xri:pqil:pq_clntid=131239&amp;svc_dat=xri:pqil:context=title&amp;rft_dat=xri:pqd:PMID=6059494</t>
  </si>
  <si>
    <t>http://gateway.proquest.com/openurl?url_ver=Z39.88-2004&amp;res_dat=xri:pqm&amp;rft_val_fmt=info:ofi/fmt:kev:mtx:journal&amp;genre=journal&amp;req_dat=xri:pqil:pq_clntid=131239&amp;svc_dat=xri:pqil:context=title&amp;rft_dat=xri:pqd:PMID=6059434</t>
  </si>
  <si>
    <t>http://gateway.proquest.com/openurl?url_ver=Z39.88-2004&amp;res_dat=xri:pqm&amp;rft_val_fmt=info:ofi/fmt:kev:mtx:journal&amp;genre=journal&amp;req_dat=xri:pqil:pq_clntid=131239&amp;svc_dat=xri:pqil:context=title&amp;rft_dat=xri:pqd:PMID=6059493</t>
  </si>
  <si>
    <t>http://gateway.proquest.com/openurl?url_ver=Z39.88-2004&amp;res_dat=xri:pqm&amp;rft_val_fmt=info:ofi/fmt:kev:mtx:journal&amp;genre=journal&amp;req_dat=xri:pqil:pq_clntid=131239&amp;svc_dat=xri:pqil:context=title&amp;rft_dat=xri:pqd:PMID=5488557</t>
  </si>
  <si>
    <t>http://gateway.proquest.com/openurl?url_ver=Z39.88-2004&amp;res_dat=xri:pqm&amp;rft_val_fmt=info:ofi/fmt:kev:mtx:journal&amp;genre=journal&amp;req_dat=xri:pqil:pq_clntid=131239&amp;svc_dat=xri:pqil:context=title&amp;rft_dat=xri:pqd:PMID=6059492</t>
  </si>
  <si>
    <t>http://gateway.proquest.com/openurl?url_ver=Z39.88-2004&amp;res_dat=xri:pqm&amp;rft_val_fmt=info:ofi/fmt:kev:mtx:journal&amp;genre=journal&amp;req_dat=xri:pqil:pq_clntid=131239&amp;svc_dat=xri:pqil:context=title&amp;rft_dat=xri:pqd:PMID=6059433</t>
  </si>
  <si>
    <t>http://gateway.proquest.com/openurl?url_ver=Z39.88-2004&amp;res_dat=xri:pqm&amp;rft_val_fmt=info:ofi/fmt:kev:mtx:journal&amp;genre=journal&amp;req_dat=xri:pqil:pq_clntid=131239&amp;svc_dat=xri:pqil:context=title&amp;rft_dat=xri:pqd:PMID=6059432</t>
  </si>
  <si>
    <t>http://gateway.proquest.com/openurl?url_ver=Z39.88-2004&amp;res_dat=xri:pqm&amp;rft_val_fmt=info:ofi/fmt:kev:mtx:journal&amp;genre=journal&amp;req_dat=xri:pqil:pq_clntid=131239&amp;svc_dat=xri:pqil:context=title&amp;rft_dat=xri:pqd:PMID=6059431</t>
  </si>
  <si>
    <t>http://gateway.proquest.com/openurl?url_ver=Z39.88-2004&amp;res_dat=xri:pqm&amp;rft_val_fmt=info:ofi/fmt:kev:mtx:journal&amp;genre=journal&amp;req_dat=xri:pqil:pq_clntid=131239&amp;svc_dat=xri:pqil:context=title&amp;rft_dat=xri:pqd:PMID=6059491</t>
  </si>
  <si>
    <t>http://gateway.proquest.com/openurl?url_ver=Z39.88-2004&amp;res_dat=xri:pqm&amp;rft_val_fmt=info:ofi/fmt:kev:mtx:journal&amp;genre=journal&amp;req_dat=xri:pqil:pq_clntid=131239&amp;svc_dat=xri:pqil:context=title&amp;rft_dat=xri:pqd:PMID=2043197</t>
  </si>
  <si>
    <t>http://gateway.proquest.com/openurl?url_ver=Z39.88-2004&amp;res_dat=xri:pqm&amp;rft_val_fmt=info:ofi/fmt:kev:mtx:journal&amp;genre=journal&amp;req_dat=xri:pqil:pq_clntid=131239&amp;svc_dat=xri:pqil:context=title&amp;rft_dat=xri:pqd:PMID=5324467</t>
  </si>
  <si>
    <t>http://gateway.proquest.com/openurl?url_ver=Z39.88-2004&amp;res_dat=xri:pqm&amp;rft_val_fmt=info:ofi/fmt:kev:mtx:journal&amp;genre=journal&amp;req_dat=xri:pqil:pq_clntid=131239&amp;svc_dat=xri:pqil:context=title&amp;rft_dat=xri:pqd:PMID=41677</t>
  </si>
  <si>
    <t>http://gateway.proquest.com/openurl?url_ver=Z39.88-2004&amp;res_dat=xri:pqm&amp;rft_val_fmt=info:ofi/fmt:kev:mtx:journal&amp;genre=journal&amp;req_dat=xri:pqil:pq_clntid=131239&amp;svc_dat=xri:pqil:context=title&amp;rft_dat=xri:pqd:PMID=2026471</t>
  </si>
  <si>
    <t>http://gateway.proquest.com/openurl?url_ver=Z39.88-2004&amp;res_dat=xri:pqm&amp;rft_val_fmt=info:ofi/fmt:kev:mtx:journal&amp;genre=journal&amp;req_dat=xri:pqil:pq_clntid=131239&amp;svc_dat=xri:pqil:context=title&amp;rft_dat=xri:pqd:PMID=5483594</t>
  </si>
  <si>
    <t>http://gateway.proquest.com/openurl?url_ver=Z39.88-2004&amp;res_dat=xri:pqm&amp;rft_val_fmt=info:ofi/fmt:kev:mtx:journal&amp;genre=journal&amp;req_dat=xri:pqil:pq_clntid=131239&amp;svc_dat=xri:pqil:context=title&amp;rft_dat=xri:pqd:PMID=5483543</t>
  </si>
  <si>
    <t>http://gateway.proquest.com/openurl?url_ver=Z39.88-2004&amp;res_dat=xri:pqm&amp;rft_val_fmt=info:ofi/fmt:kev:mtx:journal&amp;genre=journal&amp;req_dat=xri:pqil:pq_clntid=131239&amp;svc_dat=xri:pqil:context=title&amp;rft_dat=xri:pqd:PMID=47817</t>
  </si>
  <si>
    <t>Alhambra</t>
  </si>
  <si>
    <t>http://gateway.proquest.com/openurl?url_ver=Z39.88-2004&amp;res_dat=xri:pqm&amp;rft_val_fmt=info:ofi/fmt:kev:mtx:journal&amp;genre=journal&amp;req_dat=xri:pqil:pq_clntid=131239&amp;svc_dat=xri:pqil:context=title&amp;rft_dat=xri:pqd:PMID=5430090</t>
  </si>
  <si>
    <t>http://gateway.proquest.com/openurl?url_ver=Z39.88-2004&amp;res_dat=xri:pqm&amp;rft_val_fmt=info:ofi/fmt:kev:mtx:journal&amp;genre=journal&amp;req_dat=xri:pqil:pq_clntid=131239&amp;svc_dat=xri:pqil:context=title&amp;rft_dat=xri:pqd:PMID=36112</t>
  </si>
  <si>
    <t>01-Jan-1976--31-Dec-1976; 01-Jan-1979--31-Dec-1992; 01-Jan-1995--31-Dec-1995</t>
  </si>
  <si>
    <t>http://gateway.proquest.com/openurl?url_ver=Z39.88-2004&amp;res_dat=xri:pqm&amp;rft_val_fmt=info:ofi/fmt:kev:mtx:journal&amp;genre=journal&amp;req_dat=xri:pqil:pq_clntid=131239&amp;svc_dat=xri:pqil:context=title&amp;rft_dat=xri:pqd:PMID=35845</t>
  </si>
  <si>
    <t>http://gateway.proquest.com/openurl?url_ver=Z39.88-2004&amp;res_dat=xri:pqm&amp;rft_val_fmt=info:ofi/fmt:kev:mtx:journal&amp;genre=journal&amp;req_dat=xri:pqil:pq_clntid=131239&amp;svc_dat=xri:pqil:context=title&amp;rft_dat=xri:pqd:PMID=46992</t>
  </si>
  <si>
    <t>http://gateway.proquest.com/openurl?url_ver=Z39.88-2004&amp;res_dat=xri:pqm&amp;rft_val_fmt=info:ofi/fmt:kev:mtx:journal&amp;genre=journal&amp;req_dat=xri:pqil:pq_clntid=131239&amp;svc_dat=xri:pqil:context=title&amp;rft_dat=xri:pqd:PMID=34187</t>
  </si>
  <si>
    <t>http://gateway.proquest.com/openurl?url_ver=Z39.88-2004&amp;res_dat=xri:pqm&amp;rft_val_fmt=info:ofi/fmt:kev:mtx:journal&amp;genre=journal&amp;req_dat=xri:pqil:pq_clntid=131239&amp;svc_dat=xri:pqil:context=title&amp;rft_dat=xri:pqd:PMID=2033276</t>
  </si>
  <si>
    <t>http://gateway.proquest.com/openurl?url_ver=Z39.88-2004&amp;res_dat=xri:pqm&amp;rft_val_fmt=info:ofi/fmt:kev:mtx:journal&amp;genre=journal&amp;req_dat=xri:pqil:pq_clntid=131239&amp;svc_dat=xri:pqil:context=title&amp;rft_dat=xri:pqd:PMID=6059430</t>
  </si>
  <si>
    <t>http://gateway.proquest.com/openurl?url_ver=Z39.88-2004&amp;res_dat=xri:pqm&amp;rft_val_fmt=info:ofi/fmt:kev:mtx:journal&amp;genre=journal&amp;req_dat=xri:pqil:pq_clntid=131239&amp;svc_dat=xri:pqil:context=title&amp;rft_dat=xri:pqd:PMID=2041997</t>
  </si>
  <si>
    <t>http://gateway.proquest.com/openurl?url_ver=Z39.88-2004&amp;res_dat=xri:pqm&amp;rft_val_fmt=info:ofi/fmt:kev:mtx:journal&amp;genre=journal&amp;req_dat=xri:pqil:pq_clntid=131239&amp;svc_dat=xri:pqil:context=title&amp;rft_dat=xri:pqd:PMID=196237</t>
  </si>
  <si>
    <t>http://gateway.proquest.com/openurl?url_ver=Z39.88-2004&amp;res_dat=xri:pqm&amp;rft_val_fmt=info:ofi/fmt:kev:mtx:journal&amp;genre=journal&amp;req_dat=xri:pqil:pq_clntid=131239&amp;svc_dat=xri:pqil:context=title&amp;rft_dat=xri:pqd:PMID=3933310</t>
  </si>
  <si>
    <t>http://gateway.proquest.com/openurl?url_ver=Z39.88-2004&amp;res_dat=xri:pqm&amp;rft_val_fmt=info:ofi/fmt:kev:mtx:journal&amp;genre=journal&amp;req_dat=xri:pqil:pq_clntid=131239&amp;svc_dat=xri:pqil:context=title&amp;rft_dat=xri:pqd:PMID=29657</t>
  </si>
  <si>
    <t>http://gateway.proquest.com/openurl?url_ver=Z39.88-2004&amp;res_dat=xri:pqm&amp;rft_val_fmt=info:ofi/fmt:kev:mtx:journal&amp;genre=journal&amp;req_dat=xri:pqil:pq_clntid=131239&amp;svc_dat=xri:pqil:context=title&amp;rft_dat=xri:pqd:PMID=2041990</t>
  </si>
  <si>
    <t>http://gateway.proquest.com/openurl?url_ver=Z39.88-2004&amp;res_dat=xri:pqm&amp;rft_val_fmt=info:ofi/fmt:kev:mtx:journal&amp;genre=journal&amp;req_dat=xri:pqil:pq_clntid=131239&amp;svc_dat=xri:pqil:context=title&amp;rft_dat=xri:pqd:PMID=2041034</t>
  </si>
  <si>
    <t>http://gateway.proquest.com/openurl?url_ver=Z39.88-2004&amp;res_dat=xri:pqm&amp;rft_val_fmt=info:ofi/fmt:kev:mtx:journal&amp;genre=journal&amp;req_dat=xri:pqil:pq_clntid=131239&amp;svc_dat=xri:pqil:context=title&amp;rft_dat=xri:pqd:PMID=5483624</t>
  </si>
  <si>
    <t>http://gateway.proquest.com/openurl?url_ver=Z39.88-2004&amp;res_dat=xri:pqm&amp;rft_val_fmt=info:ofi/fmt:kev:mtx:journal&amp;genre=journal&amp;req_dat=xri:pqil:pq_clntid=131239&amp;svc_dat=xri:pqil:context=title&amp;rft_dat=xri:pqd:PMID=5483601</t>
  </si>
  <si>
    <t>http://gateway.proquest.com/openurl?url_ver=Z39.88-2004&amp;res_dat=xri:pqm&amp;rft_val_fmt=info:ofi/fmt:kev:mtx:journal&amp;genre=journal&amp;req_dat=xri:pqil:pq_clntid=131239&amp;svc_dat=xri:pqil:context=title&amp;rft_dat=xri:pqd:PMID=5483557</t>
  </si>
  <si>
    <t>http://gateway.proquest.com/openurl?url_ver=Z39.88-2004&amp;res_dat=xri:pqm&amp;rft_val_fmt=info:ofi/fmt:kev:mtx:journal&amp;genre=journal&amp;req_dat=xri:pqil:pq_clntid=131239&amp;svc_dat=xri:pqil:context=title&amp;rft_dat=xri:pqd:PMID=5483593</t>
  </si>
  <si>
    <t>http://gateway.proquest.com/openurl?url_ver=Z39.88-2004&amp;res_dat=xri:pqm&amp;rft_val_fmt=info:ofi/fmt:kev:mtx:journal&amp;genre=journal&amp;req_dat=xri:pqil:pq_clntid=131239&amp;svc_dat=xri:pqil:context=title&amp;rft_dat=xri:pqd:PMID=5483596</t>
  </si>
  <si>
    <t>http://gateway.proquest.com/openurl?url_ver=Z39.88-2004&amp;res_dat=xri:pqm&amp;rft_val_fmt=info:ofi/fmt:kev:mtx:journal&amp;genre=journal&amp;req_dat=xri:pqil:pq_clntid=131239&amp;svc_dat=xri:pqil:context=title&amp;rft_dat=xri:pqd:PMID=5325210</t>
  </si>
  <si>
    <t>http://gateway.proquest.com/openurl?url_ver=Z39.88-2004&amp;res_dat=xri:pqm&amp;rft_val_fmt=info:ofi/fmt:kev:mtx:journal&amp;genre=journal&amp;req_dat=xri:pqil:pq_clntid=131239&amp;svc_dat=xri:pqil:context=title&amp;rft_dat=xri:pqd:PMID=5262118</t>
  </si>
  <si>
    <t>http://gateway.proquest.com/openurl?url_ver=Z39.88-2004&amp;res_dat=xri:pqm&amp;rft_val_fmt=info:ofi/fmt:kev:mtx:journal&amp;genre=journal&amp;req_dat=xri:pqil:pq_clntid=131239&amp;svc_dat=xri:pqil:context=title&amp;rft_dat=xri:pqd:PMID=5483600</t>
  </si>
  <si>
    <t>http://gateway.proquest.com/openurl?url_ver=Z39.88-2004&amp;res_dat=xri:pqm&amp;rft_val_fmt=info:ofi/fmt:kev:mtx:journal&amp;genre=journal&amp;req_dat=xri:pqil:pq_clntid=131239&amp;svc_dat=xri:pqil:context=title&amp;rft_dat=xri:pqd:PMID=5483555</t>
  </si>
  <si>
    <t>http://gateway.proquest.com/openurl?url_ver=Z39.88-2004&amp;res_dat=xri:pqm&amp;rft_val_fmt=info:ofi/fmt:kev:mtx:journal&amp;genre=journal&amp;req_dat=xri:pqil:pq_clntid=131239&amp;svc_dat=xri:pqil:context=title&amp;rft_dat=xri:pqd:PMID=12118</t>
  </si>
  <si>
    <t>Chapel Hill</t>
  </si>
  <si>
    <t>http://gateway.proquest.com/openurl?url_ver=Z39.88-2004&amp;res_dat=xri:pqm&amp;rft_val_fmt=info:ofi/fmt:kev:mtx:journal&amp;genre=journal&amp;req_dat=xri:pqil:pq_clntid=131239&amp;svc_dat=xri:pqil:context=title&amp;rft_dat=xri:pqd:PMID=542</t>
  </si>
  <si>
    <t>http://gateway.proquest.com/openurl?url_ver=Z39.88-2004&amp;res_dat=xri:pqm&amp;rft_val_fmt=info:ofi/fmt:kev:mtx:journal&amp;genre=journal&amp;req_dat=xri:pqil:pq_clntid=131239&amp;svc_dat=xri:pqil:context=title&amp;rft_dat=xri:pqd:PMID=47590</t>
  </si>
  <si>
    <t>Promedion</t>
  </si>
  <si>
    <t>http://gateway.proquest.com/openurl?url_ver=Z39.88-2004&amp;res_dat=xri:pqm&amp;rft_val_fmt=info:ofi/fmt:kev:mtx:journal&amp;genre=journal&amp;req_dat=xri:pqil:pq_clntid=131239&amp;svc_dat=xri:pqil:context=title&amp;rft_dat=xri:pqd:PMID=5262120</t>
  </si>
  <si>
    <t>http://gateway.proquest.com/openurl?url_ver=Z39.88-2004&amp;res_dat=xri:pqm&amp;rft_val_fmt=info:ofi/fmt:kev:mtx:journal&amp;genre=journal&amp;req_dat=xri:pqil:pq_clntid=131239&amp;svc_dat=xri:pqil:context=title&amp;rft_dat=xri:pqd:PMID=6059429</t>
  </si>
  <si>
    <t>http://gateway.proquest.com/openurl?url_ver=Z39.88-2004&amp;res_dat=xri:pqm&amp;rft_val_fmt=info:ofi/fmt:kev:mtx:journal&amp;genre=journal&amp;req_dat=xri:pqil:pq_clntid=131239&amp;svc_dat=xri:pqil:context=title&amp;rft_dat=xri:pqd:PMID=33755</t>
  </si>
  <si>
    <t>http://gateway.proquest.com/openurl?url_ver=Z39.88-2004&amp;res_dat=xri:pqm&amp;rft_val_fmt=info:ofi/fmt:kev:mtx:journal&amp;genre=journal&amp;req_dat=xri:pqil:pq_clntid=131239&amp;svc_dat=xri:pqil:context=title&amp;rft_dat=xri:pqd:PMID=30151</t>
  </si>
  <si>
    <t>http://gateway.proquest.com/openurl?url_ver=Z39.88-2004&amp;res_dat=xri:pqm&amp;rft_val_fmt=info:ofi/fmt:kev:mtx:journal&amp;genre=journal&amp;req_dat=xri:pqil:pq_clntid=131239&amp;svc_dat=xri:pqil:context=title&amp;rft_dat=xri:pqd:PMID=32675</t>
  </si>
  <si>
    <t>http://gateway.proquest.com/openurl?url_ver=Z39.88-2004&amp;res_dat=xri:pqm&amp;rft_val_fmt=info:ofi/fmt:kev:mtx:journal&amp;genre=journal&amp;req_dat=xri:pqil:pq_clntid=131239&amp;svc_dat=xri:pqil:context=title&amp;rft_dat=xri:pqd:PMID=5483589</t>
  </si>
  <si>
    <t>http://gateway.proquest.com/openurl?url_ver=Z39.88-2004&amp;res_dat=xri:pqm&amp;rft_val_fmt=info:ofi/fmt:kev:mtx:journal&amp;genre=journal&amp;req_dat=xri:pqil:pq_clntid=131239&amp;svc_dat=xri:pqil:context=title&amp;rft_dat=xri:pqd:PMID=45959</t>
  </si>
  <si>
    <t>http://gateway.proquest.com/openurl?url_ver=Z39.88-2004&amp;res_dat=xri:pqm&amp;rft_val_fmt=info:ofi/fmt:kev:mtx:journal&amp;genre=journal&amp;req_dat=xri:pqil:pq_clntid=131239&amp;svc_dat=xri:pqil:context=title&amp;rft_dat=xri:pqd:PMID=5483639</t>
  </si>
  <si>
    <t>http://gateway.proquest.com/openurl?url_ver=Z39.88-2004&amp;res_dat=xri:pqm&amp;rft_val_fmt=info:ofi/fmt:kev:mtx:journal&amp;genre=journal&amp;req_dat=xri:pqil:pq_clntid=131239&amp;svc_dat=xri:pqil:context=title&amp;rft_dat=xri:pqd:PMID=6059490</t>
  </si>
  <si>
    <t>http://gateway.proquest.com/openurl?url_ver=Z39.88-2004&amp;res_dat=xri:pqm&amp;rft_val_fmt=info:ofi/fmt:kev:mtx:journal&amp;genre=journal&amp;req_dat=xri:pqil:pq_clntid=131239&amp;svc_dat=xri:pqil:context=title&amp;rft_dat=xri:pqd:PMID=5483644</t>
  </si>
  <si>
    <t>http://gateway.proquest.com/openurl?url_ver=Z39.88-2004&amp;res_dat=xri:pqm&amp;rft_val_fmt=info:ofi/fmt:kev:mtx:journal&amp;genre=journal&amp;req_dat=xri:pqil:pq_clntid=131239&amp;svc_dat=xri:pqil:context=title&amp;rft_dat=xri:pqd:PMID=2043295</t>
  </si>
  <si>
    <t>http://gateway.proquest.com/openurl?url_ver=Z39.88-2004&amp;res_dat=xri:pqm&amp;rft_val_fmt=info:ofi/fmt:kev:mtx:journal&amp;genre=journal&amp;req_dat=xri:pqil:pq_clntid=131239&amp;svc_dat=xri:pqil:context=title&amp;rft_dat=xri:pqd:PMID=105906</t>
  </si>
  <si>
    <t>http://gateway.proquest.com/openurl?url_ver=Z39.88-2004&amp;res_dat=xri:pqm&amp;rft_val_fmt=info:ofi/fmt:kev:mtx:journal&amp;genre=journal&amp;req_dat=xri:pqil:pq_clntid=131239&amp;svc_dat=xri:pqil:context=title&amp;rft_dat=xri:pqd:PMID=2043189</t>
  </si>
  <si>
    <t>http://gateway.proquest.com/openurl?url_ver=Z39.88-2004&amp;res_dat=xri:pqm&amp;rft_val_fmt=info:ofi/fmt:kev:mtx:journal&amp;genre=journal&amp;req_dat=xri:pqil:pq_clntid=131239&amp;svc_dat=xri:pqil:context=title&amp;rft_dat=xri:pqd:PMID=48486</t>
  </si>
  <si>
    <t>http://gateway.proquest.com/openurl?url_ver=Z39.88-2004&amp;res_dat=xri:pqm&amp;rft_val_fmt=info:ofi/fmt:kev:mtx:journal&amp;genre=journal&amp;req_dat=xri:pqil:pq_clntid=131239&amp;svc_dat=xri:pqil:context=title&amp;rft_dat=xri:pqd:PMID=46402</t>
  </si>
  <si>
    <t>Belmont</t>
  </si>
  <si>
    <t>http://gateway.proquest.com/openurl?url_ver=Z39.88-2004&amp;res_dat=xri:pqm&amp;rft_val_fmt=info:ofi/fmt:kev:mtx:journal&amp;genre=journal&amp;req_dat=xri:pqil:pq_clntid=131239&amp;svc_dat=xri:pqil:context=title&amp;rft_dat=xri:pqd:PMID=40294</t>
  </si>
  <si>
    <t>http://gateway.proquest.com/openurl?url_ver=Z39.88-2004&amp;res_dat=xri:pqm&amp;rft_val_fmt=info:ofi/fmt:kev:mtx:journal&amp;genre=journal&amp;req_dat=xri:pqil:pq_clntid=131239&amp;svc_dat=xri:pqil:context=title&amp;rft_dat=xri:pqd:PMID=4669301</t>
  </si>
  <si>
    <t>http://gateway.proquest.com/openurl?url_ver=Z39.88-2004&amp;res_dat=xri:pqm&amp;rft_val_fmt=info:ofi/fmt:kev:mtx:journal&amp;genre=journal&amp;req_dat=xri:pqil:pq_clntid=131239&amp;svc_dat=xri:pqil:context=title&amp;rft_dat=xri:pqd:PMID=5483564</t>
  </si>
  <si>
    <t>http://gateway.proquest.com/openurl?url_ver=Z39.88-2004&amp;res_dat=xri:pqm&amp;rft_val_fmt=info:ofi/fmt:kev:mtx:journal&amp;genre=journal&amp;req_dat=xri:pqil:pq_clntid=131239&amp;svc_dat=xri:pqil:context=title&amp;rft_dat=xri:pqd:PMID=47999</t>
  </si>
  <si>
    <t>http://gateway.proquest.com/openurl?url_ver=Z39.88-2004&amp;res_dat=xri:pqm&amp;rft_val_fmt=info:ofi/fmt:kev:mtx:journal&amp;genre=journal&amp;req_dat=xri:pqil:pq_clntid=131239&amp;svc_dat=xri:pqil:context=title&amp;rft_dat=xri:pqd:PMID=41080</t>
  </si>
  <si>
    <t>http://gateway.proquest.com/openurl?url_ver=Z39.88-2004&amp;res_dat=xri:pqm&amp;rft_val_fmt=info:ofi/fmt:kev:mtx:journal&amp;genre=journal&amp;req_dat=xri:pqil:pq_clntid=131239&amp;svc_dat=xri:pqil:context=title&amp;rft_dat=xri:pqd:PMID=6447817</t>
  </si>
  <si>
    <t>http://gateway.proquest.com/openurl?url_ver=Z39.88-2004&amp;res_dat=xri:pqm&amp;rft_val_fmt=info:ofi/fmt:kev:mtx:journal&amp;genre=journal&amp;req_dat=xri:pqil:pq_clntid=131239&amp;svc_dat=xri:pqil:context=title&amp;rft_dat=xri:pqd:PMID=6447816</t>
  </si>
  <si>
    <t>http://gateway.proquest.com/openurl?url_ver=Z39.88-2004&amp;res_dat=xri:pqm&amp;rft_val_fmt=info:ofi/fmt:kev:mtx:journal&amp;genre=journal&amp;req_dat=xri:pqil:pq_clntid=131239&amp;svc_dat=xri:pqil:context=title&amp;rft_dat=xri:pqd:PMID=6447815</t>
  </si>
  <si>
    <t>http://gateway.proquest.com/openurl?url_ver=Z39.88-2004&amp;res_dat=xri:pqm&amp;rft_val_fmt=info:ofi/fmt:kev:mtx:journal&amp;genre=journal&amp;req_dat=xri:pqil:pq_clntid=131239&amp;svc_dat=xri:pqil:context=title&amp;rft_dat=xri:pqd:PMID=6447814</t>
  </si>
  <si>
    <t>http://gateway.proquest.com/openurl?url_ver=Z39.88-2004&amp;res_dat=xri:pqm&amp;rft_val_fmt=info:ofi/fmt:kev:mtx:journal&amp;genre=journal&amp;req_dat=xri:pqil:pq_clntid=131239&amp;svc_dat=xri:pqil:context=title&amp;rft_dat=xri:pqd:PMID=6447813</t>
  </si>
  <si>
    <t>http://gateway.proquest.com/openurl?url_ver=Z39.88-2004&amp;res_dat=xri:pqm&amp;rft_val_fmt=info:ofi/fmt:kev:mtx:journal&amp;genre=journal&amp;req_dat=xri:pqil:pq_clntid=131239&amp;svc_dat=xri:pqil:context=title&amp;rft_dat=xri:pqd:PMID=6447812</t>
  </si>
  <si>
    <t>http://gateway.proquest.com/openurl?url_ver=Z39.88-2004&amp;res_dat=xri:pqm&amp;rft_val_fmt=info:ofi/fmt:kev:mtx:journal&amp;genre=journal&amp;req_dat=xri:pqil:pq_clntid=131239&amp;svc_dat=xri:pqil:context=title&amp;rft_dat=xri:pqd:PMID=6447811</t>
  </si>
  <si>
    <t>http://gateway.proquest.com/openurl?url_ver=Z39.88-2004&amp;res_dat=xri:pqm&amp;rft_val_fmt=info:ofi/fmt:kev:mtx:journal&amp;genre=journal&amp;req_dat=xri:pqil:pq_clntid=131239&amp;svc_dat=xri:pqil:context=title&amp;rft_dat=xri:pqd:PMID=6447810</t>
  </si>
  <si>
    <t>http://gateway.proquest.com/openurl?url_ver=Z39.88-2004&amp;res_dat=xri:pqm&amp;rft_val_fmt=info:ofi/fmt:kev:mtx:journal&amp;genre=journal&amp;req_dat=xri:pqil:pq_clntid=131239&amp;svc_dat=xri:pqil:context=title&amp;rft_dat=xri:pqd:PMID=6447809</t>
  </si>
  <si>
    <t>Ithaca</t>
  </si>
  <si>
    <t>http://gateway.proquest.com/openurl?url_ver=Z39.88-2004&amp;res_dat=xri:pqm&amp;rft_val_fmt=info:ofi/fmt:kev:mtx:journal&amp;genre=journal&amp;req_dat=xri:pqil:pq_clntid=131239&amp;svc_dat=xri:pqil:context=title&amp;rft_dat=xri:pqd:PMID=27297</t>
  </si>
  <si>
    <t>http://gateway.proquest.com/openurl?url_ver=Z39.88-2004&amp;res_dat=xri:pqm&amp;rft_val_fmt=info:ofi/fmt:kev:mtx:journal&amp;genre=journal&amp;req_dat=xri:pqil:pq_clntid=131239&amp;svc_dat=xri:pqil:context=title&amp;rft_dat=xri:pqd:PMID=2036992</t>
  </si>
  <si>
    <t>http://gateway.proquest.com/openurl?url_ver=Z39.88-2004&amp;res_dat=xri:pqm&amp;rft_val_fmt=info:ofi/fmt:kev:mtx:journal&amp;genre=journal&amp;req_dat=xri:pqil:pq_clntid=131239&amp;svc_dat=xri:pqil:context=title&amp;rft_dat=xri:pqd:PMID=48481</t>
  </si>
  <si>
    <t>http://gateway.proquest.com/openurl?url_ver=Z39.88-2004&amp;res_dat=xri:pqm&amp;rft_val_fmt=info:ofi/fmt:kev:mtx:journal&amp;genre=journal&amp;req_dat=xri:pqil:pq_clntid=131239&amp;svc_dat=xri:pqil:context=title&amp;rft_dat=xri:pqd:PMID=55427</t>
  </si>
  <si>
    <t>Oklahoma City</t>
  </si>
  <si>
    <t>http://gateway.proquest.com/openurl?url_ver=Z39.88-2004&amp;res_dat=xri:pqm&amp;rft_val_fmt=info:ofi/fmt:kev:mtx:journal&amp;genre=journal&amp;req_dat=xri:pqil:pq_clntid=131239&amp;svc_dat=xri:pqil:context=title&amp;rft_dat=xri:pqd:PMID=47564</t>
  </si>
  <si>
    <t>http://gateway.proquest.com/openurl?url_ver=Z39.88-2004&amp;res_dat=xri:pqm&amp;rft_val_fmt=info:ofi/fmt:kev:mtx:journal&amp;genre=journal&amp;req_dat=xri:pqil:pq_clntid=131239&amp;svc_dat=xri:pqil:context=title&amp;rft_dat=xri:pqd:PMID=46404</t>
  </si>
  <si>
    <t>http://gateway.proquest.com/openurl?url_ver=Z39.88-2004&amp;res_dat=xri:pqm&amp;rft_val_fmt=info:ofi/fmt:kev:mtx:journal&amp;genre=journal&amp;req_dat=xri:pqil:pq_clntid=131239&amp;svc_dat=xri:pqil:context=title&amp;rft_dat=xri:pqd:PMID=996344</t>
  </si>
  <si>
    <t>http://gateway.proquest.com/openurl?url_ver=Z39.88-2004&amp;res_dat=xri:pqm&amp;rft_val_fmt=info:ofi/fmt:kev:mtx:journal&amp;genre=journal&amp;req_dat=xri:pqil:pq_clntid=131239&amp;svc_dat=xri:pqil:context=title&amp;rft_dat=xri:pqd:PMID=41702</t>
  </si>
  <si>
    <t>http://gateway.proquest.com/openurl?url_ver=Z39.88-2004&amp;res_dat=xri:pqm&amp;rft_val_fmt=info:ofi/fmt:kev:mtx:journal&amp;genre=journal&amp;req_dat=xri:pqil:pq_clntid=131239&amp;svc_dat=xri:pqil:context=title&amp;rft_dat=xri:pqd:PMID=36983</t>
  </si>
  <si>
    <t>http://gateway.proquest.com/openurl?url_ver=Z39.88-2004&amp;res_dat=xri:pqm&amp;rft_val_fmt=info:ofi/fmt:kev:mtx:journal&amp;genre=journal&amp;req_dat=xri:pqil:pq_clntid=131239&amp;svc_dat=xri:pqil:context=title&amp;rft_dat=xri:pqd:PMID=34996</t>
  </si>
  <si>
    <t>Jyväskylä</t>
  </si>
  <si>
    <t>http://gateway.proquest.com/openurl?url_ver=Z39.88-2004&amp;res_dat=xri:pqm&amp;rft_val_fmt=info:ofi/fmt:kev:mtx:journal&amp;genre=journal&amp;req_dat=xri:pqil:pq_clntid=131239&amp;svc_dat=xri:pqil:context=title&amp;rft_dat=xri:pqd:PMID=5514779</t>
  </si>
  <si>
    <t>Human-Machine Communication</t>
  </si>
  <si>
    <t>Udine</t>
  </si>
  <si>
    <t>2638-6038</t>
  </si>
  <si>
    <t>Computers--Cybernetics</t>
  </si>
  <si>
    <t>http://gateway.proquest.com/openurl?url_ver=Z39.88-2004&amp;res_dat=xri:pqm&amp;rft_val_fmt=info:ofi/fmt:kev:mtx:journal&amp;genre=journal&amp;req_dat=xri:pqil:pq_clntid=131239&amp;svc_dat=xri:pqil:context=title&amp;rft_dat=xri:pqd:PMID=6482208</t>
  </si>
  <si>
    <t>http://gateway.proquest.com/openurl?url_ver=Z39.88-2004&amp;res_dat=xri:pqm&amp;rft_val_fmt=info:ofi/fmt:kev:mtx:journal&amp;genre=journal&amp;req_dat=xri:pqil:pq_clntid=131239&amp;svc_dat=xri:pqil:context=title&amp;rft_dat=xri:pqd:PMID=46505</t>
  </si>
  <si>
    <t>Yogyakarta</t>
  </si>
  <si>
    <t>http://gateway.proquest.com/openurl?url_ver=Z39.88-2004&amp;res_dat=xri:pqm&amp;rft_val_fmt=info:ofi/fmt:kev:mtx:journal&amp;genre=journal&amp;req_dat=xri:pqil:pq_clntid=131239&amp;svc_dat=xri:pqil:context=title&amp;rft_dat=xri:pqd:PMID=5340596</t>
  </si>
  <si>
    <t>http://gateway.proquest.com/openurl?url_ver=Z39.88-2004&amp;res_dat=xri:pqm&amp;rft_val_fmt=info:ofi/fmt:kev:mtx:journal&amp;genre=journal&amp;req_dat=xri:pqil:pq_clntid=131239&amp;svc_dat=xri:pqil:context=title&amp;rft_dat=xri:pqd:PMID=6059489</t>
  </si>
  <si>
    <t>http://gateway.proquest.com/openurl?url_ver=Z39.88-2004&amp;res_dat=xri:pqm&amp;rft_val_fmt=info:ofi/fmt:kev:mtx:journal&amp;genre=journal&amp;req_dat=xri:pqil:pq_clntid=131239&amp;svc_dat=xri:pqil:context=title&amp;rft_dat=xri:pqd:PMID=5262512</t>
  </si>
  <si>
    <t>http://gateway.proquest.com/openurl?url_ver=Z39.88-2004&amp;res_dat=xri:pqm&amp;rft_val_fmt=info:ofi/fmt:kev:mtx:journal&amp;genre=journal&amp;req_dat=xri:pqil:pq_clntid=131239&amp;svc_dat=xri:pqil:context=title&amp;rft_dat=xri:pqd:PMID=5262511</t>
  </si>
  <si>
    <t>http://gateway.proquest.com/openurl?url_ver=Z39.88-2004&amp;res_dat=xri:pqm&amp;rft_val_fmt=info:ofi/fmt:kev:mtx:journal&amp;genre=journal&amp;req_dat=xri:pqil:pq_clntid=131239&amp;svc_dat=xri:pqil:context=title&amp;rft_dat=xri:pqd:PMID=5262510</t>
  </si>
  <si>
    <t>http://gateway.proquest.com/openurl?url_ver=Z39.88-2004&amp;res_dat=xri:pqm&amp;rft_val_fmt=info:ofi/fmt:kev:mtx:journal&amp;genre=journal&amp;req_dat=xri:pqil:pq_clntid=131239&amp;svc_dat=xri:pqil:context=title&amp;rft_dat=xri:pqd:PMID=5262509</t>
  </si>
  <si>
    <t>http://gateway.proquest.com/openurl?url_ver=Z39.88-2004&amp;res_dat=xri:pqm&amp;rft_val_fmt=info:ofi/fmt:kev:mtx:journal&amp;genre=journal&amp;req_dat=xri:pqil:pq_clntid=131239&amp;svc_dat=xri:pqil:context=title&amp;rft_dat=xri:pqd:PMID=5263207</t>
  </si>
  <si>
    <t>http://gateway.proquest.com/openurl?url_ver=Z39.88-2004&amp;res_dat=xri:pqm&amp;rft_val_fmt=info:ofi/fmt:kev:mtx:journal&amp;genre=journal&amp;req_dat=xri:pqil:pq_clntid=131239&amp;svc_dat=xri:pqil:context=title&amp;rft_dat=xri:pqd:PMID=5263206</t>
  </si>
  <si>
    <t>http://gateway.proquest.com/openurl?url_ver=Z39.88-2004&amp;res_dat=xri:pqm&amp;rft_val_fmt=info:ofi/fmt:kev:mtx:journal&amp;genre=journal&amp;req_dat=xri:pqil:pq_clntid=131239&amp;svc_dat=xri:pqil:context=title&amp;rft_dat=xri:pqd:PMID=6447769</t>
  </si>
  <si>
    <t>http://gateway.proquest.com/openurl?url_ver=Z39.88-2004&amp;res_dat=xri:pqm&amp;rft_val_fmt=info:ofi/fmt:kev:mtx:journal&amp;genre=journal&amp;req_dat=xri:pqil:pq_clntid=131239&amp;svc_dat=xri:pqil:context=title&amp;rft_dat=xri:pqd:PMID=6447808</t>
  </si>
  <si>
    <t>Piscataway</t>
  </si>
  <si>
    <t>http://gateway.proquest.com/openurl?url_ver=Z39.88-2004&amp;res_dat=xri:pqm&amp;rft_val_fmt=info:ofi/fmt:kev:mtx:journal&amp;genre=journal&amp;req_dat=xri:pqil:pq_clntid=131239&amp;svc_dat=xri:pqil:context=title&amp;rft_dat=xri:pqd:PMID=85513</t>
  </si>
  <si>
    <t>http://gateway.proquest.com/openurl?url_ver=Z39.88-2004&amp;res_dat=xri:pqm&amp;rft_val_fmt=info:ofi/fmt:kev:mtx:journal&amp;genre=journal&amp;req_dat=xri:pqil:pq_clntid=131239&amp;svc_dat=xri:pqil:context=title&amp;rft_dat=xri:pqd:PMID=85436</t>
  </si>
  <si>
    <t>http://gateway.proquest.com/openurl?url_ver=Z39.88-2004&amp;res_dat=xri:pqm&amp;rft_val_fmt=info:ofi/fmt:kev:mtx:journal&amp;genre=journal&amp;req_dat=xri:pqil:pq_clntid=131239&amp;svc_dat=xri:pqil:context=title&amp;rft_dat=xri:pqd:PMID=1226376</t>
  </si>
  <si>
    <t>Hyderabad</t>
  </si>
  <si>
    <t>http://gateway.proquest.com/openurl?url_ver=Z39.88-2004&amp;res_dat=xri:pqm&amp;rft_val_fmt=info:ofi/fmt:kev:mtx:journal&amp;genre=journal&amp;req_dat=xri:pqil:pq_clntid=131239&amp;svc_dat=xri:pqil:context=title&amp;rft_dat=xri:pqd:PMID=54444</t>
  </si>
  <si>
    <t>http://gateway.proquest.com/openurl?url_ver=Z39.88-2004&amp;res_dat=xri:pqm&amp;rft_val_fmt=info:ofi/fmt:kev:mtx:journal&amp;genre=journal&amp;req_dat=xri:pqil:pq_clntid=131239&amp;svc_dat=xri:pqil:context=title&amp;rft_dat=xri:pqd:PMID=2029985</t>
  </si>
  <si>
    <t>http://gateway.proquest.com/openurl?url_ver=Z39.88-2004&amp;res_dat=xri:pqm&amp;rft_val_fmt=info:ofi/fmt:kev:mtx:journal&amp;genre=journal&amp;req_dat=xri:pqil:pq_clntid=131239&amp;svc_dat=xri:pqil:context=title&amp;rft_dat=xri:pqd:PMID=2029989</t>
  </si>
  <si>
    <t>http://gateway.proquest.com/openurl?url_ver=Z39.88-2004&amp;res_dat=xri:pqm&amp;rft_val_fmt=info:ofi/fmt:kev:mtx:journal&amp;genre=journal&amp;req_dat=xri:pqil:pq_clntid=131239&amp;svc_dat=xri:pqil:context=title&amp;rft_dat=xri:pqd:PMID=25673</t>
  </si>
  <si>
    <t>Idesygn Creative LLC</t>
  </si>
  <si>
    <t>http://gateway.proquest.com/openurl?url_ver=Z39.88-2004&amp;res_dat=xri:pqm&amp;rft_val_fmt=info:ofi/fmt:kev:mtx:journal&amp;genre=journal&amp;req_dat=xri:pqil:pq_clntid=131239&amp;svc_dat=xri:pqil:context=title&amp;rft_dat=xri:pqd:PMID=6362736</t>
  </si>
  <si>
    <t>http://gateway.proquest.com/openurl?url_ver=Z39.88-2004&amp;res_dat=xri:pqm&amp;rft_val_fmt=info:ofi/fmt:kev:mtx:journal&amp;genre=journal&amp;req_dat=xri:pqil:pq_clntid=131239&amp;svc_dat=xri:pqil:context=title&amp;rft_dat=xri:pqd:PMID=28639</t>
  </si>
  <si>
    <t>Inuit Broadcasting Corporation</t>
  </si>
  <si>
    <t>http://gateway.proquest.com/openurl?url_ver=Z39.88-2004&amp;res_dat=xri:pqm&amp;rft_val_fmt=info:ofi/fmt:kev:mtx:journal&amp;genre=journal&amp;req_dat=xri:pqil:pq_clntid=131239&amp;svc_dat=xri:pqil:context=title&amp;rft_dat=xri:pqd:PMID=5263178</t>
  </si>
  <si>
    <t>http://gateway.proquest.com/openurl?url_ver=Z39.88-2004&amp;res_dat=xri:pqm&amp;rft_val_fmt=info:ofi/fmt:kev:mtx:journal&amp;genre=journal&amp;req_dat=xri:pqil:pq_clntid=131239&amp;svc_dat=xri:pqil:context=title&amp;rft_dat=xri:pqd:PMID=6059488</t>
  </si>
  <si>
    <t>http://gateway.proquest.com/openurl?url_ver=Z39.88-2004&amp;res_dat=xri:pqm&amp;rft_val_fmt=info:ofi/fmt:kev:mtx:journal&amp;genre=journal&amp;req_dat=xri:pqil:pq_clntid=131239&amp;svc_dat=xri:pqil:context=title&amp;rft_dat=xri:pqd:PMID=46500</t>
  </si>
  <si>
    <t>New Brunswick</t>
  </si>
  <si>
    <t>http://gateway.proquest.com/openurl?url_ver=Z39.88-2004&amp;res_dat=xri:pqm&amp;rft_val_fmt=info:ofi/fmt:kev:mtx:journal&amp;genre=journal&amp;req_dat=xri:pqil:pq_clntid=131239&amp;svc_dat=xri:pqil:context=title&amp;rft_dat=xri:pqd:PMID=6059487</t>
  </si>
  <si>
    <t>http://gateway.proquest.com/openurl?url_ver=Z39.88-2004&amp;res_dat=xri:pqm&amp;rft_val_fmt=info:ofi/fmt:kev:mtx:journal&amp;genre=journal&amp;req_dat=xri:pqil:pq_clntid=131239&amp;svc_dat=xri:pqil:context=title&amp;rft_dat=xri:pqd:PMID=5483638</t>
  </si>
  <si>
    <t>http://gateway.proquest.com/openurl?url_ver=Z39.88-2004&amp;res_dat=xri:pqm&amp;rft_val_fmt=info:ofi/fmt:kev:mtx:journal&amp;genre=journal&amp;req_dat=xri:pqil:pq_clntid=131239&amp;svc_dat=xri:pqil:context=title&amp;rft_dat=xri:pqd:PMID=5483611</t>
  </si>
  <si>
    <t>http://gateway.proquest.com/openurl?url_ver=Z39.88-2004&amp;res_dat=xri:pqm&amp;rft_val_fmt=info:ofi/fmt:kev:mtx:journal&amp;genre=journal&amp;req_dat=xri:pqil:pq_clntid=131239&amp;svc_dat=xri:pqil:context=title&amp;rft_dat=xri:pqd:PMID=5483592</t>
  </si>
  <si>
    <t>http://gateway.proquest.com/openurl?url_ver=Z39.88-2004&amp;res_dat=xri:pqm&amp;rft_val_fmt=info:ofi/fmt:kev:mtx:journal&amp;genre=journal&amp;req_dat=xri:pqil:pq_clntid=131239&amp;svc_dat=xri:pqil:context=title&amp;rft_dat=xri:pqd:PMID=5483637</t>
  </si>
  <si>
    <t>http://gateway.proquest.com/openurl?url_ver=Z39.88-2004&amp;res_dat=xri:pqm&amp;rft_val_fmt=info:ofi/fmt:kev:mtx:journal&amp;genre=journal&amp;req_dat=xri:pqil:pq_clntid=131239&amp;svc_dat=xri:pqil:context=title&amp;rft_dat=xri:pqd:PMID=6059485</t>
  </si>
  <si>
    <t>http://gateway.proquest.com/openurl?url_ver=Z39.88-2004&amp;res_dat=xri:pqm&amp;rft_val_fmt=info:ofi/fmt:kev:mtx:journal&amp;genre=journal&amp;req_dat=xri:pqil:pq_clntid=131239&amp;svc_dat=xri:pqil:context=title&amp;rft_dat=xri:pqd:PMID=6059486</t>
  </si>
  <si>
    <t>University of Wales, Newport</t>
  </si>
  <si>
    <t>http://gateway.proquest.com/openurl?url_ver=Z39.88-2004&amp;res_dat=xri:pqm&amp;rft_val_fmt=info:ofi/fmt:kev:mtx:journal&amp;genre=journal&amp;req_dat=xri:pqil:pq_clntid=131239&amp;svc_dat=xri:pqil:context=title&amp;rft_dat=xri:pqd:PMID=5263183</t>
  </si>
  <si>
    <t>District of Columbia</t>
  </si>
  <si>
    <t>People With Disabilities--Physically Impaired</t>
  </si>
  <si>
    <t>http://gateway.proquest.com/openurl?url_ver=Z39.88-2004&amp;res_dat=xri:pqm&amp;rft_val_fmt=info:ofi/fmt:kev:mtx:journal&amp;genre=journal&amp;req_dat=xri:pqil:pq_clntid=131239&amp;svc_dat=xri:pqil:context=title&amp;rft_dat=xri:pqd:PMID=4931649</t>
  </si>
  <si>
    <t>http://gateway.proquest.com/openurl?url_ver=Z39.88-2004&amp;res_dat=xri:pqm&amp;rft_val_fmt=info:ofi/fmt:kev:mtx:journal&amp;genre=journal&amp;req_dat=xri:pqil:pq_clntid=131239&amp;svc_dat=xri:pqil:context=title&amp;rft_dat=xri:pqd:PMID=6059484</t>
  </si>
  <si>
    <t>http://gateway.proquest.com/openurl?url_ver=Z39.88-2004&amp;res_dat=xri:pqm&amp;rft_val_fmt=info:ofi/fmt:kev:mtx:journal&amp;genre=journal&amp;req_dat=xri:pqil:pq_clntid=131239&amp;svc_dat=xri:pqil:context=title&amp;rft_dat=xri:pqd:PMID=5483612</t>
  </si>
  <si>
    <t>Hisar</t>
  </si>
  <si>
    <t>http://gateway.proquest.com/openurl?url_ver=Z39.88-2004&amp;res_dat=xri:pqm&amp;rft_val_fmt=info:ofi/fmt:kev:mtx:journal&amp;genre=journal&amp;req_dat=xri:pqil:pq_clntid=131239&amp;svc_dat=xri:pqil:context=title&amp;rft_dat=xri:pqd:PMID=2032133</t>
  </si>
  <si>
    <t>Kottayam</t>
  </si>
  <si>
    <t>http://gateway.proquest.com/openurl?url_ver=Z39.88-2004&amp;res_dat=xri:pqm&amp;rft_val_fmt=info:ofi/fmt:kev:mtx:journal&amp;genre=journal&amp;req_dat=xri:pqil:pq_clntid=131239&amp;svc_dat=xri:pqil:context=title&amp;rft_dat=xri:pqd:PMID=226501</t>
  </si>
  <si>
    <t>http://gateway.proquest.com/openurl?url_ver=Z39.88-2004&amp;res_dat=xri:pqm&amp;rft_val_fmt=info:ofi/fmt:kev:mtx:journal&amp;genre=journal&amp;req_dat=xri:pqil:pq_clntid=131239&amp;svc_dat=xri:pqil:context=title&amp;rft_dat=xri:pqd:PMID=2042879</t>
  </si>
  <si>
    <t>http://gateway.proquest.com/openurl?url_ver=Z39.88-2004&amp;res_dat=xri:pqm&amp;rft_val_fmt=info:ofi/fmt:kev:mtx:journal&amp;genre=journal&amp;req_dat=xri:pqil:pq_clntid=131239&amp;svc_dat=xri:pqil:context=title&amp;rft_dat=xri:pqd:PMID=6394507</t>
  </si>
  <si>
    <t>Joondalup</t>
  </si>
  <si>
    <t>http://gateway.proquest.com/openurl?url_ver=Z39.88-2004&amp;res_dat=xri:pqm&amp;rft_val_fmt=info:ofi/fmt:kev:mtx:journal&amp;genre=journal&amp;req_dat=xri:pqil:pq_clntid=131239&amp;svc_dat=xri:pqil:context=title&amp;rft_dat=xri:pqd:PMID=636323</t>
  </si>
  <si>
    <t>This publication may be subject to restrictions within certain markets, including corporations, non-profits, government institutions, and public libraries. In those cases records will be visible to users, but not full text.</t>
  </si>
  <si>
    <t>http://gateway.proquest.com/openurl?url_ver=Z39.88-2004&amp;res_dat=xri:pqm&amp;rft_val_fmt=info:ofi/fmt:kev:mtx:journal&amp;genre=journal&amp;req_dat=xri:pqil:pq_clntid=131239&amp;svc_dat=xri:pqil:context=title&amp;rft_dat=xri:pqd:PMID=226500</t>
  </si>
  <si>
    <t>Guilsborough</t>
  </si>
  <si>
    <t>http://gateway.proquest.com/openurl?url_ver=Z39.88-2004&amp;res_dat=xri:pqm&amp;rft_val_fmt=info:ofi/fmt:kev:mtx:journal&amp;genre=journal&amp;req_dat=xri:pqil:pq_clntid=131239&amp;svc_dat=xri:pqil:context=title&amp;rft_dat=xri:pqd:PMID=35317</t>
  </si>
  <si>
    <t>Bowling Green</t>
  </si>
  <si>
    <t>http://gateway.proquest.com/openurl?url_ver=Z39.88-2004&amp;res_dat=xri:pqm&amp;rft_val_fmt=info:ofi/fmt:kev:mtx:journal&amp;genre=journal&amp;req_dat=xri:pqil:pq_clntid=131239&amp;svc_dat=xri:pqil:context=title&amp;rft_dat=xri:pqd:PMID=996338</t>
  </si>
  <si>
    <t>http://gateway.proquest.com/openurl?url_ver=Z39.88-2004&amp;res_dat=xri:pqm&amp;rft_val_fmt=info:ofi/fmt:kev:mtx:journal&amp;genre=journal&amp;req_dat=xri:pqil:pq_clntid=131239&amp;svc_dat=xri:pqil:context=title&amp;rft_dat=xri:pqd:PMID=25330</t>
  </si>
  <si>
    <t>East Lansing</t>
  </si>
  <si>
    <t>http://gateway.proquest.com/openurl?url_ver=Z39.88-2004&amp;res_dat=xri:pqm&amp;rft_val_fmt=info:ofi/fmt:kev:mtx:journal&amp;genre=journal&amp;req_dat=xri:pqil:pq_clntid=131239&amp;svc_dat=xri:pqil:context=title&amp;rft_dat=xri:pqd:PMID=996337</t>
  </si>
  <si>
    <t>http://gateway.proquest.com/openurl?url_ver=Z39.88-2004&amp;res_dat=xri:pqm&amp;rft_val_fmt=info:ofi/fmt:kev:mtx:journal&amp;genre=journal&amp;req_dat=xri:pqil:pq_clntid=131239&amp;svc_dat=xri:pqil:context=title&amp;rft_dat=xri:pqd:PMID=46628</t>
  </si>
  <si>
    <t>http://gateway.proquest.com/openurl?url_ver=Z39.88-2004&amp;res_dat=xri:pqm&amp;rft_val_fmt=info:ofi/fmt:kev:mtx:journal&amp;genre=journal&amp;req_dat=xri:pqil:pq_clntid=131239&amp;svc_dat=xri:pqil:context=title&amp;rft_dat=xri:pqd:PMID=2034145</t>
  </si>
  <si>
    <t>http://gateway.proquest.com/openurl?url_ver=Z39.88-2004&amp;res_dat=xri:pqm&amp;rft_val_fmt=info:ofi/fmt:kev:mtx:journal&amp;genre=journal&amp;req_dat=xri:pqil:pq_clntid=131239&amp;svc_dat=xri:pqil:context=title&amp;rft_dat=xri:pqd:PMID=5983390</t>
  </si>
  <si>
    <t>North Vancouver</t>
  </si>
  <si>
    <t>http://gateway.proquest.com/openurl?url_ver=Z39.88-2004&amp;res_dat=xri:pqm&amp;rft_val_fmt=info:ofi/fmt:kev:mtx:journal&amp;genre=journal&amp;req_dat=xri:pqil:pq_clntid=131239&amp;svc_dat=xri:pqil:context=title&amp;rft_dat=xri:pqd:PMID=43190</t>
  </si>
  <si>
    <t>01-Sep-2006--31-Dec-2008</t>
  </si>
  <si>
    <t>http://gateway.proquest.com/openurl?url_ver=Z39.88-2004&amp;res_dat=xri:pqm&amp;rft_val_fmt=info:ofi/fmt:kev:mtx:journal&amp;genre=journal&amp;req_dat=xri:pqil:pq_clntid=131239&amp;svc_dat=xri:pqil:context=title&amp;rft_dat=xri:pqd:PMID=29794</t>
  </si>
  <si>
    <t>West Linn</t>
  </si>
  <si>
    <t>http://gateway.proquest.com/openurl?url_ver=Z39.88-2004&amp;res_dat=xri:pqm&amp;rft_val_fmt=info:ofi/fmt:kev:mtx:journal&amp;genre=journal&amp;req_dat=xri:pqil:pq_clntid=131239&amp;svc_dat=xri:pqil:context=title&amp;rft_dat=xri:pqd:PMID=3983</t>
  </si>
  <si>
    <t>http://gateway.proquest.com/openurl?url_ver=Z39.88-2004&amp;res_dat=xri:pqm&amp;rft_val_fmt=info:ofi/fmt:kev:mtx:journal&amp;genre=journal&amp;req_dat=xri:pqil:pq_clntid=131239&amp;svc_dat=xri:pqil:context=title&amp;rft_dat=xri:pqd:PMID=5430094</t>
  </si>
  <si>
    <t>http://gateway.proquest.com/openurl?url_ver=Z39.88-2004&amp;res_dat=xri:pqm&amp;rft_val_fmt=info:ofi/fmt:kev:mtx:journal&amp;genre=journal&amp;req_dat=xri:pqil:pq_clntid=131239&amp;svc_dat=xri:pqil:context=title&amp;rft_dat=xri:pqd:PMID=28517</t>
  </si>
  <si>
    <t>http://gateway.proquest.com/openurl?url_ver=Z39.88-2004&amp;res_dat=xri:pqm&amp;rft_val_fmt=info:ofi/fmt:kev:mtx:journal&amp;genre=journal&amp;req_dat=xri:pqil:pq_clntid=131239&amp;svc_dat=xri:pqil:context=title&amp;rft_dat=xri:pqd:PMID=5483572</t>
  </si>
  <si>
    <t>http://gateway.proquest.com/openurl?url_ver=Z39.88-2004&amp;res_dat=xri:pqm&amp;rft_val_fmt=info:ofi/fmt:kev:mtx:journal&amp;genre=journal&amp;req_dat=xri:pqil:pq_clntid=131239&amp;svc_dat=xri:pqil:context=title&amp;rft_dat=xri:pqd:PMID=5483567</t>
  </si>
  <si>
    <t>http://gateway.proquest.com/openurl?url_ver=Z39.88-2004&amp;res_dat=xri:pqm&amp;rft_val_fmt=info:ofi/fmt:kev:mtx:journal&amp;genre=journal&amp;req_dat=xri:pqil:pq_clntid=131239&amp;svc_dat=xri:pqil:context=title&amp;rft_dat=xri:pqd:PMID=6009039</t>
  </si>
  <si>
    <t>http://gateway.proquest.com/openurl?url_ver=Z39.88-2004&amp;res_dat=xri:pqm&amp;rft_val_fmt=info:ofi/fmt:kev:mtx:journal&amp;genre=journal&amp;req_dat=xri:pqil:pq_clntid=131239&amp;svc_dat=xri:pqil:context=title&amp;rft_dat=xri:pqd:PMID=5483598</t>
  </si>
  <si>
    <t>http://gateway.proquest.com/openurl?url_ver=Z39.88-2004&amp;res_dat=xri:pqm&amp;rft_val_fmt=info:ofi/fmt:kev:mtx:journal&amp;genre=journal&amp;req_dat=xri:pqil:pq_clntid=131239&amp;svc_dat=xri:pqil:context=title&amp;rft_dat=xri:pqd:PMID=5483623</t>
  </si>
  <si>
    <t>http://gateway.proquest.com/openurl?url_ver=Z39.88-2004&amp;res_dat=xri:pqm&amp;rft_val_fmt=info:ofi/fmt:kev:mtx:journal&amp;genre=journal&amp;req_dat=xri:pqil:pq_clntid=131239&amp;svc_dat=xri:pqil:context=title&amp;rft_dat=xri:pqd:PMID=6359430</t>
  </si>
  <si>
    <t>http://gateway.proquest.com/openurl?url_ver=Z39.88-2004&amp;res_dat=xri:pqm&amp;rft_val_fmt=info:ofi/fmt:kev:mtx:journal&amp;genre=journal&amp;req_dat=xri:pqil:pq_clntid=131239&amp;svc_dat=xri:pqil:context=title&amp;rft_dat=xri:pqd:PMID=6275762</t>
  </si>
  <si>
    <t>http://gateway.proquest.com/openurl?url_ver=Z39.88-2004&amp;res_dat=xri:pqm&amp;rft_val_fmt=info:ofi/fmt:kev:mtx:journal&amp;genre=journal&amp;req_dat=xri:pqil:pq_clntid=131239&amp;svc_dat=xri:pqil:context=title&amp;rft_dat=xri:pqd:PMID=47238</t>
  </si>
  <si>
    <t>http://gateway.proquest.com/openurl?url_ver=Z39.88-2004&amp;res_dat=xri:pqm&amp;rft_val_fmt=info:ofi/fmt:kev:mtx:journal&amp;genre=journal&amp;req_dat=xri:pqil:pq_clntid=131239&amp;svc_dat=xri:pqil:context=title&amp;rft_dat=xri:pqd:PMID=6275761</t>
  </si>
  <si>
    <t>http://gateway.proquest.com/openurl?url_ver=Z39.88-2004&amp;res_dat=xri:pqm&amp;rft_val_fmt=info:ofi/fmt:kev:mtx:journal&amp;genre=journal&amp;req_dat=xri:pqil:pq_clntid=131239&amp;svc_dat=xri:pqil:context=title&amp;rft_dat=xri:pqd:PMID=806345</t>
  </si>
  <si>
    <t>http://gateway.proquest.com/openurl?url_ver=Z39.88-2004&amp;res_dat=xri:pqm&amp;rft_val_fmt=info:ofi/fmt:kev:mtx:journal&amp;genre=journal&amp;req_dat=xri:pqil:pq_clntid=131239&amp;svc_dat=xri:pqil:context=title&amp;rft_dat=xri:pqd:PMID=30295</t>
  </si>
  <si>
    <t>Parana</t>
  </si>
  <si>
    <t>http://gateway.proquest.com/openurl?url_ver=Z39.88-2004&amp;res_dat=xri:pqm&amp;rft_val_fmt=info:ofi/fmt:kev:mtx:journal&amp;genre=journal&amp;req_dat=xri:pqil:pq_clntid=131239&amp;svc_dat=xri:pqil:context=title&amp;rft_dat=xri:pqd:PMID=2049082</t>
  </si>
  <si>
    <t>Interdisciplinaria</t>
  </si>
  <si>
    <t>Centro Interamericano de Investigaciones Psicológicas y Ciencias Afines; Interdisciplinaria</t>
  </si>
  <si>
    <t>Buenos Aires</t>
  </si>
  <si>
    <t>0325-8203</t>
  </si>
  <si>
    <t>1668-7027</t>
  </si>
  <si>
    <t>http://gateway.proquest.com/openurl?url_ver=Z39.88-2004&amp;res_dat=xri:pqm&amp;rft_val_fmt=info:ofi/fmt:kev:mtx:journal&amp;genre=journal&amp;req_dat=xri:pqil:pq_clntid=131239&amp;svc_dat=xri:pqil:context=title&amp;rft_dat=xri:pqd:PMID=6474646</t>
  </si>
  <si>
    <t>http://gateway.proquest.com/openurl?url_ver=Z39.88-2004&amp;res_dat=xri:pqm&amp;rft_val_fmt=info:ofi/fmt:kev:mtx:journal&amp;genre=journal&amp;req_dat=xri:pqil:pq_clntid=131239&amp;svc_dat=xri:pqil:context=title&amp;rft_dat=xri:pqd:PMID=5483563</t>
  </si>
  <si>
    <t>http://gateway.proquest.com/openurl?url_ver=Z39.88-2004&amp;res_dat=xri:pqm&amp;rft_val_fmt=info:ofi/fmt:kev:mtx:journal&amp;genre=journal&amp;req_dat=xri:pqil:pq_clntid=131239&amp;svc_dat=xri:pqil:context=title&amp;rft_dat=xri:pqd:PMID=5483577</t>
  </si>
  <si>
    <t>Internal Family Systems Therapy With a Couple</t>
  </si>
  <si>
    <t>http://gateway.proquest.com/openurl?url_ver=Z39.88-2004&amp;res_dat=xri:pqm&amp;rft_val_fmt=info:ofi/fmt:kev:mtx:journal&amp;genre=journal&amp;req_dat=xri:pqil:pq_clntid=131239&amp;svc_dat=xri:pqil:context=title&amp;rft_dat=xri:pqd:PMID=5643025</t>
  </si>
  <si>
    <t>http://gateway.proquest.com/openurl?url_ver=Z39.88-2004&amp;res_dat=xri:pqm&amp;rft_val_fmt=info:ofi/fmt:kev:mtx:journal&amp;genre=journal&amp;req_dat=xri:pqil:pq_clntid=131239&amp;svc_dat=xri:pqil:context=title&amp;rft_dat=xri:pqd:PMID=2033257</t>
  </si>
  <si>
    <t>http://gateway.proquest.com/openurl?url_ver=Z39.88-2004&amp;res_dat=xri:pqm&amp;rft_val_fmt=info:ofi/fmt:kev:mtx:journal&amp;genre=journal&amp;req_dat=xri:pqil:pq_clntid=131239&amp;svc_dat=xri:pqil:context=title&amp;rft_dat=xri:pqd:PMID=176152</t>
  </si>
  <si>
    <t>http://gateway.proquest.com/openurl?url_ver=Z39.88-2004&amp;res_dat=xri:pqm&amp;rft_val_fmt=info:ofi/fmt:kev:mtx:journal&amp;genre=journal&amp;req_dat=xri:pqil:pq_clntid=131239&amp;svc_dat=xri:pqil:context=title&amp;rft_dat=xri:pqd:PMID=176151</t>
  </si>
  <si>
    <t>http://gateway.proquest.com/openurl?url_ver=Z39.88-2004&amp;res_dat=xri:pqm&amp;rft_val_fmt=info:ofi/fmt:kev:mtx:journal&amp;genre=journal&amp;req_dat=xri:pqil:pq_clntid=131239&amp;svc_dat=xri:pqil:context=title&amp;rft_dat=xri:pqd:PMID=2033255</t>
  </si>
  <si>
    <t>http://gateway.proquest.com/openurl?url_ver=Z39.88-2004&amp;res_dat=xri:pqm&amp;rft_val_fmt=info:ofi/fmt:kev:mtx:journal&amp;genre=journal&amp;req_dat=xri:pqil:pq_clntid=131239&amp;svc_dat=xri:pqil:context=title&amp;rft_dat=xri:pqd:PMID=60278</t>
  </si>
  <si>
    <t>http://gateway.proquest.com/openurl?url_ver=Z39.88-2004&amp;res_dat=xri:pqm&amp;rft_val_fmt=info:ofi/fmt:kev:mtx:journal&amp;genre=journal&amp;req_dat=xri:pqil:pq_clntid=131239&amp;svc_dat=xri:pqil:context=title&amp;rft_dat=xri:pqd:PMID=2030319</t>
  </si>
  <si>
    <t>The Hague</t>
  </si>
  <si>
    <t>http://gateway.proquest.com/openurl?url_ver=Z39.88-2004&amp;res_dat=xri:pqm&amp;rft_val_fmt=info:ofi/fmt:kev:mtx:journal&amp;genre=journal&amp;req_dat=xri:pqil:pq_clntid=131239&amp;svc_dat=xri:pqil:context=title&amp;rft_dat=xri:pqd:PMID=54142</t>
  </si>
  <si>
    <t>http://gateway.proquest.com/openurl?url_ver=Z39.88-2004&amp;res_dat=xri:pqm&amp;rft_val_fmt=info:ofi/fmt:kev:mtx:journal&amp;genre=journal&amp;req_dat=xri:pqil:pq_clntid=131239&amp;svc_dat=xri:pqil:context=title&amp;rft_dat=xri:pqd:PMID=46686</t>
  </si>
  <si>
    <t>Berlin</t>
  </si>
  <si>
    <t>http://gateway.proquest.com/openurl?url_ver=Z39.88-2004&amp;res_dat=xri:pqm&amp;rft_val_fmt=info:ofi/fmt:kev:mtx:journal&amp;genre=journal&amp;req_dat=xri:pqil:pq_clntid=131239&amp;svc_dat=xri:pqil:context=title&amp;rft_dat=xri:pqd:PMID=2031345</t>
  </si>
  <si>
    <t>http://gateway.proquest.com/openurl?url_ver=Z39.88-2004&amp;res_dat=xri:pqm&amp;rft_val_fmt=info:ofi/fmt:kev:mtx:journal&amp;genre=journal&amp;req_dat=xri:pqil:pq_clntid=131239&amp;svc_dat=xri:pqil:context=title&amp;rft_dat=xri:pqd:PMID=1606376</t>
  </si>
  <si>
    <t>http://gateway.proquest.com/openurl?url_ver=Z39.88-2004&amp;res_dat=xri:pqm&amp;rft_val_fmt=info:ofi/fmt:kev:mtx:journal&amp;genre=journal&amp;req_dat=xri:pqil:pq_clntid=131239&amp;svc_dat=xri:pqil:context=title&amp;rft_dat=xri:pqd:PMID=2047581</t>
  </si>
  <si>
    <t>http://gateway.proquest.com/openurl?url_ver=Z39.88-2004&amp;res_dat=xri:pqm&amp;rft_val_fmt=info:ofi/fmt:kev:mtx:journal&amp;genre=journal&amp;req_dat=xri:pqil:pq_clntid=131239&amp;svc_dat=xri:pqil:context=title&amp;rft_dat=xri:pqd:PMID=996371</t>
  </si>
  <si>
    <t>http://gateway.proquest.com/openurl?url_ver=Z39.88-2004&amp;res_dat=xri:pqm&amp;rft_val_fmt=info:ofi/fmt:kev:mtx:journal&amp;genre=journal&amp;req_dat=xri:pqil:pq_clntid=131239&amp;svc_dat=xri:pqil:context=title&amp;rft_dat=xri:pqd:PMID=46405</t>
  </si>
  <si>
    <t>http://gateway.proquest.com/openurl?url_ver=Z39.88-2004&amp;res_dat=xri:pqm&amp;rft_val_fmt=info:ofi/fmt:kev:mtx:journal&amp;genre=journal&amp;req_dat=xri:pqil:pq_clntid=131239&amp;svc_dat=xri:pqil:context=title&amp;rft_dat=xri:pqd:PMID=2033251</t>
  </si>
  <si>
    <t>http://gateway.proquest.com/openurl?url_ver=Z39.88-2004&amp;res_dat=xri:pqm&amp;rft_val_fmt=info:ofi/fmt:kev:mtx:journal&amp;genre=journal&amp;req_dat=xri:pqil:pq_clntid=131239&amp;svc_dat=xri:pqil:context=title&amp;rft_dat=xri:pqd:PMID=46406</t>
  </si>
  <si>
    <t>http://gateway.proquest.com/openurl?url_ver=Z39.88-2004&amp;res_dat=xri:pqm&amp;rft_val_fmt=info:ofi/fmt:kev:mtx:journal&amp;genre=journal&amp;req_dat=xri:pqil:pq_clntid=131239&amp;svc_dat=xri:pqil:context=title&amp;rft_dat=xri:pqd:PMID=2034742</t>
  </si>
  <si>
    <t>http://gateway.proquest.com/openurl?url_ver=Z39.88-2004&amp;res_dat=xri:pqm&amp;rft_val_fmt=info:ofi/fmt:kev:mtx:journal&amp;genre=journal&amp;req_dat=xri:pqil:pq_clntid=131239&amp;svc_dat=xri:pqil:context=title&amp;rft_dat=xri:pqd:PMID=26450</t>
  </si>
  <si>
    <t>http://gateway.proquest.com/openurl?url_ver=Z39.88-2004&amp;res_dat=xri:pqm&amp;rft_val_fmt=info:ofi/fmt:kev:mtx:journal&amp;genre=journal&amp;req_dat=xri:pqil:pq_clntid=131239&amp;svc_dat=xri:pqil:context=title&amp;rft_dat=xri:pqd:PMID=176148</t>
  </si>
  <si>
    <t>Manhattan</t>
  </si>
  <si>
    <t>http://gateway.proquest.com/openurl?url_ver=Z39.88-2004&amp;res_dat=xri:pqm&amp;rft_val_fmt=info:ofi/fmt:kev:mtx:journal&amp;genre=journal&amp;req_dat=xri:pqil:pq_clntid=131239&amp;svc_dat=xri:pqil:context=title&amp;rft_dat=xri:pqd:PMID=1046401</t>
  </si>
  <si>
    <t>http://gateway.proquest.com/openurl?url_ver=Z39.88-2004&amp;res_dat=xri:pqm&amp;rft_val_fmt=info:ofi/fmt:kev:mtx:journal&amp;genre=journal&amp;req_dat=xri:pqil:pq_clntid=131239&amp;svc_dat=xri:pqil:context=title&amp;rft_dat=xri:pqd:PMID=40979</t>
  </si>
  <si>
    <t>Granada</t>
  </si>
  <si>
    <t>http://gateway.proquest.com/openurl?url_ver=Z39.88-2004&amp;res_dat=xri:pqm&amp;rft_val_fmt=info:ofi/fmt:kev:mtx:journal&amp;genre=journal&amp;req_dat=xri:pqil:pq_clntid=131239&amp;svc_dat=xri:pqil:context=title&amp;rft_dat=xri:pqd:PMID=806355</t>
  </si>
  <si>
    <t>Hershey</t>
  </si>
  <si>
    <t>http://gateway.proquest.com/openurl?url_ver=Z39.88-2004&amp;res_dat=xri:pqm&amp;rft_val_fmt=info:ofi/fmt:kev:mtx:journal&amp;genre=journal&amp;req_dat=xri:pqil:pq_clntid=131239&amp;svc_dat=xri:pqil:context=title&amp;rft_dat=xri:pqd:PMID=2045860</t>
  </si>
  <si>
    <t>http://gateway.proquest.com/openurl?url_ver=Z39.88-2004&amp;res_dat=xri:pqm&amp;rft_val_fmt=info:ofi/fmt:kev:mtx:journal&amp;genre=journal&amp;req_dat=xri:pqil:pq_clntid=131239&amp;svc_dat=xri:pqil:context=title&amp;rft_dat=xri:pqd:PMID=38995</t>
  </si>
  <si>
    <t>http://gateway.proquest.com/openurl?url_ver=Z39.88-2004&amp;res_dat=xri:pqm&amp;rft_val_fmt=info:ofi/fmt:kev:mtx:journal&amp;genre=journal&amp;req_dat=xri:pqil:pq_clntid=131239&amp;svc_dat=xri:pqil:context=title&amp;rft_dat=xri:pqd:PMID=2033250</t>
  </si>
  <si>
    <t>http://gateway.proquest.com/openurl?url_ver=Z39.88-2004&amp;res_dat=xri:pqm&amp;rft_val_fmt=info:ofi/fmt:kev:mtx:journal&amp;genre=journal&amp;req_dat=xri:pqil:pq_clntid=131239&amp;svc_dat=xri:pqil:context=title&amp;rft_dat=xri:pqd:PMID=4397043</t>
  </si>
  <si>
    <t>http://gateway.proquest.com/openurl?url_ver=Z39.88-2004&amp;res_dat=xri:pqm&amp;rft_val_fmt=info:ofi/fmt:kev:mtx:journal&amp;genre=journal&amp;req_dat=xri:pqil:pq_clntid=131239&amp;svc_dat=xri:pqil:context=title&amp;rft_dat=xri:pqd:PMID=48309</t>
  </si>
  <si>
    <t>http://gateway.proquest.com/openurl?url_ver=Z39.88-2004&amp;res_dat=xri:pqm&amp;rft_val_fmt=info:ofi/fmt:kev:mtx:journal&amp;genre=journal&amp;req_dat=xri:pqil:pq_clntid=131239&amp;svc_dat=xri:pqil:context=title&amp;rft_dat=xri:pqd:PMID=33313</t>
  </si>
  <si>
    <t>http://gateway.proquest.com/openurl?url_ver=Z39.88-2004&amp;res_dat=xri:pqm&amp;rft_val_fmt=info:ofi/fmt:kev:mtx:journal&amp;genre=journal&amp;req_dat=xri:pqil:pq_clntid=131239&amp;svc_dat=xri:pqil:context=title&amp;rft_dat=xri:pqd:PMID=26001</t>
  </si>
  <si>
    <t>http://gateway.proquest.com/openurl?url_ver=Z39.88-2004&amp;res_dat=xri:pqm&amp;rft_val_fmt=info:ofi/fmt:kev:mtx:journal&amp;genre=journal&amp;req_dat=xri:pqil:pq_clntid=131239&amp;svc_dat=xri:pqil:context=title&amp;rft_dat=xri:pqd:PMID=27271</t>
  </si>
  <si>
    <t>http://gateway.proquest.com/openurl?url_ver=Z39.88-2004&amp;res_dat=xri:pqm&amp;rft_val_fmt=info:ofi/fmt:kev:mtx:journal&amp;genre=journal&amp;req_dat=xri:pqil:pq_clntid=131239&amp;svc_dat=xri:pqil:context=title&amp;rft_dat=xri:pqd:PMID=176144</t>
  </si>
  <si>
    <t>http://gateway.proquest.com/openurl?url_ver=Z39.88-2004&amp;res_dat=xri:pqm&amp;rft_val_fmt=info:ofi/fmt:kev:mtx:journal&amp;genre=journal&amp;req_dat=xri:pqil:pq_clntid=131239&amp;svc_dat=xri:pqil:context=title&amp;rft_dat=xri:pqd:PMID=2029118</t>
  </si>
  <si>
    <t>http://gateway.proquest.com/openurl?url_ver=Z39.88-2004&amp;res_dat=xri:pqm&amp;rft_val_fmt=info:ofi/fmt:kev:mtx:journal&amp;genre=journal&amp;req_dat=xri:pqil:pq_clntid=131239&amp;svc_dat=xri:pqil:context=title&amp;rft_dat=xri:pqd:PMID=2046420</t>
  </si>
  <si>
    <t>International Journal of Digital Literacy and Digital Competence</t>
  </si>
  <si>
    <t>1947-3494</t>
  </si>
  <si>
    <t>1947-3508</t>
  </si>
  <si>
    <t>Computers|Education</t>
  </si>
  <si>
    <t>http://gateway.proquest.com/openurl?url_ver=Z39.88-2004&amp;res_dat=xri:pqm&amp;rft_val_fmt=info:ofi/fmt:kev:mtx:journal&amp;genre=journal&amp;req_dat=xri:pqil:pq_clntid=131239&amp;svc_dat=xri:pqil:context=title&amp;rft_dat=xri:pqd:PMID=2045854</t>
  </si>
  <si>
    <t>http://gateway.proquest.com/openurl?url_ver=Z39.88-2004&amp;res_dat=xri:pqm&amp;rft_val_fmt=info:ofi/fmt:kev:mtx:journal&amp;genre=journal&amp;req_dat=xri:pqil:pq_clntid=131239&amp;svc_dat=xri:pqil:context=title&amp;rft_dat=xri:pqd:PMID=27708</t>
  </si>
  <si>
    <t>http://gateway.proquest.com/openurl?url_ver=Z39.88-2004&amp;res_dat=xri:pqm&amp;rft_val_fmt=info:ofi/fmt:kev:mtx:journal&amp;genre=journal&amp;req_dat=xri:pqil:pq_clntid=131239&amp;svc_dat=xri:pqil:context=title&amp;rft_dat=xri:pqd:PMID=2033246</t>
  </si>
  <si>
    <t>International Journal of E-Collaboration</t>
  </si>
  <si>
    <t>1548-3673</t>
  </si>
  <si>
    <t>1548-3681</t>
  </si>
  <si>
    <t>Computers--Electronic Data Processing</t>
  </si>
  <si>
    <t>http://gateway.proquest.com/openurl?url_ver=Z39.88-2004&amp;res_dat=xri:pqm&amp;rft_val_fmt=info:ofi/fmt:kev:mtx:journal&amp;genre=journal&amp;req_dat=xri:pqil:pq_clntid=131239&amp;svc_dat=xri:pqil:context=title&amp;rft_dat=xri:pqd:PMID=21865</t>
  </si>
  <si>
    <t>http://gateway.proquest.com/openurl?url_ver=Z39.88-2004&amp;res_dat=xri:pqm&amp;rft_val_fmt=info:ofi/fmt:kev:mtx:journal&amp;genre=journal&amp;req_dat=xri:pqil:pq_clntid=131239&amp;svc_dat=xri:pqil:context=title&amp;rft_dat=xri:pqd:PMID=48368</t>
  </si>
  <si>
    <t>http://gateway.proquest.com/openurl?url_ver=Z39.88-2004&amp;res_dat=xri:pqm&amp;rft_val_fmt=info:ofi/fmt:kev:mtx:journal&amp;genre=journal&amp;req_dat=xri:pqil:pq_clntid=131239&amp;svc_dat=xri:pqil:context=title&amp;rft_dat=xri:pqd:PMID=426766</t>
  </si>
  <si>
    <t>http://gateway.proquest.com/openurl?url_ver=Z39.88-2004&amp;res_dat=xri:pqm&amp;rft_val_fmt=info:ofi/fmt:kev:mtx:journal&amp;genre=journal&amp;req_dat=xri:pqil:pq_clntid=131239&amp;svc_dat=xri:pqil:context=title&amp;rft_dat=xri:pqd:PMID=49031</t>
  </si>
  <si>
    <t>Oradea</t>
  </si>
  <si>
    <t>http://gateway.proquest.com/openurl?url_ver=Z39.88-2004&amp;res_dat=xri:pqm&amp;rft_val_fmt=info:ofi/fmt:kev:mtx:journal&amp;genre=journal&amp;req_dat=xri:pqil:pq_clntid=131239&amp;svc_dat=xri:pqil:context=title&amp;rft_dat=xri:pqd:PMID=1606375</t>
  </si>
  <si>
    <t>http://gateway.proquest.com/openurl?url_ver=Z39.88-2004&amp;res_dat=xri:pqm&amp;rft_val_fmt=info:ofi/fmt:kev:mtx:journal&amp;genre=journal&amp;req_dat=xri:pqil:pq_clntid=131239&amp;svc_dat=xri:pqil:context=title&amp;rft_dat=xri:pqd:PMID=2042206</t>
  </si>
  <si>
    <t>Msida</t>
  </si>
  <si>
    <t>http://gateway.proquest.com/openurl?url_ver=Z39.88-2004&amp;res_dat=xri:pqm&amp;rft_val_fmt=info:ofi/fmt:kev:mtx:journal&amp;genre=journal&amp;req_dat=xri:pqil:pq_clntid=131239&amp;svc_dat=xri:pqil:context=title&amp;rft_dat=xri:pqd:PMID=2031381</t>
  </si>
  <si>
    <t>http://gateway.proquest.com/openurl?url_ver=Z39.88-2004&amp;res_dat=xri:pqm&amp;rft_val_fmt=info:ofi/fmt:kev:mtx:journal&amp;genre=journal&amp;req_dat=xri:pqil:pq_clntid=131239&amp;svc_dat=xri:pqil:context=title&amp;rft_dat=xri:pqd:PMID=436405</t>
  </si>
  <si>
    <t>http://gateway.proquest.com/openurl?url_ver=Z39.88-2004&amp;res_dat=xri:pqm&amp;rft_val_fmt=info:ofi/fmt:kev:mtx:journal&amp;genre=journal&amp;req_dat=xri:pqil:pq_clntid=131239&amp;svc_dat=xri:pqil:context=title&amp;rft_dat=xri:pqd:PMID=37370</t>
  </si>
  <si>
    <t>http://gateway.proquest.com/openurl?url_ver=Z39.88-2004&amp;res_dat=xri:pqm&amp;rft_val_fmt=info:ofi/fmt:kev:mtx:journal&amp;genre=journal&amp;req_dat=xri:pqil:pq_clntid=131239&amp;svc_dat=xri:pqil:context=title&amp;rft_dat=xri:pqd:PMID=31260</t>
  </si>
  <si>
    <t>http://gateway.proquest.com/openurl?url_ver=Z39.88-2004&amp;res_dat=xri:pqm&amp;rft_val_fmt=info:ofi/fmt:kev:mtx:journal&amp;genre=journal&amp;req_dat=xri:pqil:pq_clntid=131239&amp;svc_dat=xri:pqil:context=title&amp;rft_dat=xri:pqd:PMID=2034866</t>
  </si>
  <si>
    <t>Norwood</t>
  </si>
  <si>
    <t>http://gateway.proquest.com/openurl?url_ver=Z39.88-2004&amp;res_dat=xri:pqm&amp;rft_val_fmt=info:ofi/fmt:kev:mtx:journal&amp;genre=journal&amp;req_dat=xri:pqil:pq_clntid=131239&amp;svc_dat=xri:pqil:context=title&amp;rft_dat=xri:pqd:PMID=32556</t>
  </si>
  <si>
    <t>http://gateway.proquest.com/openurl?url_ver=Z39.88-2004&amp;res_dat=xri:pqm&amp;rft_val_fmt=info:ofi/fmt:kev:mtx:journal&amp;genre=journal&amp;req_dat=xri:pqil:pq_clntid=131239&amp;svc_dat=xri:pqil:context=title&amp;rft_dat=xri:pqd:PMID=436402</t>
  </si>
  <si>
    <t>Education--Special Education And Rehabilitation|Medical Sciences|Medical Sciences--Otorhinolaryngology|People With Disabilities--Hearing Impaired</t>
  </si>
  <si>
    <t>http://gateway.proquest.com/openurl?url_ver=Z39.88-2004&amp;res_dat=xri:pqm&amp;rft_val_fmt=info:ofi/fmt:kev:mtx:journal&amp;genre=journal&amp;req_dat=xri:pqil:pq_clntid=131239&amp;svc_dat=xri:pqil:context=title&amp;rft_dat=xri:pqd:PMID=105607</t>
  </si>
  <si>
    <t>http://gateway.proquest.com/openurl?url_ver=Z39.88-2004&amp;res_dat=xri:pqm&amp;rft_val_fmt=info:ofi/fmt:kev:mtx:journal&amp;genre=journal&amp;req_dat=xri:pqil:pq_clntid=131239&amp;svc_dat=xri:pqil:context=title&amp;rft_dat=xri:pqd:PMID=2047700</t>
  </si>
  <si>
    <t>http://gateway.proquest.com/openurl?url_ver=Z39.88-2004&amp;res_dat=xri:pqm&amp;rft_val_fmt=info:ofi/fmt:kev:mtx:journal&amp;genre=journal&amp;req_dat=xri:pqil:pq_clntid=131239&amp;svc_dat=xri:pqil:context=title&amp;rft_dat=xri:pqd:PMID=26599</t>
  </si>
  <si>
    <t>Henley-on-Thames</t>
  </si>
  <si>
    <t>http://gateway.proquest.com/openurl?url_ver=Z39.88-2004&amp;res_dat=xri:pqm&amp;rft_val_fmt=info:ofi/fmt:kev:mtx:journal&amp;genre=journal&amp;req_dat=xri:pqil:pq_clntid=131239&amp;svc_dat=xri:pqil:context=title&amp;rft_dat=xri:pqd:PMID=45628</t>
  </si>
  <si>
    <t>01-Jul-2012--31-Dec-2015</t>
  </si>
  <si>
    <t>http://gateway.proquest.com/openurl?url_ver=Z39.88-2004&amp;res_dat=xri:pqm&amp;rft_val_fmt=info:ofi/fmt:kev:mtx:journal&amp;genre=journal&amp;req_dat=xri:pqil:pq_clntid=131239&amp;svc_dat=xri:pqil:context=title&amp;rft_dat=xri:pqd:PMID=25645</t>
  </si>
  <si>
    <t>http://gateway.proquest.com/openurl?url_ver=Z39.88-2004&amp;res_dat=xri:pqm&amp;rft_val_fmt=info:ofi/fmt:kev:mtx:journal&amp;genre=journal&amp;req_dat=xri:pqil:pq_clntid=131239&amp;svc_dat=xri:pqil:context=title&amp;rft_dat=xri:pqd:PMID=2033233</t>
  </si>
  <si>
    <t>http://gateway.proquest.com/openurl?url_ver=Z39.88-2004&amp;res_dat=xri:pqm&amp;rft_val_fmt=info:ofi/fmt:kev:mtx:journal&amp;genre=journal&amp;req_dat=xri:pqil:pq_clntid=131239&amp;svc_dat=xri:pqil:context=title&amp;rft_dat=xri:pqd:PMID=25726</t>
  </si>
  <si>
    <t>http://gateway.proquest.com/openurl?url_ver=Z39.88-2004&amp;res_dat=xri:pqm&amp;rft_val_fmt=info:ofi/fmt:kev:mtx:journal&amp;genre=journal&amp;req_dat=xri:pqil:pq_clntid=131239&amp;svc_dat=xri:pqil:context=title&amp;rft_dat=xri:pqd:PMID=54979</t>
  </si>
  <si>
    <t>International Journal of Mental Health and Addiction</t>
  </si>
  <si>
    <t>1557-1874</t>
  </si>
  <si>
    <t>1557-1882</t>
  </si>
  <si>
    <t>http://gateway.proquest.com/openurl?url_ver=Z39.88-2004&amp;res_dat=xri:pqm&amp;rft_val_fmt=info:ofi/fmt:kev:mtx:journal&amp;genre=journal&amp;req_dat=xri:pqil:pq_clntid=131239&amp;svc_dat=xri:pqil:context=title&amp;rft_dat=xri:pqd:PMID=2039990</t>
  </si>
  <si>
    <t>01-Jan-2018--31-Dec-2021</t>
  </si>
  <si>
    <t>01-Jan-2003--31-Dec-2021</t>
  </si>
  <si>
    <t>http://gateway.proquest.com/openurl?url_ver=Z39.88-2004&amp;res_dat=xri:pqm&amp;rft_val_fmt=info:ofi/fmt:kev:mtx:journal&amp;genre=journal&amp;req_dat=xri:pqil:pq_clntid=131239&amp;svc_dat=xri:pqil:context=title&amp;rft_dat=xri:pqd:PMID=2034146</t>
  </si>
  <si>
    <t>http://gateway.proquest.com/openurl?url_ver=Z39.88-2004&amp;res_dat=xri:pqm&amp;rft_val_fmt=info:ofi/fmt:kev:mtx:journal&amp;genre=journal&amp;req_dat=xri:pqil:pq_clntid=131239&amp;svc_dat=xri:pqil:context=title&amp;rft_dat=xri:pqd:PMID=2045822</t>
  </si>
  <si>
    <t>Adelaide</t>
  </si>
  <si>
    <t>http://gateway.proquest.com/openurl?url_ver=Z39.88-2004&amp;res_dat=xri:pqm&amp;rft_val_fmt=info:ofi/fmt:kev:mtx:journal&amp;genre=journal&amp;req_dat=xri:pqil:pq_clntid=131239&amp;svc_dat=xri:pqil:context=title&amp;rft_dat=xri:pqd:PMID=2031821</t>
  </si>
  <si>
    <t>http://gateway.proquest.com/openurl?url_ver=Z39.88-2004&amp;res_dat=xri:pqm&amp;rft_val_fmt=info:ofi/fmt:kev:mtx:journal&amp;genre=journal&amp;req_dat=xri:pqil:pq_clntid=131239&amp;svc_dat=xri:pqil:context=title&amp;rft_dat=xri:pqd:PMID=2049881</t>
  </si>
  <si>
    <t>http://gateway.proquest.com/openurl?url_ver=Z39.88-2004&amp;res_dat=xri:pqm&amp;rft_val_fmt=info:ofi/fmt:kev:mtx:journal&amp;genre=journal&amp;req_dat=xri:pqil:pq_clntid=131239&amp;svc_dat=xri:pqil:context=title&amp;rft_dat=xri:pqd:PMID=43629</t>
  </si>
  <si>
    <t>http://gateway.proquest.com/openurl?url_ver=Z39.88-2004&amp;res_dat=xri:pqm&amp;rft_val_fmt=info:ofi/fmt:kev:mtx:journal&amp;genre=journal&amp;req_dat=xri:pqil:pq_clntid=131239&amp;svc_dat=xri:pqil:context=title&amp;rft_dat=xri:pqd:PMID=38864</t>
  </si>
  <si>
    <t>01-May-2014--01-Feb-2017</t>
  </si>
  <si>
    <t>http://gateway.proquest.com/openurl?url_ver=Z39.88-2004&amp;res_dat=xri:pqm&amp;rft_val_fmt=info:ofi/fmt:kev:mtx:journal&amp;genre=journal&amp;req_dat=xri:pqil:pq_clntid=131239&amp;svc_dat=xri:pqil:context=title&amp;rft_dat=xri:pqd:PMID=32205</t>
  </si>
  <si>
    <t>01-Jan-1992--31-Dec-1994</t>
  </si>
  <si>
    <t>http://gateway.proquest.com/openurl?url_ver=Z39.88-2004&amp;res_dat=xri:pqm&amp;rft_val_fmt=info:ofi/fmt:kev:mtx:journal&amp;genre=journal&amp;req_dat=xri:pqil:pq_clntid=131239&amp;svc_dat=xri:pqil:context=title&amp;rft_dat=xri:pqd:PMID=49241</t>
  </si>
  <si>
    <t>Boca Raton</t>
  </si>
  <si>
    <t>01-Jan-2007--31-Dec-2017</t>
  </si>
  <si>
    <t>http://gateway.proquest.com/openurl?url_ver=Z39.88-2004&amp;res_dat=xri:pqm&amp;rft_val_fmt=info:ofi/fmt:kev:mtx:journal&amp;genre=journal&amp;req_dat=xri:pqil:pq_clntid=131239&amp;svc_dat=xri:pqil:context=title&amp;rft_dat=xri:pqd:PMID=32373</t>
  </si>
  <si>
    <t>http://gateway.proquest.com/openurl?url_ver=Z39.88-2004&amp;res_dat=xri:pqm&amp;rft_val_fmt=info:ofi/fmt:kev:mtx:journal&amp;genre=journal&amp;req_dat=xri:pqil:pq_clntid=131239&amp;svc_dat=xri:pqil:context=title&amp;rft_dat=xri:pqd:PMID=29366</t>
  </si>
  <si>
    <t>http://gateway.proquest.com/openurl?url_ver=Z39.88-2004&amp;res_dat=xri:pqm&amp;rft_val_fmt=info:ofi/fmt:kev:mtx:journal&amp;genre=journal&amp;req_dat=xri:pqil:pq_clntid=131239&amp;svc_dat=xri:pqil:context=title&amp;rft_dat=xri:pqd:PMID=2049876</t>
  </si>
  <si>
    <t>http://gateway.proquest.com/openurl?url_ver=Z39.88-2004&amp;res_dat=xri:pqm&amp;rft_val_fmt=info:ofi/fmt:kev:mtx:journal&amp;genre=journal&amp;req_dat=xri:pqil:pq_clntid=131239&amp;svc_dat=xri:pqil:context=title&amp;rft_dat=xri:pqd:PMID=42546</t>
  </si>
  <si>
    <t>http://gateway.proquest.com/openurl?url_ver=Z39.88-2004&amp;res_dat=xri:pqm&amp;rft_val_fmt=info:ofi/fmt:kev:mtx:journal&amp;genre=journal&amp;req_dat=xri:pqil:pq_clntid=131239&amp;svc_dat=xri:pqil:context=title&amp;rft_dat=xri:pqd:PMID=54193</t>
  </si>
  <si>
    <t>01-Jan-1996--31-Mar-2001</t>
  </si>
  <si>
    <t>http://gateway.proquest.com/openurl?url_ver=Z39.88-2004&amp;res_dat=xri:pqm&amp;rft_val_fmt=info:ofi/fmt:kev:mtx:journal&amp;genre=journal&amp;req_dat=xri:pqil:pq_clntid=131239&amp;svc_dat=xri:pqil:context=title&amp;rft_dat=xri:pqd:PMID=43408</t>
  </si>
  <si>
    <t>http://gateway.proquest.com/openurl?url_ver=Z39.88-2004&amp;res_dat=xri:pqm&amp;rft_val_fmt=info:ofi/fmt:kev:mtx:journal&amp;genre=journal&amp;req_dat=xri:pqil:pq_clntid=131239&amp;svc_dat=xri:pqil:context=title&amp;rft_dat=xri:pqd:PMID=33391</t>
  </si>
  <si>
    <t>http://gateway.proquest.com/openurl?url_ver=Z39.88-2004&amp;res_dat=xri:pqm&amp;rft_val_fmt=info:ofi/fmt:kev:mtx:journal&amp;genre=journal&amp;req_dat=xri:pqil:pq_clntid=131239&amp;svc_dat=xri:pqil:context=title&amp;rft_dat=xri:pqd:PMID=36086</t>
  </si>
  <si>
    <t>Medellín</t>
  </si>
  <si>
    <t>http://gateway.proquest.com/openurl?url_ver=Z39.88-2004&amp;res_dat=xri:pqm&amp;rft_val_fmt=info:ofi/fmt:kev:mtx:journal&amp;genre=journal&amp;req_dat=xri:pqil:pq_clntid=131239&amp;svc_dat=xri:pqil:context=title&amp;rft_dat=xri:pqd:PMID=5026681</t>
  </si>
  <si>
    <t>http://gateway.proquest.com/openurl?url_ver=Z39.88-2004&amp;res_dat=xri:pqm&amp;rft_val_fmt=info:ofi/fmt:kev:mtx:journal&amp;genre=journal&amp;req_dat=xri:pqil:pq_clntid=131239&amp;svc_dat=xri:pqil:context=title&amp;rft_dat=xri:pqd:PMID=53033</t>
  </si>
  <si>
    <t>http://gateway.proquest.com/openurl?url_ver=Z39.88-2004&amp;res_dat=xri:pqm&amp;rft_val_fmt=info:ofi/fmt:kev:mtx:journal&amp;genre=journal&amp;req_dat=xri:pqil:pq_clntid=131239&amp;svc_dat=xri:pqil:context=title&amp;rft_dat=xri:pqd:PMID=2034860</t>
  </si>
  <si>
    <t>Almería</t>
  </si>
  <si>
    <t>http://gateway.proquest.com/openurl?url_ver=Z39.88-2004&amp;res_dat=xri:pqm&amp;rft_val_fmt=info:ofi/fmt:kev:mtx:journal&amp;genre=journal&amp;req_dat=xri:pqil:pq_clntid=131239&amp;svc_dat=xri:pqil:context=title&amp;rft_dat=xri:pqd:PMID=29514</t>
  </si>
  <si>
    <t>http://gateway.proquest.com/openurl?url_ver=Z39.88-2004&amp;res_dat=xri:pqm&amp;rft_val_fmt=info:ofi/fmt:kev:mtx:journal&amp;genre=journal&amp;req_dat=xri:pqil:pq_clntid=131239&amp;svc_dat=xri:pqil:context=title&amp;rft_dat=xri:pqd:PMID=32791</t>
  </si>
  <si>
    <t>http://gateway.proquest.com/openurl?url_ver=Z39.88-2004&amp;res_dat=xri:pqm&amp;rft_val_fmt=info:ofi/fmt:kev:mtx:journal&amp;genre=journal&amp;req_dat=xri:pqil:pq_clntid=131239&amp;svc_dat=xri:pqil:context=title&amp;rft_dat=xri:pqd:PMID=34198</t>
  </si>
  <si>
    <t>International Journal of Qualitative Studies in Education : QSE</t>
  </si>
  <si>
    <t>0951-8398</t>
  </si>
  <si>
    <t>http://gateway.proquest.com/openurl?url_ver=Z39.88-2004&amp;res_dat=xri:pqm&amp;rft_val_fmt=info:ofi/fmt:kev:mtx:journal&amp;genre=journal&amp;req_dat=xri:pqil:pq_clntid=131239&amp;svc_dat=xri:pqil:context=title&amp;rft_dat=xri:pqd:PMID=53173</t>
  </si>
  <si>
    <t>Highland Park</t>
  </si>
  <si>
    <t>http://gateway.proquest.com/openurl?url_ver=Z39.88-2004&amp;res_dat=xri:pqm&amp;rft_val_fmt=info:ofi/fmt:kev:mtx:journal&amp;genre=journal&amp;req_dat=xri:pqil:pq_clntid=131239&amp;svc_dat=xri:pqil:context=title&amp;rft_dat=xri:pqd:PMID=28902</t>
  </si>
  <si>
    <t>http://gateway.proquest.com/openurl?url_ver=Z39.88-2004&amp;res_dat=xri:pqm&amp;rft_val_fmt=info:ofi/fmt:kev:mtx:journal&amp;genre=journal&amp;req_dat=xri:pqil:pq_clntid=131239&amp;svc_dat=xri:pqil:context=title&amp;rft_dat=xri:pqd:PMID=2047595</t>
  </si>
  <si>
    <t>http://gateway.proquest.com/openurl?url_ver=Z39.88-2004&amp;res_dat=xri:pqm&amp;rft_val_fmt=info:ofi/fmt:kev:mtx:journal&amp;genre=journal&amp;req_dat=xri:pqil:pq_clntid=131239&amp;svc_dat=xri:pqil:context=title&amp;rft_dat=xri:pqd:PMID=32843</t>
  </si>
  <si>
    <t>http://gateway.proquest.com/openurl?url_ver=Z39.88-2004&amp;res_dat=xri:pqm&amp;rft_val_fmt=info:ofi/fmt:kev:mtx:journal&amp;genre=journal&amp;req_dat=xri:pqil:pq_clntid=131239&amp;svc_dat=xri:pqil:context=title&amp;rft_dat=xri:pqd:PMID=31015</t>
  </si>
  <si>
    <t>Binghamton</t>
  </si>
  <si>
    <t>http://gateway.proquest.com/openurl?url_ver=Z39.88-2004&amp;res_dat=xri:pqm&amp;rft_val_fmt=info:ofi/fmt:kev:mtx:journal&amp;genre=journal&amp;req_dat=xri:pqil:pq_clntid=131239&amp;svc_dat=xri:pqil:context=title&amp;rft_dat=xri:pqd:PMID=38985</t>
  </si>
  <si>
    <t>Brookmans Park</t>
  </si>
  <si>
    <t>http://gateway.proquest.com/openurl?url_ver=Z39.88-2004&amp;res_dat=xri:pqm&amp;rft_val_fmt=info:ofi/fmt:kev:mtx:journal&amp;genre=journal&amp;req_dat=xri:pqil:pq_clntid=131239&amp;svc_dat=xri:pqil:context=title&amp;rft_dat=xri:pqd:PMID=31987</t>
  </si>
  <si>
    <t>http://gateway.proquest.com/openurl?url_ver=Z39.88-2004&amp;res_dat=xri:pqm&amp;rft_val_fmt=info:ofi/fmt:kev:mtx:journal&amp;genre=journal&amp;req_dat=xri:pqil:pq_clntid=131239&amp;svc_dat=xri:pqil:context=title&amp;rft_dat=xri:pqd:PMID=46663</t>
  </si>
  <si>
    <t>The International Journal of Social Work Values and Ethics</t>
  </si>
  <si>
    <t>International Federation of Social Workers</t>
  </si>
  <si>
    <t>Pembroke</t>
  </si>
  <si>
    <t>2790-6345</t>
  </si>
  <si>
    <t>http://gateway.proquest.com/openurl?url_ver=Z39.88-2004&amp;res_dat=xri:pqm&amp;rft_val_fmt=info:ofi/fmt:kev:mtx:journal&amp;genre=journal&amp;req_dat=xri:pqil:pq_clntid=131239&amp;svc_dat=xri:pqil:context=title&amp;rft_dat=xri:pqd:PMID=6485326</t>
  </si>
  <si>
    <t>http://gateway.proquest.com/openurl?url_ver=Z39.88-2004&amp;res_dat=xri:pqm&amp;rft_val_fmt=info:ofi/fmt:kev:mtx:journal&amp;genre=journal&amp;req_dat=xri:pqil:pq_clntid=131239&amp;svc_dat=xri:pqil:context=title&amp;rft_dat=xri:pqd:PMID=43187</t>
  </si>
  <si>
    <t>Rome</t>
  </si>
  <si>
    <t>http://gateway.proquest.com/openurl?url_ver=Z39.88-2004&amp;res_dat=xri:pqm&amp;rft_val_fmt=info:ofi/fmt:kev:mtx:journal&amp;genre=journal&amp;req_dat=xri:pqil:pq_clntid=131239&amp;svc_dat=xri:pqil:context=title&amp;rft_dat=xri:pqd:PMID=2047895</t>
  </si>
  <si>
    <t>Morgantown</t>
  </si>
  <si>
    <t>http://gateway.proquest.com/openurl?url_ver=Z39.88-2004&amp;res_dat=xri:pqm&amp;rft_val_fmt=info:ofi/fmt:kev:mtx:journal&amp;genre=journal&amp;req_dat=xri:pqil:pq_clntid=131239&amp;svc_dat=xri:pqil:context=title&amp;rft_dat=xri:pqd:PMID=28645</t>
  </si>
  <si>
    <t>http://gateway.proquest.com/openurl?url_ver=Z39.88-2004&amp;res_dat=xri:pqm&amp;rft_val_fmt=info:ofi/fmt:kev:mtx:journal&amp;genre=journal&amp;req_dat=xri:pqil:pq_clntid=131239&amp;svc_dat=xri:pqil:context=title&amp;rft_dat=xri:pqd:PMID=25335</t>
  </si>
  <si>
    <t>http://gateway.proquest.com/openurl?url_ver=Z39.88-2004&amp;res_dat=xri:pqm&amp;rft_val_fmt=info:ofi/fmt:kev:mtx:journal&amp;genre=journal&amp;req_dat=xri:pqil:pq_clntid=131239&amp;svc_dat=xri:pqil:context=title&amp;rft_dat=xri:pqd:PMID=34135</t>
  </si>
  <si>
    <t>http://gateway.proquest.com/openurl?url_ver=Z39.88-2004&amp;res_dat=xri:pqm&amp;rft_val_fmt=info:ofi/fmt:kev:mtx:journal&amp;genre=journal&amp;req_dat=xri:pqil:pq_clntid=131239&amp;svc_dat=xri:pqil:context=title&amp;rft_dat=xri:pqd:PMID=186238</t>
  </si>
  <si>
    <t>01-Jan-1997--31-Dec-2000</t>
  </si>
  <si>
    <t>http://gateway.proquest.com/openurl?url_ver=Z39.88-2004&amp;res_dat=xri:pqm&amp;rft_val_fmt=info:ofi/fmt:kev:mtx:journal&amp;genre=journal&amp;req_dat=xri:pqil:pq_clntid=131239&amp;svc_dat=xri:pqil:context=title&amp;rft_dat=xri:pqd:PMID=36649</t>
  </si>
  <si>
    <t>http://gateway.proquest.com/openurl?url_ver=Z39.88-2004&amp;res_dat=xri:pqm&amp;rft_val_fmt=info:ofi/fmt:kev:mtx:journal&amp;genre=journal&amp;req_dat=xri:pqil:pq_clntid=131239&amp;svc_dat=xri:pqil:context=title&amp;rft_dat=xri:pqd:PMID=31252</t>
  </si>
  <si>
    <t>http://gateway.proquest.com/openurl?url_ver=Z39.88-2004&amp;res_dat=xri:pqm&amp;rft_val_fmt=info:ofi/fmt:kev:mtx:journal&amp;genre=journal&amp;req_dat=xri:pqil:pq_clntid=131239&amp;svc_dat=xri:pqil:context=title&amp;rft_dat=xri:pqd:PMID=33503</t>
  </si>
  <si>
    <t>http://gateway.proquest.com/openurl?url_ver=Z39.88-2004&amp;res_dat=xri:pqm&amp;rft_val_fmt=info:ofi/fmt:kev:mtx:journal&amp;genre=journal&amp;req_dat=xri:pqil:pq_clntid=131239&amp;svc_dat=xri:pqil:context=title&amp;rft_dat=xri:pqd:PMID=186289</t>
  </si>
  <si>
    <t>http://gateway.proquest.com/openurl?url_ver=Z39.88-2004&amp;res_dat=xri:pqm&amp;rft_val_fmt=info:ofi/fmt:kev:mtx:journal&amp;genre=journal&amp;req_dat=xri:pqil:pq_clntid=131239&amp;svc_dat=xri:pqil:context=title&amp;rft_dat=xri:pqd:PMID=5799</t>
  </si>
  <si>
    <t>http://gateway.proquest.com/openurl?url_ver=Z39.88-2004&amp;res_dat=xri:pqm&amp;rft_val_fmt=info:ofi/fmt:kev:mtx:journal&amp;genre=journal&amp;req_dat=xri:pqil:pq_clntid=131239&amp;svc_dat=xri:pqil:context=title&amp;rft_dat=xri:pqd:PMID=2039986</t>
  </si>
  <si>
    <t>Vitoria</t>
  </si>
  <si>
    <t>http://gateway.proquest.com/openurl?url_ver=Z39.88-2004&amp;res_dat=xri:pqm&amp;rft_val_fmt=info:ofi/fmt:kev:mtx:journal&amp;genre=journal&amp;req_dat=xri:pqil:pq_clntid=131239&amp;svc_dat=xri:pqil:context=title&amp;rft_dat=xri:pqd:PMID=2032290</t>
  </si>
  <si>
    <t>Brooklyn</t>
  </si>
  <si>
    <t>http://gateway.proquest.com/openurl?url_ver=Z39.88-2004&amp;res_dat=xri:pqm&amp;rft_val_fmt=info:ofi/fmt:kev:mtx:journal&amp;genre=journal&amp;req_dat=xri:pqil:pq_clntid=131239&amp;svc_dat=xri:pqil:context=title&amp;rft_dat=xri:pqd:PMID=6362735</t>
  </si>
  <si>
    <t>http://gateway.proquest.com/openurl?url_ver=Z39.88-2004&amp;res_dat=xri:pqm&amp;rft_val_fmt=info:ofi/fmt:kev:mtx:journal&amp;genre=journal&amp;req_dat=xri:pqil:pq_clntid=131239&amp;svc_dat=xri:pqil:context=title&amp;rft_dat=xri:pqd:PMID=6275760</t>
  </si>
  <si>
    <t>http://gateway.proquest.com/openurl?url_ver=Z39.88-2004&amp;res_dat=xri:pqm&amp;rft_val_fmt=info:ofi/fmt:kev:mtx:journal&amp;genre=journal&amp;req_dat=xri:pqil:pq_clntid=131239&amp;svc_dat=xri:pqil:context=title&amp;rft_dat=xri:pqd:PMID=5256669</t>
  </si>
  <si>
    <t>http://gateway.proquest.com/openurl?url_ver=Z39.88-2004&amp;res_dat=xri:pqm&amp;rft_val_fmt=info:ofi/fmt:kev:mtx:journal&amp;genre=journal&amp;req_dat=xri:pqil:pq_clntid=131239&amp;svc_dat=xri:pqil:context=title&amp;rft_dat=xri:pqd:PMID=5483570</t>
  </si>
  <si>
    <t>http://gateway.proquest.com/openurl?url_ver=Z39.88-2004&amp;res_dat=xri:pqm&amp;rft_val_fmt=info:ofi/fmt:kev:mtx:journal&amp;genre=journal&amp;req_dat=xri:pqil:pq_clntid=131239&amp;svc_dat=xri:pqil:context=title&amp;rft_dat=xri:pqd:PMID=4852148</t>
  </si>
  <si>
    <t>http://gateway.proquest.com/openurl?url_ver=Z39.88-2004&amp;res_dat=xri:pqm&amp;rft_val_fmt=info:ofi/fmt:kev:mtx:journal&amp;genre=journal&amp;req_dat=xri:pqil:pq_clntid=131239&amp;svc_dat=xri:pqil:context=title&amp;rft_dat=xri:pqd:PMID=4170343</t>
  </si>
  <si>
    <t>http://gateway.proquest.com/openurl?url_ver=Z39.88-2004&amp;res_dat=xri:pqm&amp;rft_val_fmt=info:ofi/fmt:kev:mtx:journal&amp;genre=journal&amp;req_dat=xri:pqil:pq_clntid=131239&amp;svc_dat=xri:pqil:context=title&amp;rft_dat=xri:pqd:PMID=34569</t>
  </si>
  <si>
    <t>http://gateway.proquest.com/openurl?url_ver=Z39.88-2004&amp;res_dat=xri:pqm&amp;rft_val_fmt=info:ofi/fmt:kev:mtx:journal&amp;genre=journal&amp;req_dat=xri:pqil:pq_clntid=131239&amp;svc_dat=xri:pqil:context=title&amp;rft_dat=xri:pqd:PMID=5483622</t>
  </si>
  <si>
    <t>http://gateway.proquest.com/openurl?url_ver=Z39.88-2004&amp;res_dat=xri:pqm&amp;rft_val_fmt=info:ofi/fmt:kev:mtx:journal&amp;genre=journal&amp;req_dat=xri:pqil:pq_clntid=131239&amp;svc_dat=xri:pqil:context=title&amp;rft_dat=xri:pqd:PMID=5262102</t>
  </si>
  <si>
    <t>http://gateway.proquest.com/openurl?url_ver=Z39.88-2004&amp;res_dat=xri:pqm&amp;rft_val_fmt=info:ofi/fmt:kev:mtx:journal&amp;genre=journal&amp;req_dat=xri:pqil:pq_clntid=131239&amp;svc_dat=xri:pqil:context=title&amp;rft_dat=xri:pqd:PMID=6362734</t>
  </si>
  <si>
    <t>http://gateway.proquest.com/openurl?url_ver=Z39.88-2004&amp;res_dat=xri:pqm&amp;rft_val_fmt=info:ofi/fmt:kev:mtx:journal&amp;genre=journal&amp;req_dat=xri:pqil:pq_clntid=131239&amp;svc_dat=xri:pqil:context=title&amp;rft_dat=xri:pqd:PMID=5483621</t>
  </si>
  <si>
    <t>http://gateway.proquest.com/openurl?url_ver=Z39.88-2004&amp;res_dat=xri:pqm&amp;rft_val_fmt=info:ofi/fmt:kev:mtx:journal&amp;genre=journal&amp;req_dat=xri:pqil:pq_clntid=131239&amp;svc_dat=xri:pqil:context=title&amp;rft_dat=xri:pqd:PMID=3962596</t>
  </si>
  <si>
    <t>http://gateway.proquest.com/openurl?url_ver=Z39.88-2004&amp;res_dat=xri:pqm&amp;rft_val_fmt=info:ofi/fmt:kev:mtx:journal&amp;genre=journal&amp;req_dat=xri:pqil:pq_clntid=131239&amp;svc_dat=xri:pqil:context=title&amp;rft_dat=xri:pqd:PMID=5483550</t>
  </si>
  <si>
    <t>Tehran</t>
  </si>
  <si>
    <t>http://gateway.proquest.com/openurl?url_ver=Z39.88-2004&amp;res_dat=xri:pqm&amp;rft_val_fmt=info:ofi/fmt:kev:mtx:journal&amp;genre=journal&amp;req_dat=xri:pqil:pq_clntid=131239&amp;svc_dat=xri:pqil:context=title&amp;rft_dat=xri:pqd:PMID=105762</t>
  </si>
  <si>
    <t>http://gateway.proquest.com/openurl?url_ver=Z39.88-2004&amp;res_dat=xri:pqm&amp;rft_val_fmt=info:ofi/fmt:kev:mtx:journal&amp;genre=journal&amp;req_dat=xri:pqil:pq_clntid=131239&amp;svc_dat=xri:pqil:context=title&amp;rft_dat=xri:pqd:PMID=5516383</t>
  </si>
  <si>
    <t>Dublin</t>
  </si>
  <si>
    <t>http://gateway.proquest.com/openurl?url_ver=Z39.88-2004&amp;res_dat=xri:pqm&amp;rft_val_fmt=info:ofi/fmt:kev:mtx:journal&amp;genre=journal&amp;req_dat=xri:pqil:pq_clntid=131239&amp;svc_dat=xri:pqil:context=title&amp;rft_dat=xri:pqd:PMID=32818</t>
  </si>
  <si>
    <t>Irrational Procrastination Scale (IPS)</t>
  </si>
  <si>
    <t>Piers Steel</t>
  </si>
  <si>
    <t>http://gateway.proquest.com/openurl?url_ver=Z39.88-2004&amp;res_dat=xri:pqm&amp;rft_val_fmt=info:ofi/fmt:kev:mtx:journal&amp;genre=journal&amp;req_dat=xri:pqil:pq_clntid=131239&amp;svc_dat=xri:pqil:context=title&amp;rft_dat=xri:pqd:PMID=6508386</t>
  </si>
  <si>
    <t>http://gateway.proquest.com/openurl?url_ver=Z39.88-2004&amp;res_dat=xri:pqm&amp;rft_val_fmt=info:ofi/fmt:kev:mtx:journal&amp;genre=journal&amp;req_dat=xri:pqil:pq_clntid=131239&amp;svc_dat=xri:pqil:context=title&amp;rft_dat=xri:pqd:PMID=5262117</t>
  </si>
  <si>
    <t>Jerusalem</t>
  </si>
  <si>
    <t>01-Oct-2013--31-Mar-2016</t>
  </si>
  <si>
    <t>http://gateway.proquest.com/openurl?url_ver=Z39.88-2004&amp;res_dat=xri:pqm&amp;rft_val_fmt=info:ofi/fmt:kev:mtx:journal&amp;genre=journal&amp;req_dat=xri:pqil:pq_clntid=131239&amp;svc_dat=xri:pqil:context=title&amp;rft_dat=xri:pqd:PMID=47717</t>
  </si>
  <si>
    <t>Northfield</t>
  </si>
  <si>
    <t>http://gateway.proquest.com/openurl?url_ver=Z39.88-2004&amp;res_dat=xri:pqm&amp;rft_val_fmt=info:ofi/fmt:kev:mtx:journal&amp;genre=journal&amp;req_dat=xri:pqil:pq_clntid=131239&amp;svc_dat=xri:pqil:context=title&amp;rft_dat=xri:pqd:PMID=105645</t>
  </si>
  <si>
    <t>http://gateway.proquest.com/openurl?url_ver=Z39.88-2004&amp;res_dat=xri:pqm&amp;rft_val_fmt=info:ofi/fmt:kev:mtx:journal&amp;genre=journal&amp;req_dat=xri:pqil:pq_clntid=131239&amp;svc_dat=xri:pqil:context=title&amp;rft_dat=xri:pqd:PMID=2033202</t>
  </si>
  <si>
    <t>http://gateway.proquest.com/openurl?url_ver=Z39.88-2004&amp;res_dat=xri:pqm&amp;rft_val_fmt=info:ofi/fmt:kev:mtx:journal&amp;genre=journal&amp;req_dat=xri:pqil:pq_clntid=131239&amp;svc_dat=xri:pqil:context=title&amp;rft_dat=xri:pqd:PMID=2033201</t>
  </si>
  <si>
    <t>http://gateway.proquest.com/openurl?url_ver=Z39.88-2004&amp;res_dat=xri:pqm&amp;rft_val_fmt=info:ofi/fmt:kev:mtx:journal&amp;genre=journal&amp;req_dat=xri:pqil:pq_clntid=131239&amp;svc_dat=xri:pqil:context=title&amp;rft_dat=xri:pqd:PMID=5483553</t>
  </si>
  <si>
    <t>http://gateway.proquest.com/openurl?url_ver=Z39.88-2004&amp;res_dat=xri:pqm&amp;rft_val_fmt=info:ofi/fmt:kev:mtx:journal&amp;genre=journal&amp;req_dat=xri:pqil:pq_clntid=131239&amp;svc_dat=xri:pqil:context=title&amp;rft_dat=xri:pqd:PMID=42339</t>
  </si>
  <si>
    <t>http://gateway.proquest.com/openurl?url_ver=Z39.88-2004&amp;res_dat=xri:pqm&amp;rft_val_fmt=info:ofi/fmt:kev:mtx:journal&amp;genre=journal&amp;req_dat=xri:pqil:pq_clntid=131239&amp;svc_dat=xri:pqil:context=title&amp;rft_dat=xri:pqd:PMID=42446</t>
  </si>
  <si>
    <t>http://gateway.proquest.com/openurl?url_ver=Z39.88-2004&amp;res_dat=xri:pqm&amp;rft_val_fmt=info:ofi/fmt:kev:mtx:journal&amp;genre=journal&amp;req_dat=xri:pqil:pq_clntid=131239&amp;svc_dat=xri:pqil:context=title&amp;rft_dat=xri:pqd:PMID=1114</t>
  </si>
  <si>
    <t>http://gateway.proquest.com/openurl?url_ver=Z39.88-2004&amp;res_dat=xri:pqm&amp;rft_val_fmt=info:ofi/fmt:kev:mtx:journal&amp;genre=journal&amp;req_dat=xri:pqil:pq_clntid=131239&amp;svc_dat=xri:pqil:context=title&amp;rft_dat=xri:pqd:PMID=49010</t>
  </si>
  <si>
    <t>http://gateway.proquest.com/openurl?url_ver=Z39.88-2004&amp;res_dat=xri:pqm&amp;rft_val_fmt=info:ofi/fmt:kev:mtx:journal&amp;genre=journal&amp;req_dat=xri:pqil:pq_clntid=131239&amp;svc_dat=xri:pqil:context=title&amp;rft_dat=xri:pqd:PMID=4997115</t>
  </si>
  <si>
    <t>http://gateway.proquest.com/openurl?url_ver=Z39.88-2004&amp;res_dat=xri:pqm&amp;rft_val_fmt=info:ofi/fmt:kev:mtx:journal&amp;genre=journal&amp;req_dat=xri:pqil:pq_clntid=131239&amp;svc_dat=xri:pqil:context=title&amp;rft_dat=xri:pqd:PMID=4997118</t>
  </si>
  <si>
    <t>http://gateway.proquest.com/openurl?url_ver=Z39.88-2004&amp;res_dat=xri:pqm&amp;rft_val_fmt=info:ofi/fmt:kev:mtx:journal&amp;genre=journal&amp;req_dat=xri:pqil:pq_clntid=131239&amp;svc_dat=xri:pqil:context=title&amp;rft_dat=xri:pqd:PMID=40686</t>
  </si>
  <si>
    <t>http://gateway.proquest.com/openurl?url_ver=Z39.88-2004&amp;res_dat=xri:pqm&amp;rft_val_fmt=info:ofi/fmt:kev:mtx:journal&amp;genre=journal&amp;req_dat=xri:pqil:pq_clntid=131239&amp;svc_dat=xri:pqil:context=title&amp;rft_dat=xri:pqd:PMID=40685</t>
  </si>
  <si>
    <t>Jakob's Ladder : A Middle-Aged Mother With Mild Depression Has Begun Dating a Man From Church Following the Departure of Her Alcoholic Husband. She Fears Her Children Growing Up and Becoming Independent, and Has a Complicated Past With Her Own Parents</t>
  </si>
  <si>
    <t>http://gateway.proquest.com/openurl?url_ver=Z39.88-2004&amp;res_dat=xri:pqm&amp;rft_val_fmt=info:ofi/fmt:kev:mtx:journal&amp;genre=journal&amp;req_dat=xri:pqil:pq_clntid=131239&amp;svc_dat=xri:pqil:context=title&amp;rft_dat=xri:pqd:PMID=6059483</t>
  </si>
  <si>
    <t>January 2010 : The Client, a Family Man With a History of Depression, Has Just Relocated for Graduate School and Now Deals With Cultural Differences in the New City as Well as His Changing Family Relationships. He Worries About His Depression Affecting His New Life</t>
  </si>
  <si>
    <t>http://gateway.proquest.com/openurl?url_ver=Z39.88-2004&amp;res_dat=xri:pqm&amp;rft_val_fmt=info:ofi/fmt:kev:mtx:journal&amp;genre=journal&amp;req_dat=xri:pqil:pq_clntid=131239&amp;svc_dat=xri:pqil:context=title&amp;rft_dat=xri:pqd:PMID=6059482</t>
  </si>
  <si>
    <t>http://gateway.proquest.com/openurl?url_ver=Z39.88-2004&amp;res_dat=xri:pqm&amp;rft_val_fmt=info:ofi/fmt:kev:mtx:journal&amp;genre=journal&amp;req_dat=xri:pqil:pq_clntid=131239&amp;svc_dat=xri:pqil:context=title&amp;rft_dat=xri:pqd:PMID=6362731</t>
  </si>
  <si>
    <t>http://gateway.proquest.com/openurl?url_ver=Z39.88-2004&amp;res_dat=xri:pqm&amp;rft_val_fmt=info:ofi/fmt:kev:mtx:journal&amp;genre=journal&amp;req_dat=xri:pqil:pq_clntid=131239&amp;svc_dat=xri:pqil:context=title&amp;rft_dat=xri:pqd:PMID=5263187</t>
  </si>
  <si>
    <t>Triangle Press</t>
  </si>
  <si>
    <t>http://gateway.proquest.com/openurl?url_ver=Z39.88-2004&amp;res_dat=xri:pqm&amp;rft_val_fmt=info:ofi/fmt:kev:mtx:journal&amp;genre=journal&amp;req_dat=xri:pqil:pq_clntid=131239&amp;svc_dat=xri:pqil:context=title&amp;rft_dat=xri:pqd:PMID=6362730</t>
  </si>
  <si>
    <t>http://gateway.proquest.com/openurl?url_ver=Z39.88-2004&amp;res_dat=xri:pqm&amp;rft_val_fmt=info:ofi/fmt:kev:mtx:journal&amp;genre=journal&amp;req_dat=xri:pqil:pq_clntid=131239&amp;svc_dat=xri:pqil:context=title&amp;rft_dat=xri:pqd:PMID=5263205</t>
  </si>
  <si>
    <t>La Jolla</t>
  </si>
  <si>
    <t>http://gateway.proquest.com/openurl?url_ver=Z39.88-2004&amp;res_dat=xri:pqm&amp;rft_val_fmt=info:ofi/fmt:kev:mtx:journal&amp;genre=journal&amp;req_dat=xri:pqil:pq_clntid=131239&amp;svc_dat=xri:pqil:context=title&amp;rft_dat=xri:pqd:PMID=6362729</t>
  </si>
  <si>
    <t>http://gateway.proquest.com/openurl?url_ver=Z39.88-2004&amp;res_dat=xri:pqm&amp;rft_val_fmt=info:ofi/fmt:kev:mtx:journal&amp;genre=journal&amp;req_dat=xri:pqil:pq_clntid=131239&amp;svc_dat=xri:pqil:context=title&amp;rft_dat=xri:pqd:PMID=6059481</t>
  </si>
  <si>
    <t>Pass Christian</t>
  </si>
  <si>
    <t>http://gateway.proquest.com/openurl?url_ver=Z39.88-2004&amp;res_dat=xri:pqm&amp;rft_val_fmt=info:ofi/fmt:kev:mtx:journal&amp;genre=journal&amp;req_dat=xri:pqil:pq_clntid=131239&amp;svc_dat=xri:pqil:context=title&amp;rft_dat=xri:pqd:PMID=6364589</t>
  </si>
  <si>
    <t>http://gateway.proquest.com/openurl?url_ver=Z39.88-2004&amp;res_dat=xri:pqm&amp;rft_val_fmt=info:ofi/fmt:kev:mtx:journal&amp;genre=journal&amp;req_dat=xri:pqil:pq_clntid=131239&amp;svc_dat=xri:pqil:context=title&amp;rft_dat=xri:pqd:PMID=44335</t>
  </si>
  <si>
    <t>http://gateway.proquest.com/openurl?url_ver=Z39.88-2004&amp;res_dat=xri:pqm&amp;rft_val_fmt=info:ofi/fmt:kev:mtx:journal&amp;genre=journal&amp;req_dat=xri:pqil:pq_clntid=131239&amp;svc_dat=xri:pqil:context=title&amp;rft_dat=xri:pqd:PMID=21451</t>
  </si>
  <si>
    <t>Muncie</t>
  </si>
  <si>
    <t>http://gateway.proquest.com/openurl?url_ver=Z39.88-2004&amp;res_dat=xri:pqm&amp;rft_val_fmt=info:ofi/fmt:kev:mtx:journal&amp;genre=journal&amp;req_dat=xri:pqil:pq_clntid=131239&amp;svc_dat=xri:pqil:context=title&amp;rft_dat=xri:pqd:PMID=4380456</t>
  </si>
  <si>
    <t>http://gateway.proquest.com/openurl?url_ver=Z39.88-2004&amp;res_dat=xri:pqm&amp;rft_val_fmt=info:ofi/fmt:kev:mtx:journal&amp;genre=journal&amp;req_dat=xri:pqil:pq_clntid=131239&amp;svc_dat=xri:pqil:context=title&amp;rft_dat=xri:pqd:PMID=47472</t>
  </si>
  <si>
    <t>http://gateway.proquest.com/openurl?url_ver=Z39.88-2004&amp;res_dat=xri:pqm&amp;rft_val_fmt=info:ofi/fmt:kev:mtx:journal&amp;genre=journal&amp;req_dat=xri:pqil:pq_clntid=131239&amp;svc_dat=xri:pqil:context=title&amp;rft_dat=xri:pqd:PMID=25318</t>
  </si>
  <si>
    <t>http://gateway.proquest.com/openurl?url_ver=Z39.88-2004&amp;res_dat=xri:pqm&amp;rft_val_fmt=info:ofi/fmt:kev:mtx:journal&amp;genre=journal&amp;req_dat=xri:pqil:pq_clntid=131239&amp;svc_dat=xri:pqil:context=title&amp;rft_dat=xri:pqd:PMID=2031243</t>
  </si>
  <si>
    <t>http://gateway.proquest.com/openurl?url_ver=Z39.88-2004&amp;res_dat=xri:pqm&amp;rft_val_fmt=info:ofi/fmt:kev:mtx:journal&amp;genre=journal&amp;req_dat=xri:pqil:pq_clntid=131239&amp;svc_dat=xri:pqil:context=title&amp;rft_dat=xri:pqd:PMID=36680</t>
  </si>
  <si>
    <t>http://gateway.proquest.com/openurl?url_ver=Z39.88-2004&amp;res_dat=xri:pqm&amp;rft_val_fmt=info:ofi/fmt:kev:mtx:journal&amp;genre=journal&amp;req_dat=xri:pqil:pq_clntid=131239&amp;svc_dat=xri:pqil:context=title&amp;rft_dat=xri:pqd:PMID=41601</t>
  </si>
  <si>
    <t>Cluj</t>
  </si>
  <si>
    <t>http://gateway.proquest.com/openurl?url_ver=Z39.88-2004&amp;res_dat=xri:pqm&amp;rft_val_fmt=info:ofi/fmt:kev:mtx:journal&amp;genre=journal&amp;req_dat=xri:pqil:pq_clntid=131239&amp;svc_dat=xri:pqil:context=title&amp;rft_dat=xri:pqd:PMID=38343</t>
  </si>
  <si>
    <t>http://gateway.proquest.com/openurl?url_ver=Z39.88-2004&amp;res_dat=xri:pqm&amp;rft_val_fmt=info:ofi/fmt:kev:mtx:journal&amp;genre=journal&amp;req_dat=xri:pqil:pq_clntid=131239&amp;svc_dat=xri:pqil:context=title&amp;rft_dat=xri:pqd:PMID=2039027</t>
  </si>
  <si>
    <t>http://gateway.proquest.com/openurl?url_ver=Z39.88-2004&amp;res_dat=xri:pqm&amp;rft_val_fmt=info:ofi/fmt:kev:mtx:journal&amp;genre=journal&amp;req_dat=xri:pqil:pq_clntid=131239&amp;svc_dat=xri:pqil:context=title&amp;rft_dat=xri:pqd:PMID=48229</t>
  </si>
  <si>
    <t>http://gateway.proquest.com/openurl?url_ver=Z39.88-2004&amp;res_dat=xri:pqm&amp;rft_val_fmt=info:ofi/fmt:kev:mtx:journal&amp;genre=journal&amp;req_dat=xri:pqil:pq_clntid=131239&amp;svc_dat=xri:pqil:context=title&amp;rft_dat=xri:pqd:PMID=45691</t>
  </si>
  <si>
    <t>http://gateway.proquest.com/openurl?url_ver=Z39.88-2004&amp;res_dat=xri:pqm&amp;rft_val_fmt=info:ofi/fmt:kev:mtx:journal&amp;genre=journal&amp;req_dat=xri:pqil:pq_clntid=131239&amp;svc_dat=xri:pqil:context=title&amp;rft_dat=xri:pqd:PMID=30117</t>
  </si>
  <si>
    <t>http://gateway.proquest.com/openurl?url_ver=Z39.88-2004&amp;res_dat=xri:pqm&amp;rft_val_fmt=info:ofi/fmt:kev:mtx:journal&amp;genre=journal&amp;req_dat=xri:pqil:pq_clntid=131239&amp;svc_dat=xri:pqil:context=title&amp;rft_dat=xri:pqd:PMID=36441</t>
  </si>
  <si>
    <t>Chattanooga</t>
  </si>
  <si>
    <t>http://gateway.proquest.com/openurl?url_ver=Z39.88-2004&amp;res_dat=xri:pqm&amp;rft_val_fmt=info:ofi/fmt:kev:mtx:journal&amp;genre=journal&amp;req_dat=xri:pqil:pq_clntid=131239&amp;svc_dat=xri:pqil:context=title&amp;rft_dat=xri:pqd:PMID=28641</t>
  </si>
  <si>
    <t>http://gateway.proquest.com/openurl?url_ver=Z39.88-2004&amp;res_dat=xri:pqm&amp;rft_val_fmt=info:ofi/fmt:kev:mtx:journal&amp;genre=journal&amp;req_dat=xri:pqil:pq_clntid=131239&amp;svc_dat=xri:pqil:context=title&amp;rft_dat=xri:pqd:PMID=4408555</t>
  </si>
  <si>
    <t>http://gateway.proquest.com/openurl?url_ver=Z39.88-2004&amp;res_dat=xri:pqm&amp;rft_val_fmt=info:ofi/fmt:kev:mtx:journal&amp;genre=journal&amp;req_dat=xri:pqil:pq_clntid=131239&amp;svc_dat=xri:pqil:context=title&amp;rft_dat=xri:pqd:PMID=35930</t>
  </si>
  <si>
    <t>Provo</t>
  </si>
  <si>
    <t>http://gateway.proquest.com/openurl?url_ver=Z39.88-2004&amp;res_dat=xri:pqm&amp;rft_val_fmt=info:ofi/fmt:kev:mtx:journal&amp;genre=journal&amp;req_dat=xri:pqil:pq_clntid=131239&amp;svc_dat=xri:pqil:context=title&amp;rft_dat=xri:pqd:PMID=35929</t>
  </si>
  <si>
    <t>http://gateway.proquest.com/openurl?url_ver=Z39.88-2004&amp;res_dat=xri:pqm&amp;rft_val_fmt=info:ofi/fmt:kev:mtx:journal&amp;genre=journal&amp;req_dat=xri:pqil:pq_clntid=131239&amp;svc_dat=xri:pqil:context=title&amp;rft_dat=xri:pqd:PMID=41329</t>
  </si>
  <si>
    <t>http://gateway.proquest.com/openurl?url_ver=Z39.88-2004&amp;res_dat=xri:pqm&amp;rft_val_fmt=info:ofi/fmt:kev:mtx:journal&amp;genre=journal&amp;req_dat=xri:pqil:pq_clntid=131239&amp;svc_dat=xri:pqil:context=title&amp;rft_dat=xri:pqd:PMID=196254</t>
  </si>
  <si>
    <t>http://gateway.proquest.com/openurl?url_ver=Z39.88-2004&amp;res_dat=xri:pqm&amp;rft_val_fmt=info:ofi/fmt:kev:mtx:journal&amp;genre=journal&amp;req_dat=xri:pqil:pq_clntid=131239&amp;svc_dat=xri:pqil:context=title&amp;rft_dat=xri:pqd:PMID=53128</t>
  </si>
  <si>
    <t>http://gateway.proquest.com/openurl?url_ver=Z39.88-2004&amp;res_dat=xri:pqm&amp;rft_val_fmt=info:ofi/fmt:kev:mtx:journal&amp;genre=journal&amp;req_dat=xri:pqil:pq_clntid=131239&amp;svc_dat=xri:pqil:context=title&amp;rft_dat=xri:pqd:PMID=29875</t>
  </si>
  <si>
    <t>Linköping</t>
  </si>
  <si>
    <t>01-Jan-2018--31-Dec-2022</t>
  </si>
  <si>
    <t>http://gateway.proquest.com/openurl?url_ver=Z39.88-2004&amp;res_dat=xri:pqm&amp;rft_val_fmt=info:ofi/fmt:kev:mtx:journal&amp;genre=journal&amp;req_dat=xri:pqil:pq_clntid=131239&amp;svc_dat=xri:pqil:context=title&amp;rft_dat=xri:pqd:PMID=5531552</t>
  </si>
  <si>
    <t>Lansing</t>
  </si>
  <si>
    <t>http://gateway.proquest.com/openurl?url_ver=Z39.88-2004&amp;res_dat=xri:pqm&amp;rft_val_fmt=info:ofi/fmt:kev:mtx:journal&amp;genre=journal&amp;req_dat=xri:pqil:pq_clntid=131239&amp;svc_dat=xri:pqil:context=title&amp;rft_dat=xri:pqd:PMID=48458</t>
  </si>
  <si>
    <t>http://gateway.proquest.com/openurl?url_ver=Z39.88-2004&amp;res_dat=xri:pqm&amp;rft_val_fmt=info:ofi/fmt:kev:mtx:journal&amp;genre=journal&amp;req_dat=xri:pqil:pq_clntid=131239&amp;svc_dat=xri:pqil:context=title&amp;rft_dat=xri:pqd:PMID=860</t>
  </si>
  <si>
    <t>http://gateway.proquest.com/openurl?url_ver=Z39.88-2004&amp;res_dat=xri:pqm&amp;rft_val_fmt=info:ofi/fmt:kev:mtx:journal&amp;genre=journal&amp;req_dat=xri:pqil:pq_clntid=131239&amp;svc_dat=xri:pqil:context=title&amp;rft_dat=xri:pqd:PMID=1096408</t>
  </si>
  <si>
    <t>http://gateway.proquest.com/openurl?url_ver=Z39.88-2004&amp;res_dat=xri:pqm&amp;rft_val_fmt=info:ofi/fmt:kev:mtx:journal&amp;genre=journal&amp;req_dat=xri:pqil:pq_clntid=131239&amp;svc_dat=xri:pqil:context=title&amp;rft_dat=xri:pqd:PMID=216141</t>
  </si>
  <si>
    <t>http://gateway.proquest.com/openurl?url_ver=Z39.88-2004&amp;res_dat=xri:pqm&amp;rft_val_fmt=info:ofi/fmt:kev:mtx:journal&amp;genre=journal&amp;req_dat=xri:pqil:pq_clntid=131239&amp;svc_dat=xri:pqil:context=title&amp;rft_dat=xri:pqd:PMID=36654</t>
  </si>
  <si>
    <t>http://gateway.proquest.com/openurl?url_ver=Z39.88-2004&amp;res_dat=xri:pqm&amp;rft_val_fmt=info:ofi/fmt:kev:mtx:journal&amp;genre=journal&amp;req_dat=xri:pqil:pq_clntid=131239&amp;svc_dat=xri:pqil:context=title&amp;rft_dat=xri:pqd:PMID=24478</t>
  </si>
  <si>
    <t>Columbia</t>
  </si>
  <si>
    <t>http://gateway.proquest.com/openurl?url_ver=Z39.88-2004&amp;res_dat=xri:pqm&amp;rft_val_fmt=info:ofi/fmt:kev:mtx:journal&amp;genre=journal&amp;req_dat=xri:pqil:pq_clntid=131239&amp;svc_dat=xri:pqil:context=title&amp;rft_dat=xri:pqd:PMID=1006380</t>
  </si>
  <si>
    <t>Annandale</t>
  </si>
  <si>
    <t>http://gateway.proquest.com/openurl?url_ver=Z39.88-2004&amp;res_dat=xri:pqm&amp;rft_val_fmt=info:ofi/fmt:kev:mtx:journal&amp;genre=journal&amp;req_dat=xri:pqil:pq_clntid=131239&amp;svc_dat=xri:pqil:context=title&amp;rft_dat=xri:pqd:PMID=47871</t>
  </si>
  <si>
    <t>http://gateway.proquest.com/openurl?url_ver=Z39.88-2004&amp;res_dat=xri:pqm&amp;rft_val_fmt=info:ofi/fmt:kev:mtx:journal&amp;genre=journal&amp;req_dat=xri:pqil:pq_clntid=131239&amp;svc_dat=xri:pqil:context=title&amp;rft_dat=xri:pqd:PMID=2033191</t>
  </si>
  <si>
    <t>http://gateway.proquest.com/openurl?url_ver=Z39.88-2004&amp;res_dat=xri:pqm&amp;rft_val_fmt=info:ofi/fmt:kev:mtx:journal&amp;genre=journal&amp;req_dat=xri:pqil:pq_clntid=131239&amp;svc_dat=xri:pqil:context=title&amp;rft_dat=xri:pqd:PMID=30007</t>
  </si>
  <si>
    <t>http://gateway.proquest.com/openurl?url_ver=Z39.88-2004&amp;res_dat=xri:pqm&amp;rft_val_fmt=info:ofi/fmt:kev:mtx:journal&amp;genre=journal&amp;req_dat=xri:pqil:pq_clntid=131239&amp;svc_dat=xri:pqil:context=title&amp;rft_dat=xri:pqd:PMID=41284</t>
  </si>
  <si>
    <t>Manassas</t>
  </si>
  <si>
    <t>http://gateway.proquest.com/openurl?url_ver=Z39.88-2004&amp;res_dat=xri:pqm&amp;rft_val_fmt=info:ofi/fmt:kev:mtx:journal&amp;genre=journal&amp;req_dat=xri:pqil:pq_clntid=131239&amp;svc_dat=xri:pqil:context=title&amp;rft_dat=xri:pqd:PMID=35933</t>
  </si>
  <si>
    <t>Houston</t>
  </si>
  <si>
    <t>http://gateway.proquest.com/openurl?url_ver=Z39.88-2004&amp;res_dat=xri:pqm&amp;rft_val_fmt=info:ofi/fmt:kev:mtx:journal&amp;genre=journal&amp;req_dat=xri:pqil:pq_clntid=131239&amp;svc_dat=xri:pqil:context=title&amp;rft_dat=xri:pqd:PMID=5042542</t>
  </si>
  <si>
    <t>http://gateway.proquest.com/openurl?url_ver=Z39.88-2004&amp;res_dat=xri:pqm&amp;rft_val_fmt=info:ofi/fmt:kev:mtx:journal&amp;genre=journal&amp;req_dat=xri:pqil:pq_clntid=131239&amp;svc_dat=xri:pqil:context=title&amp;rft_dat=xri:pqd:PMID=52909</t>
  </si>
  <si>
    <t>http://gateway.proquest.com/openurl?url_ver=Z39.88-2004&amp;res_dat=xri:pqm&amp;rft_val_fmt=info:ofi/fmt:kev:mtx:journal&amp;genre=journal&amp;req_dat=xri:pqil:pq_clntid=131239&amp;svc_dat=xri:pqil:context=title&amp;rft_dat=xri:pqd:PMID=2033190</t>
  </si>
  <si>
    <t>http://gateway.proquest.com/openurl?url_ver=Z39.88-2004&amp;res_dat=xri:pqm&amp;rft_val_fmt=info:ofi/fmt:kev:mtx:journal&amp;genre=journal&amp;req_dat=xri:pqil:pq_clntid=131239&amp;svc_dat=xri:pqil:context=title&amp;rft_dat=xri:pqd:PMID=5203</t>
  </si>
  <si>
    <t>http://gateway.proquest.com/openurl?url_ver=Z39.88-2004&amp;res_dat=xri:pqm&amp;rft_val_fmt=info:ofi/fmt:kev:mtx:journal&amp;genre=journal&amp;req_dat=xri:pqil:pq_clntid=131239&amp;svc_dat=xri:pqil:context=title&amp;rft_dat=xri:pqd:PMID=52971</t>
  </si>
  <si>
    <t>Dallas</t>
  </si>
  <si>
    <t>http://gateway.proquest.com/openurl?url_ver=Z39.88-2004&amp;res_dat=xri:pqm&amp;rft_val_fmt=info:ofi/fmt:kev:mtx:journal&amp;genre=journal&amp;req_dat=xri:pqil:pq_clntid=131239&amp;svc_dat=xri:pqil:context=title&amp;rft_dat=xri:pqd:PMID=47878</t>
  </si>
  <si>
    <t>http://gateway.proquest.com/openurl?url_ver=Z39.88-2004&amp;res_dat=xri:pqm&amp;rft_val_fmt=info:ofi/fmt:kev:mtx:journal&amp;genre=journal&amp;req_dat=xri:pqil:pq_clntid=131239&amp;svc_dat=xri:pqil:context=title&amp;rft_dat=xri:pqd:PMID=48401</t>
  </si>
  <si>
    <t>http://gateway.proquest.com/openurl?url_ver=Z39.88-2004&amp;res_dat=xri:pqm&amp;rft_val_fmt=info:ofi/fmt:kev:mtx:journal&amp;genre=journal&amp;req_dat=xri:pqil:pq_clntid=131239&amp;svc_dat=xri:pqil:context=title&amp;rft_dat=xri:pqd:PMID=2049250</t>
  </si>
  <si>
    <t>http://gateway.proquest.com/openurl?url_ver=Z39.88-2004&amp;res_dat=xri:pqm&amp;rft_val_fmt=info:ofi/fmt:kev:mtx:journal&amp;genre=journal&amp;req_dat=xri:pqil:pq_clntid=131239&amp;svc_dat=xri:pqil:context=title&amp;rft_dat=xri:pqd:PMID=36333</t>
  </si>
  <si>
    <t>http://gateway.proquest.com/openurl?url_ver=Z39.88-2004&amp;res_dat=xri:pqm&amp;rft_val_fmt=info:ofi/fmt:kev:mtx:journal&amp;genre=journal&amp;req_dat=xri:pqil:pq_clntid=131239&amp;svc_dat=xri:pqil:context=title&amp;rft_dat=xri:pqd:PMID=54114</t>
  </si>
  <si>
    <t>http://gateway.proquest.com/openurl?url_ver=Z39.88-2004&amp;res_dat=xri:pqm&amp;rft_val_fmt=info:ofi/fmt:kev:mtx:journal&amp;genre=journal&amp;req_dat=xri:pqil:pq_clntid=131239&amp;svc_dat=xri:pqil:context=title&amp;rft_dat=xri:pqd:PMID=44518</t>
  </si>
  <si>
    <t>01-Jan-2005--31-Dec-2010</t>
  </si>
  <si>
    <t>01-Oct-2004--30-Sep-2009</t>
  </si>
  <si>
    <t>http://gateway.proquest.com/openurl?url_ver=Z39.88-2004&amp;res_dat=xri:pqm&amp;rft_val_fmt=info:ofi/fmt:kev:mtx:journal&amp;genre=journal&amp;req_dat=xri:pqil:pq_clntid=131239&amp;svc_dat=xri:pqil:context=title&amp;rft_dat=xri:pqd:PMID=30572</t>
  </si>
  <si>
    <t>http://gateway.proquest.com/openurl?url_ver=Z39.88-2004&amp;res_dat=xri:pqm&amp;rft_val_fmt=info:ofi/fmt:kev:mtx:journal&amp;genre=journal&amp;req_dat=xri:pqil:pq_clntid=131239&amp;svc_dat=xri:pqil:context=title&amp;rft_dat=xri:pqd:PMID=37571</t>
  </si>
  <si>
    <t>Santa Ana</t>
  </si>
  <si>
    <t>http://gateway.proquest.com/openurl?url_ver=Z39.88-2004&amp;res_dat=xri:pqm&amp;rft_val_fmt=info:ofi/fmt:kev:mtx:journal&amp;genre=journal&amp;req_dat=xri:pqil:pq_clntid=131239&amp;svc_dat=xri:pqil:context=title&amp;rft_dat=xri:pqd:PMID=28904</t>
  </si>
  <si>
    <t>Glendale</t>
  </si>
  <si>
    <t>http://gateway.proquest.com/openurl?url_ver=Z39.88-2004&amp;res_dat=xri:pqm&amp;rft_val_fmt=info:ofi/fmt:kev:mtx:journal&amp;genre=journal&amp;req_dat=xri:pqil:pq_clntid=131239&amp;svc_dat=xri:pqil:context=title&amp;rft_dat=xri:pqd:PMID=39831</t>
  </si>
  <si>
    <t>Lahore</t>
  </si>
  <si>
    <t>http://gateway.proquest.com/openurl?url_ver=Z39.88-2004&amp;res_dat=xri:pqm&amp;rft_val_fmt=info:ofi/fmt:kev:mtx:journal&amp;genre=journal&amp;req_dat=xri:pqil:pq_clntid=131239&amp;svc_dat=xri:pqil:context=title&amp;rft_dat=xri:pqd:PMID=136244</t>
  </si>
  <si>
    <t>http://gateway.proquest.com/openurl?url_ver=Z39.88-2004&amp;res_dat=xri:pqm&amp;rft_val_fmt=info:ofi/fmt:kev:mtx:journal&amp;genre=journal&amp;req_dat=xri:pqil:pq_clntid=131239&amp;svc_dat=xri:pqil:context=title&amp;rft_dat=xri:pqd:PMID=25710</t>
  </si>
  <si>
    <t>http://gateway.proquest.com/openurl?url_ver=Z39.88-2004&amp;res_dat=xri:pqm&amp;rft_val_fmt=info:ofi/fmt:kev:mtx:journal&amp;genre=journal&amp;req_dat=xri:pqil:pq_clntid=131239&amp;svc_dat=xri:pqil:context=title&amp;rft_dat=xri:pqd:PMID=5639</t>
  </si>
  <si>
    <t>http://gateway.proquest.com/openurl?url_ver=Z39.88-2004&amp;res_dat=xri:pqm&amp;rft_val_fmt=info:ofi/fmt:kev:mtx:journal&amp;genre=journal&amp;req_dat=xri:pqil:pq_clntid=131239&amp;svc_dat=xri:pqil:context=title&amp;rft_dat=xri:pqd:PMID=34392</t>
  </si>
  <si>
    <t>Lgbtq+|Medical Sciences|Psychology</t>
  </si>
  <si>
    <t>http://gateway.proquest.com/openurl?url_ver=Z39.88-2004&amp;res_dat=xri:pqm&amp;rft_val_fmt=info:ofi/fmt:kev:mtx:journal&amp;genre=journal&amp;req_dat=xri:pqil:pq_clntid=131239&amp;svc_dat=xri:pqil:context=title&amp;rft_dat=xri:pqd:PMID=196225</t>
  </si>
  <si>
    <t>01-Jan-1984--31-Dec-1984; 01-Jan-1988--31-Dec-1988; 01-Jan-1993--31-Dec-1993</t>
  </si>
  <si>
    <t>http://gateway.proquest.com/openurl?url_ver=Z39.88-2004&amp;res_dat=xri:pqm&amp;rft_val_fmt=info:ofi/fmt:kev:mtx:journal&amp;genre=journal&amp;req_dat=xri:pqil:pq_clntid=131239&amp;svc_dat=xri:pqil:context=title&amp;rft_dat=xri:pqd:PMID=15745</t>
  </si>
  <si>
    <t>http://gateway.proquest.com/openurl?url_ver=Z39.88-2004&amp;res_dat=xri:pqm&amp;rft_val_fmt=info:ofi/fmt:kev:mtx:journal&amp;genre=journal&amp;req_dat=xri:pqil:pq_clntid=131239&amp;svc_dat=xri:pqil:context=title&amp;rft_dat=xri:pqd:PMID=35944</t>
  </si>
  <si>
    <t>Journal of Bodies, Sexualities, and Masculinities</t>
  </si>
  <si>
    <t>2688-8149</t>
  </si>
  <si>
    <t>2688-8157</t>
  </si>
  <si>
    <t>http://gateway.proquest.com/openurl?url_ver=Z39.88-2004&amp;res_dat=xri:pqm&amp;rft_val_fmt=info:ofi/fmt:kev:mtx:journal&amp;genre=journal&amp;req_dat=xri:pqil:pq_clntid=131239&amp;svc_dat=xri:pqil:context=title&amp;rft_dat=xri:pqd:PMID=5062709</t>
  </si>
  <si>
    <t>http://gateway.proquest.com/openurl?url_ver=Z39.88-2004&amp;res_dat=xri:pqm&amp;rft_val_fmt=info:ofi/fmt:kev:mtx:journal&amp;genre=journal&amp;req_dat=xri:pqil:pq_clntid=131239&amp;svc_dat=xri:pqil:context=title&amp;rft_dat=xri:pqd:PMID=42128</t>
  </si>
  <si>
    <t>http://gateway.proquest.com/openurl?url_ver=Z39.88-2004&amp;res_dat=xri:pqm&amp;rft_val_fmt=info:ofi/fmt:kev:mtx:journal&amp;genre=journal&amp;req_dat=xri:pqil:pq_clntid=131239&amp;svc_dat=xri:pqil:context=title&amp;rft_dat=xri:pqd:PMID=6472</t>
  </si>
  <si>
    <t>http://gateway.proquest.com/openurl?url_ver=Z39.88-2004&amp;res_dat=xri:pqm&amp;rft_val_fmt=info:ofi/fmt:kev:mtx:journal&amp;genre=journal&amp;req_dat=xri:pqil:pq_clntid=131239&amp;svc_dat=xri:pqil:context=title&amp;rft_dat=xri:pqd:PMID=36328</t>
  </si>
  <si>
    <t>http://gateway.proquest.com/openurl?url_ver=Z39.88-2004&amp;res_dat=xri:pqm&amp;rft_val_fmt=info:ofi/fmt:kev:mtx:journal&amp;genre=journal&amp;req_dat=xri:pqil:pq_clntid=131239&amp;svc_dat=xri:pqil:context=title&amp;rft_dat=xri:pqd:PMID=36326</t>
  </si>
  <si>
    <t>http://gateway.proquest.com/openurl?url_ver=Z39.88-2004&amp;res_dat=xri:pqm&amp;rft_val_fmt=info:ofi/fmt:kev:mtx:journal&amp;genre=journal&amp;req_dat=xri:pqil:pq_clntid=131239&amp;svc_dat=xri:pqil:context=title&amp;rft_dat=xri:pqd:PMID=2030637</t>
  </si>
  <si>
    <t>http://gateway.proquest.com/openurl?url_ver=Z39.88-2004&amp;res_dat=xri:pqm&amp;rft_val_fmt=info:ofi/fmt:kev:mtx:journal&amp;genre=journal&amp;req_dat=xri:pqil:pq_clntid=131239&amp;svc_dat=xri:pqil:context=title&amp;rft_dat=xri:pqd:PMID=38113</t>
  </si>
  <si>
    <t>http://gateway.proquest.com/openurl?url_ver=Z39.88-2004&amp;res_dat=xri:pqm&amp;rft_val_fmt=info:ofi/fmt:kev:mtx:journal&amp;genre=journal&amp;req_dat=xri:pqil:pq_clntid=131239&amp;svc_dat=xri:pqil:context=title&amp;rft_dat=xri:pqd:PMID=30493</t>
  </si>
  <si>
    <t>http://gateway.proquest.com/openurl?url_ver=Z39.88-2004&amp;res_dat=xri:pqm&amp;rft_val_fmt=info:ofi/fmt:kev:mtx:journal&amp;genre=journal&amp;req_dat=xri:pqil:pq_clntid=131239&amp;svc_dat=xri:pqil:context=title&amp;rft_dat=xri:pqd:PMID=54423</t>
  </si>
  <si>
    <t>http://gateway.proquest.com/openurl?url_ver=Z39.88-2004&amp;res_dat=xri:pqm&amp;rft_val_fmt=info:ofi/fmt:kev:mtx:journal&amp;genre=journal&amp;req_dat=xri:pqil:pq_clntid=131239&amp;svc_dat=xri:pqil:context=title&amp;rft_dat=xri:pqd:PMID=33010</t>
  </si>
  <si>
    <t>http://gateway.proquest.com/openurl?url_ver=Z39.88-2004&amp;res_dat=xri:pqm&amp;rft_val_fmt=info:ofi/fmt:kev:mtx:journal&amp;genre=journal&amp;req_dat=xri:pqil:pq_clntid=131239&amp;svc_dat=xri:pqil:context=title&amp;rft_dat=xri:pqd:PMID=47800</t>
  </si>
  <si>
    <t>http://gateway.proquest.com/openurl?url_ver=Z39.88-2004&amp;res_dat=xri:pqm&amp;rft_val_fmt=info:ofi/fmt:kev:mtx:journal&amp;genre=journal&amp;req_dat=xri:pqil:pq_clntid=131239&amp;svc_dat=xri:pqil:context=title&amp;rft_dat=xri:pqd:PMID=4366611</t>
  </si>
  <si>
    <t>http://gateway.proquest.com/openurl?url_ver=Z39.88-2004&amp;res_dat=xri:pqm&amp;rft_val_fmt=info:ofi/fmt:kev:mtx:journal&amp;genre=journal&amp;req_dat=xri:pqil:pq_clntid=131239&amp;svc_dat=xri:pqil:context=title&amp;rft_dat=xri:pqd:PMID=27404</t>
  </si>
  <si>
    <t>Greenwich</t>
  </si>
  <si>
    <t>http://gateway.proquest.com/openurl?url_ver=Z39.88-2004&amp;res_dat=xri:pqm&amp;rft_val_fmt=info:ofi/fmt:kev:mtx:journal&amp;genre=journal&amp;req_dat=xri:pqil:pq_clntid=131239&amp;svc_dat=xri:pqil:context=title&amp;rft_dat=xri:pqd:PMID=27598</t>
  </si>
  <si>
    <t>http://gateway.proquest.com/openurl?url_ver=Z39.88-2004&amp;res_dat=xri:pqm&amp;rft_val_fmt=info:ofi/fmt:kev:mtx:journal&amp;genre=journal&amp;req_dat=xri:pqil:pq_clntid=131239&amp;svc_dat=xri:pqil:context=title&amp;rft_dat=xri:pqd:PMID=46986</t>
  </si>
  <si>
    <t>http://gateway.proquest.com/openurl?url_ver=Z39.88-2004&amp;res_dat=xri:pqm&amp;rft_val_fmt=info:ofi/fmt:kev:mtx:journal&amp;genre=journal&amp;req_dat=xri:pqil:pq_clntid=131239&amp;svc_dat=xri:pqil:context=title&amp;rft_dat=xri:pqd:PMID=436399</t>
  </si>
  <si>
    <t>http://gateway.proquest.com/openurl?url_ver=Z39.88-2004&amp;res_dat=xri:pqm&amp;rft_val_fmt=info:ofi/fmt:kev:mtx:journal&amp;genre=journal&amp;req_dat=xri:pqil:pq_clntid=131239&amp;svc_dat=xri:pqil:context=title&amp;rft_dat=xri:pqd:PMID=49003</t>
  </si>
  <si>
    <t>http://gateway.proquest.com/openurl?url_ver=Z39.88-2004&amp;res_dat=xri:pqm&amp;rft_val_fmt=info:ofi/fmt:kev:mtx:journal&amp;genre=journal&amp;req_dat=xri:pqil:pq_clntid=131239&amp;svc_dat=xri:pqil:context=title&amp;rft_dat=xri:pqd:PMID=36786</t>
  </si>
  <si>
    <t>http://gateway.proquest.com/openurl?url_ver=Z39.88-2004&amp;res_dat=xri:pqm&amp;rft_val_fmt=info:ofi/fmt:kev:mtx:journal&amp;genre=journal&amp;req_dat=xri:pqil:pq_clntid=131239&amp;svc_dat=xri:pqil:context=title&amp;rft_dat=xri:pqd:PMID=51545</t>
  </si>
  <si>
    <t>http://gateway.proquest.com/openurl?url_ver=Z39.88-2004&amp;res_dat=xri:pqm&amp;rft_val_fmt=info:ofi/fmt:kev:mtx:journal&amp;genre=journal&amp;req_dat=xri:pqil:pq_clntid=131239&amp;svc_dat=xri:pqil:context=title&amp;rft_dat=xri:pqd:PMID=53076</t>
  </si>
  <si>
    <t>http://gateway.proquest.com/openurl?url_ver=Z39.88-2004&amp;res_dat=xri:pqm&amp;rft_val_fmt=info:ofi/fmt:kev:mtx:journal&amp;genre=journal&amp;req_dat=xri:pqil:pq_clntid=131239&amp;svc_dat=xri:pqil:context=title&amp;rft_dat=xri:pqd:PMID=2033183</t>
  </si>
  <si>
    <t>http://gateway.proquest.com/openurl?url_ver=Z39.88-2004&amp;res_dat=xri:pqm&amp;rft_val_fmt=info:ofi/fmt:kev:mtx:journal&amp;genre=journal&amp;req_dat=xri:pqil:pq_clntid=131239&amp;svc_dat=xri:pqil:context=title&amp;rft_dat=xri:pqd:PMID=45127</t>
  </si>
  <si>
    <t>http://gateway.proquest.com/openurl?url_ver=Z39.88-2004&amp;res_dat=xri:pqm&amp;rft_val_fmt=info:ofi/fmt:kev:mtx:journal&amp;genre=journal&amp;req_dat=xri:pqil:pq_clntid=131239&amp;svc_dat=xri:pqil:context=title&amp;rft_dat=xri:pqd:PMID=36261</t>
  </si>
  <si>
    <t>http://gateway.proquest.com/openurl?url_ver=Z39.88-2004&amp;res_dat=xri:pqm&amp;rft_val_fmt=info:ofi/fmt:kev:mtx:journal&amp;genre=journal&amp;req_dat=xri:pqil:pq_clntid=131239&amp;svc_dat=xri:pqil:context=title&amp;rft_dat=xri:pqd:PMID=46504</t>
  </si>
  <si>
    <t>http://gateway.proquest.com/openurl?url_ver=Z39.88-2004&amp;res_dat=xri:pqm&amp;rft_val_fmt=info:ofi/fmt:kev:mtx:journal&amp;genre=journal&amp;req_dat=xri:pqil:pq_clntid=131239&amp;svc_dat=xri:pqil:context=title&amp;rft_dat=xri:pqd:PMID=31319</t>
  </si>
  <si>
    <t>http://gateway.proquest.com/openurl?url_ver=Z39.88-2004&amp;res_dat=xri:pqm&amp;rft_val_fmt=info:ofi/fmt:kev:mtx:journal&amp;genre=journal&amp;req_dat=xri:pqil:pq_clntid=131239&amp;svc_dat=xri:pqil:context=title&amp;rft_dat=xri:pqd:PMID=1006509</t>
  </si>
  <si>
    <t>http://gateway.proquest.com/openurl?url_ver=Z39.88-2004&amp;res_dat=xri:pqm&amp;rft_val_fmt=info:ofi/fmt:kev:mtx:journal&amp;genre=journal&amp;req_dat=xri:pqil:pq_clntid=131239&amp;svc_dat=xri:pqil:context=title&amp;rft_dat=xri:pqd:PMID=25716</t>
  </si>
  <si>
    <t>Memphis</t>
  </si>
  <si>
    <t>http://gateway.proquest.com/openurl?url_ver=Z39.88-2004&amp;res_dat=xri:pqm&amp;rft_val_fmt=info:ofi/fmt:kev:mtx:journal&amp;genre=journal&amp;req_dat=xri:pqil:pq_clntid=131239&amp;svc_dat=xri:pqil:context=title&amp;rft_dat=xri:pqd:PMID=42096</t>
  </si>
  <si>
    <t>http://gateway.proquest.com/openurl?url_ver=Z39.88-2004&amp;res_dat=xri:pqm&amp;rft_val_fmt=info:ofi/fmt:kev:mtx:journal&amp;genre=journal&amp;req_dat=xri:pqil:pq_clntid=131239&amp;svc_dat=xri:pqil:context=title&amp;rft_dat=xri:pqd:PMID=42414</t>
  </si>
  <si>
    <t>Journal of Clinical Psychology in Medical Settings</t>
  </si>
  <si>
    <t>1068-9583</t>
  </si>
  <si>
    <t>1573-3572</t>
  </si>
  <si>
    <t>http://gateway.proquest.com/openurl?url_ver=Z39.88-2004&amp;res_dat=xri:pqm&amp;rft_val_fmt=info:ofi/fmt:kev:mtx:journal&amp;genre=journal&amp;req_dat=xri:pqil:pq_clntid=131239&amp;svc_dat=xri:pqil:context=title&amp;rft_dat=xri:pqd:PMID=6420649</t>
  </si>
  <si>
    <t>http://gateway.proquest.com/openurl?url_ver=Z39.88-2004&amp;res_dat=xri:pqm&amp;rft_val_fmt=info:ofi/fmt:kev:mtx:journal&amp;genre=journal&amp;req_dat=xri:pqil:pq_clntid=131239&amp;svc_dat=xri:pqil:context=title&amp;rft_dat=xri:pqd:PMID=3748009</t>
  </si>
  <si>
    <t>Lisse</t>
  </si>
  <si>
    <t>http://gateway.proquest.com/openurl?url_ver=Z39.88-2004&amp;res_dat=xri:pqm&amp;rft_val_fmt=info:ofi/fmt:kev:mtx:journal&amp;genre=journal&amp;req_dat=xri:pqil:pq_clntid=131239&amp;svc_dat=xri:pqil:context=title&amp;rft_dat=xri:pqd:PMID=2037842</t>
  </si>
  <si>
    <t>http://gateway.proquest.com/openurl?url_ver=Z39.88-2004&amp;res_dat=xri:pqm&amp;rft_val_fmt=info:ofi/fmt:kev:mtx:journal&amp;genre=journal&amp;req_dat=xri:pqil:pq_clntid=131239&amp;svc_dat=xri:pqil:context=title&amp;rft_dat=xri:pqd:PMID=25338</t>
  </si>
  <si>
    <t>http://gateway.proquest.com/openurl?url_ver=Z39.88-2004&amp;res_dat=xri:pqm&amp;rft_val_fmt=info:ofi/fmt:kev:mtx:journal&amp;genre=journal&amp;req_dat=xri:pqil:pq_clntid=131239&amp;svc_dat=xri:pqil:context=title&amp;rft_dat=xri:pqd:PMID=646503</t>
  </si>
  <si>
    <t>Resumed Title</t>
  </si>
  <si>
    <t>http://gateway.proquest.com/openurl?url_ver=Z39.88-2004&amp;res_dat=xri:pqm&amp;rft_val_fmt=info:ofi/fmt:kev:mtx:journal&amp;genre=journal&amp;req_dat=xri:pqil:pq_clntid=131239&amp;svc_dat=xri:pqil:context=title&amp;rft_dat=xri:pqd:PMID=37146</t>
  </si>
  <si>
    <t>http://gateway.proquest.com/openurl?url_ver=Z39.88-2004&amp;res_dat=xri:pqm&amp;rft_val_fmt=info:ofi/fmt:kev:mtx:journal&amp;genre=journal&amp;req_dat=xri:pqil:pq_clntid=131239&amp;svc_dat=xri:pqil:context=title&amp;rft_dat=xri:pqd:PMID=2038058</t>
  </si>
  <si>
    <t>Journal of Cognitive Psychology</t>
  </si>
  <si>
    <t>2044-5911</t>
  </si>
  <si>
    <t>2044-592X</t>
  </si>
  <si>
    <t>http://gateway.proquest.com/openurl?url_ver=Z39.88-2004&amp;res_dat=xri:pqm&amp;rft_val_fmt=info:ofi/fmt:kev:mtx:journal&amp;genre=journal&amp;req_dat=xri:pqil:pq_clntid=131239&amp;svc_dat=xri:pqil:context=title&amp;rft_dat=xri:pqd:PMID=105448</t>
  </si>
  <si>
    <t>http://gateway.proquest.com/openurl?url_ver=Z39.88-2004&amp;res_dat=xri:pqm&amp;rft_val_fmt=info:ofi/fmt:kev:mtx:journal&amp;genre=journal&amp;req_dat=xri:pqil:pq_clntid=131239&amp;svc_dat=xri:pqil:context=title&amp;rft_dat=xri:pqd:PMID=28723</t>
  </si>
  <si>
    <t>Skokie</t>
  </si>
  <si>
    <t>http://gateway.proquest.com/openurl?url_ver=Z39.88-2004&amp;res_dat=xri:pqm&amp;rft_val_fmt=info:ofi/fmt:kev:mtx:journal&amp;genre=journal&amp;req_dat=xri:pqil:pq_clntid=131239&amp;svc_dat=xri:pqil:context=title&amp;rft_dat=xri:pqd:PMID=37099</t>
  </si>
  <si>
    <t>http://gateway.proquest.com/openurl?url_ver=Z39.88-2004&amp;res_dat=xri:pqm&amp;rft_val_fmt=info:ofi/fmt:kev:mtx:journal&amp;genre=journal&amp;req_dat=xri:pqil:pq_clntid=131239&amp;svc_dat=xri:pqil:context=title&amp;rft_dat=xri:pqd:PMID=45906</t>
  </si>
  <si>
    <t>http://gateway.proquest.com/openurl?url_ver=Z39.88-2004&amp;res_dat=xri:pqm&amp;rft_val_fmt=info:ofi/fmt:kev:mtx:journal&amp;genre=journal&amp;req_dat=xri:pqil:pq_clntid=131239&amp;svc_dat=xri:pqil:context=title&amp;rft_dat=xri:pqd:PMID=34426</t>
  </si>
  <si>
    <t>http://gateway.proquest.com/openurl?url_ver=Z39.88-2004&amp;res_dat=xri:pqm&amp;rft_val_fmt=info:ofi/fmt:kev:mtx:journal&amp;genre=journal&amp;req_dat=xri:pqil:pq_clntid=131239&amp;svc_dat=xri:pqil:context=title&amp;rft_dat=xri:pqd:PMID=52974</t>
  </si>
  <si>
    <t>http://gateway.proquest.com/openurl?url_ver=Z39.88-2004&amp;res_dat=xri:pqm&amp;rft_val_fmt=info:ofi/fmt:kev:mtx:journal&amp;genre=journal&amp;req_dat=xri:pqil:pq_clntid=131239&amp;svc_dat=xri:pqil:context=title&amp;rft_dat=xri:pqd:PMID=2033180</t>
  </si>
  <si>
    <t>http://gateway.proquest.com/openurl?url_ver=Z39.88-2004&amp;res_dat=xri:pqm&amp;rft_val_fmt=info:ofi/fmt:kev:mtx:journal&amp;genre=journal&amp;req_dat=xri:pqil:pq_clntid=131239&amp;svc_dat=xri:pqil:context=title&amp;rft_dat=xri:pqd:PMID=47293</t>
  </si>
  <si>
    <t>http://gateway.proquest.com/openurl?url_ver=Z39.88-2004&amp;res_dat=xri:pqm&amp;rft_val_fmt=info:ofi/fmt:kev:mtx:journal&amp;genre=journal&amp;req_dat=xri:pqil:pq_clntid=131239&amp;svc_dat=xri:pqil:context=title&amp;rft_dat=xri:pqd:PMID=47295</t>
  </si>
  <si>
    <t>http://gateway.proquest.com/openurl?url_ver=Z39.88-2004&amp;res_dat=xri:pqm&amp;rft_val_fmt=info:ofi/fmt:kev:mtx:journal&amp;genre=journal&amp;req_dat=xri:pqil:pq_clntid=131239&amp;svc_dat=xri:pqil:context=title&amp;rft_dat=xri:pqd:PMID=47296</t>
  </si>
  <si>
    <t>http://gateway.proquest.com/openurl?url_ver=Z39.88-2004&amp;res_dat=xri:pqm&amp;rft_val_fmt=info:ofi/fmt:kev:mtx:journal&amp;genre=journal&amp;req_dat=xri:pqil:pq_clntid=131239&amp;svc_dat=xri:pqil:context=title&amp;rft_dat=xri:pqd:PMID=26325</t>
  </si>
  <si>
    <t>Journal of Communication Pedagogy</t>
  </si>
  <si>
    <t>Central States Communication Association</t>
  </si>
  <si>
    <t>Lexington</t>
  </si>
  <si>
    <t>2640-4524</t>
  </si>
  <si>
    <t>2578-2568</t>
  </si>
  <si>
    <t>http://gateway.proquest.com/openurl?url_ver=Z39.88-2004&amp;res_dat=xri:pqm&amp;rft_val_fmt=info:ofi/fmt:kev:mtx:journal&amp;genre=journal&amp;req_dat=xri:pqil:pq_clntid=131239&amp;svc_dat=xri:pqil:context=title&amp;rft_dat=xri:pqd:PMID=6477218</t>
  </si>
  <si>
    <t>http://gateway.proquest.com/openurl?url_ver=Z39.88-2004&amp;res_dat=xri:pqm&amp;rft_val_fmt=info:ofi/fmt:kev:mtx:journal&amp;genre=journal&amp;req_dat=xri:pqil:pq_clntid=131239&amp;svc_dat=xri:pqil:context=title&amp;rft_dat=xri:pqd:PMID=30962</t>
  </si>
  <si>
    <t>http://gateway.proquest.com/openurl?url_ver=Z39.88-2004&amp;res_dat=xri:pqm&amp;rft_val_fmt=info:ofi/fmt:kev:mtx:journal&amp;genre=journal&amp;req_dat=xri:pqil:pq_clntid=131239&amp;svc_dat=xri:pqil:context=title&amp;rft_dat=xri:pqd:PMID=48530</t>
  </si>
  <si>
    <t>http://gateway.proquest.com/openurl?url_ver=Z39.88-2004&amp;res_dat=xri:pqm&amp;rft_val_fmt=info:ofi/fmt:kev:mtx:journal&amp;genre=journal&amp;req_dat=xri:pqil:pq_clntid=131239&amp;svc_dat=xri:pqil:context=title&amp;rft_dat=xri:pqd:PMID=36978</t>
  </si>
  <si>
    <t>http://gateway.proquest.com/openurl?url_ver=Z39.88-2004&amp;res_dat=xri:pqm&amp;rft_val_fmt=info:ofi/fmt:kev:mtx:journal&amp;genre=journal&amp;req_dat=xri:pqil:pq_clntid=131239&amp;svc_dat=xri:pqil:context=title&amp;rft_dat=xri:pqd:PMID=48397</t>
  </si>
  <si>
    <t>http://gateway.proquest.com/openurl?url_ver=Z39.88-2004&amp;res_dat=xri:pqm&amp;rft_val_fmt=info:ofi/fmt:kev:mtx:journal&amp;genre=journal&amp;req_dat=xri:pqil:pq_clntid=131239&amp;svc_dat=xri:pqil:context=title&amp;rft_dat=xri:pqd:PMID=34616</t>
  </si>
  <si>
    <t>http://gateway.proquest.com/openurl?url_ver=Z39.88-2004&amp;res_dat=xri:pqm&amp;rft_val_fmt=info:ofi/fmt:kev:mtx:journal&amp;genre=journal&amp;req_dat=xri:pqil:pq_clntid=131239&amp;svc_dat=xri:pqil:context=title&amp;rft_dat=xri:pqd:PMID=42312</t>
  </si>
  <si>
    <t>http://gateway.proquest.com/openurl?url_ver=Z39.88-2004&amp;res_dat=xri:pqm&amp;rft_val_fmt=info:ofi/fmt:kev:mtx:journal&amp;genre=journal&amp;req_dat=xri:pqil:pq_clntid=131239&amp;svc_dat=xri:pqil:context=title&amp;rft_dat=xri:pqd:PMID=1396369</t>
  </si>
  <si>
    <t>http://gateway.proquest.com/openurl?url_ver=Z39.88-2004&amp;res_dat=xri:pqm&amp;rft_val_fmt=info:ofi/fmt:kev:mtx:journal&amp;genre=journal&amp;req_dat=xri:pqil:pq_clntid=131239&amp;svc_dat=xri:pqil:context=title&amp;rft_dat=xri:pqd:PMID=44274</t>
  </si>
  <si>
    <t>http://gateway.proquest.com/openurl?url_ver=Z39.88-2004&amp;res_dat=xri:pqm&amp;rft_val_fmt=info:ofi/fmt:kev:mtx:journal&amp;genre=journal&amp;req_dat=xri:pqil:pq_clntid=131239&amp;svc_dat=xri:pqil:context=title&amp;rft_dat=xri:pqd:PMID=37794</t>
  </si>
  <si>
    <t>Woodbridge</t>
  </si>
  <si>
    <t>http://gateway.proquest.com/openurl?url_ver=Z39.88-2004&amp;res_dat=xri:pqm&amp;rft_val_fmt=info:ofi/fmt:kev:mtx:journal&amp;genre=journal&amp;req_dat=xri:pqil:pq_clntid=131239&amp;svc_dat=xri:pqil:context=title&amp;rft_dat=xri:pqd:PMID=5500743</t>
  </si>
  <si>
    <t>http://gateway.proquest.com/openurl?url_ver=Z39.88-2004&amp;res_dat=xri:pqm&amp;rft_val_fmt=info:ofi/fmt:kev:mtx:journal&amp;genre=journal&amp;req_dat=xri:pqil:pq_clntid=131239&amp;svc_dat=xri:pqil:context=title&amp;rft_dat=xri:pqd:PMID=34887</t>
  </si>
  <si>
    <t>http://gateway.proquest.com/openurl?url_ver=Z39.88-2004&amp;res_dat=xri:pqm&amp;rft_val_fmt=info:ofi/fmt:kev:mtx:journal&amp;genre=journal&amp;req_dat=xri:pqil:pq_clntid=131239&amp;svc_dat=xri:pqil:context=title&amp;rft_dat=xri:pqd:PMID=34886</t>
  </si>
  <si>
    <t>http://gateway.proquest.com/openurl?url_ver=Z39.88-2004&amp;res_dat=xri:pqm&amp;rft_val_fmt=info:ofi/fmt:kev:mtx:journal&amp;genre=journal&amp;req_dat=xri:pqil:pq_clntid=131239&amp;svc_dat=xri:pqil:context=title&amp;rft_dat=xri:pqd:PMID=2004</t>
  </si>
  <si>
    <t>http://gateway.proquest.com/openurl?url_ver=Z39.88-2004&amp;res_dat=xri:pqm&amp;rft_val_fmt=info:ofi/fmt:kev:mtx:journal&amp;genre=journal&amp;req_dat=xri:pqil:pq_clntid=131239&amp;svc_dat=xri:pqil:context=title&amp;rft_dat=xri:pqd:PMID=196219</t>
  </si>
  <si>
    <t>http://gateway.proquest.com/openurl?url_ver=Z39.88-2004&amp;res_dat=xri:pqm&amp;rft_val_fmt=info:ofi/fmt:kev:mtx:journal&amp;genre=journal&amp;req_dat=xri:pqil:pq_clntid=131239&amp;svc_dat=xri:pqil:context=title&amp;rft_dat=xri:pqd:PMID=42317</t>
  </si>
  <si>
    <t>http://gateway.proquest.com/openurl?url_ver=Z39.88-2004&amp;res_dat=xri:pqm&amp;rft_val_fmt=info:ofi/fmt:kev:mtx:journal&amp;genre=journal&amp;req_dat=xri:pqil:pq_clntid=131239&amp;svc_dat=xri:pqil:context=title&amp;rft_dat=xri:pqd:PMID=35936</t>
  </si>
  <si>
    <t>http://gateway.proquest.com/openurl?url_ver=Z39.88-2004&amp;res_dat=xri:pqm&amp;rft_val_fmt=info:ofi/fmt:kev:mtx:journal&amp;genre=journal&amp;req_dat=xri:pqil:pq_clntid=131239&amp;svc_dat=xri:pqil:context=title&amp;rft_dat=xri:pqd:PMID=35937</t>
  </si>
  <si>
    <t>http://gateway.proquest.com/openurl?url_ver=Z39.88-2004&amp;res_dat=xri:pqm&amp;rft_val_fmt=info:ofi/fmt:kev:mtx:journal&amp;genre=journal&amp;req_dat=xri:pqil:pq_clntid=131239&amp;svc_dat=xri:pqil:context=title&amp;rft_dat=xri:pqd:PMID=35935</t>
  </si>
  <si>
    <t>http://gateway.proquest.com/openurl?url_ver=Z39.88-2004&amp;res_dat=xri:pqm&amp;rft_val_fmt=info:ofi/fmt:kev:mtx:journal&amp;genre=journal&amp;req_dat=xri:pqil:pq_clntid=131239&amp;svc_dat=xri:pqil:context=title&amp;rft_dat=xri:pqd:PMID=25343</t>
  </si>
  <si>
    <t>http://gateway.proquest.com/openurl?url_ver=Z39.88-2004&amp;res_dat=xri:pqm&amp;rft_val_fmt=info:ofi/fmt:kev:mtx:journal&amp;genre=journal&amp;req_dat=xri:pqil:pq_clntid=131239&amp;svc_dat=xri:pqil:context=title&amp;rft_dat=xri:pqd:PMID=37088</t>
  </si>
  <si>
    <t>http://gateway.proquest.com/openurl?url_ver=Z39.88-2004&amp;res_dat=xri:pqm&amp;rft_val_fmt=info:ofi/fmt:kev:mtx:journal&amp;genre=journal&amp;req_dat=xri:pqil:pq_clntid=131239&amp;svc_dat=xri:pqil:context=title&amp;rft_dat=xri:pqd:PMID=46424</t>
  </si>
  <si>
    <t>http://gateway.proquest.com/openurl?url_ver=Z39.88-2004&amp;res_dat=xri:pqm&amp;rft_val_fmt=info:ofi/fmt:kev:mtx:journal&amp;genre=journal&amp;req_dat=xri:pqil:pq_clntid=131239&amp;svc_dat=xri:pqil:context=title&amp;rft_dat=xri:pqd:PMID=38026</t>
  </si>
  <si>
    <t>http://gateway.proquest.com/openurl?url_ver=Z39.88-2004&amp;res_dat=xri:pqm&amp;rft_val_fmt=info:ofi/fmt:kev:mtx:journal&amp;genre=journal&amp;req_dat=xri:pqil:pq_clntid=131239&amp;svc_dat=xri:pqil:context=title&amp;rft_dat=xri:pqd:PMID=46531</t>
  </si>
  <si>
    <t>http://gateway.proquest.com/openurl?url_ver=Z39.88-2004&amp;res_dat=xri:pqm&amp;rft_val_fmt=info:ofi/fmt:kev:mtx:journal&amp;genre=journal&amp;req_dat=xri:pqil:pq_clntid=131239&amp;svc_dat=xri:pqil:context=title&amp;rft_dat=xri:pqd:PMID=31620</t>
  </si>
  <si>
    <t>01-Jan-1983--31-Dec-1984; 01-Jan-1986--31-Dec-1986; 01-Jan-1988--31-Dec-1988</t>
  </si>
  <si>
    <t>http://gateway.proquest.com/openurl?url_ver=Z39.88-2004&amp;res_dat=xri:pqm&amp;rft_val_fmt=info:ofi/fmt:kev:mtx:journal&amp;genre=journal&amp;req_dat=xri:pqil:pq_clntid=131239&amp;svc_dat=xri:pqil:context=title&amp;rft_dat=xri:pqd:PMID=7018</t>
  </si>
  <si>
    <t>http://gateway.proquest.com/openurl?url_ver=Z39.88-2004&amp;res_dat=xri:pqm&amp;rft_val_fmt=info:ofi/fmt:kev:mtx:journal&amp;genre=journal&amp;req_dat=xri:pqil:pq_clntid=131239&amp;svc_dat=xri:pqil:context=title&amp;rft_dat=xri:pqd:PMID=48134</t>
  </si>
  <si>
    <t>http://gateway.proquest.com/openurl?url_ver=Z39.88-2004&amp;res_dat=xri:pqm&amp;rft_val_fmt=info:ofi/fmt:kev:mtx:journal&amp;genre=journal&amp;req_dat=xri:pqil:pq_clntid=131239&amp;svc_dat=xri:pqil:context=title&amp;rft_dat=xri:pqd:PMID=31737</t>
  </si>
  <si>
    <t>http://gateway.proquest.com/openurl?url_ver=Z39.88-2004&amp;res_dat=xri:pqm&amp;rft_val_fmt=info:ofi/fmt:kev:mtx:journal&amp;genre=journal&amp;req_dat=xri:pqil:pq_clntid=131239&amp;svc_dat=xri:pqil:context=title&amp;rft_dat=xri:pqd:PMID=41013</t>
  </si>
  <si>
    <t>http://gateway.proquest.com/openurl?url_ver=Z39.88-2004&amp;res_dat=xri:pqm&amp;rft_val_fmt=info:ofi/fmt:kev:mtx:journal&amp;genre=journal&amp;req_dat=xri:pqil:pq_clntid=131239&amp;svc_dat=xri:pqil:context=title&amp;rft_dat=xri:pqd:PMID=25041</t>
  </si>
  <si>
    <t>Montclair</t>
  </si>
  <si>
    <t>http://gateway.proquest.com/openurl?url_ver=Z39.88-2004&amp;res_dat=xri:pqm&amp;rft_val_fmt=info:ofi/fmt:kev:mtx:journal&amp;genre=journal&amp;req_dat=xri:pqil:pq_clntid=131239&amp;svc_dat=xri:pqil:context=title&amp;rft_dat=xri:pqd:PMID=2027398</t>
  </si>
  <si>
    <t>http://gateway.proquest.com/openurl?url_ver=Z39.88-2004&amp;res_dat=xri:pqm&amp;rft_val_fmt=info:ofi/fmt:kev:mtx:journal&amp;genre=journal&amp;req_dat=xri:pqil:pq_clntid=131239&amp;svc_dat=xri:pqil:context=title&amp;rft_dat=xri:pqd:PMID=196215</t>
  </si>
  <si>
    <t>http://gateway.proquest.com/openurl?url_ver=Z39.88-2004&amp;res_dat=xri:pqm&amp;rft_val_fmt=info:ofi/fmt:kev:mtx:journal&amp;genre=journal&amp;req_dat=xri:pqil:pq_clntid=131239&amp;svc_dat=xri:pqil:context=title&amp;rft_dat=xri:pqd:PMID=2040038</t>
  </si>
  <si>
    <t>http://gateway.proquest.com/openurl?url_ver=Z39.88-2004&amp;res_dat=xri:pqm&amp;rft_val_fmt=info:ofi/fmt:kev:mtx:journal&amp;genre=journal&amp;req_dat=xri:pqil:pq_clntid=131239&amp;svc_dat=xri:pqil:context=title&amp;rft_dat=xri:pqd:PMID=36088</t>
  </si>
  <si>
    <t>http://gateway.proquest.com/openurl?url_ver=Z39.88-2004&amp;res_dat=xri:pqm&amp;rft_val_fmt=info:ofi/fmt:kev:mtx:journal&amp;genre=journal&amp;req_dat=xri:pqil:pq_clntid=131239&amp;svc_dat=xri:pqil:context=title&amp;rft_dat=xri:pqd:PMID=46459</t>
  </si>
  <si>
    <t>Highland Heights</t>
  </si>
  <si>
    <t>http://gateway.proquest.com/openurl?url_ver=Z39.88-2004&amp;res_dat=xri:pqm&amp;rft_val_fmt=info:ofi/fmt:kev:mtx:journal&amp;genre=journal&amp;req_dat=xri:pqil:pq_clntid=131239&amp;svc_dat=xri:pqil:context=title&amp;rft_dat=xri:pqd:PMID=13066</t>
  </si>
  <si>
    <t>http://gateway.proquest.com/openurl?url_ver=Z39.88-2004&amp;res_dat=xri:pqm&amp;rft_val_fmt=info:ofi/fmt:kev:mtx:journal&amp;genre=journal&amp;req_dat=xri:pqil:pq_clntid=131239&amp;svc_dat=xri:pqil:context=title&amp;rft_dat=xri:pqd:PMID=1386339</t>
  </si>
  <si>
    <t>Ross-on-Wye</t>
  </si>
  <si>
    <t>http://gateway.proquest.com/openurl?url_ver=Z39.88-2004&amp;res_dat=xri:pqm&amp;rft_val_fmt=info:ofi/fmt:kev:mtx:journal&amp;genre=journal&amp;req_dat=xri:pqil:pq_clntid=131239&amp;svc_dat=xri:pqil:context=title&amp;rft_dat=xri:pqd:PMID=2033169</t>
  </si>
  <si>
    <t>http://gateway.proquest.com/openurl?url_ver=Z39.88-2004&amp;res_dat=xri:pqm&amp;rft_val_fmt=info:ofi/fmt:kev:mtx:journal&amp;genre=journal&amp;req_dat=xri:pqil:pq_clntid=131239&amp;svc_dat=xri:pqil:context=title&amp;rft_dat=xri:pqd:PMID=48985</t>
  </si>
  <si>
    <t>http://gateway.proquest.com/openurl?url_ver=Z39.88-2004&amp;res_dat=xri:pqm&amp;rft_val_fmt=info:ofi/fmt:kev:mtx:journal&amp;genre=journal&amp;req_dat=xri:pqil:pq_clntid=131239&amp;svc_dat=xri:pqil:context=title&amp;rft_dat=xri:pqd:PMID=54159</t>
  </si>
  <si>
    <t>http://gateway.proquest.com/openurl?url_ver=Z39.88-2004&amp;res_dat=xri:pqm&amp;rft_val_fmt=info:ofi/fmt:kev:mtx:journal&amp;genre=journal&amp;req_dat=xri:pqil:pq_clntid=131239&amp;svc_dat=xri:pqil:context=title&amp;rft_dat=xri:pqd:PMID=33804</t>
  </si>
  <si>
    <t>http://gateway.proquest.com/openurl?url_ver=Z39.88-2004&amp;res_dat=xri:pqm&amp;rft_val_fmt=info:ofi/fmt:kev:mtx:journal&amp;genre=journal&amp;req_dat=xri:pqil:pq_clntid=131239&amp;svc_dat=xri:pqil:context=title&amp;rft_dat=xri:pqd:PMID=34005</t>
  </si>
  <si>
    <t>Education--Special Education And Rehabilitation|People With Disabilities|Religions And Theology</t>
  </si>
  <si>
    <t>http://gateway.proquest.com/openurl?url_ver=Z39.88-2004&amp;res_dat=xri:pqm&amp;rft_val_fmt=info:ofi/fmt:kev:mtx:journal&amp;genre=journal&amp;req_dat=xri:pqil:pq_clntid=131239&amp;svc_dat=xri:pqil:context=title&amp;rft_dat=xri:pqd:PMID=2040110</t>
  </si>
  <si>
    <t>Law|People With Disabilities</t>
  </si>
  <si>
    <t>http://gateway.proquest.com/openurl?url_ver=Z39.88-2004&amp;res_dat=xri:pqm&amp;rft_val_fmt=info:ofi/fmt:kev:mtx:journal&amp;genre=journal&amp;req_dat=xri:pqil:pq_clntid=131239&amp;svc_dat=xri:pqil:context=title&amp;rft_dat=xri:pqd:PMID=26334</t>
  </si>
  <si>
    <t>http://gateway.proquest.com/openurl?url_ver=Z39.88-2004&amp;res_dat=xri:pqm&amp;rft_val_fmt=info:ofi/fmt:kev:mtx:journal&amp;genre=journal&amp;req_dat=xri:pqil:pq_clntid=131239&amp;svc_dat=xri:pqil:context=title&amp;rft_dat=xri:pqd:PMID=2026889</t>
  </si>
  <si>
    <t>http://gateway.proquest.com/openurl?url_ver=Z39.88-2004&amp;res_dat=xri:pqm&amp;rft_val_fmt=info:ofi/fmt:kev:mtx:journal&amp;genre=journal&amp;req_dat=xri:pqil:pq_clntid=131239&amp;svc_dat=xri:pqil:context=title&amp;rft_dat=xri:pqd:PMID=11381</t>
  </si>
  <si>
    <t>http://gateway.proquest.com/openurl?url_ver=Z39.88-2004&amp;res_dat=xri:pqm&amp;rft_val_fmt=info:ofi/fmt:kev:mtx:journal&amp;genre=journal&amp;req_dat=xri:pqil:pq_clntid=131239&amp;svc_dat=xri:pqil:context=title&amp;rft_dat=xri:pqd:PMID=2034843</t>
  </si>
  <si>
    <t>http://gateway.proquest.com/openurl?url_ver=Z39.88-2004&amp;res_dat=xri:pqm&amp;rft_val_fmt=info:ofi/fmt:kev:mtx:journal&amp;genre=journal&amp;req_dat=xri:pqil:pq_clntid=131239&amp;svc_dat=xri:pqil:context=title&amp;rft_dat=xri:pqd:PMID=105520</t>
  </si>
  <si>
    <t>01-Jan-1988--01-Apr-1996</t>
  </si>
  <si>
    <t>01-Jan-1988--01-Jul-1995; 01-Jan-2014--01-Sep-2016</t>
  </si>
  <si>
    <t>http://gateway.proquest.com/openurl?url_ver=Z39.88-2004&amp;res_dat=xri:pqm&amp;rft_val_fmt=info:ofi/fmt:kev:mtx:journal&amp;genre=journal&amp;req_dat=xri:pqil:pq_clntid=131239&amp;svc_dat=xri:pqil:context=title&amp;rft_dat=xri:pqd:PMID=34918</t>
  </si>
  <si>
    <t>http://gateway.proquest.com/openurl?url_ver=Z39.88-2004&amp;res_dat=xri:pqm&amp;rft_val_fmt=info:ofi/fmt:kev:mtx:journal&amp;genre=journal&amp;req_dat=xri:pqil:pq_clntid=131239&amp;svc_dat=xri:pqil:context=title&amp;rft_dat=xri:pqd:PMID=43095</t>
  </si>
  <si>
    <t>http://gateway.proquest.com/openurl?url_ver=Z39.88-2004&amp;res_dat=xri:pqm&amp;rft_val_fmt=info:ofi/fmt:kev:mtx:journal&amp;genre=journal&amp;req_dat=xri:pqil:pq_clntid=131239&amp;svc_dat=xri:pqil:context=title&amp;rft_dat=xri:pqd:PMID=40348</t>
  </si>
  <si>
    <t>http://gateway.proquest.com/openurl?url_ver=Z39.88-2004&amp;res_dat=xri:pqm&amp;rft_val_fmt=info:ofi/fmt:kev:mtx:journal&amp;genre=journal&amp;req_dat=xri:pqil:pq_clntid=131239&amp;svc_dat=xri:pqil:context=title&amp;rft_dat=xri:pqd:PMID=38160</t>
  </si>
  <si>
    <t>http://gateway.proquest.com/openurl?url_ver=Z39.88-2004&amp;res_dat=xri:pqm&amp;rft_val_fmt=info:ofi/fmt:kev:mtx:journal&amp;genre=journal&amp;req_dat=xri:pqil:pq_clntid=131239&amp;svc_dat=xri:pqil:context=title&amp;rft_dat=xri:pqd:PMID=4543194</t>
  </si>
  <si>
    <t>http://gateway.proquest.com/openurl?url_ver=Z39.88-2004&amp;res_dat=xri:pqm&amp;rft_val_fmt=info:ofi/fmt:kev:mtx:journal&amp;genre=journal&amp;req_dat=xri:pqil:pq_clntid=131239&amp;svc_dat=xri:pqil:context=title&amp;rft_dat=xri:pqd:PMID=1216398</t>
  </si>
  <si>
    <t>http://gateway.proquest.com/openurl?url_ver=Z39.88-2004&amp;res_dat=xri:pqm&amp;rft_val_fmt=info:ofi/fmt:kev:mtx:journal&amp;genre=journal&amp;req_dat=xri:pqil:pq_clntid=131239&amp;svc_dat=xri:pqil:context=title&amp;rft_dat=xri:pqd:PMID=32947</t>
  </si>
  <si>
    <t>http://gateway.proquest.com/openurl?url_ver=Z39.88-2004&amp;res_dat=xri:pqm&amp;rft_val_fmt=info:ofi/fmt:kev:mtx:journal&amp;genre=journal&amp;req_dat=xri:pqil:pq_clntid=131239&amp;svc_dat=xri:pqil:context=title&amp;rft_dat=xri:pqd:PMID=2040217</t>
  </si>
  <si>
    <t>http://gateway.proquest.com/openurl?url_ver=Z39.88-2004&amp;res_dat=xri:pqm&amp;rft_val_fmt=info:ofi/fmt:kev:mtx:journal&amp;genre=journal&amp;req_dat=xri:pqil:pq_clntid=131239&amp;svc_dat=xri:pqil:context=title&amp;rft_dat=xri:pqd:PMID=45653</t>
  </si>
  <si>
    <t>http://gateway.proquest.com/openurl?url_ver=Z39.88-2004&amp;res_dat=xri:pqm&amp;rft_val_fmt=info:ofi/fmt:kev:mtx:journal&amp;genre=journal&amp;req_dat=xri:pqil:pq_clntid=131239&amp;svc_dat=xri:pqil:context=title&amp;rft_dat=xri:pqd:PMID=45654</t>
  </si>
  <si>
    <t>http://gateway.proquest.com/openurl?url_ver=Z39.88-2004&amp;res_dat=xri:pqm&amp;rft_val_fmt=info:ofi/fmt:kev:mtx:journal&amp;genre=journal&amp;req_dat=xri:pqil:pq_clntid=131239&amp;svc_dat=xri:pqil:context=title&amp;rft_dat=xri:pqd:PMID=41432</t>
  </si>
  <si>
    <t>Taipei</t>
  </si>
  <si>
    <t>http://gateway.proquest.com/openurl?url_ver=Z39.88-2004&amp;res_dat=xri:pqm&amp;rft_val_fmt=info:ofi/fmt:kev:mtx:journal&amp;genre=journal&amp;req_dat=xri:pqil:pq_clntid=131239&amp;svc_dat=xri:pqil:context=title&amp;rft_dat=xri:pqd:PMID=2043106</t>
  </si>
  <si>
    <t>http://gateway.proquest.com/openurl?url_ver=Z39.88-2004&amp;res_dat=xri:pqm&amp;rft_val_fmt=info:ofi/fmt:kev:mtx:journal&amp;genre=journal&amp;req_dat=xri:pqil:pq_clntid=131239&amp;svc_dat=xri:pqil:context=title&amp;rft_dat=xri:pqd:PMID=46400</t>
  </si>
  <si>
    <t>http://gateway.proquest.com/openurl?url_ver=Z39.88-2004&amp;res_dat=xri:pqm&amp;rft_val_fmt=info:ofi/fmt:kev:mtx:journal&amp;genre=journal&amp;req_dat=xri:pqil:pq_clntid=131239&amp;svc_dat=xri:pqil:context=title&amp;rft_dat=xri:pqd:PMID=46263</t>
  </si>
  <si>
    <t>http://gateway.proquest.com/openurl?url_ver=Z39.88-2004&amp;res_dat=xri:pqm&amp;rft_val_fmt=info:ofi/fmt:kev:mtx:journal&amp;genre=journal&amp;req_dat=xri:pqil:pq_clntid=131239&amp;svc_dat=xri:pqil:context=title&amp;rft_dat=xri:pqd:PMID=42319</t>
  </si>
  <si>
    <t>Bloomington</t>
  </si>
  <si>
    <t>http://gateway.proquest.com/openurl?url_ver=Z39.88-2004&amp;res_dat=xri:pqm&amp;rft_val_fmt=info:ofi/fmt:kev:mtx:journal&amp;genre=journal&amp;req_dat=xri:pqil:pq_clntid=131239&amp;svc_dat=xri:pqil:context=title&amp;rft_dat=xri:pqd:PMID=40761</t>
  </si>
  <si>
    <t>Ploiesti</t>
  </si>
  <si>
    <t>http://gateway.proquest.com/openurl?url_ver=Z39.88-2004&amp;res_dat=xri:pqm&amp;rft_val_fmt=info:ofi/fmt:kev:mtx:journal&amp;genre=journal&amp;req_dat=xri:pqil:pq_clntid=131239&amp;svc_dat=xri:pqil:context=title&amp;rft_dat=xri:pqd:PMID=786381</t>
  </si>
  <si>
    <t>01-Jan-2001--31-Dec-2003</t>
  </si>
  <si>
    <t>http://gateway.proquest.com/openurl?url_ver=Z39.88-2004&amp;res_dat=xri:pqm&amp;rft_val_fmt=info:ofi/fmt:kev:mtx:journal&amp;genre=journal&amp;req_dat=xri:pqil:pq_clntid=131239&amp;svc_dat=xri:pqil:context=title&amp;rft_dat=xri:pqd:PMID=6204</t>
  </si>
  <si>
    <t>http://gateway.proquest.com/openurl?url_ver=Z39.88-2004&amp;res_dat=xri:pqm&amp;rft_val_fmt=info:ofi/fmt:kev:mtx:journal&amp;genre=journal&amp;req_dat=xri:pqil:pq_clntid=131239&amp;svc_dat=xri:pqil:context=title&amp;rft_dat=xri:pqd:PMID=45689</t>
  </si>
  <si>
    <t>http://gateway.proquest.com/openurl?url_ver=Z39.88-2004&amp;res_dat=xri:pqm&amp;rft_val_fmt=info:ofi/fmt:kev:mtx:journal&amp;genre=journal&amp;req_dat=xri:pqil:pq_clntid=131239&amp;svc_dat=xri:pqil:context=title&amp;rft_dat=xri:pqd:PMID=31756</t>
  </si>
  <si>
    <t>http://gateway.proquest.com/openurl?url_ver=Z39.88-2004&amp;res_dat=xri:pqm&amp;rft_val_fmt=info:ofi/fmt:kev:mtx:journal&amp;genre=journal&amp;req_dat=xri:pqil:pq_clntid=131239&amp;svc_dat=xri:pqil:context=title&amp;rft_dat=xri:pqd:PMID=75959</t>
  </si>
  <si>
    <t>http://gateway.proquest.com/openurl?url_ver=Z39.88-2004&amp;res_dat=xri:pqm&amp;rft_val_fmt=info:ofi/fmt:kev:mtx:journal&amp;genre=journal&amp;req_dat=xri:pqil:pq_clntid=131239&amp;svc_dat=xri:pqil:context=title&amp;rft_dat=xri:pqd:PMID=2350</t>
  </si>
  <si>
    <t>http://gateway.proquest.com/openurl?url_ver=Z39.88-2004&amp;res_dat=xri:pqm&amp;rft_val_fmt=info:ofi/fmt:kev:mtx:journal&amp;genre=journal&amp;req_dat=xri:pqil:pq_clntid=131239&amp;svc_dat=xri:pqil:context=title&amp;rft_dat=xri:pqd:PMID=34493</t>
  </si>
  <si>
    <t>http://gateway.proquest.com/openurl?url_ver=Z39.88-2004&amp;res_dat=xri:pqm&amp;rft_val_fmt=info:ofi/fmt:kev:mtx:journal&amp;genre=journal&amp;req_dat=xri:pqil:pq_clntid=131239&amp;svc_dat=xri:pqil:context=title&amp;rft_dat=xri:pqd:PMID=2041065</t>
  </si>
  <si>
    <t>http://gateway.proquest.com/openurl?url_ver=Z39.88-2004&amp;res_dat=xri:pqm&amp;rft_val_fmt=info:ofi/fmt:kev:mtx:journal&amp;genre=journal&amp;req_dat=xri:pqil:pq_clntid=131239&amp;svc_dat=xri:pqil:context=title&amp;rft_dat=xri:pqd:PMID=2041062</t>
  </si>
  <si>
    <t>Whitby</t>
  </si>
  <si>
    <t>http://gateway.proquest.com/openurl?url_ver=Z39.88-2004&amp;res_dat=xri:pqm&amp;rft_val_fmt=info:ofi/fmt:kev:mtx:journal&amp;genre=journal&amp;req_dat=xri:pqil:pq_clntid=131239&amp;svc_dat=xri:pqil:context=title&amp;rft_dat=xri:pqd:PMID=2033159</t>
  </si>
  <si>
    <t>http://gateway.proquest.com/openurl?url_ver=Z39.88-2004&amp;res_dat=xri:pqm&amp;rft_val_fmt=info:ofi/fmt:kev:mtx:journal&amp;genre=journal&amp;req_dat=xri:pqil:pq_clntid=131239&amp;svc_dat=xri:pqil:context=title&amp;rft_dat=xri:pqd:PMID=53152</t>
  </si>
  <si>
    <t>http://gateway.proquest.com/openurl?url_ver=Z39.88-2004&amp;res_dat=xri:pqm&amp;rft_val_fmt=info:ofi/fmt:kev:mtx:journal&amp;genre=journal&amp;req_dat=xri:pqil:pq_clntid=131239&amp;svc_dat=xri:pqil:context=title&amp;rft_dat=xri:pqd:PMID=45946</t>
  </si>
  <si>
    <t>http://gateway.proquest.com/openurl?url_ver=Z39.88-2004&amp;res_dat=xri:pqm&amp;rft_val_fmt=info:ofi/fmt:kev:mtx:journal&amp;genre=journal&amp;req_dat=xri:pqil:pq_clntid=131239&amp;svc_dat=xri:pqil:context=title&amp;rft_dat=xri:pqd:PMID=28893</t>
  </si>
  <si>
    <t>http://gateway.proquest.com/openurl?url_ver=Z39.88-2004&amp;res_dat=xri:pqm&amp;rft_val_fmt=info:ofi/fmt:kev:mtx:journal&amp;genre=journal&amp;req_dat=xri:pqil:pq_clntid=131239&amp;svc_dat=xri:pqil:context=title&amp;rft_dat=xri:pqd:PMID=2042089</t>
  </si>
  <si>
    <t>http://gateway.proquest.com/openurl?url_ver=Z39.88-2004&amp;res_dat=xri:pqm&amp;rft_val_fmt=info:ofi/fmt:kev:mtx:journal&amp;genre=journal&amp;req_dat=xri:pqil:pq_clntid=131239&amp;svc_dat=xri:pqil:context=title&amp;rft_dat=xri:pqd:PMID=31401</t>
  </si>
  <si>
    <t>http://gateway.proquest.com/openurl?url_ver=Z39.88-2004&amp;res_dat=xri:pqm&amp;rft_val_fmt=info:ofi/fmt:kev:mtx:journal&amp;genre=journal&amp;req_dat=xri:pqil:pq_clntid=131239&amp;svc_dat=xri:pqil:context=title&amp;rft_dat=xri:pqd:PMID=29837</t>
  </si>
  <si>
    <t>http://gateway.proquest.com/openurl?url_ver=Z39.88-2004&amp;res_dat=xri:pqm&amp;rft_val_fmt=info:ofi/fmt:kev:mtx:journal&amp;genre=journal&amp;req_dat=xri:pqil:pq_clntid=131239&amp;svc_dat=xri:pqil:context=title&amp;rft_dat=xri:pqd:PMID=54298</t>
  </si>
  <si>
    <t>http://gateway.proquest.com/openurl?url_ver=Z39.88-2004&amp;res_dat=xri:pqm&amp;rft_val_fmt=info:ofi/fmt:kev:mtx:journal&amp;genre=journal&amp;req_dat=xri:pqil:pq_clntid=131239&amp;svc_dat=xri:pqil:context=title&amp;rft_dat=xri:pqd:PMID=40928</t>
  </si>
  <si>
    <t>http://gateway.proquest.com/openurl?url_ver=Z39.88-2004&amp;res_dat=xri:pqm&amp;rft_val_fmt=info:ofi/fmt:kev:mtx:journal&amp;genre=journal&amp;req_dat=xri:pqil:pq_clntid=131239&amp;svc_dat=xri:pqil:context=title&amp;rft_dat=xri:pqd:PMID=7533</t>
  </si>
  <si>
    <t>http://gateway.proquest.com/openurl?url_ver=Z39.88-2004&amp;res_dat=xri:pqm&amp;rft_val_fmt=info:ofi/fmt:kev:mtx:journal&amp;genre=journal&amp;req_dat=xri:pqil:pq_clntid=131239&amp;svc_dat=xri:pqil:context=title&amp;rft_dat=xri:pqd:PMID=37630</t>
  </si>
  <si>
    <t>http://gateway.proquest.com/openurl?url_ver=Z39.88-2004&amp;res_dat=xri:pqm&amp;rft_val_fmt=info:ofi/fmt:kev:mtx:journal&amp;genre=journal&amp;req_dat=xri:pqil:pq_clntid=131239&amp;svc_dat=xri:pqil:context=title&amp;rft_dat=xri:pqd:PMID=37634</t>
  </si>
  <si>
    <t>http://gateway.proquest.com/openurl?url_ver=Z39.88-2004&amp;res_dat=xri:pqm&amp;rft_val_fmt=info:ofi/fmt:kev:mtx:journal&amp;genre=journal&amp;req_dat=xri:pqil:pq_clntid=131239&amp;svc_dat=xri:pqil:context=title&amp;rft_dat=xri:pqd:PMID=41282</t>
  </si>
  <si>
    <t>http://gateway.proquest.com/openurl?url_ver=Z39.88-2004&amp;res_dat=xri:pqm&amp;rft_val_fmt=info:ofi/fmt:kev:mtx:journal&amp;genre=journal&amp;req_dat=xri:pqil:pq_clntid=131239&amp;svc_dat=xri:pqil:context=title&amp;rft_dat=xri:pqd:PMID=4451110</t>
  </si>
  <si>
    <t>http://gateway.proquest.com/openurl?url_ver=Z39.88-2004&amp;res_dat=xri:pqm&amp;rft_val_fmt=info:ofi/fmt:kev:mtx:journal&amp;genre=journal&amp;req_dat=xri:pqil:pq_clntid=131239&amp;svc_dat=xri:pqil:context=title&amp;rft_dat=xri:pqd:PMID=5209</t>
  </si>
  <si>
    <t>http://gateway.proquest.com/openurl?url_ver=Z39.88-2004&amp;res_dat=xri:pqm&amp;rft_val_fmt=info:ofi/fmt:kev:mtx:journal&amp;genre=journal&amp;req_dat=xri:pqil:pq_clntid=131239&amp;svc_dat=xri:pqil:context=title&amp;rft_dat=xri:pqd:PMID=216140</t>
  </si>
  <si>
    <t>http://gateway.proquest.com/openurl?url_ver=Z39.88-2004&amp;res_dat=xri:pqm&amp;rft_val_fmt=info:ofi/fmt:kev:mtx:journal&amp;genre=journal&amp;req_dat=xri:pqil:pq_clntid=131239&amp;svc_dat=xri:pqil:context=title&amp;rft_dat=xri:pqd:PMID=37704</t>
  </si>
  <si>
    <t>http://gateway.proquest.com/openurl?url_ver=Z39.88-2004&amp;res_dat=xri:pqm&amp;rft_val_fmt=info:ofi/fmt:kev:mtx:journal&amp;genre=journal&amp;req_dat=xri:pqil:pq_clntid=131239&amp;svc_dat=xri:pqil:context=title&amp;rft_dat=xri:pqd:PMID=31052</t>
  </si>
  <si>
    <t>Newbury Park</t>
  </si>
  <si>
    <t>http://gateway.proquest.com/openurl?url_ver=Z39.88-2004&amp;res_dat=xri:pqm&amp;rft_val_fmt=info:ofi/fmt:kev:mtx:journal&amp;genre=journal&amp;req_dat=xri:pqil:pq_clntid=131239&amp;svc_dat=xri:pqil:context=title&amp;rft_dat=xri:pqd:PMID=30144</t>
  </si>
  <si>
    <t>http://gateway.proquest.com/openurl?url_ver=Z39.88-2004&amp;res_dat=xri:pqm&amp;rft_val_fmt=info:ofi/fmt:kev:mtx:journal&amp;genre=journal&amp;req_dat=xri:pqil:pq_clntid=131239&amp;svc_dat=xri:pqil:context=title&amp;rft_dat=xri:pqd:PMID=2040027</t>
  </si>
  <si>
    <t>http://gateway.proquest.com/openurl?url_ver=Z39.88-2004&amp;res_dat=xri:pqm&amp;rft_val_fmt=info:ofi/fmt:kev:mtx:journal&amp;genre=journal&amp;req_dat=xri:pqil:pq_clntid=131239&amp;svc_dat=xri:pqil:context=title&amp;rft_dat=xri:pqd:PMID=53093</t>
  </si>
  <si>
    <t>http://gateway.proquest.com/openurl?url_ver=Z39.88-2004&amp;res_dat=xri:pqm&amp;rft_val_fmt=info:ofi/fmt:kev:mtx:journal&amp;genre=journal&amp;req_dat=xri:pqil:pq_clntid=131239&amp;svc_dat=xri:pqil:context=title&amp;rft_dat=xri:pqd:PMID=2033151</t>
  </si>
  <si>
    <t>http://gateway.proquest.com/openurl?url_ver=Z39.88-2004&amp;res_dat=xri:pqm&amp;rft_val_fmt=info:ofi/fmt:kev:mtx:journal&amp;genre=journal&amp;req_dat=xri:pqil:pq_clntid=131239&amp;svc_dat=xri:pqil:context=title&amp;rft_dat=xri:pqd:PMID=5431407</t>
  </si>
  <si>
    <t>http://gateway.proquest.com/openurl?url_ver=Z39.88-2004&amp;res_dat=xri:pqm&amp;rft_val_fmt=info:ofi/fmt:kev:mtx:journal&amp;genre=journal&amp;req_dat=xri:pqil:pq_clntid=131239&amp;svc_dat=xri:pqil:context=title&amp;rft_dat=xri:pqd:PMID=28267</t>
  </si>
  <si>
    <t>Warrington</t>
  </si>
  <si>
    <t>http://gateway.proquest.com/openurl?url_ver=Z39.88-2004&amp;res_dat=xri:pqm&amp;rft_val_fmt=info:ofi/fmt:kev:mtx:journal&amp;genre=journal&amp;req_dat=xri:pqil:pq_clntid=131239&amp;svc_dat=xri:pqil:context=title&amp;rft_dat=xri:pqd:PMID=2033150</t>
  </si>
  <si>
    <t>http://gateway.proquest.com/openurl?url_ver=Z39.88-2004&amp;res_dat=xri:pqm&amp;rft_val_fmt=info:ofi/fmt:kev:mtx:journal&amp;genre=journal&amp;req_dat=xri:pqil:pq_clntid=131239&amp;svc_dat=xri:pqil:context=title&amp;rft_dat=xri:pqd:PMID=196222</t>
  </si>
  <si>
    <t>http://gateway.proquest.com/openurl?url_ver=Z39.88-2004&amp;res_dat=xri:pqm&amp;rft_val_fmt=info:ofi/fmt:kev:mtx:journal&amp;genre=journal&amp;req_dat=xri:pqil:pq_clntid=131239&amp;svc_dat=xri:pqil:context=title&amp;rft_dat=xri:pqd:PMID=37715</t>
  </si>
  <si>
    <t>http://gateway.proquest.com/openurl?url_ver=Z39.88-2004&amp;res_dat=xri:pqm&amp;rft_val_fmt=info:ofi/fmt:kev:mtx:journal&amp;genre=journal&amp;req_dat=xri:pqil:pq_clntid=131239&amp;svc_dat=xri:pqil:context=title&amp;rft_dat=xri:pqd:PMID=37909</t>
  </si>
  <si>
    <t>http://gateway.proquest.com/openurl?url_ver=Z39.88-2004&amp;res_dat=xri:pqm&amp;rft_val_fmt=info:ofi/fmt:kev:mtx:journal&amp;genre=journal&amp;req_dat=xri:pqil:pq_clntid=131239&amp;svc_dat=xri:pqil:context=title&amp;rft_dat=xri:pqd:PMID=47141</t>
  </si>
  <si>
    <t>http://gateway.proquest.com/openurl?url_ver=Z39.88-2004&amp;res_dat=xri:pqm&amp;rft_val_fmt=info:ofi/fmt:kev:mtx:journal&amp;genre=journal&amp;req_dat=xri:pqil:pq_clntid=131239&amp;svc_dat=xri:pqil:context=title&amp;rft_dat=xri:pqd:PMID=38873</t>
  </si>
  <si>
    <t>http://gateway.proquest.com/openurl?url_ver=Z39.88-2004&amp;res_dat=xri:pqm&amp;rft_val_fmt=info:ofi/fmt:kev:mtx:journal&amp;genre=journal&amp;req_dat=xri:pqil:pq_clntid=131239&amp;svc_dat=xri:pqil:context=title&amp;rft_dat=xri:pqd:PMID=2038293</t>
  </si>
  <si>
    <t>http://gateway.proquest.com/openurl?url_ver=Z39.88-2004&amp;res_dat=xri:pqm&amp;rft_val_fmt=info:ofi/fmt:kev:mtx:journal&amp;genre=journal&amp;req_dat=xri:pqil:pq_clntid=131239&amp;svc_dat=xri:pqil:context=title&amp;rft_dat=xri:pqd:PMID=44508</t>
  </si>
  <si>
    <t>http://gateway.proquest.com/openurl?url_ver=Z39.88-2004&amp;res_dat=xri:pqm&amp;rft_val_fmt=info:ofi/fmt:kev:mtx:journal&amp;genre=journal&amp;req_dat=xri:pqil:pq_clntid=131239&amp;svc_dat=xri:pqil:context=title&amp;rft_dat=xri:pqd:PMID=186234</t>
  </si>
  <si>
    <t>http://gateway.proquest.com/openurl?url_ver=Z39.88-2004&amp;res_dat=xri:pqm&amp;rft_val_fmt=info:ofi/fmt:kev:mtx:journal&amp;genre=journal&amp;req_dat=xri:pqil:pq_clntid=131239&amp;svc_dat=xri:pqil:context=title&amp;rft_dat=xri:pqd:PMID=196197</t>
  </si>
  <si>
    <t>http://gateway.proquest.com/openurl?url_ver=Z39.88-2004&amp;res_dat=xri:pqm&amp;rft_val_fmt=info:ofi/fmt:kev:mtx:journal&amp;genre=journal&amp;req_dat=xri:pqil:pq_clntid=131239&amp;svc_dat=xri:pqil:context=title&amp;rft_dat=xri:pqd:PMID=37471</t>
  </si>
  <si>
    <t>http://gateway.proquest.com/openurl?url_ver=Z39.88-2004&amp;res_dat=xri:pqm&amp;rft_val_fmt=info:ofi/fmt:kev:mtx:journal&amp;genre=journal&amp;req_dat=xri:pqil:pq_clntid=131239&amp;svc_dat=xri:pqil:context=title&amp;rft_dat=xri:pqd:PMID=2034451</t>
  </si>
  <si>
    <t>Lgbtq+|Medical Sciences--Psychiatry And Neurology|Psychology|Social Services And Welfare</t>
  </si>
  <si>
    <t>http://gateway.proquest.com/openurl?url_ver=Z39.88-2004&amp;res_dat=xri:pqm&amp;rft_val_fmt=info:ofi/fmt:kev:mtx:journal&amp;genre=journal&amp;req_dat=xri:pqil:pq_clntid=131239&amp;svc_dat=xri:pqil:context=title&amp;rft_dat=xri:pqd:PMID=18781</t>
  </si>
  <si>
    <t>Lgbtq+|Social Services And Welfare</t>
  </si>
  <si>
    <t>http://gateway.proquest.com/openurl?url_ver=Z39.88-2004&amp;res_dat=xri:pqm&amp;rft_val_fmt=info:ofi/fmt:kev:mtx:journal&amp;genre=journal&amp;req_dat=xri:pqil:pq_clntid=131239&amp;svc_dat=xri:pqil:context=title&amp;rft_dat=xri:pqd:PMID=45252</t>
  </si>
  <si>
    <t>http://gateway.proquest.com/openurl?url_ver=Z39.88-2004&amp;res_dat=xri:pqm&amp;rft_val_fmt=info:ofi/fmt:kev:mtx:journal&amp;genre=journal&amp;req_dat=xri:pqil:pq_clntid=131239&amp;svc_dat=xri:pqil:context=title&amp;rft_dat=xri:pqd:PMID=33228</t>
  </si>
  <si>
    <t>http://gateway.proquest.com/openurl?url_ver=Z39.88-2004&amp;res_dat=xri:pqm&amp;rft_val_fmt=info:ofi/fmt:kev:mtx:journal&amp;genre=journal&amp;req_dat=xri:pqil:pq_clntid=131239&amp;svc_dat=xri:pqil:context=title&amp;rft_dat=xri:pqd:PMID=36277</t>
  </si>
  <si>
    <t>http://gateway.proquest.com/openurl?url_ver=Z39.88-2004&amp;res_dat=xri:pqm&amp;rft_val_fmt=info:ofi/fmt:kev:mtx:journal&amp;genre=journal&amp;req_dat=xri:pqil:pq_clntid=131239&amp;svc_dat=xri:pqil:context=title&amp;rft_dat=xri:pqd:PMID=31322</t>
  </si>
  <si>
    <t>http://gateway.proquest.com/openurl?url_ver=Z39.88-2004&amp;res_dat=xri:pqm&amp;rft_val_fmt=info:ofi/fmt:kev:mtx:journal&amp;genre=journal&amp;req_dat=xri:pqil:pq_clntid=131239&amp;svc_dat=xri:pqil:context=title&amp;rft_dat=xri:pqd:PMID=34448</t>
  </si>
  <si>
    <t>http://gateway.proquest.com/openurl?url_ver=Z39.88-2004&amp;res_dat=xri:pqm&amp;rft_val_fmt=info:ofi/fmt:kev:mtx:journal&amp;genre=journal&amp;req_dat=xri:pqil:pq_clntid=131239&amp;svc_dat=xri:pqil:context=title&amp;rft_dat=xri:pqd:PMID=4170339</t>
  </si>
  <si>
    <t>http://gateway.proquest.com/openurl?url_ver=Z39.88-2004&amp;res_dat=xri:pqm&amp;rft_val_fmt=info:ofi/fmt:kev:mtx:journal&amp;genre=journal&amp;req_dat=xri:pqil:pq_clntid=131239&amp;svc_dat=xri:pqil:context=title&amp;rft_dat=xri:pqd:PMID=29863</t>
  </si>
  <si>
    <t>http://gateway.proquest.com/openurl?url_ver=Z39.88-2004&amp;res_dat=xri:pqm&amp;rft_val_fmt=info:ofi/fmt:kev:mtx:journal&amp;genre=journal&amp;req_dat=xri:pqil:pq_clntid=131239&amp;svc_dat=xri:pqil:context=title&amp;rft_dat=xri:pqd:PMID=11387</t>
  </si>
  <si>
    <t>http://gateway.proquest.com/openurl?url_ver=Z39.88-2004&amp;res_dat=xri:pqm&amp;rft_val_fmt=info:ofi/fmt:kev:mtx:journal&amp;genre=journal&amp;req_dat=xri:pqil:pq_clntid=131239&amp;svc_dat=xri:pqil:context=title&amp;rft_dat=xri:pqd:PMID=186233</t>
  </si>
  <si>
    <t>http://gateway.proquest.com/openurl?url_ver=Z39.88-2004&amp;res_dat=xri:pqm&amp;rft_val_fmt=info:ofi/fmt:kev:mtx:journal&amp;genre=journal&amp;req_dat=xri:pqil:pq_clntid=131239&amp;svc_dat=xri:pqil:context=title&amp;rft_dat=xri:pqd:PMID=2036551</t>
  </si>
  <si>
    <t>http://gateway.proquest.com/openurl?url_ver=Z39.88-2004&amp;res_dat=xri:pqm&amp;rft_val_fmt=info:ofi/fmt:kev:mtx:journal&amp;genre=journal&amp;req_dat=xri:pqil:pq_clntid=131239&amp;svc_dat=xri:pqil:context=title&amp;rft_dat=xri:pqd:PMID=55390</t>
  </si>
  <si>
    <t>Frederick</t>
  </si>
  <si>
    <t>http://gateway.proquest.com/openurl?url_ver=Z39.88-2004&amp;res_dat=xri:pqm&amp;rft_val_fmt=info:ofi/fmt:kev:mtx:journal&amp;genre=journal&amp;req_dat=xri:pqil:pq_clntid=131239&amp;svc_dat=xri:pqil:context=title&amp;rft_dat=xri:pqd:PMID=38109</t>
  </si>
  <si>
    <t>Milano</t>
  </si>
  <si>
    <t>http://gateway.proquest.com/openurl?url_ver=Z39.88-2004&amp;res_dat=xri:pqm&amp;rft_val_fmt=info:ofi/fmt:kev:mtx:journal&amp;genre=journal&amp;req_dat=xri:pqil:pq_clntid=131239&amp;svc_dat=xri:pqil:context=title&amp;rft_dat=xri:pqd:PMID=43392</t>
  </si>
  <si>
    <t>http://gateway.proquest.com/openurl?url_ver=Z39.88-2004&amp;res_dat=xri:pqm&amp;rft_val_fmt=info:ofi/fmt:kev:mtx:journal&amp;genre=journal&amp;req_dat=xri:pqil:pq_clntid=131239&amp;svc_dat=xri:pqil:context=title&amp;rft_dat=xri:pqd:PMID=196173</t>
  </si>
  <si>
    <t>http://gateway.proquest.com/openurl?url_ver=Z39.88-2004&amp;res_dat=xri:pqm&amp;rft_val_fmt=info:ofi/fmt:kev:mtx:journal&amp;genre=journal&amp;req_dat=xri:pqil:pq_clntid=131239&amp;svc_dat=xri:pqil:context=title&amp;rft_dat=xri:pqd:PMID=30234</t>
  </si>
  <si>
    <t>http://gateway.proquest.com/openurl?url_ver=Z39.88-2004&amp;res_dat=xri:pqm&amp;rft_val_fmt=info:ofi/fmt:kev:mtx:journal&amp;genre=journal&amp;req_dat=xri:pqil:pq_clntid=131239&amp;svc_dat=xri:pqil:context=title&amp;rft_dat=xri:pqd:PMID=105614</t>
  </si>
  <si>
    <t>http://gateway.proquest.com/openurl?url_ver=Z39.88-2004&amp;res_dat=xri:pqm&amp;rft_val_fmt=info:ofi/fmt:kev:mtx:journal&amp;genre=journal&amp;req_dat=xri:pqil:pq_clntid=131239&amp;svc_dat=xri:pqil:context=title&amp;rft_dat=xri:pqd:PMID=2033140</t>
  </si>
  <si>
    <t>Sarajevo</t>
  </si>
  <si>
    <t>http://gateway.proquest.com/openurl?url_ver=Z39.88-2004&amp;res_dat=xri:pqm&amp;rft_val_fmt=info:ofi/fmt:kev:mtx:journal&amp;genre=journal&amp;req_dat=xri:pqil:pq_clntid=131239&amp;svc_dat=xri:pqil:context=title&amp;rft_dat=xri:pqd:PMID=2035071</t>
  </si>
  <si>
    <t>http://gateway.proquest.com/openurl?url_ver=Z39.88-2004&amp;res_dat=xri:pqm&amp;rft_val_fmt=info:ofi/fmt:kev:mtx:journal&amp;genre=journal&amp;req_dat=xri:pqil:pq_clntid=131239&amp;svc_dat=xri:pqil:context=title&amp;rft_dat=xri:pqd:PMID=25061</t>
  </si>
  <si>
    <t>http://gateway.proquest.com/openurl?url_ver=Z39.88-2004&amp;res_dat=xri:pqm&amp;rft_val_fmt=info:ofi/fmt:kev:mtx:journal&amp;genre=journal&amp;req_dat=xri:pqil:pq_clntid=131239&amp;svc_dat=xri:pqil:context=title&amp;rft_dat=xri:pqd:PMID=41328</t>
  </si>
  <si>
    <t>Lgbtq+|Sociology</t>
  </si>
  <si>
    <t>http://gateway.proquest.com/openurl?url_ver=Z39.88-2004&amp;res_dat=xri:pqm&amp;rft_val_fmt=info:ofi/fmt:kev:mtx:journal&amp;genre=journal&amp;req_dat=xri:pqil:pq_clntid=131239&amp;svc_dat=xri:pqil:context=title&amp;rft_dat=xri:pqd:PMID=46991</t>
  </si>
  <si>
    <t>http://gateway.proquest.com/openurl?url_ver=Z39.88-2004&amp;res_dat=xri:pqm&amp;rft_val_fmt=info:ofi/fmt:kev:mtx:journal&amp;genre=journal&amp;req_dat=xri:pqil:pq_clntid=131239&amp;svc_dat=xri:pqil:context=title&amp;rft_dat=xri:pqd:PMID=52912</t>
  </si>
  <si>
    <t>http://gateway.proquest.com/openurl?url_ver=Z39.88-2004&amp;res_dat=xri:pqm&amp;rft_val_fmt=info:ofi/fmt:kev:mtx:journal&amp;genre=journal&amp;req_dat=xri:pqil:pq_clntid=131239&amp;svc_dat=xri:pqil:context=title&amp;rft_dat=xri:pqd:PMID=2036684</t>
  </si>
  <si>
    <t>http://gateway.proquest.com/openurl?url_ver=Z39.88-2004&amp;res_dat=xri:pqm&amp;rft_val_fmt=info:ofi/fmt:kev:mtx:journal&amp;genre=journal&amp;req_dat=xri:pqil:pq_clntid=131239&amp;svc_dat=xri:pqil:context=title&amp;rft_dat=xri:pqd:PMID=2030885</t>
  </si>
  <si>
    <t>01-Jan-1999--31-Dec-1999; 01-Jan-2001--31-Dec-2003</t>
  </si>
  <si>
    <t>http://gateway.proquest.com/openurl?url_ver=Z39.88-2004&amp;res_dat=xri:pqm&amp;rft_val_fmt=info:ofi/fmt:kev:mtx:journal&amp;genre=journal&amp;req_dat=xri:pqil:pq_clntid=131239&amp;svc_dat=xri:pqil:context=title&amp;rft_dat=xri:pqd:PMID=46224</t>
  </si>
  <si>
    <t>http://gateway.proquest.com/openurl?url_ver=Z39.88-2004&amp;res_dat=xri:pqm&amp;rft_val_fmt=info:ofi/fmt:kev:mtx:journal&amp;genre=journal&amp;req_dat=xri:pqil:pq_clntid=131239&amp;svc_dat=xri:pqil:context=title&amp;rft_dat=xri:pqd:PMID=35078</t>
  </si>
  <si>
    <t>http://gateway.proquest.com/openurl?url_ver=Z39.88-2004&amp;res_dat=xri:pqm&amp;rft_val_fmt=info:ofi/fmt:kev:mtx:journal&amp;genre=journal&amp;req_dat=xri:pqil:pq_clntid=131239&amp;svc_dat=xri:pqil:context=title&amp;rft_dat=xri:pqd:PMID=39812</t>
  </si>
  <si>
    <t>http://gateway.proquest.com/openurl?url_ver=Z39.88-2004&amp;res_dat=xri:pqm&amp;rft_val_fmt=info:ofi/fmt:kev:mtx:journal&amp;genre=journal&amp;req_dat=xri:pqil:pq_clntid=131239&amp;svc_dat=xri:pqil:context=title&amp;rft_dat=xri:pqd:PMID=35661</t>
  </si>
  <si>
    <t>http://gateway.proquest.com/openurl?url_ver=Z39.88-2004&amp;res_dat=xri:pqm&amp;rft_val_fmt=info:ofi/fmt:kev:mtx:journal&amp;genre=journal&amp;req_dat=xri:pqil:pq_clntid=131239&amp;svc_dat=xri:pqil:context=title&amp;rft_dat=xri:pqd:PMID=29582</t>
  </si>
  <si>
    <t>Kermanshah</t>
  </si>
  <si>
    <t>http://gateway.proquest.com/openurl?url_ver=Z39.88-2004&amp;res_dat=xri:pqm&amp;rft_val_fmt=info:ofi/fmt:kev:mtx:journal&amp;genre=journal&amp;req_dat=xri:pqil:pq_clntid=131239&amp;svc_dat=xri:pqil:context=title&amp;rft_dat=xri:pqd:PMID=266698</t>
  </si>
  <si>
    <t>Bacau</t>
  </si>
  <si>
    <t>http://gateway.proquest.com/openurl?url_ver=Z39.88-2004&amp;res_dat=xri:pqm&amp;rft_val_fmt=info:ofi/fmt:kev:mtx:journal&amp;genre=journal&amp;req_dat=xri:pqil:pq_clntid=131239&amp;svc_dat=xri:pqil:context=title&amp;rft_dat=xri:pqd:PMID=2055403</t>
  </si>
  <si>
    <t>Mobile</t>
  </si>
  <si>
    <t>http://gateway.proquest.com/openurl?url_ver=Z39.88-2004&amp;res_dat=xri:pqm&amp;rft_val_fmt=info:ofi/fmt:kev:mtx:journal&amp;genre=journal&amp;req_dat=xri:pqil:pq_clntid=131239&amp;svc_dat=xri:pqil:context=title&amp;rft_dat=xri:pqd:PMID=48173</t>
  </si>
  <si>
    <t>http://gateway.proquest.com/openurl?url_ver=Z39.88-2004&amp;res_dat=xri:pqm&amp;rft_val_fmt=info:ofi/fmt:kev:mtx:journal&amp;genre=journal&amp;req_dat=xri:pqil:pq_clntid=131239&amp;svc_dat=xri:pqil:context=title&amp;rft_dat=xri:pqd:PMID=48383</t>
  </si>
  <si>
    <t>http://gateway.proquest.com/openurl?url_ver=Z39.88-2004&amp;res_dat=xri:pqm&amp;rft_val_fmt=info:ofi/fmt:kev:mtx:journal&amp;genre=journal&amp;req_dat=xri:pqil:pq_clntid=131239&amp;svc_dat=xri:pqil:context=title&amp;rft_dat=xri:pqd:PMID=1006505</t>
  </si>
  <si>
    <t>http://gateway.proquest.com/openurl?url_ver=Z39.88-2004&amp;res_dat=xri:pqm&amp;rft_val_fmt=info:ofi/fmt:kev:mtx:journal&amp;genre=journal&amp;req_dat=xri:pqil:pq_clntid=131239&amp;svc_dat=xri:pqil:context=title&amp;rft_dat=xri:pqd:PMID=48635</t>
  </si>
  <si>
    <t>http://gateway.proquest.com/openurl?url_ver=Z39.88-2004&amp;res_dat=xri:pqm&amp;rft_val_fmt=info:ofi/fmt:kev:mtx:journal&amp;genre=journal&amp;req_dat=xri:pqil:pq_clntid=131239&amp;svc_dat=xri:pqil:context=title&amp;rft_dat=xri:pqd:PMID=2032379</t>
  </si>
  <si>
    <t>Lafayette</t>
  </si>
  <si>
    <t>http://gateway.proquest.com/openurl?url_ver=Z39.88-2004&amp;res_dat=xri:pqm&amp;rft_val_fmt=info:ofi/fmt:kev:mtx:journal&amp;genre=journal&amp;req_dat=xri:pqil:pq_clntid=131239&amp;svc_dat=xri:pqil:context=title&amp;rft_dat=xri:pqd:PMID=1036400</t>
  </si>
  <si>
    <t>http://gateway.proquest.com/openurl?url_ver=Z39.88-2004&amp;res_dat=xri:pqm&amp;rft_val_fmt=info:ofi/fmt:kev:mtx:journal&amp;genre=journal&amp;req_dat=xri:pqil:pq_clntid=131239&amp;svc_dat=xri:pqil:context=title&amp;rft_dat=xri:pqd:PMID=2040037</t>
  </si>
  <si>
    <t>http://gateway.proquest.com/openurl?url_ver=Z39.88-2004&amp;res_dat=xri:pqm&amp;rft_val_fmt=info:ofi/fmt:kev:mtx:journal&amp;genre=journal&amp;req_dat=xri:pqil:pq_clntid=131239&amp;svc_dat=xri:pqil:context=title&amp;rft_dat=xri:pqd:PMID=46994</t>
  </si>
  <si>
    <t>Journal of International Crisis and Risk Communication Research</t>
  </si>
  <si>
    <t>Nicholson School of Communication and Media at the University of Central Florida</t>
  </si>
  <si>
    <t>2576-0025</t>
  </si>
  <si>
    <t>http://gateway.proquest.com/openurl?url_ver=Z39.88-2004&amp;res_dat=xri:pqm&amp;rft_val_fmt=info:ofi/fmt:kev:mtx:journal&amp;genre=journal&amp;req_dat=xri:pqil:pq_clntid=131239&amp;svc_dat=xri:pqil:context=title&amp;rft_dat=xri:pqd:PMID=6480378</t>
  </si>
  <si>
    <t>http://gateway.proquest.com/openurl?url_ver=Z39.88-2004&amp;res_dat=xri:pqm&amp;rft_val_fmt=info:ofi/fmt:kev:mtx:journal&amp;genre=journal&amp;req_dat=xri:pqil:pq_clntid=131239&amp;svc_dat=xri:pqil:context=title&amp;rft_dat=xri:pqd:PMID=30963</t>
  </si>
  <si>
    <t>http://gateway.proquest.com/openurl?url_ver=Z39.88-2004&amp;res_dat=xri:pqm&amp;rft_val_fmt=info:ofi/fmt:kev:mtx:journal&amp;genre=journal&amp;req_dat=xri:pqil:pq_clntid=131239&amp;svc_dat=xri:pqil:context=title&amp;rft_dat=xri:pqd:PMID=37368</t>
  </si>
  <si>
    <t>http://gateway.proquest.com/openurl?url_ver=Z39.88-2004&amp;res_dat=xri:pqm&amp;rft_val_fmt=info:ofi/fmt:kev:mtx:journal&amp;genre=journal&amp;req_dat=xri:pqil:pq_clntid=131239&amp;svc_dat=xri:pqil:context=title&amp;rft_dat=xri:pqd:PMID=196250</t>
  </si>
  <si>
    <t>http://gateway.proquest.com/openurl?url_ver=Z39.88-2004&amp;res_dat=xri:pqm&amp;rft_val_fmt=info:ofi/fmt:kev:mtx:journal&amp;genre=journal&amp;req_dat=xri:pqil:pq_clntid=131239&amp;svc_dat=xri:pqil:context=title&amp;rft_dat=xri:pqd:PMID=2034148</t>
  </si>
  <si>
    <t>http://gateway.proquest.com/openurl?url_ver=Z39.88-2004&amp;res_dat=xri:pqm&amp;rft_val_fmt=info:ofi/fmt:kev:mtx:journal&amp;genre=journal&amp;req_dat=xri:pqil:pq_clntid=131239&amp;svc_dat=xri:pqil:context=title&amp;rft_dat=xri:pqd:PMID=2031010</t>
  </si>
  <si>
    <t>Kempston</t>
  </si>
  <si>
    <t>http://gateway.proquest.com/openurl?url_ver=Z39.88-2004&amp;res_dat=xri:pqm&amp;rft_val_fmt=info:ofi/fmt:kev:mtx:journal&amp;genre=journal&amp;req_dat=xri:pqil:pq_clntid=131239&amp;svc_dat=xri:pqil:context=title&amp;rft_dat=xri:pqd:PMID=46957</t>
  </si>
  <si>
    <t>Journal of LGBTQ Issues in Counseling</t>
  </si>
  <si>
    <t>2692-4951</t>
  </si>
  <si>
    <t>2692-496X</t>
  </si>
  <si>
    <t>http://gateway.proquest.com/openurl?url_ver=Z39.88-2004&amp;res_dat=xri:pqm&amp;rft_val_fmt=info:ofi/fmt:kev:mtx:journal&amp;genre=journal&amp;req_dat=xri:pqil:pq_clntid=131239&amp;svc_dat=xri:pqil:context=title&amp;rft_dat=xri:pqd:PMID=186333</t>
  </si>
  <si>
    <t>01-Jan-1985--31-Dec-1985</t>
  </si>
  <si>
    <t>http://gateway.proquest.com/openurl?url_ver=Z39.88-2004&amp;res_dat=xri:pqm&amp;rft_val_fmt=info:ofi/fmt:kev:mtx:journal&amp;genre=journal&amp;req_dat=xri:pqil:pq_clntid=131239&amp;svc_dat=xri:pqil:context=title&amp;rft_dat=xri:pqd:PMID=31929</t>
  </si>
  <si>
    <t>Flint</t>
  </si>
  <si>
    <t>http://gateway.proquest.com/openurl?url_ver=Z39.88-2004&amp;res_dat=xri:pqm&amp;rft_val_fmt=info:ofi/fmt:kev:mtx:journal&amp;genre=journal&amp;req_dat=xri:pqil:pq_clntid=131239&amp;svc_dat=xri:pqil:context=title&amp;rft_dat=xri:pqd:PMID=27332</t>
  </si>
  <si>
    <t>Lighthouse Point</t>
  </si>
  <si>
    <t>http://gateway.proquest.com/openurl?url_ver=Z39.88-2004&amp;res_dat=xri:pqm&amp;rft_val_fmt=info:ofi/fmt:kev:mtx:journal&amp;genre=journal&amp;req_dat=xri:pqil:pq_clntid=131239&amp;svc_dat=xri:pqil:context=title&amp;rft_dat=xri:pqd:PMID=39006</t>
  </si>
  <si>
    <t>http://gateway.proquest.com/openurl?url_ver=Z39.88-2004&amp;res_dat=xri:pqm&amp;rft_val_fmt=info:ofi/fmt:kev:mtx:journal&amp;genre=journal&amp;req_dat=xri:pqil:pq_clntid=131239&amp;svc_dat=xri:pqil:context=title&amp;rft_dat=xri:pqd:PMID=36290</t>
  </si>
  <si>
    <t>http://gateway.proquest.com/openurl?url_ver=Z39.88-2004&amp;res_dat=xri:pqm&amp;rft_val_fmt=info:ofi/fmt:kev:mtx:journal&amp;genre=journal&amp;req_dat=xri:pqil:pq_clntid=131239&amp;svc_dat=xri:pqil:context=title&amp;rft_dat=xri:pqd:PMID=34631</t>
  </si>
  <si>
    <t>http://gateway.proquest.com/openurl?url_ver=Z39.88-2004&amp;res_dat=xri:pqm&amp;rft_val_fmt=info:ofi/fmt:kev:mtx:journal&amp;genre=journal&amp;req_dat=xri:pqil:pq_clntid=131239&amp;svc_dat=xri:pqil:context=title&amp;rft_dat=xri:pqd:PMID=45427</t>
  </si>
  <si>
    <t>http://gateway.proquest.com/openurl?url_ver=Z39.88-2004&amp;res_dat=xri:pqm&amp;rft_val_fmt=info:ofi/fmt:kev:mtx:journal&amp;genre=journal&amp;req_dat=xri:pqil:pq_clntid=131239&amp;svc_dat=xri:pqil:context=title&amp;rft_dat=xri:pqd:PMID=6034</t>
  </si>
  <si>
    <t>Liverpool</t>
  </si>
  <si>
    <t>http://gateway.proquest.com/openurl?url_ver=Z39.88-2004&amp;res_dat=xri:pqm&amp;rft_val_fmt=info:ofi/fmt:kev:mtx:journal&amp;genre=journal&amp;req_dat=xri:pqil:pq_clntid=131239&amp;svc_dat=xri:pqil:context=title&amp;rft_dat=xri:pqd:PMID=76074</t>
  </si>
  <si>
    <t>http://gateway.proquest.com/openurl?url_ver=Z39.88-2004&amp;res_dat=xri:pqm&amp;rft_val_fmt=info:ofi/fmt:kev:mtx:journal&amp;genre=journal&amp;req_dat=xri:pqil:pq_clntid=131239&amp;svc_dat=xri:pqil:context=title&amp;rft_dat=xri:pqd:PMID=186330</t>
  </si>
  <si>
    <t>http://gateway.proquest.com/openurl?url_ver=Z39.88-2004&amp;res_dat=xri:pqm&amp;rft_val_fmt=info:ofi/fmt:kev:mtx:journal&amp;genre=journal&amp;req_dat=xri:pqil:pq_clntid=131239&amp;svc_dat=xri:pqil:context=title&amp;rft_dat=xri:pqd:PMID=37225</t>
  </si>
  <si>
    <t>Lyndfield</t>
  </si>
  <si>
    <t>http://gateway.proquest.com/openurl?url_ver=Z39.88-2004&amp;res_dat=xri:pqm&amp;rft_val_fmt=info:ofi/fmt:kev:mtx:journal&amp;genre=journal&amp;req_dat=xri:pqil:pq_clntid=131239&amp;svc_dat=xri:pqil:context=title&amp;rft_dat=xri:pqd:PMID=38879</t>
  </si>
  <si>
    <t>Pittsburg</t>
  </si>
  <si>
    <t>http://gateway.proquest.com/openurl?url_ver=Z39.88-2004&amp;res_dat=xri:pqm&amp;rft_val_fmt=info:ofi/fmt:kev:mtx:journal&amp;genre=journal&amp;req_dat=xri:pqil:pq_clntid=131239&amp;svc_dat=xri:pqil:context=title&amp;rft_dat=xri:pqd:PMID=32030</t>
  </si>
  <si>
    <t>http://gateway.proquest.com/openurl?url_ver=Z39.88-2004&amp;res_dat=xri:pqm&amp;rft_val_fmt=info:ofi/fmt:kev:mtx:journal&amp;genre=journal&amp;req_dat=xri:pqil:pq_clntid=131239&amp;svc_dat=xri:pqil:context=title&amp;rft_dat=xri:pqd:PMID=3488</t>
  </si>
  <si>
    <t>http://gateway.proquest.com/openurl?url_ver=Z39.88-2004&amp;res_dat=xri:pqm&amp;rft_val_fmt=info:ofi/fmt:kev:mtx:journal&amp;genre=journal&amp;req_dat=xri:pqil:pq_clntid=131239&amp;svc_dat=xri:pqil:context=title&amp;rft_dat=xri:pqd:PMID=47664</t>
  </si>
  <si>
    <t>http://gateway.proquest.com/openurl?url_ver=Z39.88-2004&amp;res_dat=xri:pqm&amp;rft_val_fmt=info:ofi/fmt:kev:mtx:journal&amp;genre=journal&amp;req_dat=xri:pqil:pq_clntid=131239&amp;svc_dat=xri:pqil:context=title&amp;rft_dat=xri:pqd:PMID=617</t>
  </si>
  <si>
    <t>http://gateway.proquest.com/openurl?url_ver=Z39.88-2004&amp;res_dat=xri:pqm&amp;rft_val_fmt=info:ofi/fmt:kev:mtx:journal&amp;genre=journal&amp;req_dat=xri:pqil:pq_clntid=131239&amp;svc_dat=xri:pqil:context=title&amp;rft_dat=xri:pqd:PMID=41809</t>
  </si>
  <si>
    <t>http://gateway.proquest.com/openurl?url_ver=Z39.88-2004&amp;res_dat=xri:pqm&amp;rft_val_fmt=info:ofi/fmt:kev:mtx:journal&amp;genre=journal&amp;req_dat=xri:pqil:pq_clntid=131239&amp;svc_dat=xri:pqil:context=title&amp;rft_dat=xri:pqd:PMID=25922</t>
  </si>
  <si>
    <t>http://gateway.proquest.com/openurl?url_ver=Z39.88-2004&amp;res_dat=xri:pqm&amp;rft_val_fmt=info:ofi/fmt:kev:mtx:journal&amp;genre=journal&amp;req_dat=xri:pqil:pq_clntid=131239&amp;svc_dat=xri:pqil:context=title&amp;rft_dat=xri:pqd:PMID=30597</t>
  </si>
  <si>
    <t>http://gateway.proquest.com/openurl?url_ver=Z39.88-2004&amp;res_dat=xri:pqm&amp;rft_val_fmt=info:ofi/fmt:kev:mtx:journal&amp;genre=journal&amp;req_dat=xri:pqil:pq_clntid=131239&amp;svc_dat=xri:pqil:context=title&amp;rft_dat=xri:pqd:PMID=27039</t>
  </si>
  <si>
    <t>http://gateway.proquest.com/openurl?url_ver=Z39.88-2004&amp;res_dat=xri:pqm&amp;rft_val_fmt=info:ofi/fmt:kev:mtx:journal&amp;genre=journal&amp;req_dat=xri:pqil:pq_clntid=131239&amp;svc_dat=xri:pqil:context=title&amp;rft_dat=xri:pqd:PMID=29955</t>
  </si>
  <si>
    <t>http://gateway.proquest.com/openurl?url_ver=Z39.88-2004&amp;res_dat=xri:pqm&amp;rft_val_fmt=info:ofi/fmt:kev:mtx:journal&amp;genre=journal&amp;req_dat=xri:pqil:pq_clntid=131239&amp;svc_dat=xri:pqil:context=title&amp;rft_dat=xri:pqd:PMID=32658</t>
  </si>
  <si>
    <t>http://gateway.proquest.com/openurl?url_ver=Z39.88-2004&amp;res_dat=xri:pqm&amp;rft_val_fmt=info:ofi/fmt:kev:mtx:journal&amp;genre=journal&amp;req_dat=xri:pqil:pq_clntid=131239&amp;svc_dat=xri:pqil:context=title&amp;rft_dat=xri:pqd:PMID=33358</t>
  </si>
  <si>
    <t>http://gateway.proquest.com/openurl?url_ver=Z39.88-2004&amp;res_dat=xri:pqm&amp;rft_val_fmt=info:ofi/fmt:kev:mtx:journal&amp;genre=journal&amp;req_dat=xri:pqil:pq_clntid=131239&amp;svc_dat=xri:pqil:context=title&amp;rft_dat=xri:pqd:PMID=47399</t>
  </si>
  <si>
    <t>http://gateway.proquest.com/openurl?url_ver=Z39.88-2004&amp;res_dat=xri:pqm&amp;rft_val_fmt=info:ofi/fmt:kev:mtx:journal&amp;genre=journal&amp;req_dat=xri:pqil:pq_clntid=131239&amp;svc_dat=xri:pqil:context=title&amp;rft_dat=xri:pqd:PMID=196165</t>
  </si>
  <si>
    <t>http://gateway.proquest.com/openurl?url_ver=Z39.88-2004&amp;res_dat=xri:pqm&amp;rft_val_fmt=info:ofi/fmt:kev:mtx:journal&amp;genre=journal&amp;req_dat=xri:pqil:pq_clntid=131239&amp;svc_dat=xri:pqil:context=title&amp;rft_dat=xri:pqd:PMID=1006506</t>
  </si>
  <si>
    <t>Journal of Military, Veteran and Family Health</t>
  </si>
  <si>
    <t>2368-7924</t>
  </si>
  <si>
    <t>Military</t>
  </si>
  <si>
    <t>http://gateway.proquest.com/openurl?url_ver=Z39.88-2004&amp;res_dat=xri:pqm&amp;rft_val_fmt=info:ofi/fmt:kev:mtx:journal&amp;genre=journal&amp;req_dat=xri:pqil:pq_clntid=131239&amp;svc_dat=xri:pqil:context=title&amp;rft_dat=xri:pqd:PMID=4431319</t>
  </si>
  <si>
    <t>http://gateway.proquest.com/openurl?url_ver=Z39.88-2004&amp;res_dat=xri:pqm&amp;rft_val_fmt=info:ofi/fmt:kev:mtx:journal&amp;genre=journal&amp;req_dat=xri:pqil:pq_clntid=131239&amp;svc_dat=xri:pqil:context=title&amp;rft_dat=xri:pqd:PMID=2036060</t>
  </si>
  <si>
    <t>Totowa</t>
  </si>
  <si>
    <t>http://gateway.proquest.com/openurl?url_ver=Z39.88-2004&amp;res_dat=xri:pqm&amp;rft_val_fmt=info:ofi/fmt:kev:mtx:journal&amp;genre=journal&amp;req_dat=xri:pqil:pq_clntid=131239&amp;svc_dat=xri:pqil:context=title&amp;rft_dat=xri:pqd:PMID=326248</t>
  </si>
  <si>
    <t>http://gateway.proquest.com/openurl?url_ver=Z39.88-2004&amp;res_dat=xri:pqm&amp;rft_val_fmt=info:ofi/fmt:kev:mtx:journal&amp;genre=journal&amp;req_dat=xri:pqil:pq_clntid=131239&amp;svc_dat=xri:pqil:context=title&amp;rft_dat=xri:pqd:PMID=2040214</t>
  </si>
  <si>
    <t>http://gateway.proquest.com/openurl?url_ver=Z39.88-2004&amp;res_dat=xri:pqm&amp;rft_val_fmt=info:ofi/fmt:kev:mtx:journal&amp;genre=journal&amp;req_dat=xri:pqil:pq_clntid=131239&amp;svc_dat=xri:pqil:context=title&amp;rft_dat=xri:pqd:PMID=35941</t>
  </si>
  <si>
    <t>http://gateway.proquest.com/openurl?url_ver=Z39.88-2004&amp;res_dat=xri:pqm&amp;rft_val_fmt=info:ofi/fmt:kev:mtx:journal&amp;genre=journal&amp;req_dat=xri:pqil:pq_clntid=131239&amp;svc_dat=xri:pqil:context=title&amp;rft_dat=xri:pqd:PMID=3748007</t>
  </si>
  <si>
    <t>http://gateway.proquest.com/openurl?url_ver=Z39.88-2004&amp;res_dat=xri:pqm&amp;rft_val_fmt=info:ofi/fmt:kev:mtx:journal&amp;genre=journal&amp;req_dat=xri:pqil:pq_clntid=131239&amp;svc_dat=xri:pqil:context=title&amp;rft_dat=xri:pqd:PMID=35948</t>
  </si>
  <si>
    <t>Silver Spring</t>
  </si>
  <si>
    <t>http://gateway.proquest.com/openurl?url_ver=Z39.88-2004&amp;res_dat=xri:pqm&amp;rft_val_fmt=info:ofi/fmt:kev:mtx:journal&amp;genre=journal&amp;req_dat=xri:pqil:pq_clntid=131239&amp;svc_dat=xri:pqil:context=title&amp;rft_dat=xri:pqd:PMID=47718</t>
  </si>
  <si>
    <t>http://gateway.proquest.com/openurl?url_ver=Z39.88-2004&amp;res_dat=xri:pqm&amp;rft_val_fmt=info:ofi/fmt:kev:mtx:journal&amp;genre=journal&amp;req_dat=xri:pqil:pq_clntid=131239&amp;svc_dat=xri:pqil:context=title&amp;rft_dat=xri:pqd:PMID=2033117</t>
  </si>
  <si>
    <t>http://gateway.proquest.com/openurl?url_ver=Z39.88-2004&amp;res_dat=xri:pqm&amp;rft_val_fmt=info:ofi/fmt:kev:mtx:journal&amp;genre=journal&amp;req_dat=xri:pqil:pq_clntid=131239&amp;svc_dat=xri:pqil:context=title&amp;rft_dat=xri:pqd:PMID=47655</t>
  </si>
  <si>
    <t>http://gateway.proquest.com/openurl?url_ver=Z39.88-2004&amp;res_dat=xri:pqm&amp;rft_val_fmt=info:ofi/fmt:kev:mtx:journal&amp;genre=journal&amp;req_dat=xri:pqil:pq_clntid=131239&amp;svc_dat=xri:pqil:context=title&amp;rft_dat=xri:pqd:PMID=25199</t>
  </si>
  <si>
    <t>Wien</t>
  </si>
  <si>
    <t>http://gateway.proquest.com/openurl?url_ver=Z39.88-2004&amp;res_dat=xri:pqm&amp;rft_val_fmt=info:ofi/fmt:kev:mtx:journal&amp;genre=journal&amp;req_dat=xri:pqil:pq_clntid=131239&amp;svc_dat=xri:pqil:context=title&amp;rft_dat=xri:pqd:PMID=51646</t>
  </si>
  <si>
    <t>http://gateway.proquest.com/openurl?url_ver=Z39.88-2004&amp;res_dat=xri:pqm&amp;rft_val_fmt=info:ofi/fmt:kev:mtx:journal&amp;genre=journal&amp;req_dat=xri:pqil:pq_clntid=131239&amp;svc_dat=xri:pqil:context=title&amp;rft_dat=xri:pqd:PMID=31528</t>
  </si>
  <si>
    <t>http://gateway.proquest.com/openurl?url_ver=Z39.88-2004&amp;res_dat=xri:pqm&amp;rft_val_fmt=info:ofi/fmt:kev:mtx:journal&amp;genre=journal&amp;req_dat=xri:pqil:pq_clntid=131239&amp;svc_dat=xri:pqil:context=title&amp;rft_dat=xri:pqd:PMID=2040182</t>
  </si>
  <si>
    <t>http://gateway.proquest.com/openurl?url_ver=Z39.88-2004&amp;res_dat=xri:pqm&amp;rft_val_fmt=info:ofi/fmt:kev:mtx:journal&amp;genre=journal&amp;req_dat=xri:pqil:pq_clntid=131239&amp;svc_dat=xri:pqil:context=title&amp;rft_dat=xri:pqd:PMID=2041057</t>
  </si>
  <si>
    <t>http://gateway.proquest.com/openurl?url_ver=Z39.88-2004&amp;res_dat=xri:pqm&amp;rft_val_fmt=info:ofi/fmt:kev:mtx:journal&amp;genre=journal&amp;req_dat=xri:pqil:pq_clntid=131239&amp;svc_dat=xri:pqil:context=title&amp;rft_dat=xri:pqd:PMID=2041058</t>
  </si>
  <si>
    <t>http://gateway.proquest.com/openurl?url_ver=Z39.88-2004&amp;res_dat=xri:pqm&amp;rft_val_fmt=info:ofi/fmt:kev:mtx:journal&amp;genre=journal&amp;req_dat=xri:pqil:pq_clntid=131239&amp;svc_dat=xri:pqil:context=title&amp;rft_dat=xri:pqd:PMID=2041879</t>
  </si>
  <si>
    <t>http://gateway.proquest.com/openurl?url_ver=Z39.88-2004&amp;res_dat=xri:pqm&amp;rft_val_fmt=info:ofi/fmt:kev:mtx:journal&amp;genre=journal&amp;req_dat=xri:pqil:pq_clntid=131239&amp;svc_dat=xri:pqil:context=title&amp;rft_dat=xri:pqd:PMID=34343</t>
  </si>
  <si>
    <t>http://gateway.proquest.com/openurl?url_ver=Z39.88-2004&amp;res_dat=xri:pqm&amp;rft_val_fmt=info:ofi/fmt:kev:mtx:journal&amp;genre=journal&amp;req_dat=xri:pqil:pq_clntid=131239&amp;svc_dat=xri:pqil:context=title&amp;rft_dat=xri:pqd:PMID=226476</t>
  </si>
  <si>
    <t>Merino</t>
  </si>
  <si>
    <t>http://gateway.proquest.com/openurl?url_ver=Z39.88-2004&amp;res_dat=xri:pqm&amp;rft_val_fmt=info:ofi/fmt:kev:mtx:journal&amp;genre=journal&amp;req_dat=xri:pqil:pq_clntid=131239&amp;svc_dat=xri:pqil:context=title&amp;rft_dat=xri:pqd:PMID=436394</t>
  </si>
  <si>
    <t>http://gateway.proquest.com/openurl?url_ver=Z39.88-2004&amp;res_dat=xri:pqm&amp;rft_val_fmt=info:ofi/fmt:kev:mtx:journal&amp;genre=journal&amp;req_dat=xri:pqil:pq_clntid=131239&amp;svc_dat=xri:pqil:context=title&amp;rft_dat=xri:pqd:PMID=33649</t>
  </si>
  <si>
    <t>http://gateway.proquest.com/openurl?url_ver=Z39.88-2004&amp;res_dat=xri:pqm&amp;rft_val_fmt=info:ofi/fmt:kev:mtx:journal&amp;genre=journal&amp;req_dat=xri:pqil:pq_clntid=131239&amp;svc_dat=xri:pqil:context=title&amp;rft_dat=xri:pqd:PMID=48527</t>
  </si>
  <si>
    <t>http://gateway.proquest.com/openurl?url_ver=Z39.88-2004&amp;res_dat=xri:pqm&amp;rft_val_fmt=info:ofi/fmt:kev:mtx:journal&amp;genre=journal&amp;req_dat=xri:pqil:pq_clntid=131239&amp;svc_dat=xri:pqil:context=title&amp;rft_dat=xri:pqd:PMID=46673</t>
  </si>
  <si>
    <t>http://gateway.proquest.com/openurl?url_ver=Z39.88-2004&amp;res_dat=xri:pqm&amp;rft_val_fmt=info:ofi/fmt:kev:mtx:journal&amp;genre=journal&amp;req_dat=xri:pqil:pq_clntid=131239&amp;svc_dat=xri:pqil:context=title&amp;rft_dat=xri:pqd:PMID=46765</t>
  </si>
  <si>
    <t>http://gateway.proquest.com/openurl?url_ver=Z39.88-2004&amp;res_dat=xri:pqm&amp;rft_val_fmt=info:ofi/fmt:kev:mtx:journal&amp;genre=journal&amp;req_dat=xri:pqil:pq_clntid=131239&amp;svc_dat=xri:pqil:context=title&amp;rft_dat=xri:pqd:PMID=8794</t>
  </si>
  <si>
    <t>http://gateway.proquest.com/openurl?url_ver=Z39.88-2004&amp;res_dat=xri:pqm&amp;rft_val_fmt=info:ofi/fmt:kev:mtx:journal&amp;genre=journal&amp;req_dat=xri:pqil:pq_clntid=131239&amp;svc_dat=xri:pqil:context=title&amp;rft_dat=xri:pqd:PMID=28850</t>
  </si>
  <si>
    <t>http://gateway.proquest.com/openurl?url_ver=Z39.88-2004&amp;res_dat=xri:pqm&amp;rft_val_fmt=info:ofi/fmt:kev:mtx:journal&amp;genre=journal&amp;req_dat=xri:pqil:pq_clntid=131239&amp;svc_dat=xri:pqil:context=title&amp;rft_dat=xri:pqd:PMID=47891</t>
  </si>
  <si>
    <t>http://gateway.proquest.com/openurl?url_ver=Z39.88-2004&amp;res_dat=xri:pqm&amp;rft_val_fmt=info:ofi/fmt:kev:mtx:journal&amp;genre=journal&amp;req_dat=xri:pqil:pq_clntid=131239&amp;svc_dat=xri:pqil:context=title&amp;rft_dat=xri:pqd:PMID=47890</t>
  </si>
  <si>
    <t>http://gateway.proquest.com/openurl?url_ver=Z39.88-2004&amp;res_dat=xri:pqm&amp;rft_val_fmt=info:ofi/fmt:kev:mtx:journal&amp;genre=journal&amp;req_dat=xri:pqil:pq_clntid=131239&amp;svc_dat=xri:pqil:context=title&amp;rft_dat=xri:pqd:PMID=33258</t>
  </si>
  <si>
    <t>http://gateway.proquest.com/openurl?url_ver=Z39.88-2004&amp;res_dat=xri:pqm&amp;rft_val_fmt=info:ofi/fmt:kev:mtx:journal&amp;genre=journal&amp;req_dat=xri:pqil:pq_clntid=131239&amp;svc_dat=xri:pqil:context=title&amp;rft_dat=xri:pqd:PMID=38177</t>
  </si>
  <si>
    <t>http://gateway.proquest.com/openurl?url_ver=Z39.88-2004&amp;res_dat=xri:pqm&amp;rft_val_fmt=info:ofi/fmt:kev:mtx:journal&amp;genre=journal&amp;req_dat=xri:pqil:pq_clntid=131239&amp;svc_dat=xri:pqil:context=title&amp;rft_dat=xri:pqd:PMID=47163</t>
  </si>
  <si>
    <t>New Delhi</t>
  </si>
  <si>
    <t>http://gateway.proquest.com/openurl?url_ver=Z39.88-2004&amp;res_dat=xri:pqm&amp;rft_val_fmt=info:ofi/fmt:kev:mtx:journal&amp;genre=journal&amp;req_dat=xri:pqil:pq_clntid=131239&amp;svc_dat=xri:pqil:context=title&amp;rft_dat=xri:pqd:PMID=2030932</t>
  </si>
  <si>
    <t>http://gateway.proquest.com/openurl?url_ver=Z39.88-2004&amp;res_dat=xri:pqm&amp;rft_val_fmt=info:ofi/fmt:kev:mtx:journal&amp;genre=journal&amp;req_dat=xri:pqil:pq_clntid=131239&amp;svc_dat=xri:pqil:context=title&amp;rft_dat=xri:pqd:PMID=47892</t>
  </si>
  <si>
    <t>http://gateway.proquest.com/openurl?url_ver=Z39.88-2004&amp;res_dat=xri:pqm&amp;rft_val_fmt=info:ofi/fmt:kev:mtx:journal&amp;genre=journal&amp;req_dat=xri:pqil:pq_clntid=131239&amp;svc_dat=xri:pqil:context=title&amp;rft_dat=xri:pqd:PMID=47893</t>
  </si>
  <si>
    <t>Edinburgh</t>
  </si>
  <si>
    <t>http://gateway.proquest.com/openurl?url_ver=Z39.88-2004&amp;res_dat=xri:pqm&amp;rft_val_fmt=info:ofi/fmt:kev:mtx:journal&amp;genre=journal&amp;req_dat=xri:pqil:pq_clntid=131239&amp;svc_dat=xri:pqil:context=title&amp;rft_dat=xri:pqd:PMID=307107</t>
  </si>
  <si>
    <t>http://gateway.proquest.com/openurl?url_ver=Z39.88-2004&amp;res_dat=xri:pqm&amp;rft_val_fmt=info:ofi/fmt:kev:mtx:journal&amp;genre=journal&amp;req_dat=xri:pqil:pq_clntid=131239&amp;svc_dat=xri:pqil:context=title&amp;rft_dat=xri:pqd:PMID=47142</t>
  </si>
  <si>
    <t>http://gateway.proquest.com/openurl?url_ver=Z39.88-2004&amp;res_dat=xri:pqm&amp;rft_val_fmt=info:ofi/fmt:kev:mtx:journal&amp;genre=journal&amp;req_dat=xri:pqil:pq_clntid=131239&amp;svc_dat=xri:pqil:context=title&amp;rft_dat=xri:pqd:PMID=30228</t>
  </si>
  <si>
    <t>http://gateway.proquest.com/openurl?url_ver=Z39.88-2004&amp;res_dat=xri:pqm&amp;rft_val_fmt=info:ofi/fmt:kev:mtx:journal&amp;genre=journal&amp;req_dat=xri:pqil:pq_clntid=131239&amp;svc_dat=xri:pqil:context=title&amp;rft_dat=xri:pqd:PMID=2061782</t>
  </si>
  <si>
    <t>http://gateway.proquest.com/openurl?url_ver=Z39.88-2004&amp;res_dat=xri:pqm&amp;rft_val_fmt=info:ofi/fmt:kev:mtx:journal&amp;genre=journal&amp;req_dat=xri:pqil:pq_clntid=131239&amp;svc_dat=xri:pqil:context=title&amp;rft_dat=xri:pqd:PMID=2034830</t>
  </si>
  <si>
    <t>West Palm Beach</t>
  </si>
  <si>
    <t>http://gateway.proquest.com/openurl?url_ver=Z39.88-2004&amp;res_dat=xri:pqm&amp;rft_val_fmt=info:ofi/fmt:kev:mtx:journal&amp;genre=journal&amp;req_dat=xri:pqil:pq_clntid=131239&amp;svc_dat=xri:pqil:context=title&amp;rft_dat=xri:pqd:PMID=1576346</t>
  </si>
  <si>
    <t>Journal of Pacific Rim Psychology</t>
  </si>
  <si>
    <t>1834-4909</t>
  </si>
  <si>
    <t>http://gateway.proquest.com/openurl?url_ver=Z39.88-2004&amp;res_dat=xri:pqm&amp;rft_val_fmt=info:ofi/fmt:kev:mtx:journal&amp;genre=journal&amp;req_dat=xri:pqil:pq_clntid=131239&amp;svc_dat=xri:pqil:context=title&amp;rft_dat=xri:pqd:PMID=6458214</t>
  </si>
  <si>
    <t>http://gateway.proquest.com/openurl?url_ver=Z39.88-2004&amp;res_dat=xri:pqm&amp;rft_val_fmt=info:ofi/fmt:kev:mtx:journal&amp;genre=journal&amp;req_dat=xri:pqil:pq_clntid=131239&amp;svc_dat=xri:pqil:context=title&amp;rft_dat=xri:pqd:PMID=2034829</t>
  </si>
  <si>
    <t>http://gateway.proquest.com/openurl?url_ver=Z39.88-2004&amp;res_dat=xri:pqm&amp;rft_val_fmt=info:ofi/fmt:kev:mtx:journal&amp;genre=journal&amp;req_dat=xri:pqil:pq_clntid=131239&amp;svc_dat=xri:pqil:context=title&amp;rft_dat=xri:pqd:PMID=31334</t>
  </si>
  <si>
    <t>http://gateway.proquest.com/openurl?url_ver=Z39.88-2004&amp;res_dat=xri:pqm&amp;rft_val_fmt=info:ofi/fmt:kev:mtx:journal&amp;genre=journal&amp;req_dat=xri:pqil:pq_clntid=131239&amp;svc_dat=xri:pqil:context=title&amp;rft_dat=xri:pqd:PMID=42308</t>
  </si>
  <si>
    <t>http://gateway.proquest.com/openurl?url_ver=Z39.88-2004&amp;res_dat=xri:pqm&amp;rft_val_fmt=info:ofi/fmt:kev:mtx:journal&amp;genre=journal&amp;req_dat=xri:pqil:pq_clntid=131239&amp;svc_dat=xri:pqil:context=title&amp;rft_dat=xri:pqd:PMID=3933404</t>
  </si>
  <si>
    <t>http://gateway.proquest.com/openurl?url_ver=Z39.88-2004&amp;res_dat=xri:pqm&amp;rft_val_fmt=info:ofi/fmt:kev:mtx:journal&amp;genre=journal&amp;req_dat=xri:pqil:pq_clntid=131239&amp;svc_dat=xri:pqil:context=title&amp;rft_dat=xri:pqd:PMID=4882999</t>
  </si>
  <si>
    <t>http://gateway.proquest.com/openurl?url_ver=Z39.88-2004&amp;res_dat=xri:pqm&amp;rft_val_fmt=info:ofi/fmt:kev:mtx:journal&amp;genre=journal&amp;req_dat=xri:pqil:pq_clntid=131239&amp;svc_dat=xri:pqil:context=title&amp;rft_dat=xri:pqd:PMID=2032918</t>
  </si>
  <si>
    <t>http://gateway.proquest.com/openurl?url_ver=Z39.88-2004&amp;res_dat=xri:pqm&amp;rft_val_fmt=info:ofi/fmt:kev:mtx:journal&amp;genre=journal&amp;req_dat=xri:pqil:pq_clntid=131239&amp;svc_dat=xri:pqil:context=title&amp;rft_dat=xri:pqd:PMID=38101</t>
  </si>
  <si>
    <t>http://gateway.proquest.com/openurl?url_ver=Z39.88-2004&amp;res_dat=xri:pqm&amp;rft_val_fmt=info:ofi/fmt:kev:mtx:journal&amp;genre=journal&amp;req_dat=xri:pqil:pq_clntid=131239&amp;svc_dat=xri:pqil:context=title&amp;rft_dat=xri:pqd:PMID=43404</t>
  </si>
  <si>
    <t>http://gateway.proquest.com/openurl?url_ver=Z39.88-2004&amp;res_dat=xri:pqm&amp;rft_val_fmt=info:ofi/fmt:kev:mtx:journal&amp;genre=journal&amp;req_dat=xri:pqil:pq_clntid=131239&amp;svc_dat=xri:pqil:context=title&amp;rft_dat=xri:pqd:PMID=226474</t>
  </si>
  <si>
    <t>http://gateway.proquest.com/openurl?url_ver=Z39.88-2004&amp;res_dat=xri:pqm&amp;rft_val_fmt=info:ofi/fmt:kev:mtx:journal&amp;genre=journal&amp;req_dat=xri:pqil:pq_clntid=131239&amp;svc_dat=xri:pqil:context=title&amp;rft_dat=xri:pqd:PMID=37227</t>
  </si>
  <si>
    <t>http://gateway.proquest.com/openurl?url_ver=Z39.88-2004&amp;res_dat=xri:pqm&amp;rft_val_fmt=info:ofi/fmt:kev:mtx:journal&amp;genre=journal&amp;req_dat=xri:pqil:pq_clntid=131239&amp;svc_dat=xri:pqil:context=title&amp;rft_dat=xri:pqd:PMID=41698</t>
  </si>
  <si>
    <t>http://gateway.proquest.com/openurl?url_ver=Z39.88-2004&amp;res_dat=xri:pqm&amp;rft_val_fmt=info:ofi/fmt:kev:mtx:journal&amp;genre=journal&amp;req_dat=xri:pqil:pq_clntid=131239&amp;svc_dat=xri:pqil:context=title&amp;rft_dat=xri:pqd:PMID=35405</t>
  </si>
  <si>
    <t>http://gateway.proquest.com/openurl?url_ver=Z39.88-2004&amp;res_dat=xri:pqm&amp;rft_val_fmt=info:ofi/fmt:kev:mtx:journal&amp;genre=journal&amp;req_dat=xri:pqil:pq_clntid=131239&amp;svc_dat=xri:pqil:context=title&amp;rft_dat=xri:pqd:PMID=32723</t>
  </si>
  <si>
    <t>http://gateway.proquest.com/openurl?url_ver=Z39.88-2004&amp;res_dat=xri:pqm&amp;rft_val_fmt=info:ofi/fmt:kev:mtx:journal&amp;genre=journal&amp;req_dat=xri:pqil:pq_clntid=131239&amp;svc_dat=xri:pqil:context=title&amp;rft_dat=xri:pqd:PMID=41847</t>
  </si>
  <si>
    <t>Atlantic Highlands</t>
  </si>
  <si>
    <t>http://gateway.proquest.com/openurl?url_ver=Z39.88-2004&amp;res_dat=xri:pqm&amp;rft_val_fmt=info:ofi/fmt:kev:mtx:journal&amp;genre=journal&amp;req_dat=xri:pqil:pq_clntid=131239&amp;svc_dat=xri:pqil:context=title&amp;rft_dat=xri:pqd:PMID=48369</t>
  </si>
  <si>
    <t>http://gateway.proquest.com/openurl?url_ver=Z39.88-2004&amp;res_dat=xri:pqm&amp;rft_val_fmt=info:ofi/fmt:kev:mtx:journal&amp;genre=journal&amp;req_dat=xri:pqil:pq_clntid=131239&amp;svc_dat=xri:pqil:context=title&amp;rft_dat=xri:pqd:PMID=1821473</t>
  </si>
  <si>
    <t>Delray Beach</t>
  </si>
  <si>
    <t>http://gateway.proquest.com/openurl?url_ver=Z39.88-2004&amp;res_dat=xri:pqm&amp;rft_val_fmt=info:ofi/fmt:kev:mtx:journal&amp;genre=journal&amp;req_dat=xri:pqil:pq_clntid=131239&amp;svc_dat=xri:pqil:context=title&amp;rft_dat=xri:pqd:PMID=436391</t>
  </si>
  <si>
    <t>http://gateway.proquest.com/openurl?url_ver=Z39.88-2004&amp;res_dat=xri:pqm&amp;rft_val_fmt=info:ofi/fmt:kev:mtx:journal&amp;genre=journal&amp;req_dat=xri:pqil:pq_clntid=131239&amp;svc_dat=xri:pqil:context=title&amp;rft_dat=xri:pqd:PMID=48978</t>
  </si>
  <si>
    <t>http://gateway.proquest.com/openurl?url_ver=Z39.88-2004&amp;res_dat=xri:pqm&amp;rft_val_fmt=info:ofi/fmt:kev:mtx:journal&amp;genre=journal&amp;req_dat=xri:pqil:pq_clntid=131239&amp;svc_dat=xri:pqil:context=title&amp;rft_dat=xri:pqd:PMID=30694</t>
  </si>
  <si>
    <t>http://gateway.proquest.com/openurl?url_ver=Z39.88-2004&amp;res_dat=xri:pqm&amp;rft_val_fmt=info:ofi/fmt:kev:mtx:journal&amp;genre=journal&amp;req_dat=xri:pqil:pq_clntid=131239&amp;svc_dat=xri:pqil:context=title&amp;rft_dat=xri:pqd:PMID=34704</t>
  </si>
  <si>
    <t>http://gateway.proquest.com/openurl?url_ver=Z39.88-2004&amp;res_dat=xri:pqm&amp;rft_val_fmt=info:ofi/fmt:kev:mtx:journal&amp;genre=journal&amp;req_dat=xri:pqil:pq_clntid=131239&amp;svc_dat=xri:pqil:context=title&amp;rft_dat=xri:pqd:PMID=46877</t>
  </si>
  <si>
    <t>Torun</t>
  </si>
  <si>
    <t>http://gateway.proquest.com/openurl?url_ver=Z39.88-2004&amp;res_dat=xri:pqm&amp;rft_val_fmt=info:ofi/fmt:kev:mtx:journal&amp;genre=journal&amp;req_dat=xri:pqil:pq_clntid=131239&amp;svc_dat=xri:pqil:context=title&amp;rft_dat=xri:pqd:PMID=1846341</t>
  </si>
  <si>
    <t>http://gateway.proquest.com/openurl?url_ver=Z39.88-2004&amp;res_dat=xri:pqm&amp;rft_val_fmt=info:ofi/fmt:kev:mtx:journal&amp;genre=journal&amp;req_dat=xri:pqil:pq_clntid=131239&amp;svc_dat=xri:pqil:context=title&amp;rft_dat=xri:pqd:PMID=2032917</t>
  </si>
  <si>
    <t>http://gateway.proquest.com/openurl?url_ver=Z39.88-2004&amp;res_dat=xri:pqm&amp;rft_val_fmt=info:ofi/fmt:kev:mtx:journal&amp;genre=journal&amp;req_dat=xri:pqil:pq_clntid=131239&amp;svc_dat=xri:pqil:context=title&amp;rft_dat=xri:pqd:PMID=32217</t>
  </si>
  <si>
    <t>Bristol</t>
  </si>
  <si>
    <t>http://gateway.proquest.com/openurl?url_ver=Z39.88-2004&amp;res_dat=xri:pqm&amp;rft_val_fmt=info:ofi/fmt:kev:mtx:journal&amp;genre=journal&amp;req_dat=xri:pqil:pq_clntid=131239&amp;svc_dat=xri:pqil:context=title&amp;rft_dat=xri:pqd:PMID=2036372</t>
  </si>
  <si>
    <t>Forestville</t>
  </si>
  <si>
    <t>01-Jan-1998--31-Dec-2016</t>
  </si>
  <si>
    <t>http://gateway.proquest.com/openurl?url_ver=Z39.88-2004&amp;res_dat=xri:pqm&amp;rft_val_fmt=info:ofi/fmt:kev:mtx:journal&amp;genre=journal&amp;req_dat=xri:pqil:pq_clntid=131239&amp;svc_dat=xri:pqil:context=title&amp;rft_dat=xri:pqd:PMID=28214</t>
  </si>
  <si>
    <t>http://gateway.proquest.com/openurl?url_ver=Z39.88-2004&amp;res_dat=xri:pqm&amp;rft_val_fmt=info:ofi/fmt:kev:mtx:journal&amp;genre=journal&amp;req_dat=xri:pqil:pq_clntid=131239&amp;svc_dat=xri:pqil:context=title&amp;rft_dat=xri:pqd:PMID=53083</t>
  </si>
  <si>
    <t>http://gateway.proquest.com/openurl?url_ver=Z39.88-2004&amp;res_dat=xri:pqm&amp;rft_val_fmt=info:ofi/fmt:kev:mtx:journal&amp;genre=journal&amp;req_dat=xri:pqil:pq_clntid=131239&amp;svc_dat=xri:pqil:context=title&amp;rft_dat=xri:pqd:PMID=2040018</t>
  </si>
  <si>
    <t>http://gateway.proquest.com/openurl?url_ver=Z39.88-2004&amp;res_dat=xri:pqm&amp;rft_val_fmt=info:ofi/fmt:kev:mtx:journal&amp;genre=journal&amp;req_dat=xri:pqil:pq_clntid=131239&amp;svc_dat=xri:pqil:context=title&amp;rft_dat=xri:pqd:PMID=48283</t>
  </si>
  <si>
    <t>http://gateway.proquest.com/openurl?url_ver=Z39.88-2004&amp;res_dat=xri:pqm&amp;rft_val_fmt=info:ofi/fmt:kev:mtx:journal&amp;genre=journal&amp;req_dat=xri:pqil:pq_clntid=131239&amp;svc_dat=xri:pqil:context=title&amp;rft_dat=xri:pqd:PMID=21999</t>
  </si>
  <si>
    <t>http://gateway.proquest.com/openurl?url_ver=Z39.88-2004&amp;res_dat=xri:pqm&amp;rft_val_fmt=info:ofi/fmt:kev:mtx:journal&amp;genre=journal&amp;req_dat=xri:pqil:pq_clntid=131239&amp;svc_dat=xri:pqil:context=title&amp;rft_dat=xri:pqd:PMID=2036560</t>
  </si>
  <si>
    <t>http://gateway.proquest.com/openurl?url_ver=Z39.88-2004&amp;res_dat=xri:pqm&amp;rft_val_fmt=info:ofi/fmt:kev:mtx:journal&amp;genre=journal&amp;req_dat=xri:pqil:pq_clntid=131239&amp;svc_dat=xri:pqil:context=title&amp;rft_dat=xri:pqd:PMID=2034828</t>
  </si>
  <si>
    <t>http://gateway.proquest.com/openurl?url_ver=Z39.88-2004&amp;res_dat=xri:pqm&amp;rft_val_fmt=info:ofi/fmt:kev:mtx:journal&amp;genre=journal&amp;req_dat=xri:pqil:pq_clntid=131239&amp;svc_dat=xri:pqil:context=title&amp;rft_dat=xri:pqd:PMID=39121</t>
  </si>
  <si>
    <t>East Kilbride</t>
  </si>
  <si>
    <t>http://gateway.proquest.com/openurl?url_ver=Z39.88-2004&amp;res_dat=xri:pqm&amp;rft_val_fmt=info:ofi/fmt:kev:mtx:journal&amp;genre=journal&amp;req_dat=xri:pqil:pq_clntid=131239&amp;svc_dat=xri:pqil:context=title&amp;rft_dat=xri:pqd:PMID=2046196</t>
  </si>
  <si>
    <t>http://gateway.proquest.com/openurl?url_ver=Z39.88-2004&amp;res_dat=xri:pqm&amp;rft_val_fmt=info:ofi/fmt:kev:mtx:journal&amp;genre=journal&amp;req_dat=xri:pqil:pq_clntid=131239&amp;svc_dat=xri:pqil:context=title&amp;rft_dat=xri:pqd:PMID=5083810</t>
  </si>
  <si>
    <t>http://gateway.proquest.com/openurl?url_ver=Z39.88-2004&amp;res_dat=xri:pqm&amp;rft_val_fmt=info:ofi/fmt:kev:mtx:journal&amp;genre=journal&amp;req_dat=xri:pqil:pq_clntid=131239&amp;svc_dat=xri:pqil:context=title&amp;rft_dat=xri:pqd:PMID=29913</t>
  </si>
  <si>
    <t>http://gateway.proquest.com/openurl?url_ver=Z39.88-2004&amp;res_dat=xri:pqm&amp;rft_val_fmt=info:ofi/fmt:kev:mtx:journal&amp;genre=journal&amp;req_dat=xri:pqil:pq_clntid=131239&amp;svc_dat=xri:pqil:context=title&amp;rft_dat=xri:pqd:PMID=48123</t>
  </si>
  <si>
    <t>http://gateway.proquest.com/openurl?url_ver=Z39.88-2004&amp;res_dat=xri:pqm&amp;rft_val_fmt=info:ofi/fmt:kev:mtx:journal&amp;genre=journal&amp;req_dat=xri:pqil:pq_clntid=131239&amp;svc_dat=xri:pqil:context=title&amp;rft_dat=xri:pqd:PMID=30201</t>
  </si>
  <si>
    <t>01-Jan-2009--31-Dec-2009</t>
  </si>
  <si>
    <t>http://gateway.proquest.com/openurl?url_ver=Z39.88-2004&amp;res_dat=xri:pqm&amp;rft_val_fmt=info:ofi/fmt:kev:mtx:journal&amp;genre=journal&amp;req_dat=xri:pqil:pq_clntid=131239&amp;svc_dat=xri:pqil:context=title&amp;rft_dat=xri:pqd:PMID=5540454</t>
  </si>
  <si>
    <t>http://gateway.proquest.com/openurl?url_ver=Z39.88-2004&amp;res_dat=xri:pqm&amp;rft_val_fmt=info:ofi/fmt:kev:mtx:journal&amp;genre=journal&amp;req_dat=xri:pqil:pq_clntid=131239&amp;svc_dat=xri:pqil:context=title&amp;rft_dat=xri:pqd:PMID=41415</t>
  </si>
  <si>
    <t>01-Jan-2012--31-Dec-2012; 01-Jan-2019--31-Dec-2019</t>
  </si>
  <si>
    <t>http://gateway.proquest.com/openurl?url_ver=Z39.88-2004&amp;res_dat=xri:pqm&amp;rft_val_fmt=info:ofi/fmt:kev:mtx:journal&amp;genre=journal&amp;req_dat=xri:pqil:pq_clntid=131239&amp;svc_dat=xri:pqil:context=title&amp;rft_dat=xri:pqd:PMID=29096</t>
  </si>
  <si>
    <t>http://gateway.proquest.com/openurl?url_ver=Z39.88-2004&amp;res_dat=xri:pqm&amp;rft_val_fmt=info:ofi/fmt:kev:mtx:journal&amp;genre=journal&amp;req_dat=xri:pqil:pq_clntid=131239&amp;svc_dat=xri:pqil:context=title&amp;rft_dat=xri:pqd:PMID=35407</t>
  </si>
  <si>
    <t>http://gateway.proquest.com/openurl?url_ver=Z39.88-2004&amp;res_dat=xri:pqm&amp;rft_val_fmt=info:ofi/fmt:kev:mtx:journal&amp;genre=journal&amp;req_dat=xri:pqil:pq_clntid=131239&amp;svc_dat=xri:pqil:context=title&amp;rft_dat=xri:pqd:PMID=48386</t>
  </si>
  <si>
    <t>http://gateway.proquest.com/openurl?url_ver=Z39.88-2004&amp;res_dat=xri:pqm&amp;rft_val_fmt=info:ofi/fmt:kev:mtx:journal&amp;genre=journal&amp;req_dat=xri:pqil:pq_clntid=131239&amp;svc_dat=xri:pqil:context=title&amp;rft_dat=xri:pqd:PMID=736344</t>
  </si>
  <si>
    <t>Surrey Hills</t>
  </si>
  <si>
    <t>http://gateway.proquest.com/openurl?url_ver=Z39.88-2004&amp;res_dat=xri:pqm&amp;rft_val_fmt=info:ofi/fmt:kev:mtx:journal&amp;genre=journal&amp;req_dat=xri:pqil:pq_clntid=131239&amp;svc_dat=xri:pqil:context=title&amp;rft_dat=xri:pqd:PMID=2046273</t>
  </si>
  <si>
    <t>Provincetown</t>
  </si>
  <si>
    <t>http://gateway.proquest.com/openurl?url_ver=Z39.88-2004&amp;res_dat=xri:pqm&amp;rft_val_fmt=info:ofi/fmt:kev:mtx:journal&amp;genre=journal&amp;req_dat=xri:pqil:pq_clntid=131239&amp;svc_dat=xri:pqil:context=title&amp;rft_dat=xri:pqd:PMID=36278</t>
  </si>
  <si>
    <t>Batavia</t>
  </si>
  <si>
    <t>http://gateway.proquest.com/openurl?url_ver=Z39.88-2004&amp;res_dat=xri:pqm&amp;rft_val_fmt=info:ofi/fmt:kev:mtx:journal&amp;genre=journal&amp;req_dat=xri:pqil:pq_clntid=131239&amp;svc_dat=xri:pqil:context=title&amp;rft_dat=xri:pqd:PMID=38088</t>
  </si>
  <si>
    <t>La Mirada</t>
  </si>
  <si>
    <t>http://gateway.proquest.com/openurl?url_ver=Z39.88-2004&amp;res_dat=xri:pqm&amp;rft_val_fmt=info:ofi/fmt:kev:mtx:journal&amp;genre=journal&amp;req_dat=xri:pqil:pq_clntid=131239&amp;svc_dat=xri:pqil:context=title&amp;rft_dat=xri:pqd:PMID=47846</t>
  </si>
  <si>
    <t>http://gateway.proquest.com/openurl?url_ver=Z39.88-2004&amp;res_dat=xri:pqm&amp;rft_val_fmt=info:ofi/fmt:kev:mtx:journal&amp;genre=journal&amp;req_dat=xri:pqil:pq_clntid=131239&amp;svc_dat=xri:pqil:context=title&amp;rft_dat=xri:pqd:PMID=2042535</t>
  </si>
  <si>
    <t>Hong Kong</t>
  </si>
  <si>
    <t>http://gateway.proquest.com/openurl?url_ver=Z39.88-2004&amp;res_dat=xri:pqm&amp;rft_val_fmt=info:ofi/fmt:kev:mtx:journal&amp;genre=journal&amp;req_dat=xri:pqil:pq_clntid=131239&amp;svc_dat=xri:pqil:context=title&amp;rft_dat=xri:pqd:PMID=54620</t>
  </si>
  <si>
    <t>http://gateway.proquest.com/openurl?url_ver=Z39.88-2004&amp;res_dat=xri:pqm&amp;rft_val_fmt=info:ofi/fmt:kev:mtx:journal&amp;genre=journal&amp;req_dat=xri:pqil:pq_clntid=131239&amp;svc_dat=xri:pqil:context=title&amp;rft_dat=xri:pqd:PMID=54079</t>
  </si>
  <si>
    <t>http://gateway.proquest.com/openurl?url_ver=Z39.88-2004&amp;res_dat=xri:pqm&amp;rft_val_fmt=info:ofi/fmt:kev:mtx:journal&amp;genre=journal&amp;req_dat=xri:pqil:pq_clntid=131239&amp;svc_dat=xri:pqil:context=title&amp;rft_dat=xri:pqd:PMID=41287</t>
  </si>
  <si>
    <t>http://gateway.proquest.com/openurl?url_ver=Z39.88-2004&amp;res_dat=xri:pqm&amp;rft_val_fmt=info:ofi/fmt:kev:mtx:journal&amp;genre=journal&amp;req_dat=xri:pqil:pq_clntid=131239&amp;svc_dat=xri:pqil:context=title&amp;rft_dat=xri:pqd:PMID=37179</t>
  </si>
  <si>
    <t>http://gateway.proquest.com/openurl?url_ver=Z39.88-2004&amp;res_dat=xri:pqm&amp;rft_val_fmt=info:ofi/fmt:kev:mtx:journal&amp;genre=journal&amp;req_dat=xri:pqil:pq_clntid=131239&amp;svc_dat=xri:pqil:context=title&amp;rft_dat=xri:pqd:PMID=35532</t>
  </si>
  <si>
    <t>http://gateway.proquest.com/openurl?url_ver=Z39.88-2004&amp;res_dat=xri:pqm&amp;rft_val_fmt=info:ofi/fmt:kev:mtx:journal&amp;genre=journal&amp;req_dat=xri:pqil:pq_clntid=131239&amp;svc_dat=xri:pqil:context=title&amp;rft_dat=xri:pqd:PMID=47164</t>
  </si>
  <si>
    <t>http://gateway.proquest.com/openurl?url_ver=Z39.88-2004&amp;res_dat=xri:pqm&amp;rft_val_fmt=info:ofi/fmt:kev:mtx:journal&amp;genre=journal&amp;req_dat=xri:pqil:pq_clntid=131239&amp;svc_dat=xri:pqil:context=title&amp;rft_dat=xri:pqd:PMID=506336</t>
  </si>
  <si>
    <t>Utrecht</t>
  </si>
  <si>
    <t>http://gateway.proquest.com/openurl?url_ver=Z39.88-2004&amp;res_dat=xri:pqm&amp;rft_val_fmt=info:ofi/fmt:kev:mtx:journal&amp;genre=journal&amp;req_dat=xri:pqil:pq_clntid=131239&amp;svc_dat=xri:pqil:context=title&amp;rft_dat=xri:pqd:PMID=34267</t>
  </si>
  <si>
    <t>http://gateway.proquest.com/openurl?url_ver=Z39.88-2004&amp;res_dat=xri:pqm&amp;rft_val_fmt=info:ofi/fmt:kev:mtx:journal&amp;genre=journal&amp;req_dat=xri:pqil:pq_clntid=131239&amp;svc_dat=xri:pqil:context=title&amp;rft_dat=xri:pqd:PMID=2033101</t>
  </si>
  <si>
    <t>http://gateway.proquest.com/openurl?url_ver=Z39.88-2004&amp;res_dat=xri:pqm&amp;rft_val_fmt=info:ofi/fmt:kev:mtx:journal&amp;genre=journal&amp;req_dat=xri:pqil:pq_clntid=131239&amp;svc_dat=xri:pqil:context=title&amp;rft_dat=xri:pqd:PMID=30842</t>
  </si>
  <si>
    <t>http://gateway.proquest.com/openurl?url_ver=Z39.88-2004&amp;res_dat=xri:pqm&amp;rft_val_fmt=info:ofi/fmt:kev:mtx:journal&amp;genre=journal&amp;req_dat=xri:pqil:pq_clntid=131239&amp;svc_dat=xri:pqil:context=title&amp;rft_dat=xri:pqd:PMID=196156</t>
  </si>
  <si>
    <t>http://gateway.proquest.com/openurl?url_ver=Z39.88-2004&amp;res_dat=xri:pqm&amp;rft_val_fmt=info:ofi/fmt:kev:mtx:journal&amp;genre=journal&amp;req_dat=xri:pqil:pq_clntid=131239&amp;svc_dat=xri:pqil:context=title&amp;rft_dat=xri:pqd:PMID=28745</t>
  </si>
  <si>
    <t>http://gateway.proquest.com/openurl?url_ver=Z39.88-2004&amp;res_dat=xri:pqm&amp;rft_val_fmt=info:ofi/fmt:kev:mtx:journal&amp;genre=journal&amp;req_dat=xri:pqil:pq_clntid=131239&amp;svc_dat=xri:pqil:context=title&amp;rft_dat=xri:pqd:PMID=37857</t>
  </si>
  <si>
    <t>http://gateway.proquest.com/openurl?url_ver=Z39.88-2004&amp;res_dat=xri:pqm&amp;rft_val_fmt=info:ofi/fmt:kev:mtx:journal&amp;genre=journal&amp;req_dat=xri:pqil:pq_clntid=131239&amp;svc_dat=xri:pqil:context=title&amp;rft_dat=xri:pqd:PMID=37558</t>
  </si>
  <si>
    <t>National Rehabilitation Association</t>
  </si>
  <si>
    <t>01-Jan-1994--31-Dec-1994; 01-Jan-2022--31-Dec-2022</t>
  </si>
  <si>
    <t>http://gateway.proquest.com/openurl?url_ver=Z39.88-2004&amp;res_dat=xri:pqm&amp;rft_val_fmt=info:ofi/fmt:kev:mtx:journal&amp;genre=journal&amp;req_dat=xri:pqil:pq_clntid=131239&amp;svc_dat=xri:pqil:context=title&amp;rft_dat=xri:pqd:PMID=37110</t>
  </si>
  <si>
    <t>http://gateway.proquest.com/openurl?url_ver=Z39.88-2004&amp;res_dat=xri:pqm&amp;rft_val_fmt=info:ofi/fmt:kev:mtx:journal&amp;genre=journal&amp;req_dat=xri:pqil:pq_clntid=131239&amp;svc_dat=xri:pqil:context=title&amp;rft_dat=xri:pqd:PMID=1586356</t>
  </si>
  <si>
    <t>http://gateway.proquest.com/openurl?url_ver=Z39.88-2004&amp;res_dat=xri:pqm&amp;rft_val_fmt=info:ofi/fmt:kev:mtx:journal&amp;genre=journal&amp;req_dat=xri:pqil:pq_clntid=131239&amp;svc_dat=xri:pqil:context=title&amp;rft_dat=xri:pqd:PMID=52990</t>
  </si>
  <si>
    <t>http://gateway.proquest.com/openurl?url_ver=Z39.88-2004&amp;res_dat=xri:pqm&amp;rft_val_fmt=info:ofi/fmt:kev:mtx:journal&amp;genre=journal&amp;req_dat=xri:pqil:pq_clntid=131239&amp;svc_dat=xri:pqil:context=title&amp;rft_dat=xri:pqd:PMID=54044</t>
  </si>
  <si>
    <t>http://gateway.proquest.com/openurl?url_ver=Z39.88-2004&amp;res_dat=xri:pqm&amp;rft_val_fmt=info:ofi/fmt:kev:mtx:journal&amp;genre=journal&amp;req_dat=xri:pqil:pq_clntid=131239&amp;svc_dat=xri:pqil:context=title&amp;rft_dat=xri:pqd:PMID=2033091</t>
  </si>
  <si>
    <t>http://gateway.proquest.com/openurl?url_ver=Z39.88-2004&amp;res_dat=xri:pqm&amp;rft_val_fmt=info:ofi/fmt:kev:mtx:journal&amp;genre=journal&amp;req_dat=xri:pqil:pq_clntid=131239&amp;svc_dat=xri:pqil:context=title&amp;rft_dat=xri:pqd:PMID=37376</t>
  </si>
  <si>
    <t>Olney</t>
  </si>
  <si>
    <t>http://gateway.proquest.com/openurl?url_ver=Z39.88-2004&amp;res_dat=xri:pqm&amp;rft_val_fmt=info:ofi/fmt:kev:mtx:journal&amp;genre=journal&amp;req_dat=xri:pqil:pq_clntid=131239&amp;svc_dat=xri:pqil:context=title&amp;rft_dat=xri:pqd:PMID=15507</t>
  </si>
  <si>
    <t>http://gateway.proquest.com/openurl?url_ver=Z39.88-2004&amp;res_dat=xri:pqm&amp;rft_val_fmt=info:ofi/fmt:kev:mtx:journal&amp;genre=journal&amp;req_dat=xri:pqil:pq_clntid=131239&amp;svc_dat=xri:pqil:context=title&amp;rft_dat=xri:pqd:PMID=40963</t>
  </si>
  <si>
    <t>http://gateway.proquest.com/openurl?url_ver=Z39.88-2004&amp;res_dat=xri:pqm&amp;rft_val_fmt=info:ofi/fmt:kev:mtx:journal&amp;genre=journal&amp;req_dat=xri:pqil:pq_clntid=131239&amp;svc_dat=xri:pqil:context=title&amp;rft_dat=xri:pqd:PMID=42361</t>
  </si>
  <si>
    <t>http://gateway.proquest.com/openurl?url_ver=Z39.88-2004&amp;res_dat=xri:pqm&amp;rft_val_fmt=info:ofi/fmt:kev:mtx:journal&amp;genre=journal&amp;req_dat=xri:pqil:pq_clntid=131239&amp;svc_dat=xri:pqil:context=title&amp;rft_dat=xri:pqd:PMID=2037979</t>
  </si>
  <si>
    <t>http://gateway.proquest.com/openurl?url_ver=Z39.88-2004&amp;res_dat=xri:pqm&amp;rft_val_fmt=info:ofi/fmt:kev:mtx:journal&amp;genre=journal&amp;req_dat=xri:pqil:pq_clntid=131239&amp;svc_dat=xri:pqil:context=title&amp;rft_dat=xri:pqd:PMID=2033088</t>
  </si>
  <si>
    <t>http://gateway.proquest.com/openurl?url_ver=Z39.88-2004&amp;res_dat=xri:pqm&amp;rft_val_fmt=info:ofi/fmt:kev:mtx:journal&amp;genre=journal&amp;req_dat=xri:pqil:pq_clntid=131239&amp;svc_dat=xri:pqil:context=title&amp;rft_dat=xri:pqd:PMID=41988</t>
  </si>
  <si>
    <t>01-Jan-1998--31-Dec-1998; 01-Jan-2000--31-Dec-2000</t>
  </si>
  <si>
    <t>http://gateway.proquest.com/openurl?url_ver=Z39.88-2004&amp;res_dat=xri:pqm&amp;rft_val_fmt=info:ofi/fmt:kev:mtx:journal&amp;genre=journal&amp;req_dat=xri:pqil:pq_clntid=131239&amp;svc_dat=xri:pqil:context=title&amp;rft_dat=xri:pqd:PMID=37545</t>
  </si>
  <si>
    <t>Universitetsforlaget AS</t>
  </si>
  <si>
    <t>Norway</t>
  </si>
  <si>
    <t>http://gateway.proquest.com/openurl?url_ver=Z39.88-2004&amp;res_dat=xri:pqm&amp;rft_val_fmt=info:ofi/fmt:kev:mtx:journal&amp;genre=journal&amp;req_dat=xri:pqil:pq_clntid=131239&amp;svc_dat=xri:pqil:context=title&amp;rft_dat=xri:pqd:PMID=45052</t>
  </si>
  <si>
    <t>http://gateway.proquest.com/openurl?url_ver=Z39.88-2004&amp;res_dat=xri:pqm&amp;rft_val_fmt=info:ofi/fmt:kev:mtx:journal&amp;genre=journal&amp;req_dat=xri:pqil:pq_clntid=131239&amp;svc_dat=xri:pqil:context=title&amp;rft_dat=xri:pqd:PMID=2033084</t>
  </si>
  <si>
    <t>http://gateway.proquest.com/openurl?url_ver=Z39.88-2004&amp;res_dat=xri:pqm&amp;rft_val_fmt=info:ofi/fmt:kev:mtx:journal&amp;genre=journal&amp;req_dat=xri:pqil:pq_clntid=131239&amp;svc_dat=xri:pqil:context=title&amp;rft_dat=xri:pqd:PMID=26633</t>
  </si>
  <si>
    <t>http://gateway.proquest.com/openurl?url_ver=Z39.88-2004&amp;res_dat=xri:pqm&amp;rft_val_fmt=info:ofi/fmt:kev:mtx:journal&amp;genre=journal&amp;req_dat=xri:pqil:pq_clntid=131239&amp;svc_dat=xri:pqil:context=title&amp;rft_dat=xri:pqd:PMID=6821</t>
  </si>
  <si>
    <t>http://gateway.proquest.com/openurl?url_ver=Z39.88-2004&amp;res_dat=xri:pqm&amp;rft_val_fmt=info:ofi/fmt:kev:mtx:journal&amp;genre=journal&amp;req_dat=xri:pqil:pq_clntid=131239&amp;svc_dat=xri:pqil:context=title&amp;rft_dat=xri:pqd:PMID=196155</t>
  </si>
  <si>
    <t>http://gateway.proquest.com/openurl?url_ver=Z39.88-2004&amp;res_dat=xri:pqm&amp;rft_val_fmt=info:ofi/fmt:kev:mtx:journal&amp;genre=journal&amp;req_dat=xri:pqil:pq_clntid=131239&amp;svc_dat=xri:pqil:context=title&amp;rft_dat=xri:pqd:PMID=53094</t>
  </si>
  <si>
    <t>http://gateway.proquest.com/openurl?url_ver=Z39.88-2004&amp;res_dat=xri:pqm&amp;rft_val_fmt=info:ofi/fmt:kev:mtx:journal&amp;genre=journal&amp;req_dat=xri:pqil:pq_clntid=131239&amp;svc_dat=xri:pqil:context=title&amp;rft_dat=xri:pqd:PMID=1586355</t>
  </si>
  <si>
    <t>http://gateway.proquest.com/openurl?url_ver=Z39.88-2004&amp;res_dat=xri:pqm&amp;rft_val_fmt=info:ofi/fmt:kev:mtx:journal&amp;genre=journal&amp;req_dat=xri:pqil:pq_clntid=131239&amp;svc_dat=xri:pqil:context=title&amp;rft_dat=xri:pqd:PMID=5453645</t>
  </si>
  <si>
    <t>http://gateway.proquest.com/openurl?url_ver=Z39.88-2004&amp;res_dat=xri:pqm&amp;rft_val_fmt=info:ofi/fmt:kev:mtx:journal&amp;genre=journal&amp;req_dat=xri:pqil:pq_clntid=131239&amp;svc_dat=xri:pqil:context=title&amp;rft_dat=xri:pqd:PMID=34113</t>
  </si>
  <si>
    <t>http://gateway.proquest.com/openurl?url_ver=Z39.88-2004&amp;res_dat=xri:pqm&amp;rft_val_fmt=info:ofi/fmt:kev:mtx:journal&amp;genre=journal&amp;req_dat=xri:pqil:pq_clntid=131239&amp;svc_dat=xri:pqil:context=title&amp;rft_dat=xri:pqd:PMID=36145</t>
  </si>
  <si>
    <t>http://gateway.proquest.com/openurl?url_ver=Z39.88-2004&amp;res_dat=xri:pqm&amp;rft_val_fmt=info:ofi/fmt:kev:mtx:journal&amp;genre=journal&amp;req_dat=xri:pqil:pq_clntid=131239&amp;svc_dat=xri:pqil:context=title&amp;rft_dat=xri:pqd:PMID=47165</t>
  </si>
  <si>
    <t>http://gateway.proquest.com/openurl?url_ver=Z39.88-2004&amp;res_dat=xri:pqm&amp;rft_val_fmt=info:ofi/fmt:kev:mtx:journal&amp;genre=journal&amp;req_dat=xri:pqil:pq_clntid=131239&amp;svc_dat=xri:pqil:context=title&amp;rft_dat=xri:pqd:PMID=48631</t>
  </si>
  <si>
    <t>http://gateway.proquest.com/openurl?url_ver=Z39.88-2004&amp;res_dat=xri:pqm&amp;rft_val_fmt=info:ofi/fmt:kev:mtx:journal&amp;genre=journal&amp;req_dat=xri:pqil:pq_clntid=131239&amp;svc_dat=xri:pqil:context=title&amp;rft_dat=xri:pqd:PMID=28851</t>
  </si>
  <si>
    <t>http://gateway.proquest.com/openurl?url_ver=Z39.88-2004&amp;res_dat=xri:pqm&amp;rft_val_fmt=info:ofi/fmt:kev:mtx:journal&amp;genre=journal&amp;req_dat=xri:pqil:pq_clntid=131239&amp;svc_dat=xri:pqil:context=title&amp;rft_dat=xri:pqd:PMID=2033079</t>
  </si>
  <si>
    <t>Journal of Social Work in the Global Community</t>
  </si>
  <si>
    <t>Walden University Publishing</t>
  </si>
  <si>
    <t>2642-1763</t>
  </si>
  <si>
    <t>01-Jan-2016--31-Dec-2016; 01-Jan-2021--31-Dec-2021</t>
  </si>
  <si>
    <t>http://gateway.proquest.com/openurl?url_ver=Z39.88-2004&amp;res_dat=xri:pqm&amp;rft_val_fmt=info:ofi/fmt:kev:mtx:journal&amp;genre=journal&amp;req_dat=xri:pqil:pq_clntid=131239&amp;svc_dat=xri:pqil:context=title&amp;rft_dat=xri:pqd:PMID=6422117</t>
  </si>
  <si>
    <t>01-Jan-1993--31-Dec-1997</t>
  </si>
  <si>
    <t>http://gateway.proquest.com/openurl?url_ver=Z39.88-2004&amp;res_dat=xri:pqm&amp;rft_val_fmt=info:ofi/fmt:kev:mtx:journal&amp;genre=journal&amp;req_dat=xri:pqil:pq_clntid=131239&amp;svc_dat=xri:pqil:context=title&amp;rft_dat=xri:pqd:PMID=37398</t>
  </si>
  <si>
    <t>http://gateway.proquest.com/openurl?url_ver=Z39.88-2004&amp;res_dat=xri:pqm&amp;rft_val_fmt=info:ofi/fmt:kev:mtx:journal&amp;genre=journal&amp;req_dat=xri:pqil:pq_clntid=131239&amp;svc_dat=xri:pqil:context=title&amp;rft_dat=xri:pqd:PMID=34119</t>
  </si>
  <si>
    <t>Journal of Social, Behavioral and Health Sciences</t>
  </si>
  <si>
    <t>1948-3260</t>
  </si>
  <si>
    <t>http://gateway.proquest.com/openurl?url_ver=Z39.88-2004&amp;res_dat=xri:pqm&amp;rft_val_fmt=info:ofi/fmt:kev:mtx:journal&amp;genre=journal&amp;req_dat=xri:pqil:pq_clntid=131239&amp;svc_dat=xri:pqil:context=title&amp;rft_dat=xri:pqd:PMID=6422118</t>
  </si>
  <si>
    <t>http://gateway.proquest.com/openurl?url_ver=Z39.88-2004&amp;res_dat=xri:pqm&amp;rft_val_fmt=info:ofi/fmt:kev:mtx:journal&amp;genre=journal&amp;req_dat=xri:pqil:pq_clntid=131239&amp;svc_dat=xri:pqil:context=title&amp;rft_dat=xri:pqd:PMID=2042041</t>
  </si>
  <si>
    <t>Bensalem</t>
  </si>
  <si>
    <t>http://gateway.proquest.com/openurl?url_ver=Z39.88-2004&amp;res_dat=xri:pqm&amp;rft_val_fmt=info:ofi/fmt:kev:mtx:journal&amp;genre=journal&amp;req_dat=xri:pqil:pq_clntid=131239&amp;svc_dat=xri:pqil:context=title&amp;rft_dat=xri:pqd:PMID=3223</t>
  </si>
  <si>
    <t>Skopje</t>
  </si>
  <si>
    <t>http://gateway.proquest.com/openurl?url_ver=Z39.88-2004&amp;res_dat=xri:pqm&amp;rft_val_fmt=info:ofi/fmt:kev:mtx:journal&amp;genre=journal&amp;req_dat=xri:pqil:pq_clntid=131239&amp;svc_dat=xri:pqil:context=title&amp;rft_dat=xri:pqd:PMID=52199</t>
  </si>
  <si>
    <t>Medical Sciences--Otorhinolaryngology|People With Disabilities--Hearing Impaired</t>
  </si>
  <si>
    <t>http://gateway.proquest.com/openurl?url_ver=Z39.88-2004&amp;res_dat=xri:pqm&amp;rft_val_fmt=info:ofi/fmt:kev:mtx:journal&amp;genre=journal&amp;req_dat=xri:pqil:pq_clntid=131239&amp;svc_dat=xri:pqil:context=title&amp;rft_dat=xri:pqd:PMID=135351</t>
  </si>
  <si>
    <t>Linguistics|Medical Sciences--Otorhinolaryngology|People With Disabilities--Hearing Impaired</t>
  </si>
  <si>
    <t>http://gateway.proquest.com/openurl?url_ver=Z39.88-2004&amp;res_dat=xri:pqm&amp;rft_val_fmt=info:ofi/fmt:kev:mtx:journal&amp;genre=journal&amp;req_dat=xri:pqil:pq_clntid=131239&amp;svc_dat=xri:pqil:context=title&amp;rft_dat=xri:pqd:PMID=7051</t>
  </si>
  <si>
    <t>http://gateway.proquest.com/openurl?url_ver=Z39.88-2004&amp;res_dat=xri:pqm&amp;rft_val_fmt=info:ofi/fmt:kev:mtx:journal&amp;genre=journal&amp;req_dat=xri:pqil:pq_clntid=131239&amp;svc_dat=xri:pqil:context=title&amp;rft_dat=xri:pqd:PMID=196152</t>
  </si>
  <si>
    <t>http://gateway.proquest.com/openurl?url_ver=Z39.88-2004&amp;res_dat=xri:pqm&amp;rft_val_fmt=info:ofi/fmt:kev:mtx:journal&amp;genre=journal&amp;req_dat=xri:pqil:pq_clntid=131239&amp;svc_dat=xri:pqil:context=title&amp;rft_dat=xri:pqd:PMID=15077</t>
  </si>
  <si>
    <t>http://gateway.proquest.com/openurl?url_ver=Z39.88-2004&amp;res_dat=xri:pqm&amp;rft_val_fmt=info:ofi/fmt:kev:mtx:journal&amp;genre=journal&amp;req_dat=xri:pqil:pq_clntid=131239&amp;svc_dat=xri:pqil:context=title&amp;rft_dat=xri:pqd:PMID=30153</t>
  </si>
  <si>
    <t>http://gateway.proquest.com/openurl?url_ver=Z39.88-2004&amp;res_dat=xri:pqm&amp;rft_val_fmt=info:ofi/fmt:kev:mtx:journal&amp;genre=journal&amp;req_dat=xri:pqil:pq_clntid=131239&amp;svc_dat=xri:pqil:context=title&amp;rft_dat=xri:pqd:PMID=38866</t>
  </si>
  <si>
    <t>http://gateway.proquest.com/openurl?url_ver=Z39.88-2004&amp;res_dat=xri:pqm&amp;rft_val_fmt=info:ofi/fmt:kev:mtx:journal&amp;genre=journal&amp;req_dat=xri:pqil:pq_clntid=131239&amp;svc_dat=xri:pqil:context=title&amp;rft_dat=xri:pqd:PMID=45277</t>
  </si>
  <si>
    <t>http://gateway.proquest.com/openurl?url_ver=Z39.88-2004&amp;res_dat=xri:pqm&amp;rft_val_fmt=info:ofi/fmt:kev:mtx:journal&amp;genre=journal&amp;req_dat=xri:pqil:pq_clntid=131239&amp;svc_dat=xri:pqil:context=title&amp;rft_dat=xri:pqd:PMID=46517</t>
  </si>
  <si>
    <t>http://gateway.proquest.com/openurl?url_ver=Z39.88-2004&amp;res_dat=xri:pqm&amp;rft_val_fmt=info:ofi/fmt:kev:mtx:journal&amp;genre=journal&amp;req_dat=xri:pqil:pq_clntid=131239&amp;svc_dat=xri:pqil:context=title&amp;rft_dat=xri:pqd:PMID=45058</t>
  </si>
  <si>
    <t>Scottsdale</t>
  </si>
  <si>
    <t>http://gateway.proquest.com/openurl?url_ver=Z39.88-2004&amp;res_dat=xri:pqm&amp;rft_val_fmt=info:ofi/fmt:kev:mtx:journal&amp;genre=journal&amp;req_dat=xri:pqil:pq_clntid=131239&amp;svc_dat=xri:pqil:context=title&amp;rft_dat=xri:pqd:PMID=46379</t>
  </si>
  <si>
    <t>http://gateway.proquest.com/openurl?url_ver=Z39.88-2004&amp;res_dat=xri:pqm&amp;rft_val_fmt=info:ofi/fmt:kev:mtx:journal&amp;genre=journal&amp;req_dat=xri:pqil:pq_clntid=131239&amp;svc_dat=xri:pqil:context=title&amp;rft_dat=xri:pqd:PMID=34103</t>
  </si>
  <si>
    <t>Stanford</t>
  </si>
  <si>
    <t>http://gateway.proquest.com/openurl?url_ver=Z39.88-2004&amp;res_dat=xri:pqm&amp;rft_val_fmt=info:ofi/fmt:kev:mtx:journal&amp;genre=journal&amp;req_dat=xri:pqil:pq_clntid=131239&amp;svc_dat=xri:pqil:context=title&amp;rft_dat=xri:pqd:PMID=49061</t>
  </si>
  <si>
    <t>http://gateway.proquest.com/openurl?url_ver=Z39.88-2004&amp;res_dat=xri:pqm&amp;rft_val_fmt=info:ofi/fmt:kev:mtx:journal&amp;genre=journal&amp;req_dat=xri:pqil:pq_clntid=131239&amp;svc_dat=xri:pqil:context=title&amp;rft_dat=xri:pqd:PMID=186227</t>
  </si>
  <si>
    <t>http://gateway.proquest.com/openurl?url_ver=Z39.88-2004&amp;res_dat=xri:pqm&amp;rft_val_fmt=info:ofi/fmt:kev:mtx:journal&amp;genre=journal&amp;req_dat=xri:pqil:pq_clntid=131239&amp;svc_dat=xri:pqil:context=title&amp;rft_dat=xri:pqd:PMID=37971</t>
  </si>
  <si>
    <t>http://gateway.proquest.com/openurl?url_ver=Z39.88-2004&amp;res_dat=xri:pqm&amp;rft_val_fmt=info:ofi/fmt:kev:mtx:journal&amp;genre=journal&amp;req_dat=xri:pqil:pq_clntid=131239&amp;svc_dat=xri:pqil:context=title&amp;rft_dat=xri:pqd:PMID=1586354</t>
  </si>
  <si>
    <t>http://gateway.proquest.com/openurl?url_ver=Z39.88-2004&amp;res_dat=xri:pqm&amp;rft_val_fmt=info:ofi/fmt:kev:mtx:journal&amp;genre=journal&amp;req_dat=xri:pqil:pq_clntid=131239&amp;svc_dat=xri:pqil:context=title&amp;rft_dat=xri:pqd:PMID=75957</t>
  </si>
  <si>
    <t>Education|People With Disabilities--Visually Impaired</t>
  </si>
  <si>
    <t>http://gateway.proquest.com/openurl?url_ver=Z39.88-2004&amp;res_dat=xri:pqm&amp;rft_val_fmt=info:ofi/fmt:kev:mtx:journal&amp;genre=journal&amp;req_dat=xri:pqil:pq_clntid=131239&amp;svc_dat=xri:pqil:context=title&amp;rft_dat=xri:pqd:PMID=48011</t>
  </si>
  <si>
    <t>Huntington</t>
  </si>
  <si>
    <t>01-Jan-1910--31-Dec-1910; 01-Jan-1912--31-Dec-1912; 01-Jan-1915--31-Dec-1917; 01-Jan-1919--31-Dec-1919; 01-Jan-1921--31-Dec-1922; 01-Jan-1929--31-Dec-1930; 01-Jan-1933--31-Dec-1933; 01-Jan-1937--31-Dec-1938; 01-Jan-1940--31-Dec-1941; 01-Jan-1943--31-Dec-1948; 01-Jan-1950--31-Dec-1952</t>
  </si>
  <si>
    <t>People With Disabilities--Visually Impaired</t>
  </si>
  <si>
    <t>http://gateway.proquest.com/openurl?url_ver=Z39.88-2004&amp;res_dat=xri:pqm&amp;rft_val_fmt=info:ofi/fmt:kev:mtx:journal&amp;genre=journal&amp;req_dat=xri:pqil:pq_clntid=131239&amp;svc_dat=xri:pqil:context=title&amp;rft_dat=xri:pqd:PMID=2027465</t>
  </si>
  <si>
    <t>http://gateway.proquest.com/openurl?url_ver=Z39.88-2004&amp;res_dat=xri:pqm&amp;rft_val_fmt=info:ofi/fmt:kev:mtx:journal&amp;genre=journal&amp;req_dat=xri:pqil:pq_clntid=131239&amp;svc_dat=xri:pqil:context=title&amp;rft_dat=xri:pqd:PMID=32793</t>
  </si>
  <si>
    <t>http://gateway.proquest.com/openurl?url_ver=Z39.88-2004&amp;res_dat=xri:pqm&amp;rft_val_fmt=info:ofi/fmt:kev:mtx:journal&amp;genre=journal&amp;req_dat=xri:pqil:pq_clntid=131239&amp;svc_dat=xri:pqil:context=title&amp;rft_dat=xri:pqd:PMID=44954</t>
  </si>
  <si>
    <t>http://gateway.proquest.com/openurl?url_ver=Z39.88-2004&amp;res_dat=xri:pqm&amp;rft_val_fmt=info:ofi/fmt:kev:mtx:journal&amp;genre=journal&amp;req_dat=xri:pqil:pq_clntid=131239&amp;svc_dat=xri:pqil:context=title&amp;rft_dat=xri:pqd:PMID=4931662</t>
  </si>
  <si>
    <t>http://gateway.proquest.com/openurl?url_ver=Z39.88-2004&amp;res_dat=xri:pqm&amp;rft_val_fmt=info:ofi/fmt:kev:mtx:journal&amp;genre=journal&amp;req_dat=xri:pqil:pq_clntid=131239&amp;svc_dat=xri:pqil:context=title&amp;rft_dat=xri:pqd:PMID=2040013</t>
  </si>
  <si>
    <t>http://gateway.proquest.com/openurl?url_ver=Z39.88-2004&amp;res_dat=xri:pqm&amp;rft_val_fmt=info:ofi/fmt:kev:mtx:journal&amp;genre=journal&amp;req_dat=xri:pqil:pq_clntid=131239&amp;svc_dat=xri:pqil:context=title&amp;rft_dat=xri:pqd:PMID=25612</t>
  </si>
  <si>
    <t>http://gateway.proquest.com/openurl?url_ver=Z39.88-2004&amp;res_dat=xri:pqm&amp;rft_val_fmt=info:ofi/fmt:kev:mtx:journal&amp;genre=journal&amp;req_dat=xri:pqil:pq_clntid=131239&amp;svc_dat=xri:pqil:context=title&amp;rft_dat=xri:pqd:PMID=2045003</t>
  </si>
  <si>
    <t>http://gateway.proquest.com/openurl?url_ver=Z39.88-2004&amp;res_dat=xri:pqm&amp;rft_val_fmt=info:ofi/fmt:kev:mtx:journal&amp;genre=journal&amp;req_dat=xri:pqil:pq_clntid=131239&amp;svc_dat=xri:pqil:context=title&amp;rft_dat=xri:pqd:PMID=48391</t>
  </si>
  <si>
    <t>http://gateway.proquest.com/openurl?url_ver=Z39.88-2004&amp;res_dat=xri:pqm&amp;rft_val_fmt=info:ofi/fmt:kev:mtx:journal&amp;genre=journal&amp;req_dat=xri:pqil:pq_clntid=131239&amp;svc_dat=xri:pqil:context=title&amp;rft_dat=xri:pqd:PMID=7397</t>
  </si>
  <si>
    <t>McLean</t>
  </si>
  <si>
    <t>http://gateway.proquest.com/openurl?url_ver=Z39.88-2004&amp;res_dat=xri:pqm&amp;rft_val_fmt=info:ofi/fmt:kev:mtx:journal&amp;genre=journal&amp;req_dat=xri:pqil:pq_clntid=131239&amp;svc_dat=xri:pqil:context=title&amp;rft_dat=xri:pqd:PMID=31782</t>
  </si>
  <si>
    <t>http://gateway.proquest.com/openurl?url_ver=Z39.88-2004&amp;res_dat=xri:pqm&amp;rft_val_fmt=info:ofi/fmt:kev:mtx:journal&amp;genre=journal&amp;req_dat=xri:pqil:pq_clntid=131239&amp;svc_dat=xri:pqil:context=title&amp;rft_dat=xri:pqd:PMID=32006</t>
  </si>
  <si>
    <t>http://gateway.proquest.com/openurl?url_ver=Z39.88-2004&amp;res_dat=xri:pqm&amp;rft_val_fmt=info:ofi/fmt:kev:mtx:journal&amp;genre=journal&amp;req_dat=xri:pqil:pq_clntid=131239&amp;svc_dat=xri:pqil:context=title&amp;rft_dat=xri:pqd:PMID=4507598</t>
  </si>
  <si>
    <t>http://gateway.proquest.com/openurl?url_ver=Z39.88-2004&amp;res_dat=xri:pqm&amp;rft_val_fmt=info:ofi/fmt:kev:mtx:journal&amp;genre=journal&amp;req_dat=xri:pqil:pq_clntid=131239&amp;svc_dat=xri:pqil:context=title&amp;rft_dat=xri:pqd:PMID=29840</t>
  </si>
  <si>
    <t>http://gateway.proquest.com/openurl?url_ver=Z39.88-2004&amp;res_dat=xri:pqm&amp;rft_val_fmt=info:ofi/fmt:kev:mtx:journal&amp;genre=journal&amp;req_dat=xri:pqil:pq_clntid=131239&amp;svc_dat=xri:pqil:context=title&amp;rft_dat=xri:pqd:PMID=29953</t>
  </si>
  <si>
    <t>http://gateway.proquest.com/openurl?url_ver=Z39.88-2004&amp;res_dat=xri:pqm&amp;rft_val_fmt=info:ofi/fmt:kev:mtx:journal&amp;genre=journal&amp;req_dat=xri:pqil:pq_clntid=131239&amp;svc_dat=xri:pqil:context=title&amp;rft_dat=xri:pqd:PMID=31488</t>
  </si>
  <si>
    <t>http://gateway.proquest.com/openurl?url_ver=Z39.88-2004&amp;res_dat=xri:pqm&amp;rft_val_fmt=info:ofi/fmt:kev:mtx:journal&amp;genre=journal&amp;req_dat=xri:pqil:pq_clntid=131239&amp;svc_dat=xri:pqil:context=title&amp;rft_dat=xri:pqd:PMID=47864</t>
  </si>
  <si>
    <t>http://gateway.proquest.com/openurl?url_ver=Z39.88-2004&amp;res_dat=xri:pqm&amp;rft_val_fmt=info:ofi/fmt:kev:mtx:journal&amp;genre=journal&amp;req_dat=xri:pqil:pq_clntid=131239&amp;svc_dat=xri:pqil:context=title&amp;rft_dat=xri:pqd:PMID=436411</t>
  </si>
  <si>
    <t>Chennai</t>
  </si>
  <si>
    <t>http://gateway.proquest.com/openurl?url_ver=Z39.88-2004&amp;res_dat=xri:pqm&amp;rft_val_fmt=info:ofi/fmt:kev:mtx:journal&amp;genre=journal&amp;req_dat=xri:pqil:pq_clntid=131239&amp;svc_dat=xri:pqil:context=title&amp;rft_dat=xri:pqd:PMID=2032058</t>
  </si>
  <si>
    <t>http://gateway.proquest.com/openurl?url_ver=Z39.88-2004&amp;res_dat=xri:pqm&amp;rft_val_fmt=info:ofi/fmt:kev:mtx:journal&amp;genre=journal&amp;req_dat=xri:pqil:pq_clntid=131239&amp;svc_dat=xri:pqil:context=title&amp;rft_dat=xri:pqd:PMID=30332</t>
  </si>
  <si>
    <t>01-Jan-2014--30-Jun-2017</t>
  </si>
  <si>
    <t>http://gateway.proquest.com/openurl?url_ver=Z39.88-2004&amp;res_dat=xri:pqm&amp;rft_val_fmt=info:ofi/fmt:kev:mtx:journal&amp;genre=journal&amp;req_dat=xri:pqil:pq_clntid=131239&amp;svc_dat=xri:pqil:context=title&amp;rft_dat=xri:pqd:PMID=36588</t>
  </si>
  <si>
    <t>01-Jan-2010--31-Dec-2016</t>
  </si>
  <si>
    <t>http://gateway.proquest.com/openurl?url_ver=Z39.88-2004&amp;res_dat=xri:pqm&amp;rft_val_fmt=info:ofi/fmt:kev:mtx:journal&amp;genre=journal&amp;req_dat=xri:pqil:pq_clntid=131239&amp;svc_dat=xri:pqil:context=title&amp;rft_dat=xri:pqd:PMID=28903</t>
  </si>
  <si>
    <t>http://gateway.proquest.com/openurl?url_ver=Z39.88-2004&amp;res_dat=xri:pqm&amp;rft_val_fmt=info:ofi/fmt:kev:mtx:journal&amp;genre=journal&amp;req_dat=xri:pqil:pq_clntid=131239&amp;svc_dat=xri:pqil:context=title&amp;rft_dat=xri:pqd:PMID=34243</t>
  </si>
  <si>
    <t>http://gateway.proquest.com/openurl?url_ver=Z39.88-2004&amp;res_dat=xri:pqm&amp;rft_val_fmt=info:ofi/fmt:kev:mtx:journal&amp;genre=journal&amp;req_dat=xri:pqil:pq_clntid=131239&amp;svc_dat=xri:pqil:context=title&amp;rft_dat=xri:pqd:PMID=34357</t>
  </si>
  <si>
    <t>http://gateway.proquest.com/openurl?url_ver=Z39.88-2004&amp;res_dat=xri:pqm&amp;rft_val_fmt=info:ofi/fmt:kev:mtx:journal&amp;genre=journal&amp;req_dat=xri:pqil:pq_clntid=131239&amp;svc_dat=xri:pqil:context=title&amp;rft_dat=xri:pqd:PMID=5483574</t>
  </si>
  <si>
    <t>Judith Smith</t>
  </si>
  <si>
    <t>http://gateway.proquest.com/openurl?url_ver=Z39.88-2004&amp;res_dat=xri:pqm&amp;rft_val_fmt=info:ofi/fmt:kev:mtx:journal&amp;genre=journal&amp;req_dat=xri:pqil:pq_clntid=131239&amp;svc_dat=xri:pqil:context=title&amp;rft_dat=xri:pqd:PMID=6362728</t>
  </si>
  <si>
    <t>http://gateway.proquest.com/openurl?url_ver=Z39.88-2004&amp;res_dat=xri:pqm&amp;rft_val_fmt=info:ofi/fmt:kev:mtx:journal&amp;genre=journal&amp;req_dat=xri:pqil:pq_clntid=131239&amp;svc_dat=xri:pqil:context=title&amp;rft_dat=xri:pqd:PMID=75956</t>
  </si>
  <si>
    <t>http://gateway.proquest.com/openurl?url_ver=Z39.88-2004&amp;res_dat=xri:pqm&amp;rft_val_fmt=info:ofi/fmt:kev:mtx:journal&amp;genre=journal&amp;req_dat=xri:pqil:pq_clntid=131239&amp;svc_dat=xri:pqil:context=title&amp;rft_dat=xri:pqd:PMID=5256699</t>
  </si>
  <si>
    <t>http://gateway.proquest.com/openurl?url_ver=Z39.88-2004&amp;res_dat=xri:pqm&amp;rft_val_fmt=info:ofi/fmt:kev:mtx:journal&amp;genre=journal&amp;req_dat=xri:pqil:pq_clntid=131239&amp;svc_dat=xri:pqil:context=title&amp;rft_dat=xri:pqd:PMID=5483602</t>
  </si>
  <si>
    <t>http://gateway.proquest.com/openurl?url_ver=Z39.88-2004&amp;res_dat=xri:pqm&amp;rft_val_fmt=info:ofi/fmt:kev:mtx:journal&amp;genre=journal&amp;req_dat=xri:pqil:pq_clntid=131239&amp;svc_dat=xri:pqil:context=title&amp;rft_dat=xri:pqd:PMID=6447807</t>
  </si>
  <si>
    <t>http://gateway.proquest.com/openurl?url_ver=Z39.88-2004&amp;res_dat=xri:pqm&amp;rft_val_fmt=info:ofi/fmt:kev:mtx:journal&amp;genre=journal&amp;req_dat=xri:pqil:pq_clntid=131239&amp;svc_dat=xri:pqil:context=title&amp;rft_dat=xri:pqd:PMID=6447806</t>
  </si>
  <si>
    <t>http://gateway.proquest.com/openurl?url_ver=Z39.88-2004&amp;res_dat=xri:pqm&amp;rft_val_fmt=info:ofi/fmt:kev:mtx:journal&amp;genre=journal&amp;req_dat=xri:pqil:pq_clntid=131239&amp;svc_dat=xri:pqil:context=title&amp;rft_dat=xri:pqd:PMID=6447805</t>
  </si>
  <si>
    <t>Wiesbaden</t>
  </si>
  <si>
    <t>http://gateway.proquest.com/openurl?url_ver=Z39.88-2004&amp;res_dat=xri:pqm&amp;rft_val_fmt=info:ofi/fmt:kev:mtx:journal&amp;genre=journal&amp;req_dat=xri:pqil:pq_clntid=131239&amp;svc_dat=xri:pqil:context=title&amp;rft_dat=xri:pqd:PMID=54574</t>
  </si>
  <si>
    <t>http://gateway.proquest.com/openurl?url_ver=Z39.88-2004&amp;res_dat=xri:pqm&amp;rft_val_fmt=info:ofi/fmt:kev:mtx:journal&amp;genre=journal&amp;req_dat=xri:pqil:pq_clntid=131239&amp;svc_dat=xri:pqil:context=title&amp;rft_dat=xri:pqd:PMID=2028731</t>
  </si>
  <si>
    <t>http://gateway.proquest.com/openurl?url_ver=Z39.88-2004&amp;res_dat=xri:pqm&amp;rft_val_fmt=info:ofi/fmt:kev:mtx:journal&amp;genre=journal&amp;req_dat=xri:pqil:pq_clntid=131239&amp;svc_dat=xri:pqil:context=title&amp;rft_dat=xri:pqd:PMID=28575</t>
  </si>
  <si>
    <t>http://gateway.proquest.com/openurl?url_ver=Z39.88-2004&amp;res_dat=xri:pqm&amp;rft_val_fmt=info:ofi/fmt:kev:mtx:journal&amp;genre=journal&amp;req_dat=xri:pqil:pq_clntid=131239&amp;svc_dat=xri:pqil:context=title&amp;rft_dat=xri:pqd:PMID=26255</t>
  </si>
  <si>
    <t>01-Jan-1961--31-Dec-1962; 01-Jan-1964--31-Dec-1966</t>
  </si>
  <si>
    <t>http://gateway.proquest.com/openurl?url_ver=Z39.88-2004&amp;res_dat=xri:pqm&amp;rft_val_fmt=info:ofi/fmt:kev:mtx:journal&amp;genre=journal&amp;req_dat=xri:pqil:pq_clntid=131239&amp;svc_dat=xri:pqil:context=title&amp;rft_dat=xri:pqd:PMID=40246</t>
  </si>
  <si>
    <t>Landmark Media Videos</t>
  </si>
  <si>
    <t>Landmark Media, Inc.</t>
  </si>
  <si>
    <t>Charlottesville</t>
  </si>
  <si>
    <t>http://gateway.proquest.com/openurl?url_ver=Z39.88-2004&amp;res_dat=xri:pqm&amp;rft_val_fmt=info:ofi/fmt:kev:mtx:journal&amp;genre=journal&amp;req_dat=xri:pqil:pq_clntid=131239&amp;svc_dat=xri:pqil:context=title&amp;rft_dat=xri:pqd:PMID=6362726</t>
  </si>
  <si>
    <t>http://gateway.proquest.com/openurl?url_ver=Z39.88-2004&amp;res_dat=xri:pqm&amp;rft_val_fmt=info:ofi/fmt:kev:mtx:journal&amp;genre=journal&amp;req_dat=xri:pqil:pq_clntid=131239&amp;svc_dat=xri:pqil:context=title&amp;rft_dat=xri:pqd:PMID=9368</t>
  </si>
  <si>
    <t>http://gateway.proquest.com/openurl?url_ver=Z39.88-2004&amp;res_dat=xri:pqm&amp;rft_val_fmt=info:ofi/fmt:kev:mtx:journal&amp;genre=journal&amp;req_dat=xri:pqil:pq_clntid=131239&amp;svc_dat=xri:pqil:context=title&amp;rft_dat=xri:pqd:PMID=46556</t>
  </si>
  <si>
    <t>http://gateway.proquest.com/openurl?url_ver=Z39.88-2004&amp;res_dat=xri:pqm&amp;rft_val_fmt=info:ofi/fmt:kev:mtx:journal&amp;genre=journal&amp;req_dat=xri:pqil:pq_clntid=131239&amp;svc_dat=xri:pqil:context=title&amp;rft_dat=xri:pqd:PMID=44519</t>
  </si>
  <si>
    <t>http://gateway.proquest.com/openurl?url_ver=Z39.88-2004&amp;res_dat=xri:pqm&amp;rft_val_fmt=info:ofi/fmt:kev:mtx:journal&amp;genre=journal&amp;req_dat=xri:pqil:pq_clntid=131239&amp;svc_dat=xri:pqil:context=title&amp;rft_dat=xri:pqd:PMID=27867</t>
  </si>
  <si>
    <t>http://gateway.proquest.com/openurl?url_ver=Z39.88-2004&amp;res_dat=xri:pqm&amp;rft_val_fmt=info:ofi/fmt:kev:mtx:journal&amp;genre=journal&amp;req_dat=xri:pqil:pq_clntid=131239&amp;svc_dat=xri:pqil:context=title&amp;rft_dat=xri:pqd:PMID=37135</t>
  </si>
  <si>
    <t>http://gateway.proquest.com/openurl?url_ver=Z39.88-2004&amp;res_dat=xri:pqm&amp;rft_val_fmt=info:ofi/fmt:kev:mtx:journal&amp;genre=journal&amp;req_dat=xri:pqil:pq_clntid=131239&amp;svc_dat=xri:pqil:context=title&amp;rft_dat=xri:pqd:PMID=2000</t>
  </si>
  <si>
    <t>http://gateway.proquest.com/openurl?url_ver=Z39.88-2004&amp;res_dat=xri:pqm&amp;rft_val_fmt=info:ofi/fmt:kev:mtx:journal&amp;genre=journal&amp;req_dat=xri:pqil:pq_clntid=131239&amp;svc_dat=xri:pqil:context=title&amp;rft_dat=xri:pqd:PMID=47833</t>
  </si>
  <si>
    <t>http://gateway.proquest.com/openurl?url_ver=Z39.88-2004&amp;res_dat=xri:pqm&amp;rft_val_fmt=info:ofi/fmt:kev:mtx:journal&amp;genre=journal&amp;req_dat=xri:pqil:pq_clntid=131239&amp;svc_dat=xri:pqil:context=title&amp;rft_dat=xri:pqd:PMID=2043073</t>
  </si>
  <si>
    <t>Education--Special Education And Rehabilitation|Medical Sciences--Otorhinolaryngology|People With Disabilities--Hearing Impaired</t>
  </si>
  <si>
    <t>http://gateway.proquest.com/openurl?url_ver=Z39.88-2004&amp;res_dat=xri:pqm&amp;rft_val_fmt=info:ofi/fmt:kev:mtx:journal&amp;genre=journal&amp;req_dat=xri:pqil:pq_clntid=131239&amp;svc_dat=xri:pqil:context=title&amp;rft_dat=xri:pqd:PMID=37587</t>
  </si>
  <si>
    <t>http://gateway.proquest.com/openurl?url_ver=Z39.88-2004&amp;res_dat=xri:pqm&amp;rft_val_fmt=info:ofi/fmt:kev:mtx:journal&amp;genre=journal&amp;req_dat=xri:pqil:pq_clntid=131239&amp;svc_dat=xri:pqil:context=title&amp;rft_dat=xri:pqd:PMID=135350</t>
  </si>
  <si>
    <t>http://gateway.proquest.com/openurl?url_ver=Z39.88-2004&amp;res_dat=xri:pqm&amp;rft_val_fmt=info:ofi/fmt:kev:mtx:journal&amp;genre=journal&amp;req_dat=xri:pqil:pq_clntid=131239&amp;svc_dat=xri:pqil:context=title&amp;rft_dat=xri:pqd:PMID=2033065</t>
  </si>
  <si>
    <t>Tuscaloosa</t>
  </si>
  <si>
    <t>http://gateway.proquest.com/openurl?url_ver=Z39.88-2004&amp;res_dat=xri:pqm&amp;rft_val_fmt=info:ofi/fmt:kev:mtx:journal&amp;genre=journal&amp;req_dat=xri:pqil:pq_clntid=131239&amp;svc_dat=xri:pqil:context=title&amp;rft_dat=xri:pqd:PMID=47111</t>
  </si>
  <si>
    <t>Amherst</t>
  </si>
  <si>
    <t>http://gateway.proquest.com/openurl?url_ver=Z39.88-2004&amp;res_dat=xri:pqm&amp;rft_val_fmt=info:ofi/fmt:kev:mtx:journal&amp;genre=journal&amp;req_dat=xri:pqil:pq_clntid=131239&amp;svc_dat=xri:pqil:context=title&amp;rft_dat=xri:pqd:PMID=37836</t>
  </si>
  <si>
    <t>Southport</t>
  </si>
  <si>
    <t>http://gateway.proquest.com/openurl?url_ver=Z39.88-2004&amp;res_dat=xri:pqm&amp;rft_val_fmt=info:ofi/fmt:kev:mtx:journal&amp;genre=journal&amp;req_dat=xri:pqil:pq_clntid=131239&amp;svc_dat=xri:pqil:context=title&amp;rft_dat=xri:pqd:PMID=48067</t>
  </si>
  <si>
    <t>01-Jan-1996--31-Dec-1998</t>
  </si>
  <si>
    <t>http://gateway.proquest.com/openurl?url_ver=Z39.88-2004&amp;res_dat=xri:pqm&amp;rft_val_fmt=info:ofi/fmt:kev:mtx:journal&amp;genre=journal&amp;req_dat=xri:pqil:pq_clntid=131239&amp;svc_dat=xri:pqil:context=title&amp;rft_dat=xri:pqd:PMID=37097</t>
  </si>
  <si>
    <t>http://gateway.proquest.com/openurl?url_ver=Z39.88-2004&amp;res_dat=xri:pqm&amp;rft_val_fmt=info:ofi/fmt:kev:mtx:journal&amp;genre=journal&amp;req_dat=xri:pqil:pq_clntid=131239&amp;svc_dat=xri:pqil:context=title&amp;rft_dat=xri:pqd:PMID=29523</t>
  </si>
  <si>
    <t>http://gateway.proquest.com/openurl?url_ver=Z39.88-2004&amp;res_dat=xri:pqm&amp;rft_val_fmt=info:ofi/fmt:kev:mtx:journal&amp;genre=journal&amp;req_dat=xri:pqil:pq_clntid=131239&amp;svc_dat=xri:pqil:context=title&amp;rft_dat=xri:pqd:PMID=2043180</t>
  </si>
  <si>
    <t>http://gateway.proquest.com/openurl?url_ver=Z39.88-2004&amp;res_dat=xri:pqm&amp;rft_val_fmt=info:ofi/fmt:kev:mtx:journal&amp;genre=journal&amp;req_dat=xri:pqil:pq_clntid=131239&amp;svc_dat=xri:pqil:context=title&amp;rft_dat=xri:pqd:PMID=31730</t>
  </si>
  <si>
    <t>http://gateway.proquest.com/openurl?url_ver=Z39.88-2004&amp;res_dat=xri:pqm&amp;rft_val_fmt=info:ofi/fmt:kev:mtx:journal&amp;genre=journal&amp;req_dat=xri:pqil:pq_clntid=131239&amp;svc_dat=xri:pqil:context=title&amp;rft_dat=xri:pqd:PMID=105921</t>
  </si>
  <si>
    <t>http://gateway.proquest.com/openurl?url_ver=Z39.88-2004&amp;res_dat=xri:pqm&amp;rft_val_fmt=info:ofi/fmt:kev:mtx:journal&amp;genre=journal&amp;req_dat=xri:pqil:pq_clntid=131239&amp;svc_dat=xri:pqil:context=title&amp;rft_dat=xri:pqd:PMID=5483609</t>
  </si>
  <si>
    <t>Falls Church</t>
  </si>
  <si>
    <t>http://gateway.proquest.com/openurl?url_ver=Z39.88-2004&amp;res_dat=xri:pqm&amp;rft_val_fmt=info:ofi/fmt:kev:mtx:journal&amp;genre=journal&amp;req_dat=xri:pqil:pq_clntid=131239&amp;svc_dat=xri:pqil:context=title&amp;rft_dat=xri:pqd:PMID=6362725</t>
  </si>
  <si>
    <t>http://gateway.proquest.com/openurl?url_ver=Z39.88-2004&amp;res_dat=xri:pqm&amp;rft_val_fmt=info:ofi/fmt:kev:mtx:journal&amp;genre=journal&amp;req_dat=xri:pqil:pq_clntid=131239&amp;svc_dat=xri:pqil:context=title&amp;rft_dat=xri:pqd:PMID=976353</t>
  </si>
  <si>
    <t>http://gateway.proquest.com/openurl?url_ver=Z39.88-2004&amp;res_dat=xri:pqm&amp;rft_val_fmt=info:ofi/fmt:kev:mtx:journal&amp;genre=journal&amp;req_dat=xri:pqil:pq_clntid=131239&amp;svc_dat=xri:pqil:context=title&amp;rft_dat=xri:pqd:PMID=44122</t>
  </si>
  <si>
    <t>http://gateway.proquest.com/openurl?url_ver=Z39.88-2004&amp;res_dat=xri:pqm&amp;rft_val_fmt=info:ofi/fmt:kev:mtx:journal&amp;genre=journal&amp;req_dat=xri:pqil:pq_clntid=131239&amp;svc_dat=xri:pqil:context=title&amp;rft_dat=xri:pqd:PMID=2042235</t>
  </si>
  <si>
    <t>http://gateway.proquest.com/openurl?url_ver=Z39.88-2004&amp;res_dat=xri:pqm&amp;rft_val_fmt=info:ofi/fmt:kev:mtx:journal&amp;genre=journal&amp;req_dat=xri:pqil:pq_clntid=131239&amp;svc_dat=xri:pqil:context=title&amp;rft_dat=xri:pqd:PMID=44392</t>
  </si>
  <si>
    <t>Overland Park</t>
  </si>
  <si>
    <t>http://gateway.proquest.com/openurl?url_ver=Z39.88-2004&amp;res_dat=xri:pqm&amp;rft_val_fmt=info:ofi/fmt:kev:mtx:journal&amp;genre=journal&amp;req_dat=xri:pqil:pq_clntid=131239&amp;svc_dat=xri:pqil:context=title&amp;rft_dat=xri:pqd:PMID=47969</t>
  </si>
  <si>
    <t>http://gateway.proquest.com/openurl?url_ver=Z39.88-2004&amp;res_dat=xri:pqm&amp;rft_val_fmt=info:ofi/fmt:kev:mtx:journal&amp;genre=journal&amp;req_dat=xri:pqil:pq_clntid=131239&amp;svc_dat=xri:pqil:context=title&amp;rft_dat=xri:pqd:PMID=54618</t>
  </si>
  <si>
    <t>http://gateway.proquest.com/openurl?url_ver=Z39.88-2004&amp;res_dat=xri:pqm&amp;rft_val_fmt=info:ofi/fmt:kev:mtx:journal&amp;genre=journal&amp;req_dat=xri:pqil:pq_clntid=131239&amp;svc_dat=xri:pqil:context=title&amp;rft_dat=xri:pqd:PMID=5483599</t>
  </si>
  <si>
    <t>http://gateway.proquest.com/openurl?url_ver=Z39.88-2004&amp;res_dat=xri:pqm&amp;rft_val_fmt=info:ofi/fmt:kev:mtx:journal&amp;genre=journal&amp;req_dat=xri:pqil:pq_clntid=131239&amp;svc_dat=xri:pqil:context=title&amp;rft_dat=xri:pqd:PMID=31733</t>
  </si>
  <si>
    <t>http://gateway.proquest.com/openurl?url_ver=Z39.88-2004&amp;res_dat=xri:pqm&amp;rft_val_fmt=info:ofi/fmt:kev:mtx:journal&amp;genre=journal&amp;req_dat=xri:pqil:pq_clntid=131239&amp;svc_dat=xri:pqil:context=title&amp;rft_dat=xri:pqd:PMID=29957</t>
  </si>
  <si>
    <t>http://gateway.proquest.com/openurl?url_ver=Z39.88-2004&amp;res_dat=xri:pqm&amp;rft_val_fmt=info:ofi/fmt:kev:mtx:journal&amp;genre=journal&amp;req_dat=xri:pqil:pq_clntid=131239&amp;svc_dat=xri:pqil:context=title&amp;rft_dat=xri:pqd:PMID=5263186</t>
  </si>
  <si>
    <t>http://gateway.proquest.com/openurl?url_ver=Z39.88-2004&amp;res_dat=xri:pqm&amp;rft_val_fmt=info:ofi/fmt:kev:mtx:journal&amp;genre=journal&amp;req_dat=xri:pqil:pq_clntid=131239&amp;svc_dat=xri:pqil:context=title&amp;rft_dat=xri:pqd:PMID=5325181</t>
  </si>
  <si>
    <t>http://gateway.proquest.com/openurl?url_ver=Z39.88-2004&amp;res_dat=xri:pqm&amp;rft_val_fmt=info:ofi/fmt:kev:mtx:journal&amp;genre=journal&amp;req_dat=xri:pqil:pq_clntid=131239&amp;svc_dat=xri:pqil:context=title&amp;rft_dat=xri:pqd:PMID=28738</t>
  </si>
  <si>
    <t>http://gateway.proquest.com/openurl?url_ver=Z39.88-2004&amp;res_dat=xri:pqm&amp;rft_val_fmt=info:ofi/fmt:kev:mtx:journal&amp;genre=journal&amp;req_dat=xri:pqil:pq_clntid=131239&amp;svc_dat=xri:pqil:context=title&amp;rft_dat=xri:pqd:PMID=46503</t>
  </si>
  <si>
    <t>http://gateway.proquest.com/openurl?url_ver=Z39.88-2004&amp;res_dat=xri:pqm&amp;rft_val_fmt=info:ofi/fmt:kev:mtx:journal&amp;genre=journal&amp;req_dat=xri:pqil:pq_clntid=131239&amp;svc_dat=xri:pqil:context=title&amp;rft_dat=xri:pqd:PMID=6362724</t>
  </si>
  <si>
    <t>http://gateway.proquest.com/openurl?url_ver=Z39.88-2004&amp;res_dat=xri:pqm&amp;rft_val_fmt=info:ofi/fmt:kev:mtx:journal&amp;genre=journal&amp;req_dat=xri:pqil:pq_clntid=131239&amp;svc_dat=xri:pqil:context=title&amp;rft_dat=xri:pqd:PMID=6059479</t>
  </si>
  <si>
    <t>http://gateway.proquest.com/openurl?url_ver=Z39.88-2004&amp;res_dat=xri:pqm&amp;rft_val_fmt=info:ofi/fmt:kev:mtx:journal&amp;genre=journal&amp;req_dat=xri:pqil:pq_clntid=131239&amp;svc_dat=xri:pqil:context=title&amp;rft_dat=xri:pqd:PMID=6059478</t>
  </si>
  <si>
    <t>http://gateway.proquest.com/openurl?url_ver=Z39.88-2004&amp;res_dat=xri:pqm&amp;rft_val_fmt=info:ofi/fmt:kev:mtx:journal&amp;genre=journal&amp;req_dat=xri:pqil:pq_clntid=131239&amp;svc_dat=xri:pqil:context=title&amp;rft_dat=xri:pqd:PMID=51672</t>
  </si>
  <si>
    <t>Lima</t>
  </si>
  <si>
    <t>http://gateway.proquest.com/openurl?url_ver=Z39.88-2004&amp;res_dat=xri:pqm&amp;rft_val_fmt=info:ofi/fmt:kev:mtx:journal&amp;genre=journal&amp;req_dat=xri:pqil:pq_clntid=131239&amp;svc_dat=xri:pqil:context=title&amp;rft_dat=xri:pqd:PMID=2046078</t>
  </si>
  <si>
    <t>http://gateway.proquest.com/openurl?url_ver=Z39.88-2004&amp;res_dat=xri:pqm&amp;rft_val_fmt=info:ofi/fmt:kev:mtx:journal&amp;genre=journal&amp;req_dat=xri:pqil:pq_clntid=131239&amp;svc_dat=xri:pqil:context=title&amp;rft_dat=xri:pqd:PMID=6059477</t>
  </si>
  <si>
    <t>http://gateway.proquest.com/openurl?url_ver=Z39.88-2004&amp;res_dat=xri:pqm&amp;rft_val_fmt=info:ofi/fmt:kev:mtx:journal&amp;genre=journal&amp;req_dat=xri:pqil:pq_clntid=131239&amp;svc_dat=xri:pqil:context=title&amp;rft_dat=xri:pqd:PMID=5483620</t>
  </si>
  <si>
    <t>http://gateway.proquest.com/openurl?url_ver=Z39.88-2004&amp;res_dat=xri:pqm&amp;rft_val_fmt=info:ofi/fmt:kev:mtx:journal&amp;genre=journal&amp;req_dat=xri:pqil:pq_clntid=131239&amp;svc_dat=xri:pqil:context=title&amp;rft_dat=xri:pqd:PMID=5483524</t>
  </si>
  <si>
    <t>Listen 2 Kids</t>
  </si>
  <si>
    <t>Orlando, Florida</t>
  </si>
  <si>
    <t>http://gateway.proquest.com/openurl?url_ver=Z39.88-2004&amp;res_dat=xri:pqm&amp;rft_val_fmt=info:ofi/fmt:kev:mtx:journal&amp;genre=journal&amp;req_dat=xri:pqil:pq_clntid=131239&amp;svc_dat=xri:pqil:context=title&amp;rft_dat=xri:pqd:PMID=6362722</t>
  </si>
  <si>
    <t>Coral Gables</t>
  </si>
  <si>
    <t>http://gateway.proquest.com/openurl?url_ver=Z39.88-2004&amp;res_dat=xri:pqm&amp;rft_val_fmt=info:ofi/fmt:kev:mtx:journal&amp;genre=journal&amp;req_dat=xri:pqil:pq_clntid=131239&amp;svc_dat=xri:pqil:context=title&amp;rft_dat=xri:pqd:PMID=40338</t>
  </si>
  <si>
    <t>http://gateway.proquest.com/openurl?url_ver=Z39.88-2004&amp;res_dat=xri:pqm&amp;rft_val_fmt=info:ofi/fmt:kev:mtx:journal&amp;genre=journal&amp;req_dat=xri:pqil:pq_clntid=131239&amp;svc_dat=xri:pqil:context=title&amp;rft_dat=xri:pqd:PMID=41003</t>
  </si>
  <si>
    <t>http://gateway.proquest.com/openurl?url_ver=Z39.88-2004&amp;res_dat=xri:pqm&amp;rft_val_fmt=info:ofi/fmt:kev:mtx:journal&amp;genre=journal&amp;req_dat=xri:pqil:pq_clntid=131239&amp;svc_dat=xri:pqil:context=title&amp;rft_dat=xri:pqd:PMID=5483603</t>
  </si>
  <si>
    <t>http://gateway.proquest.com/openurl?url_ver=Z39.88-2004&amp;res_dat=xri:pqm&amp;rft_val_fmt=info:ofi/fmt:kev:mtx:journal&amp;genre=journal&amp;req_dat=xri:pqil:pq_clntid=131239&amp;svc_dat=xri:pqil:context=title&amp;rft_dat=xri:pqd:PMID=5483556</t>
  </si>
  <si>
    <t>http://gateway.proquest.com/openurl?url_ver=Z39.88-2004&amp;res_dat=xri:pqm&amp;rft_val_fmt=info:ofi/fmt:kev:mtx:journal&amp;genre=journal&amp;req_dat=xri:pqil:pq_clntid=131239&amp;svc_dat=xri:pqil:context=title&amp;rft_dat=xri:pqd:PMID=5263181</t>
  </si>
  <si>
    <t>http://gateway.proquest.com/openurl?url_ver=Z39.88-2004&amp;res_dat=xri:pqm&amp;rft_val_fmt=info:ofi/fmt:kev:mtx:journal&amp;genre=journal&amp;req_dat=xri:pqil:pq_clntid=131239&amp;svc_dat=xri:pqil:context=title&amp;rft_dat=xri:pqd:PMID=6059476</t>
  </si>
  <si>
    <t>1739</t>
  </si>
  <si>
    <t>http://gateway.proquest.com/openurl?url_ver=Z39.88-2004&amp;res_dat=xri:pqm&amp;rft_val_fmt=info:ofi/fmt:kev:mtx:journal&amp;genre=journal&amp;req_dat=xri:pqil:pq_clntid=131239&amp;svc_dat=xri:pqil:context=title&amp;rft_dat=xri:pqd:PMID=5983386</t>
  </si>
  <si>
    <t>http://gateway.proquest.com/openurl?url_ver=Z39.88-2004&amp;res_dat=xri:pqm&amp;rft_val_fmt=info:ofi/fmt:kev:mtx:journal&amp;genre=journal&amp;req_dat=xri:pqil:pq_clntid=131239&amp;svc_dat=xri:pqil:context=title&amp;rft_dat=xri:pqd:PMID=5483571</t>
  </si>
  <si>
    <t>The Lunacy Law of the World : Being That of Each of the Forty-Eight States and Territories of the United States, With an Examination Thereof and Leading Cases Thereon; Together With That of the Six Great Powers of Europe : Great Britain, France, Italy, Germany, Austria-Hungary, and Russia</t>
  </si>
  <si>
    <t>http://gateway.proquest.com/openurl?url_ver=Z39.88-2004&amp;res_dat=xri:pqm&amp;rft_val_fmt=info:ofi/fmt:kev:mtx:journal&amp;genre=journal&amp;req_dat=xri:pqil:pq_clntid=131239&amp;svc_dat=xri:pqil:context=title&amp;rft_dat=xri:pqd:PMID=5983383</t>
  </si>
  <si>
    <t>The Curators of the University of Missouri</t>
  </si>
  <si>
    <t>http://gateway.proquest.com/openurl?url_ver=Z39.88-2004&amp;res_dat=xri:pqm&amp;rft_val_fmt=info:ofi/fmt:kev:mtx:journal&amp;genre=journal&amp;req_dat=xri:pqil:pq_clntid=131239&amp;svc_dat=xri:pqil:context=title&amp;rft_dat=xri:pqd:PMID=5263191</t>
  </si>
  <si>
    <t>http://gateway.proquest.com/openurl?url_ver=Z39.88-2004&amp;res_dat=xri:pqm&amp;rft_val_fmt=info:ofi/fmt:kev:mtx:journal&amp;genre=journal&amp;req_dat=xri:pqil:pq_clntid=131239&amp;svc_dat=xri:pqil:context=title&amp;rft_dat=xri:pqd:PMID=6059475</t>
  </si>
  <si>
    <t>http://gateway.proquest.com/openurl?url_ver=Z39.88-2004&amp;res_dat=xri:pqm&amp;rft_val_fmt=info:ofi/fmt:kev:mtx:journal&amp;genre=journal&amp;req_dat=xri:pqil:pq_clntid=131239&amp;svc_dat=xri:pqil:context=title&amp;rft_dat=xri:pqd:PMID=5983416</t>
  </si>
  <si>
    <t>http://gateway.proquest.com/openurl?url_ver=Z39.88-2004&amp;res_dat=xri:pqm&amp;rft_val_fmt=info:ofi/fmt:kev:mtx:journal&amp;genre=journal&amp;req_dat=xri:pqil:pq_clntid=131239&amp;svc_dat=xri:pqil:context=title&amp;rft_dat=xri:pqd:PMID=6059474</t>
  </si>
  <si>
    <t>Kuala Lumpur</t>
  </si>
  <si>
    <t>http://gateway.proquest.com/openurl?url_ver=Z39.88-2004&amp;res_dat=xri:pqm&amp;rft_val_fmt=info:ofi/fmt:kev:mtx:journal&amp;genre=journal&amp;req_dat=xri:pqil:pq_clntid=131239&amp;svc_dat=xri:pqil:context=title&amp;rft_dat=xri:pqd:PMID=6334260</t>
  </si>
  <si>
    <t>http://gateway.proquest.com/openurl?url_ver=Z39.88-2004&amp;res_dat=xri:pqm&amp;rft_val_fmt=info:ofi/fmt:kev:mtx:journal&amp;genre=journal&amp;req_dat=xri:pqil:pq_clntid=131239&amp;svc_dat=xri:pqil:context=title&amp;rft_dat=xri:pqd:PMID=5983414</t>
  </si>
  <si>
    <t>http://gateway.proquest.com/openurl?url_ver=Z39.88-2004&amp;res_dat=xri:pqm&amp;rft_val_fmt=info:ofi/fmt:kev:mtx:journal&amp;genre=journal&amp;req_dat=xri:pqil:pq_clntid=131239&amp;svc_dat=xri:pqil:context=title&amp;rft_dat=xri:pqd:PMID=5488558</t>
  </si>
  <si>
    <t>Nantes</t>
  </si>
  <si>
    <t>http://gateway.proquest.com/openurl?url_ver=Z39.88-2004&amp;res_dat=xri:pqm&amp;rft_val_fmt=info:ofi/fmt:kev:mtx:journal&amp;genre=journal&amp;req_dat=xri:pqil:pq_clntid=131239&amp;svc_dat=xri:pqil:context=title&amp;rft_dat=xri:pqd:PMID=286201</t>
  </si>
  <si>
    <t>01-Aug-2006--31-Jan-2009</t>
  </si>
  <si>
    <t>http://gateway.proquest.com/openurl?url_ver=Z39.88-2004&amp;res_dat=xri:pqm&amp;rft_val_fmt=info:ofi/fmt:kev:mtx:journal&amp;genre=journal&amp;req_dat=xri:pqil:pq_clntid=131239&amp;svc_dat=xri:pqil:context=title&amp;rft_dat=xri:pqd:PMID=40737</t>
  </si>
  <si>
    <t>http://gateway.proquest.com/openurl?url_ver=Z39.88-2004&amp;res_dat=xri:pqm&amp;rft_val_fmt=info:ofi/fmt:kev:mtx:journal&amp;genre=journal&amp;req_dat=xri:pqil:pq_clntid=131239&amp;svc_dat=xri:pqil:context=title&amp;rft_dat=xri:pqd:PMID=5325187</t>
  </si>
  <si>
    <t>The Maniac : A Realistic Study of Madness From the Maniac's Point of View</t>
  </si>
  <si>
    <t>http://gateway.proquest.com/openurl?url_ver=Z39.88-2004&amp;res_dat=xri:pqm&amp;rft_val_fmt=info:ofi/fmt:kev:mtx:journal&amp;genre=journal&amp;req_dat=xri:pqil:pq_clntid=131239&amp;svc_dat=xri:pqil:context=title&amp;rft_dat=xri:pqd:PMID=5983380</t>
  </si>
  <si>
    <t>Winnipeg</t>
  </si>
  <si>
    <t>http://gateway.proquest.com/openurl?url_ver=Z39.88-2004&amp;res_dat=xri:pqm&amp;rft_val_fmt=info:ofi/fmt:kev:mtx:journal&amp;genre=journal&amp;req_dat=xri:pqil:pq_clntid=131239&amp;svc_dat=xri:pqil:context=title&amp;rft_dat=xri:pqd:PMID=29413</t>
  </si>
  <si>
    <t>http://gateway.proquest.com/openurl?url_ver=Z39.88-2004&amp;res_dat=xri:pqm&amp;rft_val_fmt=info:ofi/fmt:kev:mtx:journal&amp;genre=journal&amp;req_dat=xri:pqil:pq_clntid=131239&amp;svc_dat=xri:pqil:context=title&amp;rft_dat=xri:pqd:PMID=2045304</t>
  </si>
  <si>
    <t>http://gateway.proquest.com/openurl?url_ver=Z39.88-2004&amp;res_dat=xri:pqm&amp;rft_val_fmt=info:ofi/fmt:kev:mtx:journal&amp;genre=journal&amp;req_dat=xri:pqil:pq_clntid=131239&amp;svc_dat=xri:pqil:context=title&amp;rft_dat=xri:pqd:PMID=37391</t>
  </si>
  <si>
    <t>http://gateway.proquest.com/openurl?url_ver=Z39.88-2004&amp;res_dat=xri:pqm&amp;rft_val_fmt=info:ofi/fmt:kev:mtx:journal&amp;genre=journal&amp;req_dat=xri:pqil:pq_clntid=131239&amp;svc_dat=xri:pqil:context=title&amp;rft_dat=xri:pqd:PMID=4802</t>
  </si>
  <si>
    <t>http://gateway.proquest.com/openurl?url_ver=Z39.88-2004&amp;res_dat=xri:pqm&amp;rft_val_fmt=info:ofi/fmt:kev:mtx:journal&amp;genre=journal&amp;req_dat=xri:pqil:pq_clntid=131239&amp;svc_dat=xri:pqil:context=title&amp;rft_dat=xri:pqd:PMID=47143</t>
  </si>
  <si>
    <t>http://gateway.proquest.com/openurl?url_ver=Z39.88-2004&amp;res_dat=xri:pqm&amp;rft_val_fmt=info:ofi/fmt:kev:mtx:journal&amp;genre=journal&amp;req_dat=xri:pqil:pq_clntid=131239&amp;svc_dat=xri:pqil:context=title&amp;rft_dat=xri:pqd:PMID=32558</t>
  </si>
  <si>
    <t>Masterwork Productions</t>
  </si>
  <si>
    <t>http://gateway.proquest.com/openurl?url_ver=Z39.88-2004&amp;res_dat=xri:pqm&amp;rft_val_fmt=info:ofi/fmt:kev:mtx:journal&amp;genre=journal&amp;req_dat=xri:pqil:pq_clntid=131239&amp;svc_dat=xri:pqil:context=title&amp;rft_dat=xri:pqd:PMID=6362720</t>
  </si>
  <si>
    <t>http://gateway.proquest.com/openurl?url_ver=Z39.88-2004&amp;res_dat=xri:pqm&amp;rft_val_fmt=info:ofi/fmt:kev:mtx:journal&amp;genre=journal&amp;req_dat=xri:pqil:pq_clntid=131239&amp;svc_dat=xri:pqil:context=title&amp;rft_dat=xri:pqd:PMID=2043166</t>
  </si>
  <si>
    <t>http://gateway.proquest.com/openurl?url_ver=Z39.88-2004&amp;res_dat=xri:pqm&amp;rft_val_fmt=info:ofi/fmt:kev:mtx:journal&amp;genre=journal&amp;req_dat=xri:pqil:pq_clntid=131239&amp;svc_dat=xri:pqil:context=title&amp;rft_dat=xri:pqd:PMID=5068520</t>
  </si>
  <si>
    <t>http://gateway.proquest.com/openurl?url_ver=Z39.88-2004&amp;res_dat=xri:pqm&amp;rft_val_fmt=info:ofi/fmt:kev:mtx:journal&amp;genre=journal&amp;req_dat=xri:pqil:pq_clntid=131239&amp;svc_dat=xri:pqil:context=title&amp;rft_dat=xri:pqd:PMID=34423</t>
  </si>
  <si>
    <t>http://gateway.proquest.com/openurl?url_ver=Z39.88-2004&amp;res_dat=xri:pqm&amp;rft_val_fmt=info:ofi/fmt:kev:mtx:journal&amp;genre=journal&amp;req_dat=xri:pqil:pq_clntid=131239&amp;svc_dat=xri:pqil:context=title&amp;rft_dat=xri:pqd:PMID=25478</t>
  </si>
  <si>
    <t>http://gateway.proquest.com/openurl?url_ver=Z39.88-2004&amp;res_dat=xri:pqm&amp;rft_val_fmt=info:ofi/fmt:kev:mtx:journal&amp;genre=journal&amp;req_dat=xri:pqil:pq_clntid=131239&amp;svc_dat=xri:pqil:context=title&amp;rft_dat=xri:pqd:PMID=36294</t>
  </si>
  <si>
    <t>http://gateway.proquest.com/openurl?url_ver=Z39.88-2004&amp;res_dat=xri:pqm&amp;rft_val_fmt=info:ofi/fmt:kev:mtx:journal&amp;genre=journal&amp;req_dat=xri:pqil:pq_clntid=131239&amp;svc_dat=xri:pqil:context=title&amp;rft_dat=xri:pqd:PMID=22065</t>
  </si>
  <si>
    <t>01-Nov-2013--01-Apr-2017</t>
  </si>
  <si>
    <t>http://gateway.proquest.com/openurl?url_ver=Z39.88-2004&amp;res_dat=xri:pqm&amp;rft_val_fmt=info:ofi/fmt:kev:mtx:journal&amp;genre=journal&amp;req_dat=xri:pqil:pq_clntid=131239&amp;svc_dat=xri:pqil:context=title&amp;rft_dat=xri:pqd:PMID=45820</t>
  </si>
  <si>
    <t>http://gateway.proquest.com/openurl?url_ver=Z39.88-2004&amp;res_dat=xri:pqm&amp;rft_val_fmt=info:ofi/fmt:kev:mtx:journal&amp;genre=journal&amp;req_dat=xri:pqil:pq_clntid=131239&amp;svc_dat=xri:pqil:context=title&amp;rft_dat=xri:pqd:PMID=6059473</t>
  </si>
  <si>
    <t>http://gateway.proquest.com/openurl?url_ver=Z39.88-2004&amp;res_dat=xri:pqm&amp;rft_val_fmt=info:ofi/fmt:kev:mtx:journal&amp;genre=journal&amp;req_dat=xri:pqil:pq_clntid=131239&amp;svc_dat=xri:pqil:context=title&amp;rft_dat=xri:pqd:PMID=53106</t>
  </si>
  <si>
    <t>http://gateway.proquest.com/openurl?url_ver=Z39.88-2004&amp;res_dat=xri:pqm&amp;rft_val_fmt=info:ofi/fmt:kev:mtx:journal&amp;genre=journal&amp;req_dat=xri:pqil:pq_clntid=131239&amp;svc_dat=xri:pqil:context=title&amp;rft_dat=xri:pqd:PMID=976351</t>
  </si>
  <si>
    <t>Memory, Mind &amp; Media</t>
  </si>
  <si>
    <t>Glasgow</t>
  </si>
  <si>
    <t>2635-0238</t>
  </si>
  <si>
    <t>http://gateway.proquest.com/openurl?url_ver=Z39.88-2004&amp;res_dat=xri:pqm&amp;rft_val_fmt=info:ofi/fmt:kev:mtx:journal&amp;genre=journal&amp;req_dat=xri:pqil:pq_clntid=131239&amp;svc_dat=xri:pqil:context=title&amp;rft_dat=xri:pqd:PMID=6422859</t>
  </si>
  <si>
    <t>http://gateway.proquest.com/openurl?url_ver=Z39.88-2004&amp;res_dat=xri:pqm&amp;rft_val_fmt=info:ofi/fmt:kev:mtx:journal&amp;genre=journal&amp;req_dat=xri:pqil:pq_clntid=131239&amp;svc_dat=xri:pqil:context=title&amp;rft_dat=xri:pqd:PMID=2039156</t>
  </si>
  <si>
    <t>http://gateway.proquest.com/openurl?url_ver=Z39.88-2004&amp;res_dat=xri:pqm&amp;rft_val_fmt=info:ofi/fmt:kev:mtx:journal&amp;genre=journal&amp;req_dat=xri:pqil:pq_clntid=131239&amp;svc_dat=xri:pqil:context=title&amp;rft_dat=xri:pqd:PMID=5262116</t>
  </si>
  <si>
    <t>http://gateway.proquest.com/openurl?url_ver=Z39.88-2004&amp;res_dat=xri:pqm&amp;rft_val_fmt=info:ofi/fmt:kev:mtx:journal&amp;genre=journal&amp;req_dat=xri:pqil:pq_clntid=131239&amp;svc_dat=xri:pqil:context=title&amp;rft_dat=xri:pqd:PMID=6447804</t>
  </si>
  <si>
    <t>Mental Health Academy</t>
  </si>
  <si>
    <t>http://gateway.proquest.com/openurl?url_ver=Z39.88-2004&amp;res_dat=xri:pqm&amp;rft_val_fmt=info:ofi/fmt:kev:mtx:journal&amp;genre=journal&amp;req_dat=xri:pqil:pq_clntid=131239&amp;svc_dat=xri:pqil:context=title&amp;rft_dat=xri:pqd:PMID=6362718</t>
  </si>
  <si>
    <t>http://gateway.proquest.com/openurl?url_ver=Z39.88-2004&amp;res_dat=xri:pqm&amp;rft_val_fmt=info:ofi/fmt:kev:mtx:journal&amp;genre=journal&amp;req_dat=xri:pqil:pq_clntid=131239&amp;svc_dat=xri:pqil:context=title&amp;rft_dat=xri:pqd:PMID=4395972</t>
  </si>
  <si>
    <t>http://gateway.proquest.com/openurl?url_ver=Z39.88-2004&amp;res_dat=xri:pqm&amp;rft_val_fmt=info:ofi/fmt:kev:mtx:journal&amp;genre=journal&amp;req_dat=xri:pqil:pq_clntid=131239&amp;svc_dat=xri:pqil:context=title&amp;rft_dat=xri:pqd:PMID=32799</t>
  </si>
  <si>
    <t>http://gateway.proquest.com/openurl?url_ver=Z39.88-2004&amp;res_dat=xri:pqm&amp;rft_val_fmt=info:ofi/fmt:kev:mtx:journal&amp;genre=journal&amp;req_dat=xri:pqil:pq_clntid=131239&amp;svc_dat=xri:pqil:context=title&amp;rft_dat=xri:pqd:PMID=135348</t>
  </si>
  <si>
    <t>http://gateway.proquest.com/openurl?url_ver=Z39.88-2004&amp;res_dat=xri:pqm&amp;rft_val_fmt=info:ofi/fmt:kev:mtx:journal&amp;genre=journal&amp;req_dat=xri:pqil:pq_clntid=131239&amp;svc_dat=xri:pqil:context=title&amp;rft_dat=xri:pqd:PMID=2042234</t>
  </si>
  <si>
    <t>01-Apr-2009--01-Sep-2013</t>
  </si>
  <si>
    <t>http://gateway.proquest.com/openurl?url_ver=Z39.88-2004&amp;res_dat=xri:pqm&amp;rft_val_fmt=info:ofi/fmt:kev:mtx:journal&amp;genre=journal&amp;req_dat=xri:pqil:pq_clntid=131239&amp;svc_dat=xri:pqil:context=title&amp;rft_dat=xri:pqd:PMID=44845</t>
  </si>
  <si>
    <t>http://gateway.proquest.com/openurl?url_ver=Z39.88-2004&amp;res_dat=xri:pqm&amp;rft_val_fmt=info:ofi/fmt:kev:mtx:journal&amp;genre=journal&amp;req_dat=xri:pqil:pq_clntid=131239&amp;svc_dat=xri:pqil:context=title&amp;rft_dat=xri:pqd:PMID=44504</t>
  </si>
  <si>
    <t>http://gateway.proquest.com/openurl?url_ver=Z39.88-2004&amp;res_dat=xri:pqm&amp;rft_val_fmt=info:ofi/fmt:kev:mtx:journal&amp;genre=journal&amp;req_dat=xri:pqil:pq_clntid=131239&amp;svc_dat=xri:pqil:context=title&amp;rft_dat=xri:pqd:PMID=44570</t>
  </si>
  <si>
    <t>http://gateway.proquest.com/openurl?url_ver=Z39.88-2004&amp;res_dat=xri:pqm&amp;rft_val_fmt=info:ofi/fmt:kev:mtx:journal&amp;genre=journal&amp;req_dat=xri:pqil:pq_clntid=131239&amp;svc_dat=xri:pqil:context=title&amp;rft_dat=xri:pqd:PMID=27572</t>
  </si>
  <si>
    <t>http://gateway.proquest.com/openurl?url_ver=Z39.88-2004&amp;res_dat=xri:pqm&amp;rft_val_fmt=info:ofi/fmt:kev:mtx:journal&amp;genre=journal&amp;req_dat=xri:pqil:pq_clntid=131239&amp;svc_dat=xri:pqil:context=title&amp;rft_dat=xri:pqd:PMID=44509</t>
  </si>
  <si>
    <t>08-Dec-2014--30-Apr-2017</t>
  </si>
  <si>
    <t>http://gateway.proquest.com/openurl?url_ver=Z39.88-2004&amp;res_dat=xri:pqm&amp;rft_val_fmt=info:ofi/fmt:kev:mtx:journal&amp;genre=journal&amp;req_dat=xri:pqil:pq_clntid=131239&amp;svc_dat=xri:pqil:context=title&amp;rft_dat=xri:pqd:PMID=1016382</t>
  </si>
  <si>
    <t>http://gateway.proquest.com/openurl?url_ver=Z39.88-2004&amp;res_dat=xri:pqm&amp;rft_val_fmt=info:ofi/fmt:kev:mtx:journal&amp;genre=journal&amp;req_dat=xri:pqil:pq_clntid=131239&amp;svc_dat=xri:pqil:context=title&amp;rft_dat=xri:pqd:PMID=44685</t>
  </si>
  <si>
    <t>http://gateway.proquest.com/openurl?url_ver=Z39.88-2004&amp;res_dat=xri:pqm&amp;rft_val_fmt=info:ofi/fmt:kev:mtx:journal&amp;genre=journal&amp;req_dat=xri:pqil:pq_clntid=131239&amp;svc_dat=xri:pqil:context=title&amp;rft_dat=xri:pqd:PMID=196151</t>
  </si>
  <si>
    <t>http://gateway.proquest.com/openurl?url_ver=Z39.88-2004&amp;res_dat=xri:pqm&amp;rft_val_fmt=info:ofi/fmt:kev:mtx:journal&amp;genre=journal&amp;req_dat=xri:pqil:pq_clntid=131239&amp;svc_dat=xri:pqil:context=title&amp;rft_dat=xri:pqd:PMID=196150</t>
  </si>
  <si>
    <t>http://gateway.proquest.com/openurl?url_ver=Z39.88-2004&amp;res_dat=xri:pqm&amp;rft_val_fmt=info:ofi/fmt:kev:mtx:journal&amp;genre=journal&amp;req_dat=xri:pqil:pq_clntid=131239&amp;svc_dat=xri:pqil:context=title&amp;rft_dat=xri:pqd:PMID=4931659</t>
  </si>
  <si>
    <t>01-Jan-2008--31-Dec-2009</t>
  </si>
  <si>
    <t>http://gateway.proquest.com/openurl?url_ver=Z39.88-2004&amp;res_dat=xri:pqm&amp;rft_val_fmt=info:ofi/fmt:kev:mtx:journal&amp;genre=journal&amp;req_dat=xri:pqil:pq_clntid=131239&amp;svc_dat=xri:pqil:context=title&amp;rft_dat=xri:pqd:PMID=36000</t>
  </si>
  <si>
    <t>Detroit</t>
  </si>
  <si>
    <t>http://gateway.proquest.com/openurl?url_ver=Z39.88-2004&amp;res_dat=xri:pqm&amp;rft_val_fmt=info:ofi/fmt:kev:mtx:journal&amp;genre=journal&amp;req_dat=xri:pqil:pq_clntid=131239&amp;svc_dat=xri:pqil:context=title&amp;rft_dat=xri:pqd:PMID=48851</t>
  </si>
  <si>
    <t>Meta-Psychology</t>
  </si>
  <si>
    <t>Växjö</t>
  </si>
  <si>
    <t>2003-2714</t>
  </si>
  <si>
    <t>http://gateway.proquest.com/openurl?url_ver=Z39.88-2004&amp;res_dat=xri:pqm&amp;rft_val_fmt=info:ofi/fmt:kev:mtx:journal&amp;genre=journal&amp;req_dat=xri:pqil:pq_clntid=131239&amp;svc_dat=xri:pqil:context=title&amp;rft_dat=xri:pqd:PMID=6517114</t>
  </si>
  <si>
    <t>http://gateway.proquest.com/openurl?url_ver=Z39.88-2004&amp;res_dat=xri:pqm&amp;rft_val_fmt=info:ofi/fmt:kev:mtx:journal&amp;genre=journal&amp;req_dat=xri:pqil:pq_clntid=131239&amp;svc_dat=xri:pqil:context=title&amp;rft_dat=xri:pqd:PMID=37975</t>
  </si>
  <si>
    <t>http://gateway.proquest.com/openurl?url_ver=Z39.88-2004&amp;res_dat=xri:pqm&amp;rft_val_fmt=info:ofi/fmt:kev:mtx:journal&amp;genre=journal&amp;req_dat=xri:pqil:pq_clntid=131239&amp;svc_dat=xri:pqil:context=title&amp;rft_dat=xri:pqd:PMID=54207</t>
  </si>
  <si>
    <t>http://gateway.proquest.com/openurl?url_ver=Z39.88-2004&amp;res_dat=xri:pqm&amp;rft_val_fmt=info:ofi/fmt:kev:mtx:journal&amp;genre=journal&amp;req_dat=xri:pqil:pq_clntid=131239&amp;svc_dat=xri:pqil:context=title&amp;rft_dat=xri:pqd:PMID=46538</t>
  </si>
  <si>
    <t>http://gateway.proquest.com/openurl?url_ver=Z39.88-2004&amp;res_dat=xri:pqm&amp;rft_val_fmt=info:ofi/fmt:kev:mtx:journal&amp;genre=journal&amp;req_dat=xri:pqil:pq_clntid=131239&amp;svc_dat=xri:pqil:context=title&amp;rft_dat=xri:pqd:PMID=5483547</t>
  </si>
  <si>
    <t>http://gateway.proquest.com/openurl?url_ver=Z39.88-2004&amp;res_dat=xri:pqm&amp;rft_val_fmt=info:ofi/fmt:kev:mtx:journal&amp;genre=journal&amp;req_dat=xri:pqil:pq_clntid=131239&amp;svc_dat=xri:pqil:context=title&amp;rft_dat=xri:pqd:PMID=5983379</t>
  </si>
  <si>
    <t>Michigan State University</t>
  </si>
  <si>
    <t>Fortitude Valley</t>
  </si>
  <si>
    <t>http://gateway.proquest.com/openurl?url_ver=Z39.88-2004&amp;res_dat=xri:pqm&amp;rft_val_fmt=info:ofi/fmt:kev:mtx:journal&amp;genre=journal&amp;req_dat=xri:pqil:pq_clntid=131239&amp;svc_dat=xri:pqil:context=title&amp;rft_dat=xri:pqd:PMID=6362717</t>
  </si>
  <si>
    <t>http://gateway.proquest.com/openurl?url_ver=Z39.88-2004&amp;res_dat=xri:pqm&amp;rft_val_fmt=info:ofi/fmt:kev:mtx:journal&amp;genre=journal&amp;req_dat=xri:pqil:pq_clntid=131239&amp;svc_dat=xri:pqil:context=title&amp;rft_dat=xri:pqd:PMID=5642877</t>
  </si>
  <si>
    <t>01-Jan-2015--30-Apr-2017</t>
  </si>
  <si>
    <t>http://gateway.proquest.com/openurl?url_ver=Z39.88-2004&amp;res_dat=xri:pqm&amp;rft_val_fmt=info:ofi/fmt:kev:mtx:journal&amp;genre=journal&amp;req_dat=xri:pqil:pq_clntid=131239&amp;svc_dat=xri:pqil:context=title&amp;rft_dat=xri:pqd:PMID=7561</t>
  </si>
  <si>
    <t>http://gateway.proquest.com/openurl?url_ver=Z39.88-2004&amp;res_dat=xri:pqm&amp;rft_val_fmt=info:ofi/fmt:kev:mtx:journal&amp;genre=journal&amp;req_dat=xri:pqil:pq_clntid=131239&amp;svc_dat=xri:pqil:context=title&amp;rft_dat=xri:pqd:PMID=46558</t>
  </si>
  <si>
    <t>Fort Leavenworth</t>
  </si>
  <si>
    <t>http://gateway.proquest.com/openurl?url_ver=Z39.88-2004&amp;res_dat=xri:pqm&amp;rft_val_fmt=info:ofi/fmt:kev:mtx:journal&amp;genre=journal&amp;req_dat=xri:pqil:pq_clntid=131239&amp;svc_dat=xri:pqil:context=title&amp;rft_dat=xri:pqd:PMID=40805</t>
  </si>
  <si>
    <t>Bonn</t>
  </si>
  <si>
    <t>http://gateway.proquest.com/openurl?url_ver=Z39.88-2004&amp;res_dat=xri:pqm&amp;rft_val_fmt=info:ofi/fmt:kev:mtx:journal&amp;genre=journal&amp;req_dat=xri:pqil:pq_clntid=131239&amp;svc_dat=xri:pqil:context=title&amp;rft_dat=xri:pqd:PMID=33329</t>
  </si>
  <si>
    <t>http://gateway.proquest.com/openurl?url_ver=Z39.88-2004&amp;res_dat=xri:pqm&amp;rft_val_fmt=info:ofi/fmt:kev:mtx:journal&amp;genre=journal&amp;req_dat=xri:pqil:pq_clntid=131239&amp;svc_dat=xri:pqil:context=title&amp;rft_dat=xri:pqd:PMID=6364587</t>
  </si>
  <si>
    <t>Middlesex</t>
  </si>
  <si>
    <t>http://gateway.proquest.com/openurl?url_ver=Z39.88-2004&amp;res_dat=xri:pqm&amp;rft_val_fmt=info:ofi/fmt:kev:mtx:journal&amp;genre=journal&amp;req_dat=xri:pqil:pq_clntid=131239&amp;svc_dat=xri:pqil:context=title&amp;rft_dat=xri:pqd:PMID=237762</t>
  </si>
  <si>
    <t>http://gateway.proquest.com/openurl?url_ver=Z39.88-2004&amp;res_dat=xri:pqm&amp;rft_val_fmt=info:ofi/fmt:kev:mtx:journal&amp;genre=journal&amp;req_dat=xri:pqil:pq_clntid=131239&amp;svc_dat=xri:pqil:context=title&amp;rft_dat=xri:pqd:PMID=326272</t>
  </si>
  <si>
    <t>http://gateway.proquest.com/openurl?url_ver=Z39.88-2004&amp;res_dat=xri:pqm&amp;rft_val_fmt=info:ofi/fmt:kev:mtx:journal&amp;genre=journal&amp;req_dat=xri:pqil:pq_clntid=131239&amp;svc_dat=xri:pqil:context=title&amp;rft_dat=xri:pqd:PMID=5483569</t>
  </si>
  <si>
    <t>http://gateway.proquest.com/openurl?url_ver=Z39.88-2004&amp;res_dat=xri:pqm&amp;rft_val_fmt=info:ofi/fmt:kev:mtx:journal&amp;genre=journal&amp;req_dat=xri:pqil:pq_clntid=131239&amp;svc_dat=xri:pqil:context=title&amp;rft_dat=xri:pqd:PMID=46564</t>
  </si>
  <si>
    <t>http://gateway.proquest.com/openurl?url_ver=Z39.88-2004&amp;res_dat=xri:pqm&amp;rft_val_fmt=info:ofi/fmt:kev:mtx:journal&amp;genre=journal&amp;req_dat=xri:pqil:pq_clntid=131239&amp;svc_dat=xri:pqil:context=title&amp;rft_dat=xri:pqd:PMID=6275759</t>
  </si>
  <si>
    <t>http://gateway.proquest.com/openurl?url_ver=Z39.88-2004&amp;res_dat=xri:pqm&amp;rft_val_fmt=info:ofi/fmt:kev:mtx:journal&amp;genre=journal&amp;req_dat=xri:pqil:pq_clntid=131239&amp;svc_dat=xri:pqil:context=title&amp;rft_dat=xri:pqd:PMID=5485118</t>
  </si>
  <si>
    <t>http://gateway.proquest.com/openurl?url_ver=Z39.88-2004&amp;res_dat=xri:pqm&amp;rft_val_fmt=info:ofi/fmt:kev:mtx:journal&amp;genre=journal&amp;req_dat=xri:pqil:pq_clntid=131239&amp;svc_dat=xri:pqil:context=title&amp;rft_dat=xri:pqd:PMID=2043165</t>
  </si>
  <si>
    <t>http://gateway.proquest.com/openurl?url_ver=Z39.88-2004&amp;res_dat=xri:pqm&amp;rft_val_fmt=info:ofi/fmt:kev:mtx:journal&amp;genre=journal&amp;req_dat=xri:pqil:pq_clntid=131239&amp;svc_dat=xri:pqil:context=title&amp;rft_dat=xri:pqd:PMID=2043082</t>
  </si>
  <si>
    <t>Mindfulness</t>
  </si>
  <si>
    <t>1868-8527</t>
  </si>
  <si>
    <t>1868-8535</t>
  </si>
  <si>
    <t>http://gateway.proquest.com/openurl?url_ver=Z39.88-2004&amp;res_dat=xri:pqm&amp;rft_val_fmt=info:ofi/fmt:kev:mtx:journal&amp;genre=journal&amp;req_dat=xri:pqil:pq_clntid=131239&amp;svc_dat=xri:pqil:context=title&amp;rft_dat=xri:pqd:PMID=2044124</t>
  </si>
  <si>
    <t>http://gateway.proquest.com/openurl?url_ver=Z39.88-2004&amp;res_dat=xri:pqm&amp;rft_val_fmt=info:ofi/fmt:kev:mtx:journal&amp;genre=journal&amp;req_dat=xri:pqil:pq_clntid=131239&amp;svc_dat=xri:pqil:context=title&amp;rft_dat=xri:pqd:PMID=5256696</t>
  </si>
  <si>
    <t>http://gateway.proquest.com/openurl?url_ver=Z39.88-2004&amp;res_dat=xri:pqm&amp;rft_val_fmt=info:ofi/fmt:kev:mtx:journal&amp;genre=journal&amp;req_dat=xri:pqil:pq_clntid=131239&amp;svc_dat=xri:pqil:context=title&amp;rft_dat=xri:pqd:PMID=5485092</t>
  </si>
  <si>
    <t>http://gateway.proquest.com/openurl?url_ver=Z39.88-2004&amp;res_dat=xri:pqm&amp;rft_val_fmt=info:ofi/fmt:kev:mtx:journal&amp;genre=journal&amp;req_dat=xri:pqil:pq_clntid=131239&amp;svc_dat=xri:pqil:context=title&amp;rft_dat=xri:pqd:PMID=5485117</t>
  </si>
  <si>
    <t>http://gateway.proquest.com/openurl?url_ver=Z39.88-2004&amp;res_dat=xri:pqm&amp;rft_val_fmt=info:ofi/fmt:kev:mtx:journal&amp;genre=journal&amp;req_dat=xri:pqil:pq_clntid=131239&amp;svc_dat=xri:pqil:context=title&amp;rft_dat=xri:pqd:PMID=2043748</t>
  </si>
  <si>
    <t>http://gateway.proquest.com/openurl?url_ver=Z39.88-2004&amp;res_dat=xri:pqm&amp;rft_val_fmt=info:ofi/fmt:kev:mtx:journal&amp;genre=journal&amp;req_dat=xri:pqil:pq_clntid=131239&amp;svc_dat=xri:pqil:context=title&amp;rft_dat=xri:pqd:PMID=6364624</t>
  </si>
  <si>
    <t>http://gateway.proquest.com/openurl?url_ver=Z39.88-2004&amp;res_dat=xri:pqm&amp;rft_val_fmt=info:ofi/fmt:kev:mtx:journal&amp;genre=journal&amp;req_dat=xri:pqil:pq_clntid=131239&amp;svc_dat=xri:pqil:context=title&amp;rft_dat=xri:pqd:PMID=5485080</t>
  </si>
  <si>
    <t>http://gateway.proquest.com/openurl?url_ver=Z39.88-2004&amp;res_dat=xri:pqm&amp;rft_val_fmt=info:ofi/fmt:kev:mtx:journal&amp;genre=journal&amp;req_dat=xri:pqil:pq_clntid=131239&amp;svc_dat=xri:pqil:context=title&amp;rft_dat=xri:pqd:PMID=6059472</t>
  </si>
  <si>
    <t>http://gateway.proquest.com/openurl?url_ver=Z39.88-2004&amp;res_dat=xri:pqm&amp;rft_val_fmt=info:ofi/fmt:kev:mtx:journal&amp;genre=journal&amp;req_dat=xri:pqil:pq_clntid=131239&amp;svc_dat=xri:pqil:context=title&amp;rft_dat=xri:pqd:PMID=36244</t>
  </si>
  <si>
    <t>http://gateway.proquest.com/openurl?url_ver=Z39.88-2004&amp;res_dat=xri:pqm&amp;rft_val_fmt=info:ofi/fmt:kev:mtx:journal&amp;genre=journal&amp;req_dat=xri:pqil:pq_clntid=131239&amp;svc_dat=xri:pqil:context=title&amp;rft_dat=xri:pqd:PMID=2040202</t>
  </si>
  <si>
    <t>http://gateway.proquest.com/openurl?url_ver=Z39.88-2004&amp;res_dat=xri:pqm&amp;rft_val_fmt=info:ofi/fmt:kev:mtx:journal&amp;genre=journal&amp;req_dat=xri:pqil:pq_clntid=131239&amp;svc_dat=xri:pqil:context=title&amp;rft_dat=xri:pqd:PMID=55365</t>
  </si>
  <si>
    <t>http://gateway.proquest.com/openurl?url_ver=Z39.88-2004&amp;res_dat=xri:pqm&amp;rft_val_fmt=info:ofi/fmt:kev:mtx:journal&amp;genre=journal&amp;req_dat=xri:pqil:pq_clntid=131239&amp;svc_dat=xri:pqil:context=title&amp;rft_dat=xri:pqd:PMID=44096</t>
  </si>
  <si>
    <t>http://gateway.proquest.com/openurl?url_ver=Z39.88-2004&amp;res_dat=xri:pqm&amp;rft_val_fmt=info:ofi/fmt:kev:mtx:journal&amp;genre=journal&amp;req_dat=xri:pqil:pq_clntid=131239&amp;svc_dat=xri:pqil:context=title&amp;rft_dat=xri:pqd:PMID=35187</t>
  </si>
  <si>
    <t>The Monomaniac : Or, Shirley Hall Asylum</t>
  </si>
  <si>
    <t>1864</t>
  </si>
  <si>
    <t>http://gateway.proquest.com/openurl?url_ver=Z39.88-2004&amp;res_dat=xri:pqm&amp;rft_val_fmt=info:ofi/fmt:kev:mtx:journal&amp;genre=journal&amp;req_dat=xri:pqil:pq_clntid=131239&amp;svc_dat=xri:pqil:context=title&amp;rft_dat=xri:pqd:PMID=5983376</t>
  </si>
  <si>
    <t>http://gateway.proquest.com/openurl?url_ver=Z39.88-2004&amp;res_dat=xri:pqm&amp;rft_val_fmt=info:ofi/fmt:kev:mtx:journal&amp;genre=journal&amp;req_dat=xri:pqil:pq_clntid=131239&amp;svc_dat=xri:pqil:context=title&amp;rft_dat=xri:pqd:PMID=11348</t>
  </si>
  <si>
    <t>http://gateway.proquest.com/openurl?url_ver=Z39.88-2004&amp;res_dat=xri:pqm&amp;rft_val_fmt=info:ofi/fmt:kev:mtx:journal&amp;genre=journal&amp;req_dat=xri:pqil:pq_clntid=131239&amp;svc_dat=xri:pqil:context=title&amp;rft_dat=xri:pqd:PMID=5485063</t>
  </si>
  <si>
    <t>http://gateway.proquest.com/openurl?url_ver=Z39.88-2004&amp;res_dat=xri:pqm&amp;rft_val_fmt=info:ofi/fmt:kev:mtx:journal&amp;genre=journal&amp;req_dat=xri:pqil:pq_clntid=131239&amp;svc_dat=xri:pqil:context=title&amp;rft_dat=xri:pqd:PMID=54051</t>
  </si>
  <si>
    <t>Motivational Diagnostic Test</t>
  </si>
  <si>
    <t>http://gateway.proquest.com/openurl?url_ver=Z39.88-2004&amp;res_dat=xri:pqm&amp;rft_val_fmt=info:ofi/fmt:kev:mtx:journal&amp;genre=journal&amp;req_dat=xri:pqil:pq_clntid=131239&amp;svc_dat=xri:pqil:context=title&amp;rft_dat=xri:pqd:PMID=6508385</t>
  </si>
  <si>
    <t>Motivational Therapy Sessions</t>
  </si>
  <si>
    <t>http://gateway.proquest.com/openurl?url_ver=Z39.88-2004&amp;res_dat=xri:pqm&amp;rft_val_fmt=info:ofi/fmt:kev:mtx:journal&amp;genre=journal&amp;req_dat=xri:pqil:pq_clntid=131239&amp;svc_dat=xri:pqil:context=title&amp;rft_dat=xri:pqd:PMID=6275758</t>
  </si>
  <si>
    <t>Ribeira de Pena</t>
  </si>
  <si>
    <t>http://gateway.proquest.com/openurl?url_ver=Z39.88-2004&amp;res_dat=xri:pqm&amp;rft_val_fmt=info:ofi/fmt:kev:mtx:journal&amp;genre=journal&amp;req_dat=xri:pqil:pq_clntid=131239&amp;svc_dat=xri:pqil:context=title&amp;rft_dat=xri:pqd:PMID=616555</t>
  </si>
  <si>
    <t>0884601 BC LTD</t>
  </si>
  <si>
    <t>http://gateway.proquest.com/openurl?url_ver=Z39.88-2004&amp;res_dat=xri:pqm&amp;rft_val_fmt=info:ofi/fmt:kev:mtx:journal&amp;genre=journal&amp;req_dat=xri:pqil:pq_clntid=131239&amp;svc_dat=xri:pqil:context=title&amp;rft_dat=xri:pqd:PMID=6426279</t>
  </si>
  <si>
    <t>http://gateway.proquest.com/openurl?url_ver=Z39.88-2004&amp;res_dat=xri:pqm&amp;rft_val_fmt=info:ofi/fmt:kev:mtx:journal&amp;genre=journal&amp;req_dat=xri:pqil:pq_clntid=131239&amp;svc_dat=xri:pqil:context=title&amp;rft_dat=xri:pqd:PMID=6059471</t>
  </si>
  <si>
    <t>http://gateway.proquest.com/openurl?url_ver=Z39.88-2004&amp;res_dat=xri:pqm&amp;rft_val_fmt=info:ofi/fmt:kev:mtx:journal&amp;genre=journal&amp;req_dat=xri:pqil:pq_clntid=131239&amp;svc_dat=xri:pqil:context=title&amp;rft_dat=xri:pqd:PMID=5263204</t>
  </si>
  <si>
    <t>http://gateway.proquest.com/openurl?url_ver=Z39.88-2004&amp;res_dat=xri:pqm&amp;rft_val_fmt=info:ofi/fmt:kev:mtx:journal&amp;genre=journal&amp;req_dat=xri:pqil:pq_clntid=131239&amp;svc_dat=xri:pqil:context=title&amp;rft_dat=xri:pqd:PMID=6059470</t>
  </si>
  <si>
    <t>http://gateway.proquest.com/openurl?url_ver=Z39.88-2004&amp;res_dat=xri:pqm&amp;rft_val_fmt=info:ofi/fmt:kev:mtx:journal&amp;genre=journal&amp;req_dat=xri:pqil:pq_clntid=131239&amp;svc_dat=xri:pqil:context=title&amp;rft_dat=xri:pqd:PMID=5263203</t>
  </si>
  <si>
    <t>http://gateway.proquest.com/openurl?url_ver=Z39.88-2004&amp;res_dat=xri:pqm&amp;rft_val_fmt=info:ofi/fmt:kev:mtx:journal&amp;genre=journal&amp;req_dat=xri:pqil:pq_clntid=131239&amp;svc_dat=xri:pqil:context=title&amp;rft_dat=xri:pqd:PMID=6059469</t>
  </si>
  <si>
    <t>http://gateway.proquest.com/openurl?url_ver=Z39.88-2004&amp;res_dat=xri:pqm&amp;rft_val_fmt=info:ofi/fmt:kev:mtx:journal&amp;genre=journal&amp;req_dat=xri:pqil:pq_clntid=131239&amp;svc_dat=xri:pqil:context=title&amp;rft_dat=xri:pqd:PMID=5485096</t>
  </si>
  <si>
    <t>http://gateway.proquest.com/openurl?url_ver=Z39.88-2004&amp;res_dat=xri:pqm&amp;rft_val_fmt=info:ofi/fmt:kev:mtx:journal&amp;genre=journal&amp;req_dat=xri:pqil:pq_clntid=131239&amp;svc_dat=xri:pqil:context=title&amp;rft_dat=xri:pqd:PMID=5256668</t>
  </si>
  <si>
    <t>http://gateway.proquest.com/openurl?url_ver=Z39.88-2004&amp;res_dat=xri:pqm&amp;rft_val_fmt=info:ofi/fmt:kev:mtx:journal&amp;genre=journal&amp;req_dat=xri:pqil:pq_clntid=131239&amp;svc_dat=xri:pqil:context=title&amp;rft_dat=xri:pqd:PMID=47318</t>
  </si>
  <si>
    <t>http://gateway.proquest.com/openurl?url_ver=Z39.88-2004&amp;res_dat=xri:pqm&amp;rft_val_fmt=info:ofi/fmt:kev:mtx:journal&amp;genre=journal&amp;req_dat=xri:pqil:pq_clntid=131239&amp;svc_dat=xri:pqil:context=title&amp;rft_dat=xri:pqd:PMID=38056</t>
  </si>
  <si>
    <t>01-Jan-2007--31-Dec-2009; 01-Jan-2012--31-Dec-2012</t>
  </si>
  <si>
    <t>http://gateway.proquest.com/openurl?url_ver=Z39.88-2004&amp;res_dat=xri:pqm&amp;rft_val_fmt=info:ofi/fmt:kev:mtx:journal&amp;genre=journal&amp;req_dat=xri:pqil:pq_clntid=131239&amp;svc_dat=xri:pqil:context=title&amp;rft_dat=xri:pqd:PMID=43570</t>
  </si>
  <si>
    <t>http://gateway.proquest.com/openurl?url_ver=Z39.88-2004&amp;res_dat=xri:pqm&amp;rft_val_fmt=info:ofi/fmt:kev:mtx:journal&amp;genre=journal&amp;req_dat=xri:pqil:pq_clntid=131239&amp;svc_dat=xri:pqil:context=title&amp;rft_dat=xri:pqd:PMID=6112824</t>
  </si>
  <si>
    <t>http://gateway.proquest.com/openurl?url_ver=Z39.88-2004&amp;res_dat=xri:pqm&amp;rft_val_fmt=info:ofi/fmt:kev:mtx:journal&amp;genre=journal&amp;req_dat=xri:pqil:pq_clntid=131239&amp;svc_dat=xri:pqil:context=title&amp;rft_dat=xri:pqd:PMID=6059468</t>
  </si>
  <si>
    <t>The Mystic Key : Or the Asylum Secret Unlocked</t>
  </si>
  <si>
    <t>1886</t>
  </si>
  <si>
    <t>http://gateway.proquest.com/openurl?url_ver=Z39.88-2004&amp;res_dat=xri:pqm&amp;rft_val_fmt=info:ofi/fmt:kev:mtx:journal&amp;genre=journal&amp;req_dat=xri:pqil:pq_clntid=131239&amp;svc_dat=xri:pqil:context=title&amp;rft_dat=xri:pqd:PMID=5983373</t>
  </si>
  <si>
    <t>http://gateway.proquest.com/openurl?url_ver=Z39.88-2004&amp;res_dat=xri:pqm&amp;rft_val_fmt=info:ofi/fmt:kev:mtx:journal&amp;genre=journal&amp;req_dat=xri:pqil:pq_clntid=131239&amp;svc_dat=xri:pqil:context=title&amp;rft_dat=xri:pqd:PMID=5325206</t>
  </si>
  <si>
    <t>Waltham</t>
  </si>
  <si>
    <t>http://gateway.proquest.com/openurl?url_ver=Z39.88-2004&amp;res_dat=xri:pqm&amp;rft_val_fmt=info:ofi/fmt:kev:mtx:journal&amp;genre=journal&amp;req_dat=xri:pqil:pq_clntid=131239&amp;svc_dat=xri:pqil:context=title&amp;rft_dat=xri:pqd:PMID=1866342</t>
  </si>
  <si>
    <t>http://gateway.proquest.com/openurl?url_ver=Z39.88-2004&amp;res_dat=xri:pqm&amp;rft_val_fmt=info:ofi/fmt:kev:mtx:journal&amp;genre=journal&amp;req_dat=xri:pqil:pq_clntid=131239&amp;svc_dat=xri:pqil:context=title&amp;rft_dat=xri:pqd:PMID=1866338</t>
  </si>
  <si>
    <t>NICE Guidance</t>
  </si>
  <si>
    <t>National Institute for Health and Care Excellence (NICE)</t>
  </si>
  <si>
    <t>Standards &amp; Practice Guidelines</t>
  </si>
  <si>
    <t>http://gateway.proquest.com/openurl?url_ver=Z39.88-2004&amp;res_dat=xri:pqm&amp;rft_val_fmt=info:ofi/fmt:kev:mtx:journal&amp;genre=journal&amp;req_dat=xri:pqil:pq_clntid=131239&amp;svc_dat=xri:pqil:context=title&amp;rft_dat=xri:pqd:PMID=6307997</t>
  </si>
  <si>
    <t>http://gateway.proquest.com/openurl?url_ver=Z39.88-2004&amp;res_dat=xri:pqm&amp;rft_val_fmt=info:ofi/fmt:kev:mtx:journal&amp;genre=journal&amp;req_dat=xri:pqil:pq_clntid=131239&amp;svc_dat=xri:pqil:context=title&amp;rft_dat=xri:pqd:PMID=2041917</t>
  </si>
  <si>
    <t>http://gateway.proquest.com/openurl?url_ver=Z39.88-2004&amp;res_dat=xri:pqm&amp;rft_val_fmt=info:ofi/fmt:kev:mtx:journal&amp;genre=journal&amp;req_dat=xri:pqil:pq_clntid=131239&amp;svc_dat=xri:pqil:context=title&amp;rft_dat=xri:pqd:PMID=5325190</t>
  </si>
  <si>
    <t>http://gateway.proquest.com/openurl?url_ver=Z39.88-2004&amp;res_dat=xri:pqm&amp;rft_val_fmt=info:ofi/fmt:kev:mtx:journal&amp;genre=journal&amp;req_dat=xri:pqil:pq_clntid=131239&amp;svc_dat=xri:pqil:context=title&amp;rft_dat=xri:pqd:PMID=6364620</t>
  </si>
  <si>
    <t>http://gateway.proquest.com/openurl?url_ver=Z39.88-2004&amp;res_dat=xri:pqm&amp;rft_val_fmt=info:ofi/fmt:kev:mtx:journal&amp;genre=journal&amp;req_dat=xri:pqil:pq_clntid=131239&amp;svc_dat=xri:pqil:context=title&amp;rft_dat=xri:pqd:PMID=5263202</t>
  </si>
  <si>
    <t>http://gateway.proquest.com/openurl?url_ver=Z39.88-2004&amp;res_dat=xri:pqm&amp;rft_val_fmt=info:ofi/fmt:kev:mtx:journal&amp;genre=journal&amp;req_dat=xri:pqil:pq_clntid=131239&amp;svc_dat=xri:pqil:context=title&amp;rft_dat=xri:pqd:PMID=43511</t>
  </si>
  <si>
    <t>National Association of School Psychologists. Communique</t>
  </si>
  <si>
    <t>0164-775X</t>
  </si>
  <si>
    <t>http://gateway.proquest.com/openurl?url_ver=Z39.88-2004&amp;res_dat=xri:pqm&amp;rft_val_fmt=info:ofi/fmt:kev:mtx:journal&amp;genre=journal&amp;req_dat=xri:pqil:pq_clntid=131239&amp;svc_dat=xri:pqil:context=title&amp;rft_dat=xri:pqd:PMID=39884</t>
  </si>
  <si>
    <t>http://gateway.proquest.com/openurl?url_ver=Z39.88-2004&amp;res_dat=xri:pqm&amp;rft_val_fmt=info:ofi/fmt:kev:mtx:journal&amp;genre=journal&amp;req_dat=xri:pqil:pq_clntid=131239&amp;svc_dat=xri:pqil:context=title&amp;rft_dat=xri:pqd:PMID=30339</t>
  </si>
  <si>
    <t>Wellia</t>
  </si>
  <si>
    <t>http://gateway.proquest.com/openurl?url_ver=Z39.88-2004&amp;res_dat=xri:pqm&amp;rft_val_fmt=info:ofi/fmt:kev:mtx:journal&amp;genre=journal&amp;req_dat=xri:pqil:pq_clntid=131239&amp;svc_dat=xri:pqil:context=title&amp;rft_dat=xri:pqd:PMID=6364619</t>
  </si>
  <si>
    <t>http://gateway.proquest.com/openurl?url_ver=Z39.88-2004&amp;res_dat=xri:pqm&amp;rft_val_fmt=info:ofi/fmt:kev:mtx:journal&amp;genre=journal&amp;req_dat=xri:pqil:pq_clntid=131239&amp;svc_dat=xri:pqil:context=title&amp;rft_dat=xri:pqd:PMID=40569</t>
  </si>
  <si>
    <t>http://gateway.proquest.com/openurl?url_ver=Z39.88-2004&amp;res_dat=xri:pqm&amp;rft_val_fmt=info:ofi/fmt:kev:mtx:journal&amp;genre=journal&amp;req_dat=xri:pqil:pq_clntid=131239&amp;svc_dat=xri:pqil:context=title&amp;rft_dat=xri:pqd:PMID=4560800</t>
  </si>
  <si>
    <t>http://gateway.proquest.com/openurl?url_ver=Z39.88-2004&amp;res_dat=xri:pqm&amp;rft_val_fmt=info:ofi/fmt:kev:mtx:journal&amp;genre=journal&amp;req_dat=xri:pqil:pq_clntid=131239&amp;svc_dat=xri:pqil:context=title&amp;rft_dat=xri:pqd:PMID=44706</t>
  </si>
  <si>
    <t>http://gateway.proquest.com/openurl?url_ver=Z39.88-2004&amp;res_dat=xri:pqm&amp;rft_val_fmt=info:ofi/fmt:kev:mtx:journal&amp;genre=journal&amp;req_dat=xri:pqil:pq_clntid=131239&amp;svc_dat=xri:pqil:context=title&amp;rft_dat=xri:pqd:PMID=44265</t>
  </si>
  <si>
    <t>http://gateway.proquest.com/openurl?url_ver=Z39.88-2004&amp;res_dat=xri:pqm&amp;rft_val_fmt=info:ofi/fmt:kev:mtx:journal&amp;genre=journal&amp;req_dat=xri:pqil:pq_clntid=131239&amp;svc_dat=xri:pqil:context=title&amp;rft_dat=xri:pqd:PMID=3933388</t>
  </si>
  <si>
    <t>http://gateway.proquest.com/openurl?url_ver=Z39.88-2004&amp;res_dat=xri:pqm&amp;rft_val_fmt=info:ofi/fmt:kev:mtx:journal&amp;genre=journal&amp;req_dat=xri:pqil:pq_clntid=131239&amp;svc_dat=xri:pqil:context=title&amp;rft_dat=xri:pqd:PMID=5256693</t>
  </si>
  <si>
    <t>01-Oct-2006--30-Jun-2017</t>
  </si>
  <si>
    <t>http://gateway.proquest.com/openurl?url_ver=Z39.88-2004&amp;res_dat=xri:pqm&amp;rft_val_fmt=info:ofi/fmt:kev:mtx:journal&amp;genre=journal&amp;req_dat=xri:pqil:pq_clntid=131239&amp;svc_dat=xri:pqil:context=title&amp;rft_dat=xri:pqd:PMID=37977</t>
  </si>
  <si>
    <t>http://gateway.proquest.com/openurl?url_ver=Z39.88-2004&amp;res_dat=xri:pqm&amp;rft_val_fmt=info:ofi/fmt:kev:mtx:journal&amp;genre=journal&amp;req_dat=xri:pqil:pq_clntid=131239&amp;svc_dat=xri:pqil:context=title&amp;rft_dat=xri:pqd:PMID=6275757</t>
  </si>
  <si>
    <t>http://gateway.proquest.com/openurl?url_ver=Z39.88-2004&amp;res_dat=xri:pqm&amp;rft_val_fmt=info:ofi/fmt:kev:mtx:journal&amp;genre=journal&amp;req_dat=xri:pqil:pq_clntid=131239&amp;svc_dat=xri:pqil:context=title&amp;rft_dat=xri:pqd:PMID=54512</t>
  </si>
  <si>
    <t>http://gateway.proquest.com/openurl?url_ver=Z39.88-2004&amp;res_dat=xri:pqm&amp;rft_val_fmt=info:ofi/fmt:kev:mtx:journal&amp;genre=journal&amp;req_dat=xri:pqil:pq_clntid=131239&amp;svc_dat=xri:pqil:context=title&amp;rft_dat=xri:pqd:PMID=37252</t>
  </si>
  <si>
    <t>http://gateway.proquest.com/openurl?url_ver=Z39.88-2004&amp;res_dat=xri:pqm&amp;rft_val_fmt=info:ofi/fmt:kev:mtx:journal&amp;genre=journal&amp;req_dat=xri:pqil:pq_clntid=131239&amp;svc_dat=xri:pqil:context=title&amp;rft_dat=xri:pqd:PMID=55043</t>
  </si>
  <si>
    <t>http://gateway.proquest.com/openurl?url_ver=Z39.88-2004&amp;res_dat=xri:pqm&amp;rft_val_fmt=info:ofi/fmt:kev:mtx:journal&amp;genre=journal&amp;req_dat=xri:pqil:pq_clntid=131239&amp;svc_dat=xri:pqil:context=title&amp;rft_dat=xri:pqd:PMID=27998</t>
  </si>
  <si>
    <t>http://gateway.proquest.com/openurl?url_ver=Z39.88-2004&amp;res_dat=xri:pqm&amp;rft_val_fmt=info:ofi/fmt:kev:mtx:journal&amp;genre=journal&amp;req_dat=xri:pqil:pq_clntid=131239&amp;svc_dat=xri:pqil:context=title&amp;rft_dat=xri:pqd:PMID=2036027</t>
  </si>
  <si>
    <t>http://gateway.proquest.com/openurl?url_ver=Z39.88-2004&amp;res_dat=xri:pqm&amp;rft_val_fmt=info:ofi/fmt:kev:mtx:journal&amp;genre=journal&amp;req_dat=xri:pqil:pq_clntid=131239&amp;svc_dat=xri:pqil:context=title&amp;rft_dat=xri:pqd:PMID=4727250</t>
  </si>
  <si>
    <t>http://gateway.proquest.com/openurl?url_ver=Z39.88-2004&amp;res_dat=xri:pqm&amp;rft_val_fmt=info:ofi/fmt:kev:mtx:journal&amp;genre=journal&amp;req_dat=xri:pqil:pq_clntid=131239&amp;svc_dat=xri:pqil:context=title&amp;rft_dat=xri:pqd:PMID=2043838</t>
  </si>
  <si>
    <t>http://gateway.proquest.com/openurl?url_ver=Z39.88-2004&amp;res_dat=xri:pqm&amp;rft_val_fmt=info:ofi/fmt:kev:mtx:journal&amp;genre=journal&amp;req_dat=xri:pqil:pq_clntid=131239&amp;svc_dat=xri:pqil:context=title&amp;rft_dat=xri:pqd:PMID=4671210</t>
  </si>
  <si>
    <t>http://gateway.proquest.com/openurl?url_ver=Z39.88-2004&amp;res_dat=xri:pqm&amp;rft_val_fmt=info:ofi/fmt:kev:mtx:journal&amp;genre=journal&amp;req_dat=xri:pqil:pq_clntid=131239&amp;svc_dat=xri:pqil:context=title&amp;rft_dat=xri:pqd:PMID=1356336</t>
  </si>
  <si>
    <t>http://gateway.proquest.com/openurl?url_ver=Z39.88-2004&amp;res_dat=xri:pqm&amp;rft_val_fmt=info:ofi/fmt:kev:mtx:journal&amp;genre=journal&amp;req_dat=xri:pqil:pq_clntid=131239&amp;svc_dat=xri:pqil:context=title&amp;rft_dat=xri:pqd:PMID=2043162</t>
  </si>
  <si>
    <t>http://gateway.proquest.com/openurl?url_ver=Z39.88-2004&amp;res_dat=xri:pqm&amp;rft_val_fmt=info:ofi/fmt:kev:mtx:journal&amp;genre=journal&amp;req_dat=xri:pqil:pq_clntid=131239&amp;svc_dat=xri:pqil:context=title&amp;rft_dat=xri:pqd:PMID=2031077</t>
  </si>
  <si>
    <t>Bornova Izmir</t>
  </si>
  <si>
    <t>http://gateway.proquest.com/openurl?url_ver=Z39.88-2004&amp;res_dat=xri:pqm&amp;rft_val_fmt=info:ofi/fmt:kev:mtx:journal&amp;genre=journal&amp;req_dat=xri:pqil:pq_clntid=131239&amp;svc_dat=xri:pqil:context=title&amp;rft_dat=xri:pqd:PMID=2035897</t>
  </si>
  <si>
    <t>Knoxville</t>
  </si>
  <si>
    <t>http://gateway.proquest.com/openurl?url_ver=Z39.88-2004&amp;res_dat=xri:pqm&amp;rft_val_fmt=info:ofi/fmt:kev:mtx:journal&amp;genre=journal&amp;req_dat=xri:pqil:pq_clntid=131239&amp;svc_dat=xri:pqil:context=title&amp;rft_dat=xri:pqd:PMID=5538878</t>
  </si>
  <si>
    <t>http://gateway.proquest.com/openurl?url_ver=Z39.88-2004&amp;res_dat=xri:pqm&amp;rft_val_fmt=info:ofi/fmt:kev:mtx:journal&amp;genre=journal&amp;req_dat=xri:pqil:pq_clntid=131239&amp;svc_dat=xri:pqil:context=title&amp;rft_dat=xri:pqd:PMID=32945</t>
  </si>
  <si>
    <t>http://gateway.proquest.com/openurl?url_ver=Z39.88-2004&amp;res_dat=xri:pqm&amp;rft_val_fmt=info:ofi/fmt:kev:mtx:journal&amp;genre=journal&amp;req_dat=xri:pqil:pq_clntid=131239&amp;svc_dat=xri:pqil:context=title&amp;rft_dat=xri:pqd:PMID=30200</t>
  </si>
  <si>
    <t>http://gateway.proquest.com/openurl?url_ver=Z39.88-2004&amp;res_dat=xri:pqm&amp;rft_val_fmt=info:ofi/fmt:kev:mtx:journal&amp;genre=journal&amp;req_dat=xri:pqil:pq_clntid=131239&amp;svc_dat=xri:pqil:context=title&amp;rft_dat=xri:pqd:PMID=5263201</t>
  </si>
  <si>
    <t>http://gateway.proquest.com/openurl?url_ver=Z39.88-2004&amp;res_dat=xri:pqm&amp;rft_val_fmt=info:ofi/fmt:kev:mtx:journal&amp;genre=journal&amp;req_dat=xri:pqil:pq_clntid=131239&amp;svc_dat=xri:pqil:context=title&amp;rft_dat=xri:pqd:PMID=5263200</t>
  </si>
  <si>
    <t>http://gateway.proquest.com/openurl?url_ver=Z39.88-2004&amp;res_dat=xri:pqm&amp;rft_val_fmt=info:ofi/fmt:kev:mtx:journal&amp;genre=journal&amp;req_dat=xri:pqil:pq_clntid=131239&amp;svc_dat=xri:pqil:context=title&amp;rft_dat=xri:pqd:PMID=5263199</t>
  </si>
  <si>
    <t>http://gateway.proquest.com/openurl?url_ver=Z39.88-2004&amp;res_dat=xri:pqm&amp;rft_val_fmt=info:ofi/fmt:kev:mtx:journal&amp;genre=journal&amp;req_dat=xri:pqil:pq_clntid=131239&amp;svc_dat=xri:pqil:context=title&amp;rft_dat=xri:pqd:PMID=5263198</t>
  </si>
  <si>
    <t>http://gateway.proquest.com/openurl?url_ver=Z39.88-2004&amp;res_dat=xri:pqm&amp;rft_val_fmt=info:ofi/fmt:kev:mtx:journal&amp;genre=journal&amp;req_dat=xri:pqil:pq_clntid=131239&amp;svc_dat=xri:pqil:context=title&amp;rft_dat=xri:pqd:PMID=5263197</t>
  </si>
  <si>
    <t>http://gateway.proquest.com/openurl?url_ver=Z39.88-2004&amp;res_dat=xri:pqm&amp;rft_val_fmt=info:ofi/fmt:kev:mtx:journal&amp;genre=journal&amp;req_dat=xri:pqil:pq_clntid=131239&amp;svc_dat=xri:pqil:context=title&amp;rft_dat=xri:pqd:PMID=636388</t>
  </si>
  <si>
    <t>Kansas City</t>
  </si>
  <si>
    <t>http://gateway.proquest.com/openurl?url_ver=Z39.88-2004&amp;res_dat=xri:pqm&amp;rft_val_fmt=info:ofi/fmt:kev:mtx:journal&amp;genre=journal&amp;req_dat=xri:pqil:pq_clntid=131239&amp;svc_dat=xri:pqil:context=title&amp;rft_dat=xri:pqd:PMID=32666</t>
  </si>
  <si>
    <t>http://gateway.proquest.com/openurl?url_ver=Z39.88-2004&amp;res_dat=xri:pqm&amp;rft_val_fmt=info:ofi/fmt:kev:mtx:journal&amp;genre=journal&amp;req_dat=xri:pqil:pq_clntid=131239&amp;svc_dat=xri:pqil:context=title&amp;rft_dat=xri:pqd:PMID=41201</t>
  </si>
  <si>
    <t>http://gateway.proquest.com/openurl?url_ver=Z39.88-2004&amp;res_dat=xri:pqm&amp;rft_val_fmt=info:ofi/fmt:kev:mtx:journal&amp;genre=journal&amp;req_dat=xri:pqil:pq_clntid=131239&amp;svc_dat=xri:pqil:context=title&amp;rft_dat=xri:pqd:PMID=32897</t>
  </si>
  <si>
    <t>http://gateway.proquest.com/openurl?url_ver=Z39.88-2004&amp;res_dat=xri:pqm&amp;rft_val_fmt=info:ofi/fmt:kev:mtx:journal&amp;genre=journal&amp;req_dat=xri:pqil:pq_clntid=131239&amp;svc_dat=xri:pqil:context=title&amp;rft_dat=xri:pqd:PMID=1486335</t>
  </si>
  <si>
    <t>http://gateway.proquest.com/openurl?url_ver=Z39.88-2004&amp;res_dat=xri:pqm&amp;rft_val_fmt=info:ofi/fmt:kev:mtx:journal&amp;genre=journal&amp;req_dat=xri:pqil:pq_clntid=131239&amp;svc_dat=xri:pqil:context=title&amp;rft_dat=xri:pqd:PMID=32360</t>
  </si>
  <si>
    <t>http://gateway.proquest.com/openurl?url_ver=Z39.88-2004&amp;res_dat=xri:pqm&amp;rft_val_fmt=info:ofi/fmt:kev:mtx:journal&amp;genre=journal&amp;req_dat=xri:pqil:pq_clntid=131239&amp;svc_dat=xri:pqil:context=title&amp;rft_dat=xri:pqd:PMID=54206</t>
  </si>
  <si>
    <t>Kraków</t>
  </si>
  <si>
    <t>http://gateway.proquest.com/openurl?url_ver=Z39.88-2004&amp;res_dat=xri:pqm&amp;rft_val_fmt=info:ofi/fmt:kev:mtx:journal&amp;genre=journal&amp;req_dat=xri:pqil:pq_clntid=131239&amp;svc_dat=xri:pqil:context=title&amp;rft_dat=xri:pqd:PMID=2028858</t>
  </si>
  <si>
    <t>http://gateway.proquest.com/openurl?url_ver=Z39.88-2004&amp;res_dat=xri:pqm&amp;rft_val_fmt=info:ofi/fmt:kev:mtx:journal&amp;genre=journal&amp;req_dat=xri:pqil:pq_clntid=131239&amp;svc_dat=xri:pqil:context=title&amp;rft_dat=xri:pqd:PMID=4406322</t>
  </si>
  <si>
    <t>http://gateway.proquest.com/openurl?url_ver=Z39.88-2004&amp;res_dat=xri:pqm&amp;rft_val_fmt=info:ofi/fmt:kev:mtx:journal&amp;genre=journal&amp;req_dat=xri:pqil:pq_clntid=131239&amp;svc_dat=xri:pqil:context=title&amp;rft_dat=xri:pqd:PMID=27321</t>
  </si>
  <si>
    <t>http://gateway.proquest.com/openurl?url_ver=Z39.88-2004&amp;res_dat=xri:pqm&amp;rft_val_fmt=info:ofi/fmt:kev:mtx:journal&amp;genre=journal&amp;req_dat=xri:pqil:pq_clntid=131239&amp;svc_dat=xri:pqil:context=title&amp;rft_dat=xri:pqd:PMID=136150</t>
  </si>
  <si>
    <t>http://gateway.proquest.com/openurl?url_ver=Z39.88-2004&amp;res_dat=xri:pqm&amp;rft_val_fmt=info:ofi/fmt:kev:mtx:journal&amp;genre=journal&amp;req_dat=xri:pqil:pq_clntid=131239&amp;svc_dat=xri:pqil:context=title&amp;rft_dat=xri:pqd:PMID=4770007</t>
  </si>
  <si>
    <t>http://gateway.proquest.com/openurl?url_ver=Z39.88-2004&amp;res_dat=xri:pqm&amp;rft_val_fmt=info:ofi/fmt:kev:mtx:journal&amp;genre=journal&amp;req_dat=xri:pqil:pq_clntid=131239&amp;svc_dat=xri:pqil:context=title&amp;rft_dat=xri:pqd:PMID=2034685</t>
  </si>
  <si>
    <t>http://gateway.proquest.com/openurl?url_ver=Z39.88-2004&amp;res_dat=xri:pqm&amp;rft_val_fmt=info:ofi/fmt:kev:mtx:journal&amp;genre=journal&amp;req_dat=xri:pqil:pq_clntid=131239&amp;svc_dat=xri:pqil:context=title&amp;rft_dat=xri:pqd:PMID=2043161</t>
  </si>
  <si>
    <t>http://gateway.proquest.com/openurl?url_ver=Z39.88-2004&amp;res_dat=xri:pqm&amp;rft_val_fmt=info:ofi/fmt:kev:mtx:journal&amp;genre=journal&amp;req_dat=xri:pqil:pq_clntid=131239&amp;svc_dat=xri:pqil:context=title&amp;rft_dat=xri:pqd:PMID=326269</t>
  </si>
  <si>
    <t>http://gateway.proquest.com/openurl?url_ver=Z39.88-2004&amp;res_dat=xri:pqm&amp;rft_val_fmt=info:ofi/fmt:kev:mtx:journal&amp;genre=journal&amp;req_dat=xri:pqil:pq_clntid=131239&amp;svc_dat=xri:pqil:context=title&amp;rft_dat=xri:pqd:PMID=2031076</t>
  </si>
  <si>
    <t>http://gateway.proquest.com/openurl?url_ver=Z39.88-2004&amp;res_dat=xri:pqm&amp;rft_val_fmt=info:ofi/fmt:kev:mtx:journal&amp;genre=journal&amp;req_dat=xri:pqil:pq_clntid=131239&amp;svc_dat=xri:pqil:context=title&amp;rft_dat=xri:pqd:PMID=39126</t>
  </si>
  <si>
    <t>Tokyo</t>
  </si>
  <si>
    <t>http://gateway.proquest.com/openurl?url_ver=Z39.88-2004&amp;res_dat=xri:pqm&amp;rft_val_fmt=info:ofi/fmt:kev:mtx:journal&amp;genre=journal&amp;req_dat=xri:pqil:pq_clntid=131239&amp;svc_dat=xri:pqil:context=title&amp;rft_dat=xri:pqd:PMID=2034570</t>
  </si>
  <si>
    <t>http://gateway.proquest.com/openurl?url_ver=Z39.88-2004&amp;res_dat=xri:pqm&amp;rft_val_fmt=info:ofi/fmt:kev:mtx:journal&amp;genre=journal&amp;req_dat=xri:pqil:pq_clntid=131239&amp;svc_dat=xri:pqil:context=title&amp;rft_dat=xri:pqd:PMID=48806</t>
  </si>
  <si>
    <t>http://gateway.proquest.com/openurl?url_ver=Z39.88-2004&amp;res_dat=xri:pqm&amp;rft_val_fmt=info:ofi/fmt:kev:mtx:journal&amp;genre=journal&amp;req_dat=xri:pqil:pq_clntid=131239&amp;svc_dat=xri:pqil:context=title&amp;rft_dat=xri:pqd:PMID=1286344</t>
  </si>
  <si>
    <t>http://gateway.proquest.com/openurl?url_ver=Z39.88-2004&amp;res_dat=xri:pqm&amp;rft_val_fmt=info:ofi/fmt:kev:mtx:journal&amp;genre=journal&amp;req_dat=xri:pqil:pq_clntid=131239&amp;svc_dat=xri:pqil:context=title&amp;rft_dat=xri:pqd:PMID=3933344</t>
  </si>
  <si>
    <t>http://gateway.proquest.com/openurl?url_ver=Z39.88-2004&amp;res_dat=xri:pqm&amp;rft_val_fmt=info:ofi/fmt:kev:mtx:journal&amp;genre=journal&amp;req_dat=xri:pqil:pq_clntid=131239&amp;svc_dat=xri:pqil:context=title&amp;rft_dat=xri:pqd:PMID=2040199</t>
  </si>
  <si>
    <t>http://gateway.proquest.com/openurl?url_ver=Z39.88-2004&amp;res_dat=xri:pqm&amp;rft_val_fmt=info:ofi/fmt:kev:mtx:journal&amp;genre=journal&amp;req_dat=xri:pqil:pq_clntid=131239&amp;svc_dat=xri:pqil:context=title&amp;rft_dat=xri:pqd:PMID=636387</t>
  </si>
  <si>
    <t>http://gateway.proquest.com/openurl?url_ver=Z39.88-2004&amp;res_dat=xri:pqm&amp;rft_val_fmt=info:ofi/fmt:kev:mtx:journal&amp;genre=journal&amp;req_dat=xri:pqil:pq_clntid=131239&amp;svc_dat=xri:pqil:context=title&amp;rft_dat=xri:pqd:PMID=32889</t>
  </si>
  <si>
    <t>http://gateway.proquest.com/openurl?url_ver=Z39.88-2004&amp;res_dat=xri:pqm&amp;rft_val_fmt=info:ofi/fmt:kev:mtx:journal&amp;genre=journal&amp;req_dat=xri:pqil:pq_clntid=131239&amp;svc_dat=xri:pqil:context=title&amp;rft_dat=xri:pqd:PMID=436415</t>
  </si>
  <si>
    <t>http://gateway.proquest.com/openurl?url_ver=Z39.88-2004&amp;res_dat=xri:pqm&amp;rft_val_fmt=info:ofi/fmt:kev:mtx:journal&amp;genre=journal&amp;req_dat=xri:pqil:pq_clntid=131239&amp;svc_dat=xri:pqil:context=title&amp;rft_dat=xri:pqd:PMID=37981</t>
  </si>
  <si>
    <t>http://gateway.proquest.com/openurl?url_ver=Z39.88-2004&amp;res_dat=xri:pqm&amp;rft_val_fmt=info:ofi/fmt:kev:mtx:journal&amp;genre=journal&amp;req_dat=xri:pqil:pq_clntid=131239&amp;svc_dat=xri:pqil:context=title&amp;rft_dat=xri:pqd:PMID=33935</t>
  </si>
  <si>
    <t>http://gateway.proquest.com/openurl?url_ver=Z39.88-2004&amp;res_dat=xri:pqm&amp;rft_val_fmt=info:ofi/fmt:kev:mtx:journal&amp;genre=journal&amp;req_dat=xri:pqil:pq_clntid=131239&amp;svc_dat=xri:pqil:context=title&amp;rft_dat=xri:pqd:PMID=4378887</t>
  </si>
  <si>
    <t>http://gateway.proquest.com/openurl?url_ver=Z39.88-2004&amp;res_dat=xri:pqm&amp;rft_val_fmt=info:ofi/fmt:kev:mtx:journal&amp;genre=journal&amp;req_dat=xri:pqil:pq_clntid=131239&amp;svc_dat=xri:pqil:context=title&amp;rft_dat=xri:pqd:PMID=38002</t>
  </si>
  <si>
    <t>http://gateway.proquest.com/openurl?url_ver=Z39.88-2004&amp;res_dat=xri:pqm&amp;rft_val_fmt=info:ofi/fmt:kev:mtx:journal&amp;genre=journal&amp;req_dat=xri:pqil:pq_clntid=131239&amp;svc_dat=xri:pqil:context=title&amp;rft_dat=xri:pqd:PMID=3933342</t>
  </si>
  <si>
    <t>http://gateway.proquest.com/openurl?url_ver=Z39.88-2004&amp;res_dat=xri:pqm&amp;rft_val_fmt=info:ofi/fmt:kev:mtx:journal&amp;genre=journal&amp;req_dat=xri:pqil:pq_clntid=131239&amp;svc_dat=xri:pqil:context=title&amp;rft_dat=xri:pqd:PMID=5485116</t>
  </si>
  <si>
    <t>http://gateway.proquest.com/openurl?url_ver=Z39.88-2004&amp;res_dat=xri:pqm&amp;rft_val_fmt=info:ofi/fmt:kev:mtx:journal&amp;genre=journal&amp;req_dat=xri:pqil:pq_clntid=131239&amp;svc_dat=xri:pqil:context=title&amp;rft_dat=xri:pqd:PMID=1476362</t>
  </si>
  <si>
    <t>http://gateway.proquest.com/openurl?url_ver=Z39.88-2004&amp;res_dat=xri:pqm&amp;rft_val_fmt=info:ofi/fmt:kev:mtx:journal&amp;genre=journal&amp;req_dat=xri:pqil:pq_clntid=131239&amp;svc_dat=xri:pqil:context=title&amp;rft_dat=xri:pqd:PMID=2033050</t>
  </si>
  <si>
    <t>http://gateway.proquest.com/openurl?url_ver=Z39.88-2004&amp;res_dat=xri:pqm&amp;rft_val_fmt=info:ofi/fmt:kev:mtx:journal&amp;genre=journal&amp;req_dat=xri:pqil:pq_clntid=131239&amp;svc_dat=xri:pqil:context=title&amp;rft_dat=xri:pqd:PMID=1016412</t>
  </si>
  <si>
    <t>http://gateway.proquest.com/openurl?url_ver=Z39.88-2004&amp;res_dat=xri:pqm&amp;rft_val_fmt=info:ofi/fmt:kev:mtx:journal&amp;genre=journal&amp;req_dat=xri:pqil:pq_clntid=131239&amp;svc_dat=xri:pqil:context=title&amp;rft_dat=xri:pqd:PMID=2026815</t>
  </si>
  <si>
    <t>http://gateway.proquest.com/openurl?url_ver=Z39.88-2004&amp;res_dat=xri:pqm&amp;rft_val_fmt=info:ofi/fmt:kev:mtx:journal&amp;genre=journal&amp;req_dat=xri:pqil:pq_clntid=131239&amp;svc_dat=xri:pqil:context=title&amp;rft_dat=xri:pqd:PMID=40644</t>
  </si>
  <si>
    <t>http://gateway.proquest.com/openurl?url_ver=Z39.88-2004&amp;res_dat=xri:pqm&amp;rft_val_fmt=info:ofi/fmt:kev:mtx:journal&amp;genre=journal&amp;req_dat=xri:pqil:pq_clntid=131239&amp;svc_dat=xri:pqil:context=title&amp;rft_dat=xri:pqd:PMID=5262115</t>
  </si>
  <si>
    <t>http://gateway.proquest.com/openurl?url_ver=Z39.88-2004&amp;res_dat=xri:pqm&amp;rft_val_fmt=info:ofi/fmt:kev:mtx:journal&amp;genre=journal&amp;req_dat=xri:pqil:pq_clntid=131239&amp;svc_dat=xri:pqil:context=title&amp;rft_dat=xri:pqd:PMID=5262114</t>
  </si>
  <si>
    <t>Galati</t>
  </si>
  <si>
    <t>http://gateway.proquest.com/openurl?url_ver=Z39.88-2004&amp;res_dat=xri:pqm&amp;rft_val_fmt=info:ofi/fmt:kev:mtx:journal&amp;genre=journal&amp;req_dat=xri:pqil:pq_clntid=131239&amp;svc_dat=xri:pqil:context=title&amp;rft_dat=xri:pqd:PMID=5262508</t>
  </si>
  <si>
    <t>http://gateway.proquest.com/openurl?url_ver=Z39.88-2004&amp;res_dat=xri:pqm&amp;rft_val_fmt=info:ofi/fmt:kev:mtx:journal&amp;genre=journal&amp;req_dat=xri:pqil:pq_clntid=131239&amp;svc_dat=xri:pqil:context=title&amp;rft_dat=xri:pqd:PMID=60365</t>
  </si>
  <si>
    <t>Christchurch</t>
  </si>
  <si>
    <t>http://gateway.proquest.com/openurl?url_ver=Z39.88-2004&amp;res_dat=xri:pqm&amp;rft_val_fmt=info:ofi/fmt:kev:mtx:journal&amp;genre=journal&amp;req_dat=xri:pqil:pq_clntid=131239&amp;svc_dat=xri:pqil:context=title&amp;rft_dat=xri:pqd:PMID=32948</t>
  </si>
  <si>
    <t>01-Jan-2005--31-Dec-2015</t>
  </si>
  <si>
    <t>http://gateway.proquest.com/openurl?url_ver=Z39.88-2004&amp;res_dat=xri:pqm&amp;rft_val_fmt=info:ofi/fmt:kev:mtx:journal&amp;genre=journal&amp;req_dat=xri:pqil:pq_clntid=131239&amp;svc_dat=xri:pqil:context=title&amp;rft_dat=xri:pqd:PMID=366337</t>
  </si>
  <si>
    <t>http://gateway.proquest.com/openurl?url_ver=Z39.88-2004&amp;res_dat=xri:pqm&amp;rft_val_fmt=info:ofi/fmt:kev:mtx:journal&amp;genre=journal&amp;req_dat=xri:pqil:pq_clntid=131239&amp;svc_dat=xri:pqil:context=title&amp;rft_dat=xri:pqd:PMID=5263196</t>
  </si>
  <si>
    <t>http://gateway.proquest.com/openurl?url_ver=Z39.88-2004&amp;res_dat=xri:pqm&amp;rft_val_fmt=info:ofi/fmt:kev:mtx:journal&amp;genre=journal&amp;req_dat=xri:pqil:pq_clntid=131239&amp;svc_dat=xri:pqil:context=title&amp;rft_dat=xri:pqd:PMID=6059467</t>
  </si>
  <si>
    <t>http://gateway.proquest.com/openurl?url_ver=Z39.88-2004&amp;res_dat=xri:pqm&amp;rft_val_fmt=info:ofi/fmt:kev:mtx:journal&amp;genre=journal&amp;req_dat=xri:pqil:pq_clntid=131239&amp;svc_dat=xri:pqil:context=title&amp;rft_dat=xri:pqd:PMID=6059466</t>
  </si>
  <si>
    <t>Non-Suicidal Self-Injury Assessment Tool (NSSI-AT)</t>
  </si>
  <si>
    <t>The Cornell Research Program on Self-Injury and Recovery</t>
  </si>
  <si>
    <t>http://gateway.proquest.com/openurl?url_ver=Z39.88-2004&amp;res_dat=xri:pqm&amp;rft_val_fmt=info:ofi/fmt:kev:mtx:journal&amp;genre=journal&amp;req_dat=xri:pqil:pq_clntid=131239&amp;svc_dat=xri:pqil:context=title&amp;rft_dat=xri:pqd:PMID=6529838</t>
  </si>
  <si>
    <t>Bergen</t>
  </si>
  <si>
    <t>http://gateway.proquest.com/openurl?url_ver=Z39.88-2004&amp;res_dat=xri:pqm&amp;rft_val_fmt=info:ofi/fmt:kev:mtx:journal&amp;genre=journal&amp;req_dat=xri:pqil:pq_clntid=131239&amp;svc_dat=xri:pqil:context=title&amp;rft_dat=xri:pqd:PMID=436416</t>
  </si>
  <si>
    <t>http://gateway.proquest.com/openurl?url_ver=Z39.88-2004&amp;res_dat=xri:pqm&amp;rft_val_fmt=info:ofi/fmt:kev:mtx:journal&amp;genre=journal&amp;req_dat=xri:pqil:pq_clntid=131239&amp;svc_dat=xri:pqil:context=title&amp;rft_dat=xri:pqd:PMID=2033044</t>
  </si>
  <si>
    <t>Helsingfors</t>
  </si>
  <si>
    <t>http://gateway.proquest.com/openurl?url_ver=Z39.88-2004&amp;res_dat=xri:pqm&amp;rft_val_fmt=info:ofi/fmt:kev:mtx:journal&amp;genre=journal&amp;req_dat=xri:pqil:pq_clntid=131239&amp;svc_dat=xri:pqil:context=title&amp;rft_dat=xri:pqd:PMID=2026587</t>
  </si>
  <si>
    <t>Ankara</t>
  </si>
  <si>
    <t>http://gateway.proquest.com/openurl?url_ver=Z39.88-2004&amp;res_dat=xri:pqm&amp;rft_val_fmt=info:ofi/fmt:kev:mtx:journal&amp;genre=journal&amp;req_dat=xri:pqil:pq_clntid=131239&amp;svc_dat=xri:pqil:context=title&amp;rft_dat=xri:pqd:PMID=54398</t>
  </si>
  <si>
    <t>Winter Garden</t>
  </si>
  <si>
    <t>01-Dec-2012--31-May-2016</t>
  </si>
  <si>
    <t>01-Jan-2005--31-Dec-2007</t>
  </si>
  <si>
    <t>http://gateway.proquest.com/openurl?url_ver=Z39.88-2004&amp;res_dat=xri:pqm&amp;rft_val_fmt=info:ofi/fmt:kev:mtx:journal&amp;genre=journal&amp;req_dat=xri:pqil:pq_clntid=131239&amp;svc_dat=xri:pqil:context=title&amp;rft_dat=xri:pqd:PMID=28796</t>
  </si>
  <si>
    <t>http://gateway.proquest.com/openurl?url_ver=Z39.88-2004&amp;res_dat=xri:pqm&amp;rft_val_fmt=info:ofi/fmt:kev:mtx:journal&amp;genre=journal&amp;req_dat=xri:pqil:pq_clntid=131239&amp;svc_dat=xri:pqil:context=title&amp;rft_dat=xri:pqd:PMID=5485084</t>
  </si>
  <si>
    <t>http://gateway.proquest.com/openurl?url_ver=Z39.88-2004&amp;res_dat=xri:pqm&amp;rft_val_fmt=info:ofi/fmt:kev:mtx:journal&amp;genre=journal&amp;req_dat=xri:pqil:pq_clntid=131239&amp;svc_dat=xri:pqil:context=title&amp;rft_dat=xri:pqd:PMID=5256691</t>
  </si>
  <si>
    <t>http://gateway.proquest.com/openurl?url_ver=Z39.88-2004&amp;res_dat=xri:pqm&amp;rft_val_fmt=info:ofi/fmt:kev:mtx:journal&amp;genre=journal&amp;req_dat=xri:pqil:pq_clntid=131239&amp;svc_dat=xri:pqil:context=title&amp;rft_dat=xri:pqd:PMID=5485089</t>
  </si>
  <si>
    <t>01-Jul-1999--31-Dec-2003</t>
  </si>
  <si>
    <t>http://gateway.proquest.com/openurl?url_ver=Z39.88-2004&amp;res_dat=xri:pqm&amp;rft_val_fmt=info:ofi/fmt:kev:mtx:journal&amp;genre=journal&amp;req_dat=xri:pqil:pq_clntid=131239&amp;svc_dat=xri:pqil:context=title&amp;rft_dat=xri:pqd:PMID=26540</t>
  </si>
  <si>
    <t>http://gateway.proquest.com/openurl?url_ver=Z39.88-2004&amp;res_dat=xri:pqm&amp;rft_val_fmt=info:ofi/fmt:kev:mtx:journal&amp;genre=journal&amp;req_dat=xri:pqil:pq_clntid=131239&amp;svc_dat=xri:pqil:context=title&amp;rft_dat=xri:pqd:PMID=186279</t>
  </si>
  <si>
    <t>http://gateway.proquest.com/openurl?url_ver=Z39.88-2004&amp;res_dat=xri:pqm&amp;rft_val_fmt=info:ofi/fmt:kev:mtx:journal&amp;genre=journal&amp;req_dat=xri:pqil:pq_clntid=131239&amp;svc_dat=xri:pqil:context=title&amp;rft_dat=xri:pqd:PMID=5485107</t>
  </si>
  <si>
    <t>Sushi Productions</t>
  </si>
  <si>
    <t>Bouder</t>
  </si>
  <si>
    <t>http://gateway.proquest.com/openurl?url_ver=Z39.88-2004&amp;res_dat=xri:pqm&amp;rft_val_fmt=info:ofi/fmt:kev:mtx:journal&amp;genre=journal&amp;req_dat=xri:pqil:pq_clntid=131239&amp;svc_dat=xri:pqil:context=title&amp;rft_dat=xri:pqd:PMID=6364618</t>
  </si>
  <si>
    <t>http://gateway.proquest.com/openurl?url_ver=Z39.88-2004&amp;res_dat=xri:pqm&amp;rft_val_fmt=info:ofi/fmt:kev:mtx:journal&amp;genre=journal&amp;req_dat=xri:pqil:pq_clntid=131239&amp;svc_dat=xri:pqil:context=title&amp;rft_dat=xri:pqd:PMID=29773</t>
  </si>
  <si>
    <t>http://gateway.proquest.com/openurl?url_ver=Z39.88-2004&amp;res_dat=xri:pqm&amp;rft_val_fmt=info:ofi/fmt:kev:mtx:journal&amp;genre=journal&amp;req_dat=xri:pqil:pq_clntid=131239&amp;svc_dat=xri:pqil:context=title&amp;rft_dat=xri:pqd:PMID=5485072</t>
  </si>
  <si>
    <t>http://gateway.proquest.com/openurl?url_ver=Z39.88-2004&amp;res_dat=xri:pqm&amp;rft_val_fmt=info:ofi/fmt:kev:mtx:journal&amp;genre=journal&amp;req_dat=xri:pqil:pq_clntid=131239&amp;svc_dat=xri:pqil:context=title&amp;rft_dat=xri:pqd:PMID=6059428</t>
  </si>
  <si>
    <t>http://gateway.proquest.com/openurl?url_ver=Z39.88-2004&amp;res_dat=xri:pqm&amp;rft_val_fmt=info:ofi/fmt:kev:mtx:journal&amp;genre=journal&amp;req_dat=xri:pqil:pq_clntid=131239&amp;svc_dat=xri:pqil:context=title&amp;rft_dat=xri:pqd:PMID=2045120</t>
  </si>
  <si>
    <t>http://gateway.proquest.com/openurl?url_ver=Z39.88-2004&amp;res_dat=xri:pqm&amp;rft_val_fmt=info:ofi/fmt:kev:mtx:journal&amp;genre=journal&amp;req_dat=xri:pqil:pq_clntid=131239&amp;svc_dat=xri:pqil:context=title&amp;rft_dat=xri:pqd:PMID=5485074</t>
  </si>
  <si>
    <t>http://gateway.proquest.com/openurl?url_ver=Z39.88-2004&amp;res_dat=xri:pqm&amp;rft_val_fmt=info:ofi/fmt:kev:mtx:journal&amp;genre=journal&amp;req_dat=xri:pqil:pq_clntid=131239&amp;svc_dat=xri:pqil:context=title&amp;rft_dat=xri:pqd:PMID=6447803</t>
  </si>
  <si>
    <t>Bicester</t>
  </si>
  <si>
    <t>http://gateway.proquest.com/openurl?url_ver=Z39.88-2004&amp;res_dat=xri:pqm&amp;rft_val_fmt=info:ofi/fmt:kev:mtx:journal&amp;genre=journal&amp;req_dat=xri:pqil:pq_clntid=131239&amp;svc_dat=xri:pqil:context=title&amp;rft_dat=xri:pqd:PMID=316204</t>
  </si>
  <si>
    <t>http://gateway.proquest.com/openurl?url_ver=Z39.88-2004&amp;res_dat=xri:pqm&amp;rft_val_fmt=info:ofi/fmt:kev:mtx:journal&amp;genre=journal&amp;req_dat=xri:pqil:pq_clntid=131239&amp;svc_dat=xri:pqil:context=title&amp;rft_dat=xri:pqd:PMID=2044363</t>
  </si>
  <si>
    <t>Chesterland</t>
  </si>
  <si>
    <t>http://gateway.proquest.com/openurl?url_ver=Z39.88-2004&amp;res_dat=xri:pqm&amp;rft_val_fmt=info:ofi/fmt:kev:mtx:journal&amp;genre=journal&amp;req_dat=xri:pqil:pq_clntid=131239&amp;svc_dat=xri:pqil:context=title&amp;rft_dat=xri:pqd:PMID=36482</t>
  </si>
  <si>
    <t>http://gateway.proquest.com/openurl?url_ver=Z39.88-2004&amp;res_dat=xri:pqm&amp;rft_val_fmt=info:ofi/fmt:kev:mtx:journal&amp;genre=journal&amp;req_dat=xri:pqil:pq_clntid=131239&amp;svc_dat=xri:pqil:context=title&amp;rft_dat=xri:pqd:PMID=39096</t>
  </si>
  <si>
    <t>http://gateway.proquest.com/openurl?url_ver=Z39.88-2004&amp;res_dat=xri:pqm&amp;rft_val_fmt=info:ofi/fmt:kev:mtx:journal&amp;genre=journal&amp;req_dat=xri:pqil:pq_clntid=131239&amp;svc_dat=xri:pqil:context=title&amp;rft_dat=xri:pqd:PMID=11921</t>
  </si>
  <si>
    <t>http://gateway.proquest.com/openurl?url_ver=Z39.88-2004&amp;res_dat=xri:pqm&amp;rft_val_fmt=info:ofi/fmt:kev:mtx:journal&amp;genre=journal&amp;req_dat=xri:pqil:pq_clntid=131239&amp;svc_dat=xri:pqil:context=title&amp;rft_dat=xri:pqd:PMID=36932</t>
  </si>
  <si>
    <t>http://gateway.proquest.com/openurl?url_ver=Z39.88-2004&amp;res_dat=xri:pqm&amp;rft_val_fmt=info:ofi/fmt:kev:mtx:journal&amp;genre=journal&amp;req_dat=xri:pqil:pq_clntid=131239&amp;svc_dat=xri:pqil:context=title&amp;rft_dat=xri:pqd:PMID=36949</t>
  </si>
  <si>
    <t>http://gateway.proquest.com/openurl?url_ver=Z39.88-2004&amp;res_dat=xri:pqm&amp;rft_val_fmt=info:ofi/fmt:kev:mtx:journal&amp;genre=journal&amp;req_dat=xri:pqil:pq_clntid=131239&amp;svc_dat=xri:pqil:context=title&amp;rft_dat=xri:pqd:PMID=2043200</t>
  </si>
  <si>
    <t>http://gateway.proquest.com/openurl?url_ver=Z39.88-2004&amp;res_dat=xri:pqm&amp;rft_val_fmt=info:ofi/fmt:kev:mtx:journal&amp;genre=journal&amp;req_dat=xri:pqil:pq_clntid=131239&amp;svc_dat=xri:pqil:context=title&amp;rft_dat=xri:pqd:PMID=48642</t>
  </si>
  <si>
    <t>http://gateway.proquest.com/openurl?url_ver=Z39.88-2004&amp;res_dat=xri:pqm&amp;rft_val_fmt=info:ofi/fmt:kev:mtx:journal&amp;genre=journal&amp;req_dat=xri:pqil:pq_clntid=131239&amp;svc_dat=xri:pqil:context=title&amp;rft_dat=xri:pqd:PMID=42159</t>
  </si>
  <si>
    <t>http://gateway.proquest.com/openurl?url_ver=Z39.88-2004&amp;res_dat=xri:pqm&amp;rft_val_fmt=info:ofi/fmt:kev:mtx:journal&amp;genre=journal&amp;req_dat=xri:pqil:pq_clntid=131239&amp;svc_dat=xri:pqil:context=title&amp;rft_dat=xri:pqd:PMID=6059427</t>
  </si>
  <si>
    <t>J Belsher Creative</t>
  </si>
  <si>
    <t>http://gateway.proquest.com/openurl?url_ver=Z39.88-2004&amp;res_dat=xri:pqm&amp;rft_val_fmt=info:ofi/fmt:kev:mtx:journal&amp;genre=journal&amp;req_dat=xri:pqil:pq_clntid=131239&amp;svc_dat=xri:pqil:context=title&amp;rft_dat=xri:pqd:PMID=5256685</t>
  </si>
  <si>
    <t>Copenhagen, Denmark</t>
  </si>
  <si>
    <t>http://gateway.proquest.com/openurl?url_ver=Z39.88-2004&amp;res_dat=xri:pqm&amp;rft_val_fmt=info:ofi/fmt:kev:mtx:journal&amp;genre=journal&amp;req_dat=xri:pqil:pq_clntid=131239&amp;svc_dat=xri:pqil:context=title&amp;rft_dat=xri:pqd:PMID=136193</t>
  </si>
  <si>
    <t>http://gateway.proquest.com/openurl?url_ver=Z39.88-2004&amp;res_dat=xri:pqm&amp;rft_val_fmt=info:ofi/fmt:kev:mtx:journal&amp;genre=journal&amp;req_dat=xri:pqil:pq_clntid=131239&amp;svc_dat=xri:pqil:context=title&amp;rft_dat=xri:pqd:PMID=5485082</t>
  </si>
  <si>
    <t>http://gateway.proquest.com/openurl?url_ver=Z39.88-2004&amp;res_dat=xri:pqm&amp;rft_val_fmt=info:ofi/fmt:kev:mtx:journal&amp;genre=journal&amp;req_dat=xri:pqil:pq_clntid=131239&amp;svc_dat=xri:pqil:context=title&amp;rft_dat=xri:pqd:PMID=31424</t>
  </si>
  <si>
    <t>http://gateway.proquest.com/openurl?url_ver=Z39.88-2004&amp;res_dat=xri:pqm&amp;rft_val_fmt=info:ofi/fmt:kev:mtx:journal&amp;genre=journal&amp;req_dat=xri:pqil:pq_clntid=131239&amp;svc_dat=xri:pqil:context=title&amp;rft_dat=xri:pqd:PMID=2043691</t>
  </si>
  <si>
    <t>PESI,Inc. dba PESI Publishing and Media</t>
  </si>
  <si>
    <t>http://gateway.proquest.com/openurl?url_ver=Z39.88-2004&amp;res_dat=xri:pqm&amp;rft_val_fmt=info:ofi/fmt:kev:mtx:journal&amp;genre=journal&amp;req_dat=xri:pqil:pq_clntid=131239&amp;svc_dat=xri:pqil:context=title&amp;rft_dat=xri:pqd:PMID=5618463</t>
  </si>
  <si>
    <t>http://gateway.proquest.com/openurl?url_ver=Z39.88-2004&amp;res_dat=xri:pqm&amp;rft_val_fmt=info:ofi/fmt:kev:mtx:journal&amp;genre=journal&amp;req_dat=xri:pqil:pq_clntid=131239&amp;svc_dat=xri:pqil:context=title&amp;rft_dat=xri:pqd:PMID=5485088</t>
  </si>
  <si>
    <t>Gainesville</t>
  </si>
  <si>
    <t>http://gateway.proquest.com/openurl?url_ver=Z39.88-2004&amp;res_dat=xri:pqm&amp;rft_val_fmt=info:ofi/fmt:kev:mtx:journal&amp;genre=journal&amp;req_dat=xri:pqil:pq_clntid=131239&amp;svc_dat=xri:pqil:context=title&amp;rft_dat=xri:pqd:PMID=29224</t>
  </si>
  <si>
    <t>São Paulo</t>
  </si>
  <si>
    <t>http://gateway.proquest.com/openurl?url_ver=Z39.88-2004&amp;res_dat=xri:pqm&amp;rft_val_fmt=info:ofi/fmt:kev:mtx:journal&amp;genre=journal&amp;req_dat=xri:pqil:pq_clntid=131239&amp;svc_dat=xri:pqil:context=title&amp;rft_dat=xri:pqd:PMID=2032602</t>
  </si>
  <si>
    <t>http://gateway.proquest.com/openurl?url_ver=Z39.88-2004&amp;res_dat=xri:pqm&amp;rft_val_fmt=info:ofi/fmt:kev:mtx:journal&amp;genre=journal&amp;req_dat=xri:pqil:pq_clntid=131239&amp;svc_dat=xri:pqil:context=title&amp;rft_dat=xri:pqd:PMID=1096359</t>
  </si>
  <si>
    <t>Oakville</t>
  </si>
  <si>
    <t>http://gateway.proquest.com/openurl?url_ver=Z39.88-2004&amp;res_dat=xri:pqm&amp;rft_val_fmt=info:ofi/fmt:kev:mtx:journal&amp;genre=journal&amp;req_dat=xri:pqil:pq_clntid=131239&amp;svc_dat=xri:pqil:context=title&amp;rft_dat=xri:pqd:PMID=32832</t>
  </si>
  <si>
    <t>http://gateway.proquest.com/openurl?url_ver=Z39.88-2004&amp;res_dat=xri:pqm&amp;rft_val_fmt=info:ofi/fmt:kev:mtx:journal&amp;genre=journal&amp;req_dat=xri:pqil:pq_clntid=131239&amp;svc_dat=xri:pqil:context=title&amp;rft_dat=xri:pqd:PMID=33105</t>
  </si>
  <si>
    <t>http://gateway.proquest.com/openurl?url_ver=Z39.88-2004&amp;res_dat=xri:pqm&amp;rft_val_fmt=info:ofi/fmt:kev:mtx:journal&amp;genre=journal&amp;req_dat=xri:pqil:pq_clntid=131239&amp;svc_dat=xri:pqil:context=title&amp;rft_dat=xri:pqd:PMID=2034679</t>
  </si>
  <si>
    <t>http://gateway.proquest.com/openurl?url_ver=Z39.88-2004&amp;res_dat=xri:pqm&amp;rft_val_fmt=info:ofi/fmt:kev:mtx:journal&amp;genre=journal&amp;req_dat=xri:pqil:pq_clntid=131239&amp;svc_dat=xri:pqil:context=title&amp;rft_dat=xri:pqd:PMID=616522</t>
  </si>
  <si>
    <t>http://gateway.proquest.com/openurl?url_ver=Z39.88-2004&amp;res_dat=xri:pqm&amp;rft_val_fmt=info:ofi/fmt:kev:mtx:journal&amp;genre=journal&amp;req_dat=xri:pqil:pq_clntid=131239&amp;svc_dat=xri:pqil:context=title&amp;rft_dat=xri:pqd:PMID=25757</t>
  </si>
  <si>
    <t>http://gateway.proquest.com/openurl?url_ver=Z39.88-2004&amp;res_dat=xri:pqm&amp;rft_val_fmt=info:ofi/fmt:kev:mtx:journal&amp;genre=journal&amp;req_dat=xri:pqil:pq_clntid=131239&amp;svc_dat=xri:pqil:context=title&amp;rft_dat=xri:pqd:PMID=616540</t>
  </si>
  <si>
    <t>http://gateway.proquest.com/openurl?url_ver=Z39.88-2004&amp;res_dat=xri:pqm&amp;rft_val_fmt=info:ofi/fmt:kev:mtx:journal&amp;genre=journal&amp;req_dat=xri:pqil:pq_clntid=131239&amp;svc_dat=xri:pqil:context=title&amp;rft_dat=xri:pqd:PMID=276272</t>
  </si>
  <si>
    <t>http://gateway.proquest.com/openurl?url_ver=Z39.88-2004&amp;res_dat=xri:pqm&amp;rft_val_fmt=info:ofi/fmt:kev:mtx:journal&amp;genre=journal&amp;req_dat=xri:pqil:pq_clntid=131239&amp;svc_dat=xri:pqil:context=title&amp;rft_dat=xri:pqd:PMID=33103</t>
  </si>
  <si>
    <t>Paraclete Press, Inc.</t>
  </si>
  <si>
    <t>Mt Lawley</t>
  </si>
  <si>
    <t>http://gateway.proquest.com/openurl?url_ver=Z39.88-2004&amp;res_dat=xri:pqm&amp;rft_val_fmt=info:ofi/fmt:kev:mtx:journal&amp;genre=journal&amp;req_dat=xri:pqil:pq_clntid=131239&amp;svc_dat=xri:pqil:context=title&amp;rft_dat=xri:pqd:PMID=6364617</t>
  </si>
  <si>
    <t>Parallel Lines</t>
  </si>
  <si>
    <t>Brewster</t>
  </si>
  <si>
    <t>http://gateway.proquest.com/openurl?url_ver=Z39.88-2004&amp;res_dat=xri:pqm&amp;rft_val_fmt=info:ofi/fmt:kev:mtx:journal&amp;genre=journal&amp;req_dat=xri:pqil:pq_clntid=131239&amp;svc_dat=xri:pqil:context=title&amp;rft_dat=xri:pqd:PMID=6364616</t>
  </si>
  <si>
    <t>http://gateway.proquest.com/openurl?url_ver=Z39.88-2004&amp;res_dat=xri:pqm&amp;rft_val_fmt=info:ofi/fmt:kev:mtx:journal&amp;genre=journal&amp;req_dat=xri:pqil:pq_clntid=131239&amp;svc_dat=xri:pqil:context=title&amp;rft_dat=xri:pqd:PMID=27038</t>
  </si>
  <si>
    <t>http://gateway.proquest.com/openurl?url_ver=Z39.88-2004&amp;res_dat=xri:pqm&amp;rft_val_fmt=info:ofi/fmt:kev:mtx:journal&amp;genre=journal&amp;req_dat=xri:pqil:pq_clntid=131239&amp;svc_dat=xri:pqil:context=title&amp;rft_dat=xri:pqd:PMID=5262103</t>
  </si>
  <si>
    <t>http://gateway.proquest.com/openurl?url_ver=Z39.88-2004&amp;res_dat=xri:pqm&amp;rft_val_fmt=info:ofi/fmt:kev:mtx:journal&amp;genre=journal&amp;req_dat=xri:pqil:pq_clntid=131239&amp;svc_dat=xri:pqil:context=title&amp;rft_dat=xri:pqd:PMID=2037491</t>
  </si>
  <si>
    <t>http://gateway.proquest.com/openurl?url_ver=Z39.88-2004&amp;res_dat=xri:pqm&amp;rft_val_fmt=info:ofi/fmt:kev:mtx:journal&amp;genre=journal&amp;req_dat=xri:pqil:pq_clntid=131239&amp;svc_dat=xri:pqil:context=title&amp;rft_dat=xri:pqd:PMID=646495</t>
  </si>
  <si>
    <t>http://gateway.proquest.com/openurl?url_ver=Z39.88-2004&amp;res_dat=xri:pqm&amp;rft_val_fmt=info:ofi/fmt:kev:mtx:journal&amp;genre=journal&amp;req_dat=xri:pqil:pq_clntid=131239&amp;svc_dat=xri:pqil:context=title&amp;rft_dat=xri:pqd:PMID=5485066</t>
  </si>
  <si>
    <t>http://gateway.proquest.com/openurl?url_ver=Z39.88-2004&amp;res_dat=xri:pqm&amp;rft_val_fmt=info:ofi/fmt:kev:mtx:journal&amp;genre=journal&amp;req_dat=xri:pqil:pq_clntid=131239&amp;svc_dat=xri:pqil:context=title&amp;rft_dat=xri:pqd:PMID=6438234</t>
  </si>
  <si>
    <t>http://gateway.proquest.com/openurl?url_ver=Z39.88-2004&amp;res_dat=xri:pqm&amp;rft_val_fmt=info:ofi/fmt:kev:mtx:journal&amp;genre=journal&amp;req_dat=xri:pqil:pq_clntid=131239&amp;svc_dat=xri:pqil:context=title&amp;rft_dat=xri:pqd:PMID=54029</t>
  </si>
  <si>
    <t>Pavlov's Dog and Schrödinger's Cat : Scenes From the Living Laboratory</t>
  </si>
  <si>
    <t>Biology--Zoology|Medical Sciences--Experimental Medicine, Laboratory Technique|Psychology</t>
  </si>
  <si>
    <t>http://gateway.proquest.com/openurl?url_ver=Z39.88-2004&amp;res_dat=xri:pqm&amp;rft_val_fmt=info:ofi/fmt:kev:mtx:journal&amp;genre=journal&amp;req_dat=xri:pqil:pq_clntid=131239&amp;svc_dat=xri:pqil:context=title&amp;rft_dat=xri:pqd:PMID=6394497</t>
  </si>
  <si>
    <t>http://gateway.proquest.com/openurl?url_ver=Z39.88-2004&amp;res_dat=xri:pqm&amp;rft_val_fmt=info:ofi/fmt:kev:mtx:journal&amp;genre=journal&amp;req_dat=xri:pqil:pq_clntid=131239&amp;svc_dat=xri:pqil:context=title&amp;rft_dat=xri:pqd:PMID=5983399</t>
  </si>
  <si>
    <t>http://gateway.proquest.com/openurl?url_ver=Z39.88-2004&amp;res_dat=xri:pqm&amp;rft_val_fmt=info:ofi/fmt:kev:mtx:journal&amp;genre=journal&amp;req_dat=xri:pqil:pq_clntid=131239&amp;svc_dat=xri:pqil:context=title&amp;rft_dat=xri:pqd:PMID=46562</t>
  </si>
  <si>
    <t>Cali</t>
  </si>
  <si>
    <t>http://gateway.proquest.com/openurl?url_ver=Z39.88-2004&amp;res_dat=xri:pqm&amp;rft_val_fmt=info:ofi/fmt:kev:mtx:journal&amp;genre=journal&amp;req_dat=xri:pqil:pq_clntid=131239&amp;svc_dat=xri:pqil:context=title&amp;rft_dat=xri:pqd:PMID=55415</t>
  </si>
  <si>
    <t>http://gateway.proquest.com/openurl?url_ver=Z39.88-2004&amp;res_dat=xri:pqm&amp;rft_val_fmt=info:ofi/fmt:kev:mtx:journal&amp;genre=journal&amp;req_dat=xri:pqil:pq_clntid=131239&amp;svc_dat=xri:pqil:context=title&amp;rft_dat=xri:pqd:PMID=5485108</t>
  </si>
  <si>
    <t>Missoula</t>
  </si>
  <si>
    <t>http://gateway.proquest.com/openurl?url_ver=Z39.88-2004&amp;res_dat=xri:pqm&amp;rft_val_fmt=info:ofi/fmt:kev:mtx:journal&amp;genre=journal&amp;req_dat=xri:pqil:pq_clntid=131239&amp;svc_dat=xri:pqil:context=title&amp;rft_dat=xri:pqd:PMID=29959</t>
  </si>
  <si>
    <t>http://gateway.proquest.com/openurl?url_ver=Z39.88-2004&amp;res_dat=xri:pqm&amp;rft_val_fmt=info:ofi/fmt:kev:mtx:journal&amp;genre=journal&amp;req_dat=xri:pqil:pq_clntid=131239&amp;svc_dat=xri:pqil:context=title&amp;rft_dat=xri:pqd:PMID=2043203</t>
  </si>
  <si>
    <t>http://gateway.proquest.com/openurl?url_ver=Z39.88-2004&amp;res_dat=xri:pqm&amp;rft_val_fmt=info:ofi/fmt:kev:mtx:journal&amp;genre=journal&amp;req_dat=xri:pqil:pq_clntid=131239&amp;svc_dat=xri:pqil:context=title&amp;rft_dat=xri:pqd:PMID=5263180</t>
  </si>
  <si>
    <t>http://gateway.proquest.com/openurl?url_ver=Z39.88-2004&amp;res_dat=xri:pqm&amp;rft_val_fmt=info:ofi/fmt:kev:mtx:journal&amp;genre=journal&amp;req_dat=xri:pqil:pq_clntid=131239&amp;svc_dat=xri:pqil:context=title&amp;rft_dat=xri:pqd:PMID=5485090</t>
  </si>
  <si>
    <t>http://gateway.proquest.com/openurl?url_ver=Z39.88-2004&amp;res_dat=xri:pqm&amp;rft_val_fmt=info:ofi/fmt:kev:mtx:journal&amp;genre=journal&amp;req_dat=xri:pqil:pq_clntid=131239&amp;svc_dat=xri:pqil:context=title&amp;rft_dat=xri:pqd:PMID=5485095</t>
  </si>
  <si>
    <t>http://gateway.proquest.com/openurl?url_ver=Z39.88-2004&amp;res_dat=xri:pqm&amp;rft_val_fmt=info:ofi/fmt:kev:mtx:journal&amp;genre=journal&amp;req_dat=xri:pqil:pq_clntid=131239&amp;svc_dat=xri:pqil:context=title&amp;rft_dat=xri:pqd:PMID=5488535</t>
  </si>
  <si>
    <t>http://gateway.proquest.com/openurl?url_ver=Z39.88-2004&amp;res_dat=xri:pqm&amp;rft_val_fmt=info:ofi/fmt:kev:mtx:journal&amp;genre=journal&amp;req_dat=xri:pqil:pq_clntid=131239&amp;svc_dat=xri:pqil:context=title&amp;rft_dat=xri:pqd:PMID=1096358</t>
  </si>
  <si>
    <t>http://gateway.proquest.com/openurl?url_ver=Z39.88-2004&amp;res_dat=xri:pqm&amp;rft_val_fmt=info:ofi/fmt:kev:mtx:journal&amp;genre=journal&amp;req_dat=xri:pqil:pq_clntid=131239&amp;svc_dat=xri:pqil:context=title&amp;rft_dat=xri:pqd:PMID=5516377</t>
  </si>
  <si>
    <t>http://gateway.proquest.com/openurl?url_ver=Z39.88-2004&amp;res_dat=xri:pqm&amp;rft_val_fmt=info:ofi/fmt:kev:mtx:journal&amp;genre=journal&amp;req_dat=xri:pqil:pq_clntid=131239&amp;svc_dat=xri:pqil:context=title&amp;rft_dat=xri:pqd:PMID=28591</t>
  </si>
  <si>
    <t>http://gateway.proquest.com/openurl?url_ver=Z39.88-2004&amp;res_dat=xri:pqm&amp;rft_val_fmt=info:ofi/fmt:kev:mtx:journal&amp;genre=journal&amp;req_dat=xri:pqil:pq_clntid=131239&amp;svc_dat=xri:pqil:context=title&amp;rft_dat=xri:pqd:PMID=2033023</t>
  </si>
  <si>
    <t>Nottingham</t>
  </si>
  <si>
    <t>http://gateway.proquest.com/openurl?url_ver=Z39.88-2004&amp;res_dat=xri:pqm&amp;rft_val_fmt=info:ofi/fmt:kev:mtx:journal&amp;genre=journal&amp;req_dat=xri:pqil:pq_clntid=131239&amp;svc_dat=xri:pqil:context=title&amp;rft_dat=xri:pqd:PMID=2033022</t>
  </si>
  <si>
    <t>http://gateway.proquest.com/openurl?url_ver=Z39.88-2004&amp;res_dat=xri:pqm&amp;rft_val_fmt=info:ofi/fmt:kev:mtx:journal&amp;genre=journal&amp;req_dat=xri:pqil:pq_clntid=131239&amp;svc_dat=xri:pqil:context=title&amp;rft_dat=xri:pqd:PMID=37907</t>
  </si>
  <si>
    <t>http://gateway.proquest.com/openurl?url_ver=Z39.88-2004&amp;res_dat=xri:pqm&amp;rft_val_fmt=info:ofi/fmt:kev:mtx:journal&amp;genre=journal&amp;req_dat=xri:pqil:pq_clntid=131239&amp;svc_dat=xri:pqil:context=title&amp;rft_dat=xri:pqd:PMID=46274</t>
  </si>
  <si>
    <t>http://gateway.proquest.com/openurl?url_ver=Z39.88-2004&amp;res_dat=xri:pqm&amp;rft_val_fmt=info:ofi/fmt:kev:mtx:journal&amp;genre=journal&amp;req_dat=xri:pqil:pq_clntid=131239&amp;svc_dat=xri:pqil:context=title&amp;rft_dat=xri:pqd:PMID=36693</t>
  </si>
  <si>
    <t>Farnborough</t>
  </si>
  <si>
    <t>http://gateway.proquest.com/openurl?url_ver=Z39.88-2004&amp;res_dat=xri:pqm&amp;rft_val_fmt=info:ofi/fmt:kev:mtx:journal&amp;genre=journal&amp;req_dat=xri:pqil:pq_clntid=131239&amp;svc_dat=xri:pqil:context=title&amp;rft_dat=xri:pqd:PMID=47588</t>
  </si>
  <si>
    <t>http://gateway.proquest.com/openurl?url_ver=Z39.88-2004&amp;res_dat=xri:pqm&amp;rft_val_fmt=info:ofi/fmt:kev:mtx:journal&amp;genre=journal&amp;req_dat=xri:pqil:pq_clntid=131239&amp;svc_dat=xri:pqil:context=title&amp;rft_dat=xri:pqd:PMID=5256667</t>
  </si>
  <si>
    <t>http://gateway.proquest.com/openurl?url_ver=Z39.88-2004&amp;res_dat=xri:pqm&amp;rft_val_fmt=info:ofi/fmt:kev:mtx:journal&amp;genre=journal&amp;req_dat=xri:pqil:pq_clntid=131239&amp;svc_dat=xri:pqil:context=title&amp;rft_dat=xri:pqd:PMID=5324468</t>
  </si>
  <si>
    <t>01-Jan-2011--31-Dec-2022</t>
  </si>
  <si>
    <t>http://gateway.proquest.com/openurl?url_ver=Z39.88-2004&amp;res_dat=xri:pqm&amp;rft_val_fmt=info:ofi/fmt:kev:mtx:journal&amp;genre=journal&amp;req_dat=xri:pqil:pq_clntid=131239&amp;svc_dat=xri:pqil:context=title&amp;rft_dat=xri:pqd:PMID=48941</t>
  </si>
  <si>
    <t>Perspectives on Behavior Science</t>
  </si>
  <si>
    <t>Auburn</t>
  </si>
  <si>
    <t>2520-8969</t>
  </si>
  <si>
    <t>2520-8977</t>
  </si>
  <si>
    <t>http://gateway.proquest.com/openurl?url_ver=Z39.88-2004&amp;res_dat=xri:pqm&amp;rft_val_fmt=info:ofi/fmt:kev:mtx:journal&amp;genre=journal&amp;req_dat=xri:pqil:pq_clntid=131239&amp;svc_dat=xri:pqil:context=title&amp;rft_dat=xri:pqd:PMID=6420648</t>
  </si>
  <si>
    <t>http://gateway.proquest.com/openurl?url_ver=Z39.88-2004&amp;res_dat=xri:pqm&amp;rft_val_fmt=info:ofi/fmt:kev:mtx:journal&amp;genre=journal&amp;req_dat=xri:pqil:pq_clntid=131239&amp;svc_dat=xri:pqil:context=title&amp;rft_dat=xri:pqd:PMID=2033018</t>
  </si>
  <si>
    <t>Peshawar</t>
  </si>
  <si>
    <t>http://gateway.proquest.com/openurl?url_ver=Z39.88-2004&amp;res_dat=xri:pqm&amp;rft_val_fmt=info:ofi/fmt:kev:mtx:journal&amp;genre=journal&amp;req_dat=xri:pqil:pq_clntid=131239&amp;svc_dat=xri:pqil:context=title&amp;rft_dat=xri:pqd:PMID=4402077</t>
  </si>
  <si>
    <t>http://gateway.proquest.com/openurl?url_ver=Z39.88-2004&amp;res_dat=xri:pqm&amp;rft_val_fmt=info:ofi/fmt:kev:mtx:journal&amp;genre=journal&amp;req_dat=xri:pqil:pq_clntid=131239&amp;svc_dat=xri:pqil:context=title&amp;rft_dat=xri:pqd:PMID=43702</t>
  </si>
  <si>
    <t>http://gateway.proquest.com/openurl?url_ver=Z39.88-2004&amp;res_dat=xri:pqm&amp;rft_val_fmt=info:ofi/fmt:kev:mtx:journal&amp;genre=journal&amp;req_dat=xri:pqil:pq_clntid=131239&amp;svc_dat=xri:pqil:context=title&amp;rft_dat=xri:pqd:PMID=6112823</t>
  </si>
  <si>
    <t>http://gateway.proquest.com/openurl?url_ver=Z39.88-2004&amp;res_dat=xri:pqm&amp;rft_val_fmt=info:ofi/fmt:kev:mtx:journal&amp;genre=journal&amp;req_dat=xri:pqil:pq_clntid=131239&amp;svc_dat=xri:pqil:context=title&amp;rft_dat=xri:pqd:PMID=33951</t>
  </si>
  <si>
    <t>http://gateway.proquest.com/openurl?url_ver=Z39.88-2004&amp;res_dat=xri:pqm&amp;rft_val_fmt=info:ofi/fmt:kev:mtx:journal&amp;genre=journal&amp;req_dat=xri:pqil:pq_clntid=131239&amp;svc_dat=xri:pqil:context=title&amp;rft_dat=xri:pqd:PMID=32993</t>
  </si>
  <si>
    <t>PhotoSynthesis Productions</t>
  </si>
  <si>
    <t>San Marcos</t>
  </si>
  <si>
    <t>http://gateway.proquest.com/openurl?url_ver=Z39.88-2004&amp;res_dat=xri:pqm&amp;rft_val_fmt=info:ofi/fmt:kev:mtx:journal&amp;genre=journal&amp;req_dat=xri:pqil:pq_clntid=131239&amp;svc_dat=xri:pqil:context=title&amp;rft_dat=xri:pqd:PMID=6364614</t>
  </si>
  <si>
    <t>http://gateway.proquest.com/openurl?url_ver=Z39.88-2004&amp;res_dat=xri:pqm&amp;rft_val_fmt=info:ofi/fmt:kev:mtx:journal&amp;genre=journal&amp;req_dat=xri:pqil:pq_clntid=131239&amp;svc_dat=xri:pqil:context=title&amp;rft_dat=xri:pqd:PMID=5485085</t>
  </si>
  <si>
    <t>http://gateway.proquest.com/openurl?url_ver=Z39.88-2004&amp;res_dat=xri:pqm&amp;rft_val_fmt=info:ofi/fmt:kev:mtx:journal&amp;genre=journal&amp;req_dat=xri:pqil:pq_clntid=131239&amp;svc_dat=xri:pqil:context=title&amp;rft_dat=xri:pqd:PMID=6059426</t>
  </si>
  <si>
    <t>http://gateway.proquest.com/openurl?url_ver=Z39.88-2004&amp;res_dat=xri:pqm&amp;rft_val_fmt=info:ofi/fmt:kev:mtx:journal&amp;genre=journal&amp;req_dat=xri:pqil:pq_clntid=131239&amp;svc_dat=xri:pqil:context=title&amp;rft_dat=xri:pqd:PMID=5485071</t>
  </si>
  <si>
    <t>http://gateway.proquest.com/openurl?url_ver=Z39.88-2004&amp;res_dat=xri:pqm&amp;rft_val_fmt=info:ofi/fmt:kev:mtx:journal&amp;genre=journal&amp;req_dat=xri:pqil:pq_clntid=131239&amp;svc_dat=xri:pqil:context=title&amp;rft_dat=xri:pqd:PMID=6059464</t>
  </si>
  <si>
    <t>http://gateway.proquest.com/openurl?url_ver=Z39.88-2004&amp;res_dat=xri:pqm&amp;rft_val_fmt=info:ofi/fmt:kev:mtx:journal&amp;genre=journal&amp;req_dat=xri:pqil:pq_clntid=131239&amp;svc_dat=xri:pqil:context=title&amp;rft_dat=xri:pqd:PMID=5485114</t>
  </si>
  <si>
    <t>http://gateway.proquest.com/openurl?url_ver=Z39.88-2004&amp;res_dat=xri:pqm&amp;rft_val_fmt=info:ofi/fmt:kev:mtx:journal&amp;genre=journal&amp;req_dat=xri:pqil:pq_clntid=131239&amp;svc_dat=xri:pqil:context=title&amp;rft_dat=xri:pqd:PMID=5485115</t>
  </si>
  <si>
    <t>http://gateway.proquest.com/openurl?url_ver=Z39.88-2004&amp;res_dat=xri:pqm&amp;rft_val_fmt=info:ofi/fmt:kev:mtx:journal&amp;genre=journal&amp;req_dat=xri:pqil:pq_clntid=131239&amp;svc_dat=xri:pqil:context=title&amp;rft_dat=xri:pqd:PMID=6059425</t>
  </si>
  <si>
    <t>http://gateway.proquest.com/openurl?url_ver=Z39.88-2004&amp;res_dat=xri:pqm&amp;rft_val_fmt=info:ofi/fmt:kev:mtx:journal&amp;genre=journal&amp;req_dat=xri:pqil:pq_clntid=131239&amp;svc_dat=xri:pqil:context=title&amp;rft_dat=xri:pqd:PMID=47780</t>
  </si>
  <si>
    <t>http://gateway.proquest.com/openurl?url_ver=Z39.88-2004&amp;res_dat=xri:pqm&amp;rft_val_fmt=info:ofi/fmt:kev:mtx:journal&amp;genre=journal&amp;req_dat=xri:pqil:pq_clntid=131239&amp;svc_dat=xri:pqil:context=title&amp;rft_dat=xri:pqd:PMID=52968</t>
  </si>
  <si>
    <t>http://gateway.proquest.com/openurl?url_ver=Z39.88-2004&amp;res_dat=xri:pqm&amp;rft_val_fmt=info:ofi/fmt:kev:mtx:journal&amp;genre=journal&amp;req_dat=xri:pqil:pq_clntid=131239&amp;svc_dat=xri:pqil:context=title&amp;rft_dat=xri:pqd:PMID=52921</t>
  </si>
  <si>
    <t>http://gateway.proquest.com/openurl?url_ver=Z39.88-2004&amp;res_dat=xri:pqm&amp;rft_val_fmt=info:ofi/fmt:kev:mtx:journal&amp;genre=journal&amp;req_dat=xri:pqil:pq_clntid=131239&amp;svc_dat=xri:pqil:context=title&amp;rft_dat=xri:pqd:PMID=2026623</t>
  </si>
  <si>
    <t>http://gateway.proquest.com/openurl?url_ver=Z39.88-2004&amp;res_dat=xri:pqm&amp;rft_val_fmt=info:ofi/fmt:kev:mtx:journal&amp;genre=journal&amp;req_dat=xri:pqil:pq_clntid=131239&amp;svc_dat=xri:pqil:context=title&amp;rft_dat=xri:pqd:PMID=54052</t>
  </si>
  <si>
    <t>http://gateway.proquest.com/openurl?url_ver=Z39.88-2004&amp;res_dat=xri:pqm&amp;rft_val_fmt=info:ofi/fmt:kev:mtx:journal&amp;genre=journal&amp;req_dat=xri:pqil:pq_clntid=131239&amp;svc_dat=xri:pqil:context=title&amp;rft_dat=xri:pqd:PMID=48572</t>
  </si>
  <si>
    <t>http://gateway.proquest.com/openurl?url_ver=Z39.88-2004&amp;res_dat=xri:pqm&amp;rft_val_fmt=info:ofi/fmt:kev:mtx:journal&amp;genre=journal&amp;req_dat=xri:pqil:pq_clntid=131239&amp;svc_dat=xri:pqil:context=title&amp;rft_dat=xri:pqd:PMID=5485121</t>
  </si>
  <si>
    <t>http://gateway.proquest.com/openurl?url_ver=Z39.88-2004&amp;res_dat=xri:pqm&amp;rft_val_fmt=info:ofi/fmt:kev:mtx:journal&amp;genre=journal&amp;req_dat=xri:pqil:pq_clntid=131239&amp;svc_dat=xri:pqil:context=title&amp;rft_dat=xri:pqd:PMID=47952</t>
  </si>
  <si>
    <t>http://gateway.proquest.com/openurl?url_ver=Z39.88-2004&amp;res_dat=xri:pqm&amp;rft_val_fmt=info:ofi/fmt:kev:mtx:journal&amp;genre=journal&amp;req_dat=xri:pqil:pq_clntid=131239&amp;svc_dat=xri:pqil:context=title&amp;rft_dat=xri:pqd:PMID=5485070</t>
  </si>
  <si>
    <t>http://gateway.proquest.com/openurl?url_ver=Z39.88-2004&amp;res_dat=xri:pqm&amp;rft_val_fmt=info:ofi/fmt:kev:mtx:journal&amp;genre=journal&amp;req_dat=xri:pqil:pq_clntid=131239&amp;svc_dat=xri:pqil:context=title&amp;rft_dat=xri:pqd:PMID=2026621</t>
  </si>
  <si>
    <t>http://gateway.proquest.com/openurl?url_ver=Z39.88-2004&amp;res_dat=xri:pqm&amp;rft_val_fmt=info:ofi/fmt:kev:mtx:journal&amp;genre=journal&amp;req_dat=xri:pqil:pq_clntid=131239&amp;svc_dat=xri:pqil:context=title&amp;rft_dat=xri:pqd:PMID=5485075</t>
  </si>
  <si>
    <t>http://gateway.proquest.com/openurl?url_ver=Z39.88-2004&amp;res_dat=xri:pqm&amp;rft_val_fmt=info:ofi/fmt:kev:mtx:journal&amp;genre=journal&amp;req_dat=xri:pqil:pq_clntid=131239&amp;svc_dat=xri:pqil:context=title&amp;rft_dat=xri:pqd:PMID=6275756</t>
  </si>
  <si>
    <t>http://gateway.proquest.com/openurl?url_ver=Z39.88-2004&amp;res_dat=xri:pqm&amp;rft_val_fmt=info:ofi/fmt:kev:mtx:journal&amp;genre=journal&amp;req_dat=xri:pqil:pq_clntid=131239&amp;svc_dat=xri:pqil:context=title&amp;rft_dat=xri:pqd:PMID=6059424</t>
  </si>
  <si>
    <t>http://gateway.proquest.com/openurl?url_ver=Z39.88-2004&amp;res_dat=xri:pqm&amp;rft_val_fmt=info:ofi/fmt:kev:mtx:journal&amp;genre=journal&amp;req_dat=xri:pqil:pq_clntid=131239&amp;svc_dat=xri:pqil:context=title&amp;rft_dat=xri:pqd:PMID=5485098</t>
  </si>
  <si>
    <t>http://gateway.proquest.com/openurl?url_ver=Z39.88-2004&amp;res_dat=xri:pqm&amp;rft_val_fmt=info:ofi/fmt:kev:mtx:journal&amp;genre=journal&amp;req_dat=xri:pqil:pq_clntid=131239&amp;svc_dat=xri:pqil:context=title&amp;rft_dat=xri:pqd:PMID=5483587</t>
  </si>
  <si>
    <t>186490</t>
  </si>
  <si>
    <t>http://gateway.proquest.com/openurl?url_ver=Z39.88-2004&amp;res_dat=xri:pqm&amp;rft_val_fmt=info:ofi/fmt:kev:mtx:journal&amp;genre=journal&amp;req_dat=xri:pqil:pq_clntid=131239&amp;svc_dat=xri:pqil:context=title&amp;rft_dat=xri:pqd:PMID=5483560</t>
  </si>
  <si>
    <t>http://gateway.proquest.com/openurl?url_ver=Z39.88-2004&amp;res_dat=xri:pqm&amp;rft_val_fmt=info:ofi/fmt:kev:mtx:journal&amp;genre=journal&amp;req_dat=xri:pqil:pq_clntid=131239&amp;svc_dat=xri:pqil:context=title&amp;rft_dat=xri:pqd:PMID=5483610</t>
  </si>
  <si>
    <t>http://gateway.proquest.com/openurl?url_ver=Z39.88-2004&amp;res_dat=xri:pqm&amp;rft_val_fmt=info:ofi/fmt:kev:mtx:journal&amp;genre=journal&amp;req_dat=xri:pqil:pq_clntid=131239&amp;svc_dat=xri:pqil:context=title&amp;rft_dat=xri:pqd:PMID=6059423</t>
  </si>
  <si>
    <t>http://gateway.proquest.com/openurl?url_ver=Z39.88-2004&amp;res_dat=xri:pqm&amp;rft_val_fmt=info:ofi/fmt:kev:mtx:journal&amp;genre=journal&amp;req_dat=xri:pqil:pq_clntid=131239&amp;svc_dat=xri:pqil:context=title&amp;rft_dat=xri:pqd:PMID=2041030</t>
  </si>
  <si>
    <t>http://gateway.proquest.com/openurl?url_ver=Z39.88-2004&amp;res_dat=xri:pqm&amp;rft_val_fmt=info:ofi/fmt:kev:mtx:journal&amp;genre=journal&amp;req_dat=xri:pqil:pq_clntid=131239&amp;svc_dat=xri:pqil:context=title&amp;rft_dat=xri:pqd:PMID=5486058</t>
  </si>
  <si>
    <t>http://gateway.proquest.com/openurl?url_ver=Z39.88-2004&amp;res_dat=xri:pqm&amp;rft_val_fmt=info:ofi/fmt:kev:mtx:journal&amp;genre=journal&amp;req_dat=xri:pqil:pq_clntid=131239&amp;svc_dat=xri:pqil:context=title&amp;rft_dat=xri:pqd:PMID=5485093</t>
  </si>
  <si>
    <t>http://gateway.proquest.com/openurl?url_ver=Z39.88-2004&amp;res_dat=xri:pqm&amp;rft_val_fmt=info:ofi/fmt:kev:mtx:journal&amp;genre=journal&amp;req_dat=xri:pqil:pq_clntid=131239&amp;svc_dat=xri:pqil:context=title&amp;rft_dat=xri:pqd:PMID=44709</t>
  </si>
  <si>
    <t>http://gateway.proquest.com/openurl?url_ver=Z39.88-2004&amp;res_dat=xri:pqm&amp;rft_val_fmt=info:ofi/fmt:kev:mtx:journal&amp;genre=journal&amp;req_dat=xri:pqil:pq_clntid=131239&amp;svc_dat=xri:pqil:context=title&amp;rft_dat=xri:pqd:PMID=5256698</t>
  </si>
  <si>
    <t>http://gateway.proquest.com/openurl?url_ver=Z39.88-2004&amp;res_dat=xri:pqm&amp;rft_val_fmt=info:ofi/fmt:kev:mtx:journal&amp;genre=journal&amp;req_dat=xri:pqil:pq_clntid=131239&amp;svc_dat=xri:pqil:context=title&amp;rft_dat=xri:pqd:PMID=33253</t>
  </si>
  <si>
    <t>http://gateway.proquest.com/openurl?url_ver=Z39.88-2004&amp;res_dat=xri:pqm&amp;rft_val_fmt=info:ofi/fmt:kev:mtx:journal&amp;genre=journal&amp;req_dat=xri:pqil:pq_clntid=131239&amp;svc_dat=xri:pqil:context=title&amp;rft_dat=xri:pqd:PMID=5256697</t>
  </si>
  <si>
    <t>http://gateway.proquest.com/openurl?url_ver=Z39.88-2004&amp;res_dat=xri:pqm&amp;rft_val_fmt=info:ofi/fmt:kev:mtx:journal&amp;genre=journal&amp;req_dat=xri:pqil:pq_clntid=131239&amp;svc_dat=xri:pqil:context=title&amp;rft_dat=xri:pqd:PMID=37125</t>
  </si>
  <si>
    <t>http://gateway.proquest.com/openurl?url_ver=Z39.88-2004&amp;res_dat=xri:pqm&amp;rft_val_fmt=info:ofi/fmt:kev:mtx:journal&amp;genre=journal&amp;req_dat=xri:pqil:pq_clntid=131239&amp;svc_dat=xri:pqil:context=title&amp;rft_dat=xri:pqd:PMID=6438233</t>
  </si>
  <si>
    <t>http://gateway.proquest.com/openurl?url_ver=Z39.88-2004&amp;res_dat=xri:pqm&amp;rft_val_fmt=info:ofi/fmt:kev:mtx:journal&amp;genre=journal&amp;req_dat=xri:pqil:pq_clntid=131239&amp;svc_dat=xri:pqil:context=title&amp;rft_dat=xri:pqd:PMID=5256666</t>
  </si>
  <si>
    <t>http://gateway.proquest.com/openurl?url_ver=Z39.88-2004&amp;res_dat=xri:pqm&amp;rft_val_fmt=info:ofi/fmt:kev:mtx:journal&amp;genre=journal&amp;req_dat=xri:pqil:pq_clntid=131239&amp;svc_dat=xri:pqil:context=title&amp;rft_dat=xri:pqd:PMID=6394499</t>
  </si>
  <si>
    <t>http://gateway.proquest.com/openurl?url_ver=Z39.88-2004&amp;res_dat=xri:pqm&amp;rft_val_fmt=info:ofi/fmt:kev:mtx:journal&amp;genre=journal&amp;req_dat=xri:pqil:pq_clntid=131239&amp;svc_dat=xri:pqil:context=title&amp;rft_dat=xri:pqd:PMID=6394500</t>
  </si>
  <si>
    <t>Topic Pages</t>
  </si>
  <si>
    <t>http://gateway.proquest.com/openurl?url_ver=Z39.88-2004&amp;res_dat=xri:pqm&amp;rft_val_fmt=info:ofi/fmt:kev:mtx:journal&amp;genre=journal&amp;req_dat=xri:pqil:pq_clntid=131239&amp;svc_dat=xri:pqil:context=title&amp;rft_dat=xri:pqd:PMID=5229088</t>
  </si>
  <si>
    <t>http://gateway.proquest.com/openurl?url_ver=Z39.88-2004&amp;res_dat=xri:pqm&amp;rft_val_fmt=info:ofi/fmt:kev:mtx:journal&amp;genre=journal&amp;req_dat=xri:pqil:pq_clntid=131239&amp;svc_dat=xri:pqil:context=title&amp;rft_dat=xri:pqd:PMID=5508140</t>
  </si>
  <si>
    <t>http://gateway.proquest.com/openurl?url_ver=Z39.88-2004&amp;res_dat=xri:pqm&amp;rft_val_fmt=info:ofi/fmt:kev:mtx:journal&amp;genre=journal&amp;req_dat=xri:pqil:pq_clntid=131239&amp;svc_dat=xri:pqil:context=title&amp;rft_dat=xri:pqd:PMID=5508141</t>
  </si>
  <si>
    <t>http://gateway.proquest.com/openurl?url_ver=Z39.88-2004&amp;res_dat=xri:pqm&amp;rft_val_fmt=info:ofi/fmt:kev:mtx:journal&amp;genre=journal&amp;req_dat=xri:pqil:pq_clntid=131239&amp;svc_dat=xri:pqil:context=title&amp;rft_dat=xri:pqd:PMID=5508142</t>
  </si>
  <si>
    <t>http://gateway.proquest.com/openurl?url_ver=Z39.88-2004&amp;res_dat=xri:pqm&amp;rft_val_fmt=info:ofi/fmt:kev:mtx:journal&amp;genre=journal&amp;req_dat=xri:pqil:pq_clntid=131239&amp;svc_dat=xri:pqil:context=title&amp;rft_dat=xri:pqd:PMID=5508139</t>
  </si>
  <si>
    <t>http://gateway.proquest.com/openurl?url_ver=Z39.88-2004&amp;res_dat=xri:pqm&amp;rft_val_fmt=info:ofi/fmt:kev:mtx:journal&amp;genre=journal&amp;req_dat=xri:pqil:pq_clntid=131239&amp;svc_dat=xri:pqil:context=title&amp;rft_dat=xri:pqd:PMID=6270739</t>
  </si>
  <si>
    <t>http://gateway.proquest.com/openurl?url_ver=Z39.88-2004&amp;res_dat=xri:pqm&amp;rft_val_fmt=info:ofi/fmt:kev:mtx:journal&amp;genre=journal&amp;req_dat=xri:pqil:pq_clntid=131239&amp;svc_dat=xri:pqil:context=title&amp;rft_dat=xri:pqd:PMID=5508138</t>
  </si>
  <si>
    <t>http://gateway.proquest.com/openurl?url_ver=Z39.88-2004&amp;res_dat=xri:pqm&amp;rft_val_fmt=info:ofi/fmt:kev:mtx:journal&amp;genre=journal&amp;req_dat=xri:pqil:pq_clntid=131239&amp;svc_dat=xri:pqil:context=title&amp;rft_dat=xri:pqd:PMID=47901</t>
  </si>
  <si>
    <t>Greensboro</t>
  </si>
  <si>
    <t>http://gateway.proquest.com/openurl?url_ver=Z39.88-2004&amp;res_dat=xri:pqm&amp;rft_val_fmt=info:ofi/fmt:kev:mtx:journal&amp;genre=journal&amp;req_dat=xri:pqil:pq_clntid=131239&amp;svc_dat=xri:pqil:context=title&amp;rft_dat=xri:pqd:PMID=2029674</t>
  </si>
  <si>
    <t>http://gateway.proquest.com/openurl?url_ver=Z39.88-2004&amp;res_dat=xri:pqm&amp;rft_val_fmt=info:ofi/fmt:kev:mtx:journal&amp;genre=journal&amp;req_dat=xri:pqil:pq_clntid=131239&amp;svc_dat=xri:pqil:context=title&amp;rft_dat=xri:pqd:PMID=2270</t>
  </si>
  <si>
    <t>http://gateway.proquest.com/openurl?url_ver=Z39.88-2004&amp;res_dat=xri:pqm&amp;rft_val_fmt=info:ofi/fmt:kev:mtx:journal&amp;genre=journal&amp;req_dat=xri:pqil:pq_clntid=131239&amp;svc_dat=xri:pqil:context=title&amp;rft_dat=xri:pqd:PMID=11185</t>
  </si>
  <si>
    <t>Professor Child</t>
  </si>
  <si>
    <t>Ambler</t>
  </si>
  <si>
    <t>http://gateway.proquest.com/openurl?url_ver=Z39.88-2004&amp;res_dat=xri:pqm&amp;rft_val_fmt=info:ofi/fmt:kev:mtx:journal&amp;genre=journal&amp;req_dat=xri:pqil:pq_clntid=131239&amp;svc_dat=xri:pqil:context=title&amp;rft_dat=xri:pqd:PMID=6364612</t>
  </si>
  <si>
    <t>http://gateway.proquest.com/openurl?url_ver=Z39.88-2004&amp;res_dat=xri:pqm&amp;rft_val_fmt=info:ofi/fmt:kev:mtx:journal&amp;genre=journal&amp;req_dat=xri:pqil:pq_clntid=131239&amp;svc_dat=xri:pqil:context=title&amp;rft_dat=xri:pqd:PMID=38447</t>
  </si>
  <si>
    <t>http://gateway.proquest.com/openurl?url_ver=Z39.88-2004&amp;res_dat=xri:pqm&amp;rft_val_fmt=info:ofi/fmt:kev:mtx:journal&amp;genre=journal&amp;req_dat=xri:pqil:pq_clntid=131239&amp;svc_dat=xri:pqil:context=title&amp;rft_dat=xri:pqd:PMID=1016446</t>
  </si>
  <si>
    <t>http://gateway.proquest.com/openurl?url_ver=Z39.88-2004&amp;res_dat=xri:pqm&amp;rft_val_fmt=info:ofi/fmt:kev:mtx:journal&amp;genre=journal&amp;req_dat=xri:pqil:pq_clntid=131239&amp;svc_dat=xri:pqil:context=title&amp;rft_dat=xri:pqd:PMID=39248</t>
  </si>
  <si>
    <t>http://gateway.proquest.com/openurl?url_ver=Z39.88-2004&amp;res_dat=xri:pqm&amp;rft_val_fmt=info:ofi/fmt:kev:mtx:journal&amp;genre=journal&amp;req_dat=xri:pqil:pq_clntid=131239&amp;svc_dat=xri:pqil:context=title&amp;rft_dat=xri:pqd:PMID=29583</t>
  </si>
  <si>
    <t>Bend</t>
  </si>
  <si>
    <t>http://gateway.proquest.com/openurl?url_ver=Z39.88-2004&amp;res_dat=xri:pqm&amp;rft_val_fmt=info:ofi/fmt:kev:mtx:journal&amp;genre=journal&amp;req_dat=xri:pqil:pq_clntid=131239&amp;svc_dat=xri:pqil:context=title&amp;rft_dat=xri:pqd:PMID=6364611</t>
  </si>
  <si>
    <t>http://gateway.proquest.com/openurl?url_ver=Z39.88-2004&amp;res_dat=xri:pqm&amp;rft_val_fmt=info:ofi/fmt:kev:mtx:journal&amp;genre=journal&amp;req_dat=xri:pqil:pq_clntid=131239&amp;svc_dat=xri:pqil:context=title&amp;rft_dat=xri:pqd:PMID=5485091</t>
  </si>
  <si>
    <t>http://gateway.proquest.com/openurl?url_ver=Z39.88-2004&amp;res_dat=xri:pqm&amp;rft_val_fmt=info:ofi/fmt:kev:mtx:journal&amp;genre=journal&amp;req_dat=xri:pqil:pq_clntid=131239&amp;svc_dat=xri:pqil:context=title&amp;rft_dat=xri:pqd:PMID=5485099</t>
  </si>
  <si>
    <t>http://gateway.proquest.com/openurl?url_ver=Z39.88-2004&amp;res_dat=xri:pqm&amp;rft_val_fmt=info:ofi/fmt:kev:mtx:journal&amp;genre=journal&amp;req_dat=xri:pqil:pq_clntid=131239&amp;svc_dat=xri:pqil:context=title&amp;rft_dat=xri:pqd:PMID=5485101</t>
  </si>
  <si>
    <t>http://gateway.proquest.com/openurl?url_ver=Z39.88-2004&amp;res_dat=xri:pqm&amp;rft_val_fmt=info:ofi/fmt:kev:mtx:journal&amp;genre=journal&amp;req_dat=xri:pqil:pq_clntid=131239&amp;svc_dat=xri:pqil:context=title&amp;rft_dat=xri:pqd:PMID=2044970</t>
  </si>
  <si>
    <t>http://gateway.proquest.com/openurl?url_ver=Z39.88-2004&amp;res_dat=xri:pqm&amp;rft_val_fmt=info:ofi/fmt:kev:mtx:journal&amp;genre=journal&amp;req_dat=xri:pqil:pq_clntid=131239&amp;svc_dat=xri:pqil:context=title&amp;rft_dat=xri:pqd:PMID=1456343</t>
  </si>
  <si>
    <t>http://gateway.proquest.com/openurl?url_ver=Z39.88-2004&amp;res_dat=xri:pqm&amp;rft_val_fmt=info:ofi/fmt:kev:mtx:journal&amp;genre=journal&amp;req_dat=xri:pqil:pq_clntid=131239&amp;svc_dat=xri:pqil:context=title&amp;rft_dat=xri:pqd:PMID=4395892</t>
  </si>
  <si>
    <t>http://gateway.proquest.com/openurl?url_ver=Z39.88-2004&amp;res_dat=xri:pqm&amp;rft_val_fmt=info:ofi/fmt:kev:mtx:journal&amp;genre=journal&amp;req_dat=xri:pqil:pq_clntid=131239&amp;svc_dat=xri:pqil:context=title&amp;rft_dat=xri:pqd:PMID=6059463</t>
  </si>
  <si>
    <t>Psichologija</t>
  </si>
  <si>
    <t>Vilnius</t>
  </si>
  <si>
    <t>1392-0359</t>
  </si>
  <si>
    <t>01-Jan-1967--31-Dec-1967; 01-Jan-1970--31-Dec-1970; 01-Jan-1972--31-Dec-1972; 01-Jan-1974--31-Dec-1975; 01-Jan-1978--31-Dec-1979; 01-Jan-1986--31-Dec-1986; 01-Jan-1992--31-Dec-1992; 01-Jan-1994--31-Dec-1994</t>
  </si>
  <si>
    <t>English|Lithuanian|Russian</t>
  </si>
  <si>
    <t>http://gateway.proquest.com/openurl?url_ver=Z39.88-2004&amp;res_dat=xri:pqm&amp;rft_val_fmt=info:ofi/fmt:kev:mtx:journal&amp;genre=journal&amp;req_dat=xri:pqil:pq_clntid=131239&amp;svc_dat=xri:pqil:context=title&amp;rft_dat=xri:pqd:PMID=6517113</t>
  </si>
  <si>
    <t>Campinas</t>
  </si>
  <si>
    <t>http://gateway.proquest.com/openurl?url_ver=Z39.88-2004&amp;res_dat=xri:pqm&amp;rft_val_fmt=info:ofi/fmt:kev:mtx:journal&amp;genre=journal&amp;req_dat=xri:pqil:pq_clntid=131239&amp;svc_dat=xri:pqil:context=title&amp;rft_dat=xri:pqd:PMID=5452617</t>
  </si>
  <si>
    <t>Bologna</t>
  </si>
  <si>
    <t>http://gateway.proquest.com/openurl?url_ver=Z39.88-2004&amp;res_dat=xri:pqm&amp;rft_val_fmt=info:ofi/fmt:kev:mtx:journal&amp;genre=journal&amp;req_dat=xri:pqil:pq_clntid=131239&amp;svc_dat=xri:pqil:context=title&amp;rft_dat=xri:pqd:PMID=2046170</t>
  </si>
  <si>
    <t>Barranquilla</t>
  </si>
  <si>
    <t>http://gateway.proquest.com/openurl?url_ver=Z39.88-2004&amp;res_dat=xri:pqm&amp;rft_val_fmt=info:ofi/fmt:kev:mtx:journal&amp;genre=journal&amp;req_dat=xri:pqil:pq_clntid=131239&amp;svc_dat=xri:pqil:context=title&amp;rft_dat=xri:pqd:PMID=2042894</t>
  </si>
  <si>
    <t>Brasilia DF</t>
  </si>
  <si>
    <t>http://gateway.proquest.com/openurl?url_ver=Z39.88-2004&amp;res_dat=xri:pqm&amp;rft_val_fmt=info:ofi/fmt:kev:mtx:journal&amp;genre=journal&amp;req_dat=xri:pqil:pq_clntid=131239&amp;svc_dat=xri:pqil:context=title&amp;rft_dat=xri:pqd:PMID=2049640</t>
  </si>
  <si>
    <t>Porto Alegre</t>
  </si>
  <si>
    <t>http://gateway.proquest.com/openurl?url_ver=Z39.88-2004&amp;res_dat=xri:pqm&amp;rft_val_fmt=info:ofi/fmt:kev:mtx:journal&amp;genre=journal&amp;req_dat=xri:pqil:pq_clntid=131239&amp;svc_dat=xri:pqil:context=title&amp;rft_dat=xri:pqd:PMID=2040060</t>
  </si>
  <si>
    <t>Brasilia</t>
  </si>
  <si>
    <t>01-Jan-1984--31-Dec-1999</t>
  </si>
  <si>
    <t>http://gateway.proquest.com/openurl?url_ver=Z39.88-2004&amp;res_dat=xri:pqm&amp;rft_val_fmt=info:ofi/fmt:kev:mtx:journal&amp;genre=journal&amp;req_dat=xri:pqil:pq_clntid=131239&amp;svc_dat=xri:pqil:context=title&amp;rft_dat=xri:pqd:PMID=2047533</t>
  </si>
  <si>
    <t>Sao Paulo</t>
  </si>
  <si>
    <t>http://gateway.proquest.com/openurl?url_ver=Z39.88-2004&amp;res_dat=xri:pqm&amp;rft_val_fmt=info:ofi/fmt:kev:mtx:journal&amp;genre=journal&amp;req_dat=xri:pqil:pq_clntid=131239&amp;svc_dat=xri:pqil:context=title&amp;rft_dat=xri:pqd:PMID=2038578</t>
  </si>
  <si>
    <t>Maringá</t>
  </si>
  <si>
    <t>http://gateway.proquest.com/openurl?url_ver=Z39.88-2004&amp;res_dat=xri:pqm&amp;rft_val_fmt=info:ofi/fmt:kev:mtx:journal&amp;genre=journal&amp;req_dat=xri:pqil:pq_clntid=131239&amp;svc_dat=xri:pqil:context=title&amp;rft_dat=xri:pqd:PMID=6364555</t>
  </si>
  <si>
    <t>http://gateway.proquest.com/openurl?url_ver=Z39.88-2004&amp;res_dat=xri:pqm&amp;rft_val_fmt=info:ofi/fmt:kev:mtx:journal&amp;genre=journal&amp;req_dat=xri:pqil:pq_clntid=131239&amp;svc_dat=xri:pqil:context=title&amp;rft_dat=xri:pqd:PMID=2045970</t>
  </si>
  <si>
    <t>http://gateway.proquest.com/openurl?url_ver=Z39.88-2004&amp;res_dat=xri:pqm&amp;rft_val_fmt=info:ofi/fmt:kev:mtx:journal&amp;genre=journal&amp;req_dat=xri:pqil:pq_clntid=131239&amp;svc_dat=xri:pqil:context=title&amp;rft_dat=xri:pqd:PMID=2027439</t>
  </si>
  <si>
    <t>http://gateway.proquest.com/openurl?url_ver=Z39.88-2004&amp;res_dat=xri:pqm&amp;rft_val_fmt=info:ofi/fmt:kev:mtx:journal&amp;genre=journal&amp;req_dat=xri:pqil:pq_clntid=131239&amp;svc_dat=xri:pqil:context=title&amp;rft_dat=xri:pqd:PMID=2035993</t>
  </si>
  <si>
    <t>http://gateway.proquest.com/openurl?url_ver=Z39.88-2004&amp;res_dat=xri:pqm&amp;rft_val_fmt=info:ofi/fmt:kev:mtx:journal&amp;genre=journal&amp;req_dat=xri:pqil:pq_clntid=131239&amp;svc_dat=xri:pqil:context=title&amp;rft_dat=xri:pqd:PMID=4852147</t>
  </si>
  <si>
    <t>http://gateway.proquest.com/openurl?url_ver=Z39.88-2004&amp;res_dat=xri:pqm&amp;rft_val_fmt=info:ofi/fmt:kev:mtx:journal&amp;genre=journal&amp;req_dat=xri:pqil:pq_clntid=131239&amp;svc_dat=xri:pqil:context=title&amp;rft_dat=xri:pqd:PMID=54850</t>
  </si>
  <si>
    <t>Valparaiso</t>
  </si>
  <si>
    <t>http://gateway.proquest.com/openurl?url_ver=Z39.88-2004&amp;res_dat=xri:pqm&amp;rft_val_fmt=info:ofi/fmt:kev:mtx:journal&amp;genre=journal&amp;req_dat=xri:pqil:pq_clntid=131239&amp;svc_dat=xri:pqil:context=title&amp;rft_dat=xri:pqd:PMID=105527</t>
  </si>
  <si>
    <t>Psicothema</t>
  </si>
  <si>
    <t>Oviedo</t>
  </si>
  <si>
    <t>0214-9915</t>
  </si>
  <si>
    <t>1886-144X</t>
  </si>
  <si>
    <t>http://gateway.proquest.com/openurl?url_ver=Z39.88-2004&amp;res_dat=xri:pqm&amp;rft_val_fmt=info:ofi/fmt:kev:mtx:journal&amp;genre=journal&amp;req_dat=xri:pqil:pq_clntid=131239&amp;svc_dat=xri:pqil:context=title&amp;rft_dat=xri:pqd:PMID=6385226</t>
  </si>
  <si>
    <t>http://gateway.proquest.com/openurl?url_ver=Z39.88-2004&amp;res_dat=xri:pqm&amp;rft_val_fmt=info:ofi/fmt:kev:mtx:journal&amp;genre=journal&amp;req_dat=xri:pqil:pq_clntid=131239&amp;svc_dat=xri:pqil:context=title&amp;rft_dat=xri:pqd:PMID=2042243</t>
  </si>
  <si>
    <t>http://gateway.proquest.com/openurl?url_ver=Z39.88-2004&amp;res_dat=xri:pqm&amp;rft_val_fmt=info:ofi/fmt:kev:mtx:journal&amp;genre=journal&amp;req_dat=xri:pqil:pq_clntid=131239&amp;svc_dat=xri:pqil:context=title&amp;rft_dat=xri:pqd:PMID=1996356</t>
  </si>
  <si>
    <t>Adana</t>
  </si>
  <si>
    <t>http://gateway.proquest.com/openurl?url_ver=Z39.88-2004&amp;res_dat=xri:pqm&amp;rft_val_fmt=info:ofi/fmt:kev:mtx:journal&amp;genre=journal&amp;req_dat=xri:pqil:pq_clntid=131239&amp;svc_dat=xri:pqil:context=title&amp;rft_dat=xri:pqd:PMID=166138</t>
  </si>
  <si>
    <t>Beijing</t>
  </si>
  <si>
    <t>http://gateway.proquest.com/openurl?url_ver=Z39.88-2004&amp;res_dat=xri:pqm&amp;rft_val_fmt=info:ofi/fmt:kev:mtx:journal&amp;genre=journal&amp;req_dat=xri:pqil:pq_clntid=131239&amp;svc_dat=xri:pqil:context=title&amp;rft_dat=xri:pqd:PMID=2032542</t>
  </si>
  <si>
    <t>http://gateway.proquest.com/openurl?url_ver=Z39.88-2004&amp;res_dat=xri:pqm&amp;rft_val_fmt=info:ofi/fmt:kev:mtx:journal&amp;genre=journal&amp;req_dat=xri:pqil:pq_clntid=131239&amp;svc_dat=xri:pqil:context=title&amp;rft_dat=xri:pqd:PMID=5046868</t>
  </si>
  <si>
    <t>01-Jan-1994--31-Dec-2004; 01-Jun-2005--30-Apr-2010</t>
  </si>
  <si>
    <t>http://gateway.proquest.com/openurl?url_ver=Z39.88-2004&amp;res_dat=xri:pqm&amp;rft_val_fmt=info:ofi/fmt:kev:mtx:journal&amp;genre=journal&amp;req_dat=xri:pqil:pq_clntid=131239&amp;svc_dat=xri:pqil:context=title&amp;rft_dat=xri:pqd:PMID=34519</t>
  </si>
  <si>
    <t>http://gateway.proquest.com/openurl?url_ver=Z39.88-2004&amp;res_dat=xri:pqm&amp;rft_val_fmt=info:ofi/fmt:kev:mtx:journal&amp;genre=journal&amp;req_dat=xri:pqil:pq_clntid=131239&amp;svc_dat=xri:pqil:context=title&amp;rft_dat=xri:pqd:PMID=2032911</t>
  </si>
  <si>
    <t>http://gateway.proquest.com/openurl?url_ver=Z39.88-2004&amp;res_dat=xri:pqm&amp;rft_val_fmt=info:ofi/fmt:kev:mtx:journal&amp;genre=journal&amp;req_dat=xri:pqil:pq_clntid=131239&amp;svc_dat=xri:pqil:context=title&amp;rft_dat=xri:pqd:PMID=216157</t>
  </si>
  <si>
    <t>http://gateway.proquest.com/openurl?url_ver=Z39.88-2004&amp;res_dat=xri:pqm&amp;rft_val_fmt=info:ofi/fmt:kev:mtx:journal&amp;genre=journal&amp;req_dat=xri:pqil:pq_clntid=131239&amp;svc_dat=xri:pqil:context=title&amp;rft_dat=xri:pqd:PMID=40774</t>
  </si>
  <si>
    <t>http://gateway.proquest.com/openurl?url_ver=Z39.88-2004&amp;res_dat=xri:pqm&amp;rft_val_fmt=info:ofi/fmt:kev:mtx:journal&amp;genre=journal&amp;req_dat=xri:pqil:pq_clntid=131239&amp;svc_dat=xri:pqil:context=title&amp;rft_dat=xri:pqd:PMID=31914</t>
  </si>
  <si>
    <t>http://gateway.proquest.com/openurl?url_ver=Z39.88-2004&amp;res_dat=xri:pqm&amp;rft_val_fmt=info:ofi/fmt:kev:mtx:journal&amp;genre=journal&amp;req_dat=xri:pqil:pq_clntid=131239&amp;svc_dat=xri:pqil:context=title&amp;rft_dat=xri:pqd:PMID=41485</t>
  </si>
  <si>
    <t>Monmouth Junction</t>
  </si>
  <si>
    <t>01-Apr-2006--31-Dec-2007</t>
  </si>
  <si>
    <t>http://gateway.proquest.com/openurl?url_ver=Z39.88-2004&amp;res_dat=xri:pqm&amp;rft_val_fmt=info:ofi/fmt:kev:mtx:journal&amp;genre=journal&amp;req_dat=xri:pqil:pq_clntid=131239&amp;svc_dat=xri:pqil:context=title&amp;rft_dat=xri:pqd:PMID=46535</t>
  </si>
  <si>
    <t>http://gateway.proquest.com/openurl?url_ver=Z39.88-2004&amp;res_dat=xri:pqm&amp;rft_val_fmt=info:ofi/fmt:kev:mtx:journal&amp;genre=journal&amp;req_dat=xri:pqil:pq_clntid=131239&amp;svc_dat=xri:pqil:context=title&amp;rft_dat=xri:pqd:PMID=40665</t>
  </si>
  <si>
    <t>http://gateway.proquest.com/openurl?url_ver=Z39.88-2004&amp;res_dat=xri:pqm&amp;rft_val_fmt=info:ofi/fmt:kev:mtx:journal&amp;genre=journal&amp;req_dat=xri:pqil:pq_clntid=131239&amp;svc_dat=xri:pqil:context=title&amp;rft_dat=xri:pqd:PMID=5046867</t>
  </si>
  <si>
    <t>http://gateway.proquest.com/openurl?url_ver=Z39.88-2004&amp;res_dat=xri:pqm&amp;rft_val_fmt=info:ofi/fmt:kev:mtx:journal&amp;genre=journal&amp;req_dat=xri:pqil:pq_clntid=131239&amp;svc_dat=xri:pqil:context=title&amp;rft_dat=xri:pqd:PMID=2026636</t>
  </si>
  <si>
    <t>http://gateway.proquest.com/openurl?url_ver=Z39.88-2004&amp;res_dat=xri:pqm&amp;rft_val_fmt=info:ofi/fmt:kev:mtx:journal&amp;genre=journal&amp;req_dat=xri:pqil:pq_clntid=131239&amp;svc_dat=xri:pqil:context=title&amp;rft_dat=xri:pqd:PMID=1106347</t>
  </si>
  <si>
    <t>http://gateway.proquest.com/openurl?url_ver=Z39.88-2004&amp;res_dat=xri:pqm&amp;rft_val_fmt=info:ofi/fmt:kev:mtx:journal&amp;genre=journal&amp;req_dat=xri:pqil:pq_clntid=131239&amp;svc_dat=xri:pqil:context=title&amp;rft_dat=xri:pqd:PMID=28708</t>
  </si>
  <si>
    <t>http://gateway.proquest.com/openurl?url_ver=Z39.88-2004&amp;res_dat=xri:pqm&amp;rft_val_fmt=info:ofi/fmt:kev:mtx:journal&amp;genre=journal&amp;req_dat=xri:pqil:pq_clntid=131239&amp;svc_dat=xri:pqil:context=title&amp;rft_dat=xri:pqd:PMID=2033000</t>
  </si>
  <si>
    <t>http://gateway.proquest.com/openurl?url_ver=Z39.88-2004&amp;res_dat=xri:pqm&amp;rft_val_fmt=info:ofi/fmt:kev:mtx:journal&amp;genre=journal&amp;req_dat=xri:pqil:pq_clntid=131239&amp;svc_dat=xri:pqil:context=title&amp;rft_dat=xri:pqd:PMID=31336</t>
  </si>
  <si>
    <t>Tech Science Press</t>
  </si>
  <si>
    <t>Henderson</t>
  </si>
  <si>
    <t>http://gateway.proquest.com/openurl?url_ver=Z39.88-2004&amp;res_dat=xri:pqm&amp;rft_val_fmt=info:ofi/fmt:kev:mtx:journal&amp;genre=journal&amp;req_dat=xri:pqil:pq_clntid=131239&amp;svc_dat=xri:pqil:context=title&amp;rft_dat=xri:pqd:PMID=2069450</t>
  </si>
  <si>
    <t>http://gateway.proquest.com/openurl?url_ver=Z39.88-2004&amp;res_dat=xri:pqm&amp;rft_val_fmt=info:ofi/fmt:kev:mtx:journal&amp;genre=journal&amp;req_dat=xri:pqil:pq_clntid=131239&amp;svc_dat=xri:pqil:context=title&amp;rft_dat=xri:pqd:PMID=2032988</t>
  </si>
  <si>
    <t>http://gateway.proquest.com/openurl?url_ver=Z39.88-2004&amp;res_dat=xri:pqm&amp;rft_val_fmt=info:ofi/fmt:kev:mtx:journal&amp;genre=journal&amp;req_dat=xri:pqil:pq_clntid=131239&amp;svc_dat=xri:pqil:context=title&amp;rft_dat=xri:pqd:PMID=29071</t>
  </si>
  <si>
    <t>http://gateway.proquest.com/openurl?url_ver=Z39.88-2004&amp;res_dat=xri:pqm&amp;rft_val_fmt=info:ofi/fmt:kev:mtx:journal&amp;genre=journal&amp;req_dat=xri:pqil:pq_clntid=131239&amp;svc_dat=xri:pqil:context=title&amp;rft_dat=xri:pqd:PMID=186339</t>
  </si>
  <si>
    <t>http://gateway.proquest.com/openurl?url_ver=Z39.88-2004&amp;res_dat=xri:pqm&amp;rft_val_fmt=info:ofi/fmt:kev:mtx:journal&amp;genre=journal&amp;req_dat=xri:pqil:pq_clntid=131239&amp;svc_dat=xri:pqil:context=title&amp;rft_dat=xri:pqd:PMID=46561</t>
  </si>
  <si>
    <t>http://gateway.proquest.com/openurl?url_ver=Z39.88-2004&amp;res_dat=xri:pqm&amp;rft_val_fmt=info:ofi/fmt:kev:mtx:journal&amp;genre=journal&amp;req_dat=xri:pqil:pq_clntid=131239&amp;svc_dat=xri:pqil:context=title&amp;rft_dat=xri:pqd:PMID=36979</t>
  </si>
  <si>
    <t>Cape Town</t>
  </si>
  <si>
    <t>http://gateway.proquest.com/openurl?url_ver=Z39.88-2004&amp;res_dat=xri:pqm&amp;rft_val_fmt=info:ofi/fmt:kev:mtx:journal&amp;genre=journal&amp;req_dat=xri:pqil:pq_clntid=131239&amp;svc_dat=xri:pqil:context=title&amp;rft_dat=xri:pqd:PMID=54610</t>
  </si>
  <si>
    <t>http://gateway.proquest.com/openurl?url_ver=Z39.88-2004&amp;res_dat=xri:pqm&amp;rft_val_fmt=info:ofi/fmt:kev:mtx:journal&amp;genre=journal&amp;req_dat=xri:pqil:pq_clntid=131239&amp;svc_dat=xri:pqil:context=title&amp;rft_dat=xri:pqd:PMID=436419</t>
  </si>
  <si>
    <t>http://gateway.proquest.com/openurl?url_ver=Z39.88-2004&amp;res_dat=xri:pqm&amp;rft_val_fmt=info:ofi/fmt:kev:mtx:journal&amp;genre=journal&amp;req_dat=xri:pqil:pq_clntid=131239&amp;svc_dat=xri:pqil:context=title&amp;rft_dat=xri:pqd:PMID=6275755</t>
  </si>
  <si>
    <t>http://gateway.proquest.com/openurl?url_ver=Z39.88-2004&amp;res_dat=xri:pqm&amp;rft_val_fmt=info:ofi/fmt:kev:mtx:journal&amp;genre=journal&amp;req_dat=xri:pqil:pq_clntid=131239&amp;svc_dat=xri:pqil:context=title&amp;rft_dat=xri:pqd:PMID=6275754</t>
  </si>
  <si>
    <t>http://gateway.proquest.com/openurl?url_ver=Z39.88-2004&amp;res_dat=xri:pqm&amp;rft_val_fmt=info:ofi/fmt:kev:mtx:journal&amp;genre=journal&amp;req_dat=xri:pqil:pq_clntid=131239&amp;svc_dat=xri:pqil:context=title&amp;rft_dat=xri:pqd:PMID=6275753</t>
  </si>
  <si>
    <t>http://gateway.proquest.com/openurl?url_ver=Z39.88-2004&amp;res_dat=xri:pqm&amp;rft_val_fmt=info:ofi/fmt:kev:mtx:journal&amp;genre=journal&amp;req_dat=xri:pqil:pq_clntid=131239&amp;svc_dat=xri:pqil:context=title&amp;rft_dat=xri:pqd:PMID=2034409</t>
  </si>
  <si>
    <t>http://gateway.proquest.com/openurl?url_ver=Z39.88-2004&amp;res_dat=xri:pqm&amp;rft_val_fmt=info:ofi/fmt:kev:mtx:journal&amp;genre=journal&amp;req_dat=xri:pqil:pq_clntid=131239&amp;svc_dat=xri:pqil:context=title&amp;rft_dat=xri:pqd:PMID=533</t>
  </si>
  <si>
    <t>http://gateway.proquest.com/openurl?url_ver=Z39.88-2004&amp;res_dat=xri:pqm&amp;rft_val_fmt=info:ofi/fmt:kev:mtx:journal&amp;genre=journal&amp;req_dat=xri:pqil:pq_clntid=131239&amp;svc_dat=xri:pqil:context=title&amp;rft_dat=xri:pqd:PMID=2040028</t>
  </si>
  <si>
    <t>New Haven</t>
  </si>
  <si>
    <t>http://gateway.proquest.com/openurl?url_ver=Z39.88-2004&amp;res_dat=xri:pqm&amp;rft_val_fmt=info:ofi/fmt:kev:mtx:journal&amp;genre=journal&amp;req_dat=xri:pqil:pq_clntid=131239&amp;svc_dat=xri:pqil:context=title&amp;rft_dat=xri:pqd:PMID=31426</t>
  </si>
  <si>
    <t>http://gateway.proquest.com/openurl?url_ver=Z39.88-2004&amp;res_dat=xri:pqm&amp;rft_val_fmt=info:ofi/fmt:kev:mtx:journal&amp;genre=journal&amp;req_dat=xri:pqil:pq_clntid=131239&amp;svc_dat=xri:pqil:context=title&amp;rft_dat=xri:pqd:PMID=105387</t>
  </si>
  <si>
    <t>http://gateway.proquest.com/openurl?url_ver=Z39.88-2004&amp;res_dat=xri:pqm&amp;rft_val_fmt=info:ofi/fmt:kev:mtx:journal&amp;genre=journal&amp;req_dat=xri:pqil:pq_clntid=131239&amp;svc_dat=xri:pqil:context=title&amp;rft_dat=xri:pqd:PMID=2032998</t>
  </si>
  <si>
    <t>Bloomfield</t>
  </si>
  <si>
    <t>01-Jan-1998--31-Dec-2001</t>
  </si>
  <si>
    <t>http://gateway.proquest.com/openurl?url_ver=Z39.88-2004&amp;res_dat=xri:pqm&amp;rft_val_fmt=info:ofi/fmt:kev:mtx:journal&amp;genre=journal&amp;req_dat=xri:pqil:pq_clntid=131239&amp;svc_dat=xri:pqil:context=title&amp;rft_dat=xri:pqd:PMID=27772</t>
  </si>
  <si>
    <t>http://gateway.proquest.com/openurl?url_ver=Z39.88-2004&amp;res_dat=xri:pqm&amp;rft_val_fmt=info:ofi/fmt:kev:mtx:journal&amp;genre=journal&amp;req_dat=xri:pqil:pq_clntid=131239&amp;svc_dat=xri:pqil:context=title&amp;rft_dat=xri:pqd:PMID=6275752</t>
  </si>
  <si>
    <t>http://gateway.proquest.com/openurl?url_ver=Z39.88-2004&amp;res_dat=xri:pqm&amp;rft_val_fmt=info:ofi/fmt:kev:mtx:journal&amp;genre=journal&amp;req_dat=xri:pqil:pq_clntid=131239&amp;svc_dat=xri:pqil:context=title&amp;rft_dat=xri:pqd:PMID=29296</t>
  </si>
  <si>
    <t>http://gateway.proquest.com/openurl?url_ver=Z39.88-2004&amp;res_dat=xri:pqm&amp;rft_val_fmt=info:ofi/fmt:kev:mtx:journal&amp;genre=journal&amp;req_dat=xri:pqil:pq_clntid=131239&amp;svc_dat=xri:pqil:context=title&amp;rft_dat=xri:pqd:PMID=48297</t>
  </si>
  <si>
    <t>http://gateway.proquest.com/openurl?url_ver=Z39.88-2004&amp;res_dat=xri:pqm&amp;rft_val_fmt=info:ofi/fmt:kev:mtx:journal&amp;genre=journal&amp;req_dat=xri:pqil:pq_clntid=131239&amp;svc_dat=xri:pqil:context=title&amp;rft_dat=xri:pqd:PMID=2042729</t>
  </si>
  <si>
    <t>http://gateway.proquest.com/openurl?url_ver=Z39.88-2004&amp;res_dat=xri:pqm&amp;rft_val_fmt=info:ofi/fmt:kev:mtx:journal&amp;genre=journal&amp;req_dat=xri:pqil:pq_clntid=131239&amp;svc_dat=xri:pqil:context=title&amp;rft_dat=xri:pqd:PMID=1356362</t>
  </si>
  <si>
    <t>http://gateway.proquest.com/openurl?url_ver=Z39.88-2004&amp;res_dat=xri:pqm&amp;rft_val_fmt=info:ofi/fmt:kev:mtx:journal&amp;genre=journal&amp;req_dat=xri:pqil:pq_clntid=131239&amp;svc_dat=xri:pqil:context=title&amp;rft_dat=xri:pqd:PMID=34330</t>
  </si>
  <si>
    <t>http://gateway.proquest.com/openurl?url_ver=Z39.88-2004&amp;res_dat=xri:pqm&amp;rft_val_fmt=info:ofi/fmt:kev:mtx:journal&amp;genre=journal&amp;req_dat=xri:pqil:pq_clntid=131239&amp;svc_dat=xri:pqil:context=title&amp;rft_dat=xri:pqd:PMID=41311</t>
  </si>
  <si>
    <t>http://gateway.proquest.com/openurl?url_ver=Z39.88-2004&amp;res_dat=xri:pqm&amp;rft_val_fmt=info:ofi/fmt:kev:mtx:journal&amp;genre=journal&amp;req_dat=xri:pqil:pq_clntid=131239&amp;svc_dat=xri:pqil:context=title&amp;rft_dat=xri:pqd:PMID=46560</t>
  </si>
  <si>
    <t>http://gateway.proquest.com/openurl?url_ver=Z39.88-2004&amp;res_dat=xri:pqm&amp;rft_val_fmt=info:ofi/fmt:kev:mtx:journal&amp;genre=journal&amp;req_dat=xri:pqil:pq_clntid=131239&amp;svc_dat=xri:pqil:context=title&amp;rft_dat=xri:pqd:PMID=35753</t>
  </si>
  <si>
    <t>http://gateway.proquest.com/openurl?url_ver=Z39.88-2004&amp;res_dat=xri:pqm&amp;rft_val_fmt=info:ofi/fmt:kev:mtx:journal&amp;genre=journal&amp;req_dat=xri:pqil:pq_clntid=131239&amp;svc_dat=xri:pqil:context=title&amp;rft_dat=xri:pqd:PMID=196139</t>
  </si>
  <si>
    <t>http://gateway.proquest.com/openurl?url_ver=Z39.88-2004&amp;res_dat=xri:pqm&amp;rft_val_fmt=info:ofi/fmt:kev:mtx:journal&amp;genre=journal&amp;req_dat=xri:pqil:pq_clntid=131239&amp;svc_dat=xri:pqil:context=title&amp;rft_dat=xri:pqd:PMID=41800</t>
  </si>
  <si>
    <t>01-Jan-1992--31-Dec-1993</t>
  </si>
  <si>
    <t>http://gateway.proquest.com/openurl?url_ver=Z39.88-2004&amp;res_dat=xri:pqm&amp;rft_val_fmt=info:ofi/fmt:kev:mtx:journal&amp;genre=journal&amp;req_dat=xri:pqil:pq_clntid=131239&amp;svc_dat=xri:pqil:context=title&amp;rft_dat=xri:pqd:PMID=29961</t>
  </si>
  <si>
    <t>http://gateway.proquest.com/openurl?url_ver=Z39.88-2004&amp;res_dat=xri:pqm&amp;rft_val_fmt=info:ofi/fmt:kev:mtx:journal&amp;genre=journal&amp;req_dat=xri:pqil:pq_clntid=131239&amp;svc_dat=xri:pqil:context=title&amp;rft_dat=xri:pqd:PMID=49159</t>
  </si>
  <si>
    <t>http://gateway.proquest.com/openurl?url_ver=Z39.88-2004&amp;res_dat=xri:pqm&amp;rft_val_fmt=info:ofi/fmt:kev:mtx:journal&amp;genre=journal&amp;req_dat=xri:pqil:pq_clntid=131239&amp;svc_dat=xri:pqil:context=title&amp;rft_dat=xri:pqd:PMID=41291</t>
  </si>
  <si>
    <t>http://gateway.proquest.com/openurl?url_ver=Z39.88-2004&amp;res_dat=xri:pqm&amp;rft_val_fmt=info:ofi/fmt:kev:mtx:journal&amp;genre=journal&amp;req_dat=xri:pqil:pq_clntid=131239&amp;svc_dat=xri:pqil:context=title&amp;rft_dat=xri:pqd:PMID=4004</t>
  </si>
  <si>
    <t>http://gateway.proquest.com/openurl?url_ver=Z39.88-2004&amp;res_dat=xri:pqm&amp;rft_val_fmt=info:ofi/fmt:kev:mtx:journal&amp;genre=journal&amp;req_dat=xri:pqil:pq_clntid=131239&amp;svc_dat=xri:pqil:context=title&amp;rft_dat=xri:pqd:PMID=28559</t>
  </si>
  <si>
    <t>http://gateway.proquest.com/openurl?url_ver=Z39.88-2004&amp;res_dat=xri:pqm&amp;rft_val_fmt=info:ofi/fmt:kev:mtx:journal&amp;genre=journal&amp;req_dat=xri:pqil:pq_clntid=131239&amp;svc_dat=xri:pqil:context=title&amp;rft_dat=xri:pqd:PMID=2032994</t>
  </si>
  <si>
    <t>Psychological Studies</t>
  </si>
  <si>
    <t>0033-2968</t>
  </si>
  <si>
    <t>0974-9861</t>
  </si>
  <si>
    <t>http://gateway.proquest.com/openurl?url_ver=Z39.88-2004&amp;res_dat=xri:pqm&amp;rft_val_fmt=info:ofi/fmt:kev:mtx:journal&amp;genre=journal&amp;req_dat=xri:pqil:pq_clntid=131239&amp;svc_dat=xri:pqil:context=title&amp;rft_dat=xri:pqd:PMID=6420647</t>
  </si>
  <si>
    <t>Lengerich</t>
  </si>
  <si>
    <t>http://gateway.proquest.com/openurl?url_ver=Z39.88-2004&amp;res_dat=xri:pqm&amp;rft_val_fmt=info:ofi/fmt:kev:mtx:journal&amp;genre=journal&amp;req_dat=xri:pqil:pq_clntid=131239&amp;svc_dat=xri:pqil:context=title&amp;rft_dat=xri:pqd:PMID=43472</t>
  </si>
  <si>
    <t>Blagoevgrad</t>
  </si>
  <si>
    <t>http://gateway.proquest.com/openurl?url_ver=Z39.88-2004&amp;res_dat=xri:pqm&amp;rft_val_fmt=info:ofi/fmt:kev:mtx:journal&amp;genre=journal&amp;req_dat=xri:pqil:pq_clntid=131239&amp;svc_dat=xri:pqil:context=title&amp;rft_dat=xri:pqd:PMID=2028721</t>
  </si>
  <si>
    <t>Rijeka</t>
  </si>
  <si>
    <t>http://gateway.proquest.com/openurl?url_ver=Z39.88-2004&amp;res_dat=xri:pqm&amp;rft_val_fmt=info:ofi/fmt:kev:mtx:journal&amp;genre=journal&amp;req_dat=xri:pqil:pq_clntid=131239&amp;svc_dat=xri:pqil:context=title&amp;rft_dat=xri:pqd:PMID=237825</t>
  </si>
  <si>
    <t>http://gateway.proquest.com/openurl?url_ver=Z39.88-2004&amp;res_dat=xri:pqm&amp;rft_val_fmt=info:ofi/fmt:kev:mtx:journal&amp;genre=journal&amp;req_dat=xri:pqil:pq_clntid=131239&amp;svc_dat=xri:pqil:context=title&amp;rft_dat=xri:pqd:PMID=36133</t>
  </si>
  <si>
    <t>http://gateway.proquest.com/openurl?url_ver=Z39.88-2004&amp;res_dat=xri:pqm&amp;rft_val_fmt=info:ofi/fmt:kev:mtx:journal&amp;genre=journal&amp;req_dat=xri:pqil:pq_clntid=131239&amp;svc_dat=xri:pqil:context=title&amp;rft_dat=xri:pqd:PMID=37550</t>
  </si>
  <si>
    <t>http://gateway.proquest.com/openurl?url_ver=Z39.88-2004&amp;res_dat=xri:pqm&amp;rft_val_fmt=info:ofi/fmt:kev:mtx:journal&amp;genre=journal&amp;req_dat=xri:pqil:pq_clntid=131239&amp;svc_dat=xri:pqil:context=title&amp;rft_dat=xri:pqd:PMID=37552</t>
  </si>
  <si>
    <t>http://gateway.proquest.com/openurl?url_ver=Z39.88-2004&amp;res_dat=xri:pqm&amp;rft_val_fmt=info:ofi/fmt:kev:mtx:journal&amp;genre=journal&amp;req_dat=xri:pqil:pq_clntid=131239&amp;svc_dat=xri:pqil:context=title&amp;rft_dat=xri:pqd:PMID=37551</t>
  </si>
  <si>
    <t>http://gateway.proquest.com/openurl?url_ver=Z39.88-2004&amp;res_dat=xri:pqm&amp;rft_val_fmt=info:ofi/fmt:kev:mtx:journal&amp;genre=journal&amp;req_dat=xri:pqil:pq_clntid=131239&amp;svc_dat=xri:pqil:context=title&amp;rft_dat=xri:pqd:PMID=6059462</t>
  </si>
  <si>
    <t>Brighton East</t>
  </si>
  <si>
    <t>http://gateway.proquest.com/openurl?url_ver=Z39.88-2004&amp;res_dat=xri:pqm&amp;rft_val_fmt=info:ofi/fmt:kev:mtx:journal&amp;genre=journal&amp;req_dat=xri:pqil:pq_clntid=131239&amp;svc_dat=xri:pqil:context=title&amp;rft_dat=xri:pqd:PMID=2028700</t>
  </si>
  <si>
    <t>http://gateway.proquest.com/openurl?url_ver=Z39.88-2004&amp;res_dat=xri:pqm&amp;rft_val_fmt=info:ofi/fmt:kev:mtx:journal&amp;genre=journal&amp;req_dat=xri:pqil:pq_clntid=131239&amp;svc_dat=xri:pqil:context=title&amp;rft_dat=xri:pqd:PMID=3933299</t>
  </si>
  <si>
    <t>http://gateway.proquest.com/openurl?url_ver=Z39.88-2004&amp;res_dat=xri:pqm&amp;rft_val_fmt=info:ofi/fmt:kev:mtx:journal&amp;genre=journal&amp;req_dat=xri:pqil:pq_clntid=131239&amp;svc_dat=xri:pqil:context=title&amp;rft_dat=xri:pqd:PMID=1810</t>
  </si>
  <si>
    <t>http://gateway.proquest.com/openurl?url_ver=Z39.88-2004&amp;res_dat=xri:pqm&amp;rft_val_fmt=info:ofi/fmt:kev:mtx:journal&amp;genre=journal&amp;req_dat=xri:pqil:pq_clntid=131239&amp;svc_dat=xri:pqil:context=title&amp;rft_dat=xri:pqd:PMID=105960</t>
  </si>
  <si>
    <t>http://gateway.proquest.com/openurl?url_ver=Z39.88-2004&amp;res_dat=xri:pqm&amp;rft_val_fmt=info:ofi/fmt:kev:mtx:journal&amp;genre=journal&amp;req_dat=xri:pqil:pq_clntid=131239&amp;svc_dat=xri:pqil:context=title&amp;rft_dat=xri:pqd:PMID=37316</t>
  </si>
  <si>
    <t>http://gateway.proquest.com/openurl?url_ver=Z39.88-2004&amp;res_dat=xri:pqm&amp;rft_val_fmt=info:ofi/fmt:kev:mtx:journal&amp;genre=journal&amp;req_dat=xri:pqil:pq_clntid=131239&amp;svc_dat=xri:pqil:context=title&amp;rft_dat=xri:pqd:PMID=105361</t>
  </si>
  <si>
    <t>http://gateway.proquest.com/openurl?url_ver=Z39.88-2004&amp;res_dat=xri:pqm&amp;rft_val_fmt=info:ofi/fmt:kev:mtx:journal&amp;genre=journal&amp;req_dat=xri:pqil:pq_clntid=131239&amp;svc_dat=xri:pqil:context=title&amp;rft_dat=xri:pqd:PMID=26543</t>
  </si>
  <si>
    <t>http://gateway.proquest.com/openurl?url_ver=Z39.88-2004&amp;res_dat=xri:pqm&amp;rft_val_fmt=info:ofi/fmt:kev:mtx:journal&amp;genre=journal&amp;req_dat=xri:pqil:pq_clntid=131239&amp;svc_dat=xri:pqil:context=title&amp;rft_dat=xri:pqd:PMID=436420</t>
  </si>
  <si>
    <t>Moscow</t>
  </si>
  <si>
    <t>http://gateway.proquest.com/openurl?url_ver=Z39.88-2004&amp;res_dat=xri:pqm&amp;rft_val_fmt=info:ofi/fmt:kev:mtx:journal&amp;genre=journal&amp;req_dat=xri:pqil:pq_clntid=131239&amp;svc_dat=xri:pqil:context=title&amp;rft_dat=xri:pqd:PMID=2032446</t>
  </si>
  <si>
    <t>http://gateway.proquest.com/openurl?url_ver=Z39.88-2004&amp;res_dat=xri:pqm&amp;rft_val_fmt=info:ofi/fmt:kev:mtx:journal&amp;genre=journal&amp;req_dat=xri:pqil:pq_clntid=131239&amp;svc_dat=xri:pqil:context=title&amp;rft_dat=xri:pqd:PMID=2032729</t>
  </si>
  <si>
    <t>http://gateway.proquest.com/openurl?url_ver=Z39.88-2004&amp;res_dat=xri:pqm&amp;rft_val_fmt=info:ofi/fmt:kev:mtx:journal&amp;genre=journal&amp;req_dat=xri:pqil:pq_clntid=131239&amp;svc_dat=xri:pqil:context=title&amp;rft_dat=xri:pqd:PMID=2032992</t>
  </si>
  <si>
    <t>http://gateway.proquest.com/openurl?url_ver=Z39.88-2004&amp;res_dat=xri:pqm&amp;rft_val_fmt=info:ofi/fmt:kev:mtx:journal&amp;genre=journal&amp;req_dat=xri:pqil:pq_clntid=131239&amp;svc_dat=xri:pqil:context=title&amp;rft_dat=xri:pqd:PMID=2048835</t>
  </si>
  <si>
    <t>http://gateway.proquest.com/openurl?url_ver=Z39.88-2004&amp;res_dat=xri:pqm&amp;rft_val_fmt=info:ofi/fmt:kev:mtx:journal&amp;genre=journal&amp;req_dat=xri:pqil:pq_clntid=131239&amp;svc_dat=xri:pqil:context=title&amp;rft_dat=xri:pqd:PMID=5488563</t>
  </si>
  <si>
    <t>http://gateway.proquest.com/openurl?url_ver=Z39.88-2004&amp;res_dat=xri:pqm&amp;rft_val_fmt=info:ofi/fmt:kev:mtx:journal&amp;genre=journal&amp;req_dat=xri:pqil:pq_clntid=131239&amp;svc_dat=xri:pqil:context=title&amp;rft_dat=xri:pqd:PMID=6059422</t>
  </si>
  <si>
    <t>http://gateway.proquest.com/openurl?url_ver=Z39.88-2004&amp;res_dat=xri:pqm&amp;rft_val_fmt=info:ofi/fmt:kev:mtx:journal&amp;genre=journal&amp;req_dat=xri:pqil:pq_clntid=131239&amp;svc_dat=xri:pqil:context=title&amp;rft_dat=xri:pqd:PMID=5488577</t>
  </si>
  <si>
    <t>http://gateway.proquest.com/openurl?url_ver=Z39.88-2004&amp;res_dat=xri:pqm&amp;rft_val_fmt=info:ofi/fmt:kev:mtx:journal&amp;genre=journal&amp;req_dat=xri:pqil:pq_clntid=131239&amp;svc_dat=xri:pqil:context=title&amp;rft_dat=xri:pqd:PMID=2026616</t>
  </si>
  <si>
    <t>http://gateway.proquest.com/openurl?url_ver=Z39.88-2004&amp;res_dat=xri:pqm&amp;rft_val_fmt=info:ofi/fmt:kev:mtx:journal&amp;genre=journal&amp;req_dat=xri:pqil:pq_clntid=131239&amp;svc_dat=xri:pqil:context=title&amp;rft_dat=xri:pqd:PMID=27868</t>
  </si>
  <si>
    <t>http://gateway.proquest.com/openurl?url_ver=Z39.88-2004&amp;res_dat=xri:pqm&amp;rft_val_fmt=info:ofi/fmt:kev:mtx:journal&amp;genre=journal&amp;req_dat=xri:pqil:pq_clntid=131239&amp;svc_dat=xri:pqil:context=title&amp;rft_dat=xri:pqd:PMID=2032991</t>
  </si>
  <si>
    <t>Manchester</t>
  </si>
  <si>
    <t>http://gateway.proquest.com/openurl?url_ver=Z39.88-2004&amp;res_dat=xri:pqm&amp;rft_val_fmt=info:ofi/fmt:kev:mtx:journal&amp;genre=journal&amp;req_dat=xri:pqil:pq_clntid=131239&amp;svc_dat=xri:pqil:context=title&amp;rft_dat=xri:pqd:PMID=10885</t>
  </si>
  <si>
    <t>http://gateway.proquest.com/openurl?url_ver=Z39.88-2004&amp;res_dat=xri:pqm&amp;rft_val_fmt=info:ofi/fmt:kev:mtx:journal&amp;genre=journal&amp;req_dat=xri:pqil:pq_clntid=131239&amp;svc_dat=xri:pqil:context=title&amp;rft_dat=xri:pqd:PMID=5488579</t>
  </si>
  <si>
    <t>http://gateway.proquest.com/openurl?url_ver=Z39.88-2004&amp;res_dat=xri:pqm&amp;rft_val_fmt=info:ofi/fmt:kev:mtx:journal&amp;genre=journal&amp;req_dat=xri:pqil:pq_clntid=131239&amp;svc_dat=xri:pqil:context=title&amp;rft_dat=xri:pqd:PMID=2042068</t>
  </si>
  <si>
    <t>http://gateway.proquest.com/openurl?url_ver=Z39.88-2004&amp;res_dat=xri:pqm&amp;rft_val_fmt=info:ofi/fmt:kev:mtx:journal&amp;genre=journal&amp;req_dat=xri:pqil:pq_clntid=131239&amp;svc_dat=xri:pqil:context=title&amp;rft_dat=xri:pqd:PMID=2034671</t>
  </si>
  <si>
    <t>http://gateway.proquest.com/openurl?url_ver=Z39.88-2004&amp;res_dat=xri:pqm&amp;rft_val_fmt=info:ofi/fmt:kev:mtx:journal&amp;genre=journal&amp;req_dat=xri:pqil:pq_clntid=131239&amp;svc_dat=xri:pqil:context=title&amp;rft_dat=xri:pqd:PMID=48686</t>
  </si>
  <si>
    <t>Lisbon</t>
  </si>
  <si>
    <t>http://gateway.proquest.com/openurl?url_ver=Z39.88-2004&amp;res_dat=xri:pqm&amp;rft_val_fmt=info:ofi/fmt:kev:mtx:journal&amp;genre=journal&amp;req_dat=xri:pqil:pq_clntid=131239&amp;svc_dat=xri:pqil:context=title&amp;rft_dat=xri:pqd:PMID=2029826</t>
  </si>
  <si>
    <t>http://gateway.proquest.com/openurl?url_ver=Z39.88-2004&amp;res_dat=xri:pqm&amp;rft_val_fmt=info:ofi/fmt:kev:mtx:journal&amp;genre=journal&amp;req_dat=xri:pqil:pq_clntid=131239&amp;svc_dat=xri:pqil:context=title&amp;rft_dat=xri:pqd:PMID=196138</t>
  </si>
  <si>
    <t>http://gateway.proquest.com/openurl?url_ver=Z39.88-2004&amp;res_dat=xri:pqm&amp;rft_val_fmt=info:ofi/fmt:kev:mtx:journal&amp;genre=journal&amp;req_dat=xri:pqil:pq_clntid=131239&amp;svc_dat=xri:pqil:context=title&amp;rft_dat=xri:pqd:PMID=33044</t>
  </si>
  <si>
    <t>http://gateway.proquest.com/openurl?url_ver=Z39.88-2004&amp;res_dat=xri:pqm&amp;rft_val_fmt=info:ofi/fmt:kev:mtx:journal&amp;genre=journal&amp;req_dat=xri:pqil:pq_clntid=131239&amp;svc_dat=xri:pqil:context=title&amp;rft_dat=xri:pqd:PMID=2032989</t>
  </si>
  <si>
    <t>Williamsburg</t>
  </si>
  <si>
    <t>http://gateway.proquest.com/openurl?url_ver=Z39.88-2004&amp;res_dat=xri:pqm&amp;rft_val_fmt=info:ofi/fmt:kev:mtx:journal&amp;genre=journal&amp;req_dat=xri:pqil:pq_clntid=131239&amp;svc_dat=xri:pqil:context=title&amp;rft_dat=xri:pqd:PMID=47416</t>
  </si>
  <si>
    <t>01-Jan-1999--31-Dec-2001; 01-Jan-2003--31-Dec-2004; 01-Jan-2006--31-Dec-2006; 01-Jan-2008--31-Dec-2008; 01-Jan-2010--31-Dec-2010</t>
  </si>
  <si>
    <t>http://gateway.proquest.com/openurl?url_ver=Z39.88-2004&amp;res_dat=xri:pqm&amp;rft_val_fmt=info:ofi/fmt:kev:mtx:journal&amp;genre=journal&amp;req_dat=xri:pqil:pq_clntid=131239&amp;svc_dat=xri:pqil:context=title&amp;rft_dat=xri:pqd:PMID=26442</t>
  </si>
  <si>
    <t>http://gateway.proquest.com/openurl?url_ver=Z39.88-2004&amp;res_dat=xri:pqm&amp;rft_val_fmt=info:ofi/fmt:kev:mtx:journal&amp;genre=journal&amp;req_dat=xri:pqil:pq_clntid=131239&amp;svc_dat=xri:pqil:context=title&amp;rft_dat=xri:pqd:PMID=976349</t>
  </si>
  <si>
    <t>http://gateway.proquest.com/openurl?url_ver=Z39.88-2004&amp;res_dat=xri:pqm&amp;rft_val_fmt=info:ofi/fmt:kev:mtx:journal&amp;genre=journal&amp;req_dat=xri:pqil:pq_clntid=131239&amp;svc_dat=xri:pqil:context=title&amp;rft_dat=xri:pqd:PMID=24790</t>
  </si>
  <si>
    <t>http://gateway.proquest.com/openurl?url_ver=Z39.88-2004&amp;res_dat=xri:pqm&amp;rft_val_fmt=info:ofi/fmt:kev:mtx:journal&amp;genre=journal&amp;req_dat=xri:pqil:pq_clntid=131239&amp;svc_dat=xri:pqil:context=title&amp;rft_dat=xri:pqd:PMID=47309</t>
  </si>
  <si>
    <t>http://gateway.proquest.com/openurl?url_ver=Z39.88-2004&amp;res_dat=xri:pqm&amp;rft_val_fmt=info:ofi/fmt:kev:mtx:journal&amp;genre=journal&amp;req_dat=xri:pqil:pq_clntid=131239&amp;svc_dat=xri:pqil:context=title&amp;rft_dat=xri:pqd:PMID=976333</t>
  </si>
  <si>
    <t>http://gateway.proquest.com/openurl?url_ver=Z39.88-2004&amp;res_dat=xri:pqm&amp;rft_val_fmt=info:ofi/fmt:kev:mtx:journal&amp;genre=journal&amp;req_dat=xri:pqil:pq_clntid=131239&amp;svc_dat=xri:pqil:context=title&amp;rft_dat=xri:pqd:PMID=41359</t>
  </si>
  <si>
    <t>Athens</t>
  </si>
  <si>
    <t>http://gateway.proquest.com/openurl?url_ver=Z39.88-2004&amp;res_dat=xri:pqm&amp;rft_val_fmt=info:ofi/fmt:kev:mtx:journal&amp;genre=journal&amp;req_dat=xri:pqil:pq_clntid=131239&amp;svc_dat=xri:pqil:context=title&amp;rft_dat=xri:pqd:PMID=216175</t>
  </si>
  <si>
    <t>Woodside</t>
  </si>
  <si>
    <t>http://gateway.proquest.com/openurl?url_ver=Z39.88-2004&amp;res_dat=xri:pqm&amp;rft_val_fmt=info:ofi/fmt:kev:mtx:journal&amp;genre=journal&amp;req_dat=xri:pqil:pq_clntid=131239&amp;svc_dat=xri:pqil:context=title&amp;rft_dat=xri:pqd:PMID=2045093</t>
  </si>
  <si>
    <t>http://gateway.proquest.com/openurl?url_ver=Z39.88-2004&amp;res_dat=xri:pqm&amp;rft_val_fmt=info:ofi/fmt:kev:mtx:journal&amp;genre=journal&amp;req_dat=xri:pqil:pq_clntid=131239&amp;svc_dat=xri:pqil:context=title&amp;rft_dat=xri:pqd:PMID=41458</t>
  </si>
  <si>
    <t>http://gateway.proquest.com/openurl?url_ver=Z39.88-2004&amp;res_dat=xri:pqm&amp;rft_val_fmt=info:ofi/fmt:kev:mtx:journal&amp;genre=journal&amp;req_dat=xri:pqil:pq_clntid=131239&amp;svc_dat=xri:pqil:context=title&amp;rft_dat=xri:pqd:PMID=41272</t>
  </si>
  <si>
    <t>Giessen</t>
  </si>
  <si>
    <t>http://gateway.proquest.com/openurl?url_ver=Z39.88-2004&amp;res_dat=xri:pqm&amp;rft_val_fmt=info:ofi/fmt:kev:mtx:journal&amp;genre=journal&amp;req_dat=xri:pqil:pq_clntid=131239&amp;svc_dat=xri:pqil:context=title&amp;rft_dat=xri:pqd:PMID=2050002</t>
  </si>
  <si>
    <t>http://gateway.proquest.com/openurl?url_ver=Z39.88-2004&amp;res_dat=xri:pqm&amp;rft_val_fmt=info:ofi/fmt:kev:mtx:journal&amp;genre=journal&amp;req_dat=xri:pqil:pq_clntid=131239&amp;svc_dat=xri:pqil:context=title&amp;rft_dat=xri:pqd:PMID=27550</t>
  </si>
  <si>
    <t>http://gateway.proquest.com/openurl?url_ver=Z39.88-2004&amp;res_dat=xri:pqm&amp;rft_val_fmt=info:ofi/fmt:kev:mtx:journal&amp;genre=journal&amp;req_dat=xri:pqil:pq_clntid=131239&amp;svc_dat=xri:pqil:context=title&amp;rft_dat=xri:pqd:PMID=29362</t>
  </si>
  <si>
    <t>http://gateway.proquest.com/openurl?url_ver=Z39.88-2004&amp;res_dat=xri:pqm&amp;rft_val_fmt=info:ofi/fmt:kev:mtx:journal&amp;genre=journal&amp;req_dat=xri:pqil:pq_clntid=131239&amp;svc_dat=xri:pqil:context=title&amp;rft_dat=xri:pqd:PMID=5758469</t>
  </si>
  <si>
    <t>http://gateway.proquest.com/openurl?url_ver=Z39.88-2004&amp;res_dat=xri:pqm&amp;rft_val_fmt=info:ofi/fmt:kev:mtx:journal&amp;genre=journal&amp;req_dat=xri:pqil:pq_clntid=131239&amp;svc_dat=xri:pqil:context=title&amp;rft_dat=xri:pqd:PMID=31397</t>
  </si>
  <si>
    <t>Psychotherapy With Gay, Lesbian and Bisexual Clients</t>
  </si>
  <si>
    <t>http://gateway.proquest.com/openurl?url_ver=Z39.88-2004&amp;res_dat=xri:pqm&amp;rft_val_fmt=info:ofi/fmt:kev:mtx:journal&amp;genre=journal&amp;req_dat=xri:pqil:pq_clntid=131239&amp;svc_dat=xri:pqil:context=title&amp;rft_dat=xri:pqd:PMID=5262110</t>
  </si>
  <si>
    <t>Psychotherapy With the Experts</t>
  </si>
  <si>
    <t>http://gateway.proquest.com/openurl?url_ver=Z39.88-2004&amp;res_dat=xri:pqm&amp;rft_val_fmt=info:ofi/fmt:kev:mtx:journal&amp;genre=journal&amp;req_dat=xri:pqil:pq_clntid=131239&amp;svc_dat=xri:pqil:context=title&amp;rft_dat=xri:pqd:PMID=6275751</t>
  </si>
  <si>
    <t>http://gateway.proquest.com/openurl?url_ver=Z39.88-2004&amp;res_dat=xri:pqm&amp;rft_val_fmt=info:ofi/fmt:kev:mtx:journal&amp;genre=journal&amp;req_dat=xri:pqil:pq_clntid=131239&amp;svc_dat=xri:pqil:context=title&amp;rft_dat=xri:pqd:PMID=41216</t>
  </si>
  <si>
    <t>Educational Media Distributors, LLC</t>
  </si>
  <si>
    <t>http://gateway.proquest.com/openurl?url_ver=Z39.88-2004&amp;res_dat=xri:pqm&amp;rft_val_fmt=info:ofi/fmt:kev:mtx:journal&amp;genre=journal&amp;req_dat=xri:pqil:pq_clntid=131239&amp;svc_dat=xri:pqil:context=title&amp;rft_dat=xri:pqd:PMID=5256688</t>
  </si>
  <si>
    <t>Santiago</t>
  </si>
  <si>
    <t>http://gateway.proquest.com/openurl?url_ver=Z39.88-2004&amp;res_dat=xri:pqm&amp;rft_val_fmt=info:ofi/fmt:kev:mtx:journal&amp;genre=journal&amp;req_dat=xri:pqil:pq_clntid=131239&amp;svc_dat=xri:pqil:context=title&amp;rft_dat=xri:pqd:PMID=5615484</t>
  </si>
  <si>
    <t>Old Chelsea</t>
  </si>
  <si>
    <t>http://gateway.proquest.com/openurl?url_ver=Z39.88-2004&amp;res_dat=xri:pqm&amp;rft_val_fmt=info:ofi/fmt:kev:mtx:journal&amp;genre=journal&amp;req_dat=xri:pqil:pq_clntid=131239&amp;svc_dat=xri:pqil:context=title&amp;rft_dat=xri:pqd:PMID=43420</t>
  </si>
  <si>
    <t>http://gateway.proquest.com/openurl?url_ver=Z39.88-2004&amp;res_dat=xri:pqm&amp;rft_val_fmt=info:ofi/fmt:kev:mtx:journal&amp;genre=journal&amp;req_dat=xri:pqil:pq_clntid=131239&amp;svc_dat=xri:pqil:context=title&amp;rft_dat=xri:pqd:PMID=42034</t>
  </si>
  <si>
    <t>http://gateway.proquest.com/openurl?url_ver=Z39.88-2004&amp;res_dat=xri:pqm&amp;rft_val_fmt=info:ofi/fmt:kev:mtx:journal&amp;genre=journal&amp;req_dat=xri:pqil:pq_clntid=131239&amp;svc_dat=xri:pqil:context=title&amp;rft_dat=xri:pqd:PMID=282</t>
  </si>
  <si>
    <t>http://gateway.proquest.com/openurl?url_ver=Z39.88-2004&amp;res_dat=xri:pqm&amp;rft_val_fmt=info:ofi/fmt:kev:mtx:journal&amp;genre=journal&amp;req_dat=xri:pqil:pq_clntid=131239&amp;svc_dat=xri:pqil:context=title&amp;rft_dat=xri:pqd:PMID=35335</t>
  </si>
  <si>
    <t>http://gateway.proquest.com/openurl?url_ver=Z39.88-2004&amp;res_dat=xri:pqm&amp;rft_val_fmt=info:ofi/fmt:kev:mtx:journal&amp;genre=journal&amp;req_dat=xri:pqil:pq_clntid=131239&amp;svc_dat=xri:pqil:context=title&amp;rft_dat=xri:pqd:PMID=186216</t>
  </si>
  <si>
    <t>http://gateway.proquest.com/openurl?url_ver=Z39.88-2004&amp;res_dat=xri:pqm&amp;rft_val_fmt=info:ofi/fmt:kev:mtx:journal&amp;genre=journal&amp;req_dat=xri:pqil:pq_clntid=131239&amp;svc_dat=xri:pqil:context=title&amp;rft_dat=xri:pqd:PMID=6059461</t>
  </si>
  <si>
    <t>http://gateway.proquest.com/openurl?url_ver=Z39.88-2004&amp;res_dat=xri:pqm&amp;rft_val_fmt=info:ofi/fmt:kev:mtx:journal&amp;genre=journal&amp;req_dat=xri:pqil:pq_clntid=131239&amp;svc_dat=xri:pqil:context=title&amp;rft_dat=xri:pqd:PMID=686475</t>
  </si>
  <si>
    <t>http://gateway.proquest.com/openurl?url_ver=Z39.88-2004&amp;res_dat=xri:pqm&amp;rft_val_fmt=info:ofi/fmt:kev:mtx:journal&amp;genre=journal&amp;req_dat=xri:pqil:pq_clntid=131239&amp;svc_dat=xri:pqil:context=title&amp;rft_dat=xri:pqd:PMID=5485087</t>
  </si>
  <si>
    <t>http://gateway.proquest.com/openurl?url_ver=Z39.88-2004&amp;res_dat=xri:pqm&amp;rft_val_fmt=info:ofi/fmt:kev:mtx:journal&amp;genre=journal&amp;req_dat=xri:pqil:pq_clntid=131239&amp;svc_dat=xri:pqil:context=title&amp;rft_dat=xri:pqd:PMID=5485102</t>
  </si>
  <si>
    <t>Bellaterra</t>
  </si>
  <si>
    <t>http://gateway.proquest.com/openurl?url_ver=Z39.88-2004&amp;res_dat=xri:pqm&amp;rft_val_fmt=info:ofi/fmt:kev:mtx:journal&amp;genre=journal&amp;req_dat=xri:pqil:pq_clntid=131239&amp;svc_dat=xri:pqil:context=title&amp;rft_dat=xri:pqd:PMID=2045920</t>
  </si>
  <si>
    <t>http://gateway.proquest.com/openurl?url_ver=Z39.88-2004&amp;res_dat=xri:pqm&amp;rft_val_fmt=info:ofi/fmt:kev:mtx:journal&amp;genre=journal&amp;req_dat=xri:pqil:pq_clntid=131239&amp;svc_dat=xri:pqil:context=title&amp;rft_dat=xri:pqd:PMID=30916</t>
  </si>
  <si>
    <t>http://gateway.proquest.com/openurl?url_ver=Z39.88-2004&amp;res_dat=xri:pqm&amp;rft_val_fmt=info:ofi/fmt:kev:mtx:journal&amp;genre=journal&amp;req_dat=xri:pqil:pq_clntid=131239&amp;svc_dat=xri:pqil:context=title&amp;rft_dat=xri:pqd:PMID=25913</t>
  </si>
  <si>
    <t>http://gateway.proquest.com/openurl?url_ver=Z39.88-2004&amp;res_dat=xri:pqm&amp;rft_val_fmt=info:ofi/fmt:kev:mtx:journal&amp;genre=journal&amp;req_dat=xri:pqil:pq_clntid=131239&amp;svc_dat=xri:pqil:context=title&amp;rft_dat=xri:pqd:PMID=29072</t>
  </si>
  <si>
    <t>http://gateway.proquest.com/openurl?url_ver=Z39.88-2004&amp;res_dat=xri:pqm&amp;rft_val_fmt=info:ofi/fmt:kev:mtx:journal&amp;genre=journal&amp;req_dat=xri:pqil:pq_clntid=131239&amp;svc_dat=xri:pqil:context=title&amp;rft_dat=xri:pqd:PMID=38275</t>
  </si>
  <si>
    <t>http://gateway.proquest.com/openurl?url_ver=Z39.88-2004&amp;res_dat=xri:pqm&amp;rft_val_fmt=info:ofi/fmt:kev:mtx:journal&amp;genre=journal&amp;req_dat=xri:pqil:pq_clntid=131239&amp;svc_dat=xri:pqil:context=title&amp;rft_dat=xri:pqd:PMID=5325202</t>
  </si>
  <si>
    <t>http://gateway.proquest.com/openurl?url_ver=Z39.88-2004&amp;res_dat=xri:pqm&amp;rft_val_fmt=info:ofi/fmt:kev:mtx:journal&amp;genre=journal&amp;req_dat=xri:pqil:pq_clntid=131239&amp;svc_dat=xri:pqil:context=title&amp;rft_dat=xri:pqd:PMID=54128</t>
  </si>
  <si>
    <t>http://gateway.proquest.com/openurl?url_ver=Z39.88-2004&amp;res_dat=xri:pqm&amp;rft_val_fmt=info:ofi/fmt:kev:mtx:journal&amp;genre=journal&amp;req_dat=xri:pqil:pq_clntid=131239&amp;svc_dat=xri:pqil:context=title&amp;rft_dat=xri:pqd:PMID=326329</t>
  </si>
  <si>
    <t>Lancaster</t>
  </si>
  <si>
    <t>http://gateway.proquest.com/openurl?url_ver=Z39.88-2004&amp;res_dat=xri:pqm&amp;rft_val_fmt=info:ofi/fmt:kev:mtx:journal&amp;genre=journal&amp;req_dat=xri:pqil:pq_clntid=131239&amp;svc_dat=xri:pqil:context=title&amp;rft_dat=xri:pqd:PMID=2038276</t>
  </si>
  <si>
    <t>http://gateway.proquest.com/openurl?url_ver=Z39.88-2004&amp;res_dat=xri:pqm&amp;rft_val_fmt=info:ofi/fmt:kev:mtx:journal&amp;genre=journal&amp;req_dat=xri:pqil:pq_clntid=131239&amp;svc_dat=xri:pqil:context=title&amp;rft_dat=xri:pqd:PMID=42398</t>
  </si>
  <si>
    <t>Paraiba</t>
  </si>
  <si>
    <t>http://gateway.proquest.com/openurl?url_ver=Z39.88-2004&amp;res_dat=xri:pqm&amp;rft_val_fmt=info:ofi/fmt:kev:mtx:journal&amp;genre=journal&amp;req_dat=xri:pqil:pq_clntid=131239&amp;svc_dat=xri:pqil:context=title&amp;rft_dat=xri:pqd:PMID=2042025</t>
  </si>
  <si>
    <t>Education|Education--Special Education And Rehabilitation|People With Disabilities--Visually Impaired</t>
  </si>
  <si>
    <t>http://gateway.proquest.com/openurl?url_ver=Z39.88-2004&amp;res_dat=xri:pqm&amp;rft_val_fmt=info:ofi/fmt:kev:mtx:journal&amp;genre=journal&amp;req_dat=xri:pqil:pq_clntid=131239&amp;svc_dat=xri:pqil:context=title&amp;rft_dat=xri:pqd:PMID=48930</t>
  </si>
  <si>
    <t>http://gateway.proquest.com/openurl?url_ver=Z39.88-2004&amp;res_dat=xri:pqm&amp;rft_val_fmt=info:ofi/fmt:kev:mtx:journal&amp;genre=journal&amp;req_dat=xri:pqil:pq_clntid=131239&amp;svc_dat=xri:pqil:context=title&amp;rft_dat=xri:pqd:PMID=2042028</t>
  </si>
  <si>
    <t>http://gateway.proquest.com/openurl?url_ver=Z39.88-2004&amp;res_dat=xri:pqm&amp;rft_val_fmt=info:ofi/fmt:kev:mtx:journal&amp;genre=journal&amp;req_dat=xri:pqil:pq_clntid=131239&amp;svc_dat=xri:pqil:context=title&amp;rft_dat=xri:pqd:PMID=5483581</t>
  </si>
  <si>
    <t>http://gateway.proquest.com/openurl?url_ver=Z39.88-2004&amp;res_dat=xri:pqm&amp;rft_val_fmt=info:ofi/fmt:kev:mtx:journal&amp;genre=journal&amp;req_dat=xri:pqil:pq_clntid=131239&amp;svc_dat=xri:pqil:context=title&amp;rft_dat=xri:pqd:PMID=326327</t>
  </si>
  <si>
    <t>http://gateway.proquest.com/openurl?url_ver=Z39.88-2004&amp;res_dat=xri:pqm&amp;rft_val_fmt=info:ofi/fmt:kev:mtx:journal&amp;genre=journal&amp;req_dat=xri:pqil:pq_clntid=131239&amp;svc_dat=xri:pqil:context=title&amp;rft_dat=xri:pqd:PMID=52934</t>
  </si>
  <si>
    <t>http://gateway.proquest.com/openurl?url_ver=Z39.88-2004&amp;res_dat=xri:pqm&amp;rft_val_fmt=info:ofi/fmt:kev:mtx:journal&amp;genre=journal&amp;req_dat=xri:pqil:pq_clntid=131239&amp;svc_dat=xri:pqil:context=title&amp;rft_dat=xri:pqd:PMID=2038301</t>
  </si>
  <si>
    <t>Philip G. Zimbardo, Inc.</t>
  </si>
  <si>
    <t>http://gateway.proquest.com/openurl?url_ver=Z39.88-2004&amp;res_dat=xri:pqm&amp;rft_val_fmt=info:ofi/fmt:kev:mtx:journal&amp;genre=journal&amp;req_dat=xri:pqil:pq_clntid=131239&amp;svc_dat=xri:pqil:context=title&amp;rft_dat=xri:pqd:PMID=6364607</t>
  </si>
  <si>
    <t>http://gateway.proquest.com/openurl?url_ver=Z39.88-2004&amp;res_dat=xri:pqm&amp;rft_val_fmt=info:ofi/fmt:kev:mtx:journal&amp;genre=journal&amp;req_dat=xri:pqil:pq_clntid=131239&amp;svc_dat=xri:pqil:context=title&amp;rft_dat=xri:pqd:PMID=5485113</t>
  </si>
  <si>
    <t>http://gateway.proquest.com/openurl?url_ver=Z39.88-2004&amp;res_dat=xri:pqm&amp;rft_val_fmt=info:ofi/fmt:kev:mtx:journal&amp;genre=journal&amp;req_dat=xri:pqil:pq_clntid=131239&amp;svc_dat=xri:pqil:context=title&amp;rft_dat=xri:pqd:PMID=6275750</t>
  </si>
  <si>
    <t>http://gateway.proquest.com/openurl?url_ver=Z39.88-2004&amp;res_dat=xri:pqm&amp;rft_val_fmt=info:ofi/fmt:kev:mtx:journal&amp;genre=journal&amp;req_dat=xri:pqil:pq_clntid=131239&amp;svc_dat=xri:pqil:context=title&amp;rft_dat=xri:pqd:PMID=29826</t>
  </si>
  <si>
    <t>http://gateway.proquest.com/openurl?url_ver=Z39.88-2004&amp;res_dat=xri:pqm&amp;rft_val_fmt=info:ofi/fmt:kev:mtx:journal&amp;genre=journal&amp;req_dat=xri:pqil:pq_clntid=131239&amp;svc_dat=xri:pqil:context=title&amp;rft_dat=xri:pqd:PMID=43616</t>
  </si>
  <si>
    <t>http://gateway.proquest.com/openurl?url_ver=Z39.88-2004&amp;res_dat=xri:pqm&amp;rft_val_fmt=info:ofi/fmt:kev:mtx:journal&amp;genre=journal&amp;req_dat=xri:pqil:pq_clntid=131239&amp;svc_dat=xri:pqil:context=title&amp;rft_dat=xri:pqd:PMID=53010</t>
  </si>
  <si>
    <t>http://gateway.proquest.com/openurl?url_ver=Z39.88-2004&amp;res_dat=xri:pqm&amp;rft_val_fmt=info:ofi/fmt:kev:mtx:journal&amp;genre=journal&amp;req_dat=xri:pqil:pq_clntid=131239&amp;svc_dat=xri:pqil:context=title&amp;rft_dat=xri:pqd:PMID=2037968</t>
  </si>
  <si>
    <t>Newark</t>
  </si>
  <si>
    <t>http://gateway.proquest.com/openurl?url_ver=Z39.88-2004&amp;res_dat=xri:pqm&amp;rft_val_fmt=info:ofi/fmt:kev:mtx:journal&amp;genre=journal&amp;req_dat=xri:pqil:pq_clntid=131239&amp;svc_dat=xri:pqil:context=title&amp;rft_dat=xri:pqd:PMID=577</t>
  </si>
  <si>
    <t>http://gateway.proquest.com/openurl?url_ver=Z39.88-2004&amp;res_dat=xri:pqm&amp;rft_val_fmt=info:ofi/fmt:kev:mtx:journal&amp;genre=journal&amp;req_dat=xri:pqil:pq_clntid=131239&amp;svc_dat=xri:pqil:context=title&amp;rft_dat=xri:pqd:PMID=6059460</t>
  </si>
  <si>
    <t>http://gateway.proquest.com/openurl?url_ver=Z39.88-2004&amp;res_dat=xri:pqm&amp;rft_val_fmt=info:ofi/fmt:kev:mtx:journal&amp;genre=journal&amp;req_dat=xri:pqil:pq_clntid=131239&amp;svc_dat=xri:pqil:context=title&amp;rft_dat=xri:pqd:PMID=5488551</t>
  </si>
  <si>
    <t>http://gateway.proquest.com/openurl?url_ver=Z39.88-2004&amp;res_dat=xri:pqm&amp;rft_val_fmt=info:ofi/fmt:kev:mtx:journal&amp;genre=journal&amp;req_dat=xri:pqil:pq_clntid=131239&amp;svc_dat=xri:pqil:context=title&amp;rft_dat=xri:pqd:PMID=5488576</t>
  </si>
  <si>
    <t>http://gateway.proquest.com/openurl?url_ver=Z39.88-2004&amp;res_dat=xri:pqm&amp;rft_val_fmt=info:ofi/fmt:kev:mtx:journal&amp;genre=journal&amp;req_dat=xri:pqil:pq_clntid=131239&amp;svc_dat=xri:pqil:context=title&amp;rft_dat=xri:pqd:PMID=33810</t>
  </si>
  <si>
    <t>http://gateway.proquest.com/openurl?url_ver=Z39.88-2004&amp;res_dat=xri:pqm&amp;rft_val_fmt=info:ofi/fmt:kev:mtx:journal&amp;genre=journal&amp;req_dat=xri:pqil:pq_clntid=131239&amp;svc_dat=xri:pqil:context=title&amp;rft_dat=xri:pqd:PMID=5485081</t>
  </si>
  <si>
    <t>Eugene</t>
  </si>
  <si>
    <t>http://gateway.proquest.com/openurl?url_ver=Z39.88-2004&amp;res_dat=xri:pqm&amp;rft_val_fmt=info:ofi/fmt:kev:mtx:journal&amp;genre=journal&amp;req_dat=xri:pqil:pq_clntid=131239&amp;svc_dat=xri:pqil:context=title&amp;rft_dat=xri:pqd:PMID=4395866</t>
  </si>
  <si>
    <t>http://gateway.proquest.com/openurl?url_ver=Z39.88-2004&amp;res_dat=xri:pqm&amp;rft_val_fmt=info:ofi/fmt:kev:mtx:journal&amp;genre=journal&amp;req_dat=xri:pqil:pq_clntid=131239&amp;svc_dat=xri:pqil:context=title&amp;rft_dat=xri:pqd:PMID=5485119</t>
  </si>
  <si>
    <t>http://gateway.proquest.com/openurl?url_ver=Z39.88-2004&amp;res_dat=xri:pqm&amp;rft_val_fmt=info:ofi/fmt:kev:mtx:journal&amp;genre=journal&amp;req_dat=xri:pqil:pq_clntid=131239&amp;svc_dat=xri:pqil:context=title&amp;rft_dat=xri:pqd:PMID=41494</t>
  </si>
  <si>
    <t>http://gateway.proquest.com/openurl?url_ver=Z39.88-2004&amp;res_dat=xri:pqm&amp;rft_val_fmt=info:ofi/fmt:kev:mtx:journal&amp;genre=journal&amp;req_dat=xri:pqil:pq_clntid=131239&amp;svc_dat=xri:pqil:context=title&amp;rft_dat=xri:pqd:PMID=47137</t>
  </si>
  <si>
    <t>http://gateway.proquest.com/openurl?url_ver=Z39.88-2004&amp;res_dat=xri:pqm&amp;rft_val_fmt=info:ofi/fmt:kev:mtx:journal&amp;genre=journal&amp;req_dat=xri:pqil:pq_clntid=131239&amp;svc_dat=xri:pqil:context=title&amp;rft_dat=xri:pqd:PMID=5485094</t>
  </si>
  <si>
    <t>http://gateway.proquest.com/openurl?url_ver=Z39.88-2004&amp;res_dat=xri:pqm&amp;rft_val_fmt=info:ofi/fmt:kev:mtx:journal&amp;genre=journal&amp;req_dat=xri:pqil:pq_clntid=131239&amp;svc_dat=xri:pqil:context=title&amp;rft_dat=xri:pqd:PMID=48109</t>
  </si>
  <si>
    <t>Lynchburg</t>
  </si>
  <si>
    <t>http://gateway.proquest.com/openurl?url_ver=Z39.88-2004&amp;res_dat=xri:pqm&amp;rft_val_fmt=info:ofi/fmt:kev:mtx:journal&amp;genre=journal&amp;req_dat=xri:pqil:pq_clntid=131239&amp;svc_dat=xri:pqil:context=title&amp;rft_dat=xri:pqd:PMID=1966350</t>
  </si>
  <si>
    <t>Canandaigua</t>
  </si>
  <si>
    <t>http://gateway.proquest.com/openurl?url_ver=Z39.88-2004&amp;res_dat=xri:pqm&amp;rft_val_fmt=info:ofi/fmt:kev:mtx:journal&amp;genre=journal&amp;req_dat=xri:pqil:pq_clntid=131239&amp;svc_dat=xri:pqil:context=title&amp;rft_dat=xri:pqd:PMID=26138</t>
  </si>
  <si>
    <t>Lincoln</t>
  </si>
  <si>
    <t>http://gateway.proquest.com/openurl?url_ver=Z39.88-2004&amp;res_dat=xri:pqm&amp;rft_val_fmt=info:ofi/fmt:kev:mtx:journal&amp;genre=journal&amp;req_dat=xri:pqil:pq_clntid=131239&amp;svc_dat=xri:pqil:context=title&amp;rft_dat=xri:pqd:PMID=5485122</t>
  </si>
  <si>
    <t>http://gateway.proquest.com/openurl?url_ver=Z39.88-2004&amp;res_dat=xri:pqm&amp;rft_val_fmt=info:ofi/fmt:kev:mtx:journal&amp;genre=journal&amp;req_dat=xri:pqil:pq_clntid=131239&amp;svc_dat=xri:pqil:context=title&amp;rft_dat=xri:pqd:PMID=6275749</t>
  </si>
  <si>
    <t>http://gateway.proquest.com/openurl?url_ver=Z39.88-2004&amp;res_dat=xri:pqm&amp;rft_val_fmt=info:ofi/fmt:kev:mtx:journal&amp;genre=journal&amp;req_dat=xri:pqil:pq_clntid=131239&amp;svc_dat=xri:pqil:context=title&amp;rft_dat=xri:pqd:PMID=1046372</t>
  </si>
  <si>
    <t>http://gateway.proquest.com/openurl?url_ver=Z39.88-2004&amp;res_dat=xri:pqm&amp;rft_val_fmt=info:ofi/fmt:kev:mtx:journal&amp;genre=journal&amp;req_dat=xri:pqil:pq_clntid=131239&amp;svc_dat=xri:pqil:context=title&amp;rft_dat=xri:pqd:PMID=37654</t>
  </si>
  <si>
    <t>http://gateway.proquest.com/openurl?url_ver=Z39.88-2004&amp;res_dat=xri:pqm&amp;rft_val_fmt=info:ofi/fmt:kev:mtx:journal&amp;genre=journal&amp;req_dat=xri:pqil:pq_clntid=131239&amp;svc_dat=xri:pqil:context=title&amp;rft_dat=xri:pqd:PMID=216139</t>
  </si>
  <si>
    <t>http://gateway.proquest.com/openurl?url_ver=Z39.88-2004&amp;res_dat=xri:pqm&amp;rft_val_fmt=info:ofi/fmt:kev:mtx:journal&amp;genre=journal&amp;req_dat=xri:pqil:pq_clntid=131239&amp;svc_dat=xri:pqil:context=title&amp;rft_dat=xri:pqd:PMID=43087</t>
  </si>
  <si>
    <t>http://gateway.proquest.com/openurl?url_ver=Z39.88-2004&amp;res_dat=xri:pqm&amp;rft_val_fmt=info:ofi/fmt:kev:mtx:journal&amp;genre=journal&amp;req_dat=xri:pqil:pq_clntid=131239&amp;svc_dat=xri:pqil:context=title&amp;rft_dat=xri:pqd:PMID=33518</t>
  </si>
  <si>
    <t>Jacksonville</t>
  </si>
  <si>
    <t>http://gateway.proquest.com/openurl?url_ver=Z39.88-2004&amp;res_dat=xri:pqm&amp;rft_val_fmt=info:ofi/fmt:kev:mtx:journal&amp;genre=journal&amp;req_dat=xri:pqil:pq_clntid=131239&amp;svc_dat=xri:pqil:context=title&amp;rft_dat=xri:pqd:PMID=10235</t>
  </si>
  <si>
    <t>http://gateway.proquest.com/openurl?url_ver=Z39.88-2004&amp;res_dat=xri:pqm&amp;rft_val_fmt=info:ofi/fmt:kev:mtx:journal&amp;genre=journal&amp;req_dat=xri:pqil:pq_clntid=131239&amp;svc_dat=xri:pqil:context=title&amp;rft_dat=xri:pqd:PMID=37843</t>
  </si>
  <si>
    <t>http://gateway.proquest.com/openurl?url_ver=Z39.88-2004&amp;res_dat=xri:pqm&amp;rft_val_fmt=info:ofi/fmt:kev:mtx:journal&amp;genre=journal&amp;req_dat=xri:pqil:pq_clntid=131239&amp;svc_dat=xri:pqil:context=title&amp;rft_dat=xri:pqd:PMID=48399</t>
  </si>
  <si>
    <t>http://gateway.proquest.com/openurl?url_ver=Z39.88-2004&amp;res_dat=xri:pqm&amp;rft_val_fmt=info:ofi/fmt:kev:mtx:journal&amp;genre=journal&amp;req_dat=xri:pqil:pq_clntid=131239&amp;svc_dat=xri:pqil:context=title&amp;rft_dat=xri:pqd:PMID=35301</t>
  </si>
  <si>
    <t>http://gateway.proquest.com/openurl?url_ver=Z39.88-2004&amp;res_dat=xri:pqm&amp;rft_val_fmt=info:ofi/fmt:kev:mtx:journal&amp;genre=journal&amp;req_dat=xri:pqil:pq_clntid=131239&amp;svc_dat=xri:pqil:context=title&amp;rft_dat=xri:pqd:PMID=30922</t>
  </si>
  <si>
    <t>http://gateway.proquest.com/openurl?url_ver=Z39.88-2004&amp;res_dat=xri:pqm&amp;rft_val_fmt=info:ofi/fmt:kev:mtx:journal&amp;genre=journal&amp;req_dat=xri:pqil:pq_clntid=131239&amp;svc_dat=xri:pqil:context=title&amp;rft_dat=xri:pqd:PMID=52992</t>
  </si>
  <si>
    <t>http://gateway.proquest.com/openurl?url_ver=Z39.88-2004&amp;res_dat=xri:pqm&amp;rft_val_fmt=info:ofi/fmt:kev:mtx:journal&amp;genre=journal&amp;req_dat=xri:pqil:pq_clntid=131239&amp;svc_dat=xri:pqil:context=title&amp;rft_dat=xri:pqd:PMID=2032976</t>
  </si>
  <si>
    <t>Resources for Gender and Women's Studies</t>
  </si>
  <si>
    <t>University of Wisconsin -- Madison</t>
  </si>
  <si>
    <t>2576-0750</t>
  </si>
  <si>
    <t>http://gateway.proquest.com/openurl?url_ver=Z39.88-2004&amp;res_dat=xri:pqm&amp;rft_val_fmt=info:ofi/fmt:kev:mtx:journal&amp;genre=journal&amp;req_dat=xri:pqil:pq_clntid=131239&amp;svc_dat=xri:pqil:context=title&amp;rft_dat=xri:pqd:PMID=27053</t>
  </si>
  <si>
    <t>http://gateway.proquest.com/openurl?url_ver=Z39.88-2004&amp;res_dat=xri:pqm&amp;rft_val_fmt=info:ofi/fmt:kev:mtx:journal&amp;genre=journal&amp;req_dat=xri:pqil:pq_clntid=131239&amp;svc_dat=xri:pqil:context=title&amp;rft_dat=xri:pqd:PMID=5485083</t>
  </si>
  <si>
    <t>http://gateway.proquest.com/openurl?url_ver=Z39.88-2004&amp;res_dat=xri:pqm&amp;rft_val_fmt=info:ofi/fmt:kev:mtx:journal&amp;genre=journal&amp;req_dat=xri:pqil:pq_clntid=131239&amp;svc_dat=xri:pqil:context=title&amp;rft_dat=xri:pqd:PMID=5485106</t>
  </si>
  <si>
    <t>http://gateway.proquest.com/openurl?url_ver=Z39.88-2004&amp;res_dat=xri:pqm&amp;rft_val_fmt=info:ofi/fmt:kev:mtx:journal&amp;genre=journal&amp;req_dat=xri:pqil:pq_clntid=131239&amp;svc_dat=xri:pqil:context=title&amp;rft_dat=xri:pqd:PMID=6059459</t>
  </si>
  <si>
    <t>01-Jan-2019--31-Dec-2019; 01-Jan-2021--31-Dec-2021</t>
  </si>
  <si>
    <t>http://gateway.proquest.com/openurl?url_ver=Z39.88-2004&amp;res_dat=xri:pqm&amp;rft_val_fmt=info:ofi/fmt:kev:mtx:journal&amp;genre=journal&amp;req_dat=xri:pqil:pq_clntid=131239&amp;svc_dat=xri:pqil:context=title&amp;rft_dat=xri:pqd:PMID=2042519</t>
  </si>
  <si>
    <t>http://gateway.proquest.com/openurl?url_ver=Z39.88-2004&amp;res_dat=xri:pqm&amp;rft_val_fmt=info:ofi/fmt:kev:mtx:journal&amp;genre=journal&amp;req_dat=xri:pqil:pq_clntid=131239&amp;svc_dat=xri:pqil:context=title&amp;rft_dat=xri:pqd:PMID=42090</t>
  </si>
  <si>
    <t>http://gateway.proquest.com/openurl?url_ver=Z39.88-2004&amp;res_dat=xri:pqm&amp;rft_val_fmt=info:ofi/fmt:kev:mtx:journal&amp;genre=journal&amp;req_dat=xri:pqil:pq_clntid=131239&amp;svc_dat=xri:pqil:context=title&amp;rft_dat=xri:pqd:PMID=40556</t>
  </si>
  <si>
    <t>http://gateway.proquest.com/openurl?url_ver=Z39.88-2004&amp;res_dat=xri:pqm&amp;rft_val_fmt=info:ofi/fmt:kev:mtx:journal&amp;genre=journal&amp;req_dat=xri:pqil:pq_clntid=131239&amp;svc_dat=xri:pqil:context=title&amp;rft_dat=xri:pqd:PMID=4422176</t>
  </si>
  <si>
    <t>http://gateway.proquest.com/openurl?url_ver=Z39.88-2004&amp;res_dat=xri:pqm&amp;rft_val_fmt=info:ofi/fmt:kev:mtx:journal&amp;genre=journal&amp;req_dat=xri:pqil:pq_clntid=131239&amp;svc_dat=xri:pqil:context=title&amp;rft_dat=xri:pqd:PMID=37879</t>
  </si>
  <si>
    <t>http://gateway.proquest.com/openurl?url_ver=Z39.88-2004&amp;res_dat=xri:pqm&amp;rft_val_fmt=info:ofi/fmt:kev:mtx:journal&amp;genre=journal&amp;req_dat=xri:pqil:pq_clntid=131239&amp;svc_dat=xri:pqil:context=title&amp;rft_dat=xri:pqd:PMID=326314</t>
  </si>
  <si>
    <t>http://gateway.proquest.com/openurl?url_ver=Z39.88-2004&amp;res_dat=xri:pqm&amp;rft_val_fmt=info:ofi/fmt:kev:mtx:journal&amp;genre=journal&amp;req_dat=xri:pqil:pq_clntid=131239&amp;svc_dat=xri:pqil:context=title&amp;rft_dat=xri:pqd:PMID=2045896</t>
  </si>
  <si>
    <t>http://gateway.proquest.com/openurl?url_ver=Z39.88-2004&amp;res_dat=xri:pqm&amp;rft_val_fmt=info:ofi/fmt:kev:mtx:journal&amp;genre=journal&amp;req_dat=xri:pqil:pq_clntid=131239&amp;svc_dat=xri:pqil:context=title&amp;rft_dat=xri:pqd:PMID=34286</t>
  </si>
  <si>
    <t>http://gateway.proquest.com/openurl?url_ver=Z39.88-2004&amp;res_dat=xri:pqm&amp;rft_val_fmt=info:ofi/fmt:kev:mtx:journal&amp;genre=journal&amp;req_dat=xri:pqil:pq_clntid=131239&amp;svc_dat=xri:pqil:context=title&amp;rft_dat=xri:pqd:PMID=2031311</t>
  </si>
  <si>
    <t>http://gateway.proquest.com/openurl?url_ver=Z39.88-2004&amp;res_dat=xri:pqm&amp;rft_val_fmt=info:ofi/fmt:kev:mtx:journal&amp;genre=journal&amp;req_dat=xri:pqil:pq_clntid=131239&amp;svc_dat=xri:pqil:context=title&amp;rft_dat=xri:pqd:PMID=4380457</t>
  </si>
  <si>
    <t>São Paulo</t>
  </si>
  <si>
    <t>http://gateway.proquest.com/openurl?url_ver=Z39.88-2004&amp;res_dat=xri:pqm&amp;rft_val_fmt=info:ofi/fmt:kev:mtx:journal&amp;genre=journal&amp;req_dat=xri:pqil:pq_clntid=131239&amp;svc_dat=xri:pqil:context=title&amp;rft_dat=xri:pqd:PMID=6373420</t>
  </si>
  <si>
    <t>http://gateway.proquest.com/openurl?url_ver=Z39.88-2004&amp;res_dat=xri:pqm&amp;rft_val_fmt=info:ofi/fmt:kev:mtx:journal&amp;genre=journal&amp;req_dat=xri:pqil:pq_clntid=131239&amp;svc_dat=xri:pqil:context=title&amp;rft_dat=xri:pqd:PMID=756333</t>
  </si>
  <si>
    <t>http://gateway.proquest.com/openurl?url_ver=Z39.88-2004&amp;res_dat=xri:pqm&amp;rft_val_fmt=info:ofi/fmt:kev:mtx:journal&amp;genre=journal&amp;req_dat=xri:pqil:pq_clntid=131239&amp;svc_dat=xri:pqil:context=title&amp;rft_dat=xri:pqd:PMID=2035760</t>
  </si>
  <si>
    <t>http://gateway.proquest.com/openurl?url_ver=Z39.88-2004&amp;res_dat=xri:pqm&amp;rft_val_fmt=info:ofi/fmt:kev:mtx:journal&amp;genre=journal&amp;req_dat=xri:pqil:pq_clntid=131239&amp;svc_dat=xri:pqil:context=title&amp;rft_dat=xri:pqd:PMID=1596348</t>
  </si>
  <si>
    <t>Medellin</t>
  </si>
  <si>
    <t>http://gateway.proquest.com/openurl?url_ver=Z39.88-2004&amp;res_dat=xri:pqm&amp;rft_val_fmt=info:ofi/fmt:kev:mtx:journal&amp;genre=journal&amp;req_dat=xri:pqil:pq_clntid=131239&amp;svc_dat=xri:pqil:context=title&amp;rft_dat=xri:pqd:PMID=2050640</t>
  </si>
  <si>
    <t>http://gateway.proquest.com/openurl?url_ver=Z39.88-2004&amp;res_dat=xri:pqm&amp;rft_val_fmt=info:ofi/fmt:kev:mtx:journal&amp;genre=journal&amp;req_dat=xri:pqil:pq_clntid=131239&amp;svc_dat=xri:pqil:context=title&amp;rft_dat=xri:pqd:PMID=226449</t>
  </si>
  <si>
    <t>Jalisco</t>
  </si>
  <si>
    <t>http://gateway.proquest.com/openurl?url_ver=Z39.88-2004&amp;res_dat=xri:pqm&amp;rft_val_fmt=info:ofi/fmt:kev:mtx:journal&amp;genre=journal&amp;req_dat=xri:pqil:pq_clntid=131239&amp;svc_dat=xri:pqil:context=title&amp;rft_dat=xri:pqd:PMID=2036193</t>
  </si>
  <si>
    <t>Goiânia</t>
  </si>
  <si>
    <t>http://gateway.proquest.com/openurl?url_ver=Z39.88-2004&amp;res_dat=xri:pqm&amp;rft_val_fmt=info:ofi/fmt:kev:mtx:journal&amp;genre=journal&amp;req_dat=xri:pqil:pq_clntid=131239&amp;svc_dat=xri:pqil:context=title&amp;rft_dat=xri:pqd:PMID=2032549</t>
  </si>
  <si>
    <t>Ribeirao Preto</t>
  </si>
  <si>
    <t>http://gateway.proquest.com/openurl?url_ver=Z39.88-2004&amp;res_dat=xri:pqm&amp;rft_val_fmt=info:ofi/fmt:kev:mtx:journal&amp;genre=journal&amp;req_dat=xri:pqil:pq_clntid=131239&amp;svc_dat=xri:pqil:context=title&amp;rft_dat=xri:pqd:PMID=2030189</t>
  </si>
  <si>
    <t>http://gateway.proquest.com/openurl?url_ver=Z39.88-2004&amp;res_dat=xri:pqm&amp;rft_val_fmt=info:ofi/fmt:kev:mtx:journal&amp;genre=journal&amp;req_dat=xri:pqil:pq_clntid=131239&amp;svc_dat=xri:pqil:context=title&amp;rft_dat=xri:pqd:PMID=1246336</t>
  </si>
  <si>
    <t>http://gateway.proquest.com/openurl?url_ver=Z39.88-2004&amp;res_dat=xri:pqm&amp;rft_val_fmt=info:ofi/fmt:kev:mtx:journal&amp;genre=journal&amp;req_dat=xri:pqil:pq_clntid=131239&amp;svc_dat=xri:pqil:context=title&amp;rft_dat=xri:pqd:PMID=796384</t>
  </si>
  <si>
    <t>http://gateway.proquest.com/openurl?url_ver=Z39.88-2004&amp;res_dat=xri:pqm&amp;rft_val_fmt=info:ofi/fmt:kev:mtx:journal&amp;genre=journal&amp;req_dat=xri:pqil:pq_clntid=131239&amp;svc_dat=xri:pqil:context=title&amp;rft_dat=xri:pqd:PMID=4852144</t>
  </si>
  <si>
    <t>http://gateway.proquest.com/openurl?url_ver=Z39.88-2004&amp;res_dat=xri:pqm&amp;rft_val_fmt=info:ofi/fmt:kev:mtx:journal&amp;genre=journal&amp;req_dat=xri:pqil:pq_clntid=131239&amp;svc_dat=xri:pqil:context=title&amp;rft_dat=xri:pqd:PMID=4385535</t>
  </si>
  <si>
    <t>http://gateway.proquest.com/openurl?url_ver=Z39.88-2004&amp;res_dat=xri:pqm&amp;rft_val_fmt=info:ofi/fmt:kev:mtx:journal&amp;genre=journal&amp;req_dat=xri:pqil:pq_clntid=131239&amp;svc_dat=xri:pqil:context=title&amp;rft_dat=xri:pqd:PMID=5854954</t>
  </si>
  <si>
    <t>http://gateway.proquest.com/openurl?url_ver=Z39.88-2004&amp;res_dat=xri:pqm&amp;rft_val_fmt=info:ofi/fmt:kev:mtx:journal&amp;genre=journal&amp;req_dat=xri:pqil:pq_clntid=131239&amp;svc_dat=xri:pqil:context=title&amp;rft_dat=xri:pqd:PMID=1596351</t>
  </si>
  <si>
    <t>A Coruna</t>
  </si>
  <si>
    <t>http://gateway.proquest.com/openurl?url_ver=Z39.88-2004&amp;res_dat=xri:pqm&amp;rft_val_fmt=info:ofi/fmt:kev:mtx:journal&amp;genre=journal&amp;req_dat=xri:pqil:pq_clntid=131239&amp;svc_dat=xri:pqil:context=title&amp;rft_dat=xri:pqd:PMID=2026618</t>
  </si>
  <si>
    <t>http://gateway.proquest.com/openurl?url_ver=Z39.88-2004&amp;res_dat=xri:pqm&amp;rft_val_fmt=info:ofi/fmt:kev:mtx:journal&amp;genre=journal&amp;req_dat=xri:pqil:pq_clntid=131239&amp;svc_dat=xri:pqil:context=title&amp;rft_dat=xri:pqd:PMID=276215</t>
  </si>
  <si>
    <t>http://gateway.proquest.com/openurl?url_ver=Z39.88-2004&amp;res_dat=xri:pqm&amp;rft_val_fmt=info:ofi/fmt:kev:mtx:journal&amp;genre=journal&amp;req_dat=xri:pqil:pq_clntid=131239&amp;svc_dat=xri:pqil:context=title&amp;rft_dat=xri:pqd:PMID=5643029</t>
  </si>
  <si>
    <t>http://gateway.proquest.com/openurl?url_ver=Z39.88-2004&amp;res_dat=xri:pqm&amp;rft_val_fmt=info:ofi/fmt:kev:mtx:journal&amp;genre=journal&amp;req_dat=xri:pqil:pq_clntid=131239&amp;svc_dat=xri:pqil:context=title&amp;rft_dat=xri:pqd:PMID=6059458</t>
  </si>
  <si>
    <t>Morro Bay</t>
  </si>
  <si>
    <t>http://gateway.proquest.com/openurl?url_ver=Z39.88-2004&amp;res_dat=xri:pqm&amp;rft_val_fmt=info:ofi/fmt:kev:mtx:journal&amp;genre=journal&amp;req_dat=xri:pqil:pq_clntid=131239&amp;svc_dat=xri:pqil:context=title&amp;rft_dat=xri:pqd:PMID=6364603</t>
  </si>
  <si>
    <t>Middletown</t>
  </si>
  <si>
    <t>http://gateway.proquest.com/openurl?url_ver=Z39.88-2004&amp;res_dat=xri:pqm&amp;rft_val_fmt=info:ofi/fmt:kev:mtx:journal&amp;genre=journal&amp;req_dat=xri:pqil:pq_clntid=131239&amp;svc_dat=xri:pqil:context=title&amp;rft_dat=xri:pqd:PMID=5488549</t>
  </si>
  <si>
    <t>http://gateway.proquest.com/openurl?url_ver=Z39.88-2004&amp;res_dat=xri:pqm&amp;rft_val_fmt=info:ofi/fmt:kev:mtx:journal&amp;genre=journal&amp;req_dat=xri:pqil:pq_clntid=131239&amp;svc_dat=xri:pqil:context=title&amp;rft_dat=xri:pqd:PMID=1356357</t>
  </si>
  <si>
    <t>Bloomfield Hills</t>
  </si>
  <si>
    <t>http://gateway.proquest.com/openurl?url_ver=Z39.88-2004&amp;res_dat=xri:pqm&amp;rft_val_fmt=info:ofi/fmt:kev:mtx:journal&amp;genre=journal&amp;req_dat=xri:pqil:pq_clntid=131239&amp;svc_dat=xri:pqil:context=title&amp;rft_dat=xri:pqd:PMID=48207</t>
  </si>
  <si>
    <t>http://gateway.proquest.com/openurl?url_ver=Z39.88-2004&amp;res_dat=xri:pqm&amp;rft_val_fmt=info:ofi/fmt:kev:mtx:journal&amp;genre=journal&amp;req_dat=xri:pqil:pq_clntid=131239&amp;svc_dat=xri:pqil:context=title&amp;rft_dat=xri:pqd:PMID=2035683</t>
  </si>
  <si>
    <t>http://gateway.proquest.com/openurl?url_ver=Z39.88-2004&amp;res_dat=xri:pqm&amp;rft_val_fmt=info:ofi/fmt:kev:mtx:journal&amp;genre=journal&amp;req_dat=xri:pqil:pq_clntid=131239&amp;svc_dat=xri:pqil:context=title&amp;rft_dat=xri:pqd:PMID=2050687</t>
  </si>
  <si>
    <t>Rosenberg Self-Esteem Scale</t>
  </si>
  <si>
    <t>University of Maryland, Department of Sociology</t>
  </si>
  <si>
    <t>http://gateway.proquest.com/openurl?url_ver=Z39.88-2004&amp;res_dat=xri:pqm&amp;rft_val_fmt=info:ofi/fmt:kev:mtx:journal&amp;genre=journal&amp;req_dat=xri:pqil:pq_clntid=131239&amp;svc_dat=xri:pqil:context=title&amp;rft_dat=xri:pqd:PMID=6608082</t>
  </si>
  <si>
    <t>http://gateway.proquest.com/openurl?url_ver=Z39.88-2004&amp;res_dat=xri:pqm&amp;rft_val_fmt=info:ofi/fmt:kev:mtx:journal&amp;genre=journal&amp;req_dat=xri:pqil:pq_clntid=131239&amp;svc_dat=xri:pqil:context=title&amp;rft_dat=xri:pqd:PMID=6059457</t>
  </si>
  <si>
    <t>Auckland Park</t>
  </si>
  <si>
    <t>http://gateway.proquest.com/openurl?url_ver=Z39.88-2004&amp;res_dat=xri:pqm&amp;rft_val_fmt=info:ofi/fmt:kev:mtx:journal&amp;genre=journal&amp;req_dat=xri:pqil:pq_clntid=131239&amp;svc_dat=xri:pqil:context=title&amp;rft_dat=xri:pqd:PMID=646364</t>
  </si>
  <si>
    <t>http://gateway.proquest.com/openurl?url_ver=Z39.88-2004&amp;res_dat=xri:pqm&amp;rft_val_fmt=info:ofi/fmt:kev:mtx:journal&amp;genre=journal&amp;req_dat=xri:pqil:pq_clntid=131239&amp;svc_dat=xri:pqil:context=title&amp;rft_dat=xri:pqd:PMID=2045094</t>
  </si>
  <si>
    <t>http://gateway.proquest.com/openurl?url_ver=Z39.88-2004&amp;res_dat=xri:pqm&amp;rft_val_fmt=info:ofi/fmt:kev:mtx:journal&amp;genre=journal&amp;req_dat=xri:pqil:pq_clntid=131239&amp;svc_dat=xri:pqil:context=title&amp;rft_dat=xri:pqd:PMID=4396629</t>
  </si>
  <si>
    <t>http://gateway.proquest.com/openurl?url_ver=Z39.88-2004&amp;res_dat=xri:pqm&amp;rft_val_fmt=info:ofi/fmt:kev:mtx:journal&amp;genre=journal&amp;req_dat=xri:pqil:pq_clntid=131239&amp;svc_dat=xri:pqil:context=title&amp;rft_dat=xri:pqd:PMID=29082</t>
  </si>
  <si>
    <t>STAT</t>
  </si>
  <si>
    <t>Boston Globe Life Sciences Media LLC: STAT</t>
  </si>
  <si>
    <t>2770-8020</t>
  </si>
  <si>
    <t>http://gateway.proquest.com/openurl?url_ver=Z39.88-2004&amp;res_dat=xri:pqm&amp;rft_val_fmt=info:ofi/fmt:kev:mtx:journal&amp;genre=journal&amp;req_dat=xri:pqil:pq_clntid=131239&amp;svc_dat=xri:pqil:context=title&amp;rft_dat=xri:pqd:PMID=5155241</t>
  </si>
  <si>
    <t>http://gateway.proquest.com/openurl?url_ver=Z39.88-2004&amp;res_dat=xri:pqm&amp;rft_val_fmt=info:ofi/fmt:kev:mtx:journal&amp;genre=journal&amp;req_dat=xri:pqil:pq_clntid=131239&amp;svc_dat=xri:pqil:context=title&amp;rft_dat=xri:pqd:PMID=5485100</t>
  </si>
  <si>
    <t>http://gateway.proquest.com/openurl?url_ver=Z39.88-2004&amp;res_dat=xri:pqm&amp;rft_val_fmt=info:ofi/fmt:kev:mtx:journal&amp;genre=journal&amp;req_dat=xri:pqil:pq_clntid=131239&amp;svc_dat=xri:pqil:context=title&amp;rft_dat=xri:pqd:PMID=5263195</t>
  </si>
  <si>
    <t>http://gateway.proquest.com/openurl?url_ver=Z39.88-2004&amp;res_dat=xri:pqm&amp;rft_val_fmt=info:ofi/fmt:kev:mtx:journal&amp;genre=journal&amp;req_dat=xri:pqil:pq_clntid=131239&amp;svc_dat=xri:pqil:context=title&amp;rft_dat=xri:pqd:PMID=6059456</t>
  </si>
  <si>
    <t>http://gateway.proquest.com/openurl?url_ver=Z39.88-2004&amp;res_dat=xri:pqm&amp;rft_val_fmt=info:ofi/fmt:kev:mtx:journal&amp;genre=journal&amp;req_dat=xri:pqil:pq_clntid=131239&amp;svc_dat=xri:pqil:context=title&amp;rft_dat=xri:pqd:PMID=5485135</t>
  </si>
  <si>
    <t>http://gateway.proquest.com/openurl?url_ver=Z39.88-2004&amp;res_dat=xri:pqm&amp;rft_val_fmt=info:ofi/fmt:kev:mtx:journal&amp;genre=journal&amp;req_dat=xri:pqil:pq_clntid=131239&amp;svc_dat=xri:pqil:context=title&amp;rft_dat=xri:pqd:PMID=5485136</t>
  </si>
  <si>
    <t>http://gateway.proquest.com/openurl?url_ver=Z39.88-2004&amp;res_dat=xri:pqm&amp;rft_val_fmt=info:ofi/fmt:kev:mtx:journal&amp;genre=journal&amp;req_dat=xri:pqil:pq_clntid=131239&amp;svc_dat=xri:pqil:context=title&amp;rft_dat=xri:pqd:PMID=5485128</t>
  </si>
  <si>
    <t>http://gateway.proquest.com/openurl?url_ver=Z39.88-2004&amp;res_dat=xri:pqm&amp;rft_val_fmt=info:ofi/fmt:kev:mtx:journal&amp;genre=journal&amp;req_dat=xri:pqil:pq_clntid=131239&amp;svc_dat=xri:pqil:context=title&amp;rft_dat=xri:pqd:PMID=5485162</t>
  </si>
  <si>
    <t>http://gateway.proquest.com/openurl?url_ver=Z39.88-2004&amp;res_dat=xri:pqm&amp;rft_val_fmt=info:ofi/fmt:kev:mtx:journal&amp;genre=journal&amp;req_dat=xri:pqil:pq_clntid=131239&amp;svc_dat=xri:pqil:context=title&amp;rft_dat=xri:pqd:PMID=5485163</t>
  </si>
  <si>
    <t>http://gateway.proquest.com/openurl?url_ver=Z39.88-2004&amp;res_dat=xri:pqm&amp;rft_val_fmt=info:ofi/fmt:kev:mtx:journal&amp;genre=journal&amp;req_dat=xri:pqil:pq_clntid=131239&amp;svc_dat=xri:pqil:context=title&amp;rft_dat=xri:pqd:PMID=5325180</t>
  </si>
  <si>
    <t>http://gateway.proquest.com/openurl?url_ver=Z39.88-2004&amp;res_dat=xri:pqm&amp;rft_val_fmt=info:ofi/fmt:kev:mtx:journal&amp;genre=journal&amp;req_dat=xri:pqil:pq_clntid=131239&amp;svc_dat=xri:pqil:context=title&amp;rft_dat=xri:pqd:PMID=5485169</t>
  </si>
  <si>
    <t>http://gateway.proquest.com/openurl?url_ver=Z39.88-2004&amp;res_dat=xri:pqm&amp;rft_val_fmt=info:ofi/fmt:kev:mtx:journal&amp;genre=journal&amp;req_dat=xri:pqil:pq_clntid=131239&amp;svc_dat=xri:pqil:context=title&amp;rft_dat=xri:pqd:PMID=5485129</t>
  </si>
  <si>
    <t>http://gateway.proquest.com/openurl?url_ver=Z39.88-2004&amp;res_dat=xri:pqm&amp;rft_val_fmt=info:ofi/fmt:kev:mtx:journal&amp;genre=journal&amp;req_dat=xri:pqil:pq_clntid=131239&amp;svc_dat=xri:pqil:context=title&amp;rft_dat=xri:pqd:PMID=5485131</t>
  </si>
  <si>
    <t>http://gateway.proquest.com/openurl?url_ver=Z39.88-2004&amp;res_dat=xri:pqm&amp;rft_val_fmt=info:ofi/fmt:kev:mtx:journal&amp;genre=journal&amp;req_dat=xri:pqil:pq_clntid=131239&amp;svc_dat=xri:pqil:context=title&amp;rft_dat=xri:pqd:PMID=5485130</t>
  </si>
  <si>
    <t>http://gateway.proquest.com/openurl?url_ver=Z39.88-2004&amp;res_dat=xri:pqm&amp;rft_val_fmt=info:ofi/fmt:kev:mtx:journal&amp;genre=journal&amp;req_dat=xri:pqil:pq_clntid=131239&amp;svc_dat=xri:pqil:context=title&amp;rft_dat=xri:pqd:PMID=5485168</t>
  </si>
  <si>
    <t>http://gateway.proquest.com/openurl?url_ver=Z39.88-2004&amp;res_dat=xri:pqm&amp;rft_val_fmt=info:ofi/fmt:kev:mtx:journal&amp;genre=journal&amp;req_dat=xri:pqil:pq_clntid=131239&amp;svc_dat=xri:pqil:context=title&amp;rft_dat=xri:pqd:PMID=5485167</t>
  </si>
  <si>
    <t>http://gateway.proquest.com/openurl?url_ver=Z39.88-2004&amp;res_dat=xri:pqm&amp;rft_val_fmt=info:ofi/fmt:kev:mtx:journal&amp;genre=journal&amp;req_dat=xri:pqil:pq_clntid=131239&amp;svc_dat=xri:pqil:context=title&amp;rft_dat=xri:pqd:PMID=5485166</t>
  </si>
  <si>
    <t>http://gateway.proquest.com/openurl?url_ver=Z39.88-2004&amp;res_dat=xri:pqm&amp;rft_val_fmt=info:ofi/fmt:kev:mtx:journal&amp;genre=journal&amp;req_dat=xri:pqil:pq_clntid=131239&amp;svc_dat=xri:pqil:context=title&amp;rft_dat=xri:pqd:PMID=5485165</t>
  </si>
  <si>
    <t>http://gateway.proquest.com/openurl?url_ver=Z39.88-2004&amp;res_dat=xri:pqm&amp;rft_val_fmt=info:ofi/fmt:kev:mtx:journal&amp;genre=journal&amp;req_dat=xri:pqil:pq_clntid=131239&amp;svc_dat=xri:pqil:context=title&amp;rft_dat=xri:pqd:PMID=5485142</t>
  </si>
  <si>
    <t>http://gateway.proquest.com/openurl?url_ver=Z39.88-2004&amp;res_dat=xri:pqm&amp;rft_val_fmt=info:ofi/fmt:kev:mtx:journal&amp;genre=journal&amp;req_dat=xri:pqil:pq_clntid=131239&amp;svc_dat=xri:pqil:context=title&amp;rft_dat=xri:pqd:PMID=5485152</t>
  </si>
  <si>
    <t>http://gateway.proquest.com/openurl?url_ver=Z39.88-2004&amp;res_dat=xri:pqm&amp;rft_val_fmt=info:ofi/fmt:kev:mtx:journal&amp;genre=journal&amp;req_dat=xri:pqil:pq_clntid=131239&amp;svc_dat=xri:pqil:context=title&amp;rft_dat=xri:pqd:PMID=5485147</t>
  </si>
  <si>
    <t>http://gateway.proquest.com/openurl?url_ver=Z39.88-2004&amp;res_dat=xri:pqm&amp;rft_val_fmt=info:ofi/fmt:kev:mtx:journal&amp;genre=journal&amp;req_dat=xri:pqil:pq_clntid=131239&amp;svc_dat=xri:pqil:context=title&amp;rft_dat=xri:pqd:PMID=5485134</t>
  </si>
  <si>
    <t>http://gateway.proquest.com/openurl?url_ver=Z39.88-2004&amp;res_dat=xri:pqm&amp;rft_val_fmt=info:ofi/fmt:kev:mtx:journal&amp;genre=journal&amp;req_dat=xri:pqil:pq_clntid=131239&amp;svc_dat=xri:pqil:context=title&amp;rft_dat=xri:pqd:PMID=5485154</t>
  </si>
  <si>
    <t>http://gateway.proquest.com/openurl?url_ver=Z39.88-2004&amp;res_dat=xri:pqm&amp;rft_val_fmt=info:ofi/fmt:kev:mtx:journal&amp;genre=journal&amp;req_dat=xri:pqil:pq_clntid=131239&amp;svc_dat=xri:pqil:context=title&amp;rft_dat=xri:pqd:PMID=5485133</t>
  </si>
  <si>
    <t>http://gateway.proquest.com/openurl?url_ver=Z39.88-2004&amp;res_dat=xri:pqm&amp;rft_val_fmt=info:ofi/fmt:kev:mtx:journal&amp;genre=journal&amp;req_dat=xri:pqil:pq_clntid=131239&amp;svc_dat=xri:pqil:context=title&amp;rft_dat=xri:pqd:PMID=5485151</t>
  </si>
  <si>
    <t>http://gateway.proquest.com/openurl?url_ver=Z39.88-2004&amp;res_dat=xri:pqm&amp;rft_val_fmt=info:ofi/fmt:kev:mtx:journal&amp;genre=journal&amp;req_dat=xri:pqil:pq_clntid=131239&amp;svc_dat=xri:pqil:context=title&amp;rft_dat=xri:pqd:PMID=5485141</t>
  </si>
  <si>
    <t>http://gateway.proquest.com/openurl?url_ver=Z39.88-2004&amp;res_dat=xri:pqm&amp;rft_val_fmt=info:ofi/fmt:kev:mtx:journal&amp;genre=journal&amp;req_dat=xri:pqil:pq_clntid=131239&amp;svc_dat=xri:pqil:context=title&amp;rft_dat=xri:pqd:PMID=5485150</t>
  </si>
  <si>
    <t>http://gateway.proquest.com/openurl?url_ver=Z39.88-2004&amp;res_dat=xri:pqm&amp;rft_val_fmt=info:ofi/fmt:kev:mtx:journal&amp;genre=journal&amp;req_dat=xri:pqil:pq_clntid=131239&amp;svc_dat=xri:pqil:context=title&amp;rft_dat=xri:pqd:PMID=5485140</t>
  </si>
  <si>
    <t>http://gateway.proquest.com/openurl?url_ver=Z39.88-2004&amp;res_dat=xri:pqm&amp;rft_val_fmt=info:ofi/fmt:kev:mtx:journal&amp;genre=journal&amp;req_dat=xri:pqil:pq_clntid=131239&amp;svc_dat=xri:pqil:context=title&amp;rft_dat=xri:pqd:PMID=5485146</t>
  </si>
  <si>
    <t>http://gateway.proquest.com/openurl?url_ver=Z39.88-2004&amp;res_dat=xri:pqm&amp;rft_val_fmt=info:ofi/fmt:kev:mtx:journal&amp;genre=journal&amp;req_dat=xri:pqil:pq_clntid=131239&amp;svc_dat=xri:pqil:context=title&amp;rft_dat=xri:pqd:PMID=5485159</t>
  </si>
  <si>
    <t>http://gateway.proquest.com/openurl?url_ver=Z39.88-2004&amp;res_dat=xri:pqm&amp;rft_val_fmt=info:ofi/fmt:kev:mtx:journal&amp;genre=journal&amp;req_dat=xri:pqil:pq_clntid=131239&amp;svc_dat=xri:pqil:context=title&amp;rft_dat=xri:pqd:PMID=5485125</t>
  </si>
  <si>
    <t>http://gateway.proquest.com/openurl?url_ver=Z39.88-2004&amp;res_dat=xri:pqm&amp;rft_val_fmt=info:ofi/fmt:kev:mtx:journal&amp;genre=journal&amp;req_dat=xri:pqil:pq_clntid=131239&amp;svc_dat=xri:pqil:context=title&amp;rft_dat=xri:pqd:PMID=5485158</t>
  </si>
  <si>
    <t>http://gateway.proquest.com/openurl?url_ver=Z39.88-2004&amp;res_dat=xri:pqm&amp;rft_val_fmt=info:ofi/fmt:kev:mtx:journal&amp;genre=journal&amp;req_dat=xri:pqil:pq_clntid=131239&amp;svc_dat=xri:pqil:context=title&amp;rft_dat=xri:pqd:PMID=5485161</t>
  </si>
  <si>
    <t>http://gateway.proquest.com/openurl?url_ver=Z39.88-2004&amp;res_dat=xri:pqm&amp;rft_val_fmt=info:ofi/fmt:kev:mtx:journal&amp;genre=journal&amp;req_dat=xri:pqil:pq_clntid=131239&amp;svc_dat=xri:pqil:context=title&amp;rft_dat=xri:pqd:PMID=5485160</t>
  </si>
  <si>
    <t>http://gateway.proquest.com/openurl?url_ver=Z39.88-2004&amp;res_dat=xri:pqm&amp;rft_val_fmt=info:ofi/fmt:kev:mtx:journal&amp;genre=journal&amp;req_dat=xri:pqil:pq_clntid=131239&amp;svc_dat=xri:pqil:context=title&amp;rft_dat=xri:pqd:PMID=5485149</t>
  </si>
  <si>
    <t>http://gateway.proquest.com/openurl?url_ver=Z39.88-2004&amp;res_dat=xri:pqm&amp;rft_val_fmt=info:ofi/fmt:kev:mtx:journal&amp;genre=journal&amp;req_dat=xri:pqil:pq_clntid=131239&amp;svc_dat=xri:pqil:context=title&amp;rft_dat=xri:pqd:PMID=5485127</t>
  </si>
  <si>
    <t>http://gateway.proquest.com/openurl?url_ver=Z39.88-2004&amp;res_dat=xri:pqm&amp;rft_val_fmt=info:ofi/fmt:kev:mtx:journal&amp;genre=journal&amp;req_dat=xri:pqil:pq_clntid=131239&amp;svc_dat=xri:pqil:context=title&amp;rft_dat=xri:pqd:PMID=5485157</t>
  </si>
  <si>
    <t>http://gateway.proquest.com/openurl?url_ver=Z39.88-2004&amp;res_dat=xri:pqm&amp;rft_val_fmt=info:ofi/fmt:kev:mtx:journal&amp;genre=journal&amp;req_dat=xri:pqil:pq_clntid=131239&amp;svc_dat=xri:pqil:context=title&amp;rft_dat=xri:pqd:PMID=5485145</t>
  </si>
  <si>
    <t>http://gateway.proquest.com/openurl?url_ver=Z39.88-2004&amp;res_dat=xri:pqm&amp;rft_val_fmt=info:ofi/fmt:kev:mtx:journal&amp;genre=journal&amp;req_dat=xri:pqil:pq_clntid=131239&amp;svc_dat=xri:pqil:context=title&amp;rft_dat=xri:pqd:PMID=5485144</t>
  </si>
  <si>
    <t>http://gateway.proquest.com/openurl?url_ver=Z39.88-2004&amp;res_dat=xri:pqm&amp;rft_val_fmt=info:ofi/fmt:kev:mtx:journal&amp;genre=journal&amp;req_dat=xri:pqil:pq_clntid=131239&amp;svc_dat=xri:pqil:context=title&amp;rft_dat=xri:pqd:PMID=5485164</t>
  </si>
  <si>
    <t>http://gateway.proquest.com/openurl?url_ver=Z39.88-2004&amp;res_dat=xri:pqm&amp;rft_val_fmt=info:ofi/fmt:kev:mtx:journal&amp;genre=journal&amp;req_dat=xri:pqil:pq_clntid=131239&amp;svc_dat=xri:pqil:context=title&amp;rft_dat=xri:pqd:PMID=5485153</t>
  </si>
  <si>
    <t>http://gateway.proquest.com/openurl?url_ver=Z39.88-2004&amp;res_dat=xri:pqm&amp;rft_val_fmt=info:ofi/fmt:kev:mtx:journal&amp;genre=journal&amp;req_dat=xri:pqil:pq_clntid=131239&amp;svc_dat=xri:pqil:context=title&amp;rft_dat=xri:pqd:PMID=5485156</t>
  </si>
  <si>
    <t>http://gateway.proquest.com/openurl?url_ver=Z39.88-2004&amp;res_dat=xri:pqm&amp;rft_val_fmt=info:ofi/fmt:kev:mtx:journal&amp;genre=journal&amp;req_dat=xri:pqil:pq_clntid=131239&amp;svc_dat=xri:pqil:context=title&amp;rft_dat=xri:pqd:PMID=5485155</t>
  </si>
  <si>
    <t>http://gateway.proquest.com/openurl?url_ver=Z39.88-2004&amp;res_dat=xri:pqm&amp;rft_val_fmt=info:ofi/fmt:kev:mtx:journal&amp;genre=journal&amp;req_dat=xri:pqil:pq_clntid=131239&amp;svc_dat=xri:pqil:context=title&amp;rft_dat=xri:pqd:PMID=5485139</t>
  </si>
  <si>
    <t>http://gateway.proquest.com/openurl?url_ver=Z39.88-2004&amp;res_dat=xri:pqm&amp;rft_val_fmt=info:ofi/fmt:kev:mtx:journal&amp;genre=journal&amp;req_dat=xri:pqil:pq_clntid=131239&amp;svc_dat=xri:pqil:context=title&amp;rft_dat=xri:pqd:PMID=5485138</t>
  </si>
  <si>
    <t>http://gateway.proquest.com/openurl?url_ver=Z39.88-2004&amp;res_dat=xri:pqm&amp;rft_val_fmt=info:ofi/fmt:kev:mtx:journal&amp;genre=journal&amp;req_dat=xri:pqil:pq_clntid=131239&amp;svc_dat=xri:pqil:context=title&amp;rft_dat=xri:pqd:PMID=5485137</t>
  </si>
  <si>
    <t>http://gateway.proquest.com/openurl?url_ver=Z39.88-2004&amp;res_dat=xri:pqm&amp;rft_val_fmt=info:ofi/fmt:kev:mtx:journal&amp;genre=journal&amp;req_dat=xri:pqil:pq_clntid=131239&amp;svc_dat=xri:pqil:context=title&amp;rft_dat=xri:pqd:PMID=5485126</t>
  </si>
  <si>
    <t>http://gateway.proquest.com/openurl?url_ver=Z39.88-2004&amp;res_dat=xri:pqm&amp;rft_val_fmt=info:ofi/fmt:kev:mtx:journal&amp;genre=journal&amp;req_dat=xri:pqil:pq_clntid=131239&amp;svc_dat=xri:pqil:context=title&amp;rft_dat=xri:pqd:PMID=5485132</t>
  </si>
  <si>
    <t>http://gateway.proquest.com/openurl?url_ver=Z39.88-2004&amp;res_dat=xri:pqm&amp;rft_val_fmt=info:ofi/fmt:kev:mtx:journal&amp;genre=journal&amp;req_dat=xri:pqil:pq_clntid=131239&amp;svc_dat=xri:pqil:context=title&amp;rft_dat=xri:pqd:PMID=5485148</t>
  </si>
  <si>
    <t>Sane or Insane?  Or How I Regained Liberty</t>
  </si>
  <si>
    <t>http://gateway.proquest.com/openurl?url_ver=Z39.88-2004&amp;res_dat=xri:pqm&amp;rft_val_fmt=info:ofi/fmt:kev:mtx:journal&amp;genre=journal&amp;req_dat=xri:pqil:pq_clntid=131239&amp;svc_dat=xri:pqil:context=title&amp;rft_dat=xri:pqd:PMID=5983398</t>
  </si>
  <si>
    <t>http://gateway.proquest.com/openurl?url_ver=Z39.88-2004&amp;res_dat=xri:pqm&amp;rft_val_fmt=info:ofi/fmt:kev:mtx:journal&amp;genre=journal&amp;req_dat=xri:pqil:pq_clntid=131239&amp;svc_dat=xri:pqil:context=title&amp;rft_dat=xri:pqd:PMID=48100</t>
  </si>
  <si>
    <t>http://gateway.proquest.com/openurl?url_ver=Z39.88-2004&amp;res_dat=xri:pqm&amp;rft_val_fmt=info:ofi/fmt:kev:mtx:journal&amp;genre=journal&amp;req_dat=xri:pqil:pq_clntid=131239&amp;svc_dat=xri:pqil:context=title&amp;rft_dat=xri:pqd:PMID=53084</t>
  </si>
  <si>
    <t>Stockholm</t>
  </si>
  <si>
    <t>http://gateway.proquest.com/openurl?url_ver=Z39.88-2004&amp;res_dat=xri:pqm&amp;rft_val_fmt=info:ofi/fmt:kev:mtx:journal&amp;genre=journal&amp;req_dat=xri:pqil:pq_clntid=131239&amp;svc_dat=xri:pqil:context=title&amp;rft_dat=xri:pqd:PMID=2032974</t>
  </si>
  <si>
    <t>http://gateway.proquest.com/openurl?url_ver=Z39.88-2004&amp;res_dat=xri:pqm&amp;rft_val_fmt=info:ofi/fmt:kev:mtx:journal&amp;genre=journal&amp;req_dat=xri:pqil:pq_clntid=131239&amp;svc_dat=xri:pqil:context=title&amp;rft_dat=xri:pqd:PMID=1096370</t>
  </si>
  <si>
    <t>http://gateway.proquest.com/openurl?url_ver=Z39.88-2004&amp;res_dat=xri:pqm&amp;rft_val_fmt=info:ofi/fmt:kev:mtx:journal&amp;genre=journal&amp;req_dat=xri:pqil:pq_clntid=131239&amp;svc_dat=xri:pqil:context=title&amp;rft_dat=xri:pqd:PMID=37939</t>
  </si>
  <si>
    <t>http://gateway.proquest.com/openurl?url_ver=Z39.88-2004&amp;res_dat=xri:pqm&amp;rft_val_fmt=info:ofi/fmt:kev:mtx:journal&amp;genre=journal&amp;req_dat=xri:pqil:pq_clntid=131239&amp;svc_dat=xri:pqil:context=title&amp;rft_dat=xri:pqd:PMID=48997</t>
  </si>
  <si>
    <t>http://gateway.proquest.com/openurl?url_ver=Z39.88-2004&amp;res_dat=xri:pqm&amp;rft_val_fmt=info:ofi/fmt:kev:mtx:journal&amp;genre=journal&amp;req_dat=xri:pqil:pq_clntid=131239&amp;svc_dat=xri:pqil:context=title&amp;rft_dat=xri:pqd:PMID=4727249</t>
  </si>
  <si>
    <t>http://gateway.proquest.com/openurl?url_ver=Z39.88-2004&amp;res_dat=xri:pqm&amp;rft_val_fmt=info:ofi/fmt:kev:mtx:journal&amp;genre=journal&amp;req_dat=xri:pqil:pq_clntid=131239&amp;svc_dat=xri:pqil:context=title&amp;rft_dat=xri:pqd:PMID=5263194</t>
  </si>
  <si>
    <t>http://gateway.proquest.com/openurl?url_ver=Z39.88-2004&amp;res_dat=xri:pqm&amp;rft_val_fmt=info:ofi/fmt:kev:mtx:journal&amp;genre=journal&amp;req_dat=xri:pqil:pq_clntid=131239&amp;svc_dat=xri:pqil:context=title&amp;rft_dat=xri:pqd:PMID=28213</t>
  </si>
  <si>
    <t>http://gateway.proquest.com/openurl?url_ver=Z39.88-2004&amp;res_dat=xri:pqm&amp;rft_val_fmt=info:ofi/fmt:kev:mtx:journal&amp;genre=journal&amp;req_dat=xri:pqil:pq_clntid=131239&amp;svc_dat=xri:pqil:context=title&amp;rft_dat=xri:pqd:PMID=35119</t>
  </si>
  <si>
    <t>http://gateway.proquest.com/openurl?url_ver=Z39.88-2004&amp;res_dat=xri:pqm&amp;rft_val_fmt=info:ofi/fmt:kev:mtx:journal&amp;genre=journal&amp;req_dat=xri:pqil:pq_clntid=131239&amp;svc_dat=xri:pqil:context=title&amp;rft_dat=xri:pqd:PMID=2044174</t>
  </si>
  <si>
    <t>http://gateway.proquest.com/openurl?url_ver=Z39.88-2004&amp;res_dat=xri:pqm&amp;rft_val_fmt=info:ofi/fmt:kev:mtx:journal&amp;genre=journal&amp;req_dat=xri:pqil:pq_clntid=131239&amp;svc_dat=xri:pqil:context=title&amp;rft_dat=xri:pqd:PMID=31230</t>
  </si>
  <si>
    <t>http://gateway.proquest.com/openurl?url_ver=Z39.88-2004&amp;res_dat=xri:pqm&amp;rft_val_fmt=info:ofi/fmt:kev:mtx:journal&amp;genre=journal&amp;req_dat=xri:pqil:pq_clntid=131239&amp;svc_dat=xri:pqil:context=title&amp;rft_dat=xri:pqd:PMID=2045596</t>
  </si>
  <si>
    <t>http://gateway.proquest.com/openurl?url_ver=Z39.88-2004&amp;res_dat=xri:pqm&amp;rft_val_fmt=info:ofi/fmt:kev:mtx:journal&amp;genre=journal&amp;req_dat=xri:pqil:pq_clntid=131239&amp;svc_dat=xri:pqil:context=title&amp;rft_dat=xri:pqd:PMID=32995</t>
  </si>
  <si>
    <t>http://gateway.proquest.com/openurl?url_ver=Z39.88-2004&amp;res_dat=xri:pqm&amp;rft_val_fmt=info:ofi/fmt:kev:mtx:journal&amp;genre=journal&amp;req_dat=xri:pqil:pq_clntid=131239&amp;svc_dat=xri:pqil:context=title&amp;rft_dat=xri:pqd:PMID=48217</t>
  </si>
  <si>
    <t>http://gateway.proquest.com/openurl?url_ver=Z39.88-2004&amp;res_dat=xri:pqm&amp;rft_val_fmt=info:ofi/fmt:kev:mtx:journal&amp;genre=journal&amp;req_dat=xri:pqil:pq_clntid=131239&amp;svc_dat=xri:pqil:context=title&amp;rft_dat=xri:pqd:PMID=2035676</t>
  </si>
  <si>
    <t>http://gateway.proquest.com/openurl?url_ver=Z39.88-2004&amp;res_dat=xri:pqm&amp;rft_val_fmt=info:ofi/fmt:kev:mtx:journal&amp;genre=journal&amp;req_dat=xri:pqil:pq_clntid=131239&amp;svc_dat=xri:pqil:context=title&amp;rft_dat=xri:pqd:PMID=6059455</t>
  </si>
  <si>
    <t>http://gateway.proquest.com/openurl?url_ver=Z39.88-2004&amp;res_dat=xri:pqm&amp;rft_val_fmt=info:ofi/fmt:kev:mtx:journal&amp;genre=journal&amp;req_dat=xri:pqil:pq_clntid=131239&amp;svc_dat=xri:pqil:context=title&amp;rft_dat=xri:pqd:PMID=42434</t>
  </si>
  <si>
    <t>http://gateway.proquest.com/openurl?url_ver=Z39.88-2004&amp;res_dat=xri:pqm&amp;rft_val_fmt=info:ofi/fmt:kev:mtx:journal&amp;genre=journal&amp;req_dat=xri:pqil:pq_clntid=131239&amp;svc_dat=xri:pqil:context=title&amp;rft_dat=xri:pqd:PMID=46644</t>
  </si>
  <si>
    <t>http://gateway.proquest.com/openurl?url_ver=Z39.88-2004&amp;res_dat=xri:pqm&amp;rft_val_fmt=info:ofi/fmt:kev:mtx:journal&amp;genre=journal&amp;req_dat=xri:pqil:pq_clntid=131239&amp;svc_dat=xri:pqil:context=title&amp;rft_dat=xri:pqd:PMID=46276</t>
  </si>
  <si>
    <t>http://gateway.proquest.com/openurl?url_ver=Z39.88-2004&amp;res_dat=xri:pqm&amp;rft_val_fmt=info:ofi/fmt:kev:mtx:journal&amp;genre=journal&amp;req_dat=xri:pqil:pq_clntid=131239&amp;svc_dat=xri:pqil:context=title&amp;rft_dat=xri:pqd:PMID=5485120</t>
  </si>
  <si>
    <t>http://gateway.proquest.com/openurl?url_ver=Z39.88-2004&amp;res_dat=xri:pqm&amp;rft_val_fmt=info:ofi/fmt:kev:mtx:journal&amp;genre=journal&amp;req_dat=xri:pqil:pq_clntid=131239&amp;svc_dat=xri:pqil:context=title&amp;rft_dat=xri:pqd:PMID=5485077</t>
  </si>
  <si>
    <t>http://gateway.proquest.com/openurl?url_ver=Z39.88-2004&amp;res_dat=xri:pqm&amp;rft_val_fmt=info:ofi/fmt:kev:mtx:journal&amp;genre=journal&amp;req_dat=xri:pqil:pq_clntid=131239&amp;svc_dat=xri:pqil:context=title&amp;rft_dat=xri:pqd:PMID=6009045</t>
  </si>
  <si>
    <t>http://gateway.proquest.com/openurl?url_ver=Z39.88-2004&amp;res_dat=xri:pqm&amp;rft_val_fmt=info:ofi/fmt:kev:mtx:journal&amp;genre=journal&amp;req_dat=xri:pqil:pq_clntid=131239&amp;svc_dat=xri:pqil:context=title&amp;rft_dat=xri:pqd:PMID=6009046</t>
  </si>
  <si>
    <t>http://gateway.proquest.com/openurl?url_ver=Z39.88-2004&amp;res_dat=xri:pqm&amp;rft_val_fmt=info:ofi/fmt:kev:mtx:journal&amp;genre=journal&amp;req_dat=xri:pqil:pq_clntid=131239&amp;svc_dat=xri:pqil:context=title&amp;rft_dat=xri:pqd:PMID=31219</t>
  </si>
  <si>
    <t>http://gateway.proquest.com/openurl?url_ver=Z39.88-2004&amp;res_dat=xri:pqm&amp;rft_val_fmt=info:ofi/fmt:kev:mtx:journal&amp;genre=journal&amp;req_dat=xri:pqil:pq_clntid=131239&amp;svc_dat=xri:pqil:context=title&amp;rft_dat=xri:pqd:PMID=5485104</t>
  </si>
  <si>
    <t>http://gateway.proquest.com/openurl?url_ver=Z39.88-2004&amp;res_dat=xri:pqm&amp;rft_val_fmt=info:ofi/fmt:kev:mtx:journal&amp;genre=journal&amp;req_dat=xri:pqil:pq_clntid=131239&amp;svc_dat=xri:pqil:context=title&amp;rft_dat=xri:pqd:PMID=216171</t>
  </si>
  <si>
    <t>http://gateway.proquest.com/openurl?url_ver=Z39.88-2004&amp;res_dat=xri:pqm&amp;rft_val_fmt=info:ofi/fmt:kev:mtx:journal&amp;genre=journal&amp;req_dat=xri:pqil:pq_clntid=131239&amp;svc_dat=xri:pqil:context=title&amp;rft_dat=xri:pqd:PMID=5485112</t>
  </si>
  <si>
    <t>Self-Compassion Scale (SCS)</t>
  </si>
  <si>
    <t>http://gateway.proquest.com/openurl?url_ver=Z39.88-2004&amp;res_dat=xri:pqm&amp;rft_val_fmt=info:ofi/fmt:kev:mtx:journal&amp;genre=journal&amp;req_dat=xri:pqil:pq_clntid=131239&amp;svc_dat=xri:pqil:context=title&amp;rft_dat=xri:pqd:PMID=6600373</t>
  </si>
  <si>
    <t>Self-Compassion Scale for Youths (SCS-Y)</t>
  </si>
  <si>
    <t>http://gateway.proquest.com/openurl?url_ver=Z39.88-2004&amp;res_dat=xri:pqm&amp;rft_val_fmt=info:ofi/fmt:kev:mtx:journal&amp;genre=journal&amp;req_dat=xri:pqil:pq_clntid=131239&amp;svc_dat=xri:pqil:context=title&amp;rft_dat=xri:pqd:PMID=6601422</t>
  </si>
  <si>
    <t>Self-Compassion Scale – Short Form (SCS-SF)</t>
  </si>
  <si>
    <t>http://gateway.proquest.com/openurl?url_ver=Z39.88-2004&amp;res_dat=xri:pqm&amp;rft_val_fmt=info:ofi/fmt:kev:mtx:journal&amp;genre=journal&amp;req_dat=xri:pqil:pq_clntid=131239&amp;svc_dat=xri:pqil:context=title&amp;rft_dat=xri:pqd:PMID=6600371</t>
  </si>
  <si>
    <t>http://gateway.proquest.com/openurl?url_ver=Z39.88-2004&amp;res_dat=xri:pqm&amp;rft_val_fmt=info:ofi/fmt:kev:mtx:journal&amp;genre=journal&amp;req_dat=xri:pqil:pq_clntid=131239&amp;svc_dat=xri:pqil:context=title&amp;rft_dat=xri:pqd:PMID=216169</t>
  </si>
  <si>
    <t>http://gateway.proquest.com/openurl?url_ver=Z39.88-2004&amp;res_dat=xri:pqm&amp;rft_val_fmt=info:ofi/fmt:kev:mtx:journal&amp;genre=journal&amp;req_dat=xri:pqil:pq_clntid=131239&amp;svc_dat=xri:pqil:context=title&amp;rft_dat=xri:pqd:PMID=48257</t>
  </si>
  <si>
    <t>http://gateway.proquest.com/openurl?url_ver=Z39.88-2004&amp;res_dat=xri:pqm&amp;rft_val_fmt=info:ofi/fmt:kev:mtx:journal&amp;genre=journal&amp;req_dat=xri:pqil:pq_clntid=131239&amp;svc_dat=xri:pqil:context=title&amp;rft_dat=xri:pqd:PMID=186142</t>
  </si>
  <si>
    <t>Haymarket</t>
  </si>
  <si>
    <t>http://gateway.proquest.com/openurl?url_ver=Z39.88-2004&amp;res_dat=xri:pqm&amp;rft_val_fmt=info:ofi/fmt:kev:mtx:journal&amp;genre=journal&amp;req_dat=xri:pqil:pq_clntid=131239&amp;svc_dat=xri:pqil:context=title&amp;rft_dat=xri:pqd:PMID=466418</t>
  </si>
  <si>
    <t>http://gateway.proquest.com/openurl?url_ver=Z39.88-2004&amp;res_dat=xri:pqm&amp;rft_val_fmt=info:ofi/fmt:kev:mtx:journal&amp;genre=journal&amp;req_dat=xri:pqil:pq_clntid=131239&amp;svc_dat=xri:pqil:context=title&amp;rft_dat=xri:pqd:PMID=53032</t>
  </si>
  <si>
    <t>http://gateway.proquest.com/openurl?url_ver=Z39.88-2004&amp;res_dat=xri:pqm&amp;rft_val_fmt=info:ofi/fmt:kev:mtx:journal&amp;genre=journal&amp;req_dat=xri:pqil:pq_clntid=131239&amp;svc_dat=xri:pqil:context=title&amp;rft_dat=xri:pqd:PMID=46609</t>
  </si>
  <si>
    <t>http://gateway.proquest.com/openurl?url_ver=Z39.88-2004&amp;res_dat=xri:pqm&amp;rft_val_fmt=info:ofi/fmt:kev:mtx:journal&amp;genre=journal&amp;req_dat=xri:pqil:pq_clntid=131239&amp;svc_dat=xri:pqil:context=title&amp;rft_dat=xri:pqd:PMID=2032966</t>
  </si>
  <si>
    <t>http://gateway.proquest.com/openurl?url_ver=Z39.88-2004&amp;res_dat=xri:pqm&amp;rft_val_fmt=info:ofi/fmt:kev:mtx:journal&amp;genre=journal&amp;req_dat=xri:pqil:pq_clntid=131239&amp;svc_dat=xri:pqil:context=title&amp;rft_dat=xri:pqd:PMID=2039953</t>
  </si>
  <si>
    <t>http://gateway.proquest.com/openurl?url_ver=Z39.88-2004&amp;res_dat=xri:pqm&amp;rft_val_fmt=info:ofi/fmt:kev:mtx:journal&amp;genre=journal&amp;req_dat=xri:pqil:pq_clntid=131239&amp;svc_dat=xri:pqil:context=title&amp;rft_dat=xri:pqd:PMID=75938</t>
  </si>
  <si>
    <t>http://gateway.proquest.com/openurl?url_ver=Z39.88-2004&amp;res_dat=xri:pqm&amp;rft_val_fmt=info:ofi/fmt:kev:mtx:journal&amp;genre=journal&amp;req_dat=xri:pqil:pq_clntid=131239&amp;svc_dat=xri:pqil:context=title&amp;rft_dat=xri:pqd:PMID=75954</t>
  </si>
  <si>
    <t>Medical Sciences|People With Disabilities|Psychology</t>
  </si>
  <si>
    <t>http://gateway.proquest.com/openurl?url_ver=Z39.88-2004&amp;res_dat=xri:pqm&amp;rft_val_fmt=info:ofi/fmt:kev:mtx:journal&amp;genre=journal&amp;req_dat=xri:pqil:pq_clntid=131239&amp;svc_dat=xri:pqil:context=title&amp;rft_dat=xri:pqd:PMID=48689</t>
  </si>
  <si>
    <t>http://gateway.proquest.com/openurl?url_ver=Z39.88-2004&amp;res_dat=xri:pqm&amp;rft_val_fmt=info:ofi/fmt:kev:mtx:journal&amp;genre=journal&amp;req_dat=xri:pqil:pq_clntid=131239&amp;svc_dat=xri:pqil:context=title&amp;rft_dat=xri:pqd:PMID=4451064</t>
  </si>
  <si>
    <t>http://gateway.proquest.com/openurl?url_ver=Z39.88-2004&amp;res_dat=xri:pqm&amp;rft_val_fmt=info:ofi/fmt:kev:mtx:journal&amp;genre=journal&amp;req_dat=xri:pqil:pq_clntid=131239&amp;svc_dat=xri:pqil:context=title&amp;rft_dat=xri:pqd:PMID=6059454</t>
  </si>
  <si>
    <t>http://gateway.proquest.com/openurl?url_ver=Z39.88-2004&amp;res_dat=xri:pqm&amp;rft_val_fmt=info:ofi/fmt:kev:mtx:journal&amp;genre=journal&amp;req_dat=xri:pqil:pq_clntid=131239&amp;svc_dat=xri:pqil:context=title&amp;rft_dat=xri:pqd:PMID=6059453</t>
  </si>
  <si>
    <t>http://gateway.proquest.com/openurl?url_ver=Z39.88-2004&amp;res_dat=xri:pqm&amp;rft_val_fmt=info:ofi/fmt:kev:mtx:journal&amp;genre=journal&amp;req_dat=xri:pqil:pq_clntid=131239&amp;svc_dat=xri:pqil:context=title&amp;rft_dat=xri:pqd:PMID=5483635</t>
  </si>
  <si>
    <t>http://gateway.proquest.com/openurl?url_ver=Z39.88-2004&amp;res_dat=xri:pqm&amp;rft_val_fmt=info:ofi/fmt:kev:mtx:journal&amp;genre=journal&amp;req_dat=xri:pqil:pq_clntid=131239&amp;svc_dat=xri:pqil:context=title&amp;rft_dat=xri:pqd:PMID=26077</t>
  </si>
  <si>
    <t>http://gateway.proquest.com/openurl?url_ver=Z39.88-2004&amp;res_dat=xri:pqm&amp;rft_val_fmt=info:ofi/fmt:kev:mtx:journal&amp;genre=journal&amp;req_dat=xri:pqil:pq_clntid=131239&amp;svc_dat=xri:pqil:context=title&amp;rft_dat=xri:pqd:PMID=48022</t>
  </si>
  <si>
    <t>Riga</t>
  </si>
  <si>
    <t>http://gateway.proquest.com/openurl?url_ver=Z39.88-2004&amp;res_dat=xri:pqm&amp;rft_val_fmt=info:ofi/fmt:kev:mtx:journal&amp;genre=journal&amp;req_dat=xri:pqil:pq_clntid=131239&amp;svc_dat=xri:pqil:context=title&amp;rft_dat=xri:pqd:PMID=2026653</t>
  </si>
  <si>
    <t>http://gateway.proquest.com/openurl?url_ver=Z39.88-2004&amp;res_dat=xri:pqm&amp;rft_val_fmt=info:ofi/fmt:kev:mtx:journal&amp;genre=journal&amp;req_dat=xri:pqil:pq_clntid=131239&amp;svc_dat=xri:pqil:context=title&amp;rft_dat=xri:pqd:PMID=48987</t>
  </si>
  <si>
    <t>http://gateway.proquest.com/openurl?url_ver=Z39.88-2004&amp;res_dat=xri:pqm&amp;rft_val_fmt=info:ofi/fmt:kev:mtx:journal&amp;genre=journal&amp;req_dat=xri:pqil:pq_clntid=131239&amp;svc_dat=xri:pqil:context=title&amp;rft_dat=xri:pqd:PMID=5485123</t>
  </si>
  <si>
    <t>Altadena</t>
  </si>
  <si>
    <t>http://gateway.proquest.com/openurl?url_ver=Z39.88-2004&amp;res_dat=xri:pqm&amp;rft_val_fmt=info:ofi/fmt:kev:mtx:journal&amp;genre=journal&amp;req_dat=xri:pqil:pq_clntid=131239&amp;svc_dat=xri:pqil:context=title&amp;rft_dat=xri:pqd:PMID=33610</t>
  </si>
  <si>
    <t>Buffalo</t>
  </si>
  <si>
    <t>http://gateway.proquest.com/openurl?url_ver=Z39.88-2004&amp;res_dat=xri:pqm&amp;rft_val_fmt=info:ofi/fmt:kev:mtx:journal&amp;genre=journal&amp;req_dat=xri:pqil:pq_clntid=131239&amp;svc_dat=xri:pqil:context=title&amp;rft_dat=xri:pqd:PMID=31541</t>
  </si>
  <si>
    <t>http://gateway.proquest.com/openurl?url_ver=Z39.88-2004&amp;res_dat=xri:pqm&amp;rft_val_fmt=info:ofi/fmt:kev:mtx:journal&amp;genre=journal&amp;req_dat=xri:pqil:pq_clntid=131239&amp;svc_dat=xri:pqil:context=title&amp;rft_dat=xri:pqd:PMID=5256664</t>
  </si>
  <si>
    <t>http://gateway.proquest.com/openurl?url_ver=Z39.88-2004&amp;res_dat=xri:pqm&amp;rft_val_fmt=info:ofi/fmt:kev:mtx:journal&amp;genre=journal&amp;req_dat=xri:pqil:pq_clntid=131239&amp;svc_dat=xri:pqil:context=title&amp;rft_dat=xri:pqd:PMID=216166</t>
  </si>
  <si>
    <t>Westchester</t>
  </si>
  <si>
    <t>http://gateway.proquest.com/openurl?url_ver=Z39.88-2004&amp;res_dat=xri:pqm&amp;rft_val_fmt=info:ofi/fmt:kev:mtx:journal&amp;genre=journal&amp;req_dat=xri:pqil:pq_clntid=131239&amp;svc_dat=xri:pqil:context=title&amp;rft_dat=xri:pqd:PMID=2046369</t>
  </si>
  <si>
    <t>http://gateway.proquest.com/openurl?url_ver=Z39.88-2004&amp;res_dat=xri:pqm&amp;rft_val_fmt=info:ofi/fmt:kev:mtx:journal&amp;genre=journal&amp;req_dat=xri:pqil:pq_clntid=131239&amp;svc_dat=xri:pqil:context=title&amp;rft_dat=xri:pqd:PMID=6447802</t>
  </si>
  <si>
    <t>http://gateway.proquest.com/openurl?url_ver=Z39.88-2004&amp;res_dat=xri:pqm&amp;rft_val_fmt=info:ofi/fmt:kev:mtx:journal&amp;genre=journal&amp;req_dat=xri:pqil:pq_clntid=131239&amp;svc_dat=xri:pqil:context=title&amp;rft_dat=xri:pqd:PMID=1136358</t>
  </si>
  <si>
    <t>http://gateway.proquest.com/openurl?url_ver=Z39.88-2004&amp;res_dat=xri:pqm&amp;rft_val_fmt=info:ofi/fmt:kev:mtx:journal&amp;genre=journal&amp;req_dat=xri:pqil:pq_clntid=131239&amp;svc_dat=xri:pqil:context=title&amp;rft_dat=xri:pqd:PMID=5068516</t>
  </si>
  <si>
    <t>http://gateway.proquest.com/openurl?url_ver=Z39.88-2004&amp;res_dat=xri:pqm&amp;rft_val_fmt=info:ofi/fmt:kev:mtx:journal&amp;genre=journal&amp;req_dat=xri:pqil:pq_clntid=131239&amp;svc_dat=xri:pqil:context=title&amp;rft_dat=xri:pqd:PMID=326308</t>
  </si>
  <si>
    <t>http://gateway.proquest.com/openurl?url_ver=Z39.88-2004&amp;res_dat=xri:pqm&amp;rft_val_fmt=info:ofi/fmt:kev:mtx:journal&amp;genre=journal&amp;req_dat=xri:pqil:pq_clntid=131239&amp;svc_dat=xri:pqil:context=title&amp;rft_dat=xri:pqd:PMID=28707</t>
  </si>
  <si>
    <t>http://gateway.proquest.com/openurl?url_ver=Z39.88-2004&amp;res_dat=xri:pqm&amp;rft_val_fmt=info:ofi/fmt:kev:mtx:journal&amp;genre=journal&amp;req_dat=xri:pqil:pq_clntid=131239&amp;svc_dat=xri:pqil:context=title&amp;rft_dat=xri:pqd:PMID=1806365</t>
  </si>
  <si>
    <t>http://gateway.proquest.com/openurl?url_ver=Z39.88-2004&amp;res_dat=xri:pqm&amp;rft_val_fmt=info:ofi/fmt:kev:mtx:journal&amp;genre=journal&amp;req_dat=xri:pqil:pq_clntid=131239&amp;svc_dat=xri:pqil:context=title&amp;rft_dat=xri:pqd:PMID=5485068</t>
  </si>
  <si>
    <t>http://gateway.proquest.com/openurl?url_ver=Z39.88-2004&amp;res_dat=xri:pqm&amp;rft_val_fmt=info:ofi/fmt:kev:mtx:journal&amp;genre=journal&amp;req_dat=xri:pqil:pq_clntid=131239&amp;svc_dat=xri:pqil:context=title&amp;rft_dat=xri:pqd:PMID=32585</t>
  </si>
  <si>
    <t>Norhampton</t>
  </si>
  <si>
    <t>http://gateway.proquest.com/openurl?url_ver=Z39.88-2004&amp;res_dat=xri:pqm&amp;rft_val_fmt=info:ofi/fmt:kev:mtx:journal&amp;genre=journal&amp;req_dat=xri:pqil:pq_clntid=131239&amp;svc_dat=xri:pqil:context=title&amp;rft_dat=xri:pqd:PMID=32944</t>
  </si>
  <si>
    <t>http://gateway.proquest.com/openurl?url_ver=Z39.88-2004&amp;res_dat=xri:pqm&amp;rft_val_fmt=info:ofi/fmt:kev:mtx:journal&amp;genre=journal&amp;req_dat=xri:pqil:pq_clntid=131239&amp;svc_dat=xri:pqil:context=title&amp;rft_dat=xri:pqd:PMID=38969</t>
  </si>
  <si>
    <t>http://gateway.proquest.com/openurl?url_ver=Z39.88-2004&amp;res_dat=xri:pqm&amp;rft_val_fmt=info:ofi/fmt:kev:mtx:journal&amp;genre=journal&amp;req_dat=xri:pqil:pq_clntid=131239&amp;svc_dat=xri:pqil:context=title&amp;rft_dat=xri:pqd:PMID=47863</t>
  </si>
  <si>
    <t>People With Disabilities|Social Services And Welfare</t>
  </si>
  <si>
    <t>http://gateway.proquest.com/openurl?url_ver=Z39.88-2004&amp;res_dat=xri:pqm&amp;rft_val_fmt=info:ofi/fmt:kev:mtx:journal&amp;genre=journal&amp;req_dat=xri:pqil:pq_clntid=131239&amp;svc_dat=xri:pqil:context=title&amp;rft_dat=xri:pqd:PMID=1006508</t>
  </si>
  <si>
    <t>http://gateway.proquest.com/openurl?url_ver=Z39.88-2004&amp;res_dat=xri:pqm&amp;rft_val_fmt=info:ofi/fmt:kev:mtx:journal&amp;genre=journal&amp;req_dat=xri:pqil:pq_clntid=131239&amp;svc_dat=xri:pqil:context=title&amp;rft_dat=xri:pqd:PMID=31358</t>
  </si>
  <si>
    <t>http://gateway.proquest.com/openurl?url_ver=Z39.88-2004&amp;res_dat=xri:pqm&amp;rft_val_fmt=info:ofi/fmt:kev:mtx:journal&amp;genre=journal&amp;req_dat=xri:pqil:pq_clntid=131239&amp;svc_dat=xri:pqil:context=title&amp;rft_dat=xri:pqd:PMID=37399</t>
  </si>
  <si>
    <t>http://gateway.proquest.com/openurl?url_ver=Z39.88-2004&amp;res_dat=xri:pqm&amp;rft_val_fmt=info:ofi/fmt:kev:mtx:journal&amp;genre=journal&amp;req_dat=xri:pqil:pq_clntid=131239&amp;svc_dat=xri:pqil:context=title&amp;rft_dat=xri:pqd:PMID=5324463</t>
  </si>
  <si>
    <t>http://gateway.proquest.com/openurl?url_ver=Z39.88-2004&amp;res_dat=xri:pqm&amp;rft_val_fmt=info:ofi/fmt:kev:mtx:journal&amp;genre=journal&amp;req_dat=xri:pqil:pq_clntid=131239&amp;svc_dat=xri:pqil:context=title&amp;rft_dat=xri:pqd:PMID=5324459</t>
  </si>
  <si>
    <t>http://gateway.proquest.com/openurl?url_ver=Z39.88-2004&amp;res_dat=xri:pqm&amp;rft_val_fmt=info:ofi/fmt:kev:mtx:journal&amp;genre=journal&amp;req_dat=xri:pqil:pq_clntid=131239&amp;svc_dat=xri:pqil:context=title&amp;rft_dat=xri:pqd:PMID=40555</t>
  </si>
  <si>
    <t>http://gateway.proquest.com/openurl?url_ver=Z39.88-2004&amp;res_dat=xri:pqm&amp;rft_val_fmt=info:ofi/fmt:kev:mtx:journal&amp;genre=journal&amp;req_dat=xri:pqil:pq_clntid=131239&amp;svc_dat=xri:pqil:context=title&amp;rft_dat=xri:pqd:PMID=2039116</t>
  </si>
  <si>
    <t>People With Disabilities|Social Services And Welfare|Sociology</t>
  </si>
  <si>
    <t>http://gateway.proquest.com/openurl?url_ver=Z39.88-2004&amp;res_dat=xri:pqm&amp;rft_val_fmt=info:ofi/fmt:kev:mtx:journal&amp;genre=journal&amp;req_dat=xri:pqil:pq_clntid=131239&amp;svc_dat=xri:pqil:context=title&amp;rft_dat=xri:pqd:PMID=5324466</t>
  </si>
  <si>
    <t>http://gateway.proquest.com/openurl?url_ver=Z39.88-2004&amp;res_dat=xri:pqm&amp;rft_val_fmt=info:ofi/fmt:kev:mtx:journal&amp;genre=journal&amp;req_dat=xri:pqil:pq_clntid=131239&amp;svc_dat=xri:pqil:context=title&amp;rft_dat=xri:pqd:PMID=36473</t>
  </si>
  <si>
    <t>http://gateway.proquest.com/openurl?url_ver=Z39.88-2004&amp;res_dat=xri:pqm&amp;rft_val_fmt=info:ofi/fmt:kev:mtx:journal&amp;genre=journal&amp;req_dat=xri:pqil:pq_clntid=131239&amp;svc_dat=xri:pqil:context=title&amp;rft_dat=xri:pqd:PMID=5485076</t>
  </si>
  <si>
    <t>http://gateway.proquest.com/openurl?url_ver=Z39.88-2004&amp;res_dat=xri:pqm&amp;rft_val_fmt=info:ofi/fmt:kev:mtx:journal&amp;genre=journal&amp;req_dat=xri:pqil:pq_clntid=131239&amp;svc_dat=xri:pqil:context=title&amp;rft_dat=xri:pqd:PMID=5324121</t>
  </si>
  <si>
    <t>http://gateway.proquest.com/openurl?url_ver=Z39.88-2004&amp;res_dat=xri:pqm&amp;rft_val_fmt=info:ofi/fmt:kev:mtx:journal&amp;genre=journal&amp;req_dat=xri:pqil:pq_clntid=131239&amp;svc_dat=xri:pqil:context=title&amp;rft_dat=xri:pqd:PMID=54081</t>
  </si>
  <si>
    <t>http://gateway.proquest.com/openurl?url_ver=Z39.88-2004&amp;res_dat=xri:pqm&amp;rft_val_fmt=info:ofi/fmt:kev:mtx:journal&amp;genre=journal&amp;req_dat=xri:pqil:pq_clntid=131239&amp;svc_dat=xri:pqil:context=title&amp;rft_dat=xri:pqd:PMID=5325203</t>
  </si>
  <si>
    <t>http://gateway.proquest.com/openurl?url_ver=Z39.88-2004&amp;res_dat=xri:pqm&amp;rft_val_fmt=info:ofi/fmt:kev:mtx:journal&amp;genre=journal&amp;req_dat=xri:pqil:pq_clntid=131239&amp;svc_dat=xri:pqil:context=title&amp;rft_dat=xri:pqd:PMID=5324461</t>
  </si>
  <si>
    <t>http://gateway.proquest.com/openurl?url_ver=Z39.88-2004&amp;res_dat=xri:pqm&amp;rft_val_fmt=info:ofi/fmt:kev:mtx:journal&amp;genre=journal&amp;req_dat=xri:pqil:pq_clntid=131239&amp;svc_dat=xri:pqil:context=title&amp;rft_dat=xri:pqd:PMID=6059452</t>
  </si>
  <si>
    <t>http://gateway.proquest.com/openurl?url_ver=Z39.88-2004&amp;res_dat=xri:pqm&amp;rft_val_fmt=info:ofi/fmt:kev:mtx:journal&amp;genre=journal&amp;req_dat=xri:pqil:pq_clntid=131239&amp;svc_dat=xri:pqil:context=title&amp;rft_dat=xri:pqd:PMID=216165</t>
  </si>
  <si>
    <t>http://gateway.proquest.com/openurl?url_ver=Z39.88-2004&amp;res_dat=xri:pqm&amp;rft_val_fmt=info:ofi/fmt:kev:mtx:journal&amp;genre=journal&amp;req_dat=xri:pqil:pq_clntid=131239&amp;svc_dat=xri:pqil:context=title&amp;rft_dat=xri:pqd:PMID=5324458</t>
  </si>
  <si>
    <t>http://gateway.proquest.com/openurl?url_ver=Z39.88-2004&amp;res_dat=xri:pqm&amp;rft_val_fmt=info:ofi/fmt:kev:mtx:journal&amp;genre=journal&amp;req_dat=xri:pqil:pq_clntid=131239&amp;svc_dat=xri:pqil:context=title&amp;rft_dat=xri:pqd:PMID=5485078</t>
  </si>
  <si>
    <t>http://gateway.proquest.com/openurl?url_ver=Z39.88-2004&amp;res_dat=xri:pqm&amp;rft_val_fmt=info:ofi/fmt:kev:mtx:journal&amp;genre=journal&amp;req_dat=xri:pqil:pq_clntid=131239&amp;svc_dat=xri:pqil:context=title&amp;rft_dat=xri:pqd:PMID=5485065</t>
  </si>
  <si>
    <t>http://gateway.proquest.com/openurl?url_ver=Z39.88-2004&amp;res_dat=xri:pqm&amp;rft_val_fmt=info:ofi/fmt:kev:mtx:journal&amp;genre=journal&amp;req_dat=xri:pqil:pq_clntid=131239&amp;svc_dat=xri:pqil:context=title&amp;rft_dat=xri:pqd:PMID=5324465</t>
  </si>
  <si>
    <t>http://gateway.proquest.com/openurl?url_ver=Z39.88-2004&amp;res_dat=xri:pqm&amp;rft_val_fmt=info:ofi/fmt:kev:mtx:journal&amp;genre=journal&amp;req_dat=xri:pqil:pq_clntid=131239&amp;svc_dat=xri:pqil:context=title&amp;rft_dat=xri:pqd:PMID=42196</t>
  </si>
  <si>
    <t>http://gateway.proquest.com/openurl?url_ver=Z39.88-2004&amp;res_dat=xri:pqm&amp;rft_val_fmt=info:ofi/fmt:kev:mtx:journal&amp;genre=journal&amp;req_dat=xri:pqil:pq_clntid=131239&amp;svc_dat=xri:pqil:context=title&amp;rft_dat=xri:pqd:PMID=47311</t>
  </si>
  <si>
    <t>http://gateway.proquest.com/openurl?url_ver=Z39.88-2004&amp;res_dat=xri:pqm&amp;rft_val_fmt=info:ofi/fmt:kev:mtx:journal&amp;genre=journal&amp;req_dat=xri:pqil:pq_clntid=131239&amp;svc_dat=xri:pqil:context=title&amp;rft_dat=xri:pqd:PMID=2032956</t>
  </si>
  <si>
    <t>http://gateway.proquest.com/openurl?url_ver=Z39.88-2004&amp;res_dat=xri:pqm&amp;rft_val_fmt=info:ofi/fmt:kev:mtx:journal&amp;genre=journal&amp;req_dat=xri:pqil:pq_clntid=131239&amp;svc_dat=xri:pqil:context=title&amp;rft_dat=xri:pqd:PMID=2032955</t>
  </si>
  <si>
    <t>Gottingen</t>
  </si>
  <si>
    <t>http://gateway.proquest.com/openurl?url_ver=Z39.88-2004&amp;res_dat=xri:pqm&amp;rft_val_fmt=info:ofi/fmt:kev:mtx:journal&amp;genre=journal&amp;req_dat=xri:pqil:pq_clntid=131239&amp;svc_dat=xri:pqil:context=title&amp;rft_dat=xri:pqd:PMID=2039333</t>
  </si>
  <si>
    <t>http://gateway.proquest.com/openurl?url_ver=Z39.88-2004&amp;res_dat=xri:pqm&amp;rft_val_fmt=info:ofi/fmt:kev:mtx:journal&amp;genre=journal&amp;req_dat=xri:pqil:pq_clntid=131239&amp;svc_dat=xri:pqil:context=title&amp;rft_dat=xri:pqd:PMID=5485064</t>
  </si>
  <si>
    <t>http://gateway.proquest.com/openurl?url_ver=Z39.88-2004&amp;res_dat=xri:pqm&amp;rft_val_fmt=info:ofi/fmt:kev:mtx:journal&amp;genre=journal&amp;req_dat=xri:pqil:pq_clntid=131239&amp;svc_dat=xri:pqil:context=title&amp;rft_dat=xri:pqd:PMID=42344</t>
  </si>
  <si>
    <t>http://gateway.proquest.com/openurl?url_ver=Z39.88-2004&amp;res_dat=xri:pqm&amp;rft_val_fmt=info:ofi/fmt:kev:mtx:journal&amp;genre=journal&amp;req_dat=xri:pqil:pq_clntid=131239&amp;svc_dat=xri:pqil:context=title&amp;rft_dat=xri:pqd:PMID=54640</t>
  </si>
  <si>
    <t>http://gateway.proquest.com/openurl?url_ver=Z39.88-2004&amp;res_dat=xri:pqm&amp;rft_val_fmt=info:ofi/fmt:kev:mtx:journal&amp;genre=journal&amp;req_dat=xri:pqil:pq_clntid=131239&amp;svc_dat=xri:pqil:context=title&amp;rft_dat=xri:pqd:PMID=5488580</t>
  </si>
  <si>
    <t>http://gateway.proquest.com/openurl?url_ver=Z39.88-2004&amp;res_dat=xri:pqm&amp;rft_val_fmt=info:ofi/fmt:kev:mtx:journal&amp;genre=journal&amp;req_dat=xri:pqil:pq_clntid=131239&amp;svc_dat=xri:pqil:context=title&amp;rft_dat=xri:pqd:PMID=46002</t>
  </si>
  <si>
    <t>http://gateway.proquest.com/openurl?url_ver=Z39.88-2004&amp;res_dat=xri:pqm&amp;rft_val_fmt=info:ofi/fmt:kev:mtx:journal&amp;genre=journal&amp;req_dat=xri:pqil:pq_clntid=131239&amp;svc_dat=xri:pqil:context=title&amp;rft_dat=xri:pqd:PMID=4977</t>
  </si>
  <si>
    <t>Fort Collins</t>
  </si>
  <si>
    <t>http://gateway.proquest.com/openurl?url_ver=Z39.88-2004&amp;res_dat=xri:pqm&amp;rft_val_fmt=info:ofi/fmt:kev:mtx:journal&amp;genre=journal&amp;req_dat=xri:pqil:pq_clntid=131239&amp;svc_dat=xri:pqil:context=title&amp;rft_dat=xri:pqd:PMID=34398</t>
  </si>
  <si>
    <t>http://gateway.proquest.com/openurl?url_ver=Z39.88-2004&amp;res_dat=xri:pqm&amp;rft_val_fmt=info:ofi/fmt:kev:mtx:journal&amp;genre=journal&amp;req_dat=xri:pqil:pq_clntid=131239&amp;svc_dat=xri:pqil:context=title&amp;rft_dat=xri:pqd:PMID=701</t>
  </si>
  <si>
    <t>http://gateway.proquest.com/openurl?url_ver=Z39.88-2004&amp;res_dat=xri:pqm&amp;rft_val_fmt=info:ofi/fmt:kev:mtx:journal&amp;genre=journal&amp;req_dat=xri:pqil:pq_clntid=131239&amp;svc_dat=xri:pqil:context=title&amp;rft_dat=xri:pqd:PMID=13915</t>
  </si>
  <si>
    <t>http://gateway.proquest.com/openurl?url_ver=Z39.88-2004&amp;res_dat=xri:pqm&amp;rft_val_fmt=info:ofi/fmt:kev:mtx:journal&amp;genre=journal&amp;req_dat=xri:pqil:pq_clntid=131239&amp;svc_dat=xri:pqil:context=title&amp;rft_dat=xri:pqd:PMID=5485067</t>
  </si>
  <si>
    <t>http://gateway.proquest.com/openurl?url_ver=Z39.88-2004&amp;res_dat=xri:pqm&amp;rft_val_fmt=info:ofi/fmt:kev:mtx:journal&amp;genre=journal&amp;req_dat=xri:pqil:pq_clntid=131239&amp;svc_dat=xri:pqil:context=title&amp;rft_dat=xri:pqd:PMID=44695</t>
  </si>
  <si>
    <t>http://gateway.proquest.com/openurl?url_ver=Z39.88-2004&amp;res_dat=xri:pqm&amp;rft_val_fmt=info:ofi/fmt:kev:mtx:journal&amp;genre=journal&amp;req_dat=xri:pqil:pq_clntid=131239&amp;svc_dat=xri:pqil:context=title&amp;rft_dat=xri:pqd:PMID=5324464</t>
  </si>
  <si>
    <t>http://gateway.proquest.com/openurl?url_ver=Z39.88-2004&amp;res_dat=xri:pqm&amp;rft_val_fmt=info:ofi/fmt:kev:mtx:journal&amp;genre=journal&amp;req_dat=xri:pqil:pq_clntid=131239&amp;svc_dat=xri:pqil:context=title&amp;rft_dat=xri:pqd:PMID=40730</t>
  </si>
  <si>
    <t>http://gateway.proquest.com/openurl?url_ver=Z39.88-2004&amp;res_dat=xri:pqm&amp;rft_val_fmt=info:ofi/fmt:kev:mtx:journal&amp;genre=journal&amp;req_dat=xri:pqil:pq_clntid=131239&amp;svc_dat=xri:pqil:context=title&amp;rft_dat=xri:pqd:PMID=2032952</t>
  </si>
  <si>
    <t>http://gateway.proquest.com/openurl?url_ver=Z39.88-2004&amp;res_dat=xri:pqm&amp;rft_val_fmt=info:ofi/fmt:kev:mtx:journal&amp;genre=journal&amp;req_dat=xri:pqil:pq_clntid=131239&amp;svc_dat=xri:pqil:context=title&amp;rft_dat=xri:pqd:PMID=5325209</t>
  </si>
  <si>
    <t>http://gateway.proquest.com/openurl?url_ver=Z39.88-2004&amp;res_dat=xri:pqm&amp;rft_val_fmt=info:ofi/fmt:kev:mtx:journal&amp;genre=journal&amp;req_dat=xri:pqil:pq_clntid=131239&amp;svc_dat=xri:pqil:context=title&amp;rft_dat=xri:pqd:PMID=5325192</t>
  </si>
  <si>
    <t>Pretoria</t>
  </si>
  <si>
    <t>http://gateway.proquest.com/openurl?url_ver=Z39.88-2004&amp;res_dat=xri:pqm&amp;rft_val_fmt=info:ofi/fmt:kev:mtx:journal&amp;genre=journal&amp;req_dat=xri:pqil:pq_clntid=131239&amp;svc_dat=xri:pqil:context=title&amp;rft_dat=xri:pqd:PMID=2042048</t>
  </si>
  <si>
    <t>http://gateway.proquest.com/openurl?url_ver=Z39.88-2004&amp;res_dat=xri:pqm&amp;rft_val_fmt=info:ofi/fmt:kev:mtx:journal&amp;genre=journal&amp;req_dat=xri:pqil:pq_clntid=131239&amp;svc_dat=xri:pqil:context=title&amp;rft_dat=xri:pqd:PMID=34376</t>
  </si>
  <si>
    <t>http://gateway.proquest.com/openurl?url_ver=Z39.88-2004&amp;res_dat=xri:pqm&amp;rft_val_fmt=info:ofi/fmt:kev:mtx:journal&amp;genre=journal&amp;req_dat=xri:pqil:pq_clntid=131239&amp;svc_dat=xri:pqil:context=title&amp;rft_dat=xri:pqd:PMID=5485103</t>
  </si>
  <si>
    <t>Botsford</t>
  </si>
  <si>
    <t>http://gateway.proquest.com/openurl?url_ver=Z39.88-2004&amp;res_dat=xri:pqm&amp;rft_val_fmt=info:ofi/fmt:kev:mtx:journal&amp;genre=journal&amp;req_dat=xri:pqil:pq_clntid=131239&amp;svc_dat=xri:pqil:context=title&amp;rft_dat=xri:pqd:PMID=40430</t>
  </si>
  <si>
    <t>http://gateway.proquest.com/openurl?url_ver=Z39.88-2004&amp;res_dat=xri:pqm&amp;rft_val_fmt=info:ofi/fmt:kev:mtx:journal&amp;genre=journal&amp;req_dat=xri:pqil:pq_clntid=131239&amp;svc_dat=xri:pqil:context=title&amp;rft_dat=xri:pqd:PMID=44951</t>
  </si>
  <si>
    <t>http://gateway.proquest.com/openurl?url_ver=Z39.88-2004&amp;res_dat=xri:pqm&amp;rft_val_fmt=info:ofi/fmt:kev:mtx:journal&amp;genre=journal&amp;req_dat=xri:pqil:pq_clntid=131239&amp;svc_dat=xri:pqil:context=title&amp;rft_dat=xri:pqd:PMID=52964</t>
  </si>
  <si>
    <t>http://gateway.proquest.com/openurl?url_ver=Z39.88-2004&amp;res_dat=xri:pqm&amp;rft_val_fmt=info:ofi/fmt:kev:mtx:journal&amp;genre=journal&amp;req_dat=xri:pqil:pq_clntid=131239&amp;svc_dat=xri:pqil:context=title&amp;rft_dat=xri:pqd:PMID=2040020</t>
  </si>
  <si>
    <t>http://gateway.proquest.com/openurl?url_ver=Z39.88-2004&amp;res_dat=xri:pqm&amp;rft_val_fmt=info:ofi/fmt:kev:mtx:journal&amp;genre=journal&amp;req_dat=xri:pqil:pq_clntid=131239&amp;svc_dat=xri:pqil:context=title&amp;rft_dat=xri:pqd:PMID=5325186</t>
  </si>
  <si>
    <t>http://gateway.proquest.com/openurl?url_ver=Z39.88-2004&amp;res_dat=xri:pqm&amp;rft_val_fmt=info:ofi/fmt:kev:mtx:journal&amp;genre=journal&amp;req_dat=xri:pqil:pq_clntid=131239&amp;svc_dat=xri:pqil:context=title&amp;rft_dat=xri:pqd:PMID=44952</t>
  </si>
  <si>
    <t>http://gateway.proquest.com/openurl?url_ver=Z39.88-2004&amp;res_dat=xri:pqm&amp;rft_val_fmt=info:ofi/fmt:kev:mtx:journal&amp;genre=journal&amp;req_dat=xri:pqil:pq_clntid=131239&amp;svc_dat=xri:pqil:context=title&amp;rft_dat=xri:pqd:PMID=5324462</t>
  </si>
  <si>
    <t>http://gateway.proquest.com/openurl?url_ver=Z39.88-2004&amp;res_dat=xri:pqm&amp;rft_val_fmt=info:ofi/fmt:kev:mtx:journal&amp;genre=journal&amp;req_dat=xri:pqil:pq_clntid=131239&amp;svc_dat=xri:pqil:context=title&amp;rft_dat=xri:pqd:PMID=4733527</t>
  </si>
  <si>
    <t>http://gateway.proquest.com/openurl?url_ver=Z39.88-2004&amp;res_dat=xri:pqm&amp;rft_val_fmt=info:ofi/fmt:kev:mtx:journal&amp;genre=journal&amp;req_dat=xri:pqil:pq_clntid=131239&amp;svc_dat=xri:pqil:context=title&amp;rft_dat=xri:pqd:PMID=2030037</t>
  </si>
  <si>
    <t>http://gateway.proquest.com/openurl?url_ver=Z39.88-2004&amp;res_dat=xri:pqm&amp;rft_val_fmt=info:ofi/fmt:kev:mtx:journal&amp;genre=journal&amp;req_dat=xri:pqil:pq_clntid=131239&amp;svc_dat=xri:pqil:context=title&amp;rft_dat=xri:pqd:PMID=48873</t>
  </si>
  <si>
    <t>http://gateway.proquest.com/openurl?url_ver=Z39.88-2004&amp;res_dat=xri:pqm&amp;rft_val_fmt=info:ofi/fmt:kev:mtx:journal&amp;genre=journal&amp;req_dat=xri:pqil:pq_clntid=131239&amp;svc_dat=xri:pqil:context=title&amp;rft_dat=xri:pqd:PMID=34859</t>
  </si>
  <si>
    <t>http://gateway.proquest.com/openurl?url_ver=Z39.88-2004&amp;res_dat=xri:pqm&amp;rft_val_fmt=info:ofi/fmt:kev:mtx:journal&amp;genre=journal&amp;req_dat=xri:pqil:pq_clntid=131239&amp;svc_dat=xri:pqil:context=title&amp;rft_dat=xri:pqd:PMID=8029</t>
  </si>
  <si>
    <t>http://gateway.proquest.com/openurl?url_ver=Z39.88-2004&amp;res_dat=xri:pqm&amp;rft_val_fmt=info:ofi/fmt:kev:mtx:journal&amp;genre=journal&amp;req_dat=xri:pqil:pq_clntid=131239&amp;svc_dat=xri:pqil:context=title&amp;rft_dat=xri:pqd:PMID=2041894</t>
  </si>
  <si>
    <t>Albany</t>
  </si>
  <si>
    <t>http://gateway.proquest.com/openurl?url_ver=Z39.88-2004&amp;res_dat=xri:pqm&amp;rft_val_fmt=info:ofi/fmt:kev:mtx:journal&amp;genre=journal&amp;req_dat=xri:pqil:pq_clntid=131239&amp;svc_dat=xri:pqil:context=title&amp;rft_dat=xri:pqd:PMID=42194</t>
  </si>
  <si>
    <t>Solution-Based Brief Counseling</t>
  </si>
  <si>
    <t>http://gateway.proquest.com/openurl?url_ver=Z39.88-2004&amp;res_dat=xri:pqm&amp;rft_val_fmt=info:ofi/fmt:kev:mtx:journal&amp;genre=journal&amp;req_dat=xri:pqil:pq_clntid=131239&amp;svc_dat=xri:pqil:context=title&amp;rft_dat=xri:pqd:PMID=6275748</t>
  </si>
  <si>
    <t>http://gateway.proquest.com/openurl?url_ver=Z39.88-2004&amp;res_dat=xri:pqm&amp;rft_val_fmt=info:ofi/fmt:kev:mtx:journal&amp;genre=journal&amp;req_dat=xri:pqil:pq_clntid=131239&amp;svc_dat=xri:pqil:context=title&amp;rft_dat=xri:pqd:PMID=6059451</t>
  </si>
  <si>
    <t>http://gateway.proquest.com/openurl?url_ver=Z39.88-2004&amp;res_dat=xri:pqm&amp;rft_val_fmt=info:ofi/fmt:kev:mtx:journal&amp;genre=journal&amp;req_dat=xri:pqil:pq_clntid=131239&amp;svc_dat=xri:pqil:context=title&amp;rft_dat=xri:pqd:PMID=54858</t>
  </si>
  <si>
    <t>http://gateway.proquest.com/openurl?url_ver=Z39.88-2004&amp;res_dat=xri:pqm&amp;rft_val_fmt=info:ofi/fmt:kev:mtx:journal&amp;genre=journal&amp;req_dat=xri:pqil:pq_clntid=131239&amp;svc_dat=xri:pqil:context=title&amp;rft_dat=xri:pqd:PMID=2030026</t>
  </si>
  <si>
    <t>http://gateway.proquest.com/openurl?url_ver=Z39.88-2004&amp;res_dat=xri:pqm&amp;rft_val_fmt=info:ofi/fmt:kev:mtx:journal&amp;genre=journal&amp;req_dat=xri:pqil:pq_clntid=131239&amp;svc_dat=xri:pqil:context=title&amp;rft_dat=xri:pqd:PMID=30184</t>
  </si>
  <si>
    <t>http://gateway.proquest.com/openurl?url_ver=Z39.88-2004&amp;res_dat=xri:pqm&amp;rft_val_fmt=info:ofi/fmt:kev:mtx:journal&amp;genre=journal&amp;req_dat=xri:pqil:pq_clntid=131239&amp;svc_dat=xri:pqil:context=title&amp;rft_dat=xri:pqd:PMID=5485111</t>
  </si>
  <si>
    <t>http://gateway.proquest.com/openurl?url_ver=Z39.88-2004&amp;res_dat=xri:pqm&amp;rft_val_fmt=info:ofi/fmt:kev:mtx:journal&amp;genre=journal&amp;req_dat=xri:pqil:pq_clntid=131239&amp;svc_dat=xri:pqil:context=title&amp;rft_dat=xri:pqd:PMID=5983397</t>
  </si>
  <si>
    <t>http://gateway.proquest.com/openurl?url_ver=Z39.88-2004&amp;res_dat=xri:pqm&amp;rft_val_fmt=info:ofi/fmt:kev:mtx:journal&amp;genre=journal&amp;req_dat=xri:pqil:pq_clntid=131239&amp;svc_dat=xri:pqil:context=title&amp;rft_dat=xri:pqd:PMID=5485097</t>
  </si>
  <si>
    <t>http://gateway.proquest.com/openurl?url_ver=Z39.88-2004&amp;res_dat=xri:pqm&amp;rft_val_fmt=info:ofi/fmt:kev:mtx:journal&amp;genre=journal&amp;req_dat=xri:pqil:pq_clntid=131239&amp;svc_dat=xri:pqil:context=title&amp;rft_dat=xri:pqd:PMID=5485105</t>
  </si>
  <si>
    <t>http://gateway.proquest.com/openurl?url_ver=Z39.88-2004&amp;res_dat=xri:pqm&amp;rft_val_fmt=info:ofi/fmt:kev:mtx:journal&amp;genre=journal&amp;req_dat=xri:pqil:pq_clntid=131239&amp;svc_dat=xri:pqil:context=title&amp;rft_dat=xri:pqd:PMID=5485086</t>
  </si>
  <si>
    <t>http://gateway.proquest.com/openurl?url_ver=Z39.88-2004&amp;res_dat=xri:pqm&amp;rft_val_fmt=info:ofi/fmt:kev:mtx:journal&amp;genre=journal&amp;req_dat=xri:pqil:pq_clntid=131239&amp;svc_dat=xri:pqil:context=title&amp;rft_dat=xri:pqd:PMID=32998</t>
  </si>
  <si>
    <t>Alexandra Milgram</t>
  </si>
  <si>
    <t>http://gateway.proquest.com/openurl?url_ver=Z39.88-2004&amp;res_dat=xri:pqm&amp;rft_val_fmt=info:ofi/fmt:kev:mtx:journal&amp;genre=journal&amp;req_dat=xri:pqil:pq_clntid=131239&amp;svc_dat=xri:pqil:context=title&amp;rft_dat=xri:pqd:PMID=6112819</t>
  </si>
  <si>
    <t>http://gateway.proquest.com/openurl?url_ver=Z39.88-2004&amp;res_dat=xri:pqm&amp;rft_val_fmt=info:ofi/fmt:kev:mtx:journal&amp;genre=journal&amp;req_dat=xri:pqil:pq_clntid=131239&amp;svc_dat=xri:pqil:context=title&amp;rft_dat=xri:pqd:PMID=1276338</t>
  </si>
  <si>
    <t>http://gateway.proquest.com/openurl?url_ver=Z39.88-2004&amp;res_dat=xri:pqm&amp;rft_val_fmt=info:ofi/fmt:kev:mtx:journal&amp;genre=journal&amp;req_dat=xri:pqil:pq_clntid=131239&amp;svc_dat=xri:pqil:context=title&amp;rft_dat=xri:pqd:PMID=5324460</t>
  </si>
  <si>
    <t>Steve Andreas Collection</t>
  </si>
  <si>
    <t>http://gateway.proquest.com/openurl?url_ver=Z39.88-2004&amp;res_dat=xri:pqm&amp;rft_val_fmt=info:ofi/fmt:kev:mtx:journal&amp;genre=journal&amp;req_dat=xri:pqil:pq_clntid=131239&amp;svc_dat=xri:pqil:context=title&amp;rft_dat=xri:pqd:PMID=6275747</t>
  </si>
  <si>
    <t>http://gateway.proquest.com/openurl?url_ver=Z39.88-2004&amp;res_dat=xri:pqm&amp;rft_val_fmt=info:ofi/fmt:kev:mtx:journal&amp;genre=journal&amp;req_dat=xri:pqil:pq_clntid=131239&amp;svc_dat=xri:pqil:context=title&amp;rft_dat=xri:pqd:PMID=6059421</t>
  </si>
  <si>
    <t>http://gateway.proquest.com/openurl?url_ver=Z39.88-2004&amp;res_dat=xri:pqm&amp;rft_val_fmt=info:ofi/fmt:kev:mtx:journal&amp;genre=journal&amp;req_dat=xri:pqil:pq_clntid=131239&amp;svc_dat=xri:pqil:context=title&amp;rft_dat=xri:pqd:PMID=46559</t>
  </si>
  <si>
    <t>Bratislava</t>
  </si>
  <si>
    <t>http://gateway.proquest.com/openurl?url_ver=Z39.88-2004&amp;res_dat=xri:pqm&amp;rft_val_fmt=info:ofi/fmt:kev:mtx:journal&amp;genre=journal&amp;req_dat=xri:pqil:pq_clntid=131239&amp;svc_dat=xri:pqil:context=title&amp;rft_dat=xri:pqd:PMID=75942</t>
  </si>
  <si>
    <t>http://gateway.proquest.com/openurl?url_ver=Z39.88-2004&amp;res_dat=xri:pqm&amp;rft_val_fmt=info:ofi/fmt:kev:mtx:journal&amp;genre=journal&amp;req_dat=xri:pqil:pq_clntid=131239&amp;svc_dat=xri:pqil:context=title&amp;rft_dat=xri:pqd:PMID=2026644</t>
  </si>
  <si>
    <t>http://gateway.proquest.com/openurl?url_ver=Z39.88-2004&amp;res_dat=xri:pqm&amp;rft_val_fmt=info:ofi/fmt:kev:mtx:journal&amp;genre=journal&amp;req_dat=xri:pqil:pq_clntid=131239&amp;svc_dat=xri:pqil:context=title&amp;rft_dat=xri:pqd:PMID=2042297</t>
  </si>
  <si>
    <t>http://gateway.proquest.com/openurl?url_ver=Z39.88-2004&amp;res_dat=xri:pqm&amp;rft_val_fmt=info:ofi/fmt:kev:mtx:journal&amp;genre=journal&amp;req_dat=xri:pqil:pq_clntid=131239&amp;svc_dat=xri:pqil:context=title&amp;rft_dat=xri:pqd:PMID=31185</t>
  </si>
  <si>
    <t>http://gateway.proquest.com/openurl?url_ver=Z39.88-2004&amp;res_dat=xri:pqm&amp;rft_val_fmt=info:ofi/fmt:kev:mtx:journal&amp;genre=journal&amp;req_dat=xri:pqil:pq_clntid=131239&amp;svc_dat=xri:pqil:context=title&amp;rft_dat=xri:pqd:PMID=30883</t>
  </si>
  <si>
    <t>http://gateway.proquest.com/openurl?url_ver=Z39.88-2004&amp;res_dat=xri:pqm&amp;rft_val_fmt=info:ofi/fmt:kev:mtx:journal&amp;genre=journal&amp;req_dat=xri:pqil:pq_clntid=131239&amp;svc_dat=xri:pqil:context=title&amp;rft_dat=xri:pqd:PMID=29581</t>
  </si>
  <si>
    <t>http://gateway.proquest.com/openurl?url_ver=Z39.88-2004&amp;res_dat=xri:pqm&amp;rft_val_fmt=info:ofi/fmt:kev:mtx:journal&amp;genre=journal&amp;req_dat=xri:pqil:pq_clntid=131239&amp;svc_dat=xri:pqil:context=title&amp;rft_dat=xri:pqd:PMID=33234</t>
  </si>
  <si>
    <t>http://gateway.proquest.com/openurl?url_ver=Z39.88-2004&amp;res_dat=xri:pqm&amp;rft_val_fmt=info:ofi/fmt:kev:mtx:journal&amp;genre=journal&amp;req_dat=xri:pqil:pq_clntid=131239&amp;svc_dat=xri:pqil:context=title&amp;rft_dat=xri:pqd:PMID=1216395</t>
  </si>
  <si>
    <t>http://gateway.proquest.com/openurl?url_ver=Z39.88-2004&amp;res_dat=xri:pqm&amp;rft_val_fmt=info:ofi/fmt:kev:mtx:journal&amp;genre=journal&amp;req_dat=xri:pqil:pq_clntid=131239&amp;svc_dat=xri:pqil:context=title&amp;rft_dat=xri:pqd:PMID=1216394</t>
  </si>
  <si>
    <t>http://gateway.proquest.com/openurl?url_ver=Z39.88-2004&amp;res_dat=xri:pqm&amp;rft_val_fmt=info:ofi/fmt:kev:mtx:journal&amp;genre=journal&amp;req_dat=xri:pqil:pq_clntid=131239&amp;svc_dat=xri:pqil:context=title&amp;rft_dat=xri:pqd:PMID=1216393</t>
  </si>
  <si>
    <t>http://gateway.proquest.com/openurl?url_ver=Z39.88-2004&amp;res_dat=xri:pqm&amp;rft_val_fmt=info:ofi/fmt:kev:mtx:journal&amp;genre=journal&amp;req_dat=xri:pqil:pq_clntid=131239&amp;svc_dat=xri:pqil:context=title&amp;rft_dat=xri:pqd:PMID=1216392</t>
  </si>
  <si>
    <t>http://gateway.proquest.com/openurl?url_ver=Z39.88-2004&amp;res_dat=xri:pqm&amp;rft_val_fmt=info:ofi/fmt:kev:mtx:journal&amp;genre=journal&amp;req_dat=xri:pqil:pq_clntid=131239&amp;svc_dat=xri:pqil:context=title&amp;rft_dat=xri:pqd:PMID=47701</t>
  </si>
  <si>
    <t>http://gateway.proquest.com/openurl?url_ver=Z39.88-2004&amp;res_dat=xri:pqm&amp;rft_val_fmt=info:ofi/fmt:kev:mtx:journal&amp;genre=journal&amp;req_dat=xri:pqil:pq_clntid=131239&amp;svc_dat=xri:pqil:context=title&amp;rft_dat=xri:pqd:PMID=5324469</t>
  </si>
  <si>
    <t>http://gateway.proquest.com/openurl?url_ver=Z39.88-2004&amp;res_dat=xri:pqm&amp;rft_val_fmt=info:ofi/fmt:kev:mtx:journal&amp;genre=journal&amp;req_dat=xri:pqil:pq_clntid=131239&amp;svc_dat=xri:pqil:context=title&amp;rft_dat=xri:pqd:PMID=6009044</t>
  </si>
  <si>
    <t>http://gateway.proquest.com/openurl?url_ver=Z39.88-2004&amp;res_dat=xri:pqm&amp;rft_val_fmt=info:ofi/fmt:kev:mtx:journal&amp;genre=journal&amp;req_dat=xri:pqil:pq_clntid=131239&amp;svc_dat=xri:pqil:context=title&amp;rft_dat=xri:pqd:PMID=39576</t>
  </si>
  <si>
    <t>http://gateway.proquest.com/openurl?url_ver=Z39.88-2004&amp;res_dat=xri:pqm&amp;rft_val_fmt=info:ofi/fmt:kev:mtx:journal&amp;genre=journal&amp;req_dat=xri:pqil:pq_clntid=131239&amp;svc_dat=xri:pqil:context=title&amp;rft_dat=xri:pqd:PMID=53184</t>
  </si>
  <si>
    <t>http://gateway.proquest.com/openurl?url_ver=Z39.88-2004&amp;res_dat=xri:pqm&amp;rft_val_fmt=info:ofi/fmt:kev:mtx:journal&amp;genre=journal&amp;req_dat=xri:pqil:pq_clntid=131239&amp;svc_dat=xri:pqil:context=title&amp;rft_dat=xri:pqd:PMID=1086353</t>
  </si>
  <si>
    <t>http://gateway.proquest.com/openurl?url_ver=Z39.88-2004&amp;res_dat=xri:pqm&amp;rft_val_fmt=info:ofi/fmt:kev:mtx:journal&amp;genre=journal&amp;req_dat=xri:pqil:pq_clntid=131239&amp;svc_dat=xri:pqil:context=title&amp;rft_dat=xri:pqd:PMID=54720</t>
  </si>
  <si>
    <t>http://gateway.proquest.com/openurl?url_ver=Z39.88-2004&amp;res_dat=xri:pqm&amp;rft_val_fmt=info:ofi/fmt:kev:mtx:journal&amp;genre=journal&amp;req_dat=xri:pqil:pq_clntid=131239&amp;svc_dat=xri:pqil:context=title&amp;rft_dat=xri:pqd:PMID=3933274</t>
  </si>
  <si>
    <t>http://gateway.proquest.com/openurl?url_ver=Z39.88-2004&amp;res_dat=xri:pqm&amp;rft_val_fmt=info:ofi/fmt:kev:mtx:journal&amp;genre=journal&amp;req_dat=xri:pqil:pq_clntid=131239&amp;svc_dat=xri:pqil:context=title&amp;rft_dat=xri:pqd:PMID=53065</t>
  </si>
  <si>
    <t>http://gateway.proquest.com/openurl?url_ver=Z39.88-2004&amp;res_dat=xri:pqm&amp;rft_val_fmt=info:ofi/fmt:kev:mtx:journal&amp;genre=journal&amp;req_dat=xri:pqil:pq_clntid=131239&amp;svc_dat=xri:pqil:context=title&amp;rft_dat=xri:pqd:PMID=36002</t>
  </si>
  <si>
    <t>http://gateway.proquest.com/openurl?url_ver=Z39.88-2004&amp;res_dat=xri:pqm&amp;rft_val_fmt=info:ofi/fmt:kev:mtx:journal&amp;genre=journal&amp;req_dat=xri:pqil:pq_clntid=131239&amp;svc_dat=xri:pqil:context=title&amp;rft_dat=xri:pqd:PMID=5485079</t>
  </si>
  <si>
    <t>http://gateway.proquest.com/openurl?url_ver=Z39.88-2004&amp;res_dat=xri:pqm&amp;rft_val_fmt=info:ofi/fmt:kev:mtx:journal&amp;genre=journal&amp;req_dat=xri:pqil:pq_clntid=131239&amp;svc_dat=xri:pqil:context=title&amp;rft_dat=xri:pqd:PMID=6058</t>
  </si>
  <si>
    <t>Bradley University Center For Collaborative Brain Research</t>
  </si>
  <si>
    <t>http://gateway.proquest.com/openurl?url_ver=Z39.88-2004&amp;res_dat=xri:pqm&amp;rft_val_fmt=info:ofi/fmt:kev:mtx:journal&amp;genre=journal&amp;req_dat=xri:pqil:pq_clntid=131239&amp;svc_dat=xri:pqil:context=title&amp;rft_dat=xri:pqd:PMID=5256694</t>
  </si>
  <si>
    <t>http://gateway.proquest.com/openurl?url_ver=Z39.88-2004&amp;res_dat=xri:pqm&amp;rft_val_fmt=info:ofi/fmt:kev:mtx:journal&amp;genre=journal&amp;req_dat=xri:pqil:pq_clntid=131239&amp;svc_dat=xri:pqil:context=title&amp;rft_dat=xri:pqd:PMID=2048389</t>
  </si>
  <si>
    <t>http://gateway.proquest.com/openurl?url_ver=Z39.88-2004&amp;res_dat=xri:pqm&amp;rft_val_fmt=info:ofi/fmt:kev:mtx:journal&amp;genre=journal&amp;req_dat=xri:pqil:pq_clntid=131239&amp;svc_dat=xri:pqil:context=title&amp;rft_dat=xri:pqd:PMID=30903</t>
  </si>
  <si>
    <t>http://gateway.proquest.com/openurl?url_ver=Z39.88-2004&amp;res_dat=xri:pqm&amp;rft_val_fmt=info:ofi/fmt:kev:mtx:journal&amp;genre=journal&amp;req_dat=xri:pqil:pq_clntid=131239&amp;svc_dat=xri:pqil:context=title&amp;rft_dat=xri:pqd:PMID=6394509</t>
  </si>
  <si>
    <t>http://gateway.proquest.com/openurl?url_ver=Z39.88-2004&amp;res_dat=xri:pqm&amp;rft_val_fmt=info:ofi/fmt:kev:mtx:journal&amp;genre=journal&amp;req_dat=xri:pqil:pq_clntid=131239&amp;svc_dat=xri:pqil:context=title&amp;rft_dat=xri:pqd:PMID=5488570</t>
  </si>
  <si>
    <t>The Swish Pattern</t>
  </si>
  <si>
    <t>http://gateway.proquest.com/openurl?url_ver=Z39.88-2004&amp;res_dat=xri:pqm&amp;rft_val_fmt=info:ofi/fmt:kev:mtx:journal&amp;genre=journal&amp;req_dat=xri:pqil:pq_clntid=131239&amp;svc_dat=xri:pqil:context=title&amp;rft_dat=xri:pqd:PMID=6275743</t>
  </si>
  <si>
    <t>http://gateway.proquest.com/openurl?url_ver=Z39.88-2004&amp;res_dat=xri:pqm&amp;rft_val_fmt=info:ofi/fmt:kev:mtx:journal&amp;genre=journal&amp;req_dat=xri:pqil:pq_clntid=131239&amp;svc_dat=xri:pqil:context=title&amp;rft_dat=xri:pqd:PMID=31752</t>
  </si>
  <si>
    <t>http://gateway.proquest.com/openurl?url_ver=Z39.88-2004&amp;res_dat=xri:pqm&amp;rft_val_fmt=info:ofi/fmt:kev:mtx:journal&amp;genre=journal&amp;req_dat=xri:pqil:pq_clntid=131239&amp;svc_dat=xri:pqil:context=title&amp;rft_dat=xri:pqd:PMID=6447768</t>
  </si>
  <si>
    <t>http://gateway.proquest.com/openurl?url_ver=Z39.88-2004&amp;res_dat=xri:pqm&amp;rft_val_fmt=info:ofi/fmt:kev:mtx:journal&amp;genre=journal&amp;req_dat=xri:pqil:pq_clntid=131239&amp;svc_dat=xri:pqil:context=title&amp;rft_dat=xri:pqd:PMID=5263193</t>
  </si>
  <si>
    <t>http://gateway.proquest.com/openurl?url_ver=Z39.88-2004&amp;res_dat=xri:pqm&amp;rft_val_fmt=info:ofi/fmt:kev:mtx:journal&amp;genre=journal&amp;req_dat=xri:pqil:pq_clntid=131239&amp;svc_dat=xri:pqil:context=title&amp;rft_dat=xri:pqd:PMID=31369</t>
  </si>
  <si>
    <t>http://gateway.proquest.com/openurl?url_ver=Z39.88-2004&amp;res_dat=xri:pqm&amp;rft_val_fmt=info:ofi/fmt:kev:mtx:journal&amp;genre=journal&amp;req_dat=xri:pqil:pq_clntid=131239&amp;svc_dat=xri:pqil:context=title&amp;rft_dat=xri:pqd:PMID=37990</t>
  </si>
  <si>
    <t>http://gateway.proquest.com/openurl?url_ver=Z39.88-2004&amp;res_dat=xri:pqm&amp;rft_val_fmt=info:ofi/fmt:kev:mtx:journal&amp;genre=journal&amp;req_dat=xri:pqil:pq_clntid=131239&amp;svc_dat=xri:pqil:context=title&amp;rft_dat=xri:pqd:PMID=33713</t>
  </si>
  <si>
    <t>TVF International Videos</t>
  </si>
  <si>
    <t>http://gateway.proquest.com/openurl?url_ver=Z39.88-2004&amp;res_dat=xri:pqm&amp;rft_val_fmt=info:ofi/fmt:kev:mtx:journal&amp;genre=journal&amp;req_dat=xri:pqil:pq_clntid=131239&amp;svc_dat=xri:pqil:context=title&amp;rft_dat=xri:pqd:PMID=6364580</t>
  </si>
  <si>
    <t>http://gateway.proquest.com/openurl?url_ver=Z39.88-2004&amp;res_dat=xri:pqm&amp;rft_val_fmt=info:ofi/fmt:kev:mtx:journal&amp;genre=journal&amp;req_dat=xri:pqil:pq_clntid=131239&amp;svc_dat=xri:pqil:context=title&amp;rft_dat=xri:pqd:PMID=5485110</t>
  </si>
  <si>
    <t>http://gateway.proquest.com/openurl?url_ver=Z39.88-2004&amp;res_dat=xri:pqm&amp;rft_val_fmt=info:ofi/fmt:kev:mtx:journal&amp;genre=journal&amp;req_dat=xri:pqil:pq_clntid=131239&amp;svc_dat=xri:pqil:context=title&amp;rft_dat=xri:pqd:PMID=6394508</t>
  </si>
  <si>
    <t>http://gateway.proquest.com/openurl?url_ver=Z39.88-2004&amp;res_dat=xri:pqm&amp;rft_val_fmt=info:ofi/fmt:kev:mtx:journal&amp;genre=journal&amp;req_dat=xri:pqil:pq_clntid=131239&amp;svc_dat=xri:pqil:context=title&amp;rft_dat=xri:pqd:PMID=6059450</t>
  </si>
  <si>
    <t>http://gateway.proquest.com/openurl?url_ver=Z39.88-2004&amp;res_dat=xri:pqm&amp;rft_val_fmt=info:ofi/fmt:kev:mtx:journal&amp;genre=journal&amp;req_dat=xri:pqil:pq_clntid=131239&amp;svc_dat=xri:pqil:context=title&amp;rft_dat=xri:pqd:PMID=5485069</t>
  </si>
  <si>
    <t>http://gateway.proquest.com/openurl?url_ver=Z39.88-2004&amp;res_dat=xri:pqm&amp;rft_val_fmt=info:ofi/fmt:kev:mtx:journal&amp;genre=journal&amp;req_dat=xri:pqil:pq_clntid=131239&amp;svc_dat=xri:pqil:context=title&amp;rft_dat=xri:pqd:PMID=5325191</t>
  </si>
  <si>
    <t>http://gateway.proquest.com/openurl?url_ver=Z39.88-2004&amp;res_dat=xri:pqm&amp;rft_val_fmt=info:ofi/fmt:kev:mtx:journal&amp;genre=journal&amp;req_dat=xri:pqil:pq_clntid=131239&amp;svc_dat=xri:pqil:context=title&amp;rft_dat=xri:pqd:PMID=33819</t>
  </si>
  <si>
    <t>http://gateway.proquest.com/openurl?url_ver=Z39.88-2004&amp;res_dat=xri:pqm&amp;rft_val_fmt=info:ofi/fmt:kev:mtx:journal&amp;genre=journal&amp;req_dat=xri:pqil:pq_clntid=131239&amp;svc_dat=xri:pqil:context=title&amp;rft_dat=xri:pqd:PMID=5485124</t>
  </si>
  <si>
    <t>Fat Cat Films</t>
  </si>
  <si>
    <t>http://gateway.proquest.com/openurl?url_ver=Z39.88-2004&amp;res_dat=xri:pqm&amp;rft_val_fmt=info:ofi/fmt:kev:mtx:journal&amp;genre=journal&amp;req_dat=xri:pqil:pq_clntid=131239&amp;svc_dat=xri:pqil:context=title&amp;rft_dat=xri:pqd:PMID=6364599</t>
  </si>
  <si>
    <t>http://gateway.proquest.com/openurl?url_ver=Z39.88-2004&amp;res_dat=xri:pqm&amp;rft_val_fmt=info:ofi/fmt:kev:mtx:journal&amp;genre=journal&amp;req_dat=xri:pqil:pq_clntid=131239&amp;svc_dat=xri:pqil:context=title&amp;rft_dat=xri:pqd:PMID=48406</t>
  </si>
  <si>
    <t>http://gateway.proquest.com/openurl?url_ver=Z39.88-2004&amp;res_dat=xri:pqm&amp;rft_val_fmt=info:ofi/fmt:kev:mtx:journal&amp;genre=journal&amp;req_dat=xri:pqil:pq_clntid=131239&amp;svc_dat=xri:pqil:context=title&amp;rft_dat=xri:pqd:PMID=5485062</t>
  </si>
  <si>
    <t>http://gateway.proquest.com/openurl?url_ver=Z39.88-2004&amp;res_dat=xri:pqm&amp;rft_val_fmt=info:ofi/fmt:kev:mtx:journal&amp;genre=journal&amp;req_dat=xri:pqil:pq_clntid=131239&amp;svc_dat=xri:pqil:context=title&amp;rft_dat=xri:pqd:PMID=5485061</t>
  </si>
  <si>
    <t>http://gateway.proquest.com/openurl?url_ver=Z39.88-2004&amp;res_dat=xri:pqm&amp;rft_val_fmt=info:ofi/fmt:kev:mtx:journal&amp;genre=journal&amp;req_dat=xri:pqil:pq_clntid=131239&amp;svc_dat=xri:pqil:context=title&amp;rft_dat=xri:pqd:PMID=5485109</t>
  </si>
  <si>
    <t>http://gateway.proquest.com/openurl?url_ver=Z39.88-2004&amp;res_dat=xri:pqm&amp;rft_val_fmt=info:ofi/fmt:kev:mtx:journal&amp;genre=journal&amp;req_dat=xri:pqil:pq_clntid=131239&amp;svc_dat=xri:pqil:context=title&amp;rft_dat=xri:pqd:PMID=5485060</t>
  </si>
  <si>
    <t>http://gateway.proquest.com/openurl?url_ver=Z39.88-2004&amp;res_dat=xri:pqm&amp;rft_val_fmt=info:ofi/fmt:kev:mtx:journal&amp;genre=journal&amp;req_dat=xri:pqil:pq_clntid=131239&amp;svc_dat=xri:pqil:context=title&amp;rft_dat=xri:pqd:PMID=5485059</t>
  </si>
  <si>
    <t>http://gateway.proquest.com/openurl?url_ver=Z39.88-2004&amp;res_dat=xri:pqm&amp;rft_val_fmt=info:ofi/fmt:kev:mtx:journal&amp;genre=journal&amp;req_dat=xri:pqil:pq_clntid=131239&amp;svc_dat=xri:pqil:context=title&amp;rft_dat=xri:pqd:PMID=5485058</t>
  </si>
  <si>
    <t>http://gateway.proquest.com/openurl?url_ver=Z39.88-2004&amp;res_dat=xri:pqm&amp;rft_val_fmt=info:ofi/fmt:kev:mtx:journal&amp;genre=journal&amp;req_dat=xri:pqil:pq_clntid=131239&amp;svc_dat=xri:pqil:context=title&amp;rft_dat=xri:pqd:PMID=5486057</t>
  </si>
  <si>
    <t>http://gateway.proquest.com/openurl?url_ver=Z39.88-2004&amp;res_dat=xri:pqm&amp;rft_val_fmt=info:ofi/fmt:kev:mtx:journal&amp;genre=journal&amp;req_dat=xri:pqil:pq_clntid=131239&amp;svc_dat=xri:pqil:context=title&amp;rft_dat=xri:pqd:PMID=5486059</t>
  </si>
  <si>
    <t>http://gateway.proquest.com/openurl?url_ver=Z39.88-2004&amp;res_dat=xri:pqm&amp;rft_val_fmt=info:ofi/fmt:kev:mtx:journal&amp;genre=journal&amp;req_dat=xri:pqil:pq_clntid=131239&amp;svc_dat=xri:pqil:context=title&amp;rft_dat=xri:pqd:PMID=5486056</t>
  </si>
  <si>
    <t>http://gateway.proquest.com/openurl?url_ver=Z39.88-2004&amp;res_dat=xri:pqm&amp;rft_val_fmt=info:ofi/fmt:kev:mtx:journal&amp;genre=journal&amp;req_dat=xri:pqil:pq_clntid=131239&amp;svc_dat=xri:pqil:context=title&amp;rft_dat=xri:pqd:PMID=5488548</t>
  </si>
  <si>
    <t>http://gateway.proquest.com/openurl?url_ver=Z39.88-2004&amp;res_dat=xri:pqm&amp;rft_val_fmt=info:ofi/fmt:kev:mtx:journal&amp;genre=journal&amp;req_dat=xri:pqil:pq_clntid=131239&amp;svc_dat=xri:pqil:context=title&amp;rft_dat=xri:pqd:PMID=5488547</t>
  </si>
  <si>
    <t>http://gateway.proquest.com/openurl?url_ver=Z39.88-2004&amp;res_dat=xri:pqm&amp;rft_val_fmt=info:ofi/fmt:kev:mtx:journal&amp;genre=journal&amp;req_dat=xri:pqil:pq_clntid=131239&amp;svc_dat=xri:pqil:context=title&amp;rft_dat=xri:pqd:PMID=5488546</t>
  </si>
  <si>
    <t>http://gateway.proquest.com/openurl?url_ver=Z39.88-2004&amp;res_dat=xri:pqm&amp;rft_val_fmt=info:ofi/fmt:kev:mtx:journal&amp;genre=journal&amp;req_dat=xri:pqil:pq_clntid=131239&amp;svc_dat=xri:pqil:context=title&amp;rft_dat=xri:pqd:PMID=5488545</t>
  </si>
  <si>
    <t>http://gateway.proquest.com/openurl?url_ver=Z39.88-2004&amp;res_dat=xri:pqm&amp;rft_val_fmt=info:ofi/fmt:kev:mtx:journal&amp;genre=journal&amp;req_dat=xri:pqil:pq_clntid=131239&amp;svc_dat=xri:pqil:context=title&amp;rft_dat=xri:pqd:PMID=5488544</t>
  </si>
  <si>
    <t>http://gateway.proquest.com/openurl?url_ver=Z39.88-2004&amp;res_dat=xri:pqm&amp;rft_val_fmt=info:ofi/fmt:kev:mtx:journal&amp;genre=journal&amp;req_dat=xri:pqil:pq_clntid=131239&amp;svc_dat=xri:pqil:context=title&amp;rft_dat=xri:pqd:PMID=5488543</t>
  </si>
  <si>
    <t>http://gateway.proquest.com/openurl?url_ver=Z39.88-2004&amp;res_dat=xri:pqm&amp;rft_val_fmt=info:ofi/fmt:kev:mtx:journal&amp;genre=journal&amp;req_dat=xri:pqil:pq_clntid=131239&amp;svc_dat=xri:pqil:context=title&amp;rft_dat=xri:pqd:PMID=5488542</t>
  </si>
  <si>
    <t>http://gateway.proquest.com/openurl?url_ver=Z39.88-2004&amp;res_dat=xri:pqm&amp;rft_val_fmt=info:ofi/fmt:kev:mtx:journal&amp;genre=journal&amp;req_dat=xri:pqil:pq_clntid=131239&amp;svc_dat=xri:pqil:context=title&amp;rft_dat=xri:pqd:PMID=5488541</t>
  </si>
  <si>
    <t>http://gateway.proquest.com/openurl?url_ver=Z39.88-2004&amp;res_dat=xri:pqm&amp;rft_val_fmt=info:ofi/fmt:kev:mtx:journal&amp;genre=journal&amp;req_dat=xri:pqil:pq_clntid=131239&amp;svc_dat=xri:pqil:context=title&amp;rft_dat=xri:pqd:PMID=5490498</t>
  </si>
  <si>
    <t>Ten Days in a Mad-House, or Nellie Bly's Experience on Blackwell's Island : Feigning Insanity in Order to Reveal Asylum Horrors</t>
  </si>
  <si>
    <t>http://gateway.proquest.com/openurl?url_ver=Z39.88-2004&amp;res_dat=xri:pqm&amp;rft_val_fmt=info:ofi/fmt:kev:mtx:journal&amp;genre=journal&amp;req_dat=xri:pqil:pq_clntid=131239&amp;svc_dat=xri:pqil:context=title&amp;rft_dat=xri:pqd:PMID=5983396</t>
  </si>
  <si>
    <t>http://gateway.proquest.com/openurl?url_ver=Z39.88-2004&amp;res_dat=xri:pqm&amp;rft_val_fmt=info:ofi/fmt:kev:mtx:journal&amp;genre=journal&amp;req_dat=xri:pqil:pq_clntid=131239&amp;svc_dat=xri:pqil:context=title&amp;rft_dat=xri:pqd:PMID=27113</t>
  </si>
  <si>
    <t>http://gateway.proquest.com/openurl?url_ver=Z39.88-2004&amp;res_dat=xri:pqm&amp;rft_val_fmt=info:ofi/fmt:kev:mtx:journal&amp;genre=journal&amp;req_dat=xri:pqil:pq_clntid=131239&amp;svc_dat=xri:pqil:context=title&amp;rft_dat=xri:pqd:PMID=25608</t>
  </si>
  <si>
    <t>http://gateway.proquest.com/openurl?url_ver=Z39.88-2004&amp;res_dat=xri:pqm&amp;rft_val_fmt=info:ofi/fmt:kev:mtx:journal&amp;genre=journal&amp;req_dat=xri:pqil:pq_clntid=131239&amp;svc_dat=xri:pqil:context=title&amp;rft_dat=xri:pqd:PMID=32815</t>
  </si>
  <si>
    <t>http://gateway.proquest.com/openurl?url_ver=Z39.88-2004&amp;res_dat=xri:pqm&amp;rft_val_fmt=info:ofi/fmt:kev:mtx:journal&amp;genre=journal&amp;req_dat=xri:pqil:pq_clntid=131239&amp;svc_dat=xri:pqil:context=title&amp;rft_dat=xri:pqd:PMID=36605</t>
  </si>
  <si>
    <t>http://gateway.proquest.com/openurl?url_ver=Z39.88-2004&amp;res_dat=xri:pqm&amp;rft_val_fmt=info:ofi/fmt:kev:mtx:journal&amp;genre=journal&amp;req_dat=xri:pqil:pq_clntid=131239&amp;svc_dat=xri:pqil:context=title&amp;rft_dat=xri:pqd:PMID=5488575</t>
  </si>
  <si>
    <t>http://gateway.proquest.com/openurl?url_ver=Z39.88-2004&amp;res_dat=xri:pqm&amp;rft_val_fmt=info:ofi/fmt:kev:mtx:journal&amp;genre=journal&amp;req_dat=xri:pqil:pq_clntid=131239&amp;svc_dat=xri:pqil:context=title&amp;rft_dat=xri:pqd:PMID=798</t>
  </si>
  <si>
    <t>http://gateway.proquest.com/openurl?url_ver=Z39.88-2004&amp;res_dat=xri:pqm&amp;rft_val_fmt=info:ofi/fmt:kev:mtx:journal&amp;genre=journal&amp;req_dat=xri:pqil:pq_clntid=131239&amp;svc_dat=xri:pqil:context=title&amp;rft_dat=xri:pqd:PMID=4450847</t>
  </si>
  <si>
    <t>http://gateway.proquest.com/openurl?url_ver=Z39.88-2004&amp;res_dat=xri:pqm&amp;rft_val_fmt=info:ofi/fmt:kev:mtx:journal&amp;genre=journal&amp;req_dat=xri:pqil:pq_clntid=131239&amp;svc_dat=xri:pqil:context=title&amp;rft_dat=xri:pqd:PMID=4450839</t>
  </si>
  <si>
    <t>http://gateway.proquest.com/openurl?url_ver=Z39.88-2004&amp;res_dat=xri:pqm&amp;rft_val_fmt=info:ofi/fmt:kev:mtx:journal&amp;genre=journal&amp;req_dat=xri:pqil:pq_clntid=131239&amp;svc_dat=xri:pqil:context=title&amp;rft_dat=xri:pqd:PMID=2032909</t>
  </si>
  <si>
    <t>http://gateway.proquest.com/openurl?url_ver=Z39.88-2004&amp;res_dat=xri:pqm&amp;rft_val_fmt=info:ofi/fmt:kev:mtx:journal&amp;genre=journal&amp;req_dat=xri:pqil:pq_clntid=131239&amp;svc_dat=xri:pqil:context=title&amp;rft_dat=xri:pqd:PMID=5262101</t>
  </si>
  <si>
    <t>http://gateway.proquest.com/openurl?url_ver=Z39.88-2004&amp;res_dat=xri:pqm&amp;rft_val_fmt=info:ofi/fmt:kev:mtx:journal&amp;genre=journal&amp;req_dat=xri:pqil:pq_clntid=131239&amp;svc_dat=xri:pqil:context=title&amp;rft_dat=xri:pqd:PMID=5997</t>
  </si>
  <si>
    <t>http://gateway.proquest.com/openurl?url_ver=Z39.88-2004&amp;res_dat=xri:pqm&amp;rft_val_fmt=info:ofi/fmt:kev:mtx:journal&amp;genre=journal&amp;req_dat=xri:pqil:pq_clntid=131239&amp;svc_dat=xri:pqil:context=title&amp;rft_dat=xri:pqd:PMID=27525</t>
  </si>
  <si>
    <t>http://gateway.proquest.com/openurl?url_ver=Z39.88-2004&amp;res_dat=xri:pqm&amp;rft_val_fmt=info:ofi/fmt:kev:mtx:journal&amp;genre=journal&amp;req_dat=xri:pqil:pq_clntid=131239&amp;svc_dat=xri:pqil:context=title&amp;rft_dat=xri:pqd:PMID=5256695</t>
  </si>
  <si>
    <t>http://gateway.proquest.com/openurl?url_ver=Z39.88-2004&amp;res_dat=xri:pqm&amp;rft_val_fmt=info:ofi/fmt:kev:mtx:journal&amp;genre=journal&amp;req_dat=xri:pqil:pq_clntid=131239&amp;svc_dat=xri:pqil:context=title&amp;rft_dat=xri:pqd:PMID=5263179</t>
  </si>
  <si>
    <t>http://gateway.proquest.com/openurl?url_ver=Z39.88-2004&amp;res_dat=xri:pqm&amp;rft_val_fmt=info:ofi/fmt:kev:mtx:journal&amp;genre=journal&amp;req_dat=xri:pqil:pq_clntid=131239&amp;svc_dat=xri:pqil:context=title&amp;rft_dat=xri:pqd:PMID=5256663</t>
  </si>
  <si>
    <t>http://gateway.proquest.com/openurl?url_ver=Z39.88-2004&amp;res_dat=xri:pqm&amp;rft_val_fmt=info:ofi/fmt:kev:mtx:journal&amp;genre=journal&amp;req_dat=xri:pqil:pq_clntid=131239&amp;svc_dat=xri:pqil:context=title&amp;rft_dat=xri:pqd:PMID=6059419</t>
  </si>
  <si>
    <t>http://gateway.proquest.com/openurl?url_ver=Z39.88-2004&amp;res_dat=xri:pqm&amp;rft_val_fmt=info:ofi/fmt:kev:mtx:journal&amp;genre=journal&amp;req_dat=xri:pqil:pq_clntid=131239&amp;svc_dat=xri:pqil:context=title&amp;rft_dat=xri:pqd:PMID=53165</t>
  </si>
  <si>
    <t>Thinking Allowed</t>
  </si>
  <si>
    <t>http://gateway.proquest.com/openurl?url_ver=Z39.88-2004&amp;res_dat=xri:pqm&amp;rft_val_fmt=info:ofi/fmt:kev:mtx:journal&amp;genre=journal&amp;req_dat=xri:pqil:pq_clntid=131239&amp;svc_dat=xri:pqil:context=title&amp;rft_dat=xri:pqd:PMID=6364585</t>
  </si>
  <si>
    <t>http://gateway.proquest.com/openurl?url_ver=Z39.88-2004&amp;res_dat=xri:pqm&amp;rft_val_fmt=info:ofi/fmt:kev:mtx:journal&amp;genre=journal&amp;req_dat=xri:pqil:pq_clntid=131239&amp;svc_dat=xri:pqil:context=title&amp;rft_dat=xri:pqd:PMID=5983357</t>
  </si>
  <si>
    <t>This Emotional Life</t>
  </si>
  <si>
    <t>PBS Distribution Public Media Distribution, LLC</t>
  </si>
  <si>
    <t>http://gateway.proquest.com/openurl?url_ver=Z39.88-2004&amp;res_dat=xri:pqm&amp;rft_val_fmt=info:ofi/fmt:kev:mtx:journal&amp;genre=journal&amp;req_dat=xri:pqil:pq_clntid=131239&amp;svc_dat=xri:pqil:context=title&amp;rft_dat=xri:pqd:PMID=5256661</t>
  </si>
  <si>
    <t>This Red Book Is Partly a Reprint of What Was Published in 1883, and Later. And Earlier Letters From Prominent Men</t>
  </si>
  <si>
    <t>http://gateway.proquest.com/openurl?url_ver=Z39.88-2004&amp;res_dat=xri:pqm&amp;rft_val_fmt=info:ofi/fmt:kev:mtx:journal&amp;genre=journal&amp;req_dat=xri:pqil:pq_clntid=131239&amp;svc_dat=xri:pqil:context=title&amp;rft_dat=xri:pqd:PMID=5983353</t>
  </si>
  <si>
    <t>Psychological and Educational Films</t>
  </si>
  <si>
    <t>http://gateway.proquest.com/openurl?url_ver=Z39.88-2004&amp;res_dat=xri:pqm&amp;rft_val_fmt=info:ofi/fmt:kev:mtx:journal&amp;genre=journal&amp;req_dat=xri:pqil:pq_clntid=131239&amp;svc_dat=xri:pqil:context=title&amp;rft_dat=xri:pqd:PMID=6394503</t>
  </si>
  <si>
    <t>http://gateway.proquest.com/openurl?url_ver=Z39.88-2004&amp;res_dat=xri:pqm&amp;rft_val_fmt=info:ofi/fmt:kev:mtx:journal&amp;genre=journal&amp;req_dat=xri:pqil:pq_clntid=131239&amp;svc_dat=xri:pqil:context=title&amp;rft_dat=xri:pqd:PMID=6059418</t>
  </si>
  <si>
    <t>http://gateway.proquest.com/openurl?url_ver=Z39.88-2004&amp;res_dat=xri:pqm&amp;rft_val_fmt=info:ofi/fmt:kev:mtx:journal&amp;genre=journal&amp;req_dat=xri:pqil:pq_clntid=131239&amp;svc_dat=xri:pqil:context=title&amp;rft_dat=xri:pqd:PMID=5488553</t>
  </si>
  <si>
    <t>http://gateway.proquest.com/openurl?url_ver=Z39.88-2004&amp;res_dat=xri:pqm&amp;rft_val_fmt=info:ofi/fmt:kev:mtx:journal&amp;genre=journal&amp;req_dat=xri:pqil:pq_clntid=131239&amp;svc_dat=xri:pqil:context=title&amp;rft_dat=xri:pqd:PMID=44208</t>
  </si>
  <si>
    <t>http://gateway.proquest.com/openurl?url_ver=Z39.88-2004&amp;res_dat=xri:pqm&amp;rft_val_fmt=info:ofi/fmt:kev:mtx:journal&amp;genre=journal&amp;req_dat=xri:pqil:pq_clntid=131239&amp;svc_dat=xri:pqil:context=title&amp;rft_dat=xri:pqd:PMID=1006493</t>
  </si>
  <si>
    <t>http://gateway.proquest.com/openurl?url_ver=Z39.88-2004&amp;res_dat=xri:pqm&amp;rft_val_fmt=info:ofi/fmt:kev:mtx:journal&amp;genre=journal&amp;req_dat=xri:pqil:pq_clntid=131239&amp;svc_dat=xri:pqil:context=title&amp;rft_dat=xri:pqd:PMID=48505</t>
  </si>
  <si>
    <t>http://gateway.proquest.com/openurl?url_ver=Z39.88-2004&amp;res_dat=xri:pqm&amp;rft_val_fmt=info:ofi/fmt:kev:mtx:journal&amp;genre=journal&amp;req_dat=xri:pqil:pq_clntid=131239&amp;svc_dat=xri:pqil:context=title&amp;rft_dat=xri:pqd:PMID=48517</t>
  </si>
  <si>
    <t>Abington</t>
  </si>
  <si>
    <t>http://gateway.proquest.com/openurl?url_ver=Z39.88-2004&amp;res_dat=xri:pqm&amp;rft_val_fmt=info:ofi/fmt:kev:mtx:journal&amp;genre=journal&amp;req_dat=xri:pqil:pq_clntid=131239&amp;svc_dat=xri:pqil:context=title&amp;rft_dat=xri:pqd:PMID=31769</t>
  </si>
  <si>
    <t>http://gateway.proquest.com/openurl?url_ver=Z39.88-2004&amp;res_dat=xri:pqm&amp;rft_val_fmt=info:ofi/fmt:kev:mtx:journal&amp;genre=journal&amp;req_dat=xri:pqil:pq_clntid=131239&amp;svc_dat=xri:pqil:context=title&amp;rft_dat=xri:pqd:PMID=54156</t>
  </si>
  <si>
    <t>http://gateway.proquest.com/openurl?url_ver=Z39.88-2004&amp;res_dat=xri:pqm&amp;rft_val_fmt=info:ofi/fmt:kev:mtx:journal&amp;genre=journal&amp;req_dat=xri:pqil:pq_clntid=131239&amp;svc_dat=xri:pqil:context=title&amp;rft_dat=xri:pqd:PMID=5262113</t>
  </si>
  <si>
    <t>Boone</t>
  </si>
  <si>
    <t>http://gateway.proquest.com/openurl?url_ver=Z39.88-2004&amp;res_dat=xri:pqm&amp;rft_val_fmt=info:ofi/fmt:kev:mtx:journal&amp;genre=journal&amp;req_dat=xri:pqil:pq_clntid=131239&amp;svc_dat=xri:pqil:context=title&amp;rft_dat=xri:pqd:PMID=2049213</t>
  </si>
  <si>
    <t>http://gateway.proquest.com/openurl?url_ver=Z39.88-2004&amp;res_dat=xri:pqm&amp;rft_val_fmt=info:ofi/fmt:kev:mtx:journal&amp;genre=journal&amp;req_dat=xri:pqil:pq_clntid=131239&amp;svc_dat=xri:pqil:context=title&amp;rft_dat=xri:pqd:PMID=27970</t>
  </si>
  <si>
    <t>http://gateway.proquest.com/openurl?url_ver=Z39.88-2004&amp;res_dat=xri:pqm&amp;rft_val_fmt=info:ofi/fmt:kev:mtx:journal&amp;genre=journal&amp;req_dat=xri:pqil:pq_clntid=131239&amp;svc_dat=xri:pqil:context=title&amp;rft_dat=xri:pqd:PMID=5983365</t>
  </si>
  <si>
    <t>http://gateway.proquest.com/openurl?url_ver=Z39.88-2004&amp;res_dat=xri:pqm&amp;rft_val_fmt=info:ofi/fmt:kev:mtx:journal&amp;genre=journal&amp;req_dat=xri:pqil:pq_clntid=131239&amp;svc_dat=xri:pqil:context=title&amp;rft_dat=xri:pqd:PMID=47650</t>
  </si>
  <si>
    <t>1895</t>
  </si>
  <si>
    <t>http://gateway.proquest.com/openurl?url_ver=Z39.88-2004&amp;res_dat=xri:pqm&amp;rft_val_fmt=info:ofi/fmt:kev:mtx:journal&amp;genre=journal&amp;req_dat=xri:pqil:pq_clntid=131239&amp;svc_dat=xri:pqil:context=title&amp;rft_dat=xri:pqd:PMID=5983348</t>
  </si>
  <si>
    <t>http://gateway.proquest.com/openurl?url_ver=Z39.88-2004&amp;res_dat=xri:pqm&amp;rft_val_fmt=info:ofi/fmt:kev:mtx:journal&amp;genre=journal&amp;req_dat=xri:pqil:pq_clntid=131239&amp;svc_dat=xri:pqil:context=title&amp;rft_dat=xri:pqd:PMID=5488562</t>
  </si>
  <si>
    <t>http://gateway.proquest.com/openurl?url_ver=Z39.88-2004&amp;res_dat=xri:pqm&amp;rft_val_fmt=info:ofi/fmt:kev:mtx:journal&amp;genre=journal&amp;req_dat=xri:pqil:pq_clntid=131239&amp;svc_dat=xri:pqil:context=title&amp;rft_dat=xri:pqd:PMID=6364583</t>
  </si>
  <si>
    <t>Lgbtq+|Medical Sciences</t>
  </si>
  <si>
    <t>http://gateway.proquest.com/openurl?url_ver=Z39.88-2004&amp;res_dat=xri:pqm&amp;rft_val_fmt=info:ofi/fmt:kev:mtx:journal&amp;genre=journal&amp;req_dat=xri:pqil:pq_clntid=131239&amp;svc_dat=xri:pqil:context=title&amp;rft_dat=xri:pqd:PMID=2043315</t>
  </si>
  <si>
    <t>http://gateway.proquest.com/openurl?url_ver=Z39.88-2004&amp;res_dat=xri:pqm&amp;rft_val_fmt=info:ofi/fmt:kev:mtx:journal&amp;genre=journal&amp;req_dat=xri:pqil:pq_clntid=131239&amp;svc_dat=xri:pqil:context=title&amp;rft_dat=xri:pqd:PMID=6275742</t>
  </si>
  <si>
    <t>http://gateway.proquest.com/openurl?url_ver=Z39.88-2004&amp;res_dat=xri:pqm&amp;rft_val_fmt=info:ofi/fmt:kev:mtx:journal&amp;genre=journal&amp;req_dat=xri:pqil:pq_clntid=131239&amp;svc_dat=xri:pqil:context=title&amp;rft_dat=xri:pqd:PMID=2037377</t>
  </si>
  <si>
    <t>http://gateway.proquest.com/openurl?url_ver=Z39.88-2004&amp;res_dat=xri:pqm&amp;rft_val_fmt=info:ofi/fmt:kev:mtx:journal&amp;genre=journal&amp;req_dat=xri:pqil:pq_clntid=131239&amp;svc_dat=xri:pqil:context=title&amp;rft_dat=xri:pqd:PMID=5325204</t>
  </si>
  <si>
    <t>http://gateway.proquest.com/openurl?url_ver=Z39.88-2004&amp;res_dat=xri:pqm&amp;rft_val_fmt=info:ofi/fmt:kev:mtx:journal&amp;genre=journal&amp;req_dat=xri:pqil:pq_clntid=131239&amp;svc_dat=xri:pqil:context=title&amp;rft_dat=xri:pqd:PMID=186140</t>
  </si>
  <si>
    <t>http://gateway.proquest.com/openurl?url_ver=Z39.88-2004&amp;res_dat=xri:pqm&amp;rft_val_fmt=info:ofi/fmt:kev:mtx:journal&amp;genre=journal&amp;req_dat=xri:pqil:pq_clntid=131239&amp;svc_dat=xri:pqil:context=title&amp;rft_dat=xri:pqd:PMID=6364582</t>
  </si>
  <si>
    <t>http://gateway.proquest.com/openurl?url_ver=Z39.88-2004&amp;res_dat=xri:pqm&amp;rft_val_fmt=info:ofi/fmt:kev:mtx:journal&amp;genre=journal&amp;req_dat=xri:pqil:pq_clntid=131239&amp;svc_dat=xri:pqil:context=title&amp;rft_dat=xri:pqd:PMID=5262112</t>
  </si>
  <si>
    <t>http://gateway.proquest.com/openurl?url_ver=Z39.88-2004&amp;res_dat=xri:pqm&amp;rft_val_fmt=info:ofi/fmt:kev:mtx:journal&amp;genre=journal&amp;req_dat=xri:pqil:pq_clntid=131239&amp;svc_dat=xri:pqil:context=title&amp;rft_dat=xri:pqd:PMID=9837</t>
  </si>
  <si>
    <t>http://gateway.proquest.com/openurl?url_ver=Z39.88-2004&amp;res_dat=xri:pqm&amp;rft_val_fmt=info:ofi/fmt:kev:mtx:journal&amp;genre=journal&amp;req_dat=xri:pqil:pq_clntid=131239&amp;svc_dat=xri:pqil:context=title&amp;rft_dat=xri:pqd:PMID=2035003</t>
  </si>
  <si>
    <t>http://gateway.proquest.com/openurl?url_ver=Z39.88-2004&amp;res_dat=xri:pqm&amp;rft_val_fmt=info:ofi/fmt:kev:mtx:journal&amp;genre=journal&amp;req_dat=xri:pqil:pq_clntid=131239&amp;svc_dat=xri:pqil:context=title&amp;rft_dat=xri:pqd:PMID=6364581</t>
  </si>
  <si>
    <t>1888</t>
  </si>
  <si>
    <t>http://gateway.proquest.com/openurl?url_ver=Z39.88-2004&amp;res_dat=xri:pqm&amp;rft_val_fmt=info:ofi/fmt:kev:mtx:journal&amp;genre=journal&amp;req_dat=xri:pqil:pq_clntid=131239&amp;svc_dat=xri:pqil:context=title&amp;rft_dat=xri:pqd:PMID=5983361</t>
  </si>
  <si>
    <t>01-Jul-2015--31-Dec-2016</t>
  </si>
  <si>
    <t>http://gateway.proquest.com/openurl?url_ver=Z39.88-2004&amp;res_dat=xri:pqm&amp;rft_val_fmt=info:ofi/fmt:kev:mtx:journal&amp;genre=journal&amp;req_dat=xri:pqil:pq_clntid=131239&amp;svc_dat=xri:pqil:context=title&amp;rft_dat=xri:pqd:PMID=135338</t>
  </si>
  <si>
    <t>http://gateway.proquest.com/openurl?url_ver=Z39.88-2004&amp;res_dat=xri:pqm&amp;rft_val_fmt=info:ofi/fmt:kev:mtx:journal&amp;genre=journal&amp;req_dat=xri:pqil:pq_clntid=131239&amp;svc_dat=xri:pqil:context=title&amp;rft_dat=xri:pqd:PMID=28562</t>
  </si>
  <si>
    <t>http://gateway.proquest.com/openurl?url_ver=Z39.88-2004&amp;res_dat=xri:pqm&amp;rft_val_fmt=info:ofi/fmt:kev:mtx:journal&amp;genre=journal&amp;req_dat=xri:pqil:pq_clntid=131239&amp;svc_dat=xri:pqil:context=title&amp;rft_dat=xri:pqd:PMID=296200</t>
  </si>
  <si>
    <t>Twenty-Five Years With the Insane</t>
  </si>
  <si>
    <t>1885</t>
  </si>
  <si>
    <t>http://gateway.proquest.com/openurl?url_ver=Z39.88-2004&amp;res_dat=xri:pqm&amp;rft_val_fmt=info:ofi/fmt:kev:mtx:journal&amp;genre=journal&amp;req_dat=xri:pqil:pq_clntid=131239&amp;svc_dat=xri:pqil:context=title&amp;rft_dat=xri:pqd:PMID=5983344</t>
  </si>
  <si>
    <t>http://gateway.proquest.com/openurl?url_ver=Z39.88-2004&amp;res_dat=xri:pqm&amp;rft_val_fmt=info:ofi/fmt:kev:mtx:journal&amp;genre=journal&amp;req_dat=xri:pqil:pq_clntid=131239&amp;svc_dat=xri:pqil:context=title&amp;rft_dat=xri:pqd:PMID=47903</t>
  </si>
  <si>
    <t>http://gateway.proquest.com/openurl?url_ver=Z39.88-2004&amp;res_dat=xri:pqm&amp;rft_val_fmt=info:ofi/fmt:kev:mtx:journal&amp;genre=journal&amp;req_dat=xri:pqil:pq_clntid=131239&amp;svc_dat=xri:pqil:context=title&amp;rft_dat=xri:pqd:PMID=105872</t>
  </si>
  <si>
    <t>http://gateway.proquest.com/openurl?url_ver=Z39.88-2004&amp;res_dat=xri:pqm&amp;rft_val_fmt=info:ofi/fmt:kev:mtx:journal&amp;genre=journal&amp;req_dat=xri:pqil:pq_clntid=131239&amp;svc_dat=xri:pqil:context=title&amp;rft_dat=xri:pqd:PMID=105867</t>
  </si>
  <si>
    <t>http://gateway.proquest.com/openurl?url_ver=Z39.88-2004&amp;res_dat=xri:pqm&amp;rft_val_fmt=info:ofi/fmt:kev:mtx:journal&amp;genre=journal&amp;req_dat=xri:pqil:pq_clntid=131239&amp;svc_dat=xri:pqil:context=title&amp;rft_dat=xri:pqd:PMID=5488574</t>
  </si>
  <si>
    <t>http://gateway.proquest.com/openurl?url_ver=Z39.88-2004&amp;res_dat=xri:pqm&amp;rft_val_fmt=info:ofi/fmt:kev:mtx:journal&amp;genre=journal&amp;req_dat=xri:pqil:pq_clntid=131239&amp;svc_dat=xri:pqil:context=title&amp;rft_dat=xri:pqd:PMID=5488571</t>
  </si>
  <si>
    <t>http://gateway.proquest.com/openurl?url_ver=Z39.88-2004&amp;res_dat=xri:pqm&amp;rft_val_fmt=info:ofi/fmt:kev:mtx:journal&amp;genre=journal&amp;req_dat=xri:pqil:pq_clntid=131239&amp;svc_dat=xri:pqil:context=title&amp;rft_dat=xri:pqd:PMID=5488552</t>
  </si>
  <si>
    <t>http://gateway.proquest.com/openurl?url_ver=Z39.88-2004&amp;res_dat=xri:pqm&amp;rft_val_fmt=info:ofi/fmt:kev:mtx:journal&amp;genre=journal&amp;req_dat=xri:pqil:pq_clntid=131239&amp;svc_dat=xri:pqil:context=title&amp;rft_dat=xri:pqd:PMID=5324457</t>
  </si>
  <si>
    <t>http://gateway.proquest.com/openurl?url_ver=Z39.88-2004&amp;res_dat=xri:pqm&amp;rft_val_fmt=info:ofi/fmt:kev:mtx:journal&amp;genre=journal&amp;req_dat=xri:pqil:pq_clntid=131239&amp;svc_dat=xri:pqil:context=title&amp;rft_dat=xri:pqd:PMID=2041157</t>
  </si>
  <si>
    <t>University of Manchester</t>
  </si>
  <si>
    <t>http://gateway.proquest.com/openurl?url_ver=Z39.88-2004&amp;res_dat=xri:pqm&amp;rft_val_fmt=info:ofi/fmt:kev:mtx:journal&amp;genre=journal&amp;req_dat=xri:pqil:pq_clntid=131239&amp;svc_dat=xri:pqil:context=title&amp;rft_dat=xri:pqd:PMID=6364577</t>
  </si>
  <si>
    <t>http://gateway.proquest.com/openurl?url_ver=Z39.88-2004&amp;res_dat=xri:pqm&amp;rft_val_fmt=info:ofi/fmt:kev:mtx:journal&amp;genre=journal&amp;req_dat=xri:pqil:pq_clntid=131239&amp;svc_dat=xri:pqil:context=title&amp;rft_dat=xri:pqd:PMID=6364576</t>
  </si>
  <si>
    <t>http://gateway.proquest.com/openurl?url_ver=Z39.88-2004&amp;res_dat=xri:pqm&amp;rft_val_fmt=info:ofi/fmt:kev:mtx:journal&amp;genre=journal&amp;req_dat=xri:pqil:pq_clntid=131239&amp;svc_dat=xri:pqil:context=title&amp;rft_dat=xri:pqd:PMID=4906420</t>
  </si>
  <si>
    <t>http://gateway.proquest.com/openurl?url_ver=Z39.88-2004&amp;res_dat=xri:pqm&amp;rft_val_fmt=info:ofi/fmt:kev:mtx:journal&amp;genre=journal&amp;req_dat=xri:pqil:pq_clntid=131239&amp;svc_dat=xri:pqil:context=title&amp;rft_dat=xri:pqd:PMID=5488560</t>
  </si>
  <si>
    <t>http://gateway.proquest.com/openurl?url_ver=Z39.88-2004&amp;res_dat=xri:pqm&amp;rft_val_fmt=info:ofi/fmt:kev:mtx:journal&amp;genre=journal&amp;req_dat=xri:pqil:pq_clntid=131239&amp;svc_dat=xri:pqil:context=title&amp;rft_dat=xri:pqd:PMID=6059417</t>
  </si>
  <si>
    <t>http://gateway.proquest.com/openurl?url_ver=Z39.88-2004&amp;res_dat=xri:pqm&amp;rft_val_fmt=info:ofi/fmt:kev:mtx:journal&amp;genre=journal&amp;req_dat=xri:pqil:pq_clntid=131239&amp;svc_dat=xri:pqil:context=title&amp;rft_dat=xri:pqd:PMID=54076</t>
  </si>
  <si>
    <t>http://gateway.proquest.com/openurl?url_ver=Z39.88-2004&amp;res_dat=xri:pqm&amp;rft_val_fmt=info:ofi/fmt:kev:mtx:journal&amp;genre=journal&amp;req_dat=xri:pqil:pq_clntid=131239&amp;svc_dat=xri:pqil:context=title&amp;rft_dat=xri:pqd:PMID=30100</t>
  </si>
  <si>
    <t>http://gateway.proquest.com/openurl?url_ver=Z39.88-2004&amp;res_dat=xri:pqm&amp;rft_val_fmt=info:ofi/fmt:kev:mtx:journal&amp;genre=journal&amp;req_dat=xri:pqil:pq_clntid=131239&amp;svc_dat=xri:pqil:context=title&amp;rft_dat=xri:pqd:PMID=5325184</t>
  </si>
  <si>
    <t>http://gateway.proquest.com/openurl?url_ver=Z39.88-2004&amp;res_dat=xri:pqm&amp;rft_val_fmt=info:ofi/fmt:kev:mtx:journal&amp;genre=journal&amp;req_dat=xri:pqil:pq_clntid=131239&amp;svc_dat=xri:pqil:context=title&amp;rft_dat=xri:pqd:PMID=5488573</t>
  </si>
  <si>
    <t>VSM Productions, LLC</t>
  </si>
  <si>
    <t>http://gateway.proquest.com/openurl?url_ver=Z39.88-2004&amp;res_dat=xri:pqm&amp;rft_val_fmt=info:ofi/fmt:kev:mtx:journal&amp;genre=journal&amp;req_dat=xri:pqil:pq_clntid=131239&amp;svc_dat=xri:pqil:context=title&amp;rft_dat=xri:pqd:PMID=6364573</t>
  </si>
  <si>
    <t>http://gateway.proquest.com/openurl?url_ver=Z39.88-2004&amp;res_dat=xri:pqm&amp;rft_val_fmt=info:ofi/fmt:kev:mtx:journal&amp;genre=journal&amp;req_dat=xri:pqil:pq_clntid=131239&amp;svc_dat=xri:pqil:context=title&amp;rft_dat=xri:pqd:PMID=5488534</t>
  </si>
  <si>
    <t>http://gateway.proquest.com/openurl?url_ver=Z39.88-2004&amp;res_dat=xri:pqm&amp;rft_val_fmt=info:ofi/fmt:kev:mtx:journal&amp;genre=journal&amp;req_dat=xri:pqil:pq_clntid=131239&amp;svc_dat=xri:pqil:context=title&amp;rft_dat=xri:pqd:PMID=196247</t>
  </si>
  <si>
    <t>http://gateway.proquest.com/openurl?url_ver=Z39.88-2004&amp;res_dat=xri:pqm&amp;rft_val_fmt=info:ofi/fmt:kev:mtx:journal&amp;genre=journal&amp;req_dat=xri:pqil:pq_clntid=131239&amp;svc_dat=xri:pqil:context=title&amp;rft_dat=xri:pqd:PMID=6394506</t>
  </si>
  <si>
    <t>http://gateway.proquest.com/openurl?url_ver=Z39.88-2004&amp;res_dat=xri:pqm&amp;rft_val_fmt=info:ofi/fmt:kev:mtx:journal&amp;genre=journal&amp;req_dat=xri:pqil:pq_clntid=131239&amp;svc_dat=xri:pqil:context=title&amp;rft_dat=xri:pqd:PMID=31054</t>
  </si>
  <si>
    <t>http://gateway.proquest.com/openurl?url_ver=Z39.88-2004&amp;res_dat=xri:pqm&amp;rft_val_fmt=info:ofi/fmt:kev:mtx:journal&amp;genre=journal&amp;req_dat=xri:pqil:pq_clntid=131239&amp;svc_dat=xri:pqil:context=title&amp;rft_dat=xri:pqd:PMID=30624</t>
  </si>
  <si>
    <t>http://gateway.proquest.com/openurl?url_ver=Z39.88-2004&amp;res_dat=xri:pqm&amp;rft_val_fmt=info:ofi/fmt:kev:mtx:journal&amp;genre=journal&amp;req_dat=xri:pqil:pq_clntid=131239&amp;svc_dat=xri:pqil:context=title&amp;rft_dat=xri:pqd:PMID=2041282</t>
  </si>
  <si>
    <t>http://gateway.proquest.com/openurl?url_ver=Z39.88-2004&amp;res_dat=xri:pqm&amp;rft_val_fmt=info:ofi/fmt:kev:mtx:journal&amp;genre=journal&amp;req_dat=xri:pqil:pq_clntid=131239&amp;svc_dat=xri:pqil:context=title&amp;rft_dat=xri:pqd:PMID=45619</t>
  </si>
  <si>
    <t>http://gateway.proquest.com/openurl?url_ver=Z39.88-2004&amp;res_dat=xri:pqm&amp;rft_val_fmt=info:ofi/fmt:kev:mtx:journal&amp;genre=journal&amp;req_dat=xri:pqil:pq_clntid=131239&amp;svc_dat=xri:pqil:context=title&amp;rft_dat=xri:pqd:PMID=41420</t>
  </si>
  <si>
    <t>http://gateway.proquest.com/openurl?url_ver=Z39.88-2004&amp;res_dat=xri:pqm&amp;rft_val_fmt=info:ofi/fmt:kev:mtx:journal&amp;genre=journal&amp;req_dat=xri:pqil:pq_clntid=131239&amp;svc_dat=xri:pqil:context=title&amp;rft_dat=xri:pqd:PMID=4386062</t>
  </si>
  <si>
    <t>http://gateway.proquest.com/openurl?url_ver=Z39.88-2004&amp;res_dat=xri:pqm&amp;rft_val_fmt=info:ofi/fmt:kev:mtx:journal&amp;genre=journal&amp;req_dat=xri:pqil:pq_clntid=131239&amp;svc_dat=xri:pqil:context=title&amp;rft_dat=xri:pqd:PMID=216145</t>
  </si>
  <si>
    <t>http://gateway.proquest.com/openurl?url_ver=Z39.88-2004&amp;res_dat=xri:pqm&amp;rft_val_fmt=info:ofi/fmt:kev:mtx:journal&amp;genre=journal&amp;req_dat=xri:pqil:pq_clntid=131239&amp;svc_dat=xri:pqil:context=title&amp;rft_dat=xri:pqd:PMID=53049</t>
  </si>
  <si>
    <t>http://gateway.proquest.com/openurl?url_ver=Z39.88-2004&amp;res_dat=xri:pqm&amp;rft_val_fmt=info:ofi/fmt:kev:mtx:journal&amp;genre=journal&amp;req_dat=xri:pqil:pq_clntid=131239&amp;svc_dat=xri:pqil:context=title&amp;rft_dat=xri:pqd:PMID=31753</t>
  </si>
  <si>
    <t>http://gateway.proquest.com/openurl?url_ver=Z39.88-2004&amp;res_dat=xri:pqm&amp;rft_val_fmt=info:ofi/fmt:kev:mtx:journal&amp;genre=journal&amp;req_dat=xri:pqil:pq_clntid=131239&amp;svc_dat=xri:pqil:context=title&amp;rft_dat=xri:pqd:PMID=6447801</t>
  </si>
  <si>
    <t>http://gateway.proquest.com/openurl?url_ver=Z39.88-2004&amp;res_dat=xri:pqm&amp;rft_val_fmt=info:ofi/fmt:kev:mtx:journal&amp;genre=journal&amp;req_dat=xri:pqil:pq_clntid=131239&amp;svc_dat=xri:pqil:context=title&amp;rft_dat=xri:pqd:PMID=6447800</t>
  </si>
  <si>
    <t>http://gateway.proquest.com/openurl?url_ver=Z39.88-2004&amp;res_dat=xri:pqm&amp;rft_val_fmt=info:ofi/fmt:kev:mtx:journal&amp;genre=journal&amp;req_dat=xri:pqil:pq_clntid=131239&amp;svc_dat=xri:pqil:context=title&amp;rft_dat=xri:pqd:PMID=6447799</t>
  </si>
  <si>
    <t>http://gateway.proquest.com/openurl?url_ver=Z39.88-2004&amp;res_dat=xri:pqm&amp;rft_val_fmt=info:ofi/fmt:kev:mtx:journal&amp;genre=journal&amp;req_dat=xri:pqil:pq_clntid=131239&amp;svc_dat=xri:pqil:context=title&amp;rft_dat=xri:pqd:PMID=6447798</t>
  </si>
  <si>
    <t>http://gateway.proquest.com/openurl?url_ver=Z39.88-2004&amp;res_dat=xri:pqm&amp;rft_val_fmt=info:ofi/fmt:kev:mtx:journal&amp;genre=journal&amp;req_dat=xri:pqil:pq_clntid=131239&amp;svc_dat=xri:pqil:context=title&amp;rft_dat=xri:pqd:PMID=6447797</t>
  </si>
  <si>
    <t>http://gateway.proquest.com/openurl?url_ver=Z39.88-2004&amp;res_dat=xri:pqm&amp;rft_val_fmt=info:ofi/fmt:kev:mtx:journal&amp;genre=journal&amp;req_dat=xri:pqil:pq_clntid=131239&amp;svc_dat=xri:pqil:context=title&amp;rft_dat=xri:pqd:PMID=6447796</t>
  </si>
  <si>
    <t>http://gateway.proquest.com/openurl?url_ver=Z39.88-2004&amp;res_dat=xri:pqm&amp;rft_val_fmt=info:ofi/fmt:kev:mtx:journal&amp;genre=journal&amp;req_dat=xri:pqil:pq_clntid=131239&amp;svc_dat=xri:pqil:context=title&amp;rft_dat=xri:pqd:PMID=6447795</t>
  </si>
  <si>
    <t>http://gateway.proquest.com/openurl?url_ver=Z39.88-2004&amp;res_dat=xri:pqm&amp;rft_val_fmt=info:ofi/fmt:kev:mtx:journal&amp;genre=journal&amp;req_dat=xri:pqil:pq_clntid=131239&amp;svc_dat=xri:pqil:context=title&amp;rft_dat=xri:pqd:PMID=6447794</t>
  </si>
  <si>
    <t>http://gateway.proquest.com/openurl?url_ver=Z39.88-2004&amp;res_dat=xri:pqm&amp;rft_val_fmt=info:ofi/fmt:kev:mtx:journal&amp;genre=journal&amp;req_dat=xri:pqil:pq_clntid=131239&amp;svc_dat=xri:pqil:context=title&amp;rft_dat=xri:pqd:PMID=6447793</t>
  </si>
  <si>
    <t>http://gateway.proquest.com/openurl?url_ver=Z39.88-2004&amp;res_dat=xri:pqm&amp;rft_val_fmt=info:ofi/fmt:kev:mtx:journal&amp;genre=journal&amp;req_dat=xri:pqil:pq_clntid=131239&amp;svc_dat=xri:pqil:context=title&amp;rft_dat=xri:pqd:PMID=6447792</t>
  </si>
  <si>
    <t>http://gateway.proquest.com/openurl?url_ver=Z39.88-2004&amp;res_dat=xri:pqm&amp;rft_val_fmt=info:ofi/fmt:kev:mtx:journal&amp;genre=journal&amp;req_dat=xri:pqil:pq_clntid=131239&amp;svc_dat=xri:pqil:context=title&amp;rft_dat=xri:pqd:PMID=6447791</t>
  </si>
  <si>
    <t>http://gateway.proquest.com/openurl?url_ver=Z39.88-2004&amp;res_dat=xri:pqm&amp;rft_val_fmt=info:ofi/fmt:kev:mtx:journal&amp;genre=journal&amp;req_dat=xri:pqil:pq_clntid=131239&amp;svc_dat=xri:pqil:context=title&amp;rft_dat=xri:pqd:PMID=6447790</t>
  </si>
  <si>
    <t>http://gateway.proquest.com/openurl?url_ver=Z39.88-2004&amp;res_dat=xri:pqm&amp;rft_val_fmt=info:ofi/fmt:kev:mtx:journal&amp;genre=journal&amp;req_dat=xri:pqil:pq_clntid=131239&amp;svc_dat=xri:pqil:context=title&amp;rft_dat=xri:pqd:PMID=6447789</t>
  </si>
  <si>
    <t>http://gateway.proquest.com/openurl?url_ver=Z39.88-2004&amp;res_dat=xri:pqm&amp;rft_val_fmt=info:ofi/fmt:kev:mtx:journal&amp;genre=journal&amp;req_dat=xri:pqil:pq_clntid=131239&amp;svc_dat=xri:pqil:context=title&amp;rft_dat=xri:pqd:PMID=6447788</t>
  </si>
  <si>
    <t>http://gateway.proquest.com/openurl?url_ver=Z39.88-2004&amp;res_dat=xri:pqm&amp;rft_val_fmt=info:ofi/fmt:kev:mtx:journal&amp;genre=journal&amp;req_dat=xri:pqil:pq_clntid=131239&amp;svc_dat=xri:pqil:context=title&amp;rft_dat=xri:pqd:PMID=6447787</t>
  </si>
  <si>
    <t>http://gateway.proquest.com/openurl?url_ver=Z39.88-2004&amp;res_dat=xri:pqm&amp;rft_val_fmt=info:ofi/fmt:kev:mtx:journal&amp;genre=journal&amp;req_dat=xri:pqil:pq_clntid=131239&amp;svc_dat=xri:pqil:context=title&amp;rft_dat=xri:pqd:PMID=6447786</t>
  </si>
  <si>
    <t>http://gateway.proquest.com/openurl?url_ver=Z39.88-2004&amp;res_dat=xri:pqm&amp;rft_val_fmt=info:ofi/fmt:kev:mtx:journal&amp;genre=journal&amp;req_dat=xri:pqil:pq_clntid=131239&amp;svc_dat=xri:pqil:context=title&amp;rft_dat=xri:pqd:PMID=6447785</t>
  </si>
  <si>
    <t>http://gateway.proquest.com/openurl?url_ver=Z39.88-2004&amp;res_dat=xri:pqm&amp;rft_val_fmt=info:ofi/fmt:kev:mtx:journal&amp;genre=journal&amp;req_dat=xri:pqil:pq_clntid=131239&amp;svc_dat=xri:pqil:context=title&amp;rft_dat=xri:pqd:PMID=6447784</t>
  </si>
  <si>
    <t>http://gateway.proquest.com/openurl?url_ver=Z39.88-2004&amp;res_dat=xri:pqm&amp;rft_val_fmt=info:ofi/fmt:kev:mtx:journal&amp;genre=journal&amp;req_dat=xri:pqil:pq_clntid=131239&amp;svc_dat=xri:pqil:context=title&amp;rft_dat=xri:pqd:PMID=6447783</t>
  </si>
  <si>
    <t>http://gateway.proquest.com/openurl?url_ver=Z39.88-2004&amp;res_dat=xri:pqm&amp;rft_val_fmt=info:ofi/fmt:kev:mtx:journal&amp;genre=journal&amp;req_dat=xri:pqil:pq_clntid=131239&amp;svc_dat=xri:pqil:context=title&amp;rft_dat=xri:pqd:PMID=6447782</t>
  </si>
  <si>
    <t>http://gateway.proquest.com/openurl?url_ver=Z39.88-2004&amp;res_dat=xri:pqm&amp;rft_val_fmt=info:ofi/fmt:kev:mtx:journal&amp;genre=journal&amp;req_dat=xri:pqil:pq_clntid=131239&amp;svc_dat=xri:pqil:context=title&amp;rft_dat=xri:pqd:PMID=6447781</t>
  </si>
  <si>
    <t>http://gateway.proquest.com/openurl?url_ver=Z39.88-2004&amp;res_dat=xri:pqm&amp;rft_val_fmt=info:ofi/fmt:kev:mtx:journal&amp;genre=journal&amp;req_dat=xri:pqil:pq_clntid=131239&amp;svc_dat=xri:pqil:context=title&amp;rft_dat=xri:pqd:PMID=6447780</t>
  </si>
  <si>
    <t>http://gateway.proquest.com/openurl?url_ver=Z39.88-2004&amp;res_dat=xri:pqm&amp;rft_val_fmt=info:ofi/fmt:kev:mtx:journal&amp;genre=journal&amp;req_dat=xri:pqil:pq_clntid=131239&amp;svc_dat=xri:pqil:context=title&amp;rft_dat=xri:pqd:PMID=6447779</t>
  </si>
  <si>
    <t>http://gateway.proquest.com/openurl?url_ver=Z39.88-2004&amp;res_dat=xri:pqm&amp;rft_val_fmt=info:ofi/fmt:kev:mtx:journal&amp;genre=journal&amp;req_dat=xri:pqil:pq_clntid=131239&amp;svc_dat=xri:pqil:context=title&amp;rft_dat=xri:pqd:PMID=6447778</t>
  </si>
  <si>
    <t>http://gateway.proquest.com/openurl?url_ver=Z39.88-2004&amp;res_dat=xri:pqm&amp;rft_val_fmt=info:ofi/fmt:kev:mtx:journal&amp;genre=journal&amp;req_dat=xri:pqil:pq_clntid=131239&amp;svc_dat=xri:pqil:context=title&amp;rft_dat=xri:pqd:PMID=6447777</t>
  </si>
  <si>
    <t>http://gateway.proquest.com/openurl?url_ver=Z39.88-2004&amp;res_dat=xri:pqm&amp;rft_val_fmt=info:ofi/fmt:kev:mtx:journal&amp;genre=journal&amp;req_dat=xri:pqil:pq_clntid=131239&amp;svc_dat=xri:pqil:context=title&amp;rft_dat=xri:pqd:PMID=6447776</t>
  </si>
  <si>
    <t>http://gateway.proquest.com/openurl?url_ver=Z39.88-2004&amp;res_dat=xri:pqm&amp;rft_val_fmt=info:ofi/fmt:kev:mtx:journal&amp;genre=journal&amp;req_dat=xri:pqil:pq_clntid=131239&amp;svc_dat=xri:pqil:context=title&amp;rft_dat=xri:pqd:PMID=6447775</t>
  </si>
  <si>
    <t>http://gateway.proquest.com/openurl?url_ver=Z39.88-2004&amp;res_dat=xri:pqm&amp;rft_val_fmt=info:ofi/fmt:kev:mtx:journal&amp;genre=journal&amp;req_dat=xri:pqil:pq_clntid=131239&amp;svc_dat=xri:pqil:context=title&amp;rft_dat=xri:pqd:PMID=6447774</t>
  </si>
  <si>
    <t>http://gateway.proquest.com/openurl?url_ver=Z39.88-2004&amp;res_dat=xri:pqm&amp;rft_val_fmt=info:ofi/fmt:kev:mtx:journal&amp;genre=journal&amp;req_dat=xri:pqil:pq_clntid=131239&amp;svc_dat=xri:pqil:context=title&amp;rft_dat=xri:pqd:PMID=6447773</t>
  </si>
  <si>
    <t>http://gateway.proquest.com/openurl?url_ver=Z39.88-2004&amp;res_dat=xri:pqm&amp;rft_val_fmt=info:ofi/fmt:kev:mtx:journal&amp;genre=journal&amp;req_dat=xri:pqil:pq_clntid=131239&amp;svc_dat=xri:pqil:context=title&amp;rft_dat=xri:pqd:PMID=186308</t>
  </si>
  <si>
    <t>Broken Tree Productions, LLC</t>
  </si>
  <si>
    <t>http://gateway.proquest.com/openurl?url_ver=Z39.88-2004&amp;res_dat=xri:pqm&amp;rft_val_fmt=info:ofi/fmt:kev:mtx:journal&amp;genre=journal&amp;req_dat=xri:pqil:pq_clntid=131239&amp;svc_dat=xri:pqil:context=title&amp;rft_dat=xri:pqd:PMID=6364571</t>
  </si>
  <si>
    <t>Weekend Person-Centered Encounter Group, Kristin Sturdevant, Ph.D.</t>
  </si>
  <si>
    <t>http://gateway.proquest.com/openurl?url_ver=Z39.88-2004&amp;res_dat=xri:pqm&amp;rft_val_fmt=info:ofi/fmt:kev:mtx:journal&amp;genre=journal&amp;req_dat=xri:pqil:pq_clntid=131239&amp;svc_dat=xri:pqil:context=title&amp;rft_dat=xri:pqd:PMID=6059416</t>
  </si>
  <si>
    <t>http://gateway.proquest.com/openurl?url_ver=Z39.88-2004&amp;res_dat=xri:pqm&amp;rft_val_fmt=info:ofi/fmt:kev:mtx:journal&amp;genre=journal&amp;req_dat=xri:pqil:pq_clntid=131239&amp;svc_dat=xri:pqil:context=title&amp;rft_dat=xri:pqd:PMID=5488565</t>
  </si>
  <si>
    <t>http://gateway.proquest.com/openurl?url_ver=Z39.88-2004&amp;res_dat=xri:pqm&amp;rft_val_fmt=info:ofi/fmt:kev:mtx:journal&amp;genre=journal&amp;req_dat=xri:pqil:pq_clntid=131239&amp;svc_dat=xri:pqil:context=title&amp;rft_dat=xri:pqd:PMID=5488533</t>
  </si>
  <si>
    <t>http://gateway.proquest.com/openurl?url_ver=Z39.88-2004&amp;res_dat=xri:pqm&amp;rft_val_fmt=info:ofi/fmt:kev:mtx:journal&amp;genre=journal&amp;req_dat=xri:pqil:pq_clntid=131239&amp;svc_dat=xri:pqil:context=title&amp;rft_dat=xri:pqd:PMID=47709</t>
  </si>
  <si>
    <t>http://gateway.proquest.com/openurl?url_ver=Z39.88-2004&amp;res_dat=xri:pqm&amp;rft_val_fmt=info:ofi/fmt:kev:mtx:journal&amp;genre=journal&amp;req_dat=xri:pqil:pq_clntid=131239&amp;svc_dat=xri:pqil:context=title&amp;rft_dat=xri:pqd:PMID=47214</t>
  </si>
  <si>
    <t>http://gateway.proquest.com/openurl?url_ver=Z39.88-2004&amp;res_dat=xri:pqm&amp;rft_val_fmt=info:ofi/fmt:kev:mtx:journal&amp;genre=journal&amp;req_dat=xri:pqil:pq_clntid=131239&amp;svc_dat=xri:pqil:context=title&amp;rft_dat=xri:pqd:PMID=30458</t>
  </si>
  <si>
    <t>http://gateway.proquest.com/openurl?url_ver=Z39.88-2004&amp;res_dat=xri:pqm&amp;rft_val_fmt=info:ofi/fmt:kev:mtx:journal&amp;genre=journal&amp;req_dat=xri:pqil:pq_clntid=131239&amp;svc_dat=xri:pqil:context=title&amp;rft_dat=xri:pqd:PMID=5488581</t>
  </si>
  <si>
    <t>http://gateway.proquest.com/openurl?url_ver=Z39.88-2004&amp;res_dat=xri:pqm&amp;rft_val_fmt=info:ofi/fmt:kev:mtx:journal&amp;genre=journal&amp;req_dat=xri:pqil:pq_clntid=131239&amp;svc_dat=xri:pqil:context=title&amp;rft_dat=xri:pqd:PMID=5488568</t>
  </si>
  <si>
    <t>Carson City</t>
  </si>
  <si>
    <t>http://gateway.proquest.com/openurl?url_ver=Z39.88-2004&amp;res_dat=xri:pqm&amp;rft_val_fmt=info:ofi/fmt:kev:mtx:journal&amp;genre=journal&amp;req_dat=xri:pqil:pq_clntid=131239&amp;svc_dat=xri:pqil:context=title&amp;rft_dat=xri:pqd:PMID=4396506</t>
  </si>
  <si>
    <t>http://gateway.proquest.com/openurl?url_ver=Z39.88-2004&amp;res_dat=xri:pqm&amp;rft_val_fmt=info:ofi/fmt:kev:mtx:journal&amp;genre=journal&amp;req_dat=xri:pqil:pq_clntid=131239&amp;svc_dat=xri:pqil:context=title&amp;rft_dat=xri:pqd:PMID=6059415</t>
  </si>
  <si>
    <t>http://gateway.proquest.com/openurl?url_ver=Z39.88-2004&amp;res_dat=xri:pqm&amp;rft_val_fmt=info:ofi/fmt:kev:mtx:journal&amp;genre=journal&amp;req_dat=xri:pqil:pq_clntid=131239&amp;svc_dat=xri:pqil:context=title&amp;rft_dat=xri:pqd:PMID=6059414</t>
  </si>
  <si>
    <t>http://gateway.proquest.com/openurl?url_ver=Z39.88-2004&amp;res_dat=xri:pqm&amp;rft_val_fmt=info:ofi/fmt:kev:mtx:journal&amp;genre=journal&amp;req_dat=xri:pqil:pq_clntid=131239&amp;svc_dat=xri:pqil:context=title&amp;rft_dat=xri:pqd:PMID=5488566</t>
  </si>
  <si>
    <t>http://gateway.proquest.com/openurl?url_ver=Z39.88-2004&amp;res_dat=xri:pqm&amp;rft_val_fmt=info:ofi/fmt:kev:mtx:journal&amp;genre=journal&amp;req_dat=xri:pqil:pq_clntid=131239&amp;svc_dat=xri:pqil:context=title&amp;rft_dat=xri:pqd:PMID=5488550</t>
  </si>
  <si>
    <t>http://gateway.proquest.com/openurl?url_ver=Z39.88-2004&amp;res_dat=xri:pqm&amp;rft_val_fmt=info:ofi/fmt:kev:mtx:journal&amp;genre=journal&amp;req_dat=xri:pqil:pq_clntid=131239&amp;svc_dat=xri:pqil:context=title&amp;rft_dat=xri:pqd:PMID=5262111</t>
  </si>
  <si>
    <t>http://gateway.proquest.com/openurl?url_ver=Z39.88-2004&amp;res_dat=xri:pqm&amp;rft_val_fmt=info:ofi/fmt:kev:mtx:journal&amp;genre=journal&amp;req_dat=xri:pqil:pq_clntid=131239&amp;svc_dat=xri:pqil:context=title&amp;rft_dat=xri:pqd:PMID=2034596</t>
  </si>
  <si>
    <t>Old Westbury</t>
  </si>
  <si>
    <t>http://gateway.proquest.com/openurl?url_ver=Z39.88-2004&amp;res_dat=xri:pqm&amp;rft_val_fmt=info:ofi/fmt:kev:mtx:journal&amp;genre=journal&amp;req_dat=xri:pqil:pq_clntid=131239&amp;svc_dat=xri:pqil:context=title&amp;rft_dat=xri:pqd:PMID=44959</t>
  </si>
  <si>
    <t>http://gateway.proquest.com/openurl?url_ver=Z39.88-2004&amp;res_dat=xri:pqm&amp;rft_val_fmt=info:ofi/fmt:kev:mtx:journal&amp;genre=journal&amp;req_dat=xri:pqil:pq_clntid=131239&amp;svc_dat=xri:pqil:context=title&amp;rft_dat=xri:pqd:PMID=44961</t>
  </si>
  <si>
    <t>http://gateway.proquest.com/openurl?url_ver=Z39.88-2004&amp;res_dat=xri:pqm&amp;rft_val_fmt=info:ofi/fmt:kev:mtx:journal&amp;genre=journal&amp;req_dat=xri:pqil:pq_clntid=131239&amp;svc_dat=xri:pqil:context=title&amp;rft_dat=xri:pqd:PMID=5325183</t>
  </si>
  <si>
    <t>http://gateway.proquest.com/openurl?url_ver=Z39.88-2004&amp;res_dat=xri:pqm&amp;rft_val_fmt=info:ofi/fmt:kev:mtx:journal&amp;genre=journal&amp;req_dat=xri:pqil:pq_clntid=131239&amp;svc_dat=xri:pqil:context=title&amp;rft_dat=xri:pqd:PMID=5488582</t>
  </si>
  <si>
    <t>http://gateway.proquest.com/openurl?url_ver=Z39.88-2004&amp;res_dat=xri:pqm&amp;rft_val_fmt=info:ofi/fmt:kev:mtx:journal&amp;genre=journal&amp;req_dat=xri:pqil:pq_clntid=131239&amp;svc_dat=xri:pqil:context=title&amp;rft_dat=xri:pqd:PMID=37882</t>
  </si>
  <si>
    <t>http://gateway.proquest.com/openurl?url_ver=Z39.88-2004&amp;res_dat=xri:pqm&amp;rft_val_fmt=info:ofi/fmt:kev:mtx:journal&amp;genre=journal&amp;req_dat=xri:pqil:pq_clntid=131239&amp;svc_dat=xri:pqil:context=title&amp;rft_dat=xri:pqd:PMID=52923</t>
  </si>
  <si>
    <t>http://gateway.proquest.com/openurl?url_ver=Z39.88-2004&amp;res_dat=xri:pqm&amp;rft_val_fmt=info:ofi/fmt:kev:mtx:journal&amp;genre=journal&amp;req_dat=xri:pqil:pq_clntid=131239&amp;svc_dat=xri:pqil:context=title&amp;rft_dat=xri:pqd:PMID=6059420</t>
  </si>
  <si>
    <t>http://gateway.proquest.com/openurl?url_ver=Z39.88-2004&amp;res_dat=xri:pqm&amp;rft_val_fmt=info:ofi/fmt:kev:mtx:journal&amp;genre=journal&amp;req_dat=xri:pqil:pq_clntid=131239&amp;svc_dat=xri:pqil:context=title&amp;rft_dat=xri:pqd:PMID=5488572</t>
  </si>
  <si>
    <t>http://gateway.proquest.com/openurl?url_ver=Z39.88-2004&amp;res_dat=xri:pqm&amp;rft_val_fmt=info:ofi/fmt:kev:mtx:journal&amp;genre=journal&amp;req_dat=xri:pqil:pq_clntid=131239&amp;svc_dat=xri:pqil:context=title&amp;rft_dat=xri:pqd:PMID=5263177</t>
  </si>
  <si>
    <t>http://gateway.proquest.com/openurl?url_ver=Z39.88-2004&amp;res_dat=xri:pqm&amp;rft_val_fmt=info:ofi/fmt:kev:mtx:journal&amp;genre=journal&amp;req_dat=xri:pqil:pq_clntid=131239&amp;svc_dat=xri:pqil:context=title&amp;rft_dat=xri:pqd:PMID=5263192</t>
  </si>
  <si>
    <t>http://gateway.proquest.com/openurl?url_ver=Z39.88-2004&amp;res_dat=xri:pqm&amp;rft_val_fmt=info:ofi/fmt:kev:mtx:journal&amp;genre=journal&amp;req_dat=xri:pqil:pq_clntid=131239&amp;svc_dat=xri:pqil:context=title&amp;rft_dat=xri:pqd:PMID=6275741</t>
  </si>
  <si>
    <t>http://gateway.proquest.com/openurl?url_ver=Z39.88-2004&amp;res_dat=xri:pqm&amp;rft_val_fmt=info:ofi/fmt:kev:mtx:journal&amp;genre=journal&amp;req_dat=xri:pqil:pq_clntid=131239&amp;svc_dat=xri:pqil:context=title&amp;rft_dat=xri:pqd:PMID=5256662</t>
  </si>
  <si>
    <t>http://gateway.proquest.com/openurl?url_ver=Z39.88-2004&amp;res_dat=xri:pqm&amp;rft_val_fmt=info:ofi/fmt:kev:mtx:journal&amp;genre=journal&amp;req_dat=xri:pqil:pq_clntid=131239&amp;svc_dat=xri:pqil:context=title&amp;rft_dat=xri:pqd:PMID=44506</t>
  </si>
  <si>
    <t>http://gateway.proquest.com/openurl?url_ver=Z39.88-2004&amp;res_dat=xri:pqm&amp;rft_val_fmt=info:ofi/fmt:kev:mtx:journal&amp;genre=journal&amp;req_dat=xri:pqil:pq_clntid=131239&amp;svc_dat=xri:pqil:context=title&amp;rft_dat=xri:pqd:PMID=2034615</t>
  </si>
  <si>
    <t>http://gateway.proquest.com/openurl?url_ver=Z39.88-2004&amp;res_dat=xri:pqm&amp;rft_val_fmt=info:ofi/fmt:kev:mtx:journal&amp;genre=journal&amp;req_dat=xri:pqil:pq_clntid=131239&amp;svc_dat=xri:pqil:context=title&amp;rft_dat=xri:pqd:PMID=30465</t>
  </si>
  <si>
    <t>http://gateway.proquest.com/openurl?url_ver=Z39.88-2004&amp;res_dat=xri:pqm&amp;rft_val_fmt=info:ofi/fmt:kev:mtx:journal&amp;genre=journal&amp;req_dat=xri:pqil:pq_clntid=131239&amp;svc_dat=xri:pqil:context=title&amp;rft_dat=xri:pqd:PMID=28651</t>
  </si>
  <si>
    <t>http://gateway.proquest.com/openurl?url_ver=Z39.88-2004&amp;res_dat=xri:pqm&amp;rft_val_fmt=info:ofi/fmt:kev:mtx:journal&amp;genre=journal&amp;req_dat=xri:pqil:pq_clntid=131239&amp;svc_dat=xri:pqil:context=title&amp;rft_dat=xri:pqd:PMID=186138</t>
  </si>
  <si>
    <t>http://gateway.proquest.com/openurl?url_ver=Z39.88-2004&amp;res_dat=xri:pqm&amp;rft_val_fmt=info:ofi/fmt:kev:mtx:journal&amp;genre=journal&amp;req_dat=xri:pqil:pq_clntid=131239&amp;svc_dat=xri:pqil:context=title&amp;rft_dat=xri:pqd:PMID=48994</t>
  </si>
  <si>
    <t>http://gateway.proquest.com/openurl?url_ver=Z39.88-2004&amp;res_dat=xri:pqm&amp;rft_val_fmt=info:ofi/fmt:kev:mtx:journal&amp;genre=journal&amp;req_dat=xri:pqil:pq_clntid=131239&amp;svc_dat=xri:pqil:context=title&amp;rft_dat=xri:pqd:PMID=6364566</t>
  </si>
  <si>
    <t>Baden-Baden</t>
  </si>
  <si>
    <t>http://gateway.proquest.com/openurl?url_ver=Z39.88-2004&amp;res_dat=xri:pqm&amp;rft_val_fmt=info:ofi/fmt:kev:mtx:journal&amp;genre=journal&amp;req_dat=xri:pqil:pq_clntid=131239&amp;svc_dat=xri:pqil:context=title&amp;rft_dat=xri:pqd:PMID=35808</t>
  </si>
  <si>
    <t>Münster</t>
  </si>
  <si>
    <t>http://gateway.proquest.com/openurl?url_ver=Z39.88-2004&amp;res_dat=xri:pqm&amp;rft_val_fmt=info:ofi/fmt:kev:mtx:journal&amp;genre=journal&amp;req_dat=xri:pqil:pq_clntid=131239&amp;svc_dat=xri:pqil:context=title&amp;rft_dat=xri:pqd:PMID=1066345</t>
  </si>
  <si>
    <t>Stuttgart</t>
  </si>
  <si>
    <t>http://gateway.proquest.com/openurl?url_ver=Z39.88-2004&amp;res_dat=xri:pqm&amp;rft_val_fmt=info:ofi/fmt:kev:mtx:journal&amp;genre=journal&amp;req_dat=xri:pqil:pq_clntid=131239&amp;svc_dat=xri:pqil:context=title&amp;rft_dat=xri:pqd:PMID=37067</t>
  </si>
  <si>
    <t>Schorndorff</t>
  </si>
  <si>
    <t>http://gateway.proquest.com/openurl?url_ver=Z39.88-2004&amp;res_dat=xri:pqm&amp;rft_val_fmt=info:ofi/fmt:kev:mtx:journal&amp;genre=journal&amp;req_dat=xri:pqil:pq_clntid=131239&amp;svc_dat=xri:pqil:context=title&amp;rft_dat=xri:pqd:PMID=2048763</t>
  </si>
  <si>
    <t>http://gateway.proquest.com/openurl?url_ver=Z39.88-2004&amp;res_dat=xri:pqm&amp;rft_val_fmt=info:ofi/fmt:kev:mtx:journal&amp;genre=journal&amp;req_dat=xri:pqil:pq_clntid=131239&amp;svc_dat=xri:pqil:context=title&amp;rft_dat=xri:pqd:PMID=24500</t>
  </si>
  <si>
    <t>Concord</t>
  </si>
  <si>
    <t>http://gateway.proquest.com/openurl?url_ver=Z39.88-2004&amp;res_dat=xri:pqm&amp;rft_val_fmt=info:ofi/fmt:kev:mtx:journal&amp;genre=journal&amp;req_dat=xri:pqil:pq_clntid=131239&amp;svc_dat=xri:pqil:context=title&amp;rft_dat=xri:pqd:PMID=40631</t>
  </si>
  <si>
    <t>Nagercoil</t>
  </si>
  <si>
    <t>http://gateway.proquest.com/openurl?url_ver=Z39.88-2004&amp;res_dat=xri:pqm&amp;rft_val_fmt=info:ofi/fmt:kev:mtx:journal&amp;genre=journal&amp;req_dat=xri:pqil:pq_clntid=131239&amp;svc_dat=xri:pqil:context=title&amp;rft_dat=xri:pqd:PMID=2030629</t>
  </si>
  <si>
    <t>http://gateway.proquest.com/openurl?url_ver=Z39.88-2004&amp;res_dat=xri:pqm&amp;rft_val_fmt=info:ofi/fmt:kev:mtx:journal&amp;genre=journal&amp;req_dat=xri:pqil:pq_clntid=131239&amp;svc_dat=xri:pqil:context=title&amp;rft_dat=xri:pqd:PMID=5642810</t>
  </si>
  <si>
    <t>http://gateway.proquest.com/openurl?url_ver=Z39.88-2004&amp;res_dat=xri:pqm&amp;rft_val_fmt=info:ofi/fmt:kev:mtx:journal&amp;genre=journal&amp;req_dat=xri:pqil:pq_clntid=131239&amp;svc_dat=xri:pqil:context=title&amp;rft_dat=xri:pqd:PMID=4553400</t>
  </si>
  <si>
    <t>Document ID</t>
  </si>
  <si>
    <t>PrintIsbn</t>
  </si>
  <si>
    <t>EIsbn</t>
  </si>
  <si>
    <t>Creditor</t>
  </si>
  <si>
    <t>PublicationCity</t>
  </si>
  <si>
    <t>PublicationDate</t>
  </si>
  <si>
    <t>CopyrightYear</t>
  </si>
  <si>
    <t>Imprint</t>
  </si>
  <si>
    <t>PageCount</t>
  </si>
  <si>
    <t>Authors</t>
  </si>
  <si>
    <t>Title Edition</t>
  </si>
  <si>
    <t>Series Title</t>
  </si>
  <si>
    <t>Series Volume</t>
  </si>
  <si>
    <t>Lcc</t>
  </si>
  <si>
    <t>Dewey</t>
  </si>
  <si>
    <t>Lcsh</t>
  </si>
  <si>
    <t>Language</t>
  </si>
  <si>
    <t>Subject</t>
  </si>
  <si>
    <t>Market Restrictions (not available)</t>
  </si>
  <si>
    <t>Countries Included</t>
  </si>
  <si>
    <t>Puzzle Instinct : The Meaning of Puzzles in Human Life</t>
  </si>
  <si>
    <t>UNITED STATES</t>
  </si>
  <si>
    <t>Danesi, Marcel</t>
  </si>
  <si>
    <t>GV1493 -- .D337 2002eb</t>
  </si>
  <si>
    <t>Puzzles -- Psychological aspects. ; Puzzles -- Social aspects. ; Games -- Psychological aspects. ; Games -- Social aspects.</t>
  </si>
  <si>
    <t>Sport &amp;amp; Recreation</t>
  </si>
  <si>
    <t>AD,AE,AF,AG,AI,AL,AM,AN,AO,AQ,AR,AS,AT,AU,AW,AX,AZ,BA,BB,BD,BE,BF,BG,BH,BI,BJ,BL,BM,BN,BO,BQ,BR,BS,BT,BV,BW,BY,BZ,CA,CC,CD,CF,CG,CH,CI,CK,CL,CM,CN,CO,CR,CU,CV,CW,CX,CY,CZ,DE,DJ,DK,DM,DO,DZ,EC,EE,EG,EH,ER,ES,ET,FI,FJ,FK,FM,FO,FR,FX,GA,GB,GD,GE,GF,GG,GH,GI,GL,GM,GN,GP,GQ,GR,GS,GT,GU,GW,GY,HK,HM,HN,HR,HT,HU,ID,IE,IL,IM,IN,IO,IQ,IR,IS,IT,JE,JM,JO,JP,KE,KG,KH,KI,KM,KN,KP,KR,KW,KY,KZ,LA,LB,LC,LI,LK,LR,LS,LT,LU,LV,LY,MA,MC,MD,ME,MF,MG,MH,MK,ML,MM,MN,MO,MP,MQ,MR,MS,MT,MU,MV,MW,MX,MY,MZ,NA,NC,NE,NF,NG,NI,NL,NO,NP,NR,NU,NZ,OM,PA,PE,PF,PG,PH,PK,PL,PM,PN,PR,PS,PT,PW,PY,QA,RE,RO,RS,RU,RW,SA,SB,SC,SD,SE,SG,SH,SI,SJ,SK,SL,SM,SN,SO,SR,SS,ST,SV,SX,SY,SZ,TC,TD,TF,TG,TH,TJ,TK,TL,TM,TN,TO,TR,TT,TV,TW,TZ,UA,UG,UM,US,UY,UZ,VA,VC,VE,VG,VI,VN,VU,WF,WS,YE,YT,YU,ZA,ZM,ZW</t>
  </si>
  <si>
    <t>Taylor &amp; Francis</t>
  </si>
  <si>
    <t>UNITED KINGDOM</t>
  </si>
  <si>
    <t>Routledge</t>
  </si>
  <si>
    <t>Parkinson, Brian</t>
  </si>
  <si>
    <t>International Library of Philosophy, Psychology, and Scientific Method</t>
  </si>
  <si>
    <t>BF311.P313</t>
  </si>
  <si>
    <t>Hormones, Gender and the Aging Brain : The Endocrine Basis of Geriatric Psychiatry</t>
  </si>
  <si>
    <t>Morrison, Mary F.</t>
  </si>
  <si>
    <t>RC451.4.A5 H67 2000</t>
  </si>
  <si>
    <t>Medicine; Psychology</t>
  </si>
  <si>
    <t>AD,AE,AF,AG,AI,AL,AM,AN,AO,AQ,AR,AS,AT,AU,AW,AX,AZ,BA,BB,BD,BE,BF,BG,BH,BI,BJ,BL,BM,BN,BO,BQ,BR,BS,BT,BV,BW,BY,BZ,CA,CC,CD,CF,CG,CH,CI,CK,CL,CM,CN,CO,CR,CU,CV,CW,CX,CY,CZ,DE,DJ,DK,DM,DO,DZ,EC,EE,EG,EH,ER,ES,ET,FI,FJ,FK,FM,FO,FR,GA,GB,GD,GE,GF,GG,GH,GI,GL,GM,GN,GP,GQ,GR,GS,GT,GU,GW,GY,HK,HM,HN,HR,HT,HU,ID,IE,IL,IM,IN,IO,IQ,IR,IS,IT,JE,JM,JO,JP,KE,KG,KH,KI,KM,KN,KR,KW,KY,KZ,LA,LB,LC,LI,LK,LR,LS,LT,LU,LV,LY,MA,MC,MD,ME,MF,MG,MH,MK,ML,MM,MN,MO,MP,MQ,MR,MS,MT,MU,MV,MW,MX,MY,MZ,NA,NC,NE,NF,NG,NI,NL,NO,NP,NR,NU,NZ,OM,PA,PE,PF,PG,PH,PK,PL,PM,PN,PR,PS,PT,PW,PY,QA,RE,RO,RS,RU,RW,SA,SB,SC,SD,SE,SG,SH,SI,SJ,SK,SL,SM,SN,SO,SR,SS,ST,SV,SX,SY,SZ,TC,TD,TF,TG,TH,TJ,TK,TL,TM,TN,TO,TR,TT,TV,TW,TZ,UA,UG,UM,US,UY,UZ,VA,VC,VE,VG,VI,VN,VU,WF,WS,YE,YT,YU,ZA,ZM,ZW</t>
  </si>
  <si>
    <t>Figments of Reality : The Evolution of the Curious Mind</t>
  </si>
  <si>
    <t>Stewart, Ian;Cohen, Jack</t>
  </si>
  <si>
    <t>BF311 .S679 1997</t>
  </si>
  <si>
    <t>153.4/2</t>
  </si>
  <si>
    <t>Shame : Theory, Therapy, Theology</t>
  </si>
  <si>
    <t>Pattison, Stephen</t>
  </si>
  <si>
    <t>BF575.S45 P38 2000</t>
  </si>
  <si>
    <t>Measurement in Psychology : A Critical History of a Methodological Concept</t>
  </si>
  <si>
    <t>Michell, Joel</t>
  </si>
  <si>
    <t>Ideas in Context Series</t>
  </si>
  <si>
    <t>BF39 .M545 1999</t>
  </si>
  <si>
    <t>150/.28/7</t>
  </si>
  <si>
    <t>Botterill, George;Carruthers, Peter</t>
  </si>
  <si>
    <t>BF38 .B63 1999</t>
  </si>
  <si>
    <t>150/.1</t>
  </si>
  <si>
    <t>Cunningham Owens, D. G.</t>
  </si>
  <si>
    <t>RC376.5 -- .O95 1999eb</t>
  </si>
  <si>
    <t>616.8/3</t>
  </si>
  <si>
    <t>Extrapyramidal disorders. ; Antipsychotic drugs -- Side effects.</t>
  </si>
  <si>
    <t>Medicine</t>
  </si>
  <si>
    <t>Yuracko, Kimberly A.</t>
  </si>
  <si>
    <t>HQ1206 -- .Y87 2003eb</t>
  </si>
  <si>
    <t>Feminism. ; Women -- Psychology.</t>
  </si>
  <si>
    <t>Social Science</t>
  </si>
  <si>
    <t>Petocz, Agnes</t>
  </si>
  <si>
    <t>BF109.F74 P48 1999</t>
  </si>
  <si>
    <t>150.19/52</t>
  </si>
  <si>
    <t>Trust : A Sociological Theory</t>
  </si>
  <si>
    <t>Sztompka, Piotr;Alexander, Jeffrey C.;Seidman, Steven</t>
  </si>
  <si>
    <t>Cambridge Cultural Social Studies</t>
  </si>
  <si>
    <t>HM1181 .S97 1999</t>
  </si>
  <si>
    <t>Diabetic Adolescents and Their Families : Stress, Coping, and Adaptation</t>
  </si>
  <si>
    <t>Seiffge-Krenke, Inge;Hurrelmann, Klaus;Currie, Candice;Rasmussen, Vivian</t>
  </si>
  <si>
    <t>Cambridge Studies on Child and Adolescent Health Series</t>
  </si>
  <si>
    <t>RJ420.D5 S45 2001</t>
  </si>
  <si>
    <t>362.1/96462/00835</t>
  </si>
  <si>
    <t>Social Science; Health; Medicine</t>
  </si>
  <si>
    <t>Motivation : A Biobehavioural Approach</t>
  </si>
  <si>
    <t>Wong, Roderick</t>
  </si>
  <si>
    <t>BF503 .W665 2000</t>
  </si>
  <si>
    <t>Ainslie, George</t>
  </si>
  <si>
    <t>BF611 .A295 2001</t>
  </si>
  <si>
    <t>Sexuality and Subordination : Interdisciplinary Studies of Gender in the Nineteenth Century</t>
  </si>
  <si>
    <t>Mendus, Susan;Rendall, Jane</t>
  </si>
  <si>
    <t>HQ1075.5.G7 -- S49 1989eb</t>
  </si>
  <si>
    <t>Sex role -- Great Britain -- History -- 19th century. ; Sex role -- France -- History -- 19th century. ; Women -- Socialization -- Great Britain -- History -- 19th century. ; Women -- Socialization -- France -- History -- 19th century. ; Sex differences (Psychology) -- History -- 19th century.</t>
  </si>
  <si>
    <t>Working with Adolescents : Constructing Identity</t>
  </si>
  <si>
    <t>Head, John;Head, Dr John;Head, John</t>
  </si>
  <si>
    <t>BF724.3.I3 -- H43 1997eb</t>
  </si>
  <si>
    <t>Psychology; Education</t>
  </si>
  <si>
    <t>The Myth of Generational Conflict : The Family and State in Ageing Societies</t>
  </si>
  <si>
    <t>Arber, Sara;Attias-Donfut, Claudine</t>
  </si>
  <si>
    <t>Studies in European Sociology Series</t>
  </si>
  <si>
    <t>HN380.Z9 -- I585 2000eb</t>
  </si>
  <si>
    <t>306.87/094</t>
  </si>
  <si>
    <t>Madness in Its Place : Narratives of Severalls Hospital 1913-1997</t>
  </si>
  <si>
    <t>Gittins, Diana</t>
  </si>
  <si>
    <t>RC450.G72S</t>
  </si>
  <si>
    <t>Medicine; Psychology; Health; Social Science</t>
  </si>
  <si>
    <t>Deleuze and Guattari's Anti-Oedipus : Introduction to Schizoanalysis</t>
  </si>
  <si>
    <t>Holland, Eugene W.</t>
  </si>
  <si>
    <t>RC455 -- .D42213 2001eb</t>
  </si>
  <si>
    <t>Medicine; Philosophy; Psychology</t>
  </si>
  <si>
    <t>Passion in Theory : Conceptions of Freud and Lacan</t>
  </si>
  <si>
    <t>Ferrell, Robin</t>
  </si>
  <si>
    <t>Warwick Studies in European Philosophy Series</t>
  </si>
  <si>
    <t>BF109.F74F</t>
  </si>
  <si>
    <t>Hartley, Peter</t>
  </si>
  <si>
    <t>BF637.C45$bH35 1999</t>
  </si>
  <si>
    <t>Cocaine : Global Histories</t>
  </si>
  <si>
    <t>Gootenberg, Paul</t>
  </si>
  <si>
    <t>HV5810$b.C645 1999</t>
  </si>
  <si>
    <t>362.29/8</t>
  </si>
  <si>
    <t>Social Science; Health</t>
  </si>
  <si>
    <t>Hindu Psychology : Its Meaning for the West</t>
  </si>
  <si>
    <t>Akhilananda, Swami</t>
  </si>
  <si>
    <t>BF755.H5 -- A35 2001eb</t>
  </si>
  <si>
    <t>Psychology and religion. ; Hinduism -- Psychology.</t>
  </si>
  <si>
    <t>Religion; Psychology</t>
  </si>
  <si>
    <t>Inferiority Feelings : In the Individual and the Group</t>
  </si>
  <si>
    <t>Brachfeld, Oliver</t>
  </si>
  <si>
    <t>International Library of Psychology</t>
  </si>
  <si>
    <t>BF175 -- .B73 1999eb</t>
  </si>
  <si>
    <t>Inferiority complex. ; Complexes (Psychology) ; Neuroses.</t>
  </si>
  <si>
    <t>Anna Freud : A View of Development, Disturbance and Therapeutic Techniques</t>
  </si>
  <si>
    <t>Edgcumbe, Rose</t>
  </si>
  <si>
    <t>Makers of Modern Psychotherapy Series</t>
  </si>
  <si>
    <t>RC339.52.F73 -- E34 2000eb</t>
  </si>
  <si>
    <t>Fairbairn, W. R. D.;Birtles, Ellinor F.;Fairbairn, W. Ronald</t>
  </si>
  <si>
    <t>BF175.5.O2</t>
  </si>
  <si>
    <t>Object relations (Psychoanalysis) ; Personality. ; Psychoanalysis.</t>
  </si>
  <si>
    <t>The Play's the Thing : Exploring Text in Drama and Therapy</t>
  </si>
  <si>
    <t>Jenkyns, Marina</t>
  </si>
  <si>
    <t>RC489.P7J4</t>
  </si>
  <si>
    <t>616.8/91/523</t>
  </si>
  <si>
    <t>Psychology; Medicine</t>
  </si>
  <si>
    <t>Will They Do It Again? : Risk Assessment and Management in Criminal Justice and Psychiatry</t>
  </si>
  <si>
    <t>Prins, Herschel;Prins, Herschel;Soothill, Keith</t>
  </si>
  <si>
    <t>HV6133 -- .P75 1999eb</t>
  </si>
  <si>
    <t>Children, Families and Chronic Disease : Psychological Models of Care</t>
  </si>
  <si>
    <t>Bradford, Roger</t>
  </si>
  <si>
    <t>RJ380.B73</t>
  </si>
  <si>
    <t>Adolescent Health : The Role of Individual Differences</t>
  </si>
  <si>
    <t>Heaven, Patrick;Petersen, Candida</t>
  </si>
  <si>
    <t>Adolescence and Society Series</t>
  </si>
  <si>
    <t>RJ47.53.H4</t>
  </si>
  <si>
    <t>Medicine; Health</t>
  </si>
  <si>
    <t>Milton</t>
  </si>
  <si>
    <t>Bredart, Serge;Brennen, Tim;Valentine, Tim</t>
  </si>
  <si>
    <t>BF378.R4 -- V35 1996eb</t>
  </si>
  <si>
    <t>Burr, Vivien;Hinton, Perry R.;Hinton, Perry</t>
  </si>
  <si>
    <t>Psychology Focus</t>
  </si>
  <si>
    <t>HQ1075.B87</t>
  </si>
  <si>
    <t>133.3/3</t>
  </si>
  <si>
    <t>Philosophy; Social Science</t>
  </si>
  <si>
    <t>Maternal Personality, Evolution and the Sex Ratio : Do Mothers Control the Sex of the Infant?</t>
  </si>
  <si>
    <t>Grant, Valerie J.</t>
  </si>
  <si>
    <t>QP278.5 -- .G73 1998eb</t>
  </si>
  <si>
    <t>612.6/2</t>
  </si>
  <si>
    <t>Sex determination, Genetic. ; Sex ratio. ; Dominance (Psychology) ; Pregnancy -- Psychological aspects. ; Human evolution. ; Testosterone. ; Mothers -- Psychology.</t>
  </si>
  <si>
    <t>Science: Anatomy/Physiology; Science; Science: Biology/Natural History</t>
  </si>
  <si>
    <t>Early Socialisation : Sociability and Attachment</t>
  </si>
  <si>
    <t>Flanagan, Cara</t>
  </si>
  <si>
    <t>Routledge Modular Psychology Series</t>
  </si>
  <si>
    <t>HQ783 -- .F53 1999eb</t>
  </si>
  <si>
    <t>Wren, Kevin</t>
  </si>
  <si>
    <t>HM1176 -- .W74 1999eb</t>
  </si>
  <si>
    <t>303.3/4</t>
  </si>
  <si>
    <t>Cave, Sue</t>
  </si>
  <si>
    <t>RC480 -- .C37 1999eb</t>
  </si>
  <si>
    <t>Stirling, John;Hellewell, Jonathan</t>
  </si>
  <si>
    <t>RC454 -- .S775 1999eb</t>
  </si>
  <si>
    <t>Banyard, Phil</t>
  </si>
  <si>
    <t>BF121 -- .B285 1999eb</t>
  </si>
  <si>
    <t>Easthope, Anthony</t>
  </si>
  <si>
    <t>The New Critical Idiom Series</t>
  </si>
  <si>
    <t>BF315 -- .E28 1999eb</t>
  </si>
  <si>
    <t>Literature; Psychology</t>
  </si>
  <si>
    <t>AD,AE,AF,AG,AI,AL,AM,AN,AO,AQ,AR,AS,AT,AU,AW,AX,AZ,BA,BB,BD,BE,BF,BG,BH,BI,BJ,BL,BM,BN,BO,BQ,BR,BS,BT,BV,BW,BY,BZ,CA,CC,CD,CF,CG,CH,CI,CK,CL,CM,CN,CO,CR,CU,CV,CW,CX,CY,CZ,DE,DJ,DK,DM,DO,DZ,EC,EE,EG,EH,ER,ES,ET,FI,FJ,FK,FM,FO,FR,GA,GB,GD,GE,GF,GG,GH,GI,GL,GM,GN,GP,GQ,GR,GS,GT,GU,GW,GY,HK,HM,HN,HR,HT,HU,ID,IE,IL,IM,IO,IQ,IR,IS,IT,JE,JM,JO,JP,KE,KG,KH,KI,KM,KN,KP,KR,KW,KY,KZ,LA,LB,LC,LI,LK,LR,LS,LT,LU,LV,LY,MA,MC,MD,ME,MF,MG,MH,MK,ML,MM,MN,MO,MP,MQ,MR,MS,MT,MU,MV,MW,MX,MY,MZ,NA,NC,NE,NF,NG,NI,NL,NO,NP,NR,NU,NZ,OM,PA,PE,PF,PG,PH,PK,PL,PM,PN,PR,PS,PT,PW,PY,QA,RE,RO,RS,RU,RW,SA,SB,SC,SD,SE,SG,SH,SI,SJ,SK,SL,SM,SN,SO,SR,SS,ST,SV,SX,SY,SZ,TC,TD,TF,TG,TH,TJ,TK,TL,TM,TN,TO,TR,TT,TV,TW,TZ,UA,UG,UM,US,UY,UZ,VA,VC,VE,VG,VI,VN,VU,WF,WS,YE,YT,YU,ZA,ZM,ZW</t>
  </si>
  <si>
    <t>Ashworth, Peter</t>
  </si>
  <si>
    <t>BF121 -- .A77 2000eb</t>
  </si>
  <si>
    <t>Pennington, Donald C.;Flanagan, Cara;Banyard, Phil</t>
  </si>
  <si>
    <t>HM1041 -- .P46 2000eb</t>
  </si>
  <si>
    <t>302/.12</t>
  </si>
  <si>
    <t>Social perception. ; Interpersonal relations.</t>
  </si>
  <si>
    <t>Exploring Borders : Understanding Culture and Psychology</t>
  </si>
  <si>
    <t>Mantovani, Giuseppe;Cole, Michael</t>
  </si>
  <si>
    <t>GN357 -- .M36 2000eb</t>
  </si>
  <si>
    <t>155.8/2</t>
  </si>
  <si>
    <t>Social Science; Psychology</t>
  </si>
  <si>
    <t>Nursing the Image : Media, Culture and Professional Identity</t>
  </si>
  <si>
    <t>Hallam, Julia</t>
  </si>
  <si>
    <t>RT11 -- .H35 2000eb</t>
  </si>
  <si>
    <t>Nursing</t>
  </si>
  <si>
    <t>Separating, Losing and Excluding Children : Narratives of Difference</t>
  </si>
  <si>
    <t>Billington, Tom</t>
  </si>
  <si>
    <t>Master Classes in Education</t>
  </si>
  <si>
    <t>HV715$b.B55 2000</t>
  </si>
  <si>
    <t>Education; Social Science</t>
  </si>
  <si>
    <t>Sexual Difference : Masculinity and Psychoanalysis</t>
  </si>
  <si>
    <t>Frosh, Stephen</t>
  </si>
  <si>
    <t>BF175.5.M3</t>
  </si>
  <si>
    <t>Masculinity. ; Sex differences (Psychology) ; Psychoanalysis.</t>
  </si>
  <si>
    <t>Training the Counsellor : An Integrative Model</t>
  </si>
  <si>
    <t>Connor, Mary</t>
  </si>
  <si>
    <t>BF637.C6C5</t>
  </si>
  <si>
    <t>158/.3/07</t>
  </si>
  <si>
    <t>Counseling -- Study and teaching. ; Counselors -- Training of.</t>
  </si>
  <si>
    <t>Eating Disorders and Magical Control of the Body : Treatment Through Art Therapy</t>
  </si>
  <si>
    <t>Levens, Mary</t>
  </si>
  <si>
    <t>RC552.E18L</t>
  </si>
  <si>
    <t>616.8/526/065156</t>
  </si>
  <si>
    <t>Eating disorders. ; Art therapy.</t>
  </si>
  <si>
    <t>Corbett, Lionel</t>
  </si>
  <si>
    <t>BL53.C657</t>
  </si>
  <si>
    <t>200.1/9</t>
  </si>
  <si>
    <t>Lesbians and Lesbianisms : A Post-Jungian Perspective</t>
  </si>
  <si>
    <t>Kulkarni, Claudette</t>
  </si>
  <si>
    <t>HQ75.5.K85</t>
  </si>
  <si>
    <t>306.76/63</t>
  </si>
  <si>
    <t>Florence</t>
  </si>
  <si>
    <t>Burnard, Philip</t>
  </si>
  <si>
    <t>BF637.C6 -- B825 1999eb</t>
  </si>
  <si>
    <t>Counseling. ; Helping behavior.</t>
  </si>
  <si>
    <t>How Much Is Enough? : Endings in Psychotherapy and Counselling</t>
  </si>
  <si>
    <t>Murdin, Lesley</t>
  </si>
  <si>
    <t>RC489.T45 -- M87 2001eb</t>
  </si>
  <si>
    <t>When Father Kills Mother : Guiding Children Through Trauma and Grief</t>
  </si>
  <si>
    <t>Harris-Hendriks, Jean;Black, Dora;Kaplan, Tony</t>
  </si>
  <si>
    <t>RJ506.U96</t>
  </si>
  <si>
    <t>Feminisms and the Self : The Web of Identity</t>
  </si>
  <si>
    <t>Griffiths, Morwenna</t>
  </si>
  <si>
    <t>HQ1190.G74</t>
  </si>
  <si>
    <t>126/.082</t>
  </si>
  <si>
    <t>Feminist theory. ; Identity (Psychology) ; Change. ; Autonomy.</t>
  </si>
  <si>
    <t>Coppock, Vicki;Hopton, John</t>
  </si>
  <si>
    <t>RC437.5$b.C67 2001</t>
  </si>
  <si>
    <t>616.89/001</t>
  </si>
  <si>
    <t>Signifying Identities : Anthropological Perspectives on Boundaries and Contested Identities</t>
  </si>
  <si>
    <t>Cohen, Anthony</t>
  </si>
  <si>
    <t>HM753 -- .S54 2000eb</t>
  </si>
  <si>
    <t>Featherstone, Brid;Hollway, Wendy;Hollway, Wendy</t>
  </si>
  <si>
    <t>HQ759 -- .M8783 1997eb</t>
  </si>
  <si>
    <t>Balancing Acts : Studies in Counselling Training</t>
  </si>
  <si>
    <t>Johns, Hazel</t>
  </si>
  <si>
    <t>BF637.C6 -- B265 1998eb</t>
  </si>
  <si>
    <t>361/.06/071</t>
  </si>
  <si>
    <t>Psychology; Social Science</t>
  </si>
  <si>
    <t>Noonan, Ms Ellen;Noonan, Ellen;Spurling, Laurence;Spurling, Laurence</t>
  </si>
  <si>
    <t>BF637.C6 -- M285 1992eb</t>
  </si>
  <si>
    <t>Counseling -- Case studies. ; Psychodynamic psychotherapy -- Case studies.</t>
  </si>
  <si>
    <t>Evidence Based Counselling and Psychological Therapies : Research and Applications</t>
  </si>
  <si>
    <t>Rowland, Nancy;Goss, Stephen</t>
  </si>
  <si>
    <t>RC480.75.E</t>
  </si>
  <si>
    <t>362.2/0941</t>
  </si>
  <si>
    <t>Medicine; Health; Psychology; Social Science</t>
  </si>
  <si>
    <t>The Therapeutic Use of Stories : Handbook for Professionals</t>
  </si>
  <si>
    <t>Dwivedi, Kedar Nath</t>
  </si>
  <si>
    <t>RC489.S74T</t>
  </si>
  <si>
    <t>The Emotional Needs of Young Children and Their Families : Using Psychoanalytic Ideas in the Community</t>
  </si>
  <si>
    <t>Bower, Marion;Trowell, Judith</t>
  </si>
  <si>
    <t>RJ499 -- .E4245 1996eb</t>
  </si>
  <si>
    <t>362.2/2/083</t>
  </si>
  <si>
    <t>Child analysis. ; Community mental health services for children.</t>
  </si>
  <si>
    <t>Psychology; Health; Medicine; Social Science</t>
  </si>
  <si>
    <t>Observing Organisations : Anxiety, Defence and Culture in Health Care</t>
  </si>
  <si>
    <t>Hinshelwood, R. D.;Skogstad, Wilhelm</t>
  </si>
  <si>
    <t>RA971.O27</t>
  </si>
  <si>
    <t>362.1/068</t>
  </si>
  <si>
    <t>Health; Social Science</t>
  </si>
  <si>
    <t>The Handbook of Child and Adolescent Psychotherapy : Psychoanalytic Approaches</t>
  </si>
  <si>
    <t>Lanyado, Monica;Horne, Ann</t>
  </si>
  <si>
    <t>RJ505.P92 -- H36 1999eb</t>
  </si>
  <si>
    <t>Time to Listen to Children : Personal and Professional Communication</t>
  </si>
  <si>
    <t>Carolin, Birgit;Milner, Pat</t>
  </si>
  <si>
    <t>HV751.A6 -- T53 1999eb</t>
  </si>
  <si>
    <t>Body Talk : The Material and Discursive Regulation of Sexuality, Madness and Reproduction</t>
  </si>
  <si>
    <t>Ussher, Jane</t>
  </si>
  <si>
    <t>HM110 -- .B68 1997eb</t>
  </si>
  <si>
    <t>Human body -- Social aspects. ; Mind and body. ; Women -- Psychology. ; Women -- Physiology. ; Sex (Psychology) ; Mental illness -- Social aspects. ; Human reproduction -- Social aspects.</t>
  </si>
  <si>
    <t>Psychological Research : Innovative Methods and Strategies</t>
  </si>
  <si>
    <t>Haworth, John</t>
  </si>
  <si>
    <t>BF76.5 -- .P765 1996eb</t>
  </si>
  <si>
    <t>150.7/24</t>
  </si>
  <si>
    <t>Psychology -- Research -- Methodology. ; Psychology, Experimental.</t>
  </si>
  <si>
    <t>The Handbook of Autism : A Guide for Parents and Professionals</t>
  </si>
  <si>
    <t>Aarons, Maureen;Gittens, Tessa</t>
  </si>
  <si>
    <t>RJ506.A9 -- A18 1999eb</t>
  </si>
  <si>
    <t>Autistic children -- Popular works. ; Autism in children -- Popular works.</t>
  </si>
  <si>
    <t>The Adoring Audience : Fan Culture and Popular Media</t>
  </si>
  <si>
    <t>Lewis, Lisa A.</t>
  </si>
  <si>
    <t>HM291.A343</t>
  </si>
  <si>
    <t>Fans (Persons) -- United States -- Psychology. ; Television viewers -- United States -- Psychology. ; Groupies -- United States -- Psychology. ; Popular culture -- United States.</t>
  </si>
  <si>
    <t>Beyond the Masks : Race, Gender and Subjectivity</t>
  </si>
  <si>
    <t>Mama, Amina</t>
  </si>
  <si>
    <t>Critical Psychology Series</t>
  </si>
  <si>
    <t>155.8/496</t>
  </si>
  <si>
    <t>Women, Black -- England -- London</t>
  </si>
  <si>
    <t>Newton, Jennifer;Newton, Jennifer</t>
  </si>
  <si>
    <t>RA790 .N45</t>
  </si>
  <si>
    <t>Mental illness -- Prevention. ; Preventive mental health services.</t>
  </si>
  <si>
    <t>Social Science; Medicine; Health</t>
  </si>
  <si>
    <t>Awareness : What It Is, What It Does</t>
  </si>
  <si>
    <t>Nunn, Chris</t>
  </si>
  <si>
    <t>Awareness. ; Awareness -- Physiological aspects. ; Neuropsychology.</t>
  </si>
  <si>
    <t>Radford, John</t>
  </si>
  <si>
    <t>HQ1075.G45</t>
  </si>
  <si>
    <t>306.3/615</t>
  </si>
  <si>
    <t>Re-Examining Psychology : Critical Perspectives and African Insights</t>
  </si>
  <si>
    <t>Holdstock, Len T.</t>
  </si>
  <si>
    <t>BF108.A3 -- .H65 2000eb</t>
  </si>
  <si>
    <t>Psychology -- Africa, Sub-Saharan. ; Mental health.</t>
  </si>
  <si>
    <t>Forrester, Michael</t>
  </si>
  <si>
    <t>BF367 -- .F675 2000eb</t>
  </si>
  <si>
    <t>Imagery (Psychology) ; Imagination.</t>
  </si>
  <si>
    <t>Hunyady, Gyorgy</t>
  </si>
  <si>
    <t>International Series in Social Psychology Series</t>
  </si>
  <si>
    <t>Social psychology -- Research -- Hungary</t>
  </si>
  <si>
    <t>Richardson, Ken;Richardson, Ken</t>
  </si>
  <si>
    <t>BF723.C5 -- R525 1998eb</t>
  </si>
  <si>
    <t>Football on Trial : Spectator Violence and Development in the Football World</t>
  </si>
  <si>
    <t>Dunning, Eric;Murphy, Patrick;Murphy, Patrick J.;Williams, John</t>
  </si>
  <si>
    <t>Harris, J. William</t>
  </si>
  <si>
    <t>Rewriting Histories Series</t>
  </si>
  <si>
    <t>HN79.A13$bS36 1992</t>
  </si>
  <si>
    <t>Craib, Ian</t>
  </si>
  <si>
    <t>BF575.D57C</t>
  </si>
  <si>
    <t>150.19/5</t>
  </si>
  <si>
    <t>Disappointment. ; Psychoanalysis.</t>
  </si>
  <si>
    <t>Malin, Nigel</t>
  </si>
  <si>
    <t>Tackling Bullying in Your School : A Practical Handbook for Teachers</t>
  </si>
  <si>
    <t>Sharp, Sonia;Smith, Peter K.;Smith, Peter</t>
  </si>
  <si>
    <t>371.5/8</t>
  </si>
  <si>
    <t>Harris, David</t>
  </si>
  <si>
    <t>HM101 -- .H289 1996eb</t>
  </si>
  <si>
    <t>Culture. ; Popular culture. ; Identity (Psychology) ; Lifestyles.</t>
  </si>
  <si>
    <t>Desiring Whiteness : A Lacanian Analysis of Race</t>
  </si>
  <si>
    <t>Seshadri-Crooks, Kalpana</t>
  </si>
  <si>
    <t>Opening Out: Feminism for Today Series</t>
  </si>
  <si>
    <t>BF175.4.R34 -- S47 2000eb</t>
  </si>
  <si>
    <t>Biddle, Stuart J. H.;Fox, Ken;Boutcher, Steve</t>
  </si>
  <si>
    <t>RA781$b.P562 2000</t>
  </si>
  <si>
    <t>613.7/1/019</t>
  </si>
  <si>
    <t>The Child's Mind : An Introduction to the Philosophy and Theory of Education</t>
  </si>
  <si>
    <t>White, John</t>
  </si>
  <si>
    <t>BF723.C5 -- W45 2002eb</t>
  </si>
  <si>
    <t>Children's Childhoods : Observed and Experienced</t>
  </si>
  <si>
    <t>Mayall, Berry</t>
  </si>
  <si>
    <t>HQ767.9.C4</t>
  </si>
  <si>
    <t>Child development. ; Children. ; Children and adults. ; Socialization.</t>
  </si>
  <si>
    <t>Politics of Sexuality : Identity, Gender, Citizenship</t>
  </si>
  <si>
    <t>Carver, Terrell;Mottier, V´eronique</t>
  </si>
  <si>
    <t>Routledge/ECPR Studies in European Political Science Series</t>
  </si>
  <si>
    <t>HQ23 -- .P66 1998eb</t>
  </si>
  <si>
    <t>Sex -- Political aspects. ; Sex and law.</t>
  </si>
  <si>
    <t>Beyond Relativism : Raymond Boudon, Cognitive Rationality and Critical Realism</t>
  </si>
  <si>
    <t>Abingdon, Oxon</t>
  </si>
  <si>
    <t>Hamlin, Cynthia Lins</t>
  </si>
  <si>
    <t>Routledge Studies in Critical Realism Series</t>
  </si>
  <si>
    <t>HM1033 -- .H35 2002eb</t>
  </si>
  <si>
    <t>Boudon, Raymond. ; Social psychology. ; Social perception. ; Cultural relativism. ; Cognition and culture.</t>
  </si>
  <si>
    <t>Impasse and Interpretation : Therapeutic and Anti-Therapeutic Factors in the Psychoanalytic Treatment of Psychotic, Borderline, and Neurotic Patients</t>
  </si>
  <si>
    <t>Rosenfeld, Herbert;Rosenfeld, H;Rosenfeld, Herbert</t>
  </si>
  <si>
    <t>New Library of Psychoanalysis Series</t>
  </si>
  <si>
    <t>RC504 -- .R59 1987eb</t>
  </si>
  <si>
    <t>Psychoanalysis. ; Narcissism. ; Projection (Psychology) ; Impasse (Psychotherapy)</t>
  </si>
  <si>
    <t>Christian, Harry</t>
  </si>
  <si>
    <t>Male Orders Series</t>
  </si>
  <si>
    <t>HQ1090.C49</t>
  </si>
  <si>
    <t>Men -- Psychology -- Case studies. ; Men -- Attitudes -- Case studies. ; Sexism -- Case studies. ; Feminism -- Case studies.</t>
  </si>
  <si>
    <t>Psychic Retreats : Pathological Organizations in Psychotic, Neurotic and Borderline Patients</t>
  </si>
  <si>
    <t>Steiner, John;Schafer, Roy</t>
  </si>
  <si>
    <t>RC455.4.O2</t>
  </si>
  <si>
    <t>Borderline personality disorder. ; Defense mechanisms (Psychology) ; Neuroses. ; Object relations (Psychoanalysis) ; Psychoses.</t>
  </si>
  <si>
    <t>Laungani, Pittu;Young, William;Laungani, Pittu</t>
  </si>
  <si>
    <t>BF789.D4 -- D343 1997eb</t>
  </si>
  <si>
    <t>Death -- Psychological aspects. ; Bereavement -- Psychological aspects. ; Death -- Cross-cultural studies. ; Bereavement -- Cross-cultural studies. ; Mourning customs.</t>
  </si>
  <si>
    <t>Smith, Leslie</t>
  </si>
  <si>
    <t>BF109.P5 -- C75 1996eb</t>
  </si>
  <si>
    <t>155.4/13</t>
  </si>
  <si>
    <t>Piaget, Jean, -- 1896-1980. ; Knowledge, Theory of.</t>
  </si>
  <si>
    <t>In-Patient Child Psychiatry : Modern Practice, Research and the Future</t>
  </si>
  <si>
    <t>Green, Jonathan;Jacobs, Brian;Herzov, Lionel</t>
  </si>
  <si>
    <t>RJ504.5 -- .I56 1998eb</t>
  </si>
  <si>
    <t>Self-Harm : A Psychotherapeutic Approach</t>
  </si>
  <si>
    <t>Gardner, Fiona</t>
  </si>
  <si>
    <t>RC569.5.S48 -- G373 2002eb</t>
  </si>
  <si>
    <t>The Aphasia Therapy File : Volume 1</t>
  </si>
  <si>
    <t>Byng, Sally;Pound, Carole;Swinburn, Kate</t>
  </si>
  <si>
    <t>RC425 -- .A6126 1999eb</t>
  </si>
  <si>
    <t>Russell, Graham</t>
  </si>
  <si>
    <t>R726.7 -- .R87 1999eb</t>
  </si>
  <si>
    <t>Clinical health psychology. ; Patients -- Psychology. ; Nursing -- Psychological aspects. ; Psychology. ; Nurses.</t>
  </si>
  <si>
    <t>Clarke, Liam</t>
  </si>
  <si>
    <t>RC440.C537</t>
  </si>
  <si>
    <t>610.73/68</t>
  </si>
  <si>
    <t>Nursing; Psychology; Medicine</t>
  </si>
  <si>
    <t>Trauma and Life Stories : International Perspectives</t>
  </si>
  <si>
    <t>Dawson, With Graham;Lacy Rogers, Kim;Leydesdorff, Selma</t>
  </si>
  <si>
    <t>Routledge Studies in Memory and Narrative Series</t>
  </si>
  <si>
    <t>RC552.T7 -- T736 1999eb</t>
  </si>
  <si>
    <t>Speculations after Freud : Psychoanalysis, Philosophy and Culture</t>
  </si>
  <si>
    <t>Munchow, Michael;Shamdasani, Sonu</t>
  </si>
  <si>
    <t>BF175.S615</t>
  </si>
  <si>
    <t>Freud, Sigmund, -- 1856-1939 -- Congresses. ; Psychoanalysis -- Philosophy -- Congresses. ; Psychoanalysis and philosophy -- Congresses. ; Psychoanalysis and culture -- Congresses.</t>
  </si>
  <si>
    <t>Symington, Joan;Symington, Neville</t>
  </si>
  <si>
    <t>RC438.6.B5</t>
  </si>
  <si>
    <t>Yardley, Lucy</t>
  </si>
  <si>
    <t>RA418 -- .M37 1997eb</t>
  </si>
  <si>
    <t>610.1/9</t>
  </si>
  <si>
    <t>Health; Social Science; Medicine</t>
  </si>
  <si>
    <t>Laing, R. D.</t>
  </si>
  <si>
    <t>Selected Works of R d Laing Series</t>
  </si>
  <si>
    <t>RC465 -- .L32 1999eb</t>
  </si>
  <si>
    <t>Psychiatry -- Case studies. ; Interpersonal relations.</t>
  </si>
  <si>
    <t>Häyry, Heta</t>
  </si>
  <si>
    <t>Social Ethics and Policy Series</t>
  </si>
  <si>
    <t>R727.3 -- .H38 1991eb</t>
  </si>
  <si>
    <t>Medical personnel -- Psychology</t>
  </si>
  <si>
    <t>The Interpretation of the Flesh : Freud and Femininity</t>
  </si>
  <si>
    <t>Brennan, Teresa</t>
  </si>
  <si>
    <t>BF175.5.F4</t>
  </si>
  <si>
    <t>Freud, Sigmund, -- 1856-1939 -- Contributions in psychology of femininity. ; Femininity. ; Femininity -- History -- 20th century. ; Psychoanalysis and feminism. ; Mind and body.</t>
  </si>
  <si>
    <t>Psychoanalysis in Context : Paths Between Theory and Modern Culture</t>
  </si>
  <si>
    <t>Elliott, Anthony;Frosh, Stephen</t>
  </si>
  <si>
    <t>BF173.P775</t>
  </si>
  <si>
    <t>Psychoanalysis. ; Psychoanalysis and culture. ; Sex differences (Psychology) ; Subjectivity.</t>
  </si>
  <si>
    <t>From Idiocy to Mental Deficiency : Historical Perspectives on People with Learning Disabilities</t>
  </si>
  <si>
    <t>Digby, Anne;Wright, David</t>
  </si>
  <si>
    <t>Routledge Studies in the Social History of Medicine Series</t>
  </si>
  <si>
    <t>HV3008.G7 -- F76 1996eb</t>
  </si>
  <si>
    <t>People with mental disabilities -- Great Britain -- History -- Congresses. ; People with mental disabilities -- Care -- Great Britain -- History -- Congresses. ; Learning disabled -- Great Britain -- History -- Congresses.</t>
  </si>
  <si>
    <t>Warren, Bill</t>
  </si>
  <si>
    <t>Routledge Progress in Psychology Series</t>
  </si>
  <si>
    <t>BF698.9.P47 -- W37 2002eb</t>
  </si>
  <si>
    <t>150.19/8</t>
  </si>
  <si>
    <t>Personality Development : A Psychoanalytic Perspective</t>
  </si>
  <si>
    <t>Hindle, Debbie;Vaciago Smith, Marta</t>
  </si>
  <si>
    <t>BF175.45 -- .P47 1999eb</t>
  </si>
  <si>
    <t>155.2/5</t>
  </si>
  <si>
    <t>BF175.4.F45 -- B47 1989eb</t>
  </si>
  <si>
    <t>616.89/17</t>
  </si>
  <si>
    <t>Feminist therapy -- Congresses. ; Psychoanalysis and feminism -- Congresses.</t>
  </si>
  <si>
    <t>Bush Base, Forest Farm : Culture, Environment, and Development</t>
  </si>
  <si>
    <t>Croll, Elisabeth;Parkin, David</t>
  </si>
  <si>
    <t>European Inter-University Development Opportunity Study Group</t>
  </si>
  <si>
    <t>GF701 -- .B88 1992eb</t>
  </si>
  <si>
    <t>Human ecology -- Africa. ; Human ecology -- Asia. ; Nature -- Effect of human beings on -- Africa. ; Nature -- Effect of human beings on -- Asia. ; Environmental psychology -- Cross-cultural studies.</t>
  </si>
  <si>
    <t>Social Science; Environmental Studies</t>
  </si>
  <si>
    <t>Breaking Out Again : Feminist Ontology and Epistemology</t>
  </si>
  <si>
    <t>Stanley, Liz;Wise, Sue</t>
  </si>
  <si>
    <t>HQ1154 -- .S642 1993eb</t>
  </si>
  <si>
    <t>Women -- Political activity</t>
  </si>
  <si>
    <t>Between Poverty and the Pyre : Moments in the History of Widowhood</t>
  </si>
  <si>
    <t>Bremmer, Jan;Van Den Bosch, Lourens</t>
  </si>
  <si>
    <t>HQ1058 -- .B48 1995eb</t>
  </si>
  <si>
    <t>Widowhood -- Cross-cultural studies. ; Life cycle, Human.</t>
  </si>
  <si>
    <t>Brentano, Franz;Mueller, Benito;Mueller, Benito</t>
  </si>
  <si>
    <t>International Library of Philosophy Series</t>
  </si>
  <si>
    <t>BF39.8 -- .B7413 1995eb</t>
  </si>
  <si>
    <t>Descriptive psychology. ; Phenomenological psychology.</t>
  </si>
  <si>
    <t>Analytic Freud : Philosophy and Psychoanalysis</t>
  </si>
  <si>
    <t>Levine, Michael;Levine, Michael</t>
  </si>
  <si>
    <t>BF109.F74 -- A84 2000eb</t>
  </si>
  <si>
    <t>Childhood Studies : A Reader in Perspectives of Childhood</t>
  </si>
  <si>
    <t>Mills, Jean;Mills, Richard</t>
  </si>
  <si>
    <t>HQ767.85 -- .C483 2000eb</t>
  </si>
  <si>
    <t>305.23/07/2</t>
  </si>
  <si>
    <t>Informality : Social Theory and Contemporary Practice</t>
  </si>
  <si>
    <t>Misztal, Barbara</t>
  </si>
  <si>
    <t>International Library of Sociology Series</t>
  </si>
  <si>
    <t>HM1111 -- .M57 2000eb</t>
  </si>
  <si>
    <t>Stavrakakis, Yannis</t>
  </si>
  <si>
    <t>Thinking the Political Series</t>
  </si>
  <si>
    <t>BF109.L23 -- S83 1999eb</t>
  </si>
  <si>
    <t>320/.092</t>
  </si>
  <si>
    <t>Lacan, Jacques, -- 1901-1981. ; Psychology -- Biography.</t>
  </si>
  <si>
    <t>Political Science; Psychology</t>
  </si>
  <si>
    <t>Heart and Soul : The Therapeutic Face of Philosophy</t>
  </si>
  <si>
    <t>Mace, Chris;Fulford, K. W. M.</t>
  </si>
  <si>
    <t>RC437.5 -- .H433 1999eb</t>
  </si>
  <si>
    <t>616.89/14/01</t>
  </si>
  <si>
    <t>The Psychology of Health : An Introduction</t>
  </si>
  <si>
    <t>Phillips, Keith;Pitts, Marian</t>
  </si>
  <si>
    <t>R726.7.P79</t>
  </si>
  <si>
    <t>Risk-Takers : Alcohol, Drugs, Sex and Youth</t>
  </si>
  <si>
    <t>Plant, Moira;Plant, Moira</t>
  </si>
  <si>
    <t>HQ799.G7P5</t>
  </si>
  <si>
    <t>Teenagers -- Great Britain. ; Risk-taking (Psychology) in adolescence -- Great Britain. ; Teenagers -- Sexual behavior -- Great Britain. ; Teenagers -- Alcohol use -- Great Britain. ; Teenagers -- Drug use -- Great Britain.</t>
  </si>
  <si>
    <t>CRC Press</t>
  </si>
  <si>
    <t>Clark, Andrew;Fallowfield, Lesley;Psychology Staff</t>
  </si>
  <si>
    <t>Experience of Illness</t>
  </si>
  <si>
    <t>RC280.B8 -- F35 1991eb</t>
  </si>
  <si>
    <t>Breast -- Cancer -- Psychological aspects. ; Breast -- Cancer -- Social aspects.</t>
  </si>
  <si>
    <t>Noonan, Ms Ellen;Noonan, Ellen</t>
  </si>
  <si>
    <t>HQ796 -- .N558 1983eb</t>
  </si>
  <si>
    <t>Youth -- Counseling of. ; Counseling.</t>
  </si>
  <si>
    <t>Self Consciousness : An Alternative Anthropology of Identity</t>
  </si>
  <si>
    <t>Baldwin, Pamela;Cooke, David;Howison, Jacqueline</t>
  </si>
  <si>
    <t>Scapegoats : Transferring Blame</t>
  </si>
  <si>
    <t>Douglas, Tom</t>
  </si>
  <si>
    <t>HM291.D684</t>
  </si>
  <si>
    <t>Crighton, David A.;Towl, Graham J.</t>
  </si>
  <si>
    <t>RA1148.T69</t>
  </si>
  <si>
    <t>Beech, John R.;Harding, Leonora</t>
  </si>
  <si>
    <t>RC386.6.N48 -- A85 1996eb</t>
  </si>
  <si>
    <t>152/.028/7</t>
  </si>
  <si>
    <t>Neurologic examination</t>
  </si>
  <si>
    <t>Bayne, Rowan;Bimrose, Jenny;Horton, Ian</t>
  </si>
  <si>
    <t>BF637.C6N4</t>
  </si>
  <si>
    <t>361/.06</t>
  </si>
  <si>
    <t>The Shadow and the Counsellor : Working with the Darker Aspects of the Person, the Role and the Profession</t>
  </si>
  <si>
    <t>Page, Steve</t>
  </si>
  <si>
    <t>BF637.C6 -- P24 1999eb</t>
  </si>
  <si>
    <t>Scenes of Madness : A Psychiatrist at the Theatre</t>
  </si>
  <si>
    <t>Davis, Derek Russell</t>
  </si>
  <si>
    <t>RC509.8.D3</t>
  </si>
  <si>
    <t>Mental illness -- Case studies. ; Mental illness in literature -- Case studies.</t>
  </si>
  <si>
    <t>Medicine; Psychology; Literature</t>
  </si>
  <si>
    <t>Emotions in Social Life : Critical Themes and Contemporary Issues</t>
  </si>
  <si>
    <t>Bendelow, Gillian;Williams, Simon J.</t>
  </si>
  <si>
    <t>HM291.E59</t>
  </si>
  <si>
    <t>Global Culture/Individual Identity : Searching for Home in the Cultural Supermarket</t>
  </si>
  <si>
    <t>Mathews, Gordon</t>
  </si>
  <si>
    <t>HM753$b.M37 2000</t>
  </si>
  <si>
    <t>Choosing a Counselling or Psychotherapy Training : A Practical Guide</t>
  </si>
  <si>
    <t>Schapira, Sylvie K.</t>
  </si>
  <si>
    <t>RC480.5 -- .S34 2000eb</t>
  </si>
  <si>
    <t>Social Science; Medicine; Psychology</t>
  </si>
  <si>
    <t>Cartwright, Jo-Anne</t>
  </si>
  <si>
    <t>BF671 -- .C37 2002eb</t>
  </si>
  <si>
    <t>Science: Zoology; Science; Psychology</t>
  </si>
  <si>
    <t>Vital Signs : Nature, Culture, Psychoanalysis</t>
  </si>
  <si>
    <t>Shepherdson, Charles</t>
  </si>
  <si>
    <t>BF173 -- .S4975 2000eb</t>
  </si>
  <si>
    <t>Perspectives on Embodiment : The Intersections of Nature and Culture</t>
  </si>
  <si>
    <t>Weiss, Gail;Haber, Honi Fern</t>
  </si>
  <si>
    <t>BF697.5.B63 -- P47 1999eb</t>
  </si>
  <si>
    <t>128/.6</t>
  </si>
  <si>
    <t>Psychology; Philosophy</t>
  </si>
  <si>
    <t>Risk : The Policy Implications of Risk Compensation and Plural Rationalities</t>
  </si>
  <si>
    <t>Adams, John</t>
  </si>
  <si>
    <t>HM256.A33</t>
  </si>
  <si>
    <t>Risk -- Sociological aspects. ; Risk management -- Social aspects. ; Risk-taking (Psychology)</t>
  </si>
  <si>
    <t>Catalan, Jose</t>
  </si>
  <si>
    <t>Social Aspects of AIDS Series</t>
  </si>
  <si>
    <t>616.97/92/0019</t>
  </si>
  <si>
    <t>Killick, Katherine;Schaverien, Joy</t>
  </si>
  <si>
    <t>RC512 -- .A75 1997eb</t>
  </si>
  <si>
    <t>Fingret, Ann;Smith, Alan</t>
  </si>
  <si>
    <t>RC963 .F5425 1995eb</t>
  </si>
  <si>
    <t>658.3/8</t>
  </si>
  <si>
    <t>Industrial hygiene. ; Occupational health services.</t>
  </si>
  <si>
    <t>Medicine; Business/Management</t>
  </si>
  <si>
    <t>Breakdown and Breakthrough : Psychotherapy in a New Dimension</t>
  </si>
  <si>
    <t>Field, Nathan</t>
  </si>
  <si>
    <t>RC489.R42 -- F54 1996eb</t>
  </si>
  <si>
    <t>616.8/914</t>
  </si>
  <si>
    <t>Regression (Psychology) -- Therapeutic use. ; Psychoanalysis.</t>
  </si>
  <si>
    <t>Equal Partners - Good Friends : Empowering Couples Through Therapy</t>
  </si>
  <si>
    <t>Rabin, Claire</t>
  </si>
  <si>
    <t>616.8/91/56</t>
  </si>
  <si>
    <t>Equality</t>
  </si>
  <si>
    <t>Who Calls the Tune? : A Psychodramatic Approach to Child Therapy</t>
  </si>
  <si>
    <t>Hoey, Bernadette</t>
  </si>
  <si>
    <t>RJ505.P89H</t>
  </si>
  <si>
    <t>Emotional Vertigo : Between Anxiety and Pleasure</t>
  </si>
  <si>
    <t>Quinodoz, Danielle;Pomerans, Arnold</t>
  </si>
  <si>
    <t>RB150.V4Q5</t>
  </si>
  <si>
    <t>616.8/41</t>
  </si>
  <si>
    <t>Jopling, David A.</t>
  </si>
  <si>
    <t>BF697.5.S43 -- J66 2000eb</t>
  </si>
  <si>
    <t>Dubois, Nicole;Jellison, Jerald</t>
  </si>
  <si>
    <t>Routledge Research International Series in Social Psychology Series</t>
  </si>
  <si>
    <t>HM676 -- .S64 2003eb</t>
  </si>
  <si>
    <t>Social norms. ; Social psychology.</t>
  </si>
  <si>
    <t>Contested Pasts : The Politics of Memory</t>
  </si>
  <si>
    <t>Hodgkin, Katharine;Radstone, Susannah</t>
  </si>
  <si>
    <t>D16</t>
  </si>
  <si>
    <t>History; Philosophy</t>
  </si>
  <si>
    <t>BF371 -- .R36 2003eb</t>
  </si>
  <si>
    <t>153.1/2</t>
  </si>
  <si>
    <t>Korea's Divided Families : Fifty Years of Separation</t>
  </si>
  <si>
    <t>Foley, James</t>
  </si>
  <si>
    <t>HQ682.5 -- .F65 2003eb</t>
  </si>
  <si>
    <t>Performing Psychology : A Postmodern Culture of the Mind</t>
  </si>
  <si>
    <t>Holzman, Lois</t>
  </si>
  <si>
    <t>BF38 -- .P38 1999eb</t>
  </si>
  <si>
    <t>Dean, Brian;Hyde, Thomas M.;Kleinman, Joel E.</t>
  </si>
  <si>
    <t>RC337 -- .U75 1999eb</t>
  </si>
  <si>
    <t>Science: Anatomy/Physiology; Medicine; Science</t>
  </si>
  <si>
    <t>From Autothanasia to Suicide : Self-Killing in Classical Antiquity</t>
  </si>
  <si>
    <t>van Hooff, Anton J. L.</t>
  </si>
  <si>
    <t>HV6543 -- .H66 1990eb</t>
  </si>
  <si>
    <t>Suicide -- Greece -- History. ; Suicide -- Rome -- History.</t>
  </si>
  <si>
    <t>Forsythe, Bill;Melling, Joseph</t>
  </si>
  <si>
    <t>RC450.G7 -- I57 1999eb</t>
  </si>
  <si>
    <t>Psychiatric hospital care -- Great Britain -- History -- 19th century. ; Social psychiatry -- Great Britain -- History -- 19th century. ; Mental health laws -- Great Britain -- History -- 19th century.</t>
  </si>
  <si>
    <t>Health; Psychology; Medicine; Social Science</t>
  </si>
  <si>
    <t>Klein, Josephine</t>
  </si>
  <si>
    <t>RJ502.5 -- .K57 1987eb</t>
  </si>
  <si>
    <t>Child analysis. ; Infant psychology. ; Need (Psychology) ; Object relations (Psychoanalysis) ; Self in infants.</t>
  </si>
  <si>
    <t>Fire-Raising: Its Motivation and Management : Its motivation and management</t>
  </si>
  <si>
    <t>Prins, Herschel;Prins, Herschel</t>
  </si>
  <si>
    <t>RC569.5.P9</t>
  </si>
  <si>
    <t>Arson -- Psychological aspects. ; Arson prevention.</t>
  </si>
  <si>
    <t>Sandplay : Past, Present and Future</t>
  </si>
  <si>
    <t>Friedman, Harriet S.;Rogers Mitchell, Rie</t>
  </si>
  <si>
    <t>RC489.S25M</t>
  </si>
  <si>
    <t>Sandplay -- Therapeutic use. ; Play therapy.</t>
  </si>
  <si>
    <t>The Freud Encyclopedia : Theory, Therapy, and Culture</t>
  </si>
  <si>
    <t>Erwin, Edward</t>
  </si>
  <si>
    <t>BF173 -- .F6176 2002eb</t>
  </si>
  <si>
    <t>150.19/52/092</t>
  </si>
  <si>
    <t>Freud, Sigmund, -- 1856-1939 -- Encyclopedias. ; Psychoanalysis -- Encyclopedias.</t>
  </si>
  <si>
    <t>Criminal Behaviour : A Psychological Approach to Explanation and Prevention</t>
  </si>
  <si>
    <t>Hollin, Clive</t>
  </si>
  <si>
    <t>HV6080.H63; HV6080.</t>
  </si>
  <si>
    <t>364.3/01/9</t>
  </si>
  <si>
    <t>Cohen, David</t>
  </si>
  <si>
    <t>Concepts in Developmental Psychology</t>
  </si>
  <si>
    <t>BF717.C63</t>
  </si>
  <si>
    <t>155.4/18</t>
  </si>
  <si>
    <t>Play -- Psychological aspects. ; Child psychology.</t>
  </si>
  <si>
    <t>Ashurst, Pamela;Hall, Zaida;Hall, Zaida</t>
  </si>
  <si>
    <t>RC451.4.W6 -- A84 1989eb</t>
  </si>
  <si>
    <t>616.89/0088042</t>
  </si>
  <si>
    <t>Women -- Mental health. ; Women -- Psychology. ; Depression, Mental. ; Stress (Psychology)</t>
  </si>
  <si>
    <t>Michael Fordham : Innovations in Analytical Psychology</t>
  </si>
  <si>
    <t>Astor, James</t>
  </si>
  <si>
    <t>BF109.F64A</t>
  </si>
  <si>
    <t>150.1/95/092</t>
  </si>
  <si>
    <t>Fordham, Michael, -- 1905- ; Jungian psychology. ; Psychotherapy.</t>
  </si>
  <si>
    <t>Introduction to Psychoanalysis : Contemporary Theory and Practice</t>
  </si>
  <si>
    <t>Bateman, Anthony W.;Holmes, Jeremy</t>
  </si>
  <si>
    <t>RC504.B295</t>
  </si>
  <si>
    <t>150.1/95</t>
  </si>
  <si>
    <t>Social Identifications : A Social Psychology of Intergroup Relations and Group Processes</t>
  </si>
  <si>
    <t>Abrams, Dominic;Hogg, Michael A.</t>
  </si>
  <si>
    <t>HM131 -- .H594 1999eb</t>
  </si>
  <si>
    <t>Intergroup relations. ; Group identity. ; Collective behavior.</t>
  </si>
  <si>
    <t>Lendrum, Susan;Tolan, Janet</t>
  </si>
  <si>
    <t>BF637.C6T6</t>
  </si>
  <si>
    <t>Counselors -- Training of. ; Role playing. ; Case method. ; Counseling -- Study and teaching.</t>
  </si>
  <si>
    <t>Parkes, Colin Murray;Stevenson-Hinde, Joan;Marris, Peter</t>
  </si>
  <si>
    <t>BF575.A86 -- A77 1993eb</t>
  </si>
  <si>
    <t>155.9/24</t>
  </si>
  <si>
    <t>Attachment behavior. ; Developmental psychology. ; Parent and child. ; Psychology, Pathological.</t>
  </si>
  <si>
    <t>Going Interprofessional : Working Together for Health and Welfare</t>
  </si>
  <si>
    <t>Leathard, Audrey</t>
  </si>
  <si>
    <t>HV248 -- .G65 1994eb</t>
  </si>
  <si>
    <t>Public welfare -- Great Britain. ; Public health -- Great Britain.</t>
  </si>
  <si>
    <t>Norre, Jan;Van den Broucke, Stephan;Vandereycken, Walter</t>
  </si>
  <si>
    <t>RC552.E18 -- V35 1997eb</t>
  </si>
  <si>
    <t>616.8526;616.8526008655</t>
  </si>
  <si>
    <t>Marital psychotherapy</t>
  </si>
  <si>
    <t>Jacques Lacan : A Feminist Introduction</t>
  </si>
  <si>
    <t>Grosz, Elizabeth</t>
  </si>
  <si>
    <t>BF175.4.F45 -- G76 1990eb</t>
  </si>
  <si>
    <t>150.19/5/092</t>
  </si>
  <si>
    <t>Lacan, Jacques, -- 1901-1981. ; Psychoanalysis and feminism.</t>
  </si>
  <si>
    <t>Social Rage : Emotion and Cultural Conflict</t>
  </si>
  <si>
    <t>Berry, Bonnie</t>
  </si>
  <si>
    <t>Sociology/Psychology/Reference Series</t>
  </si>
  <si>
    <t>HN90.P57 -- B47 1999eb</t>
  </si>
  <si>
    <t>Polarization (Social sciences) -- United States. ; Social conflict -- United States. ; Anger -- Social aspects -- United States. ; Alienation (Social psychology) -- United States. ; United States -- Social conditions -- 1980-</t>
  </si>
  <si>
    <t>The Psychology of Personal Constructs : Volume Two: Clinical Diagnosis and Psychotherapy</t>
  </si>
  <si>
    <t>Kelly, George</t>
  </si>
  <si>
    <t>BF698 -- .K38 1991eb</t>
  </si>
  <si>
    <t>Personality. ; Psychiatry. ; Psychotherapy.</t>
  </si>
  <si>
    <t>Noyes, Jan</t>
  </si>
  <si>
    <t>Psychology at Work Series</t>
  </si>
  <si>
    <t>TA166 .N63 2001eb;</t>
  </si>
  <si>
    <t>Engineering; Engineering: Civil; Engineering: General</t>
  </si>
  <si>
    <t>Lewd Women and Wicked Witches : A Study of the Dynamics of Male Domination</t>
  </si>
  <si>
    <t>Hester, Marianne</t>
  </si>
  <si>
    <t>HQ28 -- .H47 1992eb</t>
  </si>
  <si>
    <t>Men -- Sexual behavior. ; Dominance (Psychology) ; Sex discrimination against women. ; Power (Social sciences) ; Social control. ; Witchcraft -- England -- History.</t>
  </si>
  <si>
    <t>Lines of Narrative : Psychosocial Perspectives</t>
  </si>
  <si>
    <t>Andrews, Molly;Day Sclater, Shelley;Squire, Corinne;Treacher, Amal;Denzin, Norman K.</t>
  </si>
  <si>
    <t>HM1011 -- .L56 2000eb</t>
  </si>
  <si>
    <t>302/.01</t>
  </si>
  <si>
    <t>Social psychology -- Methodology. ; Sociology -- Biographical methods.</t>
  </si>
  <si>
    <t>The Psychological Treatment of Depression : A Guide to the Theory and Practice of Cognitive Behaviour Therapy</t>
  </si>
  <si>
    <t>Williams, J. Mark G.</t>
  </si>
  <si>
    <t>RC537 -- .W55 1984eb</t>
  </si>
  <si>
    <t>Depression, Mental. ; Cognitive therapy. ; Behavior therapy.</t>
  </si>
  <si>
    <t>Experiences in Groups : And Other Papers</t>
  </si>
  <si>
    <t>Bion, W.R.</t>
  </si>
  <si>
    <t>RC488.B476</t>
  </si>
  <si>
    <t>Family Transformation Through Divorce and Remarriage : A Systemic Approach</t>
  </si>
  <si>
    <t>Robinson, Margaret;Robinson, M</t>
  </si>
  <si>
    <t>Anderson, Robin</t>
  </si>
  <si>
    <t>RC480.5 -- C554 1992eb</t>
  </si>
  <si>
    <t>Bion, Wilfred R. -- (Wilfred Ruprecht), -- 1897-1979. ; Klein, Melanie. ; Psychoanalysis.</t>
  </si>
  <si>
    <t>Contemplating Suicide : The Language and Ethics of Self-Harm</t>
  </si>
  <si>
    <t>Fairbairn, Gavin J.;Fairbairn, Gavin</t>
  </si>
  <si>
    <t>Suicide -- Moral and ethical aspects. ; Suicidal behavior.</t>
  </si>
  <si>
    <t>Philosophy; Psychology</t>
  </si>
  <si>
    <t>The Third Eye : Supervision of Analytic Groups</t>
  </si>
  <si>
    <t>Sharpe, Meg</t>
  </si>
  <si>
    <t>The International Library of Group Psychotherapy and Group Process Series</t>
  </si>
  <si>
    <t>RC510.T48</t>
  </si>
  <si>
    <t>Group psychoanalysis -- Study and teaching. ; Psychotherapists -- Supervision of. ; Group psychoanalysis -- Study and teaching -- Great Britain. ; Psychotherapists -- Supervision of -- Great Britain.</t>
  </si>
  <si>
    <t>Brien, Joanna;Fairbairn, Ida</t>
  </si>
  <si>
    <t>HQ767.4.B7</t>
  </si>
  <si>
    <t>362.8/386</t>
  </si>
  <si>
    <t>Theorizing Revolutions : New Approaches from Across the Disciplines</t>
  </si>
  <si>
    <t>Foran, John</t>
  </si>
  <si>
    <t>HM281 -- .T44 1997eb</t>
  </si>
  <si>
    <t>Revolutions. ; Social psychology.</t>
  </si>
  <si>
    <t>Behaviour Problems in Young Children : Assessment and Management</t>
  </si>
  <si>
    <t>Douglas, Jo</t>
  </si>
  <si>
    <t>RJ506.B44 -- D68 2002eb</t>
  </si>
  <si>
    <t>649/.64</t>
  </si>
  <si>
    <t>Behavior disorders in children. ; Child psychopathology.</t>
  </si>
  <si>
    <t>Home Economics; Medicine; Psychology</t>
  </si>
  <si>
    <t>Barham, Peter;Hayward, Robert;Hayward, Robert</t>
  </si>
  <si>
    <t>RC514 -- .B3658 1991eb</t>
  </si>
  <si>
    <t>362.2/6</t>
  </si>
  <si>
    <t>Schizophrenics. ; Schizophrenics -- Social conditions. ; Schizophrenics -- Mental health services.</t>
  </si>
  <si>
    <t>Piaget, Jean.</t>
  </si>
  <si>
    <t>BF723.R4 -- P53 2002eb</t>
  </si>
  <si>
    <t>Case, Caroline;Dalley, Tessa</t>
  </si>
  <si>
    <t>RJ505.A7 -- W67 1990eb</t>
  </si>
  <si>
    <t>615.8/5156/088054</t>
  </si>
  <si>
    <t>Art therapy for children. ; Child psychotherapy.</t>
  </si>
  <si>
    <t>The Clinical Psychologist's Handbook of Epilepsy : Assessment and Management</t>
  </si>
  <si>
    <t>Cull, Christine;Goldstein, Laura H.</t>
  </si>
  <si>
    <t>RC372.C55</t>
  </si>
  <si>
    <t>616.8/53</t>
  </si>
  <si>
    <t>The Nature of Concepts : Evolution, Structure and Representation</t>
  </si>
  <si>
    <t>Van Loocke, Philip</t>
  </si>
  <si>
    <t>Frontiers of Cognitive Science Series</t>
  </si>
  <si>
    <t>BF441 -- .N37 1999eb</t>
  </si>
  <si>
    <t>Concepts. ; Thought and thinking.</t>
  </si>
  <si>
    <t>Drawing on Difference : Art Therapy with People Who Have Learning Difficulties</t>
  </si>
  <si>
    <t>Rees, Mair</t>
  </si>
  <si>
    <t>RC451.4.M47 -- D7 1998eb</t>
  </si>
  <si>
    <t>616.85/889065156</t>
  </si>
  <si>
    <t>Lindsey, Mary P.;Lindsey, Mary P;Lindsey Mary, P</t>
  </si>
  <si>
    <t>RC569.95 -- .L56 1989eb</t>
  </si>
  <si>
    <t>Mental retardation -- Dictionaries. ; Developmental disabilities -- Dictionaries.</t>
  </si>
  <si>
    <t>Anthropology and Psychoanalysis : An Encounter Through Culture</t>
  </si>
  <si>
    <t>Deluz, Ariane;Heald, Suzette</t>
  </si>
  <si>
    <t>GN508 -- .A65 1994eb</t>
  </si>
  <si>
    <t>Ethnopsychology -- Congresses. ; Social sciences and psychoanalysis -- Congresses. ; Psychoanalysis -- Congresses.</t>
  </si>
  <si>
    <t>Advocacy and Empowerment : Mental Health Care in the Community</t>
  </si>
  <si>
    <t>Black, Bruce L.;Rose, Stephen M.</t>
  </si>
  <si>
    <t>RA790.6 -- .R66 1985eb</t>
  </si>
  <si>
    <t>Mental health services -- United States. ; Mentally ill -- Rehabilitation -- United States. ; Mental health policy -- United States. ; Mental health laws -- United States.</t>
  </si>
  <si>
    <t>Health Care Communication Using Personality Type : Patients Are Different!</t>
  </si>
  <si>
    <t>Allen, Judy;Brock, Susan A.</t>
  </si>
  <si>
    <t>R727.3 -- .A55 2002eb</t>
  </si>
  <si>
    <t>610.69/6</t>
  </si>
  <si>
    <t>Medical personnel and patient. ; Patients -- Psychology. ; Myers-Briggs Type Indicator.</t>
  </si>
  <si>
    <t>Managing Mental Health in the Community : Chaos and Containment</t>
  </si>
  <si>
    <t>Foster, Angela;Roberts, Vega Zagier;Roberts, Vega Zagier</t>
  </si>
  <si>
    <t>RA790 -- .M327 1998eb</t>
  </si>
  <si>
    <t>Child and Family Assessment : Clinical Guidelines for Practitioners</t>
  </si>
  <si>
    <t>Wilkinson, Ian</t>
  </si>
  <si>
    <t>RC488.53.W</t>
  </si>
  <si>
    <t>Pathways into the Jungian World : Phenomenology and Analytical Psychology</t>
  </si>
  <si>
    <t>Brooke, Roger</t>
  </si>
  <si>
    <t>BF175 -- .P29 2000eb</t>
  </si>
  <si>
    <t>150.19/54</t>
  </si>
  <si>
    <t>Harrison, Larry</t>
  </si>
  <si>
    <t>HV5446 -- .A4 1996eb</t>
  </si>
  <si>
    <t>362.2/92</t>
  </si>
  <si>
    <t>Alcoholism -- Great Britain. ; Substance abuse -- Great Britain.</t>
  </si>
  <si>
    <t>Worlds of Illness : Biographical and Cultural Perspectives on Health and Disease</t>
  </si>
  <si>
    <t>Radley, Alan</t>
  </si>
  <si>
    <t>RA418.W67</t>
  </si>
  <si>
    <t>616/.0019</t>
  </si>
  <si>
    <t>Social medicine. ; Clinical health psychology. ; Sick -- Psychology.</t>
  </si>
  <si>
    <t>The Nature of Grief : The Evolution and Psychology of Reactions to Loss</t>
  </si>
  <si>
    <t>Archer, John</t>
  </si>
  <si>
    <t>BF575.G7 -- A73 1999eb</t>
  </si>
  <si>
    <t>155.9/37</t>
  </si>
  <si>
    <t>Decision Making : Cognitive Models and Explanations</t>
  </si>
  <si>
    <t>Crozier, Ray;Ranyard, Rob;Svenson, Ola</t>
  </si>
  <si>
    <t>BF448 -- .D42 1997eb</t>
  </si>
  <si>
    <t>Decision making. ; Cognition.</t>
  </si>
  <si>
    <t>Women Crossing Boundaries : A Psychology of Immigration and Transformations of Sexuality</t>
  </si>
  <si>
    <t>Espin, Oliva</t>
  </si>
  <si>
    <t>HQ1154 -- .E76 1999eb</t>
  </si>
  <si>
    <t>305.48/9691</t>
  </si>
  <si>
    <t>Women immigrants. ; Emigration and immigration -- Psychological aspects. ; Women immigrants -- Sexual behavior. ; Sex role.</t>
  </si>
  <si>
    <t>Cult Fictions : C. G. Jung and the Founding of Analytical Psychology</t>
  </si>
  <si>
    <t>Shamdasani, Sonu</t>
  </si>
  <si>
    <t>BF173 -- .S486 1998eb</t>
  </si>
  <si>
    <t>Language in Action : Psychological Models of Conversation</t>
  </si>
  <si>
    <t>Turnbull, William</t>
  </si>
  <si>
    <t>BF637.C45 -- T86 2003eb</t>
  </si>
  <si>
    <t>Belief and Imagination : Explorations in Psychoanalysis</t>
  </si>
  <si>
    <t>Britton, Ronald</t>
  </si>
  <si>
    <t>BF173 -- .B824 1998eb</t>
  </si>
  <si>
    <t>Whitaker, Dorothy Stock</t>
  </si>
  <si>
    <t>BF637.C6 -- W45 2001eb</t>
  </si>
  <si>
    <t>Group counseling. ; Group psychotherapy.</t>
  </si>
  <si>
    <t>Women and Self Harm : Understanding, Coping and Healing from Self-Mutilation</t>
  </si>
  <si>
    <t>Smith, Gerrilyn;Cox, Dee;Saradjian, Jacqui</t>
  </si>
  <si>
    <t>RC552.S4 -- S64 1999eb</t>
  </si>
  <si>
    <t>Castration : An Abbreviated History of Western Manhood</t>
  </si>
  <si>
    <t>Taylor, Gary</t>
  </si>
  <si>
    <t>BF175.5.C37 -- T39 2000eb</t>
  </si>
  <si>
    <t>155.3/32</t>
  </si>
  <si>
    <t>Castration anxiety. ; Masculinity. ; Men -- Psychology.</t>
  </si>
  <si>
    <t>Mathers, Dale</t>
  </si>
  <si>
    <t>BF173 -- .M35686 2001eb</t>
  </si>
  <si>
    <t>1510.19/5</t>
  </si>
  <si>
    <t>The Bi-Personal Field : Experiences in Child Analysis</t>
  </si>
  <si>
    <t>Ferro, Antonino</t>
  </si>
  <si>
    <t>RJ504.2 -- .F4713 1999eb</t>
  </si>
  <si>
    <t>Reporting in Counselling and Psychotherapy : A Trainee's Guide to Preparing Case Studies and Reports</t>
  </si>
  <si>
    <t>Papadopoulos, Linda;Cross, Malcolm;Bor, Robert</t>
  </si>
  <si>
    <t>RC455.2.M3</t>
  </si>
  <si>
    <t>Psychology; Literature; Medicine</t>
  </si>
  <si>
    <t>Withers, Robert</t>
  </si>
  <si>
    <t>BF173 -- .C569 2003eb</t>
  </si>
  <si>
    <t>Hills, Matthew</t>
  </si>
  <si>
    <t>Sussex Studies in Culture and Communication Series</t>
  </si>
  <si>
    <t>Loving Nature : Towards an Ecology of Emotion</t>
  </si>
  <si>
    <t>Milton, Kay</t>
  </si>
  <si>
    <t>BF353.5.N37 -- M55 2002eb</t>
  </si>
  <si>
    <t>Carnwath, Tom;Smith, Ian</t>
  </si>
  <si>
    <t>HV5822.H4 -- C35 2002eb</t>
  </si>
  <si>
    <t>Kenny, Anthony;Kenny, Anthony</t>
  </si>
  <si>
    <t>BF531 -- .K4 2003eb</t>
  </si>
  <si>
    <t>Emotions. ; Will.</t>
  </si>
  <si>
    <t>Kornexl, E.;Muller, E.;Raschner, C.;Schwameder, H.</t>
  </si>
  <si>
    <t>GV854 -- .S375 1997eb</t>
  </si>
  <si>
    <t>Skis and skiing -- Congresses. ; Skis and skiing -- Psychological aspects -- Congresses. ; Skis and skiing -- Physiological aspects -- Congresses. ; Sports sciences -- Congresses.</t>
  </si>
  <si>
    <t>Independence</t>
  </si>
  <si>
    <t>Dewe, Phil;Cox, Tom;Leiter, Michael</t>
  </si>
  <si>
    <t>RC963.48 -- .C67 2000eb</t>
  </si>
  <si>
    <t>155.9/042</t>
  </si>
  <si>
    <t>Job stress. ; Health. ; Stress (Psychology) ; Adjustment (Psychology)</t>
  </si>
  <si>
    <t>Challenging Macho Values : Ways of Working with Boys in Secondary Schools</t>
  </si>
  <si>
    <t>Salisbury, Jonathan;Jackson, David</t>
  </si>
  <si>
    <t>HQ775 -- .S28 1996eb</t>
  </si>
  <si>
    <t>Teenage boys -- Great Britain -- Psychology. ; Masculinity -- Great Britain. ; Teenage boys -- Education (Secondary) -- Great Britain. ; Teenage boys -- Sexual behavior -- Great Britain.</t>
  </si>
  <si>
    <t>Archetype, Attachment, Analysis : Jungian Psychology and the Emergent Mind</t>
  </si>
  <si>
    <t>Knox, Jean;Fonagy, Peter</t>
  </si>
  <si>
    <t>BF175.5.A7</t>
  </si>
  <si>
    <t>Counseling Multicultural and Diverse Populations : Strategies for Practitioners, Fourth Edition</t>
  </si>
  <si>
    <t>Vacc, Nicholas A.;DeVaney, Susan B.;Brendel, Johnston M.</t>
  </si>
  <si>
    <t>HV3176 -- .C68 2003eb</t>
  </si>
  <si>
    <t>Changing Family Values : Difference, Diversity and the Decline of Male Order</t>
  </si>
  <si>
    <t>Jagger, Gill;Wright, Caroline</t>
  </si>
  <si>
    <t>HQ518 -- .C48 1999eb</t>
  </si>
  <si>
    <t>Families. ; Family policy. ; Single-parent families. ; Work and family. ; Gay fathers -- Family relationships. ; Lesbian mothers -- Family relationships. ; Fathers -- Psychology.</t>
  </si>
  <si>
    <t>Mentoring for Social Inclusion : A Critical Approach to Nurturing Mentor Relationships</t>
  </si>
  <si>
    <t>Colley, Helen</t>
  </si>
  <si>
    <t>HV1431 \.C</t>
  </si>
  <si>
    <t>Dyslexia, Reading and the Brain : A Sourcebook of Psychological and Biological Research</t>
  </si>
  <si>
    <t>Beaton, Alan</t>
  </si>
  <si>
    <t>RC394.W6 -- B437 2004eb</t>
  </si>
  <si>
    <t>616.85/53</t>
  </si>
  <si>
    <t>A Guide to Imagework : Imagination-Based Research Methods</t>
  </si>
  <si>
    <t>Edgar, Iain</t>
  </si>
  <si>
    <t>ASA Research Methods</t>
  </si>
  <si>
    <t>BF367 -- .E34 2004eb</t>
  </si>
  <si>
    <t>Imagery (Psychology) -- Methodology. ; Dream interpretation. ; Gestalt psychology. ; Drama -- Therapeutic use. ; Social psychology -- Research. ; Ethnopsychology -- Research.</t>
  </si>
  <si>
    <t>Haworth, John T.;Veal, Anthony J.</t>
  </si>
  <si>
    <t>GV14 -- .W67 2004eb</t>
  </si>
  <si>
    <t>306.3/6</t>
  </si>
  <si>
    <t>Work. ; Leisure -- Forecasting. ; Quality of work life. ; Labor -- Social aspects. ; Leisure -- Social aspects. ; Psychology, Industrial.</t>
  </si>
  <si>
    <t>Social Science; Sport &amp;amp; Recreation</t>
  </si>
  <si>
    <t>Social Theory since Freud : Traversing Social Imaginaries</t>
  </si>
  <si>
    <t>Elliott, Anthony</t>
  </si>
  <si>
    <t>BF175.4.S6</t>
  </si>
  <si>
    <t>Body Work : The Social Construction of Women's Body Image</t>
  </si>
  <si>
    <t>Blood, Sylvia K.</t>
  </si>
  <si>
    <t>Women and Psychology Series</t>
  </si>
  <si>
    <t>BF697.5.B6</t>
  </si>
  <si>
    <t>306.4/613</t>
  </si>
  <si>
    <t>Existential Psychology and Sport : Theory and Application</t>
  </si>
  <si>
    <t>Nesti, Mark</t>
  </si>
  <si>
    <t>Kerr, John H.</t>
  </si>
  <si>
    <t>306.4/83</t>
  </si>
  <si>
    <t>Visible Thought : The New Psychology of Body Language</t>
  </si>
  <si>
    <t>Beattie, Geoffrey</t>
  </si>
  <si>
    <t>BF637.N66 -- B43 2003eb</t>
  </si>
  <si>
    <t>Body language. ; Gesture -- Psychological aspects.</t>
  </si>
  <si>
    <t>The Unconscious : A Conceptual Analysis</t>
  </si>
  <si>
    <t>MacIntyre, Alasdair Chalmers</t>
  </si>
  <si>
    <t>BF315 -- .M32 2004eb</t>
  </si>
  <si>
    <t>Freud, Sigmund, -- 1856-1939. ; Subconsciousness.</t>
  </si>
  <si>
    <t>Culturally Responsive Interventions : Innovative Approaches to Working with Diverse Populations</t>
  </si>
  <si>
    <t>Ancis, Julie R.</t>
  </si>
  <si>
    <t>BF637.C6 C; BF637.C</t>
  </si>
  <si>
    <t>158/.3</t>
  </si>
  <si>
    <t>One Life at a Time : Helping Skills and Interventions</t>
  </si>
  <si>
    <t>Brew, Leah;Kottler, Jeffery A.</t>
  </si>
  <si>
    <t>BF637.C6 \</t>
  </si>
  <si>
    <t>Psychology; Military Science</t>
  </si>
  <si>
    <t>The Narcissistic / Borderline Couple : New Approaches to Marital Therapy</t>
  </si>
  <si>
    <t>Lachkar, Joan</t>
  </si>
  <si>
    <t>RC488.5 \.</t>
  </si>
  <si>
    <t>Celibacy in Crisis : A Secret World Revisited</t>
  </si>
  <si>
    <t>Sipe, A. W. Richard</t>
  </si>
  <si>
    <t>BV4390; BX1912.9.S5</t>
  </si>
  <si>
    <t>253/.252</t>
  </si>
  <si>
    <t>The Dynamics of Human Aggression : Theoretical Foundations, Clinical Applications</t>
  </si>
  <si>
    <t>Rizzuto, Ana-Maria;Meissner, W. W.;Buie, Dan H.</t>
  </si>
  <si>
    <t>BF175.5.A36 -- R59 2004eb</t>
  </si>
  <si>
    <t>155.2/32</t>
  </si>
  <si>
    <t>Aggressiveness. ; Psychoanalysis.</t>
  </si>
  <si>
    <t>Voices of Bereavement : A Casebook for Grief Counselors</t>
  </si>
  <si>
    <t>Beder, Joan</t>
  </si>
  <si>
    <t>Series in Death, Dying, and Bereavement Series</t>
  </si>
  <si>
    <t>RC455.4.L67 -- B43 2004eb</t>
  </si>
  <si>
    <t>Children of Neglect : When No One Cares</t>
  </si>
  <si>
    <t>Smith, Margaret;Fong, Rowena</t>
  </si>
  <si>
    <t>HV6626.52</t>
  </si>
  <si>
    <t>Perschy, Mary Kelly</t>
  </si>
  <si>
    <t>BF724.3.G7</t>
  </si>
  <si>
    <t>155.9/37/0835</t>
  </si>
  <si>
    <t>Future Girl : Young Women in the Twenty-First Century</t>
  </si>
  <si>
    <t>Harris, Anita</t>
  </si>
  <si>
    <t>American Shaman : An Odyssey of Global Healing Traditions</t>
  </si>
  <si>
    <t>Kottler, Jeffrey A.;Carlson, Jon;Keeney, Bradford</t>
  </si>
  <si>
    <t>BF1598.K43 -- K68 2004eb</t>
  </si>
  <si>
    <t>200/.92</t>
  </si>
  <si>
    <t>Religion; Philosophy</t>
  </si>
  <si>
    <t>Treating Families and Children in the Child Protective System : Strategies for Systemic Advocacy and Family Healing</t>
  </si>
  <si>
    <t>Crenshaw, Wes</t>
  </si>
  <si>
    <t>Routledge Series on Family Therapy and Counseling Series</t>
  </si>
  <si>
    <t>HV713 -- .C72 2004eb</t>
  </si>
  <si>
    <t>Child welfare. ; Family counseling. ; Family psychotherapy. ; Abused children -- Services for. ; Family social work.</t>
  </si>
  <si>
    <t>As Others See Us : Body Movement and the Art of Successful Communication</t>
  </si>
  <si>
    <t>Goldman, Ellen</t>
  </si>
  <si>
    <t>BF637.N66 -- G65 2003eb</t>
  </si>
  <si>
    <t>153.6/9</t>
  </si>
  <si>
    <t>Sites of Sport : Space, Place and Experience</t>
  </si>
  <si>
    <t>Bale, John;Vertinsky, Patricia</t>
  </si>
  <si>
    <t>Sport in the Global Society Series</t>
  </si>
  <si>
    <t>Sports -- Social aspects</t>
  </si>
  <si>
    <t>Kruglanski, Arie W.</t>
  </si>
  <si>
    <t>Essays in Social Psychology Series</t>
  </si>
  <si>
    <t>BF575.P9 -- K77 2004eb</t>
  </si>
  <si>
    <t>Prejudices. ; Social perception.</t>
  </si>
  <si>
    <t>Dictionary of Cognitive Science : Neuroscience, Psychology, Artificial Intelligence, Linguistics, and Philosophy</t>
  </si>
  <si>
    <t>Houdé, Olivier;Kayser, Daniel;Koenig, Olivier;Proust, Joëlle;Rastier, François.</t>
  </si>
  <si>
    <t>BF311 -- .V56713 2004eb</t>
  </si>
  <si>
    <t>O'Reilly, Gary;Marshall, William L.;Carr, Alan;Beckett, Richard C.</t>
  </si>
  <si>
    <t>RJ506.S48 -- H363 2004eb</t>
  </si>
  <si>
    <t>Teenage sex offenders. ; Teenage sex offenders -- Rehabilitation. ; Teenage sex offenders -- Mental health services.</t>
  </si>
  <si>
    <t>Talking over the Years : A Handbook of Dynamic Psychotherapy with Older Adults</t>
  </si>
  <si>
    <t>Evans, Sandra;Garner, Jane;Porter, Ruth</t>
  </si>
  <si>
    <t>RC480.54.E</t>
  </si>
  <si>
    <t>618.97/689</t>
  </si>
  <si>
    <t>Forgiveness and the Healing Process : A Central Therapeutic Concern</t>
  </si>
  <si>
    <t>Ransley, Cynthia;Spy, Terri;Sinason, Valerie</t>
  </si>
  <si>
    <t>BF637.F67</t>
  </si>
  <si>
    <t>155.9/2</t>
  </si>
  <si>
    <t>Co-Counselling : The Theory and Practice of Re-Evaluation Counselling</t>
  </si>
  <si>
    <t>Kauffman, Katie;New, Caroline</t>
  </si>
  <si>
    <t>Advancing Theory in Therapy Series</t>
  </si>
  <si>
    <t>BF637.C6 -- K3446 2004eb</t>
  </si>
  <si>
    <t>The Rupture of Time : Synchronicity and Jung's Critique of Modern Western Culture</t>
  </si>
  <si>
    <t>Main, Roderick</t>
  </si>
  <si>
    <t>BF175.5.C65 -- M35 2004eb</t>
  </si>
  <si>
    <t>Jung, C. G. -- (Carl Gustav), -- 1875-1961. ; Coincidence. ; Psychoanalysis and culture. ; Civilization, Modern -- Psychological aspects.</t>
  </si>
  <si>
    <t>Handbook of Family Therapy : The Science and Practice of Working with Families and Couples</t>
  </si>
  <si>
    <t>Robbins, Mike;Sexton, Tom;Weeks, Gerald;Sexton, Thomas L.;Lebow, Jay;Lebow, Jay;Gurman, Alan S.</t>
  </si>
  <si>
    <t>Helping Bereaved Parents : A Clinician's Guide</t>
  </si>
  <si>
    <t>Tedeschi, Richard G.;Calhoun, Lawrence G.</t>
  </si>
  <si>
    <t>RC455.4.L67 -- T435 2004eb</t>
  </si>
  <si>
    <t>The Fantasy Principle : Psychoanalysis of the Imagination</t>
  </si>
  <si>
    <t>Adams, Michael Vannoy</t>
  </si>
  <si>
    <t>BF173.J85 -- A33 2004eb</t>
  </si>
  <si>
    <t>Life after Self-Harm : A Guide to the Future</t>
  </si>
  <si>
    <t>Schmidt, Ulrike;Davidson, Kate</t>
  </si>
  <si>
    <t>RC569.5.S4</t>
  </si>
  <si>
    <t>616.85/82</t>
  </si>
  <si>
    <t>Emotional Expression and Health : Advances in Theory, Assessment and Clinical Applications</t>
  </si>
  <si>
    <t>Nyklícek, Ivan;Temoshok, Lydia;Vingerhoets, Ad</t>
  </si>
  <si>
    <t>R726.5 \.E</t>
  </si>
  <si>
    <t>Workplace Trauma : Concepts, Assessment and Interventions</t>
  </si>
  <si>
    <t>Tehrani, Noreen</t>
  </si>
  <si>
    <t>RC552.P67</t>
  </si>
  <si>
    <t>A Dream in the World : Poetics of Soul in Two Women, Modern and Medieval</t>
  </si>
  <si>
    <t>van Lõben Sels, Robin</t>
  </si>
  <si>
    <t>BF175.5.D74V36 2003</t>
  </si>
  <si>
    <t>154.6/3</t>
  </si>
  <si>
    <t>Hadewijch, -- 13th cent. ; Dream interpretation -- Case studies. ; Jungian psychology -- Case studies. ; Dreams -- Religious aspects -- Christianity -- Case studies. ; Jungian psychology -- Religious aspects -- Christianity -- Case studies. ; Dreams -- Therapeutic use -- Case studies.</t>
  </si>
  <si>
    <t>Gift of Tears : A Practical Approach to Loss and Bereavement in Counselling and Psychotherapy</t>
  </si>
  <si>
    <t>Lendrum, Susan;Syme, Gabrielle</t>
  </si>
  <si>
    <t>BF575.D35 \L46 2004</t>
  </si>
  <si>
    <t>155.9/3</t>
  </si>
  <si>
    <t>Transformation of the Psyche : The Symbolic Alchemy of the Splendor Solis</t>
  </si>
  <si>
    <t>Henderson, Joseph L.;Sherwood, Dyane N.</t>
  </si>
  <si>
    <t>BF173 -- .H4346 2003eb</t>
  </si>
  <si>
    <t>Jung, C. G. -- (Carl Gustav), -- 1875-1961. ; Jungian psychology. ; Alchemy -- Psychological aspects.</t>
  </si>
  <si>
    <t>Introduction to Dramatherapy : Person and Threshold</t>
  </si>
  <si>
    <t>Pitruzzella, Salvo;Grainger, Roger</t>
  </si>
  <si>
    <t>RC489.D72</t>
  </si>
  <si>
    <t>616.89/1523</t>
  </si>
  <si>
    <t>Analytical Psychology : Contemporary Perspectives in Jungian Analysis</t>
  </si>
  <si>
    <t>Cambray, Joseph;Carter, Linda;Carter, Linda</t>
  </si>
  <si>
    <t>BF173 \.A655 2004</t>
  </si>
  <si>
    <t>Abrams, Dominic;Hogg, Michael A.;Marques, José M.</t>
  </si>
  <si>
    <t>HM1136 -- .S64 2005eb</t>
  </si>
  <si>
    <t>Marginality, Social. ; Social groups. ; Social psychology.</t>
  </si>
  <si>
    <t>Brown, Alan S.</t>
  </si>
  <si>
    <t>Essays in Cognitive Psychology Series</t>
  </si>
  <si>
    <t>BF378.D45 -- B76 2004eb</t>
  </si>
  <si>
    <t>The Interface of Language, Vision, and Action : Eye Movements and the Visual World</t>
  </si>
  <si>
    <t>Henderson, John;Ferreira, Fernanda</t>
  </si>
  <si>
    <t>BF455 -- .I48 2004eb</t>
  </si>
  <si>
    <t>Psycholinguistics -- Congresses. ; Eye -- Movements -- Congresses. ; Perceptual-motor processes -- Congresses. ; Visual perception -- Congresses.</t>
  </si>
  <si>
    <t>Individual Differences in Theory of Mind : Implications for Typical and Atypical Development</t>
  </si>
  <si>
    <t>Repacholi, Betty;Slaughter, Virginia</t>
  </si>
  <si>
    <t>Macquarie Monographs in Cognitive Science Series</t>
  </si>
  <si>
    <t>BF723.P48 -- I53 2003eb</t>
  </si>
  <si>
    <t>Philosophy of mind in children. ; Individual differences in children.</t>
  </si>
  <si>
    <t>Critical Moments During Competition : A Mind-Body Model of Sport Performance When It Counts the Most</t>
  </si>
  <si>
    <t>Carlstedt, Roland A.;Krippner, Stanley</t>
  </si>
  <si>
    <t>Visual Perception : Physiology, Psychology and Ecology</t>
  </si>
  <si>
    <t>Bruce, Vicki;Georgeson, Mark A.;Green, Patrick R.;Georgeson, Mark A.</t>
  </si>
  <si>
    <t>BF241 -- .B75 2010eb</t>
  </si>
  <si>
    <t>152.1/4</t>
  </si>
  <si>
    <t>Connectionist Models of Development : Developmental Processes in Real and Artificial Neural Networks</t>
  </si>
  <si>
    <t>Quinlan, Philip T.</t>
  </si>
  <si>
    <t>Studies in Developmental Psychology Series</t>
  </si>
  <si>
    <t>BF713.5 -- .C67 2003eb</t>
  </si>
  <si>
    <t>Developmental psychology. ; Connectionism.</t>
  </si>
  <si>
    <t>Clarke, David</t>
  </si>
  <si>
    <t>HM1106 -- .C49 2003eb</t>
  </si>
  <si>
    <t>Interpersonal relations. ; Interpersonal conflict. ; Social psychology. ; Human behavior.</t>
  </si>
  <si>
    <t>Girls, Boys and Junior Sexualities : Exploring Childrens' Gender and Sexual Relations in the Primary School</t>
  </si>
  <si>
    <t>Renold, Emma</t>
  </si>
  <si>
    <t>HQ784.S45 -- R46 2005eb</t>
  </si>
  <si>
    <t>306.7/083/4</t>
  </si>
  <si>
    <t>Barrett, Martyn;Buchanan-Barrow, Eithne</t>
  </si>
  <si>
    <t>BF723.S6 -- C47 2004eb</t>
  </si>
  <si>
    <t>Social perception in children. ; Perception in children.</t>
  </si>
  <si>
    <t>Benson, Janette;Raeff, Catherine</t>
  </si>
  <si>
    <t>HQ772 -- .S58 2003eb</t>
  </si>
  <si>
    <t>Coping and Complaining : Attachment and the Language of Disease</t>
  </si>
  <si>
    <t>Wilkinson, Simon R.</t>
  </si>
  <si>
    <t>R726.7.W556 2003eb</t>
  </si>
  <si>
    <t>Horley, James</t>
  </si>
  <si>
    <t>RA1148.P466 2003eb</t>
  </si>
  <si>
    <t>614/.1</t>
  </si>
  <si>
    <t>Health; Medicine; Social Science</t>
  </si>
  <si>
    <t>Nameless : Understanding Learning Disability</t>
  </si>
  <si>
    <t>Niedecken, Dietmut;Erdheim, Mario</t>
  </si>
  <si>
    <t>RJ506.L4 -- N5313 2003eb</t>
  </si>
  <si>
    <t>616.85/889</t>
  </si>
  <si>
    <t>Learning disabled children -- Rehabilitation. ; Children with mental disabilities -- Rehabilitation. ; Child analysis.</t>
  </si>
  <si>
    <t>From Mating to Mentality : Evaluating Evolutionary Psychology</t>
  </si>
  <si>
    <t>Sterelny, Kim;Fitness, Julie</t>
  </si>
  <si>
    <t>BF698.95 -- .F76 2003eb</t>
  </si>
  <si>
    <t>Psychology of Reasoning : Theoretical and Historical Perspectives</t>
  </si>
  <si>
    <t>Manktelow, Ken;Chung, Man Cheung</t>
  </si>
  <si>
    <t>BF442 -- .P79 2004eb</t>
  </si>
  <si>
    <t>Morris, Robin;Ward, Geoff;Ward, Geoff</t>
  </si>
  <si>
    <t>Current Issues in Thinking and Reasoning Series</t>
  </si>
  <si>
    <t>BF433.P6 -- C64 2005eb</t>
  </si>
  <si>
    <t>Planning -- Psychological aspects. ; Cognitive psychology.</t>
  </si>
  <si>
    <t>Moves in Mind : The Psychology of Board Games</t>
  </si>
  <si>
    <t>Gobet, Fernand;Retschitzki, Jean;de Voogt, Alex</t>
  </si>
  <si>
    <t>GV1312 -- .G63 2004eb</t>
  </si>
  <si>
    <t>Board games -- Psychological aspects. ; Cognitive psychology.</t>
  </si>
  <si>
    <t>Taylor, Laura</t>
  </si>
  <si>
    <t>BF723.C5 -- T39 2005eb</t>
  </si>
  <si>
    <t>Gordon, Ian E.</t>
  </si>
  <si>
    <t>BF241 -- .G67 2004eb</t>
  </si>
  <si>
    <t>Visual perception. ; Perception.</t>
  </si>
  <si>
    <t>Methods of Thought : Individual Differences in Reasoning Strategies</t>
  </si>
  <si>
    <t>Newton, Elizabeth;Roberts, Maxwell</t>
  </si>
  <si>
    <t>BF442 -- .R63 2004eb</t>
  </si>
  <si>
    <t>Reasoning (Psychology) ; Methodology.</t>
  </si>
  <si>
    <t>Adaption-Innovation : In the Context of Diversity and Change</t>
  </si>
  <si>
    <t>Kirton, M. J.</t>
  </si>
  <si>
    <t>BF449 \.K5</t>
  </si>
  <si>
    <t>Cattanach, Ann</t>
  </si>
  <si>
    <t>RJ505.P6 \</t>
  </si>
  <si>
    <t>618.9/2891653</t>
  </si>
  <si>
    <t>The Dove in the Consulting Room : Hysteria and the Anima in Bollas and Jung</t>
  </si>
  <si>
    <t>Mogenson, Greg;Miller, David L.</t>
  </si>
  <si>
    <t>BF173</t>
  </si>
  <si>
    <t>Cornoldi, Cesare;Vecchi, Tomaso</t>
  </si>
  <si>
    <t>BF378.S54 -- C67 2003eb</t>
  </si>
  <si>
    <t>153.1/32</t>
  </si>
  <si>
    <t>Short-term memory. ; Space perception. ; Visual perception. ; Individual differences.</t>
  </si>
  <si>
    <t>Evolution and the Psychology of Thinking : The Debate</t>
  </si>
  <si>
    <t>Over, David E.</t>
  </si>
  <si>
    <t>BF201 -- .E94 2003eb</t>
  </si>
  <si>
    <t>Cognitive psychology. ; Genetic psychology.</t>
  </si>
  <si>
    <t>Parapsychology : Research on Exceptional Experiences</t>
  </si>
  <si>
    <t>Henry, Jane</t>
  </si>
  <si>
    <t>BF1040.5 -- .P37 2005eb</t>
  </si>
  <si>
    <t>Prout, Alan</t>
  </si>
  <si>
    <t>HQ767.9 -- .F87 2005eb</t>
  </si>
  <si>
    <t>Woman's Relationship with Herself : Gender, Foucault and Therapy</t>
  </si>
  <si>
    <t>O'Grady, Helen</t>
  </si>
  <si>
    <t>HQ1150.O47</t>
  </si>
  <si>
    <t>155.3/33</t>
  </si>
  <si>
    <t>Psychoanalytic Theory for Social Work Practice : Thinking under Fire</t>
  </si>
  <si>
    <t>Bower, Marion</t>
  </si>
  <si>
    <t>HV41 -- .P766 2005eb</t>
  </si>
  <si>
    <t>Charles-Edwards, David</t>
  </si>
  <si>
    <t>BF575.G7 C</t>
  </si>
  <si>
    <t>Social Identities : Multidisciplinary Approaches</t>
  </si>
  <si>
    <t>Spencer, Steve;Taylor, Gary</t>
  </si>
  <si>
    <t>BF323.S63 -- S63 2004eb</t>
  </si>
  <si>
    <t>Group identity. ; Social perception.</t>
  </si>
  <si>
    <t>Root Causes of Terrorism : Myths, Reality and Ways Forward</t>
  </si>
  <si>
    <t>Bjørgo, Tore</t>
  </si>
  <si>
    <t>HV6431 -- .R66 2005eb</t>
  </si>
  <si>
    <t>Terrorism -- Congresses. ; Terrorism -- Political aspects -- Congresses. ; Terrorism -- Economic aspects -- Congresses. ; Terrorism -- Religious aspects -- Congresses. ; Terrorism -- Social aspects -- Congresses. ; Terrorism -- Psychological aspects -- Congresses. ; Terrorism -- Prevention -- Congresses.</t>
  </si>
  <si>
    <t>Broken Spirits : The Treatment of Traumatized Asylum Seekers, Refugees and War and Torture Victims</t>
  </si>
  <si>
    <t>Wilson, John P.;Drozdek, Boris</t>
  </si>
  <si>
    <t>Preventive Counseling : Helping People to Become Empowered in Systems and Settings</t>
  </si>
  <si>
    <t>Conyne, Robert K.</t>
  </si>
  <si>
    <t>RA790 -- .C68176 2004eb</t>
  </si>
  <si>
    <t>Mental illness -- Prevention. ; Counseling. ; Preventive health services.</t>
  </si>
  <si>
    <t>Psychology; Health; Social Science</t>
  </si>
  <si>
    <t>Close Relationships : Key Readings</t>
  </si>
  <si>
    <t>Reis, Harry T.;Rusbult, Caryl E.</t>
  </si>
  <si>
    <t>Key Readings in Social Psychology Series</t>
  </si>
  <si>
    <t>HM1106.C567 2011</t>
  </si>
  <si>
    <t>Using Drawings in Assessment and Therapy : A Guide for Mental Health Professionals</t>
  </si>
  <si>
    <t>Oster, Gerald D.;Gould Crone, Patricia</t>
  </si>
  <si>
    <t>RC473.P7 O</t>
  </si>
  <si>
    <t>616.89/1656</t>
  </si>
  <si>
    <t>The Tidal Model : A Guide for Mental Health Professionals</t>
  </si>
  <si>
    <t>Barker, Prof Philip J.;Buchanan-Barker, Poppy;Whitehill, Irene;Clay, Sally</t>
  </si>
  <si>
    <t>RC437.5$b.B365 2005</t>
  </si>
  <si>
    <t>Mental health -- Philosophy. ; Mental illness -- Philosophy. ; Psychology, Pathological -- Philosophy.</t>
  </si>
  <si>
    <t>Psychology; Medicine; Health; Social Science</t>
  </si>
  <si>
    <t>The Work of Psychic Figurability : Mental States Without Representation</t>
  </si>
  <si>
    <t>Botella, Sára;Botella, César</t>
  </si>
  <si>
    <t>BF173 -- .B68513 2005eb</t>
  </si>
  <si>
    <t>The Dialogical Self in Psychotherapy : An Introduction</t>
  </si>
  <si>
    <t>Hermans, Hubert J. M.;Dimaggio, Giancarlo</t>
  </si>
  <si>
    <t>RC489.S43 -- D53 2004eb</t>
  </si>
  <si>
    <t>616.89/14</t>
  </si>
  <si>
    <t>Self. ; Psychotherapy.</t>
  </si>
  <si>
    <t>Self-Insight : Roadblocks and Detours on the Path to Knowing Thyself</t>
  </si>
  <si>
    <t>Dunning, David</t>
  </si>
  <si>
    <t>BF697.5</t>
  </si>
  <si>
    <t>The Self and Memory : Self and Memory</t>
  </si>
  <si>
    <t>Beike, Denise R.;Lampinen, James M.;Behrend, Douglas A.</t>
  </si>
  <si>
    <t>Studies in Self and Identity Series</t>
  </si>
  <si>
    <t>BF378.A87 -- S45 2004eb</t>
  </si>
  <si>
    <t>153.1/3</t>
  </si>
  <si>
    <t>Applied Neuropsychology of Attention : Theory, Diagnosis and Rehabilitation</t>
  </si>
  <si>
    <t>Leclercq, Michel;Zimmermann, Peter;Zimmermann, Peter;Van Zomeren, Adriaan H;Van Zomeren, Adriaan H</t>
  </si>
  <si>
    <t>BF321 -- .A675 2005eb</t>
  </si>
  <si>
    <t>Mixing Methods in Psychology : The Integration of Qualitative and Quantitative Methods in Theory and Practice</t>
  </si>
  <si>
    <t>Todd, Zazie;Nerlich, Brigitte;McKeown, Suzanne;Clarke, David D.</t>
  </si>
  <si>
    <t>BF76.5.M59 2004eb</t>
  </si>
  <si>
    <t>150/.7/2</t>
  </si>
  <si>
    <t>Gorman, Philip</t>
  </si>
  <si>
    <t>BF503.G67</t>
  </si>
  <si>
    <t>Hague, Cliff;Jenkins, Paul</t>
  </si>
  <si>
    <t>RTPI Library Series</t>
  </si>
  <si>
    <t>HT166</t>
  </si>
  <si>
    <t>307.1/2/094</t>
  </si>
  <si>
    <t>Youth Soccer : From Science to Performance</t>
  </si>
  <si>
    <t>Reilly, Thomas;Richardson, Dave;Stratton, Gareth;Williams, A. Mark</t>
  </si>
  <si>
    <t>GV943.9.T7</t>
  </si>
  <si>
    <t>Soccer for children - Coaching</t>
  </si>
  <si>
    <t>The Imaginary : A Phenomenological Psychology of the Imagination</t>
  </si>
  <si>
    <t>Sartre, Jean-Paul;Elkaim-Sartre, revised by Arlette;Webber, Jonathan</t>
  </si>
  <si>
    <t>BF408 -- .S263 2004eb</t>
  </si>
  <si>
    <t>128/.3</t>
  </si>
  <si>
    <t>Data Analysis and Research for Sport and Exercise Science : A Student Guide</t>
  </si>
  <si>
    <t>Williams, Craig;Wragg, Chris</t>
  </si>
  <si>
    <t>GV558.W53</t>
  </si>
  <si>
    <t>Campbell, Kirsten</t>
  </si>
  <si>
    <t>Transformations Series</t>
  </si>
  <si>
    <t>HQ1190</t>
  </si>
  <si>
    <t>Picturing the Social Landscape : Visual Methods and the Sociological Imagination</t>
  </si>
  <si>
    <t>Knowles, Caroline;Sweetman, Paul;Knowles Carolin,</t>
  </si>
  <si>
    <t>HM500</t>
  </si>
  <si>
    <t>The Justice Motive in Adolescence and Young Adulthood : Origins and Consequences</t>
  </si>
  <si>
    <t>Dalbert, Claudia;Sallay, Hedvig</t>
  </si>
  <si>
    <t>BF724.3 -- .J87 2004eb</t>
  </si>
  <si>
    <t>155.5/1825</t>
  </si>
  <si>
    <t>Justice in adolescence. ; Justice in young adults.</t>
  </si>
  <si>
    <t>Linstead, Alison;Linstead, Stephen</t>
  </si>
  <si>
    <t>Routledge Studies in Business Organizations and Networks Series</t>
  </si>
  <si>
    <t>HD587</t>
  </si>
  <si>
    <t>302.5/4</t>
  </si>
  <si>
    <t>Social Science; Business/Management</t>
  </si>
  <si>
    <t>Attention, Perception and Memory : An Integrated Introduction</t>
  </si>
  <si>
    <t>Styles, Elizabeth</t>
  </si>
  <si>
    <t>BF311 -- .S78 2005eb</t>
  </si>
  <si>
    <t>Fiedler, Klaus;Walther, Eva</t>
  </si>
  <si>
    <t>European Monographs in Social Psychology Series</t>
  </si>
  <si>
    <t>BF323.S63 -- F54 2004eb</t>
  </si>
  <si>
    <t>303.3/85/072</t>
  </si>
  <si>
    <t>Stereotypes (Social psychology) ; Hypothesis. ; Social sciences -- Research -- Methodology.</t>
  </si>
  <si>
    <t>Disaster Mental Health Services : A Primer for Practitioners</t>
  </si>
  <si>
    <t>Myers, Diane;Wee, David</t>
  </si>
  <si>
    <t>Psychosocial Stress Series</t>
  </si>
  <si>
    <t>RA790.5</t>
  </si>
  <si>
    <t>616.85/21</t>
  </si>
  <si>
    <t>Art Therapy for Groups : A Handbook of Themes and Exercises</t>
  </si>
  <si>
    <t>Liebmann, Marian</t>
  </si>
  <si>
    <t>RC489.A7L54 2004eb</t>
  </si>
  <si>
    <t>Dreams and History : The Interpretation of Dreams from Ancient Greece to Modern Psychoanalysis</t>
  </si>
  <si>
    <t>Pick, Daniel;Roper, Lyndal</t>
  </si>
  <si>
    <t>BF1078</t>
  </si>
  <si>
    <t>Eating Disorders : A Parents' Guide, Second Edition</t>
  </si>
  <si>
    <t>Bryant-Waugh, Rachel;Lask, Bryan</t>
  </si>
  <si>
    <t>RJ506.E18 -- B79 2004eb</t>
  </si>
  <si>
    <t>616.85/2600835</t>
  </si>
  <si>
    <t>Eating disorders in children -- Popular works. ; Eating disorders in adolescence -- Popular works.</t>
  </si>
  <si>
    <t>Writing Cures : An Introductory Handbook of Writing in Counselling and Therapy</t>
  </si>
  <si>
    <t>Bolton, Gillie;Howlett, Stephanie;Lago, Colin;Wright, Jeannie K.;MacMillan, Ian</t>
  </si>
  <si>
    <t>RC489.C75 W75 2004eb</t>
  </si>
  <si>
    <t>Creative writing -- Therapeutic use. ; Psychotherapy. ; Counseling.</t>
  </si>
  <si>
    <t>The Cultural Complex : Contemporary Jungian Perspectives on Psyche and Society</t>
  </si>
  <si>
    <t>Singer, Thomas;Kimbles, Samuel L.</t>
  </si>
  <si>
    <t>The Cultural Complex Series</t>
  </si>
  <si>
    <t>Emotion in Social Relations : Cultural, Group, and Interpersonal Processes</t>
  </si>
  <si>
    <t>Parkinson, Brian;Fischer, Agneta H.;Manstead, Antony S. R.</t>
  </si>
  <si>
    <t>HM1033 -- .P37 2005eb</t>
  </si>
  <si>
    <t>Emotions -- Sociological aspects. ; Emotions -- Social aspects. ; Emotions -- Cross-cultural studies. ; Social interaction. ; Social psychology. ; Interpersonal communication.</t>
  </si>
  <si>
    <t>The Psychology of Group Perception : Perceived Variability, Entitativity, and Essentialism</t>
  </si>
  <si>
    <t>Yzerbyt, Vincent;Judd, Charles M.;Corneille, Olivier</t>
  </si>
  <si>
    <t>HM716 -- .P79 2004eb</t>
  </si>
  <si>
    <t>Social groups. ; Psychology.</t>
  </si>
  <si>
    <t>Houghton, George</t>
  </si>
  <si>
    <t>Studies in Cognition Series</t>
  </si>
  <si>
    <t>BF311 -- .C62152 2005eb</t>
  </si>
  <si>
    <t>153/.01</t>
  </si>
  <si>
    <t>Connectionism. ; Cognitive psychology.</t>
  </si>
  <si>
    <t>Bennett, Mark;Sani, Fabio</t>
  </si>
  <si>
    <t>BF723.S24</t>
  </si>
  <si>
    <t>155.4/182</t>
  </si>
  <si>
    <t>The Two of Me : The Rational Outer Me and the Emotional Inner Me</t>
  </si>
  <si>
    <t>Birtchnell, John</t>
  </si>
  <si>
    <t>BF311 -- .B533 2003eb</t>
  </si>
  <si>
    <t>Consciousness. ; Subconsciousness. ; Interpersonal relations. ; Philosophy of mind.</t>
  </si>
  <si>
    <t>Contemporary Perspectives on the Psychology of Attitudes : An Introduction and Overview</t>
  </si>
  <si>
    <t>Haddock, Geoffrey;Maio, Gregory R.</t>
  </si>
  <si>
    <t>BF327 -- .C66 2004eb</t>
  </si>
  <si>
    <t>Edgework : The Sociology of Risk-Taking</t>
  </si>
  <si>
    <t>Lyng, Stephen</t>
  </si>
  <si>
    <t>BF637.R57 -- E34 2005eb</t>
  </si>
  <si>
    <t>Thinking Straight : The Power, Promise and Paradox of Heterosexuality</t>
  </si>
  <si>
    <t>Ingraham, Chrys</t>
  </si>
  <si>
    <t>HQ76.4 -- .T45 2005eb</t>
  </si>
  <si>
    <t>Heterosexuality. ; Heterosexism. ; Social stratification. ; Homophobia. ; Sexual orientation -- Public opinion -- United States.</t>
  </si>
  <si>
    <t>Regulating Sex : The Politics of Intimacy and Identity</t>
  </si>
  <si>
    <t>Bernstein, Elizabeth;Schaffner, Laurie</t>
  </si>
  <si>
    <t>Perspectives on Gender Series</t>
  </si>
  <si>
    <t>HQ23 -- .R43 2005eb</t>
  </si>
  <si>
    <t>Rabbitt, Patrick</t>
  </si>
  <si>
    <t>BF321 -- .M48 1997eb</t>
  </si>
  <si>
    <t>Attention. ; Cognition. ; Aging -- Psychological aspects. ; Memory. ; Neuropsychology. ; Memory disorders in old age. ; Dementia.</t>
  </si>
  <si>
    <t>Memory in Neurodegenerative Disease : Biological, Cognitive, and Clinical Perspectives</t>
  </si>
  <si>
    <t>Tröster, Alexander I.;Tröster, Alexander I.</t>
  </si>
  <si>
    <t>RC394.M46 M52 1998</t>
  </si>
  <si>
    <t>Neural Networks and Psychopathology : Connectionist Models in Practice and Research</t>
  </si>
  <si>
    <t>Stein, Dan J.;Ludik, Jacques</t>
  </si>
  <si>
    <t>RC455.2.D38 N48 1998</t>
  </si>
  <si>
    <t>Death, Hope and Sex : Steps to an Evolutionary Ecology of Mind and Morality</t>
  </si>
  <si>
    <t>Chisholm, James S.</t>
  </si>
  <si>
    <t>BF701 .C55 1999</t>
  </si>
  <si>
    <t>The Brain-Shaped Mind : What the Brain Can Tell Us about the Mind</t>
  </si>
  <si>
    <t>Goldblum, Naomi;Glick, Shifra</t>
  </si>
  <si>
    <t>QP360 .G635 2001</t>
  </si>
  <si>
    <t>Science: Anatomy/Physiology; Science: Biology/Natural History; Science</t>
  </si>
  <si>
    <t>Gibbs, Raymond W.</t>
  </si>
  <si>
    <t>BF463.M4 G53 1999</t>
  </si>
  <si>
    <t>Joffé, Hélène;Joffé, Hélène</t>
  </si>
  <si>
    <t>HM256 .J63 1999</t>
  </si>
  <si>
    <t>Metaphor and Emotion : Language, Culture, and Body in Human Feeling</t>
  </si>
  <si>
    <t>Kövecses, Zoltán;Kövecses, Zoltán</t>
  </si>
  <si>
    <t>Studies in Emotion and Social Interaction Series</t>
  </si>
  <si>
    <t>BF582 .K68 2000</t>
  </si>
  <si>
    <t>Howe, Michael J. A.</t>
  </si>
  <si>
    <t>BF416.A1 -- H68 1999eb</t>
  </si>
  <si>
    <t>153.9/8</t>
  </si>
  <si>
    <t>Genius. ; Genius -- Case studies.</t>
  </si>
  <si>
    <t>Emotion, Social Theory, and Social Structure : A Macrosociological Approach</t>
  </si>
  <si>
    <t>Barbalet, J. M.</t>
  </si>
  <si>
    <t>HM291 .B269 1998</t>
  </si>
  <si>
    <t>Berkowitz, Leonard;Oatley, Keith;Manstead, Antony</t>
  </si>
  <si>
    <t>BF531 .B45 2000</t>
  </si>
  <si>
    <t>Language from the Body : Iconicity and Metaphor in American Sign Language</t>
  </si>
  <si>
    <t>Taub, Sarah F.</t>
  </si>
  <si>
    <t>HV2474 .T38 2001</t>
  </si>
  <si>
    <t>Social Science; Language/Linguistics</t>
  </si>
  <si>
    <t>Stereotypes As Explanations : The Formation of Meaningful Beliefs about Social Groups</t>
  </si>
  <si>
    <t>McGarty, Craig;Yzerbyt, Vincent Y.;Spears, Russell</t>
  </si>
  <si>
    <t>HM1096 .S74 2002</t>
  </si>
  <si>
    <t>303.3/85</t>
  </si>
  <si>
    <t>The Hidden Genius of Emotion : Lifespan Transformations of Personality</t>
  </si>
  <si>
    <t>Magai, Carol;Haviland-Jones, Jeannette;Manstead, Antony</t>
  </si>
  <si>
    <t>BF698.9.E45 M33 2002</t>
  </si>
  <si>
    <t>Stages and Pathways of Drug Involvement : Examining the Gateway Hypothesis</t>
  </si>
  <si>
    <t>Kandel, Denise B.</t>
  </si>
  <si>
    <t>HV5801 .S733 2002</t>
  </si>
  <si>
    <t>Freudian Repression : Conversation Creating the Unconscious</t>
  </si>
  <si>
    <t>Billig, Michael</t>
  </si>
  <si>
    <t>BF175.5.R44 B55 1999</t>
  </si>
  <si>
    <t>154.2/4</t>
  </si>
  <si>
    <t>Starkstein, Sergio E.;Merello, Marcelo</t>
  </si>
  <si>
    <t>RC382 .S72 2002</t>
  </si>
  <si>
    <t>The Recognition and Management of Early Psychosis : A Preventive Approach</t>
  </si>
  <si>
    <t>McGorry, Patrick D.;Jackson, Henry J.;Perris, Carlo</t>
  </si>
  <si>
    <t>RC512 -- .R43 1999eb</t>
  </si>
  <si>
    <t>Sex Differences in Antisocial Behaviour : Conduct Disorder, Delinquency, and Violence in the Dunedin Longitudinal Study</t>
  </si>
  <si>
    <t>Moffitt, Terrie E.;Caspi, Avshalom;Rutter, Michael;Silva, Phil A.;Blumstein, Alfred;Farrington, D. P.</t>
  </si>
  <si>
    <t>Cambridge Studies in Criminology Series</t>
  </si>
  <si>
    <t>RJ506.C5 S49 2001</t>
  </si>
  <si>
    <t>Personality and Dangerousness : Genealogies of Antisocial Personality Disorder</t>
  </si>
  <si>
    <t>McCallum, David</t>
  </si>
  <si>
    <t>RC555 .M28 2001</t>
  </si>
  <si>
    <t>McAdam, Doug;Tarrow, Sidney;Tilly, Charles;McAdam, Douglas</t>
  </si>
  <si>
    <t>Cambridge Studies in Contentious Politics Series</t>
  </si>
  <si>
    <t>HM866 .M23 2001</t>
  </si>
  <si>
    <t>303.48/4</t>
  </si>
  <si>
    <t>The Navigation of Feeling : A Framework for the History of Emotions</t>
  </si>
  <si>
    <t>Reddy, William M.</t>
  </si>
  <si>
    <t>BF531 .R44 2001</t>
  </si>
  <si>
    <t>Voices of Collective Remembering : test</t>
  </si>
  <si>
    <t>Wertsch, James V.</t>
  </si>
  <si>
    <t>BF378.S65 W47 2002</t>
  </si>
  <si>
    <t>901/.9</t>
  </si>
  <si>
    <t>Geography/Travel; Psychology</t>
  </si>
  <si>
    <t>The World's Youth : Adolescence in Eight Regions of the Globe</t>
  </si>
  <si>
    <t>Brown, B. Bradford;Larson, Reed W.;Saraswathi, T. S.;Saraswathi, T. S.</t>
  </si>
  <si>
    <t>HQ796 .W6385 2002</t>
  </si>
  <si>
    <t>Child Rearing in America : Challenges Facing Parents with Young Children</t>
  </si>
  <si>
    <t>Halfon, Neal;McLearn, Kathryn Taaffe;Schuster, Mark A.</t>
  </si>
  <si>
    <t>HQ769 .C4493 2002</t>
  </si>
  <si>
    <t>649/.1/0973</t>
  </si>
  <si>
    <t>Social Science; Home Economics</t>
  </si>
  <si>
    <t>Vangelisti, Anita L.;Reis, Harry T.;Fitzpatrick, Mary Anne</t>
  </si>
  <si>
    <t>Advances in Personal Relationships Series</t>
  </si>
  <si>
    <t>HM1106 .S75 2002</t>
  </si>
  <si>
    <t>Adolescent Sleep Patterns : Biological, Social, and Psychological Influences</t>
  </si>
  <si>
    <t>Carskadon, Mary A.</t>
  </si>
  <si>
    <t>RJ506.5.S55 A364 2002</t>
  </si>
  <si>
    <t>The Culture of Morality : Social Development, Context, and Conflict</t>
  </si>
  <si>
    <t>Turiel, Elliot</t>
  </si>
  <si>
    <t>HM665 .T87 2002</t>
  </si>
  <si>
    <t>Social Action : A Teleological Account</t>
  </si>
  <si>
    <t>Miller, Seumas</t>
  </si>
  <si>
    <t>H61 .M4988 2001</t>
  </si>
  <si>
    <t>Clinical Assessment of Dangerousness : Empirical Contributions</t>
  </si>
  <si>
    <t>Pinard, Georges-Franck;Pagani, Linda</t>
  </si>
  <si>
    <t>RC569.5.V55 C564 2001</t>
  </si>
  <si>
    <t>Perfect, Timothy J.;Schwartz, Bennett L.</t>
  </si>
  <si>
    <t>BF311 -- .A638 2002eb</t>
  </si>
  <si>
    <t>Psychological Investigations : A Clinician's Guide to Social Therapy</t>
  </si>
  <si>
    <t>Holzman, Lois;Mendez, Rafael</t>
  </si>
  <si>
    <t>RC455.4.S6; RC455.4</t>
  </si>
  <si>
    <t>Flam, Helena;King, Debra</t>
  </si>
  <si>
    <t>Routledge Advances in Sociology Series</t>
  </si>
  <si>
    <t>HM881 -- .E66 2005eb</t>
  </si>
  <si>
    <t>Social movements -- Psychological aspects. ; Emotions -- Social aspects. ; Motivation (Psychology) -- Social aspects. ; Social movements -- Cross-cultural studies.</t>
  </si>
  <si>
    <t>Widow to Widow : How the Bereaved Help One Another</t>
  </si>
  <si>
    <t>Silverman, Phyllis R.</t>
  </si>
  <si>
    <t>HQ1058.5.U5 -- S57 2004eb</t>
  </si>
  <si>
    <t>Widows -- United States. ; Widows -- United States -- Psychology. ; Bereavement. ; Self-help groups -- United States.</t>
  </si>
  <si>
    <t>Wilson, John P.;Thomas, Rhiannon Brywnn</t>
  </si>
  <si>
    <t>RC552.T7 -- W557 2004eb</t>
  </si>
  <si>
    <t>616.85/2106</t>
  </si>
  <si>
    <t>Psychic trauma -- Treatment. ; Post-traumatic stress disorder -- Treatment. ; Empathy. ; Psychotherapist and patient.</t>
  </si>
  <si>
    <t>Key Ideas for a Contemporary Psychoanalysis : Misrecognition and Recognition of the Unconscious</t>
  </si>
  <si>
    <t>Green, Andre;Weller, Andrew</t>
  </si>
  <si>
    <t>RC504 -- .G6913 2005eb</t>
  </si>
  <si>
    <t>Becoming Alive : Psychoanalysis and Vitality</t>
  </si>
  <si>
    <t>Lamothe, Ryan</t>
  </si>
  <si>
    <t>BF175.5.T73 -- L36 2005eb</t>
  </si>
  <si>
    <t>Bush, Shane S.;Naugle, Richard I.</t>
  </si>
  <si>
    <t>Studies on Neuropsychology, Development, and Cognition Series</t>
  </si>
  <si>
    <t>QP360 -- .C374 2005eb</t>
  </si>
  <si>
    <t>Neuropsychology -- Philosophy. ; Neuropsychology -- Moral and ethical aspects. ; Neuropsychology -- Case studies.</t>
  </si>
  <si>
    <t>Science; Philosophy; Science: Biology/Natural History</t>
  </si>
  <si>
    <t>Rotterdam</t>
  </si>
  <si>
    <t>Velickov, Slavco</t>
  </si>
  <si>
    <t>Q172.5.C45 V45 2004</t>
  </si>
  <si>
    <t>Chaotic behavior in systems. ; Dynamics. ; Nonlinear theories.</t>
  </si>
  <si>
    <t>Science; Engineering: General; Engineering</t>
  </si>
  <si>
    <t>Sternberg, Robert J.</t>
  </si>
  <si>
    <t>BF431 .S7385 2003</t>
  </si>
  <si>
    <t>Japanese Frames of Mind : Cultural Perspectives on Human Development</t>
  </si>
  <si>
    <t>Shimizu, Hidetada;LeVine, Robert A.</t>
  </si>
  <si>
    <t>BF108.J3 J36 2001</t>
  </si>
  <si>
    <t>155.8/952</t>
  </si>
  <si>
    <t>Paths to Successful Development : Personality in the Life Course</t>
  </si>
  <si>
    <t>Pulkkinen, Lea;Caspi, Avshalom</t>
  </si>
  <si>
    <t>BF723.P4 -- P37 2002eb</t>
  </si>
  <si>
    <t>Conversation analysis. ; Creation (Literary, artistic, etc.) ; Improvisation (Acting)</t>
  </si>
  <si>
    <t>Kutcher, Stan</t>
  </si>
  <si>
    <t>Cambridge Child and Adolescent Psychiatry Series</t>
  </si>
  <si>
    <t>RJ504.7 -- .P685 2002eb</t>
  </si>
  <si>
    <t>Pediatric psychopharmacology. ; Psychotropic drugs.</t>
  </si>
  <si>
    <t>Psychology; Pharmacy; Medicine</t>
  </si>
  <si>
    <t>Understanding Marriage : Developments in the Study of Couple Interaction</t>
  </si>
  <si>
    <t>Noller, Patricia;Feeney, Judith A.</t>
  </si>
  <si>
    <t>HQ728 .U54 2002</t>
  </si>
  <si>
    <t>Tinsley, Barbara J.</t>
  </si>
  <si>
    <t>RA776.9 .T54 2003</t>
  </si>
  <si>
    <t>613/.0432</t>
  </si>
  <si>
    <t>Kelley, Harold H.;Holmes, John G.;Kerr, Norbert L.;Reis, Harry T.;Rusbult, Caryl E.;Van Lange, Paul A. M.</t>
  </si>
  <si>
    <t>HM1106 .A85 2003</t>
  </si>
  <si>
    <t>Pathé, Michele</t>
  </si>
  <si>
    <t>HV6594 .P37 2002</t>
  </si>
  <si>
    <t>Sandberg, Seija</t>
  </si>
  <si>
    <t>RJ506.H9 H97 2002</t>
  </si>
  <si>
    <t>Trimble, Michael;Schmitz, Bettina</t>
  </si>
  <si>
    <t>RC372.5 -- .N475 2002eb</t>
  </si>
  <si>
    <t>Epilepsy -- Psychological aspects. ; Epilepsy -- Chemotherapy -- Complications. ; Neuropsychiatry.</t>
  </si>
  <si>
    <t>The Changing Adolescent Experience : Societal Trends and the Transition to Adulthood</t>
  </si>
  <si>
    <t>Mortimer, Jeylan T.;Larson, Reed W.</t>
  </si>
  <si>
    <t>HQ796 .C4514 2002</t>
  </si>
  <si>
    <t>Youth in Cities : A Cross-National Perspective</t>
  </si>
  <si>
    <t>Tienda, Marta;Wilson, William Julius</t>
  </si>
  <si>
    <t>The Jacobs Foundation Series on Adolescence Series</t>
  </si>
  <si>
    <t>HQ796 .Y5935 2002</t>
  </si>
  <si>
    <t>305.235/09173/2</t>
  </si>
  <si>
    <t>The Imitative Mind : Development, Evolution and Brain Bases</t>
  </si>
  <si>
    <t>Meltzoff, Andrew N.;Prinz, Wolfgang;Butterworth, George;Hatano, Giyoo;Fischer, Kurt W.;Greenfield, Patricia M.;Harris, Paul;Stern, Daniel</t>
  </si>
  <si>
    <t>Cambridge Studies in Cognitive and Perceptual Development Series</t>
  </si>
  <si>
    <t>BF357 .I48 2002</t>
  </si>
  <si>
    <t>156/.3</t>
  </si>
  <si>
    <t>Moerman, Daniel E.</t>
  </si>
  <si>
    <t>Cambridge Studies in Medical Anthropology Series</t>
  </si>
  <si>
    <t>R726.5 .M645 2002</t>
  </si>
  <si>
    <t>Microdevelopment : Transition Processes in Development and Learning</t>
  </si>
  <si>
    <t>Granott, Nira;Parziale, Jim</t>
  </si>
  <si>
    <t>BF721 .M533 2002</t>
  </si>
  <si>
    <t>153.1/5</t>
  </si>
  <si>
    <t>Between Culture and Biology : Perspectives on Ontogenetic Development</t>
  </si>
  <si>
    <t>Keller, Heidi;Poortinga, Ype H.;Schölmerich, Axel</t>
  </si>
  <si>
    <t>BF721 .B4138 2002</t>
  </si>
  <si>
    <t>Playdancing : Discovering and Developing Creativity in Young Children</t>
  </si>
  <si>
    <t>Independent Publishers Group (IPG)</t>
  </si>
  <si>
    <t>Hightstown</t>
  </si>
  <si>
    <t>Fraser, Diane Lynch</t>
  </si>
  <si>
    <t>GV452 -- .L97 1991eb</t>
  </si>
  <si>
    <t>Movement education -- Study and teaching (Preschool) ; Movement education -- Study and teaching (Elementary) ; Dance for children -- Study and teaching (Preschool) ; Dance for children -- Study and teaching (Elementary) ; Creative ability in children.</t>
  </si>
  <si>
    <t>Sport &amp;amp; Recreation; Education</t>
  </si>
  <si>
    <t>Making Place : State Projects, Globalisation and Local Responses in China</t>
  </si>
  <si>
    <t>Feuchtwang, Stephan</t>
  </si>
  <si>
    <t>HN733 -- .M34 2004eb</t>
  </si>
  <si>
    <t>306/.0951</t>
  </si>
  <si>
    <t>Group identity -- China. ; Globalization -- Social aspects -- China. ; Spatial behavior -- China. ; China -- Social conditions.</t>
  </si>
  <si>
    <t>Reclaiming Identity : Realist Theory and the Predicament of Postmodernism</t>
  </si>
  <si>
    <t>Moya, Paula M. L.;Hames-García, Michael R.;Hames-García, Michael R.</t>
  </si>
  <si>
    <t>Group identity. ; Social perception. ; Postmodernism.</t>
  </si>
  <si>
    <t>The Frail Social Body : Pornography, Homosexuality, and Other Fantasies in Interwar France</t>
  </si>
  <si>
    <t>Dean, Carolyn J.</t>
  </si>
  <si>
    <t>Studies on the History of Society and Culture Series</t>
  </si>
  <si>
    <t>HQ472.F8 -- D43 2000eb</t>
  </si>
  <si>
    <t>306.76/6/0944</t>
  </si>
  <si>
    <t>Pornography -- France. ; Homosexuality -- France. ; Sex (Psychology)</t>
  </si>
  <si>
    <t>Speaking the Unspeakable : Religion, Misogyny, and the Uncanny Mother in Freud's Cultural Texts</t>
  </si>
  <si>
    <t>Jonte-Pace, Diane;Jonte-Pace, Diane</t>
  </si>
  <si>
    <t>Freud, Sigmund,-1856-1939. ; Psychoanalysis and religion. ; Feminist psychology.</t>
  </si>
  <si>
    <t>Religion; Social Science; Psychology</t>
  </si>
  <si>
    <t>Hanging Out in the Virtual Pub : Masculinities and Relationships Online</t>
  </si>
  <si>
    <t>Kendall, Lori</t>
  </si>
  <si>
    <t>HM851 -- .K46 2002eb</t>
  </si>
  <si>
    <t>303.48/33</t>
  </si>
  <si>
    <t>Internet -- Social aspects. ; Multi-user dungeons -- Social aspects. ; Social interaction. ; Interpersonal relations. ; Men -- Identity. ; Masculinity.</t>
  </si>
  <si>
    <t>Bodies Out of Bounds : Fatness and Transgression</t>
  </si>
  <si>
    <t>Braziel, Jana Evans;LeBesco, Kathleen</t>
  </si>
  <si>
    <t>RC552.O25 -- B63 2001eb</t>
  </si>
  <si>
    <t>616.3/98/0019</t>
  </si>
  <si>
    <t>Body image -- Social aspects -- Miscellanea. ; Discrimination against overweight persons -- Miscellanea. ; Obesity -- Social aspects -- Miscellanea. ; Overweight women -- Social aspects -- Miscellanea. ; Physical-appearance-based bias -- Miscellanea.</t>
  </si>
  <si>
    <t>Inside the American Couple : New Thinking, New Challenges</t>
  </si>
  <si>
    <t>Yalom, Marilyn;Carstensen, Laura;Freedman, Estelle;Gulpi, Barbara</t>
  </si>
  <si>
    <t>Couples -- United States. ; Interpersonal relations -- United States.</t>
  </si>
  <si>
    <t>Flesh Wounds : The Culture of Cosmetic Surgery</t>
  </si>
  <si>
    <t>Blum, Virginia</t>
  </si>
  <si>
    <t>617.9/5</t>
  </si>
  <si>
    <t>Surgery, Plastic-Social aspects. ; Surgery, Plastic-Psychological aspects.</t>
  </si>
  <si>
    <t>Venus on Wheels : Two Decades of Dialogue on Disability, Biography, and Being Female in America</t>
  </si>
  <si>
    <t>Frank, Gelya</t>
  </si>
  <si>
    <t>HV3021.W66 -- F73 2000eb</t>
  </si>
  <si>
    <t>362.4/3/092 B</t>
  </si>
  <si>
    <t>DeVries, Diane. ; Women with disabilities -- United States -- Social conditions. ; Women with disabilities -- United States -- Biography. ; People with disabilities -- United States -- Psychology. ; Sociology of disability -- United States. ; Discrimination against people with disabilities -- United States.</t>
  </si>
  <si>
    <t>High Anxieties : Cultural Studies in Addiction</t>
  </si>
  <si>
    <t>Brodie, Janet;Redfield, Marc</t>
  </si>
  <si>
    <t>HV4998$b.H54 2002</t>
  </si>
  <si>
    <t>394.1/4</t>
  </si>
  <si>
    <t>Alcoholism in literature. ; Alcoholism in motion pictures. ; Drugs and literature. ; Drugs and motion pictures. ; Substance abuse-Social aspects. ; Virtual reality-Social aspects.</t>
  </si>
  <si>
    <t>Aureli, Filippo;Waal, F. B. M. de</t>
  </si>
  <si>
    <t>HM1136 -- .N37 2000eb</t>
  </si>
  <si>
    <t>303.6/9</t>
  </si>
  <si>
    <t>Conflict management.</t>
  </si>
  <si>
    <t>Customers and Patrons of the Mad-Trade : The Management of Lunacy in Eighteenth-Century London</t>
  </si>
  <si>
    <t>Andrews, Jonathan;Scull, Andrew</t>
  </si>
  <si>
    <t>Medicine and Society Series</t>
  </si>
  <si>
    <t>RC450.G7$b.A645 2002</t>
  </si>
  <si>
    <t>Monro, John,-1715-1791. ; Psychiatrists-England-Biography. ; Psychiatry-England-History-18th century. ; Mentally ill-England-Case studies.</t>
  </si>
  <si>
    <t>Elsevier Inc.</t>
  </si>
  <si>
    <t>Fine, Aubrey H.;Kotkin, Ronald A.;Fine, Aubrey H.;Kotkin, Ronald A.</t>
  </si>
  <si>
    <t>Issn Series</t>
  </si>
  <si>
    <t>649/.154</t>
  </si>
  <si>
    <t>Neuhoff, John</t>
  </si>
  <si>
    <t>152.1/5</t>
  </si>
  <si>
    <t>Oyiborhoro, John</t>
  </si>
  <si>
    <t>Creativity Across Domains : Faces of the Muse</t>
  </si>
  <si>
    <t>Kaufman, James C.;Baer, John</t>
  </si>
  <si>
    <t>BF408 -- .C693 2005eb</t>
  </si>
  <si>
    <t>153.3/5</t>
  </si>
  <si>
    <t>Creative ability. ; Creative thinking.</t>
  </si>
  <si>
    <t>Putting a New Spin on Groups : The Science of Chaos</t>
  </si>
  <si>
    <t>McClure, Bud A.</t>
  </si>
  <si>
    <t>HM716 -- .M393 2005eb</t>
  </si>
  <si>
    <t>Social groups. ; Social interaction. ; Leadership. ; Chaotic behavior in systems.</t>
  </si>
  <si>
    <t>McNicol, Don</t>
  </si>
  <si>
    <t>BF441 -- .M22 2004eb</t>
  </si>
  <si>
    <t>Signal detection (Psychology) ; Psychometrics.</t>
  </si>
  <si>
    <t>Oskamp, Stuart;Schultz, P. Wesley</t>
  </si>
  <si>
    <t>HM261 -- .O75 2005eb</t>
  </si>
  <si>
    <t>Public opinion. ; Attitude (Psychology) ; Public opinion polls.</t>
  </si>
  <si>
    <t>Young Children's Cognitive Development : Interrelationships among Executive Functioning, Working Memory, Verbal Ability, and Theory of Mind</t>
  </si>
  <si>
    <t>Schneider, Wolfgang;Schumann-Hengsteler, Ruth;Sodian, Beate</t>
  </si>
  <si>
    <t>BF723.C5 -- Y67 2005eb</t>
  </si>
  <si>
    <t>Cognition in children -- Congresses. ; Child psychology -- Congresses.</t>
  </si>
  <si>
    <t>Wills, Andy J.</t>
  </si>
  <si>
    <t>BF319.5.P34 -- N48 2005eb</t>
  </si>
  <si>
    <t>Identity, Formation, Agency, and Culture : A Social Psychological Synthesis</t>
  </si>
  <si>
    <t>Cote, James E.;Levine, Charles G.</t>
  </si>
  <si>
    <t>BF697 -- .C67 2002eb</t>
  </si>
  <si>
    <t>Identity (Psychology) ; Identity (Psychology) -- Social aspects.</t>
  </si>
  <si>
    <t>Developmental Psychology : How Nature and Nurture Interact</t>
  </si>
  <si>
    <t>Richardson, Keith</t>
  </si>
  <si>
    <t>BF713 -- .R525 2000eb</t>
  </si>
  <si>
    <t>Developmental psychology. ; Nature and nurture.</t>
  </si>
  <si>
    <t>Sternberg, Robert J.;Grigorenko, Elena L.</t>
  </si>
  <si>
    <t>BF431 -- .E65 2001eb</t>
  </si>
  <si>
    <t>Intellect. ; Nature and nurture. ; Environmental psychology.</t>
  </si>
  <si>
    <t>Computational, Geometric, and Process Perspectives on Facial Cognition : Contexts and Challenges</t>
  </si>
  <si>
    <t>Wenger, Michael J.;Townsend, James T.</t>
  </si>
  <si>
    <t>Scientific Psychology Series</t>
  </si>
  <si>
    <t>BF242 -- .C66 2001eb</t>
  </si>
  <si>
    <t>Face perception -- Congresses. ; Face perception -- Computer simulation -- Congresses. ; Face perception -- Mathematical models -- Congresses.</t>
  </si>
  <si>
    <t>Statistics in Psychology : An Historical Perspective</t>
  </si>
  <si>
    <t>Cowles, Michael</t>
  </si>
  <si>
    <t>BF39 -- .C67 2001eb</t>
  </si>
  <si>
    <t>150/.7/27</t>
  </si>
  <si>
    <t>Psychology -- Statistical methods -- History. ; Social sciences -- Statistical methods -- History.</t>
  </si>
  <si>
    <t>Inappropriate Relationships : The Unconventional, the Disapproved, and the Forbidden</t>
  </si>
  <si>
    <t>Goodwin, Robin;Cramer, Duncan</t>
  </si>
  <si>
    <t>LEA's Series on Personal Relationships Series</t>
  </si>
  <si>
    <t>The Organization of Behavior : A Neuropsychological Theory</t>
  </si>
  <si>
    <t>Hebb, D. O.</t>
  </si>
  <si>
    <t>BF181 -- .H4 2002eb</t>
  </si>
  <si>
    <t>Bakeman, Roger;Robinson, Byron F.</t>
  </si>
  <si>
    <t>BF39.B325 2005eb</t>
  </si>
  <si>
    <t>Psychology -- Statistical methods -- Textbooks. ; Social sciences -- Statistical methods -- Textbooks. ; Psychometrics -- Textbooks.</t>
  </si>
  <si>
    <t>Geographies of Girlhood : Identities In-Between</t>
  </si>
  <si>
    <t>Bettis, Pamela J.;Adams, Natalie G.</t>
  </si>
  <si>
    <t>Inquiry and Pedagogy Across Diverse Contexts Series</t>
  </si>
  <si>
    <t>HQ777 -- .G46 2005eb</t>
  </si>
  <si>
    <t>305.235/5</t>
  </si>
  <si>
    <t>Girls -- United States -- Social conditions. ; Girls -- United States -- Psychology. ; Teenage girls -- United States. ; Preteens -- United States. ; Identity (Psychology) -- United States.</t>
  </si>
  <si>
    <t>Chamorro-Premuzic, Tomas;Furnham, Adrian</t>
  </si>
  <si>
    <t>BF698.9.I6 -- C55 2005eb</t>
  </si>
  <si>
    <t>Sexual Assault in Context : Teaching College Men about Gender</t>
  </si>
  <si>
    <t>Kilmartin, Christopher;Berkowitz, Alan D.</t>
  </si>
  <si>
    <t>HV6558 -- .K55 2005eb</t>
  </si>
  <si>
    <t>Rape -- Prevention. ; Sex role.</t>
  </si>
  <si>
    <t>Scoring the Rorschach : Seven Validated Systems</t>
  </si>
  <si>
    <t>Bornstein, Robert F.;Masling, Joseph M.</t>
  </si>
  <si>
    <t>Personality and Clinical Psychology Series</t>
  </si>
  <si>
    <t>BF698.8.R5 -- S36 2005eb</t>
  </si>
  <si>
    <t>155.2/842</t>
  </si>
  <si>
    <t>Maximum Influence : The 12 Universal Laws of Power Persuasion</t>
  </si>
  <si>
    <t>Amacom</t>
  </si>
  <si>
    <t>Mortensen, Kurt W.</t>
  </si>
  <si>
    <t>BF637.P4 -- M67 2004eb</t>
  </si>
  <si>
    <t>153.8/52</t>
  </si>
  <si>
    <t>Persuasion (Psychology) ; Influence (Psychology) ; Success -- Psychological aspects.</t>
  </si>
  <si>
    <t>Jung's Legacy And Beyond : Exploring The Relevance Of Archetype Philosophy To Organizational Change</t>
  </si>
  <si>
    <t>Downs, Alexis;Durant, Rita;Eastman, Ken</t>
  </si>
  <si>
    <t>BF175 -- .J86 2002eb</t>
  </si>
  <si>
    <t>Jungian psychology. ; Organizational change.</t>
  </si>
  <si>
    <t>Freud : A Very Short Introduction</t>
  </si>
  <si>
    <t>Storr, Anthony</t>
  </si>
  <si>
    <t>Very Short Introductions</t>
  </si>
  <si>
    <t>BF173 -- .S836 2001eb</t>
  </si>
  <si>
    <t>Freud, Sigmund, 1856-1939; Psychoanalysis.</t>
  </si>
  <si>
    <t>Management Of Expatriates : Contemporary Development And Future Challenges</t>
  </si>
  <si>
    <t>Morley, Michael J.;Linehan, Margaret;Scullion, Hugh</t>
  </si>
  <si>
    <t>BF636 -- .M36 2003eb</t>
  </si>
  <si>
    <t>Management. ; Psychology, Applied.</t>
  </si>
  <si>
    <t>Psychology; Business/Management</t>
  </si>
  <si>
    <t>Eisen, Mitchell L.;Quas, Jodi A.;Goodman, Gail S.</t>
  </si>
  <si>
    <t>HV8073 -- .M39 2002eb</t>
  </si>
  <si>
    <t>Criminal investigation. ; Interviewing in law enforcement.</t>
  </si>
  <si>
    <t>Hunt, Earl</t>
  </si>
  <si>
    <t>BF311 -- .H78 2002eb</t>
  </si>
  <si>
    <t>The General Factor of Intelligence : How General Is It?</t>
  </si>
  <si>
    <t>BF433.G45 -- G46 2002eb</t>
  </si>
  <si>
    <t>General factor (Psychology) ; Intellect.</t>
  </si>
  <si>
    <t>Uttal, William R.</t>
  </si>
  <si>
    <t>BF293</t>
  </si>
  <si>
    <t>Form perception. ; Behaviorism (Psychology)</t>
  </si>
  <si>
    <t>Just Living Together : Implications of Cohabitation on Families, Children, and Social Policy</t>
  </si>
  <si>
    <t>Booth, Alan;Crouter, Ann C.;Landale, Nancy S.</t>
  </si>
  <si>
    <t>Penn State University Family Issues Symposia Series</t>
  </si>
  <si>
    <t>HQ803.5</t>
  </si>
  <si>
    <t>Unmarried couples -- Congresses. ; Families -- Congresses. ; Family policy -- Congresses. ; Child development -- Congresses.</t>
  </si>
  <si>
    <t>Bordens, Kenneth S.;Horowitz, Irwin A.</t>
  </si>
  <si>
    <t>HM1033 -- .B67 2002eb</t>
  </si>
  <si>
    <t>Self and Identity : Personal, Social, and Symbolic</t>
  </si>
  <si>
    <t>Kashima, Yoshihisa;Foddy, Margaret;Platow, Michael</t>
  </si>
  <si>
    <t>BF697.S422</t>
  </si>
  <si>
    <t>The Mental Health Professional and the New Technologies : A Handbook for Practice Today</t>
  </si>
  <si>
    <t>Maheu, Marlene M.;Pulier, Myron L.;Wilhelm, Frank H.;McMenamin, Joseph P.;Brown-Connolly, Nancy E.</t>
  </si>
  <si>
    <t>RA790.5 -- .M445 2005eb</t>
  </si>
  <si>
    <t>362.2/0285</t>
  </si>
  <si>
    <t>Carpendale, Jeremy I. M.;Mller, Ulrich</t>
  </si>
  <si>
    <t>303.3/2</t>
  </si>
  <si>
    <t>Social epistemology</t>
  </si>
  <si>
    <t>Strategy Representation : An Analysis of Planning Knowledge</t>
  </si>
  <si>
    <t>Gordon, Andrew S.</t>
  </si>
  <si>
    <t>BF316.6 -- .G67 2004eb</t>
  </si>
  <si>
    <t>Mental representation. ; Planning. ; Reasoning (Psychology)</t>
  </si>
  <si>
    <t>Making Decisions That Matter : How People Face Important Life Choices</t>
  </si>
  <si>
    <t>Galotti, Kathleen M.</t>
  </si>
  <si>
    <t>BF448 -- .G35 2002eb</t>
  </si>
  <si>
    <t>153.8/3</t>
  </si>
  <si>
    <t>Van Evra, Judith</t>
  </si>
  <si>
    <t>HQ784.T4 -- V333 2004eb</t>
  </si>
  <si>
    <t>302.23/45/083</t>
  </si>
  <si>
    <t>Television and children. ; Child development.</t>
  </si>
  <si>
    <t>A Lifetime of Communication : Transformations Through Relational Dialogues</t>
  </si>
  <si>
    <t>Yingling, Julie</t>
  </si>
  <si>
    <t>BF637.C45 -- Y56 2004eb</t>
  </si>
  <si>
    <t>Interpersonal communication -- Textbooks. ; Developmental psychology -- Textbooks.</t>
  </si>
  <si>
    <t>Lightfoot, Cynthia;Chandler, Michael;Lalonde, Chris</t>
  </si>
  <si>
    <t>Jean Piaget Symposia Series</t>
  </si>
  <si>
    <t>BF697 -- .J36 2004eb</t>
  </si>
  <si>
    <t>The Development of the Mediated Mind : Sociocultural Context and Cognitive Development</t>
  </si>
  <si>
    <t>Lucariello, Joan M.;Hudson, Judith A.;Fivush, Robyn;Bauer, Patricia J.</t>
  </si>
  <si>
    <t>BF723.C5 -- D492 2004eb</t>
  </si>
  <si>
    <t>Cognition in children -- Social aspects. ; Cognition and culture.</t>
  </si>
  <si>
    <t>Beyond Knowledge : Extracognitive Aspects of Developing High Ability</t>
  </si>
  <si>
    <t>Shavinina, Larisa V.;Ferrari, Michel;Ferrari, Michel</t>
  </si>
  <si>
    <t>Educational Psychology Series</t>
  </si>
  <si>
    <t>BF412 -- .B44 2003eb</t>
  </si>
  <si>
    <t>Genius. ; Gifted persons. ; Creative ability. ; Creative thinking.</t>
  </si>
  <si>
    <t>Motivation, Emotion, and Cognition : Integrative Perspectives on Intellectual Functioning and Development</t>
  </si>
  <si>
    <t>Dai, David Yun;Sternberg, Robert J.</t>
  </si>
  <si>
    <t>BF431 -- .M72 2004eb</t>
  </si>
  <si>
    <t>Intellect. ; Motivation (Psychology) ; Emotions and cognition.</t>
  </si>
  <si>
    <t>Crawford, Charles;Salmon, Catherine</t>
  </si>
  <si>
    <t>BF698.95 -- .E96 2004eb</t>
  </si>
  <si>
    <t>Kerig, Patricia K.;Baucom, Donald H.;Baucom, Donald H.</t>
  </si>
  <si>
    <t>HQ728 -- .C679 2004eb</t>
  </si>
  <si>
    <t>Married people -- Research -- Methodology. ; Couples -- Research -- Methodology. ; Observation (Psychology) -- Methodology.</t>
  </si>
  <si>
    <t>Dualism : The Original Sin of Cognitivism</t>
  </si>
  <si>
    <t>BF201.U88 2004eb</t>
  </si>
  <si>
    <t>Cognitive psychology -- Philosophy</t>
  </si>
  <si>
    <t>Family Investments in Children's Potential : Resources and Parenting Behaviors That Promote Success</t>
  </si>
  <si>
    <t>Kalil, Ariel;DeLeire, Thomas</t>
  </si>
  <si>
    <t>Monographs in Parenting Series</t>
  </si>
  <si>
    <t>HQ728 -- .F3155 2004eb</t>
  </si>
  <si>
    <t>649/.1</t>
  </si>
  <si>
    <t>Families -- Psychological aspects. ; Families -- Economic aspects. ; Parenting. ; Parent and child. ; Child development. ; Child welfare.</t>
  </si>
  <si>
    <t>Representation, Memory, and Development : Essays in Honor of Jean Mandler</t>
  </si>
  <si>
    <t>Stein, Nancy L.;Bauer, Patricia J.;Rabinowitz, Mitchell;Mandler, George</t>
  </si>
  <si>
    <t>BF723.C5 -- R46 2002eb</t>
  </si>
  <si>
    <t>Cognition in children. ; Mental representation in children. ; Memory in children. ; Child development.</t>
  </si>
  <si>
    <t>The Psychology of Leadership : New Perspectives and Research</t>
  </si>
  <si>
    <t>Messick, David M.;Kramer, Roderick M.</t>
  </si>
  <si>
    <t>Organization and Management Series</t>
  </si>
  <si>
    <t>BF637.L4 -- P79 2005eb</t>
  </si>
  <si>
    <t>158/.4</t>
  </si>
  <si>
    <t>Leadership -- Psychological aspects -- Congresses. ; Psychology.</t>
  </si>
  <si>
    <t>Sex, Love, and Romance in the Mass Media : Analysis and Criticism of Unrealistic Portrayals and Their Influence</t>
  </si>
  <si>
    <t>Galician, Mary-Lou</t>
  </si>
  <si>
    <t>Routledge Communication Series</t>
  </si>
  <si>
    <t>Sex in mass media</t>
  </si>
  <si>
    <t>Psychology's Grand Theorists : How Personal Experiences Shaped Professional Ideas</t>
  </si>
  <si>
    <t>Demorest, Amy P.</t>
  </si>
  <si>
    <t>BF109.A1 -- D45 2004eb</t>
  </si>
  <si>
    <t>Freud, Sigmund, -- 1856-1939. ; Skinner, B. F. -- (Burrhus Frederic), -- 1904-1990. ; Rogers, Carl R. -- (Carl Ransom), -- 1902-1987. ; Psychologists -- Biography. ; Psychologists -- Psychology. ; Psychology -- History.</t>
  </si>
  <si>
    <t>Philippot, Pierre;Feldman, Robert S.</t>
  </si>
  <si>
    <t>BF531 -- .R45 2004eb</t>
  </si>
  <si>
    <t>Emotions. ; Self-control. ; Emotions -- Social aspects.</t>
  </si>
  <si>
    <t>Relational Models Theory : A Contemporary Overview</t>
  </si>
  <si>
    <t>Haslam, Nick</t>
  </si>
  <si>
    <t>HM1106 -- .R442 2004eb</t>
  </si>
  <si>
    <t>Interpersonal relations. ; Interpersonal communication.</t>
  </si>
  <si>
    <t>Optimal Human Being : An Integrated Multi-Level Perspective</t>
  </si>
  <si>
    <t>Sheldon, Kennon M.</t>
  </si>
  <si>
    <t>BF637.S4 -- S517 2004eb</t>
  </si>
  <si>
    <t>Self-actualization (Psychology) ; Personality.</t>
  </si>
  <si>
    <t>Dunn-Rankin, Peter;Knezek, Gerald A.;Wallace, Susan R.;Zhang, Shuqiang</t>
  </si>
  <si>
    <t>BF39.2.S34 -- S33 2004eb</t>
  </si>
  <si>
    <t>Assessing Children's Personal and Social Development : Measuring the Unmeasurable?</t>
  </si>
  <si>
    <t>BUCK, Martin;Burke, Helena;Inman, Sally</t>
  </si>
  <si>
    <t>HQ767.9 -- .A77 1998eb</t>
  </si>
  <si>
    <t>Australia : Nation, Belonging, and Globalization</t>
  </si>
  <si>
    <t>Moran, Anthony</t>
  </si>
  <si>
    <t>Global Realities Series</t>
  </si>
  <si>
    <t>HN843.5.M6</t>
  </si>
  <si>
    <t>303.4/0994</t>
  </si>
  <si>
    <t>Bullying : Effective Strategies for Long-Term Change</t>
  </si>
  <si>
    <t>Arora, Tiny;Sharp, Sonia;Thompson, David</t>
  </si>
  <si>
    <t>School Concerns</t>
  </si>
  <si>
    <t>BF637.B85 -- T46 2002eb</t>
  </si>
  <si>
    <t>Lost Angels : Psychoanalysis and Cinema</t>
  </si>
  <si>
    <t>Lebeau, Vicky</t>
  </si>
  <si>
    <t>PN1995.9.P783 -- L43 1995eb</t>
  </si>
  <si>
    <t>791.4/3/019</t>
  </si>
  <si>
    <t>Motion pictures -- Psychological aspects. ; Psychoanalysis and motion pictures.</t>
  </si>
  <si>
    <t>Fine Arts</t>
  </si>
  <si>
    <t>The Other Freud : Religion, Culture and Psychoanalysis</t>
  </si>
  <si>
    <t>DiCenso, James</t>
  </si>
  <si>
    <t>BF175.4.R44 -- D53 1999eb</t>
  </si>
  <si>
    <t>Burr, Vivien</t>
  </si>
  <si>
    <t>HM1033 -- .B87 2002eb</t>
  </si>
  <si>
    <t>Tracking the White Rabbit : A Subversive View of Modern Culture</t>
  </si>
  <si>
    <t>Cowan, Lyn</t>
  </si>
  <si>
    <t>BF175.4.C84 -- C69 2002eb</t>
  </si>
  <si>
    <t>The Psychology of Parental Control : How Well-Meant Parenting Backfires</t>
  </si>
  <si>
    <t>Grolnick, Wendy S.</t>
  </si>
  <si>
    <t>HQ755.85 -- .G74 2003eb</t>
  </si>
  <si>
    <t>Parent and child -- Psychological aspects. ; Parenting -- Psychological aspects. ; Control (Psychology) ; Parents -- Psychology.</t>
  </si>
  <si>
    <t>Involved Fathering and Men's Adult Development : Provisional Balances</t>
  </si>
  <si>
    <t>Palkovitz, Rob</t>
  </si>
  <si>
    <t>HQ756 -- .P35 2002eb</t>
  </si>
  <si>
    <t>Fathers -- Psychology. ; Fatherhood -- Psychological aspects. ; Parenting -- Psychological aspects. ; Developmental psychology.</t>
  </si>
  <si>
    <t>The Verbal Communication of Emotions : Interdisciplinary Perspectives</t>
  </si>
  <si>
    <t>Fussell, Susan R.</t>
  </si>
  <si>
    <t>BF591 -- .V47 2002eb</t>
  </si>
  <si>
    <t>Expression. ; Emotions.</t>
  </si>
  <si>
    <t>Brna, Paul;Baker, Michael;Stenning, Keith;Tiberghien, Andree</t>
  </si>
  <si>
    <t>LB1033.5 -- .R65 2002eb</t>
  </si>
  <si>
    <t>Communication in education. ; Education -- Simulation methods. ; Models and modelmaking.</t>
  </si>
  <si>
    <t>Nickerson, Raymond S.</t>
  </si>
  <si>
    <t>BF353 -- .N53 2003eb</t>
  </si>
  <si>
    <t>155.9/1</t>
  </si>
  <si>
    <t>Goodson, Felix E.</t>
  </si>
  <si>
    <t>BF701 -- .G62 2003eb</t>
  </si>
  <si>
    <t>International Perspectives on Family Violence and Abuse : A Cognitive Ecological Approach</t>
  </si>
  <si>
    <t>Malley-Morrison, Kathleen</t>
  </si>
  <si>
    <t>HV6626 -- .I58 2004eb</t>
  </si>
  <si>
    <t>362.82/92</t>
  </si>
  <si>
    <t>Family violence. ; Family violence -- Cross-cultural studies.</t>
  </si>
  <si>
    <t>Day, Randal D.;Lamb, Michael E.</t>
  </si>
  <si>
    <t>HQ756 -- .C66 2004eb</t>
  </si>
  <si>
    <t>306.874/2</t>
  </si>
  <si>
    <t>Fathers -- Research -- Congresses. ; Father and child -- Research -- Congresses. ; Families -- Research -- Congresses. ; Family assessment -- Congresses.</t>
  </si>
  <si>
    <t>Omoto, Allen M.;Oskamp, Stuart</t>
  </si>
  <si>
    <t>Claremont Symposium on Applied Social Psychology Series</t>
  </si>
  <si>
    <t>HN49.V64 -- C58 2005eb</t>
  </si>
  <si>
    <t>302/.14</t>
  </si>
  <si>
    <t>Voluntarism. ; Social action. ; Political socialization. ; Civil society.</t>
  </si>
  <si>
    <t>Gershkoff-Stowe, Lisa;Rakison, David H.</t>
  </si>
  <si>
    <t>Carnegie Mellon Symposia on Cognition Series</t>
  </si>
  <si>
    <t>BF723.C27 -- C37 2002eb</t>
  </si>
  <si>
    <t>The Auditory Cortex : A Synthesis of Human and Animal Research</t>
  </si>
  <si>
    <t>Heil, Peter;Scheich, Henning;Budinger, Eike;Konig, Reinhard</t>
  </si>
  <si>
    <t>QP383.15 -- .A93 2005eb</t>
  </si>
  <si>
    <t>The New Population Problem : Why Families in Developed Countries Are Shrinking and What It Means</t>
  </si>
  <si>
    <t>Booth, Alan;Crouter, Ann C.</t>
  </si>
  <si>
    <t>HQ766.5.D44 -- D43 2005eb</t>
  </si>
  <si>
    <t>304.6/3</t>
  </si>
  <si>
    <t>Family size -- Developed countries -- Congresses. ; Fertility, Human -- Developed countries -- Congresses.</t>
  </si>
  <si>
    <t>Peer Prejudice and Discrimination : The Origins of Prejudice</t>
  </si>
  <si>
    <t>Fishbein, Harold D.</t>
  </si>
  <si>
    <t>BF723.P75 -- F57 2002eb</t>
  </si>
  <si>
    <t>Prejudices in children. ; Prejudices. ; Prejudices in children -- Prevention.</t>
  </si>
  <si>
    <t>Laplanche, Jean;Fletcher, John;Thurston, Luke</t>
  </si>
  <si>
    <t>BF173 -- .L234 1999eb</t>
  </si>
  <si>
    <t>Kremer, John;Ogle, Shaun;Trew, Karen;Ogle, Shaun</t>
  </si>
  <si>
    <t>GV605.5.Y6</t>
  </si>
  <si>
    <t>Denis, Michel;Logie, Robert;Cornoldo, Cesare;de Vega, Manuel;EngelKamp, Johannes</t>
  </si>
  <si>
    <t>152.14/2</t>
  </si>
  <si>
    <t>Harbord, Janet;Campbell, Jan</t>
  </si>
  <si>
    <t>BF175.4.C84 -- P77 1998eb</t>
  </si>
  <si>
    <t>Psychology; General Works/Reference</t>
  </si>
  <si>
    <t>A Good Death : Conversations with East Londoners</t>
  </si>
  <si>
    <t>Cullen, Lesley;Young, Michael</t>
  </si>
  <si>
    <t>Terminally ill -- England -- London -- Psychology</t>
  </si>
  <si>
    <t>Health; Medicine</t>
  </si>
  <si>
    <t>The Causes of Exclusion : Home, School and the Development of Young Criminals</t>
  </si>
  <si>
    <t>Cullingford, Cedric</t>
  </si>
  <si>
    <t>HV6035 -- .C85 1999eb</t>
  </si>
  <si>
    <t>Criminal behavior, Prediction of -- Great Britain. ; Alienation (Social psychology) -- Great Britain. ; Social isolation -- Great Britain.</t>
  </si>
  <si>
    <t>Segrin, Chris;Flora, Jeanne</t>
  </si>
  <si>
    <t>HQ728 -- .S373 2005eb</t>
  </si>
  <si>
    <t>Communication in families. ; Interpersonal relations. ; Families -- Research. ; Family assessment. ; Dysfunctional families.</t>
  </si>
  <si>
    <t>Lapsley, Daniel K.;Narvez, Darcia;Narvaez, Darcia</t>
  </si>
  <si>
    <t>BF723.M54 -- M686 2004eb</t>
  </si>
  <si>
    <t>The State of Affairs : Explorations in Infidelity and Commitment</t>
  </si>
  <si>
    <t>Duncombe, Jean;Harrison, Kaeren;Allan, Graham;Marsden, Dennis</t>
  </si>
  <si>
    <t>HQ806 -- .S82 2004eb</t>
  </si>
  <si>
    <t>306.73/6</t>
  </si>
  <si>
    <t>Adultery. ; Commitment (Psychology) ; Marriage. ; Couples.</t>
  </si>
  <si>
    <t>Stevens, Michael J.;Wedding, Danny;Denmark, Florence L.</t>
  </si>
  <si>
    <t>BF121 -- .H2115 2004eb</t>
  </si>
  <si>
    <t>150/.9</t>
  </si>
  <si>
    <t>Psychological Assessment in Clinical Practice : A Pragmatic Guide</t>
  </si>
  <si>
    <t>RC469 -- .P767 2004eb</t>
  </si>
  <si>
    <t>616.89/075</t>
  </si>
  <si>
    <t>Psychodiagnostics. ; Clinical psychology. ; Psychotherapy -- Evaluation.</t>
  </si>
  <si>
    <t>Ashbach, Charles;Schermer, Victor L.;Grotstein, James S</t>
  </si>
  <si>
    <t>BF175.5.O24 -- A83 1994eb</t>
  </si>
  <si>
    <t>Object relations (Psychoanalysis) ; Psychoanalysis. ; Psychotherapy. ; Self. ; Social groups.</t>
  </si>
  <si>
    <t>Frances Tustin : The Borderlands of Autism and Psychosis</t>
  </si>
  <si>
    <t>Spensley, Sheila</t>
  </si>
  <si>
    <t>RC438.6.T8</t>
  </si>
  <si>
    <t>618.92/8982 B</t>
  </si>
  <si>
    <t>Tustin, Frances. ; Autism in children. ; Child analysis. ; Psychoanalysis -- Biography. ; Psychoses in children.</t>
  </si>
  <si>
    <t>Jennings, Sue;Cattanach, Ann;Mitchell, Steve;Chesner, Anna;Meldrum, Brenda;Nfa, Steve Mitchell;Jennings, Sue</t>
  </si>
  <si>
    <t>RC489.P7H3</t>
  </si>
  <si>
    <t>Drama -- Therapeutic use. ; Psychotherapy. ; Role playing -- Therapeutic use.</t>
  </si>
  <si>
    <t>Family Matters : Interfaces Between Child and Adult Mental Health</t>
  </si>
  <si>
    <t>Reder, Peter;McClure, Mike;Jolley, Anthony;Jolley, Anthony;Jolley, Anthony;McClure, Mike</t>
  </si>
  <si>
    <t>RC552.P67 -- F36 2000eb</t>
  </si>
  <si>
    <t>Psychic trauma -- Patients -- Family relationships. ; Families -- Mental health.</t>
  </si>
  <si>
    <t>Beyond Blame : Child Abuse Tragedies Revisited</t>
  </si>
  <si>
    <t>Reder, Peter;Duncan, Sylvia;Gray, Moira</t>
  </si>
  <si>
    <t>HV6626.54.G7 -- R43 1993eb</t>
  </si>
  <si>
    <t>362.7/68/0941</t>
  </si>
  <si>
    <t>Child abuse -- Great Britain -- Case studies. ; Child abuse -- Great Britain.</t>
  </si>
  <si>
    <t>Sandplay: Silent Workshop of the Psyche : Silent Workshop of the Psyche</t>
  </si>
  <si>
    <t>Bradway, Kay;McCoard, Barbara</t>
  </si>
  <si>
    <t>RC489.S25B</t>
  </si>
  <si>
    <t>Thompson, Kenneth</t>
  </si>
  <si>
    <t>Key Ideas Series</t>
  </si>
  <si>
    <t>HM291.T46</t>
  </si>
  <si>
    <t>Business/Management; Social Science</t>
  </si>
  <si>
    <t>Clark, Mary E.</t>
  </si>
  <si>
    <t>GN281 -- .C515 2002eb</t>
  </si>
  <si>
    <t>Philosophy; Science: Biology/Natural History; Science</t>
  </si>
  <si>
    <t>Bierhoff, Hans Werner</t>
  </si>
  <si>
    <t>Social Psychology: a Modular Course Series</t>
  </si>
  <si>
    <t>BF637.H4 -- B54 2002eb</t>
  </si>
  <si>
    <t>Sexuality, Gender and Schooling : Shifting Agendas in Social Learning</t>
  </si>
  <si>
    <t>Kehily, Mary Jane</t>
  </si>
  <si>
    <t>HQ56 -- .K43 2002eb</t>
  </si>
  <si>
    <t>Social Science; Education</t>
  </si>
  <si>
    <t>Raising Our Children to Be Resilient : A Guide to Helping Children Cope with Trauma in Today's World</t>
  </si>
  <si>
    <t>Goldman, Linda</t>
  </si>
  <si>
    <t>RJ502.P55</t>
  </si>
  <si>
    <t>618.92/8521</t>
  </si>
  <si>
    <t>Building, Defending, and Regulating the Self : A Psychological Perspective</t>
  </si>
  <si>
    <t>Tesser, Abraham;Wood, Joanne V.;Stapel, Diederik A.</t>
  </si>
  <si>
    <t>BF697</t>
  </si>
  <si>
    <t>Coping : The Psychology of What Works</t>
  </si>
  <si>
    <t>Snyder, C. R.</t>
  </si>
  <si>
    <t>BF335 -- .C587 1999eb</t>
  </si>
  <si>
    <t>155.2/4</t>
  </si>
  <si>
    <t>Uncommon Sense : The Heretical Nature of Science</t>
  </si>
  <si>
    <t>Cromer, Alan</t>
  </si>
  <si>
    <t>Q125.C86 1995</t>
  </si>
  <si>
    <t>Science -- Philosophy. ; Science -- History. ; Thought and thinking.</t>
  </si>
  <si>
    <t>Science; Science: General</t>
  </si>
  <si>
    <t>Anxiety Disorders in Adults : An Evidence-Based Approach to Psychological Treatment</t>
  </si>
  <si>
    <t>McLean, Peter D.;Woody, Sheila R.</t>
  </si>
  <si>
    <t>Guidebooks in Clinical Psychology Series</t>
  </si>
  <si>
    <t>RC531.M365 2001</t>
  </si>
  <si>
    <t>616.85/223</t>
  </si>
  <si>
    <t>Matsumoto, David</t>
  </si>
  <si>
    <t>GN502.H362 2001</t>
  </si>
  <si>
    <t>Ethnopsychology. ; Personality and culture.</t>
  </si>
  <si>
    <t>In Search of Madness : Schizophrenia and Neuroscience</t>
  </si>
  <si>
    <t>Heinrichs, R. Walter</t>
  </si>
  <si>
    <t>RC514.H434 2001</t>
  </si>
  <si>
    <t>616.89/82</t>
  </si>
  <si>
    <t>Electroshock : Restoring the Mind</t>
  </si>
  <si>
    <t>Oxford University Press (US)</t>
  </si>
  <si>
    <t>Fink, Max</t>
  </si>
  <si>
    <t>RC485 -- .F473 1999eb</t>
  </si>
  <si>
    <t>616.89/122</t>
  </si>
  <si>
    <t>Men and Women in Interaction : Reconsidering the Differences</t>
  </si>
  <si>
    <t>Aries, Elizabeth</t>
  </si>
  <si>
    <t>BF637.C45 -- A79 1996eb</t>
  </si>
  <si>
    <t>Interpersonal communication. ; Sex differences (Psychology) ; Stereotypes (Social psychology) ; Feminist psychology.</t>
  </si>
  <si>
    <t>Stretching the Imagination : Representation and Transformation in Mental Imagery</t>
  </si>
  <si>
    <t>Cornoldi, Cesare;Logie, Robert H.;Brandimonte, Maria A.;Kaufmann, Geir;Reisberg, Daniel</t>
  </si>
  <si>
    <t>Counterpoints: Cognition, Memory, and Language Series</t>
  </si>
  <si>
    <t>BF316.6 -- .S77 1996eb</t>
  </si>
  <si>
    <t>153.3/2</t>
  </si>
  <si>
    <t>Mental representation. ; Perception. ; Imagery (Psychology)</t>
  </si>
  <si>
    <t>Infancy to Early Childhood : Genetic and Environmental Influences on Developmental Change</t>
  </si>
  <si>
    <t>Emde, Robert N.;Hewitt, John K.;Kagan, Jerome</t>
  </si>
  <si>
    <t>BF723.T9T73 2001</t>
  </si>
  <si>
    <t>155.44/4</t>
  </si>
  <si>
    <t>Twins -- Psychology. ; Twins -- Longitudinal studies. ; Nature and nurture -- Longitudinal studies. ; Child psychology. ; Toddlers -- Psychology.</t>
  </si>
  <si>
    <t>Promoting the Health of Adolescents : New Directions for the Twenty-First Century</t>
  </si>
  <si>
    <t>Millstein, Susan G.;Petersen, Anne C.;Nightingale, Elena O.</t>
  </si>
  <si>
    <t>RA564.5 -- .P74 1993eb</t>
  </si>
  <si>
    <t>Teenagers -- Health and hygiene. ; Health behavior in adolescence. ; Health promotion.</t>
  </si>
  <si>
    <t>Ashmore, Richard D.;Jussim, Lee;Wilder, David</t>
  </si>
  <si>
    <t>Rutgers Series on Self and Social Identity Series</t>
  </si>
  <si>
    <t>Volume 3</t>
  </si>
  <si>
    <t>HM753.S6197 2001</t>
  </si>
  <si>
    <t>Group identity. ; Conflict management. ; Ethnic relations.</t>
  </si>
  <si>
    <t>Emmons, Robert A.;McCullough, Michael E.</t>
  </si>
  <si>
    <t>Series in Affective Science Series</t>
  </si>
  <si>
    <t>BF575.G68P79 2004</t>
  </si>
  <si>
    <t xml:space="preserve">Hughes, Jan N.;La Greca, Annette M.;Conoley, Jane Close;La Greca, Annette M. </t>
  </si>
  <si>
    <t>RJ499.3.H3665 2001</t>
  </si>
  <si>
    <t>Child mental health services -- Handbooks, manuals, etc. ; Teenagers -- Mental health services -- Handbooks, manuals, etc.</t>
  </si>
  <si>
    <t>Health; Psychology; Social Science; Medicine</t>
  </si>
  <si>
    <t>Self and Identity : Fundamental Issues</t>
  </si>
  <si>
    <t>Ashmore, Richard D.;Jussim, Lee</t>
  </si>
  <si>
    <t>New Edition</t>
  </si>
  <si>
    <t>BF697 -- .S422 1997eb</t>
  </si>
  <si>
    <t>Information retrieval -- Juvenile literature. ; Research -- Methodology -- Juvenile literature.</t>
  </si>
  <si>
    <t>Forensic Mental Health Assessment : A Casebook</t>
  </si>
  <si>
    <t>Heilbrun, Kirk;Marczyk, Geoffrey;DeMatteo, David</t>
  </si>
  <si>
    <t>RA1148 -- .F553 2002eb</t>
  </si>
  <si>
    <t>Forensic psychology -- Case studies. ; Mentally ill offenders -- Case studies. ; Forensic psychiatry -- Case studies.</t>
  </si>
  <si>
    <t>Coping with Stress : Effective People and Processes</t>
  </si>
  <si>
    <t>BF335.S69 2001</t>
  </si>
  <si>
    <t>Adjustment (Psychology) ; Stress (Psychology)</t>
  </si>
  <si>
    <t>Erikson on Development in Adulthood : New Insights from the Unpublished Papers</t>
  </si>
  <si>
    <t xml:space="preserve">Hoare, Carol Hren;Hoare, Carol H. </t>
  </si>
  <si>
    <t>BF724.5.H59 2002</t>
  </si>
  <si>
    <t>Erikson, Erik H. -- (Erik Homburger), -- 1902-1994. ; Adulthood -- Psychological aspects.</t>
  </si>
  <si>
    <t>Lenzenweger, Mark F.;Haugaard, Jeffery J.</t>
  </si>
  <si>
    <t>RC454.4.F76 1996</t>
  </si>
  <si>
    <t>Mental illness -- Etiology. ; Developmental psychology.</t>
  </si>
  <si>
    <t>DelCarmen-Wiggins, Rebecca;Carter, Alice</t>
  </si>
  <si>
    <t>RJ503.5.H375 2004</t>
  </si>
  <si>
    <t>618.92/89075</t>
  </si>
  <si>
    <t>Mental illness -- Diagnosis. ; Psychodiagnostics. ; Behavioral assessment of children. ; Child psychiatry. ; Infant psychiatry.</t>
  </si>
  <si>
    <t>Davidson, Richard J.;Scherer, Klaus R.;Goldsmith, H. Hill</t>
  </si>
  <si>
    <t>BF511.H35 2003</t>
  </si>
  <si>
    <t>Affect (Psychology) ; Emotions.</t>
  </si>
  <si>
    <t>Bell, Andy</t>
  </si>
  <si>
    <t>BF121 -- .B393 2002eb</t>
  </si>
  <si>
    <t>Growing Points in Developmental Science : An Introduction</t>
  </si>
  <si>
    <t>Hartup, Willard W.;Silbereisen, Rainer K.</t>
  </si>
  <si>
    <t>BF713 -- .G76 2002eb</t>
  </si>
  <si>
    <t>Greenwood, Richard J.;McMillan, Thomas M.;Barnes, Michael P.;Ward, Christopher D.</t>
  </si>
  <si>
    <t>RC350.4 -- .H36 2003eb</t>
  </si>
  <si>
    <t>Nervous system -- Diseases -- Patients -- Rehabilitation -- Handbooks, manuals, etc. ; Nervous system -- Diseases -- Rehabilitation -- Handbooks, manuals, etc.</t>
  </si>
  <si>
    <t>Melancholy and the Critique of Modernity : Soren Kierkegaard's Religious Psychology</t>
  </si>
  <si>
    <t>Ferguson, Harvie</t>
  </si>
  <si>
    <t>B4378.R44 -- F47 1995eb</t>
  </si>
  <si>
    <t>200/.1/9</t>
  </si>
  <si>
    <t>Kierkegaard, Søren, -- 1813-1855. ; Psychology, Religious. ; Melancholy.</t>
  </si>
  <si>
    <t>Philosophy; Religion</t>
  </si>
  <si>
    <t>Psychoanalytic Approaches to Myth : Freud and the Freudians</t>
  </si>
  <si>
    <t>Merkur, Daniel;Segal, Robert A.</t>
  </si>
  <si>
    <t>Theorists of Myth Series</t>
  </si>
  <si>
    <t>BF175.5.M95 -- M47 2005eb</t>
  </si>
  <si>
    <t>Myth -- Psychological aspects. ; Mythology.</t>
  </si>
  <si>
    <t>Sexuality and Society : An Introduction</t>
  </si>
  <si>
    <t>Bhattacharyya, Gargi</t>
  </si>
  <si>
    <t>HQ21 -- .B6185 2002eb</t>
  </si>
  <si>
    <t>Suicide : A Study in Sociology</t>
  </si>
  <si>
    <t>Durkheim, Emile</t>
  </si>
  <si>
    <t>Routledge Classics Series</t>
  </si>
  <si>
    <t>HV6545 -- .D812 1952eb</t>
  </si>
  <si>
    <t>The Importance of Being Understood : Folk Psychology As Ethics</t>
  </si>
  <si>
    <t>Morton, Adam</t>
  </si>
  <si>
    <t>BF637.C45 -- M65 2003eb</t>
  </si>
  <si>
    <t>Working with Substance Misusers : A Guide to Theory and Practice</t>
  </si>
  <si>
    <t>Petersen, Trudi;McBride, Andrew</t>
  </si>
  <si>
    <t>HV4998 -- .W67 2002eb</t>
  </si>
  <si>
    <t>Evolution and Posttraumatic Stress : Disorders of Vigilance and Defence</t>
  </si>
  <si>
    <t>Cantor, Chris</t>
  </si>
  <si>
    <t>RC552.P67 -- C36 2005eb</t>
  </si>
  <si>
    <t>Post-traumatic stress disorder. ; Evolutionary psychology.</t>
  </si>
  <si>
    <t>Getting It Right the First Time : Creating a Healthy Marriage</t>
  </si>
  <si>
    <t>McCarthy, Barry;McCarthy, Emily J.</t>
  </si>
  <si>
    <t>HQ734.M442</t>
  </si>
  <si>
    <t>Implicit Learning and Consciousness : An Empirical, Philosophical and Computational Consensus in the Making</t>
  </si>
  <si>
    <t>Cleeremans, Axel;French, Robert</t>
  </si>
  <si>
    <t>BF319.5.I45 -- F74 2002eb</t>
  </si>
  <si>
    <t>Implicit learning. ; Consciousness.</t>
  </si>
  <si>
    <t>Shell Shock to PTSD : Military Psychiatry from 1900 to the Gulf War</t>
  </si>
  <si>
    <t>Jones, Edgar;Wessely, Simon</t>
  </si>
  <si>
    <t>Maudsley Series</t>
  </si>
  <si>
    <t>UH629 -- .J66 2005eb</t>
  </si>
  <si>
    <t>Military psychiatry -- History. ; Military psychiatry -- Great Britain -- History.</t>
  </si>
  <si>
    <t>Medicine; Military Science</t>
  </si>
  <si>
    <t>Speaking the Unspeakable : The Ethics of Dual Relationships in Counselling and Psychotherapy</t>
  </si>
  <si>
    <t>Gabriel, Lynne</t>
  </si>
  <si>
    <t>BF637.C6 -- G29 2005eb</t>
  </si>
  <si>
    <t>Counselor and client. ; Counselors -- Professional ethics. ; Psychotherapists -- Professional ethics.</t>
  </si>
  <si>
    <t>The Freud Wars : An Introduction to the Philosophy of Psychoanalysis</t>
  </si>
  <si>
    <t>Gomez, Lavinia</t>
  </si>
  <si>
    <t>BF175.G649</t>
  </si>
  <si>
    <t>Where Inner and Outer Worlds Meet : Psychosocial Research in the Tradition of George W Brown</t>
  </si>
  <si>
    <t>Harris, Tirril</t>
  </si>
  <si>
    <t>RC455 -- .W49 2000eb</t>
  </si>
  <si>
    <t>Social psychiatry. ; Depression, Mental -- Etiology. ; Life change events. ; Adjustment (Psychology)</t>
  </si>
  <si>
    <t>Women's Aggressive Fantasies : A Post-Jungian Exploration of Self-Hatred, Love and Agency</t>
  </si>
  <si>
    <t>Austin, Sue</t>
  </si>
  <si>
    <t>HQ1206 -- .A868 2005eb</t>
  </si>
  <si>
    <t>Women -- Psychology. ; Aggressiveness.</t>
  </si>
  <si>
    <t>control of fuddle and flash : A sociological history of the regulation of alcohol and opiates</t>
  </si>
  <si>
    <t>NETHERLANDS, THE</t>
  </si>
  <si>
    <t>Gerritsen, J.-W.</t>
  </si>
  <si>
    <t>HV5101 -- .G4713 2000eb</t>
  </si>
  <si>
    <t>362.291609;363.4</t>
  </si>
  <si>
    <t>Alcoholism -- Economic aspects. ; Alcoholism -- Social aspects. ; Drug addiction -- Economic aspects. ; Drug addiction -- Social aspects.</t>
  </si>
  <si>
    <t>Annabelle Mark</t>
  </si>
  <si>
    <t>Journal of Health Organization and Management</t>
  </si>
  <si>
    <t>RA971 -- .E66 2005eb</t>
  </si>
  <si>
    <t>Emotions. ; Health services administration.</t>
  </si>
  <si>
    <t>Twins - from Fetus to Child : From Fetus to Child</t>
  </si>
  <si>
    <t>Piontelli, Alessandra</t>
  </si>
  <si>
    <t>BF723.T9 -- P56 2002eb</t>
  </si>
  <si>
    <t>Analysing Identity : Cross-Cultural, Societal and Clinical Contexts</t>
  </si>
  <si>
    <t>Weinreich, Peter;Saunderson, Wendy</t>
  </si>
  <si>
    <t>BF697.5.S6</t>
  </si>
  <si>
    <t>Weiss, Lillie</t>
  </si>
  <si>
    <t>RC451.4.P79 -- W35 2004eb</t>
  </si>
  <si>
    <t>Psychiatrists -- Job stress -- Prevention. ; Psychiatrists -- Mental health.</t>
  </si>
  <si>
    <t>Human Development : An Introduction to the Psychodynamics of Growth, Maturity and Ageing</t>
  </si>
  <si>
    <t>Rayner, Eric;Joyce, Angela;Rose, James;Twyman, Mary;Clulow, Christopher</t>
  </si>
  <si>
    <t>BF713 -- .R38 2005eb</t>
  </si>
  <si>
    <t>Maarse, F. J.;Mulder, L. J. M.;Brand, A. N.;Akkerman, A. E.</t>
  </si>
  <si>
    <t>BF39.5 -- .C58 2003eb</t>
  </si>
  <si>
    <t>Psychology, Experimental -- Data processing -- Congresses. ; Psychobiology, Experimental -- Data processing -- Congresses. ; Psychodiagnostics -- Data processing -- Congresses. ; Neuropsychology -- Data processing -- Congresses.</t>
  </si>
  <si>
    <t>Sage Publications (UK)</t>
  </si>
  <si>
    <t>Dryden, Windy;Neenan, Michael</t>
  </si>
  <si>
    <t>Counselling in Action Series</t>
  </si>
  <si>
    <t>Jacobs, Michael</t>
  </si>
  <si>
    <t>Key Figures in Counselling and Psychotherapy Series</t>
  </si>
  <si>
    <t>BF109.F74J33 2003</t>
  </si>
  <si>
    <t>150.19/52/092 B</t>
  </si>
  <si>
    <t>Segal, Julia</t>
  </si>
  <si>
    <t>RC339.52.K43S44 2004</t>
  </si>
  <si>
    <t>362.196/8917</t>
  </si>
  <si>
    <t>Family Therapy : A Constructive Framework</t>
  </si>
  <si>
    <t>Lowe, Roger</t>
  </si>
  <si>
    <t>RC488.5.L69 2004</t>
  </si>
  <si>
    <t>Dryden, Windy;Ellis, Albert</t>
  </si>
  <si>
    <t>RC489.R3D7768 2003</t>
  </si>
  <si>
    <t>Emotion in Social Life : The Lost Heart of Society</t>
  </si>
  <si>
    <t>Layder, Derek</t>
  </si>
  <si>
    <t>HM661.L39 2004</t>
  </si>
  <si>
    <t>Leadership and Power : Identity Processes in Groups and Organizations</t>
  </si>
  <si>
    <t>van Knippenberg, Daan;Hogg, Michael</t>
  </si>
  <si>
    <t>HM1261.L416 2003</t>
  </si>
  <si>
    <t>Leadership. ; Power (Social sciences)</t>
  </si>
  <si>
    <t>SAGE Therapeutic Change Series</t>
  </si>
  <si>
    <t>616.8/9142</t>
  </si>
  <si>
    <t>Rational emotive behavior therapy. ; Cognitive therapy.</t>
  </si>
  <si>
    <t>Counselling Children, Adolescents and Families : A Strengths-Based Approach</t>
  </si>
  <si>
    <t>Sharry, John</t>
  </si>
  <si>
    <t>RJ504.S518 2004</t>
  </si>
  <si>
    <t>618.92/89156</t>
  </si>
  <si>
    <t>Mearns, Dave</t>
  </si>
  <si>
    <t>Developing Counselling Series</t>
  </si>
  <si>
    <t>RC481.M43</t>
  </si>
  <si>
    <t>Working Through Setbacks in Psychotherapy : Crisis, Impasse and Relapse</t>
  </si>
  <si>
    <t>Leiper, Rob;Kent, Rosemary</t>
  </si>
  <si>
    <t>RC489.I45L45 2001</t>
  </si>
  <si>
    <t>Tuffin, Keith</t>
  </si>
  <si>
    <t>HM1033.T84 2005</t>
  </si>
  <si>
    <t>Emotion and Social Theory : Corporeal Reflections on the (Ir) Rational</t>
  </si>
  <si>
    <t>Williams, Simon Johnson</t>
  </si>
  <si>
    <t>BF561.W56 2001</t>
  </si>
  <si>
    <t>Transactional Analysis Approaches to Brief Therapy : What Do You Say Between Saying Hello and Goodbye?</t>
  </si>
  <si>
    <t>Tudor, Keith</t>
  </si>
  <si>
    <t>Brief Therapies Series</t>
  </si>
  <si>
    <t>RC489.T7T695 2002</t>
  </si>
  <si>
    <t>Dance Movement Therapy : A Creative Psychotherapeutic Approach</t>
  </si>
  <si>
    <t>Meekums, Bonnie</t>
  </si>
  <si>
    <t>Creative Therapies in Practice Series</t>
  </si>
  <si>
    <t>RC489.D3M442 2002</t>
  </si>
  <si>
    <t>615.8/5155</t>
  </si>
  <si>
    <t>McDermott, Ian;Jago, Wendy</t>
  </si>
  <si>
    <t>BF637.N46M38 2001</t>
  </si>
  <si>
    <t>158/.9</t>
  </si>
  <si>
    <t>Livingstone Smith, David</t>
  </si>
  <si>
    <t>Counselling and Psychotherapy in Focus Series</t>
  </si>
  <si>
    <t>BF173.S569 2003</t>
  </si>
  <si>
    <t>Augoustinos, Martha;Reynolds, Katherine J.</t>
  </si>
  <si>
    <t>HT1521.U55 2001</t>
  </si>
  <si>
    <t>Rivett, Mark;Street, Eddy</t>
  </si>
  <si>
    <t>RC488.5.R587 2003</t>
  </si>
  <si>
    <t>616.89/156</t>
  </si>
  <si>
    <t>Sugarman, Leonie</t>
  </si>
  <si>
    <t>Professional Skills for Counsellors Series</t>
  </si>
  <si>
    <t>BF637.C6S86 2004</t>
  </si>
  <si>
    <t>Peer Support in Action : From Bystanding to Standing By</t>
  </si>
  <si>
    <t>Cowie, Helen;Wallace, Patti</t>
  </si>
  <si>
    <t>BF637.C6C697 2000</t>
  </si>
  <si>
    <t>371.4/047</t>
  </si>
  <si>
    <t>Orbach, Ann</t>
  </si>
  <si>
    <t>HV1451.O73 2003</t>
  </si>
  <si>
    <t>362.6/6</t>
  </si>
  <si>
    <t>Gergen, Kenneth J.</t>
  </si>
  <si>
    <t>HM1041.G47 2001</t>
  </si>
  <si>
    <t>Sanders, Diana J.;Wills, Frank.</t>
  </si>
  <si>
    <t>Therapy in Practice Series</t>
  </si>
  <si>
    <t>Fransella, Fay;Dalton, Peggy</t>
  </si>
  <si>
    <t>BF698.9.P47F73 2000</t>
  </si>
  <si>
    <t>Wickham, Randall Easton;West, Janet</t>
  </si>
  <si>
    <t>RJ507.S49W53 2002</t>
  </si>
  <si>
    <t>Medicine; Social Science; Psychology</t>
  </si>
  <si>
    <t>Embodying the Monster : Encounters with the Vulnerable Self</t>
  </si>
  <si>
    <t>Shildrick, Margrit</t>
  </si>
  <si>
    <t>Published in Association with Theory, Culture and Society Series</t>
  </si>
  <si>
    <t>BF697.5.B63S54 2002</t>
  </si>
  <si>
    <t>Mullender, Audrey;Hague, Gill;Imam, Umme F.;Kelly, Liz;Malos, Ellen;Regan, Linda</t>
  </si>
  <si>
    <t>HV6626.C475 2002</t>
  </si>
  <si>
    <t>Gask, Linda</t>
  </si>
  <si>
    <t>Short Introductions to the Therapy Professions Series</t>
  </si>
  <si>
    <t>RC454.G365 2004</t>
  </si>
  <si>
    <t>Acute Mental Health Nursing : From Acute Concerns to the Capable Practitioner</t>
  </si>
  <si>
    <t>Harrison, Marc;Mitchell, Damian;Howard, David</t>
  </si>
  <si>
    <t>RC440.A28 2004</t>
  </si>
  <si>
    <t>616.89/0231</t>
  </si>
  <si>
    <t>Houston, Gaie</t>
  </si>
  <si>
    <t>RC489.G4H687 2003</t>
  </si>
  <si>
    <t>616.89/143</t>
  </si>
  <si>
    <t>Marshall, Sue</t>
  </si>
  <si>
    <t>The School of Psychotherapy and Counselling Series</t>
  </si>
  <si>
    <t>RC451.4.M57M377 2004</t>
  </si>
  <si>
    <t>Discrimination in mental health services. ; Psychotherapy. ; Counseling.</t>
  </si>
  <si>
    <t>Kennett, Douglas J.;Winterhalder, Bruce</t>
  </si>
  <si>
    <t>Origins of Human Behavior and Culture Series</t>
  </si>
  <si>
    <t>GN799.A4$bB39 2006</t>
  </si>
  <si>
    <t>306.3/64</t>
  </si>
  <si>
    <t>Agriculture-Origin. ; Agriculture, Prehistoric. ; Human behavior. ; Human ecology. ; Human evolution.</t>
  </si>
  <si>
    <t>History; Social Science</t>
  </si>
  <si>
    <t>Joining Society : Social Interaction and Learning in Adolescence and Youth</t>
  </si>
  <si>
    <t>Perret-Clermont, Anne-Nelly;Pontecorvo, Clotilde;Resnick, Lauren B.;Zittoun, Tania;Burge, Barbara</t>
  </si>
  <si>
    <t>HQ796 \.J5</t>
  </si>
  <si>
    <t>Analyzing Race Talk : Multidisciplinary Perspectives on the Research Interview</t>
  </si>
  <si>
    <t>van den Berg, Harry;Wetherell, Margaret;Houtkoop-Steenstra, Hanneke</t>
  </si>
  <si>
    <t>P95</t>
  </si>
  <si>
    <t>300/.7/23</t>
  </si>
  <si>
    <t>Love Online : Emotions on the Internet</t>
  </si>
  <si>
    <t>Ben-Ze'ev, Aaron</t>
  </si>
  <si>
    <t>HQ801.A3 B46 2004</t>
  </si>
  <si>
    <t>Williams, Angie;Nussbaum, Jon F.</t>
  </si>
  <si>
    <t>Personality As an Affect-Processing System : Toward an Integrative Theory</t>
  </si>
  <si>
    <t>Block, Jack</t>
  </si>
  <si>
    <t>BF698 -- .B545 2002eb</t>
  </si>
  <si>
    <t>Jacobs, Janis E.;Klaczynski, Paul A.</t>
  </si>
  <si>
    <t>BF723.J8 -- D48 2005eb</t>
  </si>
  <si>
    <t>155.4/1383</t>
  </si>
  <si>
    <t>Judgment in children. ; Decision making in children. ; Judgment in adolescence. ; Decision making in adolescence.</t>
  </si>
  <si>
    <t>Interdisciplinary Collaboration : An Emerging Cognitive Science</t>
  </si>
  <si>
    <t>Derry, Sharon J.;Schunn, Christian D.;Gernsbacher, Morton Ann</t>
  </si>
  <si>
    <t>BF311 -- .I556 2005eb</t>
  </si>
  <si>
    <t>Cognitive science. ; Interdisciplinary approach to knowledge.</t>
  </si>
  <si>
    <t>Constructing Measures : An Item Response Modeling Approach</t>
  </si>
  <si>
    <t>Wilson, Mark</t>
  </si>
  <si>
    <t>BF39 -- .W56 2005eb</t>
  </si>
  <si>
    <t>Psychometrics. ; Psychology -- Research -- Methodology.</t>
  </si>
  <si>
    <t>Stafford, Laura</t>
  </si>
  <si>
    <t>HM1106 -- .S753 2005eb</t>
  </si>
  <si>
    <t>Interpersonal relations. ; Long-distance relationships. ; Separation (Psychology)</t>
  </si>
  <si>
    <t>The Dark Side of Relationship Pursuit : From Attraction to Obsession and Stalking</t>
  </si>
  <si>
    <t>Spitzberg, Brian H.;Cupach, William R.;Spitzberg, Brian H.</t>
  </si>
  <si>
    <t>HM1106.C86 2004eb</t>
  </si>
  <si>
    <t>Interpersonal relations. ; Relationship addiction. ; Stalking -- Psychological aspects.</t>
  </si>
  <si>
    <t>Above All, Be Kind : Raising a Humane Child in Challenging Times</t>
  </si>
  <si>
    <t>Open Road Media</t>
  </si>
  <si>
    <t>New Society Publishers, Limited</t>
  </si>
  <si>
    <t>Weil, Zoe</t>
  </si>
  <si>
    <t>649/.7</t>
  </si>
  <si>
    <t>Child rearing -- Moral and ethical aspects. ; Moral development. ; Moral education. ; Parenting.</t>
  </si>
  <si>
    <t>AD,AE,AF,AG,AI,AL,AM,AO,AQ,AR,AS,AT,AU,AW,AX,AZ,BA,BB,BD,BE,BF,BG,BH,BI,BJ,BL,BM,BN,BO,BR,BS,BT,BV,BW,BY,BZ,CA,CC,CD,CF,CG,CH,CI,CK,CL,CM,CN,CO,CR,CU,CV,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T,SV,SY,SZ,TC,TD,TF,TG,TH,TJ,TK,TL,TM,TN,TO,TR,TT,TV,TW,TZ,UA,UG,UM,US,UY,UZ,VA,VC,VE,VG,VI,VN,VU,WF,WS,YE,YT,ZA,ZM,ZW</t>
  </si>
  <si>
    <t>Daughters of the Moon, Sisters of the Sun : Young Women and Mentors on the Transition to Womanhood</t>
  </si>
  <si>
    <t>CoreSource Plus All</t>
  </si>
  <si>
    <t>New Society Publishers</t>
  </si>
  <si>
    <t>Gabriola Island</t>
  </si>
  <si>
    <t>Hughes, K. Wind;Wolf, Linda</t>
  </si>
  <si>
    <t>HQ1229 -- .D2 1997eb</t>
  </si>
  <si>
    <t>Young women -- Case studies. ; Self-perception in women -- Case studies. ; Maturation (Psychology) -- Case studies. ; Role models -- Case studies.</t>
  </si>
  <si>
    <t>BF431 \.I5</t>
  </si>
  <si>
    <t>Greenwood, John D.</t>
  </si>
  <si>
    <t>HM1027.U6 G74 2003</t>
  </si>
  <si>
    <t>302/.0973</t>
  </si>
  <si>
    <t>Gottlieb, Nanette</t>
  </si>
  <si>
    <t>Routledge Contemporary Japan Series</t>
  </si>
  <si>
    <t>PL524.75 -- .G675 2006eb</t>
  </si>
  <si>
    <t>306.44/0952</t>
  </si>
  <si>
    <t>Japanese language -- Social aspects. ; Social perception -- Japan. ; Stereotypes (Social psychology)</t>
  </si>
  <si>
    <t>Language/Linguistics; Social Science</t>
  </si>
  <si>
    <t>Transforming Masculinities : Men, Cultures, Bodies, Power, Sex and Love</t>
  </si>
  <si>
    <t>Seidler, Vic</t>
  </si>
  <si>
    <t>HQ1090 -- .S444 2006eb</t>
  </si>
  <si>
    <t>Men -- Social conditions. ; Men -- Psychology. ; Men -- Identity. ; Masculinity. ; Sex role.</t>
  </si>
  <si>
    <t>Green, André;Kohon, Gregorio</t>
  </si>
  <si>
    <t>Living in the Borderland : The Evolution of Consciousness and the Challenge of Healing Trauma</t>
  </si>
  <si>
    <t>Bernstein, Jerome S.</t>
  </si>
  <si>
    <t>BF175.4.R44 -- B457 2005eb</t>
  </si>
  <si>
    <t>Psychoanalysis and religion. ; Liminality. ; Cerebral dominance. ; Nature.</t>
  </si>
  <si>
    <t>Willats, John</t>
  </si>
  <si>
    <t>BF723.D7 -- W55 2005eb</t>
  </si>
  <si>
    <t>Children's drawings -- Psychological aspects. ; Drawing, Psychology of.</t>
  </si>
  <si>
    <t>The Business of Culture : Strategic Perspectives on Entertainment and Media</t>
  </si>
  <si>
    <t>Lampel, Joseph;Shamsie, Jamal;Lant, Theresa K.</t>
  </si>
  <si>
    <t>306.4/8</t>
  </si>
  <si>
    <t>Culture -- Economic aspects -- Congresses</t>
  </si>
  <si>
    <t>Ethics for Behavior Analysts : A Practical Guide to the Behavior Analyst Certification Board Guidelines for Responsible Conduct</t>
  </si>
  <si>
    <t>Bailey, Jon S.;Burch, Mary R.</t>
  </si>
  <si>
    <t>RC473.B43 -- B355 2005eb</t>
  </si>
  <si>
    <t>Behavioral assessment -- Moral and ethical aspects -- United States -- Handbooks, manuals, etc. ; Behavior analysts -- Professional ethics -- United States -- Handbooks, manuals, etc. ; Behavior analysts -- Certification -- United States -- Handbooks, manuals, etc.</t>
  </si>
  <si>
    <t>Psychology; Medicine; Philosophy</t>
  </si>
  <si>
    <t>Developmental Pathways Through Middle Childhood : Rethinking Contexts and Diversity As Resources</t>
  </si>
  <si>
    <t>Cooper, Catherine R.;Garc¡a Coll, Cynthia T.;Bartko, W. Todd;Davis, Helen M.;Chatman, Celina</t>
  </si>
  <si>
    <t>HQ767.9 -- .D493 2005eb</t>
  </si>
  <si>
    <t>Child development. ; Children -- Social conditions. ; School children. ; Children with social disabilities.</t>
  </si>
  <si>
    <t>Dunn, Dana S.;Chew, Stephen L.</t>
  </si>
  <si>
    <t>BF77 -- .B48 2006eb</t>
  </si>
  <si>
    <t>Kagan, Jerome;Herschkowitz, Norbert</t>
  </si>
  <si>
    <t>BF721 -- .K18 2005eb</t>
  </si>
  <si>
    <t>Sex and Character : An Investigation of Fundamental Principles</t>
  </si>
  <si>
    <t>Weininger, Otto;LÃ¶b, Ladislaus;Marcus, Laura;Marcus, Laura</t>
  </si>
  <si>
    <t>HQ21 -- .W413 2005eb</t>
  </si>
  <si>
    <t>Sex. ; Sexual ethics.</t>
  </si>
  <si>
    <t>Critical Lessons : What Our Schools Should Teach</t>
  </si>
  <si>
    <t>Noddings, Nel</t>
  </si>
  <si>
    <t>BF441 .N63 2006</t>
  </si>
  <si>
    <t>Off Course : Restoring Balance Between Canadian Society and the Environment</t>
  </si>
  <si>
    <t>IDRC</t>
  </si>
  <si>
    <t>CANADA</t>
  </si>
  <si>
    <t>Taylor, Duncan M.</t>
  </si>
  <si>
    <t>GF50 -- .T39 1994eb</t>
  </si>
  <si>
    <t>333.7/2/0971</t>
  </si>
  <si>
    <t>Jung, C. G. -- (Carl Gustav), -- 1875-1961. ; Archetype (Psychology) ; Jungian psychology. ; Self. ; Sociobiology.</t>
  </si>
  <si>
    <t>Economics; Environmental Studies</t>
  </si>
  <si>
    <t>Praag, H. M. van;Kloet, E. R. de;Os, J. van</t>
  </si>
  <si>
    <t>RC537 .P69223 2004</t>
  </si>
  <si>
    <t>Growing Together : Personal Relationships Across the Life Span</t>
  </si>
  <si>
    <t>Lang, Frieder R.;Fingerman, Karen L.;Fitzpatrick, Mary Anne</t>
  </si>
  <si>
    <t>HM1106 .G76 2004</t>
  </si>
  <si>
    <t>Marijuana and Madness : Psychiatry and Neurobiology</t>
  </si>
  <si>
    <t>Castle, David;Murray, Robin</t>
  </si>
  <si>
    <t>RC568.C2 -- M375 2004eb</t>
  </si>
  <si>
    <t>615/.7827</t>
  </si>
  <si>
    <t>Marijuana -- Physiological effect. ; Marijuana -- Psychological aspects. ; Marijuana abuse -- Complications. ; Psychoses -- Etiology. ; Schizophrenia -- Etiology.</t>
  </si>
  <si>
    <t>Psychology; Medicine; Pharmacy</t>
  </si>
  <si>
    <t>Parenting Representations : Theory, Research, and Clinical Implications</t>
  </si>
  <si>
    <t>Mayseless, Ofra;Shantz, Carolyn Uhlinger;Emde, Robert N.;Hartup, Willard W.;Hoffman, Lois;Monks, Franz J.;Maccoby, Eleanor E.;Eisenberg, Nancy;Zahn-Waxler, Carolyn;Parke, Ross D.</t>
  </si>
  <si>
    <t>Cambridge Studies in Social and Emotional Development Series</t>
  </si>
  <si>
    <t>HQ755.8 .P3916 2006</t>
  </si>
  <si>
    <t>Parenting. ; Parents -- Psychology. ; Parents -- Attitudes.</t>
  </si>
  <si>
    <t>Melancholia : The Diagnosis, Pathophysiology and Treatment of Depressive Illness</t>
  </si>
  <si>
    <t>Taylor, Michael Alan;Fink, Max</t>
  </si>
  <si>
    <t>RC537 -- .T39 2006eb</t>
  </si>
  <si>
    <t>Lifespan Development and the Brain : The Perspective of Biocultural Co-Constructivism</t>
  </si>
  <si>
    <t>Baltes, Paul B.;Reuter-Lorenz, Patricia A.;Rösler, Frank</t>
  </si>
  <si>
    <t>QP376 -- .L565 2006eb</t>
  </si>
  <si>
    <t>Change Processes in Relationships : A Relational-Historical Research Approach</t>
  </si>
  <si>
    <t>Fogel, Alan;Garvey, Andrea;Hsu, Hui-Chin;West-Stroming, Delisa</t>
  </si>
  <si>
    <t>BF720.M68 C43 2006</t>
  </si>
  <si>
    <t>Langlands, Rebecca</t>
  </si>
  <si>
    <t>HQ13 .L36 2006</t>
  </si>
  <si>
    <t>Psychological Testing : An Introduction</t>
  </si>
  <si>
    <t>Domino, George;Domino, Marla L.</t>
  </si>
  <si>
    <t>BF176 -- .D65 2006eb</t>
  </si>
  <si>
    <t>150.28/7</t>
  </si>
  <si>
    <t>Alford, C. Fred</t>
  </si>
  <si>
    <t>RC489.R48 A44 2006</t>
  </si>
  <si>
    <t>Touch and Blindness : Psychology and Neuroscience</t>
  </si>
  <si>
    <t>Heller, Morton A.;Ballesteros, Soledad</t>
  </si>
  <si>
    <t>BF275 -- .T685 2006eb</t>
  </si>
  <si>
    <t>Touch -- Psychological aspects. ; Blindness -- Psychological aspects. ; Touch. ; Blindness.</t>
  </si>
  <si>
    <t>Social Motivation, Justice, and the Moral Emotions : An Attributional Approach</t>
  </si>
  <si>
    <t>Weiner, Bernard</t>
  </si>
  <si>
    <t>BF503 -- .W45 2006eb</t>
  </si>
  <si>
    <t>Motivation (Psychology) -- Social aspects. ; Social justice. ; Emotions. ; Attribution (Social psychology)</t>
  </si>
  <si>
    <t>Borders, L. DiAnne;Brown, Lori L.</t>
  </si>
  <si>
    <t>BF637.C6B597 2005eb</t>
  </si>
  <si>
    <t>Disability Research and Policy : Current Perspectives</t>
  </si>
  <si>
    <t>Morris, Richard J.</t>
  </si>
  <si>
    <t>HV1553 -- .D5486 2006eb</t>
  </si>
  <si>
    <t>362.4/0973</t>
  </si>
  <si>
    <t>People with disabilities -- United States. ; People with disabilities -- Research. ; Sociology of disability -- Research. ; People with disabilities -- Government policy -- United States.</t>
  </si>
  <si>
    <t>Morgan, George A.;Gliner, Jeffrey A.;Harmon, Robert J.</t>
  </si>
  <si>
    <t>H62 -- .M645 2006eb</t>
  </si>
  <si>
    <t>300/.72</t>
  </si>
  <si>
    <t>Social sciences -- Research -- Methodology. ; Psychology -- Research -- Methodology. ; Social sciences -- Statistical methods. ; Psychometrics.</t>
  </si>
  <si>
    <t>Understanding Behavior in the Context of Time : Theory, Research, and Application</t>
  </si>
  <si>
    <t>Strathman, Alan;Joireman, Jeff</t>
  </si>
  <si>
    <t>BF468 -- .U53 2005eb</t>
  </si>
  <si>
    <t>153.7/53</t>
  </si>
  <si>
    <t>Time perspective. ; Time perception. ; Psychology -- Research.</t>
  </si>
  <si>
    <t>Gallo, Fred P.</t>
  </si>
  <si>
    <t>Energy psychology. ; Mind and body therapies.</t>
  </si>
  <si>
    <t>Baton Rouge</t>
  </si>
  <si>
    <t>Strentz, Thomas</t>
  </si>
  <si>
    <t>HV6595 -- .S77 2006eb</t>
  </si>
  <si>
    <t>IOS Press</t>
  </si>
  <si>
    <t>Silverstone, T.</t>
  </si>
  <si>
    <t>Biomedical and Health Research Series</t>
  </si>
  <si>
    <t>RC552.E18 S55 2005</t>
  </si>
  <si>
    <t>616.85/26</t>
  </si>
  <si>
    <t>Eating disorders. ; Obesity. ; Psychotropic drugs.</t>
  </si>
  <si>
    <t>Developing Strategies to Deal with Trauma in Children : A Means of Ensuring Conflict Prevention, Security and Social Stability. Case Study: 12-15-Year-Olds in Serbia</t>
  </si>
  <si>
    <t>Donnelly, J.;Kovacova, A.;Osofsky, J.</t>
  </si>
  <si>
    <t>NATO Security Through Science Series - e: Human and Societal Dynamics Series</t>
  </si>
  <si>
    <t>RJ506.P55 N38 2005</t>
  </si>
  <si>
    <t>Post-traumatic stress disorder in children-Treatment. ; Psychic trauma in children-Treatment. ; Stress in children-Treatment.</t>
  </si>
  <si>
    <t>Friedman, M. J.;Mikus-Kos, A.</t>
  </si>
  <si>
    <t>HQ784.W3 N38 2005</t>
  </si>
  <si>
    <t>Post-traumatic stress disorder in children-Social aspects-Congresses. ; Psychic trauma in children-Social aspects-Congresses. ; Victims of terrorism-Psychology-Congresses.</t>
  </si>
  <si>
    <t>Social Science; Medicine</t>
  </si>
  <si>
    <t>Roy, M. J.</t>
  </si>
  <si>
    <t>RC552.P67 N38 2006</t>
  </si>
  <si>
    <t>Post-traumatic stress disorder-Treatment-Congresses. ; Anxiety disorders-Treatment-Congresses.</t>
  </si>
  <si>
    <t>Rapley, Mark</t>
  </si>
  <si>
    <t>HV3004.R36</t>
  </si>
  <si>
    <t>Employees -- Training of. ; Occupational training.</t>
  </si>
  <si>
    <t>Out of Options : A Cognitive Model of Adolescent Suicide and Risk-Taking</t>
  </si>
  <si>
    <t>Sofronoff, Kate;Dalgleish, Len;Kosky, Robert</t>
  </si>
  <si>
    <t>HV6546 .S59 2005</t>
  </si>
  <si>
    <t>362.28/0835</t>
  </si>
  <si>
    <t>Marneros, Andreas;Pillmann, Frank</t>
  </si>
  <si>
    <t>RC512 .M366 2004</t>
  </si>
  <si>
    <t>Measuring Intelligence : Facts and Fallacies</t>
  </si>
  <si>
    <t>Bartholomew, David J.</t>
  </si>
  <si>
    <t>BF431 .B352 2004</t>
  </si>
  <si>
    <t>153.9/3</t>
  </si>
  <si>
    <t>Armstrong-Coster, Angela</t>
  </si>
  <si>
    <t>RC262 \.A7</t>
  </si>
  <si>
    <t>Medicine; Social Science; Health</t>
  </si>
  <si>
    <t>Designing and Conducting Health Systems Research Projects : Volume I:Proposal Development and Fieldwork</t>
  </si>
  <si>
    <t>Corlien M. Varkevisser;Indra Pathmanathan;Ann Brownlee</t>
  </si>
  <si>
    <t>RA440.85 -- V375 2003eb</t>
  </si>
  <si>
    <t>362.1/0727</t>
  </si>
  <si>
    <t>Weight loss. ; Weight loss -- Psychological aspects.</t>
  </si>
  <si>
    <t>Beauty Up : Exploring Contemporary Japanese Body Aesthetics</t>
  </si>
  <si>
    <t>Miller, Laura</t>
  </si>
  <si>
    <t>306.4/0952</t>
  </si>
  <si>
    <t>Human body-Social aspects-Japan. ; Beauty, Personal-Japan. ; Beauty culture-Japan. ; Body image-Japan. ; Philosophy, Japanese. ; Japan-Social life and customs.</t>
  </si>
  <si>
    <t>Heart Disease : Environment, Stress and Gender</t>
  </si>
  <si>
    <t>Kopp, M.S.;Kristenson, M.;Weidner, G.</t>
  </si>
  <si>
    <t>RC685.C6 -- H437 2002eb</t>
  </si>
  <si>
    <t>614.5/9123</t>
  </si>
  <si>
    <t>Coronary heart disease -- Environmental aspects. ; Coronary heart disease -- Epidemiology. ; Coronary heart disease -- Sex differences. ; Stress (Physiology) ; Stress (Psychology)</t>
  </si>
  <si>
    <t>Multi-Problem Violent Youth : A Foundation for Comparative Research on Needs, Interventions and Outcomes</t>
  </si>
  <si>
    <t>Corrado, R.R.;Gierowski, J.K.;Hart, S.D.;Gierowski, J.K.</t>
  </si>
  <si>
    <t>HV9069 -- .M88 2002eb</t>
  </si>
  <si>
    <t>Juvenile delinquents -- Congresses. ; Violence in adolescence -- Congresses. ; Violence in children -- Congresses. ; Problem youth -- Psychology -- Congresses. ; Deviant behavior -- Research -- Cross-cultural studies -- Congresses. ; Juvenile delinquency -- Prevention -- Congresses.</t>
  </si>
  <si>
    <t>Gender Differences in Mathematics : An Integrative Psychological Approach</t>
  </si>
  <si>
    <t>Gallagher, Ann M.;Kaufman, James C.</t>
  </si>
  <si>
    <t>QA27.5.G47</t>
  </si>
  <si>
    <t>Mathematics</t>
  </si>
  <si>
    <t>Appeal and Attitude : Prospects for Ultimate Meaning</t>
  </si>
  <si>
    <t>Smith, Steven G.</t>
  </si>
  <si>
    <t>BD435 -- .S722 2005eb</t>
  </si>
  <si>
    <t>128/.4</t>
  </si>
  <si>
    <t>Values. ; Attention. ; Attitude (Psychology) ; Philosophical theology.</t>
  </si>
  <si>
    <t>Bloomsbury Publishing US</t>
  </si>
  <si>
    <t>L'Abate, Luciano;Snyder, Douglas K.</t>
  </si>
  <si>
    <t>RC489.W75 -- D57 2001eb</t>
  </si>
  <si>
    <t>Written communication -- Therapeutic use. ; Psychotherapy -- Computer-assisted instruction.</t>
  </si>
  <si>
    <t>Bloomsbury Publishing USA</t>
  </si>
  <si>
    <t>Praeger</t>
  </si>
  <si>
    <t>Riding, Richard;Rayner, Stephen</t>
  </si>
  <si>
    <t>International Perspectives on Individual Differences Series</t>
  </si>
  <si>
    <t>BF724.3.S36S38 2001</t>
  </si>
  <si>
    <t>155.5/182</t>
  </si>
  <si>
    <t>Self-esteem in adolescence</t>
  </si>
  <si>
    <t>AD,AE,AF,AG,AI,AL,AM,AO,AQ,AR,AS,AT,AU,AW,AX,AZ,BA,BB,BD,BE,BF,BG,BH,BI,BJ,BL,BM,BN,BO,BQ,BR,BS,BT,BV,BW,BY,BZ,CA,CC,CD,CF,CG,CH,CI,CK,CL,CM,CN,CO,CR,CU,CV,CW,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S,ST,SV,SX,SY,SZ,TC,TD,TF,TG,TH,TJ,TK,TL,TM,TN,TO,TR,TT,TV,TW,TZ,UA,UG,UM,US,UY,UZ,VA,VC,VE,VG,VI,VN,VU,WF,WS,YE,YT,ZA,ZM,ZW</t>
  </si>
  <si>
    <t>Collaborative Cognition : Children Negotiating Ways of Knowing</t>
  </si>
  <si>
    <t>Bearison, David J.;Dorval, Bruce</t>
  </si>
  <si>
    <t>Advances in Discourse Processes Series</t>
  </si>
  <si>
    <t>BF723.C5B638 2002</t>
  </si>
  <si>
    <t>New Directions in Progressive Relaxation Training : A Guidebook for Helping Professionals</t>
  </si>
  <si>
    <t>Bernstein, Douglas;Borkovec, Thomas D.;Hazlett-Stevens, Holly;Hazlett-Stevens, Holly;Hazlett-Stevens, Holly</t>
  </si>
  <si>
    <t>RC489.R45 -- B47 2000eb</t>
  </si>
  <si>
    <t>615.8/043</t>
  </si>
  <si>
    <t>The Death of Psychotherapy : From Freud to Alien Abductions</t>
  </si>
  <si>
    <t>Eisner, Donald A.;Dineen, Tana</t>
  </si>
  <si>
    <t>RC480.5.E365 2000</t>
  </si>
  <si>
    <t>Psychotherapy -- Evaluation. ; Psychotherapy -- Philosophy.</t>
  </si>
  <si>
    <t>Qualitative Research Methods for Psychologists : Introduction Through Empirical Studies</t>
  </si>
  <si>
    <t>Burlington</t>
  </si>
  <si>
    <t>Fischer, Constance T.</t>
  </si>
  <si>
    <t>BF76.5.Q35 2006</t>
  </si>
  <si>
    <t>150/.72</t>
  </si>
  <si>
    <t>Psychology -- Research -- Methodology. ; Qualitative research.</t>
  </si>
  <si>
    <t>Comstock, George;Scharrer, Erica</t>
  </si>
  <si>
    <t>JA85.C677 2005</t>
  </si>
  <si>
    <t>320/.01/4</t>
  </si>
  <si>
    <t>Mass media -- Political aspects</t>
  </si>
  <si>
    <t>Phye, Gary D.;Pickering, Susan J.</t>
  </si>
  <si>
    <t>BF378.S54W675 2006</t>
  </si>
  <si>
    <t>155.4/1313</t>
  </si>
  <si>
    <t>Short-term memory. ; Child development. ; Cognition in children. ; Memory in children.</t>
  </si>
  <si>
    <t>Early Intervention for Autism Spectrum Disorders : A Critical Analysis</t>
  </si>
  <si>
    <t>Matson, Johnny L.;Minshawi, Noha F.</t>
  </si>
  <si>
    <t>Volume 1</t>
  </si>
  <si>
    <t>RC553.A88.M36 2006</t>
  </si>
  <si>
    <t>618.92/85882</t>
  </si>
  <si>
    <t>Autism--Treatment. Autism in children--Treatment. Autism--therapy. Child.</t>
  </si>
  <si>
    <t>Competition and Variation in Natural Languages : The Case for Case</t>
  </si>
  <si>
    <t>Amberber, Mengistu;de Hoop, Helen</t>
  </si>
  <si>
    <t>P240.6.C65 2005</t>
  </si>
  <si>
    <t>Grammar, Comparative and general -- Case. ; Cognitive science.</t>
  </si>
  <si>
    <t>Language/Linguistics</t>
  </si>
  <si>
    <t>Rassin, Eric</t>
  </si>
  <si>
    <t>RC533.R358 2005</t>
  </si>
  <si>
    <t>The Psychology of Lust Murder : Paraphilia, Sexual Killing, and Serial Homicide</t>
  </si>
  <si>
    <t>Purcell, Catherine;Arrigo, Bruce A.</t>
  </si>
  <si>
    <t>HV6556.P87 2006</t>
  </si>
  <si>
    <t>364.152/3019</t>
  </si>
  <si>
    <t>Sex crimes -- Psychological aspects. ; Psychosexual disorders. ; Serial murderers -- Psychology. ; Criminal psychology.</t>
  </si>
  <si>
    <t>Cohen, Henri;Lefebvre, Claire</t>
  </si>
  <si>
    <t>BF445.H36 2005</t>
  </si>
  <si>
    <t>Morris, Richard G. M.;Tarassenko, Lionel;Kenward, Michael</t>
  </si>
  <si>
    <t>Q335.5.C64 2006</t>
  </si>
  <si>
    <t>Cognitive science. ; Neural networks (Computer science) ; Neural networks (Neurobiology)</t>
  </si>
  <si>
    <t>Computer Science/IT; Science</t>
  </si>
  <si>
    <t>Mental Models and the Mind : Current Developments in Cognitive Psychology, Neuroscience and Philosophy of Mind</t>
  </si>
  <si>
    <t>North Holland</t>
  </si>
  <si>
    <t>Held, Carsten;Vosgerau, Gottfried M-GV;Knauff, Markus</t>
  </si>
  <si>
    <t>Volume 138</t>
  </si>
  <si>
    <t>BF201.M45 2006</t>
  </si>
  <si>
    <t>A Crisis of Meaning : How Gay Men Are Making Sense of AIDS</t>
  </si>
  <si>
    <t>Schwartzberg, Steven</t>
  </si>
  <si>
    <t>RC607.A26 -- S377 1996eb</t>
  </si>
  <si>
    <t>362.1/969792/0086642</t>
  </si>
  <si>
    <t>AIDS (Disease) -- Psychological aspects. ; Gay men -- Diseases. ; Adjustment (Psychology)</t>
  </si>
  <si>
    <t>Shorter, Edward</t>
  </si>
  <si>
    <t>RC438.S53 2005</t>
  </si>
  <si>
    <t>A Life Worth Living : Contributions to Positive Psychology</t>
  </si>
  <si>
    <t>Csikszentmihalyi, Mihaly;Csikszentmihalyi, Isabella Selega</t>
  </si>
  <si>
    <t>Series in Positive Psychology Series</t>
  </si>
  <si>
    <t>BF204.6.L54 2006</t>
  </si>
  <si>
    <t>Dohrenwend, Bruce P.</t>
  </si>
  <si>
    <t>RC455.4.S87A39 1998</t>
  </si>
  <si>
    <t>616.89/071</t>
  </si>
  <si>
    <t>Mental illness -- Etiology. ; Psychology, Pathological -- Etiology. ; Stress (Physiology) ; Stress (Psychology) ; Suffering.</t>
  </si>
  <si>
    <t>Beutler, Larry E.;Bongar, Bruce;Shurkin, Joel N.</t>
  </si>
  <si>
    <t>RC480.515 -- .B48 1998eb</t>
  </si>
  <si>
    <t>Davidson, Richard J.</t>
  </si>
  <si>
    <t>RC531.W575 1995</t>
  </si>
  <si>
    <t>Anxiety -- Congresses. ; Depression, Mental -- Congresses. ; Emotions -- Congresses.</t>
  </si>
  <si>
    <t>Shneidman, Edwin S.;Collins, Judy</t>
  </si>
  <si>
    <t>RC569.S468 2004</t>
  </si>
  <si>
    <t>616.85/844509</t>
  </si>
  <si>
    <t>Suicide -- Case studies. ; Psychological autopsy.</t>
  </si>
  <si>
    <t>CA,US</t>
  </si>
  <si>
    <t>Awakening Children's Minds : How Parents and Teachers Can Make a Difference</t>
  </si>
  <si>
    <t>Berk, Laura E.;Berk, Laura E.</t>
  </si>
  <si>
    <t>HQ767.9.B465 2004</t>
  </si>
  <si>
    <t>Child development. ; Socialization. ; Early childhood education -- Parent participation. ; Parenting.</t>
  </si>
  <si>
    <t>Bad Boys, Bad Men : Confronting Antisocial Personality Disorder</t>
  </si>
  <si>
    <t>Black, Donald W.;Larson, C. Lindon</t>
  </si>
  <si>
    <t>RC555.B555 1999</t>
  </si>
  <si>
    <t>Antisocial personality disorders. ; Men -- Mental health.</t>
  </si>
  <si>
    <t>Becoming Ecological : An Expedition into Community Psychology</t>
  </si>
  <si>
    <t>Kelly, James G.</t>
  </si>
  <si>
    <t>RA790.55 -- .K455 2006eb</t>
  </si>
  <si>
    <t>362.2/2</t>
  </si>
  <si>
    <t>Brain Organization and Memory : Cells, Systems, and Circuits</t>
  </si>
  <si>
    <t>McGaugh, James L.;Weinberger, Norman M.;Lynch, Gary</t>
  </si>
  <si>
    <t>QP406 -- .B735 1990eb</t>
  </si>
  <si>
    <t>153.1;153.12;612.82</t>
  </si>
  <si>
    <t>Elijah -- (Biblical prophet) ; Bible. -- O.T. -- Kings, 1st -- History and criticism. ; Bible. -- O.T. -- Kings, 1st -- Outlines, syllabi, etc. ; Theology.</t>
  </si>
  <si>
    <t>Science; Psychology; Science: Biology/Natural History; Science: Anatomy/Physiology</t>
  </si>
  <si>
    <t>Breaking Robert's Rules : The New Way to Run Your Meeting, Build Consensus, and Get Results</t>
  </si>
  <si>
    <t>Susskind, Lawrence E.;Cruikshank, Jeffrey L.</t>
  </si>
  <si>
    <t>HM746.S877 2006</t>
  </si>
  <si>
    <t>General Works/Reference; Social Science</t>
  </si>
  <si>
    <t>Care and Commitment : Taking the Personal Point of View</t>
  </si>
  <si>
    <t>Blustein, Jeffrey</t>
  </si>
  <si>
    <t>BJ1475 -- .B57 1991eb</t>
  </si>
  <si>
    <t>179/.9</t>
  </si>
  <si>
    <t>Caring. ; Integrity. ; Intimacy (Psychology)</t>
  </si>
  <si>
    <t>Children at Play : Clinical and Developmental Approaches to Meaning and Representation</t>
  </si>
  <si>
    <t>Slade, Arietta;Wolf, Dennie Palmer</t>
  </si>
  <si>
    <t>BF717.C425 1999</t>
  </si>
  <si>
    <t>Symbolic play. ; Symbolism (Psychology) in children. ; Cognition in children.</t>
  </si>
  <si>
    <t>Lane, Richard D.;Nadel, Lynn;Ahern, Geoffrey</t>
  </si>
  <si>
    <t>BF531.C55 2000</t>
  </si>
  <si>
    <t>Emotions and cognition. ; Psychophysiology.</t>
  </si>
  <si>
    <t>Computers, Phones, and the Internet : Domesticating Information Technology</t>
  </si>
  <si>
    <t>Kraut, Robert;Brynin, Malcolm;Kiesler, Sara;Kiesler, Sara</t>
  </si>
  <si>
    <t>Human Technology Interaction Series</t>
  </si>
  <si>
    <t>HM851 -- .C665 2006eb</t>
  </si>
  <si>
    <t>Information society. ; Information technology -- Social aspects. ; Technological innovations -- Social aspects.</t>
  </si>
  <si>
    <t>Connectionism : Theory and Practice</t>
  </si>
  <si>
    <t>Davis, Steven</t>
  </si>
  <si>
    <t>c NDCS t New Directions in Cognitive Science Series</t>
  </si>
  <si>
    <t>Vol. 3</t>
  </si>
  <si>
    <t>BF311.C6215 1992</t>
  </si>
  <si>
    <t>Connectionism -- Congresses. ; Cognition -- Congresses.</t>
  </si>
  <si>
    <t>Lazarus, Richard S.;Lazarus, Bernice N.</t>
  </si>
  <si>
    <t>HQ1061.L39 2006</t>
  </si>
  <si>
    <t>Older people. ; Adjustment (Psychology) in old age. ; Aging -- Psychological aspects.</t>
  </si>
  <si>
    <t>Culture in Mind : Cognition, Culture, and the Problem of Meaning</t>
  </si>
  <si>
    <t>Shore, Bradd</t>
  </si>
  <si>
    <t>GN502 -- .S49 1996eb</t>
  </si>
  <si>
    <t>Ethnopsychology. ; Cognition and culture. ; Social perception. ; Symbolic anthropology.</t>
  </si>
  <si>
    <t>Emergency Department Treatment of the Psychiatric Patient : Policy Issues and Legal Requirements</t>
  </si>
  <si>
    <t>Stefan, Susan</t>
  </si>
  <si>
    <t>American Psychology-Law Society Series</t>
  </si>
  <si>
    <t>RC480.5.S667 2006</t>
  </si>
  <si>
    <t>Medicine; Health; Social Science; Psychology</t>
  </si>
  <si>
    <t>Emerging Minds : The Process of Change in Children's Thinking</t>
  </si>
  <si>
    <t>Siegler, Robert S.</t>
  </si>
  <si>
    <t>BF723.C5 S53 1996eb</t>
  </si>
  <si>
    <t>Enhancing Sexuality : A Problem-Solving Approach Therapist Guide</t>
  </si>
  <si>
    <t>Wincze, John P.;Barlow, David H.</t>
  </si>
  <si>
    <t>RC557 -- .W562 1997eb</t>
  </si>
  <si>
    <t>Sex therapy. ; Sexual disorders.</t>
  </si>
  <si>
    <t>Environment, Cognition, and Action : An Integrated Approach</t>
  </si>
  <si>
    <t>Garling, Tommy;Evans, Gary W.</t>
  </si>
  <si>
    <t>BF353 -- .E489 1991eb</t>
  </si>
  <si>
    <t>Environmental psychology. ; Psychology.</t>
  </si>
  <si>
    <t>Lakin, Martin</t>
  </si>
  <si>
    <t>RC455.2.E8 L35 1988</t>
  </si>
  <si>
    <t>Psychotherapists -- Professional ethics -- Moral and ethical aspects. ; Professional ethics.</t>
  </si>
  <si>
    <t>Medicine; Psychology; Philosophy</t>
  </si>
  <si>
    <t>Ethics and Research with Children : A Case-Based Approach</t>
  </si>
  <si>
    <t>Kodish, Eric;Kodish, Eric</t>
  </si>
  <si>
    <t>RJ47.E839 2005</t>
  </si>
  <si>
    <t>Pediatrics -- Moral and ethical aspects. ; Medical ethics -- Case studies. ; Children -- Diseases -- Treatment -- Moral and ethical aspects.</t>
  </si>
  <si>
    <t>Philosophy; Medicine</t>
  </si>
  <si>
    <t>Fears, Phobias and Rituals : Panic, Anxiety, and Their Disorders</t>
  </si>
  <si>
    <t>Marks, Isaac</t>
  </si>
  <si>
    <t>RC535 -- .M373 1987eb</t>
  </si>
  <si>
    <t>Fear. ; Anxiety. ; Panic disorders. ; Psychology, Comparative. ; Comparative psychiatry.</t>
  </si>
  <si>
    <t>Foundations of Evidence-Based Social Work Practice : Process and Practice in Action</t>
  </si>
  <si>
    <t>Roberts, Albert R.;Yeager, Kenneth R.</t>
  </si>
  <si>
    <t>HV689.F68 2006</t>
  </si>
  <si>
    <t>Evidence-based social work. ; Human services -- Research -- Methodology. ; Psychiatric social work.</t>
  </si>
  <si>
    <t>Architecture; Social Science</t>
  </si>
  <si>
    <t>Fractured Minds : A Case-Study Approach to Clinical Neuropsychology</t>
  </si>
  <si>
    <t>Ogden, Jenni A.;Ogden, Jenni A.</t>
  </si>
  <si>
    <t>RC359.O36 2005</t>
  </si>
  <si>
    <t>Richardson, John T. E.;Caplan, Paula J.;Crawford, Mary;Hyde, Janet Shibley;Richardson, John T. E.</t>
  </si>
  <si>
    <t>BF311.G445</t>
  </si>
  <si>
    <t>155.3/3</t>
  </si>
  <si>
    <t xml:space="preserve">Beutler, Larry E.;Clarkin, John;Bongar, Bruce;Bongar, Bruce </t>
  </si>
  <si>
    <t>RC537.B485 2000</t>
  </si>
  <si>
    <t>616.85/2706</t>
  </si>
  <si>
    <t>Depression, Mental -- Treatment. ; Depressed persons -- Rehabilitation.</t>
  </si>
  <si>
    <t>Hoare, Carol;Hoare, Carol</t>
  </si>
  <si>
    <t>BF724.5.H365 2006</t>
  </si>
  <si>
    <t>Adulthood -- Psychological aspects.;Learning, Psychology of.;Adult learning.; ; ; ; ;</t>
  </si>
  <si>
    <t>Holland, Norman N.</t>
  </si>
  <si>
    <t>PN56.P92H59 1990</t>
  </si>
  <si>
    <t>150.19/5/0202</t>
  </si>
  <si>
    <t>Psychoanalysis -- Outlines, syllabi, etc. ; Psychoanalysis and literature -- Outlines, syllabi, etc.</t>
  </si>
  <si>
    <t>Vyverberg, Henry</t>
  </si>
  <si>
    <t>B1925.E5V93 1989</t>
  </si>
  <si>
    <t>Enlightenment. ; Ethnopsychology -- History -- 18th century. ; France -- Intellectual life -- 18th century.</t>
  </si>
  <si>
    <t>Hypochondriasis : Modern Perspectives on an Ancient Malady</t>
  </si>
  <si>
    <t xml:space="preserve">Starcevic, Vladan;Lipsitt, Don R.;Starcevic, Vladen ;Lipsitt, Don R. </t>
  </si>
  <si>
    <t>RC552.H8H97 2001</t>
  </si>
  <si>
    <t>616.85/25</t>
  </si>
  <si>
    <t>Hypochondria. ; Psychology, Pathological.</t>
  </si>
  <si>
    <t>Intellectual Disability : Understanding Its Development, Causes, Classification, Evaluation, and Treatment</t>
  </si>
  <si>
    <t>Harris, James C.;Harris, James C.</t>
  </si>
  <si>
    <t>Developmental Perspectives in Psychiatry Series</t>
  </si>
  <si>
    <t>RC570.H373 2006</t>
  </si>
  <si>
    <t>616.85/88</t>
  </si>
  <si>
    <t>Intellectual disability. ; Developmental disabilities.</t>
  </si>
  <si>
    <t>Leary, Mark R.</t>
  </si>
  <si>
    <t>BF575.R35I58 2001</t>
  </si>
  <si>
    <t>Rejection (Psychology) ; Psychology.</t>
  </si>
  <si>
    <t>Judgments over Time : The Interplay of Thoughts, Feelings, and Behaviors</t>
  </si>
  <si>
    <t>Sanna, Lawrence J.;Chang, Edward C.</t>
  </si>
  <si>
    <t>BF468.J83 2006</t>
  </si>
  <si>
    <t>Time -- Psychological aspects. ; Thought and thinking. ; Emotions. ; Human behavior.</t>
  </si>
  <si>
    <t>Kitcher, Patricia;Kitcher, Patricia</t>
  </si>
  <si>
    <t>BF311 -- .K57 1990eb</t>
  </si>
  <si>
    <t>128/.092</t>
  </si>
  <si>
    <t>Kant, Immanuel, -- 1724-1804. -- Kritik der reinen Vernunft. ; Cognition.</t>
  </si>
  <si>
    <t>Asistencia humanitaria en caso de desastres : Guía para proveer ayuda eficaz</t>
  </si>
  <si>
    <t>Pan American Health Organization (PAHO)</t>
  </si>
  <si>
    <t>HV553 .A857 2000</t>
  </si>
  <si>
    <t>Humanitarian assistance. ; Disaster relief-Psychological aspects.</t>
  </si>
  <si>
    <t>Nock, Steven L.</t>
  </si>
  <si>
    <t>HQ1090.3.N63 1998</t>
  </si>
  <si>
    <t>Men -- United States -- Attitudes. ; Men -- United States -- Psychology. ; Husbands -- United States -- Attitudes. ; Husbands -- United States -- Psychology. ; Masculinity -- United States. ; Marriage -- United States.</t>
  </si>
  <si>
    <t>Mastery of Your Anxiety and Worry (MAW) : Therapist Guide</t>
  </si>
  <si>
    <t>Zinbarg, Richard E.;Craske, Michelle G.;Barlow, David H.;Zinbarg, Richard E.</t>
  </si>
  <si>
    <t>Treatments That Work Series</t>
  </si>
  <si>
    <t>RC531.C73 2006</t>
  </si>
  <si>
    <t>Measuring Stress : A Guide for Health and Social Scientists</t>
  </si>
  <si>
    <t>Cohen, Sheldon;Kessler, Ronald C.;Gordon, Lynn Underwood</t>
  </si>
  <si>
    <t>E446.F67 2009</t>
  </si>
  <si>
    <t>616.9/8</t>
  </si>
  <si>
    <t>Stress (Psychology) -- Measurement. ; Stress (Physiology) -- Measurement. ; Medicine, Psychosomatic -- Research -- Methodology.</t>
  </si>
  <si>
    <t>Medicine; History</t>
  </si>
  <si>
    <t>Squire, Larry R.;Squire, Professor of Psychiatry Larry R</t>
  </si>
  <si>
    <t>BF371.S68 1987</t>
  </si>
  <si>
    <t>Memory -- Physiological aspects. ; Brain.</t>
  </si>
  <si>
    <t>Memory for Action : A Distinct Form of Episodic Memory?</t>
  </si>
  <si>
    <t>Zimmer, Hubert D.;Cohen, Ronald L.;Guynn, Melissa J.;Engelkamp, Johannes;Kormi-Nouri, Reza;Foley, Mary Ann</t>
  </si>
  <si>
    <t>BF371 -- .M4485 2001eb</t>
  </si>
  <si>
    <t>Memory in Oral Traditions : The Cognitive Psychology of Epic, Ballads, and Counting-Out Rhymes</t>
  </si>
  <si>
    <t>Rubin, David C.</t>
  </si>
  <si>
    <t>GR67 -- .R83 1995eb</t>
  </si>
  <si>
    <t>153.1/33</t>
  </si>
  <si>
    <t>Oral tradition. ; Memory. ; Counting-out rhymes -- History and criticism. ; Ballads -- North Carolina -- History and criticism. ; Epic literature -- History and criticism.</t>
  </si>
  <si>
    <t>Minds on Trial : Great Cases in Law and Psychology</t>
  </si>
  <si>
    <t>Ewing, Charles Patrick;McCann, Joseph T.</t>
  </si>
  <si>
    <t>KF8965.A7E95 2006</t>
  </si>
  <si>
    <t>614/.15</t>
  </si>
  <si>
    <t>Forensic psychology -- United States -- Cases. ; Forensic psychiatry -- United States -- Cases. ; Insanity (Law) -- United States -- Cases.</t>
  </si>
  <si>
    <t>Law; Medicine; Health</t>
  </si>
  <si>
    <t>de Vega, Manuel;Intons-Peterson, Margaret Jean;Johnson-Laird, Philip N.;Denis, Michel;Marschark, Marc</t>
  </si>
  <si>
    <t>BF316.6 -- .M63 1996eb</t>
  </si>
  <si>
    <t>153.7/52</t>
  </si>
  <si>
    <t>Mental representation. ; Space perception. ; Imagery (Psychology)</t>
  </si>
  <si>
    <t>Neurodevelopmental Disorders : Diagnosis and Treatment</t>
  </si>
  <si>
    <t>Hagerman, Randi Jenssen</t>
  </si>
  <si>
    <t>RJ506.D47 -- H34 1999eb</t>
  </si>
  <si>
    <t>618.92/8</t>
  </si>
  <si>
    <t>Developmental disabilities. ; Pediatric neuropsychology. ; Developmental neurobiology. ; Cognitive neuroscience.</t>
  </si>
  <si>
    <t>Raskin, Sarah A.;Mateer, Catherine A.</t>
  </si>
  <si>
    <t>RC387.5 -- .R37 2000eb</t>
  </si>
  <si>
    <t>Brain damage -- Patients -- Rehabilitation. ; Clinical neuropsychology.</t>
  </si>
  <si>
    <t>Notebooks of the Mind : Explorations of Thinking</t>
  </si>
  <si>
    <t>John-Steiner, Vera</t>
  </si>
  <si>
    <t>BF408 -- .J5 1997eb</t>
  </si>
  <si>
    <t>Creative thinking. ; Creation (Literary, artistic, etc.)</t>
  </si>
  <si>
    <t>On Desire : Why We Want What We Want</t>
  </si>
  <si>
    <t>Irvine, William B.;Douglas, Kevin S.;Irvine, William B.</t>
  </si>
  <si>
    <t>BF575.D4I78 2006</t>
  </si>
  <si>
    <t>Oral Traditions of Anuta : A Polynesian Outlier in the Solomon Islands</t>
  </si>
  <si>
    <t>Feinberg, Richard</t>
  </si>
  <si>
    <t>GR385.S6 -- F45 1998eb</t>
  </si>
  <si>
    <t>398/.099593</t>
  </si>
  <si>
    <t>Alternative medicine. ; Psychiatry.</t>
  </si>
  <si>
    <t>Out of Touch : When Parents and Children Lose Contact after Divorce</t>
  </si>
  <si>
    <t>Greif, Geoffrey L.</t>
  </si>
  <si>
    <t>HQ777.5.G74 1997</t>
  </si>
  <si>
    <t>Children of divorced parents -- Psychology. ; Children of divorced parents. ; Divorce -- Psychological aspects.</t>
  </si>
  <si>
    <t>Overcoming the Trauma of Your Motor Vehicle Accident : A Cognitive-Behavioral Treatment Program</t>
  </si>
  <si>
    <t>Hickling, Edward J.;Blanchard, Edward B.</t>
  </si>
  <si>
    <t>RC1045.P78H532 2006</t>
  </si>
  <si>
    <t>Traffic accident victims -- Rehabilitation -- Problems, exercises, etc. ; Cognitive therapy -- Problems, exercises, etc. ; Traffic accidents -- Psychological aspects.</t>
  </si>
  <si>
    <t>Hickling, Edward J.;Blanchard, Edward B.;Blanchard, Edward B.;Hickling, Edward J.</t>
  </si>
  <si>
    <t>RC1045.P78H53 2006</t>
  </si>
  <si>
    <t>Traffic accident victims -- Rehabilitation -- Problems, exercises, etc. ; Post-traumatic stress disorder -- Treatment -- Problems, exercises, etc. ; Cognitive therapy -- Problems, exercises, etc. ; Traffic accidents -- Psychological aspects.</t>
  </si>
  <si>
    <t>Overcoming Your Alcohol or Drug Problem : Effective Recovery Strategies</t>
  </si>
  <si>
    <t>Daley, Dennis C.;Marlatt, G. Alan;Marlatt, G. Alan</t>
  </si>
  <si>
    <t>HV4998.D352 2006</t>
  </si>
  <si>
    <t>616.86/06</t>
  </si>
  <si>
    <t>Medicine; Social Science</t>
  </si>
  <si>
    <t>HV4998.D35 2006</t>
  </si>
  <si>
    <t>Recovering addicts -- Counseling of -- Handbooks, manuals, etc. ; Substance abuse -- Treatment -- Handbooks, manuals, etc. ; Substance abuse.</t>
  </si>
  <si>
    <t>Passion and Reason : Making Sense of Our Emotions</t>
  </si>
  <si>
    <t>BF561.L38 1994</t>
  </si>
  <si>
    <t>Adjustment (Psychology) ; Affect (Psychology) ; Emotions.</t>
  </si>
  <si>
    <t>Play = Learning : How Play Motivates and Enhances Children's Cognitive and Social-Emotional Growth</t>
  </si>
  <si>
    <t>Singer, Dorothy;Michnick Golinkoff, Roberta;Hirsh-Pasek, Kathy;Singer, Dorothy</t>
  </si>
  <si>
    <t>BF717.P578 2006</t>
  </si>
  <si>
    <t>Play. ; Play -- Psychological aspects. ; Play -- Social aspects.</t>
  </si>
  <si>
    <t>Prigatano, George P.</t>
  </si>
  <si>
    <t>RC387.5.P754 1999</t>
  </si>
  <si>
    <t>616.8/043</t>
  </si>
  <si>
    <t>Problems of Vision : Rethinking the Causal Theory of Perception</t>
  </si>
  <si>
    <t>Vision, Gerald</t>
  </si>
  <si>
    <t>BD214 -- .V57 1997eb</t>
  </si>
  <si>
    <t>121.3/5</t>
  </si>
  <si>
    <t>Perception. ; Sense (Philosophy) ; Visual perception. ; Senses and sensation.</t>
  </si>
  <si>
    <t>Croyle, Robert T.</t>
  </si>
  <si>
    <t>RA427.5 -- .P79 1995eb</t>
  </si>
  <si>
    <t>Medical screening -- Psychological aspects. ; Medical screening -- Social aspects. ; Health risk communication -- Psychological aspects. ; Health risk communication -- Social aspects.</t>
  </si>
  <si>
    <t>Psychotherapy for Children and Adolescents : Directions for Research and Practice</t>
  </si>
  <si>
    <t>RJ504.K373 2000</t>
  </si>
  <si>
    <t>Adolescent psychotherapy -- Research -- Methodology. ; Child psychotherapy -- Research -- Methodology.</t>
  </si>
  <si>
    <t>Relations of Language and Thought : The View from Sign Language and Deaf Children</t>
  </si>
  <si>
    <t>Marschark, Marc;Siple, Patricia;Lillo-Martin, Diane;Campbell, Ruth;Everhart, Victoria S.</t>
  </si>
  <si>
    <t>HV2391.R45</t>
  </si>
  <si>
    <t>306.4/4/0871</t>
  </si>
  <si>
    <t>Schumaker, John F.</t>
  </si>
  <si>
    <t>BL53 -- .R435 1992eb</t>
  </si>
  <si>
    <t>Mental health -- Religious aspects. ; Psychology, Religious.</t>
  </si>
  <si>
    <t>Religion in Psychodynamic Perspective : The Contributions of Paul W. Pruyser</t>
  </si>
  <si>
    <t>Pruyser, P. W.;Malony, H. Newton;Spilka, Bernard;Malony, H. Newton</t>
  </si>
  <si>
    <t>BR110 -- .P74 1991eb</t>
  </si>
  <si>
    <t>Christianity -- Psychology. ; Psychoanalysis and religion.</t>
  </si>
  <si>
    <t>Revising Herself : The Story of Women's Identity from College to Midlife</t>
  </si>
  <si>
    <t>Josselson, Ruthellen</t>
  </si>
  <si>
    <t>HQ1206 -- .J682 1998eb</t>
  </si>
  <si>
    <t>Women -- United States -- Psychology -- Longitudinal studies. ; Women -- United States -- Identity -- Longitudinal studies. ; Identity (Psychology) -- United States -- Longitudinal studies.</t>
  </si>
  <si>
    <t>Jenkin, Michael R. M.;Harris, Laurence R.;Jenkin, Michael</t>
  </si>
  <si>
    <t>QP492.S44 2006</t>
  </si>
  <si>
    <t>Form perception. ; Space perception.</t>
  </si>
  <si>
    <t>Psychology; Science; Science: Biology/Natural History</t>
  </si>
  <si>
    <t>Self Expressions : Mind, Morals, and the Meaning of Life</t>
  </si>
  <si>
    <t>Flanagan, Owen</t>
  </si>
  <si>
    <t>Philosophy of Mind Series</t>
  </si>
  <si>
    <t>BF697 .F575 1998eb</t>
  </si>
  <si>
    <t>Sex, Religion, and the Making of Modern Madness : The Eberbach Asylum and German Society, 1815-1849</t>
  </si>
  <si>
    <t>Goldberg, Ann</t>
  </si>
  <si>
    <t>RC450.G4G64 1999</t>
  </si>
  <si>
    <t>616.89/00943/09034</t>
  </si>
  <si>
    <t>Eberbach (Asylum) -- History -- 19th century. ; Psychiatry -- Germany -- History -- 19th century. ; Mental illness -- Germany -- History -- 19th century. ; Psychiatric hospitals -- Germany -- Sociological aspects. ; Psychotherapist and patient -- Germany -- History -- 19th century.</t>
  </si>
  <si>
    <t>Shame : Interpersonal Behavior, Psychopathology, and Culture</t>
  </si>
  <si>
    <t>Gilbert, Paul;Andrews, Bernice</t>
  </si>
  <si>
    <t>BF575.S45S53 1998</t>
  </si>
  <si>
    <t>Shame. ; Shame -- Social aspects.</t>
  </si>
  <si>
    <t>Starving for Salvation : The Spiritual Dimensions of Eating Problems among American Girls and Women</t>
  </si>
  <si>
    <t>Lelwica, Michelle Mary</t>
  </si>
  <si>
    <t>RC552.E18 -- L44 1999eb</t>
  </si>
  <si>
    <t>616.85/26/0082</t>
  </si>
  <si>
    <t>States of Mind : American and Post-Soviet Perspectives on Contemporary Issues in Psychology</t>
  </si>
  <si>
    <t>Halpern, Diane F.;Voiskounsky, Alexander E.</t>
  </si>
  <si>
    <t>BF121.S826</t>
  </si>
  <si>
    <t>150/.947</t>
  </si>
  <si>
    <t>The Adapted Mind : Evolutionary Psychology and the Generation of Culture</t>
  </si>
  <si>
    <t xml:space="preserve">Barkow, Jerome H.;Cosmides, Leda;Tooby, John;Tooby, John </t>
  </si>
  <si>
    <t>BF711.A33 1995</t>
  </si>
  <si>
    <t>Behavior evolution. ; Cognition and culture. ; Genetic psychology. ; Sociobiology.</t>
  </si>
  <si>
    <t>The Cost of Competence : Why Inequality Causes Depression, Eating Disorders, and Illness in Women</t>
  </si>
  <si>
    <t>Silverstein, Brett;Perlick, Deborah</t>
  </si>
  <si>
    <t>RC451.4.W6 -- S58 1995eb</t>
  </si>
  <si>
    <t>Achievement motivation in women. ; Anxiety in women. ; Depression in women. ; Eating disorders. ; Self-esteem in women. ; Sex role. ; Somatization disorder.</t>
  </si>
  <si>
    <t>Rogoff, Barbara</t>
  </si>
  <si>
    <t>HM686.R64 2003</t>
  </si>
  <si>
    <t>Socialization. ; Child development. ; Cognition and culture. ; Developmental psychology.</t>
  </si>
  <si>
    <t>Vasey, Michael W.;Dadds, Mark R.</t>
  </si>
  <si>
    <t>RJ506.A58 -- V37 2001eb</t>
  </si>
  <si>
    <t>Anxiety in children. ; Anxiety -- Etiology.</t>
  </si>
  <si>
    <t>The Elephant in the Room : Silence and Denial in Everyday Life</t>
  </si>
  <si>
    <t>Zerubavel, Eviatar;Zerubavel, Eviatar</t>
  </si>
  <si>
    <t>HM1041.Z47 2006</t>
  </si>
  <si>
    <t>Denial (Psychology) -- Social aspects. ; Avoidance (Psychology) -- Social aspects. ; Silence. ; Secrecy. ; Social psychology.</t>
  </si>
  <si>
    <t>The Female Thermometer : Eighteenth-Century Culture and the Invention of the Uncanny</t>
  </si>
  <si>
    <t>Castle, Terry</t>
  </si>
  <si>
    <t>Ideologies of Desire Ser.</t>
  </si>
  <si>
    <t>PR448.G6 -- C37 1995eb</t>
  </si>
  <si>
    <t>820.9/37</t>
  </si>
  <si>
    <t>English literature -- 18th century -- History and criticism. ; Gothic revival (Literature) -- Great Britain. ; Women and literature -- Great Britain -- History -- 18th century. ; Romanticism -- Great Britain -- History -- 18th century. ; Femininity in literature. ; Sex (Psychology) in literature. ; Supernatural in literature.</t>
  </si>
  <si>
    <t>Taylor, Michael Alan</t>
  </si>
  <si>
    <t>RC341.T388 1999</t>
  </si>
  <si>
    <t>Johnson, David, Jr.;Erneling, Christina;Johnson, David</t>
  </si>
  <si>
    <t>BF311 -- .F89 1997eb</t>
  </si>
  <si>
    <t>Cognition. ; Cognitive science. ; Philosophy and cognitive science. ; Human information processing. ; Artificial intelligence.</t>
  </si>
  <si>
    <t>The Heart of Grief : Death and the Search for Lasting Love</t>
  </si>
  <si>
    <t>Attig, Thomas</t>
  </si>
  <si>
    <t>BF575.G7A788 2000</t>
  </si>
  <si>
    <t>Bereavement -- Psychological aspects -- Case studies. ; Bereavement -- Psychological aspects. ; Death -- Psychological aspects. ; Grief -- Case studies. ; Grief. ; Loss (Psychology)</t>
  </si>
  <si>
    <t>The Leadership Triad : Knowledge, Trust, and Power</t>
  </si>
  <si>
    <t>Zand, Dale E.</t>
  </si>
  <si>
    <t>BF637.L4 -- Z36 1996eb</t>
  </si>
  <si>
    <t>Leadership. ; Decision making. ; Control (Psychology) ; Trust.</t>
  </si>
  <si>
    <t>Macnamara, John;Reyes, Gonzalo E.</t>
  </si>
  <si>
    <t>Vol. 4</t>
  </si>
  <si>
    <t>BF311.L64</t>
  </si>
  <si>
    <t>Cognition -- Philosophy. ; Reference (Philosophy) ; Semantics (Philosophy) ; Language and logic.</t>
  </si>
  <si>
    <t>Borod, Joan C.</t>
  </si>
  <si>
    <t>RC455.4.E46N48 2000</t>
  </si>
  <si>
    <t>Affective disorders -- Physiological aspects. ; Emotions -- Physiological aspects. ; Neuropsychology.</t>
  </si>
  <si>
    <t>The Other Side of Joy : Religious Melancholy among the Bruderhof</t>
  </si>
  <si>
    <t>Rubin, Julius</t>
  </si>
  <si>
    <t>BX8129.B65 -- R83 2000eb</t>
  </si>
  <si>
    <t>289.7/3</t>
  </si>
  <si>
    <t>Bruderhof Communities -- Membership. ; Depression, Mental -- Epidemiology. ; Depression, Mental -- Religious aspects -- Christianity -- History of doctrines.</t>
  </si>
  <si>
    <t>Trzepacz, Paula T.;Baker, Robert W.</t>
  </si>
  <si>
    <t>RC469.T79 1993</t>
  </si>
  <si>
    <t>Interviewing in psychiatry. ; Mental status examination. ; Psychodiagnostics.</t>
  </si>
  <si>
    <t>Wrightsman, Lawrence S.</t>
  </si>
  <si>
    <t>KF8748.W753 2006</t>
  </si>
  <si>
    <t>347.73/262</t>
  </si>
  <si>
    <t>Law</t>
  </si>
  <si>
    <t>Hall, Gordon C. Nagayama</t>
  </si>
  <si>
    <t>RC560.S47 -- H35 1996eb</t>
  </si>
  <si>
    <t>616.85/83</t>
  </si>
  <si>
    <t>Sex crimes. ; Sex offenders.</t>
  </si>
  <si>
    <t>Schroeder, Timothy</t>
  </si>
  <si>
    <t>B105.D44 -- S37 2004eb</t>
  </si>
  <si>
    <t>Desire (Philosophy) ; Desire.</t>
  </si>
  <si>
    <t>Gomez, Manuel Rodriguez;Sampson, Julian R.;Whittemore, Vicky Holets</t>
  </si>
  <si>
    <t>RJ496.T8T82 1999</t>
  </si>
  <si>
    <t>Tuberous sclerosis. ; Pediatric neurology.</t>
  </si>
  <si>
    <t>DiGiuseppe, Raymond;Tafrate, Raymond Chip;Tafrate, Raymond Chip</t>
  </si>
  <si>
    <t>RC569.5.A53D54 2007</t>
  </si>
  <si>
    <t>616.85/81</t>
  </si>
  <si>
    <t>Anger. ; Anger -- Treatment.</t>
  </si>
  <si>
    <t>Understanding the Medical Diagnosis of Child Maltreatment : A Guide for Nonmedical Professionals</t>
  </si>
  <si>
    <t>American Humane Association, American Humane;Brittain, Charmaine R.</t>
  </si>
  <si>
    <t>RA1122.5.U53 2006</t>
  </si>
  <si>
    <t>617.1/0083</t>
  </si>
  <si>
    <t>Child abuse -- Diagnosis. ; Battered child syndrome -- Diagnosis.</t>
  </si>
  <si>
    <t>What's Within? : Nativism Reconsidered</t>
  </si>
  <si>
    <t>Cowie, Fiona</t>
  </si>
  <si>
    <t>BF341.C68</t>
  </si>
  <si>
    <t>149/.7</t>
  </si>
  <si>
    <t>Why Mothers Kill : A Forensic Psychologist's Casebook</t>
  </si>
  <si>
    <t>McKee, Geoffrey R.;McKee, Geoffrey R.</t>
  </si>
  <si>
    <t>HV6542.M38 2006</t>
  </si>
  <si>
    <t>364.3/74</t>
  </si>
  <si>
    <t>With Pleasure : Thoughts on the Nature of Human Sexuality</t>
  </si>
  <si>
    <t>Abramson, Paul R.;Pinkerton, Steven D.</t>
  </si>
  <si>
    <t>HQ23 -- .A25 1995eb</t>
  </si>
  <si>
    <t>Motion pictures -- Production and direction. ; Motion pictures -- Production and direction -- Case studies.</t>
  </si>
  <si>
    <t>Clocking the Mind : Mental Chronometry and Individual Differences</t>
  </si>
  <si>
    <t>Jensen, Arthur R.;Verschaffel, Lieven;Jensen, Arthur R.</t>
  </si>
  <si>
    <t>BF318.I64 2006</t>
  </si>
  <si>
    <t>Time perception. ; Neuropsychology.</t>
  </si>
  <si>
    <t>Psychology; Science; Science: Anatomy/Physiology</t>
  </si>
  <si>
    <t>Handbook on Animal-Assisted Therapy : Theoretical Foundations and Guidelines for Practice</t>
  </si>
  <si>
    <t>Mueller, Megan;Ng, Zenithson;Griffin, Taylor Chastain;Fine, Aubrey H.;Mueller, Megan;Ng, Zenithson;Griffin, Taylor Chastain;Fine, Aubrey H.</t>
  </si>
  <si>
    <t>QP187.3.M64A38eb vol</t>
  </si>
  <si>
    <t>615.8/515</t>
  </si>
  <si>
    <t>Animals ; Animals - Therapeutic use ; Animals, Domestic ; Animals--Therapeutic use--Handbooks, manuals, etc. ; Bonding, Human-Pet ; Disabled Persons ; Human-animal relationships ; Human-animal relationships--Handbooks, manuals, etc.</t>
  </si>
  <si>
    <t>Science: Biology/Natural History; Science; Medicine</t>
  </si>
  <si>
    <t>Always Separate, Always Connected : Independence and Interdependence in Cultural Contexts of Development</t>
  </si>
  <si>
    <t>Raeff, Catherine</t>
  </si>
  <si>
    <t>HQ767.9 -- .R33 2006eb</t>
  </si>
  <si>
    <t>Child development. ; Culture. ; Identity (Psychology) in children. ; Dependency (Psychology) ; Autonomy (Psychology)</t>
  </si>
  <si>
    <t>Stigma and Group Inequality : Social Psychological Perspectives</t>
  </si>
  <si>
    <t>Levin, Shana;Van Laar, Colette;Crocker, Jennifer</t>
  </si>
  <si>
    <t>HM1131 -- .C58 2004eb</t>
  </si>
  <si>
    <t>305/.01</t>
  </si>
  <si>
    <t>Stigma (Social psychology) -- Congresses. ; Self-perception -- Congresses. ; Social role -- Congresses.</t>
  </si>
  <si>
    <t>Guerrero, Laura K.;Floyd, Kory</t>
  </si>
  <si>
    <t>BF637.N66G84 2006eb</t>
  </si>
  <si>
    <t>Nonverbal communication. ; Interpersonal relations.</t>
  </si>
  <si>
    <t>The Professional Counselor As Administrator : Perspectives on Leadership and Management of Counseling Services Across Settings</t>
  </si>
  <si>
    <t>Herr, Edwin L.;Heitzmann, Dennis E.;Rayman, Jack R.</t>
  </si>
  <si>
    <t>BF637.C6 -- H435 2006eb</t>
  </si>
  <si>
    <t>361/.06/0684</t>
  </si>
  <si>
    <t>Counseling -- Management. ; Educational counseling -- Management.</t>
  </si>
  <si>
    <t>Romance and Sex in Adolescence and Emerging Adulthood : Risks and Opportunities</t>
  </si>
  <si>
    <t>Crouter, Ann C.;Booth, Alan;Bryant, Chalandra M.</t>
  </si>
  <si>
    <t>HQ27 -- .R65 2006eb</t>
  </si>
  <si>
    <t>306.7/0835</t>
  </si>
  <si>
    <t>Teenagers -- Sexual behavior. ; Risk-taking (Psychology) in adolescence.</t>
  </si>
  <si>
    <t>Workaholism in organizations, Volume 11, Issue 5 : New research directions</t>
  </si>
  <si>
    <t>Snir, Raphael;Harpaz, Itzhak;Burke, Ronald;Burke, Ronald</t>
  </si>
  <si>
    <t>Career Development International</t>
  </si>
  <si>
    <t>RC569.5.W67 -- W67 2006eb</t>
  </si>
  <si>
    <t>616.85;616.855</t>
  </si>
  <si>
    <t>Workaholism. ; Work environment.</t>
  </si>
  <si>
    <t>Calm Energy : How People Regulate Mood with Food and Exercise</t>
  </si>
  <si>
    <t>Thayer, Robert E.</t>
  </si>
  <si>
    <t>RC454.4.T46 2003</t>
  </si>
  <si>
    <t>Exercise -- Psychological aspects. ; Mental health -- Nutritional aspects. ; Mood (Psychology) ; Nutrition -- Psychological aspects.</t>
  </si>
  <si>
    <t>Challenges of the Third Age : Meaning and Purpose in Later Life</t>
  </si>
  <si>
    <t>Weiss, Robert S.;Bass, Scott A.</t>
  </si>
  <si>
    <t>BF724.85.S45C48 2002</t>
  </si>
  <si>
    <t>Meaning (Psychology) ; Older people -- Psychology. ; Self-actualization (Psychology) in old age.</t>
  </si>
  <si>
    <t>Beating the Blues : New Approaches to Overcoming Dysthymia and Chronic Mild Depression</t>
  </si>
  <si>
    <t>Thase, Michael E.;Lang, Susan S.;Thase, Michael E.</t>
  </si>
  <si>
    <t>RC537.T477 2004</t>
  </si>
  <si>
    <t>616.85/27</t>
  </si>
  <si>
    <t>Depression, Mental -- Popular works. ; Affective disorders -- Popular works. ; Mood (Psychology)</t>
  </si>
  <si>
    <t>Healthy Anger : How to Help Children and Teens Manage Their Anger</t>
  </si>
  <si>
    <t>Golden, Bernard</t>
  </si>
  <si>
    <t>BF723.A4 -- G65 2003eb</t>
  </si>
  <si>
    <t>155.4/1247</t>
  </si>
  <si>
    <t>Anger in adolescence. ; Anger in children. ; Child rearing.</t>
  </si>
  <si>
    <t>The Cultural Animal : Human Nature, Meaning, and Social Life</t>
  </si>
  <si>
    <t>Baumeister, Roy F.</t>
  </si>
  <si>
    <t>BF57 -- .B35 2005eb</t>
  </si>
  <si>
    <t>Psychology. ; Social psychology. ; Culture -- Psychological aspects.</t>
  </si>
  <si>
    <t>Worell, Judith;Goodheart, Carol D.;Worell, Judith</t>
  </si>
  <si>
    <t>Oxford Series in Clinical Psychology Series</t>
  </si>
  <si>
    <t>HQ1206.H23855 2006</t>
  </si>
  <si>
    <t>Women -- Psychology. ; Women -- Health and hygiene. ; Women -- Mental health. ; Girls -- Psychology. ; Girls -- Health and hygiene. ; Girls -- Mental health.</t>
  </si>
  <si>
    <t>Hassin, Ran R.;Uleman, James S.;Bargh, John A.</t>
  </si>
  <si>
    <t>BF315 -- .N47 2005eb</t>
  </si>
  <si>
    <t>Character Strengths and Virtues : A Handbook and Classification</t>
  </si>
  <si>
    <t>Peterson, Christopher;Seligman, Martin E. P.</t>
  </si>
  <si>
    <t>BF818.P38 2004</t>
  </si>
  <si>
    <t>Character -- Handbooks, manuals, etc. ; Virtues -- Handbooks, manuals, etc.</t>
  </si>
  <si>
    <t>Martinus Nijhoff</t>
  </si>
  <si>
    <t>Saner, Raymond</t>
  </si>
  <si>
    <t>BF637.N4 -- S2313 2005eb</t>
  </si>
  <si>
    <t>Negotiation. ; International law.</t>
  </si>
  <si>
    <t>Norcross, John C.;Goldried, Marvin R.;Goldfried, Marvin R.</t>
  </si>
  <si>
    <t>RC489.E24H36 2003</t>
  </si>
  <si>
    <t>Eclectic psychotherapy. ; Psychology.</t>
  </si>
  <si>
    <t>Revealing the Inner Worlds of Young Children : The MacArthur Story Stem Battery and Parent-Child Narratives</t>
  </si>
  <si>
    <t>Emde, Robert N.;Wolf, Dennis P.;Oppenheim, David;Wolf, Dennis P.</t>
  </si>
  <si>
    <t>BF723.S74 -- A37 2003eb</t>
  </si>
  <si>
    <t>Storytelling ability in children. ; Cognition in children. ; Children -- Language.</t>
  </si>
  <si>
    <t>Phobic and Anxiety Disorders in Children and Adolescents : A Clinician's Guide to Effective Psychosocial and Pharmacological Interventions</t>
  </si>
  <si>
    <t>Ollendick, Thomas H.;March, John S.;Ollendick, Thomas H.</t>
  </si>
  <si>
    <t>RJ506.A58P48 2004</t>
  </si>
  <si>
    <t>618.92/85223</t>
  </si>
  <si>
    <t>Anxiety in children. ; Phobias in children.</t>
  </si>
  <si>
    <t>At What Cost? The Economic Impact of Tobacco Use on National Health Systems, Societies, and Individuals : The Economic Impact of Tobacco Use on National Health Systems, Societies, and Individuals</t>
  </si>
  <si>
    <t>Research for International Tobacco Control (RITC)</t>
  </si>
  <si>
    <t>HV5748 -- .A88 2003eb</t>
  </si>
  <si>
    <t>Tobacco use -- Economic aspects. ; Smoking -- Economic aspects. ; Smoking -- Social aspects. ; Tobacco use -- Government policy. ; Smoking -- Government policy.</t>
  </si>
  <si>
    <t>Altered Egos : How the Brain Creates the Self</t>
  </si>
  <si>
    <t>Feinberg, Todd E.</t>
  </si>
  <si>
    <t>QP360 -- .F45 2002eb</t>
  </si>
  <si>
    <t>612.8/2</t>
  </si>
  <si>
    <t>Neuropsychology. ; Brain. ; Self.</t>
  </si>
  <si>
    <t>Science: Biology/Natural History; Science: Anatomy/Physiology; Science</t>
  </si>
  <si>
    <t>Understanding Marijuana : A New Look at the Scientific Evidence</t>
  </si>
  <si>
    <t>Earleywine, Mitch;Earleywine, Mitch</t>
  </si>
  <si>
    <t>HV5822.M3E27 2002</t>
  </si>
  <si>
    <t>Marijuana. ; Cannabis. ; Marijuana abuse.</t>
  </si>
  <si>
    <t>Social Science; Pharmacy; Medicine</t>
  </si>
  <si>
    <t>Ronningstam, Elsa F.</t>
  </si>
  <si>
    <t>RC553.N36R66 2005</t>
  </si>
  <si>
    <t>Pincus, Jonathan H.;Tucker, Gary J.</t>
  </si>
  <si>
    <t>RC341.P56 2003</t>
  </si>
  <si>
    <t>Trickett, Edison J.;Pequegnat, Willo;Trickett, Edison J.</t>
  </si>
  <si>
    <t>RA643.8.C65 2005</t>
  </si>
  <si>
    <t>AIDS (Disease) -- Prevention. ; Community health services.</t>
  </si>
  <si>
    <t>Matter of Mind : A Neurologist's View of Brain-Behavior Relationships</t>
  </si>
  <si>
    <t>Heilman, Kenneth M.</t>
  </si>
  <si>
    <t>QP395 -- .H45 2002eb</t>
  </si>
  <si>
    <t>Higher nervous activity. ; Neurobehavioral disorders. ; Neuropsychiatry. ; Neuropsychology.</t>
  </si>
  <si>
    <t>Science: Biology/Natural History; Medicine; Science</t>
  </si>
  <si>
    <t>Corcoran, Jacqueline;Walsh, Joseph</t>
  </si>
  <si>
    <t>RC455.2.C4 -- C72 2006eb</t>
  </si>
  <si>
    <t>362.2;616.89/075</t>
  </si>
  <si>
    <t>Diagnostic and statistical manual of mental disorders. ; Mental illness -- Classification. ; Mental illness -- Diagnosis. ; Psychiatric social work. ; Social service.</t>
  </si>
  <si>
    <t>Psychology; Medicine; Social Science; Health</t>
  </si>
  <si>
    <t>Expanding the Boundaries of Health and Social Science : Case Studies in Interdisciplinary Innovation</t>
  </si>
  <si>
    <t>Kessel, Frank;Rosenfield, Patricia;Anderson, Norman;Rosenfield, Patricia</t>
  </si>
  <si>
    <t>R853.I53E955 2003</t>
  </si>
  <si>
    <t>Medicine -- Research. ; Interdisciplinary research. ; Public health -- Research.</t>
  </si>
  <si>
    <t>Psychotherapy Relationships That Work : Therapist Contributions and Responsiveness to Patients</t>
  </si>
  <si>
    <t>Norcross, John C.</t>
  </si>
  <si>
    <t>RC480.8 -- .P78 2002eb</t>
  </si>
  <si>
    <t>Psychotherapist and patient. ; Therapeutic alliance.</t>
  </si>
  <si>
    <t>Cognitive Neuroscience of Memory : An Introduction</t>
  </si>
  <si>
    <t>Eichenbaum, Howard</t>
  </si>
  <si>
    <t>QP406 -- .E334 2002eb</t>
  </si>
  <si>
    <t>Brain -- Physiology. ; Cognition. ; Memory.</t>
  </si>
  <si>
    <t>Before Forgiving : Cautionary Views of Forgiveness in Psychotherapy</t>
  </si>
  <si>
    <t>Lamb, Sharon;Murphy, Jeffrie G.</t>
  </si>
  <si>
    <t>BF637.F67B44 2002</t>
  </si>
  <si>
    <t>Reinventing Depression : A History of the Treatment of Depression in Primary Care, 1940-2004</t>
  </si>
  <si>
    <t>Callahan, Christopher M.;Berrios, German E.</t>
  </si>
  <si>
    <t>RC537 -- .C25 2005eb</t>
  </si>
  <si>
    <t>Depression, Mental -- Treatment -- Great Britain -- History -- 20th century. ; Depression, Mental -- Treatment -- United States -- History -- 20th century. ; Primary care (Medicine) -- Great Britain -- History -- 20th century. ; Primary care (Medicine) -- United States -- History -- 20th century.</t>
  </si>
  <si>
    <t>Falmagne, Jean-Claude</t>
  </si>
  <si>
    <t>Oxford Psychology Series</t>
  </si>
  <si>
    <t>BF237 -- .F25 2002eb</t>
  </si>
  <si>
    <t>Psychophysics. ; Psychometrics.</t>
  </si>
  <si>
    <t>Parent Management Training : Treatment for Oppositional, Aggressive, and Antisocial Behavior in Children and Adolescents</t>
  </si>
  <si>
    <t>Kazdin, Alan E.;Kazdin, Alan E.</t>
  </si>
  <si>
    <t>RJ505.P38K39 2005</t>
  </si>
  <si>
    <t>Child psychotherapy -- Parent participation. ; Behavior disorders in children -- Treatment. ; Child psychopathology. ; Adolescent psychopathology. ; Parenting -- Study and teaching. ; Child rearing -- Study and teaching. ; Parent and child -- Psychological aspects.</t>
  </si>
  <si>
    <t>Bodily Sensibility : Intelligent Action</t>
  </si>
  <si>
    <t>Schulkin, Jay</t>
  </si>
  <si>
    <t>BF161 -- .S3512 2004eb</t>
  </si>
  <si>
    <t>Mind and body. ; Cognition. ; Human information processing.</t>
  </si>
  <si>
    <t>Synesthesia : Perspectives from Cognitive Neuroscience</t>
  </si>
  <si>
    <t>Robertson, Lynn C.;Sagiv, Noam</t>
  </si>
  <si>
    <t>QP435.S96 2005</t>
  </si>
  <si>
    <t>152.1/89</t>
  </si>
  <si>
    <t>Synesthesia. ; Senses and sensation. ; Cognitive neuroscience.</t>
  </si>
  <si>
    <t>Science: Biology/Natural History; Science; Psychology</t>
  </si>
  <si>
    <t>Astington, Janet Wilde;Baird, Jodie A.;Baird, Jodie A.</t>
  </si>
  <si>
    <t>BF723.P48W59 2005</t>
  </si>
  <si>
    <t>Philosophy of mind in children -- Congresses. ; Children -- Language -- Congresses.</t>
  </si>
  <si>
    <t>Anxiety Disorders in Adults : A Clinical Guide</t>
  </si>
  <si>
    <t>Starcevic, Vladan</t>
  </si>
  <si>
    <t>RC531 -- .S687 2005eb</t>
  </si>
  <si>
    <t>616.85/22</t>
  </si>
  <si>
    <t>Anxiety. ; Phobias.</t>
  </si>
  <si>
    <t>Abrams, Richard</t>
  </si>
  <si>
    <t>RC485.A27 2002</t>
  </si>
  <si>
    <t>Electroconvulsive therapy. ; Shock therapy.</t>
  </si>
  <si>
    <t>Schultz, William Todd</t>
  </si>
  <si>
    <t>BF39.4.H36 2005</t>
  </si>
  <si>
    <t>150/.72/2</t>
  </si>
  <si>
    <t>Psychology -- Biographical methods. ; Artists -- Psychology -- Case studies. ; Politicians -- Psychology -- Case studies. ; Psychologists -- Psychology -- Case studies.</t>
  </si>
  <si>
    <t>Exploring the History of Neuropsychology : Selected Papers</t>
  </si>
  <si>
    <t>Benton, Arthur;Adams, Kenneth M.</t>
  </si>
  <si>
    <t>QP360.B487 2000</t>
  </si>
  <si>
    <t>Aphasia -- History. ; Clinical neuropsychology -- History. ; Neuropsychology -- History.</t>
  </si>
  <si>
    <t>Medicine; Science; Science: Biology/Natural History</t>
  </si>
  <si>
    <t>Explaining Creativity : The Science of Human Innovation</t>
  </si>
  <si>
    <t>Sawyer, R.Keith</t>
  </si>
  <si>
    <t>BF408 -- .S284 2006eb</t>
  </si>
  <si>
    <t>Philippot, Pierre;Feldman, Robert S.;Coats, Erik J.</t>
  </si>
  <si>
    <t>RC489.N65N66 2003</t>
  </si>
  <si>
    <t>Body language. ; Psychotherapy.</t>
  </si>
  <si>
    <t>Haas, Leonard J.</t>
  </si>
  <si>
    <t>R726.5 -- .H345 2004eb</t>
  </si>
  <si>
    <t>616/.001/9</t>
  </si>
  <si>
    <t>Medicine and psychology -- Handbooks, manuals, etc. ; Primary care (Medicine) -- Handbooks, manuals, etc.</t>
  </si>
  <si>
    <t>Comprehensive Handbook of Childhood Cancer and Sickle Cell Disease : A Biopsychosocial Approach</t>
  </si>
  <si>
    <t>Brown, Ronald T.;Brown, Ronald T.</t>
  </si>
  <si>
    <t>RC281.C4 -- C645 2006eb</t>
  </si>
  <si>
    <t>618.92/994</t>
  </si>
  <si>
    <t>Hunt, R. Reed;Worthen, James B.;Hunt, R. Reed;Worthen, James B.</t>
  </si>
  <si>
    <t>BF371.D57 2006</t>
  </si>
  <si>
    <t>Family Psychology : The Art of the Science</t>
  </si>
  <si>
    <t>Pinsof, William M.;Lebow, Jay L.</t>
  </si>
  <si>
    <t>HQ728.F3225 2005</t>
  </si>
  <si>
    <t>306.85/019</t>
  </si>
  <si>
    <t>Metarepresentations : A Multidisciplinary Perspective</t>
  </si>
  <si>
    <t>Sperber, Dan</t>
  </si>
  <si>
    <t>BF316.6.M48 2000</t>
  </si>
  <si>
    <t>Mental representation -- Congresses. ; Thought and thinking -- Congresses. ; Cognitive science -- Congresses.</t>
  </si>
  <si>
    <t>Perception of Faces, Objects, and Scenes : Analytic and Holistic Processes</t>
  </si>
  <si>
    <t>Peterson, Mary A.;Rhodes, Gillian;Rhodes, Gillian</t>
  </si>
  <si>
    <t>Advances in Visual Cognition Series</t>
  </si>
  <si>
    <t>BF241.P434 2003</t>
  </si>
  <si>
    <t>Visual perception. ; Whole and parts (Psychology)</t>
  </si>
  <si>
    <t>Mesulam, M. -Marsel</t>
  </si>
  <si>
    <t>RC454.4.P73 2000</t>
  </si>
  <si>
    <t>Mental illness -- Etiology. ; Neuropsychology. ; Brain -- Diseases -- Complications.</t>
  </si>
  <si>
    <t>Stuss, Donald T.;Knight, Robert T.</t>
  </si>
  <si>
    <t>QP382.F7P755 2002</t>
  </si>
  <si>
    <t>Frontal lobes. ; Cerebral cortex.</t>
  </si>
  <si>
    <t>Science; Science: Anatomy/Physiology; Science: Biology/Natural History</t>
  </si>
  <si>
    <t>Pediatric Psychopharmacology : Principles and Practice</t>
  </si>
  <si>
    <t>Martin, Andres;Scahill, Lawrence;Charney, Dennis S.</t>
  </si>
  <si>
    <t>RJ504.7 -- .P397 2003eb</t>
  </si>
  <si>
    <t>615/.78</t>
  </si>
  <si>
    <t>Nestler, Eric J.;Nestler, Eric J.</t>
  </si>
  <si>
    <t>RC341 -- .N393 2004eb</t>
  </si>
  <si>
    <t>616.89/07</t>
  </si>
  <si>
    <t>Neuropsychiatry. ; Mental illness -- Physiological aspects.</t>
  </si>
  <si>
    <t>Discapcidad : Lo que todos debemos saber</t>
  </si>
  <si>
    <t>E. Alicia Amate;Armando Vásquez</t>
  </si>
  <si>
    <t>RD798 .A438 2004</t>
  </si>
  <si>
    <t>People with disabilities-Rehabilitation-Psychological aspects. ; People with disabilities-Rehabilitation.</t>
  </si>
  <si>
    <t>erradicación de la poliomielitis : Guía Práctica</t>
  </si>
  <si>
    <t>RC180.1 .E773 2006</t>
  </si>
  <si>
    <t>Poliomyelitis-Psychological aspects.</t>
  </si>
  <si>
    <t>Barrett, Nora M.;Gill, Kenneth J.;Pratt, Carlos W.;Roberts, Melissa M.;Barrett, Nora M.;Gill, Kenneth J.;Pratt, Carlos W.;Roberts, Melissa M.</t>
  </si>
  <si>
    <t>The Psychology of Humor : An Integrative Approach</t>
  </si>
  <si>
    <t>Martin, Rod A.</t>
  </si>
  <si>
    <t>BF575.L3 -- M27 2007eb</t>
  </si>
  <si>
    <t>Wit and humor -- Psychological aspects. ; Wit and humor -- Therapeutic use.</t>
  </si>
  <si>
    <t>Weiss, Lawrence G.;Saklofske, Donald H.;Prifitera, Aurelio;Holdnack, James A.</t>
  </si>
  <si>
    <t>BF432.5.W42W45 2006</t>
  </si>
  <si>
    <t>155.4/1393</t>
  </si>
  <si>
    <t>BF789.D5 P768 2002</t>
  </si>
  <si>
    <t>Disasters-Psychological aspects. ; Community mental health services.</t>
  </si>
  <si>
    <t>Visual Communication : More than Meets the Eye</t>
  </si>
  <si>
    <t>Intellect Books</t>
  </si>
  <si>
    <t>Jamieson, Harry</t>
  </si>
  <si>
    <t>QP360 -- .J36 2007eb</t>
  </si>
  <si>
    <t>Neuropsychology. ; Optics.</t>
  </si>
  <si>
    <t>Science; Science: Biology/Natural History; Social Science</t>
  </si>
  <si>
    <t>Autism, Art and Children : The Stories We Draw</t>
  </si>
  <si>
    <t>Kellman, Julia</t>
  </si>
  <si>
    <t>RJ506.A9 -- K44 2001eb</t>
  </si>
  <si>
    <t>618.92/89820651</t>
  </si>
  <si>
    <t>Art therapy for children. ; Autism in children -- Treatment.</t>
  </si>
  <si>
    <t>Torrance, Mark;van Waes, Luuk;Galbraith, David</t>
  </si>
  <si>
    <t>Studies in Writing Series</t>
  </si>
  <si>
    <t>BF456.W8 W75 2007</t>
  </si>
  <si>
    <t>Writing-Psychological aspects. ; Authorship-Psychological aspects. ; Cognitive styles.</t>
  </si>
  <si>
    <t>Psychology; Literature</t>
  </si>
  <si>
    <t>Drugs and the Future : Brain Science, Addiction and Society</t>
  </si>
  <si>
    <t>Nutt, David J.;Robbins, Trevor W.;Stimson, Gerald V.;Ince, Martin;Jackson, Andrew</t>
  </si>
  <si>
    <t>HV5801.D78 2007</t>
  </si>
  <si>
    <t>Richard, David C. S.;Lauterbach, Dean;Richard, David C S</t>
  </si>
  <si>
    <t>RC530.H26 2007</t>
  </si>
  <si>
    <t>616.85/2</t>
  </si>
  <si>
    <t>Neuroses -- Treatment. ; Cognitive therapy. ; Behavior therapy.</t>
  </si>
  <si>
    <t>Creativity : Theories and Themes: Research, Development, and Practice</t>
  </si>
  <si>
    <t>Runco, Mark A.</t>
  </si>
  <si>
    <t>BF408.R86 2007</t>
  </si>
  <si>
    <t>Mental Health - Facing the Challenges, Building Solutions : report from the WHO European Ministerial Conference</t>
  </si>
  <si>
    <t>WHO</t>
  </si>
  <si>
    <t>SWITZERLAND</t>
  </si>
  <si>
    <t>World Health Organization Regional Office for Europe</t>
  </si>
  <si>
    <t>World Health Organization</t>
  </si>
  <si>
    <t>RA790.A2.M46 2005</t>
  </si>
  <si>
    <t>Psychology and the Internet : Intrapersonal, Interpersonal, and Transpersonal Implications</t>
  </si>
  <si>
    <t>Gackenbach, Jayne</t>
  </si>
  <si>
    <t>BF637.C45P79 2007</t>
  </si>
  <si>
    <t>150.285/4678</t>
  </si>
  <si>
    <t>Communication--Psychological aspects</t>
  </si>
  <si>
    <t>Introduction to Forensic Psychology : Issues and Controversies in Crime and Justice</t>
  </si>
  <si>
    <t>Arrigo, Bruce A.;Shipley, Stacey L.</t>
  </si>
  <si>
    <t>RA1148.A77 2005</t>
  </si>
  <si>
    <t>Forensic psychology</t>
  </si>
  <si>
    <t>Kruse, C. G.;Meltzer, H. Y.;Sennef, C.</t>
  </si>
  <si>
    <t>Solvay Pharmaceuticals Conferences Series</t>
  </si>
  <si>
    <t>Ageing Well : Quality of Life in Old Age</t>
  </si>
  <si>
    <t>McGraw-Hill UK (Open University Press)</t>
  </si>
  <si>
    <t>Berkshire</t>
  </si>
  <si>
    <t>Open University Press</t>
  </si>
  <si>
    <t>Bowling, Ann</t>
  </si>
  <si>
    <t>UK Higher Education OUP Humanities and Social Sciences Health and Social Welfare Series</t>
  </si>
  <si>
    <t>HQ1064.G7 -- B66 2005eb</t>
  </si>
  <si>
    <t>Older people -- England. ; Quality of life -- England. ; Older people -- England -- Social conditions. ; Older people -- Services for -- England.</t>
  </si>
  <si>
    <t>Maidenhead</t>
  </si>
  <si>
    <t>Dallos, Rudi</t>
  </si>
  <si>
    <t>UK Higher Education OUP Humanities and Social Sciences Counselling and Psychotherapy Series</t>
  </si>
  <si>
    <t>RC489.S74 D355 2006</t>
  </si>
  <si>
    <t>Narrative therapy. ; Attachment behavior.</t>
  </si>
  <si>
    <t>Ajzen, I.</t>
  </si>
  <si>
    <t>UK Higher Education OUP Psychology Psychology Series</t>
  </si>
  <si>
    <t>HM1033 .A59 2005</t>
  </si>
  <si>
    <t>Human behavior. ; Social psychology. ; Attitude (Psychology) ; Personality. ; Prediction (Psychology)</t>
  </si>
  <si>
    <t>Brief Counselling: a Practical Integrative Approach</t>
  </si>
  <si>
    <t>Feltham, Colin;Dryden, Windy</t>
  </si>
  <si>
    <t>Freshwater, Dawn</t>
  </si>
  <si>
    <t>Nurse and patient. ; Patients -- Counseling of. ; Midwives. ; Counseling.</t>
  </si>
  <si>
    <t>Davies, Dilys;Bhugra, Dinesh</t>
  </si>
  <si>
    <t>RC454.4 -- .D38 2004eb</t>
  </si>
  <si>
    <t>Psychology, Pathological. ; Psychotherapy.</t>
  </si>
  <si>
    <t>Dallos, Rudi;Vetere, Arlene</t>
  </si>
  <si>
    <t>RC337 -- .D35 2005eb</t>
  </si>
  <si>
    <t>Psychotherapy -- Research. ; Counseling -- Research. ; Psychotherapy -- Practice.</t>
  </si>
  <si>
    <t>Farrall, Stephen;Calverley, Adam</t>
  </si>
  <si>
    <t>UK Higher Education OUP Humanities and Social Sciences Criminology Series</t>
  </si>
  <si>
    <t>Criminals -- Rehabilitation -- Great Britain. ; Recidivism -- Great Britain -- Prevention. ; Change (Psychology)</t>
  </si>
  <si>
    <t>Bennett, Trevor;Holloway, Katy</t>
  </si>
  <si>
    <t>Brown, Sheila</t>
  </si>
  <si>
    <t>HV9145.A5 B76 2005</t>
  </si>
  <si>
    <t>364.36/0941</t>
  </si>
  <si>
    <t>Juvenile delinquency-Great Britain. ; At-risk youth-Great Britain. ; Deviant behavior-Great Britain. ; Juvenile justice, Administration of-Great Britain. ; Criminology-Great Britain.</t>
  </si>
  <si>
    <t>Witkiewitz, Katie A.;Marlatt, G. Alan</t>
  </si>
  <si>
    <t>RC489.R44T49 2007</t>
  </si>
  <si>
    <t>Sturmey, Peter;Sturmey, Peter</t>
  </si>
  <si>
    <t>RC467.F86 2007</t>
  </si>
  <si>
    <t>Consciousness and Cognition : Fragments of Mind and Brain</t>
  </si>
  <si>
    <t>Cohen, Henri;Stemmer, Brigitte</t>
  </si>
  <si>
    <t>BF311.C64456 2007</t>
  </si>
  <si>
    <t>Winnubst, Shannon</t>
  </si>
  <si>
    <t>HM1266 -- .W56 2006eb</t>
  </si>
  <si>
    <t>Liberty. ; Boundaries -- Social aspects. ; Differentiation (Sociology) ; Dominance (Psychology) ; Power (Social sciences)</t>
  </si>
  <si>
    <t>Revealing Whiteness : The Unconscious Habits of Racial Privilege</t>
  </si>
  <si>
    <t>Sullivan, Shannon</t>
  </si>
  <si>
    <t>HT1575 -- .S85 2006eb</t>
  </si>
  <si>
    <t>Whites -- Race identity. ; Racism. ; Race discrimination. ; Habit -- Social aspects. ; United States -- Race relations. ; United States -- Ethnic relations.</t>
  </si>
  <si>
    <t>Bouras, Nick;Holt, Geraldine</t>
  </si>
  <si>
    <t>RC451.4.M47 P77 2007</t>
  </si>
  <si>
    <t>Godefroy, Olivier;Bogousslavsky, Julien</t>
  </si>
  <si>
    <t>RC388.5 -- .B428 2007eb</t>
  </si>
  <si>
    <t>Cerebrovascular disease -- Pathophysiology. ; Cerebrovascular disease -- Patients -- Rehabilitation.</t>
  </si>
  <si>
    <t>The Connected Leader : Creating Agile Organizations for People Performance and Profit</t>
  </si>
  <si>
    <t>Kogan Page</t>
  </si>
  <si>
    <t>Kogan Page, Limited</t>
  </si>
  <si>
    <t>Gobillot, Emmanuel</t>
  </si>
  <si>
    <t>HM1261 .G63 2007</t>
  </si>
  <si>
    <t>Leadership. ; Self-actualization (Psychology)</t>
  </si>
  <si>
    <t>Fearing Others : The Nature and Treatment of Social Phobia</t>
  </si>
  <si>
    <t>Stravynski, Ariel</t>
  </si>
  <si>
    <t>RC552.S62 S77 2007</t>
  </si>
  <si>
    <t>616.85/225</t>
  </si>
  <si>
    <t>Hess, Ursula;Philippot, Pierre;Oatley, Keith;Manstead, Antony S. R.</t>
  </si>
  <si>
    <t>BF531 .G77 2007</t>
  </si>
  <si>
    <t>Sanes, Dan H.;Reh, Thomas A.;Harris, William A.</t>
  </si>
  <si>
    <t>QP356.25.S365 2006</t>
  </si>
  <si>
    <t>Psychology of Food Choice : Volume 3 in the 'Frontiers in Nutritional Sciences' series</t>
  </si>
  <si>
    <t>Wallingford</t>
  </si>
  <si>
    <t>CAB International</t>
  </si>
  <si>
    <t>Shepherd, R.;Raats, M.</t>
  </si>
  <si>
    <t>TX357 -- .S47 2006eb</t>
  </si>
  <si>
    <t>Food preferences -- Psychological aspects. ; Food preferences -- Social aspects.</t>
  </si>
  <si>
    <t>Health</t>
  </si>
  <si>
    <t>Embodiment: Clinical, Critical and Cultural Perspectives on Health and Illness</t>
  </si>
  <si>
    <t>MacLachlan, Malcolm</t>
  </si>
  <si>
    <t>Greene, Judith;D'Oliveira, Manuela</t>
  </si>
  <si>
    <t>BF39 -- .G725 2006eb</t>
  </si>
  <si>
    <t>Psychometrics. ; Psychology-Statistical methods. ; Psychology-Research.</t>
  </si>
  <si>
    <t>Hagger, Martin;Chatzisarantis, Nikos</t>
  </si>
  <si>
    <t>UK Higher Education OUP Humanities and Social Sciences Sociology Series</t>
  </si>
  <si>
    <t>An Exact Mind : An Artist with Asperger Syndrome</t>
  </si>
  <si>
    <t>Baron-Cohen, Simon;Myers, Peter;Wheelwright, Sally</t>
  </si>
  <si>
    <t>RC553.A88 B37 2004</t>
  </si>
  <si>
    <t>Asperger's syndrome. ; Art and mental illness.</t>
  </si>
  <si>
    <t>Parent to Parent : Information and Inspiration for Parents Dealing with Autism and Asperger's Syndrome</t>
  </si>
  <si>
    <t>Boushéy, Ann</t>
  </si>
  <si>
    <t>RJ506.A9 -- B68 2004eb</t>
  </si>
  <si>
    <t>Autism in children. ; Autistic children -- Care. ; Parents of autistic children.</t>
  </si>
  <si>
    <t>Medicine; Home Economics; Psychology</t>
  </si>
  <si>
    <t>Buchalter, Susan</t>
  </si>
  <si>
    <t>Art therapy. ; Imagery (Psychology) -- Therapeutic use.</t>
  </si>
  <si>
    <t>Fine Arts; Psychology</t>
  </si>
  <si>
    <t>Tics and Tourette Syndrome : A Handbook for Parents and Professionals</t>
  </si>
  <si>
    <t>Chowdhury, Uttom</t>
  </si>
  <si>
    <t>618.92/83</t>
  </si>
  <si>
    <t>Cutcliffe, John;Jevne, Ronna</t>
  </si>
  <si>
    <t>BF575.G7 -- C88 2004eb</t>
  </si>
  <si>
    <t>Bereavement -- Psychological aspects. ; Death -- Psychological aspects. ; Grief. ; Hope. ; Loss (Psychology)</t>
  </si>
  <si>
    <t>Children and Behavioural Problems : Anxiety, Aggression, Depression and ADHD - a Biopsychological Model with Guidelines for Diagnostics and Treatment</t>
  </si>
  <si>
    <t>Delfos, Martine</t>
  </si>
  <si>
    <t>Adolescent psychopathology. ; Attention-deficit disorder in adolescence. ; Behavior disorders in children -- Treatment. ; Behavior disorders in children.</t>
  </si>
  <si>
    <t>New Approaches to Preventing Suicide : A Manual for Practitioners</t>
  </si>
  <si>
    <t>Ryan, Tony;Duffy, David;Sewell, Hári</t>
  </si>
  <si>
    <t>HV6548.G7 -- N48 2004eb</t>
  </si>
  <si>
    <t>362.28/7</t>
  </si>
  <si>
    <t>Suicide -- England -- Prevention.</t>
  </si>
  <si>
    <t>Promoting the Emotional Well Being of Children and Adolescents and Preventing Their Mental Ill Health : A Handbook</t>
  </si>
  <si>
    <t>Vostanis, Panos;Dwivedi, Kedar Nath;Harper, Peter</t>
  </si>
  <si>
    <t>Etherington, Kim</t>
  </si>
  <si>
    <t>Employment for Individuals with Asperger Syndrome or Non-Verbal Learning Disability : Stories and Strategies</t>
  </si>
  <si>
    <t>Fast, Yvona</t>
  </si>
  <si>
    <t>331.702/087/5</t>
  </si>
  <si>
    <t>People with mental disabilities -- Vocational guidance. ; Learning disabled -- Vocational guidance. ; Asperger's syndrome -- Patients -- Vocational guidance. ; People with mental disabilities -- Employment. ; Nonverbal learning disabilities.</t>
  </si>
  <si>
    <t>Economics</t>
  </si>
  <si>
    <t>Fox, Claudie;Hawton, Keith;Fox, Claudine</t>
  </si>
  <si>
    <t>Child and Adolescent Mental Health Series</t>
  </si>
  <si>
    <t>Granot, Tamar</t>
  </si>
  <si>
    <t>Gustavus-Jones, Sarah</t>
  </si>
  <si>
    <t>The Tavistock Clinic - Understanding Your Child Series</t>
  </si>
  <si>
    <t>The Feeling's Unmutual : Growing up with Asperger Syndrome (Undiagnosed)</t>
  </si>
  <si>
    <t>Hadcroft, William</t>
  </si>
  <si>
    <t>A Toss of the Dice : Stories from a Pediatrician's Practice</t>
  </si>
  <si>
    <t>Hays, Natasha T.</t>
  </si>
  <si>
    <t>RJ47 -- .H44 2005eb</t>
  </si>
  <si>
    <t>Pediatrics -- Anecdotes. ; Developmentally disabled children -- Anecdotes.</t>
  </si>
  <si>
    <t>Jeffcote, Nikki;Watson, Tessa</t>
  </si>
  <si>
    <t>Forensic Focus Series</t>
  </si>
  <si>
    <t>365/.66</t>
  </si>
  <si>
    <t>Johnson, Malcolm</t>
  </si>
  <si>
    <t>Kirby, Amanda;Sugden, David</t>
  </si>
  <si>
    <t>RJ496.M68 -- K565 2004eb</t>
  </si>
  <si>
    <t>618.92/7</t>
  </si>
  <si>
    <t>Clumsiness in children. ; Motor ability in children. ; Occupational therapy for children.</t>
  </si>
  <si>
    <t>Principles and Practice of Expressive Arts Therapy : Toward a Therapeutic Aesthetics</t>
  </si>
  <si>
    <t>Levine, Stephen K.;Knill, Paolo J.;Levine, Ellen G.</t>
  </si>
  <si>
    <t>Art therapy -- Philosophy. ; Arts -- Therapeutic use. ; Creation (Literary, artistic, etc.) -- Therapeutic use.</t>
  </si>
  <si>
    <t>Asperger Syndrome in Young Children : A Developmental Approach for Parents and Professionals</t>
  </si>
  <si>
    <t>Leventhal-Belfer, Laurie;Coe, Cassandra</t>
  </si>
  <si>
    <t>618.9/28982</t>
  </si>
  <si>
    <t>Different Minds : Gifted Children with AD/HD, Asperger Syndrome, and Other Learning Deficits</t>
  </si>
  <si>
    <t>Lovecky, Deirdre V.</t>
  </si>
  <si>
    <t>Education; Home Economics; Psychology</t>
  </si>
  <si>
    <t>Communicating Partners : 30 Years of Building Responsive Relationships with Late Talking Children Including Autism, Asperger's Syndrome (ASD), down Syndrome, and Typical Devel</t>
  </si>
  <si>
    <t>MacDonald, James D.</t>
  </si>
  <si>
    <t>Joughin, Carol;Malek, Mhemooda;Dwivedi, Kedar Nath</t>
  </si>
  <si>
    <t>RJ507.M54 -- M35 2004eb</t>
  </si>
  <si>
    <t>Children of minorities -- Mental health services -- Great Britain.</t>
  </si>
  <si>
    <t>Social Science; Medicine; Health; Psychology</t>
  </si>
  <si>
    <t>Asperger Syndrome, Adolescence, and Identity : Looking Beyond the Label</t>
  </si>
  <si>
    <t>Vasil, Latika;Molloy, Harvey</t>
  </si>
  <si>
    <t>Asperger's syndrome-Patients-Case studies. ; Teenagers with mental disabilities-Case studies. ; Teenagers-Mental health-Case studies.</t>
  </si>
  <si>
    <t>ADD and Me : Forty Years in a Fog</t>
  </si>
  <si>
    <t>Patterson, Ken</t>
  </si>
  <si>
    <t>RC394.A85 -- P38 2004eb</t>
  </si>
  <si>
    <t>362.196/8589/0092 B</t>
  </si>
  <si>
    <t>Patterson, Ken, -- 1962- -- Health. ; Attention-deficit-disordered adults -- Biography. ; Attention-deficit-disordered children -- Biography.</t>
  </si>
  <si>
    <t>Hewitt, David;Pritchard, Jacki;Ryan, Tony</t>
  </si>
  <si>
    <t>Good Practice in Health, Social Care and Criminal Justice Series</t>
  </si>
  <si>
    <t>Mental health. ; Mental illness -- Prevention. ; Mentally ill -- Services for -- Great Britain. ; Psychiatric social work -- Great Britain.</t>
  </si>
  <si>
    <t>Can You Read Me? : Creative Writing with Child and Adult Victims of Abuse</t>
  </si>
  <si>
    <t>Pritchard, Jacki;Sainsbury, Eric</t>
  </si>
  <si>
    <t>RC489.W75 -- P75 2004eb</t>
  </si>
  <si>
    <t>616.85/822306</t>
  </si>
  <si>
    <t>Abused children -- Rehabilitation. ; Adult child abuse victims -- Rehabilitation. ; Creative writing -- Therapeutic use. ; Self-actualization (Psychology)</t>
  </si>
  <si>
    <t>Homeschooling the Child with Asperger Syndrome : Real Help for Parents Anywhere and on Any Budget</t>
  </si>
  <si>
    <t>Pyles, Lise</t>
  </si>
  <si>
    <t>Asperger's syndrome. ; Asperger's syndrome-Patients-Education. ; Home schooling. ; Patient education.</t>
  </si>
  <si>
    <t>The Child's Own Story : Life Story Work with Traumatized Children</t>
  </si>
  <si>
    <t>Walsh, Mary;Philpot, Terry;Rose, Richard</t>
  </si>
  <si>
    <t>Delivering Recovery Series</t>
  </si>
  <si>
    <t>Child psychopathology. ; Post-traumatic stress disorder in children-Treatment.</t>
  </si>
  <si>
    <t>The Healing Flow - Artistic Expression in Therapy : Creative Arts and the Process of Healing: an Image/Word Approach Inquiry</t>
  </si>
  <si>
    <t>Schnetz, Martina;Darroch-Lozowski, V.;Wright, David</t>
  </si>
  <si>
    <t>RC489.A7 -- S365 2004eb</t>
  </si>
  <si>
    <t>Art therapy. ; Healing. ; Imagery (Psychology) -- Therapeutic use.</t>
  </si>
  <si>
    <t>AD,AE,AF,AG,AI,AL,AM,AO,AQ,AR,AS,AT,AU,AW,AX,AZ,BA,BB,BD,BE,BF,BG,BH,BI,BJ,BL,BM,BN,BO,BQ,BR,BS,BT,BV,BW,BY,BZ,CA,CC,CD,CF,CG,CH,CI,CK,CL,CM,CN,CO,CR,CU,CV,CW,CX,CY,CZ,DE,DJ,DK,DM,DO,DZ,EC,EE,EG,EH,ER,ES,ET,FI,FJ,FK,FM,FO,FR,GA,GB,GD,GE,GF,GG,GH,GI,GL,GM,GN,GP,GQ,GR,GS,GT,GU,GW,GY,HK,HM,HN,HR,HT,HU,ID,IE,IL,IM,IN,IO,IQ,IR,IS,IT,JE,JM,JO,JP,KE,KG,KH,KI,KM,KN,KP,KR,KW,KY,KZ,LA,LB,LC,LI,LK,LR,LS,LT,LU,LV,LY,MA,MC,MD,MF,MG,MH,MK,ML,MM,MN,MO,MP,MQ,MR,MS,MT,MU,MV,MW,MX,MY,MZ,NA,NC,NE,NF,NG,NI,NL,NO,NP,NR,NU,NZ,OM,PA,PE,PF,PG,PH,PK,PL,PM,PN,PR,PS,PT,PW,PY,QA,RE,RO,RU,RW,SA,SB,SC,SD,SE,SG,SH,SI,SJ,SK,SL,SM,SN,SO,SR,SS,ST,SV,SX,SY,SZ,TC,TD,TF,TG,TH,TJ,TK,TL,TM,TN,TO,TR,TT,TV,TW,TZ,UA,UG,UM,US,UY,UZ,VA,VC,VE,VG,VI,VN,VU,WF,WS,YE,YT,ZA,ZM,ZW</t>
  </si>
  <si>
    <t>Little Windows into Art Therapy : Small Openings for Beginning Therapists</t>
  </si>
  <si>
    <t>Schroder, Deborah</t>
  </si>
  <si>
    <t>Therapeutic Approaches in Work with Traumatised Children and Young People : Theory and Practice</t>
  </si>
  <si>
    <t>Tomlinson, Patrick</t>
  </si>
  <si>
    <t>Community, Culture and Change Series</t>
  </si>
  <si>
    <t>RJ506.P66 T65 2004</t>
  </si>
  <si>
    <t>Psychic trauma in children-Treatment.</t>
  </si>
  <si>
    <t>Adam's Alternative Sports Day : An Asperger Story</t>
  </si>
  <si>
    <t>Welton, Jude</t>
  </si>
  <si>
    <t>Asperger's syndrome -- Fiction. ; Competition (Psychology) -- Fiction. ; Schools -- Fiction.</t>
  </si>
  <si>
    <t>Literature; Juvenile Literature</t>
  </si>
  <si>
    <t>The Development of Autism : A Self-Regulatory Perspective</t>
  </si>
  <si>
    <t>Whitman, Thomas L.</t>
  </si>
  <si>
    <t>616.85/882</t>
  </si>
  <si>
    <t>Everyday Heaven : Journeys Beyond the Stereotypes of Autism</t>
  </si>
  <si>
    <t>Williams, Donna</t>
  </si>
  <si>
    <t>616.89/82/0092 B</t>
  </si>
  <si>
    <t>Williams, Donna,-1963--Mental health. ; Autism-Alternative treatment. ; Autistic people-Biography.</t>
  </si>
  <si>
    <t>How to Live with Autism and Asperger Syndrome : Practical Strategies for Parents and Professionals</t>
  </si>
  <si>
    <t>Brayshaw, Joanne;Young, Olive;Williams, Christine</t>
  </si>
  <si>
    <t>Asperger's syndrome. ; Autism in children.</t>
  </si>
  <si>
    <t>Home Economics; Psychology</t>
  </si>
  <si>
    <t>People with Autism Behaving Badly : Helping People with ASD Move on from Behavioral and Emotional Challenges</t>
  </si>
  <si>
    <t>Clements, John</t>
  </si>
  <si>
    <t>RC553.A88 C563 2005</t>
  </si>
  <si>
    <t>616.85/88206</t>
  </si>
  <si>
    <t>Asperger's syndrome. ; Autism.</t>
  </si>
  <si>
    <t>Succeeding with Autism : Hear My Voice</t>
  </si>
  <si>
    <t>Cohen, Judith</t>
  </si>
  <si>
    <t>RC553.A88C64 2005</t>
  </si>
  <si>
    <t>616.85/882/0092 B</t>
  </si>
  <si>
    <t>Autistic people-Biography. ; Autism.</t>
  </si>
  <si>
    <t>A Bolt from the Blue : Coping with Disasters and Acute Traumas</t>
  </si>
  <si>
    <t>Silver, Annira;Saari, Salli</t>
  </si>
  <si>
    <t>RC552.P67S2224 2005</t>
  </si>
  <si>
    <t>362.196/852106</t>
  </si>
  <si>
    <t>Transfer Boy : Perspectives on Asperger Syndrome</t>
  </si>
  <si>
    <t>Mihail, Teodor;Ferrari, Michel;Vuletic, Ljiljana</t>
  </si>
  <si>
    <t>RJ506.A9V84 2005</t>
  </si>
  <si>
    <t>Mihail, Teodor -- Mental health. ; Asperger's syndrome -- Case studies.</t>
  </si>
  <si>
    <t>Washing My Life Away : Surviving Obsessive-Compulsive Disorder</t>
  </si>
  <si>
    <t>Deane, Ruth</t>
  </si>
  <si>
    <t>RC533.D43 2005</t>
  </si>
  <si>
    <t>362.196/85227/0092 B</t>
  </si>
  <si>
    <t>Deane, Ruth, -- 1971- -- Mental health. ; Obsessive-compulsive disorder -- Patients -- Biography. ; Obsessive-compulsive disorder.</t>
  </si>
  <si>
    <t>Psychology; Social Science; Medicine; Health</t>
  </si>
  <si>
    <t>Social Perspectives in Mental Health : Developing Social Models to Understand and Work with Mental Distress</t>
  </si>
  <si>
    <t>Tew, Jerry;Carr, Sarah;Beresford, Peter;Webber, Martin</t>
  </si>
  <si>
    <t>RC455.S5975 2005</t>
  </si>
  <si>
    <t>Mental health-Social aspects. ; Mental illness-Social aspects. ; Psychiatric social work.</t>
  </si>
  <si>
    <t>Health; Medicine; Psychology; Social Science</t>
  </si>
  <si>
    <t>An Introduction to Medical Dance/Movement Therapy : Health Care in Motion</t>
  </si>
  <si>
    <t>Goodill, Sharon W.</t>
  </si>
  <si>
    <t>Blackwell, Dick</t>
  </si>
  <si>
    <t>RC451.4.P57B53 2005</t>
  </si>
  <si>
    <t>Political refugees -- Counseling of. ; Political refugees -- Mental health. ; Post-traumatic stress disorder -- Treatment. ; Refugees -- Counseling of. ; Refugees -- Mental health.</t>
  </si>
  <si>
    <t>Ghaziuddin, Mohammad</t>
  </si>
  <si>
    <t>RC553.A88G485 2005</t>
  </si>
  <si>
    <t>Lost for Words : Loss and Bereavement Awareness Training</t>
  </si>
  <si>
    <t>McManus, Nick;Holland, John;Dance, Ruth;McManus, Nick</t>
  </si>
  <si>
    <t>BF723.L68L67 2005</t>
  </si>
  <si>
    <t>Bereavement in children. ; Grief in children. ; Loss (Psychology) in children.</t>
  </si>
  <si>
    <t>Lawson, Wendy</t>
  </si>
  <si>
    <t>RC553.A88L392 2005</t>
  </si>
  <si>
    <t>Medicine; Social Science; Psychology; Health</t>
  </si>
  <si>
    <t>Crissey, Pat</t>
  </si>
  <si>
    <t>RJ506.A9C75 2005</t>
  </si>
  <si>
    <t>Autistic children-Health and hygiene-Juvenile literature. ; Asperger's syndrome-Patients-Health and hygiene-Juvenile literature.</t>
  </si>
  <si>
    <t>My Son Fred - Living with Autism : How Could You Manage? I Couldn't. I Did It Anyway</t>
  </si>
  <si>
    <t>Deckmar, Maud</t>
  </si>
  <si>
    <t>RJ506.A9 D43 2005</t>
  </si>
  <si>
    <t>Deckmar, Fred. ; Deckmar, Maud,-1951- ; Autistic children-Sweden-Biography. ; Parents of autistic children-Sweden-Biography.</t>
  </si>
  <si>
    <t>Durig, Alexander</t>
  </si>
  <si>
    <t>RC553.A88 D873 2005</t>
  </si>
  <si>
    <t>Asperger's syndrome. ; Autism-Popular works.</t>
  </si>
  <si>
    <t>Surviving Fears in Health and Social Care : The Terrors of Night and the Arrows of Day</t>
  </si>
  <si>
    <t>Smith, Martin</t>
  </si>
  <si>
    <t>RC451.4.M44 S64 2004</t>
  </si>
  <si>
    <t>Fear. ; Human services-Psychological aspects. ; Medical personnel-Attitudes. ; Medical personnel-Mental health. ; Medical personnel-Psychology. ; Social workers-Attitudes. ; Social workers-Mental health. ; Social workers-Psychology.</t>
  </si>
  <si>
    <t>Children, Youth and Adults with Asperger Syndrome : Integrating Multiple Perspectives</t>
  </si>
  <si>
    <t>Stoddart, Kevin;Schnurr, Rosina G.;Konstantareas, M. Mary;Muskat, Barbara;Epstein, Trina;Saltzman-Benaiah, Jennifer;Hawkins, Gail;Henault, Isabelle;Lindblad, Tracie;Roberts, S. Wendy</t>
  </si>
  <si>
    <t>RC570 .C45 2005</t>
  </si>
  <si>
    <t>Peers, Jessica</t>
  </si>
  <si>
    <t>RJ506.A9 P44 2003</t>
  </si>
  <si>
    <t>Peers, Jessica-Mental health. ; Autistic children-Biography. ; Asperger's syndrome-Patients-Biography.</t>
  </si>
  <si>
    <t>Henshaw, Carol;Elliott, Sandra</t>
  </si>
  <si>
    <t>RG852.S37 2005</t>
  </si>
  <si>
    <t>617.7/6075</t>
  </si>
  <si>
    <t>Medical screening -- Great Britain. ; Postpartum depression -- Diagnosis -- Great Britain. ; Pregnant women -- Mental health services -- Great Britain.</t>
  </si>
  <si>
    <t>Simon, David;Graham, S. A.;Simon, David</t>
  </si>
  <si>
    <t>RC489.A7S556 2005</t>
  </si>
  <si>
    <t>Art therapy. ; Self-care, Health.</t>
  </si>
  <si>
    <t>Foster Children : Where They Go and How They Get On</t>
  </si>
  <si>
    <t>Sinclair, Ian;Gibbs, Ian;Wilson, Kate;Baker, Claire</t>
  </si>
  <si>
    <t>ML3920.S726 2005</t>
  </si>
  <si>
    <t>Foster children-Great Britain. ; Foster home care-Great Britain-Evaluation.</t>
  </si>
  <si>
    <t>Fine Arts; Social Science</t>
  </si>
  <si>
    <t>Narrative Identities : Psychologists Engaged in Self-Construction</t>
  </si>
  <si>
    <t>Yancy, George;Hadley, Susan</t>
  </si>
  <si>
    <t>BF109.A1N37 2005</t>
  </si>
  <si>
    <t>Psychologists -- Biography. ; Psychologists -- Psychology.</t>
  </si>
  <si>
    <t>Ledger, Sue;Carnaby, Steven;Cambridge, Paul;Osgood, Tony;Mansell, Jim;Shah, Robina</t>
  </si>
  <si>
    <t>HV3004.P434 2005</t>
  </si>
  <si>
    <t>Learning disabled -- Services for. ; People with mental disabilities -- Services for.</t>
  </si>
  <si>
    <t>Reducing Stress-Related Behaviours in People with Dementia : Care-Based Therapy</t>
  </si>
  <si>
    <t>Bonner, Chris</t>
  </si>
  <si>
    <t>RC521.B66 2005</t>
  </si>
  <si>
    <t>Revealing the Hidden Social Code : Social Stories (TM) for People with Autistic Spectrum Disorders</t>
  </si>
  <si>
    <t>Howley, Marie;Arnold, Eileen</t>
  </si>
  <si>
    <t>RJ506.A9H675 2005</t>
  </si>
  <si>
    <t>Autistic children -- Behavior modification. ; Autistic children -- Education. ; Autistic children -- Rehabilitation. ; Narration (Rhetoric) -- Psychological aspects. ; Narrative therapy. ; Social skills in children -- Study and teaching.</t>
  </si>
  <si>
    <t>Understanding How Asperger Children and Adolescents Think and Learn : Creating Manageable Environments for AS Students</t>
  </si>
  <si>
    <t>Jacobsen, Paula</t>
  </si>
  <si>
    <t>RJ506.A9J335 2005</t>
  </si>
  <si>
    <t>Asperger's syndrome-Patients-Education. ; Autistic children.</t>
  </si>
  <si>
    <t>Understanding Sensory Dysfunction : Learning, Development and Sensory Dysfunction in Autism Spectrum Disorders, ADHD, Learning Disabilities and Bipolar Disorder</t>
  </si>
  <si>
    <t>Emmons, Polly;Anderson, Liz</t>
  </si>
  <si>
    <t>RJ496.S44E465 2005</t>
  </si>
  <si>
    <t>Learning disabled children-Education. ; Minimal brain dysfunction in children-Diagnosis. ; Minimal brain dysfunction in children-Treatment.</t>
  </si>
  <si>
    <t>Art Therapy and AD/HD : Diagnostic and Therapeutic Approaches</t>
  </si>
  <si>
    <t>Safran, Diane</t>
  </si>
  <si>
    <t>616.8/589065156</t>
  </si>
  <si>
    <t>Art therapy. ; Attention-deficit hyperactivity disorder -- Diagnosis. ; Attention-deficit hyperactivity disorder -- Treatment.</t>
  </si>
  <si>
    <t>Cracked : Recovering after Traumatic Brain Injury</t>
  </si>
  <si>
    <t>Calderwood, Ely Percy</t>
  </si>
  <si>
    <t>617.4/810443/092 B</t>
  </si>
  <si>
    <t>Developmental Coordination Disorder : Hints and Tips for the Activities of Daily Living</t>
  </si>
  <si>
    <t>Ball, Morven</t>
  </si>
  <si>
    <t>618.9/2/8982</t>
  </si>
  <si>
    <t>A House Next Door to Trauma : Learning from Holocaust Survivors How to Respond to Atrocity</t>
  </si>
  <si>
    <t>Hassan, Judith</t>
  </si>
  <si>
    <t>RC451.4.H62 H37 2002</t>
  </si>
  <si>
    <t>Holocaust survivors-Mental health. ; Psychic trauma-Patients-Care.</t>
  </si>
  <si>
    <t>Living and Loving with Asperger Syndrome : Family Viewpoints</t>
  </si>
  <si>
    <t>McCabe, Patrick and Estelle</t>
  </si>
  <si>
    <t>RC553.A88 M376 2003</t>
  </si>
  <si>
    <t>Asperger's syndrome-Patients-Biography. ; Autistic people-Biography.</t>
  </si>
  <si>
    <t>Asperger's Syndrome and Sexuality : From Adolescence Through Adulthood</t>
  </si>
  <si>
    <t>Henault, Isabelle;Attwood, Anthony</t>
  </si>
  <si>
    <t>RC553.A88 H46 2006</t>
  </si>
  <si>
    <t>Asperger's syndrome-Patients-Sexual behavior-Popular works. ; Autism.</t>
  </si>
  <si>
    <t>Creative Expressive Activities and Asperger's Syndrome : Social and Emotional Skills and Positive Life Goals for Adolescents and Young Adults</t>
  </si>
  <si>
    <t>Martinovich, Judith</t>
  </si>
  <si>
    <t>RJ506.A9M376 2006</t>
  </si>
  <si>
    <t>618.92/858832</t>
  </si>
  <si>
    <t>Asperger's syndrome -- Patients -- Education. ; Asperger's syndrome -- Social aspects. ; Creative ability.</t>
  </si>
  <si>
    <t>Finding You Finding Me : Using Intensive Interaction to Get in Touch with People Whose Severe Learning Disabilities Are Combined with Autistic Spectrum Disorder</t>
  </si>
  <si>
    <t>Caldwell, Phoebe</t>
  </si>
  <si>
    <t>RC553.A88C35 2006</t>
  </si>
  <si>
    <t>Autism. ; Body language. ; Developmentally disabled -- Means of communication. ; Interpersonal communication.</t>
  </si>
  <si>
    <t>Inner Journeying Through Art-Journaling : Learning to See and Record Your Life As a Work of Art</t>
  </si>
  <si>
    <t>Hieb, Marianne</t>
  </si>
  <si>
    <t>RC489.A7H54 2005</t>
  </si>
  <si>
    <t>Rebels with a Cause : Working with Adolescents Using Action Techniques</t>
  </si>
  <si>
    <t>Cossa, Mario;Moreno, Zerka T.</t>
  </si>
  <si>
    <t>RJ505.P89C67 2006</t>
  </si>
  <si>
    <t>Drama -- Therapeutic use. ; Group psychotherapy for teenagers.</t>
  </si>
  <si>
    <t>Fleisher, Marc</t>
  </si>
  <si>
    <t>RJ506.A9F59 2006</t>
  </si>
  <si>
    <t>Autistic people -- Life skills guides. ; Autism in children -- Rehabilitation.</t>
  </si>
  <si>
    <t>Theory of Mind and the Triad of Perspectives on Autism and Asperger Syndrome : A View from the Bridge</t>
  </si>
  <si>
    <t>Bogdashina, Olga</t>
  </si>
  <si>
    <t>RC553.A88B64 2005</t>
  </si>
  <si>
    <t>Lathe, Richard</t>
  </si>
  <si>
    <t>RC553.A88L38 2006</t>
  </si>
  <si>
    <t>Autism -- Environmental aspects. ; Autism -- Genetic aspects. ; Autism -- Pathogenesis. ; Environmental toxicology. ; Limbic system -- Diseases.</t>
  </si>
  <si>
    <t>Shattered Lives : Children Who Live with Courage and Dignity</t>
  </si>
  <si>
    <t>Batmanghelidjh, Camila</t>
  </si>
  <si>
    <t>RC569.5.C55B28 2006</t>
  </si>
  <si>
    <t>Medicine; Psychology; Social Science</t>
  </si>
  <si>
    <t>Profiles of Play : Assessing and Observing Structure and Process in Play Therapy</t>
  </si>
  <si>
    <t>Chazan, Saralea</t>
  </si>
  <si>
    <t>Child development -- Testing. ; Play assessment (Child psychology) ; Play therapy.</t>
  </si>
  <si>
    <t>Group Action : The Dynamics of Groups in Therapeutic, Educational and Corporate Settings</t>
  </si>
  <si>
    <t>Neri, Claudio;Ringer, Martin;Pines, Malcolm</t>
  </si>
  <si>
    <t>RC488 -- .R53 2002eb</t>
  </si>
  <si>
    <t>616.8/9152</t>
  </si>
  <si>
    <t>Group psychotherapy. ; Leadership. ; Teams in the workplace.</t>
  </si>
  <si>
    <t>Clayworks in Art Therapy : Plying the Sacred Circle</t>
  </si>
  <si>
    <t>Henley, David</t>
  </si>
  <si>
    <t>Can't Eat, Won't Eat : Dietary Difficulties and Autistic Spectrum Disorders</t>
  </si>
  <si>
    <t>Legge, Brenda</t>
  </si>
  <si>
    <t>Autism in children-Nutritional aspects. ; Eating disorders.</t>
  </si>
  <si>
    <t>Slater-Walker, Gisela;Slater-Walker, Christopher;Attwood, Anthony</t>
  </si>
  <si>
    <t>Asperger's syndrome-Great Britain. ; Asperger's syndrome-Patients-Family relationships. ; Autism.</t>
  </si>
  <si>
    <t>Home Economics; Psychology; Social Science</t>
  </si>
  <si>
    <t>Etherington, Kim;Segal, Julia;Thomas, Gillian;Bryant-Jefferies, Richard</t>
  </si>
  <si>
    <t>RC439.5 -- .R4235 2002eb</t>
  </si>
  <si>
    <t>Counseling. ; Mentally ill -- Rehabilitation. ; Rehabilitation.</t>
  </si>
  <si>
    <t>Relationship Development Intervention with Children, Adolescents and Adults : Social and Emotional Development Activities for Asperger Syndrome, Autism, PDD and NLD</t>
  </si>
  <si>
    <t>Gutstein, Steven;Sheely, Rachelle K.</t>
  </si>
  <si>
    <t>618.92/898203</t>
  </si>
  <si>
    <t>Asperger's syndrome. ; Autistic children-Rehabilitation. ; Child development. ; Children with disabilities-Attitudes. ; Developmental disabilities. ; Friendship in children. ; Social skills in children.</t>
  </si>
  <si>
    <t>Neither Bad nor Mad : The Competing Discourses of Psychiatry, Law and Politics</t>
  </si>
  <si>
    <t>Greig, Deidre</t>
  </si>
  <si>
    <t>KU3884.A4 -- 2002eb</t>
  </si>
  <si>
    <t>David, Garry, -- 1972-1993. ; Forensic psychology. ; Good and evil. ; Insanity (Law) ; Mental health laws -- Australia -- Case studies. ; Violent offenders -- Australia -- Case studies.</t>
  </si>
  <si>
    <t>Health; Law; Medicine</t>
  </si>
  <si>
    <t>Communicating with Children and Adolescents : Action for Change</t>
  </si>
  <si>
    <t>Bannister, Anne;Huntington, Annie;Jennings, Sue;Cossa, Mario;Kirk, Kate</t>
  </si>
  <si>
    <t>BF723.C57.C64 2002eb</t>
  </si>
  <si>
    <t>Printmaking As Therapy : Frameworks for Freedom</t>
  </si>
  <si>
    <t>White, Lucy Mueller</t>
  </si>
  <si>
    <t>RC489.A7 -- W476 2002eb</t>
  </si>
  <si>
    <t>Art therapy. ; Prints -- Technique.</t>
  </si>
  <si>
    <t>Racism and Mental Health : Prejudice and Suffering</t>
  </si>
  <si>
    <t>Bhui, Kamaldeep;McKenzie, Kwame;Bhugra, Dinesh</t>
  </si>
  <si>
    <t>RA790.7.G7 -- R33 2002eb</t>
  </si>
  <si>
    <t>362.2/089/00941</t>
  </si>
  <si>
    <t>Minorities -- Mental health services -- Great Britain. ; Racism -- Great Britain.</t>
  </si>
  <si>
    <t>Dangerous Encounters - Avoiding Perilous Situations with Autism : A Streetwise Guide for All Emergency Responders, Retailers and Parents</t>
  </si>
  <si>
    <t>Schunick, Wendy;Davis, Bill</t>
  </si>
  <si>
    <t>RC553.A88 D385 2002</t>
  </si>
  <si>
    <t>Autism-Miscellanea. ; Autism. ; Communication in emergency medicine. ; Emergency medical personnel. ; Risk-taking (Psychology)</t>
  </si>
  <si>
    <t>The Story So Far : Play Therapy Narratives</t>
  </si>
  <si>
    <t>RJ505.P6 -- S76 2002eb</t>
  </si>
  <si>
    <t>618.92/891653</t>
  </si>
  <si>
    <t>Mental health counseling. ; Narrative therapy. ; Play therapy -- Case studies. ; Play -- Psychological aspects.</t>
  </si>
  <si>
    <t>Gabriels, Robin;Hill, Dina E.</t>
  </si>
  <si>
    <t>RJ506.A9 A9222 2002</t>
  </si>
  <si>
    <t>618.92/8982</t>
  </si>
  <si>
    <t>Autism in children-Research. ; Autism in children. ; Autism-Research.</t>
  </si>
  <si>
    <t>I'm Not Naughty - I'm Autistic : Jodi's Journey</t>
  </si>
  <si>
    <t>Shaw, Jean</t>
  </si>
  <si>
    <t>RJ506.A9 S525 2002</t>
  </si>
  <si>
    <t>618.92/8982/0092 B</t>
  </si>
  <si>
    <t>Shaw, Jodi-Mental health. ; Autistic people-Biography. ; Autistic children-Biography. ; Autistic children-Family relationships. ; Parents of autistic children.</t>
  </si>
  <si>
    <t>Non-Verbal Learning Disabilities : Characteristics, Diagnosis and Treatment Within an Educational Setting</t>
  </si>
  <si>
    <t>Molenaar-Klumper, Marieke</t>
  </si>
  <si>
    <t>RJ47.M5613 2002eb</t>
  </si>
  <si>
    <t>Nonverbal learning disabilities. ; Learning disabilities. ; Learning disabled children. ; Social skills in children. ; Child psychology.</t>
  </si>
  <si>
    <t>Parenting in Poor Environments : Stress, Support and Coping</t>
  </si>
  <si>
    <t>Ghate, Deborah;Hazel, Neal</t>
  </si>
  <si>
    <t>Supporting Parents Series</t>
  </si>
  <si>
    <t>HV700.G7 -- G435 2002eb</t>
  </si>
  <si>
    <t>362.82/53/0941</t>
  </si>
  <si>
    <t>Family life surveys -- Great Britain. ; Family social work -- Great Britain. ; Low-income parents -- Social networks -- Great Britain. ; Low-income parents -- Great Britain. ; Poor families -- Great Britain. ; Stress (Psychology) -- Great Britain.</t>
  </si>
  <si>
    <t>Dreams in Group Psychotherapy : Theory and Technique</t>
  </si>
  <si>
    <t>Friedman, Robi;Neri, Claudio;Pines, Malcolm</t>
  </si>
  <si>
    <t>International Library of Group Analysis Series</t>
  </si>
  <si>
    <t>RC488 -- .D74 2002eb</t>
  </si>
  <si>
    <t>Dream interpretation. ; Dreams. ; Group psychotherapy.</t>
  </si>
  <si>
    <t>The School Years : Assessing and Promoting Resilience in Vulnerable Children 2</t>
  </si>
  <si>
    <t>Daniel, Brigid;Wassell, Sally</t>
  </si>
  <si>
    <t>HV713 -- .D36 v.2 2002eb</t>
  </si>
  <si>
    <t>Children with social disabilities. ; Resilience (Personality trait) in adolescence. ; Resilience (Personality trait) in children. ; Social work with children. ; Social work with teenagers. ; Teenagers with social disabilities.</t>
  </si>
  <si>
    <t>The Early Years : Assessing and Promoting Resilience in Vulnerable Children 1</t>
  </si>
  <si>
    <t>Wassell, Sally;Daniel, Brigid</t>
  </si>
  <si>
    <t>Exposure Anxiety - the Invisible Cage : An Exploration of Self-Protection Responses in the Autism Spectrum and Beyond</t>
  </si>
  <si>
    <t>Autism. ; Anxiety-Treatment. ; Self-interest.</t>
  </si>
  <si>
    <t>Greenberg, Maurice;Tantam, Digby;Shergill, Sukhi;Szmukler, George</t>
  </si>
  <si>
    <t>RC480.7 .N37 2002</t>
  </si>
  <si>
    <t>Interviewing in psychiatry. ; Needs assessment. ; Personal construct therapy.</t>
  </si>
  <si>
    <t>Strengthening Emotional Ties Through Parent-Child-Dyad Art Therapy : Interventions with Infants and Preschoolers</t>
  </si>
  <si>
    <t>Proulx, Lucille</t>
  </si>
  <si>
    <t>618.92/891656</t>
  </si>
  <si>
    <t>Hidden Self-Harm : Narratives from Psychotherapy</t>
  </si>
  <si>
    <t>Turp, Maggie</t>
  </si>
  <si>
    <t>Spirit and Psyche : A New Paradigm for Psychology, Psychoanalysis and Psychotherapy</t>
  </si>
  <si>
    <t>Schermer, Victor</t>
  </si>
  <si>
    <t>BF175.4.R44 S34 2003</t>
  </si>
  <si>
    <t>Psychoanalysis and religion. ; Psychology and religion. ; Psychotherapy-Religious aspects.</t>
  </si>
  <si>
    <t>Building on Bion: Branches : Contemporary Developments and Applications of Bion's Contributions to Theory and Practice</t>
  </si>
  <si>
    <t>Pines, Malcolm;Lipgar, Robert</t>
  </si>
  <si>
    <t>Bion, Wilfred R. -- (Wilfred Ruprecht), -- 1897-1979. ; Group psychoanalysis. ; Psychoanalysis.</t>
  </si>
  <si>
    <t>Demystifying the Autistic Experience : A Humanistic Introduction for Parents, Caregivers and Educators</t>
  </si>
  <si>
    <t>Stillman, William</t>
  </si>
  <si>
    <t>The Dragons of Autism : Autism As a Source of Wisdom</t>
  </si>
  <si>
    <t>Holland, Olga</t>
  </si>
  <si>
    <t>RJ506.A9 H645 2003</t>
  </si>
  <si>
    <t>Autism in children. ; Autistic children-Family relationships. ; Parents of autistic children.</t>
  </si>
  <si>
    <t>Hogan, Susan;Liebmann, Marian;Slater, Nancy</t>
  </si>
  <si>
    <t>The Expressive Body in Life, Art, and Therapy : Working with Movement, Metaphor and Meaning</t>
  </si>
  <si>
    <t>Halprin, Daria</t>
  </si>
  <si>
    <t>A Life Well Lived : Maxwell Jones - a Memoir</t>
  </si>
  <si>
    <t>Briggs, Dennie</t>
  </si>
  <si>
    <t>RC438.6.J644 -- B75 2002eb</t>
  </si>
  <si>
    <t>616.89/0092 B</t>
  </si>
  <si>
    <t>Jones, Maxwell. ; Clinical psychologists -- Biography.</t>
  </si>
  <si>
    <t>Personality Disorder : Temperament or Trauma?</t>
  </si>
  <si>
    <t>Castillo, Heather</t>
  </si>
  <si>
    <t>616.85/8</t>
  </si>
  <si>
    <t>Personality disorders. ; Psychic trauma. ; Temperament.</t>
  </si>
  <si>
    <t>The Social Unconscious : Selected Papers</t>
  </si>
  <si>
    <t>Pines, Malcolm;Hopper, Earl</t>
  </si>
  <si>
    <t>RC488 .H585 2003</t>
  </si>
  <si>
    <t>616.89/152</t>
  </si>
  <si>
    <t>Group psychotherapy. ; Psychoanalysis. ; Subconsciousness.</t>
  </si>
  <si>
    <t>Doherty-Sneddon, Gwyneth</t>
  </si>
  <si>
    <t>Nonverbal communication in children.</t>
  </si>
  <si>
    <t>Schneider, Edgar</t>
  </si>
  <si>
    <t>RC553.A88 S363 2003</t>
  </si>
  <si>
    <t>616.89/82/0092</t>
  </si>
  <si>
    <t>Autism. ; Asperger's syndrome. ; Autistic people-Family relationships. ; Asperger's syndrome-Patients-Family relationships.</t>
  </si>
  <si>
    <t>Relational Group Psychotherapy : From Basic Assumptions to Passion</t>
  </si>
  <si>
    <t>Billow, Richard;Pines, Malcolm;Pines, Malcolm</t>
  </si>
  <si>
    <t>RC488 -- .B475 2003eb</t>
  </si>
  <si>
    <t>Group psychoanalysis. ; Group psychotherapy.</t>
  </si>
  <si>
    <t>Build Your Own Life : A Self-Help Guide for Individuals with Asperger Syndrome</t>
  </si>
  <si>
    <t>616.8/982</t>
  </si>
  <si>
    <t>Asperger's syndrome -- Patients -- Life skills guides. ; Autism.</t>
  </si>
  <si>
    <t>Trauma, Attachment and Family Permanence : Fear Can Stop You Loving</t>
  </si>
  <si>
    <t>Hughes, Daniel;Burnell, Alan;Archer, Caroline</t>
  </si>
  <si>
    <t>Attachment behavior in children. ; Families -- Psychological aspects. ; Psychic trauma in children.</t>
  </si>
  <si>
    <t>Asperger Syndrome in Adolescence : Living with the Ups, the Downs and Things in Between</t>
  </si>
  <si>
    <t>Henault, Isabelle;Jackson, Jacqui;Stanton, Mike;Hyatt-Foley, DeAnn;Debbaudt, Dennis;Gutstein, Steven;Attwood, Anthony;Shore, Stephen;Jackson, Luke;Moyes, Rebecca</t>
  </si>
  <si>
    <t>616.89/82/00835</t>
  </si>
  <si>
    <t>Asperger's syndrome. ; Autistic children. ; Teenagers with mental disabilities. ; Teenagers -- Mental health.</t>
  </si>
  <si>
    <t>Birch, Jen</t>
  </si>
  <si>
    <t>Birch, Jen,-1955- ; Asperger's syndrome-Patients-Biography.</t>
  </si>
  <si>
    <t>Slater-Walker, Christopher;Slater-Walker, Gisela;Aston, Maxine</t>
  </si>
  <si>
    <t>Asperger's syndrome -- Patients. ; Interpersonal relations.</t>
  </si>
  <si>
    <t>Brown, Chris;Adshead, Gwen</t>
  </si>
  <si>
    <t>Forensic psychiatry -- Study and teaching -- Moral and ethical aspects. ; Forensic psychiatry.</t>
  </si>
  <si>
    <t>Snapshots of Autism : A Family Album</t>
  </si>
  <si>
    <t>Overton, Jennifer</t>
  </si>
  <si>
    <t>RJ506.A9 -- O94 2003eb</t>
  </si>
  <si>
    <t>618.9/28982/0092</t>
  </si>
  <si>
    <t>Overton, Jennifer -- Family. ; Overton, Nicholas Dana. ; Autistic children -- Biography. ; Autistic children -- Care. ; Parents of autistic children.</t>
  </si>
  <si>
    <t>From Goals to Data and Back Again : Adding Backbone to Developmental Intervention for Children with Autism</t>
  </si>
  <si>
    <t>Lehman, Jill Fain;Klaw, Rebecca</t>
  </si>
  <si>
    <t>RJ506.A9 L446 2003</t>
  </si>
  <si>
    <t>618.92/898206</t>
  </si>
  <si>
    <t>Autism in children-Treatment. ; Autism in children. ; Children with disabilities-Rehabilitation.</t>
  </si>
  <si>
    <t>Inclusive Research with People with Learning Disabilities : Past, Present and Futures</t>
  </si>
  <si>
    <t>Johnson, Kelley;Walmsley, Jan</t>
  </si>
  <si>
    <t>RC394.L37 W356 2003</t>
  </si>
  <si>
    <t>616.85/8890072</t>
  </si>
  <si>
    <t>Learning disabilities-Research-Methodology. ; Participant observation.</t>
  </si>
  <si>
    <t>Running with Walker : A Memoir</t>
  </si>
  <si>
    <t>Hughes, Robert</t>
  </si>
  <si>
    <t>Understanding Autism Spectrum Disorders : Frequently Asked Questions</t>
  </si>
  <si>
    <t>Yapko, Diane</t>
  </si>
  <si>
    <t>Autism-Popular works. ; Developmental disabilities.</t>
  </si>
  <si>
    <t>Boys Who Have Abused : Psychoanalytic Psychotherapy with Victim/Perpetrators of Sexual Abuse</t>
  </si>
  <si>
    <t>Woods, John;Bentovim, Arnon</t>
  </si>
  <si>
    <t>616.8/583/0651</t>
  </si>
  <si>
    <t>Adolescent psychotherapy. ; Teenage sex offenders -- Psychology. ; Teenage sex offenders -- Rehabilitation.</t>
  </si>
  <si>
    <t>Making Sense of the Unfeasible : My Life Journey with Asperger Syndrome</t>
  </si>
  <si>
    <t>RC553.A88 F54 2003</t>
  </si>
  <si>
    <t>Fleisher, Marc,-1967- ; Asperger's syndrome-Patients-Biography.</t>
  </si>
  <si>
    <t>Constructing Clienthood in Social Work and Human Services : Interaction, Identities and Practices</t>
  </si>
  <si>
    <t>Juhila, Kirsi;Poso, Tarja;White, Sue;Hall, Chris;Parton, Nigel</t>
  </si>
  <si>
    <t>361.3/2</t>
  </si>
  <si>
    <t>Social case work. ; Social interaction. ; Social work administration.</t>
  </si>
  <si>
    <t>How to Help a Clumsy Child : Strategies for Young Children with Developmental Motor Concerns</t>
  </si>
  <si>
    <t>Kurtz, Elizabeth A.</t>
  </si>
  <si>
    <t>RJ138 -- .K87 2003eb</t>
  </si>
  <si>
    <t>362.1/98927</t>
  </si>
  <si>
    <t>Clumsiness in children. ; Movement disorders in children -- Popular works.</t>
  </si>
  <si>
    <t>Divorcing Children : Children's Experience of Their Parents' Divorce</t>
  </si>
  <si>
    <t>Scan, Lesley;Douglas, Miss Gillian;Robinson, Margaret G.;Butler, Professor Ian;Murch, Prof Mervyn</t>
  </si>
  <si>
    <t>306.8/74</t>
  </si>
  <si>
    <t>Children of divorced parents -- Mental health. ; Children of divorced parents -- Great Britain -- Psychology.</t>
  </si>
  <si>
    <t>Parenting a Child with Asperger Syndrome : 200 Tips and Strategies</t>
  </si>
  <si>
    <t>Boyd, Brenda</t>
  </si>
  <si>
    <t>Asperger's syndrome -- Patients -- Care. ; Child rearing.</t>
  </si>
  <si>
    <t>A Matter of Security : The Application of Attachment Theory to Forensic Psychiatry and Psychotherapy</t>
  </si>
  <si>
    <t>Pfäfflin, Friedemann;Adshead, Gwen;Parker, Michael;Morris, Mark;Parker, Michael</t>
  </si>
  <si>
    <t>HV6080 -- .M38 2004eb</t>
  </si>
  <si>
    <t>Attachment behavior. ; Criminal psychology.</t>
  </si>
  <si>
    <t>Asperger Syndrome and Adults... Is Anyone Listening? : Essays and Poems by Spouses, Partners and Parents of Adults with Asperger Syndrome</t>
  </si>
  <si>
    <t>Rodman, Karen;Attwood, Anthony</t>
  </si>
  <si>
    <t>Asperger's syndrome. ; Asperger's syndrome-Patients-Family relationships.</t>
  </si>
  <si>
    <t>A Culture of Enquiry : Research Evidence and the Therapeutic Community</t>
  </si>
  <si>
    <t>Yates, Rowdy;Manning, Nick;De Leon, George;Menzies, Diana;Norton, Kingsley;Rawlings, Barbara;Lees, Jan;Rawlings, Barbara</t>
  </si>
  <si>
    <t>RC489.T67 -- C85 2004eb</t>
  </si>
  <si>
    <t>Clinical medicine. ; Therapeutics -- Research.</t>
  </si>
  <si>
    <t>Wishing on the Midnight Star : My Asperger Brother</t>
  </si>
  <si>
    <t>Ogaz, Nancy</t>
  </si>
  <si>
    <t>PS3565.C58 O43 2004</t>
  </si>
  <si>
    <t>Asperger's syndrome-Juvenile fiction. ; Brothers-Juvenile fiction.</t>
  </si>
  <si>
    <t>Operative Groups : The Latin-American Approach to Group Analysis</t>
  </si>
  <si>
    <t>Tubert-Oklander, Juan;Hernandez de Tubert, Reyna;Pines, Malcolm</t>
  </si>
  <si>
    <t>RC510 -- .T83 2004eb</t>
  </si>
  <si>
    <t>Group psychoanalysis -- Latin America. ; Group psychoanalysis. ; Social groups -- Psychological aspects. ; Social psychology.</t>
  </si>
  <si>
    <t>Multicoloured Mayhem : Parenting the Many Shades of Adolescents and Children with Autism, Asperger Syndrome and AD/HD</t>
  </si>
  <si>
    <t>Jackson, Jacqui</t>
  </si>
  <si>
    <t>Asperger's syndrome-Patients-Family relationships. ; Attention-deficit-disordered children-Care. ; Autistic children-Care. ; Autistic children-Family relationships. ; Developmentally disabled children-Care. ; Parenting. ; Parents of autistic children.</t>
  </si>
  <si>
    <t>Bannister, Anne</t>
  </si>
  <si>
    <t>618.9/28914</t>
  </si>
  <si>
    <t>Prevention and Coping in Child and Family Care : Mothers in Adversity Coping with Child Care</t>
  </si>
  <si>
    <t>Sheppard, Michael</t>
  </si>
  <si>
    <t>HV700.G7 S54 2004</t>
  </si>
  <si>
    <t>Child care-Psychological aspects. ; Family services. ; Mothers-Psychology. ; Mothers-Services for-United States. ; Dysfunctional families. ; Stress (Psychology)</t>
  </si>
  <si>
    <t>Voices from the Spectrum : Parents, Grandparents, Siblings, People with Autism, and Professionals Share Their Wisdom</t>
  </si>
  <si>
    <t>Ariel, Cindy N.;Naseef, Robert A.</t>
  </si>
  <si>
    <t>RJ506.A9V65 2006</t>
  </si>
  <si>
    <t>Autism in children. ; Autistic children -- Care. ; Autistic children -- Family relationships.</t>
  </si>
  <si>
    <t>Genius! : Nurturing the Spirit of the Wild, Odd, and Oppositional Child - Revised Edition</t>
  </si>
  <si>
    <t>Lynn, George</t>
  </si>
  <si>
    <t>RJ499.L96 2006</t>
  </si>
  <si>
    <t>618.92/89</t>
  </si>
  <si>
    <t>Child psychopathology. ; Child psychotherapy.</t>
  </si>
  <si>
    <t>Understanding Street Drugs : A Handbook of Substance Misuse for Parents, Teachers and Other Professionals Second Edition</t>
  </si>
  <si>
    <t>Emmett, David;Nice, Graeme</t>
  </si>
  <si>
    <t>HV5840.G7E55 2006</t>
  </si>
  <si>
    <t>Drug abuse -- Study and teaching -- Great Britain. ; Drug abuse -- Treatment -- Great Britain. ; Youth -- Drug use -- Prevention.</t>
  </si>
  <si>
    <t>Coming Out Asperger : Diagnosis, Disclosure and Self-Confidence</t>
  </si>
  <si>
    <t>Overton, Jennifer;Lawson, Wendy;Jackson, Jacqui;Murray, Dinah;Debbaudt, Dennis;Attwood, Anthony;Shore, Stephen;Willey, Liane Holliday</t>
  </si>
  <si>
    <t>RC553.A88C67 2006</t>
  </si>
  <si>
    <t>616.85/8832</t>
  </si>
  <si>
    <t>Asperger's syndrome-Diagnosis. ; Asperger's syndrome-Patients-Life skills guides. ; Asperger's syndrome. ; Self-disclosure.</t>
  </si>
  <si>
    <t>Asperger's Syndrome and High Achievement : Some Very Remarkable People</t>
  </si>
  <si>
    <t>James, Ioan</t>
  </si>
  <si>
    <t>RC553.A88J35 2006</t>
  </si>
  <si>
    <t>Asperger's syndrome -- Patients -- Biography. ; Asperger's syndrome. ; Autistic people -- Biography. ; Creative ability -- Psychological aspects. ; Genius and mental illness.</t>
  </si>
  <si>
    <t>Understanding the Nature of Autism and Asperger's Disorder : Forty Years of Clinical Practice and Pioneering Research</t>
  </si>
  <si>
    <t>Ritvo, Edward R.;Attwood, Anthony</t>
  </si>
  <si>
    <t>RC553.A88R58 2006</t>
  </si>
  <si>
    <t>Cutting It Out : A Journey Through Psychotherapy and Self-Harm</t>
  </si>
  <si>
    <t>Turp, Maggie;Smith, Carolyn</t>
  </si>
  <si>
    <t>RC552.S4S63 2006</t>
  </si>
  <si>
    <t>McNeilly, Gerry</t>
  </si>
  <si>
    <t>RC489.A7M3556 2006</t>
  </si>
  <si>
    <t>Art Therapy - methods</t>
  </si>
  <si>
    <t>Achieving Best Behavior for Children with Developmental Disabilities : A Step-By-Step Workbook for Parents and Carers</t>
  </si>
  <si>
    <t>Lewis, Pamela</t>
  </si>
  <si>
    <t>RJ507.D48L49 2006</t>
  </si>
  <si>
    <t>Developmentally disabled children -- Life skills guides. ; Developmentally disabled children -- Care. ; Developmentally disabled children -- Psychology.</t>
  </si>
  <si>
    <t>Cannabis and Young People : Reviewing the Evidence</t>
  </si>
  <si>
    <t>Jenkins, Richard</t>
  </si>
  <si>
    <t>HV5824.Y68J46 2006</t>
  </si>
  <si>
    <t>616.86/350083</t>
  </si>
  <si>
    <t>Marijuana. ; Youth -- Drug use.</t>
  </si>
  <si>
    <t>Sambadrama : The Arena of Brazilian Psychodrama</t>
  </si>
  <si>
    <t>Figusch, Zoltán;Figusch, Zoltán;Blatner, Adam;Fonesca, Jose</t>
  </si>
  <si>
    <t>RC489.P7S26 2006</t>
  </si>
  <si>
    <t>Drama -- Therapeutic use -- Brazil. ; Psychotherapy.</t>
  </si>
  <si>
    <t>The Jumbled Jigsaw : An Insider's Approach to the Treatment of Autistic Spectrum `Fruit Salads'</t>
  </si>
  <si>
    <t>RC553.A88W546 2006</t>
  </si>
  <si>
    <t>Autism -- Alternative treatment. ; Autism.</t>
  </si>
  <si>
    <t>Reaching the Vulnerable Child : Therapy with Traumatized Children</t>
  </si>
  <si>
    <t>Walsh, Mary;Philpot, Terry</t>
  </si>
  <si>
    <t>RJ507.A29R93 2006</t>
  </si>
  <si>
    <t>618.92/858223</t>
  </si>
  <si>
    <t>Abused children -- Rehabilitation. ; Child psychotherapy.</t>
  </si>
  <si>
    <t>Music and Altered States : Consciousness, Transcendence, Therapy and Addictions</t>
  </si>
  <si>
    <t>Magill, Lucanne;Horesh, Tsvia;Fachner, Joerg;Aldridge, David;Cohen, Dalia</t>
  </si>
  <si>
    <t>ML3920.M867 2006</t>
  </si>
  <si>
    <t>Music therapy. ; Music -- Psychological aspects.</t>
  </si>
  <si>
    <t>Medicine; Fine Arts</t>
  </si>
  <si>
    <t>Gupta, Anna;Rose, Wendy;Schofield, Gillian;Quinton, David;Jones, David P. H.;Cleaver, Hedy;Daniel, Brigid;Aldgate, Jane;Seden, Janet</t>
  </si>
  <si>
    <t>HV713.D49 2006</t>
  </si>
  <si>
    <t>Child development. ; Social work with children.</t>
  </si>
  <si>
    <t>Finding a Different Kind of Normal : Misadventures with Asperger Syndrome</t>
  </si>
  <si>
    <t>Williams, Donna;Purkis, Yenn</t>
  </si>
  <si>
    <t>RC553.A88P87 2006</t>
  </si>
  <si>
    <t>362.196/8588320092 B</t>
  </si>
  <si>
    <t>Purkis, Jeannette, -- 1974- ; Asperger's syndrome -- Patients -- Biography.</t>
  </si>
  <si>
    <t>Psychology; Health; Social Science; Medicine</t>
  </si>
  <si>
    <t>The Spirit of the Child : Revised Edition</t>
  </si>
  <si>
    <t>Hay, David</t>
  </si>
  <si>
    <t>BL625.5.H39 2006</t>
  </si>
  <si>
    <t>248.8/4</t>
  </si>
  <si>
    <t>Child development. ; Children-Religious life.</t>
  </si>
  <si>
    <t>Parton, Nigel;Gregory, Marilyn;Hayles, Michelle;Gorman, Kevin</t>
  </si>
  <si>
    <t>HV9345.A5C66 2006</t>
  </si>
  <si>
    <t>Constructivism (Psychology) ; Probation -- Great Britain. ; Social work with criminals -- Great Britain.</t>
  </si>
  <si>
    <t>Grief Unseen : Healing Pregnancy Loss Through the Arts</t>
  </si>
  <si>
    <t>Seftel, Laura</t>
  </si>
  <si>
    <t>RG648.S432 2006</t>
  </si>
  <si>
    <t>New Families, Old Scripts : A Guide to the Language of Trauma and Attachment in Adoptive Families</t>
  </si>
  <si>
    <t>Archer, Caroline</t>
  </si>
  <si>
    <t>HV875.A682 2006</t>
  </si>
  <si>
    <t>Adoptive parents -- Handbooks, manuals, etc. ; Parenting -- Handbooks, manuals, etc. ; Problem children -- Handbooks, manuals, etc.</t>
  </si>
  <si>
    <t>Home Economics; Social Science</t>
  </si>
  <si>
    <t>Asylum to Action : Paddington Day Hospital, Therapeutic Communities and Beyond</t>
  </si>
  <si>
    <t>Spandler, Helen;Haigh, Rex;Lees, Jan</t>
  </si>
  <si>
    <t>RC489.T67S63 2006</t>
  </si>
  <si>
    <t>362.2/109421</t>
  </si>
  <si>
    <t>Paddington Day Hospital -- History. ; Therapeutic communities -- England -- London -- History -- Case studies.</t>
  </si>
  <si>
    <t>Psychology; Social Science; Health; Medicine</t>
  </si>
  <si>
    <t>Touch and Go Joe : An Adolescent's Experience of OCD</t>
  </si>
  <si>
    <t>Wells, Joe</t>
  </si>
  <si>
    <t>RC533.W45 2006</t>
  </si>
  <si>
    <t>Compulsive behavior. ; Obsessive-compulsive disorder.</t>
  </si>
  <si>
    <t>McKenzie, Kwame;Harpham, Trudy</t>
  </si>
  <si>
    <t>RA790.5.S56 2006</t>
  </si>
  <si>
    <t>Mental health -- Social aspects. ; Mental illness -- Social aspects. ; Social capital (Sociology)</t>
  </si>
  <si>
    <t>Carey, Lois</t>
  </si>
  <si>
    <t>RC489.A72E94 2006</t>
  </si>
  <si>
    <t>Psychodrama : A Beginner's Guide</t>
  </si>
  <si>
    <t>Djuric, Zoran;Veljkovic, Jasna;Tomic, Miomir</t>
  </si>
  <si>
    <t>RC489.P7D8713 2006</t>
  </si>
  <si>
    <t>Drama -- Therapeutic use. ; Psychotherapy.</t>
  </si>
  <si>
    <t>The Madness of Our Lives : Experiences of Mental Breakdown and Recovery</t>
  </si>
  <si>
    <t>Gray, Penny</t>
  </si>
  <si>
    <t>RC351.G732 2006</t>
  </si>
  <si>
    <t>Parker, Jackie</t>
  </si>
  <si>
    <t>RC387.5.G66 2006</t>
  </si>
  <si>
    <t>Exploring Experiences of Advocacy by People with Learning Disabilities : Testimonies of Resistance</t>
  </si>
  <si>
    <t>Chapman, Rohhss;Mitchell, Duncan;Ingham, Nigel;Ledger, Sue;Traustadottir, Rannveig;Traustadottir, Rannveig</t>
  </si>
  <si>
    <t>HV3004.E96 2006</t>
  </si>
  <si>
    <t>Learning disabilities -- Treatment -- Case studies. ; Learning disabled -- Services for. ; Mental retardation facilities patients. ; People with mental disabilities -- Care -- Case studies. ; Social advocacy.</t>
  </si>
  <si>
    <t>Dealing with Death : A Handbook of Practices, Procedures and Law</t>
  </si>
  <si>
    <t>Green, Michael;Green, Jennifer</t>
  </si>
  <si>
    <t>RA1063.G74 2006</t>
  </si>
  <si>
    <t>Death. ; Psychology.</t>
  </si>
  <si>
    <t>Mallett, Angela;Carnaby, Steven;Cambridge, Paul;Wheeler, Paul;James, Neil;Hatzidimitriadou, Eleni;Milne, Alisoun;McCarthy, Michelle;Shah, Robina</t>
  </si>
  <si>
    <t>RC394.L37I58 2006</t>
  </si>
  <si>
    <t>Learning disabled -- Abuse of -- Prevention. ; Learning disabled -- Care.</t>
  </si>
  <si>
    <t>Medicine; Health; Social Science</t>
  </si>
  <si>
    <t>The Importance of Food and Mealtimes in Dementia Care : The Table Is Set</t>
  </si>
  <si>
    <t>Berg, Grethe</t>
  </si>
  <si>
    <t>RC521.B4913 2006</t>
  </si>
  <si>
    <t>AD,AE,AF,AG,AI,AL,AM,AO,AQ,AR,AS,AT,AU,AW,AX,AZ,BA,BB,BD,BE,BF,BG,BH,BI,BJ,BL,BM,BN,BO,BQ,BR,BS,BT,BV,BW,BY,BZ,CA,CC,CD,CF,CG,CH,CI,CK,CL,CM,CN,CO,CR,CU,CV,CW,CX,CY,CZ,DE,DJ,DK,DM,DO,DZ,EC,EE,EG,EH,ER,ES,ET,FI,FJ,FK,FM,FO,FR,GA,GB,GD,GE,GF,GG,GH,GI,GL,GM,GN,GP,GQ,GR,GS,GT,GU,GW,GY,HK,HM,HN,HR,HT,HU,ID,IE,IL,IM,IN,IO,IQ,IR,IS,IT,JE,JM,JO,JP,KE,KG,KH,KI,KM,KN,KP,KR,KW,KY,KZ,LA,LB,LC,LI,LK,LR,LS,LT,LU,LV,LY,MA,MC,MD,ME,MF,MG,MH,MK,ML,MM,MN,MO,MP,MQ,MR,MS,MT,MU,MV,MW,MX,MY,MZ,NA,NC,NE,NF,NG,NI,NL,NP,NR,NU,NZ,OM,PA,PE,PF,PG,PH,PK,PL,PM,PN,PR,PS,PT,PW,PY,QA,RE,RO,RS,RU,RW,SA,SB,SC,SD,SE,SG,SH,SI,SJ,SK,SL,SM,SN,SO,SR,SS,ST,SV,SX,SY,SZ,TC,TD,TF,TG,TH,TJ,TK,TL,TM,TN,TO,TR,TT,TV,TW,TZ,UA,UG,UM,US,UY,UZ,VA,VC,VE,VG,VI,VN,VU,WF,WS,YE,YT,ZA,ZM,ZW</t>
  </si>
  <si>
    <t>Anger Management : An Anger Management Training Package for Individuals with Disabilities</t>
  </si>
  <si>
    <t>Hagiliassis, Nick</t>
  </si>
  <si>
    <t>HV1568.G87 2006</t>
  </si>
  <si>
    <t>152.4/7087</t>
  </si>
  <si>
    <t>The Overweight Patient : A Psychological Approach to Understanding and Working with Obesity</t>
  </si>
  <si>
    <t>Leach, Kathy</t>
  </si>
  <si>
    <t>RC628.L357 2006</t>
  </si>
  <si>
    <t>616.3/98</t>
  </si>
  <si>
    <t>Working with Gangs and Young People : A Toolkit for Resolving Group Conflict</t>
  </si>
  <si>
    <t>Kuumba, Imani;Feinstein, Jessie</t>
  </si>
  <si>
    <t>HV6437.F445 2006</t>
  </si>
  <si>
    <t>364.4/4</t>
  </si>
  <si>
    <t>Conflict management -- Problems, exercises, etc. ; Gang members -- Psychology. ; Gangs. ; Social work with youth.</t>
  </si>
  <si>
    <t>Friendships : The Aspie Way</t>
  </si>
  <si>
    <t>RC553.A88L39 2006</t>
  </si>
  <si>
    <t>Asperger's syndrome -- Patients -- Social networks. ; Friendship.</t>
  </si>
  <si>
    <t>By Their Own Young Hand : Deliberate Self-Harm and Suicidal Ideas in Adolescents</t>
  </si>
  <si>
    <t>Hawton, Keith;Rodham, Karen;Evans, Emma</t>
  </si>
  <si>
    <t>RJ506.S39H39 2006</t>
  </si>
  <si>
    <t>The Handbook of Gestalt Play Therapy : Practical Guidelines for Child Therapists</t>
  </si>
  <si>
    <t>Blom, Rinda</t>
  </si>
  <si>
    <t>RJ505.G47B56 2006</t>
  </si>
  <si>
    <t>Luxmoore, Nick</t>
  </si>
  <si>
    <t>BF724.3.A55L89 2006</t>
  </si>
  <si>
    <t>Aves, Corinne;Bradley, Jonathan</t>
  </si>
  <si>
    <t>HQ767.9.A95 2006</t>
  </si>
  <si>
    <t>Drawing from Within : Using Art to Treat Eating Disorders</t>
  </si>
  <si>
    <t>Hinz, Lisa</t>
  </si>
  <si>
    <t>RC552.E18H54 2006</t>
  </si>
  <si>
    <t>616.85/2606</t>
  </si>
  <si>
    <t>Children Who Commit Acts of Serious Interpersonal Violence : Messages for Best Practice</t>
  </si>
  <si>
    <t>Dent, Renuka Jeyarajah;Hagell, Ann;Dent, Renuka Jeyarajah</t>
  </si>
  <si>
    <t>HQ784.V55C454 2006</t>
  </si>
  <si>
    <t>Children and violence -- Prevention. ; Violence in children -- Prevention.</t>
  </si>
  <si>
    <t>Understanding Attachment and Attachment Disorders : Theory, Evidence and Practice</t>
  </si>
  <si>
    <t>Prior, Vivien;Glaser, Danya</t>
  </si>
  <si>
    <t>RJ507.A77U53 2006</t>
  </si>
  <si>
    <t>Attachment disorder in children. ; Attachment behavior. ; Attachment behavior in children. ; Psychology.</t>
  </si>
  <si>
    <t>Interactive Music Therapy in Child and Family Psychiatry : Clinical Practice, Research and Teaching</t>
  </si>
  <si>
    <t>Holmes, Jo;Oldfield, Amelia</t>
  </si>
  <si>
    <t>ML3920.O39 2006</t>
  </si>
  <si>
    <t>Writing Works : A Resource Handbook for Therapeutic Writing Workshops and Activities</t>
  </si>
  <si>
    <t>Field, Victoria;Bolton, Gillie;Morrison, Blake;Thompson, Kate</t>
  </si>
  <si>
    <t>Writing for Therapy or Personal Development Series</t>
  </si>
  <si>
    <t>616.89/165</t>
  </si>
  <si>
    <t>Asperger Syndrome and Psychotherapy : Understanding Asperger Perspectives</t>
  </si>
  <si>
    <t>616.8/982/0651</t>
  </si>
  <si>
    <t>Asperger's syndrome -- Treatment. ; Asperger's syndrome. ; Psychotherapy.</t>
  </si>
  <si>
    <t>Traumatic Experience in the Unconscious Life of Groups : The Fourth Basic Assumption: Incohesion: Aggregation/Massification or (ba) I:a/M</t>
  </si>
  <si>
    <t>Billow, Richard;Pines, Malcolm;Hopper, Earl;Kibel, Howard;Schermer, Victor</t>
  </si>
  <si>
    <t>RC488 -- .H586 2003eb</t>
  </si>
  <si>
    <t>Group psychoanalysis. ; Group psychotherapy. ; Psychic trauma. ; Social groups. ; Subconsciousness.</t>
  </si>
  <si>
    <t>The Time of the Therapeutic Communities : People, Places and Events</t>
  </si>
  <si>
    <t>RC489.T67 -- C537 2004eb</t>
  </si>
  <si>
    <t>362.2/0425</t>
  </si>
  <si>
    <t>Psychology. ; Therapeutic communities.</t>
  </si>
  <si>
    <t>Trauma, the Body and Transformation : A Narrative Inquiry</t>
  </si>
  <si>
    <t>Etherington, Kim;Bolton, Gillie</t>
  </si>
  <si>
    <t>Health, the Individual, and Integrated Medicine : Revisiting an Aesthetic of Health Care</t>
  </si>
  <si>
    <t>Aldridge, David</t>
  </si>
  <si>
    <t>Alternative medicine. ; Integrated delivery of health care. ; Medical anthropology. ; Medicine-Research-Philosophy.</t>
  </si>
  <si>
    <t>Assessing Behaviors Regarded As Problematic : For People with Developmental Disabilities</t>
  </si>
  <si>
    <t>Clements, John;Martin, Neil</t>
  </si>
  <si>
    <t>HV1570 -- .C54 2002eb</t>
  </si>
  <si>
    <t>362.1/968</t>
  </si>
  <si>
    <t>Behavioral assessment -- Case studies. ; Developmentally disabled -- Psychology -- Case studies. ; Developmentally disabled -- Social conditions -- Case studies. ; Interpersonal relations -- Case studies.</t>
  </si>
  <si>
    <t>Simultaneous Treatment of Parent and Child : Second Edition</t>
  </si>
  <si>
    <t>RJ505.P38 -- C48 2003eb</t>
  </si>
  <si>
    <t>618.92/8914</t>
  </si>
  <si>
    <t>Child psychotherapy -- Case studies. ; Child psychotherapy -- Parent participation. ; Family psychotherapy. ; Parent and child. ; Parental influences.</t>
  </si>
  <si>
    <t>Health Care and the Autism Spectrum : A Guide for Health Professionals, Parents and Carers</t>
  </si>
  <si>
    <t>Morton-Cooper, Alison</t>
  </si>
  <si>
    <t>RC553.A88 -- M68 2004eb</t>
  </si>
  <si>
    <t>Autism. ; Medical care.</t>
  </si>
  <si>
    <t>Counseling Adults in Transition : Linking Practices with Theory</t>
  </si>
  <si>
    <t>Goodman, Jane;Schlossberg, Nancy K.;Anderson, Mary L.</t>
  </si>
  <si>
    <t>BF637.C6 -- S325 2006eb</t>
  </si>
  <si>
    <t>Counseling. ; Adulthood. ; Middle age -- Psychological aspects. ; Middle-aged persons -- Counseling of.</t>
  </si>
  <si>
    <t>Evidence-Based Behavioral Health Practices for Older Adults : A Guide to Implementation</t>
  </si>
  <si>
    <t>Chen, Hongtu;Fisher, Jane;McIntyre, John;Levkoff, Sue E.</t>
  </si>
  <si>
    <t>RA564.8.E95 2006</t>
  </si>
  <si>
    <t>Older people -- Mental health</t>
  </si>
  <si>
    <t>Hyer, Lee;Intrieri, Robert</t>
  </si>
  <si>
    <t>RC451.4.A5G495 2006</t>
  </si>
  <si>
    <t>Geriatric psychiatry. ; Older people -- Long-term care. ; Older people -- Mental health.</t>
  </si>
  <si>
    <t>Differentiating Normal and Abnormal Personality : Second Edition</t>
  </si>
  <si>
    <t>Strack, Stephen</t>
  </si>
  <si>
    <t>BF698.5.D54 2006</t>
  </si>
  <si>
    <t>155.2/8</t>
  </si>
  <si>
    <t>Personality tests. ; Personality disorders -- Diagnosis. ; Personality assessment.</t>
  </si>
  <si>
    <t>Conduct Disorders : A Practitioner's Guide to Comparative Treatments</t>
  </si>
  <si>
    <t>Nelson III, Michael;Finch Jr., Alfred;Hart, Kathleen;Nelson, Audrey L.</t>
  </si>
  <si>
    <t>RJ506.C65C665 2006</t>
  </si>
  <si>
    <t>Conduct disorders in children -- Treatment. ; Behavior therapy for children.</t>
  </si>
  <si>
    <t>Anger-Related Disorders : A Practitioner's Guide to Comparative Treatments</t>
  </si>
  <si>
    <t>Feindler, Eva L.</t>
  </si>
  <si>
    <t>RC569.5.A53A54 2006</t>
  </si>
  <si>
    <t>Anger -- Treatment. ; Psychotherapy.</t>
  </si>
  <si>
    <t>Taleff, Michael J.</t>
  </si>
  <si>
    <t>RC457.T35 2006</t>
  </si>
  <si>
    <t>Clinical psychology -- Decision making</t>
  </si>
  <si>
    <t>Wainrib, Barbara Rubin</t>
  </si>
  <si>
    <t>RC552.P67W32 2006</t>
  </si>
  <si>
    <t>Psychic trauma -- Treatment</t>
  </si>
  <si>
    <t>Self-Esteem Research, Theory, and Practice : Toward a Positive Psychology of Self-Esteem, Third Edition</t>
  </si>
  <si>
    <t>Mruk, Christopher J.</t>
  </si>
  <si>
    <t>BF697.5.S46M78 2006</t>
  </si>
  <si>
    <t>The Psychologies in Religion : Working with the Religious Client</t>
  </si>
  <si>
    <t>Nielson, Stevan;Dowd, E. Thomas</t>
  </si>
  <si>
    <t>BF51.P735 2006</t>
  </si>
  <si>
    <t>Psychotherapy -- Religious aspects</t>
  </si>
  <si>
    <t>Women's Group Therapy : Creative Challenges and Options</t>
  </si>
  <si>
    <t>Maass, Vera Sonja</t>
  </si>
  <si>
    <t>Springer Series: Focus on Women Series</t>
  </si>
  <si>
    <t>Volume 23</t>
  </si>
  <si>
    <t>HQ1206.M27 2006</t>
  </si>
  <si>
    <t>155.6/33</t>
  </si>
  <si>
    <t>Women -- Psychology -- Case studies. ; Group psychotherapy -- Case studies. ; Decision making -- Psychological aspects -- Case studies.</t>
  </si>
  <si>
    <t>Nichols, Keith;Jenkinson, John</t>
  </si>
  <si>
    <t>HV547 .N534 2006</t>
  </si>
  <si>
    <t>Self-help groups. ; Psychology.</t>
  </si>
  <si>
    <t>BF378.S65 M57 2003</t>
  </si>
  <si>
    <t>Social sciences-Philosophy. ; Memory.</t>
  </si>
  <si>
    <t>McGuire, James</t>
  </si>
  <si>
    <t>HV6080 .M348 2004</t>
  </si>
  <si>
    <t>Criminal psychology. ; Psychology.</t>
  </si>
  <si>
    <t>The Inner Life of a Rational Agent : In Defence of Philosophical Behaviourism</t>
  </si>
  <si>
    <t>Stout, Rowland</t>
  </si>
  <si>
    <t>BF199 -- .S76 2006eb</t>
  </si>
  <si>
    <t>Behaviorism (Psychology) ; Psychology.</t>
  </si>
  <si>
    <t>Serial Crime : Theoretical and Practical Issues in Behavioral Profiling</t>
  </si>
  <si>
    <t>Petherick, Wayne</t>
  </si>
  <si>
    <t>HV6080.S47 2006</t>
  </si>
  <si>
    <t>Serial rape investigation</t>
  </si>
  <si>
    <t>The Dream Experience : A Systematic Exploration</t>
  </si>
  <si>
    <t>Kramer, Milton</t>
  </si>
  <si>
    <t>BF1078 .K73 2007eb</t>
  </si>
  <si>
    <t>Opting Out? : Why Women Really Quit Careers and Head Home</t>
  </si>
  <si>
    <t>Stone, Pamela</t>
  </si>
  <si>
    <t>306.874/3</t>
  </si>
  <si>
    <t>Stay-at-home mothers. ; Work and family. ; Choice (Psychology) ; Life change events.</t>
  </si>
  <si>
    <t>O'Donohue, William;Cummings, Nicholas A.</t>
  </si>
  <si>
    <t>RC480.O33 2006</t>
  </si>
  <si>
    <t>Persuasive Technology : Using Computers to Change What We Think and Do</t>
  </si>
  <si>
    <t>Morgan Kaufmann</t>
  </si>
  <si>
    <t>Fogg, B. J.</t>
  </si>
  <si>
    <t>Interactive Technologies Series</t>
  </si>
  <si>
    <t>BF637.P4F55 2003</t>
  </si>
  <si>
    <t>153.8/52/0285</t>
  </si>
  <si>
    <t>Persuasion (Psychology) -- Computer programs. ; Human-computer interaction.</t>
  </si>
  <si>
    <t>Pergamon</t>
  </si>
  <si>
    <t>Miller, Peter M.;Kavanagh, David</t>
  </si>
  <si>
    <t>RC564.T7287 2007</t>
  </si>
  <si>
    <t>Drug abuse -- Treatment</t>
  </si>
  <si>
    <t>Tulsky, David S.;Saklofske, Donald H.;Chelune, Gordon J.;Heaton, Robert K.;Ivnik, Robert J.;Bornstein, Robert;Prifitera, Aurelio;Ledbetter, Mark F.</t>
  </si>
  <si>
    <t>RJ503.7.B42C55 2006</t>
  </si>
  <si>
    <t>Psychological tests for children -- Handbooks, manuals, etc</t>
  </si>
  <si>
    <t>Masoro, Edward J.;Austad, Steven N.</t>
  </si>
  <si>
    <t>Handbooks of Aging Series</t>
  </si>
  <si>
    <t>QP86.H35 2006</t>
  </si>
  <si>
    <t>Personality Judgment : A Realistic Approach to Person Perception</t>
  </si>
  <si>
    <t>Funder, David C.</t>
  </si>
  <si>
    <t>BF698.4.F86 1999</t>
  </si>
  <si>
    <t>Alicke, Mark D.;Dunning, David A.;Krueger, Joachim</t>
  </si>
  <si>
    <t>BF323.S63 -- S43 2005eb</t>
  </si>
  <si>
    <t>Adolescent Self-Injury : A Comprehensive Guide for Counselors and Health Care Professionals</t>
  </si>
  <si>
    <t>D'Onofrio, Amelio</t>
  </si>
  <si>
    <t>RJ506.S39D66 2007</t>
  </si>
  <si>
    <t>Self-destructive behavior in adolescence</t>
  </si>
  <si>
    <t>Anxiety Disorders : A Practitioner's Guide to Comparative Treatments</t>
  </si>
  <si>
    <t>DiTomasso, Robert A.;Gosch, Elizabeth A.</t>
  </si>
  <si>
    <t>RC531.C65 2006</t>
  </si>
  <si>
    <t>Nursing--Study and teaching--Evaluation. ; Curriculum evaluation.</t>
  </si>
  <si>
    <t>Depression : A Practitioner's Guide to Comparative Treatments</t>
  </si>
  <si>
    <t>Reinecke, Mark A.;Davison, Michael R.</t>
  </si>
  <si>
    <t>Agriculture, Cooperative -- Niagara (Regional municipality)</t>
  </si>
  <si>
    <t>Borderline Personality Disorder : A Practitioner's Guide to Comparative Treatments</t>
  </si>
  <si>
    <t>Freeman, Arthur;Stone, Mark H.;Martin, Donna</t>
  </si>
  <si>
    <t>RC569.5.B67C655 2006</t>
  </si>
  <si>
    <t>Borderline personality disorder -- Treatment</t>
  </si>
  <si>
    <t>Comparative Treatment Series - Relationship Dysfunction : A Practitioner's Guide to Comparative Treatments</t>
  </si>
  <si>
    <t>Dattilio, Frank M.;Bevilacqua, Louis J.</t>
  </si>
  <si>
    <t>RC488.5 -- .C634 2000eb</t>
  </si>
  <si>
    <t>Marital psychotherapy -- Case studies. ; Family psychotherapy -- Case studies.</t>
  </si>
  <si>
    <t>Comparative Treatment Series - Substance Abuse : A Practitioner's Guide to Comparative Treatments</t>
  </si>
  <si>
    <t>Dowd, E. Thomas;Rugle, Loreen</t>
  </si>
  <si>
    <t>RC564 -- .C6515 1999eb</t>
  </si>
  <si>
    <t>Surgery, Aseptic and antiseptic -- Standards. ; Antiseptics -- Therapeutic use -- Standards. ; Surgical Wound Infection -- prevention &amp; control. ; Anti-Infective Agents, Local -- therapeutic use.</t>
  </si>
  <si>
    <t>Dementia and Social Work Practice : Research and Interventions</t>
  </si>
  <si>
    <t>Cox, Carole B.</t>
  </si>
  <si>
    <t>RC521.D45338 2007</t>
  </si>
  <si>
    <t>Dementia. ; Psychiatric social work. ; Social work with older people.</t>
  </si>
  <si>
    <t>Handbook of Forensic Mental Health with Victims and Offenders : Assessment, Treatment, and Research</t>
  </si>
  <si>
    <t>Springer, David W.;Roberts, Albert R.</t>
  </si>
  <si>
    <t>Springer Series on Social Work Series</t>
  </si>
  <si>
    <t>HV7428.H28 2007</t>
  </si>
  <si>
    <t>364.4/0453</t>
  </si>
  <si>
    <t>Social work with criminals -- United States. ; Criminals -- Mental health -- United States. ; People with mental disabilities and crime. ; Prisoners -- Mental health services. ; Criminals -- Mental health services.</t>
  </si>
  <si>
    <t>Healing Presence : The Essence of Nursing</t>
  </si>
  <si>
    <t>Koerner, JoEllen Goertz</t>
  </si>
  <si>
    <t>RT86.K626 2007</t>
  </si>
  <si>
    <t>Nursing -- Psychological aspects. ; Healing -- Psychological aspects. ; Holistic nursing. ; Nurse and patient.</t>
  </si>
  <si>
    <t>Methadone Maintenance Treatment in the U. S. : A Practical Question and Answer Guide</t>
  </si>
  <si>
    <t>Wechsberg, Wendee M.;Kasten, Jennifer J.;Berkman, Nancy D.;Roussel, Amy E.</t>
  </si>
  <si>
    <t>RC568.M4W43 2007</t>
  </si>
  <si>
    <t>Psychological Masquerade, Second Edition : Distinguishing Psychological from Organic Disorders, Third Edition</t>
  </si>
  <si>
    <t>Taylor, Robert L.</t>
  </si>
  <si>
    <t>RC455.4.B5T38 2007</t>
  </si>
  <si>
    <t>Diagnosis, Differential</t>
  </si>
  <si>
    <t>The African American Child : Development and Challenges</t>
  </si>
  <si>
    <t>Harris, Yvette R.;Graham, James A.</t>
  </si>
  <si>
    <t>HQ792.U5H27 2007</t>
  </si>
  <si>
    <t>305.23089/96073</t>
  </si>
  <si>
    <t>Child development -- United States</t>
  </si>
  <si>
    <t>Transformational Reminiscence : Life Story Work</t>
  </si>
  <si>
    <t>Kunz, John A.;Soltys, Florence Gray</t>
  </si>
  <si>
    <t>BF724.85.R45T73 2007</t>
  </si>
  <si>
    <t>Psychology -- Biographical methods</t>
  </si>
  <si>
    <t>Identifying Emotional and Psychological Abuse: a Guide for Childcare Professionals</t>
  </si>
  <si>
    <t>O'Hagan, Kieran</t>
  </si>
  <si>
    <t>Psychological child abuse. ; Psychologically abused children.</t>
  </si>
  <si>
    <t>The Child Abusers : Research and Controversy</t>
  </si>
  <si>
    <t>Pritchard, Colin</t>
  </si>
  <si>
    <t>HV6626.5 -- .P75 2004eb</t>
  </si>
  <si>
    <t>Child abuse -- Prevention. ; Child welfare.</t>
  </si>
  <si>
    <t>Rumsey, Nichola;Harcourt, Diana</t>
  </si>
  <si>
    <t>Body image -- Research. ; Body image -- Psychological aspects. ; Disfigured persons -- Psychology. ; Disfigured persons -- Research. ; Disfigured persons -- Rehabilitation. ; Human body -- Social aspects.</t>
  </si>
  <si>
    <t>Seden, Janet</t>
  </si>
  <si>
    <t>Social service -- Great Britain. ; Social case work -- Great Britain. ; Counseling -- Great Britain. ; Counselor and client -- Great Britain.</t>
  </si>
  <si>
    <t>Simanowitz, Valerie;Pearce, Peter</t>
  </si>
  <si>
    <t>Totton, Nick</t>
  </si>
  <si>
    <t>RC480.5 .T68 2003</t>
  </si>
  <si>
    <t>Mind and body therapies. ; Psychotherapy. ; Mind and body.</t>
  </si>
  <si>
    <t>RC489.M53 -- N49 2005eb</t>
  </si>
  <si>
    <t>Psychotherapy. ; Mind and body therapies.</t>
  </si>
  <si>
    <t>Identity and Culture : Narratives of Difference and Belonging</t>
  </si>
  <si>
    <t>Weedon, Chris</t>
  </si>
  <si>
    <t>UK Higher Education OUP Humanities and Social Sciences Media, Film and Cultural Studies</t>
  </si>
  <si>
    <t>An Asperger Dictionary of Everyday Expressions : Second Edition</t>
  </si>
  <si>
    <t>Stuart-Hamilton, Ian</t>
  </si>
  <si>
    <t>RC553.A88S865 2007</t>
  </si>
  <si>
    <t>Asperger's syndrome-Patients-Language-Dictionaries. ; English language-Idioms-Dictionaries.</t>
  </si>
  <si>
    <t>Art Therapy and Social Action : Treating the World's Wounds</t>
  </si>
  <si>
    <t>Kaplan, Frances;Liebmann, Marian;Lev-Wiesel, Rachel;ORourke, Rachel;Gerity, Lani;Hocoy, Dan;Gussak, David;Wiselogle, Anndy;Slater, Nancy;Rothaus, Merryl</t>
  </si>
  <si>
    <t>RC489.A7A782 2007</t>
  </si>
  <si>
    <t>Keane, Fergal;Barnard, Marina</t>
  </si>
  <si>
    <t>HV5801.B342 2007</t>
  </si>
  <si>
    <t>Engineering: Manufacturing; Social Science; Engineering</t>
  </si>
  <si>
    <t>Dynamic Security : The Democratic Therapeutic Community in Prison</t>
  </si>
  <si>
    <t>Stewart, Caroline;Shuker, Richard;Wood, Teresa;Woodward, Roland;Parker, Michael;Murray, Joe;Newell, Tim;Ormsby, Jim;Miller, Alan;McLure, Liz</t>
  </si>
  <si>
    <t>HV6089.D96 2007</t>
  </si>
  <si>
    <t>Prison psychology. ; Therapeutic communities. ; Criminals -- Rehabilitation.</t>
  </si>
  <si>
    <t>New Developments in Autism : The Future Is Today</t>
  </si>
  <si>
    <t>Wheelwright, Sally;Nieto Vizcaino, Carmen;Perez, Juan Marto;Llorente Comi, Maria;Gonzalez, Pedro M.;Casanova, Manuel</t>
  </si>
  <si>
    <t>RC553.A88N55 2007</t>
  </si>
  <si>
    <t>Reminiscence Theatre : Making Theatre from Memories</t>
  </si>
  <si>
    <t>Gibson, Faith;Schweitzer, Pam</t>
  </si>
  <si>
    <t>PN3156.S38 2007</t>
  </si>
  <si>
    <t>Amateur theater. ; Theater and older people. ; Playwriting. ; Oral history.</t>
  </si>
  <si>
    <t>Social Work and Disadvantage : Addressing the Roots of Stigma Through Association</t>
  </si>
  <si>
    <t>Parker, Jonathan;Burke, Peter B.</t>
  </si>
  <si>
    <t>HV1568 .S696 2007</t>
  </si>
  <si>
    <t>Social work with people with disabilities. ; Sociology of disability. ; Stigma (Social psychology)</t>
  </si>
  <si>
    <t>Still Here with Me : Teenagers and Children on Losing a Parent</t>
  </si>
  <si>
    <t>Sjöqvist, Suzanne;Sjöqvist, Suzanne</t>
  </si>
  <si>
    <t>BF723.G75D813 2007</t>
  </si>
  <si>
    <t>Bereavement in children. ; Grief in children. ; Loss (Psychology) in children. ; Parents -- Death -- Psychological aspects.</t>
  </si>
  <si>
    <t>Bioethics and Organ Transplantation in a Muslim Society : A Study in Culture, Ethnography, and Religion</t>
  </si>
  <si>
    <t>Moazam, Farhat</t>
  </si>
  <si>
    <t>RD575 -- .M62 2006eb</t>
  </si>
  <si>
    <t>174.2/97461</t>
  </si>
  <si>
    <t>Kidneys -- Transplantation -- Moral and ethical aspects. ; Kidneys -- Transplantation -- Psychological aspects. ; Medical ethics -- Pakistan.</t>
  </si>
  <si>
    <t>Medicine; Philosophy</t>
  </si>
  <si>
    <t>Generations and Globalization : Youth, Age, and Family in the New World Economy</t>
  </si>
  <si>
    <t>Cole, Jennifer;Durham, Deborah</t>
  </si>
  <si>
    <t>HM726 -- .G45 2007eb</t>
  </si>
  <si>
    <t>305.209/0511</t>
  </si>
  <si>
    <t>Intergenerational relations. ; Age groups. ; Globalization -- Social aspects.</t>
  </si>
  <si>
    <t>WISC-IV Clinical Use and Interpretation : Scientist-Practitioner Perspectives</t>
  </si>
  <si>
    <t>Prifitera, Aurelio;Saklofske, Donald H.;Weiss, Lawrence G.</t>
  </si>
  <si>
    <t>BF432.5.W42W57 2005</t>
  </si>
  <si>
    <t>Engineering Culture : Control and Commitment in a High-Tech Corporation</t>
  </si>
  <si>
    <t>Kunda, Gideon</t>
  </si>
  <si>
    <t>Labor and Social Change Series</t>
  </si>
  <si>
    <t>HD58.7 .K86 2006</t>
  </si>
  <si>
    <t>Corporate culture-Case studies. ; Organizational effectiveness-Case studies. ; Control (Psychology)-Case studies. ; Employee motivation-Case studies. ; Quality of work life-Case studies. ; High technology industries-Management-Case studies.</t>
  </si>
  <si>
    <t>Business/Management</t>
  </si>
  <si>
    <t>Just a Dog : Animal Cruelty, Self, and Society</t>
  </si>
  <si>
    <t>Arluke, Arnold</t>
  </si>
  <si>
    <t>Animals Culture and Society Series</t>
  </si>
  <si>
    <t>HV4708</t>
  </si>
  <si>
    <t>179/.3</t>
  </si>
  <si>
    <t>Animal welfare. ; Animal rights. ; Human-animal relationships -- Psychological aspects.</t>
  </si>
  <si>
    <t>Of Others Inside : Insanity, Addiction and Belonging in America</t>
  </si>
  <si>
    <t>Weinberg, Darin</t>
  </si>
  <si>
    <t>HV3009 .W45 2005</t>
  </si>
  <si>
    <t>362.2/0973</t>
  </si>
  <si>
    <t>Mentally ill-United States-Social conditions. ; Addicts-United States-Social conditions. ; Homeless persons-Mental health-United States. ; Homeless persons-Mental health services-United States. ; Homelessness-United States. ; Marginality, Social-United States.</t>
  </si>
  <si>
    <t>Muris, Peter;Rachman, S. J.</t>
  </si>
  <si>
    <t>RJ506.A58M87 2007</t>
  </si>
  <si>
    <t>618.92/8522</t>
  </si>
  <si>
    <t>Anxiety in children</t>
  </si>
  <si>
    <t>Assessment and Therapy : Specialty Articles from the Encyclopedia of Mental Health</t>
  </si>
  <si>
    <t>Friedman, Howard S.</t>
  </si>
  <si>
    <t>RC454.4.A846 2001</t>
  </si>
  <si>
    <t>Mental health services. ; Mental illness -- Diagnosis. ; Outcome assessment (Medical care)</t>
  </si>
  <si>
    <t>Hudson, Jennifer;Rapee, Ron;Rapee, Ron</t>
  </si>
  <si>
    <t>RC455.4.F3P79 2005</t>
  </si>
  <si>
    <t>Mentally ill -- Family relationships. ; Psychology, Pathological. ; Families -- Mental health. ; Family psychotherapy.</t>
  </si>
  <si>
    <t>Endless Knot : A Spiritual Odyssey Through Sado-Masochism</t>
  </si>
  <si>
    <t>Insomniac Library</t>
  </si>
  <si>
    <t>Styranka, Matthew</t>
  </si>
  <si>
    <t>HQ79 -- S89 2001eb</t>
  </si>
  <si>
    <t>306.77/5/092 21;306.775092</t>
  </si>
  <si>
    <t>Styranka, Mathew, -- 1964- ; Sadomasochism -- Canada -- Biography.</t>
  </si>
  <si>
    <t>Quantum Jump : A Survival Guide for the Next Renaissance</t>
  </si>
  <si>
    <t>Clement, W. R.</t>
  </si>
  <si>
    <t>HM451 -- .C54 1998eb</t>
  </si>
  <si>
    <t>Postmodernism -- Social aspects. ; Social history -- 1970- ; Civilization, Modern -- 1950- ; Information technology -- Social aspects. ; Abstraction -- Social aspects. ; Twenty-first century.</t>
  </si>
  <si>
    <t>Nelson, Noelle</t>
  </si>
  <si>
    <t>BF637.S4 -- N457 2006eb</t>
  </si>
  <si>
    <t>Self-actualization (Psychology) ; Values -- Psychological aspects. ; Gratitude. ; Man-woman relationships. ; Work -- Psychological aspects.</t>
  </si>
  <si>
    <t>The Social Outcast : Ostracism, Social Exclusion, Rejection, and Bullying</t>
  </si>
  <si>
    <t>Williams, Kipling D.;Forgas, Joseph P.;Hippel, William Von;Forgas, Scientia Professor of Psychology Joseph P;Hippel, William Von</t>
  </si>
  <si>
    <t>Sydney Symposium of Social Psychology Series</t>
  </si>
  <si>
    <t>HM1136 -- .S635 2005eb</t>
  </si>
  <si>
    <t>Marginality, Social. ; Social isolation. ; Bullying. ; Social psychology.</t>
  </si>
  <si>
    <t>Online Counseling : A Handbook for Mental Health Professionals</t>
  </si>
  <si>
    <t>Kraus, Ron;Stricker, George;Speyer, Cedric</t>
  </si>
  <si>
    <t>362.2/04256</t>
  </si>
  <si>
    <t>Cognitive Approaches to Obsessions and Compulsions : Theory, Assessment, and Treatment</t>
  </si>
  <si>
    <t>Frost, Randy O.;Steketee, Gail</t>
  </si>
  <si>
    <t>RC533.C625 2002</t>
  </si>
  <si>
    <t>616.85/2270651</t>
  </si>
  <si>
    <t>Boekaerts, Monique;Zeidner, Moshe;Pintrich, Paul R.</t>
  </si>
  <si>
    <t>BF632.H26 2000</t>
  </si>
  <si>
    <t>Stress and Addiction : Biological and Psychological Mechanisms</t>
  </si>
  <si>
    <t>al'Absi, Mustafa</t>
  </si>
  <si>
    <t>RC564.S786 2007</t>
  </si>
  <si>
    <t>Springer Verlag</t>
  </si>
  <si>
    <t>Morris, P.</t>
  </si>
  <si>
    <t>Italian and Italian American Studies</t>
  </si>
  <si>
    <t>RC466.8-467.97</t>
  </si>
  <si>
    <t>Women -- Italy -- History -- 20th century -- Congresses</t>
  </si>
  <si>
    <t>Diamond, Diana;Blatt, Sidney J.;Lichtenberg, Joseph D.</t>
  </si>
  <si>
    <t>Psychoanalytic Inquiry Book Series</t>
  </si>
  <si>
    <t>BF175.5.O24 -- A88 2007eb</t>
  </si>
  <si>
    <t>Healing from Violence : Latino Men's Journey to a New Masculinity</t>
  </si>
  <si>
    <t>Welland, Christauria;Ribner, Neil</t>
  </si>
  <si>
    <t>HV6626.2.W49 2008</t>
  </si>
  <si>
    <t>362.82/9208968073</t>
  </si>
  <si>
    <t>Marital violence -- United States</t>
  </si>
  <si>
    <t>The Neuropsychology Handbook : Third Edition</t>
  </si>
  <si>
    <t>Horton, Arthur MacNeill, Jr.;Wedding, Danny</t>
  </si>
  <si>
    <t>RC386.6.N48N49 2008</t>
  </si>
  <si>
    <t>Clinical neuropsychology -- Handbooks, manuals, etc. ; Neuropsychological tests -- Handbooks, manuals, etc.</t>
  </si>
  <si>
    <t>Stress in Policing : Research and Practice</t>
  </si>
  <si>
    <t>Burke, Ronald;Burke, Ronald</t>
  </si>
  <si>
    <t>HV7936.J63 -- S87 2007eb</t>
  </si>
  <si>
    <t>363.2;363.25/0285</t>
  </si>
  <si>
    <t>Police -- Job stress. ; Police administration.</t>
  </si>
  <si>
    <t>Functional and Dysfunctional Sexual Behavior : A Synthesis of Neuroscience and Comparative Psychology</t>
  </si>
  <si>
    <t>Agmo, Anders</t>
  </si>
  <si>
    <t>QP251.A46 2007</t>
  </si>
  <si>
    <t>Sex (Biology) ; Sexual behavior in animals. ; Sexual disorders.</t>
  </si>
  <si>
    <t>Science: Biology/Natural History; Science</t>
  </si>
  <si>
    <t>The Abusive Personality : Violence and Control in Intimate Relationships</t>
  </si>
  <si>
    <t>Guilford Publications, Inc.</t>
  </si>
  <si>
    <t>Guilford Press, The</t>
  </si>
  <si>
    <t>Dutton, Donald G.</t>
  </si>
  <si>
    <t>RC569.5.F3</t>
  </si>
  <si>
    <t>Abusive men -- Psychology. ; Object relations (Psychoanalysis) ; Attachment behavior. ; Intimacy (Psychology)</t>
  </si>
  <si>
    <t>Johnson, Susan M.;Whiffen, Valerie E.</t>
  </si>
  <si>
    <t>RC455.4.A84</t>
  </si>
  <si>
    <t>Attachment behavior. ; Family psychotherapy. ; Marital psychotherapy.</t>
  </si>
  <si>
    <t>Canli, Turhan</t>
  </si>
  <si>
    <t>QP402</t>
  </si>
  <si>
    <t>Neuropsychology. ; Personality -- Physiological aspects.</t>
  </si>
  <si>
    <t>Breaking Murphy's Law : How Optimists Get What They Want from Life - and Pessimists Can Too</t>
  </si>
  <si>
    <t>Segerstrom, Suzanne C.</t>
  </si>
  <si>
    <t>BF698.35.O57</t>
  </si>
  <si>
    <t>Optimism. ; Self-actualization (Psychology)</t>
  </si>
  <si>
    <t>AE,AF,AG,AI,AM,AO,AQ,AR,AS,AU,AW,AZ,BB,BD,BF,BH,BI,BJ,BL,BM,BN,BO,BQ,BR,BS,BT,BV,BW,BZ,CA,CC,CD,CF,CG,CI,CK,CL,CM,CN,CO,CR,CU,CV,CW,CX,DJ,DM,DO,DZ,EC,EG,EH,ER,ET,FJ,FK,FM,GA,GD,GE,GF,GH,GL,GM,GN,GP,GQ,GS,GT,GU,GW,GY,HK,HM,HN,HT,ID,IL,IN,IO,IQ,IR,JM,JO,JP,KE,KG,KH,KI,KM,KN,KP,KR,KW,KY,KZ,LA,LB,LC,LK,LR,LS,LY,MA,MF,MG,MH,ML,MM,MN,MO,MP,MQ,MR,MS,MU,MV,MW,MX,MY,MZ,NA,NC,NE,NF,NG,NI,NP,NR,NU,NZ,OM,PA,PE,PF,PG,PH,PK,PM,PN,PR,PS,PW,PY,QA,RE,RW,SA,SB,SC,SD,SG,SH,SL,SN,SO,SR,SS,ST,SV,SX,SY,SZ,TC,TD,TF,TG,TH,TJ,TK,TL,TM,TN,TO,TT,TV,TW,TZ,UG,UM,US,UY,UZ,VC,VE,VG,VI,VN,VU,WF,WS,YE,YT,ZA,ZM,ZW</t>
  </si>
  <si>
    <t>Breaking Through to Teens : A New Psychotherapy for the New Adolescence</t>
  </si>
  <si>
    <t>Taffel, Ron</t>
  </si>
  <si>
    <t>RJ503</t>
  </si>
  <si>
    <t>616.89/00835</t>
  </si>
  <si>
    <t>Adolescent psychotherapy. ; Parent and teenager.</t>
  </si>
  <si>
    <t>Children in Family Contexts : Perspectives on Treatment</t>
  </si>
  <si>
    <t>Combrinck-Graham, Lee</t>
  </si>
  <si>
    <t>RJ499</t>
  </si>
  <si>
    <t>618.92/891</t>
  </si>
  <si>
    <t>Child mental health. ; Child psychiatry. ; Family psychotherapy. ; Families -- Mental health.</t>
  </si>
  <si>
    <t>Follette, Victoria M.;Ruzek, Josef I.</t>
  </si>
  <si>
    <t>616.85/210651</t>
  </si>
  <si>
    <t>Cognitive therapy. ; Post-traumatic stress disorder -- Treatment.</t>
  </si>
  <si>
    <t>The Complete Family Guide to Schizophrenia : Helping Your Loved One Get the Most Out of Life</t>
  </si>
  <si>
    <t>Mueser, Kim T.;Gingerich, Susan;Lefley, Harriet P.</t>
  </si>
  <si>
    <t>RC514.M84 2006</t>
  </si>
  <si>
    <t>616.89/8</t>
  </si>
  <si>
    <t>Mentally ill -- Family relationships. ; Schizophrenia. ; Schizophrenics -- Family relationships.</t>
  </si>
  <si>
    <t>Dynamics of Romantic Love : Attachment, Caregiving, and Sex</t>
  </si>
  <si>
    <t>Mikulincer, Mario;Goodman, Gail S.</t>
  </si>
  <si>
    <t>BF575.L8</t>
  </si>
  <si>
    <t>152.4/1</t>
  </si>
  <si>
    <t>Attachment behavior. ; Love. ; Sex.</t>
  </si>
  <si>
    <t>The Emotional Survival Guide for Caregivers : Looking after Yourself and Your Family While Helping an Aging Parent</t>
  </si>
  <si>
    <t>Jacobs, Barry J.</t>
  </si>
  <si>
    <t>HQ1063.6.J33 2006</t>
  </si>
  <si>
    <t>649.8084/6</t>
  </si>
  <si>
    <t>Adult children of aging parents -- Family relationships. ; Aging parents -- Care. ; Caregivers -- Psychology.</t>
  </si>
  <si>
    <t>Feeling Good about the Way You Look : A Program for Overcoming Body Image Problems</t>
  </si>
  <si>
    <t>Wilhelm, Sabine</t>
  </si>
  <si>
    <t>BF697.5.B63W54 2006</t>
  </si>
  <si>
    <t>Helping Abused and Traumatized Children : Integrating Directive and Nondirective Approaches</t>
  </si>
  <si>
    <t>Gil, Eliana;Briere, John</t>
  </si>
  <si>
    <t>RJ507.A29</t>
  </si>
  <si>
    <t>Child abuse -- Treatment. ; Play therapy.</t>
  </si>
  <si>
    <t>"I'm, Like, SO Fat!" : Helping Your Teen Make Healthy Choices about Eating and Exercise in a Weight-Obsessed World</t>
  </si>
  <si>
    <t>Neumark-Sztainer, Dianne</t>
  </si>
  <si>
    <t>RJ506.E18 -- N48 2005eb</t>
  </si>
  <si>
    <t>Eating disorders in adolescence. ; Teenagers -- Health and hygiene. ; Physical fitness for youth. ; Physical fitness for children.</t>
  </si>
  <si>
    <t>It's Not All in Your Head : How Worrying about Your Health Could Be Making You Sick--And What You Can Do about It</t>
  </si>
  <si>
    <t>Asmundson, Gordon J. G.;Taylor, Steven</t>
  </si>
  <si>
    <t>RC533 -- .A85 2005eb</t>
  </si>
  <si>
    <t>Health -- Psychological aspects. ; Compulsive behavior. ; Health -- Miscellanea.</t>
  </si>
  <si>
    <t>Norris, Fran H.;Galea, Sandro;Friedman, Matthew J.;Watson, Patricia J.</t>
  </si>
  <si>
    <t>Post-traumatic stress disorder</t>
  </si>
  <si>
    <t>Protecting the Self : Defense Mechanisms in Action</t>
  </si>
  <si>
    <t>Cramer, Phebe</t>
  </si>
  <si>
    <t>BF175.5.D44</t>
  </si>
  <si>
    <t>Defense mechanisms (Psychology) ; Defense mechanisms (Psychology) -- Testing. ; Psychology, Pathological.</t>
  </si>
  <si>
    <t>The Psychology of Gender</t>
  </si>
  <si>
    <t>Eagly, Alice H.;Beall, Anne E.;Sternberg, Robert J.</t>
  </si>
  <si>
    <t>BF692.2</t>
  </si>
  <si>
    <t>Pearce, John W.;Pezzot-Pearce, Terry Dianne;Pezzot-Pearce, Terry Dianne</t>
  </si>
  <si>
    <t>618.92/8582230651</t>
  </si>
  <si>
    <t>Rethinking Substance Abuse : What the Science Shows, and What We Should Do about It</t>
  </si>
  <si>
    <t>Miller, William R.;Carroll, Kathleen M.</t>
  </si>
  <si>
    <t>RC564</t>
  </si>
  <si>
    <t>Medicine; Social Science; Health; Psychology</t>
  </si>
  <si>
    <t>Social and Communication Development in Autism Spectrum Disorders : Early Identification, Diagnosis, and Intervention</t>
  </si>
  <si>
    <t>Charman, Tony;Stone, Wendy</t>
  </si>
  <si>
    <t>RJ506.A9</t>
  </si>
  <si>
    <t>Autistic children -- Language. ; Autistic children. ; Communicative disorders in children. ; Developmentally disabled children -- Language. ; Language disorders in children -- Treatment. ; Social skills in children.</t>
  </si>
  <si>
    <t>Talking Back to OCD : The Program That Helps Kids and Teens Say "No Way" -- and Parents Say "Way to Go"</t>
  </si>
  <si>
    <t>March, John S.;Benton, Christine M.</t>
  </si>
  <si>
    <t>RJ506.O25M375 2007</t>
  </si>
  <si>
    <t>618.92/85227</t>
  </si>
  <si>
    <t>Obsessive-compulsive disorder in children -- Popular works. ; Obsessive-compulsive disorder in adolescence -- Popular works.</t>
  </si>
  <si>
    <t>Treating Somatization : A Cognitive-Behavioral Approach</t>
  </si>
  <si>
    <t>Woolfolk, Robert L.;Allen, Lesley A.</t>
  </si>
  <si>
    <t>RC552.S66</t>
  </si>
  <si>
    <t>616.85/24</t>
  </si>
  <si>
    <t>Cognitive therapy. ; Medicine, Psychosomatic. ; Somatization disorder.</t>
  </si>
  <si>
    <t>The Wisdom in Feeling : Psychological Processes in Emotional Intelligence</t>
  </si>
  <si>
    <t>Barrett, Lisa Feldman;Salovey, Peter;Mayer, John D.</t>
  </si>
  <si>
    <t>Emotions and Social Behavior Series</t>
  </si>
  <si>
    <t>BF576 -- .W57 2002eb</t>
  </si>
  <si>
    <t>Minuchin, Patricia;Colapinto, Jorge;Minuchin, Salvador</t>
  </si>
  <si>
    <t>The Guilford Family Therapy Series</t>
  </si>
  <si>
    <t>HV697.M55 2007</t>
  </si>
  <si>
    <t>Family psychotherapy. ; Family social work. ; Poor -- Services for. ; Dysfunctional families -- Services for. ; Social work with people with social disabilities.</t>
  </si>
  <si>
    <t>Discursive Research in Practice : New Approaches to Psychology and Interaction</t>
  </si>
  <si>
    <t>Hepburn, Alexa;Wiggins, Sally</t>
  </si>
  <si>
    <t>BF201.3 .D572 2007</t>
  </si>
  <si>
    <t>Kendall-Tackett, Kathleen A.</t>
  </si>
  <si>
    <t>RC451.4.W6 -- H365 2005eb</t>
  </si>
  <si>
    <t>616.85/21/0082</t>
  </si>
  <si>
    <t>Women -- Mental health -- Handbooks, manuals, etc. ; Women -- Psychology -- Handbooks, manuals, etc. ; Stress (Psychology) -- Handbooks, manuals, etc. ; Post-traumatic stress disorder -- Patients -- Handbooks, manuals, etc. ; Psychic trauma -- Patients -- Handbooks, manuals, etc. ; Stress management for women -- Handbooks, manuals, etc.</t>
  </si>
  <si>
    <t>Communication Disorders in Spanish Speakers : Theoretical, Research and Clinical Aspects</t>
  </si>
  <si>
    <t>CoreSource Plus – Channel View Publications</t>
  </si>
  <si>
    <t>Multilingual Matters</t>
  </si>
  <si>
    <t>Clevedon</t>
  </si>
  <si>
    <t>Centeno, José G.;Anderson, Raquel T.;Obler, Loraine K.</t>
  </si>
  <si>
    <t>Communication Disorders Across Languages Series</t>
  </si>
  <si>
    <t>RC423.C6427 2007</t>
  </si>
  <si>
    <t>362.196/855</t>
  </si>
  <si>
    <t>Communicative disorders -- Treatment -- United States. ; Communicative disorders in children -- Treatment -- United States. ; Bilingualism -- United States. ; Bilingualism in children -- United States. ; English language -- Acquisition. ; Spanish language -- Acquisition. ; Hispanic Americans -- Language.</t>
  </si>
  <si>
    <t>Marcus, Robert F.</t>
  </si>
  <si>
    <t>BF724.3.A34 M37 2007</t>
  </si>
  <si>
    <t>155.5/18232</t>
  </si>
  <si>
    <t>Miller, L.;Bardsley, J.</t>
  </si>
  <si>
    <t>GN301-674</t>
  </si>
  <si>
    <t>Women -- Japan -- Social conditions. ; Sex role -- Japan. ; Feminism -- Japan. ; Women -- Psychology.</t>
  </si>
  <si>
    <t>Military Science; Social Science</t>
  </si>
  <si>
    <t>Kaplan, L.</t>
  </si>
  <si>
    <t>RC434.2-574</t>
  </si>
  <si>
    <t>Feeling Politics : Emotion in Political Information Processing</t>
  </si>
  <si>
    <t>Redlawsk, D.</t>
  </si>
  <si>
    <t>JA76</t>
  </si>
  <si>
    <t>320.01/9</t>
  </si>
  <si>
    <t>Political psychology. ; Emotions and cognition. ; Personality and politics.</t>
  </si>
  <si>
    <t>Gaming Lives in the Twenty-First Century : Literate Connections</t>
  </si>
  <si>
    <t>Hawisher, G.;Gee, James Paul;Selfe, C.</t>
  </si>
  <si>
    <t>BF201</t>
  </si>
  <si>
    <t>Video games -- Psychological aspects</t>
  </si>
  <si>
    <t>Sport &amp;amp; Recreation; Psychology</t>
  </si>
  <si>
    <t>Learning Toward an Ecological Consciousness : Selected Transformative Practices</t>
  </si>
  <si>
    <t>O'Sullivan, E.;Morrell, Amish;O''Connor, Mary Ann</t>
  </si>
  <si>
    <t>LC71-188</t>
  </si>
  <si>
    <t>Environmental psychology. ; Environmental education.</t>
  </si>
  <si>
    <t>Radical Pedagogy : Identity, Generativity, and Social Transformation</t>
  </si>
  <si>
    <t>Bracher, M.</t>
  </si>
  <si>
    <t>Education, Psychoanalysis, and Social Transformation Series</t>
  </si>
  <si>
    <t>BF712-724.92</t>
  </si>
  <si>
    <t>370.11/5</t>
  </si>
  <si>
    <t>Education -- Social aspects</t>
  </si>
  <si>
    <t>Education; Psychology</t>
  </si>
  <si>
    <t>The Literary and Cultural Rhetoric of Victimhood : Western Europe, 1970-2005</t>
  </si>
  <si>
    <t>Naqvi, F.</t>
  </si>
  <si>
    <t>GN</t>
  </si>
  <si>
    <t>Victims</t>
  </si>
  <si>
    <t>Dilman, Ilham</t>
  </si>
  <si>
    <t>Routledge Studies in Ethics and Moral Theory Series</t>
  </si>
  <si>
    <t>BF789.E94 -- D55 2005eb</t>
  </si>
  <si>
    <t>Good and evil -- Psychological aspects. ; Self psychology.</t>
  </si>
  <si>
    <t>Johnson, Paul</t>
  </si>
  <si>
    <t>HQ23 -- .J635 2005eb</t>
  </si>
  <si>
    <t>Heterosexuality. ; Love -- Social aspects. ; Sex. ; Identity (Psychology)</t>
  </si>
  <si>
    <t>Lichtenberg, Joseph D.</t>
  </si>
  <si>
    <t>RC504 -- .L53 2008eb</t>
  </si>
  <si>
    <t>Psychoanalysis. ; Sensuality. ; Sex (Psychology) ; Shame.</t>
  </si>
  <si>
    <t>Giere, Ronald N.</t>
  </si>
  <si>
    <t>Minnesota Studies in the Philosophy of Science</t>
  </si>
  <si>
    <t>Q175.3 -- .C646 1992eb</t>
  </si>
  <si>
    <t>501;501 s 501</t>
  </si>
  <si>
    <t>Guitar -- Instruction and study. ; Guitar -- Methods -- Self-instruction.</t>
  </si>
  <si>
    <t>Science: General; Science</t>
  </si>
  <si>
    <t>Couching Resistance : Women, Film, and Psychoanalytic Psychiatry</t>
  </si>
  <si>
    <t>Walker, Janet</t>
  </si>
  <si>
    <t>RC451.4.W6 -- W34 1993eb</t>
  </si>
  <si>
    <t>791.43/656</t>
  </si>
  <si>
    <t>Women and psychoanalysis. ; Women in motion pictures. ; Psychiatry in motion pictures. ; Motion pictures -- United States -- History.</t>
  </si>
  <si>
    <t>Medicine; Psychology; Fine Arts</t>
  </si>
  <si>
    <t>Hunger so Wide and so Deep : A Multiracial View of Womens Eating Problems</t>
  </si>
  <si>
    <t>Thompson, Becky W.</t>
  </si>
  <si>
    <t>RC552.E18 -- T456 1994eb</t>
  </si>
  <si>
    <t>616.85/26071/082</t>
  </si>
  <si>
    <t>Computer games -- Design. ; Computer graphics. ; Video games -- Design.</t>
  </si>
  <si>
    <t>Narratives of Agency : Self-Making in China, India, and Japan</t>
  </si>
  <si>
    <t>Dissanayake, Wimal</t>
  </si>
  <si>
    <t>DS721 -- .N37 1996eb</t>
  </si>
  <si>
    <t>302.54095;950</t>
  </si>
  <si>
    <t>Self. ; Individuality. ; Subjectivity. ; China -- Civilization. ; India -- Civilization. ; Japan -- Civilization.</t>
  </si>
  <si>
    <t>Diasporic Mediations : Between Home and Location</t>
  </si>
  <si>
    <t>Radhakrishnan, R.</t>
  </si>
  <si>
    <t>HM73 -- .R329 1996eb</t>
  </si>
  <si>
    <t>301.01$220;301/.01;306</t>
  </si>
  <si>
    <t>Postmodernism -- Social aspects. ; Culture. ; Ethnicity. ; Identity (Psychology)</t>
  </si>
  <si>
    <t>Fascist Virilities : Rhetoric, Ideology, and Social Fantasy in Italy</t>
  </si>
  <si>
    <t>Spackman, Barbara</t>
  </si>
  <si>
    <t>HQ1090.7.I8 -- S67 1996eb</t>
  </si>
  <si>
    <t>Fascism and sex -- Italy. ; Fascism and women -- Italy. ; Fascism -- Italy -- Psychological aspects. ; Masculinity -- Italy. ; Rhetoric -- Political aspects -- Italy. ; Italy -- Politics and government -- 1922-1945.</t>
  </si>
  <si>
    <t>House of Cards : Baseball Card Collecting and Popular Culture</t>
  </si>
  <si>
    <t>Bloom, John</t>
  </si>
  <si>
    <t>American Culture</t>
  </si>
  <si>
    <t>GV875.3 -- .B56 1997eb</t>
  </si>
  <si>
    <t>796.357/0973/075;796.357075;796.3570973075$220</t>
  </si>
  <si>
    <t>Baseball cards -- Collectors and collecting -- Social aspects -- United States. ; Popular culture -- United States -- History. ; Men -- United States -- Psychology.</t>
  </si>
  <si>
    <t>National Deconstruction : Violence, Identity, and Justice in Bosnia</t>
  </si>
  <si>
    <t>Campbell, David</t>
  </si>
  <si>
    <t>HM291 -- .C277 1998eb</t>
  </si>
  <si>
    <t>Social psychology. ; War -- Psychological aspects. ; Fear. ; Yugoslav War, 1991-1995 -- Bosnia and Hercegovina -- Psychological aspects.</t>
  </si>
  <si>
    <t>Fields of Protest : Womens Movement in India</t>
  </si>
  <si>
    <t>Ray, Raka</t>
  </si>
  <si>
    <t>Social Movements, Protest, and Contention</t>
  </si>
  <si>
    <t>HQ1236.5.I4 -- R39 1999eb</t>
  </si>
  <si>
    <t>305.42/0954;305.420954</t>
  </si>
  <si>
    <t>Infants -- Development. ; Infant psychology. ; Fetal behavior.</t>
  </si>
  <si>
    <t>Autoaffection : Unconscious Thought in the Age ofTechnology</t>
  </si>
  <si>
    <t>Clough, Patricia Ticineto</t>
  </si>
  <si>
    <t>HM846 -- .C56 2000eb</t>
  </si>
  <si>
    <t>Technology -- Social aspects. ; Telecommunication -- Social aspects. ; Thought and thinking. ; Subconsciousness. ; Cognition and culture. ; Psychoanalysis and culture. ; Poststructuralism.</t>
  </si>
  <si>
    <t>Outpatient Treatment of Eating Disorders : A Guide for Therapists, Dietitians, and Physicians</t>
  </si>
  <si>
    <t>James E. Mitchell, M.D.;Mitchell, James E.</t>
  </si>
  <si>
    <t>RC552.E18 -- O93 2001eb</t>
  </si>
  <si>
    <t>Motorcycle industry -- Great Britain -- History. ; Motorcycles -- Great Britain -- History.</t>
  </si>
  <si>
    <t>Colonization of Psychic Space : A Psychoanalytic Social Theory of Oppression</t>
  </si>
  <si>
    <t>Oliver, Kelly</t>
  </si>
  <si>
    <t>HM1256 -- .O44 2004eb</t>
  </si>
  <si>
    <t>Oppression (Psychology) ; Dominance (Psychology) ; Alienation (Philosophy) ; Social psychology.</t>
  </si>
  <si>
    <t>Blush : Faces of Shame</t>
  </si>
  <si>
    <t>Probyn, Elspeth</t>
  </si>
  <si>
    <t>BF575.S45 -- P76 2005eb</t>
  </si>
  <si>
    <t>152.4/4</t>
  </si>
  <si>
    <t>Routing the Opposition : Social Movements, Public Policy, and Democracy</t>
  </si>
  <si>
    <t>Meyer, David;Jenness, Valerie;Ingram, Helen</t>
  </si>
  <si>
    <t>v. 23</t>
  </si>
  <si>
    <t>HN65 -- .R68 2005eb</t>
  </si>
  <si>
    <t>Psychiatry -- Popular works. ; Clinical psychology.</t>
  </si>
  <si>
    <t>Political Science; Social Science</t>
  </si>
  <si>
    <t>Demonic Grounds : Black Women and the Cartographies of Struggle</t>
  </si>
  <si>
    <t>McKittrick, Katherine</t>
  </si>
  <si>
    <t>E29.N3 -- M38 2006eb</t>
  </si>
  <si>
    <t>305.48/89607009</t>
  </si>
  <si>
    <t>Women, Black -- America -- Social conditions. ; African diaspora. ; Human geography -- America. ; Geography -- Psychological aspects. ; Slavery -- America -- History. ; Women slaves -- America -- History. ; Women, Black -- America -- Political activity.</t>
  </si>
  <si>
    <t>Social Science; History</t>
  </si>
  <si>
    <t>Cook, Sam;Dey, Joy Morgan</t>
  </si>
  <si>
    <t>PN6231.F3 -- C66 1994eb</t>
  </si>
  <si>
    <t>814/.54</t>
  </si>
  <si>
    <t>Families -- Humor. ; Middle age -- Humor.</t>
  </si>
  <si>
    <t>Clifford, Christine;Lindstrom, Jack</t>
  </si>
  <si>
    <t>RC262 -- .C526 1996eb</t>
  </si>
  <si>
    <t>362.1/96994</t>
  </si>
  <si>
    <t>Tumors -- Psychology. ; Wit and humor.</t>
  </si>
  <si>
    <t>Bipolar : The Elements of Bipolar Disorder</t>
  </si>
  <si>
    <t>Electronic and Database Publishing</t>
  </si>
  <si>
    <t>Wyomissing</t>
  </si>
  <si>
    <t>Carter, Jay</t>
  </si>
  <si>
    <t>RC516.C378 2005</t>
  </si>
  <si>
    <t>Executive Function : Unlock Your Potential</t>
  </si>
  <si>
    <t>BF637.S4.C368 2005</t>
  </si>
  <si>
    <t>Attachment Theory in Clinical Work with Children : Bridging the Gap Between Research and Practice</t>
  </si>
  <si>
    <t>Oppenheim, David;Goldsmith, Douglas F.</t>
  </si>
  <si>
    <t>RJ507.A77</t>
  </si>
  <si>
    <t>618.92/8588</t>
  </si>
  <si>
    <t>Attachment behavior in children. ; Attachment disorder in children. ; Child psychotherapy. ; Parent and child.</t>
  </si>
  <si>
    <t>The Evolution of Mind : Fundamental Questions and Controversies</t>
  </si>
  <si>
    <t>Gangestad, Steven W.;Simpson, Jeffry A.</t>
  </si>
  <si>
    <t>BF698.95</t>
  </si>
  <si>
    <t>Evolutionary psychology. ; Human evolution.</t>
  </si>
  <si>
    <t>Aldwin, Carolyn M.;Park, Crystal L.;Spiro, Avron, III;Abeles, Ronald P.</t>
  </si>
  <si>
    <t>RA564.8</t>
  </si>
  <si>
    <t>616.001/9</t>
  </si>
  <si>
    <t>Older people -- Health and hygiene -- Psychological aspects -- Handbooks, manuals, etc. ; Clinical health psychology -- Handbooks, manuals, etc.</t>
  </si>
  <si>
    <t>Human Behavior, Learning, and the Developing Brain : Atypical Development</t>
  </si>
  <si>
    <t>Coch, Donna;Dawson, Geraldine;Fischer, Kurt W.</t>
  </si>
  <si>
    <t>RJ506.D47</t>
  </si>
  <si>
    <t>Developmental disabilities. ; Developmental psychobiology. ; Cognitive neuroscience.</t>
  </si>
  <si>
    <t>Social Neuroscience : Integrating Biological and Psychological Explanations of Social Behavior</t>
  </si>
  <si>
    <t>Harmon-Jones, Eddie;Winkielman, Piotr;Harmon-Jones, Eddie</t>
  </si>
  <si>
    <t>QP360</t>
  </si>
  <si>
    <t>Neuropsychology. ; Social psychology.</t>
  </si>
  <si>
    <t>Treating Bulimia in Adolescents : A Family-Based Approach</t>
  </si>
  <si>
    <t>Le Grange, Daniel;Lock, James;Le Grange, Daniel</t>
  </si>
  <si>
    <t>RJ506.E18</t>
  </si>
  <si>
    <t>Eating disorders in adolescence. ; Bulimia -- Patients -- Family relationships. ; Family psychotherapy. ; Parent and teenager.</t>
  </si>
  <si>
    <t>University of Nebraska</t>
  </si>
  <si>
    <t>Bison Books</t>
  </si>
  <si>
    <t>Kercheval, Jesse Lee</t>
  </si>
  <si>
    <t>Prairie Schooner Book Prize in Fiction</t>
  </si>
  <si>
    <t>PS3561.E558 -- A78 2007eb</t>
  </si>
  <si>
    <t>813/.54</t>
  </si>
  <si>
    <t>Literature; Fiction</t>
  </si>
  <si>
    <t>Regier, Willis Goth</t>
  </si>
  <si>
    <t>Stages</t>
  </si>
  <si>
    <t>BJ1838 -- .R44 2007eb</t>
  </si>
  <si>
    <t>177/.3</t>
  </si>
  <si>
    <t>Etiquette. ; Flattery. ; Praise.</t>
  </si>
  <si>
    <t>Shumaker, Peggy</t>
  </si>
  <si>
    <t>American Lives</t>
  </si>
  <si>
    <t>RC1045.P78 -- S48 2007eb</t>
  </si>
  <si>
    <t>362.197/10092;B</t>
  </si>
  <si>
    <t>Shumaker, Peggy, -- 1952- ; Cycling accident victims -- Alaska -- Biography. ; Convalescence -- Psychological aspects. ; Reminiscing -- Therapeutic use.</t>
  </si>
  <si>
    <t>Medicine; Social Science; Health; Fiction</t>
  </si>
  <si>
    <t>Sparta, Steven N.;Koocher, Gerald P.;Sparta, Steven N.</t>
  </si>
  <si>
    <t>RJ503.5.F67 2006</t>
  </si>
  <si>
    <t>Behavioral assessment of children. ; Behavioral assessment of teenagers. ; Forensic psychology. ; Mental illness -- Diagnosis.</t>
  </si>
  <si>
    <t>Psychology; Medicine; Literature</t>
  </si>
  <si>
    <t>Friedman, Howard S.;Silver, Roxane Cohen;Silver, Roxane Cohen</t>
  </si>
  <si>
    <t>R726.7.F68 2007</t>
  </si>
  <si>
    <t>Singing Mother Home : A Psychologist's Journey through Anticipatory Grief</t>
  </si>
  <si>
    <t>University of North Texas</t>
  </si>
  <si>
    <t>College Station</t>
  </si>
  <si>
    <t>Davenport, Donna S.;Matthews, Joan</t>
  </si>
  <si>
    <t>BF575.G7 -- D365 2002eb</t>
  </si>
  <si>
    <t>Grief. ; Bereavement -- Psychological aspects. ; Loss (Psychology) ; Mothers -- Death -- Psychological aspects. ; Mothers and daughters.</t>
  </si>
  <si>
    <t>Farber, Barry A.</t>
  </si>
  <si>
    <t>RC480.5</t>
  </si>
  <si>
    <t>Psychotherapy. ; Self-disclosure. ; Psychotherapist and patient.</t>
  </si>
  <si>
    <t>Albon, Amanda</t>
  </si>
  <si>
    <t>BF76.5 .A53 2007</t>
  </si>
  <si>
    <t>Psychology-Research. ; Psychology.</t>
  </si>
  <si>
    <t>Buckingham</t>
  </si>
  <si>
    <t>Barden, Nicola;Williams, Tina</t>
  </si>
  <si>
    <t>RC489.C65 -- B37 2007eb</t>
  </si>
  <si>
    <t>Psychotherapy. ; Counseling. ; Communication in psychiatry.</t>
  </si>
  <si>
    <t>Health Communication: Theory and Practice</t>
  </si>
  <si>
    <t>Berry, DiAnne</t>
  </si>
  <si>
    <t>R118 -- .B47 2007eb</t>
  </si>
  <si>
    <t>Bluckert, Peter</t>
  </si>
  <si>
    <t>Executive coaching -- Psychological aspects. ; Employees -- Coaching of -- Psychological aspects.</t>
  </si>
  <si>
    <t>Cattan, Mima;Tilford, Sylvia</t>
  </si>
  <si>
    <t>RA790.53 -- .C38 2006eb</t>
  </si>
  <si>
    <t>Mental health promotion. ; Health promotion.</t>
  </si>
  <si>
    <t>Ribbens McCarthy, Jane;Ribbens McCarthy, Jane</t>
  </si>
  <si>
    <t>BF724.3.G73 -- R53 2006eb</t>
  </si>
  <si>
    <t>155.937;155.937083</t>
  </si>
  <si>
    <t>Bereavement in adolescence. ; Grief in adolescence. ; Teenagers and death. ; Bereavement -- Psychological aspects. ; Death -- Psychological aspects. ; Loss (Psychology)</t>
  </si>
  <si>
    <t>Working with Denied Child Abuse: the Resolutions Approach</t>
  </si>
  <si>
    <t>Turnell, Andrew;Essex, Susanne</t>
  </si>
  <si>
    <t>Vaughan Smith, Julia</t>
  </si>
  <si>
    <t>Personal coaching. ; Psychology, Applied.</t>
  </si>
  <si>
    <t>Lindsey, Duncan</t>
  </si>
  <si>
    <t>HV741.L527 2004</t>
  </si>
  <si>
    <t>Child welfare -- United States -- History. ; Child welfare -- North America -- History. ; Child abuse -- United States -- Prevention -- Finance. ; Child abuse -- North America -- Prevention -- Finance.</t>
  </si>
  <si>
    <t>Nelson, Audrey L.;Algase, Donna L.</t>
  </si>
  <si>
    <t>RC521.E955 2007</t>
  </si>
  <si>
    <t>Agitation (Psychology)</t>
  </si>
  <si>
    <t>The Psychology of Enhancing Human Performance : The Mindfulness-Acceptance-Commitment (MAC) Approach</t>
  </si>
  <si>
    <t>Gardner, Frank L.;Moore, Zella E.</t>
  </si>
  <si>
    <t>GV706.4.G355 2007</t>
  </si>
  <si>
    <t>Sports -- Psychological aspects. ; Exercise -- Psychological aspects.</t>
  </si>
  <si>
    <t>Abortion Counseling : A Clinician's Guide to Psychology, Legislation, Politics, and Competency</t>
  </si>
  <si>
    <t>Needle, Rachel;Walker, Lenore E. A.</t>
  </si>
  <si>
    <t>HQ767.4.N44 2008</t>
  </si>
  <si>
    <t>Abortion counseling -- United States</t>
  </si>
  <si>
    <t>Meaning and Void : Inner Experience and the Incentives in Peoples Lives</t>
  </si>
  <si>
    <t>Klinger, Eric</t>
  </si>
  <si>
    <t>BF778 -- .K56 1977eb</t>
  </si>
  <si>
    <t>153.8;155.2</t>
  </si>
  <si>
    <t>Local transit -- Environmental aspects -- Canada. ; Local transit -- Economic aspects -- Canada. ; Transportation -- Environmental aspects -- Canada. ; Transportation -- Economic aspects -- Canada. ; Railroads -- Canada. ; Transports publics -- Aspect de l'environnement -- Canada. ; Transports publics -- Aspect économique -- Canada.</t>
  </si>
  <si>
    <t>Clinical and Social Psychology : Research Instruments in Social Gerontology</t>
  </si>
  <si>
    <t>Mangen, David J.;Peterson, Warren A.</t>
  </si>
  <si>
    <t>Clinical &amp; Social Psychology</t>
  </si>
  <si>
    <t>HQ1061 -- .R441 1982eb</t>
  </si>
  <si>
    <t>305.2/6</t>
  </si>
  <si>
    <t>Local transit -- Cost effectiveness.</t>
  </si>
  <si>
    <t>Family Structure and Interaction : A Comparative Analysis</t>
  </si>
  <si>
    <t>Lee, Gary R.</t>
  </si>
  <si>
    <t>HQ728 -- .L48 1982eb</t>
  </si>
  <si>
    <t>306.8/5</t>
  </si>
  <si>
    <t>Street-railroads -- Alberta -- Calgary. ; Trolley-buses -- Alberta -- Calgary. ; Local transit -- Alberta -- Calgary.</t>
  </si>
  <si>
    <t>Social Roles and Social Participation : Research Instruments in Social Gerontology</t>
  </si>
  <si>
    <t>HQ1061 -- .R474 1982eb</t>
  </si>
  <si>
    <t>Surgical wound infections -- Prevention. ; Antiseptics. ; Preoperative care. ; Surgical Wound Infection -- prevention &amp; control. ; Anti-Infective Agents, Local. ; Preoperative Care -- methods.</t>
  </si>
  <si>
    <t>Mitchell, James. E.</t>
  </si>
  <si>
    <t>RC552.B84 -- M57 1990eb</t>
  </si>
  <si>
    <t>Local officials and employees -- Term of office -- British Columbia. ; Local elections -- British Columbia. ; Local elections -- Law and legislation -- British Columbia. ; Election law -- British Columbia. ; Municipal government -- British Columbia. ; Local government -- British Columbia.</t>
  </si>
  <si>
    <t>Regal, Philip J.</t>
  </si>
  <si>
    <t>BC177 -- .R345 1990eb</t>
  </si>
  <si>
    <t>Greater Vancouver Transportation Authority. ; Local transit -- British Columbia -- Vancouver Metropolitan Area -- Planning. ; Transportation -- British Columbia -- Vancouver Metropolitan Area -- Planning. ; Roads -- British Columbia -- Vancouver Metropolitan Area -- Planning. ; Railroads, Elevated -- British Columbia -- Vancouver Metropolitan Area -- Planning. ; Bus lines -- British Columbia -- Vancouver Metropolitan Area -- Planning. ; Vancouver Metropolitan Area (B.C.) -- Transportation systems.</t>
  </si>
  <si>
    <t>Thinking Clearly about Psychology : Matters of Public Interest</t>
  </si>
  <si>
    <t>Cicchetti, Dante;Grove, William M.</t>
  </si>
  <si>
    <t>RC467 -- .T45 1991eb</t>
  </si>
  <si>
    <t>Local foods -- Government policy -- Ontario. ; Local foods -- Government policy -- Canada. ; Local foods -- Law and legislation -- Ontario. ; Local foods -- Law and legislation -- Canada.</t>
  </si>
  <si>
    <t>Thinking Clearly about Psychology : Personality and Psychopathology</t>
  </si>
  <si>
    <t>RC467 -- .T456 1991eb</t>
  </si>
  <si>
    <t>Local transit -- Canada -- Planning. ; Local transit -- Government policy -- Canada. ; Transports publics -- Canada -- Planification. ; Transports publics -- Politique gouvernementale -- Canada.</t>
  </si>
  <si>
    <t>Explanation and Power : The Control of Human Behavior</t>
  </si>
  <si>
    <t>Peckham, Morse</t>
  </si>
  <si>
    <t>BF455 -- .P354 1979eb</t>
  </si>
  <si>
    <t>401/.9</t>
  </si>
  <si>
    <t>Central Local Health Integration Network (Ont.) ; Central Local Health Integration Network (Ont.) ; Hospital utilization -- Ontario. ; Hospitals -- utilization -- Ontario.</t>
  </si>
  <si>
    <t>Psychology; Language/Linguistics</t>
  </si>
  <si>
    <t>Hogan, Robert;Johnson, John;Briggs, Stephen</t>
  </si>
  <si>
    <t>BF698.H3345 1997</t>
  </si>
  <si>
    <t>Personality. ; Individuality.</t>
  </si>
  <si>
    <t>The Disorders : Specialty Articles from the Encyclopedia of Mental Health</t>
  </si>
  <si>
    <t>RC454.D544 2001</t>
  </si>
  <si>
    <t>Mental illness</t>
  </si>
  <si>
    <t>Handbook of Academic Learning : Construction of Knowledge</t>
  </si>
  <si>
    <t>Phye, Gary D.</t>
  </si>
  <si>
    <t>Volume TBD</t>
  </si>
  <si>
    <t>LB1060.H3456 1997</t>
  </si>
  <si>
    <t>370.15/23</t>
  </si>
  <si>
    <t>Constructivism (Education) ; Learning, Psychology of.</t>
  </si>
  <si>
    <t>Experimental Design : A Handbook and Dictionary for Medical and Behavioral Research</t>
  </si>
  <si>
    <t>Krauth, J.;Krauth, J</t>
  </si>
  <si>
    <t>Techniques in the Behavioral and Neural Sciences</t>
  </si>
  <si>
    <t>R852 -- .K73 2000eb</t>
  </si>
  <si>
    <t>610.7/27</t>
  </si>
  <si>
    <t>Medicine -- Research -- Statistical methods -- Dictionaries. ; Psychology -- Research -- Statistical methods -- Dictionaries. ; Experimental design. ; Experimental design -- Dictionaries.</t>
  </si>
  <si>
    <t>OPS;Zaccarelli Davoli, Monica;Perez, Ricardo</t>
  </si>
  <si>
    <t>BF789.D5 G85 2006</t>
  </si>
  <si>
    <t>Disasters-Psychological aspects. ; Disaster victims-Mental health.</t>
  </si>
  <si>
    <t>Rojahn, Johannes;Schroeder, Stephen R.;Hoch, Theodore A.</t>
  </si>
  <si>
    <t>Volume 2</t>
  </si>
  <si>
    <t>RC569.5.S48R65 2007</t>
  </si>
  <si>
    <t>Self-injurious behavior. ; People with mental disabilities -- Mental health.</t>
  </si>
  <si>
    <t>RC473.B43C585 2006</t>
  </si>
  <si>
    <t>Behavioral assessment -- Handbooks, manuals, etc. ; Psychological tests -- Handbooks, manuals, etc.</t>
  </si>
  <si>
    <t>Soul Snatchers : The Mechanics of Cults</t>
  </si>
  <si>
    <t>Abgrall, Jean-Marie</t>
  </si>
  <si>
    <t>BP603 -- .A3613 2000eb</t>
  </si>
  <si>
    <t>Computer networks -- Examinations -- Study guides. ; Electronic data processing personnel -- Certification -- Study guides.</t>
  </si>
  <si>
    <t>Guillebaud, Jean-Claude</t>
  </si>
  <si>
    <t>HQ31 -- .G95413 1999eb</t>
  </si>
  <si>
    <t>New Predator : Profiles Of Female Serial Killers</t>
  </si>
  <si>
    <t>Schurman-Kauflin, Deborah</t>
  </si>
  <si>
    <t>HV6529 -- .S34 2000eb</t>
  </si>
  <si>
    <t>364.15/23/0820973</t>
  </si>
  <si>
    <t>Women serial murderers -- United States -- Psychology. ; Criminal behavior -- Research -- Methodology. ; Criminal methods -- Research -- Methodology -- Case studies.</t>
  </si>
  <si>
    <t>Wilcock, Keith</t>
  </si>
  <si>
    <t>GN450.8 -- .W55 2004eb</t>
  </si>
  <si>
    <t>302.3/5</t>
  </si>
  <si>
    <t>Business anthropology. ; Corporate culture. ; Psychology, Industrial. ; Organizational behavior. ; Corporations.</t>
  </si>
  <si>
    <t>Gene Illusion : Genetic Research in Psychiatry and Psychology Under the Microscope</t>
  </si>
  <si>
    <t>Joseph, Jay</t>
  </si>
  <si>
    <t>RC455.4.G4 -- J67 2004eb</t>
  </si>
  <si>
    <t>616.89/042</t>
  </si>
  <si>
    <t>Mental illness -- Genetic aspects. ; Genetic psychology. ; Twins -- Psychology -- Research -- Methodology.</t>
  </si>
  <si>
    <t>Missing Gene : Psychiatry, Heredity, and the Fruitless Search for Genes</t>
  </si>
  <si>
    <t>RC455.4.G4 -- J675 2006eb</t>
  </si>
  <si>
    <t>Genetic psychology. ; Mental illness -- Genetic aspects.</t>
  </si>
  <si>
    <t>Gullotta, Thomas P.;Adams, Gerald R.;Markstrom, Carol A.</t>
  </si>
  <si>
    <t>HQ796.G837 2000</t>
  </si>
  <si>
    <t>Burbacher, Thomas;Grant, Kimberly;Sackett, Gene P.</t>
  </si>
  <si>
    <t>RJ45.P75 2008</t>
  </si>
  <si>
    <t>Animal models in research</t>
  </si>
  <si>
    <t>Crimes of Punishment : Americas Culture of Violence</t>
  </si>
  <si>
    <t>Dorpat, Theodore L.</t>
  </si>
  <si>
    <t>HV6080 -- .D64 2007eb</t>
  </si>
  <si>
    <t>Criminal psychology. ; Punishment (Psychology) ; Imprisonment -- Psychological aspects. ; Behavior therapy. ; Violence -- United States.</t>
  </si>
  <si>
    <t>You're Addicted to You : Why It's So Hard to Change - and What You Can Do about It</t>
  </si>
  <si>
    <t>Berrett_Koehler</t>
  </si>
  <si>
    <t>Blumenthal, Noah</t>
  </si>
  <si>
    <t>BF637.C4B56 2007</t>
  </si>
  <si>
    <t>Change (Psychology) ; Change (Psychology) -- Problems, exercises, etc.</t>
  </si>
  <si>
    <t>The Integration and Management of Traumatized People after Terrorist Attacks</t>
  </si>
  <si>
    <t>Begeç, S.;Begeç, S.</t>
  </si>
  <si>
    <t>Victims of terrorism -- Congresses. ; Psychic trauma -- Congresses. ; Social integration -- Congresses.</t>
  </si>
  <si>
    <t>Social Science; Psychology; Political Science</t>
  </si>
  <si>
    <t>Growing up with Autism : Working with School-Age Children and Adolescents</t>
  </si>
  <si>
    <t>Gabriels, Robin L.;Hill, Dina E.</t>
  </si>
  <si>
    <t>Autism in children. ; Autism in adolescence.</t>
  </si>
  <si>
    <t>Robins, Richard W.;Fraley, R. Chris;Krueger, Robert F.</t>
  </si>
  <si>
    <t>BF698.4</t>
  </si>
  <si>
    <t>Lansford, Jennifer E.;Deater-Deckard, Kirby;Bornstein, Marc H.;Suarez-Orozco, Carola;Deater-Deckard, Kirby;Suarez-Orozco, Carola</t>
  </si>
  <si>
    <t>JV6033</t>
  </si>
  <si>
    <t>Emigration and immigration</t>
  </si>
  <si>
    <t>Treating Tourette Syndrome and Tic Disorders : A Guide for Practitioners</t>
  </si>
  <si>
    <t>Woods, Douglas W.;Piacentini, John C.;Walkup, John T.;Hollenbeck, Peter</t>
  </si>
  <si>
    <t>RC375</t>
  </si>
  <si>
    <t>Tourette syndrome -- Treatment. ; Tic disorders -- Treatment.</t>
  </si>
  <si>
    <t>van Luyn, Bert;Akhtar, Salman;Livesley, W. John</t>
  </si>
  <si>
    <t>RC554 -- .S48 2007eb</t>
  </si>
  <si>
    <t>Catherall, Don R.</t>
  </si>
  <si>
    <t>RC552.P67 -- H355 2004eb</t>
  </si>
  <si>
    <t>Post-traumatic stress disorder -- Handbooks, manuals, etc. ; Psychic trauma -- Handbooks, manuals, etc. ; Post-traumatic stress disorder -- Patients -- Family relationships -- Handbooks, manuals, etc. ; Psychic trauma -- Patients -- Family relationships -- Handbooks, manuals, etc. ; Families -- Psychological aspects -- Handbooks, manuals, etc.</t>
  </si>
  <si>
    <t>The Age of Melancholy : Major Depression and Its Social Origin</t>
  </si>
  <si>
    <t>Blazer, Dan G.</t>
  </si>
  <si>
    <t>RC537.B527 2005</t>
  </si>
  <si>
    <t>Child Anxiety Disorders : A Guide to Research and Treatment</t>
  </si>
  <si>
    <t>Beidel, Deborah C.;Turner, Sam</t>
  </si>
  <si>
    <t>RJ506.A58 -- B45 2005eb</t>
  </si>
  <si>
    <t>Mayday! : Asking for Help in Times of Need</t>
  </si>
  <si>
    <t>Klaver, M. Nora</t>
  </si>
  <si>
    <t>BK Life</t>
  </si>
  <si>
    <t>HM1141.K53 2007</t>
  </si>
  <si>
    <t>Managers Pocket Guide to Influencing With Integrity : Power, Principles and Persuasion</t>
  </si>
  <si>
    <t>Caroselli, Marlene</t>
  </si>
  <si>
    <t>Managers Pocket Guide Series</t>
  </si>
  <si>
    <t>HD31 -- .C3485 2000eb</t>
  </si>
  <si>
    <t>001.51;658.3124</t>
  </si>
  <si>
    <t>Management. ; Persuasion (Psychology) ; Influence (Psychology)</t>
  </si>
  <si>
    <t>Business/Management; General Works/Reference</t>
  </si>
  <si>
    <t>Managers Pocket Guide to Emotional Intelligence : From Management to Leadership</t>
  </si>
  <si>
    <t>Sterrett, Emily</t>
  </si>
  <si>
    <t>BF576 -- .S743 2000eb</t>
  </si>
  <si>
    <t>Emotional intelligence. ; Leadership -- Psychological aspects.</t>
  </si>
  <si>
    <t>Behavioral Aspects of Epilepsy : Principles and Practice</t>
  </si>
  <si>
    <t>Holmes, Gregory L.;Shachter, Steven C.;Trenite, Dorothee G. A. Kasteleijn-Nolst</t>
  </si>
  <si>
    <t>RC372.5.B44 2008</t>
  </si>
  <si>
    <t>Epilepsy -- Pathophysiology. ; Epilepsy -- Complications.</t>
  </si>
  <si>
    <t>How Schools Can Help Students Recover from Traumatic Experiences : A Tool Kit for Supporting Long-Term Recovery</t>
  </si>
  <si>
    <t>Rand</t>
  </si>
  <si>
    <t>RAND Corporation</t>
  </si>
  <si>
    <t>Jaycox, Lisa H.;Morse, Lindsey K.;Tanielian, Terri</t>
  </si>
  <si>
    <t>RJ506.P66 -- H59 2006eb</t>
  </si>
  <si>
    <t>Psychic trauma in children -- Treatment. ; Post-traumatic stress disorder in children -- Treatment. ; School children -- Mental health. ; Schools -- Sociological aspects.</t>
  </si>
  <si>
    <t>Deja vu : Aberrations of Cultural Memory</t>
  </si>
  <si>
    <t>Krapp, Peter</t>
  </si>
  <si>
    <t>Electronic Mediations, v.12</t>
  </si>
  <si>
    <t>BD181.7 -- .K73 2004eb</t>
  </si>
  <si>
    <t>Déjà vu. ; Memory (Philosophy) ; Memory -- Social aspects.</t>
  </si>
  <si>
    <t>Listening Awry : Music and Alterity in German Culture</t>
  </si>
  <si>
    <t>Schwarz, David</t>
  </si>
  <si>
    <t>ML3830 -- .S278 2006eb</t>
  </si>
  <si>
    <t>781/.110943</t>
  </si>
  <si>
    <t>Music -- Psychological aspects. ; Music -- Germany -- History and criticism. ; Other (Philosophy) ; Music -- Philosophy and aesthetics.</t>
  </si>
  <si>
    <t>Labbie, Erin Felicia</t>
  </si>
  <si>
    <t>B2430.L1464 -- L33 2006eb</t>
  </si>
  <si>
    <t>150.19/5092</t>
  </si>
  <si>
    <t>Lacan, Jacques, -- 1901-1981. ; Psychoanalysis and philosophy. ; Medievalism. ; Desire.</t>
  </si>
  <si>
    <t>Politics of Touch : Sense, Movement, Sovereignty</t>
  </si>
  <si>
    <t>Manning, Erin</t>
  </si>
  <si>
    <t>JA74.5 -- .M357 2007eb</t>
  </si>
  <si>
    <t>Behaviorism (Political science) ; Touch -- Political aspects. ; Sex role -- Political aspects. ; Tango (Dance) -- Social aspects.</t>
  </si>
  <si>
    <t>Images of Bliss : Ejaculation, Masculinity, Meaning</t>
  </si>
  <si>
    <t>Aydemir, Murat</t>
  </si>
  <si>
    <t>QP255 -- .A93 2007eb</t>
  </si>
  <si>
    <t>Generative organs, Male -- Philosophy. ; Human reproduction -- Philosophy. ; Ejaculation -- Philosophy. ; Penis -- Philosophy. ; Masculinity.</t>
  </si>
  <si>
    <t>Gesellschaftliche Erinnerung : Eine Medienkulturwissenschaftliche Perspektive</t>
  </si>
  <si>
    <t>Walter de Gruyter</t>
  </si>
  <si>
    <t>Berlin/Boston</t>
  </si>
  <si>
    <t>GERMANY</t>
  </si>
  <si>
    <t>Zierold, Martin</t>
  </si>
  <si>
    <t>Media and Cultural Memory Series</t>
  </si>
  <si>
    <t>BF378.S65Z54 2006</t>
  </si>
  <si>
    <t>Medien des Kollektiven Gedächtnisses : Konstruktivität - Historizität - Kulturspezifität</t>
  </si>
  <si>
    <t>Erll, Astrid;Nünning, Ansgar;Birk, Hanne;Neumann, Birgit;Schmidt, Patrick;Nünning, Ansgar</t>
  </si>
  <si>
    <t>BF378.S65M43 2004</t>
  </si>
  <si>
    <t>Flannery, Daniel J.;Vazsonyi, Alexander T.;Waldman, Irwin D.</t>
  </si>
  <si>
    <t>Cambridge Handbooks in Psychology Series</t>
  </si>
  <si>
    <t>HM1116 .C36 2007</t>
  </si>
  <si>
    <t>Parasuicidality and Paradox : Breaking Through the Medical Model</t>
  </si>
  <si>
    <t>Ellenhorn, Ross D.</t>
  </si>
  <si>
    <t>RC569.E44 2008</t>
  </si>
  <si>
    <t>Parasuicide -- Psychological aspects</t>
  </si>
  <si>
    <t>Dreier, Ole</t>
  </si>
  <si>
    <t>Learning in Doing: Social, Cognitive and Computational Perspectives Series</t>
  </si>
  <si>
    <t>RC480.5 .D74 2008</t>
  </si>
  <si>
    <t>Scar of Visibility : Medical Performances and Contemporary Art</t>
  </si>
  <si>
    <t>Kuppers, Petra</t>
  </si>
  <si>
    <t>N6494.B63 -- K87 2007eb</t>
  </si>
  <si>
    <t>Body art. ; Performance art. ; Medicine and art. ; Art -- Psychological aspects.</t>
  </si>
  <si>
    <t>Frames of Mind : A Post-Jungian Look at Film, Television and Technology</t>
  </si>
  <si>
    <t>Hockley, Luke</t>
  </si>
  <si>
    <t>P96.P75 -- H63 2007eb</t>
  </si>
  <si>
    <t>Jung, C. G. -- (Carl Gustav), -- 1875-1961. ; Psychoanalysis and motion pictures. ; Jungian psychology.</t>
  </si>
  <si>
    <t>Social Science; Fine Arts</t>
  </si>
  <si>
    <t>Treatments : Language, Politics, and the Culture of Illness</t>
  </si>
  <si>
    <t>Diedrich, Lisa</t>
  </si>
  <si>
    <t>R726.5 -- .D54 2007eb</t>
  </si>
  <si>
    <t>Sick -- Psychology. ; Patients' writings -- History and criticism. ; Diseases and literature.</t>
  </si>
  <si>
    <t>Dreams of Interpretation : A Century down the Royal Road</t>
  </si>
  <si>
    <t>Liu, Catherine;Mowitt, John;Pepper, Thomas</t>
  </si>
  <si>
    <t>BF1078 -- .D75 2007eb</t>
  </si>
  <si>
    <t>Freud, Sigmund, -- 1856-1939. -- Traumdeutung. ; Dreams. ; Psychoanalysis.</t>
  </si>
  <si>
    <t>Mendelson, Scott D.</t>
  </si>
  <si>
    <t>RC662.4.M46 2008</t>
  </si>
  <si>
    <t>Mental illness -- Complications</t>
  </si>
  <si>
    <t>Armed Forces : Masculinity and Sexuality in the American War Film</t>
  </si>
  <si>
    <t>Eberwein, Robert</t>
  </si>
  <si>
    <t>PN1995</t>
  </si>
  <si>
    <t>791.43/658</t>
  </si>
  <si>
    <t>War films-United States-History and criticism. ; Male friendship in motion pictures. ; Masculinity in motion pictures.</t>
  </si>
  <si>
    <t>SPB Academic Publishing</t>
  </si>
  <si>
    <t>Kugler Publications</t>
  </si>
  <si>
    <t>Caronia, R.M.;Ritch, R</t>
  </si>
  <si>
    <t>RE871 -- .C53 2000eb</t>
  </si>
  <si>
    <t>617.7;617.7/41</t>
  </si>
  <si>
    <t>Drawing, Psychology of. ; Felt marker drawing. ; Graphic arts -- Technique. ; Visual communication.</t>
  </si>
  <si>
    <t>Myth of the Chosen One : The Psychology of Serial Killers</t>
  </si>
  <si>
    <t>Sohail, Khalid</t>
  </si>
  <si>
    <t>HV6515 -- .S64 2002eb</t>
  </si>
  <si>
    <t>364.15/23/092</t>
  </si>
  <si>
    <t>Serial murderers -- Psychology. ; Infanticide.</t>
  </si>
  <si>
    <t>Social Science; Fiction</t>
  </si>
  <si>
    <t>Ursano, Robert J.;Fullerton, Carol S.;Weisaeth, Lars;Raphael, Beverley</t>
  </si>
  <si>
    <t>RC552.P67 -- T49 2007eb</t>
  </si>
  <si>
    <t>Schifferstein, Hendrik N. J.;Hekkert, Paul</t>
  </si>
  <si>
    <t>HF5415.32.P76 2008</t>
  </si>
  <si>
    <t>Consumer behavior</t>
  </si>
  <si>
    <t>Doing What Works in Brief Therapy : A Strategic Solution Focused Approach</t>
  </si>
  <si>
    <t>Quick, Ellen K.</t>
  </si>
  <si>
    <t>RC489.S65Q53 2008</t>
  </si>
  <si>
    <t>Boys of Few Words : Raising Our Sons to Communicate and Connect</t>
  </si>
  <si>
    <t>Cox, Adam J.</t>
  </si>
  <si>
    <t>HQ775.C68 2006</t>
  </si>
  <si>
    <t>649/.132</t>
  </si>
  <si>
    <t>Boys. ; Child rearing. ; Communication in families.</t>
  </si>
  <si>
    <t>Help for Worried Kids : How Your Child Can Conquer Anxiety and Fear</t>
  </si>
  <si>
    <t>Last, Cynthia G.</t>
  </si>
  <si>
    <t>RJ506.A58L37 2006</t>
  </si>
  <si>
    <t>Jensen, Peter S.</t>
  </si>
  <si>
    <t>Making the System Work for Your Child Series</t>
  </si>
  <si>
    <t>RJ506.H9J46 2004</t>
  </si>
  <si>
    <t>Mommies, Daddies, Donors, Surrogates : Answering Tough Questions and Building Strong Families</t>
  </si>
  <si>
    <t>Ehrensaft, Diane</t>
  </si>
  <si>
    <t>RG133.5 -- .E42 2005eb</t>
  </si>
  <si>
    <t>618.1/7806</t>
  </si>
  <si>
    <t>Raising a Moody Child : How to Cope with Depression and Bipolar Disorder</t>
  </si>
  <si>
    <t>Fristad, Mary A.;Arnold, Jill S. Goldberg</t>
  </si>
  <si>
    <t>RJ506.D4F755 2004</t>
  </si>
  <si>
    <t>618.92/8527</t>
  </si>
  <si>
    <t>Stop Arguing with Your Kids : How to Win the Battle of Wills by Making Your Children Feel Heard</t>
  </si>
  <si>
    <t>Nichols, Michael P.</t>
  </si>
  <si>
    <t>HQ755.85.N524 2004</t>
  </si>
  <si>
    <t>Parent and child. ; Child psychology. ; Communication in families. ; Listening.</t>
  </si>
  <si>
    <t>Braaten, Ellen;Felopulos, Gretchen</t>
  </si>
  <si>
    <t>RJ503.5.B73 2004</t>
  </si>
  <si>
    <t>Wilson, John P.;Keane, Terence M.</t>
  </si>
  <si>
    <t>RC552.P67A85</t>
  </si>
  <si>
    <t>Post-traumatic stress disorder -- Diagnosis. ; Psychodiagnostics. ; Neuropsychological tests.</t>
  </si>
  <si>
    <t>Kirkpatrick, Lee A.;Williamsburg, Mary</t>
  </si>
  <si>
    <t>BL53.K56</t>
  </si>
  <si>
    <t>Psychology, Religious. ; Attachment behavior. ; Evolutionary psychology.</t>
  </si>
  <si>
    <t>Barrett, Lisa Feldman;Niedenthal, Paula M.;Winkielman, Piotr;Niedenthal, Paula M.</t>
  </si>
  <si>
    <t>BF311.E4855</t>
  </si>
  <si>
    <t>Consciousness. ; Emotions. ; Emotions and cognition.</t>
  </si>
  <si>
    <t>Geriatric Neuropsychology : Assessment and Intervention</t>
  </si>
  <si>
    <t>Attix, Deborah K.;Welsh-Bohmer, Kathleen A.</t>
  </si>
  <si>
    <t>RC451.4.A5</t>
  </si>
  <si>
    <t>Geriatric neuropsychiatry. ; Cognition disorders in old age -- Diagnosis. ; Neuropsychological tests.</t>
  </si>
  <si>
    <t>Greenberg, Jeff;Koole, Sander L.;Pyszczynski, Tom</t>
  </si>
  <si>
    <t>BF204.5.H34</t>
  </si>
  <si>
    <t>Existential psychology. ; Psychology, Experimental.</t>
  </si>
  <si>
    <t>Handbook of Psychological and Educational Assessment of Children : Personality, Behavior, and Context</t>
  </si>
  <si>
    <t>Reynolds, Cecil R.;Kamphaus, Randy W.;Reynolds, Cecil R.;Kamphaus, Randy W.</t>
  </si>
  <si>
    <t>BF722.H33</t>
  </si>
  <si>
    <t>155.4/028/7</t>
  </si>
  <si>
    <t>Psychological tests for children. ; Achievement tests.</t>
  </si>
  <si>
    <t>Baldwin, Mark W.</t>
  </si>
  <si>
    <t>BF323.S63I58</t>
  </si>
  <si>
    <t>Interpersonal Reconstructive Therapy : An Integrative, Personality-Based Treatment for Complex Cases</t>
  </si>
  <si>
    <t>Benjamin, Lorna Smith</t>
  </si>
  <si>
    <t>RC554.B453</t>
  </si>
  <si>
    <t>Personality disorders -- Treatment. ; Psychotherapy. ; Impasse (Psychotherapy) ; Resistance (Psychoanalysis)</t>
  </si>
  <si>
    <t>Lenzenweger, Mark F.;Clarkin, John F.</t>
  </si>
  <si>
    <t>RC554.M24</t>
  </si>
  <si>
    <t>Mindfulness and Acceptance : Expanding the Cognitive-Behavioral Tradition</t>
  </si>
  <si>
    <t>Hayes, Steven C.;Follette, Victoria M.;Linehan, Marsha M.</t>
  </si>
  <si>
    <t>RC489.C63M55</t>
  </si>
  <si>
    <t>616.89/142</t>
  </si>
  <si>
    <t>Neuropsychology of PTSD : Biological, Cognitive, and Clinical Perspectives</t>
  </si>
  <si>
    <t>Vasterling, Jennifer J.;Brewin, Chris R.</t>
  </si>
  <si>
    <t>Post-traumatic stress disorder. ; Neuropsychiatry.</t>
  </si>
  <si>
    <t>Schneider, David J.</t>
  </si>
  <si>
    <t>Distinguished Contributions in Psychology Series</t>
  </si>
  <si>
    <t>BF323.S63</t>
  </si>
  <si>
    <t>Stereotypes (Social psychology) ; Social psychology.</t>
  </si>
  <si>
    <t>Tangney, June Price;Dearing, Ronda L.</t>
  </si>
  <si>
    <t>BF575.S45</t>
  </si>
  <si>
    <t>Shame. ; Guilt.</t>
  </si>
  <si>
    <t>Teens Who Hurt : Clinical Interventions to Break the Cycle of Adolescent Violence</t>
  </si>
  <si>
    <t>Hardy, Kenneth V.;Laszloffy, Tracey A.</t>
  </si>
  <si>
    <t>RJ506.V56</t>
  </si>
  <si>
    <t>618.92/8582</t>
  </si>
  <si>
    <t>Violence in adolescence -- Prevention. ; Juvenile delinquency -- Prevention. ; Adolescent psychotherapy.</t>
  </si>
  <si>
    <t>Women's Mental Health : A Comprehensive Textbook</t>
  </si>
  <si>
    <t>Kornstein, Susan G.;Clayton, Anita H.</t>
  </si>
  <si>
    <t>RC451.4.W6</t>
  </si>
  <si>
    <t>616.89/0082</t>
  </si>
  <si>
    <t>Women -- Mental health -- Textbooks. ; Women -- Psychology.</t>
  </si>
  <si>
    <t>Hill, Anne;Watson, James;Rivers, Danny;Joyce, Mark</t>
  </si>
  <si>
    <t>BF637.C45 K46 2007</t>
  </si>
  <si>
    <t>Interpersonal communication. ; Interpersonal communication-Social aspects. ; Identity (Psychology)</t>
  </si>
  <si>
    <t>Child Development from Birth to Eight: a Journey Through the Early Years</t>
  </si>
  <si>
    <t>Robinson, Maria</t>
  </si>
  <si>
    <t>UK Higher Education OUP Humanities and Social Sciences Education OUP Series</t>
  </si>
  <si>
    <t>HQ767.9 .R63 2008</t>
  </si>
  <si>
    <t>Child development. ; Early childhood education.</t>
  </si>
  <si>
    <t>Scott, Niall;Seglow, Jonathan</t>
  </si>
  <si>
    <t>BJ1474 .S375 2007</t>
  </si>
  <si>
    <t>x</t>
  </si>
  <si>
    <t>Altruism. ; Altruism-History.</t>
  </si>
  <si>
    <t>Thompson, Jeanette;Kilbane, Jackie;Sanderson, Helen</t>
  </si>
  <si>
    <t>HV40 .P47 2008</t>
  </si>
  <si>
    <t>Learning disabled-Services for. ; Social work with people with mental disabilities.</t>
  </si>
  <si>
    <t>Seeing Through Tears : Crying and Attachment</t>
  </si>
  <si>
    <t>Nelson, Judith Kay</t>
  </si>
  <si>
    <t>BF575; BF575.C88N45</t>
  </si>
  <si>
    <t>Rosenblatt, Paul C.;Wallace, Beverly R.</t>
  </si>
  <si>
    <t>RC451.5.N4 -- R67 2005eb</t>
  </si>
  <si>
    <t>155.9/37/08996073</t>
  </si>
  <si>
    <t>African Americans -- Mental health. ; African Americans -- Psychology. ; Grief -- United States. ; Bereavement -- United States -- Psychological aspects. ; Loss (Psychology)</t>
  </si>
  <si>
    <t>Promises, Oaths, and Vows : On the Psychology of Promising</t>
  </si>
  <si>
    <t>Schlesinger, Herbert J.</t>
  </si>
  <si>
    <t>BJ1500.P7 -- S35 2008eb</t>
  </si>
  <si>
    <t>Kradin, Richard</t>
  </si>
  <si>
    <t>RM331 -- .K73 2008eb</t>
  </si>
  <si>
    <t>Medicine; Pharmacy</t>
  </si>
  <si>
    <t>Playing Sick? : Untangling the Web of Munchausen Syndrome, Munchausen by Proxy, Malingering, and Factitious Disorder</t>
  </si>
  <si>
    <t>Feldman, Marc D.</t>
  </si>
  <si>
    <t>Routledge Mental Health Classic Editions Series</t>
  </si>
  <si>
    <t>RC569.5.F27F453 2004</t>
  </si>
  <si>
    <t>616.85/86</t>
  </si>
  <si>
    <t>Factitious disorders. ; Malingering. ; Munchausen syndrome. ; Munchausen syndrome by proxy.</t>
  </si>
  <si>
    <t>The Children Who Lived : Using Harry Potter and Other Fictional Characters to Help Grieving Children and Adolescents</t>
  </si>
  <si>
    <t>Markell, Kathryn A.;Markell, Marc A.</t>
  </si>
  <si>
    <t>BF723.G75 -- M26 2008eb</t>
  </si>
  <si>
    <t>155.9/37083</t>
  </si>
  <si>
    <t>Acting Antics : A Theatrical Approach to Teaching Social Understanding to Kids and Teens with Asperger Syndrome</t>
  </si>
  <si>
    <t>Attwood, Anthony;Schneider, Cindy;Attwood, Tony</t>
  </si>
  <si>
    <t>RJ506.A9S388 2007</t>
  </si>
  <si>
    <t>Asperger's syndrome -- Patients -- Education. ; Asperger's syndrome -- Social aspects. ; Drama -- Therapeutic use. ; Social skills in adolescence. ; Social skills in children.</t>
  </si>
  <si>
    <t>An Integrated Approach to Family Work for Psychosis : A Manual for Family Workers</t>
  </si>
  <si>
    <t>Smith, Gina;Higgs, Annie;Gregory, Karl</t>
  </si>
  <si>
    <t>RC512.S57 2007</t>
  </si>
  <si>
    <t>Psychoses -- Treatment. ; Psychoses -- Patients -- Family relationships. ; Family social work. ; Family psychotherapy.</t>
  </si>
  <si>
    <t>Health; Social Science; Medicine; Psychology</t>
  </si>
  <si>
    <t>Asperger Syndrome and Bullying : Strategies and Solutions</t>
  </si>
  <si>
    <t>Dubin, Nick</t>
  </si>
  <si>
    <t>362.196/85882</t>
  </si>
  <si>
    <t>Asperger's syndrome -- Social aspects. ; Bullying in schools. ; Bullying in the workplace.</t>
  </si>
  <si>
    <t>At Home in the Land of Oz : Autism, My Sister, and Me Second Edition</t>
  </si>
  <si>
    <t>Barnhill, Anne</t>
  </si>
  <si>
    <t>Clinard,  Rebecca Jane. ; Autistic people-Biography.</t>
  </si>
  <si>
    <t>History; Home Economics; Psychology</t>
  </si>
  <si>
    <t>Conduct Disorder and Offending Behaviour in Young People : Findings from Research</t>
  </si>
  <si>
    <t>Richardson, Joanna;Liabo, Kristin</t>
  </si>
  <si>
    <t>Conduct disorders in adolescence. ; Juvenile delinquency.</t>
  </si>
  <si>
    <t>Dictionary of Psychological Testing, Assessment and Treatment : Second Edition</t>
  </si>
  <si>
    <t>BF176 -- .S78 2007eb</t>
  </si>
  <si>
    <t>Psychological tests -- Dictionaries. ; Psychometrics -- Dictionaries.</t>
  </si>
  <si>
    <t>Empowering Children Through Art and Expression : Culturally Sensitive Ways of Healing Trauma and Grief</t>
  </si>
  <si>
    <t>St Thomas, Bruce;Johnson, Paul</t>
  </si>
  <si>
    <t>Art therapy for children. ; Creation (Literary, artistic, etc.)-Therapeutic use. ; Grief in children-Treatment. ; Psychic trauma in children-Treatment. ; Post-traumatic stress disorder in children-Treatment.</t>
  </si>
  <si>
    <t>From Isolation to Intimacy : Making Friends Without Words</t>
  </si>
  <si>
    <t>Caldwell, Phoebe;Horwood, Jane</t>
  </si>
  <si>
    <t>RC553.A88 -- C352 2007eb</t>
  </si>
  <si>
    <t>Nonverbal communication. ; Autistic people -- Rehabilitation. ; Learning disabled -- Rehabilitation. ; Intimacy (Psychology)</t>
  </si>
  <si>
    <t>A Guide to Psychological Debriefing : Managing Emotional Decompression and Post-Traumatic Stress Disorder</t>
  </si>
  <si>
    <t>Kinchin, David</t>
  </si>
  <si>
    <t>Post-traumatic stress disorder. ; Crisis intervention (Mental health services)</t>
  </si>
  <si>
    <t>Healing the Inner City Child : Creative Arts Therapies with at-Risk Youth</t>
  </si>
  <si>
    <t>Summer, Daniel;Soble, Laura;Scott-Moncrieff, Suzannah;Senroy, Priyadarshini;Senroy, Sonali;Hodermarska, Maria;Haen, Craig;O'Brien, Mary;Odell, Linda;McGuire, Dorothy</t>
  </si>
  <si>
    <t>RJ505.A7 -- H43 2007eb</t>
  </si>
  <si>
    <t>Art therapy for children. ; City children -- Mental health.</t>
  </si>
  <si>
    <t>If You Turned into a Monster : Transformation Through Play: a Body-Centred Approach to Play Therapy</t>
  </si>
  <si>
    <t>McCarthy, Dennis</t>
  </si>
  <si>
    <t>Intervention and Support for Parents and Carers of Children and Young People on the Autism Spectrum : A Resource for Trainers</t>
  </si>
  <si>
    <t>Brayshaw, Joanne;Williams, Christopher;Brayshaw, Joanne</t>
  </si>
  <si>
    <t>RJ506.A9W75 2007</t>
  </si>
  <si>
    <t>Autism in children -- Handbooks, manuals, etc. ; Asperger's syndrome -- Handbooks, manuals, etc.</t>
  </si>
  <si>
    <t>Living Alongside a Child's Recovery : Therapeutic Parenting with Traumatized Children</t>
  </si>
  <si>
    <t>Pughe, Billy;Walsh, Mary;Philpot, Terry</t>
  </si>
  <si>
    <t>RJ506.P66P84 2007</t>
  </si>
  <si>
    <t>Psychic trauma in children -- Treatment. ; Child psychotherapy -- Parent participation. ; Parenting.</t>
  </si>
  <si>
    <t>Living with Emetophobia : Coping with Extreme Fear of Vomiting</t>
  </si>
  <si>
    <t>Dean, Linda;Heaton-Harris, Nicolette</t>
  </si>
  <si>
    <t>The Man Who Lost His Language : A Case of Aphasia Revised Edition</t>
  </si>
  <si>
    <t>Hale, Sheila</t>
  </si>
  <si>
    <t>362.196/85520092 B</t>
  </si>
  <si>
    <t>AD,AO,AR,AS,AT,AU,AW,AX,BE,BF,BG,BI,BJ,BL,BO,BR,BV,BW,CA,CD,CF,CG,CH,CI,CL,CM,CO,CV,CY,CZ,DE,DJ,DK,DZ,EC,EE,EG,EH,ER,ES,ET,FI,FK,FO,FR,GA,GB,GF,GG,GH,GI,GL,GM,GN,GP,GQ,GR,GS,GT,GU,GW,GY,HN,HR,HU,IE,IM,IO,IS,IT,JE,KE,KM,LI,LR,LS,LT,LU,LV,LY,MA,MC,MG,MH,ML,MP,MQ,MR,MT,MU,MW,MX,MZ,NA,NE,NG,NI,NL,NO,NZ,PE,PH,PL,PR,PT,PY,RE,RO,RW,SC,SD,SE,SI,SJ,SK,SL,SM,SN,SO,SR,SS,SV,SZ,TD,TG,TN,TZ,UG,UM,US,UY,VA,VE,VI,WF,YT,ZA,ZM,ZW</t>
  </si>
  <si>
    <t>Microanalysis in Music Therapy : Methods, Techniques and Applications for Clinicians, Researchers, Educators and Students</t>
  </si>
  <si>
    <t>Wosch, Thomas;Wheeler, Barbara L.;Wigram, Tony</t>
  </si>
  <si>
    <t>ML3920.M52 2007</t>
  </si>
  <si>
    <t>Music therapy -- Instruction and study. ; Music theory.</t>
  </si>
  <si>
    <t>The Miller Method (R) : Developing the Capacities of Children on the Autism Spectrum</t>
  </si>
  <si>
    <t>Miller, Arnold</t>
  </si>
  <si>
    <t>RJ506.A9M55 2007</t>
  </si>
  <si>
    <t>Autism in children-Treatment. ; Cognitive therapy for children.</t>
  </si>
  <si>
    <t>Nearing Death Awareness : A Guide to the Language, Visions, and Dreams of the Dying</t>
  </si>
  <si>
    <t>Sanders, Mary Anne</t>
  </si>
  <si>
    <t>BF789.D4S25 2007</t>
  </si>
  <si>
    <t>Planning to Learn : Creating and Using a Personal Planner with Young People on the Autism Spectrum</t>
  </si>
  <si>
    <t>Harper-Hill, Keely;Lord, Stephanie</t>
  </si>
  <si>
    <t>RJ506.A9H2684 2007</t>
  </si>
  <si>
    <t>Autistic children -- Rehabilitation. ; Autism in adolescence.</t>
  </si>
  <si>
    <t>Playing the Other : Dramatizing Personal Narratives in Playback Theatre</t>
  </si>
  <si>
    <t>Rowe, Nick</t>
  </si>
  <si>
    <t>PN2071.I5R69 2007</t>
  </si>
  <si>
    <t>792.02/2</t>
  </si>
  <si>
    <t>Improvisation (Acting) ; Drama -- Therapeutic use.</t>
  </si>
  <si>
    <t>Receptive Methods in Music Therapy : Techniques and Clinical Applications for Music Therapy Clinicians, Educators and Students</t>
  </si>
  <si>
    <t>Wesely, Susan B.;Grocke, Denise;Wigram, Tony;Stathis, Katerina;Schou, Karin;Shanahan, Emily;Hamlett, Karen;Holmes, Matt;Roberts, Melina;McFerran, Katrina</t>
  </si>
  <si>
    <t>ML3920.G76 2007</t>
  </si>
  <si>
    <t>Music therapy. ; Music -- Physiological aspects.</t>
  </si>
  <si>
    <t>Silent Grief : Living in the Wake of Suicide Revised Edition</t>
  </si>
  <si>
    <t>Lukas, Christopher;Seiden, Henry M.</t>
  </si>
  <si>
    <t>HV6548.U5L85 2007</t>
  </si>
  <si>
    <t>Kellermann, Peter Felix</t>
  </si>
  <si>
    <t>Sociodrama. ; Disasters-Psychological aspects. ; Group psychotherapy.</t>
  </si>
  <si>
    <t>Supporting Women after Domestic Violence : Loss, Trauma and Recovery</t>
  </si>
  <si>
    <t>Abrahams, Hilary;Humphreys, Cathy</t>
  </si>
  <si>
    <t>362.82/928</t>
  </si>
  <si>
    <t>Abused women -- Counseling of. ; Abused women -- Rehabilitation. ; Abused women -- Services for.</t>
  </si>
  <si>
    <t>Talking Teenagers : Information and Inspiration for Parents of Teenagers with Autism or Asperger's Syndrome</t>
  </si>
  <si>
    <t>RJ506.A9B683 2007</t>
  </si>
  <si>
    <t>Autism in adolescence. ; Asperger's syndrome in adolescence. ; Parents of autistic children.</t>
  </si>
  <si>
    <t>The Verbal Behavior Approach : How to Teach Children with Autism and Related Disorders</t>
  </si>
  <si>
    <t>Barbera, Mary Lynch;Rasmussen, Tracy</t>
  </si>
  <si>
    <t>Autism in children. ; Autistic children -- Language. ; Developmentally disabled children -- Language. ; Verbal behavior.</t>
  </si>
  <si>
    <t>Working with Adult Abuse : A Training Manual for People Working with Vulnerable Adults</t>
  </si>
  <si>
    <t>Pritchard, Jacki</t>
  </si>
  <si>
    <t>HV6626.23.G7 P78 2007</t>
  </si>
  <si>
    <t>Abused men-Services for-Employees-Training of-Great Britain. ; Abused women-Services for-Employees-Training of-Great Britain.</t>
  </si>
  <si>
    <t>Cheshire, Katherine;Pilgrim, David</t>
  </si>
  <si>
    <t>RC467.C435 2004</t>
  </si>
  <si>
    <t>Gilroy, Andrea</t>
  </si>
  <si>
    <t>RC489.A7G54 2006</t>
  </si>
  <si>
    <t>Boys Get Anorexia Too : Coping with Male Eating Disorders in the Family</t>
  </si>
  <si>
    <t>Langley, Jenny</t>
  </si>
  <si>
    <t>Lucky Duck Bks.</t>
  </si>
  <si>
    <t>RC552.A5L375 2006</t>
  </si>
  <si>
    <t>Eating disorders in adolescence. ; Eating disorders in men. ; Anorexia nervosa -- Patients -- Case studies.</t>
  </si>
  <si>
    <t>Cognitive Science : A Philosophical Introduction</t>
  </si>
  <si>
    <t>Harre, Rom</t>
  </si>
  <si>
    <t>BF311.H347 2002</t>
  </si>
  <si>
    <t>Scott, Michael J.;Stradling, Stephen G.</t>
  </si>
  <si>
    <t>RC552.P67S35 2006</t>
  </si>
  <si>
    <t>Counselling Survivors of Childhood Sexual Abuse</t>
  </si>
  <si>
    <t>Draucker, Claire Burke;Martsolf, Donna</t>
  </si>
  <si>
    <t>RC569.5.A28D73 2006</t>
  </si>
  <si>
    <t>616.85/83690651</t>
  </si>
  <si>
    <t>Adult child sexual abuse victims -- Counseling of.</t>
  </si>
  <si>
    <t>AD,AE,AF,AG,AI,AL,AM,AN,AO,AQ,AR,AS,AT,AU,AW,AX,AZ,BA,BB,BD,BE,BF,BG,BH,BI,BJ,BL,BM,BN,BO,BQ,BR,BS,BT,BV,BW,BY,BZ,CA,CC,CD,CF,CG,CH,CI,CK,CL,CM,CN,CO,CR,CU,CV,CW,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S,ST,SV,SX,SY,SZ,TC,TD,TF,TG,TH,TJ,TK,TL,TM,TN,TO,TR,TT,TV,TW,TZ,UA,UG,UM,UY,UZ,VA,VC,VE,VG,VI,VN,VU,WF,WS,YE,YT,YU,ZA,ZM,ZW</t>
  </si>
  <si>
    <t>Developing Emotionally Literate Staff : A Practical Guide</t>
  </si>
  <si>
    <t>Morris, Elizabeth;Casey, Julie</t>
  </si>
  <si>
    <t>BF576.M67 2006</t>
  </si>
  <si>
    <t>Emotional Coaching : A Practical Programme to Support Young People</t>
  </si>
  <si>
    <t>Hromek, Robyn</t>
  </si>
  <si>
    <t>RJ503.H76 2007</t>
  </si>
  <si>
    <t>Stress management -- Study and teaching. ; Emotions -- Study and teaching. ; Emotions in adolescence. ; Teenagers -- Counseling of.</t>
  </si>
  <si>
    <t>Fernandez-Ballesteros, Rocio</t>
  </si>
  <si>
    <t>BF39.E497 2003</t>
  </si>
  <si>
    <t>Psychometrics -- Encyclopedias. ; Psychological tests -- Encyclopedias.</t>
  </si>
  <si>
    <t>Guided Imagery : Creative Interventions in Counselling and Psychotherapy</t>
  </si>
  <si>
    <t>Hall, Eric;Hall, Carol;Stradling, Pamela;Young, Diane</t>
  </si>
  <si>
    <t>RC489.F35G85 2006</t>
  </si>
  <si>
    <t>Individuality and the Group : Advances in Social Identity</t>
  </si>
  <si>
    <t>Postmes, Tom;Jetten, Jolanda</t>
  </si>
  <si>
    <t>HM753.I53 2006</t>
  </si>
  <si>
    <t>Atkinson, Paul;Housley, William</t>
  </si>
  <si>
    <t>BSA New Horizons in Sociology Series</t>
  </si>
  <si>
    <t>HM499.A85 2003</t>
  </si>
  <si>
    <t>Laughter and Ridicule : Towards a Social Critique of Humour</t>
  </si>
  <si>
    <t>BF575.L3B45 2005</t>
  </si>
  <si>
    <t>152.4/3</t>
  </si>
  <si>
    <t>Life Coaching Skills : How to Develop Skilled Clients</t>
  </si>
  <si>
    <t>Nelson-Jones, Richard</t>
  </si>
  <si>
    <t>BF637.P36N44 2007</t>
  </si>
  <si>
    <t>Darnley-Smith, Rachel;Patey, Helen M.</t>
  </si>
  <si>
    <t>ML3920.D26 2003</t>
  </si>
  <si>
    <t>Fine Arts; Medicine</t>
  </si>
  <si>
    <t>Payne, Martin</t>
  </si>
  <si>
    <t>RC489.S74P39 2006</t>
  </si>
  <si>
    <t>Clegg, Stewart R.;Courpasson, David;Phillips, Nelson X.</t>
  </si>
  <si>
    <t>Foundations for Organizational Science Series</t>
  </si>
  <si>
    <t>HM791.C64 2006</t>
  </si>
  <si>
    <t>Real Cities : Modernity, Space and the Phantasmagorias of City Life</t>
  </si>
  <si>
    <t>Pile, Steve</t>
  </si>
  <si>
    <t>BF353.5.C53P55 2005</t>
  </si>
  <si>
    <t>Brown, Carol</t>
  </si>
  <si>
    <t>SAGE Course Companions Series</t>
  </si>
  <si>
    <t>HM251.B668 2006</t>
  </si>
  <si>
    <t>Lines, Dennis</t>
  </si>
  <si>
    <t>RC489.S676L56 2006</t>
  </si>
  <si>
    <t>Study Skills for Psychology : Succeeding in Your Degree</t>
  </si>
  <si>
    <t>Freeman, Richard;Stone, Antony</t>
  </si>
  <si>
    <t>SAGE Study Skills Series</t>
  </si>
  <si>
    <t>BF77.F74 2006</t>
  </si>
  <si>
    <t>Supervising Psychotherapy : Psychoanalytic and Psychodynamic Perspectives</t>
  </si>
  <si>
    <t>Driver, Christine;Martin, Edward;Banks, Mary;Mander, Gertrud;Stewart, John</t>
  </si>
  <si>
    <t>RC480.5.S823 2002</t>
  </si>
  <si>
    <t>Pawlik, Kurt;Rosenzweig, Mark R.</t>
  </si>
  <si>
    <t>BF121.I56443 2000</t>
  </si>
  <si>
    <t>Psychology. ; Mental health.</t>
  </si>
  <si>
    <t>The Social Psychology of Experience : Studies in Remembering and Forgetting</t>
  </si>
  <si>
    <t>Middleton, David;Brown, Steven</t>
  </si>
  <si>
    <t>Inquiries in Social Construction Series</t>
  </si>
  <si>
    <t>BF378.S65M53 2005</t>
  </si>
  <si>
    <t>Understanding Research in Personal Relationships : A Text with Readings</t>
  </si>
  <si>
    <t>Dragon, William;Duck, Steve</t>
  </si>
  <si>
    <t>HM1106.U53 2005</t>
  </si>
  <si>
    <t>Chalfont, Garuth</t>
  </si>
  <si>
    <t>University of Bradford Dementia Good Practice Guides</t>
  </si>
  <si>
    <t>RC521.C477 2008</t>
  </si>
  <si>
    <t>Involving Families in Care Homes : A Relationship-Centred Approach to Dementia Care</t>
  </si>
  <si>
    <t>Keady, John;Woods, Bob;Seddon, Diane;Woods, Bob</t>
  </si>
  <si>
    <t>RC521.W66 2008</t>
  </si>
  <si>
    <t>Dementia -- Patients -- Institutional care. ; Dementia -- Patients -- Family relationships. ; Dementia -- Patients -- Care -- Psychological aspects. ; Medical personnel and patient. ; Caregivers.</t>
  </si>
  <si>
    <t>A Self-Determined Future with Asperger Syndrome : Solution Focused Approaches</t>
  </si>
  <si>
    <t>Bliss, E. Veronica;Edmonds, Genevieve;O'Connell, Bill</t>
  </si>
  <si>
    <t>RC553.A88B59 2008</t>
  </si>
  <si>
    <t>Trauma, Drug Misuse and Transforming Identities : A Life Story Approach</t>
  </si>
  <si>
    <t>Etherington, Kim;Don, Monty</t>
  </si>
  <si>
    <t>RC564.E783 2008</t>
  </si>
  <si>
    <t>Drug abuse -- Patients -- Biography. ; Post-traumatic stress disorder. ; Psychic trauma. ; Self-perception.</t>
  </si>
  <si>
    <t>Understanding Looked after Children : An Introduction to Psychology for Foster Care</t>
  </si>
  <si>
    <t>Guishard-Pine, Jeune;Hamilton, Lloyd;McCall, Suzanne</t>
  </si>
  <si>
    <t>HV875.G86 2007</t>
  </si>
  <si>
    <t>Foster children-Psychology. ; Foster home care-Psychological aspects.</t>
  </si>
  <si>
    <t>A Will of His Own : Reflections on Parenting a Child with Autism - Revised Edition</t>
  </si>
  <si>
    <t>Harland, Kelly;Asher, Jane</t>
  </si>
  <si>
    <t>RJ506.A9H268 2007</t>
  </si>
  <si>
    <t>Autism in children. ; Autistic children -- Care. ; Autistic children -- Family relationships. ; Parenting. ; Child rearing.</t>
  </si>
  <si>
    <t>Poskitt, Elizabeth;Edmunds, Laurel</t>
  </si>
  <si>
    <t>RJ399.C6 -- P64 2008eb</t>
  </si>
  <si>
    <t>Morgan, Craig;McKenzie, Kwame;Fearon, Paul</t>
  </si>
  <si>
    <t>RC512 -- .S628 2008eb</t>
  </si>
  <si>
    <t>Bipolar II Disorder : Modelling, Measuring and Managing</t>
  </si>
  <si>
    <t>Parker, Gordon;Eyers, Kerrie</t>
  </si>
  <si>
    <t>RC516 -- .B5225 2008eb</t>
  </si>
  <si>
    <t>Manic-depressive illness. ; Manic-depressive illness -- Diagnosis. ; Manic-depressive illness -- Etiology. ; Manic-depressive illness -- Treatment.</t>
  </si>
  <si>
    <t>The Architecture of Madness : Insane Asylums in the United States</t>
  </si>
  <si>
    <t>Yanni, Carla</t>
  </si>
  <si>
    <t>Architecture, Landscape and Amer Culture Series</t>
  </si>
  <si>
    <t>RC445.Y36 2007</t>
  </si>
  <si>
    <t>725/.520973</t>
  </si>
  <si>
    <t>Asylums -- United States -- Design and construction -- History. ; Psychiatric hospitals -- United States -- Design and construction -- History. ; Hospital architecture -- United States -- History.</t>
  </si>
  <si>
    <t>Psychology; Medicine; Architecture</t>
  </si>
  <si>
    <t>Relational Communication : An Interactional Perspective to the Study of Process and Form</t>
  </si>
  <si>
    <t>Rogers, L. Edna;Escudero, Valent¡n</t>
  </si>
  <si>
    <t>HM1106 -- .R44 2004eb</t>
  </si>
  <si>
    <t>Pain : Psychological Perspectives</t>
  </si>
  <si>
    <t>Hadjistavropoulos, Thomas;Craig, Kenneth D.</t>
  </si>
  <si>
    <t>BF515.P29</t>
  </si>
  <si>
    <t>152.1/824</t>
  </si>
  <si>
    <t>Knowles, Eric S.;Linn, Jay A.</t>
  </si>
  <si>
    <t>HM1196 -- .R47 2004eb</t>
  </si>
  <si>
    <t>303.3/42</t>
  </si>
  <si>
    <t>Persuasion (Psychology) -- Social aspects. ; Opposition, Theory of.</t>
  </si>
  <si>
    <t>Human Spatial Memory : Remembering Where</t>
  </si>
  <si>
    <t>Allen, Gary L.</t>
  </si>
  <si>
    <t>BF469 -- .H86 2003eb</t>
  </si>
  <si>
    <t>Space perception -- Congresses. ; Spatial behavior -- Congresses. ; Spatial ability -- Congresses.</t>
  </si>
  <si>
    <t>Nussbaum, Jon F.;Coupland, Justine</t>
  </si>
  <si>
    <t>Aging -- Psychological aspects</t>
  </si>
  <si>
    <t>Kahle, Lynn R.;Riley, Chris</t>
  </si>
  <si>
    <t>GV716 -- .S649 2004eb</t>
  </si>
  <si>
    <t>Sports -- United States -- Marketing. ; Sports -- United States -- Psychological aspects. ; Communication in marketing.</t>
  </si>
  <si>
    <t>Sport &amp;amp; Recreation; Business/Management; Economics</t>
  </si>
  <si>
    <t>Mashek, Debra J.;Aron, Arthur</t>
  </si>
  <si>
    <t>BF575.I5 -- H36 2004eb</t>
  </si>
  <si>
    <t>Schneider, Benjamin;Smith, D. Brent</t>
  </si>
  <si>
    <t>BF698.9.O3 -- P465 2004eb</t>
  </si>
  <si>
    <t>Motivational Analyses of Social Behavior : Building on Jack Brehm's Contributions to Psychology</t>
  </si>
  <si>
    <t>Wright, Rex A.;Greenberg, Jeff;Brehm, Sharon S.</t>
  </si>
  <si>
    <t>HM1201 -- .W75 2003eb</t>
  </si>
  <si>
    <t>Brehm, Jack Williams. ; Motivation (Psychology) ; Social psychology.</t>
  </si>
  <si>
    <t>Harvey, John H.;Wenzel, Amy;Sprecher, Susan</t>
  </si>
  <si>
    <t>HQ21 -- .H3233 2004eb</t>
  </si>
  <si>
    <t>Sex. ; Sex customs. ; Couples.</t>
  </si>
  <si>
    <t>Family Stories and the Life Course : Across Time and Generations</t>
  </si>
  <si>
    <t>Pratt, Michael W.;Fiese, Barbara H.</t>
  </si>
  <si>
    <t>HQ728 -- .F32443 2004eb</t>
  </si>
  <si>
    <t>Families -- Psychological aspects. ; Developmental psychology. ; Intergenerational relations.</t>
  </si>
  <si>
    <t>The Clinical Management of Early Alzheimer's Disease : A Handbook</t>
  </si>
  <si>
    <t>Mulligan, Reinhild;Van der Linden, Martial;Juillerat, Anne-Claude</t>
  </si>
  <si>
    <t>RC523 -- .C575 2003eb</t>
  </si>
  <si>
    <t>616.8/3106</t>
  </si>
  <si>
    <t>Alzheimer's disease. ; Alzheimer's disease -- Patients -- Care.</t>
  </si>
  <si>
    <t>Emmorey, Karen</t>
  </si>
  <si>
    <t>Sign language -- Classifiers -- Congresses</t>
  </si>
  <si>
    <t>Persuasive Imagery : A Consumer Response Perspective</t>
  </si>
  <si>
    <t>Scott, Linda M.;Batra, Rajeev</t>
  </si>
  <si>
    <t>BF367 -- .P464 2003eb</t>
  </si>
  <si>
    <t>Imagery (Psychology) ; Persuasion (Psychology) ; Advertising -- Psychological aspects.</t>
  </si>
  <si>
    <t>Collective Behavior and Public Opinion : Rapid Shifts in Opinion and Communication</t>
  </si>
  <si>
    <t>van Ginneken, Jaap</t>
  </si>
  <si>
    <t>European Institute for the Media Series</t>
  </si>
  <si>
    <t>HM1236.G5613 2003eb</t>
  </si>
  <si>
    <t>303.3/8</t>
  </si>
  <si>
    <t>Public opinion. ; Collective behavior.</t>
  </si>
  <si>
    <t>Children's Influence on Family Dynamics : The Neglected Side of Family Relationships</t>
  </si>
  <si>
    <t>Crouter, Ann C.;Booth, Alan</t>
  </si>
  <si>
    <t>HQ518 -- .C535 2003eb</t>
  </si>
  <si>
    <t>Families. ; Children. ; Parent and child. ; Child rearing.</t>
  </si>
  <si>
    <t>Autobiographical Memory and the Construction of a Narrative Self : Developmental and Cultural Perspectives</t>
  </si>
  <si>
    <t>Fivush, Robyn;Haden, Catherine A.</t>
  </si>
  <si>
    <t>BF378.A87 -- A883 2003eb</t>
  </si>
  <si>
    <t>Autobiographical memory -- Social aspects. ; Self-presentation.</t>
  </si>
  <si>
    <t>Adolescent Romantic Relations and Sexual Behavior : Theory, Research, and Practical Implications</t>
  </si>
  <si>
    <t>Florsheim, Paul</t>
  </si>
  <si>
    <t>HQ27 -- .A3634 2003eb</t>
  </si>
  <si>
    <t>Teenagers -- Sexual behavior -- United States. ; Adolescent psychology -- United States. ; Interpersonal relations -- United States. ; Interpersonal conflict -- United States.</t>
  </si>
  <si>
    <t>Weiner, Irving B.</t>
  </si>
  <si>
    <t>RC473.R6 -- W45 2003eb</t>
  </si>
  <si>
    <t>Lord, Robert G.;Brown, Douglas J.</t>
  </si>
  <si>
    <t>HM1261 -- .L67 2004eb</t>
  </si>
  <si>
    <t>Leadership -- Psychological aspects. ; Self-perception. ; Identity (Psychology)</t>
  </si>
  <si>
    <t>Schaller, Mark;Crandall, Christian S.</t>
  </si>
  <si>
    <t>GN514 -- .P78 2004eb</t>
  </si>
  <si>
    <t>Social change -- Psychological aspects. ; Culture -- Origin -- Psychological aspects. ; Ethnopsychology.</t>
  </si>
  <si>
    <t>Social Comprehension and Judgment : The Role of Situation Models, Narratives, and Implicit Theories</t>
  </si>
  <si>
    <t>Wyer, Robert S., Jr.</t>
  </si>
  <si>
    <t>BF323.S63 -- W94 2004eb</t>
  </si>
  <si>
    <t>Social perception. ; Human information processing -- Social aspects. ; Judgment. ; Memory.</t>
  </si>
  <si>
    <t>Thrice Told Tales : Married Couples Tell Their Stories</t>
  </si>
  <si>
    <t>Holmberg, Diane;Orbuch, Terri L.;Veroff, Joseph</t>
  </si>
  <si>
    <t>HQ536 -- .H638 2004eb</t>
  </si>
  <si>
    <t>306.81/0973</t>
  </si>
  <si>
    <t>Marriage -- United States -- Longitudinal studies. ; Narration (Rhetoric) -- Psychological aspects.</t>
  </si>
  <si>
    <t>The Psychology of Entertainment Media : Blurring the Lines Between Entertainment and Persuasion</t>
  </si>
  <si>
    <t>Shrum, L. J.;A., Kathryn;Adaval, Rashmi</t>
  </si>
  <si>
    <t>HF5827.9 -- .P78 2004eb</t>
  </si>
  <si>
    <t>659.101/9</t>
  </si>
  <si>
    <t>Subliminal advertising. ; Advertising -- Psychological aspects. ; Mass media -- Psychological aspects. ; Persuasion (Psychology) ; Manipulative behavior.</t>
  </si>
  <si>
    <t>AUSTRALIA</t>
  </si>
  <si>
    <t>Glendon, Ian A.;Thompson, Briony M.;Myors, Brett;Glendon, A Ian;Thompson, Brony</t>
  </si>
  <si>
    <t>HD58.7 -- .A337 2007eb</t>
  </si>
  <si>
    <t>Organizational behavior. ; Psychology, Industrial. ; Organizational sociology.</t>
  </si>
  <si>
    <t>Chew-Graham, Carolyn A.;Baldwin, Robert;Burns, Alistair</t>
  </si>
  <si>
    <t>RC537.5 -- .I58 2008eb</t>
  </si>
  <si>
    <t>The Everyday Lives of Young Children : Culture, Class, and Child Rearing in Diverse Societies</t>
  </si>
  <si>
    <t>Tudge, Jonathan</t>
  </si>
  <si>
    <t>HQ767.9 .T835 2008</t>
  </si>
  <si>
    <t>Tyrer, Peter;Silk, Kenneth R.</t>
  </si>
  <si>
    <t>RC480 -- .C26 2008eb</t>
  </si>
  <si>
    <t>Heckhausen, Jutta;Heckhausen, Heinz</t>
  </si>
  <si>
    <t>BF503 .H413 2008</t>
  </si>
  <si>
    <t>Drug Abuse : Concepts, Prevention, and Cessation</t>
  </si>
  <si>
    <t>Sussman, Steve;Ames, Susan L.</t>
  </si>
  <si>
    <t>RC564 .S8384 2008</t>
  </si>
  <si>
    <t>Social Science; Health; Psychology; Medicine</t>
  </si>
  <si>
    <t>Springer</t>
  </si>
  <si>
    <t>New York, NY</t>
  </si>
  <si>
    <t>Rohrbaugh, Joanna Bunker</t>
  </si>
  <si>
    <t>BF1-990</t>
  </si>
  <si>
    <t>Children of divorced parents--United States. ; Custody of children--United States.</t>
  </si>
  <si>
    <t>Liberman, Akiva M.</t>
  </si>
  <si>
    <t>HV6001-7220.5</t>
  </si>
  <si>
    <t>Crime -- Longitudinal studies. ; Juvenile delinquency -- Longitudinal studies.</t>
  </si>
  <si>
    <t>Curriculum-Based Motivation Group : A Five Session Motivational Interviewing Group Intervention</t>
  </si>
  <si>
    <t>North Charleston</t>
  </si>
  <si>
    <t>Fields, Ann</t>
  </si>
  <si>
    <t>BF636.7.G76.F54 2004</t>
  </si>
  <si>
    <t>Motivational interviewing. ; Group counseling. ; Counseling psychology.</t>
  </si>
  <si>
    <t>Resolving Patient Ambivalence : A Five Session Motivational Interviewing Intervention</t>
  </si>
  <si>
    <t>RC533 -- .F54 2006eb</t>
  </si>
  <si>
    <t>Motivational interviewing. ; Compulsive behavior -- Patients -- Counseling of. ; Ambivalence.</t>
  </si>
  <si>
    <t>Janssen, Erick</t>
  </si>
  <si>
    <t>RC556 -- .P7475 2007eb</t>
  </si>
  <si>
    <t>616.6/9001</t>
  </si>
  <si>
    <t>Sexual disorders -- Congresses. ; Sex (Psychology) -- Congresses. ; Sex (Biology) -- Congresses. ; Psychophysiology</t>
  </si>
  <si>
    <t>Sexual Demon of Colonial Power : Pan-African Embodiment and Erotic Schemes of Empire</t>
  </si>
  <si>
    <t>Thomas, Greg</t>
  </si>
  <si>
    <t>HT1581 -- .T46 2007eb</t>
  </si>
  <si>
    <t>Blacks -- Social conditions. ; Sex role. ; African Americans -- Social conditions. ; Sex role -- United States. ; Race relations. ; White supremacy movements. ; Imperialism.</t>
  </si>
  <si>
    <t>Broadhurst, Sarah;Forrester-Jones, Rachel</t>
  </si>
  <si>
    <t>RC553.A88F66 2007</t>
  </si>
  <si>
    <t>Autism -- Psychological aspects. ; Loss (Psychology) ; Grief.</t>
  </si>
  <si>
    <t>Elfick, Hilary;Eckstein, Sue;Farsides, Bobbie;Cobb, Mark;Clinton, Judy;Bowman, Ted;Donnelly, Sinead;Blennerhassett, Mitzi;Bertman, Sandra;Buckell, Lindsay</t>
  </si>
  <si>
    <t>RC489.A7D95 2008</t>
  </si>
  <si>
    <t>Integrated Yoga : Yoga with a Sensory Integrative Approach</t>
  </si>
  <si>
    <t>Cuomo, Nicole</t>
  </si>
  <si>
    <t>RJ133.7.C86 2007</t>
  </si>
  <si>
    <t>613.7/046083</t>
  </si>
  <si>
    <t>Relating to Clients : The Therapeutic Relationship for Complementary Therapists</t>
  </si>
  <si>
    <t>Fox, Su</t>
  </si>
  <si>
    <t>Psychotherapist and patient. ; Psychotherapists -- Psychology. ; Alternative medicine specialists -- Psychology.</t>
  </si>
  <si>
    <t>Understanding Nonverbal Learning Disabilities : A Common-Sense Guide for Parents and Professionals</t>
  </si>
  <si>
    <t>Mamen, Maggie</t>
  </si>
  <si>
    <t>JKP Essentials Series</t>
  </si>
  <si>
    <t>RJ506.L4M36 2007</t>
  </si>
  <si>
    <t>618.92/85889</t>
  </si>
  <si>
    <t>Learning disabilities. ; Nonverbal learning disabilities.</t>
  </si>
  <si>
    <t>Clinician's Guide to Adult ADHD : Assessment and Intervention</t>
  </si>
  <si>
    <t>Goldstein, Sam;Ellison, Anne Teeter</t>
  </si>
  <si>
    <t>RC394.A85G649 2002</t>
  </si>
  <si>
    <t>616.85/89</t>
  </si>
  <si>
    <t>African Intimacies : Race, Homosexuality, and Globalization</t>
  </si>
  <si>
    <t>Hoad, Neville</t>
  </si>
  <si>
    <t>HQ76.3.A356 -- H63 2007eb</t>
  </si>
  <si>
    <t>306.76/60967</t>
  </si>
  <si>
    <t>Homosexuality -- Africa. ; Gays -- Africa -- History. ; AIDS (Disease) -- Africa. ; HIV infections -- Africa. ; Africa -- Social life and customs. ; Africa -- Politics and government.</t>
  </si>
  <si>
    <t>Adapting Cognitive Therapy for Depression : Managing Complexity and Comorbidity</t>
  </si>
  <si>
    <t>Whisman, Mark A.</t>
  </si>
  <si>
    <t>RC537</t>
  </si>
  <si>
    <t>Depression, Mental -- Treatment. ; Neuroses -- Treatment. ; Cognitive therapy.</t>
  </si>
  <si>
    <t>Neuropsychology in the Courtroom : Expert Analysis of Reports and Testimony</t>
  </si>
  <si>
    <t>Heilbronner, Robert L.</t>
  </si>
  <si>
    <t>RA1001-1171</t>
  </si>
  <si>
    <t>Wachtel, Paul L.</t>
  </si>
  <si>
    <t>RC489.I55</t>
  </si>
  <si>
    <t>Sexual Deviance : Theory, Assessment, and Treatment</t>
  </si>
  <si>
    <t>Laws, D. Richard;O'Donohue, William T.</t>
  </si>
  <si>
    <t>RC556</t>
  </si>
  <si>
    <t>616.85/8306</t>
  </si>
  <si>
    <t>Sex therapy</t>
  </si>
  <si>
    <t>Hoge, Robert D.;Guerra, Nancy G.;Boxer, Paul</t>
  </si>
  <si>
    <t>HV9104</t>
  </si>
  <si>
    <t>Juvenile delinquency -- Treatment -- United States. ; Juvenile delinquency -- United States -- Prevention. ; Problem youth -- United States -- Psychology.</t>
  </si>
  <si>
    <t>Abramowitz, Jonathan S.;McKay, Dean;Taylor, Steven</t>
  </si>
  <si>
    <t>RC533.O2728 2008</t>
  </si>
  <si>
    <t>Denney, David</t>
  </si>
  <si>
    <t>HM1101.D45 2005</t>
  </si>
  <si>
    <t>Risk -- Sociological aspects. ; Risk assessment. ; Risk perception.</t>
  </si>
  <si>
    <t>Person-Centred Counselling : An Experiential Approach</t>
  </si>
  <si>
    <t>Rennie, David L.</t>
  </si>
  <si>
    <t>BF637.C6R46 1998</t>
  </si>
  <si>
    <t>Well-Being : Positive Development Across the Life Course</t>
  </si>
  <si>
    <t>Bornstein, Marc H.;Davidson, Lucy;Keyes, Corey L. M.;Moore, Kristin A.</t>
  </si>
  <si>
    <t>Crosscurrents in Contemporary Psychology Series</t>
  </si>
  <si>
    <t>Developmental psychology. ; Health.</t>
  </si>
  <si>
    <t>Jordan, Sue</t>
  </si>
  <si>
    <t>RM301.15 .J82 2008</t>
  </si>
  <si>
    <t>Drugs-Handbooks, manuals, etc. ; Nursing.</t>
  </si>
  <si>
    <t>Pharmacy; Medicine</t>
  </si>
  <si>
    <t>Victims of Terrorism : An Assessment of Their Influence and Growing Role in Policy, Legislation, and the Private Sector</t>
  </si>
  <si>
    <t>Hoffman, Bruce;Kasupski, Anna-Britt;Hoffman, Bruce</t>
  </si>
  <si>
    <t>HV6431 -- .H646 2007eb</t>
  </si>
  <si>
    <t>Victims of terrorism -- Psychology. ; Terrorism victims' families. ; Terrorism victims' families -- Political activity -- United States. ; Pan Am Flight 103 Bombing Incident, 1988. ; Terrorism -- Psychological aspects. ; September 11 Terrorist Attacks, 2001.</t>
  </si>
  <si>
    <t>Human Trafficking in Ohio : Markets, Responses, and Considerations</t>
  </si>
  <si>
    <t>Wilson, Jeremy M.;Dalton, Erin;Wilson, Jeremy M.</t>
  </si>
  <si>
    <t>HQ281 -- .W55 2007eb</t>
  </si>
  <si>
    <t>Human trafficking -- Ohio. ; Human trafficking -- Government policy -- Ohio. ; Forced labor -- Prevention.</t>
  </si>
  <si>
    <t>Freuds Concept of Repression and Defense : Its Theoretical and Observational Language</t>
  </si>
  <si>
    <t>Madison, Peter</t>
  </si>
  <si>
    <t>BF173.F85 -- M24 1961eb</t>
  </si>
  <si>
    <t>150.19;150.19/5</t>
  </si>
  <si>
    <t>Freud, Sigmund, -- 1856-1939. ; Repression (Psychology) ; Psychoanalysis.</t>
  </si>
  <si>
    <t>Word Association Norms : Grade School Through College</t>
  </si>
  <si>
    <t>Palermo, David S.;Jenkins, James J</t>
  </si>
  <si>
    <t>LB1050 -- .P3 1964eb</t>
  </si>
  <si>
    <t>Reading. ; Association of ideas.</t>
  </si>
  <si>
    <t>Concept of Development : An Issue in the Study of Human Behavior</t>
  </si>
  <si>
    <t>Harris, Dale B.</t>
  </si>
  <si>
    <t>BF713 -- .H37 1957eb</t>
  </si>
  <si>
    <t>136.082;304.5</t>
  </si>
  <si>
    <t>Developmental psychology. ; Human growth. ; Human behavior.</t>
  </si>
  <si>
    <t>Social Science; Psychology; Philosophy</t>
  </si>
  <si>
    <t>Hill, John P.</t>
  </si>
  <si>
    <t>Minnesota Symposia on Child Psychology, v.1</t>
  </si>
  <si>
    <t>BF721 -- .M56 1967eb</t>
  </si>
  <si>
    <t>Child psychology -- Congresses. ; Child development -- Congresses.</t>
  </si>
  <si>
    <t>Minnesota Symposia on Child Psychology, v.2</t>
  </si>
  <si>
    <t>BF721 -- .M56 1969eb</t>
  </si>
  <si>
    <t>Minnesota Symposia on Child Psychology : Volume 4</t>
  </si>
  <si>
    <t>Minnesota Symposia on Child Psychology, v.4</t>
  </si>
  <si>
    <t>BF721 -- .M56 1970eb</t>
  </si>
  <si>
    <t>Minnesota Symposia on Child Psychology, v.5</t>
  </si>
  <si>
    <t>Pick, Anne D.</t>
  </si>
  <si>
    <t>Minnesota Symposia on Child Psychology, v.6</t>
  </si>
  <si>
    <t>BF721 -- .M56 1972eb</t>
  </si>
  <si>
    <t>Roff, Merrill;Sells, S. B;Golden, Mary M</t>
  </si>
  <si>
    <t>HQ783 -- .R645 1972eb</t>
  </si>
  <si>
    <t>155.4/24</t>
  </si>
  <si>
    <t>Social adjustment. ; Child psychology. ; Socialization.</t>
  </si>
  <si>
    <t>Minnesota Symposia on Child Psychology, v.7</t>
  </si>
  <si>
    <t>BF721 -- .M56 1973eb</t>
  </si>
  <si>
    <t>Minnesota Symposia on Child Psychology, v.10</t>
  </si>
  <si>
    <t>BF721 -- .M56 1975eb</t>
  </si>
  <si>
    <t>Ericksen, Julia</t>
  </si>
  <si>
    <t>362.196/99449</t>
  </si>
  <si>
    <t>Breast - Cancer - Psychological aspects</t>
  </si>
  <si>
    <t>Compulsive Acts : A Psychiatrist's Tales of Ritual and Obsession</t>
  </si>
  <si>
    <t>Aboujaoude, Elias</t>
  </si>
  <si>
    <t>RC533 -- .A25 2008eb</t>
  </si>
  <si>
    <t>616.85/227</t>
  </si>
  <si>
    <t>Obsessive-compulsive disorder -- Anecdotes. ; Compulsive behavior -- Anecdotes.</t>
  </si>
  <si>
    <t>Saving the Modern Soul : Therapy, Emotions, and the Culture of Self-Help</t>
  </si>
  <si>
    <t>Illouz, Eva</t>
  </si>
  <si>
    <t>Social values-United States. ; Psychoanalysis and culture-United States. ; Psychotherapy-Social aspects-United States. ; Emotions-Social aspects-United States. ; Social norms-United States.</t>
  </si>
  <si>
    <t>Sex and Relationship Education : Bridging the Gap between Research and Practice</t>
  </si>
  <si>
    <t>Kane, Dr Roslyn</t>
  </si>
  <si>
    <t>Health Education - Volume 108, Edition 1</t>
  </si>
  <si>
    <t>RA440.3.G7 -- H41511 2008eb</t>
  </si>
  <si>
    <t>372.24/1</t>
  </si>
  <si>
    <t>Health education -- Great Britain. ; Public health -- Great Britain.</t>
  </si>
  <si>
    <t>Social Science; Education; Health</t>
  </si>
  <si>
    <t>Emotions of Managing : The Emotions of Managing</t>
  </si>
  <si>
    <t>Brotheridge, Celeste;Lee, Raymond</t>
  </si>
  <si>
    <t>Journal of Managerial Psychology - Volume 23, Edition 2</t>
  </si>
  <si>
    <t>HF5548.7 -- .J6822 2008eb</t>
  </si>
  <si>
    <t>Industrial management -- Psychological aspects. ; Management -- Psychological aspects. ; Organizational behavior. ; Psychology, Industrial.</t>
  </si>
  <si>
    <t>Neither Villain nor Victim : Empowerment and Agency among Women Substance Abusers</t>
  </si>
  <si>
    <t>Anderson, Tammy;Ettore, Elizabeth;Mullins, Christopher;Sommers, Ira;Baskin, Deborah;Katsulis, Yasmina;Blankenship, Kim;Saum, Christine;Gray, Alison;Kelley, Margaret</t>
  </si>
  <si>
    <t>Critical Issues in Crime and Society Series</t>
  </si>
  <si>
    <t>HV4999</t>
  </si>
  <si>
    <t>Women drug addicts. ; Female offenders-Drug use. ; Women prisoners-Drug use. ; Female offenders-Rehabilitation. ; Women prisoners-Rehabilitation. ; Drug abuse-Prevention. ; Drug abuse-Treatment.</t>
  </si>
  <si>
    <t>Lebow, Alisa S.</t>
  </si>
  <si>
    <t>Visible Evidence</t>
  </si>
  <si>
    <t>PN1995.9.J46 -- L43 2008eb</t>
  </si>
  <si>
    <t>791.43/6529924</t>
  </si>
  <si>
    <t>Jews in motion pictures. ; Jewish motion picture producers and directors. ; Documentary films -- History and criticism. ; Autobiography. ; Identity (Psychology) in motion pictures. ; Stereotypes (Social psychology) in motion pictures.</t>
  </si>
  <si>
    <t>Serrurier, Jane;Plummer, Deborah</t>
  </si>
  <si>
    <t>BF723.A4P58 2008</t>
  </si>
  <si>
    <t>Anger in children. ; Games. ; Games in mental health education.</t>
  </si>
  <si>
    <t>Grandin, Temple;Pavlides, Merope</t>
  </si>
  <si>
    <t>RC553.A88P38 2008</t>
  </si>
  <si>
    <t>Autistic people-Rehabilitation. ; Animals-Therapeutic use. ; Human-animal relationships.</t>
  </si>
  <si>
    <t>The Art of Helping Others : Being Around, Being There, Being Wise</t>
  </si>
  <si>
    <t>Smith, Mark K.;Smith, Heather</t>
  </si>
  <si>
    <t>BF636.6.S65 2008</t>
  </si>
  <si>
    <t>Counseling. ; Helping behavior. ; Counselors. ; Caring.</t>
  </si>
  <si>
    <t>Asperger Meets Girl : Happy Endings for Asperger Boys</t>
  </si>
  <si>
    <t>Jones, Hugh;Griffiths, Jonathan</t>
  </si>
  <si>
    <t>RC553.A88G746 2008</t>
  </si>
  <si>
    <t>Asperger Syndrome and Employment : Adults Speak Out about Asperger Syndrome</t>
  </si>
  <si>
    <t>Biddulph, John;Bliss, Vicky;Cornwell, Stephen William;Edmonds, Genevieve;Brown, Alexandra;Bricher, Philip;Beard, Emma;Beardon, Luke;Jarvis, Stephen;Hughes, P. J.</t>
  </si>
  <si>
    <t>RC553.A88A4885 2008</t>
  </si>
  <si>
    <t>Asperger Syndrome and Social Relationships : Adults Speak Out about Asperger Syndrome</t>
  </si>
  <si>
    <t>Cornwell, Stephen William;Brown, Alexandra;Bliss, Vicky;Willey, Liane Holliday;Henderson, Anne;Harvey, Giles;Mitchell, Chris;Hughes, P. J.;Jarvis, Stephen;Lawson, Wendy</t>
  </si>
  <si>
    <t>RC553.A88A79 2008</t>
  </si>
  <si>
    <t>362.196/858832</t>
  </si>
  <si>
    <t>Social Science; Health; Medicine; Psychology</t>
  </si>
  <si>
    <t>Autism and Its Medical Management : A Guide for Parents and Professionals</t>
  </si>
  <si>
    <t>Chez, Michael</t>
  </si>
  <si>
    <t>RJ506.A9C443 2008</t>
  </si>
  <si>
    <t>Autism in children. ; Autism in children -- Treatment.</t>
  </si>
  <si>
    <t>Autistics' Guide to Dating : A Book by Autistics, for Autistics and Those Who Love Them or Who Are in Love with Them</t>
  </si>
  <si>
    <t>Ramey, Jody John;Ramey, Emilia Murry</t>
  </si>
  <si>
    <t>RC553.A88R36 2008</t>
  </si>
  <si>
    <t>Beating Eating Disorders Step by Step : A Self-Help Guide for Recovery</t>
  </si>
  <si>
    <t>Paterson, Anna</t>
  </si>
  <si>
    <t>RC552.E18P38 2008</t>
  </si>
  <si>
    <t>Eating disorders-Treatment. ; Internal medicine.</t>
  </si>
  <si>
    <t>A Child's Journey to Recovery : Assessment and Planning with Traumatized Children</t>
  </si>
  <si>
    <t>Walsh, Mary;Philpot, Terry;Tomlinson, Patrick</t>
  </si>
  <si>
    <t>RJ506.P66T647 2008</t>
  </si>
  <si>
    <t>Children with Mental Disorder and the Law : A Guide to Law and Practice</t>
  </si>
  <si>
    <t>Harbour, Anthony;Mitchell, Mary;Whitaker, Wendy</t>
  </si>
  <si>
    <t>RJ502.G7H37 2008</t>
  </si>
  <si>
    <t>Mentally ill children -- Legal status, laws, etc. -- Great Britain. ; Mental health laws -- Great Britain.</t>
  </si>
  <si>
    <t>Butchers, Adrian;Dobbs, Sam;Sands, Mick;Tasker, Marion;Hearth, Virginia;Hartley, Nigel;Harmer, Lynn;Gill, Abi;Payne, Malcolm</t>
  </si>
  <si>
    <t>RC489.A72C75 2008</t>
  </si>
  <si>
    <t>Dyslogic Syndrome : Why Millions of Kids Are Hyper, Attention-Disordered, Learning Disabled, Depressed, Aggressive, Defiant, or Violent - and What We Can Do about It</t>
  </si>
  <si>
    <t>Rimland, Bernard</t>
  </si>
  <si>
    <t>RJ506.B44R56 2008</t>
  </si>
  <si>
    <t>Extreme Parenting : Parenting Your Child with a Chronic Illness</t>
  </si>
  <si>
    <t>Davis, Hilton;Dempsey, Sharon</t>
  </si>
  <si>
    <t>RJ380.D46 2008</t>
  </si>
  <si>
    <t>Chronically ill children -- Family relationships. ; Chronic diseases in children -- Psychological aspects. ; Chronically ill children -- Medical care. ; Parents of chronically ill children.</t>
  </si>
  <si>
    <t>Families of Adults with Autism : Stories and Advice for the Next Generation</t>
  </si>
  <si>
    <t>Botsford Johnson, Jane;Edelson, Stephen M.;Van Rensselaer, Anne;McCarthy, Gerda</t>
  </si>
  <si>
    <t>RC553.A88 F36 2008</t>
  </si>
  <si>
    <t>Autism. ; Psychology, Pathological.</t>
  </si>
  <si>
    <t>Grief in Children : A Handbook for Adults Second Edition</t>
  </si>
  <si>
    <t>Dyregrov, Atle;Yule, William</t>
  </si>
  <si>
    <t>BF723.G75D97 2008</t>
  </si>
  <si>
    <t>Help Your Child or Teen Get Back on Track : What Parents and Professionals Can Do for Childhood Emotional and Behavioral Problems</t>
  </si>
  <si>
    <t>Talan, Kenneth</t>
  </si>
  <si>
    <t>RJ499.34.T35 2008</t>
  </si>
  <si>
    <t>Emotional problems of children - Treatment</t>
  </si>
  <si>
    <t>Listening to Children : A Practitioner's Guide</t>
  </si>
  <si>
    <t>McLeod, Alison</t>
  </si>
  <si>
    <t>BF323.L5M365 2008</t>
  </si>
  <si>
    <t>158/.3083</t>
  </si>
  <si>
    <t>Listening. ; Attention. ; Children.</t>
  </si>
  <si>
    <t>Love, Sex and Long-Term Relationships : What People with Asperger Syndrome Really Really Want</t>
  </si>
  <si>
    <t>Shore, Stephen;Hendrickx, Sarah</t>
  </si>
  <si>
    <t>RC553.A88H463 2008</t>
  </si>
  <si>
    <t>Asperger's syndrome -- Patients -- Sexual behavior. ; Asperger's syndrome -- Social aspects.</t>
  </si>
  <si>
    <t>Melody in Music Therapy : A Therapeutic Narrative Analysis</t>
  </si>
  <si>
    <t>Aldridge, David;Aldridge, Gudrun</t>
  </si>
  <si>
    <t>ML3834.A43 2008</t>
  </si>
  <si>
    <t>Wilson, Jeffrey;Warner-Gale, Fiona;Dogra, Nisha;Karnik, Niranjan;Allen, Jeanette;Elliott, Viki;Edwards, Vicky;Beckmann, Lacey;Pote, Helen;Steiner, Hans</t>
  </si>
  <si>
    <t>RJ499.M4192 2007</t>
  </si>
  <si>
    <t>Mind/Body Techniques for Asperger's Syndrome : The Way of the Pathfinder</t>
  </si>
  <si>
    <t>Rubio, Ron;Brody, Irene;Castrogiovanni, Anthony</t>
  </si>
  <si>
    <t>RC553.A88R83 2008</t>
  </si>
  <si>
    <t>Asperger's syndrome -- Exercise therapy. ; Asperger's syndrome -- Patients -- Rehabilitation. ; Martial arts -- Therapeutic use. ; Holistic medicine. ; Mind and body.</t>
  </si>
  <si>
    <t>Flower, Claire;Bull, Rachel;Davies, Emma;Loth, Helen;Hughes, Tiffany;Oldfield, Amelia;O'Neill, Nicky;Hasler, Joy;Hesketh, Vince;Horvat, Jassenka</t>
  </si>
  <si>
    <t>ML3920.M89967 2008</t>
  </si>
  <si>
    <t>Ortiz, John M.</t>
  </si>
  <si>
    <t>RC553.A88O78 2008</t>
  </si>
  <si>
    <t>Asperger's syndrome. ; Asperger's syndrome -- Patients -- Case studies.</t>
  </si>
  <si>
    <t>Cattanach, Ann;Webster, Alison</t>
  </si>
  <si>
    <t>RJ505.S75C38 2008</t>
  </si>
  <si>
    <t>Narrative therapy. ; Child psychotherapy. ; Play therapy.</t>
  </si>
  <si>
    <t>Chesner, Anna;Ryan, Sheila;Read, Jane;Shohet, Robin;Owen, David;Hewson, Julie;Wilmot, Joe;Wilmot, Joan;Zografou, Lia;Encke, Jochen</t>
  </si>
  <si>
    <t>BF637.C6P37 2008</t>
  </si>
  <si>
    <t>Counselors--Supervision of. ; Psychotherapists--Supervision of. ; Social workers--Supervision of.</t>
  </si>
  <si>
    <t>Play Therapy with Abused Children : Second Edition</t>
  </si>
  <si>
    <t>RJ505.P6C38 2008</t>
  </si>
  <si>
    <t>Prayer in Counselling and Psychotherapy : Exploring a Hidden Meaningful Dimension</t>
  </si>
  <si>
    <t>Gubi, Peter Madsen;Thorne, Brian</t>
  </si>
  <si>
    <t>Practical Theology Series</t>
  </si>
  <si>
    <t>RC489.S676 G83 2008</t>
  </si>
  <si>
    <t>Psychotherapy-Religious aspects. ; Counseling-Religious aspects. ; Prayer.</t>
  </si>
  <si>
    <t>Promoting Resilience in the Classroom : A Guide to Developing Pupils' Emotional and Cognitive Skills</t>
  </si>
  <si>
    <t>Cefai, Carmel;Cooper, Paul</t>
  </si>
  <si>
    <t>Innovative Learning for All Series</t>
  </si>
  <si>
    <t>LB3013.C368 2008</t>
  </si>
  <si>
    <t>Providing Practical Support for People with Autism Spectrum Disorder : Supported Living in the Community</t>
  </si>
  <si>
    <t>Bliss, E. Veronica;Edwards, Denise</t>
  </si>
  <si>
    <t>RC553.A88 E38 2008</t>
  </si>
  <si>
    <t>Autistic people-Care. ; Autistic people-Services for.</t>
  </si>
  <si>
    <t>Psychological Processes in Deaf Children with Complex Needs : An Evidence-Based Practical Guide</t>
  </si>
  <si>
    <t>Edwards, Lindsey;Crocker, Susan;Marschark</t>
  </si>
  <si>
    <t>HV2391.E38 2008</t>
  </si>
  <si>
    <t>362.4/2019</t>
  </si>
  <si>
    <t>R U Listenin'? : Helping Defiant Men to Recognize Their True Potential</t>
  </si>
  <si>
    <t>Bianchini, Terry</t>
  </si>
  <si>
    <t>HV1441.8.G7B53 2008</t>
  </si>
  <si>
    <t>Criminal psychology -- Great Britain. ; Men -- Great Britain -- Attitudes. ; Men -- Great Britain -- Conduct of life. ; Men -- Counseling of.</t>
  </si>
  <si>
    <t>Reaching and Teaching the Child with Autism Spectrum Disorder : Using Learning Preferences and Strengths</t>
  </si>
  <si>
    <t>MacKenzie, Heather</t>
  </si>
  <si>
    <t>RJ506.A9M325 2008</t>
  </si>
  <si>
    <t>Medicine; Education; Psychology</t>
  </si>
  <si>
    <t>Remembering Yesterday, Caring Today : Reminiscence in Dementia Care: a Guide to Good Practice</t>
  </si>
  <si>
    <t>Schweitzer, Pam;Gibson, Faith;Bruce, Errollyn;Woods, Bob</t>
  </si>
  <si>
    <t>RC521.S394 2008</t>
  </si>
  <si>
    <t>Reminiscing in old age -- Therapeutic use. ; Dementia -- Patients -- Care -- Psychological aspects.</t>
  </si>
  <si>
    <t>Speaking about the Unspeakable : Non-Verbal Methods and Experiences in Therapy with Children</t>
  </si>
  <si>
    <t>McCarthy, Dennis;LeMessurier, Claire;List, Ilka;Loman, Susan;Lawrence, Brenda;Knoblauch, Patti;Kornblum, Rena;Rhodes, Michelle;Ghnassia-Damon, Noelle;Rowe, Nancy</t>
  </si>
  <si>
    <t>RJ504.S587 2008</t>
  </si>
  <si>
    <t>Understanding Controversial Therapies for Children with Autism, Attention Deficit Disorder, and Other Learning Disabilities : A Guide to Complementary and Alternative Medicine</t>
  </si>
  <si>
    <t>RJ496.L4K87 2008</t>
  </si>
  <si>
    <t>Using Intensive Interaction and Sensory Integration : A Handbook for Those Who Support People with Severe Autistic Spectrum Disorder</t>
  </si>
  <si>
    <t>Horwood, Jane;Caldwell, Phoebe</t>
  </si>
  <si>
    <t>RC553.A88C354 2008</t>
  </si>
  <si>
    <t>Autism. ; People with mental disabilities -- Means of communication. ; Nonverbal communication.</t>
  </si>
  <si>
    <t>Steele, Howard;Steele, Miriam;Sroufe, June;Jacobvitz, Deborah</t>
  </si>
  <si>
    <t>Attachment behavior -- Testing. ; Attachment disorder -- Testing.</t>
  </si>
  <si>
    <t>Mueser, Kim T.;Jeste, Dilip V.</t>
  </si>
  <si>
    <t>RC514</t>
  </si>
  <si>
    <t>Ambady, Nalini;Skowronski, John J.</t>
  </si>
  <si>
    <t>DA679</t>
  </si>
  <si>
    <t>155.9/27</t>
  </si>
  <si>
    <t>Impression formation (Psychology) ; Body language.</t>
  </si>
  <si>
    <t>The Millon Inventories : A Practitioner's Guide to Personalized Clinical Assessment</t>
  </si>
  <si>
    <t>Millon, Theodore;Bloom, Caryl</t>
  </si>
  <si>
    <t>RC554</t>
  </si>
  <si>
    <t>Gutheil, Thomas G.;Brodsky, Archie</t>
  </si>
  <si>
    <t>RC480.8</t>
  </si>
  <si>
    <t>Psychotherapist and patient -- Moral and ethical aspects. ; Psychotherapists -- Professional ethics. ; Boundaries -- Psychological aspects. ; Interpersonal relations.</t>
  </si>
  <si>
    <t>What Works for Bipolar Kids : Help and Hope for Parents</t>
  </si>
  <si>
    <t>Pavuluri, Mani;Resko, Susan</t>
  </si>
  <si>
    <t>RJ506.D4P38 2008</t>
  </si>
  <si>
    <t>618.92/895</t>
  </si>
  <si>
    <t>Leiper, Rob;Maltby, Michael</t>
  </si>
  <si>
    <t>RC489.P72L45 2004</t>
  </si>
  <si>
    <t>Plimley, Lynn;Bowen, Maggie;Morgan, Hugh</t>
  </si>
  <si>
    <t>Autistic Spectrum Disorder Support Kit Series</t>
  </si>
  <si>
    <t>RC553.A88.P65 2007</t>
  </si>
  <si>
    <t>Autism -- Social aspects. ; Social skills.</t>
  </si>
  <si>
    <t>Lister-Ford, Christine</t>
  </si>
  <si>
    <t>RC480.S44 2007</t>
  </si>
  <si>
    <t>Creating Gender-Fair Schools, Classrooms and Colleges : Engendering Social Justice for 14 to 19 Year Olds</t>
  </si>
  <si>
    <t>Raphael Reed, Lynn;Rae, Tina</t>
  </si>
  <si>
    <t>LC212.922.G7R44 2007</t>
  </si>
  <si>
    <t>Sex differences in education -- Great Britain. ; Discrimination in education -- Great Britain -- Prevention. ; Multicultural education -- Great Britain. ; Sex differences (Psychology) in children -- Great Britain. ; Sex role in children -- Great Britain. ; Education, Secondary -- Great Britain.</t>
  </si>
  <si>
    <t>Cognitive Humanistic Therapy : Buddhism, Christianity and Being Fully Human</t>
  </si>
  <si>
    <t>RC489.C63N45 2004</t>
  </si>
  <si>
    <t>Cognitive therapy. ; Brief psychotherapy. ; Humanism.</t>
  </si>
  <si>
    <t>Social and Personal Identity : Understanding Yourself</t>
  </si>
  <si>
    <t>BF697.5.S43L39 2004</t>
  </si>
  <si>
    <t>Autism, Discrimination and the Law : A Quick Guide for Parents, Educators and Employers</t>
  </si>
  <si>
    <t>Graham, James;Graham, Nick</t>
  </si>
  <si>
    <t>K637.G73 2008</t>
  </si>
  <si>
    <t>342.7308/7</t>
  </si>
  <si>
    <t>Discrimination against people with disabilities -- Law and legislation. ; People with disabilities -- Legal status, laws, etc. ; People with disabilities -- Civil rights. ; Autism.</t>
  </si>
  <si>
    <t>Feeling Like Crap : Young People and the Meaning of Self-Esteem</t>
  </si>
  <si>
    <t>BF724.3.S36L89 2008</t>
  </si>
  <si>
    <t>The Hidden World of Autism : Writing and Art by Children with High-Functioning Autism</t>
  </si>
  <si>
    <t>Chilvers, Rebecca;Chowdhury, Uttom</t>
  </si>
  <si>
    <t>RJ506.A9H53 2007</t>
  </si>
  <si>
    <t>Autism in children -- Psychological aspects. ; Children with disabilities, Writings of. ; Children's drawings -- Psychological aspects. ; Autism in literature. ; Autistic artists.</t>
  </si>
  <si>
    <t>Inside Anorexia : The Experiences of Girls and Their Families</t>
  </si>
  <si>
    <t>Boughtwood, Desiree;Halse, Christine;Honey, Anne</t>
  </si>
  <si>
    <t>RJ399.A6H35 2008</t>
  </si>
  <si>
    <t>Coulter, Annette;Coyle, Terri;Brosh, Hilary;Ambridge, Maggie;Liebmann, Marian;Knight, Sheila;Law, Susan;Pittam, Sue;Moules, Leila;Godfrey, Hannah</t>
  </si>
  <si>
    <t>RC569.5.A53A78 2008</t>
  </si>
  <si>
    <t>Asperger Syndrome and Alcohol : Drinking to Cope?</t>
  </si>
  <si>
    <t>Tinsley, Matthew;Hendrickx, Sarah;Grandin, Temple</t>
  </si>
  <si>
    <t>RC553.A88T56 2008</t>
  </si>
  <si>
    <t>Asperger's syndrome -- Patients -- Alcohol use. ; Dual diagnosis.</t>
  </si>
  <si>
    <t>The Colors of Grief : Understanding a Child's Journey Through Loss from Birth to Adulthood</t>
  </si>
  <si>
    <t>Di Ciacco, Janis Di</t>
  </si>
  <si>
    <t>BF723.D3D53 2008</t>
  </si>
  <si>
    <t>Sanderson, Christiane</t>
  </si>
  <si>
    <t>RC569.5.F3S24 2008</t>
  </si>
  <si>
    <t>Environmental Studies; Psychology; Medicine</t>
  </si>
  <si>
    <t>Making Sense of Children's Thinking and Behavior : A Step-By-Step Tool for Understanding Children with NLD, Asperger's, HFA, PDD-NOS, and Other Neurological Differences</t>
  </si>
  <si>
    <t>Holzhauser-Peters, Leslie;True, Leslie</t>
  </si>
  <si>
    <t>RJ506.C63H65 2008</t>
  </si>
  <si>
    <t>Overcoming Loss : Activities and Stories to Help Transform Children's Grief and Loss</t>
  </si>
  <si>
    <t>Sorensen, Julia;Ahmad, Maryam</t>
  </si>
  <si>
    <t>BF723.G75S67 2008</t>
  </si>
  <si>
    <t>155.9/3083</t>
  </si>
  <si>
    <t>Grief in children. ; Bereavement in children. ; Loss (Psychology) in children.</t>
  </si>
  <si>
    <t>Johnson, Sonia;Needle, Justin;Bindman, Jonathan P.;Thornicroft, Graham</t>
  </si>
  <si>
    <t>RC480.6 -- .C7587 2008eb</t>
  </si>
  <si>
    <t>Evaluating Social Programs and Problems : Visions for the New Millennium</t>
  </si>
  <si>
    <t>Donaldson, Stewart I.;Scriven, Michael</t>
  </si>
  <si>
    <t>HV41 -- .C53 2003eb</t>
  </si>
  <si>
    <t>Social service -- Evaluation -- Congresses. ; Evaluation research (Social action programs) -- Congresses.</t>
  </si>
  <si>
    <t>Greene, John O.;Burleson, Brant R.;Rojas Wiemann, Javier</t>
  </si>
  <si>
    <t>HM1111 -- .H36 2003eb</t>
  </si>
  <si>
    <t>Social interaction. ; Interpersonal communication. ; Interpersonal relations.</t>
  </si>
  <si>
    <t>The Psychology of Work : Theoretically Based Empirical Research</t>
  </si>
  <si>
    <t>Brett, Jeanne M.;Drasgow, Fritz;Bono, Joyce E</t>
  </si>
  <si>
    <t>BF481 -- .P84 2002eb</t>
  </si>
  <si>
    <t>Sex in Advertising : Perspectives on the Erotic Appeal</t>
  </si>
  <si>
    <t>Reichert, Tom;Lambiase, Jacqueline</t>
  </si>
  <si>
    <t>HF5827.85 -- .S494 2003eb</t>
  </si>
  <si>
    <t>Sinatra, Gale M.;Pintrich, Paul R.</t>
  </si>
  <si>
    <t>BF443 -- .I58 2003eb</t>
  </si>
  <si>
    <t>Concepts. ; Change (Psychology) ; Learning, Psychology of. ; Intention.</t>
  </si>
  <si>
    <t>The Psychology of Evaluation : Affective Processes in Cognition and Emotion</t>
  </si>
  <si>
    <t>Musch, Jochen;Klauer, Karl C.</t>
  </si>
  <si>
    <t>BF531 -- .P79 2003eb</t>
  </si>
  <si>
    <t>Invisible Wounds of War : Summary and Recommendations for Addressing Psychological and Cognitive Injuries</t>
  </si>
  <si>
    <t>Tanielian, Terri;Jaycox, Lisa H.;Schell, Terry L.;Marshall, Grant N.;Burnam, M. Audrey;Eibner, Christine;Karney, Benjamin R.;Meredith, Lisa S.;Ringel, Jeanne S.;Vaiana, Mary E.</t>
  </si>
  <si>
    <t>RC552.P67 -- T342 2008eb</t>
  </si>
  <si>
    <t>616.85/212</t>
  </si>
  <si>
    <t>Afghan War, 2001- -- Psychological aspects. ; Brain -- Wounds and injuries -- United States. ; Depression, Mental -- United States. ; Iraq War, 2003-2011 -- Psychological aspects. ; Post-traumatic stress disorder -- United States. ; Veterans -- Mental health -- United States. ; War on Terrorism, 2001-2009 -- Psychological aspects.</t>
  </si>
  <si>
    <t>Prediction in Forensic and Neuropsychology : Sound Statistical Practices</t>
  </si>
  <si>
    <t>Franklin, Ronald D.</t>
  </si>
  <si>
    <t>RC473.N48 -- P74 2003eb</t>
  </si>
  <si>
    <t>616.8/07/2</t>
  </si>
  <si>
    <t>Clinical neuropsychology -- Statistical methods. ; Neuropsychological tests -- Statistical methods. ; Forensic neuropsychology -- Statistical methods.</t>
  </si>
  <si>
    <t>Psychomythics : Sources of Artifacts and Misconceptions in Scientific Psychology</t>
  </si>
  <si>
    <t>BF38.5 -- .U88 2003eb</t>
  </si>
  <si>
    <t>Psychology -- Methodology. ; Psychology -- Philosophy.</t>
  </si>
  <si>
    <t>Group Creativity : Music, Theater, Collaboration</t>
  </si>
  <si>
    <t>Sawyer, R. Keith</t>
  </si>
  <si>
    <t>302.3/4</t>
  </si>
  <si>
    <t>Creative thinking -- Social aspects. ; Creation (Literary, artistic, etc.) -- Social aspects. ; Group problem solving.</t>
  </si>
  <si>
    <t>Invisible Wounds of War : Psychological and Cognitive Injuries, Their Consequences, and Services to Assist Recovery</t>
  </si>
  <si>
    <t>Tanielian, Terri;Jaycox, Lisa H.</t>
  </si>
  <si>
    <t>RC552.P67 -- T34 2008eb</t>
  </si>
  <si>
    <t>362.196/85212</t>
  </si>
  <si>
    <t>Post-traumatic stress disorder -- United States. ; Brain -- Wounds and injuries -- United States. ; Depression, Mental -- United States. ; Veterans -- Mental health -- United States. ; Iraq War, 2003-2011 -- Psychological aspects. ; Afghan War, 2001- -- Psychological aspects. ; War on Terrorism, 2001-2009 -- Psychological aspects.</t>
  </si>
  <si>
    <t>Cognitive Adaptation : A Pragmatist Perspective</t>
  </si>
  <si>
    <t>BF311 -- .S3784 2009eb</t>
  </si>
  <si>
    <t>Marking the Mind : A History of Memory</t>
  </si>
  <si>
    <t>Danziger, Kurt</t>
  </si>
  <si>
    <t>BF371 -- .D36 2008eb</t>
  </si>
  <si>
    <t>153.1/209</t>
  </si>
  <si>
    <t>VMware. ; Operating systems (Computers) ; Virtual computer systems.</t>
  </si>
  <si>
    <t>Teaching the Brain to Read : Strategies for Improving Fluency, Vocabulary, and Comprehension</t>
  </si>
  <si>
    <t>ASCD</t>
  </si>
  <si>
    <t>Willis, Judy</t>
  </si>
  <si>
    <t>LB1573 -- .W544 2008eb</t>
  </si>
  <si>
    <t>Reading. ; Reading -- Physiological aspects. ; Brain.</t>
  </si>
  <si>
    <t>Education; Language/Linguistics</t>
  </si>
  <si>
    <t>Crime, Punishment, and Mental Illness : Law and the Behavioral Sciences in Conflict</t>
  </si>
  <si>
    <t>Erickson, Patricia;Erickson, Steven</t>
  </si>
  <si>
    <t>RA1151</t>
  </si>
  <si>
    <t>Vitality : A Psychiatrist's Answer to Life's Problems</t>
  </si>
  <si>
    <t>Esser, Richard</t>
  </si>
  <si>
    <t>RA790.5 -- .E822 2008eb</t>
  </si>
  <si>
    <t>Mental health. ; Vitality.</t>
  </si>
  <si>
    <t>Counseling and Psychotherapy with Religious Persons : A Rational Emotive Behavior Therapy Approach</t>
  </si>
  <si>
    <t>Nielsen, Stevan L.;Johnson, W. Brad;Ellis, Albert</t>
  </si>
  <si>
    <t>RC489.R3$bN54 2001</t>
  </si>
  <si>
    <t>Attachment from Infancy to Adulthood : The Major Longitudinal Studies</t>
  </si>
  <si>
    <t>Grossmann, Klaus E.;Grossmann, Karin;Waters, Everett</t>
  </si>
  <si>
    <t>BF575.A86A78</t>
  </si>
  <si>
    <t>Behavioral and Emotional Disorders in Adolescents : Nature, Assessment, and Treatment</t>
  </si>
  <si>
    <t>Wolfe, David A.;Mash, Eric J.</t>
  </si>
  <si>
    <t>RJ503.5.B436</t>
  </si>
  <si>
    <t>Mental illness -- Diagnosis. ; Behavioral assessment of children. ; Psychodiagnostics.</t>
  </si>
  <si>
    <t>Binge-Eating Disorder : Clinical Foundations and Treatment</t>
  </si>
  <si>
    <t>Mitchell, James E.;Devlin, Michael J.;de Zwaan, Martina;Crow, Scott J.;Peterson, Carol B.</t>
  </si>
  <si>
    <t>RC552.C65B53</t>
  </si>
  <si>
    <t>Higgins, Stephen T.;Silverman, Kenneth;Heil, Sarah H.;Brady, Joseph V.</t>
  </si>
  <si>
    <t>RC564.C666</t>
  </si>
  <si>
    <t>Substance abuse -- Treatment. ; Behavior modification.</t>
  </si>
  <si>
    <t>Enhancing Early Attachments : Theory, Research, Intervention, and Policy</t>
  </si>
  <si>
    <t>Berlin, Lisa J.;Ziv, Yair;Amaya-Jackson, Lisa;Greenberg, Mark T.</t>
  </si>
  <si>
    <t>RJ134.E53</t>
  </si>
  <si>
    <t>155.42/2</t>
  </si>
  <si>
    <t>Infants -- Development</t>
  </si>
  <si>
    <t>Interventions Following Mass Violence and Disasters : Strategies for Mental Health Practice</t>
  </si>
  <si>
    <t>Ritchie, Elspeth Cameron;Watson, Patricia J.;Friedman, Matthew J.</t>
  </si>
  <si>
    <t>RC552.P67I68</t>
  </si>
  <si>
    <t>Post-traumatic stress disorder -- Treatment. ; Psychic trauma -- Treatment. ; Psychotherapy.</t>
  </si>
  <si>
    <t>The Juvenile Sex Offender</t>
  </si>
  <si>
    <t>Barbaree, Howard E.;Marshall, William L.</t>
  </si>
  <si>
    <t>RJ506.S48J88</t>
  </si>
  <si>
    <t>364.15/3/0835</t>
  </si>
  <si>
    <t>Missing Data : A Gentle Introduction</t>
  </si>
  <si>
    <t>McKnight, Patrick E.;McKnight, Katherine M.;Sidani, Souraya;Figueredo, Aurelio José</t>
  </si>
  <si>
    <t>Methodology in the Social Sciences Series</t>
  </si>
  <si>
    <t>H62.M464 2007</t>
  </si>
  <si>
    <t>Chorpita, Bruce F.</t>
  </si>
  <si>
    <t>Guides to Individualized Evidence-Based Treatment Series</t>
  </si>
  <si>
    <t>RJ506.A58C53</t>
  </si>
  <si>
    <t>Anxiety in children -- Treatment. ; Cognitive therapy for children.</t>
  </si>
  <si>
    <t>Other Minds : How Humans Bridge the Divide Between Self and Others</t>
  </si>
  <si>
    <t>Malle, Bertram F.;Hodges, Sara D.;Hodges, Sara D.</t>
  </si>
  <si>
    <t>BF323.S63O89</t>
  </si>
  <si>
    <t>121/.2</t>
  </si>
  <si>
    <t>Social perception. ; Other minds (Theory of knowledge)</t>
  </si>
  <si>
    <t>Persons in Context : Building a Science of the Individual</t>
  </si>
  <si>
    <t>Shoda, Yuichi;Cervone, Daniel;Downey, Geraldine</t>
  </si>
  <si>
    <t>BF698.9.S63P473</t>
  </si>
  <si>
    <t>Personality -- Social aspects. ; Personality and cognition.</t>
  </si>
  <si>
    <t>Separation Anxiety in Children and Adolescents : An Individualized Approach to Assessment and Treatment</t>
  </si>
  <si>
    <t>Eisen, Andrew R.;Schaefer, Charles E.;Barlow, David H.</t>
  </si>
  <si>
    <t>RJ506.S46E37</t>
  </si>
  <si>
    <t>Separation anxiety in children. ; Separation anxiety in adolescence. ; Parent and child.</t>
  </si>
  <si>
    <t>Treating the Abusive Partner : An Individualized Cognitive-Behavioral Approach</t>
  </si>
  <si>
    <t>Murphy, Christopher M.;Eckhardt, Christopher I.</t>
  </si>
  <si>
    <t>RC569.5.F3M87</t>
  </si>
  <si>
    <t>Abusive men -- Rehabilitation. ; Abusive men -- Counseling of. ; Wife abuse -- Treatment. ; Cognitive therapy.</t>
  </si>
  <si>
    <t>Transformations : Identity Construction in Contemporary Culture</t>
  </si>
  <si>
    <t>McCracken, Grant David</t>
  </si>
  <si>
    <t>HM1051 -- . M33 2008eb</t>
  </si>
  <si>
    <t>Self-perception -- Social aspects. ; Identity (Psychology) -- Social aspects. ; Self-actualization (Psychology) -- Social aspects. ; Popular culture.</t>
  </si>
  <si>
    <t>Risk, Courage, and Women : Contemporary Voices in Prose and Poetry</t>
  </si>
  <si>
    <t>Waldron, Karen A.;Brazil, Janice H.;Labatt, Laura M.</t>
  </si>
  <si>
    <t>PS508.W7 -- R57 2007eb</t>
  </si>
  <si>
    <t>810.8/09287</t>
  </si>
  <si>
    <t>American literature -- Women authors. ; Women -- Literary collections. ; Courage -- Literary collections. ; Risk-taking (Psychology) -- Literary collections.</t>
  </si>
  <si>
    <t>De Gruyter Mouton</t>
  </si>
  <si>
    <t>Ziemke, Tom;Zlatev, Jordan;Frank, Roslyn M.</t>
  </si>
  <si>
    <t>Cognitive Linguistics Research [CLR] Series</t>
  </si>
  <si>
    <t>P107.B63 2007</t>
  </si>
  <si>
    <t>Frank, Roslyn M.;Dirven, René;Ziemke, Tom;Bernárdez, Enrique;Dirven, René;Bernárdez, Enrique</t>
  </si>
  <si>
    <t>Language and languages -- Philosophy. ; Mind and body. ; Semiotics.</t>
  </si>
  <si>
    <t>Space, Time, and the Use of Language : An Investigation of Relationships</t>
  </si>
  <si>
    <t>Tenbrink, Thora</t>
  </si>
  <si>
    <t>P299.S53T46 2007</t>
  </si>
  <si>
    <t>Space and time in language. ; Grammar, Comparative and general.</t>
  </si>
  <si>
    <t>Blakemore, Judith E. Owen;Berenbaum, Sheri A.;Liben, Lynn S.</t>
  </si>
  <si>
    <t>HQ1075 -- .B545 2008eb</t>
  </si>
  <si>
    <t>Beyond Evidence-Based Psychotherapy : Fostering the Eight Sources of Change in Child and Adolescent Treatment</t>
  </si>
  <si>
    <t>Rosenfeld, George W.;Rosenfeld, George W</t>
  </si>
  <si>
    <t>Counseling and Psychotherapy Series</t>
  </si>
  <si>
    <t>RJ504 -- .R67 2008eb</t>
  </si>
  <si>
    <t>Adolescent psychotherapy. ; Child psychotherapy. ; Evidence-based psychiatry.</t>
  </si>
  <si>
    <t>Walsh, W. Bruce</t>
  </si>
  <si>
    <t>Vocational Psychology Series</t>
  </si>
  <si>
    <t>BF637.C6 -- C65 2003eb</t>
  </si>
  <si>
    <t>Tress Masterson, Jessica;Clyde Findlay, Joanna;Carr, Richard;Kaplan, Frances;Bridgham, Terre;Christian, Darryl;Hass-Cohen, Noah;Galbraith, Anne;Loya, Nicole;King-West, Erin</t>
  </si>
  <si>
    <t>Stavrou, Maria</t>
  </si>
  <si>
    <t>Bulimia. ; Eating disorders.</t>
  </si>
  <si>
    <t>Concepts of Normality : The Autistic and Typical Spectrum</t>
  </si>
  <si>
    <t>Lawson, Wendy;Murray, Dinah;Wolfond, Estee;Clark, Lucy</t>
  </si>
  <si>
    <t>RC553.A88L388 2008</t>
  </si>
  <si>
    <t>Counselling and Reflexive Research in Healthcare : Working Therapeutically with Clients with Inflammatory Bowel Disease</t>
  </si>
  <si>
    <t>Thomas, Gillian</t>
  </si>
  <si>
    <t>RC862.I53 -- T487 2009eb</t>
  </si>
  <si>
    <t>Counseling -- Research -- Methodology. ; Counselor and client. ; Inflammatory bowel diseases -- Patients -- Counseling of. ; Inflammatory bowel diseases -- Psychological aspects.</t>
  </si>
  <si>
    <t>Bagnall, Steve;Thompson, Barrie</t>
  </si>
  <si>
    <t>Effective Grief and Bereavement Support : The Role of Family, Friends, Colleagues, Schools and Support Professionals</t>
  </si>
  <si>
    <t>Dyregrov, Atle;Dyregrov, Kari;Raundalen, Magne</t>
  </si>
  <si>
    <t>The Girl Who Spoke with Pictures : Autism Through Art</t>
  </si>
  <si>
    <t>Miller, Eileen;Nickel, Robert;Nickel, Robert</t>
  </si>
  <si>
    <t>RJ506.A9 -- M58 2008eb</t>
  </si>
  <si>
    <t>Miller, Kim, -- 1988- ; Autistic children -- Biography. ; Autistic children -- Language. ; Child artists -- Biography. ; Drawing -- Therapeutic use.</t>
  </si>
  <si>
    <t>How to Make School Make Sense : A Parents' Guide to Helping the Child with Asperger Syndrome</t>
  </si>
  <si>
    <t>Attwood, Anthony;Lawrence, Clare;Attwood, Anthony;Attwood, Tony</t>
  </si>
  <si>
    <t>LC4717 -- .L39 2008eb</t>
  </si>
  <si>
    <t>Autistic children -- Education. ; Education -- Parent participation. ; Asperger's syndrome in children.</t>
  </si>
  <si>
    <t>Music Therapy and Traumatic Brain Injury : A Light on a Dark Night</t>
  </si>
  <si>
    <t>Gilbertson, Simon;Aldridge, David</t>
  </si>
  <si>
    <t>RC387.5.G525 2008</t>
  </si>
  <si>
    <t>Brain damage -- Patients -- Rehabilitation -- Case studies. ; Music therapy -- Case studies.</t>
  </si>
  <si>
    <t>Social Skills for Teenagers and Adults with Asperger Syndrome : A Practical Guide to Day-To-Day Life</t>
  </si>
  <si>
    <t>Patrick, Nancy J.</t>
  </si>
  <si>
    <t>Speaking of Dying : A Practical Guide to Using Counselling Skills in Palliative Care</t>
  </si>
  <si>
    <t>Parkes, Colin Murray;Heyse-Moore, Louis</t>
  </si>
  <si>
    <t>Therapy to Go : Gourmet Fast Food Handouts for Working with Child, Adolescent and Family Clients</t>
  </si>
  <si>
    <t>Rosoman, Clare</t>
  </si>
  <si>
    <t>Youell, Biddy;Bradley, Jonathan</t>
  </si>
  <si>
    <t>BF721.Y833 2008</t>
  </si>
  <si>
    <t>Echoes of the Trauma : Relational Themes and Emotions in Children of Holocaust Survivors</t>
  </si>
  <si>
    <t>Wiseman, Hadas;Barber, Jacques P.</t>
  </si>
  <si>
    <t>RC451.4.H62 -- W57 2008eb</t>
  </si>
  <si>
    <t>Cultural Transmission : Psychological, Developmental, Social, and Methodological Aspects</t>
  </si>
  <si>
    <t>Schönpflug, Ute</t>
  </si>
  <si>
    <t>Culture and Psychology Series</t>
  </si>
  <si>
    <t>GN510 .C83 2008</t>
  </si>
  <si>
    <t>Socialization. ; Ethnopsychology. ; Cognition and culture. ; Learning -- Social aspects. ; Learning, Psychology of.</t>
  </si>
  <si>
    <t>Rethinking the Man Question : Sex, Gender and Violence in International Relations</t>
  </si>
  <si>
    <t>Bloomsbury Publishing UK</t>
  </si>
  <si>
    <t>Zed Books</t>
  </si>
  <si>
    <t>Parpart, Jane L.;Zalewski, Doctor Marysia</t>
  </si>
  <si>
    <t>JZ1253.2.R48 2008</t>
  </si>
  <si>
    <t>International relations -- Psychological aspects. ; Masculinity -- Political aspects. ; Feminism. ; Feminist theory. ; Violence.</t>
  </si>
  <si>
    <t>Calnan, Michael;Rowe, Rosemary</t>
  </si>
  <si>
    <t>McDonald, Matthew;Das, Susmita</t>
  </si>
  <si>
    <t>UK Higher Education OUP Humanities and Social Sciences Study Skills Series</t>
  </si>
  <si>
    <t>Bor, Robert;Palmer, Stephen</t>
  </si>
  <si>
    <t>BF637.C6 B</t>
  </si>
  <si>
    <t>Silbereisen, Rainer K.;Lerner, Richard M.</t>
  </si>
  <si>
    <t>HQ796 -- .A6865 2007eb</t>
  </si>
  <si>
    <t>Education and Care for Adolescents and Adults with Autism : A Guide for Professionals and Carers</t>
  </si>
  <si>
    <t>Wall, Kate</t>
  </si>
  <si>
    <t>RC553.A88 -- W353 2007eb</t>
  </si>
  <si>
    <t>Sales, Arnaud;Fournier, Marcel</t>
  </si>
  <si>
    <t>SAGE Studies in International Sociology Series</t>
  </si>
  <si>
    <t>HM651 -- .K562 2007eb</t>
  </si>
  <si>
    <t>Daines, Brian;Gask, Linda;Howe, Amanda</t>
  </si>
  <si>
    <t>BF636.6 -- .D35 2007eb</t>
  </si>
  <si>
    <t>Skills in Counselling and Psychotherapy Series</t>
  </si>
  <si>
    <t>RC489.T7 -- L58 2002eb</t>
  </si>
  <si>
    <t>616.89/145</t>
  </si>
  <si>
    <t>Weymont, Deborah;Rae, Tina</t>
  </si>
  <si>
    <t>BF724.3.G73 -- W49 2006eb</t>
  </si>
  <si>
    <t>Grief in adolescence. ; Loss (Psychology) in adolescence. ; Bereavement in adolescence. ; Teenagers -- Counseling of.</t>
  </si>
  <si>
    <t>Rae, Tina;Marris, Brian</t>
  </si>
  <si>
    <t>BF723.A4 -- M36 2006eb</t>
  </si>
  <si>
    <t>Anger in children. ; Problem solving in children. ; School discipline. ; Counseling in elementary education.</t>
  </si>
  <si>
    <t>The Asperger Social Guide : How to Relate to Anyone in Any Social Situation As an Adult with Aspergers Syndrome</t>
  </si>
  <si>
    <t>Edmonds, Genevieve;Worton, Dean</t>
  </si>
  <si>
    <t>RJ506.A9 -- E36 2006eb</t>
  </si>
  <si>
    <t>Asperger's syndrome -- Patients -- Conduct of life. ; Developmental disabilities.</t>
  </si>
  <si>
    <t>Education; Medicine; Psychology</t>
  </si>
  <si>
    <t>McMillan, Michael</t>
  </si>
  <si>
    <t>RC481</t>
  </si>
  <si>
    <t>Your Boss Is Not Your Mother : Eight Steps to Eliminating Office Drama and Creating Positive Relationships at Work</t>
  </si>
  <si>
    <t>CoreSource Plus Base</t>
  </si>
  <si>
    <t>Agate B2</t>
  </si>
  <si>
    <t>Mandel, Debra</t>
  </si>
  <si>
    <t>HD58.7 -- .M364 2006eb</t>
  </si>
  <si>
    <t>Organizational behavior. ; Transference (Psychology) ; Emotional maturity. ; Interpersonal relations. ; Work -- Psychological aspects.</t>
  </si>
  <si>
    <t>Cognitive-Behavioral Interventions for Emotional and Behavioral Disorders : School-Based Practice</t>
  </si>
  <si>
    <t>Mayer, Matthew J.;Van Acker, Richard;Lochman, John E.;Gresham, Frank M.</t>
  </si>
  <si>
    <t>RJ505.C63C63</t>
  </si>
  <si>
    <t>Cognitive therapy for children. ; School mental health services. ; Emotional problems of children -- Treatment. ; Behavior disorders in children -- Treatment.</t>
  </si>
  <si>
    <t>Freeman, Melissa;Mathison, Sandra</t>
  </si>
  <si>
    <t>BF722.F74 2009</t>
  </si>
  <si>
    <t>Child psychology -- Research. ; Experience in children.</t>
  </si>
  <si>
    <t>Children and the Dark Side of Human Experience : Confronting Global Realities and Rethinking Child Development</t>
  </si>
  <si>
    <t>Garbarino, James</t>
  </si>
  <si>
    <t>LB1027.55</t>
  </si>
  <si>
    <t>Ryff, Carol D.;Marshall, Victor W.</t>
  </si>
  <si>
    <t>HQ1061.S438 1999</t>
  </si>
  <si>
    <t>Aging -- Social aspects. ; Aging -- Psychological aspects. ; Older people -- Social conditions. ; Older people -- Psychology. ; Gerontology.</t>
  </si>
  <si>
    <t>Thornicroft, Graham;Tansella, Michele</t>
  </si>
  <si>
    <t>RA790 -- .T515 2009eb</t>
  </si>
  <si>
    <t>Neuropsychological Neurology : The Neurocognitive Impairments of Neurological Disorders</t>
  </si>
  <si>
    <t>Larner, A. J.</t>
  </si>
  <si>
    <t>RC553.C64 -- L37 2008eb</t>
  </si>
  <si>
    <t>Cognition disorders. ; Clinical neuropsychology. ; Neurobehavioral disorders.</t>
  </si>
  <si>
    <t>Mullen, Paul E.;Pathé, Michele;Purcell, Rosemary</t>
  </si>
  <si>
    <t>HV6594 -- .M85 2009eb</t>
  </si>
  <si>
    <t>Treatment Manual for Smoking Cessation Groups : A Guide for Therapists</t>
  </si>
  <si>
    <t>Stritzke, Werner G. K.;Chong, Joyce L. Y.;Ferguson, Diane</t>
  </si>
  <si>
    <t>RC567 -- .S82 2009eb</t>
  </si>
  <si>
    <t>616.86/506</t>
  </si>
  <si>
    <t>Children Remembered : Responses to Untimely Death in the Past</t>
  </si>
  <si>
    <t>Woods, Robert</t>
  </si>
  <si>
    <t>RJ59 .W66 2006</t>
  </si>
  <si>
    <t>Infants-Death-Psychological aspects. ; Infants-Death-Religious aspects.</t>
  </si>
  <si>
    <t>Markman, Keith D.;Klein, William M. P.;Suhr, Julie A.</t>
  </si>
  <si>
    <t>BF408 -- .H286 2009eb</t>
  </si>
  <si>
    <t>Intrusive Thoughts in Clinical Disorders : Theory, Research, and Treatment</t>
  </si>
  <si>
    <t>Clark, David A.</t>
  </si>
  <si>
    <t>RC553.C6455</t>
  </si>
  <si>
    <t>Cognition disorders. ; Intrusive thoughts. ; Psychology, Pathological. ; Thought insertion.</t>
  </si>
  <si>
    <t>Helping Schoolchildren with Chronic Health Conditions : A Practical Guide</t>
  </si>
  <si>
    <t>Clay, Daniel L.</t>
  </si>
  <si>
    <t>The Guilford Practical Intervention in the Schools Series</t>
  </si>
  <si>
    <t>LB3409.U5C53</t>
  </si>
  <si>
    <t>School health services -- United States -- Handbooks, manuals, etc. ; School children -- Health and hygiene -- United States -- Handbooks, manuals, etc. ; Chronically ill children -- Medical care -- United States -- Handbooks, manuals, etc.</t>
  </si>
  <si>
    <t>Eid, Michael;Larsen, Randy J.</t>
  </si>
  <si>
    <t>BF575.H27S39</t>
  </si>
  <si>
    <t>Happiness. ; Well-being.</t>
  </si>
  <si>
    <t>Fetterman, David M.;Wandersman, Abraham</t>
  </si>
  <si>
    <t>H62 -- .E574 2005eb</t>
  </si>
  <si>
    <t>361/.0068/3</t>
  </si>
  <si>
    <t>Social systems</t>
  </si>
  <si>
    <t>Divorce and Family Mediation : Models, Techniques, and Applications</t>
  </si>
  <si>
    <t>Folberg, Jay;Milne, Ann L.;Salem, Peter</t>
  </si>
  <si>
    <t>KF535.D558</t>
  </si>
  <si>
    <t>346.7301/66</t>
  </si>
  <si>
    <t>Divorce mediation -- United States. ; Family mediation -- United States.</t>
  </si>
  <si>
    <t>The Complexity of Connection : Writings from the Stone Center's Jean Baker Miller</t>
  </si>
  <si>
    <t>Jordan, Judith V.;Walker, Maureen;Hartling, Linda M.</t>
  </si>
  <si>
    <t>RC489.F45C66</t>
  </si>
  <si>
    <t>The Bipolar Teen : What You Can Do to Help Your Child and Your Family</t>
  </si>
  <si>
    <t>Miklowitz, David J.;George, Elizabeth L.</t>
  </si>
  <si>
    <t>RJ506.D4M55 2008</t>
  </si>
  <si>
    <t>616.89/500835</t>
  </si>
  <si>
    <t>AD,AE,AF,AG,AI,AL,AM,AO,AQ,AR,AS,AT,AU,AW,AX,AZ,BA,BB,BD,BE,BF,BG,BH,BI,BJ,BL,BM,BN,BO,BQ,BR,BS,BT,BV,BW,BY,BZ,CA,CC,CD,CF,CG,CH,CI,CK,CL,CM,CN,CO,CR,CU,CV,CW,CX,CY,CZ,DE,DJ,DK,DM,DO,DZ,EC,EE,EG,EH,ER,ES,ET,FI,FJ,FK,FM,FO,FR,GA,GD,GE,GF,GG,GH,GI,GL,GM,GN,GP,GQ,GR,GS,GT,GU,GW,GY,HK,HM,HN,HR,HT,HU,ID,IE,IL,IM,IN,IO,IQ,IR,IS,IT,JE,JM,JO,JP,KE,KG,KH,KI,KM,KN,KP,KR,KW,KY,KZ,LA,LB,LC,LI,LK,LR,LS,LT,LU,LV,LY,MA,MC,MD,ME,MF,MG,MH,MK,ML,MM,MN,MO,MP,MQ,MR,MS,MT,MU,MV,MW,MX,MY,MZ,NA,NC,NE,NF,NG,NI,NL,NO,NP,NR,NU,NZ,OM,PA,PE,PF,PG,PH,PK,PL,PM,PN,PR,PS,PT,PW,PY,QA,RE,RO,RS,RU,RW,SA,SB,SC,SD,SE,SG,SH,SI,SJ,SK,SL,SM,SN,SO,SR,SS,ST,SV,SX,SY,SZ,TC,TD,TF,TG,TH,TJ,TK,TL,TM,TN,TO,TR,TT,TV,TW,TZ,UA,UG,UM,US,UY,UZ,VA,VC,VE,VG,VI,VN,VU,WF,WS,YE,YT,ZA,ZM,ZW</t>
  </si>
  <si>
    <t>Odom, Samuel L.;Horner, Robert H.;Snell, Martha E.;Blacher, Jan B.</t>
  </si>
  <si>
    <t>RJ506.D47H356</t>
  </si>
  <si>
    <t>Treating Generalized Anxiety Disorder : Evidence-Based Strategies, Tools, and Techniques</t>
  </si>
  <si>
    <t>Rygh, Jayne L.;Sanderson, William C.</t>
  </si>
  <si>
    <t>RC531.R93</t>
  </si>
  <si>
    <t>616.85/220651</t>
  </si>
  <si>
    <t>Anxiety -- Handbooks, manuals, etc. ; Cognitive therapy -- Handbooks, manuals, etc.</t>
  </si>
  <si>
    <t>Treating Health Anxiety : A Cognitive-Behavioral Approach</t>
  </si>
  <si>
    <t>Taylor, Steven;Asmundson, Gordon J. G.;Wells, Adrian</t>
  </si>
  <si>
    <t>RC552.H8T39</t>
  </si>
  <si>
    <t>Hypochondria. ; Cognitive therapy.</t>
  </si>
  <si>
    <t>The Self-Conscious Emotions : Theory and Research</t>
  </si>
  <si>
    <t>Tracy, Jessica L.;Robins, Richard W.;Tangney, June Price;Campos, Joseph J.</t>
  </si>
  <si>
    <t>BF511.S3453</t>
  </si>
  <si>
    <t>Emotions. ; Affect (Psychology)</t>
  </si>
  <si>
    <t>How Connections Heal : Stories from Relational-Cultural Therapy</t>
  </si>
  <si>
    <t>Walker, Maureen;Rosen, Wendy B.;Miller, Jean Baker</t>
  </si>
  <si>
    <t>RC554.H69 2004</t>
  </si>
  <si>
    <t>Eclectic psychotherapy. ; Cultural psychiatry. ; Psychotherapy -- Cross-cultural studies. ; Psychodynamic psychotherapy.</t>
  </si>
  <si>
    <t>Messages from Home : The Parent-Child Home Program for Overcoming Educational Disadvantage</t>
  </si>
  <si>
    <t>Levenstein, Phyllis;Levenstein, Susan</t>
  </si>
  <si>
    <t>LB1134 .L48 2008</t>
  </si>
  <si>
    <t>372.119/2</t>
  </si>
  <si>
    <t>Child development-United States. ; Learning ability. ; Education, Preschool-Parent participation-United States. ; Mother and child-United States. ; Academic achievement-United States.</t>
  </si>
  <si>
    <t>Breakdown, Breakthrough : The Professional Woman's Guide to Claiming a Life of Passion, Power, and Purpose</t>
  </si>
  <si>
    <t>Caprino, Kathy</t>
  </si>
  <si>
    <t>BF724.65.M53C37 2008</t>
  </si>
  <si>
    <t>155.6/6082</t>
  </si>
  <si>
    <t>Midlife crisis. ; Middle-aged women -- Psychology. ; Women in the professions.</t>
  </si>
  <si>
    <t>Downshifting : How to Work Less and Enjoy Life More</t>
  </si>
  <si>
    <t>Drake, John D.</t>
  </si>
  <si>
    <t>Work -- Psychological aspects. ; Quality of life.</t>
  </si>
  <si>
    <t>Emotional Discipline : The Power to Choose How You Feel; 5 Life Changing Steps to Feeling Better Every Day</t>
  </si>
  <si>
    <t>Manz, Charles C.</t>
  </si>
  <si>
    <t>BF531.M27 2003</t>
  </si>
  <si>
    <t>Second Innocence : Rediscovering Joy and Wonder; a Guide to Renewal in Work Relations and Daily Life</t>
  </si>
  <si>
    <t>Izzo, John B.</t>
  </si>
  <si>
    <t>BJ1595.I99 2004</t>
  </si>
  <si>
    <t>Conduct of life. ; Innocence (Psychology)</t>
  </si>
  <si>
    <t>Colonial Madness : Psychiatry in French North Africa</t>
  </si>
  <si>
    <t>Keller, Richard C.</t>
  </si>
  <si>
    <t>RC451</t>
  </si>
  <si>
    <t>616.89/00961</t>
  </si>
  <si>
    <t>France -- Colonies -- Africa, North -- History</t>
  </si>
  <si>
    <t>Weissmark, Mona Sue;Giacomo, Daniel A.</t>
  </si>
  <si>
    <t>RC437</t>
  </si>
  <si>
    <t>McNeill, David</t>
  </si>
  <si>
    <t>P117</t>
  </si>
  <si>
    <t>Language/Linguistics; Literature</t>
  </si>
  <si>
    <t>Bersani, Leo;Phillips, Adam</t>
  </si>
  <si>
    <t>Macachiavellian Intelligence : How Rhesus Macaques and Humans Have Conquered the World</t>
  </si>
  <si>
    <t>Maestripieri, Dario</t>
  </si>
  <si>
    <t>QL737</t>
  </si>
  <si>
    <t>599.8/64315</t>
  </si>
  <si>
    <t>Science; Science: Zoology</t>
  </si>
  <si>
    <t>Moral Stealth : How Correct Behavior Insinuates Itself into Psychotherapeutic Practice</t>
  </si>
  <si>
    <t>Goldberg, Arnold</t>
  </si>
  <si>
    <t>RC480</t>
  </si>
  <si>
    <t>Never Saw It Coming : Cultural Challenges to Envisioning the Worst</t>
  </si>
  <si>
    <t>Cerulo, Karen A.</t>
  </si>
  <si>
    <t>BD375</t>
  </si>
  <si>
    <t>On the Psychotheology of Everyday Life : Reflections on Freud and Rosenzweig</t>
  </si>
  <si>
    <t>Santner, Eric L.</t>
  </si>
  <si>
    <t>BF175</t>
  </si>
  <si>
    <t>Psychology and religion</t>
  </si>
  <si>
    <t>Pockets of Crime : Broken Windows, Collective Efficacy, and the Criminal Point of View</t>
  </si>
  <si>
    <t>St. Jean, Peter K. B.</t>
  </si>
  <si>
    <t>HV6177</t>
  </si>
  <si>
    <t>Neighborhoods -- Social aspects</t>
  </si>
  <si>
    <t>The Affect Effect : Dynamics of Emotion in Political Thinking and Behavior</t>
  </si>
  <si>
    <t>Marcus, George E.;Neuman, W. Russell;MacKuen, Michael;Crigler, Ann N.</t>
  </si>
  <si>
    <t>JA74</t>
  </si>
  <si>
    <t>Political psychology</t>
  </si>
  <si>
    <t>The Intestines of the State : Youth, Violence, and Belated Histories in the Cameroon Grassfields</t>
  </si>
  <si>
    <t>Argenti, Nicolas</t>
  </si>
  <si>
    <t>DT571</t>
  </si>
  <si>
    <t>305.896/36</t>
  </si>
  <si>
    <t>Marginality, Social -- Cameroon -- North-West Province -- History</t>
  </si>
  <si>
    <t>Looks : Why They Matter More Than You Ever Imagined</t>
  </si>
  <si>
    <t>Saranac Lake</t>
  </si>
  <si>
    <t>PATZER, Gordon</t>
  </si>
  <si>
    <t>HM1151 -- .P375 2008eb</t>
  </si>
  <si>
    <t>Interpersonal attraction. ; Beauty, Personal -- Social aspects. ; Human body -- Social aspects. ; Sexual attraction.</t>
  </si>
  <si>
    <t>EQ Interview : Finding Employees with High Emotional Intelligence</t>
  </si>
  <si>
    <t>LYNN, Adele B.</t>
  </si>
  <si>
    <t>HF5549.5.S38 -- L96 2008eb</t>
  </si>
  <si>
    <t>658.3/1125</t>
  </si>
  <si>
    <t>Employee selection. ; Emotional intelligence -- Examinations, questions, etc. ; Core competencies. ; Employment interviewing. ; Work -- Psychological aspects.</t>
  </si>
  <si>
    <t>Nashville</t>
  </si>
  <si>
    <t>Fritz, Roger</t>
  </si>
  <si>
    <t>HF5549.5.M63F75 2008</t>
  </si>
  <si>
    <t>AD,AE,AF,AG,AI,AL,AM,AN,AO,AQ,AR,AS,AT,AU,AW,AX,AZ,BA,BB,BD,BE,BF,BG,BH,BI,BJ,BL,BM,BN,BO,BR,BS,BT,BV,BW,BY,BZ,CA,CC,CD,CF,CG,CH,CI,CK,CL,CM,CN,CO,CR,CU,CV,CX,CY,CZ,DE,DJ,DK,DM,DO,DZ,EC,EE,EG,EH,ER,ES,ET,FI,FJ,FK,FM,FO,FR,GA,GB,GD,GE,GF,GG,GH,GI,GL,GM,GN,GP,GQ,GR,GS,GT,GU,GW,GY,HK,HM,HN,HR,HT,HU,ID,IE,IL,IM,IN,IO,IQ,IR,IS,IT,JE,JM,JO,JP,KE,KG,KH,KI,KM,KN,KP,KR,KW,KY,KZ,LA,LB,LC,LI,LK,LR,LS,LT,LU,LV,LY,MA,MC,MD,ME,MF,MG,MH,MK,ML,MM,MN,MO,MP,MQ,MR,MS,MT,MU,MV,MW,MX,MY,MZ,NA,NC,NE,NF,NG,NI,NL,NO,NP,NR,NU,NZ,OM,PA,PE,PF,PG,PH,PK,PL,PM,PN,PR,PS,PT,PW,PY,QA,RE,RO,RU,RW,SA,SB,SC,SD,SE,SG,SH,SI,SJ,SK,SL,SM,SN,SO,SR,ST,SV,SY,SZ,TC,TD,TF,TG,TH,TJ,TK,TL,TM,TN,TO,TR,TT,TV,TW,TZ,UA,UG,UM,US,UY,UZ,VA,VC,VE,VG,VI,VN,VU,WF,WS,YE,YT,ZA,ZM,ZW</t>
  </si>
  <si>
    <t>Maintaining Relationships Through Communication : Relational, Contextual, and Cultural Variations</t>
  </si>
  <si>
    <t>Canary, Daniel J.;Dainton, Marianne</t>
  </si>
  <si>
    <t>HM1106 -- .M35 2014eb</t>
  </si>
  <si>
    <t>Cliff, Norman;Keats, John A.</t>
  </si>
  <si>
    <t>BF39 -- .C525 2003eb</t>
  </si>
  <si>
    <t>Psychology -- Mathematical models. ; Social sciences -- Statistical methods. ; Analysis of variance. ; Psychological tests -- Statistical methods.</t>
  </si>
  <si>
    <t>HQ767.9 -- .I58 2009eb</t>
  </si>
  <si>
    <t>Production management. ; Quality control. ; Industrial management.</t>
  </si>
  <si>
    <t>Descriptive Psychopathology : The Signs and Symptoms of Behavioral Disorders</t>
  </si>
  <si>
    <t>Taylor, Michael Alan;Vaidya, Nutan Atre</t>
  </si>
  <si>
    <t>RC469 -- .T39 2009eb</t>
  </si>
  <si>
    <t>United States. -- Supreme Court -- History. ; Court rules -- United States.</t>
  </si>
  <si>
    <t>North Melbourne</t>
  </si>
  <si>
    <t>Somerville, Margaret</t>
  </si>
  <si>
    <t>HM1111 -- .S66 1999eb</t>
  </si>
  <si>
    <t>AD,AE,AF,AG,AI,AL,AM,AO,AQ,AR,AS,AT,AU,AW,AX,AZ,BA,BB,BD,BE,BF,BG,BH,BI,BJ,BL,BM,BN,BO,BQ,BR,BT,BV,BW,BY,BZ,CA,CC,CD,CF,CG,CH,CI,CK,CL,CM,CN,CO,CR,CU,CV,CW,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S,ST,SV,SX,SY,SZ,TC,TD,TF,TG,TH,TJ,TK,TL,TM,TN,TO,TR,TT,TV,TW,TZ,UA,UG,UM,US,UY,UZ,VA,VC,VE,VG,VI,VN,VU,WF,WS,YE,YT,ZA,ZM,ZW</t>
  </si>
  <si>
    <t>Raymond, Janice</t>
  </si>
  <si>
    <t>HQ1206 -- .R39 2001eb</t>
  </si>
  <si>
    <t>Women -- Psychology. ; Female friendship. ; Interpersonal relations. ; Feminism.</t>
  </si>
  <si>
    <t>Trauma Trails, Recreating Song Lines : Recreating Song Lines</t>
  </si>
  <si>
    <t>Atkinson, Judy</t>
  </si>
  <si>
    <t>DU124.P75</t>
  </si>
  <si>
    <t>AD,AE,AF,AG,AI,AL,AM,AO,AQ,AR,AS,AT,AU,AW,AX,AZ,BA,BB,BD,BE,BF,BG,BH,BI,BJ,BL,BM,BN,BO,BR,BT,BV,BW,BY,BZ,CA,CC,CD,CF,CG,CH,CI,CK,CL,CM,CN,CO,CR,CU,CV,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T,SV,SY,SZ,TC,TD,TF,TG,TH,TJ,TK,TL,TM,TN,TO,TR,TT,TV,TW,TZ,UA,UG,UM,US,UY,UZ,VA,VC,VE,VG,VI,VN,VU,WF,WS,YE,YT,ZA,ZM,ZW</t>
  </si>
  <si>
    <t>The Wounded Breast : Intimate Journeys Through Cancer</t>
  </si>
  <si>
    <t>Accad, Evelyne</t>
  </si>
  <si>
    <t>RC280.B8 -- A23 2001eb</t>
  </si>
  <si>
    <t>Accad, Evelyne. ; Breast -- Cancer -- Patients -- Biography. ; Breast -- Cancer -- Treatment. ; Breast -- Cancer -- Psychological aspects.</t>
  </si>
  <si>
    <t>Alter Ego : Twenty confronting Views on the European Experience</t>
  </si>
  <si>
    <t>Salome</t>
  </si>
  <si>
    <t>Snel, Guido</t>
  </si>
  <si>
    <t>HN373.5 -- .A582 2004eb</t>
  </si>
  <si>
    <t>305.80094;306;940</t>
  </si>
  <si>
    <t>Group identity -- Europe. ; National characteristics, European. ; Identity (Psychology) -- Europe. ; Europe -- Social conditions.</t>
  </si>
  <si>
    <t>Obegi, Joseph H.;Berant, Ety</t>
  </si>
  <si>
    <t>RC455.4.A84A92 2009</t>
  </si>
  <si>
    <t>Attachment behavior. ; Psychotherapy.</t>
  </si>
  <si>
    <t>Therapy after Terror : 9/11, Psychotherapists, and Mental Health</t>
  </si>
  <si>
    <t>Seeley, Karen M.</t>
  </si>
  <si>
    <t>RC552.P67 S394 2008</t>
  </si>
  <si>
    <t>Therapeutic Relationships with Offenders : An Introduction to the Psychodynamics of Forensic Mental Health Nursing</t>
  </si>
  <si>
    <t>Clarke-Moore, Jenifer;Aiyegbusi, Anne;Clarke, Tom;Downes, Katie;Brown, Valerie Anne;Barber, Miranda;Adshead, Gwen;Bose, Sarita;Tuck, Gillian;Scanlon, Christopher</t>
  </si>
  <si>
    <t>Forensic psychiatric nursing. ; Nurse and patient.</t>
  </si>
  <si>
    <t>Personality Disorder : The Definitive Reader</t>
  </si>
  <si>
    <t>Jacob, Caroline;Hinshelwood, Robert;Adshead, Gwen;Norton, Kingsley</t>
  </si>
  <si>
    <t>Personality disorders. ; Psychology, Pathological.</t>
  </si>
  <si>
    <t>Girls Growing up on the Autism Spectrum : What Parents and Professionals Should Know about the Pre-Teen and Teenage Years</t>
  </si>
  <si>
    <t>Nichols, Shana;Willey, Liane Holliday;Moravcik, Ginamarie;Pulver-Tetenbaum, Samara</t>
  </si>
  <si>
    <t>RJ506.A9N53 2009</t>
  </si>
  <si>
    <t>Autism in children. ; Autism in adolescence. ; Girls -- Mental health.</t>
  </si>
  <si>
    <t>Supporting Young Parents : Pregnancy and Parenthood among Young People from Care</t>
  </si>
  <si>
    <t>Warwick, Ian;Knight, Abigail;Chase, Elaine;Aggleton, Peter</t>
  </si>
  <si>
    <t>Teenage parents. ; Teenage parents -- Counseling of. ; Teenage parents -- Services for. ; Teenage pregnancy. ; Home-based family services.</t>
  </si>
  <si>
    <t>Dietary Interventions in Autism Spectrum Disorders : Why They Work When They Do, Why They Don't When They Don't</t>
  </si>
  <si>
    <t>Aitken, Kenneth</t>
  </si>
  <si>
    <t>RC553.A88A48 2009</t>
  </si>
  <si>
    <t>Autism -- Diet therapy. ; Developmental disabilities -- Treatment.</t>
  </si>
  <si>
    <t>Asperger Syndrome and Employment : What People with Asperger Syndrome Really Really Want</t>
  </si>
  <si>
    <t>Hendrickx, Sarah;Biddulph, John</t>
  </si>
  <si>
    <t>RC553.A88H4624 2009</t>
  </si>
  <si>
    <t>Asperger's syndrome-Patients-Employment. ; Autism spectrum disorders-Patients-Employment.</t>
  </si>
  <si>
    <t>Social Science; Medicine; Psychology; Health</t>
  </si>
  <si>
    <t>Hope for the Autism Spectrum : A Mother and Son Journey of Insight and Biomedical Intervention</t>
  </si>
  <si>
    <t>Kirk, Sally;Kirchoff, Sallie;Kirk, Sally</t>
  </si>
  <si>
    <t>RJ506.A9K57 2008</t>
  </si>
  <si>
    <t>Autism -- Treatment. ; Developmental disabilities -- Treatment.</t>
  </si>
  <si>
    <t>Adults on the Autism Spectrum Leave the Nest : Achieving Supported Independence</t>
  </si>
  <si>
    <t>Perry, Nancy</t>
  </si>
  <si>
    <t>616.85/88200835</t>
  </si>
  <si>
    <t>Focusing-Oriented Art Therapy : Accessing the Body's Wisdom and Creative Intelligence</t>
  </si>
  <si>
    <t>Rappaport, Laury</t>
  </si>
  <si>
    <t>RC489.A7R37 2009</t>
  </si>
  <si>
    <t>Art therapy. ; Focused expressive psychotherapy.</t>
  </si>
  <si>
    <t>Recovery from Depression Using the Narrative Approach : A Guide for Doctors, Complementary Therapists and Mental Health Professionals</t>
  </si>
  <si>
    <t>Ridge, Damien</t>
  </si>
  <si>
    <t>RC537 -- .R533 2009eb</t>
  </si>
  <si>
    <t>Depression, Mental -- Alternative treatment. ; Narrative medicine.</t>
  </si>
  <si>
    <t>Alphabet Kids - from ADD to Zellweger Syndrome : A Guide to Developmental, Neurobiological and Psychological Disorders for Parents and Professionals</t>
  </si>
  <si>
    <t>Woliver, Robbie</t>
  </si>
  <si>
    <t>Official Autism 101 Manual : Everything You Need to Know about Autism, from the People Who Know and Care the Most</t>
  </si>
  <si>
    <t>Seattle</t>
  </si>
  <si>
    <t>Simmons, Karen</t>
  </si>
  <si>
    <t>RC553.A88 -- S56 2006eb</t>
  </si>
  <si>
    <t>Autism. ; Autism -- Diagnosis. ; Autism -- Treatment. ; Autism -- Psychological aspects.</t>
  </si>
  <si>
    <t>University of North Carolina</t>
  </si>
  <si>
    <t>Rosemblatt, Karin Alejandra;Appelbaum, Nancy P.;Macpherson, Anne S.;MacPherson, Anne S.;Holt, Thomas C.</t>
  </si>
  <si>
    <t>F1413 -- .R33 2003eb</t>
  </si>
  <si>
    <t>323.1/8/09</t>
  </si>
  <si>
    <t>Nationalism -- Latin America -- History. ; Race discrimination -- Latin America -- History. ; Ethnicity -- Latin America -- History. ; Identity (Psychology) -- Latin America. ; Social classes -- Latin America -- History. ; Man-woman relationships -- Latin America -- History. ; Latin America -- History -- 1830-</t>
  </si>
  <si>
    <t>History; Political Science</t>
  </si>
  <si>
    <t>Puerto Rican Nation on the Move : Identities on the Island and in the United States</t>
  </si>
  <si>
    <t>Duany, Jorge</t>
  </si>
  <si>
    <t>F1975 -- .D83 2002eb</t>
  </si>
  <si>
    <t>Nationalism -- Puerto Rico -- History -- 20th century. ; Identity (Psychology) -- Puerto Rico. ; Puerto Ricans -- United States -- Ethnic identity. ; Ethnicity -- Puerto Rico. ; Puerto Rico -- Civilization -- 20th century.</t>
  </si>
  <si>
    <t>Feminism, Sexuality, and Politics : Essays by Estelle B. Freedman</t>
  </si>
  <si>
    <t>Freedman, Estelle B.</t>
  </si>
  <si>
    <t>HQ1419 -- .F74 2006eb</t>
  </si>
  <si>
    <t>Feminism -- United States -- History. ; Women's studies -- United States. ; Homosexuality -- United States -- History. ; Sex -- Political aspects -- United States.</t>
  </si>
  <si>
    <t>A Cognitive-Behavioral Approach to the Beginning of the End of Life, Minding the Body : Facilitator Guide</t>
  </si>
  <si>
    <t>Satterfield, Jason M.</t>
  </si>
  <si>
    <t>RC108.S28 2008</t>
  </si>
  <si>
    <t>Chronic diseases -- Psychological aspects. ; Terminal care -- Psychological aspects. ; Cognitive therapy.</t>
  </si>
  <si>
    <t>Hunsley, John;Mash, Eric J.</t>
  </si>
  <si>
    <t>Oxford Textbooks in Clinical Psychology Series</t>
  </si>
  <si>
    <t>RC469.G78 2008</t>
  </si>
  <si>
    <t>Psychodiagnostics. ; Evidence-based psychiatry.</t>
  </si>
  <si>
    <t>Adolescent Psychopathology and the Developing Brain : Integrating Brain and Prevention Science</t>
  </si>
  <si>
    <t>Romer, Daniel;Walker, Elaine F.;Walker, Elaine F.</t>
  </si>
  <si>
    <t>Adolescent Mental Health Initiative</t>
  </si>
  <si>
    <t>RJ499.A36 2007</t>
  </si>
  <si>
    <t>Adolescent psychopathology -- Congresses. ; Brain -- Growth -- Congresses. ; Developmental neurobiology -- Congresses.</t>
  </si>
  <si>
    <t>Adolescents, Media, and the Law : What Developmental Science Reveals and Free Speech Requires</t>
  </si>
  <si>
    <t>Levesque, Roger J. R.;Levesque, Roger J. R.</t>
  </si>
  <si>
    <t>HQ799.2.M35L48 2007</t>
  </si>
  <si>
    <t>Mass media and youth -- United States. ; Teenagers -- United States -- Attitudes. ; Mass media -- Social aspects -- United States.</t>
  </si>
  <si>
    <t>Attention : From Theory to Practice</t>
  </si>
  <si>
    <t>Kramer, Arthur F.;Wiegmann, Douglas A.;Kirlik, Alex</t>
  </si>
  <si>
    <t>BF321.A833 2007</t>
  </si>
  <si>
    <t>153.7/33</t>
  </si>
  <si>
    <t>Autism : A Very Short Introduction</t>
  </si>
  <si>
    <t>OUP Oxford</t>
  </si>
  <si>
    <t>Frith, Uta;Frith, Uta</t>
  </si>
  <si>
    <t>RJ506.A9 -- F694 2008eb</t>
  </si>
  <si>
    <t>616.85882;618.9289</t>
  </si>
  <si>
    <t>Autism in children. ; Autism.</t>
  </si>
  <si>
    <t>Before Prozac : The Troubled History of Mood Disorders in Psychiatry</t>
  </si>
  <si>
    <t>RC537.S52 2009</t>
  </si>
  <si>
    <t>616.85/27061</t>
  </si>
  <si>
    <t>Affective disorders -- Chemotherapy -- United States -- History. ; Psychotropic drugs -- United States -- History. ; Psychopharmacology -- United States -- History. ; Serotonin uptake inhibitors -- Therapeutic use -- History. ; Psychotropic drugs industry -- United States -- History. ; Pharmaceutical policy -- United States -- History.</t>
  </si>
  <si>
    <t>Beyond Rationality : The Search for Wisdom in a Troubled Time</t>
  </si>
  <si>
    <t>Hammond, Kenneth R.;Berkley, Karen J.;Hammond, Kenneth R.</t>
  </si>
  <si>
    <t>BF447.H36 2007</t>
  </si>
  <si>
    <t>153.4/6</t>
  </si>
  <si>
    <t>Judgment. ; Decision making.</t>
  </si>
  <si>
    <t>Board Certification in Clinical Neuropsychology : A Guide to Becoming ABPP/ABCN Certified Without Sacrificing Your Sanity</t>
  </si>
  <si>
    <t xml:space="preserve">Armstrong, Kira E.;Beebe, Dean W.;Hilsabeck, Robin C.;Kirkwood, Michael W. </t>
  </si>
  <si>
    <t>AACN Workshop Series</t>
  </si>
  <si>
    <t>RC386.6.N48S74 2008</t>
  </si>
  <si>
    <t>Breaking the Silence : Mental Health Professionals Disclose Their Personal and Family Experiences of Mental Illness</t>
  </si>
  <si>
    <t>Hinshaw, Stephen P.;Hinshaw, Stephen P.</t>
  </si>
  <si>
    <t>RC451.4.P79B74 2008</t>
  </si>
  <si>
    <t>Mental health personnel -- Mental health. ; Mental health personnel -- Family relationships. ; Mental health personnel -- Biography. ; Mentally ill -- Family relationships.</t>
  </si>
  <si>
    <t>Buddy System : Understanding Male Friendships</t>
  </si>
  <si>
    <t>Greif, Geoffrey</t>
  </si>
  <si>
    <t>BF575.F66G735 2009</t>
  </si>
  <si>
    <t>158.2/5</t>
  </si>
  <si>
    <t>Male friendship. ; Friendship.</t>
  </si>
  <si>
    <t>Causal Learning : Psychology, Philosophy, and Computation</t>
  </si>
  <si>
    <t>Gopnik, Alison;Schulz, Laura</t>
  </si>
  <si>
    <t>Oxford Series in Cognitive Development Series</t>
  </si>
  <si>
    <t>BF318.C38 2007</t>
  </si>
  <si>
    <t>Learning, Psychology of. ; Causation.</t>
  </si>
  <si>
    <t>Chasing the High : A Firsthand Account of One Young Person's Experience with Substance Abuse</t>
  </si>
  <si>
    <t>Keegan, Kyle;Moss, Howard;Benderly, Beryl Lieff</t>
  </si>
  <si>
    <t>Adolescent Mental Health Initiative Series</t>
  </si>
  <si>
    <t>HV5805.K42A3 2008</t>
  </si>
  <si>
    <t>616.86092 B</t>
  </si>
  <si>
    <t>Keegan, Kyle, -- 1975- ; Substance abuse -- United States -- Biography. ; Recovering addicts -- United States -- Biography.</t>
  </si>
  <si>
    <t>Clinician's Guide to Evidence Based Practices : Mental Health and the Addictions</t>
  </si>
  <si>
    <t>Norcross, John C.;Hogan, Thomas P.;Koocher, Gerald P.</t>
  </si>
  <si>
    <t>RC455.2.E94N67 2008</t>
  </si>
  <si>
    <t>Evidence-based psychiatry -- Handbooks, manuals, etc. ; Mental illness -- Treatment -- Handbooks, manuals, etc. ; Substance abuse -- Treatment -- Handbooks, manuals, etc.</t>
  </si>
  <si>
    <t>Penedo, Frank J.;Antoni, Michael H.;Schneiderman, Neil</t>
  </si>
  <si>
    <t>RC280.P7P46 2008</t>
  </si>
  <si>
    <t>616.99/463</t>
  </si>
  <si>
    <t>Prostate -- Cancer -- Patients -- Rehabilitation. ; Prostate -- Cancer -- Psychological aspects. ; Stress management. ; Cognitive therapy. ; Relaxation.</t>
  </si>
  <si>
    <t>Collaborative Intervention in Early Childhood : Consulting with Parents and Teachers of 3- To 7-Year-Olds</t>
  </si>
  <si>
    <t>Hirschland, Deborah</t>
  </si>
  <si>
    <t>RJ506.B44H57 2008</t>
  </si>
  <si>
    <t>Behavior disorders in children. ; Emotional problems of children. ; Problem children -- Mental health services. ; Developmentally disabled children -- Mental health services.</t>
  </si>
  <si>
    <t>Cohen, Mary Ann;Gorman, Jack M.</t>
  </si>
  <si>
    <t>RC606.6.C662 2008</t>
  </si>
  <si>
    <t>AIDS (Disease) -- Psychological aspects. ; HIV infections -- Psychological aspects. ; AIDS (Disease) -- Patients -- Mental health. ; HIV-positive persons -- Mental health.</t>
  </si>
  <si>
    <t>Compulsive Hoarding and Acquiring : Workbook</t>
  </si>
  <si>
    <t>Oxford University Press, USA</t>
  </si>
  <si>
    <t>Steketee, Gail;Frost, Randy</t>
  </si>
  <si>
    <t>RC533 -- .S743 2007eb</t>
  </si>
  <si>
    <t>Compulsive behavior. ; Hoarding of money. ; Obsessive-compulsive disorder.</t>
  </si>
  <si>
    <t>Compulsive Hoarding and Acquiring : Therapist Guide</t>
  </si>
  <si>
    <t>Steketee, Gail;Frost, Randy O.</t>
  </si>
  <si>
    <t>RC533.S74 2007</t>
  </si>
  <si>
    <t>Obsessive-compulsive disorder.;Compulsive behavior.; ; ; ; ; ;</t>
  </si>
  <si>
    <t>Conditioned Taste Aversion : Neural and Behavioral Processes</t>
  </si>
  <si>
    <t>Reilly, Steve;Schachtman, Todd R.</t>
  </si>
  <si>
    <t>BF261.C66 2009</t>
  </si>
  <si>
    <t>152.1/67</t>
  </si>
  <si>
    <t>Taste. ; Aversive stimuli.</t>
  </si>
  <si>
    <t>Coping Effectively with Spinal Cord Injuries : A Group Program Therapist Guide</t>
  </si>
  <si>
    <t>Kennedy, Paul</t>
  </si>
  <si>
    <t>RD594.3.K46 2009</t>
  </si>
  <si>
    <t>Spinal cord -- Wounds and injuries -- Psychological aspects. ; Spinal cord -- Wounds and injuries -- Treatment. ; Group psychotherapy. ; Stress management.</t>
  </si>
  <si>
    <t>Coping Effectively with Spinal Cord Injuries : A Group Program, Workbook</t>
  </si>
  <si>
    <t>RD594.3.K466 2009</t>
  </si>
  <si>
    <t>617.4/82044</t>
  </si>
  <si>
    <t>Coping Power : Parent Group Workbook 8-Copy Set</t>
  </si>
  <si>
    <t>Wells, Karen;Lochman, John E.;Lenhart, Lisa</t>
  </si>
  <si>
    <t>BF723.A35W45 2008</t>
  </si>
  <si>
    <t>Aggressiveness in children. ; Conduct disorders in children. ; Parenting. ; Parent and child.</t>
  </si>
  <si>
    <t>Coping Power : Child Group Facilitator's Guide</t>
  </si>
  <si>
    <t xml:space="preserve">Lochman, John E.;Wells, Karen;Lisa;Lenhart, Lisa A. </t>
  </si>
  <si>
    <t>RJ506.A35W45 2008</t>
  </si>
  <si>
    <t>Aggressiveness in children. ; Conduct disorders in children.</t>
  </si>
  <si>
    <t>Coping Power : Parent Group Facilitator's Guide</t>
  </si>
  <si>
    <t>Wells, Karen;Lochman, John E.;Lenhart, Lisa;Wells, Karen</t>
  </si>
  <si>
    <t>Coping with Breast Cancer : A Couples-Focused Group Intervention, Therapist Guide</t>
  </si>
  <si>
    <t>Manne, Sharon L.;Ostroff, Jamie S.</t>
  </si>
  <si>
    <t>RC280.B8M337 2008</t>
  </si>
  <si>
    <t>616.99/44906</t>
  </si>
  <si>
    <t>Breast -- Cancer -- Psychological aspects. ; Cognitive therapy. ; Marital psychotherapy.</t>
  </si>
  <si>
    <t>Coping with Chronic Illness : A Cognitive-Behavioral Approach for Adherence and Depression</t>
  </si>
  <si>
    <t>Safren, Steven;Gonzalez, Jeffrey;Soroudi, Nafisseh;Soroudi, Nafisseh</t>
  </si>
  <si>
    <t>RC108.S242 2008</t>
  </si>
  <si>
    <t>Chronic diseases -- Psychological aspects. ; Chronically ill -- Mental health. ; Chronically ill -- Rehabilitation. ; People with disabilities -- Psychology.</t>
  </si>
  <si>
    <t>Coping with the Seasons : A Cognitive Behavioral Approach to Seasonal Affective Disorder, Therapist Guide</t>
  </si>
  <si>
    <t>Rohan, Kelly J.</t>
  </si>
  <si>
    <t>RC545.R64 2009</t>
  </si>
  <si>
    <t>Seasonal affective disorder -- Treatment. ; Cognitive therapy.</t>
  </si>
  <si>
    <t>Coping with the Seasons : A Cognitive Behavioral Approach to Seasonal Affective Disorder, Workbook</t>
  </si>
  <si>
    <t>RC545.R64 2008</t>
  </si>
  <si>
    <t>Gregg, Gary S.;Gentile, Douglas A.;Gregg, Gary S.</t>
  </si>
  <si>
    <t>Culture, Cognition, and Behavior Series</t>
  </si>
  <si>
    <t>BF697.G74 2007</t>
  </si>
  <si>
    <t>Identity (Psychology) -- Morocco -- Case studies. ; Ethnopsychology -- Morocco -- Case studies. ; Personality and culture -- Morocco -- Case studies.</t>
  </si>
  <si>
    <t>Loue, Sana;Sajatovic, Martha;Sajatovic, Martha</t>
  </si>
  <si>
    <t>RC537.D54 2008</t>
  </si>
  <si>
    <t>Affective disorders -- Cross-cultural studies. ; Minorities -- Mental health.</t>
  </si>
  <si>
    <t>Effective Practices for Children with Autism : Educational and Behavior Support Interventions That Work</t>
  </si>
  <si>
    <t>Luiselli, James K.;Russo, Dennis C.;Christian, Walter P.;Wilcyznski, Susan M.;Wilcyznski, Susan M.</t>
  </si>
  <si>
    <t>RJ506.A9E39 2008</t>
  </si>
  <si>
    <t>Autistic children -- Rehabilitation -- Standards. ; Autistic children -- Education -- Standards. ; Evidence-based psychiatry. ; Evidence-based pediatrics.</t>
  </si>
  <si>
    <t>Eight Stories Up : An Adolescent Chooses Hope over Suicide</t>
  </si>
  <si>
    <t>Lezine, DeQuincy;Brent, David</t>
  </si>
  <si>
    <t>RJ506.S9L49 2008</t>
  </si>
  <si>
    <t>Lezine, DeQuincy A., -- 1977- -- Mental health. ; Teenagers -- Suicidal behavior -- Prevention.</t>
  </si>
  <si>
    <t>Electroshock : Healing Mental Illness</t>
  </si>
  <si>
    <t>RC485.F56 2009</t>
  </si>
  <si>
    <t>Electroconvulsive therapy. ; Electrotherapeutics.</t>
  </si>
  <si>
    <t>Deigh, John</t>
  </si>
  <si>
    <t>BF531.D385 2008</t>
  </si>
  <si>
    <t>128/.33</t>
  </si>
  <si>
    <t>Emotions. ; Intentionality (Philosophy) ; Values. ; Ethics.</t>
  </si>
  <si>
    <t>Evidence-Based Outcome Research : A Practical Guide to Conducting Randomized Controlled Trials for Psychosocial Interventions</t>
  </si>
  <si>
    <t>Nezu, Arthur M.;Nezu, Christine Maguth</t>
  </si>
  <si>
    <t>RC455.2.E94E94 2008</t>
  </si>
  <si>
    <t>Evidence-based psychiatry. ; Psychiatry -- Research -- Methodology. ; Psychotherapy -- Research -- Methodology. ; Clinical trials.</t>
  </si>
  <si>
    <t>Evolutionary Forensic Psychology : Darwinian Foundations of Crime and Law</t>
  </si>
  <si>
    <t>Duntley, Joshua;Shackelford, Todd K.;Shackelford, Todd K.</t>
  </si>
  <si>
    <t>RA1148.E98 2008</t>
  </si>
  <si>
    <t>Forensic psychology. ; Evolutionary psychology.</t>
  </si>
  <si>
    <t>Murray, Henry A.;McAdams, Dan;Harvard University, Harvard Psychological Clinic</t>
  </si>
  <si>
    <t>BF698.E9 2008</t>
  </si>
  <si>
    <t>Personality. ; Psychology.</t>
  </si>
  <si>
    <t>Feelings : The Perception of Self</t>
  </si>
  <si>
    <t>Laird, James D.</t>
  </si>
  <si>
    <t>BF531.L29 2007</t>
  </si>
  <si>
    <t>Emotions. ; Self-perception. ; Psychophysiology.</t>
  </si>
  <si>
    <t>Freudian Mythologies : Greek Tragedy and Modern Identities</t>
  </si>
  <si>
    <t>Bowlby, Rachel</t>
  </si>
  <si>
    <t>BF175.5.M95B69 2007</t>
  </si>
  <si>
    <t>Oedipus complex. ; Electra complex. ; Psychoanalysis -- Greek influences. ; Greek drama (Tragedy) -- History and criticism.</t>
  </si>
  <si>
    <t>Ethics of Autism : Among Them, but Not of Them</t>
  </si>
  <si>
    <t>Barnbaum, Deborah R.</t>
  </si>
  <si>
    <t>RC553.A88 -- B3657 2008eb</t>
  </si>
  <si>
    <t>616.85/882001</t>
  </si>
  <si>
    <t>Autism -- Philosophy. ; Autism -- Moral and ethical aspects.</t>
  </si>
  <si>
    <t>Getting Your Child to Say Yes to School : A Guide for Parents of Youth with School Refusal Behavior</t>
  </si>
  <si>
    <t>Kearney, Christopher</t>
  </si>
  <si>
    <t>RJ506.S33K418 2007</t>
  </si>
  <si>
    <t>Global Promise: Quality Assurance and Accountability in Professional Psychology : Quality Assurance and Accountability in Professional Psychology</t>
  </si>
  <si>
    <t>Hall, Judy;Altmaier, Elizabeth</t>
  </si>
  <si>
    <t>BF80.8.G56 2008</t>
  </si>
  <si>
    <t>Psychologists -- Certification. ; Psychologists -- Licenses. ; Psychologists -- Training of. ; Psychologists -- Professional ethics.</t>
  </si>
  <si>
    <t>LeCroy, Craig Winston</t>
  </si>
  <si>
    <t>RJ504.H356 2008</t>
  </si>
  <si>
    <t>Child psychotherapy -- Handbooks, manuals, etc. ; Adolescent psychotherapy -- Handbooks, manuals, etc. ; Evidence-based psychiatry -- Handbooks, manuals, etc.</t>
  </si>
  <si>
    <t>Durand, V. Mark;Hieneman, Meme</t>
  </si>
  <si>
    <t>Programs That Work Series</t>
  </si>
  <si>
    <t>RJ506.B44D89 2008</t>
  </si>
  <si>
    <t>Behavior disorders in children -- Treatment. ; Problem children -- Behavior modification. ; Child psychotherapy -- Parent participation.</t>
  </si>
  <si>
    <t>Image Bite Politics : News and the Visual Framing of Elections</t>
  </si>
  <si>
    <t>Grabe, Maria Elizabeth;Bucy, Erik Page</t>
  </si>
  <si>
    <t>Series in Political Psychology Series</t>
  </si>
  <si>
    <t>JK1967.G73 2009</t>
  </si>
  <si>
    <t>324.973001/9</t>
  </si>
  <si>
    <t>Elections -- United States -- Psychological aspects. ; Presidential candidates -- United States -- Public opinion. ; Television broadcasting of news -- United States. ; Political psychology. ; Public opinion -- United States.</t>
  </si>
  <si>
    <t>Imagining Sex : Pornography and Bodies in Seventeenth-Century England</t>
  </si>
  <si>
    <t>Toulalan, Sarah</t>
  </si>
  <si>
    <t>HQ472.G7 -- T68 2007eb</t>
  </si>
  <si>
    <t>In Order to Learn : How the Sequence of Topics Influences Learning</t>
  </si>
  <si>
    <t>Ritter, Frank E.;Nerb, Josef;Lehtinen, Erno;O'Shea, Timothy M.</t>
  </si>
  <si>
    <t>Oxford Series on Cognitive Models and Architectures Series</t>
  </si>
  <si>
    <t>BF318.I636 2007</t>
  </si>
  <si>
    <t>153.1/53</t>
  </si>
  <si>
    <t>In the Mind's Eye : Julian Hochberg on the Perception of Pictures, Films, and the World</t>
  </si>
  <si>
    <t>Peterson, Mary A.;Gillam, Barbara;Sedgwick, H. A.</t>
  </si>
  <si>
    <t>BF241 -- .H55 2007eb</t>
  </si>
  <si>
    <t>Gray, Wayne D.;Gray, Wayne D.</t>
  </si>
  <si>
    <t>BF311 -- .I554 2007eb</t>
  </si>
  <si>
    <t>153.01/13</t>
  </si>
  <si>
    <t>Cognition. ; Cognitive science.</t>
  </si>
  <si>
    <t>Intergroup Attitudes and Relations in Childhood Through Adulthood : An Integrative Developmental and Social Psychological Perspective</t>
  </si>
  <si>
    <t>Levy, Sheri R.;Killen, Melanie;Levy, Sheri R.</t>
  </si>
  <si>
    <t>HM716.I578 2008</t>
  </si>
  <si>
    <t>305.5/6</t>
  </si>
  <si>
    <t>Social groups -- Attitudes. ; Prejudices. ; Social interaction. ; Minorities -- Social conditions. ; Youth -- Cross-cultural studies.</t>
  </si>
  <si>
    <t>Lot 2 : The Language of Thought Revisited</t>
  </si>
  <si>
    <t>Fodor, Jerry A.</t>
  </si>
  <si>
    <t>BF311.F56 2008</t>
  </si>
  <si>
    <t>Cognition. ; Psycholinguistics.</t>
  </si>
  <si>
    <t>Managing Chronic Pain : A Cognitive-Behavioral Therapy Approach</t>
  </si>
  <si>
    <t>Otis, John</t>
  </si>
  <si>
    <t>RB127.O7885 2007</t>
  </si>
  <si>
    <t>Chronic pain. ; Cognitive therapy.</t>
  </si>
  <si>
    <t>Managing Tourette Syndrome : A Behavioral Intervention for Children and Adults Therapist Guide</t>
  </si>
  <si>
    <t xml:space="preserve">Woods, Douglas W.;Piacentini, John;Chang, Susanna;Deckersbach, Thilo;Ginsburg, Golda;Peterson, Alan;Scahill, Lawrence D.;Walkup, John T.;Wilhelm, Sabine </t>
  </si>
  <si>
    <t>RC375.M36 2008</t>
  </si>
  <si>
    <t>Tourette syndrome -- Treatment. ; Syndromes.</t>
  </si>
  <si>
    <t>Managing Tourette Syndrome : A Behaviorial Intervention Adult Workbook</t>
  </si>
  <si>
    <t xml:space="preserve">Woods, Douglas W.;Piacentini, John;Chang, Susanna;Deckersbach, Thilo;Ginsburg, Golda;Peterson, Alan;Scahill, Lawrence D. ;Walkup, John T.;Wilhelm, Sabine </t>
  </si>
  <si>
    <t>Mastery of Anxiety and Panic for Adolescents Riding the Wave, Therapist Guide : Riding the Wave - Therapist Guide</t>
  </si>
  <si>
    <t>Pincus, Donna B.;Ehrenreich, Jill T.;Mattis, Sara G.</t>
  </si>
  <si>
    <t>RC535.P56 2008</t>
  </si>
  <si>
    <t>Panic disorders -- Treatment. ; Anxiety disorders -- Treatment. ; Cognitive therapy for teenagers.</t>
  </si>
  <si>
    <t>Me, Myself, and Them : A Firsthand Account of One Young Person's Experience with Schizophrenia</t>
  </si>
  <si>
    <t>Snyder, Kurt;Gur, Raquel E.;Andrews, Linda Wasmer</t>
  </si>
  <si>
    <t>RC514.S565 -- A3 2007eb</t>
  </si>
  <si>
    <t>616.89/80092;B</t>
  </si>
  <si>
    <t>Snyder, Kurt -- Mental health. ; Schizophrenics -- United States -- Biography. ; Schizophrenia in adolescence -- United States.</t>
  </si>
  <si>
    <t>Memory : A Very Short Introduction</t>
  </si>
  <si>
    <t>Foster, Jonathan K.</t>
  </si>
  <si>
    <t>QP406 -- .F67 2009eb</t>
  </si>
  <si>
    <t>Imaginary companions -- Juvenile fiction. ; Spirits -- Juvenile fiction.</t>
  </si>
  <si>
    <t>Science; Science: Biology/Natural History; Psychology</t>
  </si>
  <si>
    <t>Moody Minds Distempered : Essays on Melancholy and Depression</t>
  </si>
  <si>
    <t>Radden, Jennifer</t>
  </si>
  <si>
    <t>BF575.M44R33 2009</t>
  </si>
  <si>
    <t>128/.37</t>
  </si>
  <si>
    <t>Melancholy. ; Depression, Mental.</t>
  </si>
  <si>
    <t>Bloomfield, Paul</t>
  </si>
  <si>
    <t>BJ1581.2.M65 2008</t>
  </si>
  <si>
    <t>170/.42</t>
  </si>
  <si>
    <t>Ethics. ; Self-interest.</t>
  </si>
  <si>
    <t>Grant, Igor;Adams, Kenneth</t>
  </si>
  <si>
    <t>RC473.N48N47 2009</t>
  </si>
  <si>
    <t>Mental illness -- Diagnosis. ; Nervous system -- Diseases -- Diagnosis. ; Neuropsychological tests.</t>
  </si>
  <si>
    <t>Next to Nothing : A Firsthand Account of One Teenager's Experience with an Eating Disorder</t>
  </si>
  <si>
    <t>Arnold, Carrie;Walsh, B. Timothy</t>
  </si>
  <si>
    <t>RJ506.E18 -- A76 2007eb</t>
  </si>
  <si>
    <t>618.92/85260092;B</t>
  </si>
  <si>
    <t>Arnold, Carrie, -- 1980- -- Mental health. ; Eating disorders in adolescence -- Patients -- Biography. ; Eating disorders -- Treatment.</t>
  </si>
  <si>
    <t>Wright, Richard D.;Ward, Lawrence M.;Posner, Michael I.</t>
  </si>
  <si>
    <t>BF321.W75 2008</t>
  </si>
  <si>
    <t>Attention. ; Visual perception.</t>
  </si>
  <si>
    <t>Overcoming Alcohol Problems : A Couples-Focused Program</t>
  </si>
  <si>
    <t>McCrady, Barbara S.;Epstein, Elizabeth E.</t>
  </si>
  <si>
    <t>RC565.M33 2009</t>
  </si>
  <si>
    <t>Alcoholism -- Treatment. ; Cognitive therapy.</t>
  </si>
  <si>
    <t>Overcoming Insomnia : A Cognitive-Behavioral Therapy Approach Therapist Guide</t>
  </si>
  <si>
    <t>Edinger, Jack D.;Carney, Colleen E.</t>
  </si>
  <si>
    <t>RC548.E35 2008</t>
  </si>
  <si>
    <t>616.8/498206</t>
  </si>
  <si>
    <t>Insomnia -- Treatment -- Popular works. ; Cognitive therapy.</t>
  </si>
  <si>
    <t>Overcoming Insomnia : A Cognitive-Behavioral Therapy Approach, Workbook</t>
  </si>
  <si>
    <t>Edinger, Jack;Carney, Colleen</t>
  </si>
  <si>
    <t>Treatments That Work</t>
  </si>
  <si>
    <t>RC548 -- .E35 2008eb</t>
  </si>
  <si>
    <t>616.8;616.8/498;616.8498</t>
  </si>
  <si>
    <t>Ladouceur, Robert;Lachance, Stella</t>
  </si>
  <si>
    <t>RC569.5.G35L33 2007</t>
  </si>
  <si>
    <t>Overcoming Your Eating Disorder : A Cognitive-Behavioral Therapy Approach for Bulimia Nervosa and Binge-Eating Disorder, Guided Self Help Workbook</t>
  </si>
  <si>
    <t>Agras, W. Stewart;Apple, Robin</t>
  </si>
  <si>
    <t>RC552.C65A37 2008</t>
  </si>
  <si>
    <t>Eating disorders -- Patients -- Rehabilitation. ; Eating disorders -- Treatment. ; Bulimia -- Treatment. ; Compulsive eating.</t>
  </si>
  <si>
    <t>Ladouceur, Robert;Lachance, Stella;Lachance, Stella;Ladouceur, Robert</t>
  </si>
  <si>
    <t>RC569.5.G35 -- L35 2007eb</t>
  </si>
  <si>
    <t>Paranoia : The 21st Century Fear</t>
  </si>
  <si>
    <t>Freeman, Daniel;Freeman, Jason</t>
  </si>
  <si>
    <t>RC520.F7242 2008</t>
  </si>
  <si>
    <t>616.89/7</t>
  </si>
  <si>
    <t>Paranoia. ; Delusions.</t>
  </si>
  <si>
    <t>Pattern Theory : From Representation to Inference</t>
  </si>
  <si>
    <t>Grenander, Ulf;Miller, Michael I.</t>
  </si>
  <si>
    <t>Q327.G7275 2007</t>
  </si>
  <si>
    <t>Pattern perception. ; Pattern recognition systems.</t>
  </si>
  <si>
    <t>Mathematics; Science</t>
  </si>
  <si>
    <t>Fish, William</t>
  </si>
  <si>
    <t>BF241.F565 2009</t>
  </si>
  <si>
    <t>121/.34</t>
  </si>
  <si>
    <t>Visual perception. ; Perception (Philosophy) ; Hallucinations and illusions.</t>
  </si>
  <si>
    <t>Personality : What Makes You the Way You Are</t>
  </si>
  <si>
    <t>Nettle, Daniel;Nettle, Daniel</t>
  </si>
  <si>
    <t>Oxford Landmark Science Series</t>
  </si>
  <si>
    <t>BF698.N393 2007</t>
  </si>
  <si>
    <t>Personality Assessment in Treatment Planning : Use of the MMPI-2 and BTPI</t>
  </si>
  <si>
    <t>Butcher, James;Perry, Julia</t>
  </si>
  <si>
    <t>RC473.M5B87 2008</t>
  </si>
  <si>
    <t>Minnesota Multiphasic Personality Inventory. ; Personality assessment.</t>
  </si>
  <si>
    <t>Prolonged Exposure Therapy for Adolescents with PTSD Emotional Processing of Traumatic Experiences, Therapist Guide : Emotional Processing of Traumatic Experiences : Therapist Guide</t>
  </si>
  <si>
    <t>Foa, Edna B.;Chrestman, Kelly R.;Gilboa-Schechtman, Eva</t>
  </si>
  <si>
    <t>RJ506.P55F63 2009</t>
  </si>
  <si>
    <t>Post-traumatic stress disorder in adolescence. ; Cognitive therapy for teenagers.</t>
  </si>
  <si>
    <t>Raising and Educating a Deaf Child : A Comprehensive Guide to the Choices, Controversies, and Decisions Faced by Parents and Educators</t>
  </si>
  <si>
    <t>Marschark, Marc</t>
  </si>
  <si>
    <t>HV2391.M26 2007</t>
  </si>
  <si>
    <t>649/.1512</t>
  </si>
  <si>
    <t>Deaf children. ; Deaf children -- Language. ; Parents of deaf children.</t>
  </si>
  <si>
    <t>Rationality for Mortals : How People Cope with Uncertainty</t>
  </si>
  <si>
    <t>Gigerenzer, Gerd</t>
  </si>
  <si>
    <t>Evolution and Cognition Series</t>
  </si>
  <si>
    <t>BF442.G54 2008</t>
  </si>
  <si>
    <t>153.4/3</t>
  </si>
  <si>
    <t>Reasoning (Psychology) ; Thought and thinking.</t>
  </si>
  <si>
    <t>Recovery from Schizophrenia: an International Perspective : A Report from the WHO Collaborative Project, the International Study of Schizophrenia</t>
  </si>
  <si>
    <t>Hopper, Kim;Harrison, Glynn;Janca, Aleksandar;Sartorius, Norman;Sartorius, Norman</t>
  </si>
  <si>
    <t>RC514 -- .R385 2007eb</t>
  </si>
  <si>
    <t>Schizophrenia -- Epidemiology. ; Psychoses.</t>
  </si>
  <si>
    <t>Sex Differences in the Brain : From Genes to Behavior</t>
  </si>
  <si>
    <t>Becker, Jill B.;Berkley, Karen J.;Geary, Nori;Hampson, Elizabeth;Herman, James P.;Young, Elizabeth;Young, Elizabeth</t>
  </si>
  <si>
    <t>QP81.5.S484 2008</t>
  </si>
  <si>
    <t>Sex differences. ; Sex differences (Psychology) ; Brain -- Sex differences. ; Human behavior -- Physiological aspects.</t>
  </si>
  <si>
    <t>Sex Offenders : Identification, Risk Assessment, Treatment, and Legal Issues</t>
  </si>
  <si>
    <t>Saleh, Fabian M.;Grudzinskas, Albert J.;Bradford, John M.;Brodsky, Daniel J.;Appelbaum, Paul</t>
  </si>
  <si>
    <t>RC560.S47 -- S483 2008eb</t>
  </si>
  <si>
    <t>Sex offenders -- Mental health. ; Psychosexual disorders -- Treatment. ; Sex offenders. ; Sex crimes. ; Paraphilias. ; Psychosexual disorders.</t>
  </si>
  <si>
    <t>Sexuality : A Very Short Introduction</t>
  </si>
  <si>
    <t>Mottier, Veronique</t>
  </si>
  <si>
    <t>HQ12 -- .M68 2008eb</t>
  </si>
  <si>
    <t>Sex. ; Sex -- History. ; Women and erotica. ; Sex -- Political aspects.</t>
  </si>
  <si>
    <t>Stalking : Psychiatric Perspectives and Practical Approaches</t>
  </si>
  <si>
    <t>Pinals, Debra A.</t>
  </si>
  <si>
    <t>RC553.E76S73 2007</t>
  </si>
  <si>
    <t>Stalking -- Psychological aspects. ; Stalking.</t>
  </si>
  <si>
    <t>Stalking, Threatening, and Attacking Public Figures : A Psychological and Behavioral Analysis</t>
  </si>
  <si>
    <t>Meloy, J. Reid;Sheridan, Lorraine;Hoffmann, Jens</t>
  </si>
  <si>
    <t>HV6594.S742 2008</t>
  </si>
  <si>
    <t>Stalking. ; Celebrities. ; Fans (Persons)</t>
  </si>
  <si>
    <t>The Artful Mind : Cognitive Science and the Riddle of Human Creativity</t>
  </si>
  <si>
    <t>Turner, Mark;Turner, Mark</t>
  </si>
  <si>
    <t>N71.A762 2006</t>
  </si>
  <si>
    <t>Art -- Psychology. ; Cognition. ; Creative ability.</t>
  </si>
  <si>
    <t>Jamieson, Patrick;Romer, Daniel</t>
  </si>
  <si>
    <t>P94.5.Y72C43 2008</t>
  </si>
  <si>
    <t>Youth in mass media. ; Mass media and youth.</t>
  </si>
  <si>
    <t>Plumert, Jodie M.;Spencer, John P.;Spencer, John P.</t>
  </si>
  <si>
    <t>BF469.P59 2007</t>
  </si>
  <si>
    <t>Space perception. ; Spatial behavior. ; Spatial ability. ; Cognition. ; Cognitive psychology. ; Developmental psychology.</t>
  </si>
  <si>
    <t>The Experimental Phenomena of Consciousness : A Brief Dictionary</t>
  </si>
  <si>
    <t>Bachmann, Talis;Breitmeyer, Bruno;Ogmen, Haluk;Ogmen, Haluk</t>
  </si>
  <si>
    <t>BF311.B263 2007</t>
  </si>
  <si>
    <t>Consciousness -- Research -- Dictionaries. ; Awareness -- Research -- Dictionaries.</t>
  </si>
  <si>
    <t>Stiffman, Arlene Rubin</t>
  </si>
  <si>
    <t>HV11.F454 2009</t>
  </si>
  <si>
    <t>361.0072/3</t>
  </si>
  <si>
    <t>Social service -- Fieldwork. ; Psychology -- Fieldwork. ; Psychiatry -- Research -- Fieldwork. ; Public health -- Fieldwork.</t>
  </si>
  <si>
    <t>The Loss of Sadness : How Psychiatry Transformed Normal Sorrow into Depressive Disorder</t>
  </si>
  <si>
    <t>Horwitz, Allan V.;Wakefield, Jerome C.;Wakefield, Jerome C.</t>
  </si>
  <si>
    <t>RC480.5.H667 2007</t>
  </si>
  <si>
    <t>Psychiatry -- Miscellanea. ; Depression, Mental -- Miscellanea. ; Mental illness -- Miscellanea.</t>
  </si>
  <si>
    <t>The Mark of Shame : Stigma of Mental Illness and an Agenda for Change</t>
  </si>
  <si>
    <t>Hinshaw, Stephen P.;Hinshaw, Stephen P.;Toth, Sheree L.</t>
  </si>
  <si>
    <t>RC455.2.P83H56 2007</t>
  </si>
  <si>
    <t>Mental illness -- Social aspects. ; Mental illness -- Public opinion. ; Stigma (Social psychology)</t>
  </si>
  <si>
    <t>The Overflowing Brain : Information Overload and the Limits of Working Memory</t>
  </si>
  <si>
    <t>Klingberg, Torkel</t>
  </si>
  <si>
    <t>BF444.K5513 2009</t>
  </si>
  <si>
    <t>Human information processing -- Physiological aspects. ; Short-term memory -- Physiological aspects. ; Attention -- Physiological aspects. ; Cerebral cortex -- Growth. ; Neuroplasticity.</t>
  </si>
  <si>
    <t>The Pursuit of Unhappiness : The Elusive Psychology of Well-Being</t>
  </si>
  <si>
    <t>Haybron, Daniel M.</t>
  </si>
  <si>
    <t>BF575.H27H39 2008</t>
  </si>
  <si>
    <t>The Resilient Clinician : Secondary Stress, Mindfulness, Positive Psychology, and Enhancing the Self-Care Protocol of the Psychotherapist, Counselor, and Social Worker</t>
  </si>
  <si>
    <t>Wicks, Robert J.;Wicks</t>
  </si>
  <si>
    <t>RC451.4.P79W53 2008</t>
  </si>
  <si>
    <t>Mental health personnel -- Mental health. ; Stress management.</t>
  </si>
  <si>
    <t>The Story of Sexual Identity : Narrative Perspectives on the Gay and Lesbian Life Course</t>
  </si>
  <si>
    <t>Hammack, Phillip L.;Cohler, Bertram J.</t>
  </si>
  <si>
    <t>Sexuality, Identity, and Society Series</t>
  </si>
  <si>
    <t>HQ1075.S79 2009</t>
  </si>
  <si>
    <t>Gender identity -- History. ; Gay and lesbian studies. ; Homosexuality -- History. ; Lesbianism -- History. ; Sex role. ; Sex differences.</t>
  </si>
  <si>
    <t>The Thought That Counts : A Firsthand Account of One Teenager's Experience with Obsessive-Compulsive Disorder</t>
  </si>
  <si>
    <t>Kant, Jared;Franklin, Martin;Andrews, Linda Wasmer</t>
  </si>
  <si>
    <t>RJ506.O25K36 2008</t>
  </si>
  <si>
    <t>Kant, Jared Douglas -- Health. ; Obsessive-compulsive disorder in adolescence -- Patients -- United States -- Biography.</t>
  </si>
  <si>
    <t>Trust : Self-Interest and the Common Good</t>
  </si>
  <si>
    <t>Kohn, Marek</t>
  </si>
  <si>
    <t>HM1271.K64 2008</t>
  </si>
  <si>
    <t>Trust. ; Attitude (Psychology)</t>
  </si>
  <si>
    <t>Social Science; Philosophy</t>
  </si>
  <si>
    <t>Phillips, Katharine A.</t>
  </si>
  <si>
    <t>RC569.5.B64P483 2009</t>
  </si>
  <si>
    <t>Body dysmorphic disorder -- Popular works. ; Body image disturbance.</t>
  </si>
  <si>
    <t>Violent Video Game Effects on Children and Adolescents : Theory, Research, and Public Policy</t>
  </si>
  <si>
    <t>Anderson, Craig A.;Gentile, Douglas A.;Buckley, Katherine E.;Gentile, Douglas A.</t>
  </si>
  <si>
    <t>HQ784.V53A53 2007</t>
  </si>
  <si>
    <t>Video games and children. ; Video games and teenagers. ; Violence in mass media. ; Children and violence. ; Youth and violence. ; Aggressiveness in children. ; Aggressiveness in adolescence.</t>
  </si>
  <si>
    <t>What You Must Think of Me : A Firsthand Account of One Teenager's Experience with Social Anxiety Disorder</t>
  </si>
  <si>
    <t>Ford, Emily;Liebowitz, Michael;Andrews, Linda Wasmer</t>
  </si>
  <si>
    <t>RJ506.S63F67 2007</t>
  </si>
  <si>
    <t>616.85/22500835</t>
  </si>
  <si>
    <t>When Children Don't Sleep Well : Interventions for Pediatric Sleep Disorders Parent Workbook</t>
  </si>
  <si>
    <t>Durand, V. Mark</t>
  </si>
  <si>
    <t>RJ506.S55D87 2008</t>
  </si>
  <si>
    <t>Sleep disorders in children -- Treatment. ; Child psychiatry.</t>
  </si>
  <si>
    <t>When Children Don't Sleep Well : Interventions for Pediatric Sleep Disorders Therapist Guide</t>
  </si>
  <si>
    <t>RJ506.S55D88 2008</t>
  </si>
  <si>
    <t>'Hate Crime' and the City</t>
  </si>
  <si>
    <t>Iganski, Paul</t>
  </si>
  <si>
    <t>HV6773.5.I33 2008</t>
  </si>
  <si>
    <t>Hate crimes. ; Criminal psychology.</t>
  </si>
  <si>
    <t>Sinclair</t>
  </si>
  <si>
    <t>R726.8.S546 2007</t>
  </si>
  <si>
    <t>Pallas Publications</t>
  </si>
  <si>
    <t>Schinkel, Anders</t>
  </si>
  <si>
    <t>BJ1471 -- .S35 2007eb</t>
  </si>
  <si>
    <t>Conscience. ; Conscientious objection.</t>
  </si>
  <si>
    <t>Collective Talent : A Study of Improvisational Group Performance in Music</t>
  </si>
  <si>
    <t>Vossiuspers UvA</t>
  </si>
  <si>
    <t>de Jong, Jacqueline B.</t>
  </si>
  <si>
    <t>ML457 -- .J66 2006eb</t>
  </si>
  <si>
    <t>Understanding Football Hooliganism : A Comparison of Six Western European Football Clubs</t>
  </si>
  <si>
    <t>Spaaij, Ramón</t>
  </si>
  <si>
    <t>GV943.9.F35 -- .S63 2006eb</t>
  </si>
  <si>
    <t>Rise of Mental Health Nursing : A History of Psychiatric Care in Dutch Asylums, 1890-1920</t>
  </si>
  <si>
    <t>Boschma, Geertje</t>
  </si>
  <si>
    <t>RC440 -- .B67 2003eb</t>
  </si>
  <si>
    <t>Psychiatric nursing -- Netherlands -- History -- 19th century. ; Psychiatric nursing -- Netherlands -- History -- 20th century.</t>
  </si>
  <si>
    <t>Medicine; Nursing; Psychology</t>
  </si>
  <si>
    <t>Rhythms and Rhymes of Life : Music and Identification Processes of Dutch-Moroccan Youth</t>
  </si>
  <si>
    <t>Gazzah, Miriam</t>
  </si>
  <si>
    <t>ISIM Dissertations</t>
  </si>
  <si>
    <t>HQ799.8.N4 -- G39 2008eb</t>
  </si>
  <si>
    <t>Young adults -- Netherlands -- 21st century. ; Music and youth -- Netherlands -- 21st century. ; Popular culture -- Netherlands -- 21st century. ; Identity (Psychology) -- Netherlands -- 21st century.</t>
  </si>
  <si>
    <t>Psychiatric Cultures Compared : Psychiatry and Mental Health Care in the Twentieth Century - Comparisons and Approaches</t>
  </si>
  <si>
    <t>Gijswijt-Hofstra, Marijke;Oosterhuis, Harry;Vijselaar, Joost;Freeman, Hugh</t>
  </si>
  <si>
    <t>RC454 -- .P79 2005eb</t>
  </si>
  <si>
    <t>Psychiatry. ; Mental health.</t>
  </si>
  <si>
    <t>Popular Policeman and Other Cases : Psychological Perspectives on Legal Evidence</t>
  </si>
  <si>
    <t>Wagenaar, Willem Albert;Crombag, Hans</t>
  </si>
  <si>
    <t>K5465 -- .W34 2005eb</t>
  </si>
  <si>
    <t>Evidence, Criminal -- Psychological aspects -- Cases. ; Forensic psychology -- Cases.</t>
  </si>
  <si>
    <t>Psychological Aspects of Geographical Moves : Homesickness and Acculturation Stress</t>
  </si>
  <si>
    <t>van Tilburg, Miranda;Vingerhoets, Ad</t>
  </si>
  <si>
    <t>Amsterdam Academic Archive</t>
  </si>
  <si>
    <t>BF575.H54 -- P79 2005eb</t>
  </si>
  <si>
    <t>Homesickness. ; Acculturation. ; Travel -- Psychological aspects.</t>
  </si>
  <si>
    <t>Everyday Masculinities and Extreme Sport : Male Identity and Rock Climbing</t>
  </si>
  <si>
    <t>Berg Publishers</t>
  </si>
  <si>
    <t>Robinson, Victoria</t>
  </si>
  <si>
    <t>GV200.2.R64 2008</t>
  </si>
  <si>
    <t>796.522/3</t>
  </si>
  <si>
    <t>Rock climbing. ; Sports -- Social aspects. ; Sports -- Psychological aspects. ; Masculinity. ; Men -- Identity.</t>
  </si>
  <si>
    <t>Englishness : Twentieth-Century Popular Culture and the Forming of English Identity</t>
  </si>
  <si>
    <t>Featherstone, Simon</t>
  </si>
  <si>
    <t>DA118 -- .F43 2009eb</t>
  </si>
  <si>
    <t>305.82/1;700.942</t>
  </si>
  <si>
    <t>National characteristics, English. ; Nationalism -- England. ; Social psychology -- England.</t>
  </si>
  <si>
    <t>Doctors of Deception : What They Don't Want You to Know about Shock Treatment</t>
  </si>
  <si>
    <t>Andre, Linda</t>
  </si>
  <si>
    <t>RC485</t>
  </si>
  <si>
    <t>616.89/12</t>
  </si>
  <si>
    <t>Adult child sexual abuse victims -- Counseling of</t>
  </si>
  <si>
    <t>AN,AS,CA,GU,MP,PM,PR,UM,US,VI,YU</t>
  </si>
  <si>
    <t>Jerome Bruner : Language, Culture and Self</t>
  </si>
  <si>
    <t>Bakhurst, David;Shanker, Stuart G.;Bakhurst, David;Shanker, S. G.</t>
  </si>
  <si>
    <t>P85.B77J47 2001</t>
  </si>
  <si>
    <t>The Asperger Love Guide : A Practical Guide for Adults with Aspergers Syndrome to Seeking, Establishing and Maintaining Successful Relationships</t>
  </si>
  <si>
    <t>RC553.A88 -- .E36 2005eb</t>
  </si>
  <si>
    <t>Psychology; Medicine; Social Science</t>
  </si>
  <si>
    <t>The Hidden Roots of Critical Psychology : Understanding the Impact of Locke, Shaftesbury and Reid</t>
  </si>
  <si>
    <t>BF39.9 -- .B55 2008eb</t>
  </si>
  <si>
    <t>Exploring Developmental Psychology : Understanding Theory and Methods</t>
  </si>
  <si>
    <t>Harris, Margaret</t>
  </si>
  <si>
    <t>BF721 -- .H264 2008eb</t>
  </si>
  <si>
    <t>Killick, Steve</t>
  </si>
  <si>
    <t>BF721 -- .K479 2006eb</t>
  </si>
  <si>
    <t>Child psychology. ; Emotions in children. ; School environment -- Psychological aspects.</t>
  </si>
  <si>
    <t>Mander, Gertrud</t>
  </si>
  <si>
    <t>RC480.55 -- .M355 2000eb</t>
  </si>
  <si>
    <t>Statistics with Confidence : An Introduction for Psychologists</t>
  </si>
  <si>
    <t>Smithson, Michael</t>
  </si>
  <si>
    <t>SAGE Foundations of Psychology Series</t>
  </si>
  <si>
    <t>BF39 -- .S65 2000eb</t>
  </si>
  <si>
    <t>150.1/5195</t>
  </si>
  <si>
    <t>Working with Loss, Death and Bereavement : A Guide for Social Workers</t>
  </si>
  <si>
    <t>Weinstein, Jeremy A.</t>
  </si>
  <si>
    <t>BF575.G7 -- W42 2008eb</t>
  </si>
  <si>
    <t>Selling Sex : A Hidden History of Prostitution</t>
  </si>
  <si>
    <t>New South Books, Australia (UNSW)</t>
  </si>
  <si>
    <t>Frances, Raelene</t>
  </si>
  <si>
    <t>HQ270.A5.F73 2007</t>
  </si>
  <si>
    <t>306.740994;363.44</t>
  </si>
  <si>
    <t>Pharmaceutical industry -- Quality control. ; Drugs -- Standards -- United States.</t>
  </si>
  <si>
    <t>Sydney, NSW</t>
  </si>
  <si>
    <t>New South</t>
  </si>
  <si>
    <t>Reynolds, Robert</t>
  </si>
  <si>
    <t>HQ76.965.G38.R49 2007</t>
  </si>
  <si>
    <t>Labor laws and legislation -- United States. ; Collective bargaining -- Law and legislation -- United States. ; Labor unions -- Law and legislation -- United States.</t>
  </si>
  <si>
    <t>Treating and Preventing Adolescent Mental Health Disorders : What We Know and What We Don't Know</t>
  </si>
  <si>
    <t>Evans, Dwight L.;Foa, Edna B.;Gur, Raquel E.;Hendin, Herbert;O'Brien, Charles P.;Seligman, Martin E. P.;Walsh, B. Timothy</t>
  </si>
  <si>
    <t>RJ503 -- .T75 2005eb</t>
  </si>
  <si>
    <t>Adolescent psychopathology. ; Teenagers -- Mental health. ; Mental illness -- Treatment. ; Behavioral assessment of teenagers.</t>
  </si>
  <si>
    <t xml:space="preserve">Daiute, Colette;Beykont, Zeynep F.;Higson-Smith, Craig;Nucci, Larry </t>
  </si>
  <si>
    <t>HQ799.2.V56I68 2006</t>
  </si>
  <si>
    <t>Youth and violence -- Cross-cultural studies. ; Children and violence -- Cross-cultural studies. ; Youth -- Social conditions -- Cross-cultural studies. ; Children -- Social conditions -- Cross-cultural studies. ; Social conflict -- Cross-cultural studies. ; Developmental psychology -- Cross-cultural studies.</t>
  </si>
  <si>
    <t>Joint Attention: Communication and Other Minds : Issues in Philosophy and Psychology</t>
  </si>
  <si>
    <t xml:space="preserve">Eilan, Naomi;Hoerl, Christoph;McCormack, Teresa;Roessler, Johannes </t>
  </si>
  <si>
    <t>Consciousness and Self-Consciousness Series</t>
  </si>
  <si>
    <t>BF323.J63 -- J65 2005eb</t>
  </si>
  <si>
    <t>Juvenile Delinquency : Prevention, Assessment, and Intervention</t>
  </si>
  <si>
    <t>Heilbrun, Kirk;Goldstein, Naomi E. Sevin;Redding, Richard E.</t>
  </si>
  <si>
    <t>HV9104.J854 2005</t>
  </si>
  <si>
    <t>364.36/0973</t>
  </si>
  <si>
    <t>Juvenile delinquency -- United States. ; Juvenile delinquency -- United States -- Prevention. ; Juvenile corrections -- United States.</t>
  </si>
  <si>
    <t>The Lost Self : Pathologies of the Brain and Identity</t>
  </si>
  <si>
    <t>Feinberg, Todd E.;Keenan, Julian Paul</t>
  </si>
  <si>
    <t>RC553.D4 -- L67 2005eb</t>
  </si>
  <si>
    <t>Depersonalization. ; Self. ; Identity (Psychology) ; Cognitive neuroscience.</t>
  </si>
  <si>
    <t>Brain and Visual Perception : The Story of a 25-Year Collaboration</t>
  </si>
  <si>
    <t>Hubel, David H.;Wiesel, Torsten N.</t>
  </si>
  <si>
    <t>QP475 -- .H815 2005eb</t>
  </si>
  <si>
    <t>Visual pathways. ; Visual perception.</t>
  </si>
  <si>
    <t>Spirituality and the Healthy Mind : Science, Therapy, and the Need for Personal Meaning</t>
  </si>
  <si>
    <t>Galanter, Marc</t>
  </si>
  <si>
    <t>RC489.S676 -- G34 2005eb</t>
  </si>
  <si>
    <t>Psychotherapy -- Religious aspects. ; Spiritual healing. ; Spirituality.</t>
  </si>
  <si>
    <t>Happiness : The Science Behind Your Smile</t>
  </si>
  <si>
    <t>Nettle, Daniel</t>
  </si>
  <si>
    <t>BF575.H27N48 2005</t>
  </si>
  <si>
    <t>152.4/2</t>
  </si>
  <si>
    <t>The Amnesias : A Clinical Textbook of Memory Disorders</t>
  </si>
  <si>
    <t>Papanicolaou, Andrew C.</t>
  </si>
  <si>
    <t>RC394.M46 -- P365 2006eb</t>
  </si>
  <si>
    <t>Windows of the Soul : Physiognomy in European Culture 1470-1780</t>
  </si>
  <si>
    <t>Clarendon Press</t>
  </si>
  <si>
    <t>Porter, Martin</t>
  </si>
  <si>
    <t>Oxford Historical Monographs</t>
  </si>
  <si>
    <t>BF851.P67 2005</t>
  </si>
  <si>
    <t>Physiognomy -- Europe -- History. ; Philosophical anthropology -- Europe -- History. ; Religious thought -- Europe -- History. ; Theology -- Europe -- History. ; Education -- Europe -- History. ; Art -- Europe -- History. ; Europe -- Civilization.</t>
  </si>
  <si>
    <t>Gut Reactions : A Perceptual Theory of Emotion</t>
  </si>
  <si>
    <t>Prinz, Jesse J.</t>
  </si>
  <si>
    <t>BF531 -- .P75 2004eb</t>
  </si>
  <si>
    <t>Emotions. ; Perception. ; Psychophysiology.</t>
  </si>
  <si>
    <t>Mental Retardation and Developmental Delay : Genetic and Epigenetic Factors</t>
  </si>
  <si>
    <t>Smith, Moyra</t>
  </si>
  <si>
    <t>Oxford Monographs on Medical Genetics Series</t>
  </si>
  <si>
    <t>RC570 -- .S64 2006eb</t>
  </si>
  <si>
    <t>616.85/88042</t>
  </si>
  <si>
    <t>Mental retardation -- Etiology. ; Mental retardation -- Genetic aspects. ; Developmental disabilities -- Etiology. ; Developmental disabilities -- Genetic aspects.</t>
  </si>
  <si>
    <t>Williamson, Peter</t>
  </si>
  <si>
    <t>RC514 -- .W48 2006eb</t>
  </si>
  <si>
    <t>Schizophrenia. ; Neuropsychiatry.</t>
  </si>
  <si>
    <t>Gendler, Tamar Szabo;Hawthorne, John</t>
  </si>
  <si>
    <t>B828.45.P478 2006</t>
  </si>
  <si>
    <t>Perception (Philosophy) ; Experience.</t>
  </si>
  <si>
    <t>Functional Features in Language and Space : Insights from Perception, Categorization, and Development</t>
  </si>
  <si>
    <t>Carlson, Laura;van der Zee, Emile</t>
  </si>
  <si>
    <t>Explorations in Language and Space Series</t>
  </si>
  <si>
    <t>P37</t>
  </si>
  <si>
    <t>Lazare, Aaron</t>
  </si>
  <si>
    <t>BF575.A75 -- L39 2004eb</t>
  </si>
  <si>
    <t>Abused teenagers -- Fiction. ; Dysfunctional families -- Fiction.</t>
  </si>
  <si>
    <t>Evidence-based Cancer Care and Prevention : Behavioral Interventions</t>
  </si>
  <si>
    <t>Given, Charles;Given, Barbara;Kozachik, Sharon;DeVoss, Danielle</t>
  </si>
  <si>
    <t>RC262.E95 2003</t>
  </si>
  <si>
    <t>616.99/4/0019</t>
  </si>
  <si>
    <t>Cancer -- Psychological aspects. ; Health behavior. ; Cancer -- Prevention. ; Evidence-based medicine.</t>
  </si>
  <si>
    <t>Intimate Partner Violence : A Clinical Training Guide for Mental Health Professionals</t>
  </si>
  <si>
    <t>Jordan, Carol E.;Nietzel, Michael T.;Walker, Robert;Logan, T. K.</t>
  </si>
  <si>
    <t>RC569.5.F3I578 2004</t>
  </si>
  <si>
    <t>616.85/82206</t>
  </si>
  <si>
    <t>Abused wives -- Rehabilitation</t>
  </si>
  <si>
    <t>Cognition and Psychotherapy : Second Edition</t>
  </si>
  <si>
    <t>Freeman, Arthur;Mahoney, Michael J.;Devito, Paul;Martin, Donna</t>
  </si>
  <si>
    <t>RC489.C63C6 2004</t>
  </si>
  <si>
    <t>End-Of-Life Stories : Crossing Disciplinary Boundaries</t>
  </si>
  <si>
    <t>Gelfand, Donald E.;Raspa, Richard;Briller, Sherylyn H.;Myers Schim, Stephanie</t>
  </si>
  <si>
    <t>BF789.D4E53 2005</t>
  </si>
  <si>
    <t>Terminally ill -- Anecdotes</t>
  </si>
  <si>
    <t>Serving Mentally Ill Offenders : Challenges and Opportunities for Mental Health Professionals</t>
  </si>
  <si>
    <t>Landsberg, Gerald;Rock, Marjorie;Berg, Lawerence</t>
  </si>
  <si>
    <t>Springer Series on Family Violence</t>
  </si>
  <si>
    <t>RC451.4.P68S46 2002</t>
  </si>
  <si>
    <t>362.2/086/9270973</t>
  </si>
  <si>
    <t>Mentally ill offenders -- Care -- United States. ; Mentally ill offenders -- Services for -- United States.</t>
  </si>
  <si>
    <t>Alcohol Problems in Older Adults : Prevention and Management</t>
  </si>
  <si>
    <t>Barry, Kristen;Oslin, David;Blow, Frederic</t>
  </si>
  <si>
    <t>RC564.5.A34B374 2001</t>
  </si>
  <si>
    <t>618.97/6861</t>
  </si>
  <si>
    <t>Alcoholism -- Treatment. ; Middle-aged persons -- Alcohol use. ; Older people -- Alcohol use.</t>
  </si>
  <si>
    <t>Freeman, Arthur;Rosner, Rachael I.;Lyddon, William J.</t>
  </si>
  <si>
    <t>RC489.C63C6478 2004</t>
  </si>
  <si>
    <t>Cognitive therapy. ; Dreams -- Therapeutic use. ; Dream interpretation.</t>
  </si>
  <si>
    <t>Planned Group Counseling : An Alternative Group Method for Reluctant Chemically Dependent and Psychiatric Patients</t>
  </si>
  <si>
    <t>Biancoviso, Anthony N.;Bishop-Towle, Wandajune;Fuertes, Jairo N.</t>
  </si>
  <si>
    <t>RC466.B53 2004</t>
  </si>
  <si>
    <t>158/.35</t>
  </si>
  <si>
    <t>Mental health counseling -- Methodology. ; Drug abuse counseling -- Methodology. ; Group counseling -- Methodology. ; Mentally ill -- Rehabilitation. ; Drug addicts -- Rehabilitation. ; Patient compliance.</t>
  </si>
  <si>
    <t>Sheets, Debra J.;Bradley, Dana Burr;Hendricks, Jon</t>
  </si>
  <si>
    <t>HQ1061.E543 2006</t>
  </si>
  <si>
    <t>Depression Research in Nursing : Global Perspectives</t>
  </si>
  <si>
    <t>Williams, Reg Arthur;Hagerty, Bonnie;Ketefian, Shaké</t>
  </si>
  <si>
    <t>RC537.D4453 2005</t>
  </si>
  <si>
    <t>616.85/27/0231</t>
  </si>
  <si>
    <t>Depression, Mental -- Nursing. ; Depression, Mental -- Complications -- Nursing. ; Psychiatric nursing.</t>
  </si>
  <si>
    <t>Cognitive-Behavioral Case Formulation and Treatment Design : A Problem-Solving Approach</t>
  </si>
  <si>
    <t>Nezu, Arthur M.;Nezu, Christine Maguth;Lombardo, Elizabeth R.</t>
  </si>
  <si>
    <t>RC489.C63N497 2004</t>
  </si>
  <si>
    <t>Psychiatry -- Case formulation</t>
  </si>
  <si>
    <t>Stalking : Perspectives on Victims and Perpetrators</t>
  </si>
  <si>
    <t>Davis, Keith;Frieze, Irene;Maiuro, Roland D.</t>
  </si>
  <si>
    <t>HV6594.S74 2002</t>
  </si>
  <si>
    <t>Marital violence. ; Man-woman relationships. ; Stalkers -- Psychology. ; Stalking victims. ; Stalking.</t>
  </si>
  <si>
    <t>Springer Series on Comparative Treatments for Psychological Disorders</t>
  </si>
  <si>
    <t>RC569.5.B67C655 2005</t>
  </si>
  <si>
    <t>616.85/85206</t>
  </si>
  <si>
    <t>Borderline personality disorder. ; Borderline personality disorder -- Treatment.</t>
  </si>
  <si>
    <t>Gift, Helen;Ory, Marcia G.;Abeles, Ronald P.</t>
  </si>
  <si>
    <t>Springer Series on Lifestyles and Issues in Aging</t>
  </si>
  <si>
    <t>HQ1061.A4567 1994</t>
  </si>
  <si>
    <t>305.26;362.6</t>
  </si>
  <si>
    <t>Gerontology. ; Aging. ; Older people -- Health and hygiene. ; Quality of life.</t>
  </si>
  <si>
    <t>Shumaker, Sally A.;Ockene, Judith K.;Riekert, Kristin A.</t>
  </si>
  <si>
    <t>RA776.9.H36 2009</t>
  </si>
  <si>
    <t>Health behavior. ; Health attitudes. ; Self-care, Health. ; Behavior modification.</t>
  </si>
  <si>
    <t>Annual Review of Gerontology and Geriatrics, Volume 26 2006 : The Crown of Life: Dynamics of the Early Postretirement Period</t>
  </si>
  <si>
    <t>James, Jacquelyn Boone;Wink, Paul;Schaie, K. Warner</t>
  </si>
  <si>
    <t>RC952.A1A14eb v.26,</t>
  </si>
  <si>
    <t>362.5;362.5/05</t>
  </si>
  <si>
    <t>Geriatrics. ; Older people -- Psychology. ; Retirement -- United States. ; Retirement -- United States -- Psychological aspects. ; Older people -- United States -- Social conditions.</t>
  </si>
  <si>
    <t>Innovative Interventions to Reduce Dementia Caregiver Distress : A Clinical Guide</t>
  </si>
  <si>
    <t>Coon, David W.;Gallagher-Thompson, Dolores;Thompson, Larry W.;Allen, James E;Thompson, Larry W;Allen, James E</t>
  </si>
  <si>
    <t>RC521.C665 2003</t>
  </si>
  <si>
    <t>362.1/9683</t>
  </si>
  <si>
    <t>Dementia -- Patients -- Care -- Psychological aspects. ; Dementia -- Patients -- Family relationships. ; Caregivers -- Mental health services. ; Caregivers -- Mental health.</t>
  </si>
  <si>
    <t>Dementia and Wandering Behavior : Concern for the Lost Elder</t>
  </si>
  <si>
    <t>Silverstein, Nina M.;Flaherty, Gerald;Tobin, Terri</t>
  </si>
  <si>
    <t>RC521.S56 2002</t>
  </si>
  <si>
    <t>Mental illness -- Treatment</t>
  </si>
  <si>
    <t>Carr, Deborah;Nesse, Randolph M.;Wortman, Camille B.</t>
  </si>
  <si>
    <t>BF724.85.G73S66 2006</t>
  </si>
  <si>
    <t>155.9/37/0846</t>
  </si>
  <si>
    <t>Bereavement in old age -- United States -- Case studies. ; Widows -- United States -- Psychology -- Case studies. ; Widowers -- United States -- Psychology -- Case studies.</t>
  </si>
  <si>
    <t>Social Structures and Aging Individuals : Continuing Challenges</t>
  </si>
  <si>
    <t>Schaie, K. Warner;Abeles, Ronald P.</t>
  </si>
  <si>
    <t>Social Impact on Aging Series</t>
  </si>
  <si>
    <t>HQ1064.U5S5982 2008</t>
  </si>
  <si>
    <t>Aging -- Psychological aspects -- Congresses</t>
  </si>
  <si>
    <t>Understanding Narrative Therapy : A Guidebook for the Social Worker</t>
  </si>
  <si>
    <t>Abels, Paul;Abels, Sonia</t>
  </si>
  <si>
    <t>HV41.A254 2001</t>
  </si>
  <si>
    <t>Social service -- Psychological aspects. ; Autobiography -- Therapeutic use. ; Psychotherapy.</t>
  </si>
  <si>
    <t>Aging and the Meaning of Time : A Multidisciplinary Exploration</t>
  </si>
  <si>
    <t>McFadden, Susan;Atchley, Robert</t>
  </si>
  <si>
    <t>HQ1061.A42443 2001</t>
  </si>
  <si>
    <t>Older people. ; Aging. ; Time -- Social aspects. ; Time -- Psychological aspects.</t>
  </si>
  <si>
    <t>Retirement : Reasons, Processes, and Results</t>
  </si>
  <si>
    <t>Adams, Gary A.;Beehr, Terry A.</t>
  </si>
  <si>
    <t>HQ1063.2.U6R47 2003</t>
  </si>
  <si>
    <t>306.3/8</t>
  </si>
  <si>
    <t>Retirees -- United States -- Psychology</t>
  </si>
  <si>
    <t>Crisis Intervention and Trauma Response : Theory and Practice</t>
  </si>
  <si>
    <t>Wainrib, Barbara Rubin;Bloch, Ellin</t>
  </si>
  <si>
    <t>RC480.6.W32 1998</t>
  </si>
  <si>
    <t>Post-traumatic stress disorder -- Prevention</t>
  </si>
  <si>
    <t>Psychotherapy and Counseling with Older Women : Cross-cultural, Family, and End-of-life Issues</t>
  </si>
  <si>
    <t>Brody, Claire;Trotman, Frances</t>
  </si>
  <si>
    <t>Focus on Women</t>
  </si>
  <si>
    <t>RC451.4.A5T76 2002</t>
  </si>
  <si>
    <t>Older women -- Counseling of. ; Older women -- Mental health. ; Older women -- Psychology. ; Older women -- Social conditions. ; Psychotherapy for older people.</t>
  </si>
  <si>
    <t>Home and Identity in Late Life : International Perspectives</t>
  </si>
  <si>
    <t>Rowles, Graham D.;Chaudhury, Habib</t>
  </si>
  <si>
    <t>BF724.85.H65 2005</t>
  </si>
  <si>
    <t>Older people -- Dwellings -- Psychological aspects -- Cross-cultural studies</t>
  </si>
  <si>
    <t>Corr, Charles;Corr, Donna M.</t>
  </si>
  <si>
    <t>BF723.D3H36 1996</t>
  </si>
  <si>
    <t>155.9/37/083</t>
  </si>
  <si>
    <t>Bereavement in children. ; Children and death. ; Children -- Counseling of. ; Grief in children. ; Terminally ill children -- Psychology.</t>
  </si>
  <si>
    <t>Dumont, Frank;Corsini, Raymond J.</t>
  </si>
  <si>
    <t>RC480.F5568 2000</t>
  </si>
  <si>
    <t>Psychotherapy. ; Psychotherapists.</t>
  </si>
  <si>
    <t>Clinical Advances in Cognitive Psychotherapy : Theory and Application</t>
  </si>
  <si>
    <t>Leahy, Robert;Dowd, E. Thomas</t>
  </si>
  <si>
    <t>RC489.C63C575 2002</t>
  </si>
  <si>
    <t>Cognitive therapy. ; Psychotherapy.</t>
  </si>
  <si>
    <t>Schaie, K. Warner;Elder, Glen</t>
  </si>
  <si>
    <t>Springer Series on the Societal Impact on Aging</t>
  </si>
  <si>
    <t>HQ799.95.H57 2005</t>
  </si>
  <si>
    <t>305.2/09</t>
  </si>
  <si>
    <t>Life cycle, Human -- Social aspects. ; Life change events. ; Social change -- Psychological aspects. ; Emigration and immigration -- Psychological aspects. ; Developmental psychology. ; Social psychology.</t>
  </si>
  <si>
    <t>The Essential Moreno : Writings on Psychodrama, Group Method, and Spontaneity</t>
  </si>
  <si>
    <t>Moreno, J. L.;Fox, Jonathan</t>
  </si>
  <si>
    <t>RC489.P7M575 1987</t>
  </si>
  <si>
    <t>Drama -- Therapeutic use. ; Group psychotherapy. ; Spontaneity (Personality trait)</t>
  </si>
  <si>
    <t>Freeman, Arthur;Freeman, Sharon Morgillo</t>
  </si>
  <si>
    <t>RC489.C63C62785 2005</t>
  </si>
  <si>
    <t>Cognitive therapy. ; Psychiatric nursing.</t>
  </si>
  <si>
    <t>Critical Advances in Reminiscence Work : From Theory to Application</t>
  </si>
  <si>
    <t>Webster, Jeffrey Dean;Haight, Barbara K.</t>
  </si>
  <si>
    <t>BF724.85.R45C75 2002</t>
  </si>
  <si>
    <t>Reminiscing in old age. ; Reminiscing -- Research.</t>
  </si>
  <si>
    <t>Horton, Arthur MacNeill;Hartlage, Lawrence</t>
  </si>
  <si>
    <t>RA1147.5 -- .H36 2003eb</t>
  </si>
  <si>
    <t>Forensic neuropsychology -- Handbooks, manuals, etc. ; Clinical neuropsychology -- Handbooks, manuals, etc.</t>
  </si>
  <si>
    <t>Essentials of Neuropsychological Assessment : Treatment Planning for Rehabilitation</t>
  </si>
  <si>
    <t>D'Amato, Rik Carl;Hartlage, Lawrence C.</t>
  </si>
  <si>
    <t>RC386.6.N48E87 2008</t>
  </si>
  <si>
    <t>616.8/0475</t>
  </si>
  <si>
    <t>Neuropsychological tests. ; Clinical neuropsychology.</t>
  </si>
  <si>
    <t>Zen and Psychotherapy : Integrating Traditional and Nontraditional Approaches</t>
  </si>
  <si>
    <t>Mruk, Christopher J.;Hartzell, Joan</t>
  </si>
  <si>
    <t>RC489.M43M785 2003</t>
  </si>
  <si>
    <t>Buddhism and psychoanalysis</t>
  </si>
  <si>
    <t>Hayslip, Jr., Bert;Peveto, Cynthia A.</t>
  </si>
  <si>
    <t>Springer Series on Death and Suicide</t>
  </si>
  <si>
    <t>GT3150.H38 2005</t>
  </si>
  <si>
    <t>Death -- Social aspects. ; Death -- Psychological aspects. ; Mourning customs. ; Bereavement.</t>
  </si>
  <si>
    <t>Hagglund, Kristofer J.;Heinemann, Allen W.</t>
  </si>
  <si>
    <t>RC451.4.H35H36 2006</t>
  </si>
  <si>
    <t>People with disabilities -- Rehabilitation. ; Rehabilitation -- Research.</t>
  </si>
  <si>
    <t>Sexual Violence on Campus : Policies, Programs, and Perspectives</t>
  </si>
  <si>
    <t>Ottens, Allen J.;Hotelling, Kathy</t>
  </si>
  <si>
    <t>LC212.862.S52 2001</t>
  </si>
  <si>
    <t>378.1/958</t>
  </si>
  <si>
    <t>Sexual harassment in universities and colleges -- United States. ; Sexual harassment -- United States -- Prevention. ; Women college students -- Crimes against -- United States. ; Male college students -- United States -- Psychology.</t>
  </si>
  <si>
    <t>Fostering Reflection and Providing Feedback : Helping Others Learn from Experience : Helping Others Learn from Experience</t>
  </si>
  <si>
    <t>Westberg, Jane;Jason, Hilliard</t>
  </si>
  <si>
    <t>Springer Series on Medical Education</t>
  </si>
  <si>
    <t>R737 -- .W465 2001eb</t>
  </si>
  <si>
    <t>Feedback (Psychology) ; Medical personnel -- Study and teaching. ; Reflection (Philosophy)</t>
  </si>
  <si>
    <t>Empirically Supported Cognitive Therapies : Current and Future Applications</t>
  </si>
  <si>
    <t>Lyddon, William J.;Jones, Jr., John V.</t>
  </si>
  <si>
    <t>RC489.C63.E46 2001</t>
  </si>
  <si>
    <t>Cognitive therapy. ; Affective disorders.</t>
  </si>
  <si>
    <t>Parenting the Custodial Grandchild : Implications for Clinical Practice</t>
  </si>
  <si>
    <t>Hayslip, Jr., Bert;Kaminski, Patricia</t>
  </si>
  <si>
    <t>HQ759.9.P37 2008</t>
  </si>
  <si>
    <t>306.874/5</t>
  </si>
  <si>
    <t>Grandparents as parents. ; Caregivers. ; Intergenerational relations. ; Custody of children.</t>
  </si>
  <si>
    <t>Pioneers of Personality Science : Autobiographical Perspectives</t>
  </si>
  <si>
    <t>Strack, Stephen;Kinder, Bill N.</t>
  </si>
  <si>
    <t>BF109.A1P56 2006</t>
  </si>
  <si>
    <t>155.2/092/2 B</t>
  </si>
  <si>
    <t>Psychologists -- Biography. ; Personality -- History.</t>
  </si>
  <si>
    <t>Structured Group Psychotherapy for Bipolar Disorder : The Life Goals Program</t>
  </si>
  <si>
    <t>Bauer, Mark S.;McBride, Linda</t>
  </si>
  <si>
    <t>RC516.B37 2003</t>
  </si>
  <si>
    <t>616.89/50651</t>
  </si>
  <si>
    <t>Manic-depressive illness -- Treatment. ; Group psychotherapy. ; Manic-depressive persons -- Life skills guides.</t>
  </si>
  <si>
    <t>Perinatal and Postpartum Mood Disorders : Perspectives and Treatment Guide for the Health Care Practitioner</t>
  </si>
  <si>
    <t>Stone, Susan Dowd;Menken, Alexis E.</t>
  </si>
  <si>
    <t>RG852.P438 2008</t>
  </si>
  <si>
    <t>Pregnant women -- Mental health</t>
  </si>
  <si>
    <t>Comforting the Confused : Strategies for Managing Dementia</t>
  </si>
  <si>
    <t>Hoffman, Stephanie B.;Platt, Constance A.</t>
  </si>
  <si>
    <t>RC521.H64 2001</t>
  </si>
  <si>
    <t>Dementia -- Patients -- Care. ; Dementia.</t>
  </si>
  <si>
    <t>Baby Boomers : Can My Eighties Be Like My Fifties?</t>
  </si>
  <si>
    <t>Mellor, M. Joanna;Rehr, Helen</t>
  </si>
  <si>
    <t>RA408.B33M455 2005</t>
  </si>
  <si>
    <t>613/.0438</t>
  </si>
  <si>
    <t>Baby boom generation -- Health and hygiene -- United States -- Congresses. ; Baby boom generation -- United States -- Psychology -- Congresses. ; Baby boom generation -- Retirement -- United States -- Congresses. ; Baby boom generation -- United States -- Social conditions -- 21st century -- Congresses. ; Health attitudes -- Age factors -- United States -- Congresses. ; Health behavior -- Age factors -- United States -- Congresses. ; Medical care -- Needs assessment -- United States -- Congresses.</t>
  </si>
  <si>
    <t>Renzetti, Claire;Hamberger, L. Kevin</t>
  </si>
  <si>
    <t>HQ809.3.U5D63 1996</t>
  </si>
  <si>
    <t>Lesbian couples -- United States -- Psychology</t>
  </si>
  <si>
    <t>Helping Victims of Violent Crime : Assessment, Treatment, and Evidence-Based Practice</t>
  </si>
  <si>
    <t>Green, Diane L.;Roberts, Albert R.</t>
  </si>
  <si>
    <t>RC569.5.V55G74 2008</t>
  </si>
  <si>
    <t>Victims of violent crimes -- Mental health. ; Crisis intervention (Mental health services) ; Evidence-based psychiatry.</t>
  </si>
  <si>
    <t>Strategies for Therapy with the Elderly : Living with Hope and Meaning, 2nd Edition</t>
  </si>
  <si>
    <t>Brody, Claire;Semel, Vicki</t>
  </si>
  <si>
    <t>RC480.54.B76 2006</t>
  </si>
  <si>
    <t>Older people -- Mental health services -- Planning</t>
  </si>
  <si>
    <t>Settle, Carolyn;Adler-Tapia, Robbie</t>
  </si>
  <si>
    <t>RJ505.E9A35 2008</t>
  </si>
  <si>
    <t>Eye movement desensitization and reprocessing for children</t>
  </si>
  <si>
    <t>Self-Efficacy in Nursing : Research and Measurement Perspectives</t>
  </si>
  <si>
    <t>Lenz, Elizabeth;Shortridge-Baggett, Lillie</t>
  </si>
  <si>
    <t>RT42.S435 2002</t>
  </si>
  <si>
    <t>Barbanel, Laura;Sternberg, Robert J.</t>
  </si>
  <si>
    <t>RC480.6.P796 2006</t>
  </si>
  <si>
    <t>Crisis intervention (Mental health services) ; Post-traumatic stress disorder -- Prevention.</t>
  </si>
  <si>
    <t>Resilient Widowers : Older Men Speak for Themselves</t>
  </si>
  <si>
    <t>Moore, Alinde;Stratton, Dorothy</t>
  </si>
  <si>
    <t>Springer Series: Focus on Men Series</t>
  </si>
  <si>
    <t>HQ1058.5.U5M68 2002</t>
  </si>
  <si>
    <t>Widowers -- United States -- Attitudes</t>
  </si>
  <si>
    <t>Problem-Based Learning : An Approach to Medical Education</t>
  </si>
  <si>
    <t>Barrows, Howard S.;Tamblyn, Robyn M.</t>
  </si>
  <si>
    <t>Springer Series on Medical Education Series</t>
  </si>
  <si>
    <t>R834.B37 1980</t>
  </si>
  <si>
    <t>Medical logic -- Study and teaching</t>
  </si>
  <si>
    <t>Family Violence and Men of Color : Healing the Wounded Male Spirit, Second Edition</t>
  </si>
  <si>
    <t>Carrillo, Ricardo;Tello, Jerry</t>
  </si>
  <si>
    <t>HV6626.52.F35 2008</t>
  </si>
  <si>
    <t>African American men -- Psychology</t>
  </si>
  <si>
    <t>Men in Relationships : A New Look from a Life Course Perspective</t>
  </si>
  <si>
    <t>Bedford, Victoria;Turner, Barbara</t>
  </si>
  <si>
    <t>HQ1090.M435 2006</t>
  </si>
  <si>
    <t>Lazarus, Arnold;Zur, Ofer</t>
  </si>
  <si>
    <t>RC480.8.D83 2002</t>
  </si>
  <si>
    <t>Handbook of Violence Risk Assessment and Treatment : New Approaches for Mental Health Professionals</t>
  </si>
  <si>
    <t>Andrade, Joel T.</t>
  </si>
  <si>
    <t>RA1151.H27 2009</t>
  </si>
  <si>
    <t>Forensic psychiatry--Handbooks, manuals, etc. ; Violence--Forecasting--Handbooks, manuals, etc. ; Forensic Psychiatry--methods. ; Adolescent. ; Risk Assessment. ; Violence.</t>
  </si>
  <si>
    <t>Applied Exercise Psychology : A Practitioner's Guide to Improving Client Health and Fitness</t>
  </si>
  <si>
    <t>Anshel, Mark H.</t>
  </si>
  <si>
    <t>GV481.2.A57 2006</t>
  </si>
  <si>
    <t>613.7/01/9</t>
  </si>
  <si>
    <t>Exercise -- Psychological aspects. ; Physical fitness -- Psychological aspects.</t>
  </si>
  <si>
    <t>Health; Sport &amp;amp; Recreation</t>
  </si>
  <si>
    <t>Spirituality in Nursing : From Traditional to New Age</t>
  </si>
  <si>
    <t>Barnum, Barbara Stevens</t>
  </si>
  <si>
    <t>RT85.2 -- .B37 2006eb</t>
  </si>
  <si>
    <t>610.73;610.73/01</t>
  </si>
  <si>
    <t>Nursing -- Religious aspects. ; Nursing -- Philosophy. ; Nursing -- Psychological aspects. ; Spirituality.</t>
  </si>
  <si>
    <t>Adulthood and Aging : Research on Continuities and Discontinuities</t>
  </si>
  <si>
    <t>Bengtson, Vern L.</t>
  </si>
  <si>
    <t>BF724.5.A36 1996</t>
  </si>
  <si>
    <t>Adulthood -- Psychological aspects. ; Adulthood. ; Aging -- Psychological aspects. ; Aging.</t>
  </si>
  <si>
    <t>Emotional Problems in Later Life : Intervention Strategies for Professional Caregivers, Second Edition</t>
  </si>
  <si>
    <t>Blazer, Dan</t>
  </si>
  <si>
    <t>RC451.4.A5B56 1998</t>
  </si>
  <si>
    <t>Blocher, Donald</t>
  </si>
  <si>
    <t>BF637.C6B473 2000</t>
  </si>
  <si>
    <t>Counseling -- United States -- History. ; Psychology -- United States -- History.</t>
  </si>
  <si>
    <t>Hildegard Peplau : Psychiatric Nurse of the Century</t>
  </si>
  <si>
    <t>Callaway, Barbara J.</t>
  </si>
  <si>
    <t>RC440.P423C35 2002</t>
  </si>
  <si>
    <t>610.73/68/092 B</t>
  </si>
  <si>
    <t>Psychiatric nurses -- United States -- Biography</t>
  </si>
  <si>
    <t>Medicine; Psychology; Nursing</t>
  </si>
  <si>
    <t>Children with Complex Medical Issues in Schools : Neuropsychological Descriptions and Interventions</t>
  </si>
  <si>
    <t>Castillo, Christine L.</t>
  </si>
  <si>
    <t>RJ486.5.C47 2008</t>
  </si>
  <si>
    <t>Pediatric neuropsychology. ; Learning disabilities -- Etiology. ; Chronically ill children -- Education. ; Children with disabilities -- Education. ; School psychology.</t>
  </si>
  <si>
    <t>The Clinical Use of Hypnosis in Cognitive Behavior Therapy : A Practitioner's Casebook</t>
  </si>
  <si>
    <t>Chapman, Robin A.</t>
  </si>
  <si>
    <t>RC497.C576 2006</t>
  </si>
  <si>
    <t>616.89/162</t>
  </si>
  <si>
    <t>Cognitive therapy -- Case studies</t>
  </si>
  <si>
    <t>Cicirelli, Victor G.</t>
  </si>
  <si>
    <t>BF724.85.D43C53 2006</t>
  </si>
  <si>
    <t>Death -- Psychological aspects. ; Older people -- Psychology.</t>
  </si>
  <si>
    <t>Cipani, Ennio</t>
  </si>
  <si>
    <t>RJ506.A9T78 2008</t>
  </si>
  <si>
    <t>Pediatric neurology -- Case studies</t>
  </si>
  <si>
    <t>Holistic Assertiveness Skills for Nurses : Empower Yourself and Others</t>
  </si>
  <si>
    <t>Clark, Carolyn Chambers</t>
  </si>
  <si>
    <t>RT86.C573 2003</t>
  </si>
  <si>
    <t>610.73/01/9</t>
  </si>
  <si>
    <t>Nursing -- Psychological aspects -- Problems, exercises, etc. ; Holistic nursing -- Problems, exercises, etc. ; Assertiveness (Psychology) -- Problems, exercises, etc.</t>
  </si>
  <si>
    <t>Being and Becoming : A Field Approach to Psychology</t>
  </si>
  <si>
    <t>Combs, Arthur</t>
  </si>
  <si>
    <t>BF38 -- .C715 1999eb</t>
  </si>
  <si>
    <t>150.19/84</t>
  </si>
  <si>
    <t>Avro Arrow (Jet fighter plane) -- Juvenile fiction. ; Bullying -- Juvenile fiction. ; Mothers and sons -- Juvenile fiction.</t>
  </si>
  <si>
    <t>Working with Toxic Older Adults : A Guide to Coping with Difficult Elders</t>
  </si>
  <si>
    <t>Davenport, Gloria;Weatherspoon, Peggy</t>
  </si>
  <si>
    <t>Springer Series on Life Styles and Issues in Aging Series</t>
  </si>
  <si>
    <t>HQ1061.D32 1999</t>
  </si>
  <si>
    <t>Older people -- Family relationships -- Psychological aspects. ; Older people -- Psychology.</t>
  </si>
  <si>
    <t>Doka, Kenneth J.</t>
  </si>
  <si>
    <t>R726.8.D644 2009</t>
  </si>
  <si>
    <t>Critically ill -- Counseling of</t>
  </si>
  <si>
    <t>Empowering and Healing the Battered Woman : A Model for Assessment and Intervention</t>
  </si>
  <si>
    <t>Dutton, Mary Ann</t>
  </si>
  <si>
    <t>HV1444.D87 1992</t>
  </si>
  <si>
    <t>362.82/9286</t>
  </si>
  <si>
    <t>Abused women -- Counseling of. ; Abused women -- United States -- Psychology -- Case studies.</t>
  </si>
  <si>
    <t>Psychodrama in the 21st Century : Clinical and Educational Applications</t>
  </si>
  <si>
    <t>Gershoni, Jacob</t>
  </si>
  <si>
    <t>RC489.P7P757 2003</t>
  </si>
  <si>
    <t>Drama -- Therapeutic use</t>
  </si>
  <si>
    <t>Gilbert, Paul</t>
  </si>
  <si>
    <t>RC489.C63E96 2004</t>
  </si>
  <si>
    <t>Cognitive therapy. ; Evolution (Biology)</t>
  </si>
  <si>
    <t>Vision Loss in Older Adults : Nursing Assessment and Care Management</t>
  </si>
  <si>
    <t>Houde, Susan</t>
  </si>
  <si>
    <t>RE48.2.A5V57 2007</t>
  </si>
  <si>
    <t>Adjustment (Psychology) in old age. ; Geriatric nursing. ; Older people with visual disabilities -- Care. ; Older people with visual disabilities -- Rehabilitation.</t>
  </si>
  <si>
    <t>Experiential Treatment for PTSD : The Therapeutic Spiral Model</t>
  </si>
  <si>
    <t>Hudgins, M. Katherine</t>
  </si>
  <si>
    <t>RC489.P7H833 2002</t>
  </si>
  <si>
    <t>Drama -- Therapeutic use. ; Post-traumatic stress disorder -- Treatment.</t>
  </si>
  <si>
    <t>Nursing Student Retention : Understanding the Process and Making a Difference</t>
  </si>
  <si>
    <t>Jeffreys, Marianne R.</t>
  </si>
  <si>
    <t>RT79.J446 2004</t>
  </si>
  <si>
    <t>610.73071/173</t>
  </si>
  <si>
    <t>Nursing -- Study and teaching -- United States</t>
  </si>
  <si>
    <t>Assuring Safety in Long-term Care : Assuring Safety in Long Term Care: Ethical Imperatives, Legal Strategies, and Practical Limitations</t>
  </si>
  <si>
    <t>Kapp, Marshall</t>
  </si>
  <si>
    <t>RA644.6.A88 2003</t>
  </si>
  <si>
    <t>Long-term care of the sick -- United States -- Safety measures. ; Public health.</t>
  </si>
  <si>
    <t>Kastenbaum, Robert</t>
  </si>
  <si>
    <t>BF789.D4K372 2000</t>
  </si>
  <si>
    <t>Death -- Psychological aspects. ; Mortality.</t>
  </si>
  <si>
    <t>Psychology and the Economic Mind : Cognitive Processes and Conceptualization</t>
  </si>
  <si>
    <t>Leahy, Robert</t>
  </si>
  <si>
    <t>RC480.5.L369 2003</t>
  </si>
  <si>
    <t>658.4/03/019</t>
  </si>
  <si>
    <t>Risk-taking (Psychology) -- Economic aspects. ; Decision making. ; Cognitive therapy. ; Economics -- Psychological aspects. ; Cognition.</t>
  </si>
  <si>
    <t>Business/Management; Medicine; Psychology</t>
  </si>
  <si>
    <t>Leveton, Eva</t>
  </si>
  <si>
    <t>RC489.P7L48 2001</t>
  </si>
  <si>
    <t>New Routes to Human Services : Information and Referral</t>
  </si>
  <si>
    <t>Levinson, Risha</t>
  </si>
  <si>
    <t>Springer Series on Social Work</t>
  </si>
  <si>
    <t>HV29.82.U6L49 2002</t>
  </si>
  <si>
    <t>Human services -- United States -- Information services. ; Social service -- United States -- Information services. ; Public welfare -- United States -- Information services.</t>
  </si>
  <si>
    <t>Cognitive and Constructive Psychotherapies : Theory, Research, and Practice</t>
  </si>
  <si>
    <t>Mahoney, Michael J.;Michenbaum, Donald</t>
  </si>
  <si>
    <t>RC489.C63C6234 1995</t>
  </si>
  <si>
    <t>Cognitive therapy. ; Constructivism (Psychology) ; Personal construct therapy. ; Rational emotive behavior therapy.</t>
  </si>
  <si>
    <t>Counseling Crime Victims : Practical Strategies for Mental Health Professionals</t>
  </si>
  <si>
    <t>Miller, Laurence</t>
  </si>
  <si>
    <t>RC451.4.V53M53 2008</t>
  </si>
  <si>
    <t>Victims of crimes -- Mental health. ; Victims of crimes -- Mental health services. ; Crisis intervention (Mental health services)</t>
  </si>
  <si>
    <t>Interpersonal Relations in Nursing : A Conceptual Frame of Reference for Psychodynamic Nursing</t>
  </si>
  <si>
    <t>Peplau, Hildegard E.</t>
  </si>
  <si>
    <t>RT86.P4 1991</t>
  </si>
  <si>
    <t>Nurse and patient</t>
  </si>
  <si>
    <t>Ricker, Joseph H.</t>
  </si>
  <si>
    <t>RC386.6.N48D546 2004</t>
  </si>
  <si>
    <t>Neuropsychological tests. ; Clinical neuropsychology. ; Diagnosis, Differential. ; Nervous system -- Diseases -- Diagnosis.</t>
  </si>
  <si>
    <t>Rubin, Lawrence C.</t>
  </si>
  <si>
    <t>RJ504.P65 2008</t>
  </si>
  <si>
    <t>Child psychotherapy. ; Adolescent psychotherapy. ; Popular culture -- Therapeutic use.</t>
  </si>
  <si>
    <t>RJ505.P6U85 2007</t>
  </si>
  <si>
    <t>Sharoff, Kenneth</t>
  </si>
  <si>
    <t>RC108.S47 2004</t>
  </si>
  <si>
    <t>Chronic diseases -- Psychological aspects. ; Terminal care. ; Cognitive therapy. ; Adjustment (Psychology) ; Terminally ill -- Mental health.</t>
  </si>
  <si>
    <t>RC489.C63S533 2004</t>
  </si>
  <si>
    <t>Chronic diseases -- Psychological aspects</t>
  </si>
  <si>
    <t>Depression and Women : An Integrative Treatment Approach</t>
  </si>
  <si>
    <t>Simonds, Susan</t>
  </si>
  <si>
    <t>RC537.S545 2006</t>
  </si>
  <si>
    <t>Women -- Mental health</t>
  </si>
  <si>
    <t>Stress Management : A Comprehensive Handbook of Techniques and Strategies</t>
  </si>
  <si>
    <t>Smith, Jonathan C.</t>
  </si>
  <si>
    <t>RA785.S655 2002</t>
  </si>
  <si>
    <t>Stress management -- Handbooks, manuals, etc. ; Relaxation -- Handbooks, manuals, etc. ; Health -- Handbooks, manuals, etc.</t>
  </si>
  <si>
    <t>Psychology; Social Science; Health</t>
  </si>
  <si>
    <t>ABC Relaxation Training : A Practical Guide for Health Professionals</t>
  </si>
  <si>
    <t>BF637.R45S55 1999</t>
  </si>
  <si>
    <t>613.7/9</t>
  </si>
  <si>
    <t>Relaxation. ; Psychology.</t>
  </si>
  <si>
    <t>Psychology; Health</t>
  </si>
  <si>
    <t>ABC Relaxation Theory : An Evidence-based Approach</t>
  </si>
  <si>
    <t>BF637.R45S549 1999</t>
  </si>
  <si>
    <t>Health; Psychology</t>
  </si>
  <si>
    <t>Advances in ABC Relaxation : Applications and Inventories</t>
  </si>
  <si>
    <t>BF637.R45A38 2001</t>
  </si>
  <si>
    <t>Karen Horney and Character Disorder : A Guide for the Modern Practitioner</t>
  </si>
  <si>
    <t>Solomon, Irving</t>
  </si>
  <si>
    <t>RC506.S62 2006</t>
  </si>
  <si>
    <t>Horney, Karen, -- 1885-1952. ; Psychology, Pathological. ; Psychoanalysis.</t>
  </si>
  <si>
    <t>Behavior and Personality : Psychological Behaviorism</t>
  </si>
  <si>
    <t>Staats, Walter W.</t>
  </si>
  <si>
    <t>Springer Series on Behavior Therapy and Behavioral Medicine Series</t>
  </si>
  <si>
    <t>BF199.S74 1996</t>
  </si>
  <si>
    <t>150.19/43;155.2</t>
  </si>
  <si>
    <t>Behaviorism (Psychology) ; Personality.</t>
  </si>
  <si>
    <t>Empathy Fatigue : Healing the Mind, Body, and Spirit of Professional Counselors</t>
  </si>
  <si>
    <t>Stebnicki, Mark A.</t>
  </si>
  <si>
    <t>BF636.64.S74 2008</t>
  </si>
  <si>
    <t>Creativity from Constraints : The Psychology of Breakthrough</t>
  </si>
  <si>
    <t>Stokes, Patricia D.</t>
  </si>
  <si>
    <t>BF408.S78 2006</t>
  </si>
  <si>
    <t>Treating Attachment Abuse : A Compassionate Approach</t>
  </si>
  <si>
    <t>Stosny, Steven</t>
  </si>
  <si>
    <t>RC569.5.P75S76 1995</t>
  </si>
  <si>
    <t>Advances in the Treatment of Posttraumatic Stress Disorder : Cognitive-Behavioral Perspectives</t>
  </si>
  <si>
    <t>Taylor, Steven</t>
  </si>
  <si>
    <t>RC552.P67A28 2004</t>
  </si>
  <si>
    <t>Transforming Nurses' Stress and Anger : Steps Toward Healing</t>
  </si>
  <si>
    <t>Thomas, Sandra P.</t>
  </si>
  <si>
    <t>RT86.73.T48 2009</t>
  </si>
  <si>
    <t>610.7306/99</t>
  </si>
  <si>
    <t>Nursing--United States--Psychological aspects. ; Nurses--Job stress--United States. ; Nurses--Mental health--United States. ; Anger in the workplace. ; Nurses--psychology. ; Adaptation, Psychological. ; Anger. ; Interpersonal Relations. ; Stress, Psychological--prevention &amp; control.</t>
  </si>
  <si>
    <t>RT86.73 -- .T48 2004eb</t>
  </si>
  <si>
    <t>610.73/06/99</t>
  </si>
  <si>
    <t>Nursing -- United States -- Psychological aspects. ; Nurses -- Job stress -- United States. ; Nurses -- Mental health -- United States. ; Anger in the workplace.</t>
  </si>
  <si>
    <t>Family Constellation : Its Effects on Personality and Social Behavior</t>
  </si>
  <si>
    <t>Toman, Walter</t>
  </si>
  <si>
    <t>BF723.B5T6 1993</t>
  </si>
  <si>
    <t>Affect Imagery Consciousness : The Complete Edition</t>
  </si>
  <si>
    <t>Tomkins, Silvan S.</t>
  </si>
  <si>
    <t>BF531.T58 2008</t>
  </si>
  <si>
    <t>Affect (Psychology) ; Consciousness.</t>
  </si>
  <si>
    <t>Walker, Lenore E. A.</t>
  </si>
  <si>
    <t>HV6626.2.W33 2009</t>
  </si>
  <si>
    <t>Wife abuse -- United States</t>
  </si>
  <si>
    <t>Coaching Standardized Patients : For Use in the Assessment of Clinical Competence</t>
  </si>
  <si>
    <t>Wallace, Peggy</t>
  </si>
  <si>
    <t>RT71.W35 2007</t>
  </si>
  <si>
    <t>Clinical competence -- Evaluation. ; Nursing -- Study and teaching.</t>
  </si>
  <si>
    <t>The Aging Individual : Physical and Psychological Perspectives, 2nd Edition</t>
  </si>
  <si>
    <t>Whitbourne, Susan Krauss</t>
  </si>
  <si>
    <t>BF724.55.A35W55 2002</t>
  </si>
  <si>
    <t>Olson, Sheryl L.;Sameroff, Arnold J.</t>
  </si>
  <si>
    <t>RJ506.B44 -- B56 2009eb</t>
  </si>
  <si>
    <t>Studying Individual Development in an Interindividual Context : A Person-Oriented Approach</t>
  </si>
  <si>
    <t>Bergman, Lars R.;Magnusson, David;El Khouri, Bassam M.</t>
  </si>
  <si>
    <t>Paths Through Life Series</t>
  </si>
  <si>
    <t>BF713.B464 2002</t>
  </si>
  <si>
    <t>Developmental psychology - Social aspects ; Developmental psychology.</t>
  </si>
  <si>
    <t>Brown, Terrance;Smith, Leslie</t>
  </si>
  <si>
    <t>Cognition -- Congresses. ; Knowledge, Theory of -- Congresses. ; Reductionism -- Congresses.</t>
  </si>
  <si>
    <t>Tyler, Christopher W.</t>
  </si>
  <si>
    <t>BF241 -- .H87 2002eb</t>
  </si>
  <si>
    <t>Symmetry</t>
  </si>
  <si>
    <t>Sternberg, Robert J.;Zhang, Li-fang</t>
  </si>
  <si>
    <t>BF311$b.P375 2001</t>
  </si>
  <si>
    <t>Heimann, Mikael;Plooij, Frans X.</t>
  </si>
  <si>
    <t>BF720.R43 -- R44 2003eb</t>
  </si>
  <si>
    <t>155.42/28</t>
  </si>
  <si>
    <t>Regression (Psychology) in infants -- Cross-cultural studies. ; Mother and infant -- Cross-cultural studies. ; Attachment behavior in infants -- Cross-cultural studies.</t>
  </si>
  <si>
    <t>Stochastic Musings : Perspectives from the Pioneers of the Late 20th Century</t>
  </si>
  <si>
    <t>Panaretos, John</t>
  </si>
  <si>
    <t>QA276.16 -- .S849 2003eb</t>
  </si>
  <si>
    <t>Social Science; Mathematics</t>
  </si>
  <si>
    <t>Whalen, Paul J.;Phelps, Elizabeth A.</t>
  </si>
  <si>
    <t>QP376.H86</t>
  </si>
  <si>
    <t>Amygdaloid body. ; Neuropsychology.</t>
  </si>
  <si>
    <t>Slippery Characters : Ethnic Impersonators and American Identities</t>
  </si>
  <si>
    <t>Browder, Laura</t>
  </si>
  <si>
    <t>PS366.A88 -- B76 2000eb</t>
  </si>
  <si>
    <t>810.9/492</t>
  </si>
  <si>
    <t>American prose literature -- History and criticism. ; Autobiography. ; Literary forgeries and mystifications -- History. ; Impostors and imposture in literature. ; Difference (Psychology) in literature. ; Identity (Psychology) in literature. ; Passing (Identity) in literature.</t>
  </si>
  <si>
    <t>Origins of the Social Mind : Evolutionary and Developmental Views</t>
  </si>
  <si>
    <t>JAPAN</t>
  </si>
  <si>
    <t>Itakura, Shoji;Fujita, Kazuo</t>
  </si>
  <si>
    <t>Cognition in animals. ; Cognition in children. ; Cognition.</t>
  </si>
  <si>
    <t>Coming into the World : A Dialogue Between Medical and Human Sciences. International Congress the 'normal' Complexities of Coming into the World , Modena Italy 28-30 September 2006</t>
  </si>
  <si>
    <t>La Sala, Giovanni Battista;Fagandini, Piergiuseppina;Iori, Vanna;Monti, Fiorella;Blickstein, Isaac</t>
  </si>
  <si>
    <t>RG658.I58 2006</t>
  </si>
  <si>
    <t>Bondi, Liz;Davidson, Joyce;Bondi, Professor Liz</t>
  </si>
  <si>
    <t>BF353 -- .E43 2005eb</t>
  </si>
  <si>
    <t>Spatial behavior. ; Emotional conditioning. ; Emotions. ; Human geography.</t>
  </si>
  <si>
    <t>Geographies of Sexualities : Theory, Practices and Politics</t>
  </si>
  <si>
    <t>Brookfield</t>
  </si>
  <si>
    <t>Lim, Jason;Browne, Kath;Browne, Professor Kath</t>
  </si>
  <si>
    <t>HQ76.25 -- .G458 2007eb</t>
  </si>
  <si>
    <t>Homosexuality -- Philosophy. ; Homosexuality -- Cross-cultural studies. ; Homosexuality -- Social aspects.</t>
  </si>
  <si>
    <t>Canter, David;Alison, Laurence;Canter, Professor David</t>
  </si>
  <si>
    <t>Offender Profiling Series</t>
  </si>
  <si>
    <t>HV8073.5 -- .P76 1999eb</t>
  </si>
  <si>
    <t>Criminal behavior, Prediction of. ; Criminal investigation -- Psychological aspects. ; Criminal psychology.</t>
  </si>
  <si>
    <t>Crossing the Psycho-Social Divide : Freud, Weber, Adorno and Elias</t>
  </si>
  <si>
    <t>Cavalletto, George;Chalcraft, Professor David</t>
  </si>
  <si>
    <t>Rethinking Classical Sociology</t>
  </si>
  <si>
    <t>H62 -- .C3447 2007eb</t>
  </si>
  <si>
    <t>Social sciences -- Research. ; Psychology -- Research.</t>
  </si>
  <si>
    <t>Doing Things with Things : The Design and Use of Everyday Objects</t>
  </si>
  <si>
    <t>Dreier, Ole;Costall, Alan;Canter, Professor David;Stea, Dr David</t>
  </si>
  <si>
    <t>Ethnoscapes Series</t>
  </si>
  <si>
    <t>GN406 -- .D65 2006eb</t>
  </si>
  <si>
    <t>Material culture -- Philosophy. ; Technology -- Social aspects. ; Knowledge, Theory of. ; Knowledge, Theory of, in children.</t>
  </si>
  <si>
    <t>Contemporary Motherhood : The Impact of Children on Adult Time</t>
  </si>
  <si>
    <t>Craig, Lyn</t>
  </si>
  <si>
    <t>HQ755.7 -- .C73 2007eb</t>
  </si>
  <si>
    <t>Child rearing -- Study and teaching. ; Parenting -- Economic aspects. ; Time measurements. ; Families -- Research.</t>
  </si>
  <si>
    <t>Mass Panic and Social Attachment : The Dynamics of Human Behavior</t>
  </si>
  <si>
    <t>Mawson, Anthony R.</t>
  </si>
  <si>
    <t>Drugs, Clubs and Young People : Sociological and Public Health Perspectives</t>
  </si>
  <si>
    <t>Sanders, Bill</t>
  </si>
  <si>
    <t>HV5824.Y68 -- D773 2006eb</t>
  </si>
  <si>
    <t>Youth -- Drug use. ; Young adults -- Drug use. ; Youth -- Social life and customs. ; Young adults -- Social life and customs. ; Nightclubs. ; Raves (Parties) ; Drug abuse.</t>
  </si>
  <si>
    <t>Grounding Security : Family, Insurance and the State</t>
  </si>
  <si>
    <t>Ashgate</t>
  </si>
  <si>
    <t>Weisbrod, Carol, Professor;Sarat, Professor Austin D.</t>
  </si>
  <si>
    <t>Law, Justice and Power</t>
  </si>
  <si>
    <t>HD7091 -- .W357 2006eb</t>
  </si>
  <si>
    <t>Social security -- Economic aspects. ; Social security -- Psychological aspects. ; Social security -- Political aspects. ; Families. ; Insurance. ; State, The. ; Social security -- United States.</t>
  </si>
  <si>
    <t>Social Science; Business/Management; Health</t>
  </si>
  <si>
    <t>Mastering Your Fears and Phobias : Therapist Guide</t>
  </si>
  <si>
    <t>Craske, Michelle G.;Antony, Martin M.;Barlow, David H.</t>
  </si>
  <si>
    <t>RC535.C74 2006</t>
  </si>
  <si>
    <t>Phobias -- Treatment. ; Fear.</t>
  </si>
  <si>
    <t>Mastering Your Fears and Phobias : Workbook</t>
  </si>
  <si>
    <t>Antony, Martin M.;Craske, Michelle G.;Barlow, David H.;Craske, Michelle G.</t>
  </si>
  <si>
    <t>No. 240</t>
  </si>
  <si>
    <t>Social Support Measurement and Intervention : A Guide for Health and Social Scientists</t>
  </si>
  <si>
    <t>Cohen, Sheldon;Underwood, Lynn G.;Gottlieb, Benjamin H.</t>
  </si>
  <si>
    <t>R726.5.S623 2000</t>
  </si>
  <si>
    <t>362.1/042</t>
  </si>
  <si>
    <t>Social networks -- Therapeutic use -- Research. ; Health -- Social aspects. ; Mental health -- Social aspects. ; Social networks -- Health aspects.</t>
  </si>
  <si>
    <t>Appraisal Processes in Emotion : Theory, Methods, Research</t>
  </si>
  <si>
    <t>Scherer, Klaus R.;Schorr, Angela;Johnstone, Tom</t>
  </si>
  <si>
    <t>BF531.A65 2001</t>
  </si>
  <si>
    <t>Emotions and cognition. ; Emotions.</t>
  </si>
  <si>
    <t>Weissman, Myrna;Markowitz, John;Klerman, Gerald L.;Klerman, Gerald L.</t>
  </si>
  <si>
    <t>RC489.I55.W457 2007</t>
  </si>
  <si>
    <t>Measuring the Mind : Speed, Control, and Age</t>
  </si>
  <si>
    <t>Duncan, John;Phillips, Louise;McLeod, Peter</t>
  </si>
  <si>
    <t>BF444.M43 2005</t>
  </si>
  <si>
    <t>Human information processing. ; Cognition. ; Brain.</t>
  </si>
  <si>
    <t>Mastering Your Adult ADHD, Client Workbook : A Cognitive-Behavioral Treatment Program</t>
  </si>
  <si>
    <t xml:space="preserve">Safren, Steven;Sprich, Susan;Otto, Michael W.;Otto, Michael W. </t>
  </si>
  <si>
    <t>RC394.A85.M355 2005</t>
  </si>
  <si>
    <t>Apple, Robin F.;Lock, James;Peebles, Rebecka;Lock, James;Peebles, Rebecka</t>
  </si>
  <si>
    <t>RD540.A67 2006</t>
  </si>
  <si>
    <t>Obesity -- Surgery.;Weight loss.; ; ; ; ; ;</t>
  </si>
  <si>
    <t>Managing Bipolar Disorder : A Cognitive Behavior Treatment Program</t>
  </si>
  <si>
    <t>Otto, Michael;Reilly-Harrington, Noreen;Kogan, Jane N.;Henin, Aude;Knauz, Robert O.;Sachs, Gary S.</t>
  </si>
  <si>
    <t>RC516.M314 2009</t>
  </si>
  <si>
    <t>Manic-depressive illness -- Treatment. ; Cognitive therapy.</t>
  </si>
  <si>
    <t>CBT for Depression and Adherence in Individuals with Chronic Illness</t>
  </si>
  <si>
    <t>Safren, Steven;Gonzalez, Jeffrey;Soroudi, Nafisseh</t>
  </si>
  <si>
    <t>RC108.S24 2008</t>
  </si>
  <si>
    <t>Chronically ill -- Mental health. ; Chronic diseases -- Psychological aspects. ; People with disabilities -- Psychology. ; Chronically ill -- Rehabilitation.</t>
  </si>
  <si>
    <t>Buried in Treasures : Help for Compulsive Acquiring, Saving, and Hoarding</t>
  </si>
  <si>
    <t>Tolin, David F.;Frost, Randy O.;Steketee, Gail</t>
  </si>
  <si>
    <t>RC533.T65 2007</t>
  </si>
  <si>
    <t>Self, Social Identity, and Physical Health : Interdisciplinary Explorations</t>
  </si>
  <si>
    <t>Contrada, Richard J.;Ashmore, Richard D.</t>
  </si>
  <si>
    <t>R726.5.S46 1999</t>
  </si>
  <si>
    <t>610/.1/9</t>
  </si>
  <si>
    <t>Medicine and psychology -- Congresses. ; Health behavior -- Congresses. ; Self -- Congresses. ; Identity (Psychology) -- Congresses.</t>
  </si>
  <si>
    <t>The First Episode of Psychosis : A Guide for Patients and Their Families</t>
  </si>
  <si>
    <t>Compton, Michael T.;Broussard, Beth</t>
  </si>
  <si>
    <t>RC512.C58 2009</t>
  </si>
  <si>
    <t>Psychoses -- Popular works. ; Psychology, Pathological.</t>
  </si>
  <si>
    <t>Measures for Clinical Practice and Research, 1 : A Sourcebook - Couples, Families, and Children</t>
  </si>
  <si>
    <t>Fischer, Joel;Corcoran, Kevin</t>
  </si>
  <si>
    <t>BF176.F573 2007</t>
  </si>
  <si>
    <t>Measures for Clinical Practice and Research, 2 : A Sourcebook - Adults</t>
  </si>
  <si>
    <t>Addictions : A Comprehensive Guidebook</t>
  </si>
  <si>
    <t>RC564 -- .M327 1999eb</t>
  </si>
  <si>
    <t>Substance abuse. ; Alcoholism. ; Drug abuse.</t>
  </si>
  <si>
    <t>Emotion in Memory and Development : Biological, Cognitive, and Social Considerations</t>
  </si>
  <si>
    <t>Quas, Jodi;Fivush, Robyn</t>
  </si>
  <si>
    <t>BF723.M4E46 2009</t>
  </si>
  <si>
    <t>155.4/1312</t>
  </si>
  <si>
    <t>Memory in children. ; Emotions in children. ; Child psychology.</t>
  </si>
  <si>
    <t>The Changing Nervous System : Neurobehavioral Consequences of Early Brain Disorders</t>
  </si>
  <si>
    <t>Broman, Sarah H.;Fletcher, Jack M.</t>
  </si>
  <si>
    <t>RJ486.C43 1999</t>
  </si>
  <si>
    <t>Pediatric neurology. ; Developmental neurobiology. ; Developmental disabilities. ; Neuroplasticity. ; Nervous system -- Growth.</t>
  </si>
  <si>
    <t>Overcoming Depression : A Cognitive Therapy Approach</t>
  </si>
  <si>
    <t xml:space="preserve">Gilson, Mark;Freeman, Arthur;Yates, M. Jane ;Freeman, Sharon Morgillo </t>
  </si>
  <si>
    <t>RC537.G537 2009</t>
  </si>
  <si>
    <t>Depression, Mental -- Treatment. ; Cognitive therapy.</t>
  </si>
  <si>
    <t>Thornhill, Randy;Gangestad, Steven W.</t>
  </si>
  <si>
    <t>HQ29.T46 2008</t>
  </si>
  <si>
    <t>Women -- Sexual behavior. ; Evolution (Biology) ; Sex (Biology)</t>
  </si>
  <si>
    <t>Family Based Treatment for Young Children with OCD : Therapist Guide</t>
  </si>
  <si>
    <t>Freeman, Jennifer B.;Garcia, Abbe Marrs;Freeman, Jennifer Beth</t>
  </si>
  <si>
    <t>RJ506.O25F74 2009</t>
  </si>
  <si>
    <t>618.92/891425</t>
  </si>
  <si>
    <t>Obsessive-compulsive disorder in children -- Treatment. ; Cognitive therapy for children. ; Parent and child. ; Family psychotherapy.</t>
  </si>
  <si>
    <t>Freeman, Jennifer B.;Garcia, Abbe Marrs</t>
  </si>
  <si>
    <t>RJ506.O25.F74 2009</t>
  </si>
  <si>
    <t>Creative People at Work : Twelve Cognitive Case Studies</t>
  </si>
  <si>
    <t>Wallace, Doris B.;Gruber, Howard E.</t>
  </si>
  <si>
    <t>BF408.C747 1989</t>
  </si>
  <si>
    <t>Creative ability. ; Creative ability -- Case studies.</t>
  </si>
  <si>
    <t>Drinking, Conduct Disorder, and Social Change : Navajo Experiences</t>
  </si>
  <si>
    <t>Kunitz, Stephen J.;Levy, Jerrold E.</t>
  </si>
  <si>
    <t>E99.N3K88 2000</t>
  </si>
  <si>
    <t>362.292/089/972</t>
  </si>
  <si>
    <t>Navajo Indians -- Alcohol use. ; Navajo Indians -- Social conditions. ; Alcoholism -- Psychological aspects. ; Antisocial personality disorders.</t>
  </si>
  <si>
    <t>Health; History; Social Science</t>
  </si>
  <si>
    <t>Sex, Power, Conflict : Evolutionary and Feminist Perspectives</t>
  </si>
  <si>
    <t>Buss, David M.;Malamuth, Neil</t>
  </si>
  <si>
    <t>HQ801.83 -- .S49 1996eb</t>
  </si>
  <si>
    <t>305.4;306.7;306.7$220</t>
  </si>
  <si>
    <t>Man-woman relationships. ; Acquaintance rape. ; Dating violence. ; Family violence. ; Sexual harassment. ; Sex (Psychology) ; Genetic psychology.</t>
  </si>
  <si>
    <t>Immigrant Stories : Ethnicity and Academics in Middle Childhood</t>
  </si>
  <si>
    <t>Coll, Cynthia Garcia;Marks, Amy Kerivan</t>
  </si>
  <si>
    <t>Child Development in Cultural Context Series</t>
  </si>
  <si>
    <t>HQ792.U5G37 2009</t>
  </si>
  <si>
    <t>305.23086/9120973</t>
  </si>
  <si>
    <t>Children of immigrants -- United States. ; Children of immigrants -- Education -- United States. ; Child development -- Cross-cultural studies.</t>
  </si>
  <si>
    <t>A Cognitive-Behavioral Treatment Program for Overcoming Alcohol Problems : Therapist Guide</t>
  </si>
  <si>
    <t>Epstein, Elizabeth E.;McCrady, Barbara S.</t>
  </si>
  <si>
    <t>RC565 -- .E67 2009eb</t>
  </si>
  <si>
    <t>Religion; Psychology; Medicine</t>
  </si>
  <si>
    <t>Overcoming Alcohol Use Problems : A Cognitive-Behavioral Treatment Program</t>
  </si>
  <si>
    <t>RC565.E67 2009</t>
  </si>
  <si>
    <t>Body Project : Promoting Body Acceptance and Preventing Eating Disorders - Facilitator Guide</t>
  </si>
  <si>
    <t>Stice, Eric;Presnell, Katherine</t>
  </si>
  <si>
    <t>RC569.5.B65.S75 2007</t>
  </si>
  <si>
    <t>Zapf, Patricia;Roesch, Ronald;Zapf, Patricia</t>
  </si>
  <si>
    <t>Best Practices in Forensic Mental Health Assessments Series</t>
  </si>
  <si>
    <t>RA1151.Z37 2009</t>
  </si>
  <si>
    <t>Forensic psychiatry. ; Competency to stand trial.</t>
  </si>
  <si>
    <t>Attention in Early Development : Themes and Variations</t>
  </si>
  <si>
    <t>Ruff, Holly Alliger;Rothbart, Mary Klevjord</t>
  </si>
  <si>
    <t>BF723.A755R84 2001</t>
  </si>
  <si>
    <t>Attention. ; Visual perception in children.</t>
  </si>
  <si>
    <t>Mind Race : A Firsthand Account of One Teenager's Experience with Bipolar Disorder</t>
  </si>
  <si>
    <t>Jamieson, Patrick E.;Rynn, Moira A.</t>
  </si>
  <si>
    <t>RC516.J35 2006</t>
  </si>
  <si>
    <t>Extreme Fear, Shyness, and Social Phobia : Origins, Biological Mechanisms, and Clinical Outcomes</t>
  </si>
  <si>
    <t>Schmidt, Louis A.;Schulkin, Jay</t>
  </si>
  <si>
    <t>RC552.S62E95 1999</t>
  </si>
  <si>
    <t>Social phobia -- Etiology. ; Social phobia -- Physiological aspects. ; Social phobia -- Animal models. ; Bashfulness.</t>
  </si>
  <si>
    <t>Akins, Kathleen</t>
  </si>
  <si>
    <t>Vol. 5</t>
  </si>
  <si>
    <t>BF241.P397 1996</t>
  </si>
  <si>
    <t>Visual perception -- Congresses. ; Perception -- Congresses.</t>
  </si>
  <si>
    <t>Adolescents and War : How Youth Deal with Political Violence</t>
  </si>
  <si>
    <t>Barber, Brian K.</t>
  </si>
  <si>
    <t>HQ799.2.W37A36 2009</t>
  </si>
  <si>
    <t>Youth and war -- Psychological aspects. ; Youth and violence -- Psychological aspects. ; Political violence -- Psychological aspects. ; Violence -- Psychological aspects. ; War -- Psychological aspects.</t>
  </si>
  <si>
    <t>Emotions in Child Psychotherapy : An Integrative Framework</t>
  </si>
  <si>
    <t>Barish, Kenneth</t>
  </si>
  <si>
    <t>RJ504.B33 2009</t>
  </si>
  <si>
    <t>Child psychotherapy. ; Emotions.</t>
  </si>
  <si>
    <t>A Mind Apart : Poems of Melancholy, Madness, and Addiction</t>
  </si>
  <si>
    <t>Bauer, Mark S.</t>
  </si>
  <si>
    <t>PR1195.M36.M56 2009</t>
  </si>
  <si>
    <t>Children and Pollution : Children, Pollution, and Why Scientists Disagree</t>
  </si>
  <si>
    <t>Moore, Colleen F.</t>
  </si>
  <si>
    <t>RA1225.M667 2009</t>
  </si>
  <si>
    <t>615.9/0083</t>
  </si>
  <si>
    <t>Pediatric toxicology. ; Environmental toxicology. ; Pollution -- Psychological aspects.</t>
  </si>
  <si>
    <t>The LIFE Program for MS : Lifestyle, Independence, Fitness and Energy</t>
  </si>
  <si>
    <t>Epstein, Susan J.</t>
  </si>
  <si>
    <t>RC377.E67 2009</t>
  </si>
  <si>
    <t>616.8/34</t>
  </si>
  <si>
    <t>Multiple sclerosis -- Patients -- Rehabilitation. ; Multiple sclerosis -- Exercise therapy. ; Multiple sclerosis -- Diet therapy.</t>
  </si>
  <si>
    <t>Fernald, Theodore B.</t>
  </si>
  <si>
    <t>P281.F47 2000</t>
  </si>
  <si>
    <t>Grammar, Comparative and general -- Syntax. ; Grammar, Comparative and general -- Temporal constructions. ; Grammar, Comparative and general -- Verb phrase. ; Semantics.</t>
  </si>
  <si>
    <t>Adaptive Thinking : Rationality in the Real World</t>
  </si>
  <si>
    <t>BC177.G53 2000</t>
  </si>
  <si>
    <t>Logic. ; Reasoning. ; Thought and thinking.</t>
  </si>
  <si>
    <t>Sacred Pain : Hurting the Body for the Sake of the Soul</t>
  </si>
  <si>
    <t>Glucklich, Ariel</t>
  </si>
  <si>
    <t>BL627.5 -- .G58 2001eb</t>
  </si>
  <si>
    <t>Pain -- Religious aspects. ; Ritual -- Psychology.</t>
  </si>
  <si>
    <t>Emergent Forms : Origins and Early Development of Human Action and Perception</t>
  </si>
  <si>
    <t>Goldfield, Eugene C.</t>
  </si>
  <si>
    <t>BF720.M69G65 1995</t>
  </si>
  <si>
    <t>155.42/223</t>
  </si>
  <si>
    <t>Motor ability in infants. ; Intentionalism.</t>
  </si>
  <si>
    <t>Addiction : From Biology to Drug Policy</t>
  </si>
  <si>
    <t>Goldstein, Avram</t>
  </si>
  <si>
    <t>RC564.G66 2001</t>
  </si>
  <si>
    <t>Drug addiction. ; Drug abuse -- Social aspects.</t>
  </si>
  <si>
    <t>BF408.J48 2000</t>
  </si>
  <si>
    <t>Artistic collaboration. ; Authorship -- Collaboration. ; Creation (Literary, artistic, etc.) ; Creative thinking.</t>
  </si>
  <si>
    <t>The Burden of Sympathy : How Families Cope with Mental Illness</t>
  </si>
  <si>
    <t>Karp, David A.</t>
  </si>
  <si>
    <t>RC439.5.K37 2002</t>
  </si>
  <si>
    <t>362.2/0422</t>
  </si>
  <si>
    <t>Caregivers. ; Mentally ill -- Family relationships. ; Mentally ill -- Home care.</t>
  </si>
  <si>
    <t>Helping School Refusing Children and Their Parents : A Guide for School-Based Professionals</t>
  </si>
  <si>
    <t>LB1091.K437 2008</t>
  </si>
  <si>
    <t>Education; Medicine</t>
  </si>
  <si>
    <t>Effective Intentions : The Power of Conscious Will</t>
  </si>
  <si>
    <t>Mele, Alfred R.</t>
  </si>
  <si>
    <t>BF611.M46 2009</t>
  </si>
  <si>
    <t>Will. ; Consciousness. ; Intentionalism.</t>
  </si>
  <si>
    <t>Packer, Ira K.</t>
  </si>
  <si>
    <t>RA1151.P33 2009</t>
  </si>
  <si>
    <t>Insanity (Law) ; Criminal liability.</t>
  </si>
  <si>
    <t>Affective Neuroscience : The Foundations of Human and Animal Emotions</t>
  </si>
  <si>
    <t>Panksepp, Jaak</t>
  </si>
  <si>
    <t>BF531 -- .P35 1998eb</t>
  </si>
  <si>
    <t>156/.24</t>
  </si>
  <si>
    <t>The Enigma of the Oceanic Feeling : Revisioning the Psychoanalytic Theory of Mysticism</t>
  </si>
  <si>
    <t>Parsons, William B.</t>
  </si>
  <si>
    <t>BF175.4.R44P37 1999</t>
  </si>
  <si>
    <t>291.4/22/019</t>
  </si>
  <si>
    <t>Freud, Sigmund, -- 1856-1939. ; Psychoanalysis and religion.</t>
  </si>
  <si>
    <t>Psychology; Religion</t>
  </si>
  <si>
    <t>The Nature of Melancholy : From Aristotle to Kristeva</t>
  </si>
  <si>
    <t>BF575.M44N38 2000</t>
  </si>
  <si>
    <t>Shrinking History : On Freud and the Failure of Psychohistory</t>
  </si>
  <si>
    <t>Stannard, David E.</t>
  </si>
  <si>
    <t>D16.16.S7 1980</t>
  </si>
  <si>
    <t>907/.2</t>
  </si>
  <si>
    <t>Psychohistory. ; History -- Methodology.</t>
  </si>
  <si>
    <t>History; Geography/Travel</t>
  </si>
  <si>
    <t>Love Is a Story : A New Theory of Relationships</t>
  </si>
  <si>
    <t>BF575.L8S7756 1999</t>
  </si>
  <si>
    <t>Love. ; Love -- Case studies. ; Interpersonal relations. ; Man-woman relationships. ; Love -- Psychological aspects.</t>
  </si>
  <si>
    <t>Human Behavior and the Social Environment : Micro Level - Individuals and Families</t>
  </si>
  <si>
    <t>van Wormer, Katherine</t>
  </si>
  <si>
    <t>HM1033.V36 2007</t>
  </si>
  <si>
    <t>ADHD : Attention-Deficit Hyperactivity Disorder in Children, Adolescents, and Adults</t>
  </si>
  <si>
    <t>Wender, Paul H.</t>
  </si>
  <si>
    <t>RJ506.H9 -- W448 2000eb</t>
  </si>
  <si>
    <t>Attention-deficit hyperactivity disorder. ; Attention-deficit-disordered adults. ; Attention-deficit-disordered children.</t>
  </si>
  <si>
    <t>Theater of Disorder : Patients, Doctors, and the Construction of Illness</t>
  </si>
  <si>
    <t>Wenegrat, Brant</t>
  </si>
  <si>
    <t>R726.5.W46 2001</t>
  </si>
  <si>
    <t>Sick -- Psychology. ; Social influence. ; Physician and patient. ; Psychotherapist and patient. ; Social psychiatry.</t>
  </si>
  <si>
    <t>Enhancing Sexuality : A Problem-Solving Approach to Treating Dysfunction Therapist Guide</t>
  </si>
  <si>
    <t>Wincze, John</t>
  </si>
  <si>
    <t>RC557.W555 2009</t>
  </si>
  <si>
    <t>Sex therapy. ; Psychotherapy.</t>
  </si>
  <si>
    <t>Enhancing Sexuality : A Problem-Solving Approach to Treating Dysfunction, Workbook</t>
  </si>
  <si>
    <t>Others in Mind : Social Origins of Self-Consciousness</t>
  </si>
  <si>
    <t>Rochat, Philippe</t>
  </si>
  <si>
    <t>BF575.S4 -- R63 2009eb</t>
  </si>
  <si>
    <t>Braude, Stephen E.</t>
  </si>
  <si>
    <t>BF1031</t>
  </si>
  <si>
    <t>Braude, Stephen E., -- 1945- ; Parapsychology -- Case studies. ; Parapsychology.</t>
  </si>
  <si>
    <t>The Secret History of Emotion : From Aristotle's Rhetoric to Modern Brain Science</t>
  </si>
  <si>
    <t>Gross, Daniel M.</t>
  </si>
  <si>
    <t>BF531</t>
  </si>
  <si>
    <t>Emotions (Philosophy)</t>
  </si>
  <si>
    <t>Risky Behavior among Youths : An Economic Analysis</t>
  </si>
  <si>
    <t>Gruber, Jonathan</t>
  </si>
  <si>
    <t>National Bureau of Economic Research Conference Report</t>
  </si>
  <si>
    <t>HQ796</t>
  </si>
  <si>
    <t>Risk-taking (Psychology) in adolescence -- Economic aspects -- Congresses</t>
  </si>
  <si>
    <t>Faeries, Bears, and Leathermen : Men in Community Queering the Masculine</t>
  </si>
  <si>
    <t>Hennen, Peter</t>
  </si>
  <si>
    <t>HQ76</t>
  </si>
  <si>
    <t>306.76/62</t>
  </si>
  <si>
    <t>Gay men -- Psychology</t>
  </si>
  <si>
    <t>Getting Your Way : Strategic Dilemmas in the Real World</t>
  </si>
  <si>
    <t>Jasper, James M.</t>
  </si>
  <si>
    <t>HM1111</t>
  </si>
  <si>
    <t>The Floating Press</t>
  </si>
  <si>
    <t>Floating Press, The</t>
  </si>
  <si>
    <t>NEW ZEALAND</t>
  </si>
  <si>
    <t>Russell, Bertrand</t>
  </si>
  <si>
    <t>BF121 .R877 1921</t>
  </si>
  <si>
    <t>AE,AF,AG,AI,AM,AN,AO,AQ,AS,AW,AX,AZ,BB,BD,BH,BI,BJ,BL,BM,BN,BO,BQ,BS,BT,BV,BW,BY,BZ,CA,CC,CD,CF,CG,CK,CM,CN,CU,CV,CW,CX,CY,DJ,DO,DZ,EG,EH,ER,ET,FJ,FK,FM,FO,GA,GD,GF,GG,GI,GL,GM,GN,GP,GQ,GS,GU,GW,GY,HK,HM,HT,ID,IM,IO,IQ,IR,JE,JM,JO,JP,KE,KG,KH,KI,KM,KN,KP,KR,KW,KY,KZ,LA,LB,LC,LK,LR,LS,LY,MA,MC,MD,MF,MH,ML,MM,MN,MO,MP,MQ,MR,MS,MU,MV,MW,MY,NA,NC,NE,NF,NP,NR,NU,NZ,OM,PA,PF,PG,PH,PK,PM,PN,PR,PS,PW,QA,RE,RW,SA,SB,SC,SD,SH,SJ,SL,SM,SN,SO,SR,SS,ST,SV,SX,SY,SZ,TC,TD,TF,TG,TH,TJ,TK,TL,TM,TN,TO,TT,TV,TW,TZ,UG,UM,US,UY,UZ,VG,VI,VN,VU,WF,YE,YT,YU,ZA,ZM,ZW</t>
  </si>
  <si>
    <t>Huguelet, Philippe;Koenig, Harold G.</t>
  </si>
  <si>
    <t>RC455.4.R4 -- R453 2009eb</t>
  </si>
  <si>
    <t>The Common Pot : The Recovery of Native Space in the Northeast</t>
  </si>
  <si>
    <t>Brooks, Lisa</t>
  </si>
  <si>
    <t>Indigenous Americas</t>
  </si>
  <si>
    <t>E98.P95B66 2008</t>
  </si>
  <si>
    <t>970.004/97</t>
  </si>
  <si>
    <t>Geographical perception -- North America. ; Indian philosophy. ; Indians of North America -- Psychology. ; Sacred space -- North America.</t>
  </si>
  <si>
    <t>Haunting the Korean Diaspora : Shame, Secrecy, and the Forgotten War</t>
  </si>
  <si>
    <t>Cho, Grace M.</t>
  </si>
  <si>
    <t>E184.K6C473 2008</t>
  </si>
  <si>
    <t>951.904/2082</t>
  </si>
  <si>
    <t>Korean Americans -- Psychology. ; Korean American women -- Psychology. ; Immigrants -- United States -- Psychology. ; Prostitutes -- Korea (South) -- History -- 20th century. ; War brides -- United States -- History -- 20th century. ; Psychic trauma -- Korea (South) ; Shame -- United States.</t>
  </si>
  <si>
    <t>Rickels, Laurence A.</t>
  </si>
  <si>
    <t>BF1548 -- .R53 2008eb</t>
  </si>
  <si>
    <t>133.422;150.1952</t>
  </si>
  <si>
    <t>Devil -- Psychology. ; Devil. ; Psychoanalysis.</t>
  </si>
  <si>
    <t>Making the Connection between Brain and Behavior : Coping with Parkinson's Disease : Coping with Parkinson's Disease</t>
  </si>
  <si>
    <t>Demos Health</t>
  </si>
  <si>
    <t>Friedman, Joseph</t>
  </si>
  <si>
    <t>RC382 -- .F85 2008eb</t>
  </si>
  <si>
    <t>616.8/33</t>
  </si>
  <si>
    <t>Parkinson's disease -- Complications. ; Parkinson's disease -- Psychological aspects. ; Parkinson's disease -- Patients -- Family relationships. ; Caregivers.</t>
  </si>
  <si>
    <t>Making Collaborative Connections with Medical Providers : A Guide for Mental Health Professionals</t>
  </si>
  <si>
    <t>Hamberger, L. Kevin;Ovide, Christopher R.;Weiner, Eric L.</t>
  </si>
  <si>
    <t>RC465.6.H45 1999</t>
  </si>
  <si>
    <t>616.89/14/068</t>
  </si>
  <si>
    <t>Psychotherapy -- Practice -- United States. ; Psychotherapists -- Professional relationships. ; Mental health consultation. ; Psychiatric referral. ; Managed mental health care -- United States.</t>
  </si>
  <si>
    <t>Gender Inclusive Treatment of Intimate Partner Abuse : A Comprehensive Approach</t>
  </si>
  <si>
    <t>Hamel, John</t>
  </si>
  <si>
    <t>RC569.5.F3H35 2005</t>
  </si>
  <si>
    <t>Intimate partner abuse</t>
  </si>
  <si>
    <t>Stress and Emotion : A New Synthesis</t>
  </si>
  <si>
    <t>Lazarus, Richard S.</t>
  </si>
  <si>
    <t>BF575.S75L315 2006</t>
  </si>
  <si>
    <t>Emotions. ; Stress (Psychology)</t>
  </si>
  <si>
    <t>Women and Addiction : A Comprehensive Handbook</t>
  </si>
  <si>
    <t>Brady, Kathleen T.;Back, Sudie E.;Greenfield, Shelly F.</t>
  </si>
  <si>
    <t>HV4229</t>
  </si>
  <si>
    <t>Women drug addicts. ; Women -- Substance use.</t>
  </si>
  <si>
    <t>de Haan, Michelle;Gunnar, Megan R.;de Haan, Michelle</t>
  </si>
  <si>
    <t>QP363.5</t>
  </si>
  <si>
    <t>Developmental neurobiology -- Handbooks, manuals, etc. ; Neurosciences -- Handbooks, manuals, etc. ; Social psychology -- Handbooks, manuals, etc.</t>
  </si>
  <si>
    <t>Murre, Jaap M.J.;Ridderinkhof, K. Richard</t>
  </si>
  <si>
    <t>VOR FMG</t>
  </si>
  <si>
    <t>BF108.N47 -- M87 2008eb</t>
  </si>
  <si>
    <t>Furedi, Frank</t>
  </si>
  <si>
    <t>HM686 -- .F874 2009eb</t>
  </si>
  <si>
    <t>Socialization. ; Behavior modification.</t>
  </si>
  <si>
    <t>Taking Children Seriously : Applications of Counselling and Therapy in Education</t>
  </si>
  <si>
    <t>Continuum</t>
  </si>
  <si>
    <t>Decker, Steve;Greenwood, Angela;Kirby, Sandy;Moore, Dudley;Decker, Steve;Greenwood, Angela;Kirby, Sandy</t>
  </si>
  <si>
    <t>LB1027.5.T324 1999</t>
  </si>
  <si>
    <t>371.9/3</t>
  </si>
  <si>
    <t>Educational counseling -- Great Britain. ; Behavior therapy for children -- Great Britain.</t>
  </si>
  <si>
    <t>Anghileri, Julia</t>
  </si>
  <si>
    <t>QA135.6.C5266 2005</t>
  </si>
  <si>
    <t>Mathematics -- Study and teaching (Elementary) ; Learning, Psychology of. ; Cognition in children.</t>
  </si>
  <si>
    <t>Education; Mathematics</t>
  </si>
  <si>
    <t>Assoun, Paul-Laurent;Collier, Richard L.</t>
  </si>
  <si>
    <t>B3317.A7813 2002</t>
  </si>
  <si>
    <t>Gillham, Bill</t>
  </si>
  <si>
    <t>HQ759.4.G55 1997</t>
  </si>
  <si>
    <t>362.8/392/0835</t>
  </si>
  <si>
    <t>Teenage pregnancy -- Great Britain. ; Youth -- Sexual behavior -- Great Britain. ; Teenage pregnancy -- Government policy -- Great Britain. ; Sex instruction.</t>
  </si>
  <si>
    <t>Good, Justin</t>
  </si>
  <si>
    <t>Continuum Studies in British Philosophy Series</t>
  </si>
  <si>
    <t>B828.45.G66 2006</t>
  </si>
  <si>
    <t>121/.34092</t>
  </si>
  <si>
    <t>Wittgenstein, Ludwig, -- 1889-1951. ; Perception (Philosophy) ; Psychology -- Philosophy.</t>
  </si>
  <si>
    <t>O'Connor, Louise</t>
  </si>
  <si>
    <t>HV5840.G7D744 1998</t>
  </si>
  <si>
    <t>Drug abuse -- Great Britain -- Prevention</t>
  </si>
  <si>
    <t>Care-Therapy for Children : Applications in Counselling and Psychotherapy</t>
  </si>
  <si>
    <t>Redgrave, Ken</t>
  </si>
  <si>
    <t>RJ504.R43 2000</t>
  </si>
  <si>
    <t>Child psychotherapy. ; Children -- Counseling of.</t>
  </si>
  <si>
    <t>Imagining Insiders : Africa and the Question of Belonging</t>
  </si>
  <si>
    <t>Schipper, Mineke</t>
  </si>
  <si>
    <t>CB195.S2813 1999</t>
  </si>
  <si>
    <t>Race. ; Difference (Psychology) ; Civilization, Western -- African influences. ; Whites in literature. ; Africans -- Race identity. ; African Americans -- Race identity. ; Sexism.</t>
  </si>
  <si>
    <t>Zeng, Kangmin</t>
  </si>
  <si>
    <t>LB2353.8.E18Z45 1999</t>
  </si>
  <si>
    <t>371.2/6/095</t>
  </si>
  <si>
    <t>Universities and colleges -- East Asia -- Entrance examinations -- Social aspects. ; Universities and colleges -- East Asia -- Entrance examinations -- Psychological aspects. ; Competition (Psychology) ; Education -- East Asia.</t>
  </si>
  <si>
    <t>de Groot, Adriaan D.</t>
  </si>
  <si>
    <t>GV1448 -- .G713 2008eb</t>
  </si>
  <si>
    <t>Chess -- Psychology. ; Chess -- Handbooks, manuals, etc.</t>
  </si>
  <si>
    <t>Omstreden gelijkheid : De macht van de vanzelfsprekendheid in huwelijksrelaties</t>
  </si>
  <si>
    <t>Komter, Aafke</t>
  </si>
  <si>
    <t>HQ728 -- .K574 2005eb</t>
  </si>
  <si>
    <t>Marriage. ; Marriage -- Netherlands -- Case studies.</t>
  </si>
  <si>
    <t>Loneliness and Lament : A Journey to Receptivity</t>
  </si>
  <si>
    <t>Huntington, Patricia</t>
  </si>
  <si>
    <t>BD435 -- .H86 2009eb</t>
  </si>
  <si>
    <t>Life. ; Loneliness. ; Women -- Psychology.</t>
  </si>
  <si>
    <t>Ideal Embodiment : Kant's Theory of Sensibility</t>
  </si>
  <si>
    <t>Nuzzo, Angelica</t>
  </si>
  <si>
    <t>B2798 -- .N89 2008eb</t>
  </si>
  <si>
    <t>Kant, Immanuel, -- 1724-1804. ; Kant, Immanuel, -- 1724-1804. -- Kritik der praktischen Vernunft. ; Kant, Immanuel, -- 1724-1804. -- Kritik der reinen Vernunft. ; Kant, Immanuel, -- 1724-1804. -- Kritik der Urteilskraft. ; Sensitivity (Personality trait)</t>
  </si>
  <si>
    <t>Popular Trials : Rhetoric, Mass Media, and the Law</t>
  </si>
  <si>
    <t>Hariman, Robert</t>
  </si>
  <si>
    <t>Studies in Rhetoric and Communication Series</t>
  </si>
  <si>
    <t>KF220 .P67 1993</t>
  </si>
  <si>
    <t>345.7/3/07</t>
  </si>
  <si>
    <t>Trials-United States. ; Mass media-Law and legislation-United States. ; Persuasion (Psychology)</t>
  </si>
  <si>
    <t>Militello, Laura;Lipshitz, Raanan;Schraagen, Jan Maarten;Lipshitz, Raanan</t>
  </si>
  <si>
    <t>BF448 -- .N38 2008eb</t>
  </si>
  <si>
    <t>Decision making. ; Cognition. ; Task analysis.</t>
  </si>
  <si>
    <t>Macrocognition in Teams : Theories and Methodologies</t>
  </si>
  <si>
    <t>Letsky, Michael P.;Warner, Norman W.;Fiore, Stephen M.;Smith, C. A. P.;Harris, Professor Don;Salas, Dr. Eduardo;Stanton, Professor Neville A.</t>
  </si>
  <si>
    <t>Human Factors in Defence Series</t>
  </si>
  <si>
    <t>HD66 -- .M335 2008eb</t>
  </si>
  <si>
    <t>658.4/022</t>
  </si>
  <si>
    <t>Teams in the workplace. ; Cognition.</t>
  </si>
  <si>
    <t>Risky Work Environments : Reappraising Human Work Within Fallible Systems</t>
  </si>
  <si>
    <t>Béguin, Pascal;Owen, Christine;Owen, Christine, Dr</t>
  </si>
  <si>
    <t>HD7261 -- .O946 2009eb</t>
  </si>
  <si>
    <t>Work environment. ; Risk assessment.</t>
  </si>
  <si>
    <t>Demanding Sex: Critical Reflections on the Regulation of Prostitution : Critical Reflections on the Regulation of Prostitution</t>
  </si>
  <si>
    <t>Giusta, Marina Della;Munro, Vanessa E.;Giusta, Marina della</t>
  </si>
  <si>
    <t>KD8077 -- .D46 2008eb</t>
  </si>
  <si>
    <t>Prostitution -- Psychological aspects. ; Prostitution -- Social aspects. ; Prostitution -- Great Britain.</t>
  </si>
  <si>
    <t>Social Science; Law</t>
  </si>
  <si>
    <t>Szalma, James L.;Hancock, Peter A. A.;Harris, Professor Don;Salas, Dr. Eduardo;Stanton, Professor Neville A.</t>
  </si>
  <si>
    <t>U22.3 -- .P465 2008eb</t>
  </si>
  <si>
    <t>Psychology, Military. ; Stress (Psychology) ; Performance.</t>
  </si>
  <si>
    <t>Military Science</t>
  </si>
  <si>
    <t>Psychology and Law : Bridging the Gap</t>
  </si>
  <si>
    <t>Canter, David;Žukauskiene, Rita;Zukauskiene, Rita</t>
  </si>
  <si>
    <t>Psychology, Crime and Law Series</t>
  </si>
  <si>
    <t>K346 -- .P798 2008eb</t>
  </si>
  <si>
    <t>340/.19</t>
  </si>
  <si>
    <t>Law -- Psychological aspects. ; Psychology, Applied.</t>
  </si>
  <si>
    <t>Conceptions of Parenthood : Ethics and the Family</t>
  </si>
  <si>
    <t>Austin, Michael W.;Chadwick, Professor Ruth;Davis, Dr Michael;Lamb, Professor David</t>
  </si>
  <si>
    <t>Ashgate Studies in Applied Ethics</t>
  </si>
  <si>
    <t>HQ769 -- .A874 2007eb</t>
  </si>
  <si>
    <t>Parenting. ; Child rearing. ; Child rearing -- Moral and ethical aspects. ; Children -- Family relationships.</t>
  </si>
  <si>
    <t>Domestic Service in Post-Apartheid South Africa : Deference and Disdain</t>
  </si>
  <si>
    <t>King, Alison Jill, Dr</t>
  </si>
  <si>
    <t>HD6072.2.S6 -- K56 2007eb</t>
  </si>
  <si>
    <t>331.4/816480968</t>
  </si>
  <si>
    <t>Women household employees -- South Africa. ; Oppression (Psychology) ; Racism -- South Africa. ; Sexism -- South Africa. ; Classism -- South Africa.</t>
  </si>
  <si>
    <t>Business/Management; Economics</t>
  </si>
  <si>
    <t>In Dwelling : Implacability, Exclusion and Acceptance</t>
  </si>
  <si>
    <t>King, Peter;Carmona, Professor Matthew</t>
  </si>
  <si>
    <t>Design and the Built Environment</t>
  </si>
  <si>
    <t>HD7287 -- .K5585 2008eb</t>
  </si>
  <si>
    <t>Housing -- Psychological aspects. ; Housing. ; Social integration. ; Social isolation.</t>
  </si>
  <si>
    <t>Dreambooks in Byzantium : Six Oneirocritica in Translation, with Commentary and Introduction</t>
  </si>
  <si>
    <t>Oberhelman, Steven M.</t>
  </si>
  <si>
    <t>BF1080 -- .O24 2008eb</t>
  </si>
  <si>
    <t>135/.309495</t>
  </si>
  <si>
    <t>Dreams -- Early works to 1800. ; Dream interpretation.</t>
  </si>
  <si>
    <t>Assisted Suicide and Euthanasia : A Natural Law Ethics Approach</t>
  </si>
  <si>
    <t>Paterson, Craig;Bowie, Professor Norman E;Sorell, Professor Tom</t>
  </si>
  <si>
    <t>Live Questions in Ethics and Moral Philosophy</t>
  </si>
  <si>
    <t>R726 -- .P39 2008eb</t>
  </si>
  <si>
    <t>Assisted suicide -- Moral and ethical aspects. ; Euthanasia -- Moral and ethical aspects. ; Natural law.</t>
  </si>
  <si>
    <t>Pini, Barbara, Professor;Jeanes, Ms Emma</t>
  </si>
  <si>
    <t>Gender and Organizational Theory</t>
  </si>
  <si>
    <t>HQ1090 -- .P556 2008eb</t>
  </si>
  <si>
    <t>305.43/6309</t>
  </si>
  <si>
    <t>Rural men -- Cross-cultural studies. ; Men -- Psychology -- Cross-cultural studies. ; Masculinity -- Cross-cultural studies. ; Sex role -- Cross-cultural studies.</t>
  </si>
  <si>
    <t>Mediation in Family Disputes : Principles of Practice</t>
  </si>
  <si>
    <t>Roberts, Marian</t>
  </si>
  <si>
    <t>Dispute resolution (Law) -- Great Britain</t>
  </si>
  <si>
    <t>RJ505.P92 -- H36 2009eb</t>
  </si>
  <si>
    <t>Boyer, Pascal;Wertsch, James V.</t>
  </si>
  <si>
    <t>BF378.S65 -- M475 2009eb</t>
  </si>
  <si>
    <t>Brodsky, Stanley L.</t>
  </si>
  <si>
    <t>KF8915</t>
  </si>
  <si>
    <t>Trial practice -- United States. ; Witnesses -- United States. ; Jury selection -- United States. ; Consultants -- United States.</t>
  </si>
  <si>
    <t>Law; Literature</t>
  </si>
  <si>
    <t>Treating ADHD and Comorbid Disorders : Psychosocial and Psychopharmacological Interventions</t>
  </si>
  <si>
    <t>Pliszka, Steven R.</t>
  </si>
  <si>
    <t>RJ506</t>
  </si>
  <si>
    <t>618.92/8589</t>
  </si>
  <si>
    <t>Disorienting Fiction : The Autoethnographic Work of Nineteenth-Century British Novels</t>
  </si>
  <si>
    <t>Princeton University Press_mupo</t>
  </si>
  <si>
    <t>Buzard, James</t>
  </si>
  <si>
    <t>PR868.N356B89 2005</t>
  </si>
  <si>
    <t>Valverde, Mariana</t>
  </si>
  <si>
    <t>The Cultural Lives of Law Series</t>
  </si>
  <si>
    <t>K380.V35 2003</t>
  </si>
  <si>
    <t>Sport &amp;amp; Recreation; Law</t>
  </si>
  <si>
    <t>Love among the Ruins : The Erotics of Democracy in Classical Athens</t>
  </si>
  <si>
    <t>Wohl, Victoria</t>
  </si>
  <si>
    <t>JC75.D36W64 2002</t>
  </si>
  <si>
    <t>320.938/5</t>
  </si>
  <si>
    <t>Understanding Psychosocial Adjustment to Chronic Illness and Disability : A Handbook for Evidence-Based Practitioners in Rehabilitation</t>
  </si>
  <si>
    <t>Chan, Fong;Da Silva Cardoso, Elizabeth;Chronister, Julie</t>
  </si>
  <si>
    <t>In the Name of the Child : A Developmental Approach to Understanding and Helping Children of Conflicted and Violent Divorce, Second Edition</t>
  </si>
  <si>
    <t>Johnston, Janet;Roseby, Vivienne;Kuehnle, Kathryn</t>
  </si>
  <si>
    <t>RJ507.D59J64 2009</t>
  </si>
  <si>
    <t>Current Perspectives on the Anxiety Disorders : Implications for DSM-V and Beyond</t>
  </si>
  <si>
    <t>Taylor, Steven;McKay, Dean;Abramowitz, Jonathan S.;Asmundson, Gordon J. G.</t>
  </si>
  <si>
    <t>RC531.C875 2009</t>
  </si>
  <si>
    <t>Diagnostic and statistical manual of mental disorders. ; Diagnostic and statistical manual of mental disorders. ; Anxiety disorders--Classification. ; Anxiety Disorders--diagnosis. ; Anxiety Disorders--classification.</t>
  </si>
  <si>
    <t>Connie, Elliott;Metcalf, Linda</t>
  </si>
  <si>
    <t>RC489.S65A78 2009</t>
  </si>
  <si>
    <t>Cognitive Behavior Therapy for Children : Treating Complex and Refractory Cases</t>
  </si>
  <si>
    <t>McKay, Dean;Storch, Eric A.</t>
  </si>
  <si>
    <t>RJ505.C63C646 2009</t>
  </si>
  <si>
    <t>Cognitive therapy for children. ; Cognitive therapy for teenagers. ; Child psychotherapy. ; Cognitive Therapy--methods. ; Adolescent. ; Child. ; Mental Disorders--therapy.</t>
  </si>
  <si>
    <t>Leeds, Andrew M.</t>
  </si>
  <si>
    <t>RC489.E98L44 2009</t>
  </si>
  <si>
    <t>Eye movement desensitization and reprocessing. ; Desensitization (Psychotherapy) -- Handbooks, manuals, etc.</t>
  </si>
  <si>
    <t>Heberle, Renée J.;Grace, Victoria;Grace, Victoria;Heberle, Ren?e J</t>
  </si>
  <si>
    <t>Routledge Research in Gender and Society Series</t>
  </si>
  <si>
    <t>HV6556 -- .T48 2009eb</t>
  </si>
  <si>
    <t>364.15/3</t>
  </si>
  <si>
    <t>Understanding and Promoting Access for People with Learning Difficulties : Seeing the Opportunities and Challenges of Risk</t>
  </si>
  <si>
    <t>Seale, Jane;Nind, Melanie</t>
  </si>
  <si>
    <t>LC4704 -- .U54 2009eb</t>
  </si>
  <si>
    <t>Memory Matters : Contexts for Understanding Sexual Abuse Recollections</t>
  </si>
  <si>
    <t>Haaken, Janice;Reavey, Paula</t>
  </si>
  <si>
    <t>RC455.2.F35 -- M46 2010eb</t>
  </si>
  <si>
    <t>Grey, Nick</t>
  </si>
  <si>
    <t>RC552.T7 -- C37 2009eb</t>
  </si>
  <si>
    <t>Managing Self-Harm : Psychological Perspectives</t>
  </si>
  <si>
    <t>Motz, Anna</t>
  </si>
  <si>
    <t>RC552.S4 -- M36 2009eb</t>
  </si>
  <si>
    <t>The Clinician's Guide to Collaborative Caring in Eating Disorders : The New Maudsley Method</t>
  </si>
  <si>
    <t>Treasure, Janet;Schmidt, Ulrike;Macdonald, Pam</t>
  </si>
  <si>
    <t>RC552.E18 -- C565 2009eb</t>
  </si>
  <si>
    <t>Safer Surgery : Analysing Behaviour in the Operating Theatre</t>
  </si>
  <si>
    <t>Farnham</t>
  </si>
  <si>
    <t>Mitchell, Lucy;Flin, Rhona</t>
  </si>
  <si>
    <t>RD27.85 -- .S24 2009eb</t>
  </si>
  <si>
    <t>Surgical errors -- Prevention. ; Surgery. ; Operating rooms.</t>
  </si>
  <si>
    <t>How High Should Boys Sing? : Gender, Authenticity and Credibility in the Young Male Voice</t>
  </si>
  <si>
    <t>Ashley, Martin</t>
  </si>
  <si>
    <t>ML3830 -- .A84 2009eb</t>
  </si>
  <si>
    <t>Singing -- Social aspects. ; Boys -- Psychology. ; Voice, Change of. ; Singing -- Instruction and study -- Great Britain. ; Singing -- Psychological aspects.</t>
  </si>
  <si>
    <t>Ethnicities and Values in a Changing World</t>
  </si>
  <si>
    <t>HM753 -- .B43 2009eb</t>
  </si>
  <si>
    <t>305.8009/051</t>
  </si>
  <si>
    <t>Group identity. ; Cultural pluralism. ; Values.</t>
  </si>
  <si>
    <t>Responding to Drug Misuse : Research and Policy Priorities in Health and Social Care</t>
  </si>
  <si>
    <t>MacGregor, Susanne</t>
  </si>
  <si>
    <t>HV5840.G7 -- R47 2009eb</t>
  </si>
  <si>
    <t>Cullompton</t>
  </si>
  <si>
    <t>Liebling, Alison;Maruna, Shadd</t>
  </si>
  <si>
    <t>Cambridge Criminal Justice Series</t>
  </si>
  <si>
    <t>HV8706 -- .E34 2005eb</t>
  </si>
  <si>
    <t>Imprisonment -- Psychological aspects. ; Imprisonment -- Social aspects. ; Emprisonnement -- Aspect psychologique. ; Emprisonnement -- Aspect social.</t>
  </si>
  <si>
    <t>Forensic Psychology : Concepts, Debates and Practice</t>
  </si>
  <si>
    <t>Adler, Joanna R.</t>
  </si>
  <si>
    <t>K2100</t>
  </si>
  <si>
    <t>Health; Medicine; Law</t>
  </si>
  <si>
    <t>Bullying among Prisoners : Innovations in theory and Research</t>
  </si>
  <si>
    <t>Ireland, Jane</t>
  </si>
  <si>
    <t>HV6089 -- .B85 2005eb</t>
  </si>
  <si>
    <t>Prison psychology. ; Prison violence. ; Bullying. ; Bullying -- Prevention.</t>
  </si>
  <si>
    <t>Behind the Mask of the Strong Black Woman : Voice and the Embodiment of a Costly Performance</t>
  </si>
  <si>
    <t>Beauboeuf-Lafontant, Tamara</t>
  </si>
  <si>
    <t>HQ1161</t>
  </si>
  <si>
    <t>155.6/3308996073</t>
  </si>
  <si>
    <t>Women, Black -- Psychology. ; Women, Black -- Social conditions. ; Character. ; Determination (Personality trait)</t>
  </si>
  <si>
    <t>A Clinician's Guide to Statistics and Epidemiology in Mental Health : Measuring Truth and Uncertainty</t>
  </si>
  <si>
    <t>Ghaemi, S. Nassir</t>
  </si>
  <si>
    <t>RC467.8 -- .G53 2009eb</t>
  </si>
  <si>
    <t>Health; Medicine; Social Science; Psychology</t>
  </si>
  <si>
    <t>The World in Your Head : A Gestalt View of the Mechanism of Conscious Experience</t>
  </si>
  <si>
    <t>Lehar, Steven M.;Crano, William D.;Fetterman, David</t>
  </si>
  <si>
    <t>BF311 -- .L44 2003eb</t>
  </si>
  <si>
    <t>Perception. ; Consciousness. ; Gestalt psychology. ; Harmonic resonance</t>
  </si>
  <si>
    <t>Sonnetag, Sabine;Perrewé, Pamela L.;Ganster, Daniel C.</t>
  </si>
  <si>
    <t>Research in Occupational Stress and Well Being Series</t>
  </si>
  <si>
    <t>AD,AE,AF,AG,AI,AL,AM,AN,AO,AQ,AR,AS,AT,AU,AW,AX,AZ,BA,BB,BD,BE,BF,BG,BH,BI,BJ,BL,BM,BN,BO,BQ,BR,BS,BT,BV,BW,BZ,CA,CC,CD,CF,CG,CH,CI,CK,CL,CM,CN,CO,CR,CU,CV,CW,CX,CY,CZ,DE,DJ,DK,DM,DO,DZ,EC,EE,EG,EH,ER,ES,ET,FI,FJ,FK,FM,FO,FR,GA,GB,GD,GE,GF,GG,GH,GI,GL,GM,GN,GP,GQ,GR,GS,GT,GU,GW,GY,HK,HM,HN,HR,HT,HU,ID,IE,IL,IM,IN,IO,IQ,IR,IS,IT,JE,JM,JO,JP,KE,KG,KH,KI,KM,KN,KP,KR,KW,KY,KZ,LA,LB,LC,LI,LK,LR,LS,LT,LU,LV,LY,MA,MC,MD,ME,MF,MG,MH,MK,ML,MM,MN,MO,MP,MQ,MR,MS,MT,MU,MV,MW,MX,MY,MZ,NA,NC,NE,NF,NG,NI,NL,NO,NP,NR,NU,NZ,OM,PA,PE,PF,PG,PH,PK,PL,PM,PN,PR,PS,PT,PW,PY,QA,RE,RO,RS,RW,SA,SB,SC,SD,SE,SG,SH,SI,SJ,SK,SL,SM,SN,SO,SR,SS,ST,SV,SX,SY,SZ,TC,TD,TF,TG,TH,TJ,TK,TL,TM,TN,TO,TR,TT,TV,TW,TZ,UA,UG,UM,US,UY,UZ,VA,VC,VE,VG,VI,VN,VU,WF,WS,YE,YT,YU,ZA,ZM,ZW</t>
  </si>
  <si>
    <t>Performance Measurement and Management Control : Measuring and Rewarding Performance</t>
  </si>
  <si>
    <t>JAI Press Inc.</t>
  </si>
  <si>
    <t>Epstein, Marc J.;Manzoni, Jean-Francois</t>
  </si>
  <si>
    <t>Studies in Managerial and Financial Accounting Series</t>
  </si>
  <si>
    <t>HF5549.5.P35 -- P47 2008eb</t>
  </si>
  <si>
    <t>Performance -- Management -- Congresses. ; Work measurement -- Congresses. ; Incentive awards -- Congresses.</t>
  </si>
  <si>
    <t>Zerbe, Wilfred J.;Härtel, Charmine E. J.;Ashkanasy, Neal M.</t>
  </si>
  <si>
    <t>Research on Emotion in Organizations Series</t>
  </si>
  <si>
    <t>Psychology, Industrial. ; Personnel management -- Moral and ethical aspects.</t>
  </si>
  <si>
    <t>Gosseries, Axel;Meyer, Lukas H.</t>
  </si>
  <si>
    <t>HM726.I465 2009</t>
  </si>
  <si>
    <t>320.01/1</t>
  </si>
  <si>
    <t>Intergenerational relations. ; Justice.</t>
  </si>
  <si>
    <t>Social Science; Political Science</t>
  </si>
  <si>
    <t>Gilson, Mark;Freeman, Arthur ;Yates, M. Jane;Freeman, Sharon Morgillo;Freeman, Sharon Morgillo</t>
  </si>
  <si>
    <t>RC537.O94 2009</t>
  </si>
  <si>
    <t>Heilbrun, Kirk</t>
  </si>
  <si>
    <t>RC569.5.V55H45 2009</t>
  </si>
  <si>
    <t>Violence -- Risk assessment. ; Dangerously mentally ill -- Risk assessment. ; Forensic psychology.</t>
  </si>
  <si>
    <t>Medicine; Psychology; Health</t>
  </si>
  <si>
    <t>Intimate Partner Violence : A Health-Based Perspective</t>
  </si>
  <si>
    <t>Mitchell, Connie;Anglin, Deirdre</t>
  </si>
  <si>
    <t>RC569.5.F3I579 2009</t>
  </si>
  <si>
    <t>Intimate partner violence -- Psychological aspects. ; Abused wives -- Rehabilitation. ; Victims of family violence -- Rehabilitation.</t>
  </si>
  <si>
    <t>Social Science; Psychology; Medicine</t>
  </si>
  <si>
    <t>Constructivist Psychotherapy : A Narrative Hermeneutic Approach</t>
  </si>
  <si>
    <t>Chiari, Gabriele;Nuzzo, Maria Laura</t>
  </si>
  <si>
    <t>RC489.P46 -- C55 2009eb</t>
  </si>
  <si>
    <t>616.89/1425</t>
  </si>
  <si>
    <t>Colaizzi, Janet;Rappeport, Jonas R.</t>
  </si>
  <si>
    <t>History of American Science and Technology Series</t>
  </si>
  <si>
    <t>RA1151 .C8 1989</t>
  </si>
  <si>
    <t>Forensic psychiatry-History. ; Homicide-Psychological aspects. ; Mentally ill offenders.</t>
  </si>
  <si>
    <t>Handbook of Child Development and Early Education : Research to Practice</t>
  </si>
  <si>
    <t>Barbarin, Oscar A.;Wasik, Barbara Hanna;Wasik, Barbara  Hanna</t>
  </si>
  <si>
    <t>HQ772</t>
  </si>
  <si>
    <t>Rose, Anne C.</t>
  </si>
  <si>
    <t>BF697 -- .R654 2009eb</t>
  </si>
  <si>
    <t>155.20975/09041</t>
  </si>
  <si>
    <t>Kostanski, Marion</t>
  </si>
  <si>
    <t>BF80.7 -- .A8 2006eb</t>
  </si>
  <si>
    <t>Jolly, Richard;Emmerij, Louis;Weiss, Thomas G.</t>
  </si>
  <si>
    <t>JZ4984.5 -- .J66 2009eb</t>
  </si>
  <si>
    <t>United Nations. ; Human rights. ; Economic development. ; Economic development -- Social aspects. ; Economic development -- Environmental aspects. ; Conflict management. ; Peace-building.</t>
  </si>
  <si>
    <t>Law; Political Science</t>
  </si>
  <si>
    <t>Taylor, Stephanie</t>
  </si>
  <si>
    <t>HM753 -- .T394 2010eb</t>
  </si>
  <si>
    <t>Blank Minds and Sticky Moments in Counselling : Practical Strategies and Provocative Themes</t>
  </si>
  <si>
    <t>Dexter, Janice;Dexter, Graham</t>
  </si>
  <si>
    <t>BF636.6 -- .R87 2008eb</t>
  </si>
  <si>
    <t>Semin, Gun;Fiedler, Klaus</t>
  </si>
  <si>
    <t>Person-Centred Therapy : A European Perspective</t>
  </si>
  <si>
    <t>Thorne, Brian;Lambers, Elke</t>
  </si>
  <si>
    <t>RC481 -- .P47 1998eb</t>
  </si>
  <si>
    <t>Client-centered psychotherapy. ; Psychotherapy.</t>
  </si>
  <si>
    <t>Tulloch, John;Lupton, Deborah</t>
  </si>
  <si>
    <t>BF637.R57 -- T85 2003eb</t>
  </si>
  <si>
    <t>Ibanez, Tomas;Iniguez Rueda, Lupicinio;Spears, Russell</t>
  </si>
  <si>
    <t>Existential Thought and Therapeutic Practice : An Introduction to Existential Psychotherapy</t>
  </si>
  <si>
    <t>Cohn, Hans W.</t>
  </si>
  <si>
    <t>RC489.E93 -- C64 1997eb</t>
  </si>
  <si>
    <t>Developments in Psychotherapy : Historical Perspectives</t>
  </si>
  <si>
    <t>Dryden, Windy</t>
  </si>
  <si>
    <t>Psychotherapy -- History</t>
  </si>
  <si>
    <t>Research in Counselling and Psychotherapy : Practical Applications</t>
  </si>
  <si>
    <t>Psychology of Language : A Critical Introduction</t>
  </si>
  <si>
    <t>Lemma, Alessandra</t>
  </si>
  <si>
    <t>RC454.L456 1996</t>
  </si>
  <si>
    <t>Constructing Identities : The Social, the Nonhuman and Change</t>
  </si>
  <si>
    <t>Michael, Mike</t>
  </si>
  <si>
    <t>HM251 -- .M53 1996eb</t>
  </si>
  <si>
    <t>OConnell, Bill</t>
  </si>
  <si>
    <t>Stress Counselling Series</t>
  </si>
  <si>
    <t>Spinelli, Ernesto</t>
  </si>
  <si>
    <t>RC480 -- .S65 2004eb</t>
  </si>
  <si>
    <t>Psychotherapy. ; Mental illness -- Treatment.</t>
  </si>
  <si>
    <t>Wilkins, Paul</t>
  </si>
  <si>
    <t>RC489.P7 -- W55 1999eb</t>
  </si>
  <si>
    <t>New Age International (P) Ltd., Publishers</t>
  </si>
  <si>
    <t>New Age International Ltd</t>
  </si>
  <si>
    <t>Daryaganj</t>
  </si>
  <si>
    <t>INDIA</t>
  </si>
  <si>
    <t>New Age International</t>
  </si>
  <si>
    <t>Bhatia, M.S.</t>
  </si>
  <si>
    <t>RC454 -- .D45 2009eb</t>
  </si>
  <si>
    <t>Spaces of Vernacular Creativity : Rethinking the Cultural Economy</t>
  </si>
  <si>
    <t>Edensor, Tim;Leslie, Deborah;Millington, Steve;Rantisi, Norma</t>
  </si>
  <si>
    <t>Routledge Studies in Human Geography Series</t>
  </si>
  <si>
    <t>HD53 -- .S725 2010eb</t>
  </si>
  <si>
    <t>Economics; Business/Management</t>
  </si>
  <si>
    <t>Frontiers of Unity : An Experiment in Afro-Arab Cooperation</t>
  </si>
  <si>
    <t>Deng, Francis;Deng, Francis</t>
  </si>
  <si>
    <t>DT159.6.A24 -- D46 2010eb</t>
  </si>
  <si>
    <t>962.404/2</t>
  </si>
  <si>
    <t>Trauma and Media : Theories, Histories, and Images</t>
  </si>
  <si>
    <t>Meek, Allen;Meek, Allen</t>
  </si>
  <si>
    <t>Routledge Research in Cultural and Media Studies</t>
  </si>
  <si>
    <t>P96.P73 -- M44 2010eb</t>
  </si>
  <si>
    <t>Psychic trauma and mass media. ; Collective memory. ; Mass media -- Psychological aspects.</t>
  </si>
  <si>
    <t>Recreating Sexual Politics (Routledge Revivals) : Men, Feminism and Politics</t>
  </si>
  <si>
    <t>Seidler, Victor</t>
  </si>
  <si>
    <t>Routledge Revivals Series</t>
  </si>
  <si>
    <t>HQ1090 -- .S435 2010eb</t>
  </si>
  <si>
    <t>Feminism. ; Masculinity. ; Men -- Psychology.</t>
  </si>
  <si>
    <t>Children As Victims, Witnesses, and Offenders : Psychological Science and the Law</t>
  </si>
  <si>
    <t>Bottoms, Bette L.;Najdowski, Cynthia J.;Goodman, Gail S.</t>
  </si>
  <si>
    <t>HV6250.4.C48</t>
  </si>
  <si>
    <t>Children -- Crimes against. ; Child witnesses. ; Juvenile delinquents. ; Children -- Legal status, laws, etc. ; Forensic psychology. ; Criminal investigation.</t>
  </si>
  <si>
    <t>Elder, Glen H., Jr.;Giele, Janet Z.</t>
  </si>
  <si>
    <t>HQ799.95.C73 2009</t>
  </si>
  <si>
    <t>Life cycle, Human -- Research -- Methodology. ; Human growth -- Research -- Methodology.</t>
  </si>
  <si>
    <t>Kazantzis, Nikolaos;Reinecke, Mark A.;Freeman, Arthur;Dattilio, Frank M.</t>
  </si>
  <si>
    <t>RC489.C63</t>
  </si>
  <si>
    <t>Common Factors in Couple and Family Therapy : The Overlooked Foundation for Effective Practice</t>
  </si>
  <si>
    <t>Sprenkle, Douglas H.;Davis, Sean D.;Lebow, Jay L.;Lebow, Jay L.</t>
  </si>
  <si>
    <t>RC488.5</t>
  </si>
  <si>
    <t>616.89/1562</t>
  </si>
  <si>
    <t>When Research Goes off the Rails : Why It Happens and What You Can Do about It</t>
  </si>
  <si>
    <t>Streiner, David L.;Sidani, Souraya</t>
  </si>
  <si>
    <t>BF76.5.W475 2010</t>
  </si>
  <si>
    <t>Psychology -- Research -- Methodology. ; Medical sciences -- Research -- Methodology.</t>
  </si>
  <si>
    <t>Waters, Harriet Salatas;Schneider, Wolfgang;Borkowski, John G.</t>
  </si>
  <si>
    <t>LB1062</t>
  </si>
  <si>
    <t>Cognitive learning. ; Creative thinking. ; Metacognition in children. ; Cognitive styles in children.</t>
  </si>
  <si>
    <t>Adamkin, David H.</t>
  </si>
  <si>
    <t>RJ281 -- .A335 2009eb</t>
  </si>
  <si>
    <t>618.92/011</t>
  </si>
  <si>
    <t>What Is Intelligence? : Beyond the Flynn Effect</t>
  </si>
  <si>
    <t>Flynn, James R.</t>
  </si>
  <si>
    <t>BF431 .F57 2007</t>
  </si>
  <si>
    <t>Wood, Stephen J.;Allen, Nicholas B.;Pantelis, Christos</t>
  </si>
  <si>
    <t>RC455.4.B5 -- N477 2009eb</t>
  </si>
  <si>
    <t>The Treatment of Eating Disorders : A Clinical Handbook</t>
  </si>
  <si>
    <t>Grilo, Carlos M.;Mitchell, James E.</t>
  </si>
  <si>
    <t>RC552.E18 T744</t>
  </si>
  <si>
    <t>Eating disorders -- Treatment. ; Appetite disorders -- Treatment.</t>
  </si>
  <si>
    <t>Emotion Regulation and Psychopathology : A Transdiagnostic Approach to Etiology and Treatment</t>
  </si>
  <si>
    <t>Kring, Ann M.;Sloan, Denise M.</t>
  </si>
  <si>
    <t>BF531 .E4954</t>
  </si>
  <si>
    <t>British Social Attitudes : Public Policy, Social Ties - the 18th Report</t>
  </si>
  <si>
    <t>Park, Alison;Curtice, John;Thomson, Katarina;Jarvis, Lindsey;Bromley, Catherine;Stratford, Nina</t>
  </si>
  <si>
    <t>British Social Attitudes Survey Series</t>
  </si>
  <si>
    <t>HN400.P8 -- B75 2001eb</t>
  </si>
  <si>
    <t>303.3/8/0941</t>
  </si>
  <si>
    <t>British Social Attitudes : The 19th Report</t>
  </si>
  <si>
    <t>Park, Alison;Curtice, John;Thomson, Katarina;Jarvis, Lindsey;Bromley, Catherine</t>
  </si>
  <si>
    <t>Metacognition : Cognitive and Social Dimensions</t>
  </si>
  <si>
    <t>Yzerbyt, Vincent Y. A.;Lories, Guy;Dardenne, Benoit</t>
  </si>
  <si>
    <t>MacMillan, Mhairi;Clark, Dot</t>
  </si>
  <si>
    <t>BF637.C6 -- M336 1998eb</t>
  </si>
  <si>
    <t>Inskipp, Francesca</t>
  </si>
  <si>
    <t>Counsellor Trainer and Supervisor Series</t>
  </si>
  <si>
    <t>BF637.C6 -- I49 1996eb</t>
  </si>
  <si>
    <t>RC481$b.M4324 1997</t>
  </si>
  <si>
    <t>World Health Regiion for South-East Asia</t>
  </si>
  <si>
    <t>SEARO Technical Publications, No. 56</t>
  </si>
  <si>
    <t>RC564 -- .M36 2008eb</t>
  </si>
  <si>
    <t>Intravenous drug abuse. ; Drug utilization. ; Substance abuse. ; Primary health care -- Education. ; Communicable diseases -- Complications -- Handbooks, manuals, etc.</t>
  </si>
  <si>
    <t>Health; Medicine; Psychology</t>
  </si>
  <si>
    <t>Parenting with Reason : Evidence-Based Approaches to Parenting Dilemmas</t>
  </si>
  <si>
    <t>Strahan, Esther Yoder;Dixon, Wallace E., Jr.;Banks, J. Burton</t>
  </si>
  <si>
    <t>Parent and Child Series</t>
  </si>
  <si>
    <t>HQ755.8 -- .S767 2010eb</t>
  </si>
  <si>
    <t>Parenting. ; Child rearing.</t>
  </si>
  <si>
    <t>Key Issues in Childhood and Youth Studies : Critical Issues</t>
  </si>
  <si>
    <t>Kassem, Derek;Taylor, Elizabeth;Taylor, Elizabeth</t>
  </si>
  <si>
    <t>HQ772 -- .K455 2010eb</t>
  </si>
  <si>
    <t>Child development. ; Children. ; Child welfare.</t>
  </si>
  <si>
    <t>Minority Influence and Innovation : Antecedents, Processes and Consequences</t>
  </si>
  <si>
    <t>Martin, Robin;Hewstone, Miles</t>
  </si>
  <si>
    <t>HM1176 -- .M56 2010eb</t>
  </si>
  <si>
    <t>Social influence. ; Conformity. ; Influence (Psychology) ; Small groups -- Psychological aspects. ; Social groups -- Psychological aspects. ; Minorities. ; Majorities.</t>
  </si>
  <si>
    <t>Barker, Meg;Langdridge, Darren</t>
  </si>
  <si>
    <t>HQ980 -- .U63 2009eb</t>
  </si>
  <si>
    <t>306.84/23</t>
  </si>
  <si>
    <t>Davies, Graham M.;Wright, Daniel B.</t>
  </si>
  <si>
    <t>Current Issues in Memory Series</t>
  </si>
  <si>
    <t>BF375 -- .C87 2009eb</t>
  </si>
  <si>
    <t>Memory -- Research. ; Cognitive psychology.</t>
  </si>
  <si>
    <t>Conflict Management and Resolution : An Introduction</t>
  </si>
  <si>
    <t>Jeong, Ho-Won</t>
  </si>
  <si>
    <t>HD42 -- .J45 2010eb</t>
  </si>
  <si>
    <t>658.4/053</t>
  </si>
  <si>
    <t>Basco, Monica Ramirez</t>
  </si>
  <si>
    <t>BF637.P76B37 2010</t>
  </si>
  <si>
    <t>Procrastination. ; Self-actualization (Psychology)</t>
  </si>
  <si>
    <t>Harmon-Jones, Eddie;Beer, Jennifer S.;Harmon-Jones, Eddie</t>
  </si>
  <si>
    <t>Neuropsychology. ; Social psychology. ; Personality and cognition.</t>
  </si>
  <si>
    <t>Science; Science: Biology/Natural History; Science: Anatomy/Physiology</t>
  </si>
  <si>
    <t>Vulnerability to Psychopathology : Risk Across the Lifespan</t>
  </si>
  <si>
    <t>Ingram, Rick E.;Price, Joseph M.</t>
  </si>
  <si>
    <t>RC455.4.R56</t>
  </si>
  <si>
    <t>Schizophrenia -- Risk factors. ; Affective disorders -- Risk factors. ; Child psychopathology -- Longitudinal studies. ; Schizophrenia -- Prevention -- Longitudinal studies.</t>
  </si>
  <si>
    <t>Reich, John W.;Zautra, Alex J.;Hall, John Stuart</t>
  </si>
  <si>
    <t>BF698.35.R47</t>
  </si>
  <si>
    <t>Resilience (Personality trait) ; Crisis management. ; Community organization.</t>
  </si>
  <si>
    <t>The Mindfulness Solution : Everyday Practices for Everyday Problems</t>
  </si>
  <si>
    <t>Siegel, Ronald D.</t>
  </si>
  <si>
    <t>BF637.M4S54 2010</t>
  </si>
  <si>
    <t>158.1/2</t>
  </si>
  <si>
    <t>Meditation. ; Meditation -- Buddhism. ; Mental healing. ; Self-help techniques.</t>
  </si>
  <si>
    <t>Safeguarding Children Living with Trauma and Family Violence : Evidence-Based Assessment, Analysis and Planning Interventions</t>
  </si>
  <si>
    <t>Pizzey, Stephen;Cox, Antony;Bingley Miller, Liza;Bentovim, Arnon;Daniel, Brigid</t>
  </si>
  <si>
    <t>Best Practice in Working with Children Series</t>
  </si>
  <si>
    <t>HQ784.V55S23 2009</t>
  </si>
  <si>
    <t>Children and violence. ; Family violence -- Psychological aspects. ; Children -- Services for. ; Social work with children.</t>
  </si>
  <si>
    <t>Activities for Adults with Learning Disabilities : Having Fun, Meeting Needs</t>
  </si>
  <si>
    <t>Sonnet, Helen;Taylor, Ann</t>
  </si>
  <si>
    <t>LC4818.S66 2009</t>
  </si>
  <si>
    <t>371.9/0475</t>
  </si>
  <si>
    <t>Learning disabled. ; Occupational therapy. ; Adult day care centers-Activity programs. ; Nursing homes-Recreational activities.</t>
  </si>
  <si>
    <t>Using Expressive Arts to Work with Mind, Body and Emotions : Theory and Practice</t>
  </si>
  <si>
    <t>Wilson, Helen;Pearson, Mark</t>
  </si>
  <si>
    <t>RC489.A72P43 2009</t>
  </si>
  <si>
    <t>The Imprinted Brain : How Genes Set the Balance Between Autism and Psychosis</t>
  </si>
  <si>
    <t>Badcock, Christopher</t>
  </si>
  <si>
    <t>RC553.A88B33 2009</t>
  </si>
  <si>
    <t>Autism-Genetic aspects. ; Psychoses-Genetic aspects. ; Genomic imprinting.</t>
  </si>
  <si>
    <t>Exploring the Self Through Photography : Activities for Use in Group Work</t>
  </si>
  <si>
    <t>Craig, Claire</t>
  </si>
  <si>
    <t>RC489.P56C73 2009</t>
  </si>
  <si>
    <t>Authentic Dialogue with Persons Who Are Developmentally Disabled : Sad Without Tears</t>
  </si>
  <si>
    <t>Hill, Jennifer</t>
  </si>
  <si>
    <t>HV1570.H55 2009</t>
  </si>
  <si>
    <t>Developmentally disabled -- Services for. ; People with disabilities.</t>
  </si>
  <si>
    <t>Just Care : Restorative Justice Approaches to Working with Children in Public Care</t>
  </si>
  <si>
    <t>Hopkins, Belinda;Stanley, Jonathan</t>
  </si>
  <si>
    <t>HV9069 .H675 2009</t>
  </si>
  <si>
    <t>Juvenile delinquency-Psychological aspects. ; Restorative justice.</t>
  </si>
  <si>
    <t>Play for Sick Children : Play Specialists in Hospitals and Beyond</t>
  </si>
  <si>
    <t>Hubbuck, Cath</t>
  </si>
  <si>
    <t>RJ505.P6H78 2009</t>
  </si>
  <si>
    <t>Play therapy. ; Sick children.</t>
  </si>
  <si>
    <t>Practical Behaviour Management Solutions for Children and Teens with Autism : The 5P Approach</t>
  </si>
  <si>
    <t>Miller, Linda</t>
  </si>
  <si>
    <t>RJ506.A9 M585 2009</t>
  </si>
  <si>
    <t>Transforming Tales : How Stories Can Change People</t>
  </si>
  <si>
    <t>Parkinson, Rob</t>
  </si>
  <si>
    <t>RC489.S74P368 2009</t>
  </si>
  <si>
    <t>Can the World Afford Autistic Spectrum Disorder? : Nonverbal Communication, Asperger Syndrome and the Interbrain</t>
  </si>
  <si>
    <t>Tantam, Digby</t>
  </si>
  <si>
    <t>Autism. ; Nonverbal communication. ; Asperger's syndrome.</t>
  </si>
  <si>
    <t>The Best Kept Secret : Single Black Fathers</t>
  </si>
  <si>
    <t>Rowman &amp; Littlefield Unlimited model</t>
  </si>
  <si>
    <t>Blue Ridge Summit</t>
  </si>
  <si>
    <t>Coles, Roberta L.</t>
  </si>
  <si>
    <t>HQ759.915.C65 2009</t>
  </si>
  <si>
    <t>306.874/2208996073</t>
  </si>
  <si>
    <t>African American single fathers. ; African American single fathers--Psychology. ; Child rearing--United States. ; Parenting--United States. ; African American families--Social conditions.</t>
  </si>
  <si>
    <t>Five Kohutian Postulates : Psychotherapy Theory from an Empathic Perspective</t>
  </si>
  <si>
    <t>Northvale, NJ</t>
  </si>
  <si>
    <t>Jason Aronson</t>
  </si>
  <si>
    <t>Lee, Ronald R.;Rountree, Angie;McMahon, Sally</t>
  </si>
  <si>
    <t>RC506.L423 2009eb</t>
  </si>
  <si>
    <t>Kohut, Heinz. ; Psychoanalysis. ; Empathy.</t>
  </si>
  <si>
    <t>Rossini, Manuela S.;Tyler, Tom</t>
  </si>
  <si>
    <t>Human-Animal Studies</t>
  </si>
  <si>
    <t>QL85.A49 2009</t>
  </si>
  <si>
    <t>Philosophy; Science; Science: Zoology</t>
  </si>
  <si>
    <t>Aristotle on Memory and Recollection : Text, Translation, Interpretation, and Reception in Western Scholasticism</t>
  </si>
  <si>
    <t>Bloch, David</t>
  </si>
  <si>
    <t>Philosophia Antiqua Series</t>
  </si>
  <si>
    <t>B444.B56 2007</t>
  </si>
  <si>
    <t>Aristotle. ; Aristotle-Influence. ; Aristotle.-De memoria et reminiscentia. ; Memory (Philosophy) ; Memory (Philosophy)-Early works to 1800.</t>
  </si>
  <si>
    <t>The Ethical Economy of Conflict Prevention and Development : Towards a Model for International Organizations</t>
  </si>
  <si>
    <t>Bredel, Ralf</t>
  </si>
  <si>
    <t>Nijhoff Law Specials Series</t>
  </si>
  <si>
    <t>HM1126.B74 2007</t>
  </si>
  <si>
    <t>Conflict management-Economic aspects. ; Social conflict-Economic aspects. ; Economic development-Political aspects. ; International agencies.</t>
  </si>
  <si>
    <t>Westmont</t>
  </si>
  <si>
    <t>Bardsley, Karen;Dutton, Denis;Krausz, Michael</t>
  </si>
  <si>
    <t>Philosophy of History and Culture Series</t>
  </si>
  <si>
    <t>BF408.I36 2009</t>
  </si>
  <si>
    <t>Peace and Conflict in Ladakh : The Construction of a Fragile Web of Order</t>
  </si>
  <si>
    <t>Pirie, Fernanda</t>
  </si>
  <si>
    <t>Brill's Tibetan Studies Library</t>
  </si>
  <si>
    <t>DS485.L2 P57 2007</t>
  </si>
  <si>
    <t>954/.6</t>
  </si>
  <si>
    <t>Ladākh (India)-Social life and customs. ; Ladākh (India)-Boundaries. ; Ladākh (India)-Politics and government.</t>
  </si>
  <si>
    <t>The Fifth Modality : On Languages That Shape Our Motivations and Cultures</t>
  </si>
  <si>
    <t>Roberts, Carl</t>
  </si>
  <si>
    <t>International Comparative Social Studies</t>
  </si>
  <si>
    <t>HM1106.R632 2008</t>
  </si>
  <si>
    <t>Greene, Gayle</t>
  </si>
  <si>
    <t>RC547 -- .G75 2008eb</t>
  </si>
  <si>
    <t>616.8/498</t>
  </si>
  <si>
    <t>Insomnia. ; Insomnia -- Miscellanea. ; Sleep disorders.</t>
  </si>
  <si>
    <t>CA,MX,US</t>
  </si>
  <si>
    <t>The Foundations of Psychoanalysis : A Philosophical Critique</t>
  </si>
  <si>
    <t>Grunbaum, Adolf</t>
  </si>
  <si>
    <t>Pittsburgh Series in Philosophy and History of Science Series</t>
  </si>
  <si>
    <t>BF173 -- .G76 1984eb</t>
  </si>
  <si>
    <t>Freud, Sigmund, -- 1856-1939. ; Psychoanalysis -- Philosophy.</t>
  </si>
  <si>
    <t>Noise Wars : Compulsory Media and Our Loss of Autonomy</t>
  </si>
  <si>
    <t>Freedman, Robert</t>
  </si>
  <si>
    <t>HM1206 -- .F74 2009eb</t>
  </si>
  <si>
    <t>Mass media -- Social aspects. ; Mass media -- Technological innovations. ; Advertising -- Social aspects. ; Advertising -- Psychological aspects.</t>
  </si>
  <si>
    <t>Denzin, Norman K.</t>
  </si>
  <si>
    <t>Studies in Symbolic Interaction Series</t>
  </si>
  <si>
    <t>HM499.S78eb vol. 33</t>
  </si>
  <si>
    <t>Expanding Sphere of Travel Behaviour Research : Selected Papers from the 11th International Conference on Travel Behaviour Research</t>
  </si>
  <si>
    <t>Kitamura, Ryuichi;Yoshii, Toshio;Yamamoto, Toshiyuki</t>
  </si>
  <si>
    <t>HE336.C5E96 2009</t>
  </si>
  <si>
    <t>Choice of transportation -- Congresses. ; Commuting -- Congresses. ; Urban transportation -- Congresses.</t>
  </si>
  <si>
    <t>El-Rouayheb, Khaled</t>
  </si>
  <si>
    <t>Homosexuality -- Arab countries -- History</t>
  </si>
  <si>
    <t>Scioli, Anthony;Biller, Henry</t>
  </si>
  <si>
    <t>BF204.6.S25 2009</t>
  </si>
  <si>
    <t>Positive psychology. ; Hope. ; Optimism.</t>
  </si>
  <si>
    <t>Managing Your Mind : The Mental Fitness Guide</t>
  </si>
  <si>
    <t>Butler, Gillian;Hope, Tony</t>
  </si>
  <si>
    <t>RA790.B83 2007</t>
  </si>
  <si>
    <t>Relational Being : Beyond Self and Community</t>
  </si>
  <si>
    <t>BF38.G46 2009</t>
  </si>
  <si>
    <t>Psychology -- Philosophy. ; Self. ; Individualism.</t>
  </si>
  <si>
    <t>Best Practices for Teaching Beginnings and Endings in the Psychology Major : Research, Cases, and Recommendations</t>
  </si>
  <si>
    <t>Dunn, Dana S.;Beins, Bernard B.;McCarthy, Maureen A.;Hill, G. William, IV;Goodwin, James</t>
  </si>
  <si>
    <t>BF80.7.U6B47 2010a</t>
  </si>
  <si>
    <t>150.71/173</t>
  </si>
  <si>
    <t>Psychology -- Study and teaching (Higher) -- United States -- Congresses. ; Psychologists -- Training of -- United States -- Congresses.</t>
  </si>
  <si>
    <t>Feeling Unreal : Depersonalization Disorder and the Loss of the Self</t>
  </si>
  <si>
    <t>Simeon, Daphne;Abugel, Jeffrey</t>
  </si>
  <si>
    <t>RC553.D4S56 2009</t>
  </si>
  <si>
    <t>Depersonalization. ; Identity (Psychology)</t>
  </si>
  <si>
    <t>Hoge, Robert;Andrews, D. A.</t>
  </si>
  <si>
    <t>HV9069.E93 2010</t>
  </si>
  <si>
    <t>Youth -- Psychological testing. ; Risk assessment. ; Youth and violence -- United States -- Prevention. ; Juvenile delinquency -- United States -- Prevention.</t>
  </si>
  <si>
    <t>Unconditional Care : Relationship-Based, Behavioral Intervention with Vulnerable Children and Families</t>
  </si>
  <si>
    <t>Sprinson, John S.;Berrick, Ken</t>
  </si>
  <si>
    <t>RJ505.B4S67 2010</t>
  </si>
  <si>
    <t>Behavior therapy for children. ; Problem children -- Behavior modification. ; Family counseling. ; Counselor and client.</t>
  </si>
  <si>
    <t>North, Carol;Yutzy, Sean;Goodwin, Donald W.</t>
  </si>
  <si>
    <t>RC455.2.C4N67 2010</t>
  </si>
  <si>
    <t>Mental illness -- Classification. ; Mental illness -- Diagnosis.</t>
  </si>
  <si>
    <t>Sex Appeal : Six Ethical Principles for the 21st Century</t>
  </si>
  <si>
    <t>Abramson, Paul</t>
  </si>
  <si>
    <t>HQ32.A27 2010</t>
  </si>
  <si>
    <t>Sexual ethics. ; Sex.</t>
  </si>
  <si>
    <t>The Red and the Real : An Essay on Color Ontology</t>
  </si>
  <si>
    <t>Cohen, Jonathan</t>
  </si>
  <si>
    <t>B105.C455C64 2009</t>
  </si>
  <si>
    <t>Color (Philosophy) ; Color -- Psychological aspects.</t>
  </si>
  <si>
    <t>Dixson, Alan F.</t>
  </si>
  <si>
    <t>GN484.3.D59 2009</t>
  </si>
  <si>
    <t>591.56/2</t>
  </si>
  <si>
    <t>Sex. ; Sexual selection in animals. ; Human behavior. ; Human evolution.</t>
  </si>
  <si>
    <t>Science: Zoology; Science; Social Science</t>
  </si>
  <si>
    <t>The New Executive Brain : Frontal Lobes in a Complex World</t>
  </si>
  <si>
    <t>Goldberg, Elkhonon;Goldberg, Elkhonon</t>
  </si>
  <si>
    <t>QP382.F7.G653 2009</t>
  </si>
  <si>
    <t>612.8/25</t>
  </si>
  <si>
    <t>Frontal lobes.</t>
  </si>
  <si>
    <t>Intelligent Research Design : A Guide for Beginning Researchers in the Social Sciences</t>
  </si>
  <si>
    <t>Hancké, Bob;Hancké, Bob</t>
  </si>
  <si>
    <t>H62.H244 2009</t>
  </si>
  <si>
    <t>Hysteria : The Disturbing History</t>
  </si>
  <si>
    <t>Scull, Andrew</t>
  </si>
  <si>
    <t>Biographies of Disease Series</t>
  </si>
  <si>
    <t>RC532.S38 2009</t>
  </si>
  <si>
    <t>Hysteria -- History. ; Psychiatry -- History.</t>
  </si>
  <si>
    <t>From Head to Hand : Art and the Manual</t>
  </si>
  <si>
    <t>Strauss, David Levi</t>
  </si>
  <si>
    <t>N71.S879 2010</t>
  </si>
  <si>
    <t>Art -- Psychology. ; Creation (Literary, artistic, etc.) ; Mind and body.</t>
  </si>
  <si>
    <t>Mental Health Services for Adults with Intellectual Disability : Strategies and Solutions</t>
  </si>
  <si>
    <t>RC570 -- .M378 2010eb</t>
  </si>
  <si>
    <t>Social Development (Routledge Revivals) : Its Nature and Conditions</t>
  </si>
  <si>
    <t>Hobhouse, L. T.</t>
  </si>
  <si>
    <t>HM51 -- .H63 2010eb</t>
  </si>
  <si>
    <t>Social change. ; Sociology. ; Social psychology.</t>
  </si>
  <si>
    <t>Film, Lacan and the Subject of Religion : A Psychoanalytic Approach to Religious Film Analysis</t>
  </si>
  <si>
    <t>Nolan, Steve</t>
  </si>
  <si>
    <t>PN1995.5.N65 2009</t>
  </si>
  <si>
    <t>205/.65</t>
  </si>
  <si>
    <t>Lacan, Jacques, -- 1901-1981. ; Motion pictures -- Religious aspects. ; Motion pictures -- Psychological aspects. ; Motion pictures -- Moral and ethical aspects. ; Religion in motion pictures.</t>
  </si>
  <si>
    <t>Fine Arts; Religion</t>
  </si>
  <si>
    <t>Conversate Is Not a Word : Getting Away from Ghetto</t>
  </si>
  <si>
    <t>Lawrence Hill Books</t>
  </si>
  <si>
    <t>Donaldson, Jam</t>
  </si>
  <si>
    <t>E185.625 -- .D66 2010eb</t>
  </si>
  <si>
    <t>African Americans -- Race identity. ; African Americans -- Psychology. ; African Americans -- Social life and customs. ; African Americans -- Social conditions.</t>
  </si>
  <si>
    <t>ADHD Workbook for Parents : A Guide for Parents of Children Ages 212 with Attention-Deficit/Hyperactivity Disorder</t>
  </si>
  <si>
    <t>Plantation</t>
  </si>
  <si>
    <t>Parker, Harvey C.</t>
  </si>
  <si>
    <t>RJ506.H9 -- P375 2005eb</t>
  </si>
  <si>
    <t>Attention-deficit hyperactivity disorder. ; Hyperactive children.</t>
  </si>
  <si>
    <t>Problem Solver Guide for Students with ADHD : Ready-to-Use Interventions for Elementary and Secondary Students</t>
  </si>
  <si>
    <t>LC4713.2 -- .P27 2000eb</t>
  </si>
  <si>
    <t>Attention-deficit hyperactivity disorder -- Handbooks, manuals, etc. ; Attention-deficit-disordered children -- Education -- Handbooks, manuals, etc. ; Attention-deficit-disordered youth -- Education -- Handbooks, manuals, etc.</t>
  </si>
  <si>
    <t>Denys, Damiaan</t>
  </si>
  <si>
    <t>VOR Geneeskunde, 330</t>
  </si>
  <si>
    <t>No. 330</t>
  </si>
  <si>
    <t>RC437.5 -- .D45 2009eb</t>
  </si>
  <si>
    <t>150;616.89;616.890076</t>
  </si>
  <si>
    <t>Psychiatry -- Philosophy. ; Mental illness -- Treatment. ; Psychotherapy.</t>
  </si>
  <si>
    <t>Hermanns, Jo</t>
  </si>
  <si>
    <t>VOR Maatschappij- en Gedragswetenschappen, 338</t>
  </si>
  <si>
    <t>HQ792.N4 -- H47 2009eb</t>
  </si>
  <si>
    <t>150;301</t>
  </si>
  <si>
    <t>Child rearing -- Netherlands. ; Parent and child -- Netherlands. ; Child development -- Netherlands.</t>
  </si>
  <si>
    <t>Oitzl, Melly S.</t>
  </si>
  <si>
    <t>VOR Natuurwetenschappen, Wiskunde en Informatica</t>
  </si>
  <si>
    <t>BF575.S75 -- O389 2008eb</t>
  </si>
  <si>
    <t>153.14;500</t>
  </si>
  <si>
    <t>Memory. ; Stress (Psychology)</t>
  </si>
  <si>
    <t>Science: General; Psychology</t>
  </si>
  <si>
    <t>Future Is Yours! : De gezondheidszorgpsycholoog op weg naar een professionele en zelfbewuste discipline</t>
  </si>
  <si>
    <t>Visser, Sako</t>
  </si>
  <si>
    <t>VOR Maatschappij- en Gedragswetenschappen</t>
  </si>
  <si>
    <t>BF75 -- .V58 2008eb</t>
  </si>
  <si>
    <t>150;616.89</t>
  </si>
  <si>
    <t>Psychology -- Practice -- Netherlands -- History. ; Clinical psychology -- Netherlands -- History. ; Psychologists -- Psychology.</t>
  </si>
  <si>
    <t>Vos, Tineke</t>
  </si>
  <si>
    <t>RC280.L8 -- V68 2009eb</t>
  </si>
  <si>
    <t>610;616.99/424;616.99424</t>
  </si>
  <si>
    <t>Lungs -- Cancer. ; Lungs -- Cancer -- Patients -- Psychology.</t>
  </si>
  <si>
    <t>Assessing Children's Well-Being : A Handbook of Measures</t>
  </si>
  <si>
    <t>Naar-King, Sylvie;Ellis, Deborah A.;Frey, Maureen A.;Ondersma, Michele Lee</t>
  </si>
  <si>
    <t>RJ50 -- .A835 2004eb</t>
  </si>
  <si>
    <t>618.92/0075</t>
  </si>
  <si>
    <t>Children -- Medical examinations -- Handbooks, manuals, etc. ; Children -- Diseases -- Diagnosis -- Handbooks, manuals, etc. ; Child development -- Testing -- Handbooks, manuals, etc. ; Medical screening -- Methodology -- Handbooks, manuals, etc.</t>
  </si>
  <si>
    <t>Watkins, C. Edward, Jr.;Campbell, Vicki L.</t>
  </si>
  <si>
    <t>Contemporary Topics in Vocational Psychology Series</t>
  </si>
  <si>
    <t>BF176 -- .T423 2000eb</t>
  </si>
  <si>
    <t>Psychological tests. ; Personality tests. ; Vocational interests -- Testing. ; Counseling.</t>
  </si>
  <si>
    <t>London, Manuel</t>
  </si>
  <si>
    <t>Applied Psychology Series</t>
  </si>
  <si>
    <t>HF5548.8 -- .H65 2001eb</t>
  </si>
  <si>
    <t>Psychology, Industrial. ; Social perception.</t>
  </si>
  <si>
    <t>Business/Management; Psychology</t>
  </si>
  <si>
    <t>Configural Frequency Analysis : Methods, Models, and Applications</t>
  </si>
  <si>
    <t>von Eye, Alexander</t>
  </si>
  <si>
    <t>BF39 -- .E94 2002eb</t>
  </si>
  <si>
    <t>Discriminant analysis. ; Psychometrics.</t>
  </si>
  <si>
    <t>Thomas, Nigel</t>
  </si>
  <si>
    <t>BF721.C45 2009</t>
  </si>
  <si>
    <t>Handbook of Integrative Clinical Psychology, Psychiatry, and Behavioral Medicine : Perspectives, Practices, and Research</t>
  </si>
  <si>
    <t>Carlstedt, Roland A.</t>
  </si>
  <si>
    <t>RA790.5.H28 2010</t>
  </si>
  <si>
    <t>362.196/89</t>
  </si>
  <si>
    <t>Mental health services--Handbooks, manuals, etc. ; Allied mental health personnel--Handbooks, manuals, etc. ; Clinical health psychology--Handbooks, manuals, etc. ; Eclectic psychotherapy--Handbooks, manuals, etc. ; Mental Disorders--therapy. ; Behavioral Medicine--methods. ; Integrative Medicine--methods. ; Psychiatry--methods. ; Psychotherapy--methods.</t>
  </si>
  <si>
    <t>Social Work Practice and Psychopharmacology : A Person-In-Environment Approach</t>
  </si>
  <si>
    <t>Dziegielewski, Sophia F.</t>
  </si>
  <si>
    <t>HV688.A2D95 2010</t>
  </si>
  <si>
    <t>362.1/0425</t>
  </si>
  <si>
    <t>Medical social work. ; Pharmacology.</t>
  </si>
  <si>
    <t>Bring Your a Game : A Young Athlete's Guide to Mental Toughness</t>
  </si>
  <si>
    <t>Etnier, Jennifer L.</t>
  </si>
  <si>
    <t>796.001/9</t>
  </si>
  <si>
    <t>Sports -- Psychological aspects. ; Athletes -- Training of. ; Athletes -- Psychology.</t>
  </si>
  <si>
    <t>Human Factors Issues in Combat Identification</t>
  </si>
  <si>
    <t>Herz, Robert P.;Andrews, Dee H.;Wolf, Mark B.;Harris, Don;Salas, Dr. Eduardo;Stanton, Professor Neville A.</t>
  </si>
  <si>
    <t>U167 -- .H96 2010eb</t>
  </si>
  <si>
    <t>Friendly fire (Military science) -- United States. ; Combat -- Psychological aspects. ; Combat -- Physiological aspects. ; Psychology, Military.</t>
  </si>
  <si>
    <t>Creativity, Spirituality, and Mental Health : Exploring Connections</t>
  </si>
  <si>
    <t>Mayo, Kelley Raab;Astley, Revd Jeff;Beckford, Professor James A.;Brummer, Mr. Richard;Brummer, Professor Vincent;Fiddes, Professor Paul S.;Gorringe, Professor T. J.;Grenz, Mr. Stanley J.;Hutch, Mr. Richard;Jasper, Dr. David</t>
  </si>
  <si>
    <t>Routledge New Critical Thinking in Religion, Theology and Biblical Studies</t>
  </si>
  <si>
    <t>BL53 -- .R215 2009eb</t>
  </si>
  <si>
    <t>Psychology, Religious. ; Psychology and religion. ; Creation (Literary, artistic, etc.) ; Mental illness -- Religious aspects.</t>
  </si>
  <si>
    <t>The Innateness of Myth : A New Interpretation of Joseph Campbell's Reception of C. G. Jung</t>
  </si>
  <si>
    <t>Rensma, Ritske</t>
  </si>
  <si>
    <t>Continuum Advances in Religious Studies</t>
  </si>
  <si>
    <t>BL303.6.C35R46 2009</t>
  </si>
  <si>
    <t>Campbell, Joseph, -- 1904-1987. ; Jung, C. G. -- (Carl Gustav), -- 1875-1961 -- Influence. ; Myth. ; Jungian psychology -- Religious aspects.</t>
  </si>
  <si>
    <t>Using the Medical Model in Education : Can Pills Make You Clever?</t>
  </si>
  <si>
    <t>Turner, David A.</t>
  </si>
  <si>
    <t>RM334 -- .T87 2010eb</t>
  </si>
  <si>
    <t>Nootropic agents. ; Education. ; Intellect. ; Neuropsychology.</t>
  </si>
  <si>
    <t>Work and Play : Collected Papers on the Philosophy of Psychology</t>
  </si>
  <si>
    <t>Allers, Rudolf;Batthyany, Alexander;Olaechea, Jorge;Tallon, Andrew</t>
  </si>
  <si>
    <t>Marquette Studies in Philosophy</t>
  </si>
  <si>
    <t>BF38 -- .A36 2009eb</t>
  </si>
  <si>
    <t>Botánica -- Publicaciones periódicas. ; Plantas -- Publicaciones periódicas. ; Botany -- Periodicals. ; Plants -- Periodicals. ; Botanica -- Publicaciones periodicas ; Libros electronicos.</t>
  </si>
  <si>
    <t>The Business of Neuropsychology : A Practical Guide</t>
  </si>
  <si>
    <t>Barisa, Mark</t>
  </si>
  <si>
    <t>RC386.6.N48B37 2010</t>
  </si>
  <si>
    <t>Clinical neuropsychology -- Practice. ; Clinical neuropsychology -- Economic aspects.</t>
  </si>
  <si>
    <t>Blindspots : The Many Ways We Cannot See</t>
  </si>
  <si>
    <t>Breitmeyer, Bruno</t>
  </si>
  <si>
    <t>BF241.B728 2010</t>
  </si>
  <si>
    <t>Cognition. ; Visual perception</t>
  </si>
  <si>
    <t>Every Day Is a Good Day : Reflections by Contemporary Indigenous Women</t>
  </si>
  <si>
    <t>Golden</t>
  </si>
  <si>
    <t>Chicago Review Press - Fulcrum</t>
  </si>
  <si>
    <t>Mankiller, Wilma;Steinem, Gloria;Steinem, Gloria</t>
  </si>
  <si>
    <t>E98.W8 -- M25 2004eb</t>
  </si>
  <si>
    <t>Indian women -- Psychology. ; Indian women -- Social conditions. ; Indian women -- Biography. ; Indian philosophy.</t>
  </si>
  <si>
    <t>Mesquita, Batja;Barrett, Lisa Feldman;Smith, Eliot R.</t>
  </si>
  <si>
    <t>BF315.2</t>
  </si>
  <si>
    <t>Context effects (Psychology)</t>
  </si>
  <si>
    <t>The Andragogic Learning Center : A Field Study in Social Work Education</t>
  </si>
  <si>
    <t>University Press of America, Incorporated</t>
  </si>
  <si>
    <t>Sonnheim, Moshe;Lehman, Shlomit</t>
  </si>
  <si>
    <t>HV11.8.I75S66 2010</t>
  </si>
  <si>
    <t>Lee, Gregory P.</t>
  </si>
  <si>
    <t>RC372.L43 2010</t>
  </si>
  <si>
    <t>Epilepsy. ; Epilepsy -- Psychological aspects. ; Epilepsy -- Surgery.</t>
  </si>
  <si>
    <t>Reaktion Books</t>
  </si>
  <si>
    <t>Brown, Ron</t>
  </si>
  <si>
    <t>Picturing History Series</t>
  </si>
  <si>
    <t>HV6545 -- .B76 2001eb</t>
  </si>
  <si>
    <t>704.9/4936228</t>
  </si>
  <si>
    <t>Suicide in art. ; Art -- History.</t>
  </si>
  <si>
    <t>Introduction to Political Psychology : 2nd Edition</t>
  </si>
  <si>
    <t>Cottam, Martha L.;Mastors, Elena;Preston, Thomas;Preston, Thomas</t>
  </si>
  <si>
    <t>JA74.5 -- .I58 2010eb</t>
  </si>
  <si>
    <t>Political psychology. ; Psychology.</t>
  </si>
  <si>
    <t>Hunt, Geoffrey;Moloney, Molly;Evans, Kristin</t>
  </si>
  <si>
    <t>HV5824.Y68 -- H86 2010eb</t>
  </si>
  <si>
    <t>Development and Prevention of Behaviour Problems : From Genes to Social Policy</t>
  </si>
  <si>
    <t>Tremblay, Richard E.;van Aken, Marcel A. G.;Koops, Willem</t>
  </si>
  <si>
    <t>RJ506.C65 -- D48 2009eb</t>
  </si>
  <si>
    <t>Herbert, Anna</t>
  </si>
  <si>
    <t>LB1027 -- .H3985 2010eb</t>
  </si>
  <si>
    <t>Sensible Ecstasy : Mysticism, Sexual Difference, and the Demands of History</t>
  </si>
  <si>
    <t>Hollywood, Amy</t>
  </si>
  <si>
    <t>Religion and Postmodernism Series</t>
  </si>
  <si>
    <t>BV5083</t>
  </si>
  <si>
    <t>248.2/2/09</t>
  </si>
  <si>
    <t>Women mystics -- Psychology -- History</t>
  </si>
  <si>
    <t>Ainsworth, Peter</t>
  </si>
  <si>
    <t>HV7936.P75.A367 2005</t>
  </si>
  <si>
    <t>Patrick, Ian;Georgaca, Eugenie;Harper, David;McLaughlin, Terence;Stowell-Smith, Mark</t>
  </si>
  <si>
    <t>616.8/9</t>
  </si>
  <si>
    <t>Supervising Counsellors : Issues of Responsibility</t>
  </si>
  <si>
    <t>Wheeler, Sue;King, David</t>
  </si>
  <si>
    <t>361/.06/0683</t>
  </si>
  <si>
    <t>Palmer, Stephen;Laungani, Pittu D.</t>
  </si>
  <si>
    <t>Clinical and Counseling</t>
  </si>
  <si>
    <t>BF637.C6C665 1999</t>
  </si>
  <si>
    <t>dArdenne, Patricia;Mahtani, Aruna</t>
  </si>
  <si>
    <t>BF637.C6 D</t>
  </si>
  <si>
    <t>Palmer, Stephen;McMahon, Gladeana</t>
  </si>
  <si>
    <t>BF636.6 -- .P35 1997eb</t>
  </si>
  <si>
    <t>Therapy Online : A Practical Guide</t>
  </si>
  <si>
    <t>Anthony, Kate;Merz Nagel, DeeAnna</t>
  </si>
  <si>
    <t>RC489.I54</t>
  </si>
  <si>
    <t>Internet in psychotherapy.</t>
  </si>
  <si>
    <t>Psychology; Medicine; Library Science</t>
  </si>
  <si>
    <t>Dryden, Windy;Thorne, Brian</t>
  </si>
  <si>
    <t>Inside Counselling : Becoming and Being a Professional Counsellor</t>
  </si>
  <si>
    <t>Crouch, Anthony</t>
  </si>
  <si>
    <t>BF637.C6$bC744 1997</t>
  </si>
  <si>
    <t>Edwards, Derek</t>
  </si>
  <si>
    <t>Feltham, Colin</t>
  </si>
  <si>
    <t>BF637.C6$bC5723 1999</t>
  </si>
  <si>
    <t>Co-Operative Inquiry : Research into the Human Condition</t>
  </si>
  <si>
    <t>Heron, John</t>
  </si>
  <si>
    <t>300.7/2</t>
  </si>
  <si>
    <t>Stewart, Ian</t>
  </si>
  <si>
    <t>Dual Relationships in Counselling and Psychotherapy : Exploring the Limits</t>
  </si>
  <si>
    <t>Syme, Gabrielle</t>
  </si>
  <si>
    <t>Ethics in Practice Series</t>
  </si>
  <si>
    <t>BF637.C6S94 2003</t>
  </si>
  <si>
    <t>Timulak, Laco;Timulak, Ladislav</t>
  </si>
  <si>
    <t>RC337 -- .T56 2008eb</t>
  </si>
  <si>
    <t>RC480.55 -- .B745 2008eb</t>
  </si>
  <si>
    <t>Valsiner, Jaan</t>
  </si>
  <si>
    <t>Developmental</t>
  </si>
  <si>
    <t>P96.T42D5513 1999</t>
  </si>
  <si>
    <t>Gorsuch, Neil M.</t>
  </si>
  <si>
    <t>New Forum Bks.</t>
  </si>
  <si>
    <t>R726.G65 2006</t>
  </si>
  <si>
    <t>From Guilt to Shame : Auschwitz and After</t>
  </si>
  <si>
    <t>Leys, Ruth</t>
  </si>
  <si>
    <t>20/21 Series</t>
  </si>
  <si>
    <t>BF575.G8L49 2007</t>
  </si>
  <si>
    <t>Effective Apology : Mending Fences, Building Bridges, and Restoring Trust</t>
  </si>
  <si>
    <t>Kador, John</t>
  </si>
  <si>
    <t>BK Business</t>
  </si>
  <si>
    <t>HD59.2.K34 2009</t>
  </si>
  <si>
    <t>Corporate image. ; Apologizing. ; Corporations -- Public relations. ; Business communication. ; Crisis management.</t>
  </si>
  <si>
    <t>The Wound of Mortality : Fear, Denial, and Acceptance of Death</t>
  </si>
  <si>
    <t>Akhtar, Salman;Brenner, Ira;Coen, Stanley J.;Colarusso, Calvin A.;Etezady, Hossein M.;Foster, Michelle;Garfield, Ruth;Guzder, Jaswant;Hoffman, Leon;Johnson, Eileen</t>
  </si>
  <si>
    <t>Margaret S. Mahler Series</t>
  </si>
  <si>
    <t>BF789.D4.W68 2010</t>
  </si>
  <si>
    <t>Death--Psychological aspects. ; Fear. ; Denial (Psychology).</t>
  </si>
  <si>
    <t>Therapeutic Attachment Relationships : Interaction Structures and the Processes of Therapeutic Change</t>
  </si>
  <si>
    <t>Northvale NJ</t>
  </si>
  <si>
    <t>Goodman, Geoff</t>
  </si>
  <si>
    <t>RC455.4.A84G66 2009</t>
  </si>
  <si>
    <t>Psychotherapy. ; Attachment behavior. ; Psychotherapist and patient. ; Object Attachment. ; Professional-Patient Relations. ; Psychotherapy.</t>
  </si>
  <si>
    <t>Freud on a Precipice : How Freud's Fate Pushed Psychoanalysis over the Edge</t>
  </si>
  <si>
    <t>Langs, Robert</t>
  </si>
  <si>
    <t>BF109.F74.L365 2009</t>
  </si>
  <si>
    <t>150.19/52092</t>
  </si>
  <si>
    <t>Freud, Sigmund, 1856-1939. ; Freud, Sigmund, 1856-1939--Psychology. ; Freud, Sigmund, 1856-1939. ; Psychoanalysis--History. ; Psychoanalysis--history. ; Freudian Theory--history.</t>
  </si>
  <si>
    <t>Ferenczi's Language of Tenderness : Working with Disturbances from the Earliest Years</t>
  </si>
  <si>
    <t>Rentoul, Robert W.</t>
  </si>
  <si>
    <t>RC438.6.F47R46 2010</t>
  </si>
  <si>
    <t>Ferenczi, Sándor, 1873-1933. ; Psychoanalysis. ; Psychotherapy.</t>
  </si>
  <si>
    <t>Armstrong, Thomas</t>
  </si>
  <si>
    <t>LB1025.3 -- .A76 2009eb</t>
  </si>
  <si>
    <t>Teaching. ; Cognitive styles. ; Learning. ; Multiple intelligences.</t>
  </si>
  <si>
    <t>How Mathematicians Think : Using Ambiguity, Contradiction, and Paradox to Create Mathematics</t>
  </si>
  <si>
    <t>Byers, William</t>
  </si>
  <si>
    <t>BF456.N7B94 2007</t>
  </si>
  <si>
    <t>Psychology; Mathematics</t>
  </si>
  <si>
    <t>Landrine, Hope;Russo, Nancy Felipe</t>
  </si>
  <si>
    <t>BF201.4.H36 2010</t>
  </si>
  <si>
    <t>Multiculturalism -- Psychological aspects</t>
  </si>
  <si>
    <t>Moved by Love : Inspired Artists and Deviant Women in Eighteenth-Century France</t>
  </si>
  <si>
    <t>Sheriff, Mary D.</t>
  </si>
  <si>
    <t>NX549</t>
  </si>
  <si>
    <t>700/.82/0944</t>
  </si>
  <si>
    <t>Héloïse, -- 1101-1164</t>
  </si>
  <si>
    <t>Donders, Jacobus;Hunter, Scott J.</t>
  </si>
  <si>
    <t>RJ486.5 -- .P75 2010eb</t>
  </si>
  <si>
    <t>Stedmon, Jacqui;Dallos, Rudi</t>
  </si>
  <si>
    <t>RC480 .R44 2009</t>
  </si>
  <si>
    <t>Psychotherapy. ; Counseling.</t>
  </si>
  <si>
    <t>McMahon, Gladeana;Archer, Anne</t>
  </si>
  <si>
    <t>Essential Coaching Skills and Knowledge Series</t>
  </si>
  <si>
    <t>BF637.P36 -- A15 2010eb</t>
  </si>
  <si>
    <t>Working with Affect in Feminist Readings : Disturbing Differences</t>
  </si>
  <si>
    <t>Liljeström, Marianne;Paasonen, Susanna;Paasonen, Susanna</t>
  </si>
  <si>
    <t>BF531 -- .L528 2009eb</t>
  </si>
  <si>
    <t>Affect (Psychology) ; Feminism.</t>
  </si>
  <si>
    <t>Greenwood</t>
  </si>
  <si>
    <t>Brooks, Charles I.;Church, Michael A.</t>
  </si>
  <si>
    <t>Psychology -- Popular works</t>
  </si>
  <si>
    <t>Evolutionary Psychology and Violence : A Primer for Policymakers and Public Policy Advocates</t>
  </si>
  <si>
    <t>Bloom, Richard W.;Dess, Nancy</t>
  </si>
  <si>
    <t>Psychological Dimensions to War and Peace Series</t>
  </si>
  <si>
    <t>HM1116 -- .E96 2003eb</t>
  </si>
  <si>
    <t>Violence -- Psychological aspects. ; Social conflict -- Psychological aspects. ; Genetic psychology. ; Violence -- Government policy. ; Social conflict -- Government policy.</t>
  </si>
  <si>
    <t>Between Stress and Hope : From a Disease-Centered to a Health-Centered Perspective</t>
  </si>
  <si>
    <t>Jacoby, Rebecca;Keinan, Giora</t>
  </si>
  <si>
    <t>Praeger Series in Health Psychology Series</t>
  </si>
  <si>
    <t>R726.7.B48 2003</t>
  </si>
  <si>
    <t>Emotion and Conflict : How Human Rights Can Dignify Emotion and Help Us Wage Good Conflict</t>
  </si>
  <si>
    <t>Lindner, Evelin</t>
  </si>
  <si>
    <t>Contemporary Psychology Series</t>
  </si>
  <si>
    <t>BF531.L53 2009</t>
  </si>
  <si>
    <t>Emotions. ; Humiliation. ; Social conflict -- Psychological aspects.</t>
  </si>
  <si>
    <t>Redressing the Emperor : Improving Our Children's Public Mental Health System</t>
  </si>
  <si>
    <t>Lyons, John</t>
  </si>
  <si>
    <t>RJ111.L96 2004</t>
  </si>
  <si>
    <t>362.2/083/0973</t>
  </si>
  <si>
    <t>Child mental health. ; Child mental health services. ; Public health.</t>
  </si>
  <si>
    <t>Paludi, Michele A.</t>
  </si>
  <si>
    <t>Non-Series</t>
  </si>
  <si>
    <t>BF692.2 -- .P73 2004eb</t>
  </si>
  <si>
    <t>Energía. ; Radiación solar. ; Renewable energy sources. ; Solar energy. ; Energía renovable ; Libros electronicos.</t>
  </si>
  <si>
    <t>Adult Children of Divorce : Confused Love Seekers</t>
  </si>
  <si>
    <t>Piorkowski, Geraldine K.</t>
  </si>
  <si>
    <t>HQ777.5.P56 2008</t>
  </si>
  <si>
    <t>Adult children of divorced parents -- Psychology</t>
  </si>
  <si>
    <t>Athletes Who Indulge Their Dark Side : Sex, Drugs, and Cover-Ups</t>
  </si>
  <si>
    <t>Teitelbaum, Stanley H.</t>
  </si>
  <si>
    <t>GV706.4.T42 2010</t>
  </si>
  <si>
    <t>796/.01</t>
  </si>
  <si>
    <t>Athletes--Psychology. ; Athletes--Drug use. ; Athletes--Sexual behavior. ; Doping in sports. ; Compulsive behavior.</t>
  </si>
  <si>
    <t>Contemporary Directions in Psychopathology : Scientific Foundations of the DSM-V and ICD-11</t>
  </si>
  <si>
    <t>Millon, Theodore;Krueger, Robert F.;Simonsen, Erik</t>
  </si>
  <si>
    <t>RC454</t>
  </si>
  <si>
    <t>Psychology, Pathological. ; Mental illness -- Etiology. ; Mental illness -- Diagnosis. ; Mental illness -- Classification.</t>
  </si>
  <si>
    <t>Selekman, Matthew D.</t>
  </si>
  <si>
    <t>RJ505.S64</t>
  </si>
  <si>
    <t>Solution-focused therapy for children. ; Brief psychotherapy. ; Family psychotherapy.</t>
  </si>
  <si>
    <t>Subtle Suicide : Our Silent Epidemic of Ambivalence about Living</t>
  </si>
  <si>
    <t>Church, Michael A.;Brooks, Charles I.</t>
  </si>
  <si>
    <t>RC569.C487 2009</t>
  </si>
  <si>
    <t>Suicide--Psychology. ; Self-destructive behavior. ; Uncertainty. ; Suicide--Case studies.</t>
  </si>
  <si>
    <t>Divorcing with Children : Expert Answers to Tough Questions from Parents and Children</t>
  </si>
  <si>
    <t>Lippman, Jessica G.;Lewis, Paddy Greenwall</t>
  </si>
  <si>
    <t>HQ777.5.L54 2008</t>
  </si>
  <si>
    <t>Children of divorced parents. ; Divorced parents. ; Divorce -- Psychological aspects.</t>
  </si>
  <si>
    <t>Havens : Stories of True Community Healing</t>
  </si>
  <si>
    <t>Jason, Leonard;Perdoux, Martin;Moore, Thomas</t>
  </si>
  <si>
    <t>RA790.55.J37 2004</t>
  </si>
  <si>
    <t>Community mental health services -- United States. ; Healing -- Social aspects. ; Community psychology. ; Therapeutic communities.</t>
  </si>
  <si>
    <t>Light, Bright, and Damned near White : Biracial and Triracial Culture in America</t>
  </si>
  <si>
    <t>Bird, Stephanie R.;Bird, Stephanie Rose</t>
  </si>
  <si>
    <t>Race and Ethnicity in Psychology Series</t>
  </si>
  <si>
    <t>GN495.6 -- .B56 2009eb</t>
  </si>
  <si>
    <t>Ethnicity. ; Ethnopsychology. ; Blacks -- Race identity. ; Whites -- Race identity. ; Race awareness. ; Race relations.</t>
  </si>
  <si>
    <t>State Violence and the Right to Peace [4 Volumes] : An International Survey of the Views of Ordinary People [4 Volumes]</t>
  </si>
  <si>
    <t>Whiteley, John M.;Malley-Morrison, Kathleen</t>
  </si>
  <si>
    <t>HN380.V5S73 2009</t>
  </si>
  <si>
    <t>Violence--Europe--History. ; Violence--North America--History.</t>
  </si>
  <si>
    <t>Olfman, Sharna</t>
  </si>
  <si>
    <t>Childhood in America Series</t>
  </si>
  <si>
    <t>RJ504.7.N6 2006</t>
  </si>
  <si>
    <t>Medication abuse -- United States</t>
  </si>
  <si>
    <t>Fooling Ourselves : Self-Deception in Politics, Religion, and Terrorism</t>
  </si>
  <si>
    <t>Triandis, Harry C.</t>
  </si>
  <si>
    <t>International Contributions in Psychology Series</t>
  </si>
  <si>
    <t>Self-deception. ; Deception.</t>
  </si>
  <si>
    <t>Doing Family Photography : The Domestic, the Public and the Politics of Sentiment</t>
  </si>
  <si>
    <t>Rose, Gillian</t>
  </si>
  <si>
    <t>TR183 -- .R67 2010eb</t>
  </si>
  <si>
    <t>Children As Decision Makers in Education : Sharing Experiences Across Cultures</t>
  </si>
  <si>
    <t>Cox, Sue;Dyer, Caroline;Robinson-Pant, Anna;Schweisfurth, Michele;Cox, Sue;Dyer, Caroline;Robinson-Pant, Anna</t>
  </si>
  <si>
    <t>LB1555.C52 2010</t>
  </si>
  <si>
    <t>Education, Elementary -- Decision making -- Cross-cultural studies. ; School children -- Cross-cultural studies. ; Child psychology -- Cross-cultural studies. ; Decision making -- Cross-cultural studies.</t>
  </si>
  <si>
    <t>Against the Personification of Democracy : A Lacanian Critique of Political Subjectivity</t>
  </si>
  <si>
    <t>Swedlow, Wesley C.</t>
  </si>
  <si>
    <t>JA71.S87 2010</t>
  </si>
  <si>
    <t>Lacan, Jacques, -- 1901-1981. ; Political science -- Philosophy. ; Subjectivity.</t>
  </si>
  <si>
    <t>Murder in Baker Company : How Four American Soldiers Killed One of Their Own</t>
  </si>
  <si>
    <t>McCain, Cilla</t>
  </si>
  <si>
    <t>HV6533.G4 -- M38 2010eb</t>
  </si>
  <si>
    <t>364.152/3092</t>
  </si>
  <si>
    <t>Davis, Richard Thomas, -- 1978-2003 -- Death and burial. ; Davis, Richard Thomas, -- 1978-2003 -- Mental health. ; Murder -- Georgia -- Fort Benning. ; Soldiers -- Crimes against -- United States. ; Iraq War, 2003-2011 -- Psychological aspects. ; Iraq War, 2003-2011 -- Atrocities. ; War crimes -- Iraq -- Mosul.</t>
  </si>
  <si>
    <t>Social Identity and Conflict : Structures, Dynamics, and Implications</t>
  </si>
  <si>
    <t>Korostelina, K.</t>
  </si>
  <si>
    <t>HM621-656</t>
  </si>
  <si>
    <t>Hartlage, Lawrence C.;Horton, Arthur MacNeill, Jr.</t>
  </si>
  <si>
    <t>RA1147.5.H36 2010</t>
  </si>
  <si>
    <t>Kennedy, Carrie;Moore, Jeffrey</t>
  </si>
  <si>
    <t>UH629.3.M55 2010</t>
  </si>
  <si>
    <t>Military psychiatry--United States. ; Psychology, Military. ; Clinical neuropsychology. ; Trauma, Nervous System. ; Military Personnel--psychology. ; Nervous System Diseases--psychology. ; Neuropsychology--methods. ; Psychology, Military--methods.</t>
  </si>
  <si>
    <t>Military Science; Medicine</t>
  </si>
  <si>
    <t>Motor Learning in Practice : A Constraints-Led Approach</t>
  </si>
  <si>
    <t>Renshaw, Ian;Davids, Keith;Savelsbergh, Geert J. P.</t>
  </si>
  <si>
    <t>BF295 -- .M68 2010eb</t>
  </si>
  <si>
    <t>612.8/11</t>
  </si>
  <si>
    <t>Science; Psychology; Science: Anatomy/Physiology</t>
  </si>
  <si>
    <t>Cognition and Emotion : Reviews of Current Research and Theories</t>
  </si>
  <si>
    <t>de Houwer, Jan;Hermans, Dirk</t>
  </si>
  <si>
    <t>BF311 -- .C54773 2010eb</t>
  </si>
  <si>
    <t>van Schaik, Leon;London, Geoffrey;London, Geoffrey</t>
  </si>
  <si>
    <t>NA2500 -- .V36 2010eb</t>
  </si>
  <si>
    <t>Creation (Literary, artistic, etc.) ; Architects -- Psychology. ; Architectural design.</t>
  </si>
  <si>
    <t>Architecture</t>
  </si>
  <si>
    <t>Metacognition and Severe Adult Mental Disorders : From Research to Treatment</t>
  </si>
  <si>
    <t>Dimaggio, Giancarlo;Lysaker, Paul H.</t>
  </si>
  <si>
    <t>RC454 -- .M474 2010eb</t>
  </si>
  <si>
    <t>Off the Couch : Contemporary Psychoanalytic Applications</t>
  </si>
  <si>
    <t>Lemma, Alessandra;Patrick, Matthew</t>
  </si>
  <si>
    <t>RA790 -- .O34 2010eb</t>
  </si>
  <si>
    <t>Mental health. ; Psychoanalysis.</t>
  </si>
  <si>
    <t>Arguments, Aggression, and Conflict : New Directions in Theory and Research</t>
  </si>
  <si>
    <t>Avtgis, Theodore;Rancer, Andrew S.</t>
  </si>
  <si>
    <t>HM1116 -- .A74 2010eb</t>
  </si>
  <si>
    <t>Aggressiveness. ; Communication. ; Interpersonal communication. ; Interpersonal conflict.</t>
  </si>
  <si>
    <t>The Gendered Unconscious : Can Gender Discourses Subvert Psychoanalysis?</t>
  </si>
  <si>
    <t>Gyler, Louise;Gyler, Louise</t>
  </si>
  <si>
    <t>BF175.4.F45 -- G95 2010eb</t>
  </si>
  <si>
    <t>150.19/5082</t>
  </si>
  <si>
    <t>Psychoanalysis and feminism. ; Women and psychoanalysis. ; Feminism -- Psychological aspects.</t>
  </si>
  <si>
    <t>People and Societies : Rom Harré and Designing the Social Sciences</t>
  </si>
  <si>
    <t>van Langenhove, Luk;Luk, Van Langenhove</t>
  </si>
  <si>
    <t>HM1033 -- .H38 2010eb</t>
  </si>
  <si>
    <t>University of Wales Press</t>
  </si>
  <si>
    <t>Cardiff</t>
  </si>
  <si>
    <t>Cleminson, Richard;García, Francisco Vázquez</t>
  </si>
  <si>
    <t>Iberian and Latin American Studies</t>
  </si>
  <si>
    <t>RC883 -- .C54 2009eb</t>
  </si>
  <si>
    <t>When a Brother or Sister Dies : Looking Back, Moving Forward</t>
  </si>
  <si>
    <t>Berman, Claire</t>
  </si>
  <si>
    <t>BF575.G7B477 2009</t>
  </si>
  <si>
    <t>Bereavement -- Psychological aspects. ; Brothers and sisters -- Death -- Psychological aspects.</t>
  </si>
  <si>
    <t>Cutler, Janis;Marcus, Eric</t>
  </si>
  <si>
    <t>RC454 .P793 2010</t>
  </si>
  <si>
    <t>Psychiatry. ; Psychology, Pathological.</t>
  </si>
  <si>
    <t>RC553.C64S78 2010</t>
  </si>
  <si>
    <t>616.8/0471</t>
  </si>
  <si>
    <t>Anosognosia. ; Nervous system -- Degeneration -- Rehabilitation. ; Hemiplegia. ; Internal medicine.</t>
  </si>
  <si>
    <t>Heilbrun, Kirk;Grisso, Thomas;Goldstein, Alan</t>
  </si>
  <si>
    <t>RA1151.H38 2009</t>
  </si>
  <si>
    <t>Forensic psychiatry. ; Mental illness -- Diagnosis.</t>
  </si>
  <si>
    <t>Holland, Jimmie C.;Breitbart, William S.;Jacobsen, Paul B.</t>
  </si>
  <si>
    <t>RC262 -- .P7825 2010eb</t>
  </si>
  <si>
    <t>616.99/40019</t>
  </si>
  <si>
    <t>Cancer -- Psychological aspects. ; Cancer -- Patients -- Mental health.</t>
  </si>
  <si>
    <t>When Caregivers Kill : Understanding Child Murder by Parents and Other Guardians</t>
  </si>
  <si>
    <t>Lanham, MD</t>
  </si>
  <si>
    <t>Alt, Betty L.;Wells, Sandra K.</t>
  </si>
  <si>
    <t>HV6542.A48 2010</t>
  </si>
  <si>
    <t>364.152/3083</t>
  </si>
  <si>
    <t>Filicide. ; Infanticide. ; Children--Crimes against. ; Caregivers--Psychology.</t>
  </si>
  <si>
    <t>Family-Focused Trauma Intervention : Using Metaphor and Play with Victims of Abuse and Neglect</t>
  </si>
  <si>
    <t>Pernicano, Patricia</t>
  </si>
  <si>
    <t>RJ506.P66P47 2010</t>
  </si>
  <si>
    <t>Psychic trauma in children. ; Abused children--Psychology. ; Abused children--Rehabilitation. ; Child psychotherapy. ; Family psychotherapy.</t>
  </si>
  <si>
    <t>Demystifying Meaningful Coincidences (Synchronicities) : The Evolving Self, the Personal Unconscious, and the Creative Process</t>
  </si>
  <si>
    <t>Williams, Gibbs A.</t>
  </si>
  <si>
    <t>BF1175.W55 2010</t>
  </si>
  <si>
    <t>Coincidence.</t>
  </si>
  <si>
    <t>Formative Experiences : The Interaction of Caregiving, Culture, and Developmental Psychobiology</t>
  </si>
  <si>
    <t>Worthman, Carol M.;Plotsky, Paul M.;Schechter, Daniel S.;Cummings, Constance A.</t>
  </si>
  <si>
    <t>HQ755.8 .F67 2010</t>
  </si>
  <si>
    <t>Parenting -- Cross-cultural studies. ; Developmental psychobiology.</t>
  </si>
  <si>
    <t>When Language Breaks Down : Analysing Discourse in Clinical Contexts</t>
  </si>
  <si>
    <t>Asp, Elissa D.;de de Villiers, Jessica</t>
  </si>
  <si>
    <t>RC423 -- .A82 2010eb</t>
  </si>
  <si>
    <t>616.85/5</t>
  </si>
  <si>
    <t>Pediatric Traumatic Brain Injury : New Frontiers in Clinical and Translational Research</t>
  </si>
  <si>
    <t>Anderson, Vicki;Yeates, Keith Owen</t>
  </si>
  <si>
    <t>RJ496.B7 -- P436 2010eb</t>
  </si>
  <si>
    <t>Benign Bigotry : The Psychology of Subtle Prejudice</t>
  </si>
  <si>
    <t>Anderson, Kristin J.</t>
  </si>
  <si>
    <t>HM1091 -- .A53 2010eb</t>
  </si>
  <si>
    <t>Beyond Belief : Skepticism, Science and the Paranormal</t>
  </si>
  <si>
    <t>Bridgstock, Martin</t>
  </si>
  <si>
    <t>BF1001 .B668 2009</t>
  </si>
  <si>
    <t>Parapsychology. ; Parapsychology and science. ; Skepticism.</t>
  </si>
  <si>
    <t>Heroes and Victims : Remembering War in Twentieth-Century Romania</t>
  </si>
  <si>
    <t>Bucur-Deckard, Maria</t>
  </si>
  <si>
    <t>Indiana-Michigan Series in Russian and East European Studies</t>
  </si>
  <si>
    <t>DR268.3.B83 2009</t>
  </si>
  <si>
    <t>303.6/6094980904</t>
  </si>
  <si>
    <t>Memorialization -- Romania -- History -- 20th century. ; Memory -- Social aspects -- Romania. ; War and society -- Romania. ; World War, 1914-1918 -- Social aspects -- Romania. ; World War, 1939-1945 -- Social aspects -- Romania. ; War memorials -- Social aspects -- Romania. ; Collective memory -- Romania.</t>
  </si>
  <si>
    <t>Larson, Eric V.;Darilek, Richard E.;Kaye, Dalia Dassa;Morgan, Forrest E;Nichiporuk, Brian</t>
  </si>
  <si>
    <t>UB413 -- .U434 2009eb</t>
  </si>
  <si>
    <t>355.4/1</t>
  </si>
  <si>
    <t>Generals -- United States -- Information services. ; Command of troops. ; Influence (Psychology) ; Information warfare -- United States. ; Combined operations (Military science) ; United States -- Armed Forces -- Planning. ; United States -- Armed Forces -- Officers -- Information services.</t>
  </si>
  <si>
    <t>Translating Lives : Living with Two Languages and Cultures</t>
  </si>
  <si>
    <t>Saint Lucia</t>
  </si>
  <si>
    <t>Besemeres, Mary;Wierzbicka, Anna</t>
  </si>
  <si>
    <t>P35.5.A8 -- T73 2007eb</t>
  </si>
  <si>
    <t>Language and culture -- Australia. ; Intercultural communication. ; Bilingualism -- Psychological aspects. ; Identity (Psychology)</t>
  </si>
  <si>
    <t>Counselling Ideologies : Queer Challenges to Heteronormativity</t>
  </si>
  <si>
    <t>Moon, Lyndsey</t>
  </si>
  <si>
    <t>RC451.4.G39 -- C68 2010eb</t>
  </si>
  <si>
    <t>Gays -- Psychology. ; Gays -- Counseling of. ; Sexual minorities -- Psychology. ; Sexual minorities -- Counseling of. ; Queer theory -- Psychological aspects. ; Psychotherapy.</t>
  </si>
  <si>
    <t>Exercise and Eating Disorders : An Ethical and Legal Analysis</t>
  </si>
  <si>
    <t>Giordano, Simona;McNamee, Mike J.;Parry, Jim</t>
  </si>
  <si>
    <t>Ethics and Sport Series</t>
  </si>
  <si>
    <t>RC552.E18 -- G56 2010eb</t>
  </si>
  <si>
    <t>616.85/260642</t>
  </si>
  <si>
    <t>Bornstein, Marc H.;Bradley, Robert H.</t>
  </si>
  <si>
    <t>Parenting. ; Parent and child. ; Child development. ; Social status.</t>
  </si>
  <si>
    <t>Cultures and Identities in Transition : Jungian Perspectives</t>
  </si>
  <si>
    <t>Stein, Murray;Jones, Raya A.</t>
  </si>
  <si>
    <t>BF697 -- .C85 2010eb</t>
  </si>
  <si>
    <t>Balcetis, Emily;Lassiter, G. Daniel</t>
  </si>
  <si>
    <t>HM1033 -- .S63 2010eb</t>
  </si>
  <si>
    <t>Social psychology. ; Visual perception. ; Motivation (Psychology) ; Cognitive neuroscience.</t>
  </si>
  <si>
    <t>Compassion Focused Therapy : Distinctive Features</t>
  </si>
  <si>
    <t>CBT Distinctive Features Series</t>
  </si>
  <si>
    <t>RC489.F62 -- G55 2010eb</t>
  </si>
  <si>
    <t>Emotion-focused therapy. ; Compassion. ; Cognitive therapy.</t>
  </si>
  <si>
    <t>Understanding Mental Retardation : A Resource for Parents, Caregivers and Counselors</t>
  </si>
  <si>
    <t>Jackson</t>
  </si>
  <si>
    <t>Ainsworth, Patricia;Baker, Pamela C</t>
  </si>
  <si>
    <t>Understanding Health &amp; Sickness</t>
  </si>
  <si>
    <t>RC570 -- .A43 2004eb</t>
  </si>
  <si>
    <t>Medicine. -- General. -- Periodicals. -- Cuba. ; Medicina. -- General. -- Publicaciones seriadas. -- Cuba. ; Libros electronicos.</t>
  </si>
  <si>
    <t>Ainsworth, Patricia</t>
  </si>
  <si>
    <t>Understanding Consumer Health</t>
  </si>
  <si>
    <t>RC537 -- .A39 2000eb</t>
  </si>
  <si>
    <t>Brown, Alan</t>
  </si>
  <si>
    <t>Buttross, L Susan</t>
  </si>
  <si>
    <t>Understanding Health and Sickness</t>
  </si>
  <si>
    <t>RJ506.H9 -- B88 2007eb</t>
  </si>
  <si>
    <t>Henderson, Elizabeth;Cotton, Trystan T;Springer, Kimberly</t>
  </si>
  <si>
    <t>RC533 -- .H465 2000eb</t>
  </si>
  <si>
    <t>Addicts. ; Compulsive behavior. ; Dual diagnosis. ; Substance abuse.</t>
  </si>
  <si>
    <t>Understanding Panic and Other Anxiety Disorders : And Other Anxiety Disorders</t>
  </si>
  <si>
    <t>Root, Benjamin;Root, M D Benjamin</t>
  </si>
  <si>
    <t>RC535 -- .R66 2000eb</t>
  </si>
  <si>
    <t>Smith, Clinton</t>
  </si>
  <si>
    <t>RJ399.C6 -- S63 1999eb</t>
  </si>
  <si>
    <t>618.92/398</t>
  </si>
  <si>
    <t>Lockstep and Dance : Images of Black Men in Popular Culture</t>
  </si>
  <si>
    <t>Tucker, Linda</t>
  </si>
  <si>
    <t>E185.625 -- .T83 2007eb</t>
  </si>
  <si>
    <t>305.896/073</t>
  </si>
  <si>
    <t>African Americans in popular culture. ; African Americans -- Race identity. ; African American men -- Public opinion. ; African American men -- Social conditions. ; Stereotypes (Social psychology) -- United States. ; Racism in popular culture -- United States. ; Popular culture -- United States.</t>
  </si>
  <si>
    <t>Guinote, Ana;Vescio, Theresa K.</t>
  </si>
  <si>
    <t>HM1251</t>
  </si>
  <si>
    <t>Authority. ; Social control. ; Social influence. ; Control (Psychology)</t>
  </si>
  <si>
    <t>Understanding Bipolar Disorder : A Developmental Psychopathology Perspective</t>
  </si>
  <si>
    <t>Miklowitz, David J.;Cicchetti, Dante;Cicchetti, Dante</t>
  </si>
  <si>
    <t>RC516</t>
  </si>
  <si>
    <t>616.89/5</t>
  </si>
  <si>
    <t>Manic-depressive illness. ; Developmental psychobiology.</t>
  </si>
  <si>
    <t>Eating Disorders : The Facts</t>
  </si>
  <si>
    <t>Abraham, Suzanne</t>
  </si>
  <si>
    <t>RC552.E18 -- A27 2008eb</t>
  </si>
  <si>
    <t>Ciencias sociales -- Artículos -- Publicaciones periódicas. ; Social sciences -- Periodicals. ; Articulos -- Publicaciones periodicas ; Libros electronicos.</t>
  </si>
  <si>
    <t>Spirit Possession and Trance : New Interdisciplinary Perspectives</t>
  </si>
  <si>
    <t>Schmidt, Bettina E.;Huskinson, Lucy</t>
  </si>
  <si>
    <t>BL482 -- .S63 2010eb</t>
  </si>
  <si>
    <t>Trance</t>
  </si>
  <si>
    <t>John Locke and Personal Identity : Immortality and Bodily Resurrection in 17th-Century Philosophy</t>
  </si>
  <si>
    <t>Forstrom, K. Joanna S.;Forstrom, S.</t>
  </si>
  <si>
    <t>B1297 -- .F67 2010eb</t>
  </si>
  <si>
    <t>Locke, John, -- 1632-1704. ; Identity (Psychology) ; Immortality. ; Future life. ; Resurrection. ; Philosophy, Modern -- 17th century.</t>
  </si>
  <si>
    <t>Reform, Identity and Narratives of Belonging : The Heraka Movement in Northeast India</t>
  </si>
  <si>
    <t>Longkumer, Arkotong</t>
  </si>
  <si>
    <t>DS432.Z46 -- L66 2010eb</t>
  </si>
  <si>
    <t>299.5/4</t>
  </si>
  <si>
    <t>Zeme (Indic people) -- India -- North Cachar Hills -- Religion. ; Heraka movement. ; Group identity -- India -- North Cachar Hills -- History -- 20th century. ; Nationalism -- India -- North Cachar Hills -- History -- 20th century.</t>
  </si>
  <si>
    <t>Religion; History</t>
  </si>
  <si>
    <t>Raffoul, FranÃ§ois</t>
  </si>
  <si>
    <t>Studies in Continental Thought</t>
  </si>
  <si>
    <t>BJ1451 -- .R34 2010eb</t>
  </si>
  <si>
    <t>Responsibility. ; Continental philosophy.</t>
  </si>
  <si>
    <t>Healing Your Holiday Grief : 100 Practical Ideas for Blending Mourning and Celebration During the Holiday Season</t>
  </si>
  <si>
    <t>Wolfelt, Alan D;Wolfelt, Alan D</t>
  </si>
  <si>
    <t>Healing Your Grieving Heart series</t>
  </si>
  <si>
    <t>BF575.G7 -- W65 2005eb</t>
  </si>
  <si>
    <t>Grief. ; Holidays -- Psychological aspects.</t>
  </si>
  <si>
    <t>Living in the Shadow of the Ghosts of Your Grief : A Guide for Life, Living and Loving</t>
  </si>
  <si>
    <t>Wolfelt, Alan D.</t>
  </si>
  <si>
    <t>BF575.G7 -- W645 2007eb</t>
  </si>
  <si>
    <t>Death -- Psychological aspects. ; Grief -- Psychological aspects.</t>
  </si>
  <si>
    <t>The Handbook for Companioning the Mourner : Eleven Essential Principles</t>
  </si>
  <si>
    <t>The Companioning Series</t>
  </si>
  <si>
    <t>BF575.G7 -- W6443 2009eb</t>
  </si>
  <si>
    <t>Bereavement -- Psychological aspects. ; Bereavement. ; Grief therapy. ; Grief.</t>
  </si>
  <si>
    <t>The Wellbeing of Children in Care : A New Approach for Improving Developmental Outcomes</t>
  </si>
  <si>
    <t>Owusu-Bempah, Kwame</t>
  </si>
  <si>
    <t>HV873 -- .O98 2010eb</t>
  </si>
  <si>
    <t>362.73/2</t>
  </si>
  <si>
    <t>After the Orphange : Life Beyond the Childrens Home</t>
  </si>
  <si>
    <t>Murray, Sue-Ellen;Murphy, John;Brannigan, Elizabeth;Malone, Jenny</t>
  </si>
  <si>
    <t>HV866.A8.V53 2009</t>
  </si>
  <si>
    <t>Psychology. -- Movements. -- lcsh ; Psicologia. -- Movimentos. -- lcsh ; Psicología. -- Movimientos. -- lcsh ; Libros electronicos.</t>
  </si>
  <si>
    <t>Kuhn, Cynthia M.;Koob, George F.;Nicolelis, Miguel A. L.;Simon, Sidney A.</t>
  </si>
  <si>
    <t>Frontiers in Neuroscience Series</t>
  </si>
  <si>
    <t>RC564 -- .A327 2010eb</t>
  </si>
  <si>
    <t>Substance abuse -- Physiological aspects. ; Neurosciences.</t>
  </si>
  <si>
    <t>Connecting and Cooperating : Social Capital and Public Policy</t>
  </si>
  <si>
    <t>Lewis, Jenny</t>
  </si>
  <si>
    <t>HM708.L49 2010</t>
  </si>
  <si>
    <t>Psychology. -- General. -- lcsh ; Psicologia. -- Geral. -- lcsh ; Psicología. -- Movimientos. -- Psicoanálisis. -- lcsh ; Libros electronicos.</t>
  </si>
  <si>
    <t>Swindler's Progress : Nobles and Convicts in the Age of Liberty</t>
  </si>
  <si>
    <t>McKenzie, Kirsten</t>
  </si>
  <si>
    <t>HV6751.M35 2009</t>
  </si>
  <si>
    <t>364.16/3;364.163</t>
  </si>
  <si>
    <t>Psychology. -- Psychoanalysis. -- lcsh ; Psicologia. -- Psicanálise. -- lcsh ; Psicología. -- Psicoanálisis. -- lcsh ; Libros electronicos.</t>
  </si>
  <si>
    <t>Yipping Tiger : And Other Tales from the Neuropsychiatric Clinic</t>
  </si>
  <si>
    <t>Sachdev, Perminder</t>
  </si>
  <si>
    <t>RC386.S23 2009</t>
  </si>
  <si>
    <t>500;616.800722</t>
  </si>
  <si>
    <t>Philosophy. -- Political. -- lcsh ; Filosofia. -- Política. -- lcsh ; Filosofía. -- Política. -- lcsh ; Libros electronicos.</t>
  </si>
  <si>
    <t>Medicine; Science: General</t>
  </si>
  <si>
    <t>In Two Minds : Tales of a Psychotherapist</t>
  </si>
  <si>
    <t>Valent, Paul</t>
  </si>
  <si>
    <t>BF637.L53.V25 2009</t>
  </si>
  <si>
    <t>155.9;616.89</t>
  </si>
  <si>
    <t>Psychology. -- Creative ability. -- lcsh ; Psicologia. -- Habilidade criativa. -- lcsh ; Psicología. -- Habilidad creativa. -- lcsh ; Libros electronicos.</t>
  </si>
  <si>
    <t>Salekin, Randall T.;Lynam, Donald R.</t>
  </si>
  <si>
    <t>RJ499.3</t>
  </si>
  <si>
    <t>Child psychopathology -- Handbooks, manuals, etc. ; Psychology, Pathological -- Handbooks, manuals, etc.</t>
  </si>
  <si>
    <t>High-Functioning Autism/Asperger Syndrome in Schools : Assessment and Intervention</t>
  </si>
  <si>
    <t>Sansosti, Frank J.;Powell-Smith, Kelly A.;Cowan, Richard J.</t>
  </si>
  <si>
    <t>LC4718</t>
  </si>
  <si>
    <t>Autism spectrum disorders. ; Autistic children -- Education -- United States.</t>
  </si>
  <si>
    <t>Brunswick, Nicola;McDougall, Sine;de Mornay Davies, Paul</t>
  </si>
  <si>
    <t>LB1050.5 -- .R36 2010eb</t>
  </si>
  <si>
    <t>Treating Personality Disorder : Creating Robust Services for People with Complex Mental Health Needs</t>
  </si>
  <si>
    <t>Murphy, Naomi;McVey, Des</t>
  </si>
  <si>
    <t>RC554 -- .T718 2010eb</t>
  </si>
  <si>
    <t>A Cognitive Behavioural Therapy Programme for Problem Gambling : Therapist Manual</t>
  </si>
  <si>
    <t>Raylu, Namrata;Oei, Tian Po</t>
  </si>
  <si>
    <t>RC569.5.G35 -- R39 2010eb</t>
  </si>
  <si>
    <t>Hard Knocks : Domestic Violence and the Psychology of Storytelling</t>
  </si>
  <si>
    <t>Haaken, Janice</t>
  </si>
  <si>
    <t>HV1444 -- .H33 2010eb</t>
  </si>
  <si>
    <t>362.82/92019</t>
  </si>
  <si>
    <t>Core Principles of Assessment and Therapeutic Communication with Children, Parents and Families : Towards the Promotion of Child and Family Wellbeing</t>
  </si>
  <si>
    <t>Schmidt Neven, Ruth</t>
  </si>
  <si>
    <t>RJ499 -- .N43 2010eb</t>
  </si>
  <si>
    <t>Della Sala, Sergio</t>
  </si>
  <si>
    <t>BF378.F7 -- .F67 2010eb</t>
  </si>
  <si>
    <t>153.1/25</t>
  </si>
  <si>
    <t>Harrison, Robert Pogue</t>
  </si>
  <si>
    <t>BF789</t>
  </si>
  <si>
    <t>Death -- Social aspects</t>
  </si>
  <si>
    <t>Physical Illness and Drugs of Abuse : A Review of the Evidence</t>
  </si>
  <si>
    <t>Gordon, Adam J.</t>
  </si>
  <si>
    <t>RC564.68 -- .P49 2010eb</t>
  </si>
  <si>
    <t>Substance abuse. ; Drug abuse. ; Comorbidity. ; Dual diagnosis.</t>
  </si>
  <si>
    <t>Wiener, Earl L.;Kanki, Barbara G.;Helmreich, Robert L.;Anca, Jose M. , Jr.</t>
  </si>
  <si>
    <t>TL712 -- .C62 2010eb</t>
  </si>
  <si>
    <t>Flight training. ; Aeronautics -- Human factors.</t>
  </si>
  <si>
    <t>Engineering: Mechanical; Engineering; Engineering: General</t>
  </si>
  <si>
    <t>Aquinas on the Emotions : A Religious-Ethical Inquiry</t>
  </si>
  <si>
    <t>Cates, Diana Fritz</t>
  </si>
  <si>
    <t>Moral Traditions Series</t>
  </si>
  <si>
    <t>BJ255.T5C38 2009</t>
  </si>
  <si>
    <t>241/.042092</t>
  </si>
  <si>
    <t>One for All : The Logic of Group Conflict</t>
  </si>
  <si>
    <t>Hardin, Russell</t>
  </si>
  <si>
    <t>Social Identity : International Perspectives</t>
  </si>
  <si>
    <t>Worchel, Stephen;Morales, J. Francisco;Paez, Dario;Deschamps, Jean-Claude</t>
  </si>
  <si>
    <t>Bender, Michael P.;Bauckham, Paulette;Norris, Andrew</t>
  </si>
  <si>
    <t>RC451.4.A5 -- B46 1999eb</t>
  </si>
  <si>
    <t>Social Identity Processes : Trends in Theory and Research</t>
  </si>
  <si>
    <t>Capozza, Dora;Brown, Rupert</t>
  </si>
  <si>
    <t>Training Counselling Supervisors : Strategies, Methods and Techniques</t>
  </si>
  <si>
    <t>Holloway, Elizabeth L.;Carroll, Michael</t>
  </si>
  <si>
    <t>Counselling Supervision Series</t>
  </si>
  <si>
    <t>Elliott, Anthony;du Gay, Paul</t>
  </si>
  <si>
    <t>HM753 -- .I34 2009eb</t>
  </si>
  <si>
    <t>Group identity. ; Identity (Psychology)</t>
  </si>
  <si>
    <t>ODonohue, William T.;Kitchener, Richard</t>
  </si>
  <si>
    <t>Lago, Colin;Kitchin, Duncan</t>
  </si>
  <si>
    <t>Reconstructing the Psychological Subject : Bodies, Practices, and Technologies</t>
  </si>
  <si>
    <t>Bayer, Betty;Shotter, John</t>
  </si>
  <si>
    <t>BF323.S63$bR43 1998</t>
  </si>
  <si>
    <t>Burman, Erica</t>
  </si>
  <si>
    <t>Gender and Psychology Series</t>
  </si>
  <si>
    <t>150/.82</t>
  </si>
  <si>
    <t>Social Theory</t>
  </si>
  <si>
    <t>BF697 -- .C73 1998eb</t>
  </si>
  <si>
    <t>Identity (Psychology) ; Sociology.</t>
  </si>
  <si>
    <t>van Deurzen, Emmy</t>
  </si>
  <si>
    <t>RC437.5 -- .V36 2009eb</t>
  </si>
  <si>
    <t>Kirton, Derek</t>
  </si>
  <si>
    <t>HQ778.7.G7 -- K57 2009eb</t>
  </si>
  <si>
    <t>Langs, Rob</t>
  </si>
  <si>
    <t>Perspectives on Psychotherapy Series</t>
  </si>
  <si>
    <t>RC437.5 -- .L364 1999eb</t>
  </si>
  <si>
    <t>Leigh, Dorothy Anne</t>
  </si>
  <si>
    <t>Understanding Consciousness : Its Function and Brain Processes</t>
  </si>
  <si>
    <t>Sommerhoff, Gerd</t>
  </si>
  <si>
    <t>Stam, Henderikus J.</t>
  </si>
  <si>
    <t>QP360 -- .B626 1998eb</t>
  </si>
  <si>
    <t>Working with Involuntary Clients : A Guide to Practice</t>
  </si>
  <si>
    <t>Trotter, Chris</t>
  </si>
  <si>
    <t>HV41 .T743 2006</t>
  </si>
  <si>
    <t>Social service. ; Involuntary treatment.</t>
  </si>
  <si>
    <t>AD,AE,AF,AG,AI,AL,AM,AN,AO,AQ,AR,AS,AT,AW,AX,AZ,BA,BB,BD,BE,BF,BG,BH,BI,BJ,BL,BM,BN,BO,BQ,BR,BS,BT,BV,BW,BY,BZ,CA,CC,CD,CF,CG,CH,CI,CK,CL,CM,CN,CO,CR,CU,CV,CW,CX,CY,CZ,DE,DJ,DK,DM,DO,DZ,EC,EE,EG,EH,ER,ES,ET,FI,FJ,FK,FM,FO,FR,GA,GB,GD,GE,GF,GG,GH,GI,GL,GM,GN,GP,GQ,GR,GS,GT,GU,GW,GY,HK,HM,HN,HR,HT,HU,ID,IE,IL,IM,IN,IO,IQ,IR,IS,IT,JE,JM,JO,JP,KE,KG,KH,KI,KM,KN,KP,KR,KW,KY,KZ,LA,LB,LC,LI,LK,LR,LS,LT,LU,LV,LY,MA,MC,MD,ME,MF,MG,MH,MK,ML,MM,MN,MO,MP,MQ,MR,MS,MT,MU,MV,MW,MX,MY,MZ,NA,NC,NE,NF,NG,NI,NL,NO,NP,NR,NU,OM,PA,PE,PF,PG,PH,PK,PL,PM,PN,PR,PS,PT,PW,PY,QA,RE,RO,RS,RU,RW,SA,SB,SC,SD,SE,SG,SH,SI,SJ,SK,SL,SM,SN,SO,SR,SS,ST,SV,SX,SY,SZ,TC,TD,TF,TG,TH,TJ,TK,TL,TM,TN,TO,TR,TT,TV,TW,TZ,UA,UG,UM,US,UY,UZ,VA,VC,VE,VG,VI,VN,VU,WF,WS,YE,YT,YU,ZA,ZM,ZW</t>
  </si>
  <si>
    <t>Losing Ground : Identity and Land Loss in Coastal Louisiana</t>
  </si>
  <si>
    <t>Burley, David M.;Crosby, Sara;Dardar, T. Mayheart</t>
  </si>
  <si>
    <t>HT393.L6 -- B87 2010eb</t>
  </si>
  <si>
    <t>304.2/50976309146</t>
  </si>
  <si>
    <t>Coastal zone management -- Louisiana. ; Coastal settlements -- Louisiana -- Psychological aspects. ; Coast changes -- Louisiana -- Psychological aspects. ; Place attachment -- Louisiana -- Gulf Coast Region. ; Identity (Psychology) -- Louisiana -- Gulf Coast Region.</t>
  </si>
  <si>
    <t>Crafting an African Security Architecture : Addressing Regional Peace and Conflict in the 21st Century</t>
  </si>
  <si>
    <t>Besada, Hany;Shaw, Professor Timothy M</t>
  </si>
  <si>
    <t>New Regionalisms Series</t>
  </si>
  <si>
    <t>JZ6009.A35 -- C73 2010eb</t>
  </si>
  <si>
    <t>355/.03356</t>
  </si>
  <si>
    <t>Security, International -- Africa. ; National security -- Africa. ; Conflict management -- Africa. ; Peace-building -- Africa. ; Africa -- Politics and government -- 21st century.</t>
  </si>
  <si>
    <t>Political Science; Military Science</t>
  </si>
  <si>
    <t>Cropley, David H.;Cropley, Arthur J.;Kaufman, James C.;Runco, Mark A.</t>
  </si>
  <si>
    <t>BF408 .D36 2010</t>
  </si>
  <si>
    <t>Creative ability. ; Good and evil. ; Criminal intent.</t>
  </si>
  <si>
    <t>Psychosomatic Medicine : An Introduction to Consultation-Liaison Psychiatry</t>
  </si>
  <si>
    <t>Amos, James J.;Robinson, Robert G.</t>
  </si>
  <si>
    <t>RC49 .P787 2010</t>
  </si>
  <si>
    <t>Medicine, Psychosomatic. ; Consultation-liaison psychiatry. ; Medicine and psychology.</t>
  </si>
  <si>
    <t>Genes, Brain and Development : The Neurocognition of Genetic Disorders</t>
  </si>
  <si>
    <t>Barnes, Marcia A.</t>
  </si>
  <si>
    <t>Series for the International Neuropsychological Society Series</t>
  </si>
  <si>
    <t>RJ506.D47 G45 2010</t>
  </si>
  <si>
    <t>Developmental disabilities -- Genetic aspects. ; Neurologic manifestations of general diseases. ; Genetic disorders. ; Psychophysiology -- Genetic aspects.</t>
  </si>
  <si>
    <t>Ghodse's Drugs and Addictive Behaviour : A Guide to Treatment</t>
  </si>
  <si>
    <t>Ghodse, Hamid</t>
  </si>
  <si>
    <t>RC564 -- .G39 2010eb</t>
  </si>
  <si>
    <t>Emotions in the Field : The Psychology and Anthropology of Fieldwork Experience</t>
  </si>
  <si>
    <t>Davies, James;Spencer, Dimitrina</t>
  </si>
  <si>
    <t>GN346</t>
  </si>
  <si>
    <t>305.8/00723</t>
  </si>
  <si>
    <t>Ethnology -- Fieldwork -- Psychological aspects. ; Emotions -- Anthropological aspects.</t>
  </si>
  <si>
    <t>Staiger, Janet;Cvetkovich, Ann;Reynolds, Ann</t>
  </si>
  <si>
    <t>New Agendas in Communication Series</t>
  </si>
  <si>
    <t>JA85 -- .P6525 2010eb</t>
  </si>
  <si>
    <t>320.01/4</t>
  </si>
  <si>
    <t>International Conflict in the Asia-Pacific : Patterns, Consequences and Management</t>
  </si>
  <si>
    <t>Bercovitch, Jacob;Oishi, Mikio</t>
  </si>
  <si>
    <t>Routledge Global Security Studies</t>
  </si>
  <si>
    <t>JZ5584.A7 -- B47 2010eb</t>
  </si>
  <si>
    <t>303.6/9095</t>
  </si>
  <si>
    <t>The War Complex : World War II in Our Time</t>
  </si>
  <si>
    <t>Torgovnick, Marianna</t>
  </si>
  <si>
    <t>D744</t>
  </si>
  <si>
    <t>940.53/1</t>
  </si>
  <si>
    <t>World War, 1939-1945 -- Social aspects</t>
  </si>
  <si>
    <t>Handbook of Implicit Social Cognition : Measurement, Theory, and Applications</t>
  </si>
  <si>
    <t>Gawronski, Bertram;Payne, B. Keith</t>
  </si>
  <si>
    <t>BF323</t>
  </si>
  <si>
    <t>Subliminal perception. ; Social perception.</t>
  </si>
  <si>
    <t>Psychotherapy after Brain Injury : Principles and Techniques</t>
  </si>
  <si>
    <t>Klonoff, Pamela S.</t>
  </si>
  <si>
    <t>RC387.5</t>
  </si>
  <si>
    <t>617.4/81044</t>
  </si>
  <si>
    <t>Brain -- Wounds and injuries -- Patients -- Mental health services. ; Brain -- Wounds and injuries -- Patients -- Rehabilitation. ; Psychotherapy.</t>
  </si>
  <si>
    <t>The Practice of War : Production, Reproduction and Communication of Armed Violence</t>
  </si>
  <si>
    <t>Berghahn Books</t>
  </si>
  <si>
    <t>Rao, Aparna;Bollig, Michael;Böck, Monika;Böck, Monika</t>
  </si>
  <si>
    <t>U21.2 .P598 2007</t>
  </si>
  <si>
    <t>War. ; War-Psychological aspects. ; War and society. ; Military art and science.</t>
  </si>
  <si>
    <t>Remembering Violence : Anthropological Perspectives on Intergenerational Transmission</t>
  </si>
  <si>
    <t>Argenti, Nicolas;Schramm, Katharina</t>
  </si>
  <si>
    <t>GN495.2 .R46 2010</t>
  </si>
  <si>
    <t>Violence. ; Intergenerational relations. ; Intergenerational communication. ; Memory. ; Ethnopsychology.</t>
  </si>
  <si>
    <t>Empathy and Healing : Essays in Medical and Narrative Anthropology</t>
  </si>
  <si>
    <t>Skultans, Vieda</t>
  </si>
  <si>
    <t>GN296 .S58 2007</t>
  </si>
  <si>
    <t>Medical anthropology-Cross-cultural studies. ; Medical anthropology-Latvia. ; Traditional medicine-Cross-cultural studies. ; Traditional medicine-Latvia. ; Mental illness-Social aspects-Cross-cultural studies. ; Mental illness-Social aspects-Latvia. ; Psychiatry, Transcultural. ; Psychiatry, Transcultural-Latvia.</t>
  </si>
  <si>
    <t>A Walk to the River in Amazonia : Ordinary Reality for the Mehinaku Indians</t>
  </si>
  <si>
    <t>Stang, Carla</t>
  </si>
  <si>
    <t>F2520.1.M44 S83 2009</t>
  </si>
  <si>
    <t>Mehinacu Indians-Psychology. ; Mehinacu Indians-Attitudes. ; Mehinacu Indians-Social conditions.</t>
  </si>
  <si>
    <t>History; Psychology</t>
  </si>
  <si>
    <t>Advanced Social Psychology : The State of the Science</t>
  </si>
  <si>
    <t>Baumeister, Roy F.;Finkel, Eli J.;Finkel, Eli J.</t>
  </si>
  <si>
    <t>HM1033.A38 2010</t>
  </si>
  <si>
    <t>Social psychology -- Textbooks. ; Psychology -- Textbooks.</t>
  </si>
  <si>
    <t>Tauber, Alfred I.</t>
  </si>
  <si>
    <t>BF109.F74T38 2010</t>
  </si>
  <si>
    <t>Brill / Rodopi</t>
  </si>
  <si>
    <t>Allers, Christopher R.;Smit, Marieke</t>
  </si>
  <si>
    <t>At the Interface / Probing the Boundaries Series</t>
  </si>
  <si>
    <t>BF637.F67 B44 2010</t>
  </si>
  <si>
    <t>Forgiveness. ; Hostility (Psychology)</t>
  </si>
  <si>
    <t>Screening for Brain Impairment : A Manual for Mental Health Practice, Third Edition</t>
  </si>
  <si>
    <t>Getz, Glen E.;Franzen, Michael D.</t>
  </si>
  <si>
    <t>RC386.6.N48B47 2010</t>
  </si>
  <si>
    <t>Neuropsychological tests--Handbooks, manuals, etc. ; Brain--Diseases--Diagnosis--Handbooks, manuals, etc. ; Neuropsychology--methods. ; Cerebral Cortex--physiopathology. ; Neuropsychological Tests.</t>
  </si>
  <si>
    <t>Toner, John;Mierswa, Therese;Howe, Judith</t>
  </si>
  <si>
    <t>RC451.4.A5G4653 2010</t>
  </si>
  <si>
    <t>Older people -- Mental health services</t>
  </si>
  <si>
    <t>Murphy, Keith M.;Throop, C. Jason</t>
  </si>
  <si>
    <t>BF611</t>
  </si>
  <si>
    <t>302/.1</t>
  </si>
  <si>
    <t>Will -- Anthropological aspects. ; Act (Philosophy) ; Cognition and culture. ; Personality and culture. ; Ethnopsychology.</t>
  </si>
  <si>
    <t>Introduction to Psychotherapy : An Outline of Psychodynamic Principles and Practice, Fourth Edition</t>
  </si>
  <si>
    <t>Bateman, Anthony;Brown, Dennis;Pedder, Jonathan</t>
  </si>
  <si>
    <t>RC480 -- .B3178 2010eb</t>
  </si>
  <si>
    <t>Multi-Family Therapy : Concepts and Techniques</t>
  </si>
  <si>
    <t>Asen, Eia;Scholz, Michael</t>
  </si>
  <si>
    <t>RC488.5 -- .A8413 2010eb</t>
  </si>
  <si>
    <t>The Artist's Mind : A Psychoanalytic Perspective on Creativity, Modern Art and Modern Artists</t>
  </si>
  <si>
    <t>Hagman, George</t>
  </si>
  <si>
    <t>N71 -- .H228 2010eb</t>
  </si>
  <si>
    <t>701/.15</t>
  </si>
  <si>
    <t>'Adolescence', Pregnancy and Abortion : Constructing a Threat of Degeneration</t>
  </si>
  <si>
    <t>Macleod, Catriona I.</t>
  </si>
  <si>
    <t>HQ35 -- .M33 2010eb</t>
  </si>
  <si>
    <t>Psychology in Football : Working with Elite and Professional Players</t>
  </si>
  <si>
    <t>GV959 -- .N37 2010eb</t>
  </si>
  <si>
    <t>Psychology for the Classroom: Behaviourism : Behaviourism</t>
  </si>
  <si>
    <t>Woollard, John</t>
  </si>
  <si>
    <t>LB1060 -- .W66 2010eb</t>
  </si>
  <si>
    <t>Minnich, Elizabeth</t>
  </si>
  <si>
    <t>BC177 .M55 2005</t>
  </si>
  <si>
    <t>Critical thinking. ; Methodology. ; Feminist theory.</t>
  </si>
  <si>
    <t>Jordan, David K.;Swartz, Marc J.</t>
  </si>
  <si>
    <t>Michener, Anna J.</t>
  </si>
  <si>
    <t>HV6626</t>
  </si>
  <si>
    <t>Michener, Anna J., -- 1977-</t>
  </si>
  <si>
    <t>Bonds of Affection : Civic Charity and the Making of America--Winthrop, Jefferson, and Lincoln</t>
  </si>
  <si>
    <t>Holland, Matthew S.</t>
  </si>
  <si>
    <t>Religion and Politics Series</t>
  </si>
  <si>
    <t>Mind and Context in Adult Second Language Acquisition : Methods, Theory, and Practice</t>
  </si>
  <si>
    <t>Sanz, Cristina;Chen, Rusan;Adams, Rebecca;Fujii, Akiko;Mackey, Alison;Leow, Ronald P.;Ullman, Michael T.;Byrnes, Heidi;VanPatten, Bill;Wood Bowden, Harriet</t>
  </si>
  <si>
    <t>Your Brain on Food : How Chemicals Control Your Thoughts and Feelings</t>
  </si>
  <si>
    <t>Wenk, Gary</t>
  </si>
  <si>
    <t>RM315 -- .W46 2010eb</t>
  </si>
  <si>
    <t>Psychopharmacology. ; Neuropsychology. ; Neurochemistry.</t>
  </si>
  <si>
    <t>X-Marks : Native Signatures of Assent</t>
  </si>
  <si>
    <t>Lyons, Scott Richard</t>
  </si>
  <si>
    <t>Indigenous Americas Series</t>
  </si>
  <si>
    <t>E98.E85L96 2010</t>
  </si>
  <si>
    <t>Indians of North America -- Ethnic identity. ; Indians of North America -- Cultural assimilation. ; Group identity -- United States. ; Self-determination, National -- United States. ; Identification (Psychology) ; Race awareness. ; Liminality.</t>
  </si>
  <si>
    <t>Ghinassi, Cheryl Winning</t>
  </si>
  <si>
    <t>RC531.G475 2010</t>
  </si>
  <si>
    <t>Anxiety disorders--Popular works.</t>
  </si>
  <si>
    <t>Homophobia : The State of Sexual Bigotry Today</t>
  </si>
  <si>
    <t>HQ76.25.K35 2009</t>
  </si>
  <si>
    <t>306.76/6</t>
  </si>
  <si>
    <t>Homophobia -- Psychological aspects. ; Heterosexism -- Psychological aspects. ; Homosexuality -- History. ; Gays -- Violence against. ; Paranoia. ; Toleration.</t>
  </si>
  <si>
    <t>Neale, Margaret Ann;Mannix, Elizabeth A.;Mullen, Elizabeth</t>
  </si>
  <si>
    <t>Research on Managing Groups and Teams Series</t>
  </si>
  <si>
    <t>HM716.F35eb vol. 13</t>
  </si>
  <si>
    <t>Justice</t>
  </si>
  <si>
    <t>Hampton, Robert L.;Gullotta, Thomas P.;Crowel, Raymond L.;Ramos, Jessica M.</t>
  </si>
  <si>
    <t>RA448.5.N4</t>
  </si>
  <si>
    <t>362.1089/96073</t>
  </si>
  <si>
    <t>African Americans -- Health and hygiene. ; African Americans -- Medical care.</t>
  </si>
  <si>
    <t>Schizotypy and Schizophrenia : The View from Experimental Psychopathology</t>
  </si>
  <si>
    <t>Lenzenweger, Mark F.</t>
  </si>
  <si>
    <t>RC569.5.S36</t>
  </si>
  <si>
    <t>Schizotypal personality disorder. ; Schizophrenics -- Psychology. ; Psychology, Experimental.</t>
  </si>
  <si>
    <t>Abel et al</t>
  </si>
  <si>
    <t>HQ125.N45T35 2010</t>
  </si>
  <si>
    <t>Siedentopf, Friederike</t>
  </si>
  <si>
    <t>Frauenärztliche Taschenbücher Series</t>
  </si>
  <si>
    <t>RC280.G5S53 2010</t>
  </si>
  <si>
    <t>616.99/465</t>
  </si>
  <si>
    <t>Generative organs, Female -- Cancer -- Psychological aspects. ; Generative organs, Female -- Cancer -- Patients -- Mental health services.</t>
  </si>
  <si>
    <t>Broken Fathers / Broken Sons : A Psychoanalyst Remembers</t>
  </si>
  <si>
    <t>Gargiulo, Gerald J.</t>
  </si>
  <si>
    <t>Fiction</t>
  </si>
  <si>
    <t>Heidegger and the Question of Psychology : Zollikon and Beyond</t>
  </si>
  <si>
    <t>Letteri, Mark</t>
  </si>
  <si>
    <t>Value Inquiry Book Series</t>
  </si>
  <si>
    <t>B3279.H49</t>
  </si>
  <si>
    <t>Cognition in Emotion : An Investigation Through Experiences with Art</t>
  </si>
  <si>
    <t>Roald, Tone</t>
  </si>
  <si>
    <t>Consciousness, Literature and the Arts Series</t>
  </si>
  <si>
    <t>BF311 .R538 2007</t>
  </si>
  <si>
    <t>Emotions and cognition. ; Emotions in art. ; Art-Psychology.</t>
  </si>
  <si>
    <t>The Clinical Erich Fromm : Personal Accounts and Papers on Therapeutic Technique</t>
  </si>
  <si>
    <t>Funk, Rainer</t>
  </si>
  <si>
    <t>Thinking about Addiction : Hyperbolic Discounting and Responsible Agency</t>
  </si>
  <si>
    <t>Hanson, Craig</t>
  </si>
  <si>
    <t>RC564 .H359 2009</t>
  </si>
  <si>
    <t>Substance abuse-Psychological aspects. ; Compulsive behavior-Psychological aspects.</t>
  </si>
  <si>
    <t>Pieper, Joseph;van Uden, Marinus</t>
  </si>
  <si>
    <t>International Series in the Psychology of Religion Series</t>
  </si>
  <si>
    <t>RC455.4.R4 P54 2005</t>
  </si>
  <si>
    <t>Fisher, David James</t>
  </si>
  <si>
    <t>BF109.B48</t>
  </si>
  <si>
    <t>Aesthetic Experience : Beauty, Creativity, and the Search for the Ideal</t>
  </si>
  <si>
    <t>Rodopi</t>
  </si>
  <si>
    <t>Contemporary Psychoanalytic Studies, 5</t>
  </si>
  <si>
    <t>No. 5</t>
  </si>
  <si>
    <t>BH39 -- .H23 2005eb</t>
  </si>
  <si>
    <t>Aesthetics. ; Psychoanalysis.</t>
  </si>
  <si>
    <t>The Pain of Unbelonging : Alienation and Identity in Australasian Literature</t>
  </si>
  <si>
    <t>Collingwood-Whittick, Sheila</t>
  </si>
  <si>
    <t>Cross/Cultures Series</t>
  </si>
  <si>
    <t>PR9605.2 .P35 2007</t>
  </si>
  <si>
    <t>Alienation (Philosophy) in literature. ; Alienation (Social psychology) in literature. ; Australasian literature-History and criticism. ; Australian literature-History and criticism. ; Identity (Philosophical concept) in literature. ; Identity (Psychology) in literature. ; New Zealand literature-History and criticism.</t>
  </si>
  <si>
    <t>Endings : On Termination in Psychoanalysis</t>
  </si>
  <si>
    <t>Ferraro, Fausta;Garella, Alessandro</t>
  </si>
  <si>
    <t>BF173.F47 2009</t>
  </si>
  <si>
    <t>Carel, Havi</t>
  </si>
  <si>
    <t>BD444</t>
  </si>
  <si>
    <t>Suffering the Slings and Arrows of Outrageous Fortune : International Perspectives on Stress, Laughter and Depression</t>
  </si>
  <si>
    <t>Warren, Bernie</t>
  </si>
  <si>
    <t>BF575 .S75 S84 2007</t>
  </si>
  <si>
    <t>Fiction; Psychology</t>
  </si>
  <si>
    <t>Levin, Tobe</t>
  </si>
  <si>
    <t>BF575.A3</t>
  </si>
  <si>
    <t>Attending Madness : At Work in the Australian Colonial Asylum</t>
  </si>
  <si>
    <t>Monk, Lee-Ann</t>
  </si>
  <si>
    <t>Clio Medica Series</t>
  </si>
  <si>
    <t>Image into Identity : Constructing and Assigning Identity in a Culture of Modernity</t>
  </si>
  <si>
    <t>Wintle, Michael</t>
  </si>
  <si>
    <t>Studia Imagologica, 11</t>
  </si>
  <si>
    <t>HM753 -- .I43 2006eb</t>
  </si>
  <si>
    <t>Group identity. ; Identity (Psychology) -- Social aspects.</t>
  </si>
  <si>
    <t>'the Cruel Madness of Love' : Sex, Syphilis and Psychiatry in Scotland, 1880-1930</t>
  </si>
  <si>
    <t>Davis, Gayle</t>
  </si>
  <si>
    <t>LP439</t>
  </si>
  <si>
    <t>History; Medicine</t>
  </si>
  <si>
    <t>Consensuality : Didier Anzieu, Gender and the Sense of Touch</t>
  </si>
  <si>
    <t>Segal, Naomi</t>
  </si>
  <si>
    <t>GENUS: Gender in Modern Culture Series</t>
  </si>
  <si>
    <t>Law; Social Science</t>
  </si>
  <si>
    <t>Social Brain Matters : Stances on the Neurobiology of Social Cognition</t>
  </si>
  <si>
    <t>Vilarroya, Oscar;Forn i Argimon, Francesc</t>
  </si>
  <si>
    <t>QP360.5</t>
  </si>
  <si>
    <t>Permeable Walls : Historical Perspectives on Hospital and Asylum Visiting</t>
  </si>
  <si>
    <t>Mooney, Graham;Reinarz, Jonathan</t>
  </si>
  <si>
    <t>RA964 .P47 2009</t>
  </si>
  <si>
    <t>Hospitals-History. ; Psychiatric hospitals-History. ; Visiting the sick-History.</t>
  </si>
  <si>
    <t>Tenenbaum, Sergio</t>
  </si>
  <si>
    <t>Poznań Studies in the Philosophy of the Sciences and the Humanities Series</t>
  </si>
  <si>
    <t>BJ45</t>
  </si>
  <si>
    <t>Ethics. ; Psychology and philosophy.</t>
  </si>
  <si>
    <t>Belzen, Jacob A.;Geels, Antoon</t>
  </si>
  <si>
    <t>The Unconscious in Philosophy, and French and European Literature : Nineteenth and Early Twentieth Century</t>
  </si>
  <si>
    <t>Vial, Fernand</t>
  </si>
  <si>
    <t>Pomeroy, Leon;Edwards, Rem B.</t>
  </si>
  <si>
    <t>BF778 .P66 2005</t>
  </si>
  <si>
    <t>Cold War in Psychiatry : Human Factors, Secret Actors</t>
  </si>
  <si>
    <t>van Voren, Robert</t>
  </si>
  <si>
    <t>On the Boundary of Two Worlds Series</t>
  </si>
  <si>
    <t>RC438 .V67 2010</t>
  </si>
  <si>
    <t>Sabshin, Melvin,-1925-2011. ; American Psychiatric Association. ; World Psychiatric Association. ; Psychiatry-Soviet Union-History.</t>
  </si>
  <si>
    <t>The Psychological Contract : Managing and Developing Professional Groups</t>
  </si>
  <si>
    <t>George, Christeen</t>
  </si>
  <si>
    <t>HF5549 .G46 2009</t>
  </si>
  <si>
    <t>Industrial management. ; Psychology, Industrial.</t>
  </si>
  <si>
    <t>Raynor, Maureen;England, Carole</t>
  </si>
  <si>
    <t>RG950 .R39 2010</t>
  </si>
  <si>
    <t>Midwifery. ; Midwives. ; Pregnancy-Psychological aspects. ; Childbirth-Psychological aspects.</t>
  </si>
  <si>
    <t>Rogers, Jenny</t>
  </si>
  <si>
    <t>HM751 .R64 2010</t>
  </si>
  <si>
    <t>Group facilitation. ; Teams in the workplace.</t>
  </si>
  <si>
    <t>Winning : Reflections on an American Obsession</t>
  </si>
  <si>
    <t>Duina, Francesco</t>
  </si>
  <si>
    <t>HN90.M6D85 2011</t>
  </si>
  <si>
    <t>Helping Children and Young People Who Self-Harm : An Introduction to Self-Harming and Suicidal Behaviours for Health Professionals</t>
  </si>
  <si>
    <t>McDougall, Tim;Armstrong, Marie;Trainor, Gemma</t>
  </si>
  <si>
    <t>RJ506.S39 -- M43 2010eb</t>
  </si>
  <si>
    <t>616.85/8200835</t>
  </si>
  <si>
    <t>Brooks, Ann</t>
  </si>
  <si>
    <t>Routledge Studies in Social and Political Thought Series</t>
  </si>
  <si>
    <t>H61 -- .S7752 2010eb</t>
  </si>
  <si>
    <t>Social sciences -- Asia -- Philosophy. ; Philosophy, Asian.</t>
  </si>
  <si>
    <t>Relational Sociology : A New Paradigm for the Social Sciences</t>
  </si>
  <si>
    <t>Donati, Pierpaolo</t>
  </si>
  <si>
    <t>HM585 -- .D66 2010eb</t>
  </si>
  <si>
    <t>Chinese Male Homosexualities : Memba, Tongzhi and Golden Boy</t>
  </si>
  <si>
    <t>Kong, Travis S. K.</t>
  </si>
  <si>
    <t>Routledge Contemporary China Series</t>
  </si>
  <si>
    <t>HQ76.2.C5 -- K66 2010eb</t>
  </si>
  <si>
    <t>Thinking in Action Series</t>
  </si>
  <si>
    <t>RC553.D35 -- R33 2010eb</t>
  </si>
  <si>
    <t>Playing to Learn : The Role of Play in the Early Years</t>
  </si>
  <si>
    <t>Smidt, Sandra</t>
  </si>
  <si>
    <t>LB1137 -- .S585 2011eb</t>
  </si>
  <si>
    <t>Cognitive Behavioural Therapy for Problem Drinking : A Practitioner's Guide</t>
  </si>
  <si>
    <t>Spada, Marcantonio;Spada, Marcantonio</t>
  </si>
  <si>
    <t>RC565 -- .S64 2010eb</t>
  </si>
  <si>
    <t>The Renewal of Generosity : Illness, Medicine, and How to Live</t>
  </si>
  <si>
    <t>Frank, Arthur W.</t>
  </si>
  <si>
    <t>R727</t>
  </si>
  <si>
    <t>Physician and patient</t>
  </si>
  <si>
    <t>The Poetics of Fear : A Human Response to Human Security</t>
  </si>
  <si>
    <t>Erickson, Chris</t>
  </si>
  <si>
    <t>JA74.5.E75 2010</t>
  </si>
  <si>
    <t>Fear -- Political aspects. ; Political psychology. ; Political violence. ; Achilles (Greek mythology) ; Political science -- Philosophy.</t>
  </si>
  <si>
    <t>Kay, Janet</t>
  </si>
  <si>
    <t>HQ772.K39 2006</t>
  </si>
  <si>
    <t>Childhood Programs and Practices in the First Decade of Life : A Human Capital Integration</t>
  </si>
  <si>
    <t>Reynolds, Arthur J.;Rolnick, Arthur J.;Englund, Michelle M.;Temple, Judy A.</t>
  </si>
  <si>
    <t>HV741 .C657 2010</t>
  </si>
  <si>
    <t>Child welfare -- United States. ; Children -- Nutrition -- United States. ; Head Start programs -- United States. ; Early childhood education -- United States.</t>
  </si>
  <si>
    <t>Sachdev, Perminder S.;Keshavan, Matcheri S.</t>
  </si>
  <si>
    <t>RC514 -- .S416 2010eb</t>
  </si>
  <si>
    <t>Leslie, Julian</t>
  </si>
  <si>
    <t>Essential Psychology Series</t>
  </si>
  <si>
    <t>BF199.L42</t>
  </si>
  <si>
    <t>Beyond Early Literacy : A Balanced Approach to Developing the Whole Child</t>
  </si>
  <si>
    <t>Taylor, Janet B.;Branscombe, Nancy Amanda;Burcham, Jan Gunnels;Land, Lilli</t>
  </si>
  <si>
    <t>HQ767.9 -- .B48 2010eb</t>
  </si>
  <si>
    <t>372.01/9</t>
  </si>
  <si>
    <t>Norton, Christine Lynn</t>
  </si>
  <si>
    <t>RJ504 -- .I565 2010eb</t>
  </si>
  <si>
    <t>Places of Public Memory : The Rhetoric of Museums and Memorials</t>
  </si>
  <si>
    <t>Dickinson, Greg;Blair, Carole;Ott, Brian L.</t>
  </si>
  <si>
    <t>Rhetoric, Culture, and Social Critique Series</t>
  </si>
  <si>
    <t>B105.P53 P59 2010</t>
  </si>
  <si>
    <t>Place (Philosophy) ; Memory. ; Memorialization. ; Museums-Social aspects.</t>
  </si>
  <si>
    <t>Museums; Philosophy</t>
  </si>
  <si>
    <t>The Pastoral Clinic : Addiction and Dispossession along the Rio Grande</t>
  </si>
  <si>
    <t>Garcia, Angela</t>
  </si>
  <si>
    <t>HV5822.H4G37 2010</t>
  </si>
  <si>
    <t>The Monster Within : The Hidden Side of Motherhood</t>
  </si>
  <si>
    <t>Almond, Barbara</t>
  </si>
  <si>
    <t>HQ759.A436 2010</t>
  </si>
  <si>
    <t>Motherhood -- Psychological aspects. ; Mother and child -- Psychological aspects. ; Love, Maternal -- Psychological aspects.</t>
  </si>
  <si>
    <t>Evaluation in the Face of Uncertainty : Anticipating Surprise and Responding to the Inevitable</t>
  </si>
  <si>
    <t>Morell, Jonathan A.</t>
  </si>
  <si>
    <t>H62</t>
  </si>
  <si>
    <t>Evaluation research (Social action programs) ; Social service -- Evaluation.</t>
  </si>
  <si>
    <t>Social Science; General Works/Reference</t>
  </si>
  <si>
    <t>The Therapeutic Alliance : An Evidence-Based Guide to Practice</t>
  </si>
  <si>
    <t>Muran, J. Christopher;Barber, Jacques P.</t>
  </si>
  <si>
    <t>RC489.T66</t>
  </si>
  <si>
    <t>Therapeutic alliance. ; Evidence-based psychotherapy.</t>
  </si>
  <si>
    <t>Why People Cooperate : The Role of Social Motivations</t>
  </si>
  <si>
    <t>Tyler, Tom R.</t>
  </si>
  <si>
    <t>BF503.T955 2011</t>
  </si>
  <si>
    <t>Manipulating Democracy : Democratic Theory, Political Psychology, and Mass Media</t>
  </si>
  <si>
    <t>Le Cheminant, Wayne;Parrish, John M.;Parrish, John</t>
  </si>
  <si>
    <t>JA74.5 -- .M353 2010eb</t>
  </si>
  <si>
    <t>Protecting Children from Violence : Evidence-Based Interventions</t>
  </si>
  <si>
    <t>Lampinen, James Michael;Sexton-Radek, Kathy;Sexton-Radek, Kathy</t>
  </si>
  <si>
    <t>HQ784.V55 -- P768 2010eb</t>
  </si>
  <si>
    <t>Mental Health and Later Life : Delivering an Holistic Model for Practice</t>
  </si>
  <si>
    <t>Keady, John;Watts, Sue</t>
  </si>
  <si>
    <t>RC451.4.A5 -- M433 2010eb</t>
  </si>
  <si>
    <t>Sandplay Therapy : Research and Practice</t>
  </si>
  <si>
    <t>Hong, Grace L.</t>
  </si>
  <si>
    <t>RC489.S25 -- H6613 2010eb</t>
  </si>
  <si>
    <t>616.89/1653</t>
  </si>
  <si>
    <t>C. G. Jung and Nikolai Berdyaev: Individuation and the Person : A Critical Comparison</t>
  </si>
  <si>
    <t>Nicolaus, Georg</t>
  </si>
  <si>
    <t>BF175.5.I53 -- N53 2010eb</t>
  </si>
  <si>
    <t>Managing Trauma in the Workplace : Supporting Workers and Organisations</t>
  </si>
  <si>
    <t>RC552.P67 -- M356 2010eb</t>
  </si>
  <si>
    <t>Home and Work : Negotiating Boundaries Through Everyday Life</t>
  </si>
  <si>
    <t>Nippert-Eng, Christena E.</t>
  </si>
  <si>
    <t>HM131</t>
  </si>
  <si>
    <t>306.3/6/0973</t>
  </si>
  <si>
    <t>Monogamy : The Untold Story</t>
  </si>
  <si>
    <t>Sex, Love, and Psychology Series</t>
  </si>
  <si>
    <t>BF692.B73 2010</t>
  </si>
  <si>
    <t>Sex (Psychology). ; Sex. ; Marriage.</t>
  </si>
  <si>
    <t>Fast Lives : Women Who Use Crack Cocaine</t>
  </si>
  <si>
    <t>Sterk, Claire</t>
  </si>
  <si>
    <t>HV5824</t>
  </si>
  <si>
    <t>The Aid Triangle : Recognizing the Human Dynamics of Dominance, Justice and Identity</t>
  </si>
  <si>
    <t>MacLachlan, Malcolm;Carr, Stuart;McAuliffe, Eilish</t>
  </si>
  <si>
    <t>Development Studies Association</t>
  </si>
  <si>
    <t>HC60.M33 2010</t>
  </si>
  <si>
    <t>Economic assistance -- Political aspects. ; Economic assistance -- Sociological aspects.</t>
  </si>
  <si>
    <t>The Treatment of Drinking Problems : A Guide to the Helping Professions</t>
  </si>
  <si>
    <t>Marshall, E. Jane;Humphreys, Keith;Ball, David M.;Edwards, Griffith;Edwards, Griffith</t>
  </si>
  <si>
    <t>RC565 .E38 2010</t>
  </si>
  <si>
    <t>616.86/106</t>
  </si>
  <si>
    <t>Alcoholism -- Treatment. ; Substance abuse.</t>
  </si>
  <si>
    <t>Economic Action in Theory and Practice : Anthropological Investigations</t>
  </si>
  <si>
    <t>Wood, Donald C.</t>
  </si>
  <si>
    <t>Research in Economic Anthropology Series</t>
  </si>
  <si>
    <t>GN448.E26 2010</t>
  </si>
  <si>
    <t>Economic development</t>
  </si>
  <si>
    <t>What Have I Done? : A Victim Empathy Programme for Young People</t>
  </si>
  <si>
    <t>Aldington, Clair;Liebmann, Marian;Wallis, Pete &amp; Thalia;Wallis, Pete</t>
  </si>
  <si>
    <t>HV8688.W354 2010</t>
  </si>
  <si>
    <t>Restorative justice. ; Juvenile delinquents -- Psychology. ; Victims of crimes. ; Empathy.</t>
  </si>
  <si>
    <t>Children and Adolescents in Trauma : Creative Therapeutic Approaches</t>
  </si>
  <si>
    <t>Cook, Diane;Bruce, Terry;Bradley, Christine;Dwivedi, Kedar Nath;Caviston, Paul;Nicholson, Joanne;Nicholson, Chris;Marshal-Tierney, Jacqueline;Irwin, Michael;Wilson, Peter</t>
  </si>
  <si>
    <t>RJ504.C485 2010</t>
  </si>
  <si>
    <t>Child psychotherapy. ; Adolescent psychotherapy. ; Children-Counseling of. ; Youth-Counseling of.</t>
  </si>
  <si>
    <t>Understanding Intensive Interaction : Context and Concepts for Professionals and Families</t>
  </si>
  <si>
    <t>Irvine, Cath;Firth, Graham;Hewett, Dave;Berry, Ruth</t>
  </si>
  <si>
    <t>HV1570.F57 2010</t>
  </si>
  <si>
    <t>Developmentally disabled-Means of communication. ; Developmentally disabled-Rehabilitation. ; Interpersonal communication.</t>
  </si>
  <si>
    <t>Helping Children to Cope with Change, Stress and Anxiety : A Photocopiable Activities Book</t>
  </si>
  <si>
    <t>Harper, Alice;Plummer, Deborah</t>
  </si>
  <si>
    <t>BF723.S75P58 2010</t>
  </si>
  <si>
    <t>Anxiety in children. ; Stress management for children. ; Change. ; Play therapy.</t>
  </si>
  <si>
    <t>Substance Misuse : The Implications of Research, Policy and Practice</t>
  </si>
  <si>
    <t>Bryce, Anne;Coletti, Maurizio;Forrester, Donald;Egan, James;Neale, Jo;Sumnall, Harry;Barlow, Joy;Black, Margaret;Haw, Sally;Vaughn, Gerard</t>
  </si>
  <si>
    <t>Research Highlights in Social Work Series</t>
  </si>
  <si>
    <t>HV5801.S8343 2010</t>
  </si>
  <si>
    <t>Safeguarding Children from Emotional Maltreatment : What Works</t>
  </si>
  <si>
    <t>Schrader, Anita;Barlow, Jane</t>
  </si>
  <si>
    <t>Safeguarding Children Across Services Series</t>
  </si>
  <si>
    <t>RC569.5.P75B37 2010</t>
  </si>
  <si>
    <t>Disabled Church - Disabled Society : The Implications of Autism for Philosophy, Theology and Politics</t>
  </si>
  <si>
    <t>Gillibrand, John</t>
  </si>
  <si>
    <t>HN31.G55 2010</t>
  </si>
  <si>
    <t>Autism-Religious aspects. ; Autism-Social aspects. ; Religion-Philosophy. ; Church and social problems.</t>
  </si>
  <si>
    <t>Social Science; Religion</t>
  </si>
  <si>
    <t>A Spectrum of Light : Inspirational Interviews with Families Affected by Autism</t>
  </si>
  <si>
    <t>Bierens, Francesca</t>
  </si>
  <si>
    <t>RC553.A88B495 2010</t>
  </si>
  <si>
    <t>Autism spectrum disorders-Case studies. ; Autistic children-Family relationships. ; Parents of autistic children-Interviews.</t>
  </si>
  <si>
    <t>Writers on the Spectrum : How Autism and Asperger Syndrome Have Influenced Literary Writing</t>
  </si>
  <si>
    <t>Brown, Julie</t>
  </si>
  <si>
    <t>PS153.P48B76 2010</t>
  </si>
  <si>
    <t>Bereavement, Loss and Learning Disabilities : A Guide for Professionals and Carers</t>
  </si>
  <si>
    <t>Grey, Robin</t>
  </si>
  <si>
    <t>BF575.G7G698 2010</t>
  </si>
  <si>
    <t>155.9/37087</t>
  </si>
  <si>
    <t>The Adolescent and Adult Neuro-Diversity Handbook : Asperger Syndrome, ADHD, Dyslexia, Dyspraxia and Related Conditions</t>
  </si>
  <si>
    <t>Salter, Claire;Hendrickx, Sarah</t>
  </si>
  <si>
    <t>RC553.A88H4618 2010</t>
  </si>
  <si>
    <t>Autism spectrum disorders-Handbooks, manuals, etc. ; Attention-deficit hyperactivity disorder-Handbooks, manuals, etc. ; Adolescence-Handbooks, manuals, etc. ; Adulthood-Handbooks, manuals, etc.</t>
  </si>
  <si>
    <t>Successful School Change and Transition for the Child with Asperger Syndrome : A Guide for Parents</t>
  </si>
  <si>
    <t>Lawrence, Clare</t>
  </si>
  <si>
    <t>LC4717.L38 2010</t>
  </si>
  <si>
    <t>Autistic children-Education. ; Education-Parent participation. ; Asperger's syndrome in children. ; Students, Transfer of-United States-Psychological aspects.</t>
  </si>
  <si>
    <t>RC552.T7S26 2010</t>
  </si>
  <si>
    <t>Psychic trauma-Treatment. ; Sexual abuse victims. ; Victims of violent crimes. ; Interpersonal relations-Psychological aspects. ; Terror. ; Post-traumatic stress disorder.</t>
  </si>
  <si>
    <t>Taylor, Chris</t>
  </si>
  <si>
    <t>BF723.A75T39 2010</t>
  </si>
  <si>
    <t>Welsh, Alexander</t>
  </si>
  <si>
    <t>154.6/34</t>
  </si>
  <si>
    <t>Gabbiani, Fabrizio;Cox, Steven James;Gabbiani, Fabrizio;Cox, Steven James</t>
  </si>
  <si>
    <t>Science; Science: Anatomy/Physiology</t>
  </si>
  <si>
    <t>Hombres y Machos : Masculinity and Latino Culture</t>
  </si>
  <si>
    <t>Boulder</t>
  </si>
  <si>
    <t>Mirande, Alfredo</t>
  </si>
  <si>
    <t>E184.S75 -- M59 1997eb</t>
  </si>
  <si>
    <t>305.38/86073</t>
  </si>
  <si>
    <t>Hispanic American men -- Psychology. ; Hispanic American men -- Social life and customs. ; Masculinity -- United States. ; Machismo -- United States. ; Sex role -- United States.</t>
  </si>
  <si>
    <t>Sex Before the Sexual Revolution : Intimate Life in England 1918-1963</t>
  </si>
  <si>
    <t>Szreter, Simon;Fisher, Kate</t>
  </si>
  <si>
    <t>Cambridge Social and Cultural Histories Series</t>
  </si>
  <si>
    <t>HQ18.G7 S97 2010</t>
  </si>
  <si>
    <t>Sex -- England -- History -- 20th century. ; Sex role -- England -- History -- 20th century. ; Intimacy (Psychology) ; England -- Social life and customs -- 20th century.</t>
  </si>
  <si>
    <t>Ebert, Michael H.;Kerns, Robert D.</t>
  </si>
  <si>
    <t>RB127 .B44 2011</t>
  </si>
  <si>
    <t>Pain -- Treatment. ; Analgesia.</t>
  </si>
  <si>
    <t>Representation Matters : (Re)Articulating Collective Identities in a Postcolonial World</t>
  </si>
  <si>
    <t>Peeren, Esther</t>
  </si>
  <si>
    <t>Thamyris/Intersecting: Place, Sex and Race Series</t>
  </si>
  <si>
    <t>HM753 .R47 2010</t>
  </si>
  <si>
    <t>Group identity. ; Identity (Psychology) ; Identity politics. ; Representation (Philosophy)</t>
  </si>
  <si>
    <t>McGraw, John G.</t>
  </si>
  <si>
    <t>Intimacy (Psychology). ; Loneliness. ; Personality disorders.</t>
  </si>
  <si>
    <t>Philosophy; Psychology; Social Science</t>
  </si>
  <si>
    <t>Schema Therapy : Distinctive Features</t>
  </si>
  <si>
    <t>Rafaeli, Eshkol;Bernstein, David P.;Young, Jeffrey</t>
  </si>
  <si>
    <t>RC489.S34 -- R34 2011eb</t>
  </si>
  <si>
    <t>Understanding Behaviour and Development in Early Childhood : A Guide to Theory and Practice</t>
  </si>
  <si>
    <t>LB1060.2 -- .R625 2010eb</t>
  </si>
  <si>
    <t>Benediktsson, Karl;Lund, Katrín Anna;Ingold, Professor Tim</t>
  </si>
  <si>
    <t>Anthropological Studies of Creativity and Perception Series</t>
  </si>
  <si>
    <t>BF353 -- .C668 2010eb</t>
  </si>
  <si>
    <t>Domestic and Sexual Violence and Abuse : Tackling the Health and Mental Health Effects</t>
  </si>
  <si>
    <t>Itzin, Catherine;Taket, Ann;Barter-Godfrey, Sarah</t>
  </si>
  <si>
    <t>RC569.5.F3 -- D648 2010eb</t>
  </si>
  <si>
    <t>Legitimacy and the Use of Armed Force : Stability Missions in the Post-Cold War Era</t>
  </si>
  <si>
    <t>Aoi, Chiyuki</t>
  </si>
  <si>
    <t>Contemporary Security Studies</t>
  </si>
  <si>
    <t>JZ6374 -- .A57 2010eb</t>
  </si>
  <si>
    <t>Military Science; Political Science</t>
  </si>
  <si>
    <t>The Status of Everyday Life (Routledge Revivals) : A Sociological Excavation of the Prevailing Framework of Perception</t>
  </si>
  <si>
    <t>Mackie, Fiona</t>
  </si>
  <si>
    <t>Routledge Revivals</t>
  </si>
  <si>
    <t>HM494 -- .M33 1985eb</t>
  </si>
  <si>
    <t>Phenomenological sociology. ; Phenomenology. ; Self-perception. ; Mutualism.</t>
  </si>
  <si>
    <t>Mills, Jeremy F.;Kroner, Daryl G.;Morgan, Robert D.</t>
  </si>
  <si>
    <t>RC569.5.V55M55 2011</t>
  </si>
  <si>
    <t>Violence -- Risk assessment. ; Violence. ; Risk assessment.</t>
  </si>
  <si>
    <t>Desistance from Sex Offending : Alternatives to Throwing Away the Keys</t>
  </si>
  <si>
    <t>Laws, D. Richard;Ward, Tony</t>
  </si>
  <si>
    <t>HV6556.L39 2011</t>
  </si>
  <si>
    <t>365/.6672</t>
  </si>
  <si>
    <t>Sex offenders -- Rehabilitation. ; Sex offenders -- Services for. ; Sex crimes -- Prevention.</t>
  </si>
  <si>
    <t>Helping Schoolchildren Cope with Anger : A Cognitive-Behavioral Intervention</t>
  </si>
  <si>
    <t>Larson, Jim;Lochman, John E.;Meichenbaum, Donald</t>
  </si>
  <si>
    <t>RJ506.A35L37 2011</t>
  </si>
  <si>
    <t>Oppositional defiant disorder in children -- Treatment</t>
  </si>
  <si>
    <t>Prediction of Burnout : An Artificial Neural Network Approach</t>
  </si>
  <si>
    <t>Schweitzer Fachinformationen</t>
  </si>
  <si>
    <t>Ladstätter, Felix;Garrosa, Eva</t>
  </si>
  <si>
    <t>BF481 -- .L33 2008eb</t>
  </si>
  <si>
    <t>Burn out (Psychology) ; Work -- Psychological aspects.</t>
  </si>
  <si>
    <t>Saving Ben : A Father's Story of Autism</t>
  </si>
  <si>
    <t>Burns, Dan E.</t>
  </si>
  <si>
    <t>Mayborn Literary Nonfiction Series</t>
  </si>
  <si>
    <t>RC553.A88 -- B87 2009eb</t>
  </si>
  <si>
    <t>362.198/928588200922;B</t>
  </si>
  <si>
    <t>Burns, Dan E. -- (Dan Eric), -- 1945- ; Burns, Ben, -- 1987- ; Parents of autistic children -- Texas -- Biography. ; Autistic children -- Texas -- Biography. ; Autistic youth -- Texas -- Biography. ; Fathers and sons -- Texas -- Biography. ; Autism -- Texas.</t>
  </si>
  <si>
    <t>Social Science; Psychology; Medicine; Health</t>
  </si>
  <si>
    <t>Lacan and the Destiny of Literature : Desire, Jouissance and the Sinthome in Shakespeare, Donne, Joyce and Ashbery</t>
  </si>
  <si>
    <t>Azari, Ehsan</t>
  </si>
  <si>
    <t>Continuum Literary Studies</t>
  </si>
  <si>
    <t>BF109.L23A93 2008</t>
  </si>
  <si>
    <t>Lacan, Jacques, -- 1901-1981. ; Psychoanalysis. ; Psychoanalysis in literature.</t>
  </si>
  <si>
    <t>Paul Ricoeur's Pedagogy of Pardon : A Narrative Theory of Memory and Forgetting</t>
  </si>
  <si>
    <t>Duffy, Maria</t>
  </si>
  <si>
    <t>B2430.R554D84 2009</t>
  </si>
  <si>
    <t>Ricœur, Paul. ; Memory (Philosophy) ; Forgiveness. ; Reconciliation. ; Identity (Philosophical concept) ; Narration (Rhetoric) ; Hermeneutics.</t>
  </si>
  <si>
    <t>Psychologies of Mind : The Collected Papers of John Maze</t>
  </si>
  <si>
    <t>Henry, Rachael;Henry, Rachael M.</t>
  </si>
  <si>
    <t>BF121.M4189 2009</t>
  </si>
  <si>
    <t>Psychology. ; Motivation (Psychology)</t>
  </si>
  <si>
    <t>The Stepchildren of Science : Psychical Research and Parapsychology in Germany, C. 1870-1939</t>
  </si>
  <si>
    <t>Wolffram, Heather</t>
  </si>
  <si>
    <t>BF1028.5.G3 W65 2009</t>
  </si>
  <si>
    <t>Schrenck-Notzing, Albert von.-swd ; Parapsychology-Germany-History-19th century. ; Parapsychology-Germany-History-20th century. ; Parapsychologie.-swd ; Forschung.-swd ; Deutschland.-swd</t>
  </si>
  <si>
    <t>Thye, Shane R.;Lawler, Edward J.</t>
  </si>
  <si>
    <t>Advances in Group Processes Series</t>
  </si>
  <si>
    <t>Alicke, Mark D.;Sedikides, Constantine</t>
  </si>
  <si>
    <t>BF697.5.S43 -- H3634 2010eb</t>
  </si>
  <si>
    <t>Self-perception. ; Self-protective behavior. ; Self psychology.</t>
  </si>
  <si>
    <t>Distress Tolerance : Theory, Research, and Clinical Applications</t>
  </si>
  <si>
    <t>Zvolensky, Michael J.;Bernstein, Amit;Vujanovic, Anka A.</t>
  </si>
  <si>
    <t>RC454 -- .D55 2010eb</t>
  </si>
  <si>
    <t>Psychology, Pathological. ; Distress (Psychology)</t>
  </si>
  <si>
    <t>Depressed Older Adults : Education and Screening</t>
  </si>
  <si>
    <t>Berman, Jacquelin;Furst, Lisa M.</t>
  </si>
  <si>
    <t>RC537.5.B47 2011</t>
  </si>
  <si>
    <t>618.97/68527</t>
  </si>
  <si>
    <t>Depression in old age. ; Depression--diagnosis. ; Aged. ; Community Mental Health Services.</t>
  </si>
  <si>
    <t>Schaie, K. Warner;Willis, Sherry L.</t>
  </si>
  <si>
    <t>BF724.55.A35H36 2011</t>
  </si>
  <si>
    <t>Language and Cognition in Bilinguals and Multilinguals : An Introduction</t>
  </si>
  <si>
    <t>de Groot, Annette M. B.</t>
  </si>
  <si>
    <t>P115.4 -- .G76 2011eb</t>
  </si>
  <si>
    <t>Cook, Vivian;Bassetti, Benedetta</t>
  </si>
  <si>
    <t>P115.4 -- .L36 2011eb</t>
  </si>
  <si>
    <t>Mindreaders : The Cognitive Basis of Theory of Mind</t>
  </si>
  <si>
    <t>Apperly, Ian</t>
  </si>
  <si>
    <t>BF201 -- .A66 2011eb</t>
  </si>
  <si>
    <t>Monks, Claire P.;Coyne, Iain</t>
  </si>
  <si>
    <t>BF637.B85 B8572 2011</t>
  </si>
  <si>
    <t>Bullying. ; Psychology, Applied.</t>
  </si>
  <si>
    <t>Pothos, Emmanuel M.;Wills, Andy J.</t>
  </si>
  <si>
    <t>BF445 .F66 2011</t>
  </si>
  <si>
    <t>Categorization (Psychology) ; Abstraction.</t>
  </si>
  <si>
    <t>Consciousness : An Introduction</t>
  </si>
  <si>
    <t>Blackmore, Susan;Blackmore, Susan</t>
  </si>
  <si>
    <t>B808.9 .B528 2010</t>
  </si>
  <si>
    <t>Disciplining Freud on Religion : Perspectives from the Humanities and Sciences</t>
  </si>
  <si>
    <t>Kaplan, Greg;Parsons, William;Belzen, Jacob;Bergo, Bettina;Bulkeley, Kelly;Carroll, Michael;Goux, Jean-Joseph;Jonte-Pace, Diane;Kaplan, Gregory;Parsons, William B.</t>
  </si>
  <si>
    <t>BF175.4.R44D57 2010</t>
  </si>
  <si>
    <t>Freud, Sigmund, 1856-1939. ; Psychoanalysis and religion.</t>
  </si>
  <si>
    <t>This Way Out : A Narrative of Therapy with Psychotic and Sexual Offenders</t>
  </si>
  <si>
    <t>Abrahams, Joseph Isaac</t>
  </si>
  <si>
    <t>RC489</t>
  </si>
  <si>
    <t>Criminal psychology -- Research. ; Psychotherapy. ; Psychoanalysis. ; Psychopaths. ; Sex offenders.</t>
  </si>
  <si>
    <t>When Trauma Survivors Return to Work : Understanding Emotional Recovery</t>
  </si>
  <si>
    <t>Barski-Carrow, Barbara</t>
  </si>
  <si>
    <t>RC552.P67B37 2010</t>
  </si>
  <si>
    <t>Post-traumatic stress disorder--Rehabilitation. ; Victims of crimes--Mental health. ; Helping behavior. ; Psychic trauma--Rehabilitation. ; Life change events. ; Stress (Psychology). ; Adjustment (Psychology). ; Personnel management. ; Supervision of employees. ; Crime Victims--psychology. ; Adaptation, Psychological. ; Crime Victims--rehabilitation. ; Personnel Management. ; Workplace.</t>
  </si>
  <si>
    <t>Garralda, Elena M.;Raynaud, Jean Philippe;Allenou, Charlotte;Baily, Charles;Banaag, Cornelio;Birmes, Philippe;Bisceglia, Rossana;Chazan, Rodrigo;Cheung, C.;Chu, Vanessa Loi-Yan</t>
  </si>
  <si>
    <t>RJ499.I427 2010</t>
  </si>
  <si>
    <t>Child mental health services. ; Teenagers--Mental health services. ; Child psychiatry. ; Adolescent psychiatry. ; Mental Health. ; Adolescent Psychology--methods. ; Adolescent. ; Child Psychology--methods. ; Child.</t>
  </si>
  <si>
    <t>Hypocrisy Unmasked : Dissociation, Shame, and the Ethics of Inauthenticity</t>
  </si>
  <si>
    <t>Naso, Ronald C.</t>
  </si>
  <si>
    <t>New Imago Series</t>
  </si>
  <si>
    <t>BJ1535.H8N37 2010</t>
  </si>
  <si>
    <t>Hypocrisy. ; Integrity. ; Authenticity (Philosophy).</t>
  </si>
  <si>
    <t>Attachment Parenting : Developing Connections and Healing Children</t>
  </si>
  <si>
    <t>Becker-Weidman, Arthur;Shell, Deborah;Hughes, Daniel A.;Hunt, Karen A.;Lednur, Ash;Mattson, Audrey;Mayrose, Kristen;Phelps, Miranda Ring;Rubin, Phyllis;Spottswood, Robert</t>
  </si>
  <si>
    <t>RJ507.A77A876 2010</t>
  </si>
  <si>
    <t>Attachment disorder in children. ; Child psychotherapy. ; Parent and child.</t>
  </si>
  <si>
    <t>Decisive Parenting : Strategies That Work with Teenagers</t>
  </si>
  <si>
    <t>Hammond, Michael</t>
  </si>
  <si>
    <t>HQ755.8.H3335 2010</t>
  </si>
  <si>
    <t>649/.125</t>
  </si>
  <si>
    <t>Parenting. ; Parent and teenager--Vocational guidance.</t>
  </si>
  <si>
    <t>The Long Shadow of Sexual Abuse : Developmental Effects Across the Life Cycle</t>
  </si>
  <si>
    <t>Colarusso, Calvin A.</t>
  </si>
  <si>
    <t>RJ506.C48 -- C646 2010eb</t>
  </si>
  <si>
    <t>618.92/85836</t>
  </si>
  <si>
    <t>Child sexual abuse -- Case studies. ; Adult child abuse victims -- Case studies.</t>
  </si>
  <si>
    <t>Enchantments of the Clinic : Power, Eroticism, and Illusion in the Clinical Relationship</t>
  </si>
  <si>
    <t>Ellerman, Carl P.</t>
  </si>
  <si>
    <t>RC480.8.E45 2010</t>
  </si>
  <si>
    <t>Psychotherapist and patient. ; Sex. ; Existential psychotherapy. ; Psychotherapy. ; Erotica. ; Illusions. ; Physician-Patient Relations. ; Power (Psychology).</t>
  </si>
  <si>
    <t>The Modern Kleinian Approach to Psychoanalytic Technique : Clinical Illustrations</t>
  </si>
  <si>
    <t>Waska, Robert</t>
  </si>
  <si>
    <t>RC504.W295 2010</t>
  </si>
  <si>
    <t>Klein, Melanie. ; Klein, Melanie. ; Psychoanalysis. ; Psychoanalytic Therapy--methods. ; Psychoanalytic Theory.</t>
  </si>
  <si>
    <t>Sugarman, Susan</t>
  </si>
  <si>
    <t>BF173.S848 2010</t>
  </si>
  <si>
    <t>Freud, Sigmund, 1856-1939. ; Psychoanalysis. ; Pleasure principle. ; Loss (Psychology).</t>
  </si>
  <si>
    <t>Coping with Vision Loss : Understanding the Psychological, Social, and Spiritual Effects</t>
  </si>
  <si>
    <t>Langdell, Cheri Colby;Langdell, Tim</t>
  </si>
  <si>
    <t>RE91.L35 2011</t>
  </si>
  <si>
    <t>Vision disorders--Psychological aspects. ; Blindness. ; Medicine in literature. ; Blindness--psychology. ; Adaptation, Psychological. ; Medicine in Literature. ; Spirituality.</t>
  </si>
  <si>
    <t>Uptight and in Your Face : Coping with an Anxious Boss, Parent, Spouse, or Lover</t>
  </si>
  <si>
    <t>Brown, Nina W.</t>
  </si>
  <si>
    <t>BF637.I48B76 2011</t>
  </si>
  <si>
    <t>Interpersonal conflict. ; Interpersonal relations--Psychological aspects. ; Personality assessment. ; Stress (Psychology). ; Adjustment (Psychology).</t>
  </si>
  <si>
    <t>Hypnosis and Hypnotherapy [2 Volumes] : [2 Volumes]</t>
  </si>
  <si>
    <t>Barrett, Deirdre;Barrett, Deirdre</t>
  </si>
  <si>
    <t>RC495.H963 2010</t>
  </si>
  <si>
    <t>Hypnotism. ; Hypnotism--Therapeutic use. ; Hypnosis--methods. ; Mental Disorders--therapy.</t>
  </si>
  <si>
    <t>Scripting Addiction : The Politics of Therapeutic Talk and American Sobriety</t>
  </si>
  <si>
    <t>Carr, E. Summerson</t>
  </si>
  <si>
    <t>The Definition of a Profession : The Authority of Metaphor in the History of Intelligence Testing, 1890-1930</t>
  </si>
  <si>
    <t>Brown, JoAnne</t>
  </si>
  <si>
    <t>153.9/3/0973</t>
  </si>
  <si>
    <t>Rewriting the Soul : Multiple Personality and the Sciences of Memory</t>
  </si>
  <si>
    <t>Hacking, Ian</t>
  </si>
  <si>
    <t>My Own Private Germany : Daniel Paul Schreber's Secret History of Modernity</t>
  </si>
  <si>
    <t>616.89/7/0092</t>
  </si>
  <si>
    <t>Schreber, Daniel Paul, -- 1842-1911 -- Mental health. ; Schreber, Daniel Paul, -- 1842-1911 -- Influence. ; National socialism -- Psychological aspects. ; Modernism (Literature) -- Germany. ; Modernism (Art) -- Germany. ; Germany -- Intellectual life -- 19th century. ; Germany -- Intellectual life -- 20th century.</t>
  </si>
  <si>
    <t>The Harmony of Illusions : Inventing Post-Traumatic Stress Disorder</t>
  </si>
  <si>
    <t>Young, Allan</t>
  </si>
  <si>
    <t>Art of Investigative Psychodynamic Therapy : The Gerwe Orchestration Method (G-OM)</t>
  </si>
  <si>
    <t>Gerwe, Corinne F.</t>
  </si>
  <si>
    <t>RC489.P72 -- G47 2010eb</t>
  </si>
  <si>
    <t>Psychodynamic psychotherapy. ; Post-traumatic stress disorder.</t>
  </si>
  <si>
    <t>Unified Protocol for Transdiagnostic Treatment of Emotional Disorders : Therapist Guide</t>
  </si>
  <si>
    <t>Barlow, David H.;Farchione, Todd J.;Fairholme, Christopher P.;Ellard, Kristen K.;Boisseau, Christina L.;Allen, Laura B.;Ehrenreich May, Jill T.</t>
  </si>
  <si>
    <t>RC537 -- .U55 2010eb</t>
  </si>
  <si>
    <t>Affective disorders -- Treatment -- Problems, exercises, etc. ; Cognitive therapy -- Problems, exercises, etc.</t>
  </si>
  <si>
    <t>Tanner, Denise</t>
  </si>
  <si>
    <t>Ageing and the Lifecourse Series</t>
  </si>
  <si>
    <t>Martin, Hale;Finn, Stephen E.</t>
  </si>
  <si>
    <t>BF692 -- .M334 2010eb</t>
  </si>
  <si>
    <t>155.3/30287</t>
  </si>
  <si>
    <t>Short stories, American. ; Gulf Coast (U.S.) -- Fiction.</t>
  </si>
  <si>
    <t>Lanz, Stephan;Allievi, Stefano;Jensen, Tina Gudrun;Malik, Professor Malehia;Amiraux, Valerie;Sunier, Thijl;Bertossi, Christophe;Silj, Alessandro</t>
  </si>
  <si>
    <t>HM1271</t>
  </si>
  <si>
    <t>Multiculturalism -- Europe -- History -- 20th century. ; Social psychology -- Europe -- History -- 20th century.</t>
  </si>
  <si>
    <t>John Benjamins</t>
  </si>
  <si>
    <t>Jiménez, Luis</t>
  </si>
  <si>
    <t>BF319.5.I45 -- A88 2003eb</t>
  </si>
  <si>
    <t>Implicit learning. ; Attention.</t>
  </si>
  <si>
    <t>Salzarulo, Piero;Ficca, Gianluca</t>
  </si>
  <si>
    <t>QP84.6 -- .A935 2002eb</t>
  </si>
  <si>
    <t>612.8/21</t>
  </si>
  <si>
    <t>Developmental neurobiology. ; Sleep-wake cycle.</t>
  </si>
  <si>
    <t>Beyond Dissociation : Interaction between dissociated implicit and explicit processing</t>
  </si>
  <si>
    <t>Rossetti, Yves;Revonsuo, Antti;Revonsue, Antti</t>
  </si>
  <si>
    <t>QP411 -- .B49 2000eb</t>
  </si>
  <si>
    <t>Consciousness. ; Dissociation (Psychology)</t>
  </si>
  <si>
    <t>Body Image and Body Schema : Interdisciplinary perspectives on the body</t>
  </si>
  <si>
    <t>De Preester, Helena;Knockaert, Veroniek</t>
  </si>
  <si>
    <t>BF697.5.B63 -- B618 2005eb</t>
  </si>
  <si>
    <t>Body image. ; Body schema.</t>
  </si>
  <si>
    <t>Brain and Being : At the boundary between science, philosophy, language and arts</t>
  </si>
  <si>
    <t>Globus, Gordon G.;Pribram, Karl H.;Vitiello, Giuseppe</t>
  </si>
  <si>
    <t>QP411 -- .B74 2004eb</t>
  </si>
  <si>
    <t>Consciousness. ; Quantum field theory. ; Brain. ; Neuropsychology.</t>
  </si>
  <si>
    <t>Caldron of Consciousness : Motivation, affect and self-organization — An anthology</t>
  </si>
  <si>
    <t>Ellis, Ralph D.;Newton, Natika</t>
  </si>
  <si>
    <t>BF311 -- .C148 2000eb</t>
  </si>
  <si>
    <t>Consciousness. ; Emotions. ; Motivation (Psychology) ; Self-organizing systems.</t>
  </si>
  <si>
    <t>Aurnague, Michel;Hickmann, Maya;Vieu, Laure</t>
  </si>
  <si>
    <t>P37.5.S65 -- C38 2007eb</t>
  </si>
  <si>
    <t>Space and time in language. ; Psycholinguistics. ; Categorization (Linguistics) ; Language acquisition.</t>
  </si>
  <si>
    <t>Cognition Distributed : How cognitive technology extends our minds</t>
  </si>
  <si>
    <t>Dror, Itiel E.;Harnad, Stevan</t>
  </si>
  <si>
    <t>BF311 -- .C548734 2008eb</t>
  </si>
  <si>
    <t>Artificial intelligence. ; Cognition. ; Cognitive science.</t>
  </si>
  <si>
    <t>Consciousness &amp; Emotion : Agency, conscious choice, and selective perception</t>
  </si>
  <si>
    <t>BF311 -- .C64455 2005eb</t>
  </si>
  <si>
    <t>Emotions and cognition. ; Intentionalism.</t>
  </si>
  <si>
    <t>Consciousness Emerging : The dynamics of perception, imagination, action, memory, thought, and language</t>
  </si>
  <si>
    <t>Bartsch, Renate</t>
  </si>
  <si>
    <t>BF311 -- .B325 2002eb</t>
  </si>
  <si>
    <t>Consciousness. ; Cognition.</t>
  </si>
  <si>
    <t>Consciousness Recovered : Psychological functions and origins of conscious thought</t>
  </si>
  <si>
    <t>Mandler, George</t>
  </si>
  <si>
    <t>BF311 -- .M228 2002eb</t>
  </si>
  <si>
    <t>Beauregard, Mario</t>
  </si>
  <si>
    <t>RC343 -- .C725 2004eb</t>
  </si>
  <si>
    <t>Neuropsychiatry. ; Consciousness. ; Brain. ; Emotions.</t>
  </si>
  <si>
    <t>Barrotta, Pierluigi;Dascal, Marcelo</t>
  </si>
  <si>
    <t>BF503 -- .C67 2005eb</t>
  </si>
  <si>
    <t>Conflict (Psychology) ; Subjectivity.</t>
  </si>
  <si>
    <t>Curious Emotions : Roots of consciousness and personality in motivated action</t>
  </si>
  <si>
    <t>Ellis, Ralph D.</t>
  </si>
  <si>
    <t>BF311 -- .E483 2005eb</t>
  </si>
  <si>
    <t>Rovee-Collier, Carolyn;Hayne, Harlene;Colombo, Michael</t>
  </si>
  <si>
    <t>BF723.M4 -- R68 2001eb</t>
  </si>
  <si>
    <t>Memory in children. ; Implicit memory. ; Explicit memory.</t>
  </si>
  <si>
    <t>Developmental Psycholinguistics : On-line methods in children’s language processing</t>
  </si>
  <si>
    <t>Sekerina, Irina A.;Fernández, Eva M.;Clahsen, Harald</t>
  </si>
  <si>
    <t>P118.3 -- .D487 2008eb</t>
  </si>
  <si>
    <t>401/.930285</t>
  </si>
  <si>
    <t>Language acquisition -- Data processing. ; Language acquisition -- Research -- Methodology.</t>
  </si>
  <si>
    <t>Pylkkänen, Paavo;Vadén, Tere</t>
  </si>
  <si>
    <t>BF311 -- .D536 2001eb</t>
  </si>
  <si>
    <t>Hutchby, Ian</t>
  </si>
  <si>
    <t>HQ777.5 -- .H88 2007eb</t>
  </si>
  <si>
    <t>Children of divorced parents. ; Counseling. ; Conversation analysis. ; Sociolinguistics.</t>
  </si>
  <si>
    <t>Early Language Development : Bridging brain and behaviour</t>
  </si>
  <si>
    <t>Friederici, Angela D.;Thierry, Guillaume</t>
  </si>
  <si>
    <t>P118 -- .E22 2008eb</t>
  </si>
  <si>
    <t>401/.93</t>
  </si>
  <si>
    <t>Language acquisition. ; Neurophysiology.</t>
  </si>
  <si>
    <t>Krois, John Michael;Rosengren, Mats;Steidele, Angela;Westerkamp, Dirk</t>
  </si>
  <si>
    <t>BF311 -- .E4853 2007eb</t>
  </si>
  <si>
    <t>Cognition and culture. ; Cognition.</t>
  </si>
  <si>
    <t>Emotional Cognition : From brain to behaviour</t>
  </si>
  <si>
    <t>Moore, Simon C.;Oaksford, Mike</t>
  </si>
  <si>
    <t>BF311 -- .E486 2002eb</t>
  </si>
  <si>
    <t>Salmela, Mikko;Mayer, Verena</t>
  </si>
  <si>
    <t>BF511 -- .E58 2009eb</t>
  </si>
  <si>
    <t>Communication in community development -- Africa -- Case studies. ; Telecommunication -- Africa. ; Telecommuting centers -- Africa -- Case studies. ; Information technology -- Africa.</t>
  </si>
  <si>
    <t>Exploring Inner Experience : The descriptive experience sampling method</t>
  </si>
  <si>
    <t>Hurlburt, Russell T.;Heavey, Christopher L.</t>
  </si>
  <si>
    <t>BF316 -- .H87 2006eb</t>
  </si>
  <si>
    <t>Exploring the Self : Philosophical and psychopathological perspectives on self-experience</t>
  </si>
  <si>
    <t>Zahavi, Dan</t>
  </si>
  <si>
    <t>RC455.4.S42 -- E97 2000eb</t>
  </si>
  <si>
    <t>Self -- Congresses. ; Psychology, Pathological -- Congresses. ; Self (Philosophy) -- Congresses. ; Schizophrenia -- Congresses.</t>
  </si>
  <si>
    <t>Face Recognition : Cognitive and computational processes</t>
  </si>
  <si>
    <t>Rakover, Sam S.;Cahlon, Baruch</t>
  </si>
  <si>
    <t>BF242 -- .R35 2001eb</t>
  </si>
  <si>
    <t>153.7/5</t>
  </si>
  <si>
    <t>Charland, Louis C.;Zachar, Peter</t>
  </si>
  <si>
    <t>BF531 -- .F34 2008eb</t>
  </si>
  <si>
    <t>Emotions. ; Psychology.</t>
  </si>
  <si>
    <t>Finding Consciousness in the Brain : A neurocognitive approach</t>
  </si>
  <si>
    <t>Grossenbacher, Peter G.;Posner, Michael</t>
  </si>
  <si>
    <t>QP360.5 -- .F55 2001eb</t>
  </si>
  <si>
    <t>Liebal, Katja;Müller, Cornelia;Pika, Simone</t>
  </si>
  <si>
    <t>P117 -- .G4684 2007eb</t>
  </si>
  <si>
    <t>Gesture. ; Animal communication. ; Primates.</t>
  </si>
  <si>
    <t>Dautenhahn, Kerstin</t>
  </si>
  <si>
    <t>BF311 -- .H766 2000eb</t>
  </si>
  <si>
    <t>Cognition. ; Learning, Psychology of. ; Socialization. ; Artificial intelligence. ; Technology -- Psychological aspects.</t>
  </si>
  <si>
    <t>Imagery and Spatial Cognition : Methods, models and cognitive assessment</t>
  </si>
  <si>
    <t>Vecchi, Tomaso;Bottini, Gabriella</t>
  </si>
  <si>
    <t>BF367 -- .I456 2006eb</t>
  </si>
  <si>
    <t>Imagery (Psychology) ; Space perception. ; Visual perception. ; Mental representation.</t>
  </si>
  <si>
    <t>Importance of Not Being Earnest : The feeling behind laughter and humor</t>
  </si>
  <si>
    <t>Chafe, Wallace</t>
  </si>
  <si>
    <t>PN6149.P5 -- C43 2007eb</t>
  </si>
  <si>
    <t>Wit and humor -- Psychological aspects. ; Laughter -- Psychological aspects.</t>
  </si>
  <si>
    <t>Kunzendorf, Robert G.;Wallace, Benjamin</t>
  </si>
  <si>
    <t>BF311 -- .I48 2000eb</t>
  </si>
  <si>
    <t>Consciousness. ; Subconsciousness. ; Altered states of consciousness.</t>
  </si>
  <si>
    <t>Bråten, Stein</t>
  </si>
  <si>
    <t>BF720.C65 -- B73 2009eb</t>
  </si>
  <si>
    <t>Interpersonal communication in infants. ; Interpersonal communication in children. ; Emotions in infants. ; Emotions in children. ; Psychology, Comparative.</t>
  </si>
  <si>
    <t>Investigating Phenomenal Consciousness : New methodologies and maps</t>
  </si>
  <si>
    <t>Velmans, Max</t>
  </si>
  <si>
    <t>BF204.5 -- .I58 2000eb</t>
  </si>
  <si>
    <t>Phenomenological psychology. ; Consciousness.</t>
  </si>
  <si>
    <t>Berman, Ruth A.</t>
  </si>
  <si>
    <t>P118 -- .L262 2004eb</t>
  </si>
  <si>
    <t>Language acquisition. ; Interpersonal communication in children.</t>
  </si>
  <si>
    <t>Amberber, Mengistu</t>
  </si>
  <si>
    <t>P37.5.M46 -- L37 2007eb</t>
  </si>
  <si>
    <t>Psycholinguistics. ; Memory.</t>
  </si>
  <si>
    <t>Making Minds : The shaping of human minds through social context</t>
  </si>
  <si>
    <t>Hauf, Petra;Försterling, Friedrich</t>
  </si>
  <si>
    <t>HM1111 -- .M35 2007eb</t>
  </si>
  <si>
    <t>Social interaction -- Congresses. ; Social psychology -- Congresses.</t>
  </si>
  <si>
    <t>Mental States : Volume 1: Evolution, function, nature</t>
  </si>
  <si>
    <t>Schalley, Andrea C.;Khlentzos, Drew</t>
  </si>
  <si>
    <t>P37 -- .M363 2007eb</t>
  </si>
  <si>
    <t>Psycholinguistics. ; Linguistics.</t>
  </si>
  <si>
    <t>Mental States : Volume 2: Language and cognitive structure</t>
  </si>
  <si>
    <t>P37 -- .M3632 2007eb</t>
  </si>
  <si>
    <t>401.9;401/.9</t>
  </si>
  <si>
    <t>Linguistics. ; Psycholinguistics.</t>
  </si>
  <si>
    <t>Cienki, Alan;Müller, Cornelia</t>
  </si>
  <si>
    <t>P117 -- .M48 2008eb</t>
  </si>
  <si>
    <t>Gesture. ; Metaphor.</t>
  </si>
  <si>
    <t>Bachmann, Talis</t>
  </si>
  <si>
    <t>BF311 -- .B264 2000eb</t>
  </si>
  <si>
    <t>Consciousness. ; Perception. ; Attention.</t>
  </si>
  <si>
    <t>Stamenov, Maxim I.;Gallese, Vittorio</t>
  </si>
  <si>
    <t>Advances in Consciousness Research</t>
  </si>
  <si>
    <t>QP363.3 -- .M57 2002eb</t>
  </si>
  <si>
    <t>Neural circuitry. ; Brain -- Evolution. ; Language and languages.</t>
  </si>
  <si>
    <t>Science; Psychology; Science: Biology/Natural History</t>
  </si>
  <si>
    <t>Narrative Counselling : Social and linguistic processes of change</t>
  </si>
  <si>
    <t>Muntigl, Peter</t>
  </si>
  <si>
    <t>HQ10 -- .M86 2004eb</t>
  </si>
  <si>
    <t>Marriage counseling. ; Counseling -- Case studies. ; Narrative therapy. ; Counselor and client. ; Discourse analysis. ; Change (Psychology)</t>
  </si>
  <si>
    <t>Mateas, Michael;Sengers, Phoebe;Mateus, Michael</t>
  </si>
  <si>
    <t>BF456.N37 -- N37 2002eb</t>
  </si>
  <si>
    <t>Narration (Rhetoric) -- Psychological aspects. ; Psycholinguistics.</t>
  </si>
  <si>
    <t>Osaka, Naoyuki</t>
  </si>
  <si>
    <t>QP411 -- .N478 2003eb</t>
  </si>
  <si>
    <t>Consciousness. ; Neurophysiology.</t>
  </si>
  <si>
    <t>Neurochemistry of Consciousness : Neurotransmitters in mind</t>
  </si>
  <si>
    <t>Perry, Elaine K.;Ashton, Heather;Young, Allan H.;Greenfield, Susan</t>
  </si>
  <si>
    <t>QP411 -- .N485 2002eb</t>
  </si>
  <si>
    <t>Consciousness. ; Neurobehavioral disorders. ; Neurochemistry. ; Neurotransmitters.</t>
  </si>
  <si>
    <t>No Matter, Never Mind : Proceedings of Toward a Science of Consciousness: Fundamental approaches, Tokyo 1999</t>
  </si>
  <si>
    <t>Yasue, Kunio;Jibu, Mari;Della Senta, Tarcisio</t>
  </si>
  <si>
    <t>QP411 -- .N598 2002eb</t>
  </si>
  <si>
    <t>Ogiermann, Eva</t>
  </si>
  <si>
    <t>BF575.A75 -- O35 2009eb</t>
  </si>
  <si>
    <t>Apologizing -- Cross-cultural studies. ; Social interaction.</t>
  </si>
  <si>
    <t>On Being Moved : From mirror neurons to empathy</t>
  </si>
  <si>
    <t>QP363.5 -- .O5 2007eb</t>
  </si>
  <si>
    <t>Developmental neurobiology -- Congresses. ; Mirror neurons -- Congresses. ; Interpersonal communication in infants -- Physiological aspects -- Congresses. ; Emotions in infants -- Physiological aspects -- Congresses.</t>
  </si>
  <si>
    <t>Psyche and the Literary Muses : The contribution of literary content to scientific psychology</t>
  </si>
  <si>
    <t>Lindauer, Martin S.</t>
  </si>
  <si>
    <t>PN49 -- .L488 2009eb</t>
  </si>
  <si>
    <t>801.92;801/.92</t>
  </si>
  <si>
    <t>Literature -- Psychology. ; Literature -- Philosophy.</t>
  </si>
  <si>
    <t>Psychological Concepts and Biological Psychiatry : A philosophical analysis</t>
  </si>
  <si>
    <t>Zachar, Peter</t>
  </si>
  <si>
    <t>BF38 -- .Z33 2000eb</t>
  </si>
  <si>
    <t>Psychology -- Philosophy. ; Psychiatry -- Philosophy.</t>
  </si>
  <si>
    <t>Radical Enactivism : Intentionality, Phenomenology and Narrative. Focus on the philosophy of Daniel D. Hutto</t>
  </si>
  <si>
    <t>Menary, Richard</t>
  </si>
  <si>
    <t>BF311 -- .R24 2006eb</t>
  </si>
  <si>
    <t>Cognition -- Philosophy. ; Philosophy and cognitive science. ; Mental representation. ; Intentionalism. ; Phenomenology. ; Philosophy of mind.</t>
  </si>
  <si>
    <t>Dokic, Jérôme;Proust, Joëlle</t>
  </si>
  <si>
    <t>BF723.P48 -- S56 2002eb</t>
  </si>
  <si>
    <t>128/.2</t>
  </si>
  <si>
    <t>Space in Languages : Linguistic Systems and Cognitive Categories</t>
  </si>
  <si>
    <t>Hickmann, Maya;Robert, Stéphane</t>
  </si>
  <si>
    <t>Typological Studies in Language</t>
  </si>
  <si>
    <t>P37.5.S65 -- S59 2006eb</t>
  </si>
  <si>
    <t>Space and time in language. ; Typology (Linguistics) ; Cognition.</t>
  </si>
  <si>
    <t>Challis, Bradford H.;Velichkovsky, Boris M.</t>
  </si>
  <si>
    <t>BF444 -- .S73 1999eb</t>
  </si>
  <si>
    <t>Information processing. ; Categorization (Psychology) ; Visual perception. ; Recollection (Psychology) ; Memory.</t>
  </si>
  <si>
    <t>Structure and Development of Self-Consciousness : Interdisciplinary perspectives</t>
  </si>
  <si>
    <t>Zahavi, Dan;Grünbaum, Thor;Parnas, Josef</t>
  </si>
  <si>
    <t>BF697.5.S43 -- S78 2004eb</t>
  </si>
  <si>
    <t>Tone of Voice and Mind : The connections between intonation, emotion, cognition and consciousness</t>
  </si>
  <si>
    <t>Cook, Norman D.</t>
  </si>
  <si>
    <t>QP360 -- .C667 2002eb</t>
  </si>
  <si>
    <t>Neuropsychology. ; Consciousness. ; Cognition. ; Emotions. ; Musical perception.</t>
  </si>
  <si>
    <t>Science: Biology/Natural History; Psychology; Science</t>
  </si>
  <si>
    <t>Touching for Knowing : Cognitive psychology of haptic manual perception</t>
  </si>
  <si>
    <t>Hatwell, Yvette;Streri, Arlette;Gentaz, Edouard;Gentaz, Edouard</t>
  </si>
  <si>
    <t>BF275 -- .T69 2003eb</t>
  </si>
  <si>
    <t>152.1/82</t>
  </si>
  <si>
    <t>Touch -- Psychological aspects. ; Visual perception. ; Perceptual-motor processes.</t>
  </si>
  <si>
    <t>Why We Curse : A Neuro-psycho-social Theory of Speech</t>
  </si>
  <si>
    <t>Amsterdam/Philadelphia</t>
  </si>
  <si>
    <t>Jay, Timothy</t>
  </si>
  <si>
    <t>BF463.I58</t>
  </si>
  <si>
    <t>Invective -- Psychological aspects. ; Blessing and cursing -- Psychological aspects. ; Threat (Psychology) ; Verbal behavior.</t>
  </si>
  <si>
    <t>Unconscious Memory Representations in Perception : Processes and mechanisms in the brain</t>
  </si>
  <si>
    <t>Czigler, István;Winkler, István</t>
  </si>
  <si>
    <t>BF378.I55 -- U53 2010eb</t>
  </si>
  <si>
    <t>Implicit memory. ; Memory.</t>
  </si>
  <si>
    <t>Engaging the Public with Climate Change : Behaviour Change and Communication</t>
  </si>
  <si>
    <t>Whitmarsh, Lorraine;Lorenzoni, Irene;O'Neill, Saffron</t>
  </si>
  <si>
    <t>BF353.5.C55 -- E54 2011eb</t>
  </si>
  <si>
    <t>Sexed Sentiments : Interdisciplinary Perspectives on Gender and Emotion</t>
  </si>
  <si>
    <t>Ruberg, Willemijn;Steenbergh, Kristine</t>
  </si>
  <si>
    <t>Critical Studies</t>
  </si>
  <si>
    <t>BF531 .S494 2010</t>
  </si>
  <si>
    <t>Emotions-Sex differences. ; Sex role.</t>
  </si>
  <si>
    <t>Fine, Aubrey H.</t>
  </si>
  <si>
    <t>RM931.A65H36 2010</t>
  </si>
  <si>
    <t>Animals--Therapeutic use</t>
  </si>
  <si>
    <t>Obesity Prevention : The Role of Brain and Society on Individual Behavior</t>
  </si>
  <si>
    <t>Dube, Laurette;Bechara, Antoine;Dagher, Alain;Drewnowski, Adam;LeBel, Jordan;James, Philip;Yada, Rickey Y.</t>
  </si>
  <si>
    <t>RC628.O24 2010</t>
  </si>
  <si>
    <t>The Paradox of Hope : Journeys Through a Clinical Borderland</t>
  </si>
  <si>
    <t>Mattingly, Cheryl</t>
  </si>
  <si>
    <t>362.198/92008996073</t>
  </si>
  <si>
    <t>Stress, Psychological - psychology - United States</t>
  </si>
  <si>
    <t>Everyone's a Winner : Life in Our Congratulatory Culture</t>
  </si>
  <si>
    <t>Best, Joel</t>
  </si>
  <si>
    <t>Equality-United States. ; Motivation (Psychology)-United States. ; Social status-United States. ; United States-Social conditions. ; United States-Social life and customs.</t>
  </si>
  <si>
    <t>M. Evans &amp; Company, Incorporated</t>
  </si>
  <si>
    <t>Amada, Gerald</t>
  </si>
  <si>
    <t>RC480.A48 2011</t>
  </si>
  <si>
    <t>Dyadic Developmental Psychotherapy : Essential Practices and Methods</t>
  </si>
  <si>
    <t>Becker-Weidman, Arthur</t>
  </si>
  <si>
    <t>RJ507.A77B43 2011</t>
  </si>
  <si>
    <t>Attachment behavior in children. ; Child psychotherapy. ; Family psychotherapy. ; Family Therapy--methods. ; Developmental Disabilities--therapy. ; Family Relations.</t>
  </si>
  <si>
    <t>Humanity on a Tightrope : Thoughts on Empathy, Family, and Big Changes for a Viable Future</t>
  </si>
  <si>
    <t>Ehrlich, Paul;Ornstein, Robert</t>
  </si>
  <si>
    <t>HN18.3.E47 2010</t>
  </si>
  <si>
    <t>303.48/2</t>
  </si>
  <si>
    <t>Social problems. ; Social change. ; Cultural relations. ; Empathy. ; Globalization--Social aspects.</t>
  </si>
  <si>
    <t>The Perfect Response : Studies of the Rhetorical Personality</t>
  </si>
  <si>
    <t>Woodward, Gary C.</t>
  </si>
  <si>
    <t>Lexington Studies in Political Communication Series</t>
  </si>
  <si>
    <t>BF637.C45W665 2010</t>
  </si>
  <si>
    <t>Communication--Psychological aspects. ; Public speaking--Psychological aspects. ; Communication in politics--Psychological aspects. ; Rhetoric and psychology.</t>
  </si>
  <si>
    <t>Utopic Dreams and Apocalyptic Fantasies : Critical Approaches to Researching Video Game Play</t>
  </si>
  <si>
    <t>Wright, Talmadge J.;Embrick, David G.;Lukacs, Andras;Carlson, Rebecca;Coavoux, Samuel;Corlis, Jonathan;Ducheneaut, Nicolas;Dyer-Witheford, Nick;Henricks, Thomas S.;Kelly, William H.</t>
  </si>
  <si>
    <t>GV1469.34.S63U76</t>
  </si>
  <si>
    <t>Video games--Social aspects.</t>
  </si>
  <si>
    <t>The Wounds That Heal : Heroism and Human Development</t>
  </si>
  <si>
    <t>Schwartz, Judith A.;Schwartz, Richard B.</t>
  </si>
  <si>
    <t>BJ1533.H47S39 2010</t>
  </si>
  <si>
    <t>Psychology. ; Human growth.</t>
  </si>
  <si>
    <t>Rabinowitz, Aaron</t>
  </si>
  <si>
    <t>BM650</t>
  </si>
  <si>
    <t>Psychotherapy--Religious aspects--Judaism. ; Judaism and psychology. ; Spirituality. ; Psychotherapy--methods. ; Judaism. ; Meditation--psychology. ; Judaism and psychology. (OCoLC)fst00984446. ; Psychotherapy--Religious aspects--Judaism. (OCoLC)fst01081797. ; Judentum. ; Psychotherapie.</t>
  </si>
  <si>
    <t>Reznek, Lawrie</t>
  </si>
  <si>
    <t>HM871.R49 2010</t>
  </si>
  <si>
    <t>302/.17</t>
  </si>
  <si>
    <t>Crowds. ; Collective behavior. ; Hallucinations and illusions. ; Social psychology.</t>
  </si>
  <si>
    <t>St. Louis</t>
  </si>
  <si>
    <t>George, Linda;George, Linda K</t>
  </si>
  <si>
    <t>HQ1061 -- .H336 2011eb</t>
  </si>
  <si>
    <t>Aging -- Social aspects. ; Gerontology. ; Life change events in old age. ; Older people -- Care. ; Older people -- Social conditions -- 21st century.</t>
  </si>
  <si>
    <t>Mediations of Violence in Africa : Fashioning New Futures from Contested Pasts</t>
  </si>
  <si>
    <t>Kapteijns, Lidwien;Richters, Annemiek</t>
  </si>
  <si>
    <t>Africa-Europe Group for Interdisciplinary Studies</t>
  </si>
  <si>
    <t>HN780.Z9 V564 2010</t>
  </si>
  <si>
    <t>303.6/60967</t>
  </si>
  <si>
    <t>Violence-Social aspects-Africa-Case studies. ; Political violence-Social aspects-Africa-Case studies. ; War and society-Africa-Case studies. ; Collective memory-Africa-Case studies. ; Africa-History-1960-</t>
  </si>
  <si>
    <t>Rebirth of the Clinic : Places and Agents in Contemporary Health Care</t>
  </si>
  <si>
    <t>Patton, Cindy;Ceci, Christine;Diedrich, Lisa</t>
  </si>
  <si>
    <t>Quadrant Book</t>
  </si>
  <si>
    <t>RA966 -- .R43 2010eb</t>
  </si>
  <si>
    <t>Child psychiatry. ; Adolescent psychiatry. ; Child mental health.</t>
  </si>
  <si>
    <t>The Journey of Child Development : Selected Papers of Joseph D. Noshpitz</t>
  </si>
  <si>
    <t>Sklarew, Bruce;Sklarew, Myra;Sklarew, Myra</t>
  </si>
  <si>
    <t>HQ771 -- .N67 2011eb</t>
  </si>
  <si>
    <t>The First Year and the Rest of Your Life : Movement, Development, and Psychotherapeutic Change</t>
  </si>
  <si>
    <t>Frank, Ruella;La Barre, Frances</t>
  </si>
  <si>
    <t>BF720.C65 -- F73 2011eb</t>
  </si>
  <si>
    <t>Materials and Media in Art Therapy : Critical Understandings of Diverse Artistic Vocabularies</t>
  </si>
  <si>
    <t>Moon, Catherine Hyland</t>
  </si>
  <si>
    <t>RC489.A7 -- M347 2010eb</t>
  </si>
  <si>
    <t>Duped : Lies and Deception in Psychotherapy</t>
  </si>
  <si>
    <t>Kottler, Jeffrey;Carlson, Jon</t>
  </si>
  <si>
    <t>RC569.5.D44 -- D87 2011eb</t>
  </si>
  <si>
    <t>When the Past Is Always Present : Emotional Traumatization, Causes, and Cures</t>
  </si>
  <si>
    <t>Ruden, Ronald A.</t>
  </si>
  <si>
    <t>BF175.5.P75 -- R83 2011eb</t>
  </si>
  <si>
    <t>Couples Group Psychotherapy : A Clinical Treatment Model</t>
  </si>
  <si>
    <t>Coché, Judith</t>
  </si>
  <si>
    <t>RC488.5 -- .C62 2010eb</t>
  </si>
  <si>
    <t>The Needs ABC Therapeutic Model for Couples and Families : A Guide for Practitioners</t>
  </si>
  <si>
    <t>Caplan, Tom</t>
  </si>
  <si>
    <t>RC488.5 -- .C362 2011eb</t>
  </si>
  <si>
    <t>Handbook of Polytomous Item Response Theory Models : Developments and Applications</t>
  </si>
  <si>
    <t>Nering, Michael L.;Ostini, Remo</t>
  </si>
  <si>
    <t>H61.25 -- .H358 2010eb</t>
  </si>
  <si>
    <t>Sex in Psychotherapy : Sexuality, Passion, Love, and Desire in the Therapeutic Encounter</t>
  </si>
  <si>
    <t>Hedges, Lawrence E.</t>
  </si>
  <si>
    <t>BF692 -- .H43 2011eb</t>
  </si>
  <si>
    <t>The Science of Giving : Experimental Approaches to the Study of Charity</t>
  </si>
  <si>
    <t>Oppenheimer, Daniel M.;Olivola, Christopher Y.</t>
  </si>
  <si>
    <t>The Society for Judgment and Decision Making Series</t>
  </si>
  <si>
    <t>HV16 -- .S39 2011eb</t>
  </si>
  <si>
    <t>Counting Our Losses : Reflecting on Change, Loss, and Transition in Everyday Life</t>
  </si>
  <si>
    <t>Harris, Darcy L.;Gorman, Eunice</t>
  </si>
  <si>
    <t>BF575.D35 -- C68 2011eb</t>
  </si>
  <si>
    <t>Get the Diagnosis Right : Assessment and Treatment Selection for Mental Disorders</t>
  </si>
  <si>
    <t>Blackman, Jerome S.</t>
  </si>
  <si>
    <t>RC469 -- .B53 2010eb</t>
  </si>
  <si>
    <t>Persons in Context : The Challenge of Individuality in Theory and Practice</t>
  </si>
  <si>
    <t>Frie, Roger;Coburn, William J.</t>
  </si>
  <si>
    <t>BF175.5.I53 -- P47 2010eb</t>
  </si>
  <si>
    <t>A Disturbance in the Field : Essays in Transference-Countertransference Engagement</t>
  </si>
  <si>
    <t>Cooper, Steven H.</t>
  </si>
  <si>
    <t>Relational Perspectives Book Series</t>
  </si>
  <si>
    <t>RC489.T73 -- C66 2010eb</t>
  </si>
  <si>
    <t>Please Select Your Gender : From the Invention of Hysteria to the Democratizing of Transgenderism</t>
  </si>
  <si>
    <t>Gherovici, Patricia</t>
  </si>
  <si>
    <t>HQ77.9 -- .G43 2010eb</t>
  </si>
  <si>
    <t>306.76/8</t>
  </si>
  <si>
    <t>Favorite Counseling and Therapy Techniques : 51 Therapists Share Their Most Creative Strategies</t>
  </si>
  <si>
    <t>Rosenthal, Howard G.</t>
  </si>
  <si>
    <t>BF637.C6 -- F36 2011eb</t>
  </si>
  <si>
    <t>Ladany, Nicholas;Bradley, Loretta J.</t>
  </si>
  <si>
    <t>BF636.6 -- .C677 2010eb</t>
  </si>
  <si>
    <t>Working with Immigrant Families : A Practical Guide for Counselors</t>
  </si>
  <si>
    <t>Zagelbaum, Adam;Carlson, Jon</t>
  </si>
  <si>
    <t>BF636.7.C76 -- W67 2011eb</t>
  </si>
  <si>
    <t>158/.3086912</t>
  </si>
  <si>
    <t>Finding Your Counseling Career : Stories, Procedures, and Resources for Career Seekers</t>
  </si>
  <si>
    <t>Collison, Brooke B.</t>
  </si>
  <si>
    <t>BF636.64 -- .C65 2010eb</t>
  </si>
  <si>
    <t>158/.3023</t>
  </si>
  <si>
    <t>Toward Mutual Recognition : Relational Psychoanalysis and the Christian Narrative</t>
  </si>
  <si>
    <t>Hoffman, Marie T.</t>
  </si>
  <si>
    <t>BF175.4.R44 -- H64 2011eb</t>
  </si>
  <si>
    <t>Ming Liu, William;Iwamoto, Derek Kenji;Chae, Mark H.</t>
  </si>
  <si>
    <t>The Routledge Series on Counseling and Psychotherapy with Boys and Men Series</t>
  </si>
  <si>
    <t>BF636.6 -- .C85 2010eb</t>
  </si>
  <si>
    <t>Psychotherapy and the Highly Sensitive Person : Improving Outcomes for That Minority of People Who Are the Majority of Clients</t>
  </si>
  <si>
    <t>Aron, Elaine N.</t>
  </si>
  <si>
    <t>RC475 -- .A76 2010eb</t>
  </si>
  <si>
    <t>Psychotherapy. ; Sensitivity (Personality trait)</t>
  </si>
  <si>
    <t>Thompson, Ron A.;Trattner Sherman, Roberta</t>
  </si>
  <si>
    <t>RC552.E18 -- T458 2010eb</t>
  </si>
  <si>
    <t>Vacha-Haase, Tammi;Wester, Stephen R.;Christianson, Heidi Fowell</t>
  </si>
  <si>
    <t>RC480.54 -- .V33 2011eb</t>
  </si>
  <si>
    <t>Parenting after the Death of a Child : A Practitioner's Guide</t>
  </si>
  <si>
    <t>Buckle, Jennifer L.;Fleming, Stephen J.</t>
  </si>
  <si>
    <t>BF575.G7 -- B767 2010eb</t>
  </si>
  <si>
    <t>Bereavement -- Psychological aspects. ; Children -- Death -- Psychological aspects. ; Brothers and sisters -- Death -- Psychological aspects. ; Parents -- Psychology. ; Parent and child.</t>
  </si>
  <si>
    <t>Grieving Beyond Gender : Understanding the Ways Men and Women Mourn, Revised Edition</t>
  </si>
  <si>
    <t>Doka, Kenneth J.;Martin, Terry L.</t>
  </si>
  <si>
    <t>BF575.G7 -- D64 2010eb</t>
  </si>
  <si>
    <t>Voices from the Field : Defining Moments in Counselor and Therapist Development</t>
  </si>
  <si>
    <t>Trotter-Mathison, Michelle;Koch, Julie M.;Sanger, Sandra;Skovholt, Thomas M.</t>
  </si>
  <si>
    <t>BF636.6 -- .V65 2010eb</t>
  </si>
  <si>
    <t>Toward an Emancipatory Psychoanalysis : Brandchaft's Intersubjective Vision</t>
  </si>
  <si>
    <t>Brandchaft, Bernard;Doctors, Shelley;Sorter, Dorienne</t>
  </si>
  <si>
    <t>RC504 -- .B73 2010eb</t>
  </si>
  <si>
    <t>Functional Family Therapy in Clinical Practice : An Evidence-Based Treatment Model for Working with Troubled Adolescents</t>
  </si>
  <si>
    <t>Sexton, Thomas L.</t>
  </si>
  <si>
    <t>RJ505.B4 -- S49 2011eb</t>
  </si>
  <si>
    <t>Kauffman, Jeffrey</t>
  </si>
  <si>
    <t>BF575.S45 -- S54 2010eb</t>
  </si>
  <si>
    <t>Rasmussen, Paul R.</t>
  </si>
  <si>
    <t>BF511 -- .R37 2010eb</t>
  </si>
  <si>
    <t>Invasive Objects : Minds under Siege</t>
  </si>
  <si>
    <t>Williams, Paul</t>
  </si>
  <si>
    <t>RC509.8.W55 2010</t>
  </si>
  <si>
    <t>On Becoming a Group Member : Personal Growth and Effectiveness in Group Counseling</t>
  </si>
  <si>
    <t>Shakoor, Muhyiddin</t>
  </si>
  <si>
    <t>BF636.7.G76 -- S43 2011eb</t>
  </si>
  <si>
    <t>Blando, John</t>
  </si>
  <si>
    <t>HV1451 -- .B62 2010eb</t>
  </si>
  <si>
    <t>Kitchener, Karen Strohm;Anderson, Sharon K.</t>
  </si>
  <si>
    <t>BF76.4 -- .K58 2010eb</t>
  </si>
  <si>
    <t>Happiness and Economics : How the Economy and Institutions Affect Human Well-Being</t>
  </si>
  <si>
    <t>Frey, Bruno S.;Stutzer, Alois</t>
  </si>
  <si>
    <t>Dreams That Matter : Egyptian Landscapes of the Imagination</t>
  </si>
  <si>
    <t>Mittermaier, Amira</t>
  </si>
  <si>
    <t>154.6/3096216</t>
  </si>
  <si>
    <t>Drift into Failure : From Hunting Broken Components to Understanding Complex Systems</t>
  </si>
  <si>
    <t>Dekker, Sidney</t>
  </si>
  <si>
    <t>HM701 -- .D45 2011eb</t>
  </si>
  <si>
    <t>Social systems. ; Complex organizations. ; System theory -- Social aspects. ; System failures (Engineering) ; Failure (Psychology) ; Complexity (Philosophy)</t>
  </si>
  <si>
    <t>Leading in Turbulent Times : Lessons Learnt and Implications for the Future</t>
  </si>
  <si>
    <t>Lorange, Peter</t>
  </si>
  <si>
    <t>HD57.7</t>
  </si>
  <si>
    <t>Leadership -- Psychological aspects. ; Leadership.</t>
  </si>
  <si>
    <t>Suchy, Yana;Bauer, Russell M.</t>
  </si>
  <si>
    <t>QP401 -- .S843 2011eb</t>
  </si>
  <si>
    <t>Emotions. ; Neuropsychology. ; Clinical neuropsychology.</t>
  </si>
  <si>
    <t>Group Therapy for Substance Use Disorders : A Motivational Cognitive-Behavioral Approach</t>
  </si>
  <si>
    <t>Sobell, Linda Carter;Sobell, Mark B.</t>
  </si>
  <si>
    <t>RC564 -- .S567 2011eb</t>
  </si>
  <si>
    <t>Substance abuse -- Treatment. ; Group psychotherapy. ; Motivational interviewing. ; Cognitive therapy.</t>
  </si>
  <si>
    <t>Brunet, A.;Ashbaugh, A. R.;Herbert, C. F.</t>
  </si>
  <si>
    <t>NATO Science for Peace and Security Series - e: Human and Societal Dynamics Series</t>
  </si>
  <si>
    <t>R859.7.I58 I58 2010</t>
  </si>
  <si>
    <t>Internet in medicine. ; Psychic trauma-Computer network resources. ; Internet-Psychological aspects.</t>
  </si>
  <si>
    <t>Scheuer, Michael</t>
  </si>
  <si>
    <t>HV6430.B55 -- S33 2011eb</t>
  </si>
  <si>
    <t>Bin Laden, Osama, -- 1957-2011. ; Bin Laden, Osama, -- 1957-2011 -- Political and social views. ; Bin Laden, Osama, -- 1957-2011 -- Psychology. ; Terrorists -- Saudi Arabia -- Biography. ; Terrorism -- Religious aspects -- Islam. ; Islamic fundamentalism -- Political aspects. ; Islamic countries -- Relations -- Western countries.</t>
  </si>
  <si>
    <t>Mitrushina, Maura;Boone, Kyle B.;Razani, Jill;D'Elia, Louis F.</t>
  </si>
  <si>
    <t>RC386.6.N48 -- H36 2005eb</t>
  </si>
  <si>
    <t>Neuropsychological tests -- Handbooks, manuals, etc. ; Reference values (Medicine) -- Handbooks, manuals, etc.</t>
  </si>
  <si>
    <t>Foray into the Worlds of Animals and Humans : With A Theory of Meaning</t>
  </si>
  <si>
    <t>von Uexkull, Jakob;von Uexkull, Marina;O’Neil, Joseph D.</t>
  </si>
  <si>
    <t>Posthumanities</t>
  </si>
  <si>
    <t>QL751 -- .U413 2010eb</t>
  </si>
  <si>
    <t>Female friendship -- Fiction. ; Dysfunctional families -- Fiction. ; Secrecy -- Fiction.</t>
  </si>
  <si>
    <t>Science: Zoology; Science</t>
  </si>
  <si>
    <t>Suburban Beijing : Housing and Consumption in Contemporary China</t>
  </si>
  <si>
    <t>Fleischer, Friederike</t>
  </si>
  <si>
    <t>HT352.C552 -- W364 2010eb</t>
  </si>
  <si>
    <t>307.740951/156</t>
  </si>
  <si>
    <t>Adolescent psychology. ; National areas - United States ; National monuments - United States ; National parks and reserves - United States ; Natural areas - United States ; United States - Description and travel ; United States - History, Local</t>
  </si>
  <si>
    <t>Trauma : A Genealogy</t>
  </si>
  <si>
    <t>RC552</t>
  </si>
  <si>
    <t>Psychic trauma. ; Traumatic neuroses.</t>
  </si>
  <si>
    <t>The Sibling Relationship : A Force for Growth and Conflict</t>
  </si>
  <si>
    <t>Edward, Joyce</t>
  </si>
  <si>
    <t>BF723.S43E39 2011</t>
  </si>
  <si>
    <t>Brothers and sisters--Psychological aspects.</t>
  </si>
  <si>
    <t>Grieshaber, Susan;McArdle, Felicity</t>
  </si>
  <si>
    <t>LB1137 .G75 2010</t>
  </si>
  <si>
    <t>Play. ; Early childhood education.</t>
  </si>
  <si>
    <t>Dovey, Terry</t>
  </si>
  <si>
    <t>RC552.E18 D68 2010</t>
  </si>
  <si>
    <t>Eating disorders. ; Food habits.</t>
  </si>
  <si>
    <t>Returning Home : Reconnecting with Our Childhoods</t>
  </si>
  <si>
    <t>Burger, Jerry M.</t>
  </si>
  <si>
    <t>BF353.B87 2011</t>
  </si>
  <si>
    <t>155.9/45</t>
  </si>
  <si>
    <t>Place attachment. ; Dwellings--Psychological aspects. ; Home--Psychological aspects. ; Reminiscing.</t>
  </si>
  <si>
    <t>Kaplan, Steven</t>
  </si>
  <si>
    <t>BF31 -- .K356 2011eb</t>
  </si>
  <si>
    <t>Combat-Related Traumatic Brain Injury and PTSD : A Resource and Recovery Guide</t>
  </si>
  <si>
    <t>Government Institutes</t>
  </si>
  <si>
    <t>Lawhorne-Scott, Cheryl;Philpott, Don</t>
  </si>
  <si>
    <t>Military Life</t>
  </si>
  <si>
    <t>RC550 -- .L37 2010eb</t>
  </si>
  <si>
    <t>Lipp, Charles;Romaniello, Matthew P.</t>
  </si>
  <si>
    <t>HT653.E9 -- R66 2011eb</t>
  </si>
  <si>
    <t>Nobility -- Europe -- History. ; Spatial behavior -- Europe -- History. ; Self-protective behavior -- Social aspects -- Europe -- History. ; Contests -- Social aspects -- Europe -- History. ; Power (Social sciences) -- Europe -- History. ; Dominance (Psychology) -- Europe -- History. ; Social change -- Europe -- History.</t>
  </si>
  <si>
    <t>Interdependent Minds : The Dynamics of Close Relationships</t>
  </si>
  <si>
    <t>Murray, Sandra L.;Holmes, John G.;Reis, Harry T.</t>
  </si>
  <si>
    <t>HQ801 -- .M87 2011eb</t>
  </si>
  <si>
    <t>646.7/8</t>
  </si>
  <si>
    <t>Couples -- Psychology. ; Interpersonal relations.</t>
  </si>
  <si>
    <t>Play in Clinical Practice : Evidence-Based Approaches</t>
  </si>
  <si>
    <t>Russ, Sandra W.;Niec, Larissa N.</t>
  </si>
  <si>
    <t>RJ505.P6 -- P53 2011eb</t>
  </si>
  <si>
    <t>Play therapy. ; Play -- Psychological aspects. ; Psychotherapy.</t>
  </si>
  <si>
    <t>Cloning Terror : The War of Images, 9/11 to the Present</t>
  </si>
  <si>
    <t>Mitchell, W. J. T.</t>
  </si>
  <si>
    <t>HV6432</t>
  </si>
  <si>
    <t>Visual communication -- Political aspects</t>
  </si>
  <si>
    <t>David to Delacroix : The Rise of Romantic Mythology</t>
  </si>
  <si>
    <t>Johnson, Dorothy</t>
  </si>
  <si>
    <t>Bettie Allison Rand Lectures in Art History</t>
  </si>
  <si>
    <t>N7760 -- .J64 2011eb</t>
  </si>
  <si>
    <t>704.9/4892130944</t>
  </si>
  <si>
    <t>Mythology, Classical, in art. ; Romanticism in art -- France. ; Psychology and art -- France. ; Art, French -- 18th century -- Themes, motives. ; Art, French -- 19th century -- Themes, motives.</t>
  </si>
  <si>
    <t>Counterplay : An Anthropologist at the Chessboard</t>
  </si>
  <si>
    <t>Desjarlais, Robert R.</t>
  </si>
  <si>
    <t>Chess -- Philosophy. ; Chess players -- Psychology. ; Anthropology -- Philosophy.</t>
  </si>
  <si>
    <t>Sexual Health in Recovery : A Professional Counselor's Manual</t>
  </si>
  <si>
    <t>Braun-Harvey, Douglas</t>
  </si>
  <si>
    <t>RC564.B718 2011</t>
  </si>
  <si>
    <t>Drug addiction--Treatment. ; Sex. ; Counseling. ; Sexual Behavior--psychology. ; Substance-Related Disorders--therapy. ; Counseling--methods.</t>
  </si>
  <si>
    <t>Character and Neurosis : An Integrative View</t>
  </si>
  <si>
    <t>Gateways Books &amp; Tapes</t>
  </si>
  <si>
    <t>Nevada City</t>
  </si>
  <si>
    <t>Naranjo, Claudio</t>
  </si>
  <si>
    <t>BF698.35.E54 -- N37 1994eb</t>
  </si>
  <si>
    <t>155.2/6;616.852</t>
  </si>
  <si>
    <t>Enneagram. ; Typology (Psychology)</t>
  </si>
  <si>
    <t>Enneagram of Society : Healing the Soul to Heal the World</t>
  </si>
  <si>
    <t>Consciousness Classics</t>
  </si>
  <si>
    <t>BF698.35.E54 -- N3813 2004eb</t>
  </si>
  <si>
    <t>Deadly sins -- Psychology. ; Enneagram -- Social aspects. ; Enneagram.</t>
  </si>
  <si>
    <t>Cognitive Explorations of Translation : Eyes, Keys, Taps</t>
  </si>
  <si>
    <t>O'Brien, Sharon</t>
  </si>
  <si>
    <t>Continuum Studies in Translation Series</t>
  </si>
  <si>
    <t>P306.2 -- .C555 2010eb</t>
  </si>
  <si>
    <t>Translating and interpreting -- Psychological aspects. ; Cognitive psychology.</t>
  </si>
  <si>
    <t>American Legal Injustice : Behind the Scenes with an Expert Witness</t>
  </si>
  <si>
    <t>Tanay, Emanuel;Simon, Robert I.</t>
  </si>
  <si>
    <t>KF9223.T36 2010</t>
  </si>
  <si>
    <t>345.73/05</t>
  </si>
  <si>
    <t>Criminal justice, Administration of--United States. ; Forensic psychiatry--United States. ; Forensic psychiatrists--United States.</t>
  </si>
  <si>
    <t>Immigration and Acculturation : Mourning, Adaptation, and the Next Generation</t>
  </si>
  <si>
    <t>Akhtar, Salman</t>
  </si>
  <si>
    <t>HM841.A53 2011</t>
  </si>
  <si>
    <t>305.9/06912</t>
  </si>
  <si>
    <t>Acculturation. ; Emigration and immigration--Psychological aspects. ; Emigrants and Immigrants--psychology. ; Acculturation. ; Cultural Characteristics.</t>
  </si>
  <si>
    <t>Longing for Nothingness : Resistance, Denial, and the Place of Death in the Nursing Home</t>
  </si>
  <si>
    <t>Stein, Andrew</t>
  </si>
  <si>
    <t>BF789.D4 -- S72 2010eb</t>
  </si>
  <si>
    <t>Polyamory in the 21st Century : Love and Intimacy with Multiple Partners</t>
  </si>
  <si>
    <t>Anapol, Deborah</t>
  </si>
  <si>
    <t>HQ980.A536 2010</t>
  </si>
  <si>
    <t>Non-monogamous relationships. ; Sexual ethics. ; Open marriage. ; Homosexuality--Psychological aspects.</t>
  </si>
  <si>
    <t>The Power of Specificity in Psychotherapy : When Therapy Works--And When It Doesn't</t>
  </si>
  <si>
    <t>Bacal, Howard A.;Carlton, Lucyann</t>
  </si>
  <si>
    <t>RC480.5.B18 2011</t>
  </si>
  <si>
    <t>Psychotherapy. ; Psychoanalysis. ; Psychotherapy--methods. ; Psychoanalytic Theory.</t>
  </si>
  <si>
    <t>Envy Theory : Perspectives on the Psychology of Envy</t>
  </si>
  <si>
    <t>Ninivaggi, Frank John;Ninivaggi, M D Frank John</t>
  </si>
  <si>
    <t>BF575.E65N56 2010</t>
  </si>
  <si>
    <t>152.4/8</t>
  </si>
  <si>
    <t>Head Games : De-Colonizing the Psychotherapeutic Process</t>
  </si>
  <si>
    <t>Okembe-RA Imani, Nikitah</t>
  </si>
  <si>
    <t>Psychotherapy -- Cross-cultural studies</t>
  </si>
  <si>
    <t>Finding and Revealing Your Sexual Self : A Guide to Communicating about Sex</t>
  </si>
  <si>
    <t>Bennett, Libby;Holczer, Ginger</t>
  </si>
  <si>
    <t>HQ23.B445 2010</t>
  </si>
  <si>
    <t>Play Therapy Interventions with Children's Problems : Case Studies with DSM-IV-TR Diagnoses</t>
  </si>
  <si>
    <t>Landreth, Garry L.;Ray, Dee C.;Sweeney, Daniel S.;Homeyer, Linda E.;Glover, Geraldine J.;Glover, Geraldine J</t>
  </si>
  <si>
    <t>RJ505.P6P53 2010</t>
  </si>
  <si>
    <t>Play therapy -- Abstracts. ; Play therapy -- Case studies -- Abstracts.</t>
  </si>
  <si>
    <t>Tsoukas, Haridimos;Chia, Robert;Lounsbury, Michael</t>
  </si>
  <si>
    <t>Research in the Sociology of Organizations Series</t>
  </si>
  <si>
    <t>HM711</t>
  </si>
  <si>
    <t>Childhood Psychological Disorders : Current Controversies</t>
  </si>
  <si>
    <t>Making Sense of Psychology Series</t>
  </si>
  <si>
    <t>RJ506.D47C45 2011</t>
  </si>
  <si>
    <t>Developmentally disabled children. ; Children with disabilities--Mental health. ; Child mental health. ; Child psychology.</t>
  </si>
  <si>
    <t>Spalek</t>
  </si>
  <si>
    <t>Cooper, Cary;Antoniou, Alexander-Stamatios</t>
  </si>
  <si>
    <t>Psychological and Behavioural Aspects of Risk Series</t>
  </si>
  <si>
    <t>Industrial hygiene</t>
  </si>
  <si>
    <t>Saldana, Johnny;Leavy, Patricia;Beretvas, Natasha</t>
  </si>
  <si>
    <t>Understanding Qualitative Research Series</t>
  </si>
  <si>
    <t>H62 -- .S31857 2011eb</t>
  </si>
  <si>
    <t>001.4/2</t>
  </si>
  <si>
    <t>Social sciences -- Research. ; Qualitative research.</t>
  </si>
  <si>
    <t>Stoic Warriors : The Ancient Philosophy Behind the Military Mind</t>
  </si>
  <si>
    <t>Sherman, Nancy</t>
  </si>
  <si>
    <t>B528 -- .S299 2005eb</t>
  </si>
  <si>
    <t>Stoics. ; Psychology, Military.</t>
  </si>
  <si>
    <t>Causality and Psychopathology : Finding the Determinants of Disorders and Their Cures</t>
  </si>
  <si>
    <t>Shrout, Patrick;Keyes, Katherine;Ornstein, Katherine</t>
  </si>
  <si>
    <t>American Psychopathological Association Series</t>
  </si>
  <si>
    <t>RC454 -- .A4193 2008eb</t>
  </si>
  <si>
    <t>Psychiatry -- Research -- Methodology -- Congresses. ; Psychology, Pathological -- Etiology -- Congresses.</t>
  </si>
  <si>
    <t>Most Underappreciated : 50 Prominent Social Psychologists Describe Their Most Unloved Work</t>
  </si>
  <si>
    <t>Arkin, Robert</t>
  </si>
  <si>
    <t>HM1033 -- .M67 2011eb</t>
  </si>
  <si>
    <t>302.092/2</t>
  </si>
  <si>
    <t>Social psychology. ; Social psychologists.</t>
  </si>
  <si>
    <t>Computing the Mind : How the Mind Really Works</t>
  </si>
  <si>
    <t>Edelman, Shimon</t>
  </si>
  <si>
    <t>BF311 -- .E328 2008eb</t>
  </si>
  <si>
    <t>Cognition. ; Computational neuroscience. ; Thought and thinking -- Mathematical models.</t>
  </si>
  <si>
    <t>Rabins, Peter V.;Lyketsos, Constantine G.;Steele, Cynthia D.</t>
  </si>
  <si>
    <t>RC521 -- .R33 2006eb</t>
  </si>
  <si>
    <t>Dementia -- Patients -- Care. ; Mentally ill -- Care.</t>
  </si>
  <si>
    <t>Managing Social Anxiety : A Cognitive-Behavioral Therapy Approach Therapist Guide</t>
  </si>
  <si>
    <t>Hope, Debra A.;Heimberg, Richard G.;Turk, Cynthia L.</t>
  </si>
  <si>
    <t>RC531.H67 2006</t>
  </si>
  <si>
    <t>616.85/2206</t>
  </si>
  <si>
    <t>Morgan, Leslie A.;Kunkel, Suzanne R.</t>
  </si>
  <si>
    <t>HQ1064.U5M6818 2011</t>
  </si>
  <si>
    <t>Older people--United States. ; Aging--United States. ; Gerontology--United States.</t>
  </si>
  <si>
    <t>Keating, Daniel P.</t>
  </si>
  <si>
    <t>BF341 .N377 2011</t>
  </si>
  <si>
    <t>Nature and nurture. ; Genetic psychology. ; Child psychology.</t>
  </si>
  <si>
    <t>Sexual Revolutions : Psychoanalysis, History and the Father</t>
  </si>
  <si>
    <t>Heuer, Gottfried</t>
  </si>
  <si>
    <t>BF175 -- .S48 2011eb</t>
  </si>
  <si>
    <t>Jungian Theory - history</t>
  </si>
  <si>
    <t>Problematic and Risk Behaviours in Psychosis : A Shared Formulation Approach</t>
  </si>
  <si>
    <t>Meaden, Alan;Hacker, David</t>
  </si>
  <si>
    <t>RC512 -- .M37 2011eb</t>
  </si>
  <si>
    <t>Integrative Therapy : 100 Key Points and Techniques</t>
  </si>
  <si>
    <t>Gilbert, Maria;Orlans, Vanja</t>
  </si>
  <si>
    <t>100 Key Points Series</t>
  </si>
  <si>
    <t>RC489.E24 -- G55 2011eb</t>
  </si>
  <si>
    <t>Researching Creative Learning : Methods and Issues</t>
  </si>
  <si>
    <t>Thomson, Pat;Sefton-Green, Julian;Sefton-Green, Julian</t>
  </si>
  <si>
    <t>LB1025.3 -- .T535 2011eb</t>
  </si>
  <si>
    <t>370.15/7072</t>
  </si>
  <si>
    <t>Rethinking Play and Pedagogy in Early Childhood Education : Concepts, Contexts and Cultures</t>
  </si>
  <si>
    <t>Rogers, Sue</t>
  </si>
  <si>
    <t>LB1139.35.P55 -- R47 2010eb</t>
  </si>
  <si>
    <t>Rehabilitation of Visual Disorders after Brain Injury : 2nd Edition</t>
  </si>
  <si>
    <t>Zihl, Josef</t>
  </si>
  <si>
    <t>Neuropsychological Rehabilitation: a Modular Handbook Series</t>
  </si>
  <si>
    <t>RE91 -- .Z54 2011eb</t>
  </si>
  <si>
    <t>Mental Health and Social Problems : A Social Work Perspective</t>
  </si>
  <si>
    <t>Rovinelli Heller, Nina;Gitterman, Alex</t>
  </si>
  <si>
    <t>HV689 -- .M46 2011eb</t>
  </si>
  <si>
    <t>362.2/042</t>
  </si>
  <si>
    <t>Deception : A Young Person's Life Skill?</t>
  </si>
  <si>
    <t>Taylor, Rachel;Gozna, Lynsey</t>
  </si>
  <si>
    <t>Studies in Adolescent Development Series</t>
  </si>
  <si>
    <t>BF724.3.T78 -- T39 2010eb</t>
  </si>
  <si>
    <t>Gertler, Brie</t>
  </si>
  <si>
    <t>New Problems of Philosophy Series</t>
  </si>
  <si>
    <t>BD438.5 -- .G47 2011eb</t>
  </si>
  <si>
    <t>Therapeutic Processes for Communication Disorders : A Guide for Clinicians and Students</t>
  </si>
  <si>
    <t>Fourie, Robert J.</t>
  </si>
  <si>
    <t>RC423 -- .T46 2010eb</t>
  </si>
  <si>
    <t>Bott Spillius, Elizabeth;Milton, Jane;Garvey, Penelope;Couve, Cyril;Steiner, Deborah</t>
  </si>
  <si>
    <t>RC501.4 -- .N49 2010eb</t>
  </si>
  <si>
    <t>EU Conflict Prevention and Crisis Management : Roles, Institutions, and Policies</t>
  </si>
  <si>
    <t>Gross, Eva;Juncos, Ana E.</t>
  </si>
  <si>
    <t>Routledge/UACES Contemporary European Studies</t>
  </si>
  <si>
    <t>JZ6368 -- .E93 2011eb</t>
  </si>
  <si>
    <t>Liebermann, Bernhardt</t>
  </si>
  <si>
    <t>BF448 -- .S53 2011eb</t>
  </si>
  <si>
    <t>Decision making -- Congresses. ; Choice (Psychology) -- Congresses. ; Social interaction -- Congresses.</t>
  </si>
  <si>
    <t>Wennmann, Achim</t>
  </si>
  <si>
    <t>Studies in Conflict, Development and Peacebuilding Series</t>
  </si>
  <si>
    <t>JZ5538 -- .W467 2011eb</t>
  </si>
  <si>
    <t>Regan, Pamela</t>
  </si>
  <si>
    <t>HM1106 -- .R428 2011eb</t>
  </si>
  <si>
    <t>Coltheart, Veronika</t>
  </si>
  <si>
    <t>Macquarie Monographs in Cognitive Science</t>
  </si>
  <si>
    <t>BF241 -- .T868 2010eb</t>
  </si>
  <si>
    <t>Generalization of Knowledge : Multidisciplinary Perspectives</t>
  </si>
  <si>
    <t>Banich, Marie T.;Caccamise, Donna</t>
  </si>
  <si>
    <t>LB1590.3 -- .G45 2010eb</t>
  </si>
  <si>
    <t>370.15/2</t>
  </si>
  <si>
    <t>Adaptive Origins : Evolution and Human Development</t>
  </si>
  <si>
    <t>LaFrenière, Peter</t>
  </si>
  <si>
    <t>BF698.95 -- .L34 2010eb</t>
  </si>
  <si>
    <t>Howell, Peter</t>
  </si>
  <si>
    <t>RC424 -- .H75 2011eb</t>
  </si>
  <si>
    <t>Depression and the Soul : A Guide to Spiritually Integrated Treatment</t>
  </si>
  <si>
    <t>Peteet, John R.</t>
  </si>
  <si>
    <t>RC537 -- .P437 2010eb</t>
  </si>
  <si>
    <t>Informed by Knowledge : Expert Performance in Complex Situations</t>
  </si>
  <si>
    <t>Mosier, Kathleen L.;Fischer, Ute M.</t>
  </si>
  <si>
    <t>Expertise: Research and Applications Series</t>
  </si>
  <si>
    <t>BF448 -- .I54 2011eb</t>
  </si>
  <si>
    <t>003/.56</t>
  </si>
  <si>
    <t>Psychology; Computer Science/IT</t>
  </si>
  <si>
    <t>The Handbook of Psycholinguistic and Cognitive Processes : Perspectives in Communication Disorders</t>
  </si>
  <si>
    <t>Guendouzi, Jackie;Loncke, Filip;Williams, Mandy J.</t>
  </si>
  <si>
    <t>Routledge International Handbooks Series</t>
  </si>
  <si>
    <t>BF455 -- .H26 2011eb</t>
  </si>
  <si>
    <t>Psycholinguistics. ; Cognitive psychology. ; Communicative disorders.</t>
  </si>
  <si>
    <t>The Scientist and the Humanist : A Festschrift in Honor of Elliot Aronson</t>
  </si>
  <si>
    <t>Gonzales, Marti Hope;Tavris, Carol;Aronson, Joshua</t>
  </si>
  <si>
    <t>Modern Pioneers in Psychological Science: an APS-Psychology Press Series</t>
  </si>
  <si>
    <t>HM1031.A76 -- S35 2010eb</t>
  </si>
  <si>
    <t>Psychoanalysis and Motivational Systems : A New Look</t>
  </si>
  <si>
    <t>Lichtenberg, Joseph D.;Lachmann, Frank M.;Fosshage, James L.</t>
  </si>
  <si>
    <t>BF503 -- .L53 2011eb</t>
  </si>
  <si>
    <t>Expressions of Drunkenness (Four Hundred Rabbits) : Expressions of Drunkenness</t>
  </si>
  <si>
    <t>Fox, Anne;MacAvoy, Mike</t>
  </si>
  <si>
    <t>ICAP Series on Alcohol in Society Series</t>
  </si>
  <si>
    <t>HV5035 -- .F58 2011eb</t>
  </si>
  <si>
    <t>The Counselor's Guide for Facilitating the Interpretation of Dreams : Family and Other Relationship Systems Perspectives</t>
  </si>
  <si>
    <t>Duesbury, Evelyn M.</t>
  </si>
  <si>
    <t>BF1078 -- .D767 2011eb</t>
  </si>
  <si>
    <t>Grounding Sociality : Neurons, Mind, and Culture</t>
  </si>
  <si>
    <t>Semin, Gün R.;Echterhoff, Gerald</t>
  </si>
  <si>
    <t>HM1111 -- .G76 2011eb</t>
  </si>
  <si>
    <t>Bringing Systems Thinking to Life : Expanding the Horizons for Bowen Family Systems Theory</t>
  </si>
  <si>
    <t>Bregman, Ona Cohn;White, Charles M.</t>
  </si>
  <si>
    <t>RC388.5 -- .B747 2011eb</t>
  </si>
  <si>
    <t>Raykov, Tenko;Marcoulides, George A.</t>
  </si>
  <si>
    <t>BF39 -- .R34 2011eb</t>
  </si>
  <si>
    <t>RC488.5 -- .L3474 2010eb</t>
  </si>
  <si>
    <t>Successful Remembering and Successful Forgetting : A Festschrift in Honor of Robert A. Bjork</t>
  </si>
  <si>
    <t>Benjamin, Aaron S.</t>
  </si>
  <si>
    <t>BF371 -- .S86 2011eb</t>
  </si>
  <si>
    <t>Frontiers of Social Psychology Series</t>
  </si>
  <si>
    <t>BF503 -- .S655 2011eb</t>
  </si>
  <si>
    <t>Forgas, Joseph P.;Cooper, Joel;Crano, William D.</t>
  </si>
  <si>
    <t>BF327 -- .A887 2010eb</t>
  </si>
  <si>
    <t>Children of Divorce : Stories of Loss and Growth, Second Edition</t>
  </si>
  <si>
    <t>Harvey, John H.;Fine, Mark A.</t>
  </si>
  <si>
    <t>HQ777.5 -- .H38 2010eb</t>
  </si>
  <si>
    <t>Greenberg, Jerald</t>
  </si>
  <si>
    <t>HF5549.5.E42 -- I55 2010eb</t>
  </si>
  <si>
    <t>658.3/045</t>
  </si>
  <si>
    <t>Problem employees. ; Employees -- Psychology. ; Work environment -- Psychological aspects. ; Psychology, Industrial.</t>
  </si>
  <si>
    <t>Fujii, Daryl E. M.</t>
  </si>
  <si>
    <t>Studies on Neuropsychology, Neurology and Cognition Series</t>
  </si>
  <si>
    <t>QP360 -- .N4947 2011eb</t>
  </si>
  <si>
    <t>Blais, Mark A.;Baity, Matthew R.;Hopwood, Christopher J.</t>
  </si>
  <si>
    <t>RC473.P56 -- C55 2011eb</t>
  </si>
  <si>
    <t>Applied Research in Child and Adolescent Development : A Practical Guide</t>
  </si>
  <si>
    <t>Maholmes, Valerie;Lomonaco, Carmela Gina</t>
  </si>
  <si>
    <t>BF721 -- .A693 2010eb</t>
  </si>
  <si>
    <t>The Aging Consumer : Perspectives from Psychology and Economics</t>
  </si>
  <si>
    <t>Drolet, Aimee;Yoon, Carolyn;Yoon, Carolyn</t>
  </si>
  <si>
    <t>Marketing and Consumer Psychology Series</t>
  </si>
  <si>
    <t>HF5415.332.O43 -- A385 2010eb</t>
  </si>
  <si>
    <t>658.8/340846</t>
  </si>
  <si>
    <t>Attachment : Expanding the Cultural Connections</t>
  </si>
  <si>
    <t>Erdman, Phyllis;Ng, Kok-Mun</t>
  </si>
  <si>
    <t>BF575.A86 -- A777 2010eb</t>
  </si>
  <si>
    <t>Cognitive-Behavioural Therapy : Research and Practice in Health and Social Care</t>
  </si>
  <si>
    <t>Sheldon, Brian</t>
  </si>
  <si>
    <t>HV245 -- .S47 2011eb</t>
  </si>
  <si>
    <t>Hood, Johanna</t>
  </si>
  <si>
    <t>Media, Culture and Social Change in Asia</t>
  </si>
  <si>
    <t>RA643.7.C6 -- H66 2011eb</t>
  </si>
  <si>
    <t>Colverd, Sue;Hodgkin, Bernard</t>
  </si>
  <si>
    <t>LB1060.2 -- .C65 2011eb</t>
  </si>
  <si>
    <t>370.15/34</t>
  </si>
  <si>
    <t>Cluttering : A Handbook of Research, Intervention and Education</t>
  </si>
  <si>
    <t>Ward, David;Scaler Scott, Kathleen</t>
  </si>
  <si>
    <t>RC424.5 -- .C57 2011eb</t>
  </si>
  <si>
    <t>Leavitt, Judith P.</t>
  </si>
  <si>
    <t>RC488.5 -- .L42 2010eb</t>
  </si>
  <si>
    <t>Introduction to Art Therapy : Sources and Resources</t>
  </si>
  <si>
    <t>Rubin, Judith A.</t>
  </si>
  <si>
    <t>RC489.A7 -- R834 2010eb</t>
  </si>
  <si>
    <t>Psychotherapist Revealed : Therapists Speak about Self-Disclosure in Psychotherapy</t>
  </si>
  <si>
    <t>Bloomgarden, Andrea;Mennuti, Rosemary B.</t>
  </si>
  <si>
    <t>RC465.5 -- .P79 2009eb</t>
  </si>
  <si>
    <t>616.89/14068</t>
  </si>
  <si>
    <t>Using Technology to Support Evidence-Based Behavioral Health Practices : A Clinician's Guide</t>
  </si>
  <si>
    <t>Cucciare, Michael A.;Weingardt, Kenneth R.;Weingardt, Kenneth</t>
  </si>
  <si>
    <t>RC455.2.E94 -- U85 2009eb</t>
  </si>
  <si>
    <t>Treatment Resistant Anxiety Disorders : Resolving Impasses to Symptom Remission</t>
  </si>
  <si>
    <t>Sookman, Debbie;Leahy, Robert L.</t>
  </si>
  <si>
    <t>RC531 -- .T686 2009eb</t>
  </si>
  <si>
    <t>Self-Esteem Across the Lifespan : Issues and Interventions</t>
  </si>
  <si>
    <t>Guindon, Mary H.</t>
  </si>
  <si>
    <t>BF697.5.S46 -- S447 2009eb</t>
  </si>
  <si>
    <t>The Psychology of Courage : An Adlerian Handbook for Healthy Social Living</t>
  </si>
  <si>
    <t>Yang, Julia;Milliren, Alan;Blagen, Mark</t>
  </si>
  <si>
    <t>BF575.C8 -- Y36 2010eb</t>
  </si>
  <si>
    <t>150.19/53</t>
  </si>
  <si>
    <t>Predicting and Changing Behavior : The Reasoned Action Approach</t>
  </si>
  <si>
    <t>Fishbein, Martin;Ajzen, Icek</t>
  </si>
  <si>
    <t>BF637.B4 -- F57 2010eb</t>
  </si>
  <si>
    <t>153.8/5</t>
  </si>
  <si>
    <t>Behavior modification. ; Expectation (Psychology) ; Human behavior.</t>
  </si>
  <si>
    <t>Adverse Impact : Implications for Organizational Staffing and High Stakes Selection</t>
  </si>
  <si>
    <t>Outtz, James L.;Society for Industrial and Organizational Psychology (U.S.) Staff</t>
  </si>
  <si>
    <t>SIOP Organizational Frontiers Series</t>
  </si>
  <si>
    <t>HF5549.5.S38 -- A38 2011eb</t>
  </si>
  <si>
    <t>Salomon, Gavriel;Cairns, Ed</t>
  </si>
  <si>
    <t>JZ5534 -- .H36 2010eb</t>
  </si>
  <si>
    <t>The Analyst in the Inner City : Race, Class, and Culture Through a Psychoanalytic Lens</t>
  </si>
  <si>
    <t>Altman, Neil</t>
  </si>
  <si>
    <t>RC506 -- .A48 2009eb</t>
  </si>
  <si>
    <t>Intersections of Multiple Identities : A Casebook of Evidence-Based Practices with Diverse Populations</t>
  </si>
  <si>
    <t>Gallardo, Miguel E.;McNeill, Brian W.;McNeill, Brian W</t>
  </si>
  <si>
    <t>RC455.4.E8 -- I72 2009eb</t>
  </si>
  <si>
    <t>Mnemonology : Mnemonics for the 21st Century</t>
  </si>
  <si>
    <t>Worthen, James B.;Hunt, R. Reed</t>
  </si>
  <si>
    <t>BF385 -- .W77 2011eb</t>
  </si>
  <si>
    <t>How Children Learn to Read : Current Issues and New Directions in the Integration of Cognition, Neurobiology and Genetics of Reading and Dyslexia Research and Practice</t>
  </si>
  <si>
    <t>Pugh, Ken;McCardle, Peggy;McCardle, Peggy</t>
  </si>
  <si>
    <t>Extraordinary Brain Series</t>
  </si>
  <si>
    <t>BF456.R2 -- H67 2009eb</t>
  </si>
  <si>
    <t>418/.4019</t>
  </si>
  <si>
    <t>Reading, Psychology of. ; Reading -- Physiological aspects. ; Cognition in children. ; Dyslexia.</t>
  </si>
  <si>
    <t>Language/Linguistics; Psychology</t>
  </si>
  <si>
    <t>Mathematical Reasoning : Patterns, Problems, Conjectures, and Proofs</t>
  </si>
  <si>
    <t>Nickerson, Raymond</t>
  </si>
  <si>
    <t>QA300 -- .N468 2010eb</t>
  </si>
  <si>
    <t>Mathematical analysis. ; Reasoning. ; Logic, Symbolic and mathematical. ; Problem solving.</t>
  </si>
  <si>
    <t>Tarricone, Pina</t>
  </si>
  <si>
    <t>BF311 -- .T27 2011eb</t>
  </si>
  <si>
    <t>AD,AE,AF,AG,AI,AL,AM,AN,AO,AQ,AR,AS,AT,AU,AW,AX,AZ,BA,BB,BD,BE,BF,BG,BH,BI,BJ,BL,BM,BN,BO,BQ,BR,BS,BT,BV,BW,BY,BZ,CC,CD,CF,CG,CH,CI,CK,CL,CM,CN,CO,CR,CU,CV,CW,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S,ST,SV,SX,SY,SZ,TC,TD,TF,TG,TH,TJ,TK,TL,TM,TN,TO,TR,TT,TV,TW,TZ,UA,UG,UM,UY,UZ,VA,VC,VE,VG,VI,VN,VU,WF,WS,YE,YT,YU,ZA,ZM,ZW</t>
  </si>
  <si>
    <t>Illegal Leisure Revisited : Changing Patterns of Alcohol and Drug Use in Adolescents and Young Adults</t>
  </si>
  <si>
    <t>Aldridge, Judith;Measham, Fiona;Williams, Lisa;Williams, Lisa</t>
  </si>
  <si>
    <t>HV5824.Y68 -- I45 2011eb</t>
  </si>
  <si>
    <t>Liberal Peacebuilding and Global Governance : Beyond the Metropolis</t>
  </si>
  <si>
    <t>Roberts, David</t>
  </si>
  <si>
    <t>Routledge Studies in Peace and Conflict Resolution Series</t>
  </si>
  <si>
    <t>JZ5538 -- .R62 2011eb</t>
  </si>
  <si>
    <t>327.1/72</t>
  </si>
  <si>
    <t>Wetchler, Joseph L.</t>
  </si>
  <si>
    <t>RC488.5 -- .H32623 2011eb</t>
  </si>
  <si>
    <t>Marital psychotherapy. ; Couples -- Psychology.</t>
  </si>
  <si>
    <t>Change in Psychoanalysis : An Analyst's Reflections on the Therapeutic Relationship</t>
  </si>
  <si>
    <t>Jaenicke, Chris</t>
  </si>
  <si>
    <t>RC500 -- .J3413 2011eb</t>
  </si>
  <si>
    <t>Advanced Play Therapy : Essential Conditions, Knowledge, and Skills for Child Practice</t>
  </si>
  <si>
    <t>Ray, Dee</t>
  </si>
  <si>
    <t>RJ505.P6 -- R39 2011eb</t>
  </si>
  <si>
    <t>Child Anxiety Disorders : A Guide to Research and Treatment, 2nd Edition</t>
  </si>
  <si>
    <t>Beidel, Deborah C.;Alfano, Candice A.</t>
  </si>
  <si>
    <t>RJ506.A58 -- B45 2011eb</t>
  </si>
  <si>
    <t>Panter, A. T.;Sterba, Sonya K.;Panter, A T</t>
  </si>
  <si>
    <t>Multivariate Applications Series</t>
  </si>
  <si>
    <t>H62 -- .P276 2011eb</t>
  </si>
  <si>
    <t>Quantitative research -- Moral and ethical aspects. ; Social sciences -- Methodology -- Moral and ethical aspects.</t>
  </si>
  <si>
    <t>Adolescent Rationality and Development : Cognition, Morality, and Identity, Third Edition</t>
  </si>
  <si>
    <t>Moshman, David</t>
  </si>
  <si>
    <t>BF724 -- .M67 2011eb</t>
  </si>
  <si>
    <t>AD,AE,AF,AG,AI,AL,AM,AN,AO,AQ,AS,AT,AU,AW,AX,AZ,BA,BB,BD,BE,BF,BG,BH,BI,BJ,BL,BM,BN,BQ,BS,BT,BV,BW,BY,CC,CD,CF,CG,CH,CI,CK,CM,CN,CU,CV,CW,CX,CY,CZ,DE,DJ,DK,DM,DO,DZ,EE,EG,EH,ER,ES,ET,FI,FJ,FM,FO,FR,GA,GB,GD,GE,GG,GH,GI,GL,GM,GN,GP,GQ,GR,GU,GW,HK,HM,HR,HT,HU,ID,IE,IL,IM,IN,IO,IQ,IR,IS,IT,JE,JM,JO,JP,KE,KG,KH,KI,KM,KN,KP,KR,KW,KY,KZ,LA,LB,LC,LI,LK,LR,LS,LT,LU,LV,LY,MA,MC,MD,ME,MF,MG,MH,MK,ML,MM,MN,MO,MP,MQ,MR,MS,MT,MU,MV,MW,MY,MZ,NA,NC,NE,NF,NG,NL,NO,NP,NR,NU,NZ,OM,PF,PG,PH,PK,PL,PM,PN,PR,PS,PT,PW,QA,RE,RO,RS,RU,RW,SA,SB,SC,SD,SE,SG,SI,SJ,SK,SL,SM,SN,SO,SS,ST,SX,SY,SZ,TC,TD,TF,TG,TH,TJ,TK,TL,TM,TN,TO,TR,TT,TV,TW,TZ,UA,UG,UM,UZ,VA,VC,VE,VG,VI,VN,VU,WF,WS,YE,YT,YU,ZA,ZM,ZW</t>
  </si>
  <si>
    <t>Between Winnicott and Lacan : A Clinical Engagement</t>
  </si>
  <si>
    <t>Kirshner, Lewis A.</t>
  </si>
  <si>
    <t>BF173 -- .B48 2011eb</t>
  </si>
  <si>
    <t>Memory, Myth, and Seduction : Unconscious Fantasy and the Interpretive Process</t>
  </si>
  <si>
    <t>Schimek, Jean-Georges;Browning, Deborah L.;Bass, Alan</t>
  </si>
  <si>
    <t>Psychological Issues Series</t>
  </si>
  <si>
    <t>BF175.5.F36 -- S35 2011eb</t>
  </si>
  <si>
    <t>From Classical to Contemporary Psychoanalysis : A Critique and Integration</t>
  </si>
  <si>
    <t>Eagle, Morris N.</t>
  </si>
  <si>
    <t>BF173 -- .E156 2011eb</t>
  </si>
  <si>
    <t>Vartanian, Oshin;Mandel, David R.</t>
  </si>
  <si>
    <t>Contemporary Topics in Cognitive Neuroscience Series</t>
  </si>
  <si>
    <t>BF448 -- .V37 2011eb</t>
  </si>
  <si>
    <t>Masculine Shame : From Succubus to the Eternal Feminine</t>
  </si>
  <si>
    <t>Ayers, Mary Y.</t>
  </si>
  <si>
    <t>BF1531 -- .A94 2011eb</t>
  </si>
  <si>
    <t>Engaging Boys in Treatment : Creative Approaches to the Therapy Process</t>
  </si>
  <si>
    <t>Haen, Craig</t>
  </si>
  <si>
    <t>RJ504 -- .H334 2011eb</t>
  </si>
  <si>
    <t>Child psychotherapy. ; Boys -- Counseling of.</t>
  </si>
  <si>
    <t>Starting Treatment with Children and Adolescents : A Process-Oriented Guide for Therapists</t>
  </si>
  <si>
    <t>Tuber, Steven;Caflisch, Jane</t>
  </si>
  <si>
    <t>RJ504 -- .T83 2011eb</t>
  </si>
  <si>
    <t>Child psychotherapy -- Case studies. ; Adolescent psychotherapy -- Case studies.</t>
  </si>
  <si>
    <t>Zones of Re-Membering : Time, Memory, And (un)Consciousness</t>
  </si>
  <si>
    <t>Gifford, Don</t>
  </si>
  <si>
    <t>BF375 .G54 2011</t>
  </si>
  <si>
    <t>Memory. ; Recollection (Psychology)</t>
  </si>
  <si>
    <t>Changepower! : 37 Secrets to Habit Change Success</t>
  </si>
  <si>
    <t>Selig, Meg</t>
  </si>
  <si>
    <t>BF637.B4 -- S45 2009eb</t>
  </si>
  <si>
    <t>Leveraging Consumer Psychology for Effective Health Communications: the Obesity Challenge : The Obesity Challenge</t>
  </si>
  <si>
    <t>Armonk</t>
  </si>
  <si>
    <t>Batra, Rajeev;Strecher, Victor J.;Keller, Punam Anand</t>
  </si>
  <si>
    <t>RA645.O23L48 2011</t>
  </si>
  <si>
    <t>Clinical health psychology. ; Communication in medicine. ; Health education. ; Obesity --Prevention.</t>
  </si>
  <si>
    <t>Goulka, Jeremiah;Matthies, Carl;Disley, Emma</t>
  </si>
  <si>
    <t>HV8073 -- .T67 2011eb</t>
  </si>
  <si>
    <t>363.25/8</t>
  </si>
  <si>
    <t>Loss (Psychology) ; Bereavement -- Psychological aspects.</t>
  </si>
  <si>
    <t>Bahney, Benjamin;Shatz, Howard J.;Ganier, Carroll;McPherson, Renny;Sude, Barbara</t>
  </si>
  <si>
    <t>HV6433.I722 -- Q357 2010eb</t>
  </si>
  <si>
    <t>Happiness -- Psychological aspects.</t>
  </si>
  <si>
    <t>Becker-Weidman, Arthur;Casswell, Geraldine;Clark, Craig W.;Golding, Kim;Land, Mary-Jo;Phillips, Sian;Sik, Karen;Tuovila, Pirjo</t>
  </si>
  <si>
    <t>RC488.5.D945 2011</t>
  </si>
  <si>
    <t>Family psychotherapy. ; Family Therapy--methods. ; Adolescent. ; Child. ; Mental Disorders--therapy. ; Object Attachment. ; Psychotherapy--methods.</t>
  </si>
  <si>
    <t>Creed, Torrey A.;Reisweber, Jarrod;Beck, Aaron T.</t>
  </si>
  <si>
    <t>371.7/13</t>
  </si>
  <si>
    <t>Behavior disorders in children -- Treatment</t>
  </si>
  <si>
    <t>Weiss, Roger D.;Connery, Hilary S.</t>
  </si>
  <si>
    <t>RC516 -- .W39 2011eb</t>
  </si>
  <si>
    <t>616.89/506</t>
  </si>
  <si>
    <t>Manic-depressive illness -- Treatment. ; Substance abuse -- Treatment. ; Group psychotherapy.</t>
  </si>
  <si>
    <t>Marriage and Relationship Education : What Works and How to Provide It</t>
  </si>
  <si>
    <t>Halford, W. Kim</t>
  </si>
  <si>
    <t>HQ801 -- .H3135 2011eb</t>
  </si>
  <si>
    <t>646.7/80715</t>
  </si>
  <si>
    <t>Man-woman relationships. ; Intimacy (Psychology) ; Interpersonal communication. ; Interpersonal conflict. ; Interpersonal relations. ; Marriage.</t>
  </si>
  <si>
    <t>Playing on the Edge : Sadomasochism, Risk, and Intimacy</t>
  </si>
  <si>
    <t>Newmahr, Staci</t>
  </si>
  <si>
    <t>HQ79 -- .N49 2011eb</t>
  </si>
  <si>
    <t>306.77/5</t>
  </si>
  <si>
    <t>Sadomasochism. ; Sexual dominance and submission. ; Sadomasochists -- Case studies.</t>
  </si>
  <si>
    <t>Bridging the Gap : Empirical research in simultaneous interpretation</t>
  </si>
  <si>
    <t>Lambert, Sylvie;Moser-Mercer, Barbara</t>
  </si>
  <si>
    <t>Benjamins Translation Library</t>
  </si>
  <si>
    <t>P306.2 -- .B75 1994eb</t>
  </si>
  <si>
    <t>418/.02</t>
  </si>
  <si>
    <t>Translating and interpreting. ; Neuropsychology.</t>
  </si>
  <si>
    <t>Milner, Marion</t>
  </si>
  <si>
    <t>BF367 -- .M55 2011eb</t>
  </si>
  <si>
    <t>790.01/9</t>
  </si>
  <si>
    <t>Milner, Marion Blackett. ; Imagery (Psychology) ; Leisure -- Psychological aspects. ; Diaries -- Therapeutic use. ; Introspection.</t>
  </si>
  <si>
    <t>Psychology; Fine Arts</t>
  </si>
  <si>
    <t>Milner, Marion;Bowlby, Professor Rachel</t>
  </si>
  <si>
    <t>BF575.H27 -- M54 2011eb</t>
  </si>
  <si>
    <t>Milner, Marion Blackett. ; Happiness. ; Success. ; Introspection. ; Thought and thinking. ; Diaries -- Therapeutic use.</t>
  </si>
  <si>
    <t>Cognitive Development : An Advanced Textbook</t>
  </si>
  <si>
    <t>Bornstein, Marc H.;Lamb, Michael E.</t>
  </si>
  <si>
    <t>BF713 -- .C64 2011eb</t>
  </si>
  <si>
    <t>Developmental psychology -- Textbooks. ; Cognition -- Textbooks.</t>
  </si>
  <si>
    <t>Social and Personality Development : An Advanced Textbook</t>
  </si>
  <si>
    <t>Lamb, Michael E.;Bornstein, Marc H.</t>
  </si>
  <si>
    <t>Social Understanding and Social Lives : From Toddlerhood Through to the Transition to School</t>
  </si>
  <si>
    <t>Hughes, Claire</t>
  </si>
  <si>
    <t>Essays in Developmental Psychology Series</t>
  </si>
  <si>
    <t>BF723.S6 -- H84 2011eb</t>
  </si>
  <si>
    <t>155.42/38</t>
  </si>
  <si>
    <t>Social perception in children. ; Socialization. ; Child development. ; Child psychology.</t>
  </si>
  <si>
    <t>Psychoanalysis in Social Research : Shifting Theories and Reframing Concepts</t>
  </si>
  <si>
    <t>Lapping, Claudia</t>
  </si>
  <si>
    <t>BF175.4.S65 -- L37 2011eb</t>
  </si>
  <si>
    <t>Shortcuts Series</t>
  </si>
  <si>
    <t>BF531 -- .F77 2011eb</t>
  </si>
  <si>
    <t>Contemporary Neurobehavioral Syndromes : Disorders of Recent Origin</t>
  </si>
  <si>
    <t>Goldstein, Gerald;Incagnoli, Theresa M.;Puente, Antonio E.</t>
  </si>
  <si>
    <t>RC386 -- .C66 2011eb</t>
  </si>
  <si>
    <t>Faulkner, Dorothy;Coates, Elizabeth</t>
  </si>
  <si>
    <t>BF723.C7 -- E97 2011eb</t>
  </si>
  <si>
    <t>155.4/1335</t>
  </si>
  <si>
    <t>Drugs and Culture : Knowledge, Consumption and Policy</t>
  </si>
  <si>
    <t>Hunt, Geoffrey;Milhet, Maitena;Hunt, Mr Geoffrey</t>
  </si>
  <si>
    <t>HV5801 -- .H794 2011eb</t>
  </si>
  <si>
    <t>Drugs -- Social aspects. ; Drug abuse. ; Drugs of abuse. ; Substance abuse.</t>
  </si>
  <si>
    <t>Memory Detection : Theory and Application of the Concealed Information Test</t>
  </si>
  <si>
    <t>Verschuere, Bruno;Ben-Shakhar, Gershon;Meijer, Ewout</t>
  </si>
  <si>
    <t>HV8078 .M46 2011</t>
  </si>
  <si>
    <t>363.25/4</t>
  </si>
  <si>
    <t>Lie detectors and detection. ; Memory. ; Deception.</t>
  </si>
  <si>
    <t>Pandi-Perumal, S. R.;Kramer, Milton;Hobson, J. Allan;Fenwick, Peter;Ebrahim, Irshaad O.</t>
  </si>
  <si>
    <t>RC547 .S5177 2010</t>
  </si>
  <si>
    <t>Sleep disorders. ; Mental illness -- Complications.</t>
  </si>
  <si>
    <t>A Mental Healthcare Model for Mass Trauma Survivors : Control-Focused Behavioral Treatment of Earthquake, War and Torture Trauma</t>
  </si>
  <si>
    <t>Basoglu, Metin;Salcioglu, Ebru</t>
  </si>
  <si>
    <t>RC552.P67 B375 2011</t>
  </si>
  <si>
    <t>Post-traumatic stress disorder -- Treatment. ; Earthquakes -- Psychological aspects.</t>
  </si>
  <si>
    <t>Kunjufu, Jawanza</t>
  </si>
  <si>
    <t>LC2731 -- .K86 2011eb</t>
  </si>
  <si>
    <t>Leadership in Energy and Environmental Design Green Building Rating System -- Examinations -- Study guides. ; Sustainable construction -- Examinations -- Study guides.</t>
  </si>
  <si>
    <t>Education and Reconciliation : Exploring Conflict and Post-Conflict Situations</t>
  </si>
  <si>
    <t>Paulson, Julia;Brock, Colin</t>
  </si>
  <si>
    <t>Education As a Humanitarian Response Series</t>
  </si>
  <si>
    <t>JZ5534 -- .E39 2011eb</t>
  </si>
  <si>
    <t>War and education. ; Conflict management -- Study and teaching. ; Conflict management. ; Reconciliation -- Political aspects.</t>
  </si>
  <si>
    <t>Woodfield, Lynda</t>
  </si>
  <si>
    <t>Classmates Series</t>
  </si>
  <si>
    <t>GV443 -- .W66 2004eb</t>
  </si>
  <si>
    <t>Physical education for children. ; Early childhood education.</t>
  </si>
  <si>
    <t>Education; Sport &amp;amp; Recreation</t>
  </si>
  <si>
    <t>Walk with Us and Listen : Political Reconciliation in Africa</t>
  </si>
  <si>
    <t>Villa-Vicencio, Charles;Tutu, Desmond</t>
  </si>
  <si>
    <t>303.6/9096</t>
  </si>
  <si>
    <t>AD,AE,AF,AG,AI,AL,AM,AO,AQ,AR,AS,AT,AU,AW,AX,AZ,BA,BB,BD,BE,BF,BG,BH,BI,BJ,BL,BM,BN,BO,BQ,BR,BS,BT,BV,BY,BZ,CA,CC,CD,CF,CG,CH,CI,CK,CL,CM,CN,CO,CR,CU,CV,CW,CX,CY,CZ,DE,DJ,DK,DM,DO,DZ,EC,EE,EG,EH,ER,ES,ET,FI,FJ,FK,FM,FO,FR,GA,GB,GD,GE,GF,GG,GH,GI,GL,GM,GN,GP,GQ,GR,GS,GT,GU,GW,GY,HK,HM,HN,HR,HT,HU,ID,IE,IL,IM,IN,IO,IQ,IR,IS,IT,JE,JM,JO,JP,KG,KH,KI,KM,KN,KP,KR,KW,KY,KZ,LA,LB,LC,LI,LK,LR,LT,LU,LV,LY,MA,MC,MD,ME,MF,MG,MH,MK,ML,MM,MN,MO,MP,MQ,MR,MS,MT,MU,MV,MX,MY,MZ,NC,NE,NF,NG,NI,NL,NO,NP,NR,NU,NZ,OM,PA,PE,PF,PG,PH,PK,PL,PM,PN,PR,PS,PT,PW,PY,QA,RE,RO,RS,RU,RW,SA,SB,SC,SD,SE,SG,SH,SI,SJ,SK,SL,SM,SN,SO,SR,SS,ST,SV,SX,SY,TC,TD,TF,TG,TH,TJ,TK,TL,TM,TN,TO,TR,TT,TV,TW,TZ,UA,UM,US,UY,UZ,VA,VC,VE,VG,VI,VN,VU,WF,WS,YE,YT</t>
  </si>
  <si>
    <t>Solomon, Judith;George, Carol</t>
  </si>
  <si>
    <t>Attachment disorder. ; Parent and child -- Psychological aspects.</t>
  </si>
  <si>
    <t>Politics of War Trauma : The Aftermath of World War II in Eleven European Countries</t>
  </si>
  <si>
    <t>Aksant</t>
  </si>
  <si>
    <t>Withuis, Jolande;Mooij, Annet</t>
  </si>
  <si>
    <t>Studies of the Netherlands Institute for war documentation, 4</t>
  </si>
  <si>
    <t>RC550 -- .P65 2010eb</t>
  </si>
  <si>
    <t>616.85/21;900</t>
  </si>
  <si>
    <t>History, Modern -- Encyclopedias. ; Europe -- History -- 1789-1900 -- Encyclopedias. ; Europe -- History -- 20th century -- Encyclopedias.</t>
  </si>
  <si>
    <t>Psychology; Medicine; Geography/Travel</t>
  </si>
  <si>
    <t>Hoe mensen keuzes maken : De psychologie van het beslissen</t>
  </si>
  <si>
    <t>Scientific Council for Government Policy;Tiemeijer, W.L.</t>
  </si>
  <si>
    <t>WRR</t>
  </si>
  <si>
    <t>BF448 -- .T45 2011eb</t>
  </si>
  <si>
    <t>301.1/05</t>
  </si>
  <si>
    <t>Web site development. ; Scripting languages (Computer science) ; HTML (Document markup language) ; Computer graphics.</t>
  </si>
  <si>
    <t>Kamphuis, J.H.</t>
  </si>
  <si>
    <t>VOR Maatschappij- en gedragswetenschappen, 386</t>
  </si>
  <si>
    <t>RC473 -- .K36 2011eb</t>
  </si>
  <si>
    <t>Electric cooking, Slow.</t>
  </si>
  <si>
    <t>UNHCRs Parallel Universe : Marking the Contours of a Problem</t>
  </si>
  <si>
    <t>Zieck, Marjoleine</t>
  </si>
  <si>
    <t>VOR Rechtsgeleerdheid, 363</t>
  </si>
  <si>
    <t>HV640.3 -- .Z54 2010eb</t>
  </si>
  <si>
    <t>Investment analysis -- Psychological aspects. ; Speculation -- Psychological aspects. ; Competition. ; Time perspective.</t>
  </si>
  <si>
    <t>Martin, G. Neil;Martin, G Neil</t>
  </si>
  <si>
    <t>BF38</t>
  </si>
  <si>
    <t>Transforming Terror : Remembering the Soul of the World</t>
  </si>
  <si>
    <t>Carrington, Karin Lofthus;Griffin, Susan</t>
  </si>
  <si>
    <t>Terrorism. ; Terror. ; Terrorism -- Psychological aspects. ; Violence -- Prevention. ; Emotional intelligence.</t>
  </si>
  <si>
    <t>Walking Between Slums and Skyscrapers : Illusions of Open Space in Hong Kong, Tokyo, and Shanghai</t>
  </si>
  <si>
    <t>HONG KONG</t>
  </si>
  <si>
    <t>Huang, Tsung-Yi Michelle</t>
  </si>
  <si>
    <t>HT169.C62 -- H664 2004eb</t>
  </si>
  <si>
    <t>307.1/216/095</t>
  </si>
  <si>
    <t>City planning -- China -- Hong Kong. ; City planning -- Japan -- Tokyo. ; City planning -- China -- Shanghai. ; Open spaces -- Social aspects -- China -- Hong Kong. ; Open spaces -- Social aspects -- Japan -- Tokyo. ; Open spaces -- Social aspects -- China -- Shanghai. ; Slums -- China -- Hong Kong.</t>
  </si>
  <si>
    <t>Child Development for Child Care and Protection Workers : Second Edition</t>
  </si>
  <si>
    <t>Daniel, Brigid;Wassell, Sally;Gilligan, Robbie</t>
  </si>
  <si>
    <t>HQ772 -- .D25 2010eb</t>
  </si>
  <si>
    <t>305.231088/3627</t>
  </si>
  <si>
    <t>Child development. ; Child psychology. ; Child care workers. ; Child welfare workers.</t>
  </si>
  <si>
    <t>Transition or Transformation? : Helping Young People with Autistic Spectrum Disorder Set Out on a Hopeful Road Towards Their Adult Lives</t>
  </si>
  <si>
    <t>Clements, John;Hardy, Julia;Lord, Stephanie</t>
  </si>
  <si>
    <t>Autism spectrum disorders. ; Autism. ; Autistic children-Education.</t>
  </si>
  <si>
    <t>Step by Step Help for Children with ADHD : A Self-Help Manual for Parents</t>
  </si>
  <si>
    <t>Daley, David;Laver-Bradbury, Cathy;Weeks, Anne;Sonuga-Barke, Edmund J. S.;Thompson, Margaret</t>
  </si>
  <si>
    <t>Attention-deficit-disordered children-Handbooks, manuals, etc. ; Attention-deficit-disordered children-Care. ; Attention-deficit-disordered children-Family relationships.</t>
  </si>
  <si>
    <t>Happy Families : A Parents' Guide to the Non-Violent Resistance Approach</t>
  </si>
  <si>
    <t>Aldridge, David;Avraham-Krehwinkel, Carmelite</t>
  </si>
  <si>
    <t>Adopting after Infertility : Messages from Practice, Research and Personal Experience</t>
  </si>
  <si>
    <t>Netherwood, Penny;Gwilt, Jenny;Letherby, Gayle;Baffour, Sally;Haworth, Gill;HendryKnight, Anthea;Hudson, Nicola;Schmidt, Lone;Balen, Rachel;Selman, Peter</t>
  </si>
  <si>
    <t>Tackling Addiction : Pathways to Recovery</t>
  </si>
  <si>
    <t>Best, David;Dawson, Wendy;De Leon, George;Kidd, Brian;Malloch, Margaret;McSweeney, Tim;Gilman, Mark;Stevens, Alex;Thom, Betsy;Zandvoort, Albert</t>
  </si>
  <si>
    <t>Siblings and Autism : Stories Spanning Generations and Cultures</t>
  </si>
  <si>
    <t>McCabe, Helen;Cumberland, Debra;Giles, Erika;Fisch, Lindsey;Mills, Bruce;Caramagno, Thomas;Nanes, Erika;Barnhill, Anne;Anderson, Catherine;Damiano, Ann</t>
  </si>
  <si>
    <t>Autistic children-Family relationships. ; Autistic people-Family relationships. ; Siblings.</t>
  </si>
  <si>
    <t>Reflective Practice in Mental Health : Advanced Psychosocial Practice with Children, Adolescents and Adults</t>
  </si>
  <si>
    <t>Richards, Paul;Webber, Martin;Ruths, Florian;West, Tony;Lask, Judith;Harris, Tirril;Grimbly, Caroline;Nathan, Jack;Fleischmann, Pete;Carr, Sarah</t>
  </si>
  <si>
    <t>Reflective Practice in Social Care Series</t>
  </si>
  <si>
    <t>362.2/04250941</t>
  </si>
  <si>
    <t>Cognitive Behavioural Therapy for Child Trauma and Abuse : A Step-By-Step Approach</t>
  </si>
  <si>
    <t>Ronan, Kevin;Feather, Jacqueline S.</t>
  </si>
  <si>
    <t>Edwards, Melinda;Titman, Penny</t>
  </si>
  <si>
    <t>Rising to New Heights of Communication and Learning for Children with Autism : The Definitive Guide to Using Alternative-Augmentative Communication, Visual Strategies, and Learning Supports at Home and School</t>
  </si>
  <si>
    <t>Turner, Vicki;Spears, Carol</t>
  </si>
  <si>
    <t>Autistic children-Education. ; Autistic children-Life skills guides. ; Communicative disorders in children.</t>
  </si>
  <si>
    <t>Siblings : The Autism Spectrum Through Our Eyes</t>
  </si>
  <si>
    <t>Van Rensselaer, Anne;Johnson, Jane Botsford</t>
  </si>
  <si>
    <t>Autism spectrum disorders-Patients-Family relationships. ; Siblings.</t>
  </si>
  <si>
    <t>Rebuilding Lives after Domestic Violence : Understanding Long-Term Outcomes</t>
  </si>
  <si>
    <t>Abrahams, Hilary</t>
  </si>
  <si>
    <t>Abused wives -- Rehabilitation. ; Abused wives. ; Children of abused wives -- Rehabilitation. ; Marital violence -- Psychological aspects. ; Social networks.</t>
  </si>
  <si>
    <t>Unseen Worlds : Looking Through the Lens of Childhood</t>
  </si>
  <si>
    <t>Adams, Kate</t>
  </si>
  <si>
    <t>Family Experiences of Bipolar Disorder : The Ups, the Downs and the Bits in Between</t>
  </si>
  <si>
    <t>Aiken, Cara</t>
  </si>
  <si>
    <t>362.196/895</t>
  </si>
  <si>
    <t>Aiken, Cara, -- 1964- -- Health. ; Manic-depressive illness. ; Manic-depressive persons -- Family relationships.</t>
  </si>
  <si>
    <t>Working with Asperger Syndrome in the Classroom : An Insider's Guide</t>
  </si>
  <si>
    <t>Ansell, Gill D.</t>
  </si>
  <si>
    <t>Autistic children-Education. ; Asperger's syndrome.</t>
  </si>
  <si>
    <t>Autism and the Edges of the Known World : Sensitivities, Language and Constructed Reality</t>
  </si>
  <si>
    <t>Peeters, Theo;Hubert, Kazik;Bogdashina, Olga</t>
  </si>
  <si>
    <t>Autism. ; Interpersonal communication. ; Senses and sensation.</t>
  </si>
  <si>
    <t>Understanding Dyspraxia : A Guide for Parents and Teachers</t>
  </si>
  <si>
    <t>Boon, Maureen</t>
  </si>
  <si>
    <t>Organize Your ADD/ADHD Child : A Practical Guide for Parents</t>
  </si>
  <si>
    <t>Carter, Cheryl</t>
  </si>
  <si>
    <t>Freedman, Sarita;Attwood, Anthony</t>
  </si>
  <si>
    <t>Asperger's syndrome in adolescence. ; Autistic children-Education (Higher) ; Teenagers with mental disabilities-Education (Higher)</t>
  </si>
  <si>
    <t>Life at the Edge and Beyond : Living with ADHD and Asperger Syndrome</t>
  </si>
  <si>
    <t>Greenman, Jan</t>
  </si>
  <si>
    <t>Dicker, Luke,-1991- ; Asperger's syndrome in children. ; Attention-deficit hyperactivity disorder.</t>
  </si>
  <si>
    <t>Cognitive Behavioural Therapy with Older People : Interventions for Those with and Without Dementia</t>
  </si>
  <si>
    <t>James, Ian Andrew</t>
  </si>
  <si>
    <t>618.97/891425</t>
  </si>
  <si>
    <t>Haire, James;Abdalla, Mohammad;Seebus, Ingrid;Patel, Ikebal;Kohn, Rachael;Bilimoria, Purushottama;McDermott, Dennis Roy;Barzaghi, Subhana;McDonald, Tracey;Simmonds, Robyn</t>
  </si>
  <si>
    <t>201/.762609</t>
  </si>
  <si>
    <t>Working with Young Men : Activities for Exploring Personal, Social and Emotional Issues Second Edition</t>
  </si>
  <si>
    <t>Rogers, Vanessa</t>
  </si>
  <si>
    <t>HV1423 .R64 2010</t>
  </si>
  <si>
    <t>At-risk youth-Services for. ; Social work with youth. ; Young men-Psychology.</t>
  </si>
  <si>
    <t>Cyberbullying : Activities to Help Children and Teens to Stay Safe in a Texting, Twittering, Social Networking World</t>
  </si>
  <si>
    <t>Get Out, Explore, and Have Fun! : How Families of Children with Autism or Asperger Syndrome Can Get the Most Out of Community Activities</t>
  </si>
  <si>
    <t>Rudy, Lisa Jo</t>
  </si>
  <si>
    <t>RJ506.A9 R83 2010</t>
  </si>
  <si>
    <t>Autistic children-Family relationships. ; Autistic children-Services for. ; Community life. ; Social integration. ; Special education-Parent participation.</t>
  </si>
  <si>
    <t>Medicine; Psychology; Home Economics</t>
  </si>
  <si>
    <t>Islands of Genius : The Bountiful Mind of the Autistic, Acquired, and Sudden Savant</t>
  </si>
  <si>
    <t>Leed, Peter;Martinez, Rosa;Tammet, Daniel;Rancer, Susan;Monty, Shirlee;Treffert, Darold A.</t>
  </si>
  <si>
    <t>BF426 .T744 2010</t>
  </si>
  <si>
    <t>Savant syndrome. ; Savants (Savant syndrome)</t>
  </si>
  <si>
    <t>Are You Okay? : A Practical Guide to Helping Young Victims of Crime</t>
  </si>
  <si>
    <t>Wallis, Pete &amp; Thalia;Wallis, Pete</t>
  </si>
  <si>
    <t>HV6250.4.Y68 -- W35 2010eb</t>
  </si>
  <si>
    <t>Youth -- Crimes against -- Psychological aspects. ; Youth -- Crimes against -- Great Britain. ; Youth -- Crimes against.</t>
  </si>
  <si>
    <t>Walnut Creek</t>
  </si>
  <si>
    <t>Denzin, Norman K.;Giardina, Michael D.</t>
  </si>
  <si>
    <t>International Congress of Qualitative Inquiry Series</t>
  </si>
  <si>
    <t>H62 -- .Q346 2006eb</t>
  </si>
  <si>
    <t>Qualitative Inquiry and Social Justice : Toward a Politics of Hope</t>
  </si>
  <si>
    <t>H62 -- .Q83 2009eb</t>
  </si>
  <si>
    <t>Social sciences -- Research -- Methodology. ; Social justice.</t>
  </si>
  <si>
    <t>Denzin, Norman K.;Giardina, Michael D.;Erickson, Frederick;Fields, Belden;Rail, Genevieve;Krog, Antjie;Cannella, Gaile S.;Lincoln, Dr. Yvonna S.;Christians, Clifford G.;Flick, Uwe</t>
  </si>
  <si>
    <t>P96.T42 -- Q36 2010eb</t>
  </si>
  <si>
    <t>Mass media -- Technological innovations. ; Mass media -- Moral and ethical aspects. ; Mass media -- Social aspects.</t>
  </si>
  <si>
    <t>H62 -- .Q347 2008eb</t>
  </si>
  <si>
    <t>001.4/3</t>
  </si>
  <si>
    <t>Qualitative research. ; Evidence.</t>
  </si>
  <si>
    <t>Qualitative Inquiry under Fire : Toward a New Paradigm Dialogue</t>
  </si>
  <si>
    <t>Qualitative research -- United States</t>
  </si>
  <si>
    <t>General Works/Reference</t>
  </si>
  <si>
    <t>Mudpacks and Prozac : Experiencing Ayurvedic, Biomedical, and Religious Healing</t>
  </si>
  <si>
    <t>Halliburton, Murphy</t>
  </si>
  <si>
    <t>GR305.5.K4 -- H35 2009eb</t>
  </si>
  <si>
    <t>954/.83</t>
  </si>
  <si>
    <t>Traditional medicine -- India -- Kerala. ; Cultural psychiatry -- India -- Kerala. ; Medicine, Ayurvedic -- India -- Kerala. ; Healing -- Social aspects -- India -- Kerala. ; Human mechanics -- India -- Kerala. ; Kerala (India) -- Social life and customs.</t>
  </si>
  <si>
    <t>Archaeologies of Placemaking : Monuments, Memories, and Engagement in Native North America</t>
  </si>
  <si>
    <t>Rubertone, Patricia E.</t>
  </si>
  <si>
    <t>One World Archaeology</t>
  </si>
  <si>
    <t>E77.9 -- .W65 2008eb</t>
  </si>
  <si>
    <t>Indians of North America -- Antiquities -- Congresses. ; Cultural property -- United States -- Congresses. ; Cultural property -- Protection -- United States -- Congresses. ; Collective memory -- United States -- Congresses. ; Landscape archaeology -- United States -- Congresses. ; United States -- Antiquities -- Congresses.</t>
  </si>
  <si>
    <t>Erotic Mentoring : Women's Transformations in the University</t>
  </si>
  <si>
    <t>Rushing, Janice Hocker</t>
  </si>
  <si>
    <t>Writing Lives: Ethnographic and Autoethnographic Narratives Series</t>
  </si>
  <si>
    <t>LB2332.3 -- .R87 2006eb</t>
  </si>
  <si>
    <t>Women college teachers. ; Women in higher education. ; Feminism and higher education.</t>
  </si>
  <si>
    <t>Novick, Kerry Kelly;Novick, Jack</t>
  </si>
  <si>
    <t>RJ505.P38 -- N685 2005eb</t>
  </si>
  <si>
    <t>Child psychotherapy -- Parent participation. ; Adolescent psychotherapy -- Parent participation. ; Child analysis. ; Adolescent analysis. ; Parent and child.</t>
  </si>
  <si>
    <t>Race Trouble : Race, Identity and Inequality in Post-Apartheid South Africa</t>
  </si>
  <si>
    <t>Durrheim, Kevin</t>
  </si>
  <si>
    <t>HN801.A8D87 2011</t>
  </si>
  <si>
    <t>305.896/8</t>
  </si>
  <si>
    <t>Racism--South Africa. ; Race--South Africa. ; South Africa--Race relations--21st century. ; South Africa--Social conditions--1994.</t>
  </si>
  <si>
    <t>Sociological Trespasses : Interrogating Sin and Flesh</t>
  </si>
  <si>
    <t>Aho, James</t>
  </si>
  <si>
    <t>BF575.H6A36 2011</t>
  </si>
  <si>
    <t>Hostility (Psychology). ; Human body--Social aspects. ; Mind and body. ; Common fallacies. ; Social psychology.</t>
  </si>
  <si>
    <t>Parenting Mentally Ill Children : Faith, Caring, Support, and Surviving the System</t>
  </si>
  <si>
    <t>RJ499.L355 2011</t>
  </si>
  <si>
    <t>Mentally ill children--Care. ; Parenting. ; Mental Disorders. ; Adolescent. ; Child. ; Parenting.</t>
  </si>
  <si>
    <t>Cognitive Behavior Therapy with Older Adults : Innovations Across Care Settings</t>
  </si>
  <si>
    <t>Sorocco, Kristen H.;Lauderdale, Sean</t>
  </si>
  <si>
    <t>RC489.C63S67 2011</t>
  </si>
  <si>
    <t>Cognitive therapy. ; Psychotherapy for older people. ; Mental illness--Treatment. ; Cognitive Therapy--methods. ; Aged. ; Mental Disorders--therapy.</t>
  </si>
  <si>
    <t>Grief Therapy with Latinos : Integrating Culture for Clinicians</t>
  </si>
  <si>
    <t>Vazquez, Carmen;Rosa, Dinelia</t>
  </si>
  <si>
    <t>RC455.4.L67V39 2011</t>
  </si>
  <si>
    <t>Grief therapy--United States. ; Hispanic Americans--Mental health services--United States. ; Cultural competence--United States. ; Counseling--methods--United States. ; Grief--United States. ; Cultural Competency--United States. ; Hispanic Americans--psychology--United States. ; Psychotherapy--methods--United States.</t>
  </si>
  <si>
    <t>Las diosas de cada mujer : Una nueva psicología femenina</t>
  </si>
  <si>
    <t xml:space="preserve">Shinoda Bolen, Jean;Steinem, Gloria;Colodrón, Alfonso;Steinem, Gloria </t>
  </si>
  <si>
    <t>BL473.5 .B654 2010</t>
  </si>
  <si>
    <t>Goddesses. ; Maturation-Psychology. ; Women-Psychology.</t>
  </si>
  <si>
    <t>Los dioses de cada hombre : Una nueva psicología masculina</t>
  </si>
  <si>
    <t xml:space="preserve">Shinoda Bolen, Jean;Sanchez, Alicia </t>
  </si>
  <si>
    <t>HQ1090 .B654 2010</t>
  </si>
  <si>
    <t>Men-Psychology.</t>
  </si>
  <si>
    <t>Commemorating the Polish Renaissance Child : Funeral Monuments and Their European Context</t>
  </si>
  <si>
    <t>Labno, Jeannie</t>
  </si>
  <si>
    <t>NB1803.P6 -- L33 2011eb</t>
  </si>
  <si>
    <t>731/.7609438</t>
  </si>
  <si>
    <t>Sepulchral monuments, Renaissance -- Poland. ; Cherubs (Art) ; Skull in art. ; Art and society -- Poland -- History. ; Children -- Death -- Psychological aspects.</t>
  </si>
  <si>
    <t>Mastery of Obsessive-Compulsive Disorder : A Cognitive-Behavioral Approach Therapist Guide</t>
  </si>
  <si>
    <t>Foa, Edna B.;Kozak, Michael J.</t>
  </si>
  <si>
    <t>Graywind Publications</t>
  </si>
  <si>
    <t>RC533.K693 1997</t>
  </si>
  <si>
    <t>Wizardry : Baseball's All-Time Greatest Fielders Revealed</t>
  </si>
  <si>
    <t>Humphreys, Michael</t>
  </si>
  <si>
    <t>GV870.H867 2011</t>
  </si>
  <si>
    <t>Employee motivation. ; Employees -- Psychology. ; Work -- Psychological aspects. ; Success in business.</t>
  </si>
  <si>
    <t>Payback : Why We Retaliate, Redirect Aggression, and Take Revenge</t>
  </si>
  <si>
    <t>Barash, David P.;Lipton, Judith Eve</t>
  </si>
  <si>
    <t>BF515 -- .B37 2011eb</t>
  </si>
  <si>
    <t>Pain. ; Revenge. ; Aggressiveness.</t>
  </si>
  <si>
    <t>The Mathematics of Sex : How Biology and Society Conspire to Limit Talented Women and Girls</t>
  </si>
  <si>
    <t>Ceci, Stephen J.;Williams, Wendy M.</t>
  </si>
  <si>
    <t>HQ1397 -- .C43 2010eb</t>
  </si>
  <si>
    <t>305.43/5</t>
  </si>
  <si>
    <t>Women in mathematics -- Social aspects. ; Women in science -- Social aspects.</t>
  </si>
  <si>
    <t>Teaching and Behavior Support for Children and Adults with Autism Spectrum Disorder : A Practitioner's Guide</t>
  </si>
  <si>
    <t>Luiselli, James K.</t>
  </si>
  <si>
    <t>RC553.A88 -- T43 2011eb</t>
  </si>
  <si>
    <t>Autism spectrum disorders -- Patients -- Rehabilitation. ; Life skills.</t>
  </si>
  <si>
    <t>Auer, Peter;Di Luzio, Aldo;Di Luzio, Aldo</t>
  </si>
  <si>
    <t>Pragmatics &amp; Beyond New Series</t>
  </si>
  <si>
    <t>P325.5.C65 -- C66 1991eb</t>
  </si>
  <si>
    <t>306.4/4</t>
  </si>
  <si>
    <t>Context (Linguistics) ; Nonverbal communication. ; Prosodic analysis (Linguistics)</t>
  </si>
  <si>
    <t>Rational Lives : Norms and Values in Politics and Society</t>
  </si>
  <si>
    <t>Chong, Dennis</t>
  </si>
  <si>
    <t>American Politics and Political Economy Series</t>
  </si>
  <si>
    <t>HM495</t>
  </si>
  <si>
    <t>Chasing Phantoms : Reality, Imagination, and Homeland Security Since 9/11</t>
  </si>
  <si>
    <t>Barkun, Michael</t>
  </si>
  <si>
    <t>HV6432 -- .B365 2011eb</t>
  </si>
  <si>
    <t>363.325/160973</t>
  </si>
  <si>
    <t>Terrorism -- United States -- Prevention. ; Civil defense -- United States. ; Emergency management -- United States. ; Imagery (Psychology)</t>
  </si>
  <si>
    <t>Moments of Despair : Suicide, Divorce, and Debt in Civil War Era North Carolina</t>
  </si>
  <si>
    <t>Silkenat, David</t>
  </si>
  <si>
    <t>HV6548.U52 -- S55 2011eb</t>
  </si>
  <si>
    <t>362.975609/034</t>
  </si>
  <si>
    <t>Suicide -- North Carolina -- History -- 19th century. ; Divorce -- North Carolina -- History -- 19th century. ; Debt -- North Carolina -- History -- 19th century. ; United States -- Politics and government -- 1861-1865.</t>
  </si>
  <si>
    <t>Strengthening the DSM : Incorporating Resilience and Cultural Competence</t>
  </si>
  <si>
    <t>Garcia, Betty;Petrovich, Anne</t>
  </si>
  <si>
    <t>RC473.P78G37 2011</t>
  </si>
  <si>
    <t>Mental illness--Diagnosis. ; Psychiatric rating scales. ; Cultural pluralism. ; Cultural Competency. ; Mental Disorders--diagnosis. ; Cultural Diversity. ; Psychiatric Status Rating Scales.</t>
  </si>
  <si>
    <t>Newslore : Contemporary Folklore on the Internet</t>
  </si>
  <si>
    <t>Frank, Russell</t>
  </si>
  <si>
    <t>PS439 -- .F73 2011eb</t>
  </si>
  <si>
    <t>818/.607</t>
  </si>
  <si>
    <t>American wit and humor -- History and criticism. ; Folklore -- United States. ; Folklore and the Internet. ; Social psychology -- United States.</t>
  </si>
  <si>
    <t>Sandplay Therapy in Vulnerable Communities : A Jungian Approach</t>
  </si>
  <si>
    <t>Zoja, Eva Pattis</t>
  </si>
  <si>
    <t>RC489.S25 -- P38 2011eb</t>
  </si>
  <si>
    <t>Sandplay -- Therapeutic use. ; Jungian psychology.</t>
  </si>
  <si>
    <t>Seeing and Being Seen : Emerging from a Psychic Retreat</t>
  </si>
  <si>
    <t>RC506 -- .S715 2011eb</t>
  </si>
  <si>
    <t>Coleman, John C.</t>
  </si>
  <si>
    <t>HQ796 -- .C642 2011eb</t>
  </si>
  <si>
    <t>Adolescence. ; Teenagers -- Great Britain.</t>
  </si>
  <si>
    <t>The Madness of Women : Myth and Experience</t>
  </si>
  <si>
    <t>Ussher, Jane Professor;Ussher, Jane M.</t>
  </si>
  <si>
    <t>RC451.4.W6 -- U868 2011eb</t>
  </si>
  <si>
    <t>Women -- Mental health. ; Women -- Psychology.</t>
  </si>
  <si>
    <t>Intersubjective Processes and the Unconscious : An Integration of Freudian, Kleinian and Bionian Perspectives</t>
  </si>
  <si>
    <t>Brown, Lawrence J.</t>
  </si>
  <si>
    <t>BF173 -- .B833 2011eb</t>
  </si>
  <si>
    <t>Psychological Criminology : An Integrative Approach</t>
  </si>
  <si>
    <t>Wortley, Richard;Wortley, Richard</t>
  </si>
  <si>
    <t>Crime Science Series</t>
  </si>
  <si>
    <t>HV6080 -- .W67 2011eb</t>
  </si>
  <si>
    <t>Criminal psychology. ; Criminal anthropology.</t>
  </si>
  <si>
    <t>Hassan, Riaz</t>
  </si>
  <si>
    <t>HV6431 -- .H3777 2011eb</t>
  </si>
  <si>
    <t>Suicide bombings. ; Terrorism -- Psychological aspects.</t>
  </si>
  <si>
    <t>Professionalizing Offender Profiling : Forensic and Investigative Psychology in Practice</t>
  </si>
  <si>
    <t>Alison, Laurence;Rainbow, Lee;Knabe, Susanne</t>
  </si>
  <si>
    <t>HV6080 -- .P65 2011eb</t>
  </si>
  <si>
    <t>Criminal psychology. ; Criminal behavior, Prediction of. ; Criminal profilers. ; Criminal investigation -- Psychological aspects.</t>
  </si>
  <si>
    <t>Carr, Neil</t>
  </si>
  <si>
    <t>Contemporary Geographies of Leisure, Tourism and Mobility Series</t>
  </si>
  <si>
    <t>G155.A1 -- C315 2011eb</t>
  </si>
  <si>
    <t>338.4/791</t>
  </si>
  <si>
    <t>Tourism. ; Children -- Travel. ; Child psychology. ; Family recreation. ; Holidays.</t>
  </si>
  <si>
    <t>Tourism/Hospitality; Business/Management; Economics</t>
  </si>
  <si>
    <t>Barker, Jamie;McCarthy, Paul;Jones, Marc;Moran, Aidan</t>
  </si>
  <si>
    <t>GV706.4 -- .S544 2011eb</t>
  </si>
  <si>
    <t>Hill, Robert;Harris, Jennifer;Harris, Jennifer</t>
  </si>
  <si>
    <t>RC564 -- .P764 2011eb</t>
  </si>
  <si>
    <t>Substance abuse -- Treatment. ; Drug abuse -- Treatment. ; Alcoholism -- Treatment. ; Group psychotherapy. ; Social group work.</t>
  </si>
  <si>
    <t>Security Games : Surveillance and Control at Mega-Events</t>
  </si>
  <si>
    <t>Bennett, Colin J.;Haggerty, Kevin</t>
  </si>
  <si>
    <t>HV8055 -- .S43 2011eb</t>
  </si>
  <si>
    <t>363.32/3</t>
  </si>
  <si>
    <t>Fristad, Mary A.;Arnold, Jill S. Goldberg;Leffler, Jarrod M.</t>
  </si>
  <si>
    <t>RJ506.D4 -- F754 2011eb</t>
  </si>
  <si>
    <t>Manic-depressive illness in children. ; Depression in children. ; Psychotherapy.</t>
  </si>
  <si>
    <t>Mark, Melvin M.;Donaldson, Stewart I.;Campbell, Bernadette</t>
  </si>
  <si>
    <t>HM1033 -- .S6423 2011eb</t>
  </si>
  <si>
    <t>Social psychology -- Methodology. ; Evaluation.</t>
  </si>
  <si>
    <t>War Within : Preventing Suicide in the U.S. Military</t>
  </si>
  <si>
    <t>Ramchand, Rajeev;Acosta, Joie;Burns, Rachel M.;Burns, Rachel M;Jaycox, Lisa H</t>
  </si>
  <si>
    <t>HV6545.7 -- .W37 2011eb</t>
  </si>
  <si>
    <t>Laptop computers. ; Portable computers.</t>
  </si>
  <si>
    <t>Collective Visioning : How Groups Can Work Together for a Just and Sustainable Future</t>
  </si>
  <si>
    <t>Stout, Linda</t>
  </si>
  <si>
    <t>307.3/4091724</t>
  </si>
  <si>
    <t>Community development. ; Sustainable development. ; Social justice. ; Self-actualization (Psychology) ; Group decision making.</t>
  </si>
  <si>
    <t>The Insecure American : How We Got Here and What We Should Do about It</t>
  </si>
  <si>
    <t>Gusterson, Hugh;Besteman, Catherine</t>
  </si>
  <si>
    <t>Guilt : The Bite of Conscience</t>
  </si>
  <si>
    <t>Stanford General Books</t>
  </si>
  <si>
    <t>Katchadourian, Herant</t>
  </si>
  <si>
    <t>BF575</t>
  </si>
  <si>
    <t>Guilt. ; Guilt -- Religious aspects.</t>
  </si>
  <si>
    <t>DiTomasso, Robert A.;Golden, Barbara A.;Morris, Harry</t>
  </si>
  <si>
    <t>RC489.C63H358 2010</t>
  </si>
  <si>
    <t>Cognitive therapy. ; Mind and body. ; Psychophysiology. ; Primary care (Medicine)</t>
  </si>
  <si>
    <t>Treating Young Veterans : Promoting Resilience Through Practice and Advocacy</t>
  </si>
  <si>
    <t>Kelly, Diann;Barksdale, Sydney;Gitelson, David</t>
  </si>
  <si>
    <t>RC550.T74 2011</t>
  </si>
  <si>
    <t>War neuroses--Treatment. ; Post-traumatic stress disorder--Treatment. ; Veterans--Health and hygiene. ; Veterans--Rehabilitation. ; Veteran reintegration. ; Combat Disorders--therapy. ; Veterans Health. ; Social Conditions. ; Stress Disorders, Traumatic--therapy. ; Survivors.</t>
  </si>
  <si>
    <t>Threat Perceptions : The Policing of Dangers from Eugenics to the War on Terrorism</t>
  </si>
  <si>
    <t>Ghatak, Saran</t>
  </si>
  <si>
    <t>Issues in Crime and Justice Series</t>
  </si>
  <si>
    <t>HV7432.G46 2011</t>
  </si>
  <si>
    <t>Crime prevention--United States--History. ; Threat (Psychology)--History.</t>
  </si>
  <si>
    <t>The Recursive Mind : The Origins of Human Language, Thought, and Civilization - Updated Edition</t>
  </si>
  <si>
    <t>Corballis, Michael C.</t>
  </si>
  <si>
    <t>Delanty, Gerard;Wodak, Ruth;Jones, Paul</t>
  </si>
  <si>
    <t>Studies in Social and Political Thought Series</t>
  </si>
  <si>
    <t>Feeling of Meaninglessness : A Challenge to Psychotherapy and Philosophy</t>
  </si>
  <si>
    <t>Frankl, Victor E.;Batthyány, Alexander</t>
  </si>
  <si>
    <t>Marquette Studies in Philosophy, 60</t>
  </si>
  <si>
    <t>RC489.L6 -- F767 2010eb</t>
  </si>
  <si>
    <t>Chinese language. ; Mandarin dialects.</t>
  </si>
  <si>
    <t>The Spinney Press</t>
  </si>
  <si>
    <t>Thirroul, NSW</t>
  </si>
  <si>
    <t>Healey, Justin</t>
  </si>
  <si>
    <t>Issues in Society Series</t>
  </si>
  <si>
    <t>Hardcastle, Valerie Gray</t>
  </si>
  <si>
    <t>BF311 -- .H338 1995eb</t>
  </si>
  <si>
    <t>Consciousness. ; Philosophy of mind. ; Human information processing.</t>
  </si>
  <si>
    <t>Friction : How Radicalization Happens to Them and Us</t>
  </si>
  <si>
    <t>McCauley, Clark;Moskalenko, Sophia</t>
  </si>
  <si>
    <t>HN49.R33 -- M43 2011eb</t>
  </si>
  <si>
    <t>Radicalism -- Psychological aspects. ; Political violence -- Psychological aspects. ; Terrorism -- Psychological aspects.</t>
  </si>
  <si>
    <t>Living with Bipolar Disorder : A Guide for Individuals and FamiliesUpdated Edition</t>
  </si>
  <si>
    <t xml:space="preserve">Otto, Michael W.;Reilly-Harrington, Noreen A.;Knauz, Robert O.;Henin, Aude;Kogan, Jane N.;Sachs, Gary S. </t>
  </si>
  <si>
    <t>RC516 -- .L58 2011eb</t>
  </si>
  <si>
    <t>Hypnosis for Chronic Pain Management : Therapist Guide</t>
  </si>
  <si>
    <t>Jensen, Mark P.</t>
  </si>
  <si>
    <t>RB127 -- .J46 2011eb</t>
  </si>
  <si>
    <t>616/.0472</t>
  </si>
  <si>
    <t>Hypnosis for Chronic Pain Management : Workbook</t>
  </si>
  <si>
    <t>RB127 .J46 2011</t>
  </si>
  <si>
    <t>Chronic pain -- Treatment -- Problems, exercises, etc. ; Hypnotism -- Problems, exercises, etc.</t>
  </si>
  <si>
    <t>The Domestic Economy of the Soul : Freuds Five Case Studies</t>
  </si>
  <si>
    <t>ONeill, John</t>
  </si>
  <si>
    <t>BF173 -- .O54 2011eb</t>
  </si>
  <si>
    <t>Fallstudie</t>
  </si>
  <si>
    <t>'No Five Fingers Are Alike' : What Exiled Kurdish Women in Therapy Told Me</t>
  </si>
  <si>
    <t>Ahlberg, Nora</t>
  </si>
  <si>
    <t>The International Series of Psychosocial Perspectives on Trauma, Displaced People and Political Violence Series</t>
  </si>
  <si>
    <t>RC451.4.R43 -- A354 2007eb</t>
  </si>
  <si>
    <t>Women refugees -- Mental health -- Norway. ; Women refugees -- Norway -- Interviews. ; Post-traumatic stress disorder. ; Refugees, Kurdish -- Norway.</t>
  </si>
  <si>
    <t>What Can the Matter Be? : Therapeutic Interventions with Parents, Infants and Young Children</t>
  </si>
  <si>
    <t>Bradley, Elizabeth;Emanuel, Louise</t>
  </si>
  <si>
    <t>Tavistock Clinic Series</t>
  </si>
  <si>
    <t>RJ504 -- .W43 2008eb</t>
  </si>
  <si>
    <t>Tavistock Clinic. ; Preschool children -- Mental health. ; Child rearing. ; Child development.</t>
  </si>
  <si>
    <t>Race and Culture : Tools, Techniques and Trainings: a Manual for Professionals</t>
  </si>
  <si>
    <t>Dutta, Sumita;Singh, Reenee</t>
  </si>
  <si>
    <t>The Systemic Thinking and Practice Series</t>
  </si>
  <si>
    <t>'It Is a New Kind of Diaspora' : Explorations in the Sociopolitical and Cultural Context of Psychoanalysis</t>
  </si>
  <si>
    <t>Steiner, Riccardo</t>
  </si>
  <si>
    <t>BF175.4.C84 -- S74 2000eb</t>
  </si>
  <si>
    <t>Davies, Hilary A.</t>
  </si>
  <si>
    <t>The United Kingdom Council for Psychotherapy Series</t>
  </si>
  <si>
    <t>RC488.5 -- .D356 2009eb</t>
  </si>
  <si>
    <t>Family psychotherapy -- Practice. ; Psychotherapy -- Practice -- Psychological aspects. ; Psychotherapists -- Psychology.</t>
  </si>
  <si>
    <t>Losing the Race : Thinking Psychosocially about Racially Motivated Crime</t>
  </si>
  <si>
    <t>Gadd, David;Dixon, Bill</t>
  </si>
  <si>
    <t>The Exploring Psycho-Social Studies Series</t>
  </si>
  <si>
    <t>BF175.4.R34 -- G33 2011eb</t>
  </si>
  <si>
    <t>Psychoanalysis and racism. ; Race -- Psychological aspects. ; Race awareness -- Great Britain. ; Racism -- Great Britain -- Psychological aspects. ; Hate crimes -- Social aspects -- Great Britain.</t>
  </si>
  <si>
    <t>G. Erskine, Richard;Moursund, Janet P.</t>
  </si>
  <si>
    <t>RC489.E24 -- E77 2011eb</t>
  </si>
  <si>
    <t>Sorrow's Profiles : Death, Grief, and Crisis in the Family</t>
  </si>
  <si>
    <t>J. Alapack, Richard</t>
  </si>
  <si>
    <t>Bereavement -- Psychological aspects. ; Grief.</t>
  </si>
  <si>
    <t>Alizade, Mariam;Alizade, Miriam</t>
  </si>
  <si>
    <t>BF204.6 -- .A4513 2010eb</t>
  </si>
  <si>
    <t>150.19/88</t>
  </si>
  <si>
    <t>Positive psychology. ; Psychoanalysis. ; Emotions.</t>
  </si>
  <si>
    <t>Infant Losses; Adult Searches : A Neural and Developmental Perspective on Psychopathology and Sexual Offending</t>
  </si>
  <si>
    <t>Hudson-Allez, Glyn</t>
  </si>
  <si>
    <t>RC560.S47 -- H83 2011eb</t>
  </si>
  <si>
    <t>Sex offenders -- Psychology. ; Psychosexual disorders.</t>
  </si>
  <si>
    <t>Transference and Countertransference : A Unifying Focus of Psychoanalysis</t>
  </si>
  <si>
    <t>Arundale, Jean;Bellman, Debbie Bandler</t>
  </si>
  <si>
    <t>RC489.T73 -- T73 2011eb</t>
  </si>
  <si>
    <t>Transference (Psychology) ; Countertransference (Psychology)</t>
  </si>
  <si>
    <t>Barcaro, Umberto.</t>
  </si>
  <si>
    <t>Dreams. ; Dream interpretation.</t>
  </si>
  <si>
    <t>Resistance, Rebellion and Refusal in Groups : The 3 Rs</t>
  </si>
  <si>
    <t>M. Billow, Richard</t>
  </si>
  <si>
    <t>The New International Library of Group Analysis Series</t>
  </si>
  <si>
    <t>RC488 -- .B475 2010eb</t>
  </si>
  <si>
    <t>Group psychotherapy. ; Group psychoanalysis.</t>
  </si>
  <si>
    <t>Binion, Rudolph</t>
  </si>
  <si>
    <t>RC552.T7 -- B565 2011eb</t>
  </si>
  <si>
    <t>Psychic trauma -- History. ; Psychohistory.</t>
  </si>
  <si>
    <t>Destructiveness, Intersubjectivity and Trauma : The Identity Crisis of Modern Psychoanalysis</t>
  </si>
  <si>
    <t>Bohleber, Werner</t>
  </si>
  <si>
    <t>The Developments in Psychoanalysis Series</t>
  </si>
  <si>
    <t>RC514 -- .B64 2010eb</t>
  </si>
  <si>
    <t>Psychoanalysis. ; Post-traumatic stress disorder -- Treatment.</t>
  </si>
  <si>
    <t>A Relational Approach to Rehabilitation : Thinking about Relationships after Brain Injury</t>
  </si>
  <si>
    <t>Bowen, Ceri;Palmer, Síobhán;Yeates, Giles</t>
  </si>
  <si>
    <t>The Brain Injuries Series</t>
  </si>
  <si>
    <t>RC387.5 -- .B69 2010eb</t>
  </si>
  <si>
    <t>Mirrors and Reflections : Processes of Systemic Supervision</t>
  </si>
  <si>
    <t>Burck, Charlotte;Daniel, Gwyn</t>
  </si>
  <si>
    <t>RC488.5 -- .M577 2010eb</t>
  </si>
  <si>
    <t>Systemic therapy (Family therapy) ; Supervision. ; Family psychotherapy.</t>
  </si>
  <si>
    <t>Eigen in Seoul : Madness and Murder</t>
  </si>
  <si>
    <t>Eigen, Michael</t>
  </si>
  <si>
    <t>RC480 -- .E34 2010eb</t>
  </si>
  <si>
    <t>Psychotherapy. ; Psychology.</t>
  </si>
  <si>
    <t>Questioning Identities : Philosophy in Psychoanalytic Practice</t>
  </si>
  <si>
    <t>Lynne Ellis, Mary;O'Connor, Noreen</t>
  </si>
  <si>
    <t>RC437.5 -- .O36 2010eb</t>
  </si>
  <si>
    <t>Psychotherapy -- Philosophy. ; Psychotherapists -- Psychology.</t>
  </si>
  <si>
    <t>When Theories Touch : A Historical and Theoretical Integration of Psychoanalytic Thought</t>
  </si>
  <si>
    <t>J. Ellman, Steven</t>
  </si>
  <si>
    <t>CIPS (Confederation of Independent Psychoanalytic Societies) Boundaries of Psychoanalysis Series</t>
  </si>
  <si>
    <t>BF173 -- .E45 2010eb</t>
  </si>
  <si>
    <t>Psychoanalysis. ; Psychoanalytic interpretation. ; Psychoanalysts.</t>
  </si>
  <si>
    <t>On Latency : Individual Development, Narcissistic Impulse Reminiscence and Cultural Ideal</t>
  </si>
  <si>
    <t>Leticia Franieck, M.;Gunter, Michael</t>
  </si>
  <si>
    <t>BF710 -- .F73 2010eb</t>
  </si>
  <si>
    <t>Maturation (Psychology) ; Narcissism. ; Reminiscing.</t>
  </si>
  <si>
    <t>Bearing Witness : Psychoanalytic Work with People Traumatised by Torture and State Violence</t>
  </si>
  <si>
    <t>Gautier, Andres;Scalmati, Anna Sabatini</t>
  </si>
  <si>
    <t>The EFPP Monograph Series</t>
  </si>
  <si>
    <t>RC451.4.T67 -- B437 2010eb</t>
  </si>
  <si>
    <t>Torture victims -- Mental health. ; Torture victims -- Rehabilitation. ; Torture victims -- Psychological aspects. ; Torture victims -- Counseling of. ; Torture victims -- Medical care. ; Political prisoners -- Mental health. ; Political prisoners -- Rehabilitation.</t>
  </si>
  <si>
    <t>The Mirror Crack'd : When Good Enough Therapy Goes Wrong and Other Cautionary Tales for the Humanistic Practitioner</t>
  </si>
  <si>
    <t>Kearns, Anne</t>
  </si>
  <si>
    <t>Humanistic counseling. ; Psychoanalysis. ; Psychologists -- Complaints against.</t>
  </si>
  <si>
    <t>Early Development and Its Disturbances : Clinical, Conceptual and Empirical Research on ADHD and Other Psychopathologies and Its Epistemological Reflections</t>
  </si>
  <si>
    <t>Canestri, Jorge;Leuzinger-Bohleber, Marianne;Target, Mary</t>
  </si>
  <si>
    <t>BF713 -- .E27 2010eb</t>
  </si>
  <si>
    <t>Developmental psychology. ; Attention-deficit hyperactivity disorder.</t>
  </si>
  <si>
    <t>Morgan-Jones, Richard</t>
  </si>
  <si>
    <t>RC480 -- .M67 2010eb</t>
  </si>
  <si>
    <t>Psychotherapy. ; Psychology, Industrial. ; Organizational behavior.</t>
  </si>
  <si>
    <t>Love, Hate and Knowledge : The Kleinian Method and the Future of Psychoanalysis</t>
  </si>
  <si>
    <t>BF173 -- .W37 2010eb</t>
  </si>
  <si>
    <t>Psychoanalysis. ; Psychoanalysis -- Methodology. ; Psychoanalysis -- Case studies.</t>
  </si>
  <si>
    <t>Treating Severe Depressive and Persecutory Anxiety States : To Transform the Unbearable</t>
  </si>
  <si>
    <t>BF575.A6 -- W37 2010eb</t>
  </si>
  <si>
    <t>Anxiety. ; Psychoanalysis.</t>
  </si>
  <si>
    <t>BF173 -- .A5767 2009eb</t>
  </si>
  <si>
    <t>Researching Beneath the Surface : Psycho-Social Research Methods in Practice</t>
  </si>
  <si>
    <t>Clarke, Simon;Hoggett, Paul</t>
  </si>
  <si>
    <t>HM1011 -- .R47 2009eb</t>
  </si>
  <si>
    <t>Object relations (Psychoanalysis) ; Social psychology. ; Clinical sociology. ; Social sciences -- Research -- Methodology.</t>
  </si>
  <si>
    <t>Sex, Attachment and Couple Psychotherapy : Psychoanalytic Perspectives</t>
  </si>
  <si>
    <t>Clulow, Christopher</t>
  </si>
  <si>
    <t>The Library of Couple and Family Psychoanalysis Series</t>
  </si>
  <si>
    <t>But at the Same Time and on Another Level : Psychoanalytic Theory and Technique in the Kleinian/Bionian Mode</t>
  </si>
  <si>
    <t>S. Grotstein, James</t>
  </si>
  <si>
    <t>RC506 -- .G76 2009eb</t>
  </si>
  <si>
    <t>Klein, Melanie. ; Bion, Wilfred R. -- (Wilfred Ruprecht), -- 1897-1979. ; Psychoanalysis.</t>
  </si>
  <si>
    <t>But at the Same Time and on Another Level : Clinical Applications in the Kleinian/Bionian Mode</t>
  </si>
  <si>
    <t>The Emergent Self : An Existential-Gestalt Approach</t>
  </si>
  <si>
    <t>Philippson, Peter</t>
  </si>
  <si>
    <t>BD438.5 -- .P45 2009eb</t>
  </si>
  <si>
    <t>Self (Philosophy) ; Existential psychotherapy. ; Gestalt therapy.</t>
  </si>
  <si>
    <t>Brain, Attachment, Personality : An Introduction to Neuroaffective Development</t>
  </si>
  <si>
    <t>Hart, Susan;Silver, Dorte A.</t>
  </si>
  <si>
    <t>BF698 -- .H37 2008eb</t>
  </si>
  <si>
    <t>Personality. ; Brain -- Development. ; Brain -- Growth. ; Developmental psychology. ; Neuropsychology.</t>
  </si>
  <si>
    <t>Lawrence, Marilyn</t>
  </si>
  <si>
    <t>RC552.A5 -- L39 2008eb</t>
  </si>
  <si>
    <t>Anorexia nervosa. ; Bulimia.</t>
  </si>
  <si>
    <t>Lawson, Thomas T.</t>
  </si>
  <si>
    <t>BF698.95 -- .L39 2008eb</t>
  </si>
  <si>
    <t>150.19/54092</t>
  </si>
  <si>
    <t>Jung, C. G. -- (Carl Gustav), -- 1875-1961. ; Evolutionary psychology. ; Subconsciousness. ; Jungian psychology.</t>
  </si>
  <si>
    <t>Practitioner-Based Research : Power, Discourse and Transformation</t>
  </si>
  <si>
    <t>Freshwater, Dawn;Lees, John</t>
  </si>
  <si>
    <t>R850 -- .P73 2008eb</t>
  </si>
  <si>
    <t>Medical care -- Research. ; Action research in public health.</t>
  </si>
  <si>
    <t>The Personal Development Group : The Student's Guide</t>
  </si>
  <si>
    <t>Rose, Chris</t>
  </si>
  <si>
    <t>BF636.7.G76 -- R67 2008eb</t>
  </si>
  <si>
    <t>Group counseling. ; Maturation (Psychology)</t>
  </si>
  <si>
    <t>Lemma, Alessandra;Roth, Priscilla</t>
  </si>
  <si>
    <t>The International Psychoanalytical Association Psychoanalytic Ideas and Applications Series</t>
  </si>
  <si>
    <t>BF575.E65 -- E58 2008eb</t>
  </si>
  <si>
    <t>Klein, Melanie. -- Envy and gratitude -- Criticism, Textual. ; Envy. ; Gratitude.</t>
  </si>
  <si>
    <t>A Beam of Intense Darkness : Wilfred Bion's Legacy to Psychoanalysis</t>
  </si>
  <si>
    <t>Grotstein, James S.</t>
  </si>
  <si>
    <t>RC438.6.B54 -- G76 2007eb</t>
  </si>
  <si>
    <t>Bion, Wilfred R. -- (Wilfred Ruprecht), -- 1897-1979. ; Psychoanalysis.</t>
  </si>
  <si>
    <t>Symington, Neville</t>
  </si>
  <si>
    <t>BF173 -- .S88 2007eb</t>
  </si>
  <si>
    <t>Freud, Sigmund, -- 1856-1939. ; Psychoanalysis. ; Psychoanalytic interpretation.</t>
  </si>
  <si>
    <t>Fifty Years of Attachment Theory : The Donald Winnicott Memorial Lecture</t>
  </si>
  <si>
    <t>Richard Bowlby, Sir</t>
  </si>
  <si>
    <t>The Donald Winnicott Memorial Lecture Series</t>
  </si>
  <si>
    <t>Intensive Short-Term Dynamic Psychotherapy : Theory and Technique</t>
  </si>
  <si>
    <t>Della Selva, Patricia C.</t>
  </si>
  <si>
    <t>RC480.55 -- .D45 2006eb</t>
  </si>
  <si>
    <t>Brief psychotherapy. ; Psychodynamic psychotherapy.</t>
  </si>
  <si>
    <t>Therapy Beyond Modernity : Deconstructing and Transcending Profession-Centred Therapy</t>
  </si>
  <si>
    <t>House, Richard</t>
  </si>
  <si>
    <t>RC480 -- .H68 2003eb</t>
  </si>
  <si>
    <t>616.8/914/01</t>
  </si>
  <si>
    <t>Understanding Trauma : A Psychoanalytical Approach</t>
  </si>
  <si>
    <t>Garland, Caroline</t>
  </si>
  <si>
    <t>RC552.T7 -- U52 2002eb</t>
  </si>
  <si>
    <t>Akhtar, Salman;O'Neil, Mary Kay</t>
  </si>
  <si>
    <t>The International Psychoanalytical Association Contemporary Freud: Turning Points and Critical Issues Series</t>
  </si>
  <si>
    <t>BF175.5.P54 -- O6 2011eb</t>
  </si>
  <si>
    <t>Psychoanalysis. ; Pleasure principle (Psychology)</t>
  </si>
  <si>
    <t>Alfille, Helen;Cooper, Judy</t>
  </si>
  <si>
    <t>BF173 -- .C66 2011eb</t>
  </si>
  <si>
    <t>Psychoanalysis. ; Psychology.</t>
  </si>
  <si>
    <t>Matters of Life and Death : Psychoanalytic Reflections</t>
  </si>
  <si>
    <t>Life -- Psychological aspects. ; Death -- Psychological aspects.</t>
  </si>
  <si>
    <t>Why Therapists Choose to Become Therapists : A Practice-Based Enquiry</t>
  </si>
  <si>
    <t>Bager-Charleson, Sofie</t>
  </si>
  <si>
    <t>BF636.67 -- .B34 2010eb</t>
  </si>
  <si>
    <t>Counselors -- Training of. ; Counseling -- Vocational guidance.</t>
  </si>
  <si>
    <t>Telling Stories? : Attachment-Based Approaches to the Treatment of Psychosis</t>
  </si>
  <si>
    <t>Benamer, Sarah</t>
  </si>
  <si>
    <t>RC512 -- .T45 2010eb</t>
  </si>
  <si>
    <t>Psychoses. ; Psychoses -- Treatment.</t>
  </si>
  <si>
    <t>Fostering Independence : Helping and Caring in Psychodynamic Therapies</t>
  </si>
  <si>
    <t>Brafman, A. H.</t>
  </si>
  <si>
    <t>RC480.8 -- .B73 2011eb</t>
  </si>
  <si>
    <t>Psychotherapist and patient. ; Psychology.</t>
  </si>
  <si>
    <t>The Karnac Developmental Psychology Series</t>
  </si>
  <si>
    <t>BF721 -- .B694 2010eb</t>
  </si>
  <si>
    <t>155.42/4</t>
  </si>
  <si>
    <t>Child psychology. ; Developmental psychology.</t>
  </si>
  <si>
    <t>Anxiety and Mood Disorders Following Traumatic Brain Injury : Clinical Assessment and Psychotherapy</t>
  </si>
  <si>
    <t>Coetzer, Rudi</t>
  </si>
  <si>
    <t>RC531 -- .C64 2010eb</t>
  </si>
  <si>
    <t>Anxiety disorders -- Diagnosis. ; Affective disorders -- Diagnosis. ; Brain damage -- Patients -- Rehabilitation. ; Brain -- Wounds and injuries -- Patients -- Rehabilitation.</t>
  </si>
  <si>
    <t>Children's Dreams : From Freud's Observations to Modern Dream Research</t>
  </si>
  <si>
    <t>Colace, Claudio</t>
  </si>
  <si>
    <t>Constructing Stories, Telling Tales : A Guide to Formulation in Applied Psychology</t>
  </si>
  <si>
    <t>Corrie, Sarah;Lane, David A.</t>
  </si>
  <si>
    <t>Managing Vulnerability : The Underlying Dynamics of Systems of Care</t>
  </si>
  <si>
    <t>Dartington, Tim</t>
  </si>
  <si>
    <t>HV41 -- .D378 2010eb</t>
  </si>
  <si>
    <t>Medical care. ; Medical ethics. ; Social service -- Moral and ethical aspects. ; Empathy.</t>
  </si>
  <si>
    <t>Davids, Jenny</t>
  </si>
  <si>
    <t>HQ774.5 -- .D39 2010eb</t>
  </si>
  <si>
    <t>Preschool children -- Psychology. ; Child psychology.</t>
  </si>
  <si>
    <t>The Use of Psychoanalytic Concepts in Therapy with Families : For All Professionals Working with Families</t>
  </si>
  <si>
    <t>The Early Years of Life : Psychoanalytical Development Theory According to Freud, Klein, and Bion</t>
  </si>
  <si>
    <t>Diem-Wille, Gertraud</t>
  </si>
  <si>
    <t>A New Freudian Synthesis : Clinical Process in the Next Generation</t>
  </si>
  <si>
    <t>Druck, Andrew B.;Ellman, Carolyn S.;Freedman, Norbert;Thaler, Aaron</t>
  </si>
  <si>
    <t>BF173 -- .N49 2011eb</t>
  </si>
  <si>
    <t>The Constitution of the Psychoanalytic Clinic : A History of Its Structure and Power</t>
  </si>
  <si>
    <t>Dunker, Christian;Hill, Terence</t>
  </si>
  <si>
    <t>The Lines of the Symbolic Series</t>
  </si>
  <si>
    <t>BF173 -- .D86 2011eb</t>
  </si>
  <si>
    <t>Psychoanalysis -- History. ; Psychiatry -- History. ; Psychiatric clinics -- History.</t>
  </si>
  <si>
    <t>Attention and Creation : Growth in the Vertices of W. R. Bion</t>
  </si>
  <si>
    <t>Egenfeldt-Nielsen, Fin</t>
  </si>
  <si>
    <t>Bion, Wilfred R. -- (Wilfred Ruprecht), -- 1897-1979</t>
  </si>
  <si>
    <t>Beginnings in Psychotherapy : A Guidebook for New Therapists</t>
  </si>
  <si>
    <t>Eichler, Seth</t>
  </si>
  <si>
    <t>RC480 -- .E38 2010eb</t>
  </si>
  <si>
    <t>Psychotherapy and Culture : Weaving Inner and Outer Worlds</t>
  </si>
  <si>
    <t>Eleftheriadou, Zack</t>
  </si>
  <si>
    <t>Cultural psychiatry</t>
  </si>
  <si>
    <t>Life Scripts : A Transactional Analysis of Unconscious Relational Patterns</t>
  </si>
  <si>
    <t>G. Erskine, Richard</t>
  </si>
  <si>
    <t>RC489.T7 -- L544 2010eb</t>
  </si>
  <si>
    <t>Berne, Eric. ; Transactional analysis. ; Psychotherapy -- Methodology. ; Psychoanalysis.</t>
  </si>
  <si>
    <t>Franks and Saracens : Reality and Fantasy in the Crusades</t>
  </si>
  <si>
    <t>Falk, Avner</t>
  </si>
  <si>
    <t>RC504 -- .F35 2010eb</t>
  </si>
  <si>
    <t>Sextuplets : Study of a Sibling Group</t>
  </si>
  <si>
    <t>Root Fortini, Linda;Mori, Laura</t>
  </si>
  <si>
    <t>BF723.S43 -- F6713 2010eb</t>
  </si>
  <si>
    <t>Difficult Topics in Group Psychotherapy : My Journey from Shame to Courage</t>
  </si>
  <si>
    <t>Gans, Jerome</t>
  </si>
  <si>
    <t>RC488 -- .G36 2010eb</t>
  </si>
  <si>
    <t>Group psychotherapy. ; Psychotherapy.</t>
  </si>
  <si>
    <t>The Groups Book : Psychoanalytic Group Therapy: Principles and Practice</t>
  </si>
  <si>
    <t>RC510 -- .G77 2010eb</t>
  </si>
  <si>
    <t>Abelin-Sas Rose, Graciela;Glocer Fiorini, Leticia</t>
  </si>
  <si>
    <t>BF175.5.F45 -- O5 2010eb</t>
  </si>
  <si>
    <t>Freud, Sigmund, -- 1856-1939. ; Femininity. ; Psychoanalysis and feminism.</t>
  </si>
  <si>
    <t>Gunter, Michael;Hasenclever, Harriet</t>
  </si>
  <si>
    <t>BF721 -- .G86 2011eb</t>
  </si>
  <si>
    <t>Child analysis. ; Adolescent analysis.</t>
  </si>
  <si>
    <t>What Do Patients Want? : Psychoanalytic Perspectives from the Couch</t>
  </si>
  <si>
    <t>Hill, Christine A. S.</t>
  </si>
  <si>
    <t>Love: Bondage or Liberation? : A Psycholological Exploration of the Meaning, Values and Dangers of Falling in Love</t>
  </si>
  <si>
    <t>Johnson, Deirdre</t>
  </si>
  <si>
    <t>BF575.L8 -- J64 2010eb</t>
  </si>
  <si>
    <t>Love -- Moral and ethical aspects. ; Love -- Psychological aspects.</t>
  </si>
  <si>
    <t>Lawrence, W. Gordon;Baglioni, Lilia</t>
  </si>
  <si>
    <t>BF1078 -- .C74 2010eb</t>
  </si>
  <si>
    <t>Dreams -- Social aspects. ; Dream interpretation.</t>
  </si>
  <si>
    <t>In Search of the Good Life : Emmanuel Levinas, Psychoanalysis and the Art of Living</t>
  </si>
  <si>
    <t>Marcus, Paul</t>
  </si>
  <si>
    <t>RC504 -- .M37 2010eb</t>
  </si>
  <si>
    <t>Lévinas, Emmanuel. ; Psychoanalysis. ; Ethics.</t>
  </si>
  <si>
    <t>Enduring Loss : Mourning, Depression and Narcissism Throughout the Life Cycle</t>
  </si>
  <si>
    <t>McGinley, Eileen;Varchevker, Arturo</t>
  </si>
  <si>
    <t>BF575.G7 -- E53 2010eb</t>
  </si>
  <si>
    <t>Bereavement. ; Loss (Psychology)</t>
  </si>
  <si>
    <t>Moran, Frances</t>
  </si>
  <si>
    <t>BF173 -- .M67 2010eb</t>
  </si>
  <si>
    <t>Freud, Sigmund, -- 1856-1939. ; Psychoanalysis.</t>
  </si>
  <si>
    <t>Grunbaum, Liselotte;Mortensen, Karen Vibeke</t>
  </si>
  <si>
    <t>RJ505.P6 -- P53 2010eb</t>
  </si>
  <si>
    <t>Reading Minds : A Guide to the Cognitive Neuroscience Revolution</t>
  </si>
  <si>
    <t>Moskowitz, Michael A.</t>
  </si>
  <si>
    <t>QP360.5 -- .M67 2010eb</t>
  </si>
  <si>
    <t>Cognitive neuroscience -- Popular works. ; Mind and body -- Popular works.</t>
  </si>
  <si>
    <t>Olympus Inc : Intervening for Cultural Change in Organizations</t>
  </si>
  <si>
    <t>Dalmau, Tim;Neville, Bernie</t>
  </si>
  <si>
    <t>HD58.7 -- .N48 2010eb</t>
  </si>
  <si>
    <t>Organizational behavior. ; Psychology.</t>
  </si>
  <si>
    <t>From the Conscious Interior to an Exterior Unconscious : Lacan, Discourse Analysis and Social Psychology</t>
  </si>
  <si>
    <t>Pavon Cuellar, David</t>
  </si>
  <si>
    <t>Attachment and New Beginnings : Reflections on Psychoanalytic Therapy</t>
  </si>
  <si>
    <t>Pedder, Jonathan;Winship, Gary</t>
  </si>
  <si>
    <t>BF175.4.C68 -- P43 2010eb</t>
  </si>
  <si>
    <t>Psychoanalysis. ; Psychoanalytic counseling.</t>
  </si>
  <si>
    <t>Knowing, Not-Knowing and Sort-Of-Knowing : Psychoanalysis and the Experience of Uncertainty</t>
  </si>
  <si>
    <t>Petrucelli, Jean</t>
  </si>
  <si>
    <t>RC509 -- .K66 2010eb</t>
  </si>
  <si>
    <t>Psychoanalysis. ; Uncertainty. ; Decision making.</t>
  </si>
  <si>
    <t>Rothstein, Arnold</t>
  </si>
  <si>
    <t>BF173 -- .R68 2010eb</t>
  </si>
  <si>
    <t>Freud, Sigmund, -- 1856-1939. ; Brenner, Charles, -- 1913-2008 -- Influence. ; Psychoanalytic interpretation. ; Compromise formation. ; Psychoanalysis -- Case studies.</t>
  </si>
  <si>
    <t>The Philosophy of Cognitive-Behavioural Therapy (CBT) : Stoic Philosophy As Rational and Cognitive Psychotherapy</t>
  </si>
  <si>
    <t>Robertson, Donald</t>
  </si>
  <si>
    <t>RC489.C63 -- R63 2010eb</t>
  </si>
  <si>
    <t>Roussillon, René</t>
  </si>
  <si>
    <t>BF173 -- .R687 2011eb</t>
  </si>
  <si>
    <t>The Language of Bion : A Dictionary of Concepts</t>
  </si>
  <si>
    <t>Sandler, P. C.</t>
  </si>
  <si>
    <t>RC501.4 -- .S26 2005eb</t>
  </si>
  <si>
    <t>Bion, Wilfred R. -- (Wilfred Ruprecht), -- 1897-1979 -- Language -- Dictionaries. ; Psychoanalysis -- Dictionaries.</t>
  </si>
  <si>
    <t>Therapy with Children : An Existential Perspective</t>
  </si>
  <si>
    <t>Scalzo, Chris</t>
  </si>
  <si>
    <t>RJ504 -- .S29 2010eb</t>
  </si>
  <si>
    <t>Child psychotherapy. ; Existential psychology.</t>
  </si>
  <si>
    <t>Schinaia, Cosimo;Sansone, Antonella</t>
  </si>
  <si>
    <t>HQ71 -- .S3413 2010eb</t>
  </si>
  <si>
    <t>Pedophilia. ; Child sexual abuse. ; Child molesters.</t>
  </si>
  <si>
    <t>Crossing Borders - Integrating Differences : Psychoanalytic Psychotherapy in Transition</t>
  </si>
  <si>
    <t>Schloesser, Anne-Marie;Gerlach, Alf</t>
  </si>
  <si>
    <t>Society Against Itself : Political Correctness and Organizational Self-Destruction</t>
  </si>
  <si>
    <t>Schwartz, Howard S.</t>
  </si>
  <si>
    <t>HM1216 -- .S383 2010eb</t>
  </si>
  <si>
    <t>Political correctness. ; Organizational behavior.</t>
  </si>
  <si>
    <t>Tardits, Annie;du Ry, Marc</t>
  </si>
  <si>
    <t>The Centre for Freudian Analysis and Research Library (CFAR) Series</t>
  </si>
  <si>
    <t>BF109.T37 -- T37 2010eb</t>
  </si>
  <si>
    <t>Psychoanalysts. ; Psychoanalysis.</t>
  </si>
  <si>
    <t>Assessing Change in Psychoanalytic Psychotherapy of Children and Adolescents : Today's Challenge</t>
  </si>
  <si>
    <t>Trowell, Judith;Tsiantis, John</t>
  </si>
  <si>
    <t>Bion's Dream : A Reading of the Autobiographies</t>
  </si>
  <si>
    <t>Williams, Meg Harris</t>
  </si>
  <si>
    <t>RC438.6.B54 -- W55 2010eb</t>
  </si>
  <si>
    <t>Bion, Wilfred R. -- (Wilfred Ruprecht), -- 1897-1979. ; Psychoanalysts -- Great Britain -- Biography -- History and criticism. ; Autobiography.</t>
  </si>
  <si>
    <t>The Psychoanalytic Ideas Series</t>
  </si>
  <si>
    <t>RC504 -- .P79 2010eb</t>
  </si>
  <si>
    <t>The Aesthetic Development : The Poetic Spirit of Psychoanalysis: Essays on Bion, Meltzer, Keats</t>
  </si>
  <si>
    <t>BF175.4.P45 -- W55 2010eb</t>
  </si>
  <si>
    <t>Bion, Wilfred R. -- (Wilfred Ruprecht), -- 1897-1979. ; Meltzer, Donald. ; Keats, John, -- 1795-1821 -- Criticism and interpretation. ; Psychoanalysis and philosophy. ; Aesthetics -- Psychological aspects.</t>
  </si>
  <si>
    <t>Young, Courtenay</t>
  </si>
  <si>
    <t>Zafiropoulos, Markos;Holland, John</t>
  </si>
  <si>
    <t>BF109.L28 -- Z3613 2010eb</t>
  </si>
  <si>
    <t>Lacan, Jacques, -- 1901-1981. ; Psychoanalysis and culture.</t>
  </si>
  <si>
    <t>Good Feelings : Psychoanalytic Reflections on Positive Emotions and Attitudes</t>
  </si>
  <si>
    <t>BF531 -- .G66 2009eb</t>
  </si>
  <si>
    <t>Emotions. ; Psychoanalysis.</t>
  </si>
  <si>
    <t>Turning Points in Dynamic Psychotherapy : Initial Assessment, Boundaries, Money, Disruptions and Suicidal Crises</t>
  </si>
  <si>
    <t>RC489.P72 -- A44 2009eb</t>
  </si>
  <si>
    <t>Psychodynamic psychotherapy. ; Psychotherapy.</t>
  </si>
  <si>
    <t>Ambrosio, Giovanna</t>
  </si>
  <si>
    <t>The International Psychoanalytical Association Controversies in Psychoanalysis Series</t>
  </si>
  <si>
    <t>BF175.5.S48 -- T73 2009eb</t>
  </si>
  <si>
    <t>Sex (Psychology) ; Gender identity -- Psychological aspects. ; Transgenderism -- Psychological aspects. ; Transsexualism. ; Psychoanalysis.</t>
  </si>
  <si>
    <t>Adaptation and Innovation : Theory, Design and Role-Taking in Group Relations Conferences and Their Applications</t>
  </si>
  <si>
    <t>Aram, Eliat;Baxter, Robert;Nutkevitch, Avi</t>
  </si>
  <si>
    <t>The Group Relations Conferences Series</t>
  </si>
  <si>
    <t>HM1086 -- .A33 2009eb</t>
  </si>
  <si>
    <t>Group relations training -- Congresses. ; Interpersonal relations -- Congresses. ; Leadership -- Congresses.</t>
  </si>
  <si>
    <t>The Work of Confluence : Listening and Interpreting in the Psychoanalytic Field</t>
  </si>
  <si>
    <t>Baranger, Madeleine;Baranger, Willy;Glocer Fiorini, Leticia</t>
  </si>
  <si>
    <t>RC506 -- .B37 2009eb</t>
  </si>
  <si>
    <t>Psychoanalytic interpretation. ; Psychoanalysis.</t>
  </si>
  <si>
    <t>Bokanowski, Thierry;Lewkowicz, Sergio</t>
  </si>
  <si>
    <t>BF175.5.E35 -- O54 2009eb</t>
  </si>
  <si>
    <t>Freud, Sigmund, -- 1856-1939. ; Ego (Psychology)</t>
  </si>
  <si>
    <t>Literature and Therapy : A Systemic View</t>
  </si>
  <si>
    <t>Burns, Liz</t>
  </si>
  <si>
    <t>BF175 -- .B87 2009eb</t>
  </si>
  <si>
    <t>Bibliotherapy. ; Family psychotherapy. ; Psychoanalysis and literature. ; Books and reading. ; Meaning (Philosophy) in literature. ; Emotions in literature. ; Intuition in literature.</t>
  </si>
  <si>
    <t>General Works/Reference; Psychology</t>
  </si>
  <si>
    <t>Social Dreaming in the 21st Century : The World We Are Losing</t>
  </si>
  <si>
    <t>Clare, John;Zarbafi, Ali</t>
  </si>
  <si>
    <t>Dream interpretation</t>
  </si>
  <si>
    <t>The Art of Inspired Living : Coach Yourself with Positive Psychology</t>
  </si>
  <si>
    <t>Corrie, Sarah</t>
  </si>
  <si>
    <t>The Professional Coaching Series</t>
  </si>
  <si>
    <t>BF637.S4 -- C67 2009eb</t>
  </si>
  <si>
    <t>Self-actualization (Psychology) ; Positive psychology.</t>
  </si>
  <si>
    <t>The Making of Psychotherapists : An Anthropological Analysis</t>
  </si>
  <si>
    <t>Davies, James</t>
  </si>
  <si>
    <t>RC459 -- .D38 2009eb</t>
  </si>
  <si>
    <t>Psychotherapists -- Training of. ; Anthropology. ; Professional socialization.</t>
  </si>
  <si>
    <t>Vulnerability to Psychosis : A Psychoanalytic Study of the Nature and Therapy of the Psychotic State</t>
  </si>
  <si>
    <t>De Masi, Franco;Slotkin, Philip</t>
  </si>
  <si>
    <t>RC512 -- .D4 2009eb</t>
  </si>
  <si>
    <t>Psychotherapy. ; Psychoses. ; Psychoses -- Treatment.</t>
  </si>
  <si>
    <t>Doctor, Ronald;Lucas, Richard</t>
  </si>
  <si>
    <t>Donnet, Jean-Luc;Weller, Andrew</t>
  </si>
  <si>
    <t>RC504 -- .D66 2009eb</t>
  </si>
  <si>
    <t>The Graph of Desire : Using the Work of Jacques Lacan</t>
  </si>
  <si>
    <t>Eidelsztein, Alfredo</t>
  </si>
  <si>
    <t>Lacan, Jacques, -- 1901-1981. ; Desire. ; Psychoanalysis.</t>
  </si>
  <si>
    <t>Flames from the Unconscious : Trauma, Madness, and Faith</t>
  </si>
  <si>
    <t>BF175.4.R44 -- E54 2009eb</t>
  </si>
  <si>
    <t>Psychoanalysis. ; Psychoanalysis and religion. ; Mental health.</t>
  </si>
  <si>
    <t>Managing Work and Relationships at 35,000 Feet : A Practical Guide for Making Personal Life Fit Aircrew Shift Work, Jetlag, and Absence from Home</t>
  </si>
  <si>
    <t>Eriksen, Carina</t>
  </si>
  <si>
    <t>Flight crews -- Psychology</t>
  </si>
  <si>
    <t>The Analytic Field : A Clinical Concept</t>
  </si>
  <si>
    <t>Basile, Roberto;Ferro, Antonino</t>
  </si>
  <si>
    <t>RC480 -- .A53 2009eb</t>
  </si>
  <si>
    <t>Psychotherapy. ; Psychoanalysis.</t>
  </si>
  <si>
    <t>Catlett, Joyce;Firestone, Robert W.</t>
  </si>
  <si>
    <t>HM1106 -- .F57 2009eb</t>
  </si>
  <si>
    <t>Interpersonal relations. ; Social psychology.</t>
  </si>
  <si>
    <t>Systems and Psychoanalysis : Contemporary Integrations in Family Therapy</t>
  </si>
  <si>
    <t>Flaskas, Carmel;Pocock, David</t>
  </si>
  <si>
    <t>RC488.5 -- .S958 2009eb</t>
  </si>
  <si>
    <t>Systemic therapy (Family therapy) ; Psychotherapist and patient.</t>
  </si>
  <si>
    <t>Identity, Gender, and Sexuality : 150 Years after Freud</t>
  </si>
  <si>
    <t>Fonagy, Peter;Krause, Rainer;Leuzinger-Bohleber, Marianne</t>
  </si>
  <si>
    <t>HQ1075 -- .I34 2009eb</t>
  </si>
  <si>
    <t>Sex. ; Gender identity. ; Psychoanalysis.</t>
  </si>
  <si>
    <t>Unbearable Affect : A Guide to the Psychotherapy of Psychosis</t>
  </si>
  <si>
    <t>Garfield, David</t>
  </si>
  <si>
    <t>RC512 -- .G37 2009eb</t>
  </si>
  <si>
    <t>Psychoses -- Treatment. ; Affect (Psychology) ; Emotions -- Therapeutic use. ; Psychotherapy. ; Psychoses -- Treatment -- Case studies.</t>
  </si>
  <si>
    <t>The Experience of Time : Psychoanalytic Perspectives</t>
  </si>
  <si>
    <t>Canestri, Jorge;Glocer Fiorini, Leticia</t>
  </si>
  <si>
    <t>BF468 -- .E97 2009eb</t>
  </si>
  <si>
    <t>Time -- Psychological aspects. ; Psychoanalysis.</t>
  </si>
  <si>
    <t>Bokanowski, Thierry;Glocer Fiorini, Leticia;Lewkowicz, Sergio</t>
  </si>
  <si>
    <t>BF575.G7 -- O54 2009eb</t>
  </si>
  <si>
    <t>Freud, Sigmund, -- 1856-1939. ; Loss (Psychology) ; Bereavement -- Psychological aspects.</t>
  </si>
  <si>
    <t>Susan Isaacs : A Life Freeing the Minds of Children</t>
  </si>
  <si>
    <t>Graham, Philip</t>
  </si>
  <si>
    <t>Isaacs, Susan Sutherland Fairhurst, -- 1885-1948</t>
  </si>
  <si>
    <t>Resonance of Suffering : Countertransference in Non-Neurotic Structures</t>
  </si>
  <si>
    <t>Green, Andre</t>
  </si>
  <si>
    <t>IPA: the International Psychoanalysis Library</t>
  </si>
  <si>
    <t>RC569.5.B67 -- R47 2009eb</t>
  </si>
  <si>
    <t>Borderline personality disorder. ; Countertransference (Psychology)</t>
  </si>
  <si>
    <t>Intimate Warfare : Regarding the Fragility of Family Relations</t>
  </si>
  <si>
    <t>Groen, Martine;Van Lawick, Justine</t>
  </si>
  <si>
    <t>HV6626 -- .G76 2009eb</t>
  </si>
  <si>
    <t>Family violence. ; Families.</t>
  </si>
  <si>
    <t>From Transformation to TransformaCtion : Methods and Practices</t>
  </si>
  <si>
    <t>Gutmann, David</t>
  </si>
  <si>
    <t>Theory and Practice in Child Psychoanalysis : An Introduction to the Work of Francoise Dolto</t>
  </si>
  <si>
    <t>Hall, Guy;Hivernel, Francoise;Morgan, Siân</t>
  </si>
  <si>
    <t>Dolto, Françoise. ; Child analysis.</t>
  </si>
  <si>
    <t>Life and Art : The Creative Synthesis in Literature</t>
  </si>
  <si>
    <t>W. Hamilton, James</t>
  </si>
  <si>
    <t>BF408 -- .H265 2009eb</t>
  </si>
  <si>
    <t>A Different Wisdom : Reflections on Supervision Practice: Guide to Supervision</t>
  </si>
  <si>
    <t>Henderson, Penny</t>
  </si>
  <si>
    <t>The Guide to Supervision Series</t>
  </si>
  <si>
    <t>HF5549.5.T7 -- H46 2009eb</t>
  </si>
  <si>
    <t>Supervisors -- Training of -- Great Britain. ; Counselors -- Supervision of -- Great Britain. ; Psychotherapists -- Supervision of -- Great Britain.</t>
  </si>
  <si>
    <t>House, Richard;Loewenthal, Del</t>
  </si>
  <si>
    <t>BF721 -- .C45 2009eb</t>
  </si>
  <si>
    <t>Child psychology. ; Child development.</t>
  </si>
  <si>
    <t>Our Desire of Unrest : Thinking about Therapy</t>
  </si>
  <si>
    <t>Melanie Klein and Beyond : A Bibliography of Primary and Secondary Sources</t>
  </si>
  <si>
    <t>Karnac, Harry</t>
  </si>
  <si>
    <t>BF109.K54 -- K37 2009eb</t>
  </si>
  <si>
    <t>Klein, Melanie -- Bibliography. ; Psychoanalysis -- Bibliography.</t>
  </si>
  <si>
    <t>Emotion and the Psychodynamics of the Cerebellum : A Neuro-Psychoanalytic Analysis and Synthesis</t>
  </si>
  <si>
    <t>M. Levin, Fred</t>
  </si>
  <si>
    <t>BF531 -- .E4836 2009eb</t>
  </si>
  <si>
    <t>Emotions and cognition. ; Cerebellum. ; Memory.</t>
  </si>
  <si>
    <t>Siblings in Development : A Psychoanalytic View</t>
  </si>
  <si>
    <t>Lewin, Vivienne;Sharp, Belinda</t>
  </si>
  <si>
    <t>BF723.S43 -- S52 2009eb</t>
  </si>
  <si>
    <t>Brothers and sisters -- Psychological aspects. ; Child development.</t>
  </si>
  <si>
    <t>The Woman Within : A Psychoanalytic Essay on Femininity</t>
  </si>
  <si>
    <t>Lopez-Corvo, Rafael E.</t>
  </si>
  <si>
    <t>BF175.5.F45 -- L67 2009eb</t>
  </si>
  <si>
    <t>Femininity. ; Psychoanalysis.</t>
  </si>
  <si>
    <t>Psychosis in the Family : The Journey of a Transpersonal Psychotherapist and Mother</t>
  </si>
  <si>
    <t>Love, Janet C.</t>
  </si>
  <si>
    <t>RC512 -- .L68 2009eb</t>
  </si>
  <si>
    <t>Love, Janet M. -- Family. ; Psychoses -- Patients -- Great Britain -- Biography. ; Parents of mentally ill children -- Great Britain -- Biography. ; Psychoses -- Patients -- Family relationships. ; Psychoses -- Patients -- Care -- Great Britain.</t>
  </si>
  <si>
    <t>O'Neil, Mary Kay;Akhtar, Salman</t>
  </si>
  <si>
    <t>BL53 -- .O6 2009eb</t>
  </si>
  <si>
    <t>Freud, Sigmund, -- 1856-1939. -- Zukunft einer Illusion. -- English. ; Psychology, Religious. ; Psychoanalysis.</t>
  </si>
  <si>
    <t>Not Just Talking : Conversational Analysis, Harvey Sacks' Gift to Therapy</t>
  </si>
  <si>
    <t>Pain, Jean</t>
  </si>
  <si>
    <t>RC489.C65 -- P35 2009eb</t>
  </si>
  <si>
    <t>Psychotherapy. ; Conversation analysis. ; Interpersonal communication.</t>
  </si>
  <si>
    <t>The Aesthetic Dimension of the Mind : Variations on a Theme of Bion</t>
  </si>
  <si>
    <t>Pistiner de Cortinas, Lia</t>
  </si>
  <si>
    <t>RC506 -- .P567 2009eb</t>
  </si>
  <si>
    <t>Bion, Wilfred R. -- (Wilfred Ruprecht), -- 1897-1979. ; Aesthetics -- Psychological aspects. ; Psychoanalysis.</t>
  </si>
  <si>
    <t>Child-Centred Attachment Therapy : The CcAT Programme</t>
  </si>
  <si>
    <t>Gall, Maggie;Raicar, Alexandra Maeja;Sear, Pauline</t>
  </si>
  <si>
    <t>RJ507.A77 -- R35 2009eb</t>
  </si>
  <si>
    <t>Attachment behavior in children. ; Adopted children -- Family relationships.</t>
  </si>
  <si>
    <t>Music in the Head : Living at the Brain-Mind Border</t>
  </si>
  <si>
    <t>Rangell, Leo</t>
  </si>
  <si>
    <t>BF173 -- .R36 2009eb</t>
  </si>
  <si>
    <t>Psychoanalysis. ; Neurosciences. ; Auditory hallucinations.</t>
  </si>
  <si>
    <t>Reiner, Annie</t>
  </si>
  <si>
    <t>BF175.5.S93 -- R45 2009eb</t>
  </si>
  <si>
    <t>Superego. ; Conscience. ; Philosophy of mind. ; Psychoanalysis.</t>
  </si>
  <si>
    <t>A Clinical Application of Bion's Concepts : Dreaming, Transformation, Containment and Change</t>
  </si>
  <si>
    <t>Tragic Knots in Psychoanalysis : New Papers on Psychoanalysis</t>
  </si>
  <si>
    <t>Schafer, Roy</t>
  </si>
  <si>
    <t>BF173 -- .S32785 2009eb</t>
  </si>
  <si>
    <t>Psychoanalytic Studies of Organizations : Contributions from the International Society for the Psychoanalytic Study of Organizations (ISPSO)</t>
  </si>
  <si>
    <t>Sievers, Burkard;Brunning, Halina;de Gooijer, Jinette</t>
  </si>
  <si>
    <t>HD58.7 -- .P79 2009eb</t>
  </si>
  <si>
    <t>Organizational behavior. ; Psychoanalysis.</t>
  </si>
  <si>
    <t>Treating The 'Untreatable' : Healing in the Realms of Madness</t>
  </si>
  <si>
    <t>Steinman, Ira</t>
  </si>
  <si>
    <t>Schizophrenia -- Treatment -- Case studies. ; Schizophrenics -- Rehabilitation -- Case studies. ; Psychoses -- Treatment -- Case studies.</t>
  </si>
  <si>
    <t>Sweet Dreams : Erotic Plots</t>
  </si>
  <si>
    <t>Stoller, Robert J.</t>
  </si>
  <si>
    <t>HQ471 -- .S755 2009eb</t>
  </si>
  <si>
    <t>Pornography -- Psychological aspects. ; Sex (Psychology) ; Sexual fantasies.</t>
  </si>
  <si>
    <t>Contributions of Self Psychology to Group Psychotherapy : Selected Papers</t>
  </si>
  <si>
    <t>Stone, Walter N.</t>
  </si>
  <si>
    <t>RC489.S43 -- S76 2009eb</t>
  </si>
  <si>
    <t>Self psychology. ; Psychoanalysis. ; Group psychotherapy.</t>
  </si>
  <si>
    <t>Freudian Unconscious and Cognitive Neuroscience : From Unconscious Fantasies to Neural Algorithms</t>
  </si>
  <si>
    <t>Talvitie, Vesa</t>
  </si>
  <si>
    <t>QP360.5 -- .T36 2009eb</t>
  </si>
  <si>
    <t>Psychoanalysis. ; Cognitive neuroscience.</t>
  </si>
  <si>
    <t>The Muse As Therapist : A New Poetic Paradigm for Psychotherapy</t>
  </si>
  <si>
    <t>Wilkinson, Heward</t>
  </si>
  <si>
    <t>Psychotherapy. ; Psychoanalysis. ; Poetry.</t>
  </si>
  <si>
    <t>Taboo or Not Taboo? : Forbidden Thoughts, Forbidden Acts in Psychoanalysis and Psychotherapy</t>
  </si>
  <si>
    <t>C. Bohm, Lori;Curtis, Rebecca C.;Willock, Brent</t>
  </si>
  <si>
    <t>RC506 -- .T236 2009eb</t>
  </si>
  <si>
    <t>Psychoanalysis. ; Psychotherapist and patient.</t>
  </si>
  <si>
    <t>Autism in Childhood and Autistic Features in Adults : A Psychoanalytic Perspective</t>
  </si>
  <si>
    <t>Barrows, Kate</t>
  </si>
  <si>
    <t>RC553.A88 -- A98 2008eb</t>
  </si>
  <si>
    <t>Autism. ; Autistic children.</t>
  </si>
  <si>
    <t>Benamer, Sarah;White, Kate</t>
  </si>
  <si>
    <t>The Bowlby Centre Monograph Series</t>
  </si>
  <si>
    <t>RC552.T7 -- J65 2008eb</t>
  </si>
  <si>
    <t>Psychic trauma -- Congresses. ; Attachment behavior -- Congresses. ; Psychoanalysis -- Congresses.</t>
  </si>
  <si>
    <t>Where the Waters Meet : Convergence and Complementarity in Therapy and Theology</t>
  </si>
  <si>
    <t>Buckley, David</t>
  </si>
  <si>
    <t>Psychology and religion. ; Psychotherapy -- Religious aspects -- Christianity. ; Pastoral psychology. ; Psychology, Religious.</t>
  </si>
  <si>
    <t>Organizations Connected : A Handbook of Systemic Consultation</t>
  </si>
  <si>
    <t>Campbell, David;Huffington, Clare</t>
  </si>
  <si>
    <t>The Systemic Thinking and Practice Series: Work with Organizations Series</t>
  </si>
  <si>
    <t>Strategic planning</t>
  </si>
  <si>
    <t>Violence in Children : Understanding and Helping Those Who Harm</t>
  </si>
  <si>
    <t>Campher, Rosemary</t>
  </si>
  <si>
    <t>The Forensic Psychotherapy Monograph Series</t>
  </si>
  <si>
    <t>RJ506.V56 -- V56 2008eb</t>
  </si>
  <si>
    <t>Violence in children. ; Child psychotherapy.</t>
  </si>
  <si>
    <t>A Big and a Little One Is Gone : Crisis Therapy with a Two-Year-old Boy</t>
  </si>
  <si>
    <t>Cleve, Elisabeth</t>
  </si>
  <si>
    <t>Grief in children -- Sweden -- Case studies</t>
  </si>
  <si>
    <t>A Playworker's Guide to Understanding Children's Behaviour : Working with the 8-12 Age Group</t>
  </si>
  <si>
    <t>Clifford-Poston, Andrea</t>
  </si>
  <si>
    <t>HQ778.7.G7 -- C55 2008eb</t>
  </si>
  <si>
    <t>Child care -- Great Britain. ; Play groups -- Great Britain. ; Child psychology.</t>
  </si>
  <si>
    <t>Searching to Be Found : Understanding and Helping Adopted and Looked after Children with Attention Difficulties</t>
  </si>
  <si>
    <t>Lee Comfort, Randy</t>
  </si>
  <si>
    <t>Foster children -- Care</t>
  </si>
  <si>
    <t>Murder : A Psychotherapeutic Investigation</t>
  </si>
  <si>
    <t>Doctor, Ronald</t>
  </si>
  <si>
    <t>RC569.5.H65 -- M87 2008eb</t>
  </si>
  <si>
    <t>Murderers -- Psychology. ; Murder -- Psychological aspects. ; Forensic psychiatry. ; Psychotherapy.</t>
  </si>
  <si>
    <t>Time in Practice : Analytical Perspectives on the Times of Our Lives</t>
  </si>
  <si>
    <t>Lynne Ellis, Mary</t>
  </si>
  <si>
    <t>BF468 -- .E45 2007eb</t>
  </si>
  <si>
    <t>Time -- Psychological aspects. ; Time perception.</t>
  </si>
  <si>
    <t>Psychic Assaults and Frightened Clinicians : Countertransference in Forensic Settings</t>
  </si>
  <si>
    <t>Gordon, John;Kirtchuk, Gabriel</t>
  </si>
  <si>
    <t>RA1151 -- .P79 2008eb</t>
  </si>
  <si>
    <t>Forensic psychiatry. ; Mentally ill offenders -- Treatment. ; Psychotherapy. ; Countertransference (Psychology)</t>
  </si>
  <si>
    <t>Risking Human Security : Attachment and Public Life</t>
  </si>
  <si>
    <t>Green, Marci</t>
  </si>
  <si>
    <t>BF575.A86 -- R57 2008eb</t>
  </si>
  <si>
    <t>616.8914 22</t>
  </si>
  <si>
    <t>Attachment behavior. ; Interpersonal relations. ; Security (Psychology)</t>
  </si>
  <si>
    <t>Fly Away Fear : Overcoming Your Fear of Flying</t>
  </si>
  <si>
    <t>Iljon Foreman, Elaine;Van Gerwen, Lucas</t>
  </si>
  <si>
    <t>The Self-Help Series</t>
  </si>
  <si>
    <t>RC1090 -- .F67 2008eb</t>
  </si>
  <si>
    <t>Fear of flying. ; Air travel -- Psychological aspects.</t>
  </si>
  <si>
    <t>Bion's Legacy : Bibliography of Primary and Secondary Sources of the Life, Work and Ideas of Wilfred Ruprecht Bion</t>
  </si>
  <si>
    <t>Psychoanalysis -- Bibliography</t>
  </si>
  <si>
    <t>On Having an Own Child : Reproductive Technologies and the Cultural Construction of Childhood</t>
  </si>
  <si>
    <t>Lesnik-Oberstein, Karin</t>
  </si>
  <si>
    <t>Long, Susan</t>
  </si>
  <si>
    <t>HV6768 -- .L66 2008eb</t>
  </si>
  <si>
    <t>Corporations -- Corrupt practices. ; Corporations -- Corrupt practices -- Psychological aspects. ; Business ethics. ; Deadly sins.</t>
  </si>
  <si>
    <t>Psychoanalytic Psychotherapy after Child Abuse : The Treatment of Adults and Children Who Have Experienced Sexual Abuse, Violence, and Neglect in Childhood</t>
  </si>
  <si>
    <t>McQueen, Daniel;Itzin, Catherine;Kennedy, Roger;Sinason, Valerie;Maxted, Fay</t>
  </si>
  <si>
    <t>RJ507.S49 -- P78 2008eb</t>
  </si>
  <si>
    <t>Child abuse -- Psychological aspects. ; Psychotherapy. ; Psychoanalysis.</t>
  </si>
  <si>
    <t>The Creative Feminine and Her Discontents : Psychotherapy, Art and Destruction</t>
  </si>
  <si>
    <t>Miller, Juliet</t>
  </si>
  <si>
    <t>BF411 -- .M55 2008eb</t>
  </si>
  <si>
    <t>Creative ability in women. ; Women -- Identity.</t>
  </si>
  <si>
    <t>The Psychoanalytic Work of Hansi Kennedy : From War Nurseries to the Anna Freud Centre (1940-1993)</t>
  </si>
  <si>
    <t>Miller, Jill M.;Neely, Carla</t>
  </si>
  <si>
    <t>RJ504.2 -- .P798 2008eb</t>
  </si>
  <si>
    <t>Kennedy, Hansi. ; Child analysis.</t>
  </si>
  <si>
    <t>Psychoanalytic Energy Psychotherapy : Inspired by Thought Field Therapy, EFT, TAT, and Seemorg Matrix</t>
  </si>
  <si>
    <t>Mollon, Phil</t>
  </si>
  <si>
    <t>RC480.5 -- .M65 2008eb</t>
  </si>
  <si>
    <t>Psychotherapy. ; Energy psychology.</t>
  </si>
  <si>
    <t>Evolving Lacanian Perspectives for Clinical Psychoanalysis : On Narcissism, Sexuation, and the Phases of Analysis in Contemporary Culture</t>
  </si>
  <si>
    <t>Moncayo, Raul</t>
  </si>
  <si>
    <t>BF173 -- .M66 2008eb</t>
  </si>
  <si>
    <t>Lacan, Jacques, -- 1901-1981. ; Psychoanalysis.</t>
  </si>
  <si>
    <t>Parker, Ian;Revelli, Simona</t>
  </si>
  <si>
    <t>RC500.5 -- .P79 2008eb</t>
  </si>
  <si>
    <t>Psychoanalysis -- Congresses. ; Public health laws -- Congresses. ; Psychotherapy -- Congresses. ; Psychoanalytic counseling -- Congresses.</t>
  </si>
  <si>
    <t>Passion for the Human Subject : A Psychoanalytical Approach Between Drives and Signifiers</t>
  </si>
  <si>
    <t>Penot, Bernard</t>
  </si>
  <si>
    <t>When Work Takes Control : The Psychology and Effects of Work Addiction</t>
  </si>
  <si>
    <t>Rasmussen, Pernille</t>
  </si>
  <si>
    <t>RC569.5 .W67 -- R37 2008eb</t>
  </si>
  <si>
    <t>Workaholism. ; Quality of life. ; Quality of work life. ; Work and family.</t>
  </si>
  <si>
    <t>Work Discussion : Learning from Reflective Practice in Work with Children and Families</t>
  </si>
  <si>
    <t>Bradley, Jonathan;Rustin, Margeret</t>
  </si>
  <si>
    <t>Reflective learning</t>
  </si>
  <si>
    <t>Galton, Graeme;Sachs, Adah</t>
  </si>
  <si>
    <t>RA1152.M84 -- F67 2008eb</t>
  </si>
  <si>
    <t>Multiple personality. ; Forensic psychiatry. ; Law -- Psychological aspects. ; Dissociative disorders.</t>
  </si>
  <si>
    <t>Entropy of Mind and Negative Entropy : A Cognitive and Complex Approach to Schizophrenia and Its Therapy</t>
  </si>
  <si>
    <t>Scrimali, Tullio</t>
  </si>
  <si>
    <t>RC514 -- .S338 2008eb</t>
  </si>
  <si>
    <t>Schizophrenia. ; Schizophrenia -- Treatment. ; Psychology, Pathological.</t>
  </si>
  <si>
    <t>Mentalizing in Child Therapy : Guidelines for Clinical Practitioners</t>
  </si>
  <si>
    <t>Schmeets, Marcel G. J.;Verheugt-Pleiter, Annelies J. E.;Zevalkink, Jolien</t>
  </si>
  <si>
    <t>RJ504 -- .M46 2008eb</t>
  </si>
  <si>
    <t>Child psychotherapy. ; Child psychiatry.</t>
  </si>
  <si>
    <t>Spilt Milk : Perinatal Loss and Breakdown</t>
  </si>
  <si>
    <t>Raphael-Leff, Joan</t>
  </si>
  <si>
    <t>RG560 -- .S66 2000eb</t>
  </si>
  <si>
    <t>Pregnancy -- Psychological aspects. ; Childbirth -- Psychological aspects. ; Parenthood -- Psychological aspects. ; Perinatal death -- Psychological aspects.</t>
  </si>
  <si>
    <t>Relocation, Gender and Emotion : A Psycho-Social Perspective on the Experiences of Military Wives</t>
  </si>
  <si>
    <t>Jervis, Sue</t>
  </si>
  <si>
    <t>U773 -- .J47 2011eb</t>
  </si>
  <si>
    <t>Military spouses -- Psychological aspects. ; Military spouses -- Social aspects.</t>
  </si>
  <si>
    <t>Containment in the Community : Supportive Frameworks for Thinking about Antisocial Behaviour and Mental Health</t>
  </si>
  <si>
    <t>Reiss, David;Rubitel, Alla</t>
  </si>
  <si>
    <t>The Portman Papers Series</t>
  </si>
  <si>
    <t>RC555 -- .C66 2011eb</t>
  </si>
  <si>
    <t>Antisocial personality disorders. ; Mental health.</t>
  </si>
  <si>
    <t>Bach, Sheldon</t>
  </si>
  <si>
    <t>RC480 -- .B33 2011eb</t>
  </si>
  <si>
    <t>Psychoanalysis. ; Psychotherapy.</t>
  </si>
  <si>
    <t>Mapping Psychic Reality : Triangulation, Communication, and Insight</t>
  </si>
  <si>
    <t>Rose, James</t>
  </si>
  <si>
    <t>HN29.5 -- .M37 2011eb</t>
  </si>
  <si>
    <t>Sociology -- Philosophy. ; Triangulation.</t>
  </si>
  <si>
    <t>Her Hour Come Round at Last : A Garland for Nina Coltart</t>
  </si>
  <si>
    <t>Preston, Gillian;Rudnytsky, Peter L.</t>
  </si>
  <si>
    <t>History of Psychoanalysis Series</t>
  </si>
  <si>
    <t>BF173 -- .H47 2011eb</t>
  </si>
  <si>
    <t>Psychoanalysts -- Biography. ; Psychoanalysis.</t>
  </si>
  <si>
    <t>Freud's Schreber Between Psychiatry and Psychoanalysis : On Subjective Disposition to Psychosis</t>
  </si>
  <si>
    <t>Dalzell, Thomas</t>
  </si>
  <si>
    <t>RC512 -- .D35 2011eb</t>
  </si>
  <si>
    <t>Psychoanalysis. ; Psychoses.</t>
  </si>
  <si>
    <t>The Reflective Citizen : Organizational and Social Dynamics</t>
  </si>
  <si>
    <t>J. Gould, Laurence;Lucey, Aideen;Stapley, Lionel F.</t>
  </si>
  <si>
    <t>The Reflective Citizen Series</t>
  </si>
  <si>
    <t>HM711 -- .R45 2011eb</t>
  </si>
  <si>
    <t>Social interaction. ; Organizational change.</t>
  </si>
  <si>
    <t>Ritual Abuse and Mind Control : The Manipulation of Attachment Needs</t>
  </si>
  <si>
    <t>Badouk-Epstein, Orit;Schwartz, Joseph;Schwartz, Rachel Wingfield</t>
  </si>
  <si>
    <t>BF575.A86 -- R58 2011eb</t>
  </si>
  <si>
    <t>Ritual abuse. ; Brainwashing. ; Attachment behavior.</t>
  </si>
  <si>
    <t>Systems-Centered Therapy : Clinical Practice with Individuals, Families and Groups</t>
  </si>
  <si>
    <t>M. Agazarian, Yvonne</t>
  </si>
  <si>
    <t>The Injured Self : The Psychopathology and Psychotherapy of Developmental Deviations</t>
  </si>
  <si>
    <t>R. Aleksandrowicz, Dov</t>
  </si>
  <si>
    <t>Developmental disabilities</t>
  </si>
  <si>
    <t>Playing with Dynamite : A Personal Approach to the Psychoanalytic Understanding of Perversions, Violence, and Criminality</t>
  </si>
  <si>
    <t>Welldon, Estela V.</t>
  </si>
  <si>
    <t>HV6080 -- .W45 2011eb</t>
  </si>
  <si>
    <t>Criminal psychology. ; Violence -- Psychological aspects.</t>
  </si>
  <si>
    <t>The Psychology of Aristotle, the Philosopher : A Psychoanalytic Therapist's Perspective</t>
  </si>
  <si>
    <t>Ierodiakonou, Charalambos</t>
  </si>
  <si>
    <t>Psychology -- Early works to 1850</t>
  </si>
  <si>
    <t>Coles, Prophecy</t>
  </si>
  <si>
    <t>BF723.S43 -- S487 2006eb</t>
  </si>
  <si>
    <t>Brothers and sisters. ; Brothers and sisters in literature.</t>
  </si>
  <si>
    <t>Dream Analysis : A Practical Handbook of Psychoanalysis</t>
  </si>
  <si>
    <t>Sharpe, Ella Freeman</t>
  </si>
  <si>
    <t>BF1091 -- .S53 1988eb</t>
  </si>
  <si>
    <t>Dream interpretation. ; Psychoanalysis.</t>
  </si>
  <si>
    <t>Fordham, Michael;Gordon, Rosemary;Hubback, Judith;Lambert, Kenneth</t>
  </si>
  <si>
    <t>The Library of Analytical Psychology</t>
  </si>
  <si>
    <t>BF173 -- .T43 2002eb</t>
  </si>
  <si>
    <t>Children's Phantasies : The Shaping of Relationships</t>
  </si>
  <si>
    <t>Weininger, Otto;Segal, Hanna</t>
  </si>
  <si>
    <t>RJ504.2.W4</t>
  </si>
  <si>
    <t>Child analysis. ; Fantasy in children. ; Psychoanalysis.</t>
  </si>
  <si>
    <t>Do I Dare Disturb the Universe? : A Memorial to W. R. Bion</t>
  </si>
  <si>
    <t>Maresfield Library</t>
  </si>
  <si>
    <t>BF173 -- .G76 2003eb</t>
  </si>
  <si>
    <t>Bion, W. R. ; Psychoanalysis.</t>
  </si>
  <si>
    <t>R. Bion, Wilfred</t>
  </si>
  <si>
    <t>All My Sins Remembered : Another Part of a Life and the Other Side of Genius: Family Letters</t>
  </si>
  <si>
    <t>RC438.6.B54 -- B56 1991eb</t>
  </si>
  <si>
    <t>The Earliest Relationship : Parents, Infants and the Drama of Early Attachment</t>
  </si>
  <si>
    <t>Brazelton, T. Berry;Cramer, Bertrand G.</t>
  </si>
  <si>
    <t>BF720.P37B</t>
  </si>
  <si>
    <t>Boundary and Space : An Introduction to the Work of D. W. Winnicott</t>
  </si>
  <si>
    <t>Davis, Madeleine;Wallbridge, David</t>
  </si>
  <si>
    <t>BF721 -- .D325 1991eb</t>
  </si>
  <si>
    <t>Winnicott, D. W. -- (Donald Woods), -- 1896-1971. ; Child psychology. ; Child psychopathology.</t>
  </si>
  <si>
    <t>Hidden Conversations : An Introduction to Communicative Psychoanalysis</t>
  </si>
  <si>
    <t>Smith, David Livingstone</t>
  </si>
  <si>
    <t>RC506 -- .S595 2004eb</t>
  </si>
  <si>
    <t>Extending Horizons : Psychoanalytic Psychotherapy with Children, Adolescents and Families</t>
  </si>
  <si>
    <t>Miller, Sheila;Szur, Rolene</t>
  </si>
  <si>
    <t>RC488.5 -- .E98 1991eb</t>
  </si>
  <si>
    <t>Mother, Madonna, Whore : The Idealization and Denigration of Motherhood</t>
  </si>
  <si>
    <t>RC556.W45</t>
  </si>
  <si>
    <t>Smith, Gerrilyn;Glaser, Danya</t>
  </si>
  <si>
    <t>HV713 -- .S65 1993eb</t>
  </si>
  <si>
    <t>Cecchin, Gianfranco;Lane, Gerry;Ray, Wendel A.</t>
  </si>
  <si>
    <t>RC480 -- .C43 1994eb</t>
  </si>
  <si>
    <t>Psychotherapy. ; Cybernetics.</t>
  </si>
  <si>
    <t>Ferenczi, Sandor;Jones, Ernest</t>
  </si>
  <si>
    <t>RC509 -- .F47 1994eb</t>
  </si>
  <si>
    <t>Sex and Gender : The Development of Masculinity and Femininity</t>
  </si>
  <si>
    <t>RC560.G45 -- S76 1984eb</t>
  </si>
  <si>
    <t>Sex change. ; Transvestism.</t>
  </si>
  <si>
    <t>BF175.4.R4</t>
  </si>
  <si>
    <t>Psychoanalysis and religion. ; Psychology, Religious.</t>
  </si>
  <si>
    <t>M. Agazarian, Yvonne;Peters, Richard</t>
  </si>
  <si>
    <t>MARE</t>
  </si>
  <si>
    <t>RC488 -- .A33 2004eb</t>
  </si>
  <si>
    <t>Group psychotherapy. ; Group psychoanalysis. ; Small groups.</t>
  </si>
  <si>
    <t>Laufer, Moses</t>
  </si>
  <si>
    <t>PRACTICE OF PSYCHOTHERAPY</t>
  </si>
  <si>
    <t>HV6546 -- .S85 1995eb</t>
  </si>
  <si>
    <t>Tustin, Frances;Hamilton, Victoria</t>
  </si>
  <si>
    <t>RC553.A88 -- T87 1995eb</t>
  </si>
  <si>
    <t>618.9/28/982</t>
  </si>
  <si>
    <t>Autism. ; Psychoses in children.</t>
  </si>
  <si>
    <t>Flaskas, Carmel;Perlesz, Amaryll</t>
  </si>
  <si>
    <t>RC488.5 -- .T455 1996eb</t>
  </si>
  <si>
    <t>BF173 -- .G74 1997eb</t>
  </si>
  <si>
    <t>Reason and Passion : A Celebration of the Work of Hanna Segal</t>
  </si>
  <si>
    <t>Bell, David</t>
  </si>
  <si>
    <t>Segal, Hanna</t>
  </si>
  <si>
    <t>Interacting Stories : Narratives, Family Beliefs and Therapy</t>
  </si>
  <si>
    <t>Adolescence and Psychoanalysis : The Story and the History</t>
  </si>
  <si>
    <t>Ladame, François;Perret-Catipovic, Maja;Slotkin, Philip;Slotkin, Philip</t>
  </si>
  <si>
    <t>BF724 -- .A25613 1998eb</t>
  </si>
  <si>
    <t>Adolescent psychology. ; Adolescent analysis.</t>
  </si>
  <si>
    <t>Sinason, Valerie;Sinason, Valerie</t>
  </si>
  <si>
    <t>RC455.2.F3</t>
  </si>
  <si>
    <t>616.85/822390651</t>
  </si>
  <si>
    <t>Introduction to Group-Analytic Psychotherapy : Studies in the Social Integration of Individuals and Groups</t>
  </si>
  <si>
    <t>Foulkes, S. H.</t>
  </si>
  <si>
    <t>RC488 -- .F68 1983eb</t>
  </si>
  <si>
    <t>Second Thoughts : Selected Papers on Psychoanalysis</t>
  </si>
  <si>
    <t>BF173 -- .B56 1984eb</t>
  </si>
  <si>
    <t>LB1060 -- .B56 1984eb</t>
  </si>
  <si>
    <t>Learning, Psychology of. ; Psychoanalysis.</t>
  </si>
  <si>
    <t>Sexual Excitement : Dynamics of Erotic Life</t>
  </si>
  <si>
    <t>BF692 -- .S76 1986eb</t>
  </si>
  <si>
    <t>Sexual excitement. ; Sexual fantasies. ; Hostility (Psychology) ; Women -- Sexual behavior -- Case studies. ; Psychoanalysis -- Case studies.</t>
  </si>
  <si>
    <t>Jones, Ernest</t>
  </si>
  <si>
    <t>BF173 -- .J6 1977eb</t>
  </si>
  <si>
    <t>Psychoanalysis. ; Psychology, Pathological. ; Educational psychology.</t>
  </si>
  <si>
    <t>Exploring Individual and Organizational Boundaries : A Tavistock Open Systems Approach</t>
  </si>
  <si>
    <t>Lawrence, W. Gordon;Sher, Mannie</t>
  </si>
  <si>
    <t>HM134 -- .E97 1999eb</t>
  </si>
  <si>
    <t>Group relations training. ; Small groups. ; Organizational behavior.</t>
  </si>
  <si>
    <t>The Unconscious As Infinite Sets : An Essay in Bi-Logic</t>
  </si>
  <si>
    <t>Matte Blanco, Ignacio;Rayner, Eric</t>
  </si>
  <si>
    <t>BF315 -- .M35 1998eb</t>
  </si>
  <si>
    <t>Subconsciousness. ; Psychology.</t>
  </si>
  <si>
    <t>The Long Week-End 1897-1919 : Part of a Life</t>
  </si>
  <si>
    <t>D640 -- .B57135 1991eb</t>
  </si>
  <si>
    <t>Bion, Wilfred R. -- (Wilfred Ruprecht), -- 1897-1979. ; Great Britain. -- Army. -- Royal Tank Corps -- Biography. ; World War, 1914-1918 -- Campaigns -- France. ; World War, 1914-1918 -- Personal narratives, British. ; Soldiers -- Great Britain -- Biography. ; France -- History -- German occupation, 1914-1918.</t>
  </si>
  <si>
    <t>Explorations into the Self</t>
  </si>
  <si>
    <t>Fordham, Michael</t>
  </si>
  <si>
    <t>BF697 -- .F759 2002eb</t>
  </si>
  <si>
    <t>Self. ; Psychology.</t>
  </si>
  <si>
    <t>Tustin, Frances</t>
  </si>
  <si>
    <t>RC553.A88 -- T87 1986eb</t>
  </si>
  <si>
    <t>Ferenczi, Sandor;Suttie, Jane Isabel;Rickman, John</t>
  </si>
  <si>
    <t>RC509 -- .F46 2002eb</t>
  </si>
  <si>
    <t>Analytical Psychology : A Modern Science</t>
  </si>
  <si>
    <t>BF173.J85 -- A62 1994eb</t>
  </si>
  <si>
    <t>616.8/917/08</t>
  </si>
  <si>
    <t>Jung, C. G. -- (Carl Gustav), -- 1875-1961. ; Psychoanalysis. ; Psychology.</t>
  </si>
  <si>
    <t>Analysis, Repair and Individuation</t>
  </si>
  <si>
    <t>Lambert, Kenneth</t>
  </si>
  <si>
    <t>RC506 -- .L33 1994eb</t>
  </si>
  <si>
    <t>Individuation (Psychology)</t>
  </si>
  <si>
    <t>Redfearn, Joseph</t>
  </si>
  <si>
    <t>BF697 -- .R393 1994eb</t>
  </si>
  <si>
    <t>The Motherhood Constellation : A Unified View of Parent-Infant Psychotherapy</t>
  </si>
  <si>
    <t>Stern, Daniel N.</t>
  </si>
  <si>
    <t>RJ502.5.S7</t>
  </si>
  <si>
    <t>Parent-infant psychotherapy. ; Mother and infant. ; Motherhood -- Psychological aspects.</t>
  </si>
  <si>
    <t>Multiple Voices : Narrative in Systemic Family Psychotherapy</t>
  </si>
  <si>
    <t>Byng-Hall, John;Papadopoulos, Renos K.</t>
  </si>
  <si>
    <t>Dubinsky, Alex;Dubinsky, Helene;Rhode, Maria;Rustin, Margaret</t>
  </si>
  <si>
    <t>RJ506.P69 -- P795 2002eb</t>
  </si>
  <si>
    <t>Psychoses in children. ; Psychoses in adolescence. ; Developmental disabilities. ; Child psychotherapy.</t>
  </si>
  <si>
    <t>Freud's Models of the Mind : An Introduction</t>
  </si>
  <si>
    <t>Dare, Christopher;Dreher, Anna Ursula;Holder, Alex;Sandler, Joseph;Wallerstein, Robert S.</t>
  </si>
  <si>
    <t>The Psychoanalytic Monograph Series</t>
  </si>
  <si>
    <t>BF173 -- .F7456 1997eb</t>
  </si>
  <si>
    <t>Anastasopoulos, Dimitris;Martindale, Brian V.;Sandler, Anne-Marie;Tsiantis, John</t>
  </si>
  <si>
    <t>RJ505.C68 -- C67 1996eb</t>
  </si>
  <si>
    <t>Countertransference (Psychology) ; Child psychotherapy. ; Adolescent psychotherapy.</t>
  </si>
  <si>
    <t>Internal Landscapes and Foreign Bodies : Eating Disorders and Other Pathologies</t>
  </si>
  <si>
    <t>Williams, Gianna</t>
  </si>
  <si>
    <t>RC455.4.O23 -- P65 2002eb</t>
  </si>
  <si>
    <t>Sandler, Anne-Marie;Sandler, Joseph</t>
  </si>
  <si>
    <t>KARNAC</t>
  </si>
  <si>
    <t>BF175.5.O24 -- S26 1998eb</t>
  </si>
  <si>
    <t>Object relations (Psychoanalysis) ; Motivation (Psychology)</t>
  </si>
  <si>
    <t>Borgogno, Franco.;Merciai, Silvio A.;Talamo, Parthenope Bion</t>
  </si>
  <si>
    <t>Bion, Wilfred R. -- (Wilfred Ruprecht), -- 1897-1979 -- Congresses</t>
  </si>
  <si>
    <t>Child-Focused Practice : A Collaborative Systemic Approach</t>
  </si>
  <si>
    <t>Wilson, Jim</t>
  </si>
  <si>
    <t>RJ504 -- .W55 1998eb</t>
  </si>
  <si>
    <t>Phantasy in Everyday Life : A Psychoanalytic Approach to Understanding Ourselves</t>
  </si>
  <si>
    <t>BF175.5.F3</t>
  </si>
  <si>
    <t>Psychoanalysis. ; Fantasy. ; Self-perception.</t>
  </si>
  <si>
    <t>Fielding, John;Newman, Alexander;Rapp, Miriam;Squiggle Foundation;By (author) Squiggle Foundation</t>
  </si>
  <si>
    <t>The Winnicott Studies Monograph Series</t>
  </si>
  <si>
    <t>RC480 -- .W566 1991eb</t>
  </si>
  <si>
    <t>Psychotherapy with Couples : Theory and Practice at the Tavistock Institute of Marital Studies</t>
  </si>
  <si>
    <t>Ruszczynski, Stanley</t>
  </si>
  <si>
    <t>TIMS</t>
  </si>
  <si>
    <t>Spurling, Laurence;Squiggle Foundation, Squiggle;By (author) Squiggle Foundation</t>
  </si>
  <si>
    <t>RC480 -- .W568 1993eb</t>
  </si>
  <si>
    <t>Narcissism : A New Theory</t>
  </si>
  <si>
    <t>RC553.N36S</t>
  </si>
  <si>
    <t>Narcissism. ; Psychiatry.</t>
  </si>
  <si>
    <t>Learning for Leadership : Interpersonal and Intergroup Relations</t>
  </si>
  <si>
    <t>Rice, A. K.</t>
  </si>
  <si>
    <t>BF637.L4 -- R53 1999eb</t>
  </si>
  <si>
    <t>Leadership. ; Interpersonal relations.</t>
  </si>
  <si>
    <t>RC339.52.K43 -- S43 2002eb</t>
  </si>
  <si>
    <t>618.92/8917/0924</t>
  </si>
  <si>
    <t>Tustin, Frances.</t>
  </si>
  <si>
    <t>Autism. ; Child psychiatry.</t>
  </si>
  <si>
    <t>Object Relations and Social Relations : The Implications of the Relational Turn in Psychoanalysis</t>
  </si>
  <si>
    <t>Clarke, Simon;Hahn, Herbert;Hoggett, Paul</t>
  </si>
  <si>
    <t>BF175.5.O24 -- O25 2008eb</t>
  </si>
  <si>
    <t>Object relations (Psychoanalysis) ; Interpersonal relations. ; Psychoanalysis.</t>
  </si>
  <si>
    <t>Coaching People with Asperger's Syndrome : Family Coaching</t>
  </si>
  <si>
    <t>Goodyear, Bill</t>
  </si>
  <si>
    <t>RC553.A88 -- G66 2008eb</t>
  </si>
  <si>
    <t>Asperger's syndrome -- Popular works. ; Asperger's syndrome -- Patients -- Family relationships.</t>
  </si>
  <si>
    <t>The Janus Face of Prenatal Diagnostics : A European Study Bridging Ethics, Psychoanalysis, and Medicine</t>
  </si>
  <si>
    <t>Engels, Eve-Marie;Leuzinger-Bohleber, Marianne;Tsiantis, John</t>
  </si>
  <si>
    <t>RG628 -- .J36 2008eb</t>
  </si>
  <si>
    <t>Prenatal diagnosis -- Moral and ethical aspects. ; Fetus -- Abnormalities -- Diagnosis. ; Genetic screening -- Moral and ethical aspects. ; Medical ethics.</t>
  </si>
  <si>
    <t>Psychotherapy Training and Practice : A Journey into the Shadow Side</t>
  </si>
  <si>
    <t>Wilkinson, Kate</t>
  </si>
  <si>
    <t>The Language of Winnicott : A Dictionary of Winnicott's Use of Words</t>
  </si>
  <si>
    <t>Abram, Jan</t>
  </si>
  <si>
    <t>RC438.6.W56 -- A27 2007eb</t>
  </si>
  <si>
    <t>Winnicott, D. W. -- (Donald Woods), -- 1896-1971. ; Psychoanalysis.</t>
  </si>
  <si>
    <t>AG,AU,BB,BD,BN,BS,BW,BZ,CM,CY,DM,FJ,GB,GD,GH,GM,GY,IN,JM,KE,KI,KN,LC,LK,LS,MU,MV,MW,MY,MZ,NA,NG,NR,NZ,PG,PK,RW,SB,SC,SG,SL,SZ,TO,TT,TV,TZ,UG,VC,VU,WS,ZA,ZM</t>
  </si>
  <si>
    <t>Signs of Autism in Infants : Recognition and Early Intervention</t>
  </si>
  <si>
    <t>Acquarone, Stella</t>
  </si>
  <si>
    <t>RJ506.A9 -- S535 2007eb</t>
  </si>
  <si>
    <t>Autism in children. ; Infants -- Mental health.</t>
  </si>
  <si>
    <t>Resilience, Suffering and Creativity : The Work of the Refugee Therapy Centre</t>
  </si>
  <si>
    <t>Alayarian, Aida</t>
  </si>
  <si>
    <t>RC451.4.R43 -- R47 2007eb</t>
  </si>
  <si>
    <t>Refugee Therapy Centre. ; Refugees -- England -- London. ; Refugees -- Psychology. ; Displacement (Psychology)</t>
  </si>
  <si>
    <t>Language, Symbolization, and Psychosis : Essays in Honour of Jacqueline Amati Mehler</t>
  </si>
  <si>
    <t>Ambrosio, Giovanna;Argentieri, Simona;Canestri, Jorge</t>
  </si>
  <si>
    <t>BF175 -- .L3535 2007eb</t>
  </si>
  <si>
    <t>Psychoanalysis. ; Native language -- Psychological aspects. ; Symbolism (Psychology)</t>
  </si>
  <si>
    <t>Innovations in the Reflecting Process : The Inspirations of Tom Andersen</t>
  </si>
  <si>
    <t>Anderson, Harlene;Jensen, Per</t>
  </si>
  <si>
    <t>RC488.5 -- I493 2007eb</t>
  </si>
  <si>
    <t>Andersen, Tom -- Influence. ; Family psychotherapy. ; Group psychotherapy.</t>
  </si>
  <si>
    <t>You Ought To! : A Psychoanalytic Study of the Superego and Conscience</t>
  </si>
  <si>
    <t>Barnett, Bernard</t>
  </si>
  <si>
    <t>The Dialogical Therapist : Dialogue in Systemic Practice</t>
  </si>
  <si>
    <t>Bertrando, Paolo</t>
  </si>
  <si>
    <t>RC488.5 -- .B487 2007eb</t>
  </si>
  <si>
    <t>Family psychotherapy. ; Group psychotherapy.</t>
  </si>
  <si>
    <t>Brown, Rebecca;Stobart, Karen</t>
  </si>
  <si>
    <t>The Society of Analytical Psychology Monograph Series</t>
  </si>
  <si>
    <t>RC489.P72 -- B767 2008eb</t>
  </si>
  <si>
    <t>Psychodynamic psychotherapy. ; Psychotherapist and patient. ; Client-centered psychotherapy.</t>
  </si>
  <si>
    <t>Psychotherapy and the Everyday Life : A Guide for the Puzzled Consumer</t>
  </si>
  <si>
    <t>Aronzon, Rami;Budick, Emily</t>
  </si>
  <si>
    <t>Consumer education</t>
  </si>
  <si>
    <t>Winnicott and the Psychoanalytic Tradition : Interpretation and Other Psychoanalytic Issues</t>
  </si>
  <si>
    <t>Caldwell, Lesley</t>
  </si>
  <si>
    <t>BF175.45 -- .W55 2007eb</t>
  </si>
  <si>
    <t>Casement, Ann</t>
  </si>
  <si>
    <t>BF175 -- .W52 2007eb</t>
  </si>
  <si>
    <t>Jung, C. G. -- (Carl Gustav), -- 1875-1961. ; Jungian psychology.</t>
  </si>
  <si>
    <t>Clifford, Vicki</t>
  </si>
  <si>
    <t>BF51 -- .C55 2008eb</t>
  </si>
  <si>
    <t>Psychology and religion. ; Psychoanalysis. ; Psychotherapy.</t>
  </si>
  <si>
    <t>Looking into Later Life : A Psychoanalytic Approach to Depression and Dementia in Old Age</t>
  </si>
  <si>
    <t>Davenhill, Rachael</t>
  </si>
  <si>
    <t>RC480.54 -- .L665 2007eb</t>
  </si>
  <si>
    <t>Psychotherapy for older people. ; Psychoanalysis. ; Dementia -- Treatment. ; Depression in old age -- Treatment.</t>
  </si>
  <si>
    <t>Eigen, Michael;Govrin, Aner</t>
  </si>
  <si>
    <t>BF109.E54 -- A5 2007eb</t>
  </si>
  <si>
    <t>Eigen, Michael -- Interviews. ; Psychoanalysts -- United States -- Interviews.</t>
  </si>
  <si>
    <t>Narcissism : A Critical Reader</t>
  </si>
  <si>
    <t>Curk, Polona;Gaitanidis, Anastasios</t>
  </si>
  <si>
    <t>BF575.N35 -- N343 2007eb</t>
  </si>
  <si>
    <t>Narcissism. ; Psychoanalysis.</t>
  </si>
  <si>
    <t>Gestalt Therapy : The Art of Contact</t>
  </si>
  <si>
    <t>Ginger, Serge</t>
  </si>
  <si>
    <t>Deconstructing the Feminine : Psychoanalysis, Gender and Theories of Complexity</t>
  </si>
  <si>
    <t>Glocer Fiorini, Leticia</t>
  </si>
  <si>
    <t>BF175.4.F45 -- F56 2008eb</t>
  </si>
  <si>
    <t>Psychoanalysis and feminism. ; Gender analysis. ; Women -- Psychology.</t>
  </si>
  <si>
    <t>Playing the Unconscious : Psychoanalytic Interviews with Children Using Winnicott's Squiggle Technique</t>
  </si>
  <si>
    <t>Gunter, Michael</t>
  </si>
  <si>
    <t>Art therapy for children. ; Art therapy for teenagers. ; Interviewing in child psychiatry. ; Interviewing in adolescent psychiatry. ; Child psychotherapy. ; Adolescent psychotherapy.</t>
  </si>
  <si>
    <t>The Stuff of Dreams : Anxiety, Fantasy, and Psychoanalysis</t>
  </si>
  <si>
    <t>Hall, Kirsty</t>
  </si>
  <si>
    <t>BF175.5.F36 -- H35 2007eb</t>
  </si>
  <si>
    <t>Fantasy. ; Anxiety. ; Psychoanalysis.</t>
  </si>
  <si>
    <t>After Winnicott : Compilation of Works Based on the Life, Writings and Ideas of D. W. Winnicott</t>
  </si>
  <si>
    <t>RC438.6.W56 -- K37 2007eb</t>
  </si>
  <si>
    <t>Winnicott, D. W. -- (Donald Woods), -- 1896-1971 -- Bibliography. ; Psychoanalysis -- Bibliography.</t>
  </si>
  <si>
    <t>Lawrence, W. Gordon</t>
  </si>
  <si>
    <t>Dreams -- Social aspects</t>
  </si>
  <si>
    <t>Couple Attachments : Theoretical and Clinical Studies</t>
  </si>
  <si>
    <t>Ludlam, Molly;Nyberg, Viveka</t>
  </si>
  <si>
    <t>RC488.5 -- .C64327 2007eb</t>
  </si>
  <si>
    <t>Couples -- Psychology -- United States. ; Couples -- Counseling of -- United States. ; Couples -- United States -- Case studies.</t>
  </si>
  <si>
    <t>Diversity, Discipline and Devotion in Psychoanalytic Psychotherapy : Clinical and Training Perspectives</t>
  </si>
  <si>
    <t>RC459 -- .D58 2007eb</t>
  </si>
  <si>
    <t>Psychotherapists -- Supervision of. ; Psychotherapists -- Training of. ; Psychotherapist and patient.</t>
  </si>
  <si>
    <t>Developmental Science and Psychoanalysis : Integration and Innovation</t>
  </si>
  <si>
    <t>Fonagy, Peter;Mayes, Linda;Target, Mary</t>
  </si>
  <si>
    <t>RJ504.2 -- .D48 2007eb</t>
  </si>
  <si>
    <t>Child analysis. ; Child psychology. ; Child psychotherapy. ; Psychoanalytic interpretation.</t>
  </si>
  <si>
    <t>Morgan, David;Ruszczynski, Stanley</t>
  </si>
  <si>
    <t>Criminal behavior</t>
  </si>
  <si>
    <t>Morley, Robert</t>
  </si>
  <si>
    <t>RC506 -- .M674 2007eb</t>
  </si>
  <si>
    <t>Psychoanalysis. ; Psychotherapy -- Case studies.</t>
  </si>
  <si>
    <t>The Strategic Dialogue : Rendering the Diagnostic Interview a Real Therapeutic Intervention</t>
  </si>
  <si>
    <t>Nardone, Giorgio;Salvini, Alessandro</t>
  </si>
  <si>
    <t>RC480.7 -- .N369 2007eb</t>
  </si>
  <si>
    <t>Interviewing in psychiatry. ; Brief psychotherapy.</t>
  </si>
  <si>
    <t>Giannotti, Emanuela;Nardone, Giorgio;Rocchi, Rita</t>
  </si>
  <si>
    <t>RJ503 -- .N36 2007eb</t>
  </si>
  <si>
    <t>Adolescent psychotherapy. ; Strategic therapy. ; Family psychotherapy.</t>
  </si>
  <si>
    <t>Oakley, Chris</t>
  </si>
  <si>
    <t>GV943.9.P7 -- O25 2007eb</t>
  </si>
  <si>
    <t>Soccer -- Psychological aspects. ; Soccer fans -- Psychology.</t>
  </si>
  <si>
    <t>Perelberg, Rosine Jozef</t>
  </si>
  <si>
    <t>On Supervision : Psychoanalytic and Jungian Analytic Perspectives</t>
  </si>
  <si>
    <t>Petts, Ann;Shapley, Bernard</t>
  </si>
  <si>
    <t>BF175.5.W65 -- O57 2007eb</t>
  </si>
  <si>
    <t>Work -- Psychological aspects. ; Psychoanalysts -- Professional ethics. ; Psychoanalysts -- Supervision of. ; Jungian psychology.</t>
  </si>
  <si>
    <t>Pozzi Monzo, Maria;Tydeman, Beverley</t>
  </si>
  <si>
    <t>Parenting -- Psychological aspects</t>
  </si>
  <si>
    <t>Symbolization : Representation and Communication</t>
  </si>
  <si>
    <t>Psychoanalytic Ideas</t>
  </si>
  <si>
    <t>BF175.5.S95 -- S97 2007eb</t>
  </si>
  <si>
    <t>Symbolism (Psychology) ; Psychoanalysis -- Philosophy.</t>
  </si>
  <si>
    <t>Politics on the Couch : Citizenship and the Internal Life</t>
  </si>
  <si>
    <t>Samuels, Andrew</t>
  </si>
  <si>
    <t>RC480.5.S2</t>
  </si>
  <si>
    <t>Working with Parents and Infants : A Mind-Body Integration Approach</t>
  </si>
  <si>
    <t>Sansone, Antonella</t>
  </si>
  <si>
    <t>Parent and child. ; Infant psychology.</t>
  </si>
  <si>
    <t>The Development of Consciousness : An Integrative Model of Child Development, Neuroscience and Psychoanalysis</t>
  </si>
  <si>
    <t>Sasso, Giampaolo;Cottam, Jennifer</t>
  </si>
  <si>
    <t>BF721 -- .S34413 2007eb</t>
  </si>
  <si>
    <t>Child psychology. ; Consciousness. ; Child analysis. ; Neurosciences.</t>
  </si>
  <si>
    <t>Solomon, Hester McFarland</t>
  </si>
  <si>
    <t>BF173 -- .S58 2007eb</t>
  </si>
  <si>
    <t>Jungian psychology. ; Self-actualization (Psychology)</t>
  </si>
  <si>
    <t>When the Body Displaces the Mind : Stress, Trauma and Somatic Disease</t>
  </si>
  <si>
    <t>Benjamin Stora, Jean</t>
  </si>
  <si>
    <t>RC455.4.S87 -- S72 2007eb</t>
  </si>
  <si>
    <t>Stress (Psychology) -- Case studies. ; Somatoform disorders -- Case studies. ; Psychic trauma -- Case studies.</t>
  </si>
  <si>
    <t>Ulnik, Jorge</t>
  </si>
  <si>
    <t>RL701 -- .U45 2008eb</t>
  </si>
  <si>
    <t>Skin -- Diseases -- Psychosomatic aspects. ; Neurocutaneous disorders. ; Psychoanalysis -- Physiological aspects.</t>
  </si>
  <si>
    <t>Feeling, Being, and the Sense of Self : A New Perspective on Identity, Affect and Narcissistic Disorders</t>
  </si>
  <si>
    <t>West, Marcus</t>
  </si>
  <si>
    <t>BF697 -- .W435 2007eb</t>
  </si>
  <si>
    <t>Self. ; Identity (Psychology) ; Affect (Psychology) ; Narcissism.</t>
  </si>
  <si>
    <t>Schwartz, Joseph;White, Kate</t>
  </si>
  <si>
    <t>BF575.A86 -- J64 2005eb</t>
  </si>
  <si>
    <t>Attachment behavior -- Congresses. ; Interpersonal relations -- Congresses. ; Sex (Psychology) -- Congresses. ; Psychotherapy -- Congresses.</t>
  </si>
  <si>
    <t>The Performance of Practice : Enhancing the Repertoire of Therapy with Children and Families</t>
  </si>
  <si>
    <t>RC488.5 -- .W577 2007eb</t>
  </si>
  <si>
    <t>Family psychotherapy. ; Child psychotherapy.</t>
  </si>
  <si>
    <t>Systems-Centered Practice : Selected Papers on Group Psychotherapy</t>
  </si>
  <si>
    <t>RC488 -- .A639 2006eb</t>
  </si>
  <si>
    <t>Group psychotherapy. ; Social systems.</t>
  </si>
  <si>
    <t>Alizade, Mariam</t>
  </si>
  <si>
    <t>Psychoanalysis and Women Series</t>
  </si>
  <si>
    <t>HQ759 -- .M87426 2006eb</t>
  </si>
  <si>
    <t>Motherhood. ; Motherhood -- Cross-cultural studies. ; Motherhood -- Social aspects. ; Motherhood -- Psychological aspects. ; Mothers -- Social conditions -- 21st century. ; Social change.</t>
  </si>
  <si>
    <t>Dual Realities : The Search for Meaning: Psychodynamic Therapy with Physically Ill People</t>
  </si>
  <si>
    <t>Archer, Ruth</t>
  </si>
  <si>
    <t>RC489.P72 -- D83 2006eb</t>
  </si>
  <si>
    <t>Intellectual Disabilities : A Systemic Approach</t>
  </si>
  <si>
    <t>Baum, Sandra;Lynggaard, Henrik</t>
  </si>
  <si>
    <t>RC488.5 -- .I517 2006eb</t>
  </si>
  <si>
    <t>Systemic therapy (Family therapy) ; People with mental disabilities.</t>
  </si>
  <si>
    <t>Bokanowski, Thierry;Alcorn, David</t>
  </si>
  <si>
    <t>BF173 -- .B63413 2006eb</t>
  </si>
  <si>
    <t>Group Relations Conferences : Reviewing and Exploring Theory, Design, Role-Taking and Application</t>
  </si>
  <si>
    <t>D. Brunner, Louisa;Nutkevitch, Avi;Sher, Mannie</t>
  </si>
  <si>
    <t>HM1086 -- .G746 2006eb</t>
  </si>
  <si>
    <t>Understanding the Self-Ego Relationship in Clinical Practice : Towards Individuation</t>
  </si>
  <si>
    <t>Clark, Margaret</t>
  </si>
  <si>
    <t>BF175.5.I53 -- C53 2006eb</t>
  </si>
  <si>
    <t>Individuation (Psychology) ; Self. ; Client-centered psychotherapy.</t>
  </si>
  <si>
    <t>Fear of Jung : The Complex Doctrine and Emotional Science</t>
  </si>
  <si>
    <t>Cope, Theo A.</t>
  </si>
  <si>
    <t>BF531 -- .E34 2007eb</t>
  </si>
  <si>
    <t>Emotions. ; Emotions -- Case studies. ; Psychotherapy.</t>
  </si>
  <si>
    <t>Difference : An Avoided Topic in Practice</t>
  </si>
  <si>
    <t>Bishop, Bernardine;Dickinson, Adrian;Foster, Angela;Klein, Josephine</t>
  </si>
  <si>
    <t>Psychotherapy -- Differential therapeutics</t>
  </si>
  <si>
    <t>Loving Psychoanalysis : Looking at Culture with Freud and Lacan</t>
  </si>
  <si>
    <t>Golan, Ruth</t>
  </si>
  <si>
    <t>Lacan, Jacques, -- 1901-1981</t>
  </si>
  <si>
    <t>The Systems Psychodynamics of Organizations : Integrating the Group Relations Approach, Psychoanalytic, and Open Systems Perspectives</t>
  </si>
  <si>
    <t>J. Gould, Laurence</t>
  </si>
  <si>
    <t>Sex, Mind, and Emotion : Innovation in Psychological Theory and Practice</t>
  </si>
  <si>
    <t>Bolton, Winifred;Hiller, Janice;Wood, Heather</t>
  </si>
  <si>
    <t>BF692 -- .S434 2006eb</t>
  </si>
  <si>
    <t>Sex (Psychology) ; Emotions. ; Cognition.</t>
  </si>
  <si>
    <t>Training and Training Standards : Psychological Therapies in Primary Care</t>
  </si>
  <si>
    <t>Hooper, Douglas;Weitz, Philippa</t>
  </si>
  <si>
    <t>RC465.8.G7 -- P78 2006eb</t>
  </si>
  <si>
    <t>Counselors -- Training of -- Great Britain. ; Psychotherapists -- Training of -- Great Britain. ; Counseling -- Great Britain. ; Primary care (Medicine) -- Great Britain.</t>
  </si>
  <si>
    <t>White, Kate</t>
  </si>
  <si>
    <t>RC455.4.A84 -- J64 2005eb</t>
  </si>
  <si>
    <t>Attachment behavior -- Congresses. ; Racism -- Congresses. ; Psychoanalysis -- Congresses.</t>
  </si>
  <si>
    <t>Horacio Etchegoyen, R.;Pitchon, Patricia</t>
  </si>
  <si>
    <t>RC501.2 -- .E85 2005eb</t>
  </si>
  <si>
    <t>Stoker, Jenny</t>
  </si>
  <si>
    <t>HQ774.5 -- .S7 2005eb</t>
  </si>
  <si>
    <t>Toddlers. ; Child rearing.</t>
  </si>
  <si>
    <t>The Vale of Soulmaking : The Post-Kleinian Model of the Mind</t>
  </si>
  <si>
    <t>PR408.P8 -- .W55 2005eb</t>
  </si>
  <si>
    <t>820.9/353</t>
  </si>
  <si>
    <t>English literature -- History and criticism. ; Psychoanalysis and literature.</t>
  </si>
  <si>
    <t>Unexpected Gains : Psychotherapy with People with Learning Disabilities</t>
  </si>
  <si>
    <t>Simpson, David;Miller, Lynda</t>
  </si>
  <si>
    <t>RC480.5 -- .U45 2004eb</t>
  </si>
  <si>
    <t>Psychotherapy. ; Child psychotherapy. ; Learning disabled. ; Learning disabled children. ; People with mental disabilities.</t>
  </si>
  <si>
    <t>BF175.5.F36 -- U53 2003eb</t>
  </si>
  <si>
    <t>Fantasy. ; Psychoanalysis.</t>
  </si>
  <si>
    <t>Childhood Psychosis : A Lacanian Perspective</t>
  </si>
  <si>
    <t>Tendlarz, Silvia Elena</t>
  </si>
  <si>
    <t>Bishop, Bernardine;Foster, Angela;Klein, Josephine;O'Connell, Victoria</t>
  </si>
  <si>
    <t>The LCP Practice in Psychotherapy Series</t>
  </si>
  <si>
    <t>RC480 -- .I44 2002eb</t>
  </si>
  <si>
    <t>RC480 -- .C44 2002eb</t>
  </si>
  <si>
    <t>Surviving Space : Papers on Infant Observation</t>
  </si>
  <si>
    <t>Briggs, Andrew</t>
  </si>
  <si>
    <t>RJ131 -- .S87 2002eb</t>
  </si>
  <si>
    <t>Infants -- Development. ; Infants -- Physiology. ; Infant psychology. ; Child psychotherapy.</t>
  </si>
  <si>
    <t>Campbell, David;Mason, Barry</t>
  </si>
  <si>
    <t>RC488.5 -- .P47 2002eb</t>
  </si>
  <si>
    <t>Seelig, Beth J.;etc.,</t>
  </si>
  <si>
    <t>HQ1206 -- .C66 2002eb</t>
  </si>
  <si>
    <t>A Pattern of Madness : Philosophical Foundations for a Theory of Madness</t>
  </si>
  <si>
    <t>RA1151 -- .S96 2002eb</t>
  </si>
  <si>
    <t>Insanity (Law) ; Narcissism. ; Mental illness.</t>
  </si>
  <si>
    <t>Barford, Duncan;Geerardyn, Filip;Vijver, Gertrudis van de</t>
  </si>
  <si>
    <t>BF173.F85 -- P74 2002eb</t>
  </si>
  <si>
    <t>Inside Lives : Psychoanalysis and the Growth of the Personality</t>
  </si>
  <si>
    <t>Waddell, Margot</t>
  </si>
  <si>
    <t>BF175.45 -- .W33 2002eb</t>
  </si>
  <si>
    <t>Psychoanalysis. ; Developmental psychology. ; Personality.</t>
  </si>
  <si>
    <t>The Undead Mother : Psychoanalytic Explorations of Masculinity, Femininity and Matricide</t>
  </si>
  <si>
    <t>Wieland, Christina</t>
  </si>
  <si>
    <t>BF175.5.F45 -- W54 2000eb</t>
  </si>
  <si>
    <t>Freud, Sigmund, -- 1856-1939. ; Femininity. ; Masculinity. ; Parricide -- Psychological aspects. ; Gender identity. ; Mother and child.</t>
  </si>
  <si>
    <t>Key Papers on Borderline Disorders : With IJP Internet Discussion Reviews</t>
  </si>
  <si>
    <t>The IJPA Key Papers Series</t>
  </si>
  <si>
    <t>RC569.5.B67 -- K49 2002eb</t>
  </si>
  <si>
    <t>Borderline personality disorder. ; Personality disorders. ; Psychoanalysis.</t>
  </si>
  <si>
    <t>Untying the Knot : Working with Children and Parents</t>
  </si>
  <si>
    <t>RJ505.P37 -- B73 2001eb</t>
  </si>
  <si>
    <t>618.9/2/89156</t>
  </si>
  <si>
    <t>Day, Lesley;Pringle, Pam</t>
  </si>
  <si>
    <t>The Cassel Hospital Monograph Series</t>
  </si>
  <si>
    <t>RC489.T67 -- R44 2001eb</t>
  </si>
  <si>
    <t>Cassel Hospital. ; Therapeutic communities -- Great Britain. ; Mental health facilities -- Great Britain.</t>
  </si>
  <si>
    <t>Pregnancy : The Inside Story</t>
  </si>
  <si>
    <t>RG560 -- .R368 2001eb</t>
  </si>
  <si>
    <t>618.2/0019</t>
  </si>
  <si>
    <t>Where Analysis Meets the Arts : The Integration of the Arts Therapies with Psychoanalytic Theory</t>
  </si>
  <si>
    <t>Searle, Yvonne;Streng, Isabelle;Sabbadini, Andrea</t>
  </si>
  <si>
    <t>RC489.A7 -- W44 2001eb</t>
  </si>
  <si>
    <t>616.8/9165</t>
  </si>
  <si>
    <t>Within Time and Beyond Time : A Festschrift for Pearl King</t>
  </si>
  <si>
    <t>Steiner, Riccardo;Johns, Jennifer;Steiner, Riccardo</t>
  </si>
  <si>
    <t>BF173 -- .W58 2001eb</t>
  </si>
  <si>
    <t>King, Pearl. ; Psychoanalysis.</t>
  </si>
  <si>
    <t>The Edge of Experience : Borderline and Psychosomatic Patients in Clinical Practice</t>
  </si>
  <si>
    <t>Rabavilas, Andreas;Vaslamatzis, Grigoris;Rabavilas, Andreas</t>
  </si>
  <si>
    <t>RC467 -- .E34 2001eb</t>
  </si>
  <si>
    <t>U. Dreher, Anna</t>
  </si>
  <si>
    <t>RC504 -- .D74 2000eb</t>
  </si>
  <si>
    <t>The Chains of Eros : The Sexual in Psychoanalysis</t>
  </si>
  <si>
    <t>Clinical Studies in Neuro-Psychoanalysis : Introduction to a Depth Neuropsychology</t>
  </si>
  <si>
    <t>Kaplan-Solms, Karen;Solms, Mark</t>
  </si>
  <si>
    <t>RC341.K293</t>
  </si>
  <si>
    <t>Pally, Regina</t>
  </si>
  <si>
    <t>BF175.45 P</t>
  </si>
  <si>
    <t>BF175.5.D74 -- D74 2006eb</t>
  </si>
  <si>
    <t>Dreams -- Psychological aspects. ; Thought and thinking.</t>
  </si>
  <si>
    <t>Clinical and Observational Psychoanalytic Research : Roots of a Controversy - Andre Green and Daniel Stern</t>
  </si>
  <si>
    <t>Davies, Rosemary;Sandler, Anne-Marie;Sandler, Joseph</t>
  </si>
  <si>
    <t>RC500.5 -- .C56 2000eb</t>
  </si>
  <si>
    <t>Child analysis -- Research -- Methodology -- Congresses. ; Psychoanalysis -- Research -- Methodology -- Congresses.</t>
  </si>
  <si>
    <t>Mental Slavery : Psychoanalytic Studies of Caribbean People</t>
  </si>
  <si>
    <t>Smith, Barbara Fletchman</t>
  </si>
  <si>
    <t>BF175.4.C84 -- S65 2003eb</t>
  </si>
  <si>
    <t>616.89/009729</t>
  </si>
  <si>
    <t>Tradition, Change, Creativity : Repercussions of the New Diaspora on Aspects of British Psychoanalysis</t>
  </si>
  <si>
    <t>BF173 -- .S74 2000eb</t>
  </si>
  <si>
    <t>Symington, Joan;Symington, Joan</t>
  </si>
  <si>
    <t>BF173 -- .I47 2000eb</t>
  </si>
  <si>
    <t>Klein, Hyam Sydney. ; Psychoanalysis. ; Pain.</t>
  </si>
  <si>
    <t>W. R. Bion : Between Past and Future</t>
  </si>
  <si>
    <t>Borgogno, Franco;Merciai, Silvio A.;Talamo, Parthenope Bion;Grinberg, Leon</t>
  </si>
  <si>
    <t>RC438.6.B54 -- W3 2000eb</t>
  </si>
  <si>
    <t>Bion, Wilfred R. -- (Wilfred Ruprecht), -- 1897-1979 -- Congresses. ; Psychoanalysis -- Congresses.</t>
  </si>
  <si>
    <t>Work with Parents : Psychoanalytic Psychotherapy with Children and Adolescents</t>
  </si>
  <si>
    <t>Boethious, Siv Boalt;Hallerfors, Birgit;Horne, Ann;Tsiantis, John</t>
  </si>
  <si>
    <t>Wise, Inge</t>
  </si>
  <si>
    <t>BF724 -- .A365 2004eb</t>
  </si>
  <si>
    <t>Adolescent psychology. ; Personality development.</t>
  </si>
  <si>
    <t>Psychoanalysis and Culture : A Kleinian Perspective</t>
  </si>
  <si>
    <t>Bell, David;Waddell, Margot</t>
  </si>
  <si>
    <t>BF175.4.C84 -- P786 2004eb</t>
  </si>
  <si>
    <t>No Lost Certainties to Be Recovered : Sexuality, Creativity, Knowledge</t>
  </si>
  <si>
    <t>Kohon, Gregorio;Forrester, John</t>
  </si>
  <si>
    <t>RC509 -- .K64 1999eb</t>
  </si>
  <si>
    <t>Psychiatry. ; Psychoanalysis.</t>
  </si>
  <si>
    <t>Approaching Psychoanalysis : An Introductory Course</t>
  </si>
  <si>
    <t>Stein, Ruth;Sandler, Joseph</t>
  </si>
  <si>
    <t>RC455.4.E46 -- S74 1999eb</t>
  </si>
  <si>
    <t>Affect (Psychology) ; Psychoanalysis.</t>
  </si>
  <si>
    <t>Beyond Belief : Psychotherapy and Religion</t>
  </si>
  <si>
    <t>Stein, Samuel M.</t>
  </si>
  <si>
    <t>RC480 -- .B49 1999eb</t>
  </si>
  <si>
    <t>Talking Cure : Mind and Method of the Tavistock Clinic</t>
  </si>
  <si>
    <t>Taylor, David</t>
  </si>
  <si>
    <t>RA790.7.G7 -- T35 1999eb</t>
  </si>
  <si>
    <t>Social Science; Psychology; Health</t>
  </si>
  <si>
    <t>RC512 -- .P79 1999eb</t>
  </si>
  <si>
    <t>Psychoses. ; Psychology, Pathological.</t>
  </si>
  <si>
    <t>Alfille, Helen;Cooper, Judy;Tonnesmann, Margret;Tonnesmann, Margret</t>
  </si>
  <si>
    <t>RC504 -- .A84 2005eb</t>
  </si>
  <si>
    <t>Psychoanalysis. ; Mental illness -- Diagnosis.</t>
  </si>
  <si>
    <t>Holmes, Jeremy;Lindley, Richard;Hinshelwood, R. D.</t>
  </si>
  <si>
    <t>RC480.5 -- .H617 1998eb</t>
  </si>
  <si>
    <t>Psychotherapy. ; Psychotherapy -- Moral and ethical aspects.</t>
  </si>
  <si>
    <t>The Large Group : Dynamics and Therapy</t>
  </si>
  <si>
    <t>Kreeger, Lionel</t>
  </si>
  <si>
    <t>RC488 -- .L37 1994eb</t>
  </si>
  <si>
    <t>Group psychotherapy. ; Social groups -- Psychological aspects.</t>
  </si>
  <si>
    <t>RC504 -- .B56 1984eb</t>
  </si>
  <si>
    <t>Psychoanalysis. ; Psychotherapy. ; Personality.</t>
  </si>
  <si>
    <t>RC510 -- .F68 1984eb</t>
  </si>
  <si>
    <t>Marital Conflict and Children : An Emotional Security Perspective</t>
  </si>
  <si>
    <t>Cummings, E. Mark;Davies, Patrick T.</t>
  </si>
  <si>
    <t>HQ772.5</t>
  </si>
  <si>
    <t>Problem children</t>
  </si>
  <si>
    <t>Goldstein, Sam;Reynolds, Cecil R.</t>
  </si>
  <si>
    <t>RC570 -- .H346 2005eb</t>
  </si>
  <si>
    <t>618.92/8588042</t>
  </si>
  <si>
    <t>Developmental disabilities -- Handbooks, manuals, etc. ; Genetic disorders -- Handbooks, manuals, etc. ; Developmental disabilities -- Genetic aspects -- Handbooks, manuals, etc. ; Neuropsychology -- Handbooks, manuals, etc.</t>
  </si>
  <si>
    <t>Overcoming Anger in Your Relationship : How to Break the Cycle of Arguments, Put-Downs, and Stony Silences</t>
  </si>
  <si>
    <t>Nay, W. Robert</t>
  </si>
  <si>
    <t>152.4/7</t>
  </si>
  <si>
    <t>Anger. ; Interpersonal conflict. ; Interpersonal relations. ; Couples -- Psychology.</t>
  </si>
  <si>
    <t>White, Susan Williams</t>
  </si>
  <si>
    <t>HQ783 -- .W515 2011eb</t>
  </si>
  <si>
    <t>649/.68</t>
  </si>
  <si>
    <t>Social skills -- Study and teaching. ; Asperger's syndrome. ; Autism in children.</t>
  </si>
  <si>
    <t>Asian American and Pacific Islander Children and Mental Health [2 Volumes] : [2 Volumes]</t>
  </si>
  <si>
    <t>Leong, Frederick T.;Juang, Linda;Qin, Desiree B.;Fitzgerald, Hiram E.</t>
  </si>
  <si>
    <t>Child Psychology and Mental Health Series</t>
  </si>
  <si>
    <t>RC451.5.A75A828 2011</t>
  </si>
  <si>
    <t>362.196/8908995073</t>
  </si>
  <si>
    <t>Asian Americans--Mental health. ; Asian Americans--Psychology. ; Asian Americans--Social conditions. ; Pacific Islander Americans--Mental health. ; Pacific Islander Americans--Psychology. ; Pacific Islander Americans--Social conditions.</t>
  </si>
  <si>
    <t>Raskin, Sarah A.</t>
  </si>
  <si>
    <t>QP363.3 -- .N485 2011eb</t>
  </si>
  <si>
    <t>Neuroplasticity. ; Brain -- Wounds and injuries -- Patients -- Rehabilitation.</t>
  </si>
  <si>
    <t>Sing Not War : The Lives of Union and Confederate Veterans in Gilded Age America</t>
  </si>
  <si>
    <t>Marten, James</t>
  </si>
  <si>
    <t>Civil War America</t>
  </si>
  <si>
    <t>E491 -- .M14 2011eb</t>
  </si>
  <si>
    <t>973.7/1</t>
  </si>
  <si>
    <t>Adaptability (Psychology) ; Adjustment (Psychology) ; United States -- History -- Civil War, 1861-1865 -- Veterans. ; United States -- History -- Civil War, 1861-1865 -- Social aspects.</t>
  </si>
  <si>
    <t>Rethinking School Bullying : Towards an Integrated Model</t>
  </si>
  <si>
    <t>Dixon, Roz;Smith, Peter K.</t>
  </si>
  <si>
    <t>LB3013.3 .D59 2011</t>
  </si>
  <si>
    <t>Bullying -- Prevention. ; Bullying in schools. ; School children -- Conduct of life. ; School violence.</t>
  </si>
  <si>
    <t>Cambridge-Hitachi</t>
  </si>
  <si>
    <t>van de Vijver, Fons J. R.;Chasiotis, Athanasios;Breugelmans, Seger M.</t>
  </si>
  <si>
    <t>GN502 .F86 2011</t>
  </si>
  <si>
    <t>Miller, Ronald</t>
  </si>
  <si>
    <t>BF109.V95 M55 2011</t>
  </si>
  <si>
    <t>Vygotskii, L. S. -- (Lev Semenovich), -- 1896-1934. ; Psychologists -- Soviet Union. ; Psychology -- Soviet Union -- History.</t>
  </si>
  <si>
    <t>Justice and Self-Interest : Two Fundamental Motives</t>
  </si>
  <si>
    <t>Lerner, Melvin J.;Clayton, Susan</t>
  </si>
  <si>
    <t>HM671 .L47 2011</t>
  </si>
  <si>
    <t>303.3/72</t>
  </si>
  <si>
    <t>Social justice. ; Justice. ; Self-interest.</t>
  </si>
  <si>
    <t>Social Influence Network Theory : A Sociological Examination of Small Group Dynamics</t>
  </si>
  <si>
    <t>Friedkin, Noah E.;Johnsen, Eugene C.</t>
  </si>
  <si>
    <t>Structural Analysis in the Social Sciences Series</t>
  </si>
  <si>
    <t>HM736 .F75 2011</t>
  </si>
  <si>
    <t>Small groups -- Research. ; Social influence. ; Social psychology.</t>
  </si>
  <si>
    <t>Fitting in, Standing Out : Navigating the Social Challenges of High School to Get an Education</t>
  </si>
  <si>
    <t>Crosnoe, Robert</t>
  </si>
  <si>
    <t>HQ796 .C87 2011</t>
  </si>
  <si>
    <t>305.2350973/090511</t>
  </si>
  <si>
    <t>High school student orientation. ; Teenagers -- Life skills guides. ; Teenagers -- Education. ; Adolescence. ; Social influence. ; High school students -- Social life and customs -- 21st century.</t>
  </si>
  <si>
    <t>Ben Behind His Voices : One Family's Journey from the Chaos of Schizophrenia to Hope</t>
  </si>
  <si>
    <t>Kaye, Randye</t>
  </si>
  <si>
    <t>RC514.K334 2011</t>
  </si>
  <si>
    <t>616.89/80092 B</t>
  </si>
  <si>
    <t>Kaye, Benjamin, 1982--Mental health. ; Kaye, Randye. ; Paranoid schizophrenics--New York (State)--New York--Biography. ; Paranoid schizophrenics--Rehabilitation--New York (State)--New York.</t>
  </si>
  <si>
    <t>Play, Creativity, and Social Movements : If I Can't Dance, It's Not My Revolution</t>
  </si>
  <si>
    <t>Shepard, Benjamin</t>
  </si>
  <si>
    <t>HM881 -- .S532 2011eb</t>
  </si>
  <si>
    <t>303.48/409</t>
  </si>
  <si>
    <t>Social movements. ; Play -- Social aspects. ; Play -- Psychological aspects.</t>
  </si>
  <si>
    <t>Black Fathers : An Invisible Presence in America, Second Edition</t>
  </si>
  <si>
    <t>Connor, Michael E.;White, Joseph</t>
  </si>
  <si>
    <t>E185.86 -- .B53 2011eb</t>
  </si>
  <si>
    <t>Forgas, Joseph P.;Kruglanski, Arie W.;Williams, Kipling D.</t>
  </si>
  <si>
    <t>HM1121 -- .P79 2011eb</t>
  </si>
  <si>
    <t>Social conflict -- Psychological aspects. ; Aggressiveness.</t>
  </si>
  <si>
    <t>Lacanian Psychotherapy : Theory and Practical Applications</t>
  </si>
  <si>
    <t>Miller, Michael J.</t>
  </si>
  <si>
    <t>RC506 -- .M525 2011eb</t>
  </si>
  <si>
    <t>Explaining Individual Differences in Reading : Theory and Evidence</t>
  </si>
  <si>
    <t>Brady, Susan A.;Braze, David;Fowler, Carol A.</t>
  </si>
  <si>
    <t>New Directions in Communication Disorders Research Series</t>
  </si>
  <si>
    <t>LB1050.5 -- .E97 2011eb</t>
  </si>
  <si>
    <t>Reading disability. ; Reading -- Physiological aspects. ; Phonetics.</t>
  </si>
  <si>
    <t>Restoration Therapy : Understanding and Guiding Healing in Marriage and Family Therapy</t>
  </si>
  <si>
    <t>Hargrave, Terry D.;Pfitzer, Franz</t>
  </si>
  <si>
    <t>RC488.5 -- .H357 2011eb</t>
  </si>
  <si>
    <t>The Emotionally Focused Casebook : New Directions in Treating Couples</t>
  </si>
  <si>
    <t>Furrow, James L.;Johnson, Susan M.;Bradley, Brent A.</t>
  </si>
  <si>
    <t>RC488.5 -- .E475 2011eb</t>
  </si>
  <si>
    <t>Couples therapy -- Case studies. ; Emotion-focused therapy -- Case studies.</t>
  </si>
  <si>
    <t>Social Cognition, Social Identity, and Intergroup Relations : A Festschrift in Honor of Marilynn B. Brewer</t>
  </si>
  <si>
    <t>Kramer, Roderick M.;Leonardelli, Geoffrey J.;Livingston, Robert W.;Livingston, Robert W</t>
  </si>
  <si>
    <t>Psychology Press Festschrift Series</t>
  </si>
  <si>
    <t>HM1041 -- .S626 2011eb</t>
  </si>
  <si>
    <t>Social perception. ; Group identity. ; Intergroup relations. ; Social psychology.</t>
  </si>
  <si>
    <t>The Art of Art Therapy : What Every Art Therapist Needs to Know</t>
  </si>
  <si>
    <t>RC489.A7 -- R83 2011eb</t>
  </si>
  <si>
    <t>Powell, Douglas H.</t>
  </si>
  <si>
    <t>BF724.85.C64 -- P677 2011eb</t>
  </si>
  <si>
    <t>Cognition in old age. ; Cognition -- Age factors. ; Aging. ; Quality of life.</t>
  </si>
  <si>
    <t>Grief and Bereavement in Contemporary Society : Bridging Research and Practice</t>
  </si>
  <si>
    <t>Neimeyer, Robert A.;Harris, Darcy L.;Winokuer, Howard R.;Thornton, Gordon F.</t>
  </si>
  <si>
    <t>BF575.G7 -- G724 2011eb</t>
  </si>
  <si>
    <t>The Suffering Stranger : Hermeneutics for Everyday Clinical Practice</t>
  </si>
  <si>
    <t>Orange, Donna M.</t>
  </si>
  <si>
    <t>BF175.4.P45 -- O753 2011eb</t>
  </si>
  <si>
    <t>Statistical Power Analysis with Missing Data : A Structural Equation Modeling Approach</t>
  </si>
  <si>
    <t>Davey, Adam;Savla, Jyoti "Tina"</t>
  </si>
  <si>
    <t>HA29 -- .D277 2010eb</t>
  </si>
  <si>
    <t>Dying to Be Men : Psychosocial, Environmental, and Biobehavioral Directions in Promoting the Health of Men and Boys</t>
  </si>
  <si>
    <t>Courtenay, Will;Courtenay, Will H</t>
  </si>
  <si>
    <t>RA564.83 -- .C68 2011eb</t>
  </si>
  <si>
    <t>Men -- Health and hygiene. ; Health behavior.</t>
  </si>
  <si>
    <t>Therapeutic Feedback with the MMPI-2 : A Positive Psychology Approach</t>
  </si>
  <si>
    <t>Levak, Richard W.;Siegel, Liza;Nichols, David S.;Stolberg, Ron</t>
  </si>
  <si>
    <t>RC473.M5 -- L494 2011eb</t>
  </si>
  <si>
    <t>Understanding the Behavioral Healthcare Crisis : The Promise of Integrated Care and Diagnostic Reform</t>
  </si>
  <si>
    <t>Cummings, Nicholas A.;O'Donohue, William T.</t>
  </si>
  <si>
    <t>RA790.6 -- .U53 2011eb</t>
  </si>
  <si>
    <t>Early Development and Leadership : Building the Next Generation of Leaders</t>
  </si>
  <si>
    <t>Murphy, Susan E.;Reichard, Rebecca</t>
  </si>
  <si>
    <t>Leadership in children. ; Leadership -- Study and teaching.</t>
  </si>
  <si>
    <t>With Culture in Mind : Psychoanalytic Stories</t>
  </si>
  <si>
    <t>Dimen, Muriel</t>
  </si>
  <si>
    <t>HM1111 -- .W58 2011eb</t>
  </si>
  <si>
    <t>Millsap, Roger E.</t>
  </si>
  <si>
    <t>BF39 -- .M554 2011eb</t>
  </si>
  <si>
    <t>Lives Transformed : A Revolutionary Method of Dynamic Psychotherapy</t>
  </si>
  <si>
    <t>Della Selva, Patricia C.;Malan, David</t>
  </si>
  <si>
    <t>Morel, Genevieve</t>
  </si>
  <si>
    <t>BF692 -- .M67 2011eb</t>
  </si>
  <si>
    <t>Sex (Psychology) ; Psychoses.</t>
  </si>
  <si>
    <t>Inside Man : The Discipline of Modeling Human Ways of Being</t>
  </si>
  <si>
    <t>Stanford Business Books</t>
  </si>
  <si>
    <t>Moldoveanu, Mihnea</t>
  </si>
  <si>
    <t>BF39</t>
  </si>
  <si>
    <t>Human behavior models. ; Thought and thinking. ; Psychology -- Methodology.</t>
  </si>
  <si>
    <t>Overcoming Your Workplace Stress : A CBT-Based Self-help Guide</t>
  </si>
  <si>
    <t>Bamber, Martin R.</t>
  </si>
  <si>
    <t>BF575.S75 -- B295 2011eb</t>
  </si>
  <si>
    <t>Leaning : A Poetics of Personal Relations</t>
  </si>
  <si>
    <t>Pelias, Ronald J.</t>
  </si>
  <si>
    <t>GN346.6 -- .P45 2011eb</t>
  </si>
  <si>
    <t>Ethnology -- Biographical methods. ; Ethnology -- Authorship. ; Interpersonal relations. ; Language and culture. ; Communication and culture.</t>
  </si>
  <si>
    <t>Narrating the Closet : An Autoethnography of Same-Sex Attraction</t>
  </si>
  <si>
    <t>Adams, Tony E.</t>
  </si>
  <si>
    <t>GN484.35 -- .A33 2011eb</t>
  </si>
  <si>
    <t>Male homosexuality. ; Gay couples. ; Ethnology -- Authorship.</t>
  </si>
  <si>
    <t>Remembering with Emotion in Dynamic Psychotherapy : New Directions in Theory and Technique</t>
  </si>
  <si>
    <t>Sandler, Steven B.</t>
  </si>
  <si>
    <t>RC504.S294 2011</t>
  </si>
  <si>
    <t>Psychoanalysis. ; Emotions. ; Psychoanalytic Therapy--methods. ; Emotions.</t>
  </si>
  <si>
    <t>Lewkowicz, Sergio;Bokanowski, Thierry;Pragier, Georges</t>
  </si>
  <si>
    <t>Guntrip, Harry Y.</t>
  </si>
  <si>
    <t>BF173 -- .G86 1977eb</t>
  </si>
  <si>
    <t>Psychoanalysis. ; Psychotherapy. ; Self.</t>
  </si>
  <si>
    <t>Psychotic States : A Psychoanalytic Approach</t>
  </si>
  <si>
    <t>Rosenfeld, Herbert A.</t>
  </si>
  <si>
    <t>RC509.8 -- .R67 1982eb</t>
  </si>
  <si>
    <t>Psychoanalysis -- Case studies. ; Psychoses.</t>
  </si>
  <si>
    <t>Clinical and Theoretical Aspects of Perversion : The Illlusory Bond</t>
  </si>
  <si>
    <t>Pablo Jimenez, Juan</t>
  </si>
  <si>
    <t>The Universal Refusal : A Psychoanalytic Exploration of the Feminine Sphere and Its Repudiation</t>
  </si>
  <si>
    <t>Schaeffer, Jacqueline;Alcorn, David</t>
  </si>
  <si>
    <t>BF175.5.S48 -- S33 2011eb</t>
  </si>
  <si>
    <t>Psychoanalysis. ; Women -- Sexual behavior.</t>
  </si>
  <si>
    <t>Coaching in the Family Owned Business : A Path to Growth</t>
  </si>
  <si>
    <t>Lane, David A.;Shams, Manfusa</t>
  </si>
  <si>
    <t>HD62.25 -- .C63 2011eb</t>
  </si>
  <si>
    <t>Family-owned business enterprises -- Psychological aspects. ; Executive coaching. ; Family counseling.</t>
  </si>
  <si>
    <t>Bernstein, W. M.</t>
  </si>
  <si>
    <t>BF173 -- .B47 2011eb</t>
  </si>
  <si>
    <t>Psychoanalysis. ; Neurosciences.</t>
  </si>
  <si>
    <t>The Oedipus Complex Today : Clinical Implications</t>
  </si>
  <si>
    <t>Britton, Ronald;Feldman, Michael;O'Shaughnessy, Edna;Steiner, John</t>
  </si>
  <si>
    <t>BF175.5.O33 -- B75 1989eb</t>
  </si>
  <si>
    <t>The Patient and the Analyst : The Basis of the Psychoanalytic Process</t>
  </si>
  <si>
    <t>Dare, Christopher;Dreher, Anna Ursula;Holder, Alex;Sandler, Joseph;Sandler, Joseph</t>
  </si>
  <si>
    <t>RC506 -- .S26 1992eb</t>
  </si>
  <si>
    <t>Shame and Jealousy : The Hidden Turmoils</t>
  </si>
  <si>
    <t>Jealousy</t>
  </si>
  <si>
    <t>Gardiner, Muriel;Gardiner, Muriel</t>
  </si>
  <si>
    <t>RC465 -- .P36 1989eb</t>
  </si>
  <si>
    <t>Personality Structure and Human Interaction : The Developing Synthesis of Psychodynamic Theory</t>
  </si>
  <si>
    <t>BF173 -- .G78 1995eb</t>
  </si>
  <si>
    <t>Psychoanalysis. ; Personality. ; Psychodynamic psychotherapy.</t>
  </si>
  <si>
    <t>Schafer, Roy;The Institute of Psychoanalysis,</t>
  </si>
  <si>
    <t>BF173 -- .S33 1993eb</t>
  </si>
  <si>
    <t>The Psychological Birth of the Human Infant : Symbiosis and Individuation</t>
  </si>
  <si>
    <t>S. Mahler, Margaret;etc.,</t>
  </si>
  <si>
    <t>BF719 -- .M34 1985eb</t>
  </si>
  <si>
    <t>Infant psychology. ; Symbiosis (Psychology) ; Separation-individuation.</t>
  </si>
  <si>
    <t>Sexuality and Mind : The Role of the Father and Mother in the Psyche</t>
  </si>
  <si>
    <t>Chasseguet-Smirgel, Janine</t>
  </si>
  <si>
    <t>BF692 -- .C43 1989eb</t>
  </si>
  <si>
    <t>Sex (Psychology) ; Father and child. ; Mother and child.</t>
  </si>
  <si>
    <t>Klauber, John</t>
  </si>
  <si>
    <t>RC506 -- .K53 1986eb</t>
  </si>
  <si>
    <t>Abraham, Karl;Bryan, D.;Strachey, A.</t>
  </si>
  <si>
    <t>BF173 -- .A27 1979eb</t>
  </si>
  <si>
    <t>Laplanche, Jean;Pontalis, Jean-Bertrand;Lagache, Daniel;Smith, D.N.</t>
  </si>
  <si>
    <t>RC437.L313</t>
  </si>
  <si>
    <t>Freud, Sigmund, -- 1856-1939. ; Psychoanalysis -- Dictionaries.</t>
  </si>
  <si>
    <t>Rycroft, Charles</t>
  </si>
  <si>
    <t>RC531 -- .R93 1988eb</t>
  </si>
  <si>
    <t>Anxiety. ; Neuroses.</t>
  </si>
  <si>
    <t>Sandler, Joseph</t>
  </si>
  <si>
    <t>BF175.5.I43 -- P76 1988eb</t>
  </si>
  <si>
    <t>Identification (Psychology) -- Congresses. ; Projection (Psychology) -- Congresses. ; Projective identification -- Congresses.</t>
  </si>
  <si>
    <t>Two Papers : 'the Grid' And 'Caesura'</t>
  </si>
  <si>
    <t>RC501.2 -- .B56 1989eb</t>
  </si>
  <si>
    <t>Thalassa : A Theory of Genitality</t>
  </si>
  <si>
    <t>Ferenczi, Sandor;Bunker, H.A.</t>
  </si>
  <si>
    <t>HQ21 -- .F47 1989eb</t>
  </si>
  <si>
    <t>155.3/4</t>
  </si>
  <si>
    <t>Normality and Pathology in Childhood : Assessments of Development</t>
  </si>
  <si>
    <t>RJ499 -- .F74 1989eb</t>
  </si>
  <si>
    <t>Child psychiatry. ; Child psychology. ; Child analysis.</t>
  </si>
  <si>
    <t>Heimann, Paula;Isaacs, Susan;Klein, Melanie;Riviere, Joan</t>
  </si>
  <si>
    <t>BF173 -- .D48 1989eb</t>
  </si>
  <si>
    <t>Psychopathology : Contemporary Jungian Perspectives</t>
  </si>
  <si>
    <t>Samuels, Andrew;Samuels, Andrew</t>
  </si>
  <si>
    <t>RC454 -- .P79 2002eb</t>
  </si>
  <si>
    <t>Jung, C. G. -- (Carl Gustav), -- 1875-1961. ; Mental illness. ; Psychiatry -- Philosophy.</t>
  </si>
  <si>
    <t>Dimensions of Psychoanalysis : A Selection of Papers Presented at the Freud Memorial Lectures</t>
  </si>
  <si>
    <t>BF173 -- .D56 1989eb</t>
  </si>
  <si>
    <t>A Skin for Thought : Interviews with Gilbert Tarrab on Psychology and Psychoanalysis</t>
  </si>
  <si>
    <t>Anzieu, Didier;Tarrab, Gilbert;Biggs, D.</t>
  </si>
  <si>
    <t>BF173 -- .A59 1990eb</t>
  </si>
  <si>
    <t>Tarrab, Gilbert -- Interviews. ; Psychoanalysis.</t>
  </si>
  <si>
    <t>Brazilian Lectures : 1973, Sao Paulo; 1974, Rio de Janeiro/Sao Paulo</t>
  </si>
  <si>
    <t>BF173 -- .B56 1990eb</t>
  </si>
  <si>
    <t>Jungian Psychotherapy : A Study in Analytical Psychology</t>
  </si>
  <si>
    <t>BF173 -- .F67 1990eb</t>
  </si>
  <si>
    <t>Selected Papers : Psychoanalysis and Group Analysis</t>
  </si>
  <si>
    <t>Foulkes, S. H.;Pines, M.</t>
  </si>
  <si>
    <t>RC501.2 -- .F68 1990eb</t>
  </si>
  <si>
    <t>Foulkes, S. H. -- (Siegmund Heinz) ; Psychoanalysis. ; Group psychoanalysis.</t>
  </si>
  <si>
    <t>Campbell, David;Draper, Ros;Huffington, Clare</t>
  </si>
  <si>
    <t>BF173 -- .C36 1991eb</t>
  </si>
  <si>
    <t>Female Sexuality : New Psychoanalytic Views</t>
  </si>
  <si>
    <t>HQ29</t>
  </si>
  <si>
    <t>Koinonia : From Hate, Through Dialogue, to Culture in the Larger Group</t>
  </si>
  <si>
    <t>De Mare, Patrick B.;Piper, Robin;Thompson, Sheila</t>
  </si>
  <si>
    <t>RC488 -- .D46 1991eb</t>
  </si>
  <si>
    <t>Group psychotherapy. ; Group psychoanalysis. ; Culture.</t>
  </si>
  <si>
    <t>Deutsch, Helene;Roazen, Paul</t>
  </si>
  <si>
    <t>Women and psychoanalysis. ; Women -- Sexual behavior. ; Women -- Psychology.</t>
  </si>
  <si>
    <t>Handing Over : Developing Consistency Across Shifts in Residential and Health Settings</t>
  </si>
  <si>
    <t>Mason, Barry;Campbell, David;Draper, Rosalind</t>
  </si>
  <si>
    <t>RA410.5 -- .M37 1991eb</t>
  </si>
  <si>
    <t>The Inner World and Joan Riviere : Collected Papers 1929 - 1958</t>
  </si>
  <si>
    <t>Riviere, Joan;Hughes, Athol</t>
  </si>
  <si>
    <t>BF109.R58 -- A2 1991eb</t>
  </si>
  <si>
    <t>Freud, Sigmund, -- 1856-1939. ; Klein, Melanie. ; Psychoanalysis.</t>
  </si>
  <si>
    <t>Countertransference : Theory, Technique, Teaching</t>
  </si>
  <si>
    <t>Alexandris, Athina;Vaslamatzis, Grigoris</t>
  </si>
  <si>
    <t>RC489.C68 -- C68 1993eb</t>
  </si>
  <si>
    <t>Bor, Robert;Miller, Riva;Campbell, David;Draper, Rosalind</t>
  </si>
  <si>
    <t>R727.8 -- .B67 1991eb</t>
  </si>
  <si>
    <t>Medical consultation. ; Communication in medicine.</t>
  </si>
  <si>
    <t>RC488.5 -- .C36 1998eb</t>
  </si>
  <si>
    <t>Systemic therapy (Family therapy) ; Family psychotherapy -- Italy -- Milan.</t>
  </si>
  <si>
    <t>Draper, Ros;Gower, Myrna;Huffington, Clare</t>
  </si>
  <si>
    <t>RC488.5 -- .D73 1991eb</t>
  </si>
  <si>
    <t>Freud, Anna;Sandler, Joseph;The Institute of Psychoanalysis,</t>
  </si>
  <si>
    <t>RJ504.2 -- .F74 1992eb</t>
  </si>
  <si>
    <t>Child analysis. ; Psychoanalysis.</t>
  </si>
  <si>
    <t>Freud, Anna;The Institute of Psychoanalysis, The Institute</t>
  </si>
  <si>
    <t>BF173 -- .F7413 1993eb</t>
  </si>
  <si>
    <t>Ego (Psychology) ; Defense mechanisms (Psychology) ; Psychoanalysis.</t>
  </si>
  <si>
    <t>Guntrip, Harry</t>
  </si>
  <si>
    <t>RC569.5.S35 -- G86 1992eb</t>
  </si>
  <si>
    <t>Schizoid personality. ; Object relations (Psychoanalysis) ; Self.</t>
  </si>
  <si>
    <t>Co-Constructing Therapeutic Conversations : A Consultation of Restraint</t>
  </si>
  <si>
    <t>Inger, Ivan B.;Inger, Jeri;Campbell, David;Draper, Rosalind</t>
  </si>
  <si>
    <t>RC488.5 -- .I54 1992eb</t>
  </si>
  <si>
    <t>Jones, Elsa;Campbell, David;Draper, Rosalind</t>
  </si>
  <si>
    <t>HV6570 -- .J66 1991eb</t>
  </si>
  <si>
    <t>The Work of Daniel Lagache : Selected Papers 1938-1964</t>
  </si>
  <si>
    <t>Lagache, Daniel;Anzieu, Didier;Holder, Elizabeth</t>
  </si>
  <si>
    <t>BF173 -- .G67 1993eb</t>
  </si>
  <si>
    <t>Psychoanalysis. ; Psychotherapy. ; Creative ability.</t>
  </si>
  <si>
    <t>BF173 -- .L36 1992eb</t>
  </si>
  <si>
    <t>Continuity and Change in Psychoanalysis : Letters from Milan</t>
  </si>
  <si>
    <t>Nissim Momigliano, Luciana;Slotkin, Philip;Danile, Gina</t>
  </si>
  <si>
    <t>BF173 -- .M66 1992eb</t>
  </si>
  <si>
    <t>The Matrix of the Mind : Object Relations and the Psychoanalytic Dialogue</t>
  </si>
  <si>
    <t>Ogden, Thomas</t>
  </si>
  <si>
    <t>BF175.5.O24 -- O33 1992eb</t>
  </si>
  <si>
    <t>The Psychotic : Aspects of the Personality</t>
  </si>
  <si>
    <t>Rosenfeld, David</t>
  </si>
  <si>
    <t>RC506 -- .R67 1992eb</t>
  </si>
  <si>
    <t>Irreverence : A Strategy for Therapists' Survival</t>
  </si>
  <si>
    <t>RC480.5 -- .C43 1992eb</t>
  </si>
  <si>
    <t>616.8/9156</t>
  </si>
  <si>
    <t>Rethinking Marriage : Public and Private Perspectives</t>
  </si>
  <si>
    <t>HQ728 -- .R48 1993eb</t>
  </si>
  <si>
    <t>Speak of Me As I Am : The Life and Work of Masud Khan</t>
  </si>
  <si>
    <t>Cooper, Judy;Rayner, Eric</t>
  </si>
  <si>
    <t>RC438.6.K43 -- C66 1993eb</t>
  </si>
  <si>
    <t>Khan, M. Masud R. ; Psychoanalysts -- Great Britain -- Biography.</t>
  </si>
  <si>
    <t>Exchanging Voices : A Collaborative Approach to Family Therapy</t>
  </si>
  <si>
    <t>Hoffman, Lynn</t>
  </si>
  <si>
    <t>RC488.5 -- .H64 2003eb</t>
  </si>
  <si>
    <t>Meghnagi, David</t>
  </si>
  <si>
    <t>Freud, Sigmund, -- 1856-1939 -- Religion. ; Judaism and psychoanalysis.</t>
  </si>
  <si>
    <t>Keeney, Bradford;Ray, Wendel A.</t>
  </si>
  <si>
    <t>RC488.5 -- .R39 1993eb</t>
  </si>
  <si>
    <t>Bion, Wilfred R.;Bion, Francesca</t>
  </si>
  <si>
    <t>RC435.2 -- .B56 1994eb</t>
  </si>
  <si>
    <t>RC488.5 -- .B87 1995eb</t>
  </si>
  <si>
    <t>Family psychotherapy. ; Psychotherapist and patient. ; Feminist therapy.</t>
  </si>
  <si>
    <t>Systemic Work with Organizations : A New Model for Managers and Change Agents</t>
  </si>
  <si>
    <t>Campbell, David;Coldicott, Tim;Kinsella, Keith</t>
  </si>
  <si>
    <t>HM711 -- .C36 1994eb</t>
  </si>
  <si>
    <t>Organizational sociology. ; Organization -- Psychological aspects. ; Strategic planning.</t>
  </si>
  <si>
    <t>Centres and Peripheries of Psychoanalysis : An Introduction to Psychoanalytic Studies</t>
  </si>
  <si>
    <t>Ekins, Richard;Freeman, Ruth</t>
  </si>
  <si>
    <t>BF173 -- .C46 1994eb</t>
  </si>
  <si>
    <t>Ferenczi, Sandor;Balint, Michael;Mosbacher, Eric</t>
  </si>
  <si>
    <t>BF173 -- .F47 2002eb</t>
  </si>
  <si>
    <t>Witnessing Psychoanalysis : From Vienna Back to Vienna Via Buchenwald and the USA</t>
  </si>
  <si>
    <t>Federn, Ernst;Riccardo Steiner,</t>
  </si>
  <si>
    <t>BF173.F33</t>
  </si>
  <si>
    <t>Psychoanalysis -- History. ; Violence -- Psychological aspects. ; Social psychology.</t>
  </si>
  <si>
    <t>Sacerdoti, Giorgio;Ludbrook, Geraldine</t>
  </si>
  <si>
    <t>BF175.4.I76 -- S23 1992eb</t>
  </si>
  <si>
    <t>Irony -- Psychological aspects. ; Psychoanalysis.</t>
  </si>
  <si>
    <t>Systems-Centred Theory and Practice : The Contribution of Yvonne Agazarian</t>
  </si>
  <si>
    <t>Q295 -- .S97 2011eb</t>
  </si>
  <si>
    <t>Agazarian, Yvonne. ; System theory.</t>
  </si>
  <si>
    <t>Medicine; Science</t>
  </si>
  <si>
    <t>The Power of Silence : Silent Communication in Daily Life</t>
  </si>
  <si>
    <t>Kenny, Colum</t>
  </si>
  <si>
    <t>P99.7 -- .K46 2011eb</t>
  </si>
  <si>
    <t>Another Kind of Evidence : Studies on Internalization, Annihilation Anxiety, and Progressive Symbolization in the Psychoanalytic Process</t>
  </si>
  <si>
    <t>Freedman, Norbert;Geller, Jesse D.;Hoffenberg, Joan;Hurvich, Marvin;Ward, Rhonda</t>
  </si>
  <si>
    <t>BF173 -- .F74 2011eb</t>
  </si>
  <si>
    <t>Psychoanalysis. ; Internalization. ; Anxiety.</t>
  </si>
  <si>
    <t>Schizophrenia : The Final Frontier - a Festschrift for Robin M. Murray</t>
  </si>
  <si>
    <t>David, Anthony S.;Kapur, Shitij;McGuffin, Peter</t>
  </si>
  <si>
    <t>RC514 -- .S336445 2011eb</t>
  </si>
  <si>
    <t>Runco, Mark A.;Pritzker, Steven R.</t>
  </si>
  <si>
    <t>153.3/5/03</t>
  </si>
  <si>
    <t>Creative ability -- Encyclopedias. ; Creation (Literary, artistic, etc.) -- Encyclopedias.</t>
  </si>
  <si>
    <t>Crownshaw, Richard;Kilby, Jane;Rowland, Antony</t>
  </si>
  <si>
    <t>D862 .F88 2010</t>
  </si>
  <si>
    <t>Hartney, Elizabeth</t>
  </si>
  <si>
    <t>RA785 -- .H372 2008eb</t>
  </si>
  <si>
    <t>Stress management. ; Teachers -- Job stress.</t>
  </si>
  <si>
    <t>Health; Psychology; Social Science</t>
  </si>
  <si>
    <t>The Herald Dream : An Approach to the Initial Dream in Psychotherapy</t>
  </si>
  <si>
    <t>BF175.5.D74 -- K73 2006eb</t>
  </si>
  <si>
    <t>Dream interpretation. ; Dreams.</t>
  </si>
  <si>
    <t>Coaching in Depth : The Organizational Role Analysis Approach</t>
  </si>
  <si>
    <t>Long, Susan;Newton, John;Sievers, Burkard</t>
  </si>
  <si>
    <t>HF5549 -- .C516 2006eb</t>
  </si>
  <si>
    <t>Personnel management -- Handbooks, manuals, etc. ; Employees -- Training of. ; Executives -- Training of.</t>
  </si>
  <si>
    <t>R. Bion, Wilfred;Bion, Francesca</t>
  </si>
  <si>
    <t>BF149 -- .B56 2005eb</t>
  </si>
  <si>
    <t>The Space Between : Experience, Context, and Process in the Therapeutic Relationship</t>
  </si>
  <si>
    <t>Flaskas, Carmel;Mason, Barry;Perlesz, Amaryll</t>
  </si>
  <si>
    <t>RC480.8 -- .S66 2005eb</t>
  </si>
  <si>
    <t>Introduction to Social Dreaming : Transforming Thinking</t>
  </si>
  <si>
    <t>Forensic Psychotherapy Monograph</t>
  </si>
  <si>
    <t>BF1078.L37</t>
  </si>
  <si>
    <t>Hunger Strike : The Anorectic's Struggle As a Metaphor for Our Age</t>
  </si>
  <si>
    <t>Orbach, Susie</t>
  </si>
  <si>
    <t>RC552.A5 -- O73 2005eb</t>
  </si>
  <si>
    <t>Anorexia nervosa. ; Women.</t>
  </si>
  <si>
    <t>The Impossibility of Sex : Stories of the Intimate Relationship Between Therapist and Client</t>
  </si>
  <si>
    <t>RC480.8 -- .O73 2005eb</t>
  </si>
  <si>
    <t>Sternberg, Janine</t>
  </si>
  <si>
    <t>RJ504 -- .S735 2005eb</t>
  </si>
  <si>
    <t>RC488 -- .A6227 2004eb</t>
  </si>
  <si>
    <t>Sierra, Luis Rodriguez De La</t>
  </si>
  <si>
    <t>RJ504.2 -- .C48 2004eb</t>
  </si>
  <si>
    <t>Child analysis. ; Child analysis -- Great Britain.</t>
  </si>
  <si>
    <t>Eigen, Michael;Phillips, Adam</t>
  </si>
  <si>
    <t>RC512 -- .E34 2004eb</t>
  </si>
  <si>
    <t>BF175.5.D4 -- E34 2004eb</t>
  </si>
  <si>
    <t>Death instinct. ; Death instinct -- Case studies. ; Self-destructive behavior. ; Self-destructive behavior -- Case studies. ; Psychoanalysis.</t>
  </si>
  <si>
    <t>Matthias Holm-Hadulla, Rainer;Jenkins, Andrew</t>
  </si>
  <si>
    <t>BF637.C6 -- H6213 2004eb</t>
  </si>
  <si>
    <t>Counseling. ; Psychotherapy.</t>
  </si>
  <si>
    <t>Working below the Surface : The Emotional Life of Contemporary Organizations</t>
  </si>
  <si>
    <t>Huffington, Clare;Halton, William;Armstrong, David;Pooley, Jane</t>
  </si>
  <si>
    <t>HD58.8 -- .W6775 2004eb</t>
  </si>
  <si>
    <t>658.4/06</t>
  </si>
  <si>
    <t>Organizational change -- Psychological aspects. ; Leadership -- Psychological aspects. ; Organizational effectiveness -- Psychological aspects. ; Organizational change -- Psychological aspects -- Case studies. ; Leadership -- Psychological aspects -- Case studies. ; Organizational effectiveness -- Psychological aspects -- Case studies.</t>
  </si>
  <si>
    <t>Sent Before My Time : A Child Psychotherapist's View of Life on a Neonatal Intensive Care Unit</t>
  </si>
  <si>
    <t>Cohen, Margaret</t>
  </si>
  <si>
    <t>RJ253.5 -- .C64 2003eb</t>
  </si>
  <si>
    <t>618.9/201</t>
  </si>
  <si>
    <t>BF723.S23</t>
  </si>
  <si>
    <t>155.4/43</t>
  </si>
  <si>
    <t>Dangerous Patients : A Psychodynamic Approach to Risk Assessment and Management</t>
  </si>
  <si>
    <t>RA1151 -- .D36 2003eb</t>
  </si>
  <si>
    <t>Forensic psychiatry. ; Risk assessment. ; Violence -- Forecasting.</t>
  </si>
  <si>
    <t>Furman, Andrew C.;Levy, Steven T.</t>
  </si>
  <si>
    <t>International journal of psycho-analysis</t>
  </si>
  <si>
    <t>Self in Relationships : Perspectives on Family Therapy from Developmental Psychology</t>
  </si>
  <si>
    <t>Johnsen, Astri;Sundet, Rolf;Torsteinsson, Vigdis Wie</t>
  </si>
  <si>
    <t>RC488.5 -- .J64 2004eb</t>
  </si>
  <si>
    <t>Family psychotherapy. ; Developmental psychology.</t>
  </si>
  <si>
    <t>Jacob's Ladder : Essays on Experiences of the Ineffable in the Context of Contemporary Psychotherapy</t>
  </si>
  <si>
    <t>BL53 -- .K54 2003eb</t>
  </si>
  <si>
    <t>Spirituality -- Psychology. ; Psychology, Religious. ; Experience (Religion)</t>
  </si>
  <si>
    <t>Mapping the Mind : The Intersection of Psychoanalysis and Neuroscience</t>
  </si>
  <si>
    <t>QP360 -- .L48 2003eb</t>
  </si>
  <si>
    <t>Neuropsychology. ; Neuropsychiatry. ; Psychoanalysis.</t>
  </si>
  <si>
    <t>Psychology; Science: Biology/Natural History; Science</t>
  </si>
  <si>
    <t>Donald Winnicott the Man : Reflections and Recollections</t>
  </si>
  <si>
    <t>McDougall, Joyce</t>
  </si>
  <si>
    <t>BF109.W56 -- M33 2003eb</t>
  </si>
  <si>
    <t>Supervisions with Donald Meltzer : The Simsbury Seminars</t>
  </si>
  <si>
    <t>Castella, Rosa;Farre, Lluis;Meltzer, Donald;Tabbia, Carlos</t>
  </si>
  <si>
    <t>RC480.5 -- .M45 2003eb</t>
  </si>
  <si>
    <t>Meltzer, Donald. ; Smith, Catharine Mack. ; Psychotherapists. ; Psychoanalysis.</t>
  </si>
  <si>
    <t>Wild Desires and Mistaken Identities : Lesbianism and Psychoanalysis</t>
  </si>
  <si>
    <t>O'Connor, Noreen;Ryan, Joanna</t>
  </si>
  <si>
    <t>Lesbianism -- Psychological aspects</t>
  </si>
  <si>
    <t>No Ordinary Psychoanalyst : The Exceptional Contributions of John Rickman</t>
  </si>
  <si>
    <t>Rickman, John;King, Pearl</t>
  </si>
  <si>
    <t>BF109</t>
  </si>
  <si>
    <t>Rickman, John</t>
  </si>
  <si>
    <t>RC506 -- .R53 2003eb</t>
  </si>
  <si>
    <t>Cassandra's Daughter : A History of Psychoanalysis</t>
  </si>
  <si>
    <t>Schwartz, Joseph</t>
  </si>
  <si>
    <t>BF173 -- .S39 2003eb</t>
  </si>
  <si>
    <t>150.19/5/09</t>
  </si>
  <si>
    <t>Alfille, Helen;Cooper, Judy;Cooper, Judy</t>
  </si>
  <si>
    <t>RC504 -- .D55 2002eb</t>
  </si>
  <si>
    <t>Ekins, Richard;Solnit, Albert</t>
  </si>
  <si>
    <t>BF315 -- .U53 2002eb</t>
  </si>
  <si>
    <t>Subconsciousness. ; Mind and reality.</t>
  </si>
  <si>
    <t>Fano Cassese, Silvia</t>
  </si>
  <si>
    <t>RC504 -- .C37 2002eb</t>
  </si>
  <si>
    <t>Meltzer, Donald. ; Psychoanalysis. ; Psychoanalysts.</t>
  </si>
  <si>
    <t>Exploring the Unsaid : Creativity, Risks and Dilemmas in Working Cross-Culturally</t>
  </si>
  <si>
    <t>Mason, Barry;Sawyer, Alice</t>
  </si>
  <si>
    <t>HM1211 -- .E97 2002eb</t>
  </si>
  <si>
    <t>Psychoanalytic Work with Children and Adults : Meltzer in Barcelona</t>
  </si>
  <si>
    <t>Meltzer, Donald;Farre, Luis</t>
  </si>
  <si>
    <t>RC504 -- .M45 2002eb</t>
  </si>
  <si>
    <t>Meltzer, Donald. ; Psychoanalysis. ; Child analysis.</t>
  </si>
  <si>
    <t>Key Papers on Countertransference : IJP Education Section</t>
  </si>
  <si>
    <t>Abensour, Liliane;Eizirik, Claudio Laks;Michels, Robert;Rusbridger, Richard</t>
  </si>
  <si>
    <t>RC489.C68 -- K49 2002eb</t>
  </si>
  <si>
    <t>Therapeutic Care for Refugees : No Place Like Home</t>
  </si>
  <si>
    <t>Papadopoulos, Renos K.</t>
  </si>
  <si>
    <t>Political refugees -- Counseling of. ; Political refugees -- Mental health.</t>
  </si>
  <si>
    <t>Logics of the Mind : A Clinical View</t>
  </si>
  <si>
    <t>L. Ahumada, Jorge</t>
  </si>
  <si>
    <t>RC504 -- .A38 2001eb</t>
  </si>
  <si>
    <t>Amado, Gilles;Ambrose, Anthony</t>
  </si>
  <si>
    <t>The Harold Bridger Transitional Series</t>
  </si>
  <si>
    <t>Organizational change -- Case studies</t>
  </si>
  <si>
    <t>Multiple Family Therapy : The Marlborough Model and Its Wider Applications</t>
  </si>
  <si>
    <t>Asen, Eia;Dawson, Neil;McHugh, Brenda</t>
  </si>
  <si>
    <t>RC488.5 -- .A84 2001eb</t>
  </si>
  <si>
    <t>Family psychotherapy. ; Multiple psychotherapy.</t>
  </si>
  <si>
    <t>Herbert Rosenfeld at Work : The Italian Seminars</t>
  </si>
  <si>
    <t>Rosenfeld, Herbert A.;De Masi, Franco</t>
  </si>
  <si>
    <t>RC501.2 -- .R67 2001eb</t>
  </si>
  <si>
    <t>Rosenfeld, Herbert A. ; Psychoanalysis.</t>
  </si>
  <si>
    <t>RC480.8 -- .E34 2005eb</t>
  </si>
  <si>
    <t>Therapist and patient. ; Dream interpretation. ; Psychoanalysis.</t>
  </si>
  <si>
    <t>Psychoanalysis and Psychotherapy : The Controversies and the Future</t>
  </si>
  <si>
    <t>Frisch, Serge;Gauthier, Jean-Marie;Hinshelwood, R. D.</t>
  </si>
  <si>
    <t>RC480 -- .P79 2001eb</t>
  </si>
  <si>
    <t>O. Gabbard, Glen</t>
  </si>
  <si>
    <t>PN1995.9.P783 -- P79 2001eb</t>
  </si>
  <si>
    <t>Brief Encounters with Couples : Analytic Perspectives</t>
  </si>
  <si>
    <t>Grier, Francis</t>
  </si>
  <si>
    <t>RC488.5 -- .B75 2001eb</t>
  </si>
  <si>
    <t>My Kleinian Home : Into a New Millennium</t>
  </si>
  <si>
    <t>Herman, Nini</t>
  </si>
  <si>
    <t>RC438.6.H47 -- A3 2001eb</t>
  </si>
  <si>
    <t>Herman, Nini -- Mental health. ; Klein, Melanie. ; Psychotherapists -- Great Britain -- Biography. ; Psychotherapy patients -- Great Britain -- Biography.</t>
  </si>
  <si>
    <t>Weathering the Storms : Psychotherapy for Psychosis</t>
  </si>
  <si>
    <t>Jackson, Murray</t>
  </si>
  <si>
    <t>RC512 -- .J33 2001eb</t>
  </si>
  <si>
    <t>Psychoses -- Treatment. ; Psychotherapy.</t>
  </si>
  <si>
    <t>Forensic Psychotherapy and Psychopathology : Winnicottian Perspectives</t>
  </si>
  <si>
    <t>Kahr, Brett;Winnicott, Donald Woods</t>
  </si>
  <si>
    <t>RA1151 -- .F67 2001eb</t>
  </si>
  <si>
    <t>Forensic psychiatry. ; Forensic psychology. ; Psychology, Pathological.</t>
  </si>
  <si>
    <t>Krause, Inga-Britt</t>
  </si>
  <si>
    <t>RC488 -- .K73 2002eb</t>
  </si>
  <si>
    <t>The Delusional Person : Bodily Feelings in Psychosis</t>
  </si>
  <si>
    <t>Resnik, Salomon</t>
  </si>
  <si>
    <t>RC506 -- .R47 2001eb</t>
  </si>
  <si>
    <t>Post-Kleinian Psychoanalysis : The Biella Seminars</t>
  </si>
  <si>
    <t>Sanders, Kenneth</t>
  </si>
  <si>
    <t>RC508 -- .S26 2001eb</t>
  </si>
  <si>
    <t>Life Within Hidden Worlds : Psychotherapy in Prisons</t>
  </si>
  <si>
    <t>Williams Saunders, Jessica</t>
  </si>
  <si>
    <t>RC451.4.P68 -- L54 2001eb</t>
  </si>
  <si>
    <t>Drawing the Soul : Schemas and Models in Psychoanalysis</t>
  </si>
  <si>
    <t>Burgoyne, Bernard;Burgoyne, Bernard</t>
  </si>
  <si>
    <t>The Encyclopaedia of Psychoanalysis Series</t>
  </si>
  <si>
    <t>RC455.4.S36 -- D73 2003eb</t>
  </si>
  <si>
    <t>Schemas (Psychology) ; Psychoanalysis.</t>
  </si>
  <si>
    <t>Caldwell, Lesley;Caldwell, Lesley</t>
  </si>
  <si>
    <t>N72.P74 -- C35 2000eb</t>
  </si>
  <si>
    <t>Campbell, David;Shotter, John</t>
  </si>
  <si>
    <t>HM1033 -- .C36 2000eb</t>
  </si>
  <si>
    <t>Exploring the Work of Donald Meltzer : A Festschrift</t>
  </si>
  <si>
    <t>Meltzer, Donald;Cohen, Margaret;Hahn, Alberto</t>
  </si>
  <si>
    <t>RC504 -- .E97 2000eb</t>
  </si>
  <si>
    <t>Meltzer, Donald. ; Psychoanalysis.</t>
  </si>
  <si>
    <t>Asen, Eia;Jones, Elsa</t>
  </si>
  <si>
    <t>RC488.5 -- .J66 2000eb</t>
  </si>
  <si>
    <t>616.8/527/0651</t>
  </si>
  <si>
    <t>Tongued with Fire : Groups in Experience</t>
  </si>
  <si>
    <t>HM1033 -- .L39 2000eb</t>
  </si>
  <si>
    <t>Mariam Alizade, Alcira;Etchegoyen, R. Horacio</t>
  </si>
  <si>
    <t>HQ29 -- .A4413 1999eb</t>
  </si>
  <si>
    <t>Women -- Sexual behavior. ; Women -- Psychology. ; Sex (Psychology) ; Psychoanalysis.</t>
  </si>
  <si>
    <t>Anastasopoulos, Dimitris;Lignos, Effie;Waddell, Margot</t>
  </si>
  <si>
    <t>RJ503 -- .P79 1999eb</t>
  </si>
  <si>
    <t>The Uninvited Guest : Emerging from Narcissism Towards Marriage</t>
  </si>
  <si>
    <t>Fisher, James V.</t>
  </si>
  <si>
    <t>TMSI</t>
  </si>
  <si>
    <t>RC488.5 -- .F47 1999eb</t>
  </si>
  <si>
    <t>Dying and Creating : A Search for Meaning</t>
  </si>
  <si>
    <t>Gordon, Rosemary</t>
  </si>
  <si>
    <t>BF789.D4 -- G67 2000eb</t>
  </si>
  <si>
    <t>Ruszczynski, Stanley;Johnson, Sue;Ruszczynski, Stanley</t>
  </si>
  <si>
    <t>RC504 -- .P79 1999eb</t>
  </si>
  <si>
    <t>Ruszczynski, Stanley;Johnson, Sue</t>
  </si>
  <si>
    <t>RC480.5 -- .P79 1999eb</t>
  </si>
  <si>
    <t>Klein, Melanie. ; Psychotherapy. ; Psychoanalysis.</t>
  </si>
  <si>
    <t>Facing It Out : Clinical Perspectives on Adolescent Disturbance</t>
  </si>
  <si>
    <t>Anderson, Robin;Dartington, Anna</t>
  </si>
  <si>
    <t>RJ503 -- .F335 1998eb</t>
  </si>
  <si>
    <t>Stranger in My Own Body : Atypical Gender Identity Development and Mental Health</t>
  </si>
  <si>
    <t>Di Ceglie, Domenico;Di Ceglie, Domenico</t>
  </si>
  <si>
    <t>RJ506.G35 -- S78 1998eb</t>
  </si>
  <si>
    <t>Gender identity disorders in children. ; Gender identity disorders in adolescence.</t>
  </si>
  <si>
    <t>But Facts Exist : An Enquiry into Psychoanalytic Theorizing</t>
  </si>
  <si>
    <t>Freeman, Thomas</t>
  </si>
  <si>
    <t>RC504 -- .F658 1998eb</t>
  </si>
  <si>
    <t>Bridging the Gap : A Training Module in Personal and Professional Development</t>
  </si>
  <si>
    <t>Hildebrand, Judy</t>
  </si>
  <si>
    <t>RC488.5 -- .H56 1998eb</t>
  </si>
  <si>
    <t>Family therapists -- Training of. ; Family therapists -- In-service training.</t>
  </si>
  <si>
    <t>There Is No Such Thing As a Therapist : An Introduction to the Therapeutic Process</t>
  </si>
  <si>
    <t>Holmes, Carol;Dare, Christopher</t>
  </si>
  <si>
    <t>SYSTEMIC</t>
  </si>
  <si>
    <t>RC480 -- .H65 1998eb</t>
  </si>
  <si>
    <t>Psychotherapy. ; Therapist and patient.</t>
  </si>
  <si>
    <t>Hurry, Anne;Hurry, Anne</t>
  </si>
  <si>
    <t>RC504 -- .P79 1998eb</t>
  </si>
  <si>
    <t>RC459 -- .L36 1998eb</t>
  </si>
  <si>
    <t>Lawrence, W. Gordon;Lawrence, Gordon W.;et al,</t>
  </si>
  <si>
    <t>BF1078 -- .S63 1998eb</t>
  </si>
  <si>
    <t>Dreams. ; Dreams -- Social aspects. ; Dream interpretation. ; Work -- Psychological aspects.</t>
  </si>
  <si>
    <t>Unimaginable Storms : A Search for Meaning in Psychosis</t>
  </si>
  <si>
    <t>Jackson, Murray;Williams, Paul;Steiner, John</t>
  </si>
  <si>
    <t>RC512 -- .J33 1994eb</t>
  </si>
  <si>
    <t>Psychoses. ; Psychotherapy.</t>
  </si>
  <si>
    <t>Empowered Psychotherapy : Teaching Self-Processing</t>
  </si>
  <si>
    <t>Langs, Robert;Grotstein, James S.</t>
  </si>
  <si>
    <t>BF</t>
  </si>
  <si>
    <t>Langs, Robert;Langs, Robert J.</t>
  </si>
  <si>
    <t>HF5549.12 -- .L36 1994eb</t>
  </si>
  <si>
    <t>Supervision. ; Supervision of employees. ; Supervisors.</t>
  </si>
  <si>
    <t>Sincerity and Other Works : Collected Papers of Donald Meltzer</t>
  </si>
  <si>
    <t>Meltzer, Donald;Hahn, Alberto</t>
  </si>
  <si>
    <t>Alcorn, David;Resnik, Salomon</t>
  </si>
  <si>
    <t>BF173 -- .R47 1995eb</t>
  </si>
  <si>
    <t>Psychoanalysis. ; Space perception. ; Thought and thinking. ; Mentally ill. ; Solitude.</t>
  </si>
  <si>
    <t>Trauma-Organized Systems : Physical and Sexual Abuse in Families</t>
  </si>
  <si>
    <t>Bentovim, Arnon</t>
  </si>
  <si>
    <t>RC488.5 -- .B46 1995eb</t>
  </si>
  <si>
    <t>Family psychotherapy. ; Child sexual abuse. ; Child abuse.</t>
  </si>
  <si>
    <t>Learning Consultation : A Systemic Framework</t>
  </si>
  <si>
    <t>HD58.82 -- .C36 1995eb</t>
  </si>
  <si>
    <t>Business/Management; Engineering; Engineering: Chemical</t>
  </si>
  <si>
    <t>Farmer, Chris</t>
  </si>
  <si>
    <t>RC489.P7 -- F37 1995eb</t>
  </si>
  <si>
    <t>Drama -- Therapeutic use. ; Systemic therapy (Family therapy)</t>
  </si>
  <si>
    <t>RC467 -- .K54 1995eb</t>
  </si>
  <si>
    <t>Clinical psychology. ; Psychotherapy.</t>
  </si>
  <si>
    <t>Adolescence and Developmental Breakdown : A Psychoanalytic View</t>
  </si>
  <si>
    <t>Laufer, M. Egle;Laufer, Moses</t>
  </si>
  <si>
    <t>BF724 -- .L38 2002eb</t>
  </si>
  <si>
    <t>Adolescence. ; Adolescent psychology.</t>
  </si>
  <si>
    <t>A Question of Time : Essentials of Brief Dynamic Psychotherapy</t>
  </si>
  <si>
    <t>Molnos, Angela;Brown, Dennis</t>
  </si>
  <si>
    <t>RC489.P72 -- M65 1995eb</t>
  </si>
  <si>
    <t>Fisher, James;Ruszczynski, Stanley</t>
  </si>
  <si>
    <t>HQ31 -- .I58 1995eb</t>
  </si>
  <si>
    <t>Couples -- Psychology. ; Couples -- Sexual behavior. ; Intimacy (Psychology)</t>
  </si>
  <si>
    <t>Bertrando, Paolo;Boscolo, Luigi;Novick, Carolyn</t>
  </si>
  <si>
    <t>RC488.5 -- .B382613 1996eb</t>
  </si>
  <si>
    <t>Systemic therapy (Family therapy) ; Time -- Psychological aspects.</t>
  </si>
  <si>
    <t>D. W. Winnicott : A Biographical Portrait</t>
  </si>
  <si>
    <t>Kahr, Brett;Makari, George;Elmhirst, Susanna Isaacs</t>
  </si>
  <si>
    <t>BF109.W56 -- K34 1996eb</t>
  </si>
  <si>
    <t>155.4/092</t>
  </si>
  <si>
    <t>Free Association : Method and Process</t>
  </si>
  <si>
    <t>O. Kris, Anton</t>
  </si>
  <si>
    <t>BF365 -- .K75 1996eb</t>
  </si>
  <si>
    <t>Langs, Robert;Raney, James O.;Langs, Robert J.</t>
  </si>
  <si>
    <t>BF175.4.E86 -- L36 1996eb</t>
  </si>
  <si>
    <t>Psychoanalysis and evolution. ; Emotions. ; Genetic psychology.</t>
  </si>
  <si>
    <t>Piccioli, Emma;etc.,;Piccioli,;Rossi, Pier Luigi;Semi, Antonio Alberto</t>
  </si>
  <si>
    <t>RC501 -- .B37 1996eb</t>
  </si>
  <si>
    <t>Schizophrenia : Its Origins and Need-Adapted Treatment</t>
  </si>
  <si>
    <t>O. Alanen, Yrjo;Fleck, Stephen;Leinonen, Sirkka-Liisa;Fleck, Stephen</t>
  </si>
  <si>
    <t>RC514 -- .A4213 1997eb</t>
  </si>
  <si>
    <t>D640 -- .B57136 1997eb</t>
  </si>
  <si>
    <t>R. Bion, Wilfred;Bion, F.</t>
  </si>
  <si>
    <t>RC501.2 -- .B56 1997eb</t>
  </si>
  <si>
    <t>Death Talk : Conversations with Children and Families</t>
  </si>
  <si>
    <t>Fredman, Glenda;Anderson, Tom</t>
  </si>
  <si>
    <t>BF723.D3 -- F74 1997eb</t>
  </si>
  <si>
    <t>Children and death. ; Bereavement in children. ; Grief in children. ; Children -- Counseling of.</t>
  </si>
  <si>
    <t>Griffiths, Peter;Pringle, Pam</t>
  </si>
  <si>
    <t>RC489.T67 -- G74 1997eb</t>
  </si>
  <si>
    <t>Cassel Hospital. ; Therapeutic communities. ; Psychiatric nursing.</t>
  </si>
  <si>
    <t>Therapy or Coercion : Does Psychoanalysis Differ from Brainwashing?</t>
  </si>
  <si>
    <t>Hinshelwood, R. D.</t>
  </si>
  <si>
    <t>RC504 -- .H56 1997eb</t>
  </si>
  <si>
    <t>Psychoanalysis. ; Medical ethics.</t>
  </si>
  <si>
    <t>A Manual of Organizational Development : The Psychology of Change</t>
  </si>
  <si>
    <t>Huffington, Clare;Brunning, Halina;Cole, Carol;Huffington, Clare</t>
  </si>
  <si>
    <t>HD58.8 -- .H84 1997eb</t>
  </si>
  <si>
    <t>Organizational change. ; Organizational change -- Psychological aspects.</t>
  </si>
  <si>
    <t>Langs, Robert;Giovacchini, Peter L.</t>
  </si>
  <si>
    <t>RC552.F42 -- L36 1997eb</t>
  </si>
  <si>
    <t>Laufer, Moses;Laufer, Moses</t>
  </si>
  <si>
    <t>RJ503 -- .A3143 1997eb</t>
  </si>
  <si>
    <t>Martindale, Brian V.;Morner, Margareta;Rodriguez, Maria E.;Vidit, Jean-Pierre;Wallerstein, Robert S.</t>
  </si>
  <si>
    <t>RC502 -- .S85 1997eb</t>
  </si>
  <si>
    <t>Wilce, Gillian;Richards, Val</t>
  </si>
  <si>
    <t>Divorce As Family Transition : When Private Sorrow Becomes a Public Matter</t>
  </si>
  <si>
    <t>Robinson, Margaret</t>
  </si>
  <si>
    <t>HQ875 -- .R62 1997eb</t>
  </si>
  <si>
    <t>306.89/0941</t>
  </si>
  <si>
    <t>Recovered Memories of Abuse : True or False?</t>
  </si>
  <si>
    <t>Fonagy, Peter;Sandler, Joseph</t>
  </si>
  <si>
    <t>RC569.5.C55 -- R43 1997eb</t>
  </si>
  <si>
    <t>Recovered memory. ; Adult child abuse victims.</t>
  </si>
  <si>
    <t>RC506 -- .S33 1997eb</t>
  </si>
  <si>
    <t>Frisch, Serge;Hinshelwood, R. D.;Houzel, Didier;Pestalozzi, Julia</t>
  </si>
  <si>
    <t>RC506 -- .P778 1998eb</t>
  </si>
  <si>
    <t>Psychoanalysis. ; Psychiatric hospital care.</t>
  </si>
  <si>
    <t>Sternberg, Robert J.;Kaufman, Scott Barry</t>
  </si>
  <si>
    <t>BF431 .C26837 2011</t>
  </si>
  <si>
    <t>Intellect. ; Human information processing.</t>
  </si>
  <si>
    <t>Face-To-Face Communication over the Internet : Emotions in a Web of Culture, Language, and Technology</t>
  </si>
  <si>
    <t>Kappas, Arvid;Krämer, Nicole C.</t>
  </si>
  <si>
    <t>HM741 .F33 2011</t>
  </si>
  <si>
    <t>Social networks. ; Internet -- Social aspects. ; Teleconferencing.</t>
  </si>
  <si>
    <t>The Quest for Mental Health : A Tale of Science, Medicine, Scandal, Sorrow, and Mass Society</t>
  </si>
  <si>
    <t>Dowbiggin, Ian</t>
  </si>
  <si>
    <t>Cambridge Essential Histories Series</t>
  </si>
  <si>
    <t>RA790 .D69 2011</t>
  </si>
  <si>
    <t>Mental health. ; Personality. ; Emotions.</t>
  </si>
  <si>
    <t>Psychology and Catholicism : Contested Boundaries</t>
  </si>
  <si>
    <t>Kugelmann, Robert</t>
  </si>
  <si>
    <t>BF51 .K84 2011</t>
  </si>
  <si>
    <t>261.5/15088282</t>
  </si>
  <si>
    <t>Catholic Church -- History -- 20th century. ; Psychology and religion.</t>
  </si>
  <si>
    <t>Creating Destruction : Constructing Images of Violence and Genocide</t>
  </si>
  <si>
    <t>Billias, Nancy;Praeg, Leonhard</t>
  </si>
  <si>
    <t>Rice, Mary;Pinnegar, Stefinee E.</t>
  </si>
  <si>
    <t>Advances in Research on Teaching Series</t>
  </si>
  <si>
    <t>Literature and morals</t>
  </si>
  <si>
    <t>Learning, Teaching, and Musical Identity : Voices across Cultures</t>
  </si>
  <si>
    <t>Green, Lucy</t>
  </si>
  <si>
    <t>Counterpoints: Music and Education</t>
  </si>
  <si>
    <t>MT1 -- .L52 2011eb</t>
  </si>
  <si>
    <t>Music -- Instruction and study. ; Folk music -- Instruction and study. ; Identity (Psychology) ; Group identity.</t>
  </si>
  <si>
    <t>Davies, Christie</t>
  </si>
  <si>
    <t>PN6149.S62 -- D36 2011eb</t>
  </si>
  <si>
    <t>Wit and humor -- Social aspects. ; Wit and humor -- Psychological aspects. ; Wit and humor -- Political aspects.</t>
  </si>
  <si>
    <t>Jung on War, Politics and Nazi Germany : Exploring the Theory of Archetypes and the Collective Unconscious</t>
  </si>
  <si>
    <t>Lewin, Nicholas</t>
  </si>
  <si>
    <t>BF109.J8 -- L49 2009eb</t>
  </si>
  <si>
    <t>Jung, C. G. -- (Carl Gustav), -- 1875-1961 -- Political and social views. ; Philosophy, German -- 19th century. ; Philosophy, German -- 20th century. ; Germany -- Politics and government -- 19th century. ; Germany -- Politics and government -- 20th century.</t>
  </si>
  <si>
    <t>Psychology; Political Science</t>
  </si>
  <si>
    <t>The Search for the Self : Volume 1: Selected Writings of Heinz Kohut 1950-1978</t>
  </si>
  <si>
    <t>Kohut, Heinz;Ornstein, Paul</t>
  </si>
  <si>
    <t>Search for the Self Series</t>
  </si>
  <si>
    <t>BF697 -- .K64 2011eb</t>
  </si>
  <si>
    <t>Nadia Revisited : A Longitudinal Study of an Autistic Savant</t>
  </si>
  <si>
    <t>Selfe, Lorna</t>
  </si>
  <si>
    <t>RC553.A88 -- S45 2011eb</t>
  </si>
  <si>
    <t>Bond, Meg;Holland, Stevie</t>
  </si>
  <si>
    <t>The Psychology of Paranormal Belief : A Researcher’s Handbook</t>
  </si>
  <si>
    <t>Hertfordshire</t>
  </si>
  <si>
    <t>Irwin, Harvey J.</t>
  </si>
  <si>
    <t>BF1040 -- .I79 2009eb</t>
  </si>
  <si>
    <t>Microsoft Visual BASIC. ; Active server pages. ; BASIC (Computer program language) ; Microsoft .NET Framework. ; Internet programming. ; Web servers.</t>
  </si>
  <si>
    <t>SCT in Action : Applying the Systems-Centered Approach in Organizations</t>
  </si>
  <si>
    <t>Personality Pathology : Developmental Perspectives</t>
  </si>
  <si>
    <t>Delisle, Gilles;Ashcroft, Dinah M.;Kearns, Anne;Rigaud, Lynne</t>
  </si>
  <si>
    <t>BF698 -- .D45 2011eb</t>
  </si>
  <si>
    <t>Personality. ; Developmental psychology.</t>
  </si>
  <si>
    <t>The Second Century of Psychoanalysis : Evolving Perspectives on Therapeutic Action</t>
  </si>
  <si>
    <t>Christian, Christopher;Diamond, Michael J.</t>
  </si>
  <si>
    <t>BF173 -- .S43 2011eb</t>
  </si>
  <si>
    <t>Psychoanalysis. ; Psychoanalysis -- History -- 20th century.</t>
  </si>
  <si>
    <t>Post-Existentialism and the Psychological Therapies : Towards a Therapy Without Foundations</t>
  </si>
  <si>
    <t>Loewenthal, Del</t>
  </si>
  <si>
    <t>RC480 -- .L64 2011eb</t>
  </si>
  <si>
    <t>Trauma, Torture and Dissociation : A Psychoanalytic View</t>
  </si>
  <si>
    <t>BF175 -- .A43 2011eb</t>
  </si>
  <si>
    <t>Psychoanalysis. ; Psychic trauma. ; Torture. ; Dissociation (Psychology)</t>
  </si>
  <si>
    <t>Alcohol, Tobacco and Obesity : Morality, Mortality and the New Public Health</t>
  </si>
  <si>
    <t>Bell, Kirsten;Salmon, Amy;McNaughton, Darlene</t>
  </si>
  <si>
    <t>RA427 -- .A43 2011eb</t>
  </si>
  <si>
    <t>Positive Youth Development and Spirituality : From Theory to Research</t>
  </si>
  <si>
    <t>Lerner, Richard M.;Roesner, Robert W.;Phelps, Erin;Benson, Peter</t>
  </si>
  <si>
    <t>BL625</t>
  </si>
  <si>
    <t>Youth -- Religious life</t>
  </si>
  <si>
    <t>Foundations of Human Sociality : Economic Experiments and Ethnographic Evidence from Fifteen Small-Scale Societies</t>
  </si>
  <si>
    <t>Henrich, Joseph;Boyd, Robert;Bowles, Samuel, III;Camerer, Colin ;Fehr, Ernst ;Gintis, Herbert ;Bowles, Samuel</t>
  </si>
  <si>
    <t>HM1146.F68 2004</t>
  </si>
  <si>
    <t>Altruism -- Cross-cultural studies. ; Helping behavior -- Cross-cultural studies. ; Social interaction -- Cross-cultural studies. ; Economics -- Sociological aspects. ; Game theory.</t>
  </si>
  <si>
    <t>Psychopharmacology and Child Psychiatry Review : With 1200 Board-Style Questions</t>
  </si>
  <si>
    <t>Thomas, Prakash;Poncin, Yann</t>
  </si>
  <si>
    <t>RM315 -- .T46 2011eb</t>
  </si>
  <si>
    <t>Psychopharmacology. ; Child psychiatry.</t>
  </si>
  <si>
    <t>Feminism, the Family, and the Politics of the Closet : Lesbian and Gay Displacement</t>
  </si>
  <si>
    <t>Calhoun, Cheshire</t>
  </si>
  <si>
    <t>HQ75.6.U5C35 2000</t>
  </si>
  <si>
    <t>Lesbian feminism -- United States. ; Lesbian feminist theory -- United States. ; Lesbians -- United States -- Identity. ; Sexual orientation -- Political aspects -- United States. ; Oppression (Psychology) -- Political aspects -- United States. ; Lesbians -- United States -- Political activity. ; Gay men -- United States -- Political activity.</t>
  </si>
  <si>
    <t>Ethics, Aging, and Society : The Critical Turn</t>
  </si>
  <si>
    <t>Holstein, Martha B.;Waymack, Mark;Parks, Jennifer</t>
  </si>
  <si>
    <t>RA408.A3H65 2011</t>
  </si>
  <si>
    <t>Aging--Moral and ethical aspects. ; Older people--Psychology. ; Older people--Health and hygiene. ; Aging. ; Aged--psychology. ; Bioethical Issues. ; Geriatrics--ethics. ; Personal Autonomy. ; Social Support.</t>
  </si>
  <si>
    <t>Health; Philosophy; Social Science</t>
  </si>
  <si>
    <t>Eating Behavior and Obesity : Behavioral Economics Strategies for Health Professionals</t>
  </si>
  <si>
    <t>Heshmat, Shahram</t>
  </si>
  <si>
    <t>RC685.A65H47 2011</t>
  </si>
  <si>
    <t>Eating disorders. ; Decision making--Psychological aspects. ; Eating Disorders. ; Feeding Behavior--psychology. ; Decision Making. ; Obesity. ; Socioeconomic Factors.</t>
  </si>
  <si>
    <t>To Break Our Chains : Social Cohesiveness and Modern Democracy</t>
  </si>
  <si>
    <t>Braun, Jerome</t>
  </si>
  <si>
    <t>Studies in Critical Social Sciences Series</t>
  </si>
  <si>
    <t>Political sociology. ; Alienation (Social psychology) ; Democracy-Social aspects.</t>
  </si>
  <si>
    <t>Landscapes of Relations and Belonging : Body, Place and Politics in Wogeo, Papua New Guinea</t>
  </si>
  <si>
    <t>Anderson, Astrid</t>
  </si>
  <si>
    <t>Person, Space and Memory in the Contemporary Pacific Series</t>
  </si>
  <si>
    <t>GN671.N5A64 2011</t>
  </si>
  <si>
    <t>305.800957/5</t>
  </si>
  <si>
    <t>Ethnology--Papua New Guinea--Vokeo Island. ; Ethnopsychology--Papua New Guinea--Vokeo Island. ; Ethnicity--Papua New Guinea--Vokeo Island. ; Geographical perception--Papua New Guinea--Vokeo Island. ; Vokeo Island (Papua New Guinea)--Politics and government. ; Vokeo Island (Papua New Guinea)--Social life and customs.</t>
  </si>
  <si>
    <t>After the Event : The Transmission of Grievous Loss in Germany, China and Taiwan</t>
  </si>
  <si>
    <t>BF575.D35.F48 2011</t>
  </si>
  <si>
    <t>Loss (Psychology)--Case studies.</t>
  </si>
  <si>
    <t>Psychology; History</t>
  </si>
  <si>
    <t>Women Psychotherapists : Journeys in Healing</t>
  </si>
  <si>
    <t>Comas-Diaz, Lillian;Weiner, Marcella Bakur;Bradshaw, Carla;Bryant-Davis, Thema;Comas-Díaz, Lillian;Crawford, Janice;Fauman, Beverly;Greene, Beverly;Levalds, Cinzia;Pitta, Patricia</t>
  </si>
  <si>
    <t>RC475.W66 2011</t>
  </si>
  <si>
    <t>616.89/14082</t>
  </si>
  <si>
    <t>Psychotherapy--Biography. ; Women--Biography. ; Psychotherapy--Autobiography. ; Women--Autobiography.</t>
  </si>
  <si>
    <t>A Dangerous Legacy : Judaism and the Psychoanalytic Movement</t>
  </si>
  <si>
    <t>Reijzer, Hans;Ringold, Jeannette K.</t>
  </si>
  <si>
    <t>Karnac History of Psychoanalysis</t>
  </si>
  <si>
    <t>BF109.F74 -- R4513 2011eb</t>
  </si>
  <si>
    <t>Freud, Sigmund, -- 1856-1939 -- Psychology. ; Freud, Sigmund, -- 1856-1939 -- Religion. ; Judaism and psychoanalysis. ; Movement, Psychology of.</t>
  </si>
  <si>
    <t>A Clinical Application of Bion's Concepts : Analytic Function and the Function of the Analyst</t>
  </si>
  <si>
    <t>RC506 -- .S26 2011eb</t>
  </si>
  <si>
    <t>Bion, Wilfred R. -- (Wilfred Ruprecht), -- 1897-1979. ; Psychoanalysis. ; Psychoanalytic interpretation. ; Dream interpretation.</t>
  </si>
  <si>
    <t>Relational Transactional Analysis : Principles in Practice</t>
  </si>
  <si>
    <t>Fowlie, Heather;Sills, Charlotte</t>
  </si>
  <si>
    <t>RC489.T7 -- R45 2011eb</t>
  </si>
  <si>
    <t>International Perspectives on Children and Mental Health [2 Volumes] : [2 Volumes]</t>
  </si>
  <si>
    <t>Fitzgerald, Hiram E.;Tomlinson, Mark;Paul, Campbell</t>
  </si>
  <si>
    <t>RJ499.I59 2011</t>
  </si>
  <si>
    <t>Child mental health--Cross-cultural studies. ; Child psychiatry--Cross-cultural studies. ; Child development--Cross-cultural studies. ; Child Development. ; Child. ; Mental Disorders--prevention &amp; control. ; Mental Health.</t>
  </si>
  <si>
    <t>Mental Toughness in Sport : Developments in Theory and Research</t>
  </si>
  <si>
    <t>Gucciardi, Daniel;Gordon, Sandy</t>
  </si>
  <si>
    <t>Routledge Research in Sport and Exercise Science</t>
  </si>
  <si>
    <t>GV706.4 -- .M46 2011eb</t>
  </si>
  <si>
    <t>The Social Cure : Identity, Health and Well-Being</t>
  </si>
  <si>
    <t>Jetten, Jolanda;Haslam, Catherine;Haslam, Alexander, S.</t>
  </si>
  <si>
    <t>HM741 -- .S633 2012eb</t>
  </si>
  <si>
    <t>Un Sanctions and Conflict : Responding to Peace and Security Threats</t>
  </si>
  <si>
    <t>Charron, Andrea</t>
  </si>
  <si>
    <t>Routledge Studies in Security and Conflict Management Series</t>
  </si>
  <si>
    <t>JZ4971 -- .C43 2011eb</t>
  </si>
  <si>
    <t>341.5/82</t>
  </si>
  <si>
    <t>Political Science; Law</t>
  </si>
  <si>
    <t>Handbook of Holistic Neuropsychological Rehabilitation : Outpatient Rehabilitation of Traumatic Brain Injury</t>
  </si>
  <si>
    <t>Ben-Yishay, Yehuda;Diller, Leonard</t>
  </si>
  <si>
    <t>RC386.6.N48 -- B46 2011eb</t>
  </si>
  <si>
    <t>Clinical neuropsychology -- Handbooks, manuals, etc. ; Holistic medicine -- Handbooks, manuals, etc.</t>
  </si>
  <si>
    <t>Exercise for Mood and Anxiety : Proven Strategies for Overcoming Depression and Enhancing Well-Being</t>
  </si>
  <si>
    <t>Otto, Michael;Smits, Jasper A. J.</t>
  </si>
  <si>
    <t>BF521 -- .O88296 2011eb</t>
  </si>
  <si>
    <t>615.8/2</t>
  </si>
  <si>
    <t>Mood (Psychology) ; Anxiety. ; Exercise therapy. ; Exercise -- Psychological aspects.</t>
  </si>
  <si>
    <t>Stroebe, Wolfgang</t>
  </si>
  <si>
    <t>Marriage and Family Therapy : A Practice-Oriented Approach</t>
  </si>
  <si>
    <t>Metcalf, Linda</t>
  </si>
  <si>
    <t>Microsoft Windows (Computer file)</t>
  </si>
  <si>
    <t>Laughlin, Patrick R.</t>
  </si>
  <si>
    <t>Porter, Bryan E.</t>
  </si>
  <si>
    <t>363.12/5</t>
  </si>
  <si>
    <t>Questioning Consciousness : The interplay of imagery, cognition, and emotion in the human brain</t>
  </si>
  <si>
    <t>BF311 -- .E485 1995eb</t>
  </si>
  <si>
    <t>Consciousness. ; Apperception. ; Human information processing.</t>
  </si>
  <si>
    <t>Newton, Natika</t>
  </si>
  <si>
    <t>BF325 -- .N48 1996eb</t>
  </si>
  <si>
    <t>Comprehension. ; Comprehension (Theory of knowledge) ; Cognition. ; Communication -- Psychological aspects. ; Human information processing.</t>
  </si>
  <si>
    <t>Analyzing Gender, Intersectionality, and Multiple Inequalities : Global-Transnational and Local Contexts</t>
  </si>
  <si>
    <t>Chow, Esther Ngan-ling;Segal, Marcia Texler;Lin, Tan</t>
  </si>
  <si>
    <t>Advances in Gender Research Series</t>
  </si>
  <si>
    <t>HQ1075</t>
  </si>
  <si>
    <t>Globalization -- Social aspects</t>
  </si>
  <si>
    <t>Autism, Advocates, and Law Enforcement Professionals : Recognizing and Reducing Risk Situations for People with Autism Spectrum Disorders</t>
  </si>
  <si>
    <t>Debbaudt, Dennis</t>
  </si>
  <si>
    <t>HV6133 -- .D43 2002eb</t>
  </si>
  <si>
    <t>Autism. ; Law enforcement. ; Offenders with mental disabilities. ; Police.</t>
  </si>
  <si>
    <t>Power, Resistance and Liberation in Therapy with Survivors of Trauma : To Have Our Hearts Broken</t>
  </si>
  <si>
    <t>Afuape, Taiwo</t>
  </si>
  <si>
    <t>RC552.P67 -- A35 2011eb</t>
  </si>
  <si>
    <t>Poisonous Parenting : Toxic Relationships Between Parents and Their Adult Children</t>
  </si>
  <si>
    <t>Dunham, Shea M.;Dermer, Shannon B.;Carlson, Jon</t>
  </si>
  <si>
    <t>HQ755.86 -- .P62 2011eb</t>
  </si>
  <si>
    <t>Self Within Marriage : The Foundation for Lasting Relationships</t>
  </si>
  <si>
    <t>Zeitner, Richard M.</t>
  </si>
  <si>
    <t>RC488.5 -- .Z45 2012eb</t>
  </si>
  <si>
    <t>Cognitive Behavioral Therapy for the Busy Child Psychiatrist and Other Mental Health Professionals : Rubrics and Rudiments</t>
  </si>
  <si>
    <t>Friedberg, Robert D.;Gorman, Angela A.;Hollar Wilt, Laura;Biuckians, Adam;Murray, Michael;Garcia, Jolene Hillwig</t>
  </si>
  <si>
    <t>RJ505.C63 -- C648 2011eb</t>
  </si>
  <si>
    <t>When Someone You Love Suffers from Posttraumatic Stress : What to Expect and What You Can Do</t>
  </si>
  <si>
    <t>Zayfert, Claudia;DeViva, Jason C.</t>
  </si>
  <si>
    <t>RC552.P67 -- Z39 2011eb</t>
  </si>
  <si>
    <t>Fechner's Legacy in Psychology : 150 Years of Elementary Psychophysics</t>
  </si>
  <si>
    <t>Solomon, Joshua A.</t>
  </si>
  <si>
    <t>BC199.N4 -- O54 2011eb</t>
  </si>
  <si>
    <t>Freud, Sigmund, -- 1856-1939. ; Negation (Logic)</t>
  </si>
  <si>
    <t>In the Traces of Our Name : The Influence of Given Names in Life</t>
  </si>
  <si>
    <t>Tesone, Juan Eduardo</t>
  </si>
  <si>
    <t>BF455 -- .T47 2011eb</t>
  </si>
  <si>
    <t>BF173 -- .G7413 2011eb</t>
  </si>
  <si>
    <t>Rudnytsky, Peter L.</t>
  </si>
  <si>
    <t>BF173 -- .R83 2011eb</t>
  </si>
  <si>
    <t>Distance Psychoanalysis : The Theory and Practice of Using Communication Technology in the Clinic</t>
  </si>
  <si>
    <t>Carlino, Ricardo;Nuss, James</t>
  </si>
  <si>
    <t>The Library of Technology and Mental Health</t>
  </si>
  <si>
    <t>BF173 -- .C3713 2011eb</t>
  </si>
  <si>
    <t>Alexander, June;Treasure, Janet</t>
  </si>
  <si>
    <t>RC552.E18 -- C638 2012eb</t>
  </si>
  <si>
    <t>Piotrowski, Andrzej</t>
  </si>
  <si>
    <t>NA2500 -- .P55 2011eb</t>
  </si>
  <si>
    <t>Architecture -- Philosophy. ; Thought and thinking.</t>
  </si>
  <si>
    <t>BF637.B85 D43 2011</t>
  </si>
  <si>
    <t>Bullying-Australia-Prevention. ; Bullying in schools-Australia-Prevention. ; Bullying in the workplace-Australia-Prevention. ; Cyberbullying-Australia-Prevention.</t>
  </si>
  <si>
    <t>When the War Never Ends : The Voices of Military Members with PTSD and Their Families</t>
  </si>
  <si>
    <t>Stackpole Books</t>
  </si>
  <si>
    <t>Wizelman, Leah</t>
  </si>
  <si>
    <t>RC552.P67W5913 2010</t>
  </si>
  <si>
    <t>Post-traumatic stress disorder. ; War--Psychological aspects. ; Soldiers--Mental health. ; Soldiers--Interviews. ; Families of military personnel--Interviews. ; PSYCHOLOGY / Psychopathology / Post-Traumatic Stress Disorder (PTSD). bisacsh.</t>
  </si>
  <si>
    <t>Chitty, Clyde;Benn, Tony</t>
  </si>
  <si>
    <t>HQ755.5.G7 -- C55 2009eb</t>
  </si>
  <si>
    <t>Eugenics -- Great Britain -- History. ; Eugenics -- United States -- History. ; Intelligence tests -- Great Britain -- History. ; Intelligence tests -- United States -- History. ; Classism -- Great Britain -- History. ; Racism -- United States -- History. ; Education -- Great Britain.</t>
  </si>
  <si>
    <t>Treating Eating Disorders : Ethical, Legal and Personal Issues</t>
  </si>
  <si>
    <t>Athlone Press, The</t>
  </si>
  <si>
    <t>Vandereycken, Walter;Beumont, Pierre J. V.</t>
  </si>
  <si>
    <t>RC552.E18 -- T742 1998eb</t>
  </si>
  <si>
    <t>Eating disorders -- Treatment -- Moral and ethical aspects. ; Eating disorders -- Law and legislation. ; Psychotherapist and patient.</t>
  </si>
  <si>
    <t>AD,AE,AF,AG,AI,AL,AM,AO,AQ,AR,AT,AU,AW,AX,AZ,BA,BB,BD,BE,BF,BG,BH,BI,BJ,BL,BM,BN,BO,BQ,BR,BS,BT,BV,BW,BY,BZ,CA,CC,CD,CF,CG,CH,CI,CK,CL,CM,CN,CO,CR,CU,CV,CW,CX,CY,CZ,DE,DJ,DK,DM,DO,DZ,EC,EE,EG,EH,ER,ES,ET,FI,FJ,FK,FM,FO,FR,GA,GB,GD,GE,GF,GG,GH,GI,GL,GM,GN,GP,GQ,GR,GS,GT,GW,GY,HK,HM,HN,HR,HT,HU,ID,IE,IL,IM,IN,IO,IQ,IR,IS,IT,JE,JM,JO,JP,KE,KG,KH,KI,KM,KN,KP,KR,KW,KY,KZ,LA,LB,LC,LI,LK,LR,LS,LT,LU,LV,LY,MA,MC,MD,ME,MF,MG,MH,MK,ML,MM,MN,MO,MQ,MR,MS,MT,MU,MV,MW,MX,MY,MZ,NA,NC,NE,NF,NG,NI,NL,NO,NP,NR,NU,NZ,OM,PA,PE,PF,PG,PK,PL,PM,PN,PS,PT,PW,PY,QA,RE,RO,RS,RU,RW,SA,SB,SC,SD,SE,SG,SH,SI,SJ,SK,SL,SM,SN,SO,SR,SS,ST,SV,SX,SY,SZ,TC,TD,TF,TG,TH,TJ,TK,TL,TM,TN,TO,TR,TT,TV,TW,TZ,UA,UG,UY,UZ,VA,VC,VE,VG,VN,VU,WF,WS,YE,YT,ZA,ZM,ZW</t>
  </si>
  <si>
    <t>Construing Experience Through Meaning : A Language-Based Approach to Cognition</t>
  </si>
  <si>
    <t>Halliday, M. A. K.;Matthiessen, Christian;Halliday, M A K</t>
  </si>
  <si>
    <t>P325.5.P75 -- H35 1999eb</t>
  </si>
  <si>
    <t>Semantics -- Psychological aspects. ; Grammar, Comparative and general. ; Concepts. ; Metaphor. ; Computational linguistics. ; Cognitive science.</t>
  </si>
  <si>
    <t>Faltin, Lucia;Wright, Melanie J.</t>
  </si>
  <si>
    <t>BL60 -- .R449 2007eb</t>
  </si>
  <si>
    <t>Religion and sociology -- Europe. ; National characteristics, European. ; Identity (Psychology) -- Religious aspects.</t>
  </si>
  <si>
    <t>T&amp;T Clark</t>
  </si>
  <si>
    <t>Gunton, Colin E.</t>
  </si>
  <si>
    <t>BT738.27 -- .T44 2003eb</t>
  </si>
  <si>
    <t>234/.5</t>
  </si>
  <si>
    <t>Reconciliation -- Religious aspects -- Christianity -- Congresses. ; Atonement -- Congresses.</t>
  </si>
  <si>
    <t>Bloomsbury Continuum</t>
  </si>
  <si>
    <t>Teare, Barry</t>
  </si>
  <si>
    <t>LC3993 .T437 2006</t>
  </si>
  <si>
    <t>Hampton, Simon J.</t>
  </si>
  <si>
    <t>BF701 -- .H34 2009eb</t>
  </si>
  <si>
    <t>McGee, Sieglinde</t>
  </si>
  <si>
    <t>BF78 -- .M344 2010eb</t>
  </si>
  <si>
    <t>Coping and Emotion in Sport : Second Edition</t>
  </si>
  <si>
    <t>Thatcher, Joanne;Jones, Marc;Lavallee, David</t>
  </si>
  <si>
    <t>GV706.4 -- .C684 2012eb</t>
  </si>
  <si>
    <t>Brooks, Peter</t>
  </si>
  <si>
    <t>Augenkommunikation : Methodenreflexion und Beispielanalyse</t>
  </si>
  <si>
    <t>Ehlich, Konrad;Rehbein, Jochen</t>
  </si>
  <si>
    <t>Linguistik Aktuell/Linguistics Today</t>
  </si>
  <si>
    <t>BF637.C45 -- E33 1982eb</t>
  </si>
  <si>
    <t>Body language. ; Gaze -- Psychological aspects.</t>
  </si>
  <si>
    <t>Meredith, Lisa S.;Sherbourne, Cathy D.;Gaillot, Sarah J.;Hansell, Lydia;Parker, Andrew M;Wrenn, Glenda;Ritschard, Hans V</t>
  </si>
  <si>
    <t>U22.3 -- .M47 2011eb</t>
  </si>
  <si>
    <t>Urology. ; Genitourinary organs -- Diseases.</t>
  </si>
  <si>
    <t>Social Science; Military Science</t>
  </si>
  <si>
    <t>Improving Medical Outcomes : The Psychology of Doctor-Patient Visits</t>
  </si>
  <si>
    <t>Leavitt, Jessica;Leavitt, Fred</t>
  </si>
  <si>
    <t>R727.3.L34 2011</t>
  </si>
  <si>
    <t>Physician and patient. ; Patient participation. ; Medical offices. ; Patients--Psychology. ; Physicians--Psychology. ; Physician-Patient Relations. ; Office Visits. ; Patient Participation. ; Patients--psychology. ; Physicians--psychology. ; Treatment Outcome.</t>
  </si>
  <si>
    <t>Eneagrama : Los engaños del carácter y sus antídotos</t>
  </si>
  <si>
    <t>Durán, Carmen;Catalán, Antonio</t>
  </si>
  <si>
    <t>RC553.D35 D873 2010</t>
  </si>
  <si>
    <t>Delusions.</t>
  </si>
  <si>
    <t>Fayek, Ahmed</t>
  </si>
  <si>
    <t>RC504 -- .F39 2011eb</t>
  </si>
  <si>
    <t>Webster, Jamieson</t>
  </si>
  <si>
    <t>RC506 -- .W43 2011eb</t>
  </si>
  <si>
    <t>Psychoanalysis. ; Desire.</t>
  </si>
  <si>
    <t>Aggression : From Fantasy to Action</t>
  </si>
  <si>
    <t>BF175.5.A36 -- W55 2011eb</t>
  </si>
  <si>
    <t>Eigen in Seoul : Faith and Transformation</t>
  </si>
  <si>
    <t>BL53 -- .E34 2011eb</t>
  </si>
  <si>
    <t>Psychology, Religious. ; Faith development.</t>
  </si>
  <si>
    <t>The Uninvited Guest from the Unremembered Past : An Exploration of the Unconscious Transmission of Trauma Across the Generations</t>
  </si>
  <si>
    <t>Bagwell, Catherine L.;Schmidt, Michelle E.</t>
  </si>
  <si>
    <t>BF723.F68 -- B34 2011eb</t>
  </si>
  <si>
    <t>302.3/4083</t>
  </si>
  <si>
    <t>Friendship in children</t>
  </si>
  <si>
    <t>Eating Disorders in Children and Adolescents : A Clinical Handbook</t>
  </si>
  <si>
    <t>Eating disorders in children. ; Eating disorders in adolescence.</t>
  </si>
  <si>
    <t>Applied Clinical Neuropsychology : An Introduction</t>
  </si>
  <si>
    <t>Holtz, Jan Leslie</t>
  </si>
  <si>
    <t>RC386.6.N48H65 2011</t>
  </si>
  <si>
    <t>Clinical neuropsychology. ; Neuropsychological tests. ; Nervous System Diseases--diagnosis. ; Neuropsychology--methods. ; Neuropsychological Tests.</t>
  </si>
  <si>
    <t>Creating New Families : Therapeutic Approaches to Fostering, Adoption and Kinship Care</t>
  </si>
  <si>
    <t>Kenrick, Jenny;Lindsey, Caroline;Tollemache, Lorraine</t>
  </si>
  <si>
    <t>RJ507.A36 -- C75 2006eb</t>
  </si>
  <si>
    <t>Adopted children -- Mental health. ; Adopted children -- Psychology. ; Foster children -- Mental health. ; Foster children -- Psychology. ; Child psychotherapy. ; Family psychotherapy. ; Kinship care -- Psychological aspects.</t>
  </si>
  <si>
    <t>BF175.5.O33 -- O314 2005eb</t>
  </si>
  <si>
    <t>Oedipus complex. ; Psychoanalysis. ; Couples therapy -- Case studies.</t>
  </si>
  <si>
    <t>Glynos, Jason;Stavrakakis, Yannis;Jason Glynos,;Yannis Stavraka,</t>
  </si>
  <si>
    <t>BF173 -- .L33 2002eb</t>
  </si>
  <si>
    <t>Hidden Treasure : A Map to the Child's Inner Self</t>
  </si>
  <si>
    <t>Oaklander, Violet</t>
  </si>
  <si>
    <t>RJ504 -- .O25 2006eb</t>
  </si>
  <si>
    <t>Child psychotherapy. ; Child analysis. ; Subconsciousness.</t>
  </si>
  <si>
    <t>A Memoir of the Future : Volumes I,II &amp; III</t>
  </si>
  <si>
    <t>BF173 -- .B56 1991eb</t>
  </si>
  <si>
    <t>Reflecting on Reality : Psychotherapists at Work in Primary Care</t>
  </si>
  <si>
    <t>Blake, Sue;Daws, Dilys;Launer, John</t>
  </si>
  <si>
    <t>RC465.5 -- .R44 2005eb</t>
  </si>
  <si>
    <t>Psychotherapy -- Practice. ; Primary care (Medicine)</t>
  </si>
  <si>
    <t>Exploring Feeding Difficulties in Children : The Generosity of Acceptance</t>
  </si>
  <si>
    <t>Desmarais, Jane;Ravenscroft, Kent;Williams, Gianna Polacco;Williams, Paul ((Psychotherapist));Williams, Paul</t>
  </si>
  <si>
    <t>RJ506.E18 -- U53 2003eb</t>
  </si>
  <si>
    <t>Eating disorders in children. ; Appetite disorders.</t>
  </si>
  <si>
    <t>Lives Across Time/Growing Up : Paths to Emotional Health and Emotional Illness from Birth to 30 in 76 People</t>
  </si>
  <si>
    <t>Massie, Henry H.;Szajnberg, Nathan M.</t>
  </si>
  <si>
    <t>Psychoanalysis -- United States -- Case studies</t>
  </si>
  <si>
    <t>Matthis, Irene</t>
  </si>
  <si>
    <t>BF692.2 -- .D53 2004eb</t>
  </si>
  <si>
    <t>Sex differences (Psychology) ; Femininity. ; Psychoanalysis and feminism.</t>
  </si>
  <si>
    <t>The Half-Alive Ones : Clinical Papers on Analytical Psychology in a Changing World</t>
  </si>
  <si>
    <t>Seligman, Eva</t>
  </si>
  <si>
    <t>Jungian psychology. ; Psychoanalysis -- Case studies.</t>
  </si>
  <si>
    <t>Sex and Sexuality : Winnicottian Perspectives</t>
  </si>
  <si>
    <t>BF692 -- .S427 2005eb</t>
  </si>
  <si>
    <t>Winnicott, D. W. -- (Donald Woods), -- 1896-1971. ; Sex (Psychology)</t>
  </si>
  <si>
    <t>Lives Elsewhere : Migration and Psychic Malaise</t>
  </si>
  <si>
    <t>Losi, Natale;Shapiro, Brett</t>
  </si>
  <si>
    <t>RC451.4.E45 -- L67 2006eb</t>
  </si>
  <si>
    <t>Emigration and immigration -- Mental health. ; Psychotherapy.</t>
  </si>
  <si>
    <t>The Therapist at Work : Personal Factors Affecting the Analytic Process</t>
  </si>
  <si>
    <t>Anastasopoulos, Dimitris;Papanicolaou, Evagelos</t>
  </si>
  <si>
    <t>The Impossibility of Knowing : Dilemmas of a Psychotherapist</t>
  </si>
  <si>
    <t>Gerrard, Jackie</t>
  </si>
  <si>
    <t>RC480.8 -- .G47 2011eb</t>
  </si>
  <si>
    <t>Psychotherapist and patient. ; Psychotherapists. ; Psychotherapy.</t>
  </si>
  <si>
    <t>The Interpersonal World of the Infant : A View from Psychoanalysis and Developmental Psychology</t>
  </si>
  <si>
    <t>BF720.S63 -- S74 1998eb</t>
  </si>
  <si>
    <t>The Internal and External Worlds of Children and Adolescents : Collaborative Therapeutic Care</t>
  </si>
  <si>
    <t>Day, Lesley;Flynn, Denis;Day, Lesley;Flynn, Denis</t>
  </si>
  <si>
    <t>RJ504 -- .I58 2003eb</t>
  </si>
  <si>
    <t>Child psychotherapy. ; Adolescent psychotherapy. ; Child psychiatrists.</t>
  </si>
  <si>
    <t>Freud's Technique Papers : A Contemporary Perspective</t>
  </si>
  <si>
    <t>RC506.E45</t>
  </si>
  <si>
    <t>Pereira, Frederico;Scharff, David E.</t>
  </si>
  <si>
    <t>BF175.5.O24 -- F35 2002eb</t>
  </si>
  <si>
    <t>Fairbairn, W. Ronald D. -- (William Ronald Dodds) ; Object relations (Psychoanalysis) ; Psychoanalysis.</t>
  </si>
  <si>
    <t>Erik Arnkil, Tom;Seikkula, Jaakko</t>
  </si>
  <si>
    <t>RC480.5 -- .S4157 2006eb</t>
  </si>
  <si>
    <t>Psychotherapist and patient. ; Communication in psychiatry. ; Discourse analysis. ; Interpersonal communication.</t>
  </si>
  <si>
    <t>To Be Met As a Person : The Dynamics of Attachment in Professional Encounters</t>
  </si>
  <si>
    <t>McCluskey, Una</t>
  </si>
  <si>
    <t>BF575.E55 -- M38 2005eb</t>
  </si>
  <si>
    <t>Empathy. ; Psychotherapy. ; Social interaction.</t>
  </si>
  <si>
    <t>Ryan, Jane</t>
  </si>
  <si>
    <t>CONFER</t>
  </si>
  <si>
    <t>RC480.5 -- .H69 2005eb</t>
  </si>
  <si>
    <t>Rawson, Penny</t>
  </si>
  <si>
    <t>RC489.P72 -- R39 2005eb</t>
  </si>
  <si>
    <t>Violent Adolescents : Understanding the Destructive Impulse</t>
  </si>
  <si>
    <t>Greenwood, Lynn</t>
  </si>
  <si>
    <t>RJ506.S39 -- V56 2005eb</t>
  </si>
  <si>
    <t>Self-destructive behavior in adolescence. ; Violence in adolescence. ; Youth and violence.</t>
  </si>
  <si>
    <t>Exploring Eating Disorders in Adolescents : The Generosity of Acceptance</t>
  </si>
  <si>
    <t>Williams, Gianna Polacco;Williams, Paul;Desmarais, Jane;Ravenscroft, Kent;Williams, Paul</t>
  </si>
  <si>
    <t>RJ506.E18 -- E97 2003eb</t>
  </si>
  <si>
    <t>The Seven Deadly Sins? : Issues in Clinical Practice and Supervision for Humanistic and Integrative Practitioners</t>
  </si>
  <si>
    <t>RC480.8 -- .K43 2005eb</t>
  </si>
  <si>
    <t>Psychotherapist and patient. ; Psychoanalysis.</t>
  </si>
  <si>
    <t>The Pale Criminal : Psychoanalytic Perspectives</t>
  </si>
  <si>
    <t>J. Costello, Stephen</t>
  </si>
  <si>
    <t>HV6080 -- .C67 2002eb</t>
  </si>
  <si>
    <t>Criminal psychology. ; Psychoanalysis. ; Crime.</t>
  </si>
  <si>
    <t>Disappearing and Reviving : Sandor Ferenczi in the History of Psychoanalysis</t>
  </si>
  <si>
    <t>Haynal, André E.</t>
  </si>
  <si>
    <t>BF109.F47 -- H39 2002eb</t>
  </si>
  <si>
    <t>Ferenczi, Sándor, -- 1873-1933. ; Psychoanalysis.</t>
  </si>
  <si>
    <t>Understanding Perversion in Clinical Practice : Structure and Strategy in the Psyche</t>
  </si>
  <si>
    <t>Ross, Fiona</t>
  </si>
  <si>
    <t>BF175.5.S48 -- R67 2003eb</t>
  </si>
  <si>
    <t>Psychoanalysis. ; Paraphilias.</t>
  </si>
  <si>
    <t>Analyst of the Imagination : The Life and Work of Charles Rycroft</t>
  </si>
  <si>
    <t>Pearson, Jenny</t>
  </si>
  <si>
    <t>Psychoanalysts -- Great Britain -- Biography</t>
  </si>
  <si>
    <t>The Unborn Child : Beginning a Whole Life and Overcoming Problems of Early Origin</t>
  </si>
  <si>
    <t>House, Simon;Ridgway, Roy</t>
  </si>
  <si>
    <t>RG635 -- .R53 2006eb</t>
  </si>
  <si>
    <t>Prenatal influences. ; Fetus -- Physiology.</t>
  </si>
  <si>
    <t>RC509 -- .B56 2005eb</t>
  </si>
  <si>
    <t>Psychology; Science; Medicine; Science: Anatomy/Physiology</t>
  </si>
  <si>
    <t>Invisible Boundaries : Psychosis and Autism in Children and Adolescents</t>
  </si>
  <si>
    <t>Houzel, Didier;Rhode, Maria</t>
  </si>
  <si>
    <t>EFPP Series (European Federation for Psychoanalytic Psychotherapy)</t>
  </si>
  <si>
    <t>RJ506.A9 -- I58 2005eb</t>
  </si>
  <si>
    <t>Autism in children. ; Autism in adolescence. ; Child psychology. ; Psychoanalysis.</t>
  </si>
  <si>
    <t>Setting up and Maintaining an Effective Private Practice : A Practical Workbook for Mental Health Practitioners</t>
  </si>
  <si>
    <t>Weitz, Philippa</t>
  </si>
  <si>
    <t>RC466 -- .W45 2006eb</t>
  </si>
  <si>
    <t>Psychotherapy -- Practice. ; Mental health counseling. ; Mental health services -- Management.</t>
  </si>
  <si>
    <t>BF175 -- .E43 2002eb</t>
  </si>
  <si>
    <t>Women and psychoanalysis. ; Body image in women. ; Human biology.</t>
  </si>
  <si>
    <t>Face to Face with Children : The Life and Work of Clare Winnicott</t>
  </si>
  <si>
    <t>Kanter, Joel</t>
  </si>
  <si>
    <t>Borderline Welfare : Feeling and Fear of Feeling in Modern Welfare</t>
  </si>
  <si>
    <t>Cooper, Andrew;Lousada, Julian</t>
  </si>
  <si>
    <t>HV51 -- .C66 2005eb</t>
  </si>
  <si>
    <t>Public welfare. ; Welfare recipients.</t>
  </si>
  <si>
    <t>From Chaos to Coherence : Psychotherapy with a Little Boy with ADHD</t>
  </si>
  <si>
    <t>RJ506.H9 -- C62313 2004eb</t>
  </si>
  <si>
    <t>Attention-deficit hyperactivity disorder -- Case studies. ; Child psychotherapy -- Case studies.</t>
  </si>
  <si>
    <t>Klauber, Trudy;Rhode, Maria</t>
  </si>
  <si>
    <t>RC553.A88 -- M35 2004eb</t>
  </si>
  <si>
    <t>Mills, Maggie;Wise, Inge</t>
  </si>
  <si>
    <t>PR3065 -- .P79 2006eb</t>
  </si>
  <si>
    <t>Shakespeare, William, -- 1564-1616 -- Knowledge -- Psychology. ; Psychoanalysis and literature -- England. ; Psychology in literature.</t>
  </si>
  <si>
    <t>Psychic Hooks and Bolts : Psychoanalytic Work with Children under Five and Their Families</t>
  </si>
  <si>
    <t>Pozzi Monzo, Maria</t>
  </si>
  <si>
    <t>RJ504.2 -- .P69 2003eb</t>
  </si>
  <si>
    <t>Child analysis. ; Family psychotherapy.</t>
  </si>
  <si>
    <t>RC480.8 -- .B54 1983eb</t>
  </si>
  <si>
    <t>Psychotherapist and patient. ; Truthfulness and falsehood. ; Psychoanalytic interpretation.</t>
  </si>
  <si>
    <t>The Sadomasochistic Perversion : The Entity and the Theories</t>
  </si>
  <si>
    <t>De Masi, Franco</t>
  </si>
  <si>
    <t>RC560.S23 -- M37 2003eb</t>
  </si>
  <si>
    <t>Sadomasochism. ; Psychoanalysis.</t>
  </si>
  <si>
    <t>Lacan and Addiction : An Anthology</t>
  </si>
  <si>
    <t>Goldman Baldwin, Yael;Malone, Kareen R.;Svolos, Thomas</t>
  </si>
  <si>
    <t>BF173 -- .L33 2011eb</t>
  </si>
  <si>
    <t>Disillusionment : Dialogue of Lacks</t>
  </si>
  <si>
    <t>Gutmann, David;Ternier-David, Jacqueline;van der Rest, Francois-Michel;Verrier, Christophe</t>
  </si>
  <si>
    <t>B105.I44 -- D57 2005eb</t>
  </si>
  <si>
    <t>Illusion (Philosophy) ; Social sciences and psychoanalysis. ; Management -- Psychological aspects.</t>
  </si>
  <si>
    <t>Reflexive Inquiry : A Framework for Consultancy Practice</t>
  </si>
  <si>
    <t>Oliver, Christine</t>
  </si>
  <si>
    <t>RC506 -- .O45 2005eb</t>
  </si>
  <si>
    <t>Reflection (Philosophy) ; Organizational behavior.</t>
  </si>
  <si>
    <t>Psychoanalysis and the Paranormal : Lands of Darkness</t>
  </si>
  <si>
    <t>BF173 -- .P79 2003eb</t>
  </si>
  <si>
    <t>Psychoanalysis. ; Parapsychology.</t>
  </si>
  <si>
    <t>Born Too Early : Hidden Handicaps of Premature Children</t>
  </si>
  <si>
    <t>Jepsen, Jonna;Martin, Helen</t>
  </si>
  <si>
    <t>RJ250.3 -- .J46 2006eb</t>
  </si>
  <si>
    <t>Premature infants -- Development. ; Premature infants.</t>
  </si>
  <si>
    <t>RC512 -- .R67 2006eb</t>
  </si>
  <si>
    <t>Infant-Parent Psychotherapy : A Handbook</t>
  </si>
  <si>
    <t>RJ505.P37 -- A28 2004eb</t>
  </si>
  <si>
    <t>HQ755.84 -- .S26 2004eb</t>
  </si>
  <si>
    <t>Mother and infant. ; Mothers -- Psychology. ; Infant psychology. ; Body language. ; Body language in children.</t>
  </si>
  <si>
    <t>Kachele, Horst;Renlund, Camilla;Richardson, Phil</t>
  </si>
  <si>
    <t>Psychoanalysis -- Europe. ; Psychoanalytic counseling.</t>
  </si>
  <si>
    <t>The Social Unconscious in Persons, Groups and Societies : Mainly Theory</t>
  </si>
  <si>
    <t>Hopper, Earl;Weinberg, Haim</t>
  </si>
  <si>
    <t>BF315 -- .S63 2011eb</t>
  </si>
  <si>
    <t>Subconsciousness. ; Psychoanalysis.</t>
  </si>
  <si>
    <t>Reflecting Psychoanalysis : Narrative and Resolve in the Psychoanalytic Experience</t>
  </si>
  <si>
    <t>Reeder, Jurgen</t>
  </si>
  <si>
    <t>RC480.8 -- .R44 2002eb</t>
  </si>
  <si>
    <t>The Subject of Addiction : Psychoanalysis and the Administration of Enjoyment</t>
  </si>
  <si>
    <t>Loose, Rik</t>
  </si>
  <si>
    <t>RC533 -- .L66 2002eb</t>
  </si>
  <si>
    <t>Compulsive behavior. ; Psychoanalysis.</t>
  </si>
  <si>
    <t>Perversion : The Erotic Form of Hatred</t>
  </si>
  <si>
    <t>RC556 -- .S76 1986eb</t>
  </si>
  <si>
    <t>616.8/583</t>
  </si>
  <si>
    <t>Paraphilias. ; Hostility (Psychology) ; Mother and child.</t>
  </si>
  <si>
    <t>Abraham, Karl;Abraham, H.C.;Ellison, D.R.</t>
  </si>
  <si>
    <t>RC509 -- .A3213 1979eb</t>
  </si>
  <si>
    <t>Anxiety at 35,000 Feet : An Introduction to Clinical Aerospace Psychology</t>
  </si>
  <si>
    <t>Bor, Robert</t>
  </si>
  <si>
    <t>Aviation psychology</t>
  </si>
  <si>
    <t>New Directions in Psychoanalysis : The Significance of Infant Conflict in the Pattern of Adult Behaviour</t>
  </si>
  <si>
    <t>Heimann, Paula;Klein, Melanie;Money-Kyrle, Roger</t>
  </si>
  <si>
    <t>RC509 -- .N49 1977eb</t>
  </si>
  <si>
    <t>EMDR and the Energy Therapies : Psychoanalytic Perspectives</t>
  </si>
  <si>
    <t>RC489.E98 -- M655 2005eb</t>
  </si>
  <si>
    <t>Eye movement desensitization and reprocessing. ; Bioenergetic psychotherapy.</t>
  </si>
  <si>
    <t>Ploye, Philippe</t>
  </si>
  <si>
    <t>RC489.R42 -- P56 2006eb</t>
  </si>
  <si>
    <t>Regression (Psychology) ; Psychotherapy. ; Transference (Psychology)</t>
  </si>
  <si>
    <t>Time Present and Time Past : Selected Papers of Pearl King</t>
  </si>
  <si>
    <t>King, Pearl</t>
  </si>
  <si>
    <t>Symington, Neville;Obholzer, Anton</t>
  </si>
  <si>
    <t>RC509 -- .S96 1996eb</t>
  </si>
  <si>
    <t>Psychoanalysis. ; Psychotherapist and patient. ; Psychoanalytic interpretation. ; Psychotherapy -- Philosophy. ; Psychotherapists -- Psychology.</t>
  </si>
  <si>
    <t>Loewenthal, Del;Winter, David</t>
  </si>
  <si>
    <t>RC480 -- .W43 2006eb</t>
  </si>
  <si>
    <t>Sex, Death, and the Superego : Experiences in Psychoanalysis</t>
  </si>
  <si>
    <t>Klein, Edward B.;Pritchard, Ian L.</t>
  </si>
  <si>
    <t>HF1418.5 -- .R45 2006eb</t>
  </si>
  <si>
    <t>International economic integration -- Social aspects. ; Globalization -- Psychological aspects. ; Industrial organization -- Social aspects. ; Intergroup relations. ; Organizational change.</t>
  </si>
  <si>
    <t>Donald Winnicott and John Bowlby : Personal and Professional Perspectives</t>
  </si>
  <si>
    <t>Hauptmann, Bruce;Reeves, Christopher;Issroff, Judith</t>
  </si>
  <si>
    <t>RC455.4.A84 -- I87 2005eb</t>
  </si>
  <si>
    <t>Winnicott, D. W. -- (Donald Woods), -- 1896-1971. ; Bowlby, John. ; Attachment behavior. ; Attachment behavior in children. ; Mental illness -- Etiology. ; Infants -- Development.</t>
  </si>
  <si>
    <t>The Pathology of Democracy : A Letter to Bernard Accoyer and to Enlightened Opinion - JLS Supplement (Ex-Tensions)</t>
  </si>
  <si>
    <t>Miller, Jacques-Alain;Burgoyne, Bernard;Grigg, Russell</t>
  </si>
  <si>
    <t>Ex-Tensions Series for Journal of Lacanian Studies</t>
  </si>
  <si>
    <t>RA261 -- .M55 2005eb</t>
  </si>
  <si>
    <t>Public health laws -- France. ; Medical policy -- France. ; Psychoanalysis -- France.</t>
  </si>
  <si>
    <t>Social Science; Health; Law</t>
  </si>
  <si>
    <t>Prison of Food : Research and Treatment of Eating Disorders</t>
  </si>
  <si>
    <t>Milanese, Roberta;Nardone, Giorgio;Verbitz, Tiziana</t>
  </si>
  <si>
    <t>RC552.E18 -- N374 2005eb</t>
  </si>
  <si>
    <t>Unusual Interventions : Alterations of the Frame, Method, and Relationship in Psychotherapy and Psychoanalysis</t>
  </si>
  <si>
    <t>BF319.5.O6 -- U58 2011eb</t>
  </si>
  <si>
    <t>Operant behavior. ; Psychotherapy. ; Psychoanalysis.</t>
  </si>
  <si>
    <t>Terrorism and War : Unconscious Dynamics of Political Violence</t>
  </si>
  <si>
    <t>Arundale, Jean;Covington, Coline;Knox, Jean;Williams, Paul ((Psychotherapist))</t>
  </si>
  <si>
    <t>BF575.A3 -- T47 2002eb</t>
  </si>
  <si>
    <t>On Incest : Psychoanalytic Perspectives</t>
  </si>
  <si>
    <t>BF175.5.S48 -- O5 2005eb</t>
  </si>
  <si>
    <t>Incest. ; Sex (Psychology)</t>
  </si>
  <si>
    <t>Phobia : A Reassessment</t>
  </si>
  <si>
    <t>Morgan, Siân</t>
  </si>
  <si>
    <t>616.8/5225</t>
  </si>
  <si>
    <t>RC509 -- .I497 2004eb</t>
  </si>
  <si>
    <t>Touch : Attachment and the Body</t>
  </si>
  <si>
    <t>RC489.T69 -- J645 2003eb</t>
  </si>
  <si>
    <t>Touch -- Therapeutic use -- Congresses. ; Touch -- Psychological aspects -- Congresses. ; Human body -- Congresses. ; Psychotherapy -- Congresses.</t>
  </si>
  <si>
    <t>RC501.4 -- .L67 2003eb</t>
  </si>
  <si>
    <t>Bion, Wilfred R. -- (Wilfred Ruprecht), -- 1897-1979 -- Dictionaries. ; Psychoanalysis -- Dictionaries.</t>
  </si>
  <si>
    <t>Psychoanalysis and Art : Kleinian Perspectives</t>
  </si>
  <si>
    <t>Meltzer, Donald;Gosso, Sandra</t>
  </si>
  <si>
    <t>RC489.A7 -- P7513 2004eb</t>
  </si>
  <si>
    <t>Art therapy. ; Psychoanalysis and art.</t>
  </si>
  <si>
    <t>Intimate Transformations : Babies with Their Families</t>
  </si>
  <si>
    <t>Bakalar, Nancy;Cooper, Hope;Levy, Jaedene;Magagna, Jeanne</t>
  </si>
  <si>
    <t>BF720.P37 -- I58 2005eb</t>
  </si>
  <si>
    <t>Parent and infant. ; Infant psychology. ; Infants -- Development.</t>
  </si>
  <si>
    <t>Experiential Learning in Organizations : Applications of the Tavistock Group Relations Approach</t>
  </si>
  <si>
    <t>J. Gould, Laurence;Stapley, Lionel F.;Stein, Mark</t>
  </si>
  <si>
    <t>BF318.5.E9</t>
  </si>
  <si>
    <t>Jung Stripped Bare : By His Biographers, Even</t>
  </si>
  <si>
    <t>BF173.J85 .S536 2005</t>
  </si>
  <si>
    <t>Is It Too Late? : Key Papers on Psychoanalysis and Ageing</t>
  </si>
  <si>
    <t>Junkers, Gabriele</t>
  </si>
  <si>
    <t>BF724.55.A35 -- I85 2006eb</t>
  </si>
  <si>
    <t>Aging -- Psychological aspects. ; Psychoanalysis for older people.</t>
  </si>
  <si>
    <t>Psychological Therapies in Primary Care : Setting up a Managed Service</t>
  </si>
  <si>
    <t>Foster, Joan;Murphy, Antonia</t>
  </si>
  <si>
    <t>RC465.5 -- .F67 2005eb</t>
  </si>
  <si>
    <t>Psychotherapy. ; Managed care plans (Medical care)</t>
  </si>
  <si>
    <t>Political Science; Psychology; Medicine</t>
  </si>
  <si>
    <t>Marchevsky, Noé</t>
  </si>
  <si>
    <t>RC508 -- .M37 2003eb</t>
  </si>
  <si>
    <t>Psychoanalysis -- Humor. ; Psychoanalysts -- Caricatures and cartoons.</t>
  </si>
  <si>
    <t>The Mind of the Paedophile : Psychoanalytic Perspectives</t>
  </si>
  <si>
    <t>R. Loeb, Loretta;Socarides, Charles W.</t>
  </si>
  <si>
    <t>RC560.C46 -- M53 2004eb</t>
  </si>
  <si>
    <t>Child sexual abuse. ; Child molesters -- Psychology. ; Child molesters -- Case studies. ; Pedophilia.</t>
  </si>
  <si>
    <t>Green, Marci;Scholes, Marc</t>
  </si>
  <si>
    <t>BF575.A86 -- A88 2004eb</t>
  </si>
  <si>
    <t>Graham-Fuller, Victoria;Robinson, Hazel</t>
  </si>
  <si>
    <t>BF575.N35 -- R63 2003eb</t>
  </si>
  <si>
    <t>Grappling with Grief : A Guide for the Bereaved</t>
  </si>
  <si>
    <t>BF575.G7 -- R39 2005eb</t>
  </si>
  <si>
    <t>The Legacy of Winnicott : Essays on Infant and Child Mental Health</t>
  </si>
  <si>
    <t>Kahr, Brett</t>
  </si>
  <si>
    <t>RJ502.5 -- .L44 2002eb</t>
  </si>
  <si>
    <t>The Who You Dream Yourself : Playing and Interpretation in Psychotherapy and Theatre</t>
  </si>
  <si>
    <t>Richards, Val</t>
  </si>
  <si>
    <t>RC480 -- .R53 2005eb</t>
  </si>
  <si>
    <t>Psychotherapy. ; Theater -- Psychological aspects.</t>
  </si>
  <si>
    <t>BF175.4.C68 -- I54 2005eb</t>
  </si>
  <si>
    <t>Psychoanalytic counseling. ; Psychoanalysis. ; Countertransference (Psychology)</t>
  </si>
  <si>
    <t>Revolutionary Connections : Psychotherapy and Neuroscience</t>
  </si>
  <si>
    <t>Corrigall, Jenny;Wilkinson, Heward</t>
  </si>
  <si>
    <t>The Feminine Case : Jung, Aesthetics and Creative Process</t>
  </si>
  <si>
    <t>Adams, Tessa;Duncan, Andrea;Adams, Tess;Duncan, Andrea</t>
  </si>
  <si>
    <t>BF175.5.F45 -- F46 2003eb</t>
  </si>
  <si>
    <t>Femininity. ; Jungian psychology.</t>
  </si>
  <si>
    <t>Christopher, Elphis;Solomon, Hester McFarland</t>
  </si>
  <si>
    <t>Longing : Psychoanalytic Musings on Desire</t>
  </si>
  <si>
    <t>RC506 -- .L66 2006eb</t>
  </si>
  <si>
    <t>Desire. ; Psychoanalysis.</t>
  </si>
  <si>
    <t>Group Analytic Psychotherapy : Method and Principles</t>
  </si>
  <si>
    <t>Words That Touch : A Psychoanalyst Learns to Speak</t>
  </si>
  <si>
    <t>Quinodoz, Danielle</t>
  </si>
  <si>
    <t>BF173 -- .S96 2001eb</t>
  </si>
  <si>
    <t>Psychoanalysis. ; Spirituality. ; Mental health.</t>
  </si>
  <si>
    <t>Wild Thoughts Searching for a Thinker : A Clinical Application of W. R. Bion's Theories</t>
  </si>
  <si>
    <t>RC480.5 -- .L5985 2006eb</t>
  </si>
  <si>
    <t>Holder, Alex</t>
  </si>
  <si>
    <t>RJ504.2 -- .H65 2005eb</t>
  </si>
  <si>
    <t>A Healing Conversation : How Healing Happens</t>
  </si>
  <si>
    <t>RC480.8 -- .S96 2006eb</t>
  </si>
  <si>
    <t>Freud, Sigmund, -- 1856-1939. ; Psychotherapist and patient. ; Psychoanalysis.</t>
  </si>
  <si>
    <t>Primitive Experiences of Loss : Working with the Paranoid-Schizoid Patient</t>
  </si>
  <si>
    <t>BQ4570.P76 W38 2008</t>
  </si>
  <si>
    <t>Paranoid schizophrenia. ; Loss (Psychology) ; Projective identification.</t>
  </si>
  <si>
    <t>Medicine; Religion</t>
  </si>
  <si>
    <t>Organization in the Mind : Psychoanalysis, Group Relations and Organizational Consultancy</t>
  </si>
  <si>
    <t>Armstrong, David;French, Robert;French, Robert</t>
  </si>
  <si>
    <t>RC506 -- .A76 2005eb</t>
  </si>
  <si>
    <t>Psychoanalysis. ; Organizational behavior. ; Group relations training.</t>
  </si>
  <si>
    <t>RC504 -- .W48 2004eb</t>
  </si>
  <si>
    <t>It's an Emotional Game : Learning about Leadership from Football</t>
  </si>
  <si>
    <t>Stapley, Lionel F.</t>
  </si>
  <si>
    <t>HD57.7 -- .S73 2002eb</t>
  </si>
  <si>
    <t>Leadership. ; Soccer.</t>
  </si>
  <si>
    <t>Power of Understanding : Essays in Honour of Veikko Tahka</t>
  </si>
  <si>
    <t>Tahka, Veikko;Laine, Aira</t>
  </si>
  <si>
    <t>RC454 -- .P645 2004eb</t>
  </si>
  <si>
    <t>Psychiatry. ; Psychoanalysis. ; Psychiatry -- Finland.</t>
  </si>
  <si>
    <t>Young People and Crime : Improving Provisions for Children Who Offend</t>
  </si>
  <si>
    <t>Morgan, Rod;Hollins, Sheila</t>
  </si>
  <si>
    <t>HV9146 -- .M67 2006eb</t>
  </si>
  <si>
    <t>Winnicott, D. W. -- (Donald Woods), -- 1896-1971. ; Juvenile delinquents -- Rehabilitation -- Great Britain. ; Adolescence -- Great Britain. ; Learning disabilities -- Great Britain. ; Juvenile delinquency. ; Juvenile corrections.</t>
  </si>
  <si>
    <t>Bridges : Metaphor for Psychic Processes</t>
  </si>
  <si>
    <t>Gordon, Rosemary;Jacoby, Mario</t>
  </si>
  <si>
    <t>BF173.G633</t>
  </si>
  <si>
    <t>Ending Analysis : Theory and Technique</t>
  </si>
  <si>
    <t>De Simone, Gilda;Chasseguet-Smirgel, Janine;Baggott, Judy</t>
  </si>
  <si>
    <t>RC504 -- .D38813 1997eb</t>
  </si>
  <si>
    <t>Psychoanalysis. ; Psychotherapy -- Evaluation.</t>
  </si>
  <si>
    <t>Working Systemically with Families : Formulation, Intervention and Evaluation</t>
  </si>
  <si>
    <t>RC488.5 -- .V48 2003eb</t>
  </si>
  <si>
    <t>The Function of Assessment Within Psychological Therapies : A Psychodynamic View</t>
  </si>
  <si>
    <t>Caparrotta, Luigi;Ghaffari, Kamran</t>
  </si>
  <si>
    <t>RC438.6.W56 -- G74 2005eb</t>
  </si>
  <si>
    <t>Winnicott, D. W. -- (Donald Woods), -- 1896-1971. ; Play -- Psychological aspects.</t>
  </si>
  <si>
    <t>Alizade, Mariam;Alizade, Alcira Mariam</t>
  </si>
  <si>
    <t>Arctic Spring : Potential for Growth in Adults with Psychosis and Autism</t>
  </si>
  <si>
    <t>Tremelloni, Laura</t>
  </si>
  <si>
    <t>RC512 -- .T75 2005eb</t>
  </si>
  <si>
    <t>Psychoses -- Patients -- Rehabilitation. ; Autistic people -- Rehabilitation. ; People with mental disabilities -- Rehabilitation.</t>
  </si>
  <si>
    <t>RC480 -- .E45 2004eb</t>
  </si>
  <si>
    <t>The Blind Man Sees : Freud's Awakening and Other Essays</t>
  </si>
  <si>
    <t>Clinical Effectiveness in Psychotherapy and Mental Health : Strategies and Resources for the Effective Clinical Governance</t>
  </si>
  <si>
    <t>Leroux, Penny;McPherson, Susan;Richardson, Phil</t>
  </si>
  <si>
    <t>Field, Nathan;Harvey, Trudy;Sharp, Belinda</t>
  </si>
  <si>
    <t>RC489.S676 -- T42 2005eb</t>
  </si>
  <si>
    <t>Psychotherapy -- Religious aspects. ; Spirituality.</t>
  </si>
  <si>
    <t>Perversion : Psychoanalytic Perspectives/Perspectives on Psychoanalysis</t>
  </si>
  <si>
    <t>Downing, Prof. Lisa;Nobus, Dany</t>
  </si>
  <si>
    <t>ENCY</t>
  </si>
  <si>
    <t>BF175.5.S48 -- P47 2006eb</t>
  </si>
  <si>
    <t>Paraphilias. ; Psychoanalysis.</t>
  </si>
  <si>
    <t>Individuals, Groups and Organizations Beneath the Surface : An Introduction</t>
  </si>
  <si>
    <t>BF199 -- .S73 2006eb</t>
  </si>
  <si>
    <t>Behaviorism (Psychology) ; Subconsciousness. ; Human behavior. ; Organizational behavior. ; Consciousness.</t>
  </si>
  <si>
    <t>The Role of Brief Therapy in Attachment Disorders : Disorders</t>
  </si>
  <si>
    <t>Wake, Lisa</t>
  </si>
  <si>
    <t>BF575.A86 -- W35 2010eb</t>
  </si>
  <si>
    <t>Attachment behavior. ; Brief psychotherapy.</t>
  </si>
  <si>
    <t>Short-Term Psychodynamic Psychotherapy : An Analysis of the Key Principles</t>
  </si>
  <si>
    <t>RC489.P72 -- R39 2002eb</t>
  </si>
  <si>
    <t>Cottet, Serge;Gilbert, Kate;Holland, John;Khiara, Beatrice</t>
  </si>
  <si>
    <t>BF109.F74 -- C68 2012eb</t>
  </si>
  <si>
    <t>Freud, Sigmund, -- 1856-1939 -- Psychology. ; Psychoanalysts -- Psychology. ; Desire.</t>
  </si>
  <si>
    <t>Heard, Dorothy;Lake, Brian</t>
  </si>
  <si>
    <t>RC455.4.A84 -- H43 2009eb</t>
  </si>
  <si>
    <t>Attachment behavior. ; Caregivers. ; Psychotherapist and patient. ; Object relations (Psychoanalysis)</t>
  </si>
  <si>
    <t>Touch Papers : Dialogues on Touch in the Psychoanalytic Space</t>
  </si>
  <si>
    <t>Galton, Graeme</t>
  </si>
  <si>
    <t>BF275 -- .T686 2006eb</t>
  </si>
  <si>
    <t>Psychoanalysis. ; Touch -- Psychological aspects. ; Therapist and patient.</t>
  </si>
  <si>
    <t>A Framework for the Imaginary : Clinical Explorations in Primitive States of Being</t>
  </si>
  <si>
    <t>Mitrani, Judith L.</t>
  </si>
  <si>
    <t>BF408 -- .M58 2008eb</t>
  </si>
  <si>
    <t>Imagination. ; Primitivity (Psychoanalysis)</t>
  </si>
  <si>
    <t>Putting Theory to Work : How Are Theories Actually Used in Practice?</t>
  </si>
  <si>
    <t>Canestri, Jorge</t>
  </si>
  <si>
    <t>RC504 -- .C36 2012eb</t>
  </si>
  <si>
    <t>Quagliata, Emanuela;Rustin, Margaret</t>
  </si>
  <si>
    <t>RJ504 -- .A87 2004eb</t>
  </si>
  <si>
    <t>Child psychotherapy. ; Child mental health services.</t>
  </si>
  <si>
    <t>Hopper, Earl</t>
  </si>
  <si>
    <t>BF175.5.P75 -- T73 2012eb</t>
  </si>
  <si>
    <t>Psychic trauma. ; Group psychotherapy. ; Group psychoanalysis.</t>
  </si>
  <si>
    <t>Deleuze and Guattari's 'Anti-Oedipus' : A Reader's Guide</t>
  </si>
  <si>
    <t>Buchanan, Ian</t>
  </si>
  <si>
    <t>Reader's Guides</t>
  </si>
  <si>
    <t>RC455 -- .B83 2008eb</t>
  </si>
  <si>
    <t>Deleuze, Gilles, -- 1925-1995. ; Guattari, Félix, -- 1930-1992. ; Deleuze, Gilles, -- 1925-1995. -- Anti-Œdipe. ; Social psychiatry. ; Schizophrenia -- Social aspects. ; Capitalism -- Social aspects.</t>
  </si>
  <si>
    <t>Beckman, Frida;Beckman, Frida</t>
  </si>
  <si>
    <t>Deleuze Connections</t>
  </si>
  <si>
    <t>HQ23 -- .D45 2011eb</t>
  </si>
  <si>
    <t>Deleuze, Gilles, -- 1925-1995. ; Sex -- Philosophy.</t>
  </si>
  <si>
    <t>The Organ Donor Experience : Good Samaritans and the Meaning of Altruism</t>
  </si>
  <si>
    <t>Bramstedt, Katrina A.;Down, Rena</t>
  </si>
  <si>
    <t>RD129.5.B73 2011</t>
  </si>
  <si>
    <t>617.9/54</t>
  </si>
  <si>
    <t>Organ donors. ; Organ donors--Psychology. ; Generosity. ; Donation of organs, tissues, etc. ; HEALTH &amp; FITNESS / General bisacsh.</t>
  </si>
  <si>
    <t>Spirituality and Art Therapy : Living the Connection</t>
  </si>
  <si>
    <t>Farrelly-Hansen, Mimi;Franklin, Michael;Busch, Cam;Moon, Catherine Hyland;Lovell, Suzanne;Marek, Bernie;Rugh, Madeline;Sagar, Carol;Timm-Bottos, Janis;Zaphir-Chasman, Edit</t>
  </si>
  <si>
    <t>20010315 Series</t>
  </si>
  <si>
    <t>Fine Arts; Psychology; Religion</t>
  </si>
  <si>
    <t>Grassroots Memorials : The Politics of Memorializing Traumatic Death</t>
  </si>
  <si>
    <t>Margry, Peter Jan;Sánchez-Carretero, Cristina;Sánchez-Carretero, Cristina</t>
  </si>
  <si>
    <t>Remapping Cultural History Series</t>
  </si>
  <si>
    <t>HQ1073.G73 2011</t>
  </si>
  <si>
    <t>393/.9</t>
  </si>
  <si>
    <t>Death--Social aspects. ; Memorialization. ; Social movements--Political aspects.</t>
  </si>
  <si>
    <t>Politics of Time : Dynamics of Identity in Post-Communist Poland</t>
  </si>
  <si>
    <t>Koczanowicz, Leszek</t>
  </si>
  <si>
    <t>HN537.5 .K585 2008</t>
  </si>
  <si>
    <t>Group identity-Poland. ; Social psychology-Poland. ; Post-communism-Poland.</t>
  </si>
  <si>
    <t>Engaging with Complexity : Child and Adolescent Mental Health and Education</t>
  </si>
  <si>
    <t>Harris, Rita;Rendall, Sue;Nashat, Sadagh</t>
  </si>
  <si>
    <t>BF721 -- .E54 2011eb</t>
  </si>
  <si>
    <t>Child psychology. ; Mental health.</t>
  </si>
  <si>
    <t>Making Girls and Boys : Inside the Science of Sex</t>
  </si>
  <si>
    <t>NewSouth</t>
  </si>
  <si>
    <t>McCredie, Jane</t>
  </si>
  <si>
    <t>HQ1075.M417 2011</t>
  </si>
  <si>
    <t>Chemical engineering -- Handbooks, manuals, etc. ; Extraction apparatus.</t>
  </si>
  <si>
    <t>AG,AI,AR,AW,BB,BH,BL,BO,BR,CA,CD,CL,CO,CR,CU,DM,DO,EC,FK,GD,GF,GP,GT,GU,GY,HM,HN,HT,IM,JE,JM,KN,KP,KY,LC,ME,MF,MO,MP,MQ,MS,MX,NI,PA,PE,PF,PM,PR,PY,SH,SJ,SR,SV,TC,TL,TT,UM,US,UY,VC,VE,VG,VI,WF</t>
  </si>
  <si>
    <t>Grant, Gordon;Ramcharan, Paul;Flynn, Margaret;Richardson, Malcolm</t>
  </si>
  <si>
    <t>Learning disabled-Services for-Great Britain. ; Learning disabled-Great Britain-Social conditions.</t>
  </si>
  <si>
    <t>Mental Health Challenges Facing Contemporary Japanese Society : The 'Lonely People'</t>
  </si>
  <si>
    <t>Global Oriental</t>
  </si>
  <si>
    <t>Kawanishi, Yuko</t>
  </si>
  <si>
    <t>Childhood Depression : A Place for Psychotherapy</t>
  </si>
  <si>
    <t>Miles, Gillian;Trowell, Judith</t>
  </si>
  <si>
    <t>RJ506.D4 -- C45 2011eb</t>
  </si>
  <si>
    <t>Depression in children. ; Child psychotherapy.</t>
  </si>
  <si>
    <t>Psyche and Brain : The Biology of Talking Cures</t>
  </si>
  <si>
    <t>Adolescent Vulnerabilities and Opportunities : Developmental and Constructivist Perspectives</t>
  </si>
  <si>
    <t>Amsel, Eric;Smetana, Judith</t>
  </si>
  <si>
    <t>Interdisciplinary Approaches to Knowledge and Development Series</t>
  </si>
  <si>
    <t>BF724 .A278 2011</t>
  </si>
  <si>
    <t>Adolescent psychology. ; Adolescence. ; Constructivism (Psychology)</t>
  </si>
  <si>
    <t>Rethinking Aging : Growing Old and Living Well in an Overtreated Society</t>
  </si>
  <si>
    <t>Hadler, Nortin M.</t>
  </si>
  <si>
    <t>RA564.8 -- .H335 2011eb</t>
  </si>
  <si>
    <t>362.1084/6</t>
  </si>
  <si>
    <t>Older people -- Medical care -- United States. ; Older people -- United States -- Psychology. ; Health behavior -- United States.</t>
  </si>
  <si>
    <t>The Split Mind : Schizophrenia from an Insider's Point of View</t>
  </si>
  <si>
    <t>International Specialized Book Services (ISBS)</t>
  </si>
  <si>
    <t>Lee, Kevin Alan</t>
  </si>
  <si>
    <t>AG,AI,AR,AW,BB,BH,BL,BO,BR,CA,CD,CL,CO,CU,DM,DO,EC,FK,GD,GF,GP,GU,GY,HM,HT,IM,JE,JM,KN,KP,KY,LC,ME,MF,MO,MP,MS,PE,PF,PM,PR,PY,SH,SJ,SR,TC,TL,TT,UM,US,UY,VC,VE,VG,VI,WF</t>
  </si>
  <si>
    <t>Balk, David</t>
  </si>
  <si>
    <t>BF575.G7B35 2011</t>
  </si>
  <si>
    <t>Bereavement. ; College students--Psychology. ; School mental health services. ; Counseling in higher education. ; Bereavement. ; Mental Health Services. ; Student Health Services. ; Students--psychology.</t>
  </si>
  <si>
    <t>Sibling Aggression : Assessment and Treatment</t>
  </si>
  <si>
    <t>Caspi, Jonathan</t>
  </si>
  <si>
    <t>WS 105.5.F2</t>
  </si>
  <si>
    <t>Aggression--psychology. ; Sibling Relations. ; Child Abuse--prevention &amp; control. ; Family Conflict--psychology. ; Family Therapy--methods.</t>
  </si>
  <si>
    <t>Assessing Mindfulness and Acceptance Processes in Clients : Illuminating the Theory and Practice of Change</t>
  </si>
  <si>
    <t>Baer, Ruth</t>
  </si>
  <si>
    <t>The Context Press Mindfulness and Acceptance Practica Series</t>
  </si>
  <si>
    <t>RC489.M55 A87 2010</t>
  </si>
  <si>
    <t>The ABCs of Human Behavior : Behavioral Principles for the Practicing Clinician</t>
  </si>
  <si>
    <t>Ramnero, Jonas;Törneke, Niklas</t>
  </si>
  <si>
    <t>RC467 -- .R35 2008eb</t>
  </si>
  <si>
    <t>Clinical psychology. ; Medicine and psychology. ; Operant conditioning. ; Clinical psychology -- Methodology. ; Behavior therapy -- Methodology. ; Learning.</t>
  </si>
  <si>
    <t>Get Out of Your Mind and into Your Life : The New Acceptance and Commitment Therapy</t>
  </si>
  <si>
    <t>Hayes, Steven C.;Smith, Spencer</t>
  </si>
  <si>
    <t>RC489.C62 -- H395 2005eb</t>
  </si>
  <si>
    <t>A History of the Behavioral Therapies : Founders' Personal Histories</t>
  </si>
  <si>
    <t>O'Donohue, William T.;Henderson, Deborah;Hayes, Steven C.;Fisher, Jane;Hayes, Linda J.</t>
  </si>
  <si>
    <t>RC489.B4 H55 2001</t>
  </si>
  <si>
    <t>616.89/142/09</t>
  </si>
  <si>
    <t>Behavior therapy-History-Congresses.</t>
  </si>
  <si>
    <t>Landscapes of the Dark : History, Trauma, Psychoanalysis</t>
  </si>
  <si>
    <t>Sklar, Jonathan</t>
  </si>
  <si>
    <t>BF173 -- .S55 2011eb</t>
  </si>
  <si>
    <t>BF1078 -- .W47 2011eb</t>
  </si>
  <si>
    <t>Dreams. ; Jungian psychology.</t>
  </si>
  <si>
    <t>The Robbers Cave Experiment : Intergroup Conflict and Cooperation. [Orig. Pub. As Intergroup Conflict and Group Relations]</t>
  </si>
  <si>
    <t>Middletown, CT. 06459</t>
  </si>
  <si>
    <t>Sherif, Muzafer;Harvey, O. J.;Hood, William R.;Sherif, Carolyn W.;White, B. Jack</t>
  </si>
  <si>
    <t>Small groups-Case studies. ; Intergroup relations-Case studies. ; Social interaction-Case studies.</t>
  </si>
  <si>
    <t>Oxford University Press USA - OSO</t>
  </si>
  <si>
    <t>Monti, Daniel A.;Beitman, Bernard D.;Bell, Iris</t>
  </si>
  <si>
    <t>Weil Integrative Medicine Library</t>
  </si>
  <si>
    <t>RC480.5.I557 2010</t>
  </si>
  <si>
    <t>Mental illness -- Alternative treatment. ; Eclectic psychotherapy.</t>
  </si>
  <si>
    <t>Applying Family Systems Theory to Mediation : A Practitioner's Guide</t>
  </si>
  <si>
    <t>Regina, Wayne</t>
  </si>
  <si>
    <t>Family psychotherapy. ; Mediation -- Psychological aspects.</t>
  </si>
  <si>
    <t>Understanding Autism : Parents, Doctors, and the History of a Disorder</t>
  </si>
  <si>
    <t>Silverman, Chloe</t>
  </si>
  <si>
    <t>Psychology Without Foundations : History, Philosophy and Psychosocial Theory</t>
  </si>
  <si>
    <t>Brown, Steven;Stenner, Paul</t>
  </si>
  <si>
    <t>HM1033 -- .B77 2009eb</t>
  </si>
  <si>
    <t>Steeling the Mind : Combat Stress Reactions and Their Implications for Urban Warfare</t>
  </si>
  <si>
    <t>Helmus, Todd C.;Glenn, Russell W.</t>
  </si>
  <si>
    <t>RC550 -- .H47 2004eb</t>
  </si>
  <si>
    <t>War neuroses -- United States. ; Urban warfare.</t>
  </si>
  <si>
    <t>Primacy of Movement : &lt;strong&gt;Expanded second edition&lt;/strong&gt;</t>
  </si>
  <si>
    <t>Sheets-Johnstone, Maxine</t>
  </si>
  <si>
    <t>B105.M65 -- S54 2011eb</t>
  </si>
  <si>
    <t>Diesel motor -- Maintenance and repair. ; Motors -- Maintenance and repair.</t>
  </si>
  <si>
    <t>Dude, You're a Fag : Masculinity and Sexuality in High School, with a New Preface</t>
  </si>
  <si>
    <t>Pascoe, C. J.</t>
  </si>
  <si>
    <t>HQ797 -- .P37 2012eb</t>
  </si>
  <si>
    <t>Teenage boys -- California -- Social conditions. ; High school students -- California -- Social conditions. ; Masculinity. ; Heterosexuality. ; Gender identity. ; Identity (Psychology) in adolescence. ; Socialization.</t>
  </si>
  <si>
    <t>Behaviour Monitoring and Interpretation - BMI : Well-Being</t>
  </si>
  <si>
    <t>Gottfried, B.;Aghajan, H.</t>
  </si>
  <si>
    <t>Ambient Intelligence and Smart Environments Series</t>
  </si>
  <si>
    <t>HN25 .B44 2011</t>
  </si>
  <si>
    <t>Well-being-Congresses. ; Human behavior-Data processing-Congresses. ; Intelligent agents (Computer software)-Congresses. ; Artificial intelligence-Congresses.</t>
  </si>
  <si>
    <t>Racism and Cultural Diversity : Cultivating Racial Harmony Through Counselling, Group Analysis, and Psychotherapy</t>
  </si>
  <si>
    <t>Maher, M. J.</t>
  </si>
  <si>
    <t>HM1271 -- .M34 2012eb</t>
  </si>
  <si>
    <t>Cultural pluralism. ; Racism.</t>
  </si>
  <si>
    <t>BL53 -- .C53 2012eb</t>
  </si>
  <si>
    <t>Executive Coaching: a Psychodynamic Approach</t>
  </si>
  <si>
    <t>Sandler, Catherine</t>
  </si>
  <si>
    <t>HD30.4 .S26 2011</t>
  </si>
  <si>
    <t>Executive coaching. ; Executive coaching-Psychological aspects.</t>
  </si>
  <si>
    <t>Multiple Minority Identities : Applications for Practice, Research, and Training</t>
  </si>
  <si>
    <t>Nettles, Reginald;Balter, Rochelle</t>
  </si>
  <si>
    <t>HM711.M85 2012</t>
  </si>
  <si>
    <t>Group identity. ; Identity (Psychology). ; Minorities.</t>
  </si>
  <si>
    <t>The Gender of Sexuality : Exploring Sexual Possibilities</t>
  </si>
  <si>
    <t>Rowman &amp; Littlefield Publishing Group, Inc.</t>
  </si>
  <si>
    <t>Rutter, Virginia;Schwartz, Pepper;Schwartz, Dr Pepper</t>
  </si>
  <si>
    <t>Gender Lens Series</t>
  </si>
  <si>
    <t>HQ21.S328 2011</t>
  </si>
  <si>
    <t>Sex. ; Sex (Psychology). ; Sex differences (Psychology). ; Sex role. ; Gender identity.</t>
  </si>
  <si>
    <t>BF173 -- .E34 2011eb</t>
  </si>
  <si>
    <t>The Enigma of the Suicide Bomber : A Psychoanalytic Essay</t>
  </si>
  <si>
    <t>HV6431 -- .D4613 2011eb</t>
  </si>
  <si>
    <t>Suicide bombings -- Psychological aspects. ; Psychoanalysis.</t>
  </si>
  <si>
    <t>Transcending the Legacies of Slavery : A Psychoanalytic View</t>
  </si>
  <si>
    <t>RC455.4.E8 -- S558 2011eb</t>
  </si>
  <si>
    <t>Cultural psychiatry. ; Psychoanalysis and culture -- Caribbean Area -- Case studies. ; Psychoanalysis -- Cross-cultural studies. ; Slavery -- Psychological aspects.</t>
  </si>
  <si>
    <t>Paradoxes of Individualization : Social Control and Social Conflict in Contemporary Modernity</t>
  </si>
  <si>
    <t>Houtman, Dick;Aupers, Stef;de Koster, Willem</t>
  </si>
  <si>
    <t>HM1276 -- .H68 2011eb</t>
  </si>
  <si>
    <t>Individualism. ; Individuality. ; Social conflict. ; Social control.</t>
  </si>
  <si>
    <t>Thought Reform and the Psychology of Totalism : A Study of 'brainwashing' in China</t>
  </si>
  <si>
    <t>Lifton, Robert Jay</t>
  </si>
  <si>
    <t>Brainwashing -- China. ; Communism -- China. ; Totalitarianism -- China. ; China -- History -- 20th century.</t>
  </si>
  <si>
    <t>Austin, John;Carr, James</t>
  </si>
  <si>
    <t>RC473.B43 -- H36 2000eb</t>
  </si>
  <si>
    <t>Behavioral assessment. ; Behavior modification.</t>
  </si>
  <si>
    <t>Callahan, Joan R.</t>
  </si>
  <si>
    <t>R729.9.C35 2011</t>
  </si>
  <si>
    <t>Medical misconceptions. ; Health risk assessment. ; Health Education. ; Mass Media. ; Fear--psychology. ; Fraud--psychology. ; Health Behavior.</t>
  </si>
  <si>
    <t>Youth Violence : Theory, Prevention, and Intervention</t>
  </si>
  <si>
    <t>Seifert, Kathryn</t>
  </si>
  <si>
    <t>RJ506.V56S458 2011</t>
  </si>
  <si>
    <t>Violence in children--United States. ; Children and violence--United States.</t>
  </si>
  <si>
    <t>Understanding Why Addicts Are Not All Alike : Recognizing the Types and How Their Differences Affect Intervention and Treatment</t>
  </si>
  <si>
    <t>Fisher, Gary L.</t>
  </si>
  <si>
    <t>RC564.F574 2011</t>
  </si>
  <si>
    <t>Substance abuse--Patients--Classification. ; Substance abuse--Patients--Rehabilitation. ; Substance-Related Disorders--psychology. ; Substance-Related Disorders--therapy. ; Behavior, Addictive--classification. ; Behavior, Addictive--psychology. ; Models, Psychological. ; Treatment Outcome.</t>
  </si>
  <si>
    <t>The Anna Freud Tradition : Lines of Development - Evolution of Theory and Practice over the Decades</t>
  </si>
  <si>
    <t>T. Malberg, Norka;Raphael-Leff, Joan</t>
  </si>
  <si>
    <t>The Lines of Development - Evolution of Theory and Practice over the Decades Series</t>
  </si>
  <si>
    <t>RJ504.2 -- .A56 2012eb</t>
  </si>
  <si>
    <t>Freud, Anna, -- 1895-1982. ; Child analysis. ; Child psychoanalysts.</t>
  </si>
  <si>
    <t>Thought Paralysis : The Virtues of Discrimination</t>
  </si>
  <si>
    <t>Dalal, Farhad</t>
  </si>
  <si>
    <t>HM821 -- .D35 2012eb</t>
  </si>
  <si>
    <t>Ancestors and Relatives : Genealogy, Identity, and Community</t>
  </si>
  <si>
    <t>Zerubavel, Eviatar</t>
  </si>
  <si>
    <t>CS14 -- .Z47 2012eb</t>
  </si>
  <si>
    <t>929/.1</t>
  </si>
  <si>
    <t>Genealogy -- Social aspects. ; Genealogy -- Psychological aspects. ; Genealogy -- Political aspects. ; Families. ; Kinship. ; Heredity.</t>
  </si>
  <si>
    <t>US</t>
  </si>
  <si>
    <t>Psychologism and Psychoaesthetics : A historical and critical view of their relations</t>
  </si>
  <si>
    <t>Amserdam</t>
  </si>
  <si>
    <t>Fizer, John</t>
  </si>
  <si>
    <t>Linguistic and Literary Studies in Eastern Europe</t>
  </si>
  <si>
    <t>BF41 -- .F59 1981eb</t>
  </si>
  <si>
    <t>111/.85/019</t>
  </si>
  <si>
    <t>Psychologism. ; Aesthetics -- Psychological aspects.</t>
  </si>
  <si>
    <t>Princeton Monographs in Philosophy Series</t>
  </si>
  <si>
    <t xml:space="preserve">Calder, Andy;Rhodes, Gillian;Johnson, Mark H.;Haxby, Jim </t>
  </si>
  <si>
    <t>Oxford Library of Psychology</t>
  </si>
  <si>
    <t>BF242 -- .O94 2011eb</t>
  </si>
  <si>
    <t>Baldwin, Robert</t>
  </si>
  <si>
    <t>Oxford Psychiatry Library</t>
  </si>
  <si>
    <t>RC537.5 -- .B36 2010eb</t>
  </si>
  <si>
    <t>618.97/98527</t>
  </si>
  <si>
    <t>Polymers. ; Ozonization.</t>
  </si>
  <si>
    <t>Dening, Tom;Milne, Alisoun</t>
  </si>
  <si>
    <t>RC451.4.A5 -- M4328 2011eb</t>
  </si>
  <si>
    <t>Psychosocial Aspects of Disability : Insider Perspectives and Strategies for Counselors</t>
  </si>
  <si>
    <t>Marini, Irmo;Graf, Noreen M.;Millington, Michael</t>
  </si>
  <si>
    <t>BF727.P57M37 2011</t>
  </si>
  <si>
    <t>People with disabilities--Psychology. ; People with disabilities--Rehabilitation--Social aspects. ; People with disabilities--Counseling of.</t>
  </si>
  <si>
    <t>Youth Gambling : The Hidden Addiction</t>
  </si>
  <si>
    <t>Derevensky, Jeffrey L.;Shek, Daniel T. L.;Merrick, Joav;Delfabbro, Paul;Gainsbury, Sally;Grant, Jon E.;Griffiths, Mark D.;Gupta, Rina;Ma, Cecilia M. S.;Potenza, Marc N.</t>
  </si>
  <si>
    <t>Health, Medicine and Human Development Series</t>
  </si>
  <si>
    <t>616.85/84100835</t>
  </si>
  <si>
    <t>Youth -- Gambling. ; Teenage gamblers -- Psychology. ; Compulsive gambling -- Treatment. ; Adolescent psychology.</t>
  </si>
  <si>
    <t>The Art and Science of Valuing in Psychotherapy : Helping Clients Discover, Explore, and Commit to Valued Action Using Acceptance and Commitment Therapy</t>
  </si>
  <si>
    <t>Dahl, JoAnne;Plumb-Vilardaga, Jennifer;Stewart, Ian;Lundgren, Tobias</t>
  </si>
  <si>
    <t>RC489.A32 -- A78 2009eb</t>
  </si>
  <si>
    <t>Acceptance and commitment therapy. ; Values.</t>
  </si>
  <si>
    <t>Wrobel, Janusz</t>
  </si>
  <si>
    <t>RC514 -- .W76 1990eb</t>
  </si>
  <si>
    <t>Foundations of Semiotics : What Is Meaning?: Studies In the Development of Significance (1903)</t>
  </si>
  <si>
    <t>Welby, Victoria L.;Eschbach, Achim;Mannoury, Gerrit</t>
  </si>
  <si>
    <t>Foundations of Semiotics Series</t>
  </si>
  <si>
    <t>P105</t>
  </si>
  <si>
    <t>Meaning (Psychology) ; Semantics (Philosophy)</t>
  </si>
  <si>
    <t>Psychodynamic Coaching : Focus and Depth</t>
  </si>
  <si>
    <t>Charlotte Beck, Ulla</t>
  </si>
  <si>
    <t>Brunning, Halina</t>
  </si>
  <si>
    <t>BF175.4.S65 -- P79 2012eb</t>
  </si>
  <si>
    <t>Social sciences and psychoanalysis. ; Psychoanalysis.</t>
  </si>
  <si>
    <t>Looking In and Speaking Out : Introspection, Consciousness, Communication</t>
  </si>
  <si>
    <t>Andrews UK</t>
  </si>
  <si>
    <t>Luton</t>
  </si>
  <si>
    <t>Imprint Academic</t>
  </si>
  <si>
    <t>Wooffitt, Robin;Holt, Nicola</t>
  </si>
  <si>
    <t>BF316 -- .W66 2011eb</t>
  </si>
  <si>
    <t>156;616.89/165</t>
  </si>
  <si>
    <t>Introspection. ; Consciousness. ; Communication.</t>
  </si>
  <si>
    <t>AD,AE,AF,AG,AI,AL,AM,AO,AQ,AR,AS,AT,AU,AW,AX,AZ,BA,BD,BE,BF,BG,BH,BI,BJ,BL,BM,BN,BO,BR,BS,BT,BV,BW,BY,BZ,CA,CC,CD,CF,CG,CH,CI,CK,CL,CM,CN,CO,CR,CU,CV,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K,SL,SM,SN,SO,SR,ST,SV,SY,SZ,TC,TD,TF,TG,TH,TJ,TK,TL,TM,TN,TO,TR,TT,TV,TW,TZ,UA,UG,UM,US,UY,UZ,VA,VC,VE,VG,VI,VN,VU,WF,WS,YE,YT,ZA,ZM,ZW</t>
  </si>
  <si>
    <t>Breaking Free from Depression : Pathways to Wellness</t>
  </si>
  <si>
    <t>Wright, Jesse H.;McCray, Laura W.</t>
  </si>
  <si>
    <t>RC537 -- .W743 2012eb</t>
  </si>
  <si>
    <t>Depression, Mental -- Popular works</t>
  </si>
  <si>
    <t>Contingency Management for Adolescent Substance Abuse : A Practitioner's Guide</t>
  </si>
  <si>
    <t>Henggeler, Scott W.;Cunningham, Phillippe B.;Rowland, Melisa D.;Schoenwald, Sonja K.;and Associates, and</t>
  </si>
  <si>
    <t>HV4999.Y68 -- C67 2012eb</t>
  </si>
  <si>
    <t>Teenagers -- Substance use. ; Substance abuse -- Treatment -- Handbooks, manuals, etc. ; Cognitive therapy -- Handbooks, manuals, etc.</t>
  </si>
  <si>
    <t>Positive Behavior Support in Secondary Schools : A Practical Guide</t>
  </si>
  <si>
    <t>Young, Ellie L.;Caldarella, Paul;Richardson, Michael J.;Young, K. Richard</t>
  </si>
  <si>
    <t>LB1027.55 -- .Y68 2011eb</t>
  </si>
  <si>
    <t>373.1102/4</t>
  </si>
  <si>
    <t>School psychology -- United States. ; Behavior modification -- United States. ; School children -- United States -- Discipline. ; High school students -- United States -- Psychology. ; Middle school students -- United States -- Psychology.</t>
  </si>
  <si>
    <t>Practicing Harm Reduction Psychotherapy : An Alternative Approach to Addictions</t>
  </si>
  <si>
    <t>Denning, Patt;Little, Jeannie</t>
  </si>
  <si>
    <t>RC564 -- .D44 2012eb</t>
  </si>
  <si>
    <t>Substance abuse -- Complications -- Prevention. ; Psychotherapy. ; Substance abuse -- Treatment. ; Substance abuse -- Social aspects. ; Harm reduction.</t>
  </si>
  <si>
    <t>Renegotiating Family Relationships : Divorce, Child Custody, and Mediation</t>
  </si>
  <si>
    <t>Emery, Robert E.</t>
  </si>
  <si>
    <t>HQ834 -- .E48 2012eb</t>
  </si>
  <si>
    <t>Divorce mediation -- United States. ; Custody of children -- United States. ; Divorced parents -- Counseling of -- United States.</t>
  </si>
  <si>
    <t>How Deaf Children Learn : What Parents and Teachers Need to Know</t>
  </si>
  <si>
    <t>Marschark, Marc;Hauser, Peter C.</t>
  </si>
  <si>
    <t>Perspectives on Deafness Series</t>
  </si>
  <si>
    <t>HV2391 -- .M257 2012eb</t>
  </si>
  <si>
    <t>371.91/2</t>
  </si>
  <si>
    <t>Deaf children -- Means of communication. ; Deaf children -- Language. ; Deaf -- Education. ; Parents of deaf children.</t>
  </si>
  <si>
    <t>Wynn, Thomas;Coolidge, Frederick L.</t>
  </si>
  <si>
    <t>GN285 -- .W96 2011eb</t>
  </si>
  <si>
    <t>569.9/86</t>
  </si>
  <si>
    <t>Neanderthals. ; Social archaeology. ; Ethnopsychology. ; Cognition and culture. ; Human evolution.</t>
  </si>
  <si>
    <t>Science; Science: Biology/Natural History; Science: Geology</t>
  </si>
  <si>
    <t>Acceptance and Commitment Therapy for Eating Disorders : A Process-Focused Guide to Treating Anorexia and Bulimia</t>
  </si>
  <si>
    <t>Sandoz, Emily K.;Wilson, Kelly G.;DuFrene, Troy</t>
  </si>
  <si>
    <t>RC552.E18S28 2010</t>
  </si>
  <si>
    <t>Eating disorders -- Treatment. ; Anorexia nervosa -- Treatment. ; Bulimia -- Treatment. ; Acceptance and commitment therapy.</t>
  </si>
  <si>
    <t>Therapy with Young Men : 16-24 Year Olds in Treatment</t>
  </si>
  <si>
    <t>Verhaagen, Dave</t>
  </si>
  <si>
    <t>RJ505.C63 -- V47 2011eb</t>
  </si>
  <si>
    <t>The Trauma of Terrorism : Sharing Knowledge and Shared Care, an International Handbook</t>
  </si>
  <si>
    <t>Danieli, Yael</t>
  </si>
  <si>
    <t>HV6431 -- .T73 2012eb</t>
  </si>
  <si>
    <t>Terrorism -- Psychological aspects</t>
  </si>
  <si>
    <t>Illicit Drugs : Use and Control</t>
  </si>
  <si>
    <t>Barton, Adrian</t>
  </si>
  <si>
    <t>HV5840.G7 -- B34 2011eb</t>
  </si>
  <si>
    <t>Drug abuse -- Great Britain. ; Drug traffic -- Great Britain. ; Drug control -- Great Britain.</t>
  </si>
  <si>
    <t>Signs, Dialogue and Ideology : Interdisciplinary Approaches to Language, Discourse and Ideology</t>
  </si>
  <si>
    <t>Ponzio, Augusto;Petrilli, Susan</t>
  </si>
  <si>
    <t>Critical Theory</t>
  </si>
  <si>
    <t>P99 -- .P56 1993eb</t>
  </si>
  <si>
    <t>Semiotics. ; Ideology. ; Identity (Philosophical concept)</t>
  </si>
  <si>
    <t>Why Our Drug Laws Have Failed and What We Can Do about It : A Judicial Indictment of the War on Drugs</t>
  </si>
  <si>
    <t>Gray, James</t>
  </si>
  <si>
    <t>HV5825</t>
  </si>
  <si>
    <t>362.29/160973</t>
  </si>
  <si>
    <t>Learning RFT : An Introduction to Relational Frame Theory and Its Clinical Application</t>
  </si>
  <si>
    <t>Törneke, Niklas;Barnes-Holmes, Dermot;Hayes, Steven C.;Törneke, Niklas</t>
  </si>
  <si>
    <t>RC489.C63 -- T67 2010eb</t>
  </si>
  <si>
    <t>Cognitive therapy. ; Acceptance and commitment therapy.</t>
  </si>
  <si>
    <t>ACT in Practice : Case Conceptualization in Acceptance and Commitment Therapy</t>
  </si>
  <si>
    <t>Bach, Patricia A.;Moran, Daniel J.;Hayes, Steven C.</t>
  </si>
  <si>
    <t>RC489.C62 B37 2008</t>
  </si>
  <si>
    <t>Derived Relational Responding Applications for Learners with Autism and Other Developmental Disabilities : A Progressive Guide to Change</t>
  </si>
  <si>
    <t>Rehfeldt, Ruth Anne;Barnes-Holmes, Yvonne;Hayes, Steven C.</t>
  </si>
  <si>
    <t>RJ506.A9 -- D457 2009eb</t>
  </si>
  <si>
    <t>362.198/9285882</t>
  </si>
  <si>
    <t>Autistic children -- Rehabilitation. ; Developmentally disabled children -- Rehabilitation.</t>
  </si>
  <si>
    <t>Lost in Transmission : Studies of Trauma Across Generations</t>
  </si>
  <si>
    <t>Gerard Fromm, M.</t>
  </si>
  <si>
    <t>BF175.5.P75 -- L67 2012eb</t>
  </si>
  <si>
    <t>Psychic trauma. ; Psychology, Pathological.</t>
  </si>
  <si>
    <t>Shattered States : Disorganised Attachment and Its Repair</t>
  </si>
  <si>
    <t>Yellin, Judy;White, Kate</t>
  </si>
  <si>
    <t>616.85/23</t>
  </si>
  <si>
    <t>Addictive Personalities and Why People Take Drugs : The Spike and the Moon</t>
  </si>
  <si>
    <t>Winship, Gary</t>
  </si>
  <si>
    <t>RC533 -- .W56 2012eb</t>
  </si>
  <si>
    <t>Compulsive behavior -- Psychological aspects. ; Drug abuse -- Psychological aspects. ; Compulsive behavior -- Patients. ; Dependency (Psychology)</t>
  </si>
  <si>
    <t>Social Setting, Stigma, and Communicative Competence : Explorations of the conversational interactions of retarded adults</t>
  </si>
  <si>
    <t>Sabsay, Sharon;Platt, Martha</t>
  </si>
  <si>
    <t>Pragmatics &amp; Beyond</t>
  </si>
  <si>
    <t>HV3006.A4 -- S25 1985eb</t>
  </si>
  <si>
    <t>People with mental disabilities -- United States. ; Social interaction -- United States. ; Interpersonal communication -- United States. ; Stigma (Social psychology)</t>
  </si>
  <si>
    <t>Calming Your Anxious Mind : How Mindfulness and Compassion Can Free You from Anxiety, Fear, and Panic</t>
  </si>
  <si>
    <t>Brantley, Jeffrey;Kabat-Zinn, Jon</t>
  </si>
  <si>
    <t>Anxiety. ; Fear. ; Attention. ; Meditation.</t>
  </si>
  <si>
    <t>Mann, Susan L.</t>
  </si>
  <si>
    <t>New Approaches to Asian History Series</t>
  </si>
  <si>
    <t>HQ1075.5.C6 M36 2011</t>
  </si>
  <si>
    <t>Sex role -- China. ; Women -- China. ; Sex -- China.</t>
  </si>
  <si>
    <t>Strategic Uses of Social Technology : An Interactive Perspective of Social Psychology</t>
  </si>
  <si>
    <t>Birchmeier, Zachary;Dietz-Uhler, Beth;Stasser, Garold</t>
  </si>
  <si>
    <t>HM741 .S78 2011</t>
  </si>
  <si>
    <t>Social networks -- Psychological aspects. ; Social interaction.</t>
  </si>
  <si>
    <t>Castle, David;Murray, Robin M.;D'Souza, Deepak Cyril</t>
  </si>
  <si>
    <t>RC568.C2 M375 2011</t>
  </si>
  <si>
    <t>Psychology; Health; Medicine</t>
  </si>
  <si>
    <t>The Spirit of Mourning : History, Memory and the Body</t>
  </si>
  <si>
    <t>Connerton, Paul</t>
  </si>
  <si>
    <t>BF575.G7 C648 2011</t>
  </si>
  <si>
    <t>Bereavement -- Psychological aspects. ; Memory -- Social aspects.</t>
  </si>
  <si>
    <t>Hurt Feelings : Theory, Research, and Applications in Intimate Relationships</t>
  </si>
  <si>
    <t>L'Abate, Luciano</t>
  </si>
  <si>
    <t>BF515 .L32 2011</t>
  </si>
  <si>
    <t>Intimacy (Psychology) ; Pain. ; Interpersonal relations.</t>
  </si>
  <si>
    <t>Slaughter, Virginia;Brownell, Celia A.</t>
  </si>
  <si>
    <t>HM636 .E27 2012</t>
  </si>
  <si>
    <t>Human body -- Social aspects. ; Body image.</t>
  </si>
  <si>
    <t>Bakeman, Roger;Quera, Vicenç</t>
  </si>
  <si>
    <t>BF76.5 .B354 2011</t>
  </si>
  <si>
    <t>Psychology -- Research. ; Social sciences -- Research. ; Sequential analysis. ; Observation (Psychology) -- Methodology.</t>
  </si>
  <si>
    <t>Addiction Neuroethics : The Promises and Perils of Neuroscience Research on Addiction</t>
  </si>
  <si>
    <t>Carter, Adrian;Hall, Wayne</t>
  </si>
  <si>
    <t>International Research Monographs in the Addictions Series</t>
  </si>
  <si>
    <t>HV5801 .C34 2012</t>
  </si>
  <si>
    <t>174.2/8</t>
  </si>
  <si>
    <t>Drug addiction. ; Neurosciences -- Moral and ethical aspects.</t>
  </si>
  <si>
    <t>More Brain Cuttings : Further Explorations of the Mind</t>
  </si>
  <si>
    <t>Zimmer, Carl</t>
  </si>
  <si>
    <t>QP376 -- .Z56 2011eb</t>
  </si>
  <si>
    <t>612.8;612.82</t>
  </si>
  <si>
    <t>Business presentations. ; Public speaking.</t>
  </si>
  <si>
    <t>Science: Biology/Natural History; Science; Science: Anatomy/Physiology</t>
  </si>
  <si>
    <t>Acceptance and Commitment Therapy for the Treatment of Post-Traumatic Stress Disorder and Trauma-Related Problems : A Practitioner's Guide to Using Mindfulness and Acceptance Strategies</t>
  </si>
  <si>
    <t>Walser, Robyn D.;Westrup, Darrah;Hayes, Steven C.;Walser, Robyn D.</t>
  </si>
  <si>
    <t>RC552.P67 -- W374 2007eb</t>
  </si>
  <si>
    <t>Jackson, Michael</t>
  </si>
  <si>
    <t>Other minds (Theory of knowledge)</t>
  </si>
  <si>
    <t>Between Hours : A Collection of Poems by Psychoanalysts</t>
  </si>
  <si>
    <t>BF173.A25 -- B48 2012eb</t>
  </si>
  <si>
    <t>Literature; Psychology; Fiction</t>
  </si>
  <si>
    <t>Group Dynamics : Basics and Pragmatics for Practitioners</t>
  </si>
  <si>
    <t>Haynes, Norris M.</t>
  </si>
  <si>
    <t>HD66</t>
  </si>
  <si>
    <t>Presence and the Present : Relationship and Time in Contemporary Psychodynamic Therapy</t>
  </si>
  <si>
    <t>Stadter, Michael</t>
  </si>
  <si>
    <t>The Library of Object Relations Series</t>
  </si>
  <si>
    <t>WM 460.6</t>
  </si>
  <si>
    <t>Psychoanalysis. ; Psychoanalytic Therapy--methods. ; Professional-Patient Relations. ; Transference (Psychology).</t>
  </si>
  <si>
    <t>White, Helene Raskin;Rabiner, David L.</t>
  </si>
  <si>
    <t>HV4999.Y68 -- C65 2012eb</t>
  </si>
  <si>
    <t>362.2/91208420973</t>
  </si>
  <si>
    <t>College students -- Substance use -- United States</t>
  </si>
  <si>
    <t>Negotiating Identities : Constructed Selves and Others</t>
  </si>
  <si>
    <t>Vella Bonavita, Helen</t>
  </si>
  <si>
    <t>Reconstructing Subjects : A Philosophical Critique of Psychotherapy</t>
  </si>
  <si>
    <t>Al-Shawi, Hakam H.</t>
  </si>
  <si>
    <t>Of Philosophers and Madmen : A Disclosure of Martin Heidegger, Medard Boss, and Sigmund Freud</t>
  </si>
  <si>
    <t>Askay, Richard;Farquhar, M. J.</t>
  </si>
  <si>
    <t>B3279.H49A825 2011</t>
  </si>
  <si>
    <t>Learning Matters Limited</t>
  </si>
  <si>
    <t>Brown, Robert;Adshead, Gwen;Pollard, Alan</t>
  </si>
  <si>
    <t>Post-Qualifying Social Work Practice Series</t>
  </si>
  <si>
    <t>HV690.G7 -- B76 2009eb</t>
  </si>
  <si>
    <t>Psychiatric social work -- Great Britain. ; Mental illness -- Treatment. ; Psychotropic drugs.</t>
  </si>
  <si>
    <t>Hothersall, Steve;Maas-Lowit, Mike;Golightley, Malcolm</t>
  </si>
  <si>
    <t>Transforming Social Work Practice Series</t>
  </si>
  <si>
    <t>HV690.G7 -- H68 2008eb</t>
  </si>
  <si>
    <t>Boag, Simon</t>
  </si>
  <si>
    <t>BF175.5.R44 -- B62 2012eb</t>
  </si>
  <si>
    <t>Freud, Sigmund, -- 1856-1939. ; Repression (Psychology)</t>
  </si>
  <si>
    <t>Regulation in Action : The Health Professions Council Fitness to Practise Hearing of Dr Malcolm Cross - Analysis, History, and Comment</t>
  </si>
  <si>
    <t>Haney, Janet</t>
  </si>
  <si>
    <t>BF637.C6 -- H254 2012eb</t>
  </si>
  <si>
    <t>Cross, Malcolm C., -- 1966- ; Counselors -- Legal status, laws, etc. -- Great Britain. ; Psychotherapists -- Legal status, laws, etc. -- Great Britain. ; Counseling -- Law and legislation -- Great Britain. ; Psychotherapy -- Law and legislation -- Great Britain.</t>
  </si>
  <si>
    <t>Culture and Reflexivity in Systemic Psychotherapy : Mutual Perspectives</t>
  </si>
  <si>
    <t>RC488.5 -- .C85 2012eb</t>
  </si>
  <si>
    <t>Systemic therapy (Family therapy) ; Family psychotherapy.</t>
  </si>
  <si>
    <t>Broken Bounds : Contemporary Reflections on the Antisocial Tendency</t>
  </si>
  <si>
    <t>Reeves, Christopher</t>
  </si>
  <si>
    <t>RC555 -- .B76 2012eb</t>
  </si>
  <si>
    <t>Vital Signs : Psychological Responses to Ecological Crisis</t>
  </si>
  <si>
    <t>Rust, Mary-Jayne;Totton, Nick</t>
  </si>
  <si>
    <t>HM1033 -- .R87 2012eb</t>
  </si>
  <si>
    <t>Sex Matters for Women : A Complete Guide to Taking Care of Your Sexual Self</t>
  </si>
  <si>
    <t>Foley, Sallie;Kope, Sally A.;Sugrue, Dennis P.</t>
  </si>
  <si>
    <t>HQ29 -- .F65 2012eb</t>
  </si>
  <si>
    <t>306.7/082</t>
  </si>
  <si>
    <t>Women -- Sexual behavior. ; Sex.</t>
  </si>
  <si>
    <t>Mechanisms in the Chain of Safety : Research and Operational Experiences in Aviation Psychology</t>
  </si>
  <si>
    <t>D'Oliveira, Teresa C.;Voogt, Alex de</t>
  </si>
  <si>
    <t>RC1085 -- .M43 2012eb</t>
  </si>
  <si>
    <t>616.9/80213</t>
  </si>
  <si>
    <t>Air pilots -- Psychology. ; Aviation psychology. ; Aeronautics -- Safety measures.</t>
  </si>
  <si>
    <t>Thye, Shane R.;Lawler, Edward;Lawler, Edward J.</t>
  </si>
  <si>
    <t>Sociology -- Research. ; Psychology -- Research. ; Political science -- Research.</t>
  </si>
  <si>
    <t>Weinberg, Ashley</t>
  </si>
  <si>
    <t>JC330.3 .P8 2011</t>
  </si>
  <si>
    <t>324.01/9</t>
  </si>
  <si>
    <t>Politicians -- Psychology. ; Politicians -- Psychology -- Case studies. ; Political leadership -- Psychological aspects. ; Political leadership -- Psychological aspects -- Case studies.</t>
  </si>
  <si>
    <t>The Freud Files : An Inquiry into the History of Psychoanalysis</t>
  </si>
  <si>
    <t>Borch-Jacobsen, Mikkel;Shamdasani, Sonu</t>
  </si>
  <si>
    <t>BF173 .B68127 2012</t>
  </si>
  <si>
    <t>Freud, Sigmund, -- 1856-1939. ; Psychoanalysis -- History.</t>
  </si>
  <si>
    <t>The Foundation of the Unconscious : Schelling, Freud and the Birth of the Modern Psyche</t>
  </si>
  <si>
    <t>Ffytche, Matt</t>
  </si>
  <si>
    <t>BF315 .F53 2012</t>
  </si>
  <si>
    <t>Schelling, Friedrich Wilhelm Joseph von, -- 1775-1854. ; Freud, Sigmund, -- 1856-1939. ; Subconsciousness. ; Psychoanalysis -- History.</t>
  </si>
  <si>
    <t>Hermans, Hubert J. M.;Gieser, Thorsten</t>
  </si>
  <si>
    <t>BF697 .H335 2012</t>
  </si>
  <si>
    <t>Self. ; Identity (Psychology)</t>
  </si>
  <si>
    <t>Birke, Dorothee;Butter, Michael;Köppe, Tilmann;Köppe, Tilmann</t>
  </si>
  <si>
    <t>Linguae and Litterae Series</t>
  </si>
  <si>
    <t>Counterfactuals (Logic) ; Philosophy -- Social aspects. ; Knowledge, Theory of. ; Reality in literature.</t>
  </si>
  <si>
    <t>Introduction to Jungian Psychology : Notes of the Seminar on Analytical Psychology Given In 1925</t>
  </si>
  <si>
    <t>Jung, C. G.;McGuire, William;Hull, R. F. C.;Shamdasani, Sonu</t>
  </si>
  <si>
    <t>Philemon Foundation Series</t>
  </si>
  <si>
    <t>AD,AE,AF,AI,AL,AM,AO,AQ,AR,AS,AT,AW,AX,AZ,BA,BE,BF,BG,BH,BI,BJ,BL,BM,BO,BQ,BR,BT,BV,BY,CA,CC,CD,CF,CG,CH,CI,CK,CL,CN,CO,CR,CU,CV,CW,CX,CZ,DE,DJ,DK,DO,DZ,EC,EE,EG,EH,ER,ES,ET,FI,FK,FM,FO,FR,GA,GE,GF,GG,GI,GL,GM,GN,GP,GQ,GR,GS,GT,GU,GW,HK,HM,HN,HR,HT,HU,ID,IE,IL,IM,IO,IQ,IR,IS,IT,JE,JO,JP,KG,KH,KM,KP,KR,KW,KY,KZ,LA,LB,LI,LR,LT,LU,LV,LY,MA,MC,MD,ME,MF,MG,MH,MK,ML,MM,MN,MO,MP,MQ,MR,MS,MV,MX,NC,NE,NF,NI,NL,NO,NP,NU,OM,PA,PE,PF,PH,PL,PM,PN,PR,PS,PT,PW,PY,QA,RE,RO,RS,RU,SA,SD,SE,SH,SI,SJ,SK,SM,SN,SO,SR,SS,ST,SV,SX,SY,TC,TD,TF,TG,TH,TJ,TK,TL,TM,TN,TR,TW,UA,UM,US,UY,UZ,VA,VE,VG,VI,VN,WF,YE,YT,ZW</t>
  </si>
  <si>
    <t>Jung Contra Freud : The 1912 New York Lectures on the Theory of Psychoanalysis</t>
  </si>
  <si>
    <t>Jung, C. G.;Hull, R. F. C.;Shamdasani, Sonu</t>
  </si>
  <si>
    <t>The Internal World of the Juvenile Sex Offender : Through a Glass Darkly Then Face to Face</t>
  </si>
  <si>
    <t>Keogh, Timothy</t>
  </si>
  <si>
    <t>RJ506.S48 -- K46 2012eb</t>
  </si>
  <si>
    <t>Teenage sex offenders. ; Juvenile delinquency.</t>
  </si>
  <si>
    <t>Biometrics in Identity Management : Concepts to Applications</t>
  </si>
  <si>
    <t>Artech House</t>
  </si>
  <si>
    <t>Artech House Publishers</t>
  </si>
  <si>
    <t>Modi, Shimon K.</t>
  </si>
  <si>
    <t>TK7882.B56 -- M63 2011eb</t>
  </si>
  <si>
    <t>United States. -- Social Security Administration. ; Social security -- United States. ; Social security -- United States -- Finance.</t>
  </si>
  <si>
    <t>Engineering; Science; Engineering: Electrical; Science: Biology/Natural History</t>
  </si>
  <si>
    <t>Zweig, Rene D.;Leahy, Robert L.</t>
  </si>
  <si>
    <t>Treatment Plans and Interventions for Evidence-Based Psychotherapy Series</t>
  </si>
  <si>
    <t>616.85/263</t>
  </si>
  <si>
    <t>Bulimia -- Treatment</t>
  </si>
  <si>
    <t>Heroes : What They Do and Why We Need Them</t>
  </si>
  <si>
    <t>Allison, Scott T.;Goethals, George R.</t>
  </si>
  <si>
    <t>BF575.C8 -- A45 2011eb</t>
  </si>
  <si>
    <t>Heroes. ; Heroes in literature. ; Courage. ; Altruism. ; Conduct of life.</t>
  </si>
  <si>
    <t>Coleman, Mary;Gillberg, Christopher</t>
  </si>
  <si>
    <t>RJ506.A9 -- G54 2012eb</t>
  </si>
  <si>
    <t>Autism in children. ; Autism in children -- Etiology. ; Child development deviations -- Physiological aspects.</t>
  </si>
  <si>
    <t>Auctor Ludens : Essays on Play in Literature</t>
  </si>
  <si>
    <t>Guinness, Gerald;Hurley, Andrew</t>
  </si>
  <si>
    <t>Cultura Ludens</t>
  </si>
  <si>
    <t>PN56.P53 -- A93 1986eb</t>
  </si>
  <si>
    <t>809/.91</t>
  </si>
  <si>
    <t>RJ506.S39 S45 2012</t>
  </si>
  <si>
    <t>Self-destructive behavior in adolescence. ; Self-destructive behavior in adolescence-Prevention. ; Self-destructive behavior. ; Self-destructive behavior-Prevention.</t>
  </si>
  <si>
    <t>Luton, Bedfordshire</t>
  </si>
  <si>
    <t>McCrae, Niall;Crawford, Paul</t>
  </si>
  <si>
    <t>RC454 -- .M33 2011eb</t>
  </si>
  <si>
    <t>Mental illness. ; Human beings -- Effect of the moon on.</t>
  </si>
  <si>
    <t>Comprehending Drug Use : Ethnographic Research at the Social Margins</t>
  </si>
  <si>
    <t>Page, J. Bryan;Singer, Merrill</t>
  </si>
  <si>
    <t>Studies in Medical Anthropology Series</t>
  </si>
  <si>
    <t>HV5801</t>
  </si>
  <si>
    <t>Drug abuse. ; Ethnology.</t>
  </si>
  <si>
    <t>Analytical Psychology : Notes of the Seminar Given In 1925</t>
  </si>
  <si>
    <t>Jung, C. G.;McGuire, William</t>
  </si>
  <si>
    <t>Jung Seminars Series</t>
  </si>
  <si>
    <t>Children's Dreams : Notes from the Seminar Given In 1936-1940</t>
  </si>
  <si>
    <t>Jung, C. G.;Jung, Lorenz;Meyer-Grass, Maria;Falzeder, Ernst;Woolfson, Tony</t>
  </si>
  <si>
    <t>Synchronicity : An Acausal Connecting Principle. (from Vol. 8. of the Collected Works of C. G. Jung)</t>
  </si>
  <si>
    <t>Jung Extracts Series</t>
  </si>
  <si>
    <t>The Undiscovered Self : With Symbols and the Interpretation of Dreams</t>
  </si>
  <si>
    <t>Four Archetypes : (from Vol. 9, Part 1 of the Collected Works of C. G. Jung)</t>
  </si>
  <si>
    <t>Acceptance and Mindfulness Treatments for Children and Adolescents : A Practitioner's Guide</t>
  </si>
  <si>
    <t>Greco, Laurie A.;Hayes, Steven C.</t>
  </si>
  <si>
    <t>RJ505.C63 -- A33 2008eb</t>
  </si>
  <si>
    <t>Cognitive therapy for children. ; Cognitive therapy for teenagers. ; Acceptance and commitment therapy.</t>
  </si>
  <si>
    <t>Dreams : (from Volumes 4, 8, 12, and 16 of the Collected Works of C. G. Jung)</t>
  </si>
  <si>
    <t>Forensic Neuropsychology : A Scientific Approach</t>
  </si>
  <si>
    <t>Larrabee, Glenn J.</t>
  </si>
  <si>
    <t>RA1147.5 .F668 2011</t>
  </si>
  <si>
    <t>Forensic neuropsychology. ; Neuropsychology.</t>
  </si>
  <si>
    <t>Supporting Children with Learning Difficulties : Holistic Solutions for Severe, Profound and Multiple Disabilities</t>
  </si>
  <si>
    <t>Turner, Christine</t>
  </si>
  <si>
    <t>Supporting Children Series</t>
  </si>
  <si>
    <t>LC4704.T87 2011</t>
  </si>
  <si>
    <t>Learning disabilities. ; Learning disabled children--Education. ; Alternative education.</t>
  </si>
  <si>
    <t>Reinterpreting Gesture As Language : Language in Action</t>
  </si>
  <si>
    <t>Rossini, N.</t>
  </si>
  <si>
    <t>Emerging Communication: Studies in New Technologies and Practices in Communication Series</t>
  </si>
  <si>
    <t>Language/Linguistics; Psychology; Social Science</t>
  </si>
  <si>
    <t>Coping with Blast-Related Traumatic Brain Injury in Returning Troops : Wounds of War III</t>
  </si>
  <si>
    <t>Wiederhold, B. K.</t>
  </si>
  <si>
    <t>Youth Violence : Interventions for Health Care Providers</t>
  </si>
  <si>
    <t>Ketterlinus, Robert D.</t>
  </si>
  <si>
    <t>RJ506.V56 -- Y68 2008eb</t>
  </si>
  <si>
    <t>Control (Psychology) ; Women -- Psychology. ; Abusive women. ; Interpersonal relations.</t>
  </si>
  <si>
    <t>BO,BR,BS,BT,BV,BW,BY,BZ,CA,CC,CD,CF,CG,CH,CI,CK,CL,CM,CN,CO,CR,CU,CV,CX,CY,CZ,DE,DJ,DK,DM,DZ,EC,EE,EG,EH,ER,ES,ET,FI,FJ,FK,FM,FO,FR,GA,GB,GD,GE,GF,GG,GH,GI,GL,GM,GN,GP,GQ,GR,GS,GT,GU,GW,GY,HK,HM,HN,HR,HT,HU,ID,IE,IL,IM,IN,IO,IQ,IS,IT,JE,JM,JO,JP,KE,KG,KH,KI,KM,KN,KR,KW,KY,KZ,LA,LB,LC,LI,LK,LR,LS,LT,LU,LV,LY,MA,MC,MD,MG,MH,MK,ML,MM,MN,MO,MP,MQ,MR,MS,MT,MU,MV,MW,MX,MY,MZ,NA,NC,NE,NF,NG,NI,NL,NO,NP,NR,NU,NZ,OM,PA,PE,PF,PG,PH,PK,PL,PM,PN,PR,PT,PW,PY,QA,RE,RO,RU,RW,SA,SB,SC,SE,SG,SH,SI,SJ,SK,SL,SM,SN,SO,SR,ST,SV,SZ,TC,TD,TF,TG,TH,TJ,TK,TM,TN,TO,TR,TT,TV,TW,TZ,UA,UG,US,UY,UZ,VA,VC,VE,VG,VI,VN,VU,WF,WS,YE,YT,YU,ZA,ZM,ZW</t>
  </si>
  <si>
    <t>Cognitive Consistency : A Fundamental Principle in Social Cognition</t>
  </si>
  <si>
    <t>Gawronski, Bertram;Strack, Fritz</t>
  </si>
  <si>
    <t>BF311 -- .C55124 2012eb</t>
  </si>
  <si>
    <t>Cognitive consistency. ; Social perception.</t>
  </si>
  <si>
    <t>Leary, Mark R.;Tangney, June Price</t>
  </si>
  <si>
    <t>BF697 -- .H345 2012eb</t>
  </si>
  <si>
    <t>Bush, Shane S.;Iverson, Grant L.</t>
  </si>
  <si>
    <t>RC552.T7 -- N48 2012eb</t>
  </si>
  <si>
    <t>Psychic trauma -- Diagnosis. ; Neuropsychology. ; Wounds and injuries -- Diagnosis.</t>
  </si>
  <si>
    <t>Cold War Captives : Imprisonment, Escape, and Brainwashing</t>
  </si>
  <si>
    <t>Carruthers, Susan L.</t>
  </si>
  <si>
    <t>E169.12.C293 2009</t>
  </si>
  <si>
    <t>909.82/5</t>
  </si>
  <si>
    <t>Geography/Travel; History</t>
  </si>
  <si>
    <t>Alexander, Jeffrey C.;Eyerman, Ron;Giesen, Bernard;Smelser, Neil J.;Sztompka, Piotr</t>
  </si>
  <si>
    <t>HN13$b.C845 2004</t>
  </si>
  <si>
    <t>The Odyssey Experience : Physical, Social, Psychological, and Spiritual Journeys</t>
  </si>
  <si>
    <t>Smelser, Neil J.</t>
  </si>
  <si>
    <t>LFB Scholarly Publishing</t>
  </si>
  <si>
    <t>El Paso</t>
  </si>
  <si>
    <t>Ostrowsky, Michael K</t>
  </si>
  <si>
    <t>Criminal Justice: Recent Scholarship</t>
  </si>
  <si>
    <t>RJ506.A4 -- O88 2009eb</t>
  </si>
  <si>
    <t>Teenagers -- Alcohol use. ; Alcoholism -- Psychological aspects. ; Teenagers -- Drug use. ; Marijuana abuse. ; Violence. ; Self medication.</t>
  </si>
  <si>
    <t>Beaver, Kevin M</t>
  </si>
  <si>
    <t>HV6025 -- .B42 2008eb</t>
  </si>
  <si>
    <t>Criminology. ; Criminal behavior -- Physiological aspects. ; Criminal behavior -- Genetic aspects. ; Human beings -- Effect of environment on. ; Sociobiology. ; Environmental psychology.</t>
  </si>
  <si>
    <t>Health technology assessment : Principi, dimensioni e strumenti</t>
  </si>
  <si>
    <t>Edizioni SEEd</t>
  </si>
  <si>
    <t>SEEd Srl</t>
  </si>
  <si>
    <t>Torino</t>
  </si>
  <si>
    <t>ITALY</t>
  </si>
  <si>
    <t>Ricciardi, Walter;Torre, Giuseppe La</t>
  </si>
  <si>
    <t>RA418.5.M4 -- R53 2010eb</t>
  </si>
  <si>
    <t>610/.28</t>
  </si>
  <si>
    <t>Murray, Stuart</t>
  </si>
  <si>
    <t>RC553.A88 -- M87 2012eb</t>
  </si>
  <si>
    <t>Ferenczi and His World : Rekindling the Spirit of the Budapest School</t>
  </si>
  <si>
    <t>Keve, Tom;Szekacs-Weisz, Judit</t>
  </si>
  <si>
    <t>RC438.6.F47 -- F47 2012eb</t>
  </si>
  <si>
    <t>Ferenczi, Sándor, -- 1873-1933. ; Psychoanalysts -- Hungary -- Biography. ; Psychiatrists -- Hungary -- Biography.</t>
  </si>
  <si>
    <t>Body, Paper, Stage : Writing and Performing Autoethnography</t>
  </si>
  <si>
    <t>Spry, Tami</t>
  </si>
  <si>
    <t>Qualitative Inquiry and Social Justice Series</t>
  </si>
  <si>
    <t>GN346.6 -- .S67 2011eb</t>
  </si>
  <si>
    <t>Ethnology -- Biographical methods. ; Ethnology -- Authorship. ; Autobiography.</t>
  </si>
  <si>
    <t>Mastering Intensive Short-Term Dynamic Psychotherapy : A Roadmap to the Unconscious</t>
  </si>
  <si>
    <t>ten Have-De Labije, Josette;Neborsky, Robert J.</t>
  </si>
  <si>
    <t>Being a Therapist : A Practitioner's Handbook</t>
  </si>
  <si>
    <t>Klein, Mavis</t>
  </si>
  <si>
    <t>RC489.B4 -- K54 2012eb</t>
  </si>
  <si>
    <t>Moorey, Stirling;Greer, Steven</t>
  </si>
  <si>
    <t>Oxford Guides to Cognitive Behavioural Therapy Series</t>
  </si>
  <si>
    <t>RC271.P79 -- M66 2012eb</t>
  </si>
  <si>
    <t>Sherman, Elisabeth M. S.;Brooks, Brian L.</t>
  </si>
  <si>
    <t>RJ486.5 .P426 2011</t>
  </si>
  <si>
    <t>Pediatric neuropsychology. ; Forensic psychiatry.</t>
  </si>
  <si>
    <t>Acceptance and Commitment Therapy for Anxiety Disorders : A Practitioner's Treatment Guide to Using Mindfulness, Acceptance, and Values-Based Behavior Change Strategies</t>
  </si>
  <si>
    <t>Eifert, Georg H.;Forsyth, John P.;Hayes, Steven C.;Hayes, Steven</t>
  </si>
  <si>
    <t>RC531 -- .E36 2005eb</t>
  </si>
  <si>
    <t>Anxiety disorders. ; Acceptance and commitment therapy. ; Behavioral assessment.</t>
  </si>
  <si>
    <t>Dark Traces of the Past : Psychoanalysis and Historical Thinking</t>
  </si>
  <si>
    <t>Straub, Jürgen;Rüsen, Jö</t>
  </si>
  <si>
    <t>Making Sense of History Series</t>
  </si>
  <si>
    <t>BF175 .D35 2010</t>
  </si>
  <si>
    <t>An Alternative History of Hyperactivity : Food Additives and the Feingold Diet</t>
  </si>
  <si>
    <t>Smith, Matthew</t>
  </si>
  <si>
    <t>Critical Issues in Health and Medicine Series</t>
  </si>
  <si>
    <t>The Total Transference and the Complete Counter-Transference : The Kleinian Psychoanalytic Approach with More Disturbed Patients</t>
  </si>
  <si>
    <t>RC506.W376 2012</t>
  </si>
  <si>
    <t>Klein, Melanie. ; Psychoanalysis. ; Transference (Psychology). ; Countertransference (Psychology).</t>
  </si>
  <si>
    <t>Harvey, John</t>
  </si>
  <si>
    <t>PR149</t>
  </si>
  <si>
    <t>809/.93355</t>
  </si>
  <si>
    <t>English literature -- History and criticism. ; Clothing and dress in literature. ; Black in literature. ; Men in literature. ; Man-woman relationships in literature. ; Symbolism of colors in literature. ; Clothing and dress -- Psychology.</t>
  </si>
  <si>
    <t>Queer Blues : The Lesbian and Gay Guide to Overcoming Depression</t>
  </si>
  <si>
    <t>Hardin, Kimeron;Hall, Marny;Berzon, Betty</t>
  </si>
  <si>
    <t>HQ76.25 -- .H367 2001eb</t>
  </si>
  <si>
    <t>616.8/527/008664</t>
  </si>
  <si>
    <t>Gays -- Psychology. ; Lesbians -- Psychology. ; Gays -- Mental health. ; Lesbians -- Mental health. ; Depression, Mental.</t>
  </si>
  <si>
    <t>Outsmarting the Riptide of Domestic Violence : Metaphor and Mindfulness for Change</t>
  </si>
  <si>
    <t>HV6626.P457 2012</t>
  </si>
  <si>
    <t>Family violence--Psychological aspects. ; Interpersonal relations--Psychological aspects. ; Self-actualization (Psychology).</t>
  </si>
  <si>
    <t>Garralda, Elena;Raynaud, Jean Philippe;Raynaud, Jean-Philippe</t>
  </si>
  <si>
    <t>WS 350.6</t>
  </si>
  <si>
    <t>Mental Disorders--psychology. ; Adolescent. ; Child Development. ; Child. ; Mental Disorders--etiology. ; Psychopathology.</t>
  </si>
  <si>
    <t>Ingrams, Jonathan</t>
  </si>
  <si>
    <t>BF76 -- .I54 2012eb</t>
  </si>
  <si>
    <t>Self Assessment in Limb X-ray Interpretation : Musculoskeletal Trauma Imaging of Appendicular Skeleton</t>
  </si>
  <si>
    <t>M&amp;K Update Ltd.</t>
  </si>
  <si>
    <t>Cumbria</t>
  </si>
  <si>
    <t>M&amp;K Publishing</t>
  </si>
  <si>
    <t>Sakthivel Wainford, Karen</t>
  </si>
  <si>
    <t>X-ray interpretation, 1</t>
  </si>
  <si>
    <t>RD680 -- .S25 2006eb</t>
  </si>
  <si>
    <t>Antisemitism -- Psychological aspects. ; Hate -- Psychological aspects. ; Social perception. ; Stereotypes (Social psychology) ; Psychoanalysis -- Social aspects.</t>
  </si>
  <si>
    <t>Clinician's Guide to Chronic Disease Management of Long Term Conditions : A Cognitive Behavioural Approach</t>
  </si>
  <si>
    <t>Lewin, Robert;Furze, Gill;Donnison, Jennifer</t>
  </si>
  <si>
    <t>RC108 -- .F87 2008eb</t>
  </si>
  <si>
    <t>Rational emotive behavior therapy. ; Personality. ; Sex (Psychology)</t>
  </si>
  <si>
    <t>Manic Minds : Mania's Mad History and Its Neuro-Future</t>
  </si>
  <si>
    <t>Hermsen, Lisa M.</t>
  </si>
  <si>
    <t>Bipolar disorder-History. ; Neuropsychiatry-History.</t>
  </si>
  <si>
    <t>Drug Effects : Khat in Biocultural and Socioeconomic Perspective</t>
  </si>
  <si>
    <t>Gezon, Lisa</t>
  </si>
  <si>
    <t>Advances in Critical Medical Anthropology Series</t>
  </si>
  <si>
    <t>HV5822.Q3 -- G49 2012eb</t>
  </si>
  <si>
    <t>583/.85</t>
  </si>
  <si>
    <t>Khat -- Social aspects. ; Khat -- Economic aspects. ; Khat -- Political aspects.</t>
  </si>
  <si>
    <t>Science; Science: Botany; Social Science</t>
  </si>
  <si>
    <t>H62 -- .Q343 2011eb</t>
  </si>
  <si>
    <t>Gender and Culture in Psychology : Theories and Practices</t>
  </si>
  <si>
    <t>Magnusson, Eva;Marecek, Jeanne</t>
  </si>
  <si>
    <t>HQ1206 .M224 2012</t>
  </si>
  <si>
    <t>Feminism -- Psychological aspects. ; Gender identity -- Psychological aspects. ; Culture -- Psychological aspects.</t>
  </si>
  <si>
    <t>Play Therapy and Asperger's Syndrome : Helping Children and Adolescents Grow, Connect, and Heal Through the Art of Play</t>
  </si>
  <si>
    <t>Hull, Kevin B.</t>
  </si>
  <si>
    <t>WS 350.8.P4</t>
  </si>
  <si>
    <t>Asperger Syndrome--therapy. ; Asperger Syndrome--diagnosis. ; Play Therapy--methods.</t>
  </si>
  <si>
    <t>Academic and Behavior Supports for at-Risk Students : Tier 2 Interventions</t>
  </si>
  <si>
    <t>Stormont, Melissa;Reinke, Wendy M.;Herman, Keith C.;Lembke, Erica S</t>
  </si>
  <si>
    <t>Problem children -- Education</t>
  </si>
  <si>
    <t>Small, Large and Median Groups : The Work of Patrick de Mare</t>
  </si>
  <si>
    <t>Lenn, Rachel;Stefano, Karen</t>
  </si>
  <si>
    <t>HM716 -- .S63 2012eb</t>
  </si>
  <si>
    <t>De Maré, Patrick B. -- Criticism and interpretation. ; Social groups.</t>
  </si>
  <si>
    <t>Healing Intelligence : The Spirit in Psychotherapy - Working with Darkness and Light</t>
  </si>
  <si>
    <t>Mulhern, Alan</t>
  </si>
  <si>
    <t>RC480 -- .M85 2012eb</t>
  </si>
  <si>
    <t>The Dialogues in and of the Group : Lacanian Perspectives on the Psychoanalytic Group</t>
  </si>
  <si>
    <t>Giraldo, Macario</t>
  </si>
  <si>
    <t>Group psychotherapy. ; Psychoanalysis.</t>
  </si>
  <si>
    <t>Spirituality in Nursing : The Challenges of Complexity, Third Edition</t>
  </si>
  <si>
    <t>RT85.2.B37 2010</t>
  </si>
  <si>
    <t>Nursing--Religious aspects. ; Nursing--Philosophy. ; Nursing--Psychological aspects. ; Spirituality. ; Nurse-Patient Relations. ; Spirituality. ; Philosophy, Nursing. ; Religion and Medicine.</t>
  </si>
  <si>
    <t>Mertig, Rita Girouard</t>
  </si>
  <si>
    <t>WK 850</t>
  </si>
  <si>
    <t>Diabetes--Nursing. ; Patient education. ; Self-care, Health. ; Diabetes Mellitus--therapy--Nurses' Instruction. ; Patient Education as Topic--Nurses' Instruction. ; Diabetes Mellitus--psychology--Nurses' Instruction. ; Nurse-Patient Relations--Nurses' Instruction. ; Self Care--psychology--Nurses' Instruction.</t>
  </si>
  <si>
    <t>Nursing; Medicine</t>
  </si>
  <si>
    <t>Annual Review of Gerontology and Geriatrics, Volume 32 2012 : Emerging Perspectives on Resilience in Adulthood and Later Life</t>
  </si>
  <si>
    <t>Hayslip, Jr., Bert</t>
  </si>
  <si>
    <t>RC952.A1 A56</t>
  </si>
  <si>
    <t>Lago, Colin</t>
  </si>
  <si>
    <t>RC455.4.E8 H36 2011</t>
  </si>
  <si>
    <t>Psychiatry, Transcultural. ; Psychotherapy.</t>
  </si>
  <si>
    <t>Gilles Deleuze and the Fabulation of Philosophy : Powers of the False, Volume 1</t>
  </si>
  <si>
    <t>Flaxman, Gregory</t>
  </si>
  <si>
    <t>B2430.D454 -- F53 2012eb</t>
  </si>
  <si>
    <t>Deleuze, Gilles, -- 1925-1995. ; Nietzsche, Friedrich Wilhelm, -- 1844-1900. ; Philosophy. ; Truthfulness and falsehood.</t>
  </si>
  <si>
    <t>Ben-Porath, Yossef S.</t>
  </si>
  <si>
    <t>BF698.8.M5 -- B46 2012eb</t>
  </si>
  <si>
    <t>Healing Trauma : A Professional Guide</t>
  </si>
  <si>
    <t>Wu, Kitty K.;Tang, Catherine S.;Leung, Eugenie Y.</t>
  </si>
  <si>
    <t>RC552.P67 H425 2011</t>
  </si>
  <si>
    <t>Psychic trauma. ; Psychology.</t>
  </si>
  <si>
    <t>Return Migration and Identity : A Global Phenomenon, a Hong Kong Case</t>
  </si>
  <si>
    <t>Sussman, Nan M.</t>
  </si>
  <si>
    <t>JV6217.5 -- .S87 2010eb</t>
  </si>
  <si>
    <t>Return migration -- China -- Hong Kong. ; Emigration and immigration -- Psychological aspects -- Case studies. ; Decolonization -- China -- Hong Kong. ; Hong Kong (China) -- Emigration and immigration. ; Hong Kong (China) -- History -- Transfer of Sovereignty from Great Britain, 1997. ; Hong Kong (China) -- Ethnic relations. ; Hong Kong (China) -- Social conditions -- 20th century.</t>
  </si>
  <si>
    <t>Economics; Political Science</t>
  </si>
  <si>
    <t>Vasterling, Jennifer J.;Bryant, Richard A.;Keane, Terence M.</t>
  </si>
  <si>
    <t>RC552.P67 -- P798 2012eb</t>
  </si>
  <si>
    <t>Post-traumatic stress disorder. ; Brain damage -- Psychological aspects.</t>
  </si>
  <si>
    <t>Sharjah</t>
  </si>
  <si>
    <t>UNITED ARAB EMIRATES</t>
  </si>
  <si>
    <t>Lam, Lawrence T.</t>
  </si>
  <si>
    <t>BF176.2 -- .P79 2010eb</t>
  </si>
  <si>
    <t>Psychological tests -- China. ; Health education -- China.</t>
  </si>
  <si>
    <t>The New Arab Man : Emergent Masculinities, Technologies, and Islam in the Middle East</t>
  </si>
  <si>
    <t>Inhorn, Marcia C.</t>
  </si>
  <si>
    <t>155.8/492700811</t>
  </si>
  <si>
    <t>Parental Incarceration and the Family : Psychological and Social Effects of Imprisonment on Children, Parents, and Caregivers</t>
  </si>
  <si>
    <t>NYU Press</t>
  </si>
  <si>
    <t>Arditti, Joyce A.</t>
  </si>
  <si>
    <t>HV8886.U5A73 2012</t>
  </si>
  <si>
    <t>362.82/95</t>
  </si>
  <si>
    <t>Prisoners' families--United States. ; Children of prisoners--United States. ; Children of women prisoners--United States. ; Prisoners--Family relationships--United States. ; Women prisoners--Family relationships--United States.</t>
  </si>
  <si>
    <t>The Tender Cut : Inside the Hidden World of Self-Injury</t>
  </si>
  <si>
    <t>Adler, Patricia A.;Adler, Peter</t>
  </si>
  <si>
    <t>362.196/8582</t>
  </si>
  <si>
    <t>Self-injurious behavior. ; Adaptability (Psychology) ; Social isolation. ; Stress (Psychology)</t>
  </si>
  <si>
    <t>Qualitative Data : An Introduction to Coding and Analysis</t>
  </si>
  <si>
    <t>Auerbach, Carl;Silverstein, Louise B.</t>
  </si>
  <si>
    <t>Qualitative Studies in Psychology Series</t>
  </si>
  <si>
    <t>The Terrorist Identity : Explaining the Terrorist Threat</t>
  </si>
  <si>
    <t>Arena, Michael P.;Arrigo, Bruce A.</t>
  </si>
  <si>
    <t>Alternative Criminology Series</t>
  </si>
  <si>
    <t>Gay Dads : Transitions to Adoptive Fatherhood</t>
  </si>
  <si>
    <t>Goldberg, Abbie E.</t>
  </si>
  <si>
    <t>HQ76.13.G65 2012</t>
  </si>
  <si>
    <t>306.874/208664</t>
  </si>
  <si>
    <t>Muslim American Youth : Understanding Hyphenated Identities Through Multiple Methods</t>
  </si>
  <si>
    <t>Fine, Michelle;Sirin, Selcuk R.</t>
  </si>
  <si>
    <t>Silver, David;Massanari, Adrienne;Jones, Steve</t>
  </si>
  <si>
    <t>QA76.9.C66 C744 2006</t>
  </si>
  <si>
    <t>Computers and civilization. ; Cyberspace-Social aspects. ; Internet-Social aspects.</t>
  </si>
  <si>
    <t>Computer Science/IT; Social Science</t>
  </si>
  <si>
    <t>Bohan, Janis S.;Russell, Glenda M.</t>
  </si>
  <si>
    <t>HQ76.25 .B65 1999</t>
  </si>
  <si>
    <t>306.76/5</t>
  </si>
  <si>
    <t>Homosexuality-Psychological aspects. ; Bisexuality-Psychological aspects. ; Sexual orientation-Psychological aspects. ; Gays-Mental health services. ; Bisexuals-Mental health services. ; Psychotherapy.</t>
  </si>
  <si>
    <t>Show Sold Separately : Promos, Spoilers, and Other Media Paratexts</t>
  </si>
  <si>
    <t>Gray, Jonathan</t>
  </si>
  <si>
    <t>PN1992.8..A32 -- G73 2010eb</t>
  </si>
  <si>
    <t>659.1/9302234</t>
  </si>
  <si>
    <t>Business/Management; Fine Arts</t>
  </si>
  <si>
    <t>Brock, Adrian C.</t>
  </si>
  <si>
    <t>BF81 .I575 2006</t>
  </si>
  <si>
    <t>Psychology-History.</t>
  </si>
  <si>
    <t>Girlfighting : Betrayal and Rejection among Girls</t>
  </si>
  <si>
    <t>Brown, Lyn Mikel</t>
  </si>
  <si>
    <t>HQ798 .B723 2003</t>
  </si>
  <si>
    <t>Aggressiveness in adolescence. ; Aggressiveness in children. ; Anger in adolescence. ; Anger in children. ; Female friendship. ; Girls-Psychology. ; Interpersonal conflict in adolescence. ; Interpersonal conflict in children. ; Teenage girls-Psychology. ; Women-Socialization.</t>
  </si>
  <si>
    <t>Fans, Bloggers, and Gamers : Exploring Participatory Culture</t>
  </si>
  <si>
    <t>Jenkins, Henry</t>
  </si>
  <si>
    <t>The Wow Climax : Tracing the Emotional Impact of Popular Culture</t>
  </si>
  <si>
    <t>E169.12 .J46 2007</t>
  </si>
  <si>
    <t>Popular culture-United States. ; Popular culture-United States-Psychological aspects. ; Emotions-Social aspects-United States. ; Affect (Psychology)-United States. ; Aesthetics-Social aspects-United States. ; Mass media-Social aspects-United States. ; Mass media-United States-Psychological aspects. ; United States-Social conditions-1933-1945. ; United States-Social conditions-1945-</t>
  </si>
  <si>
    <t>Fandom : Identities and Communities in a Mediated World</t>
  </si>
  <si>
    <t>Gray, Jonathan;Harrington, C. Lee;Sandvoss, Cornel</t>
  </si>
  <si>
    <t>HM646 .F36 2007</t>
  </si>
  <si>
    <t>306.4/87</t>
  </si>
  <si>
    <t>Healing the Broken Mind : Transforming America's Failed Mental Health System</t>
  </si>
  <si>
    <t>Kelly, Timothy A.</t>
  </si>
  <si>
    <t>RA790.6 .K448 2009</t>
  </si>
  <si>
    <t>Mental health services-United States. ; Community mental health services-United States.</t>
  </si>
  <si>
    <t>Heroic Efforts : The Emotional Culture of Search and Rescue Volunteers</t>
  </si>
  <si>
    <t>Lois, Jennifer</t>
  </si>
  <si>
    <t>796.52/2/0289</t>
  </si>
  <si>
    <t>Urban Girls Revisited : Building Strengths</t>
  </si>
  <si>
    <t>Leadbeater, Bonnie J.;Way, Niobe</t>
  </si>
  <si>
    <t>Why Girls Fight : Female Youth Violence in the Inner City</t>
  </si>
  <si>
    <t>Ness, Cindy D.</t>
  </si>
  <si>
    <t>HV6791 -- .N38 2010eb</t>
  </si>
  <si>
    <t>303.60835/20973</t>
  </si>
  <si>
    <t>Control : A History of Behavioral Psychology</t>
  </si>
  <si>
    <t>Mills, John A.</t>
  </si>
  <si>
    <t>BF199 .M485 1998</t>
  </si>
  <si>
    <t>150.19/43/09</t>
  </si>
  <si>
    <t>Behaviorism (Psychology)-History.</t>
  </si>
  <si>
    <t>When Mothers Kill : Interviews from Prison</t>
  </si>
  <si>
    <t>Meyer, Cheryl L.;Oberman, Michelle</t>
  </si>
  <si>
    <t>Flirting with Danger : Young Women's Reflections on Sexuality and Domination</t>
  </si>
  <si>
    <t>Phillips, Lynn</t>
  </si>
  <si>
    <t>HQ29 .P49 2000</t>
  </si>
  <si>
    <t>306.7/08352/0973</t>
  </si>
  <si>
    <t>Young women-Sexual behavior-United States. ; Young women-United States-Interviews. ; Man-woman relationships-United States. ; Sexual harassment of women-United States. ; Sex discrimination against women-United States.</t>
  </si>
  <si>
    <t>Another Self : Middle-Class American Women and Their Friends in the Twentieth Century</t>
  </si>
  <si>
    <t>Rosenzweig, Linda W.</t>
  </si>
  <si>
    <t>History of Emotions S.</t>
  </si>
  <si>
    <t>HQ1206 -- .R655 1999eb</t>
  </si>
  <si>
    <t>302.3/4/0820973</t>
  </si>
  <si>
    <t>Women -- Psychology. ; Female friendship -- United States -- History. ; Middle class women -- United States -- History.</t>
  </si>
  <si>
    <t>Pride in the Projects : Teens Building Identities in Urban Contexts</t>
  </si>
  <si>
    <t>Deutsch, Nancy L.</t>
  </si>
  <si>
    <t>BF724.3.I3 D48 2008</t>
  </si>
  <si>
    <t>Identity (Psychology) in adolescence-United States-Case studies. ; Urban youth-United States-Psychology-Case studies. ; Youth with social disabilities-United States-Psychology-Case studies. ; Interpersonal relations-United States-Case studies. ; After-school programs-United States.</t>
  </si>
  <si>
    <t>The Perversion of Youth : Controversies in the Assessment and Treatment of Juvenile Sex Offenders</t>
  </si>
  <si>
    <t>DiCataldo, Frank C.</t>
  </si>
  <si>
    <t>Psychology and Crime Series</t>
  </si>
  <si>
    <t>HV9067.S48 D53 2009</t>
  </si>
  <si>
    <t>364.15/30835</t>
  </si>
  <si>
    <t>Teenage sex offenders-Psychology. ; Teenage sex offenders-Rehabilitation.</t>
  </si>
  <si>
    <t>Living Outside Mental Illness : Qualitative Studies of Recovery in Schizophrenia</t>
  </si>
  <si>
    <t>Davidson, Larry</t>
  </si>
  <si>
    <t>Latina Girls : Voices of Adolescent Strength in the U. S.</t>
  </si>
  <si>
    <t>Denner, Jill;Guzman, Bianca</t>
  </si>
  <si>
    <t>E184.S75 L345 2006</t>
  </si>
  <si>
    <t>Pimps up, Ho's Down : Hip Hop's Hold on Young Black Women</t>
  </si>
  <si>
    <t>Sharpley-Whiting, T. Denean Denean</t>
  </si>
  <si>
    <t>305.48/896073</t>
  </si>
  <si>
    <t>Becoming Bicultural : Risk, Resilience, and Latino Youth</t>
  </si>
  <si>
    <t>Smokowski, Paul R.;Bacallao, Martica</t>
  </si>
  <si>
    <t>Policing Methamphetamine : Narcopolitics in Rural America</t>
  </si>
  <si>
    <t>Garriott, William</t>
  </si>
  <si>
    <t>HV5831.W4 G37 2011</t>
  </si>
  <si>
    <t>362.29/9</t>
  </si>
  <si>
    <t>Methamphetamine-West Virginia. ; Methamphetamine abuse-West Virginia-Prevention. ; Drug traffic-Investigation-West Virginia. ; Methamphetamine abuse-Political aspects-United States. ; Police-United States.</t>
  </si>
  <si>
    <t>Developing Everyday Coping Skills in the Early Years : Proactive Strategies for Supporting Social and Emotional Development</t>
  </si>
  <si>
    <t>Frydenberg, Erica;Deans, Jan;O'Brien, Kelly</t>
  </si>
  <si>
    <t>LB1072.F79 2011</t>
  </si>
  <si>
    <t>Affective education. ; Adjustment (Psychology) in children. ; Child development. ; Early childhood education--Parent participation.</t>
  </si>
  <si>
    <t>Spotte, Stephen</t>
  </si>
  <si>
    <t>SF433 .S66 2012</t>
  </si>
  <si>
    <t>636.7/0835</t>
  </si>
  <si>
    <t>Dogs -- Behavior. ; Dogs -- Psychology. ; Social behavior in animals. ; Wolves -- Behavior. ; Wolves -- Psychology. ; Science. ; Agriculture.</t>
  </si>
  <si>
    <t>Agriculture</t>
  </si>
  <si>
    <t>Sexual Revolutions in Cuba : Passion, Politics, and Memory</t>
  </si>
  <si>
    <t>Hamilton, Carrie;Dore, Elizabeth</t>
  </si>
  <si>
    <t>Envisioning Cuba Series</t>
  </si>
  <si>
    <t>HQ18.C83 -- H36 2012eb</t>
  </si>
  <si>
    <t>306.76097291/09045</t>
  </si>
  <si>
    <t>Sex -- Cuba -- History. ; Cubans -- Sexual behavior -- History -- Interviews. ; Homosexuality -- Cuba -- History -- Interviews. ; Oral history -- Cuba. ; Cuba -- Social conditions -- Interviews. ; Cuba -- History -- Revolution, 1959.</t>
  </si>
  <si>
    <t>Effective Short-Term Counselling Within the Primary Care Setting : Psychodynamic and Cognitive-Behavioural Therapy Approaches</t>
  </si>
  <si>
    <t>Garrett, Valerie</t>
  </si>
  <si>
    <t>RC480 -- .G44 2010eb</t>
  </si>
  <si>
    <t>Psychotherapy. ; Cognitive therapy. ; Behavior therapy. ; Primary care (Medicine)</t>
  </si>
  <si>
    <t>Black Dogs and Blue Words : Depression and Gender in the Age of Self-Care</t>
  </si>
  <si>
    <t>Emmons, Kimberly K.</t>
  </si>
  <si>
    <t>616.85/270082</t>
  </si>
  <si>
    <t>Depression in women. ; Mental illness in mass media.</t>
  </si>
  <si>
    <t>Duoethnography : Dialogic Methods for Social, Health, and Educational Research</t>
  </si>
  <si>
    <t>Norris, Joe;Sawyer, Richard D.;Lund, Darren;Given, Lisa M.</t>
  </si>
  <si>
    <t>Developing Qualitative Inquiry Series</t>
  </si>
  <si>
    <t>H61.295 -- .D86 2012eb</t>
  </si>
  <si>
    <t>How Couple Relationships Shape Our World : Clinical Practice, Research, and Policy Perspectives</t>
  </si>
  <si>
    <t>Balfour, Andrew;Morgan, Mary;Vincent, Christopher</t>
  </si>
  <si>
    <t>RC488 -- .H69 2012eb</t>
  </si>
  <si>
    <t>Couples therapy. ; Couples -- Law and legislation.</t>
  </si>
  <si>
    <t>The Managed Heart : Commercialization of Human Feeling</t>
  </si>
  <si>
    <t>Hochschild, Arlie Russell</t>
  </si>
  <si>
    <t>BF531 -- .H63 2012eb</t>
  </si>
  <si>
    <t>Emotions-Economic aspects. ; Work-Psychological aspects. ; Employee motivation.</t>
  </si>
  <si>
    <t>Contesting Childhood : Autobiography, Trauma, and Memory</t>
  </si>
  <si>
    <t>Douglas, Kate</t>
  </si>
  <si>
    <t>Rutgers Series in Childhood Studies</t>
  </si>
  <si>
    <t>BF378</t>
  </si>
  <si>
    <t>The Meanings of Macho : Being a Man in Mexico City</t>
  </si>
  <si>
    <t>Gutmann, Matthew C.</t>
  </si>
  <si>
    <t>Men and Masculinity Series</t>
  </si>
  <si>
    <t>Men -- Mexico -- Mexico City -- Psychology. ; Masculinity -- Mexico -- Mexico City. ; Machismo -- Mexico -- Mexico City.</t>
  </si>
  <si>
    <t>The Educated Parent 2 : Child Rearing in the 21st Century</t>
  </si>
  <si>
    <t>HQ755.8.S362 2012</t>
  </si>
  <si>
    <t>Parenting. ; Parent and child. ; Parenting, Part-time. ; Child development. ; Child psychology.</t>
  </si>
  <si>
    <t>Olfactory Cognition : From Perception and Memory to Environmental Odours and Neuroscience</t>
  </si>
  <si>
    <t>Zucco, Gesualdo M.;Herz, Rachel S.;Schaal, Benoist</t>
  </si>
  <si>
    <t>QP458 -- .O432 2012eb</t>
  </si>
  <si>
    <t>612.8/6</t>
  </si>
  <si>
    <t>Portfolio management -- Mathematical models. ; Finance.</t>
  </si>
  <si>
    <t>The Foundations of Psychoanalytic Theories : Project for a Scientific Enough Psychoanalysis</t>
  </si>
  <si>
    <t>BF175 -- .T35 2012eb</t>
  </si>
  <si>
    <t>Cash, Thomas F.</t>
  </si>
  <si>
    <t>BF181</t>
  </si>
  <si>
    <t>Body image -- Social aspects</t>
  </si>
  <si>
    <t>The Adult Attachment Projective Picture System : Attachment Theory and Assessment in Adults</t>
  </si>
  <si>
    <t>George, Carol;West, Malcolm L.</t>
  </si>
  <si>
    <t>BF575.A86 -- G46 2012eb</t>
  </si>
  <si>
    <t>Attachment behavior. ; Attachment disorder. ; Adulthood -- Psychological aspects. ; Behavioral assessment.</t>
  </si>
  <si>
    <t>The Construction of the Self : Developmental and Sociocultural Foundations</t>
  </si>
  <si>
    <t>Harter, Susan;Bukowski, William M.</t>
  </si>
  <si>
    <t>BF723.S24 -- H37 2012eb</t>
  </si>
  <si>
    <t>Self in children. ; Self in adolescence.</t>
  </si>
  <si>
    <t>RTI Applications, Volume 1 : Academic and Behavioral Interventions</t>
  </si>
  <si>
    <t>Riley-Tillman, T. Chris;VanDerHeyden, Amanda M.;Burns, Matthew K.;Riley-Tillman, T. Chris</t>
  </si>
  <si>
    <t>LC4705 -- .B87 2012eb</t>
  </si>
  <si>
    <t>Response to intervention (Learning disabled children) -- Handbooks, manuals, etc.</t>
  </si>
  <si>
    <t>Taking Charge of Anger : Six Steps to Asserting Yourself Without Losing Control</t>
  </si>
  <si>
    <t>BF575.A5 -- N39 2012eb</t>
  </si>
  <si>
    <t>Anger. ; Interpersonal conflict. ; Self-control.</t>
  </si>
  <si>
    <t>Image and the Figure : Our Lady of Czêstochowa in Polish Culture and Popular Religion</t>
  </si>
  <si>
    <t>Jagiellonian University Press</t>
  </si>
  <si>
    <t>POLAND</t>
  </si>
  <si>
    <t>Nied¼wied¼, Anna</t>
  </si>
  <si>
    <t>BT660.C9 -- N542 2010eb</t>
  </si>
  <si>
    <t>263.04243858;263/.04243858</t>
  </si>
  <si>
    <t>Elections -- United States -- Statistics. ; Voting -- United States -- Statistics.</t>
  </si>
  <si>
    <t>RETHINKING RESEARCH AND PROFESSIONAL PRACTICES IN TERMS OF RELATIONALITY, SUBJECTIVITY AND POWER : QUEER AND SUBJUGATED KNOWLEDGES</t>
  </si>
  <si>
    <t>Robinson, Kerry H.;Davies, Cristyn;Davies, Bronwyn</t>
  </si>
  <si>
    <t>HQ76.25 -- .Q44 2012eb</t>
  </si>
  <si>
    <t>150.19/5;150.195</t>
  </si>
  <si>
    <t>Queer theory. ; Knowledge, Theory of.</t>
  </si>
  <si>
    <t>Winokuer, Howard R.;Harris, Darcy L.</t>
  </si>
  <si>
    <t>BF575.G7</t>
  </si>
  <si>
    <t>Grief. ; Grief therapy. ; Loss (Psychology)</t>
  </si>
  <si>
    <t>Gender, Heterosexuality, and Youth Violence : The Struggle for Recognition</t>
  </si>
  <si>
    <t>Messerschmidt, James W.</t>
  </si>
  <si>
    <t>HQ799.2.V56M474 2012</t>
  </si>
  <si>
    <t>Youth and violence. ; Body image in adolescence. ; Sex differences (Psychology) in adolescence. ; Heterosexuality.</t>
  </si>
  <si>
    <t>The War of the Sexes : How Conflict and Cooperation Have Shaped Men and Women from Prehistory to the Present</t>
  </si>
  <si>
    <t>Seabright, Paul</t>
  </si>
  <si>
    <t>Attachment Therapy with Adolescents and Adults : Theory and Practice Post Bowlby</t>
  </si>
  <si>
    <t>Heard, Dorothy;McCluskey, Una;Lake, Brian</t>
  </si>
  <si>
    <t>RC455.4.A84 -- H43 2012eb</t>
  </si>
  <si>
    <t>Attachment behavior. ; Developmental psychology.</t>
  </si>
  <si>
    <t>The Language of Drawings : A New Finding in Psychodynamic Work</t>
  </si>
  <si>
    <t>NC593 -- .B73 2012eb</t>
  </si>
  <si>
    <t>Drawing. ; Psychotherapy.</t>
  </si>
  <si>
    <t>Situated Aesthetics : Art Beyond the Skin</t>
  </si>
  <si>
    <t>Manzotti, Riccardo</t>
  </si>
  <si>
    <t>N71 -- .S58 2011eb</t>
  </si>
  <si>
    <t>Aesthetics. ; Art -- Psychological aspects.</t>
  </si>
  <si>
    <t>Freud in Zion : Psychoanalysis and the Making of Modern Jewish Identity</t>
  </si>
  <si>
    <t>Rolnik, Eran J.;Watzman, Haim</t>
  </si>
  <si>
    <t>DS149 -- .R65 2012eb</t>
  </si>
  <si>
    <t>Zionism. ; Psychoanalysis.</t>
  </si>
  <si>
    <t>The Significance of Dreams : Bridging Clinical and Extraclinical Research in Psychoanalysis</t>
  </si>
  <si>
    <t>Fonagy, Peter;Kachele, Horst;Leuzinger-Bohleber, Marianne;Taylor, David</t>
  </si>
  <si>
    <t>BF1078 -- .S54 2012eb</t>
  </si>
  <si>
    <t>Dreams. ; Psychoanalysis.</t>
  </si>
  <si>
    <t>Freud's on Narcissism : An Introduction</t>
  </si>
  <si>
    <t>Fonagy, Peter;Person, Ethel Spector;Sandler, Joseph</t>
  </si>
  <si>
    <t>IPA Contemporary Freud: Turning Points and Critical Issues</t>
  </si>
  <si>
    <t>RC553.N36 -- F74 2012eb</t>
  </si>
  <si>
    <t>Freud, Sigmund, -- 1856-1939. ; Narcissism.</t>
  </si>
  <si>
    <t>Love for Sale : Courting, Treating, and Prostitution in New York City, 1900-1945</t>
  </si>
  <si>
    <t>Clement, Elizabeth Alice</t>
  </si>
  <si>
    <t>HQ146.N7 -- C55 2006eb</t>
  </si>
  <si>
    <t>306.7409747/1</t>
  </si>
  <si>
    <t>Prostitution -- New York (State) -- New York -- History -- 20th century. ; Sex customs -- New York (State) -- New York -- History -- 20th century. ; Courtship -- New York (State) -- New York -- History -- 20th century.</t>
  </si>
  <si>
    <t>The Girl on the Magazine Cover : The Origins of Visual Stereotypes in American Mass Media</t>
  </si>
  <si>
    <t>Kitch, Carolyn</t>
  </si>
  <si>
    <t>P94.5.W652 U655 2001</t>
  </si>
  <si>
    <t>302.23/082/0973</t>
  </si>
  <si>
    <t>Women in mass media-History. ; Mass media-United States-History. ; Visual communication-United States-History. ; Advertising-United States-History. ; Mass media and culture-United States-History. ; Stereotypes (Social psychology)-United States-History.</t>
  </si>
  <si>
    <t>Growing Up Jim Crow : How Black and White Southern Children Learned Race</t>
  </si>
  <si>
    <t>Ritterhouse, Jennifer</t>
  </si>
  <si>
    <t>E185.61 -- .R59 2006eb</t>
  </si>
  <si>
    <t>305.896/07307509041</t>
  </si>
  <si>
    <t>African Americans -- Segregation -- Southern States -- History -- 20th century. ; Race awareness in children -- Southern States -- History -- 20th century. ; African American children -- Southern States -- Social conditions -- 20th century. ; Children, White -- Southern States -- Social conditions -- 20th century. ; African Americans -- Race identity -- Southern States -- History -- 20th century. ; Whites -- Race identity -- Southern States -- History -- 20th century. ; Etiquette -- Southern States -- Psychological aspects -- History -- 20th century.</t>
  </si>
  <si>
    <t>Hearing Voices : The Histories, Causes and Meanings of Auditory Verbal Hallucinations</t>
  </si>
  <si>
    <t>McCarthy-Jones, Simon</t>
  </si>
  <si>
    <t>RC553.H3 M38 2012</t>
  </si>
  <si>
    <t>Hallucinations and illusions. ; Auditory hallucinations.</t>
  </si>
  <si>
    <t>Decision Assessment and Counseling in Abortion Care : Philosophy and Practice</t>
  </si>
  <si>
    <t>Perrucci, Alissa C.</t>
  </si>
  <si>
    <t>WQ 440</t>
  </si>
  <si>
    <t>Abortion, Induced--psychology. ; Abortion Applicants--psychology. ; Counseling. ; Decision Making. ; Family Planning Services.</t>
  </si>
  <si>
    <t>First Sight : ESP and Parapsychology in Everyday Life</t>
  </si>
  <si>
    <t>Carpenter, James C.</t>
  </si>
  <si>
    <t>BF1321.C28 2011</t>
  </si>
  <si>
    <t>Extrasensory perception. ; Parapsychology.</t>
  </si>
  <si>
    <t>Hagell</t>
  </si>
  <si>
    <t>HQ799.G7</t>
  </si>
  <si>
    <t>Contemporary Developments in Adult and Young Adult Therapy : The Work of the Tavistock and Portman Clinics</t>
  </si>
  <si>
    <t>RC480 -- .C661 2012eb</t>
  </si>
  <si>
    <t>The Social Nature of Persons : One Person Is No Person</t>
  </si>
  <si>
    <t>Tom Ormay, A. P.</t>
  </si>
  <si>
    <t>HM1106 -- .O76 2012eb</t>
  </si>
  <si>
    <t>Social interaction. ; Social psychology.</t>
  </si>
  <si>
    <t>Boekaerts, Monique;Pintrich, Paul R.;Zeidner, Moshe</t>
  </si>
  <si>
    <t>BF636 .B889 2005</t>
  </si>
  <si>
    <t>BF408 .S284 2012</t>
  </si>
  <si>
    <t>Treating Attachment Disorders : From Theory to Therapy</t>
  </si>
  <si>
    <t>Brisch, Karl Heinz;Kronenberg, Kenneth;Bretherton, Inge;Köhler, Lotte;Köhler, Lotte</t>
  </si>
  <si>
    <t>RJ507.A77 -- B7513 2012eb</t>
  </si>
  <si>
    <t>Success for Modern Day Relationships : Working with Dating, Engaged, and Married Couples</t>
  </si>
  <si>
    <t>Cohl, Barbara R.;Cohl, Ph R D</t>
  </si>
  <si>
    <t>HQ10.C577 2012</t>
  </si>
  <si>
    <t>Marriage counseling. ; Couples--Counseling of.</t>
  </si>
  <si>
    <t>Greydanus, Donald E.;Patel, Dilip R.;Omar, Hatim A.;Feucht, Cynthia;Merrick, Joav;Calles, Joseph L.;Hawver, Elizabeth K.;Huff, Marlene B.;Kaplan, Gabriel;Lentzsch-Parcells, Carolyn M.</t>
  </si>
  <si>
    <t>RJ550.A485 2012</t>
  </si>
  <si>
    <t>Adolescent medicine. ; Adolescent--physiology. ; Drug Therapy. ; Adolescent Development. ; Adolescent Psychology. ; Mental Disorders--drug therapy.</t>
  </si>
  <si>
    <t>Greydanus, Donald E.;Patel, Dilip R.;Omar, Hatim A.;Feucht, Cynthia;Merrick, Joav;Atay, Orhan K.;Chadehumbe, Madeline A.;Chonat, Satheesh;Feinberg, Arthur N.;Gera, Renuka</t>
  </si>
  <si>
    <t>Adolescent medicine. ; Adolescent psychology.</t>
  </si>
  <si>
    <t>The Beauty of Birds : From Birdscapes: Birds in Our Imagination and Experience</t>
  </si>
  <si>
    <t>Mynott, Jeremy</t>
  </si>
  <si>
    <t>Princeton Shorts Series</t>
  </si>
  <si>
    <t>History; Science: Zoology; Social Science</t>
  </si>
  <si>
    <t>After Freud Left : A Century of Psychoanalysis in America</t>
  </si>
  <si>
    <t>Burnham, John</t>
  </si>
  <si>
    <t>RC503</t>
  </si>
  <si>
    <t>Freud, Sigmund, -- 1856-1939 -- Influence</t>
  </si>
  <si>
    <t>NX165 -- .H36 2012eb</t>
  </si>
  <si>
    <t>Art -- Psychological aspects. ; Amateur films -- Psychological aspects. ; Psychoanalysis.</t>
  </si>
  <si>
    <t>Paradigms in Psychoanalysis : An Integration</t>
  </si>
  <si>
    <t>Bacciagaluppi, Marco</t>
  </si>
  <si>
    <t>BF175.5.P34 -- B33 2012eb</t>
  </si>
  <si>
    <t>Psychoanalysis. ; Paradigms (Social sciences)</t>
  </si>
  <si>
    <t>Criminal Major Case Management : Persons of Interest Priority Assessment Tool (POIPAT)</t>
  </si>
  <si>
    <t>Wilson, Larry</t>
  </si>
  <si>
    <t>HV8073 -- .W5263 2012eb</t>
  </si>
  <si>
    <t>Criminal behavior, Prediction of. ; Criminal investigation -- Psychological aspects. ; Criminal investigation.</t>
  </si>
  <si>
    <t>Stebnicki, Mark A.;Marini, Irmo</t>
  </si>
  <si>
    <t>People with disabilities -- United States -- Public opinion</t>
  </si>
  <si>
    <t>Brownell, Philip</t>
  </si>
  <si>
    <t>RC564.B786 2012</t>
  </si>
  <si>
    <t>Substance abuse--Treatment. ; Gestalt therapy. ; Gestalt Therapy--methods. ; Behavior, Addictive--therapy. ; Self Medication--adverse effects. ; Substance-Related Disorders--therapy.</t>
  </si>
  <si>
    <t>Hodges, Shannon</t>
  </si>
  <si>
    <t>BF636.6.H63 2012</t>
  </si>
  <si>
    <t>Counseling--Vocational guidance.</t>
  </si>
  <si>
    <t>Play : A Polyphony of Research, Theories, and Issues</t>
  </si>
  <si>
    <t>Cohen, Lynn;Waite-Stupiansky, Sandra</t>
  </si>
  <si>
    <t>Play and Culture Studies</t>
  </si>
  <si>
    <t>Volume 12</t>
  </si>
  <si>
    <t>Mitchell, James E.;Peterson, Carol B.</t>
  </si>
  <si>
    <t>RC552.E18</t>
  </si>
  <si>
    <t>616.85/26075</t>
  </si>
  <si>
    <t>The Psychology of Lean Improvements : Why Organizations Must Overcome Resistance and Change the Culture</t>
  </si>
  <si>
    <t>Ortiz, Chris A.</t>
  </si>
  <si>
    <t>TS155</t>
  </si>
  <si>
    <t>658.5/03</t>
  </si>
  <si>
    <t>Lean manufacturing. ; Manufacturing processes.</t>
  </si>
  <si>
    <t>Paylor, Ian;Measham, Fiona;Wilson, Alison</t>
  </si>
  <si>
    <t>HV5801 .P39 2012</t>
  </si>
  <si>
    <t>Drug abuse counseling. ; Drug addicts-Counseling of. ; Alcoholism counseling. ; Alcoholics-Counseling of.</t>
  </si>
  <si>
    <t>Understanding Personality Through Projective Testing</t>
  </si>
  <si>
    <t>Tuber, Steven</t>
  </si>
  <si>
    <t>BF698.7.T93 2012</t>
  </si>
  <si>
    <t>155.2/84</t>
  </si>
  <si>
    <t>Projective techniques. ; Personality assessment. ; Personality tests.</t>
  </si>
  <si>
    <t>Aggression in Humans and Other Primates : Biology, Psychology, Sociology</t>
  </si>
  <si>
    <t>Kortüm, Hans-Henning;Heinze, Jürgen;Andreozzi, Luciano;Archer, John;Eisner, Manuel;El-Mouden, Claire;Hammerstein, Peter;Holler, Manfred;Klose-Ullmann, Barbara;Wheeler, Brandon C.</t>
  </si>
  <si>
    <t>Aggressiveness. ; Aggressive behavior in animals.</t>
  </si>
  <si>
    <t>Parental Monitoring of Adolescents : Current Perspectives for Researchers and Practitioners</t>
  </si>
  <si>
    <t>Guilamo-Ramos, Vincent;Jaccard, James;Dittus, Patricia</t>
  </si>
  <si>
    <t>HQ799.15 -- .P343 2010eb</t>
  </si>
  <si>
    <t>Confronting Postmaternal Thinking : Feminism, Memory, and Care</t>
  </si>
  <si>
    <t>Stephens, Julie</t>
  </si>
  <si>
    <t>HQ1190 -- .S754 2011eb</t>
  </si>
  <si>
    <t>Troubled Fields : Men, Emotions, and the Crisis in American Farming</t>
  </si>
  <si>
    <t>Ramirez-Ferrero, Eric</t>
  </si>
  <si>
    <t>HV6548.U52</t>
  </si>
  <si>
    <t>Human Behavior and Social Environments : A Biopsychosocial Approach</t>
  </si>
  <si>
    <t>Saleebey, Dennis</t>
  </si>
  <si>
    <t>Foundations of Social Work Knowledge Series</t>
  </si>
  <si>
    <t>HM1106 -- .S25 2001eb</t>
  </si>
  <si>
    <t>Counseling Adults in Transition : Linking Schlossberg's Theory with Practice in a Diverse World</t>
  </si>
  <si>
    <t>Anderson, Mary;Goodman, Jane;Schlossberg, Nancy</t>
  </si>
  <si>
    <t>BF637.C6S325 2011</t>
  </si>
  <si>
    <t>Counseling. ; Adulthood. ; Middle age--Psychological aspects. ; Middle-aged persons--Counseling of. ; Counseling--methods. ; Life Change Events.</t>
  </si>
  <si>
    <t>Practical Clinical Supervision for Counselors : An Experiential Guide</t>
  </si>
  <si>
    <t>Aasheim, Lisa</t>
  </si>
  <si>
    <t>WM 55</t>
  </si>
  <si>
    <t>Counselors--Supervision of--United States. ; Counseling--organization &amp; administration. ; Personnel Management. ; Counselors--Supervision of. fast (OCoLC)fst00881300. ; United States. fast (OCoLC)fst01204155.</t>
  </si>
  <si>
    <t>Webbe, Frank</t>
  </si>
  <si>
    <t>Data mining</t>
  </si>
  <si>
    <t>Playing with Purpose : Adventures in Performative Social Science</t>
  </si>
  <si>
    <t>Gergen, Mary M.;Gergen, Kenneth J.</t>
  </si>
  <si>
    <t>HM1033 -- .G473 2012eb</t>
  </si>
  <si>
    <t>Social psychology. ; Social sciences -- Research. ; Performance.</t>
  </si>
  <si>
    <t>Shanks, Michael</t>
  </si>
  <si>
    <t>CC72 -- .S49 2012eb</t>
  </si>
  <si>
    <t>Psychotherapy and Spiritual Direction : Two Languages, One Voice?</t>
  </si>
  <si>
    <t>Harborne, Lynette</t>
  </si>
  <si>
    <t>RC489.S676 -- H37 2012eb</t>
  </si>
  <si>
    <t>Psychotherapy -- Religious aspects. ; Counseling -- Religious aspects. ; Spirituality -- Psychology. ; Spiritual direction.</t>
  </si>
  <si>
    <t>Bion and Being : Passion and the Creative Mind</t>
  </si>
  <si>
    <t>RC438.6.B56 -- R45 2012eb</t>
  </si>
  <si>
    <t>Bion, Wilfred R. -- (Wilfred Ruprecht), -- 1897-1979. ; Psychoanalysis. ; Psychoanalysts -- Great Britain -- Biography.</t>
  </si>
  <si>
    <t>Brain Stimulation in Psychiatry : ECT, DBS, TMS and Other Modalities</t>
  </si>
  <si>
    <t>Kellner, Charles H.;Goodman, Wayne K.;Alterman, Ronald</t>
  </si>
  <si>
    <t>RC485 .K39 2012</t>
  </si>
  <si>
    <t>Electroconvulsive therapy. ; Electronics in psychiatry. ; Magnetic brain stimulation.</t>
  </si>
  <si>
    <t>Good Thinking : Seven Powerful Ideas That Influence the Way We Think</t>
  </si>
  <si>
    <t>Cummins, Denise D.</t>
  </si>
  <si>
    <t>BF441 .C86 2012</t>
  </si>
  <si>
    <t>Thought and thinking. ; Game theory. ; Rational choice theory.</t>
  </si>
  <si>
    <t>Enhancing the Quality of Learning : Dispositions, Instruction, and Learning Processes</t>
  </si>
  <si>
    <t>Kirby, John R.;Lawson, Michael J.</t>
  </si>
  <si>
    <t>LB1060 .E545 2012</t>
  </si>
  <si>
    <t>Cognition. ; Educational psychology. ; Learning, Psychology of.</t>
  </si>
  <si>
    <t>The Environmental Psychology of Prisons and Jails : Creating Humane Spaces in Secure Settings</t>
  </si>
  <si>
    <t>Wener, Richard E.</t>
  </si>
  <si>
    <t>Environment and Behavior Series</t>
  </si>
  <si>
    <t>BF353 .W46 2012</t>
  </si>
  <si>
    <t>Environmental psychology. ; Prisons. ; Jails. ; Correctional institutions.</t>
  </si>
  <si>
    <t>Bittles, Alan H.</t>
  </si>
  <si>
    <t>Cambridge Studies in Biological and Evolutionary Anthropology Series</t>
  </si>
  <si>
    <t>GN289 .B58 2012</t>
  </si>
  <si>
    <t>Consanguinity -- Health aspects. ; Consanguinity. ; Human population genetics. ; Incest -- Psychological aspects. ; Kinship.</t>
  </si>
  <si>
    <t>Overcoming Learning Disabilities : A Vygotskian-Lurian Neuropsychological Approach</t>
  </si>
  <si>
    <t>Akhutina, Tatiana V.;Pylaeva, Natalia M.</t>
  </si>
  <si>
    <t>RC394.L37 -- A44 2012eb</t>
  </si>
  <si>
    <t>Elder-Vass, Dave</t>
  </si>
  <si>
    <t>HM1093 .E43 2012</t>
  </si>
  <si>
    <t>Social constructionism. ; Social psychology.</t>
  </si>
  <si>
    <t>Diagnosis: Schizophrenia : A Comprehensive Resource for Consumers, Families, and Helping Professionals, Second Edition</t>
  </si>
  <si>
    <t>Miller, Rachel;Mason, Susan</t>
  </si>
  <si>
    <t>RC514 -- .D44 2010eb</t>
  </si>
  <si>
    <t>Clash of Identities : Explorations in Israeli and Palestinian Societies</t>
  </si>
  <si>
    <t>Kimmerling, Baruch</t>
  </si>
  <si>
    <t>HN660.A8 -- K53 2008eb</t>
  </si>
  <si>
    <t>Twitchell, James B.;Ross, Ken</t>
  </si>
  <si>
    <t>HQ1090 -- .T95 2006eb</t>
  </si>
  <si>
    <t>Men -- Psychology. ; Men -- Socialization. ; Men -- Attitudes.</t>
  </si>
  <si>
    <t>Spirit, Mind, and Brain : A Psychoanalytic Examination of Spirituality and Religion</t>
  </si>
  <si>
    <t>Ostow, Mortimer</t>
  </si>
  <si>
    <t>Columbia Series in Science and Religion</t>
  </si>
  <si>
    <t>BF175.4.R44 -- O88 2007eb</t>
  </si>
  <si>
    <t>On Matricide : Myth, Psychoanalysis, and the Law of the Mother</t>
  </si>
  <si>
    <t>Jacobs, Amber</t>
  </si>
  <si>
    <t>HV6542 -- .J33 2007eb</t>
  </si>
  <si>
    <t>Kellerman, Henry</t>
  </si>
  <si>
    <t>RC437 -- .D53 2009eb</t>
  </si>
  <si>
    <t>Psychology, Pathological -- Dictionaries. ; Mental health.</t>
  </si>
  <si>
    <t>A Philosophical Retrospective : Facts, Values, and Jewish Identity</t>
  </si>
  <si>
    <t>Montefiore, Alan</t>
  </si>
  <si>
    <t>Columbia Themes in Philosophy</t>
  </si>
  <si>
    <t>DS143 -- .M66 2010eb</t>
  </si>
  <si>
    <t>Jews -- Identity. ; Identity (Philosophical concept) -- Social aspects. ; Identity (Psychology) -- Social aspects. ; Self-perception -- Social aspects.</t>
  </si>
  <si>
    <t>The Truth About Girls and Boys : Challenging Toxic Stereotypes About Our Children</t>
  </si>
  <si>
    <t>Rivers, Caryl;Barnett, Rosalind</t>
  </si>
  <si>
    <t>BF723.S42 -- R58 2011eb</t>
  </si>
  <si>
    <t>Sex differences (Psychology) in children. ; Stereotypes (Social psychology) ; Child development. ; Child psychology.</t>
  </si>
  <si>
    <t>Moments of Uncertainty in Therapeutic Practice : Interpreting Within the Matrix of Projective Identification, Countertransference, and Enactment</t>
  </si>
  <si>
    <t>RC489.C68 -- W37 2011eb</t>
  </si>
  <si>
    <t>Coparticipant Psychoanalysis : Toward a New Theory of Clinical Inquiry</t>
  </si>
  <si>
    <t>Fiscalini, John</t>
  </si>
  <si>
    <t>RC467 -- .F54 2004eb</t>
  </si>
  <si>
    <t>Clinical psychology. ; Psychoanalysis. ; Inquiry (Theory of knowledge)</t>
  </si>
  <si>
    <t>Freud's Free Clinics : Psychoanalysis and Social Justice, 1918–1938</t>
  </si>
  <si>
    <t>Danto, Elizabeth Ann</t>
  </si>
  <si>
    <t>BF173 -- .D365 2005eb</t>
  </si>
  <si>
    <t>Mallon, Gerald</t>
  </si>
  <si>
    <t>HQ76.2.U5</t>
  </si>
  <si>
    <t>Meds, Money, and Manners : The Case Management of Severe Mental Illness</t>
  </si>
  <si>
    <t>Floersch, Jerry;Floersch, Jerry E.</t>
  </si>
  <si>
    <t>RC480.5 -- .F564 2002eb</t>
  </si>
  <si>
    <t>Mentally ill -- Care. ; Mentally ill -- Rehabilitation. ; Mental illness -- Treatment.</t>
  </si>
  <si>
    <t>Sinfield, Alan</t>
  </si>
  <si>
    <t>Between Men-Between Women: Lesbian and Gay Studies</t>
  </si>
  <si>
    <t>HQ76 -- .S545 2004eb</t>
  </si>
  <si>
    <t>Male homosexuality -- Psychological aspects. ; Power (Social sciences) ; Sex (Psychology) ; Gays in literature. ; Homosexuality and literature.</t>
  </si>
  <si>
    <t>The Secret of the Totem : Religion and Society from McLennan to Freud</t>
  </si>
  <si>
    <t>Jones, Robert Alun</t>
  </si>
  <si>
    <t>GN489 -- .J65 2005eb</t>
  </si>
  <si>
    <t>Brown, Alan;Patterson, Paul</t>
  </si>
  <si>
    <t>RC514 -- .O755 2012eb</t>
  </si>
  <si>
    <t>Ley, David J.</t>
  </si>
  <si>
    <t>HQ21.L49 2011</t>
  </si>
  <si>
    <t>Sex. ; Sex addiction. ; Women--Sexual behavior. ; Men--Sexual behavior.</t>
  </si>
  <si>
    <t>The Ridiculous Jew : The Exploitation and Transformation of a Stereotype in Gogol, Turgenev, and Dostoevsky</t>
  </si>
  <si>
    <t>Rosenshield, Gary</t>
  </si>
  <si>
    <t>PG3098</t>
  </si>
  <si>
    <t>891.73/3093529924046</t>
  </si>
  <si>
    <t>Russian fiction -- 19th century -- History and criticism. ; Jews in literature. ; Stereotypes (Social psychology) in literature.</t>
  </si>
  <si>
    <t>Love and Other Emotions : On the Process of Feeling</t>
  </si>
  <si>
    <t>W. Brown, Jason</t>
  </si>
  <si>
    <t>BF511 -- .B76 2012eb</t>
  </si>
  <si>
    <t>Emotions -- Psychological aspects. ; Love -- Psychological aspects. ; Brain -- Physiology.</t>
  </si>
  <si>
    <t>Gestalt Therapy : Roots and Branches - Collected Papers</t>
  </si>
  <si>
    <t>RC489.G4 -- P45 2012eb</t>
  </si>
  <si>
    <t>Gestalt therapy. ; Psychotherapy. ; Substance abuse -- Treatment.</t>
  </si>
  <si>
    <t>Dynamic Psychotherapy with Adult Survivors : Living Past Neglect</t>
  </si>
  <si>
    <t>Bennett, Lori</t>
  </si>
  <si>
    <t>RC569.5.C55B44 2012</t>
  </si>
  <si>
    <t>Adult child abuse victims. ; Psychotherapy.</t>
  </si>
  <si>
    <t>Walker, Jan;Payne, Sheila;Jarrett, Nikki;Ley, Tim</t>
  </si>
  <si>
    <t>R726.7 .P79 2012</t>
  </si>
  <si>
    <t>Clinical health psychology. ; Patients-Psychology. ; Nursing-Psychological aspects.</t>
  </si>
  <si>
    <t>Willig, Carla</t>
  </si>
  <si>
    <t>BF76.5</t>
  </si>
  <si>
    <t>Psychology-Qualitative research.</t>
  </si>
  <si>
    <t>Neural Plasticity and Cognitive Development : Insights from Children with Perinatal Brain Injury</t>
  </si>
  <si>
    <t>Stiles, Joan;Reilly, Judy S.;Levine, Susan C.;Trauner, Doris A.;Nass, Ruth</t>
  </si>
  <si>
    <t>QP363.3 -- .N48 2012eb</t>
  </si>
  <si>
    <t>Neuroplasticity. ; Brain -- Growth.</t>
  </si>
  <si>
    <t>Filley, Christopher</t>
  </si>
  <si>
    <t>QP360.5 -- .F55 2013eb</t>
  </si>
  <si>
    <t>616.8/047</t>
  </si>
  <si>
    <t>Cognitive neuroscience. ; Clinical neuropsychology. ; Neurobehavioral disorders. ; Higher nervous activity. ; Neuroanatomy.</t>
  </si>
  <si>
    <t>Enhancing Instructional Problem Solving : An Efficient System for Assisting Struggling Learners</t>
  </si>
  <si>
    <t>Begeny, John C.;Schulte, Ann C.;Johnson, Kent</t>
  </si>
  <si>
    <t>LC4705 -- .B45 2012eb</t>
  </si>
  <si>
    <t>Response to intervention (Learning disabled children) ; Learning disabled children -- Education. ; Remedial teaching.</t>
  </si>
  <si>
    <t>Group Cognitive-Behavioral Therapy of Anxiety : A Transdiagnostic Treatment Manual</t>
  </si>
  <si>
    <t>Norton, Peter J.</t>
  </si>
  <si>
    <t>RC531 -- .N67 2012eb</t>
  </si>
  <si>
    <t>Anxiety disorders -- Treatment. ; Cognitive therapy. ; Group psychotherapy.</t>
  </si>
  <si>
    <t>What Makes Learning Fun? : Principles for the Design of Intrinsically Motivating Museum Exhibits</t>
  </si>
  <si>
    <t>California</t>
  </si>
  <si>
    <t>Perry, Deborah L.</t>
  </si>
  <si>
    <t>AM151.P475 2011</t>
  </si>
  <si>
    <t>069/.5</t>
  </si>
  <si>
    <t>Museum exhibits--Planning. ; Museums--Educational aspects.</t>
  </si>
  <si>
    <t>Museums</t>
  </si>
  <si>
    <t>Context and Cognition : Interpreting Complex Behavior</t>
  </si>
  <si>
    <t>Reno</t>
  </si>
  <si>
    <t>Foxall, Gordon</t>
  </si>
  <si>
    <t>BF199 -- .F69 2004eb</t>
  </si>
  <si>
    <t>The Creation of the Self and Language : Primitive Sensory Relations of the Child with the Outside World</t>
  </si>
  <si>
    <t>BF720.S45 -- R67 2012eb</t>
  </si>
  <si>
    <t>Senses and sensation in children. ; Child development. ; Self. ; Language acquisition.</t>
  </si>
  <si>
    <t>Vazire, Simine;Wilson, Timothy D.</t>
  </si>
  <si>
    <t>BF697.5.S43 -- H364 2012eb</t>
  </si>
  <si>
    <t>Self-perception. ; Subconsciousness. ; Personality (Theory of knowledge)</t>
  </si>
  <si>
    <t>Making It Crazy : An Ethnography of Psychiatric Clients in an American Community</t>
  </si>
  <si>
    <t>Estroff, Sue E.</t>
  </si>
  <si>
    <t>Mentally ill -- Rehabilitation -- United States. ; Community mental health services -- United States. ; Sheltered workshops -- United States. ; Supplemental security income program -- United States. ; Psychiatry -- Research -- Fieldwork.</t>
  </si>
  <si>
    <t>Evidence of Absence : A Guide to Cognitive Assessment in Australia</t>
  </si>
  <si>
    <t>Crowe, Simon F.;Bowden, Stephen c.</t>
  </si>
  <si>
    <t>RC386.6.N48 -- C76 2010eb</t>
  </si>
  <si>
    <t>150;618.97/68</t>
  </si>
  <si>
    <t>Constraint programming (Computer science) -- Congresses. ; Computer science.</t>
  </si>
  <si>
    <t>H62 -- .Q347 2012eb</t>
  </si>
  <si>
    <t>Qualitative research -- Congresses. ; Evidence -- Congresses.</t>
  </si>
  <si>
    <t>The Sense of Humor : Explorations of a Personality Characteristic</t>
  </si>
  <si>
    <t>Ruch, Willibald</t>
  </si>
  <si>
    <t>Humor Research [HR] Series</t>
  </si>
  <si>
    <t>Westra, Henny A.</t>
  </si>
  <si>
    <t>Applications of Motivational Interviewing Series</t>
  </si>
  <si>
    <t>BF575.A6 -- W47 2012eb</t>
  </si>
  <si>
    <t>158.3/9</t>
  </si>
  <si>
    <t>Anxiety. ; Motivational interviewing. ; Anxiety -- Treatment.</t>
  </si>
  <si>
    <t>Am I Sane Yet? : An Insider's Look at Mental Illness</t>
  </si>
  <si>
    <t>Dundurn Group</t>
  </si>
  <si>
    <t>Dundurn Press</t>
  </si>
  <si>
    <t>Developmental Social Neuroscience and Childhood Brain Insult : Theory and Practice</t>
  </si>
  <si>
    <t>Anderson, Vicki.;Beauchamp, Miriam H.</t>
  </si>
  <si>
    <t>RD594 -- .D52 2012eb</t>
  </si>
  <si>
    <t>Brain -- Wounds and injuries -- Complications</t>
  </si>
  <si>
    <t>The Signifier Pointing at the Moon : Psychoanalysis and Zen Buddhism</t>
  </si>
  <si>
    <t>The Historical and Philosophical Context of Rational Psychotherapy : The Legacy of Epictetus</t>
  </si>
  <si>
    <t>Dryden, Windy;Still, Arthur</t>
  </si>
  <si>
    <t>RC489.R3 -- S75 2012eb</t>
  </si>
  <si>
    <t>Epictetus. ; Rational emotive behavior therapy.</t>
  </si>
  <si>
    <t>Coughlin, Steven S.</t>
  </si>
  <si>
    <t>RC552.P67 -- P67 2013eb</t>
  </si>
  <si>
    <t>Bioinformatics. ; Biology -- Data processing.</t>
  </si>
  <si>
    <t>The Psychology of Culture : A Course of Lectures</t>
  </si>
  <si>
    <t>Sapir, Edward;Irvine, Judith T.</t>
  </si>
  <si>
    <t>Culture. ; Ethnopsychology. ; Personality and culture.</t>
  </si>
  <si>
    <t>Psychology; Language/Linguistics; Social Science</t>
  </si>
  <si>
    <t>Categorical versus Dimensional Models of Affect : A seminar on the theories of Panksepp and Russell</t>
  </si>
  <si>
    <t>Zachar, Peter;Ellis, Ralph D.</t>
  </si>
  <si>
    <t>Consciousness &amp; Emotion Book Series</t>
  </si>
  <si>
    <t>BF175.5.A35 -- C38 2012eb</t>
  </si>
  <si>
    <t>Digital watermarking. ; Data encryption (Computer science)</t>
  </si>
  <si>
    <t>Psychoanalysis and Education : Minding a Gap</t>
  </si>
  <si>
    <t>Bainbridge, Alan;West, Linden</t>
  </si>
  <si>
    <t>LB1027.55 -- .P79 2012eb</t>
  </si>
  <si>
    <t>School psychology. ; Psychoanalysis. ; Educational psychology.</t>
  </si>
  <si>
    <t>Legal Self Defense for Mental Health Practitioners : Quality Care and Risk Management Strategies</t>
  </si>
  <si>
    <t>Woody, Robert;Woody, Robert, Sr.</t>
  </si>
  <si>
    <t>Engineering mathematics -- Problems, exercises, etc</t>
  </si>
  <si>
    <t>The Sexual Alarm System : Women's Unwanted Response to Sexual Intimacy and How to Overcome It</t>
  </si>
  <si>
    <t>Leavitt, Judith</t>
  </si>
  <si>
    <t>HQ29.L385 2012</t>
  </si>
  <si>
    <t>Women--Sexual behavior.</t>
  </si>
  <si>
    <t>Camp, Joseph;Hughes, John S.</t>
  </si>
  <si>
    <t>Library of Alabama Classics Series</t>
  </si>
  <si>
    <t>RC464 .C26 2010</t>
  </si>
  <si>
    <t>362.2/10092 B</t>
  </si>
  <si>
    <t>Camp, Joseph,-1811--Mental health. ; Bryce Hospital (Tuscaloosa, Ala.) ; Alabama Insane Hospital (Tuscaloosa, Ala.) ; Psychiatric hospital patients-Alabama-Tuscaloosa-Biography.</t>
  </si>
  <si>
    <t>Games, Learning, and Society : Learning and Meaning in the Digital Age</t>
  </si>
  <si>
    <t>Steinkuehler, Constance;Squire, Kurt;Barab, Sasha</t>
  </si>
  <si>
    <t>GV1469.3 .G423 2012</t>
  </si>
  <si>
    <t>Video games -- Study and teaching. ; Video games -- Psychological aspects. ; Learning, Psychology of. ; Video games -- Design. ; Video games -- Social aspects.</t>
  </si>
  <si>
    <t>Bloch, Maurice</t>
  </si>
  <si>
    <t>New Departures in Anthropology Series</t>
  </si>
  <si>
    <t>GN502 .B538 2012</t>
  </si>
  <si>
    <t>Anthropology. ; Cognition and culture. ; Ethnopsychology.</t>
  </si>
  <si>
    <t>The Economics of Freedom : Theory, Measurement, and Policy Implications</t>
  </si>
  <si>
    <t>Bavetta, Sebastiano;Navarra, Pietro</t>
  </si>
  <si>
    <t>HB74.P65 B38 2012</t>
  </si>
  <si>
    <t>Economics -- Political aspects. ; Liberty -- Economic aspects. ; Autonomy -- Economic aspects.</t>
  </si>
  <si>
    <t>Taylor, Stephanie;Littleton, Karen</t>
  </si>
  <si>
    <t>BF408 -- .T33 2012eb</t>
  </si>
  <si>
    <t>305.9/7</t>
  </si>
  <si>
    <t>Creative ability. ; Artists -- Psychology. ; Identity (Psychology) ; Career development. ; Arts. ; Cultural industries.</t>
  </si>
  <si>
    <t>Absolute Truth and Unbearable Psychic Pain : Psychoanalytic Perspectives on Concrete Experience</t>
  </si>
  <si>
    <t>Frosch, Allan</t>
  </si>
  <si>
    <t>Keeping Couples in Treatment : Working from Surface to Depth</t>
  </si>
  <si>
    <t>Bagnini, Carl</t>
  </si>
  <si>
    <t>RC488.5B324 2012</t>
  </si>
  <si>
    <t>Couples therapy. ; Marital psychotherapy.</t>
  </si>
  <si>
    <t>Experiential Unity Theory and Model : Reclaiming the Soul</t>
  </si>
  <si>
    <t>Quinn, Alyson</t>
  </si>
  <si>
    <t>RC489.E96Q85 2012</t>
  </si>
  <si>
    <t>Experiential psychotherapy. ; Group psychotherapy. ; Group counseling.</t>
  </si>
  <si>
    <t>Teen Gambling : Understanding a Growing Epidemic</t>
  </si>
  <si>
    <t>Derevensky, Jeffrey L.</t>
  </si>
  <si>
    <t>HV6710.D47 2012</t>
  </si>
  <si>
    <t>362.2/5</t>
  </si>
  <si>
    <t>Teenage gamblers--Psychology. ; Teenage gamblers--Social conditions. ; Adolescent psychology. ; LAW / Criminal Law / Juvenile Offenders. bisacsh.</t>
  </si>
  <si>
    <t>The Silent Child : Communication Without Words</t>
  </si>
  <si>
    <t>Magagna, Jeanne</t>
  </si>
  <si>
    <t>RC423 -- .S55 2012eb</t>
  </si>
  <si>
    <t>Mutism. ; Speech disorders in children.</t>
  </si>
  <si>
    <t>Rural Mental Health : Issues, Policies, and Best Practices</t>
  </si>
  <si>
    <t>Smalley, K. Bryant;Warren, Jacob C.;Rainer, Jackson</t>
  </si>
  <si>
    <t>WA 390</t>
  </si>
  <si>
    <t>Mental health services--United States. ; Mental Health Services--United States. ; Rural Health Services--United States. ; Health Policy--United States. ; Mental Health--United States. ; Rural Health--United States.</t>
  </si>
  <si>
    <t>The Stress Less Workbook : Simple Strategies to Relieve Pressure, Manage Commitments, and Minimize Conflicts</t>
  </si>
  <si>
    <t>Abramowitz, Jonathan S.</t>
  </si>
  <si>
    <t>BF575.S75 -- A27 2012eb</t>
  </si>
  <si>
    <t>Moving Subjects, Moving Objects : Transnationalism, Cultural Production and Emotions</t>
  </si>
  <si>
    <t>Svasek, Maruska</t>
  </si>
  <si>
    <t>Material Mediations: People and Things in a World of Movement Series</t>
  </si>
  <si>
    <t>GN502.M69 2012</t>
  </si>
  <si>
    <t>Ethnopsychology. ; Emotions. ; Transnationalism. ; Material culture.</t>
  </si>
  <si>
    <t>Learning from the Children : Childhood, Culture and Identity in a Changing World</t>
  </si>
  <si>
    <t>Waldren, Jacqueline;Kaminski, Ignacy-Marek</t>
  </si>
  <si>
    <t>New Directions in Anthropology Series</t>
  </si>
  <si>
    <t>GN482.L43 2012</t>
  </si>
  <si>
    <t>Childhood--Cross-cultural studies. ; Child psychology--Cross-cultural studies. ; Child development--Cross-cultural studies. ; Parenting--Cross-cultural studies.</t>
  </si>
  <si>
    <t>Meakins, Elizabeth</t>
  </si>
  <si>
    <t>RC480 -- .M435 2012eb</t>
  </si>
  <si>
    <t>Saragnano, Gennaro;Seulin, Christian</t>
  </si>
  <si>
    <t>BF173 -- .O547 2012eb</t>
  </si>
  <si>
    <t>Freud, Sigmund, -- 1856-1939 -- Criticism and interpretation. ; Freud, Sigmund, -- 1856-1939. -- Essays. -- English. -- Selections. ; Psychotherapy.</t>
  </si>
  <si>
    <t>Intoxicating Minds : How Drugs Work</t>
  </si>
  <si>
    <t>Regan, Ciaran</t>
  </si>
  <si>
    <t>Maps of the Mind</t>
  </si>
  <si>
    <t>RM315 .R443 2001</t>
  </si>
  <si>
    <t>The African American Experience : Psychoanalytic Perspectives</t>
  </si>
  <si>
    <t>Akhtar, Salman;Wright, Jan;Blue, Shawn;Bonovitz, Jennifer;Campbell, David;Drake, Christin;Hamer, Forrest;Holmes, Dorothy;Leary, Kimberlyn;Miles, Carlotta</t>
  </si>
  <si>
    <t>RC451.5.N4A34 2012</t>
  </si>
  <si>
    <t>616.890089/96073</t>
  </si>
  <si>
    <t>African Americans--Mental health. ; African Americans--Psychology--History. ; Cultural psychiatry--United States.</t>
  </si>
  <si>
    <t>Cultural Policy, Work and Identity : The Creation, Renewal and Negotiation of Professional Subjectivities</t>
  </si>
  <si>
    <t>Paquette, Jonathan</t>
  </si>
  <si>
    <t>CB151 -- .C843 2012eb</t>
  </si>
  <si>
    <t>Cultural policy. ; Identity (Psychology) ; Professional employees.</t>
  </si>
  <si>
    <t>History; Economics</t>
  </si>
  <si>
    <t>Individualisation at Work : The Self Between Freedom and Social Pathologies</t>
  </si>
  <si>
    <t>Ebert, Norbert</t>
  </si>
  <si>
    <t>HM1276 -- .E24 2012eb</t>
  </si>
  <si>
    <t>Individualism. ; Individuation (Psychology) ; Organizational sociology.</t>
  </si>
  <si>
    <t>Functional Analytic Psychotherapy : Distinctive Features</t>
  </si>
  <si>
    <t>Tsai, Mavis;Kohlenberg, Robert J.;Kanter, Jonathan W.;Holman, Gareth;Plummer London, Mary</t>
  </si>
  <si>
    <t>Vulnerability to Psychosis : From Neurosciences to Psychopathology</t>
  </si>
  <si>
    <t>Fusar-Poli, Paolo;Borgwardt, Stefan J.;McGuire, Philip</t>
  </si>
  <si>
    <t>RC512 -- .V85 2012eb</t>
  </si>
  <si>
    <t>The Employee-Organization Relationship : Applications for the 21st Century</t>
  </si>
  <si>
    <t>Shore, Lynn M.;Coyle-Shapiro, Jacqueline A-M.;Tetrick, Lois E.</t>
  </si>
  <si>
    <t>HD6971 -- .E553 2012eb</t>
  </si>
  <si>
    <t>The Psychology of Religion and Spirituality for Clinicians : Using Research in Your Practice</t>
  </si>
  <si>
    <t>Aten, Jamie;O'Grady, Kari;Worthington, Everett, Jr.</t>
  </si>
  <si>
    <t>Counseling Muslims : Handbook of Mental Health Issues and Interventions</t>
  </si>
  <si>
    <t>Ahmed, Sameera;Amer, Mona M.</t>
  </si>
  <si>
    <t>BF636.7.C76 -- C686 2012eb</t>
  </si>
  <si>
    <t>Case Studies in Couples Therapy : Theory-Based Approaches</t>
  </si>
  <si>
    <t>Carson, David K.;Casado-Kehoe, Montserrat</t>
  </si>
  <si>
    <t>RC488.5 -- .C3685 2011eb</t>
  </si>
  <si>
    <t>Effect Sizes for Research : Univariate and Multivariate Applications, Second Edition</t>
  </si>
  <si>
    <t>Grissom, Robert J.;Kim, John J.</t>
  </si>
  <si>
    <t>QA279 -- .G75 2012eb</t>
  </si>
  <si>
    <t>O'Donnell, Angela M.;King, Alison</t>
  </si>
  <si>
    <t>Rutgers Invitational Symposium on Education Series</t>
  </si>
  <si>
    <t>Learning, Psychology of -- Congresses</t>
  </si>
  <si>
    <t>Minding the Child : Mentalization-Based Interventions with Children, Young People and Their Families</t>
  </si>
  <si>
    <t>Midgley, Nick;Vrouva, Ioanna</t>
  </si>
  <si>
    <t>RJ504 -- .M56 2012eb</t>
  </si>
  <si>
    <t>Aiken, Lewis R.</t>
  </si>
  <si>
    <t>BF697 -- .A55 1999eb</t>
  </si>
  <si>
    <t>155.2/2</t>
  </si>
  <si>
    <t>Understanding the New Statistics : Effect Sizes, Confidence Intervals, and Meta-Analysis</t>
  </si>
  <si>
    <t>Cumming, Geoff</t>
  </si>
  <si>
    <t>BF181 -- .C73 2012eb</t>
  </si>
  <si>
    <t>Psychology, Experimental -- Statistical methods. ; Multivariate analysis. ; Confidence intervals.</t>
  </si>
  <si>
    <t>Dancing with the Unconscious : The Art of Psychoanalysis and the Psychoanalysis of Art</t>
  </si>
  <si>
    <t>Knafo, Danielle</t>
  </si>
  <si>
    <t>Psychoanalysis in a New Key Book Series</t>
  </si>
  <si>
    <t>N72.P74 -- K63 2012eb</t>
  </si>
  <si>
    <t>The Bipolar Spectrum : Diagnosis or Fad?</t>
  </si>
  <si>
    <t>Paris, Joel</t>
  </si>
  <si>
    <t>RC537 -- .P375 2012eb</t>
  </si>
  <si>
    <t>Crosslinguistic Approaches to the Psychology of Language : Research in the Tradition of Dan Isaac Slobin</t>
  </si>
  <si>
    <t>Guo, Jiansheng;Lieven, Elena;Budwig, Nancy;Ervin-Tripp, Susan;Nakamura, Keiko;Ozcaliskan, Seyda</t>
  </si>
  <si>
    <t>P40 -- .C76 2009eb</t>
  </si>
  <si>
    <t>Busch, Fredric N.;Milrod, Barbara L.;Singer, Meriamne B.;Aronson, Andrew C.</t>
  </si>
  <si>
    <t>RC535 -- .M36 2012eb</t>
  </si>
  <si>
    <t>Psychology of Reading : 2nd Edition</t>
  </si>
  <si>
    <t>Rayner, Keith;Pollatsek, Alexander;Ashby, Jane;Clifton Jr., Charles</t>
  </si>
  <si>
    <t>BF456.R2 -- R33 2012eb</t>
  </si>
  <si>
    <t>Medical Hypnosis Primer : Clinical and Research Evidence</t>
  </si>
  <si>
    <t>Barabasz, Arreed Franz;Olness, Karen;Boland, Robert;Kahn, Stephen</t>
  </si>
  <si>
    <t>RC495 -- .M435 2010eb</t>
  </si>
  <si>
    <t>Cognitive Science : Contributions to Educational Practice</t>
  </si>
  <si>
    <t>Languis, Marlin L.;Buffer, James J.;Martin, Daniel;Naour, Paul J.</t>
  </si>
  <si>
    <t>Routledge Library Editions: Education Series</t>
  </si>
  <si>
    <t>LB1051 -- .C3426 2012eb</t>
  </si>
  <si>
    <t>Cognition in children. ; Cognitive science.</t>
  </si>
  <si>
    <t>Experiencing Psychosis : Personal and Professional Perspectives</t>
  </si>
  <si>
    <t>Geekie, Jim;Randal, Patte;Lampshire, Debra;Read, John</t>
  </si>
  <si>
    <t>The International Society for Psychological and Social Approaches to Psychosis Book Series</t>
  </si>
  <si>
    <t>RC512 -- .E96 2012eb</t>
  </si>
  <si>
    <t>Translation of Thought to Written Text While Composing : Advancing Theory, Knowledge, Research Methods, Tools, and Applications</t>
  </si>
  <si>
    <t>Fayol, Michel;Alamargot, M. Denis;Berninger, Virginia</t>
  </si>
  <si>
    <t>P211.6 -- .T73 2012eb</t>
  </si>
  <si>
    <t>302.2/244</t>
  </si>
  <si>
    <t>Contemporary Issues in Couples Counseling : A Choice Theory and Reality Therapy Approach</t>
  </si>
  <si>
    <t>Robey, Patricia A.;Wubbolding, Robert E.;Carlson, Jon</t>
  </si>
  <si>
    <t>BF636.7.G76 -- C66 2012eb</t>
  </si>
  <si>
    <t>Lampinen, James Michael;Neuschatz, Jeffrey S.;Cling, Andrew D.</t>
  </si>
  <si>
    <t>HV8073.5 -- .L36 2012eb</t>
  </si>
  <si>
    <t>Multiteam Systems : An Organization Form for Dynamic and Complex Environments</t>
  </si>
  <si>
    <t>Zaccaro, Stephen J.;Marks, Michelle A.;DeChurch, Leslie</t>
  </si>
  <si>
    <t>HD66 -- .M845 2012eb</t>
  </si>
  <si>
    <t>Teams in the workplace. ; Teams in the workplace -- Management. ; Leadership. ; Organizational effectiveness.</t>
  </si>
  <si>
    <t>The Science of Reason : A Festschrift for Jonathan St B. T. Evans</t>
  </si>
  <si>
    <t>Manktelow, Ken;Over, David;Elqayam, Shira</t>
  </si>
  <si>
    <t>BF442 -- .S25 2011eb</t>
  </si>
  <si>
    <t>Transcending Trauma : Survival, Resilience, and Clinical Implications in Survivor Families</t>
  </si>
  <si>
    <t>Hollander-Goldfein, Bea;Isserman, Nancy;Goldenberg, Jennifer</t>
  </si>
  <si>
    <t>RC451.4.H62 -- H64 2012eb</t>
  </si>
  <si>
    <t>940.53/180922</t>
  </si>
  <si>
    <t>Medicine; History; Psychology</t>
  </si>
  <si>
    <t>Scholl, Mark B.;McGowan, A. Scott;Hansen, James T.</t>
  </si>
  <si>
    <t>BF636.7.H86 -- S36 2012eb</t>
  </si>
  <si>
    <t>Humanistic counseling. ; Counseling.</t>
  </si>
  <si>
    <t>Commitment to Work and Job Satisfaction : Studies of Work Orientations</t>
  </si>
  <si>
    <t>Furåker, Bengt;Håkansson, Kristina;Karlsson, Jan Ch.</t>
  </si>
  <si>
    <t>Routledge Studies in Management, Organizations and Society Series</t>
  </si>
  <si>
    <t>HD4905 -- .C66 2012eb</t>
  </si>
  <si>
    <t>Attention, Representation, and Human Performance : Integration of Cognition, Emotion, and Motivation</t>
  </si>
  <si>
    <t>Masmoudi, Slim;Yun Dai, David;Naceur, Abdelmajid</t>
  </si>
  <si>
    <t>BF201 -- .A88 2012eb</t>
  </si>
  <si>
    <t>Changing Aging, Changing Family Therapy : Practicing with 21st Century Realities</t>
  </si>
  <si>
    <t>Peluso, Paul R.;Watts, Richard E.;Parsons, Mindy</t>
  </si>
  <si>
    <t>HV1451 -- .C42 2012eb</t>
  </si>
  <si>
    <t>Understanding Russianness</t>
  </si>
  <si>
    <t>Alapuro, Risto;Mustajoki, Arto;Pesonen, Pekka</t>
  </si>
  <si>
    <t>HM1027.R9 -- U53 2012eb</t>
  </si>
  <si>
    <t>Ethnicity - Russia (Federation)</t>
  </si>
  <si>
    <t>Brief Coaching : A Solution Focused Approach</t>
  </si>
  <si>
    <t>Iveson, Chris;George, Evan;Ratner, Harvey</t>
  </si>
  <si>
    <t>RC480.55 -- .I94 2012eb</t>
  </si>
  <si>
    <t>Counseling psychologist and client</t>
  </si>
  <si>
    <t>Pickren, Wade;Dewsbury, Donald A.;Wertheimer, Michael</t>
  </si>
  <si>
    <t>BF713 -- .P67 2012eb</t>
  </si>
  <si>
    <t>155.092/2</t>
  </si>
  <si>
    <t>Stige, Brynjulf;Edvard Aarø, Leif</t>
  </si>
  <si>
    <t>ML3920 -- .S819 2012eb</t>
  </si>
  <si>
    <t>Personal Relationships : The Effect on Employee Attitudes, Behavior, and Well-Being</t>
  </si>
  <si>
    <t>Eby, Lillian Turner De Tormes;Allen, Tammy D.</t>
  </si>
  <si>
    <t>Creating Conditions : The Making and Remaking of a Genetic Syndrome</t>
  </si>
  <si>
    <t>Featherstone, Katie;Atkinson, Paul</t>
  </si>
  <si>
    <t>Genetics and Society Series</t>
  </si>
  <si>
    <t>RJ506.R47 -- F43 2012eb</t>
  </si>
  <si>
    <t>616.85/884</t>
  </si>
  <si>
    <t>Integrated Care : Applying Theory to Practice</t>
  </si>
  <si>
    <t>Curtis, Russ;Christian, Eric</t>
  </si>
  <si>
    <t>RA971 -- .I478 2012eb</t>
  </si>
  <si>
    <t>Grief, Loss and Bereavement : Evidence and Practice for Health and Social Care Practitioners</t>
  </si>
  <si>
    <t>Wimpenny, Peter;Costello, John</t>
  </si>
  <si>
    <t>RC455.4.L67 -- G76 2012eb</t>
  </si>
  <si>
    <t>Mitchell, James E.;de Zwaan, Martina</t>
  </si>
  <si>
    <t>RD540 -- .P92 2012eb</t>
  </si>
  <si>
    <t>617.4/3</t>
  </si>
  <si>
    <t>Briñol, Pablo;DeMarree, Kenneth</t>
  </si>
  <si>
    <t>BF311 -- .S646 2012eb</t>
  </si>
  <si>
    <t>Aarts, Henk;Elliot, Andrew</t>
  </si>
  <si>
    <t>BF619.5 -- .G63 2012eb</t>
  </si>
  <si>
    <t>Psychosis As a Personal Crisis : An Experience-Based Approach</t>
  </si>
  <si>
    <t>Romme, Marius;Escher, Sandra</t>
  </si>
  <si>
    <t>RC553.H3 -- P79 2012eb</t>
  </si>
  <si>
    <t>Delusion and Self-Deception : Affective and Motivational Influences on Belief Formation</t>
  </si>
  <si>
    <t>Bayne, Tim;Fernández, Jordi;Bayne, Tim</t>
  </si>
  <si>
    <t>BF773 -- .D45 2009eb</t>
  </si>
  <si>
    <t>Banyard, Philip;Flanagan, Cara</t>
  </si>
  <si>
    <t>Foundations of Psychology Series</t>
  </si>
  <si>
    <t>BF76.4 -- .B365 2011eb</t>
  </si>
  <si>
    <t>Social Class and the Helping Professions : A Clinician's Guide to Navigating the Landscape of Class in America</t>
  </si>
  <si>
    <t>Crawford Sturm, Deborah;Gibson, Donna M.</t>
  </si>
  <si>
    <t>HN90.S6 -- S63 2012eb</t>
  </si>
  <si>
    <t>Crisis Education and Service Program Designs : A Guide for Administrators, Educators, and Clinical Trainers</t>
  </si>
  <si>
    <t>Hoff, Miracle R.;Hoff, Lee Ann</t>
  </si>
  <si>
    <t>RC480.6 -- .H63 2012eb</t>
  </si>
  <si>
    <t>616.89/025</t>
  </si>
  <si>
    <t>Paediatric Biomechanics and Motor Control : Theory and Application</t>
  </si>
  <si>
    <t>De Ste Croix, Mark;Korff, Thomas</t>
  </si>
  <si>
    <t>Routledge Research in Sport and Exercise Science Series</t>
  </si>
  <si>
    <t>RJ133 -- .P335 2012eb</t>
  </si>
  <si>
    <t>Langdon, Robyn;Mackenzie, Catriona</t>
  </si>
  <si>
    <t>BF511 -- .E465 2012eb</t>
  </si>
  <si>
    <t>Carlson, Jon;Maniacci, Michael P.</t>
  </si>
  <si>
    <t>BF175.5.A33 -- A44 2012eb</t>
  </si>
  <si>
    <t>150.19/53092</t>
  </si>
  <si>
    <t>IDM Supervision : An Integrative Developmental Model for Supervising Counselors and Therapists, Third Edition</t>
  </si>
  <si>
    <t>Stoltenberg, Cal D.;McNeill, Brian W.</t>
  </si>
  <si>
    <t>RC459 -- .S76 2010eb</t>
  </si>
  <si>
    <t>Psychotherapists -- Supervision of. ; Counseling.</t>
  </si>
  <si>
    <t>Professional Practice in Sport Psychology : A Review</t>
  </si>
  <si>
    <t>Hanton, Sheldon;Mellalieu, Stephen</t>
  </si>
  <si>
    <t>GV706.4 -- .P638 2012eb</t>
  </si>
  <si>
    <t>Cultural Heritage and Prisoners of War : Creativity Behind Barbed Wire</t>
  </si>
  <si>
    <t>Carr, Gilly;Mytum, Harold</t>
  </si>
  <si>
    <t>D805.A2 -- C865 2012eb</t>
  </si>
  <si>
    <t>940.54/72</t>
  </si>
  <si>
    <t>Memory and Aging : Current Issues and Future Directions</t>
  </si>
  <si>
    <t>Naveh-Benjamin, Moshe;Ohta, Nobuo</t>
  </si>
  <si>
    <t>BF378.A33 -- M464 2012eb</t>
  </si>
  <si>
    <t>Projective Identification : The Fate of a Concept</t>
  </si>
  <si>
    <t>Spillius, Elizabeth;O'Shaughnessy, Edna</t>
  </si>
  <si>
    <t>RC455.4.P76 P76 2012</t>
  </si>
  <si>
    <t>Psychoanalytic Theory - history</t>
  </si>
  <si>
    <t>Peacebuilding, Memory and Reconciliation : Bridging Top-Down and Bottom-up Approaches</t>
  </si>
  <si>
    <t>Charbonneau, Bruno;Parent, Geneviève</t>
  </si>
  <si>
    <t>JZ5538 .P37435 2012</t>
  </si>
  <si>
    <t>Reconciliation -- Psychological aspects</t>
  </si>
  <si>
    <t>The Cultural Transition : Human Experience and Social Transformation in the Third World and Japan</t>
  </si>
  <si>
    <t>White, Merry I.;Pollak, Susan;White, Merry I.</t>
  </si>
  <si>
    <t>Routledge Library Editions: Japan Series</t>
  </si>
  <si>
    <t>GN358 -- .C85 2011eb</t>
  </si>
  <si>
    <t>303.4/8</t>
  </si>
  <si>
    <t>Social change -- Cross-cultural studies. ; Social role -- Cross-cultural studies. ; Ethnopsychology. ; Educational anthropology.</t>
  </si>
  <si>
    <t>Gallo-Lopez, Loretta;Rubin, Lawrence C.</t>
  </si>
  <si>
    <t>RC553.A88 -- P59 2012eb</t>
  </si>
  <si>
    <t>Pichot, Teri;Smock, Sara A.;Smock, Sara A.</t>
  </si>
  <si>
    <t>RC564 -- .P53 2009eb</t>
  </si>
  <si>
    <t>Contemporary Psychotherapies for a Diverse World : First Revised Edition</t>
  </si>
  <si>
    <t>Frew, Jon;Spiegler, Michael D.</t>
  </si>
  <si>
    <t>RC480 -- .C76 2012eb</t>
  </si>
  <si>
    <t>Sandberg, Elisabeth Hollister;Spritz, Becky L.</t>
  </si>
  <si>
    <t>BF723.C5 -- C55 2010eb</t>
  </si>
  <si>
    <t>AD,AE,AF,AG,AI,AL,AM,AN,AO,AQ,AR,AS,AT,AU,AW,AX,AZ,BA,BB,BD,BE,BF,BG,BH,BI,BJ,BL,BM,BN,BO,BQ,BR,BS,BT,BV,BW,BY,BZ,CC,CD,CF,CG,CH,CI,CK,CL,CM,CN,CO,CR,CU,CV,CW,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S,ST,SV,SX,SY,SZ,TC,TD,TF,TG,TH,TJ,TK,TL,TM,TN,TO,TR,TT,TV,TW,TZ,UA,UG,UM,US,UY,UZ,VA,VC,VE,VG,VI,VN,VU,WF,WS,YE,YT,YU,ZA,ZM,ZW</t>
  </si>
  <si>
    <t>Ambrose, Don;Sternberg, Robert J.</t>
  </si>
  <si>
    <t>LB1062 -- .H66 2012eb</t>
  </si>
  <si>
    <t>Bastiaanse, Roelien;Thompson, Cynthia K.</t>
  </si>
  <si>
    <t>Brain, Behaviour and Cognition Series</t>
  </si>
  <si>
    <t>RC425.5 -- .P47 2012eb</t>
  </si>
  <si>
    <t>When Groups Meet : The Dynamics of Intergroup Contact</t>
  </si>
  <si>
    <t>Pettigrew, Thomas F.;Tropp, Linda R.</t>
  </si>
  <si>
    <t>HM716 -- .P48 2011eb</t>
  </si>
  <si>
    <t>Intergroup relations. ; Social groups. ; Social interaction.</t>
  </si>
  <si>
    <t>Rhetoric, Remembrance, and Visual Form : Sighting Memory</t>
  </si>
  <si>
    <t>Demo, Anne Teresa;Vivian, Bradford</t>
  </si>
  <si>
    <t>Routledge Studies in Rhetoric and Communication Series</t>
  </si>
  <si>
    <t>BF371 -- .R437 2012eb</t>
  </si>
  <si>
    <t>Gender, Power, and Military Occupations : Asia Pacific and the Middle East Since 1945</t>
  </si>
  <si>
    <t>De Matos, Christine;Ward, Rowena</t>
  </si>
  <si>
    <t>Routledge Research in Gender and History Series</t>
  </si>
  <si>
    <t>BF632.5 -- .G46 2012eb</t>
  </si>
  <si>
    <t>Military Science; Psychology</t>
  </si>
  <si>
    <t>Hadley, Susan;Yancy, George</t>
  </si>
  <si>
    <t>ML3920 -- .T54 2012eb</t>
  </si>
  <si>
    <t>615.8/5154</t>
  </si>
  <si>
    <t>Arnett, Jeffrey Jensen</t>
  </si>
  <si>
    <t>HQ796 -- .A3344 2012eb</t>
  </si>
  <si>
    <t>Adolescence -- Cross-cultural studies. ; Adolescent psychology -- Cross-cultural studies. ; Teenagers -- Cross-cultural studies.</t>
  </si>
  <si>
    <t>Berninger, Virginia Wise</t>
  </si>
  <si>
    <t>BF201 -- .P377 2012eb</t>
  </si>
  <si>
    <t>Secret Passages : The Theory and Technique of Interpsychic Relations</t>
  </si>
  <si>
    <t>Bolognini, Stefano</t>
  </si>
  <si>
    <t>BF173 -- .B63513 2010eb</t>
  </si>
  <si>
    <t>Britzman, Deborah P.</t>
  </si>
  <si>
    <t>Routledge Key Ideas in Education Series</t>
  </si>
  <si>
    <t>LB1092 -- .B752 2010eb</t>
  </si>
  <si>
    <t>BF376 -- .B767 2012eb</t>
  </si>
  <si>
    <t>Memory disorders. ; Metacognition. ; Recollection (Psychology)</t>
  </si>
  <si>
    <t>Carr, Sam</t>
  </si>
  <si>
    <t>GV706.4 -- .C37 2012eb</t>
  </si>
  <si>
    <t>Individualizing Gender and Sexuality : Theory and Practice</t>
  </si>
  <si>
    <t>Chodorow, Nancy J.</t>
  </si>
  <si>
    <t>BF692.2 -- .C46 2012eb</t>
  </si>
  <si>
    <t>De Vos, Jan</t>
  </si>
  <si>
    <t>Concepts for Critical Psychology Series</t>
  </si>
  <si>
    <t>BF121 -- .V59 2012eb</t>
  </si>
  <si>
    <t>Fischhoff, Baruch</t>
  </si>
  <si>
    <t>Earthscan Risk in Society Series</t>
  </si>
  <si>
    <t>BF447 -- .F57 2012eb</t>
  </si>
  <si>
    <t>Sex Differences in Cognitive Abilities : 4th Edition</t>
  </si>
  <si>
    <t>Halpern, Diane F.</t>
  </si>
  <si>
    <t>BF311 -- .H295 2012eb</t>
  </si>
  <si>
    <t>Cognition. ; Sex differences (Psychology) ; Sex role.</t>
  </si>
  <si>
    <t>Hartley, Simon</t>
  </si>
  <si>
    <t>BF637.S8 -- H333 2012eb</t>
  </si>
  <si>
    <t>Interactional Coaching : Choice-Focused Learning at Work</t>
  </si>
  <si>
    <t>Harvey, Michael</t>
  </si>
  <si>
    <t>BF637.P36 -- H378 2012eb</t>
  </si>
  <si>
    <t>Theorizing Post-Conflict Reconciliation : Agonism, Restitution and Repair</t>
  </si>
  <si>
    <t>Hirsch, Alexander</t>
  </si>
  <si>
    <t>Interventions Series</t>
  </si>
  <si>
    <t>KZ5538 -- .T47 2012eb</t>
  </si>
  <si>
    <t>A Critical Psychology of the Postcolonial : The Mind of Apartheid</t>
  </si>
  <si>
    <t>Hook, Derek</t>
  </si>
  <si>
    <t>BF39.9 -- .H66 2012eb</t>
  </si>
  <si>
    <t>Hughes, Bob</t>
  </si>
  <si>
    <t>GV182.9 -- .H84 2012eb</t>
  </si>
  <si>
    <t>Psychology; Sport &amp;amp; Recreation</t>
  </si>
  <si>
    <t>Alone in the Mirror : Twins in Therapy</t>
  </si>
  <si>
    <t>Klein, Barbara</t>
  </si>
  <si>
    <t>BF723.T9 -- K54 2012eb</t>
  </si>
  <si>
    <t>New Directions in Sex Therapy : Innovations and Alternatives</t>
  </si>
  <si>
    <t>Kleinplatz, Peggy J.</t>
  </si>
  <si>
    <t>RC557 -- .N49 2012eb</t>
  </si>
  <si>
    <t>Play Therapy : The Art of the Relationship</t>
  </si>
  <si>
    <t>Landreth, Garry L.</t>
  </si>
  <si>
    <t>RJ505.P6 -- L26 2012eb</t>
  </si>
  <si>
    <t>Thinking and Reasoning : An Introduction to the Psychology of Reason, Judgment and Decision Making</t>
  </si>
  <si>
    <t>Manktelow, Ken;Galbraith, Niall</t>
  </si>
  <si>
    <t>360 Degree Business</t>
  </si>
  <si>
    <t>BF442 -- .M354 2012eb</t>
  </si>
  <si>
    <t>Reasoning (Psychology) ; Thought and thinking. ; Cognition. ; Decision making.</t>
  </si>
  <si>
    <t>Starting from Scratch : The Origin and Development of Expression, Representation and Symbolism in Human and Non-Human Primates</t>
  </si>
  <si>
    <t>Matthews, John</t>
  </si>
  <si>
    <t>BF316.6 -- .M38 2010eb</t>
  </si>
  <si>
    <t>Psychology; Science; Science: Zoology</t>
  </si>
  <si>
    <t>Surviving Identity : Vulnerability and the Psychology of Recognition</t>
  </si>
  <si>
    <t>McLaughlin, Kenneth</t>
  </si>
  <si>
    <t>HM881 -- .M435 2012eb</t>
  </si>
  <si>
    <t>303.48/401</t>
  </si>
  <si>
    <t>Milner, Marion;Walters, Margaret</t>
  </si>
  <si>
    <t>BF109.M55 -- A3 2012eb</t>
  </si>
  <si>
    <t>150.92 B</t>
  </si>
  <si>
    <t>Moore, Bret A.</t>
  </si>
  <si>
    <t>UB403 -- .H36 2012eb</t>
  </si>
  <si>
    <t>Reflecting on Cosmetic Surgery : Body Image, Shame and Narcissism</t>
  </si>
  <si>
    <t>Northrop, Jane Megan</t>
  </si>
  <si>
    <t>RD119 -- .N67 2012eb</t>
  </si>
  <si>
    <t>Creative Readings: Essays on Seminal Analytic Works : Essays on Seminal Analytic Works</t>
  </si>
  <si>
    <t>Ogden, Thomas H.</t>
  </si>
  <si>
    <t>RC506 -- .O33 2012eb</t>
  </si>
  <si>
    <t>Animal-Assisted Brief Therapy : A Solution-Focused Approach</t>
  </si>
  <si>
    <t>Pichot, Teri</t>
  </si>
  <si>
    <t>RM931.A65 -- P53 2012eb</t>
  </si>
  <si>
    <t>The Silent Past and the Invisible Present : Memory, Trauma, and Representation in Psychotherapy</t>
  </si>
  <si>
    <t>Renn, Paul</t>
  </si>
  <si>
    <t>Relational Perspectives Series</t>
  </si>
  <si>
    <t>BF371 -- .R383 2012eb</t>
  </si>
  <si>
    <t>Rhodewalt, Frederick</t>
  </si>
  <si>
    <t>BF698 -- .P47 2008eb</t>
  </si>
  <si>
    <t>The Ecocritical Psyche : Literature, Evolutionary Complexity and Jung</t>
  </si>
  <si>
    <t>Rowland, Susan</t>
  </si>
  <si>
    <t>PN98.P75 -- R693 2012eb</t>
  </si>
  <si>
    <t>Jung, C. G. -- (Carl Gustav), -- 1875-1961. ; Psychoanalysis and literature. ; Ecology in literature. ; Ecocriticism.</t>
  </si>
  <si>
    <t>Schmidt, Stephen R.</t>
  </si>
  <si>
    <t>BF370 -- .S36 2012eb</t>
  </si>
  <si>
    <t>Intentional Communities (Routledge Revivals) : Ideology and Alienation in Communal Societies</t>
  </si>
  <si>
    <t>Shenker, Barry</t>
  </si>
  <si>
    <t>HX632 -- .S54 2010eb</t>
  </si>
  <si>
    <t>Collective settlements -- Case studies. ; Hutterian Brethren -- Case studies. ; Kibbutzim -- Case studies. ; Therapeutic communities -- Case studies. ; Alienation (Social psychology) -- Case studies. ; Ideology -- Case studies.</t>
  </si>
  <si>
    <t>Borrowed Narratives : Using Biographical and Historical Grief Narratives with the Bereaving</t>
  </si>
  <si>
    <t>Smith, Harold Ivan</t>
  </si>
  <si>
    <t>BF575.G7 -- S584 2012eb</t>
  </si>
  <si>
    <t>155.9/370922</t>
  </si>
  <si>
    <t>Autobiography - Therapeutic use</t>
  </si>
  <si>
    <t>Family Assessment : Contemporary and Cutting-Edge Strategies</t>
  </si>
  <si>
    <t>Sperry, Len</t>
  </si>
  <si>
    <t>RC488.53 -- .A875 2012eb</t>
  </si>
  <si>
    <t>Family assessment. ; Marital psychotherapy. ; Family psychotherapy. ; Couples -- Psychology.</t>
  </si>
  <si>
    <t>Disavowed Knowledge : Psychoanalysis, Education, and Teaching</t>
  </si>
  <si>
    <t>Maas Taubman, Peter</t>
  </si>
  <si>
    <t>Studies in Curriculum Theory Series</t>
  </si>
  <si>
    <t>LB1092 -- .T38 2012eb</t>
  </si>
  <si>
    <t>Midlife Transformation in Literature and Film : Jungian and Eriksonian Perspectives</t>
  </si>
  <si>
    <t>Walker, Steven F.</t>
  </si>
  <si>
    <t>BF724.6 -- .W35 2012eb</t>
  </si>
  <si>
    <t>Listening with Purpose : Entry Points into Shame and Narcissistic Vulnerability</t>
  </si>
  <si>
    <t>Danielian, Jack;Gianotti, Patricia</t>
  </si>
  <si>
    <t>RC455.4.N3D36 2012</t>
  </si>
  <si>
    <t>Narcissistic injuries. ; Psychotherapist and patient. ; Psychotherapy. ; Shame.</t>
  </si>
  <si>
    <t>Envy Is Not Innate : A New Model of Thinking</t>
  </si>
  <si>
    <t>Polledri, Patricia</t>
  </si>
  <si>
    <t>BF575.E65 -- P65 2012eb</t>
  </si>
  <si>
    <t>Osimo, Ferruccio;Stein, Mark J.</t>
  </si>
  <si>
    <t>RC489.P72 -- T44 2012eb</t>
  </si>
  <si>
    <t>Psychodynamic psychotherapy. ; Experiential psychotherapy.</t>
  </si>
  <si>
    <t>Oxford Library of Psychology Series</t>
  </si>
  <si>
    <t>GN270 -- .O94 2012eb</t>
  </si>
  <si>
    <t>Ethnopsychology. ; Culture -- Psychological aspects. ; Social psychology.</t>
  </si>
  <si>
    <t xml:space="preserve">Provan, Drew;Singer, Charles R J;Baglin, Trevor;Dokal, Inderjeet </t>
  </si>
  <si>
    <t>Oxford Medical Handbooks</t>
  </si>
  <si>
    <t>RC636 -- .O94 2009eb</t>
  </si>
  <si>
    <t>616.1/5</t>
  </si>
  <si>
    <t>Persuasion (Psychology) -- Computer programs -- Congresses. ; Human-computer interaction -- Congresses. ; Health promotion -- Computer programs -- Congresses.</t>
  </si>
  <si>
    <t>From Perception to Consciousness : Searching with Anne Treisman</t>
  </si>
  <si>
    <t>Wolfe, Jeremy;Robertson, Lynn</t>
  </si>
  <si>
    <t>BF311 -- .F76 2012eb</t>
  </si>
  <si>
    <t>Treisman, Anne. ; Perception. ; Consciousness.</t>
  </si>
  <si>
    <t>Body-Subjects and Disordered Minds : Treating the 'whole' Person in Psychiatry</t>
  </si>
  <si>
    <t>Matthews, Eric</t>
  </si>
  <si>
    <t>International Perspectives in Philosophy and Psychiatry Ser.</t>
  </si>
  <si>
    <t>RC437.5 .M386 2007</t>
  </si>
  <si>
    <t>Psychiatry -- Philosophy. ; Mental illness -- Physiological aspects. ; Mental illness -- Philosophy.</t>
  </si>
  <si>
    <t>Dementia Care : A Practical Manual</t>
  </si>
  <si>
    <t>Waite, Jonathan;Harwood, Rowan;Morton, Ian;Connelly, David</t>
  </si>
  <si>
    <t>Oxford Care Manuals Series</t>
  </si>
  <si>
    <t>RC521 -- .D45349 2008eb</t>
  </si>
  <si>
    <t>Dementia -- Handbooks, manuals, etc. ; Psychiatry.</t>
  </si>
  <si>
    <t>Chaudhuri, K Ray;Ferini-Strambi, Luigi;Rye, David</t>
  </si>
  <si>
    <t>Oxford Neurology Library</t>
  </si>
  <si>
    <t>RC548.5 -- .R47 2009eb</t>
  </si>
  <si>
    <t>Information theory.</t>
  </si>
  <si>
    <t>Wilson, Sue;Nutt, David</t>
  </si>
  <si>
    <t>RC547 -- .W57 2008eb</t>
  </si>
  <si>
    <t>Goldney, Robert D.</t>
  </si>
  <si>
    <t>RC569 -- .G65 2008eb</t>
  </si>
  <si>
    <t>616.85/8445</t>
  </si>
  <si>
    <t>Data warehousing -- Congresses. ; Database searching -- Congresses.</t>
  </si>
  <si>
    <t>Palaniyappan, Lena;Krishnadas, Rajeev</t>
  </si>
  <si>
    <t>Oxford Specialty Training: Revision Texts</t>
  </si>
  <si>
    <t>RC457 -- .P55 2009eb</t>
  </si>
  <si>
    <t>Psychiatry -- Examinations, questions, etc. ; Psychiatry -- Great Britain.</t>
  </si>
  <si>
    <t>RC457 -- .P5535eb</t>
  </si>
  <si>
    <t>Treating Violence : A Guide to Risk Management in Mental Health</t>
  </si>
  <si>
    <t>Maden, Tony</t>
  </si>
  <si>
    <t>RC569.5.V55 M34 2007</t>
  </si>
  <si>
    <t>Mentally ill. ; Violence -- Forecasting.</t>
  </si>
  <si>
    <t>Inside Psychology : A Science over 50 Years</t>
  </si>
  <si>
    <t>Rabbitt, Pat</t>
  </si>
  <si>
    <t>BF121 -- .I55 2009eb</t>
  </si>
  <si>
    <t>Psychology. ; History.</t>
  </si>
  <si>
    <t>Hypnosis and Conscious States : The Cognitive Neuroscience Perspective</t>
  </si>
  <si>
    <t>Jamieson, Graham</t>
  </si>
  <si>
    <t>QP411 .H97 2007</t>
  </si>
  <si>
    <t>612.8/233</t>
  </si>
  <si>
    <t>Cognitive neuroscience. ; Consciousness -- Physiological aspects. ; Hypnotism.</t>
  </si>
  <si>
    <t>Goldberg, David;Murray, Robin</t>
  </si>
  <si>
    <t>RC456 -- .M38 2006eb</t>
  </si>
  <si>
    <t>Bioinformatics -- Congresses. ; Cognitive neuroscience -- Congresses. ; Computational biology -- Congresses. ; Computational intelligence -- Congresses. ; Computational intelligence -- Industrial applications -- Congresses.</t>
  </si>
  <si>
    <t>Johnson-Laird, Philip</t>
  </si>
  <si>
    <t>BF442 -- .J64 2006eb</t>
  </si>
  <si>
    <t>The Nature-Nurture Debates : Bridging the Gap</t>
  </si>
  <si>
    <t>Goldhaber, Dale</t>
  </si>
  <si>
    <t>BF341 .G56 2012</t>
  </si>
  <si>
    <t>Nature and nurture. ; Developmental psychology.</t>
  </si>
  <si>
    <t>Spivey, Michael;McRae, Ken;Joanisse, Marc</t>
  </si>
  <si>
    <t>BF455 .C36 2012</t>
  </si>
  <si>
    <t>Psycholinguistics. ; Cognitive science.</t>
  </si>
  <si>
    <t>The Cambridge Handbook of Environment in Human Development : A Handbook of Theory and Measurement</t>
  </si>
  <si>
    <t>Mayes, Linda;Lewis, Michael</t>
  </si>
  <si>
    <t>HQ767.9 .H348 2012</t>
  </si>
  <si>
    <t>Child development. ; Child psychology. ; Environmental psychology.</t>
  </si>
  <si>
    <t>Reproductive Donation : Practice, Policy and Bioethics</t>
  </si>
  <si>
    <t>Richards, Martin;Pennings, Guido;Appleby, John B.</t>
  </si>
  <si>
    <t>RG133.5 .R43 2012</t>
  </si>
  <si>
    <t>Surrogate mothers. ; Human reproductive technology.</t>
  </si>
  <si>
    <t>I Did It to Save My Life : Love and Survival in Sierra Leone</t>
  </si>
  <si>
    <t>Bolten, Catherine</t>
  </si>
  <si>
    <t>California Series in Public Anthropology Series</t>
  </si>
  <si>
    <t>War and society -- Sierra Leone. ; Sierra Leone -- History -- Civil War, 1991-2002 -- Personal narratives. ; Sierra Leone -- History -- Civil War, 1991-2002 -- Psychological aspects. ; Sierra Leone -- History -- Civil War, 1991-2002 -- Social aspects.</t>
  </si>
  <si>
    <t>Mindfulness for the Next Generation : Helping Emerging Adults Manage Stress and Lead Healthier Lives</t>
  </si>
  <si>
    <t>Rogers, Holly;Maytan, Margaret</t>
  </si>
  <si>
    <t>RC489.M55.R644 2012</t>
  </si>
  <si>
    <t>Nemeroff, Charles B.</t>
  </si>
  <si>
    <t>RC480.5 -- .M36 2012eb</t>
  </si>
  <si>
    <t>Consciousness in Interaction : The role of the natural and social context in shaping consciousness</t>
  </si>
  <si>
    <t>Paglieri, Fabio</t>
  </si>
  <si>
    <t>BF311 -- .C6534 2012eb</t>
  </si>
  <si>
    <t>Molecular neurobiology. ; Neurochemistry. ; Neuroendocrinology. ; Neuropsychiatry.</t>
  </si>
  <si>
    <t>Brunning, Halina;Perini, Mario</t>
  </si>
  <si>
    <t>HN18.3 -- .P79 2010eb</t>
  </si>
  <si>
    <t>Ringrose, Jo L.</t>
  </si>
  <si>
    <t>RC569.5.M8 -- R56 2012eb</t>
  </si>
  <si>
    <t>Psychic Reality in Context : Perspectives on Psychoanalysis, Personal History, and Trauma</t>
  </si>
  <si>
    <t>Oliner, Marion Michel</t>
  </si>
  <si>
    <t>BF175.5.R4 -- O45 2012eb</t>
  </si>
  <si>
    <t>Mind and reality. ; Psychoanalysis. ; Psychic trauma.</t>
  </si>
  <si>
    <t>BM526 -- .E34 2012eb</t>
  </si>
  <si>
    <t>Cabala -- Psychological aspects. ; Psychoanalysis.</t>
  </si>
  <si>
    <t>Couple-Based Interventions for Military and Veteran Families : A Practitioner's Guide</t>
  </si>
  <si>
    <t>Snyder, Douglas K.;Monson, Candice M.</t>
  </si>
  <si>
    <t>RC550 -- .C67 2012eb</t>
  </si>
  <si>
    <t>616.89/156200808697</t>
  </si>
  <si>
    <t>Veterans -- Mental health services</t>
  </si>
  <si>
    <t>Zentner, Marcel;Shiner, Rebecca L.</t>
  </si>
  <si>
    <t>BF798 -- .H36 2012eb</t>
  </si>
  <si>
    <t>Temperament. ; Temperament -- Handbooks, manuals, etc.</t>
  </si>
  <si>
    <t>Night Eating Syndrome : Research, Assessment, and Treatment</t>
  </si>
  <si>
    <t>Lundgren, Jennifer D.;Allison, Kelly C.;Stunkard, Albert J.;Mitchell, James E.</t>
  </si>
  <si>
    <t>RC552.E18 -- N54 2012eb</t>
  </si>
  <si>
    <t>Hackstaff;Kupferberg;Negroni</t>
  </si>
  <si>
    <t>U22.3 .A36 2012</t>
  </si>
  <si>
    <t>Health; Social Science; Military Science</t>
  </si>
  <si>
    <t>Gestalt Therapy : Advances in Theory and Practice</t>
  </si>
  <si>
    <t>Bar-Yoseph Levine, Talia</t>
  </si>
  <si>
    <t>RC489.G4 -- G4837 2011eb</t>
  </si>
  <si>
    <t>Race, Social Science and the Crisis of Manhood, 1890-1970 : We Are the Supermen</t>
  </si>
  <si>
    <t>Lindquist, Malinda Alaine</t>
  </si>
  <si>
    <t>Routledge Studies in African American History Series</t>
  </si>
  <si>
    <t>E185.625 .L56 2012</t>
  </si>
  <si>
    <t>African American men -- Race identity. ; African American men -- Psychology. ; African American men -- Social conditions -- 20th century. ; Masculinity -- United States. ; Social sciences -- United States -- History -- 20th century.</t>
  </si>
  <si>
    <t>Insight : Essays on Psychoanalytic Knowing</t>
  </si>
  <si>
    <t>Ahumada, Jorge L.</t>
  </si>
  <si>
    <t>BF175 -- .A543 2011eb</t>
  </si>
  <si>
    <t>Insight in psychotherapy</t>
  </si>
  <si>
    <t>Infant Observation and Research : Emotional Processes in Everyday Lives</t>
  </si>
  <si>
    <t>Urwin, Cathy;Sternberg, Janine</t>
  </si>
  <si>
    <t>BF719 .I545 2012</t>
  </si>
  <si>
    <t>155.42/2820723</t>
  </si>
  <si>
    <t>Dramatherapy with Children, Young People and Schools : Enabling Creativity, Sociability, Communication and Learning</t>
  </si>
  <si>
    <t>Leigh, Lauraine;Gersch, Irvine;Dix, Ann;Haythorne, Deborah</t>
  </si>
  <si>
    <t>RJ505.P89 D735 2012</t>
  </si>
  <si>
    <t>618.92/89142</t>
  </si>
  <si>
    <t>Emotion and Delinquency (RLE Edu l Sociology of Education) : A Clinical Study of Five Hundred Criminals in the Making</t>
  </si>
  <si>
    <t>Grimberg, L.</t>
  </si>
  <si>
    <t>HV9069 .G85</t>
  </si>
  <si>
    <t>Juvenile delinquency. ; Juvenile delinquents. ; Psychology, Pathological.</t>
  </si>
  <si>
    <t>Bollas, Christopher;Jemstedt, Arne</t>
  </si>
  <si>
    <t>BF173 -- .B6354 2011eb</t>
  </si>
  <si>
    <t>Thirteen Ways of Looking at a Man : Psychoanalysis and Masculinity</t>
  </si>
  <si>
    <t>Moss, Donald</t>
  </si>
  <si>
    <t>BF175.5.M37 M677 20</t>
  </si>
  <si>
    <t>Perversion : A Lacanian Psychoanalytic Approach to the Subject</t>
  </si>
  <si>
    <t>Swales, Stephanie S.</t>
  </si>
  <si>
    <t>RC556 .S88 2012</t>
  </si>
  <si>
    <t>Atomic Dwelling : Anxiety, Domesticity, and Postwar Architecture</t>
  </si>
  <si>
    <t>Schuldenfrei, Robin</t>
  </si>
  <si>
    <t>NA2543.S6 A86 2012</t>
  </si>
  <si>
    <t>720.1/03</t>
  </si>
  <si>
    <t>Architecture and society -- History -- 20th century. ; Domestic space -- History -- 20th century. ; Civilization, Modern -- 20th century -- Psychological aspects.</t>
  </si>
  <si>
    <t>Men, Addiction, and Intimacy : Strengthening Recovery by Fostering the Emotional Development of Boys and Men</t>
  </si>
  <si>
    <t>Woodford, Mark S.</t>
  </si>
  <si>
    <t>HQ1090 -- .W66 2012eb</t>
  </si>
  <si>
    <t>An Introduction to the Human Development and Capability Approach : Freedom and Agency</t>
  </si>
  <si>
    <t>Deneulin, Severine;Shahani, Lila;Alkire, Sabina;Proochista, Ariana;Johnson, Susan;Naveed, Arif;Robeyns, Ingrid;Spence, Randy;Unterhalter, Elaine;White, Sarah</t>
  </si>
  <si>
    <t>HM1033 .I595 2012</t>
  </si>
  <si>
    <t>Social psychology. ; Human behavior.</t>
  </si>
  <si>
    <t>The Psychology and Politics of the Collective : Groups, Crowds and Mass Identifications</t>
  </si>
  <si>
    <t>Parkin-Gounelas, Ruth</t>
  </si>
  <si>
    <t>HM716 .P793 2012</t>
  </si>
  <si>
    <t>Cultures of Colour : Visual, Material, Textual</t>
  </si>
  <si>
    <t>Horrocks, Chris</t>
  </si>
  <si>
    <t>Polygons: Cultural Diversities and Intersections Series</t>
  </si>
  <si>
    <t>GN197 .C85 2012</t>
  </si>
  <si>
    <t>Human skin color. ; Color--Psychological aspects. ; Color--Cross-cultural studies. ; Visual anthropology. ; Material culture.</t>
  </si>
  <si>
    <t>Turner, Jonathan</t>
  </si>
  <si>
    <t>Framing 21st Century Social Issues Series</t>
  </si>
  <si>
    <t>HM1033 -- .T86 2011eb</t>
  </si>
  <si>
    <t>O'Connell, Bill;Palmer, Stephen;Williams, Helen</t>
  </si>
  <si>
    <t>HF5549.5.C53 O36 20</t>
  </si>
  <si>
    <t>658.3/124</t>
  </si>
  <si>
    <t>Children into Pupils (RLE Edu I) : A Study of Language in Early Schooling</t>
  </si>
  <si>
    <t>Willes, Mary</t>
  </si>
  <si>
    <t>LB1139.L3 W484</t>
  </si>
  <si>
    <t>Children -- Language. ; Language arts (Preschool)</t>
  </si>
  <si>
    <t>Manderson, Lenore</t>
  </si>
  <si>
    <t>Sexuality, Culture and Health Series</t>
  </si>
  <si>
    <t>HQ23 -- .T43 2012eb</t>
  </si>
  <si>
    <t>Johnson, Paul;Dalton, Derek</t>
  </si>
  <si>
    <t>HQ16 .P648 2012</t>
  </si>
  <si>
    <t>Talking Heads : The Neuroscience of Language</t>
  </si>
  <si>
    <t>Denes, Gianfranco;Smith, Philippa Venturelli</t>
  </si>
  <si>
    <t>QP399 .D8513 2011</t>
  </si>
  <si>
    <t>612.8/2336</t>
  </si>
  <si>
    <t>Neurolinguistics. ; Language disorders. ; Psycholinguistics.</t>
  </si>
  <si>
    <t>Visual Word Recognition Volume 2 : Meaning and Context, Individuals and Development</t>
  </si>
  <si>
    <t>Adelman, James S.</t>
  </si>
  <si>
    <t>Current Issues in the Psychology of Language Series</t>
  </si>
  <si>
    <t>LB1050.44 -- .V572 2012eb</t>
  </si>
  <si>
    <t>Word recognition. ; Reading.</t>
  </si>
  <si>
    <t>Visual Word Recognition Volume 1 : Models and Methods, Orthography and Phonology</t>
  </si>
  <si>
    <t>LB1050.44 .V57 2012</t>
  </si>
  <si>
    <t>Word recognition. ; Vocabulary.</t>
  </si>
  <si>
    <t>Training Cognition : Optimizing Efficiency, Durability, and Generalizability</t>
  </si>
  <si>
    <t>Healy, Alice F.;Bourne, Lyle E., Jr.</t>
  </si>
  <si>
    <t>BF311 .T685 2012</t>
  </si>
  <si>
    <t>Cognitive styles. ; Employees -- Training of.</t>
  </si>
  <si>
    <t>Neuroanatomy of Social Behaviour : An Evolutionary and Psychoanalytic Perspective</t>
  </si>
  <si>
    <t>Behrendt, Ralf-Peter</t>
  </si>
  <si>
    <t>QP360 -- .B434 2011eb</t>
  </si>
  <si>
    <t>Neuropsychology. ; Neuroanatomy.</t>
  </si>
  <si>
    <t>Canvas of Change : Analysis Through the Prism of Creativity</t>
  </si>
  <si>
    <t>Kogan, Ilany</t>
  </si>
  <si>
    <t>RC489.A72 -- K643 2012eb</t>
  </si>
  <si>
    <t>Creation (Literary, artistic, etc.) -- Psychological aspects. ; Arts -- Therapeutic use. ; Psychoanalysis -- Case studies.</t>
  </si>
  <si>
    <t>The Loss of a Life Partner : Narratives of the Bereaved</t>
  </si>
  <si>
    <t>Walter, Carolyn Ambler</t>
  </si>
  <si>
    <t>BF575.G7 -- W3435 2003eb</t>
  </si>
  <si>
    <t>Developmental Coaching : Life Transitions and Generational Perspectives</t>
  </si>
  <si>
    <t>Palmer, Stephen;Panchal, Sheila</t>
  </si>
  <si>
    <t>BF637.P36 -- D48 2011eb</t>
  </si>
  <si>
    <t>Personal coaching. ; Aging -- Psychological aspects. ; Age groups -- Psychological aspects. ; Change (Psychology)</t>
  </si>
  <si>
    <t>Scarre, Geoffrey</t>
  </si>
  <si>
    <t>BJ1533.C8 -- S23 2010eb</t>
  </si>
  <si>
    <t>Children in Difficulty : A Guide to Understanding and Helping</t>
  </si>
  <si>
    <t>Elliott, Julian;Place, Maurice</t>
  </si>
  <si>
    <t>RJ504 .E43 2012</t>
  </si>
  <si>
    <t>Couples in Collusion : Short-Term, Assessment-Based Strategies for Helping Couples Disarm Their Defenses</t>
  </si>
  <si>
    <t>Bagarozzi, Dennis A.</t>
  </si>
  <si>
    <t>RC488.5 .B2695 2012</t>
  </si>
  <si>
    <t>Marriage counseling. ; Interpersonal relations. ; Counseling psychology.</t>
  </si>
  <si>
    <t>Solution Focused Brief Therapy : 100 Key Points and Techniques</t>
  </si>
  <si>
    <t>Ratner, Harvey;George, Evan;Iveson, Chris</t>
  </si>
  <si>
    <t>RC489.S65 R38 2012</t>
  </si>
  <si>
    <t>616.89/147</t>
  </si>
  <si>
    <t>Watermeyer, Brian</t>
  </si>
  <si>
    <t>Routledge Advances in Disability Studies</t>
  </si>
  <si>
    <t>BF727.P57 W38 2012</t>
  </si>
  <si>
    <t>Social Identity in Question : Construction, Subjectivity and Critique</t>
  </si>
  <si>
    <t>Dashtipour, Parisa</t>
  </si>
  <si>
    <t>HM753 .D37 2012</t>
  </si>
  <si>
    <t>Adolescent Counselling Psychology : Theory, Research and Practice</t>
  </si>
  <si>
    <t>Hanley, Terry;Humphrey, Neil;Lennie, Clare</t>
  </si>
  <si>
    <t>RJ503 .A3138 2012</t>
  </si>
  <si>
    <t>Balsam, Rosemary M.</t>
  </si>
  <si>
    <t>BF175 .B24 2012</t>
  </si>
  <si>
    <t>Women and psychoanalysis. ; Human body. ; Body image in women. ; Women -- Psychology. ; Women -- Physiology. ; Psychophysiology.</t>
  </si>
  <si>
    <t>Children's Dreams : Understanding the Most Memorable Dreams and Nightmares of Childhood</t>
  </si>
  <si>
    <t>Bulkeley, Kelly;Bulkley, Patricia M.</t>
  </si>
  <si>
    <t>BF1099.C55B85 2012</t>
  </si>
  <si>
    <t>154.6/3083</t>
  </si>
  <si>
    <t>Children's dreams. ; Dreams--Psychological aspects.</t>
  </si>
  <si>
    <t>The Politics and Ethics of Identity : In Search of Ourselves</t>
  </si>
  <si>
    <t>Lebow, Richard Ned</t>
  </si>
  <si>
    <t>JA74.5 .L425 2012</t>
  </si>
  <si>
    <t>Identity (Philosophical concept) ; Political psychology.</t>
  </si>
  <si>
    <t>Beginning Research in the Arts Therapies : A Practical Guide</t>
  </si>
  <si>
    <t>Ansdell, Gary;Pavlicevic, Mercedes</t>
  </si>
  <si>
    <t>615.8/5156/072</t>
  </si>
  <si>
    <t>Arts -- Therapeutic use -- Research.</t>
  </si>
  <si>
    <t>Developing Successful Diversity Mentoring Programmes : an International Casebook</t>
  </si>
  <si>
    <t>Clutterbuck, David;Poulsen, Kirsten;Kochan, Frances</t>
  </si>
  <si>
    <t>Hypnotherapy : A Handbook</t>
  </si>
  <si>
    <t>Heap, Michael</t>
  </si>
  <si>
    <t>Hughes, Julian C.</t>
  </si>
  <si>
    <t>The Facts Series</t>
  </si>
  <si>
    <t>RC521 -- .H839 2011eb</t>
  </si>
  <si>
    <t>Bogaert, Anthony F.</t>
  </si>
  <si>
    <t>HQ21.B754 2012</t>
  </si>
  <si>
    <t>Asexuality (Sexual orientation). ; Gender identity.</t>
  </si>
  <si>
    <t>Just Kidding : Using Humor Effectively</t>
  </si>
  <si>
    <t>Franzini, Louis R.</t>
  </si>
  <si>
    <t>HM1106.F73 2012</t>
  </si>
  <si>
    <t>Interpersonal relations. ; Wit and humor--Social aspects.</t>
  </si>
  <si>
    <t>RC506 -- .O343 1994eb</t>
  </si>
  <si>
    <t>Psychoanalysis. ; Intersubjectivity. ; Psychotherapist and patient.</t>
  </si>
  <si>
    <t>Writings on Psychoanalysis : Freud and Lacan</t>
  </si>
  <si>
    <t xml:space="preserve">Althusser, Louis;Corpet, Olivier;Matheron, François;Mehlman, Jeffrey;Mehlman, Jeffrey </t>
  </si>
  <si>
    <t>European Perspectives: A Series in Social Thought and Cultural Criticism</t>
  </si>
  <si>
    <t>BF109.F74 A82513</t>
  </si>
  <si>
    <t>Freud, Sigmund, 1856-1939. ; Lacan, Jacques, 1901-1981. ; Psychoanalysis.</t>
  </si>
  <si>
    <t>The Heart of Man's Destiny : Lacanian Psychoanalysis and Early Reformation Thought</t>
  </si>
  <si>
    <t>Westerink, Herman</t>
  </si>
  <si>
    <t>Psychoanalytic Explorations Series</t>
  </si>
  <si>
    <t>BF175.4.R44</t>
  </si>
  <si>
    <t>Conflict and Crisis Communication : Principles and Practice</t>
  </si>
  <si>
    <t>Ireland, Carol A.;Fisher, Martin;Vecchi, Gregory M.</t>
  </si>
  <si>
    <t>HM1126 -- .C616 2011eb</t>
  </si>
  <si>
    <t>363.2/3</t>
  </si>
  <si>
    <t>Sage Publications (US)</t>
  </si>
  <si>
    <t>Welch-Ross, Melissa K.;Fasig, Lauren G.</t>
  </si>
  <si>
    <t>BF77 -- .H27 2007eb</t>
  </si>
  <si>
    <t>Evaluating Services for Survivors of Domestic Violence and Sexual Assault</t>
  </si>
  <si>
    <t>Riger, Stephanie;Bennett, Larry;Wasco, Sharon Mary;Schewe, Paul A.;Frohmann, Lisa;Catrambone, Jennifer Camacho;Campbell, Rebecca</t>
  </si>
  <si>
    <t>SAGE Series on Violence Against Women Series</t>
  </si>
  <si>
    <t>362.82/92/0973</t>
  </si>
  <si>
    <t>Handbook of Contemporary Psychotherapy : Toward an Improved Understanding of Effective Psychotherapy</t>
  </si>
  <si>
    <t>ODonohue, William T.;Graybar, Steven R.</t>
  </si>
  <si>
    <t>RC480 -- .H283 2009eb</t>
  </si>
  <si>
    <t>The Impact of Family Violence on Children and Adolescents</t>
  </si>
  <si>
    <t>Kashani, Javad H.;Allan, Wesley D.</t>
  </si>
  <si>
    <t>Developmental Clinical Psychology and Psychiatry Series</t>
  </si>
  <si>
    <t>616.85/822</t>
  </si>
  <si>
    <t>The Psychology Research Handbook : A Guide for Graduate Students and Research Assistants</t>
  </si>
  <si>
    <t>Leong, Frederick;Austin, James</t>
  </si>
  <si>
    <t>Harm Reduction : National and International Perspectives</t>
  </si>
  <si>
    <t>Inciardi, James A.;Harrison, Lana D.</t>
  </si>
  <si>
    <t>262.29/17</t>
  </si>
  <si>
    <t>Psychotic Disorders in Children and Adolescents</t>
  </si>
  <si>
    <t>Findling, Robert L.;Schulz, S. Charles;Kashani, Javad H.;Harlan Drewel, Elena T.</t>
  </si>
  <si>
    <t>Evaluating Sex Offenders : A Manual for Civil Commitments and Beyond</t>
  </si>
  <si>
    <t>Doren, Dennis M.</t>
  </si>
  <si>
    <t>Handbook of Cognitive Aging : Interdisciplinary Perspectives</t>
  </si>
  <si>
    <t>Hofer, Scott M.;Alwin, Duane Francis</t>
  </si>
  <si>
    <t>155.67/13</t>
  </si>
  <si>
    <t>Cognition -- Age factors. ; Aging -- Psychological aspects.</t>
  </si>
  <si>
    <t>Psychology : Six Perspectives</t>
  </si>
  <si>
    <t>Fernald, L. Dodge</t>
  </si>
  <si>
    <t>Social Class and Classism in the Helping Professions : Research, Theory, and Practice</t>
  </si>
  <si>
    <t>Liu, William Ming</t>
  </si>
  <si>
    <t>158/.30862</t>
  </si>
  <si>
    <t>Stress Management : From Basic Science to Better Practice</t>
  </si>
  <si>
    <t>Linden, Wolfgang</t>
  </si>
  <si>
    <t>Handbook of Professional Ethics for Psychologists : Issues, Questions, and Controversies</t>
  </si>
  <si>
    <t>O′Donohue, William T.;Ferguson, Kyle E.</t>
  </si>
  <si>
    <t>174/.915</t>
  </si>
  <si>
    <t>Legal Issues in Child Abuse and Neglect Practice</t>
  </si>
  <si>
    <t>Myers, John E. B.</t>
  </si>
  <si>
    <t>Interpersonal Violence: the Practice Series</t>
  </si>
  <si>
    <t>344.73/03276</t>
  </si>
  <si>
    <t>The Dark Side of Courtship : Physical and Sexual Aggression</t>
  </si>
  <si>
    <t>Lloyd, Sally A.;Emery, Beth</t>
  </si>
  <si>
    <t>SAGE Series on Close Relationships Series</t>
  </si>
  <si>
    <t>Overcoming Unintentional Racism in Counseling and Therapy : A Practitioner&amp;prime;s Guide to Intentional Intervention</t>
  </si>
  <si>
    <t>Ridley, Charles R.</t>
  </si>
  <si>
    <t>Multicultural Aspects of Counseling Series</t>
  </si>
  <si>
    <t>Social Psychology and Cultural Context</t>
  </si>
  <si>
    <t>Adamopoulos, John;Kashima, Yoshihisa</t>
  </si>
  <si>
    <t>Cross Cultural Psychology Series</t>
  </si>
  <si>
    <t>Feminist Reconstructions in Psychology : Narrative, Gender, and Performance</t>
  </si>
  <si>
    <t>Gergen, Mary</t>
  </si>
  <si>
    <t>Counseling Latinos and la Familia : A Practical Guide</t>
  </si>
  <si>
    <t>Santiago-Rivera, Azara L. (Lourdes);Arrendondo, Patricia;Gallardo-Cooper, Maritza</t>
  </si>
  <si>
    <t>362.2/04256/08968073</t>
  </si>
  <si>
    <t>Evidence-Based Practice with Women : Toward Effective Social Work Practice with Low-Income Women</t>
  </si>
  <si>
    <t>Markward, Martha J.;Yegidis, Bonnie L.</t>
  </si>
  <si>
    <t>Evidence-Based Practice in Social Work Series</t>
  </si>
  <si>
    <t>Changing Violent Men</t>
  </si>
  <si>
    <t>Dobash, Rebecca Emerson;Dobash, Russell P.;Cavanagh, Kate;Lewis, Ruth</t>
  </si>
  <si>
    <t>362.82/927/0941</t>
  </si>
  <si>
    <t>Handbook of Counseling Boys and Adolescent Males : A Practitioner&amp;prime;s Guide</t>
  </si>
  <si>
    <t>Horne, Arthur M.;Kiselica, Mark S.</t>
  </si>
  <si>
    <t>Development of Psychopathology : A Vulnerability-Stress Perspective</t>
  </si>
  <si>
    <t>Hankin, Benjamin L.;Abela, John R. Z.</t>
  </si>
  <si>
    <t>Deconstructing Heterosexism in the Counseling Professions : A Narrative Approach</t>
  </si>
  <si>
    <t>Croteau, James M.;Lark, Julianne S.;Lidderdale, Melissa A.;Chung, Y. Barry</t>
  </si>
  <si>
    <t>158/.3/0866</t>
  </si>
  <si>
    <t>Children&amp;prime;s Adjustment to Adoption : Developmental and Clinical Issues</t>
  </si>
  <si>
    <t>Brodzinsky, David;Smith, Daniel W.;Brodzinsky, Anne</t>
  </si>
  <si>
    <t>Dubowitz, Howard;DePanfilis, Diane E.</t>
  </si>
  <si>
    <t>HV6626.52 -- .H36 2000eb</t>
  </si>
  <si>
    <t>362.76/0973</t>
  </si>
  <si>
    <t>Child abuse -- United States -- Prevention -- Handbooks, manuals, etc. ; Child welfare -- United States -- Handbooks, manuals, etc. ; Social work with children -- United States -- Handbooks, manuals, etc. ; Family social work -- United States -- Handbooks, manuals, etc.</t>
  </si>
  <si>
    <t>Violence in Intimate Relationships</t>
  </si>
  <si>
    <t>Arriaga, Ximena B.;Oskamp, Stuart</t>
  </si>
  <si>
    <t>Assessing Allegations of Sexual Abuse in Preschool Children : Understanding Small Voices</t>
  </si>
  <si>
    <t>Hewitt, Sandra K.</t>
  </si>
  <si>
    <t>363.25/9536</t>
  </si>
  <si>
    <t>Dictionary of Multicultural Psychology : Issues, Terms, and Concepts</t>
  </si>
  <si>
    <t>Hall, Lena E.</t>
  </si>
  <si>
    <t>Adolescent Diversity in Ethnic, Economic, and Cultural Contexts</t>
  </si>
  <si>
    <t>Montemayor, Raymond J.;Adams, Gerald R.;Gullotta, Thomas P.</t>
  </si>
  <si>
    <t>Advances in Adolescent Development Series</t>
  </si>
  <si>
    <t>Cartographies of Knowledge : Exploring Qualitative Epistemologies</t>
  </si>
  <si>
    <t>Pascale, Celine-Marie</t>
  </si>
  <si>
    <t>Trauma : Contemporary Directions in Theory, Practice, and Research</t>
  </si>
  <si>
    <t>Ringel, Shoshana S.;Brandell, Jerrold R.</t>
  </si>
  <si>
    <t>DeLucia-Waack, Janice L.</t>
  </si>
  <si>
    <t>371.4/6</t>
  </si>
  <si>
    <t>Narrative Therapy : Making Meaning, Making Lives</t>
  </si>
  <si>
    <t>Brown, Catrina;Augusta-Scott, Tod</t>
  </si>
  <si>
    <t>Beyond the DSM Story : Ethical Quandaries, Challenges, and Best Practices</t>
  </si>
  <si>
    <t>Eriksen, Karen;Kress, Victoria E.</t>
  </si>
  <si>
    <t>Pattern Changing for Abused Women : An Educational Program</t>
  </si>
  <si>
    <t>Goodman, Marilyn L. Shear;Fallon, Beth C.</t>
  </si>
  <si>
    <t>Volatile Places : A Sociology of Communities and Environmental Controversies</t>
  </si>
  <si>
    <t>Gunter, Valerie J.;Kroll-Smith, Steve</t>
  </si>
  <si>
    <t>The Survivor&amp;prime;s Guide</t>
  </si>
  <si>
    <t>Lee, Sharice A.</t>
  </si>
  <si>
    <t>Intercultural Interactions : A Practical Guide</t>
  </si>
  <si>
    <t>Cushner, Kenneth;Brislin, Richard W.</t>
  </si>
  <si>
    <t>Cross Cultural Research and Methodology Series</t>
  </si>
  <si>
    <t>Culturally Relevant Ethical Decision-Making in Counseling</t>
  </si>
  <si>
    <t>Houser, Rick A.;Wilczenski, Felicia L.;Ham, MaryAnna</t>
  </si>
  <si>
    <t>Building Health Coalitions in the Black Community</t>
  </si>
  <si>
    <t>Braithwaite, Ronald L.;Taylor, Sandra E.;Austin, John N.</t>
  </si>
  <si>
    <t>362.1/089/96073</t>
  </si>
  <si>
    <t>Documenting Psychotherapy : Essentials for Mental Health Practitioners</t>
  </si>
  <si>
    <t>Moline, Mary E.;Williams, George T.;Austin, Kenneth M.</t>
  </si>
  <si>
    <t>651.5/04261</t>
  </si>
  <si>
    <t>Defense Mechanisms in the Counseling Process</t>
  </si>
  <si>
    <t>Clark, Arthur J.</t>
  </si>
  <si>
    <t>Handbook of Clinical Interviewing with Children</t>
  </si>
  <si>
    <t>Hersen, Michel;Thomas, Jay C.</t>
  </si>
  <si>
    <t>RJ503.6 .H36 2007</t>
  </si>
  <si>
    <t>Interviewing in child psychiatry -- Handbooks, manuals, etc. ; Mental illness -- Diagnosis -- Handbooks, manuals, etc. ; Interviewing in mental health -- Handbooks, manuals, etc.</t>
  </si>
  <si>
    <t>Chernin, Jeffrey N.;Johnson, Melissa R.</t>
  </si>
  <si>
    <t>616.89/14/08664</t>
  </si>
  <si>
    <t>Social Work Practice with African American Men : The Invisible Presence</t>
  </si>
  <si>
    <t>Rasheed, Janice M.;Rasheed, Mikal N.</t>
  </si>
  <si>
    <t>SAGE Sourcebooks for the Human Services Series</t>
  </si>
  <si>
    <t>HV3181.R37</t>
  </si>
  <si>
    <t>362.84/96073</t>
  </si>
  <si>
    <t>Sibling Abuse : Hidden Physical, Emotional, and Sexual Trauma</t>
  </si>
  <si>
    <t>Wiehe, Vernon R.</t>
  </si>
  <si>
    <t>Prospective Memory : An Overview and Synthesis of an Emerging Field</t>
  </si>
  <si>
    <t>McDaniel, Mark A.;Einstein, Gilles O.</t>
  </si>
  <si>
    <t>Thomas, Jay C.;Hersen, Michel</t>
  </si>
  <si>
    <t>Industrial psychiatry. ; Mental health -- Handbooks, manuals, etc.</t>
  </si>
  <si>
    <t>Improving the Effectiveness of the Helping Professions : An Evidence-Based Approach to Practice</t>
  </si>
  <si>
    <t>Glicken, Morley D.</t>
  </si>
  <si>
    <t>The Handbook of International School Psychology</t>
  </si>
  <si>
    <t>Jimerson, Shane R.;Oakland, Thomas D.;Farrell, Peter</t>
  </si>
  <si>
    <t>LB1027.55 .H357 2007</t>
  </si>
  <si>
    <t>School psychology -- Handbooks, manuals, etc. ; School psychology -- Cross-cultural studies.</t>
  </si>
  <si>
    <t>Focus Group Interviews in Education and Psychology</t>
  </si>
  <si>
    <t>Vaughn, Sharon;Schumm, Jeanne Shay;Sinagub, Jane M.</t>
  </si>
  <si>
    <t>Handbook of Multicultural Measures</t>
  </si>
  <si>
    <t>Gamst, Glenn C.;Liang, Christopher T. H.;Der-Karabetian, Aghop</t>
  </si>
  <si>
    <t>Multiculturalism -- Research. ; Multiculturalism -- Psychological aspects. ; Minorities -- Research.</t>
  </si>
  <si>
    <t>Neglected Children : Research, Practice, and Policy</t>
  </si>
  <si>
    <t>Dubowitz, Howard</t>
  </si>
  <si>
    <t>362.76/8/0973</t>
  </si>
  <si>
    <t>Promoting Treatment Adherence : A Practical Handbook for Health Care Providers</t>
  </si>
  <si>
    <t>O′Donohue, William T.;Levensky, Eric R.</t>
  </si>
  <si>
    <t>Using Qualitative Methods in Psychology</t>
  </si>
  <si>
    <t>Kopala, Mary;Suzuki, Lisa A.</t>
  </si>
  <si>
    <t>Preventing Prejudice : A Guide for Counselors, Educators, and Parents</t>
  </si>
  <si>
    <t>Ponterotto, Joseph G.;Utsey, Shawn O.;Pedersen, Paul B.</t>
  </si>
  <si>
    <t>303.3/850973</t>
  </si>
  <si>
    <t>Handbook of Clinical Interviewing with Adults</t>
  </si>
  <si>
    <t>RC480.7 .H37 2007</t>
  </si>
  <si>
    <t>Interviewing in psychiatry -- Handbooks, manuals, etc. ; Mental illness -- Diagnosis -- Handbooks, manuals, etc.</t>
  </si>
  <si>
    <t>Sensory Processes</t>
  </si>
  <si>
    <t>Soderquist, David R.</t>
  </si>
  <si>
    <t>The Handbook of Spiritual Development in Childhood and Adolescence</t>
  </si>
  <si>
    <t>Roehlkepartain, Eugene C.;Ebstyne King, Pamela;Wagener, Linda M.;Benson, Peter L.</t>
  </si>
  <si>
    <t>The SAGE Program on Applied Developmental Science Series</t>
  </si>
  <si>
    <t>Youth -- Religious life -- Handbooks, manuals, etc. ; Faith development -- Handbooks, manuals, etc. ; Adolescent psychology -- Handbooks, manuals, etc.</t>
  </si>
  <si>
    <t>Finding Your Way : What Happens When You Tell about Abuse</t>
  </si>
  <si>
    <t>Copen, Lynn M.;Pucci, Linda M.</t>
  </si>
  <si>
    <t>Sexually abused teenagers -- Rehabilitation -- United States -- Juvenile literature. ; Child abuse -- United States -- Juvenile literature. ; Child sexual abuse -- United States -- Juvenile literature. ; Child abuse -- Reporting -- United States -- Juvenile literature. ; Child sexual abuse -- Reporting -- United States -- Juvenile literature. ; Abused children -- Rehabilitation -- United States -- Juvenile literature.</t>
  </si>
  <si>
    <t>Sullivan, Larry E.</t>
  </si>
  <si>
    <t>H41 .S24 2009</t>
  </si>
  <si>
    <t>Social sciences -- Dictionaries. ; Psychology -- Dictionaries.</t>
  </si>
  <si>
    <t>Luecken, Linda J.;Gallo, Linda C.</t>
  </si>
  <si>
    <t>R726.7 H3652 2008</t>
  </si>
  <si>
    <t>Challenges of Living : A Multidimensional Working Model for Social Workers</t>
  </si>
  <si>
    <t>Hutchison, Elizabeth D.;Matto, Holly C.;Harrigan, Marcia P.;Charlesworth, Leanne Wood;Viggiani, Pamela A.</t>
  </si>
  <si>
    <t>Substance Use and Abuse : Cultural and Historical Perspectives</t>
  </si>
  <si>
    <t>Durrant, Russil;Thakker, Jo</t>
  </si>
  <si>
    <t>306/.1</t>
  </si>
  <si>
    <t>Beyond Individual and Group Differences : Human Individuality, Scientific Psychology, and William Stern&amp;prime;s Critical Personalism</t>
  </si>
  <si>
    <t>Lamiell, James T.</t>
  </si>
  <si>
    <t>Critical Issues in Psychotherapy : Translating New Ideas into Practice</t>
  </si>
  <si>
    <t>Slife, Brent D.;Williams, Richard N.;Barlow, Sally H.</t>
  </si>
  <si>
    <t>Gestalt Therapy : History, Theory, and Practice</t>
  </si>
  <si>
    <t>Woldt, Ansel L.;Toman, Sarah M.</t>
  </si>
  <si>
    <t>Action and Self-Development : Theory and Research Through the LifeSpan</t>
  </si>
  <si>
    <t>Brandtstadter, Jochen;Lerner, Richard M.</t>
  </si>
  <si>
    <t>BF619.5 -- .A28 1999eb</t>
  </si>
  <si>
    <t>Action theory. ; Intentionalism. ; Maturation (Psychology)</t>
  </si>
  <si>
    <t>Getting Ready for Court : Criminal Court Edition: a Book for Children</t>
  </si>
  <si>
    <t>Child witnesses -- United States -- Juvenile literature. ; Examination of witnesses -- Trial practice -- Juvenile literature.</t>
  </si>
  <si>
    <t>Getting Ready for Court : Civil Court Edition: a Book for Children</t>
  </si>
  <si>
    <t>Copen, Lynn M.;Martin, Sheila;Pucci, Linda M.</t>
  </si>
  <si>
    <t>Child witnesses -- United States -- Juvenile literature. ; Witnesses -- United States.</t>
  </si>
  <si>
    <t>Family Therapy with Ethnic Minorities</t>
  </si>
  <si>
    <t>Ho, Man Keung;Rasheed, Janice M.;Rasheed, Mikal N.</t>
  </si>
  <si>
    <t>Stephan, Walter G.;Stephan, Cookie White</t>
  </si>
  <si>
    <t>Depression : A Primer for Practitioners</t>
  </si>
  <si>
    <t>Richards, Steven;Perri, Michael G.</t>
  </si>
  <si>
    <t>Counseling Persons of African Descent : Raising the Bar of Practitioner Competence</t>
  </si>
  <si>
    <t>Parham, Thomas A.</t>
  </si>
  <si>
    <t>616.89/14/08996073</t>
  </si>
  <si>
    <t>Human Genetics for the Social Sciences</t>
  </si>
  <si>
    <t>Carey, Gregory</t>
  </si>
  <si>
    <t>Advanced Psychology Text Series</t>
  </si>
  <si>
    <t>599.93/5</t>
  </si>
  <si>
    <t>Wehrly, Bea;Kenney, Kelley R.;Kenney, Mark E.</t>
  </si>
  <si>
    <t>HV697 -- .W43 1999eb</t>
  </si>
  <si>
    <t>Exploring Existential Meaning : Optimizing Human Development Across the Life Span</t>
  </si>
  <si>
    <t>Reker, Gary T.;Chamberlain, Kerry</t>
  </si>
  <si>
    <t>Lust : What We Know about Human Sexual Desire</t>
  </si>
  <si>
    <t>Regan, Pamela C.;Berscheid, Ellen S.;Berscheid, Ellen S.</t>
  </si>
  <si>
    <t>Lesko, Nancy</t>
  </si>
  <si>
    <t>SAGE Series on Men and Masculinity Series</t>
  </si>
  <si>
    <t>371.823/41</t>
  </si>
  <si>
    <t>Handbook for Social Justice in Counseling Psychology : Leadership, Vision, and Action</t>
  </si>
  <si>
    <t>Toporek, Rebecca L.;Gerstein, Lawrence H.;Fouad, Nadya;Roysircar, Gargi;Israel, Tania</t>
  </si>
  <si>
    <t>Counseling psychology. ; Social justice.</t>
  </si>
  <si>
    <t>Culture and Cognition : Implications for Theory and Method</t>
  </si>
  <si>
    <t>Ross, Norbert Otto</t>
  </si>
  <si>
    <t>306.4/2</t>
  </si>
  <si>
    <t>Addiction Treatment : Theory and Practice</t>
  </si>
  <si>
    <t>Rasmussen, Sandra</t>
  </si>
  <si>
    <t>362.29/18</t>
  </si>
  <si>
    <t>Hutchinson, David R.</t>
  </si>
  <si>
    <t>Relationship Pathways : From Adolescence to Young Adulthood</t>
  </si>
  <si>
    <t>Laursen, Brett P.;Collins, W. Andrew</t>
  </si>
  <si>
    <t>Addiction Recovery Tools : A Practical Handbook</t>
  </si>
  <si>
    <t>Coombs, Robert Holman</t>
  </si>
  <si>
    <t>Methods for Behavioral Research : A Systematic Approach</t>
  </si>
  <si>
    <t>Cherulnik, Paul David</t>
  </si>
  <si>
    <t>Transgenderism and Intersexuality in Childhood and Adolescence : Making Choices</t>
  </si>
  <si>
    <t>Cohen-Kettenis, Peggy T.;Pfäfflin, Friedemann</t>
  </si>
  <si>
    <t>Language Impairment and Psychopathology in Infants, Children, and Adolescents</t>
  </si>
  <si>
    <t>Cohen, Nancy J.</t>
  </si>
  <si>
    <t>Health, Illness, and Optimal Aging : Biological and Psychosocial Perspectives</t>
  </si>
  <si>
    <t>Aldwin, Carolyn M.;Gilmer, Diane F.</t>
  </si>
  <si>
    <t>612.6/7</t>
  </si>
  <si>
    <t>Science: Anatomy/Physiology; Science</t>
  </si>
  <si>
    <t>Smoking : Risk, Perception, and Policy</t>
  </si>
  <si>
    <t>Slovic, Paul</t>
  </si>
  <si>
    <t>362.29/6</t>
  </si>
  <si>
    <t>Mood Management : A Cognitive-Behavioral Skills-Building Program for Adolescents; Skills Workbook</t>
  </si>
  <si>
    <t>Langelier, Carol A.</t>
  </si>
  <si>
    <t>155.5/124</t>
  </si>
  <si>
    <t>Working with Children of Alcoholics : The Practitioner&amp;prime;s Handbook</t>
  </si>
  <si>
    <t>Robinson, Bryan E.;Rhoden, J. Lyn</t>
  </si>
  <si>
    <t>Companion Animals in Human Health</t>
  </si>
  <si>
    <t>Wilson, Cindy C.;Turner, Dennis C.</t>
  </si>
  <si>
    <t>Multicultural School Psychology Competencies : A Practical Guide</t>
  </si>
  <si>
    <t>Martines, Danielle L.</t>
  </si>
  <si>
    <t>Dowling, Elizabeth M.;Scarlett, W. George;Scarlett, Dr George</t>
  </si>
  <si>
    <t>BV4571.3 .E53 2006</t>
  </si>
  <si>
    <t>Youth -- Religious life -- Encyclopedias. ; Faith development -- Encyclopedias. ; Youth -- Psychology -- Encyclopedias.</t>
  </si>
  <si>
    <t>Jackson, Yolanda Kaye</t>
  </si>
  <si>
    <t>GN502 .E63 2006</t>
  </si>
  <si>
    <t>Ethnopsychology -- Encyclopedias. ; Minorities -- Psychology -- Encyclopedias.</t>
  </si>
  <si>
    <t>Becoming a Professional Counselor : Preparing for Certification and Comprehensive Exams</t>
  </si>
  <si>
    <t>Wallace, Sheri A.;Lewis, Michael D.</t>
  </si>
  <si>
    <t>Integrating Traditional Healing Practices into Counseling and Psychotherapy</t>
  </si>
  <si>
    <t>Moodley, Roy;West, William</t>
  </si>
  <si>
    <t>615.8/52</t>
  </si>
  <si>
    <t>Teaching about Culture, Ethnicity, and Diversity : Exercises and Planned Activities</t>
  </si>
  <si>
    <t>Singelis, Theodore M.</t>
  </si>
  <si>
    <t>306/.071</t>
  </si>
  <si>
    <t>Reducing Adolescent Risk : Toward an Integrated Approach</t>
  </si>
  <si>
    <t>Romer, Daniel</t>
  </si>
  <si>
    <t>613/.0433</t>
  </si>
  <si>
    <t>Children&amp;prime;s Play</t>
  </si>
  <si>
    <t>Scarlett, W. George;Naudeau, Sophie C.;Salonius-Pasternak, Dorothy;Ponte, Iris Chin</t>
  </si>
  <si>
    <t>Moss, Donald P.;McGrady, Angele V.;Davies, Terence C.;Wickramasekera, Ian;Wickramasekera, Ian E.</t>
  </si>
  <si>
    <t>RC49 -- .H327 2003eb</t>
  </si>
  <si>
    <t>Medicine, Psychosomatic -- Handbooks, manuals, etc. ; Mind and body therapies -- Handbooks, manuals, etc. ; Biofeedback training -- Handbooks, manuals, etc.</t>
  </si>
  <si>
    <t>Evolutionary Perspectives on Human Development</t>
  </si>
  <si>
    <t>Burgess, Robert Lee;MacDonald, Kevin</t>
  </si>
  <si>
    <t>Using Test Data in Clinical Practice : A Handbook for Mental Health Professionals</t>
  </si>
  <si>
    <t>MacCluskie, Kathryn C.;Reynolds Welfel, Elizabeth;Toman, Sarah M.</t>
  </si>
  <si>
    <t>Assessing and Treating Physically Abused Children and Their Families : A Cognitive-Behavioral Approach</t>
  </si>
  <si>
    <t>Kolko, David J.;Cupit Swenson, Cynthia</t>
  </si>
  <si>
    <t>What Causes Men&amp;prime;s Violence Against Women?</t>
  </si>
  <si>
    <t>Harway, Michele;O′Neil, James M.</t>
  </si>
  <si>
    <t>Child Custody and Domestic Violence : A Call for Safety and Accountability</t>
  </si>
  <si>
    <t>Jaffe, Peter G.;Lemon, Nancy K. D.;Poisson, Samantha</t>
  </si>
  <si>
    <t>346.01/73</t>
  </si>
  <si>
    <t>Culture and Disability : Providing Culturally Competent Services</t>
  </si>
  <si>
    <t>Stone, John H.</t>
  </si>
  <si>
    <t>362.4/0453/08900973</t>
  </si>
  <si>
    <t>New Faces in a Changing America : Multiracial Identity in the 21st Century</t>
  </si>
  <si>
    <t>Winters, Loretta I.;DeBose, Herman L.</t>
  </si>
  <si>
    <t>305.8/04073</t>
  </si>
  <si>
    <t>Wilhelm, Oliver;Engle, Randall W.</t>
  </si>
  <si>
    <t>BF431 -- .H3188 2005eb</t>
  </si>
  <si>
    <t>Intellect. ; Intelligence tests.</t>
  </si>
  <si>
    <t>Social Justice Counseling : The Next Steps Beyond Multiculturalism</t>
  </si>
  <si>
    <t>Chung, Rita Chi-Ying;Bemak, Frederic P.</t>
  </si>
  <si>
    <t>Masculinities, Gender Relations, and Sport</t>
  </si>
  <si>
    <t>McKay, Jim;Messner, Michael Alan;Sabo, Donald</t>
  </si>
  <si>
    <t>Gay Masculinities</t>
  </si>
  <si>
    <t>Nardi, Peter M.</t>
  </si>
  <si>
    <t>305.38/9664/0973</t>
  </si>
  <si>
    <t>Personality Theories : Critical Perspectives</t>
  </si>
  <si>
    <t>Ellis, Albert;Abrams, Mike;Dengelegi Abrams, Lidia</t>
  </si>
  <si>
    <t>Your Graduate Training in Psychology : Effective Strategies for Success</t>
  </si>
  <si>
    <t>Giordano, Peter J.;Davis, Stephen F.;Licht, Carolyn A.</t>
  </si>
  <si>
    <t>Psychological Assessment of Sexually Abused Children and Their Families</t>
  </si>
  <si>
    <t>Friedrich, William N.</t>
  </si>
  <si>
    <t>618.92/85836075</t>
  </si>
  <si>
    <t>The Contemporary American Family : A Dialectical Perspective on Communication and Relationships</t>
  </si>
  <si>
    <t>Sabourin, Teresa C. (Chandler)</t>
  </si>
  <si>
    <t>306.85/0973</t>
  </si>
  <si>
    <t>Pope-Davis, Donald B.;Coleman, Hardin L. K.;Liu, William Ming;Toporek, Rebecca L.;Toporek, Rebecca L.</t>
  </si>
  <si>
    <t>BF637.C6 -- H3173 2003eb</t>
  </si>
  <si>
    <t>Cross-cultural counseling. ; Psychology -- Handbooks, manuals, etc.</t>
  </si>
  <si>
    <t>Applied Developmental Science : An Advanced Textbook</t>
  </si>
  <si>
    <t>Lerner, Richard M.;Jacobs, Francine;Wertlieb, Donald</t>
  </si>
  <si>
    <t>HQ767.9.A6</t>
  </si>
  <si>
    <t>The Youth Development Handbook : Coming of Age in American Communities</t>
  </si>
  <si>
    <t>Hamilton, Stephen F.;Hamilton, Mary Agnes</t>
  </si>
  <si>
    <t>Adult Attachment</t>
  </si>
  <si>
    <t>Feeney, Judith A.;Noller, Patricia</t>
  </si>
  <si>
    <t>Attachment behavior. ; Attachment behavior in children. ; Interpersonal relations. ; Intimacy (Psychology)</t>
  </si>
  <si>
    <t>Children&amp;prime;s Rights in the United States : In Search of a National Policy</t>
  </si>
  <si>
    <t>Walker, Nancy E.;Brooks, Catherine M.;Wrightsman, Lawrence S., Jr.</t>
  </si>
  <si>
    <t>Attitudes and Related Psychosocial Constructs : Theories, Assessment, and Research</t>
  </si>
  <si>
    <t>Adolescent Health : A Multidisciplinary Approach to Theory, Research, and Intervention</t>
  </si>
  <si>
    <t>Rew, D. Lynn</t>
  </si>
  <si>
    <t>Experiential Approach for Developing Multicultural Counseling Competence</t>
  </si>
  <si>
    <t>Fawcett, Mary L.;Evans, Kathy M.</t>
  </si>
  <si>
    <t>Addressing Cultural Issues in Organizations : Beyond the Corporate Context</t>
  </si>
  <si>
    <t>Carter, Robert T.</t>
  </si>
  <si>
    <t>Winter Roundtable Series (Formerly: Roundtable Series on Psychology and Education) Series</t>
  </si>
  <si>
    <t>302.3/5/08900973</t>
  </si>
  <si>
    <t>Clinical Epidemiology and Evidence-Based Medicine : Fundamental Principles of Clinical Reasoning and Research</t>
  </si>
  <si>
    <t>Katz, David L.</t>
  </si>
  <si>
    <t>Ethics in a Multicultural Context</t>
  </si>
  <si>
    <t>Pack-Brown, Sherlon P. (Patricia);Williams, Carmen Braun</t>
  </si>
  <si>
    <t>174/.9362</t>
  </si>
  <si>
    <t>Lee, Steven</t>
  </si>
  <si>
    <t>LB1027.55.</t>
  </si>
  <si>
    <t>School psychology -- Encyclopedias. ; Educational psychology -- Encyclopedias. ; Child psychology -- Encyclopedias.</t>
  </si>
  <si>
    <t>Masculinities, Violence and Culture</t>
  </si>
  <si>
    <t>Hatty, Suzanne E.</t>
  </si>
  <si>
    <t>Shared Beliefs in a Society : Social Psychological Analysis</t>
  </si>
  <si>
    <t>Bar-Tal, Daniel</t>
  </si>
  <si>
    <t>Understanding Women&amp;prime;s Recovery from Illness and Trauma</t>
  </si>
  <si>
    <t>Kearney, Margaret H.</t>
  </si>
  <si>
    <t>Women′s Mental Health and Development Series</t>
  </si>
  <si>
    <t>616/.0082</t>
  </si>
  <si>
    <t>Improving Intercultural Interactions : Modules for Cross-Cultural Training Programs</t>
  </si>
  <si>
    <t>Brislin, Richard W.;Yoshida, Tomoko</t>
  </si>
  <si>
    <t>Promoting Diversity and Social Justice : Educating People from Privileged Groups</t>
  </si>
  <si>
    <t>Goodman, Diane J.</t>
  </si>
  <si>
    <t>Primary Prevention Works</t>
  </si>
  <si>
    <t>Albee, George W.;Gullotta, Thomas P.</t>
  </si>
  <si>
    <t>Issues in Children′s and Families′ Lives Series</t>
  </si>
  <si>
    <t>616.8/9/05</t>
  </si>
  <si>
    <t>Stigma and Sexual Orientation : Understanding Prejudice Against Lesbians, Gay Men and Bisexuals</t>
  </si>
  <si>
    <t>Herek, Gregory M.</t>
  </si>
  <si>
    <t>Psychological Perspectives on Lesbian and Gay Issues Series</t>
  </si>
  <si>
    <t>305.9/0664</t>
  </si>
  <si>
    <t>Studying Children in Context : Theories, Methods, and Ethics</t>
  </si>
  <si>
    <t>Graue, M. Elizabeth;Walsh, Daniel J.</t>
  </si>
  <si>
    <t>Older Men&amp;prime;s Lives</t>
  </si>
  <si>
    <t>Thompson, Edward H., Jr.</t>
  </si>
  <si>
    <t>Relationship Conflict : Conflict in Parent-Child, Friendship, and Romantic Relationships</t>
  </si>
  <si>
    <t>Canary, Daniel J.;Cupach, William R.;Messman, Susan J.</t>
  </si>
  <si>
    <t>Sexual Abuse in Nine North American Cultures : Treatment and Prevention</t>
  </si>
  <si>
    <t>Fontes, Lisa A.</t>
  </si>
  <si>
    <t>362.7/62/0973</t>
  </si>
  <si>
    <t>Sallis, James F.;Owen, Neville G.</t>
  </si>
  <si>
    <t>Behavioral Medicine and Health Psychology Series</t>
  </si>
  <si>
    <t>613/.7</t>
  </si>
  <si>
    <t>Multicultural Counseling Competencies : Individual and Organizational Development</t>
  </si>
  <si>
    <t>Sue, Derald Wing;Carter, Robert T.;Casas, J. Manuel;Fouad, Nadya;Ivey, Allen E.;Jensen, Margaret;LaFromboise, Teresa;Manese, Jeanne E.;Ponterotto, Joseph G.;Vazquez-Nuttall, Ena</t>
  </si>
  <si>
    <t>Remaking Relapse Prevention with Sex Offenders : A Sourcebook</t>
  </si>
  <si>
    <t>Laws, D. Richard;Hudson, Stephen M.;Ward, Tony</t>
  </si>
  <si>
    <t>Harré, Rom;Gillett, Grant;Harré, Rom</t>
  </si>
  <si>
    <t>Rethinking Violence Against Women</t>
  </si>
  <si>
    <t>Dobash, Rebecca Emerson;Dobash, Russell P.</t>
  </si>
  <si>
    <t>362.88/082</t>
  </si>
  <si>
    <t>Understanding Family Violence : Treating and Preventing Partner, Child, Sibling and Elder Abuse</t>
  </si>
  <si>
    <t>362.82/927/0973</t>
  </si>
  <si>
    <t>The Intersection of Race, Class, and Gender in Multicultural Counseling</t>
  </si>
  <si>
    <t>Pope-Davis, Donald B.;Coleman, Hardin L. K.</t>
  </si>
  <si>
    <t>Cigarettes, Nicotine, and Health : A Biobehavioral Approach</t>
  </si>
  <si>
    <t>Kozlowski, Lynn T.;Henningfield, Jack E.;Brigham, Janet</t>
  </si>
  <si>
    <t>Integrating Spirituality into Multicultural Counseling</t>
  </si>
  <si>
    <t>Fukuyama, Mary A.;Sevig, Todd D.</t>
  </si>
  <si>
    <t>Motivating Humans : Goals, Emotions, and Personal Agency Beliefs</t>
  </si>
  <si>
    <t>Ford, Martin Eugene</t>
  </si>
  <si>
    <t>Adult Friendship</t>
  </si>
  <si>
    <t>Blieszner, Rosemary;Adams, Rebecca G.</t>
  </si>
  <si>
    <t>Out of Control : Family Therapy and Domestic Disorder</t>
  </si>
  <si>
    <t>Gubrium, Jaber F.</t>
  </si>
  <si>
    <t>SAGE Library of Social Research Series</t>
  </si>
  <si>
    <t>The Nature of Nurture</t>
  </si>
  <si>
    <t>Wachs, Theodore D.</t>
  </si>
  <si>
    <t>Individual Differences and Development Series</t>
  </si>
  <si>
    <t>Perceived Control, Motivation, and Coping</t>
  </si>
  <si>
    <t>Skinner, Ellen A.</t>
  </si>
  <si>
    <t>The Ethical Use of Touch in Psychotherapy</t>
  </si>
  <si>
    <t>Hunter, Michael G.;Struve, Jim</t>
  </si>
  <si>
    <t>Multicultural Counseling with Teenage Fathers : A Practical Guide</t>
  </si>
  <si>
    <t>Kiselica, Mark S.</t>
  </si>
  <si>
    <t>362.7/083</t>
  </si>
  <si>
    <t>Family Violence from a Communication Perspective</t>
  </si>
  <si>
    <t>Cahn, Dudley Dean, Jr.;Lloyd, Sally A.</t>
  </si>
  <si>
    <t>306.8/7</t>
  </si>
  <si>
    <t>Understanding Cultural Identity in Intervention and Assessment</t>
  </si>
  <si>
    <t>Dana, Richard H. (Henry)</t>
  </si>
  <si>
    <t>362.2/089/00973</t>
  </si>
  <si>
    <t>The Therapist&amp;prime;s Toolbox : 26 Tools and an Assortment of Implements for the Busy Therapist</t>
  </si>
  <si>
    <t>Carrell, Susan E.</t>
  </si>
  <si>
    <t>Perspectives on Loss and Trauma : Assaults on the Self</t>
  </si>
  <si>
    <t>Critical Issues in Child Sexual Abuse : Historical, Legal, and Psychological Perspectives</t>
  </si>
  <si>
    <t>Conte, Jon R.</t>
  </si>
  <si>
    <t>The Multiracial Experience : Racial Borders As the New Frontier</t>
  </si>
  <si>
    <t>Root, Maria P. P.</t>
  </si>
  <si>
    <t>Friendship Processes</t>
  </si>
  <si>
    <t>Fehr, Beverley</t>
  </si>
  <si>
    <t>Social Support in Couples : Marriage As a Resource in Times of Stress</t>
  </si>
  <si>
    <t>Cutrona, Carolyn E.</t>
  </si>
  <si>
    <t>306.8/1</t>
  </si>
  <si>
    <t>What&amp;prime;s Social about Social Cognition? : Research on Socially Shared Cognition in Small Groups</t>
  </si>
  <si>
    <t>Nye, Judith L.;Brower, Aaron M.</t>
  </si>
  <si>
    <t>Aging : Genetic and Environmental Influences</t>
  </si>
  <si>
    <t>Bergeman, C. S.</t>
  </si>
  <si>
    <t>Families, Children and the Development of Dysfunction</t>
  </si>
  <si>
    <t>Dadds, Mark R.</t>
  </si>
  <si>
    <t>International Perspectives on Child Abuse and Children&amp;prime;s Testimony : Psychological Research and Law</t>
  </si>
  <si>
    <t>Bottoms, Bette L.;Goodman, Gail S.</t>
  </si>
  <si>
    <t>347/.066</t>
  </si>
  <si>
    <t>Wife Rape : Understanding the Response of Survivors and Service Providers</t>
  </si>
  <si>
    <t>Bergen, Raquel Kennedy</t>
  </si>
  <si>
    <t>362.8/83</t>
  </si>
  <si>
    <t>Child Survivors and Perpetrators of Sexual Abuse : Treatment Innovations</t>
  </si>
  <si>
    <t>Hunter, Michael G.</t>
  </si>
  <si>
    <t>Alternatives to Violence : Empowering Youth to Develop Healthy Relationships</t>
  </si>
  <si>
    <t>Wolfe, David A.;Wekerle, Christine;Scott, Katreena L.</t>
  </si>
  <si>
    <t>HV6626.23.C2 W65 19</t>
  </si>
  <si>
    <t>Facework</t>
  </si>
  <si>
    <t>Cupach, William R.;Metts, Sandra M.</t>
  </si>
  <si>
    <t>Culture, Psychotherapy, and Counseling : Critical and Integrative Perspectives</t>
  </si>
  <si>
    <t>Hoshmand, Lisa Tsoi</t>
  </si>
  <si>
    <t>Individuals in Relationships</t>
  </si>
  <si>
    <t>Duck, Steve</t>
  </si>
  <si>
    <t>Understanding Relationship Processes Series</t>
  </si>
  <si>
    <t>Radical Feminist Therapy : Working in the Context of Violence</t>
  </si>
  <si>
    <t>Burstow, Bonnie</t>
  </si>
  <si>
    <t>Assessing Woman Battering in Mental Health Services</t>
  </si>
  <si>
    <t>Gondolf, Edward W.</t>
  </si>
  <si>
    <t>362.2/7</t>
  </si>
  <si>
    <t>Learning and Memory of Knowledge and Skills : Durability and Specificity</t>
  </si>
  <si>
    <t>Healy, Alice F.;Bourne, Lyle E.</t>
  </si>
  <si>
    <t>BF378.L65.H43 1995eb</t>
  </si>
  <si>
    <t>Long-term memory. ; Learning, Psychology of.</t>
  </si>
  <si>
    <t>Clinical Case Management : A Guide to Comprehensive Treatment of Serious Mental Illness</t>
  </si>
  <si>
    <t>Surber, Robert W.</t>
  </si>
  <si>
    <t>SAGE Focus Editions Series</t>
  </si>
  <si>
    <t>A Brief Primer of Helping Skills</t>
  </si>
  <si>
    <t>Kottler, Jeffrey A.</t>
  </si>
  <si>
    <t>BF636.6.K68 2008eb</t>
  </si>
  <si>
    <t>Counseling. ; Psychotherapy. ; Helping behavior.</t>
  </si>
  <si>
    <t>An Integrative Approach to Counseling : Bridging Chinese Thought, Evolutionary Theory, and Stress Management</t>
  </si>
  <si>
    <t>Santee, Robert G.</t>
  </si>
  <si>
    <t>Multicultural Aspects of Counseling and Psychotherapy Series</t>
  </si>
  <si>
    <t>RC506 -- .R678 1998eb</t>
  </si>
  <si>
    <t>Psychoanalysis -- Practice. ; Psychiatry -- Differential therapeutics. ; Psychoanalysts -- Attitudes. ; Analysands.</t>
  </si>
  <si>
    <t>The Evolved Structure of Human Social Behaviour and Personality : Psychoanalytic Insights</t>
  </si>
  <si>
    <t>HM1106 -- .B44 2012eb</t>
  </si>
  <si>
    <t>Interpersonal relations. ; Psychoanalysis.</t>
  </si>
  <si>
    <t>Test Yourself: Personality and Individual Differences : Learning Through Assessment</t>
  </si>
  <si>
    <t>Upton, Penney;Upton, Dominic</t>
  </si>
  <si>
    <t>Test Yourself ... Psychology Series</t>
  </si>
  <si>
    <t>BF698</t>
  </si>
  <si>
    <t>The Vitality of Objects : Exploring the Work of Christopher Bollas</t>
  </si>
  <si>
    <t>Scalia, Joseph</t>
  </si>
  <si>
    <t>Disseminations: Psychoanalysis in Context Series</t>
  </si>
  <si>
    <t>BF173.B65 -- V57 2002eb</t>
  </si>
  <si>
    <t>Bollas, Christopher. ; Psychoanalysis.</t>
  </si>
  <si>
    <t>Wellings, Nigel;Wilde McCormick, Elizabeth</t>
  </si>
  <si>
    <t>RC489.T75 -- .T73 2000eb</t>
  </si>
  <si>
    <t>Transpersonal psychotherapy. ; Psychotherapy.</t>
  </si>
  <si>
    <t>The Emotions : Social, Cultural and Biological Dimensions</t>
  </si>
  <si>
    <t>Harre, Rom;Parrott, W. Gerrod</t>
  </si>
  <si>
    <t>BF531$b.E525 1996</t>
  </si>
  <si>
    <t>Hepworth, Julie</t>
  </si>
  <si>
    <t>RC552.A5 -- H46 1999eb</t>
  </si>
  <si>
    <t>362.1/9685262</t>
  </si>
  <si>
    <t>Psychotherapy and Spirituality : Crossing the Line Between Therapy and Religion</t>
  </si>
  <si>
    <t>West, William</t>
  </si>
  <si>
    <t>RC489.R46 -- W474 2000eb</t>
  </si>
  <si>
    <t>BF637.C6$bF46 1997</t>
  </si>
  <si>
    <t>Infants, Toddlers, and Families in Poverty : Research Implications for Early Child Care</t>
  </si>
  <si>
    <t>Odom, Samuel L.;Pungello, Elizabeth P.;Gardner-Neblett, Nicole;Gardner-Neblett, Nicole</t>
  </si>
  <si>
    <t>HV699 -- .I48 2012eb</t>
  </si>
  <si>
    <t>362.77/690973</t>
  </si>
  <si>
    <t>Child welfare -- United States. ; Early childhood education -- United States. ; Infants -- Services for -- United States. ; Poor families -- United States. ; Toddlers -- Services for -- United States.</t>
  </si>
  <si>
    <t>Mobs : An Interdisciplinary Inquiry</t>
  </si>
  <si>
    <t>van Deusen, Nancy;Koff, Leonard Michael</t>
  </si>
  <si>
    <t>Presenting the Past Series</t>
  </si>
  <si>
    <t>HM871 .M63 2012</t>
  </si>
  <si>
    <t>Mobs-History. ; Mobs-Europe-History.</t>
  </si>
  <si>
    <t>The Psychology of Prayer : A Scientific Approach</t>
  </si>
  <si>
    <t>Spilka, Bernard;Ladd, Kevin L.</t>
  </si>
  <si>
    <t>BV225 -- .S65 2012eb</t>
  </si>
  <si>
    <t>204/.3019</t>
  </si>
  <si>
    <t>Prayer -- Psychology. ; Prayers.</t>
  </si>
  <si>
    <t>Invention in the Real : Papers of the Freudian School of Melbourne, Volume 24</t>
  </si>
  <si>
    <t>Clifton, Linda</t>
  </si>
  <si>
    <t>Papers of the Freudian School of Melbourne Series</t>
  </si>
  <si>
    <t>BF173 -- .C55 2012eb</t>
  </si>
  <si>
    <t>Inventions. ; Psychoanalysis.</t>
  </si>
  <si>
    <t>Food and Addiction : A Comprehensive Handbook</t>
  </si>
  <si>
    <t>Brownell, Kelly D.;Gold, Mark S.</t>
  </si>
  <si>
    <t>RC552.E18 -- F65 2012eb</t>
  </si>
  <si>
    <t>Eating disorders. ; Eating disorders -- Animal models. ; Obesity. ; Compulsive eating. ; Drug abuse -- Treatment.</t>
  </si>
  <si>
    <t>Using a Positive Lens to Explore Social Change and Organizations : Building a Theoretical and Research Foundation</t>
  </si>
  <si>
    <t>Golden-Biddle, Karen;Dutton, Jane E.</t>
  </si>
  <si>
    <t>HM831 .U85 2012</t>
  </si>
  <si>
    <t>Canary, Daniel J.;Lakey, Sandra</t>
  </si>
  <si>
    <t>BF637.I48 S77 2012</t>
  </si>
  <si>
    <t>Interpersonal conflict. ; Interpersonal communication. ; Conflict management.</t>
  </si>
  <si>
    <t>Daniels, Harry</t>
  </si>
  <si>
    <t>BF109.V95 V95 2012</t>
  </si>
  <si>
    <t>Vygotskii, L. S. -- (Lev Semenovich), -- 1896-1934. ; Sociology. ; Education. ; Psychology.</t>
  </si>
  <si>
    <t>Cummings, Nicholas A.;Cummings, Janet L.</t>
  </si>
  <si>
    <t>RC465.5 .C86 2013</t>
  </si>
  <si>
    <t>616.89/140068</t>
  </si>
  <si>
    <t>Psychotherapy -- Practice. ; Managed mental health care.</t>
  </si>
  <si>
    <t>Kiwuwa, David E.</t>
  </si>
  <si>
    <t>Democratization and Autocratization Studies</t>
  </si>
  <si>
    <t>JQ3567.A91 K58</t>
  </si>
  <si>
    <t>Democratization -- Rwanda. ; Conflict management -- Rwanda. ; Ethnicity -- Political aspects -- Rwanda. ; Democratization -- Case studies. ; Ethnicity -- Political aspects -- Case studies. ; Rwanda -- Ethnic relations -- Political aspects. ; Rwanda -- Politics and government.</t>
  </si>
  <si>
    <t>What Made Freud Laugh : An Attachment Perspective on Laughter</t>
  </si>
  <si>
    <t>BF575.L3 N45 2012</t>
  </si>
  <si>
    <t>Ulrich Beck : An Introduction to the Theory of Second Modernity and the Risk Society</t>
  </si>
  <si>
    <t>Sørensen, Mads P.;Christiansen, Allan;Sørensen, Mads P.</t>
  </si>
  <si>
    <t>HM831 .S667 2012</t>
  </si>
  <si>
    <t>Beck, Ulrich, -- 1944- -- Political and social views. ; Social change. ; Civilization, Modern. ; Risk perception. ; Risk-taking (Psychology) ; Social sciences -- Philosophy.</t>
  </si>
  <si>
    <t>Rambo, Anne;West, Charles;Schooley, AnnaLynn;Boyd, Tommie V.</t>
  </si>
  <si>
    <t>RC488.5 .F3492 2013</t>
  </si>
  <si>
    <t>Burdened Children : Theory, Research, and Treatment of Parentification</t>
  </si>
  <si>
    <t>Chase, Nancy D.</t>
  </si>
  <si>
    <t>Childhood Sexual Abuse : An Evidence-Based Perspective</t>
  </si>
  <si>
    <t>Mullen, Paul E.;Fergusson, David M.</t>
  </si>
  <si>
    <t>Faller, Kathleen Coulborn</t>
  </si>
  <si>
    <t>Handbook of Counselor Preparation : Constructivist, Developmental, and Experiential Approaches</t>
  </si>
  <si>
    <t>McAuliffe, Garrett J.;Eriksen, Karen;ACES</t>
  </si>
  <si>
    <t>158/.30711</t>
  </si>
  <si>
    <t>Handbook of Children, Culture, and Violence</t>
  </si>
  <si>
    <t>Dowd, Nancy E.;Singer, Dorothy G.;Wilson, Robin Fretwell</t>
  </si>
  <si>
    <t>Children and violence. ; Children -- Crimes against. ; Violence in children. ; Violence in popular culture.</t>
  </si>
  <si>
    <t>Intelligence Testing and Minority Students : Foundations, Performance Factors, and Assessment Issues</t>
  </si>
  <si>
    <t>Valencia, Richard R.;Suzuki, Lisa A.</t>
  </si>
  <si>
    <t>Racial Ethnic Minority Psychology Series</t>
  </si>
  <si>
    <t>Briere, John N.;Lanktree, Cheryl B.</t>
  </si>
  <si>
    <t>Mood Management Leader&amp;prime;s Manual : A Cognitive-Behavioral Skills-Building Program for Adolescents</t>
  </si>
  <si>
    <t>Moral Development and Reality : Beyond the Theories of Kohlberg and Hoffman</t>
  </si>
  <si>
    <t>Gibbs, John C.</t>
  </si>
  <si>
    <t>Kuczynski, John-Michael</t>
  </si>
  <si>
    <t>BF311 -- .K813 2012eb</t>
  </si>
  <si>
    <t>Cancer -- Chemoprevention. ; Cancer -- Prevention.</t>
  </si>
  <si>
    <t>Williams, Paul;Keane, John;Dermen, Sira</t>
  </si>
  <si>
    <t>BF175 -- .I53 2012eb</t>
  </si>
  <si>
    <t>Group Relations Conferences : Tradition, Creativity, and Succession in the Global Group Relations Network</t>
  </si>
  <si>
    <t>HM1086 -- .G763 2012eb</t>
  </si>
  <si>
    <t>Group relations training. ; Interpersonal relations.</t>
  </si>
  <si>
    <t>Why I Hate You and You Hate Me : The Interplay of Envy, Greed, Jealousy and Narcissism in Everyday Life</t>
  </si>
  <si>
    <t>H. Berke, Joseph</t>
  </si>
  <si>
    <t>BF175.5.A36 -- B47 2012eb</t>
  </si>
  <si>
    <t>Aggressiveness -- Social aspects. ; Envy -- Social aspects.</t>
  </si>
  <si>
    <t>Qualitative Health Research : Creating a New Discipline</t>
  </si>
  <si>
    <t>Morse, Janice M.</t>
  </si>
  <si>
    <t>RA440.85 -- .M67 2012eb</t>
  </si>
  <si>
    <t>610.72/1</t>
  </si>
  <si>
    <t>Trichotillomania : An ACT-Enhanced Behavior Therapy Approach Workbook</t>
  </si>
  <si>
    <t>Woods, Douglas W.;Twohig, Michael P.</t>
  </si>
  <si>
    <t>RC569.5.H34 -- W67 2008eb</t>
  </si>
  <si>
    <t>Compulsive hair pulling -- Treatment. ; Acceptance and commitment therapy. ; Behavior therapy.</t>
  </si>
  <si>
    <t>Oppenheim, Lois</t>
  </si>
  <si>
    <t>BF408 .O67 2012</t>
  </si>
  <si>
    <t>The Developing Practitioner : Growth and Stagnation of Therapists and Counselors</t>
  </si>
  <si>
    <t>Ronnestad, Michael Helge;Skovholt, Thomas</t>
  </si>
  <si>
    <t>RC480.5 .R6625 2013</t>
  </si>
  <si>
    <t>Beginnings, Second Edition : The Art and Science of Planning Psychotherapy</t>
  </si>
  <si>
    <t>Peebles, Mary Jo</t>
  </si>
  <si>
    <t>RC480.5 .K538 2012</t>
  </si>
  <si>
    <t>Psychotherapy -- Case formulation. ; Psychiatry -- Case formulation. ; Psychotherapy -- Differential therapeutics. ; Mental illness -- Treatment -- Planning.</t>
  </si>
  <si>
    <t>Tough Guys and True Believers : Managing Authoritarian Men in the Psychotherapy Room</t>
  </si>
  <si>
    <t>Robertson, John M.</t>
  </si>
  <si>
    <t>BF698.35.A87 R63 20</t>
  </si>
  <si>
    <t>Dryden, Windy.;Neenan, Michael</t>
  </si>
  <si>
    <t>Children's Communication Skills : From Birth to Five Years</t>
  </si>
  <si>
    <t>Buckley, Belinda;Buckley, B</t>
  </si>
  <si>
    <t>BF723.C57 -- B78 2003eb</t>
  </si>
  <si>
    <t>Interpersonal communication in children. ; Nonverbal communication in children.</t>
  </si>
  <si>
    <t>Harvey, Joel;Smedley, Kirsty;Smedley, Kirsty</t>
  </si>
  <si>
    <t>RC451.4.P68 -- P79 2010eb</t>
  </si>
  <si>
    <t>Prisoners -- Mental health services. ; Psychotherapy.</t>
  </si>
  <si>
    <t>The Individual Without Passions : Modern Individualism and the Loss of the Social Bond</t>
  </si>
  <si>
    <t>Pulcini, Elena;Whittle, Karen</t>
  </si>
  <si>
    <t>HM1131.P8513 2012</t>
  </si>
  <si>
    <t>302.5/44</t>
  </si>
  <si>
    <t>Alienation (Social psychology). ; Individualism.</t>
  </si>
  <si>
    <t>The Dynamics of Connection : How Evolution and Biology Create Caregiving and Attachment</t>
  </si>
  <si>
    <t>Bell, David C.</t>
  </si>
  <si>
    <t>RA645.3 -- .B456 2010eb</t>
  </si>
  <si>
    <t>362/.0425</t>
  </si>
  <si>
    <t>A Most Human Enterprise : Controversies in the Social Sciences</t>
  </si>
  <si>
    <t>MD</t>
  </si>
  <si>
    <t>Granberg, Donald O.;Galliher, John</t>
  </si>
  <si>
    <t>H62.5.U5G73 2010</t>
  </si>
  <si>
    <t>Social sciences--Research--United States. ; Social sciences--Methodology. ; Social sciences--Research--Moral and ethical aspects.</t>
  </si>
  <si>
    <t>Passages Beyond the Gate : A Jungian Approach to Understanding American Psychology</t>
  </si>
  <si>
    <t>Jennings, George-Harold</t>
  </si>
  <si>
    <t>BF175.J42 2010</t>
  </si>
  <si>
    <t>Jung, C. G. (Carl Gustav), 1875-1961. ; Jungian psychology. ; Psychoanalysis. ; Psychology--United States.</t>
  </si>
  <si>
    <t>Play and Playfulness : Developmental, Cultural, and Clinical Aspects</t>
  </si>
  <si>
    <t>Akhtar, Monisha;Akhtar, Salman;Bergman, Anni;Bornstein, Melvin;Brenner, Ira;Daniels, Lucy;Etezady, M. Hossein;A. Freeman, Daniel M.;Herzog, James;Kieffer, Christine</t>
  </si>
  <si>
    <t>BF717.P5757 2010</t>
  </si>
  <si>
    <t>Play--Psychological aspects. ; Play--Social aspects. ; Child development. ; Play and Playthings--psychology. ; Child Psychology.</t>
  </si>
  <si>
    <t>The Electrified Mind : Development, Psychopathology, and Treatment in the Era of Cell Phones and the Internet</t>
  </si>
  <si>
    <t>Akhtar, Salman;Akhtar, Monisha C.;Blackman, Jerome;Cantor, Joanne;Fisher, Frederick;Fishkin, Lana;Fishkin, Ralph;Frank, John;Gibbs, Patricia L.;Kieffer, Christine C.</t>
  </si>
  <si>
    <t>BF637.C45E44 2010</t>
  </si>
  <si>
    <t>Internet--Psychological aspects. ; Communication--Technological innovations. ; Communication--Psychological aspects. ; Cyberspace--Psychological aspects.</t>
  </si>
  <si>
    <t>Kaduson, Heidi;Schaefer, Charles</t>
  </si>
  <si>
    <t>RJ505.P6 -- A16 2001eb</t>
  </si>
  <si>
    <t>Hepburn, Alexa</t>
  </si>
  <si>
    <t>HM1033 -- .H46 2003eb</t>
  </si>
  <si>
    <t>Richardson, Diane</t>
  </si>
  <si>
    <t>Theory, Culture and Society</t>
  </si>
  <si>
    <t>Lawrence, Denis</t>
  </si>
  <si>
    <t>LC5225.P78</t>
  </si>
  <si>
    <t>Essential Counselling and Therapy Skills : The Skilled Client Model</t>
  </si>
  <si>
    <t>BF637.C6$bN458 2002</t>
  </si>
  <si>
    <t>Hoghughi, Masud S.;Long, Nicholas</t>
  </si>
  <si>
    <t>HQ755.8 -- .H358 2004eb</t>
  </si>
  <si>
    <t>Child Development and Learning 2-5 Years : Georgias Story</t>
  </si>
  <si>
    <t>Arnold, Cath</t>
  </si>
  <si>
    <t>Zero to Eight Series</t>
  </si>
  <si>
    <t>HQ767.9 -- .A75 1999eb</t>
  </si>
  <si>
    <t>BF109.W55$bJ33 1995</t>
  </si>
  <si>
    <t>Pearmain, Rosalind</t>
  </si>
  <si>
    <t>RC480.5 -- .P43 2001eb</t>
  </si>
  <si>
    <t>Stress Counselling : A Rational Emotive Behaviour Approach</t>
  </si>
  <si>
    <t>Ellis, Albert;Gordon, Jack;Neenan, Michael;Palmer, Stephen</t>
  </si>
  <si>
    <t>BF575.S75 -- S7728 2001eb</t>
  </si>
  <si>
    <t>361.3/23</t>
  </si>
  <si>
    <t>Behavior therapy. ; Counseling. ; Stress (Psychology)</t>
  </si>
  <si>
    <t>Spinelli, Ernesto;Marshall, Sue</t>
  </si>
  <si>
    <t>RC480.5 -- .E43 2001eb</t>
  </si>
  <si>
    <t>LeBon, Tim</t>
  </si>
  <si>
    <t>RC437.5 -- .L434 2007eb</t>
  </si>
  <si>
    <t>102.4/15</t>
  </si>
  <si>
    <t>Philosophy; Medicine; Psychology</t>
  </si>
  <si>
    <t>Thistle, Roger</t>
  </si>
  <si>
    <t>RC465.5 -- .T55 1998eb</t>
  </si>
  <si>
    <t>616.8/914/068</t>
  </si>
  <si>
    <t>McGarty, Craig</t>
  </si>
  <si>
    <t>BF445.M34 1999</t>
  </si>
  <si>
    <t>IQ in Question : The Truth about Intelligence</t>
  </si>
  <si>
    <t>BF431$b.H67 1997</t>
  </si>
  <si>
    <t>Environmental Psychology : A Psycho-Social Introduction</t>
  </si>
  <si>
    <t>Bonnes, Mirilia;Secchiaroli, Gianfranco;Montagna, Claire</t>
  </si>
  <si>
    <t>BF353$b.B6613 1995</t>
  </si>
  <si>
    <t>Environmental psychology. ; Social values.</t>
  </si>
  <si>
    <t>Naming the Mind : How Psychology Found Its Language</t>
  </si>
  <si>
    <t>BF32 -- .D36 1997eb</t>
  </si>
  <si>
    <t>150.1/9</t>
  </si>
  <si>
    <t>Strictly Stress : Effective Stress Management: a Series of 12 Sessions for High School Students</t>
  </si>
  <si>
    <t>Rae, Tina</t>
  </si>
  <si>
    <t>RA785 -- .R34 2001eb</t>
  </si>
  <si>
    <t>Stress management. ; Job stress. ; Relaxation.</t>
  </si>
  <si>
    <t>Palmer, Stephen;Dryden, Windy</t>
  </si>
  <si>
    <t>McLoughlin, Brendan</t>
  </si>
  <si>
    <t>BF175.4.C69 -- M335 2008eb</t>
  </si>
  <si>
    <t>Keep Your Coooooool! : Stress Reducing Strategies for Key Stage 2 And 3</t>
  </si>
  <si>
    <t>Rae, Tina;Robinson, George</t>
  </si>
  <si>
    <t>BF723.S75 -- R63 2001eb</t>
  </si>
  <si>
    <t>Stress in children. ; Stress management for children.</t>
  </si>
  <si>
    <t>BF636.6$b.U52 1999</t>
  </si>
  <si>
    <t>Time-Limited Therapy in a General Practice Setting : How to Help Within Six Sessions</t>
  </si>
  <si>
    <t>RC480.55 -- .H83 1997eb</t>
  </si>
  <si>
    <t>Patrick, Ian</t>
  </si>
  <si>
    <t>HM251.S671163 1998</t>
  </si>
  <si>
    <t>McLeod, John</t>
  </si>
  <si>
    <t>RC480.515 -- .M39 1997eb</t>
  </si>
  <si>
    <t>De Dreu, Carsten K. W.;Van de Vliert, Evert</t>
  </si>
  <si>
    <t>HD42 -- .U85 1997eb</t>
  </si>
  <si>
    <t>Conflict management. ; Management.</t>
  </si>
  <si>
    <t>Making Sense of Illness : The Social Psychology of Health and Disease</t>
  </si>
  <si>
    <t>RA776.9$b.R33 2004</t>
  </si>
  <si>
    <t>610/.01/9</t>
  </si>
  <si>
    <t>Clinical health psychology. ; Sick -- Psychology.</t>
  </si>
  <si>
    <t>BF637.C6 -- W53 1997eb</t>
  </si>
  <si>
    <t>Transsexualism : Illusion and Reality</t>
  </si>
  <si>
    <t>Chiland, Colette</t>
  </si>
  <si>
    <t>HQ77.9 -- .C4813 2003eb</t>
  </si>
  <si>
    <t>305.9/066</t>
  </si>
  <si>
    <t>Transsexuals -- Identity. ; Sex change -- Psychological aspects. ; Gender identity.</t>
  </si>
  <si>
    <t>Zeig, Jeffrey K.;Munion, W. Michael</t>
  </si>
  <si>
    <t>RC495 -- .Z45 1999eb</t>
  </si>
  <si>
    <t>Sharp, Sonia;Cowie, Helen</t>
  </si>
  <si>
    <t>BF723.E598 -- S54 1998eb</t>
  </si>
  <si>
    <t>Bor, Robert;McCann, Damian</t>
  </si>
  <si>
    <t>Chaplin, Jocelyn</t>
  </si>
  <si>
    <t>BF109.J8 C</t>
  </si>
  <si>
    <t>Organizations in Depth : The Psychoanalysis of Organizations</t>
  </si>
  <si>
    <t>Gabriel, Yiannis</t>
  </si>
  <si>
    <t>HD58.7 -- .O7466 2004eb</t>
  </si>
  <si>
    <t>Corporate culture. ; Organizational behavior. ; Psychoanalysis. ; Psychology, Industrial.</t>
  </si>
  <si>
    <t>Pathology and the Postmodern : Mental Illness As Discourse and Experience</t>
  </si>
  <si>
    <t>Fee, Dwight</t>
  </si>
  <si>
    <t>RC455.2.E64P3 2000</t>
  </si>
  <si>
    <t>Carl Rogers Helping System : Journey and Substance</t>
  </si>
  <si>
    <t>Barrett-Lennard, Godfrey T.</t>
  </si>
  <si>
    <t>Antaki, Charles;Widdicombe, Susan</t>
  </si>
  <si>
    <t>BF637.C45 -- I34 2008eb</t>
  </si>
  <si>
    <t>Perspectives on Psychotherapy</t>
  </si>
  <si>
    <t>Counselling Couples and Families : A Person-Centred Approach</t>
  </si>
  <si>
    <t>OLeary, Charles J.</t>
  </si>
  <si>
    <t>War Trauma and Its Wake : Expanding the Circle of Healing</t>
  </si>
  <si>
    <t>Scurfield, Raymond Monsour;Platoni, Katherine Theresa</t>
  </si>
  <si>
    <t>RC552.P67 W3755 2012</t>
  </si>
  <si>
    <t>The Self under Siege : A Therapeutic Model for Differentiation</t>
  </si>
  <si>
    <t>Firestone, Robert W.;Firestone, Lisa;Catlett, Joyce</t>
  </si>
  <si>
    <t>BF637.S4 F5619 2012</t>
  </si>
  <si>
    <t>Therapist Stories of Inspiration, Passion, and Renewal : What's Love Got to Do with It?</t>
  </si>
  <si>
    <t>Hoyt, Michael F.</t>
  </si>
  <si>
    <t>RC480.5 .T5194 2012</t>
  </si>
  <si>
    <t>The Cultural Context of Sexual Pleasure and Problems : Psychotherapy with Diverse Clients</t>
  </si>
  <si>
    <t>Hall, Kathryn S. K.;Graham, Cynthia A.</t>
  </si>
  <si>
    <t>RC557 .C85 2012</t>
  </si>
  <si>
    <t>David Fulton Publishers</t>
  </si>
  <si>
    <t>Nicolson, Doula;Ayers, Harry</t>
  </si>
  <si>
    <t>BF724</t>
  </si>
  <si>
    <t>de Bruijn, Hans</t>
  </si>
  <si>
    <t>HD42 -- .B78 2011eb</t>
  </si>
  <si>
    <t>658.3/044</t>
  </si>
  <si>
    <t>Sustainable Happiness : The Mind Science of Well-Being, Altruism, and Inspiration</t>
  </si>
  <si>
    <t>Loizzo, Joe;Thurman, Robert A. F.;Siegel, Daniel J.</t>
  </si>
  <si>
    <t>BF575.H27 L65 2012</t>
  </si>
  <si>
    <t>Happiness. ; Mind and body. ; Well-being.</t>
  </si>
  <si>
    <t>Marcopulos, Bernice A.;Kurtz, Matthew M.;Marcopulos, Bernice A.</t>
  </si>
  <si>
    <t>American Academy of Clinical Neuropsychology/Routledge Continuing Education Series</t>
  </si>
  <si>
    <t>RC514 .C565 2012</t>
  </si>
  <si>
    <t>Neuropsychology. ; Schizophrenia.</t>
  </si>
  <si>
    <t>Resilience : The Science of Mastering Life's Greatest Challenges</t>
  </si>
  <si>
    <t>Southwick, Steven M.;Charney, Dennis S.</t>
  </si>
  <si>
    <t>BF698.35.R47 S68 2012</t>
  </si>
  <si>
    <t>Resilience (Personality trait) ; Adaptability (Psychology)</t>
  </si>
  <si>
    <t>Snowdon, John;Halliday, Graeme;Banerjee, Sube</t>
  </si>
  <si>
    <t>RC533 .S66 2012</t>
  </si>
  <si>
    <t>Psychoanalysis and Politics : Exclusion and the Politics of Representation</t>
  </si>
  <si>
    <t>Auestad, Lene</t>
  </si>
  <si>
    <t>JA74.5 -- .P79 2012eb</t>
  </si>
  <si>
    <t>Political psychology. ; Political ethics.</t>
  </si>
  <si>
    <t>HG217.A1 -- M87 2012eb</t>
  </si>
  <si>
    <t>Money -- Psychological aspects. ; Financial crises.</t>
  </si>
  <si>
    <t>Perez-Sanchez, Antonio</t>
  </si>
  <si>
    <t>BF173 -- .P47 2012eb</t>
  </si>
  <si>
    <t>Ferenczi for Our Time : Theory and Practice</t>
  </si>
  <si>
    <t>BF173 -- .F472 2012eb</t>
  </si>
  <si>
    <t>Ferenczi, Sándor, -- 1873-1933. ; Psychoanalysis -- Hungary.</t>
  </si>
  <si>
    <t>Waiting to Be Found : Papers on Children in Care</t>
  </si>
  <si>
    <t>RJ499 -- .W35 2012eb</t>
  </si>
  <si>
    <t>Child psychiatry. ; Child psychology.</t>
  </si>
  <si>
    <t>Psychoanalytic Listening : Methods, Limits, and Innovations</t>
  </si>
  <si>
    <t>BF323.L5 -- A44 2012eb</t>
  </si>
  <si>
    <t>Listening. ; Psychoanalysis.</t>
  </si>
  <si>
    <t>Counseling Ethics : Philosophical and Professional Foundations</t>
  </si>
  <si>
    <t>Jungers, Christin;Gregoire, Jocelyn</t>
  </si>
  <si>
    <t>BF636.67.J86 2013</t>
  </si>
  <si>
    <t>Counseling--Moral and ethical aspects.</t>
  </si>
  <si>
    <t>Chamorro-Premuzic, Tomas;Ahmetoglu, Gorkan</t>
  </si>
  <si>
    <t>BF698.A335 2013</t>
  </si>
  <si>
    <t>Gallo-Lopez, Loretta;Schaefer, Charles E.;Milgrom, Claire;Kestly, Theresa;Munns, Evangeline;Brown, Christopher J.;Tabin, Johanna Krout;Ryan, Virginia;Wilson, Kate;Riviere, Scott</t>
  </si>
  <si>
    <t>RJ505.P6 -- P55 2005eb</t>
  </si>
  <si>
    <t>615.8/5153/0835</t>
  </si>
  <si>
    <t>Play therapy. ; Adolescent psychotherapy.</t>
  </si>
  <si>
    <t>Malchiodi, Cathy A.</t>
  </si>
  <si>
    <t>RC489.A7 -- A7675 2012eb</t>
  </si>
  <si>
    <t>Art therapy. ; Psychotherapy.</t>
  </si>
  <si>
    <t>Visions of Power in Cuba : Revolution, Redemption, and Resistance, 1959-1971</t>
  </si>
  <si>
    <t>Guerra, Lillian</t>
  </si>
  <si>
    <t>F1788 -- .G755 2012eb</t>
  </si>
  <si>
    <t>972.9106/4</t>
  </si>
  <si>
    <t>Press and propaganda -- Cuba. ; Public opinion -- Cuba. ; Social psychology -- Cuba. ; Cuba -- History -- Revolution, 1959 -- Propaganda. ; Cuba -- History -- Revolution, 1959 -- Public opinion. ; Cuba -- History -- 1959-1990.</t>
  </si>
  <si>
    <t>Pain Syndromes - from Recruitment to Returning Troops : Wounds of War IV</t>
  </si>
  <si>
    <t>In Search of the Spiritual : Gabriel Marcel, Psychoanalysis and the Sacred</t>
  </si>
  <si>
    <t>BF173 -- .M37 2012eb</t>
  </si>
  <si>
    <t>Psychoanalysis. ; Spiritual direction.</t>
  </si>
  <si>
    <t>Intimate Violence : A Study of Injustice</t>
  </si>
  <si>
    <t>Blackman, Julie</t>
  </si>
  <si>
    <t>RC569.5.F3 -- S27 2002eb</t>
  </si>
  <si>
    <t>The Learning Brain : Memory and Brain Development in Children</t>
  </si>
  <si>
    <t xml:space="preserve">Klingberg, Torkel;Betteridge, Neil </t>
  </si>
  <si>
    <t>QP406 -- .K5513 2013eb</t>
  </si>
  <si>
    <t>612.8/233083</t>
  </si>
  <si>
    <t>Hydrologic models. ; Geographic information systems. ; Hydrology -- Data processing. ; Electronic data processing -- Distributed processing.</t>
  </si>
  <si>
    <t>AS,CA,FM,GU,MH,MP,MX,PR,US,VI</t>
  </si>
  <si>
    <t>Fabrigar, Leandre R.;Wegener, Duane T.</t>
  </si>
  <si>
    <t>Understanding Statistics Series</t>
  </si>
  <si>
    <t>BF39 -- .F23 2012eb</t>
  </si>
  <si>
    <t>Factor analysis. ; Psychology -- Mathematical models. ; Social sciences -- Mathematical models.</t>
  </si>
  <si>
    <t>Clinical Supervision in the Medical Profession: Structured Reflective Practice</t>
  </si>
  <si>
    <t>Owen, David;Shohet, Robin</t>
  </si>
  <si>
    <t>Supervision in Context Series</t>
  </si>
  <si>
    <t>Midgley, Bryan;Morris, Edward</t>
  </si>
  <si>
    <t>BF200 -- .M63 2006eb</t>
  </si>
  <si>
    <t>150.19/434092</t>
  </si>
  <si>
    <t>Kantor, J. R. -- (Jacob Robert), -- 1888-1984. ; Interbehavioral psychology.</t>
  </si>
  <si>
    <t>Freud : From Individual Psychology to Group Psychology</t>
  </si>
  <si>
    <t>Holowchak, M. Andrew</t>
  </si>
  <si>
    <t>WM 11.1</t>
  </si>
  <si>
    <t>Freud, Sigmund, 1856-1939. ; Freudian Theory--history. ; Mental Disorders--psychology. ; Psychoanalysis--history. ; Psychotherapy, Group--history.</t>
  </si>
  <si>
    <t>The Surface Effect : The Screen of Fantasy in Psychoanalysis</t>
  </si>
  <si>
    <t>Nusselder, André;Nusselder, André</t>
  </si>
  <si>
    <t>BF175.5.F36 N87 2012</t>
  </si>
  <si>
    <t>de Rosa, Annamaria Silvana</t>
  </si>
  <si>
    <t>Cultural Dynamics of Social Representation Series</t>
  </si>
  <si>
    <t>HM1088 .S63 2012</t>
  </si>
  <si>
    <t>Fear and Crime in Latin America : Redefining State-Society Relations</t>
  </si>
  <si>
    <t>Dammert, Lucía</t>
  </si>
  <si>
    <t>Routledge Studies in Latin American Politics Series</t>
  </si>
  <si>
    <t>HV6810.5 .D35 2012</t>
  </si>
  <si>
    <t>Violent crimes -- Latin America. ; Internal security -- Latin America. ; Democracy -- Latin America. ; Security (Psychology) -- Political aspects -- Latin America. ; State, The. ; Latin America -- Politics and government.</t>
  </si>
  <si>
    <t>European Civil War Films : Memory, Conflict, and Nostalgia</t>
  </si>
  <si>
    <t>Kosmidou, Eleftheria Rania</t>
  </si>
  <si>
    <t>Routledge Advances in Film Studies</t>
  </si>
  <si>
    <t>PN1995.9.W3 K67 2012</t>
  </si>
  <si>
    <t>Civil war in motion pictures. ; Collective memory -- Europe. ; Historical films -- Europe -- History and criticism.</t>
  </si>
  <si>
    <t>Peacebuilding and Local Ownership : Post-Conflict Consensus-Building</t>
  </si>
  <si>
    <t>Donais, Timothy</t>
  </si>
  <si>
    <t>JZ5538 .D64 2012</t>
  </si>
  <si>
    <t>303.6/6</t>
  </si>
  <si>
    <t>Peace-building - Social aspects</t>
  </si>
  <si>
    <t>Multicultural Couple Therapy</t>
  </si>
  <si>
    <t>Rastogi, Mudita;Thomas, Volker K.</t>
  </si>
  <si>
    <t>Patients and Agents : Mental Illness, Modernity and Islam in Sylhet, Bangladesh</t>
  </si>
  <si>
    <t>Callan, Alyson</t>
  </si>
  <si>
    <t>RA790.7.B3C35 2012</t>
  </si>
  <si>
    <t>362.196890095492/7</t>
  </si>
  <si>
    <t>Mental health--Bangladesh--Sylhet. ; Mental illness--Bangladesh--Sylhet. ; Country life--Bangladesh--Sylhet. ; Civilization, Modern--1950. ; Sylhet (Bangladesh)--Social life and customs.</t>
  </si>
  <si>
    <t>The Transactional Analyst in Action : Clinical Seminars</t>
  </si>
  <si>
    <t>Novellino, Michele</t>
  </si>
  <si>
    <t>RC489.T7 -- N68 2012eb</t>
  </si>
  <si>
    <t>Cognition and Motivation : Forging an Interdisciplinary Perspective</t>
  </si>
  <si>
    <t>Kreitler, Shulamith</t>
  </si>
  <si>
    <t>BF311 .C54795 2013</t>
  </si>
  <si>
    <t>Cognition. ; Motivation (Psychology)</t>
  </si>
  <si>
    <t>Disputes in Everyday Life : Social and Moral Orders of Children and Young People</t>
  </si>
  <si>
    <t>Danby, Susan;Theobald, Maryanne;Bass, Loretta</t>
  </si>
  <si>
    <t>Sociological Studies of Children and Youth Series</t>
  </si>
  <si>
    <t>HQ767.8-792.2</t>
  </si>
  <si>
    <t>Understanding Dunblane and Other Massacres : Forensic Studies of Homicide, Paedophilia, and Anorexia</t>
  </si>
  <si>
    <t>Aylward, Peter</t>
  </si>
  <si>
    <t>RA1151 -- .A95 2012eb</t>
  </si>
  <si>
    <t>Forensic psychiatry. ; Dunblane Massacre, Dunblane, Scotland, 1996. ; Crime -- Psychological aspects.</t>
  </si>
  <si>
    <t>Tartaro, Christine;Lester, David</t>
  </si>
  <si>
    <t>HV6545.6 -- .T37 2009eb</t>
  </si>
  <si>
    <t>365/.6</t>
  </si>
  <si>
    <t>Prisoners -- Suicidal behavior -- United States. ; Suicide -- United States -- Prevention. ; Self-mutilation -- United States.</t>
  </si>
  <si>
    <t>Exposure Treatments for Anxiety Disorders : A Practitioner's Guide to Concepts, Methods, and Evidence-Based Practice</t>
  </si>
  <si>
    <t>Rosqvist, Johan</t>
  </si>
  <si>
    <t>Practical Clinical Guidebooks Series</t>
  </si>
  <si>
    <t>RC531 .R67</t>
  </si>
  <si>
    <t>Anxiety -- Treatment. ; Behavior therapy. ; Cognitive therapy.</t>
  </si>
  <si>
    <t>Unlocking the Emotional Brain : Eliminating Symptoms at Their Roots Using Memory Reconsolidation</t>
  </si>
  <si>
    <t>Ecker, Bruce;Ticic, Robin;Hulley, Laurel</t>
  </si>
  <si>
    <t>RC489.F62 .E35 2012</t>
  </si>
  <si>
    <t>Hillis, Ken;Petit, Michael;Jarrett, Kylie</t>
  </si>
  <si>
    <t>ZA4234.G64 .H56 2013</t>
  </si>
  <si>
    <t>Google. ; Web search engines -- Social aspects. ; Internet searching -- Social aspects. ; Internet users -- Psychology. ; Information technology -- Social aspects.</t>
  </si>
  <si>
    <t>Library Science</t>
  </si>
  <si>
    <t>Kruglanski, Arie W.;Stroebe, Wolfgang</t>
  </si>
  <si>
    <t>HM1025 .H36 2012</t>
  </si>
  <si>
    <t>Levine, John M.</t>
  </si>
  <si>
    <t>HM716 .G762 2013</t>
  </si>
  <si>
    <t>Traumatic Brain Injury : Rehabilitation for Everyday Adaptive Living, 2nd Edition</t>
  </si>
  <si>
    <t>Ponsford, Jennie;Sloan, Sue;Snow, Pamela</t>
  </si>
  <si>
    <t>RC387.5 .P66 2012</t>
  </si>
  <si>
    <t>617.4/81/044/3</t>
  </si>
  <si>
    <t>Brain damage -- Patients -- Rehabilitation. ; Vocational rehabilitation. ; Neuropsychological tests. ; Psychotherapy.</t>
  </si>
  <si>
    <t>Just Authority? : Trust in the Police in England and Wales</t>
  </si>
  <si>
    <t>Jackson, Jonathan;Bradford, Ben;Stanko, Betsy;Hohl, Katrin</t>
  </si>
  <si>
    <t>HV8196.A2 T78 2012</t>
  </si>
  <si>
    <t>Police -- Wales. ; Police -- England. ; Police psychology -- Wales. ; Police psychology -- England. ; Police-community relations -- Wales. ; Police-community relations -- England.</t>
  </si>
  <si>
    <t>Beasley, Chris;Brook, Heather;Holmes, Mary</t>
  </si>
  <si>
    <t>Routledge Advances in Feminist Studies and Intersectionality Series</t>
  </si>
  <si>
    <t>HQ76.4 .B43 2012</t>
  </si>
  <si>
    <t>Hodson, Gordon;Hewstone, Miles</t>
  </si>
  <si>
    <t>HM711 .A378 2013</t>
  </si>
  <si>
    <t>Changing Lives, Changing Drug Journeys : Drug Taking Decisions from Adolescence to Adulthood</t>
  </si>
  <si>
    <t>Williams, Lisa</t>
  </si>
  <si>
    <t>Routledge Advances in Ethnography Series</t>
  </si>
  <si>
    <t>HV5824.Y68 W554 2012</t>
  </si>
  <si>
    <t>Risk-taking (Psychology) in adolescence</t>
  </si>
  <si>
    <t>Marshall, Chloë R.</t>
  </si>
  <si>
    <t>Current Issues in Developmental Psychology Series</t>
  </si>
  <si>
    <t>RJ506.D47 C87 2013</t>
  </si>
  <si>
    <t>Developmental disabilities -- Etiology. ; Pediatric neuropsychology. ; Cognitive neuroscience. ; Developmental neurobiology.</t>
  </si>
  <si>
    <t>Wallach, Lise;Wallach, Michael A.</t>
  </si>
  <si>
    <t>BF311 .W2668 2012</t>
  </si>
  <si>
    <t>Nothing Good Is Allowed to Stand : An Integrative View of the Negative Therapeutic Reaction</t>
  </si>
  <si>
    <t>Wurmser, Léon;Jarass, Heidrun;Wurmser, Léon</t>
  </si>
  <si>
    <t>RC480.5 .N66 2012</t>
  </si>
  <si>
    <t>Decoding Anorexia : How Breakthroughs in Science Offer Hope for Eating Disorders</t>
  </si>
  <si>
    <t>Arnold, Carrie</t>
  </si>
  <si>
    <t>616.85/262</t>
  </si>
  <si>
    <t>Mid and Late Career Issues : An Integrative Perspective</t>
  </si>
  <si>
    <t>Wang, Mo;Olson, Deborah A.;Shultz, Kenneth S.</t>
  </si>
  <si>
    <t>HF5384 .W36 2013</t>
  </si>
  <si>
    <t>Taking the Transference, Reaching Toward Dreams : Clinical Studies in the Intermediate Area</t>
  </si>
  <si>
    <t>RC489.P72 -- F76 2012eb</t>
  </si>
  <si>
    <t>González, Ana Marta.;Gonzalez, Dr Ana Marta</t>
  </si>
  <si>
    <t>BF531 -- .E46 2012eb</t>
  </si>
  <si>
    <t>Emotions. ; Emotions -- Cross-cultural studies.</t>
  </si>
  <si>
    <t>Suicide : A Global Perspective</t>
  </si>
  <si>
    <t>SAIF Zone</t>
  </si>
  <si>
    <t>Bentham E-Books</t>
  </si>
  <si>
    <t>Pompili, Maurizio</t>
  </si>
  <si>
    <t>HV6545 -- .S85 2012eb</t>
  </si>
  <si>
    <t>Suicide. ; Death -- Causes.</t>
  </si>
  <si>
    <t>Heuristic Play : A Practical Guide for the Early Years</t>
  </si>
  <si>
    <t>Mark Allen Group</t>
  </si>
  <si>
    <t>Riddall-Leech, Sheila</t>
  </si>
  <si>
    <t>BF717 -- .R53 2009eb</t>
  </si>
  <si>
    <t>Play -- Psychological aspects. ; Play -- Social aspects. ; Early childhood education. ; Child development.</t>
  </si>
  <si>
    <t>Emotional Transformation Therapy : An Interactive Ecological Psychotherapy</t>
  </si>
  <si>
    <t>Vazquez, Steven R.</t>
  </si>
  <si>
    <t>RC489.F62V39 2013</t>
  </si>
  <si>
    <t>Emotion-focused therapy. ; Mind and body.</t>
  </si>
  <si>
    <t>Janack, Marianne</t>
  </si>
  <si>
    <t>B105</t>
  </si>
  <si>
    <t>Experience. ; Knowledge, Theory of. ; Psychology and philosophy.</t>
  </si>
  <si>
    <t>Judging Addicts : Drug Courts and Coercion in the Justice System</t>
  </si>
  <si>
    <t>Tiger, Rebecca</t>
  </si>
  <si>
    <t>KF3890 .T54 2013</t>
  </si>
  <si>
    <t>Drug courts-United States. ; Duress (Law)-United States. ; Drug abuse-Treatment-Law and legislation-United States. ; Drug addicts-Legal status, laws, etc.-United States.</t>
  </si>
  <si>
    <t>Stress and the Correctional Officer : The Challenges, Consequences, and Search for a Satisfied Staff</t>
  </si>
  <si>
    <t>Dial, Kelly Cheeseman</t>
  </si>
  <si>
    <t>HV9470 -- .D53 2010eb</t>
  </si>
  <si>
    <t>365.068/3</t>
  </si>
  <si>
    <t>Holography. ; Optics.</t>
  </si>
  <si>
    <t>Hamilton, Zachary K.</t>
  </si>
  <si>
    <t>HV8836.5 -- .H36 2011eb</t>
  </si>
  <si>
    <t>365/.66729</t>
  </si>
  <si>
    <t>Radiopharmaceuticals. ; Nuclear medicine.</t>
  </si>
  <si>
    <t>Juvenile Homicide : Fatal Assault or Lethal Intent?</t>
  </si>
  <si>
    <t>Warley, Raquel Maria</t>
  </si>
  <si>
    <t>HV9067.H6 -- W37 2011eb</t>
  </si>
  <si>
    <t>364.1520835/0973</t>
  </si>
  <si>
    <t>Medicine -- Computer network resources. ; Internet.</t>
  </si>
  <si>
    <t>Psychoanalysis and Theism : Critical Reflections on the Grynbaum Thesis</t>
  </si>
  <si>
    <t>Beit-Hallahmi, Benjamin;Carroll, Michael P.;Grünbaum, Adolf;Lutzky, Harriet;Hood,  Ralph W., Jr.;Piven, Jerry S.;Smith, David Livingstone;Strenger, Carlo;Grunbaum, Andrew Mellon Professor of Philosophy of Science Adolf</t>
  </si>
  <si>
    <t>BF175.4.R44 -- P79 2010eb</t>
  </si>
  <si>
    <t>201/.6150195</t>
  </si>
  <si>
    <t>Freud, Sigmund, -- 1856-1939. ; Grünbaum, Adolf. ; Psychoanalysis and religion.</t>
  </si>
  <si>
    <t>G. Allen, Jon</t>
  </si>
  <si>
    <t>RC552.T7 -- A4 2012eb</t>
  </si>
  <si>
    <t>Psychic trauma. ; Attachment behavior.</t>
  </si>
  <si>
    <t>Boston, Mary;Daws, Dilys</t>
  </si>
  <si>
    <t>RJ504 -- .C45 2002eb</t>
  </si>
  <si>
    <t>Bringing up Baby : The Psychoanalytic Infant Comes of Age</t>
  </si>
  <si>
    <t>T. Kenny, Dianna</t>
  </si>
  <si>
    <t>RJ499 -- .K46 2013eb</t>
  </si>
  <si>
    <t>Child psychopathology. ; Child psychology.</t>
  </si>
  <si>
    <t>Violence : A Public Health Menace and a Public Health Approach</t>
  </si>
  <si>
    <t>L. Bloom, Sandra</t>
  </si>
  <si>
    <t>RC569.5.V55 -- V564 2001eb</t>
  </si>
  <si>
    <t>Violence -- Prevention. ; Violence -- Psychological aspects. ; Violence -- Social aspects.</t>
  </si>
  <si>
    <t>Shared Experience : The Psychoanalytic Dialogue</t>
  </si>
  <si>
    <t>Nissim Momigliano, Luciana;Robutti, Andreina;Scotkin, Philip P.;Danile, Gina</t>
  </si>
  <si>
    <t>RC506 -- .S53 1992eb</t>
  </si>
  <si>
    <t>Psychoanalysis -- Italy. ; Psychoanalysts -- Italy -- Biography. ; Psychology -- Italy -- Biographical methods.</t>
  </si>
  <si>
    <t>Response to Intervention and Precision Teaching : Creating Synergy in the Classroom</t>
  </si>
  <si>
    <t>Johnson, Kent;Street, Elizabeth M.</t>
  </si>
  <si>
    <t>LB1029.R4 J66 2013</t>
  </si>
  <si>
    <t>Effective teaching. ; Remedial teaching. ; Response to intervention (Learning disabled children).</t>
  </si>
  <si>
    <t>Skills Training for Struggling Kids : Promoting Your Child's Behavioral, Emotional, Academic, and Social Development</t>
  </si>
  <si>
    <t>Bloomquist, Michael L.</t>
  </si>
  <si>
    <t>HQ773 -- .B56 2013eb</t>
  </si>
  <si>
    <t>Problem children -- Behavior modification. ; Problem children -- Education. ; Behavior disorders in children -- Treatment. ; Parenting.</t>
  </si>
  <si>
    <t>The Business of Therapy : How to Run a Successful Private Practice</t>
  </si>
  <si>
    <t>Hodson, Pauline</t>
  </si>
  <si>
    <t>The Presenting Past : The Core of Psychodynamic Counselling and Therapy</t>
  </si>
  <si>
    <t>RC489.P72 J34 2012</t>
  </si>
  <si>
    <t>Neuropsychology for Coaches : Understanding the Basics</t>
  </si>
  <si>
    <t>Brown, Paul;Brown, Virginia</t>
  </si>
  <si>
    <t>Neuropsychology. ; Coaching (Athletics)</t>
  </si>
  <si>
    <t>Personal Well-Being Lessons for Secondary Schools: Positive Psychology in Action for 11 to 14 Year Olds</t>
  </si>
  <si>
    <t>Boniwell, Ilona;Ryan, Lucy</t>
  </si>
  <si>
    <t>BF575.H27</t>
  </si>
  <si>
    <t>Well-being-Study and teaching (Secondary) ; Quality of life-Study and teaching (Secondary)</t>
  </si>
  <si>
    <t>Culture on Drugs : Narco-Cultural Studies of High Modernity</t>
  </si>
  <si>
    <t>Boothroyd, Dave</t>
  </si>
  <si>
    <t>Drugs -- Social aspects.</t>
  </si>
  <si>
    <t>Socio-Ideological Fantasy and the Northern Ireland Conflict : The Other Side</t>
  </si>
  <si>
    <t>Millar, Adrian</t>
  </si>
  <si>
    <t>New Approaches to Conflict Analysis Series</t>
  </si>
  <si>
    <t>Conflict management-Northern Ireland-Psychological aspects. ; Irish-Northern Ireland-Psychology. ; British-Northern Ireland-Psychology. ; Northern Ireland-Social conditions-1969-</t>
  </si>
  <si>
    <t>Resisting History : Religious Transcendence and the Invention of the Unconscious</t>
  </si>
  <si>
    <t>Hayward, Rhodri</t>
  </si>
  <si>
    <t>Encounters: Cultural Histories Series</t>
  </si>
  <si>
    <t>Psychology and religion. ; Mysticism -- History.</t>
  </si>
  <si>
    <t>The Politics of Alcohol : A History of the Drink Question in England</t>
  </si>
  <si>
    <t>Nicholls, James</t>
  </si>
  <si>
    <t>Liquor laws - England</t>
  </si>
  <si>
    <t>The Last Taboo : Women and Body Hair</t>
  </si>
  <si>
    <t>Hair - Social aspects</t>
  </si>
  <si>
    <t>Evidence-Based Applied Sport Psychology : A Practitioner's Manual</t>
  </si>
  <si>
    <t>GV706.4.C3644 2012</t>
  </si>
  <si>
    <t>Sports--Psychological aspects. ; Psychology, Applied.</t>
  </si>
  <si>
    <t>Noggle, Chad A.;Dean, Raymond S.</t>
  </si>
  <si>
    <t>Contemporary Neuropsychology Series</t>
  </si>
  <si>
    <t>RC467.N48 2012</t>
  </si>
  <si>
    <t>Clinical psychology. ; Psychology, Pathological. ; Neuropsychology.</t>
  </si>
  <si>
    <t>Why Humans Like to Cry : Tragedy, Evolution, and the Brain</t>
  </si>
  <si>
    <t>Trimble, Michael</t>
  </si>
  <si>
    <t>BF575.C88 -- T75 2012eb</t>
  </si>
  <si>
    <t>Crying. ; Emotions.</t>
  </si>
  <si>
    <t>Improving Organizational Interventions for Stress and Well-Being : Addressing Process and Context</t>
  </si>
  <si>
    <t>Biron, Caroline;Karanika-Murray, Maria;Cooper, Cary;Cooper, Cary</t>
  </si>
  <si>
    <t>BF481 .I47 2012</t>
  </si>
  <si>
    <t>Industrial safety. ; Job stress. ; Organizational change. ; Stress (Psychology) ; Work -- Psychological aspects.</t>
  </si>
  <si>
    <t>Tearing the Veil (RLE Feminist Theory) : Essays on Femininity</t>
  </si>
  <si>
    <t>Lipschitz, Susan</t>
  </si>
  <si>
    <t>Routledge Library Editions: Feminist Theory Series</t>
  </si>
  <si>
    <t>HQ1206 .T37</t>
  </si>
  <si>
    <t>Women -- Psychology. ; Women -- Social conditions.</t>
  </si>
  <si>
    <t>Trauma, Dissociation and Multiplicity : Working on Identity and Selves</t>
  </si>
  <si>
    <t>Sinason, Valerie</t>
  </si>
  <si>
    <t>RC553.D5 T72 2012</t>
  </si>
  <si>
    <t>Offender Rehabilitation and Therapeutic Communities : Enabling Change the TC Way</t>
  </si>
  <si>
    <t>Stevens, Alisa</t>
  </si>
  <si>
    <t>International Series on Desistance and Rehabilitation Series</t>
  </si>
  <si>
    <t>RC489.T67 S74 2012</t>
  </si>
  <si>
    <t>Children with Gender Identity Disorder : A Clinical, Ethical, and Legal Analysis</t>
  </si>
  <si>
    <t>Giordano, Simona</t>
  </si>
  <si>
    <t>Routledge Studies in Health and Social Welfare Series</t>
  </si>
  <si>
    <t>RJ506.G35 G67 2013</t>
  </si>
  <si>
    <t>The Violence of Emotions : Bion and Post-Bionian Psychoanalysis</t>
  </si>
  <si>
    <t>Civitarese, Giuseppe</t>
  </si>
  <si>
    <t>RC49 .C4713 2012</t>
  </si>
  <si>
    <t>Resilient Grandparent Caregivers : A Strengths-Based Perspective</t>
  </si>
  <si>
    <t>Hayslip, Bert, Jr.;Smith, Gregory C.</t>
  </si>
  <si>
    <t>HQ759.9 .R475 2013</t>
  </si>
  <si>
    <t>306.874/50973</t>
  </si>
  <si>
    <t>Assessment of Young Children with Special Needs : A Context-Based Approach</t>
  </si>
  <si>
    <t>Benner, Susan M.;Grim, Joan</t>
  </si>
  <si>
    <t>RJ135 .B466 2012</t>
  </si>
  <si>
    <t>Medicine; Education</t>
  </si>
  <si>
    <t>Managing Depression, Growing Older : A Guide for Professionals and Carers</t>
  </si>
  <si>
    <t>Eyers, Kerrie;Parker, Gordon;Brodaty, Henry</t>
  </si>
  <si>
    <t>RC537.5 .E94 2012</t>
  </si>
  <si>
    <t>Deciding Children's Futures : An Expert Guide to Assessments for Safeguarding and Promoting Children's Welfare in the Family Court</t>
  </si>
  <si>
    <t>Scaife, Joyce</t>
  </si>
  <si>
    <t>HV713 .S323 2012</t>
  </si>
  <si>
    <t>Adolescent Identity : Evolutionary, Cultural and Developmental Perspectives</t>
  </si>
  <si>
    <t>Hewlett, Bonnie L.</t>
  </si>
  <si>
    <t>Routledge Studies in Anthropology Series</t>
  </si>
  <si>
    <t>BF724 .A2757 2012</t>
  </si>
  <si>
    <t>Tacey, David</t>
  </si>
  <si>
    <t>BF109.J8 J868 2012</t>
  </si>
  <si>
    <t>AD,AE,AF,AG,AI,AL,AM,AN,AO,AQ,AR,AS,AT,AU,AW,AX,AZ,BA,BB,BD,BE,BF,BG,BH,BI,BJ,BL,BM,BN,BO,BQ,BR,BS,BT,BV,BW,BY,BZ,CA,CC,CD,CF,CG,CH,CI,CK,CL,CM,CN,CO,CR,CU,CV,CW,CX,CY,CZ,DE,DJ,DK,DM,DO,DZ,EC,EE,EG,EH,ER,ES,ET,FI,FJ,FK,FM,FO,FR,GA,GB,GD,GE,GF,GG,GH,GI,GL,GM,GN,GP,GQ,GR,GS,GT,GU,GW,GY,HK,HM,HN,HR,HT,HU,ID,IE,IL,IM,IO,IQ,IR,IS,IT,JE,JM,JO,JP,KE,KG,KH,KI,KM,KN,KP,KR,KW,KY,KZ,LA,LB,LC,LI,LK,LR,LS,LT,LU,LV,LY,MA,MC,MD,ME,MF,MG,MH,MK,ML,MM,MN,MO,MP,MQ,MR,MS,MT,MU,MV,MW,MX,MY,MZ,NA,NC,NE,NF,NG,NI,NL,NO,NP,NR,NU,NZ,OM,PE,PF,PG,PH,PK,PL,PM,PN,PS,PT,PW,PY,QA,RE,RO,RS,RU,RW,SA,SB,SC,SD,SE,SG,SH,SI,SJ,SK,SL,SM,SN,SO,SR,SS,ST,SV,SX,SY,SZ,TC,TD,TF,TG,TH,TJ,TK,TL,TM,TN,TO,TR,TT,TV,TW,TZ,UA,UG,UM,US,UY,UZ,VA,VC,VE,VG,VN,VU,WF,YE,YT,YU,ZA,ZM,ZW</t>
  </si>
  <si>
    <t>Leffert, Mark</t>
  </si>
  <si>
    <t>RC475 .L44 2012</t>
  </si>
  <si>
    <t>Observing Children in Their Natural Worlds : A Methodological Primer, Third Edition</t>
  </si>
  <si>
    <t>Pellegrini, Anthony D.;Symons, Frank;Hoch, John</t>
  </si>
  <si>
    <t>BF722 .P45 2013</t>
  </si>
  <si>
    <t>155.4/07/23</t>
  </si>
  <si>
    <t>Child psychology -- Research -- Methodology. ; Observation (Psychology)</t>
  </si>
  <si>
    <t>Witness and Memory : The Discourse of Trauma</t>
  </si>
  <si>
    <t>Douglass, Ana;Vogler, Thomas A.</t>
  </si>
  <si>
    <t>BF378.S65</t>
  </si>
  <si>
    <t>The Practice of Cognitive-Behavioural Hypnotherapy : A Manual for Evidence-Based Clinical Hypnosis</t>
  </si>
  <si>
    <t>Robertson, Donald J.</t>
  </si>
  <si>
    <t>RC497 -- .R62 2013eb</t>
  </si>
  <si>
    <t>Hypnotism -- Therapeutic use. ; Cognitive therapy.</t>
  </si>
  <si>
    <t>Updating Midlife : Psychoanalytic Perspectives</t>
  </si>
  <si>
    <t>Montero, Guillermo Julio;Ciancio de Montero, Alicia Mirta;Singman de Vogelfanger, Liliana</t>
  </si>
  <si>
    <t>HQ1059.4. -- U63 2012eb</t>
  </si>
  <si>
    <t>Middle-aged persons -- Psychology. ; Middle-aged persons -- Health and hygiene.</t>
  </si>
  <si>
    <t>Multistep Cognitive Behavioral Therapy for Eating Disorders : Theory, Practice, and Clinical Cases</t>
  </si>
  <si>
    <t>Dalle Grave, Riccardo</t>
  </si>
  <si>
    <t>RC552.E18 -- G735 2013eb</t>
  </si>
  <si>
    <t>Moving Matters : Paths of Serial Migration</t>
  </si>
  <si>
    <t>Ossman, Susan</t>
  </si>
  <si>
    <t>JV6225O77</t>
  </si>
  <si>
    <t>Emigration and immigration -- Social aspects. ; Emigration and immigration -- Psychological aspects. ; Immigrants -- Social life and customs. ; Cosmopolitanism.</t>
  </si>
  <si>
    <t>Enemies of the American Way : Identity and Presidential Foreign Policymaking</t>
  </si>
  <si>
    <t>Mislan, David Bell</t>
  </si>
  <si>
    <t>JZ1480 -- .M565 2012eb</t>
  </si>
  <si>
    <t>Cultural Ecstasies : Drugs, Gender and the Social Imaginary</t>
  </si>
  <si>
    <t>Mountian, Ilana</t>
  </si>
  <si>
    <t>HV5801 .M68 2012</t>
  </si>
  <si>
    <t>Passions and Emotions : Nomos Liii</t>
  </si>
  <si>
    <t>Fleming, James E.</t>
  </si>
  <si>
    <t>NOMOS - American Society for Political and Legal Philosophy Series</t>
  </si>
  <si>
    <t>JA74.5.P369 2012</t>
  </si>
  <si>
    <t>Political psychology. ; Political participation--Psychological aspects. ; Emotions. ; POLITICAL SCIENCE / General. bisacsh. ; PSYCHOLOGY / Research &amp; Methodology. bisacsh. ; LAW / General. bisacsh.</t>
  </si>
  <si>
    <t>Men and Mothers : The Lifelong Struggle of Sons and Their Mothers</t>
  </si>
  <si>
    <t>Freud, Hendrika C.;de Jager, Marjolijn</t>
  </si>
  <si>
    <t>HQ759 -- .H35 2013eb</t>
  </si>
  <si>
    <t>Mothers and sons. ; Mother and child.</t>
  </si>
  <si>
    <t>Newcastle-upon-Tyne</t>
  </si>
  <si>
    <t>Barker, Sue</t>
  </si>
  <si>
    <t>RC440 -- .B37 2011eb</t>
  </si>
  <si>
    <t>Woman-to-Woman Sexual Violence : Does She Call It Rape?</t>
  </si>
  <si>
    <t>Hanover</t>
  </si>
  <si>
    <t>Northeastern</t>
  </si>
  <si>
    <t>Girshick, Lori B.</t>
  </si>
  <si>
    <t>Northeastern Series on Gender, Crime, and Law</t>
  </si>
  <si>
    <t>HQ75.5 -- .G56 2002eb</t>
  </si>
  <si>
    <t>Abused lesbians. ; Heterosexism. ; Homophobia. ; Lesbians -- United States -- Psychology. ; Sexual abuse victims. ; Violence in women.</t>
  </si>
  <si>
    <t>Women on Probation and Parole : A Feminist Critique of Community Programs and Services</t>
  </si>
  <si>
    <t>Morash, Merry</t>
  </si>
  <si>
    <t>HV6046 -- .M627 2010eb</t>
  </si>
  <si>
    <t>364.6/20820973</t>
  </si>
  <si>
    <t>Female offenders. ; Crime -- Sex differences. ; Women drug addicts -- Rehabilitation.</t>
  </si>
  <si>
    <t>On Suffering : Pathways to Healing and Health</t>
  </si>
  <si>
    <t>University of Chicago Press Distribution Clients</t>
  </si>
  <si>
    <t>Clarke, Beverley M.</t>
  </si>
  <si>
    <t>RB127</t>
  </si>
  <si>
    <t>Pain -- Psychological aspects.</t>
  </si>
  <si>
    <t>Technologies of History : Visual Media and the Eccentricity of the Past</t>
  </si>
  <si>
    <t>Anderson, Steve F.</t>
  </si>
  <si>
    <t>Interfaces: Studies in Visual Culture</t>
  </si>
  <si>
    <t>P96</t>
  </si>
  <si>
    <t>Mass media and history.</t>
  </si>
  <si>
    <t>Geography/Travel; Social Science</t>
  </si>
  <si>
    <t>The Philosophy of Viagra : Bioethical Responses to the Viagrification of the Modern World</t>
  </si>
  <si>
    <t>Botz-Bornstein, Thorsten</t>
  </si>
  <si>
    <t>Fat Lives : A Feminist Psychological Exploration</t>
  </si>
  <si>
    <t>Tischner, Irmgard</t>
  </si>
  <si>
    <t>RC628 .T56 2012</t>
  </si>
  <si>
    <t>Warren, Janet I.;Jackson, Shelly L.</t>
  </si>
  <si>
    <t>International Perspectives on Forensic Mental Health Series</t>
  </si>
  <si>
    <t>HV9025 .W37 2012</t>
  </si>
  <si>
    <t>A Transdiagnostic Approach to CBT Using Method of Levels Therapy : Distinctive Features</t>
  </si>
  <si>
    <t>Mansell, Warren;Carey, Timothy A.;Tai, Sara J.</t>
  </si>
  <si>
    <t>RC489.C63 M32 2012</t>
  </si>
  <si>
    <t>Group Techniques for Aging Adults : Putting Geriatric Skills Enhancement into Practice</t>
  </si>
  <si>
    <t>Erwin, Kathie T.</t>
  </si>
  <si>
    <t>HV1451 .E79 2013</t>
  </si>
  <si>
    <t>Jardine, Alice;Smith, Paul</t>
  </si>
  <si>
    <t>HQ1154 .M439 2012</t>
  </si>
  <si>
    <t>Feminism. ; Men -- Psychology. ; Sex role.</t>
  </si>
  <si>
    <t>Between Men and Feminism (RLE Feminist Theory) : Colloquium: Papers</t>
  </si>
  <si>
    <t>Porter, David</t>
  </si>
  <si>
    <t>HQ1090 .B477 2012</t>
  </si>
  <si>
    <t>Men. ; Men -- Psychology. ; Sex role. ; Feminism.</t>
  </si>
  <si>
    <t>The Therapist's Answer Book : Solutions to 101 Tricky Problems in Psychotherapy</t>
  </si>
  <si>
    <t>RC480.515 B53 2012</t>
  </si>
  <si>
    <t>What Is Psychoanalysis? : 100 Years after Freud's 'Secret Committee'</t>
  </si>
  <si>
    <t>Barratt, Barnaby B.</t>
  </si>
  <si>
    <t>BF173 .B206 2012</t>
  </si>
  <si>
    <t>Midgley, Nick</t>
  </si>
  <si>
    <t>New Library of Psychoanalysis Teaching Series</t>
  </si>
  <si>
    <t>BF109.F73 M53 2012</t>
  </si>
  <si>
    <t>The Spatial Dimension of Risk : How Geography Shapes the Emergence of Riskscapes</t>
  </si>
  <si>
    <t>Muller-Mahn, Detlef</t>
  </si>
  <si>
    <t>GF95 .S68 2012</t>
  </si>
  <si>
    <t>Environmental Studies; Social Science</t>
  </si>
  <si>
    <t>Family-Centered Treatment with Struggling Young Adults : A Clinician's Guide to the Transition from Adolescence to Autonomy</t>
  </si>
  <si>
    <t>Sachs, Brad</t>
  </si>
  <si>
    <t>HQ799.2 .S23 2012</t>
  </si>
  <si>
    <t>Everyday Ethics : Voices from the Front Line of Community Psychiatry</t>
  </si>
  <si>
    <t>Brodwin, Paul</t>
  </si>
  <si>
    <t>Cognitive Behaviour Therapy in the Real World : Back to Basics</t>
  </si>
  <si>
    <t>Van Bilsen, Henck</t>
  </si>
  <si>
    <t>RC489.B4 -- V36 2013eb</t>
  </si>
  <si>
    <t>Cognitive therapy. ; Behavior therapy.</t>
  </si>
  <si>
    <t>They Used to Call Me Snow White ... but I Drifted : Women's Strategic Use of Humor</t>
  </si>
  <si>
    <t>Barreca, Gina</t>
  </si>
  <si>
    <t>155.3/33243</t>
  </si>
  <si>
    <t>Wit and humor -- Psychological aspects.</t>
  </si>
  <si>
    <t>Counseling Clients near the End of Life : A Practical Guide for Mental Health Professionals</t>
  </si>
  <si>
    <t>Werth, James, Jr.</t>
  </si>
  <si>
    <t>WB 310</t>
  </si>
  <si>
    <t>Counseling--methods. ; Terminal Care--psychology. ; Caregivers--psychology. ; Palliative Care--psychology. ; Patients--psychology.</t>
  </si>
  <si>
    <t>Women on Ice : Methamphetamine Use among Suburban Women</t>
  </si>
  <si>
    <t>Boeri, Miriam</t>
  </si>
  <si>
    <t>HV5824.W6 B64 2013</t>
  </si>
  <si>
    <t>362.29/952082091733</t>
  </si>
  <si>
    <t>Women-Drug use. ; Methamphetamine abuse. ; Women drug addicts. ; Drug addiction-Treatment.</t>
  </si>
  <si>
    <t>The Psychology of Feeling Sorry : The Weight of the Soul</t>
  </si>
  <si>
    <t>Randall, Peter</t>
  </si>
  <si>
    <t>BF575.G8 R36 2012</t>
  </si>
  <si>
    <t>Repentance</t>
  </si>
  <si>
    <t>Coello, Yann;Bartolo, Angela</t>
  </si>
  <si>
    <t>QP399 .L338 2013</t>
  </si>
  <si>
    <t>Neurolinguistics. ; Speech -- Physiological aspects. ; Brain -- Localization of functions. ; Cognition.</t>
  </si>
  <si>
    <t>Jung on Art : The Autonomy of the Creative Drive</t>
  </si>
  <si>
    <t>van den Berk, Tjeu</t>
  </si>
  <si>
    <t>BF410 .J361 2012</t>
  </si>
  <si>
    <t>Bower, Marion;Hale, Robert;Wood, Heather</t>
  </si>
  <si>
    <t>RC533 -- .A33 2013eb</t>
  </si>
  <si>
    <t>Compulsive behavior. ; Substance abuse.</t>
  </si>
  <si>
    <t>Haritos-Fatouros, Mika</t>
  </si>
  <si>
    <t>HV8593 .H317</t>
  </si>
  <si>
    <t>Third Reich in the Unconscious : Transgenerational Transmission and It's Consequences</t>
  </si>
  <si>
    <t>Volkan, Vamik D.;Ast, Gabriele;Greer, William F., Jr.</t>
  </si>
  <si>
    <t>RC455 .V654; RC455</t>
  </si>
  <si>
    <t>Social psychiatry -- Germany -- Case studies. ; Psychoanalysis -- Case studies. ; National socialism -- Psychological aspects. ; World War, 1939-1945 -- Germany -- Psychological aspects. ; Psychotherapy patients -- Family relationships. ; Intergenerational relations.</t>
  </si>
  <si>
    <t>Forgotten Ideas, Neglected Pioneers : Richard Semon and the Story of Memory</t>
  </si>
  <si>
    <t>Schacter, Daniel L.;Banks, James A.</t>
  </si>
  <si>
    <t>BF371 .S355 2012</t>
  </si>
  <si>
    <t>153.1/2/092</t>
  </si>
  <si>
    <t>Semon, Richard Wolfgang, -- 1859-1918. ; Memory.</t>
  </si>
  <si>
    <t>Imagined Communities and Educational Possibilities : A Special Issue of the Journal of Language, Identity, and Education</t>
  </si>
  <si>
    <t>Kanno, Yasuko;Norton, Bonny</t>
  </si>
  <si>
    <t>P130.5</t>
  </si>
  <si>
    <t>Communities. ; Community education. ; Community and school.</t>
  </si>
  <si>
    <t>Language/Linguistics; Education</t>
  </si>
  <si>
    <t>Filming the Nation : Jung, Film, Neo-Realism and Italian National Identity</t>
  </si>
  <si>
    <t>Spinelli Coleman, Donatella</t>
  </si>
  <si>
    <t>PN1993.5.I88 S65 20</t>
  </si>
  <si>
    <t>Racial Encounter : The Social Psychology of Contact and Desegregation</t>
  </si>
  <si>
    <t>Durrheim, Kevin;Dixon, John</t>
  </si>
  <si>
    <t>HT1521 .D84</t>
  </si>
  <si>
    <t>Race relations -- Psychological aspects. ; Segregation -- Psychological aspects. ; Post-apartheid era -- South Africa. ; Intergroup relations -- South Africa. ; South Africa -- Race relations.</t>
  </si>
  <si>
    <t>Kunnen, Saskia Elske</t>
  </si>
  <si>
    <t>BF724 .D96 2012</t>
  </si>
  <si>
    <t>Adolescent psychology -- Methodology. ; Adolescence -- Research -- Methodology.</t>
  </si>
  <si>
    <t>Bisexuality and Transgenderism : InterSEXions of the Others</t>
  </si>
  <si>
    <t>Klein, Fritz;Yescavage, Karen;Alexander, Jonathan</t>
  </si>
  <si>
    <t>HQ74.A43 2</t>
  </si>
  <si>
    <t>Bisexuality. ; Transgenderism.</t>
  </si>
  <si>
    <t>Social Science; Business/Management; Economics</t>
  </si>
  <si>
    <t>Trauma, Stress, and Resilience among Sexual Minority Women : Rising Like the Phoenix</t>
  </si>
  <si>
    <t>Balsam, Kimberly</t>
  </si>
  <si>
    <t>HQ76.25.T7</t>
  </si>
  <si>
    <t>Lesbians -- Psychology. ; Bisexual women -- Psychology. ; Minority lesbians -- Psychology. ; Sexual minority women.</t>
  </si>
  <si>
    <t>Engineering; Engineering: General; Social Science</t>
  </si>
  <si>
    <t>Unlocking Creativity : A Teacher's Guide to Creativity Across the Curriculum</t>
  </si>
  <si>
    <t>Fisher, Robert;Williams, Mary</t>
  </si>
  <si>
    <t>Unlocking Series</t>
  </si>
  <si>
    <t>LB1062 .U55</t>
  </si>
  <si>
    <t>370.1/18</t>
  </si>
  <si>
    <t>Creative thinking. ; Creative ability.</t>
  </si>
  <si>
    <t>Paradigms of Clinical Social Work : Emphasis on Diversity</t>
  </si>
  <si>
    <t>Dorfman-Zukerman, Rachelle A.;Morgan, Melinda L.;Meyer, Phil</t>
  </si>
  <si>
    <t>HV43 .P35 2012</t>
  </si>
  <si>
    <t>Social case work. ; Social case work -- United States.</t>
  </si>
  <si>
    <t>Working Relationally with Girls : Complex Lives/Complex Identities</t>
  </si>
  <si>
    <t>Hoskins, Marie</t>
  </si>
  <si>
    <t>HQ798 .H67</t>
  </si>
  <si>
    <t>Teenage girls -- Psychology. ; Gender identity. ; Identity (Psychology) in adolescence. ; Teenage girls -- Social conditions. ; Social work with youth.</t>
  </si>
  <si>
    <t>Psychology and Dentistry : Mental Health Aspects of Patient Care</t>
  </si>
  <si>
    <t>Ayer, William, Jr.</t>
  </si>
  <si>
    <t>RK53.A899</t>
  </si>
  <si>
    <t>Religious Theories of Personality and Psychotherapy : East Meets West</t>
  </si>
  <si>
    <t>De Piano, Frank;Mukherjee, Ashe;Kamilar, Scott Mitchel;Hagen, Lynne M.;Hartsman, Elaine;Olson, R. Paul;Olson, R.Paul</t>
  </si>
  <si>
    <t>RC489.R46 R45 2012</t>
  </si>
  <si>
    <t>Arciniegas, David B.;Anderson, C. Alan;Filley, Christopher M.</t>
  </si>
  <si>
    <t>RC386 .B44 2013</t>
  </si>
  <si>
    <t>Neuropsychiatry. ; Neurology. ; Human behavior.</t>
  </si>
  <si>
    <t>Gowland, Rebecca;Thompson, Tim</t>
  </si>
  <si>
    <t>GN69.8 .G69 2013</t>
  </si>
  <si>
    <t>Forensic anthropology. ; Identification. ; Human body. ; Identity (Psychology)</t>
  </si>
  <si>
    <t>Poyurovsky, Michael</t>
  </si>
  <si>
    <t>RC514 .P6834 2013</t>
  </si>
  <si>
    <t>Schizophrenia. ; Obsessive-compulsive disorder. ; Schizophrenia -- Treatment.</t>
  </si>
  <si>
    <t>Crozier, W. Ray;Jong, Peter J. de</t>
  </si>
  <si>
    <t>QP401 .P83 2012</t>
  </si>
  <si>
    <t>Blushing. ; Psychophysiology.</t>
  </si>
  <si>
    <t>The Psychology of Personhood : Philosophical, Historical, Social-Developmental, and Narrative Perspectives</t>
  </si>
  <si>
    <t>Martin, Jack;Bickhard, Mark H.</t>
  </si>
  <si>
    <t>BF697 .P769 2013</t>
  </si>
  <si>
    <t>Self. ; Self -- Social aspects. ; Identity (Psychology) ; Personalism. ; Psychology -- Social aspects.</t>
  </si>
  <si>
    <t>Meeting Democracy : Power and Deliberation in Global Justice Movements</t>
  </si>
  <si>
    <t>della Porta, Donatella;Rucht, Dieter</t>
  </si>
  <si>
    <t>HM881 .M44 2013</t>
  </si>
  <si>
    <t>Social movements. ; Political participation. ; Decision making. ; Control (Psychology) ; Democracy. ; Anti-globalization movement.</t>
  </si>
  <si>
    <t>Political Self-Sacrifice : Agency, Body and Emotion in International Relations</t>
  </si>
  <si>
    <t>Fierke, K. M.</t>
  </si>
  <si>
    <t>Cambridge Studies in International Relations Series</t>
  </si>
  <si>
    <t>JZ1253 .F54 2013</t>
  </si>
  <si>
    <t>327.101/9</t>
  </si>
  <si>
    <t>International relations -- Psychological aspects. ; Self-sacrifice -- Political aspects.</t>
  </si>
  <si>
    <t>Hanson, Ardis;Levin, Bruce Lubotsky</t>
  </si>
  <si>
    <t>R858 -- .H36 2013eb</t>
  </si>
  <si>
    <t>610.28/5</t>
  </si>
  <si>
    <t>Connecting with South Africa : Cultural Communication and Understanding</t>
  </si>
  <si>
    <t>Texas A&amp;M</t>
  </si>
  <si>
    <t>Berg, Astrid;Rosen, David H.</t>
  </si>
  <si>
    <t>Carolyn &amp; Ernest Fay Analytical Psych</t>
  </si>
  <si>
    <t>HM1027.S6 -- B47 2012eb</t>
  </si>
  <si>
    <t>Social psychology -- South Africa. ; Psychoanalysis and culture -- South Africa. ; Psychoanalysis and racism -- South Africa. ; Infant psychology -- South Africa. ; Developmental psychology -- South Africa. ; Jungian psychology -- South Africa. ; Ubuntu (Philosophy)</t>
  </si>
  <si>
    <t>Rhythms of Recovery : Trauma, Nature, and the Body</t>
  </si>
  <si>
    <t>Korn, Leslie E.</t>
  </si>
  <si>
    <t>QP84.6 .K67 2012</t>
  </si>
  <si>
    <t>612/.022</t>
  </si>
  <si>
    <t>Calhoun, Lawrence G.;Tedeschi, Richard G.</t>
  </si>
  <si>
    <t>RC552.P67 C45 2013</t>
  </si>
  <si>
    <t>Post-traumatic stress disorder -- Treatment. ; Post-traumatic stress disorder -- Patients -- Rehabilitation.</t>
  </si>
  <si>
    <t>Zager, Dianne;Alpern, Carol S.;McKeon, Barbara;Mulvey, Janet D.;Maxam, Sue</t>
  </si>
  <si>
    <t>LC4813 .B47 2012</t>
  </si>
  <si>
    <t>Autistic people -- Education (Higher) -- United States -- Handbooks, manuals, etc. ; Autism spectrum disorders -- United States -- Handbooks, manuals, etc.</t>
  </si>
  <si>
    <t>Concrete and Dust: Mapping the Sexual Terrains of Los Angeles : Mapping the Sexual Terrains of Los Angeles</t>
  </si>
  <si>
    <t>Minge, Jeanine Marie;Zimmerman, Amber Lynn</t>
  </si>
  <si>
    <t>HQ18.U5 M56 2013</t>
  </si>
  <si>
    <t>Drugs, the Brain, and Behavior : The Pharmacology of Drug Use Disorders</t>
  </si>
  <si>
    <t>Brick, John;Erickson, Carlton K.</t>
  </si>
  <si>
    <t>RM316 .B75 2013</t>
  </si>
  <si>
    <t>Drugs of abuse -- Physiological effect. ; Neuropharmacology. ; Neurophysiology.</t>
  </si>
  <si>
    <t>Pharmacy; Medicine; Social Science; Health</t>
  </si>
  <si>
    <t>Emotional Communication : Countertransference Analysis and the Use of Feeling in Psychoanalytic Technique</t>
  </si>
  <si>
    <t>Geltner, Paul</t>
  </si>
  <si>
    <t>RC489.C68 G45 2013</t>
  </si>
  <si>
    <t>Friedenberg, Jay</t>
  </si>
  <si>
    <t>QP475</t>
  </si>
  <si>
    <t>Bollas, Christopher</t>
  </si>
  <si>
    <t>RA790.95 .B65 2013</t>
  </si>
  <si>
    <t>The Clinic and the Context : Historical Essays</t>
  </si>
  <si>
    <t>Young-Bruehl, Elisabeth</t>
  </si>
  <si>
    <t>The Freudian Moment : Second Edition</t>
  </si>
  <si>
    <t>Bollas, Christopher;Green, Andrae</t>
  </si>
  <si>
    <t>BF175 -- .B65 2013eb</t>
  </si>
  <si>
    <t>Positions and Polarities in Contemporary Systemic Practice : The Legacy of David Campbell</t>
  </si>
  <si>
    <t>Barratt, Sara;Burck, Charlotte;Kavner, Ellie</t>
  </si>
  <si>
    <t>RC488.5 -- .P67 2013eb</t>
  </si>
  <si>
    <t>Campbell, David, -- 1943-2009. ; Systemic therapy (Family therapy) ; Family psychotherapy.</t>
  </si>
  <si>
    <t>Mortal Rituals : What the Story of the Andes Survivors Tells Us about Human Evolution</t>
  </si>
  <si>
    <t>Rossano, Matt J.</t>
  </si>
  <si>
    <t>BF698.95.R67 2013</t>
  </si>
  <si>
    <t>Evolutionary psychology. ; Behavior evolution. ; Taboo. ; Airplane crash survival.</t>
  </si>
  <si>
    <t>Attachment and Psychoanalysis : Theory, Research, and Clinical Implications</t>
  </si>
  <si>
    <t>Psychoanalysis and Psychological Science Series</t>
  </si>
  <si>
    <t>The Psychology of Beauty : Creation of a Beautiful Self</t>
  </si>
  <si>
    <t>Sinkman, Ellen</t>
  </si>
  <si>
    <t>BF697.5.B63 -- S56 2013eb</t>
  </si>
  <si>
    <t>Aesthetics -- Psychological aspects. ; Beauty, Personal -- Psychological aspects. ; Body image. ; Self-perception.</t>
  </si>
  <si>
    <t>Facing Cancer and the Fear of Death : A Psychoanalytic Perspective on Treatment</t>
  </si>
  <si>
    <t>Straker, Norman;Barnhill, John W.;Birger, Dan;Luber, M. Philip;Maxfield, Molly;Phillips, Allison C.;Plopa, Patricia;Pyszczynski, Tom;Adams Silvan, Abby;Solomon, Sheldon</t>
  </si>
  <si>
    <t>QZ 200</t>
  </si>
  <si>
    <t>616.99/4</t>
  </si>
  <si>
    <t>Neoplasms--psychology. ; Attitude to Death. ; Health Personnel--psychology. ; Psychoanalysis. ; Survivors--psychology. ; Terminally Ill--psychology.</t>
  </si>
  <si>
    <t>Good Stuff : Courage, Resilience, Gratitude, Generosity, Forgiveness, and Sacrifice</t>
  </si>
  <si>
    <t>Akhtar, Salman;Akhtar, Salman</t>
  </si>
  <si>
    <t>BF818 -- .A36 2013eb</t>
  </si>
  <si>
    <t>Character. ; Resilience (Personality trait) ; Virtue.</t>
  </si>
  <si>
    <t>Understanding Adult Attachment in Family Relationships : Research, Assessment and Intervention</t>
  </si>
  <si>
    <t>Bifulco, Antonia;Thomas, Geraldine</t>
  </si>
  <si>
    <t>RC488.5 -- .B54 2013eb</t>
  </si>
  <si>
    <t>Pathologies of the Mind/Body Interface : Exploring the Curious Domain of the Psychosomatic Disorders</t>
  </si>
  <si>
    <t>Kradin, Richard L.</t>
  </si>
  <si>
    <t>RC49 .K667 2013</t>
  </si>
  <si>
    <t>Medicine; Science: Anatomy/Physiology; Science</t>
  </si>
  <si>
    <t>Glozman, Janna</t>
  </si>
  <si>
    <t>Explorations in Developmental Psychology Series</t>
  </si>
  <si>
    <t>RJ486.5 .G56 2013</t>
  </si>
  <si>
    <t>Pediatric neuropsychology. ; Neuropsychology.</t>
  </si>
  <si>
    <t>Teaching Psychology Online : Tips and Strategies for Success</t>
  </si>
  <si>
    <t>Neff, Kelly S.;Donaldson, Stewart I.</t>
  </si>
  <si>
    <t>BF77 .N44 2012</t>
  </si>
  <si>
    <t>150.78/5</t>
  </si>
  <si>
    <t>Metaphor and Fields : Common Ground, Common Language, and the Future of Psychoanalysis</t>
  </si>
  <si>
    <t>Katz, S. Montana</t>
  </si>
  <si>
    <t>BF173 .M38 2013</t>
  </si>
  <si>
    <t>Psychoanalysis. ; Field theory (Social psychology) ; Metaphor -- Psychological aspects.</t>
  </si>
  <si>
    <t>Psychology and Politics : A Social Identity Perspective</t>
  </si>
  <si>
    <t>Ispas, Alexa</t>
  </si>
  <si>
    <t>HM753 .I87 2013</t>
  </si>
  <si>
    <t>Borgogno, Franco.</t>
  </si>
  <si>
    <t>Psychoanalysis -- Practice</t>
  </si>
  <si>
    <t>Unrepresented States and the Construction of Meaning : Clinical and Theoretical Contributions</t>
  </si>
  <si>
    <t>Levine, Howard B.;Reed, Gail S.;Scarfone, Dominique</t>
  </si>
  <si>
    <t>RC506 -- U57 2013eb</t>
  </si>
  <si>
    <t>The Grail, Arthur and His Knights : A Jungian Symbolic Reading</t>
  </si>
  <si>
    <t>Zelia de Alvarenga, Maria</t>
  </si>
  <si>
    <t>PN686.G7 -- A59 2013eb</t>
  </si>
  <si>
    <t>Grail -- Legends -- History and criticism. ; Arthurian romances. ; Jungian psychology.</t>
  </si>
  <si>
    <t>Group Counseling : Process and Technique</t>
  </si>
  <si>
    <t>Fall, Kevin A.</t>
  </si>
  <si>
    <t>BF636.6</t>
  </si>
  <si>
    <t>Parkstone International (DBA as Confidential Concepts)</t>
  </si>
  <si>
    <t>SPAIN</t>
  </si>
  <si>
    <t>De Vecchi</t>
  </si>
  <si>
    <t>Riboldi,Franco</t>
  </si>
  <si>
    <t>RC567 -- .R53 2012eb</t>
  </si>
  <si>
    <t>616.86/5061;616.86506</t>
  </si>
  <si>
    <t>Smoking. ; Smoking cessation.</t>
  </si>
  <si>
    <t>Crosera, Silvio</t>
  </si>
  <si>
    <t>HQ767.9 -- .C76 2012eb</t>
  </si>
  <si>
    <t>Child development. ; Child psychology. ; Parenting. ; Child rearing. ; Developmental psychology.</t>
  </si>
  <si>
    <t>Sanfo, Valerio</t>
  </si>
  <si>
    <t>RC497 -- .S26 2012eb</t>
  </si>
  <si>
    <t>Hypnotism -- Therapeutic use. ; Hypnotism.</t>
  </si>
  <si>
    <t>New Coach: Reflections from a Learning Journey</t>
  </si>
  <si>
    <t>Paice, Lis</t>
  </si>
  <si>
    <t>The Problem of the Media : U. S. Communication Politics in the Twenty-First Century</t>
  </si>
  <si>
    <t>McChesney, Robert D.</t>
  </si>
  <si>
    <t>P95.82.U6 -- M378 2004eb</t>
  </si>
  <si>
    <t>302.23/0973</t>
  </si>
  <si>
    <t>Mass media -- Political aspects -- United States. ; United States -- Politics and government -- 2001-2009.</t>
  </si>
  <si>
    <t>Double : A Psychoanalytic Study</t>
  </si>
  <si>
    <t>Tucker Jr., Harry;Tucker, Harry;Tucker Jr, Harry</t>
  </si>
  <si>
    <t>BF1213 -- .R313 1971eb</t>
  </si>
  <si>
    <t>Juvenile Sex Offenders : A Guide to Evaluation and Treatment for Mental Health Professionals</t>
  </si>
  <si>
    <t>Ryan, Eileen P.;Hunter, John A., Jr.;Murrie, Daniel C.;Hunter, John A.</t>
  </si>
  <si>
    <t>RJ506.S48 -- R93 2012eb</t>
  </si>
  <si>
    <t>Teenage sex offenders. ; Teenage sex offenders -- Psychology. ; Teenage sex offenders -- Evaluation. ; Teenage sex offenders -- Rehabilitation.</t>
  </si>
  <si>
    <t>Mating Intelligence Unleashed : The Role of the Mind in Sex, Dating, and Love</t>
  </si>
  <si>
    <t>Geher, Glenn;Kaufman, Scott Barry;Fisher, Helen</t>
  </si>
  <si>
    <t>HQ801 -- .G388 2013eb</t>
  </si>
  <si>
    <t>Mate selection. ; Mate selection -- Psychological aspects. ; Man-woman relationships. ; Sex. ; Dating (Social customs) ; Love.</t>
  </si>
  <si>
    <t>Mental Health Promotion in Schools : Foundations</t>
  </si>
  <si>
    <t>J Waller, Raymond</t>
  </si>
  <si>
    <t>RA790.5 -- .M46 2013eb</t>
  </si>
  <si>
    <t>362.19689;371.7/13</t>
  </si>
  <si>
    <t>Mental health policy. ; Students -- Mental health.</t>
  </si>
  <si>
    <t>What We See and What We Say : Using Images in Research, Therapy, Empowerment, and Social Change</t>
  </si>
  <si>
    <t>Huss, Ephrat</t>
  </si>
  <si>
    <t>Routledge Monographs in Mental Health Series</t>
  </si>
  <si>
    <t>HM500 .H87 2013</t>
  </si>
  <si>
    <t>Imagery and Text : A Dual Coding Theory of Reading and Writing</t>
  </si>
  <si>
    <t>Sadoski, Mark;Paivio, Allan</t>
  </si>
  <si>
    <t>BF311.S25 2013</t>
  </si>
  <si>
    <t>302.2/244/019</t>
  </si>
  <si>
    <t>Cognition. ; Psycholinguistics. ; Imagery (Psychology) ; Meaning (Psychology) ; Reading -- Psychological aspects. ; Writing -- Psychological aspects.</t>
  </si>
  <si>
    <t>Glickman, Neil S.</t>
  </si>
  <si>
    <t>RC451.4.D4 G56 2013</t>
  </si>
  <si>
    <t>362.4/2009744</t>
  </si>
  <si>
    <t>Psychology; Social Science; Medicine</t>
  </si>
  <si>
    <t>Treating Traumatic Stress Injuries in Military Personnel : An EMDR Practitioner's Guide</t>
  </si>
  <si>
    <t>Russell, Mark C.;Figley, Charles R.</t>
  </si>
  <si>
    <t>RC552.P67 R87 2013</t>
  </si>
  <si>
    <t>Addicts Who Survived : An Oral History of Narcotic Use in America Before 1965</t>
  </si>
  <si>
    <t>University of Tennessee Press</t>
  </si>
  <si>
    <t>Courtwright, David T.;Joseph, Herman;Des Jarlais, Don</t>
  </si>
  <si>
    <t>HV5825 .C68 1989</t>
  </si>
  <si>
    <t>362.2/93/0922</t>
  </si>
  <si>
    <t>Drug abuse-United States-History-20th century. ; Drug addicts-New York (State)-New York-Biography. ; Drug addicts-United States-Biography. ; Drug control-United States-History-20th century.</t>
  </si>
  <si>
    <t>Chang, Heewon;Ngunjiri, Faith;Hernandez, Kathy-Ann C.</t>
  </si>
  <si>
    <t>GN307.7 -- .C43 2012eb</t>
  </si>
  <si>
    <t>Counselling in Transcultural Settings : Priorities for a Restless World</t>
  </si>
  <si>
    <t>dArdenne, Patricia</t>
  </si>
  <si>
    <t>BF636.7.C76 -- .D35 2013eb</t>
  </si>
  <si>
    <t>Perversion : A Jungian Approach</t>
  </si>
  <si>
    <t>RC556 -- .R67 2013eb</t>
  </si>
  <si>
    <t>Psychosexual disorders. ; Jungian psychology. ; Paraphilias.</t>
  </si>
  <si>
    <t>Larson, James R., Jr.</t>
  </si>
  <si>
    <t>HM736 .L37</t>
  </si>
  <si>
    <t>Small groups. ; Small groups -- Psychological aspects. ; Group decision making. ; Social groups.</t>
  </si>
  <si>
    <t>Thinking Critically about Critical Thinking : A Workbook to Accompany Halpern's Thought and Knowledge</t>
  </si>
  <si>
    <t>Halpern, Diane F.;Riggio, Heidi R.</t>
  </si>
  <si>
    <t>BF441 .H249</t>
  </si>
  <si>
    <t>From Max Weber : Essays in Sociology</t>
  </si>
  <si>
    <t>Weber, Max;Gerth, H. H.;Mills, Wright</t>
  </si>
  <si>
    <t>H33 .W3613 2009</t>
  </si>
  <si>
    <t>Profiling and Serial Crime : Theoretical and Practical Issues</t>
  </si>
  <si>
    <t>Swanson, H. Lee;Harris, Karen R.;Graham, Steve</t>
  </si>
  <si>
    <t>LC4704 -- .H364 2013eb</t>
  </si>
  <si>
    <t>The Infant Mind : Origins of the Social Brain</t>
  </si>
  <si>
    <t>Legerstee, Maria;Haley, David W.;Bornstein, Marc H.</t>
  </si>
  <si>
    <t>BF723.S6 -- I54 2013eb</t>
  </si>
  <si>
    <t>155.42/23</t>
  </si>
  <si>
    <t>Social perception in children. ; Social interaction in children. ; Cognition in children. ; Infants -- Development.</t>
  </si>
  <si>
    <t>Daily Behavior Report Cards : An Evidence-Based System of Assessment and Intervention</t>
  </si>
  <si>
    <t>Volpe, Robert J.;Fabiano, Gregory A.;Pelham, William E., Jr.</t>
  </si>
  <si>
    <t>LB1060.2 -- .V65 2013eb</t>
  </si>
  <si>
    <t>Behavior modification. ; Behavioral assessment. ; Rewards and punishments in education. ; Report cards. ; Home and school.</t>
  </si>
  <si>
    <t>Psychoanalytic Reflections on a Gender-Free Case : Into the Void</t>
  </si>
  <si>
    <t>Toronto, Ellen L. K.;Ainslie, Gemma;Donovan, Molly;Kelly, Maurine;Kieffer, Christine C.;McWilliams, Nancy</t>
  </si>
  <si>
    <t>RC501 .P794</t>
  </si>
  <si>
    <t>Gender identity - Psychological aspects</t>
  </si>
  <si>
    <t>The Creativity Conundrum : A Propulsion Model of Kinds of Creative Contributions</t>
  </si>
  <si>
    <t>Sternberg, Robert J.;Kaufman, James C.;Pretz, Jean E.</t>
  </si>
  <si>
    <t>BF408.S757</t>
  </si>
  <si>
    <t>Coping with Alcohol and Drug Problems : The Experiences of Family Members in Three Contrasting Cultures</t>
  </si>
  <si>
    <t>Orford, Jim;Natera, Guillermina;Copello, Alex;Atkinson, Carol;Mora, Jazmin;Velleman, Richard;Crundall, Ian;Tiburcio, Marcela;Templeton, Lorna;Walley, Gwen</t>
  </si>
  <si>
    <t>HV5035 .C647</t>
  </si>
  <si>
    <t>362.292/097253</t>
  </si>
  <si>
    <t>Alcoholism -- Cross-cultural studies. ; Alcoholics -- Family relationships -- Cross-cultural studies. ; Drug abuse -- Cross-cultural studies. ; Drug addicts -- Family relationships -- Cross-cultural studies.</t>
  </si>
  <si>
    <t>Goldstein, William N.</t>
  </si>
  <si>
    <t>RC480.5$b.G615 2001</t>
  </si>
  <si>
    <t>Research Design and Statistical Analysis : Third Edition</t>
  </si>
  <si>
    <t>Myers, Jerome L.;Well, Arnold D.;Lorch Jr, Robert F.;Woolley, Tom;Kimmins, Sam;Harrison, Rob;Harrison, Paul</t>
  </si>
  <si>
    <t>QA279 .M933</t>
  </si>
  <si>
    <t>Experimental design. ; Mathematical statistics.</t>
  </si>
  <si>
    <t>Young, Andy;Bruce, Vicki</t>
  </si>
  <si>
    <t>BF242 .B74 2012</t>
  </si>
  <si>
    <t>153.7/58</t>
  </si>
  <si>
    <t>Armony, Jorge;Vuilleumier, Patrik</t>
  </si>
  <si>
    <t>QP360 .C337 2013</t>
  </si>
  <si>
    <t>Affective neuroscience. ; Emotions.</t>
  </si>
  <si>
    <t>The Measurement of Affect, Mood, and Emotion : A Guide for Health-Behavioral Research</t>
  </si>
  <si>
    <t>Ekkekakis, Panteleimon;Russell, James A.</t>
  </si>
  <si>
    <t>BF511 .E37 2013</t>
  </si>
  <si>
    <t>152.4028/7</t>
  </si>
  <si>
    <t>Affect (Psychology) ; Emotions. ; Emotions -- Health aspects.</t>
  </si>
  <si>
    <t>Godefroy, Olivier</t>
  </si>
  <si>
    <t>RC388.5 .B428 2013</t>
  </si>
  <si>
    <t>Cerebrovascular disease. ; Neuropsychiatry. ; Clinical neuropsychology.</t>
  </si>
  <si>
    <t>Extraordinary Beliefs : A Historical Approach to a Psychological Problem</t>
  </si>
  <si>
    <t>Lamont, Peter</t>
  </si>
  <si>
    <t>BF1031 .L255 2013</t>
  </si>
  <si>
    <t>Hogan, Patrick Colm</t>
  </si>
  <si>
    <t>PN171.P83 H64 2013</t>
  </si>
  <si>
    <t>Authorship -- Psychological aspects. ; Creation (Literary, artistic, etc.) -- Psychological aspects. ; Creative ability -- Psychological aspects. ; Cognitive science.</t>
  </si>
  <si>
    <t>How Everyone Became Depressed : The Rise and Fall of the Nervous Breakdown</t>
  </si>
  <si>
    <t>RC537.S5245 2013eb</t>
  </si>
  <si>
    <t>Depression, Mental. ; Stress (Psychology)</t>
  </si>
  <si>
    <t>A Clinical Application of Bion's Concepts : Verbal and Visual Approaches to Reality</t>
  </si>
  <si>
    <t>RC506 -- .S26 2013eb</t>
  </si>
  <si>
    <t>Psychoanalysis and Paediatrics : Key Psychoanalytic Concepts with Sixteen Clinical Observations of Children</t>
  </si>
  <si>
    <t>Dolto, Francoise;Hivernel, Francoise;Sinclair, Fiona</t>
  </si>
  <si>
    <t>RJ47.5 -- .D65 2013eb</t>
  </si>
  <si>
    <t>Pediatrics -- Psychological aspects. ; Psychoanalysis.</t>
  </si>
  <si>
    <t>Writing Out of Limbo : International Childhoods, Global Nomads and Third Culture Kids</t>
  </si>
  <si>
    <t>Bell-Villada, Gene H.;Eidse, Nina Sichel with Faith;Orr, Elaine Neil</t>
  </si>
  <si>
    <t>HQ784.S56 -- W75 2011eb</t>
  </si>
  <si>
    <t>Eidse, Faith. ; Schellenberg, Charity, -- 1956- ; Social interaction in children -- Foreign countries. ; Children -- Foreign countries -- Attitudes. ; Parents -- Employment -- Foreign countries. ; Intercultural communication -- Foreign countries. ; Affiliation (Psychology)</t>
  </si>
  <si>
    <t>Human Characteristics : Evolutionary Perspectives on Human Mind and Kind</t>
  </si>
  <si>
    <t>Høgh-Olesen, Henrik;Tønnesvang,  Jan;Bertelsen, Preben</t>
  </si>
  <si>
    <t>BF121 -- .H79 2009eb</t>
  </si>
  <si>
    <t>Psychology. ; Human evolution. ; Cognitive science.</t>
  </si>
  <si>
    <t>Messages : Self Help Through Popular Culture</t>
  </si>
  <si>
    <t>Brody, Michael;Rubin, Lawrence</t>
  </si>
  <si>
    <t>BF637.S4 -- B76 2011eb</t>
  </si>
  <si>
    <t>Self-actualization (Psychology) ; Popular culture.</t>
  </si>
  <si>
    <t>Expression and Survival : An Aesthetic Approach to the Problem of Suicide</t>
  </si>
  <si>
    <t>Greenman, Craig</t>
  </si>
  <si>
    <t>HV6545 -- .G68 2008eb</t>
  </si>
  <si>
    <t>Suicide -- Moral and ethical aspects. ; Suicidal behavior. ; Suicide -- Prevention. ; Suicide victims -- Mental health. ; Art and mental illness. ; Art therapy.</t>
  </si>
  <si>
    <t>The Power of Compassion : An Exploration of the Psychology of Compassion in the 21st Century</t>
  </si>
  <si>
    <t>BF575.S9 -- A97 2005eb</t>
  </si>
  <si>
    <t>152.4;152.4/1;152.41</t>
  </si>
  <si>
    <t>Healing with Art and Soul : Engaging One’s Self through Art Modalities</t>
  </si>
  <si>
    <t>Luethje, Kathy</t>
  </si>
  <si>
    <t>RC489.A72 -- H43 2009eb</t>
  </si>
  <si>
    <t>615.85156;616.8919</t>
  </si>
  <si>
    <t>Psychology and Crime : An Introduction to Criminological Psychology</t>
  </si>
  <si>
    <t>Hollin, Clive R.</t>
  </si>
  <si>
    <t>HV6080 .H64 2013</t>
  </si>
  <si>
    <t>Personality Assessment in Depth : A Casebook</t>
  </si>
  <si>
    <t>Silverstein, Marshall L.</t>
  </si>
  <si>
    <t>BF698.5 .S555 2013</t>
  </si>
  <si>
    <t>Loshak, Rosemary</t>
  </si>
  <si>
    <t>HV689 .O98 2012</t>
  </si>
  <si>
    <t>Parents with mental disabilities - Services for</t>
  </si>
  <si>
    <t>When Parents Die : Learning to Live with the Loss of a Parent</t>
  </si>
  <si>
    <t>Abrams, Rebecca;Abrams, Rebecca</t>
  </si>
  <si>
    <t>BF575.G7 A25 2013</t>
  </si>
  <si>
    <t>Grief. ; Bereavement -- Psychological aspects. ; Parents -- Death -- Psychological aspects. ; Loss (Psychology)</t>
  </si>
  <si>
    <t>Gollhofer, Albert;Taube, Wolfgang;Nielsen, Jens Bo</t>
  </si>
  <si>
    <t>BF295 .R68 2013</t>
  </si>
  <si>
    <t>152.3/34</t>
  </si>
  <si>
    <t>Motor learning -- Handbooks, manuals, etc. ; Motor control -- Handbooks, manuals, etc.</t>
  </si>
  <si>
    <t>Suicide Warfare : Culture, the Military, and the Individual As a Weapon</t>
  </si>
  <si>
    <t>Skaine, Rosemarie</t>
  </si>
  <si>
    <t>Praeger Security International Series</t>
  </si>
  <si>
    <t>HV6545.S477 2013</t>
  </si>
  <si>
    <t>355.4/22</t>
  </si>
  <si>
    <t>Suicide--Political aspects. ; Suicide bombings. ; Kamikaze airplanes.</t>
  </si>
  <si>
    <t>RC451.4.M45 -- L33 2013eb</t>
  </si>
  <si>
    <t>Stress Response Syndromes : PTSD, Grief, Adjustment, and Dissociative Disorders</t>
  </si>
  <si>
    <t>Horowitz, Mardi J.</t>
  </si>
  <si>
    <t>RC552.P67 -- H67 2011eb</t>
  </si>
  <si>
    <t>Stories We Tell Ourselves : Dream Life and Seeing Things</t>
  </si>
  <si>
    <t>Herman, Michelle</t>
  </si>
  <si>
    <t>Sightline Bks.</t>
  </si>
  <si>
    <t>Dreams.</t>
  </si>
  <si>
    <t>Diseased Relations : Epidemics, Public Health, and State-Building in Yucatán, Mexico, 1847-1924</t>
  </si>
  <si>
    <t>University of New Mexico Press</t>
  </si>
  <si>
    <t>Albuquerque</t>
  </si>
  <si>
    <t>McCrea, Heather</t>
  </si>
  <si>
    <t>RA452.Y83 -- M43 2010eb</t>
  </si>
  <si>
    <t>362.10972/65</t>
  </si>
  <si>
    <t>Crime. ; Criminal behavior. ; Criminal psychology. ; Victims of crimes. ; Criminal justice, Administration of. ; Punishment.</t>
  </si>
  <si>
    <t>Badenoch, Bonnie;Gantt, Susan P.</t>
  </si>
  <si>
    <t>RC488 -- .I58 2013eb</t>
  </si>
  <si>
    <t>Group psychotherapy. ; Psychodynamic psychotherapy. ; Psychotherapy.</t>
  </si>
  <si>
    <t>Not the Future We Ordered : Peak Oil, Psychology, and the Myth of Progress</t>
  </si>
  <si>
    <t>Michael Greer, John</t>
  </si>
  <si>
    <t>HD9560.5 -- .G74 2013eb</t>
  </si>
  <si>
    <t>Hubbert peak theory. ; Petroleum reserves -- Forecasting.</t>
  </si>
  <si>
    <t>If You Can't Trust Your Mother, Whom Can You Trust? : Soul Murder, Psychoanalysis and Creativity</t>
  </si>
  <si>
    <t>Shengold, Leonard</t>
  </si>
  <si>
    <t>HQ755.85 -- .S54 2013eb</t>
  </si>
  <si>
    <t>Parent and child. ; Families -- Research.</t>
  </si>
  <si>
    <t>Psychoanalysis and Severe Handicap : The Hand in the Cap</t>
  </si>
  <si>
    <t>Villa, Angelo.;Di Liddo, Annalisa;Tavani, Annarita</t>
  </si>
  <si>
    <t>BF727.H3 -- V55 2013eb</t>
  </si>
  <si>
    <t>Lacan, Jacques, -- 1901-1981. ; People with disabilities -- Psychological aspects.</t>
  </si>
  <si>
    <t>Shrink : A Cultural History of Psychoanalysis in America</t>
  </si>
  <si>
    <t>Samuel, Lawrence R.</t>
  </si>
  <si>
    <t>BF173 -- .S2793 2013eb</t>
  </si>
  <si>
    <t>Handbook of Self-Regulatory Processes in Development : New Directions and International Perspectives</t>
  </si>
  <si>
    <t>Barrett, Karen Caplovitz;Fox, Nathan A.;Morgan, George A.;Fidler, Deborah J.;Daunhauer, Lisa A.</t>
  </si>
  <si>
    <t>BF723.S25 H36 2013</t>
  </si>
  <si>
    <t>Metteri, Anna;Kroger, Teppo;Pohjola, Anneli;Rauhala, Pirkko-Liisa</t>
  </si>
  <si>
    <t>HV687 .S586 2004</t>
  </si>
  <si>
    <t>Medical social work. ; Psychiatric social work.</t>
  </si>
  <si>
    <t>Tessman, Lora H.</t>
  </si>
  <si>
    <t>RC506 .T465</t>
  </si>
  <si>
    <t>Knowing Nothing, Staying Stupid : Elements for a Psychoanalytic Epistemology</t>
  </si>
  <si>
    <t>Nobus, Dany;Quinn, Malcolm</t>
  </si>
  <si>
    <t>BF175.4.P45 N63 2005</t>
  </si>
  <si>
    <t>Shipway, Richard;Kirkup, Naomi</t>
  </si>
  <si>
    <t>International Journal of Event and Festival Management: Volume 3, Issue 3</t>
  </si>
  <si>
    <t>GV713 -- .I47 2012eb</t>
  </si>
  <si>
    <t>Stereotyped behavior (Psychiatry) ; Tic disorders. ; Compulsive hair pulling. ; Habit breaking.</t>
  </si>
  <si>
    <t>Business/Management; Sport &amp;amp; Recreation</t>
  </si>
  <si>
    <t>Noggle, Chad A.;Dean, Raymond S.;Johnson, Gary Alan;Tarter, Thomas H.;Johnson, Rhonda L.</t>
  </si>
  <si>
    <t>RC269.N48 2013eb</t>
  </si>
  <si>
    <t>Neoplasms--complications. ; Neoplasms--psychology. ; Mental Disorders--etiology. ; Mental Disorders--therapy. ; Nervous System Diseases--psychology. ; Nervous System Diseases--therapy. ; Social Support.</t>
  </si>
  <si>
    <t>Practical Neuropsychological Rehabilitation in Acquired Brain Injury : A Guide for Working Clinicians</t>
  </si>
  <si>
    <t>Coetzer, Rudi;Daisley, Audrey;Newby, Gavin;Weatherhead, Stephen</t>
  </si>
  <si>
    <t>RC387.5 -- .P73 2013eb</t>
  </si>
  <si>
    <t>Brain damage -- Patients -- Rehabilitation. ; Cognition disorders -- Treatment. ; Personality disorders -- Treatment. ; Neuropsychology.</t>
  </si>
  <si>
    <t>Group Therapy for Adults with Severe Mental Illness : Adapting the Tavistock Method</t>
  </si>
  <si>
    <t>Semmelhack, Diana;Ende, Larry;Hazell, Clive</t>
  </si>
  <si>
    <t>Advances in Mental Health Research Series</t>
  </si>
  <si>
    <t>RC480.53 .S46 2013</t>
  </si>
  <si>
    <t>Hyson, Peter</t>
  </si>
  <si>
    <t>BF637.P36 H97 2013</t>
  </si>
  <si>
    <t>Blurring the Boundaries : The Declining Significance of Age</t>
  </si>
  <si>
    <t>Levin, Jack</t>
  </si>
  <si>
    <t>HN90.M6 L48 2012</t>
  </si>
  <si>
    <t>Eating Disorders in Childhood and Adolescence : 4th Edition</t>
  </si>
  <si>
    <t>Lask, Bryan;Bryant-Waugh, Rachel</t>
  </si>
  <si>
    <t>RJ506.E18 A565 2012</t>
  </si>
  <si>
    <t>618.92/8526</t>
  </si>
  <si>
    <t>Eating disorders in children. ; Eating disorders in adolescence. ; Anorexia nervosa.</t>
  </si>
  <si>
    <t>Men Speak Out : Views on Gender, Sex, and Power</t>
  </si>
  <si>
    <t>Tarrant, Shira</t>
  </si>
  <si>
    <t>HQ1075 .M46 2013</t>
  </si>
  <si>
    <t>Sex role -- Philosophy. ; Feminist theory -- History. ; Sex differences (Psychology)</t>
  </si>
  <si>
    <t>Abensour, Liliane</t>
  </si>
  <si>
    <t>RC512 .A2413 2012</t>
  </si>
  <si>
    <t>The Social Psychology of Aggression : 2nd Edition</t>
  </si>
  <si>
    <t>Krahé, Barbara;Krahé, Barbara</t>
  </si>
  <si>
    <t>BF575.A3 .K73 2013</t>
  </si>
  <si>
    <t>Aid, Insurgencies and Conflict Transformation : When Greed Is Good</t>
  </si>
  <si>
    <t>Kevlihan, Rob</t>
  </si>
  <si>
    <t>JZ6368 .K48 2013</t>
  </si>
  <si>
    <t>Conflict management -- Economic aspects. ; Insurgency -- Economic aspects -- Case studies. ; Civil war -- Economic aspects -- Case studies. ; Economic assistance -- Political aspects. ; Humanitarian assistance -- Political aspects.</t>
  </si>
  <si>
    <t>Working with Alienated Children and Families : A Clinical Guidebook</t>
  </si>
  <si>
    <t>Baker, Amy J. L.;Sauber, S. Richard</t>
  </si>
  <si>
    <t>HM1131 .W67 2012</t>
  </si>
  <si>
    <t>Biological Research on Addiction : Comprehensive Addictive Behaviors and Disorders, Volume 2</t>
  </si>
  <si>
    <t>Miller, Peter M.</t>
  </si>
  <si>
    <t>Principles of Addiction : Comprehensive Addictive Behaviors and Disorders, Volume 1</t>
  </si>
  <si>
    <t>Interventions for Addiction : Comprehensive Addictive Behaviors and Disorders, Volume 3</t>
  </si>
  <si>
    <t>Hungry for Ecstasy : Trauma, the Brain, and the Influence of the Sixties</t>
  </si>
  <si>
    <t>Farber, Sharon Klayman</t>
  </si>
  <si>
    <t>WM 173.6</t>
  </si>
  <si>
    <t>Dissociative Disorders--psychology. ; Euphoria. ; Mind-Body Relations, Metaphysical. ; Self-Injurious Behavior.</t>
  </si>
  <si>
    <t>Hyperactive : The Controversial History of ADHD</t>
  </si>
  <si>
    <t>RJ506.H9 -- S65 2012eb</t>
  </si>
  <si>
    <t>Attention-deficit hyperactivity disorder -- History. ; Attention-deficit hyperactivity disorder -- Etiology. ; Attention-deficit hyperactivity disorder -- Treatment -- History.</t>
  </si>
  <si>
    <t>With the Hand : A Cultural History of Masturbation</t>
  </si>
  <si>
    <t>van Driel, Mels;Vincent, Paul</t>
  </si>
  <si>
    <t>History; Psychology; Social Science</t>
  </si>
  <si>
    <t>Multimedia Psychotherapy : A Psychodynamic Approach for Mourning in the Technological Age</t>
  </si>
  <si>
    <t>Arturo Nesci, Domenico</t>
  </si>
  <si>
    <t>RC489.P72 -- N47 2013eb</t>
  </si>
  <si>
    <t>Sexidemic : A Cultural History of Sex in America</t>
  </si>
  <si>
    <t>HQ18.U5S26 2013</t>
  </si>
  <si>
    <t>Sex--United States--History.</t>
  </si>
  <si>
    <t>Mac Ginty, Roger</t>
  </si>
  <si>
    <t>HM1111 .R68 2013</t>
  </si>
  <si>
    <t>Sport Across Asia : Politics, Cultures, and Identities</t>
  </si>
  <si>
    <t>Bromber, Katrin;Krawietz, Birgit;Maguire, Joseph</t>
  </si>
  <si>
    <t>Routledge Research in Sport, Culture and Society Series</t>
  </si>
  <si>
    <t>GV649 .S66 2013</t>
  </si>
  <si>
    <t>306.4/83095</t>
  </si>
  <si>
    <t>Sport &amp;amp; Recreation; Social Science</t>
  </si>
  <si>
    <t>Hermans, Dirk;Rimé, Bernard;Mesquita, Batja</t>
  </si>
  <si>
    <t>BF511 .C43 2013</t>
  </si>
  <si>
    <t>Miller, John G.</t>
  </si>
  <si>
    <t>RC465.5 .M555 2013</t>
  </si>
  <si>
    <t>Foster, Karen R.</t>
  </si>
  <si>
    <t>HM721 .F67 2013</t>
  </si>
  <si>
    <t>Generations</t>
  </si>
  <si>
    <t>Zacher, Hannes</t>
  </si>
  <si>
    <t>Patient Safety Series</t>
  </si>
  <si>
    <t>RA410.5.Z334 2014eb</t>
  </si>
  <si>
    <t>610.28/9</t>
  </si>
  <si>
    <t>Patients -- Safety measures. ; Medical errors -- Prevention. ; Medical care -- Safety measures.</t>
  </si>
  <si>
    <t>Biomental Child Development : Perspectives on Psychology and Parenting</t>
  </si>
  <si>
    <t>Ninivaggi, Frank John;Volkmar, Fred R.;Volkmar, MD Fred R</t>
  </si>
  <si>
    <t>BF723.M48.N56 2012</t>
  </si>
  <si>
    <t>Developmental psychobiology. ; Child development. ; Mind and body.</t>
  </si>
  <si>
    <t>Keller, Simon</t>
  </si>
  <si>
    <t>Bad Boys, Bad Men : Confronting Antisocial Personality Disorder (Sociopathy)</t>
  </si>
  <si>
    <t>Black, Donald W.</t>
  </si>
  <si>
    <t>RC555.B556 2013eb</t>
  </si>
  <si>
    <t>Antisocial personality disorders -- Treatment. ; Behavior modification. ; Men -- Mental health.</t>
  </si>
  <si>
    <t>BF175.5.P75 -- E53 2013eb</t>
  </si>
  <si>
    <t>Psychic trauma. ; Secondary traumatic stress.</t>
  </si>
  <si>
    <t>Psychology at Work in Asia : Proceeds of the 3rd and 4th Asian Psychological Association Conferences and the 4th International Conference on Organizational Psychology</t>
  </si>
  <si>
    <t>McCarthy, Sherri;Jaafar,  Jas;Kamal,  Anila;Zubai, Aisha</t>
  </si>
  <si>
    <t>BF80.7.A85 -- P79 2013eb</t>
  </si>
  <si>
    <t>Psychology -- Study and teaching -- Asia -- Congresses. ; Psychology, Industrial -- Asia -- Congresses.</t>
  </si>
  <si>
    <t>Chowaniec, Urszula;Phillips, Ursula</t>
  </si>
  <si>
    <t>HQ1665.7 -- .W66 2012eb</t>
  </si>
  <si>
    <t>Feminism -- Poland -- History. ; Feminism and literature -- Poland. ; Feminism and motion pictures -- Poland. ; Collective memory -- Poland.</t>
  </si>
  <si>
    <t>Friends and Foes Volume II : Friendship and Conflict from Social and Political Perspectives</t>
  </si>
  <si>
    <t>Watson, Graeme;Renzi,  Barbara Gabriella;Viggiani,  Elisabetta;Collins, Mairead</t>
  </si>
  <si>
    <t>BF575.F66 -- F73 2009eb</t>
  </si>
  <si>
    <t>Friendship. ; Hostility (Psychology)</t>
  </si>
  <si>
    <t>Fandom At The Crossroads : Celebration, Shame and Fan/Producer Relationships</t>
  </si>
  <si>
    <t>Larsen, Katherine;Zubernis, Lynn</t>
  </si>
  <si>
    <t>HM646 -- .Z83 2012eb</t>
  </si>
  <si>
    <t>Fans (Persons) ; Subculture. ; Popular culture -- Psychological aspects.</t>
  </si>
  <si>
    <t>The World of Contemporary Gestalt Therapy Series</t>
  </si>
  <si>
    <t>RC489.G4 -- H35 2008eb</t>
  </si>
  <si>
    <t>Gestalt Therapy -- methods. ; Mental Disorders -- therapy.</t>
  </si>
  <si>
    <t>Songs at Twilight : A Narrative Exploration of Living with a Visual Impairment and the Effect this has on Claims to Identity</t>
  </si>
  <si>
    <t>Dale, Susan</t>
  </si>
  <si>
    <t>HV1593 -- .D35 2011eb</t>
  </si>
  <si>
    <t>362.4/1;362.41</t>
  </si>
  <si>
    <t>People with visual disabilities -- Psychology. ; People with visual disabilities -- Attitudes. ; Vision disorders -- Psychological aspects. ; Depersonalization.</t>
  </si>
  <si>
    <t>Hussain, Iffat</t>
  </si>
  <si>
    <t>RC537 -- .W654 2010eb</t>
  </si>
  <si>
    <t>Depression in women. ; Depression in women -- Social aspects.</t>
  </si>
  <si>
    <t>Poulatova, Chaditsa</t>
  </si>
  <si>
    <t>HQ784.W3 -- P68 2013eb</t>
  </si>
  <si>
    <t>Children and war. ; Child psychology.</t>
  </si>
  <si>
    <t>One Paradigm, Many Worlds : Conflict Resolution across the Disciplines</t>
  </si>
  <si>
    <t>Rosenwald, Mitchell</t>
  </si>
  <si>
    <t>HM1126 -- .O63 2008eb</t>
  </si>
  <si>
    <t>Conflict management. ; Social conflict.</t>
  </si>
  <si>
    <t>(Re)membering Kenya Vol 1 : Identity, Culture and Freedom</t>
  </si>
  <si>
    <t>African Books Collective</t>
  </si>
  <si>
    <t>Twaweza Communications, Limited</t>
  </si>
  <si>
    <t>KENYA</t>
  </si>
  <si>
    <t>Mbugua, wa-Mungai;Gona, George</t>
  </si>
  <si>
    <t>Culture, Performance and Identity. Paths of Communication in Kenya : Paths of Communication in Kenya</t>
  </si>
  <si>
    <t>Njogu, Kimani</t>
  </si>
  <si>
    <t>Jose, Paul E.</t>
  </si>
  <si>
    <t>QA278.2 -- .J67 2013eb</t>
  </si>
  <si>
    <t>519.5/36</t>
  </si>
  <si>
    <t>Mediation (Statistics) ; Social sciences -- Statistical methods.</t>
  </si>
  <si>
    <t>Golomb, Claire</t>
  </si>
  <si>
    <t>N71</t>
  </si>
  <si>
    <t>Cooper With Contributi, Richard P.;Yule, Peter G.;Fox, John;Glasspool, David W.;Cooper, Richard P.</t>
  </si>
  <si>
    <t>QP395 -- .C66 2002eb</t>
  </si>
  <si>
    <t>Cognition -- Computer simulation. ; Cognition -- Mathematical models.</t>
  </si>
  <si>
    <t>BF636.6$b.M35 1999</t>
  </si>
  <si>
    <t>158/.3/072</t>
  </si>
  <si>
    <t>Figley, Charles R.</t>
  </si>
  <si>
    <t>RC451.4.M44 T74</t>
  </si>
  <si>
    <t>Adolescent Psychiatry : A Contemporary Perspective for Health Professionals</t>
  </si>
  <si>
    <t>Sher, Leo;Merrick, Joav;Merrick, Joav</t>
  </si>
  <si>
    <t>RJ503.A36 2013eb</t>
  </si>
  <si>
    <t>Adolescent psychiatry. ; Adolescent psychology.</t>
  </si>
  <si>
    <t>Choleris, Elena;Pfaff, Donald W.;Kavaliers, Martin</t>
  </si>
  <si>
    <t>RM302.5 .O99 2013</t>
  </si>
  <si>
    <t>615.7/042</t>
  </si>
  <si>
    <t>Behavior -- Drug effects. ; Oxytocin. ; Vasopressin.</t>
  </si>
  <si>
    <t>Green, Mark W.;Muskin, Philip R.</t>
  </si>
  <si>
    <t>RC392 .N48 2013</t>
  </si>
  <si>
    <t>616.8/491</t>
  </si>
  <si>
    <t>Headache. ; Neuropsychiatry. ; Comorbidity.</t>
  </si>
  <si>
    <t>Graham, Philip;Reynolds, Shirley</t>
  </si>
  <si>
    <t>RJ505.C63 C649 2013</t>
  </si>
  <si>
    <t>Cognitive therapy for children. ; Cognitive therapy for teenagers. ; Family psychotherapy.</t>
  </si>
  <si>
    <t>Intractable Conflicts : Socio-Psychological Foundations and Dynamics</t>
  </si>
  <si>
    <t>HM1126 .B368 2013</t>
  </si>
  <si>
    <t>Conflict management. ; Social psychology.</t>
  </si>
  <si>
    <t>Chanmugam, Arjun;Triplett, Patrick;Kelen, Gabor</t>
  </si>
  <si>
    <t>RC480.6.E44 2013eb</t>
  </si>
  <si>
    <t>Psychiatric emergencies. ; Mental illness -- Diagnosis. ; Mental illness -- Treatment.</t>
  </si>
  <si>
    <t>The Psychology of Organizational Change : Viewing Change from the Employee's Perspective</t>
  </si>
  <si>
    <t>Oreg, Shaul;Michel, Alexandra;By, Rune Todnem</t>
  </si>
  <si>
    <t>HD58.8 .P79 2013</t>
  </si>
  <si>
    <t>Organizational change -- Psychological aspects. ; Employees -- Psychology.</t>
  </si>
  <si>
    <t>Discontinuity in Learning : Dewey, Herbart and Education As Transformation</t>
  </si>
  <si>
    <t>English, Andrea R.</t>
  </si>
  <si>
    <t>LB14.7 .E565 2013</t>
  </si>
  <si>
    <t>Dewey, John, -- 1859-1952. ; Herbart, Johann Friedrich, -- 1776-1841. ; Education -- Philosophy. ; Learning, Psychology of.</t>
  </si>
  <si>
    <t>Play, Learning, and Children's Development : Everyday Life in Families and Transition to School</t>
  </si>
  <si>
    <t>Hedegaard, Mariane;Fleer, Marilyn</t>
  </si>
  <si>
    <t>HQ772 .H415 2013</t>
  </si>
  <si>
    <t>Child development. ; Families. ; Play. ; Learning.</t>
  </si>
  <si>
    <t>Combined Destinies : Whites Sharing Grief about Racism</t>
  </si>
  <si>
    <t>Potomac Books</t>
  </si>
  <si>
    <t>Dulles</t>
  </si>
  <si>
    <t>Jealous, Ann Todd;Haskell, Caroline T.;Bond, Julian;Horowitz, Pam</t>
  </si>
  <si>
    <t>E184.A1 .C663 2013</t>
  </si>
  <si>
    <t>Racism-United States-Psychological aspects. ; United States-Race relations-Psychological aspects. ; Whites-United States-Attitudes. ; Race awareness-United States.</t>
  </si>
  <si>
    <t>Girl Trouble : Panic and Progress in the History of Young Women</t>
  </si>
  <si>
    <t>Dyhouse, Professor Carol</t>
  </si>
  <si>
    <t>HQ1229</t>
  </si>
  <si>
    <t>305.242/20904</t>
  </si>
  <si>
    <t>Young women -- History. ; Women in development.</t>
  </si>
  <si>
    <t>Self-Help That Works : Resources to Improve Emotional Health and Strengthen Relationships</t>
  </si>
  <si>
    <t>Norcross, John C.;Campbell, Linda F.;Grohol, John M.;Santrock, John W.;Selagea, Florin;Sommer, Robert</t>
  </si>
  <si>
    <t>RA790.6.A94 2013eb</t>
  </si>
  <si>
    <t>Mental health -- United States -- Indexes. ; Mental illness -- United States -- Indexes. ; Mental health services -- United States -- Directories.</t>
  </si>
  <si>
    <t>Case Studies in Clinical Psychological Science : Bridging the Gap from Science to Practice</t>
  </si>
  <si>
    <t>O'Donohue, William;Lilienfeld, Scott O.</t>
  </si>
  <si>
    <t>RC467 .C367 2013</t>
  </si>
  <si>
    <t>Public Mental Health: Global Perspectives</t>
  </si>
  <si>
    <t>Knifton, Lee;Quinn, Neil</t>
  </si>
  <si>
    <t>RA790</t>
  </si>
  <si>
    <t>Social Work in the Youth Justice System: a Multidisciplinary Perspective</t>
  </si>
  <si>
    <t>Fox, Darrell;Arnull, Elaine</t>
  </si>
  <si>
    <t>McGarry, Tim;O'Donoghue, Peter;Sampaio, Jaime</t>
  </si>
  <si>
    <t>GV706.4 -- .R69 2013eb</t>
  </si>
  <si>
    <t>Sports -- Psychological aspects -- Handbooks, manuals, etc. ; Sports -- Physiological aspects -- Handbooks, manuals, etc. ; Achievement motiviation -- Handbooks, manuals, etc. ; Coaching (Athletics) -- Handbooks, manuals, etc.</t>
  </si>
  <si>
    <t>Sandoval, Jonathan</t>
  </si>
  <si>
    <t>Consultation, Supervision, and Professional Learning in School Psychology Series</t>
  </si>
  <si>
    <t>LB1027.55 -- .C74 2013eb</t>
  </si>
  <si>
    <t>371.7/130973</t>
  </si>
  <si>
    <t>School psychology -- United States. ; Crisis intervention (Mental health services) -- United States. ; Mental health counseling -- United States.</t>
  </si>
  <si>
    <t>Pacific Identities and Well-Being : Cross-Cultural Perspectives</t>
  </si>
  <si>
    <t>Nelson Agee, Margaret;McIntosh, Tracey;Culbertson, Philip;'Ofa Makasiale, Cabrini</t>
  </si>
  <si>
    <t>Herrin, Marcia;Larkin, Maria</t>
  </si>
  <si>
    <t>RC552.E18 -- H47 2013eb</t>
  </si>
  <si>
    <t>Eating disorders -- Patients -- Counseling of. ; Eating disorders -- Treatment. ; Eating disorders -- Diet therapy. ; Nutrition.</t>
  </si>
  <si>
    <t>Mitchell, Peter;Ziegler, Fenja</t>
  </si>
  <si>
    <t>BF713 .M582 2013</t>
  </si>
  <si>
    <t>Piaget, Jean, -- 1896-1980. ; Developmental psychology.</t>
  </si>
  <si>
    <t>Visual Perception : An Introduction, 3rd Edition</t>
  </si>
  <si>
    <t>Wade, Nicholas;Swanston, Mike</t>
  </si>
  <si>
    <t>BF241.W334 2013</t>
  </si>
  <si>
    <t>Introduction to Neuropsychotherapy : Guidelines for Rehabilitation of Neurological and Neuropsychiatric Patients Throughout the Lifespan</t>
  </si>
  <si>
    <t>Laaksonen, Ritva;Ranta, Mervi</t>
  </si>
  <si>
    <t>RC350.4 -- .I58 2013eb</t>
  </si>
  <si>
    <t>Alexander, June;Goldschmidt, Andrea B.;Le Grange, Daniel;Le Grange, Daniel</t>
  </si>
  <si>
    <t>RC552.C65 -- C55 2013eb</t>
  </si>
  <si>
    <t>Cut down to Size : Achieving Success with Weight Loss Surgery</t>
  </si>
  <si>
    <t>Radcliffe, Jenny</t>
  </si>
  <si>
    <t>RD540 -- .R27 2013eb</t>
  </si>
  <si>
    <t>Just, Marcel Adam;Pelphrey, Kevin A.;Just, Marcel Adam</t>
  </si>
  <si>
    <t>RC553.A88 -- D48 2013eb</t>
  </si>
  <si>
    <t>Autism. ; Developmental psychology.</t>
  </si>
  <si>
    <t>Cinema and Language Loss : Displacement, Visuality and the Filmic Image</t>
  </si>
  <si>
    <t>Mamula, Tijana</t>
  </si>
  <si>
    <t>PN1995.9.I55 -- M35 2013eb</t>
  </si>
  <si>
    <t>791.4301/9</t>
  </si>
  <si>
    <t>Intercultural communication in motion pictures. ; Language and languages in motion pictures. ; Motion pictures and language. ; Motion pictures -- Psychological aspects.</t>
  </si>
  <si>
    <t>Do Funerals Matter? : The Purposes and Practices of Death Rituals in Global Perspective</t>
  </si>
  <si>
    <t>Hoy, William G.</t>
  </si>
  <si>
    <t>GN486 -- .H68 2013eb</t>
  </si>
  <si>
    <t>RJ506.E18 B79 2013</t>
  </si>
  <si>
    <t>Grzywacz, Joseph G.;Demerouti, Evangelia</t>
  </si>
  <si>
    <t>HD4904.25 -- .N487 2013eb</t>
  </si>
  <si>
    <t>Handbook of Family Theories : A Content-Based Approach</t>
  </si>
  <si>
    <t>Fine, Mark A.;Fincham, Frank D.</t>
  </si>
  <si>
    <t>HQ728 -- .H275 2013eb</t>
  </si>
  <si>
    <t>Early Recollections : Theory and Practice in Counseling and Psychotherapy</t>
  </si>
  <si>
    <t>Clark, Arthur</t>
  </si>
  <si>
    <t>Parents and Toddlers in Groups : A Psychoanalytic Developmental Approach</t>
  </si>
  <si>
    <t>Zaphiriou Woods, Marie;Pretorius, Inge-Martine</t>
  </si>
  <si>
    <t>BF723.P25 P32 2011</t>
  </si>
  <si>
    <t>CBT for Psychosis : A Symptom-Based Approach</t>
  </si>
  <si>
    <t>Hagen, Roger;Turkington, Douglas;Berge, Torkil;Gråwe, Rolf W.</t>
  </si>
  <si>
    <t>RC512 -- .C39 2011eb</t>
  </si>
  <si>
    <t>Giles, David</t>
  </si>
  <si>
    <t>BF76.5 -- .G55 2002eb</t>
  </si>
  <si>
    <t>Arbiser, Samuel;Schneider, Jorge</t>
  </si>
  <si>
    <t>RC531 -- .O54 2013eb</t>
  </si>
  <si>
    <t>Freud, Sigmund, -- 1856-1939. -- Hemmung, Symptom und Angst. -- English. ; Anxiety. ; Neuroses. ; Psychoanalysis.</t>
  </si>
  <si>
    <t>O'Loughlin, Michael;Adelstein, Devra B.;Alaoglu, Ann;Anthony, E. James;Boldt, Gail;Brennan, Eileen;Carroll, Andrew;Charles, Marilyn;Cohen, Jonathan;Cohler, Bertram</t>
  </si>
  <si>
    <t>WS 350.5</t>
  </si>
  <si>
    <t>Psychoanalytic Therapy. ; Adolescent. ; Child. ; Psychology, Educational. ; Schools. ; Students--psychology.</t>
  </si>
  <si>
    <t>Mithander, Conny;Sundholm, John;Velicu, Adrian</t>
  </si>
  <si>
    <t>European Studies</t>
  </si>
  <si>
    <t>Memory-Social aspects-Europe. ; Memory-Social aspects-Europe, Eastern. ; Group identity-Europe. ; Group identity-Europe, Eastern.</t>
  </si>
  <si>
    <t>Self-Esteem and Positive Psychology : Research, Theory, and Practice</t>
  </si>
  <si>
    <t>BF697.5.S46M78 2013</t>
  </si>
  <si>
    <t>Self-esteem. ; Positive psychology.</t>
  </si>
  <si>
    <t>Radical Claims in Freudian Psychoanalysis : Point/Counterpoint</t>
  </si>
  <si>
    <t>Holowchak, M. Andrew;Kupfersmid, Joel;Michael, Michael;Sand, Rosemary;Cottingham, John;Vitz, Paul;Lavin, Michael;Grünbaum, Adolf;Gillett, Grant;Erwin, Edwin</t>
  </si>
  <si>
    <t>BF173.F85H62 2011</t>
  </si>
  <si>
    <t>Freud, Sigmund, 1856-1939. ; Psychoanalysis.</t>
  </si>
  <si>
    <t>Framing Fat : Competing Constructions in Contemporary Culture</t>
  </si>
  <si>
    <t>Kwan, Samantha;Graves, Jennifer</t>
  </si>
  <si>
    <t>Understanding the Self and Others : Explorations in Intersubjectivity and Interobjectivity</t>
  </si>
  <si>
    <t>Sammut, Gordon;Daanen, Paul;Moghaddam, Fathali M.</t>
  </si>
  <si>
    <t>HM1111 .U535 2013</t>
  </si>
  <si>
    <t>Social interaction. ; National characteristics. ; Social groups.</t>
  </si>
  <si>
    <t>Complexity and Control in Team Sports : Dialectics in Contesting Human Systems</t>
  </si>
  <si>
    <t>Lebed, Felix;Bar-Eli, Michael</t>
  </si>
  <si>
    <t>GV558 .C66 2013</t>
  </si>
  <si>
    <t>796.06/9</t>
  </si>
  <si>
    <t>Sports sciences. ; Team sports. ; Sports -- Management.</t>
  </si>
  <si>
    <t>Rationality and Pluralism : The Selected Works of Windy Dryden</t>
  </si>
  <si>
    <t>World Library of Mental Health Series</t>
  </si>
  <si>
    <t>RC489.R3 D827 2013</t>
  </si>
  <si>
    <t>Development As a Social Process : Contributions of Gerard Duveen</t>
  </si>
  <si>
    <t>Moscovici, Serge;Jovchelovitch, Sandra;Wagoner, Brady</t>
  </si>
  <si>
    <t>Cultural Dynamics of Social Representation</t>
  </si>
  <si>
    <t>BF713 .D457 2013</t>
  </si>
  <si>
    <t>Duveen, Gerard. ; Developmental psychology -- Social aspects. ; Social psychology. ; Social representations.</t>
  </si>
  <si>
    <t>Zeigler-Hill, Virgil</t>
  </si>
  <si>
    <t>BF697.5.S46 -- S445 2013eb</t>
  </si>
  <si>
    <t>The Psychoanalytic Vision : The Experiencing Subject, Transcendence, and the Therapeutic Process</t>
  </si>
  <si>
    <t>Summers, Frank</t>
  </si>
  <si>
    <t>RC480.5 .S82 2013</t>
  </si>
  <si>
    <t>Women and Problem Gambling : Therapeutic Insights into Understanding Addiction and Treatment</t>
  </si>
  <si>
    <t>Karter, Liz</t>
  </si>
  <si>
    <t>HV6710 .K37 2013</t>
  </si>
  <si>
    <t>Bion's Sources : The Shaping of His Paradigms</t>
  </si>
  <si>
    <t>Torres, Nuno;Hinshelwood, R. D.</t>
  </si>
  <si>
    <t>RC438.6.B54 B56 2013</t>
  </si>
  <si>
    <t>Research on the Couch : Single-Case Studies, Subjectivity and Psychoanalytic Knowledge</t>
  </si>
  <si>
    <t>New Library of Psychoanalysis 'Beyond the Couch' Series</t>
  </si>
  <si>
    <t>RC504 .H557 2013</t>
  </si>
  <si>
    <t>The Empty Couch : The Taboo of Ageing and Retirement in Psychoanalysis</t>
  </si>
  <si>
    <t>BF173 .E638 2013</t>
  </si>
  <si>
    <t>Psychoanalysts. ; Retired scientists. ; Retirement -- Psychological aspects. ; Aging -- Psychological aspects.</t>
  </si>
  <si>
    <t>Wrestling with Destiny : The Promise of Psychoanalysis</t>
  </si>
  <si>
    <t>Holmes, Lucy</t>
  </si>
  <si>
    <t>BF173 .H732 2013</t>
  </si>
  <si>
    <t>Psychoanalysis. ; Fate and fatalism -- Psychological aspects.</t>
  </si>
  <si>
    <t>Internal Family Systems Therapy : New Dimensions</t>
  </si>
  <si>
    <t>Sweezy, Martha;Ziskind, Ellen L.;Ziskind, Ellen L.</t>
  </si>
  <si>
    <t>RC489.F33 -- I58 2013eb</t>
  </si>
  <si>
    <t>Psychotherapy patients -- Family relationships. ; Family psychotherapy.</t>
  </si>
  <si>
    <t>Thomas, Helen</t>
  </si>
  <si>
    <t>The New Sociology Series</t>
  </si>
  <si>
    <t>HM636 .T475 2013</t>
  </si>
  <si>
    <t>Gerstein, Lawrence H.;Heppner, P. Paul;Aegisdottir, Stefanía;Leung, S. Alvin;Norsworthy, Kathryn L.</t>
  </si>
  <si>
    <t>Racial and Cultural Dynamics in Group and Organizational Life : Crossing Boundaries</t>
  </si>
  <si>
    <t>McRae, Mary B.;Short, Ellen L.</t>
  </si>
  <si>
    <t>Crime in a Psychological Context : From Career Criminals to Criminal Careers</t>
  </si>
  <si>
    <t>Walters, Glenn D.</t>
  </si>
  <si>
    <t>Crisis and Disaster Counseling : Lessons Learned from Hurricane Katrina and Other Disasters</t>
  </si>
  <si>
    <t>Dass-Brailsford, Priscilla</t>
  </si>
  <si>
    <t>363.34/86</t>
  </si>
  <si>
    <t>Social Justice, Multicultural Counseling, and Practice : Beyond a Conventional Approach</t>
  </si>
  <si>
    <t>Jun, Heesoon</t>
  </si>
  <si>
    <t>Organista, Pamela B. (Balls);Marin, Gerardo;Chun, Kevin M.</t>
  </si>
  <si>
    <t>Advances in Relational Frame Theory : Research and Application</t>
  </si>
  <si>
    <t>Roche, Bryan;De Houwer, Jan;Dymond, Simon</t>
  </si>
  <si>
    <t>RC489.C63 -- A387 2013eb</t>
  </si>
  <si>
    <t>Rosen-Carole, Adam</t>
  </si>
  <si>
    <t>BF173 -- .R648 2013eb</t>
  </si>
  <si>
    <t>Making Rapid Response Real : Change Management and Organizational Learning in Critical Patient Care</t>
  </si>
  <si>
    <t>Park, Jason D.</t>
  </si>
  <si>
    <t>RA981.A2 -- P37 2010eb</t>
  </si>
  <si>
    <t>Aniskiewicz, A. S.</t>
  </si>
  <si>
    <t>RC480.5 -- .A633 2010eb</t>
  </si>
  <si>
    <t>Sexual Boundary Violations : Therapeutic, Supervisory, and Academic Contexts</t>
  </si>
  <si>
    <t>Celenza, Andrea</t>
  </si>
  <si>
    <t>RC480.8 -- .C4 2007eb</t>
  </si>
  <si>
    <t>Psychotherapists -- Sexual behavior. ; Psychotherapy patients -- Sexual behavior. ; Psychotherapists and patients. ; Psychotherapists -- Professional ethics.</t>
  </si>
  <si>
    <t>The Essence of Play : A Practice Companion for Professionals Working with Children and Young People</t>
  </si>
  <si>
    <t>Howard, Justine;McInnes, Karen</t>
  </si>
  <si>
    <t>HQ782 -- .H69 2013eb</t>
  </si>
  <si>
    <t>Policing Diversity : Determinants of White, Black, and Hispanic Attitudes toward Police</t>
  </si>
  <si>
    <t>Lai, Yung-Lien</t>
  </si>
  <si>
    <t>HV7936.P8 -- L35 2013eb</t>
  </si>
  <si>
    <t>363.2/3080973</t>
  </si>
  <si>
    <t>Industrial organization -- Europe, Eastern. ; Industrial organization -- Europe, Central. ; Industrial organization -- Former Soviet republics. ; Strategic alliances (Business) -- Europe, Eastern. ; Strategic alliances (Business) -- Europe, Central. ; Strategic alliances (Business) -- Former Soviet republics.</t>
  </si>
  <si>
    <t>Dying on the Job : Murder and Mayhem in the American Workplace</t>
  </si>
  <si>
    <t>Brown, Ronald D.</t>
  </si>
  <si>
    <t>HF5549.5.E43B76 2012</t>
  </si>
  <si>
    <t>364.152/30973</t>
  </si>
  <si>
    <t>Violence in the workplace--United States. ; Murder--United States. ; Mass murder--United States.</t>
  </si>
  <si>
    <t>Sisters of Fate : The Myths that Speak Themselves</t>
  </si>
  <si>
    <t>Hudgens, Michael Thomas</t>
  </si>
  <si>
    <t>BF1791 -- .T46 2013eb</t>
  </si>
  <si>
    <t>Women prophets. ; Mythology.</t>
  </si>
  <si>
    <t>Psychoanalysis Online : Mental Health, Teletherapy, and Training</t>
  </si>
  <si>
    <t>Scharff, Jill Savege</t>
  </si>
  <si>
    <t>RC506 -- .P79 2013eb</t>
  </si>
  <si>
    <t>Psychoanalysis -- Methodology. ; Psychoanalysis -- Technological innovations.</t>
  </si>
  <si>
    <t>Laughing Star : A Story of Tough Love</t>
  </si>
  <si>
    <t>Nisbet, Jo</t>
  </si>
  <si>
    <t>The Karnac Library</t>
  </si>
  <si>
    <t>RJ506.H9 -- N57 2013eb</t>
  </si>
  <si>
    <t>Attention-deficit-disordered children -- Family relationships. ; Attention-deficit-disordered children -- Behavior modification.</t>
  </si>
  <si>
    <t>Fiction; Medicine; Psychology</t>
  </si>
  <si>
    <t>Therapeutic Revolutions : Medicine, Psychiatry, and American Culture, 1945-1970</t>
  </si>
  <si>
    <t>Halliwell, Martin</t>
  </si>
  <si>
    <t>RC443</t>
  </si>
  <si>
    <t>Mental illness--United States. ; Mental Disorders--history--United States. ; History, 20th Century--United States. ; Mental Disorders--therapy--United States. ; Psychiatry--history--United States. ; Social Conditions--United States. ; Therapeutics--history--United States.</t>
  </si>
  <si>
    <t>Feeding Anorexia : Gender and Power at a Treatment Center</t>
  </si>
  <si>
    <t>Duke University Press</t>
  </si>
  <si>
    <t>Gremillion, Helen;Appadurai, Arjun;Comaroff, John L.;Farquhar, Judith</t>
  </si>
  <si>
    <t>Body, Commodity, Text Series</t>
  </si>
  <si>
    <t>RC552.A5 G746 2003</t>
  </si>
  <si>
    <t>Anorexia nervosa-Social aspects.</t>
  </si>
  <si>
    <t>Volkman, Toby Alice;Yngvesson, Barbara;Kim, Eleana J.;Johnson, Kay</t>
  </si>
  <si>
    <t>E-Duke Books Scholarly Collection</t>
  </si>
  <si>
    <t>HV875.5 .C86 2005</t>
  </si>
  <si>
    <t>Intercountry adoption. ; Cognition and culture. ; Kinship. ; Transnationalism.</t>
  </si>
  <si>
    <t>Multiple Identities : Migrants, Ethnicity, and Membership</t>
  </si>
  <si>
    <t>Spickard, Paul</t>
  </si>
  <si>
    <t>HN373.5.M85 2013</t>
  </si>
  <si>
    <t>Group identity--Europe--Case studies. ; Immigrants--Europe--Case studies. ; Minorities--Europe--Case studies.</t>
  </si>
  <si>
    <t>Harris, William V.</t>
  </si>
  <si>
    <t>Columbia Studies in the Classical Tradition Series</t>
  </si>
  <si>
    <t>Schwartz, Harvey L.</t>
  </si>
  <si>
    <t>RJ506.P66 -- S39 2013eb</t>
  </si>
  <si>
    <t>Psychic trauma in children -- Complications -- Treatment. ; Post-traumatic stress disorder in children -- Complications -- Treatment. ; Dissociative disorders in children -- Treatment. ; Child soldiers -- Social aspects.</t>
  </si>
  <si>
    <t>Ryall, Emily;Russell, Wendy;MacLean, Malcolm</t>
  </si>
  <si>
    <t>B105.P54 -- P55 2013eb</t>
  </si>
  <si>
    <t>Play (Philosophy) ; Play -- Social aspects.</t>
  </si>
  <si>
    <t>Rhetorical Investigations : G. B. Vico and C. G. Jung</t>
  </si>
  <si>
    <t>Gardner, Leslie;Boyd, Susan C.</t>
  </si>
  <si>
    <t>BF173.J85 -- G37 2013eb</t>
  </si>
  <si>
    <t>Peacebuilding and International Administration : The Cases of Bosnia and Herzegovina and Kosovo</t>
  </si>
  <si>
    <t>van Willigen, Niels</t>
  </si>
  <si>
    <t>Routledge Advances in International Relations and Global Politics Series</t>
  </si>
  <si>
    <t>JN9679.B6 -- V36 2013eb</t>
  </si>
  <si>
    <t>International agencies - Kosovo (Republic)</t>
  </si>
  <si>
    <t>Creating Sanctuary : Toward the Evolution of Sane Societies, Revised Edition</t>
  </si>
  <si>
    <t>Bloom, Sandra L.</t>
  </si>
  <si>
    <t>RC569.5.C55 -- B56 2013eb</t>
  </si>
  <si>
    <t>Adult child abuse victims -- Rehabilitation. ; Adult child abuse victims -- Rehabilitation -- Case studies. ; Psychic trauma -- Social aspects. ; Social psychiatry. ; Clinical sociology.</t>
  </si>
  <si>
    <t>Young People and the Care Experience : Research, Policy and Practice</t>
  </si>
  <si>
    <t>Shaw, Julie;Frost, Nick</t>
  </si>
  <si>
    <t>HV875 -- .S4763 2013eb</t>
  </si>
  <si>
    <t>Sherby, Linda B.</t>
  </si>
  <si>
    <t>BF575.D35S54 2013</t>
  </si>
  <si>
    <t>Mom in the Mirror : Body Image, Beauty, and Life after Pregnancy</t>
  </si>
  <si>
    <t>Cabrera, Dena;Wierenga, Emily T.;Emme</t>
  </si>
  <si>
    <t>Health; Religion</t>
  </si>
  <si>
    <t>Beyond Words : Illness and the Limits of Expression</t>
  </si>
  <si>
    <t>Conway, Kathlyn</t>
  </si>
  <si>
    <t>Literature and Medicine Series</t>
  </si>
  <si>
    <t>WT 500</t>
  </si>
  <si>
    <t>Chronic Disease--psychology--Personal Narratives. ; Attitude to Health--Personal Narratives. ; Catastrophic Illness--psychology--Personal Narratives. ; Critical Illness--psychology--Personal Narratives. ; Medicine in Literature--Personal Narratives.</t>
  </si>
  <si>
    <t>Haladyna, Thomas M.;Rodriguez, Michael C.</t>
  </si>
  <si>
    <t>LB3051 -- .H297 2013eb</t>
  </si>
  <si>
    <t>The Case of Miss R. (Psychology Revivals) : The Interpretation of a Life Story</t>
  </si>
  <si>
    <t>Psychology Revivals Series</t>
  </si>
  <si>
    <t>BF173 -- .A35 2013eb</t>
  </si>
  <si>
    <t>Psychology; Museums</t>
  </si>
  <si>
    <t>Guiding the Child (Psychology Revivals) : On the Principles of Individual Psychology</t>
  </si>
  <si>
    <t>BF721 -- .A35 2013eb</t>
  </si>
  <si>
    <t>Child psychology. ; Child development. ; Child rearing. ; Exceptional children. ; Psychoanalysis. ; Educational psychology.</t>
  </si>
  <si>
    <t>Creating Safe and Supportive Learning Environments : A Guide for Working with Lesbian, Gay, Bisexual, Transgender, and Questioning Youth and Families</t>
  </si>
  <si>
    <t>Fisher, Emily S.;Komosa-Hawkins, Karen</t>
  </si>
  <si>
    <t>LC212.8 -- .C74 2013eb</t>
  </si>
  <si>
    <t>Himelstein, Sam</t>
  </si>
  <si>
    <t>BF724 -- .H546 2013eb</t>
  </si>
  <si>
    <t>Wittgenstein Reads Freud : The Myth of the Unconscious</t>
  </si>
  <si>
    <t>Bouveresse, Jacques;Cosman, Carol;Descombes, Vincent</t>
  </si>
  <si>
    <t>Noggle, Chad A.;Dean, Raymond S.;Barisa, Mark</t>
  </si>
  <si>
    <t>Literature, Modern -- 20th century -- History and criticism</t>
  </si>
  <si>
    <t>Ulanov, Ann Belford;Rosen, David H.</t>
  </si>
  <si>
    <t>Carolyn and Ernest Fay Series in Analytical Psychology</t>
  </si>
  <si>
    <t>BF408 -- .U43 2013eb</t>
  </si>
  <si>
    <t>Creative ability. ; Jungian psychology. ; Mental illness.</t>
  </si>
  <si>
    <t>Enjoying What We Don't Have : The Political Project of Psychoanalysis</t>
  </si>
  <si>
    <t>McGowan, Todd</t>
  </si>
  <si>
    <t>Symploke Studies in Contemporary Theory Series</t>
  </si>
  <si>
    <t>Psychoanalysis -- Political aspects. ; Loss (Psychology) ; Psychoanalysis and culture.</t>
  </si>
  <si>
    <t>Irrationality in Health Care : What Behavioral Economics Reveals about What We Do and Why</t>
  </si>
  <si>
    <t>Stanford Economics &amp; Finance</t>
  </si>
  <si>
    <t>Hough, Douglas E.</t>
  </si>
  <si>
    <t>RA410</t>
  </si>
  <si>
    <t>Medical economics -- United States. ; Medical care -- United States. ; Health behavior -- United States. ; Economics -- Psychological aspects.</t>
  </si>
  <si>
    <t>Health; Social Science; Business/Management; Economics</t>
  </si>
  <si>
    <t>Figley, Charles R.;Kiser, Laurel J.</t>
  </si>
  <si>
    <t>RC552.P67 F54 2013</t>
  </si>
  <si>
    <t>Post-traumatic stress disorder. ; Families -- Mental health. ; Family psychotherapy.</t>
  </si>
  <si>
    <t>Derks, Daantje;Bakker, Arnold</t>
  </si>
  <si>
    <t>HM851 -- .P795 2012eb</t>
  </si>
  <si>
    <t>Responding to Family Violence : A Comprehensive, Research-Based Guide for Therapists</t>
  </si>
  <si>
    <t>Murray, Christine E.;Graves, Kelly N.;Graves, Kelly N.</t>
  </si>
  <si>
    <t>HV6626 .M87 2013</t>
  </si>
  <si>
    <t>Emotional Labor in the 21st Century : Diverse Perspectives on Emotion Regulation at Work</t>
  </si>
  <si>
    <t>Grandey, Alicia;Diefendorff, James;Rupp, Deborah E.</t>
  </si>
  <si>
    <t>HF5549.5.N64 E46 20</t>
  </si>
  <si>
    <t>Nonverbal communication in the workplace. ; Employees -- Attitudes. ; Customer relations. ; Interpersonal relations. ; Psychology, Industrial.</t>
  </si>
  <si>
    <t>Our Racist Heart? : An Exploration of Unconscious Prejudice in Everyday Life</t>
  </si>
  <si>
    <t>BF575.P9 B34 2012</t>
  </si>
  <si>
    <t>Pollock, Karen;Gibbon, Fiona E.</t>
  </si>
  <si>
    <t>RC423 .H3287 2013</t>
  </si>
  <si>
    <t>National Myths : Constructed Pasts, Contested Presents</t>
  </si>
  <si>
    <t>Bouchard, Gérard;Bouchard, Gérard</t>
  </si>
  <si>
    <t>BF753 .N38 2013</t>
  </si>
  <si>
    <t>National characteristics. ; Mythology. ; Ethnicity. ; Group identity.</t>
  </si>
  <si>
    <t>Preventing Mental Ill-Health : Informing Public Health Planning and Mental Health Practice</t>
  </si>
  <si>
    <t>Newton, Jennifer</t>
  </si>
  <si>
    <t>RA790 .N44 2013</t>
  </si>
  <si>
    <t>The Experience of Thinking : How the Fluency of Mental Processes Influences Cognition and Behaviour</t>
  </si>
  <si>
    <t>Unkelbach, Christian;Greifeneder, Rainer</t>
  </si>
  <si>
    <t>BF441 .E92 2013</t>
  </si>
  <si>
    <t>Invariant Measurement : Using Rasch Models in the Social, Behavioral, and Health Sciences</t>
  </si>
  <si>
    <t>Engelhard Jr., George</t>
  </si>
  <si>
    <t>BF39 .E54 2012</t>
  </si>
  <si>
    <t>Complicated Grief : Scientific Foundations for Health Care Professionals</t>
  </si>
  <si>
    <t>Stroebe, Margaret;Schut, Henk;van den Bout, Jan</t>
  </si>
  <si>
    <t>BF575.G7 C66 2012</t>
  </si>
  <si>
    <t>Developing a Forensic Practice : Operations and Ethics for Experts</t>
  </si>
  <si>
    <t>Reid, William H.</t>
  </si>
  <si>
    <t>RA1151 .R45 2013</t>
  </si>
  <si>
    <t>Moodley, Roy;Gielen, Uwe P.;Wu, Rosa</t>
  </si>
  <si>
    <t>BF636.6 .H337 2013</t>
  </si>
  <si>
    <t>Desmarais, Jane;Goldie, Lawrence</t>
  </si>
  <si>
    <t>QP356 -- .G65 2013eb</t>
  </si>
  <si>
    <t>How to Laugh Your Way Through Life : A Psychoanalyst's Advice</t>
  </si>
  <si>
    <t>BF575.L3 -- M37 2013eb</t>
  </si>
  <si>
    <t>Denzin, Norman K.;Giardina, Michael D.;Bhattacharya, Kakali;Dillard, Cynthia B;Ellingson, Laura L;Fielding, Dr Nigel G</t>
  </si>
  <si>
    <t>H62 -- .G527 2013eb</t>
  </si>
  <si>
    <t>Social sciences -- Research -- Methodology. ; Qualitative research -- Methodology.</t>
  </si>
  <si>
    <t>Art on Trial : Art Therapy in Capital Murder Cases</t>
  </si>
  <si>
    <t>Gussak, David</t>
  </si>
  <si>
    <t>NONE</t>
  </si>
  <si>
    <t>RC489.A7 -- G87 2013eb</t>
  </si>
  <si>
    <t>Designing to Heal : Planning and Urban Design Response to Disaster and Conflict</t>
  </si>
  <si>
    <t>CSIRO Publishing</t>
  </si>
  <si>
    <t>Donovan, Jenny</t>
  </si>
  <si>
    <t>NA2543.S6 D66 2013</t>
  </si>
  <si>
    <t>Architecture and society. ; Architecture-Human factors. ; Environmental psychology. ; Architecture-Psychological aspects. ; Architecture-Environmental aspects. ; Dwellings-Environmental aspects. ; Buildings-Environmental engineering.</t>
  </si>
  <si>
    <t>Lodge, Milton;Taber, Charles S.</t>
  </si>
  <si>
    <t>Cambridge Studies in Public Opinion and Political Psychology Series</t>
  </si>
  <si>
    <t>JA74.5 .L62 2013</t>
  </si>
  <si>
    <t>Political psychology. ; Public opinion. ; Voting.</t>
  </si>
  <si>
    <t>Zun, Leslie S.;Chepenik, Lara G.;Mallory, Mary Nan S.</t>
  </si>
  <si>
    <t>RC480.6.B443 2013eb</t>
  </si>
  <si>
    <t>Psychiatric emergencies. ; Crisis intervention (Mental health services)</t>
  </si>
  <si>
    <t>Hall, John A.;Malesević, Sinisa</t>
  </si>
  <si>
    <t>JC311 .N32275 2013</t>
  </si>
  <si>
    <t>Nationalism -- Psychological aspects. ; War -- Psychological aspects.</t>
  </si>
  <si>
    <t>RC553.C64 L37 2013</t>
  </si>
  <si>
    <t>Risk : Second Edition</t>
  </si>
  <si>
    <t>Lupton, Deborah</t>
  </si>
  <si>
    <t>HM1101 .L87 2013</t>
  </si>
  <si>
    <t>Risk -- Sociological aspects. ; Risk perception -- Social aspects.</t>
  </si>
  <si>
    <t>Ostracism : The Power of Silence</t>
  </si>
  <si>
    <t>Williams, Kipling D.</t>
  </si>
  <si>
    <t>HM1131</t>
  </si>
  <si>
    <t>302.5/45</t>
  </si>
  <si>
    <t>Tannenbaum, Arnold</t>
  </si>
  <si>
    <t>Routledge Library Editions: Organizations Series</t>
  </si>
  <si>
    <t>HF5548.8 -- .T3 1966eb</t>
  </si>
  <si>
    <t>Robinson, Michael D.;Watkins, Edward R.;Harmon-Jones, Eddie;Harmon-Jones, Eddie</t>
  </si>
  <si>
    <t>BF311 -- .H3336 2013eb</t>
  </si>
  <si>
    <t>Emotions and cognition -- Handbooks, manuals, etc. ; Cognition -- Handbooks, manuals, etc. ; Emotions -- Handbooks, manuals, etc.</t>
  </si>
  <si>
    <t>Webb, Nancy Boyd</t>
  </si>
  <si>
    <t>RJ506.P66 .W67 2006</t>
  </si>
  <si>
    <t>Child welfare</t>
  </si>
  <si>
    <t>Teen Suicide Risk : A Practitioner Guide to Screening, Assessment, and Management</t>
  </si>
  <si>
    <t>King, Cheryl A.;Ewell Foster, Cynthia;Rogalski, Kelly M.</t>
  </si>
  <si>
    <t>RJ506.S9 -- K56 2013eb</t>
  </si>
  <si>
    <t>Teenagers -- Suicidal behavior</t>
  </si>
  <si>
    <t>Lincoln, Yvonna S.;Guba, Egon G.</t>
  </si>
  <si>
    <t>H62 -- .L4826 2013eb</t>
  </si>
  <si>
    <t>Social sciences -- Research -- Philosophy. ; Constructivism (Philosophy) ; Constructivism (Psychology)</t>
  </si>
  <si>
    <t>A Question of Time : Freud in the Light of Heidegger's Temporality</t>
  </si>
  <si>
    <t>Pearl, Joel</t>
  </si>
  <si>
    <t>Mastering the Semi-Structured Interview and Beyond : From Research Design to Analysis and Publication</t>
  </si>
  <si>
    <t>Galletta, Anne;Cross, William E.</t>
  </si>
  <si>
    <t>Interviewing. ; Qualitative research -- Methodology.</t>
  </si>
  <si>
    <t>Chimes of Time : Wounded Health Professionals. Essays on Recovery</t>
  </si>
  <si>
    <t>Sidestone Press</t>
  </si>
  <si>
    <t>Kirkcaldy, Bruce</t>
  </si>
  <si>
    <t>R727.3 -- .C45 2013eb</t>
  </si>
  <si>
    <t>Medical personnel -- Psychology. ; Medical care -- Psychological aspects.</t>
  </si>
  <si>
    <t>The Mindfulness and Acceptance Workbook for Social Anxiety and Shyness : Using Acceptance and Commitment Therapy to Free Yourself from Fear and Reclaim Your Life</t>
  </si>
  <si>
    <t>Fleming, Jan E.;Kocovski, Nancy L.;Segal, Zindel V.</t>
  </si>
  <si>
    <t>RC552.S62 -- F54 2013eb</t>
  </si>
  <si>
    <t>Social Work Visions from Around the Globe : Citizens, Methods, and Approaches</t>
  </si>
  <si>
    <t>Metten, Anna;Kroger, Teppo;Ranhalon, Pirkko-Liisa;Pohjola, Anneli</t>
  </si>
  <si>
    <t>HV687 -- .I565 2004eb</t>
  </si>
  <si>
    <t>Medical social work -- Congresses. ; Psychiatric social work -- Congresses. ; Social work with minorities -- Congresses. ; Ethnic groups -- Services for -- Congresses.</t>
  </si>
  <si>
    <t>ND623.L5 F813 2013</t>
  </si>
  <si>
    <t>709/.2/4</t>
  </si>
  <si>
    <t>Race, Colour and the Processes of Racialization : New Perspectives from Group Analysis, Psychoanalysis and Sociology</t>
  </si>
  <si>
    <t>Dalal, Farhad;Ferguson, Harvie</t>
  </si>
  <si>
    <t>BF175.4.R34</t>
  </si>
  <si>
    <t>Psychoanalysis and racism. ; Race -- Psychological aspects. ; Race awareness. ; Racism.</t>
  </si>
  <si>
    <t>Self Supervision : A Primer for Counselors and Human Service Professionals</t>
  </si>
  <si>
    <t>Morrissette, Patrick J.</t>
  </si>
  <si>
    <t>BF637.C6 M625 2013</t>
  </si>
  <si>
    <t>Situational Judgment Tests : Theory, Measurement, and Application</t>
  </si>
  <si>
    <t>Weekley, Jeff A.;Ployhart, Robert E.</t>
  </si>
  <si>
    <t>BF431 .S54</t>
  </si>
  <si>
    <t>153.9/4</t>
  </si>
  <si>
    <t>RC455.2.C4 -- P37 2013eb</t>
  </si>
  <si>
    <t>Social change -- Great Britain. ; Social change -- India. ; Associations, institutions, etc. -- Great Britain. ; Associations, institutions, etc. -- India.</t>
  </si>
  <si>
    <t>Intrusive Partners - Elusive Mates : The Pursuer-Distancer Dynamic in Couples</t>
  </si>
  <si>
    <t>Betchen, Stephen J.</t>
  </si>
  <si>
    <t>HQ801 .B495</t>
  </si>
  <si>
    <t>Neuropsychology and Philosophy of Mind in Process : Essays in Honor of Jason W. Brown</t>
  </si>
  <si>
    <t>Pachalska, Maria;Weber, Michel</t>
  </si>
  <si>
    <t>Process Thought Series</t>
  </si>
  <si>
    <t>RC343.N48 2008eb</t>
  </si>
  <si>
    <t>Brown, Jason W. ; Neuropsychiatry -- Philosophy. ; Higher nervous activity. ; Cognition.</t>
  </si>
  <si>
    <t>Commitment and Compassion in Psychoanalysis : Selected Papers of Edward M. Weinshel</t>
  </si>
  <si>
    <t>Wallerstein, Robert S.</t>
  </si>
  <si>
    <t>RC506 .W395 2013</t>
  </si>
  <si>
    <t>616/89/17</t>
  </si>
  <si>
    <t>The Designed Self : Psychoanalysis and Contemporary Identities</t>
  </si>
  <si>
    <t>Strenger, Carlo</t>
  </si>
  <si>
    <t>BF697 .S855</t>
  </si>
  <si>
    <t>When the Bubble Bursts : Clinical Perspectives on Midlife Issues</t>
  </si>
  <si>
    <t>Goldstein, Eda</t>
  </si>
  <si>
    <t>RC451.4.M54 G66</t>
  </si>
  <si>
    <t>What Do Mothers Want? : Developmental Perspectives, Clinical Challenges</t>
  </si>
  <si>
    <t>Brown, Sheila F.</t>
  </si>
  <si>
    <t>HQ759 .W455</t>
  </si>
  <si>
    <t>Disgust : The Gatekeeper Emotion</t>
  </si>
  <si>
    <t>Miller, Susan</t>
  </si>
  <si>
    <t>BF575.A886 M54</t>
  </si>
  <si>
    <t>September 11 : Trauma and Human Bonds</t>
  </si>
  <si>
    <t>Coates, Susan;Rosenthal, Jane;Schechter, Daniel</t>
  </si>
  <si>
    <t>RC552.P67 S42</t>
  </si>
  <si>
    <t>Unconscious Fantasies and the Relational World : Theory, Therapy, and Culture</t>
  </si>
  <si>
    <t>Knafo, Danielle;Feiner, Kenneth</t>
  </si>
  <si>
    <t>BF175.5.F36 K553</t>
  </si>
  <si>
    <t>Gelfand, Toby;Kerr, John</t>
  </si>
  <si>
    <t>RC500.5 .F74</t>
  </si>
  <si>
    <t>150.19/52/09</t>
  </si>
  <si>
    <t>Freud, Sigmund, -- 1856-1939 -- Congresses. ; Psychoanalysis -- History -- Congresses.</t>
  </si>
  <si>
    <t>Art As Language : Access to Emotions and Cognitive Skills Through Drawings</t>
  </si>
  <si>
    <t>Silver, Rawley;Malchiodi, Cathy A.</t>
  </si>
  <si>
    <t>BF723.D7 S57</t>
  </si>
  <si>
    <t>Children's drawings -- Psychological aspects. ; Children's art -- Psychological aspects. ; Art -- Psychology. ; Drawing, Psychology of. ; Art therapy for children. ; Art therapy.</t>
  </si>
  <si>
    <t>Hopkins, Peter E.</t>
  </si>
  <si>
    <t>HQ796 .H659</t>
  </si>
  <si>
    <t>Leaders and Legacies : Contributions to the Profession of Counseling</t>
  </si>
  <si>
    <t>West, John;Bubenzer, Don;Osborn, Cynthia</t>
  </si>
  <si>
    <t>BF637.C6 L39</t>
  </si>
  <si>
    <t>Cancer and the Family Life Cycle : A Practitioner's Guide</t>
  </si>
  <si>
    <t>Veach, Theresa A.;Nicholas, Donald R.;Barton, Marci A.</t>
  </si>
  <si>
    <t>RC262 .V385 2013</t>
  </si>
  <si>
    <t>Resolving Childhood Trauma : A Long-Term Study of Abuse Survivors</t>
  </si>
  <si>
    <t>Cameron, Catherine</t>
  </si>
  <si>
    <t>616.85/8369</t>
  </si>
  <si>
    <t>Behavior Change and Public Health in the Developing World</t>
  </si>
  <si>
    <t>Elder, John P.</t>
  </si>
  <si>
    <t>614.4/4</t>
  </si>
  <si>
    <t>Multicultural Counseling Competencies : Assessment, Education and Training, and Supervision</t>
  </si>
  <si>
    <t>Thomas, R. Murray</t>
  </si>
  <si>
    <t>Learning from Resilient People : Lessons We Can Apply to Counseling and Psychotherapy</t>
  </si>
  <si>
    <t>Understanding and Treating Adolescent Substance Abuse</t>
  </si>
  <si>
    <t>Muisener, Philip P.</t>
  </si>
  <si>
    <t>362.29/0835</t>
  </si>
  <si>
    <t>Lindesmith, Alfred R.;Strauss, Anselm;Denzin, Norman K.</t>
  </si>
  <si>
    <t>Adult Personality Development : Volume 2: Applications</t>
  </si>
  <si>
    <t>Wrightsman, Lawrence S., Jr.</t>
  </si>
  <si>
    <t>Marriage, Divorce, and Children&amp;prime;s Adjustment</t>
  </si>
  <si>
    <t>Communicating Hope : An Ethnography of a Children's Mental Health Care Team</t>
  </si>
  <si>
    <t>Davis, Christine</t>
  </si>
  <si>
    <t>HV689 -- .D385 2013eb</t>
  </si>
  <si>
    <t>Psychiatric social work -- Case studies. ; Mentally ill children -- Services for -- Case studies. ; Social work with children -- Case studies. ; Child mental health services -- Case studies.</t>
  </si>
  <si>
    <t>van Deurzen, Emmy;Kenward, Raymond</t>
  </si>
  <si>
    <t>RC489.E93 -- V357 2005eb</t>
  </si>
  <si>
    <t>Running on Empty : A Novel about Eating Disorders for Teenage Girls</t>
  </si>
  <si>
    <t>RC552.E18 -- P38 2002eb</t>
  </si>
  <si>
    <t>Medicine; Literature; Psychology</t>
  </si>
  <si>
    <t>Expertise and Skill Acquisition : The Impact of William G. Chase</t>
  </si>
  <si>
    <t>Staszewski, James J.</t>
  </si>
  <si>
    <t>BF378.E94 E97 2012</t>
  </si>
  <si>
    <t>A Practical Casebook of Time-Limited Psychoanalytic Work : A Modern Kleinian Approach</t>
  </si>
  <si>
    <t>RC480.55 .W38 2013</t>
  </si>
  <si>
    <t>Klein, Melanie. ; Brief psychotherapy -- Handbooks, manuals, etc. ; Psychoanalysis -- Handbooks, manuals, etc.</t>
  </si>
  <si>
    <t>Psychoanalysis and Creativity in Everyday Life : Ordinary Genius</t>
  </si>
  <si>
    <t>Corradi Fiumara, Gemma</t>
  </si>
  <si>
    <t>BF408 .C6697 2013</t>
  </si>
  <si>
    <t>HM1111.H37 2003eb</t>
  </si>
  <si>
    <t>Running Behavioral Studies with Human Participants : A Practical Guide</t>
  </si>
  <si>
    <t>Ritter, Frank E.;Kim, Jong W.;Morgan, Jonathan H.;Carlson, Richard A. (Alan)</t>
  </si>
  <si>
    <t>150.72/4</t>
  </si>
  <si>
    <t>Encyclopedia of the Mind</t>
  </si>
  <si>
    <t>Pashler, Harold</t>
  </si>
  <si>
    <t>Seduction and Desire : The Psychoanalytic Theory of Sexuality since Freud</t>
  </si>
  <si>
    <t>Quindeau, Ilka</t>
  </si>
  <si>
    <t>BF175.5.S48 -- Q5613 2013eb</t>
  </si>
  <si>
    <t>Freud, Sigmund, -- 1856-1939. ; Sex (Psychology) ; Psychoanalysis.</t>
  </si>
  <si>
    <t>I. B. Tauris &amp; Company, Limited</t>
  </si>
  <si>
    <t>Walsh, Maria</t>
  </si>
  <si>
    <t>Art and Series</t>
  </si>
  <si>
    <t>N72.P74 A32 2012</t>
  </si>
  <si>
    <t>Substance Abuse in Adolescents and Young Adults : A Manual for Pediatric and Primary Care Clinicians</t>
  </si>
  <si>
    <t>Greydanus, Donald E.;Kaplan, Gabriel;Patel, Dilip R.;Merrick, Joav</t>
  </si>
  <si>
    <t>RJ506.D78.S83 2013eb</t>
  </si>
  <si>
    <t>Substance abuse -- Treatment. ; Teenagers -- Substance use. ; Young adults -- Substance use.</t>
  </si>
  <si>
    <t>Bahrick, Harry P.;Hall, Lynda K.;Baker, Melinda K.</t>
  </si>
  <si>
    <t>BF201 -- .B34 2013eb</t>
  </si>
  <si>
    <t>Tester, Keith</t>
  </si>
  <si>
    <t>HM866 -- .T47 2013eb</t>
  </si>
  <si>
    <t>Panic - Social aspects</t>
  </si>
  <si>
    <t>Oikkonen, Venla</t>
  </si>
  <si>
    <t>BF698.95 -- .O55 2013eb</t>
  </si>
  <si>
    <t>Building Imaginary Worlds : The Theory and History of Subcreation</t>
  </si>
  <si>
    <t>Wolf, Mark J. P.</t>
  </si>
  <si>
    <t>PN56.C69 W67 2013</t>
  </si>
  <si>
    <t>801/.92</t>
  </si>
  <si>
    <t>Creation (Literary, artistic, etc.) ; Imaginary societies -- Authorship. ; Fiction -- History and criticism -- Theory, etc.</t>
  </si>
  <si>
    <t>Stambulova, Natalia B.;Ryba, Tatiana V.;Stambulova, Natalia B.;Ryba, Tatiana V.</t>
  </si>
  <si>
    <t>ISSP Key Issues in Sport and Exercise Psychology Series</t>
  </si>
  <si>
    <t>GV706.2 .A75 2013</t>
  </si>
  <si>
    <t>Hobson, Peter</t>
  </si>
  <si>
    <t>BF173 -- .C66 2013eb</t>
  </si>
  <si>
    <t>Reshaping the Self : Reflections on Renewal Through Therapy</t>
  </si>
  <si>
    <t>RC465 -- .E34 2013eb</t>
  </si>
  <si>
    <t>Psychotherapy -- Case studies. ; Self-actualization (Psychology) -- Case studies.</t>
  </si>
  <si>
    <t>Theory of Psychoanalytical Practice : A Relational Process Approach</t>
  </si>
  <si>
    <t>Tubert-Oklander, Juan</t>
  </si>
  <si>
    <t>BF173 -- .T83 2013eb</t>
  </si>
  <si>
    <t>Rosoman, Jane;Speedy, Jane;Sills, Charlotte;Tholstrup, Ms Margaret;Towler, John;Wosket, Val;Henderson, Penny;Hewson, Julie;Proctor, Brigid;Orlans, Vanja</t>
  </si>
  <si>
    <t>Unlikely Friends : Bridging Ties and Diverse Friendships</t>
  </si>
  <si>
    <t>Vela-McConnell, James A.</t>
  </si>
  <si>
    <t>BF575.F66 -- V45 2011eb</t>
  </si>
  <si>
    <t>Controlling Your Drinking : Tools to Make Moderation Work for You</t>
  </si>
  <si>
    <t>Miller, William R.;Muñoz, Ricardo F.;Muñoz, Ricardo F.</t>
  </si>
  <si>
    <t>HV5278 -- .M55 2013eb</t>
  </si>
  <si>
    <t>Controlled drinking. ; Alcoholism. ; Self-care, Health.</t>
  </si>
  <si>
    <t>Process and Personality : Actualization of the Personal World with Process-Oriented Methods</t>
  </si>
  <si>
    <t>Smith, Gudmund J. W.;Carlsson, Ingegerd M.</t>
  </si>
  <si>
    <t>BF698.4.P76 2008eb</t>
  </si>
  <si>
    <t>Personality assessment -- Congresses. ; Psychodiagnostics -- Congresses. ; Perception -- Testing -- Congresses.</t>
  </si>
  <si>
    <t>Person, Ethel S.;Fonagy, Peter;Figueira, Sérvulo Augusto</t>
  </si>
  <si>
    <t>BF175.5.F36 -- O47 2013eb</t>
  </si>
  <si>
    <t>Freud, Sigmund, -- 1856-1939. -- Dichter und das Phantasieren. ; Fantasy. ; Creative ability. ; Psychoanalysis.</t>
  </si>
  <si>
    <t>Person, Ethel S.;Hagelin, Aiban;Fonagy, Peter</t>
  </si>
  <si>
    <t>RC489.T73 -- O5 2013eb</t>
  </si>
  <si>
    <t>Freud, Sigmund, -- 1856-1939. -- Bemerkungen über die Übertragungsliebe. ; Transference (Psychology)</t>
  </si>
  <si>
    <t>The Mother and Her Child : Clinical Aspects of Attachment, Separation, and Loss</t>
  </si>
  <si>
    <t>Akhtar, Salman;Bergman, Anni;Blom, Inga;Bonovitz, Jennifer;Brabender, Virginia M.;Etezady, M. Hossein;Fallon, April E.;Fischer, Newell;Harrison, Alexandra M;Ornstein, Anna</t>
  </si>
  <si>
    <t>BF723.M55.M68 2012eb</t>
  </si>
  <si>
    <t>Mother-Child Relations. ; Child Development. ; Child Rearing--psychology. ; Personality Development.</t>
  </si>
  <si>
    <t>Gynecologic Oncology Handbook : An Evidence-Based Clinical Guide</t>
  </si>
  <si>
    <t>Benoit, Michelle;Edwards, Creighton;Williams-Brown, M. Yvette</t>
  </si>
  <si>
    <t>RC280.G5 -- B45 2013eb</t>
  </si>
  <si>
    <t>AIDS (Disease) -- Government policy -- South Africa. ; Denial (Psychology) -- South Africa.</t>
  </si>
  <si>
    <t>The Making of DSM-III? : A Diagnostic Manual's Conquest of American Psychiatry</t>
  </si>
  <si>
    <t>Decker, Hannah</t>
  </si>
  <si>
    <t>RC455.2.C4 -- D43 2013eb</t>
  </si>
  <si>
    <t>Diagnostic and statistical manual of mental disorders. ; Mental illness -- Diagnosis -- United States -- History -- 20th century. ; Mental illness -- United States -- Classification -- History -- 20th century. ; Psychiatry -- United States -- History -- 20th century.</t>
  </si>
  <si>
    <t>The Joy of Pain : Schadenfreude and the Dark Side of Human Nature</t>
  </si>
  <si>
    <t>Smith, Richard H.</t>
  </si>
  <si>
    <t>BF575.E65 -- S65 2013eb</t>
  </si>
  <si>
    <t>Envy. ; Failure (Psychology) ; Humiliation.</t>
  </si>
  <si>
    <t>Future Bright : A Transforming Vision of Human Intelligence</t>
  </si>
  <si>
    <t>Martinez, Michael E.</t>
  </si>
  <si>
    <t>BF431.M38367 2013eb</t>
  </si>
  <si>
    <t>Ness, Roberta</t>
  </si>
  <si>
    <t>BF412.N46 2013eb</t>
  </si>
  <si>
    <t>Genius -- Case studies. ; Creative ability in science -- Case studies. ; Creative ability.</t>
  </si>
  <si>
    <t>Tuan, Yi-Fu</t>
  </si>
  <si>
    <t>BF575.F2</t>
  </si>
  <si>
    <t>Fear. ; Landscapes -- Psychological aspects.</t>
  </si>
  <si>
    <t>AD,AE,AF,AI,AL,AM,AO,AQ,AR,AS,AT,AW,AZ,BA,BB,BE,BF,BG,BH,BI,BJ,BM,BO,BR,BT,BV,BY,CA,CC,CD,CF,CG,CH,CI,CK,CL,CN,CO,CR,CU,CV,CX,CZ,DE,DJ,DK,DO,DZ,EC,EE,EH,ER,ES,ET,FI,FJ,FK,FM,FO,FR,GA,GD,GE,GG,GI,GL,GN,GP,GQ,GR,GS,GT,GU,GW,GY,HK,HN,HR,HT,HU,ID,IE,IL,IM,IO,IQ,IR,IS,IT,JE,JO,JP,KG,KH,KM,KR,KW,KY,KZ,LA,LB,LI,LR,LT,LU,LV,LY,MA,MC,MD,MG,MH,MK,ML,MM,MN,MO,MP,MQ,MR,MS,MX,NC,NE,NF,NI,NL,NO,NP,NU,OM,PA,PE,PF,PH,PL,PM,PN,PR,PT,PW,PY,QA,RE,RO,RU,RW,SA,SD,SE,SH,SI,SJ,SK,SM,SN,SO,SR,ST,SV,SY,TC,TD,TF,TG,TH,TJ,TK,TM,TN,TR,TW,UA,US,UY,UZ,VA,VE,VG,VI,VN,WF,YE,YT,ZW</t>
  </si>
  <si>
    <t>Martin, G. Neil</t>
  </si>
  <si>
    <t>QP360 -- .M3516 2013eb</t>
  </si>
  <si>
    <t>Christiansen, Neil;Tett, Robert;Tette, Robert</t>
  </si>
  <si>
    <t>BF698.9.O3 -- H36 2013eb</t>
  </si>
  <si>
    <t>Personality and occupation. ; Employees -- Psychology. ; Personnel management -- Psychological aspects.</t>
  </si>
  <si>
    <t>Models of Madness : Psychological, Social and Biological Approaches to Psychosis</t>
  </si>
  <si>
    <t>Read, John;Bentall, Professor Richard;Mosher, Loren;Dillon, Jacqui</t>
  </si>
  <si>
    <t>RC514 -- .M5485 2013eb</t>
  </si>
  <si>
    <t>Television and the Aggressive Child : A Cross-National Comparison</t>
  </si>
  <si>
    <t>Huesmann, L. Rowell;Eron, Leonard D.</t>
  </si>
  <si>
    <t>Routledge Library Editions: Television Series</t>
  </si>
  <si>
    <t>HQ784.T4 -- T45 2013eb</t>
  </si>
  <si>
    <t>Television and children -- Cross-cultural studies. ; Violence on television -- Cross-cultural studies. ; Aggressiveness in children -- Cross-cultural studies.</t>
  </si>
  <si>
    <t>Anorexia Nervosa : A Recovery Guide for Sufferers, Families and Friends</t>
  </si>
  <si>
    <t>Treasure, Janet;Alexander, June</t>
  </si>
  <si>
    <t>RC552.A5 T74 2013</t>
  </si>
  <si>
    <t>The Developing Child in the 21st Century : A Global Perspective on Child Development</t>
  </si>
  <si>
    <t>HQ767.9 -- .S625 2013eb</t>
  </si>
  <si>
    <t>Children. ; Child development.</t>
  </si>
  <si>
    <t>Kirkland, Kevin</t>
  </si>
  <si>
    <t>ML102.M83 -- I57 2013eb</t>
  </si>
  <si>
    <t>Kennedy, Fiona;Kennerley, Helen;Pearson, David</t>
  </si>
  <si>
    <t>RC553.D5 -- C64 2013eb</t>
  </si>
  <si>
    <t>Jacobs, Theodore J.</t>
  </si>
  <si>
    <t>RC506 -- .J327 2013eb</t>
  </si>
  <si>
    <t>Knowledge and Systems Science : Enabling Systemic Knowledge Synthesis</t>
  </si>
  <si>
    <t>Philadelphia, PA</t>
  </si>
  <si>
    <t>Chapman &amp; Hall/CRC</t>
  </si>
  <si>
    <t>Nakamori, Yoshiteru</t>
  </si>
  <si>
    <t>HM651.N35 2014eb</t>
  </si>
  <si>
    <t>Knowledge, Sociology of. ; Thought and thinking. ; Knowledge management. ; Creative ability.</t>
  </si>
  <si>
    <t>Aldrich, Marcia</t>
  </si>
  <si>
    <t>The Sue William Silverman Prize for Creative Nonfiction Series</t>
  </si>
  <si>
    <t>362.28/3</t>
  </si>
  <si>
    <t>Emotionally Involved : The Impact of Researching Rape</t>
  </si>
  <si>
    <t>Campbell, Rebecca</t>
  </si>
  <si>
    <t>HV6558 -- .C36 2002eb</t>
  </si>
  <si>
    <t>362.883/07/2</t>
  </si>
  <si>
    <t>BF201.4.D5</t>
  </si>
  <si>
    <t>Learning from Experience : Guidebook for Clinicians</t>
  </si>
  <si>
    <t>Charles, Marilyn</t>
  </si>
  <si>
    <t>RC504 -- .C48 2004eb</t>
  </si>
  <si>
    <t>A Spirit of Inquiry : Communication in Psychoanalysis</t>
  </si>
  <si>
    <t>RC506 -- .L5238 2002eb</t>
  </si>
  <si>
    <t>Sorenson, Randall Lehmann</t>
  </si>
  <si>
    <t>Frontiers of Test Validity Theory : Measurement, Causation, and Meaning</t>
  </si>
  <si>
    <t>Markus, Keith A.;Borsboom, Denny</t>
  </si>
  <si>
    <t>BF39 .M277 2013</t>
  </si>
  <si>
    <t>Uncoupling Convention : Psychoanalytic Approaches to Same-Sex Couples and Families</t>
  </si>
  <si>
    <t>D'Ercole, Ann;Drescher, Jack</t>
  </si>
  <si>
    <t>RC451.4.G3</t>
  </si>
  <si>
    <t>616.89/17/08664</t>
  </si>
  <si>
    <t>Youth Sport, Physical Activity and Play : Policy, Intervention and Participation</t>
  </si>
  <si>
    <t>Parker, Andrew;Vinson, Don</t>
  </si>
  <si>
    <t>GV706.5</t>
  </si>
  <si>
    <t>Sports for children. ; Exercise for children. ; Child psychology. ; Adolescent psychology.</t>
  </si>
  <si>
    <t>My New Gender Workbook : A Step-By-Step Guide to Achieving World Peace Through Gender Anarchy and Sex Positivity</t>
  </si>
  <si>
    <t>Bornstein, Kate</t>
  </si>
  <si>
    <t>HQ1075 .B69 2013</t>
  </si>
  <si>
    <t>Gender identity. ; Sex (Psychology)</t>
  </si>
  <si>
    <t>Barrouillet, Pierre;Gauffroy, Caroline</t>
  </si>
  <si>
    <t>BF723.C5 -- .D484 2013eb</t>
  </si>
  <si>
    <t>Cognition in children. ; Reasoning in children. ; Child development.</t>
  </si>
  <si>
    <t>BF833 .A4 2013</t>
  </si>
  <si>
    <t>Psychology. ; Characters and characteristics.</t>
  </si>
  <si>
    <t>Oelsner, Robert</t>
  </si>
  <si>
    <t>RC489.T73 T7273 2013</t>
  </si>
  <si>
    <t>The Darkening Spirit : Jung, Spirituality, Religion</t>
  </si>
  <si>
    <t>BF175.4.R44 T327 20</t>
  </si>
  <si>
    <t>Introduction to Psychodynamic Psychotherapy Technique</t>
  </si>
  <si>
    <t>Fels Usher, Sarah</t>
  </si>
  <si>
    <t>RC489.P72 U84 2013</t>
  </si>
  <si>
    <t>What Do Our Terms Mean? : Explorations Using Psychoanalytic Theories and Concepts</t>
  </si>
  <si>
    <t>Hayman, Anne</t>
  </si>
  <si>
    <t>BF173.A25 -- H39 2013eb</t>
  </si>
  <si>
    <t>Shame and Humiliation : A Dialogue Between Psychoanalytic and Systemic Approaches</t>
  </si>
  <si>
    <t>Guillermo Bigliani, Carlos;Moguillansky, Rodolfo;Sluzki, Carlos E.</t>
  </si>
  <si>
    <t>BF575.S45 -- G85 2013eb</t>
  </si>
  <si>
    <t>Shame. ; Humiliation.</t>
  </si>
  <si>
    <t>Roots and Collapse of Empathy : Human nature at its best and at its worst</t>
  </si>
  <si>
    <t>BF575.E55 -- .B73 2013eb</t>
  </si>
  <si>
    <t>Surveying -- Early works to 1800. ; Agriculture -- Early works to 1800.</t>
  </si>
  <si>
    <t>Memorylands : Heritage and Identity in Europe Today</t>
  </si>
  <si>
    <t>Macdonald, Sharon;Tyler, Christopher W.</t>
  </si>
  <si>
    <t>D1053 .M26 2013</t>
  </si>
  <si>
    <t>Cultural property -- Social aspects. ; Memory -- Social aspects -- Europe. ; Collective memory -- Europe. ; Nationalism -- Europe. ; Group identity -- Europe. ; Museums -- Social aspects -- Europe. ; Material culture -- Europe.</t>
  </si>
  <si>
    <t>Valent, Paul;Bush, Shane S.</t>
  </si>
  <si>
    <t>RC451.4.H62 V35 2013</t>
  </si>
  <si>
    <t>940.5/318/0922</t>
  </si>
  <si>
    <t>Holocaust survivors -- Australia -- Interviews. ; Jewish children in the Holocaust -- Australia -- Interviews. ; Adult child abuse victims -- Australia -- Interviews.</t>
  </si>
  <si>
    <t>Craft and Spirit : A Guide to the Exploratory Psychotherapies</t>
  </si>
  <si>
    <t>RC504 .L525 2013</t>
  </si>
  <si>
    <t>The Child's Unconscious Mind : The Relations of Psychoanalysis to Education</t>
  </si>
  <si>
    <t>Lay, Wilfrid, Wilfrid</t>
  </si>
  <si>
    <t>BF721 .L4</t>
  </si>
  <si>
    <t>Psychoanalysis and education. ; Child psychology.</t>
  </si>
  <si>
    <t>Piaget, Jean, Jean</t>
  </si>
  <si>
    <t>BF723.C3 P53</t>
  </si>
  <si>
    <t>Causation. ; Child psychology.</t>
  </si>
  <si>
    <t>Turner, Julia</t>
  </si>
  <si>
    <t>BF1078 .T94</t>
  </si>
  <si>
    <t>Dream interpretation. ; Dreams -- Psychological aspects.</t>
  </si>
  <si>
    <t>Surprise and the Psycho-Analyst : On the Conjecture and Comprehension of Unconscious Processes</t>
  </si>
  <si>
    <t>Reik, Theodor, Theodor</t>
  </si>
  <si>
    <t>BF173 .R432 2013</t>
  </si>
  <si>
    <t>Psychoanalysis. ; Subconsciousness.</t>
  </si>
  <si>
    <t>BF721 .P452</t>
  </si>
  <si>
    <t>Play assessment (Child psychology) ; Imitation in children. ; Children's dreams.</t>
  </si>
  <si>
    <t>Ladd-Franklin, Christine</t>
  </si>
  <si>
    <t>QP483 .F7</t>
  </si>
  <si>
    <t>152.1/45</t>
  </si>
  <si>
    <t>The Effects of Music : A Series of Essays</t>
  </si>
  <si>
    <t>Schoen, Max</t>
  </si>
  <si>
    <t>ML3838 .S3</t>
  </si>
  <si>
    <t>Music -- Psychological aspects. ; Musical analysis.</t>
  </si>
  <si>
    <t>DiTomasso, Robert A.;Cahn, Stacey C.;Panichelli-Mindel, Susan M.;McFillin, Roger K.</t>
  </si>
  <si>
    <t>Specialty Competencies in Professional Psychology Series</t>
  </si>
  <si>
    <t>RC467.S643 2013eb</t>
  </si>
  <si>
    <t>DiGiuseppe, Raymond A.;Doyle, Kristene A.;Dryden, Windy;Backx, Wouter</t>
  </si>
  <si>
    <t>RC489.R3.W34 2014eb</t>
  </si>
  <si>
    <t>Parenting and Substance Abuse : Developmental Approaches to Intervention</t>
  </si>
  <si>
    <t>Suchman, Nancy E.;Pajulo, Marjukka;Mayes, Linda C.</t>
  </si>
  <si>
    <t>HV4999.P37.P37 2013</t>
  </si>
  <si>
    <t>Parents -- Substance use -- United States. ; Parents -- Substance use -- United States -- Prevention. ; Children of drug addicts -- United States. ; Substance abuse -- Treatment -- United States.</t>
  </si>
  <si>
    <t>Strada, E. Alessandra</t>
  </si>
  <si>
    <t>Oxford American Palliative Care Library</t>
  </si>
  <si>
    <t>BF575.G7S764 2013</t>
  </si>
  <si>
    <t>Bereavement. ; Palliative Care--psychology. ; Stress, Psychological.</t>
  </si>
  <si>
    <t>Comer, Jonathan S.;Kendall, Philip C.</t>
  </si>
  <si>
    <t>RC467.8.O94 2013eb</t>
  </si>
  <si>
    <t>Brinkmann, Svend</t>
  </si>
  <si>
    <t>H61.28.B75 2013eb</t>
  </si>
  <si>
    <t>Interviewing. ; Interviewing in sociology. ; Qualitative research.</t>
  </si>
  <si>
    <t>Treatments for Anger in Specific Populations : Theory, Application, and Outcome</t>
  </si>
  <si>
    <t>Fernandez, Ephrem</t>
  </si>
  <si>
    <t>RC569.5.A53.T74 201</t>
  </si>
  <si>
    <t>Anger -- Treatment. ; Anger -- Psychological aspects. ; Life change events -- Psychological aspects. ; Psychology, Pathological.</t>
  </si>
  <si>
    <t>Moore, Bret A.;Barnett, Jeffrey E.</t>
  </si>
  <si>
    <t>U22.3.M589 2013eb</t>
  </si>
  <si>
    <t>The Oxford Handbook of Quantitative Methods, Vol. 2 : Statistical Analysis</t>
  </si>
  <si>
    <t>Little, Todd D.</t>
  </si>
  <si>
    <t>BF39 -- .O927 2013eb</t>
  </si>
  <si>
    <t>Psychology -- Statistical methods. ; Psychology -- Mathematical models.</t>
  </si>
  <si>
    <t>Psychotherapy and Spirituality : Integrating the Spiritual Dimension into Therapeutic Practice</t>
  </si>
  <si>
    <t>Schreurs, Agneta;Pines, Malcolm</t>
  </si>
  <si>
    <t>RC489.S676 -- S37 2002eb</t>
  </si>
  <si>
    <t>Group psychoanalysis. ; Psychotherapist and patient. ; Psychotherapy patients -- Religious life. ; Psychotherapy -- Religious aspects -- Christianity. ; Psychotherapy -- Religious aspects. ; Spiritual life. ; Spirituality.</t>
  </si>
  <si>
    <t>Alberts, Jr., Fred;Ebbe, Christopher;Kazar, David</t>
  </si>
  <si>
    <t>RC467.7.A43 2014eb</t>
  </si>
  <si>
    <t>Arbitration and award -- Saudi Arabia. ; Arbitration and award (Islamic law)</t>
  </si>
  <si>
    <t>Adolescent Girls in Distress : A Guide for Mental Health Treatment and Prevention</t>
  </si>
  <si>
    <t>Choate, Laura</t>
  </si>
  <si>
    <t>RJ503.C46 2013eb</t>
  </si>
  <si>
    <t>616.89/140835</t>
  </si>
  <si>
    <t>Adolescent Psychology. ; Female. ; Mental Disorders--prevention &amp; control. ; Mental Disorders--therapy.</t>
  </si>
  <si>
    <t>Exploring Rituals in Nursing : Joining Art and Science</t>
  </si>
  <si>
    <t>Wolf, Zane Robinson</t>
  </si>
  <si>
    <t>RT41.W65 2014eb</t>
  </si>
  <si>
    <t>Nursing Process. ; Ceremonial Behavior. ; Interpersonal Relations.</t>
  </si>
  <si>
    <t>Early Psychosis Intervention : A Culturally Adaptive Clinical Guide</t>
  </si>
  <si>
    <t>Chen, Eric Yu-Hai;Chan, Gloria Hoi-kei;Lee, Helen</t>
  </si>
  <si>
    <t>RC512.E27 2013eb</t>
  </si>
  <si>
    <t>Popular music -- Great Britain -- History and criticism. ; Music -- Great Britain -- History and criticism.</t>
  </si>
  <si>
    <t>Hammel, Alice M.;Hourigan, Ryan M.</t>
  </si>
  <si>
    <t>ML3920.H27 2013eb</t>
  </si>
  <si>
    <t>Children with autism spectrum disorders -- Education. ; Autistic children -- Education. ; Special education. ; Music -- Instruction and study.</t>
  </si>
  <si>
    <t>Head Masters : Phrenology, Secular Education, and Nineteenth-Century Social Thought</t>
  </si>
  <si>
    <t>Tomlinson, Stephen</t>
  </si>
  <si>
    <t>BF868 .T66 2005</t>
  </si>
  <si>
    <t>139/.09</t>
  </si>
  <si>
    <t>Phrenology-History.</t>
  </si>
  <si>
    <t>Consciousness and Perceptual Experience : An Ecological and Phenomenological Approach</t>
  </si>
  <si>
    <t>Natsoulas, Thomas</t>
  </si>
  <si>
    <t>BF311.N387 2013eb</t>
  </si>
  <si>
    <t>Consciousness. ; Perception.</t>
  </si>
  <si>
    <t>Subjectivity in the Twenty-First Century : Psychological, Sociological, and Political Perspectives</t>
  </si>
  <si>
    <t>Tafarodi, Romin W.</t>
  </si>
  <si>
    <t>BD222.S835 2013eb</t>
  </si>
  <si>
    <t>Subjectivity. ; Intersubjectivity. ; Civilization, Modern -- 21st century.</t>
  </si>
  <si>
    <t>Bateson, Patrick;Martin, Paul</t>
  </si>
  <si>
    <t>BF717.B28 2013eb</t>
  </si>
  <si>
    <t>Play -- Psychological aspects. ; Creative ability. ; Creative thinking.</t>
  </si>
  <si>
    <t>Creativity and Crime : A Psychological Analysis</t>
  </si>
  <si>
    <t>Cropley, David H.;Cropley, Arthur J.</t>
  </si>
  <si>
    <t>HV6025.C767 2013eb</t>
  </si>
  <si>
    <t>Crime -- Sociological aspects. ; Creative ability. ; Creative thinking.</t>
  </si>
  <si>
    <t>Virtues and Vices in Positive Psychology : A Philosophical Critique</t>
  </si>
  <si>
    <t>Kristjánsson, Kristján;Kristjánsson, Kristján</t>
  </si>
  <si>
    <t>BF204.6.K75 2013eb</t>
  </si>
  <si>
    <t>Diagnostic and Behavioral Assessment in Children and Adolescents : A Clinical Guide</t>
  </si>
  <si>
    <t>McLeod, Bryce D.;Jensen-Doss, Amanda;Ollendick, Thomas H.;Jensen-Doss, Amanda</t>
  </si>
  <si>
    <t>RJ503.5 -- .D47 2013eb</t>
  </si>
  <si>
    <t>Diagnostic and statistical manual of mental disorders. ; Child psychopathology -- Diagnosis. ; Adolescent psychopathology -- Diagnosis. ; Behavioral assessment of children.</t>
  </si>
  <si>
    <t>Carrera, Elena</t>
  </si>
  <si>
    <t>Studies in Medieval and Reformation Traditions Series</t>
  </si>
  <si>
    <t>RC455.4.E46.E465 20</t>
  </si>
  <si>
    <t>Emotions-Health aspects-History. ; Emotions-Early works to 1850. ; Emotions in literature. ; Medicine and psychology-History.</t>
  </si>
  <si>
    <t>Playing to Win : Raising Children in a Competitive Culture</t>
  </si>
  <si>
    <t>Levey Friedman, Hilary</t>
  </si>
  <si>
    <t>BF723.C6.F75 2013eb</t>
  </si>
  <si>
    <t>American Psychosis : How the Federal Government Destroyed the Mental Illness Treatment System</t>
  </si>
  <si>
    <t>Torrey, E. Fuller</t>
  </si>
  <si>
    <t>RC443.T66 2014eb</t>
  </si>
  <si>
    <t>Mentally ill -- Care -- United States -- History. ; Mentally ill -- Services for -- United States. ; Mental health policy -- United States. ; Mental health services -- United States -- Evaluation.</t>
  </si>
  <si>
    <t>Whitfield, Keith;Baker, Tamara</t>
  </si>
  <si>
    <t>RA408.M54.H36 2014eb</t>
  </si>
  <si>
    <t>Aging--psychology--United States. ; Aging--ethnology--United States. ; Minority Groups--United States.</t>
  </si>
  <si>
    <t>Jung and Moreno : Essays on the Theatre of Human Nature</t>
  </si>
  <si>
    <t>Stephenson, Craig E.</t>
  </si>
  <si>
    <t>RC480 .J86 2013</t>
  </si>
  <si>
    <t>The Bilingual Counselor's Guide to Spanish : Basic Vocabulary and Interventions for the Non-Spanish Speaker</t>
  </si>
  <si>
    <t>Swazo, Roberto</t>
  </si>
  <si>
    <t>BF636.7.C76S93 2013</t>
  </si>
  <si>
    <t>A New Understanding of ADHD in Children and Adults : Executive Function Impairments</t>
  </si>
  <si>
    <t>Brown, Thomas E.</t>
  </si>
  <si>
    <t>RG850 .U384 2013</t>
  </si>
  <si>
    <t>PSYCHOLOGY / Psychopathology / Attention-Deficit Disorder (ADD-ADHD)</t>
  </si>
  <si>
    <t>Formulation in Psychology and Psychotherapy : Making Sense of People's Problems</t>
  </si>
  <si>
    <t>Johnstone, Lucy;Dallos, Rudi</t>
  </si>
  <si>
    <t>BF38.5 .J64 2013</t>
  </si>
  <si>
    <t>Psychology -- Methodology. ; Psychotherapy -- Methodology.</t>
  </si>
  <si>
    <t>Language and Connection in Psychotherapy : Words Matter</t>
  </si>
  <si>
    <t>Davis, Mary E.</t>
  </si>
  <si>
    <t>RC480.8.D37 2013eb</t>
  </si>
  <si>
    <t>Psychotherapist and patient. ; Psychotherapy -- Language.</t>
  </si>
  <si>
    <t>Therapy Breakthrough : Why Some Psychotherapies Work Better Than Others</t>
  </si>
  <si>
    <t>Michael;Richard;Steele, David Ramsay</t>
  </si>
  <si>
    <t>RC480 -- .T47 2010eb</t>
  </si>
  <si>
    <t>AD,AE,AF,AG,AI,AL,AM,AN,AO,AQ,AR,AS,AT,AU,AW,AX,AZ,BA,BB,BD,BE,BF,BG,BH,BI,BJ,BL,BM,BN,BO,BR,BS,BT,BV,BW,BY,BZ,CA,CC,CD,CF,CG,CH,CI,CK,CL,CM,CN,CO,CR,CU,CV,CX,CY,CZ,DE,DJ,DK,DM,DO,DZ,EC,EE,EG,EH,ER,ES,ET,FI,FJ,FK,FM,FO,FR,GA,GB,GD,GE,GF,GG,GH,GI,GL,GM,GN,GP,GQ,GR,GS,GT,GU,GW,GY,HK,HM,HN,HR,HT,HU,ID,IE,IL,IM,IN,IO,IQ,IR,IS,IT,JE,JM,JO,JP,KE,KG,KH,KI,KM,KN,KP,KR,KW,KY,KZ,LA,LB,LC,LI,LK,LR,LS,LT,LU,LV,LY,MA,MC,MD,ME,MF,MG,MH,MK,ML,MM,MN,MO,MP,MQ,MR,MS,MT,MU,MV,MW,MX,MY,MZ,NA,NC,NE,NF,NG,NI,NL,NO,NP,NR,NU,NZ,OM,PA,PE,PF,PG,PH,PK,PL,PM,PN,PR,PS,PT,PW,PY,QA,RE,RO,RS,RU,RW,SA,SB,SC,SD,SE,SG,SH,SI,SJ,SK,SL,SM,SN,SO,SR,ST,SV,SY,SZ,TC,TD,TF,TG,TH,TJ,TK,TL,TM,TN,TO,TR,TT,TV,TW,TZ,UA,UG,UM,US,UY,UZ,VA,VC,VE,VG,VI,VN,VU,WF,WS,YE,YT,ZA,ZM,ZW</t>
  </si>
  <si>
    <t>Le Breton, Marilyn;Jackson, Luke</t>
  </si>
  <si>
    <t>618.9/2/8982/0654</t>
  </si>
  <si>
    <t>Asperger's syndrome-Diet therapy-Recipes. ; Asperger's syndrome-Diet therapy. ; Autism-Diet therapy-Recipes. ; Autism-Diet therapy. ; Autistic children-Care.</t>
  </si>
  <si>
    <t>An Emergence Approach to Speech Acquisition : Doing and Knowing</t>
  </si>
  <si>
    <t>Davis, Barbara L.;Bedore, Lisa M.</t>
  </si>
  <si>
    <t>P217 .E44 2013</t>
  </si>
  <si>
    <t>Television and Social Behavior : Beyond Violence and Children / a Report of the Committee on Television and Social Behavior, Social Science Research Council</t>
  </si>
  <si>
    <t>Withey, Stephen B.;Abeles, Ronald P.</t>
  </si>
  <si>
    <t>PN1992.6 .T39</t>
  </si>
  <si>
    <t>Television broadcasting -- Social aspects. ; Television -- Psychological aspects. ; Violence on television.</t>
  </si>
  <si>
    <t>Anxiety and Avoidance : A Universal Treatment for Anxiety, Panic, and Fear</t>
  </si>
  <si>
    <t>Oakland, CA</t>
  </si>
  <si>
    <t>Tompkins, Michael A.</t>
  </si>
  <si>
    <t>RC531.T66 2013eb</t>
  </si>
  <si>
    <t>Baddeley, Alan</t>
  </si>
  <si>
    <t>Psychology Press and Routledge Classic Editions Series</t>
  </si>
  <si>
    <t>BF371 .B224 2013</t>
  </si>
  <si>
    <t>Group Analytic Psychotherapy : Working with Affective, Anxiety and Personality Disorders</t>
  </si>
  <si>
    <t>Lorentzen, Steinar</t>
  </si>
  <si>
    <t>RC510 .L67 2013</t>
  </si>
  <si>
    <t>Requiem for the Ego : Freud and the Origins of Postmodernism</t>
  </si>
  <si>
    <t>Freud, Sigmund, -- 1856-1939 -- Philosophy. ; Ego (Psychology) -- Philosophy. ; Psychoanalysis and philosophy.</t>
  </si>
  <si>
    <t>Nelson, Hitler and Diana : Studies in Trauma and Celebrity</t>
  </si>
  <si>
    <t>Ryder, Richard D.</t>
  </si>
  <si>
    <t>CT105 -- .R93 2009eb</t>
  </si>
  <si>
    <t>Nelson, Horatio Nelson, -- Viscount, -- 1758-1805. ; Hitler, Adolf, -- 1889-1945. ; Diana, -- Princess of Wales, -- 1961-1997. ; Celebrities -- Psychology.</t>
  </si>
  <si>
    <t>Hollnagel, Erik;Braithwaite, Jeffrey;Wears, Robert L, Professor;Hollnagel, Professor Erik</t>
  </si>
  <si>
    <t>Ashgate Studies in Resilience Engineering Series</t>
  </si>
  <si>
    <t>RA971 -- .R47 2013eb</t>
  </si>
  <si>
    <t>Health services administration. ; Health facilities -- Administration. ; Sustainable development. ; Organizational effectiveness.</t>
  </si>
  <si>
    <t>Fuertes, Jairo N.;Spokane, Arnold;Holloway, Elizabeth</t>
  </si>
  <si>
    <t>BF636.6.F84 2013eb</t>
  </si>
  <si>
    <t>Counseling psychology. ; Core competencies.</t>
  </si>
  <si>
    <t>Koocher, Gerald P.;Norcross, John C.;Greene, Beverly A.</t>
  </si>
  <si>
    <t>RC467.2.P78 2013eb</t>
  </si>
  <si>
    <t>Clinical psychology -- Handbooks, manuals, etc. ; Psychology -- Handbooks, manuals, etc.</t>
  </si>
  <si>
    <t>Hypnotic Relaxation Therapy : Principles and Applications</t>
  </si>
  <si>
    <t>Elkins, Gary</t>
  </si>
  <si>
    <t>RC497.E45 2014eb</t>
  </si>
  <si>
    <t>615.8/512</t>
  </si>
  <si>
    <t>Hypnosis--methods. ; Relaxation Therapy--methods.</t>
  </si>
  <si>
    <t>The Moral Psychology of Terrorism : Implications for Security</t>
  </si>
  <si>
    <t>Roshandel, Jalil;Lean, Nathan</t>
  </si>
  <si>
    <t>HV6431 -- .M67 2013eb</t>
  </si>
  <si>
    <t>Terrorism. ; Terrorism -- Psychological aspects. ; Violence -- Moral and ethical aspects.</t>
  </si>
  <si>
    <t>Cultural Diversity in Russian Cities : The Urban Landscape in the Post-Soviet Era</t>
  </si>
  <si>
    <t>Gdaniec, Cordula</t>
  </si>
  <si>
    <t>Space and Place Series</t>
  </si>
  <si>
    <t>JN6581 .C85 2010</t>
  </si>
  <si>
    <t>304.800947/091732</t>
  </si>
  <si>
    <t>Cultural pluralism-Russia (Federation)-History. ; Imperialism-Social aspects-Russia (Federation)-History. ; Rationalization (Psychology)-Political aspects-Russia (Federation)-History. ; Language and culture-Russia (Federation)</t>
  </si>
  <si>
    <t>Murphy, Douglas;Murphy, Douglas, MD</t>
  </si>
  <si>
    <t>RD553.F85 2013eb</t>
  </si>
  <si>
    <t>617.5/8059</t>
  </si>
  <si>
    <t>Employee motivation. ; Psychology, Industrial.</t>
  </si>
  <si>
    <t>Zerbe, Wilfred J.;Ashkanasy, Neal M.;Härtel, Charmine E. J.</t>
  </si>
  <si>
    <t>HF5548.8</t>
  </si>
  <si>
    <t>Cognition and Crime : Offender Decision Making and Script Analyses</t>
  </si>
  <si>
    <t>Leclerc, Benoit;Wortley, Richard</t>
  </si>
  <si>
    <t>HV6080 .C554 2013</t>
  </si>
  <si>
    <t>Trauma, Culture, and Metaphor : Pathways of Transformation and Integration</t>
  </si>
  <si>
    <t>Wilson, John P.;Lindy, Jacob D.</t>
  </si>
  <si>
    <t>BF175.5.P75 W55 2013</t>
  </si>
  <si>
    <t>Hoerl, Christoph;McCormack, Teresa</t>
  </si>
  <si>
    <t>Consciousness and Self-Consciousness Ser.</t>
  </si>
  <si>
    <t>BF468 -- .T543 2001eb</t>
  </si>
  <si>
    <t>Time perception. ; Time -- Psychological aspects. ; Time -- Philosophy. ; Memory. ; Memory (Philosophy)</t>
  </si>
  <si>
    <t>Qualitative Sozialforschung : Eine Einführung</t>
  </si>
  <si>
    <t>Berlin/München/Boston</t>
  </si>
  <si>
    <t>De Gruyter Oldenbourg</t>
  </si>
  <si>
    <t>Strübing, Jörg;Strübing, Jörg</t>
  </si>
  <si>
    <t>Soziologie Kompakt Series</t>
  </si>
  <si>
    <t>H62 .S384 2013</t>
  </si>
  <si>
    <t>Psychology -- Methodology. ; Social sciences -- Methodology. ; Qualitative research.</t>
  </si>
  <si>
    <t>Terminal care</t>
  </si>
  <si>
    <t>Sex and the Internet : A Guide Book for Clinicians</t>
  </si>
  <si>
    <t>Cooper, Al</t>
  </si>
  <si>
    <t>RC560.S43</t>
  </si>
  <si>
    <t>Reid, William H.;Silver, Stuart B.</t>
  </si>
  <si>
    <t>RA790.5.R45$bH36 2003</t>
  </si>
  <si>
    <t>Gomes-Pedro, Joao;Nugent, J. Kevin;Young, J. Gerald;Brazelton, T. Berry</t>
  </si>
  <si>
    <t>The Mentor Series (IACAPAP) Series</t>
  </si>
  <si>
    <t>HQ774.I528</t>
  </si>
  <si>
    <t>The Psychology of Fatigue : Work, Effort and Control</t>
  </si>
  <si>
    <t>Hockey, Robert</t>
  </si>
  <si>
    <t>BF482 .H63 2013</t>
  </si>
  <si>
    <t>Treating Trauma : Relationship-Based Psychotherapy with Children, Adolescents, and Young Adults</t>
  </si>
  <si>
    <t>Heineman, Toni V.;Clausen, June M.;Ruff, Saralyn C.;Ammerman, Paula;Barr, Tali;Cheung, German;Dato, Daria;Haddad, Heidi;Offner, Deborah;Okasha, Sharif</t>
  </si>
  <si>
    <t>RJ506.P66 -- .T743 2013eb</t>
  </si>
  <si>
    <t>Transforming Systems for Parental Depression and Early Childhood Developmental Delays : Findings and Lessons Learned from the Helping Families Raise Healthy Children Initiative</t>
  </si>
  <si>
    <t>Schultz, Dana;Reynolds, Kerry A.;Sontag-Padilla, Lisa M.;Lovejoy, Susan L;Firth, Ray;Pincus, Dr Harold Alan</t>
  </si>
  <si>
    <t>RJ506.D47 -- S38 2013eb</t>
  </si>
  <si>
    <t>Active server pages. ; Web sites -- Design.</t>
  </si>
  <si>
    <t>Watkins, Katherine E.;Burnam, M. Audrey;Okeke, Edward N.;Setodji, Claude Messan</t>
  </si>
  <si>
    <t>RC445.C2 -- E93 2012eb</t>
  </si>
  <si>
    <t>Mentally ill -- Care -- California -- Statistics. ; Community mental health services -- California -- Statistics.</t>
  </si>
  <si>
    <t>Hand Preference and Hand Ability : Evidence from studies in Haptic Cognition</t>
  </si>
  <si>
    <t>Ittyerah, Miriam</t>
  </si>
  <si>
    <t>Advances in Interaction Studies</t>
  </si>
  <si>
    <t>BF275 -- .I88 2013eb</t>
  </si>
  <si>
    <t>152.3/35</t>
  </si>
  <si>
    <t>Art therapy -- Great Britain. ; Art therapy.</t>
  </si>
  <si>
    <t>Honkasalo, Marja-Liisa;Tuominen, Miira</t>
  </si>
  <si>
    <t>HV6545 .C786 2014</t>
  </si>
  <si>
    <t>Suicide-Social aspects. ; Suicide-Philosophy.</t>
  </si>
  <si>
    <t>Argyrou, Vassos</t>
  </si>
  <si>
    <t>BF441 .A644 2013</t>
  </si>
  <si>
    <t>Thought and thinking. ; Enlightenment. ; Cost and standard of living-Europe.</t>
  </si>
  <si>
    <t>Being Human, Being Migrant : Senses of Self and Well-Being</t>
  </si>
  <si>
    <t>Grønseth, Anne Sigfrid;Grønseth, Anne Sigfrid</t>
  </si>
  <si>
    <t>EASA Series</t>
  </si>
  <si>
    <t>GN370.G76 2013</t>
  </si>
  <si>
    <t>Human beings-Migrations. ; Immigrants-Psychology. ; Emigration and immigration-Psychological aspects.</t>
  </si>
  <si>
    <t>Narrating Victimhood : Gender, Religion and the Making of Place in Post-War Croatia</t>
  </si>
  <si>
    <t>Schäuble, Michaela</t>
  </si>
  <si>
    <t>HN638.S56S45 2014</t>
  </si>
  <si>
    <t>Group identity-Croatia-Sinj. ; Collective memory-Croatia-Sinj. ; Croats-Croatia-Sinj-Ethnic identity. ; Sinj (Croatia)-Social conditions.</t>
  </si>
  <si>
    <t>Winter Blues Survival Guide : A Workbook for Overcoming SAD</t>
  </si>
  <si>
    <t>Rosenthal, Norman E.;Benton, Christine M.</t>
  </si>
  <si>
    <t>RC545 -- .R673 2014eb</t>
  </si>
  <si>
    <t>Seasonal affective disorder. ; Depression, Mental. ; Affective disorders. ; Self-care, Health.</t>
  </si>
  <si>
    <t>The Jail : Managing the Underclass in American Society</t>
  </si>
  <si>
    <t>Irwin, John</t>
  </si>
  <si>
    <t>HV8324.I79 2013eb</t>
  </si>
  <si>
    <t>365/.6/0979461</t>
  </si>
  <si>
    <t>Jails -- Social aspects -- California -- Case studies. ; Prisoners -- California -- Case studies. ; Prison psychology.</t>
  </si>
  <si>
    <t>Cheung, Yin Bun</t>
  </si>
  <si>
    <t>Chapman and Hall/CRC Biostatistics Series</t>
  </si>
  <si>
    <t>QP84.C44 2014eb</t>
  </si>
  <si>
    <t>Human growth -- Statistical methods. ; Developmental psychology -- Statistical methods.</t>
  </si>
  <si>
    <t>Narcissus in Treatment : The Journey from Fate to Psychological Freedom</t>
  </si>
  <si>
    <t>I. Feinberg, Richard</t>
  </si>
  <si>
    <t>RC455.4.N3 -- .F456 2013eb</t>
  </si>
  <si>
    <t>Narcissistic injuries. ; Narcissists.</t>
  </si>
  <si>
    <t>Heller, Agnes.</t>
  </si>
  <si>
    <t>BF561 -- .H4413 2009eb</t>
  </si>
  <si>
    <t>Psychotherapy in the Wake of War : Discovering Multiple Psychoanalytic Traditions</t>
  </si>
  <si>
    <t>Huppertz, Bernd;Wallerstein, Robert S.;Jacobs, Theodore;Loden, Susan;Ribi, Alfred;Donleavy, Pamela;Gudaite, Grazina;Novick, Kerry Kelly;Novick, Jack;Garvey, Penelope</t>
  </si>
  <si>
    <t>RC465.P82 2013eb</t>
  </si>
  <si>
    <t>Psychotherapy -- Case studies. ; Psychoanalysis -- Case studies.</t>
  </si>
  <si>
    <t>Mental Health Services for Vulnerable Children and Young People : Supporting Children Who Are, or Have Been, in Foster Care</t>
  </si>
  <si>
    <t>Tarren-Sweeney, Michael;Vetere, Arlene</t>
  </si>
  <si>
    <t>RJ499 .M4192 2013</t>
  </si>
  <si>
    <t>The Myth of Moral Panics : Sex, Snuff, and Satan</t>
  </si>
  <si>
    <t>Thompson, Bill;Williams, Andy</t>
  </si>
  <si>
    <t>Routledge Advances in Criminology Series</t>
  </si>
  <si>
    <t>HM811 .T467 2013</t>
  </si>
  <si>
    <t>van Gompel, Roger P. G.</t>
  </si>
  <si>
    <t>PE1441 .S39 2013</t>
  </si>
  <si>
    <t>The Patient's Brain : The Neuroscience Behind the Doctor-Patient Relationship</t>
  </si>
  <si>
    <t>Benedetti, Fabrizio</t>
  </si>
  <si>
    <t>R727.3.B4544 2011eb</t>
  </si>
  <si>
    <t>Physician and patient. ; Patients -- Psychology. ; Brain -- Pathophysiology.</t>
  </si>
  <si>
    <t>Immigrant Farmworkers and Ciizenship in Rural California : Playing Soccer in the San Joaquin Valley</t>
  </si>
  <si>
    <t>Santos-Gomez, Hugo</t>
  </si>
  <si>
    <t>The New Americans: Recent Immigration and American Society</t>
  </si>
  <si>
    <t>GV943.9.S64 -- S27 2013eb</t>
  </si>
  <si>
    <t>796.33409794/8</t>
  </si>
  <si>
    <t>Executives. ; Management -- Psychological aspects. ; Identity (Psychology)</t>
  </si>
  <si>
    <t>Young Child Observation : A Development in the Theory and Method of Infant Observation</t>
  </si>
  <si>
    <t>M.G. Adamo, Simonetta;Rustin, Margaret</t>
  </si>
  <si>
    <t>BF721 -- .Y68 2014eb</t>
  </si>
  <si>
    <t>Child development. ; Observation (Psychology) ; Child psychology -- Research -- Methodology.</t>
  </si>
  <si>
    <t>Becoming Parents and Overcoming Obstacles : Understanding the Experience of Miscarriage, Premature Births, Infertility, and Postnatal Depression</t>
  </si>
  <si>
    <t>Quagliata, Emanuela</t>
  </si>
  <si>
    <t>HQ759 -- .D5813 2013eb</t>
  </si>
  <si>
    <t>Motherhood -- Psychological aspects. ; Parenting -- Psychological aspects. ; Parenthood.</t>
  </si>
  <si>
    <t>The Psychodynamics of Social Networking : Connected-Up Instantaneous Culture and the Self</t>
  </si>
  <si>
    <t>Balick, Aaron</t>
  </si>
  <si>
    <t>Psychoanalysis and Popular Culture</t>
  </si>
  <si>
    <t>HM742 -- .B35 2014eb</t>
  </si>
  <si>
    <t>Online social networks -- Psychological aspects. ; Internet -- Psychological aspects. ; Internet -- Social aspects.</t>
  </si>
  <si>
    <t>The Mind of the Nation : Völkerpsychologie in Germany, 1851-1955</t>
  </si>
  <si>
    <t>Klautke, Egbert</t>
  </si>
  <si>
    <t>GN502 .K55 2013</t>
  </si>
  <si>
    <t>Ethnopsychology-Germany-History. ; National characteristics, German-History-19th century. ; National characteristics, German-History-20th century. ; Germany-Intellectual life-19th century. ; Germany-Intellectual life-20th century.</t>
  </si>
  <si>
    <t>Woodward, Gary</t>
  </si>
  <si>
    <t>HM1201.W66 2013eb</t>
  </si>
  <si>
    <t>Intention</t>
  </si>
  <si>
    <t>Breathing : Violence In, Peace Out</t>
  </si>
  <si>
    <t>St Lucia</t>
  </si>
  <si>
    <t>Milojevic, Ivana</t>
  </si>
  <si>
    <t>Peace and Conflict Series</t>
  </si>
  <si>
    <t>RC569.5.V55 -- M55 2013eb</t>
  </si>
  <si>
    <t>Communism -- Slovenia -- Psychological aspects. ; Post-traumatic stress disorder -- Physiological aspects. ; Violence -- Psychological aspects.</t>
  </si>
  <si>
    <t>Psychology; Medicine; Religion</t>
  </si>
  <si>
    <t>The Unity of Mind, Brain and World : Current Perspectives on a Science of Consciousness</t>
  </si>
  <si>
    <t>Pereira, Alfredo, Jr.;Lehmann, Dietrich</t>
  </si>
  <si>
    <t>BF311.U58 2013eb</t>
  </si>
  <si>
    <t>Baker, Bernadette M.</t>
  </si>
  <si>
    <t>B945.J24.B35 2013eb</t>
  </si>
  <si>
    <t>Continuous Sedation at the End of Life : Ethical, Clinical and Legal Perspectives</t>
  </si>
  <si>
    <t>Sterckx, Sigrid;Raus, Kasper;Mortier, Freddy</t>
  </si>
  <si>
    <t>Cambridge Bioethics and Law Series</t>
  </si>
  <si>
    <t>R726 .C6725 2013</t>
  </si>
  <si>
    <t>Terminal sedation. ; Terminal care -- Law and legislation. ; Terminally ill -- Psychology.</t>
  </si>
  <si>
    <t>Rosenblatt, Paul C.;Wieling, Elizabeth</t>
  </si>
  <si>
    <t>BF575.I5 R646 2013</t>
  </si>
  <si>
    <t>158.2/4</t>
  </si>
  <si>
    <t>Intimacy (Psychology) ; Interpersonal relations. ; Couples -- Psychology.</t>
  </si>
  <si>
    <t>Zhang, Li-fang</t>
  </si>
  <si>
    <t>BF311 .Z45 2014</t>
  </si>
  <si>
    <t>Cognitive styles. ; Learning, Psychology of.</t>
  </si>
  <si>
    <t>College Student Mental Health Counseling : A Developmental Approach</t>
  </si>
  <si>
    <t>Degges-White, Suzanne;Borzumato-Gainey, Christine</t>
  </si>
  <si>
    <t>RC451.4.S7.C672 201</t>
  </si>
  <si>
    <t>College students -- Mental health. ; College students -- Mental health services.</t>
  </si>
  <si>
    <t>Levenson, Edgar A.;Stern, Donnel B.</t>
  </si>
  <si>
    <t>RC504.L48 2005</t>
  </si>
  <si>
    <t>Systemic Racism : A Theory of Oppression</t>
  </si>
  <si>
    <t>Feagin, Joe</t>
  </si>
  <si>
    <t>E184.A1 -- F385 2006eb</t>
  </si>
  <si>
    <t>Gods and Diseases : Making Sense of Our Physical and Mental Wellbeing</t>
  </si>
  <si>
    <t>BT732.4 -- .T33 2013eb</t>
  </si>
  <si>
    <t>Understanding Psychological Assessment : A Primer on the Global Assessment of the Client&amp;prime;s Behavior in Educational and Organizational Setting</t>
  </si>
  <si>
    <t>Sage Publications (India)</t>
  </si>
  <si>
    <t>Laak, Jan J. F ter;Gokhale, Meenakshi;Desai, Devasena</t>
  </si>
  <si>
    <t>BF176 .L224 2013</t>
  </si>
  <si>
    <t>Psychological tests. ; Psychodiagnostics.</t>
  </si>
  <si>
    <t>Breaking Al-Qaeda : Psychological and Operational Techniques, Second Edition</t>
  </si>
  <si>
    <t>Mastors, Elena;Ang, Dennis;Chiew, Sing-Ping</t>
  </si>
  <si>
    <t>HV6432.5.Q2.M368 20</t>
  </si>
  <si>
    <t>363.325/16</t>
  </si>
  <si>
    <t>Qaida (Organization) ; Terrorism -- Prevention. ; Terrorism -- Psychological aspects. ; Terrorists -- Psychology.</t>
  </si>
  <si>
    <t>Public Apology Between Ritual and Regret : Symbolic Excuses on False Pretenses or True Reconciliation Out of Sincere Regret?</t>
  </si>
  <si>
    <t>Cuypers, Daniël;Janssen, Daniel;Haers, Jacques;Segaert, Barbara</t>
  </si>
  <si>
    <t>Transformation : Jung's Legacy and Clinical Work Today</t>
  </si>
  <si>
    <t>Cavalli, Alessandra;Hawkins, Lucinda;Stevns, Martha</t>
  </si>
  <si>
    <t>BF175 -- .T73 2014eb</t>
  </si>
  <si>
    <t>Jung, C. G. -- (Carl Gustav), -- 1875-1961. ; Psychoanalysis -- Case studies. ; Jungian psychology.</t>
  </si>
  <si>
    <t>Hysteria Complicated by Ecstasy : The Case of Nanette Leroux</t>
  </si>
  <si>
    <t>Goldstein, Jan</t>
  </si>
  <si>
    <t>RC532.H65 2011eb</t>
  </si>
  <si>
    <t>Douaihy, Antoine;Daley, Dennis</t>
  </si>
  <si>
    <t>Pittsburgh Pocket Psychiatry Series</t>
  </si>
  <si>
    <t>Substance-Related Disorders.</t>
  </si>
  <si>
    <t>The Pleasure's All Mine : A History of Perverse Sex</t>
  </si>
  <si>
    <t>Peakman, Julie</t>
  </si>
  <si>
    <t>HQ21.P43 2013eb</t>
  </si>
  <si>
    <t>Thinking Space : Promoting Thinking about Race, Culture and Diversity in Psychotherapy and Beyond</t>
  </si>
  <si>
    <t>Lowe, Frank</t>
  </si>
  <si>
    <t>RC455.2.E8 -- T45 2014eb</t>
  </si>
  <si>
    <t>Cultural awareness. ; Psychotherapy -- Moral and ethical aspects.</t>
  </si>
  <si>
    <t>The Evolution of Winnicott's Thinking : Examining the Growth of Psychoanalytic Thought over Three Generations</t>
  </si>
  <si>
    <t>Spelman, Margaret Boyle</t>
  </si>
  <si>
    <t>BF175 -- .S64 2013eb</t>
  </si>
  <si>
    <t>Tolin, David;Frost, Randy O.;Steketee, Gail</t>
  </si>
  <si>
    <t>RC533.T65 2014eb</t>
  </si>
  <si>
    <t>Obsessive-compulsive disorder. ; Compulsive hoarding.</t>
  </si>
  <si>
    <t>Stucky, Kirk J.;Kirkwood, Michael W.;Donders, Jacobus</t>
  </si>
  <si>
    <t>RC386.6.N48.C5278 2</t>
  </si>
  <si>
    <t>Clinical neuropsychology -- Certification -- Study guides. ; Clinical neuropsychology -- Examinations, questions, etc. ; Clinical psychologists -- Certification -- Study guides.</t>
  </si>
  <si>
    <t>Ghaziuddin, Neera;Walter, Garry</t>
  </si>
  <si>
    <t>RC485.E44 2014eb</t>
  </si>
  <si>
    <t>Electroconvulsive therapy. ; Teenagers. ; Children. ; Mental illness -- Treatment. ; Nervous system -- Diseases -- Treatment.</t>
  </si>
  <si>
    <t>Change : What Really Leads to Lasting Personal Transformation</t>
  </si>
  <si>
    <t>BF637.C4.K677 2014eb</t>
  </si>
  <si>
    <t>The Art of Narrative Psychiatry : Stories of Strength and Meaning</t>
  </si>
  <si>
    <t>Hamkins, SuEllen</t>
  </si>
  <si>
    <t>RC489.S74.H36 2014eb</t>
  </si>
  <si>
    <t>Narrative Therapy--methods.</t>
  </si>
  <si>
    <t>Clinical Values : Emotions That Guide Psychoanalytic Treatment</t>
  </si>
  <si>
    <t>Buechler, Sandra</t>
  </si>
  <si>
    <t>RC506 .B836 2013</t>
  </si>
  <si>
    <t>Prelogical Experience : An Inquiry into Dreams and Other Creative Processes</t>
  </si>
  <si>
    <t>Tauber, Edward S.;Green, Maurice R.</t>
  </si>
  <si>
    <t>BF1031 .T3</t>
  </si>
  <si>
    <t>Parapsychology. ; Dreams. ; Creative ability.</t>
  </si>
  <si>
    <t>A Handbook of Divorce and Custody : Forensic, Developmental, and Clinical Perspectives</t>
  </si>
  <si>
    <t>Gunsberg, Linda;Hymowitz, Paul</t>
  </si>
  <si>
    <t>HQ834 .H34 2013</t>
  </si>
  <si>
    <t>Custody of children - United States - Psychological aspects</t>
  </si>
  <si>
    <t>Who's That Girl? Who's That Boy? : Clinical Practice Meets Postmodern Gender Theory</t>
  </si>
  <si>
    <t>Layton, Lynne</t>
  </si>
  <si>
    <t>BF175 .L367 2013</t>
  </si>
  <si>
    <t>Child Therapy in the Great Outdoors : A Relational View</t>
  </si>
  <si>
    <t>Santostefano, Sebastiano</t>
  </si>
  <si>
    <t>RJ504 .S254 2013</t>
  </si>
  <si>
    <t>Argyle, Michael</t>
  </si>
  <si>
    <t>BF637.N66 A74 2013</t>
  </si>
  <si>
    <t>Bugental, Daphne Blunt</t>
  </si>
  <si>
    <t>HV888 .B84 2013</t>
  </si>
  <si>
    <t>155.45/1</t>
  </si>
  <si>
    <t>Introducing Bruner : A Guide for Practitioners and Students in Early Years Education</t>
  </si>
  <si>
    <t>Introducing Early Years Thinkers Series</t>
  </si>
  <si>
    <t>LB885.B792 S65 2013</t>
  </si>
  <si>
    <t>Lewis, Michael</t>
  </si>
  <si>
    <t>BF311 -- .L484 2014eb</t>
  </si>
  <si>
    <t>Consciousness. ; Emotions.</t>
  </si>
  <si>
    <t>Unifying Psychotherapy : Principles, Methods, and Evidence from Clinical Science</t>
  </si>
  <si>
    <t>Magnavita, Jeffrey J.;Anchin, Jack</t>
  </si>
  <si>
    <t>RC480.5.M3145 2014eb</t>
  </si>
  <si>
    <t>Self-organizing systems</t>
  </si>
  <si>
    <t>Geher, Glenn</t>
  </si>
  <si>
    <t>BF698.95.G44 2014eb</t>
  </si>
  <si>
    <t>Chile -- Economic conditions -- 1988-</t>
  </si>
  <si>
    <t>Larder : Food Studies Methods from the American South</t>
  </si>
  <si>
    <t>Edge, John T.;Engelhardt, Elizabeth S. D.;Ownby,Ted</t>
  </si>
  <si>
    <t>Southern Foodways Alliance Studies in Culture, People, and Place</t>
  </si>
  <si>
    <t>GT2853.U5 -- L37 2013eb</t>
  </si>
  <si>
    <t>394.1/20975</t>
  </si>
  <si>
    <t>Food habits -- Southern States. ; Food preferences -- Southern States. ; Food -- Southern States -- Psychological aspects. ; Southern States -- Social life and customs.</t>
  </si>
  <si>
    <t>Endangered Private Practice : Surviving Health Care Reform</t>
  </si>
  <si>
    <t>Hixson, Ronald R.</t>
  </si>
  <si>
    <t>R728.H59 2013eb</t>
  </si>
  <si>
    <t>Gottken, Tanja;Von Klitzing, Kai</t>
  </si>
  <si>
    <t>RJ499 -- .G68 2014eb</t>
  </si>
  <si>
    <t>Child psychiatry. ; Psychotherapy.</t>
  </si>
  <si>
    <t>Bosa Roca</t>
  </si>
  <si>
    <t>Rufo, Ronald A.</t>
  </si>
  <si>
    <t>HV6556 .R84 2015</t>
  </si>
  <si>
    <t>Child sex offenders. ; Criminal behavior, Prediction of. ; Female sex offenders. ; Online sexual predators. ; Sex crimes. ; Sex offenders -- Psychology.</t>
  </si>
  <si>
    <t>Advances in Group Processes : 30th Anniversary Edition</t>
  </si>
  <si>
    <t>HM716.A38 2013eb</t>
  </si>
  <si>
    <t>Smith, Barbara</t>
  </si>
  <si>
    <t>Nursing and Health Survival Guides</t>
  </si>
  <si>
    <t>RT51 -- .S65 2013eb</t>
  </si>
  <si>
    <t>Nursing -- Handbooks, manuals, etc. ; Nursing -- Psychological aspects.</t>
  </si>
  <si>
    <t>Medicine; Nursing; Health</t>
  </si>
  <si>
    <t>Fear and Anxiety : The Science of Mental Health</t>
  </si>
  <si>
    <t>Hyman, Steven</t>
  </si>
  <si>
    <t>BF575.A6 -- .H963 2001eb</t>
  </si>
  <si>
    <t>Anxiety. ; Fear. ; Anxiety -- Physiological aspects. ; Fear -- Physiological aspects.</t>
  </si>
  <si>
    <t>Children with Multiple Mental Health Challenges : An Integrated Approach to Intervention</t>
  </si>
  <si>
    <t>Landy, Sarah;Bradley, Susan</t>
  </si>
  <si>
    <t>RJ499.3.L36 2014eb</t>
  </si>
  <si>
    <t>Mentally ill children -- Handbooks, manuals, etc</t>
  </si>
  <si>
    <t>Postsocialism : Politics and Emotions in Central and Eastern Europe</t>
  </si>
  <si>
    <t>HN380.7.A8 S89 2005</t>
  </si>
  <si>
    <t>Post-communism-Europe, Eastern-Psychological aspects. ; Ethnopsychology-Europe, Eastern. ; Emotions.</t>
  </si>
  <si>
    <t>Arnold, Cheryl;Fisch, Ralph</t>
  </si>
  <si>
    <t>RC552.T7.A76 2011eb</t>
  </si>
  <si>
    <t>Psychic trauma in children. ; Post-traumatic stress disorder in children. ; Child development.</t>
  </si>
  <si>
    <t>Expressiveness of Perceptual Experience : Physiognomy reconsidered</t>
  </si>
  <si>
    <t>BF851 -- .L564 2013eb</t>
  </si>
  <si>
    <t>Greece -- Social conditions -- To 146 B.C. ; Greece -- Politics and government -- To 146 B.C. ; Athens (Greece) -- Politics and government. ; Athens (Greece) -- Social conditions. ; Sparta (Extinct city) -- Politics and government. ; Sparta (Extinct city) -- Social conditions.</t>
  </si>
  <si>
    <t>Douglas, Mary</t>
  </si>
  <si>
    <t>Literature; Social Science</t>
  </si>
  <si>
    <t>Living on the Edge : Breaking up to Breakdown to Breakthrough</t>
  </si>
  <si>
    <t>Wilde McCormick, Elizabeth</t>
  </si>
  <si>
    <t>BF335 -- .M33 2002eb</t>
  </si>
  <si>
    <t>Counselling by Telephone : SAGE Publications</t>
  </si>
  <si>
    <t>Rosenfield, Maxine</t>
  </si>
  <si>
    <t>BF637.C6 -- R67 1997eb</t>
  </si>
  <si>
    <t>Ciarrochi, Joseph;Forgas, Joseph P.;Mayer, John D.;Mayer, John D.</t>
  </si>
  <si>
    <t>BF576 .E465 2013</t>
  </si>
  <si>
    <t>Allen, Christian M.</t>
  </si>
  <si>
    <t>HV5840.L3 A63 2013</t>
  </si>
  <si>
    <t>363.45/098</t>
  </si>
  <si>
    <t>Cocaine industry -- Latin America. ; Cocaine industry -- Location -- Latin America.</t>
  </si>
  <si>
    <t>New Tools to Enhance Posttraumatic Stress Disorder Diagnosis and Treatment : Invisible Wounds of War</t>
  </si>
  <si>
    <t>RC552.P67.N49 2012eb</t>
  </si>
  <si>
    <t>The Silk Road of Adaptation : Transformations across Disciplines and Cultures</t>
  </si>
  <si>
    <t>Raw, Dr Laurence</t>
  </si>
  <si>
    <t>BF335 -- .S55 2013eb</t>
  </si>
  <si>
    <t>The Deconstructive Owl of Minerva : An Examination of Schizophrenia through Philosophy, Psychoanalysis and Postmodernism</t>
  </si>
  <si>
    <t>Burke, Lillian Francis</t>
  </si>
  <si>
    <t>RC514 -- .B87 2013eb</t>
  </si>
  <si>
    <t>Schizophrenia. ; Philosophy.</t>
  </si>
  <si>
    <t>Psychology; Religion; Medicine</t>
  </si>
  <si>
    <t>Rocca, Anna;Reeds,  Kenneth</t>
  </si>
  <si>
    <t>HQ1206 -- .W66 2013eb</t>
  </si>
  <si>
    <t>Women -- Psychology. ; Risk-taking (Psychology) ; Security (Psychology)</t>
  </si>
  <si>
    <t>The Ethics of Conditional Confidentiality : A Practice Model for Mental Health Professionals</t>
  </si>
  <si>
    <t>Fisher, Mary Alice</t>
  </si>
  <si>
    <t>RC480.8.F57 2013eb</t>
  </si>
  <si>
    <t>174.2/9689</t>
  </si>
  <si>
    <t>Psychotherapist and patient -- Moral and ethical aspects. ; Psychoanalysis -- Moral and ethical aspects. ; Confidential communications.</t>
  </si>
  <si>
    <t>Sawyer, Richard D.;Norris, Joe</t>
  </si>
  <si>
    <t>H61.295.S29 2013eb</t>
  </si>
  <si>
    <t>Narrative inquiry (Research method) ; Ethnology -- Methodology. ; Qualitative research -- Methodology.</t>
  </si>
  <si>
    <t>Mild Cognitive Impairment and Dementia : Definitions, Diagnosis, and Treatment</t>
  </si>
  <si>
    <t>Smith, Glenn E.;Bondi, Mark W.</t>
  </si>
  <si>
    <t>RC521.S592 2013eb</t>
  </si>
  <si>
    <t>616.8/1</t>
  </si>
  <si>
    <t>Dementia -- Treatment. ; Mild cognitive impairment. ; Cognition disorders -- Diagnosis. ; Cognition disorders -- Treatment.</t>
  </si>
  <si>
    <t>Taylor, Catherine S. .</t>
  </si>
  <si>
    <t>HA29.T3237 2013eb</t>
  </si>
  <si>
    <t>Social sciences -- Statistical methods. ; Social sciences -- Methodology. ; Research -- Methodology.</t>
  </si>
  <si>
    <t>Saklofske, Donald H.;Schwean, Vicki L.;Reynolds, Cecil R.</t>
  </si>
  <si>
    <t>BF722.3.O94 2013eb</t>
  </si>
  <si>
    <t>155.4028/7</t>
  </si>
  <si>
    <t>Behavioral assessment of children. ; Behavioral assessment of teenagers. ; Psychological tests for children. ; Child development -- Testing. ; Psychodiagnostics.</t>
  </si>
  <si>
    <t>Easterbrooks, Susan R.;Beal-Alvarez, Jennifer</t>
  </si>
  <si>
    <t>Professional Perspectives on Deafness: Evidence and Applications Series</t>
  </si>
  <si>
    <t>HV2469.R4.E27 2013eb</t>
  </si>
  <si>
    <t>371.91/246</t>
  </si>
  <si>
    <t>Deaf -- Education. ; Hearing impaired -- Education. ; Reading. ; Literacy.</t>
  </si>
  <si>
    <t>Wolfson, Amy R.;Montgomery-Downs, Hawley E.</t>
  </si>
  <si>
    <t>RJ506.S55.O947 2013</t>
  </si>
  <si>
    <t>Sleep disorders in children -- Handbooks, manuals, etc. ; Sleep disorders in adolescence -- Handbooks, manuals, etc. ; Children -- Sleep -- Handbooks, manuals, etc.</t>
  </si>
  <si>
    <t>How and Why People Change : Foundations of Psychological Therapy</t>
  </si>
  <si>
    <t>Evans, Ian M.</t>
  </si>
  <si>
    <t>RC489.B4.E96 2013eb</t>
  </si>
  <si>
    <t>Global Mental Health : Principles and Practice</t>
  </si>
  <si>
    <t>Patel, Vikram;Minas, Harry;Cohen, Alex;Prince, Martin J.</t>
  </si>
  <si>
    <t>RA790.5.G56 2014eb</t>
  </si>
  <si>
    <t>Mental health services. ; Health services accessibility. ; Mental illness. ; World health.</t>
  </si>
  <si>
    <t>Brown, Walter A.</t>
  </si>
  <si>
    <t>RM331.B76 2013eb</t>
  </si>
  <si>
    <t>Placebos (Medicine) -- Therapeutic use. ; Therapeutics.</t>
  </si>
  <si>
    <t>Believing in Magic : The Psychology of Superstition - Updated Edition</t>
  </si>
  <si>
    <t>Vyse, Stuart A.</t>
  </si>
  <si>
    <t>BF1775.V97 2014eb</t>
  </si>
  <si>
    <t>The Petrified Ego : A New Theory of Conscience</t>
  </si>
  <si>
    <t>Reddish, Elizabeth</t>
  </si>
  <si>
    <t>BF173 -- .R43 2014eb</t>
  </si>
  <si>
    <t>Child psychology. ; Personality. ; Psychoanalysis.</t>
  </si>
  <si>
    <t>Child Psychotherapy, War and the Normal Child : Selected Papers of Margaret Lowenfeld</t>
  </si>
  <si>
    <t>Urwin, Cathy</t>
  </si>
  <si>
    <t>RJ504 .L69 2014</t>
  </si>
  <si>
    <t>Behavior disorders in children-Treatment. ; Child psychotherapy. ; Developmental psychology.</t>
  </si>
  <si>
    <t>Gil, Eliana;Shaw, Jennifer A.</t>
  </si>
  <si>
    <t>RJ506.P72 G553 2013</t>
  </si>
  <si>
    <t>Child sexual abuse. ; Children -- Sexual behavior.</t>
  </si>
  <si>
    <t>Life Witness : Evolution of the Psychotherapist</t>
  </si>
  <si>
    <t>Karasu, T. Byram</t>
  </si>
  <si>
    <t>RC440.8.K37 2013eb</t>
  </si>
  <si>
    <t>Psychology -- Philosophy</t>
  </si>
  <si>
    <t>Swings and Roundabouts : A Self-Coaching Workbook for Parents and Those Considering Becoming Parents</t>
  </si>
  <si>
    <t>Golawski, Anna;Bamford, Agnes;Gersch, Professor Irvine</t>
  </si>
  <si>
    <t>HQ755.8 -- .G65 2013eb</t>
  </si>
  <si>
    <t>Child rearing. ; Parenting.</t>
  </si>
  <si>
    <t>Modern Mental Health : Critical Perspectives on Psychiatric Practice</t>
  </si>
  <si>
    <t>Northwich</t>
  </si>
  <si>
    <t>Walker, Steven;Castillo, Heather;French, Tim;Fox, Joanna;Hinshelwood, R D, Prof.;Kaminskiy, Emma;Morant, Nicola;Ramon, Shula, Prof.;Robinson, Lena, Prof.;Smith, Keverne</t>
  </si>
  <si>
    <t>Critical Approaches to Mental Health</t>
  </si>
  <si>
    <t>RC454.M63 2013</t>
  </si>
  <si>
    <t>Working Memory : The Connected Intelligence</t>
  </si>
  <si>
    <t>Alloway, Tracy Packiam;Alloway, Ross G.</t>
  </si>
  <si>
    <t>Frontiers of Cognitive Psychology Series</t>
  </si>
  <si>
    <t>BF378.S54 -- W685 2013eb</t>
  </si>
  <si>
    <t>Short-term memory. ; Memory.</t>
  </si>
  <si>
    <t>Mothering Without a Home : Attachment Representations and Behaviors of Homeless Mothers and Children</t>
  </si>
  <si>
    <t>Smolen, Ann G.;Harrison, Alexandra M;Smolen, Ann G.;Harrison, Alexandra M</t>
  </si>
  <si>
    <t>The Vulnerable Child: Studies in Social Issues and Child Psychoanalysis Series</t>
  </si>
  <si>
    <t>HV4493.S66 2013eb</t>
  </si>
  <si>
    <t>Attachment behavior. ; Homeless children. ; Homeless women.</t>
  </si>
  <si>
    <t>The Psychology of Friendship and Enmity [2 Volumes] : Relationships in Love, Work, Politics, and War [2 Volumes]</t>
  </si>
  <si>
    <t>Harré, Rom;Moghaddam, Fathali M.;Harré, Rom</t>
  </si>
  <si>
    <t>BF575.H6.P79 2013eb</t>
  </si>
  <si>
    <t>Finding Augusta : Habits of Mobility and Governance in the Digital Era</t>
  </si>
  <si>
    <t>Cooley, Heidi Rae</t>
  </si>
  <si>
    <t>BF637</t>
  </si>
  <si>
    <t>Information technology -- Psychological aspects.</t>
  </si>
  <si>
    <t>Autistic Transformations : Bion's Theory and Autistic Phenomena</t>
  </si>
  <si>
    <t>Korbivcher, Celia Fix</t>
  </si>
  <si>
    <t>RC553.A88 -- K67 2013eb</t>
  </si>
  <si>
    <t>Autism. ; Autistic children. ; Psychology.</t>
  </si>
  <si>
    <t>White, Sheila</t>
  </si>
  <si>
    <t>HV6625 -- .W45 2013eb</t>
  </si>
  <si>
    <t>Bullying in the workplace. ; Harassment. ; Invective.</t>
  </si>
  <si>
    <t>Social Science; Economics</t>
  </si>
  <si>
    <t>Internal Coaching : The Inside Story</t>
  </si>
  <si>
    <t>St John-Brooks, Katharine</t>
  </si>
  <si>
    <t>BF637.S4 -- S75 2014eb</t>
  </si>
  <si>
    <t>Executive coaching. ; Mentoring. ; Self-actualization (Psychology)</t>
  </si>
  <si>
    <t>From Id to Intersubjectivity : Talking about the Talking Cure with Master Clinicians</t>
  </si>
  <si>
    <t>BF637.S4 -- K46 2014eb</t>
  </si>
  <si>
    <t>Psychoanalysis. ; Psychology. ; Self-actualization (Psychology)</t>
  </si>
  <si>
    <t>Sternberg, Karin</t>
  </si>
  <si>
    <t>BF575.L8.S778 2014eb</t>
  </si>
  <si>
    <t>Australia -- Economic conditions</t>
  </si>
  <si>
    <t>Plucker, Jonathan;Esping, Amber</t>
  </si>
  <si>
    <t>BF431.P5698 2014eb</t>
  </si>
  <si>
    <t>Kyrhyzstan</t>
  </si>
  <si>
    <t>Why Men Won't Ask for Directions : The Seductions of Sociobiology</t>
  </si>
  <si>
    <t>Francis, Richard C.</t>
  </si>
  <si>
    <t>BF698.95.F73 2004eb</t>
  </si>
  <si>
    <t>ADHD in Preschool Children : Assessment and Treatment</t>
  </si>
  <si>
    <t>Ghuman, Jaswinder;Ghuman, Harinder</t>
  </si>
  <si>
    <t>RJ506.H9.A34 2014eb</t>
  </si>
  <si>
    <t>Attention-deficit hyperactivity disorder -- Diagnosis. ; Attention-deficit hyperactivity disorder -- Treatment. ; Attention-deficit-disordered children.</t>
  </si>
  <si>
    <t>Drugged : The Science and Culture Behind Psychotropic Drugs</t>
  </si>
  <si>
    <t>Miller, Richard J.</t>
  </si>
  <si>
    <t>RM333.5.M55 2014</t>
  </si>
  <si>
    <t>615.7/88</t>
  </si>
  <si>
    <t>Psychotropic Drugs--history. ; Behavior--drug effects. ; Brain--drug effects. ; Civilization--history. ; Psychotropic Drugs--pharmacology.</t>
  </si>
  <si>
    <t>Perfectionism : A Guide for Mental Health Professionals</t>
  </si>
  <si>
    <t>Brustein, Michael</t>
  </si>
  <si>
    <t>RC533.B787 2013eb</t>
  </si>
  <si>
    <t>Language and culture. ; Oral tradition. ; Writing. ; Written communication.</t>
  </si>
  <si>
    <t>Psychological Treatment of Older Adults : A Holistic Model</t>
  </si>
  <si>
    <t>Hyer, Lee</t>
  </si>
  <si>
    <t>RC454.H947 2014eb</t>
  </si>
  <si>
    <t>Human Development in the Life Course : Melodies of Living</t>
  </si>
  <si>
    <t>Zittoun, Tania;Valsiner, Jaan;Vedeler, Dankert;Salgado, João;Gonçalves, Miguel M.;Ferring, Dieter</t>
  </si>
  <si>
    <t>BF713.Z58 2013eb</t>
  </si>
  <si>
    <t>Minissale, Gregory</t>
  </si>
  <si>
    <t>N6490.M537 2013eb</t>
  </si>
  <si>
    <t>Art, Modern -- 20th century -- Psychological aspects. ; Art, Modern -- 21st century -- Psychological aspects.</t>
  </si>
  <si>
    <t>The Book of Memory : A Study of Memory in Medieval Culture</t>
  </si>
  <si>
    <t>Carruthers, Mary</t>
  </si>
  <si>
    <t>Cambridge Studies in Medieval Literature Series</t>
  </si>
  <si>
    <t>BF371.C325 2008eb</t>
  </si>
  <si>
    <t>153.1/20902</t>
  </si>
  <si>
    <t>Pedagogy in Higher Education : A Cultural Historical Approach</t>
  </si>
  <si>
    <t>Wells, Gordon;Edwards, Anne</t>
  </si>
  <si>
    <t>LC196.P453 2013eb</t>
  </si>
  <si>
    <t>Critical pedagogy. ; Education, Higher -- Philosophy.</t>
  </si>
  <si>
    <t>Self-Regulation and Autonomy : Social and Developmental Dimensions of Human Conduct</t>
  </si>
  <si>
    <t>Sokol, Bryan W.;Grouzet, Frederick M. E.;Müller, Ulrich</t>
  </si>
  <si>
    <t>Interdisciplinary Approaches to Knowledge and Development</t>
  </si>
  <si>
    <t>BF575.A88.S45 2013eb</t>
  </si>
  <si>
    <t>Developmental psychology. ; Autonomy (Psychology) ; Self. ; Executive functions (Neuropsychology) ; Social psychology.</t>
  </si>
  <si>
    <t>Moral Nation : Modern Japan and Narcotics in Global History</t>
  </si>
  <si>
    <t>Kingsberg, Miriam</t>
  </si>
  <si>
    <t>Asia: Local Studies / Global Themes Series</t>
  </si>
  <si>
    <t>HV5840.J3.K56 2013eb</t>
  </si>
  <si>
    <t>362.29/30952</t>
  </si>
  <si>
    <t>Drug abuse -- Social aspects -- Japan -- History. ; Drug traffic -- Japan -- History. ; Japan -- Civilization -- 1868- ; Japan -- Moral conditions.</t>
  </si>
  <si>
    <t>Todd, David;Weatherhead, Stephen</t>
  </si>
  <si>
    <t>RC489.S74 -- N37 2014eb</t>
  </si>
  <si>
    <t>Brain damage. ; Medicine. ; Narrative therapy.</t>
  </si>
  <si>
    <t>RC501 -- .P79 2014eb</t>
  </si>
  <si>
    <t>Critical Autoethnography : Intersecting Cultural Identities in Everyday Life</t>
  </si>
  <si>
    <t>Boylorn, Robin M.;Orbe, Mark P;Ellis, Carolyn;Orbe, Mark P.</t>
  </si>
  <si>
    <t>Writing Lives: Ethnographic Narratives Series</t>
  </si>
  <si>
    <t>HM753 -- .C745 2013eb</t>
  </si>
  <si>
    <t>Communication and culture. ; Group identity. ; Multiculturalism.</t>
  </si>
  <si>
    <t>Grossman, Lisa;Walfish, Steven</t>
  </si>
  <si>
    <t>RC467.T724 2014eb</t>
  </si>
  <si>
    <t>Immigrants -- United States -- History. ; Americanization -- History. ; United States -- Emigration and immigration -- History.</t>
  </si>
  <si>
    <t>Gender-Inclusive Treatment of Intimate Partner Abuse : Evidence-Based Approaches</t>
  </si>
  <si>
    <t>RC569.5.F3.H36 2014</t>
  </si>
  <si>
    <t>Spousal abuse</t>
  </si>
  <si>
    <t>Riekert, Kristin A.;Ockene, Judith K.;Pbert, Lori</t>
  </si>
  <si>
    <t>RA776.9.H36 2014eb</t>
  </si>
  <si>
    <t>Health behavior</t>
  </si>
  <si>
    <t>Tear off the Masks! : Identity and Imposture in Twentieth-Century Russia</t>
  </si>
  <si>
    <t>Fitzpatrick, Sheila</t>
  </si>
  <si>
    <t>HN523.F58 2005eb</t>
  </si>
  <si>
    <t>305/.0947/0904</t>
  </si>
  <si>
    <t>Autism Spectrum Disorder : Perspectives from Psychoanalysis and Neuroscience</t>
  </si>
  <si>
    <t>Sherkow, Susan P.;Singletary, William M.;Harrison, Alexandra M;Sherkow, Susan P.;Singletary, William M.;Harrison, Alexandra M</t>
  </si>
  <si>
    <t>RJ506.A9.S44 2014eb</t>
  </si>
  <si>
    <t>Autism spectrum disorders in children -- Treatment. ; Autism spectrum disorders -- Treatment. ; Developmental therapy for children. ; Neurons -- Mathematical models.</t>
  </si>
  <si>
    <t>Douglas, Molly;Walker, Harriet;Casey, Helen;Walker, Harriet</t>
  </si>
  <si>
    <t>Medicine on the Move Series</t>
  </si>
  <si>
    <t>RC343.5.D684 2013</t>
  </si>
  <si>
    <t>The Nonviolence Handbook : A Guide for Practical Action</t>
  </si>
  <si>
    <t>Nagler, Michael;Wright, Ann</t>
  </si>
  <si>
    <t>HM1281 -- .N343 2014eb</t>
  </si>
  <si>
    <t>Nonviolence. ; Conflict management.</t>
  </si>
  <si>
    <t>Doing Nutrition Differently : Critical Approaches to Diet and Dietary Intervention</t>
  </si>
  <si>
    <t>Hayes-Conroy, Allison;Hayes-Conroy, Dr Jessica;Goodman, Professor Michael K</t>
  </si>
  <si>
    <t>Critical Food Studies</t>
  </si>
  <si>
    <t>RA784 -- .D63 2013eb</t>
  </si>
  <si>
    <t>Nutrition. ; Women -- Nutrition -- Psychological aspects. ; Nutritionally induced diseases -- Prevention. ; Health behavior.</t>
  </si>
  <si>
    <t>Relating to God : Clinical Psychoanalysis, Spirituality, and Theism</t>
  </si>
  <si>
    <t>Merkur, Dan</t>
  </si>
  <si>
    <t>BF175.4.R44.M47 b20</t>
  </si>
  <si>
    <t>Philosophical Issues in Counseling and Psychotherapy : Encounters with Four Questions about Knowing, Effectiveness, and Truth</t>
  </si>
  <si>
    <t>Hansen, James T.</t>
  </si>
  <si>
    <t>BF637.C6 -- H36 2014eb</t>
  </si>
  <si>
    <t>de Medeiros, Kate</t>
  </si>
  <si>
    <t>HQ1061.M383 2014eb</t>
  </si>
  <si>
    <t>Narrative inquiry (Research method)</t>
  </si>
  <si>
    <t>Head Strong : How Psychology Is Revolutionizing War</t>
  </si>
  <si>
    <t>Matthews, Michael D.</t>
  </si>
  <si>
    <t>U22.3.M38 2014eb</t>
  </si>
  <si>
    <t>355.001/9</t>
  </si>
  <si>
    <t>War -- Psychological aspects. ; Psychology, Military. ; Combat -- Psychological aspects. ; Psychological warfare -- United States. ; Soldiers -- Mental health -- United States. ; United States -- Armed Forces -- Medical care.</t>
  </si>
  <si>
    <t>Nezu, Christine Maguth;Martell, Christopher R.;Nezu, Arthur M.</t>
  </si>
  <si>
    <t>BF201.N49 2014eb</t>
  </si>
  <si>
    <t>Cognitive psychology. ; Behaviorism (Psychology) ; Psychologists. ; Psychology -- Practice.</t>
  </si>
  <si>
    <t>Social Dilemmas : Understanding Human Cooperation</t>
  </si>
  <si>
    <t>Van Lange, Paul;Balliet, Daniel P.;Parks, Craig D.;van Vugt, Mark</t>
  </si>
  <si>
    <t>HM1111.L36 2014eb</t>
  </si>
  <si>
    <t>Social interaction. ; Cooperativeness. ; Interpersonal relations. ; Social psychology.</t>
  </si>
  <si>
    <t>Meloy, J. Reid;Hoffmann, Jens</t>
  </si>
  <si>
    <t>RC569.5.V55.I57 201</t>
  </si>
  <si>
    <t>Violence -- Forecasting. ; Threat (Psychology) ; Risk. ; Violent crimes -- Prevention.</t>
  </si>
  <si>
    <t>The Beginning Psychotherapist's Companion : Second Edition</t>
  </si>
  <si>
    <t>Willer, Jan</t>
  </si>
  <si>
    <t>RC480.W55 2014eb</t>
  </si>
  <si>
    <t>Psychotherapy. ; Psychotherapy -- Practice.</t>
  </si>
  <si>
    <t>Collected Works of C. G. Jung, Volume 20 : General Index</t>
  </si>
  <si>
    <t>Jung, C. G.;Adler, Gerhard;Hull, R. F. C.</t>
  </si>
  <si>
    <t>The Collected Works of C. G. Jung Series</t>
  </si>
  <si>
    <t>Jung, C. G. -- (Carl Gustav), -- 1875-1961 -- Indexes. ; Jung, C. G. -- (Carl Gustav), -- 1875-1961 -- Dictionaries -- Indexes.</t>
  </si>
  <si>
    <t>Collected Works of C. G. Jung, Volume 18 : The Symbolic Life: Miscellaneous Writings</t>
  </si>
  <si>
    <t>BF23 -- .J864 1976eb</t>
  </si>
  <si>
    <t>Collected Works of C. G. Jung, Volume 16 : Practice of Psychotherapy</t>
  </si>
  <si>
    <t>Psychotherapy. ; Therapeutics, Suggestive. ; Transference (Psychology)</t>
  </si>
  <si>
    <t>Collected Works of C. G. Jung, Volume 13 : Alchemical Studies</t>
  </si>
  <si>
    <t>150/.8 s 540/.1</t>
  </si>
  <si>
    <t>Collected Works of C. G. Jung, Volume 9 (Part 1) : Archetypes and the Collective Unconscious</t>
  </si>
  <si>
    <t>Subconsciousness. ; Psychoanalysis. ; Archetype (Psychology)</t>
  </si>
  <si>
    <t>Collected Works of C. G. Jung, Volume 8 : The Structure and Dynamics of the Psyche</t>
  </si>
  <si>
    <t>Collected Works of C. G. Jung, Volume 5 : Symbols of Transformation</t>
  </si>
  <si>
    <t>Collected Works of C. G. Jung, Volume 4 : Freud and Psychoanalysis</t>
  </si>
  <si>
    <t>150.1/952</t>
  </si>
  <si>
    <t>Collected Works of C. G. Jung, Volume 3 : The Psychogenesis of Mental Disease</t>
  </si>
  <si>
    <t>Jung, C. G.;Adler, Gerhard;Read, Herbert;Hull, R. F. C.</t>
  </si>
  <si>
    <t>Collected Works of C. G. Jung, Volume 2 : Experimental Researches</t>
  </si>
  <si>
    <t>150/.19/54</t>
  </si>
  <si>
    <t>Collected Works of C. G. Jung, Volume 1 : Psychiatric Studies</t>
  </si>
  <si>
    <t>Jung, C. G.;Read, Herbert;Fordham, Michael;Adler, Gerhard;Hull, R. F. C.</t>
  </si>
  <si>
    <t>616.89/09</t>
  </si>
  <si>
    <t>Collected Works of C. G. Jung, Volume 7 : Two Essays in Analytical Psychology</t>
  </si>
  <si>
    <t>150/.19/5408</t>
  </si>
  <si>
    <t>Collected Works of C. G. Jung, Volume 15 : Spirit in Man, Art, and Literature</t>
  </si>
  <si>
    <t>Collected Works of C. G. Jung, Volume 12 : Psychology and Alchemy</t>
  </si>
  <si>
    <t>Collected Works of C. G. Jung, Volume 6 : Psychological Types</t>
  </si>
  <si>
    <t>Collected Works of C. G. Jung, Volume 17 : Development of Personality</t>
  </si>
  <si>
    <t>Individuality. ; Personality.</t>
  </si>
  <si>
    <t>Test Anxiety : Applied Research, Assessment, and Treatment Interventions</t>
  </si>
  <si>
    <t>Sapp, Marty</t>
  </si>
  <si>
    <t>HA29.S277 2014eb</t>
  </si>
  <si>
    <t>371.26/01/9</t>
  </si>
  <si>
    <t>The Polyamorists Next Door : Inside Multiple-Partner Relationships and Families</t>
  </si>
  <si>
    <t>Sheff, Elisabeth</t>
  </si>
  <si>
    <t>African-American Adolescents in the Urban Community : Social Services Policy and Practice Interventions</t>
  </si>
  <si>
    <t>Rozie-Battle, Judith</t>
  </si>
  <si>
    <t>HV3181 -- .A37 2009eb</t>
  </si>
  <si>
    <t>Social work with African American teenagers. ; African American teenagers -- Social conditions. ; Urban youth -- United States -- Social conditions.</t>
  </si>
  <si>
    <t>Homer, Bruce D.;Tamis-LeMonda, Catherine S.</t>
  </si>
  <si>
    <t>BF721 -- .D48 2005eb</t>
  </si>
  <si>
    <t>Child psychology -- Congresses. ; Cognition in children -- Congresses. ; Social perception in children -- Congresses. ; Children -- Language -- Congresses. ; Philosophy of mind in children -- Congresses.</t>
  </si>
  <si>
    <t>Managing Burnout in the Workplace : A Guide for Information Professionals</t>
  </si>
  <si>
    <t>Chandos Publishing</t>
  </si>
  <si>
    <t>McCormack, Nancy;Cotter, Catherine</t>
  </si>
  <si>
    <t>Chandos Information Professional Series</t>
  </si>
  <si>
    <t>BF481.M33 2013eb</t>
  </si>
  <si>
    <t>Melville, Gert;Ruta, Carlos</t>
  </si>
  <si>
    <t>Challenges of Life: Essays on Philosophical and Cultural Anthropology Series</t>
  </si>
  <si>
    <t>Adjustment (Psychology) ; Human behavior. ; Psychology.</t>
  </si>
  <si>
    <t>Discursive Remembering : Individual and Collective Remembering As a Discursive, Cognitive and Historical Process</t>
  </si>
  <si>
    <t>Bietti, Lucas M.</t>
  </si>
  <si>
    <t>Memory. ; Collective memory. ; Cognition. ; Social psychology.</t>
  </si>
  <si>
    <t>The Topic of Cancer : New Perspectives on the Emotional Experience of Cancer</t>
  </si>
  <si>
    <t>Burke, Jonathan</t>
  </si>
  <si>
    <t>RC262 -- .T67 2013eb</t>
  </si>
  <si>
    <t>Animal Killer : Transmission of War Trauma from One Generation to the Next</t>
  </si>
  <si>
    <t>Volkan, Vamik D.</t>
  </si>
  <si>
    <t>RC552.P67 -- V65 2014eb</t>
  </si>
  <si>
    <t>Post-traumatic stress disorder -- Treatment. ; Veterans -- Mental health. ; Psychic trauma -- Treatment.</t>
  </si>
  <si>
    <t>Introduction to Aging : A Positive, Interdisciplinary Approach</t>
  </si>
  <si>
    <t>Sugar, Judith A.;Riekse, Robert;Holstege, Henry;Faber, Michael</t>
  </si>
  <si>
    <t>HQ1061.I58 2014eb</t>
  </si>
  <si>
    <t>Malaysia -- Economic conditions. ; Malaysia.</t>
  </si>
  <si>
    <t>Durbin, C. Emily</t>
  </si>
  <si>
    <t>RC537.D87 2014eb</t>
  </si>
  <si>
    <t>Internalized Oppression : The Psychology of Marginalized Groups</t>
  </si>
  <si>
    <t>David, E. J. R.</t>
  </si>
  <si>
    <t>HM1136.I65 2014eb</t>
  </si>
  <si>
    <t>Minorities</t>
  </si>
  <si>
    <t>Molenaar, Peter C. M.;Lerner, Richard M.;Newell, Karl M.</t>
  </si>
  <si>
    <t>BF713 -- .H3645 2014eb</t>
  </si>
  <si>
    <t>Developmental psychology. ; Developmental psychobiology. ; System theory.</t>
  </si>
  <si>
    <t>Oh, It's Like CSI... : A Qualitative Study of Job Satisfaction Experiences of Forensic Scientists</t>
  </si>
  <si>
    <t>Dukes-Robinson, Tharinia;Esmail, Ashraf</t>
  </si>
  <si>
    <t>HV8073.D85 2014eb</t>
  </si>
  <si>
    <t>GN495.8 -- .N38 2014eb</t>
  </si>
  <si>
    <t>Ethnocentrism. ; Xenophobia. ; Sociobiology. ; Political sociology. ; Nationalism.</t>
  </si>
  <si>
    <t>What Makes Us Stay Together? : Attachment and the Outcomes of Couple Relationships</t>
  </si>
  <si>
    <t>Castellano, Rosetta;Velotti, Patrizia;Zavattini, Giulio Cesare</t>
  </si>
  <si>
    <t>BF575.A86 -- C37 2014eb</t>
  </si>
  <si>
    <t>Attachment behavior. ; Love.</t>
  </si>
  <si>
    <t>Mutuality, Recognition, and the Self : Psychoanalytic Reflections</t>
  </si>
  <si>
    <t>Kieffer, Christine C.</t>
  </si>
  <si>
    <t>RC506 -- .K54 2014eb</t>
  </si>
  <si>
    <t>Developmental psychology. ; Psychoanalysis.</t>
  </si>
  <si>
    <t>Integrating Clinical Hypnosis and CBT : Treating Depression, Anxiety, and Fears</t>
  </si>
  <si>
    <t>RC489.C63.C43 2014eb</t>
  </si>
  <si>
    <t>ACT and RFT in Relationships : Helping Clients Deepen Intimacy and Maintain Healthy Commitments Using Acceptance and Commitment Therapy and Relational Frame Theory</t>
  </si>
  <si>
    <t>Dahl, JoAnne;Stewart, Ian;Martell, Christopher R.;Kaplan, Jonathan S.;Walser, Robyn D.</t>
  </si>
  <si>
    <t>RC489.A32 -- D34 2013eb</t>
  </si>
  <si>
    <t>Amor and Psyche : The Psychic Development of the Feminine</t>
  </si>
  <si>
    <t>Neumann, Erich</t>
  </si>
  <si>
    <t>PA6209.M5 N4 2013</t>
  </si>
  <si>
    <t>Apuleius. -- Psyche et Cupido. ; Eros (Greek deity) in literature. ; Femininity in literature. ; Latin fiction -- History and criticism. ; Psyche (Greek deity) in literature. ; Psychological fiction -- History and criticism.</t>
  </si>
  <si>
    <t>Berger, Roni</t>
  </si>
  <si>
    <t>HQ1154 .B4148 2013</t>
  </si>
  <si>
    <t>305.4/092/2</t>
  </si>
  <si>
    <t>How Homophobia Hurts Children : Nurturing Diversity at Home, at School, and in the Community</t>
  </si>
  <si>
    <t>Baker, Jean M.;Baker, Jean M.</t>
  </si>
  <si>
    <t>HQ76.45.U5 B34 2013</t>
  </si>
  <si>
    <t>Gay students - United States - Psychology.</t>
  </si>
  <si>
    <t>Bereavement : Studies of Grief in Adult Life, Fourth Edition</t>
  </si>
  <si>
    <t>Parkes, Colin Murray;Prigerson, Holly G.</t>
  </si>
  <si>
    <t>BF575.G7 P37 2013</t>
  </si>
  <si>
    <t>BF109.J8 R69 2013</t>
  </si>
  <si>
    <t>150.19/54/092</t>
  </si>
  <si>
    <t>Collected Works of C. G. Jung, Volume 9 (Part 2) : Aion: Researches into the Phenomenology of the Self</t>
  </si>
  <si>
    <t>McMahon, Gladeana;Palmer, Stephen;Wilding, Christine</t>
  </si>
  <si>
    <t>BF637.C6 M3797 2013</t>
  </si>
  <si>
    <t>616.89/0068</t>
  </si>
  <si>
    <t>Fine, Mark A.;Harvey, John H.</t>
  </si>
  <si>
    <t>HQ814 .H27 2013</t>
  </si>
  <si>
    <t>Divorce. ; Separation (Psychology) ; Man-woman relationships.</t>
  </si>
  <si>
    <t>Science: Astronomy; Science; Social Science</t>
  </si>
  <si>
    <t>Philosophy and Working-Through the Past : A Psychoanalytic Approach to Social Pathologies</t>
  </si>
  <si>
    <t>Jackson, Jeffrey M.</t>
  </si>
  <si>
    <t>BF175.4.P45.J33 201</t>
  </si>
  <si>
    <t>Dialectical Behavior Therapy for at-Risk Adolescents : A Practitioner's Guide to Treating Challenging Behavior Problems</t>
  </si>
  <si>
    <t>Harvey, Pat;Rathbone, Britt H.</t>
  </si>
  <si>
    <t>RC489.B4 -- H378 2013eb</t>
  </si>
  <si>
    <t>Dialectical behavior therapy. ; Behavior disorders in adolescence -- Treatment. ; Problem children -- Behavior modification.</t>
  </si>
  <si>
    <t>The Unconscious Without Freud</t>
  </si>
  <si>
    <t>Sand, Rosemarie Sponner</t>
  </si>
  <si>
    <t>Dialog-On-Freud Series</t>
  </si>
  <si>
    <t>BF173.F85 -- .S263 2014eb</t>
  </si>
  <si>
    <t>Beyond Post-Traumatic Stress : Homefront Struggles with the Wars on Terror</t>
  </si>
  <si>
    <t>Hautzinger, Sarah;Scandlyn, Jean;Hautzinger, Sarah J.</t>
  </si>
  <si>
    <t>RC552.P67 -- H38 2014eb</t>
  </si>
  <si>
    <t>Scharff, David E.;Scharff, Jill Savege</t>
  </si>
  <si>
    <t>RC489.S827S33 2011</t>
  </si>
  <si>
    <t>Psychoanalysis. ; Subconsciousness. ; Interpersonal relations. ; Psychoanalytic Theory. ; Unconscious (Psychology). ; Family Relations. ; Interpersonal Relations.</t>
  </si>
  <si>
    <t>Brummer, Klaus;Oppermann, Kai</t>
  </si>
  <si>
    <t>Lehr- und Handbücher der Politikwissenschaft Series</t>
  </si>
  <si>
    <t>International relations -- Methodology. ; International relations -- Philosophy. ; Decision making -- Psychological aspects.</t>
  </si>
  <si>
    <t>Learning and Coordination : Inductive Deliberation, Equilibrium and Convention</t>
  </si>
  <si>
    <t>CT</t>
  </si>
  <si>
    <t>Vanderschraaf, Peter</t>
  </si>
  <si>
    <t>Studies in Ethics Series</t>
  </si>
  <si>
    <t>HM1111$b.V36 2013</t>
  </si>
  <si>
    <t>Trauma and Juvenile Delinquency : Theory, Research, and Interventions</t>
  </si>
  <si>
    <t>Greenwald, Ricky</t>
  </si>
  <si>
    <t>HV9069 .T788 2014</t>
  </si>
  <si>
    <t>364.2/4</t>
  </si>
  <si>
    <t>Juvenile delinquents -- Psychology. ; Conduct disorders in adolescence. ; Psychic trauma.</t>
  </si>
  <si>
    <t>Empowerment and Participatory Evaluation of Community Interventions : Multiple Benefits</t>
  </si>
  <si>
    <t>Suarez-Balcazar, Yolanda;Harper, Gary</t>
  </si>
  <si>
    <t>HV40 .E47 2014</t>
  </si>
  <si>
    <t>Social service -- Evaluation -- Citizen participation. ; Human services -- Evaluation -- Citizen participation. ; Community health services -- Evaluation -- Citizen participation. ; Evaluation research (Social action programs) -- Citizen participation.</t>
  </si>
  <si>
    <t>Health Care for an Aging Society : Cost-Conscious Community Care and Self-Care Approaches</t>
  </si>
  <si>
    <t>Haber, David</t>
  </si>
  <si>
    <t>Death Education, Aging and Health Care Series</t>
  </si>
  <si>
    <t>RA410.53 -- .H33 1989eb</t>
  </si>
  <si>
    <t>Medical care, Cost of -- United States. ; Medical policy -- United States. ; Older people -- Long-term care -- United States. ; Self-care, Health -- Economics.</t>
  </si>
  <si>
    <t>Prouty Lyness, Anne M.</t>
  </si>
  <si>
    <t>RC488.5 .F455 2014</t>
  </si>
  <si>
    <t>Family medicine.</t>
  </si>
  <si>
    <t>Mental Health Practice with Children and Youth : A Strengths and Well-Being Model</t>
  </si>
  <si>
    <t>Helton, Lonnie R.;Smith, Mieko Kotake;Helton, Lonnie R.</t>
  </si>
  <si>
    <t>RJ499 .H524 2014</t>
  </si>
  <si>
    <t>362.2/083</t>
  </si>
  <si>
    <t>Child mental health services. ; Teenagers -- Mental health services. ; Child psychology. ; Adolescent psychology.</t>
  </si>
  <si>
    <t>Violence in the Lives of Black Women : Battered, Black, and Blue</t>
  </si>
  <si>
    <t>West, Carolyn</t>
  </si>
  <si>
    <t>HV6250.4.W65 V5677</t>
  </si>
  <si>
    <t>The Use of Personal Narratives in the Helping Professions : A Teaching Casebook</t>
  </si>
  <si>
    <t>Heriot, Jessica K.;Polinger, Eileen J.;Polinger, Eileen J.</t>
  </si>
  <si>
    <t>HV11.2 .U73 2014</t>
  </si>
  <si>
    <t>Social work education -- Biographical methods. ; Mental health education -- Biographical methods.</t>
  </si>
  <si>
    <t>Fear : A Dark Shadow Across Our Life Span</t>
  </si>
  <si>
    <t>BF575.F2 -- .F437 2014eb</t>
  </si>
  <si>
    <t>Fear -- Psychological aspects. ; Fear -- Social aspects.</t>
  </si>
  <si>
    <t>Eat the Evidence : A Journey Through The Dark Boroughs Of A Pedophilic Cannibal's Mind</t>
  </si>
  <si>
    <t>Espy, John C.</t>
  </si>
  <si>
    <t>HV6493 -- .E879 2014eb</t>
  </si>
  <si>
    <t>Fiction; Social Science</t>
  </si>
  <si>
    <t>A Psychoanalytic Odyssey : Painted Guinea Pigs, Dreams, and Other Realities</t>
  </si>
  <si>
    <t>Mahon, Eugene J.</t>
  </si>
  <si>
    <t>RC506 -- .M346 2014eb</t>
  </si>
  <si>
    <t>S. Clarke, Graham;Scharff, David E.</t>
  </si>
  <si>
    <t>BF175.5.O24 -- .F357 2014eb</t>
  </si>
  <si>
    <t>Fairbairn, W. Ronald D. -- (William Ronald Dodds) ; Object relations (Psychoanalysis)</t>
  </si>
  <si>
    <t>Psychoanalytic Couple Therapy : Foundations of Theory and Practice</t>
  </si>
  <si>
    <t>RC488.5 -- .P793 2014eb</t>
  </si>
  <si>
    <t>Couples therapy. ; Psychoanalysis. ; Psychodynamic psychotherapy.</t>
  </si>
  <si>
    <t>Pioneers of Child Psychoanalysis : Influential Theories and Practices in Healthy Child Development</t>
  </si>
  <si>
    <t>Markman Reubins, Beatriz;Reubins, Marc Stephan</t>
  </si>
  <si>
    <t>RJ504.2 -- .P566 2014eb</t>
  </si>
  <si>
    <t>Child analysis. ; Psychoanalysis. ; Child psychology.</t>
  </si>
  <si>
    <t>The Rupture of Serenity : External Intrusions and Psychoanalytic Technique</t>
  </si>
  <si>
    <t>Abbasi, Aisha</t>
  </si>
  <si>
    <t>BF636.6 -- .A233 2014eb</t>
  </si>
  <si>
    <t>The Twin in the Transference : Second Edition</t>
  </si>
  <si>
    <t>Lewin, Vivienne</t>
  </si>
  <si>
    <t>BF723.T9 -- .L495 2004eb</t>
  </si>
  <si>
    <t>155.4/44</t>
  </si>
  <si>
    <t>Twins -- Psychology. ; Twins.</t>
  </si>
  <si>
    <t>Siblings in the Unconscious and Psychopathology : Womb Fantasies, Claustrophobias, Fear of Pregnancy, Murderous Rage, Animal Symbolism, Christmas and Easter Neuroses , and Twinnings or Identifications with Sisters and Brothers</t>
  </si>
  <si>
    <t>Ast, Gabriele;Volkan, Vamik D.</t>
  </si>
  <si>
    <t>RC455.4.B76 -- .V655 2014eb</t>
  </si>
  <si>
    <t>Brothers and sisters. ; Object relations (Psychoanalysis) ; Mental illness -- Etiology. ; Fantasy. ; Subconsciousness.</t>
  </si>
  <si>
    <t>The Work of Play : Child Psychotherapy in Contemporary Korea</t>
  </si>
  <si>
    <t>Nahm, Sheena</t>
  </si>
  <si>
    <t>RJ502.K6.N346 2014eb</t>
  </si>
  <si>
    <t>618.92/89140095195</t>
  </si>
  <si>
    <t>Child psychotherapy -- Korea (South) ; Play therapy -- Korea (South) ; Child psychopathology -- Korea (South)</t>
  </si>
  <si>
    <t>The Oxford Handbook of Quantitative Methods, Volume 1 : Foundations</t>
  </si>
  <si>
    <t>BF39.O927 2013eb</t>
  </si>
  <si>
    <t>150.72/1</t>
  </si>
  <si>
    <t>The Perversion of Virtue : Understanding Murder-Suicide</t>
  </si>
  <si>
    <t>Joiner, Thomas</t>
  </si>
  <si>
    <t>HV6545.J656 2014eb</t>
  </si>
  <si>
    <t>Suicide -- United States. ; Homicide -- United States.</t>
  </si>
  <si>
    <t>Parenting and Teen Drug Use : The Most Recent Findings from Research, Prevention, and Treatment</t>
  </si>
  <si>
    <t>Scheier, Lawrence M.;Hansen, William B.</t>
  </si>
  <si>
    <t>HV5824.Y68.P374 201</t>
  </si>
  <si>
    <t>Youth -- Drug use -- Prevention. ; Parenting. ; Parent anda child.</t>
  </si>
  <si>
    <t>Warriors and Worriers : The Survival of the Sexes</t>
  </si>
  <si>
    <t>Benenson, Joyce F.;Markovits, Henry</t>
  </si>
  <si>
    <t>BF692.2.B464 2014eb</t>
  </si>
  <si>
    <t>Sex differences (Psychology) ; Sex differences.</t>
  </si>
  <si>
    <t>The Mind As a Scientific Object : Between Brain and Culture</t>
  </si>
  <si>
    <t>Erneling, Christina E.;Johnson, David M.</t>
  </si>
  <si>
    <t>BF311.M552 2005</t>
  </si>
  <si>
    <t>Cognitive science. ; Intellect -- Social aspects. ; Cognition -- Social aspects.</t>
  </si>
  <si>
    <t>Taylor, Marjorie</t>
  </si>
  <si>
    <t>BF723.I5 -- T38 1999eb</t>
  </si>
  <si>
    <t>155.4/133</t>
  </si>
  <si>
    <t>Gibson, Eleanor J.;Pick, Anne D.</t>
  </si>
  <si>
    <t>BF720.P47G53 2000</t>
  </si>
  <si>
    <t>155.4/137</t>
  </si>
  <si>
    <t>Perception in infants. ; Perceptual learning. ; Infant psychology.</t>
  </si>
  <si>
    <t>Piechowski, Lisa Drago</t>
  </si>
  <si>
    <t>RA1055.5.P54 2011eb</t>
  </si>
  <si>
    <t>Disability evaluation. ; Work capacity evaluation.</t>
  </si>
  <si>
    <t>Cannabis Policy : Moving Beyond Stalemate</t>
  </si>
  <si>
    <t>Room, Robin;Fischer, Benedikt;Hall, Wayne;Lenton, Simon;Reuter, Peter;Feilding, Covenor: Amanda</t>
  </si>
  <si>
    <t>HV5822.M3.C366 2010</t>
  </si>
  <si>
    <t>362.29/5561</t>
  </si>
  <si>
    <t>Marijuana -- Government policy. ; Marijuana abuse.</t>
  </si>
  <si>
    <t>Oxford Handbook of Happiness</t>
  </si>
  <si>
    <t>David, Susan;Boniwell, Ilona;Conley Ayers, Amanda</t>
  </si>
  <si>
    <t>BF575.H27.O946 2013</t>
  </si>
  <si>
    <t>Chained to the Desk (Third Edition) : A Guidebook for Workaholics, Their Partners and Children, and the Clinicians Who Treat Them</t>
  </si>
  <si>
    <t>Robinson, Bryan E.</t>
  </si>
  <si>
    <t>RC569.5.W67.R63 201</t>
  </si>
  <si>
    <t>The Bipolar II Disorder Workbook : Managing Recurring Depression, Hypomania, and Anxiety</t>
  </si>
  <si>
    <t>Roberts, Stephanie McMurrich;Sylvia, Louisa Grandin;Reilly-Harrington, Noreen A.;Miklowitz, David J.</t>
  </si>
  <si>
    <t>RC516 -- .R63 2014eb</t>
  </si>
  <si>
    <t>Mindfulness-Based Sobriety : A Clinician's Treatment Guide for Addiction Recovery Using Relapse Prevention Therapy, Acceptance and Commitment Therapy, and Motivational Interviewing</t>
  </si>
  <si>
    <t>Turner, Nick;Welches, Phil;Conti, Sandra</t>
  </si>
  <si>
    <t>RC564 -- .T87 2014eb</t>
  </si>
  <si>
    <t>Addicts -- Rehabilitation. ; Substance abuse -- Relapse -- Prevention. ; Substance abuse -- Treatment. ; Mindfulness-based cognitive therapy.</t>
  </si>
  <si>
    <t>Helpers in Childbirth : Midwifery Today</t>
  </si>
  <si>
    <t>Oakley, Ann;Houd, Susanne</t>
  </si>
  <si>
    <t>RG950 .O23 2014</t>
  </si>
  <si>
    <t>Midwives -- History -- 20th century. ; Midwives -- History. ; Childbirth -- History.</t>
  </si>
  <si>
    <t>Sexual Identity on the Job : Issues and Services</t>
  </si>
  <si>
    <t>Ellis, Alan L.;Riggle, Ellen D.</t>
  </si>
  <si>
    <t>HD6285.5.U6 S48 2014</t>
  </si>
  <si>
    <t>Gays -- Employment -- United States. ; Lesbians -- Employment -- United States. ; Bisexuals -- Employment -- United States. ; Sex discrimination in employment -- United States. ; Gender identity -- United States.</t>
  </si>
  <si>
    <t>Garcia, Bernardo C.</t>
  </si>
  <si>
    <t>Latino Communities: Emerging Voices - Political, Social, Cultural and Legal Issues Series</t>
  </si>
  <si>
    <t>HQ76.2.U5 G35 2014</t>
  </si>
  <si>
    <t>Hispanic American gays -- Psychology. ; Hispanic American gays -- Ethnic identity. ; Gays -- United States -- Identity.</t>
  </si>
  <si>
    <t>Sex Offender Treatment : Biological Dysfunction, Intrapsychic Conflict, Interpersonal Violence</t>
  </si>
  <si>
    <t>Coleman, Edmond J.;Dwyer, Margretta;Pallone, Nathaniel J.</t>
  </si>
  <si>
    <t>RC560.S47 S466 2014</t>
  </si>
  <si>
    <t>Sex offenders -- Rehabilitation. ; Sex offenders -- Psychology.</t>
  </si>
  <si>
    <t>Dealing with Depression : Five Pastoral Interventions</t>
  </si>
  <si>
    <t>Clements, William M.;Dayringer, Richard L.</t>
  </si>
  <si>
    <t>RC537 .D39 2014</t>
  </si>
  <si>
    <t>Northrup, Gordon</t>
  </si>
  <si>
    <t>RJ504.5 .M357 2014</t>
  </si>
  <si>
    <t>362.2/23/083</t>
  </si>
  <si>
    <t>Group homes for children - Administration.</t>
  </si>
  <si>
    <t>Popular Appeal : Books and Films in Contemporary Youth Culture</t>
  </si>
  <si>
    <t>Pearce, Sharyn;Muller,  Vivienne;Hawkes,  Lesley</t>
  </si>
  <si>
    <t>HQ796 -- .P43 2013eb</t>
  </si>
  <si>
    <t>Young adult literature. ; Adolescent psychology. ; Young adult fiction. ; Teenagers.</t>
  </si>
  <si>
    <t>Theory and Practice of Logic-Based Therapy : Integrating Critical Thinking and Philosophy into Psychotherapy</t>
  </si>
  <si>
    <t>Cohen, Elliot D.</t>
  </si>
  <si>
    <t>RC489.C63.C64 2013eb</t>
  </si>
  <si>
    <t>Diasporic Identities and Empire : Cultural Contentions and Literary Landscapes</t>
  </si>
  <si>
    <t>Newcastle upon Tyne</t>
  </si>
  <si>
    <t>Louridas, Anastasia;Brooks,  David</t>
  </si>
  <si>
    <t>BF697 -- .D53 2013eb</t>
  </si>
  <si>
    <t>Identity (Psychology) ; Identity (Philosophical concept) in literature.</t>
  </si>
  <si>
    <t>Changing Play: Play, Media and Commercial Culture from the 1950s to the Present Day</t>
  </si>
  <si>
    <t>Marsh, Jackie;Bishop, Julia</t>
  </si>
  <si>
    <t>HQ782 .M37 2013</t>
  </si>
  <si>
    <t>Play. ; Child development.</t>
  </si>
  <si>
    <t>Parrott, W. Gerrod</t>
  </si>
  <si>
    <t>BF531 -- .P67 2014eb</t>
  </si>
  <si>
    <t>Treating Traumatic Bereavement : A Practitioner's Guide</t>
  </si>
  <si>
    <t>Pearlman, Laurie Anne;Wortman, Camille B.;Feuer, Catherine A.;Farber, Christine H.;Rando, Therese A.;Farber, Christine H.</t>
  </si>
  <si>
    <t>RC455.4.L67 -- P43 2014eb</t>
  </si>
  <si>
    <t>Bereavement -- Psychological aspects. ; Post-traumatic stress disorder -- Treatment. ; Sudden death -- Psychological aspects. ; Death -- Psychological aspects. ; Grief therapy.</t>
  </si>
  <si>
    <t>Explaining Abnormal Behavior : A Cognitive Neuroscience Perspective</t>
  </si>
  <si>
    <t>Pennington, Bruce F.</t>
  </si>
  <si>
    <t>RC454 -- .P394 2014eb</t>
  </si>
  <si>
    <t>Psychology, Pathological. ; Mental illness -- Etiology. ; Cognitive neuroscience.</t>
  </si>
  <si>
    <t>Psychology; Medicine; Science: Anatomy/Physiology; Science</t>
  </si>
  <si>
    <t>Tugade, Michele M.;Shiota, Michelle N.;Kirby, Leslie D.;Fredrickson, Barbara L.</t>
  </si>
  <si>
    <t>BF204.6 -- .H356 2014eb</t>
  </si>
  <si>
    <t>Positive psychology. ; Emotions.</t>
  </si>
  <si>
    <t>RA790.8; Z6665.6 .L</t>
  </si>
  <si>
    <t>016.61689/007</t>
  </si>
  <si>
    <t>Mental health -- Programmed instruction -- Bibliography</t>
  </si>
  <si>
    <t>Social Science; General Works/Reference; Health</t>
  </si>
  <si>
    <t>Women with Visible and Invisible Disabilities : Multiple Intersections, Multiple Issues, Multiple Therapies</t>
  </si>
  <si>
    <t>Banks, Martha;Kaschak, Ellyn</t>
  </si>
  <si>
    <t>HV1569.3.W65 W666 2</t>
  </si>
  <si>
    <t>Macho Love : Sex Behind Bars in Central America</t>
  </si>
  <si>
    <t>Schifter, Jacobo;Schifter, Jacobo</t>
  </si>
  <si>
    <t>HV8836 .S3513 2014</t>
  </si>
  <si>
    <t>Prisoners -- Sexual behavior -- Central America. ; Prisoners -- Health and hygiene -- Central America. ; Homosexuality -- Central America.</t>
  </si>
  <si>
    <t>Chaplains to the Imprisoned : Sharing Life with the Incarcerated</t>
  </si>
  <si>
    <t>Shaw, Richard D.;Shaw, Richard D.</t>
  </si>
  <si>
    <t>BV4340 .S485 2014</t>
  </si>
  <si>
    <t>Prison chaplains -- New York (State) ; Prisons -- New York (State) -- Officials and employees. ; New York (State) -- Officials and employees.</t>
  </si>
  <si>
    <t>Peters, Donald L.</t>
  </si>
  <si>
    <t>LB1027.5 .P398 2014</t>
  </si>
  <si>
    <t>Educational counseling -- United States. ; Counseling in secondary education -- United States.</t>
  </si>
  <si>
    <t>Mental Health Issues for Sexual Minority Women : Redefining Women's Mental Health</t>
  </si>
  <si>
    <t>Hughes, Tonda;Smith, Carrol;Dan, Alice</t>
  </si>
  <si>
    <t>RC451.4.G39 M447 20</t>
  </si>
  <si>
    <t>Minority lesbians -- Mental health. ; Lesbians -- Mental health. ; Bisexual women -- Mental health. ; Sexual minority women.</t>
  </si>
  <si>
    <t>Bornstein, M. H.;Bornstein, M. H.</t>
  </si>
  <si>
    <t>BF671 .C58 2014</t>
  </si>
  <si>
    <t>Psychology, Comparative. ; Ethnopsychology. ; Psychology -- Methodology.</t>
  </si>
  <si>
    <t>The Drunken Monkey : Why We Drink and Abuse Alcohol</t>
  </si>
  <si>
    <t>Dudley, Robert</t>
  </si>
  <si>
    <t>GT2884.D84 2014eb</t>
  </si>
  <si>
    <t>Monkeys - Physiology</t>
  </si>
  <si>
    <t>Young Widower : A Memoir</t>
  </si>
  <si>
    <t>Evans, John W.</t>
  </si>
  <si>
    <t>River Teeth Literary Nonfiction Prize</t>
  </si>
  <si>
    <t>HQ1058.5.U5 -- .E93 2014eb</t>
  </si>
  <si>
    <t>Evans, John W. -- (John William), -- 1977- ; Evans, John W. -- (John William), -- 1977- -- Marriage. ; Widowers -- United States -- Biography. ; Young men -- United States -- Biography. ; Widowers -- United States -- Psychology.</t>
  </si>
  <si>
    <t>Weissman, David</t>
  </si>
  <si>
    <t>Categories Series</t>
  </si>
  <si>
    <t>Interpersonal relations. ; Reciprocity (Psychology) ; Values.</t>
  </si>
  <si>
    <t>Human Memory : Structures and Images</t>
  </si>
  <si>
    <t>Howes, Mary B.</t>
  </si>
  <si>
    <t>BF371.H74 2007eb</t>
  </si>
  <si>
    <t>Personality Disorders : Toward the DSM-V</t>
  </si>
  <si>
    <t>O′Donohue, William T.;Fowler, Katherine A.;Lilienfeld, Scott O.</t>
  </si>
  <si>
    <t>Behavior and Sequential Analyses : Principles and Practice</t>
  </si>
  <si>
    <t>Sharpe, Thomas L.;Koperwas, John</t>
  </si>
  <si>
    <t>BF176.5.S53 2003eb</t>
  </si>
  <si>
    <t>Sexual Deviance : Issues and Controversies</t>
  </si>
  <si>
    <t>Ward, Tony;Laws, D. Richard;Hudson, Stephen M.</t>
  </si>
  <si>
    <t>HQ71.S398 2003eb</t>
  </si>
  <si>
    <t>Childhood and Adolescence in Society : Selections from CQ Researcher</t>
  </si>
  <si>
    <t>CQ Researcher, C. Q.</t>
  </si>
  <si>
    <t>Culturally Adaptive Counseling Skills : Demonstrations of Evidence-Based Practices</t>
  </si>
  <si>
    <t>Gallardo, Miguel E.;Yeh, Christine Jean;Trimble, Joseph E.;Parham, Thomas A.</t>
  </si>
  <si>
    <t>Computational Modeling in Cognition : Principles and Practice</t>
  </si>
  <si>
    <t>Lewandowsky, Stephan;Farrell, Simon</t>
  </si>
  <si>
    <t>Individual Differences in Language Development</t>
  </si>
  <si>
    <t>Shore, Cecilia M.</t>
  </si>
  <si>
    <t>P118.6.S48 1995eb</t>
  </si>
  <si>
    <t>America&amp;prime;s Youth in Crisis : Challenges and Options for Programs and Policies</t>
  </si>
  <si>
    <t>HQ796 .L382 1994</t>
  </si>
  <si>
    <t>305.23/5/0973</t>
  </si>
  <si>
    <t>The Male Survivor : The Impact of Sexual Abuse</t>
  </si>
  <si>
    <t>Mendel, Matthew Parynik</t>
  </si>
  <si>
    <t>HV6570.7.M46 1995eb</t>
  </si>
  <si>
    <t>362.7/64/0973</t>
  </si>
  <si>
    <t>Family Sexual Abuse : Frontline Research and Evaluation</t>
  </si>
  <si>
    <t>Patton, Michael Quinn</t>
  </si>
  <si>
    <t>HQ72.U53.F36 1991eb</t>
  </si>
  <si>
    <t>362.7/6</t>
  </si>
  <si>
    <t>Violent Emotions : Shame and Rage in Marital Quarrels</t>
  </si>
  <si>
    <t>Retzinger, Suzanne M.</t>
  </si>
  <si>
    <t>HQ734.R374 1991eb</t>
  </si>
  <si>
    <t>Assumptions about Human Nature : Implications for Researchers and Practitioners</t>
  </si>
  <si>
    <t>BF327.W75 1992eb</t>
  </si>
  <si>
    <t>Negotiating Health Care : The Social Context of Chronic Illness</t>
  </si>
  <si>
    <t>Thorne, Sally E.</t>
  </si>
  <si>
    <t>RA644.5.T49 1993eb</t>
  </si>
  <si>
    <t>Child Psychiatric Epidemiology : Concepts, Methods and Findings</t>
  </si>
  <si>
    <t>Verhulst, Frank C.;Koot, Hans M.</t>
  </si>
  <si>
    <t>RJ499.V464 1992eb</t>
  </si>
  <si>
    <t>Eating and Growth Disorders in Infants and Children</t>
  </si>
  <si>
    <t>Woolston, Joseph L.</t>
  </si>
  <si>
    <t>RJ506.E18.W66 1991eb</t>
  </si>
  <si>
    <t>Men&amp;prime;s Friendships</t>
  </si>
  <si>
    <t>HQ1090.M47 1992eb</t>
  </si>
  <si>
    <t>Attention Deficits and Hyperactivity in Children</t>
  </si>
  <si>
    <t>Hinshaw, Stephen P.</t>
  </si>
  <si>
    <t>RJ506.H9.H56 1994eb</t>
  </si>
  <si>
    <t>Lesbian and Gay Psychology : Theory, Research, and Clinical Applications</t>
  </si>
  <si>
    <t>Greene, Beverly A.;Herek, Gregory M.</t>
  </si>
  <si>
    <t>HQ75.5.L438 1994eb</t>
  </si>
  <si>
    <t>Ending the Cycle of Violence : Community Responses to Children of Battered Women</t>
  </si>
  <si>
    <t>Peled, Einat;Jaffe, Peter G.;Edleson, Jeffrey L.</t>
  </si>
  <si>
    <t>RJ507.F35.E53 1995eb</t>
  </si>
  <si>
    <t>How to Interview Sexual Abuse Victims : Including the Use of Anatomical Dolls</t>
  </si>
  <si>
    <t>Morgan, Marcia K.</t>
  </si>
  <si>
    <t>HV8079.C48.M67 1995</t>
  </si>
  <si>
    <t>Drugs and Crime in Lifestyle Perspective</t>
  </si>
  <si>
    <t>Drugs, Health, and Social Policy Series</t>
  </si>
  <si>
    <t>HV5825.W381264 1994</t>
  </si>
  <si>
    <t>Hispanic Psychology : Critical Issues in Theory and Research</t>
  </si>
  <si>
    <t>Padilla, Amado M.</t>
  </si>
  <si>
    <t>E184.S75.H5836 1995</t>
  </si>
  <si>
    <t>155.8/468</t>
  </si>
  <si>
    <t>Drugs and Behavior</t>
  </si>
  <si>
    <t>Leavitt, Fred</t>
  </si>
  <si>
    <t>RM315 .M36 1994</t>
  </si>
  <si>
    <t>Psychotropic drugs. ; Psychopharmacology.</t>
  </si>
  <si>
    <t>Victims Still : The Political Manipulation of Crime Victims</t>
  </si>
  <si>
    <t>Elias, Robert</t>
  </si>
  <si>
    <t>HV6250.3.U5.E46 199</t>
  </si>
  <si>
    <t>The Elderly Caregiver : Caring for Adults with Developmental Disabilities</t>
  </si>
  <si>
    <t>Roberto, Karen A.</t>
  </si>
  <si>
    <t>HV1570.5.U65.E43 19</t>
  </si>
  <si>
    <t>Sauber, S. Richard;L′Abate, Luciano;Weeks, Gerald R.;Buchanan, William L.</t>
  </si>
  <si>
    <t>RC488.5.D525 1993eb</t>
  </si>
  <si>
    <t>Peters, Ray DeV;McMahon, Robert J.</t>
  </si>
  <si>
    <t>Banff Conference on Behavioral Science Series</t>
  </si>
  <si>
    <t>RJ506.C65.P735 1996</t>
  </si>
  <si>
    <t>Researching Sexual Violence Against Women : Methodological and Personal Perspectives</t>
  </si>
  <si>
    <t>Schwartz, Martin D.</t>
  </si>
  <si>
    <t>HV6558.R47 1997eb</t>
  </si>
  <si>
    <t>362.8/8/0711/7</t>
  </si>
  <si>
    <t>Preventing Violence in America</t>
  </si>
  <si>
    <t>Hampton, Robert L.;Jenkins, Pamela J.;Gullotta, Thomas P.</t>
  </si>
  <si>
    <t>HN90.V5.P74 1996eb</t>
  </si>
  <si>
    <t>303.6/0973</t>
  </si>
  <si>
    <t>Out of the Darkness : Contemporary Perspectives on Family Violence</t>
  </si>
  <si>
    <t>Kantor, Glenda Kaufman;Jasinski, Jana L.</t>
  </si>
  <si>
    <t>HV6626 .O87 1997</t>
  </si>
  <si>
    <t>A Guide to Sociological Thinking</t>
  </si>
  <si>
    <t>Ruggiero, Vincent Ryan</t>
  </si>
  <si>
    <t>HM571.R84 1996eb</t>
  </si>
  <si>
    <t>Delinquent Violent Youth : Theory and Interventions</t>
  </si>
  <si>
    <t>Gullotta, Thomas P.;Adams, Gerald R.;Montemayor, Raymond J.</t>
  </si>
  <si>
    <t>HQ784.V55.D45 1998eb</t>
  </si>
  <si>
    <t>Health Psychology in Global Perspective</t>
  </si>
  <si>
    <t>Aboud, Frances E.</t>
  </si>
  <si>
    <t>R726.7.A26 1998eb</t>
  </si>
  <si>
    <t>Drug Treatment Systems in an International Perspective : Drugs, Demons, and Delinquents</t>
  </si>
  <si>
    <t>Klingemann, Harald;Hunt, Geoffrey</t>
  </si>
  <si>
    <t>HV5801.D619 1998eb</t>
  </si>
  <si>
    <t>Hidden Messages in Culture-Centered Counseling : A Triad Training Model</t>
  </si>
  <si>
    <t>Pedersen, Paul B.</t>
  </si>
  <si>
    <t>BF637.C6.P337 2000eb</t>
  </si>
  <si>
    <t>Trauma and Transformation : Growing in the Aftermath of Suffering</t>
  </si>
  <si>
    <t>Tedeschi, Richard;Calhoun, Lawrence G.</t>
  </si>
  <si>
    <t>BF789.S8.T43 1995eb</t>
  </si>
  <si>
    <t>Therapist Guide for Maintaining Change : Relapse Prevention for Adult Male Perpetrators of Child Sexual Abuse</t>
  </si>
  <si>
    <t>Eldridge, Hilary J.</t>
  </si>
  <si>
    <t>RC560.C46.E39 1998eb</t>
  </si>
  <si>
    <t>616.85/836</t>
  </si>
  <si>
    <t>Team Investigation of Child Sexual Abuse : The Uneasy Alliance</t>
  </si>
  <si>
    <t>Pence, Donna M.;Wilson, Charles A.</t>
  </si>
  <si>
    <t>HV8079.C48.P46 1994</t>
  </si>
  <si>
    <t>363.2/59536</t>
  </si>
  <si>
    <t>Conduct Disorders in Childhood and Adolescence</t>
  </si>
  <si>
    <t>RJ506.C65.K389 1995</t>
  </si>
  <si>
    <t>Studying Elites Using Qualitative Methods</t>
  </si>
  <si>
    <t>Hertz, Rosanna;Imber, Jonathan</t>
  </si>
  <si>
    <t>HM1263.S78 1995eb</t>
  </si>
  <si>
    <t>305.5/2</t>
  </si>
  <si>
    <t>Intimate Betrayal : Understanding and Responding to the Trauma of Acquaintance Rape</t>
  </si>
  <si>
    <t>Wiehe, Vernon R.;Richards, Ann S.</t>
  </si>
  <si>
    <t>HV6561.W53 1995eb</t>
  </si>
  <si>
    <t>362.88/3</t>
  </si>
  <si>
    <t>School-Based Prevention Programs for Children and Adolescents</t>
  </si>
  <si>
    <t>Durlak, Joseph A.</t>
  </si>
  <si>
    <t>LB3430.5.D87 1995eb</t>
  </si>
  <si>
    <t>373.14/6</t>
  </si>
  <si>
    <t>Confronting Relationship Challenges</t>
  </si>
  <si>
    <t>Duck, Steve;Wood, Julia T.</t>
  </si>
  <si>
    <t>HM132.C66 1995eb</t>
  </si>
  <si>
    <t>The One and the Many : Relational Psychoanalysis and Group Analysis</t>
  </si>
  <si>
    <t>BF173 -- .T83 2014eb</t>
  </si>
  <si>
    <t>The Spirit of a Woman : Stories to Empower and Inspire</t>
  </si>
  <si>
    <t>Laszlo-Gopadze, Terry;Arrien, Angeles;Arrien, Angeles</t>
  </si>
  <si>
    <t>HQ1206 -- .S685 2010eb</t>
  </si>
  <si>
    <t>Women -- Psychology. ; Women heroes. ; Role models. ; Women and literature. ; Creation (Literary, artistic, etc.)</t>
  </si>
  <si>
    <t>The Difficulty of Difference : Psychoanalysis, Sexual Difference and Film Theory</t>
  </si>
  <si>
    <t>Rodowick, D. N.</t>
  </si>
  <si>
    <t>Routledge Library Editions: Cinema Series</t>
  </si>
  <si>
    <t>PN1995 .R619 2013</t>
  </si>
  <si>
    <t>Film criticism. ; Sex differences (Psychology) ; Psychoanalysis.</t>
  </si>
  <si>
    <t>Gay, Lesbian, Bisexual, and Transgender People with Developmental Disabilities and Mental Retardatio : Stories of the Rainbow Support Group</t>
  </si>
  <si>
    <t>Allen, John D.</t>
  </si>
  <si>
    <t>HQ30.5 .A45 2014</t>
  </si>
  <si>
    <t>An Introduction to Theories of Personality : 7th Edition</t>
  </si>
  <si>
    <t>Ewen, Robert B.;Ewen, Robert B.</t>
  </si>
  <si>
    <t>BF698 .H45 2014</t>
  </si>
  <si>
    <t>The ADHD Explosion : Myths, Medication, Money, and Today's Push for Performance</t>
  </si>
  <si>
    <t>Hinshaw, Stephen P.;Scheffler, Richard M.</t>
  </si>
  <si>
    <t>RJ506.H9.H57 2014eb</t>
  </si>
  <si>
    <t>Lean Behavioral Health : The Kings County Hospital Story</t>
  </si>
  <si>
    <t>Merlino, Joseph P.;Omi, Joanna;Bowen, Jill</t>
  </si>
  <si>
    <t>RC445.N7.L436 2014eb</t>
  </si>
  <si>
    <t>Understanding Traumatic Brain Injury : Current Research and Future Directions</t>
  </si>
  <si>
    <t>Levin, Harvey;Shum, David;Chan, Raymond</t>
  </si>
  <si>
    <t>RD594.U534 2014eb</t>
  </si>
  <si>
    <t>10 Steps to Mastering Stress : A Lifestyle Approach, Updated Edition</t>
  </si>
  <si>
    <t>Barlow, David H.;Rapee, Ronald M.;Perini, Sarah</t>
  </si>
  <si>
    <t>BF575.S75.B2958 201</t>
  </si>
  <si>
    <t>Stress (Psychology) ; Stress management.</t>
  </si>
  <si>
    <t>Helping Your Shy and Socially Anxious Client : A Social Fitness Training Protocol Using CBT</t>
  </si>
  <si>
    <t>Henderson, Lynne;Zimbardo, Philip G.</t>
  </si>
  <si>
    <t>BF575.B3 -- H46 2014eb</t>
  </si>
  <si>
    <t>Bashfulness. ; Timidity. ; Social phobia -- Treatment. ; Cognitive therapy.</t>
  </si>
  <si>
    <t>The ACT Matrix : A New Approach to Building Psychological Flexibility Across Settings and Populations</t>
  </si>
  <si>
    <t>Polk, Kevin L.;Schoendorff, Benjamin;Wilson, Kelly G.</t>
  </si>
  <si>
    <t>RC489.A32 -- A28 2014eb</t>
  </si>
  <si>
    <t>Acceptance and commitment therapy. ; Mental illness -- Psychological aspects. ; Adaptability (Psychology)</t>
  </si>
  <si>
    <t>A Still Quiet Place : A Mindfulness Program for Teaching Children and Adolescents to Ease Stress and Difficult Emotions</t>
  </si>
  <si>
    <t>Saltzman, Amy;Santorelli, Saki</t>
  </si>
  <si>
    <t>BF723.E6 -- S25 2014eb</t>
  </si>
  <si>
    <t>155.4/189042</t>
  </si>
  <si>
    <t>Bursting the Big Data Bubble : The Case for Intuition-Based Decision Making</t>
  </si>
  <si>
    <t>Auerbach Publishers, Incorporated</t>
  </si>
  <si>
    <t>Liebowitz, Jay</t>
  </si>
  <si>
    <t>BF315.5 -- .B875 2015eb</t>
  </si>
  <si>
    <t>658.4/03</t>
  </si>
  <si>
    <t>Insight. ; Intuition. ; Decision making. ; Experiential learning. ; Management.</t>
  </si>
  <si>
    <t>The Paradox of Internet Groups : Alone in the Presence of Virtual Others</t>
  </si>
  <si>
    <t>Weinberg, Haim</t>
  </si>
  <si>
    <t>HM1169 -- .W45 2014eb</t>
  </si>
  <si>
    <t>Jungian Crime Scene Analysis : An Imaginal Investigation</t>
  </si>
  <si>
    <t>Daniels, Aaron B.</t>
  </si>
  <si>
    <t>BF173 -- .D36 2014eb</t>
  </si>
  <si>
    <t>Drug Dreams : Clinical and Research Implications of Dreams about Drugs in Drug-Addicted Patients</t>
  </si>
  <si>
    <t>BF1078 -- .C65 2014eb</t>
  </si>
  <si>
    <t>Dreams. ; Drugs.</t>
  </si>
  <si>
    <t>Violence against Women : Impacts on Women's Health Derived from a U.S. Nationwide Study</t>
  </si>
  <si>
    <t>Stewart, Megan C.</t>
  </si>
  <si>
    <t>HV6250.4.W65 -- S79224 2014eb</t>
  </si>
  <si>
    <t>Women -- Violence against -- United States. ; Victims of crimes -- United States -- Psychology.</t>
  </si>
  <si>
    <t>Charney, Dennis S.;Buxbaum, Joseph D.;Sklar, Pamela;Nestler, Eric J.</t>
  </si>
  <si>
    <t>RC341.N393 2013eb</t>
  </si>
  <si>
    <t>Addictive Disorders in Arctic Climates : Theory, Research, and Practice at the Novosibirsk Institute</t>
  </si>
  <si>
    <t>Segal, Bernard;Korolenko, Caesar</t>
  </si>
  <si>
    <t>RC564.75 .A68 A33 2</t>
  </si>
  <si>
    <t>616.86/1/09113</t>
  </si>
  <si>
    <t>Alcoholism -- Arctic regions. ; Alcoholism -- Alaska. ; Alcoholism -- Russia (Federation) -- Siberia.</t>
  </si>
  <si>
    <t>Cultural Competency in Health, Social and Human Services : Directions for the 21st Century</t>
  </si>
  <si>
    <t>Lecca, Pedro J.;Quervalu, Ivan;Nunes, Joao V.;Gonzales, Hector F.</t>
  </si>
  <si>
    <t>Social Psychology Reference Series</t>
  </si>
  <si>
    <t>HV3176 .C83 2014</t>
  </si>
  <si>
    <t>361.973/089</t>
  </si>
  <si>
    <t>Minorities -- Services for -- United States. ; Minorities -- Medical care -- United States. ; Social work with minorities -- United States. ; Cross-cultural counseling -- United States.</t>
  </si>
  <si>
    <t>Pfeiffer, Steven I.</t>
  </si>
  <si>
    <t>RJ504.5 .O98 2014</t>
  </si>
  <si>
    <t>Child psychotherapy -- Residential treatment. ; Outcome assessment (Medical care)</t>
  </si>
  <si>
    <t>Imagining Animals : Art, Psychotherapy and Primitive States of Mind</t>
  </si>
  <si>
    <t>Case, Caroline</t>
  </si>
  <si>
    <t>RJ505.A7 C37 2014</t>
  </si>
  <si>
    <t>616.89/1656/083</t>
  </si>
  <si>
    <t>The Social Self : Cognitive, Interpersonal and Intergroup Perspectives</t>
  </si>
  <si>
    <t>Forgas, Joseph P.;Williams, Kipling D.</t>
  </si>
  <si>
    <t>BF697.5.S65 S63 2014</t>
  </si>
  <si>
    <t>Cyberkids : Youth Identities and Communities in an on-Line World</t>
  </si>
  <si>
    <t>Holloway, Sarah;Valentine, Gill</t>
  </si>
  <si>
    <t>Couples Therapy in Managed Care : Facing the Crisis</t>
  </si>
  <si>
    <t>Brothers, Barbara Jo;Brothers, Barbara Jo</t>
  </si>
  <si>
    <t>RC488.5 .C64385 2014</t>
  </si>
  <si>
    <t>Marital psychotherapy. ; Managed care plans (Medical care)</t>
  </si>
  <si>
    <t>Dobrof, Rose</t>
  </si>
  <si>
    <t>HV1461 .G47 2014</t>
  </si>
  <si>
    <t>Social work with older people -- United States. ; Home care services -- United States. ; Older people -- Home care -- United States.</t>
  </si>
  <si>
    <t>Segal, Bernard;Segal, Bernard</t>
  </si>
  <si>
    <t>HV5825 .P37 2014</t>
  </si>
  <si>
    <t>362.2/9/0973</t>
  </si>
  <si>
    <t>Drug abuse -- United States. ; Drug control -- United States.</t>
  </si>
  <si>
    <t>Glacial Times : A Journey Through the World of Madness</t>
  </si>
  <si>
    <t>RC512 .R47313 2014</t>
  </si>
  <si>
    <t>Cassileth, Barrie;Turk, Dennis;Dush, David M.</t>
  </si>
  <si>
    <t>R726.8 .P78 2014</t>
  </si>
  <si>
    <t>Terminal care -- Psychological aspects. ; Terminal care -- Social aspects. ; Terminally ill -- Testing.</t>
  </si>
  <si>
    <t>Terror and Transformation : The Ambiguity of Religion in Psychoanalytic Perspective</t>
  </si>
  <si>
    <t>Jones, James W.</t>
  </si>
  <si>
    <t>BF175.4 .R44</t>
  </si>
  <si>
    <t>A Guide to Conducting Prevention Research in the Community : First Steps</t>
  </si>
  <si>
    <t>HN29 .K45 2014</t>
  </si>
  <si>
    <t>301/.0723</t>
  </si>
  <si>
    <t>Social surveys -- United States</t>
  </si>
  <si>
    <t>Food Junkies : The Truth about Food Addiction</t>
  </si>
  <si>
    <t>Tarman, Vera;Werdell, Philip</t>
  </si>
  <si>
    <t>RC552.C65.T37 2014</t>
  </si>
  <si>
    <t>Give Sorrow Words : Working with a Dying Child</t>
  </si>
  <si>
    <t>Judd, Dorothy</t>
  </si>
  <si>
    <t>BF723.D3 -- J83 2014eb</t>
  </si>
  <si>
    <t>Children and death. ; Terminally ill children -- Psychology.</t>
  </si>
  <si>
    <t>Beyond the Frustrated Self : Overcoming Avoidant Patterns and Opening to Life</t>
  </si>
  <si>
    <t>Dowds, Barbara</t>
  </si>
  <si>
    <t>BF575.A89 -- D69 2014eb</t>
  </si>
  <si>
    <t>The Wandering Mind : What the Brain Does When You're Not Looking</t>
  </si>
  <si>
    <t>Corballis, Michael C</t>
  </si>
  <si>
    <t>RC341 -- .C673 2014eb</t>
  </si>
  <si>
    <t>Neurosciences. ; Thought and thinking.</t>
  </si>
  <si>
    <t>Science: Anatomy/Physiology; Science; Medicine</t>
  </si>
  <si>
    <t>NZ</t>
  </si>
  <si>
    <t>Bloomsbury Academic</t>
  </si>
  <si>
    <t>R726.5 -- .H39 2014eb</t>
  </si>
  <si>
    <t>Johnson, W. Brad;Kaslow, Nadine</t>
  </si>
  <si>
    <t>BF77 -- .O94 2014eb</t>
  </si>
  <si>
    <t>Psychology -- Study and teaching (Graduate) -- Handbooks, manuals, etc. ; Psychologists -- Training of -- Handbooks, manuals, etc. ; Psychology -- Study and teaching (Internship) -- Handbooks, manuals, etc.</t>
  </si>
  <si>
    <t>Holtzheimer, Paul E.;McDonald, William, Jr.;McDonald, William</t>
  </si>
  <si>
    <t>RC480.53 -- .C55 2014eb</t>
  </si>
  <si>
    <t>Mental illness -- Treatment. ; Magnetic brain stimulation.</t>
  </si>
  <si>
    <t>Hennink, Monique M.;Leavy, Patricia</t>
  </si>
  <si>
    <t>H61.28.H45 2014eb</t>
  </si>
  <si>
    <t>Focus groups. ; Qualitative research -- Methodology.</t>
  </si>
  <si>
    <t>du Feu, Margaret;Chovaz, Cathy</t>
  </si>
  <si>
    <t>RC451.4.D4 -- D83 2014eb</t>
  </si>
  <si>
    <t>Deaf -- Mental health. ; Deafness -- Psychological aspects.</t>
  </si>
  <si>
    <t>RC569.5.H63.O94 201</t>
  </si>
  <si>
    <t>Compulsive hoarding -- Handbooks, manuals, etc. ; Compulsive behavior -- Handbooks, manuals, etc.</t>
  </si>
  <si>
    <t>Children and Youth with Autism Spectrum Disorder (ASD) : Recent Advances and Innovations in Assessment, Education, and Intervention</t>
  </si>
  <si>
    <t>RJ506.A9 -- C447 2014eb</t>
  </si>
  <si>
    <t>Autism spectrum disorders in children. ; Children with autism spectrum disorders -- Rehabilitation. ; Autistic children -- Education.</t>
  </si>
  <si>
    <t>Pseudoscience and Deception : The Smoke and Mirrors of Paranormal Claims</t>
  </si>
  <si>
    <t>Farha, Bryan;SHERMER, Michael</t>
  </si>
  <si>
    <t>BF1029.P748 2014eb</t>
  </si>
  <si>
    <t>Parapsychology -- Case studies. ; Parapsychology -- Investigation -- Case studies. ; Deception.</t>
  </si>
  <si>
    <t>Kellehear, Allan</t>
  </si>
  <si>
    <t>End-of-Life Care: A Series</t>
  </si>
  <si>
    <t>BF789.D4 -- .K45 2014eb</t>
  </si>
  <si>
    <t>Mindful Counselling and Psychotherapy : Practising Mindfully Across Approaches and Issues</t>
  </si>
  <si>
    <t>Barker, Meg-John</t>
  </si>
  <si>
    <t>RC489.M55 -- .B375 2014eb</t>
  </si>
  <si>
    <t>Mindfulness-based cognitive therapy. ; Psychotherapy -- Religious aspects -- Buddhism. ; Buddhism -- Psychology.</t>
  </si>
  <si>
    <t>Early Parenting and Prevention of Disorder : Psychoanalytic Research at Interdisciplinary Frontiers</t>
  </si>
  <si>
    <t>N. Emde, Robert;Leuzinger-Bohleber, Marianne</t>
  </si>
  <si>
    <t>RC504 -- .E275 2014eb</t>
  </si>
  <si>
    <t>Psychoanalysis -- Research. ; Parenting -- Prevention -- Disorders.</t>
  </si>
  <si>
    <t>The Ethical Seduction of the Analytic Situation : The Feminine-Maternal Origins of Responsibility for the Other</t>
  </si>
  <si>
    <t>Chetrit-Vatine, Viviane</t>
  </si>
  <si>
    <t>RC506 -- .C448 2014eb</t>
  </si>
  <si>
    <t>Touching the Relational Edge : Body Psychotherapy</t>
  </si>
  <si>
    <t>Rolef Ben-Shahar, Asaf</t>
  </si>
  <si>
    <t>RC489.M53 -- .B467 2014eb</t>
  </si>
  <si>
    <t>The Mutation of European Consciousness and Spirituality : From the Mythical to the Modern</t>
  </si>
  <si>
    <t>Obrist, Willy</t>
  </si>
  <si>
    <t>BF173 -- .O275 2014eb</t>
  </si>
  <si>
    <t>Publication</t>
  </si>
  <si>
    <t>SourceType</t>
  </si>
  <si>
    <t>Volume</t>
  </si>
  <si>
    <t>Issue</t>
  </si>
  <si>
    <t>PubDate</t>
  </si>
  <si>
    <t>AlphaDate</t>
  </si>
  <si>
    <t>StartPage</t>
  </si>
  <si>
    <t>EndPage</t>
  </si>
  <si>
    <t>PageRange</t>
  </si>
  <si>
    <t>EISSN</t>
  </si>
  <si>
    <t>DocumentUrl</t>
  </si>
  <si>
    <t>ENG</t>
  </si>
  <si>
    <t>https://www.proquest.com/docview/2572950007?accountid=131239&amp;bdid=51804&amp;_bd=mY5qyaghdKoi%2BWIvt069WKZ5sgU%3D</t>
  </si>
  <si>
    <t>https://www.proquest.com/docview/2572941131?accountid=131239&amp;bdid=51804&amp;_bd=CI4d6xlQ5lZPUGnrxZFNNwj8nA4%3D</t>
  </si>
  <si>
    <t>https://www.proquest.com/docview/2572939056?accountid=131239&amp;bdid=51804&amp;_bd=WDPFB3sL71ylpm27lq2pkC%2BaPCE%3D</t>
  </si>
  <si>
    <t>https://www.proquest.com/docview/2572941499?accountid=131239&amp;bdid=51804&amp;_bd=s2AjJytQGyFp6E2wUNjYn3rO7Go%3D</t>
  </si>
  <si>
    <t>Juan, Functional Neurological Symptom Disorder (Conversion Disorder), Anxiety Assessment, in Juan, Conversion Disorder - Assessment</t>
  </si>
  <si>
    <t>https://www.proquest.com/docview/2808349700?accountid=131239&amp;bdid=51804&amp;_bd=hRLfUQtC6aAGx4V7TayLOcn7hl4%3D</t>
  </si>
  <si>
    <t>Sofia, Teletherapy, Child Abuse Risk Assessment, in Sofia, Major Depressive Disorder, Domestic Violence, Mandated Reporting</t>
  </si>
  <si>
    <t>https://www.proquest.com/docview/2808349702?accountid=131239&amp;bdid=51804&amp;_bd=jwBGidmREAIPrfmj9WtnjVUX%2BJ8%3D</t>
  </si>
  <si>
    <t>Rebecca, Factitious Disorder Imposed on Self, Recurrent Episodes, Personal History Assessment, in Rebecca, Facticious Disorder - Assessment Tools</t>
  </si>
  <si>
    <t>https://www.proquest.com/docview/2808349703?accountid=131239&amp;bdid=51804&amp;_bd=Zuud%2BkcY5inpH47B3zFYPoB%2Fvx4%3D</t>
  </si>
  <si>
    <t>Lizette, Teletherapy, Differentiating PTSD And Social Anxiety, in Lizette, Teletherapy, Trauma-Related Symptoms, Anxiety Disorders, Differential Diagnosis</t>
  </si>
  <si>
    <t>https://www.proquest.com/docview/2808349708?accountid=131239&amp;bdid=51804&amp;_bd=KHsBUF5q0fo%2FpfcilB7%2BYA9yNEw%3D</t>
  </si>
  <si>
    <t>Lizette, Teletherapy, Panic Disorder Treatment Plan, in Lizette, Teletherapy, Trauma-Related Symptoms, Anxiety Disorders, Differential Diagnosis</t>
  </si>
  <si>
    <t>https://www.proquest.com/docview/2808349709?accountid=131239&amp;bdid=51804&amp;_bd=n8hZ8ul9Dv5eKrmMKNunWG%2FwhUY%3D</t>
  </si>
  <si>
    <t>https://www.proquest.com/docview/2572941407?accountid=131239&amp;bdid=51804&amp;_bd=AjdROhTitkXu%2BPKmQ3TfAAFoZyg%3D</t>
  </si>
  <si>
    <t>Rebecca, Factitious Disorder Imposed on Self, Recurrent Episodes, Differential Diagnosis Assessment, Malingering, in Rebecca, Facticious Disorder - Assessment Tools</t>
  </si>
  <si>
    <t>https://www.proquest.com/docview/2808349704?accountid=131239&amp;bdid=51804&amp;_bd=0Q50l%2BF%2BwlMI9pnlIz3cpf%2FoS0o%3D</t>
  </si>
  <si>
    <t>https://www.proquest.com/docview/2580104359?accountid=131239&amp;bdid=51804&amp;_bd=uSt9LFo%2BizKlCRmcp17KkmCVz0s%3D</t>
  </si>
  <si>
    <t>Mrs. Turner, Alcohol Use Assessment, in Mrs. Turner, Illness Anxiety Disorder - Assessment</t>
  </si>
  <si>
    <t>https://www.proquest.com/docview/2808349706?accountid=131239&amp;bdid=51804&amp;_bd=36QcI48enqOBVFvGF1a4ma35K54%3D</t>
  </si>
  <si>
    <t>Natalie, Teletherapy, Imminent Suicide Risk and Emergency Response, in Natalie, Teletherapy, Substance Use During Telehealth Sessions, Suicide Risk Assessment and Prevention</t>
  </si>
  <si>
    <t>https://www.proquest.com/docview/2808349707?accountid=131239&amp;bdid=51804&amp;_bd=w3NXB7HF4ukGSdjp09MOuc%2BAmR8%3D</t>
  </si>
  <si>
    <t>https://www.proquest.com/docview/2572940290?accountid=131239&amp;bdid=51804&amp;_bd=AQC0yQdC1h%2FZ0xh1x4PjVlrT9Tg%3D</t>
  </si>
  <si>
    <t>https://www.proquest.com/docview/2572649108?accountid=131239&amp;bdid=51804&amp;_bd=QVysChsrXJk%2FFEm5qzFR1MnAdxo%3D</t>
  </si>
  <si>
    <t>https://www.proquest.com/docview/2572648936?accountid=131239&amp;bdid=51804&amp;_bd=NfeVMDjMh4XzVjc80jgrqF8WiDY%3D</t>
  </si>
  <si>
    <t>https://www.proquest.com/docview/2572941303?accountid=131239&amp;bdid=51804&amp;_bd=6wu%2FeaiI4qQAwpgMZYWS3f%2FsaC4%3D</t>
  </si>
  <si>
    <t>Pain Brain</t>
  </si>
  <si>
    <t>Collective Eye Films</t>
  </si>
  <si>
    <t>https://www.proquest.com/docview/2824646875?accountid=131239&amp;bdid=51804&amp;_bd=s83ko8JT6fgDiZmlpYGxAUGgfqw%3D</t>
  </si>
  <si>
    <t>https://www.proquest.com/docview/2572645817?accountid=131239&amp;bdid=51804&amp;_bd=X0aeCHsFSr2qdt8CBH5npGm3L2s%3D</t>
  </si>
  <si>
    <t>https://www.proquest.com/docview/2579060795?accountid=131239&amp;bdid=51804&amp;_bd=gKfjBBPAYIn8W5eghSWcOO2Rc1Q%3D</t>
  </si>
  <si>
    <t>https://www.proquest.com/docview/2572645818?accountid=131239&amp;bdid=51804&amp;_bd=9MeQVwu%2BQCXyO7IFLPsAy71jv9o%3D</t>
  </si>
  <si>
    <t>https://www.proquest.com/docview/2572645815?accountid=131239&amp;bdid=51804&amp;_bd=oQ2zXYDZOUESuh%2F6%2B%2FafdGFasKI%3D</t>
  </si>
  <si>
    <t>https://www.proquest.com/docview/2572941033?accountid=131239&amp;bdid=51804&amp;_bd=jikPjCqDPtxDC%2FKbwDTtNYwQau4%3D</t>
  </si>
  <si>
    <t>https://www.proquest.com/docview/2572648769?accountid=131239&amp;bdid=51804&amp;_bd=GJD5%2BpbMXQHkTQjBI9ICwjZGkrg%3D</t>
  </si>
  <si>
    <t>https://www.proquest.com/docview/2572650649?accountid=131239&amp;bdid=51804&amp;_bd=qWbPrr9yyq6vG%2FbJOzMiwbLPni0%3D</t>
  </si>
  <si>
    <t>https://www.proquest.com/docview/2572648803?accountid=131239&amp;bdid=51804&amp;_bd=PLMgMBRlwRNl8yuSwj76HOegYlI%3D</t>
  </si>
  <si>
    <t>https://www.proquest.com/docview/2572648481?accountid=131239&amp;bdid=51804&amp;_bd=ozNLaUxyFWyCVO2pNbGabd%2BTk3g%3D</t>
  </si>
  <si>
    <t>https://www.proquest.com/docview/2572941034?accountid=131239&amp;bdid=51804&amp;_bd=UGwuown0h4p9znv7omd3W5HS28w%3D</t>
  </si>
  <si>
    <t>https://www.proquest.com/docview/2572940864?accountid=131239&amp;bdid=51804&amp;_bd=XbkSM3ORe%2BfIQEKn4r%2BBPaE5sjE%3D</t>
  </si>
  <si>
    <t>https://www.proquest.com/docview/2573401392?accountid=131239&amp;bdid=51804&amp;_bd=YbXQVvd%2BabeOuwl0JWYtuAo41gs%3D</t>
  </si>
  <si>
    <t>https://www.proquest.com/docview/2572645772?accountid=131239&amp;bdid=51804&amp;_bd=VlhW0DJOr1DjElnRuUUSiroYYig%3D</t>
  </si>
  <si>
    <t>https://www.proquest.com/docview/2572941306?accountid=131239&amp;bdid=51804&amp;_bd=HRZoSBQLSjpop1WrviXu3hZkDSc%3D</t>
  </si>
  <si>
    <t>https://www.proquest.com/docview/2572648633?accountid=131239&amp;bdid=51804&amp;_bd=cMen6L2zc24UHThCCzY1yzpivOI%3D</t>
  </si>
  <si>
    <t>https://www.proquest.com/docview/2572648911?accountid=131239&amp;bdid=51804&amp;_bd=JA9bQW4egbaRuOYuq4pHnXVXilg%3D</t>
  </si>
  <si>
    <t>https://www.proquest.com/docview/2572648637?accountid=131239&amp;bdid=51804&amp;_bd=s1DtXtWo%2FsouHrVoaaJaCscomLc%3D</t>
  </si>
  <si>
    <t>https://www.proquest.com/docview/2572645889?accountid=131239&amp;bdid=51804&amp;_bd=xBU8OoThuYJGAdgJyX9tplLOP90%3D</t>
  </si>
  <si>
    <t>https://www.proquest.com/docview/2572648472?accountid=131239&amp;bdid=51804&amp;_bd=iWzOMKlGYg7N7%2FL91zxNffab6AQ%3D</t>
  </si>
  <si>
    <t>Lizette, Teletherapy, Displaced Trauma-Related Blame, in Lizette, Teletherapy, Trauma-Related Symptoms, Anxiety Disorders, Differential Diagnosis</t>
  </si>
  <si>
    <t>https://www.proquest.com/docview/2808349745?accountid=131239&amp;bdid=51804&amp;_bd=aHluFIKZ8VvzsQfVQ1LLeVhZByc%3D</t>
  </si>
  <si>
    <t>Natalie, Teletherapy, At-Risk Alcohol Use Prior to Sexual Assault, in Natalie, Teletherapy, Substance Use During Telehealth Sessions, Suicide Risk Assessment and Prevention</t>
  </si>
  <si>
    <t>https://www.proquest.com/docview/2808349746?accountid=131239&amp;bdid=51804&amp;_bd=VpVBpHBmB7sdu79g2eta7%2BV2ujY%3D</t>
  </si>
  <si>
    <t>Rebecca, Factitious Disorder Imposed on Self, Recurrent Episodes, Substance Use Assessment, in Rebecca, Facticious Disorder - Assessment Tools</t>
  </si>
  <si>
    <t>https://www.proquest.com/docview/2808349747?accountid=131239&amp;bdid=51804&amp;_bd=MfkPuIkifC52pMOSQ3buQJq%2Bmgs%3D</t>
  </si>
  <si>
    <t>Juan, Functional Neurological Symptom Disorder (Conversion Disorder), Personality Assessment, in Juan, Conversion Disorder - Assessment</t>
  </si>
  <si>
    <t>https://www.proquest.com/docview/2808349740?accountid=131239&amp;bdid=51804&amp;_bd=USa4erPl8BiZ5GKg6BtlAjKbKCg%3D</t>
  </si>
  <si>
    <t>https://www.proquest.com/docview/2572940763?accountid=131239&amp;bdid=51804&amp;_bd=lMr6EZOkrgZSizEa6k55mplKREs%3D</t>
  </si>
  <si>
    <t>https://www.proquest.com/docview/2572645747?accountid=131239&amp;bdid=51804&amp;_bd=YgizLyGoohVxH0dIRYIZ2nQYfDU%3D</t>
  </si>
  <si>
    <t>Lizette, Teletherapy, Trauma-Related Beliefs, in Lizette, Teletherapy, Trauma-Related Symptoms, Anxiety Disorders, Differential Diagnosis</t>
  </si>
  <si>
    <t>https://www.proquest.com/docview/2808349693?accountid=131239&amp;bdid=51804&amp;_bd=yH3Hddo16UW0OkpvyG646yrNkWs%3D</t>
  </si>
  <si>
    <t>Lizette, Teletherapy, Negative Cognitions About The Self, in Lizette, Teletherapy, Trauma-Related Symptoms, Anxiety Disorders, Differential Diagnosis</t>
  </si>
  <si>
    <t>https://www.proquest.com/docview/2808349694?accountid=131239&amp;bdid=51804&amp;_bd=ssZ%2FCvcokZ8BKNRzNz7%2BVLZYCUI%3D</t>
  </si>
  <si>
    <t>https://www.proquest.com/docview/2572648613?accountid=131239&amp;bdid=51804&amp;_bd=fv%2B07snw9suGx33a9nXTGzrUYRw%3D</t>
  </si>
  <si>
    <t>Lizette, Teletherapy, Differentiating Panic Disorder And PTSD, in Lizette, Teletherapy, Trauma-Related Symptoms, Anxiety Disorders, Differential Diagnosis</t>
  </si>
  <si>
    <t>https://www.proquest.com/docview/2808349695?accountid=131239&amp;bdid=51804&amp;_bd=wjDnS96snMzlRKisgVAjq9rUpow%3D</t>
  </si>
  <si>
    <t>https://www.proquest.com/docview/2572941103?accountid=131239&amp;bdid=51804&amp;_bd=ZokaanpUq2Fdbl1%2BdfSjDapC5aI%3D</t>
  </si>
  <si>
    <t>Emma, Human Trafficking, Depression Assessment, in Emma, Human Trafficking - Assessment</t>
  </si>
  <si>
    <t>https://www.proquest.com/docview/2808349733?accountid=131239&amp;bdid=51804&amp;_bd=%2BEJuTyFbbW6T2NO%2Bbxq9eQnfoeE%3D</t>
  </si>
  <si>
    <t>Lizette, Teletherapy, Trauma-Related Self-Blame, in Lizette, Teletherapy, Trauma-Related Symptoms, Anxiety Disorders, Differential Diagnosis</t>
  </si>
  <si>
    <t>https://www.proquest.com/docview/2808349734?accountid=131239&amp;bdid=51804&amp;_bd=7oO1n2njZu3MgnoFB%2BQA9x7CBkY%3D</t>
  </si>
  <si>
    <t>https://www.proquest.com/docview/2572645743?accountid=131239&amp;bdid=51804&amp;_bd=gRUhhvz%2B27re%2FLe9MM3r97tcoxk%3D</t>
  </si>
  <si>
    <t>Rebecca, Factitious Disorder Imposed on Self, Recurrent Episodes, Depression Assessment, in Rebecca, Facticious Disorder - Assessment Tools</t>
  </si>
  <si>
    <t>https://www.proquest.com/docview/2808349735?accountid=131239&amp;bdid=51804&amp;_bd=prpzUkAw71Vvz%2FIcpum%2BfP5ut4Q%3D</t>
  </si>
  <si>
    <t>Lizette, Teletherapy, Adaptive Avoidance, in Lizette, Teletherapy, Trauma-Related Symptoms, Anxiety Disorders, Differential Diagnosis</t>
  </si>
  <si>
    <t>https://www.proquest.com/docview/2808349736?accountid=131239&amp;bdid=51804&amp;_bd=TBHLYCtv8PHuH5pdTs%2BiZ0AxeAw%3D</t>
  </si>
  <si>
    <t>Sofia, Teletherapy, Child Abuse Risk Assessment, Mandated Reporting Required Version 2, in Sofia, Major Depressive Disorder, Domestic Violence, Mandated Reporting</t>
  </si>
  <si>
    <t>https://www.proquest.com/docview/2808349697?accountid=131239&amp;bdid=51804&amp;_bd=h1kGgYEPYA5Y3uWFjgomSTU%2BEKA%3D</t>
  </si>
  <si>
    <t>Juan, Functional Neurological Symptom Disorder (Conversion Disorder) with Weakness or Paralysis, Acute Episode, With Psychological Stressor, in Juan, Conversion Disorder - DSM-5-TR</t>
  </si>
  <si>
    <t>https://www.proquest.com/docview/2808349730?accountid=131239&amp;bdid=51804&amp;_bd=94k%2BFT9WQ4kMbAC1JnOXrgaWvLI%3D</t>
  </si>
  <si>
    <t>Sofia, Teletherapy, Finding a Private Location to Engage in Telehealth, Version 2, in Sofia, Major Depressive Disorder, Domestic Violence, Mandated Reporting</t>
  </si>
  <si>
    <t>https://www.proquest.com/docview/2808349698?accountid=131239&amp;bdid=51804&amp;_bd=yc%2FNHsxOSBfmuFnwfbiIOn5Z5v8%3D</t>
  </si>
  <si>
    <t>Natalie, Teletherapy, Substance Use During a Telehealth Session and Motivational Interviewing, in Natalie, Teletherapy, Substance Use During Telehealth Sessions, Suicide Risk Assessment and Prevention</t>
  </si>
  <si>
    <t>https://www.proquest.com/docview/2808349732?accountid=131239&amp;bdid=51804&amp;_bd=YzjOpv8MmLWtHdhGl2HBGXJlpgE%3D</t>
  </si>
  <si>
    <t>Natalie, Teletherapy, Substance Use During a Telehealth Session, in Natalie, Teletherapy, Substance Use During Telehealth Sessions, Suicide Risk Assessment and Prevention</t>
  </si>
  <si>
    <t>https://www.proquest.com/docview/2808349699?accountid=131239&amp;bdid=51804&amp;_bd=JZmwQjbhjyWvX1gw4LgSubDsgio%3D</t>
  </si>
  <si>
    <t>F44.4 Juan, Functional Neurological Symptom Disorder (Conversion Disorder) With Weakness Or Paralysis, Acute Episode, With Psychological Stressor, in Juan, Conversion Disorder - ICD 10</t>
  </si>
  <si>
    <t>https://www.proquest.com/docview/2808349739?accountid=131239&amp;bdid=51804&amp;_bd=gnk4LM1adYucqOod1jMGR%2F3DjTQ%3D</t>
  </si>
  <si>
    <t>https://www.proquest.com/docview/2572645857?accountid=131239&amp;bdid=51804&amp;_bd=2ZpK%2Bu2%2FyrfsPb2SWO41Ry5nS0I%3D</t>
  </si>
  <si>
    <t>Rethinking Death</t>
  </si>
  <si>
    <t>https://www.proquest.com/docview/2824646868?accountid=131239&amp;bdid=51804&amp;_bd=5zM8QAb6t%2FpUUlhWwr%2BigSqIp%2Fk%3D</t>
  </si>
  <si>
    <t>https://www.proquest.com/docview/2572649019?accountid=131239&amp;bdid=51804&amp;_bd=BIT22cVqDBtJJst5bF4IF%2FlbLvU%3D</t>
  </si>
  <si>
    <t>https://www.proquest.com/docview/2572648723?accountid=131239&amp;bdid=51804&amp;_bd=NG1yJJr8E000Yl%2FUh7Fo0BbQVb0%3D</t>
  </si>
  <si>
    <t>https://www.proquest.com/docview/2572650605?accountid=131239&amp;bdid=51804&amp;_bd=GIft8OrZwpQHo3W7Z0jJzlMZmvA%3D</t>
  </si>
  <si>
    <t>Natalie, Teletherapy, Self-Blame after Sexual Assault, in Natalie, Teletherapy, Substance Use During Telehealth Sessions, Suicide Risk Assessment and Prevention</t>
  </si>
  <si>
    <t>https://www.proquest.com/docview/2808349722?accountid=131239&amp;bdid=51804&amp;_bd=1WlUS9YaVM8yE5nGH7R3t9%2B1JFY%3D</t>
  </si>
  <si>
    <t>Rebecca, Factitious Disorder Imposed on Self, Recurrent Episodes, in Rebecca, Factitious Disorder Imposed on Self, Recurrent Episodes - DSM-5-TR</t>
  </si>
  <si>
    <t>https://www.proquest.com/docview/2808349723?accountid=131239&amp;bdid=51804&amp;_bd=UB5Z3hjfiev%2F6cRkjp0Y%2BJtnnyY%3D</t>
  </si>
  <si>
    <t>https://www.proquest.com/docview/2572941355?accountid=131239&amp;bdid=51804&amp;_bd=fbz8WXi0khokJnz%2BlQNy3nOUKq4%3D</t>
  </si>
  <si>
    <t>Natalie, Teletherapy, Suicide Screening and Safety Plan Troubleshooting, in Natalie, Teletherapy, Substance Use During Telehealth Sessions, Suicide Risk Assessment and Prevention</t>
  </si>
  <si>
    <t>https://www.proquest.com/docview/2808349724?accountid=131239&amp;bdid=51804&amp;_bd=TCl5521U99VsuP%2FCSmwb%2Bii0OGk%3D</t>
  </si>
  <si>
    <t>Sofia, Teletherapy, Major Depressive Disorder, Depression Screening, in Sofia, Major Depressive Disorder, Domestic Violence, Mandated Reporting</t>
  </si>
  <si>
    <t>https://www.proquest.com/docview/2808349725?accountid=131239&amp;bdid=51804&amp;_bd=w9aZga1jQVIlugNbegu4C0roHjQ%3D</t>
  </si>
  <si>
    <t>https://www.proquest.com/docview/2572941111?accountid=131239&amp;bdid=51804&amp;_bd=KJPfIaj9xWLXboVXvhqwzCCP4JY%3D</t>
  </si>
  <si>
    <t>https://www.proquest.com/docview/2609457601?accountid=131239&amp;bdid=51804&amp;_bd=YPndUOiGsZ2NHEWQ6duDdfgNa0A%3D</t>
  </si>
  <si>
    <t>Rebecca, Factitious Disorder Imposed on Self, Recurrent Episodes, Differential Diagnosis Assessment, Illness Anxiety Disorder and Somatization, in Rebecca, Facticious Disorder - Assessment Tools</t>
  </si>
  <si>
    <t>https://www.proquest.com/docview/2808349720?accountid=131239&amp;bdid=51804&amp;_bd=ivagObbXGUQOX7RBKG521oT%2Be4s%3D</t>
  </si>
  <si>
    <t>https://www.proquest.com/docview/2572940778?accountid=131239&amp;bdid=51804&amp;_bd=aZnDvqHUAtGGBeuxs%2Fe0L%2FQruxk%3D</t>
  </si>
  <si>
    <t>Sofia, Teletherapy, Trauma-Related Guilt, Domestic Violence, in Sofia, Major Depressive Disorder, Domestic Violence, Mandated Reporting</t>
  </si>
  <si>
    <t>https://www.proquest.com/docview/2808349726?accountid=131239&amp;bdid=51804&amp;_bd=a%2F8cSAyaV6R9u8SgwAcmNNG%2FiFE%3D</t>
  </si>
  <si>
    <t>Lizette, Teletherapy, Medication as a Form of Avoidance in Panic Disorder, in Lizette, Teletherapy, Trauma-Related Symptoms, Anxiety Disorders, Differential Diagnosis</t>
  </si>
  <si>
    <t>https://www.proquest.com/docview/2808349727?accountid=131239&amp;bdid=51804&amp;_bd=a8F2qJk1P%2FPMuuYmBIUtkx8wsEU%3D</t>
  </si>
  <si>
    <t>Sofia, Teletherapy, Child Abuse Risk Assessment, Mandated Reporting Required Version 1, in Sofia, Major Depressive Disorder, Domestic Violence, Mandated Reporting</t>
  </si>
  <si>
    <t>https://www.proquest.com/docview/2808349728?accountid=131239&amp;bdid=51804&amp;_bd=xv287ue7xLbcU5gtaGRJ%2FOxJKAE%3D</t>
  </si>
  <si>
    <t>https://www.proquest.com/docview/2572645846?accountid=131239&amp;bdid=51804&amp;_bd=xsOw5P2646bQNjodYgBLLHEJqx4%3D</t>
  </si>
  <si>
    <t>Juan, Functional Neurological Symptom Disorder (Conversion Disorder), Substance Use Assessment, in Juan, Conversion Disorder - Assessment</t>
  </si>
  <si>
    <t>https://www.proquest.com/docview/2808349729?accountid=131239&amp;bdid=51804&amp;_bd=287zsNS7iNj2dvpqVcne0Ax0HhY%3D</t>
  </si>
  <si>
    <t>https://www.proquest.com/docview/2572645847?accountid=131239&amp;bdid=51804&amp;_bd=67JGn5pupd27Zzc0Xkn%2FwwWxAss%3D</t>
  </si>
  <si>
    <t>https://www.proquest.com/docview/2781673166?accountid=131239&amp;bdid=51804&amp;_bd=onotfdhZKf0yihm3tavai8d0XxE%3D</t>
  </si>
  <si>
    <t>https://www.proquest.com/docview/2572648835?accountid=131239&amp;bdid=51804&amp;_bd=e3u6AMoymGVqYKiszrNQqWEgGxI%3D</t>
  </si>
  <si>
    <t>https://www.proquest.com/docview/2572654418?accountid=131239&amp;bdid=51804&amp;_bd=r6lyp9LHlfYJ43ylrTonEEpWvKk%3D</t>
  </si>
  <si>
    <t>Natalie, Teletherapy, Alcohol Use as a Means of Coping with Negative Affect, in Natalie, Teletherapy, Substance Use During Telehealth Sessions, Suicide Risk Assessment and Prevention</t>
  </si>
  <si>
    <t>https://www.proquest.com/docview/2808349711?accountid=131239&amp;bdid=51804&amp;_bd=rrkZBXAar3VdvN%2BWmruWA4YV0R8%3D</t>
  </si>
  <si>
    <t>https://www.proquest.com/docview/2579060816?accountid=131239&amp;bdid=51804&amp;_bd=OhBOxkTZXg90GsZAFH3fx0rlGzw%3D</t>
  </si>
  <si>
    <t>Sofia, Teletherapy, Child Abuse Risk Assessment, Mandated Reporting Required Version 3, in Sofia, Major Depressive Disorder, Domestic Violence, Mandated Reporting</t>
  </si>
  <si>
    <t>https://www.proquest.com/docview/2808349712?accountid=131239&amp;bdid=51804&amp;_bd=DxXe3XkCJnVFy3t0bW23pr9dsW0%3D</t>
  </si>
  <si>
    <t>Lizette, Teletherapy, Trauma-Related Avoidance, in Lizette, Teletherapy, Trauma-Related Symptoms, Anxiety Disorders, Differential Diagnosis</t>
  </si>
  <si>
    <t>https://www.proquest.com/docview/2808349713?accountid=131239&amp;bdid=51804&amp;_bd=2KAxRkA%2BzHdo1U0zSPSYa3DyHxU%3D</t>
  </si>
  <si>
    <t>https://www.proquest.com/docview/2579060814?accountid=131239&amp;bdid=51804&amp;_bd=74gVJALJayl0pZSI31cffKqe%2Fb8%3D</t>
  </si>
  <si>
    <t>https://www.proquest.com/docview/2572940798?accountid=131239&amp;bdid=51804&amp;_bd=Xs9%2FizlmSVx%2FEjxtHprefswnKRo%3D</t>
  </si>
  <si>
    <t>Lizette, Teletherapy, Reluctance to Disclose Assault and Self-Blame, in Lizette, Teletherapy, Trauma-Related Symptoms, Anxiety Disorders, Differential Diagnosis</t>
  </si>
  <si>
    <t>https://www.proquest.com/docview/2808349710?accountid=131239&amp;bdid=51804&amp;_bd=KZAQu2LcC867hqB4GLN2VGLk8vk%3D</t>
  </si>
  <si>
    <t>https://www.proquest.com/docview/2572941126?accountid=131239&amp;bdid=51804&amp;_bd=v%2BRAnY%2FTpjBAddP8ZgNf%2Fl5eVQg%3D</t>
  </si>
  <si>
    <t>Juan, Functional Neurological Symptom Disorder (Conversion Disorder), Depression Assessment, in Juan, Conversion Disorder - Assessment</t>
  </si>
  <si>
    <t>https://www.proquest.com/docview/2808349719?accountid=131239&amp;bdid=51804&amp;_bd=WL3ftuyPuJm5e2g3VhSVlckeukY%3D</t>
  </si>
  <si>
    <t>https://www.proquest.com/docview/2572940429?accountid=131239&amp;bdid=51804&amp;_bd=0amfMMvrrAKLpoW%2FX9nPq%2Ffwbnc%3D</t>
  </si>
  <si>
    <t>Sofia, Teletherapy, Finding a Private Location to Engage in Telehealth, Version 1, in Sofia, Major Depressive Disorder, Domestic Violence, Mandated Reporting</t>
  </si>
  <si>
    <t>https://www.proquest.com/docview/2808349715?accountid=131239&amp;bdid=51804&amp;_bd=hVWVAvlBVDQjWSloUpiUhuUEL5A%3D</t>
  </si>
  <si>
    <t>Natalie, Teletherapy, Substance Use During a Telehealth Session and Alcohol Abuse Screening, in Natalie, Teletherapy, Substance Use During Telehealth Sessions, Suicide Risk Assessment and Prevention</t>
  </si>
  <si>
    <t>https://www.proquest.com/docview/2808349716?accountid=131239&amp;bdid=51804&amp;_bd=c%2Fgka0mSpZxceiMZYupF3qELZ88%3D</t>
  </si>
  <si>
    <t>Sofia, Teletherapy, Finding a Private Location to Engage in Telehealth, Version 3, in Sofia, Major Depressive Disorder, Domestic Violence, Mandated Reporting</t>
  </si>
  <si>
    <t>https://www.proquest.com/docview/2808349717?accountid=131239&amp;bdid=51804&amp;_bd=CqJAEcnwi8VkBMVeo1njE%2Bys2S0%3D</t>
  </si>
  <si>
    <t>Natalie, Teletherapy, Safety Plan, in Natalie, Teletherapy, Substance Use During Telehealth Sessions, Suicide Risk Assessment and Prevention</t>
  </si>
  <si>
    <t>https://www.proquest.com/docview/2808349718?accountid=131239&amp;bdid=51804&amp;_bd=I7dnkBvcoTn6BKXhRaZNpNIX2fs%3D</t>
  </si>
  <si>
    <t>https://www.proquest.com/docview/2572648707?accountid=131239&amp;bdid=51804&amp;_bd=s9IaM1tciIpAwLYnoJBYTnOIiD0%3D</t>
  </si>
  <si>
    <t>https://www.proquest.com/docview/2572650584?accountid=131239&amp;bdid=51804&amp;_bd=jjGVg899D8fu%2F0U6HGzVHJYlcyk%3D</t>
  </si>
  <si>
    <t>https://www.proquest.com/docview/2580104660?accountid=131239&amp;bdid=51804&amp;_bd=2J%2F2bxrs%2FRJl6%2FiG9UE%2F1amgCp0%3D</t>
  </si>
  <si>
    <t>https://www.proquest.com/docview/2555321316?accountid=131239&amp;bdid=51804&amp;_bd=o9BaxLcehoyVOEEBTgrpMHndXzA%3D</t>
  </si>
  <si>
    <t>https://www.proquest.com/docview/2572645558?accountid=131239&amp;bdid=51804&amp;_bd=Rn1%2F4jRqn1w6oIxwH2FRTsOd5Zw%3D</t>
  </si>
  <si>
    <t>https://www.proquest.com/docview/2549742092?accountid=131239&amp;bdid=51804&amp;_bd=TyEAojRTf%2BxT8sPyV8Bskm3NdMY%3D</t>
  </si>
  <si>
    <t>https://www.proquest.com/docview/2549742090?accountid=131239&amp;bdid=51804&amp;_bd=kQ7gbL1GXK7JT69Gr52bIcR3GyY%3D</t>
  </si>
  <si>
    <t>https://www.proquest.com/docview/2549742124?accountid=131239&amp;bdid=51804&amp;_bd=nVQgAfk8L5STsssMtc%2B4mxyq%2FUs%3D</t>
  </si>
  <si>
    <t>https://www.proquest.com/docview/2543731599?accountid=131239&amp;bdid=51804&amp;_bd=E6dwBNX6NdVJ4X1tehgDtPsDJPk%3D</t>
  </si>
  <si>
    <t>https://www.proquest.com/docview/2543731651?accountid=131239&amp;bdid=51804&amp;_bd=ufZSz5JvKLJVfO%2BVrwhfB%2FMRHzY%3D</t>
  </si>
  <si>
    <t>https://www.proquest.com/docview/2549741608?accountid=131239&amp;bdid=51804&amp;_bd=Az4MIyCqm%2B3YjyHsFOE58vEIlk8%3D</t>
  </si>
  <si>
    <t>https://www.proquest.com/docview/2543731530?accountid=131239&amp;bdid=51804&amp;_bd=jEdRlB0y8%2BXvM2lDU6ZtIttzDvw%3D</t>
  </si>
  <si>
    <t>https://www.proquest.com/docview/2543731652?accountid=131239&amp;bdid=51804&amp;_bd=cZwqle8WI04HhRD7nEgmlVgKKEc%3D</t>
  </si>
  <si>
    <t>https://www.proquest.com/docview/2543731531?accountid=131239&amp;bdid=51804&amp;_bd=0DeeGvvv%2B0%2Fzj8JODYX1IoZZ3Bk%3D</t>
  </si>
  <si>
    <t>https://www.proquest.com/docview/2572645380?accountid=131239&amp;bdid=51804&amp;_bd=1mDiNfbAJ0c0kSzDzpHLxsbOnE0%3D</t>
  </si>
  <si>
    <t>https://www.proquest.com/docview/2549741684?accountid=131239&amp;bdid=51804&amp;_bd=v5rjG%2FsOoBCX4GRH2z899kE29pw%3D</t>
  </si>
  <si>
    <t>https://www.proquest.com/docview/2572644605?accountid=131239&amp;bdid=51804&amp;_bd=ivTpOCrmr8M8vFuTW6Bq%2F5F3AF8%3D</t>
  </si>
  <si>
    <t>https://www.proquest.com/docview/2543731529?accountid=131239&amp;bdid=51804&amp;_bd=JQI8C6r5q2QsKo%2FVA75KnO%2BlAJM%3D</t>
  </si>
  <si>
    <t>https://www.proquest.com/docview/2572644328?accountid=131239&amp;bdid=51804&amp;_bd=iNLwbS1yQTiGajwaa0YsQ4CThsA%3D</t>
  </si>
  <si>
    <t>https://www.proquest.com/docview/2572521453?accountid=131239&amp;bdid=51804&amp;_bd=%2FpQk8jvZsfwUqSuVMo8v338c35c%3D</t>
  </si>
  <si>
    <t>https://www.proquest.com/docview/2543731648?accountid=131239&amp;bdid=51804&amp;_bd=qHhQwoVuRdrUd4xrmYtYtL4cBPA%3D</t>
  </si>
  <si>
    <t>https://www.proquest.com/docview/2543731649?accountid=131239&amp;bdid=51804&amp;_bd=LdW2p2YQPKcB2hYBL082Tmdwqng%3D</t>
  </si>
  <si>
    <t>https://www.proquest.com/docview/2549742930?accountid=131239&amp;bdid=51804&amp;_bd=ZVxckjasZDMsJK8CwkBdtVNJTQM%3D</t>
  </si>
  <si>
    <t>https://www.proquest.com/docview/2549741689?accountid=131239&amp;bdid=51804&amp;_bd=dI034zOx7vEmx8OvvbSzvTszXTg%3D</t>
  </si>
  <si>
    <t>https://www.proquest.com/docview/2543731585?accountid=131239&amp;bdid=51804&amp;_bd=U34mn0upAh7vFiBl3k%2BjEyvUY7A%3D</t>
  </si>
  <si>
    <t>https://www.proquest.com/docview/2572644601?accountid=131239&amp;bdid=51804&amp;_bd=vRDfQ2AhzSGeKiTMEdtO8nZbEwg%3D</t>
  </si>
  <si>
    <t>https://www.proquest.com/docview/2549742190?accountid=131239&amp;bdid=51804&amp;_bd=Mw19TJ6Sot%2B%2FaBQjtISDJO0Giso%3D</t>
  </si>
  <si>
    <t>https://www.proquest.com/docview/2551285591?accountid=131239&amp;bdid=51804&amp;_bd=uQywW6oIQ7Z5Ykq3TdrZlLhdx0U%3D</t>
  </si>
  <si>
    <t>https://www.proquest.com/docview/2549742188?accountid=131239&amp;bdid=51804&amp;_bd=lCiiSC1RVRkd4AqE0c5sFLq%2Bn0A%3D</t>
  </si>
  <si>
    <t>https://www.proquest.com/docview/2549742186?accountid=131239&amp;bdid=51804&amp;_bd=6FDb9QJf8g2izIkWQlBSiFw7pQk%3D</t>
  </si>
  <si>
    <t>https://www.proquest.com/docview/2549742104?accountid=131239&amp;bdid=51804&amp;_bd=Rcg0AoQVMVUfDxe2RtTDTt8RwS4%3D</t>
  </si>
  <si>
    <t>https://www.proquest.com/docview/2549742621?accountid=131239&amp;bdid=51804&amp;_bd=8v9G9AooRcS75%2FctJdDNhvH%2BFGI%3D</t>
  </si>
  <si>
    <t>https://www.proquest.com/docview/2549741650?accountid=131239&amp;bdid=51804&amp;_bd=OK0Rtm0wZkRn3UbamdCiFOr3riQ%3D</t>
  </si>
  <si>
    <t>https://www.proquest.com/docview/2549741653?accountid=131239&amp;bdid=51804&amp;_bd=sbQs1d9oBOScJviKkwBKQXrtwe4%3D</t>
  </si>
  <si>
    <t>https://www.proquest.com/docview/2549742102?accountid=131239&amp;bdid=51804&amp;_bd=SzI7p9k9oqHntaQUOtd73ruJ%2FIM%3D</t>
  </si>
  <si>
    <t>https://www.proquest.com/docview/2549741655?accountid=131239&amp;bdid=51804&amp;_bd=bSZj2umC7RC8PltZfr0l1hfB828%3D</t>
  </si>
  <si>
    <t>https://www.proquest.com/docview/2549741657?accountid=131239&amp;bdid=51804&amp;_bd=n5j2hYSSa8PuPMXnP6kXAZc%2Fe1o%3D</t>
  </si>
  <si>
    <t>https://www.proquest.com/docview/2555319822?accountid=131239&amp;bdid=51804&amp;_bd=mjTgLTp%2BvkSdpVTPoFYXyOmrmM8%3D</t>
  </si>
  <si>
    <t>https://www.proquest.com/docview/2543731596?accountid=131239&amp;bdid=51804&amp;_bd=rmFOEc4mxsMtXrfozITjqNMKTX8%3D</t>
  </si>
  <si>
    <t>https://www.proquest.com/docview/2543731594?accountid=131239&amp;bdid=51804&amp;_bd=b1pe49sQNbXjyEDst70p7QiCpPE%3D</t>
  </si>
  <si>
    <t>https://www.proquest.com/docview/2543731593?accountid=131239&amp;bdid=51804&amp;_bd=mYbFbfVc%2FCDxRzUHqJdtSuMSzOU%3D</t>
  </si>
  <si>
    <t>https://www.proquest.com/docview/2543731591?accountid=131239&amp;bdid=51804&amp;_bd=olTDQ25cD5XZuig6krCEUAkSajs%3D</t>
  </si>
  <si>
    <t>https://www.proquest.com/docview/2572645524?accountid=131239&amp;bdid=51804&amp;_bd=1J6gybxU9qpPM89Gv%2BUxMGRqbzQ%3D</t>
  </si>
  <si>
    <t>https://www.proquest.com/docview/2572644039?accountid=131239&amp;bdid=51804&amp;_bd=Y9w5QMGScAaiShCIOZ2gfd%2FyipA%3D</t>
  </si>
  <si>
    <t>https://www.proquest.com/docview/2549742083?accountid=131239&amp;bdid=51804&amp;_bd=2FO0QEo6t9h6mg6s%2BamScXqY5pU%3D</t>
  </si>
  <si>
    <t>https://www.proquest.com/docview/2549742077?accountid=131239&amp;bdid=51804&amp;_bd=YWcyj3%2FGDLLW8pLPB%2BBkRAvEEE8%3D</t>
  </si>
  <si>
    <t>https://www.proquest.com/docview/2572645518?accountid=131239&amp;bdid=51804&amp;_bd=kW%2FLT8aRuWYznxVePhY2pShxAbE%3D</t>
  </si>
  <si>
    <t>https://www.proquest.com/docview/2549742115?accountid=131239&amp;bdid=51804&amp;_bd=OgjnkXVGzD%2FAXDD0dQb7him9ea0%3D</t>
  </si>
  <si>
    <t>https://www.proquest.com/docview/2543731589?accountid=131239&amp;bdid=51804&amp;_bd=hdQlOF9kw0BXUlFXRfhNa1xaiCU%3D</t>
  </si>
  <si>
    <t>https://www.proquest.com/docview/2572645470?accountid=131239&amp;bdid=51804&amp;_bd=vKbXTY5V5rtMS73dTwae%2F%2BP5P2s%3D</t>
  </si>
  <si>
    <t>https://www.proquest.com/docview/2543731560?accountid=131239&amp;bdid=51804&amp;_bd=076JV26w50s5G7PTg9sAozrNOKI%3D</t>
  </si>
  <si>
    <t>https://www.proquest.com/docview/2549742172?accountid=131239&amp;bdid=51804&amp;_bd=TO0BHZ1Sp0R4vJjUmiTJyMOFMMQ%3D</t>
  </si>
  <si>
    <t>https://www.proquest.com/docview/2549742170?accountid=131239&amp;bdid=51804&amp;_bd=Z6rhQYa%2B5rsQYul6UqOprM839nk%3D</t>
  </si>
  <si>
    <t>https://www.proquest.com/docview/2549741471?accountid=131239&amp;bdid=51804&amp;_bd=byokIKl865FXdRXO5HCqE0kUX3w%3D</t>
  </si>
  <si>
    <t>https://www.proquest.com/docview/2549741593?accountid=131239&amp;bdid=51804&amp;_bd=UdVRRqOatO0QLWzoW%2F%2BoKdhzZZk%3D</t>
  </si>
  <si>
    <t>https://www.proquest.com/docview/2551285765?accountid=131239&amp;bdid=51804&amp;_bd=a0izdqPiHyK2xDY8tF8n31TvCOo%3D</t>
  </si>
  <si>
    <t>https://www.proquest.com/docview/2543731558?accountid=131239&amp;bdid=51804&amp;_bd=ZD6RYl26QO6lcDd5BJgz4K3fPAM%3D</t>
  </si>
  <si>
    <t>Counselling Sessions With Commentary, in Understanding Cognitive Behavioral Therapy with Stuart Rose</t>
  </si>
  <si>
    <t>https://www.proquest.com/docview/2551285648?accountid=131239&amp;bdid=51804&amp;_bd=zqMa1mSDm%2B1EryIlr1M4T3GR%2BiU%3D</t>
  </si>
  <si>
    <t>https://www.proquest.com/docview/2543731559?accountid=131239&amp;bdid=51804&amp;_bd=psQVPTPZyv4EaYcUNSwg3pKvtP8%3D</t>
  </si>
  <si>
    <t>https://www.proquest.com/docview/2543731557?accountid=131239&amp;bdid=51804&amp;_bd=bx29qX7n9KMkn%2FHGlyYx4vKrEZQ%3D</t>
  </si>
  <si>
    <t>https://www.proquest.com/docview/2549741515?accountid=131239&amp;bdid=51804&amp;_bd=l6T1dr%2FoDp10UFPdebqa6sspm8k%3D</t>
  </si>
  <si>
    <t>https://www.proquest.com/docview/2549741518?accountid=131239&amp;bdid=51804&amp;_bd=5EvTru2smq1lhwiqNQfC%2Fj%2FjtqI%3D</t>
  </si>
  <si>
    <t>https://www.proquest.com/docview/2543731555?accountid=131239&amp;bdid=51804&amp;_bd=mlD4eqrcdDt9K1rClxg7D6SgUA0%3D</t>
  </si>
  <si>
    <t>https://www.proquest.com/docview/2572644099?accountid=131239&amp;bdid=51804&amp;_bd=Gd0DmbA%2F73GPWV8SFqBGt%2FxgqO0%3D</t>
  </si>
  <si>
    <t>https://www.proquest.com/docview/2572645582?accountid=131239&amp;bdid=51804&amp;_bd=Vk7zb1cZAG9y7Ei5M71TLu0JOlI%3D</t>
  </si>
  <si>
    <t>https://www.proquest.com/docview/2572645623?accountid=131239&amp;bdid=51804&amp;_bd=AzjMjy%2Fg%2BNLCcm1fEH7pKNSBIr0%3D</t>
  </si>
  <si>
    <t>https://www.proquest.com/docview/2572645467?accountid=131239&amp;bdid=51804&amp;_bd=jpH3mkDEQpuX9gyrzMFklPpRUbQ%3D</t>
  </si>
  <si>
    <t>https://www.proquest.com/docview/2549742055?accountid=131239&amp;bdid=51804&amp;_bd=4dVvyhGKDb8w%2B5HpEeSViwWpvmM%3D</t>
  </si>
  <si>
    <t>https://www.proquest.com/docview/2549741880?accountid=131239&amp;bdid=51804&amp;_bd=tBgBa%2Bjc0vO0AclmBxZrr6u6np4%3D</t>
  </si>
  <si>
    <t>https://www.proquest.com/docview/2549741521?accountid=131239&amp;bdid=51804&amp;_bd=U9SXfz2OZlWwHD0%2Bj9NA1Zo8l4I%3D</t>
  </si>
  <si>
    <t>https://www.proquest.com/docview/2768791554?accountid=131239&amp;bdid=51804&amp;_bd=RU4L13Ycuxvrzy4qaKmy01vDxF8%3D</t>
  </si>
  <si>
    <t>https://www.proquest.com/docview/2549741520?accountid=131239&amp;bdid=51804&amp;_bd=ASl550GjzyYj6PMYAuQzG2L8TZ8%3D</t>
  </si>
  <si>
    <t>https://www.proquest.com/docview/2543731605?accountid=131239&amp;bdid=51804&amp;_bd=IG2jOKoqC6TnsQm5%2FMsJPt8jU0U%3D</t>
  </si>
  <si>
    <t>https://www.proquest.com/docview/2549741401?accountid=131239&amp;bdid=51804&amp;_bd=tWO1eUN8XrslTG39uWpVEnk25SI%3D</t>
  </si>
  <si>
    <t>https://www.proquest.com/docview/2543731602?accountid=131239&amp;bdid=51804&amp;_bd=w1uLJ2jS8grVaLHxaCfRFTLQyfQ%3D</t>
  </si>
  <si>
    <t>https://www.proquest.com/docview/2543731603?accountid=131239&amp;bdid=51804&amp;_bd=1BdgKlB9hFg9LyT5LthJodW1LwA%3D</t>
  </si>
  <si>
    <t>https://www.proquest.com/docview/2543731600?accountid=131239&amp;bdid=51804&amp;_bd=n0%2F7rGPvbQE5M9V1fDrUeJjOuvs%3D</t>
  </si>
  <si>
    <t>https://www.proquest.com/docview/2549741889?accountid=131239&amp;bdid=51804&amp;_bd=IA0fzuT55HzhDUq6aW3YfzMVuTo%3D</t>
  </si>
  <si>
    <t>https://www.proquest.com/docview/2549741526?accountid=131239&amp;bdid=51804&amp;_bd=38UwMiRe1%2FbrfsX965qQF0F%2Ff88%3D</t>
  </si>
  <si>
    <t>https://www.proquest.com/docview/2543731601?accountid=131239&amp;bdid=51804&amp;_bd=BBKUCfcnzY7J636b4VW3312K7ik%3D</t>
  </si>
  <si>
    <t>https://www.proquest.com/docview/2543731660?accountid=131239&amp;bdid=51804&amp;_bd=DZP%2FrYusUX0s5ab0h1b8mb030yw%3D</t>
  </si>
  <si>
    <t>https://www.proquest.com/docview/2572645730?accountid=131239&amp;bdid=51804&amp;_bd=DOUCrNh7zUMYrBkYVWT3dY64NcM%3D</t>
  </si>
  <si>
    <t>https://www.proquest.com/docview/2549741695?accountid=131239&amp;bdid=51804&amp;_bd=k7NdXGchYAgbY%2F7SN72BdwjLRPk%3D</t>
  </si>
  <si>
    <t>https://www.proquest.com/docview/2549741694?accountid=131239&amp;bdid=51804&amp;_bd=YWLAdoaGp1bjTOEo%2BFbW%2FS4WWME%3D</t>
  </si>
  <si>
    <t>https://www.proquest.com/docview/2572644518?accountid=131239&amp;bdid=51804&amp;_bd=dO21i0svZJCeprr8hgtZX75vJ%2FM%3D</t>
  </si>
  <si>
    <t>https://www.proquest.com/docview/2549741457?accountid=131239&amp;bdid=51804&amp;_bd=SYPTpBpZWYBaHj2RhsLp78grSFs%3D</t>
  </si>
  <si>
    <t>https://www.proquest.com/docview/2543731539?accountid=131239&amp;bdid=51804&amp;_bd=cPBwurvBHWHvJBYBiVnoJXf4LpA%3D</t>
  </si>
  <si>
    <t>https://www.proquest.com/docview/2549741613?accountid=131239&amp;bdid=51804&amp;_bd=WRYHOidyCYTJJfnqystoXhs6H0c%3D</t>
  </si>
  <si>
    <t>https://www.proquest.com/docview/2543731534?accountid=131239&amp;bdid=51804&amp;_bd=tZhj3spucELZqgMRV3c9pzx9Wws%3D</t>
  </si>
  <si>
    <t>https://www.proquest.com/docview/2543731653?accountid=131239&amp;bdid=51804&amp;_bd=0pMOzBQvjy3x%2Flpu%2Bkrk69bdnLo%3D</t>
  </si>
  <si>
    <t>https://www.proquest.com/docview/2543731654?accountid=131239&amp;bdid=51804&amp;_bd=ypIbO1IuS3vBc%2BTdlEhs9Wi%2Fruo%3D</t>
  </si>
  <si>
    <t>https://www.proquest.com/docview/2572645562?accountid=131239&amp;bdid=51804&amp;_bd=jjvrjxbF%2FfTGRmA4mrdbKqwTwLw%3D</t>
  </si>
  <si>
    <t>https://www.proquest.com/docview/2572645724?accountid=131239&amp;bdid=51804&amp;_bd=ziL%2BkJ5iYUrQaXZ833f3WZ%2F1t%2Bg%3D</t>
  </si>
  <si>
    <t>https://www.proquest.com/docview/2549741462?accountid=131239&amp;bdid=51804&amp;_bd=aKIN%2BO12Ba3tFkxg8XHfHn92Qow%3D</t>
  </si>
  <si>
    <t>https://www.proquest.com/docview/2549742038?accountid=131239&amp;bdid=51804&amp;_bd=IO2EnK6JGFJ0zKtqDVPSqrtpEX8%3D</t>
  </si>
  <si>
    <t>https://www.proquest.com/docview/2549742555?accountid=131239&amp;bdid=51804&amp;_bd=JDhCDJJxQ0ah8v20laE92Qv2XSI%3D</t>
  </si>
  <si>
    <t>https://www.proquest.com/docview/2549741463?accountid=131239&amp;bdid=51804&amp;_bd=xd%2FQZ56t4dsfKMGwBVuhtL2hu5M%3D</t>
  </si>
  <si>
    <t>https://www.proquest.com/docview/2572521391?accountid=131239&amp;bdid=51804&amp;_bd=%2F86YBfDFgChHWUE4lL0TJ2XWDe8%3D</t>
  </si>
  <si>
    <t>https://www.proquest.com/docview/2572645715?accountid=131239&amp;bdid=51804&amp;_bd=pRA44dPim5v%2BF7K410V%2BLFycw00%3D</t>
  </si>
  <si>
    <t>https://www.proquest.com/docview/2543731549?accountid=131239&amp;bdid=51804&amp;_bd=ND4Q9oSxYH686l5RJp85aHwnnYg%3D</t>
  </si>
  <si>
    <t>https://www.proquest.com/docview/2543731546?accountid=131239&amp;bdid=51804&amp;_bd=6bMoPdMtmXY%2BzpqmbVGnNkMuHoo%3D</t>
  </si>
  <si>
    <t>https://www.proquest.com/docview/2543731543?accountid=131239&amp;bdid=51804&amp;_bd=48a5zqMWEV2Foeuraok0%2FdIa5gI%3D</t>
  </si>
  <si>
    <t>https://www.proquest.com/docview/2543731544?accountid=131239&amp;bdid=51804&amp;_bd=FygJ4RPN83evwMFQJJ3h4Utbhi4%3D</t>
  </si>
  <si>
    <t>https://www.proquest.com/docview/2781676727?accountid=131239&amp;bdid=51804&amp;_bd=w1Ns0DJQQ5IdG8LefdA%2F%2BVgn%2Bek%3D</t>
  </si>
  <si>
    <t>Nicole, Opioid Use Disorder, Moderate, Depression Assessment, in Assessment: Nicole, Opioid Use Disorder, Moderate, Doctor Shopping</t>
  </si>
  <si>
    <t>https://www.proquest.com/docview/2781676729?accountid=131239&amp;bdid=51804&amp;_bd=nDpF7EYncOI6Zyj3LUpP%2BNCEy5A%3D</t>
  </si>
  <si>
    <t>https://www.proquest.com/docview/2323117335?accountid=131239&amp;bdid=51804&amp;_bd=diiHkgI1TEs5zLko7Xm1LXRuY9k%3D</t>
  </si>
  <si>
    <t>https://www.proquest.com/docview/2781676724?accountid=131239&amp;bdid=51804&amp;_bd=OyrM5GBBcbbVyPltPFvuTU8IQ%2Bc%3D</t>
  </si>
  <si>
    <t>F31.74 Bipolar I Disorder, Most Recent Episode Manic, in Full Remission, in Sam, (Adolescent) Bipolar I Disorder, Current or Most Recent Episode Manic, Severe, Part 2</t>
  </si>
  <si>
    <t>https://www.proquest.com/docview/2781675634?accountid=131239&amp;bdid=51804&amp;_bd=Zk8duXtpbnb0N6vqKmhzdP97bcM%3D</t>
  </si>
  <si>
    <t>https://www.proquest.com/docview/2781676726?accountid=131239&amp;bdid=51804&amp;_bd=31%2Ffcjlmpk7vedZeeIv%2Fgpn1jto%3D</t>
  </si>
  <si>
    <t>Nicole, Opioid Use Disorder, Trauma Assessment Version 3, in Assessment: Nicole, Opioid Use Disorder, Moderate, Doctor Shopping</t>
  </si>
  <si>
    <t>https://www.proquest.com/docview/2781675758?accountid=131239&amp;bdid=51804&amp;_bd=ucf8pSBogAGfTOHZB1ZYgQEoibU%3D</t>
  </si>
  <si>
    <t>https://www.proquest.com/docview/2781676725?accountid=131239&amp;bdid=51804&amp;_bd=3QM%2BUj7Y9hY1k%2Bl1dIUT1iDvQV8%3D</t>
  </si>
  <si>
    <t>F84.0 Autism Spectrum Disorder, Requiring Very Substantial Support, in Autism Spectrum Disorder Series - ICD 10</t>
  </si>
  <si>
    <t>https://www.proquest.com/docview/2808349701?accountid=131239&amp;bdid=51804&amp;_bd=HmMvKli8jCh4Az3OqA9SiQewg64%3D</t>
  </si>
  <si>
    <t>https://www.proquest.com/docview/2427548010?accountid=131239&amp;bdid=51804&amp;_bd=ZDA%2FnA2pYslARmTqWi3mF9gXBA4%3D</t>
  </si>
  <si>
    <t>https://www.proquest.com/docview/2549742087?accountid=131239&amp;bdid=51804&amp;_bd=bzbLOw2ncMQrofW0KoJMfJ2Ppr4%3D</t>
  </si>
  <si>
    <t>https://www.proquest.com/docview/2323117729?accountid=131239&amp;bdid=51804&amp;_bd=eWCDw5cHhIPMUX3LJkTpNNLqAVM%3D</t>
  </si>
  <si>
    <t>Gil, Core Video: Bipolar I Disorder, Current Episode Manic, Severe, with Mood-Congruent Psychotic Features Parts 1-4, in Gil, Bipolar I Disorder - DSM-5-TR</t>
  </si>
  <si>
    <t>https://www.proquest.com/docview/2808349705?accountid=131239&amp;bdid=51804&amp;_bd=RvthC%2Bv5CM25QZWbtC1LiOZ%2BitE%3D</t>
  </si>
  <si>
    <t>Sam, (Adolescent) Bipolar I Disorder, Suicide and Self Harm Assessment V1, in Sam, (Adolescent) Bipolar I Disorder, Current or Most Recent Episode Manic, Severe</t>
  </si>
  <si>
    <t>https://www.proquest.com/docview/2781676731?accountid=131239&amp;bdid=51804&amp;_bd=XirdKxkM4mjyY4DzwNPCshX%2FW0U%3D</t>
  </si>
  <si>
    <t>https://www.proquest.com/docview/2230821754?accountid=131239&amp;bdid=51804&amp;_bd=4Y8OIDMYnQp3AuXfmBk4uuu6q8U%3D</t>
  </si>
  <si>
    <t>https://www.proquest.com/docview/2781676730?accountid=131239&amp;bdid=51804&amp;_bd=7mxeyPQXuVWHHEFc2ig0vTW3EUw%3D</t>
  </si>
  <si>
    <t>Nicole, AUDIT, in Assessment: Nicole, Opioid Use Disorder, Moderate, Doctor Shopping</t>
  </si>
  <si>
    <t>https://www.proquest.com/docview/2781676732?accountid=131239&amp;bdid=51804&amp;_bd=IP9yD%2Feoa1deNBZ7jyR47EETzaY%3D</t>
  </si>
  <si>
    <t>https://www.proquest.com/docview/2323117206?accountid=131239&amp;bdid=51804&amp;_bd=sH2XA%2FnU%2FB4yFypVk3tvFbJXCII%3D</t>
  </si>
  <si>
    <t>https://www.proquest.com/docview/2354747162?accountid=131239&amp;bdid=51804&amp;_bd=GGgmthN4LUWMeOLP2e2WL3PjbJ8%3D</t>
  </si>
  <si>
    <t>Sam, (Adolescent) Bipolar I Disorder, Suicide and Self Harm Assessment V2, in Sam, (Adolescent) Bipolar I Disorder, Current or Most Recent Episode Manic, Severe</t>
  </si>
  <si>
    <t>https://www.proquest.com/docview/2781676717?accountid=131239&amp;bdid=51804&amp;_bd=8UcOKISq7eQazA5OFwsQUlHr1WI%3D</t>
  </si>
  <si>
    <t>https://www.proquest.com/docview/2176274582?accountid=131239&amp;bdid=51804&amp;_bd=aUL7bpMm4%2Fzs6F7bVZTnDsNDT38%3D</t>
  </si>
  <si>
    <t>https://www.proquest.com/docview/2445974677?accountid=131239&amp;bdid=51804&amp;_bd=POXSl4MKi6SFN6eFOjfFzH7oVlg%3D</t>
  </si>
  <si>
    <t>https://www.proquest.com/docview/2781677097?accountid=131239&amp;bdid=51804&amp;_bd=M8NnXMS%2Bq7oNLzHgXymcfKzanA0%3D</t>
  </si>
  <si>
    <t>https://www.proquest.com/docview/2176274733?accountid=131239&amp;bdid=51804&amp;_bd=KPwwa8KvkivXNA6g40zfGTnKzmk%3D</t>
  </si>
  <si>
    <t>https://www.proquest.com/docview/2781677099?accountid=131239&amp;bdid=51804&amp;_bd=iIE1WPk53v8PjAv%2FgkoFI8bNP0k%3D</t>
  </si>
  <si>
    <t>https://www.proquest.com/docview/2549741683?accountid=131239&amp;bdid=51804&amp;_bd=fsrLHmdDBP%2Bp%2FDIzHnGx4pgaCPg%3D</t>
  </si>
  <si>
    <t>https://www.proquest.com/docview/2216796396?accountid=131239&amp;bdid=51804&amp;_bd=p9cYPDiBnsm1%2BRDLjKQLW7bjcDs%3D</t>
  </si>
  <si>
    <t>Nathan, Core Video: F33.20 Major Depressive Disorder, Recurrent Episode, Severe, in Nathan, Major Depressive Disorder, Recurrent Episode, Severe</t>
  </si>
  <si>
    <t>https://www.proquest.com/docview/2781675631?accountid=131239&amp;bdid=51804&amp;_bd=Rkf2TaJYPQ6rG8nUAXChdFRGkC0%3D</t>
  </si>
  <si>
    <t>https://www.proquest.com/docview/2543731528?accountid=131239&amp;bdid=51804&amp;_bd=KHTljdIr%2FUGu7l689ZaFTOtzGd0%3D</t>
  </si>
  <si>
    <t>https://www.proquest.com/docview/2781676722?accountid=131239&amp;bdid=51804&amp;_bd=5aBxQDmgXbAjJ3dQtWkJ4sn7NCQ%3D</t>
  </si>
  <si>
    <t>https://www.proquest.com/docview/2781675632?accountid=131239&amp;bdid=51804&amp;_bd=XAU%2B4iKoXg0US8eFQnizQnoB7Bg%3D</t>
  </si>
  <si>
    <t>https://www.proquest.com/docview/2543731647?accountid=131239&amp;bdid=51804&amp;_bd=xJ0ks7tz8VJ0hFvUOAADGpLqs88%3D</t>
  </si>
  <si>
    <t>https://www.proquest.com/docview/2543731644?accountid=131239&amp;bdid=51804&amp;_bd=64gv96dMMMRJ26HfupfXaNbl3Lw%3D</t>
  </si>
  <si>
    <t>https://www.proquest.com/docview/2543731643?accountid=131239&amp;bdid=51804&amp;_bd=1hAFg55lGqApF5dkCjmX8AFc4js%3D</t>
  </si>
  <si>
    <t>https://www.proquest.com/docview/2555320525?accountid=131239&amp;bdid=51804&amp;_bd=6rpkyEPUBiUmuO8owdOT%2BwYqSas%3D</t>
  </si>
  <si>
    <t>https://www.proquest.com/docview/2543731586?accountid=131239&amp;bdid=51804&amp;_bd=uOYVaK2o3o%2Fr9D2kVlYVCS%2FZdGg%3D</t>
  </si>
  <si>
    <t>https://www.proquest.com/docview/2781676905?accountid=131239&amp;bdid=51804&amp;_bd=AAgu8%2FWjMuqtaQFi7O%2FLQSLzFTI%3D</t>
  </si>
  <si>
    <t>https://www.proquest.com/docview/2445974688?accountid=131239&amp;bdid=51804&amp;_bd=b829HBNlwgVOGkUAVeRdM1itKdU%3D</t>
  </si>
  <si>
    <t>https://www.proquest.com/docview/2445974842?accountid=131239&amp;bdid=51804&amp;_bd=htkSSS%2FSszmcsHtgLPA%2FLkZ473k%3D</t>
  </si>
  <si>
    <t>https://www.proquest.com/docview/2549742074?accountid=131239&amp;bdid=51804&amp;_bd=yiTqDMaeG0psAlasWKSVvtpeVAE%3D</t>
  </si>
  <si>
    <t>https://www.proquest.com/docview/2251077129?accountid=131239&amp;bdid=51804&amp;_bd=w5934JPubzKU3S9rdtfjfIU9iio%3D</t>
  </si>
  <si>
    <t>https://www.proquest.com/docview/2354747349?accountid=131239&amp;bdid=51804&amp;_bd=Na16NTntz3u6jKvzjpohPybaVR8%3D</t>
  </si>
  <si>
    <t>https://www.proquest.com/docview/2445975300?accountid=131239&amp;bdid=51804&amp;_bd=ZEE69AtteMkH4EHr%2F%2FpsRvdagNw%3D</t>
  </si>
  <si>
    <t>https://www.proquest.com/docview/2549741656?accountid=131239&amp;bdid=51804&amp;_bd=HZtGTTfDrPK39TFSaEZf2sWrtBk%3D</t>
  </si>
  <si>
    <t>https://www.proquest.com/docview/2781675666?accountid=131239&amp;bdid=51804&amp;_bd=5PoUkZwN8SW3YNIuLVAuseXs1iQ%3D</t>
  </si>
  <si>
    <t>https://www.proquest.com/docview/2445974618?accountid=131239&amp;bdid=51804&amp;_bd=rEbOhj7OxtKAJC8x62xZexwMV2w%3D</t>
  </si>
  <si>
    <t>https://www.proquest.com/docview/2543731597?accountid=131239&amp;bdid=51804&amp;_bd=VJDU9bvoJ5N1vZfml0%2BHijS2R7c%3D</t>
  </si>
  <si>
    <t>https://www.proquest.com/docview/2543731595?accountid=131239&amp;bdid=51804&amp;_bd=ioNPq1RDkEC1Q1DN5t7db3TDsD8%3D</t>
  </si>
  <si>
    <t>https://www.proquest.com/docview/2781676735?accountid=131239&amp;bdid=51804&amp;_bd=nhdwagHruebC3Piwt8iCvagimeQ%3D</t>
  </si>
  <si>
    <t>https://www.proquest.com/docview/2543731590?accountid=131239&amp;bdid=51804&amp;_bd=oXzOcniP4O4a%2Bjz%2B0i8hJbe2BeY%3D</t>
  </si>
  <si>
    <t>https://www.proquest.com/docview/2445974852?accountid=131239&amp;bdid=51804&amp;_bd=3OSICruRFU%2F6v1ymy3dbgAvt1SY%3D</t>
  </si>
  <si>
    <t>https://www.proquest.com/docview/2289577743?accountid=131239&amp;bdid=51804&amp;_bd=3Az7l%2FHkhPyUfSnxLZ41CtG5Rus%3D</t>
  </si>
  <si>
    <t>https://www.proquest.com/docview/2445974858?accountid=131239&amp;bdid=51804&amp;_bd=sF685TERg9E%2Bvuliyv%2BYFVsVTXY%3D</t>
  </si>
  <si>
    <t>https://www.proquest.com/docview/2289575691?accountid=131239&amp;bdid=51804&amp;_bd=Ds9k3qCAvDVA8JTEPad1OiB9wrQ%3D</t>
  </si>
  <si>
    <t>https://www.proquest.com/docview/2354747333?accountid=131239&amp;bdid=51804&amp;_bd=qfKWhrHXgoFpfOsX0CoM2qlCVs4%3D</t>
  </si>
  <si>
    <t>https://www.proquest.com/docview/2543731587?accountid=131239&amp;bdid=51804&amp;_bd=lKorpad%2FG03zpG%2F%2Feyd9KWMNUD8%3D</t>
  </si>
  <si>
    <t>https://www.proquest.com/docview/2445974509?accountid=131239&amp;bdid=51804&amp;_bd=i6rKQJOZ5uX86oYMQCF2gRz4320%3D</t>
  </si>
  <si>
    <t>Sam, Core Video: Bipolar I Disorder, Most Recent Episode Manic, in Full Remission, in Sam, (Adolescent) Bipolar I Disorder, Current or Most Recent Episode Manic, Severe</t>
  </si>
  <si>
    <t>https://www.proquest.com/docview/2781675438?accountid=131239&amp;bdid=51804&amp;_bd=6SFp2M%2BtH%2BRASpU6t43SJhwkbK8%3D</t>
  </si>
  <si>
    <t>https://www.proquest.com/docview/2781675439?accountid=131239&amp;bdid=51804&amp;_bd=lBzl%2FEeS%2ByG6looqwDy8cl6IR%2BY%3D</t>
  </si>
  <si>
    <t>https://www.proquest.com/docview/2445975316?accountid=131239&amp;bdid=51804&amp;_bd=eLwkz0XdAp%2BDOp%2FN7QNGKAmmOnE%3D</t>
  </si>
  <si>
    <t>Gil, Core Video: F31.2 Bipolar I Disorder, Current Episode Manic, Severe, with Mood-Congruent Psychotic Features Parts 1-4, in Gil, Bipolar I Disorder - ICD 10</t>
  </si>
  <si>
    <t>https://www.proquest.com/docview/2808349741?accountid=131239&amp;bdid=51804&amp;_bd=r7H%2B8xtURTQoi5nVCP2gAS9ZmU0%3D</t>
  </si>
  <si>
    <t>https://www.proquest.com/docview/2555320300?accountid=131239&amp;bdid=51804&amp;_bd=T2oNTdN4SE6ItNL%2BZXmSkwl2QqM%3D</t>
  </si>
  <si>
    <t>https://www.proquest.com/docview/2289578136?accountid=131239&amp;bdid=51804&amp;_bd=qZyHl7L1FzRWFatjhmCMjgIyafo%3D</t>
  </si>
  <si>
    <t>https://www.proquest.com/docview/2549741594?accountid=131239&amp;bdid=51804&amp;_bd=w7G1LO%2BFZyhFelKNIhlvI%2B6eV8o%3D</t>
  </si>
  <si>
    <t>https://www.proquest.com/docview/2549742049?accountid=131239&amp;bdid=51804&amp;_bd=UcQ2ysHne%2FlK0HlcPxQAZ29W7ss%3D</t>
  </si>
  <si>
    <t>https://www.proquest.com/docview/2445975287?accountid=131239&amp;bdid=51804&amp;_bd=RUAfiQVMCUCzupv%2FbNKUJFC7dso%3D</t>
  </si>
  <si>
    <t>https://www.proquest.com/docview/2549742046?accountid=131239&amp;bdid=51804&amp;_bd=3CBRG7gGR86o0BJDqGx7vgT8PaA%3D</t>
  </si>
  <si>
    <t>https://www.proquest.com/docview/2549741598?accountid=131239&amp;bdid=51804&amp;_bd=PoOdojqD2XfRJ3p6dVozuo7F1hQ%3D</t>
  </si>
  <si>
    <t>https://www.proquest.com/docview/2445975281?accountid=131239&amp;bdid=51804&amp;_bd=Vp7GEwLU9OytBtjPmAc65M91xq8%3D</t>
  </si>
  <si>
    <t>F84.0 Autism Spectrum Disorder, Requiring Substantial Support 2, in Autism Spectrum Disorder Series - ICD 10</t>
  </si>
  <si>
    <t>https://www.proquest.com/docview/2808349692?accountid=131239&amp;bdid=51804&amp;_bd=aX4XYkndkR9aC1AHmhwoaqzMVP0%3D</t>
  </si>
  <si>
    <t>https://www.proquest.com/docview/2781675667?accountid=131239&amp;bdid=51804&amp;_bd=Sjs5sKNvtUnQhoKei3UheaOINJs%3D</t>
  </si>
  <si>
    <t>F43.8 Other Specified Trauma- and Stressor-Related Disorder (Grief), in ICD 10 - Volume 1</t>
  </si>
  <si>
    <t>https://www.proquest.com/docview/2808349731?accountid=131239&amp;bdid=51804&amp;_bd=%2F22%2F9Tm3VjN6x%2BDWL1vSGUs4jP4%3D</t>
  </si>
  <si>
    <t>https://www.proquest.com/docview/2445975173?accountid=131239&amp;bdid=51804&amp;_bd=w4FFAlv09nSWlMjiN8iMEnr11xc%3D</t>
  </si>
  <si>
    <t>https://www.proquest.com/docview/2445975053?accountid=131239&amp;bdid=51804&amp;_bd=Q8Doy64hZ5m8kOSwSpiuQo5sA3I%3D</t>
  </si>
  <si>
    <t>F84.0 Autism Spectrum Disorder, Requiring Substantial Support, Traumatized Presentation, in Autism Spectrum Disorder Series - ICD 10</t>
  </si>
  <si>
    <t>https://www.proquest.com/docview/2808349737?accountid=131239&amp;bdid=51804&amp;_bd=aCVg8RHN4K8GU7kHXv6OrJYOSyQ%3D</t>
  </si>
  <si>
    <t>F84.0 Autism Spectrum Disorder, Requiring Support, in Autism Spectrum Disorder Series - ICD 10</t>
  </si>
  <si>
    <t>https://www.proquest.com/docview/2808349738?accountid=131239&amp;bdid=51804&amp;_bd=DJ98mdNBNonKTC%2F7KDbrS0LHH5c%3D</t>
  </si>
  <si>
    <t>https://www.proquest.com/docview/2445974641?accountid=131239&amp;bdid=51804&amp;_bd=h%2Bg68fTLctUlSLZK824xDGAFfk4%3D</t>
  </si>
  <si>
    <t>https://www.proquest.com/docview/2445975056?accountid=131239&amp;bdid=51804&amp;_bd=VJCORfC6PjTc09Zas0y1dJJywO0%3D</t>
  </si>
  <si>
    <t>https://www.proquest.com/docview/2543731604?accountid=131239&amp;bdid=51804&amp;_bd=oAA1si9OUH3VMJkJbNGk9UlqPuc%3D</t>
  </si>
  <si>
    <t>https://www.proquest.com/docview/2549741646?accountid=131239&amp;bdid=51804&amp;_bd=wMW1Y5ZMdkPUZ2TVlK650JF3dWg%3D</t>
  </si>
  <si>
    <t>https://www.proquest.com/docview/2781675671?accountid=131239&amp;bdid=51804&amp;_bd=54SSHZPz1m1dA3DEmDMG0fYHklg%3D</t>
  </si>
  <si>
    <t>https://www.proquest.com/docview/2781675551?accountid=131239&amp;bdid=51804&amp;_bd=PHcWStsr9WABbvFbxC2A5PapbyE%3D</t>
  </si>
  <si>
    <t>https://www.proquest.com/docview/2781676705?accountid=131239&amp;bdid=51804&amp;_bd=JAbwd5DHMzDA%2FzeoyXHA40ay%2BSs%3D</t>
  </si>
  <si>
    <t>https://www.proquest.com/docview/2781676707?accountid=131239&amp;bdid=51804&amp;_bd=%2F%2FOc1N8JbSLwEEEzaZykTIzI%2Fnw%3D</t>
  </si>
  <si>
    <t>https://www.proquest.com/docview/2543731661?accountid=131239&amp;bdid=51804&amp;_bd=NUI7PN0nZmu7NKysueQE1%2F%2Fpoq8%3D</t>
  </si>
  <si>
    <t>https://www.proquest.com/docview/2289573970?accountid=131239&amp;bdid=51804&amp;_bd=jWv3TQNwuFSoeyuQ2wbLl6PMe2A%3D</t>
  </si>
  <si>
    <t>F84.0 Autism Spectrum Disorder, Requiring Substantial Support, in Autism Spectrum Disorder Series - ICD 10</t>
  </si>
  <si>
    <t>https://www.proquest.com/docview/2808349721?accountid=131239&amp;bdid=51804&amp;_bd=2JEhIUhvXplUD2%2BScxzyzi11Ogo%3D</t>
  </si>
  <si>
    <t>https://www.proquest.com/docview/2354747147?accountid=131239&amp;bdid=51804&amp;_bd=n4bf2uocMpRQaPz3kq5g6dK9XDc%3D</t>
  </si>
  <si>
    <t>https://www.proquest.com/docview/2445974496?accountid=131239&amp;bdid=51804&amp;_bd=%2BHn7SSDYIex94B4aICvOKcQIW%2Fc%3D</t>
  </si>
  <si>
    <t>https://www.proquest.com/docview/2445974894?accountid=131239&amp;bdid=51804&amp;_bd=fLnSRDgjvvropLpZcNW%2BvFxEtsE%3D</t>
  </si>
  <si>
    <t>https://www.proquest.com/docview/2781676554?accountid=131239&amp;bdid=51804&amp;_bd=a08pZALxAaLmO%2BbVNbzn5wshVUQ%3D</t>
  </si>
  <si>
    <t>Nicole, Opioid Use Disorder, Moderate, Trauma Assessment V2, in Assessment: Nicole, Opioid Use Disorder, Moderate, Doctor Shopping</t>
  </si>
  <si>
    <t>https://www.proquest.com/docview/2781676556?accountid=131239&amp;bdid=51804&amp;_bd=texELhq9PQOxcm%2B%2Ff32P%2FwSGFvQ%3D</t>
  </si>
  <si>
    <t>https://www.proquest.com/docview/2543731552?accountid=131239&amp;bdid=51804&amp;_bd=wozbsCE0bQ2ul7THhbL6UchqgNc%3D</t>
  </si>
  <si>
    <t>https://www.proquest.com/docview/2323082436?accountid=131239&amp;bdid=51804&amp;_bd=cSNgt8OVW1Hof1iSGY9vN%2BH%2F9Ks%3D</t>
  </si>
  <si>
    <t>F84.0 Autism Spectrum Disorder, Requiring Substantial Support, Core Video, in Autism Spectrum Disorder Series - ICD 10</t>
  </si>
  <si>
    <t>https://www.proquest.com/docview/2808349714?accountid=131239&amp;bdid=51804&amp;_bd=9GY6x4YEOF57tmz9nE7pvLLSKZw%3D</t>
  </si>
  <si>
    <t>https://www.proquest.com/docview/2549741590?accountid=131239&amp;bdid=51804&amp;_bd=vJg1dIAo6gX2qSdSjiszkDwRWhY%3D</t>
  </si>
  <si>
    <t>https://www.proquest.com/docview/2445975195?accountid=131239&amp;bdid=51804&amp;_bd=PGKJl5fp4Y2eZ%2BpIX2kJTaEea3Y%3D</t>
  </si>
  <si>
    <t>https://www.proquest.com/docview/2549741461?accountid=131239&amp;bdid=51804&amp;_bd=Xkd%2FgNnl%2Ft%2FGpoRou3TO%2F71UNUU%3D</t>
  </si>
  <si>
    <t>https://www.proquest.com/docview/2549741624?accountid=131239&amp;bdid=51804&amp;_bd=2NFli0qqhHxwtURLp0s%2FtL1krKk%3D</t>
  </si>
  <si>
    <t>https://www.proquest.com/docview/2323117535?accountid=131239&amp;bdid=51804&amp;_bd=Qg1COHy2C1WfaLPriLL868KoK9Q%3D</t>
  </si>
  <si>
    <t>https://www.proquest.com/docview/2781673854?accountid=131239&amp;bdid=51804&amp;_bd=KAn%2BWv7VXF3BAi6Amiq7EZa%2Blsw%3D</t>
  </si>
  <si>
    <t>https://www.proquest.com/docview/2781673215?accountid=131239&amp;bdid=51804&amp;_bd=i5WBFJSBpNs6i%2Fs9guqpxNEGuj4%3D</t>
  </si>
  <si>
    <t>https://www.proquest.com/docview/2781673214?accountid=131239&amp;bdid=51804&amp;_bd=EJ9sJDOYh8zR8PWR572eGxXlR9c%3D</t>
  </si>
  <si>
    <t>https://www.proquest.com/docview/2781673857?accountid=131239&amp;bdid=51804&amp;_bd=28iH14tb3tqqNee4yzqL09WP4Mg%3D</t>
  </si>
  <si>
    <t>https://www.proquest.com/docview/2781673856?accountid=131239&amp;bdid=51804&amp;_bd=MwPwuWrs91dy90vV1g%2BuH5QHKMQ%3D</t>
  </si>
  <si>
    <t>https://www.proquest.com/docview/2781675368?accountid=131239&amp;bdid=51804&amp;_bd=TARLiDKY7B4qOngWrQER%2BuzY1%2Fc%3D</t>
  </si>
  <si>
    <t>https://www.proquest.com/docview/2781674675?accountid=131239&amp;bdid=51804&amp;_bd=LO%2FFXol5wU5oIwHGBHMD8YY0cWE%3D</t>
  </si>
  <si>
    <t>https://www.proquest.com/docview/2781675401?accountid=131239&amp;bdid=51804&amp;_bd=AZfEtX9gztPTCRgdcdUmxsRdvbo%3D</t>
  </si>
  <si>
    <t>Nathan, Major Depressive Disorder, Recurrent Episode, Severe, Depression Assessment Version 2 â€“ Impaired Relationships, in Nathan, Major Depressive Disorder, Recurrent Episode, Severe</t>
  </si>
  <si>
    <t>https://www.proquest.com/docview/2781674031?accountid=131239&amp;bdid=51804&amp;_bd=h5NhA2r1SOzeS%2FhmP5eG8O3Znp0%3D</t>
  </si>
  <si>
    <t>https://www.proquest.com/docview/2781674034?accountid=131239&amp;bdid=51804&amp;_bd=FXh9FrbjIhybZLOwzFOvyCxN1c8%3D</t>
  </si>
  <si>
    <t>https://www.proquest.com/docview/2781669125?accountid=131239&amp;bdid=51804&amp;_bd=g5VrMEkVxX7o54DlVoDm2w4YhLY%3D</t>
  </si>
  <si>
    <t>Gil, Core Video: Bipolar I Disorder, Current Episode Manic, Severe, with Mood-Congruent Psychotic Features, Part 1, in ICD 10: Gil, Bipolar I Disorder, Current or Most Recent Episode Hypomanic, Part 1</t>
  </si>
  <si>
    <t>https://www.proquest.com/docview/2781669126?accountid=131239&amp;bdid=51804&amp;_bd=CYJhecH9Vedu4IzaNv39ZNeHxI4%3D</t>
  </si>
  <si>
    <t>https://www.proquest.com/docview/2781669127?accountid=131239&amp;bdid=51804&amp;_bd=OKhR1Iy2P4JivwVuLSiNNodznI8%3D</t>
  </si>
  <si>
    <t>Autism Spectrum Disorder, Requiring Support, in Autism Spectrum Disorder Series</t>
  </si>
  <si>
    <t>https://www.proquest.com/docview/2781669128?accountid=131239&amp;bdid=51804&amp;_bd=3zO34yyECKxGlJUbSw9CPSxdTk0%3D</t>
  </si>
  <si>
    <t>Nicole, Core Video: F31.5 Bipolar I Disorder, Current Episode Depressed, Severe, with Mood-Congruent Psychotic Features, in Nicole, Bipolar I Disorder, Current or Most Recent Episode Depressed, Severe</t>
  </si>
  <si>
    <t>https://www.proquest.com/docview/2781674655?accountid=131239&amp;bdid=51804&amp;_bd=Ujsm1G5e%2BJsEHRHpva0X4627UCo%3D</t>
  </si>
  <si>
    <t>Cooper, Major Depressive Disorder, Single Episode, Severe, Depression Assessment â€“ Diminished Interest and Pleasure, in Cooper, Major Depressive Disorder, Single Episode, Severe</t>
  </si>
  <si>
    <t>https://www.proquest.com/docview/2781669129?accountid=131239&amp;bdid=51804&amp;_bd=RfYKejho3JXHelVk1tRSH0YgCco%3D</t>
  </si>
  <si>
    <t>https://www.proquest.com/docview/2781674656?accountid=131239&amp;bdid=51804&amp;_bd=d4JQ3ZetjpFc%2FeMM0Sz%2FKGsQhWU%3D</t>
  </si>
  <si>
    <t>Nathan, Major Depressive Disorder, Recurrent Episode, Severe, Depression Assessment Version 2 â€“ Diminished Interest, in Nathan, Major Depressive Disorder, Recurrent Episode, Severe</t>
  </si>
  <si>
    <t>https://www.proquest.com/docview/2781674658?accountid=131239&amp;bdid=51804&amp;_bd=LAaXomQChA4lvTqEIU3Y9woUujQ%3D</t>
  </si>
  <si>
    <t>https://www.proquest.com/docview/2781673449?accountid=131239&amp;bdid=51804&amp;_bd=JKgr%2FNXRbi54zr8UZ5tEMmT3O9w%3D</t>
  </si>
  <si>
    <t>https://www.proquest.com/docview/2781675195?accountid=131239&amp;bdid=51804&amp;_bd=Jdlur1myx63sreq5hWFH2rw18vk%3D</t>
  </si>
  <si>
    <t>Mrs. Warren, F22 Delusional Disorder Delusions of Control Type, Part 22, in ICD 10: Mrs. Warren, Schizophrenia Spectrum, Part 22</t>
  </si>
  <si>
    <t>https://www.proquest.com/docview/2781673451?accountid=131239&amp;bdid=51804&amp;_bd=SAy1vgEOhVh55pcvSf7zShrslaE%3D</t>
  </si>
  <si>
    <t>https://www.proquest.com/docview/2781674663?accountid=131239&amp;bdid=51804&amp;_bd=Y5z9z4J8IDU8dHQkYCIzkxW%2FwC0%3D</t>
  </si>
  <si>
    <t>Sam, Core Video: Bipolar I Disorder, Current Episode Manic, Severe, in Sam, (Adolescent) Bipolar I Disorder, Current or Most Recent Episode Manic, Severe</t>
  </si>
  <si>
    <t>https://www.proquest.com/docview/2781674664?accountid=131239&amp;bdid=51804&amp;_bd=cgpGjgFmCFdP7ySyMAKe8bdJErE%3D</t>
  </si>
  <si>
    <t>https://www.proquest.com/docview/2781674665?accountid=131239&amp;bdid=51804&amp;_bd=spm50%2BWe5zokkhvy8zjf%2Bk4F0LE%3D</t>
  </si>
  <si>
    <t>https://www.proquest.com/docview/2781673455?accountid=131239&amp;bdid=51804&amp;_bd=gcmhGvcYqiyS%2F5Nwl2hI2t666Xo%3D</t>
  </si>
  <si>
    <t>https://www.proquest.com/docview/2781674142?accountid=131239&amp;bdid=51804&amp;_bd=x2ULhr9czXv0fhjFyGg3ajn23%2Fc%3D</t>
  </si>
  <si>
    <t>https://www.proquest.com/docview/2781674021?accountid=131239&amp;bdid=51804&amp;_bd=sSA5HKfExy75WEpdn61%2BJlNT1Gk%3D</t>
  </si>
  <si>
    <t>https://www.proquest.com/docview/2781674022?accountid=131239&amp;bdid=51804&amp;_bd=r1IhmOBk%2FX%2BlsGq71fKCos%2Bdb8I%3D</t>
  </si>
  <si>
    <t>https://www.proquest.com/docview/2781673452?accountid=131239&amp;bdid=51804&amp;_bd=H4PtksPmjdUWV%2BHk56kN4gr2dfU%3D</t>
  </si>
  <si>
    <t>https://www.proquest.com/docview/2781674023?accountid=131239&amp;bdid=51804&amp;_bd=ifKwS3J8DHKXOVrGE4OtLDoRlGo%3D</t>
  </si>
  <si>
    <t>Autism Spectrum Disorder, Requiring Substantial Support, Traumatized Presentation with Expert Analysis, in Autism Spectrum Disorder - Subject Expert Analysis Series</t>
  </si>
  <si>
    <t>https://www.proquest.com/docview/2781669138?accountid=131239&amp;bdid=51804&amp;_bd=mbmPE9PQJ%2FXtBSppzZ2iHtR2NWw%3D</t>
  </si>
  <si>
    <t>Nathan, Major Depressive Disorder, Recurrent Episode, Severe, Depression Assessment Version 1, in Nathan, Major Depressive Disorder, Recurrent Episode, Severe</t>
  </si>
  <si>
    <t>https://www.proquest.com/docview/2781673479?accountid=131239&amp;bdid=51804&amp;_bd=3jSU4HtH4oSx4WtnP1Zr%2FxVrAsk%3D</t>
  </si>
  <si>
    <t>https://www.proquest.com/docview/2781674688?accountid=131239&amp;bdid=51804&amp;_bd=DD0wZDMywdVvmxZSjt48YMjiheg%3D</t>
  </si>
  <si>
    <t>https://www.proquest.com/docview/2781675018?accountid=131239&amp;bdid=51804&amp;_bd=TjsYAVZ4x4k%2BfH743anlgnHSYT4%3D</t>
  </si>
  <si>
    <t>https://www.proquest.com/docview/2781674689?accountid=131239&amp;bdid=51804&amp;_bd=dOqH0zOxclQ2IkxH9X1w45kdoec%3D</t>
  </si>
  <si>
    <t>https://www.proquest.com/docview/2781673999?accountid=131239&amp;bdid=51804&amp;_bd=gI20PXimgxcw1vVLebPdwrpT9Ws%3D</t>
  </si>
  <si>
    <t>https://www.proquest.com/docview/2781673915?accountid=131239&amp;bdid=51804&amp;_bd=gJT8Ovo1px89LXXzo7i7dA22xUw%3D</t>
  </si>
  <si>
    <t>Mrs. Warren, Delusional Disorder Unspecified type â€“ Referential, Part 15, in DSM 5: Mrs. Warren, Schizophrenia Spectrum, Episode 15</t>
  </si>
  <si>
    <t>https://www.proquest.com/docview/2781669131?accountid=131239&amp;bdid=51804&amp;_bd=lD1O0INmJsvLUrpI8%2BE8LOfgAJs%3D</t>
  </si>
  <si>
    <t>Arnie, OCD Assessment Version 1, in Assessment: Arnie, Opioid Use Disorder, Mild</t>
  </si>
  <si>
    <t>https://www.proquest.com/docview/2781669132?accountid=131239&amp;bdid=51804&amp;_bd=qwSmxYe%2BdsF0gcK4qivH7CkYTp8%3D</t>
  </si>
  <si>
    <t>Nicole, Opioid Use Disorder, Moderate, Trauma Assessment V1, in Assessment: Nicole, Opioid Use Disorder, Moderate, Doctor Shopping</t>
  </si>
  <si>
    <t>https://www.proquest.com/docview/2781674690?accountid=131239&amp;bdid=51804&amp;_bd=pECuclFTPnW0bpsW5hxiPRFWkPc%3D</t>
  </si>
  <si>
    <t>https://www.proquest.com/docview/2781674575?accountid=131239&amp;bdid=51804&amp;_bd=VqSrbfkL%2BWwauKl4%2FHbtPZoEK7E%3D</t>
  </si>
  <si>
    <t>Sam, (Adolescent) Bipolar I Disorder, Medication Compliance V2 with Poor Insight, in Sam, (Adolescent) Bipolar I Disorder, Current or Most Recent Episode Manic, Severe</t>
  </si>
  <si>
    <t>https://www.proquest.com/docview/2781674214?accountid=131239&amp;bdid=51804&amp;_bd=7aFhUoz%2BBGmBfJnHvdPy8ppC8GA%3D</t>
  </si>
  <si>
    <t>Sam, (Adolescent) Bipolar I Disorder, Substance Use Assessment, in Sam, (Adolescent) Bipolar I Disorder, Current or Most Recent Episode Manic, Severe</t>
  </si>
  <si>
    <t>https://www.proquest.com/docview/2781673884?accountid=131239&amp;bdid=51804&amp;_bd=28i%2FFcpc1CStMb1Ohssl7X%2F2js4%3D</t>
  </si>
  <si>
    <t>https://www.proquest.com/docview/2781674693?accountid=131239&amp;bdid=51804&amp;_bd=cCNvwtywtraMmYfrCUIZDgpGqsU%3D</t>
  </si>
  <si>
    <t>https://www.proquest.com/docview/2781674055?accountid=131239&amp;bdid=51804&amp;_bd=I3M%2Fb368fRWMTdQQyk9mbSnq1Ik%3D</t>
  </si>
  <si>
    <t>https://www.proquest.com/docview/2781673500?accountid=131239&amp;bdid=51804&amp;_bd=jQ6n4%2BuqqYO%2F2XED8OqCUcD29Zg%3D</t>
  </si>
  <si>
    <t>https://www.proquest.com/docview/2781674677?accountid=131239&amp;bdid=51804&amp;_bd=iO4SPkTmPxoBJY2fIZ7rVyHkVfQ%3D</t>
  </si>
  <si>
    <t>Sam, (Adolescent) Bipolar I Disorder, Medication Compliance V3 with Good Insight and Poor Judgment, in Sam, (Adolescent) Bipolar I Disorder, Current or Most Recent Episode Manic, Severe</t>
  </si>
  <si>
    <t>https://www.proquest.com/docview/2781673901?accountid=131239&amp;bdid=51804&amp;_bd=V9DOI88KkvQ90fjivStoaK5tbsk%3D</t>
  </si>
  <si>
    <t>https://www.proquest.com/docview/2781674160?accountid=131239&amp;bdid=51804&amp;_bd=YfbhbTbtwO0U56bp9jDsR6yUbIg%3D</t>
  </si>
  <si>
    <t>https://www.proquest.com/docview/2781674162?accountid=131239&amp;bdid=51804&amp;_bd=DXn24LQ9opHESD3L9LQXNRc2xKg%3D</t>
  </si>
  <si>
    <t>https://www.proquest.com/docview/2781674686?accountid=131239&amp;bdid=51804&amp;_bd=pJ0JIdFnWsUYZXqUtMfINfi0hGA%3D</t>
  </si>
  <si>
    <t>https://www.proquest.com/docview/2781674687?accountid=131239&amp;bdid=51804&amp;_bd=%2BlGtAhSzE6cTeDYbzxPGkK3zepI%3D</t>
  </si>
  <si>
    <t>https://www.proquest.com/docview/2781673993?accountid=131239&amp;bdid=51804&amp;_bd=7TFTglmMd%2F47%2FBljr%2B6DAlnNxqU%3D</t>
  </si>
  <si>
    <t>https://www.proquest.com/docview/2781674045?accountid=131239&amp;bdid=51804&amp;_bd=8o7fqEBEYa2PdcrTQZdA2PpEqGM%3D</t>
  </si>
  <si>
    <t>https://www.proquest.com/docview/2781673936?accountid=131239&amp;bdid=51804&amp;_bd=z7Q5zfcOg3c2DKaF5EopSJde57Q%3D</t>
  </si>
  <si>
    <t>https://www.proquest.com/docview/2781673934?accountid=131239&amp;bdid=51804&amp;_bd=zlGpYtHIxDXv5Ho3SlXqvQ1ZO7w%3D</t>
  </si>
  <si>
    <t>https://www.proquest.com/docview/2781673933?accountid=131239&amp;bdid=51804&amp;_bd=KU6FV96Y%2BPFGqwhlDznYQtkbW0o%3D</t>
  </si>
  <si>
    <t>https://www.proquest.com/docview/2781674192?accountid=131239&amp;bdid=51804&amp;_bd=nGpkYphLSnTFxKdbGYZYeMPuJY4%3D</t>
  </si>
  <si>
    <t>https://www.proquest.com/docview/2781675281?accountid=131239&amp;bdid=51804&amp;_bd=WnrrN5C1KA0cYZQA%2B77p3LFlFjo%3D</t>
  </si>
  <si>
    <t>https://www.proquest.com/docview/2781674072?accountid=131239&amp;bdid=51804&amp;_bd=evINQwx4QOTCVl2MQbF3SLUPURE%3D</t>
  </si>
  <si>
    <t>Mrs. Warren, F22 Delusional Disorder Unspecified type â€“ Referential, Part 15, in ICD 10: Mrs. Warren, Schizophrenia Spectrum, Part 15</t>
  </si>
  <si>
    <t>https://www.proquest.com/docview/2781674074?accountid=131239&amp;bdid=51804&amp;_bd=Vqg4%2BwZw%2F2%2F3NM0PI9rmu7SeQMY%3D</t>
  </si>
  <si>
    <t>https://www.proquest.com/docview/2781674070?accountid=131239&amp;bdid=51804&amp;_bd=jts%2BAbAvt9Bj%2B%2BLa8V6wyT9mrVY%3D</t>
  </si>
  <si>
    <t>https://www.proquest.com/docview/2781675308?accountid=131239&amp;bdid=51804&amp;_bd=nKXjH%2BM0ur6sVoClSYN2UN9qjq0%3D</t>
  </si>
  <si>
    <t>https://www.proquest.com/docview/2781674617?accountid=131239&amp;bdid=51804&amp;_bd=VH9QOHqjdN5UWIIHwyFyt9KSApI%3D</t>
  </si>
  <si>
    <t>Sam, (Adolescent) Bipolar I Disorder, Mood, Medication Compliance, and Substance Use Assessment, in Sam, (Adolescent) Bipolar I Disorder, Current or Most Recent Episode Manic, Severe</t>
  </si>
  <si>
    <t>https://www.proquest.com/docview/2781673529?accountid=131239&amp;bdid=51804&amp;_bd=ML6UkVAAZQdOV4r9Mj4JZBv2qic%3D</t>
  </si>
  <si>
    <t>Nicole, Core Video: Bipolar I Disorder, Current Episode Depressed, Severe, with Mood-Congruent Psychotic Features, in Nicole, Bipolar I Disorder, Current or Most Recent Episode Depressed, Severe</t>
  </si>
  <si>
    <t>https://www.proquest.com/docview/2781674215?accountid=131239&amp;bdid=51804&amp;_bd=pSXQg6P5rnkGB8kOU7Nf6n6vRyQ%3D</t>
  </si>
  <si>
    <t>https://www.proquest.com/docview/2781675426?accountid=131239&amp;bdid=51804&amp;_bd=6DDNAkWN2jgRSSKF2NTYLVtDt%2FI%3D</t>
  </si>
  <si>
    <t>https://www.proquest.com/docview/2781674216?accountid=131239&amp;bdid=51804&amp;_bd=dpLs9LpLEwIzwoWUvL8NG%2FY8dv8%3D</t>
  </si>
  <si>
    <t>https://www.proquest.com/docview/2781675428?accountid=131239&amp;bdid=51804&amp;_bd=ql1djMxXpfSabW61JnHs70gRBc0%3D</t>
  </si>
  <si>
    <t>https://www.proquest.com/docview/2781674068?accountid=131239&amp;bdid=51804&amp;_bd=SVP4FSkqRXjCsBX%2B0vI6%2BPdJQdk%3D</t>
  </si>
  <si>
    <t>Nathan, Major Depressive Disorder, Recurrent Episode, Severe, Depression Assessment Version 2 â€“ Appetite and Sleep, in Nathan, Major Depressive Disorder, Recurrent Episode, Severe</t>
  </si>
  <si>
    <t>https://www.proquest.com/docview/2781674220?accountid=131239&amp;bdid=51804&amp;_bd=1pLK7DiXE0eTGGt35ldHUv0VEFA%3D</t>
  </si>
  <si>
    <t>https://www.proquest.com/docview/2781673893?accountid=131239&amp;bdid=51804&amp;_bd=m7Kz0mdfZWIgk7PfH%2FUNML1dgnQ%3D</t>
  </si>
  <si>
    <t>https://www.proquest.com/docview/2781674066?accountid=131239&amp;bdid=51804&amp;_bd=QzrQ8XFxdDcRTJrdOxa7eAOkIR0%3D</t>
  </si>
  <si>
    <t>Nathan, Core Video: Major Depressive Disorder, Recurrent Episode, Severe, in Nathan, Major Depressive Disorder, Recurrent Episode, Severe</t>
  </si>
  <si>
    <t>https://www.proquest.com/docview/2781675398?accountid=131239&amp;bdid=51804&amp;_bd=dxhBZzHwYsHwhoge4KWw7VJFGP8%3D</t>
  </si>
  <si>
    <t>https://www.proquest.com/docview/2781674067?accountid=131239&amp;bdid=51804&amp;_bd=ODxkeNxkR36Z609tILtYrdFHcCw%3D</t>
  </si>
  <si>
    <t>https://www.proquest.com/docview/2781674648?accountid=131239&amp;bdid=51804&amp;_bd=sVXEXf4W6i8dfGBZpUT2V%2BbTZUY%3D</t>
  </si>
  <si>
    <t>https://www.proquest.com/docview/2781674649?accountid=131239&amp;bdid=51804&amp;_bd=jG64xZIwJNam4GkpZu%2FDzHu16wM%3D</t>
  </si>
  <si>
    <t>https://www.proquest.com/docview/2781673798?accountid=131239&amp;bdid=51804&amp;_bd=VxReVlyFIUUBFMYRmq%2FWh%2Bnnu98%3D</t>
  </si>
  <si>
    <t>https://www.proquest.com/docview/2781673159?accountid=131239&amp;bdid=51804&amp;_bd=%2Fhtk4RX2SJbZOQ6PBSLpwSWtI3s%3D</t>
  </si>
  <si>
    <t>https://www.proquest.com/docview/2781674644?accountid=131239&amp;bdid=51804&amp;_bd=99IaKq8xZcPWKnNQghngRXiIBtk%3D</t>
  </si>
  <si>
    <t>https://www.proquest.com/docview/2781674645?accountid=131239&amp;bdid=51804&amp;_bd=w7lYUNsTZIYd5OJGNN%2FUI2DEOfw%3D</t>
  </si>
  <si>
    <t>Sam, (Adolescent) Bipolar I Disorder, Medication Compliance V1 with Poor Insight, in Sam, (Adolescent) Bipolar I Disorder, Current or Most Recent Episode Manic, Severe</t>
  </si>
  <si>
    <t>https://www.proquest.com/docview/2781674646?accountid=131239&amp;bdid=51804&amp;_bd=n0QLvDBl96CV92U3GmlPYzHkzN0%3D</t>
  </si>
  <si>
    <t>https://www.proquest.com/docview/2781673161?accountid=131239&amp;bdid=51804&amp;_bd=z5oWiQEIRGolRHGgV4zPNhxSAD0%3D</t>
  </si>
  <si>
    <t>https://www.proquest.com/docview/2781673165?accountid=131239&amp;bdid=51804&amp;_bd=6MyPxWZvJLVqbF0UDTRGgCDc4hs%3D</t>
  </si>
  <si>
    <t>Nicole, Opioid Use Disorder, Moderate, DAST, in Assessment: Nicole, Opioid Use Disorder, Moderate, Doctor Shopping</t>
  </si>
  <si>
    <t>https://www.proquest.com/docview/2781674651?accountid=131239&amp;bdid=51804&amp;_bd=7%2Bk3MU5%2FK6AlB7X58lRQeAOuy6I%3D</t>
  </si>
  <si>
    <t>https://www.proquest.com/docview/2781674013?accountid=131239&amp;bdid=51804&amp;_bd=hY4XL9WaUvyYzLRBcRBIgZfsUZg%3D</t>
  </si>
  <si>
    <t>https://www.proquest.com/docview/2781673163?accountid=131239&amp;bdid=51804&amp;_bd=Gi9bkbe16Tzo2KNFWvup6sNZJmk%3D</t>
  </si>
  <si>
    <t>https://www.proquest.com/docview/2781673949?accountid=131239&amp;bdid=51804&amp;_bd=72xlm7qJboL7IIfL3%2FBdSOkpQn0%3D</t>
  </si>
  <si>
    <t>https://www.proquest.com/docview/2781673948?accountid=131239&amp;bdid=51804&amp;_bd=uqpnqics8zc8AyhvadkIFf5lGtA%3D</t>
  </si>
  <si>
    <t>Nicole, Alcohol Use Assessment, in Nicole, Bipolar I Disorder, Current or Most Recent Episode Depressed, Severe</t>
  </si>
  <si>
    <t>https://www.proquest.com/docview/2781675171?accountid=131239&amp;bdid=51804&amp;_bd=AHttiqPRvViCWgyOg%2BmBLbuK5TQ%3D</t>
  </si>
  <si>
    <t>Nathan, Major Depressive Disorder, Recurrent Episode, Severe, Depression Assessment Version 2 - Depressed Mood and Excessive Guilt, in Nathan, Major Depressive Disorder, Recurrent Episode, Severe</t>
  </si>
  <si>
    <t>https://www.proquest.com/docview/2781674084?accountid=131239&amp;bdid=51804&amp;_bd=ZKfUxg3fbNgUQheEwy2pI7%2FLY9g%3D</t>
  </si>
  <si>
    <t>https://www.proquest.com/docview/2781673150?accountid=131239&amp;bdid=51804&amp;_bd=Z0IsUNAdIDavjObmcff8OoDjvhY%3D</t>
  </si>
  <si>
    <t>Nicole, Opioid Use Disorder, Moderate, Opiate Withdrawal Assessment, in Assessment: Nicole, Opioid Use Disorder, Moderate, Doctor Shopping</t>
  </si>
  <si>
    <t>https://www.proquest.com/docview/2781674080?accountid=131239&amp;bdid=51804&amp;_bd=oe7UbWXZEJt%2Fz4RwDpQ4aGKZkwk%3D</t>
  </si>
  <si>
    <t>https://www.proquest.com/docview/2781674081?accountid=131239&amp;bdid=51804&amp;_bd=%2BfnggtQqqAyWMI7LkUutF2iLe3Q%3D</t>
  </si>
  <si>
    <t>https://www.proquest.com/docview/2781675212?accountid=131239&amp;bdid=51804&amp;_bd=PIAar%2F2VQN6VfM3VHKSKzFypdws%3D</t>
  </si>
  <si>
    <t>https://www.proquest.com/docview/2781674005?accountid=131239&amp;bdid=51804&amp;_bd=3ZI8teyTtfH0wjLOHfHwEIy%2B2LI%3D</t>
  </si>
  <si>
    <t>https://www.proquest.com/docview/2781674643?accountid=131239&amp;bdid=51804&amp;_bd=kyu%2FkMmZmegklCLMgEYDTl4JsKc%3D</t>
  </si>
  <si>
    <t>https://www.proquest.com/docview/2781673950?accountid=131239&amp;bdid=51804&amp;_bd=KUPeRhiq0m0byqePWtAToXn1PZ8%3D</t>
  </si>
  <si>
    <t>https://www.proquest.com/docview/2781673795?accountid=131239&amp;bdid=51804&amp;_bd=B9NVWOUkXQ30PxogHnShF0EUvuQ%3D</t>
  </si>
  <si>
    <t>https://www.proquest.com/docview/2781673155?accountid=131239&amp;bdid=51804&amp;_bd=L77kVqaTtbv%2FC7I1Czy55Er5%2Bww%3D</t>
  </si>
  <si>
    <t>https://www.proquest.com/docview/2781669115?accountid=131239&amp;bdid=51804&amp;_bd=%2BIWDIwbPv%2Fqjb3azwr4p815nZ3o%3D</t>
  </si>
  <si>
    <t>https://www.proquest.com/docview/2781668940?accountid=131239&amp;bdid=51804&amp;_bd=Spbjek0j9MNTQGKS43nxOg1TDBU%3D</t>
  </si>
  <si>
    <t>https://www.proquest.com/docview/2781669117?accountid=131239&amp;bdid=51804&amp;_bd=k7TLo0rHVtJD3uQRCeEUKynop5U%3D</t>
  </si>
  <si>
    <t>https://www.proquest.com/docview/2781668941?accountid=131239&amp;bdid=51804&amp;_bd=7QequiejnesBINH4KBh5tzodIKs%3D</t>
  </si>
  <si>
    <t>https://www.proquest.com/docview/2781669118?accountid=131239&amp;bdid=51804&amp;_bd=D7JVsVkNTdjpsmu7PKuHgCIQzOk%3D</t>
  </si>
  <si>
    <t>https://www.proquest.com/docview/2781668942?accountid=131239&amp;bdid=51804&amp;_bd=P4WF8jvlCO0zBFrK7%2BopstsueGk%3D</t>
  </si>
  <si>
    <t>https://www.proquest.com/docview/2781668943?accountid=131239&amp;bdid=51804&amp;_bd=rvq%2BgBNpb0fg9foCOkOHLVepDlY%3D</t>
  </si>
  <si>
    <t>https://www.proquest.com/docview/2781668945?accountid=131239&amp;bdid=51804&amp;_bd=%2FgwpB6y5JadUgDGw1ffDJVAQ0GM%3D</t>
  </si>
  <si>
    <t>https://www.proquest.com/docview/2781669074?accountid=131239&amp;bdid=51804&amp;_bd=nP40CrJWLuHlBu7YOwbFg2gfpKM%3D</t>
  </si>
  <si>
    <t>https://www.proquest.com/docview/2781669076?accountid=131239&amp;bdid=51804&amp;_bd=WuQJsfn%2FuaRNMP9yZ64bfif5p6U%3D</t>
  </si>
  <si>
    <t>Criteria Not Met for Autism Spectrum Disorder, in Autism Spectrum Disorder Series</t>
  </si>
  <si>
    <t>https://www.proquest.com/docview/2781669077?accountid=131239&amp;bdid=51804&amp;_bd=PW7YtGYusqwRaYu4mt6Ui%2FyrZCg%3D</t>
  </si>
  <si>
    <t>Cooper, Major Depressive Disorder, Single Episode, Severe, Depression Assessment â€“ Impaired Relationships, in Cooper, Major Depressive Disorder, Single Episode, Severe</t>
  </si>
  <si>
    <t>https://www.proquest.com/docview/2781669070?accountid=131239&amp;bdid=51804&amp;_bd=mHbHCQD6rtc4XmmES5Xd%2FRq2020%3D</t>
  </si>
  <si>
    <t>https://www.proquest.com/docview/2781669071?accountid=131239&amp;bdid=51804&amp;_bd=HjmyDGNQfx4IlNF6zAkfumnBV7w%3D</t>
  </si>
  <si>
    <t>https://www.proquest.com/docview/2781669072?accountid=131239&amp;bdid=51804&amp;_bd=WFnrrHbSu0zvlhoLqXv%2Fc6YEVuU%3D</t>
  </si>
  <si>
    <t>Autism Spectrum Disorder, Requiring Substantial Support, Core Video, in Autism Spectrum Disorder Series</t>
  </si>
  <si>
    <t>https://www.proquest.com/docview/2781669004?accountid=131239&amp;bdid=51804&amp;_bd=BQvKB9czXR6Lb%2FCs57l1JOdjzIY%3D</t>
  </si>
  <si>
    <t>https://www.proquest.com/docview/2781668951?accountid=131239&amp;bdid=51804&amp;_bd=%2BcX2IMPUiAK39E%2FcXopx7aot4NE%3D</t>
  </si>
  <si>
    <t>Autism Spectrum Disorder, Requiring Substantial Support, Traumatized Presentation, in Autism Spectrum Disorder Series</t>
  </si>
  <si>
    <t>https://www.proquest.com/docview/2781668953?accountid=131239&amp;bdid=51804&amp;_bd=apg8ecGCY2w1jmD0O65%2Bj4XY%2FCQ%3D</t>
  </si>
  <si>
    <t>Arnie, Opioid Use Disorder, Mild, DAST, in Assessment: Arnie, Opioid Use Disorder, Mild</t>
  </si>
  <si>
    <t>https://www.proquest.com/docview/2781668956?accountid=131239&amp;bdid=51804&amp;_bd=HzsvlH%2B%2FAexDlGpuV6G5F85kLiQ%3D</t>
  </si>
  <si>
    <t>Mr. Smith, F22 Delusional Disorder Unspecified type â€“ Referential, Part 15, in Mr. Smith, Delusional Disorder, Part 15</t>
  </si>
  <si>
    <t>https://www.proquest.com/docview/2781669087?accountid=131239&amp;bdid=51804&amp;_bd=s2mfUFmrjdXgVqlRd3q4cA9kLi8%3D</t>
  </si>
  <si>
    <t>https://www.proquest.com/docview/2781669000?accountid=131239&amp;bdid=51804&amp;_bd=rW5YT%2F0CyI8pK4lvjuiHSdxV%2FxI%3D</t>
  </si>
  <si>
    <t>Jennifer, Generalized Anxiety Disorder, Personal History Assessment Version 1, in Jennifer, Generalized Anxiety Disorder, Video 1</t>
  </si>
  <si>
    <t>https://www.proquest.com/docview/2781669122?accountid=131239&amp;bdid=51804&amp;_bd=1DP4jAR10kURfQYSaVFG3P5swFY%3D</t>
  </si>
  <si>
    <t>https://www.proquest.com/docview/2781669089?accountid=131239&amp;bdid=51804&amp;_bd=cDBk8owQAfrcIyFjz4vjc1Ys0i4%3D</t>
  </si>
  <si>
    <t>https://www.proquest.com/docview/2781669123?accountid=131239&amp;bdid=51804&amp;_bd=lqukq6O%2BX3RCXPrb38P42jap4D4%3D</t>
  </si>
  <si>
    <t>https://www.proquest.com/docview/2781669124?accountid=131239&amp;bdid=51804&amp;_bd=T2Ma5rcFg%2FuoHT87%2BwNhRv199e8%3D</t>
  </si>
  <si>
    <t>https://www.proquest.com/docview/2781669081?accountid=131239&amp;bdid=51804&amp;_bd=F3iZYY3pzPsN1O6rNYVZMfM0zMY%3D</t>
  </si>
  <si>
    <t>https://www.proquest.com/docview/2781669082?accountid=131239&amp;bdid=51804&amp;_bd=dV36vPJhB1elASyNj6BlGzwZURs%3D</t>
  </si>
  <si>
    <t>Gil, Core Video: Bipolar I Disorder, Current Episode Manic, Severe, with Mood-Congruent Psychotic Features, Part 4, in ICD 10: Gil, Bipolar I Disorder, Current or Most Recent Episode Hypomanic, Part 4</t>
  </si>
  <si>
    <t>https://www.proquest.com/docview/2781668947?accountid=131239&amp;bdid=51804&amp;_bd=Q77iNVlPMGT35jzxn968XZKtsH4%3D</t>
  </si>
  <si>
    <t>https://www.proquest.com/docview/2781668960?accountid=131239&amp;bdid=51804&amp;_bd=4eclCuALu5D7z%2B06nSGpJ%2F8aBl0%3D</t>
  </si>
  <si>
    <t>https://www.proquest.com/docview/2781669015?accountid=131239&amp;bdid=51804&amp;_bd=T68lY7ndpvy3c7HNY%2Fe5QMeq5hw%3D</t>
  </si>
  <si>
    <t>https://www.proquest.com/docview/2781669016?accountid=131239&amp;bdid=51804&amp;_bd=XFPdKwjAdmdPf5fE%2BF6z0l7nvNE%3D</t>
  </si>
  <si>
    <t>Mr. Smith, Delusional Disorder Unspecified type â€“ Delusions of Control, Part 22, in Mr. Smith, Delusional Disorder, Part 22</t>
  </si>
  <si>
    <t>https://www.proquest.com/docview/2781668961?accountid=131239&amp;bdid=51804&amp;_bd=wcgfNzEsAkVwqum3bsyUokMUusA%3D</t>
  </si>
  <si>
    <t>https://www.proquest.com/docview/2781669017?accountid=131239&amp;bdid=51804&amp;_bd=qKH7f8q8XMALCL21bC6Tq%2B5AxGQ%3D</t>
  </si>
  <si>
    <t>https://www.proquest.com/docview/2781669096?accountid=131239&amp;bdid=51804&amp;_bd=apICph3bf1bXcisACECL7shEUg0%3D</t>
  </si>
  <si>
    <t>https://www.proquest.com/docview/2781669097?accountid=131239&amp;bdid=51804&amp;_bd=PlHfDdlzZVw7mEd4x8oWllGdLoc%3D</t>
  </si>
  <si>
    <t>https://www.proquest.com/docview/2781669012?accountid=131239&amp;bdid=51804&amp;_bd=ciiUIKpAgeObWn1311j8y5PxRjg%3D</t>
  </si>
  <si>
    <t>https://www.proquest.com/docview/2781669013?accountid=131239&amp;bdid=51804&amp;_bd=E55cZO%2FI9heKDhwDfzJnOuxV90s%3D</t>
  </si>
  <si>
    <t>https://www.proquest.com/docview/2781669014?accountid=131239&amp;bdid=51804&amp;_bd=jEHrdwDR9mEkYdwX0LmaMeluBrg%3D</t>
  </si>
  <si>
    <t>https://www.proquest.com/docview/2781669091?accountid=131239&amp;bdid=51804&amp;_bd=eGo3jqIkEAJfb%2FL8ATKNX851JYI%3D</t>
  </si>
  <si>
    <t>Mr. Smith, F22 Delusional Disorder Unspecified type â€“ Delusions of Control, Part 22, in Mr. Smith, Delusional Disorder, Part 22</t>
  </si>
  <si>
    <t>https://www.proquest.com/docview/2781669092?accountid=131239&amp;bdid=51804&amp;_bd=m2WMknOrwamFTTdlB2cu4J9sx5c%3D</t>
  </si>
  <si>
    <t>https://www.proquest.com/docview/2781668971?accountid=131239&amp;bdid=51804&amp;_bd=7cDyLVc%2FuBuk2J4MRLstth0%2F9iY%3D</t>
  </si>
  <si>
    <t>https://www.proquest.com/docview/2781669026?accountid=131239&amp;bdid=51804&amp;_bd=JP2AT7nz0dqMBWHX6XXC3Rmu6Do%3D</t>
  </si>
  <si>
    <t>https://www.proquest.com/docview/2781668972?accountid=131239&amp;bdid=51804&amp;_bd=2%2FjZE2vi0kH9YTUlT9kL61%2Fcha8%3D</t>
  </si>
  <si>
    <t>https://www.proquest.com/docview/2781669027?accountid=131239&amp;bdid=51804&amp;_bd=wgdTtOffUUkzJQ0MU9VfWkidavg%3D</t>
  </si>
  <si>
    <t>https://www.proquest.com/docview/2781668973?accountid=131239&amp;bdid=51804&amp;_bd=3xt%2Bp0gdTio93dGavGVxzfRqeNs%3D</t>
  </si>
  <si>
    <t>https://www.proquest.com/docview/2781669028?accountid=131239&amp;bdid=51804&amp;_bd=pJl%2B%2BEADiEU1tXDhzUr4FhD67Ug%3D</t>
  </si>
  <si>
    <t>https://www.proquest.com/docview/2781669029?accountid=131239&amp;bdid=51804&amp;_bd=DsxGG5wS85POthzjP%2F9oRwc000k%3D</t>
  </si>
  <si>
    <t>https://www.proquest.com/docview/2781668970?accountid=131239&amp;bdid=51804&amp;_bd=fz1oqbs5Ccg3VW2ot7RCc88vVgc%3D</t>
  </si>
  <si>
    <t>Mrs. Collins, AUDIT, in Assessment: Mrs. Collins, Sedative, Hypnotic, Anxiolytic Use Disorder, Mild</t>
  </si>
  <si>
    <t>https://www.proquest.com/docview/2781668969?accountid=131239&amp;bdid=51804&amp;_bd=kS61%2Bp7fVv%2BOHXlWhncVGe5IGTA%3D</t>
  </si>
  <si>
    <t>https://www.proquest.com/docview/2781669037?accountid=131239&amp;bdid=51804&amp;_bd=nD0RXALXoEOOpmmA1Pf3XMvjgh0%3D</t>
  </si>
  <si>
    <t>https://www.proquest.com/docview/2781669038?accountid=131239&amp;bdid=51804&amp;_bd=GxbtSLTXyqUy3z%2F4DgqRWxIhr5s%3D</t>
  </si>
  <si>
    <t>https://www.proquest.com/docview/2781668983?accountid=131239&amp;bdid=51804&amp;_bd=BjsaEk3VMEiTRYX2x2PGIL3w0cY%3D</t>
  </si>
  <si>
    <t>https://www.proquest.com/docview/2781669039?accountid=131239&amp;bdid=51804&amp;_bd=ZT9jceKDfuWL5DqI5bTKZkDY3p8%3D</t>
  </si>
  <si>
    <t>Arnie, OCD Assessment Version 2, in Assessment: Arnie, Opioid Use Disorder, Mild</t>
  </si>
  <si>
    <t>https://www.proquest.com/docview/2781668985?accountid=131239&amp;bdid=51804&amp;_bd=pr6Aa9V%2F03ZLZpwuKgYQSGjoeWU%3D</t>
  </si>
  <si>
    <t>Cooper, Major Depressive Disorder, Single Episode, Severe, Depression Assessment â€“ Sleep Difficulties, in Cooper, Major Depressive Disorder, Single Episode, Severe</t>
  </si>
  <si>
    <t>https://www.proquest.com/docview/2781668986?accountid=131239&amp;bdid=51804&amp;_bd=MSCTezNOFRZ1NMQqnrPvAajKOL0%3D</t>
  </si>
  <si>
    <t>https://www.proquest.com/docview/2781668989?accountid=131239&amp;bdid=51804&amp;_bd=UWftJJSSYlLxlsJI9ynsBdH5bvQ%3D</t>
  </si>
  <si>
    <t>https://www.proquest.com/docview/2781669030?accountid=131239&amp;bdid=51804&amp;_bd=vP%2BdZYvDin16wWGhZOadDt37Pzk%3D</t>
  </si>
  <si>
    <t>https://www.proquest.com/docview/2781669031?accountid=131239&amp;bdid=51804&amp;_bd=LaYtgQB%2Fu3S1xDKe0ZLNOx%2B2lQM%3D</t>
  </si>
  <si>
    <t>https://www.proquest.com/docview/2781669032?accountid=131239&amp;bdid=51804&amp;_bd=vEt7jLYRyxPGgjujvfjATKI5O5s%3D</t>
  </si>
  <si>
    <t>https://www.proquest.com/docview/2781669033?accountid=131239&amp;bdid=51804&amp;_bd=k9jiSz513IhRLNn9dtAxjSZEYTI%3D</t>
  </si>
  <si>
    <t>Greg, Substance Use Assessment Version 2, in Assessment: Greg, Cannabis Use Disorder</t>
  </si>
  <si>
    <t>https://www.proquest.com/docview/2781669034?accountid=131239&amp;bdid=51804&amp;_bd=D%2Bt7MzKEvaB62da6SkfGKshaWxc%3D</t>
  </si>
  <si>
    <t>https://www.proquest.com/docview/2781669035?accountid=131239&amp;bdid=51804&amp;_bd=rRh4l4hZnDsZSBlC2EV1uMM0UYU%3D</t>
  </si>
  <si>
    <t>Gil, Core Video: Bipolar I Disorder, Current Episode Manic, Severe, with Mood-Congruent Psychotic Features, Part 2, in ICD 10: Gil, Bipolar I Disorder, Current or Most Recent Episode Hypomanic, Part 2</t>
  </si>
  <si>
    <t>https://www.proquest.com/docview/2781668993?accountid=131239&amp;bdid=51804&amp;_bd=TEDo1GBpjUJTGO3CT%2FLqqWmFGU4%3D</t>
  </si>
  <si>
    <t>https://www.proquest.com/docview/2781668994?accountid=131239&amp;bdid=51804&amp;_bd=EFjc5GUd%2Byd2XzHSlAAL%2FroGfsM%3D</t>
  </si>
  <si>
    <t>https://www.proquest.com/docview/2781668995?accountid=131239&amp;bdid=51804&amp;_bd=4WHZ9hYur0k0w1jGHNTSF2rsgu8%3D</t>
  </si>
  <si>
    <t>https://www.proquest.com/docview/2781668996?accountid=131239&amp;bdid=51804&amp;_bd=hdqhyN3GMVMZajaOg0UZqEihf7A%3D</t>
  </si>
  <si>
    <t>https://www.proquest.com/docview/2781668997?accountid=131239&amp;bdid=51804&amp;_bd=KuCs3Ibs%2FnoWSazLjJM7odKJMqM%3D</t>
  </si>
  <si>
    <t>https://www.proquest.com/docview/2781668998?accountid=131239&amp;bdid=51804&amp;_bd=cWHWPFfGpUwYQ7J13h8KEryQSuk%3D</t>
  </si>
  <si>
    <t>Amy, N94.30 Premenstrual Dysphoric Disorder, in ICD 10: Amy, Premenstrual Depressive Disorder</t>
  </si>
  <si>
    <t>https://www.proquest.com/docview/2781669040?accountid=131239&amp;bdid=51804&amp;_bd=2rnreM%2BaTpoLj%2BZtZJzBHa0v45c%3D</t>
  </si>
  <si>
    <t>Gil, Core Video: Bipolar I Disorder, Current Episode Manic, Severe, with Mood-Congruent Psychotic Features, Part 4, in DSM 5: Gil, Bipolar I Disorder, Current or Most Recent Episode Hypomanic, Part 4</t>
  </si>
  <si>
    <t>https://www.proquest.com/docview/2781669041?accountid=131239&amp;bdid=51804&amp;_bd=pfHSgDGylVxTOkDjdSn8AiQbiMY%3D</t>
  </si>
  <si>
    <t>https://www.proquest.com/docview/2781669042?accountid=131239&amp;bdid=51804&amp;_bd=b2w8QYIr1CSV604fvTO0UCHKTqQ%3D</t>
  </si>
  <si>
    <t>https://www.proquest.com/docview/2781669043?accountid=131239&amp;bdid=51804&amp;_bd=XHRFCM%2Fgx5eMEPdMf5vJAyrdCuQ%3D</t>
  </si>
  <si>
    <t>Autism Spectrum Disorder, Requiring Very Substantial Support, in Autism Spectrum Disorder Series</t>
  </si>
  <si>
    <t>https://www.proquest.com/docview/2781669044?accountid=131239&amp;bdid=51804&amp;_bd=EyCHRR0Qdlgx7rFW5Xy7KZcILjQ%3D</t>
  </si>
  <si>
    <t>https://www.proquest.com/docview/2781669045?accountid=131239&amp;bdid=51804&amp;_bd=sI63p0tGM%2FcuV9tT%2BV6RCeMD25Y%3D</t>
  </si>
  <si>
    <t>Mrs. Collins, Alcohol Use Assessment, in Assessment: Mrs. Collins, Sedative, Hypnotic, Anxiolytic Use Disorder, Mild</t>
  </si>
  <si>
    <t>https://www.proquest.com/docview/2781668990?accountid=131239&amp;bdid=51804&amp;_bd=PXwb%2FKh9ItZ5wHP8HeHRVCaE8Gg%3D</t>
  </si>
  <si>
    <t>https://www.proquest.com/docview/2781668991?accountid=131239&amp;bdid=51804&amp;_bd=ccJrS3P2xZmxdcIKpAqUYBrC1sM%3D</t>
  </si>
  <si>
    <t>Mr. Smith, Delusional Disorder Unspecified type â€“ Referential, Part 15, in Mr. Smith, Delusional Disorder, Part 15</t>
  </si>
  <si>
    <t>https://www.proquest.com/docview/2781669046?accountid=131239&amp;bdid=51804&amp;_bd=eLMGQmDAS%2BNDOStaPAzVxNlUXXE%3D</t>
  </si>
  <si>
    <t>https://www.proquest.com/docview/2781668992?accountid=131239&amp;bdid=51804&amp;_bd=91%2BmFvolnmNSStzzhi7Hz5tAPUo%3D</t>
  </si>
  <si>
    <t>https://www.proquest.com/docview/2781669059?accountid=131239&amp;bdid=51804&amp;_bd=LF76%2FIS8lXajrUB9AMxZzVvpcLU%3D</t>
  </si>
  <si>
    <t>Greg, AUDIT, in Assessment: Greg, Cannabis Use Disorder</t>
  </si>
  <si>
    <t>https://www.proquest.com/docview/2781669052?accountid=131239&amp;bdid=51804&amp;_bd=krMw7P%2Foo98HQjIo7Ss8Uu5llac%3D</t>
  </si>
  <si>
    <t>https://www.proquest.com/docview/2781669053?accountid=131239&amp;bdid=51804&amp;_bd=JeBUziAaMh%2Fj0wps%2FRoos1X1ogY%3D</t>
  </si>
  <si>
    <t>https://www.proquest.com/docview/2781669054?accountid=131239&amp;bdid=51804&amp;_bd=dmV4UKArAhNXdmZ2kYxT40CfNGY%3D</t>
  </si>
  <si>
    <t>https://www.proquest.com/docview/2781669055?accountid=131239&amp;bdid=51804&amp;_bd=S2TAK%2FpT5MHnUTFQXcPfX0%2BnkhY%3D</t>
  </si>
  <si>
    <t>Mrs. Warren, Delusional Disorder Unspecified type â€“ Delusions of Control, Part 22, in DSM 5: Mrs. Warren, Schizophrenia Spectrum, Episode 22</t>
  </si>
  <si>
    <t>https://www.proquest.com/docview/2781669056?accountid=131239&amp;bdid=51804&amp;_bd=QYIWffVNhwi3r4frzz0F4tNPT7E%3D</t>
  </si>
  <si>
    <t>https://www.proquest.com/docview/2781669057?accountid=131239&amp;bdid=51804&amp;_bd=3zTx0MB2wD8xr%2FByQKoBlOnOULk%3D</t>
  </si>
  <si>
    <t>Other Specified Trauma- and Stressor-Related Disorder (Grief), in DSM 5 Case Scenarios Series: Additional Films</t>
  </si>
  <si>
    <t>https://www.proquest.com/docview/2781669058?accountid=131239&amp;bdid=51804&amp;_bd=rdLqJg3yPxAAkZbwsJZ9R%2FUImQU%3D</t>
  </si>
  <si>
    <t>https://www.proquest.com/docview/2781669103?accountid=131239&amp;bdid=51804&amp;_bd=ab5NfIfadd3%2BsiGRnCkWoNmSloE%3D</t>
  </si>
  <si>
    <t>https://www.proquest.com/docview/2781669104?accountid=131239&amp;bdid=51804&amp;_bd=KxowwITnX1yriwikQjL%2FLYFheSM%3D</t>
  </si>
  <si>
    <t>https://www.proquest.com/docview/2781669105?accountid=131239&amp;bdid=51804&amp;_bd=YVNoGPt2kBfceDwnehzd2ARYocc%3D</t>
  </si>
  <si>
    <t>https://www.proquest.com/docview/2781669106?accountid=131239&amp;bdid=51804&amp;_bd=vMKSrFYBzcAF9c7tjbtwbe%2Bnt2Y%3D</t>
  </si>
  <si>
    <t>https://www.proquest.com/docview/2781669107?accountid=131239&amp;bdid=51804&amp;_bd=YxxY5lUUqJz8%2BLiO63xicj3Im34%3D</t>
  </si>
  <si>
    <t>https://www.proquest.com/docview/2781669108?accountid=131239&amp;bdid=51804&amp;_bd=VZ9G3Cky%2FUz2MAgX%2ByfjkHEzpEE%3D</t>
  </si>
  <si>
    <t>Arnie, Alcohol Use Assessment, in Assessment: Arnie, Opioid Use Disorder, Mild</t>
  </si>
  <si>
    <t>https://www.proquest.com/docview/2781669109?accountid=131239&amp;bdid=51804&amp;_bd=DUN5hWEmkopqD5fP5gqkaV5rdvw%3D</t>
  </si>
  <si>
    <t>Autism Spectrum Disorder, Requiring Support with Expert Analysis, in Autism Spectrum Disorder - Subject Expert Analysis Series</t>
  </si>
  <si>
    <t>https://www.proquest.com/docview/2781669063?accountid=131239&amp;bdid=51804&amp;_bd=aUFNR78r3wnTU421RODEvt14U14%3D</t>
  </si>
  <si>
    <t>https://www.proquest.com/docview/2781669065?accountid=131239&amp;bdid=51804&amp;_bd=taoDCcSHmwua%2FGcUWFcVUr5tQ4M%3D</t>
  </si>
  <si>
    <t>Gil, Core Video: Bipolar I Disorder, Current Episode Manic, Severe, with Mood-Congruent Psychotic Features, Part 3, in ICD 10: Gil, Bipolar I Disorder, Current or Most Recent Episode Hypomanic, Part 3</t>
  </si>
  <si>
    <t>https://www.proquest.com/docview/2781669066?accountid=131239&amp;bdid=51804&amp;_bd=LJu76MIkv%2B6uRIwE760NoQVzGVs%3D</t>
  </si>
  <si>
    <t>https://www.proquest.com/docview/2781669067?accountid=131239&amp;bdid=51804&amp;_bd=SvhFdJu9WWGoESVuy7fXSBGrVDo%3D</t>
  </si>
  <si>
    <t>https://www.proquest.com/docview/2781669068?accountid=131239&amp;bdid=51804&amp;_bd=rAIYMu%2BOKKa%2BrPnxz52EZrrcA0I%3D</t>
  </si>
  <si>
    <t>Arnie, Opioid Use Disorder, Mild, Anxiety Assessment Version 1, in Assessment: Arnie, Opioid Use Disorder, Mild</t>
  </si>
  <si>
    <t>https://www.proquest.com/docview/2781669069?accountid=131239&amp;bdid=51804&amp;_bd=nQO7Jb8U2AD130zbzQx2Lhs8B9w%3D</t>
  </si>
  <si>
    <t>https://www.proquest.com/docview/2781669060?accountid=131239&amp;bdid=51804&amp;_bd=Ty168L0UAW43uxpL%2BO9M8LApuio%3D</t>
  </si>
  <si>
    <t>https://www.proquest.com/docview/2781669061?accountid=131239&amp;bdid=51804&amp;_bd=Kr02xpo47vS0uuvaiNRgmvxVGzo%3D</t>
  </si>
  <si>
    <t>https://www.proquest.com/docview/2781668784?accountid=131239&amp;bdid=51804&amp;_bd=r2LxAVMv4phc3JmWN7wVgEWiF8E%3D</t>
  </si>
  <si>
    <t>Cooper, Major Depressive Disorder, Single Episode, Severe, Depression Assessment â€“ Depressed Mood and Low Energy, in Cooper, Major Depressive Disorder, Single Episode, Severe</t>
  </si>
  <si>
    <t>https://www.proquest.com/docview/2781668700?accountid=131239&amp;bdid=51804&amp;_bd=al2gllGacaBNvEDrF99Q1KV3xEk%3D</t>
  </si>
  <si>
    <t>https://www.proquest.com/docview/2781668701?accountid=131239&amp;bdid=51804&amp;_bd=rPqpRbt9U9AuiPSDHcafvPZ%2BaFI%3D</t>
  </si>
  <si>
    <t>https://www.proquest.com/docview/2781668702?accountid=131239&amp;bdid=51804&amp;_bd=1olEXUgas4dOTV7YLFbZ0FtFus0%3D</t>
  </si>
  <si>
    <t>https://www.proquest.com/docview/2781668703?accountid=131239&amp;bdid=51804&amp;_bd=AuCYNQt9EBdM%2FP33LJK%2BHRkmEhE%3D</t>
  </si>
  <si>
    <t>https://www.proquest.com/docview/2781668781?accountid=131239&amp;bdid=51804&amp;_bd=Fb0VkDftwMU5EqoAIOMsmkPLyzw%3D</t>
  </si>
  <si>
    <t>https://www.proquest.com/docview/2760559612?accountid=131239&amp;bdid=51804&amp;_bd=oSEZ3GFQXeAeX0b%2BPoTbVgWr1rg%3D</t>
  </si>
  <si>
    <t>https://www.proquest.com/docview/2760559613?accountid=131239&amp;bdid=51804&amp;_bd=6SVTCcFWPTYZV3uxGep6Lw84ZAo%3D</t>
  </si>
  <si>
    <t>https://www.proquest.com/docview/2760559611?accountid=131239&amp;bdid=51804&amp;_bd=cfnJw7VboY6n6G0McqBh04wWIyM%3D</t>
  </si>
  <si>
    <t>https://www.proquest.com/docview/2781668814?accountid=131239&amp;bdid=51804&amp;_bd=FQbrVD0s52Xq%2BQM6eQrur80hKD4%3D</t>
  </si>
  <si>
    <t>Autism Spectrum Disorder, Requiring Substantial Support, in Autism Spectrum Disorder Series</t>
  </si>
  <si>
    <t>https://www.proquest.com/docview/2781668938?accountid=131239&amp;bdid=51804&amp;_bd=1n760V%2F7SsT3cQVWXa2bXMVeMoA%3D</t>
  </si>
  <si>
    <t>https://www.proquest.com/docview/2762183838?accountid=131239&amp;bdid=51804&amp;_bd=lhlBrKavIRkvuBodmr4hoNIfFaU%3D</t>
  </si>
  <si>
    <t>https://www.proquest.com/docview/2781668675?accountid=131239&amp;bdid=51804&amp;_bd=VUe48jtfkTT2Tu58Y8LlZtpSdAg%3D</t>
  </si>
  <si>
    <t>Tourette's Disorder, in DSM 5 Guided OCD Series</t>
  </si>
  <si>
    <t>https://www.proquest.com/docview/2781668710?accountid=131239&amp;bdid=51804&amp;_bd=Zdb9d7YSdv7FPJq1OLcszbqpn5Y%3D</t>
  </si>
  <si>
    <t>https://www.proquest.com/docview/2781668711?accountid=131239&amp;bdid=51804&amp;_bd=P7gxElbR9smMzEn0CvnIXTD3cLw%3D</t>
  </si>
  <si>
    <t>Autism Spectrum Disorder, Requiring Very Substantial Support with Expert Analysis, in Autism Spectrum Disorder - Subject Expert Analysis Series</t>
  </si>
  <si>
    <t>https://www.proquest.com/docview/2781668712?accountid=131239&amp;bdid=51804&amp;_bd=2eqEep65ljNwf7nYrQ0JKjl63dk%3D</t>
  </si>
  <si>
    <t>https://www.proquest.com/docview/2781668713?accountid=131239&amp;bdid=51804&amp;_bd=muqfl%2FCfpxHDBv%2Bu%2Bs44X3AzUao%3D</t>
  </si>
  <si>
    <t>https://www.proquest.com/docview/2781668714?accountid=131239&amp;bdid=51804&amp;_bd=uaK%2BgJd6cWW%2FQuCrfj%2FTfB9nyQo%3D</t>
  </si>
  <si>
    <t>https://www.proquest.com/docview/2781668670?accountid=131239&amp;bdid=51804&amp;_bd=rRCoXLsMaUHlvAj0AgQjhRG2s20%3D</t>
  </si>
  <si>
    <t>https://www.proquest.com/docview/2760745472?accountid=131239&amp;bdid=51804&amp;_bd=iP%2BRsr3j1Zj3ymYoIkikLNcncdU%3D</t>
  </si>
  <si>
    <t>https://www.proquest.com/docview/2781668705?accountid=131239&amp;bdid=51804&amp;_bd=zV1Vc9PDQeQ9yy6QLIb%2FS0q6UkY%3D</t>
  </si>
  <si>
    <t>https://www.proquest.com/docview/2781668706?accountid=131239&amp;bdid=51804&amp;_bd=PA9sSmW2qJDzXL4qqhJSr36a5%2Bo%3D</t>
  </si>
  <si>
    <t>https://www.proquest.com/docview/2760937448?accountid=131239&amp;bdid=51804&amp;_bd=13I8Lx6YLbmkDrQKKmFF2mMOmdc%3D</t>
  </si>
  <si>
    <t>https://www.proquest.com/docview/2781668707?accountid=131239&amp;bdid=51804&amp;_bd=xfqSR4RDYV3%2FcWuSz86%2FGz%2Ff1B0%3D</t>
  </si>
  <si>
    <t>https://www.proquest.com/docview/2781668708?accountid=131239&amp;bdid=51804&amp;_bd=Wrr5g2mOGsGkuBpu%2Fuw1hB76VSA%3D</t>
  </si>
  <si>
    <t>https://www.proquest.com/docview/2781668709?accountid=131239&amp;bdid=51804&amp;_bd=UV2gPgGtxQ4e%2FJVYJdjS1G4ak9E%3D</t>
  </si>
  <si>
    <t>Arnie, Opioid Use Disorder, Mild, Anxiety Assessment Version 3, in Assessment: Arnie, Opioid Use Disorder, Mild</t>
  </si>
  <si>
    <t>https://www.proquest.com/docview/2781668685?accountid=131239&amp;bdid=51804&amp;_bd=nYWYzqKWAJMI9R%2FMzlO4OcgRWPs%3D</t>
  </si>
  <si>
    <t>https://www.proquest.com/docview/2781668720?accountid=131239&amp;bdid=51804&amp;_bd=AoUf2t64DGGgCcqo4rET%2BHJ0GS0%3D</t>
  </si>
  <si>
    <t>Criteria Not Met for Autism Spectrum Disorder with Expert Analysis, in Autism Spectrum Disorder - Subject Expert Analysis Series</t>
  </si>
  <si>
    <t>https://www.proquest.com/docview/2781668687?accountid=131239&amp;bdid=51804&amp;_bd=HP0oEzZT47Bw0c8g8xKFhdDrqco%3D</t>
  </si>
  <si>
    <t>https://www.proquest.com/docview/2781668721?accountid=131239&amp;bdid=51804&amp;_bd=IVTe1UBX%2B4slbzMhG9teR2ZGGtc%3D</t>
  </si>
  <si>
    <t>https://www.proquest.com/docview/2760239363?accountid=131239&amp;bdid=51804&amp;_bd=b5%2BhvFcpv3ykkZU5Bi1m5OdeLXk%3D</t>
  </si>
  <si>
    <t>https://www.proquest.com/docview/2760239364?accountid=131239&amp;bdid=51804&amp;_bd=sx%2FOnrMMD1CDNkts5PHsChREz7E%3D</t>
  </si>
  <si>
    <t>https://www.proquest.com/docview/2760239367?accountid=131239&amp;bdid=51804&amp;_bd=H2x4HCSe2S5zSFZNKrdwV8qGOMc%3D</t>
  </si>
  <si>
    <t>https://www.proquest.com/docview/2760239368?accountid=131239&amp;bdid=51804&amp;_bd=Exut5jK3b%2FDqyVhgsL9tnivE2Z4%3D</t>
  </si>
  <si>
    <t>https://www.proquest.com/docview/2760239365?accountid=131239&amp;bdid=51804&amp;_bd=KD6iPF7uiIHwJJIequJr2tAg%2BF0%3D</t>
  </si>
  <si>
    <t>https://www.proquest.com/docview/2781668682?accountid=131239&amp;bdid=51804&amp;_bd=cEn0%2Bh8GW%2FIuYr7IWvACNmwxZFg%3D</t>
  </si>
  <si>
    <t>https://www.proquest.com/docview/2781668683?accountid=131239&amp;bdid=51804&amp;_bd=ca8nQr%2BHDCzI7i6t5cNNu0kspi4%3D</t>
  </si>
  <si>
    <t>https://www.proquest.com/docview/2781668684?accountid=131239&amp;bdid=51804&amp;_bd=Bd0Shie2idDFYKN5b3fS626D%2F3Q%3D</t>
  </si>
  <si>
    <t>https://www.proquest.com/docview/2760559595?accountid=131239&amp;bdid=51804&amp;_bd=U1uDonLbA12FcRea2DbIxGNMf5E%3D</t>
  </si>
  <si>
    <t>https://www.proquest.com/docview/2781668718?accountid=131239&amp;bdid=51804&amp;_bd=StJVRvFfai9QjYXzAJio6ZWixA8%3D</t>
  </si>
  <si>
    <t>https://www.proquest.com/docview/2781668696?accountid=131239&amp;bdid=51804&amp;_bd=nmDhvQixQR%2F%2FvJUbRedtEFPiadU%3D</t>
  </si>
  <si>
    <t>F95.2 Touretteâ€™s Disorder, in ICD 10 Guided OCD Series</t>
  </si>
  <si>
    <t>https://www.proquest.com/docview/2781668697?accountid=131239&amp;bdid=51804&amp;_bd=0j4ufm8SGimL4DAeYgmZhmsDagA%3D</t>
  </si>
  <si>
    <t>https://www.proquest.com/docview/2781668698?accountid=131239&amp;bdid=51804&amp;_bd=dczWS%2BiKVgOaxSN4SmZA8sQ6LxA%3D</t>
  </si>
  <si>
    <t>https://www.proquest.com/docview/2781668733?accountid=131239&amp;bdid=51804&amp;_bd=AbxPR5g9GLbFvLLXh%2BwT90GAomM%3D</t>
  </si>
  <si>
    <t>https://www.proquest.com/docview/2781668691?accountid=131239&amp;bdid=51804&amp;_bd=M7NSsIBcpfKm98V%2BWtDtI1Z6bKw%3D</t>
  </si>
  <si>
    <t>https://www.proquest.com/docview/2781668694?accountid=131239&amp;bdid=51804&amp;_bd=Oc6jh3mZrURych1KCkz0ufI0x4M%3D</t>
  </si>
  <si>
    <t>https://www.proquest.com/docview/2781668695?accountid=131239&amp;bdid=51804&amp;_bd=fjk5%2FFB4G8Rar%2BWb%2FgnhuVc%2FxQ8%3D</t>
  </si>
  <si>
    <t>https://www.proquest.com/docview/2760745491?accountid=131239&amp;bdid=51804&amp;_bd=VCOKxZ2pzKuCaocD%2BBNVv7WphTQ%3D</t>
  </si>
  <si>
    <t>https://www.proquest.com/docview/2760559587?accountid=131239&amp;bdid=51804&amp;_bd=go492SvWTUUee0T5i0TbxurIOxo%3D</t>
  </si>
  <si>
    <t>https://www.proquest.com/docview/2760559588?accountid=131239&amp;bdid=51804&amp;_bd=Obk3ua6%2FpFPeu%2FsRkVLvCbts7u8%3D</t>
  </si>
  <si>
    <t>Autism Spectrum Disorder, Requiring Substantial Support 2, in Autism Spectrum Disorder Series</t>
  </si>
  <si>
    <t>https://www.proquest.com/docview/2781668727?accountid=131239&amp;bdid=51804&amp;_bd=j9pK1D%2B8PPnDMbN2aYP5HNK9rqk%3D</t>
  </si>
  <si>
    <t>https://www.proquest.com/docview/2781668848?accountid=131239&amp;bdid=51804&amp;_bd=GyK%2F0bvW5fV5SSF2OqUdYhIY9ow%3D</t>
  </si>
  <si>
    <t>https://www.proquest.com/docview/2781668849?accountid=131239&amp;bdid=51804&amp;_bd=Uc0QwfA5%2F4sMrkpuURyFXzmn6EI%3D</t>
  </si>
  <si>
    <t>https://www.proquest.com/docview/2760559064?accountid=131239&amp;bdid=51804&amp;_bd=IexRxQ3C4y77%2FcAFgL4uO0CUUxs%3D</t>
  </si>
  <si>
    <t>https://www.proquest.com/docview/2760744847?accountid=131239&amp;bdid=51804&amp;_bd=JWVnaXlUV3tjwh3A7jyvtEUovYI%3D</t>
  </si>
  <si>
    <t>https://www.proquest.com/docview/2781668746?accountid=131239&amp;bdid=51804&amp;_bd=ANkIIUDjS3KftKh7xIK40X1Db%2FI%3D</t>
  </si>
  <si>
    <t>https://www.proquest.com/docview/2781668747?accountid=131239&amp;bdid=51804&amp;_bd=%2F%2Fg3WhqaYzZ3eSPzV%2Bq8lf8MI4c%3D</t>
  </si>
  <si>
    <t>https://www.proquest.com/docview/2760938060?accountid=131239&amp;bdid=51804&amp;_bd=m%2BpuFalXUfdUYDMuJ4AhJ5MBkBc%3D</t>
  </si>
  <si>
    <t>https://www.proquest.com/docview/2781668751?accountid=131239&amp;bdid=51804&amp;_bd=HR0YzIqFxW%2BHj59Uf8Rgn%2FcWkK4%3D</t>
  </si>
  <si>
    <t>Arnie, Opioid Use Disorder, Mild, Drug Abuse Assessment, in Assessment: Arnie, Opioid Use Disorder, Mild</t>
  </si>
  <si>
    <t>https://www.proquest.com/docview/2781668752?accountid=131239&amp;bdid=51804&amp;_bd=ElO5ThPPU%2Fdon6HRrcSNT0TRkEo%3D</t>
  </si>
  <si>
    <t>https://www.proquest.com/docview/2760559081?accountid=131239&amp;bdid=51804&amp;_bd=bRrPMB%2BvdvE9tG4mOltqNrA8CRU%3D</t>
  </si>
  <si>
    <t>https://www.proquest.com/docview/2781668753?accountid=131239&amp;bdid=51804&amp;_bd=b7I7Kf99IX56gI8IRSZxS3QApkY%3D</t>
  </si>
  <si>
    <t>https://www.proquest.com/docview/2781668754?accountid=131239&amp;bdid=51804&amp;_bd=oKxysWD21cX6Asti5JrAeRS%2BBCg%3D</t>
  </si>
  <si>
    <t>Gil, Core Video: Bipolar I Disorder, Current Episode Manic, Severe, with Mood-Congruent Psychotic Features, Part 1, in DSM 5: Gil, Bipolar I Disorder, Current or Most Recent Episode Hypomanic, Part 1</t>
  </si>
  <si>
    <t>https://www.proquest.com/docview/2781668875?accountid=131239&amp;bdid=51804&amp;_bd=mgOYGt6sYrJNPmUgaZ2f8xcVKz0%3D</t>
  </si>
  <si>
    <t>Gil, Core Video: Bipolar I Disorder, Current Episode Manic, Severe, with Mood-Congruent Psychotic Features, Part 3, in DSM 5: Gil, Bipolar I Disorder, Current or Most Recent Episode Hypomanic, Part 3</t>
  </si>
  <si>
    <t>https://www.proquest.com/docview/2781668755?accountid=131239&amp;bdid=51804&amp;_bd=mCKcvxlVkc3dX6xnz7suBladA9U%3D</t>
  </si>
  <si>
    <t>https://www.proquest.com/docview/2781668877?accountid=131239&amp;bdid=51804&amp;_bd=UANAz3p91WI5SpTJ2c1h8xKweaQ%3D</t>
  </si>
  <si>
    <t>https://www.proquest.com/docview/2781668756?accountid=131239&amp;bdid=51804&amp;_bd=hWuOHHdguUfOSiPvX5gCY3SKk2s%3D</t>
  </si>
  <si>
    <t>https://www.proquest.com/docview/2760744856?accountid=131239&amp;bdid=51804&amp;_bd=NUPO1QDZowADZiFTJMwyQcSJuP8%3D</t>
  </si>
  <si>
    <t>https://www.proquest.com/docview/2781668758?accountid=131239&amp;bdid=51804&amp;_bd=esOmT8hVMTeL94AtHtYCrE%2B3%2B0Q%3D</t>
  </si>
  <si>
    <t>https://www.proquest.com/docview/2781668750?accountid=131239&amp;bdid=51804&amp;_bd=%2FOJxRqTvcXM06oCngDS0JTBcDFE%3D</t>
  </si>
  <si>
    <t>https://www.proquest.com/docview/2781668748?accountid=131239&amp;bdid=51804&amp;_bd=%2BFZ6YLPm%2BYpOvKFzda%2FEhvQh%2B4U%3D</t>
  </si>
  <si>
    <t>https://www.proquest.com/docview/2781668749?accountid=131239&amp;bdid=51804&amp;_bd=n%2Bm8DElYGjLLYM2n%2FmEeYiI2HTY%3D</t>
  </si>
  <si>
    <t>https://www.proquest.com/docview/2760745796?accountid=131239&amp;bdid=51804&amp;_bd=amDfrIuTba7lGqn4SyGKgSj2g7w%3D</t>
  </si>
  <si>
    <t>https://www.proquest.com/docview/2781668762?accountid=131239&amp;bdid=51804&amp;_bd=UPWseUTiFHJBMFDBFAnchS59%2FkI%3D</t>
  </si>
  <si>
    <t>https://www.proquest.com/docview/2781668768?accountid=131239&amp;bdid=51804&amp;_bd=WsExNWMFtSWRT727djQwRJBnhaI%3D</t>
  </si>
  <si>
    <t>Gil, Core Video: Bipolar I Disorder, Current Episode Manic, Severe, with Mood-Congruent Psychotic Features, Part 2, in DSM 5: Gil, Bipolar I Disorder, Current or Most Recent Episode Hypomanic, Part 2</t>
  </si>
  <si>
    <t>https://www.proquest.com/docview/2781668923?accountid=131239&amp;bdid=51804&amp;_bd=piQsaxqZYti5cL%2BzlRDZr4gOHHw%3D</t>
  </si>
  <si>
    <t>Arnie, Opioid Use Disorder, Mild, Anxiety Assessment Version 2, in Assessment: Arnie, Opioid Use Disorder, Mild</t>
  </si>
  <si>
    <t>https://www.proquest.com/docview/2781668769?accountid=131239&amp;bdid=51804&amp;_bd=LXeKaPFuPKyaN2qxkVB3SAnSxC8%3D</t>
  </si>
  <si>
    <t>https://www.proquest.com/docview/2781668882?accountid=131239&amp;bdid=51804&amp;_bd=%2FF2QsN21Vmq%2FI9DYwYvt6RMbl90%3D</t>
  </si>
  <si>
    <t>https://www.proquest.com/docview/2781668759?accountid=131239&amp;bdid=51804&amp;_bd=moGpXkvoNo2B0Ga7zJ99ryBKFcM%3D</t>
  </si>
  <si>
    <t>https://www.proquest.com/docview/2781668652?accountid=131239&amp;bdid=51804&amp;_bd=bMls2pdZca%2FXhxTIvE8oRhwoE1M%3D</t>
  </si>
  <si>
    <t>https://www.proquest.com/docview/2781668773?accountid=131239&amp;bdid=51804&amp;_bd=QcRtZQ1pfkOSasYzpuSB%2FRuztU4%3D</t>
  </si>
  <si>
    <t>https://www.proquest.com/docview/2781668653?accountid=131239&amp;bdid=51804&amp;_bd=ZfKZhQlmkmMFxtxU6Ziz5JKOFNg%3D</t>
  </si>
  <si>
    <t>https://www.proquest.com/docview/2781668774?accountid=131239&amp;bdid=51804&amp;_bd=iY9ep0DV5wYpe86bq8zqMz2c4X8%3D</t>
  </si>
  <si>
    <t>https://www.proquest.com/docview/2781668930?accountid=131239&amp;bdid=51804&amp;_bd=maGDJAMxxE%2BN7yqUs4EOThCoIks%3D</t>
  </si>
  <si>
    <t>https://www.proquest.com/docview/2781668658?accountid=131239&amp;bdid=51804&amp;_bd=4KET%2BhstBY0nsEQdWeWL6HZBHtA%3D</t>
  </si>
  <si>
    <t>Arnie, Opioid Use Disorder, Mild, Depression Assessment, in Assessment: Arnie, Opioid Use Disorder, Mild</t>
  </si>
  <si>
    <t>https://www.proquest.com/docview/2781668933?accountid=131239&amp;bdid=51804&amp;_bd=MztW4FA1T7Eqh1o%2B3KvoxpkLWNg%3D</t>
  </si>
  <si>
    <t>https://www.proquest.com/docview/2781668659?accountid=131239&amp;bdid=51804&amp;_bd=fr852Hbh7zoE13ql69xk6iUSO9A%3D</t>
  </si>
  <si>
    <t>Cooper, Alcohol Use Assessment, in Cooper, Major Depressive Disorder, Single Episode, Severe</t>
  </si>
  <si>
    <t>https://www.proquest.com/docview/2781668890?accountid=131239&amp;bdid=51804&amp;_bd=sgkSdUJdjiSSsiOD3O6uFAnj9t8%3D</t>
  </si>
  <si>
    <t>https://www.proquest.com/docview/2781668770?accountid=131239&amp;bdid=51804&amp;_bd=drJTTOkLLXfLNkzVmEalJcWjpqU%3D</t>
  </si>
  <si>
    <t>https://www.proquest.com/docview/2781668650?accountid=131239&amp;bdid=51804&amp;_bd=Q5qkpUodDihOIwoRt4721BG92V0%3D</t>
  </si>
  <si>
    <t>https://www.proquest.com/docview/2781668771?accountid=131239&amp;bdid=51804&amp;_bd=fRGZvJCJ4yS4vjGeMfYdeJkLvfE%3D</t>
  </si>
  <si>
    <t>https://www.proquest.com/docview/2781668772?accountid=131239&amp;bdid=51804&amp;_bd=Yd4p%2Bewt9RXBnr0jwQ9GghHsUmw%3D</t>
  </si>
  <si>
    <t>https://www.proquest.com/docview/2760559385?accountid=131239&amp;bdid=51804&amp;_bd=tzCTzEZ3R8xLUNOvLBeneKteYxA%3D</t>
  </si>
  <si>
    <t>Autism Spectrum Disorder, Requiring Substantial Support with Expert Analysis, in Autism Spectrum Disorder - Subject Expert Analysis Series</t>
  </si>
  <si>
    <t>https://www.proquest.com/docview/2781668925?accountid=131239&amp;bdid=51804&amp;_bd=laGSfidy0kCI9STs3mHVnetunGo%3D</t>
  </si>
  <si>
    <t>https://www.proquest.com/docview/2781668926?accountid=131239&amp;bdid=51804&amp;_bd=iWz2H6H%2FXWGOHwAi67Rg12DVSZM%3D</t>
  </si>
  <si>
    <t>https://www.proquest.com/docview/2781668927?accountid=131239&amp;bdid=51804&amp;_bd=OXGfz4IuX9sOw6MMJcH1TJLQ0os%3D</t>
  </si>
  <si>
    <t>https://www.proquest.com/docview/2781668928?accountid=131239&amp;bdid=51804&amp;_bd=9EGlN19QqmE6SBvbPhX0Pr%2BGZ3Y%3D</t>
  </si>
  <si>
    <t>https://www.proquest.com/docview/2760559380?accountid=131239&amp;bdid=51804&amp;_bd=llVJjfeJYpMhXMWbSk4TNg94c0k%3D</t>
  </si>
  <si>
    <t>https://www.proquest.com/docview/2781668929?accountid=131239&amp;bdid=51804&amp;_bd=IpXi%2FfU00J9OwLmAf6HP8Xr67fI%3D</t>
  </si>
  <si>
    <t>https://www.proquest.com/docview/2760559381?accountid=131239&amp;bdid=51804&amp;_bd=JwpO%2B6OmnflwZhu0Z%2BtQ5Or4nLQ%3D</t>
  </si>
  <si>
    <t>Sam, Core Video: F31.13 Bipolar I Disorder, Current Episode Manic, Severe, in Sam, (Adolescent) Bipolar I Disorder, Current or Most Recent Episode Manic, Severe</t>
  </si>
  <si>
    <t>https://www.proquest.com/docview/2715219700?accountid=131239&amp;bdid=51804&amp;_bd=6bw5jPqS0P%2BP3DsbdpZL1x562YY%3D</t>
  </si>
  <si>
    <t>https://www.proquest.com/docview/2760239149?accountid=131239&amp;bdid=51804&amp;_bd=UQcrhmTTrn3J2bxSORA%2BDXnGnkg%3D</t>
  </si>
  <si>
    <t>https://www.proquest.com/docview/2584325949?accountid=131239&amp;bdid=51804&amp;_bd=pTjZd4AvscrY29fQ6x3pWRQDA0I%3D</t>
  </si>
  <si>
    <t>https://www.proquest.com/docview/2584325953?accountid=131239&amp;bdid=51804&amp;_bd=%2BnLyKFwf79i9OFK%2BLfLAWJUxDRc%3D</t>
  </si>
  <si>
    <t>https://www.proquest.com/docview/2584327215?accountid=131239&amp;bdid=51804&amp;_bd=eAlVojC%2ByTMTVo9LT2XJkNN40Wc%3D</t>
  </si>
  <si>
    <t>Ali, Alcohol Use Disorder, Severe, Alcohol Use Assessment, in Assessment: Ali, Alcohol Use Disorder, Moderate</t>
  </si>
  <si>
    <t>https://www.proquest.com/docview/2584327173?accountid=131239&amp;bdid=51804&amp;_bd=TyudK5T3JP43G7rAL08FhTxjnW0%3D</t>
  </si>
  <si>
    <t>https://www.proquest.com/docview/2376146844?accountid=131239&amp;bdid=51804&amp;_bd=ymMcBMRqhiN6m22PbxP4wjZwWxk%3D</t>
  </si>
  <si>
    <t>https://www.proquest.com/docview/2376146841?accountid=131239&amp;bdid=51804&amp;_bd=2dEFzb59UIelYujY%2BBZcsWHlifQ%3D</t>
  </si>
  <si>
    <t>https://www.proquest.com/docview/2572964366?accountid=131239&amp;bdid=51804&amp;_bd=XaXCB3UyPutlb1OQRL9%2Bp2Dj5MI%3D</t>
  </si>
  <si>
    <t>https://www.proquest.com/docview/2584330056?accountid=131239&amp;bdid=51804&amp;_bd=yuZUVZms2rSXornRZ4lyCUqafD0%3D</t>
  </si>
  <si>
    <t>https://www.proquest.com/docview/2584327200?accountid=131239&amp;bdid=51804&amp;_bd=o4CMrZWFOO7JtA913LDNFg1hiu8%3D</t>
  </si>
  <si>
    <t>https://www.proquest.com/docview/2584330207?accountid=131239&amp;bdid=51804&amp;_bd=0Z9vSrUaw1sJWGrSRjNGm5In0Ik%3D</t>
  </si>
  <si>
    <t>Ali, Alcohol Use Disorder, Severe, Depression Assessment, in Assessment: Ali, Alcohol Use Disorder, Moderate</t>
  </si>
  <si>
    <t>https://www.proquest.com/docview/2584327442?accountid=131239&amp;bdid=51804&amp;_bd=JoS3Oda6C7G5ar295GT%2B3lYIeYk%3D</t>
  </si>
  <si>
    <t>Gil, Bipolar I Disorder, Substance Use Assessment A-1, in Assessment: Gil, Bipolar I Disorder, Current or Most Recent Episode Hypomanic, Episode 1</t>
  </si>
  <si>
    <t>https://www.proquest.com/docview/2584327207?accountid=131239&amp;bdid=51804&amp;_bd=SsMNFndP9JTsKdISEtWtcZw07y4%3D</t>
  </si>
  <si>
    <t>https://www.proquest.com/docview/2376146837?accountid=131239&amp;bdid=51804&amp;_bd=tXNQerykjMI2mVCdt2daO9pg6DI%3D</t>
  </si>
  <si>
    <t>https://www.proquest.com/docview/2376146835?accountid=131239&amp;bdid=51804&amp;_bd=Itjzf%2B%2Fj8xup4wwc%2BDrdK9Cy9%2Fo%3D</t>
  </si>
  <si>
    <t>https://www.proquest.com/docview/2376146836?accountid=131239&amp;bdid=51804&amp;_bd=VeNMne6BJa3SxBuLuoRqA1QcOcU%3D</t>
  </si>
  <si>
    <t>https://www.proquest.com/docview/2376146831?accountid=131239&amp;bdid=51804&amp;_bd=3WtjSoiW2W2hh1WJDayV5t8%2FUyI%3D</t>
  </si>
  <si>
    <t>https://www.proquest.com/docview/2584327165?accountid=131239&amp;bdid=51804&amp;_bd=42j8wUWD%2B6nGciV3OBEaN77JIPU%3D</t>
  </si>
  <si>
    <t>https://www.proquest.com/docview/2584327164?accountid=131239&amp;bdid=51804&amp;_bd=OlD3DAhhmiLuvshsL78xcXSjJBI%3D</t>
  </si>
  <si>
    <t>Shannon, Opioid Use Disorder, Severe, Suicide Assessment Version 1, in Opioid Use Disorder Series</t>
  </si>
  <si>
    <t>https://www.proquest.com/docview/2584326592?accountid=131239&amp;bdid=51804&amp;_bd=JXHEQ4R8j%2BSkDKI32hTrYdt3cR8%3D</t>
  </si>
  <si>
    <t>https://www.proquest.com/docview/2760239360?accountid=131239&amp;bdid=51804&amp;_bd=Xj%2FZ3CJO0SKbhZNdpApLtyuzQ8c%3D</t>
  </si>
  <si>
    <t>Greg, Substance Use Assessment, in Assessment: Greg, Cannabis Use Disorder</t>
  </si>
  <si>
    <t>https://www.proquest.com/docview/2755468079?accountid=131239&amp;bdid=51804&amp;_bd=jOBsq48BwfWCCLWggs08amPvle0%3D</t>
  </si>
  <si>
    <t>https://www.proquest.com/docview/2376146790?accountid=131239&amp;bdid=51804&amp;_bd=6O7cqD5LA%2BmnYDFffGxTODat94Q%3D</t>
  </si>
  <si>
    <t>https://www.proquest.com/docview/2376146791?accountid=131239&amp;bdid=51804&amp;_bd=MWy%2BWpM%2BT%2Bs0WuLTbH5pU%2Br51w8%3D</t>
  </si>
  <si>
    <t>https://www.proquest.com/docview/2760239361?accountid=131239&amp;bdid=51804&amp;_bd=PfRHejcTeiHUh9ElUpO7CgGOWJw%3D</t>
  </si>
  <si>
    <t>https://www.proquest.com/docview/2760239362?accountid=131239&amp;bdid=51804&amp;_bd=qVyiPizh7ko%2BBG%2Foyw%2BcFFnvt1o%3D</t>
  </si>
  <si>
    <t>https://www.proquest.com/docview/2584330282?accountid=131239&amp;bdid=51804&amp;_bd=aRvJAGRSl2lFmoBV2g%2FvztnyKnk%3D</t>
  </si>
  <si>
    <t>https://www.proquest.com/docview/2584332699?accountid=131239&amp;bdid=51804&amp;_bd=Te7feE2%2Bq5Rj6HANd%2Ff65uAbJpI%3D</t>
  </si>
  <si>
    <t>https://www.proquest.com/docview/2376146829?accountid=131239&amp;bdid=51804&amp;_bd=OhAtVjjtNSUZtST04vKN8Lyt61o%3D</t>
  </si>
  <si>
    <t>https://www.proquest.com/docview/2584326180?accountid=131239&amp;bdid=51804&amp;_bd=%2BeZtP29LbtMPDVpCdGdry%2BXpYFs%3D</t>
  </si>
  <si>
    <t>https://www.proquest.com/docview/2376146787?accountid=131239&amp;bdid=51804&amp;_bd=Y9ySV%2BQOXWpD58qmiC29SIvCe0I%3D</t>
  </si>
  <si>
    <t>Amy, Premenstrual Dysphoric Disorder, in DSM 5: Amy, Premenstrual Depressive Disorder</t>
  </si>
  <si>
    <t>https://www.proquest.com/docview/2584327276?accountid=131239&amp;bdid=51804&amp;_bd=gQiU%2F1uALfDeRvfAkQ2kHqLO5YM%3D</t>
  </si>
  <si>
    <t>https://www.proquest.com/docview/2718700177?accountid=131239&amp;bdid=51804&amp;_bd=K%2B7dAtdR%2FDCsi%2F46j9htIQuPuHU%3D</t>
  </si>
  <si>
    <t>https://www.proquest.com/docview/2376146785?accountid=131239&amp;bdid=51804&amp;_bd=6%2B38IBBIZFFrrTR7UvVQuGgP6eQ%3D</t>
  </si>
  <si>
    <t>https://www.proquest.com/docview/2742630487?accountid=131239&amp;bdid=51804&amp;_bd=xkcUA4WVLgvRPIXjfezjNRghx7k%3D</t>
  </si>
  <si>
    <t>Jennifer, Generalized Anxiety Disorder, Personal History Assessment Version 2, in Jennifer, Generalized Anxiety Disorder, Video 2</t>
  </si>
  <si>
    <t>https://www.proquest.com/docview/2584330276?accountid=131239&amp;bdid=51804&amp;_bd=pFiN5myJRkuplsh1XYx9yaD9VBg%3D</t>
  </si>
  <si>
    <t>https://www.proquest.com/docview/2584326725?accountid=131239&amp;bdid=51804&amp;_bd=JGNb6N7EyTs7MN8kCnFB3DaxH1E%3D</t>
  </si>
  <si>
    <t>Sam, (Adolescent) Bipolar I Disorder, Medication Compliance V4 with Good Insight and Poor Judgment, in Sam, (Adolescent) Bipolar I Disorder, Current or Most Recent Episode Manic, Severe</t>
  </si>
  <si>
    <t>https://www.proquest.com/docview/2582144533?accountid=131239&amp;bdid=51804&amp;_bd=e%2F9GCBHkhjXSCzeA4Jg5%2FRg%2Fo%2B4%3D</t>
  </si>
  <si>
    <t>https://www.proquest.com/docview/2584327269?accountid=131239&amp;bdid=51804&amp;_bd=NQNNkHcHs6QcVzOOtNcpzrKJ4s0%3D</t>
  </si>
  <si>
    <t>https://www.proquest.com/docview/2584329966?accountid=131239&amp;bdid=51804&amp;_bd=%2FAEac91NKGQ7NvICnDkaqvHwiUo%3D</t>
  </si>
  <si>
    <t>https://www.proquest.com/docview/2376146776?accountid=131239&amp;bdid=51804&amp;_bd=H1iiYk53ckkB5srpdqCpBIbsHvA%3D</t>
  </si>
  <si>
    <t>https://www.proquest.com/docview/2584329286?accountid=131239&amp;bdid=51804&amp;_bd=DCnmQ6YvD%2F4jsnBrVRxsvttEgUo%3D</t>
  </si>
  <si>
    <t>Ali, Core Video: Alcohol Use Disorder, Severe, in DSM 5: Ali, Alcohol Use Disorder, Moderate</t>
  </si>
  <si>
    <t>https://www.proquest.com/docview/2584327263?accountid=131239&amp;bdid=51804&amp;_bd=sa%2FCvQAcM7o%2BxoEijoW76m0pGMg%3D</t>
  </si>
  <si>
    <t>https://www.proquest.com/docview/2376146772?accountid=131239&amp;bdid=51804&amp;_bd=OQGOBqWjNJAjsVQj%2B36smQjhD30%3D</t>
  </si>
  <si>
    <t>https://www.proquest.com/docview/2760238810?accountid=131239&amp;bdid=51804&amp;_bd=qGRrBGdlH0Y%2B0ABN%2BSUYdFtJZCE%3D</t>
  </si>
  <si>
    <t>https://www.proquest.com/docview/2760238802?accountid=131239&amp;bdid=51804&amp;_bd=32QwSuW%2Fips9ivuiaT4SoIFpgOg%3D</t>
  </si>
  <si>
    <t>Ali, Alcohol Use Disorder, Severe, Personal History Assessment, in Assessment: Ali, Alcohol Use Disorder, Moderate</t>
  </si>
  <si>
    <t>https://www.proquest.com/docview/2584329555?accountid=131239&amp;bdid=51804&amp;_bd=%2FBz%2BluRC7bxNhB0q6zL0At4vw9I%3D</t>
  </si>
  <si>
    <t>https://www.proquest.com/docview/2760238806?accountid=131239&amp;bdid=51804&amp;_bd=6Gq%2FXeY6lc6omYD4J0%2Bhr0UtTi4%3D</t>
  </si>
  <si>
    <t>Shannon, Opioid Use Disorder, Severe, Anxiety Assessment, in Opioid Use Disorder Series</t>
  </si>
  <si>
    <t>https://www.proquest.com/docview/2584325994?accountid=131239&amp;bdid=51804&amp;_bd=vv%2FuiArtsUCbdocx%2FXjV0EKcqD4%3D</t>
  </si>
  <si>
    <t>Ali, Alcohol Use Disorder, Severe, AUDIT, in Assessment: Ali, Alcohol Use Disorder, Moderate</t>
  </si>
  <si>
    <t>https://www.proquest.com/docview/2584327259?accountid=131239&amp;bdid=51804&amp;_bd=y7USAWYDfCmmWvwoX3zrts%2FQUp4%3D</t>
  </si>
  <si>
    <t>https://www.proquest.com/docview/2584330257?accountid=131239&amp;bdid=51804&amp;_bd=O35eWNPqeWxIOEFqrg2WYWWFrQs%3D</t>
  </si>
  <si>
    <t>https://www.proquest.com/docview/2760238809?accountid=131239&amp;bdid=51804&amp;_bd=00BezXTwYdX4MwqwI2HtmanN5R8%3D</t>
  </si>
  <si>
    <t>https://www.proquest.com/docview/2376146766?accountid=131239&amp;bdid=51804&amp;_bd=bv%2FllsLms1PLug2WqOZxT%2BMq5Wk%3D</t>
  </si>
  <si>
    <t>https://www.proquest.com/docview/2376146763?accountid=131239&amp;bdid=51804&amp;_bd=NMEedjdvRHCtEMR0LPP8wM9IvbE%3D</t>
  </si>
  <si>
    <t>https://www.proquest.com/docview/2584327251?accountid=131239&amp;bdid=51804&amp;_bd=Pgakt%2Feg%2B16HBRZ6na7hz%2Fdr%2BiU%3D</t>
  </si>
  <si>
    <t>Shannon, Opioid Use Disorder, Severe, Suicide Assessment Version 2, in Opioid Use Disorder Series</t>
  </si>
  <si>
    <t>https://www.proquest.com/docview/2584326680?accountid=131239&amp;bdid=51804&amp;_bd=NdmJDPGlGZ459qJ3WePuQ%2FlE%2F5w%3D</t>
  </si>
  <si>
    <t>https://www.proquest.com/docview/2755869915?accountid=131239&amp;bdid=51804&amp;_bd=UwhPxUCQijARw%2B2k9%2F4xYuxT%2F24%3D</t>
  </si>
  <si>
    <t>https://www.proquest.com/docview/2584331975?accountid=131239&amp;bdid=51804&amp;_bd=oWzYBOUI8rdH3JEUDyrnJvdLWAE%3D</t>
  </si>
  <si>
    <t>Shannon, Opioid Use Disorder, Severe, Trauma Assessment, in Opioid Use Disorder Series</t>
  </si>
  <si>
    <t>https://www.proquest.com/docview/2584327003?accountid=131239&amp;bdid=51804&amp;_bd=y%2By%2B9LL1d0v1lDfnTKOGAzCcOJ4%3D</t>
  </si>
  <si>
    <t>https://www.proquest.com/docview/2584331972?accountid=131239&amp;bdid=51804&amp;_bd=wn6CJgSRLcM%2FAQAN7u4oVi%2FuVSw%3D</t>
  </si>
  <si>
    <t>Ali, Substance Use Assessment, in Assessment: Ali, Alcohol Use Disorder, Moderate</t>
  </si>
  <si>
    <t>https://www.proquest.com/docview/2584327127?accountid=131239&amp;bdid=51804&amp;_bd=JQIToFYJFUsvvXRL%2FPRJGHRz7fA%3D</t>
  </si>
  <si>
    <t>Greg, Cannabis Use Disorder, Moderate, Tolerance and Withdrawal Assessment</t>
  </si>
  <si>
    <t>https://www.proquest.com/docview/2584327084?accountid=131239&amp;bdid=51804&amp;_bd=Er2fCeU5B6lMEaP3crlxExW9vjY%3D</t>
  </si>
  <si>
    <t>https://www.proquest.com/docview/2376146756?accountid=131239&amp;bdid=51804&amp;_bd=XljgxNL1k0TESfLoDuZI6gs3uNA%3D</t>
  </si>
  <si>
    <t>https://www.proquest.com/docview/2376146752?accountid=131239&amp;bdid=51804&amp;_bd=Lst5jEbEfOiavCaQ3Syb8OWIA1c%3D</t>
  </si>
  <si>
    <t>https://www.proquest.com/docview/2376146751?accountid=131239&amp;bdid=51804&amp;_bd=FoWXSNLTgCOZcgIybTfGWaXkML8%3D</t>
  </si>
  <si>
    <t>https://www.proquest.com/docview/2760239160?accountid=131239&amp;bdid=51804&amp;_bd=cRT%2FqbnWWj0SgbjvZNh4dvmwupM%3D</t>
  </si>
  <si>
    <t>Shannon, Opioid Use Disorder, Severe, in Opioid Use Disorder Series</t>
  </si>
  <si>
    <t>https://www.proquest.com/docview/2584325965?accountid=131239&amp;bdid=51804&amp;_bd=Kx1xx9j3mRdqrvQXe5GMRdqOCPY%3D</t>
  </si>
  <si>
    <t>https://www.proquest.com/docview/2584327079?accountid=131239&amp;bdid=51804&amp;_bd=YIsGWeYGqJoaCgDrluon0Hk55Rs%3D</t>
  </si>
  <si>
    <t>Shannon, Opioid Use Disorder, Severe, Family History Assessment, in Opioid Use Disorder Series</t>
  </si>
  <si>
    <t>https://www.proquest.com/docview/2584326547?accountid=131239&amp;bdid=51804&amp;_bd=q%2FgzlWQaO6iXMzZfsr776Cv8tJc%3D</t>
  </si>
  <si>
    <t>https://www.proquest.com/docview/2376146747?accountid=131239&amp;bdid=51804&amp;_bd=LgTOYi0FTv00n0tEHu60rv11kow%3D</t>
  </si>
  <si>
    <t>https://www.proquest.com/docview/2376146746?accountid=131239&amp;bdid=51804&amp;_bd=4HjQbCxe1Co0fxbyf3DbofcJHYA%3D</t>
  </si>
  <si>
    <t>https://www.proquest.com/docview/2376146864?accountid=131239&amp;bdid=51804&amp;_bd=5us6eaLFJ4cLLAhpQzZSvyESLnE%3D</t>
  </si>
  <si>
    <t>https://www.proquest.com/docview/2376146743?accountid=131239&amp;bdid=51804&amp;_bd=aG37zqlnYG%2B3dfh8wrEf5xfDcuU%3D</t>
  </si>
  <si>
    <t>Shannon, Opioid Use Disorder, Severe, Safety Assessment, in Opioid Use Disorder Series</t>
  </si>
  <si>
    <t>https://www.proquest.com/docview/2584326261?accountid=131239&amp;bdid=51804&amp;_bd=KObLDKMpnI54ap5hNyqxxKn3peA%3D</t>
  </si>
  <si>
    <t>https://www.proquest.com/docview/2760239150?accountid=131239&amp;bdid=51804&amp;_bd=L11lcx%2FfW76W6RBnJDM%2FtRhThNc%3D</t>
  </si>
  <si>
    <t>https://www.proquest.com/docview/2376146740?accountid=131239&amp;bdid=51804&amp;_bd=9IbPzQOa2h1dx0wWq1tw3krxzTM%3D</t>
  </si>
  <si>
    <t>https://www.proquest.com/docview/2760239154?accountid=131239&amp;bdid=51804&amp;_bd=NfYj%2B2mdZf%2FRzrsKwm1maCNY1Fo%3D</t>
  </si>
  <si>
    <t>https://www.proquest.com/docview/2760239155?accountid=131239&amp;bdid=51804&amp;_bd=cmMSSS3AuTCyoPP0ajhBsY5FhhU%3D</t>
  </si>
  <si>
    <t>https://www.proquest.com/docview/2760239153?accountid=131239&amp;bdid=51804&amp;_bd=peSPGULUtZ0srh8RRdAHB1ehSyM%3D</t>
  </si>
  <si>
    <t>https://www.proquest.com/docview/2760239158?accountid=131239&amp;bdid=51804&amp;_bd=6%2Bfvd78%2Fm5P%2FFDoouvViv%2BAjfoY%3D</t>
  </si>
  <si>
    <t>https://www.proquest.com/docview/2760239037?accountid=131239&amp;bdid=51804&amp;_bd=ufhZYQAGb2uWv%2FYiboTebKKmebc%3D</t>
  </si>
  <si>
    <t>https://www.proquest.com/docview/2584330351?accountid=131239&amp;bdid=51804&amp;_bd=Xi1hMXtwlkKQYeZWY1bJ1reBJNI%3D</t>
  </si>
  <si>
    <t>https://www.proquest.com/docview/2760239038?accountid=131239&amp;bdid=51804&amp;_bd=xiuHqbIy8%2B9%2BT3twZIKdyLAvUiw%3D</t>
  </si>
  <si>
    <t>https://www.proquest.com/docview/2760239159?accountid=131239&amp;bdid=51804&amp;_bd=3V9CG9Hyq2zNHcQ%2B%2BE3pBmU%2BvYE%3D</t>
  </si>
  <si>
    <t>https://www.proquest.com/docview/2760239156?accountid=131239&amp;bdid=51804&amp;_bd=05zCzC9fJOZJiyHDkdu6jy6dGg4%3D</t>
  </si>
  <si>
    <t>https://www.proquest.com/docview/2584330199?accountid=131239&amp;bdid=51804&amp;_bd=zLreC4cJ7M7fvin0V4jfbByR21g%3D</t>
  </si>
  <si>
    <t>https://www.proquest.com/docview/2760239157?accountid=131239&amp;bdid=51804&amp;_bd=9rxXaM1iyirZ85FUJXn2ITbqFNw%3D</t>
  </si>
  <si>
    <t>https://www.proquest.com/docview/2584333220?accountid=131239&amp;bdid=51804&amp;_bd=9AV8cFB%2FXbzNRKD2JlSbzLBt8Fs%3D</t>
  </si>
  <si>
    <t>Ali, Alcohol Use Disorder, Severe, Anxiety Assessment, in Assessment: Ali, Alcohol Use Disorder, Moderate</t>
  </si>
  <si>
    <t>https://www.proquest.com/docview/2584327101?accountid=131239&amp;bdid=51804&amp;_bd=4s%2BzCq3PhwxlxUP4oT%2FTUl86SrU%3D</t>
  </si>
  <si>
    <t>https://www.proquest.com/docview/2584332008?accountid=131239&amp;bdid=51804&amp;_bd=IKIeWZjkK3mHDH1BPR%2BG4eb04Cc%3D</t>
  </si>
  <si>
    <t>Gil, Bipolar I Disorder, Substance Use Assessment A-2, in Assessment: Gil, Bipolar I Disorder, Current or Most Recent Episode Hypomanic, Episode 2</t>
  </si>
  <si>
    <t>https://www.proquest.com/docview/2584327189?accountid=131239&amp;bdid=51804&amp;_bd=S9bLqKVD3DAnWs6mamoD2bGuoHk%3D</t>
  </si>
  <si>
    <t>https://www.proquest.com/docview/2584327228?accountid=131239&amp;bdid=51804&amp;_bd=R1Dy%2FU551aZ%2F1nU1%2F0tRpLXFG9k%3D</t>
  </si>
  <si>
    <t>https://www.proquest.com/docview/2376146859?accountid=131239&amp;bdid=51804&amp;_bd=RFbRz7V3msTauVARSQILb8mek2A%3D</t>
  </si>
  <si>
    <t>Cynthia, AUDIT, in Cynthia, Opioid Use Disorder</t>
  </si>
  <si>
    <t>https://www.proquest.com/docview/2584327226?accountid=131239&amp;bdid=51804&amp;_bd=N%2Fnk%2F1YzMVjEkc5iRaH%2FI7MDI64%3D</t>
  </si>
  <si>
    <t>https://www.proquest.com/docview/2376146738?accountid=131239&amp;bdid=51804&amp;_bd=0QinuiV8YQWyRy3uYRaSCplUhEU%3D</t>
  </si>
  <si>
    <t>https://www.proquest.com/docview/2376146858?accountid=131239&amp;bdid=51804&amp;_bd=7TbPPOAuhGac4UksI4BlX7orqQQ%3D</t>
  </si>
  <si>
    <t>https://www.proquest.com/docview/2584326491?accountid=131239&amp;bdid=51804&amp;_bd=cMPmbe31p1dMSqYAoaDz8p37yFQ%3D</t>
  </si>
  <si>
    <t>https://www.proquest.com/docview/2584327184?accountid=131239&amp;bdid=51804&amp;_bd=qPVvHE2XEuUeAOG%2FjCdS%2Bk00S9w%3D</t>
  </si>
  <si>
    <t>https://www.proquest.com/docview/2376146853?accountid=131239&amp;bdid=51804&amp;_bd=xmozse41sKuUsO33K1Ojt9RjMko%3D</t>
  </si>
  <si>
    <t>https://www.proquest.com/docview/2376146332?accountid=131239&amp;bdid=51804&amp;_bd=e4U4SVGroLuGkD1rUDkYpG2wcbw%3D</t>
  </si>
  <si>
    <t>https://www.proquest.com/docview/2376146296?accountid=131239&amp;bdid=51804&amp;_bd=gIVTtgphFl6KcpBmDpjYDVwYzDk%3D</t>
  </si>
  <si>
    <t>https://www.proquest.com/docview/2376146292?accountid=131239&amp;bdid=51804&amp;_bd=guv8oPy2t%2Bwifk7bingGQvjgXLI%3D</t>
  </si>
  <si>
    <t>https://www.proquest.com/docview/2376146727?accountid=131239&amp;bdid=51804&amp;_bd=fIbPOYZVczeSN5RpuXvP8fbXsL0%3D</t>
  </si>
  <si>
    <t>https://www.proquest.com/docview/2376146606?accountid=131239&amp;bdid=51804&amp;_bd=9msTHZ7ntpBKmTHHe3VW%2FnOXmgs%3D</t>
  </si>
  <si>
    <t>https://www.proquest.com/docview/2376146723?accountid=131239&amp;bdid=51804&amp;_bd=S5b0OaxOyIompRK%2FLAVRJ%2Bw2umc%3D</t>
  </si>
  <si>
    <t>https://www.proquest.com/docview/2376146724?accountid=131239&amp;bdid=51804&amp;_bd=JK8rXFUlWPhKdL0csQMSdvLuBZ4%3D</t>
  </si>
  <si>
    <t>https://www.proquest.com/docview/2376146601?accountid=131239&amp;bdid=51804&amp;_bd=H3hUnJSEAauohRiL2qcCDk%2Fw9Zo%3D</t>
  </si>
  <si>
    <t>https://www.proquest.com/docview/2376146565?accountid=131239&amp;bdid=51804&amp;_bd=RSquyttFSdHW65WXD9AL7289Yts%3D</t>
  </si>
  <si>
    <t>https://www.proquest.com/docview/2376146323?accountid=131239&amp;bdid=51804&amp;_bd=j0KLsnfQTAn6RzOWiEMTnsG%2FbLA%3D</t>
  </si>
  <si>
    <t>https://www.proquest.com/docview/2376146324?accountid=131239&amp;bdid=51804&amp;_bd=IsVqJfufRyx2Y83I6g4fFSCBGWo%3D</t>
  </si>
  <si>
    <t>https://www.proquest.com/docview/2376146720?accountid=131239&amp;bdid=51804&amp;_bd=j3irGiCJzCgcLaxP%2BrVT3XZVeEQ%3D</t>
  </si>
  <si>
    <t>https://www.proquest.com/docview/2376146566?accountid=131239&amp;bdid=51804&amp;_bd=j%2FD9V01EpiOn0EsdpK6dttO4x%2Fw%3D</t>
  </si>
  <si>
    <t>https://www.proquest.com/docview/2376146684?accountid=131239&amp;bdid=51804&amp;_bd=rE484LedxoKYZzHleFtXWPi%2FaBQ%3D</t>
  </si>
  <si>
    <t>https://www.proquest.com/docview/2376146322?accountid=131239&amp;bdid=51804&amp;_bd=85KNxDw%2BsIBqzCHm5ux%2FlTyJ5SA%3D</t>
  </si>
  <si>
    <t>https://www.proquest.com/docview/2376146285?accountid=131239&amp;bdid=51804&amp;_bd=Gqek7moCyB0pXVSuHKtyrL4ZzDU%3D</t>
  </si>
  <si>
    <t>https://www.proquest.com/docview/2376146280?accountid=131239&amp;bdid=51804&amp;_bd=rSbCkbb%2FN0UlucHNlG0nh3AeumM%3D</t>
  </si>
  <si>
    <t>https://www.proquest.com/docview/2376146718?accountid=131239&amp;bdid=51804&amp;_bd=ximhceiubLwcBDQjUx0bKhhH%2BHg%3D</t>
  </si>
  <si>
    <t>https://www.proquest.com/docview/2376146719?accountid=131239&amp;bdid=51804&amp;_bd=SDKEpN5uajyviXPQBwX5khKmPUo%3D</t>
  </si>
  <si>
    <t>https://www.proquest.com/docview/2376146716?accountid=131239&amp;bdid=51804&amp;_bd=f8AHxuMckqFGL3F2u1ZSCWu%2BDkg%3D</t>
  </si>
  <si>
    <t>https://www.proquest.com/docview/2376146717?accountid=131239&amp;bdid=51804&amp;_bd=BNNdA08NOPLRjd39KcNEYpQeJXg%3D</t>
  </si>
  <si>
    <t>https://www.proquest.com/docview/2376146319?accountid=131239&amp;bdid=51804&amp;_bd=AyLO6RT9wCsDSGepCbtYL9Y3xaI%3D</t>
  </si>
  <si>
    <t>https://www.proquest.com/docview/2376146438?accountid=131239&amp;bdid=51804&amp;_bd=YR05ODgLpLDS1U5o%2FeaMs4%2BTWZ0%3D</t>
  </si>
  <si>
    <t>https://www.proquest.com/docview/2376146314?accountid=131239&amp;bdid=51804&amp;_bd=gV3nBsGqB%2Fjk22YayGXuNs%2FJ6Hs%3D</t>
  </si>
  <si>
    <t>https://www.proquest.com/docview/2376146556?accountid=131239&amp;bdid=51804&amp;_bd=HtaQuo9rPkcYDHA58bnPh83oqRs%3D</t>
  </si>
  <si>
    <t>https://www.proquest.com/docview/2376146711?accountid=131239&amp;bdid=51804&amp;_bd=zOw9shrjOfkR86%2Fng4O91sYgDb0%3D</t>
  </si>
  <si>
    <t>https://www.proquest.com/docview/2376146315?accountid=131239&amp;bdid=51804&amp;_bd=0mM43kuG9C3c%2FJU%2BPVx7AFWcFp8%3D</t>
  </si>
  <si>
    <t>https://www.proquest.com/docview/2376146557?accountid=131239&amp;bdid=51804&amp;_bd=atarWw3chKFjVOQyOnDulmFUaEQ%3D</t>
  </si>
  <si>
    <t>https://www.proquest.com/docview/2376146279?accountid=131239&amp;bdid=51804&amp;_bd=%2BUQZW8j4xz3Sa1brVUJiPnKN5SQ%3D</t>
  </si>
  <si>
    <t>https://www.proquest.com/docview/2376146555?accountid=131239&amp;bdid=51804&amp;_bd=6%2FqX8GZmhldvYJZavL43PSLhYUI%3D</t>
  </si>
  <si>
    <t>https://www.proquest.com/docview/2376146676?accountid=131239&amp;bdid=51804&amp;_bd=ac8FValN8BPyp6zAj44z2sxGiCs%3D</t>
  </si>
  <si>
    <t>https://www.proquest.com/docview/2376146311?accountid=131239&amp;bdid=51804&amp;_bd=ecR26UGxpuTlU6waU5L%2BY%2BCXRFs%3D</t>
  </si>
  <si>
    <t>https://www.proquest.com/docview/2376146396?accountid=131239&amp;bdid=51804&amp;_bd=hmR4By%2BYf9VlqwctqPu2JQqCkbE%3D</t>
  </si>
  <si>
    <t>https://www.proquest.com/docview/2376146550?accountid=131239&amp;bdid=51804&amp;_bd=jV6Mv%2FfvV2cE2thirAv52aLWwWo%3D</t>
  </si>
  <si>
    <t>https://www.proquest.com/docview/2376146430?accountid=131239&amp;bdid=51804&amp;_bd=z7IDqB7jjM%2FcjTAov3IdJ6WGy3A%3D</t>
  </si>
  <si>
    <t>https://www.proquest.com/docview/2376146397?accountid=131239&amp;bdid=51804&amp;_bd=TSJJWXFCiABriwifEj18RCg0UH8%3D</t>
  </si>
  <si>
    <t>https://www.proquest.com/docview/2376146273?accountid=131239&amp;bdid=51804&amp;_bd=p73yhnuQrMAFlmLWy46OO%2BVAxGI%3D</t>
  </si>
  <si>
    <t>https://www.proquest.com/docview/2376146272?accountid=131239&amp;bdid=51804&amp;_bd=DthfS0Qv5eZAgpjhdSk6miJmJaY%3D</t>
  </si>
  <si>
    <t>https://www.proquest.com/docview/2376146707?accountid=131239&amp;bdid=51804&amp;_bd=0i2rLqK16Fx6Hrq4xcCtAikWufM%3D</t>
  </si>
  <si>
    <t>https://www.proquest.com/docview/2376146708?accountid=131239&amp;bdid=51804&amp;_bd=iHkOenuAHRHX1DuP0sak7LtE82c%3D</t>
  </si>
  <si>
    <t>https://www.proquest.com/docview/2376146306?accountid=131239&amp;bdid=51804&amp;_bd=%2FX%2BmzH1mJv%2FDpow66iKo0EOHHYw%3D</t>
  </si>
  <si>
    <t>https://www.proquest.com/docview/2376146543?accountid=131239&amp;bdid=51804&amp;_bd=Q7RL5hLCTdLv6QcEoELoaT57jyI%3D</t>
  </si>
  <si>
    <t>https://www.proquest.com/docview/2376146301?accountid=131239&amp;bdid=51804&amp;_bd=gAb64C83XUpuXbRRerSl%2FYID7f4%3D</t>
  </si>
  <si>
    <t>https://www.proquest.com/docview/2376146266?accountid=131239&amp;bdid=51804&amp;_bd=d1RQGgRFCdP9jDTl%2FpY8mJmquFQ%3D</t>
  </si>
  <si>
    <t>https://www.proquest.com/docview/2376146420?accountid=131239&amp;bdid=51804&amp;_bd=%2BZS9T1tfts9MTnlLZCtJfAeKpgg%3D</t>
  </si>
  <si>
    <t>https://www.proquest.com/docview/2376146265?accountid=131239&amp;bdid=51804&amp;_bd=yd3gQjJJX1%2B3pyDRH5j79fILOmU%3D</t>
  </si>
  <si>
    <t>https://www.proquest.com/docview/2376146661?accountid=131239&amp;bdid=51804&amp;_bd=WRAWXA3ehNkNskPOnlgaRmUQK4c%3D</t>
  </si>
  <si>
    <t>https://www.proquest.com/docview/2376146262?accountid=131239&amp;bdid=51804&amp;_bd=vnTXz0qMaDJH99BjMIJBV3fpKUU%3D</t>
  </si>
  <si>
    <t>https://www.proquest.com/docview/2376146384?accountid=131239&amp;bdid=51804&amp;_bd=CTxrf8pUjM0FQcS4Ou4zLt2XuKA%3D</t>
  </si>
  <si>
    <t>https://www.proquest.com/docview/2376146381?accountid=131239&amp;bdid=51804&amp;_bd=ImjuWLUNqs9zL8xAmBEz%2Bi6COsQ%3D</t>
  </si>
  <si>
    <t>https://www.proquest.com/docview/2376146658?accountid=131239&amp;bdid=51804&amp;_bd=tfqQbEj4wz9DqISxqSlJxYLKsGU%3D</t>
  </si>
  <si>
    <t>https://www.proquest.com/docview/2376146534?accountid=131239&amp;bdid=51804&amp;_bd=%2FGttsDk9hFGjpT7ajW%2Bf35%2FC%2BNY%3D</t>
  </si>
  <si>
    <t>https://www.proquest.com/docview/2376146413?accountid=131239&amp;bdid=51804&amp;_bd=CFMyBA7ZXq2X2E8yLhCj3EGoy74%3D</t>
  </si>
  <si>
    <t>https://www.proquest.com/docview/2376146653?accountid=131239&amp;bdid=51804&amp;_bd=%2F0IQgu20Ak%2B%2F6OPyCnxcZ%2BcRgX8%3D</t>
  </si>
  <si>
    <t>https://www.proquest.com/docview/2376146258?accountid=131239&amp;bdid=51804&amp;_bd=ZUoufcSMbuQlqw%2FZL33FhgvhrIc%3D</t>
  </si>
  <si>
    <t>https://www.proquest.com/docview/2376146412?accountid=131239&amp;bdid=51804&amp;_bd=Xmhm1HHSwjxUI8PGeuesVdGyoHA%3D</t>
  </si>
  <si>
    <t>https://www.proquest.com/docview/2376146652?accountid=131239&amp;bdid=51804&amp;_bd=Hie7PibmftelJt7fkhQrpbzZl0M%3D</t>
  </si>
  <si>
    <t>https://www.proquest.com/docview/2376146256?accountid=131239&amp;bdid=51804&amp;_bd=2N5kNVQDiE2PctkBi4CnzZ9L6gc%3D</t>
  </si>
  <si>
    <t>https://www.proquest.com/docview/2376146496?accountid=131239&amp;bdid=51804&amp;_bd=04svtB3Vt9pwHJS6hNJT2ZRgMZg%3D</t>
  </si>
  <si>
    <t>https://www.proquest.com/docview/2376146372?accountid=131239&amp;bdid=51804&amp;_bd=d3XS7sRio7lBbOreoLhrwphQD2c%3D</t>
  </si>
  <si>
    <t>https://www.proquest.com/docview/2376146250?accountid=131239&amp;bdid=51804&amp;_bd=wEog7%2B%2BpH%2FN%2FmRS41EGNMzswwa8%3D</t>
  </si>
  <si>
    <t>https://www.proquest.com/docview/2376146527?accountid=131239&amp;bdid=51804&amp;_bd=VgxMlosAHQ8Sp4GObwqCF70x7kg%3D</t>
  </si>
  <si>
    <t>https://www.proquest.com/docview/2376146649?accountid=131239&amp;bdid=51804&amp;_bd=q72ZfNki8eayBU6CJIe5QjkVo70%3D</t>
  </si>
  <si>
    <t>https://www.proquest.com/docview/2376146646?accountid=131239&amp;bdid=51804&amp;_bd=TJ2THzXHG7aegK3HzuYCb4qPC78%3D</t>
  </si>
  <si>
    <t>https://www.proquest.com/docview/2376146526?accountid=131239&amp;bdid=51804&amp;_bd=Q4Cqbhsi5cPTBmJa2R60mHUoa8I%3D</t>
  </si>
  <si>
    <t>https://www.proquest.com/docview/2376146524?accountid=131239&amp;bdid=51804&amp;_bd=7LP1LogkIFjuDmkN%2FirbA2MNGV0%3D</t>
  </si>
  <si>
    <t>https://www.proquest.com/docview/2376146642?accountid=131239&amp;bdid=51804&amp;_bd=G4HN78EQDwavGNGt64ry%2B8p5dDE%3D</t>
  </si>
  <si>
    <t>https://www.proquest.com/docview/2376146489?accountid=131239&amp;bdid=51804&amp;_bd=vQt4ZF%2Fpq667r7CCmGnfTzULfnc%3D</t>
  </si>
  <si>
    <t>https://www.proquest.com/docview/2376146520?accountid=131239&amp;bdid=51804&amp;_bd=5p4bCrKlykBeDUxDQTjzQULyL9U%3D</t>
  </si>
  <si>
    <t>https://www.proquest.com/docview/2376146485?accountid=131239&amp;bdid=51804&amp;_bd=hmV0rW2rSThG1ep%2FsyPjtylWrnA%3D</t>
  </si>
  <si>
    <t>https://www.proquest.com/docview/2376146361?accountid=131239&amp;bdid=51804&amp;_bd=qyjG6Waq8UkA6LMWvbF%2Bea1gMao%3D</t>
  </si>
  <si>
    <t>https://www.proquest.com/docview/2376146480?accountid=131239&amp;bdid=51804&amp;_bd=4hhNZXFNV0f0TQ8swgkoFUP1ZIw%3D</t>
  </si>
  <si>
    <t>https://www.proquest.com/docview/2376146481?accountid=131239&amp;bdid=51804&amp;_bd=OOFUEZDCH6Trw%2FlMuNoFrHlTCHQ%3D</t>
  </si>
  <si>
    <t>https://www.proquest.com/docview/2376146517?accountid=131239&amp;bdid=51804&amp;_bd=BTJyfWvSIL3NVa%2BiGtuNeJj1od4%3D</t>
  </si>
  <si>
    <t>https://www.proquest.com/docview/2376146638?accountid=131239&amp;bdid=51804&amp;_bd=NIJ7y2kmeXcJ1N1xdEotsUCdOKw%3D</t>
  </si>
  <si>
    <t>https://www.proquest.com/docview/2376146514?accountid=131239&amp;bdid=51804&amp;_bd=PSr0NHF9G%2Bus%2BeYnu8GiIZOrKBo%3D</t>
  </si>
  <si>
    <t>https://www.proquest.com/docview/2376146479?accountid=131239&amp;bdid=51804&amp;_bd=%2BS0pdl8mFH6XQVpfAdq8ToMDyDA%3D</t>
  </si>
  <si>
    <t>https://www.proquest.com/docview/2376146512?accountid=131239&amp;bdid=51804&amp;_bd=dFCfQ4rFoK3Mxn1lW%2B4L0UG6Fbk%3D</t>
  </si>
  <si>
    <t>https://www.proquest.com/docview/2376146356?accountid=131239&amp;bdid=51804&amp;_bd=OVdJg6ZlqG%2BJ4PERrVtKgcxMwxI%3D</t>
  </si>
  <si>
    <t>https://www.proquest.com/docview/2376146477?accountid=131239&amp;bdid=51804&amp;_bd=hyvd64t5r1Rc1TuJAvmfnDGN5Ts%3D</t>
  </si>
  <si>
    <t>https://www.proquest.com/docview/2376146510?accountid=131239&amp;bdid=51804&amp;_bd=I%2ByIj0emMEuMOS08rkqMgHkXGzA%3D</t>
  </si>
  <si>
    <t>https://www.proquest.com/docview/2376146594?accountid=131239&amp;bdid=51804&amp;_bd=IlZiZPF7OiQaCN55e9zxq3B8VYE%3D</t>
  </si>
  <si>
    <t>https://www.proquest.com/docview/2376146592?accountid=131239&amp;bdid=51804&amp;_bd=INMuR7%2FIUSYNWcDJuva9eUVgKMU%3D</t>
  </si>
  <si>
    <t>https://www.proquest.com/docview/2376146590?accountid=131239&amp;bdid=51804&amp;_bd=5YBgKtRzpHCHnwhp%2BrcUJfw0meE%3D</t>
  </si>
  <si>
    <t>https://www.proquest.com/docview/2376146591?accountid=131239&amp;bdid=51804&amp;_bd=4uzPgNn7y%2BmA%2FwbGdCBuRFNL%2B4Y%3D</t>
  </si>
  <si>
    <t>https://www.proquest.com/docview/2376146629?accountid=131239&amp;bdid=51804&amp;_bd=bLs8hcqP7ILp%2FVzKZRwdbw2ehOg%3D</t>
  </si>
  <si>
    <t>https://www.proquest.com/docview/2376146346?accountid=131239&amp;bdid=51804&amp;_bd=8n6H3c8EKQE%2FZomgmlFqltPfZFE%3D</t>
  </si>
  <si>
    <t>https://www.proquest.com/docview/2376146621?accountid=131239&amp;bdid=51804&amp;_bd=xHtwHGBDdti1l9Z0oUvJDsnhm8s%3D</t>
  </si>
  <si>
    <t>https://www.proquest.com/docview/2376146584?accountid=131239&amp;bdid=51804&amp;_bd=ctQ72I2uiW1rsbWNQA%2BATbiBSQM%3D</t>
  </si>
  <si>
    <t>https://www.proquest.com/docview/2376146463?accountid=131239&amp;bdid=51804&amp;_bd=O3EgNXyICs7iKHqMN8p179OvPpA%3D</t>
  </si>
  <si>
    <t>https://www.proquest.com/docview/2376146460?accountid=131239&amp;bdid=51804&amp;_bd=dEUwapbErID2Icd3HVtflVPActE%3D</t>
  </si>
  <si>
    <t>https://www.proquest.com/docview/2376146582?accountid=131239&amp;bdid=51804&amp;_bd=o8b2tD2IUqewUIZLi%2BD8IhZz2Js%3D</t>
  </si>
  <si>
    <t>https://www.proquest.com/docview/2376146615?accountid=131239&amp;bdid=51804&amp;_bd=vSxWISwdpXGPJOJdh4lo03X0TVs%3D</t>
  </si>
  <si>
    <t>https://www.proquest.com/docview/2376146699?accountid=131239&amp;bdid=51804&amp;_bd=fZ4GvyM7pAR4cliAQOYO1cG7cBg%3D</t>
  </si>
  <si>
    <t>https://www.proquest.com/docview/2376146578?accountid=131239&amp;bdid=51804&amp;_bd=mSY%2BOKsvtZuWNvm2NyxyXZy%2FeUs%3D</t>
  </si>
  <si>
    <t>https://www.proquest.com/docview/2376146458?accountid=131239&amp;bdid=51804&amp;_bd=Wl%2Bo58CO%2FtKXbtIVMujfJS8Ifnw%3D</t>
  </si>
  <si>
    <t>https://www.proquest.com/docview/2376146733?accountid=131239&amp;bdid=51804&amp;_bd=H54QKqikRdNuFWLnZRXv0uBOi7Y%3D</t>
  </si>
  <si>
    <t>https://www.proquest.com/docview/2376146334?accountid=131239&amp;bdid=51804&amp;_bd=nlkGlbhDm8vHvrIfCikyHmeLylw%3D</t>
  </si>
  <si>
    <t>https://www.proquest.com/docview/2376146455?accountid=131239&amp;bdid=51804&amp;_bd=bWghbYgidWlxiZOnnspeWCVAbnQ%3D</t>
  </si>
  <si>
    <t>https://www.proquest.com/docview/2376146731?accountid=131239&amp;bdid=51804&amp;_bd=wiXnqgkOWN9MQJxHHaE8kJhhbw4%3D</t>
  </si>
  <si>
    <t>https://www.proquest.com/docview/2376146178?accountid=131239&amp;bdid=51804&amp;_bd=mDGnUsTIFf98O6Mi7GQWJMVDsLY%3D</t>
  </si>
  <si>
    <t>https://www.proquest.com/docview/2376146057?accountid=131239&amp;bdid=51804&amp;_bd=63PDEOdouzusXqIkr00%2F6rDNxuM%3D</t>
  </si>
  <si>
    <t>https://www.proquest.com/docview/2376145761?accountid=131239&amp;bdid=51804&amp;_bd=W322UoWaaaWCt3Jq4Bxa3AZySLc%3D</t>
  </si>
  <si>
    <t>https://www.proquest.com/docview/2376146179?accountid=131239&amp;bdid=51804&amp;_bd=xLgvjbbLecUlPBL08%2FjuIyHtcNg%3D</t>
  </si>
  <si>
    <t>https://www.proquest.com/docview/2376146171?accountid=131239&amp;bdid=51804&amp;_bd=vV25jbv1ULJq4oTx4Jgw7ms43Ps%3D</t>
  </si>
  <si>
    <t>https://www.proquest.com/docview/2376145757?accountid=131239&amp;bdid=51804&amp;_bd=uKSlXfgBJW8J80RkwP%2B2m3A4FhE%3D</t>
  </si>
  <si>
    <t>https://www.proquest.com/docview/2376146169?accountid=131239&amp;bdid=51804&amp;_bd=jptbIRmQqtl9qDnyeOoWRWFWBhg%3D</t>
  </si>
  <si>
    <t>https://www.proquest.com/docview/2376145751?accountid=131239&amp;bdid=51804&amp;_bd=QThH4rbJUA%2BUOh%2BbDyG63wccdkQ%3D</t>
  </si>
  <si>
    <t>https://www.proquest.com/docview/2376145994?accountid=131239&amp;bdid=51804&amp;_bd=cXV4Hh6WDoT6VY3GG8APyJs5OOM%3D</t>
  </si>
  <si>
    <t>https://www.proquest.com/docview/2376146167?accountid=131239&amp;bdid=51804&amp;_bd=N3MjrRsf2Pkjp%2FHBbh8ehVKD2kk%3D</t>
  </si>
  <si>
    <t>https://www.proquest.com/docview/2376145992?accountid=131239&amp;bdid=51804&amp;_bd=zlIz9qB9hC27VwpKVrcMS5WFy3w%3D</t>
  </si>
  <si>
    <t>https://www.proquest.com/docview/2376146201?accountid=131239&amp;bdid=51804&amp;_bd=%2BczEs4rP12%2F%2BJLFwiXbYUoZRctQ%3D</t>
  </si>
  <si>
    <t>https://www.proquest.com/docview/2376146047?accountid=131239&amp;bdid=51804&amp;_bd=BlXtshCZFSzYBbweUSRNM%2FbicC4%3D</t>
  </si>
  <si>
    <t>https://www.proquest.com/docview/2376145990?accountid=131239&amp;bdid=51804&amp;_bd=ng9z%2FXApXunTpcR3g5oYYEnWDQI%3D</t>
  </si>
  <si>
    <t>https://www.proquest.com/docview/2376146164?accountid=131239&amp;bdid=51804&amp;_bd=MUTZnJ4XYyHDknkNWYFh4JvzZIY%3D</t>
  </si>
  <si>
    <t>https://www.proquest.com/docview/2376146040?accountid=131239&amp;bdid=51804&amp;_bd=JmWxSFuYzjIxDDdZ1qilQLMmJhg%3D</t>
  </si>
  <si>
    <t>https://www.proquest.com/docview/2376146160?accountid=131239&amp;bdid=51804&amp;_bd=bIPM8ol%2F32aKOBDuCDXJo1I1F98%3D</t>
  </si>
  <si>
    <t>https://www.proquest.com/docview/2376145748?accountid=131239&amp;bdid=51804&amp;_bd=oq%2FLcinejhXw4FyxCXPJ2QzY1l4%3D</t>
  </si>
  <si>
    <t>https://www.proquest.com/docview/2376146158?accountid=131239&amp;bdid=51804&amp;_bd=OujpMv79y7rqkcIpJiQUv%2BXdPXk%3D</t>
  </si>
  <si>
    <t>https://www.proquest.com/docview/2376145980?accountid=131239&amp;bdid=51804&amp;_bd=qsXm0Grxxd8UsJoiJnW1iPnNDVA%3D</t>
  </si>
  <si>
    <t>https://www.proquest.com/docview/2376146031?accountid=131239&amp;bdid=51804&amp;_bd=xMxwWPXSqr%2Bc%2BIr27EqgJEXzehc%3D</t>
  </si>
  <si>
    <t>https://www.proquest.com/docview/2376146150?accountid=131239&amp;bdid=51804&amp;_bd=SO7jmVgo0fvzVoVmLCVmvaIuhQg%3D</t>
  </si>
  <si>
    <t>https://www.proquest.com/docview/2376145738?accountid=131239&amp;bdid=51804&amp;_bd=dfsSuSE3pWCXRhzsFdjvbU8Ftek%3D</t>
  </si>
  <si>
    <t>https://www.proquest.com/docview/2376145977?accountid=131239&amp;bdid=51804&amp;_bd=P28WVAXZvfN2a3bD1Iq6tA%2FUbNQ%3D</t>
  </si>
  <si>
    <t>https://www.proquest.com/docview/2376145734?accountid=131239&amp;bdid=51804&amp;_bd=1SAu9JObFr1ee34mDzwzWmcZBKY%3D</t>
  </si>
  <si>
    <t>https://www.proquest.com/docview/2376146029?accountid=131239&amp;bdid=51804&amp;_bd=mwT%2BaWS7s1IBn8pEP8%2B4PzaQr7s%3D</t>
  </si>
  <si>
    <t>https://www.proquest.com/docview/2376146147?accountid=131239&amp;bdid=51804&amp;_bd=rpBIA%2Fo8%2FW1i83IsWmuaaAFqYm8%3D</t>
  </si>
  <si>
    <t>https://www.proquest.com/docview/2376145730?accountid=131239&amp;bdid=51804&amp;_bd=c6XMLLEIm6O9rbYeJf84p%2BlOU2E%3D</t>
  </si>
  <si>
    <t>https://www.proquest.com/docview/2376146146?accountid=131239&amp;bdid=51804&amp;_bd=88QqGY9vx4%2BRBbLSr7DI6w9CVCA%3D</t>
  </si>
  <si>
    <t>https://www.proquest.com/docview/2376146025?accountid=131239&amp;bdid=51804&amp;_bd=YwC5VGk4xGjgK0HlT0tJu8%2Bs6iU%3D</t>
  </si>
  <si>
    <t>https://www.proquest.com/docview/2376146144?accountid=131239&amp;bdid=51804&amp;_bd=5bnZgzU87XlHHYuBlpc51AVfknk%3D</t>
  </si>
  <si>
    <t>https://www.proquest.com/docview/2376145726?accountid=131239&amp;bdid=51804&amp;_bd=uyZSoIpa0PSlRvPCuXpbLparse0%3D</t>
  </si>
  <si>
    <t>https://www.proquest.com/docview/2376145727?accountid=131239&amp;bdid=51804&amp;_bd=n0EeuQ2gUunb%2BjQ5yZkGyJzPtDA%3D</t>
  </si>
  <si>
    <t>https://www.proquest.com/docview/2376145966?accountid=131239&amp;bdid=51804&amp;_bd=vwoDgbXcGeZ5p5uZlH4og5uA45o%3D</t>
  </si>
  <si>
    <t>https://www.proquest.com/docview/2376145724?accountid=131239&amp;bdid=51804&amp;_bd=L%2Bel7jzsJfYtFuTIZVCGh8e3AVc%3D</t>
  </si>
  <si>
    <t>https://www.proquest.com/docview/2376145963?accountid=131239&amp;bdid=51804&amp;_bd=z8KHao8sT3Ty8%2FrXk5YuElKdYN0%3D</t>
  </si>
  <si>
    <t>https://www.proquest.com/docview/2376146099?accountid=131239&amp;bdid=51804&amp;_bd=%2FfaFUrCd6BhGwLqHVLd%2FyqB944I%3D</t>
  </si>
  <si>
    <t>https://www.proquest.com/docview/2376146012?accountid=131239&amp;bdid=51804&amp;_bd=akZfdMouzBodqxDQ0h8DEcdED04%3D</t>
  </si>
  <si>
    <t>https://www.proquest.com/docview/2376146093?accountid=131239&amp;bdid=51804&amp;_bd=EbwgmzoW77w%2BQfizf1aLutO8M8A%3D</t>
  </si>
  <si>
    <t>https://www.proquest.com/docview/2376145719?accountid=131239&amp;bdid=51804&amp;_bd=chfKtWe%2B7oYM%2BojBrhLXavzaTnc%3D</t>
  </si>
  <si>
    <t>https://www.proquest.com/docview/2376145959?accountid=131239&amp;bdid=51804&amp;_bd=3ouS1m2swMgb71KkMf3mu75A%2BlA%3D</t>
  </si>
  <si>
    <t>https://www.proquest.com/docview/2376145718?accountid=131239&amp;bdid=51804&amp;_bd=okXrvkXwQFd1KabC1iROxs%2FdWZk%3D</t>
  </si>
  <si>
    <t>https://www.proquest.com/docview/2376145957?accountid=131239&amp;bdid=51804&amp;_bd=h1Ujd3kMyW9gPnmsoIjNv67IQ%2Bo%3D</t>
  </si>
  <si>
    <t>https://www.proquest.com/docview/2376145716?accountid=131239&amp;bdid=51804&amp;_bd=gYvCx2%2Fng31JSHhxtgQjifPDibY%3D</t>
  </si>
  <si>
    <t>https://www.proquest.com/docview/2376145799?accountid=131239&amp;bdid=51804&amp;_bd=gbbMirTJSaeURw1moGk32PYFHbY%3D</t>
  </si>
  <si>
    <t>https://www.proquest.com/docview/2376145832?accountid=131239&amp;bdid=51804&amp;_bd=OfwvbWonKZZneYTPUUWZuX%2Fcd6Q%3D</t>
  </si>
  <si>
    <t>https://www.proquest.com/docview/2376145954?accountid=131239&amp;bdid=51804&amp;_bd=EVW1U10mciTAMkMHLd6ryx9vtbA%3D</t>
  </si>
  <si>
    <t>https://www.proquest.com/docview/2376145830?accountid=131239&amp;bdid=51804&amp;_bd=Xn5X9sVwhuRdknap6NDlhMYK560%3D</t>
  </si>
  <si>
    <t>https://www.proquest.com/docview/2376146125?accountid=131239&amp;bdid=51804&amp;_bd=C9mcxngOadIxGfwZOOT5oqShXbY%3D</t>
  </si>
  <si>
    <t>https://www.proquest.com/docview/2376146123?accountid=131239&amp;bdid=51804&amp;_bd=ZkSNuEiwbvxWbhUUOgUGY%2B9Qylo%3D</t>
  </si>
  <si>
    <t>https://www.proquest.com/docview/2376146245?accountid=131239&amp;bdid=51804&amp;_bd=AFMiv8ZRfvMNPiw3gGxPqT8CVEo%3D</t>
  </si>
  <si>
    <t>https://www.proquest.com/docview/2376146088?accountid=131239&amp;bdid=51804&amp;_bd=B90Ol68W%2BYRti7xFUIkjJema1F0%3D</t>
  </si>
  <si>
    <t>https://www.proquest.com/docview/2376146243?accountid=131239&amp;bdid=51804&amp;_bd=oBKJMzNJRs9jiTASjExkNQV6PUg%3D</t>
  </si>
  <si>
    <t>https://www.proquest.com/docview/2376146084?accountid=131239&amp;bdid=51804&amp;_bd=NHH0m%2Bc5BQqAyCF1VjBNXaNsIco%3D</t>
  </si>
  <si>
    <t>https://www.proquest.com/docview/2376146080?accountid=131239&amp;bdid=51804&amp;_bd=sEovqSFOTsw6XVKggZWSTT53kRY%3D</t>
  </si>
  <si>
    <t>https://www.proquest.com/docview/2376145709?accountid=131239&amp;bdid=51804&amp;_bd=%2F3HEiW46VLNlovZs8swccAYHYX4%3D</t>
  </si>
  <si>
    <t>https://www.proquest.com/docview/2376145706?accountid=131239&amp;bdid=51804&amp;_bd=4c7XKA7W881tXSRjSzwkgE1mU7w%3D</t>
  </si>
  <si>
    <t>https://www.proquest.com/docview/2376145828?accountid=131239&amp;bdid=51804&amp;_bd=3wLV5KtdKvM08TwNvNOq7ZrQBZo%3D</t>
  </si>
  <si>
    <t>https://www.proquest.com/docview/2376145946?accountid=131239&amp;bdid=51804&amp;_bd=t83X1zIWlXFSZw5%2BLY78hjTnPoI%3D</t>
  </si>
  <si>
    <t>https://www.proquest.com/docview/2376145826?accountid=131239&amp;bdid=51804&amp;_bd=In6bZAwAZ%2Bin%2FDneN1Qpg73X5hk%3D</t>
  </si>
  <si>
    <t>https://www.proquest.com/docview/2376146239?accountid=131239&amp;bdid=51804&amp;_bd=1Fb1rwtvLmBxW011AQlQPW7jW3E%3D</t>
  </si>
  <si>
    <t>https://www.proquest.com/docview/2376146119?accountid=131239&amp;bdid=51804&amp;_bd=xJaj9PINoCp67gcj%2FK9WRBwiNy0%3D</t>
  </si>
  <si>
    <t>https://www.proquest.com/docview/2376146116?accountid=131239&amp;bdid=51804&amp;_bd=IET2NT%2F7fgTQ8%2BbRPMpmutJJVT4%3D</t>
  </si>
  <si>
    <t>https://www.proquest.com/docview/2376146237?accountid=131239&amp;bdid=51804&amp;_bd=7FH0nXmzfEUj%2FcjvtwLKWtDPAaY%3D</t>
  </si>
  <si>
    <t>https://www.proquest.com/docview/2376145820?accountid=131239&amp;bdid=51804&amp;_bd=nWdvpDuiOGuikuW8w%2BV%2BdClWWlY%3D</t>
  </si>
  <si>
    <t>https://www.proquest.com/docview/2376145787?accountid=131239&amp;bdid=51804&amp;_bd=2I%2BWMzglPxhwda1IsgQifC4VyD8%3D</t>
  </si>
  <si>
    <t>https://www.proquest.com/docview/2376145784?accountid=131239&amp;bdid=51804&amp;_bd=F%2Fs30AZ6xT9iGKpT7ZGWd96GrjY%3D</t>
  </si>
  <si>
    <t>https://www.proquest.com/docview/2376146236?accountid=131239&amp;bdid=51804&amp;_bd=Kk%2B1%2FK3TGCqJJqDR1vTJQv4YunY%3D</t>
  </si>
  <si>
    <t>https://www.proquest.com/docview/2376145785?accountid=131239&amp;bdid=51804&amp;_bd=EH6%2FdsGkZhFytEzSklBKHvI8neA%3D</t>
  </si>
  <si>
    <t>https://www.proquest.com/docview/2376145783?accountid=131239&amp;bdid=51804&amp;_bd=zJFQfVhgIu8d%2BhjuYsWW2cTMvzk%3D</t>
  </si>
  <si>
    <t>https://www.proquest.com/docview/2376146234?accountid=131239&amp;bdid=51804&amp;_bd=J%2F18r6r%2FEiFr6sUj61f%2B5GJdQfs%3D</t>
  </si>
  <si>
    <t>https://www.proquest.com/docview/2376146232?accountid=131239&amp;bdid=51804&amp;_bd=ln%2F56qEO2jUWI3rJbjWIaiFGaqc%3D</t>
  </si>
  <si>
    <t>https://www.proquest.com/docview/2376146076?accountid=131239&amp;bdid=51804&amp;_bd=GavSc0wtPQhA1%2FBO1EWJci%2BYzHc%3D</t>
  </si>
  <si>
    <t>https://www.proquest.com/docview/2376146197?accountid=131239&amp;bdid=51804&amp;_bd=8ePh9zPp6oRl5C9%2BGEvFXGGjxpY%3D</t>
  </si>
  <si>
    <t>https://www.proquest.com/docview/2376146195?accountid=131239&amp;bdid=51804&amp;_bd=T5kgT31a00G%2BkRHO5lfqJflgWZ0%3D</t>
  </si>
  <si>
    <t>https://www.proquest.com/docview/2376145816?accountid=131239&amp;bdid=51804&amp;_bd=aJAN%2FKAQ20ehbZNVL3fDtr3EZMA%3D</t>
  </si>
  <si>
    <t>https://www.proquest.com/docview/2376145938?accountid=131239&amp;bdid=51804&amp;_bd=fYGf5uF25n3KOWp1r%2BQYQ%2BecBk8%3D</t>
  </si>
  <si>
    <t>https://www.proquest.com/docview/2376145815?accountid=131239&amp;bdid=51804&amp;_bd=nOvZt8NwHdUWoq6NMv4wgE89KjE%3D</t>
  </si>
  <si>
    <t>https://www.proquest.com/docview/2376145931?accountid=131239&amp;bdid=51804&amp;_bd=HKy1s8JWncnoWEpYQEBhJ3WBzeE%3D</t>
  </si>
  <si>
    <t>https://www.proquest.com/docview/2376145810?accountid=131239&amp;bdid=51804&amp;_bd=MR1FwD5M1OfYPRAiH2uxwBoXD2o%3D</t>
  </si>
  <si>
    <t>https://www.proquest.com/docview/2376145778?accountid=131239&amp;bdid=51804&amp;_bd=E%2BnLdoyjNOBiXjc5ljdhok4El0E%3D</t>
  </si>
  <si>
    <t>https://www.proquest.com/docview/2376145776?accountid=131239&amp;bdid=51804&amp;_bd=6BQyOvuoIudzlypuWrVfLNo8hwU%3D</t>
  </si>
  <si>
    <t>https://www.proquest.com/docview/2376146225?accountid=131239&amp;bdid=51804&amp;_bd=HAkpgUQPHKKP%2ByLQ63hKfXqkfk4%3D</t>
  </si>
  <si>
    <t>https://www.proquest.com/docview/2376145774?accountid=131239&amp;bdid=51804&amp;_bd=lscugp9EySBn0oi8Zzhlm1BqOEU%3D</t>
  </si>
  <si>
    <t>https://www.proquest.com/docview/2376145771?accountid=131239&amp;bdid=51804&amp;_bd=wWUnfIhqB95PjDRE%2F5GR1N6236Y%3D</t>
  </si>
  <si>
    <t>https://www.proquest.com/docview/2376145772?accountid=131239&amp;bdid=51804&amp;_bd=m0LN9fsHgYv8OhZ2zWgn5tfP2iM%3D</t>
  </si>
  <si>
    <t>https://www.proquest.com/docview/2376146066?accountid=131239&amp;bdid=51804&amp;_bd=RCwl78MoZ9A1bxFjwanF4mMSLl4%3D</t>
  </si>
  <si>
    <t>https://www.proquest.com/docview/2376146220?accountid=131239&amp;bdid=51804&amp;_bd=9wlgJnxsu9d7MGAX20qvjVTF5WI%3D</t>
  </si>
  <si>
    <t>https://www.proquest.com/docview/2376146100?accountid=131239&amp;bdid=51804&amp;_bd=Eg6EmxjvNAc3T1g5d3UxWn4DYt0%3D</t>
  </si>
  <si>
    <t>https://www.proquest.com/docview/2376146064?accountid=131239&amp;bdid=51804&amp;_bd=i1%2FWFy%2BW9k6vAWASQMDHqAiZUyc%3D</t>
  </si>
  <si>
    <t>https://www.proquest.com/docview/2376146065?accountid=131239&amp;bdid=51804&amp;_bd=QprLtDo5qj92kO7LKa%2FS7GRmkbY%3D</t>
  </si>
  <si>
    <t>https://www.proquest.com/docview/2376146186?accountid=131239&amp;bdid=51804&amp;_bd=7n8sjf%2FBNv%2FOjq67ep5hK11K%2FSI%3D</t>
  </si>
  <si>
    <t>https://www.proquest.com/docview/2376146183?accountid=131239&amp;bdid=51804&amp;_bd=LY4nEA%2FpfK9yUPDTgKUygFe62Ic%3D</t>
  </si>
  <si>
    <t>https://www.proquest.com/docview/2376146184?accountid=131239&amp;bdid=51804&amp;_bd=A2YKMydykW1xdliRZ58CKM6LHTQ%3D</t>
  </si>
  <si>
    <t>https://www.proquest.com/docview/2376146060?accountid=131239&amp;bdid=51804&amp;_bd=bbfz9CRWdehSJNh68QeCS%2Ba70TQ%3D</t>
  </si>
  <si>
    <t>https://www.proquest.com/docview/2376146182?accountid=131239&amp;bdid=51804&amp;_bd=%2BoF%2B186kD6unF16rfnsJf393O4Y%3D</t>
  </si>
  <si>
    <t>https://www.proquest.com/docview/2376145926?accountid=131239&amp;bdid=51804&amp;_bd=VDPio7Y3uwatx20f8yLkbiZ568Q%3D</t>
  </si>
  <si>
    <t>https://www.proquest.com/docview/2376145925?accountid=131239&amp;bdid=51804&amp;_bd=Hn3usILQh9HcgrOF04NyXZETzL4%3D</t>
  </si>
  <si>
    <t>https://www.proquest.com/docview/2376145767?accountid=131239&amp;bdid=51804&amp;_bd=0N2YB%2BbYd%2FOyNxx51MU9yvxmMiU%3D</t>
  </si>
  <si>
    <t>https://www.proquest.com/docview/2376146216?accountid=131239&amp;bdid=51804&amp;_bd=gTRbDFrrnWVmh6BbdFIGwGHcEK0%3D</t>
  </si>
  <si>
    <t>https://www.proquest.com/docview/2781657929?accountid=131239&amp;bdid=51804&amp;_bd=Deb7mWmBBmAdf108WMhPtSCVNxY%3D</t>
  </si>
  <si>
    <t>https://www.proquest.com/docview/2584325711?accountid=131239&amp;bdid=51804&amp;_bd=GPP9ZkpHv%2F6ihLE26FRJ8Zri2HY%3D</t>
  </si>
  <si>
    <t>https://www.proquest.com/docview/2376145638?accountid=131239&amp;bdid=51804&amp;_bd=KAlEVmB1newcB7eS5fqPTnj37sI%3D</t>
  </si>
  <si>
    <t>https://www.proquest.com/docview/2084467851?accountid=131239&amp;bdid=51804&amp;_bd=Mknqkn9y1spfU1YuQDizXHfqUaE%3D</t>
  </si>
  <si>
    <t>https://www.proquest.com/docview/2376145634?accountid=131239&amp;bdid=51804&amp;_bd=AYmIeHAzjsbW214bZCH6SX0wtA0%3D</t>
  </si>
  <si>
    <t>https://www.proquest.com/docview/2781654703?accountid=131239&amp;bdid=51804&amp;_bd=8QfN0o23rFpCdP0e9btL1686%2Fws%3D</t>
  </si>
  <si>
    <t>https://www.proquest.com/docview/2064225484?accountid=131239&amp;bdid=51804&amp;_bd=4itaFc5kRDLKEVe%2BpCmTDLTP5JE%3D</t>
  </si>
  <si>
    <t>https://www.proquest.com/docview/2781654704?accountid=131239&amp;bdid=51804&amp;_bd=eZV8osEaHe0cFt5hr2two9lCo2w%3D</t>
  </si>
  <si>
    <t>https://www.proquest.com/docview/2768791517?accountid=131239&amp;bdid=51804&amp;_bd=Ni8%2FOwMZTQgoWLXVt0tb5a7mwrU%3D</t>
  </si>
  <si>
    <t>https://www.proquest.com/docview/2781654676?accountid=131239&amp;bdid=51804&amp;_bd=I%2BWwAUpJiOCkqFYyb464Z0xWsu0%3D</t>
  </si>
  <si>
    <t>https://www.proquest.com/docview/2376145620?accountid=131239&amp;bdid=51804&amp;_bd=mWm1wYQM58mn8Z56FGb%2BxoqLfuI%3D</t>
  </si>
  <si>
    <t>https://www.proquest.com/docview/2781654670?accountid=131239&amp;bdid=51804&amp;_bd=Y0wBpB3YBxF8DboB3MoO1V0HbMY%3D</t>
  </si>
  <si>
    <t>https://www.proquest.com/docview/2781654717?accountid=131239&amp;bdid=51804&amp;_bd=Xfuduo0Nk1J2gW9o3BXjGuBTSAY%3D</t>
  </si>
  <si>
    <t>https://www.proquest.com/docview/2781654718?accountid=131239&amp;bdid=51804&amp;_bd=nf1KbEepbUWBPzvtlvMvrSlLTl4%3D</t>
  </si>
  <si>
    <t>https://www.proquest.com/docview/2126613856?accountid=131239&amp;bdid=51804&amp;_bd=27yZbHwruQdUjltucW4%2FiCsP1fs%3D</t>
  </si>
  <si>
    <t>https://www.proquest.com/docview/2376145619?accountid=131239&amp;bdid=51804&amp;_bd=dkac4WFJaRpde%2Fjl000EMVy6MAc%3D</t>
  </si>
  <si>
    <t>https://www.proquest.com/docview/2376145616?accountid=131239&amp;bdid=51804&amp;_bd=Fq%2Bq4Ulh%2BXnL27gINFupgio8NSY%3D</t>
  </si>
  <si>
    <t>https://www.proquest.com/docview/2376145617?accountid=131239&amp;bdid=51804&amp;_bd=fr571cJ4gOlR%2F6xOqtLTxZiWbic%3D</t>
  </si>
  <si>
    <t>https://www.proquest.com/docview/2376145615?accountid=131239&amp;bdid=51804&amp;_bd=eiyJ4s6ivIwz5QM47dXyKPdwV3o%3D</t>
  </si>
  <si>
    <t>https://www.proquest.com/docview/2781652307?accountid=131239&amp;bdid=51804&amp;_bd=5tL7SeUN4quT8CvaBi9uKk8CA80%3D</t>
  </si>
  <si>
    <t>https://www.proquest.com/docview/2781652306?accountid=131239&amp;bdid=51804&amp;_bd=%2BkQxCfvarZS3IYhrQc3XKQU6Efw%3D</t>
  </si>
  <si>
    <t>https://www.proquest.com/docview/2094427681?accountid=131239&amp;bdid=51804&amp;_bd=q9C%2F%2BYsl1RppRRpj9TIueeYWgaE%3D</t>
  </si>
  <si>
    <t>https://www.proquest.com/docview/2181060262?accountid=131239&amp;bdid=51804&amp;_bd=o48TCfmoURTskh7HAuXA0Bs54pg%3D</t>
  </si>
  <si>
    <t>https://www.proquest.com/docview/2781654611?accountid=131239&amp;bdid=51804&amp;_bd=M1%2FzDxrujo5lWnoaH9UYx6G2pPo%3D</t>
  </si>
  <si>
    <t>https://www.proquest.com/docview/2781654732?accountid=131239&amp;bdid=51804&amp;_bd=sOe%2BQAFytzlthTqPoerGkb5vS%2FA%3D</t>
  </si>
  <si>
    <t>https://www.proquest.com/docview/2781654612?accountid=131239&amp;bdid=51804&amp;_bd=ERT0tGkRVNuYJ6UFBMEvLfLSi9w%3D</t>
  </si>
  <si>
    <t>https://www.proquest.com/docview/2376145688?accountid=131239&amp;bdid=51804&amp;_bd=qkcVitIeKJnQ5c31Kt1Zu94TlSg%3D</t>
  </si>
  <si>
    <t>https://www.proquest.com/docview/2376145685?accountid=131239&amp;bdid=51804&amp;_bd=EZJqisYr%2BYDEnS%2BcekveZbFfwTA%3D</t>
  </si>
  <si>
    <t>https://www.proquest.com/docview/2376145681?accountid=131239&amp;bdid=51804&amp;_bd=1dwQYKCkpt6RERh6BNUQ5tUjCeg%3D</t>
  </si>
  <si>
    <t>https://www.proquest.com/docview/2198521640?accountid=131239&amp;bdid=51804&amp;_bd=QedcD7roGkaDufZHKpEMp33Z4d0%3D</t>
  </si>
  <si>
    <t>https://www.proquest.com/docview/2198521642?accountid=131239&amp;bdid=51804&amp;_bd=bF6p3gHZ2OWrjGOnDBq2Eq7%2BSZg%3D</t>
  </si>
  <si>
    <t>https://www.proquest.com/docview/2198521641?accountid=131239&amp;bdid=51804&amp;_bd=usMoNdm0wUoZAZ%2Fyztvwgvwz9m4%3D</t>
  </si>
  <si>
    <t>https://www.proquest.com/docview/2198521643?accountid=131239&amp;bdid=51804&amp;_bd=zrpMCHVUvhopIjx6nZ0oATVeL6Q%3D</t>
  </si>
  <si>
    <t>https://www.proquest.com/docview/2781654614?accountid=131239&amp;bdid=51804&amp;_bd=wyQ6j%2FNJNe3LJDVTQYB7a5ZmRl4%3D</t>
  </si>
  <si>
    <t>https://www.proquest.com/docview/2781654615?accountid=131239&amp;bdid=51804&amp;_bd=B7HKXBImXtPUZDbqyXK69kEtsVY%3D</t>
  </si>
  <si>
    <t>https://www.proquest.com/docview/2781654616?accountid=131239&amp;bdid=51804&amp;_bd=E9xQNuGwLMqEPPzv4Tj35Wqo4so%3D</t>
  </si>
  <si>
    <t>https://www.proquest.com/docview/2781657972?accountid=131239&amp;bdid=51804&amp;_bd=0Gu06I1kewsXIA6nmu51H5WR%2BvQ%3D</t>
  </si>
  <si>
    <t>https://www.proquest.com/docview/2781657971?accountid=131239&amp;bdid=51804&amp;_bd=e8m8Lt839dFHoCknxqMPdaUb2vg%3D</t>
  </si>
  <si>
    <t>https://www.proquest.com/docview/2781653093?accountid=131239&amp;bdid=51804&amp;_bd=SMQFdZLJyttxOwwt7K5tX3nJ7Ec%3D</t>
  </si>
  <si>
    <t>https://www.proquest.com/docview/2781654620?accountid=131239&amp;bdid=51804&amp;_bd=qE9BolANOm5AWzPtI4prJApPjT8%3D</t>
  </si>
  <si>
    <t>https://www.proquest.com/docview/2781654621?accountid=131239&amp;bdid=51804&amp;_bd=I69%2B4YPNk2ibYrKl1yuqjJj8l2s%3D</t>
  </si>
  <si>
    <t>https://www.proquest.com/docview/2781654622?accountid=131239&amp;bdid=51804&amp;_bd=sTxyY7NGYUn2Q%2BMLXkezRqQ5uik%3D</t>
  </si>
  <si>
    <t>https://www.proquest.com/docview/2094422901?accountid=131239&amp;bdid=51804&amp;_bd=GjS2wGscJuWIasKKAmMuN996IlU%3D</t>
  </si>
  <si>
    <t>https://www.proquest.com/docview/2781654623?accountid=131239&amp;bdid=51804&amp;_bd=JVz6B%2F8RGPWUe%2B5xZg%2B%2FsYrAgXs%3D</t>
  </si>
  <si>
    <t>https://www.proquest.com/docview/2198521634?accountid=131239&amp;bdid=51804&amp;_bd=dulRiom9ycnhyavzmsMB7Hf%2BjT0%3D</t>
  </si>
  <si>
    <t>https://www.proquest.com/docview/2781658142?accountid=131239&amp;bdid=51804&amp;_bd=QdtVPKNOpkKC7acH8M62EEbSWHA%3D</t>
  </si>
  <si>
    <t>https://www.proquest.com/docview/2198521637?accountid=131239&amp;bdid=51804&amp;_bd=q7VJ%2Bed1RWuYpsagXy2PopU4AHI%3D</t>
  </si>
  <si>
    <t>https://www.proquest.com/docview/2781658144?accountid=131239&amp;bdid=51804&amp;_bd=16YbaHV2gdqr3Az62ZrggZDt%2FGY%3D</t>
  </si>
  <si>
    <t>https://www.proquest.com/docview/2781658023?accountid=131239&amp;bdid=51804&amp;_bd=LBEKXhoa1k1evYYfiS6Iq7PdRCo%3D</t>
  </si>
  <si>
    <t>https://www.proquest.com/docview/2376145676?accountid=131239&amp;bdid=51804&amp;_bd=R1XpEp4oZZFl3jMUuINUlRawnsY%3D</t>
  </si>
  <si>
    <t>https://www.proquest.com/docview/2781658143?accountid=131239&amp;bdid=51804&amp;_bd=az%2BUWGLkXt9CjRx2w%2F0MuQyobXU%3D</t>
  </si>
  <si>
    <t>https://www.proquest.com/docview/2093498589?accountid=131239&amp;bdid=51804&amp;_bd=rX9WZ1eazQg30x2fEW3ju3lWWRQ%3D</t>
  </si>
  <si>
    <t>https://www.proquest.com/docview/2781658024?accountid=131239&amp;bdid=51804&amp;_bd=LeTsMfqrXkicnCbTtZqglL%2FCkNc%3D</t>
  </si>
  <si>
    <t>https://www.proquest.com/docview/2781658145?accountid=131239&amp;bdid=51804&amp;_bd=bgrS2HLQ9EYkYrdTw6Uj09Z22XA%3D</t>
  </si>
  <si>
    <t>https://www.proquest.com/docview/2064225448?accountid=131239&amp;bdid=51804&amp;_bd=SKDabpc%2Fo8Ft53SPK9U8hx4aWfs%3D</t>
  </si>
  <si>
    <t>https://www.proquest.com/docview/2198521633?accountid=131239&amp;bdid=51804&amp;_bd=ESnZ2chrMKWr25ScVxAxVERcdE4%3D</t>
  </si>
  <si>
    <t>https://www.proquest.com/docview/2064225445?accountid=131239&amp;bdid=51804&amp;_bd=6e5NsnqgTP%2BthdUjChoxIU9HdoE%3D</t>
  </si>
  <si>
    <t>https://www.proquest.com/docview/2198521632?accountid=131239&amp;bdid=51804&amp;_bd=iux2Dz%2Fg%2B3VvYsqBTtH0LSKt61k%3D</t>
  </si>
  <si>
    <t>https://www.proquest.com/docview/2781658159?accountid=131239&amp;bdid=51804&amp;_bd=6ds%2BNN3BsSK8dlA7DgIjGH%2FmG2U%3D</t>
  </si>
  <si>
    <t>https://www.proquest.com/docview/2781652051?accountid=131239&amp;bdid=51804&amp;_bd=zKz0suuEPZdXHdgwrdFYeQkh2eM%3D</t>
  </si>
  <si>
    <t>https://www.proquest.com/docview/2781652050?accountid=131239&amp;bdid=51804&amp;_bd=eoG8XxPD2umd9ktxgfc67mqjuO4%3D</t>
  </si>
  <si>
    <t>https://www.proquest.com/docview/2084391695?accountid=131239&amp;bdid=51804&amp;_bd=lc62I4Y45qqHaUprLsRrmBSdvkM%3D</t>
  </si>
  <si>
    <t>https://www.proquest.com/docview/2781657901?accountid=131239&amp;bdid=51804&amp;_bd=VTnbC%2FmhMqUivZTyoQhtEwI1GFE%3D</t>
  </si>
  <si>
    <t>https://www.proquest.com/docview/2376145702?accountid=131239&amp;bdid=51804&amp;_bd=mtSI0wSatVSZLIpFj8k1iGmKL%2F4%3D</t>
  </si>
  <si>
    <t>https://www.proquest.com/docview/2781658032?accountid=131239&amp;bdid=51804&amp;_bd=Z3Bw%2FGAdamvNc%2FqG0Ro0xuju6Ds%3D</t>
  </si>
  <si>
    <t>https://www.proquest.com/docview/2781652058?accountid=131239&amp;bdid=51804&amp;_bd=R1Byvk7kwy0af9h1qGzYw0pEguw%3D</t>
  </si>
  <si>
    <t>https://www.proquest.com/docview/2781658034?accountid=131239&amp;bdid=51804&amp;_bd=zjnzAcb02wFZMWAxzzxWhECYtfw%3D</t>
  </si>
  <si>
    <t>https://www.proquest.com/docview/2376145666?accountid=131239&amp;bdid=51804&amp;_bd=SJ6mq3XhQtqp9qf32SjGi9tO9wc%3D</t>
  </si>
  <si>
    <t>https://www.proquest.com/docview/2781652055?accountid=131239&amp;bdid=51804&amp;_bd=JqRAQ%2BQlUFzcZUJFpnRkP%2Fiz7k0%3D</t>
  </si>
  <si>
    <t>https://www.proquest.com/docview/2781658033?accountid=131239&amp;bdid=51804&amp;_bd=OePtHfqwk4qHbBgM9s73gFtLrJI%3D</t>
  </si>
  <si>
    <t>https://www.proquest.com/docview/2376145663?accountid=131239&amp;bdid=51804&amp;_bd=K57EDwZYffOXq%2FRmBS68SlToIQY%3D</t>
  </si>
  <si>
    <t>https://www.proquest.com/docview/2781658036?accountid=131239&amp;bdid=51804&amp;_bd=OjPXzY54yqj6aJ4viTLjq99JbfA%3D</t>
  </si>
  <si>
    <t>https://www.proquest.com/docview/2064225453?accountid=131239&amp;bdid=51804&amp;_bd=JAo9LgJKsL8%2BLwl4%2BNH0Ys0rE9w%3D</t>
  </si>
  <si>
    <t>https://www.proquest.com/docview/2781657903?accountid=131239&amp;bdid=51804&amp;_bd=mvABtlxzGRVLBwuABG9wDsyMybU%3D</t>
  </si>
  <si>
    <t>https://www.proquest.com/docview/2781657902?accountid=131239&amp;bdid=51804&amp;_bd=Q6zoE80miWjfPi49rsdhJZsjPkA%3D</t>
  </si>
  <si>
    <t>https://www.proquest.com/docview/2781657905?accountid=131239&amp;bdid=51804&amp;_bd=cJlNRKSggXDSKjIutnWIQqp2Zr4%3D</t>
  </si>
  <si>
    <t>https://www.proquest.com/docview/2781654637?accountid=131239&amp;bdid=51804&amp;_bd=n%2FuaT5A57XEVt9pD3YV%2FxR46H4M%3D</t>
  </si>
  <si>
    <t>https://www.proquest.com/docview/2781657904?accountid=131239&amp;bdid=51804&amp;_bd=KKmqP0bbfRV4IDwm2s1otzvytIk%3D</t>
  </si>
  <si>
    <t>https://www.proquest.com/docview/2176274590?accountid=131239&amp;bdid=51804&amp;_bd=2vnqfaTnyPqKUFHiX428WN%2BM4PM%3D</t>
  </si>
  <si>
    <t>https://www.proquest.com/docview/2781652063?accountid=131239&amp;bdid=51804&amp;_bd=0UbF2pNooJGg%2BRAlq6z6vUR5Aik%3D</t>
  </si>
  <si>
    <t>https://www.proquest.com/docview/2768791423?accountid=131239&amp;bdid=51804&amp;_bd=aNN%2BUhGPVZviIjQKmrG%2B0qi1IzY%3D</t>
  </si>
  <si>
    <t>https://www.proquest.com/docview/2781654640?accountid=131239&amp;bdid=51804&amp;_bd=wJrBq44nJM4DMNl31fphUYK6mo8%3D</t>
  </si>
  <si>
    <t>https://www.proquest.com/docview/2781652060?accountid=131239&amp;bdid=51804&amp;_bd=y0ro9vTHnzjn1wBIWBiSeitTdhs%3D</t>
  </si>
  <si>
    <t>https://www.proquest.com/docview/2781654645?accountid=131239&amp;bdid=51804&amp;_bd=Q6qPkVDUfcBuCDIW1OEey2XykLQ%3D</t>
  </si>
  <si>
    <t>https://www.proquest.com/docview/2781652064?accountid=131239&amp;bdid=51804&amp;_bd=eJXUHJS7z%2F25ked9OW7H596RmXA%3D</t>
  </si>
  <si>
    <t>https://www.proquest.com/docview/2376145650?accountid=131239&amp;bdid=51804&amp;_bd=vOoLEmPWtSPlmaVNyRb%2BDEPfwVs%3D</t>
  </si>
  <si>
    <t>https://www.proquest.com/docview/2198521651?accountid=131239&amp;bdid=51804&amp;_bd=J46myVbf3nJlzTwUwTsB2ok%2B5rE%3D</t>
  </si>
  <si>
    <t>https://www.proquest.com/docview/2198521650?accountid=131239&amp;bdid=51804&amp;_bd=hnSFbMu4bt6XLpxQ3AVkLqz0FE0%3D</t>
  </si>
  <si>
    <t>https://www.proquest.com/docview/2198521653?accountid=131239&amp;bdid=51804&amp;_bd=oQ%2FRLvEoZxPEKcwNuCsRbKd1apE%3D</t>
  </si>
  <si>
    <t>https://www.proquest.com/docview/2198521655?accountid=131239&amp;bdid=51804&amp;_bd=CSyTRVbX%2BMgOiEk73xFFHgWclBI%3D</t>
  </si>
  <si>
    <t>https://www.proquest.com/docview/2781657916?accountid=131239&amp;bdid=51804&amp;_bd=Knn6%2FN7qmbRjomWQkfug%2FziA7JY%3D</t>
  </si>
  <si>
    <t>Alcohol Use Assessment A-4, in Alcohol Assessment Series</t>
  </si>
  <si>
    <t>https://www.proquest.com/docview/2584325717?accountid=131239&amp;bdid=51804&amp;_bd=E038minWj4CDH6sKaPV6FYpC%2BuU%3D</t>
  </si>
  <si>
    <t>https://www.proquest.com/docview/2781658214?accountid=131239&amp;bdid=51804&amp;_bd=Li2waVhn%2BN%2FL4KUlvVByTAWfJqU%3D</t>
  </si>
  <si>
    <t>https://www.proquest.com/docview/2093362370?accountid=131239&amp;bdid=51804&amp;_bd=iS19IvUD31Cq1%2Bo72fcCSpm7k6E%3D</t>
  </si>
  <si>
    <t>https://www.proquest.com/docview/2198521646?accountid=131239&amp;bdid=51804&amp;_bd=hIfLcIPdRNd66iJdn45aOkwoFVY%3D</t>
  </si>
  <si>
    <t>https://www.proquest.com/docview/2198521645?accountid=131239&amp;bdid=51804&amp;_bd=q6c0eYCRVqej1hlislqknYh6DuM%3D</t>
  </si>
  <si>
    <t>https://www.proquest.com/docview/2198521647?accountid=131239&amp;bdid=51804&amp;_bd=Vq3iqt2udJEdJJQf51IDfLiCNkY%3D</t>
  </si>
  <si>
    <t>https://www.proquest.com/docview/2781658297?accountid=131239&amp;bdid=51804&amp;_bd=SndZYS9dL3PJgm%2Bne%2FS6WslUTJY%3D</t>
  </si>
  <si>
    <t>https://www.proquest.com/docview/2198521649?accountid=131239&amp;bdid=51804&amp;_bd=NCIo0GhLeUzjmw9TEJzspT0hauo%3D</t>
  </si>
  <si>
    <t>https://www.proquest.com/docview/2781658299?accountid=131239&amp;bdid=51804&amp;_bd=1zdOTSsfqPUboHcSSPawHHQBDss%3D</t>
  </si>
  <si>
    <t>https://www.proquest.com/docview/2584325426?accountid=131239&amp;bdid=51804&amp;_bd=jr5XFi8siMpqMsknN%2FOYdG7MkLA%3D</t>
  </si>
  <si>
    <t>https://www.proquest.com/docview/2781657928?accountid=131239&amp;bdid=51804&amp;_bd=8GIhoOHJMZXA5AI83KEUVFzytsA%3D</t>
  </si>
  <si>
    <t>https://www.proquest.com/docview/1894999875?accountid=131239&amp;bdid=51804&amp;_bd=H2wui5svy8KjmNcLqN3MIBDj3IY%3D</t>
  </si>
  <si>
    <t>https://www.proquest.com/docview/2781657930?accountid=131239&amp;bdid=51804&amp;_bd=5fqGRNDIwjWRFKmSVCdvOc08x0w%3D</t>
  </si>
  <si>
    <t>https://www.proquest.com/docview/2781654663?accountid=131239&amp;bdid=51804&amp;_bd=WKkPcfAySIOc9j%2FJwDqQDlKuaWo%3D</t>
  </si>
  <si>
    <t>https://www.proquest.com/docview/2781657899?accountid=131239&amp;bdid=51804&amp;_bd=MAB6SGLIJ8Eslc9Ecw4R8au%2BRGY%3D</t>
  </si>
  <si>
    <t>https://www.proquest.com/docview/2584325433?accountid=131239&amp;bdid=51804&amp;_bd=1BVbXiHFKDue%2Be%2FjY8ksV%2FvLPv0%3D</t>
  </si>
  <si>
    <t>Alcohol Use Assessment A-2, in Alcohol Assessment Series</t>
  </si>
  <si>
    <t>https://www.proquest.com/docview/2584325710?accountid=131239&amp;bdid=51804&amp;_bd=6YpIBl8DGUOwd9jZ%2B9qdkaDQwDE%3D</t>
  </si>
  <si>
    <t>https://www.proquest.com/docview/2584325435?accountid=131239&amp;bdid=51804&amp;_bd=SEdDmimQVqa4FK%2BXl4U1q25dtGk%3D</t>
  </si>
  <si>
    <t>https://www.proquest.com/docview/2584325393?accountid=131239&amp;bdid=51804&amp;_bd=tKhJ0k2JIbWrxbFUbaSE6CY8pd8%3D</t>
  </si>
  <si>
    <t>https://www.proquest.com/docview/1892045552?accountid=131239&amp;bdid=51804&amp;_bd=TgveEFV%2BRlH21nQX0dkCA%2BQBFC4%3D</t>
  </si>
  <si>
    <t>https://www.proquest.com/docview/1895008246?accountid=131239&amp;bdid=51804&amp;_bd=yx%2BECOUCwG0LpSkmYEPCzFs7FrE%3D</t>
  </si>
  <si>
    <t>https://www.proquest.com/docview/2781654668?accountid=131239&amp;bdid=51804&amp;_bd=e%2BL1R%2FtBv0fR3cWfwn1beQKrU%2Fo%3D</t>
  </si>
  <si>
    <t>https://www.proquest.com/docview/1916835026?accountid=131239&amp;bdid=51804&amp;_bd=6qji%2FJUsUV3R2bXzGEzeVui8zAA%3D</t>
  </si>
  <si>
    <t>https://www.proquest.com/docview/2584325538?accountid=131239&amp;bdid=51804&amp;_bd=LKvUlNzIKwZO91lK%2FkpbxYLm84o%3D</t>
  </si>
  <si>
    <t>https://www.proquest.com/docview/2781654673?accountid=131239&amp;bdid=51804&amp;_bd=qxju2BJITEt4sR%2BSUcuGGdZA2sc%3D</t>
  </si>
  <si>
    <t>https://www.proquest.com/docview/2584325421?accountid=131239&amp;bdid=51804&amp;_bd=9MLqB6HazoG1jv5g5MbUqAm5fzU%3D</t>
  </si>
  <si>
    <t>https://www.proquest.com/docview/2584325148?accountid=131239&amp;bdid=51804&amp;_bd=B09V4d5TBBmcE7jRK4Vbvvkc8us%3D</t>
  </si>
  <si>
    <t>https://www.proquest.com/docview/2584325422?accountid=131239&amp;bdid=51804&amp;_bd=PEkkhXQDrc9PUVrdCH6xu%2FMAA0o%3D</t>
  </si>
  <si>
    <t>https://www.proquest.com/docview/1892047361?accountid=131239&amp;bdid=51804&amp;_bd=HsPtRujHdJXfe1kEV%2BUZHAyvBf4%3D</t>
  </si>
  <si>
    <t>https://www.proquest.com/docview/1892049782?accountid=131239&amp;bdid=51804&amp;_bd=ffoxnm5UtemGF6axchTCXffnwAM%3D</t>
  </si>
  <si>
    <t>https://www.proquest.com/docview/1872509274?accountid=131239&amp;bdid=51804&amp;_bd=%2BOcsGBpTm%2BPH%2BS7WDid6iphxolk%3D</t>
  </si>
  <si>
    <t>https://www.proquest.com/docview/1924837735?accountid=131239&amp;bdid=51804&amp;_bd=j5q415B8Mak4cf9ddySUA5gwZyU%3D</t>
  </si>
  <si>
    <t>https://www.proquest.com/docview/2584325008?accountid=131239&amp;bdid=51804&amp;_bd=ahsCsnNnMjBZKeTzCqOYGu5lV5M%3D</t>
  </si>
  <si>
    <t>https://www.proquest.com/docview/2584325406?accountid=131239&amp;bdid=51804&amp;_bd=JMzOYHn5K2BVKUM54F3qu3Xf7uY%3D</t>
  </si>
  <si>
    <t>https://www.proquest.com/docview/1927583008?accountid=131239&amp;bdid=51804&amp;_bd=w5P1lL5EQD7PMK2z3D2a%2B2Ur5IY%3D</t>
  </si>
  <si>
    <t>https://www.proquest.com/docview/2584325374?accountid=131239&amp;bdid=51804&amp;_bd=FCQkKo8gfPmjzPT8spfm6MVRfx0%3D</t>
  </si>
  <si>
    <t>https://www.proquest.com/docview/2781654683?accountid=131239&amp;bdid=51804&amp;_bd=jpfWwvdNmCWNdCBKU46e1R5IvYI%3D</t>
  </si>
  <si>
    <t>https://www.proquest.com/docview/2584325010?accountid=131239&amp;bdid=51804&amp;_bd=0P%2F%2FfU2FAz9DZAXnjPz9KG8F%2FHY%3D</t>
  </si>
  <si>
    <t>https://www.proquest.com/docview/2584325373?accountid=131239&amp;bdid=51804&amp;_bd=qxfa8L%2BGogX%2BDNP0iCe%2B8ZxxnOg%3D</t>
  </si>
  <si>
    <t>https://www.proquest.com/docview/1895005078?accountid=131239&amp;bdid=51804&amp;_bd=q8BVoIAYcRwufFO8niCXPeLM5EA%3D</t>
  </si>
  <si>
    <t>https://www.proquest.com/docview/1916833869?accountid=131239&amp;bdid=51804&amp;_bd=0Q2maR4oIus1aobvPJ25U2qbwrA%3D</t>
  </si>
  <si>
    <t>https://www.proquest.com/docview/2584325635?accountid=131239&amp;bdid=51804&amp;_bd=YvxmugUAdqdCtfkz4iHGRt95Sj8%3D</t>
  </si>
  <si>
    <t>https://www.proquest.com/docview/2584324947?accountid=131239&amp;bdid=51804&amp;_bd=MrOxWVRz4cuvo4I3XMwaLXTQJwo%3D</t>
  </si>
  <si>
    <t>https://www.proquest.com/docview/2584325363?accountid=131239&amp;bdid=51804&amp;_bd=MgbPqzm59i3qrMi08T7R5GvvGgo%3D</t>
  </si>
  <si>
    <t>https://www.proquest.com/docview/2781654730?accountid=131239&amp;bdid=51804&amp;_bd=3fgEth84HDHWsPpp7zJdRSeyr3I%3D</t>
  </si>
  <si>
    <t>https://www.proquest.com/docview/2584325083?accountid=131239&amp;bdid=51804&amp;_bd=wim7HFuvfgn1fw1Iswh4bfuS8q4%3D</t>
  </si>
  <si>
    <t>https://www.proquest.com/docview/2584322519?accountid=131239&amp;bdid=51804&amp;_bd=87bQ9VOJxJk568isc27iRnF860U%3D</t>
  </si>
  <si>
    <t>https://www.proquest.com/docview/1892133024?accountid=131239&amp;bdid=51804&amp;_bd=DV%2B2C6cXaZPk4r4UKNQsmNbd63I%3D</t>
  </si>
  <si>
    <t>https://www.proquest.com/docview/1935805172?accountid=131239&amp;bdid=51804&amp;_bd=QtsneIuz2Xt%2Bqh1B9wBkIc4LYbM%3D</t>
  </si>
  <si>
    <t>https://www.proquest.com/docview/2584322512?accountid=131239&amp;bdid=51804&amp;_bd=So%2BC1m2sQmf7WdjPN7AHYet5r7M%3D</t>
  </si>
  <si>
    <t>https://www.proquest.com/docview/2584325629?accountid=131239&amp;bdid=51804&amp;_bd=9Eyqb8Jw91DdDXWKz2etd1ymbDk%3D</t>
  </si>
  <si>
    <t>https://www.proquest.com/docview/1942579594?accountid=131239&amp;bdid=51804&amp;_bd=k6U8v%2FrH8mG2UL6ipUXVG8A7cu8%3D</t>
  </si>
  <si>
    <t>Alcohol Use Assessment A-1, in Alcohol Assessment Series</t>
  </si>
  <si>
    <t>https://www.proquest.com/docview/2584325628?accountid=131239&amp;bdid=51804&amp;_bd=7c7K3vqR3K2TLF3fKVug5I90vYg%3D</t>
  </si>
  <si>
    <t>https://www.proquest.com/docview/2781654619?accountid=131239&amp;bdid=51804&amp;_bd=pBHB0jdnyaM%2FQzzrPAfsijVcxRE%3D</t>
  </si>
  <si>
    <t>https://www.proquest.com/docview/2781658147?accountid=131239&amp;bdid=51804&amp;_bd=fvg7QKk0GZc19TtIctjNsIzkZ24%3D</t>
  </si>
  <si>
    <t>https://www.proquest.com/docview/2781657973?accountid=131239&amp;bdid=51804&amp;_bd=VWXxRKUYdOJ%2BgHQti%2BGwaNx5i4Y%3D</t>
  </si>
  <si>
    <t>https://www.proquest.com/docview/2584324785?accountid=131239&amp;bdid=51804&amp;_bd=1K%2FSn7ThELEMQNN2XgEn3wsX%2F7k%3D</t>
  </si>
  <si>
    <t>https://www.proquest.com/docview/1960988510?accountid=131239&amp;bdid=51804&amp;_bd=3xGEnuKMa%2FMKxUn26MAgDXBw8uc%3D</t>
  </si>
  <si>
    <t>https://www.proquest.com/docview/2781658021?accountid=131239&amp;bdid=51804&amp;_bd=xqn5QQSWZ%2Bnk3jBiN0vDO1hai%2Bc%3D</t>
  </si>
  <si>
    <t>https://www.proquest.com/docview/2781658141?accountid=131239&amp;bdid=51804&amp;_bd=WEmGoNQ0fcorSz80KnCOWKo6yNM%3D</t>
  </si>
  <si>
    <t>https://www.proquest.com/docview/2781658022?accountid=131239&amp;bdid=51804&amp;_bd=DBkb%2BFhpYlvU5c4wUpKK4oBOEfQ%3D</t>
  </si>
  <si>
    <t>https://www.proquest.com/docview/2781658146?accountid=131239&amp;bdid=51804&amp;_bd=WPpn62lF%2BVTju6bd4wA9QmEVF8E%3D</t>
  </si>
  <si>
    <t>https://www.proquest.com/docview/2781654625?accountid=131239&amp;bdid=51804&amp;_bd=%2BStC1RSNUU0JJhMOHs4mGX2bqHw%3D</t>
  </si>
  <si>
    <t>https://www.proquest.com/docview/1916837762?accountid=131239&amp;bdid=51804&amp;_bd=%2B%2BD8GfjxSu67cQ%2BqSi%2F7sn7%2BMuw%3D</t>
  </si>
  <si>
    <t>https://www.proquest.com/docview/2781658158?accountid=131239&amp;bdid=51804&amp;_bd=F1L0D56b%2BVgyHI2T29CkiLua2Z8%3D</t>
  </si>
  <si>
    <t>https://www.proquest.com/docview/2781657900?accountid=131239&amp;bdid=51804&amp;_bd=3MF2aysC1QcJFd6Grn7ORz3Tiws%3D</t>
  </si>
  <si>
    <t>https://www.proquest.com/docview/2584325589?accountid=131239&amp;bdid=51804&amp;_bd=e1aaDYIsNW525IpRjhJ4nepxB0s%3D</t>
  </si>
  <si>
    <t>https://www.proquest.com/docview/2781658030?accountid=131239&amp;bdid=51804&amp;_bd=s8DOIHZtVQMFY%2BGxU1EBLiN5iCs%3D</t>
  </si>
  <si>
    <t>https://www.proquest.com/docview/2781658031?accountid=131239&amp;bdid=51804&amp;_bd=HxImAODIAASa0QgcPK21dj1yBCY%3D</t>
  </si>
  <si>
    <t>https://www.proquest.com/docview/2781658035?accountid=131239&amp;bdid=51804&amp;_bd=n2YUXKICjMX%2FOLyhOZa%2FO0CqUgQ%3D</t>
  </si>
  <si>
    <t>https://www.proquest.com/docview/2584325185?accountid=131239&amp;bdid=51804&amp;_bd=SI729T%2FZRp6u5TPW0Vj1myXsj%2Bw%3D</t>
  </si>
  <si>
    <t>https://www.proquest.com/docview/1895008157?accountid=131239&amp;bdid=51804&amp;_bd=61LpSInqs%2FLSux7aMpX31ck2vp4%3D</t>
  </si>
  <si>
    <t>https://www.proquest.com/docview/2781654635?accountid=131239&amp;bdid=51804&amp;_bd=v1WHO2deM2aQIrfqsg56MJSwh7E%3D</t>
  </si>
  <si>
    <t>https://www.proquest.com/docview/2584324877?accountid=131239&amp;bdid=51804&amp;_bd=m7Ug%2BerdUdEOKomzicUpvUtmbhc%3D</t>
  </si>
  <si>
    <t>https://www.proquest.com/docview/1895011647?accountid=131239&amp;bdid=51804&amp;_bd=vLIQxMUnGrICPXDrqMabUIGuChg%3D</t>
  </si>
  <si>
    <t>https://www.proquest.com/docview/2584325575?accountid=131239&amp;bdid=51804&amp;_bd=A%2BFDilecE6gSVYE1SjIvsrE0Ljc%3D</t>
  </si>
  <si>
    <t>https://www.proquest.com/docview/1932777878?accountid=131239&amp;bdid=51804&amp;_bd=YsbKXAl3PH5HuB%2FBXVkaPmGlXgM%3D</t>
  </si>
  <si>
    <t>https://www.proquest.com/docview/2584325332?accountid=131239&amp;bdid=51804&amp;_bd=pfZjnLBR%2FlnHNN%2F9TDqEfZsBuSw%3D</t>
  </si>
  <si>
    <t>https://www.proquest.com/docview/2584325577?accountid=131239&amp;bdid=51804&amp;_bd=OItGK4jIYwlKvaQIPwANMJY%2F5TQ%3D</t>
  </si>
  <si>
    <t>https://www.proquest.com/docview/2781658206?accountid=131239&amp;bdid=51804&amp;_bd=3AXk93Dq%2FCcDOOC6vzDd6x8vIIs%3D</t>
  </si>
  <si>
    <t>https://www.proquest.com/docview/1965264327?accountid=131239&amp;bdid=51804&amp;_bd=NgZ1bXRs8zkHc2Yp8dZUeqKI27g%3D</t>
  </si>
  <si>
    <t>https://www.proquest.com/docview/2584325457?accountid=131239&amp;bdid=51804&amp;_bd=0HYvzV8oByqAiwpWKcAsQbLilJA%3D</t>
  </si>
  <si>
    <t>https://www.proquest.com/docview/1895003255?accountid=131239&amp;bdid=51804&amp;_bd=iT3Q5I4KBWAvmSkngnQ6tjwhrf0%3D</t>
  </si>
  <si>
    <t>https://www.proquest.com/docview/2158276820?accountid=131239&amp;bdid=51804&amp;_bd=twOiVkMuQUXQqZ%2BzPqFHzs6YWz8%3D</t>
  </si>
  <si>
    <t>https://www.proquest.com/docview/1892127436?accountid=131239&amp;bdid=51804&amp;_bd=I0pjj7RzIRxAXCjtA8zVROjBm9M%3D</t>
  </si>
  <si>
    <t>https://www.proquest.com/docview/2584325171?accountid=131239&amp;bdid=51804&amp;_bd=c89b8M6D0fl8b3vjKIQnyOHpCzk%3D</t>
  </si>
  <si>
    <t>https://www.proquest.com/docview/1917975361?accountid=131239&amp;bdid=51804&amp;_bd=G9yU%2Fqe3V7Vhy%2BjJMqVno0CfmNI%3D</t>
  </si>
  <si>
    <t>https://www.proquest.com/docview/2781658201?accountid=131239&amp;bdid=51804&amp;_bd=OXttECSMVzVnjrp8BW9zzbdGudU%3D</t>
  </si>
  <si>
    <t>https://www.proquest.com/docview/2584325692?accountid=131239&amp;bdid=51804&amp;_bd=tMHbE5m6PA2tMLNcTH8E6K329so%3D</t>
  </si>
  <si>
    <t>https://www.proquest.com/docview/2584325450?accountid=131239&amp;bdid=51804&amp;_bd=JuN5MpHqtPqQcQgUJ8m6elxoJyk%3D</t>
  </si>
  <si>
    <t>https://www.proquest.com/docview/2781658200?accountid=131239&amp;bdid=51804&amp;_bd=WLsr5P8WB34nD%2BZ4Fq%2FKDdkSips%3D</t>
  </si>
  <si>
    <t>https://www.proquest.com/docview/1892047456?accountid=131239&amp;bdid=51804&amp;_bd=m9bmdBUXp7vbIjlD2KNP2NJZNhI%3D</t>
  </si>
  <si>
    <t>https://www.proquest.com/docview/2781654647?accountid=131239&amp;bdid=51804&amp;_bd=%2B3lpBsBoGih%2BBiNYh4lXDRRX7SU%3D</t>
  </si>
  <si>
    <t>https://www.proquest.com/docview/2584322843?accountid=131239&amp;bdid=51804&amp;_bd=MIxUS8RutSxMxH59TJDMtJH1nm4%3D</t>
  </si>
  <si>
    <t>https://www.proquest.com/docview/2584325287?accountid=131239&amp;bdid=51804&amp;_bd=WZP4Y6Vy8LZrWhQg9cBVEey75y8%3D</t>
  </si>
  <si>
    <t>https://www.proquest.com/docview/1965264332?accountid=131239&amp;bdid=51804&amp;_bd=xlaEoRG6m4X4P9SRU9nqB22bURE%3D</t>
  </si>
  <si>
    <t>https://www.proquest.com/docview/2781658213?accountid=131239&amp;bdid=51804&amp;_bd=EQkh3A%2Fdf36CwilHB8apK9daF80%3D</t>
  </si>
  <si>
    <t>https://www.proquest.com/docview/2781654650?accountid=131239&amp;bdid=51804&amp;_bd=AQNu5zDRk89U%2BZw8ZTNOxHMQeqw%3D</t>
  </si>
  <si>
    <t>https://www.proquest.com/docview/1965264333?accountid=131239&amp;bdid=51804&amp;_bd=fyc2YCcPex%2BJahRuqPXauEHv%2BbQ%3D</t>
  </si>
  <si>
    <t>https://www.proquest.com/docview/2584325442?accountid=131239&amp;bdid=51804&amp;_bd=ItOsuJxHzh2OIGMUnMmOIq0ex2Q%3D</t>
  </si>
  <si>
    <t>https://www.proquest.com/docview/1965264336?accountid=131239&amp;bdid=51804&amp;_bd=AZe%2Fkh83wF6LsQE2mWyLo42nsCM%3D</t>
  </si>
  <si>
    <t>Alcohol Use Assessment A-3, in Alcohol Assessment Series</t>
  </si>
  <si>
    <t>https://www.proquest.com/docview/2584325686?accountid=131239&amp;bdid=51804&amp;_bd=ZbvR6hKfkUnJ2eXxsZ7IN4J9mnA%3D</t>
  </si>
  <si>
    <t>https://www.proquest.com/docview/2584324872?accountid=131239&amp;bdid=51804&amp;_bd=N%2FgB7R2lsHJZxLknsywmFCfzejU%3D</t>
  </si>
  <si>
    <t>https://www.proquest.com/docview/2584325600?accountid=131239&amp;bdid=51804&amp;_bd=WlZR3ODT51OPiux9tjfZYBWU7D8%3D</t>
  </si>
  <si>
    <t>https://www.proquest.com/docview/2781658296?accountid=131239&amp;bdid=51804&amp;_bd=egCFKIaegt%2BU86ocm9sMj3j%2Fr3s%3D</t>
  </si>
  <si>
    <t>https://www.proquest.com/docview/2781658298?accountid=131239&amp;bdid=51804&amp;_bd=3SZ293CCM5BW0I2ijERFAisBUnA%3D</t>
  </si>
  <si>
    <t>https://www.proquest.com/docview/2584325043?accountid=131239&amp;bdid=51804&amp;_bd=K5Wrd8M2ckd7Kyy2z9kUob1Luik%3D</t>
  </si>
  <si>
    <t>https://www.proquest.com/docview/1965264330?accountid=131239&amp;bdid=51804&amp;_bd=ViqGOb7GgKlS5kEiXbWgU2%2BF9MY%3D</t>
  </si>
  <si>
    <t>https://www.proquest.com/docview/1965264331?accountid=131239&amp;bdid=51804&amp;_bd=rDXoLCuaobbeDhH%2FpPu7Vm9TYAU%3D</t>
  </si>
  <si>
    <t>https://www.proquest.com/docview/1916832725?accountid=131239&amp;bdid=51804&amp;_bd=Js43aowoovnIAM7H%2F1ttRNR0D6w%3D</t>
  </si>
  <si>
    <t>https://www.proquest.com/docview/1874535730?accountid=131239&amp;bdid=51804&amp;_bd=mxqqkRSpC%2FeMXPlrHiAXzzRX8H0%3D</t>
  </si>
  <si>
    <t>https://www.proquest.com/docview/1874536788?accountid=131239&amp;bdid=51804&amp;_bd=7jFB%2FYPAsb4BtqA8bJzIfLmDJcY%3D</t>
  </si>
  <si>
    <t>https://www.proquest.com/docview/2584322797?accountid=131239&amp;bdid=51804&amp;_bd=7X5DTZ2PysR%2FOdyuRWX8HzaJjDY%3D</t>
  </si>
  <si>
    <t>https://www.proquest.com/docview/1964548154?accountid=131239&amp;bdid=51804&amp;_bd=9ohiHuzAPkUvc0BAnsq7R6R1I4E%3D</t>
  </si>
  <si>
    <t>https://www.proquest.com/docview/1964548155?accountid=131239&amp;bdid=51804&amp;_bd=z5nDpFV%2BKh7i%2FQrMYiw9Z63VsV4%3D</t>
  </si>
  <si>
    <t>https://www.proquest.com/docview/2584324068?accountid=131239&amp;bdid=51804&amp;_bd=gtWJR%2BhsAkqpz8Wl%2FawNuWHJAXg%3D</t>
  </si>
  <si>
    <t>https://www.proquest.com/docview/2020477169?accountid=131239&amp;bdid=51804&amp;_bd=xUEb%2FPFSN5J%2B9RRqcVsf0HehOCc%3D</t>
  </si>
  <si>
    <t>https://www.proquest.com/docview/2584324069?accountid=131239&amp;bdid=51804&amp;_bd=LNAglsXQdWZdHzQLoH%2FXW80gjw0%3D</t>
  </si>
  <si>
    <t>https://www.proquest.com/docview/1874536278?accountid=131239&amp;bdid=51804&amp;_bd=y8ymRb9JRwK1tmkS86XTUQ8jKCM%3D</t>
  </si>
  <si>
    <t>https://www.proquest.com/docview/2584322829?accountid=131239&amp;bdid=51804&amp;_bd=1rGWg8Wp130bX9MXmH3ACZL0a00%3D</t>
  </si>
  <si>
    <t>https://www.proquest.com/docview/1916833246?accountid=131239&amp;bdid=51804&amp;_bd=N6QyTFRpLC46Na8O6W6xkZQZk88%3D</t>
  </si>
  <si>
    <t>https://www.proquest.com/docview/2584322820?accountid=131239&amp;bdid=51804&amp;_bd=jQeVAByIXPiRDHiiGvsACMLwkw4%3D</t>
  </si>
  <si>
    <t>Prolonged Grief Disorder (Adolescent) B-2, in Volume 2 New Releases: DSM 5 Guided Violence Series, Volume 2, Episode 48</t>
  </si>
  <si>
    <t>https://www.proquest.com/docview/2584322789?accountid=131239&amp;bdid=51804&amp;_bd=r1%2FYh7gHklVV5wcMnAzMPg7HU4E%3D</t>
  </si>
  <si>
    <t>https://www.proquest.com/docview/2584322822?accountid=131239&amp;bdid=51804&amp;_bd=Gtwtx698LTyLCgF8%2FFODJ%2BVR0yU%3D</t>
  </si>
  <si>
    <t>https://www.proquest.com/docview/2584322825?accountid=131239&amp;bdid=51804&amp;_bd=2Y%2BLisNb8TdC4UfBdN9IlQMR7T0%3D</t>
  </si>
  <si>
    <t>https://www.proquest.com/docview/2584322826?accountid=131239&amp;bdid=51804&amp;_bd=W%2FExYiwvD96ECqiH%2F0g%2Fde%2F7XBw%3D</t>
  </si>
  <si>
    <t>https://www.proquest.com/docview/2584324055?accountid=131239&amp;bdid=51804&amp;_bd=2z8unr2YzWb7dSeNfn7B2mrckIo%3D</t>
  </si>
  <si>
    <t>https://www.proquest.com/docview/2781653185?accountid=131239&amp;bdid=51804&amp;_bd=JsXIrC2IZBrTf2TKcNl028Al%2Bn0%3D</t>
  </si>
  <si>
    <t>https://www.proquest.com/docview/2584324057?accountid=131239&amp;bdid=51804&amp;_bd=aUXidEoEWgtwHGazTQXNwZQZXz4%3D</t>
  </si>
  <si>
    <t>https://www.proquest.com/docview/2584324574?accountid=131239&amp;bdid=51804&amp;_bd=bhjMQbgJ9JKeH9zLVHUuZARvYEo%3D</t>
  </si>
  <si>
    <t>https://www.proquest.com/docview/2584325302?accountid=131239&amp;bdid=51804&amp;_bd=vmjidWlg4%2Bh6l1vPuXB2yogXWw8%3D</t>
  </si>
  <si>
    <t>Social Exclusion or Rejection, Problem Related to Lifestyle, Adolescent Antisocial Behavior, in Volume 2 New Releases: DSM 5 Guided Violence Series, Volume 2, Episode 52</t>
  </si>
  <si>
    <t>https://www.proquest.com/docview/2584324059?accountid=131239&amp;bdid=51804&amp;_bd=ICQdID8XNUAMZe7WJSIUXh2r9h8%3D</t>
  </si>
  <si>
    <t>https://www.proquest.com/docview/2584322793?accountid=131239&amp;bdid=51804&amp;_bd=A9e0pXY%2FJWVjyaI%2F%2F80bSzRu48A%3D</t>
  </si>
  <si>
    <t>https://www.proquest.com/docview/2584324577?accountid=131239&amp;bdid=51804&amp;_bd=CdaWkkkF4%2FZmlpHDBrE4Cz4tSSA%3D</t>
  </si>
  <si>
    <t>https://www.proquest.com/docview/1874536046?accountid=131239&amp;bdid=51804&amp;_bd=NqhF2FuuEYCcemVhfTXd4B%2Fjl8Q%3D</t>
  </si>
  <si>
    <t>https://www.proquest.com/docview/1874536047?accountid=131239&amp;bdid=51804&amp;_bd=IefjCYbEHm5Gu1RnPPi9uWxlqQw%3D</t>
  </si>
  <si>
    <t>https://www.proquest.com/docview/2584325381?accountid=131239&amp;bdid=51804&amp;_bd=epvS1iJz0kCIGwNNhymUGMaFpXw%3D</t>
  </si>
  <si>
    <t>https://www.proquest.com/docview/2584325142?accountid=131239&amp;bdid=51804&amp;_bd=E4d0%2Fis4KMCXNYu8oHrElRgr2aI%3D</t>
  </si>
  <si>
    <t>https://www.proquest.com/docview/2781652810?accountid=131239&amp;bdid=51804&amp;_bd=HN2PLVzIXrebVDAqAK%2BmNnwGbgU%3D</t>
  </si>
  <si>
    <t>https://www.proquest.com/docview/1874536205?accountid=131239&amp;bdid=51804&amp;_bd=WrhzngWaK2CUM71tQPhZs94TIqU%3D</t>
  </si>
  <si>
    <t>https://www.proquest.com/docview/2584325526?accountid=131239&amp;bdid=51804&amp;_bd=OVSRkLj7Xn2%2BzJnwL%2FZQ7rYkz%2Fw%3D</t>
  </si>
  <si>
    <t>https://www.proquest.com/docview/1878807428?accountid=131239&amp;bdid=51804&amp;_bd=LFwkmXKJgiAaxzBWMaU3K2RAjnM%3D</t>
  </si>
  <si>
    <t>https://www.proquest.com/docview/2020477184?accountid=131239&amp;bdid=51804&amp;_bd=gvFUV%2B20vGNzTsFvSQ97DVDHqtI%3D</t>
  </si>
  <si>
    <t>https://www.proquest.com/docview/1964564708?accountid=131239&amp;bdid=51804&amp;_bd=lv2teYPiJzMT8LbHYUuqy328BYs%3D</t>
  </si>
  <si>
    <t>https://www.proquest.com/docview/1964564707?accountid=131239&amp;bdid=51804&amp;_bd=FoquYkJBdekLOnz01Z5g4XrawKU%3D</t>
  </si>
  <si>
    <t>https://www.proquest.com/docview/1874535923?accountid=131239&amp;bdid=51804&amp;_bd=4NCO4qWL3P1W8imoHxfbDeczPsw%3D</t>
  </si>
  <si>
    <t>https://www.proquest.com/docview/2584322808?accountid=131239&amp;bdid=51804&amp;_bd=r6M4%2Fs%2Fgrm9pwRsCC4nLBDoGvWY%3D</t>
  </si>
  <si>
    <t>https://www.proquest.com/docview/1964564709?accountid=131239&amp;bdid=51804&amp;_bd=4o6kHDnteklTliBiLpSZL6bYzNI%3D</t>
  </si>
  <si>
    <t>https://www.proquest.com/docview/1938886242?accountid=131239&amp;bdid=51804&amp;_bd=J%2FYhA%2B38Ho0lS989KmjglKnwfe0%3D</t>
  </si>
  <si>
    <t>https://www.proquest.com/docview/2584323732?accountid=131239&amp;bdid=51804&amp;_bd=rTWP1N8%2Bow5WJ0bWrLUUqZKy1HI%3D</t>
  </si>
  <si>
    <t>https://www.proquest.com/docview/2584323734?accountid=131239&amp;bdid=51804&amp;_bd=WmxU%2BmWcza8A0GkT7k3dAoZ7h6M%3D</t>
  </si>
  <si>
    <t>https://www.proquest.com/docview/2584322801?accountid=131239&amp;bdid=51804&amp;_bd=VIZbc3%2Fp2g9M0uQH7RxpTwJSTgc%3D</t>
  </si>
  <si>
    <t>https://www.proquest.com/docview/2010543783?accountid=131239&amp;bdid=51804&amp;_bd=I5VJ%2FJ%2FaNwmWcfY%2FOVPJ%2BOQYhIg%3D</t>
  </si>
  <si>
    <t>Prolonged Grief Disorder (Adolescent) B-1, in Volume 2 New Releases: DSM 5 Guided Violence Series, Volume 2, Episode 47</t>
  </si>
  <si>
    <t>https://www.proquest.com/docview/2584322804?accountid=131239&amp;bdid=51804&amp;_bd=XG35%2Bk4h1Zh3xdOp9XnWC%2BOLPmI%3D</t>
  </si>
  <si>
    <t>https://www.proquest.com/docview/2584325485?accountid=131239&amp;bdid=51804&amp;_bd=s6wWR3dkjEZcOy7pYO67nSLT1Vk%3D</t>
  </si>
  <si>
    <t>https://www.proquest.com/docview/2584322492?accountid=131239&amp;bdid=51804&amp;_bd=fxL6Lj5sT144c6cBuZc%2FdZA6PQg%3D</t>
  </si>
  <si>
    <t>https://www.proquest.com/docview/2584325487?accountid=131239&amp;bdid=51804&amp;_bd=v%2B5G%2BTuysM%2BA3Rbxuy76RnjdcyQ%3D</t>
  </si>
  <si>
    <t>https://www.proquest.com/docview/2584322494?accountid=131239&amp;bdid=51804&amp;_bd=JqSlhfYU2YAi7tx9TMaP1CCa%2Fmo%3D</t>
  </si>
  <si>
    <t>Social Exclusion or Rejection B-2, in Volume 2 New Releases: DSM 5 Guided Violence Series, Volume 2, Episode 51</t>
  </si>
  <si>
    <t>https://www.proquest.com/docview/2584322496?accountid=131239&amp;bdid=51804&amp;_bd=6%2F8gfzCubHBVxjmzhlV5r%2BMva6Q%3D</t>
  </si>
  <si>
    <t>https://www.proquest.com/docview/2584323180?accountid=131239&amp;bdid=51804&amp;_bd=Wq7u4kH6pRHGg%2F4HGDwp1aErZ0w%3D</t>
  </si>
  <si>
    <t>https://www.proquest.com/docview/1964564706?accountid=131239&amp;bdid=51804&amp;_bd=ZlnEekuJ8qYwp8kl9zzR%2B1bMMEc%3D</t>
  </si>
  <si>
    <t>https://www.proquest.com/docview/2781652317?accountid=131239&amp;bdid=51804&amp;_bd=4yojCqWtWUJTLBQcWjx6%2FDm%2FEaA%3D</t>
  </si>
  <si>
    <t>https://www.proquest.com/docview/2781654613?accountid=131239&amp;bdid=51804&amp;_bd=BMoASmY6RbcFe3PepcpzDJH6tPg%3D</t>
  </si>
  <si>
    <t>https://www.proquest.com/docview/2584322478?accountid=131239&amp;bdid=51804&amp;_bd=aGds6SEzv0Lp4nlWX3O245ROyv4%3D</t>
  </si>
  <si>
    <t>https://www.proquest.com/docview/2781654617?accountid=131239&amp;bdid=51804&amp;_bd=ztLdihcNbWORMyonMSgKafjV%2FOo%3D</t>
  </si>
  <si>
    <t>https://www.proquest.com/docview/2781654618?accountid=131239&amp;bdid=51804&amp;_bd=9vlJAYEucaLNKQiobr2lUEnmens%3D</t>
  </si>
  <si>
    <t>https://www.proquest.com/docview/2584322516?accountid=131239&amp;bdid=51804&amp;_bd=3pQCuC58H35nBdbncX9sYPAEcyE%3D</t>
  </si>
  <si>
    <t>https://www.proquest.com/docview/2584323727?accountid=131239&amp;bdid=51804&amp;_bd=1b9bT8kMWydjBM9kj7leTNQ1AjQ%3D</t>
  </si>
  <si>
    <t>https://www.proquest.com/docview/2584323175?accountid=131239&amp;bdid=51804&amp;_bd=juMVu44EDyAj2jhuTQ1nV1hgjqA%3D</t>
  </si>
  <si>
    <t>https://www.proquest.com/docview/2584322482?accountid=131239&amp;bdid=51804&amp;_bd=qzPjbqSFmHVByGtWDzInrhg2LRQ%3D</t>
  </si>
  <si>
    <t>https://www.proquest.com/docview/2584324265?accountid=131239&amp;bdid=51804&amp;_bd=0ghtHYFkPmFbNFHOklVmXwERrjM%3D</t>
  </si>
  <si>
    <t>https://www.proquest.com/docview/2584322485?accountid=131239&amp;bdid=51804&amp;_bd=SHSOLQbEK9xINLQd6HuQ%2FWLc36g%3D</t>
  </si>
  <si>
    <t>F43.8 Prolonged Grief Disorder (Adolescent) B-1, in Volume 2 ICD 10 Guided New Releases: ICD 10 Guided Violence Series, Volume 2, Episode 47</t>
  </si>
  <si>
    <t>https://www.proquest.com/docview/2584325114?accountid=131239&amp;bdid=51804&amp;_bd=Ah4Ew1yqW%2BWSzugk2gmP3LC9D7Q%3D</t>
  </si>
  <si>
    <t>https://www.proquest.com/docview/2584322520?accountid=131239&amp;bdid=51804&amp;_bd=FUP8i33vfBKhkYpkZvmk6cpSKTU%3D</t>
  </si>
  <si>
    <t>https://www.proquest.com/docview/1964564711?accountid=131239&amp;bdid=51804&amp;_bd=yibkE1q2iFmyR8fNHUUz6rWudLU%3D</t>
  </si>
  <si>
    <t>https://www.proquest.com/docview/1964564710?accountid=131239&amp;bdid=51804&amp;_bd=oPvirMJa0lxjsaLeScol1zowXg0%3D</t>
  </si>
  <si>
    <t>https://www.proquest.com/docview/1964564713?accountid=131239&amp;bdid=51804&amp;_bd=j6Pg6TPMay44aXApGk6HfAoMK1A%3D</t>
  </si>
  <si>
    <t>https://www.proquest.com/docview/1964564712?accountid=131239&amp;bdid=51804&amp;_bd=6AHivxgG8zYnZm5FwTB%2BlwtoKu4%3D</t>
  </si>
  <si>
    <t>https://www.proquest.com/docview/2781653134?accountid=131239&amp;bdid=51804&amp;_bd=aVG7%2FwjUx%2BHbfTfxNJ%2FBGc4OFgw%3D</t>
  </si>
  <si>
    <t>https://www.proquest.com/docview/1964564714?accountid=131239&amp;bdid=51804&amp;_bd=RZqiRTXu4z05LINruA%2Bc66D5ivs%3D</t>
  </si>
  <si>
    <t>https://www.proquest.com/docview/2584324261?accountid=131239&amp;bdid=51804&amp;_bd=4eQ%2BXvgAMUgwGbibCrb2pDLqE5Y%3D</t>
  </si>
  <si>
    <t>https://www.proquest.com/docview/2584322508?accountid=131239&amp;bdid=51804&amp;_bd=ganqqkpHt3K9axYx9%2F%2B87TPhQS0%3D</t>
  </si>
  <si>
    <t>https://www.proquest.com/docview/2584324928?accountid=131239&amp;bdid=51804&amp;_bd=5V7zkTIrk1BdEl6zlVHvcnj4aR8%3D</t>
  </si>
  <si>
    <t>https://www.proquest.com/docview/2584322468?accountid=131239&amp;bdid=51804&amp;_bd=qJcsfH4RiGTFKaNlgpfs30q4Lwo%3D</t>
  </si>
  <si>
    <t>https://www.proquest.com/docview/1916835344?accountid=131239&amp;bdid=51804&amp;_bd=2kRVwt9tChZYv7KCyuDa5E27aNU%3D</t>
  </si>
  <si>
    <t>https://www.proquest.com/docview/2584322469?accountid=131239&amp;bdid=51804&amp;_bd=i2ZBIAbH5dnVyuQnymma7EjeuIQ%3D</t>
  </si>
  <si>
    <t>F43.8 Prolonged Grief Disorder (Adolescent) B-2, in Volume 2 ICD 10 Guided New Releases: ICD 10 Guided Violence Series, Volume 2, Episode 46</t>
  </si>
  <si>
    <t>https://www.proquest.com/docview/2584325615?accountid=131239&amp;bdid=51804&amp;_bd=TkLrIA3Bo728DFnfABoLLRd58ak%3D</t>
  </si>
  <si>
    <t>https://www.proquest.com/docview/2584323714?accountid=131239&amp;bdid=51804&amp;_bd=lpjRyLCZwFwNERZHV7ao7j5hsH8%3D</t>
  </si>
  <si>
    <t>https://www.proquest.com/docview/2584322470?accountid=131239&amp;bdid=51804&amp;_bd=4wRNXZWt521hGr3rnhu6K1yOn84%3D</t>
  </si>
  <si>
    <t>https://www.proquest.com/docview/2584323164?accountid=131239&amp;bdid=51804&amp;_bd=cPvXYKF%2FrAPD1K1AAxBm7C1vzUM%3D</t>
  </si>
  <si>
    <t>https://www.proquest.com/docview/2584324773?accountid=131239&amp;bdid=51804&amp;_bd=LYSso5IaWfkewfR1Sz1YdpupZKM%3D</t>
  </si>
  <si>
    <t>https://www.proquest.com/docview/2584322477?accountid=131239&amp;bdid=51804&amp;_bd=slXIVb%2FPtU7jCIFFlaWhKHSrwl8%3D</t>
  </si>
  <si>
    <t>https://www.proquest.com/docview/2781652059?accountid=131239&amp;bdid=51804&amp;_bd=elob7SQqvBcIPHSGO50xL2d45Oc%3D</t>
  </si>
  <si>
    <t>https://www.proquest.com/docview/2549741525?accountid=131239&amp;bdid=51804&amp;_bd=OzCIytd6cPaBsDXjLXQtJt8dRuQ%3D</t>
  </si>
  <si>
    <t>https://www.proquest.com/docview/2584324759?accountid=131239&amp;bdid=51804&amp;_bd=Hrq77KJgg7xLtimi%2F%2FFjZS5Y11A%3D</t>
  </si>
  <si>
    <t>https://www.proquest.com/docview/2584321927?accountid=131239&amp;bdid=51804&amp;_bd=GMu4c132vkCcmQmg7gz9Biqag%2BY%3D</t>
  </si>
  <si>
    <t>https://www.proquest.com/docview/1878807752?accountid=131239&amp;bdid=51804&amp;_bd=s3jgDUTwMWJ%2FOiX2YO9xkiHLKIM%3D</t>
  </si>
  <si>
    <t>https://www.proquest.com/docview/2781652062?accountid=131239&amp;bdid=51804&amp;_bd=Vg1ROC22pdJXUUVgjRiafVL7wN8%3D</t>
  </si>
  <si>
    <t>https://www.proquest.com/docview/2584322462?accountid=131239&amp;bdid=51804&amp;_bd=qm91wazmPj3V4mVKDCBrR9BJ5co%3D</t>
  </si>
  <si>
    <t>https://www.proquest.com/docview/1916832902?accountid=131239&amp;bdid=51804&amp;_bd=9bXjqP53GDW%2FDXOnI4FH6b%2FjKWk%3D</t>
  </si>
  <si>
    <t>https://www.proquest.com/docview/2781652065?accountid=131239&amp;bdid=51804&amp;_bd=%2BOwKeIaAHd1KkUa8UkOqfg70WKU%3D</t>
  </si>
  <si>
    <t>https://www.proquest.com/docview/1874536017?accountid=131239&amp;bdid=51804&amp;_bd=4sXisOjzRhaB7pCvdiowk%2BD%2Fvn8%3D</t>
  </si>
  <si>
    <t>https://www.proquest.com/docview/2584322842?accountid=131239&amp;bdid=51804&amp;_bd=6CVc5pz16pg391yB1QQvPEypQSk%3D</t>
  </si>
  <si>
    <t>https://www.proquest.com/docview/2584322844?accountid=131239&amp;bdid=51804&amp;_bd=pu9ZLt3FXP7zG7EbBHbUKdoA%2BX0%3D</t>
  </si>
  <si>
    <t>https://www.proquest.com/docview/1964545291?accountid=131239&amp;bdid=51804&amp;_bd=DO2q6spBRfs4l9t0QzSZ8Q5%2Bk08%3D</t>
  </si>
  <si>
    <t>https://www.proquest.com/docview/1964545290?accountid=131239&amp;bdid=51804&amp;_bd=lEiOQPVcHADrSxr0eFmfGxO0Dr4%3D</t>
  </si>
  <si>
    <t>https://www.proquest.com/docview/2584325441?accountid=131239&amp;bdid=51804&amp;_bd=IDe0qRYpT539kiagDNiQ02KSE9A%3D</t>
  </si>
  <si>
    <t>https://www.proquest.com/docview/1965264335?accountid=131239&amp;bdid=51804&amp;_bd=Lx8YnH%2Fg%2BDg6B5rnad0LXl53H0c%3D</t>
  </si>
  <si>
    <t>https://www.proquest.com/docview/1874536142?accountid=131239&amp;bdid=51804&amp;_bd=RLP%2BR1YFZbpeyv4kZH3Zfg5%2FrjU%3D</t>
  </si>
  <si>
    <t>https://www.proquest.com/docview/2584322839?accountid=131239&amp;bdid=51804&amp;_bd=SQppCJhxVIDteDsRCh5cc4qP2i8%3D</t>
  </si>
  <si>
    <t>https://www.proquest.com/docview/1842240289?accountid=131239&amp;bdid=51804&amp;_bd=mlSHL4h4a16lZR4kgs1UXPZqqLQ%3D</t>
  </si>
  <si>
    <t>F50.2 Anorexia Nervosa, Binge-Eating/Purging Type, in Volume 2 ICD 10 Guided New Releases: ICD 10 Guided Eating Disorder Series, Volume 2, Episode 15</t>
  </si>
  <si>
    <t>https://www.proquest.com/docview/2584322799?accountid=131239&amp;bdid=51804&amp;_bd=qVa4EHVAWnQNFJRImREn7d8j2dw%3D</t>
  </si>
  <si>
    <t>https://www.proquest.com/docview/1837591672?accountid=131239&amp;bdid=51804&amp;_bd=nfL1DlyVcC8vCHWigStMI%2FBWRtc%3D</t>
  </si>
  <si>
    <t>https://www.proquest.com/docview/2584322833?accountid=131239&amp;bdid=51804&amp;_bd=p7LdZ6qZHxeN2E9WkolsgmSObnA%3D</t>
  </si>
  <si>
    <t>https://www.proquest.com/docview/2584322835?accountid=131239&amp;bdid=51804&amp;_bd=akJIS8r%2BG9Zf1mkvIci8nF5xH%2Fo%3D</t>
  </si>
  <si>
    <t>https://www.proquest.com/docview/1834844590?accountid=131239&amp;bdid=51804&amp;_bd=CaG3GVCjAI70u%2FKQByO%2BJa5iViM%3D</t>
  </si>
  <si>
    <t>https://www.proquest.com/docview/1837566863?accountid=131239&amp;bdid=51804&amp;_bd=Iqu46mYLhJ%2BG6mxpG3fqpGqnBGo%3D</t>
  </si>
  <si>
    <t>https://www.proquest.com/docview/2584324062?accountid=131239&amp;bdid=51804&amp;_bd=B9Qu2OBWpZ8fxkqjhVwC8s356gE%3D</t>
  </si>
  <si>
    <t>https://www.proquest.com/docview/1822455025?accountid=131239&amp;bdid=51804&amp;_bd=D%2FGNYfD3kMthC1rhe7G2TMKD4Z4%3D</t>
  </si>
  <si>
    <t>https://www.proquest.com/docview/1842280173?accountid=131239&amp;bdid=51804&amp;_bd=97bVmWLSmgb%2BZGm78wT706n%2FdmY%3D</t>
  </si>
  <si>
    <t>https://www.proquest.com/docview/2584324064?accountid=131239&amp;bdid=51804&amp;_bd=n5kfekW4m5ACrW%2B%2B2TWh2fw%2Fofw%3D</t>
  </si>
  <si>
    <t>https://www.proquest.com/docview/2584322827?accountid=131239&amp;bdid=51804&amp;_bd=GNay90fkMpK1DwerFn1ugxor2LU%3D</t>
  </si>
  <si>
    <t>https://www.proquest.com/docview/1867551403?accountid=131239&amp;bdid=51804&amp;_bd=KF1coZpBEAK%2BL%2BiD3vniEaGgfQc%3D</t>
  </si>
  <si>
    <t>https://www.proquest.com/docview/1822455260?accountid=131239&amp;bdid=51804&amp;_bd=JqlcS2DWZI13Stn2oOpmvfbC4KI%3D</t>
  </si>
  <si>
    <t>https://www.proquest.com/docview/1842240573?accountid=131239&amp;bdid=51804&amp;_bd=DQBiXbZQeD7gpvBQHPQCY8BgRFE%3D</t>
  </si>
  <si>
    <t>https://www.proquest.com/docview/2584322787?accountid=131239&amp;bdid=51804&amp;_bd=1xWMAdE6WoigcxY6Lr0R4C%2Ba4mc%3D</t>
  </si>
  <si>
    <t>https://www.proquest.com/docview/1842281139?accountid=131239&amp;bdid=51804&amp;_bd=4agPgtmgb%2BAPffE9cORhEMptOtg%3D</t>
  </si>
  <si>
    <t>https://www.proquest.com/docview/2584322824?accountid=131239&amp;bdid=51804&amp;_bd=ksSAr8ereDcsiG%2FnJFV7oLwT2zI%3D</t>
  </si>
  <si>
    <t>https://www.proquest.com/docview/2584322792?accountid=131239&amp;bdid=51804&amp;_bd=mTVgC5vp1wNvzpEoNk8iv%2FpZOp8%3D</t>
  </si>
  <si>
    <t>https://www.proquest.com/docview/2584324576?accountid=131239&amp;bdid=51804&amp;_bd=hMrammPKstCIA%2F3RpabmVV7RJAY%3D</t>
  </si>
  <si>
    <t>https://www.proquest.com/docview/2584322794?accountid=131239&amp;bdid=51804&amp;_bd=zv%2FiM6v2%2FN3SrtcvH4oYSiB27es%3D</t>
  </si>
  <si>
    <t>https://www.proquest.com/docview/2584322818?accountid=131239&amp;bdid=51804&amp;_bd=nH%2FjWCLqJ7bSdIslTmpkadN%2FOgY%3D</t>
  </si>
  <si>
    <t>https://www.proquest.com/docview/1837582019?accountid=131239&amp;bdid=51804&amp;_bd=5UnCKx9OwZ8Pp6%2F7cE4M%2FQB7S9Q%3D</t>
  </si>
  <si>
    <t>https://www.proquest.com/docview/1837585529?accountid=131239&amp;bdid=51804&amp;_bd=3t9vGZ%2BZRTNVSX6GzPsuYEkIDVM%3D</t>
  </si>
  <si>
    <t>https://www.proquest.com/docview/1837594329?accountid=131239&amp;bdid=51804&amp;_bd=V8uCWsKcYdze5UXujB10UtoHIcw%3D</t>
  </si>
  <si>
    <t>https://www.proquest.com/docview/1837562242?accountid=131239&amp;bdid=51804&amp;_bd=WAps5gg2PdZqdNxo%2F2SXlSYfy%2FY%3D</t>
  </si>
  <si>
    <t>https://www.proquest.com/docview/1837586855?accountid=131239&amp;bdid=51804&amp;_bd=RVdhnZFS8GRxxZkdQzeFUI5MI18%3D</t>
  </si>
  <si>
    <t>https://www.proquest.com/docview/1867550010?accountid=131239&amp;bdid=51804&amp;_bd=QgnQ51KvtSY2UD8Lu6cteJ%2FQiEc%3D</t>
  </si>
  <si>
    <t>https://www.proquest.com/docview/2584323735?accountid=131239&amp;bdid=51804&amp;_bd=nMIRk5Gj1RjvQTf1hlfUxCbNcis%3D</t>
  </si>
  <si>
    <t>https://www.proquest.com/docview/1822830121?accountid=131239&amp;bdid=51804&amp;_bd=R5V0epSKYrHv0HDKNy7P1uvM6Ro%3D</t>
  </si>
  <si>
    <t>https://www.proquest.com/docview/2584322527?accountid=131239&amp;bdid=51804&amp;_bd=vuWxq08Cze%2F1Kat8tU9gm5T5LoU%3D</t>
  </si>
  <si>
    <t>https://www.proquest.com/docview/2584322802?accountid=131239&amp;bdid=51804&amp;_bd=cn6eyIAaLPDKuQBvnHto7Na%2Bkjc%3D</t>
  </si>
  <si>
    <t>https://www.proquest.com/docview/1822830123?accountid=131239&amp;bdid=51804&amp;_bd=S0mn9l3XSvbADgLW3y%2FBAcMuTHc%3D</t>
  </si>
  <si>
    <t>https://www.proquest.com/docview/1837545648?accountid=131239&amp;bdid=51804&amp;_bd=%2FaTjXEcaagpepNtJdGDjGdzENP4%3D</t>
  </si>
  <si>
    <t>https://www.proquest.com/docview/2584324274?accountid=131239&amp;bdid=51804&amp;_bd=5c1NRPE3E%2B5ug7MvcKaX9VaFL7w%3D</t>
  </si>
  <si>
    <t>https://www.proquest.com/docview/1837586961?accountid=131239&amp;bdid=51804&amp;_bd=Ax5VZabP0tePpbk1cjZ8600ArV8%3D</t>
  </si>
  <si>
    <t>https://www.proquest.com/docview/1842280189?accountid=131239&amp;bdid=51804&amp;_bd=la17Ns%2BDVUMIEfk%2BWRcWc3TMLmA%3D</t>
  </si>
  <si>
    <t>https://www.proquest.com/docview/2584322499?accountid=131239&amp;bdid=51804&amp;_bd=4pxVqXxuDcdO6jXhM%2Fewkwk4lBE%3D</t>
  </si>
  <si>
    <t>https://www.proquest.com/docview/2584324271?accountid=131239&amp;bdid=51804&amp;_bd=CUReKMkGtGtM8Zk2F1XQbM4AHjk%3D</t>
  </si>
  <si>
    <t>https://www.proquest.com/docview/2584323181?accountid=131239&amp;bdid=51804&amp;_bd=SxAWpjsLIi6%2BLVdoYbQujK9hzu0%3D</t>
  </si>
  <si>
    <t>https://www.proquest.com/docview/2584323183?accountid=131239&amp;bdid=51804&amp;_bd=9Uyd%2FHJA6odw1cBteJi8tRzZFqs%3D</t>
  </si>
  <si>
    <t>https://www.proquest.com/docview/1837562370?accountid=131239&amp;bdid=51804&amp;_bd=gf%2FJnsuZ3GOXD%2Bg0Hbg2gkZ%2FFEI%3D</t>
  </si>
  <si>
    <t>https://www.proquest.com/docview/1837601563?accountid=131239&amp;bdid=51804&amp;_bd=e%2FUi2HZy6FbEWB5AvE9ynqSgeXk%3D</t>
  </si>
  <si>
    <t>https://www.proquest.com/docview/1867550247?accountid=131239&amp;bdid=51804&amp;_bd=GvSdUtd%2BRyCupjAch8d6aSQGu3k%3D</t>
  </si>
  <si>
    <t>https://www.proquest.com/docview/1837602294?accountid=131239&amp;bdid=51804&amp;_bd=M%2Faum%2FsSI42lhPJVAYdqitK0TEQ%3D</t>
  </si>
  <si>
    <t>https://www.proquest.com/docview/1867550089?accountid=131239&amp;bdid=51804&amp;_bd=p8sGXGvDcisC8Rq9zBU0mSE1VbU%3D</t>
  </si>
  <si>
    <t>https://www.proquest.com/docview/2584324778?accountid=131239&amp;bdid=51804&amp;_bd=bRtDrrKhCG6A6PCxJxU1%2BZlwdh8%3D</t>
  </si>
  <si>
    <t>https://www.proquest.com/docview/1837545853?accountid=131239&amp;bdid=51804&amp;_bd=7LlpAT6UR%2BhRdgxRrhVfpaYT3vk%3D</t>
  </si>
  <si>
    <t>https://www.proquest.com/docview/2584323726?accountid=131239&amp;bdid=51804&amp;_bd=yonISbH7s62HEuHh%2BiBI%2FkKXPRY%3D</t>
  </si>
  <si>
    <t>https://www.proquest.com/docview/1822507042?accountid=131239&amp;bdid=51804&amp;_bd=cxJd3qXBt9UjjMd06sZjNzV2kBc%3D</t>
  </si>
  <si>
    <t>https://www.proquest.com/docview/2584325475?accountid=131239&amp;bdid=51804&amp;_bd=G4GJ2FKX7RufhZD5%2Byo1dGUI27U%3D</t>
  </si>
  <si>
    <t>https://www.proquest.com/docview/1837600148?accountid=131239&amp;bdid=51804&amp;_bd=Eb7fYQwQoDBmjD7yDVF3rqYQZLg%3D</t>
  </si>
  <si>
    <t>https://www.proquest.com/docview/1842280253?accountid=131239&amp;bdid=51804&amp;_bd=XRFRlD1b8F%2B3G%2BtSkb%2FD7RD409E%3D</t>
  </si>
  <si>
    <t>https://www.proquest.com/docview/2584325478?accountid=131239&amp;bdid=51804&amp;_bd=EmmtDFUo77ZQY1AmaamVIaaztKs%3D</t>
  </si>
  <si>
    <t>https://www.proquest.com/docview/1822455100?accountid=131239&amp;bdid=51804&amp;_bd=AhxTLnzrxligkY4A%2BchaCXHtRZo%3D</t>
  </si>
  <si>
    <t>https://www.proquest.com/docview/1861529669?accountid=131239&amp;bdid=51804&amp;_bd=M61cAAd0CzZ4s%2BpoK4SWSrHyB4w%3D</t>
  </si>
  <si>
    <t>https://www.proquest.com/docview/1822455346?accountid=131239&amp;bdid=51804&amp;_bd=22x%2BifLW8g1TBPnfwRNKzYO%2FBB0%3D</t>
  </si>
  <si>
    <t>Anorexia Nervosa, Binge-Eating/Purging Type, in Volume 2 New Releases: DSM 5 Guided Eating Disorder Series, Volume 2, Episode 13</t>
  </si>
  <si>
    <t>https://www.proquest.com/docview/2584325472?accountid=131239&amp;bdid=51804&amp;_bd=WY9Ft1RWeL8oMaxff0s7VA9GMh0%3D</t>
  </si>
  <si>
    <t>https://www.proquest.com/docview/1822455104?accountid=131239&amp;bdid=51804&amp;_bd=1Kcg9XIu%2FQNqrXkVPrsPjD2gnwU%3D</t>
  </si>
  <si>
    <t>https://www.proquest.com/docview/1837601596?accountid=131239&amp;bdid=51804&amp;_bd=%2BqyD7hd%2BH79GmWxpVcu6%2BWeUwrE%3D</t>
  </si>
  <si>
    <t>https://www.proquest.com/docview/1867551327?accountid=131239&amp;bdid=51804&amp;_bd=Go8H%2BT%2Fb93KHbVJN02KloPQnFC4%3D</t>
  </si>
  <si>
    <t>https://www.proquest.com/docview/1867549801?accountid=131239&amp;bdid=51804&amp;_bd=asXAbjvhM55bMwgHkJn4GyVNmhA%3D</t>
  </si>
  <si>
    <t>https://www.proquest.com/docview/2584322502?accountid=131239&amp;bdid=51804&amp;_bd=9ZAsmH8xYVIlnHRkdImx1kc%2FhtI%3D</t>
  </si>
  <si>
    <t>https://www.proquest.com/docview/2584324768?accountid=131239&amp;bdid=51804&amp;_bd=d4ZJwSNgEaqyUmIn%2B%2BoqQkPSDvw%3D</t>
  </si>
  <si>
    <t>https://www.proquest.com/docview/2584324924?accountid=131239&amp;bdid=51804&amp;_bd=R5RpWP7q22SlZUBgDBLXwp8HkFU%3D</t>
  </si>
  <si>
    <t>https://www.proquest.com/docview/1837586828?accountid=131239&amp;bdid=51804&amp;_bd=BQVHHDK5hwX9G5cknv%2FAjkj3uDs%3D</t>
  </si>
  <si>
    <t>https://www.proquest.com/docview/2584323716?accountid=131239&amp;bdid=51804&amp;_bd=h1bf9Ag96Zx14s0y%2BBPP1WH4jYs%3D</t>
  </si>
  <si>
    <t>https://www.proquest.com/docview/1837591526?accountid=131239&amp;bdid=51804&amp;_bd=gwWPAcAJaRHmtOWaczMJDNGMD4w%3D</t>
  </si>
  <si>
    <t>https://www.proquest.com/docview/2584324771?accountid=131239&amp;bdid=51804&amp;_bd=K%2BSWcmiZFFoOZOmUmlSrqUIPtDE%3D</t>
  </si>
  <si>
    <t>https://www.proquest.com/docview/2584323166?accountid=131239&amp;bdid=51804&amp;_bd=NBt00BzPMzwOovro%2FX%2BOZFvuDUo%3D</t>
  </si>
  <si>
    <t>https://www.proquest.com/docview/2584323167?accountid=131239&amp;bdid=51804&amp;_bd=tnEV1kt5JSrDb%2FRcPKD2Hg5t5nA%3D</t>
  </si>
  <si>
    <t>https://www.proquest.com/docview/2584323960?accountid=131239&amp;bdid=51804&amp;_bd=Vmqu%2BZ7VzE8vHFtYusTwz1YHAlU%3D</t>
  </si>
  <si>
    <t>https://www.proquest.com/docview/2584323720?accountid=131239&amp;bdid=51804&amp;_bd=eKkHrraYU4E2eCN54uMsjGUls9w%3D</t>
  </si>
  <si>
    <t>https://www.proquest.com/docview/1837567000?accountid=131239&amp;bdid=51804&amp;_bd=nkmn8f%2BobV00YE8R4fcdip%2F%2FQ6Y%3D</t>
  </si>
  <si>
    <t>https://www.proquest.com/docview/1837587590?accountid=131239&amp;bdid=51804&amp;_bd=tbcZR24%2F2tfLjf3V33ZFPiN1%2F8Y%3D</t>
  </si>
  <si>
    <t>https://www.proquest.com/docview/1837585571?accountid=131239&amp;bdid=51804&amp;_bd=1pjznH0fHPok8WgrDD%2BUVHHr5LA%3D</t>
  </si>
  <si>
    <t>https://www.proquest.com/docview/1822503534?accountid=131239&amp;bdid=51804&amp;_bd=8aP6N2UPqc%2FUt6TekUq9lsnQ%2Byg%3D</t>
  </si>
  <si>
    <t>https://www.proquest.com/docview/1867551710?accountid=131239&amp;bdid=51804&amp;_bd=dqhjm60MAshKIq75%2BmMQR5untKQ%3D</t>
  </si>
  <si>
    <t>https://www.proquest.com/docview/1867549995?accountid=131239&amp;bdid=51804&amp;_bd=y2J1s6VGYDAbWmDLILf8rDdFqww%3D</t>
  </si>
  <si>
    <t>https://www.proquest.com/docview/2584324758?accountid=131239&amp;bdid=51804&amp;_bd=Ug62DytCLFxXim83OCum64Q8Au4%3D</t>
  </si>
  <si>
    <t>https://www.proquest.com/docview/1842240423?accountid=131239&amp;bdid=51804&amp;_bd=gx5CEyysInb8Xn9ZA3tl0BfEwbg%3D</t>
  </si>
  <si>
    <t>https://www.proquest.com/docview/2584325725?accountid=131239&amp;bdid=51804&amp;_bd=XBrZ7l%2BlbUNbzh5LLqyCofBU8ZQ%3D</t>
  </si>
  <si>
    <t>https://www.proquest.com/docview/2584325606?accountid=131239&amp;bdid=51804&amp;_bd=PrL4TNmrshpyXfXZASX4K1eTMXQ%3D</t>
  </si>
  <si>
    <t>https://www.proquest.com/docview/1837543843?accountid=131239&amp;bdid=51804&amp;_bd=QIJQnNaH3olNoOrCpU2EhH%2F6JjI%3D</t>
  </si>
  <si>
    <t>https://www.proquest.com/docview/2584324762?accountid=131239&amp;bdid=51804&amp;_bd=4bED2qKeSKRD2ez6%2B3BALTCfaXk%3D</t>
  </si>
  <si>
    <t>https://www.proquest.com/docview/1822829876?accountid=131239&amp;bdid=51804&amp;_bd=N3%2FTBg9meenJ3J7K8p2VxAYwU2A%3D</t>
  </si>
  <si>
    <t>https://www.proquest.com/docview/1837602225?accountid=131239&amp;bdid=51804&amp;_bd=RQOl0Z5bL0dtPnK8ADmBu9K%2BuSw%3D</t>
  </si>
  <si>
    <t>https://www.proquest.com/docview/1837550870?accountid=131239&amp;bdid=51804&amp;_bd=XUg7lQqtYjr7gCNo4MMhLoz1uu0%3D</t>
  </si>
  <si>
    <t>https://www.proquest.com/docview/1822503524?accountid=131239&amp;bdid=51804&amp;_bd=RccH%2B1iAI4EP8%2F37QWWHD24sozk%3D</t>
  </si>
  <si>
    <t>https://www.proquest.com/docview/1867549907?accountid=131239&amp;bdid=51804&amp;_bd=SCqrs3Pv8fub1xriOlRrHTLQeQU%3D</t>
  </si>
  <si>
    <t>https://www.proquest.com/docview/1842240433?accountid=131239&amp;bdid=51804&amp;_bd=D%2BfSq8ms52R9558nmg1r63vLfy4%3D</t>
  </si>
  <si>
    <t>https://www.proquest.com/docview/1842240279?accountid=131239&amp;bdid=51804&amp;_bd=NBvLMmkYI0CcFWrT074ifGzaQNU%3D</t>
  </si>
  <si>
    <t>https://www.proquest.com/docview/1837593680?accountid=131239&amp;bdid=51804&amp;_bd=D6mmupu6cj9dk5j8u0%2FG4%2B2Uo2Q%3D</t>
  </si>
  <si>
    <t>https://www.proquest.com/docview/1822830164?accountid=131239&amp;bdid=51804&amp;_bd=2hxCt91t%2FCPQHwMtayOABoI9j%2Fc%3D</t>
  </si>
  <si>
    <t>https://www.proquest.com/docview/1867549902?accountid=131239&amp;bdid=51804&amp;_bd=cil1TyRwWnQJ0fmgmjAgoB36bMg%3D</t>
  </si>
  <si>
    <t>https://www.proquest.com/docview/1837590292?accountid=131239&amp;bdid=51804&amp;_bd=%2BBby8ShbRO9Bx3N2Ixvr0gAtZEM%3D</t>
  </si>
  <si>
    <t>https://www.proquest.com/docview/1837563024?accountid=131239&amp;bdid=51804&amp;_bd=NXBsSKbT8Qcrt6uInt%2BVIM8NWPQ%3D</t>
  </si>
  <si>
    <t>https://www.proquest.com/docview/2584324070?accountid=131239&amp;bdid=51804&amp;_bd=522%2FbSzRT63Umu4pbylavxp7%2FKQ%3D</t>
  </si>
  <si>
    <t>https://www.proquest.com/docview/1822455115?accountid=131239&amp;bdid=51804&amp;_bd=S35jKOwtDAQt%2Bv6q%2Ffpa847rHuQ%3D</t>
  </si>
  <si>
    <t>https://www.proquest.com/docview/1822830032?accountid=131239&amp;bdid=51804&amp;_bd=mLHD%2B%2Fk%2FSM4kK2sasBhnsH1zocI%3D</t>
  </si>
  <si>
    <t>https://www.proquest.com/docview/1842240603?accountid=131239&amp;bdid=51804&amp;_bd=d5XA%2BNBH7inVgv5lEGxqS1ZzgrQ%3D</t>
  </si>
  <si>
    <t>https://www.proquest.com/docview/1822830034?accountid=131239&amp;bdid=51804&amp;_bd=0zksiVWdcmwORI3qmOs4kkqWZQQ%3D</t>
  </si>
  <si>
    <t>https://www.proquest.com/docview/1834844467?accountid=131239&amp;bdid=51804&amp;_bd=6fqrFzDFH0sMt9%2Bd75P%2F4wrUhLk%3D</t>
  </si>
  <si>
    <t>https://www.proquest.com/docview/1822840238?accountid=131239&amp;bdid=51804&amp;_bd=4qiQFSBscq6J9NuKpc29gaNsH1o%3D</t>
  </si>
  <si>
    <t>https://www.proquest.com/docview/1822840359?accountid=131239&amp;bdid=51804&amp;_bd=ZNJ6EVZKqP31O3JNXLW%2FAjTdYiw%3D</t>
  </si>
  <si>
    <t>https://www.proquest.com/docview/1822840234?accountid=131239&amp;bdid=51804&amp;_bd=RvKuPZgoZvlBHUWZvSLKttvdaCE%3D</t>
  </si>
  <si>
    <t>https://www.proquest.com/docview/1822840196?accountid=131239&amp;bdid=51804&amp;_bd=%2FuyNr3JXdpKnqum770SdP3XCNq4%3D</t>
  </si>
  <si>
    <t>https://www.proquest.com/docview/1822453243?accountid=131239&amp;bdid=51804&amp;_bd=rX2peeOb4TZB26lEyxIkdIYVTQQ%3D</t>
  </si>
  <si>
    <t>https://www.proquest.com/docview/1822453122?accountid=131239&amp;bdid=51804&amp;_bd=aYQ7g9FEnYYJHqQqYRP7mPtXbtA%3D</t>
  </si>
  <si>
    <t>https://www.proquest.com/docview/1822840194?accountid=131239&amp;bdid=51804&amp;_bd=wLhkhwi0sfcu0ugfiY6y0bOL4yA%3D</t>
  </si>
  <si>
    <t>https://www.proquest.com/docview/1842240331?accountid=131239&amp;bdid=51804&amp;_bd=ArtyAZB%2Bnu8hWP1Cw3ywv9JyvQM%3D</t>
  </si>
  <si>
    <t>https://www.proquest.com/docview/1822840192?accountid=131239&amp;bdid=51804&amp;_bd=eMNt8Qe68yjCyTfMTV%2FoylywgdA%3D</t>
  </si>
  <si>
    <t>https://www.proquest.com/docview/1822830148?accountid=131239&amp;bdid=51804&amp;_bd=ookjH2WVq31ZIzI0cN2vNQFdJBc%3D</t>
  </si>
  <si>
    <t>https://www.proquest.com/docview/1842240215?accountid=131239&amp;bdid=51804&amp;_bd=FctHLK7Ae8KXJK2eTOwX%2BibIEdA%3D</t>
  </si>
  <si>
    <t>https://www.proquest.com/docview/1842240336?accountid=131239&amp;bdid=51804&amp;_bd=NRb1BNONroK7qJsUUNxf22zdl6k%3D</t>
  </si>
  <si>
    <t>https://www.proquest.com/docview/2584321069?accountid=131239&amp;bdid=51804&amp;_bd=qKYCv67iJr88Bxqdvphrdntxr90%3D</t>
  </si>
  <si>
    <t>https://www.proquest.com/docview/1822840223?accountid=131239&amp;bdid=51804&amp;_bd=KtO6STcjFO2UIzcxEioJgY81z%2Bo%3D</t>
  </si>
  <si>
    <t>https://www.proquest.com/docview/1822840224?accountid=131239&amp;bdid=51804&amp;_bd=uXWW8eCR2pPYMDkTSXBttbKBL00%3D</t>
  </si>
  <si>
    <t>https://www.proquest.com/docview/1822453111?accountid=131239&amp;bdid=51804&amp;_bd=Iro6fMsxAz3rfO1Y20AnM4k8qF4%3D</t>
  </si>
  <si>
    <t>https://www.proquest.com/docview/1895005361?accountid=131239&amp;bdid=51804&amp;_bd=XL65TDMb4rSUVnUP3xsHtjj7QJY%3D</t>
  </si>
  <si>
    <t>https://www.proquest.com/docview/1822840184?accountid=131239&amp;bdid=51804&amp;_bd=ynrJAO1Glw3nIirahAAefx6OnHc%3D</t>
  </si>
  <si>
    <t>https://www.proquest.com/docview/1842240581?accountid=131239&amp;bdid=51804&amp;_bd=QaW5EXoCkUh7Xd%2BkUWefArQ7R2w%3D</t>
  </si>
  <si>
    <t>https://www.proquest.com/docview/1842240222?accountid=131239&amp;bdid=51804&amp;_bd=hsQNrz71DkjBrtB0R%2BhGT5DvTpQ%3D</t>
  </si>
  <si>
    <t>https://www.proquest.com/docview/1842240585?accountid=131239&amp;bdid=51804&amp;_bd=SBUaPPODL6RE3ZEPKiLXHdxMf5s%3D</t>
  </si>
  <si>
    <t>https://www.proquest.com/docview/1842240621?accountid=131239&amp;bdid=51804&amp;_bd=w6Pcx92OT%2BEN1wKCy0W%2F6%2BPbzUk%3D</t>
  </si>
  <si>
    <t>https://www.proquest.com/docview/1842240345?accountid=131239&amp;bdid=51804&amp;_bd=8JabkiZKxBb79tvL25fTsLx9Wn4%3D</t>
  </si>
  <si>
    <t>https://www.proquest.com/docview/1822840215?accountid=131239&amp;bdid=51804&amp;_bd=jDAeq5rT7JotK%2FCe5eAuqiDvA28%3D</t>
  </si>
  <si>
    <t>https://www.proquest.com/docview/1822840337?accountid=131239&amp;bdid=51804&amp;_bd=nTfuovheEXsclOJ4BLnRKevo9mw%3D</t>
  </si>
  <si>
    <t>https://www.proquest.com/docview/1822453824?accountid=131239&amp;bdid=51804&amp;_bd=6o1DtcCqV%2BcoDGdKEFjp2imnOFw%3D</t>
  </si>
  <si>
    <t>https://www.proquest.com/docview/1822840339?accountid=131239&amp;bdid=51804&amp;_bd=DgDIxTZe2RYkeBmrcMkj0%2BJ1Rus%3D</t>
  </si>
  <si>
    <t>https://www.proquest.com/docview/1822840177?accountid=131239&amp;bdid=51804&amp;_bd=RiNbM8D6fppqm09hynrtHnZh1A8%3D</t>
  </si>
  <si>
    <t>https://www.proquest.com/docview/1822840212?accountid=131239&amp;bdid=51804&amp;_bd=UM11VwV%2Fixl4%2FYNRh3lrmhpgrNE%3D</t>
  </si>
  <si>
    <t>https://www.proquest.com/docview/1822840292?accountid=131239&amp;bdid=51804&amp;_bd=dIMtp4kbB3UidhEBy4TzrqHqKrk%3D</t>
  </si>
  <si>
    <t>https://www.proquest.com/docview/1822482181?accountid=131239&amp;bdid=51804&amp;_bd=0ZodvKBXRBKJ5v7%2FIqYRYPJBU2Y%3D</t>
  </si>
  <si>
    <t>https://www.proquest.com/docview/1842240231?accountid=131239&amp;bdid=51804&amp;_bd=iglDvycAH4NR8cu5L0HAojljJOY%3D</t>
  </si>
  <si>
    <t>https://www.proquest.com/docview/1842240633?accountid=131239&amp;bdid=51804&amp;_bd=bu0TAux4VVpBMVBztncTbhzYg6Y%3D</t>
  </si>
  <si>
    <t>https://www.proquest.com/docview/1842240514?accountid=131239&amp;bdid=51804&amp;_bd=36%2BjhnAxO1PHJf5iHdpfZoB3wC4%3D</t>
  </si>
  <si>
    <t>https://www.proquest.com/docview/1822840208?accountid=131239&amp;bdid=51804&amp;_bd=bwH47yqm3hQvkECptjGxaEV3QbY%3D</t>
  </si>
  <si>
    <t>https://www.proquest.com/docview/1822840204?accountid=131239&amp;bdid=51804&amp;_bd=DBjf7I4OiVK4QmRV3ml%2BSzi6kBI%3D</t>
  </si>
  <si>
    <t>https://www.proquest.com/docview/1822840325?accountid=131239&amp;bdid=51804&amp;_bd=g41IleWM%2FZNTtG6xXBfbhyadCuw%3D</t>
  </si>
  <si>
    <t>https://www.proquest.com/docview/1822840323?accountid=131239&amp;bdid=51804&amp;_bd=eHTXdBCKMyUq3UfOMtRVey%2BbVMM%3D</t>
  </si>
  <si>
    <t>https://www.proquest.com/docview/1822840202?accountid=131239&amp;bdid=51804&amp;_bd=S8Ts9FknXThj3iVZONnUvCTxFhU%3D</t>
  </si>
  <si>
    <t>https://www.proquest.com/docview/1822840324?accountid=131239&amp;bdid=51804&amp;_bd=gHjrstQSSBUwr9K13oxmpmoh%2FUY%3D</t>
  </si>
  <si>
    <t>https://www.proquest.com/docview/1842284144?accountid=131239&amp;bdid=51804&amp;_bd=OmQPFdPr044rAUONVtxtKFNu%2BNs%3D</t>
  </si>
  <si>
    <t>https://www.proquest.com/docview/1822840285?accountid=131239&amp;bdid=51804&amp;_bd=q%2BH4VoMAg6F8t4jj%2Bm8dQfl69ZE%3D</t>
  </si>
  <si>
    <t>https://www.proquest.com/docview/1822830119?accountid=131239&amp;bdid=51804&amp;_bd=DWg0wi4Y3esfneZmPMszJr%2Bz9tg%3D</t>
  </si>
  <si>
    <t>https://www.proquest.com/docview/1842240522?accountid=131239&amp;bdid=51804&amp;_bd=UXAEYN7wC9ACXsIyVtsS0AlRFEs%3D</t>
  </si>
  <si>
    <t>https://www.proquest.com/docview/1842240488?accountid=131239&amp;bdid=51804&amp;_bd=02kp1qquar%2FctZ6XBdpsEWRGJMk%3D</t>
  </si>
  <si>
    <t>https://www.proquest.com/docview/1822840318?accountid=131239&amp;bdid=51804&amp;_bd=6wXRdG51%2FKNuoflxu56raObLyRA%3D</t>
  </si>
  <si>
    <t>https://www.proquest.com/docview/1842240528?accountid=131239&amp;bdid=51804&amp;_bd=1sy%2F7h%2F20zbn6SJ3mZ2jyd7kGTk%3D</t>
  </si>
  <si>
    <t>https://www.proquest.com/docview/2584322483?accountid=131239&amp;bdid=51804&amp;_bd=tuUCtBZUBeqtjWGEnQZzUydMtpw%3D</t>
  </si>
  <si>
    <t>https://www.proquest.com/docview/1822453723?accountid=131239&amp;bdid=51804&amp;_bd=4m%2BlU0kSzdD8dRRWDSoRV92DYqs%3D</t>
  </si>
  <si>
    <t>https://www.proquest.com/docview/2584322486?accountid=131239&amp;bdid=51804&amp;_bd=Z9ipoh7eM%2BSazw6Y2iUzOo7vseA%3D</t>
  </si>
  <si>
    <t>https://www.proquest.com/docview/1822840316?accountid=131239&amp;bdid=51804&amp;_bd=tOQqf4j32tm%2FIwFyXpr5JGvP5SU%3D</t>
  </si>
  <si>
    <t>https://www.proquest.com/docview/1822449471?accountid=131239&amp;bdid=51804&amp;_bd=%2BNNA8Z%2Bj5MqywxcowE7DiV5e%2Bhw%3D</t>
  </si>
  <si>
    <t>https://www.proquest.com/docview/1892133032?accountid=131239&amp;bdid=51804&amp;_bd=UONngzhMgqWMU8JJF5G24WQpPjo%3D</t>
  </si>
  <si>
    <t>https://www.proquest.com/docview/1822827078?accountid=131239&amp;bdid=51804&amp;_bd=rKvIlepclE4G2aJX0Gq61TGnd5Y%3D</t>
  </si>
  <si>
    <t>https://www.proquest.com/docview/1822840311?accountid=131239&amp;bdid=51804&amp;_bd=UIdKWWV6meuu9GNSXPd5vDAKXJE%3D</t>
  </si>
  <si>
    <t>https://www.proquest.com/docview/1822452878?accountid=131239&amp;bdid=51804&amp;_bd=fWNldreivElSHaj%2FiL1I9NW7VJo%3D</t>
  </si>
  <si>
    <t>https://www.proquest.com/docview/1822829892?accountid=131239&amp;bdid=51804&amp;_bd=3L2npN%2F0%2FPkl5IX%2BkKc%2BSVvVmHQ%3D</t>
  </si>
  <si>
    <t>https://www.proquest.com/docview/1822840270?accountid=131239&amp;bdid=51804&amp;_bd=SATVDpyzpBG8MnQ3q0eR5Yq%2BYTc%3D</t>
  </si>
  <si>
    <t>https://www.proquest.com/docview/1842240491?accountid=131239&amp;bdid=51804&amp;_bd=4rHRU0rX%2BjwsSDOI%2BE0MSGTtzos%3D</t>
  </si>
  <si>
    <t>https://www.proquest.com/docview/1822830069?accountid=131239&amp;bdid=51804&amp;_bd=asXuLlfs2KPhfJCIRtdllKZLIb0%3D</t>
  </si>
  <si>
    <t>https://www.proquest.com/docview/1842240774?accountid=131239&amp;bdid=51804&amp;_bd=0m9EU5cwVfqZ4q17NL1zrG2uEZ8%3D</t>
  </si>
  <si>
    <t>https://www.proquest.com/docview/1842240532?accountid=131239&amp;bdid=51804&amp;_bd=WAmf223YzBbMHPxrKk48Epp50ts%3D</t>
  </si>
  <si>
    <t>https://www.proquest.com/docview/1842240812?accountid=131239&amp;bdid=51804&amp;_bd=4JKGwOcYZTgWE0KKaVwaKCLh3nA%3D</t>
  </si>
  <si>
    <t>https://www.proquest.com/docview/1842240539?accountid=131239&amp;bdid=51804&amp;_bd=Oylrvo%2BtTK%2Bcpojmu%2FMNaw69tAU%3D</t>
  </si>
  <si>
    <t>https://www.proquest.com/docview/1822840309?accountid=131239&amp;bdid=51804&amp;_bd=iN4%2BuYysbfVMnHnXagFj0kNFLz8%3D</t>
  </si>
  <si>
    <t>https://www.proquest.com/docview/1842240815?accountid=131239&amp;bdid=51804&amp;_bd=WzzztTWuv7wCITvRol0wAh9cHLQ%3D</t>
  </si>
  <si>
    <t>https://www.proquest.com/docview/1822840303?accountid=131239&amp;bdid=51804&amp;_bd=DUlXNLyBOpE4m0swvQKU%2Faw6Ky8%3D</t>
  </si>
  <si>
    <t>https://www.proquest.com/docview/2584322474?accountid=131239&amp;bdid=51804&amp;_bd=eVUJ0BDymyRYec6emzXGq4guJU4%3D</t>
  </si>
  <si>
    <t>https://www.proquest.com/docview/1822840304?accountid=131239&amp;bdid=51804&amp;_bd=Le4ji0LyuIaTR5wsAUNhYZqWJMc%3D</t>
  </si>
  <si>
    <t>https://www.proquest.com/docview/2584322475?accountid=131239&amp;bdid=51804&amp;_bd=ETSbY9ajqElA9%2Flf3KYUd7jJrvU%3D</t>
  </si>
  <si>
    <t>https://www.proquest.com/docview/1822452868?accountid=131239&amp;bdid=51804&amp;_bd=qwHCcrvyyoX5uN30Wmi9b0iWxuk%3D</t>
  </si>
  <si>
    <t>https://www.proquest.com/docview/1822840300?accountid=131239&amp;bdid=51804&amp;_bd=Qqit1IvyLTSxQ4yeNxnKuYRXSUo%3D</t>
  </si>
  <si>
    <t>https://www.proquest.com/docview/1822453030?accountid=131239&amp;bdid=51804&amp;_bd=mQxWYOy24j%2Fd3%2BTSxSi3CeFyBWc%3D</t>
  </si>
  <si>
    <t>https://www.proquest.com/docview/1822840302?accountid=131239&amp;bdid=51804&amp;_bd=rxPpb0mTI1krMLxX5Z8SetET8G4%3D</t>
  </si>
  <si>
    <t>https://www.proquest.com/docview/1822449406?accountid=131239&amp;bdid=51804&amp;_bd=qHJBVX7WDSLW93EKGjxoUTKkSmI%3D</t>
  </si>
  <si>
    <t>https://www.proquest.com/docview/1850719233?accountid=131239&amp;bdid=51804&amp;_bd=XuVrsChbFJoG6q9aGPuFdWAqX3s%3D</t>
  </si>
  <si>
    <t>https://www.proquest.com/docview/1822482554?accountid=131239&amp;bdid=51804&amp;_bd=VYZpfLADPdVlEnVR5ysqcIeSwec%3D</t>
  </si>
  <si>
    <t>https://www.proquest.com/docview/1822830056?accountid=131239&amp;bdid=51804&amp;_bd=ALnbAiNn0Mkaa%2FOyItN9Z60XI9Q%3D</t>
  </si>
  <si>
    <t>https://www.proquest.com/docview/1842240706?accountid=131239&amp;bdid=51804&amp;_bd=pJpi%2FLjNUCmQJh%2FRfRB7nBD0LmA%3D</t>
  </si>
  <si>
    <t>https://www.proquest.com/docview/1822840259?accountid=131239&amp;bdid=51804&amp;_bd=2xT859wi0OgEbaQqufNTPytupBE%3D</t>
  </si>
  <si>
    <t>https://www.proquest.com/docview/1822840255?accountid=131239&amp;bdid=51804&amp;_bd=zCTMI%2FXPTZQ03bRXjsBAt95se%2BE%3D</t>
  </si>
  <si>
    <t>https://www.proquest.com/docview/1822840257?accountid=131239&amp;bdid=51804&amp;_bd=59tMdjhLhpVXlAf%2BE7gEevmOxQU%3D</t>
  </si>
  <si>
    <t>https://www.proquest.com/docview/1916833959?accountid=131239&amp;bdid=51804&amp;_bd=0lGM000g5JtPW6OZcyrji9Byuag%3D</t>
  </si>
  <si>
    <t>https://www.proquest.com/docview/1842240272?accountid=131239&amp;bdid=51804&amp;_bd=m%2B0LW9Vip0qoDTrlrF6tMkAg%2BJU%3D</t>
  </si>
  <si>
    <t>https://www.proquest.com/docview/1822453182?accountid=131239&amp;bdid=51804&amp;_bd=Bz5kShScNZ3cbEqvknEG4Mby8h0%3D</t>
  </si>
  <si>
    <t>https://www.proquest.com/docview/1822483597?accountid=131239&amp;bdid=51804&amp;_bd=Jbqcm9Nggvi8orBXFOgwyhIgGsU%3D</t>
  </si>
  <si>
    <t>https://www.proquest.com/docview/2010842255?accountid=131239&amp;bdid=51804&amp;_bd=KoqApYEPN93K9OLZsrcNJDy%2BDhU%3D</t>
  </si>
  <si>
    <t>https://www.proquest.com/docview/1822830046?accountid=131239&amp;bdid=51804&amp;_bd=yIM%2FlhWHHNWRCYD48jXJm42mzic%3D</t>
  </si>
  <si>
    <t>https://www.proquest.com/docview/1822830167?accountid=131239&amp;bdid=51804&amp;_bd=zOHFYgrSSsltI6W3FLzDrP2W1yA%3D</t>
  </si>
  <si>
    <t>https://www.proquest.com/docview/1822482303?accountid=131239&amp;bdid=51804&amp;_bd=5wJug1vkhGiNN0BUtPrcqaCKr4Y%3D</t>
  </si>
  <si>
    <t>https://www.proquest.com/docview/1822830053?accountid=131239&amp;bdid=51804&amp;_bd=G5ZXsw%2FTJBMwfSF3urpE%2B5bu4bg%3D</t>
  </si>
  <si>
    <t>https://www.proquest.com/docview/1822482429?accountid=131239&amp;bdid=51804&amp;_bd=G9NMJ0tBy0X6syRZ%2Feks04vJpBU%3D</t>
  </si>
  <si>
    <t>https://www.proquest.com/docview/1822840244?accountid=131239&amp;bdid=51804&amp;_bd=Wyy%2BJzNnJDeInXDd6nMymoYyI4c%3D</t>
  </si>
  <si>
    <t>https://www.proquest.com/docview/1822840365?accountid=131239&amp;bdid=51804&amp;_bd=Rw9RDu8VF%2FADEbAunJ5nHJ%2Bk3LA%3D</t>
  </si>
  <si>
    <t>https://www.proquest.com/docview/1822840361?accountid=131239&amp;bdid=51804&amp;_bd=yRwF%2BSHwrbJrxL2ymF7iXEGnpTI%3D</t>
  </si>
  <si>
    <t>https://www.proquest.com/docview/1822453179?accountid=131239&amp;bdid=51804&amp;_bd=qt4axjHYayLYpx%2B%2FCzY0%2Bd%2FR%2B3c%3D</t>
  </si>
  <si>
    <t>https://www.proquest.com/docview/2584322838?accountid=131239&amp;bdid=51804&amp;_bd=FxeJip2%2FGiG%2F1IC7KOAKgt4%2FKis%3D</t>
  </si>
  <si>
    <t>https://www.proquest.com/docview/1822447928?accountid=131239&amp;bdid=51804&amp;_bd=SBblx5Mk3ozr8ZkYhOFVYapTW74%3D</t>
  </si>
  <si>
    <t>https://www.proquest.com/docview/2584322830?accountid=131239&amp;bdid=51804&amp;_bd=vS9c7OKv8MS5ghhqGnQ2q%2BhwOWo%3D</t>
  </si>
  <si>
    <t>https://www.proquest.com/docview/2584322798?accountid=131239&amp;bdid=51804&amp;_bd=xPF1Kvs6NiObc1xC53mkNc4Y2Hw%3D</t>
  </si>
  <si>
    <t>https://www.proquest.com/docview/2584322831?accountid=131239&amp;bdid=51804&amp;_bd=G1T%2Bn1zdx3A4cGCw9jTAo9SJSgk%3D</t>
  </si>
  <si>
    <t>https://www.proquest.com/docview/2584322836?accountid=131239&amp;bdid=51804&amp;_bd=HRUOd6meEohCXdMdHn9gNi1vUfQ%3D</t>
  </si>
  <si>
    <t>https://www.proquest.com/docview/2584322837?accountid=131239&amp;bdid=51804&amp;_bd=RC6YsqXqvHasoxXxVaFiCUe0vb8%3D</t>
  </si>
  <si>
    <t>https://www.proquest.com/docview/2584324066?accountid=131239&amp;bdid=51804&amp;_bd=VK0vLy2yO%2Bn11Dkr0mum2Q9yUio%3D</t>
  </si>
  <si>
    <t>https://www.proquest.com/docview/2584324065?accountid=131239&amp;bdid=51804&amp;_bd=YrGtzYnZ%2FdzrWYiyXs7BvrgpZRM%3D</t>
  </si>
  <si>
    <t>https://www.proquest.com/docview/2584325671?accountid=131239&amp;bdid=51804&amp;_bd=ybDe4g8YNRiXbpnCQdINc9WrwJc%3D</t>
  </si>
  <si>
    <t>https://www.proquest.com/docview/2584324067?accountid=131239&amp;bdid=51804&amp;_bd=3J0DYLBXS3f5GSWHcupYoIeQvTw%3D</t>
  </si>
  <si>
    <t>https://www.proquest.com/docview/1822671005?accountid=131239&amp;bdid=51804&amp;_bd=0E10YslNhQdjv5YEaNpW%2F6714bQ%3D</t>
  </si>
  <si>
    <t>https://www.proquest.com/docview/1883718800?accountid=131239&amp;bdid=51804&amp;_bd=P3Yw280lpF55Vt%2BxtD9fVoZ0KmU%3D</t>
  </si>
  <si>
    <t>https://www.proquest.com/docview/1822449394?accountid=131239&amp;bdid=51804&amp;_bd=Czd270bW6SkMjjg%2BOTHIN%2BxKUtE%3D</t>
  </si>
  <si>
    <t>64.2 Foster Care: A Missed Opportunity to Build Self-sufficiency? Hill., in Reaching Teens: Strength-Based Communication Strategies to Build Resilience and Support Healthy Adolescent Development</t>
  </si>
  <si>
    <t>Reaching Teens : Wisdom from Adolescent Medicine</t>
  </si>
  <si>
    <t>https://www.proquest.com/docview/1837585546?accountid=131239&amp;bdid=51804&amp;_bd=KFZzAd3emFvs05NyKnIGFd7brMA%3D</t>
  </si>
  <si>
    <t>https://www.proquest.com/docview/2584322840?accountid=131239&amp;bdid=51804&amp;_bd=0mVgGkPGVG1XfAWwtnDfUKIqYnM%3D</t>
  </si>
  <si>
    <t>https://www.proquest.com/docview/2584324060?accountid=131239&amp;bdid=51804&amp;_bd=Yw79Mj9MD4hUkitdWpMnNAsZZgQ%3D</t>
  </si>
  <si>
    <t>https://www.proquest.com/docview/1822829957?accountid=131239&amp;bdid=51804&amp;_bd=NPb32FfQyLsfQL2s0g3m9I0v8jM%3D</t>
  </si>
  <si>
    <t>https://www.proquest.com/docview/1834844455?accountid=131239&amp;bdid=51804&amp;_bd=ceyEKnzlEx3xDUB4aGyoy911f%2Fk%3D</t>
  </si>
  <si>
    <t>Filial Therapy: Mock Training</t>
  </si>
  <si>
    <t>https://www.proquest.com/docview/2555663944?accountid=131239&amp;bdid=51804&amp;_bd=jLQx7e8THzkLh9pL0zSAzEw5qfM%3D</t>
  </si>
  <si>
    <t>66.4 Testimony From the Executive Director of Covenant House PA. Hill., in Reaching Teens: Strength-Based Communication Strategies to Build Resilience and Support Healthy Adolescent Development, 422</t>
  </si>
  <si>
    <t>https://www.proquest.com/docview/1837557244?accountid=131239&amp;bdid=51804&amp;_bd=8u6Cky%2B8RZCqIGOi54ezsAz67UA%3D</t>
  </si>
  <si>
    <t>https://www.proquest.com/docview/1822833534?accountid=131239&amp;bdid=51804&amp;_bd=RDN%2Bf8bIm2URNS03PElcSaavGIQ%3D</t>
  </si>
  <si>
    <t>https://www.proquest.com/docview/2584324572?accountid=131239&amp;bdid=51804&amp;_bd=nQ71rCQPGRuPBkoGV4hpoIz4KhQ%3D</t>
  </si>
  <si>
    <t>F43.8 Other Specified Trauma- and Stressor-Related Disorder (Posttraumatic Stress, Firefighter, in Volume 2 ICD 10 Guided New Releases: ICD 10 Guided First Responder Series, Volume 2, Episode 23</t>
  </si>
  <si>
    <t>https://www.proquest.com/docview/2584322791?accountid=131239&amp;bdid=51804&amp;_bd=F%2BD8MmxIx3dxWZ20q1coRizl%2Fcw%3D</t>
  </si>
  <si>
    <t>https://www.proquest.com/docview/2584324573?accountid=131239&amp;bdid=51804&amp;_bd=jCGX0bW2f9xfUyazG4BKaSuee5U%3D</t>
  </si>
  <si>
    <t>Other Specified Trauma- and Stressor-Related Disorder (Posttraumatic Stress, Firefighter), in Volume 2 New Releases: DSM 5 Guided First Responder Series, Volume 2, Episode 23</t>
  </si>
  <si>
    <t>https://www.proquest.com/docview/2584324575?accountid=131239&amp;bdid=51804&amp;_bd=bk2Kgh1O01OClGcsj94lVoy%2FB7g%3D</t>
  </si>
  <si>
    <t>Major Depressive Disorder, Recurrent Episode, Severe, Persistent Depressive Disorder, Early Onset, With Intermittent Major Depressive Episodes, With Current Episode, in DSM 5 Military Case Scenarios Series Index: Mood Disorders, Episode 29</t>
  </si>
  <si>
    <t>https://www.proquest.com/docview/2584322795?accountid=131239&amp;bdid=51804&amp;_bd=RKnUYe0dM6hEhIqSPZr966qrQs0%3D</t>
  </si>
  <si>
    <t>https://www.proquest.com/docview/1892133060?accountid=131239&amp;bdid=51804&amp;_bd=HThjexG%2B1%2BwAFq2Rz1Sq5PAcnnc%3D</t>
  </si>
  <si>
    <t>https://www.proquest.com/docview/2584324052?accountid=131239&amp;bdid=51804&amp;_bd=fidsEle5GprByuGHaV0jQnp9bu0%3D</t>
  </si>
  <si>
    <t>https://www.proquest.com/docview/2584323502?accountid=131239&amp;bdid=51804&amp;_bd=i9Jhg698N0%2FwnrA8ZvROxrNZ3P0%3D</t>
  </si>
  <si>
    <t>Filial Therapy Explanation of Filial Therapy Process</t>
  </si>
  <si>
    <t>https://www.proquest.com/docview/2555662506?accountid=131239&amp;bdid=51804&amp;_bd=2%2BDOEiH2bDYLvaYGEV4s%2Fi8EhRA%3D</t>
  </si>
  <si>
    <t>https://www.proquest.com/docview/2584322811?accountid=131239&amp;bdid=51804&amp;_bd=rxxtiE3ue6WFqx3eO%2FaGc%2Fg5SOI%3D</t>
  </si>
  <si>
    <t>https://www.proquest.com/docview/2584322812?accountid=131239&amp;bdid=51804&amp;_bd=2DYWeJ%2BuyRMhhw7oMcEFIMYmLkM%3D</t>
  </si>
  <si>
    <t>https://www.proquest.com/docview/2584322815?accountid=131239&amp;bdid=51804&amp;_bd=UU1M%2BvX1hL98T2E40lzHQLZwRTA%3D</t>
  </si>
  <si>
    <t>https://www.proquest.com/docview/2584325498?accountid=131239&amp;bdid=51804&amp;_bd=oTAm%2Blo19R6hkBqSFV2WrVR9tmw%3D</t>
  </si>
  <si>
    <t>https://www.proquest.com/docview/1822829951?accountid=131239&amp;bdid=51804&amp;_bd=eZ%2B68zrjlSsGadiYJVEYFdN2c2A%3D</t>
  </si>
  <si>
    <t>https://www.proquest.com/docview/2584322806?accountid=131239&amp;bdid=51804&amp;_bd=wHGrOYhMIRvGWnJNahQcFRCaEqA%3D</t>
  </si>
  <si>
    <t>https://www.proquest.com/docview/2584322807?accountid=131239&amp;bdid=51804&amp;_bd=WyKBr07kOAv3S6AT5T32yn8m%2BZ0%3D</t>
  </si>
  <si>
    <t>https://www.proquest.com/docview/2584322522?accountid=131239&amp;bdid=51804&amp;_bd=8w0zwHzX9nSfofVEc33iDJao1Oc%3D</t>
  </si>
  <si>
    <t>https://www.proquest.com/docview/2584322489?accountid=131239&amp;bdid=51804&amp;_bd=FSWODDr1%2F50BSNuGVZ2bvPfDZWQ%3D</t>
  </si>
  <si>
    <t>https://www.proquest.com/docview/2584322800?accountid=131239&amp;bdid=51804&amp;_bd=aqMxFveVPPhJqXrmAKx1Bn9S0L8%3D</t>
  </si>
  <si>
    <t>https://www.proquest.com/docview/1822448860?accountid=131239&amp;bdid=51804&amp;_bd=hxNjbfEMRKz7Z4X8iIJHLfakzEg%3D</t>
  </si>
  <si>
    <t>https://www.proquest.com/docview/1822447138?accountid=131239&amp;bdid=51804&amp;_bd=7C3y%2FWDA0NjjDJrl1zy8nqVI%2FCA%3D</t>
  </si>
  <si>
    <t>https://www.proquest.com/docview/2010543782?accountid=131239&amp;bdid=51804&amp;_bd=r3%2Fhi%2BqLYFUUnRO1H4hnFm0aLFs%3D</t>
  </si>
  <si>
    <t>https://www.proquest.com/docview/1822830122?accountid=131239&amp;bdid=51804&amp;_bd=PDoKrO6sGkMGn%2F5BLTChJ9v6ILA%3D</t>
  </si>
  <si>
    <t>https://www.proquest.com/docview/2584325122?accountid=131239&amp;bdid=51804&amp;_bd=%2B%2BLnHCWiJRdAhYvMun3T1thkYWI%3D</t>
  </si>
  <si>
    <t>https://www.proquest.com/docview/2584325245?accountid=131239&amp;bdid=51804&amp;_bd=gy8GwxdRwq0RZ4UVMARhxa1DYXg%3D</t>
  </si>
  <si>
    <t>https://www.proquest.com/docview/2584324831?accountid=131239&amp;bdid=51804&amp;_bd=GaXCy4odoiqVANdwOhbQm8NYXVw%3D</t>
  </si>
  <si>
    <t>https://www.proquest.com/docview/2584323500?accountid=131239&amp;bdid=51804&amp;_bd=IVSKijS%2FUsqikUx8EPFnBYP8wiU%3D</t>
  </si>
  <si>
    <t>https://www.proquest.com/docview/2584324272?accountid=131239&amp;bdid=51804&amp;_bd=C%2F22a0EHxCEBQra6C%2B2ITUpDx4w%3D</t>
  </si>
  <si>
    <t>https://www.proquest.com/docview/2584325482?accountid=131239&amp;bdid=51804&amp;_bd=g8cO6maUZ%2FOPlTmvXFVQH6BcQVU%3D</t>
  </si>
  <si>
    <t>https://www.proquest.com/docview/2584323729?accountid=131239&amp;bdid=51804&amp;_bd=pHhNxAg60uR9dtwLUk79FpjGkEQ%3D</t>
  </si>
  <si>
    <t>https://www.proquest.com/docview/1837602050?accountid=131239&amp;bdid=51804&amp;_bd=HMaio7f4dvl7MNzeWmGkdpWLbg8%3D</t>
  </si>
  <si>
    <t>https://www.proquest.com/docview/2584322511?accountid=131239&amp;bdid=51804&amp;_bd=Bmvc38M6%2BcZ4nQSeFD3rSCKcJas%3D</t>
  </si>
  <si>
    <t>https://www.proquest.com/docview/2584323964?accountid=131239&amp;bdid=51804&amp;_bd=Y5IRRnuvq8K4seep6XkSBsURhdE%3D</t>
  </si>
  <si>
    <t>https://www.proquest.com/docview/2584322513?accountid=131239&amp;bdid=51804&amp;_bd=vcjFKXUTMhU5LRfZK%2Bqwb7Kebb4%3D</t>
  </si>
  <si>
    <t>https://www.proquest.com/docview/1822830115?accountid=131239&amp;bdid=51804&amp;_bd=LIiIvKTqbPBz5kdJzBw06mxBCps%3D</t>
  </si>
  <si>
    <t>https://www.proquest.com/docview/2584324779?accountid=131239&amp;bdid=51804&amp;_bd=g%2FKcZwc8781LSEWlepGIrwZxmws%3D</t>
  </si>
  <si>
    <t>https://www.proquest.com/docview/2584324264?accountid=131239&amp;bdid=51804&amp;_bd=2XPKk2KJo24L4gfW0DVkOBgQbz8%3D</t>
  </si>
  <si>
    <t>https://www.proquest.com/docview/2584322484?accountid=131239&amp;bdid=51804&amp;_bd=aW%2Ff%2BaYYuE3SAF1GTQCdQ4PnMVc%3D</t>
  </si>
  <si>
    <t>https://www.proquest.com/docview/2584323179?accountid=131239&amp;bdid=51804&amp;_bd=YwUOw5bAtIeP2Lqp9XZoNauJ9VY%3D</t>
  </si>
  <si>
    <t>https://www.proquest.com/docview/2584325477?accountid=131239&amp;bdid=51804&amp;_bd=MyrzzbKITu8CS9xQAiv7naaZd94%3D</t>
  </si>
  <si>
    <t>https://www.proquest.com/docview/2584322487?accountid=131239&amp;bdid=51804&amp;_bd=fBE%2F%2F2DGEJVkLZ6fRcu4Yv%2Fjn5g%3D</t>
  </si>
  <si>
    <t>https://www.proquest.com/docview/2584325237?accountid=131239&amp;bdid=51804&amp;_bd=gwGMrdpmdZ2LJVu6gALy7t3X16I%3D</t>
  </si>
  <si>
    <t>https://www.proquest.com/docview/2584322521?accountid=131239&amp;bdid=51804&amp;_bd=%2BoU61H1CkK%2BU%2FuqW6PWbkPGVCX4%3D</t>
  </si>
  <si>
    <t>https://www.proquest.com/docview/2584323170?accountid=131239&amp;bdid=51804&amp;_bd=VRcIWnNx%2BhRmRmK5lH%2FVfrWuhmM%3D</t>
  </si>
  <si>
    <t>https://www.proquest.com/docview/2584325471?accountid=131239&amp;bdid=51804&amp;_bd=AbsuVnI8NUGtiCldWDJ2Bhzqzjs%3D</t>
  </si>
  <si>
    <t>https://www.proquest.com/docview/2584323718?accountid=131239&amp;bdid=51804&amp;_bd=qbapwuvi19eVnYAyMm7XWBdynnc%3D</t>
  </si>
  <si>
    <t>https://www.proquest.com/docview/2584323719?accountid=131239&amp;bdid=51804&amp;_bd=sCW2SzQ3Wht%2FJYTjCmhJtPAVb%2Bw%3D</t>
  </si>
  <si>
    <t>https://www.proquest.com/docview/2584322467?accountid=131239&amp;bdid=51804&amp;_bd=vReG5MGMeTiOio9UcTdZeyjvHh8%3D</t>
  </si>
  <si>
    <t>https://www.proquest.com/docview/2584324767?accountid=131239&amp;bdid=51804&amp;_bd=p3Oel35%2FG7rMx9522ULVavfpN8M%3D</t>
  </si>
  <si>
    <t>https://www.proquest.com/docview/2584325613?accountid=131239&amp;bdid=51804&amp;_bd=PfK5J%2FvtKElnjTeEyF2%2B4k0C%2Bm4%3D</t>
  </si>
  <si>
    <t>https://www.proquest.com/docview/2584322501?accountid=131239&amp;bdid=51804&amp;_bd=W5mgCfkJK1xJftOtVmS%2B2qdH0ig%3D</t>
  </si>
  <si>
    <t>https://www.proquest.com/docview/2584322504?accountid=131239&amp;bdid=51804&amp;_bd=Z3G%2BeLmD0YXBUeuC%2F8oA7ToexVQ%3D</t>
  </si>
  <si>
    <t>https://www.proquest.com/docview/2584322506?accountid=131239&amp;bdid=51804&amp;_bd=Dko56gUkjjg1KuXtDCF9UIx217g%3D</t>
  </si>
  <si>
    <t>https://www.proquest.com/docview/2584322507?accountid=131239&amp;bdid=51804&amp;_bd=2rOcHZ9ISOzg%2FXkE%2B7i0fw62rWk%3D</t>
  </si>
  <si>
    <t>https://www.proquest.com/docview/1834844533?accountid=131239&amp;bdid=51804&amp;_bd=oKV8X%2F0nFi2IFK4t4rY59wnB7jc%3D</t>
  </si>
  <si>
    <t>https://www.proquest.com/docview/2584322472?accountid=131239&amp;bdid=51804&amp;_bd=zr4ALib2ZVTvyr3HnTZAGgKkb90%3D</t>
  </si>
  <si>
    <t>https://www.proquest.com/docview/2584324772?accountid=131239&amp;bdid=51804&amp;_bd=6hDlA1yvtMow056qlLZtbVajuW4%3D</t>
  </si>
  <si>
    <t>Social Exclusion or Rejection and Problem Related to Lifestyle, in Volume 2 New Releases: DSM 5 Guided Child &amp; Adolescent Series, Volume 2, Episode 12</t>
  </si>
  <si>
    <t>https://www.proquest.com/docview/2584325466?accountid=131239&amp;bdid=51804&amp;_bd=vtcGAAt%2F0YY4mc7sKgJ%2F%2FM9EbDQ%3D</t>
  </si>
  <si>
    <t>https://www.proquest.com/docview/2584323961?accountid=131239&amp;bdid=51804&amp;_bd=vGjzoZklWTyqf1qW2lR14vv4jrk%3D</t>
  </si>
  <si>
    <t>https://www.proquest.com/docview/2584324776?accountid=131239&amp;bdid=51804&amp;_bd=qASWumn00Fj9HlvKNOWZPukqzn0%3D</t>
  </si>
  <si>
    <t>Alcohol Use Disorder, Severe, in Volume 2 New Releases: DSM 5 Guided Substance-Related and Addictive Disorders, Volume 2, Episode 38</t>
  </si>
  <si>
    <t>https://www.proquest.com/docview/2584322510?accountid=131239&amp;bdid=51804&amp;_bd=w4vlyKrXJDMZxeq3tVHL6ff9t8o%3D</t>
  </si>
  <si>
    <t>https://www.proquest.com/docview/2584325726?accountid=131239&amp;bdid=51804&amp;_bd=I9NIek3d%2F%2F2sRxWWqidoujOz3iE%3D</t>
  </si>
  <si>
    <t>https://www.proquest.com/docview/2584324757?accountid=131239&amp;bdid=51804&amp;_bd=%2BFWDsMpb2IphXmRlUIOJE%2BMnU8I%3D</t>
  </si>
  <si>
    <t>https://www.proquest.com/docview/1895011649?accountid=131239&amp;bdid=51804&amp;_bd=KzsnF3zLRQJeMcjzQCEJfRFzUK0%3D</t>
  </si>
  <si>
    <t>https://www.proquest.com/docview/2584325727?accountid=131239&amp;bdid=51804&amp;_bd=8wjfU0Ey2Qm%2BhobIHwKRjOkJ4Ys%3D</t>
  </si>
  <si>
    <t>https://www.proquest.com/docview/1822449126?accountid=131239&amp;bdid=51804&amp;_bd=c124KwfgNLcAqkJSsA9gNDUk2DU%3D</t>
  </si>
  <si>
    <t>F10.20 Alcohol Use Disorder, Severe, in Volume 2 ICD-9 Guided New Releases: ICD 10 Guided Substance-Related and Addictive Disorders, Volume 2, Episode 37</t>
  </si>
  <si>
    <t>https://www.proquest.com/docview/2584325693?accountid=131239&amp;bdid=51804&amp;_bd=4Te%2FrfInRJfB6BHqitFRXyeVBJ0%3D</t>
  </si>
  <si>
    <t>https://www.proquest.com/docview/2584322461?accountid=131239&amp;bdid=51804&amp;_bd=3p5yTXofb4lR5hSgSQdGdZ6jXrE%3D</t>
  </si>
  <si>
    <t>https://www.proquest.com/docview/1822829990?accountid=131239&amp;bdid=51804&amp;_bd=b0smqoXhcCv7atf%2FdXbB%2FC7MeFc%3D</t>
  </si>
  <si>
    <t>https://www.proquest.com/docview/2043154682?accountid=131239&amp;bdid=51804&amp;_bd=iHki4be83fTH%2FgeNQzOZMy1f52I%3D</t>
  </si>
  <si>
    <t>https://www.proquest.com/docview/1822829635?accountid=131239&amp;bdid=51804&amp;_bd=fAaw8gJFnbk6dKA94R16dcn6xHQ%3D</t>
  </si>
  <si>
    <t>https://www.proquest.com/docview/2584325053?accountid=131239&amp;bdid=51804&amp;_bd=7YubqElUU%2FxB2oGPAcQvryi9PKY%3D</t>
  </si>
  <si>
    <t>https://www.proquest.com/docview/1834840118?accountid=131239&amp;bdid=51804&amp;_bd=vKssVYk375UbaEPBuBxnv234hfs%3D</t>
  </si>
  <si>
    <t>54.1 Case: A 17-Year-Old Discusses With a Social Worker How Her Parents' Divorce Has Affected Her. Sonis., in Reaching Teens: Wisdom from Adolescent Medicine, 326</t>
  </si>
  <si>
    <t>https://www.proquest.com/docview/1837600160?accountid=131239&amp;bdid=51804&amp;_bd=kcUafoJh%2BGRqQWdq7JOqgbf92KM%3D</t>
  </si>
  <si>
    <t>https://www.proquest.com/docview/1822829857?accountid=131239&amp;bdid=51804&amp;_bd=zdeEH0z5eDNIC0gyDVDQIiYZEBU%3D</t>
  </si>
  <si>
    <t>https://www.proquest.com/docview/1822448149?accountid=131239&amp;bdid=51804&amp;_bd=%2BjyTBwRURqpQHOn0l4%2FtVVZAMdQ%3D</t>
  </si>
  <si>
    <t>https://www.proquest.com/docview/2043154674?accountid=131239&amp;bdid=51804&amp;_bd=3n4tmSZz8V3zzCJlEWVkfCMKsOM%3D</t>
  </si>
  <si>
    <t>60.6 Case: Preparing a Late Adolescent With Chronic Disease for the Insurance Issues Associated With Health Care Transition. Feit., in Reaching Teens: Strength-Based Communication Strategies to Build Resilience and Support Healthy Adolescent Development, 368</t>
  </si>
  <si>
    <t>https://www.proquest.com/docview/1930854383?accountid=131239&amp;bdid=51804&amp;_bd=ecPsKEthvgn2hctV8fOr0%2BNdHbI%3D</t>
  </si>
  <si>
    <t>https://www.proquest.com/docview/1822828638?accountid=131239&amp;bdid=51804&amp;_bd=LypYNlbBxWgjj%2BPfd%2B0JbBxOX70%3D</t>
  </si>
  <si>
    <t>https://www.proquest.com/docview/1822797928?accountid=131239&amp;bdid=51804&amp;_bd=NO1OlEMNqwb8gCE4Ur95sDnSm3s%3D</t>
  </si>
  <si>
    <t>https://www.proquest.com/docview/1822605101?accountid=131239&amp;bdid=51804&amp;_bd=70Es7dTs%2B%2FYWpXzqMrstonHYTvc%3D</t>
  </si>
  <si>
    <t>https://www.proquest.com/docview/2584325702?accountid=131239&amp;bdid=51804&amp;_bd=ndtHGLQpdGaM8y4LUl2ukqMVkmk%3D</t>
  </si>
  <si>
    <t>https://www.proquest.com/docview/1822798582?accountid=131239&amp;bdid=51804&amp;_bd=I6sJekf%2FpLp6Zxs1EJrZVsmis68%3D</t>
  </si>
  <si>
    <t>Bernal, Guillermo</t>
  </si>
  <si>
    <t>https://www.proquest.com/docview/1822796794?accountid=131239&amp;bdid=51804&amp;_bd=KBpkWvyLnaGaXaXf%2BRRIHvNNvlU%3D</t>
  </si>
  <si>
    <t>Dermer, Shannon; Russell-Chapin, Lori</t>
  </si>
  <si>
    <t>https://www.proquest.com/docview/1822811359?accountid=131239&amp;bdid=51804&amp;_bd=6OCIBCs5qobsYgNkORxBB6iDn2A%3D</t>
  </si>
  <si>
    <t>https://www.proquest.com/docview/1822824161?accountid=131239&amp;bdid=51804&amp;_bd=CXjC3Ufrt%2FJDU9UMoiU%2F0lcCUPI%3D</t>
  </si>
  <si>
    <t>https://www.proquest.com/docview/1822796833?accountid=131239&amp;bdid=51804&amp;_bd=75t0ladTKJ7srGTQKuXN%2FPUhIyA%3D</t>
  </si>
  <si>
    <t>https://www.proquest.com/docview/2584325152?accountid=131239&amp;bdid=51804&amp;_bd=CraT1RulkXVC%2FJZk272tHe9qoS4%3D</t>
  </si>
  <si>
    <t>https://www.proquest.com/docview/1822825914?accountid=131239&amp;bdid=51804&amp;_bd=Nwpmpguh%2Bea%2BWdKg3p0QqwKQ%2Bxk%3D</t>
  </si>
  <si>
    <t>https://www.proquest.com/docview/1822811252?accountid=131239&amp;bdid=51804&amp;_bd=js%2F1ynCg3WW4LjfbXko%2FWh%2FWZB8%3D</t>
  </si>
  <si>
    <t>https://www.proquest.com/docview/1822828591?accountid=131239&amp;bdid=51804&amp;_bd=f98NDQWOQDREEu8lgMEIdpshjaQ%3D</t>
  </si>
  <si>
    <t>https://www.proquest.com/docview/2584325545?accountid=131239&amp;bdid=51804&amp;_bd=DbcmuxbERlSCgDXQ2FOuduZIF84%3D</t>
  </si>
  <si>
    <t>https://www.proquest.com/docview/1822453195?accountid=131239&amp;bdid=51804&amp;_bd=%2BeU1P2YqsLQVT2q9czZqB%2FHOZfE%3D</t>
  </si>
  <si>
    <t>https://www.proquest.com/docview/1822674464?accountid=131239&amp;bdid=51804&amp;_bd=7OBA44WvkLhP1HQSM0OccOW4qQo%3D</t>
  </si>
  <si>
    <t>https://www.proquest.com/docview/1822796209?accountid=131239&amp;bdid=51804&amp;_bd=SJ6TiFkWk6ltz3BJ1YtnhzS56jU%3D</t>
  </si>
  <si>
    <t>https://www.proquest.com/docview/1822824154?accountid=131239&amp;bdid=51804&amp;_bd=BUu0c%2FQZ8Xxg3aU6yTxEKEWDBo8%3D</t>
  </si>
  <si>
    <t>https://www.proquest.com/docview/1822825364?accountid=131239&amp;bdid=51804&amp;_bd=PTejPfHPVHiwi1w21o0NEjgv4Xg%3D</t>
  </si>
  <si>
    <t>https://www.proquest.com/docview/1822605684?accountid=131239&amp;bdid=51804&amp;_bd=r6E1dGEd7AbX0d3OeNnshpLS3RE%3D</t>
  </si>
  <si>
    <t>https://www.proquest.com/docview/1822816355?accountid=131239&amp;bdid=51804&amp;_bd=vryWuXcwMjjqoLy3DVltizzDdoE%3D</t>
  </si>
  <si>
    <t>https://www.proquest.com/docview/2584325012?accountid=131239&amp;bdid=51804&amp;_bd=uklLWVnIVR%2B9VXzy2eBXWgD%2BwX4%3D</t>
  </si>
  <si>
    <t>https://www.proquest.com/docview/1822722033?accountid=131239&amp;bdid=51804&amp;_bd=nzRaUdroEMFnB8Dmc1mieBrnK7w%3D</t>
  </si>
  <si>
    <t>https://www.proquest.com/docview/2584325016?accountid=131239&amp;bdid=51804&amp;_bd=h9%2BKN2X7bhKythvN2l1%2BzwBgAFI%3D</t>
  </si>
  <si>
    <t>https://www.proquest.com/docview/1822498535?accountid=131239&amp;bdid=51804&amp;_bd=V77DT8AdRmElRp8ImQfESkOkk%2BA%3D</t>
  </si>
  <si>
    <t>https://www.proquest.com/docview/1822828585?accountid=131239&amp;bdid=51804&amp;_bd=uUrk1KVVp89vs44NdP2JJE2nOLY%3D</t>
  </si>
  <si>
    <t>https://www.proquest.com/docview/1822806313?accountid=131239&amp;bdid=51804&amp;_bd=F7M6K3stRZUmshWCHdn%2FaLcUk3c%3D</t>
  </si>
  <si>
    <t>https://www.proquest.com/docview/1822796857?accountid=131239&amp;bdid=51804&amp;_bd=iDwGWJARySdAizcT1BI7R3M2Uhk%3D</t>
  </si>
  <si>
    <t>https://www.proquest.com/docview/1822828623?accountid=131239&amp;bdid=51804&amp;_bd=DaBTeZNMQpUhzj8zqA6UeTT8tsY%3D</t>
  </si>
  <si>
    <t>https://www.proquest.com/docview/1822828569?accountid=131239&amp;bdid=51804&amp;_bd=EVJOtixi1fiodjkuN41WQWhGn6c%3D</t>
  </si>
  <si>
    <t>https://www.proquest.com/docview/1822605690?accountid=131239&amp;bdid=51804&amp;_bd=nKb4IM84p0o%2BxRaspT%2FhReoKV8g%3D</t>
  </si>
  <si>
    <t>https://www.proquest.com/docview/1822823679?accountid=131239&amp;bdid=51804&amp;_bd=86OkoPl2ZvqcsWXn6M6YV%2Bi4niI%3D</t>
  </si>
  <si>
    <t>https://www.proquest.com/docview/1822815674?accountid=131239&amp;bdid=51804&amp;_bd=T2frbtIoJNFUne%2FXyl6ZsNSJ9ds%3D</t>
  </si>
  <si>
    <t>Dermer, Shannon</t>
  </si>
  <si>
    <t>https://www.proquest.com/docview/1822811470?accountid=131239&amp;bdid=51804&amp;_bd=Z34RJ7WeIL0ftaeMMsrqPjBF0%2B0%3D</t>
  </si>
  <si>
    <t>https://www.proquest.com/docview/1822798490?accountid=131239&amp;bdid=51804&amp;_bd=zbDlhp38jpptwtz45H14JDwj2p4%3D</t>
  </si>
  <si>
    <t>https://www.proquest.com/docview/1822701610?accountid=131239&amp;bdid=51804&amp;_bd=zIbEVWyqZE%2FiGYwumavaIBcfZYM%3D</t>
  </si>
  <si>
    <t>https://www.proquest.com/docview/2584325518?accountid=131239&amp;bdid=51804&amp;_bd=68O3LEDU4QuEshZGxAK0PVMMcaU%3D</t>
  </si>
  <si>
    <t>https://www.proquest.com/docview/2584325088?accountid=131239&amp;bdid=51804&amp;_bd=sJ2bCrPptlurpOTJ6rfnmH9vYLE%3D</t>
  </si>
  <si>
    <t>Helm, Katherine; Dermer, Shannon</t>
  </si>
  <si>
    <t>https://www.proquest.com/docview/1822811189?accountid=131239&amp;bdid=51804&amp;_bd=Opb6FKiVtbVAVzFSBVOnRSFBea0%3D</t>
  </si>
  <si>
    <t>https://www.proquest.com/docview/1822798488?accountid=131239&amp;bdid=51804&amp;_bd=XlbydngR89SBV4IKrFIqbN1lSFs%3D</t>
  </si>
  <si>
    <t>https://www.proquest.com/docview/1822722020?accountid=131239&amp;bdid=51804&amp;_bd=LVDfaRaBOj3VgRbW0%2FuE3qhqFyc%3D</t>
  </si>
  <si>
    <t>https://www.proquest.com/docview/1822798128?accountid=131239&amp;bdid=51804&amp;_bd=iTnZpQTNCq%2BCGSfhxsUNVzVz%2BL4%3D</t>
  </si>
  <si>
    <t>https://www.proquest.com/docview/1822796864?accountid=131239&amp;bdid=51804&amp;_bd=jhNXK%2FLxpAvdhTyCM5lgSielz3Y%3D</t>
  </si>
  <si>
    <t>https://www.proquest.com/docview/1822796743?accountid=131239&amp;bdid=51804&amp;_bd=jW685MDbr1vZFX5d2tkPN3iQ0e8%3D</t>
  </si>
  <si>
    <t>https://www.proquest.com/docview/1822453097?accountid=131239&amp;bdid=51804&amp;_bd=SJirV1nWlvwipp2GbeqcChBt8J0%3D</t>
  </si>
  <si>
    <t>https://www.proquest.com/docview/1822796228?accountid=131239&amp;bdid=51804&amp;_bd=3b8R1yqDgca%2Fl2g9I5DLl6GJjLA%3D</t>
  </si>
  <si>
    <t>https://www.proquest.com/docview/1822825861?accountid=131239&amp;bdid=51804&amp;_bd=EQ1gqR3TWsWaTySXzS5VJ5UjxRo%3D</t>
  </si>
  <si>
    <t>https://www.proquest.com/docview/1822825965?accountid=131239&amp;bdid=51804&amp;_bd=oK1Rb0ukMN91H3CBxLkn%2BI8KiLY%3D</t>
  </si>
  <si>
    <t>Bessel van der Kolk</t>
  </si>
  <si>
    <t>https://www.proquest.com/docview/1822891231?accountid=131239&amp;bdid=51804&amp;_bd=3Y%2Bdt%2BNrxYktlL7Wep4P5gDy3Uw%3D</t>
  </si>
  <si>
    <t>https://www.proquest.com/docview/1822816572?accountid=131239&amp;bdid=51804&amp;_bd=YDRFRytYB4F3%2Fh0CGOfDEw%2FOOYQ%3D</t>
  </si>
  <si>
    <t>https://www.proquest.com/docview/1822796471?accountid=131239&amp;bdid=51804&amp;_bd=SC8ic0HZJvG1dECtAdgKuzvM%2F5g%3D</t>
  </si>
  <si>
    <t>Dermer, Shannon; Love, Pat</t>
  </si>
  <si>
    <t>https://www.proquest.com/docview/1822811951?accountid=131239&amp;bdid=51804&amp;_bd=3J8UwRbmGrK9d9FolFsOP0fL%2F2c%3D</t>
  </si>
  <si>
    <t>https://www.proquest.com/docview/1822828680?accountid=131239&amp;bdid=51804&amp;_bd=9nwkYFqakXBzssElpmLiRYvEhbg%3D</t>
  </si>
  <si>
    <t>Vaid, Urvashi</t>
  </si>
  <si>
    <t>https://www.proquest.com/docview/1822796873?accountid=131239&amp;bdid=51804&amp;_bd=3%2FN04Nlv38QvjlABPmRjlhHcGpo%3D</t>
  </si>
  <si>
    <t>https://www.proquest.com/docview/1822452879?accountid=131239&amp;bdid=51804&amp;_bd=rWTe9m8l6XywvOPu7o6ZcF1y3GA%3D</t>
  </si>
  <si>
    <t>https://www.proquest.com/docview/1822825693?accountid=131239&amp;bdid=51804&amp;_bd=UOY2cXl28atMrLabDOU5wtX8sZ8%3D</t>
  </si>
  <si>
    <t>https://www.proquest.com/docview/2584325194?accountid=131239&amp;bdid=51804&amp;_bd=5DKBfhKptD8CkgSbzM6wBhD%2Bc1c%3D</t>
  </si>
  <si>
    <t>https://www.proquest.com/docview/1822828566?accountid=131239&amp;bdid=51804&amp;_bd=x2X48Php8sr5gTeCaSPC%2FlmcYdM%3D</t>
  </si>
  <si>
    <t>https://www.proquest.com/docview/1822453960?accountid=131239&amp;bdid=51804&amp;_bd=Mt7rf68O5TAIsEmVv64rGwRqOG8%3D</t>
  </si>
  <si>
    <t>https://www.proquest.com/docview/1822828704?accountid=131239&amp;bdid=51804&amp;_bd=mLlgrkYdXN2oilR6eRTo6nxXXY4%3D</t>
  </si>
  <si>
    <t>https://www.proquest.com/docview/1822822600?accountid=131239&amp;bdid=51804&amp;_bd=CJCEJdFqgcRsxFEOcWs3sxB6bNs%3D</t>
  </si>
  <si>
    <t>https://www.proquest.com/docview/1822816060?accountid=131239&amp;bdid=51804&amp;_bd=hqONR9YyLm5aG74ZXAHvf7qVnIs%3D</t>
  </si>
  <si>
    <t>https://www.proquest.com/docview/1822798270?accountid=131239&amp;bdid=51804&amp;_bd=mGhOuom4OR8PMtNUUIuH4FqMk3A%3D</t>
  </si>
  <si>
    <t>https://www.proquest.com/docview/1822488942?accountid=131239&amp;bdid=51804&amp;_bd=Oc4NUB2nQvy5OGPGC8zGhddSJyA%3D</t>
  </si>
  <si>
    <t>https://www.proquest.com/docview/1822453158?accountid=131239&amp;bdid=51804&amp;_bd=fNRdtG2YOT72I6mJiBzlcJSAsgc%3D</t>
  </si>
  <si>
    <t>https://www.proquest.com/docview/1822799595?accountid=131239&amp;bdid=51804&amp;_bd=rdqcSugAYMehRAs%2BfEL4STz%2F%2BGM%3D</t>
  </si>
  <si>
    <t>https://www.proquest.com/docview/1822809771?accountid=131239&amp;bdid=51804&amp;_bd=lOisRgYqyBZrEiDax0WfWTpKlM4%3D</t>
  </si>
  <si>
    <t>https://www.proquest.com/docview/1822798388?accountid=131239&amp;bdid=51804&amp;_bd=6OF5FI0Hy8DFOzd81ZrFNcyXrh8%3D</t>
  </si>
  <si>
    <t>https://www.proquest.com/docview/1822828557?accountid=131239&amp;bdid=51804&amp;_bd=rTYEmgLhaA4TjqFWEmWAfX5TFh8%3D</t>
  </si>
  <si>
    <t>https://www.proquest.com/docview/2584325580?accountid=131239&amp;bdid=51804&amp;_bd=SNLH9iliSURuSw9PHhA23L%2Fv1x0%3D</t>
  </si>
  <si>
    <t>https://www.proquest.com/docview/1822828556?accountid=131239&amp;bdid=51804&amp;_bd=rbhIcZYdNAmwCXL2h8cGCD9owcs%3D</t>
  </si>
  <si>
    <t>https://www.proquest.com/docview/1822455059?accountid=131239&amp;bdid=51804&amp;_bd=dFDO3FGt0fcc%2FZw9jezhd03koVY%3D</t>
  </si>
  <si>
    <t>https://www.proquest.com/docview/1822828554?accountid=131239&amp;bdid=51804&amp;_bd=7aklzz2Bmpq8XOGh5%2F%2BlghNFclQ%3D</t>
  </si>
  <si>
    <t>https://www.proquest.com/docview/1822828659?accountid=131239&amp;bdid=51804&amp;_bd=USzv87FknVDMwnS6PdT2uJeAOcg%3D</t>
  </si>
  <si>
    <t>https://www.proquest.com/docview/1822823127?accountid=131239&amp;bdid=51804&amp;_bd=iLqIiBT2hia8S%2FuOSBhAPuobkHc%3D</t>
  </si>
  <si>
    <t>https://www.proquest.com/docview/1822605000?accountid=131239&amp;bdid=51804&amp;_bd=V2ZsKUMDb0VSk9oREIocaU86pL4%3D</t>
  </si>
  <si>
    <t>https://www.proquest.com/docview/1822795323?accountid=131239&amp;bdid=51804&amp;_bd=UMPctWmlQoEFdJLQ249z7lIQnb8%3D</t>
  </si>
  <si>
    <t>https://www.proquest.com/docview/1822483764?accountid=131239&amp;bdid=51804&amp;_bd=vtS7ay%2F8ZqEEnMs%2F2WswEgTtTPw%3D</t>
  </si>
  <si>
    <t>https://www.proquest.com/docview/1822799642?accountid=131239&amp;bdid=51804&amp;_bd=XVcGX9f2pGJzTpO554vGvzTOAOc%3D</t>
  </si>
  <si>
    <t>https://www.proquest.com/docview/1822798555?accountid=131239&amp;bdid=51804&amp;_bd=Guu8ZEMG4b7PRqpnzN0ke9j3SNA%3D</t>
  </si>
  <si>
    <t>https://www.proquest.com/docview/1822817119?accountid=131239&amp;bdid=51804&amp;_bd=8WCfpB6IHryc24lo4s6GW1ppNXA%3D</t>
  </si>
  <si>
    <t>https://www.proquest.com/docview/1822798677?accountid=131239&amp;bdid=51804&amp;_bd=W0D0mNyL1t3WRHCHMxLw5rVaITE%3D</t>
  </si>
  <si>
    <t>https://www.proquest.com/docview/1822822040?accountid=131239&amp;bdid=51804&amp;_bd=Z48ddbJqT7MzOejkWcCGW11EUJ0%3D</t>
  </si>
  <si>
    <t>https://www.proquest.com/docview/1822452811?accountid=131239&amp;bdid=51804&amp;_bd=Sfn0Pw7yglHFz7Vliu2wdWk5FLk%3D</t>
  </si>
  <si>
    <t>https://www.proquest.com/docview/1822823099?accountid=131239&amp;bdid=51804&amp;_bd=jw8pt4wH0mlzTwZyJN%2FTKUCFDzQ%3D</t>
  </si>
  <si>
    <t>https://www.proquest.com/docview/1822603613?accountid=131239&amp;bdid=51804&amp;_bd=PAQWfzOlTubd7nUojQTXusi9Toc%3D</t>
  </si>
  <si>
    <t>https://www.proquest.com/docview/1822828528?accountid=131239&amp;bdid=51804&amp;_bd=Em8Mg6IunXTHsCdOU8iCfUgaCuQ%3D</t>
  </si>
  <si>
    <t>https://www.proquest.com/docview/1822829615?accountid=131239&amp;bdid=51804&amp;_bd=TUGCvba9j6YgaVV9SKKjl2c3kJU%3D</t>
  </si>
  <si>
    <t>https://www.proquest.com/docview/1822825418?accountid=131239&amp;bdid=51804&amp;_bd=HczioCuFEYvEcvp1eHplXCcMHWU%3D</t>
  </si>
  <si>
    <t>Dermer, Shannon; Peluso, Paul</t>
  </si>
  <si>
    <t>https://www.proquest.com/docview/1822817499?accountid=131239&amp;bdid=51804&amp;_bd=PA6yGq17xt22XRSIBx%2FMEFVqIrM%3D</t>
  </si>
  <si>
    <t>https://www.proquest.com/docview/1822798561?accountid=131239&amp;bdid=51804&amp;_bd=%2FwX%2FrxPOMzwe3dKZ7bO4NVhB2Y0%3D</t>
  </si>
  <si>
    <t>https://www.proquest.com/docview/2584325564?accountid=131239&amp;bdid=51804&amp;_bd=WGC9JMuQ057l4vau8mIuH3oQOu0%3D</t>
  </si>
  <si>
    <t>https://www.proquest.com/docview/1822453974?accountid=131239&amp;bdid=51804&amp;_bd=8%2BvQ9tdI3mqlbKfj9KokwYjsE%2Fg%3D</t>
  </si>
  <si>
    <t>https://www.proquest.com/docview/1822816557?accountid=131239&amp;bdid=51804&amp;_bd=jhT47%2FCrW664amFsRJVmTyEN8Tk%3D</t>
  </si>
  <si>
    <t>https://www.proquest.com/docview/1822722461?accountid=131239&amp;bdid=51804&amp;_bd=hFqbg%2Fz4Qy2ZzFDy0VPeayvwLqg%3D</t>
  </si>
  <si>
    <t>https://www.proquest.com/docview/1822796823?accountid=131239&amp;bdid=51804&amp;_bd=YbTrNpc%2FXkv9YtIu3tvHAN02%2FYI%3D</t>
  </si>
  <si>
    <t>https://www.proquest.com/docview/1822453175?accountid=131239&amp;bdid=51804&amp;_bd=43DEXlN2eSa19h4QlBLCZ%2B25rXo%3D</t>
  </si>
  <si>
    <t>https://www.proquest.com/docview/1822796824?accountid=131239&amp;bdid=51804&amp;_bd=HsB4raC53ttXmJWzN5rvACpEysM%3D</t>
  </si>
  <si>
    <t>https://www.proquest.com/docview/1822490447?accountid=131239&amp;bdid=51804&amp;_bd=sPA75Ua8l8SKfZ9jCxpl%2Fp2ZUOI%3D</t>
  </si>
  <si>
    <t>https://www.proquest.com/docview/1822828654?accountid=131239&amp;bdid=51804&amp;_bd=VPHl0K%2FRAk3%2BMzMiueJHMWLb2Vs%3D</t>
  </si>
  <si>
    <t>https://www.proquest.com/docview/2166671527?accountid=131239&amp;bdid=51804&amp;_bd=A4RxKLks1WZEP1H%2F2h4UI2Lf3aA%3D</t>
  </si>
  <si>
    <t>https://www.proquest.com/docview/1822830156?accountid=131239&amp;bdid=51804&amp;_bd=ipYc5SWSWyNpysZ4GX7E9rCePm0%3D</t>
  </si>
  <si>
    <t>https://www.proquest.com/docview/1822798694?accountid=131239&amp;bdid=51804&amp;_bd=8kj%2F46iSCYq1YS0StuDUpcKt8aE%3D</t>
  </si>
  <si>
    <t>https://www.proquest.com/docview/1822798451?accountid=131239&amp;bdid=51804&amp;_bd=y%2FNy%2FWDR%2FJkCHmQAqJSVlL47A%2Fg%3D</t>
  </si>
  <si>
    <t>https://www.proquest.com/docview/1822798572?accountid=131239&amp;bdid=51804&amp;_bd=Pv7c5JefeOjUfqXCMQ3YZo4OC3c%3D</t>
  </si>
  <si>
    <t>https://www.proquest.com/docview/1822798457?accountid=131239&amp;bdid=51804&amp;_bd=Pg%2FjN7B%2BkzQjQtBOtbsqHsRQjlo%3D</t>
  </si>
  <si>
    <t>https://www.proquest.com/docview/1822798616?accountid=131239&amp;bdid=51804&amp;_bd=g12uSUqlZqC1Rn0xptjD4mAostg%3D</t>
  </si>
  <si>
    <t>https://www.proquest.com/docview/2001919569?accountid=131239&amp;bdid=51804&amp;_bd=P2pckrT99PKlKSM6rz7C0i7NjDc%3D</t>
  </si>
  <si>
    <t>https://www.proquest.com/docview/1822799284?accountid=131239&amp;bdid=51804&amp;_bd=eZVSlV5jZfkl0vrDU1KAqf8a168%3D</t>
  </si>
  <si>
    <t>https://www.proquest.com/docview/1822798590?accountid=131239&amp;bdid=51804&amp;_bd=q%2F4PsgBHGStL3yZb7iCJpzuiZo0%3D</t>
  </si>
  <si>
    <t>https://www.proquest.com/docview/2001949926?accountid=131239&amp;bdid=51804&amp;_bd=s8GdMDf3yPBeMTy6nQGJDXPkA7Y%3D</t>
  </si>
  <si>
    <t>https://www.proquest.com/docview/1822799430?accountid=131239&amp;bdid=51804&amp;_bd=nFJANjZvitNcZPuKC%2FRAEYyQdds%3D</t>
  </si>
  <si>
    <t>https://www.proquest.com/docview/1822798583?accountid=131239&amp;bdid=51804&amp;_bd=S563%2FiBdB2kOkcvKi7RzWKTWOIc%3D</t>
  </si>
  <si>
    <t>https://www.proquest.com/docview/1822798740?accountid=131239&amp;bdid=51804&amp;_bd=jNpCxpU2c0SMW%2BtsUdLKRkxzek8%3D</t>
  </si>
  <si>
    <t>https://www.proquest.com/docview/1822832294?accountid=131239&amp;bdid=51804&amp;_bd=eHFPTjZ7%2ByKFUSCgfxjwEyu%2F9%2B8%3D</t>
  </si>
  <si>
    <t>https://www.proquest.com/docview/1822798500?accountid=131239&amp;bdid=51804&amp;_bd=KR6JAqrCTxfwNpErTsJocKgqzQ0%3D</t>
  </si>
  <si>
    <t>Rossi, Ernest</t>
  </si>
  <si>
    <t>https://www.proquest.com/docview/1822798587?accountid=131239&amp;bdid=51804&amp;_bd=Gd6sMbL3NQBSm8W1q9C3N%2BrZi0A%3D</t>
  </si>
  <si>
    <t>https://www.proquest.com/docview/1822799555?accountid=131239&amp;bdid=51804&amp;_bd=BNl7tbPidVGATC5fmd8Bkc2u%2BlM%3D</t>
  </si>
  <si>
    <t>https://www.proquest.com/docview/1822798502?accountid=131239&amp;bdid=51804&amp;_bd=NglS0iLRQgI2qjnSegrnI2NtKkQ%3D</t>
  </si>
  <si>
    <t>https://www.proquest.com/docview/1822798622?accountid=131239&amp;bdid=51804&amp;_bd=jiMvQc1OD%2BC1IcoBHFPYyZvYN7Q%3D</t>
  </si>
  <si>
    <t>https://www.proquest.com/docview/1822798589?accountid=131239&amp;bdid=51804&amp;_bd=g9hTjqNv4mCtBDjTa2Y4qKmqdYo%3D</t>
  </si>
  <si>
    <t>Morissette, Alanis</t>
  </si>
  <si>
    <t>https://www.proquest.com/docview/1822798748?accountid=131239&amp;bdid=51804&amp;_bd=yKOm5FXGNjT62iTKSbJtc5%2FJPI4%3D</t>
  </si>
  <si>
    <t>https://www.proquest.com/docview/1822798747?accountid=131239&amp;bdid=51804&amp;_bd=xKrx4XMCLblaenpXYbN3J1%2Bwe5I%3D</t>
  </si>
  <si>
    <t>https://www.proquest.com/docview/1957752480?accountid=131239&amp;bdid=51804&amp;_bd=1p5nZFlMMKqJMDZ87VeMJf%2FhtLY%3D</t>
  </si>
  <si>
    <t>https://www.proquest.com/docview/1822798507?accountid=131239&amp;bdid=51804&amp;_bd=xJ3mAuHi0%2F0wvLs%2BjTyO%2ByyaTsc%3D</t>
  </si>
  <si>
    <t>https://www.proquest.com/docview/1822798509?accountid=131239&amp;bdid=51804&amp;_bd=XdqkPPEjj5QVVfpYK%2B8foTdkxTo%3D</t>
  </si>
  <si>
    <t>https://www.proquest.com/docview/2584324832?accountid=131239&amp;bdid=51804&amp;_bd=JMb1d0UoI1ziY1eleQ2p26nzBsU%3D</t>
  </si>
  <si>
    <t>https://www.proquest.com/docview/1822799684?accountid=131239&amp;bdid=51804&amp;_bd=m9dZgmKs36Nh8E8xK4WYwwyNH1M%3D</t>
  </si>
  <si>
    <t>https://www.proquest.com/docview/2584322384?accountid=131239&amp;bdid=51804&amp;_bd=%2BnZmqkUHha%2F6PQv8aXj8EmNg1Ik%3D</t>
  </si>
  <si>
    <t>https://www.proquest.com/docview/1822798476?accountid=131239&amp;bdid=51804&amp;_bd=GGfAX3jmmsMd5vsmvNVXv4Tz5nc%3D</t>
  </si>
  <si>
    <t>https://www.proquest.com/docview/1822798751?accountid=131239&amp;bdid=51804&amp;_bd=J%2BxOUrW%2Faee8vx1TdQTZbvg9cJQ%3D</t>
  </si>
  <si>
    <t>https://www.proquest.com/docview/1822799685?accountid=131239&amp;bdid=51804&amp;_bd=0XjzDLB7Iy2xhUs3WgocMr%2Fp%2Bdo%3D</t>
  </si>
  <si>
    <t>https://www.proquest.com/docview/1822798511?accountid=131239&amp;bdid=51804&amp;_bd=OkiIV1HFKL%2BTulpLfQ9jFEbhOoM%3D</t>
  </si>
  <si>
    <t>https://www.proquest.com/docview/1822799446?accountid=131239&amp;bdid=51804&amp;_bd=tcOjHkeMTqtPfVnjRX7P4CUsTxc%3D</t>
  </si>
  <si>
    <t>https://www.proquest.com/docview/1822799206?accountid=131239&amp;bdid=51804&amp;_bd=oSG5wHgbWK7%2Fmy%2FgREsa5J8mo6Y%3D</t>
  </si>
  <si>
    <t>https://www.proquest.com/docview/1822798755?accountid=131239&amp;bdid=51804&amp;_bd=aU0wUvJMyGvF9%2FybZ30O3yGWa4g%3D</t>
  </si>
  <si>
    <t>https://www.proquest.com/docview/1822798512?accountid=131239&amp;bdid=51804&amp;_bd=4MswQ%2BHEsTBwdcG98PYQeDcmxPY%3D</t>
  </si>
  <si>
    <t>https://www.proquest.com/docview/1822798635?accountid=131239&amp;bdid=51804&amp;_bd=PIaUJmN9yNEdyI%2Bg0rxFhKlF3Uo%3D</t>
  </si>
  <si>
    <t>https://www.proquest.com/docview/1822798638?accountid=131239&amp;bdid=51804&amp;_bd=dVXWzJCqpb7XS21rnYvQJ3LCN1Q%3D</t>
  </si>
  <si>
    <t>https://www.proquest.com/docview/1957752431?accountid=131239&amp;bdid=51804&amp;_bd=l6HYEfpNCZHcuPGHN%2F676BT7K6Q%3D</t>
  </si>
  <si>
    <t>https://www.proquest.com/docview/1822798758?accountid=131239&amp;bdid=51804&amp;_bd=2c%2FYOiQ7esCzHC8CQ2J4ABA1feg%3D</t>
  </si>
  <si>
    <t>https://www.proquest.com/docview/1822829938?accountid=131239&amp;bdid=51804&amp;_bd=AauKzSe7toYlZW1%2F%2BybH1pA6RH4%3D</t>
  </si>
  <si>
    <t>https://www.proquest.com/docview/1822830125?accountid=131239&amp;bdid=51804&amp;_bd=aDUS0I2wX5tuljr2eYG%2FWYE5HW8%3D</t>
  </si>
  <si>
    <t>https://www.proquest.com/docview/1822798370?accountid=131239&amp;bdid=51804&amp;_bd=p44%2FLoHZQHfQqtw5KLFwp2Ul6Bk%3D</t>
  </si>
  <si>
    <t>https://www.proquest.com/docview/1822799187?accountid=131239&amp;bdid=51804&amp;_bd=x8KVrkUiDoZhyBO9POtBxOvxkd4%3D</t>
  </si>
  <si>
    <t>https://www.proquest.com/docview/1822798484?accountid=131239&amp;bdid=51804&amp;_bd=wd7rYx9q9iiBy6Wk0sKNY1e9sik%3D</t>
  </si>
  <si>
    <t>https://www.proquest.com/docview/1822798522?accountid=131239&amp;bdid=51804&amp;_bd=BxcKmP2JE6ONbyGUl7DV9AjOCaw%3D</t>
  </si>
  <si>
    <t>https://www.proquest.com/docview/1822798529?accountid=131239&amp;bdid=51804&amp;_bd=IVGj9POIvv6thG2AMJ489XnNGGQ%3D</t>
  </si>
  <si>
    <t>https://www.proquest.com/docview/1834844540?accountid=131239&amp;bdid=51804&amp;_bd=Li8aZRN%2BrCXo41iOWl15KMZYb0k%3D</t>
  </si>
  <si>
    <t>https://www.proquest.com/docview/1822799592?accountid=131239&amp;bdid=51804&amp;_bd=QhezCJAAEEX87lxFKsEkqzG%2Fccc%3D</t>
  </si>
  <si>
    <t>https://www.proquest.com/docview/1822830112?accountid=131239&amp;bdid=51804&amp;_bd=c3yCpZlYBhisuCLV1sRozuFWRds%3D</t>
  </si>
  <si>
    <t>https://www.proquest.com/docview/1822830111?accountid=131239&amp;bdid=51804&amp;_bd=uUYmDLgj84KzAQngOblVLrCnZ6k%3D</t>
  </si>
  <si>
    <t>https://www.proquest.com/docview/1822798496?accountid=131239&amp;bdid=51804&amp;_bd=QLoxFPcrIfIjULfH8%2BPhCUDXDeg%3D</t>
  </si>
  <si>
    <t>https://www.proquest.com/docview/1822798770?accountid=131239&amp;bdid=51804&amp;_bd=MOMTb7QXXQ2TSmLzpTXqdn0ksEQ%3D</t>
  </si>
  <si>
    <t>https://www.proquest.com/docview/1822798374?accountid=131239&amp;bdid=51804&amp;_bd=m5xanP%2Bs8zpYYkfVYyQ5XExUso0%3D</t>
  </si>
  <si>
    <t>https://www.proquest.com/docview/1822798652?accountid=131239&amp;bdid=51804&amp;_bd=xszgeQrNtaYFkX7cOx6rWWPjaJg%3D</t>
  </si>
  <si>
    <t>https://www.proquest.com/docview/1822799224?accountid=131239&amp;bdid=51804&amp;_bd=k0OGjhOZJCtVDqu8UonJmNMwnwI%3D</t>
  </si>
  <si>
    <t>https://www.proquest.com/docview/1822798497?accountid=131239&amp;bdid=51804&amp;_bd=zgREvR6EXDFEU7sEoWHVpXj3ZEQ%3D</t>
  </si>
  <si>
    <t>https://www.proquest.com/docview/1822798532?accountid=131239&amp;bdid=51804&amp;_bd=BaexLcQeOSJ32es%2BKcOKX1L32UQ%3D</t>
  </si>
  <si>
    <t>https://www.proquest.com/docview/2584324787?accountid=131239&amp;bdid=51804&amp;_bd=TvbkesFqSwhKxQQPphymZX1jjTc%3D</t>
  </si>
  <si>
    <t>https://www.proquest.com/docview/1822798656?accountid=131239&amp;bdid=51804&amp;_bd=PG7aUzMf08IEeSzvpdvZfmT2l4A%3D</t>
  </si>
  <si>
    <t>https://www.proquest.com/docview/1822798655?accountid=131239&amp;bdid=51804&amp;_bd=WNRZw0GNhsAKUvxZOHcrUa05vl8%3D</t>
  </si>
  <si>
    <t>https://www.proquest.com/docview/1822798538?accountid=131239&amp;bdid=51804&amp;_bd=RSZ5ElqBGFWBahYlhjhvrWieh%2Bo%3D</t>
  </si>
  <si>
    <t>https://www.proquest.com/docview/1837549262?accountid=131239&amp;bdid=51804&amp;_bd=fZThamOVnWq1V7U6pXHzELS6PZ8%3D</t>
  </si>
  <si>
    <t>https://www.proquest.com/docview/2001950394?accountid=131239&amp;bdid=51804&amp;_bd=xRtdD9U4udKIo5VVY2q5lRBpIZY%3D</t>
  </si>
  <si>
    <t>https://www.proquest.com/docview/1822829914?accountid=131239&amp;bdid=51804&amp;_bd=V9yHEXY7xtF%2F67xeBBd5nL6DmmU%3D</t>
  </si>
  <si>
    <t>https://www.proquest.com/docview/1822798395?accountid=131239&amp;bdid=51804&amp;_bd=EKwgss6AlVRD%2FM0qJnlKmuHVZWM%3D</t>
  </si>
  <si>
    <t>https://www.proquest.com/docview/1822798542?accountid=131239&amp;bdid=51804&amp;_bd=0fbfsZOWyaN0jQCcHpyygO2YVIs%3D</t>
  </si>
  <si>
    <t>https://www.proquest.com/docview/1822799477?accountid=131239&amp;bdid=51804&amp;_bd=jlA8JHzZ7I7DM%2F8nUuprAgCPar4%3D</t>
  </si>
  <si>
    <t>https://www.proquest.com/docview/1822798700?accountid=131239&amp;bdid=51804&amp;_bd=EJYQC9uUAVHdT%2Fll6XLJNvwB0Nc%3D</t>
  </si>
  <si>
    <t>https://www.proquest.com/docview/1822798669?accountid=131239&amp;bdid=51804&amp;_bd=J2z%2BilXw2A%2BQok4TTslWylGqM%2F4%3D</t>
  </si>
  <si>
    <t>https://www.proquest.com/docview/1822798704?accountid=131239&amp;bdid=51804&amp;_bd=OfpS3pQJoUfSMORE78rT%2FOGVHjA%3D</t>
  </si>
  <si>
    <t>https://www.proquest.com/docview/1822799638?accountid=131239&amp;bdid=51804&amp;_bd=YSznWZDIXTUQ0BVggp9FRtbIhUU%3D</t>
  </si>
  <si>
    <t>https://www.proquest.com/docview/1822798428?accountid=131239&amp;bdid=51804&amp;_bd=vnr3epiCMU90rm24bDe9VCIjd78%3D</t>
  </si>
  <si>
    <t>https://www.proquest.com/docview/1822798706?accountid=131239&amp;bdid=51804&amp;_bd=LadR9cH1k61reo%2FZGnQxLDTHNzE%3D</t>
  </si>
  <si>
    <t>https://www.proquest.com/docview/1822829869?accountid=131239&amp;bdid=51804&amp;_bd=X3d%2FHJ9ZJR1hWrU4x7BUyP8nK7o%3D</t>
  </si>
  <si>
    <t>https://www.proquest.com/docview/1834840121?accountid=131239&amp;bdid=51804&amp;_bd=rxWR2RzZwv3G72KJOhzy3IlDdhE%3D</t>
  </si>
  <si>
    <t>https://www.proquest.com/docview/1822798430?accountid=131239&amp;bdid=51804&amp;_bd=zTrN5HN7QLNSfaceLqzHS1fbKGA%3D</t>
  </si>
  <si>
    <t>https://www.proquest.com/docview/1822799522?accountid=131239&amp;bdid=51804&amp;_bd=BBXTBOMgP3b46mpXn8ko9j%2F%2F2qA%3D</t>
  </si>
  <si>
    <t>https://www.proquest.com/docview/1822798554?accountid=131239&amp;bdid=51804&amp;_bd=PoYHgZADmpxAZgA69b4%2BGtnB0uA%3D</t>
  </si>
  <si>
    <t>https://www.proquest.com/docview/1822830060?accountid=131239&amp;bdid=51804&amp;_bd=Ode9Q7mHUCwc2fv9aSWvr3RNqTc%3D</t>
  </si>
  <si>
    <t>https://www.proquest.com/docview/1822798559?accountid=131239&amp;bdid=51804&amp;_bd=fqM5QOGM8yWSNqB%2B3jWfnp9qLCE%3D</t>
  </si>
  <si>
    <t>Ackerman, Diane</t>
  </si>
  <si>
    <t>https://www.proquest.com/docview/1822799528?accountid=131239&amp;bdid=51804&amp;_bd=sQdITsWjfhxTE%2BcLshIP5%2B%2Bo258%3D</t>
  </si>
  <si>
    <t>https://www.proquest.com/docview/1957752474?accountid=131239&amp;bdid=51804&amp;_bd=TM9QMuHIcC2nc6YoDInHCZZkYMo%3D</t>
  </si>
  <si>
    <t>https://www.proquest.com/docview/1957752471?accountid=131239&amp;bdid=51804&amp;_bd=%2Ba%2BQOrGUXbTd%2FCzyOTNIEwDgINA%3D</t>
  </si>
  <si>
    <t>https://www.proquest.com/docview/1822798718?accountid=131239&amp;bdid=51804&amp;_bd=OuimcM%2BBAsclu4M3ao4UnJpMRt4%3D</t>
  </si>
  <si>
    <t>https://www.proquest.com/docview/1822829859?accountid=131239&amp;bdid=51804&amp;_bd=Rv%2FcZv%2FwivjA9MinaI6wVzB3JO8%3D</t>
  </si>
  <si>
    <t>https://www.proquest.com/docview/2584322446?accountid=131239&amp;bdid=51804&amp;_bd=xY%2BuLpzBlthnLaRJZisQdu2Ca7g%3D</t>
  </si>
  <si>
    <t>https://www.proquest.com/docview/1822830047?accountid=131239&amp;bdid=51804&amp;_bd=gJXSTaiAGbimxULUHrmAGEHkCgw%3D</t>
  </si>
  <si>
    <t>https://www.proquest.com/docview/2584324905?accountid=131239&amp;bdid=51804&amp;_bd=GmOFP4QoV5A%2BC66Hm5VnzGfGaYw%3D</t>
  </si>
  <si>
    <t>https://www.proquest.com/docview/1822798450?accountid=131239&amp;bdid=51804&amp;_bd=u05aNHTjzhtXHmQFNv93eaTtTYc%3D</t>
  </si>
  <si>
    <t>https://www.proquest.com/docview/1822830051?accountid=131239&amp;bdid=51804&amp;_bd=ClCFC1iUmzKUPokGyVH%2BOC5m%2Fn0%3D</t>
  </si>
  <si>
    <t>https://www.proquest.com/docview/1957752469?accountid=131239&amp;bdid=51804&amp;_bd=zmQm5MDPZ7k3XP6PiBMgxoFpGDY%3D</t>
  </si>
  <si>
    <t>https://www.proquest.com/docview/1822798685?accountid=131239&amp;bdid=51804&amp;_bd=o3FnkrwUcMK30v4R%2FmaOogFq1eE%3D</t>
  </si>
  <si>
    <t>https://www.proquest.com/docview/1822798442?accountid=131239&amp;bdid=51804&amp;_bd=ht3vqdJIZR6sjbWRP93%2FLRn2J%2B0%3D</t>
  </si>
  <si>
    <t>https://www.proquest.com/docview/1957752467?accountid=131239&amp;bdid=51804&amp;_bd=J5076jN6YPnqXBIN6XGc20yACCI%3D</t>
  </si>
  <si>
    <t>https://www.proquest.com/docview/1822802287?accountid=131239&amp;bdid=51804&amp;_bd=kqsRa2OhgbxuhXEuyqqPv62e5po%3D</t>
  </si>
  <si>
    <t>https://www.proquest.com/docview/1822798605?accountid=131239&amp;bdid=51804&amp;_bd=od2DilMbPUvT%2BfxNxxs4XQAatDw%3D</t>
  </si>
  <si>
    <t>https://www.proquest.com/docview/1892047342?accountid=131239&amp;bdid=51804&amp;_bd=ahlskhWbxeml7agn1sBnYVWdjtA%3D</t>
  </si>
  <si>
    <t>https://www.proquest.com/docview/1957752460?accountid=131239&amp;bdid=51804&amp;_bd=CK82rOVrsBOIrf4iFaU6qyIKV6Q%3D</t>
  </si>
  <si>
    <t>https://www.proquest.com/docview/1822700858?accountid=131239&amp;bdid=51804&amp;_bd=1LR2OdhR4M7Lj21TYgUP3ZWcVug%3D</t>
  </si>
  <si>
    <t>https://www.proquest.com/docview/1822482373?accountid=131239&amp;bdid=51804&amp;_bd=TMkjT4e92AhON2Q86pOlYvQNU9Q%3D</t>
  </si>
  <si>
    <t>https://www.proquest.com/docview/1822670834?accountid=131239&amp;bdid=51804&amp;_bd=1NRC%2BNHM%2FS5ZD9kbvnlCIcu5d2w%3D</t>
  </si>
  <si>
    <t>https://www.proquest.com/docview/1822482653?accountid=131239&amp;bdid=51804&amp;_bd=fBV%2BnvX0RmEcOOJnVRShJmto8WM%3D</t>
  </si>
  <si>
    <t>https://www.proquest.com/docview/1822670957?accountid=131239&amp;bdid=51804&amp;_bd=Zl0W8kIaC4z37uX4D9EP2VFEZcw%3D</t>
  </si>
  <si>
    <t>https://www.proquest.com/docview/1822482535?accountid=131239&amp;bdid=51804&amp;_bd=Z2uDC9mrVM6dQzhTw1ozDv0b2qI%3D</t>
  </si>
  <si>
    <t>https://www.proquest.com/docview/1822483628?accountid=131239&amp;bdid=51804&amp;_bd=7wdk6Yng96SZD0CO4kPSZYWeWTY%3D</t>
  </si>
  <si>
    <t>https://www.proquest.com/docview/1822670953?accountid=131239&amp;bdid=51804&amp;_bd=gBznuuJmiW2VhLqE8swOmTeP11c%3D</t>
  </si>
  <si>
    <t>https://www.proquest.com/docview/1822483504?accountid=131239&amp;bdid=51804&amp;_bd=IRCjkhgtZsXd8%2F25jTx4e%2F3x8F0%3D</t>
  </si>
  <si>
    <t>https://www.proquest.com/docview/1822483746?accountid=131239&amp;bdid=51804&amp;_bd=8d5u7w3Iyime839f2QIZZeiiNBQ%3D</t>
  </si>
  <si>
    <t>https://www.proquest.com/docview/1822482538?accountid=131239&amp;bdid=51804&amp;_bd=sfQEgkUyYyb8IGp72o3okoWOkh0%3D</t>
  </si>
  <si>
    <t>https://www.proquest.com/docview/1822798216?accountid=131239&amp;bdid=51804&amp;_bd=RtHM31sWJgYwjmlLZeDG66nrRDo%3D</t>
  </si>
  <si>
    <t>https://www.proquest.com/docview/1822797926?accountid=131239&amp;bdid=51804&amp;_bd=2UrcfQbKSolV8fM%2FvsD8UUOWx74%3D</t>
  </si>
  <si>
    <t>https://www.proquest.com/docview/1822796837?accountid=131239&amp;bdid=51804&amp;_bd=pCFgEMxz%2BVmADtubVcdhvWe1STo%3D</t>
  </si>
  <si>
    <t>https://www.proquest.com/docview/1822797927?accountid=131239&amp;bdid=51804&amp;_bd=UfrQ%2Fe0I37KMjgRhh38X%2Bac3%2FCs%3D</t>
  </si>
  <si>
    <t>Frye, Phyllis Randolph</t>
  </si>
  <si>
    <t>https://www.proquest.com/docview/1822670829?accountid=131239&amp;bdid=51804&amp;_bd=aHrij06oqwfFfm3EOWwSXNbDepE%3D</t>
  </si>
  <si>
    <t>https://www.proquest.com/docview/1822483574?accountid=131239&amp;bdid=51804&amp;_bd=LlCx80KkzEUpOfyP1T5R1tCMnyg%3D</t>
  </si>
  <si>
    <t>https://www.proquest.com/docview/1822681184?accountid=131239&amp;bdid=51804&amp;_bd=vpSiyX3D7K8PVDUUkZxuvG8Bms4%3D</t>
  </si>
  <si>
    <t>https://www.proquest.com/docview/1822674905?accountid=131239&amp;bdid=51804&amp;_bd=4xxLQL4CoGfe6wp7TreSj266cIg%3D</t>
  </si>
  <si>
    <t>https://www.proquest.com/docview/1822797651?accountid=131239&amp;bdid=51804&amp;_bd=4%2B5WCDp86hKPJIGzqE4Qf8OW0jk%3D</t>
  </si>
  <si>
    <t>https://www.proquest.com/docview/1822681190?accountid=131239&amp;bdid=51804&amp;_bd=MC9GN219n43Gt9KKq3VuHwX8fqw%3D</t>
  </si>
  <si>
    <t>https://www.proquest.com/docview/1822716409?accountid=131239&amp;bdid=51804&amp;_bd=lat8SDTCCj4nqC7H6fWUdtYw8vY%3D</t>
  </si>
  <si>
    <t>https://www.proquest.com/docview/1822681626?accountid=131239&amp;bdid=51804&amp;_bd=qiX3SSA7mZRLdu51Z8KzirJjGWE%3D</t>
  </si>
  <si>
    <t>https://www.proquest.com/docview/1822797934?accountid=131239&amp;bdid=51804&amp;_bd=axLNoqoESbA%2BrcNvU8c0L3GrStk%3D</t>
  </si>
  <si>
    <t>https://www.proquest.com/docview/1822796847?accountid=131239&amp;bdid=51804&amp;_bd=v1Iktz0TLeiTYG34FhG%2BW3AjCKk%3D</t>
  </si>
  <si>
    <t>https://www.proquest.com/docview/1822489269?accountid=131239&amp;bdid=51804&amp;_bd=KK%2FUVtaHm3Op%2F%2FANa9hPt%2BYmD%2BA%3D</t>
  </si>
  <si>
    <t>Kagan, Norman</t>
  </si>
  <si>
    <t>https://www.proquest.com/docview/1822679910?accountid=131239&amp;bdid=51804&amp;_bd=VXsQ%2FBQeC%2BYtf1Q9UjpPdzjd2WI%3D</t>
  </si>
  <si>
    <t>https://www.proquest.com/docview/1822482594?accountid=131239&amp;bdid=51804&amp;_bd=TZV54tfb69AdWrGvaEr%2FYmXWhE8%3D</t>
  </si>
  <si>
    <t>https://www.proquest.com/docview/1822482356?accountid=131239&amp;bdid=51804&amp;_bd=H4Zqm5dKraq02GosSrK9hYmp9OY%3D</t>
  </si>
  <si>
    <t>https://www.proquest.com/docview/1822489425?accountid=131239&amp;bdid=51804&amp;_bd=nTc2h8rbXo6AdIXW%2FYoVNZlsFXI%3D</t>
  </si>
  <si>
    <t>https://www.proquest.com/docview/1822798362?accountid=131239&amp;bdid=51804&amp;_bd=olrqzQ8%2BRupqHYStCMXnZiPL0hk%3D</t>
  </si>
  <si>
    <t>https://www.proquest.com/docview/1822483446?accountid=131239&amp;bdid=51804&amp;_bd=bPkBptje9YISRNch%2FMsAOrAp2IY%3D</t>
  </si>
  <si>
    <t>Weeks, Dudley</t>
  </si>
  <si>
    <t>https://www.proquest.com/docview/1822670852?accountid=131239&amp;bdid=51804&amp;_bd=BcbYlaWLUpaNZ8B3u4K9c7ofEQc%3D</t>
  </si>
  <si>
    <t>https://www.proquest.com/docview/1822482756?accountid=131239&amp;bdid=51804&amp;_bd=9YDwr0D6oRJlmqNaXyXrivuaK3M%3D</t>
  </si>
  <si>
    <t>https://www.proquest.com/docview/1822695952?accountid=131239&amp;bdid=51804&amp;_bd=yX419w5EZaR4D9bNrmgvkJhIawg%3D</t>
  </si>
  <si>
    <t>https://www.proquest.com/docview/1822798113?accountid=131239&amp;bdid=51804&amp;_bd=d2KC3Jjuipd6qUHtdfPKRGvukJA%3D</t>
  </si>
  <si>
    <t>Cokely, Kevin O</t>
  </si>
  <si>
    <t>https://www.proquest.com/docview/1822674775?accountid=131239&amp;bdid=51804&amp;_bd=3Mq71f1HI4xa2HkOIcjCsZf5VhQ%3D</t>
  </si>
  <si>
    <t>https://www.proquest.com/docview/1822716817?accountid=131239&amp;bdid=51804&amp;_bd=1Ua5YhowuhTf4J28PzRET7hSQ70%3D</t>
  </si>
  <si>
    <t>https://www.proquest.com/docview/1822796337?accountid=131239&amp;bdid=51804&amp;_bd=TZbnrIx8rroyJDXoF4mCiC7cp68%3D</t>
  </si>
  <si>
    <t>https://www.proquest.com/docview/1822797943?accountid=131239&amp;bdid=51804&amp;_bd=uIH912LV%2BMsG7eFvNppxSH%2B%2FJYY%3D</t>
  </si>
  <si>
    <t>https://www.proquest.com/docview/1822716159?accountid=131239&amp;bdid=51804&amp;_bd=kwF9cz1uF1%2BFXBWkl6zgYBnPU0Q%3D</t>
  </si>
  <si>
    <t>https://www.proquest.com/docview/1822714770?accountid=131239&amp;bdid=51804&amp;_bd=K3s7i61RhS4VTtlqZEe7%2FBkck%2Fw%3D</t>
  </si>
  <si>
    <t>https://www.proquest.com/docview/1822681162?accountid=131239&amp;bdid=51804&amp;_bd=GHFp5J7YkATRVtnx%2FClTz78mgiM%3D</t>
  </si>
  <si>
    <t>https://www.proquest.com/docview/1822798097?accountid=131239&amp;bdid=51804&amp;_bd=bqqG9kn%2Bk9h1MTdBLjZVjOD9cKY%3D</t>
  </si>
  <si>
    <t>https://www.proquest.com/docview/1822482746?accountid=131239&amp;bdid=51804&amp;_bd=KKimqMKEDjRjcC96rfBCoV2G%2FAA%3D</t>
  </si>
  <si>
    <t>https://www.proquest.com/docview/1822483834?accountid=131239&amp;bdid=51804&amp;_bd=6HM91M1oB4tvn%2B6VvT0yGmqPvS0%3D</t>
  </si>
  <si>
    <t>https://www.proquest.com/docview/1822798366?accountid=131239&amp;bdid=51804&amp;_bd=qOOI%2B%2FAK337rDXCUHN5tb%2B9zmo8%3D</t>
  </si>
  <si>
    <t>https://www.proquest.com/docview/1822674887?accountid=131239&amp;bdid=51804&amp;_bd=2IaAf6a9dZS4iPaMQIpvm5nQYW8%3D</t>
  </si>
  <si>
    <t>https://www.proquest.com/docview/1822674482?accountid=131239&amp;bdid=51804&amp;_bd=PR4A%2BPe75jJSAzJquGv2EMdxXhI%3D</t>
  </si>
  <si>
    <t>https://www.proquest.com/docview/1822670999?accountid=131239&amp;bdid=51804&amp;_bd=Q0wJ2Odqxw6YyAQr63HCid0WQVo%3D</t>
  </si>
  <si>
    <t>https://www.proquest.com/docview/1822798020?accountid=131239&amp;bdid=51804&amp;_bd=t1X48NDfcAoH5pCks1KO3d8sytY%3D</t>
  </si>
  <si>
    <t>https://www.proquest.com/docview/1822798134?accountid=131239&amp;bdid=51804&amp;_bd=FdGduRsHjjU27pIRh%2B4ZGVlF%2B5I%3D</t>
  </si>
  <si>
    <t>https://www.proquest.com/docview/1822670877?accountid=131239&amp;bdid=51804&amp;_bd=YMMO4mBdqZZdCTXscMe%2FYp3T2dc%3D</t>
  </si>
  <si>
    <t>https://www.proquest.com/docview/1822797960?accountid=131239&amp;bdid=51804&amp;_bd=03XAKwSXN92D%2FIuoe8fFq0%2BW%2F7I%3D</t>
  </si>
  <si>
    <t>https://www.proquest.com/docview/1822798018?accountid=131239&amp;bdid=51804&amp;_bd=yJk%2Fyot%2BNxiuW4XuElQRmdViPWo%3D</t>
  </si>
  <si>
    <t>https://www.proquest.com/docview/1822670872?accountid=131239&amp;bdid=51804&amp;_bd=o1hNDHR2%2FJ9rdXOXBSEejvO6VmI%3D</t>
  </si>
  <si>
    <t>https://www.proquest.com/docview/1822797965?accountid=131239&amp;bdid=51804&amp;_bd=GMe3MtcEGnTvBtms0XSgrbshqzc%3D</t>
  </si>
  <si>
    <t>https://www.proquest.com/docview/1822797966?accountid=131239&amp;bdid=51804&amp;_bd=Qnz41RezdFsLn4fF291hrNng75g%3D</t>
  </si>
  <si>
    <t>https://www.proquest.com/docview/1822696345?accountid=131239&amp;bdid=51804&amp;_bd=uBRyWpDr70YbhY%2F9Kn15v77dbP8%3D</t>
  </si>
  <si>
    <t>https://www.proquest.com/docview/1822682907?accountid=131239&amp;bdid=51804&amp;_bd=6POJMLU2J1%2FJp%2BYi%2Fn9UujKT%2FTs%3D</t>
  </si>
  <si>
    <t>https://www.proquest.com/docview/1822716678?accountid=131239&amp;bdid=51804&amp;_bd=wV484DxUUwSVJVT5NiOOJ1CHlfY%3D</t>
  </si>
  <si>
    <t>https://www.proquest.com/docview/1822796807?accountid=131239&amp;bdid=51804&amp;_bd=psC2fKD5c8zDIZPsRqw0afscho0%3D</t>
  </si>
  <si>
    <t>https://www.proquest.com/docview/1822701119?accountid=131239&amp;bdid=51804&amp;_bd=GCybYI%2BnK9UzyenTXJ8KAwOsu6Y%3D</t>
  </si>
  <si>
    <t>https://www.proquest.com/docview/1822716293?accountid=131239&amp;bdid=51804&amp;_bd=gZusp4QWmSxqu9b6dXyQg2Nwu%2B8%3D</t>
  </si>
  <si>
    <t>https://www.proquest.com/docview/1822482601?accountid=131239&amp;bdid=51804&amp;_bd=OaFMDU98SumlcKN%2BMeinP%2FjIQVY%3D</t>
  </si>
  <si>
    <t>https://www.proquest.com/docview/1822482568?accountid=131239&amp;bdid=51804&amp;_bd=gXKo3HpPezJqQCcvfqG0NT1XGDo%3D</t>
  </si>
  <si>
    <t>https://www.proquest.com/docview/1822482569?accountid=131239&amp;bdid=51804&amp;_bd=mSf%2BdmCGC8g2NxX%2BYjaemtOVgaU%3D</t>
  </si>
  <si>
    <t>Weick, Werner</t>
  </si>
  <si>
    <t>https://www.proquest.com/docview/1822671039?accountid=131239&amp;bdid=51804&amp;_bd=N8jj9sATUnUN3l7TM9XZDgaGImI%3D</t>
  </si>
  <si>
    <t>https://www.proquest.com/docview/1822483779?accountid=131239&amp;bdid=51804&amp;_bd=4Az5GMVSpP3CZKmEwFqW2V4CJCg%3D</t>
  </si>
  <si>
    <t>https://www.proquest.com/docview/1822670865?accountid=131239&amp;bdid=51804&amp;_bd=8RuNXpYOHzDHmd8TJ5hvNvhTmSw%3D</t>
  </si>
  <si>
    <t>https://www.proquest.com/docview/1822674427?accountid=131239&amp;bdid=51804&amp;_bd=2xRVaydDzgCqby6P72taCEkDEIE%3D</t>
  </si>
  <si>
    <t>https://www.proquest.com/docview/1822797970?accountid=131239&amp;bdid=51804&amp;_bd=S%2FH2eTsnxpmdCRklGr1rttIGBsk%3D</t>
  </si>
  <si>
    <t>https://www.proquest.com/docview/1822670866?accountid=131239&amp;bdid=51804&amp;_bd=1XYFizg3r0d8qFeG9tia4Inu6TE%3D</t>
  </si>
  <si>
    <t>https://www.proquest.com/docview/1822796762?accountid=131239&amp;bdid=51804&amp;_bd=I%2FpQFtAoF0yCmHufb37CRZFO%2B7o%3D</t>
  </si>
  <si>
    <t>https://www.proquest.com/docview/1822798029?accountid=131239&amp;bdid=51804&amp;_bd=MbnVkOcYHeLEdDA9Ok%2FKLJ%2F2a9k%3D</t>
  </si>
  <si>
    <t>https://www.proquest.com/docview/1822670982?accountid=131239&amp;bdid=51804&amp;_bd=FZLEU6CsuKT96lrVJbC8Zq%2F2OM0%3D</t>
  </si>
  <si>
    <t>https://www.proquest.com/docview/1822673731?accountid=131239&amp;bdid=51804&amp;_bd=3%2BLjprYhwwPYWwpD%2Fj1TDhIEZuM%3D</t>
  </si>
  <si>
    <t>https://www.proquest.com/docview/1822797976?accountid=131239&amp;bdid=51804&amp;_bd=QObkSxtxd5bsKru5v50t3R5VXGQ%3D</t>
  </si>
  <si>
    <t>https://www.proquest.com/docview/1822796817?accountid=131239&amp;bdid=51804&amp;_bd=%2BNRxBOMh8kNSo4T7euEBzEGYE6k%3D</t>
  </si>
  <si>
    <t>https://www.proquest.com/docview/1822716103?accountid=131239&amp;bdid=51804&amp;_bd=uhDMXjdLKqpEiIQmd3Nvpb8BbY8%3D</t>
  </si>
  <si>
    <t>https://www.proquest.com/docview/1822797908?accountid=131239&amp;bdid=51804&amp;_bd=Ku%2FaztY15rOGCEcxV0cfGotlnEE%3D</t>
  </si>
  <si>
    <t>https://www.proquest.com/docview/1822482672?accountid=131239&amp;bdid=51804&amp;_bd=DHkmx5H3E8J3bSxmATBBYSWMuDs%3D</t>
  </si>
  <si>
    <t>https://www.proquest.com/docview/1822670818?accountid=131239&amp;bdid=51804&amp;_bd=EyZkeF72F6027aEw4O1oXM%2BKr38%3D</t>
  </si>
  <si>
    <t>https://www.proquest.com/docview/1822798043?accountid=131239&amp;bdid=51804&amp;_bd=0z7PeOy7q7sCnnMlz9rEwiOMGP0%3D</t>
  </si>
  <si>
    <t>https://www.proquest.com/docview/1822483644?accountid=131239&amp;bdid=51804&amp;_bd=TqJLTOWKSfO9cHKtgOrQB5EUDt8%3D</t>
  </si>
  <si>
    <t>https://www.proquest.com/docview/1822797981?accountid=131239&amp;bdid=51804&amp;_bd=1i2WF%2BSerSJVxi%2FgBXKEwKYY67U%3D</t>
  </si>
  <si>
    <t>https://www.proquest.com/docview/1822715808?accountid=131239&amp;bdid=51804&amp;_bd=j83yUTWSeQjsPjWcX6CsS5U5B1I%3D</t>
  </si>
  <si>
    <t>Yapko, Michael D</t>
  </si>
  <si>
    <t>https://www.proquest.com/docview/1822797983?accountid=131239&amp;bdid=51804&amp;_bd=j2MuuCuog1hKCRxO19S1p7DKyXY%3D</t>
  </si>
  <si>
    <t>https://www.proquest.com/docview/1822674459?accountid=131239&amp;bdid=51804&amp;_bd=FtOxL%2BaogNHCcwpy282qAK0ha%2FM%3D</t>
  </si>
  <si>
    <t>Foster, Douglas</t>
  </si>
  <si>
    <t>https://www.proquest.com/docview/1822612187?accountid=131239&amp;bdid=51804&amp;_bd=24FZyrI4Em3y0LMe%2FdGOZkejE1k%3D</t>
  </si>
  <si>
    <t>https://www.proquest.com/docview/1822798039?accountid=131239&amp;bdid=51804&amp;_bd=5DlD1xd%2Byrn5QoBfoZZW6R8XWHU%3D</t>
  </si>
  <si>
    <t>https://www.proquest.com/docview/1822670895?accountid=131239&amp;bdid=51804&amp;_bd=vtJErPzHy9yCQQ55z%2B4zZlvEtrc%3D</t>
  </si>
  <si>
    <t>https://www.proquest.com/docview/1822701537?accountid=131239&amp;bdid=51804&amp;_bd=v3YbYr9N31yplc9z3KBlDSVoMvs%3D</t>
  </si>
  <si>
    <t>https://www.proquest.com/docview/1822670927?accountid=131239&amp;bdid=51804&amp;_bd=M0gUDKvZeDpvw6DAQXGv1vqO6tY%3D</t>
  </si>
  <si>
    <t>https://www.proquest.com/docview/1822483513?accountid=131239&amp;bdid=51804&amp;_bd=b5QX9bSyuD0ayzkBOp0tqCSBW2c%3D</t>
  </si>
  <si>
    <t>https://www.proquest.com/docview/1822482667?accountid=131239&amp;bdid=51804&amp;_bd=%2Fex2%2B0tTyqLSvN4Frj4aqJ4hq50%3D</t>
  </si>
  <si>
    <t>https://www.proquest.com/docview/1822482702?accountid=131239&amp;bdid=51804&amp;_bd=J6ratoetJjGCduV%2B54Z%2FoVmUidw%3D</t>
  </si>
  <si>
    <t>https://www.proquest.com/docview/1822797994?accountid=131239&amp;bdid=51804&amp;_bd=vmIqGeMdeQ8GYnt%2BevbQso8DBus%3D</t>
  </si>
  <si>
    <t>https://www.proquest.com/docview/1822797997?accountid=131239&amp;bdid=51804&amp;_bd=jyCzY2W799FcSlkp7yMWwcjO3c4%3D</t>
  </si>
  <si>
    <t>https://www.proquest.com/docview/1822797915?accountid=131239&amp;bdid=51804&amp;_bd=6KtCmjPX0M7%2BYyJ9gxJ52IbFqXs%3D</t>
  </si>
  <si>
    <t>https://www.proquest.com/docview/1822482250?accountid=131239&amp;bdid=51804&amp;_bd=bv%2FD1r59rfXyyHEtWiXdtCvNCtQ%3D</t>
  </si>
  <si>
    <t>https://www.proquest.com/docview/2584322556?accountid=131239&amp;bdid=51804&amp;_bd=Sn1tU7lCNclBumMh1FvklbcLO%2Fw%3D</t>
  </si>
  <si>
    <t>https://www.proquest.com/docview/2584322315?accountid=131239&amp;bdid=51804&amp;_bd=XebYgmSig%2BcTyd14AxHYjjMhP1Y%3D</t>
  </si>
  <si>
    <t>https://www.proquest.com/docview/2584322317?accountid=131239&amp;bdid=51804&amp;_bd=tDBpE2JvgiYPs3aZGE5voo6xQ8I%3D</t>
  </si>
  <si>
    <t>https://www.proquest.com/docview/2584322283?accountid=131239&amp;bdid=51804&amp;_bd=RbKp%2FzFxxdI6Ce%2BT710I2p2SXjk%3D</t>
  </si>
  <si>
    <t>https://www.proquest.com/docview/2584322285?accountid=131239&amp;bdid=51804&amp;_bd=1qqnUrXXMS8Ny1mYaOpgPSowLlQ%3D</t>
  </si>
  <si>
    <t>https://www.proquest.com/docview/2584322683?accountid=131239&amp;bdid=51804&amp;_bd=e0g3EwQMzkd8gMcBct6QXk73ka8%3D</t>
  </si>
  <si>
    <t>https://www.proquest.com/docview/2584322442?accountid=131239&amp;bdid=51804&amp;_bd=RAZ4nDRIr9cSDlaUu%2FFIPdBSs4k%3D</t>
  </si>
  <si>
    <t>Posttraumatic Stress Disorder: Sexual Assault, in DSM 5 Case Scenarios Series: Trauma- and Stressor-Related Disorders: Post-Traumatic Stress Disorder, Episode 40</t>
  </si>
  <si>
    <t>https://www.proquest.com/docview/2584322443?accountid=131239&amp;bdid=51804&amp;_bd=AsoIIff211XEbMsXKlk9vG61mps%3D</t>
  </si>
  <si>
    <t>https://www.proquest.com/docview/2584322685?accountid=131239&amp;bdid=51804&amp;_bd=SxNYyNfaBR8e%2Fm97APZ7m8WzezU%3D</t>
  </si>
  <si>
    <t>https://www.proquest.com/docview/2584322302?accountid=131239&amp;bdid=51804&amp;_bd=kqmeRjrCHEvY1qYf5sxlliFfPbU%3D</t>
  </si>
  <si>
    <t>Major Depressive Disorder, Single Episode, Severe, With Peripartum Onset, in DSM 5 Case Scenarios Series: Depressive Disorders, Episode 8</t>
  </si>
  <si>
    <t>https://www.proquest.com/docview/2584322303?accountid=131239&amp;bdid=51804&amp;_bd=OpAifSfbeNNj3%2B%2F22UqhQOugb2w%3D</t>
  </si>
  <si>
    <t>https://www.proquest.com/docview/2584322424?accountid=131239&amp;bdid=51804&amp;_bd=X0D6Fzeufe6PRHFiR6Y49k9SUmI%3D</t>
  </si>
  <si>
    <t>https://www.proquest.com/docview/2584322305?accountid=131239&amp;bdid=51804&amp;_bd=IT%2F9%2BpBktFZNjzbJ2iZ3kBXPSQI%3D</t>
  </si>
  <si>
    <t>https://www.proquest.com/docview/2584322426?accountid=131239&amp;bdid=51804&amp;_bd=TWHte0iBd8JCqpM0bOCVFw16L0w%3D</t>
  </si>
  <si>
    <t>https://www.proquest.com/docview/2584322427?accountid=131239&amp;bdid=51804&amp;_bd=PazRqQPWi5nJe1H4277xHFjVrqo%3D</t>
  </si>
  <si>
    <t>https://www.proquest.com/docview/2584322428?accountid=131239&amp;bdid=51804&amp;_bd=eGflOTIjnvHAoK0RxcOAzt0BYEM%3D</t>
  </si>
  <si>
    <t>https://www.proquest.com/docview/2584322429?accountid=131239&amp;bdid=51804&amp;_bd=WSW51KiC9w6RhBKG9dDyXNX%2BiQc%3D</t>
  </si>
  <si>
    <t>https://www.proquest.com/docview/2584322790?accountid=131239&amp;bdid=51804&amp;_bd=5PoXXeOMnZ3Ug3NbEwsXwVGLk5g%3D</t>
  </si>
  <si>
    <t>https://www.proquest.com/docview/2584322394?accountid=131239&amp;bdid=51804&amp;_bd=yCHCxMducvDSTbsK6Jbt0AO0Mbs%3D</t>
  </si>
  <si>
    <t>Functional Neurological Symptom Disorder (Conversion Disorder) with Weakness or Paralysis, Acute Episode, With Psychological Stressor Version 2, in DSM 5 Case Scenarios Series: Somatic Symptom and Related Disorders, Episode 33</t>
  </si>
  <si>
    <t>https://www.proquest.com/docview/2584322274?accountid=131239&amp;bdid=51804&amp;_bd=%2BBeMJFWKWh2z%2BPSRqdiYuEIIptk%3D</t>
  </si>
  <si>
    <t>https://www.proquest.com/docview/2584322276?accountid=131239&amp;bdid=51804&amp;_bd=9Q9NijMOFhYw5CMsS1HdvLQB7ik%3D</t>
  </si>
  <si>
    <t>https://www.proquest.com/docview/2584322430?accountid=131239&amp;bdid=51804&amp;_bd=UO4EKDMGd5NAQTeXKEFmz7IRD3Y%3D</t>
  </si>
  <si>
    <t>https://www.proquest.com/docview/2584322398?accountid=131239&amp;bdid=51804&amp;_bd=YtbWFmztrHzuET24PvKtuqnWebE%3D</t>
  </si>
  <si>
    <t>https://www.proquest.com/docview/2584324058?accountid=131239&amp;bdid=51804&amp;_bd=IhpH%2FgCQap%2Bj7lIEBWYRcsVKoQo%3D</t>
  </si>
  <si>
    <t>https://www.proquest.com/docview/2584322391?accountid=131239&amp;bdid=51804&amp;_bd=wG6TYO8TLeVB9d7J7QBa6IyarF0%3D</t>
  </si>
  <si>
    <t>https://www.proquest.com/docview/2584322819?accountid=131239&amp;bdid=51804&amp;_bd=U0LjiTsI%2Bz9PaWJ9tUUykt2b6Sg%3D</t>
  </si>
  <si>
    <t>https://www.proquest.com/docview/1822482232?accountid=131239&amp;bdid=51804&amp;_bd=byF%2FqKIzvlxsBY6ANaGCb0W5TyA%3D</t>
  </si>
  <si>
    <t>https://www.proquest.com/docview/2584323501?accountid=131239&amp;bdid=51804&amp;_bd=7z4bhCs9m3wLXLfnLXh7nETKO2I%3D</t>
  </si>
  <si>
    <t>https://www.proquest.com/docview/2584322379?accountid=131239&amp;bdid=51804&amp;_bd=msG%2B4KSnkAEpQktugm%2FjQGd%2BqBg%3D</t>
  </si>
  <si>
    <t>https://www.proquest.com/docview/2584322413?accountid=131239&amp;bdid=51804&amp;_bd=CAq7Tfj9YhkO16ETn%2B%2BStiwrBys%3D</t>
  </si>
  <si>
    <t>https://www.proquest.com/docview/2584322259?accountid=131239&amp;bdid=51804&amp;_bd=0n6A0HIdHMSvzOQS7AiHckAtRp8%3D</t>
  </si>
  <si>
    <t>https://www.proquest.com/docview/2584323503?accountid=131239&amp;bdid=51804&amp;_bd=p%2FwCiFnMbfdw1tqCKCSa2h7dKZk%3D</t>
  </si>
  <si>
    <t>https://www.proquest.com/docview/2584322415?accountid=131239&amp;bdid=51804&amp;_bd=D5DNzqqqUrVYm8p3rEcqoRyIEHU%3D</t>
  </si>
  <si>
    <t>https://www.proquest.com/docview/2584322813?accountid=131239&amp;bdid=51804&amp;_bd=%2B%2F0HteNBhR5z0XtC%2B4yADvSAIqA%3D</t>
  </si>
  <si>
    <t>https://www.proquest.com/docview/1822482235?accountid=131239&amp;bdid=51804&amp;_bd=UG3SaO0BS7xhy%2F94dqEYWCHfsfs%3D</t>
  </si>
  <si>
    <t>https://www.proquest.com/docview/2584322417?accountid=131239&amp;bdid=51804&amp;_bd=vteXMYGiqX53iSD6VFV2fF%2BAsSc%3D</t>
  </si>
  <si>
    <t>https://www.proquest.com/docview/2584322814?accountid=131239&amp;bdid=51804&amp;_bd=YcGXvP7c7Xkk08YKFged2cuVfes%3D</t>
  </si>
  <si>
    <t>https://www.proquest.com/docview/1822482116?accountid=131239&amp;bdid=51804&amp;_bd=HcBX2NtLz6f%2Fd86dkImB%2FWTHaSQ%3D</t>
  </si>
  <si>
    <t>https://www.proquest.com/docview/2584322261?accountid=131239&amp;bdid=51804&amp;_bd=lwWgpMsgCKKybE3%2Bvx7IIjB7s68%3D</t>
  </si>
  <si>
    <t>https://www.proquest.com/docview/2584322263?accountid=131239&amp;bdid=51804&amp;_bd=9iZfI%2FRVs9GU5D%2FQTPp5S047j4I%3D</t>
  </si>
  <si>
    <t>https://www.proquest.com/docview/2584322264?accountid=131239&amp;bdid=51804&amp;_bd=WVB%2F4N14me%2BsPQyYsi8yHHGvZrQ%3D</t>
  </si>
  <si>
    <t>https://www.proquest.com/docview/2584322420?accountid=131239&amp;bdid=51804&amp;_bd=11mkx6A1iTOJhZJRFJ1aXmZQZ3U%3D</t>
  </si>
  <si>
    <t>Major Depressive Disorder, Single Episode, Severe, With Melancholic Features, in DSM 5 Case Scenarios Series: Depressive Disorders, Episode 7</t>
  </si>
  <si>
    <t>https://www.proquest.com/docview/2584322266?accountid=131239&amp;bdid=51804&amp;_bd=NhVZhy%2BNSsFGDKZ9VP65NanYJ7s%3D</t>
  </si>
  <si>
    <t>https://www.proquest.com/docview/2584322389?accountid=131239&amp;bdid=51804&amp;_bd=%2BGuopXCR4%2FKbo5S72WwELBOBlts%3D</t>
  </si>
  <si>
    <t>https://www.proquest.com/docview/1822482185?accountid=131239&amp;bdid=51804&amp;_bd=CThxQIpZ7V5eLPjQo9HuTqiXq4U%3D</t>
  </si>
  <si>
    <t>https://www.proquest.com/docview/2584322248?accountid=131239&amp;bdid=51804&amp;_bd=y3m0MAq%2B7YSvqK0AWKudXEGK7UY%3D</t>
  </si>
  <si>
    <t>https://www.proquest.com/docview/1822482222?accountid=131239&amp;bdid=51804&amp;_bd=7NfzSNaEfccDUqV7Ios9CX9c6UY%3D</t>
  </si>
  <si>
    <t>https://www.proquest.com/docview/2584322803?accountid=131239&amp;bdid=51804&amp;_bd=lDRpVEZrChcHZR9alOvLhJKnEyU%3D</t>
  </si>
  <si>
    <t>https://www.proquest.com/docview/2584322528?accountid=131239&amp;bdid=51804&amp;_bd=ScW524Q%2BFRJ4wmcJxyES%2FztzTjw%3D</t>
  </si>
  <si>
    <t>https://www.proquest.com/docview/2584325486?accountid=131239&amp;bdid=51804&amp;_bd=7%2FWa1X8W0Mbe5ApokTBE60ZSGdY%3D</t>
  </si>
  <si>
    <t>https://www.proquest.com/docview/2584322253?accountid=131239&amp;bdid=51804&amp;_bd=h92RFiFxEgBGeAmoicOIJ47R5tY%3D</t>
  </si>
  <si>
    <t>https://www.proquest.com/docview/2584322376?accountid=131239&amp;bdid=51804&amp;_bd=rXM9vI5Xpz3%2FO8P3Jl61k5W5f0M%3D</t>
  </si>
  <si>
    <t>https://www.proquest.com/docview/2584322497?accountid=131239&amp;bdid=51804&amp;_bd=ku7%2FOHwEAWVtYbYy8tcOj3kWNPw%3D</t>
  </si>
  <si>
    <t>https://www.proquest.com/docview/2584322498?accountid=131239&amp;bdid=51804&amp;_bd=WE3TYoBduA4XSHufbtAVzQ7x%2FG0%3D</t>
  </si>
  <si>
    <t>https://www.proquest.com/docview/2584322490?accountid=131239&amp;bdid=51804&amp;_bd=QUaJuTCAGWNCv%2FOYXXPQjrmMTyc%3D</t>
  </si>
  <si>
    <t>https://www.proquest.com/docview/2584324273?accountid=131239&amp;bdid=51804&amp;_bd=zZY5jlrqitAcICa6njTUPJGkFK4%3D</t>
  </si>
  <si>
    <t>https://www.proquest.com/docview/2584322491?accountid=131239&amp;bdid=51804&amp;_bd=hwl447zp52ob8W5H6P6Y%2FmUoxwE%3D</t>
  </si>
  <si>
    <t>https://www.proquest.com/docview/2584324777?accountid=131239&amp;bdid=51804&amp;_bd=B5fP%2Fp2iOKbBlgYqVP4erm2uuJk%3D</t>
  </si>
  <si>
    <t>https://www.proquest.com/docview/2584322359?accountid=131239&amp;bdid=51804&amp;_bd=%2FeSYfh8Eh94UWsjqXGUxcP0Y5zE%3D</t>
  </si>
  <si>
    <t>https://www.proquest.com/docview/2584322515?accountid=131239&amp;bdid=51804&amp;_bd=7hOstnJDJ4JQKtqfJZkgDiy7pFU%3D</t>
  </si>
  <si>
    <t>Adjustment Disorder With Mixed Anxiety and Depressed Mood, in DSM 5 Case Scenarios Series: Depressive Disorders, Episode 6</t>
  </si>
  <si>
    <t>https://www.proquest.com/docview/2584322637?accountid=131239&amp;bdid=51804&amp;_bd=cYJdXkgNZe4xwwNL2ue18yWTXLc%3D</t>
  </si>
  <si>
    <t>https://www.proquest.com/docview/2584324263?accountid=131239&amp;bdid=51804&amp;_bd=vPjzY3IskUAl%2FY0xw9vaZfkMd2s%3D</t>
  </si>
  <si>
    <t>https://www.proquest.com/docview/2584325476?accountid=131239&amp;bdid=51804&amp;_bd=XkTogygPGD%2BeiAlthClWt17%2Bvf0%3D</t>
  </si>
  <si>
    <t>https://www.proquest.com/docview/2584322362?accountid=131239&amp;bdid=51804&amp;_bd=SwUpRNn5tJO%2FHjWkyndnA%2BaAVc4%3D</t>
  </si>
  <si>
    <t>https://www.proquest.com/docview/2584324268?accountid=131239&amp;bdid=51804&amp;_bd=Gl1gCeyQSB8qRurOJa7wnqAsLYM%3D</t>
  </si>
  <si>
    <t>https://www.proquest.com/docview/2584322364?accountid=131239&amp;bdid=51804&amp;_bd=0BBJq6hpS81eZjwJnCDy%2BgHEwNo%3D</t>
  </si>
  <si>
    <t>https://www.proquest.com/docview/2584322365?accountid=131239&amp;bdid=51804&amp;_bd=6eiDa03KFhjh0U8KK5VI5bGCSi8%3D</t>
  </si>
  <si>
    <t>https://www.proquest.com/docview/2584322245?accountid=131239&amp;bdid=51804&amp;_bd=zBX5HsupMchYHDxZpImJfS1O0YY%3D</t>
  </si>
  <si>
    <t>https://www.proquest.com/docview/2584322642?accountid=131239&amp;bdid=51804&amp;_bd=AWZOE1F%2FXP3VIrYU%2F7pCydMRmiI%3D</t>
  </si>
  <si>
    <t>https://www.proquest.com/docview/2584323172?accountid=131239&amp;bdid=51804&amp;_bd=EMC3NL1nQQS1aBuFpKzJaaOrjT8%3D</t>
  </si>
  <si>
    <t>https://www.proquest.com/docview/2584324929?accountid=131239&amp;bdid=51804&amp;_bd=D1w%2FpHJ%2BaklMEyGOx5YarsQ1P7I%3D</t>
  </si>
  <si>
    <t>https://www.proquest.com/docview/1822482161?accountid=131239&amp;bdid=51804&amp;_bd=05DnqhFS3GNLSlIL%2BkEacmjUSog%3D</t>
  </si>
  <si>
    <t>https://www.proquest.com/docview/2584322622?accountid=131239&amp;bdid=51804&amp;_bd=n5vj4K%2BqAbBDPfqAAAWXvDrlHLg%3D</t>
  </si>
  <si>
    <t>https://www.proquest.com/docview/2584322348?accountid=131239&amp;bdid=51804&amp;_bd=LK26PeZf54LL5%2BMY6YpjB%2F4bHAw%3D</t>
  </si>
  <si>
    <t>https://www.proquest.com/docview/2584322503?accountid=131239&amp;bdid=51804&amp;_bd=LXEZOa%2Bw6ZzLKJBwMwwMk4kRy50%3D</t>
  </si>
  <si>
    <t>https://www.proquest.com/docview/2584322229?accountid=131239&amp;bdid=51804&amp;_bd=i13%2FmP4AoTnSw8aD9vi5ZdkJ65M%3D</t>
  </si>
  <si>
    <t>https://www.proquest.com/docview/2584322505?accountid=131239&amp;bdid=51804&amp;_bd=yZnHvARuvIxfPpuPN8nmIP1%2BAkI%3D</t>
  </si>
  <si>
    <t>https://www.proquest.com/docview/2584324927?accountid=131239&amp;bdid=51804&amp;_bd=VKfald%2FC%2B89NfuAVUrgzKa2RZtE%3D</t>
  </si>
  <si>
    <t>https://www.proquest.com/docview/2584323959?accountid=131239&amp;bdid=51804&amp;_bd=9owTvFPoPVBp770HoLGMetELBlM%3D</t>
  </si>
  <si>
    <t>https://www.proquest.com/docview/2584322350?accountid=131239&amp;bdid=51804&amp;_bd=5Qgb%2BPxSjGikaJ7mYnQytndyMJs%3D</t>
  </si>
  <si>
    <t>https://www.proquest.com/docview/2584322630?accountid=131239&amp;bdid=51804&amp;_bd=7vA4%2Fzi6Z7mpX6O6NCGM78U3i%2Bo%3D</t>
  </si>
  <si>
    <t>https://www.proquest.com/docview/2584325469?accountid=131239&amp;bdid=51804&amp;_bd=m59K86F8nYySLAyTbaHnmi%2B5UZ4%3D</t>
  </si>
  <si>
    <t>Malingering, in DSM 5 Case Scenarios Series: Other Conditions That May Be a Focus of Clinical Attention Nonadherence to Medical Treatment, Episode 12</t>
  </si>
  <si>
    <t>https://www.proquest.com/docview/2781652053?accountid=131239&amp;bdid=51804&amp;_bd=zRK8GO9JtMruCvmZ%2FNvnX2J4UU4%3D</t>
  </si>
  <si>
    <t>https://www.proquest.com/docview/2584322215?accountid=131239&amp;bdid=51804&amp;_bd=FTN2YrF28mlbRMHr1v%2B%2BevLX2jQ%3D</t>
  </si>
  <si>
    <t>Functional Neurological Symptom Disorder (Conversion Disorder) with Weakness or Paralysis, Acute Episode, With Psychological Stressor Version 1, in DSM 5 Case Scenarios Series: Somatic Symptom and Related Disorders, Episode 32</t>
  </si>
  <si>
    <t>https://www.proquest.com/docview/2584322611?accountid=131239&amp;bdid=51804&amp;_bd=kK1QcOT6oezKvdWnD9fLdvDJBvo%3D</t>
  </si>
  <si>
    <t>https://www.proquest.com/docview/1822482277?accountid=131239&amp;bdid=51804&amp;_bd=LOnUtZZYHWRLP2dHWwYs6qmtVa8%3D</t>
  </si>
  <si>
    <t>https://www.proquest.com/docview/2584322339?accountid=131239&amp;bdid=51804&amp;_bd=S3nnJn6aITuHh2J%2BBjRQs%2FMXF5Q%3D</t>
  </si>
  <si>
    <t>https://www.proquest.com/docview/2584322221?accountid=131239&amp;bdid=51804&amp;_bd=vQvaTt4eAy%2BLQ9bLMs5cGe5cLlk%3D</t>
  </si>
  <si>
    <t>https://www.proquest.com/docview/2584322223?accountid=131239&amp;bdid=51804&amp;_bd=KMOZKo3L8vHtKoQmJWQ%2FszQOTC0%3D</t>
  </si>
  <si>
    <t>https://www.proquest.com/docview/2584322328?accountid=131239&amp;bdid=51804&amp;_bd=gdbJnGEqV%2Fwv40Grk%2BWhhGdOLfo%3D</t>
  </si>
  <si>
    <t>https://www.proquest.com/docview/2781657917?accountid=131239&amp;bdid=51804&amp;_bd=eCc74U7GJZVV%2BbHR5Wbk8uYLKtg%3D</t>
  </si>
  <si>
    <t>https://www.proquest.com/docview/1822482307?accountid=131239&amp;bdid=51804&amp;_bd=QGLMSNAFTuVf%2B54io4OOqOY3zQA%3D</t>
  </si>
  <si>
    <t>https://www.proquest.com/docview/2584322574?accountid=131239&amp;bdid=51804&amp;_bd=x6kaJPBx9rFpRPv3IpTRoTyewLE%3D</t>
  </si>
  <si>
    <t>https://www.proquest.com/docview/2584325205?accountid=131239&amp;bdid=51804&amp;_bd=%2BIUsBDSvzt8xP8w3GkMLZIzTwow%3D</t>
  </si>
  <si>
    <t>https://www.proquest.com/docview/2584322212?accountid=131239&amp;bdid=51804&amp;_bd=4ebqeWclFCieFaNS2FZsYAZgfSw%3D</t>
  </si>
  <si>
    <t>https://www.proquest.com/docview/2584322334?accountid=131239&amp;bdid=51804&amp;_bd=CDxakn%2BjMdCELtM%2BB3AAUUBRzdA%3D</t>
  </si>
  <si>
    <t>https://www.proquest.com/docview/2584322576?accountid=131239&amp;bdid=51804&amp;_bd=MmPmTWsMrNGly3WZwxNX3XS6h7g%3D</t>
  </si>
  <si>
    <t>https://www.proquest.com/docview/2584322213?accountid=131239&amp;bdid=51804&amp;_bd=dneXfMndwUxE0im3KkK4Nt7bcnI%3D</t>
  </si>
  <si>
    <t>https://www.proquest.com/docview/2584322293?accountid=131239&amp;bdid=51804&amp;_bd=UzO3ZopTuXFyL0RZB86%2BvQZvD38%3D</t>
  </si>
  <si>
    <t>https://www.proquest.com/docview/2584321748?accountid=131239&amp;bdid=51804&amp;_bd=ozch8a1JMBb07fR9o%2BPIQuhJViY%3D</t>
  </si>
  <si>
    <t>https://www.proquest.com/docview/2584321989?accountid=131239&amp;bdid=51804&amp;_bd=2OYm9e97t%2BKZMQtVHHMOd2c%2BJgc%3D</t>
  </si>
  <si>
    <t>https://www.proquest.com/docview/2584321746?accountid=131239&amp;bdid=51804&amp;_bd=Nafu6bHlikaFeaZwU3Q0hrC7vuc%3D</t>
  </si>
  <si>
    <t>Bipolar I Disorder, Current Episode Manic, Severe, with Mood-Congruent Psychotic Features, in DSM 5 Case Scenarios Series: Bipolar and Related Disorders, Episode 4</t>
  </si>
  <si>
    <t>https://www.proquest.com/docview/2584321988?accountid=131239&amp;bdid=51804&amp;_bd=7CcXgNt6XuaGcFldiwGpPDSLov8%3D</t>
  </si>
  <si>
    <t>https://www.proquest.com/docview/2584321983?accountid=131239&amp;bdid=51804&amp;_bd=yHINEFzKqCCWvAD5FAbFCd8mg%2BI%3D</t>
  </si>
  <si>
    <t>https://www.proquest.com/docview/2584321907?accountid=131239&amp;bdid=51804&amp;_bd=VjinF6cVwWFlqgrCb2y50yHLFwE%3D</t>
  </si>
  <si>
    <t>https://www.proquest.com/docview/2584321906?accountid=131239&amp;bdid=51804&amp;_bd=4n2yc%2FIjyp7NQWprJb43JxG%2FnjA%3D</t>
  </si>
  <si>
    <t>https://www.proquest.com/docview/2584321905?accountid=131239&amp;bdid=51804&amp;_bd=uDKG2DnPyLnu9lXVKDJ%2BfA%2BVzHM%3D</t>
  </si>
  <si>
    <t>https://www.proquest.com/docview/2584321904?accountid=131239&amp;bdid=51804&amp;_bd=rLcfgZtUbrBA%2BFF%2FUWrLc8koKnY%3D</t>
  </si>
  <si>
    <t>Other Specified Personality Disorder, in DSM 5 Case Scenarios Series: Personality Disorders, Episode 22</t>
  </si>
  <si>
    <t>https://www.proquest.com/docview/2584321903?accountid=131239&amp;bdid=51804&amp;_bd=z2S7ph8lOBDmURbIqxe6z%2FE94gY%3D</t>
  </si>
  <si>
    <t>https://www.proquest.com/docview/2584321749?accountid=131239&amp;bdid=51804&amp;_bd=AihFVl9w%2BiOWi3DMH3IjXk%2BSFWo%3D</t>
  </si>
  <si>
    <t>https://www.proquest.com/docview/2584322163?accountid=131239&amp;bdid=51804&amp;_bd=3QjAmTerk%2BMxoMwSfjOqjS%2FXrZA%3D</t>
  </si>
  <si>
    <t>https://www.proquest.com/docview/2584322042?accountid=131239&amp;bdid=51804&amp;_bd=EFEHf%2FjiA2wduE%2F1xJaURD%2Fo7Zc%3D</t>
  </si>
  <si>
    <t>https://www.proquest.com/docview/2584322164?accountid=131239&amp;bdid=51804&amp;_bd=BXo%2FhZqUnjSKYlVizJLZumYFlnw%3D</t>
  </si>
  <si>
    <t>https://www.proquest.com/docview/2584322044?accountid=131239&amp;bdid=51804&amp;_bd=hDhr%2BLOiCVK84dNzVMYc3dcsPY0%3D</t>
  </si>
  <si>
    <t>https://www.proquest.com/docview/2584322046?accountid=131239&amp;bdid=51804&amp;_bd=y2cWCzKRl3iJs8i8SSQEnkZWeL4%3D</t>
  </si>
  <si>
    <t>https://www.proquest.com/docview/2043154661?accountid=131239&amp;bdid=51804&amp;_bd=CGPiV3uh%2BOg%2FOjl%2FRyXKISXiE20%3D</t>
  </si>
  <si>
    <t>https://www.proquest.com/docview/2584322202?accountid=131239&amp;bdid=51804&amp;_bd=nXAOVYFQZTfFmxlqhSud2xjemoo%3D</t>
  </si>
  <si>
    <t>https://www.proquest.com/docview/2584322169?accountid=131239&amp;bdid=51804&amp;_bd=yrCMYk0r2vqph3tX9yh7zOTgq7A%3D</t>
  </si>
  <si>
    <t>https://www.proquest.com/docview/2584321993?accountid=131239&amp;bdid=51804&amp;_bd=bcrYvJyzw4Fvwdz%2Bykdu5kd251k%3D</t>
  </si>
  <si>
    <t>https://www.proquest.com/docview/2584321751?accountid=131239&amp;bdid=51804&amp;_bd=WEhUHELr2EgNkQlcJ2dKQSkGH98%3D</t>
  </si>
  <si>
    <t>https://www.proquest.com/docview/2584321992?accountid=131239&amp;bdid=51804&amp;_bd=u7SLnj9JUVW%2FiyTvBN%2B%2BhimoOXg%3D</t>
  </si>
  <si>
    <t>https://www.proquest.com/docview/2584321737?accountid=131239&amp;bdid=51804&amp;_bd=3x7hhfoJxQ0TE896WfcExldI4l4%3D</t>
  </si>
  <si>
    <t>https://www.proquest.com/docview/2584321978?accountid=131239&amp;bdid=51804&amp;_bd=jBgR%2FbDANk5osS4vxPRvapezndo%3D</t>
  </si>
  <si>
    <t>https://www.proquest.com/docview/2584321735?accountid=131239&amp;bdid=51804&amp;_bd=%2BvvMf7KzxYcWIZClbDtSX5tG6T0%3D</t>
  </si>
  <si>
    <t>F32.2 Major Depressive Disorder, Recurrent Episode, Severe, F34.1 Persistent Depressive Disorder, Early Onset, With Intermittent Major Depressive Episodes, With Current Episode, in ICD-10 Case Scenarios Series Index, Episode 12</t>
  </si>
  <si>
    <t>https://www.proquest.com/docview/2584321734?accountid=131239&amp;bdid=51804&amp;_bd=lImIozxRMOUKmwWxgk4wgVwBa6o%3D</t>
  </si>
  <si>
    <t>https://www.proquest.com/docview/2584321975?accountid=131239&amp;bdid=51804&amp;_bd=6vkfKHxkAyUgO7Ar%2Fdhdai%2BbzqE%3D</t>
  </si>
  <si>
    <t>F31.2 Bipolar I Disorder, Current Episode Manic, Severe, with Mood-Congruent Psychotic Features, in ICD-10 Case Scenarios Series Index, Episode 9</t>
  </si>
  <si>
    <t>https://www.proquest.com/docview/2584321733?accountid=131239&amp;bdid=51804&amp;_bd=6UhKpHcq6pCKhHDByZsEkAXLaP8%3D</t>
  </si>
  <si>
    <t>F32.2 Major Depressive Disorder, Single Episode, Severe, With Melancholic features, in ICD-10 Case Scenarios Series Index, Episode 13</t>
  </si>
  <si>
    <t>https://www.proquest.com/docview/2584321974?accountid=131239&amp;bdid=51804&amp;_bd=DtexQgOum0oybptUyJc3HZ3B28Y%3D</t>
  </si>
  <si>
    <t>F31.2 Bipolar I Disorder, Current Episode Manic, Severe, with Mood-Congruent Psychotic Features After Treatment, in ICD-10 Case Scenarios Series Index, Episode 10</t>
  </si>
  <si>
    <t>https://www.proquest.com/docview/2584322036?accountid=131239&amp;bdid=51804&amp;_bd=ABTkTPAULS74IB%2FBLeNJF%2BNfxjo%3D</t>
  </si>
  <si>
    <t>Major Depressive Disorder, Recurrent Episode, Severe, With Seasonal Pattern, in DSM 5 Case Scenarios Series: Depressive Disorders, Episode 9</t>
  </si>
  <si>
    <t>https://www.proquest.com/docview/2584321981?accountid=131239&amp;bdid=51804&amp;_bd=gY%2Bs%2B0G6sna5lsbBkUXRdsXY7Ls%3D</t>
  </si>
  <si>
    <t>Kassinove, Howard; Tafrate, Raymond</t>
  </si>
  <si>
    <t>https://www.proquest.com/docview/1957752482?accountid=131239&amp;bdid=51804&amp;_bd=i%2BB5BwxYL7Fag61%2BGuU93uyTcQw%3D</t>
  </si>
  <si>
    <t>https://www.proquest.com/docview/1957752481?accountid=131239&amp;bdid=51804&amp;_bd=cD8yJtatYnHsQcD3OiDeRuqUmX4%3D</t>
  </si>
  <si>
    <t>https://www.proquest.com/docview/2584321967?accountid=131239&amp;bdid=51804&amp;_bd=tGkbc10Qovg0TJMFrdx8NNNEPJ8%3D</t>
  </si>
  <si>
    <t>https://www.proquest.com/docview/2584321966?accountid=131239&amp;bdid=51804&amp;_bd=I%2BHsaDhFQvTnPAHNKn46OgwuaT0%3D</t>
  </si>
  <si>
    <t>https://www.proquest.com/docview/2584321843?accountid=131239&amp;bdid=51804&amp;_bd=j6adiXCyFtjc9NfynKzWiq2FflY%3D</t>
  </si>
  <si>
    <t>https://www.proquest.com/docview/2584321721?accountid=131239&amp;bdid=51804&amp;_bd=wfV6oRNuim%2Fpz7q0V%2BzoXQAHF0c%3D</t>
  </si>
  <si>
    <t>https://www.proquest.com/docview/2584321841?accountid=131239&amp;bdid=51804&amp;_bd=8xbDryjCBA%2FAESQO901LpLLNwyU%3D</t>
  </si>
  <si>
    <t>https://www.proquest.com/docview/2584322018?accountid=131239&amp;bdid=51804&amp;_bd=dujmCEv9aKl8e5vkD1a0%2FWdZ%2FQg%3D</t>
  </si>
  <si>
    <t>https://www.proquest.com/docview/2584321729?accountid=131239&amp;bdid=51804&amp;_bd=kG1ElFfHpt%2FyAWETG2rJCfnCFT4%3D</t>
  </si>
  <si>
    <t>https://www.proquest.com/docview/2584322025?accountid=131239&amp;bdid=51804&amp;_bd=ejxwKLfz6ErHZt%2FtVeCMrB6Pgwo%3D</t>
  </si>
  <si>
    <t>Adjustment Disorder with Anxiety, in DSM 5 Case Scenarios Series: Trauma- and Stressor-Related Disorders: Adjustment Disorders, Episode 37</t>
  </si>
  <si>
    <t>https://www.proquest.com/docview/2584321971?accountid=131239&amp;bdid=51804&amp;_bd=dIAvlDY5QDFA8ci1MZz1S4PUAHo%3D</t>
  </si>
  <si>
    <t>https://www.proquest.com/docview/2584321834?accountid=131239&amp;bdid=51804&amp;_bd=8ioMlF6rr%2BKIjBX%2FStXlM7TJUHo%3D</t>
  </si>
  <si>
    <t>https://www.proquest.com/docview/2584321799?accountid=131239&amp;bdid=51804&amp;_bd=nx2bfhYDU%2FM%2Br1oEHsYVzvkBJXQ%3D</t>
  </si>
  <si>
    <t>https://www.proquest.com/docview/2584321832?accountid=131239&amp;bdid=51804&amp;_bd=Q79hW%2BfsAwkZwYV5ndCpdECTHYo%3D</t>
  </si>
  <si>
    <t>https://www.proquest.com/docview/2584321719?accountid=131239&amp;bdid=51804&amp;_bd=nLHmts7Oky4znza2J3gwIRLsKzY%3D</t>
  </si>
  <si>
    <t>https://www.proquest.com/docview/2584321839?accountid=131239&amp;bdid=51804&amp;_bd=mWTPaWfXZSpQsspnRNATen2UhsM%3D</t>
  </si>
  <si>
    <t>https://www.proquest.com/docview/2584321717?accountid=131239&amp;bdid=51804&amp;_bd=wA3V9eo7uiICqWjBy84djFru4qs%3D</t>
  </si>
  <si>
    <t>https://www.proquest.com/docview/2584321838?accountid=131239&amp;bdid=51804&amp;_bd=WASpujnLqhAXO%2FDgQzJp%2BV7J8V8%3D</t>
  </si>
  <si>
    <t>https://www.proquest.com/docview/2584322091?accountid=131239&amp;bdid=51804&amp;_bd=9y5jV8AGqfourqrZ4hTh9KZtK5M%3D</t>
  </si>
  <si>
    <t>https://www.proquest.com/docview/2584322093?accountid=131239&amp;bdid=51804&amp;_bd=TNn2w1xBns9Uvn0Kz7tmqTGLwd4%3D</t>
  </si>
  <si>
    <t>https://www.proquest.com/docview/2584321946?accountid=131239&amp;bdid=51804&amp;_bd=SPYZr9WKptBdKqOo4PYw02%2B3V8Y%3D</t>
  </si>
  <si>
    <t>https://www.proquest.com/docview/2584321941?accountid=131239&amp;bdid=51804&amp;_bd=FCJJcLkr9EKYNw%2FkmV8n3t%2FgMkM%3D</t>
  </si>
  <si>
    <t>https://www.proquest.com/docview/2584321940?accountid=131239&amp;bdid=51804&amp;_bd=j1o5vw1fOBwZAJ32F94unwiz9P4%3D</t>
  </si>
  <si>
    <t>https://www.proquest.com/docview/2584321785?accountid=131239&amp;bdid=51804&amp;_bd=DCwQTrujw9Iq1qY51FCE9h34cNY%3D</t>
  </si>
  <si>
    <t>https://www.proquest.com/docview/2584321947?accountid=131239&amp;bdid=51804&amp;_bd=AW6G1l9vs3pzm3xqqbeV8v5jG24%3D</t>
  </si>
  <si>
    <t>https://www.proquest.com/docview/2584321826?accountid=131239&amp;bdid=51804&amp;_bd=izkImb1px5y6njxt2joICXjoUCA%3D</t>
  </si>
  <si>
    <t>https://www.proquest.com/docview/2584322087?accountid=131239&amp;bdid=51804&amp;_bd=dHwE7aL58QyYMOH94TFFChi7f0Q%3D</t>
  </si>
  <si>
    <t>https://www.proquest.com/docview/2584322088?accountid=131239&amp;bdid=51804&amp;_bd=xLfB0xVD1vHiVf8PYCJrWZ5yoYA%3D</t>
  </si>
  <si>
    <t>F32.2 Major Depressive Disorder, Single Episode, Severe, With Peripartum Onset, in ICD-10 Case Scenarios Series Index, Episode 11</t>
  </si>
  <si>
    <t>https://www.proquest.com/docview/2584322089?accountid=131239&amp;bdid=51804&amp;_bd=3KestWeWuZrZ42tsWdLaOo0IZAU%3D</t>
  </si>
  <si>
    <t>F32.2 Major Depressive Disorder, Recurrent Episode, Severe, With Seasonal Pattern, in ICD-10 Case Scenarios Series Index, Episode 14</t>
  </si>
  <si>
    <t>https://www.proquest.com/docview/2584321795?accountid=131239&amp;bdid=51804&amp;_bd=nfZYDbVmZIG956m7Hllrb55rttA%3D</t>
  </si>
  <si>
    <t>F44.4 Functional Neurological Symptom Disorder (Conversion Disorder) with Weakness or Paralysis, Acute Episode, With Psychological Stressor Version 1, in ICD-10 Case Scenarios Series Index, Episode 23</t>
  </si>
  <si>
    <t>https://www.proquest.com/docview/2584322080?accountid=131239&amp;bdid=51804&amp;_bd=4sKBv6BCXEdIjDJpB4b%2FPF%2BThbc%3D</t>
  </si>
  <si>
    <t>https://www.proquest.com/docview/2584322081?accountid=131239&amp;bdid=51804&amp;_bd=lZts%2FAqBwF3Yx24sxiuOi38wS%2BU%3D</t>
  </si>
  <si>
    <t>https://www.proquest.com/docview/2584321934?accountid=131239&amp;bdid=51804&amp;_bd=VLeVQN%2BHzkTmKkftUeHUc6oER8s%3D</t>
  </si>
  <si>
    <t>https://www.proquest.com/docview/2584321932?accountid=131239&amp;bdid=51804&amp;_bd=EAPolAz5BPiYqEGVzaMQF7s5Vq8%3D</t>
  </si>
  <si>
    <t>https://www.proquest.com/docview/2584321931?accountid=131239&amp;bdid=51804&amp;_bd=X1MSU7kFBL9UCRT%2F9DM9lMYG58s%3D</t>
  </si>
  <si>
    <t>https://www.proquest.com/docview/2584321777?accountid=131239&amp;bdid=51804&amp;_bd=1IpwjO01KJ6q6uw8f8u1UdhdE4I%3D</t>
  </si>
  <si>
    <t>https://www.proquest.com/docview/2584321810?accountid=131239&amp;bdid=51804&amp;_bd=0UvXFqJG9PACX12gYleeLzc3Kno%3D</t>
  </si>
  <si>
    <t>https://www.proquest.com/docview/2584321819?accountid=131239&amp;bdid=51804&amp;_bd=N%2Bqs2LyUM2T7Uh9o1IvC5Bh6HeE%3D</t>
  </si>
  <si>
    <t>https://www.proquest.com/docview/2584321818?accountid=131239&amp;bdid=51804&amp;_bd=XsOQoNeZ5V9QWlqY3H3sFxIn%2BjY%3D</t>
  </si>
  <si>
    <t>https://www.proquest.com/docview/2584321936?accountid=131239&amp;bdid=51804&amp;_bd=lCrbWt4MCaVj5FTQu%2B27Apfs4hc%3D</t>
  </si>
  <si>
    <t>Posttraumatic Stress Disorder: Combat Veteran, in DSM 5 Case Scenarios Series: Trauma- and Stressor-Related Disorders: Post-Traumatic Stress Disorder, Episode 39</t>
  </si>
  <si>
    <t>https://www.proquest.com/docview/2584322075?accountid=131239&amp;bdid=51804&amp;_bd=EnF92c4RlCtgDnxudeT9DVN60PU%3D</t>
  </si>
  <si>
    <t>https://www.proquest.com/docview/2584322197?accountid=131239&amp;bdid=51804&amp;_bd=VgQepJL9gnM%2FdwLW90hWOQygc3o%3D</t>
  </si>
  <si>
    <t>https://www.proquest.com/docview/2584322199?accountid=131239&amp;bdid=51804&amp;_bd=rWIa18VykXyRlsfKp7dHgwntZoA%3D</t>
  </si>
  <si>
    <t>https://www.proquest.com/docview/2584322191?accountid=131239&amp;bdid=51804&amp;_bd=2uzs1LwP7MZgRtITUNRIKVwKVRw%3D</t>
  </si>
  <si>
    <t>https://www.proquest.com/docview/2584321923?accountid=131239&amp;bdid=51804&amp;_bd=vx9DxilSCLL1wO7%2FymHPMnRyWKo%3D</t>
  </si>
  <si>
    <t>https://www.proquest.com/docview/2584321801?accountid=131239&amp;bdid=51804&amp;_bd=khhNgubCUDCraRPlFtaTYq8Dlkc%3D</t>
  </si>
  <si>
    <t>F44.4 Functional Neurological Symptom Disorder (Conversion Disorder) with Weakness or Paralysis, Acute Episode, With Psychological Stressor Version 2, in ICD-10 Case Scenarios Series Index, Episode 24</t>
  </si>
  <si>
    <t>https://www.proquest.com/docview/2584321766?accountid=131239&amp;bdid=51804&amp;_bd=Pjzrc71XnkcLol6dO%2Ba%2BTfkQKKU%3D</t>
  </si>
  <si>
    <t>https://www.proquest.com/docview/2584321764?accountid=131239&amp;bdid=51804&amp;_bd=hmRSTbm0M1RHgHHKm9j2evXmt6g%3D</t>
  </si>
  <si>
    <t>Bipolar I Disorder, Current Episode Manic, Severe, with Mood-Congruent Psychotic Features (After Treatment), in DSM 5 Case Scenarios Series: Bipolar and Related Disorders, Episode 5</t>
  </si>
  <si>
    <t>https://www.proquest.com/docview/2584321929?accountid=131239&amp;bdid=51804&amp;_bd=WbBybqzNUnTiIaxP0u0C6pza6oI%3D</t>
  </si>
  <si>
    <t>https://www.proquest.com/docview/2584321804?accountid=131239&amp;bdid=51804&amp;_bd=Qdg4AVOcWc7VLhycsck%2B5bCuTlc%3D</t>
  </si>
  <si>
    <t>https://www.proquest.com/docview/2584322185?accountid=131239&amp;bdid=51804&amp;_bd=jvBVpi6S0383mz09TSMMklP39rI%3D</t>
  </si>
  <si>
    <t>https://www.proquest.com/docview/2584322064?accountid=131239&amp;bdid=51804&amp;_bd=cTelEoRLkS5aLlO1DW6G2thAhPY%3D</t>
  </si>
  <si>
    <t>https://www.proquest.com/docview/2584322065?accountid=131239&amp;bdid=51804&amp;_bd=1J%2FWZ%2BDBrX38aiLqhyrnD0jF8jA%3D</t>
  </si>
  <si>
    <t>https://www.proquest.com/docview/2584322186?accountid=131239&amp;bdid=51804&amp;_bd=4BTQp0F4U9GPqrkJdR0wuJSDegs%3D</t>
  </si>
  <si>
    <t>Cognitive Behavioral Therapy for Eating Disorders, in ABCT Clinical Grand Rounds, 2</t>
  </si>
  <si>
    <t>Fairburn, Christopher</t>
  </si>
  <si>
    <t>https://www.proquest.com/docview/1957752479?accountid=131239&amp;bdid=51804&amp;_bd=I77D7lFKCBIHrA6UsLm5GoWmatc%3D</t>
  </si>
  <si>
    <t>OCD Never Rests, So Why Should Treatment? Using Scripts to Enhance Exposure and Response Prevention, in ABCT Clinical Grand Rounds, 8</t>
  </si>
  <si>
    <t>Grayson, Jonathan</t>
  </si>
  <si>
    <t>https://www.proquest.com/docview/1957752473?accountid=131239&amp;bdid=51804&amp;_bd=Upgaz8NW3MJcjTSfCasm%2B%2FsNfxM%3D</t>
  </si>
  <si>
    <t>https://www.proquest.com/docview/2584321912?accountid=131239&amp;bdid=51804&amp;_bd=AWCJCab%2B92OpgID4R6UhmeJhwiA%3D</t>
  </si>
  <si>
    <t>https://www.proquest.com/docview/2584321756?accountid=131239&amp;bdid=51804&amp;_bd=a0wl2RuxS546eL1hCQ2S8TxtSjA%3D</t>
  </si>
  <si>
    <t>https://www.proquest.com/docview/2584322049?accountid=131239&amp;bdid=51804&amp;_bd=lSRxc1ACFuUMN3kMhhtikRq%2FPIc%3D</t>
  </si>
  <si>
    <t>https://www.proquest.com/docview/2584322203?accountid=131239&amp;bdid=51804&amp;_bd=4K%2B7qhNDe1rVe8qENy8uv86u2ZM%3D</t>
  </si>
  <si>
    <t>https://www.proquest.com/docview/2584321918?accountid=131239&amp;bdid=51804&amp;_bd=6ZYQKFpSqeZL3fdnbRTtp3GHsZs%3D</t>
  </si>
  <si>
    <t>https://www.proquest.com/docview/2584321917?accountid=131239&amp;bdid=51804&amp;_bd=cDTBhJ%2FkOwDPMtNuAYuAGbS3O%2Fk%3D</t>
  </si>
  <si>
    <t>https://www.proquest.com/docview/2584321916?accountid=131239&amp;bdid=51804&amp;_bd=%2BS26CRGhpXTCDEgjz%2FuSH2pvlyg%3D</t>
  </si>
  <si>
    <t>https://www.proquest.com/docview/2584322209?accountid=131239&amp;bdid=51804&amp;_bd=NncMoK01lTQsUpI4Qbcf9OCednw%3D</t>
  </si>
  <si>
    <t>Posttraumatic Stress Disorder: Car Accident, in DSM 5 Case Scenarios Series: Trauma- and Stressor-Related Disorders: Post-Traumatic Stress Disorder, Episode 38</t>
  </si>
  <si>
    <t>https://www.proquest.com/docview/2584322052?accountid=131239&amp;bdid=51804&amp;_bd=cmetMs%2BqP4o5PsLXFe%2FITA1PSlI%3D</t>
  </si>
  <si>
    <t>Doing Psychotherapy: Different Approaches to Comorbid Systems of Anxiety and Depression: Using Cognitive Behavioral Case Formulation in Treating a Client with Anxiety and Depression: Disc 1 of 3, in ABCT Clinical Grand Rounds, 3</t>
  </si>
  <si>
    <t>Persons, Jacqueline B</t>
  </si>
  <si>
    <t>https://www.proquest.com/docview/1957752466?accountid=131239&amp;bdid=51804&amp;_bd=on7v%2BUE3I6Nvk3m4MvNLhwMP%2FXU%3D</t>
  </si>
  <si>
    <t>https://www.proquest.com/docview/2584322059?accountid=131239&amp;bdid=51804&amp;_bd=NluIgvNSkjyvOLmu4eKwoGYe7XU%3D</t>
  </si>
  <si>
    <t>Doing Psychotherapy: Different Approaches to Comorbid Systems of Anxiety and Depression: Using an Integrated Psychotherapy Approach When Treating a Client with Anxiety and Depression: Disc 2 of 3, in ABCT Clinical Grand Rounds, 4</t>
  </si>
  <si>
    <t>Persons, Jacqueline B; Goldfried, Marvin R</t>
  </si>
  <si>
    <t>https://www.proquest.com/docview/1957752464?accountid=131239&amp;bdid=51804&amp;_bd=1yAcGOeOIGIpADzxU5cnk8m2h1o%3D</t>
  </si>
  <si>
    <t>https://www.proquest.com/docview/1957752463?accountid=131239&amp;bdid=51804&amp;_bd=d2ciApG7GrFHIyipsnAU30eCL6U%3D</t>
  </si>
  <si>
    <t>https://www.proquest.com/docview/1822679776?accountid=131239&amp;bdid=51804&amp;_bd=jO6uXyvtjeWJ4sIlOTrdlfi1CMU%3D</t>
  </si>
  <si>
    <t>Helfgott, Sue</t>
  </si>
  <si>
    <t>https://www.proquest.com/docview/1823054765?accountid=131239&amp;bdid=51804&amp;_bd=tHxPz7Zvj6yD2e6Zh9PmWHoGc3w%3D</t>
  </si>
  <si>
    <t>https://www.proquest.com/docview/1822830162?accountid=131239&amp;bdid=51804&amp;_bd=kIggCPt6q%2BXn9aj68dXH%2FTFGwgI%3D</t>
  </si>
  <si>
    <t>https://www.proquest.com/docview/1822674239?accountid=131239&amp;bdid=51804&amp;_bd=9H2Qei5hyDvDxkIEEuz8BYdIcM0%3D</t>
  </si>
  <si>
    <t>https://www.proquest.com/docview/1822829973?accountid=131239&amp;bdid=51804&amp;_bd=niSBv0JM5uDRg9n%2B%2B0PFS3ja6QM%3D</t>
  </si>
  <si>
    <t>Sax, Peggy; McNamee, Sheila</t>
  </si>
  <si>
    <t>https://www.proquest.com/docview/1823051657?accountid=131239&amp;bdid=51804&amp;_bd=PmAXYgZoW1FNtNlIK97GVggIxO0%3D</t>
  </si>
  <si>
    <t>Gray, Jan</t>
  </si>
  <si>
    <t>https://www.proquest.com/docview/1823054922?accountid=131239&amp;bdid=51804&amp;_bd=mxNI5t2VxyZCNTVT6W6phCdO4Z8%3D</t>
  </si>
  <si>
    <t>https://www.proquest.com/docview/1822674470?accountid=131239&amp;bdid=51804&amp;_bd=Mfq58jw21Dz8%2BkCklpmWkbZwYyc%3D</t>
  </si>
  <si>
    <t>https://www.proquest.com/docview/1822716016?accountid=131239&amp;bdid=51804&amp;_bd=Gc%2BZC81mkUvux1LwGMjIBrdFjSA%3D</t>
  </si>
  <si>
    <t>https://www.proquest.com/docview/1822675040?accountid=131239&amp;bdid=51804&amp;_bd=5oV3%2BgHggRg4nMs6oAYxf11YjwQ%3D</t>
  </si>
  <si>
    <t>https://www.proquest.com/docview/1938827949?accountid=131239&amp;bdid=51804&amp;_bd=RPlBtTxei8QUD%2FTeNOV2Ug0N%2B6k%3D</t>
  </si>
  <si>
    <t>https://www.proquest.com/docview/1823054896?accountid=131239&amp;bdid=51804&amp;_bd=TKYhqpJKX3mjBBvMZQUk5%2BtxWBw%3D</t>
  </si>
  <si>
    <t>Glasser, William</t>
  </si>
  <si>
    <t>https://www.proquest.com/docview/1823055060?accountid=131239&amp;bdid=51804&amp;_bd=la7%2BxN2rbFEk16SCPpEFmhaxv48%3D</t>
  </si>
  <si>
    <t>https://www.proquest.com/docview/1823052195?accountid=131239&amp;bdid=51804&amp;_bd=NMkdPcxLYYynqkKq2N%2FhXor0pq0%3D</t>
  </si>
  <si>
    <t>https://www.proquest.com/docview/1822674508?accountid=131239&amp;bdid=51804&amp;_bd=oukDMQhl3S3VmZqcOfQkKdIyXF0%3D</t>
  </si>
  <si>
    <t>Taylor, Joshua</t>
  </si>
  <si>
    <t>https://www.proquest.com/docview/1823051706?accountid=131239&amp;bdid=51804&amp;_bd=qXW8yquQlsNPHUg8MlaBes4bJmo%3D</t>
  </si>
  <si>
    <t>Mpofu, Elias</t>
  </si>
  <si>
    <t>https://www.proquest.com/docview/1823051667?accountid=131239&amp;bdid=51804&amp;_bd=ZQShoiWjR4dhXNVugXoKUYn4kvk%3D</t>
  </si>
  <si>
    <t>https://www.proquest.com/docview/1822674585?accountid=131239&amp;bdid=51804&amp;_bd=v71FmFQT%2FLwq%2B9aGmbSZGv1UZts%3D</t>
  </si>
  <si>
    <t>https://www.proquest.com/docview/1822674380?accountid=131239&amp;bdid=51804&amp;_bd=8bS1yXlLQxUUNO0gbSnmqGeTaCU%3D</t>
  </si>
  <si>
    <t>Costas, Lisa; Acevedo, David; Gallardo-Cooper, Maritza; Zalaquett, Carlos; Arredondo, Patricia</t>
  </si>
  <si>
    <t>https://www.proquest.com/docview/1823052284?accountid=131239&amp;bdid=51804&amp;_bd=3OKnDaHf8EHS4yt2MXbSX8NhrmQ%3D</t>
  </si>
  <si>
    <t>https://www.proquest.com/docview/1822716541?accountid=131239&amp;bdid=51804&amp;_bd=IcArnIX0Mh1C7ILMr3BzYNBSsbc%3D</t>
  </si>
  <si>
    <t>https://www.proquest.com/docview/1822679756?accountid=131239&amp;bdid=51804&amp;_bd=zEJ4hUrV%2BGbfNfiWV9uGT9q6SGI%3D</t>
  </si>
  <si>
    <t>https://www.proquest.com/docview/1837555156?accountid=131239&amp;bdid=51804&amp;_bd=sclFB0Tm8oduJrfbd4WNBanFtWI%3D</t>
  </si>
  <si>
    <t>https://www.proquest.com/docview/1822673605?accountid=131239&amp;bdid=51804&amp;_bd=aLyKXg3sn3V3b4%2Bt0mYM%2BpLq9t4%3D</t>
  </si>
  <si>
    <t>DiGiuseppe, Raymond</t>
  </si>
  <si>
    <t>https://www.proquest.com/docview/1957752439?accountid=131239&amp;bdid=51804&amp;_bd=OfvqlwpCoFVCfeDjahXuxAkwzjQ%3D</t>
  </si>
  <si>
    <t>Mindfulness-Based Cognitive Therapy and the Prevention of Depression, in ABCT Clinical Grand Rounds, 7</t>
  </si>
  <si>
    <t>Williams, J Mark G</t>
  </si>
  <si>
    <t>https://www.proquest.com/docview/1957752438?accountid=131239&amp;bdid=51804&amp;_bd=ezidfVeseBtwVpiSml7UWc9LIJA%3D</t>
  </si>
  <si>
    <t>https://www.proquest.com/docview/1822674899?accountid=131239&amp;bdid=51804&amp;_bd=UvxCOIPA3tMElJgeKdZXDKcV1us%3D</t>
  </si>
  <si>
    <t>https://www.proquest.com/docview/1822673722?accountid=131239&amp;bdid=51804&amp;_bd=5RdAra0lzoMPtIABfqzO3f3q%2Ba8%3D</t>
  </si>
  <si>
    <t>A Patient with Specific Phobia, in ABCT Clinical Grand Rounds, 9</t>
  </si>
  <si>
    <t>Ost, Lars-Goran</t>
  </si>
  <si>
    <t>https://www.proquest.com/docview/1957752432?accountid=131239&amp;bdid=51804&amp;_bd=bIjpzm3vFiMnzmCb1Si%2FKCfjWYE%3D</t>
  </si>
  <si>
    <t>Doing Psychotherapy: Different Approaches to Comorbid Systems of Anxiety and Depression: Comparing Treatment Approaches: Disc 3 of 3, in ABCT Clinical Grand Rounds, 5</t>
  </si>
  <si>
    <t>Kohlenberg, Robert J; Persons, Jacqueline B; Goldfried, Marvin R</t>
  </si>
  <si>
    <t>https://www.proquest.com/docview/1957752435?accountid=131239&amp;bdid=51804&amp;_bd=qznd%2Bn2wQeDpY%2FIRkC2yKnZpGbE%3D</t>
  </si>
  <si>
    <t>https://www.proquest.com/docview/1894059728?accountid=131239&amp;bdid=51804&amp;_bd=7X08uAuj%2FG%2BngXEVg5ktGcvyPqE%3D</t>
  </si>
  <si>
    <t>https://www.proquest.com/docview/1822673720?accountid=131239&amp;bdid=51804&amp;_bd=3AKOdasDCB5Es4HOkMIkYv9WMCg%3D</t>
  </si>
  <si>
    <t>https://www.proquest.com/docview/1822674257?accountid=131239&amp;bdid=51804&amp;_bd=UZLkJwUA0563p3cFRFBnTSw4XIk%3D</t>
  </si>
  <si>
    <t>https://www.proquest.com/docview/1822674376?accountid=131239&amp;bdid=51804&amp;_bd=F%2FSm3ts%2FCRs1sQnyowuFdhvUBAo%3D</t>
  </si>
  <si>
    <t>https://www.proquest.com/docview/1822673681?accountid=131239&amp;bdid=51804&amp;_bd=EOLngqHMDXN3cR%2FFOkM0Dl1cUHs%3D</t>
  </si>
  <si>
    <t>Alvarez, Alvin N</t>
  </si>
  <si>
    <t>https://www.proquest.com/docview/1823052329?accountid=131239&amp;bdid=51804&amp;_bd=C1jX%2Bcp2gV5sJJfv779tyw%2FZHtQ%3D</t>
  </si>
  <si>
    <t>https://www.proquest.com/docview/1822715466?accountid=131239&amp;bdid=51804&amp;_bd=kv7wniFYd7huxYrNBhNzeYcN%2FSc%3D</t>
  </si>
  <si>
    <t>Guterman, Jeffrey T</t>
  </si>
  <si>
    <t>https://www.proquest.com/docview/1823052210?accountid=131239&amp;bdid=51804&amp;_bd=3d0Hr63fPQxWccDHIYTqBtsQ3oE%3D</t>
  </si>
  <si>
    <t>https://www.proquest.com/docview/1823055289?accountid=131239&amp;bdid=51804&amp;_bd=UVQ2tmmT3ANp6vmkRjHjiwKVQbg%3D</t>
  </si>
  <si>
    <t>The Road To Mastery: Charting Your Path to Clinical Excellence, in Creating a New Wisdom: The Art and Science of Optimal Well-Being Symposium</t>
  </si>
  <si>
    <t>Creating a New Wisdom : The Art and Science of Optimal Well-Being Symposium</t>
  </si>
  <si>
    <t>https://www.proquest.com/docview/1822675061?accountid=131239&amp;bdid=51804&amp;_bd=FY%2Bzg2T%2FvXcTcLyppGGAG51r0hY%3D</t>
  </si>
  <si>
    <t>Nylund, David; Tilsen, Julie</t>
  </si>
  <si>
    <t>https://www.proquest.com/docview/1823054876?accountid=131239&amp;bdid=51804&amp;_bd=eVLKmqhvcXHSTVpl9TwETVxmngo%3D</t>
  </si>
  <si>
    <t>Duan, Changming</t>
  </si>
  <si>
    <t>https://www.proquest.com/docview/1823052212?accountid=131239&amp;bdid=51804&amp;_bd=%2BsYaAx%2FfTiTgSwiqm%2FZKXWmQVEs%3D</t>
  </si>
  <si>
    <t>https://www.proquest.com/docview/1823055282?accountid=131239&amp;bdid=51804&amp;_bd=hQZ31rhktqxZCig5iLBJczj7FuY%3D</t>
  </si>
  <si>
    <t>https://www.proquest.com/docview/1822674928?accountid=131239&amp;bdid=51804&amp;_bd=K7MxDj3ZKWgTvWWAXRFBHNnWcBs%3D</t>
  </si>
  <si>
    <t>https://www.proquest.com/docview/1822674401?accountid=131239&amp;bdid=51804&amp;_bd=H7bWIhZ0DfYTVqfQoStqyCzVl88%3D</t>
  </si>
  <si>
    <t>https://www.proquest.com/docview/1822673674?accountid=131239&amp;bdid=51804&amp;_bd=lg10otBIbI3fywn3A4SgSJerQmQ%3D</t>
  </si>
  <si>
    <t>https://www.proquest.com/docview/1822715857?accountid=131239&amp;bdid=51804&amp;_bd=qvaV8MPZP%2BfiIh4G5fC7BXgo4eM%3D</t>
  </si>
  <si>
    <t>https://www.proquest.com/docview/1822716428?accountid=131239&amp;bdid=51804&amp;_bd=IPPTIff8B2G1v%2Bx%2F54s5E%2BSwksE%3D</t>
  </si>
  <si>
    <t>https://www.proquest.com/docview/1822673672?accountid=131239&amp;bdid=51804&amp;_bd=1Cwz7IK7BXOfvQOkg9xEMOHvqYk%3D</t>
  </si>
  <si>
    <t>Jackson, Vanessa</t>
  </si>
  <si>
    <t>https://www.proquest.com/docview/1823052141?accountid=131239&amp;bdid=51804&amp;_bd=ABKCyYAhwenoaO0%2FvpVtK3jebaw%3D</t>
  </si>
  <si>
    <t>Does Understanding the Brain Make Us Wiser?, in Creating a New Wisdom: The Art and Science of Optimal Well-Being Symposium</t>
  </si>
  <si>
    <t>https://www.proquest.com/docview/1822674280?accountid=131239&amp;bdid=51804&amp;_bd=%2B%2BSdqY1rj0KlAG3q3LDlAnSrKfI%3D</t>
  </si>
  <si>
    <t>Wubbolding, Robert E</t>
  </si>
  <si>
    <t>https://www.proquest.com/docview/1823052145?accountid=131239&amp;bdid=51804&amp;_bd=574Ooyz1j2ccWp117oG1Oh4K8gg%3D</t>
  </si>
  <si>
    <t>https://www.proquest.com/docview/1822673629?accountid=131239&amp;bdid=51804&amp;_bd=ylCKrJJj57y%2BMVWa2AKhFFLXZgU%3D</t>
  </si>
  <si>
    <t>https://www.proquest.com/docview/1822674955?accountid=131239&amp;bdid=51804&amp;_bd=jMqh1i1gTQyvYqIykynZzX%2BYb3o%3D</t>
  </si>
  <si>
    <t>Spontaneous Happiness: The Vision of Integrative Mental Health, in Creating a New Wisdom: The Art and Science of Optimal Well-Being Symposium</t>
  </si>
  <si>
    <t>https://www.proquest.com/docview/1822674834?accountid=131239&amp;bdid=51804&amp;_bd=q99ax60Ucs%2FvXsWnb60AuplN1AA%3D</t>
  </si>
  <si>
    <t>https://www.proquest.com/docview/1822674433?accountid=131239&amp;bdid=51804&amp;_bd=2WrztBKIFczZOhN8EAHEWAhqPE8%3D</t>
  </si>
  <si>
    <t>Gallardo-Cooper, Maritza; Costas, Lisa; Acevedo, David; Zalaquett, Carlos; Arredondo, Patricia</t>
  </si>
  <si>
    <t>https://www.proquest.com/docview/1823052028?accountid=131239&amp;bdid=51804&amp;_bd=vT7dPPjLg0swt3P1CwYmc8ipAU8%3D</t>
  </si>
  <si>
    <t>https://www.proquest.com/docview/1822674277?accountid=131239&amp;bdid=51804&amp;_bd=7jFajJPlkejuEtOEmd4dE8ok9pE%3D</t>
  </si>
  <si>
    <t>Building Mathematical Competencies in Early Childhood</t>
  </si>
  <si>
    <t>https://www.proquest.com/docview/1837554969?accountid=131239&amp;bdid=51804&amp;_bd=0kx%2FHFZxI2UNIhNVZ5RnbXeGFHY%3D</t>
  </si>
  <si>
    <t>https://www.proquest.com/docview/1822715004?accountid=131239&amp;bdid=51804&amp;_bd=5Jqe0NxDlOytVytuObhk%2Ff0sABo%3D</t>
  </si>
  <si>
    <t>Guerda Nicolas</t>
  </si>
  <si>
    <t>https://www.proquest.com/docview/1823052033?accountid=131239&amp;bdid=51804&amp;_bd=Fm3%2FLjlTqDboyvxSSDCU4eLC1hY%3D</t>
  </si>
  <si>
    <t>Ratts, Manivong J</t>
  </si>
  <si>
    <t>https://www.proquest.com/docview/1822680452?accountid=131239&amp;bdid=51804&amp;_bd=3X1hiTHgVtKzB24rDptMRaAJQNw%3D</t>
  </si>
  <si>
    <t>https://www.proquest.com/docview/1823052277?accountid=131239&amp;bdid=51804&amp;_bd=4%2F%2FD4YD91DY%2BMIjlBQ4AXcwERxQ%3D</t>
  </si>
  <si>
    <t>https://www.proquest.com/docview/1822802336?accountid=131239&amp;bdid=51804&amp;_bd=%2BZEZTy0K4%2BG3TWaGUCqr8BUvvDQ%3D</t>
  </si>
  <si>
    <t>Landreth, Garry</t>
  </si>
  <si>
    <t>https://www.proquest.com/docview/1823056594?accountid=131239&amp;bdid=51804&amp;_bd=G1IvFtOLA2hJYJxGrMx24IxLRuU%3D</t>
  </si>
  <si>
    <t>https://www.proquest.com/docview/1822680571?accountid=131239&amp;bdid=51804&amp;_bd=9nBLYHwsgRY5GsyOpetys8bqNx0%3D</t>
  </si>
  <si>
    <t>Facing the Challenge of 21st Century Activism, in Creating a New Wisdom: The Art and Science of Optimal Well-Being Symposium</t>
  </si>
  <si>
    <t>https://www.proquest.com/docview/1822674704?accountid=131239&amp;bdid=51804&amp;_bd=a%2FsX6Y8%2FD6ABMtKslg9LkYFkgso%3D</t>
  </si>
  <si>
    <t>https://www.proquest.com/docview/1822674823?accountid=131239&amp;bdid=51804&amp;_bd=TfbsrCBKTpikKG%2BGXLJSADbc2ZM%3D</t>
  </si>
  <si>
    <t>https://www.proquest.com/docview/1822674821?accountid=131239&amp;bdid=51804&amp;_bd=CbsiKR9CPlRDJ4f5zEeniZAZVtw%3D</t>
  </si>
  <si>
    <t>https://www.proquest.com/docview/1822673695?accountid=131239&amp;bdid=51804&amp;_bd=qEQG6%2FzhlScaVi5sR5ZcCGsLmm8%3D</t>
  </si>
  <si>
    <t>https://www.proquest.com/docview/1822674782?accountid=131239&amp;bdid=51804&amp;_bd=iF%2BaCsmaVBnLdTVFhbTmqDWVFW8%3D</t>
  </si>
  <si>
    <t>https://www.proquest.com/docview/1822803394?accountid=131239&amp;bdid=51804&amp;_bd=Ljjf28j1WOIJaiDk5gXVubYYGQk%3D</t>
  </si>
  <si>
    <t>Gladding, Samuel T</t>
  </si>
  <si>
    <t>https://www.proquest.com/docview/1823051627?accountid=131239&amp;bdid=51804&amp;_bd=7NpYO94m7chOkb8V2GULHw%2FzN%2FE%3D</t>
  </si>
  <si>
    <t>Steen, Sam; Bauman, Sheri</t>
  </si>
  <si>
    <t>https://www.proquest.com/docview/1823052086?accountid=131239&amp;bdid=51804&amp;_bd=AJXw9eo%2Fu3IgF7noY7f%2BF%2FQL8tc%3D</t>
  </si>
  <si>
    <t>https://www.proquest.com/docview/1822679953?accountid=131239&amp;bdid=51804&amp;_bd=K%2BO8JP%2BSVfg5aWP6vP4Xzyx5gTM%3D</t>
  </si>
  <si>
    <t>Gehart, Diane</t>
  </si>
  <si>
    <t>https://www.proquest.com/docview/1823052244?accountid=131239&amp;bdid=51804&amp;_bd=QXjswKyUMaQRIEoOLzHZ342BeuY%3D</t>
  </si>
  <si>
    <t>Atkinson, Jacqui</t>
  </si>
  <si>
    <t>https://www.proquest.com/docview/1823056682?accountid=131239&amp;bdid=51804&amp;_bd=Uw1gbtihmYotKcXz18ddrRauF6U%3D</t>
  </si>
  <si>
    <t>https://www.proquest.com/docview/1822674733?accountid=131239&amp;bdid=51804&amp;_bd=nTEBArZDJKM1VJxGdDIzzcJcw%2BU%3D</t>
  </si>
  <si>
    <t>https://www.proquest.com/docview/1822674217?accountid=131239&amp;bdid=51804&amp;_bd=SijxJQ2XFrbww%2Bnp1ntigvf0NAI%3D</t>
  </si>
  <si>
    <t>https://www.proquest.com/docview/1822674577?accountid=131239&amp;bdid=51804&amp;_bd=n45Q77Ge4eTeTm5D3fwA%2FqF52rg%3D</t>
  </si>
  <si>
    <t>https://www.proquest.com/docview/1822715804?accountid=131239&amp;bdid=51804&amp;_bd=g7fmIPbd3WMWAKkvLGTLS7gjPSs%3D</t>
  </si>
  <si>
    <t>https://www.proquest.com/docview/1822674292?accountid=131239&amp;bdid=51804&amp;_bd=LENW7PnVdkyqdvEwABzabMq%2FSIg%3D</t>
  </si>
  <si>
    <t>Vail, Lucy; Kellogg, Shannon</t>
  </si>
  <si>
    <t>https://www.proquest.com/docview/1823052099?accountid=131239&amp;bdid=51804&amp;_bd=buEevh4bz6dgVrTig%2FX%2FWKP82eA%3D</t>
  </si>
  <si>
    <t>Yang, Lawrence H</t>
  </si>
  <si>
    <t>https://www.proquest.com/docview/1823052251?accountid=131239&amp;bdid=51804&amp;_bd=zuPRiEYTbA3mXvMz2Uk2q7eFUYs%3D</t>
  </si>
  <si>
    <t>https://www.proquest.com/docview/1822674290?accountid=131239&amp;bdid=51804&amp;_bd=cwMkzMQ0dAgbulS5YXyIXvTEKes%3D</t>
  </si>
  <si>
    <t>Barbeau, Ryan E; Zalaquett, Carlos</t>
  </si>
  <si>
    <t>https://www.proquest.com/docview/1823052258?accountid=131239&amp;bdid=51804&amp;_bd=ZACNFx1tVuvry9WuONSYmmUyWzc%3D</t>
  </si>
  <si>
    <t>Chan, Anne</t>
  </si>
  <si>
    <t>https://www.proquest.com/docview/1823051686?accountid=131239&amp;bdid=51804&amp;_bd=G0BM66MsRs0q7n0lYf9fbljipM0%3D</t>
  </si>
  <si>
    <t>https://www.proquest.com/docview/1823055007?accountid=131239&amp;bdid=51804&amp;_bd=QXxCqrhD3ImJSjj%2BdBUUofMwu7E%3D</t>
  </si>
  <si>
    <t>David Anderson Hooker; Jackson, Vanessa</t>
  </si>
  <si>
    <t>https://www.proquest.com/docview/1823052137?accountid=131239&amp;bdid=51804&amp;_bd=VLjZEyMDABh2fY%2FMZvJyUOkkTYQ%3D</t>
  </si>
  <si>
    <t>https://www.proquest.com/docview/1823055368?accountid=131239&amp;bdid=51804&amp;_bd=dvIq%2Fi8tkMxGOavWB5mBgv%2BfNTE%3D</t>
  </si>
  <si>
    <t>https://www.proquest.com/docview/1822674969?accountid=131239&amp;bdid=51804&amp;_bd=Y6yBxcVc4qvFCpl7hIuPZlKzLLs%3D</t>
  </si>
  <si>
    <t>https://www.proquest.com/docview/1822674967?accountid=131239&amp;bdid=51804&amp;_bd=u5xzKzNtRbx7ambMIt6odyx%2BJUU%3D</t>
  </si>
  <si>
    <t>https://www.proquest.com/docview/1822674329?accountid=131239&amp;bdid=51804&amp;_bd=DV5BZOP61OkH5uk49EZ6EFpHvPg%3D</t>
  </si>
  <si>
    <t>Symposium Opening Remarks: Welcome Address with Rich Simon, in Creating a New Wisdom: The Art and Science of Optimal Well-Being Symposium</t>
  </si>
  <si>
    <t>https://www.proquest.com/docview/1822674723?accountid=131239&amp;bdid=51804&amp;_bd=f2RNa0rd4N%2B3nvr00YN3DIEyiJk%3D</t>
  </si>
  <si>
    <t>Acceptance and Commitment Therapy, in ABCT Clinical Grand Rounds, 1</t>
  </si>
  <si>
    <t>Hayes, Steven C</t>
  </si>
  <si>
    <t>https://www.proquest.com/docview/1957752462?accountid=131239&amp;bdid=51804&amp;_bd=kuRdIOGHOFlSk2WT7OpUJXBKN6o%3D</t>
  </si>
  <si>
    <t>Imaginal Exposure, in ABCT Clinical Grand Rounds, 6</t>
  </si>
  <si>
    <t>Foa, Edna</t>
  </si>
  <si>
    <t>https://www.proquest.com/docview/1957752461?accountid=131239&amp;bdid=51804&amp;_bd=UA%2FegcIMaOFz9lCmPehdgCBQhTc%3D</t>
  </si>
  <si>
    <t>https://www.proquest.com/docview/1822674323?accountid=131239&amp;bdid=51804&amp;_bd=zs0ar%2FBlZjH0BrGud%2FDjBQvFo7s%3D</t>
  </si>
  <si>
    <t>https://www.proquest.com/docview/1822673595?accountid=131239&amp;bdid=51804&amp;_bd=ga%2FFY%2FCxnn278ecGDZOnZixCr4Q%3D</t>
  </si>
  <si>
    <t>Norsworthy, Kathryn L</t>
  </si>
  <si>
    <t>https://www.proquest.com/docview/1823051726?accountid=131239&amp;bdid=51804&amp;_bd=wSg7fhOq1shhXU2RkVWfilDu3xg%3D</t>
  </si>
  <si>
    <t>SuÃ¡rez-Orozco, Marcelo; SuÃ¡rez-Orozco, Carola</t>
  </si>
  <si>
    <t>https://www.proquest.com/docview/1823051725?accountid=131239&amp;bdid=51804&amp;_bd=6zPka17DzPSaiAFe1j3%2BStU1GKY%3D</t>
  </si>
  <si>
    <t>https://www.proquest.com/docview/1850719457?accountid=131239&amp;bdid=51804&amp;_bd=MD2YhzPVcoWE20XTItF15iI5Ipk%3D</t>
  </si>
  <si>
    <t>Winslade, John; Hedtke, Lorraine</t>
  </si>
  <si>
    <t>https://www.proquest.com/docview/1822891030?accountid=131239&amp;bdid=51804&amp;_bd=kz8wNvlFYT7zmZi%2FSqRMUV%2FvgOU%3D</t>
  </si>
  <si>
    <t>Barbini, Kathy</t>
  </si>
  <si>
    <t>https://www.proquest.com/docview/2539908629?accountid=131239&amp;bdid=51804&amp;_bd=y96CPqf0J3sAz9KW0jMlfRWL8Gw%3D</t>
  </si>
  <si>
    <t>https://www.proquest.com/docview/1822605585?accountid=131239&amp;bdid=51804&amp;_bd=bqrnXkRDGewEWIo34P%2FHvFRc2PE%3D</t>
  </si>
  <si>
    <t>https://www.proquest.com/docview/1822891033?accountid=131239&amp;bdid=51804&amp;_bd=b9pydnCdvtUPgokXrcsZPXOa9oI%3D</t>
  </si>
  <si>
    <t>Mishlove, Jeffrey; May, Rollo</t>
  </si>
  <si>
    <t>https://www.proquest.com/docview/1822891034?accountid=131239&amp;bdid=51804&amp;_bd=BamptwqCtuEAJnVQMaLbOEKlqqs%3D</t>
  </si>
  <si>
    <t>Ivey, Allen E</t>
  </si>
  <si>
    <t>https://www.proquest.com/docview/1822891037?accountid=131239&amp;bdid=51804&amp;_bd=YkO%2FFvxVu5VRKYDrRg2Ft4EphdI%3D</t>
  </si>
  <si>
    <t>https://www.proquest.com/docview/1822891038?accountid=131239&amp;bdid=51804&amp;_bd=AJY4f17%2B09BO340DKxz0rZNkjM8%3D</t>
  </si>
  <si>
    <t>https://www.proquest.com/docview/1822482652?accountid=131239&amp;bdid=51804&amp;_bd=IwLeym5FM290fLM%2FzPAvTCN3sDg%3D</t>
  </si>
  <si>
    <t>Russell-Chapin, Lori; Chapin, Theodore</t>
  </si>
  <si>
    <t>https://www.proquest.com/docview/1822891036?accountid=131239&amp;bdid=51804&amp;_bd=cpSFgzae11WAljI6OcIqsDI0K6E%3D</t>
  </si>
  <si>
    <t>Gelb, Michael</t>
  </si>
  <si>
    <t>https://www.proquest.com/docview/1822672979?accountid=131239&amp;bdid=51804&amp;_bd=iuu93a8hY5mKEi7cHRfKbpfxXwY%3D</t>
  </si>
  <si>
    <t>https://www.proquest.com/docview/1883717559?accountid=131239&amp;bdid=51804&amp;_bd=cFPLa1GyAh8Vg2aYGGPsjFylUK4%3D</t>
  </si>
  <si>
    <t>https://www.proquest.com/docview/1822673302?accountid=131239&amp;bdid=51804&amp;_bd=SSRj9vfZFE%2FP0%2BtttFmHWdKxKyA%3D</t>
  </si>
  <si>
    <t>https://www.proquest.com/docview/1822672850?accountid=131239&amp;bdid=51804&amp;_bd=6q6hlp8fQ0YNq0U35UvywO85F6g%3D</t>
  </si>
  <si>
    <t>https://www.proquest.com/docview/1822671364?accountid=131239&amp;bdid=51804&amp;_bd=%2BRvKT%2FpBkJj5Ljs5pmBMfQCqT%2FI%3D</t>
  </si>
  <si>
    <t>https://www.proquest.com/docview/1822673420?accountid=131239&amp;bdid=51804&amp;_bd=I3X1TEWSDKoFI6NljSNaWg1CS0s%3D</t>
  </si>
  <si>
    <t>https://www.proquest.com/docview/1894092211?accountid=131239&amp;bdid=51804&amp;_bd=e3bCRhV0o8cqnpu0ciXtLCwnb9Y%3D</t>
  </si>
  <si>
    <t>https://www.proquest.com/docview/1822606823?accountid=131239&amp;bdid=51804&amp;_bd=jffCPZugQHy79TjojFIHIBSl6Xs%3D</t>
  </si>
  <si>
    <t>Bertha Garrett Holliday</t>
  </si>
  <si>
    <t>https://www.proquest.com/docview/1822891041?accountid=131239&amp;bdid=51804&amp;_bd=uUx99Ew69kkSmvnLa1z7OtmeeUA%3D</t>
  </si>
  <si>
    <t>https://www.proquest.com/docview/1822891044?accountid=131239&amp;bdid=51804&amp;_bd=hbUtLoHF1XRDxiRAjI1Yii2w4QE%3D</t>
  </si>
  <si>
    <t>Chung, Rita Chi-Ying; Bemak, Fred</t>
  </si>
  <si>
    <t>https://www.proquest.com/docview/1822891320?accountid=131239&amp;bdid=51804&amp;_bd=x1hEzUahtOEP7HCUTVY3BYAuT1E%3D</t>
  </si>
  <si>
    <t>Jones, Clive</t>
  </si>
  <si>
    <t>https://www.proquest.com/docview/1822891049?accountid=131239&amp;bdid=51804&amp;_bd=Yyp8FnDT8zeuzS6F5u7RlMTc0P4%3D</t>
  </si>
  <si>
    <t>https://www.proquest.com/docview/1822482761?accountid=131239&amp;bdid=51804&amp;_bd=ZDDrrgoDZckWaGdvMGdM5xD78JA%3D</t>
  </si>
  <si>
    <t>Arden, John B</t>
  </si>
  <si>
    <t>https://www.proquest.com/docview/1822599644?accountid=131239&amp;bdid=51804&amp;_bd=7Nzw95Ra9D7O8kG6HhSM1iFqRfk%3D</t>
  </si>
  <si>
    <t>Ray, Dee C</t>
  </si>
  <si>
    <t>https://www.proquest.com/docview/1822600616?accountid=131239&amp;bdid=51804&amp;_bd=HAJ19gBP4%2B6qEmB29K3RalmbwIU%3D</t>
  </si>
  <si>
    <t>https://www.proquest.com/docview/1822673418?accountid=131239&amp;bdid=51804&amp;_bd=9cTc5KdMFkyaMeyMcgp0X%2BGAUgg%3D</t>
  </si>
  <si>
    <t>Denmark, Florence L</t>
  </si>
  <si>
    <t>https://www.proquest.com/docview/1822670943?accountid=131239&amp;bdid=51804&amp;_bd=9c99caOPL%2FQhg0aEYUFtHtivApk%3D</t>
  </si>
  <si>
    <t>https://www.proquest.com/docview/1822673497?accountid=131239&amp;bdid=51804&amp;_bd=AuDJ1Z0NbZJY5V%2FoaThkb0WoRaQ%3D</t>
  </si>
  <si>
    <t>https://www.proquest.com/docview/1822455379?accountid=131239&amp;bdid=51804&amp;_bd=cGtGDs1HmR2NnepKp1BXDOT67HU%3D</t>
  </si>
  <si>
    <t>Curtis, Russ; Christian, Erik</t>
  </si>
  <si>
    <t>https://www.proquest.com/docview/1822603601?accountid=131239&amp;bdid=51804&amp;_bd=Wx%2BLbu3L9vjbef4zaTVFMmUYpDI%3D</t>
  </si>
  <si>
    <t>https://www.proquest.com/docview/1822605200?accountid=131239&amp;bdid=51804&amp;_bd=k4XyikK3fopMEljMv1plsfg0BEw%3D</t>
  </si>
  <si>
    <t>Hammer, Tonya</t>
  </si>
  <si>
    <t>https://www.proquest.com/docview/1822598188?accountid=131239&amp;bdid=51804&amp;_bd=XWgGLXGTmGJTZGGXkxXfWl52xG0%3D</t>
  </si>
  <si>
    <t>Lewis, Judy; Toporek, Rebecca L; Crethar, Hugh</t>
  </si>
  <si>
    <t>https://www.proquest.com/docview/1822603385?accountid=131239&amp;bdid=51804&amp;_bd=JkMePhvq7iVPDLapoQXoCLyDvGo%3D</t>
  </si>
  <si>
    <t>Madsen, William</t>
  </si>
  <si>
    <t>https://www.proquest.com/docview/1822891252?accountid=131239&amp;bdid=51804&amp;_bd=VWPGxrT1LYe25rmH4GR5jwqgj2I%3D</t>
  </si>
  <si>
    <t>Schere, Ian; James Diego Rogers</t>
  </si>
  <si>
    <t>https://www.proquest.com/docview/1822891258?accountid=131239&amp;bdid=51804&amp;_bd=5%2BJIZcYg1IFzgSYx8Zi8%2BTa238k%3D</t>
  </si>
  <si>
    <t>https://www.proquest.com/docview/1892131869?accountid=131239&amp;bdid=51804&amp;_bd=42h%2BitH%2B%2FF6SwPG%2FjtAjSe11vWk%3D</t>
  </si>
  <si>
    <t>https://www.proquest.com/docview/1822672632?accountid=131239&amp;bdid=51804&amp;_bd=bbXZ89rT5x%2BVN7sHYUX18u2VWTk%3D</t>
  </si>
  <si>
    <t>https://www.proquest.com/docview/1822671021?accountid=131239&amp;bdid=51804&amp;_bd=IIg1f8%2B2wZ7sJaA0QK6OL4XPbVM%3D</t>
  </si>
  <si>
    <t>West-Olatunji, Cirecie; Ivey, Allen E</t>
  </si>
  <si>
    <t>https://www.proquest.com/docview/1822601993?accountid=131239&amp;bdid=51804&amp;_bd=zeYJAFCKcf5WupNT62pjp3EaXyg%3D</t>
  </si>
  <si>
    <t>https://www.proquest.com/docview/1822489273?accountid=131239&amp;bdid=51804&amp;_bd=d7SIX1CxZZeOk35c5WpVraq%2BLig%3D</t>
  </si>
  <si>
    <t>https://www.proquest.com/docview/1822891027?accountid=131239&amp;bdid=51804&amp;_bd=d2SdHah%2BrVK%2FcbetRsRK8xGcia8%3D</t>
  </si>
  <si>
    <t>https://www.proquest.com/docview/1822891029?accountid=131239&amp;bdid=51804&amp;_bd=nsFFSh3MFeJr9k%2FZ%2FCIb%2BwmfVt4%3D</t>
  </si>
  <si>
    <t>https://www.proquest.com/docview/1822672866?accountid=131239&amp;bdid=51804&amp;_bd=xTVsjqoVrZwFoJnu%2FJ%2FJfPmSwPc%3D</t>
  </si>
  <si>
    <t>Mishlove, Jeffrey</t>
  </si>
  <si>
    <t>https://www.proquest.com/docview/1823044689?accountid=131239&amp;bdid=51804&amp;_bd=i%2BQjANrtgg0pF4A0kAEnwojwpzE%3D</t>
  </si>
  <si>
    <t>https://www.proquest.com/docview/1822672862?accountid=131239&amp;bdid=51804&amp;_bd=CyAPvRd3csBlHIjxi3TqKK7Ff%2Fw%3D</t>
  </si>
  <si>
    <t>https://www.proquest.com/docview/1822672589?accountid=131239&amp;bdid=51804&amp;_bd=8EpC5SHXuOeP%2BD1dEuuRsrQhr9U%3D</t>
  </si>
  <si>
    <t>https://www.proquest.com/docview/1822673396?accountid=131239&amp;bdid=51804&amp;_bd=m8ncaXCboCtbGlaVZPJbnJaYm4s%3D</t>
  </si>
  <si>
    <t>Forrest, Linda M; Roysircar, Gargi; Mpofu, Elias; Santiago-Rivera, Azara L; Leong, Frederick T L</t>
  </si>
  <si>
    <t>https://www.proquest.com/docview/1822603302?accountid=131239&amp;bdid=51804&amp;_bd=jOOHIEeZLpoIzSrPh3poEOe56oE%3D</t>
  </si>
  <si>
    <t>https://www.proquest.com/docview/1837562250?accountid=131239&amp;bdid=51804&amp;_bd=SdZxGpuWCaboL1bbwGsr8vlTOBk%3D</t>
  </si>
  <si>
    <t>Scholl, Mark B</t>
  </si>
  <si>
    <t>https://www.proquest.com/docview/1822603305?accountid=131239&amp;bdid=51804&amp;_bd=0UFSSk%2Fp%2FrKdYhRBDlXRwfXSSkM%3D</t>
  </si>
  <si>
    <t>https://www.proquest.com/docview/1822600675?accountid=131239&amp;bdid=51804&amp;_bd=gbRxnbxgHlLIjmoJSNTcqQh3y7s%3D</t>
  </si>
  <si>
    <t>https://www.proquest.com/docview/1822891071?accountid=131239&amp;bdid=51804&amp;_bd=lzzuk7dbRWexXt3SLj2d4av%2BE%2BE%3D</t>
  </si>
  <si>
    <t>https://www.proquest.com/docview/1822653862?accountid=131239&amp;bdid=51804&amp;_bd=aYmRXUH5XHUG24q%2B1goEcnE3gzM%3D</t>
  </si>
  <si>
    <t>https://www.proquest.com/docview/1822597319?accountid=131239&amp;bdid=51804&amp;_bd=bm9oj6beF4m0fX4kkX1JFaErt7A%3D</t>
  </si>
  <si>
    <t>https://www.proquest.com/docview/1837579462?accountid=131239&amp;bdid=51804&amp;_bd=ZO9L7ij5Iw%2FeFSCgAzt3r3GQzVQ%3D</t>
  </si>
  <si>
    <t>https://www.proquest.com/docview/1822670874?accountid=131239&amp;bdid=51804&amp;_bd=EiZM0IToJgl0R1Xqj4yLHcAr5%2FU%3D</t>
  </si>
  <si>
    <t>https://www.proquest.com/docview/1822673224?accountid=131239&amp;bdid=51804&amp;_bd=mfmzVsu8XwOK%2BhuTXMQwYK7%2FuaM%3D</t>
  </si>
  <si>
    <t>https://www.proquest.com/docview/1822671841?accountid=131239&amp;bdid=51804&amp;_bd=KwsjcX3H6bwmZoXrdz4uLq%2B7oOo%3D</t>
  </si>
  <si>
    <t>https://www.proquest.com/docview/1822672252?accountid=131239&amp;bdid=51804&amp;_bd=nFQdcpG2q0bEMaFV5Da05LsZQkk%3D</t>
  </si>
  <si>
    <t>William James: The Psychology of Possibility</t>
  </si>
  <si>
    <t>https://www.proquest.com/docview/1822891761?accountid=131239&amp;bdid=51804&amp;_bd=0w%2F4npUQ6Zd22QddxqaoNqhC7WA%3D</t>
  </si>
  <si>
    <t>McNamee, Sheila; Tilsen, Julie</t>
  </si>
  <si>
    <t>https://www.proquest.com/docview/1822891245?accountid=131239&amp;bdid=51804&amp;_bd=%2F6AtRB2%2Bz7Y%2B31ljexq5Jh6VsMc%3D</t>
  </si>
  <si>
    <t>https://www.proquest.com/docview/1822672642?accountid=131239&amp;bdid=51804&amp;_bd=jKLzw%2FaaJK%2F1TcWixQlojfZE1tc%3D</t>
  </si>
  <si>
    <t>Rubin, Judith A</t>
  </si>
  <si>
    <t>https://www.proquest.com/docview/1822671036?accountid=131239&amp;bdid=51804&amp;_bd=P2ukGanj6p21Cbl8V3VB884BoaU%3D</t>
  </si>
  <si>
    <t>Chatters, SeriaShia; Dames, Levette; Zalaquett, Carlos</t>
  </si>
  <si>
    <t>https://www.proquest.com/docview/1822670862?accountid=131239&amp;bdid=51804&amp;_bd=fE66BK6BrqfkFi0rOJDqPONL3jE%3D</t>
  </si>
  <si>
    <t>https://www.proquest.com/docview/1822603369?accountid=131239&amp;bdid=51804&amp;_bd=3zIYDrkgFy5CFtYD7y1L181%2F8pg%3D</t>
  </si>
  <si>
    <t>https://www.proquest.com/docview/1822671396?accountid=131239&amp;bdid=51804&amp;_bd=K1XCBY8epJxbt89yRPwfwZnvM7k%3D</t>
  </si>
  <si>
    <t>https://www.proquest.com/docview/1822673573?accountid=131239&amp;bdid=51804&amp;_bd=tVJDi%2BVFOt11lnUbIQfYrX26sXU%3D</t>
  </si>
  <si>
    <t>Arredondo, Patricia; Carlson, Jon</t>
  </si>
  <si>
    <t>https://www.proquest.com/docview/1822891050?accountid=131239&amp;bdid=51804&amp;_bd=sr06bYXMfpxS3aZgLvK2APGen6E%3D</t>
  </si>
  <si>
    <t>https://www.proquest.com/docview/1822670817?accountid=131239&amp;bdid=51804&amp;_bd=wJBLmWhZ%2Bmd%2BmEBKaGM%2FftL8yZg%3D</t>
  </si>
  <si>
    <t>Nadal, Kevin</t>
  </si>
  <si>
    <t>https://www.proquest.com/docview/1822891339?accountid=131239&amp;bdid=51804&amp;_bd=Moc%2FP3C77ZchXvkCSk%2FI3tARm3M%3D</t>
  </si>
  <si>
    <t>https://www.proquest.com/docview/1822482675?accountid=131239&amp;bdid=51804&amp;_bd=37%2BqmyxT%2FTAvDsVM4y0Y7Lbu8sA%3D</t>
  </si>
  <si>
    <t>https://www.proquest.com/docview/1822672554?accountid=131239&amp;bdid=51804&amp;_bd=sos6cCifirDVX6bO2wlIrYTm7So%3D</t>
  </si>
  <si>
    <t>Miller, Robbin; Livesay, Doris</t>
  </si>
  <si>
    <t>https://www.proquest.com/docview/1822670893?accountid=131239&amp;bdid=51804&amp;_bd=4Gr4tpMqGsAJSQn%2FQW24%2BKX%2B7dU%3D</t>
  </si>
  <si>
    <t>https://www.proquest.com/docview/1822673400?accountid=131239&amp;bdid=51804&amp;_bd=HB%2FdisUMzr76u%2BeN7ipyVNnZlI0%3D</t>
  </si>
  <si>
    <t>https://www.proquest.com/docview/1822673524?accountid=131239&amp;bdid=51804&amp;_bd=g3XCp3F7mK4jYeqcC5bjcxcexZk%3D</t>
  </si>
  <si>
    <t>https://www.proquest.com/docview/1822671587?accountid=131239&amp;bdid=51804&amp;_bd=tCuuu4ZcPJ03O%2FyJxCMFQ6CYgxY%3D</t>
  </si>
  <si>
    <t>https://www.proquest.com/docview/1822673485?accountid=131239&amp;bdid=51804&amp;_bd=u%2FaceIP9jkJcYrR17f7T%2BGnHzo0%3D</t>
  </si>
  <si>
    <t>https://www.proquest.com/docview/1822671584?accountid=131239&amp;bdid=51804&amp;_bd=U4jwBLznW2bFmSdRRGiUhZjIDyk%3D</t>
  </si>
  <si>
    <t>Barkus, Carolyn</t>
  </si>
  <si>
    <t>https://www.proquest.com/docview/1822891062?accountid=131239&amp;bdid=51804&amp;_bd=zypgM9voPLjYxykjgDxy5MSmy9U%3D</t>
  </si>
  <si>
    <t>McNamee, Sheila</t>
  </si>
  <si>
    <t>https://www.proquest.com/docview/1822891063?accountid=131239&amp;bdid=51804&amp;_bd=Um0SyMMTv4m5ecdECmHKFLgMvlU%3D</t>
  </si>
  <si>
    <t>Myers, Jane; Sweeney, Thomas</t>
  </si>
  <si>
    <t>https://www.proquest.com/docview/1822603591?accountid=131239&amp;bdid=51804&amp;_bd=%2B9MVo2a3PL4hrJr2NuZRJ32Chxk%3D</t>
  </si>
  <si>
    <t>Robbins, Rockey R</t>
  </si>
  <si>
    <t>https://www.proquest.com/docview/1822891061?accountid=131239&amp;bdid=51804&amp;_bd=O0GP25UXgzapb4koGM6s6AARGXw%3D</t>
  </si>
  <si>
    <t>https://www.proquest.com/docview/1823055089?accountid=131239&amp;bdid=51804&amp;_bd=bbllzyzCFOa481yKF3GGIzQUXec%3D</t>
  </si>
  <si>
    <t>https://www.proquest.com/docview/1822597320?accountid=131239&amp;bdid=51804&amp;_bd=e8Qdp3jNIztsrhcxU31%2BUgRuJMs%3D</t>
  </si>
  <si>
    <t>Mishlove, Jeffrey; Laberge, Stephen</t>
  </si>
  <si>
    <t>https://www.proquest.com/docview/1822891066?accountid=131239&amp;bdid=51804&amp;_bd=eshL8g8GOkOLJOqrioigpQ4XiQs%3D</t>
  </si>
  <si>
    <t>Tilsen, Julie; Miller, Scott D</t>
  </si>
  <si>
    <t>https://www.proquest.com/docview/1822891341?accountid=131239&amp;bdid=51804&amp;_bd=r4zabbVjnv1B6aB0FTgCccpmp70%3D</t>
  </si>
  <si>
    <t>https://www.proquest.com/docview/1837549400?accountid=131239&amp;bdid=51804&amp;_bd=5IxSuo7S0q5kAstj0KiHyg1B1Aw%3D</t>
  </si>
  <si>
    <t>Robbins, Rockey R; Hill, Jill S</t>
  </si>
  <si>
    <t>https://www.proquest.com/docview/1822891064?accountid=131239&amp;bdid=51804&amp;_bd=UL6Z6Ko7cZvyQ2aUrG4dWnGcXdI%3D</t>
  </si>
  <si>
    <t>https://www.proquest.com/docview/1837551046?accountid=131239&amp;bdid=51804&amp;_bd=xKOwxbK5Yd3vV91f8lsMk5yRJac%3D</t>
  </si>
  <si>
    <t>https://www.proquest.com/docview/1822891345?accountid=131239&amp;bdid=51804&amp;_bd=UOm8iWL8XWWRomhu9t1Rvj%2Ffyqo%3D</t>
  </si>
  <si>
    <t>https://www.proquest.com/docview/1837560316?accountid=131239&amp;bdid=51804&amp;_bd=Ne6fGxaSgeI%2FdrWqArx%2B8x3CtSE%3D</t>
  </si>
  <si>
    <t>https://www.proquest.com/docview/1822891068?accountid=131239&amp;bdid=51804&amp;_bd=1ORWSw2GJOoNMMQJxs11wmgbb3w%3D</t>
  </si>
  <si>
    <t>https://www.proquest.com/docview/1822673519?accountid=131239&amp;bdid=51804&amp;_bd=1xB6x8NZk9Gw6eE1VJvhTIa6gPQ%3D</t>
  </si>
  <si>
    <t>https://www.proquest.com/docview/1822673478?accountid=131239&amp;bdid=51804&amp;_bd=ab2xhigtOY%2BoP1qYvJA5%2FB7sW0A%3D</t>
  </si>
  <si>
    <t>https://www.proquest.com/docview/1822673356?accountid=131239&amp;bdid=51804&amp;_bd=%2BR4J6T%2BFsvjyaSetkleR920avdk%3D</t>
  </si>
  <si>
    <t>https://www.proquest.com/docview/1822915048?accountid=131239&amp;bdid=51804&amp;_bd=FGSLd6aBCXBowTyRyucFQ4neMIU%3D</t>
  </si>
  <si>
    <t>https://www.proquest.com/docview/1822497474?accountid=131239&amp;bdid=51804&amp;_bd=inbhbrYd1mA7Th0VOckX%2F0tvATY%3D</t>
  </si>
  <si>
    <t>https://www.proquest.com/docview/1822671455?accountid=131239&amp;bdid=51804&amp;_bd=VRiTdCr2ya%2B6sDjtOlFvTBuBxtE%3D</t>
  </si>
  <si>
    <t>Tilsen, Julie; Nylund, David</t>
  </si>
  <si>
    <t>https://www.proquest.com/docview/1823051689?accountid=131239&amp;bdid=51804&amp;_bd=21tUEP82qg%2BnvdNyuZNTGwovZ2A%3D</t>
  </si>
  <si>
    <t>https://www.proquest.com/docview/1822671055?accountid=131239&amp;bdid=51804&amp;_bd=%2FVAKg9JVd4tvedFgBxe6lMwcnAw%3D</t>
  </si>
  <si>
    <t>Thaxton, Steve</t>
  </si>
  <si>
    <t>https://www.proquest.com/docview/1822598166?accountid=131239&amp;bdid=51804&amp;_bd=VoVk1Xj3EJ2DexIgw1M1wSULzps%3D</t>
  </si>
  <si>
    <t>https://www.proquest.com/docview/1822890581?accountid=131239&amp;bdid=51804&amp;_bd=etmQFDs7pCqWxdNJw%2FIAM1P2Orw%3D</t>
  </si>
  <si>
    <t>Barrera, Lyra; Santos, Rob</t>
  </si>
  <si>
    <t>https://www.proquest.com/docview/1822890586?accountid=131239&amp;bdid=51804&amp;_bd=Cbuyk1IVkT80fHt27Bm7OmZLgFo%3D</t>
  </si>
  <si>
    <t>Mulcahy, Judith; Jenkins, Peter</t>
  </si>
  <si>
    <t>https://www.proquest.com/docview/1822890740?accountid=131239&amp;bdid=51804&amp;_bd=iHK07uwJbtvsnJDAYgA3PU%2BCI9U%3D</t>
  </si>
  <si>
    <t>https://www.proquest.com/docview/1822890982?accountid=131239&amp;bdid=51804&amp;_bd=fJHx47ymAcK8CsE0dXvkvrHtIqI%3D</t>
  </si>
  <si>
    <t>https://www.proquest.com/docview/1822890620?accountid=131239&amp;bdid=51804&amp;_bd=1TxYizowzcIENwkVO6vVRl4cvd4%3D</t>
  </si>
  <si>
    <t>Richardson, Kay</t>
  </si>
  <si>
    <t>https://www.proquest.com/docview/1822890584?accountid=131239&amp;bdid=51804&amp;_bd=dDpAYLMbB4K2HGE1z4Zf5DV3UoM%3D</t>
  </si>
  <si>
    <t>https://www.proquest.com/docview/1822890987?accountid=131239&amp;bdid=51804&amp;_bd=P%2FRzlOwitAQpMZZFGR%2F%2FdJGODxo%3D</t>
  </si>
  <si>
    <t>Szasz, Thomas</t>
  </si>
  <si>
    <t>https://www.proquest.com/docview/1823040999?accountid=131239&amp;bdid=51804&amp;_bd=6ZbVMKokKYKCrbxQ50sanqVMLBQ%3D</t>
  </si>
  <si>
    <t>Parham, Thomas A</t>
  </si>
  <si>
    <t>https://www.proquest.com/docview/1822890748?accountid=131239&amp;bdid=51804&amp;_bd=h3gbRWjwixYdSSmpZ%2FRN7hmMOw0%3D</t>
  </si>
  <si>
    <t>Beam, Brent</t>
  </si>
  <si>
    <t>https://www.proquest.com/docview/1822890749?accountid=131239&amp;bdid=51804&amp;_bd=%2BN5BIl5XQHeuw3z4PCBT2pgiwbQ%3D</t>
  </si>
  <si>
    <t>https://www.proquest.com/docview/1822890625?accountid=131239&amp;bdid=51804&amp;_bd=F4bOknmn%2FQtHCUiANHk936E%2BeFU%3D</t>
  </si>
  <si>
    <t>Miller, Robbin</t>
  </si>
  <si>
    <t>https://www.proquest.com/docview/1822890746?accountid=131239&amp;bdid=51804&amp;_bd=7GzODPhNf1H0z8FVjf8AqGLB0nc%3D</t>
  </si>
  <si>
    <t>Tsethlikai, Monica</t>
  </si>
  <si>
    <t>https://www.proquest.com/docview/1822890747?accountid=131239&amp;bdid=51804&amp;_bd=iuHBigBKCOfkfMczA1RZ7Rtae1g%3D</t>
  </si>
  <si>
    <t>The Dreams Within, Conflict Demonstration, in Evolution of Psychotherapy, 6</t>
  </si>
  <si>
    <t>Gottman, Julie; Gottman, John M</t>
  </si>
  <si>
    <t>https://www.proquest.com/docview/1822889983?accountid=131239&amp;bdid=51804&amp;_bd=XnxB6KDSXvVVJ%2BgrS3K630NAy4s%3D</t>
  </si>
  <si>
    <t>https://www.proquest.com/docview/1822655570?accountid=131239&amp;bdid=51804&amp;_bd=64MhC%2F7XETK8PgXi4%2FtHr8uUTEw%3D</t>
  </si>
  <si>
    <t>https://www.proquest.com/docview/1822890993?accountid=131239&amp;bdid=51804&amp;_bd=KQDoWYj0%2FHBgYsmMSeZS0nfsvP4%3D</t>
  </si>
  <si>
    <t>Bieschke, Kathleen J</t>
  </si>
  <si>
    <t>https://www.proquest.com/docview/1822890598?accountid=131239&amp;bdid=51804&amp;_bd=HKlrEhl7Ek3S3vHzcnt4MEpBVnA%3D</t>
  </si>
  <si>
    <t>https://www.proquest.com/docview/1822890994?accountid=131239&amp;bdid=51804&amp;_bd=7o0DtVquK3Lts%2Bc1kGobtVxS%2FNk%3D</t>
  </si>
  <si>
    <t>Leong, Frederick T L; Derald Wing Sue</t>
  </si>
  <si>
    <t>https://www.proquest.com/docview/1822890752?accountid=131239&amp;bdid=51804&amp;_bd=Q6yFz8c7%2FXFztKJ3aabLa5cCMQM%3D</t>
  </si>
  <si>
    <t>https://www.proquest.com/docview/1822890634?accountid=131239&amp;bdid=51804&amp;_bd=17eVqIvE%2F2mZdzqN4Za6uYW6QGI%3D</t>
  </si>
  <si>
    <t>https://www.proquest.com/docview/1822890997?accountid=131239&amp;bdid=51804&amp;_bd=Qg2J6l0ojHWLkq5nSLubivB%2FbnY%3D</t>
  </si>
  <si>
    <t>Rubin, Judith A; Irwin, Eleanor C</t>
  </si>
  <si>
    <t>https://www.proquest.com/docview/1822890756?accountid=131239&amp;bdid=51804&amp;_bd=wRoclgzOfkJdDTs0FLxyEhaVXdY%3D</t>
  </si>
  <si>
    <t>https://www.proquest.com/docview/1822890998?accountid=131239&amp;bdid=51804&amp;_bd=FMscURu4XPYaVQ1M6Ss0toxg1eU%3D</t>
  </si>
  <si>
    <t>https://www.proquest.com/docview/1822890635?accountid=131239&amp;bdid=51804&amp;_bd=vjmZINyiduKNI8Urs15G26AXr04%3D</t>
  </si>
  <si>
    <t>Holcomb-McCoy, Cheryl C</t>
  </si>
  <si>
    <t>https://www.proquest.com/docview/1822890754?accountid=131239&amp;bdid=51804&amp;_bd=PVcdpi2m2nL7QbmPcdtFvCPYYLM%3D</t>
  </si>
  <si>
    <t>Monk, Gerald</t>
  </si>
  <si>
    <t>https://www.proquest.com/docview/1822890759?accountid=131239&amp;bdid=51804&amp;_bd=0%2B21Jg0XDl1osLaMRW60QBuIoSE%3D</t>
  </si>
  <si>
    <t>Meichenbaum, Donald</t>
  </si>
  <si>
    <t>https://www.proquest.com/docview/1823044666?accountid=131239&amp;bdid=51804&amp;_bd=ZmhKwzadkRreLT8bReXhEhWThws%3D</t>
  </si>
  <si>
    <t>Dowie, Tra-ill; Rock, Adam</t>
  </si>
  <si>
    <t>https://www.proquest.com/docview/1822600693?accountid=131239&amp;bdid=51804&amp;_bd=fQtO3qMQ%2FVxJRLb%2Bwp%2BPwa8eEqY%3D</t>
  </si>
  <si>
    <t>On the Road Again: Riding the Therapeutic, in Evolution of Psychotherapy, 2</t>
  </si>
  <si>
    <t>Polster, Erving</t>
  </si>
  <si>
    <t>https://www.proquest.com/docview/1822889975?accountid=131239&amp;bdid=51804&amp;_bd=FnwnJBethkuZuOUDB2zxeJ67yYM%3D</t>
  </si>
  <si>
    <t>Foley, Pam</t>
  </si>
  <si>
    <t>https://www.proquest.com/docview/1822890565?accountid=131239&amp;bdid=51804&amp;_bd=VD1U2nUUDxI3bDKTz5GRhrb1jqM%3D</t>
  </si>
  <si>
    <t>https://www.proquest.com/docview/1822890722?accountid=131239&amp;bdid=51804&amp;_bd=hUFU3S62KEyN89Pv%2BfbLIE2mJZ0%3D</t>
  </si>
  <si>
    <t>Parham, Thomas A; Jean Lau Chin; LaFromboise, Teresa; Trimble, Joseph E; Vasquez, Melba J T</t>
  </si>
  <si>
    <t>https://www.proquest.com/docview/1822891017?accountid=131239&amp;bdid=51804&amp;_bd=J7kAYjPWskhhRkQikSELRFNjNEY%3D</t>
  </si>
  <si>
    <t>https://www.proquest.com/docview/1822890688?accountid=131239&amp;bdid=51804&amp;_bd=%2Ftq2cXlGhwB5KM9CTl0MtQmYzPA%3D</t>
  </si>
  <si>
    <t>https://www.proquest.com/docview/1822670859?accountid=131239&amp;bdid=51804&amp;_bd=E%2Bo1uOxQzbpMqPqrCVugM%2Bhk2Fk%3D</t>
  </si>
  <si>
    <t>Mobley, Michael</t>
  </si>
  <si>
    <t>https://www.proquest.com/docview/1822890726?accountid=131239&amp;bdid=51804&amp;_bd=xrT7AvYPyJWx%2BV8mDMMMuB2oYLw%3D</t>
  </si>
  <si>
    <t>https://www.proquest.com/docview/1822890969?accountid=131239&amp;bdid=51804&amp;_bd=i5I8ik%2BK9OHbT%2BKFsu9nmkbboMA%3D</t>
  </si>
  <si>
    <t>Romney, Patricia</t>
  </si>
  <si>
    <t>https://www.proquest.com/docview/1822890724?accountid=131239&amp;bdid=51804&amp;_bd=KazwLBOuQh711JCINGiSTqflQMw%3D</t>
  </si>
  <si>
    <t>Winslade, John</t>
  </si>
  <si>
    <t>https://www.proquest.com/docview/1822890609?accountid=131239&amp;bdid=51804&amp;_bd=PFVx1vae4LrdJWOmexNmzlQJBl8%3D</t>
  </si>
  <si>
    <t>https://www.proquest.com/docview/1822890729?accountid=131239&amp;bdid=51804&amp;_bd=V4Pk%2BDFbtI%2FNeE7VxmJH1zo1zLU%3D</t>
  </si>
  <si>
    <t>https://www.proquest.com/docview/1822489259?accountid=131239&amp;bdid=51804&amp;_bd=3B2iUy080J3esuWxkU83ROi6oUk%3D</t>
  </si>
  <si>
    <t>Connelly, Betty</t>
  </si>
  <si>
    <t>https://www.proquest.com/docview/1822603392?accountid=131239&amp;bdid=51804&amp;_bd=1MFX%2FHVuc9APpBPq%2BntoEvZ5%2Boo%3D</t>
  </si>
  <si>
    <t>Goldsmith, Dave</t>
  </si>
  <si>
    <t>https://www.proquest.com/docview/1822603391?accountid=131239&amp;bdid=51804&amp;_bd=B4JCOjndDQlrAMVgzURVhx6UbdQ%3D</t>
  </si>
  <si>
    <t>Hanson, Linda</t>
  </si>
  <si>
    <t>https://www.proquest.com/docview/1822603275?accountid=131239&amp;bdid=51804&amp;_bd=PicG%2B2jc%2BHrbINhO3NYDyBvoFCc%3D</t>
  </si>
  <si>
    <t>https://www.proquest.com/docview/1822891021?accountid=131239&amp;bdid=51804&amp;_bd=IFAXxU4HAclyBIIyn%2BHyiVPjgEs%3D</t>
  </si>
  <si>
    <t>Ivey, Allen E; Mary Bradford Ivey; Norma Gluckstern Packard; Zalaquett, Carlos</t>
  </si>
  <si>
    <t>https://www.proquest.com/docview/1822891024?accountid=131239&amp;bdid=51804&amp;_bd=Ra8nN%2BY6F%2FnUgwo3RQvqB9tiA3I%3D</t>
  </si>
  <si>
    <t>Mishlove, Jeffrey; Grof, Christina</t>
  </si>
  <si>
    <t>https://www.proquest.com/docview/1822890970?accountid=131239&amp;bdid=51804&amp;_bd=1bAfbfRieDWKvWOMCzDSiK951S8%3D</t>
  </si>
  <si>
    <t>Wills, Frank</t>
  </si>
  <si>
    <t>https://www.proquest.com/docview/1822890733?accountid=131239&amp;bdid=51804&amp;_bd=pa3giI9ade4m8P7vkfhmVoFNb%2B4%3D</t>
  </si>
  <si>
    <t>Dewey, Jane</t>
  </si>
  <si>
    <t>https://www.proquest.com/docview/1822890610?accountid=131239&amp;bdid=51804&amp;_bd=0MGuAG%2FyUNmMxFiQyFCbrKCFylY%3D</t>
  </si>
  <si>
    <t>Toporek, Rebecca L</t>
  </si>
  <si>
    <t>https://www.proquest.com/docview/1822890737?accountid=131239&amp;bdid=51804&amp;_bd=QEk%2F0ofrjudJwzCDT90tR%2BrUP1E%3D</t>
  </si>
  <si>
    <t>Contract, Causality, Congruence: A Brief But Effective Model for Couples, in Brief Therapy Lasting Impressions, 5</t>
  </si>
  <si>
    <t>Love, Pat</t>
  </si>
  <si>
    <t>https://www.proquest.com/docview/1823044687?accountid=131239&amp;bdid=51804&amp;_bd=4Q9BeaHCV%2BCQHipthQmC4bro5r0%3D</t>
  </si>
  <si>
    <t>https://www.proquest.com/docview/1822890977?accountid=131239&amp;bdid=51804&amp;_bd=3cK0%2FqxGsZ6Vg3UlHkR25sVPGNs%3D</t>
  </si>
  <si>
    <t>Dilts, Robert</t>
  </si>
  <si>
    <t>https://www.proquest.com/docview/1823044684?accountid=131239&amp;bdid=51804&amp;_bd=ZXyZwk%2BRm%2BtsGxvgCJxtHDnHWTk%3D</t>
  </si>
  <si>
    <t>https://www.proquest.com/docview/1822592913?accountid=131239&amp;bdid=51804&amp;_bd=xdVcqm95zbYvm0i%2BrUx%2FpXUOJrA%3D</t>
  </si>
  <si>
    <t>https://www.proquest.com/docview/1822673670?accountid=131239&amp;bdid=51804&amp;_bd=SVGJCCUG4rPwcvTeFHTSFizL8tw%3D</t>
  </si>
  <si>
    <t>https://www.proquest.com/docview/1822655485?accountid=131239&amp;bdid=51804&amp;_bd=YcV7PX8CPrue4F1LPVNr%2F1ky%2FAE%3D</t>
  </si>
  <si>
    <t>https://www.proquest.com/docview/1822602792?accountid=131239&amp;bdid=51804&amp;_bd=DqxMqfUO49hE0oiNIAOaEShA7Uw%3D</t>
  </si>
  <si>
    <t>https://www.proquest.com/docview/1823040954?accountid=131239&amp;bdid=51804&amp;_bd=QhnLdWvao3vnpOYxiXHgHclqUrs%3D</t>
  </si>
  <si>
    <t>https://www.proquest.com/docview/1822890661?accountid=131239&amp;bdid=51804&amp;_bd=HUK97YiEznXKcQJbXrvTuvcAUrQ%3D</t>
  </si>
  <si>
    <t>https://www.proquest.com/docview/1822890700?accountid=131239&amp;bdid=51804&amp;_bd=rcahHCtPQWc4sBGTOP%2F5fty8HmM%3D</t>
  </si>
  <si>
    <t>The Behavior Change Request Dialogue, in Evolution of Psychotherapy, 5</t>
  </si>
  <si>
    <t>Hendrix, Harville</t>
  </si>
  <si>
    <t>https://www.proquest.com/docview/1822890027?accountid=131239&amp;bdid=51804&amp;_bd=vxD%2B%2Fo2fsS1XO%2BWgdVWRLzm5Nfw%3D</t>
  </si>
  <si>
    <t>Greenwald, Anthony G</t>
  </si>
  <si>
    <t>https://www.proquest.com/docview/1822890665?accountid=131239&amp;bdid=51804&amp;_bd=SHJ%2BiAcsboWHtIvKG7%2FoRHq4WpU%3D</t>
  </si>
  <si>
    <t>Gone, Joseph</t>
  </si>
  <si>
    <t>https://www.proquest.com/docview/1822890704?accountid=131239&amp;bdid=51804&amp;_bd=5FrfL2S3qEj4IhDcfVzocvfL3Mc%3D</t>
  </si>
  <si>
    <t>A Journey From Psychology of Evil to Heroism, in Evolution of Psychotherapy, 7</t>
  </si>
  <si>
    <t>Zimbardo, Philip</t>
  </si>
  <si>
    <t>https://www.proquest.com/docview/1823041880?accountid=131239&amp;bdid=51804&amp;_bd=TtNLXbayjd18jmqRAIdXHQQkkl4%3D</t>
  </si>
  <si>
    <t>https://www.proquest.com/docview/1837543387?accountid=131239&amp;bdid=51804&amp;_bd=aO8IvVBij%2Bp%2BslnVqbQvofAIlgI%3D</t>
  </si>
  <si>
    <t>Hill, Richard</t>
  </si>
  <si>
    <t>https://www.proquest.com/docview/1822600763?accountid=131239&amp;bdid=51804&amp;_bd=GtP5xsO6zZsko9LmMoluy5XRrro%3D</t>
  </si>
  <si>
    <t>Zalaquett, Carlos</t>
  </si>
  <si>
    <t>https://www.proquest.com/docview/1822889945?accountid=131239&amp;bdid=51804&amp;_bd=PiqmScz%2F3SwvEbk6VuAtSKRIy4U%3D</t>
  </si>
  <si>
    <t>Parry, Peter</t>
  </si>
  <si>
    <t>https://www.proquest.com/docview/1822891002?accountid=131239&amp;bdid=51804&amp;_bd=P%2FKBm0bK6jSU6HWL7CI7YW8d7KQ%3D</t>
  </si>
  <si>
    <t>Warren, Anika K</t>
  </si>
  <si>
    <t>https://www.proquest.com/docview/1822890712?accountid=131239&amp;bdid=51804&amp;_bd=skVa9tVBS4Bgo0E68ttnrZNNL4I%3D</t>
  </si>
  <si>
    <t>https://www.proquest.com/docview/1822891007?accountid=131239&amp;bdid=51804&amp;_bd=fv5W%2Fg1zvWS0cShfgwlGSJDEHfo%3D</t>
  </si>
  <si>
    <t>Ryan Heavy Head; Blood, Narcisse</t>
  </si>
  <si>
    <t>https://www.proquest.com/docview/1822701089?accountid=131239&amp;bdid=51804&amp;_bd=%2Bqf4QXY%2FIhPaUb5CJsrA1WUY8sg%3D</t>
  </si>
  <si>
    <t>https://www.proquest.com/docview/1823041872?accountid=131239&amp;bdid=51804&amp;_bd=ldIbby27dJY%2FdDZ3tXntMmIp%2Bxw%3D</t>
  </si>
  <si>
    <t>Basic Influencing Skills, 4th Edition, in Basic Influencing Skills, 1</t>
  </si>
  <si>
    <t>Butler, S Kent; Norma Gluckstern Packard; Mary Bradford Ivey; Ivey, Allen E; Zalaquett, Carlos</t>
  </si>
  <si>
    <t>https://www.proquest.com/docview/1822889937?accountid=131239&amp;bdid=51804&amp;_bd=5difhVUoFu7zHZakJUEBB8Oq%2F0U%3D</t>
  </si>
  <si>
    <t>Ana Mari Cauce</t>
  </si>
  <si>
    <t>https://www.proquest.com/docview/1822890719?accountid=131239&amp;bdid=51804&amp;_bd=IBf0dcEwIibf0RJLvBPTxXn99mM%3D</t>
  </si>
  <si>
    <t>https://www.proquest.com/docview/1822825440?accountid=131239&amp;bdid=51804&amp;_bd=X%2Fvr9fYWu%2BRvtjorbpzZ0okIIak%3D</t>
  </si>
  <si>
    <t>Cook, Richard</t>
  </si>
  <si>
    <t>https://www.proquest.com/docview/1822603403?accountid=131239&amp;bdid=51804&amp;_bd=tZu%2FngpJsNA39a9sCIdim5hywUo%3D</t>
  </si>
  <si>
    <t>Bemak, Fred; Chung, Rita Chi-Ying; Ivey, Allen E</t>
  </si>
  <si>
    <t>https://www.proquest.com/docview/1823052087?accountid=131239&amp;bdid=51804&amp;_bd=7NYPy3ETME4rnxnzn1ivz12PBTI%3D</t>
  </si>
  <si>
    <t>https://www.proquest.com/docview/1822483762?accountid=131239&amp;bdid=51804&amp;_bd=YbJ2cWVqVZZWJeqWpcm8jqrV27g%3D</t>
  </si>
  <si>
    <t>Ancis, Julie R</t>
  </si>
  <si>
    <t>https://www.proquest.com/docview/1822890642?accountid=131239&amp;bdid=51804&amp;_bd=WttDiGiK%2FMt%2FkoNX%2BXzgbp7ZLBk%3D</t>
  </si>
  <si>
    <t>https://www.proquest.com/docview/1822890760?accountid=131239&amp;bdid=51804&amp;_bd=ApgvwHFIUtjFKbFhgBpSDfg1%2BRs%3D</t>
  </si>
  <si>
    <t>https://www.proquest.com/docview/1822670939?accountid=131239&amp;bdid=51804&amp;_bd=UEnngoAeVtvXwsxetiRzaVMkudE%3D</t>
  </si>
  <si>
    <t>A Constructive Narrative Approach to Cognitive Behavior Therapy, in Brief Therapy Lasting Impressions, 4</t>
  </si>
  <si>
    <t>https://www.proquest.com/docview/1823040973?accountid=131239&amp;bdid=51804&amp;_bd=VU9Q93a8smm2r6JvqnnHzdra4oM%3D</t>
  </si>
  <si>
    <t>Chopra, Deepak</t>
  </si>
  <si>
    <t>https://www.proquest.com/docview/1822890002?accountid=131239&amp;bdid=51804&amp;_bd=ajDjENCz32hNHok2LSnpBb5CSNg%3D</t>
  </si>
  <si>
    <t>Beaulieu, Danie</t>
  </si>
  <si>
    <t>https://www.proquest.com/docview/1822890007?accountid=131239&amp;bdid=51804&amp;_bd=yFdJJbPXR14pcLtoin%2FWhqChKxA%3D</t>
  </si>
  <si>
    <t>https://www.proquest.com/docview/1822890644?accountid=131239&amp;bdid=51804&amp;_bd=dlrdlCd98DiVNzdPWaRKmfhcsHc%3D</t>
  </si>
  <si>
    <t>https://www.proquest.com/docview/1822670896?accountid=131239&amp;bdid=51804&amp;_bd=A9NHM2wL%2BmwbNg7hXyiYKxtD7MU%3D</t>
  </si>
  <si>
    <t>Carlson, Jon</t>
  </si>
  <si>
    <t>https://www.proquest.com/docview/1823041142?accountid=131239&amp;bdid=51804&amp;_bd=LdHu3H7ewf89F0yC4pkDyeQK6xg%3D</t>
  </si>
  <si>
    <t>https://www.proquest.com/docview/1823044372?accountid=131239&amp;bdid=51804&amp;_bd=pATZqdPiOhXccmQ11LzF3DD5zAY%3D</t>
  </si>
  <si>
    <t>Andreas, Steve</t>
  </si>
  <si>
    <t>https://www.proquest.com/docview/1823044493?accountid=131239&amp;bdid=51804&amp;_bd=6xZfdS4VyfWW%2B01WOqawS3xamLA%3D</t>
  </si>
  <si>
    <t>Strategic Therapy With a Couple, in Evolution of Psychotherapy, 4</t>
  </si>
  <si>
    <t>Madanes, Cloe</t>
  </si>
  <si>
    <t>https://www.proquest.com/docview/1822889963?accountid=131239&amp;bdid=51804&amp;_bd=Pe5pkhv01rwIteZKGnw7XD8QSm8%3D</t>
  </si>
  <si>
    <t>Po, Jeffrey</t>
  </si>
  <si>
    <t>https://www.proquest.com/docview/1822600623?accountid=131239&amp;bdid=51804&amp;_bd=Sgysco7lufaQDctS2%2BsbzsV7Q70%3D</t>
  </si>
  <si>
    <t>Mindsight and Integration in the Cultivation of Well-Being, in Evolution of Psychotherapy, 1</t>
  </si>
  <si>
    <t>Siegel, Daniel J</t>
  </si>
  <si>
    <t>https://www.proquest.com/docview/1822889966?accountid=131239&amp;bdid=51804&amp;_bd=2jtLdRJOWes%2BATjquGeJfVPwciM%3D</t>
  </si>
  <si>
    <t>O'Hanlon, Bill</t>
  </si>
  <si>
    <t>https://www.proquest.com/docview/1823055083?accountid=131239&amp;bdid=51804&amp;_bd=6qUyBAwaZEjQzi4gSlDaYpZLJ0E%3D</t>
  </si>
  <si>
    <t>Facilitating The Creative Psychosocial Genomic Healing Experience in Brief Psychotherapy, in Brief Therapy Lasting Impressions, 6</t>
  </si>
  <si>
    <t>https://www.proquest.com/docview/1823041017?accountid=131239&amp;bdid=51804&amp;_bd=Dn7i7OQiMOrsf4Cp4zoKUrf5nhY%3D</t>
  </si>
  <si>
    <t>https://www.proquest.com/docview/1823052095?accountid=131239&amp;bdid=51804&amp;_bd=ie2SlSjWEw5t4fyWwzYNYHkBmi4%3D</t>
  </si>
  <si>
    <t>Johnson, Susan</t>
  </si>
  <si>
    <t>https://www.proquest.com/docview/1823044401?accountid=131239&amp;bdid=51804&amp;_bd=IWVHzXNiNhAPSQY8t%2Fa3XZdlzwo%3D</t>
  </si>
  <si>
    <t>Moir-Bussy, Ann</t>
  </si>
  <si>
    <t>https://www.proquest.com/docview/1822600635?accountid=131239&amp;bdid=51804&amp;_bd=lIi6wkbW10fTcygq3pMbgY6O27c%3D</t>
  </si>
  <si>
    <t>https://www.proquest.com/docview/1883718953?accountid=131239&amp;bdid=51804&amp;_bd=kXhKDicuwVZwYX2dlGL3ePC%2BkWE%3D</t>
  </si>
  <si>
    <t>Mary Bradford Ivey</t>
  </si>
  <si>
    <t>https://www.proquest.com/docview/1822603587?accountid=131239&amp;bdid=51804&amp;_bd=50vKACltgSCqiu96yMu83fsAKYk%3D</t>
  </si>
  <si>
    <t>Reflections on Family Therapy, in Evolution of Psychotherapy, 3</t>
  </si>
  <si>
    <t>Minuchin, Salvador</t>
  </si>
  <si>
    <t>https://www.proquest.com/docview/1822889956?accountid=131239&amp;bdid=51804&amp;_bd=eMgHavlv5fIWg%2FF5ENpfAsJIRio%3D</t>
  </si>
  <si>
    <t>Zagelbaum, Adam</t>
  </si>
  <si>
    <t>https://www.proquest.com/docview/1822890182?accountid=131239&amp;bdid=51804&amp;_bd=%2BgrI5b896cBfS6iLutQZqxssWBc%3D</t>
  </si>
  <si>
    <t>Gilligan, Stephen</t>
  </si>
  <si>
    <t>https://www.proquest.com/docview/1823040918?accountid=131239&amp;bdid=51804&amp;_bd=csSYWadVE8VB5CsoAv9Di2kfPK8%3D</t>
  </si>
  <si>
    <t>https://www.proquest.com/docview/1837596688?accountid=131239&amp;bdid=51804&amp;_bd=ZDJzhGniVkt9rQOOgNHMjUJ3QDA%3D</t>
  </si>
  <si>
    <t>https://www.proquest.com/docview/1822890623?accountid=131239&amp;bdid=51804&amp;_bd=iL7Dx9QbCmi9t9GSwkz420vsX7Y%3D</t>
  </si>
  <si>
    <t>Trimble, Joseph E</t>
  </si>
  <si>
    <t>https://www.proquest.com/docview/1822890745?accountid=131239&amp;bdid=51804&amp;_bd=yjvC4usyN4u6If7PX3bxnNk9%2BJ8%3D</t>
  </si>
  <si>
    <t>Comas-Diaz, Lillian</t>
  </si>
  <si>
    <t>https://www.proquest.com/docview/1822890104?accountid=131239&amp;bdid=51804&amp;_bd=6rpqNAq5pV86409JfvvuCewx8aY%3D</t>
  </si>
  <si>
    <t>Hillman, James</t>
  </si>
  <si>
    <t>https://www.proquest.com/docview/1823044797?accountid=131239&amp;bdid=51804&amp;_bd=5XfEfM%2F1NbtoQ51AoaPi5oyJeG8%3D</t>
  </si>
  <si>
    <t>https://www.proquest.com/docview/1822891319?accountid=131239&amp;bdid=51804&amp;_bd=nMzHLdLL5F1FTBmW4zAaEVaRxso%3D</t>
  </si>
  <si>
    <t>Otrupcek, Robina</t>
  </si>
  <si>
    <t>https://www.proquest.com/docview/1822890626?accountid=131239&amp;bdid=51804&amp;_bd=wEvvhfzi%2BwqzwVcNJFfK6GkyJRA%3D</t>
  </si>
  <si>
    <t>Corey, Gerald</t>
  </si>
  <si>
    <t>https://www.proquest.com/docview/1822890629?accountid=131239&amp;bdid=51804&amp;_bd=9d0MuZRXxB%2FBc%2BuqE2mGBirNDvU%3D</t>
  </si>
  <si>
    <t>Linehan, Marsha M</t>
  </si>
  <si>
    <t>https://www.proquest.com/docview/1823051656?accountid=131239&amp;bdid=51804&amp;_bd=8TtwfsfbfK%2BbjAUS20PfciZeEtM%3D</t>
  </si>
  <si>
    <t>https://www.proquest.com/docview/1822840236?accountid=131239&amp;bdid=51804&amp;_bd=VZCu6CnUi7wv6VxyBzdwbQzXma8%3D</t>
  </si>
  <si>
    <t>https://www.proquest.com/docview/1822674594?accountid=131239&amp;bdid=51804&amp;_bd=WOzURE1mHl2fGrzPLE40RfVtLGs%3D</t>
  </si>
  <si>
    <t>Krumboltz, John D</t>
  </si>
  <si>
    <t>https://www.proquest.com/docview/1822890198?accountid=131239&amp;bdid=51804&amp;_bd=pvo2oK9omPf8KF%2FW7Dx9lnllroU%3D</t>
  </si>
  <si>
    <t>Chung, Rita Chi-Ying</t>
  </si>
  <si>
    <t>https://www.proquest.com/docview/1822890630?accountid=131239&amp;bdid=51804&amp;_bd=nMVI5mW%2BicqoB67MtoSVN%2Bhzb98%3D</t>
  </si>
  <si>
    <t>Wills, Frank; Simmons, Mike</t>
  </si>
  <si>
    <t>https://www.proquest.com/docview/1822890751?accountid=131239&amp;bdid=51804&amp;_bd=sr1g3H7YuEnp6ZuqOm3k0VkPrho%3D</t>
  </si>
  <si>
    <t>Chen-Hayes, Stuart</t>
  </si>
  <si>
    <t>https://www.proquest.com/docview/1822890597?accountid=131239&amp;bdid=51804&amp;_bd=ChXePUe8QDl0F%2FuIOkfVEKYSf%2Bk%3D</t>
  </si>
  <si>
    <t>Kirksey, Kellie</t>
  </si>
  <si>
    <t>https://www.proquest.com/docview/1822890596?accountid=131239&amp;bdid=51804&amp;_bd=8hbiHFmBv9ZvBC0CbrFNoTyYH6Q%3D</t>
  </si>
  <si>
    <t>Delgado-Romero, Edward A</t>
  </si>
  <si>
    <t>https://www.proquest.com/docview/1822890755?accountid=131239&amp;bdid=51804&amp;_bd=hO4FYWi3urY4Qu7IpdDK%2FqDIRro%3D</t>
  </si>
  <si>
    <t>Pope-Davis, Donald B; Stone, Gerald; Derald Wing Sue; VÃ¡zquez, Luis A</t>
  </si>
  <si>
    <t>https://www.proquest.com/docview/1822890599?accountid=131239&amp;bdid=51804&amp;_bd=JueliYPR262%2BtGY6o6fwwYSmGss%3D</t>
  </si>
  <si>
    <t>https://www.proquest.com/docview/1834844578?accountid=131239&amp;bdid=51804&amp;_bd=ZtHNLKLbmHQKCB8hjuV494Frbls%3D</t>
  </si>
  <si>
    <t>Hamann, Edward</t>
  </si>
  <si>
    <t>https://www.proquest.com/docview/1822890633?accountid=131239&amp;bdid=51804&amp;_bd=gutnNbz8NEWGOPQiU1cRTGT6L9E%3D</t>
  </si>
  <si>
    <t>https://www.proquest.com/docview/1822489559?accountid=131239&amp;bdid=51804&amp;_bd=rpzHzZQUqytkwSIOuliNdQrZR5s%3D</t>
  </si>
  <si>
    <t>https://www.proquest.com/docview/1822672722?accountid=131239&amp;bdid=51804&amp;_bd=3XAOxN0aGN45I%2FZ5FAVSWGhQXak%3D</t>
  </si>
  <si>
    <t>Parham, Thomas A; Derald Wing Sue; Nancy Boyd Franklin; Morales, Eduardo</t>
  </si>
  <si>
    <t>https://www.proquest.com/docview/1822890636?accountid=131239&amp;bdid=51804&amp;_bd=z6dSugwxbn6Ic1Icot7jF4TSlB4%3D</t>
  </si>
  <si>
    <t>https://www.proquest.com/docview/1822673257?accountid=131239&amp;bdid=51804&amp;_bd=Y0sAtPn557W1RCzCYTZOb%2F92Zac%3D</t>
  </si>
  <si>
    <t>https://www.proquest.com/docview/1822674740?accountid=131239&amp;bdid=51804&amp;_bd=JOwmj299tG1wkEEhWFWYxZ4RNtU%3D</t>
  </si>
  <si>
    <t>https://www.proquest.com/docview/1822455135?accountid=131239&amp;bdid=51804&amp;_bd=wC%2B%2FFfnLVPiqbqC46TmRukel7K8%3D</t>
  </si>
  <si>
    <t>https://www.proquest.com/docview/1822840220?accountid=131239&amp;bdid=51804&amp;_bd=DhgUtkxuH%2FdMfIBpNhpI4SW8KtY%3D</t>
  </si>
  <si>
    <t>https://www.proquest.com/docview/1823040939?accountid=131239&amp;bdid=51804&amp;_bd=%2FZfU4WlG2GrCNL0gbe%2BCJvki%2B4Y%3D</t>
  </si>
  <si>
    <t>Increasing Impact in Experential Psychotherapy, in Brief Therapy Lasting Impressions, 1</t>
  </si>
  <si>
    <t>Zeig, Jeffrey K</t>
  </si>
  <si>
    <t>https://www.proquest.com/docview/1822890043?accountid=131239&amp;bdid=51804&amp;_bd=ty12nAcon659iV3ACxTBM1OoEP0%3D</t>
  </si>
  <si>
    <t>Horton-Parker, Radha J; Fawcett, R Charles</t>
  </si>
  <si>
    <t>https://www.proquest.com/docview/1822890682?accountid=131239&amp;bdid=51804&amp;_bd=tAjVMXnOZbapSYWw4OOsx8ywb7s%3D</t>
  </si>
  <si>
    <t>Smith, Laura S</t>
  </si>
  <si>
    <t>https://www.proquest.com/docview/1822890561?accountid=131239&amp;bdid=51804&amp;_bd=Ge9bzQ%2FKISHMureXCL6skgWcagc%3D</t>
  </si>
  <si>
    <t>Ivey, Allen E; Atri, Alizreza</t>
  </si>
  <si>
    <t>https://www.proquest.com/docview/1822890168?accountid=131239&amp;bdid=51804&amp;_bd=XIof6C4XtTZpeSBDYZpAXj4K1oo%3D</t>
  </si>
  <si>
    <t>Simmons, Mike</t>
  </si>
  <si>
    <t>https://www.proquest.com/docview/1822890564?accountid=131239&amp;bdid=51804&amp;_bd=BBhoyZl4%2BMROI0GOludqK0F4qzo%3D</t>
  </si>
  <si>
    <t>https://www.proquest.com/docview/1822890569?accountid=131239&amp;bdid=51804&amp;_bd=YYL3HjkKTPCb%2F7WWPUaM%2FDzkADw%3D</t>
  </si>
  <si>
    <t>Emotionally Focused Couples Therapy, in Evolution of Psychotherapy, 8</t>
  </si>
  <si>
    <t>https://www.proquest.com/docview/1823044617?accountid=131239&amp;bdid=51804&amp;_bd=rmshTkMoY%2FYawQME8WfdiE9uC%2F4%3D</t>
  </si>
  <si>
    <t>Basic Therapeutic Skills, in Conversational Model of Psychotherapy, 1</t>
  </si>
  <si>
    <t>Hobson, Robert; Margison, Frank</t>
  </si>
  <si>
    <t>https://www.proquest.com/docview/1822890049?accountid=131239&amp;bdid=51804&amp;_bd=eQQ9%2BOH2J1FivOQ9fwmVZAIwt%2BA%3D</t>
  </si>
  <si>
    <t>Cross, William E</t>
  </si>
  <si>
    <t>https://www.proquest.com/docview/1822890721?accountid=131239&amp;bdid=51804&amp;_bd=R2vm6sQT0vfp%2FjgVfT6x3hADfno%3D</t>
  </si>
  <si>
    <t>https://www.proquest.com/docview/1930925359?accountid=131239&amp;bdid=51804&amp;_bd=qnO68vWMWBSlkVEHiqiSVpJU47Y%3D</t>
  </si>
  <si>
    <t>Adler, Janet</t>
  </si>
  <si>
    <t>https://www.proquest.com/docview/1822890605?accountid=131239&amp;bdid=51804&amp;_bd=2e0IzMjP%2FB%2Fx6UO2LOYysHitTrs%3D</t>
  </si>
  <si>
    <t>https://www.proquest.com/docview/1822890604?accountid=131239&amp;bdid=51804&amp;_bd=sUAHYzNx%2B2OeGwIYTKNLbBag1hs%3D</t>
  </si>
  <si>
    <t>https://www.proquest.com/docview/1822840338?accountid=131239&amp;bdid=51804&amp;_bd=5gYu%2BCG8XgCj810reTgK5ACuTwo%3D</t>
  </si>
  <si>
    <t>https://www.proquest.com/docview/1822890608?accountid=131239&amp;bdid=51804&amp;_bd=nUWCMOdHEwmaIUGkKYELgcW04Q0%3D</t>
  </si>
  <si>
    <t>https://www.proquest.com/docview/1823044691?accountid=131239&amp;bdid=51804&amp;_bd=Vfjk1sWPR3M6ieTGzH%2BYuGU51GU%3D</t>
  </si>
  <si>
    <t>https://www.proquest.com/docview/1822840335?accountid=131239&amp;bdid=51804&amp;_bd=WdJOr9ZYZoMfGsBbxpiAH5ePV%2BA%3D</t>
  </si>
  <si>
    <t>Goldberg, David</t>
  </si>
  <si>
    <t>https://www.proquest.com/docview/1822889920?accountid=131239&amp;bdid=51804&amp;_bd=4FK17sOtCWMBIvg0fVnoWuzqVh4%3D</t>
  </si>
  <si>
    <t>https://www.proquest.com/docview/1822840179?accountid=131239&amp;bdid=51804&amp;_bd=sh7flmXVg6csLB2V3qkWtR%2FNUzw%3D</t>
  </si>
  <si>
    <t>https://www.proquest.com/docview/1822840331?accountid=131239&amp;bdid=51804&amp;_bd=JbARIrMtusvLKR61wlZ2190UGGA%3D</t>
  </si>
  <si>
    <t>https://www.proquest.com/docview/1933515366?accountid=131239&amp;bdid=51804&amp;_bd=v6l5tCFhLV6vf12WYknw79XrmH4%3D</t>
  </si>
  <si>
    <t>https://www.proquest.com/docview/1822890170?accountid=131239&amp;bdid=51804&amp;_bd=Up4n9Cc0I1qUXKHl6rkThvsrc00%3D</t>
  </si>
  <si>
    <t>Norma Gluckstern Packard</t>
  </si>
  <si>
    <t>https://www.proquest.com/docview/1822890690?accountid=131239&amp;bdid=51804&amp;_bd=S50tJJlT2R%2FD5UepfhsNw0ZZyVw%3D</t>
  </si>
  <si>
    <t>Williams, Mike</t>
  </si>
  <si>
    <t>https://www.proquest.com/docview/1822890696?accountid=131239&amp;bdid=51804&amp;_bd=7dCDDBSfgHzE%2FXudwNpgIhZU%2BZM%3D</t>
  </si>
  <si>
    <t>Buki, Lydia P</t>
  </si>
  <si>
    <t>https://www.proquest.com/docview/1822890575?accountid=131239&amp;bdid=51804&amp;_bd=sxHQTQSFD6D5ah8%2BgiVltWNjmnw%3D</t>
  </si>
  <si>
    <t>Bauman, Sheri; Steen, Sam</t>
  </si>
  <si>
    <t>https://www.proquest.com/docview/1822890576?accountid=131239&amp;bdid=51804&amp;_bd=g%2BKHbjuzi55HGmH1T4hQ74HHFBY%3D</t>
  </si>
  <si>
    <t>https://www.proquest.com/docview/1834844596?accountid=131239&amp;bdid=51804&amp;_bd=5V64W4W%2FqAH436CKEIU6LrAGlhk%3D</t>
  </si>
  <si>
    <t>https://www.proquest.com/docview/1822816005?accountid=131239&amp;bdid=51804&amp;_bd=9MSBoy%2BX8180U8S9ftWIRXaDbnQ%3D</t>
  </si>
  <si>
    <t>https://www.proquest.com/docview/1822890057?accountid=131239&amp;bdid=51804&amp;_bd=LpWQN86TdHTJfQX7WGZdF%2FXd1po%3D</t>
  </si>
  <si>
    <t>The Emotional Brain: An Introduction to Affective Neuroscience, in Neuroscience, 1</t>
  </si>
  <si>
    <t>Kuntson, Brian</t>
  </si>
  <si>
    <t>https://www.proquest.com/docview/1822890577?accountid=131239&amp;bdid=51804&amp;_bd=3JKK8eda%2B%2Bv4Epw9jdqR7vPBKBU%3D</t>
  </si>
  <si>
    <t>https://www.proquest.com/docview/1834844599?accountid=131239&amp;bdid=51804&amp;_bd=vd16WTWNVyVRxuvPhmxB8M0llRQ%3D</t>
  </si>
  <si>
    <t>https://www.proquest.com/docview/2166671518?accountid=131239&amp;bdid=51804&amp;_bd=i4xH6TigPK9CVLQXV8tpxhCLaeM%3D</t>
  </si>
  <si>
    <t>Sellers, Robert; Yip, Tiffany; Cross, William E; Quintana, Stephen M</t>
  </si>
  <si>
    <t>https://www.proquest.com/docview/1822890611?accountid=131239&amp;bdid=51804&amp;_bd=%2BkraFUQRTXzKvGR5TCUms3is7g4%3D</t>
  </si>
  <si>
    <t>https://www.proquest.com/docview/1822673437?accountid=131239&amp;bdid=51804&amp;_bd=L%2BlTPbmtFRuZVPpjuKX1pEx%2FImM%3D</t>
  </si>
  <si>
    <t>Kohn-Wood, Laura; Jackson, James; Mulvaney-Day, Norah; Takeuchi, David T</t>
  </si>
  <si>
    <t>https://www.proquest.com/docview/1822890614?accountid=131239&amp;bdid=51804&amp;_bd=pl9jioGD5M%2FngB0SchDdyQIt%2Fkk%3D</t>
  </si>
  <si>
    <t>Janice DeLucia Waack</t>
  </si>
  <si>
    <t>https://www.proquest.com/docview/1822890615?accountid=131239&amp;bdid=51804&amp;_bd=eRiaXKe%2FdHfOuGLHFFkGipu7ckM%3D</t>
  </si>
  <si>
    <t>https://www.proquest.com/docview/1822889918?accountid=131239&amp;bdid=51804&amp;_bd=t6f0c8CL8YpNyzx%2BMlrbeTfWuMY%3D</t>
  </si>
  <si>
    <t>Y. Barra Chung</t>
  </si>
  <si>
    <t>https://www.proquest.com/docview/1822890739?accountid=131239&amp;bdid=51804&amp;_bd=%2FYxvgYQO0cnHblP%2F%2BEDi7yRNRRg%3D</t>
  </si>
  <si>
    <t>Suzuki, Lisa A</t>
  </si>
  <si>
    <t>https://www.proquest.com/docview/1822890618?accountid=131239&amp;bdid=51804&amp;_bd=pRMHWtkldM%2BUfj56fXv1s1rIo3g%3D</t>
  </si>
  <si>
    <t>https://www.proquest.com/docview/1822828212?accountid=131239&amp;bdid=51804&amp;_bd=8OZ5w8o2ljS%2FCYSyAayMaITXgDA%3D</t>
  </si>
  <si>
    <t>https://www.proquest.com/docview/1822840203?accountid=131239&amp;bdid=51804&amp;_bd=Cxb950bs%2B1ymL8%2FMPKYTfI7MtdY%3D</t>
  </si>
  <si>
    <t>Stage One of EFT for Couples, in Brief Therapy Lasting Impressions, 2</t>
  </si>
  <si>
    <t>https://www.proquest.com/docview/1822889912?accountid=131239&amp;bdid=51804&amp;_bd=GkgLlOYjPAQZMZBkCArFu0JrmPI%3D</t>
  </si>
  <si>
    <t>https://www.proquest.com/docview/1822489247?accountid=131239&amp;bdid=51804&amp;_bd=tMbNu%2BawTMEP3%2BVEXL933lDvhnY%3D</t>
  </si>
  <si>
    <t>Essentials of Experiential Therapy, in Evolution of Psychotherapy, 9</t>
  </si>
  <si>
    <t>https://www.proquest.com/docview/1823041889?accountid=131239&amp;bdid=51804&amp;_bd=2WUWaku%2F3N715vqlFPXcgWrcW8M%3D</t>
  </si>
  <si>
    <t>Dixon, Jason</t>
  </si>
  <si>
    <t>https://www.proquest.com/docview/1822890703?accountid=131239&amp;bdid=51804&amp;_bd=mC1cGoiD8ukSvNjuV7ngNZFn%2FQc%3D</t>
  </si>
  <si>
    <t>Morgan, Judith</t>
  </si>
  <si>
    <t>https://www.proquest.com/docview/1822890708?accountid=131239&amp;bdid=51804&amp;_bd=ZevTgD6IMOokvzXylSu2GFCMSDc%3D</t>
  </si>
  <si>
    <t>https://www.proquest.com/docview/1822840317?accountid=131239&amp;bdid=51804&amp;_bd=SlD6CEjH0ojLJXYMgw6eUgm%2BSY0%3D</t>
  </si>
  <si>
    <t>https://www.proquest.com/docview/1822807100?accountid=131239&amp;bdid=51804&amp;_bd=v5GJj7QCcjDooK0vvl1FFk0hQwM%3D</t>
  </si>
  <si>
    <t>https://www.proquest.com/docview/1823040948?accountid=131239&amp;bdid=51804&amp;_bd=7IX4uWxMnxcS%2FNGwTlmxM56jGMk%3D</t>
  </si>
  <si>
    <t>https://www.proquest.com/docview/1837550016?accountid=131239&amp;bdid=51804&amp;_bd=M6w983aGRIe8E%2FSbV%2BRYteWh8gQ%3D</t>
  </si>
  <si>
    <t>https://www.proquest.com/docview/1822807108?accountid=131239&amp;bdid=51804&amp;_bd=qnvLBhu0kak%2BHeo23bemyn4TMLY%3D</t>
  </si>
  <si>
    <t>https://www.proquest.com/docview/1822806657?accountid=131239&amp;bdid=51804&amp;_bd=YawhTA0h3Gm69y8mAPbD%2BJ8fVz4%3D</t>
  </si>
  <si>
    <t>Ferguson, Claire</t>
  </si>
  <si>
    <t>https://www.proquest.com/docview/1822890679?accountid=131239&amp;bdid=51804&amp;_bd=re%2BFQK5NA7%2FVIJCv4n60BzyXZ60%3D</t>
  </si>
  <si>
    <t>https://www.proquest.com/docview/1822890677?accountid=131239&amp;bdid=51804&amp;_bd=aKwA510IzKn48rvlKAZe6u%2Ffhp4%3D</t>
  </si>
  <si>
    <t>Wilson, Reid</t>
  </si>
  <si>
    <t>https://www.proquest.com/docview/1822889939?accountid=131239&amp;bdid=51804&amp;_bd=dQlETYsb8NJ663DR6tXYwzyjqlA%3D</t>
  </si>
  <si>
    <t>https://www.proquest.com/docview/1822455296?accountid=131239&amp;bdid=51804&amp;_bd=4Z58lnqw2e7TWczUneDGUNoq97A%3D</t>
  </si>
  <si>
    <t>Beck, Judith S; Beck, Aaron T</t>
  </si>
  <si>
    <t>https://www.proquest.com/docview/1823051988?accountid=131239&amp;bdid=51804&amp;_bd=U4%2FszgDrZ2jUztBgg93UV8JstcI%3D</t>
  </si>
  <si>
    <t>https://www.proquest.com/docview/1837566273?accountid=131239&amp;bdid=51804&amp;_bd=o1KiEaJDTZEOJVlAgt83Eackz3A%3D</t>
  </si>
  <si>
    <t>https://www.proquest.com/docview/1822489340?accountid=131239&amp;bdid=51804&amp;_bd=IwvTY7Qotpa4eexNXYxvgoxzKTE%3D</t>
  </si>
  <si>
    <t>https://www.proquest.com/docview/1822816553?accountid=131239&amp;bdid=51804&amp;_bd=V1TgMOzd5HFem9A7h20hwtlLlDI%3D</t>
  </si>
  <si>
    <t>https://www.proquest.com/docview/1834840120?accountid=131239&amp;bdid=51804&amp;_bd=sD%2BG%2BPzo91bPBKosMvmYnAIaffw%3D</t>
  </si>
  <si>
    <t>https://www.proquest.com/docview/2551285667?accountid=131239&amp;bdid=51804&amp;_bd=g%2Bv%2BKcEjy9%2BrtOSE2sO3hL0oYZ0%3D</t>
  </si>
  <si>
    <t>https://www.proquest.com/docview/1822455408?accountid=131239&amp;bdid=51804&amp;_bd=Luq8SpR1cqdG3Q2pda7eTG8KiaE%3D</t>
  </si>
  <si>
    <t>Maguire, Peter</t>
  </si>
  <si>
    <t>https://www.proquest.com/docview/1822889964?accountid=131239&amp;bdid=51804&amp;_bd=zPNKz%2B6wO3uq9RfDMT%2BLcJJFUL0%3D</t>
  </si>
  <si>
    <t>https://www.proquest.com/docview/1892133052?accountid=131239&amp;bdid=51804&amp;_bd=0crb2b%2B4m%2BNiN7XDt%2BMQFXcwilw%3D</t>
  </si>
  <si>
    <t>Kernberg, Otto</t>
  </si>
  <si>
    <t>https://www.proquest.com/docview/1823044491?accountid=131239&amp;bdid=51804&amp;_bd=7BIYsYQnYAS1snisdGMWRmCF%2Buk%3D</t>
  </si>
  <si>
    <t>https://www.proquest.com/docview/1823055245?accountid=131239&amp;bdid=51804&amp;_bd=rYw1ilSn0rKbwvCVoHo%2BNeIDn8A%3D</t>
  </si>
  <si>
    <t>https://www.proquest.com/docview/1822482700?accountid=131239&amp;bdid=51804&amp;_bd=7Eapc4t1UJXri%2BwucNvQ7xUrqek%3D</t>
  </si>
  <si>
    <t>Fouad, Nadya A</t>
  </si>
  <si>
    <t>https://www.proquest.com/docview/1822890659?accountid=131239&amp;bdid=51804&amp;_bd=FvFku7LyNUpvulqQFB5HYkWwKWM%3D</t>
  </si>
  <si>
    <t>https://www.proquest.com/docview/1822825260?accountid=131239&amp;bdid=51804&amp;_bd=ewtvYlgwihp4HRWFOA7Ycm%2FQASM%3D</t>
  </si>
  <si>
    <t>https://www.proquest.com/docview/1822840241?accountid=131239&amp;bdid=51804&amp;_bd=rphFIydRa%2F2z9EfJ0%2BHoJ4hR2ws%3D</t>
  </si>
  <si>
    <t>Gordon, Edmund</t>
  </si>
  <si>
    <t>https://www.proquest.com/docview/1822890180?accountid=131239&amp;bdid=51804&amp;_bd=wWwLO8FZ6qD%2BLveNfuhafRH3mu8%3D</t>
  </si>
  <si>
    <t>Parham, Thomas A; White, Joe</t>
  </si>
  <si>
    <t>https://www.proquest.com/docview/1822889990?accountid=131239&amp;bdid=51804&amp;_bd=C3BZ1D7umXvIHcViuJUaI3L7XLQ%3D</t>
  </si>
  <si>
    <t>Duran, Eduardo</t>
  </si>
  <si>
    <t>https://www.proquest.com/docview/1822890187?accountid=131239&amp;bdid=51804&amp;_bd=clXMk%2FCnp3uztg3MK7fT0ZQmDS4%3D</t>
  </si>
  <si>
    <t>https://www.proquest.com/docview/1822803456?accountid=131239&amp;bdid=51804&amp;_bd=9vvEAvNWp9jwmQKy9CNWFvNgfLQ%3D</t>
  </si>
  <si>
    <t>Greene, Beverly</t>
  </si>
  <si>
    <t>https://www.proquest.com/docview/1822890184?accountid=131239&amp;bdid=51804&amp;_bd=VwA9e8eAFM1pzpHv8EUgi%2BZPrfo%3D</t>
  </si>
  <si>
    <t>Bingham, Rosie</t>
  </si>
  <si>
    <t>https://www.proquest.com/docview/1822890063?accountid=131239&amp;bdid=51804&amp;_bd=wM3r5FQFXldD4QHlFAuuAXtL6Sk%3D</t>
  </si>
  <si>
    <t>Rubin, Judith A; Irene Rosner David</t>
  </si>
  <si>
    <t>https://www.proquest.com/docview/1822890580?accountid=131239&amp;bdid=51804&amp;_bd=%2BoDnq%2FOUbwpcgObyW92P3vqr%2F2c%3D</t>
  </si>
  <si>
    <t>https://www.proquest.com/docview/1822891031?accountid=131239&amp;bdid=51804&amp;_bd=749IXbQ%2B93ABHYhDbMmQUQndEOw%3D</t>
  </si>
  <si>
    <t>Miville, Marie L</t>
  </si>
  <si>
    <t>https://www.proquest.com/docview/1822890185?accountid=131239&amp;bdid=51804&amp;_bd=at8MmBB5p8N9R8PUZIxjLM3wQLc%3D</t>
  </si>
  <si>
    <t>Noguera, Pedro</t>
  </si>
  <si>
    <t>https://www.proquest.com/docview/1822890107?accountid=131239&amp;bdid=51804&amp;_bd=EpfcbIZ8GzcXG9rjM3Fakl2qMK4%3D</t>
  </si>
  <si>
    <t>Silverstein, Olga</t>
  </si>
  <si>
    <t>https://www.proquest.com/docview/1823040911?accountid=131239&amp;bdid=51804&amp;_bd=z8C1JEz19miYhYMetPWE3lGXC1s%3D</t>
  </si>
  <si>
    <t>Baron, Nancy</t>
  </si>
  <si>
    <t>https://www.proquest.com/docview/1822890743?accountid=131239&amp;bdid=51804&amp;_bd=6Yvca%2B1mN1vuhs8GluDHtHsgObU%3D</t>
  </si>
  <si>
    <t>Takaki, Ronald</t>
  </si>
  <si>
    <t>https://www.proquest.com/docview/1822889906?accountid=131239&amp;bdid=51804&amp;_bd=W27P0l%2F4QuvIU5rTcV5UHCU0FJ0%3D</t>
  </si>
  <si>
    <t>Arredondo, Patricia</t>
  </si>
  <si>
    <t>https://www.proquest.com/docview/1822889982?accountid=131239&amp;bdid=51804&amp;_bd=nqSkUZS2PTonkrVPZoqjZizdHf0%3D</t>
  </si>
  <si>
    <t>Hoy, Rory</t>
  </si>
  <si>
    <t>https://www.proquest.com/docview/1822674994?accountid=131239&amp;bdid=51804&amp;_bd=Dv%2FLoFay9%2BbyhK4Yo2qzHpwvWiY%3D</t>
  </si>
  <si>
    <t>Carroll, Marguerite</t>
  </si>
  <si>
    <t>https://www.proquest.com/docview/1822889986?accountid=131239&amp;bdid=51804&amp;_bd=hAYz4ZarR9ukjrAsYbxn458wHaI%3D</t>
  </si>
  <si>
    <t>Fine, Michelle</t>
  </si>
  <si>
    <t>https://www.proquest.com/docview/1822890193?accountid=131239&amp;bdid=51804&amp;_bd=B1lg4Fj%2BPq9nHX1ntbTtG%2FcHE3w%3D</t>
  </si>
  <si>
    <t>https://www.proquest.com/docview/1822612306?accountid=131239&amp;bdid=51804&amp;_bd=LR1E3zrHqKGU3NQzoZc0zANzkJw%3D</t>
  </si>
  <si>
    <t>Vera, Elizabeth</t>
  </si>
  <si>
    <t>https://www.proquest.com/docview/1822890590?accountid=131239&amp;bdid=51804&amp;_bd=qELAAbhHUwX0so9Ib38eGV7Ogdo%3D</t>
  </si>
  <si>
    <t>Prilleltensky, Isaac</t>
  </si>
  <si>
    <t>https://www.proquest.com/docview/1822890194?accountid=131239&amp;bdid=51804&amp;_bd=rJdhe%2Fji8yv89iQjGO5zToAcK60%3D</t>
  </si>
  <si>
    <t>https://www.proquest.com/docview/1822803628?accountid=131239&amp;bdid=51804&amp;_bd=K7EwTwFfqHngGhBVCN%2BY3KFbrM8%3D</t>
  </si>
  <si>
    <t>https://www.proquest.com/docview/1822890593?accountid=131239&amp;bdid=51804&amp;_bd=Fx4tVnBgaUm4n4RR8zs2BKl9%2Fec%3D</t>
  </si>
  <si>
    <t>https://www.proquest.com/docview/1822890077?accountid=131239&amp;bdid=51804&amp;_bd=vezM%2BXhpnHx9dq%2BV6SQ47liCHuc%3D</t>
  </si>
  <si>
    <t>John Bowlby: Attachment Theory Across Generations</t>
  </si>
  <si>
    <t>https://www.proquest.com/docview/1822891683?accountid=131239&amp;bdid=51804&amp;_bd=dgScjV2poXk%2BM0Os%2Fo1BtScKUqM%3D</t>
  </si>
  <si>
    <t>Russell-Chapin, Lori; Smith, Douglas</t>
  </si>
  <si>
    <t>https://www.proquest.com/docview/1822890195?accountid=131239&amp;bdid=51804&amp;_bd=c9pdkn6psTxbb%2BTYZ79TDV8VhsI%3D</t>
  </si>
  <si>
    <t>Myers, Linda James</t>
  </si>
  <si>
    <t>https://www.proquest.com/docview/1822890199?accountid=131239&amp;bdid=51804&amp;_bd=7u4eVyda9zCLIIO%2BudnGzjBBk5s%3D</t>
  </si>
  <si>
    <t>Brinkley, Edna</t>
  </si>
  <si>
    <t>https://www.proquest.com/docview/1822890111?accountid=131239&amp;bdid=51804&amp;_bd=8EUYnsPrIcvrwxX3H3GoAJtm%2BEA%3D</t>
  </si>
  <si>
    <t>Westefeld, John</t>
  </si>
  <si>
    <t>https://www.proquest.com/docview/1822890750?accountid=131239&amp;bdid=51804&amp;_bd=hEs3%2BOTsJzzdCdacpfO0dTvJWQs%3D</t>
  </si>
  <si>
    <t>Mishlove, Jeffrey; Yalom, Irvin</t>
  </si>
  <si>
    <t>https://www.proquest.com/docview/1823044824?accountid=131239&amp;bdid=51804&amp;_bd=KbDTmpGexGDXvJnqkSG2PrFiLe8%3D</t>
  </si>
  <si>
    <t>https://www.proquest.com/docview/1822890632?accountid=131239&amp;bdid=51804&amp;_bd=VnJ%2FVjfJLnTtWULupO0JmTMnk3A%3D</t>
  </si>
  <si>
    <t>Okazaki, Sumie</t>
  </si>
  <si>
    <t>https://www.proquest.com/docview/1822890753?accountid=131239&amp;bdid=51804&amp;_bd=r6FkpKmyVwdlt6K8Qmz68UP6P4U%3D</t>
  </si>
  <si>
    <t>Manson, Spero</t>
  </si>
  <si>
    <t>https://www.proquest.com/docview/1822890757?accountid=131239&amp;bdid=51804&amp;_bd=R5Aj9iRMf8vBwEEYIyx5xPpOsDs%3D</t>
  </si>
  <si>
    <t>https://www.proquest.com/docview/1822840228?accountid=131239&amp;bdid=51804&amp;_bd=J1IVmY%2F3QqP5Mej7b1uLnrpGxg8%3D</t>
  </si>
  <si>
    <t>https://www.proquest.com/docview/1822824430?accountid=131239&amp;bdid=51804&amp;_bd=KtObMnCmQ3mLzj%2BJCxoWoJJkokc%3D</t>
  </si>
  <si>
    <t>https://www.proquest.com/docview/2007416744?accountid=131239&amp;bdid=51804&amp;_bd=7wo5qRyEh8I6ax7Z85t4iOznrXI%3D</t>
  </si>
  <si>
    <t>https://www.proquest.com/docview/1822482111?accountid=131239&amp;bdid=51804&amp;_bd=Vw9cRRSHEHmRJKqq59QbuGcD7DQ%3D</t>
  </si>
  <si>
    <t>Toldson, Ivory A</t>
  </si>
  <si>
    <t>https://www.proquest.com/docview/1822890169?accountid=131239&amp;bdid=51804&amp;_bd=%2B4lb5kAaK2Scek5Ek%2BVGwdG8AC0%3D</t>
  </si>
  <si>
    <t>Blustein, David</t>
  </si>
  <si>
    <t>https://www.proquest.com/docview/1822890048?accountid=131239&amp;bdid=51804&amp;_bd=BNsMrrcL4mzygyIHw0F6WF636co%3D</t>
  </si>
  <si>
    <t>Liu, William Ming; Greenfield, Jay; Turesky, Derek</t>
  </si>
  <si>
    <t>https://www.proquest.com/docview/1822890166?accountid=131239&amp;bdid=51804&amp;_bd=rSxLzZqFNp9tUBCba9mBgQy1sNY%3D</t>
  </si>
  <si>
    <t>Kanel, Kristi</t>
  </si>
  <si>
    <t>https://www.proquest.com/docview/1822890566?accountid=131239&amp;bdid=51804&amp;_bd=HZ66fpZY8SS%2BQl7f2SHopwvahx0%3D</t>
  </si>
  <si>
    <t>Proctor, Brigid; Inskipp, Francesca</t>
  </si>
  <si>
    <t>https://www.proquest.com/docview/1822890600?accountid=131239&amp;bdid=51804&amp;_bd=cZT4Vq3c2O8l5h2XLgCFEPJONVk%3D</t>
  </si>
  <si>
    <t>Israel, Tania; Roysircar, Gargi; Toporek, Rebecca L; Gerstein, Lawrence</t>
  </si>
  <si>
    <t>https://www.proquest.com/docview/1822890603?accountid=131239&amp;bdid=51804&amp;_bd=ur4Hu%2BjUSyDLWlCCI%2Fj4zrN9Qh8%3D</t>
  </si>
  <si>
    <t>Friedman, Rozanne</t>
  </si>
  <si>
    <t>https://www.proquest.com/docview/1822890725?accountid=131239&amp;bdid=51804&amp;_bd=iJ7gNF%2FET3KE%2F59V7qEhAtjPoes%3D</t>
  </si>
  <si>
    <t>https://www.proquest.com/docview/1822674811?accountid=131239&amp;bdid=51804&amp;_bd=HU4D6H83fnQLiXzWhso9Z3MF34w%3D</t>
  </si>
  <si>
    <t>https://www.proquest.com/docview/1822489030?accountid=131239&amp;bdid=51804&amp;_bd=FYxObr6lnlm1O7JP%2BmG%2BTBAAIVE%3D</t>
  </si>
  <si>
    <t>https://www.proquest.com/docview/1822890171?accountid=131239&amp;bdid=51804&amp;_bd=UrhET1h7chud3S76gIWqnq8Q1mU%3D</t>
  </si>
  <si>
    <t>https://www.proquest.com/docview/1822890571?accountid=131239&amp;bdid=51804&amp;_bd=aeM8Djvawd%2FF0k4PsTGYcnnTFnQ%3D</t>
  </si>
  <si>
    <t>Winslade, John; Monk, Gerald</t>
  </si>
  <si>
    <t>https://www.proquest.com/docview/1822890175?accountid=131239&amp;bdid=51804&amp;_bd=iLgF4dwbRMRyRFQlGggEz80VkT4%3D</t>
  </si>
  <si>
    <t>https://www.proquest.com/docview/1822890173?accountid=131239&amp;bdid=51804&amp;_bd=nqiJjKq5WEGTfEHmCK1FUwq0v0k%3D</t>
  </si>
  <si>
    <t>https://www.proquest.com/docview/1834844510?accountid=131239&amp;bdid=51804&amp;_bd=yD6kL2KLWMJmXFvoVc4WySx6wBQ%3D</t>
  </si>
  <si>
    <t>https://www.proquest.com/docview/1822890177?accountid=131239&amp;bdid=51804&amp;_bd=ZFEJM0%2FarEGS6Odw5XedCyziJdE%3D</t>
  </si>
  <si>
    <t>https://www.proquest.com/docview/1834844595?accountid=131239&amp;bdid=51804&amp;_bd=L18EBpaBM2TB%2FdbcguD1LkTd7Zs%3D</t>
  </si>
  <si>
    <t>Albee, George</t>
  </si>
  <si>
    <t>https://www.proquest.com/docview/1822890695?accountid=131239&amp;bdid=51804&amp;_bd=UxpPZ%2BU9%2BOI43adUZObjxeMzmBc%3D</t>
  </si>
  <si>
    <t>https://www.proquest.com/docview/1822890731?accountid=131239&amp;bdid=51804&amp;_bd=fSDKkjc4rZ68QFFSX3OCeKmpwuA%3D</t>
  </si>
  <si>
    <t>Bookheimer, Susan</t>
  </si>
  <si>
    <t>https://www.proquest.com/docview/1822890578?accountid=131239&amp;bdid=51804&amp;_bd=CNLHgrHy6pwJdWq%2BVHrXiF5nRE0%3D</t>
  </si>
  <si>
    <t>Baggerly, Jennifer</t>
  </si>
  <si>
    <t>https://www.proquest.com/docview/1822889913?accountid=131239&amp;bdid=51804&amp;_bd=OX6hmD6i9t5XP%2FzyVckc1usapHo%3D</t>
  </si>
  <si>
    <t>https://www.proquest.com/docview/1822670960?accountid=131239&amp;bdid=51804&amp;_bd=XwpubDAkpIXGBUIfdlGwwLaEaio%3D</t>
  </si>
  <si>
    <t>Root, Maria P P; Duran, Eduardo</t>
  </si>
  <si>
    <t>https://www.proquest.com/docview/1822889995?accountid=131239&amp;bdid=51804&amp;_bd=9Ybh3nDXZ5IN3B5%2FSU7ipe4RLSg%3D</t>
  </si>
  <si>
    <t>Ratey, John J</t>
  </si>
  <si>
    <t>https://www.proquest.com/docview/1822889911?accountid=131239&amp;bdid=51804&amp;_bd=iKDVXsqIHK6KgcJphBO9W4RhLjc%3D</t>
  </si>
  <si>
    <t>Carter, Betty</t>
  </si>
  <si>
    <t>https://www.proquest.com/docview/1822890022?accountid=131239&amp;bdid=51804&amp;_bd=FszbRbCmGkndGHMcMCglAWMHoHk%3D</t>
  </si>
  <si>
    <t>King, Winnie</t>
  </si>
  <si>
    <t>https://www.proquest.com/docview/1822890660?accountid=131239&amp;bdid=51804&amp;_bd=X8noB71uisLbE%2BYkXJE8H9vMKlM%3D</t>
  </si>
  <si>
    <t>https://www.proquest.com/docview/1822891239?accountid=131239&amp;bdid=51804&amp;_bd=nNFBXHq9HbnPsS202LgRtd9xXBc%3D</t>
  </si>
  <si>
    <t>https://www.proquest.com/docview/1823044757?accountid=131239&amp;bdid=51804&amp;_bd=08vUVAEIU8Fr%2BhJNdx5ApSTli2g%3D</t>
  </si>
  <si>
    <t>Asante, Molefi</t>
  </si>
  <si>
    <t>https://www.proquest.com/docview/1822890709?accountid=131239&amp;bdid=51804&amp;_bd=7RjcR1BwQwx0JfNZ%2FafunxP7uEQ%3D</t>
  </si>
  <si>
    <t>Hoard, Deborah C</t>
  </si>
  <si>
    <t>https://www.proquest.com/docview/1823051612?accountid=131239&amp;bdid=51804&amp;_bd=UTykefia80J7dK14YFJmwc5BTQE%3D</t>
  </si>
  <si>
    <t>Fletcher, Monique</t>
  </si>
  <si>
    <t>https://www.proquest.com/docview/1823051740?accountid=131239&amp;bdid=51804&amp;_bd=5Z9LWlyGFUkxFbQABhJZ7r96qek%3D</t>
  </si>
  <si>
    <t>https://www.proquest.com/docview/1822890671?accountid=131239&amp;bdid=51804&amp;_bd=1ZiN5eh7o9A0jKMRo5OdoLBAIUE%3D</t>
  </si>
  <si>
    <t>https://www.proquest.com/docview/1822612188?accountid=131239&amp;bdid=51804&amp;_bd=H9chRoYXp3VYxfCzLq9wnOW%2Bx4s%3D</t>
  </si>
  <si>
    <t>Simmons, Mike; Morris, Lana</t>
  </si>
  <si>
    <t>https://www.proquest.com/docview/1822890674?accountid=131239&amp;bdid=51804&amp;_bd=1%2BsOyZrrffy3vJhbxdsKsWhnclI%3D</t>
  </si>
  <si>
    <t>https://www.proquest.com/docview/1822890675?accountid=131239&amp;bdid=51804&amp;_bd=FZAm2%2FB9J8ju7ntO%2Bc2iyu5PTHM%3D</t>
  </si>
  <si>
    <t>https://www.proquest.com/docview/1822890034?accountid=131239&amp;bdid=51804&amp;_bd=8UyBao%2F6SA93gzK5eOv4yOmdIgs%3D</t>
  </si>
  <si>
    <t>Exum, Herbert; Menna, Amy</t>
  </si>
  <si>
    <t>https://www.proquest.com/docview/1822890711?accountid=131239&amp;bdid=51804&amp;_bd=cKhX55Alve6BB6e2nnJJ9JnFsbY%3D</t>
  </si>
  <si>
    <t>https://www.proquest.com/docview/1822612226?accountid=131239&amp;bdid=51804&amp;_bd=lQqsztfa%2BmkbmSb2DkEXW390RKQ%3D</t>
  </si>
  <si>
    <t>https://www.proquest.com/docview/1822890676?accountid=131239&amp;bdid=51804&amp;_bd=DnLBjIVHFvWaJapljw33wjDUV%2FY%3D</t>
  </si>
  <si>
    <t>Barlow, David</t>
  </si>
  <si>
    <t>https://www.proquest.com/docview/1823044589?accountid=131239&amp;bdid=51804&amp;_bd=KLsZEu%2FtuiI%2BswdhPGEcaVw6uVE%3D</t>
  </si>
  <si>
    <t>https://www.proquest.com/docview/1822890716?accountid=131239&amp;bdid=51804&amp;_bd=k7PUJf6nq9h6PsZVmbjh1TAWkYo%3D</t>
  </si>
  <si>
    <t>https://www.proquest.com/docview/1933574398?accountid=131239&amp;bdid=51804&amp;_bd=44iMmC0vE4TEvOzw6oVYPvBgnE4%3D</t>
  </si>
  <si>
    <t>Speight, Suzette</t>
  </si>
  <si>
    <t>https://www.proquest.com/docview/1822890084?accountid=131239&amp;bdid=51804&amp;_bd=QQcVpga4V%2BaZmNoXydRdkB39PVU%3D</t>
  </si>
  <si>
    <t>https://www.proquest.com/docview/1822714201?accountid=131239&amp;bdid=51804&amp;_bd=BS3YjkF9Mhp55ECA39Y30XwRxPU%3D</t>
  </si>
  <si>
    <t>Nassar-McMillan, Sylvia</t>
  </si>
  <si>
    <t>https://www.proquest.com/docview/1822890120?accountid=131239&amp;bdid=51804&amp;_bd=KrZHiN3eMgDhBLC43lgSJLWI9Tg%3D</t>
  </si>
  <si>
    <t>Ballou, Mary; LaRoche, Martin J</t>
  </si>
  <si>
    <t>https://www.proquest.com/docview/1822890086?accountid=131239&amp;bdid=51804&amp;_bd=WUCQUXkR6JbFuWYn9xsYXdWqCeY%3D</t>
  </si>
  <si>
    <t>https://www.proquest.com/docview/1822890124?accountid=131239&amp;bdid=51804&amp;_bd=ISbJCQ3anaOM6dZTsAAyDEYlW1k%3D</t>
  </si>
  <si>
    <t>Vasquez, Melba J T</t>
  </si>
  <si>
    <t>https://www.proquest.com/docview/1822890123?accountid=131239&amp;bdid=51804&amp;_bd=6QIYAFu%2BrG8ljstUS%2Bb2uVX64j0%3D</t>
  </si>
  <si>
    <t>https://www.proquest.com/docview/1834844568?accountid=131239&amp;bdid=51804&amp;_bd=l0gaLZBj2Eive0PX%2B0fSu0AeorI%3D</t>
  </si>
  <si>
    <t>https://www.proquest.com/docview/1822890129?accountid=131239&amp;bdid=51804&amp;_bd=Gm3MFNZzFHyhECz2iQdcEnJ7XS0%3D</t>
  </si>
  <si>
    <t>Schlosser, Lewis Z</t>
  </si>
  <si>
    <t>https://www.proquest.com/docview/1822890005?accountid=131239&amp;bdid=51804&amp;_bd=NH6jW6mbO3NRjdBuNbNVwuySkeI%3D</t>
  </si>
  <si>
    <t>Making Sense of Sensory Information</t>
  </si>
  <si>
    <t>https://www.proquest.com/docview/1822891853?accountid=131239&amp;bdid=51804&amp;_bd=HvuH9HX18vvSHtzK%2FKLxOa1eJJo%3D</t>
  </si>
  <si>
    <t>Ponterotto, Joseph G</t>
  </si>
  <si>
    <t>https://www.proquest.com/docview/1822890127?accountid=131239&amp;bdid=51804&amp;_bd=fLsPfbJrNMzR1Df6g0yOmGIi2Rg%3D</t>
  </si>
  <si>
    <t>https://www.proquest.com/docview/1822890648?accountid=131239&amp;bdid=51804&amp;_bd=l0Ari3eKwYy4ZJ9V32C%2FtSOfQW8%3D</t>
  </si>
  <si>
    <t>https://www.proquest.com/docview/1834844572?accountid=131239&amp;bdid=51804&amp;_bd=I4LDHy1aoGHXdapyt7S7OCvG5Kg%3D</t>
  </si>
  <si>
    <t>https://www.proquest.com/docview/1822672278?accountid=131239&amp;bdid=51804&amp;_bd=1gKf22uKqhWp9ZQkQ%2Fm7soDXHDM%3D</t>
  </si>
  <si>
    <t>https://www.proquest.com/docview/1834840117?accountid=131239&amp;bdid=51804&amp;_bd=5LDl%2BZefTfR0em2Ey0lHXrYwq5E%3D</t>
  </si>
  <si>
    <t>https://www.proquest.com/docview/1823044809?accountid=131239&amp;bdid=51804&amp;_bd=6QT3iB4yMN%2BSVOtH9wkiOpig8Hs%3D</t>
  </si>
  <si>
    <t>https://www.proquest.com/docview/1822890097?accountid=131239&amp;bdid=51804&amp;_bd=tj8MBH8OJ61rX9qUz2IoHcwBgxI%3D</t>
  </si>
  <si>
    <t>https://www.proquest.com/docview/1822890015?accountid=131239&amp;bdid=51804&amp;_bd=fLWDIxJcH2yIJrz3Z%2BCoNDOEFBM%3D</t>
  </si>
  <si>
    <t>https://www.proquest.com/docview/1822890650?accountid=131239&amp;bdid=51804&amp;_bd=%2Fo2q9EjK9m0KDM3rvmoR0%2FvD97I%3D</t>
  </si>
  <si>
    <t>https://www.proquest.com/docview/1822890012?accountid=131239&amp;bdid=51804&amp;_bd=hrBkqWJ033Dsk%2B7jM1Y9Cajl9lg%3D</t>
  </si>
  <si>
    <t>https://www.proquest.com/docview/1822828094?accountid=131239&amp;bdid=51804&amp;_bd=fLsJ5AhpRXL%2FN1iItObi5lqDGeU%3D</t>
  </si>
  <si>
    <t>https://www.proquest.com/docview/1822612291?accountid=131239&amp;bdid=51804&amp;_bd=RjGQel3cIucrRjbyZwaTAwULYHw%3D</t>
  </si>
  <si>
    <t>https://www.proquest.com/docview/1834844561?accountid=131239&amp;bdid=51804&amp;_bd=hh3lqp8u6dnigjX%2FwKzR%2BiZ8M3g%3D</t>
  </si>
  <si>
    <t>https://www.proquest.com/docview/1822800344?accountid=131239&amp;bdid=51804&amp;_bd=jImkslUY7vlWh1CpCHBftng%2Bz8s%3D</t>
  </si>
  <si>
    <t>https://www.proquest.com/docview/1822890186?accountid=131239&amp;bdid=51804&amp;_bd=anRBIKwsKK%2Fm1pmHZk80%2BPzgAaU%3D</t>
  </si>
  <si>
    <t>Perry Krichmar</t>
  </si>
  <si>
    <t>https://www.proquest.com/docview/1822890583?accountid=131239&amp;bdid=51804&amp;_bd=6bOLPKIn4KLbUEnnBLcEIQp%2FVmE%3D</t>
  </si>
  <si>
    <t>https://www.proquest.com/docview/1822890102?accountid=131239&amp;bdid=51804&amp;_bd=NGV2dtLjvHturNHJwrX6Mh6QyfQ%3D</t>
  </si>
  <si>
    <t>https://www.proquest.com/docview/1822800989?accountid=131239&amp;bdid=51804&amp;_bd=lVJyINnNEy2UdQaXbL1xZqvc37c%3D</t>
  </si>
  <si>
    <t>Mishlove, Jeffrey; Vaughan, Frances</t>
  </si>
  <si>
    <t>https://www.proquest.com/docview/1822890986?accountid=131239&amp;bdid=51804&amp;_bd=EBfIb2ALJN%2F%2FkmVIRzecskRG2Gs%3D</t>
  </si>
  <si>
    <t>Mishlove, Jeffrey; Alpert, Richard</t>
  </si>
  <si>
    <t>https://www.proquest.com/docview/1822891039?accountid=131239&amp;bdid=51804&amp;_bd=PGPfa6koudcUaN%2BgP6RFkp6Spe0%3D</t>
  </si>
  <si>
    <t>https://www.proquest.com/docview/1822890105?accountid=131239&amp;bdid=51804&amp;_bd=e72hstgE9I8HgMWmJcao5OINBoE%3D</t>
  </si>
  <si>
    <t>Program 2: Individual Assessment and Psychotherapy, in Psychotherapy with Gay, Lesbian and Bisexual Clients</t>
  </si>
  <si>
    <t>Scott, Ronald L</t>
  </si>
  <si>
    <t>https://www.proquest.com/docview/2117507568?accountid=131239&amp;bdid=51804&amp;_bd=T93sRFZym1TNfUlBHdCsHxZ5Urg%3D</t>
  </si>
  <si>
    <t>Mishlove, Jeffrey; Delaney, Gayle</t>
  </si>
  <si>
    <t>https://www.proquest.com/docview/1822890988?accountid=131239&amp;bdid=51804&amp;_bd=pVDYG3CngRjwW2vSpZkNRkaPPfc%3D</t>
  </si>
  <si>
    <t>https://www.proquest.com/docview/1822890989?accountid=131239&amp;bdid=51804&amp;_bd=wWIEB1Fs3salwiJfq1l3Ep9eFUw%3D</t>
  </si>
  <si>
    <t>https://www.proquest.com/docview/1822674631?accountid=131239&amp;bdid=51804&amp;_bd=ecgY%2BkdCBQ98o4bdOgwjlpn%2FNQM%3D</t>
  </si>
  <si>
    <t>https://www.proquest.com/docview/1822889985?accountid=131239&amp;bdid=51804&amp;_bd=pcdTOBpketWyI6tfIXxjFuhcfjQ%3D</t>
  </si>
  <si>
    <t>Ishiyama, F Ishu</t>
  </si>
  <si>
    <t>https://www.proquest.com/docview/1822890072?accountid=131239&amp;bdid=51804&amp;_bd=Mj6HcZT4vdzFUlIer6EZiXNn73Y%3D</t>
  </si>
  <si>
    <t>Nancy Boyd Franklin; Franklin, Anderson J</t>
  </si>
  <si>
    <t>https://www.proquest.com/docview/1822890191?accountid=131239&amp;bdid=51804&amp;_bd=4%2FAG54%2F9Rfw2jBXlwZf617p%2Fq8I%3D</t>
  </si>
  <si>
    <t>https://www.proquest.com/docview/1822800636?accountid=131239&amp;bdid=51804&amp;_bd=TbBcFqIhctzSyiI7ONN7EoQr9n0%3D</t>
  </si>
  <si>
    <t>Mishlove, Jeffrey; Palmer, Helen</t>
  </si>
  <si>
    <t>https://www.proquest.com/docview/1822890990?accountid=131239&amp;bdid=51804&amp;_bd=hWr50KxZOLbiSrF6PFk%2FzOMz%2BNM%3D</t>
  </si>
  <si>
    <t>https://www.proquest.com/docview/1822890594?accountid=131239&amp;bdid=51804&amp;_bd=wfGgRYmVs5P28Wrc0ofbw4npz9k%3D</t>
  </si>
  <si>
    <t>Greenfield, Russell H</t>
  </si>
  <si>
    <t>https://www.proquest.com/docview/1822890591?accountid=131239&amp;bdid=51804&amp;_bd=7%2BVVIv5M5Nv%2FJy4mj2jLTnDfhj0%3D</t>
  </si>
  <si>
    <t>https://www.proquest.com/docview/1822891048?accountid=131239&amp;bdid=51804&amp;_bd=tsCBjQIDW1Jh%2Bkbonzx%2Fk7n40v4%3D</t>
  </si>
  <si>
    <t>Mary Bradford Ivey; Norma Gluckstern Packard</t>
  </si>
  <si>
    <t>https://www.proquest.com/docview/1822890113?accountid=131239&amp;bdid=51804&amp;_bd=taeFgwIYbNbFDPyRDvl75Za38uM%3D</t>
  </si>
  <si>
    <t>https://www.proquest.com/docview/1823040985?accountid=131239&amp;bdid=51804&amp;_bd=x9Y6hFr%2BGUfVxCVfRu73OpVpsaA%3D</t>
  </si>
  <si>
    <t>Levant, Ronald</t>
  </si>
  <si>
    <t>https://www.proquest.com/docview/1822890112?accountid=131239&amp;bdid=51804&amp;_bd=AU5qoDLNUpfenND5K2q61QDx22U%3D</t>
  </si>
  <si>
    <t>Atkinson, Donald</t>
  </si>
  <si>
    <t>https://www.proquest.com/docview/1822890115?accountid=131239&amp;bdid=51804&amp;_bd=qby3L0i22%2BOcU1X7B3ulXLsLVjc%3D</t>
  </si>
  <si>
    <t>Geldard, Kathryn</t>
  </si>
  <si>
    <t>https://www.proquest.com/docview/1822890638?accountid=131239&amp;bdid=51804&amp;_bd=4p%2BPfBj9X3vG5AtsKoeJI2EeiMI%3D</t>
  </si>
  <si>
    <t>Wyatt, Gail</t>
  </si>
  <si>
    <t>https://www.proquest.com/docview/1822890639?accountid=131239&amp;bdid=51804&amp;_bd=F4ZhFvUPcDiaMkSnt0t3PudHsEY%3D</t>
  </si>
  <si>
    <t>Carlon Ami</t>
  </si>
  <si>
    <t>https://www.proquest.com/docview/1822890119?accountid=131239&amp;bdid=51804&amp;_bd=9xcpH%2FeabQRq8YHDrncziFwBCRY%3D</t>
  </si>
  <si>
    <t>https://www.proquest.com/docview/1822890637?accountid=131239&amp;bdid=51804&amp;_bd=O6uiIpTCjKmmAYhGIpvc35xpEXU%3D</t>
  </si>
  <si>
    <t>https://www.proquest.com/docview/1822840347?accountid=131239&amp;bdid=51804&amp;_bd=rIUM2oKy39bw5JY4Um%2FbR7UHgiw%3D</t>
  </si>
  <si>
    <t>https://www.proquest.com/docview/1822714508?accountid=131239&amp;bdid=51804&amp;_bd=r%2FqfkhPCUaSju1atCehD8OTuwR4%3D</t>
  </si>
  <si>
    <t>Parenting with the Experts: Talking about Difficult Things, in Parenting with the Experts, 2</t>
  </si>
  <si>
    <t>Friel, John</t>
  </si>
  <si>
    <t>https://www.proquest.com/docview/1957752483?accountid=131239&amp;bdid=51804&amp;_bd=RUOqRAYTQleKy7sVuETW48bMrYM%3D</t>
  </si>
  <si>
    <t>Anderson, James</t>
  </si>
  <si>
    <t>https://www.proquest.com/docview/1822889973?accountid=131239&amp;bdid=51804&amp;_bd=1uMIWBEwACa%2Fq0dzVrv0TxLeUgw%3D</t>
  </si>
  <si>
    <t>https://www.proquest.com/docview/1822889976?accountid=131239&amp;bdid=51804&amp;_bd=%2B0C6e6J%2Bw6GGloHw9xdk99K6j1M%3D</t>
  </si>
  <si>
    <t>Pedersen, Paul B; Brooks-Harris, Jeff</t>
  </si>
  <si>
    <t>https://www.proquest.com/docview/1822890080?accountid=131239&amp;bdid=51804&amp;_bd=Jvsd%2F8k%2BQF0aHK48n4QrcZ6qpUc%3D</t>
  </si>
  <si>
    <t>https://www.proquest.com/docview/1822890681?accountid=131239&amp;bdid=51804&amp;_bd=u7DK%2BwRNI5PTb8Aajy0HJptekSw%3D</t>
  </si>
  <si>
    <t>Mishlove, Jeffrey; Speeth, Kathleen</t>
  </si>
  <si>
    <t>https://www.proquest.com/docview/1822891015?accountid=131239&amp;bdid=51804&amp;_bd=KpYnR6c9tTxJ5c3nbrov9dCJCPk%3D</t>
  </si>
  <si>
    <t>Mishlove, Jeffrey; Stone, Hal</t>
  </si>
  <si>
    <t>https://www.proquest.com/docview/1822891016?accountid=131239&amp;bdid=51804&amp;_bd=qh%2FVtXptgNznieusV8GzzhhFtZE%3D</t>
  </si>
  <si>
    <t>https://www.proquest.com/docview/1822890686?accountid=131239&amp;bdid=51804&amp;_bd=bYh0QBhIBuBegateCWp%2FlWDthPs%3D</t>
  </si>
  <si>
    <t>https://www.proquest.com/docview/1822890568?accountid=131239&amp;bdid=51804&amp;_bd=Q4cUDEDWpwqjoVllZMJtn%2FCH3FY%3D</t>
  </si>
  <si>
    <t>https://www.proquest.com/docview/1822489305?accountid=131239&amp;bdid=51804&amp;_bd=jI3W2wijMTvfIbcxvmxEEyzdoVQ%3D</t>
  </si>
  <si>
    <t>https://www.proquest.com/docview/1822890689?accountid=131239&amp;bdid=51804&amp;_bd=VW%2FTrUZ4c6DAg22%2FZU88BExuM24%3D</t>
  </si>
  <si>
    <t>https://www.proquest.com/docview/1822890720?accountid=131239&amp;bdid=51804&amp;_bd=%2FoSTq%2BObaYVwwgyVT7t7vdAZk%2Bo%3D</t>
  </si>
  <si>
    <t>https://www.proquest.com/docview/1822890567?accountid=131239&amp;bdid=51804&amp;_bd=oZn4PGheb8huJcKx%2BcgGs5o1dwY%3D</t>
  </si>
  <si>
    <t>https://www.proquest.com/docview/1822454230?accountid=131239&amp;bdid=51804&amp;_bd=gXymrBpkLlx8TGtMJJL0RceMf9s%3D</t>
  </si>
  <si>
    <t>Gladding, Samuel T; Janice Miner Holden</t>
  </si>
  <si>
    <t>https://www.proquest.com/docview/1822890051?accountid=131239&amp;bdid=51804&amp;_bd=Ks%2FXKO%2BiM62mKswKoqfL%2BfD%2BTjo%3D</t>
  </si>
  <si>
    <t>https://www.proquest.com/docview/1822890692?accountid=131239&amp;bdid=51804&amp;_bd=KjmFOWyN%2BnT1%2Byo5%2FhHR9uFCcIw%3D</t>
  </si>
  <si>
    <t>Satir, Virginia; Mishlove, Jeffrey</t>
  </si>
  <si>
    <t>https://www.proquest.com/docview/1822891020?accountid=131239&amp;bdid=51804&amp;_bd=5d64bqP%2FoJw4F814p%2FBaG2m6Grg%3D</t>
  </si>
  <si>
    <t>Levant, Ronald; Liu, William Ming; McDonald, Doug; Parham, William; VÃ¡zquez, Luis A</t>
  </si>
  <si>
    <t>https://www.proquest.com/docview/1822890053?accountid=131239&amp;bdid=51804&amp;_bd=yyI6bhW6%2BnkQ6ykbUnlLx2CxhTY%3D</t>
  </si>
  <si>
    <t>https://www.proquest.com/docview/1822890570?accountid=131239&amp;bdid=51804&amp;_bd=cm8jgEySNzF7KzqNFFAqfRQBefI%3D</t>
  </si>
  <si>
    <t>https://www.proquest.com/docview/1822890971?accountid=131239&amp;bdid=51804&amp;_bd=c%2Fraw4tgfChYWF8VnJ0sEbv0ykQ%3D</t>
  </si>
  <si>
    <t>https://www.proquest.com/docview/1822890730?accountid=131239&amp;bdid=51804&amp;_bd=kMojXnzRapec06joM0Ut4lbr9Vs%3D</t>
  </si>
  <si>
    <t>Mishlove, Jeffrey; Tart, Charles</t>
  </si>
  <si>
    <t>https://www.proquest.com/docview/1822890974?accountid=131239&amp;bdid=51804&amp;_bd=19WxiABozx9u2JEWSH%2BvNXzQG2I%3D</t>
  </si>
  <si>
    <t>https://www.proquest.com/docview/1822890738?accountid=131239&amp;bdid=51804&amp;_bd=lxbMRTOXjeNzsAcBoaoaWj8MmuU%3D</t>
  </si>
  <si>
    <t>Oyserman, Daphna</t>
  </si>
  <si>
    <t>https://www.proquest.com/docview/1822890617?accountid=131239&amp;bdid=51804&amp;_bd=pPDvjshxD6Yn8OqHL3aGzngFUUM%3D</t>
  </si>
  <si>
    <t>Littrell, John M</t>
  </si>
  <si>
    <t>https://www.proquest.com/docview/1822889917?accountid=131239&amp;bdid=51804&amp;_bd=S7xE3NIiv9QFaYapk6z%2Fj7j6tbo%3D</t>
  </si>
  <si>
    <t>Wills, Frank; Bond, Tim</t>
  </si>
  <si>
    <t>https://www.proquest.com/docview/1822890619?accountid=131239&amp;bdid=51804&amp;_bd=k2qy6xwn3shRyc7a2mfzE3znGNg%3D</t>
  </si>
  <si>
    <t>Baron-Cohen, Simon</t>
  </si>
  <si>
    <t>https://www.proquest.com/docview/1822674640?accountid=131239&amp;bdid=51804&amp;_bd=jFbux8r6dXnUVyKroAk%2BJHdnfoU%3D</t>
  </si>
  <si>
    <t>https://www.proquest.com/docview/1822800064?accountid=131239&amp;bdid=51804&amp;_bd=Jd58t604MVlUGUV5uFSwclaQFtk%3D</t>
  </si>
  <si>
    <t>Program 1: Historical Perspectives, in Psychotherapy with Gay, Lesbian and Bisexual Clients</t>
  </si>
  <si>
    <t>https://www.proquest.com/docview/2117508054?accountid=131239&amp;bdid=51804&amp;_bd=%2BAqlhUxch2ubCOZS2vqvvpPpWGQ%3D</t>
  </si>
  <si>
    <t>https://www.proquest.com/docview/1822890664?accountid=131239&amp;bdid=51804&amp;_bd=NzCUe6oZAj62S6aHRLH5DOD7%2BDw%3D</t>
  </si>
  <si>
    <t>https://www.proquest.com/docview/1822890667?accountid=131239&amp;bdid=51804&amp;_bd=Bb1puJvhVH3DlOJaPM1D7w5oGCg%3D</t>
  </si>
  <si>
    <t>https://www.proquest.com/docview/1822890668?accountid=131239&amp;bdid=51804&amp;_bd=MPa4%2FvtTZQUME4JhPx8LK6kTk%2FI%3D</t>
  </si>
  <si>
    <t>https://www.proquest.com/docview/1822840319?accountid=131239&amp;bdid=51804&amp;_bd=87xldCVUcVSKMkdUFVSEAB62WE0%3D</t>
  </si>
  <si>
    <t>https://www.proquest.com/docview/1822890702?accountid=131239&amp;bdid=51804&amp;_bd=kMTP9%2FG8KH1QPXpu8VJHoh%2BpmoA%3D</t>
  </si>
  <si>
    <t>https://www.proquest.com/docview/1822890707?accountid=131239&amp;bdid=51804&amp;_bd=tdHjdWR19Xbkjvs11K7m6PijbW8%3D</t>
  </si>
  <si>
    <t>Olkin, Rhoda</t>
  </si>
  <si>
    <t>https://www.proquest.com/docview/1822889941?accountid=131239&amp;bdid=51804&amp;_bd=HCRNkyE8TZgV9g941rLSa0%2BTAsM%3D</t>
  </si>
  <si>
    <t>Program 3: Relationships, Families and Couples Counseling, in Psychotherapy with Gay, Lesbian and Bisexual Clients</t>
  </si>
  <si>
    <t>https://www.proquest.com/docview/2117508041?accountid=131239&amp;bdid=51804&amp;_bd=a0Rv084dE0OEAl0kPYD7ZrJZ6us%3D</t>
  </si>
  <si>
    <t>Mishlove, Jeffrey; Criswell, Eleanor</t>
  </si>
  <si>
    <t>https://www.proquest.com/docview/1822891001?accountid=131239&amp;bdid=51804&amp;_bd=Uy3nVYNv9JwA8rJr0kictUDwzP0%3D</t>
  </si>
  <si>
    <t>https://www.proquest.com/docview/1822891004?accountid=131239&amp;bdid=51804&amp;_bd=4oqblM8fQER2R9hi0ZjYNm3rv2g%3D</t>
  </si>
  <si>
    <t>Ellis, Albert; Mishlove, Jeffrey</t>
  </si>
  <si>
    <t>https://www.proquest.com/docview/1822891003?accountid=131239&amp;bdid=51804&amp;_bd=tACW%2FZnTHTdX6NKu0pAofb2araQ%3D</t>
  </si>
  <si>
    <t>Program 5: The Bisexual Experience, in Psychotherapy with Gay, Lesbian and Bisexual Clients</t>
  </si>
  <si>
    <t>https://www.proquest.com/docview/2117507510?accountid=131239&amp;bdid=51804&amp;_bd=dGPRECuHJy8r2zVlgmBRhkUXKNc%3D</t>
  </si>
  <si>
    <t>Wills, Frank; Proctor, Brigid; Inskipp, Francesca</t>
  </si>
  <si>
    <t>https://www.proquest.com/docview/1822890678?accountid=131239&amp;bdid=51804&amp;_bd=1SkxsQj1rsVLJCftSDSq9bC77SE%3D</t>
  </si>
  <si>
    <t>Mishlove, Jeffrey; Fadiman, James</t>
  </si>
  <si>
    <t>https://www.proquest.com/docview/1822891006?accountid=131239&amp;bdid=51804&amp;_bd=lnWb0mvo%2FWcKEYN3grhb47RX6RQ%3D</t>
  </si>
  <si>
    <t>Wills, Frank; Rowe, Dorothy</t>
  </si>
  <si>
    <t>https://www.proquest.com/docview/1822890718?accountid=131239&amp;bdid=51804&amp;_bd=%2F2kjBP1nBMVMY7nXZAuO2syyC4k%3D</t>
  </si>
  <si>
    <t>McAuliffe, Garrett J</t>
  </si>
  <si>
    <t>https://www.proquest.com/docview/1822889931?accountid=131239&amp;bdid=51804&amp;_bd=pHW20u%2FRbaEXW8QHjgcXA9Y%2B3Rs%3D</t>
  </si>
  <si>
    <t>Carter, Robert</t>
  </si>
  <si>
    <t>https://www.proquest.com/docview/1822890081?accountid=131239&amp;bdid=51804&amp;_bd=FKZZF3uigI1SqEnDYNCNu3XrRdQ%3D</t>
  </si>
  <si>
    <t>https://www.proquest.com/docview/1822482390?accountid=131239&amp;bdid=51804&amp;_bd=W0nJfyYYhP6MlxY8qMqM6dZlPWs%3D</t>
  </si>
  <si>
    <t>https://www.proquest.com/docview/1822891055?accountid=131239&amp;bdid=51804&amp;_bd=ow%2BzqA96ZdhCnifxRwz4Da%2FWc9o%3D</t>
  </si>
  <si>
    <t>Bugental, James F; Mishlove, Jeffrey</t>
  </si>
  <si>
    <t>https://www.proquest.com/docview/1822891054?accountid=131239&amp;bdid=51804&amp;_bd=t2fgF5pJv%2B9xLyUIcYZIHKi7z0g%3D</t>
  </si>
  <si>
    <t>https://www.proquest.com/docview/1834844564?accountid=131239&amp;bdid=51804&amp;_bd=pqYyldHTiTUR1MH5bj9%2FX8DWWQk%3D</t>
  </si>
  <si>
    <t>https://www.proquest.com/docview/1822890089?accountid=131239&amp;bdid=51804&amp;_bd=mfTOEVUNIHiNjpYAyJQ9rNpyawU%3D</t>
  </si>
  <si>
    <t>https://www.proquest.com/docview/1822890761?accountid=131239&amp;bdid=51804&amp;_bd=pROJbG5UCKhlHSThmIB7EH8wTYs%3D</t>
  </si>
  <si>
    <t>James, Norma; Gray, Jan; Burston, Helen; Rogers, Sarah</t>
  </si>
  <si>
    <t>https://www.proquest.com/docview/1822890640?accountid=131239&amp;bdid=51804&amp;_bd=OwQLT6F7tAugqpx3kKW2WBqSrbU%3D</t>
  </si>
  <si>
    <t>Program 7: Sexual Minority Adolescents, in Psychotherapy with Gay, Lesbian and Bisexual Clients</t>
  </si>
  <si>
    <t>https://www.proquest.com/docview/2117507543?accountid=131239&amp;bdid=51804&amp;_bd=qoFb2mYXX%2BHG%2FIiNQqYMsJZKV%2B4%3D</t>
  </si>
  <si>
    <t>Gibson, Jennifer; Gallardo, Miguel Ãngel</t>
  </si>
  <si>
    <t>https://www.proquest.com/docview/1822890128?accountid=131239&amp;bdid=51804&amp;_bd=KwEXQqFHdseQDgn2nWtpiEiLjtE%3D</t>
  </si>
  <si>
    <t>https://www.proquest.com/docview/1822891854?accountid=131239&amp;bdid=51804&amp;_bd=CBVvIvzeRSYHAeIs0Rrnml%2BtaWY%3D</t>
  </si>
  <si>
    <t>Fukuyama, Mary</t>
  </si>
  <si>
    <t>https://www.proquest.com/docview/1822890126?accountid=131239&amp;bdid=51804&amp;_bd=714B842%2BXeiSNicrBOvUstcbFkE%3D</t>
  </si>
  <si>
    <t>Parenting with the Experts: Building Self-Esteem, in Parenting with the Experts, 1</t>
  </si>
  <si>
    <t>McCarty, Hanoch</t>
  </si>
  <si>
    <t>https://www.proquest.com/docview/1957752478?accountid=131239&amp;bdid=51804&amp;_bd=VPO%2BpOrGBZSdERBmDpwbraun%2BBA%3D</t>
  </si>
  <si>
    <t>https://www.proquest.com/docview/1822890092?accountid=131239&amp;bdid=51804&amp;_bd=OYqFeLU6mpdafNPTXpwzz9tUF2s%3D</t>
  </si>
  <si>
    <t>https://www.proquest.com/docview/1822714176?accountid=131239&amp;bdid=51804&amp;_bd=VEF8jCTbJIDc%2FGTbQAX7PzFyjP8%3D</t>
  </si>
  <si>
    <t>Sklare, Gerald</t>
  </si>
  <si>
    <t>https://www.proquest.com/docview/1822890093?accountid=131239&amp;bdid=51804&amp;_bd=bzN4maNc2AvZN2CRI0ETUTtYg1o%3D</t>
  </si>
  <si>
    <t>https://www.proquest.com/docview/1822890098?accountid=131239&amp;bdid=51804&amp;_bd=4EP7tHEIzwoHXX7VCXMHC%2B4W6YE%3D</t>
  </si>
  <si>
    <t>Program 6: Diversity and Multiple Identities, in Psychotherapy with Gay, Lesbian and Bisexual Clients</t>
  </si>
  <si>
    <t>https://www.proquest.com/docview/2117507494?accountid=131239&amp;bdid=51804&amp;_bd=k9siHQGSFxk%2BcteJnf%2FcEXrXtQk%3D</t>
  </si>
  <si>
    <t>https://www.proquest.com/docview/1822890653?accountid=131239&amp;bdid=51804&amp;_bd=S6y%2FlzmQBlwNyIPhTU52BhIoepk%3D</t>
  </si>
  <si>
    <t>https://www.proquest.com/docview/1822890654?accountid=131239&amp;bdid=51804&amp;_bd=3MIJ8eue6JJf8v29ixP5EaFZiWE%3D</t>
  </si>
  <si>
    <t>Program 4: The Coming Out Process, in Psychotherapy with Gay, Lesbian and Bisexual Clients</t>
  </si>
  <si>
    <t>https://www.proquest.com/docview/2117507535?accountid=131239&amp;bdid=51804&amp;_bd=1djRiAuRsXNFgUcsvcouL82Yh%2Bc%3D</t>
  </si>
  <si>
    <t>Freeman, Arthur</t>
  </si>
  <si>
    <t>https://www.proquest.com/docview/1822889958?accountid=131239&amp;bdid=51804&amp;_bd=eFmg5kLlN6f3M%2FhO%2FAOF%2FxLGdI4%3D</t>
  </si>
  <si>
    <t>Yapko, Michael D; Mishlove, Jeffrey</t>
  </si>
  <si>
    <t>https://www.proquest.com/docview/1822891070?accountid=131239&amp;bdid=51804&amp;_bd=ECeAx%2FxYdNr7BQ%2FGeNN8aOcUidY%3D</t>
  </si>
  <si>
    <t>https://www.proquest.com/docview/1823044480?accountid=131239&amp;bdid=51804&amp;_bd=Qw%2FqXPXlM1QsHSFVAmW59eWdMsw%3D</t>
  </si>
  <si>
    <t>https://www.proquest.com/docview/1822713872?accountid=131239&amp;bdid=51804&amp;_bd=0xl85gV7uyK%2FspCzeigL5XYsuAc%3D</t>
  </si>
  <si>
    <t>https://www.proquest.com/docview/1823054883?accountid=131239&amp;bdid=51804&amp;_bd=mpUJ3JB4BG49PwUsrBbpQxBUn9o%3D</t>
  </si>
  <si>
    <t>Helms, Janet E</t>
  </si>
  <si>
    <t>https://www.proquest.com/docview/1822890183?accountid=131239&amp;bdid=51804&amp;_bd=kAVeufpvQrCTV4Ah1GRfQqRFbvI%3D</t>
  </si>
  <si>
    <t>Cartwright-Hatton, Sam</t>
  </si>
  <si>
    <t>https://www.proquest.com/docview/1822890062?accountid=131239&amp;bdid=51804&amp;_bd=G1yOHsoAjrgwmBxakLAzMG1RQE8%3D</t>
  </si>
  <si>
    <t>https://www.proquest.com/docview/1822890060?accountid=131239&amp;bdid=51804&amp;_bd=bR4HxNZ%2F63DXB7sjdm6y0GxLZFI%3D</t>
  </si>
  <si>
    <t>Sommers-Flanagan, John</t>
  </si>
  <si>
    <t>https://www.proquest.com/docview/1822890100?accountid=131239&amp;bdid=51804&amp;_bd=MvAoKsnpKUpp7KhCyw63I1UUoyw%3D</t>
  </si>
  <si>
    <t>https://www.proquest.com/docview/1822890585?accountid=131239&amp;bdid=51804&amp;_bd=dRT4SJet797SRjaVSENz11U66Wk%3D</t>
  </si>
  <si>
    <t>Russell-Chapin, Lori; DeNure, Bryan</t>
  </si>
  <si>
    <t>https://www.proquest.com/docview/1822890106?accountid=131239&amp;bdid=51804&amp;_bd=9i2pKZFrWTcTqedekYJxnrFno1Y%3D</t>
  </si>
  <si>
    <t>https://www.proquest.com/docview/1822890624?accountid=131239&amp;bdid=51804&amp;_bd=pZxpFbC6Duz81ku8W42H1Jpe16g%3D</t>
  </si>
  <si>
    <t>Haley, Jay; Richeport-Haley, Madeleine</t>
  </si>
  <si>
    <t>https://www.proquest.com/docview/1822890985?accountid=131239&amp;bdid=51804&amp;_bd=DMDUjCQzs9Y8B4oo2kYSgUQboPo%3D</t>
  </si>
  <si>
    <t>https://www.proquest.com/docview/1822890628?accountid=131239&amp;bdid=51804&amp;_bd=fYA6D2rQ2rsJCEPw2wwHf13h1nQ%3D</t>
  </si>
  <si>
    <t>Brooks-Harris, Jeff; Oliveira-Berry, Jill</t>
  </si>
  <si>
    <t>https://www.proquest.com/docview/1822889904?accountid=131239&amp;bdid=51804&amp;_bd=fxET5AJXsFSFqn9fPlOPzr9RtZw%3D</t>
  </si>
  <si>
    <t>https://www.proquest.com/docview/1834844594?accountid=131239&amp;bdid=51804&amp;_bd=QTB2ubV0dYbnSwKY4Xx0cEbLnpw%3D</t>
  </si>
  <si>
    <t>Derald Wing Sue</t>
  </si>
  <si>
    <t>https://www.proquest.com/docview/1822889907?accountid=131239&amp;bdid=51804&amp;_bd=bcFFTyBn6d%2Bu2rZ4FXEsDnevIUE%3D</t>
  </si>
  <si>
    <t>https://www.proquest.com/docview/1822802496?accountid=131239&amp;bdid=51804&amp;_bd=aQBVEkhnCiufwfYAI9Y7rufJXSw%3D</t>
  </si>
  <si>
    <t>https://www.proquest.com/docview/1823044792?accountid=131239&amp;bdid=51804&amp;_bd=NXrurBIY9NkVQu66nfN4DVi2Wxc%3D</t>
  </si>
  <si>
    <t>Sweeney, Thomas</t>
  </si>
  <si>
    <t>https://www.proquest.com/docview/1822889988?accountid=131239&amp;bdid=51804&amp;_bd=%2FP4ofIpk%2Fp%2B4GPCkeQ6a%2BTPhz0w%3D</t>
  </si>
  <si>
    <t>Dolan, Yvonne</t>
  </si>
  <si>
    <t>https://www.proquest.com/docview/1822889989?accountid=131239&amp;bdid=51804&amp;_bd=4vL0zYDdExPHIe98eOl03z0OK%2Fo%3D</t>
  </si>
  <si>
    <t>https://www.proquest.com/docview/1822891286?accountid=131239&amp;bdid=51804&amp;_bd=BrAy5rT6yuJC%2BfcQN4r1TOyLsR8%3D</t>
  </si>
  <si>
    <t>Sedlacek, William</t>
  </si>
  <si>
    <t>https://www.proquest.com/docview/1822890110?accountid=131239&amp;bdid=51804&amp;_bd=FTy2b6m0vwbOB4Hks5daPHQBq3k%3D</t>
  </si>
  <si>
    <t>https://www.proquest.com/docview/1822890074?accountid=131239&amp;bdid=51804&amp;_bd=IuVAPjMw%2BWdUDKHhOjeR8nculq4%3D</t>
  </si>
  <si>
    <t>https://www.proquest.com/docview/1822891284?accountid=131239&amp;bdid=51804&amp;_bd=hp4zNBFkoj4rC4KUGz6hlE%2FY3ek%3D</t>
  </si>
  <si>
    <t>FarahA. Ibrahim</t>
  </si>
  <si>
    <t>https://www.proquest.com/docview/1822890196?accountid=131239&amp;bdid=51804&amp;_bd=pfMdLnavgSQ%2F5wOaEu17qeTgh6U%3D</t>
  </si>
  <si>
    <t>https://www.proquest.com/docview/1822890631?accountid=131239&amp;bdid=51804&amp;_bd=DpbtoFnu8POFct5RY3Q4yeu%2F8jk%3D</t>
  </si>
  <si>
    <t>https://www.proquest.com/docview/1822890078?accountid=131239&amp;bdid=51804&amp;_bd=4EnimJUgDntipbTOahRwycvZ9u0%3D</t>
  </si>
  <si>
    <t>Arredondo, Patricia; Krumboltz, John D; Carlson, Jon; Glasser, William</t>
  </si>
  <si>
    <t>https://www.proquest.com/docview/1822890595?accountid=131239&amp;bdid=51804&amp;_bd=hzCi28r94XjlmdcMcjBE2%2F%2BrNCg%3D</t>
  </si>
  <si>
    <t>https://www.proquest.com/docview/1822612268?accountid=131239&amp;bdid=51804&amp;_bd=9TrPok8uK%2BTWUCP0H5Ej5B4mR3E%3D</t>
  </si>
  <si>
    <t>Maria Montessori: Her Life and Legacy</t>
  </si>
  <si>
    <t>https://www.proquest.com/docview/1822891721?accountid=131239&amp;bdid=51804&amp;_bd=x4wDOLbFCDRucYqz19m1o%2FeVP2o%3D</t>
  </si>
  <si>
    <t>https://www.proquest.com/docview/1823044701?accountid=131239&amp;bdid=51804&amp;_bd=hhFKrPK7dni7qnQKw3opVtdVXgI%3D</t>
  </si>
  <si>
    <t>https://www.proquest.com/docview/1822714746?accountid=131239&amp;bdid=51804&amp;_bd=ImfqJvNK5dkesCumPscvLDsLA%2BE%3D</t>
  </si>
  <si>
    <t>https://www.proquest.com/docview/1822890685?accountid=131239&amp;bdid=51804&amp;_bd=7mGm1Jte5biZl%2FPVBdS4G2L11c0%3D</t>
  </si>
  <si>
    <t>https://www.proquest.com/docview/1822890562?accountid=131239&amp;bdid=51804&amp;_bd=J0T6PngyBWfEsxCAbmHPpE3Ej%2Bc%3D</t>
  </si>
  <si>
    <t>https://www.proquest.com/docview/1822890601?accountid=131239&amp;bdid=51804&amp;_bd=scWF3Epeq8hLvKstmlFVNqPblyQ%3D</t>
  </si>
  <si>
    <t>Campbell, Andrew</t>
  </si>
  <si>
    <t>https://www.proquest.com/docview/1822890687?accountid=131239&amp;bdid=51804&amp;_bd=MGU6dKF5VNNVpbF3AuWBonehX5g%3D</t>
  </si>
  <si>
    <t>Stahl, Philip</t>
  </si>
  <si>
    <t>https://www.proquest.com/docview/1822890727?accountid=131239&amp;bdid=51804&amp;_bd=7s6BTP1BjcdIWPPTk9FsXGSZW%2Bk%3D</t>
  </si>
  <si>
    <t>Davis, Gene A</t>
  </si>
  <si>
    <t>https://www.proquest.com/docview/1823018841?accountid=131239&amp;bdid=51804&amp;_bd=1P%2FFsEwYU7uQ7D%2FX5qvgGaoDpxY%3D</t>
  </si>
  <si>
    <t>Wills, Frank; Mearns, David C</t>
  </si>
  <si>
    <t>https://www.proquest.com/docview/1822890606?accountid=131239&amp;bdid=51804&amp;_bd=%2B9FlYwrjISgyoUyiq1wZ04eK62o%3D</t>
  </si>
  <si>
    <t>https://www.proquest.com/docview/1822889926?accountid=131239&amp;bdid=51804&amp;_bd=7rLMcTwNAEVPqbZWSlsEEPqtSdg%3D</t>
  </si>
  <si>
    <t>https://www.proquest.com/docview/1822714910?accountid=131239&amp;bdid=51804&amp;_bd=3ykVcH5UpkmZSJKyJZt9gS3LMrM%3D</t>
  </si>
  <si>
    <t>https://www.proquest.com/docview/1822889921?accountid=131239&amp;bdid=51804&amp;_bd=qp2Ht8M4C%2BdaJFRT5TfC1Ssf7zg%3D</t>
  </si>
  <si>
    <t>Derald Wing Sue; Parham, Thomas A; Banez, Lynn</t>
  </si>
  <si>
    <t>https://www.proquest.com/docview/1822890050?accountid=131239&amp;bdid=51804&amp;_bd=n8ij1GJYHlMcrFoERUGOM7o%2B18o%3D</t>
  </si>
  <si>
    <t>https://www.proquest.com/docview/1834844517?accountid=131239&amp;bdid=51804&amp;_bd=FRZpEXteUYqxakX6GdXUMQyRaew%3D</t>
  </si>
  <si>
    <t>Mary Bradford Ivey; Vazquez, Enedina; VÃ¡zquez, Luis A</t>
  </si>
  <si>
    <t>https://www.proquest.com/docview/1822890054?accountid=131239&amp;bdid=51804&amp;_bd=SnWJEjInAuF7L1uuQrJwjJnnyPk%3D</t>
  </si>
  <si>
    <t>Tuthill, Oliver W</t>
  </si>
  <si>
    <t>https://www.proquest.com/docview/1822890572?accountid=131239&amp;bdid=51804&amp;_bd=%2BAF7y69E3qmpm6pO1TQrS9FBy%2Bg%3D</t>
  </si>
  <si>
    <t>https://www.proquest.com/docview/1822890058?accountid=131239&amp;bdid=51804&amp;_bd=iXJJIwcfqNV4%2FeNtXKNHf9jTCn0%3D</t>
  </si>
  <si>
    <t>Pedersen, Paul B</t>
  </si>
  <si>
    <t>https://www.proquest.com/docview/1822890179?accountid=131239&amp;bdid=51804&amp;_bd=MW8bpEiYElXNkAXN54zdWvHxdSo%3D</t>
  </si>
  <si>
    <t>https://www.proquest.com/docview/1822890612?accountid=131239&amp;bdid=51804&amp;_bd=CHo6n1OKHdjqvoFaDNgFhGSwi%2FE%3D</t>
  </si>
  <si>
    <t>https://www.proquest.com/docview/1834844514?accountid=131239&amp;bdid=51804&amp;_bd=IAK36jff8SSeKfCZ%2B8vQbS09OLI%3D</t>
  </si>
  <si>
    <t>Parenting with the Experts: Discipline that Counts, in Parenting with the Experts, 4</t>
  </si>
  <si>
    <t>Phelan, Thomas</t>
  </si>
  <si>
    <t>https://www.proquest.com/docview/1957752429?accountid=131239&amp;bdid=51804&amp;_bd=tLsJ3H%2F26aT7rbfGHGcuDbqp0DI%3D</t>
  </si>
  <si>
    <t>https://www.proquest.com/docview/1822891028?accountid=131239&amp;bdid=51804&amp;_bd=0Hi8T1PEv7ZDrLuPp5%2BqrhacgVA%3D</t>
  </si>
  <si>
    <t>https://www.proquest.com/docview/1822890616?accountid=131239&amp;bdid=51804&amp;_bd=hckWuPA2FzsJZN2M%2B01EBpSdIB8%3D</t>
  </si>
  <si>
    <t>https://www.proquest.com/docview/1822889993?accountid=131239&amp;bdid=51804&amp;_bd=q0wb1Vf%2FvWd1F2BR7HTVB3BsWVo%3D</t>
  </si>
  <si>
    <t>Ivey, Allen E; Pier, Patricia Taimanglo</t>
  </si>
  <si>
    <t>https://www.proquest.com/docview/1822889999?accountid=131239&amp;bdid=51804&amp;_bd=geSbEbfgxPijOp4qWCqVGWHHLGo%3D</t>
  </si>
  <si>
    <t>https://www.proquest.com/docview/1822891232?accountid=131239&amp;bdid=51804&amp;_bd=GngYof8WbwE%2FmXs6ZaP0VBp%2BfWc%3D</t>
  </si>
  <si>
    <t>https://www.proquest.com/docview/1823055414?accountid=131239&amp;bdid=51804&amp;_bd=LTr7J9OBslAUlSceDbTcbA6amNI%3D</t>
  </si>
  <si>
    <t>LaFromboise, Teresa</t>
  </si>
  <si>
    <t>https://www.proquest.com/docview/1822890663?accountid=131239&amp;bdid=51804&amp;_bd=cdof47QolVjQRCCAMaQwtk7wVLY%3D</t>
  </si>
  <si>
    <t>https://www.proquest.com/docview/1822715072?accountid=131239&amp;bdid=51804&amp;_bd=imbBFbabYq9fOVy6HbaMtN%2F0OeI%3D</t>
  </si>
  <si>
    <t>https://www.proquest.com/docview/1822890023?accountid=131239&amp;bdid=51804&amp;_bd=%2BJk2MzF0pAYnxUwj6vpja2Hap9Y%3D</t>
  </si>
  <si>
    <t>https://www.proquest.com/docview/1822890662?accountid=131239&amp;bdid=51804&amp;_bd=J8r%2BVcZO1NxS%2FCm37DGxlXtBMJM%3D</t>
  </si>
  <si>
    <t>https://www.proquest.com/docview/1822890029?accountid=131239&amp;bdid=51804&amp;_bd=PgCzCd4OcnkSicDHEJkAn9vKj4Y%3D</t>
  </si>
  <si>
    <t>Kenney, Kelley R; Kenney, Mark E</t>
  </si>
  <si>
    <t>https://www.proquest.com/docview/1822889946?accountid=131239&amp;bdid=51804&amp;_bd=jpZD6Di7DheTrnm2cD5gMMtiUhk%3D</t>
  </si>
  <si>
    <t>Pack-Brown, Sherlon; Whittington-Clark, Linda; Parker, Max</t>
  </si>
  <si>
    <t>https://www.proquest.com/docview/1822889948?accountid=131239&amp;bdid=51804&amp;_bd=9tx%2FgbOox%2BIGNVBFw3GscHl7GYI%3D</t>
  </si>
  <si>
    <t>https://www.proquest.com/docview/1822891758?accountid=131239&amp;bdid=51804&amp;_bd=pnG9byoqgct5alV6Q7jlgsCR4eI%3D</t>
  </si>
  <si>
    <t>https://www.proquest.com/docview/1822890706?accountid=131239&amp;bdid=51804&amp;_bd=PjPRMuEEMWWok9cJnn2phKiOudI%3D</t>
  </si>
  <si>
    <t>https://www.proquest.com/docview/1823054847?accountid=131239&amp;bdid=51804&amp;_bd=vMpQTSCZB3CApdx4TqRgMz1S0KU%3D</t>
  </si>
  <si>
    <t>Frankl, Viktor</t>
  </si>
  <si>
    <t>https://www.proquest.com/docview/1823051734?accountid=131239&amp;bdid=51804&amp;_bd=6Ua9fC022Qjc63%2BCt0uBTG%2BP%2B9o%3D</t>
  </si>
  <si>
    <t>Ivey, Allen E; Mary Bradford Ivey; Banez, Lynn</t>
  </si>
  <si>
    <t>https://www.proquest.com/docview/1822889940?accountid=131239&amp;bdid=51804&amp;_bd=CPySlsP%2Fh4Xm1Nv68TNbQES38mE%3D</t>
  </si>
  <si>
    <t>https://www.proquest.com/docview/1892131494?accountid=131239&amp;bdid=51804&amp;_bd=FdM86zsOtQxGM04qcWBFr0xazIc%3D</t>
  </si>
  <si>
    <t>Warner, Margaret; Winik, Jay</t>
  </si>
  <si>
    <t>https://www.proquest.com/docview/1822697434?accountid=131239&amp;bdid=51804&amp;_bd=rfRLXmcYMXAkKFMchaWjcKerIhw%3D</t>
  </si>
  <si>
    <t>https://www.proquest.com/docview/1823052037?accountid=131239&amp;bdid=51804&amp;_bd=8yqCGpoNq3Dt4Y%2BNeKGwFAvRanE%3D</t>
  </si>
  <si>
    <t>https://www.proquest.com/docview/1892127556?accountid=131239&amp;bdid=51804&amp;_bd=0AHd1NX%2BeQbRLS4wMu0N8lWZy4c%3D</t>
  </si>
  <si>
    <t>https://www.proquest.com/docview/1822890673?accountid=131239&amp;bdid=51804&amp;_bd=iMoFsbI6AMX7lKEW7jxkYs2wwhc%3D</t>
  </si>
  <si>
    <t>Wills, Frank; Egan, Gerard</t>
  </si>
  <si>
    <t>https://www.proquest.com/docview/1822890715?accountid=131239&amp;bdid=51804&amp;_bd=cfowjVEcqnzrXSaZu8l8VnfPr%2Fg%3D</t>
  </si>
  <si>
    <t>https://www.proquest.com/docview/1822889936?accountid=131239&amp;bdid=51804&amp;_bd=dRHUcbohheI5Grnc5iXl0j7k0e4%3D</t>
  </si>
  <si>
    <t>https://www.proquest.com/docview/1822889930?accountid=131239&amp;bdid=51804&amp;_bd=W53dEKorYlQ4g6ktFSROJyph%2FDQ%3D</t>
  </si>
  <si>
    <t>VÃ¡zquez, Luis A</t>
  </si>
  <si>
    <t>https://www.proquest.com/docview/1822890087?accountid=131239&amp;bdid=51804&amp;_bd=u54PErFjrSB6equzojuzIbGzVM8%3D</t>
  </si>
  <si>
    <t>https://www.proquest.com/docview/1822890121?accountid=131239&amp;bdid=51804&amp;_bd=%2B5qxb2h1RyA5SYmSZz2TnbBpRNE%3D</t>
  </si>
  <si>
    <t>https://www.proquest.com/docview/1822890000?accountid=131239&amp;bdid=51804&amp;_bd=3giO1SEBBxmyKegNWGfJxg4Z2g4%3D</t>
  </si>
  <si>
    <t>D'Andrea, Michael; Daniels, Judy; Cartwright, Brenda</t>
  </si>
  <si>
    <t>https://www.proquest.com/docview/1822890088?accountid=131239&amp;bdid=51804&amp;_bd=ahKfnY2lkzPYOJzGXWIF%2BHyR1Bc%3D</t>
  </si>
  <si>
    <t>https://www.proquest.com/docview/1822890641?accountid=131239&amp;bdid=51804&amp;_bd=NJv3%2B3CA9ka1MFdT38oFt%2FhQ36Q%3D</t>
  </si>
  <si>
    <t>https://www.proquest.com/docview/1823052081?accountid=131239&amp;bdid=51804&amp;_bd=xWWaS5C1a5%2FG0P7RyT%2FiCIS%2BKhQ%3D</t>
  </si>
  <si>
    <t>https://www.proquest.com/docview/1822890001?accountid=131239&amp;bdid=51804&amp;_bd=A7cXNNEPWnsNUC599dYEP3yUDVM%3D</t>
  </si>
  <si>
    <t>https://www.proquest.com/docview/1822715092?accountid=131239&amp;bdid=51804&amp;_bd=vM%2B2Vsf78BUpBwKKBpJcLInnqVo%3D</t>
  </si>
  <si>
    <t>Simmons, Mike; James, Norma</t>
  </si>
  <si>
    <t>https://www.proquest.com/docview/1822890645?accountid=131239&amp;bdid=51804&amp;_bd=RrjPZXbfVlEUaCB9%2BcTnAHlzh0Y%3D</t>
  </si>
  <si>
    <t>https://www.proquest.com/docview/1822890006?accountid=131239&amp;bdid=51804&amp;_bd=7s7rKPhbZPC2blQnQxxEJfRkXz4%3D</t>
  </si>
  <si>
    <t>https://www.proquest.com/docview/1823044418?accountid=131239&amp;bdid=51804&amp;_bd=WX4HTH6PJBJAspAwcZZpXH1wKO0%3D</t>
  </si>
  <si>
    <t>https://www.proquest.com/docview/1822891736?accountid=131239&amp;bdid=51804&amp;_bd=%2F8NT7PHuSxJjI%2BOMr%2BJusoyboIY%3D</t>
  </si>
  <si>
    <t>https://www.proquest.com/docview/1822890647?accountid=131239&amp;bdid=51804&amp;_bd=NX4scAT3wJh3az8d10CI%2FoJGxq0%3D</t>
  </si>
  <si>
    <t>https://www.proquest.com/docview/1823044657?accountid=131239&amp;bdid=51804&amp;_bd=N1DGvhAD3vVqCFa7S5XIl7y1F0o%3D</t>
  </si>
  <si>
    <t>Parenting with the Experts: Step-Families, in Parenting with the Experts, 3</t>
  </si>
  <si>
    <t>Bray, James H</t>
  </si>
  <si>
    <t>https://www.proquest.com/docview/1957752476?accountid=131239&amp;bdid=51804&amp;_bd=SpeOBHahy2n1Rt6WcuRvGiGsMSs%3D</t>
  </si>
  <si>
    <t>https://www.proquest.com/docview/1823055119?accountid=131239&amp;bdid=51804&amp;_bd=mOxO2bBB3iPD9KCPw4RyYCDj14M%3D</t>
  </si>
  <si>
    <t>Ramirez, Manuel</t>
  </si>
  <si>
    <t>https://www.proquest.com/docview/1822890090?accountid=131239&amp;bdid=51804&amp;_bd=3jh6xHIUSVvpf2oMZ52RswJkyhg%3D</t>
  </si>
  <si>
    <t>https://www.proquest.com/docview/1823054827?accountid=131239&amp;bdid=51804&amp;_bd=Nwa3%2BU8AJFmXqk9dRvgbhtcxRfg%3D</t>
  </si>
  <si>
    <t>https://www.proquest.com/docview/1823052092?accountid=131239&amp;bdid=51804&amp;_bd=MhD73vZ3hjWWAhadi93qH14Tb%2BI%3D</t>
  </si>
  <si>
    <t>https://www.proquest.com/docview/1822890651?accountid=131239&amp;bdid=51804&amp;_bd=9J4KFV3DEBEaDRfdQFlyCNlsEFc%3D</t>
  </si>
  <si>
    <t>https://www.proquest.com/docview/1822890018?accountid=131239&amp;bdid=51804&amp;_bd=ac6oO%2FBb7wkLLXHXEdpkIWMSVBs%3D</t>
  </si>
  <si>
    <t>https://www.proquest.com/docview/1823044527?accountid=131239&amp;bdid=51804&amp;_bd=wpV6fEiPR0f%2B2U01zNHUrM87534%3D</t>
  </si>
  <si>
    <t>Derald Wing Sue; Kiselica, Mark S</t>
  </si>
  <si>
    <t>https://www.proquest.com/docview/1822890019?accountid=131239&amp;bdid=51804&amp;_bd=yLg%2BVVY%2BFH73wtE%2BPv1NlGgHyXY%3D</t>
  </si>
  <si>
    <t>https://www.proquest.com/docview/1823055090?accountid=131239&amp;bdid=51804&amp;_bd=miI02%2FDAsKokfpdRwdXLntm%2FMdc%3D</t>
  </si>
  <si>
    <t>https://www.proquest.com/docview/1822889953?accountid=131239&amp;bdid=51804&amp;_bd=RiuXewbs%2FFAfclITrnCQjZIzBdA%3D</t>
  </si>
  <si>
    <t>https://www.proquest.com/docview/1822840362?accountid=131239&amp;bdid=51804&amp;_bd=lM62de8NrkU2yQnxyuvTInV1xK0%3D</t>
  </si>
  <si>
    <t>https://www.proquest.com/docview/1822890061?accountid=131239&amp;bdid=51804&amp;_bd=bN%2FL0wBkdno6KA%2BPrQcVeXNA4Dw%3D</t>
  </si>
  <si>
    <t>Steele, Claude; Dividio, John</t>
  </si>
  <si>
    <t>https://www.proquest.com/docview/1822890065?accountid=131239&amp;bdid=51804&amp;_bd=ZDVsAOjUcHPZ4BBvamHgtBVzkRA%3D</t>
  </si>
  <si>
    <t>https://www.proquest.com/docview/1822890066?accountid=131239&amp;bdid=51804&amp;_bd=IQepm6n9ab%2FtLI7mBC0yRurkmx4%3D</t>
  </si>
  <si>
    <t>Richeport-Haley, Madeleine; Haley, Jay</t>
  </si>
  <si>
    <t>https://www.proquest.com/docview/1822891032?accountid=131239&amp;bdid=51804&amp;_bd=FBC8Cacr59NhzJIkM3K5Z0jhDOs%3D</t>
  </si>
  <si>
    <t>Carlson, Jon; Kjos, Diane; Miller, Scott D</t>
  </si>
  <si>
    <t>https://www.proquest.com/docview/1822891035?accountid=131239&amp;bdid=51804&amp;_bd=L2vYne9pyWCOnQkFRBPhs7MWy5k%3D</t>
  </si>
  <si>
    <t>Carlson, Jon; Kjos, Diane; Beck, Judith S</t>
  </si>
  <si>
    <t>https://www.proquest.com/docview/1822890980?accountid=131239&amp;bdid=51804&amp;_bd=rd%2B0eqnPbW0uu8Vz9fjhDKVcOKc%3D</t>
  </si>
  <si>
    <t>Brooks-Harris, Jeff; Winter Hamada</t>
  </si>
  <si>
    <t>https://www.proquest.com/docview/1822890188?accountid=131239&amp;bdid=51804&amp;_bd=pOheCw1tg60XXEs2Jhja%2BflX2vk%3D</t>
  </si>
  <si>
    <t>Gazda, George</t>
  </si>
  <si>
    <t>https://www.proquest.com/docview/1822890101?accountid=131239&amp;bdid=51804&amp;_bd=u3Tuee8c5d46W3Rs0rH852oL0jo%3D</t>
  </si>
  <si>
    <t>Carlson, Jon; Kjos, Diane; Shapiro, Francine</t>
  </si>
  <si>
    <t>https://www.proquest.com/docview/1822890981?accountid=131239&amp;bdid=51804&amp;_bd=J8ILWykyEfTIoEQqeBVch1bu9iQ%3D</t>
  </si>
  <si>
    <t>https://www.proquest.com/docview/1822890068?accountid=131239&amp;bdid=51804&amp;_bd=b9EKwwETPwkGd0WyUtKJrdavWM8%3D</t>
  </si>
  <si>
    <t>Weiner-Davis, Michelle</t>
  </si>
  <si>
    <t>https://www.proquest.com/docview/1823052062?accountid=131239&amp;bdid=51804&amp;_bd=G6YOGlkMmkOpqB4AY%2BGsCMx0PGk%3D</t>
  </si>
  <si>
    <t>Harris, Gail</t>
  </si>
  <si>
    <t>https://www.proquest.com/docview/1822890589?accountid=131239&amp;bdid=51804&amp;_bd=2EzYymXYKeKyJerM%2B%2BFwKCxIgiw%3D</t>
  </si>
  <si>
    <t>Building Literacy Competencies in Early Childhood</t>
  </si>
  <si>
    <t>https://www.proquest.com/docview/1822891678?accountid=131239&amp;bdid=51804&amp;_bd=NvxAtFURLbzByWgJyZeTrNG9usQ%3D</t>
  </si>
  <si>
    <t>Moss, Onawumi Jean</t>
  </si>
  <si>
    <t>https://www.proquest.com/docview/1822889984?accountid=131239&amp;bdid=51804&amp;_bd=m13NTA5nmBSKCwH33KEKy8FELN4%3D</t>
  </si>
  <si>
    <t>https://www.proquest.com/docview/1822697477?accountid=131239&amp;bdid=51804&amp;_bd=CZAcacOs3g4Zfe%2FPob7PXkRaQD0%3D</t>
  </si>
  <si>
    <t>https://www.proquest.com/docview/1823051658?accountid=131239&amp;bdid=51804&amp;_bd=JfScZtw7E191mEOcuGIHJCorrqg%3D</t>
  </si>
  <si>
    <t>D'Andrea, Michael; Reid, Pamela</t>
  </si>
  <si>
    <t>https://www.proquest.com/docview/1822890197?accountid=131239&amp;bdid=51804&amp;_bd=4MuFVstlpSXKGvuhVWWUvXBDzG0%3D</t>
  </si>
  <si>
    <t>John Dewey: His Life and Work</t>
  </si>
  <si>
    <t>https://www.proquest.com/docview/1822891682?accountid=131239&amp;bdid=51804&amp;_bd=amLyeXTIvoMjK346SQzrN%2Fcch%2F0%3D</t>
  </si>
  <si>
    <t>Carlson, Jon; Kjos, Diane; Lankton, Stephen R</t>
  </si>
  <si>
    <t>https://www.proquest.com/docview/1822891045?accountid=131239&amp;bdid=51804&amp;_bd=yd0KgWHNhYkZZCvQd8HHyaAbdFc%3D</t>
  </si>
  <si>
    <t>https://www.proquest.com/docview/1822891042?accountid=131239&amp;bdid=51804&amp;_bd=xYEsQUVRwY1SXglad1%2BIgeeiDhs%3D</t>
  </si>
  <si>
    <t>Lesbian, Bisexual, Gay &amp; Transgendered Youth Counseling: Affirmative Practice in Schools, Communities, and Families, in Lesbian, Bisexual, Gay &amp; Transgendered Counseling, 2</t>
  </si>
  <si>
    <t>Chen-Hayes, Stuart; Banez, Lynn</t>
  </si>
  <si>
    <t>https://www.proquest.com/docview/1822890075?accountid=131239&amp;bdid=51804&amp;_bd=Fyd96jIy4mX0UKyFpggdiSVh0g8%3D</t>
  </si>
  <si>
    <t>https://www.proquest.com/docview/1822891043?accountid=131239&amp;bdid=51804&amp;_bd=9mfk%2FdwOEBVQxN7H1jmRZeX2IaA%3D</t>
  </si>
  <si>
    <t>Carlson, Jon; Kjos, Diane; Yapko, Michael D</t>
  </si>
  <si>
    <t>https://www.proquest.com/docview/1822891046?accountid=131239&amp;bdid=51804&amp;_bd=wcQXPfL%2BSgAGMrtc%2Bn5VTPD0SzA%3D</t>
  </si>
  <si>
    <t>https://www.proquest.com/docview/1822891047?accountid=131239&amp;bdid=51804&amp;_bd=hKuEbg9AHaemeSDiJXpO0mN8j2k%3D</t>
  </si>
  <si>
    <t>Gendlin, Eugene</t>
  </si>
  <si>
    <t>https://www.proquest.com/docview/1823052194?accountid=131239&amp;bdid=51804&amp;_bd=bqneOlDTswMmtoG2gUYif8fE1bU%3D</t>
  </si>
  <si>
    <t>Stanley, Sue</t>
  </si>
  <si>
    <t>https://www.proquest.com/docview/1822890118?accountid=131239&amp;bdid=51804&amp;_bd=cYUuR92lPBRVDHF0lKEkbmmsQLI%3D</t>
  </si>
  <si>
    <t>Hendricks, Kathlyn; Hendricks, Gay</t>
  </si>
  <si>
    <t>https://www.proquest.com/docview/1823052074?accountid=131239&amp;bdid=51804&amp;_bd=KW6C9kSlocSMbcGsxbJMtInqKrA%3D</t>
  </si>
  <si>
    <t>Carlson, Jon; Kjos, Diane; Selekman, Matthew</t>
  </si>
  <si>
    <t>https://www.proquest.com/docview/1822890995?accountid=131239&amp;bdid=51804&amp;_bd=vXLAJukIgjoumlKk61bUwqUsMoI%3D</t>
  </si>
  <si>
    <t>https://www.proquest.com/docview/1822889979?accountid=131239&amp;bdid=51804&amp;_bd=quY4jOaskeBu6SR%2BFFWCji7pzgA%3D</t>
  </si>
  <si>
    <t>Carlson, Jon; Kjos, Diane; Hoyt, Michael</t>
  </si>
  <si>
    <t>https://www.proquest.com/docview/1822890999?accountid=131239&amp;bdid=51804&amp;_bd=017p3JsquP3zNuqBLSl1%2BJ54Ul4%3D</t>
  </si>
  <si>
    <t>https://www.proquest.com/docview/1822455417?accountid=131239&amp;bdid=51804&amp;_bd=%2FZCiktwqrYzwjAAbqSejhcjWipY%3D</t>
  </si>
  <si>
    <t>Carlson, Jon; Kjos, Diane; Andreas, Steve</t>
  </si>
  <si>
    <t>https://www.proquest.com/docview/1865598165?accountid=131239&amp;bdid=51804&amp;_bd=4vbQ9ZxbNxIlNWRMaUIDy%2Fvicuw%3D</t>
  </si>
  <si>
    <t>https://www.proquest.com/docview/1822714520?accountid=131239&amp;bdid=51804&amp;_bd=oTWVoD7w6fGL6wBbkqxQgAnZB5A%3D</t>
  </si>
  <si>
    <t>https://www.proquest.com/docview/1823054986?accountid=131239&amp;bdid=51804&amp;_bd=ga6GEv9%2FC3pNh6El5kW888OoHMA%3D</t>
  </si>
  <si>
    <t>Carlson, Jon; Kjos, Diane; Papp, Peggy</t>
  </si>
  <si>
    <t>https://www.proquest.com/docview/1822891012?accountid=131239&amp;bdid=51804&amp;_bd=LSwVia11y6awycRp5xiKN9IQ9RQ%3D</t>
  </si>
  <si>
    <t>Moreno, Zerka T</t>
  </si>
  <si>
    <t>https://www.proquest.com/docview/1823051752?accountid=131239&amp;bdid=51804&amp;_bd=TMlC4mgTLCtERwPCCe77C4LxHjU%3D</t>
  </si>
  <si>
    <t>Gray, John</t>
  </si>
  <si>
    <t>https://www.proquest.com/docview/1823052049?accountid=131239&amp;bdid=51804&amp;_bd=6PE%2F1gxQGJkkBYZqAMJuHkiOiHg%3D</t>
  </si>
  <si>
    <t>Adolescent Cognition</t>
  </si>
  <si>
    <t>https://www.proquest.com/docview/1822891771?accountid=131239&amp;bdid=51804&amp;_bd=b3GSu1M9yJDh%2BEBV0yI9lrdrPyA%3D</t>
  </si>
  <si>
    <t>Faller, KathleenCoulborn</t>
  </si>
  <si>
    <t>https://www.proquest.com/docview/1822890680?accountid=131239&amp;bdid=51804&amp;_bd=j3DJxdlMb6NJtdvloHf9mM7PzXY%3D</t>
  </si>
  <si>
    <t>https://www.proquest.com/docview/1822891013?accountid=131239&amp;bdid=51804&amp;_bd=voLwzjS%2FJDAiU5owqY5XNpFHswM%3D</t>
  </si>
  <si>
    <t>https://www.proquest.com/docview/1822890046?accountid=131239&amp;bdid=51804&amp;_bd=98ND45p1Z2mqJ0iCtGSYUelkLzk%3D</t>
  </si>
  <si>
    <t>Berman, Alan</t>
  </si>
  <si>
    <t>https://www.proquest.com/docview/1822890684?accountid=131239&amp;bdid=51804&amp;_bd=CLX%2BpvpmcUWEwPSttWV%2B9TIaiX0%3D</t>
  </si>
  <si>
    <t>Carlson, Jon; Kjos, Diane; Freeman, Arthur</t>
  </si>
  <si>
    <t>https://www.proquest.com/docview/1822891019?accountid=131239&amp;bdid=51804&amp;_bd=0%2B%2BO7czxW3857rwVlaD6NduW0Qk%3D</t>
  </si>
  <si>
    <t>Carlson, Jon; Glasser, William; Kjos, Diane</t>
  </si>
  <si>
    <t>https://www.proquest.com/docview/1822891018?accountid=131239&amp;bdid=51804&amp;_bd=Cl3A8iPeG02Yw5LyPDlGNKJzpgY%3D</t>
  </si>
  <si>
    <t>https://www.proquest.com/docview/1822890728?accountid=131239&amp;bdid=51804&amp;_bd=mnopsKecUs5BkfQoStg9PVe4X60%3D</t>
  </si>
  <si>
    <t>https://www.proquest.com/docview/1823051632?accountid=131239&amp;bdid=51804&amp;_bd=dKqd25dUjOq7sq0LYVqjantB97Q%3D</t>
  </si>
  <si>
    <t>Santiago-Rivera, Azara L; VÃ¡zquez, Luis A</t>
  </si>
  <si>
    <t>https://www.proquest.com/docview/1822889922?accountid=131239&amp;bdid=51804&amp;_bd=jEhvB6Je4mJGL7CWEzfuyFOgUyI%3D</t>
  </si>
  <si>
    <t>https://www.proquest.com/docview/1822714497?accountid=131239&amp;bdid=51804&amp;_bd=vLfJZyPbUVv1xu6IaPqmZjVXhMI%3D</t>
  </si>
  <si>
    <t>Polster, Miriam</t>
  </si>
  <si>
    <t>https://www.proquest.com/docview/1823052175?accountid=131239&amp;bdid=51804&amp;_bd=Fqiae23ecxm%2B3%2FAQk%2FrXAHt5cts%3D</t>
  </si>
  <si>
    <t>https://www.proquest.com/docview/1822890055?accountid=131239&amp;bdid=51804&amp;_bd=4GUYIMSUxdmJubZmgTU3VlaJG%2FU%3D</t>
  </si>
  <si>
    <t>https://www.proquest.com/docview/1822890052?accountid=131239&amp;bdid=51804&amp;_bd=WIv7x8wdyxhMcMR4hDafhsgWJTk%3D</t>
  </si>
  <si>
    <t>https://www.proquest.com/docview/1822890691?accountid=131239&amp;bdid=51804&amp;_bd=vh43j7W%2FjTCde5oltrQEYbDYgxA%3D</t>
  </si>
  <si>
    <t>https://www.proquest.com/docview/1822891026?accountid=131239&amp;bdid=51804&amp;_bd=HxfOhOhAAUu3lp6R8K6cw6F7eGk%3D</t>
  </si>
  <si>
    <t>https://www.proquest.com/docview/1822890694?accountid=131239&amp;bdid=51804&amp;_bd=GGTtc9ayJV%2FH3d8r0tN9Ul%2B3CjA%3D</t>
  </si>
  <si>
    <t>Ryan, Robert M</t>
  </si>
  <si>
    <t>https://www.proquest.com/docview/1822890178?accountid=131239&amp;bdid=51804&amp;_bd=YwkuQ84oh%2F9IRz%2FxMLDtHRJklZs%3D</t>
  </si>
  <si>
    <t>Carlson, Jon; McCullough, Leigh; Kjos, Diane</t>
  </si>
  <si>
    <t>https://www.proquest.com/docview/1822891025?accountid=131239&amp;bdid=51804&amp;_bd=VqgaqOn2gvv7y86A9g0GNPNLIS0%3D</t>
  </si>
  <si>
    <t>Gil, Eliana</t>
  </si>
  <si>
    <t>https://www.proquest.com/docview/1822890734?accountid=131239&amp;bdid=51804&amp;_bd=c2EtL1UOB6tDh7I83xQt8u9YStw%3D</t>
  </si>
  <si>
    <t>Rapee, Ronald M</t>
  </si>
  <si>
    <t>https://www.proquest.com/docview/1822890699?accountid=131239&amp;bdid=51804&amp;_bd=Nn8hcVBTJJJY1Towht4qDFMtz2s%3D</t>
  </si>
  <si>
    <t>https://www.proquest.com/docview/1822674801?accountid=131239&amp;bdid=51804&amp;_bd=%2FzdTW9QR%2FpO1WiGdf1JsPqfrbVM%3D</t>
  </si>
  <si>
    <t>Carlson, Jon; Kjos, Diane; Sperry, Len</t>
  </si>
  <si>
    <t>https://www.proquest.com/docview/1865600510?accountid=131239&amp;bdid=51804&amp;_bd=HgybtMAjDbfYra8DAgVe869YjAQ%3D</t>
  </si>
  <si>
    <t>Ellis, Albert</t>
  </si>
  <si>
    <t>https://www.proquest.com/docview/1823055014?accountid=131239&amp;bdid=51804&amp;_bd=ShfyePisJ7WMvpJbBr7oPzU30sY%3D</t>
  </si>
  <si>
    <t>https://www.proquest.com/docview/1823051696?accountid=131239&amp;bdid=51804&amp;_bd=iroySyijqwAHlHEW0%2BqogLpLZn8%3D</t>
  </si>
  <si>
    <t>https://www.proquest.com/docview/1822890666?accountid=131239&amp;bdid=51804&amp;_bd=Ev2YliX591pVeLGknX%2FmiHFmnis%3D</t>
  </si>
  <si>
    <t>Iyama, Tina</t>
  </si>
  <si>
    <t>https://www.proquest.com/docview/1822890705?accountid=131239&amp;bdid=51804&amp;_bd=y6Ulkr4H%2FgMZfSeSi7Wr0j0WkRg%3D</t>
  </si>
  <si>
    <t>Lowen, Alexander</t>
  </si>
  <si>
    <t>https://www.proquest.com/docview/1823051616?accountid=131239&amp;bdid=51804&amp;_bd=1fb7SEhl3NqM4hTgR%2FljX9JLu9o%3D</t>
  </si>
  <si>
    <t>https://www.proquest.com/docview/1822890670?accountid=131239&amp;bdid=51804&amp;_bd=NsPXZ0lUU49RYl04q74Q%2FaSUQYQ%3D</t>
  </si>
  <si>
    <t>https://www.proquest.com/docview/1822890031?accountid=131239&amp;bdid=51804&amp;_bd=bC3v6RkuaoQ70ZqWXZe7xNSMDi0%3D</t>
  </si>
  <si>
    <t>Haley, Jay</t>
  </si>
  <si>
    <t>https://www.proquest.com/docview/1822891005?accountid=131239&amp;bdid=51804&amp;_bd=e6ZEKUOBms8hTzFNpAJbsM5tkGw%3D</t>
  </si>
  <si>
    <t>https://www.proquest.com/docview/1822722311?accountid=131239&amp;bdid=51804&amp;_bd=JRIdsSLUOKtmRfa5Y6QYJLow%2BQc%3D</t>
  </si>
  <si>
    <t>https://www.proquest.com/docview/1822891009?accountid=131239&amp;bdid=51804&amp;_bd=RbIm85DRvHpIzSe43hhPRgWpZtI%3D</t>
  </si>
  <si>
    <t>https://www.proquest.com/docview/1822890713?accountid=131239&amp;bdid=51804&amp;_bd=3i0gosj6vnkoWam2n4Gpl%2BhO8Vg%3D</t>
  </si>
  <si>
    <t>Barkley, Russell A</t>
  </si>
  <si>
    <t>https://www.proquest.com/docview/1822890717?accountid=131239&amp;bdid=51804&amp;_bd=YTRNir0inMgAsU61QUKK7%2FO%2BR3c%3D</t>
  </si>
  <si>
    <t>Parham, Thomas A; Adisa Ajamu</t>
  </si>
  <si>
    <t>https://www.proquest.com/docview/1822889933?accountid=131239&amp;bdid=51804&amp;_bd=4%2FWT9nbVFIoyhWVOIMV3ILc6NWE%3D</t>
  </si>
  <si>
    <t>https://www.proquest.com/docview/1822476338?accountid=131239&amp;bdid=51804&amp;_bd=N4HWeYJcR5GJq4hgveLaNVKN4%2B8%3D</t>
  </si>
  <si>
    <t>Stuart, Richard B</t>
  </si>
  <si>
    <t>https://www.proquest.com/docview/1823051989?accountid=131239&amp;bdid=51804&amp;_bd=j%2FU4rcQeZlhbMHULn7JpfNFU6J0%3D</t>
  </si>
  <si>
    <t>Russell-Chapin, Lori; Sherman, Nancy</t>
  </si>
  <si>
    <t>https://www.proquest.com/docview/1822890083?accountid=131239&amp;bdid=51804&amp;_bd=%2FuomXbh5lPFYLr%2F3hhcqhUuJ3eI%3D</t>
  </si>
  <si>
    <t>Unbalancing a Couple, in Learning and Teaching Therapy with Jay Haley, 8</t>
  </si>
  <si>
    <t>https://www.proquest.com/docview/1822891051?accountid=131239&amp;bdid=51804&amp;_bd=T4%2BQthMScdbl%2BrzYUwyFXi12ddw%3D</t>
  </si>
  <si>
    <t>Bugental, James F</t>
  </si>
  <si>
    <t>https://www.proquest.com/docview/1823054700?accountid=131239&amp;bdid=51804&amp;_bd=VjRzpiwRNW1DP3WpoE2nF8I7ri0%3D</t>
  </si>
  <si>
    <t>https://www.proquest.com/docview/1822891056?accountid=131239&amp;bdid=51804&amp;_bd=omA06vsATJ2%2F2JNOQySJHhdT3Cc%3D</t>
  </si>
  <si>
    <t>https://www.proquest.com/docview/1892046912?accountid=131239&amp;bdid=51804&amp;_bd=Uz2Ml6iV1%2B8FbFaKRDP81K08j4k%3D</t>
  </si>
  <si>
    <t>https://www.proquest.com/docview/1834844444?accountid=131239&amp;bdid=51804&amp;_bd=%2B12pQeIpXGSWytZGTpEf3KXPXFQ%3D</t>
  </si>
  <si>
    <t>https://www.proquest.com/docview/1822890125?accountid=131239&amp;bdid=51804&amp;_bd=1gRHAN3iEczbb5r%2Fy2xqP0GKF8M%3D</t>
  </si>
  <si>
    <t>https://www.proquest.com/docview/1822890763?accountid=131239&amp;bdid=51804&amp;_bd=7FzNgkatuEQw47t1ioTqe1PQC1w%3D</t>
  </si>
  <si>
    <t>https://www.proquest.com/docview/1822891058?accountid=131239&amp;bdid=51804&amp;_bd=nvlp2snqh%2B1oCkUZbED%2BJjus%2FL0%3D</t>
  </si>
  <si>
    <t>https://www.proquest.com/docview/1822891696?accountid=131239&amp;bdid=51804&amp;_bd=t3U1nx8QovlaJNM50T5dkBWMAXA%3D</t>
  </si>
  <si>
    <t>Interview With Sidney Bijou, in AABT Archive Series, 3</t>
  </si>
  <si>
    <t>Hayes, Steven C; Bijou, Sidney</t>
  </si>
  <si>
    <t>https://www.proquest.com/docview/2117508108?accountid=131239&amp;bdid=51804&amp;_bd=VB8gp10YyAEpWew8Md7bQUcd4jU%3D</t>
  </si>
  <si>
    <t>https://www.proquest.com/docview/1822891737?accountid=131239&amp;bdid=51804&amp;_bd=UpNRzm8qe5eXB8E5IgRLIr42BMM%3D</t>
  </si>
  <si>
    <t>Littrell, John M; Zinck, Kirk</t>
  </si>
  <si>
    <t>https://www.proquest.com/docview/1822889962?accountid=131239&amp;bdid=51804&amp;_bd=CbrvLAGHeOp3EgT448EJ2IKrass%3D</t>
  </si>
  <si>
    <t>https://www.proquest.com/docview/1822889967?accountid=131239&amp;bdid=51804&amp;_bd=sNjXN6tg48tLkH8GInfRlxGQPWM%3D</t>
  </si>
  <si>
    <t>https://www.proquest.com/docview/1823055400?accountid=131239&amp;bdid=51804&amp;_bd=vvnyyRSccU8NWEL7XFtlY9udYzg%3D</t>
  </si>
  <si>
    <t>D'Andrea, Michael</t>
  </si>
  <si>
    <t>https://www.proquest.com/docview/1822890095?accountid=131239&amp;bdid=51804&amp;_bd=7StmYeJJzao8DP%2FWeTuwJWncHKM%3D</t>
  </si>
  <si>
    <t>Carlson, Jon; Kjos, Diane; Keeney, Bradford</t>
  </si>
  <si>
    <t>https://www.proquest.com/docview/1822891060?accountid=131239&amp;bdid=51804&amp;_bd=EKy1gZ1RSIdzLTadda6IBtE%2BzOg%3D</t>
  </si>
  <si>
    <t>Leong, Frederick T L</t>
  </si>
  <si>
    <t>https://www.proquest.com/docview/1822890010?accountid=131239&amp;bdid=51804&amp;_bd=yhdnwIODGqLKJMH9EQ90hqtPm%2FY%3D</t>
  </si>
  <si>
    <t>https://www.proquest.com/docview/1822891067?accountid=131239&amp;bdid=51804&amp;_bd=ErSJRFirRu4MxT9V2COo4MNvruI%3D</t>
  </si>
  <si>
    <t>Conyne, Robert; Wilson, E Robert</t>
  </si>
  <si>
    <t>https://www.proquest.com/docview/1822890099?accountid=131239&amp;bdid=51804&amp;_bd=4PRhGhT86HXKMbPL%2BQqNQ%2FmQt4Y%3D</t>
  </si>
  <si>
    <t>Garnets, Linda</t>
  </si>
  <si>
    <t>https://www.proquest.com/docview/1822890096?accountid=131239&amp;bdid=51804&amp;_bd=jZ8f%2FIXOxrlUZFjcONCJJIam2WA%3D</t>
  </si>
  <si>
    <t>White, Joe; McDonald, Art; Okura, Patrick; Padilla, Amado</t>
  </si>
  <si>
    <t>https://www.proquest.com/docview/1822890130?accountid=131239&amp;bdid=51804&amp;_bd=LsjxJVp4%2Bh5gZZVwHyxFYXduKSU%3D</t>
  </si>
  <si>
    <t>Glasser, Carleen; Glasser, William</t>
  </si>
  <si>
    <t>https://www.proquest.com/docview/1823051684?accountid=131239&amp;bdid=51804&amp;_bd=yZqN%2Fvwvjikv%2FOguIO%2BMAF8o5yU%3D</t>
  </si>
  <si>
    <t>https://www.proquest.com/docview/1822890657?accountid=131239&amp;bdid=51804&amp;_bd=yXo4fWGEcKKwDveszK8y88OwYWs%3D</t>
  </si>
  <si>
    <t>Martinez, Art</t>
  </si>
  <si>
    <t>https://www.proquest.com/docview/1822889959?accountid=131239&amp;bdid=51804&amp;_bd=yPfuWlFqHhIvf4gNe0%2BcmdolaH0%3D</t>
  </si>
  <si>
    <t>https://www.proquest.com/docview/1823054761?accountid=131239&amp;bdid=51804&amp;_bd=hjxp8Kqlfe3thnsqN8Ii1CeJLyI%3D</t>
  </si>
  <si>
    <t>https://www.proquest.com/docview/1822890181?accountid=131239&amp;bdid=51804&amp;_bd=K6jtLR4qaZquLcRupsCamu4jLqM%3D</t>
  </si>
  <si>
    <t>https://www.proquest.com/docview/1822889991?accountid=131239&amp;bdid=51804&amp;_bd=3ORBs7%2Fgaw4mRQyvw7YF12AB0eE%3D</t>
  </si>
  <si>
    <t>https://www.proquest.com/docview/1822890587?accountid=131239&amp;bdid=51804&amp;_bd=Tv1H55ulAMgPzyr5O1zAU2TrZUY%3D</t>
  </si>
  <si>
    <t>Haley, Jay; Weakland, John</t>
  </si>
  <si>
    <t>https://www.proquest.com/docview/1822890983?accountid=131239&amp;bdid=51804&amp;_bd=9MegFUYpm3EfiuQMfp0cehpuYv0%3D</t>
  </si>
  <si>
    <t>https://www.proquest.com/docview/1822890741?accountid=131239&amp;bdid=51804&amp;_bd=cOgZIumEyNuO%2F7fkLw5Pa1jic10%3D</t>
  </si>
  <si>
    <t>Kottler, Jeffrey A</t>
  </si>
  <si>
    <t>https://www.proquest.com/docview/1822890103?accountid=131239&amp;bdid=51804&amp;_bd=RCcGVvXhif8MtTfUFtRDBVjdZXw%3D</t>
  </si>
  <si>
    <t>Hardiman, Rita</t>
  </si>
  <si>
    <t>https://www.proquest.com/docview/1822890067?accountid=131239&amp;bdid=51804&amp;_bd=%2FCRyZ%2FIkqV6JpUWqQBcvJz4E1B8%3D</t>
  </si>
  <si>
    <t>https://www.proquest.com/docview/1822701149?accountid=131239&amp;bdid=51804&amp;_bd=edG%2F6vjCSBSIF1WYmeDe7Sz0Qi0%3D</t>
  </si>
  <si>
    <t>https://www.proquest.com/docview/1822890744?accountid=131239&amp;bdid=51804&amp;_bd=co%2Bx9NjKkUfrA0E4lchYJhOQW2I%3D</t>
  </si>
  <si>
    <t>https://www.proquest.com/docview/1822890621?accountid=131239&amp;bdid=51804&amp;_bd=qcly8CZke19qMFlyQd80Ulv4w0g%3D</t>
  </si>
  <si>
    <t>https://www.proquest.com/docview/1822890588?accountid=131239&amp;bdid=51804&amp;_bd=u%2FY%2FoPbe1nioxjsvSq2WiY7PQ30%3D</t>
  </si>
  <si>
    <t>https://www.proquest.com/docview/1822890627?accountid=131239&amp;bdid=51804&amp;_bd=IQdj0MnHXypFchJ%2FIrZhow1Hd1s%3D</t>
  </si>
  <si>
    <t>Erik H. Erikson: A Life's Work</t>
  </si>
  <si>
    <t>https://www.proquest.com/docview/1822891717?accountid=131239&amp;bdid=51804&amp;_bd=ve3wO8zPNPSLhPvIz0KbKFqLHQ4%3D</t>
  </si>
  <si>
    <t>https://www.proquest.com/docview/1822890108?accountid=131239&amp;bdid=51804&amp;_bd=CXnssPyay6JjghRQirFjIv5bW34%3D</t>
  </si>
  <si>
    <t>Stockton, Rex</t>
  </si>
  <si>
    <t>https://www.proquest.com/docview/1822890109?accountid=131239&amp;bdid=51804&amp;_bd=Em5LeW33BNljdUqVDPTE06Q0hMw%3D</t>
  </si>
  <si>
    <t>Whitaker, Carl</t>
  </si>
  <si>
    <t>https://www.proquest.com/docview/1823052349?accountid=131239&amp;bdid=51804&amp;_bd=tTKhWvQYaTwYvCRMxsi4P1zEH7o%3D</t>
  </si>
  <si>
    <t>https://www.proquest.com/docview/1822671083?accountid=131239&amp;bdid=51804&amp;_bd=Cq%2Fh1Ty8HZ9Rg6LcrWNUCTfwsks%3D</t>
  </si>
  <si>
    <t>https://www.proquest.com/docview/1823054806?accountid=131239&amp;bdid=51804&amp;_bd=NBHGXp1zFviog1ZYH1jyTtCtZPA%3D</t>
  </si>
  <si>
    <t>https://www.proquest.com/docview/1822890190?accountid=131239&amp;bdid=51804&amp;_bd=rnM4vtxn9b5mwctLodMgmyREe7s%3D</t>
  </si>
  <si>
    <t>Ivey, Allen E; Mary Bradford Ivey; Norma Gluckstern Packard; Roberts, William L H</t>
  </si>
  <si>
    <t>https://www.proquest.com/docview/1822890073?accountid=131239&amp;bdid=51804&amp;_bd=PcG7Gnnc2zWDVu5ovOYqEOyuNgo%3D</t>
  </si>
  <si>
    <t>https://www.proquest.com/docview/1823055102?accountid=131239&amp;bdid=51804&amp;_bd=56yCmRvsoCe76DBH%2Bkf7jhd6PUE%3D</t>
  </si>
  <si>
    <t>Sweeney, Thomas; Myers, Jane</t>
  </si>
  <si>
    <t>https://www.proquest.com/docview/1822890070?accountid=131239&amp;bdid=51804&amp;_bd=Bd%2FGLQx7s1lRwedFkjiXVn8QW2o%3D</t>
  </si>
  <si>
    <t>https://www.proquest.com/docview/1822890071?accountid=131239&amp;bdid=51804&amp;_bd=1cSOjJLuZvUwIGaiAatk8Sy8zog%3D</t>
  </si>
  <si>
    <t>https://www.proquest.com/docview/1822890592?accountid=131239&amp;bdid=51804&amp;_bd=ZfxrftG97K9WB%2FbxHxMnL0LGS0E%3D</t>
  </si>
  <si>
    <t>https://www.proquest.com/docview/1822890114?accountid=131239&amp;bdid=51804&amp;_bd=firBmqmYtwj3LDgLBXT2Huhaz6k%3D</t>
  </si>
  <si>
    <t>Giordano, Joseph</t>
  </si>
  <si>
    <t>https://www.proquest.com/docview/1822890079?accountid=131239&amp;bdid=51804&amp;_bd=PhfEG2oyXcPm%2BeKX%2FMGpWrIiHJk%3D</t>
  </si>
  <si>
    <t>Pope-Davis, Donald B</t>
  </si>
  <si>
    <t>https://www.proquest.com/docview/1822890117?accountid=131239&amp;bdid=51804&amp;_bd=MPOFWKuB%2BctoHUrTyhuOheW6m90%3D</t>
  </si>
  <si>
    <t>https://www.proquest.com/docview/1822890116?accountid=131239&amp;bdid=51804&amp;_bd=gpATfuIYflJuMGICDt2v4S59mS8%3D</t>
  </si>
  <si>
    <t>Scaffolding: Self-Regulated Learning in the Primary Grades</t>
  </si>
  <si>
    <t>https://www.proquest.com/docview/1822891725?accountid=131239&amp;bdid=51804&amp;_bd=BMP4KkEqb9mDuBKjzzH%2BFPxOT5M%3D</t>
  </si>
  <si>
    <t>Play: A Vygotskian Approach</t>
  </si>
  <si>
    <t>https://www.proquest.com/docview/1822891726?accountid=131239&amp;bdid=51804&amp;_bd=W5UPmiKrCDreEJk3T7y4Y8HIlic%3D</t>
  </si>
  <si>
    <t>Nancy Boyd Webb</t>
  </si>
  <si>
    <t>https://www.proquest.com/docview/1822890758?accountid=131239&amp;bdid=51804&amp;_bd=mnRHY9mkcIX%2FEL993FAGYCmCaDo%3D</t>
  </si>
  <si>
    <t>Goulding, Mary</t>
  </si>
  <si>
    <t>https://www.proquest.com/docview/1823052237?accountid=131239&amp;bdid=51804&amp;_bd=vS6Z8As2mpCUTZv0AnTq%2FEfYk3Q%3D</t>
  </si>
  <si>
    <t>Marszalek, John</t>
  </si>
  <si>
    <t>https://www.proquest.com/docview/1822889974?accountid=131239&amp;bdid=51804&amp;_bd=29CKmibaZU%2FvjdsgHonkEyTIuKE%3D</t>
  </si>
  <si>
    <t>https://www.proquest.com/docview/1823054982?accountid=131239&amp;bdid=51804&amp;_bd=NfbmlUt9PTntqU8TfL2%2BR%2BJ6FzU%3D</t>
  </si>
  <si>
    <t>https://www.proquest.com/docview/1822890041?accountid=131239&amp;bdid=51804&amp;_bd=v0alKQO9QGqyMLewQWZl48A8oag%3D</t>
  </si>
  <si>
    <t>https://www.proquest.com/docview/1822890201?accountid=131239&amp;bdid=51804&amp;_bd=QNyOYDPumWG6VR994fumZvmWUz8%3D</t>
  </si>
  <si>
    <t>https://www.proquest.com/docview/1822890563?accountid=131239&amp;bdid=51804&amp;_bd=lvqHx4Y1X1FmBefp0QPu5EjGucY%3D</t>
  </si>
  <si>
    <t>https://www.proquest.com/docview/1822890167?accountid=131239&amp;bdid=51804&amp;_bd=j0idFDdd8AWkiHfGtsR8%2FdCHyCc%3D</t>
  </si>
  <si>
    <t>Harrington, Richard; Verduyn, Chrissie</t>
  </si>
  <si>
    <t>https://www.proquest.com/docview/1822890200?accountid=131239&amp;bdid=51804&amp;_bd=m5Lg5hWgQ1N90fQRaPfPpngz%2FPA%3D</t>
  </si>
  <si>
    <t>https://www.proquest.com/docview/1822890602?accountid=131239&amp;bdid=51804&amp;_bd=uSCdJx0TmsDQjcyjUh%2FTMdSO0Ic%3D</t>
  </si>
  <si>
    <t>https://www.proquest.com/docview/1823055273?accountid=131239&amp;bdid=51804&amp;_bd=9IuFrN8g%2FNvr2qgF3cpCshyE0kg%3D</t>
  </si>
  <si>
    <t>Ivey, Allen E; Norma Gluckstern Packard</t>
  </si>
  <si>
    <t>https://www.proquest.com/docview/1822889925?accountid=131239&amp;bdid=51804&amp;_bd=XrwzwNNNXaTlhxMHszJFNwaUL9M%3D</t>
  </si>
  <si>
    <t>https://www.proquest.com/docview/1822889928?accountid=131239&amp;bdid=51804&amp;_bd=D8sMhEvMR1slpMfBNLjiAjm57Bk%3D</t>
  </si>
  <si>
    <t>https://www.proquest.com/docview/1822890607?accountid=131239&amp;bdid=51804&amp;_bd=csTAJqQiPtx3QagiyocjWV%2FWQ%2Bs%3D</t>
  </si>
  <si>
    <t>https://www.proquest.com/docview/1822827897?accountid=131239&amp;bdid=51804&amp;_bd=3cgh2fYV9lrdbLaZhRMu1SwW47A%3D</t>
  </si>
  <si>
    <t>https://www.proquest.com/docview/1822890172?accountid=131239&amp;bdid=51804&amp;_bd=Y1qKU1%2FPe25Mwr5cComvxsecC%2FM%3D</t>
  </si>
  <si>
    <t>https://www.proquest.com/docview/1822891023?accountid=131239&amp;bdid=51804&amp;_bd=RFo8ENZzV4THKFT1EOdyqJb5dPk%3D</t>
  </si>
  <si>
    <t>https://www.proquest.com/docview/1823052214?accountid=131239&amp;bdid=51804&amp;_bd=LlE6%2Bo2hxw3krpwtykGey5YIBdE%3D</t>
  </si>
  <si>
    <t>https://www.proquest.com/docview/1823055203?accountid=131239&amp;bdid=51804&amp;_bd=6v%2BBKo69%2Bgs1%2FX2gSnRaiTk7BgI%3D</t>
  </si>
  <si>
    <t>https://www.proquest.com/docview/1823055324?accountid=131239&amp;bdid=51804&amp;_bd=ILs6XRmhkJWBOvWl%2Fdxrx75uE9o%3D</t>
  </si>
  <si>
    <t>https://www.proquest.com/docview/1822890174?accountid=131239&amp;bdid=51804&amp;_bd=WHUrJ0WZ7RLJnO7Z3kml%2BiJhGzQ%3D</t>
  </si>
  <si>
    <t>https://www.proquest.com/docview/1822890056?accountid=131239&amp;bdid=51804&amp;_bd=KuMd0APwKiqGP4ql4ADEeHWBbCY%3D</t>
  </si>
  <si>
    <t>https://www.proquest.com/docview/1822890573?accountid=131239&amp;bdid=51804&amp;_bd=%2BpBxQpyWptplifjrh2nSFxVTpok%3D</t>
  </si>
  <si>
    <t>https://www.proquest.com/docview/1822890579?accountid=131239&amp;bdid=51804&amp;_bd=oPqHyHpw5HqXPmNGNd9eee6pbYg%3D</t>
  </si>
  <si>
    <t>https://www.proquest.com/docview/1822890976?accountid=131239&amp;bdid=51804&amp;_bd=oy7W5EXeCJtnQ1jmhPQpe9zUprg%3D</t>
  </si>
  <si>
    <t>Nourishing Language Development in Early Childhood</t>
  </si>
  <si>
    <t>https://www.proquest.com/docview/1822891787?accountid=131239&amp;bdid=51804&amp;_bd=agH6OzmRP9a24yGlDOLDahkADF0%3D</t>
  </si>
  <si>
    <t>Budman, Simon H</t>
  </si>
  <si>
    <t>https://www.proquest.com/docview/1822890732?accountid=131239&amp;bdid=51804&amp;_bd=BWfgc0bDJYw7VFjb6Ek2%2BABetUs%3D</t>
  </si>
  <si>
    <t>Using What We Know: Applying Piaget's Developmental Theory in Primary Classrooms</t>
  </si>
  <si>
    <t>https://www.proquest.com/docview/1822891706?accountid=131239&amp;bdid=51804&amp;_bd=584BecUUd7OQjZjTGf3%2FkK36EN4%3D</t>
  </si>
  <si>
    <t>Great Minds in Counseling: Dr. Jerome Frank, Persuasion and Healing, in Great Minds in Counseling, 1</t>
  </si>
  <si>
    <t>Frank, Jerome</t>
  </si>
  <si>
    <t>https://www.proquest.com/docview/1822890735?accountid=131239&amp;bdid=51804&amp;_bd=cVZ8qlgsWbrdYBEb6H5aA8MzAtM%3D</t>
  </si>
  <si>
    <t>Performance Assessment: A Teacher's Way of Knowing</t>
  </si>
  <si>
    <t>https://www.proquest.com/docview/1822891704?accountid=131239&amp;bdid=51804&amp;_bd=t05LAxdpkBeMjjM65H95iSQ9VsI%3D</t>
  </si>
  <si>
    <t>Wood, Alison; Harrington, Richard; Miller, John</t>
  </si>
  <si>
    <t>https://www.proquest.com/docview/1822889916?accountid=131239&amp;bdid=51804&amp;_bd=aSUzoHHghukFOzMnZKh%2FHFtS%2BXo%3D</t>
  </si>
  <si>
    <t>https://www.proquest.com/docview/1822890978?accountid=131239&amp;bdid=51804&amp;_bd=t%2BSBeJWZl8BrdJlcNrQwp2KkDvM%3D</t>
  </si>
  <si>
    <t>https://www.proquest.com/docview/1822889910?accountid=131239&amp;bdid=51804&amp;_bd=8P10DhJsfXWLQE4uech2LpgZ8U0%3D</t>
  </si>
  <si>
    <t>Elkaim, Mony; Haley, Jay</t>
  </si>
  <si>
    <t>https://www.proquest.com/docview/1823054840?accountid=131239&amp;bdid=51804&amp;_bd=%2B3evN8p1A6Al%2BiJZXY3jFq5XD18%3D</t>
  </si>
  <si>
    <t>Vygotsky's Developmental Theory: An Introduction</t>
  </si>
  <si>
    <t>https://www.proquest.com/docview/1822891635?accountid=131239&amp;bdid=51804&amp;_bd=iaoYm%2B%2BsYPKeP%2FfFuJpVfHKYkYE%3D</t>
  </si>
  <si>
    <t>https://www.proquest.com/docview/1822890701?accountid=131239&amp;bdid=51804&amp;_bd=rJdvxcSKk85zz%2BIXiCQ00K%2Bv1xU%3D</t>
  </si>
  <si>
    <t>Cross, William E; Jackson, Bailey W</t>
  </si>
  <si>
    <t>https://www.proquest.com/docview/1822889947?accountid=131239&amp;bdid=51804&amp;_bd=y6wKR%2BjddnQqyjzCTayClET788U%3D</t>
  </si>
  <si>
    <t>https://www.proquest.com/docview/1823044595?accountid=131239&amp;bdid=51804&amp;_bd=hEP19JfBDHnRNHBmefCT4xcDfmk%3D</t>
  </si>
  <si>
    <t>https://www.proquest.com/docview/1822828288?accountid=131239&amp;bdid=51804&amp;_bd=VA5ngwjrjWurw9%2BZDhJcbhSvpb0%3D</t>
  </si>
  <si>
    <t>https://www.proquest.com/docview/1822455500?accountid=131239&amp;bdid=51804&amp;_bd=SOERrn0BAzuj6Q%2Fztga1BhSOZUc%3D</t>
  </si>
  <si>
    <t>https://www.proquest.com/docview/1823054852?accountid=131239&amp;bdid=51804&amp;_bd=AIdy93bOhPDXLWxflEW9R2CZOGw%3D</t>
  </si>
  <si>
    <t>https://www.proquest.com/docview/1822890037?accountid=131239&amp;bdid=51804&amp;_bd=w249aL7zeACGxBqSKkSb8n1%2Fsmg%3D</t>
  </si>
  <si>
    <t>https://www.proquest.com/docview/1822830104?accountid=131239&amp;bdid=51804&amp;_bd=N1BhLhTZIY7WwcQR8Mur0IVe%2BLE%3D</t>
  </si>
  <si>
    <t>https://www.proquest.com/docview/1822891008?accountid=131239&amp;bdid=51804&amp;_bd=BOYndVMfpT5REp5OHvPWbYNoTBQ%3D</t>
  </si>
  <si>
    <t>Goodman, Joan F</t>
  </si>
  <si>
    <t>https://www.proquest.com/docview/1822890710?accountid=131239&amp;bdid=51804&amp;_bd=HqzQKq2C3Q2sPiurGCwKvgDycUw%3D</t>
  </si>
  <si>
    <t>How Children Learn</t>
  </si>
  <si>
    <t>https://www.proquest.com/docview/1822891807?accountid=131239&amp;bdid=51804&amp;_bd=v9WPaS7jXZMq8vIaRwAkfYHDpPk%3D</t>
  </si>
  <si>
    <t>https://www.proquest.com/docview/1823052317?accountid=131239&amp;bdid=51804&amp;_bd=xn1jZNhqG64ODCNFs9HdCoZDywg%3D</t>
  </si>
  <si>
    <t>https://www.proquest.com/docview/1822714823?accountid=131239&amp;bdid=51804&amp;_bd=nXEwGG6SZYsu7ipt0wMTXd67PRg%3D</t>
  </si>
  <si>
    <t>Concrete Operations</t>
  </si>
  <si>
    <t>https://www.proquest.com/docview/1822891690?accountid=131239&amp;bdid=51804&amp;_bd=OGvkXFnXX1%2BUzEhZwa0hdFOlLtE%3D</t>
  </si>
  <si>
    <t>https://www.proquest.com/docview/1823054787?accountid=131239&amp;bdid=51804&amp;_bd=%2FxdvwdLu4jSMVi68emLAfbN5Jbs%3D</t>
  </si>
  <si>
    <t>Ivey, Allen E; Mary Bradford Ivey</t>
  </si>
  <si>
    <t>https://www.proquest.com/docview/1822890085?accountid=131239&amp;bdid=51804&amp;_bd=x%2BZt1VD5xFZwf%2BzLvyCFG1sGpsQ%3D</t>
  </si>
  <si>
    <t>https://www.proquest.com/docview/1822889970?accountid=131239&amp;bdid=51804&amp;_bd=1w9ixBMFpTdyN2NJ29ytPXWNEyg%3D</t>
  </si>
  <si>
    <t>Growing Minds: Cognitive Development in Early Childhood</t>
  </si>
  <si>
    <t>https://www.proquest.com/docview/1822891852?accountid=131239&amp;bdid=51804&amp;_bd=6%2FH4OBA6i%2FHxj0ceJqC9kzw%2FB04%3D</t>
  </si>
  <si>
    <t>https://www.proquest.com/docview/1822891057?accountid=131239&amp;bdid=51804&amp;_bd=B953hQD947RqCyiIKBUPez6cRdY%3D</t>
  </si>
  <si>
    <t>https://www.proquest.com/docview/1822890122?accountid=131239&amp;bdid=51804&amp;_bd=uCpSTGcQM3KAWg%2Bu3PksaCro%2B9U%3D</t>
  </si>
  <si>
    <t>https://www.proquest.com/docview/1822890646?accountid=131239&amp;bdid=51804&amp;_bd=a9B0M1QYCPPPqQdEJzEmtFUsbPk%3D</t>
  </si>
  <si>
    <t>Ivey, Allen E; Hodges, Glenn</t>
  </si>
  <si>
    <t>https://www.proquest.com/docview/1822889960?accountid=131239&amp;bdid=51804&amp;_bd=7VyFUipkFcxA%2BJlLZIdJQO%2BXkKU%3D</t>
  </si>
  <si>
    <t>https://www.proquest.com/docview/1822889965?accountid=131239&amp;bdid=51804&amp;_bd=Xt7Hc0Ry6qRm%2FF2QiGGYTPDQh%2FU%3D</t>
  </si>
  <si>
    <t>Beck, Aaron T; Beck, Judith S</t>
  </si>
  <si>
    <t>https://www.proquest.com/docview/1823054795?accountid=131239&amp;bdid=51804&amp;_bd=6MYEpe3gWt7W8LubMIqHwkc%2FtRw%3D</t>
  </si>
  <si>
    <t>https://www.proquest.com/docview/1822890094?accountid=131239&amp;bdid=51804&amp;_bd=Rdi5FO2sVYoEYJm7N4id%2FY4rTsQ%3D</t>
  </si>
  <si>
    <t>Marmor, Judd</t>
  </si>
  <si>
    <t>https://www.proquest.com/docview/1823055003?accountid=131239&amp;bdid=51804&amp;_bd=K5xK%2FBH6XotEXp8%2BxlZHCYLKdf8%3D</t>
  </si>
  <si>
    <t>https://www.proquest.com/docview/1822821978?accountid=131239&amp;bdid=51804&amp;_bd=isN3k3KrHYcXlH6ptfuco%2FoRPA8%3D</t>
  </si>
  <si>
    <t>https://www.proquest.com/docview/1822822429?accountid=131239&amp;bdid=51804&amp;_bd=a0fsF3py4OUQh0YhHLQ4hrF5Ngs%3D</t>
  </si>
  <si>
    <t>https://www.proquest.com/docview/1822890655?accountid=131239&amp;bdid=51804&amp;_bd=dJAv4bbpEcJda52A%2BK7yuvIpd4Q%3D</t>
  </si>
  <si>
    <t>https://www.proquest.com/docview/1822828373?accountid=131239&amp;bdid=51804&amp;_bd=ahYqsyfwavF01vptLyqExjQ%2FFhU%3D</t>
  </si>
  <si>
    <t>https://www.proquest.com/docview/1823054955?accountid=131239&amp;bdid=51804&amp;_bd=2gRTMIuESEUNFEhAsfW9xz5%2BUhI%3D</t>
  </si>
  <si>
    <t>https://www.proquest.com/docview/1823055406?accountid=131239&amp;bdid=51804&amp;_bd=1kD7IH7z9oOikxANnS6tBiOoeIc%3D</t>
  </si>
  <si>
    <t>https://www.proquest.com/docview/1822889952?accountid=131239&amp;bdid=51804&amp;_bd=Zqp%2BWiSTUuCGk47QCaPhw2qnoZE%3D</t>
  </si>
  <si>
    <t>https://www.proquest.com/docview/1822454541?accountid=131239&amp;bdid=51804&amp;_bd=CY1vv75CwyGvoFeBMQnm9qdyRBs%3D</t>
  </si>
  <si>
    <t>https://www.proquest.com/docview/1822490477?accountid=131239&amp;bdid=51804&amp;_bd=59oLQNbgWmT6Z%2B3qFe0%2BbG9xstM%3D</t>
  </si>
  <si>
    <t>https://www.proquest.com/docview/1822890064?accountid=131239&amp;bdid=51804&amp;_bd=fV%2Fuo1VvQyMFBSFqqxQZ2GrZJpo%3D</t>
  </si>
  <si>
    <t>https://www.proquest.com/docview/1822650310?accountid=131239&amp;bdid=51804&amp;_bd=C2IGrzcKlsgTH4%2FUfQF2vl5ay5A%3D</t>
  </si>
  <si>
    <t>https://www.proquest.com/docview/1822816578?accountid=131239&amp;bdid=51804&amp;_bd=QmwdTGLD2ruiYOxtmNnJVPj09ts%3D</t>
  </si>
  <si>
    <t>https://www.proquest.com/docview/1822702799?accountid=131239&amp;bdid=51804&amp;_bd=Q%2BE2olcO%2BHZBhTmpECqiB082FRA%3D</t>
  </si>
  <si>
    <t>https://www.proquest.com/docview/1822649087?accountid=131239&amp;bdid=51804&amp;_bd=tlbOeTTV0WRerA%2FkwKeZR5xYQYs%3D</t>
  </si>
  <si>
    <t>Piaget's Developmental Theory: Classification</t>
  </si>
  <si>
    <t>https://www.proquest.com/docview/1822891713?accountid=131239&amp;bdid=51804&amp;_bd=K80MvAg1TjG%2BzNE6x5UMO01BHCk%3D</t>
  </si>
  <si>
    <t>https://www.proquest.com/docview/1822816529?accountid=131239&amp;bdid=51804&amp;_bd=FCEHoJQLHzC8U6PufKWtCOEtGlI%3D</t>
  </si>
  <si>
    <t>https://www.proquest.com/docview/1822796472?accountid=131239&amp;bdid=51804&amp;_bd=LiXhzxk1nuuUJ1r0SrrzpCh9lMI%3D</t>
  </si>
  <si>
    <t>Evans, Richard</t>
  </si>
  <si>
    <t>https://www.proquest.com/docview/1822674279?accountid=131239&amp;bdid=51804&amp;_bd=7T9h2BlW0yFICDvPguMIBWyvtEo%3D</t>
  </si>
  <si>
    <t>https://www.proquest.com/docview/1823054801?accountid=131239&amp;bdid=51804&amp;_bd=lQZjCnJGLDfaGeKx8mhL3ayBei4%3D</t>
  </si>
  <si>
    <t>https://www.proquest.com/docview/1823052227?accountid=131239&amp;bdid=51804&amp;_bd=NJ%2Fycf8DOGGkun9S5HoVq7jklzw%3D</t>
  </si>
  <si>
    <t>https://www.proquest.com/docview/1822796317?accountid=131239&amp;bdid=51804&amp;_bd=9x0pPYBzda9jPJAyyHuNiDzr9m4%3D</t>
  </si>
  <si>
    <t>Blind Spot</t>
  </si>
  <si>
    <t>Filmakers Library</t>
  </si>
  <si>
    <t>https://www.proquest.com/docview/1822913471?accountid=131239&amp;bdid=51804&amp;_bd=mKDLt4LUJqPgMXrnFDgzbB1YiAg%3D</t>
  </si>
  <si>
    <t>Cobb, John B</t>
  </si>
  <si>
    <t>https://www.proquest.com/docview/1822890076?accountid=131239&amp;bdid=51804&amp;_bd=7nWiDyuClxtNAXruofdGUsOIiK8%3D</t>
  </si>
  <si>
    <t>https://www.proquest.com/docview/1822489111?accountid=131239&amp;bdid=51804&amp;_bd=Cyr%2FKN0QUXgGJCM10aZQxxqm2TE%3D</t>
  </si>
  <si>
    <t>McGrath, Graeme; Goldberg, David</t>
  </si>
  <si>
    <t>https://www.proquest.com/docview/1822890036?accountid=131239&amp;bdid=51804&amp;_bd=9rDx6VqfA8CAIWn4vPKv5ldGDpA%3D</t>
  </si>
  <si>
    <t>Jackson, Stanley</t>
  </si>
  <si>
    <t>https://www.proquest.com/docview/1822612343?accountid=131239&amp;bdid=51804&amp;_bd=OF5CGUlRqZ8FUCq0uY%2Bf%2BWNURvY%3D</t>
  </si>
  <si>
    <t>https://www.proquest.com/docview/1822816263?accountid=131239&amp;bdid=51804&amp;_bd=Yoy57CjX052Cd8SiL%2BbN5PkTPvg%3D</t>
  </si>
  <si>
    <t>Lily: A Longitudinal View of Life with Down Syndrome</t>
  </si>
  <si>
    <t>https://www.proquest.com/docview/1822891767?accountid=131239&amp;bdid=51804&amp;_bd=GNnNJV5ydQKp%2BL9LgYgN4bHSZc8%3D</t>
  </si>
  <si>
    <t>https://www.proquest.com/docview/1822814289?accountid=131239&amp;bdid=51804&amp;_bd=f%2FeuUlPaJ8rKvfo%2FwJDEc9wNDuU%3D</t>
  </si>
  <si>
    <t>The Growth of Intelligence in the Pre-school Years</t>
  </si>
  <si>
    <t>https://www.proquest.com/docview/1822891844?accountid=131239&amp;bdid=51804&amp;_bd=Xnkm%2B%2FeoPit9ORBeIMgp3on3LaE%3D</t>
  </si>
  <si>
    <t>https://www.proquest.com/docview/1822796292?accountid=131239&amp;bdid=51804&amp;_bd=nN%2FAM5NZtkD7T8fdakBVxgcK6BQ%3D</t>
  </si>
  <si>
    <t>https://www.proquest.com/docview/1822674904?accountid=131239&amp;bdid=51804&amp;_bd=Wlp%2FWFrSs8hnGBYIX316f0ajXJU%3D</t>
  </si>
  <si>
    <t>Richeport-Haley, Madeleine</t>
  </si>
  <si>
    <t>https://www.proquest.com/docview/1822890996?accountid=131239&amp;bdid=51804&amp;_bd=pu7zyN9cMu%2BUXcoDmO4o4u5lH%2FM%3D</t>
  </si>
  <si>
    <t>https://www.proquest.com/docview/2306246191?accountid=131239&amp;bdid=51804&amp;_bd=fu8D1c4PkQrzh3%2BKUzgYcsZf1vM%3D</t>
  </si>
  <si>
    <t>https://www.proquest.com/docview/1822796240?accountid=131239&amp;bdid=51804&amp;_bd=4pJb3SSLdRbt6lh8OLMBhgrMLhs%3D</t>
  </si>
  <si>
    <t>https://www.proquest.com/docview/1822612197?accountid=131239&amp;bdid=51804&amp;_bd=kfI4luHxBpKDPQPWov9i2eVUiX0%3D</t>
  </si>
  <si>
    <t>Benjamin, Sidney</t>
  </si>
  <si>
    <t>https://www.proquest.com/docview/1822889971?accountid=131239&amp;bdid=51804&amp;_bd=LcdiNpMegM6nnXMxfyMdrjWmM4M%3D</t>
  </si>
  <si>
    <t>Rogers, Carl</t>
  </si>
  <si>
    <t>https://www.proquest.com/docview/1823054812?accountid=131239&amp;bdid=51804&amp;_bd=5efkazWAEHZgHECSK96XO2w1vxc%3D</t>
  </si>
  <si>
    <t>https://www.proquest.com/docview/1822796329?accountid=131239&amp;bdid=51804&amp;_bd=EcYR25zGWyFQ15XDu%2FLlxIbIvS0%3D</t>
  </si>
  <si>
    <t>https://www.proquest.com/docview/1822890082?accountid=131239&amp;bdid=51804&amp;_bd=AsXWRp0xMlvDEoCWCVCW0QeswQc%3D</t>
  </si>
  <si>
    <t>Jean Piaget: Memory and Intelligence</t>
  </si>
  <si>
    <t>https://www.proquest.com/docview/1822891694?accountid=131239&amp;bdid=51804&amp;_bd=y1U9Xr%2BD1zUsQ6bR%2Bq7jznGJhMU%3D</t>
  </si>
  <si>
    <t>https://www.proquest.com/docview/1822700835?accountid=131239&amp;bdid=51804&amp;_bd=TFFjt6Y9nq%2FGg2KDQ81JSlNsO0Q%3D</t>
  </si>
  <si>
    <t>https://www.proquest.com/docview/1822612298?accountid=131239&amp;bdid=51804&amp;_bd=71OHeA%2FzlirgsWxuGUUbzilLWwA%3D</t>
  </si>
  <si>
    <t>Engen, Harold; Alpert, Marilyn</t>
  </si>
  <si>
    <t>https://www.proquest.com/docview/1822890047?accountid=131239&amp;bdid=51804&amp;_bd=9sGbdhSMonV7F5maQnYIVyzR47M%3D</t>
  </si>
  <si>
    <t>https://www.proquest.com/docview/1822649740?accountid=131239&amp;bdid=51804&amp;_bd=bG%2BN%2BL0NH%2BTeAE0ia%2F4FeuP4%2Bjg%3D</t>
  </si>
  <si>
    <t>https://www.proquest.com/docview/2306246110?accountid=131239&amp;bdid=51804&amp;_bd=A0XTeb%2FbvsnA072Q5OuSHbNUtE4%3D</t>
  </si>
  <si>
    <t>https://www.proquest.com/docview/1822612211?accountid=131239&amp;bdid=51804&amp;_bd=Fn6y3TnI1Sk%2FZtn9u6Hmz93GKyA%3D</t>
  </si>
  <si>
    <t>https://www.proquest.com/docview/1822612255?accountid=131239&amp;bdid=51804&amp;_bd=yFo6QkXfcbR6YR8%2BF4sMvMK3IE4%3D</t>
  </si>
  <si>
    <t>Tantum, Digby; McGrath, Graeme</t>
  </si>
  <si>
    <t>https://www.proquest.com/docview/1822890004?accountid=131239&amp;bdid=51804&amp;_bd=ltdDjVuNOu%2BGygAhitK06i%2BvLSo%3D</t>
  </si>
  <si>
    <t>Piaget's Developmental Theory: Conservation</t>
  </si>
  <si>
    <t>https://www.proquest.com/docview/1822891772?accountid=131239&amp;bdid=51804&amp;_bd=7iDWy1E2%2FpzzFSnLGRmSZENZRR8%3D</t>
  </si>
  <si>
    <t>https://www.proquest.com/docview/1822813363?accountid=131239&amp;bdid=51804&amp;_bd=jc0mMMyljAeUeOgCfam50BMKmTg%3D</t>
  </si>
  <si>
    <t>https://www.proquest.com/docview/1822650418?accountid=131239&amp;bdid=51804&amp;_bd=55OSYGHppde2RoyqYg1xepcFpWA%3D</t>
  </si>
  <si>
    <t>https://www.proquest.com/docview/1822796571?accountid=131239&amp;bdid=51804&amp;_bd=%2BjKziNEbgMo%2FYOmQCIDZowk6K%2FA%3D</t>
  </si>
  <si>
    <t>Morality: The Process of Moral Development</t>
  </si>
  <si>
    <t>https://www.proquest.com/docview/1822891659?accountid=131239&amp;bdid=51804&amp;_bd=ubr9CiStQYel5m9c7beO7HUEebo%3D</t>
  </si>
  <si>
    <t>https://www.proquest.com/docview/1822796133?accountid=131239&amp;bdid=51804&amp;_bd=ze1WUMD36Nku1UNR5PcjcPy9tWU%3D</t>
  </si>
  <si>
    <t>https://www.proquest.com/docview/1822612261?accountid=131239&amp;bdid=51804&amp;_bd=oydThC5tYAOeCxj2TIpoU1ujsFg%3D</t>
  </si>
  <si>
    <t>https://www.proquest.com/docview/1822674657?accountid=131239&amp;bdid=51804&amp;_bd=vlFMleNIYsydL%2BW8go9V9eNAFXM%3D</t>
  </si>
  <si>
    <t>https://www.proquest.com/docview/1822813756?accountid=131239&amp;bdid=51804&amp;_bd=jj0n7ZtmebHviEXkjYr683iW%2Bjs%3D</t>
  </si>
  <si>
    <t>Laing, Ronald</t>
  </si>
  <si>
    <t>https://www.proquest.com/docview/1823054789?accountid=131239&amp;bdid=51804&amp;_bd=Xdd20wl%2FhfcIfqMdI25TysP7Xq0%3D</t>
  </si>
  <si>
    <t>https://www.proquest.com/docview/1822804493?accountid=131239&amp;bdid=51804&amp;_bd=%2B4m6BXRLSeMCTAcd%2Fzmg5YF8TKQ%3D</t>
  </si>
  <si>
    <t>https://www.proquest.com/docview/1822602964?accountid=131239&amp;bdid=51804&amp;_bd=s%2FppR60dCiINZ6QgXSIBuTMdgIM%3D</t>
  </si>
  <si>
    <t>Elliott, Jane</t>
  </si>
  <si>
    <t>https://www.proquest.com/docview/1822803600?accountid=131239&amp;bdid=51804&amp;_bd=TrzLiyg0S8RpcRSjk%2B6iF3xdQSE%3D</t>
  </si>
  <si>
    <t>https://www.proquest.com/docview/1822890059?accountid=131239&amp;bdid=51804&amp;_bd=y0KHtzbkIfnrvr%2FeUCFgBsfeFbg%3D</t>
  </si>
  <si>
    <t>Piaget's Developmental Theory: An Overview</t>
  </si>
  <si>
    <t>https://www.proquest.com/docview/1822891702?accountid=131239&amp;bdid=51804&amp;_bd=EhMscYI7Gps4oE2SZLNJz0NRv7g%3D</t>
  </si>
  <si>
    <t>https://www.proquest.com/docview/1822612325?accountid=131239&amp;bdid=51804&amp;_bd=%2BQpP7lTZzB08Rxz7%2B7H%2F%2F5keTzs%3D</t>
  </si>
  <si>
    <t>https://www.proquest.com/docview/2166671519?accountid=131239&amp;bdid=51804&amp;_bd=NKaP0kIsRE59jTTwbRUwIcGc32o%3D</t>
  </si>
  <si>
    <t>https://www.proquest.com/docview/1822813446?accountid=131239&amp;bdid=51804&amp;_bd=gQ50p2fpLo3UKc89uiapHEi8poI%3D</t>
  </si>
  <si>
    <t>https://www.proquest.com/docview/1822796143?accountid=131239&amp;bdid=51804&amp;_bd=YA%2B1yA3PmAzhZ2S4hOzoYSbXE5g%3D</t>
  </si>
  <si>
    <t>Piaget's Developmental Theory: Formal Reasoning Patterns</t>
  </si>
  <si>
    <t>https://www.proquest.com/docview/1822891709?accountid=131239&amp;bdid=51804&amp;_bd=CgkntN2VriSpTSjC09sCY1NSMts%3D</t>
  </si>
  <si>
    <t>https://www.proquest.com/docview/2306246172?accountid=131239&amp;bdid=51804&amp;_bd=YI2%2Bo%2FwTTe%2FZlVWqdF4Jn%2B2rgEQ%3D</t>
  </si>
  <si>
    <t>https://www.proquest.com/docview/1822675015?accountid=131239&amp;bdid=51804&amp;_bd=GwTpjFz9LlYdjCWYy3u9GRNhag4%3D</t>
  </si>
  <si>
    <t>https://www.proquest.com/docview/1822796305?accountid=131239&amp;bdid=51804&amp;_bd=01D%2FvszEeFULNmzSOZqNxmzot0w%3D</t>
  </si>
  <si>
    <t>Szasz, Thomas; Satir, Virginia; May, Rollo; Rogers, Carl</t>
  </si>
  <si>
    <t>https://www.proquest.com/docview/1823054954?accountid=131239&amp;bdid=51804&amp;_bd=Lfjf7JF16LhxQ%2FJEVG48NR1upk4%3D</t>
  </si>
  <si>
    <t>https://www.proquest.com/docview/1822674242?accountid=131239&amp;bdid=51804&amp;_bd=eb6yhvgx8ds6hXrdSUcgJGBsyI0%3D</t>
  </si>
  <si>
    <t>https://www.proquest.com/docview/1822800341?accountid=131239&amp;bdid=51804&amp;_bd=n7VEmcOgBYwDfKnhN5FQE5AIRvk%3D</t>
  </si>
  <si>
    <r>
      <rPr>
        <b/>
        <sz val="16"/>
        <rFont val="Calibri"/>
        <family val="2"/>
      </rPr>
      <t>ProQuest One Psychology</t>
    </r>
    <r>
      <rPr>
        <sz val="10"/>
        <rFont val="Calibri"/>
        <family val="2"/>
      </rPr>
      <t xml:space="preserve">
Accurate as of 02 December  2023</t>
    </r>
    <r>
      <rPr>
        <sz val="10"/>
        <rFont val="Arial"/>
        <family val="2"/>
      </rPr>
      <t xml:space="preserve">.  There will some duplication of items broken out more granularly on other tabs.  </t>
    </r>
    <r>
      <rPr>
        <sz val="10"/>
        <color rgb="FFFF0000"/>
        <rFont val="Arial"/>
        <family val="2"/>
      </rPr>
      <t>Note:  This list is not appropriate for implementing link resolvers.</t>
    </r>
    <r>
      <rPr>
        <sz val="10"/>
        <rFont val="Arial"/>
        <family val="2"/>
      </rPr>
      <t xml:space="preserve">  Please see the support page at  https://support.proquest.com/s/article/ProQuest-One-Psychology-Library-Support?language=en_US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</si>
</sst>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m\-yyyy"/>
  </numFmts>
  <fonts count="16" x14ac:knownFonts="1">
    <font>
      <sz val="10"/>
      <name val="Arial"/>
    </font>
    <font>
      <b/>
      <sz val="16"/>
      <name val="Calibri"/>
      <family val="2"/>
    </font>
    <font>
      <sz val="10"/>
      <name val="Calibri"/>
      <family val="2"/>
    </font>
    <font>
      <b/>
      <sz val="11"/>
      <name val="Calibri"/>
      <family val="2"/>
    </font>
    <font>
      <u/>
      <sz val="10"/>
      <color theme="10"/>
      <name val="Arial"/>
      <family val="2"/>
    </font>
    <font>
      <b/>
      <sz val="10"/>
      <name val="Arial"/>
      <family val="2"/>
    </font>
    <font>
      <sz val="10"/>
      <name val="Calibri"/>
      <family val="2"/>
    </font>
    <font>
      <b/>
      <sz val="11"/>
      <name val="Calibri"/>
      <family val="2"/>
    </font>
    <font>
      <b/>
      <sz val="10"/>
      <name val="Calibri"/>
      <family val="2"/>
    </font>
    <font>
      <sz val="10"/>
      <name val="Calibri"/>
      <family val="2"/>
      <scheme val="minor"/>
    </font>
    <font>
      <b/>
      <sz val="16"/>
      <name val="Calibri"/>
      <family val="2"/>
      <scheme val="minor"/>
    </font>
    <font>
      <b/>
      <sz val="11"/>
      <name val="Calibri"/>
      <family val="2"/>
      <scheme val="minor"/>
    </font>
    <font>
      <b/>
      <sz val="10"/>
      <name val="Calibri"/>
      <family val="2"/>
      <scheme val="minor"/>
    </font>
    <font>
      <u/>
      <sz val="10"/>
      <color theme="10"/>
      <name val="Calibri"/>
      <family val="2"/>
    </font>
    <font>
      <sz val="10"/>
      <name val="Arial"/>
      <family val="2"/>
    </font>
    <font>
      <sz val="10"/>
      <color rgb="FFFF0000"/>
      <name val="Arial"/>
      <family val="2"/>
    </font>
  </fonts>
  <fills count="2">
    <fill>
      <patternFill patternType="none"/>
    </fill>
    <fill>
      <patternFill patternType="gray125"/>
    </fill>
  </fills>
  <borders count="6">
    <border>
      <left/>
      <right/>
      <top/>
      <bottom/>
      <diagonal/>
    </border>
    <border>
      <left/>
      <right/>
      <top style="medium">
        <color indexed="8"/>
      </top>
      <bottom style="medium">
        <color indexed="8"/>
      </bottom>
      <diagonal/>
    </border>
    <border>
      <left/>
      <right/>
      <top/>
      <bottom style="medium">
        <color indexed="8"/>
      </bottom>
      <diagonal/>
    </border>
    <border>
      <left/>
      <right/>
      <top style="medium">
        <color indexed="8"/>
      </top>
      <bottom style="medium">
        <color indexed="64"/>
      </bottom>
      <diagonal/>
    </border>
    <border>
      <left/>
      <right/>
      <top/>
      <bottom style="medium">
        <color indexed="64"/>
      </bottom>
      <diagonal/>
    </border>
    <border>
      <left/>
      <right/>
      <top style="medium">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35">
    <xf numFmtId="0" fontId="0" fillId="0" borderId="0" xfId="0"/>
    <xf numFmtId="0" fontId="3" fillId="0" borderId="2" xfId="0" applyFont="1" applyBorder="1" applyAlignment="1">
      <alignment horizontal="center" vertical="center"/>
    </xf>
    <xf numFmtId="0" fontId="6" fillId="0" borderId="0" xfId="0" applyFont="1"/>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6" fillId="0" borderId="0" xfId="0" applyFont="1" applyAlignment="1">
      <alignment horizontal="left"/>
    </xf>
    <xf numFmtId="164" fontId="6" fillId="0" borderId="0" xfId="0" applyNumberFormat="1" applyFont="1" applyAlignment="1">
      <alignment horizontal="center"/>
    </xf>
    <xf numFmtId="0" fontId="6" fillId="0" borderId="0" xfId="0" applyFont="1" applyAlignment="1">
      <alignment horizontal="center"/>
    </xf>
    <xf numFmtId="0" fontId="8" fillId="0" borderId="4" xfId="0" applyFont="1" applyBorder="1" applyAlignment="1">
      <alignment horizontal="center" vertical="center" wrapText="1"/>
    </xf>
    <xf numFmtId="0" fontId="0" fillId="0" borderId="4" xfId="0" applyBorder="1"/>
    <xf numFmtId="0" fontId="9" fillId="0" borderId="0" xfId="0" applyFont="1"/>
    <xf numFmtId="14" fontId="9" fillId="0" borderId="0" xfId="0" applyNumberFormat="1" applyFont="1"/>
    <xf numFmtId="0" fontId="9" fillId="0" borderId="4" xfId="0" applyFont="1" applyBorder="1"/>
    <xf numFmtId="0" fontId="11" fillId="0" borderId="2" xfId="0" applyFont="1" applyBorder="1" applyAlignment="1">
      <alignment horizontal="center" vertical="center"/>
    </xf>
    <xf numFmtId="0" fontId="11" fillId="0" borderId="5" xfId="0" applyFont="1" applyBorder="1" applyAlignment="1">
      <alignment horizontal="center" vertical="center"/>
    </xf>
    <xf numFmtId="0" fontId="12"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 xfId="0" applyFont="1" applyBorder="1" applyAlignment="1">
      <alignment horizontal="center" vertical="center"/>
    </xf>
    <xf numFmtId="0" fontId="6" fillId="0" borderId="4" xfId="0" applyFont="1" applyBorder="1"/>
    <xf numFmtId="0" fontId="13" fillId="0" borderId="0" xfId="1" applyFont="1"/>
    <xf numFmtId="0" fontId="3" fillId="0" borderId="1" xfId="0" applyFont="1" applyBorder="1"/>
    <xf numFmtId="0" fontId="3" fillId="0" borderId="1" xfId="0" applyFont="1" applyBorder="1" applyAlignment="1">
      <alignment horizontal="center" wrapText="1"/>
    </xf>
    <xf numFmtId="0" fontId="2" fillId="0" borderId="0" xfId="0" applyFont="1" applyAlignment="1">
      <alignment horizontal="left" wrapText="1"/>
    </xf>
    <xf numFmtId="164" fontId="2" fillId="0" borderId="0" xfId="0" applyNumberFormat="1" applyFont="1" applyAlignment="1">
      <alignment horizontal="center"/>
    </xf>
    <xf numFmtId="0" fontId="2" fillId="0" borderId="0" xfId="0" applyFont="1" applyAlignment="1">
      <alignment horizontal="center"/>
    </xf>
    <xf numFmtId="14" fontId="0" fillId="0" borderId="0" xfId="0" applyNumberFormat="1"/>
    <xf numFmtId="0" fontId="5" fillId="0" borderId="0" xfId="0" applyFont="1"/>
    <xf numFmtId="15" fontId="0" fillId="0" borderId="0" xfId="0" applyNumberFormat="1"/>
    <xf numFmtId="0" fontId="14" fillId="0" borderId="0" xfId="0" applyFont="1" applyAlignment="1">
      <alignment vertical="center" wrapText="1"/>
    </xf>
    <xf numFmtId="0" fontId="0" fillId="0" borderId="0" xfId="0"/>
    <xf numFmtId="0" fontId="6" fillId="0" borderId="4" xfId="0" applyFont="1" applyBorder="1" applyAlignment="1">
      <alignment horizontal="left" vertical="center" wrapText="1"/>
    </xf>
    <xf numFmtId="0" fontId="9" fillId="0" borderId="4" xfId="0" applyFont="1" applyBorder="1" applyAlignment="1">
      <alignment vertical="center" wrapText="1"/>
    </xf>
    <xf numFmtId="0" fontId="9" fillId="0" borderId="4" xfId="0" applyFont="1" applyBorder="1"/>
    <xf numFmtId="0" fontId="9" fillId="0" borderId="4"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roquest.com/docview/278113368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FC892-B246-4916-A3A2-15DCE04187B8}">
  <dimension ref="A1:AU2920"/>
  <sheetViews>
    <sheetView tabSelected="1" workbookViewId="0">
      <selection sqref="A1:AU1"/>
    </sheetView>
  </sheetViews>
  <sheetFormatPr defaultRowHeight="12.75" x14ac:dyDescent="0.35"/>
  <cols>
    <col min="1" max="1" width="43.59765625" customWidth="1"/>
    <col min="2" max="2" width="25.265625" customWidth="1"/>
    <col min="3" max="3" width="32.265625" customWidth="1"/>
    <col min="4" max="4" width="16.73046875" customWidth="1"/>
    <col min="5" max="5" width="26.73046875" customWidth="1"/>
    <col min="9" max="10" width="13.73046875" customWidth="1"/>
    <col min="11" max="11" width="11" customWidth="1"/>
    <col min="12" max="12" width="11.59765625" customWidth="1"/>
    <col min="13" max="14" width="14" customWidth="1"/>
    <col min="16" max="17" width="13.59765625" customWidth="1"/>
    <col min="19" max="20" width="13.86328125" customWidth="1"/>
    <col min="23" max="24" width="14.86328125" customWidth="1"/>
    <col min="26" max="27" width="11.3984375" customWidth="1"/>
    <col min="29" max="30" width="11" customWidth="1"/>
    <col min="32" max="33" width="11.265625" customWidth="1"/>
    <col min="35" max="36" width="10.59765625" customWidth="1"/>
    <col min="42" max="42" width="11.265625" customWidth="1"/>
    <col min="44" max="44" width="46.3984375" customWidth="1"/>
    <col min="46" max="46" width="26.1328125" customWidth="1"/>
    <col min="47" max="47" width="60.265625" customWidth="1"/>
  </cols>
  <sheetData>
    <row r="1" spans="1:47" ht="38.25" customHeight="1" thickBot="1" x14ac:dyDescent="0.4">
      <c r="A1" s="29" t="s">
        <v>48344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row>
    <row r="2" spans="1:47" ht="57.4" thickBot="1" x14ac:dyDescent="0.5">
      <c r="A2" s="21" t="s">
        <v>0</v>
      </c>
      <c r="B2" s="21" t="s">
        <v>1</v>
      </c>
      <c r="C2" s="21" t="s">
        <v>2</v>
      </c>
      <c r="D2" s="21" t="s">
        <v>22142</v>
      </c>
      <c r="E2" s="21" t="s">
        <v>3</v>
      </c>
      <c r="F2" s="22" t="s">
        <v>4</v>
      </c>
      <c r="G2" s="22" t="s">
        <v>5</v>
      </c>
      <c r="H2" s="22" t="s">
        <v>6</v>
      </c>
      <c r="I2" s="22" t="s">
        <v>7</v>
      </c>
      <c r="J2" s="22" t="s">
        <v>8</v>
      </c>
      <c r="K2" s="22" t="s">
        <v>9</v>
      </c>
      <c r="L2" s="22" t="s">
        <v>10</v>
      </c>
      <c r="M2" s="22" t="s">
        <v>22143</v>
      </c>
      <c r="N2" s="22" t="s">
        <v>22144</v>
      </c>
      <c r="O2" s="22" t="s">
        <v>22145</v>
      </c>
      <c r="P2" s="22" t="s">
        <v>22146</v>
      </c>
      <c r="Q2" s="22" t="s">
        <v>22147</v>
      </c>
      <c r="R2" s="22" t="s">
        <v>22148</v>
      </c>
      <c r="S2" s="22" t="s">
        <v>22149</v>
      </c>
      <c r="T2" s="22" t="s">
        <v>22150</v>
      </c>
      <c r="U2" s="22" t="s">
        <v>22151</v>
      </c>
      <c r="V2" s="22" t="s">
        <v>11</v>
      </c>
      <c r="W2" s="22" t="s">
        <v>12</v>
      </c>
      <c r="X2" s="22" t="s">
        <v>13</v>
      </c>
      <c r="Y2" s="22" t="s">
        <v>14</v>
      </c>
      <c r="Z2" s="22" t="s">
        <v>22152</v>
      </c>
      <c r="AA2" s="22" t="s">
        <v>22153</v>
      </c>
      <c r="AB2" s="22" t="s">
        <v>22154</v>
      </c>
      <c r="AC2" s="22" t="s">
        <v>22155</v>
      </c>
      <c r="AD2" s="22" t="s">
        <v>22156</v>
      </c>
      <c r="AE2" s="22" t="s">
        <v>22157</v>
      </c>
      <c r="AF2" s="22" t="s">
        <v>15</v>
      </c>
      <c r="AG2" s="22" t="s">
        <v>16</v>
      </c>
      <c r="AH2" s="22" t="s">
        <v>17</v>
      </c>
      <c r="AI2" s="22" t="s">
        <v>18</v>
      </c>
      <c r="AJ2" s="22" t="s">
        <v>19</v>
      </c>
      <c r="AK2" s="22" t="s">
        <v>20</v>
      </c>
      <c r="AL2" s="22" t="s">
        <v>22158</v>
      </c>
      <c r="AM2" s="22" t="s">
        <v>22159</v>
      </c>
      <c r="AN2" s="22" t="s">
        <v>22160</v>
      </c>
      <c r="AO2" s="22" t="s">
        <v>21</v>
      </c>
      <c r="AP2" s="21" t="s">
        <v>22</v>
      </c>
      <c r="AQ2" s="21" t="s">
        <v>23</v>
      </c>
      <c r="AR2" s="21" t="s">
        <v>24</v>
      </c>
      <c r="AS2" s="22" t="s">
        <v>25</v>
      </c>
      <c r="AT2" s="21" t="s">
        <v>22161</v>
      </c>
      <c r="AU2" s="21" t="s">
        <v>22162</v>
      </c>
    </row>
    <row r="3" spans="1:47" ht="26.25" x14ac:dyDescent="0.4">
      <c r="A3" s="23" t="s">
        <v>41</v>
      </c>
      <c r="B3" t="s">
        <v>26</v>
      </c>
      <c r="C3" s="23" t="s">
        <v>22163</v>
      </c>
      <c r="D3" t="s">
        <v>26</v>
      </c>
      <c r="E3" s="23" t="s">
        <v>42</v>
      </c>
      <c r="F3" t="s">
        <v>26</v>
      </c>
      <c r="G3" t="s">
        <v>26</v>
      </c>
      <c r="H3" t="s">
        <v>26</v>
      </c>
      <c r="I3" s="24">
        <v>42005</v>
      </c>
      <c r="J3" s="24">
        <v>42005</v>
      </c>
      <c r="K3" t="s">
        <v>26</v>
      </c>
      <c r="L3" s="25" t="s">
        <v>28</v>
      </c>
      <c r="M3" s="24">
        <v>42005</v>
      </c>
      <c r="N3" s="24">
        <v>42005</v>
      </c>
      <c r="O3" t="s">
        <v>26</v>
      </c>
      <c r="P3" t="s">
        <v>26</v>
      </c>
      <c r="Q3" t="s">
        <v>26</v>
      </c>
      <c r="R3" t="s">
        <v>26</v>
      </c>
      <c r="S3" s="24">
        <v>42005</v>
      </c>
      <c r="T3" s="24">
        <v>42005</v>
      </c>
      <c r="U3" t="s">
        <v>26</v>
      </c>
      <c r="V3" t="s">
        <v>26</v>
      </c>
      <c r="W3" s="24">
        <v>42005</v>
      </c>
      <c r="X3" s="24">
        <v>42005</v>
      </c>
      <c r="Y3" t="s">
        <v>26</v>
      </c>
      <c r="Z3" s="24">
        <v>42005</v>
      </c>
      <c r="AA3" s="24">
        <v>42005</v>
      </c>
      <c r="AB3" t="s">
        <v>26</v>
      </c>
      <c r="AC3" s="24">
        <v>42005</v>
      </c>
      <c r="AD3" s="24">
        <v>42005</v>
      </c>
      <c r="AE3" t="s">
        <v>26</v>
      </c>
      <c r="AF3" s="24">
        <v>42005</v>
      </c>
      <c r="AG3" s="24">
        <v>42005</v>
      </c>
      <c r="AH3" t="s">
        <v>26</v>
      </c>
      <c r="AI3" s="24">
        <v>42005</v>
      </c>
      <c r="AJ3" s="24">
        <v>42005</v>
      </c>
      <c r="AK3" t="s">
        <v>26</v>
      </c>
      <c r="AL3" t="s">
        <v>26</v>
      </c>
      <c r="AM3" t="s">
        <v>26</v>
      </c>
      <c r="AN3" t="s">
        <v>26</v>
      </c>
      <c r="AO3" s="25" t="s">
        <v>28</v>
      </c>
      <c r="AP3" s="23" t="s">
        <v>43</v>
      </c>
      <c r="AQ3" s="23" t="s">
        <v>30</v>
      </c>
      <c r="AR3" s="23" t="s">
        <v>44</v>
      </c>
      <c r="AS3" s="25">
        <v>5263190</v>
      </c>
      <c r="AT3" t="s">
        <v>26</v>
      </c>
      <c r="AU3" t="s">
        <v>22164</v>
      </c>
    </row>
    <row r="4" spans="1:47" ht="26.25" x14ac:dyDescent="0.4">
      <c r="A4" s="23" t="s">
        <v>22165</v>
      </c>
      <c r="B4" t="s">
        <v>26</v>
      </c>
      <c r="C4" t="s">
        <v>26</v>
      </c>
      <c r="D4" s="23" t="s">
        <v>22166</v>
      </c>
      <c r="E4" t="s">
        <v>26</v>
      </c>
      <c r="F4" t="s">
        <v>26</v>
      </c>
      <c r="G4" t="s">
        <v>26</v>
      </c>
      <c r="H4" t="s">
        <v>26</v>
      </c>
      <c r="I4" s="24">
        <v>26665</v>
      </c>
      <c r="J4" s="24">
        <v>26665</v>
      </c>
      <c r="K4" t="s">
        <v>26</v>
      </c>
      <c r="L4" s="25" t="s">
        <v>28</v>
      </c>
      <c r="M4" t="s">
        <v>26</v>
      </c>
      <c r="N4" t="s">
        <v>26</v>
      </c>
      <c r="O4" t="s">
        <v>26</v>
      </c>
      <c r="P4" s="24">
        <v>26665</v>
      </c>
      <c r="Q4" s="24">
        <v>26665</v>
      </c>
      <c r="R4" t="s">
        <v>26</v>
      </c>
      <c r="S4" t="s">
        <v>26</v>
      </c>
      <c r="T4" t="s">
        <v>26</v>
      </c>
      <c r="U4" t="s">
        <v>26</v>
      </c>
      <c r="V4" t="s">
        <v>26</v>
      </c>
      <c r="W4" s="24">
        <v>26665</v>
      </c>
      <c r="X4" s="24">
        <v>26665</v>
      </c>
      <c r="Y4" t="s">
        <v>26</v>
      </c>
      <c r="Z4" s="24">
        <v>26665</v>
      </c>
      <c r="AA4" s="24">
        <v>26665</v>
      </c>
      <c r="AB4" t="s">
        <v>26</v>
      </c>
      <c r="AC4" t="s">
        <v>26</v>
      </c>
      <c r="AD4" t="s">
        <v>26</v>
      </c>
      <c r="AE4" t="s">
        <v>26</v>
      </c>
      <c r="AF4" t="s">
        <v>26</v>
      </c>
      <c r="AG4" t="s">
        <v>26</v>
      </c>
      <c r="AH4" t="s">
        <v>26</v>
      </c>
      <c r="AI4" t="s">
        <v>26</v>
      </c>
      <c r="AJ4" t="s">
        <v>26</v>
      </c>
      <c r="AK4" t="s">
        <v>26</v>
      </c>
      <c r="AL4" t="s">
        <v>26</v>
      </c>
      <c r="AM4" t="s">
        <v>26</v>
      </c>
      <c r="AN4" t="s">
        <v>26</v>
      </c>
      <c r="AO4" s="25" t="s">
        <v>28</v>
      </c>
      <c r="AP4" s="23" t="s">
        <v>45</v>
      </c>
      <c r="AQ4" s="23" t="s">
        <v>30</v>
      </c>
      <c r="AR4" s="23" t="s">
        <v>46</v>
      </c>
      <c r="AS4" s="25">
        <v>5983420</v>
      </c>
      <c r="AT4" t="s">
        <v>26</v>
      </c>
      <c r="AU4" t="s">
        <v>22167</v>
      </c>
    </row>
    <row r="5" spans="1:47" ht="26.25" x14ac:dyDescent="0.4">
      <c r="A5" s="23" t="s">
        <v>47</v>
      </c>
      <c r="B5" t="s">
        <v>26</v>
      </c>
      <c r="C5" s="23" t="s">
        <v>48</v>
      </c>
      <c r="D5" s="23" t="s">
        <v>22168</v>
      </c>
      <c r="E5" s="23" t="s">
        <v>42</v>
      </c>
      <c r="F5" t="s">
        <v>26</v>
      </c>
      <c r="G5" t="s">
        <v>26</v>
      </c>
      <c r="H5" t="s">
        <v>26</v>
      </c>
      <c r="I5" s="24">
        <v>42005</v>
      </c>
      <c r="J5" s="24">
        <v>42005</v>
      </c>
      <c r="K5" t="s">
        <v>26</v>
      </c>
      <c r="L5" s="25" t="s">
        <v>28</v>
      </c>
      <c r="M5" t="s">
        <v>26</v>
      </c>
      <c r="N5" t="s">
        <v>26</v>
      </c>
      <c r="O5" t="s">
        <v>26</v>
      </c>
      <c r="P5" s="24">
        <v>42005</v>
      </c>
      <c r="Q5" s="24">
        <v>42005</v>
      </c>
      <c r="R5" t="s">
        <v>26</v>
      </c>
      <c r="S5" t="s">
        <v>26</v>
      </c>
      <c r="T5" t="s">
        <v>26</v>
      </c>
      <c r="U5" t="s">
        <v>26</v>
      </c>
      <c r="V5" t="s">
        <v>26</v>
      </c>
      <c r="W5" s="24">
        <v>42005</v>
      </c>
      <c r="X5" s="24">
        <v>42005</v>
      </c>
      <c r="Y5" t="s">
        <v>26</v>
      </c>
      <c r="Z5" s="24">
        <v>42005</v>
      </c>
      <c r="AA5" s="24">
        <v>42005</v>
      </c>
      <c r="AB5" t="s">
        <v>26</v>
      </c>
      <c r="AC5" s="24">
        <v>42005</v>
      </c>
      <c r="AD5" s="24">
        <v>42005</v>
      </c>
      <c r="AE5" t="s">
        <v>26</v>
      </c>
      <c r="AF5" t="s">
        <v>26</v>
      </c>
      <c r="AG5" t="s">
        <v>26</v>
      </c>
      <c r="AH5" t="s">
        <v>26</v>
      </c>
      <c r="AI5" t="s">
        <v>26</v>
      </c>
      <c r="AJ5" t="s">
        <v>26</v>
      </c>
      <c r="AK5" t="s">
        <v>26</v>
      </c>
      <c r="AL5" t="s">
        <v>26</v>
      </c>
      <c r="AM5" t="s">
        <v>26</v>
      </c>
      <c r="AN5" t="s">
        <v>26</v>
      </c>
      <c r="AO5" s="25" t="s">
        <v>28</v>
      </c>
      <c r="AP5" s="23" t="s">
        <v>29</v>
      </c>
      <c r="AQ5" s="23" t="s">
        <v>30</v>
      </c>
      <c r="AR5" s="23" t="s">
        <v>46</v>
      </c>
      <c r="AS5" s="25">
        <v>5983422</v>
      </c>
      <c r="AT5" t="s">
        <v>26</v>
      </c>
      <c r="AU5" t="s">
        <v>22169</v>
      </c>
    </row>
    <row r="6" spans="1:47" ht="26.25" x14ac:dyDescent="0.4">
      <c r="A6" s="23" t="s">
        <v>49</v>
      </c>
      <c r="B6" t="s">
        <v>26</v>
      </c>
      <c r="C6" s="23" t="s">
        <v>48</v>
      </c>
      <c r="D6" s="23" t="s">
        <v>22168</v>
      </c>
      <c r="E6" s="23" t="s">
        <v>42</v>
      </c>
      <c r="F6" t="s">
        <v>26</v>
      </c>
      <c r="G6" t="s">
        <v>26</v>
      </c>
      <c r="H6" t="s">
        <v>26</v>
      </c>
      <c r="I6" s="24">
        <v>42005</v>
      </c>
      <c r="J6" s="24">
        <v>42005</v>
      </c>
      <c r="K6" t="s">
        <v>26</v>
      </c>
      <c r="L6" s="25" t="s">
        <v>28</v>
      </c>
      <c r="M6" t="s">
        <v>26</v>
      </c>
      <c r="N6" t="s">
        <v>26</v>
      </c>
      <c r="O6" t="s">
        <v>26</v>
      </c>
      <c r="P6" s="24">
        <v>42005</v>
      </c>
      <c r="Q6" s="24">
        <v>42005</v>
      </c>
      <c r="R6" t="s">
        <v>26</v>
      </c>
      <c r="S6" t="s">
        <v>26</v>
      </c>
      <c r="T6" t="s">
        <v>26</v>
      </c>
      <c r="U6" t="s">
        <v>26</v>
      </c>
      <c r="V6" t="s">
        <v>26</v>
      </c>
      <c r="W6" s="24">
        <v>42005</v>
      </c>
      <c r="X6" s="24">
        <v>42005</v>
      </c>
      <c r="Y6" t="s">
        <v>26</v>
      </c>
      <c r="Z6" s="24">
        <v>42005</v>
      </c>
      <c r="AA6" s="24">
        <v>42005</v>
      </c>
      <c r="AB6" t="s">
        <v>26</v>
      </c>
      <c r="AC6" s="24">
        <v>42005</v>
      </c>
      <c r="AD6" s="24">
        <v>42005</v>
      </c>
      <c r="AE6" t="s">
        <v>26</v>
      </c>
      <c r="AF6" t="s">
        <v>26</v>
      </c>
      <c r="AG6" t="s">
        <v>26</v>
      </c>
      <c r="AH6" t="s">
        <v>26</v>
      </c>
      <c r="AI6" t="s">
        <v>26</v>
      </c>
      <c r="AJ6" t="s">
        <v>26</v>
      </c>
      <c r="AK6" t="s">
        <v>26</v>
      </c>
      <c r="AL6" t="s">
        <v>26</v>
      </c>
      <c r="AM6" t="s">
        <v>26</v>
      </c>
      <c r="AN6" t="s">
        <v>26</v>
      </c>
      <c r="AO6" s="25" t="s">
        <v>28</v>
      </c>
      <c r="AP6" s="23" t="s">
        <v>29</v>
      </c>
      <c r="AQ6" s="23" t="s">
        <v>30</v>
      </c>
      <c r="AR6" s="23" t="s">
        <v>46</v>
      </c>
      <c r="AS6" s="25">
        <v>5983421</v>
      </c>
      <c r="AT6" t="s">
        <v>26</v>
      </c>
      <c r="AU6" t="s">
        <v>22170</v>
      </c>
    </row>
    <row r="7" spans="1:47" ht="26.25" x14ac:dyDescent="0.4">
      <c r="A7" s="23" t="s">
        <v>50</v>
      </c>
      <c r="B7" t="s">
        <v>26</v>
      </c>
      <c r="C7" s="23" t="s">
        <v>51</v>
      </c>
      <c r="D7" t="s">
        <v>26</v>
      </c>
      <c r="E7" s="23" t="s">
        <v>42</v>
      </c>
      <c r="F7" t="s">
        <v>26</v>
      </c>
      <c r="G7" t="s">
        <v>26</v>
      </c>
      <c r="H7" t="s">
        <v>26</v>
      </c>
      <c r="I7" s="24">
        <v>42005</v>
      </c>
      <c r="J7" s="24">
        <v>42005</v>
      </c>
      <c r="K7" t="s">
        <v>26</v>
      </c>
      <c r="L7" s="25" t="s">
        <v>28</v>
      </c>
      <c r="M7" s="24">
        <v>42005</v>
      </c>
      <c r="N7" s="24">
        <v>42005</v>
      </c>
      <c r="O7" t="s">
        <v>26</v>
      </c>
      <c r="P7" t="s">
        <v>26</v>
      </c>
      <c r="Q7" t="s">
        <v>26</v>
      </c>
      <c r="R7" t="s">
        <v>26</v>
      </c>
      <c r="S7" s="24">
        <v>42005</v>
      </c>
      <c r="T7" s="24">
        <v>42005</v>
      </c>
      <c r="U7" t="s">
        <v>26</v>
      </c>
      <c r="V7" t="s">
        <v>26</v>
      </c>
      <c r="W7" s="24">
        <v>42005</v>
      </c>
      <c r="X7" s="24">
        <v>42005</v>
      </c>
      <c r="Y7" t="s">
        <v>26</v>
      </c>
      <c r="Z7" s="24">
        <v>42005</v>
      </c>
      <c r="AA7" s="24">
        <v>42005</v>
      </c>
      <c r="AB7" t="s">
        <v>26</v>
      </c>
      <c r="AC7" s="24">
        <v>42005</v>
      </c>
      <c r="AD7" s="24">
        <v>42005</v>
      </c>
      <c r="AE7" t="s">
        <v>26</v>
      </c>
      <c r="AF7" s="24">
        <v>42005</v>
      </c>
      <c r="AG7" s="24">
        <v>42005</v>
      </c>
      <c r="AH7" t="s">
        <v>26</v>
      </c>
      <c r="AI7" s="24">
        <v>42005</v>
      </c>
      <c r="AJ7" s="24">
        <v>42005</v>
      </c>
      <c r="AK7" t="s">
        <v>26</v>
      </c>
      <c r="AL7" t="s">
        <v>26</v>
      </c>
      <c r="AM7" t="s">
        <v>26</v>
      </c>
      <c r="AN7" t="s">
        <v>26</v>
      </c>
      <c r="AO7" s="25" t="s">
        <v>28</v>
      </c>
      <c r="AP7" s="23" t="s">
        <v>43</v>
      </c>
      <c r="AQ7" s="23" t="s">
        <v>30</v>
      </c>
      <c r="AR7" s="23" t="s">
        <v>44</v>
      </c>
      <c r="AS7" s="25">
        <v>5256684</v>
      </c>
      <c r="AT7" t="s">
        <v>26</v>
      </c>
      <c r="AU7" t="s">
        <v>22171</v>
      </c>
    </row>
    <row r="8" spans="1:47" ht="26.25" x14ac:dyDescent="0.4">
      <c r="A8" s="23" t="s">
        <v>52</v>
      </c>
      <c r="B8" t="s">
        <v>26</v>
      </c>
      <c r="C8" t="s">
        <v>26</v>
      </c>
      <c r="D8" t="s">
        <v>26</v>
      </c>
      <c r="E8" t="s">
        <v>26</v>
      </c>
      <c r="F8" t="s">
        <v>26</v>
      </c>
      <c r="G8" t="s">
        <v>26</v>
      </c>
      <c r="H8" t="s">
        <v>26</v>
      </c>
      <c r="I8" s="24">
        <v>42370</v>
      </c>
      <c r="J8" s="24">
        <v>42370</v>
      </c>
      <c r="K8" t="s">
        <v>26</v>
      </c>
      <c r="L8" s="25" t="s">
        <v>28</v>
      </c>
      <c r="M8" s="24">
        <v>42370</v>
      </c>
      <c r="N8" s="24">
        <v>42370</v>
      </c>
      <c r="O8" t="s">
        <v>26</v>
      </c>
      <c r="P8" t="s">
        <v>26</v>
      </c>
      <c r="Q8" t="s">
        <v>26</v>
      </c>
      <c r="R8" t="s">
        <v>26</v>
      </c>
      <c r="S8" s="24">
        <v>42370</v>
      </c>
      <c r="T8" s="24">
        <v>42370</v>
      </c>
      <c r="U8" t="s">
        <v>26</v>
      </c>
      <c r="V8" t="s">
        <v>26</v>
      </c>
      <c r="W8" s="24">
        <v>42370</v>
      </c>
      <c r="X8" s="24">
        <v>42370</v>
      </c>
      <c r="Y8" t="s">
        <v>26</v>
      </c>
      <c r="Z8" s="24">
        <v>42370</v>
      </c>
      <c r="AA8" s="24">
        <v>42370</v>
      </c>
      <c r="AB8" t="s">
        <v>26</v>
      </c>
      <c r="AC8" s="24">
        <v>42370</v>
      </c>
      <c r="AD8" s="24">
        <v>42370</v>
      </c>
      <c r="AE8" t="s">
        <v>26</v>
      </c>
      <c r="AF8" s="24">
        <v>42370</v>
      </c>
      <c r="AG8" s="24">
        <v>42370</v>
      </c>
      <c r="AH8" t="s">
        <v>26</v>
      </c>
      <c r="AI8" s="24">
        <v>42370</v>
      </c>
      <c r="AJ8" s="24">
        <v>42370</v>
      </c>
      <c r="AK8" t="s">
        <v>26</v>
      </c>
      <c r="AL8" t="s">
        <v>26</v>
      </c>
      <c r="AM8" t="s">
        <v>26</v>
      </c>
      <c r="AN8" t="s">
        <v>26</v>
      </c>
      <c r="AO8" s="25" t="s">
        <v>28</v>
      </c>
      <c r="AP8" s="23" t="s">
        <v>43</v>
      </c>
      <c r="AQ8" s="23" t="s">
        <v>30</v>
      </c>
      <c r="AR8" s="23" t="s">
        <v>44</v>
      </c>
      <c r="AS8" s="25">
        <v>5256689</v>
      </c>
      <c r="AT8" t="s">
        <v>26</v>
      </c>
      <c r="AU8" t="s">
        <v>22172</v>
      </c>
    </row>
    <row r="9" spans="1:47" ht="26.25" x14ac:dyDescent="0.4">
      <c r="A9" s="23" t="s">
        <v>54</v>
      </c>
      <c r="B9" t="s">
        <v>26</v>
      </c>
      <c r="C9" s="23" t="s">
        <v>51</v>
      </c>
      <c r="D9" t="s">
        <v>26</v>
      </c>
      <c r="E9" s="23" t="s">
        <v>42</v>
      </c>
      <c r="F9" t="s">
        <v>26</v>
      </c>
      <c r="G9" t="s">
        <v>26</v>
      </c>
      <c r="H9" t="s">
        <v>26</v>
      </c>
      <c r="I9" s="24">
        <v>40909</v>
      </c>
      <c r="J9" s="24">
        <v>40909</v>
      </c>
      <c r="K9" t="s">
        <v>26</v>
      </c>
      <c r="L9" s="25" t="s">
        <v>28</v>
      </c>
      <c r="M9" s="24">
        <v>40909</v>
      </c>
      <c r="N9" s="24">
        <v>40909</v>
      </c>
      <c r="O9" t="s">
        <v>26</v>
      </c>
      <c r="P9" t="s">
        <v>26</v>
      </c>
      <c r="Q9" t="s">
        <v>26</v>
      </c>
      <c r="R9" t="s">
        <v>26</v>
      </c>
      <c r="S9" s="24">
        <v>40909</v>
      </c>
      <c r="T9" s="24">
        <v>40909</v>
      </c>
      <c r="U9" t="s">
        <v>26</v>
      </c>
      <c r="V9" t="s">
        <v>26</v>
      </c>
      <c r="W9" s="24">
        <v>40909</v>
      </c>
      <c r="X9" s="24">
        <v>40909</v>
      </c>
      <c r="Y9" t="s">
        <v>26</v>
      </c>
      <c r="Z9" s="24">
        <v>40909</v>
      </c>
      <c r="AA9" s="24">
        <v>40909</v>
      </c>
      <c r="AB9" t="s">
        <v>26</v>
      </c>
      <c r="AC9" s="24">
        <v>40909</v>
      </c>
      <c r="AD9" s="24">
        <v>40909</v>
      </c>
      <c r="AE9" t="s">
        <v>26</v>
      </c>
      <c r="AF9" s="24">
        <v>40909</v>
      </c>
      <c r="AG9" s="24">
        <v>40909</v>
      </c>
      <c r="AH9" t="s">
        <v>26</v>
      </c>
      <c r="AI9" s="24">
        <v>40909</v>
      </c>
      <c r="AJ9" s="24">
        <v>40909</v>
      </c>
      <c r="AK9" t="s">
        <v>26</v>
      </c>
      <c r="AL9" t="s">
        <v>26</v>
      </c>
      <c r="AM9" t="s">
        <v>26</v>
      </c>
      <c r="AN9" t="s">
        <v>26</v>
      </c>
      <c r="AO9" s="25" t="s">
        <v>28</v>
      </c>
      <c r="AP9" s="23" t="s">
        <v>43</v>
      </c>
      <c r="AQ9" s="23" t="s">
        <v>30</v>
      </c>
      <c r="AR9" s="23" t="s">
        <v>44</v>
      </c>
      <c r="AS9" s="25">
        <v>5256683</v>
      </c>
      <c r="AT9" t="s">
        <v>26</v>
      </c>
      <c r="AU9" t="s">
        <v>22173</v>
      </c>
    </row>
    <row r="10" spans="1:47" ht="26.25" x14ac:dyDescent="0.4">
      <c r="A10" s="23" t="s">
        <v>58</v>
      </c>
      <c r="B10" t="s">
        <v>26</v>
      </c>
      <c r="C10" s="23" t="s">
        <v>59</v>
      </c>
      <c r="D10" s="23" t="s">
        <v>22174</v>
      </c>
      <c r="E10" s="23" t="s">
        <v>60</v>
      </c>
      <c r="F10" t="s">
        <v>26</v>
      </c>
      <c r="G10" t="s">
        <v>26</v>
      </c>
      <c r="H10" s="25" t="s">
        <v>61</v>
      </c>
      <c r="I10" s="24">
        <v>41640</v>
      </c>
      <c r="J10" s="24">
        <v>41640</v>
      </c>
      <c r="K10" t="s">
        <v>26</v>
      </c>
      <c r="L10" s="25" t="s">
        <v>28</v>
      </c>
      <c r="M10" s="24">
        <v>41640</v>
      </c>
      <c r="N10" s="24">
        <v>41640</v>
      </c>
      <c r="O10" t="s">
        <v>26</v>
      </c>
      <c r="P10" s="24">
        <v>41640</v>
      </c>
      <c r="Q10" s="24">
        <v>41640</v>
      </c>
      <c r="R10" t="s">
        <v>26</v>
      </c>
      <c r="S10" t="s">
        <v>26</v>
      </c>
      <c r="T10" t="s">
        <v>26</v>
      </c>
      <c r="U10" t="s">
        <v>26</v>
      </c>
      <c r="V10" t="s">
        <v>26</v>
      </c>
      <c r="W10" s="24">
        <v>41640</v>
      </c>
      <c r="X10" s="24">
        <v>41640</v>
      </c>
      <c r="Y10" t="s">
        <v>26</v>
      </c>
      <c r="Z10" s="24">
        <v>41640</v>
      </c>
      <c r="AA10" s="24">
        <v>41640</v>
      </c>
      <c r="AB10" t="s">
        <v>26</v>
      </c>
      <c r="AC10" s="24">
        <v>41640</v>
      </c>
      <c r="AD10" s="24">
        <v>41640</v>
      </c>
      <c r="AE10" t="s">
        <v>26</v>
      </c>
      <c r="AF10" t="s">
        <v>26</v>
      </c>
      <c r="AG10" t="s">
        <v>26</v>
      </c>
      <c r="AH10" t="s">
        <v>26</v>
      </c>
      <c r="AI10" t="s">
        <v>26</v>
      </c>
      <c r="AJ10" t="s">
        <v>26</v>
      </c>
      <c r="AK10" t="s">
        <v>26</v>
      </c>
      <c r="AL10" t="s">
        <v>26</v>
      </c>
      <c r="AM10" t="s">
        <v>26</v>
      </c>
      <c r="AN10" t="s">
        <v>26</v>
      </c>
      <c r="AO10" s="25" t="s">
        <v>28</v>
      </c>
      <c r="AP10" s="23" t="s">
        <v>29</v>
      </c>
      <c r="AQ10" s="23" t="s">
        <v>30</v>
      </c>
      <c r="AR10" s="23" t="s">
        <v>46</v>
      </c>
      <c r="AS10" s="25">
        <v>2043171</v>
      </c>
      <c r="AT10" t="s">
        <v>26</v>
      </c>
      <c r="AU10" t="s">
        <v>22175</v>
      </c>
    </row>
    <row r="11" spans="1:47" ht="26.25" x14ac:dyDescent="0.4">
      <c r="A11" s="23" t="s">
        <v>62</v>
      </c>
      <c r="B11" t="s">
        <v>26</v>
      </c>
      <c r="C11" s="23" t="s">
        <v>51</v>
      </c>
      <c r="D11" t="s">
        <v>26</v>
      </c>
      <c r="E11" s="23" t="s">
        <v>42</v>
      </c>
      <c r="F11" t="s">
        <v>26</v>
      </c>
      <c r="G11" t="s">
        <v>26</v>
      </c>
      <c r="H11" t="s">
        <v>26</v>
      </c>
      <c r="I11" s="24">
        <v>42370</v>
      </c>
      <c r="J11" s="24">
        <v>42370</v>
      </c>
      <c r="K11" t="s">
        <v>26</v>
      </c>
      <c r="L11" s="25" t="s">
        <v>28</v>
      </c>
      <c r="M11" s="24">
        <v>42370</v>
      </c>
      <c r="N11" s="24">
        <v>42370</v>
      </c>
      <c r="O11" t="s">
        <v>26</v>
      </c>
      <c r="P11" t="s">
        <v>26</v>
      </c>
      <c r="Q11" t="s">
        <v>26</v>
      </c>
      <c r="R11" t="s">
        <v>26</v>
      </c>
      <c r="S11" s="24">
        <v>42370</v>
      </c>
      <c r="T11" s="24">
        <v>42370</v>
      </c>
      <c r="U11" t="s">
        <v>26</v>
      </c>
      <c r="V11" t="s">
        <v>26</v>
      </c>
      <c r="W11" s="24">
        <v>42370</v>
      </c>
      <c r="X11" s="24">
        <v>42370</v>
      </c>
      <c r="Y11" t="s">
        <v>26</v>
      </c>
      <c r="Z11" s="24">
        <v>42370</v>
      </c>
      <c r="AA11" s="24">
        <v>42370</v>
      </c>
      <c r="AB11" t="s">
        <v>26</v>
      </c>
      <c r="AC11" s="24">
        <v>42370</v>
      </c>
      <c r="AD11" s="24">
        <v>42370</v>
      </c>
      <c r="AE11" t="s">
        <v>26</v>
      </c>
      <c r="AF11" s="24">
        <v>42370</v>
      </c>
      <c r="AG11" s="24">
        <v>42370</v>
      </c>
      <c r="AH11" t="s">
        <v>26</v>
      </c>
      <c r="AI11" s="24">
        <v>42370</v>
      </c>
      <c r="AJ11" s="24">
        <v>42370</v>
      </c>
      <c r="AK11" t="s">
        <v>26</v>
      </c>
      <c r="AL11" t="s">
        <v>26</v>
      </c>
      <c r="AM11" t="s">
        <v>26</v>
      </c>
      <c r="AN11" t="s">
        <v>26</v>
      </c>
      <c r="AO11" s="25" t="s">
        <v>28</v>
      </c>
      <c r="AP11" s="23" t="s">
        <v>43</v>
      </c>
      <c r="AQ11" s="23" t="s">
        <v>30</v>
      </c>
      <c r="AR11" s="23" t="s">
        <v>44</v>
      </c>
      <c r="AS11" s="25">
        <v>5256665</v>
      </c>
      <c r="AT11" t="s">
        <v>26</v>
      </c>
      <c r="AU11" t="s">
        <v>22176</v>
      </c>
    </row>
    <row r="12" spans="1:47" ht="26.25" x14ac:dyDescent="0.4">
      <c r="A12" s="23" t="s">
        <v>63</v>
      </c>
      <c r="B12" t="s">
        <v>26</v>
      </c>
      <c r="C12" s="23" t="s">
        <v>22177</v>
      </c>
      <c r="D12" t="s">
        <v>26</v>
      </c>
      <c r="E12" s="23" t="s">
        <v>42</v>
      </c>
      <c r="F12" t="s">
        <v>26</v>
      </c>
      <c r="G12" t="s">
        <v>26</v>
      </c>
      <c r="H12" t="s">
        <v>26</v>
      </c>
      <c r="I12" s="24">
        <v>40909</v>
      </c>
      <c r="J12" s="24">
        <v>40909</v>
      </c>
      <c r="K12" t="s">
        <v>26</v>
      </c>
      <c r="L12" s="25" t="s">
        <v>28</v>
      </c>
      <c r="M12" s="24">
        <v>40909</v>
      </c>
      <c r="N12" s="24">
        <v>40909</v>
      </c>
      <c r="O12" t="s">
        <v>26</v>
      </c>
      <c r="P12" t="s">
        <v>26</v>
      </c>
      <c r="Q12" t="s">
        <v>26</v>
      </c>
      <c r="R12" t="s">
        <v>26</v>
      </c>
      <c r="S12" s="24">
        <v>40909</v>
      </c>
      <c r="T12" s="24">
        <v>40909</v>
      </c>
      <c r="U12" t="s">
        <v>26</v>
      </c>
      <c r="V12" t="s">
        <v>26</v>
      </c>
      <c r="W12" s="24">
        <v>40909</v>
      </c>
      <c r="X12" s="24">
        <v>40909</v>
      </c>
      <c r="Y12" t="s">
        <v>26</v>
      </c>
      <c r="Z12" s="24">
        <v>40909</v>
      </c>
      <c r="AA12" s="24">
        <v>40909</v>
      </c>
      <c r="AB12" t="s">
        <v>26</v>
      </c>
      <c r="AC12" s="24">
        <v>40909</v>
      </c>
      <c r="AD12" s="24">
        <v>40909</v>
      </c>
      <c r="AE12" t="s">
        <v>26</v>
      </c>
      <c r="AF12" s="24">
        <v>40909</v>
      </c>
      <c r="AG12" s="24">
        <v>40909</v>
      </c>
      <c r="AH12" t="s">
        <v>26</v>
      </c>
      <c r="AI12" s="24">
        <v>40909</v>
      </c>
      <c r="AJ12" s="24">
        <v>40909</v>
      </c>
      <c r="AK12" t="s">
        <v>26</v>
      </c>
      <c r="AL12" t="s">
        <v>26</v>
      </c>
      <c r="AM12" t="s">
        <v>26</v>
      </c>
      <c r="AN12" t="s">
        <v>26</v>
      </c>
      <c r="AO12" s="25" t="s">
        <v>28</v>
      </c>
      <c r="AP12" s="23" t="s">
        <v>43</v>
      </c>
      <c r="AQ12" s="23" t="s">
        <v>30</v>
      </c>
      <c r="AR12" s="23" t="s">
        <v>44</v>
      </c>
      <c r="AS12" s="25">
        <v>5262109</v>
      </c>
      <c r="AT12" t="s">
        <v>26</v>
      </c>
      <c r="AU12" t="s">
        <v>22178</v>
      </c>
    </row>
    <row r="13" spans="1:47" ht="26.25" x14ac:dyDescent="0.4">
      <c r="A13" s="23" t="s">
        <v>64</v>
      </c>
      <c r="B13" t="s">
        <v>26</v>
      </c>
      <c r="C13" s="23" t="s">
        <v>65</v>
      </c>
      <c r="D13" s="23" t="s">
        <v>22179</v>
      </c>
      <c r="E13" s="23" t="s">
        <v>42</v>
      </c>
      <c r="F13" s="25" t="s">
        <v>66</v>
      </c>
      <c r="G13" s="25" t="s">
        <v>67</v>
      </c>
      <c r="H13" t="s">
        <v>26</v>
      </c>
      <c r="I13" s="24">
        <v>36923</v>
      </c>
      <c r="J13" s="24">
        <v>43070</v>
      </c>
      <c r="K13" t="s">
        <v>26</v>
      </c>
      <c r="L13" s="25" t="s">
        <v>68</v>
      </c>
      <c r="M13" s="24">
        <v>36923</v>
      </c>
      <c r="N13" s="24">
        <v>40269</v>
      </c>
      <c r="O13" t="s">
        <v>26</v>
      </c>
      <c r="P13" s="24">
        <v>36923</v>
      </c>
      <c r="Q13" s="24">
        <v>43070</v>
      </c>
      <c r="R13" t="s">
        <v>26</v>
      </c>
      <c r="S13" t="s">
        <v>26</v>
      </c>
      <c r="T13" t="s">
        <v>26</v>
      </c>
      <c r="U13" t="s">
        <v>26</v>
      </c>
      <c r="V13" t="s">
        <v>26</v>
      </c>
      <c r="W13" s="24">
        <v>36923</v>
      </c>
      <c r="X13" s="24">
        <v>43070</v>
      </c>
      <c r="Y13" t="s">
        <v>26</v>
      </c>
      <c r="Z13" s="24">
        <v>36923</v>
      </c>
      <c r="AA13" s="24">
        <v>43070</v>
      </c>
      <c r="AB13" t="s">
        <v>26</v>
      </c>
      <c r="AC13" t="s">
        <v>26</v>
      </c>
      <c r="AD13" t="s">
        <v>26</v>
      </c>
      <c r="AE13" t="s">
        <v>26</v>
      </c>
      <c r="AF13" t="s">
        <v>26</v>
      </c>
      <c r="AG13" t="s">
        <v>26</v>
      </c>
      <c r="AH13" t="s">
        <v>26</v>
      </c>
      <c r="AI13" t="s">
        <v>26</v>
      </c>
      <c r="AJ13" t="s">
        <v>26</v>
      </c>
      <c r="AK13" t="s">
        <v>26</v>
      </c>
      <c r="AL13" t="s">
        <v>26</v>
      </c>
      <c r="AM13" t="s">
        <v>26</v>
      </c>
      <c r="AN13" t="s">
        <v>26</v>
      </c>
      <c r="AO13" s="25" t="s">
        <v>68</v>
      </c>
      <c r="AP13" s="23" t="s">
        <v>69</v>
      </c>
      <c r="AQ13" s="23" t="s">
        <v>30</v>
      </c>
      <c r="AR13" s="23" t="s">
        <v>70</v>
      </c>
      <c r="AS13" s="25">
        <v>44810</v>
      </c>
      <c r="AT13" t="s">
        <v>26</v>
      </c>
      <c r="AU13" t="s">
        <v>22180</v>
      </c>
    </row>
    <row r="14" spans="1:47" ht="26.25" x14ac:dyDescent="0.4">
      <c r="A14" s="23" t="s">
        <v>64</v>
      </c>
      <c r="B14" t="s">
        <v>26</v>
      </c>
      <c r="C14" s="23" t="s">
        <v>65</v>
      </c>
      <c r="D14" s="23" t="s">
        <v>22179</v>
      </c>
      <c r="E14" s="23" t="s">
        <v>42</v>
      </c>
      <c r="F14" t="s">
        <v>26</v>
      </c>
      <c r="G14" t="s">
        <v>26</v>
      </c>
      <c r="H14" t="s">
        <v>26</v>
      </c>
      <c r="I14" s="24">
        <v>40909</v>
      </c>
      <c r="J14" s="24">
        <v>42005</v>
      </c>
      <c r="K14" t="s">
        <v>26</v>
      </c>
      <c r="L14" s="25" t="s">
        <v>68</v>
      </c>
      <c r="M14" t="s">
        <v>26</v>
      </c>
      <c r="N14" t="s">
        <v>26</v>
      </c>
      <c r="O14" t="s">
        <v>26</v>
      </c>
      <c r="P14" s="24">
        <v>40909</v>
      </c>
      <c r="Q14" s="24">
        <v>42005</v>
      </c>
      <c r="R14" t="s">
        <v>26</v>
      </c>
      <c r="S14" t="s">
        <v>26</v>
      </c>
      <c r="T14" t="s">
        <v>26</v>
      </c>
      <c r="U14" t="s">
        <v>26</v>
      </c>
      <c r="V14" t="s">
        <v>26</v>
      </c>
      <c r="W14" s="24">
        <v>40909</v>
      </c>
      <c r="X14" s="24">
        <v>42005</v>
      </c>
      <c r="Y14" t="s">
        <v>26</v>
      </c>
      <c r="Z14" s="24">
        <v>40909</v>
      </c>
      <c r="AA14" s="24">
        <v>42005</v>
      </c>
      <c r="AB14" t="s">
        <v>26</v>
      </c>
      <c r="AC14" t="s">
        <v>26</v>
      </c>
      <c r="AD14" t="s">
        <v>26</v>
      </c>
      <c r="AE14" t="s">
        <v>26</v>
      </c>
      <c r="AF14" t="s">
        <v>26</v>
      </c>
      <c r="AG14" t="s">
        <v>26</v>
      </c>
      <c r="AH14" t="s">
        <v>26</v>
      </c>
      <c r="AI14" t="s">
        <v>26</v>
      </c>
      <c r="AJ14" t="s">
        <v>26</v>
      </c>
      <c r="AK14" t="s">
        <v>26</v>
      </c>
      <c r="AL14" t="s">
        <v>26</v>
      </c>
      <c r="AM14" t="s">
        <v>26</v>
      </c>
      <c r="AN14" t="s">
        <v>26</v>
      </c>
      <c r="AO14" s="25" t="s">
        <v>68</v>
      </c>
      <c r="AP14" s="23" t="s">
        <v>69</v>
      </c>
      <c r="AQ14" s="23" t="s">
        <v>30</v>
      </c>
      <c r="AR14" s="23" t="s">
        <v>71</v>
      </c>
      <c r="AS14" s="25">
        <v>6394504</v>
      </c>
      <c r="AT14" s="23" t="s">
        <v>22181</v>
      </c>
      <c r="AU14" t="s">
        <v>22182</v>
      </c>
    </row>
    <row r="15" spans="1:47" ht="26.25" x14ac:dyDescent="0.4">
      <c r="A15" s="23" t="s">
        <v>72</v>
      </c>
      <c r="B15" t="s">
        <v>26</v>
      </c>
      <c r="C15" s="23" t="s">
        <v>73</v>
      </c>
      <c r="D15" s="23" t="s">
        <v>22174</v>
      </c>
      <c r="E15" s="23" t="s">
        <v>74</v>
      </c>
      <c r="F15" s="25" t="s">
        <v>75</v>
      </c>
      <c r="G15" s="25" t="s">
        <v>76</v>
      </c>
      <c r="H15" t="s">
        <v>26</v>
      </c>
      <c r="I15" s="24">
        <v>37377</v>
      </c>
      <c r="J15" s="25" t="s">
        <v>77</v>
      </c>
      <c r="K15" t="s">
        <v>26</v>
      </c>
      <c r="L15" s="25" t="s">
        <v>68</v>
      </c>
      <c r="M15" s="24">
        <v>37987</v>
      </c>
      <c r="N15" s="24">
        <v>42856</v>
      </c>
      <c r="O15" t="s">
        <v>26</v>
      </c>
      <c r="P15" s="24">
        <v>37377</v>
      </c>
      <c r="Q15" s="25" t="s">
        <v>77</v>
      </c>
      <c r="R15" t="s">
        <v>26</v>
      </c>
      <c r="S15" t="s">
        <v>26</v>
      </c>
      <c r="T15" t="s">
        <v>26</v>
      </c>
      <c r="U15" t="s">
        <v>26</v>
      </c>
      <c r="V15" s="25">
        <v>365</v>
      </c>
      <c r="W15" s="24">
        <v>37377</v>
      </c>
      <c r="X15" s="25" t="s">
        <v>77</v>
      </c>
      <c r="Y15" t="s">
        <v>26</v>
      </c>
      <c r="Z15" s="24">
        <v>37377</v>
      </c>
      <c r="AA15" s="25" t="s">
        <v>77</v>
      </c>
      <c r="AB15" t="s">
        <v>26</v>
      </c>
      <c r="AC15" s="24">
        <v>37377</v>
      </c>
      <c r="AD15" s="25" t="s">
        <v>77</v>
      </c>
      <c r="AE15" t="s">
        <v>26</v>
      </c>
      <c r="AF15" t="s">
        <v>26</v>
      </c>
      <c r="AG15" t="s">
        <v>26</v>
      </c>
      <c r="AH15" t="s">
        <v>26</v>
      </c>
      <c r="AI15" t="s">
        <v>26</v>
      </c>
      <c r="AJ15" t="s">
        <v>26</v>
      </c>
      <c r="AK15" t="s">
        <v>26</v>
      </c>
      <c r="AL15" t="s">
        <v>26</v>
      </c>
      <c r="AM15" t="s">
        <v>26</v>
      </c>
      <c r="AN15" t="s">
        <v>26</v>
      </c>
      <c r="AO15" s="25" t="s">
        <v>68</v>
      </c>
      <c r="AP15" s="23" t="s">
        <v>69</v>
      </c>
      <c r="AQ15" s="23" t="s">
        <v>30</v>
      </c>
      <c r="AR15" s="23" t="s">
        <v>78</v>
      </c>
      <c r="AS15" s="25">
        <v>30083</v>
      </c>
      <c r="AT15" t="s">
        <v>26</v>
      </c>
      <c r="AU15" t="s">
        <v>22183</v>
      </c>
    </row>
    <row r="16" spans="1:47" ht="26.25" x14ac:dyDescent="0.4">
      <c r="A16" s="23" t="s">
        <v>79</v>
      </c>
      <c r="B16" t="s">
        <v>26</v>
      </c>
      <c r="C16" s="23" t="s">
        <v>80</v>
      </c>
      <c r="D16" s="23" t="s">
        <v>22184</v>
      </c>
      <c r="E16" s="23" t="s">
        <v>60</v>
      </c>
      <c r="F16" s="25" t="s">
        <v>81</v>
      </c>
      <c r="G16" s="25" t="s">
        <v>82</v>
      </c>
      <c r="H16" t="s">
        <v>26</v>
      </c>
      <c r="I16" s="24">
        <v>35339</v>
      </c>
      <c r="J16" s="24">
        <v>36800</v>
      </c>
      <c r="K16" t="s">
        <v>26</v>
      </c>
      <c r="L16" s="25" t="s">
        <v>68</v>
      </c>
      <c r="M16" s="24">
        <v>35462</v>
      </c>
      <c r="N16" s="24">
        <v>36800</v>
      </c>
      <c r="O16" t="s">
        <v>26</v>
      </c>
      <c r="P16" s="24">
        <v>35339</v>
      </c>
      <c r="Q16" s="24">
        <v>36800</v>
      </c>
      <c r="R16" t="s">
        <v>26</v>
      </c>
      <c r="S16" t="s">
        <v>26</v>
      </c>
      <c r="T16" t="s">
        <v>26</v>
      </c>
      <c r="U16" t="s">
        <v>26</v>
      </c>
      <c r="V16" t="s">
        <v>26</v>
      </c>
      <c r="W16" s="24">
        <v>35339</v>
      </c>
      <c r="X16" s="25" t="s">
        <v>77</v>
      </c>
      <c r="Y16" t="s">
        <v>26</v>
      </c>
      <c r="Z16" s="24">
        <v>35339</v>
      </c>
      <c r="AA16" s="25" t="s">
        <v>77</v>
      </c>
      <c r="AB16" t="s">
        <v>26</v>
      </c>
      <c r="AC16" s="24">
        <v>35462</v>
      </c>
      <c r="AD16" s="25" t="s">
        <v>77</v>
      </c>
      <c r="AE16" t="s">
        <v>26</v>
      </c>
      <c r="AF16" t="s">
        <v>26</v>
      </c>
      <c r="AG16" t="s">
        <v>26</v>
      </c>
      <c r="AH16" t="s">
        <v>26</v>
      </c>
      <c r="AI16" t="s">
        <v>26</v>
      </c>
      <c r="AJ16" t="s">
        <v>26</v>
      </c>
      <c r="AK16" t="s">
        <v>26</v>
      </c>
      <c r="AL16" t="s">
        <v>26</v>
      </c>
      <c r="AM16" t="s">
        <v>26</v>
      </c>
      <c r="AN16" t="s">
        <v>26</v>
      </c>
      <c r="AO16" s="25" t="s">
        <v>68</v>
      </c>
      <c r="AP16" s="23" t="s">
        <v>69</v>
      </c>
      <c r="AQ16" s="23" t="s">
        <v>30</v>
      </c>
      <c r="AR16" s="23" t="s">
        <v>83</v>
      </c>
      <c r="AS16" s="25">
        <v>32745</v>
      </c>
      <c r="AT16" t="s">
        <v>26</v>
      </c>
      <c r="AU16" t="s">
        <v>22185</v>
      </c>
    </row>
    <row r="17" spans="1:47" ht="26.25" x14ac:dyDescent="0.4">
      <c r="A17" s="23" t="s">
        <v>84</v>
      </c>
      <c r="B17" t="s">
        <v>26</v>
      </c>
      <c r="C17" s="23" t="s">
        <v>65</v>
      </c>
      <c r="D17" s="23" t="s">
        <v>22179</v>
      </c>
      <c r="E17" s="23" t="s">
        <v>42</v>
      </c>
      <c r="F17" s="25" t="s">
        <v>85</v>
      </c>
      <c r="G17" s="25" t="s">
        <v>86</v>
      </c>
      <c r="H17" t="s">
        <v>26</v>
      </c>
      <c r="I17" s="24">
        <v>36008</v>
      </c>
      <c r="J17" s="24">
        <v>43070</v>
      </c>
      <c r="K17" t="s">
        <v>26</v>
      </c>
      <c r="L17" s="25" t="s">
        <v>68</v>
      </c>
      <c r="M17" s="24">
        <v>36008</v>
      </c>
      <c r="N17" s="24">
        <v>40269</v>
      </c>
      <c r="O17" t="s">
        <v>26</v>
      </c>
      <c r="P17" s="24">
        <v>36008</v>
      </c>
      <c r="Q17" s="24">
        <v>43070</v>
      </c>
      <c r="R17" t="s">
        <v>26</v>
      </c>
      <c r="S17" t="s">
        <v>26</v>
      </c>
      <c r="T17" t="s">
        <v>26</v>
      </c>
      <c r="U17" t="s">
        <v>26</v>
      </c>
      <c r="V17" t="s">
        <v>26</v>
      </c>
      <c r="W17" s="24">
        <v>36008</v>
      </c>
      <c r="X17" s="25" t="s">
        <v>77</v>
      </c>
      <c r="Y17" t="s">
        <v>26</v>
      </c>
      <c r="Z17" s="24">
        <v>36008</v>
      </c>
      <c r="AA17" s="25" t="s">
        <v>77</v>
      </c>
      <c r="AB17" t="s">
        <v>26</v>
      </c>
      <c r="AC17" s="24">
        <v>36008</v>
      </c>
      <c r="AD17" s="25" t="s">
        <v>77</v>
      </c>
      <c r="AE17" t="s">
        <v>26</v>
      </c>
      <c r="AF17" t="s">
        <v>26</v>
      </c>
      <c r="AG17" t="s">
        <v>26</v>
      </c>
      <c r="AH17" t="s">
        <v>26</v>
      </c>
      <c r="AI17" t="s">
        <v>26</v>
      </c>
      <c r="AJ17" t="s">
        <v>26</v>
      </c>
      <c r="AK17" t="s">
        <v>26</v>
      </c>
      <c r="AL17" t="s">
        <v>26</v>
      </c>
      <c r="AM17" t="s">
        <v>26</v>
      </c>
      <c r="AN17" t="s">
        <v>26</v>
      </c>
      <c r="AO17" s="25" t="s">
        <v>68</v>
      </c>
      <c r="AP17" s="23" t="s">
        <v>69</v>
      </c>
      <c r="AQ17" s="23" t="s">
        <v>30</v>
      </c>
      <c r="AR17" s="23" t="s">
        <v>87</v>
      </c>
      <c r="AS17" s="25">
        <v>32604</v>
      </c>
      <c r="AT17" t="s">
        <v>26</v>
      </c>
      <c r="AU17" t="s">
        <v>22186</v>
      </c>
    </row>
    <row r="18" spans="1:47" ht="26.25" x14ac:dyDescent="0.4">
      <c r="A18" s="23" t="s">
        <v>88</v>
      </c>
      <c r="B18" t="s">
        <v>26</v>
      </c>
      <c r="C18" s="23" t="s">
        <v>73</v>
      </c>
      <c r="D18" s="23" t="s">
        <v>22179</v>
      </c>
      <c r="E18" s="23" t="s">
        <v>74</v>
      </c>
      <c r="F18" s="25" t="s">
        <v>89</v>
      </c>
      <c r="G18" s="25" t="s">
        <v>90</v>
      </c>
      <c r="H18" t="s">
        <v>26</v>
      </c>
      <c r="I18" s="24">
        <v>35490</v>
      </c>
      <c r="J18" s="25" t="s">
        <v>77</v>
      </c>
      <c r="K18" s="25" t="s">
        <v>91</v>
      </c>
      <c r="L18" s="25" t="s">
        <v>68</v>
      </c>
      <c r="M18" s="24">
        <v>38047</v>
      </c>
      <c r="N18" s="24">
        <v>42856</v>
      </c>
      <c r="O18" t="s">
        <v>26</v>
      </c>
      <c r="P18" s="24">
        <v>35490</v>
      </c>
      <c r="Q18" s="25" t="s">
        <v>77</v>
      </c>
      <c r="R18" s="25" t="s">
        <v>91</v>
      </c>
      <c r="S18" t="s">
        <v>26</v>
      </c>
      <c r="T18" t="s">
        <v>26</v>
      </c>
      <c r="U18" t="s">
        <v>26</v>
      </c>
      <c r="V18" s="25">
        <v>365</v>
      </c>
      <c r="W18" s="24">
        <v>35490</v>
      </c>
      <c r="X18" s="25" t="s">
        <v>77</v>
      </c>
      <c r="Y18" s="25" t="s">
        <v>91</v>
      </c>
      <c r="Z18" s="24">
        <v>35490</v>
      </c>
      <c r="AA18" s="25" t="s">
        <v>77</v>
      </c>
      <c r="AB18" s="25" t="s">
        <v>91</v>
      </c>
      <c r="AC18" s="24">
        <v>35490</v>
      </c>
      <c r="AD18" s="25" t="s">
        <v>77</v>
      </c>
      <c r="AE18" s="25" t="s">
        <v>91</v>
      </c>
      <c r="AF18" t="s">
        <v>26</v>
      </c>
      <c r="AG18" t="s">
        <v>26</v>
      </c>
      <c r="AH18" t="s">
        <v>26</v>
      </c>
      <c r="AI18" t="s">
        <v>26</v>
      </c>
      <c r="AJ18" t="s">
        <v>26</v>
      </c>
      <c r="AK18" t="s">
        <v>26</v>
      </c>
      <c r="AL18" t="s">
        <v>26</v>
      </c>
      <c r="AM18" t="s">
        <v>26</v>
      </c>
      <c r="AN18" t="s">
        <v>26</v>
      </c>
      <c r="AO18" s="25" t="s">
        <v>68</v>
      </c>
      <c r="AP18" s="23" t="s">
        <v>69</v>
      </c>
      <c r="AQ18" s="23" t="s">
        <v>30</v>
      </c>
      <c r="AR18" s="23" t="s">
        <v>92</v>
      </c>
      <c r="AS18" s="25">
        <v>33605</v>
      </c>
      <c r="AT18" t="s">
        <v>26</v>
      </c>
      <c r="AU18" t="s">
        <v>22187</v>
      </c>
    </row>
    <row r="19" spans="1:47" ht="26.25" x14ac:dyDescent="0.4">
      <c r="A19" s="23" t="s">
        <v>93</v>
      </c>
      <c r="B19" t="s">
        <v>26</v>
      </c>
      <c r="C19" s="23" t="s">
        <v>94</v>
      </c>
      <c r="D19" s="23" t="s">
        <v>22188</v>
      </c>
      <c r="E19" s="23" t="s">
        <v>42</v>
      </c>
      <c r="F19" t="s">
        <v>26</v>
      </c>
      <c r="G19" s="25" t="s">
        <v>95</v>
      </c>
      <c r="H19" t="s">
        <v>26</v>
      </c>
      <c r="I19" s="24">
        <v>39873</v>
      </c>
      <c r="J19" s="25" t="s">
        <v>77</v>
      </c>
      <c r="K19" t="s">
        <v>26</v>
      </c>
      <c r="L19" s="25" t="s">
        <v>68</v>
      </c>
      <c r="M19" t="s">
        <v>26</v>
      </c>
      <c r="N19" t="s">
        <v>26</v>
      </c>
      <c r="O19" t="s">
        <v>26</v>
      </c>
      <c r="P19" s="24">
        <v>39873</v>
      </c>
      <c r="Q19" s="25" t="s">
        <v>77</v>
      </c>
      <c r="R19" t="s">
        <v>26</v>
      </c>
      <c r="S19" t="s">
        <v>26</v>
      </c>
      <c r="T19" t="s">
        <v>26</v>
      </c>
      <c r="U19" t="s">
        <v>26</v>
      </c>
      <c r="V19" t="s">
        <v>26</v>
      </c>
      <c r="W19" s="24">
        <v>39873</v>
      </c>
      <c r="X19" s="25" t="s">
        <v>77</v>
      </c>
      <c r="Y19" t="s">
        <v>26</v>
      </c>
      <c r="Z19" s="24">
        <v>39873</v>
      </c>
      <c r="AA19" s="25" t="s">
        <v>77</v>
      </c>
      <c r="AB19" t="s">
        <v>26</v>
      </c>
      <c r="AC19" s="24">
        <v>39873</v>
      </c>
      <c r="AD19" s="25" t="s">
        <v>77</v>
      </c>
      <c r="AE19" t="s">
        <v>26</v>
      </c>
      <c r="AF19" t="s">
        <v>26</v>
      </c>
      <c r="AG19" t="s">
        <v>26</v>
      </c>
      <c r="AH19" t="s">
        <v>26</v>
      </c>
      <c r="AI19" t="s">
        <v>26</v>
      </c>
      <c r="AJ19" t="s">
        <v>26</v>
      </c>
      <c r="AK19" t="s">
        <v>26</v>
      </c>
      <c r="AL19" t="s">
        <v>26</v>
      </c>
      <c r="AM19" t="s">
        <v>26</v>
      </c>
      <c r="AN19" t="s">
        <v>26</v>
      </c>
      <c r="AO19" s="25" t="s">
        <v>68</v>
      </c>
      <c r="AP19" s="23" t="s">
        <v>69</v>
      </c>
      <c r="AQ19" s="23" t="s">
        <v>30</v>
      </c>
      <c r="AR19" s="23" t="s">
        <v>96</v>
      </c>
      <c r="AS19" s="25">
        <v>4990210</v>
      </c>
      <c r="AT19" t="s">
        <v>26</v>
      </c>
      <c r="AU19" t="s">
        <v>22189</v>
      </c>
    </row>
    <row r="20" spans="1:47" ht="26.25" x14ac:dyDescent="0.4">
      <c r="A20" s="23" t="s">
        <v>97</v>
      </c>
      <c r="B20" t="s">
        <v>26</v>
      </c>
      <c r="C20" s="23" t="s">
        <v>80</v>
      </c>
      <c r="D20" s="23" t="s">
        <v>22190</v>
      </c>
      <c r="E20" s="23" t="s">
        <v>60</v>
      </c>
      <c r="F20" s="25" t="s">
        <v>98</v>
      </c>
      <c r="G20" s="25" t="s">
        <v>99</v>
      </c>
      <c r="H20" t="s">
        <v>26</v>
      </c>
      <c r="I20" t="s">
        <v>26</v>
      </c>
      <c r="J20" t="s">
        <v>26</v>
      </c>
      <c r="K20" t="s">
        <v>26</v>
      </c>
      <c r="L20" s="25" t="s">
        <v>68</v>
      </c>
      <c r="M20" t="s">
        <v>26</v>
      </c>
      <c r="N20" t="s">
        <v>26</v>
      </c>
      <c r="O20" t="s">
        <v>26</v>
      </c>
      <c r="P20" t="s">
        <v>26</v>
      </c>
      <c r="Q20" t="s">
        <v>26</v>
      </c>
      <c r="R20" t="s">
        <v>26</v>
      </c>
      <c r="S20" t="s">
        <v>26</v>
      </c>
      <c r="T20" t="s">
        <v>26</v>
      </c>
      <c r="U20" t="s">
        <v>26</v>
      </c>
      <c r="V20" t="s">
        <v>26</v>
      </c>
      <c r="W20" s="24">
        <v>40544</v>
      </c>
      <c r="X20" s="25" t="s">
        <v>77</v>
      </c>
      <c r="Y20" t="s">
        <v>26</v>
      </c>
      <c r="Z20" s="24">
        <v>40544</v>
      </c>
      <c r="AA20" s="25" t="s">
        <v>77</v>
      </c>
      <c r="AB20" t="s">
        <v>26</v>
      </c>
      <c r="AC20" s="24">
        <v>40544</v>
      </c>
      <c r="AD20" s="25" t="s">
        <v>77</v>
      </c>
      <c r="AE20" t="s">
        <v>26</v>
      </c>
      <c r="AF20" t="s">
        <v>26</v>
      </c>
      <c r="AG20" t="s">
        <v>26</v>
      </c>
      <c r="AH20" t="s">
        <v>26</v>
      </c>
      <c r="AI20" t="s">
        <v>26</v>
      </c>
      <c r="AJ20" t="s">
        <v>26</v>
      </c>
      <c r="AK20" t="s">
        <v>26</v>
      </c>
      <c r="AL20" t="s">
        <v>26</v>
      </c>
      <c r="AM20" t="s">
        <v>26</v>
      </c>
      <c r="AN20" t="s">
        <v>26</v>
      </c>
      <c r="AO20" s="25" t="s">
        <v>68</v>
      </c>
      <c r="AP20" s="23" t="s">
        <v>69</v>
      </c>
      <c r="AQ20" s="23" t="s">
        <v>30</v>
      </c>
      <c r="AR20" s="23" t="s">
        <v>100</v>
      </c>
      <c r="AS20" s="25">
        <v>436440</v>
      </c>
      <c r="AT20" t="s">
        <v>26</v>
      </c>
      <c r="AU20" t="s">
        <v>22191</v>
      </c>
    </row>
    <row r="21" spans="1:47" ht="26.25" x14ac:dyDescent="0.4">
      <c r="A21" s="23" t="s">
        <v>101</v>
      </c>
      <c r="B21" t="s">
        <v>26</v>
      </c>
      <c r="C21" s="23" t="s">
        <v>102</v>
      </c>
      <c r="D21" s="23" t="s">
        <v>22192</v>
      </c>
      <c r="E21" s="23" t="s">
        <v>42</v>
      </c>
      <c r="F21" s="25" t="s">
        <v>103</v>
      </c>
      <c r="G21" s="25" t="s">
        <v>104</v>
      </c>
      <c r="H21" t="s">
        <v>26</v>
      </c>
      <c r="I21" t="s">
        <v>26</v>
      </c>
      <c r="J21" t="s">
        <v>26</v>
      </c>
      <c r="K21" t="s">
        <v>26</v>
      </c>
      <c r="L21" s="25" t="s">
        <v>68</v>
      </c>
      <c r="M21" t="s">
        <v>26</v>
      </c>
      <c r="N21" t="s">
        <v>26</v>
      </c>
      <c r="O21" t="s">
        <v>26</v>
      </c>
      <c r="P21" t="s">
        <v>26</v>
      </c>
      <c r="Q21" t="s">
        <v>26</v>
      </c>
      <c r="R21" t="s">
        <v>26</v>
      </c>
      <c r="S21" t="s">
        <v>26</v>
      </c>
      <c r="T21" t="s">
        <v>26</v>
      </c>
      <c r="U21" t="s">
        <v>26</v>
      </c>
      <c r="V21" t="s">
        <v>26</v>
      </c>
      <c r="W21" s="24">
        <v>35855</v>
      </c>
      <c r="X21" s="25" t="s">
        <v>77</v>
      </c>
      <c r="Y21" t="s">
        <v>26</v>
      </c>
      <c r="Z21" s="24">
        <v>35855</v>
      </c>
      <c r="AA21" s="25" t="s">
        <v>77</v>
      </c>
      <c r="AB21" t="s">
        <v>26</v>
      </c>
      <c r="AC21" s="24">
        <v>35855</v>
      </c>
      <c r="AD21" s="25" t="s">
        <v>77</v>
      </c>
      <c r="AE21" t="s">
        <v>26</v>
      </c>
      <c r="AF21" t="s">
        <v>26</v>
      </c>
      <c r="AG21" t="s">
        <v>26</v>
      </c>
      <c r="AH21" t="s">
        <v>26</v>
      </c>
      <c r="AI21" t="s">
        <v>26</v>
      </c>
      <c r="AJ21" t="s">
        <v>26</v>
      </c>
      <c r="AK21" t="s">
        <v>26</v>
      </c>
      <c r="AL21" t="s">
        <v>26</v>
      </c>
      <c r="AM21" t="s">
        <v>26</v>
      </c>
      <c r="AN21" t="s">
        <v>26</v>
      </c>
      <c r="AO21" s="25" t="s">
        <v>68</v>
      </c>
      <c r="AP21" s="23" t="s">
        <v>69</v>
      </c>
      <c r="AQ21" s="23" t="s">
        <v>30</v>
      </c>
      <c r="AR21" s="23" t="s">
        <v>105</v>
      </c>
      <c r="AS21" s="25">
        <v>48107</v>
      </c>
      <c r="AT21" t="s">
        <v>26</v>
      </c>
      <c r="AU21" t="s">
        <v>22193</v>
      </c>
    </row>
    <row r="22" spans="1:47" ht="26.25" x14ac:dyDescent="0.4">
      <c r="A22" s="23" t="s">
        <v>106</v>
      </c>
      <c r="B22" t="s">
        <v>26</v>
      </c>
      <c r="C22" s="23" t="s">
        <v>107</v>
      </c>
      <c r="D22" s="23" t="s">
        <v>22194</v>
      </c>
      <c r="E22" s="23" t="s">
        <v>42</v>
      </c>
      <c r="F22" t="s">
        <v>26</v>
      </c>
      <c r="G22" t="s">
        <v>26</v>
      </c>
      <c r="H22" t="s">
        <v>26</v>
      </c>
      <c r="I22" s="24">
        <v>37257</v>
      </c>
      <c r="J22" s="24">
        <v>37257</v>
      </c>
      <c r="K22" t="s">
        <v>26</v>
      </c>
      <c r="L22" s="25" t="s">
        <v>28</v>
      </c>
      <c r="M22" s="24">
        <v>37257</v>
      </c>
      <c r="N22" s="24">
        <v>37257</v>
      </c>
      <c r="O22" t="s">
        <v>26</v>
      </c>
      <c r="P22" t="s">
        <v>26</v>
      </c>
      <c r="Q22" t="s">
        <v>26</v>
      </c>
      <c r="R22" t="s">
        <v>26</v>
      </c>
      <c r="S22" t="s">
        <v>26</v>
      </c>
      <c r="T22" t="s">
        <v>26</v>
      </c>
      <c r="U22" t="s">
        <v>26</v>
      </c>
      <c r="V22" t="s">
        <v>26</v>
      </c>
      <c r="W22" s="24">
        <v>37257</v>
      </c>
      <c r="X22" s="24">
        <v>37257</v>
      </c>
      <c r="Y22" t="s">
        <v>26</v>
      </c>
      <c r="Z22" s="24">
        <v>37257</v>
      </c>
      <c r="AA22" s="24">
        <v>37257</v>
      </c>
      <c r="AB22" t="s">
        <v>26</v>
      </c>
      <c r="AC22" s="24">
        <v>37257</v>
      </c>
      <c r="AD22" s="24">
        <v>37257</v>
      </c>
      <c r="AE22" t="s">
        <v>26</v>
      </c>
      <c r="AF22" t="s">
        <v>26</v>
      </c>
      <c r="AG22" t="s">
        <v>26</v>
      </c>
      <c r="AH22" t="s">
        <v>26</v>
      </c>
      <c r="AI22" t="s">
        <v>26</v>
      </c>
      <c r="AJ22" t="s">
        <v>26</v>
      </c>
      <c r="AK22" t="s">
        <v>26</v>
      </c>
      <c r="AL22" t="s">
        <v>26</v>
      </c>
      <c r="AM22" t="s">
        <v>26</v>
      </c>
      <c r="AN22" t="s">
        <v>26</v>
      </c>
      <c r="AO22" s="25" t="s">
        <v>28</v>
      </c>
      <c r="AP22" s="23" t="s">
        <v>29</v>
      </c>
      <c r="AQ22" s="23" t="s">
        <v>30</v>
      </c>
      <c r="AR22" s="23" t="s">
        <v>46</v>
      </c>
      <c r="AS22" s="25">
        <v>6059448</v>
      </c>
      <c r="AT22" t="s">
        <v>26</v>
      </c>
      <c r="AU22" t="s">
        <v>22195</v>
      </c>
    </row>
    <row r="23" spans="1:47" ht="13.15" x14ac:dyDescent="0.4">
      <c r="A23" s="23" t="s">
        <v>108</v>
      </c>
      <c r="B23" t="s">
        <v>26</v>
      </c>
      <c r="C23" s="23" t="s">
        <v>109</v>
      </c>
      <c r="D23" s="23" t="s">
        <v>22196</v>
      </c>
      <c r="E23" s="23" t="s">
        <v>42</v>
      </c>
      <c r="F23" s="25" t="s">
        <v>110</v>
      </c>
      <c r="G23" t="s">
        <v>26</v>
      </c>
      <c r="H23" t="s">
        <v>26</v>
      </c>
      <c r="I23" s="24">
        <v>35826</v>
      </c>
      <c r="J23" s="25" t="s">
        <v>77</v>
      </c>
      <c r="K23" s="25" t="s">
        <v>111</v>
      </c>
      <c r="L23" s="25" t="s">
        <v>28</v>
      </c>
      <c r="M23" s="24">
        <v>35826</v>
      </c>
      <c r="N23" s="25" t="s">
        <v>77</v>
      </c>
      <c r="O23" s="25" t="s">
        <v>111</v>
      </c>
      <c r="P23" t="s">
        <v>26</v>
      </c>
      <c r="Q23" t="s">
        <v>26</v>
      </c>
      <c r="R23" t="s">
        <v>26</v>
      </c>
      <c r="S23" t="s">
        <v>26</v>
      </c>
      <c r="T23" t="s">
        <v>26</v>
      </c>
      <c r="U23" t="s">
        <v>26</v>
      </c>
      <c r="V23" t="s">
        <v>26</v>
      </c>
      <c r="W23" s="24">
        <v>35826</v>
      </c>
      <c r="X23" s="25" t="s">
        <v>77</v>
      </c>
      <c r="Y23" s="25" t="s">
        <v>111</v>
      </c>
      <c r="Z23" s="24">
        <v>35826</v>
      </c>
      <c r="AA23" s="25" t="s">
        <v>77</v>
      </c>
      <c r="AB23" s="25" t="s">
        <v>111</v>
      </c>
      <c r="AC23" s="24">
        <v>35826</v>
      </c>
      <c r="AD23" s="25" t="s">
        <v>77</v>
      </c>
      <c r="AE23" s="25" t="s">
        <v>111</v>
      </c>
      <c r="AF23" t="s">
        <v>26</v>
      </c>
      <c r="AG23" t="s">
        <v>26</v>
      </c>
      <c r="AH23" t="s">
        <v>26</v>
      </c>
      <c r="AI23" t="s">
        <v>26</v>
      </c>
      <c r="AJ23" t="s">
        <v>26</v>
      </c>
      <c r="AK23" t="s">
        <v>26</v>
      </c>
      <c r="AL23" t="s">
        <v>26</v>
      </c>
      <c r="AM23" t="s">
        <v>26</v>
      </c>
      <c r="AN23" t="s">
        <v>26</v>
      </c>
      <c r="AO23" s="25" t="s">
        <v>28</v>
      </c>
      <c r="AP23" s="23" t="s">
        <v>112</v>
      </c>
      <c r="AQ23" s="23" t="s">
        <v>30</v>
      </c>
      <c r="AR23" s="23" t="s">
        <v>22197</v>
      </c>
      <c r="AS23" s="25">
        <v>26760</v>
      </c>
      <c r="AT23" t="s">
        <v>26</v>
      </c>
      <c r="AU23" t="s">
        <v>22198</v>
      </c>
    </row>
    <row r="24" spans="1:47" ht="26.25" x14ac:dyDescent="0.4">
      <c r="A24" s="23" t="s">
        <v>113</v>
      </c>
      <c r="B24" t="s">
        <v>26</v>
      </c>
      <c r="C24" s="23" t="s">
        <v>73</v>
      </c>
      <c r="D24" s="23" t="s">
        <v>22179</v>
      </c>
      <c r="E24" s="23" t="s">
        <v>74</v>
      </c>
      <c r="F24" s="25" t="s">
        <v>115</v>
      </c>
      <c r="G24" s="25" t="s">
        <v>116</v>
      </c>
      <c r="H24" t="s">
        <v>26</v>
      </c>
      <c r="I24" s="24">
        <v>35886</v>
      </c>
      <c r="J24" s="24">
        <v>41579</v>
      </c>
      <c r="K24" t="s">
        <v>26</v>
      </c>
      <c r="L24" s="25" t="s">
        <v>68</v>
      </c>
      <c r="M24" s="24">
        <v>35886</v>
      </c>
      <c r="N24" s="24">
        <v>41579</v>
      </c>
      <c r="O24" t="s">
        <v>26</v>
      </c>
      <c r="P24" s="24">
        <v>35886</v>
      </c>
      <c r="Q24" s="24">
        <v>41579</v>
      </c>
      <c r="R24" t="s">
        <v>26</v>
      </c>
      <c r="S24" t="s">
        <v>26</v>
      </c>
      <c r="T24" t="s">
        <v>26</v>
      </c>
      <c r="U24" t="s">
        <v>26</v>
      </c>
      <c r="V24" t="s">
        <v>26</v>
      </c>
      <c r="W24" s="24">
        <v>35886</v>
      </c>
      <c r="X24" s="24">
        <v>41579</v>
      </c>
      <c r="Y24" t="s">
        <v>26</v>
      </c>
      <c r="Z24" s="24">
        <v>35886</v>
      </c>
      <c r="AA24" s="24">
        <v>41579</v>
      </c>
      <c r="AB24" t="s">
        <v>26</v>
      </c>
      <c r="AC24" s="24">
        <v>37438</v>
      </c>
      <c r="AD24" s="24">
        <v>41579</v>
      </c>
      <c r="AE24" t="s">
        <v>26</v>
      </c>
      <c r="AF24" t="s">
        <v>26</v>
      </c>
      <c r="AG24" t="s">
        <v>26</v>
      </c>
      <c r="AH24" t="s">
        <v>26</v>
      </c>
      <c r="AI24" t="s">
        <v>26</v>
      </c>
      <c r="AJ24" t="s">
        <v>26</v>
      </c>
      <c r="AK24" t="s">
        <v>26</v>
      </c>
      <c r="AL24" t="s">
        <v>26</v>
      </c>
      <c r="AM24" t="s">
        <v>26</v>
      </c>
      <c r="AN24" t="s">
        <v>26</v>
      </c>
      <c r="AO24" s="25" t="s">
        <v>68</v>
      </c>
      <c r="AP24" s="23" t="s">
        <v>69</v>
      </c>
      <c r="AQ24" s="23" t="s">
        <v>30</v>
      </c>
      <c r="AR24" s="23" t="s">
        <v>117</v>
      </c>
      <c r="AS24" s="25">
        <v>48683</v>
      </c>
      <c r="AT24" t="s">
        <v>26</v>
      </c>
      <c r="AU24" t="s">
        <v>22199</v>
      </c>
    </row>
    <row r="25" spans="1:47" ht="26.25" x14ac:dyDescent="0.4">
      <c r="A25" s="23" t="s">
        <v>118</v>
      </c>
      <c r="B25" t="s">
        <v>26</v>
      </c>
      <c r="C25" s="23" t="s">
        <v>119</v>
      </c>
      <c r="D25" s="23" t="s">
        <v>22200</v>
      </c>
      <c r="E25" s="23" t="s">
        <v>120</v>
      </c>
      <c r="F25" s="25" t="s">
        <v>121</v>
      </c>
      <c r="G25" s="25" t="s">
        <v>122</v>
      </c>
      <c r="H25" t="s">
        <v>26</v>
      </c>
      <c r="I25" s="24">
        <v>40909</v>
      </c>
      <c r="J25" s="24">
        <v>42370</v>
      </c>
      <c r="K25" t="s">
        <v>26</v>
      </c>
      <c r="L25" s="25" t="s">
        <v>68</v>
      </c>
      <c r="M25" s="24">
        <v>40909</v>
      </c>
      <c r="N25" s="24">
        <v>42370</v>
      </c>
      <c r="O25" t="s">
        <v>26</v>
      </c>
      <c r="P25" s="24">
        <v>40909</v>
      </c>
      <c r="Q25" s="24">
        <v>42370</v>
      </c>
      <c r="R25" t="s">
        <v>26</v>
      </c>
      <c r="S25" t="s">
        <v>26</v>
      </c>
      <c r="T25" t="s">
        <v>26</v>
      </c>
      <c r="U25" t="s">
        <v>26</v>
      </c>
      <c r="V25" t="s">
        <v>26</v>
      </c>
      <c r="W25" s="24">
        <v>40909</v>
      </c>
      <c r="X25" s="24">
        <v>42370</v>
      </c>
      <c r="Y25" t="s">
        <v>26</v>
      </c>
      <c r="Z25" s="24">
        <v>40909</v>
      </c>
      <c r="AA25" s="24">
        <v>42370</v>
      </c>
      <c r="AB25" t="s">
        <v>26</v>
      </c>
      <c r="AC25" s="24">
        <v>40909</v>
      </c>
      <c r="AD25" s="24">
        <v>42370</v>
      </c>
      <c r="AE25" t="s">
        <v>26</v>
      </c>
      <c r="AF25" t="s">
        <v>26</v>
      </c>
      <c r="AG25" t="s">
        <v>26</v>
      </c>
      <c r="AH25" t="s">
        <v>26</v>
      </c>
      <c r="AI25" t="s">
        <v>26</v>
      </c>
      <c r="AJ25" t="s">
        <v>26</v>
      </c>
      <c r="AK25" t="s">
        <v>26</v>
      </c>
      <c r="AL25" t="s">
        <v>26</v>
      </c>
      <c r="AM25" t="s">
        <v>26</v>
      </c>
      <c r="AN25" t="s">
        <v>26</v>
      </c>
      <c r="AO25" s="25" t="s">
        <v>68</v>
      </c>
      <c r="AP25" s="23" t="s">
        <v>69</v>
      </c>
      <c r="AQ25" s="23" t="s">
        <v>30</v>
      </c>
      <c r="AR25" s="23" t="s">
        <v>123</v>
      </c>
      <c r="AS25" s="25">
        <v>2032448</v>
      </c>
      <c r="AT25" t="s">
        <v>26</v>
      </c>
      <c r="AU25" t="s">
        <v>22201</v>
      </c>
    </row>
    <row r="26" spans="1:47" ht="26.25" x14ac:dyDescent="0.4">
      <c r="A26" s="23" t="s">
        <v>124</v>
      </c>
      <c r="B26" t="s">
        <v>26</v>
      </c>
      <c r="C26" s="23" t="s">
        <v>125</v>
      </c>
      <c r="D26" s="23" t="s">
        <v>22202</v>
      </c>
      <c r="E26" s="23" t="s">
        <v>42</v>
      </c>
      <c r="F26" s="25" t="s">
        <v>126</v>
      </c>
      <c r="G26" s="25" t="s">
        <v>127</v>
      </c>
      <c r="H26" t="s">
        <v>26</v>
      </c>
      <c r="I26" s="24">
        <v>31837</v>
      </c>
      <c r="J26" s="24">
        <v>37226</v>
      </c>
      <c r="K26" t="s">
        <v>26</v>
      </c>
      <c r="L26" s="25" t="s">
        <v>68</v>
      </c>
      <c r="M26" s="24">
        <v>33664</v>
      </c>
      <c r="N26" s="24">
        <v>37226</v>
      </c>
      <c r="O26" t="s">
        <v>26</v>
      </c>
      <c r="P26" s="24">
        <v>31837</v>
      </c>
      <c r="Q26" s="24">
        <v>37226</v>
      </c>
      <c r="R26" t="s">
        <v>26</v>
      </c>
      <c r="S26" t="s">
        <v>26</v>
      </c>
      <c r="T26" t="s">
        <v>26</v>
      </c>
      <c r="U26" t="s">
        <v>26</v>
      </c>
      <c r="V26" t="s">
        <v>26</v>
      </c>
      <c r="W26" s="24">
        <v>26177</v>
      </c>
      <c r="X26" s="25" t="s">
        <v>77</v>
      </c>
      <c r="Y26" t="s">
        <v>26</v>
      </c>
      <c r="Z26" s="24">
        <v>26177</v>
      </c>
      <c r="AA26" s="25" t="s">
        <v>77</v>
      </c>
      <c r="AB26" t="s">
        <v>26</v>
      </c>
      <c r="AC26" s="24">
        <v>26177</v>
      </c>
      <c r="AD26" s="25" t="s">
        <v>77</v>
      </c>
      <c r="AE26" t="s">
        <v>26</v>
      </c>
      <c r="AF26" t="s">
        <v>26</v>
      </c>
      <c r="AG26" t="s">
        <v>26</v>
      </c>
      <c r="AH26" t="s">
        <v>26</v>
      </c>
      <c r="AI26" t="s">
        <v>26</v>
      </c>
      <c r="AJ26" t="s">
        <v>26</v>
      </c>
      <c r="AK26" t="s">
        <v>26</v>
      </c>
      <c r="AL26" t="s">
        <v>26</v>
      </c>
      <c r="AM26" t="s">
        <v>26</v>
      </c>
      <c r="AN26" t="s">
        <v>26</v>
      </c>
      <c r="AO26" s="25" t="s">
        <v>68</v>
      </c>
      <c r="AP26" s="23" t="s">
        <v>69</v>
      </c>
      <c r="AQ26" s="23" t="s">
        <v>30</v>
      </c>
      <c r="AR26" s="23" t="s">
        <v>128</v>
      </c>
      <c r="AS26" s="25">
        <v>35200</v>
      </c>
      <c r="AT26" t="s">
        <v>26</v>
      </c>
      <c r="AU26" t="s">
        <v>22203</v>
      </c>
    </row>
    <row r="27" spans="1:47" ht="26.25" x14ac:dyDescent="0.4">
      <c r="A27" s="23" t="s">
        <v>129</v>
      </c>
      <c r="B27" t="s">
        <v>26</v>
      </c>
      <c r="C27" s="23" t="s">
        <v>125</v>
      </c>
      <c r="D27" s="23" t="s">
        <v>22202</v>
      </c>
      <c r="E27" s="23" t="s">
        <v>42</v>
      </c>
      <c r="F27" s="25" t="s">
        <v>130</v>
      </c>
      <c r="G27" s="25" t="s">
        <v>131</v>
      </c>
      <c r="H27" t="s">
        <v>26</v>
      </c>
      <c r="I27" s="24">
        <v>31778</v>
      </c>
      <c r="J27" s="24">
        <v>37165</v>
      </c>
      <c r="K27" t="s">
        <v>26</v>
      </c>
      <c r="L27" s="25" t="s">
        <v>68</v>
      </c>
      <c r="M27" s="24">
        <v>33604</v>
      </c>
      <c r="N27" s="24">
        <v>37165</v>
      </c>
      <c r="O27" t="s">
        <v>26</v>
      </c>
      <c r="P27" s="24">
        <v>31778</v>
      </c>
      <c r="Q27" s="24">
        <v>37165</v>
      </c>
      <c r="R27" t="s">
        <v>26</v>
      </c>
      <c r="S27" t="s">
        <v>26</v>
      </c>
      <c r="T27" t="s">
        <v>26</v>
      </c>
      <c r="U27" t="s">
        <v>26</v>
      </c>
      <c r="V27" t="s">
        <v>26</v>
      </c>
      <c r="W27" s="24">
        <v>27760</v>
      </c>
      <c r="X27" s="25" t="s">
        <v>77</v>
      </c>
      <c r="Y27" t="s">
        <v>26</v>
      </c>
      <c r="Z27" s="24">
        <v>27760</v>
      </c>
      <c r="AA27" s="25" t="s">
        <v>77</v>
      </c>
      <c r="AB27" t="s">
        <v>26</v>
      </c>
      <c r="AC27" s="24">
        <v>27760</v>
      </c>
      <c r="AD27" s="25" t="s">
        <v>77</v>
      </c>
      <c r="AE27" t="s">
        <v>26</v>
      </c>
      <c r="AF27" t="s">
        <v>26</v>
      </c>
      <c r="AG27" t="s">
        <v>26</v>
      </c>
      <c r="AH27" t="s">
        <v>26</v>
      </c>
      <c r="AI27" t="s">
        <v>26</v>
      </c>
      <c r="AJ27" t="s">
        <v>26</v>
      </c>
      <c r="AK27" t="s">
        <v>26</v>
      </c>
      <c r="AL27" t="s">
        <v>26</v>
      </c>
      <c r="AM27" t="s">
        <v>26</v>
      </c>
      <c r="AN27" t="s">
        <v>26</v>
      </c>
      <c r="AO27" s="25" t="s">
        <v>68</v>
      </c>
      <c r="AP27" s="23" t="s">
        <v>69</v>
      </c>
      <c r="AQ27" s="23" t="s">
        <v>30</v>
      </c>
      <c r="AR27" s="23" t="s">
        <v>128</v>
      </c>
      <c r="AS27" s="25">
        <v>37198</v>
      </c>
      <c r="AT27" t="s">
        <v>26</v>
      </c>
      <c r="AU27" t="s">
        <v>22204</v>
      </c>
    </row>
    <row r="28" spans="1:47" ht="13.15" x14ac:dyDescent="0.4">
      <c r="A28" s="23" t="s">
        <v>132</v>
      </c>
      <c r="B28" t="s">
        <v>26</v>
      </c>
      <c r="C28" s="23" t="s">
        <v>133</v>
      </c>
      <c r="D28" s="23" t="s">
        <v>22205</v>
      </c>
      <c r="E28" s="23" t="s">
        <v>42</v>
      </c>
      <c r="F28" t="s">
        <v>26</v>
      </c>
      <c r="G28" t="s">
        <v>26</v>
      </c>
      <c r="H28" s="25" t="s">
        <v>134</v>
      </c>
      <c r="I28" s="24">
        <v>37987</v>
      </c>
      <c r="J28" s="24">
        <v>37987</v>
      </c>
      <c r="K28" t="s">
        <v>26</v>
      </c>
      <c r="L28" s="25" t="s">
        <v>28</v>
      </c>
      <c r="M28" s="24">
        <v>37987</v>
      </c>
      <c r="N28" s="24">
        <v>37987</v>
      </c>
      <c r="O28" t="s">
        <v>26</v>
      </c>
      <c r="P28" s="24">
        <v>37987</v>
      </c>
      <c r="Q28" s="24">
        <v>37987</v>
      </c>
      <c r="R28" t="s">
        <v>26</v>
      </c>
      <c r="S28" t="s">
        <v>26</v>
      </c>
      <c r="T28" t="s">
        <v>26</v>
      </c>
      <c r="U28" t="s">
        <v>26</v>
      </c>
      <c r="V28" t="s">
        <v>26</v>
      </c>
      <c r="W28" s="24">
        <v>37987</v>
      </c>
      <c r="X28" s="24">
        <v>37987</v>
      </c>
      <c r="Y28" t="s">
        <v>26</v>
      </c>
      <c r="Z28" s="24">
        <v>37987</v>
      </c>
      <c r="AA28" s="24">
        <v>37987</v>
      </c>
      <c r="AB28" t="s">
        <v>26</v>
      </c>
      <c r="AC28" s="24">
        <v>37987</v>
      </c>
      <c r="AD28" s="24">
        <v>37987</v>
      </c>
      <c r="AE28" t="s">
        <v>26</v>
      </c>
      <c r="AF28" t="s">
        <v>26</v>
      </c>
      <c r="AG28" t="s">
        <v>26</v>
      </c>
      <c r="AH28" t="s">
        <v>26</v>
      </c>
      <c r="AI28" t="s">
        <v>26</v>
      </c>
      <c r="AJ28" t="s">
        <v>26</v>
      </c>
      <c r="AK28" t="s">
        <v>26</v>
      </c>
      <c r="AL28" t="s">
        <v>26</v>
      </c>
      <c r="AM28" t="s">
        <v>26</v>
      </c>
      <c r="AN28" t="s">
        <v>26</v>
      </c>
      <c r="AO28" s="25" t="s">
        <v>28</v>
      </c>
      <c r="AP28" s="23" t="s">
        <v>135</v>
      </c>
      <c r="AQ28" s="23" t="s">
        <v>30</v>
      </c>
      <c r="AR28" s="23" t="s">
        <v>136</v>
      </c>
      <c r="AS28" s="25">
        <v>39256</v>
      </c>
      <c r="AT28" t="s">
        <v>26</v>
      </c>
      <c r="AU28" t="s">
        <v>22206</v>
      </c>
    </row>
    <row r="29" spans="1:47" ht="26.25" x14ac:dyDescent="0.4">
      <c r="A29" s="23" t="s">
        <v>137</v>
      </c>
      <c r="B29" t="s">
        <v>26</v>
      </c>
      <c r="C29" s="23" t="s">
        <v>138</v>
      </c>
      <c r="D29" s="23" t="s">
        <v>22207</v>
      </c>
      <c r="E29" s="23" t="s">
        <v>139</v>
      </c>
      <c r="F29" s="25" t="s">
        <v>140</v>
      </c>
      <c r="G29" s="25" t="s">
        <v>141</v>
      </c>
      <c r="H29" t="s">
        <v>26</v>
      </c>
      <c r="I29" s="24">
        <v>37257</v>
      </c>
      <c r="J29" s="25" t="s">
        <v>77</v>
      </c>
      <c r="K29" t="s">
        <v>26</v>
      </c>
      <c r="L29" s="25" t="s">
        <v>68</v>
      </c>
      <c r="M29" s="24">
        <v>37257</v>
      </c>
      <c r="N29" s="25" t="s">
        <v>77</v>
      </c>
      <c r="O29" t="s">
        <v>26</v>
      </c>
      <c r="P29" s="24">
        <v>37257</v>
      </c>
      <c r="Q29" s="25" t="s">
        <v>77</v>
      </c>
      <c r="R29" t="s">
        <v>26</v>
      </c>
      <c r="S29" t="s">
        <v>26</v>
      </c>
      <c r="T29" t="s">
        <v>26</v>
      </c>
      <c r="U29" t="s">
        <v>26</v>
      </c>
      <c r="V29" t="s">
        <v>26</v>
      </c>
      <c r="W29" s="24">
        <v>37257</v>
      </c>
      <c r="X29" s="25" t="s">
        <v>77</v>
      </c>
      <c r="Y29" t="s">
        <v>26</v>
      </c>
      <c r="Z29" s="24">
        <v>37257</v>
      </c>
      <c r="AA29" s="25" t="s">
        <v>77</v>
      </c>
      <c r="AB29" t="s">
        <v>26</v>
      </c>
      <c r="AC29" s="24">
        <v>42705</v>
      </c>
      <c r="AD29" s="25" t="s">
        <v>77</v>
      </c>
      <c r="AE29" t="s">
        <v>26</v>
      </c>
      <c r="AF29" t="s">
        <v>26</v>
      </c>
      <c r="AG29" t="s">
        <v>26</v>
      </c>
      <c r="AH29" t="s">
        <v>26</v>
      </c>
      <c r="AI29" t="s">
        <v>26</v>
      </c>
      <c r="AJ29" t="s">
        <v>26</v>
      </c>
      <c r="AK29" t="s">
        <v>26</v>
      </c>
      <c r="AL29" t="s">
        <v>26</v>
      </c>
      <c r="AM29" t="s">
        <v>26</v>
      </c>
      <c r="AN29" t="s">
        <v>26</v>
      </c>
      <c r="AO29" s="25" t="s">
        <v>68</v>
      </c>
      <c r="AP29" s="23" t="s">
        <v>69</v>
      </c>
      <c r="AQ29" s="23" t="s">
        <v>142</v>
      </c>
      <c r="AR29" s="23" t="s">
        <v>46</v>
      </c>
      <c r="AS29" s="25">
        <v>1576339</v>
      </c>
      <c r="AT29" t="s">
        <v>26</v>
      </c>
      <c r="AU29" t="s">
        <v>22208</v>
      </c>
    </row>
    <row r="30" spans="1:47" ht="26.25" x14ac:dyDescent="0.4">
      <c r="A30" s="23" t="s">
        <v>143</v>
      </c>
      <c r="B30" t="s">
        <v>26</v>
      </c>
      <c r="C30" t="s">
        <v>26</v>
      </c>
      <c r="D30" t="s">
        <v>26</v>
      </c>
      <c r="E30" t="s">
        <v>26</v>
      </c>
      <c r="F30" t="s">
        <v>26</v>
      </c>
      <c r="G30" t="s">
        <v>26</v>
      </c>
      <c r="H30" t="s">
        <v>26</v>
      </c>
      <c r="I30" s="25" t="s">
        <v>144</v>
      </c>
      <c r="J30" s="25" t="s">
        <v>144</v>
      </c>
      <c r="K30" t="s">
        <v>26</v>
      </c>
      <c r="L30" s="25" t="s">
        <v>28</v>
      </c>
      <c r="M30" s="25" t="s">
        <v>144</v>
      </c>
      <c r="N30" s="25" t="s">
        <v>144</v>
      </c>
      <c r="O30" t="s">
        <v>26</v>
      </c>
      <c r="P30" t="s">
        <v>26</v>
      </c>
      <c r="Q30" t="s">
        <v>26</v>
      </c>
      <c r="R30" t="s">
        <v>26</v>
      </c>
      <c r="S30" t="s">
        <v>26</v>
      </c>
      <c r="T30" t="s">
        <v>26</v>
      </c>
      <c r="U30" t="s">
        <v>26</v>
      </c>
      <c r="V30" t="s">
        <v>26</v>
      </c>
      <c r="W30" s="25" t="s">
        <v>144</v>
      </c>
      <c r="X30" s="25" t="s">
        <v>144</v>
      </c>
      <c r="Y30" t="s">
        <v>26</v>
      </c>
      <c r="Z30" s="25" t="s">
        <v>144</v>
      </c>
      <c r="AA30" s="25" t="s">
        <v>144</v>
      </c>
      <c r="AB30" t="s">
        <v>26</v>
      </c>
      <c r="AC30" s="25" t="s">
        <v>144</v>
      </c>
      <c r="AD30" s="25" t="s">
        <v>144</v>
      </c>
      <c r="AE30" t="s">
        <v>26</v>
      </c>
      <c r="AF30" t="s">
        <v>26</v>
      </c>
      <c r="AG30" t="s">
        <v>26</v>
      </c>
      <c r="AH30" t="s">
        <v>26</v>
      </c>
      <c r="AI30" t="s">
        <v>26</v>
      </c>
      <c r="AJ30" t="s">
        <v>26</v>
      </c>
      <c r="AK30" t="s">
        <v>26</v>
      </c>
      <c r="AL30" t="s">
        <v>26</v>
      </c>
      <c r="AM30" t="s">
        <v>26</v>
      </c>
      <c r="AN30" t="s">
        <v>26</v>
      </c>
      <c r="AO30" s="25" t="s">
        <v>28</v>
      </c>
      <c r="AP30" s="23" t="s">
        <v>29</v>
      </c>
      <c r="AQ30" s="23" t="s">
        <v>30</v>
      </c>
      <c r="AR30" s="23" t="s">
        <v>46</v>
      </c>
      <c r="AS30" s="25">
        <v>6009040</v>
      </c>
      <c r="AT30" t="s">
        <v>26</v>
      </c>
      <c r="AU30" t="s">
        <v>22209</v>
      </c>
    </row>
    <row r="31" spans="1:47" ht="26.25" x14ac:dyDescent="0.4">
      <c r="A31" s="23" t="s">
        <v>145</v>
      </c>
      <c r="B31" t="s">
        <v>26</v>
      </c>
      <c r="C31" s="23" t="s">
        <v>146</v>
      </c>
      <c r="D31" s="23" t="s">
        <v>22174</v>
      </c>
      <c r="E31" s="23" t="s">
        <v>60</v>
      </c>
      <c r="F31" t="s">
        <v>26</v>
      </c>
      <c r="G31" t="s">
        <v>26</v>
      </c>
      <c r="H31" t="s">
        <v>26</v>
      </c>
      <c r="I31" t="s">
        <v>26</v>
      </c>
      <c r="J31" t="s">
        <v>26</v>
      </c>
      <c r="K31" t="s">
        <v>26</v>
      </c>
      <c r="L31" s="25" t="s">
        <v>28</v>
      </c>
      <c r="M31" t="s">
        <v>26</v>
      </c>
      <c r="N31" t="s">
        <v>26</v>
      </c>
      <c r="O31" t="s">
        <v>26</v>
      </c>
      <c r="P31" t="s">
        <v>26</v>
      </c>
      <c r="Q31" t="s">
        <v>26</v>
      </c>
      <c r="R31" t="s">
        <v>26</v>
      </c>
      <c r="S31" t="s">
        <v>26</v>
      </c>
      <c r="T31" t="s">
        <v>26</v>
      </c>
      <c r="U31" t="s">
        <v>26</v>
      </c>
      <c r="V31" t="s">
        <v>26</v>
      </c>
      <c r="W31" s="24">
        <v>42005</v>
      </c>
      <c r="X31" s="24">
        <v>42005</v>
      </c>
      <c r="Y31" t="s">
        <v>26</v>
      </c>
      <c r="Z31" s="24">
        <v>42005</v>
      </c>
      <c r="AA31" s="24">
        <v>42005</v>
      </c>
      <c r="AB31" t="s">
        <v>26</v>
      </c>
      <c r="AC31" t="s">
        <v>26</v>
      </c>
      <c r="AD31" t="s">
        <v>26</v>
      </c>
      <c r="AE31" t="s">
        <v>26</v>
      </c>
      <c r="AF31" t="s">
        <v>26</v>
      </c>
      <c r="AG31" t="s">
        <v>26</v>
      </c>
      <c r="AH31" t="s">
        <v>26</v>
      </c>
      <c r="AI31" t="s">
        <v>26</v>
      </c>
      <c r="AJ31" t="s">
        <v>26</v>
      </c>
      <c r="AK31" t="s">
        <v>26</v>
      </c>
      <c r="AL31" t="s">
        <v>26</v>
      </c>
      <c r="AM31" t="s">
        <v>26</v>
      </c>
      <c r="AN31" t="s">
        <v>26</v>
      </c>
      <c r="AO31" s="25" t="s">
        <v>28</v>
      </c>
      <c r="AP31" s="23" t="s">
        <v>29</v>
      </c>
      <c r="AQ31" s="23" t="s">
        <v>30</v>
      </c>
      <c r="AR31" s="23" t="s">
        <v>147</v>
      </c>
      <c r="AS31" s="25">
        <v>5483607</v>
      </c>
      <c r="AT31" s="23" t="s">
        <v>22181</v>
      </c>
      <c r="AU31" t="s">
        <v>22210</v>
      </c>
    </row>
    <row r="32" spans="1:47" ht="26.25" x14ac:dyDescent="0.4">
      <c r="A32" s="23" t="s">
        <v>148</v>
      </c>
      <c r="B32" t="s">
        <v>26</v>
      </c>
      <c r="C32" s="23" t="s">
        <v>73</v>
      </c>
      <c r="D32" s="23" t="s">
        <v>22211</v>
      </c>
      <c r="E32" s="23" t="s">
        <v>74</v>
      </c>
      <c r="F32" s="25" t="s">
        <v>149</v>
      </c>
      <c r="G32" s="25" t="s">
        <v>150</v>
      </c>
      <c r="H32" t="s">
        <v>26</v>
      </c>
      <c r="I32" s="24">
        <v>39873</v>
      </c>
      <c r="J32" s="24">
        <v>43435</v>
      </c>
      <c r="K32" t="s">
        <v>26</v>
      </c>
      <c r="L32" s="25" t="s">
        <v>68</v>
      </c>
      <c r="M32" t="s">
        <v>26</v>
      </c>
      <c r="N32" t="s">
        <v>26</v>
      </c>
      <c r="O32" t="s">
        <v>26</v>
      </c>
      <c r="P32" s="24">
        <v>39873</v>
      </c>
      <c r="Q32" s="24">
        <v>43435</v>
      </c>
      <c r="R32" t="s">
        <v>26</v>
      </c>
      <c r="S32" t="s">
        <v>26</v>
      </c>
      <c r="T32" t="s">
        <v>26</v>
      </c>
      <c r="U32" t="s">
        <v>26</v>
      </c>
      <c r="V32" t="s">
        <v>26</v>
      </c>
      <c r="W32" s="24">
        <v>39873</v>
      </c>
      <c r="X32" s="25" t="s">
        <v>77</v>
      </c>
      <c r="Y32" t="s">
        <v>26</v>
      </c>
      <c r="Z32" s="24">
        <v>39873</v>
      </c>
      <c r="AA32" s="25" t="s">
        <v>77</v>
      </c>
      <c r="AB32" t="s">
        <v>26</v>
      </c>
      <c r="AC32" s="24">
        <v>39873</v>
      </c>
      <c r="AD32" s="25" t="s">
        <v>77</v>
      </c>
      <c r="AE32" t="s">
        <v>26</v>
      </c>
      <c r="AF32" t="s">
        <v>26</v>
      </c>
      <c r="AG32" t="s">
        <v>26</v>
      </c>
      <c r="AH32" t="s">
        <v>26</v>
      </c>
      <c r="AI32" t="s">
        <v>26</v>
      </c>
      <c r="AJ32" t="s">
        <v>26</v>
      </c>
      <c r="AK32" t="s">
        <v>26</v>
      </c>
      <c r="AL32" t="s">
        <v>26</v>
      </c>
      <c r="AM32" t="s">
        <v>26</v>
      </c>
      <c r="AN32" t="s">
        <v>26</v>
      </c>
      <c r="AO32" s="25" t="s">
        <v>68</v>
      </c>
      <c r="AP32" s="23" t="s">
        <v>69</v>
      </c>
      <c r="AQ32" s="23" t="s">
        <v>151</v>
      </c>
      <c r="AR32" s="23" t="s">
        <v>152</v>
      </c>
      <c r="AS32" s="25">
        <v>2034507</v>
      </c>
      <c r="AT32" t="s">
        <v>26</v>
      </c>
      <c r="AU32" t="s">
        <v>22212</v>
      </c>
    </row>
    <row r="33" spans="1:47" ht="52.5" x14ac:dyDescent="0.4">
      <c r="A33" s="23" t="s">
        <v>153</v>
      </c>
      <c r="B33" t="s">
        <v>26</v>
      </c>
      <c r="C33" s="23" t="s">
        <v>154</v>
      </c>
      <c r="D33" s="23" t="s">
        <v>22213</v>
      </c>
      <c r="E33" s="23" t="s">
        <v>155</v>
      </c>
      <c r="F33" s="25" t="s">
        <v>156</v>
      </c>
      <c r="G33" s="25" t="s">
        <v>157</v>
      </c>
      <c r="H33" t="s">
        <v>26</v>
      </c>
      <c r="I33" s="24">
        <v>37257</v>
      </c>
      <c r="J33" s="25" t="s">
        <v>77</v>
      </c>
      <c r="K33" t="s">
        <v>26</v>
      </c>
      <c r="L33" s="25" t="s">
        <v>68</v>
      </c>
      <c r="M33" t="s">
        <v>26</v>
      </c>
      <c r="N33" t="s">
        <v>26</v>
      </c>
      <c r="O33" t="s">
        <v>26</v>
      </c>
      <c r="P33" s="24">
        <v>37257</v>
      </c>
      <c r="Q33" s="25" t="s">
        <v>77</v>
      </c>
      <c r="R33" t="s">
        <v>26</v>
      </c>
      <c r="S33" t="s">
        <v>26</v>
      </c>
      <c r="T33" t="s">
        <v>26</v>
      </c>
      <c r="U33" t="s">
        <v>26</v>
      </c>
      <c r="V33" t="s">
        <v>26</v>
      </c>
      <c r="W33" s="24">
        <v>37257</v>
      </c>
      <c r="X33" s="25" t="s">
        <v>77</v>
      </c>
      <c r="Y33" t="s">
        <v>26</v>
      </c>
      <c r="Z33" s="24">
        <v>37257</v>
      </c>
      <c r="AA33" s="25" t="s">
        <v>77</v>
      </c>
      <c r="AB33" t="s">
        <v>26</v>
      </c>
      <c r="AC33" s="24">
        <v>37257</v>
      </c>
      <c r="AD33" s="25" t="s">
        <v>77</v>
      </c>
      <c r="AE33" t="s">
        <v>26</v>
      </c>
      <c r="AF33" t="s">
        <v>26</v>
      </c>
      <c r="AG33" t="s">
        <v>26</v>
      </c>
      <c r="AH33" t="s">
        <v>26</v>
      </c>
      <c r="AI33" t="s">
        <v>26</v>
      </c>
      <c r="AJ33" t="s">
        <v>26</v>
      </c>
      <c r="AK33" t="s">
        <v>26</v>
      </c>
      <c r="AL33" t="s">
        <v>26</v>
      </c>
      <c r="AM33" t="s">
        <v>26</v>
      </c>
      <c r="AN33" t="s">
        <v>26</v>
      </c>
      <c r="AO33" s="25" t="s">
        <v>68</v>
      </c>
      <c r="AP33" s="23" t="s">
        <v>69</v>
      </c>
      <c r="AQ33" s="23" t="s">
        <v>158</v>
      </c>
      <c r="AR33" s="23" t="s">
        <v>46</v>
      </c>
      <c r="AS33" s="25">
        <v>5517080</v>
      </c>
      <c r="AT33" t="s">
        <v>26</v>
      </c>
      <c r="AU33" t="s">
        <v>22214</v>
      </c>
    </row>
    <row r="34" spans="1:47" ht="26.25" x14ac:dyDescent="0.4">
      <c r="A34" s="23" t="s">
        <v>159</v>
      </c>
      <c r="B34" t="s">
        <v>26</v>
      </c>
      <c r="C34" s="23" t="s">
        <v>73</v>
      </c>
      <c r="D34" s="23" t="s">
        <v>22215</v>
      </c>
      <c r="E34" s="23" t="s">
        <v>74</v>
      </c>
      <c r="F34" s="25" t="s">
        <v>160</v>
      </c>
      <c r="G34" s="25" t="s">
        <v>161</v>
      </c>
      <c r="H34" t="s">
        <v>26</v>
      </c>
      <c r="I34" s="24">
        <v>37104</v>
      </c>
      <c r="J34" s="24">
        <v>43374</v>
      </c>
      <c r="K34" t="s">
        <v>26</v>
      </c>
      <c r="L34" s="25" t="s">
        <v>68</v>
      </c>
      <c r="M34" t="s">
        <v>26</v>
      </c>
      <c r="N34" t="s">
        <v>26</v>
      </c>
      <c r="O34" t="s">
        <v>26</v>
      </c>
      <c r="P34" s="24">
        <v>37104</v>
      </c>
      <c r="Q34" s="24">
        <v>43374</v>
      </c>
      <c r="R34" t="s">
        <v>26</v>
      </c>
      <c r="S34" t="s">
        <v>26</v>
      </c>
      <c r="T34" t="s">
        <v>26</v>
      </c>
      <c r="U34" t="s">
        <v>26</v>
      </c>
      <c r="V34" t="s">
        <v>26</v>
      </c>
      <c r="W34" s="24">
        <v>37104</v>
      </c>
      <c r="X34" s="25" t="s">
        <v>77</v>
      </c>
      <c r="Y34" t="s">
        <v>26</v>
      </c>
      <c r="Z34" s="24">
        <v>37104</v>
      </c>
      <c r="AA34" s="25" t="s">
        <v>77</v>
      </c>
      <c r="AB34" t="s">
        <v>26</v>
      </c>
      <c r="AC34" s="24">
        <v>37104</v>
      </c>
      <c r="AD34" s="25" t="s">
        <v>77</v>
      </c>
      <c r="AE34" t="s">
        <v>26</v>
      </c>
      <c r="AF34" t="s">
        <v>26</v>
      </c>
      <c r="AG34" t="s">
        <v>26</v>
      </c>
      <c r="AH34" t="s">
        <v>26</v>
      </c>
      <c r="AI34" t="s">
        <v>26</v>
      </c>
      <c r="AJ34" t="s">
        <v>26</v>
      </c>
      <c r="AK34" t="s">
        <v>26</v>
      </c>
      <c r="AL34" t="s">
        <v>26</v>
      </c>
      <c r="AM34" t="s">
        <v>26</v>
      </c>
      <c r="AN34" t="s">
        <v>26</v>
      </c>
      <c r="AO34" s="25" t="s">
        <v>68</v>
      </c>
      <c r="AP34" s="23" t="s">
        <v>69</v>
      </c>
      <c r="AQ34" s="23" t="s">
        <v>30</v>
      </c>
      <c r="AR34" s="23" t="s">
        <v>162</v>
      </c>
      <c r="AS34" s="25">
        <v>43992</v>
      </c>
      <c r="AT34" t="s">
        <v>26</v>
      </c>
      <c r="AU34" t="s">
        <v>22216</v>
      </c>
    </row>
    <row r="35" spans="1:47" ht="26.25" x14ac:dyDescent="0.4">
      <c r="A35" s="23" t="s">
        <v>163</v>
      </c>
      <c r="B35" t="s">
        <v>26</v>
      </c>
      <c r="C35" s="23" t="s">
        <v>73</v>
      </c>
      <c r="D35" s="23" t="s">
        <v>22215</v>
      </c>
      <c r="E35" s="23" t="s">
        <v>74</v>
      </c>
      <c r="F35" s="25" t="s">
        <v>164</v>
      </c>
      <c r="G35" s="25" t="s">
        <v>165</v>
      </c>
      <c r="H35" t="s">
        <v>26</v>
      </c>
      <c r="I35" s="24">
        <v>35431</v>
      </c>
      <c r="J35" s="25" t="s">
        <v>77</v>
      </c>
      <c r="K35" t="s">
        <v>26</v>
      </c>
      <c r="L35" s="25" t="s">
        <v>68</v>
      </c>
      <c r="M35" s="24">
        <v>37987</v>
      </c>
      <c r="N35" s="24">
        <v>42856</v>
      </c>
      <c r="O35" t="s">
        <v>26</v>
      </c>
      <c r="P35" s="24">
        <v>35431</v>
      </c>
      <c r="Q35" s="25" t="s">
        <v>77</v>
      </c>
      <c r="R35" t="s">
        <v>26</v>
      </c>
      <c r="S35" t="s">
        <v>26</v>
      </c>
      <c r="T35" t="s">
        <v>26</v>
      </c>
      <c r="U35" t="s">
        <v>26</v>
      </c>
      <c r="V35" s="25">
        <v>365</v>
      </c>
      <c r="W35" s="24">
        <v>35431</v>
      </c>
      <c r="X35" s="25" t="s">
        <v>77</v>
      </c>
      <c r="Y35" t="s">
        <v>26</v>
      </c>
      <c r="Z35" s="24">
        <v>35431</v>
      </c>
      <c r="AA35" s="25" t="s">
        <v>77</v>
      </c>
      <c r="AB35" t="s">
        <v>26</v>
      </c>
      <c r="AC35" s="24">
        <v>35431</v>
      </c>
      <c r="AD35" s="25" t="s">
        <v>77</v>
      </c>
      <c r="AE35" t="s">
        <v>26</v>
      </c>
      <c r="AF35" t="s">
        <v>26</v>
      </c>
      <c r="AG35" t="s">
        <v>26</v>
      </c>
      <c r="AH35" t="s">
        <v>26</v>
      </c>
      <c r="AI35" t="s">
        <v>26</v>
      </c>
      <c r="AJ35" t="s">
        <v>26</v>
      </c>
      <c r="AK35" t="s">
        <v>26</v>
      </c>
      <c r="AL35" t="s">
        <v>26</v>
      </c>
      <c r="AM35" t="s">
        <v>26</v>
      </c>
      <c r="AN35" t="s">
        <v>26</v>
      </c>
      <c r="AO35" s="25" t="s">
        <v>68</v>
      </c>
      <c r="AP35" s="23" t="s">
        <v>69</v>
      </c>
      <c r="AQ35" s="23" t="s">
        <v>30</v>
      </c>
      <c r="AR35" s="23" t="s">
        <v>70</v>
      </c>
      <c r="AS35" s="25">
        <v>49178</v>
      </c>
      <c r="AT35" t="s">
        <v>26</v>
      </c>
      <c r="AU35" t="s">
        <v>22217</v>
      </c>
    </row>
    <row r="36" spans="1:47" ht="39.4" x14ac:dyDescent="0.4">
      <c r="A36" s="23" t="s">
        <v>166</v>
      </c>
      <c r="B36" t="s">
        <v>26</v>
      </c>
      <c r="C36" s="23" t="s">
        <v>167</v>
      </c>
      <c r="D36" s="23" t="s">
        <v>22218</v>
      </c>
      <c r="E36" s="23" t="s">
        <v>60</v>
      </c>
      <c r="F36" s="25" t="s">
        <v>168</v>
      </c>
      <c r="G36" s="25" t="s">
        <v>169</v>
      </c>
      <c r="H36" t="s">
        <v>26</v>
      </c>
      <c r="I36" s="24">
        <v>41306</v>
      </c>
      <c r="J36" s="25" t="s">
        <v>77</v>
      </c>
      <c r="K36" t="s">
        <v>26</v>
      </c>
      <c r="L36" s="25" t="s">
        <v>68</v>
      </c>
      <c r="M36" s="24">
        <v>41306</v>
      </c>
      <c r="N36" s="25" t="s">
        <v>77</v>
      </c>
      <c r="O36" t="s">
        <v>26</v>
      </c>
      <c r="P36" s="24">
        <v>41306</v>
      </c>
      <c r="Q36" s="25" t="s">
        <v>77</v>
      </c>
      <c r="R36" t="s">
        <v>26</v>
      </c>
      <c r="S36" t="s">
        <v>26</v>
      </c>
      <c r="T36" t="s">
        <v>26</v>
      </c>
      <c r="U36" t="s">
        <v>26</v>
      </c>
      <c r="V36" s="25">
        <v>365</v>
      </c>
      <c r="W36" s="24">
        <v>41306</v>
      </c>
      <c r="X36" s="25" t="s">
        <v>77</v>
      </c>
      <c r="Y36" t="s">
        <v>26</v>
      </c>
      <c r="Z36" s="24">
        <v>41306</v>
      </c>
      <c r="AA36" s="25" t="s">
        <v>77</v>
      </c>
      <c r="AB36" t="s">
        <v>26</v>
      </c>
      <c r="AC36" s="24">
        <v>41306</v>
      </c>
      <c r="AD36" s="25" t="s">
        <v>77</v>
      </c>
      <c r="AE36" t="s">
        <v>26</v>
      </c>
      <c r="AF36" t="s">
        <v>26</v>
      </c>
      <c r="AG36" t="s">
        <v>26</v>
      </c>
      <c r="AH36" t="s">
        <v>26</v>
      </c>
      <c r="AI36" t="s">
        <v>26</v>
      </c>
      <c r="AJ36" t="s">
        <v>26</v>
      </c>
      <c r="AK36" t="s">
        <v>26</v>
      </c>
      <c r="AL36" t="s">
        <v>26</v>
      </c>
      <c r="AM36" t="s">
        <v>26</v>
      </c>
      <c r="AN36" t="s">
        <v>26</v>
      </c>
      <c r="AO36" s="25" t="s">
        <v>68</v>
      </c>
      <c r="AP36" s="23" t="s">
        <v>69</v>
      </c>
      <c r="AQ36" s="23" t="s">
        <v>170</v>
      </c>
      <c r="AR36" s="23" t="s">
        <v>70</v>
      </c>
      <c r="AS36" s="25">
        <v>5514149</v>
      </c>
      <c r="AT36" t="s">
        <v>26</v>
      </c>
      <c r="AU36" t="s">
        <v>22219</v>
      </c>
    </row>
    <row r="37" spans="1:47" ht="26.25" x14ac:dyDescent="0.4">
      <c r="A37" s="23" t="s">
        <v>171</v>
      </c>
      <c r="B37" t="s">
        <v>26</v>
      </c>
      <c r="C37" s="23" t="s">
        <v>172</v>
      </c>
      <c r="D37" s="23" t="s">
        <v>22220</v>
      </c>
      <c r="E37" s="23" t="s">
        <v>60</v>
      </c>
      <c r="F37" s="25" t="s">
        <v>173</v>
      </c>
      <c r="G37" s="25" t="s">
        <v>174</v>
      </c>
      <c r="H37" t="s">
        <v>26</v>
      </c>
      <c r="I37" t="s">
        <v>26</v>
      </c>
      <c r="J37" t="s">
        <v>26</v>
      </c>
      <c r="K37" t="s">
        <v>26</v>
      </c>
      <c r="L37" s="25" t="s">
        <v>68</v>
      </c>
      <c r="M37" t="s">
        <v>26</v>
      </c>
      <c r="N37" t="s">
        <v>26</v>
      </c>
      <c r="O37" t="s">
        <v>26</v>
      </c>
      <c r="P37" t="s">
        <v>26</v>
      </c>
      <c r="Q37" t="s">
        <v>26</v>
      </c>
      <c r="R37" t="s">
        <v>26</v>
      </c>
      <c r="S37" t="s">
        <v>26</v>
      </c>
      <c r="T37" t="s">
        <v>26</v>
      </c>
      <c r="U37" t="s">
        <v>26</v>
      </c>
      <c r="V37" t="s">
        <v>26</v>
      </c>
      <c r="W37" s="24">
        <v>38261</v>
      </c>
      <c r="X37" s="25" t="s">
        <v>77</v>
      </c>
      <c r="Y37" t="s">
        <v>26</v>
      </c>
      <c r="Z37" s="24">
        <v>38261</v>
      </c>
      <c r="AA37" s="25" t="s">
        <v>77</v>
      </c>
      <c r="AB37" t="s">
        <v>26</v>
      </c>
      <c r="AC37" s="24">
        <v>38261</v>
      </c>
      <c r="AD37" s="25" t="s">
        <v>77</v>
      </c>
      <c r="AE37" t="s">
        <v>26</v>
      </c>
      <c r="AF37" t="s">
        <v>26</v>
      </c>
      <c r="AG37" t="s">
        <v>26</v>
      </c>
      <c r="AH37" t="s">
        <v>26</v>
      </c>
      <c r="AI37" t="s">
        <v>26</v>
      </c>
      <c r="AJ37" t="s">
        <v>26</v>
      </c>
      <c r="AK37" t="s">
        <v>26</v>
      </c>
      <c r="AL37" t="s">
        <v>26</v>
      </c>
      <c r="AM37" t="s">
        <v>26</v>
      </c>
      <c r="AN37" t="s">
        <v>26</v>
      </c>
      <c r="AO37" s="25" t="s">
        <v>68</v>
      </c>
      <c r="AP37" s="23" t="s">
        <v>69</v>
      </c>
      <c r="AQ37" s="23" t="s">
        <v>30</v>
      </c>
      <c r="AR37" s="23" t="s">
        <v>70</v>
      </c>
      <c r="AS37" s="25">
        <v>33508</v>
      </c>
      <c r="AT37" t="s">
        <v>26</v>
      </c>
      <c r="AU37" t="s">
        <v>22221</v>
      </c>
    </row>
    <row r="38" spans="1:47" ht="39.4" x14ac:dyDescent="0.4">
      <c r="A38" s="23" t="s">
        <v>175</v>
      </c>
      <c r="B38" t="s">
        <v>26</v>
      </c>
      <c r="C38" s="23" t="s">
        <v>176</v>
      </c>
      <c r="D38" s="23" t="s">
        <v>22222</v>
      </c>
      <c r="E38" s="23" t="s">
        <v>60</v>
      </c>
      <c r="F38" s="25" t="s">
        <v>177</v>
      </c>
      <c r="G38" s="25" t="s">
        <v>178</v>
      </c>
      <c r="H38" t="s">
        <v>26</v>
      </c>
      <c r="I38" t="s">
        <v>26</v>
      </c>
      <c r="J38" t="s">
        <v>26</v>
      </c>
      <c r="K38" t="s">
        <v>26</v>
      </c>
      <c r="L38" s="25" t="s">
        <v>68</v>
      </c>
      <c r="M38" t="s">
        <v>26</v>
      </c>
      <c r="N38" t="s">
        <v>26</v>
      </c>
      <c r="O38" t="s">
        <v>26</v>
      </c>
      <c r="P38" t="s">
        <v>26</v>
      </c>
      <c r="Q38" t="s">
        <v>26</v>
      </c>
      <c r="R38" t="s">
        <v>26</v>
      </c>
      <c r="S38" t="s">
        <v>26</v>
      </c>
      <c r="T38" t="s">
        <v>26</v>
      </c>
      <c r="U38" t="s">
        <v>26</v>
      </c>
      <c r="V38" t="s">
        <v>26</v>
      </c>
      <c r="W38" s="24">
        <v>42675</v>
      </c>
      <c r="X38" s="24">
        <v>44136</v>
      </c>
      <c r="Y38" t="s">
        <v>26</v>
      </c>
      <c r="Z38" s="24">
        <v>42675</v>
      </c>
      <c r="AA38" s="24">
        <v>44136</v>
      </c>
      <c r="AB38" t="s">
        <v>26</v>
      </c>
      <c r="AC38" s="24">
        <v>42675</v>
      </c>
      <c r="AD38" s="24">
        <v>44136</v>
      </c>
      <c r="AE38" t="s">
        <v>26</v>
      </c>
      <c r="AF38" t="s">
        <v>26</v>
      </c>
      <c r="AG38" t="s">
        <v>26</v>
      </c>
      <c r="AH38" t="s">
        <v>26</v>
      </c>
      <c r="AI38" t="s">
        <v>26</v>
      </c>
      <c r="AJ38" t="s">
        <v>26</v>
      </c>
      <c r="AK38" t="s">
        <v>26</v>
      </c>
      <c r="AL38" t="s">
        <v>26</v>
      </c>
      <c r="AM38" t="s">
        <v>26</v>
      </c>
      <c r="AN38" t="s">
        <v>26</v>
      </c>
      <c r="AO38" s="25" t="s">
        <v>68</v>
      </c>
      <c r="AP38" s="23" t="s">
        <v>69</v>
      </c>
      <c r="AQ38" s="23" t="s">
        <v>179</v>
      </c>
      <c r="AR38" s="23" t="s">
        <v>46</v>
      </c>
      <c r="AS38" s="25">
        <v>2038283</v>
      </c>
      <c r="AT38" t="s">
        <v>26</v>
      </c>
      <c r="AU38" t="s">
        <v>22223</v>
      </c>
    </row>
    <row r="39" spans="1:47" ht="26.25" x14ac:dyDescent="0.4">
      <c r="A39" s="23" t="s">
        <v>180</v>
      </c>
      <c r="B39" t="s">
        <v>26</v>
      </c>
      <c r="C39" s="23" t="s">
        <v>181</v>
      </c>
      <c r="D39" s="23" t="s">
        <v>22224</v>
      </c>
      <c r="E39" s="23" t="s">
        <v>60</v>
      </c>
      <c r="F39" s="25" t="s">
        <v>182</v>
      </c>
      <c r="G39" s="25" t="s">
        <v>183</v>
      </c>
      <c r="H39" t="s">
        <v>26</v>
      </c>
      <c r="I39" t="s">
        <v>26</v>
      </c>
      <c r="J39" t="s">
        <v>26</v>
      </c>
      <c r="K39" t="s">
        <v>26</v>
      </c>
      <c r="L39" s="25" t="s">
        <v>68</v>
      </c>
      <c r="M39" t="s">
        <v>26</v>
      </c>
      <c r="N39" t="s">
        <v>26</v>
      </c>
      <c r="O39" t="s">
        <v>26</v>
      </c>
      <c r="P39" t="s">
        <v>26</v>
      </c>
      <c r="Q39" t="s">
        <v>26</v>
      </c>
      <c r="R39" t="s">
        <v>26</v>
      </c>
      <c r="S39" t="s">
        <v>26</v>
      </c>
      <c r="T39" t="s">
        <v>26</v>
      </c>
      <c r="U39" t="s">
        <v>26</v>
      </c>
      <c r="V39" t="s">
        <v>26</v>
      </c>
      <c r="W39" s="24">
        <v>32568</v>
      </c>
      <c r="X39" s="25" t="s">
        <v>77</v>
      </c>
      <c r="Y39" t="s">
        <v>26</v>
      </c>
      <c r="Z39" s="24">
        <v>32568</v>
      </c>
      <c r="AA39" s="25" t="s">
        <v>77</v>
      </c>
      <c r="AB39" t="s">
        <v>26</v>
      </c>
      <c r="AC39" s="24">
        <v>32568</v>
      </c>
      <c r="AD39" s="25" t="s">
        <v>77</v>
      </c>
      <c r="AE39" t="s">
        <v>26</v>
      </c>
      <c r="AF39" t="s">
        <v>26</v>
      </c>
      <c r="AG39" t="s">
        <v>26</v>
      </c>
      <c r="AH39" t="s">
        <v>26</v>
      </c>
      <c r="AI39" t="s">
        <v>26</v>
      </c>
      <c r="AJ39" t="s">
        <v>26</v>
      </c>
      <c r="AK39" t="s">
        <v>26</v>
      </c>
      <c r="AL39" t="s">
        <v>26</v>
      </c>
      <c r="AM39" t="s">
        <v>26</v>
      </c>
      <c r="AN39" t="s">
        <v>26</v>
      </c>
      <c r="AO39" s="25" t="s">
        <v>68</v>
      </c>
      <c r="AP39" s="23" t="s">
        <v>69</v>
      </c>
      <c r="AQ39" s="23" t="s">
        <v>30</v>
      </c>
      <c r="AR39" s="23" t="s">
        <v>184</v>
      </c>
      <c r="AS39" s="25">
        <v>47835</v>
      </c>
      <c r="AT39" t="s">
        <v>26</v>
      </c>
      <c r="AU39" t="s">
        <v>22225</v>
      </c>
    </row>
    <row r="40" spans="1:47" ht="26.25" x14ac:dyDescent="0.4">
      <c r="A40" s="23" t="s">
        <v>185</v>
      </c>
      <c r="B40" t="s">
        <v>26</v>
      </c>
      <c r="C40" s="23" t="s">
        <v>186</v>
      </c>
      <c r="D40" s="23" t="s">
        <v>22226</v>
      </c>
      <c r="E40" s="23" t="s">
        <v>187</v>
      </c>
      <c r="F40" s="25" t="s">
        <v>188</v>
      </c>
      <c r="G40" s="25" t="s">
        <v>189</v>
      </c>
      <c r="H40" t="s">
        <v>26</v>
      </c>
      <c r="I40" t="s">
        <v>26</v>
      </c>
      <c r="J40" t="s">
        <v>26</v>
      </c>
      <c r="K40" t="s">
        <v>26</v>
      </c>
      <c r="L40" s="25" t="s">
        <v>68</v>
      </c>
      <c r="M40" t="s">
        <v>26</v>
      </c>
      <c r="N40" t="s">
        <v>26</v>
      </c>
      <c r="O40" t="s">
        <v>26</v>
      </c>
      <c r="P40" t="s">
        <v>26</v>
      </c>
      <c r="Q40" t="s">
        <v>26</v>
      </c>
      <c r="R40" t="s">
        <v>26</v>
      </c>
      <c r="S40" t="s">
        <v>26</v>
      </c>
      <c r="T40" t="s">
        <v>26</v>
      </c>
      <c r="U40" t="s">
        <v>26</v>
      </c>
      <c r="V40" t="s">
        <v>26</v>
      </c>
      <c r="W40" s="24">
        <v>42370</v>
      </c>
      <c r="X40" s="25" t="s">
        <v>77</v>
      </c>
      <c r="Y40" t="s">
        <v>26</v>
      </c>
      <c r="Z40" s="24">
        <v>42370</v>
      </c>
      <c r="AA40" s="25" t="s">
        <v>77</v>
      </c>
      <c r="AB40" t="s">
        <v>26</v>
      </c>
      <c r="AC40" s="24">
        <v>42370</v>
      </c>
      <c r="AD40" s="25" t="s">
        <v>77</v>
      </c>
      <c r="AE40" t="s">
        <v>26</v>
      </c>
      <c r="AF40" t="s">
        <v>26</v>
      </c>
      <c r="AG40" t="s">
        <v>26</v>
      </c>
      <c r="AH40" t="s">
        <v>26</v>
      </c>
      <c r="AI40" t="s">
        <v>26</v>
      </c>
      <c r="AJ40" t="s">
        <v>26</v>
      </c>
      <c r="AK40" t="s">
        <v>26</v>
      </c>
      <c r="AL40" t="s">
        <v>26</v>
      </c>
      <c r="AM40" t="s">
        <v>26</v>
      </c>
      <c r="AN40" t="s">
        <v>26</v>
      </c>
      <c r="AO40" s="25" t="s">
        <v>68</v>
      </c>
      <c r="AP40" s="23" t="s">
        <v>69</v>
      </c>
      <c r="AQ40" s="23" t="s">
        <v>190</v>
      </c>
      <c r="AR40" s="23" t="s">
        <v>191</v>
      </c>
      <c r="AS40" s="25">
        <v>2042053</v>
      </c>
      <c r="AT40" t="s">
        <v>26</v>
      </c>
      <c r="AU40" t="s">
        <v>22227</v>
      </c>
    </row>
    <row r="41" spans="1:47" ht="26.25" x14ac:dyDescent="0.4">
      <c r="A41" s="23" t="s">
        <v>192</v>
      </c>
      <c r="B41" t="s">
        <v>26</v>
      </c>
      <c r="C41" s="23" t="s">
        <v>73</v>
      </c>
      <c r="D41" s="23" t="s">
        <v>22228</v>
      </c>
      <c r="E41" s="23" t="s">
        <v>74</v>
      </c>
      <c r="F41" s="25" t="s">
        <v>193</v>
      </c>
      <c r="G41" t="s">
        <v>26</v>
      </c>
      <c r="H41" t="s">
        <v>26</v>
      </c>
      <c r="I41" s="24">
        <v>39264</v>
      </c>
      <c r="J41" s="24">
        <v>42614</v>
      </c>
      <c r="K41" s="25" t="s">
        <v>194</v>
      </c>
      <c r="L41" s="25" t="s">
        <v>68</v>
      </c>
      <c r="M41" s="24">
        <v>39264</v>
      </c>
      <c r="N41" s="24">
        <v>42614</v>
      </c>
      <c r="O41" s="25" t="s">
        <v>194</v>
      </c>
      <c r="P41" s="24">
        <v>39264</v>
      </c>
      <c r="Q41" s="24">
        <v>42614</v>
      </c>
      <c r="R41" s="25" t="s">
        <v>194</v>
      </c>
      <c r="S41" t="s">
        <v>26</v>
      </c>
      <c r="T41" t="s">
        <v>26</v>
      </c>
      <c r="U41" t="s">
        <v>26</v>
      </c>
      <c r="V41" t="s">
        <v>26</v>
      </c>
      <c r="W41" s="24">
        <v>39264</v>
      </c>
      <c r="X41" s="24">
        <v>42614</v>
      </c>
      <c r="Y41" s="25" t="s">
        <v>194</v>
      </c>
      <c r="Z41" s="24">
        <v>39264</v>
      </c>
      <c r="AA41" s="24">
        <v>42614</v>
      </c>
      <c r="AB41" s="25" t="s">
        <v>194</v>
      </c>
      <c r="AC41" s="24">
        <v>41244</v>
      </c>
      <c r="AD41" s="24">
        <v>42614</v>
      </c>
      <c r="AE41" t="s">
        <v>26</v>
      </c>
      <c r="AF41" t="s">
        <v>26</v>
      </c>
      <c r="AG41" t="s">
        <v>26</v>
      </c>
      <c r="AH41" t="s">
        <v>26</v>
      </c>
      <c r="AI41" t="s">
        <v>26</v>
      </c>
      <c r="AJ41" t="s">
        <v>26</v>
      </c>
      <c r="AK41" t="s">
        <v>26</v>
      </c>
      <c r="AL41" t="s">
        <v>26</v>
      </c>
      <c r="AM41" t="s">
        <v>26</v>
      </c>
      <c r="AN41" t="s">
        <v>26</v>
      </c>
      <c r="AO41" s="25" t="s">
        <v>68</v>
      </c>
      <c r="AP41" s="23" t="s">
        <v>69</v>
      </c>
      <c r="AQ41" s="23" t="s">
        <v>30</v>
      </c>
      <c r="AR41" s="23" t="s">
        <v>70</v>
      </c>
      <c r="AS41" s="25">
        <v>28235</v>
      </c>
      <c r="AT41" t="s">
        <v>26</v>
      </c>
      <c r="AU41" t="s">
        <v>22229</v>
      </c>
    </row>
    <row r="42" spans="1:47" ht="26.25" x14ac:dyDescent="0.4">
      <c r="A42" s="23" t="s">
        <v>195</v>
      </c>
      <c r="B42" t="s">
        <v>26</v>
      </c>
      <c r="C42" s="23" t="s">
        <v>73</v>
      </c>
      <c r="D42" s="23" t="s">
        <v>22215</v>
      </c>
      <c r="E42" s="23" t="s">
        <v>74</v>
      </c>
      <c r="F42" t="s">
        <v>26</v>
      </c>
      <c r="G42" s="25" t="s">
        <v>196</v>
      </c>
      <c r="H42" t="s">
        <v>26</v>
      </c>
      <c r="I42" t="s">
        <v>26</v>
      </c>
      <c r="J42" t="s">
        <v>26</v>
      </c>
      <c r="K42" t="s">
        <v>26</v>
      </c>
      <c r="L42" s="25" t="s">
        <v>68</v>
      </c>
      <c r="M42" t="s">
        <v>26</v>
      </c>
      <c r="N42" t="s">
        <v>26</v>
      </c>
      <c r="O42" t="s">
        <v>26</v>
      </c>
      <c r="P42" t="s">
        <v>26</v>
      </c>
      <c r="Q42" t="s">
        <v>26</v>
      </c>
      <c r="R42" t="s">
        <v>26</v>
      </c>
      <c r="S42" t="s">
        <v>26</v>
      </c>
      <c r="T42" t="s">
        <v>26</v>
      </c>
      <c r="U42" t="s">
        <v>26</v>
      </c>
      <c r="V42" t="s">
        <v>26</v>
      </c>
      <c r="W42" s="24">
        <v>42370</v>
      </c>
      <c r="X42" s="25" t="s">
        <v>77</v>
      </c>
      <c r="Y42" t="s">
        <v>26</v>
      </c>
      <c r="Z42" s="24">
        <v>42370</v>
      </c>
      <c r="AA42" s="25" t="s">
        <v>77</v>
      </c>
      <c r="AB42" t="s">
        <v>26</v>
      </c>
      <c r="AC42" s="24">
        <v>42370</v>
      </c>
      <c r="AD42" s="25" t="s">
        <v>77</v>
      </c>
      <c r="AE42" t="s">
        <v>26</v>
      </c>
      <c r="AF42" t="s">
        <v>26</v>
      </c>
      <c r="AG42" t="s">
        <v>26</v>
      </c>
      <c r="AH42" t="s">
        <v>26</v>
      </c>
      <c r="AI42" t="s">
        <v>26</v>
      </c>
      <c r="AJ42" t="s">
        <v>26</v>
      </c>
      <c r="AK42" t="s">
        <v>26</v>
      </c>
      <c r="AL42" t="s">
        <v>26</v>
      </c>
      <c r="AM42" t="s">
        <v>26</v>
      </c>
      <c r="AN42" t="s">
        <v>26</v>
      </c>
      <c r="AO42" s="25" t="s">
        <v>68</v>
      </c>
      <c r="AP42" s="23" t="s">
        <v>69</v>
      </c>
      <c r="AQ42" s="23" t="s">
        <v>30</v>
      </c>
      <c r="AR42" s="23" t="s">
        <v>197</v>
      </c>
      <c r="AS42" s="25">
        <v>2044271</v>
      </c>
      <c r="AT42" t="s">
        <v>26</v>
      </c>
      <c r="AU42" t="s">
        <v>22230</v>
      </c>
    </row>
    <row r="43" spans="1:47" ht="26.25" x14ac:dyDescent="0.4">
      <c r="A43" s="23" t="s">
        <v>198</v>
      </c>
      <c r="B43" t="s">
        <v>26</v>
      </c>
      <c r="C43" t="s">
        <v>26</v>
      </c>
      <c r="D43" s="23" t="s">
        <v>22231</v>
      </c>
      <c r="E43" t="s">
        <v>26</v>
      </c>
      <c r="F43" t="s">
        <v>26</v>
      </c>
      <c r="G43" t="s">
        <v>26</v>
      </c>
      <c r="H43" t="s">
        <v>26</v>
      </c>
      <c r="I43" s="24">
        <v>39814</v>
      </c>
      <c r="J43" s="24">
        <v>39814</v>
      </c>
      <c r="K43" t="s">
        <v>26</v>
      </c>
      <c r="L43" s="25" t="s">
        <v>28</v>
      </c>
      <c r="M43" s="24">
        <v>39814</v>
      </c>
      <c r="N43" s="24">
        <v>39814</v>
      </c>
      <c r="O43" t="s">
        <v>26</v>
      </c>
      <c r="P43" t="s">
        <v>26</v>
      </c>
      <c r="Q43" t="s">
        <v>26</v>
      </c>
      <c r="R43" t="s">
        <v>26</v>
      </c>
      <c r="S43" t="s">
        <v>26</v>
      </c>
      <c r="T43" t="s">
        <v>26</v>
      </c>
      <c r="U43" t="s">
        <v>26</v>
      </c>
      <c r="V43" t="s">
        <v>26</v>
      </c>
      <c r="W43" s="24">
        <v>39814</v>
      </c>
      <c r="X43" s="24">
        <v>39814</v>
      </c>
      <c r="Y43" t="s">
        <v>26</v>
      </c>
      <c r="Z43" s="24">
        <v>39814</v>
      </c>
      <c r="AA43" s="24">
        <v>39814</v>
      </c>
      <c r="AB43" t="s">
        <v>26</v>
      </c>
      <c r="AC43" s="24">
        <v>39814</v>
      </c>
      <c r="AD43" s="24">
        <v>39814</v>
      </c>
      <c r="AE43" t="s">
        <v>26</v>
      </c>
      <c r="AF43" t="s">
        <v>26</v>
      </c>
      <c r="AG43" t="s">
        <v>26</v>
      </c>
      <c r="AH43" t="s">
        <v>26</v>
      </c>
      <c r="AI43" t="s">
        <v>26</v>
      </c>
      <c r="AJ43" t="s">
        <v>26</v>
      </c>
      <c r="AK43" t="s">
        <v>26</v>
      </c>
      <c r="AL43" t="s">
        <v>26</v>
      </c>
      <c r="AM43" t="s">
        <v>26</v>
      </c>
      <c r="AN43" t="s">
        <v>26</v>
      </c>
      <c r="AO43" s="25" t="s">
        <v>28</v>
      </c>
      <c r="AP43" s="23" t="s">
        <v>29</v>
      </c>
      <c r="AQ43" s="23" t="s">
        <v>30</v>
      </c>
      <c r="AR43" s="23" t="s">
        <v>46</v>
      </c>
      <c r="AS43" s="25">
        <v>6009042</v>
      </c>
      <c r="AT43" t="s">
        <v>26</v>
      </c>
      <c r="AU43" t="s">
        <v>22232</v>
      </c>
    </row>
    <row r="44" spans="1:47" ht="26.25" x14ac:dyDescent="0.4">
      <c r="A44" s="23" t="s">
        <v>199</v>
      </c>
      <c r="B44" t="s">
        <v>26</v>
      </c>
      <c r="C44" s="23" t="s">
        <v>172</v>
      </c>
      <c r="D44" s="23" t="s">
        <v>22184</v>
      </c>
      <c r="E44" s="23" t="s">
        <v>60</v>
      </c>
      <c r="F44" s="25" t="s">
        <v>200</v>
      </c>
      <c r="G44" s="25" t="s">
        <v>201</v>
      </c>
      <c r="H44" t="s">
        <v>26</v>
      </c>
      <c r="I44" s="24">
        <v>35431</v>
      </c>
      <c r="J44" s="24">
        <v>36831</v>
      </c>
      <c r="K44" t="s">
        <v>26</v>
      </c>
      <c r="L44" s="25" t="s">
        <v>68</v>
      </c>
      <c r="M44" s="24">
        <v>35431</v>
      </c>
      <c r="N44" s="24">
        <v>36831</v>
      </c>
      <c r="O44" t="s">
        <v>26</v>
      </c>
      <c r="P44" s="24">
        <v>35431</v>
      </c>
      <c r="Q44" s="24">
        <v>36831</v>
      </c>
      <c r="R44" t="s">
        <v>26</v>
      </c>
      <c r="S44" t="s">
        <v>26</v>
      </c>
      <c r="T44" t="s">
        <v>26</v>
      </c>
      <c r="U44" t="s">
        <v>26</v>
      </c>
      <c r="V44" t="s">
        <v>26</v>
      </c>
      <c r="W44" s="24">
        <v>35065</v>
      </c>
      <c r="X44" s="25" t="s">
        <v>77</v>
      </c>
      <c r="Y44" s="25" t="s">
        <v>202</v>
      </c>
      <c r="Z44" s="24">
        <v>35065</v>
      </c>
      <c r="AA44" s="25" t="s">
        <v>77</v>
      </c>
      <c r="AB44" s="25" t="s">
        <v>202</v>
      </c>
      <c r="AC44" s="24">
        <v>35431</v>
      </c>
      <c r="AD44" s="25" t="s">
        <v>77</v>
      </c>
      <c r="AE44" s="25" t="s">
        <v>202</v>
      </c>
      <c r="AF44" t="s">
        <v>26</v>
      </c>
      <c r="AG44" t="s">
        <v>26</v>
      </c>
      <c r="AH44" t="s">
        <v>26</v>
      </c>
      <c r="AI44" t="s">
        <v>26</v>
      </c>
      <c r="AJ44" t="s">
        <v>26</v>
      </c>
      <c r="AK44" t="s">
        <v>26</v>
      </c>
      <c r="AL44" t="s">
        <v>26</v>
      </c>
      <c r="AM44" t="s">
        <v>26</v>
      </c>
      <c r="AN44" t="s">
        <v>26</v>
      </c>
      <c r="AO44" s="25" t="s">
        <v>68</v>
      </c>
      <c r="AP44" s="23" t="s">
        <v>69</v>
      </c>
      <c r="AQ44" s="23" t="s">
        <v>30</v>
      </c>
      <c r="AR44" s="23" t="s">
        <v>203</v>
      </c>
      <c r="AS44" s="25">
        <v>37458</v>
      </c>
      <c r="AT44" t="s">
        <v>26</v>
      </c>
      <c r="AU44" t="s">
        <v>22233</v>
      </c>
    </row>
    <row r="45" spans="1:47" ht="26.25" x14ac:dyDescent="0.4">
      <c r="A45" s="23" t="s">
        <v>204</v>
      </c>
      <c r="B45" t="s">
        <v>26</v>
      </c>
      <c r="C45" s="23" t="s">
        <v>80</v>
      </c>
      <c r="D45" s="23" t="s">
        <v>22184</v>
      </c>
      <c r="E45" s="23" t="s">
        <v>60</v>
      </c>
      <c r="F45" s="25" t="s">
        <v>205</v>
      </c>
      <c r="G45" s="25" t="s">
        <v>206</v>
      </c>
      <c r="H45" t="s">
        <v>26</v>
      </c>
      <c r="I45" s="24">
        <v>36069</v>
      </c>
      <c r="J45" s="24">
        <v>36800</v>
      </c>
      <c r="K45" t="s">
        <v>26</v>
      </c>
      <c r="L45" s="25" t="s">
        <v>68</v>
      </c>
      <c r="M45" s="24">
        <v>36069</v>
      </c>
      <c r="N45" s="24">
        <v>36800</v>
      </c>
      <c r="O45" t="s">
        <v>26</v>
      </c>
      <c r="P45" s="24">
        <v>36069</v>
      </c>
      <c r="Q45" s="24">
        <v>36800</v>
      </c>
      <c r="R45" t="s">
        <v>26</v>
      </c>
      <c r="S45" t="s">
        <v>26</v>
      </c>
      <c r="T45" t="s">
        <v>26</v>
      </c>
      <c r="U45" t="s">
        <v>26</v>
      </c>
      <c r="V45" t="s">
        <v>26</v>
      </c>
      <c r="W45" s="24">
        <v>36069</v>
      </c>
      <c r="X45" s="24">
        <v>36800</v>
      </c>
      <c r="Y45" t="s">
        <v>26</v>
      </c>
      <c r="Z45" s="24">
        <v>36069</v>
      </c>
      <c r="AA45" s="24">
        <v>36800</v>
      </c>
      <c r="AB45" t="s">
        <v>26</v>
      </c>
      <c r="AC45" t="s">
        <v>26</v>
      </c>
      <c r="AD45" t="s">
        <v>26</v>
      </c>
      <c r="AE45" t="s">
        <v>26</v>
      </c>
      <c r="AF45" t="s">
        <v>26</v>
      </c>
      <c r="AG45" t="s">
        <v>26</v>
      </c>
      <c r="AH45" t="s">
        <v>26</v>
      </c>
      <c r="AI45" t="s">
        <v>26</v>
      </c>
      <c r="AJ45" t="s">
        <v>26</v>
      </c>
      <c r="AK45" t="s">
        <v>26</v>
      </c>
      <c r="AL45" t="s">
        <v>26</v>
      </c>
      <c r="AM45" t="s">
        <v>26</v>
      </c>
      <c r="AN45" t="s">
        <v>26</v>
      </c>
      <c r="AO45" s="25" t="s">
        <v>68</v>
      </c>
      <c r="AP45" s="23" t="s">
        <v>69</v>
      </c>
      <c r="AQ45" s="23" t="s">
        <v>30</v>
      </c>
      <c r="AR45" s="23" t="s">
        <v>203</v>
      </c>
      <c r="AS45" s="25">
        <v>33521</v>
      </c>
      <c r="AT45" t="s">
        <v>26</v>
      </c>
      <c r="AU45" t="s">
        <v>22234</v>
      </c>
    </row>
    <row r="46" spans="1:47" ht="13.15" x14ac:dyDescent="0.4">
      <c r="A46" s="23" t="s">
        <v>207</v>
      </c>
      <c r="B46" t="s">
        <v>26</v>
      </c>
      <c r="C46" s="23" t="s">
        <v>208</v>
      </c>
      <c r="D46" s="23" t="s">
        <v>22235</v>
      </c>
      <c r="E46" s="23" t="s">
        <v>42</v>
      </c>
      <c r="F46" s="25" t="s">
        <v>209</v>
      </c>
      <c r="G46" s="25" t="s">
        <v>210</v>
      </c>
      <c r="H46" t="s">
        <v>26</v>
      </c>
      <c r="I46" s="24">
        <v>38718</v>
      </c>
      <c r="J46" s="24">
        <v>43374</v>
      </c>
      <c r="K46" t="s">
        <v>26</v>
      </c>
      <c r="L46" s="25" t="s">
        <v>28</v>
      </c>
      <c r="M46" s="24">
        <v>38718</v>
      </c>
      <c r="N46" s="24">
        <v>43374</v>
      </c>
      <c r="O46" t="s">
        <v>26</v>
      </c>
      <c r="P46" s="24">
        <v>38718</v>
      </c>
      <c r="Q46" s="24">
        <v>43374</v>
      </c>
      <c r="R46" t="s">
        <v>26</v>
      </c>
      <c r="S46" t="s">
        <v>26</v>
      </c>
      <c r="T46" t="s">
        <v>26</v>
      </c>
      <c r="U46" t="s">
        <v>26</v>
      </c>
      <c r="V46" t="s">
        <v>26</v>
      </c>
      <c r="W46" s="24">
        <v>38718</v>
      </c>
      <c r="X46" s="24">
        <v>43374</v>
      </c>
      <c r="Y46" t="s">
        <v>26</v>
      </c>
      <c r="Z46" s="24">
        <v>38718</v>
      </c>
      <c r="AA46" s="24">
        <v>43374</v>
      </c>
      <c r="AB46" t="s">
        <v>26</v>
      </c>
      <c r="AC46" s="24">
        <v>42826</v>
      </c>
      <c r="AD46" s="24">
        <v>43374</v>
      </c>
      <c r="AE46" t="s">
        <v>26</v>
      </c>
      <c r="AF46" t="s">
        <v>26</v>
      </c>
      <c r="AG46" t="s">
        <v>26</v>
      </c>
      <c r="AH46" t="s">
        <v>26</v>
      </c>
      <c r="AI46" t="s">
        <v>26</v>
      </c>
      <c r="AJ46" t="s">
        <v>26</v>
      </c>
      <c r="AK46" t="s">
        <v>26</v>
      </c>
      <c r="AL46" t="s">
        <v>26</v>
      </c>
      <c r="AM46" t="s">
        <v>26</v>
      </c>
      <c r="AN46" t="s">
        <v>26</v>
      </c>
      <c r="AO46" s="25" t="s">
        <v>28</v>
      </c>
      <c r="AP46" s="23" t="s">
        <v>211</v>
      </c>
      <c r="AQ46" s="23" t="s">
        <v>30</v>
      </c>
      <c r="AR46" s="23" t="s">
        <v>203</v>
      </c>
      <c r="AS46" s="25">
        <v>29211</v>
      </c>
      <c r="AT46" t="s">
        <v>26</v>
      </c>
      <c r="AU46" t="s">
        <v>22236</v>
      </c>
    </row>
    <row r="47" spans="1:47" ht="26.25" x14ac:dyDescent="0.4">
      <c r="A47" s="23" t="s">
        <v>212</v>
      </c>
      <c r="B47" t="s">
        <v>26</v>
      </c>
      <c r="C47" s="23" t="s">
        <v>213</v>
      </c>
      <c r="D47" s="23" t="s">
        <v>22174</v>
      </c>
      <c r="E47" s="23" t="s">
        <v>60</v>
      </c>
      <c r="F47" s="25" t="s">
        <v>214</v>
      </c>
      <c r="G47" s="25" t="s">
        <v>215</v>
      </c>
      <c r="H47" t="s">
        <v>26</v>
      </c>
      <c r="I47" s="24">
        <v>42005</v>
      </c>
      <c r="J47" s="25" t="s">
        <v>77</v>
      </c>
      <c r="K47" t="s">
        <v>26</v>
      </c>
      <c r="L47" s="25" t="s">
        <v>68</v>
      </c>
      <c r="M47" t="s">
        <v>26</v>
      </c>
      <c r="N47" t="s">
        <v>26</v>
      </c>
      <c r="O47" t="s">
        <v>26</v>
      </c>
      <c r="P47" s="24">
        <v>42005</v>
      </c>
      <c r="Q47" s="25" t="s">
        <v>77</v>
      </c>
      <c r="R47" t="s">
        <v>26</v>
      </c>
      <c r="S47" t="s">
        <v>26</v>
      </c>
      <c r="T47" t="s">
        <v>26</v>
      </c>
      <c r="U47" t="s">
        <v>26</v>
      </c>
      <c r="V47" t="s">
        <v>26</v>
      </c>
      <c r="W47" s="24">
        <v>42005</v>
      </c>
      <c r="X47" s="25" t="s">
        <v>77</v>
      </c>
      <c r="Y47" t="s">
        <v>26</v>
      </c>
      <c r="Z47" s="24">
        <v>42005</v>
      </c>
      <c r="AA47" s="25" t="s">
        <v>77</v>
      </c>
      <c r="AB47" t="s">
        <v>26</v>
      </c>
      <c r="AC47" s="24">
        <v>42005</v>
      </c>
      <c r="AD47" s="25" t="s">
        <v>77</v>
      </c>
      <c r="AE47" t="s">
        <v>26</v>
      </c>
      <c r="AF47" t="s">
        <v>26</v>
      </c>
      <c r="AG47" t="s">
        <v>26</v>
      </c>
      <c r="AH47" t="s">
        <v>26</v>
      </c>
      <c r="AI47" t="s">
        <v>26</v>
      </c>
      <c r="AJ47" t="s">
        <v>26</v>
      </c>
      <c r="AK47" t="s">
        <v>26</v>
      </c>
      <c r="AL47" t="s">
        <v>26</v>
      </c>
      <c r="AM47" t="s">
        <v>26</v>
      </c>
      <c r="AN47" t="s">
        <v>26</v>
      </c>
      <c r="AO47" s="25" t="s">
        <v>68</v>
      </c>
      <c r="AP47" s="23" t="s">
        <v>69</v>
      </c>
      <c r="AQ47" s="23" t="s">
        <v>30</v>
      </c>
      <c r="AR47" s="23" t="s">
        <v>203</v>
      </c>
      <c r="AS47" s="25">
        <v>2040177</v>
      </c>
      <c r="AT47" t="s">
        <v>26</v>
      </c>
      <c r="AU47" t="s">
        <v>22237</v>
      </c>
    </row>
    <row r="48" spans="1:47" ht="26.25" x14ac:dyDescent="0.4">
      <c r="A48" s="23" t="s">
        <v>216</v>
      </c>
      <c r="B48" t="s">
        <v>26</v>
      </c>
      <c r="C48" s="23" t="s">
        <v>22238</v>
      </c>
      <c r="D48" t="s">
        <v>26</v>
      </c>
      <c r="E48" s="23" t="s">
        <v>42</v>
      </c>
      <c r="F48" t="s">
        <v>26</v>
      </c>
      <c r="G48" t="s">
        <v>26</v>
      </c>
      <c r="H48" t="s">
        <v>26</v>
      </c>
      <c r="I48" s="24">
        <v>43101</v>
      </c>
      <c r="J48" s="24">
        <v>43101</v>
      </c>
      <c r="K48" t="s">
        <v>26</v>
      </c>
      <c r="L48" s="25" t="s">
        <v>28</v>
      </c>
      <c r="M48" s="24">
        <v>43101</v>
      </c>
      <c r="N48" s="24">
        <v>43101</v>
      </c>
      <c r="O48" t="s">
        <v>26</v>
      </c>
      <c r="P48" t="s">
        <v>26</v>
      </c>
      <c r="Q48" t="s">
        <v>26</v>
      </c>
      <c r="R48" t="s">
        <v>26</v>
      </c>
      <c r="S48" s="24">
        <v>43101</v>
      </c>
      <c r="T48" s="24">
        <v>43101</v>
      </c>
      <c r="U48" t="s">
        <v>26</v>
      </c>
      <c r="V48" t="s">
        <v>26</v>
      </c>
      <c r="W48" s="24">
        <v>43101</v>
      </c>
      <c r="X48" s="24">
        <v>43101</v>
      </c>
      <c r="Y48" t="s">
        <v>26</v>
      </c>
      <c r="Z48" s="24">
        <v>43101</v>
      </c>
      <c r="AA48" s="24">
        <v>43101</v>
      </c>
      <c r="AB48" t="s">
        <v>26</v>
      </c>
      <c r="AC48" s="24">
        <v>43101</v>
      </c>
      <c r="AD48" s="24">
        <v>43101</v>
      </c>
      <c r="AE48" t="s">
        <v>26</v>
      </c>
      <c r="AF48" s="24">
        <v>43101</v>
      </c>
      <c r="AG48" s="24">
        <v>43101</v>
      </c>
      <c r="AH48" t="s">
        <v>26</v>
      </c>
      <c r="AI48" s="24">
        <v>43101</v>
      </c>
      <c r="AJ48" s="24">
        <v>43101</v>
      </c>
      <c r="AK48" t="s">
        <v>26</v>
      </c>
      <c r="AL48" t="s">
        <v>26</v>
      </c>
      <c r="AM48" t="s">
        <v>26</v>
      </c>
      <c r="AN48" t="s">
        <v>26</v>
      </c>
      <c r="AO48" s="25" t="s">
        <v>28</v>
      </c>
      <c r="AP48" s="23" t="s">
        <v>43</v>
      </c>
      <c r="AQ48" s="23" t="s">
        <v>30</v>
      </c>
      <c r="AR48" s="23" t="s">
        <v>44</v>
      </c>
      <c r="AS48" s="25">
        <v>5262100</v>
      </c>
      <c r="AT48" t="s">
        <v>26</v>
      </c>
      <c r="AU48" t="s">
        <v>22239</v>
      </c>
    </row>
    <row r="49" spans="1:47" ht="26.25" x14ac:dyDescent="0.4">
      <c r="A49" s="23" t="s">
        <v>217</v>
      </c>
      <c r="B49" t="s">
        <v>26</v>
      </c>
      <c r="C49" s="23" t="s">
        <v>22238</v>
      </c>
      <c r="D49" t="s">
        <v>26</v>
      </c>
      <c r="E49" s="23" t="s">
        <v>42</v>
      </c>
      <c r="F49" t="s">
        <v>26</v>
      </c>
      <c r="G49" t="s">
        <v>26</v>
      </c>
      <c r="H49" t="s">
        <v>26</v>
      </c>
      <c r="I49" s="24">
        <v>43101</v>
      </c>
      <c r="J49" s="24">
        <v>43101</v>
      </c>
      <c r="K49" t="s">
        <v>26</v>
      </c>
      <c r="L49" s="25" t="s">
        <v>28</v>
      </c>
      <c r="M49" s="24">
        <v>43101</v>
      </c>
      <c r="N49" s="24">
        <v>43101</v>
      </c>
      <c r="O49" t="s">
        <v>26</v>
      </c>
      <c r="P49" t="s">
        <v>26</v>
      </c>
      <c r="Q49" t="s">
        <v>26</v>
      </c>
      <c r="R49" t="s">
        <v>26</v>
      </c>
      <c r="S49" s="24">
        <v>43101</v>
      </c>
      <c r="T49" s="24">
        <v>43101</v>
      </c>
      <c r="U49" t="s">
        <v>26</v>
      </c>
      <c r="V49" t="s">
        <v>26</v>
      </c>
      <c r="W49" s="24">
        <v>43101</v>
      </c>
      <c r="X49" s="24">
        <v>43101</v>
      </c>
      <c r="Y49" t="s">
        <v>26</v>
      </c>
      <c r="Z49" s="24">
        <v>43101</v>
      </c>
      <c r="AA49" s="24">
        <v>43101</v>
      </c>
      <c r="AB49" t="s">
        <v>26</v>
      </c>
      <c r="AC49" s="24">
        <v>43101</v>
      </c>
      <c r="AD49" s="24">
        <v>43101</v>
      </c>
      <c r="AE49" t="s">
        <v>26</v>
      </c>
      <c r="AF49" s="24">
        <v>43101</v>
      </c>
      <c r="AG49" s="24">
        <v>43101</v>
      </c>
      <c r="AH49" t="s">
        <v>26</v>
      </c>
      <c r="AI49" s="24">
        <v>43101</v>
      </c>
      <c r="AJ49" s="24">
        <v>43101</v>
      </c>
      <c r="AK49" t="s">
        <v>26</v>
      </c>
      <c r="AL49" t="s">
        <v>26</v>
      </c>
      <c r="AM49" t="s">
        <v>26</v>
      </c>
      <c r="AN49" t="s">
        <v>26</v>
      </c>
      <c r="AO49" s="25" t="s">
        <v>28</v>
      </c>
      <c r="AP49" s="23" t="s">
        <v>43</v>
      </c>
      <c r="AQ49" s="23" t="s">
        <v>30</v>
      </c>
      <c r="AR49" s="23" t="s">
        <v>44</v>
      </c>
      <c r="AS49" s="25">
        <v>5262099</v>
      </c>
      <c r="AT49" t="s">
        <v>26</v>
      </c>
      <c r="AU49" t="s">
        <v>22240</v>
      </c>
    </row>
    <row r="50" spans="1:47" ht="26.25" x14ac:dyDescent="0.4">
      <c r="A50" s="23" t="s">
        <v>218</v>
      </c>
      <c r="B50" t="s">
        <v>26</v>
      </c>
      <c r="C50" s="23" t="s">
        <v>22238</v>
      </c>
      <c r="D50" t="s">
        <v>26</v>
      </c>
      <c r="E50" s="23" t="s">
        <v>42</v>
      </c>
      <c r="F50" t="s">
        <v>26</v>
      </c>
      <c r="G50" t="s">
        <v>26</v>
      </c>
      <c r="H50" t="s">
        <v>26</v>
      </c>
      <c r="I50" s="24">
        <v>43101</v>
      </c>
      <c r="J50" s="24">
        <v>43101</v>
      </c>
      <c r="K50" t="s">
        <v>26</v>
      </c>
      <c r="L50" s="25" t="s">
        <v>28</v>
      </c>
      <c r="M50" s="24">
        <v>43101</v>
      </c>
      <c r="N50" s="24">
        <v>43101</v>
      </c>
      <c r="O50" t="s">
        <v>26</v>
      </c>
      <c r="P50" t="s">
        <v>26</v>
      </c>
      <c r="Q50" t="s">
        <v>26</v>
      </c>
      <c r="R50" t="s">
        <v>26</v>
      </c>
      <c r="S50" s="24">
        <v>43101</v>
      </c>
      <c r="T50" s="24">
        <v>43101</v>
      </c>
      <c r="U50" t="s">
        <v>26</v>
      </c>
      <c r="V50" t="s">
        <v>26</v>
      </c>
      <c r="W50" s="24">
        <v>43101</v>
      </c>
      <c r="X50" s="24">
        <v>43101</v>
      </c>
      <c r="Y50" t="s">
        <v>26</v>
      </c>
      <c r="Z50" s="24">
        <v>43101</v>
      </c>
      <c r="AA50" s="24">
        <v>43101</v>
      </c>
      <c r="AB50" t="s">
        <v>26</v>
      </c>
      <c r="AC50" s="24">
        <v>43101</v>
      </c>
      <c r="AD50" s="24">
        <v>43101</v>
      </c>
      <c r="AE50" t="s">
        <v>26</v>
      </c>
      <c r="AF50" s="24">
        <v>43101</v>
      </c>
      <c r="AG50" s="24">
        <v>43101</v>
      </c>
      <c r="AH50" t="s">
        <v>26</v>
      </c>
      <c r="AI50" s="24">
        <v>43101</v>
      </c>
      <c r="AJ50" s="24">
        <v>43101</v>
      </c>
      <c r="AK50" t="s">
        <v>26</v>
      </c>
      <c r="AL50" t="s">
        <v>26</v>
      </c>
      <c r="AM50" t="s">
        <v>26</v>
      </c>
      <c r="AN50" t="s">
        <v>26</v>
      </c>
      <c r="AO50" s="25" t="s">
        <v>28</v>
      </c>
      <c r="AP50" s="23" t="s">
        <v>43</v>
      </c>
      <c r="AQ50" s="23" t="s">
        <v>30</v>
      </c>
      <c r="AR50" s="23" t="s">
        <v>44</v>
      </c>
      <c r="AS50" s="25">
        <v>5262098</v>
      </c>
      <c r="AT50" t="s">
        <v>26</v>
      </c>
      <c r="AU50" t="s">
        <v>22241</v>
      </c>
    </row>
    <row r="51" spans="1:47" ht="26.25" x14ac:dyDescent="0.4">
      <c r="A51" s="23" t="s">
        <v>219</v>
      </c>
      <c r="B51" t="s">
        <v>26</v>
      </c>
      <c r="C51" s="23" t="s">
        <v>176</v>
      </c>
      <c r="D51" s="23" t="s">
        <v>22242</v>
      </c>
      <c r="E51" s="23" t="s">
        <v>60</v>
      </c>
      <c r="F51" s="25" t="s">
        <v>220</v>
      </c>
      <c r="G51" s="25" t="s">
        <v>221</v>
      </c>
      <c r="H51" t="s">
        <v>26</v>
      </c>
      <c r="I51" t="s">
        <v>26</v>
      </c>
      <c r="J51" t="s">
        <v>26</v>
      </c>
      <c r="K51" t="s">
        <v>26</v>
      </c>
      <c r="L51" s="25" t="s">
        <v>68</v>
      </c>
      <c r="M51" t="s">
        <v>26</v>
      </c>
      <c r="N51" t="s">
        <v>26</v>
      </c>
      <c r="O51" t="s">
        <v>26</v>
      </c>
      <c r="P51" t="s">
        <v>26</v>
      </c>
      <c r="Q51" t="s">
        <v>26</v>
      </c>
      <c r="R51" t="s">
        <v>26</v>
      </c>
      <c r="S51" t="s">
        <v>26</v>
      </c>
      <c r="T51" t="s">
        <v>26</v>
      </c>
      <c r="U51" t="s">
        <v>26</v>
      </c>
      <c r="V51" t="s">
        <v>26</v>
      </c>
      <c r="W51" s="24">
        <v>34700</v>
      </c>
      <c r="X51" s="24">
        <v>43739</v>
      </c>
      <c r="Y51" t="s">
        <v>26</v>
      </c>
      <c r="Z51" s="24">
        <v>34700</v>
      </c>
      <c r="AA51" s="24">
        <v>43739</v>
      </c>
      <c r="AB51" t="s">
        <v>26</v>
      </c>
      <c r="AC51" s="24">
        <v>34700</v>
      </c>
      <c r="AD51" s="24">
        <v>43739</v>
      </c>
      <c r="AE51" t="s">
        <v>26</v>
      </c>
      <c r="AF51" t="s">
        <v>26</v>
      </c>
      <c r="AG51" t="s">
        <v>26</v>
      </c>
      <c r="AH51" t="s">
        <v>26</v>
      </c>
      <c r="AI51" t="s">
        <v>26</v>
      </c>
      <c r="AJ51" t="s">
        <v>26</v>
      </c>
      <c r="AK51" t="s">
        <v>26</v>
      </c>
      <c r="AL51" t="s">
        <v>26</v>
      </c>
      <c r="AM51" t="s">
        <v>26</v>
      </c>
      <c r="AN51" t="s">
        <v>26</v>
      </c>
      <c r="AO51" s="25" t="s">
        <v>68</v>
      </c>
      <c r="AP51" s="23" t="s">
        <v>69</v>
      </c>
      <c r="AQ51" s="23" t="s">
        <v>30</v>
      </c>
      <c r="AR51" s="23" t="s">
        <v>222</v>
      </c>
      <c r="AS51" s="25">
        <v>45705</v>
      </c>
      <c r="AT51" t="s">
        <v>26</v>
      </c>
      <c r="AU51" t="s">
        <v>22243</v>
      </c>
    </row>
    <row r="52" spans="1:47" ht="39.4" x14ac:dyDescent="0.4">
      <c r="A52" s="23" t="s">
        <v>223</v>
      </c>
      <c r="B52" t="s">
        <v>26</v>
      </c>
      <c r="C52" s="23" t="s">
        <v>224</v>
      </c>
      <c r="D52" s="23" t="s">
        <v>22244</v>
      </c>
      <c r="E52" s="23" t="s">
        <v>139</v>
      </c>
      <c r="F52" s="25" t="s">
        <v>225</v>
      </c>
      <c r="G52" t="s">
        <v>26</v>
      </c>
      <c r="H52" t="s">
        <v>26</v>
      </c>
      <c r="I52" s="24">
        <v>36161</v>
      </c>
      <c r="J52" s="25" t="s">
        <v>77</v>
      </c>
      <c r="K52" t="s">
        <v>26</v>
      </c>
      <c r="L52" s="25" t="s">
        <v>68</v>
      </c>
      <c r="M52" t="s">
        <v>26</v>
      </c>
      <c r="N52" t="s">
        <v>26</v>
      </c>
      <c r="O52" t="s">
        <v>26</v>
      </c>
      <c r="P52" s="24">
        <v>36161</v>
      </c>
      <c r="Q52" s="25" t="s">
        <v>77</v>
      </c>
      <c r="R52" t="s">
        <v>26</v>
      </c>
      <c r="S52" t="s">
        <v>26</v>
      </c>
      <c r="T52" t="s">
        <v>26</v>
      </c>
      <c r="U52" t="s">
        <v>26</v>
      </c>
      <c r="V52" t="s">
        <v>26</v>
      </c>
      <c r="W52" s="24">
        <v>36161</v>
      </c>
      <c r="X52" s="25" t="s">
        <v>77</v>
      </c>
      <c r="Y52" t="s">
        <v>26</v>
      </c>
      <c r="Z52" s="24">
        <v>36161</v>
      </c>
      <c r="AA52" s="25" t="s">
        <v>77</v>
      </c>
      <c r="AB52" t="s">
        <v>26</v>
      </c>
      <c r="AC52" s="24">
        <v>36161</v>
      </c>
      <c r="AD52" s="25" t="s">
        <v>77</v>
      </c>
      <c r="AE52" t="s">
        <v>26</v>
      </c>
      <c r="AF52" t="s">
        <v>26</v>
      </c>
      <c r="AG52" t="s">
        <v>26</v>
      </c>
      <c r="AH52" t="s">
        <v>26</v>
      </c>
      <c r="AI52" t="s">
        <v>26</v>
      </c>
      <c r="AJ52" t="s">
        <v>26</v>
      </c>
      <c r="AK52" t="s">
        <v>26</v>
      </c>
      <c r="AL52" t="s">
        <v>26</v>
      </c>
      <c r="AM52" t="s">
        <v>26</v>
      </c>
      <c r="AN52" t="s">
        <v>26</v>
      </c>
      <c r="AO52" s="25" t="s">
        <v>68</v>
      </c>
      <c r="AP52" s="23" t="s">
        <v>69</v>
      </c>
      <c r="AQ52" s="23" t="s">
        <v>226</v>
      </c>
      <c r="AR52" s="23" t="s">
        <v>203</v>
      </c>
      <c r="AS52" s="25">
        <v>2032270</v>
      </c>
      <c r="AT52" t="s">
        <v>26</v>
      </c>
      <c r="AU52" t="s">
        <v>22245</v>
      </c>
    </row>
    <row r="53" spans="1:47" ht="26.25" x14ac:dyDescent="0.4">
      <c r="A53" s="23" t="s">
        <v>227</v>
      </c>
      <c r="B53" t="s">
        <v>26</v>
      </c>
      <c r="C53" s="23" t="s">
        <v>73</v>
      </c>
      <c r="D53" s="23" t="s">
        <v>22179</v>
      </c>
      <c r="E53" s="23" t="s">
        <v>74</v>
      </c>
      <c r="F53" s="25" t="s">
        <v>228</v>
      </c>
      <c r="G53" s="25" t="s">
        <v>229</v>
      </c>
      <c r="H53" t="s">
        <v>26</v>
      </c>
      <c r="I53" s="24">
        <v>36465</v>
      </c>
      <c r="J53" s="24">
        <v>38473</v>
      </c>
      <c r="K53" t="s">
        <v>26</v>
      </c>
      <c r="L53" s="25" t="s">
        <v>68</v>
      </c>
      <c r="M53" t="s">
        <v>26</v>
      </c>
      <c r="N53" t="s">
        <v>26</v>
      </c>
      <c r="O53" t="s">
        <v>26</v>
      </c>
      <c r="P53" s="24">
        <v>36465</v>
      </c>
      <c r="Q53" s="24">
        <v>38473</v>
      </c>
      <c r="R53" t="s">
        <v>26</v>
      </c>
      <c r="S53" t="s">
        <v>26</v>
      </c>
      <c r="T53" t="s">
        <v>26</v>
      </c>
      <c r="U53" t="s">
        <v>26</v>
      </c>
      <c r="V53" t="s">
        <v>26</v>
      </c>
      <c r="W53" s="24">
        <v>36465</v>
      </c>
      <c r="X53" s="24">
        <v>38473</v>
      </c>
      <c r="Y53" t="s">
        <v>26</v>
      </c>
      <c r="Z53" s="24">
        <v>36465</v>
      </c>
      <c r="AA53" s="24">
        <v>38473</v>
      </c>
      <c r="AB53" t="s">
        <v>26</v>
      </c>
      <c r="AC53" s="24">
        <v>36526</v>
      </c>
      <c r="AD53" s="24">
        <v>38473</v>
      </c>
      <c r="AE53" t="s">
        <v>26</v>
      </c>
      <c r="AF53" t="s">
        <v>26</v>
      </c>
      <c r="AG53" t="s">
        <v>26</v>
      </c>
      <c r="AH53" t="s">
        <v>26</v>
      </c>
      <c r="AI53" t="s">
        <v>26</v>
      </c>
      <c r="AJ53" t="s">
        <v>26</v>
      </c>
      <c r="AK53" t="s">
        <v>26</v>
      </c>
      <c r="AL53" t="s">
        <v>26</v>
      </c>
      <c r="AM53" t="s">
        <v>26</v>
      </c>
      <c r="AN53" t="s">
        <v>26</v>
      </c>
      <c r="AO53" s="25" t="s">
        <v>68</v>
      </c>
      <c r="AP53" s="23" t="s">
        <v>69</v>
      </c>
      <c r="AQ53" s="23" t="s">
        <v>30</v>
      </c>
      <c r="AR53" s="23" t="s">
        <v>230</v>
      </c>
      <c r="AS53" s="25">
        <v>47289</v>
      </c>
      <c r="AT53" t="s">
        <v>26</v>
      </c>
      <c r="AU53" t="s">
        <v>22246</v>
      </c>
    </row>
    <row r="54" spans="1:47" ht="26.25" x14ac:dyDescent="0.4">
      <c r="A54" s="23" t="s">
        <v>231</v>
      </c>
      <c r="B54" t="s">
        <v>26</v>
      </c>
      <c r="C54" s="23" t="s">
        <v>73</v>
      </c>
      <c r="D54" s="23" t="s">
        <v>22179</v>
      </c>
      <c r="E54" s="23" t="s">
        <v>74</v>
      </c>
      <c r="F54" s="25" t="s">
        <v>228</v>
      </c>
      <c r="G54" s="25" t="s">
        <v>229</v>
      </c>
      <c r="H54" t="s">
        <v>26</v>
      </c>
      <c r="I54" s="24">
        <v>38718</v>
      </c>
      <c r="J54" s="25" t="s">
        <v>77</v>
      </c>
      <c r="K54" t="s">
        <v>26</v>
      </c>
      <c r="L54" s="25" t="s">
        <v>68</v>
      </c>
      <c r="M54" s="24">
        <v>38718</v>
      </c>
      <c r="N54" s="24">
        <v>42856</v>
      </c>
      <c r="O54" t="s">
        <v>26</v>
      </c>
      <c r="P54" s="24">
        <v>38718</v>
      </c>
      <c r="Q54" s="25" t="s">
        <v>77</v>
      </c>
      <c r="R54" t="s">
        <v>26</v>
      </c>
      <c r="S54" t="s">
        <v>26</v>
      </c>
      <c r="T54" t="s">
        <v>26</v>
      </c>
      <c r="U54" t="s">
        <v>26</v>
      </c>
      <c r="V54" s="25">
        <v>365</v>
      </c>
      <c r="W54" s="24">
        <v>38718</v>
      </c>
      <c r="X54" s="25" t="s">
        <v>77</v>
      </c>
      <c r="Y54" t="s">
        <v>26</v>
      </c>
      <c r="Z54" s="24">
        <v>38718</v>
      </c>
      <c r="AA54" s="25" t="s">
        <v>77</v>
      </c>
      <c r="AB54" t="s">
        <v>26</v>
      </c>
      <c r="AC54" s="24">
        <v>38718</v>
      </c>
      <c r="AD54" s="25" t="s">
        <v>77</v>
      </c>
      <c r="AE54" t="s">
        <v>26</v>
      </c>
      <c r="AF54" t="s">
        <v>26</v>
      </c>
      <c r="AG54" t="s">
        <v>26</v>
      </c>
      <c r="AH54" t="s">
        <v>26</v>
      </c>
      <c r="AI54" t="s">
        <v>26</v>
      </c>
      <c r="AJ54" t="s">
        <v>26</v>
      </c>
      <c r="AK54" t="s">
        <v>26</v>
      </c>
      <c r="AL54" t="s">
        <v>26</v>
      </c>
      <c r="AM54" t="s">
        <v>26</v>
      </c>
      <c r="AN54" t="s">
        <v>26</v>
      </c>
      <c r="AO54" s="25" t="s">
        <v>68</v>
      </c>
      <c r="AP54" s="23" t="s">
        <v>69</v>
      </c>
      <c r="AQ54" s="23" t="s">
        <v>30</v>
      </c>
      <c r="AR54" s="23" t="s">
        <v>232</v>
      </c>
      <c r="AS54" s="25">
        <v>38575</v>
      </c>
      <c r="AT54" t="s">
        <v>26</v>
      </c>
      <c r="AU54" t="s">
        <v>22247</v>
      </c>
    </row>
    <row r="55" spans="1:47" ht="26.25" x14ac:dyDescent="0.4">
      <c r="A55" s="23" t="s">
        <v>233</v>
      </c>
      <c r="B55" t="s">
        <v>26</v>
      </c>
      <c r="C55" s="23" t="s">
        <v>107</v>
      </c>
      <c r="D55" s="23" t="s">
        <v>22194</v>
      </c>
      <c r="E55" s="23" t="s">
        <v>42</v>
      </c>
      <c r="F55" s="25" t="s">
        <v>234</v>
      </c>
      <c r="G55" s="25" t="s">
        <v>235</v>
      </c>
      <c r="H55" t="s">
        <v>26</v>
      </c>
      <c r="I55" s="24">
        <v>31837</v>
      </c>
      <c r="J55" s="24">
        <v>37135</v>
      </c>
      <c r="K55" t="s">
        <v>26</v>
      </c>
      <c r="L55" s="25" t="s">
        <v>68</v>
      </c>
      <c r="M55" s="24">
        <v>33664</v>
      </c>
      <c r="N55" s="24">
        <v>37135</v>
      </c>
      <c r="O55" t="s">
        <v>26</v>
      </c>
      <c r="P55" s="24">
        <v>31837</v>
      </c>
      <c r="Q55" s="24">
        <v>37135</v>
      </c>
      <c r="R55" t="s">
        <v>26</v>
      </c>
      <c r="S55" t="s">
        <v>26</v>
      </c>
      <c r="T55" t="s">
        <v>26</v>
      </c>
      <c r="U55" t="s">
        <v>26</v>
      </c>
      <c r="V55" t="s">
        <v>26</v>
      </c>
      <c r="W55" s="24">
        <v>26085</v>
      </c>
      <c r="X55" s="25" t="s">
        <v>77</v>
      </c>
      <c r="Y55" t="s">
        <v>26</v>
      </c>
      <c r="Z55" s="24">
        <v>26085</v>
      </c>
      <c r="AA55" s="25" t="s">
        <v>77</v>
      </c>
      <c r="AB55" t="s">
        <v>26</v>
      </c>
      <c r="AC55" s="24">
        <v>26085</v>
      </c>
      <c r="AD55" s="25" t="s">
        <v>77</v>
      </c>
      <c r="AE55" t="s">
        <v>26</v>
      </c>
      <c r="AF55" t="s">
        <v>26</v>
      </c>
      <c r="AG55" t="s">
        <v>26</v>
      </c>
      <c r="AH55" t="s">
        <v>26</v>
      </c>
      <c r="AI55" t="s">
        <v>26</v>
      </c>
      <c r="AJ55" t="s">
        <v>26</v>
      </c>
      <c r="AK55" t="s">
        <v>26</v>
      </c>
      <c r="AL55" t="s">
        <v>26</v>
      </c>
      <c r="AM55" t="s">
        <v>26</v>
      </c>
      <c r="AN55" t="s">
        <v>26</v>
      </c>
      <c r="AO55" s="25" t="s">
        <v>68</v>
      </c>
      <c r="AP55" s="23" t="s">
        <v>69</v>
      </c>
      <c r="AQ55" s="23" t="s">
        <v>30</v>
      </c>
      <c r="AR55" s="23" t="s">
        <v>236</v>
      </c>
      <c r="AS55" s="25">
        <v>24293</v>
      </c>
      <c r="AT55" t="s">
        <v>26</v>
      </c>
      <c r="AU55" t="s">
        <v>22248</v>
      </c>
    </row>
    <row r="56" spans="1:47" ht="26.25" x14ac:dyDescent="0.4">
      <c r="A56" s="23" t="s">
        <v>237</v>
      </c>
      <c r="B56" t="s">
        <v>26</v>
      </c>
      <c r="C56" s="23" t="s">
        <v>238</v>
      </c>
      <c r="D56" s="23" t="s">
        <v>22249</v>
      </c>
      <c r="E56" s="23" t="s">
        <v>42</v>
      </c>
      <c r="F56" s="25" t="s">
        <v>239</v>
      </c>
      <c r="G56" t="s">
        <v>26</v>
      </c>
      <c r="H56" t="s">
        <v>26</v>
      </c>
      <c r="I56" s="24">
        <v>32234</v>
      </c>
      <c r="J56" s="24">
        <v>40148</v>
      </c>
      <c r="K56" t="s">
        <v>26</v>
      </c>
      <c r="L56" s="25" t="s">
        <v>68</v>
      </c>
      <c r="M56" s="24">
        <v>34425</v>
      </c>
      <c r="N56" s="24">
        <v>40148</v>
      </c>
      <c r="O56" t="s">
        <v>26</v>
      </c>
      <c r="P56" s="24">
        <v>32234</v>
      </c>
      <c r="Q56" s="24">
        <v>40148</v>
      </c>
      <c r="R56" t="s">
        <v>26</v>
      </c>
      <c r="S56" t="s">
        <v>26</v>
      </c>
      <c r="T56" t="s">
        <v>26</v>
      </c>
      <c r="U56" t="s">
        <v>26</v>
      </c>
      <c r="V56" t="s">
        <v>26</v>
      </c>
      <c r="W56" s="24">
        <v>31503</v>
      </c>
      <c r="X56" s="24">
        <v>40148</v>
      </c>
      <c r="Y56" t="s">
        <v>26</v>
      </c>
      <c r="Z56" s="24">
        <v>31503</v>
      </c>
      <c r="AA56" s="24">
        <v>40148</v>
      </c>
      <c r="AB56" t="s">
        <v>26</v>
      </c>
      <c r="AC56" s="24">
        <v>31503</v>
      </c>
      <c r="AD56" s="24">
        <v>40148</v>
      </c>
      <c r="AE56" t="s">
        <v>26</v>
      </c>
      <c r="AF56" t="s">
        <v>26</v>
      </c>
      <c r="AG56" t="s">
        <v>26</v>
      </c>
      <c r="AH56" t="s">
        <v>26</v>
      </c>
      <c r="AI56" t="s">
        <v>26</v>
      </c>
      <c r="AJ56" t="s">
        <v>26</v>
      </c>
      <c r="AK56" t="s">
        <v>26</v>
      </c>
      <c r="AL56" t="s">
        <v>26</v>
      </c>
      <c r="AM56" t="s">
        <v>26</v>
      </c>
      <c r="AN56" t="s">
        <v>26</v>
      </c>
      <c r="AO56" s="25" t="s">
        <v>68</v>
      </c>
      <c r="AP56" s="23" t="s">
        <v>69</v>
      </c>
      <c r="AQ56" s="23" t="s">
        <v>30</v>
      </c>
      <c r="AR56" s="23" t="s">
        <v>240</v>
      </c>
      <c r="AS56" s="25">
        <v>41539</v>
      </c>
      <c r="AT56" t="s">
        <v>26</v>
      </c>
      <c r="AU56" t="s">
        <v>22250</v>
      </c>
    </row>
    <row r="57" spans="1:47" ht="26.25" x14ac:dyDescent="0.4">
      <c r="A57" s="23" t="s">
        <v>241</v>
      </c>
      <c r="B57" t="s">
        <v>26</v>
      </c>
      <c r="C57" s="23" t="s">
        <v>242</v>
      </c>
      <c r="D57" s="23" t="s">
        <v>22251</v>
      </c>
      <c r="E57" s="23" t="s">
        <v>42</v>
      </c>
      <c r="F57" s="25" t="s">
        <v>243</v>
      </c>
      <c r="G57" t="s">
        <v>26</v>
      </c>
      <c r="H57" t="s">
        <v>26</v>
      </c>
      <c r="I57" s="24">
        <v>35796</v>
      </c>
      <c r="J57" s="24">
        <v>39448</v>
      </c>
      <c r="K57" t="s">
        <v>26</v>
      </c>
      <c r="L57" s="25" t="s">
        <v>68</v>
      </c>
      <c r="M57" s="24">
        <v>35796</v>
      </c>
      <c r="N57" s="24">
        <v>39448</v>
      </c>
      <c r="O57" t="s">
        <v>26</v>
      </c>
      <c r="P57" s="24">
        <v>35796</v>
      </c>
      <c r="Q57" s="24">
        <v>39448</v>
      </c>
      <c r="R57" t="s">
        <v>26</v>
      </c>
      <c r="S57" t="s">
        <v>26</v>
      </c>
      <c r="T57" t="s">
        <v>26</v>
      </c>
      <c r="U57" t="s">
        <v>26</v>
      </c>
      <c r="V57" t="s">
        <v>26</v>
      </c>
      <c r="W57" s="24">
        <v>35796</v>
      </c>
      <c r="X57" s="24">
        <v>39448</v>
      </c>
      <c r="Y57" t="s">
        <v>26</v>
      </c>
      <c r="Z57" s="24">
        <v>35796</v>
      </c>
      <c r="AA57" s="24">
        <v>39448</v>
      </c>
      <c r="AB57" t="s">
        <v>26</v>
      </c>
      <c r="AC57" t="s">
        <v>26</v>
      </c>
      <c r="AD57" t="s">
        <v>26</v>
      </c>
      <c r="AE57" t="s">
        <v>26</v>
      </c>
      <c r="AF57" t="s">
        <v>26</v>
      </c>
      <c r="AG57" t="s">
        <v>26</v>
      </c>
      <c r="AH57" t="s">
        <v>26</v>
      </c>
      <c r="AI57" t="s">
        <v>26</v>
      </c>
      <c r="AJ57" t="s">
        <v>26</v>
      </c>
      <c r="AK57" t="s">
        <v>26</v>
      </c>
      <c r="AL57" t="s">
        <v>26</v>
      </c>
      <c r="AM57" t="s">
        <v>26</v>
      </c>
      <c r="AN57" t="s">
        <v>26</v>
      </c>
      <c r="AO57" s="25" t="s">
        <v>68</v>
      </c>
      <c r="AP57" s="23" t="s">
        <v>69</v>
      </c>
      <c r="AQ57" s="23" t="s">
        <v>30</v>
      </c>
      <c r="AR57" s="23" t="s">
        <v>70</v>
      </c>
      <c r="AS57" s="25">
        <v>48299</v>
      </c>
      <c r="AT57" t="s">
        <v>26</v>
      </c>
      <c r="AU57" t="s">
        <v>22252</v>
      </c>
    </row>
    <row r="58" spans="1:47" ht="13.15" x14ac:dyDescent="0.4">
      <c r="A58" s="23" t="s">
        <v>244</v>
      </c>
      <c r="B58" t="s">
        <v>26</v>
      </c>
      <c r="C58" s="23" t="s">
        <v>146</v>
      </c>
      <c r="D58" s="23" t="s">
        <v>22174</v>
      </c>
      <c r="E58" s="23" t="s">
        <v>60</v>
      </c>
      <c r="F58" t="s">
        <v>26</v>
      </c>
      <c r="G58" t="s">
        <v>26</v>
      </c>
      <c r="H58" t="s">
        <v>26</v>
      </c>
      <c r="I58" t="s">
        <v>26</v>
      </c>
      <c r="J58" t="s">
        <v>26</v>
      </c>
      <c r="K58" t="s">
        <v>26</v>
      </c>
      <c r="L58" s="25" t="s">
        <v>28</v>
      </c>
      <c r="M58" t="s">
        <v>26</v>
      </c>
      <c r="N58" t="s">
        <v>26</v>
      </c>
      <c r="O58" t="s">
        <v>26</v>
      </c>
      <c r="P58" t="s">
        <v>26</v>
      </c>
      <c r="Q58" t="s">
        <v>26</v>
      </c>
      <c r="R58" t="s">
        <v>26</v>
      </c>
      <c r="S58" t="s">
        <v>26</v>
      </c>
      <c r="T58" t="s">
        <v>26</v>
      </c>
      <c r="U58" t="s">
        <v>26</v>
      </c>
      <c r="V58" t="s">
        <v>26</v>
      </c>
      <c r="W58" s="24">
        <v>42370</v>
      </c>
      <c r="X58" s="24">
        <v>42370</v>
      </c>
      <c r="Y58" t="s">
        <v>26</v>
      </c>
      <c r="Z58" s="24">
        <v>42370</v>
      </c>
      <c r="AA58" s="24">
        <v>42370</v>
      </c>
      <c r="AB58" t="s">
        <v>26</v>
      </c>
      <c r="AC58" t="s">
        <v>26</v>
      </c>
      <c r="AD58" t="s">
        <v>26</v>
      </c>
      <c r="AE58" t="s">
        <v>26</v>
      </c>
      <c r="AF58" t="s">
        <v>26</v>
      </c>
      <c r="AG58" t="s">
        <v>26</v>
      </c>
      <c r="AH58" t="s">
        <v>26</v>
      </c>
      <c r="AI58" t="s">
        <v>26</v>
      </c>
      <c r="AJ58" t="s">
        <v>26</v>
      </c>
      <c r="AK58" t="s">
        <v>26</v>
      </c>
      <c r="AL58" t="s">
        <v>26</v>
      </c>
      <c r="AM58" t="s">
        <v>26</v>
      </c>
      <c r="AN58" t="s">
        <v>26</v>
      </c>
      <c r="AO58" s="25" t="s">
        <v>28</v>
      </c>
      <c r="AP58" s="23" t="s">
        <v>29</v>
      </c>
      <c r="AQ58" s="23" t="s">
        <v>30</v>
      </c>
      <c r="AR58" s="23" t="s">
        <v>245</v>
      </c>
      <c r="AS58" s="25">
        <v>5483588</v>
      </c>
      <c r="AT58" s="23" t="s">
        <v>22181</v>
      </c>
      <c r="AU58" t="s">
        <v>22253</v>
      </c>
    </row>
    <row r="59" spans="1:47" ht="26.25" x14ac:dyDescent="0.4">
      <c r="A59" s="23" t="s">
        <v>246</v>
      </c>
      <c r="B59" t="s">
        <v>26</v>
      </c>
      <c r="C59" s="23" t="s">
        <v>107</v>
      </c>
      <c r="D59" s="23" t="s">
        <v>22254</v>
      </c>
      <c r="E59" s="23" t="s">
        <v>42</v>
      </c>
      <c r="F59" s="25" t="s">
        <v>247</v>
      </c>
      <c r="G59" s="25" t="s">
        <v>248</v>
      </c>
      <c r="H59" t="s">
        <v>26</v>
      </c>
      <c r="I59" t="s">
        <v>26</v>
      </c>
      <c r="J59" t="s">
        <v>26</v>
      </c>
      <c r="K59" t="s">
        <v>26</v>
      </c>
      <c r="L59" s="25" t="s">
        <v>68</v>
      </c>
      <c r="M59" t="s">
        <v>26</v>
      </c>
      <c r="N59" t="s">
        <v>26</v>
      </c>
      <c r="O59" t="s">
        <v>26</v>
      </c>
      <c r="P59" t="s">
        <v>26</v>
      </c>
      <c r="Q59" t="s">
        <v>26</v>
      </c>
      <c r="R59" t="s">
        <v>26</v>
      </c>
      <c r="S59" t="s">
        <v>26</v>
      </c>
      <c r="T59" t="s">
        <v>26</v>
      </c>
      <c r="U59" t="s">
        <v>26</v>
      </c>
      <c r="V59" t="s">
        <v>26</v>
      </c>
      <c r="W59" s="24">
        <v>35431</v>
      </c>
      <c r="X59" s="24">
        <v>38749</v>
      </c>
      <c r="Y59" t="s">
        <v>26</v>
      </c>
      <c r="Z59" s="24">
        <v>35431</v>
      </c>
      <c r="AA59" s="24">
        <v>38749</v>
      </c>
      <c r="AB59" t="s">
        <v>26</v>
      </c>
      <c r="AC59" s="24">
        <v>37104</v>
      </c>
      <c r="AD59" s="24">
        <v>38749</v>
      </c>
      <c r="AE59" t="s">
        <v>26</v>
      </c>
      <c r="AF59" t="s">
        <v>26</v>
      </c>
      <c r="AG59" t="s">
        <v>26</v>
      </c>
      <c r="AH59" t="s">
        <v>26</v>
      </c>
      <c r="AI59" t="s">
        <v>26</v>
      </c>
      <c r="AJ59" t="s">
        <v>26</v>
      </c>
      <c r="AK59" t="s">
        <v>26</v>
      </c>
      <c r="AL59" t="s">
        <v>26</v>
      </c>
      <c r="AM59" t="s">
        <v>26</v>
      </c>
      <c r="AN59" t="s">
        <v>26</v>
      </c>
      <c r="AO59" s="25" t="s">
        <v>68</v>
      </c>
      <c r="AP59" s="23" t="s">
        <v>69</v>
      </c>
      <c r="AQ59" s="23" t="s">
        <v>30</v>
      </c>
      <c r="AR59" s="23" t="s">
        <v>249</v>
      </c>
      <c r="AS59" s="25">
        <v>277</v>
      </c>
      <c r="AT59" t="s">
        <v>26</v>
      </c>
      <c r="AU59" t="s">
        <v>22255</v>
      </c>
    </row>
    <row r="60" spans="1:47" ht="26.25" x14ac:dyDescent="0.4">
      <c r="A60" s="23" t="s">
        <v>250</v>
      </c>
      <c r="B60" t="s">
        <v>26</v>
      </c>
      <c r="C60" s="23" t="s">
        <v>172</v>
      </c>
      <c r="D60" s="23" t="s">
        <v>22256</v>
      </c>
      <c r="E60" s="23" t="s">
        <v>60</v>
      </c>
      <c r="F60" s="25" t="s">
        <v>251</v>
      </c>
      <c r="G60" s="25" t="s">
        <v>252</v>
      </c>
      <c r="H60" t="s">
        <v>26</v>
      </c>
      <c r="I60" s="24">
        <v>39722</v>
      </c>
      <c r="J60" s="24">
        <v>41548</v>
      </c>
      <c r="K60" t="s">
        <v>26</v>
      </c>
      <c r="L60" s="25" t="s">
        <v>68</v>
      </c>
      <c r="M60" s="24">
        <v>39722</v>
      </c>
      <c r="N60" s="24">
        <v>41548</v>
      </c>
      <c r="O60" t="s">
        <v>26</v>
      </c>
      <c r="P60" s="24">
        <v>39722</v>
      </c>
      <c r="Q60" s="24">
        <v>41548</v>
      </c>
      <c r="R60" t="s">
        <v>26</v>
      </c>
      <c r="S60" t="s">
        <v>26</v>
      </c>
      <c r="T60" t="s">
        <v>26</v>
      </c>
      <c r="U60" t="s">
        <v>26</v>
      </c>
      <c r="V60" t="s">
        <v>26</v>
      </c>
      <c r="W60" s="24">
        <v>39722</v>
      </c>
      <c r="X60" s="24">
        <v>41548</v>
      </c>
      <c r="Y60" t="s">
        <v>26</v>
      </c>
      <c r="Z60" s="24">
        <v>39722</v>
      </c>
      <c r="AA60" s="24">
        <v>41548</v>
      </c>
      <c r="AB60" t="s">
        <v>26</v>
      </c>
      <c r="AC60" t="s">
        <v>26</v>
      </c>
      <c r="AD60" t="s">
        <v>26</v>
      </c>
      <c r="AE60" t="s">
        <v>26</v>
      </c>
      <c r="AF60" t="s">
        <v>26</v>
      </c>
      <c r="AG60" t="s">
        <v>26</v>
      </c>
      <c r="AH60" t="s">
        <v>26</v>
      </c>
      <c r="AI60" t="s">
        <v>26</v>
      </c>
      <c r="AJ60" t="s">
        <v>26</v>
      </c>
      <c r="AK60" t="s">
        <v>26</v>
      </c>
      <c r="AL60" t="s">
        <v>26</v>
      </c>
      <c r="AM60" t="s">
        <v>26</v>
      </c>
      <c r="AN60" t="s">
        <v>26</v>
      </c>
      <c r="AO60" s="25" t="s">
        <v>28</v>
      </c>
      <c r="AP60" s="23" t="s">
        <v>69</v>
      </c>
      <c r="AQ60" s="23" t="s">
        <v>30</v>
      </c>
      <c r="AR60" s="23" t="s">
        <v>253</v>
      </c>
      <c r="AS60" s="25">
        <v>45903</v>
      </c>
      <c r="AT60" t="s">
        <v>26</v>
      </c>
      <c r="AU60" t="s">
        <v>22257</v>
      </c>
    </row>
    <row r="61" spans="1:47" ht="26.25" x14ac:dyDescent="0.4">
      <c r="A61" s="23" t="s">
        <v>254</v>
      </c>
      <c r="B61" t="s">
        <v>26</v>
      </c>
      <c r="C61" s="23" t="s">
        <v>255</v>
      </c>
      <c r="D61" s="23" t="s">
        <v>22258</v>
      </c>
      <c r="E61" s="23" t="s">
        <v>42</v>
      </c>
      <c r="F61" s="25" t="s">
        <v>256</v>
      </c>
      <c r="G61" t="s">
        <v>26</v>
      </c>
      <c r="H61" t="s">
        <v>26</v>
      </c>
      <c r="I61" s="24">
        <v>38718</v>
      </c>
      <c r="J61" s="24">
        <v>42370</v>
      </c>
      <c r="K61" t="s">
        <v>26</v>
      </c>
      <c r="L61" s="25" t="s">
        <v>68</v>
      </c>
      <c r="M61" s="24">
        <v>38718</v>
      </c>
      <c r="N61" s="24">
        <v>42370</v>
      </c>
      <c r="O61" t="s">
        <v>26</v>
      </c>
      <c r="P61" s="24">
        <v>38718</v>
      </c>
      <c r="Q61" s="24">
        <v>42370</v>
      </c>
      <c r="R61" t="s">
        <v>26</v>
      </c>
      <c r="S61" t="s">
        <v>26</v>
      </c>
      <c r="T61" t="s">
        <v>26</v>
      </c>
      <c r="U61" t="s">
        <v>26</v>
      </c>
      <c r="V61" t="s">
        <v>26</v>
      </c>
      <c r="W61" s="24">
        <v>38718</v>
      </c>
      <c r="X61" s="24">
        <v>42370</v>
      </c>
      <c r="Y61" t="s">
        <v>26</v>
      </c>
      <c r="Z61" s="24">
        <v>38718</v>
      </c>
      <c r="AA61" s="24">
        <v>42370</v>
      </c>
      <c r="AB61" t="s">
        <v>26</v>
      </c>
      <c r="AC61" s="24">
        <v>38718</v>
      </c>
      <c r="AD61" s="24">
        <v>42370</v>
      </c>
      <c r="AE61" t="s">
        <v>26</v>
      </c>
      <c r="AF61" t="s">
        <v>26</v>
      </c>
      <c r="AG61" t="s">
        <v>26</v>
      </c>
      <c r="AH61" t="s">
        <v>26</v>
      </c>
      <c r="AI61" t="s">
        <v>26</v>
      </c>
      <c r="AJ61" t="s">
        <v>26</v>
      </c>
      <c r="AK61" t="s">
        <v>26</v>
      </c>
      <c r="AL61" t="s">
        <v>26</v>
      </c>
      <c r="AM61" t="s">
        <v>26</v>
      </c>
      <c r="AN61" t="s">
        <v>26</v>
      </c>
      <c r="AO61" s="25" t="s">
        <v>68</v>
      </c>
      <c r="AP61" s="23" t="s">
        <v>69</v>
      </c>
      <c r="AQ61" s="23" t="s">
        <v>30</v>
      </c>
      <c r="AR61" s="23" t="s">
        <v>257</v>
      </c>
      <c r="AS61" s="25">
        <v>28640</v>
      </c>
      <c r="AT61" t="s">
        <v>26</v>
      </c>
      <c r="AU61" t="s">
        <v>22259</v>
      </c>
    </row>
    <row r="62" spans="1:47" ht="26.25" x14ac:dyDescent="0.4">
      <c r="A62" s="23" t="s">
        <v>258</v>
      </c>
      <c r="B62" t="s">
        <v>26</v>
      </c>
      <c r="C62" s="23" t="s">
        <v>259</v>
      </c>
      <c r="D62" s="23" t="s">
        <v>22179</v>
      </c>
      <c r="E62" s="23" t="s">
        <v>60</v>
      </c>
      <c r="F62" s="25" t="s">
        <v>260</v>
      </c>
      <c r="G62" s="25" t="s">
        <v>261</v>
      </c>
      <c r="H62" t="s">
        <v>26</v>
      </c>
      <c r="I62" s="24">
        <v>39814</v>
      </c>
      <c r="J62" s="24">
        <v>42370</v>
      </c>
      <c r="K62" s="25" t="s">
        <v>262</v>
      </c>
      <c r="L62" s="25" t="s">
        <v>68</v>
      </c>
      <c r="M62" s="24">
        <v>39814</v>
      </c>
      <c r="N62" s="24">
        <v>42370</v>
      </c>
      <c r="O62" s="25" t="s">
        <v>262</v>
      </c>
      <c r="P62" s="24">
        <v>39814</v>
      </c>
      <c r="Q62" s="24">
        <v>42370</v>
      </c>
      <c r="R62" s="25" t="s">
        <v>262</v>
      </c>
      <c r="S62" t="s">
        <v>26</v>
      </c>
      <c r="T62" t="s">
        <v>26</v>
      </c>
      <c r="U62" t="s">
        <v>26</v>
      </c>
      <c r="V62" t="s">
        <v>26</v>
      </c>
      <c r="W62" s="24">
        <v>39814</v>
      </c>
      <c r="X62" s="24">
        <v>42370</v>
      </c>
      <c r="Y62" s="25" t="s">
        <v>262</v>
      </c>
      <c r="Z62" s="24">
        <v>39814</v>
      </c>
      <c r="AA62" s="24">
        <v>42370</v>
      </c>
      <c r="AB62" s="25" t="s">
        <v>262</v>
      </c>
      <c r="AC62" s="24">
        <v>39814</v>
      </c>
      <c r="AD62" s="24">
        <v>42370</v>
      </c>
      <c r="AE62" s="25" t="s">
        <v>262</v>
      </c>
      <c r="AF62" t="s">
        <v>26</v>
      </c>
      <c r="AG62" t="s">
        <v>26</v>
      </c>
      <c r="AH62" t="s">
        <v>26</v>
      </c>
      <c r="AI62" t="s">
        <v>26</v>
      </c>
      <c r="AJ62" t="s">
        <v>26</v>
      </c>
      <c r="AK62" t="s">
        <v>26</v>
      </c>
      <c r="AL62" t="s">
        <v>26</v>
      </c>
      <c r="AM62" t="s">
        <v>26</v>
      </c>
      <c r="AN62" t="s">
        <v>26</v>
      </c>
      <c r="AO62" s="25" t="s">
        <v>68</v>
      </c>
      <c r="AP62" s="23" t="s">
        <v>69</v>
      </c>
      <c r="AQ62" s="23" t="s">
        <v>30</v>
      </c>
      <c r="AR62" s="23" t="s">
        <v>78</v>
      </c>
      <c r="AS62" s="25">
        <v>237360</v>
      </c>
      <c r="AT62" t="s">
        <v>26</v>
      </c>
      <c r="AU62" t="s">
        <v>22260</v>
      </c>
    </row>
    <row r="63" spans="1:47" ht="26.25" x14ac:dyDescent="0.4">
      <c r="A63" s="23" t="s">
        <v>263</v>
      </c>
      <c r="B63" t="s">
        <v>26</v>
      </c>
      <c r="C63" s="23" t="s">
        <v>264</v>
      </c>
      <c r="D63" s="23" t="s">
        <v>22261</v>
      </c>
      <c r="E63" s="23" t="s">
        <v>60</v>
      </c>
      <c r="F63" s="25" t="s">
        <v>265</v>
      </c>
      <c r="G63" t="s">
        <v>26</v>
      </c>
      <c r="H63" t="s">
        <v>26</v>
      </c>
      <c r="I63" s="24">
        <v>42005</v>
      </c>
      <c r="J63" s="25" t="s">
        <v>77</v>
      </c>
      <c r="K63" t="s">
        <v>26</v>
      </c>
      <c r="L63" s="25" t="s">
        <v>68</v>
      </c>
      <c r="M63" s="24">
        <v>42005</v>
      </c>
      <c r="N63" s="25" t="s">
        <v>77</v>
      </c>
      <c r="O63" t="s">
        <v>26</v>
      </c>
      <c r="P63" s="24">
        <v>42005</v>
      </c>
      <c r="Q63" s="25" t="s">
        <v>77</v>
      </c>
      <c r="R63" t="s">
        <v>26</v>
      </c>
      <c r="S63" t="s">
        <v>26</v>
      </c>
      <c r="T63" t="s">
        <v>26</v>
      </c>
      <c r="U63" t="s">
        <v>26</v>
      </c>
      <c r="V63" s="25">
        <v>365</v>
      </c>
      <c r="W63" s="24">
        <v>42005</v>
      </c>
      <c r="X63" s="25" t="s">
        <v>77</v>
      </c>
      <c r="Y63" t="s">
        <v>26</v>
      </c>
      <c r="Z63" s="24">
        <v>42005</v>
      </c>
      <c r="AA63" s="25" t="s">
        <v>77</v>
      </c>
      <c r="AB63" t="s">
        <v>26</v>
      </c>
      <c r="AC63" s="24">
        <v>42005</v>
      </c>
      <c r="AD63" s="25" t="s">
        <v>77</v>
      </c>
      <c r="AE63" t="s">
        <v>26</v>
      </c>
      <c r="AF63" t="s">
        <v>26</v>
      </c>
      <c r="AG63" t="s">
        <v>26</v>
      </c>
      <c r="AH63" t="s">
        <v>26</v>
      </c>
      <c r="AI63" t="s">
        <v>26</v>
      </c>
      <c r="AJ63" t="s">
        <v>26</v>
      </c>
      <c r="AK63" t="s">
        <v>26</v>
      </c>
      <c r="AL63" t="s">
        <v>26</v>
      </c>
      <c r="AM63" t="s">
        <v>26</v>
      </c>
      <c r="AN63" t="s">
        <v>26</v>
      </c>
      <c r="AO63" s="25" t="s">
        <v>68</v>
      </c>
      <c r="AP63" s="23" t="s">
        <v>69</v>
      </c>
      <c r="AQ63" s="23" t="s">
        <v>30</v>
      </c>
      <c r="AR63" s="23" t="s">
        <v>70</v>
      </c>
      <c r="AS63" s="25">
        <v>2050554</v>
      </c>
      <c r="AT63" t="s">
        <v>26</v>
      </c>
      <c r="AU63" t="s">
        <v>22262</v>
      </c>
    </row>
    <row r="64" spans="1:47" ht="26.25" x14ac:dyDescent="0.4">
      <c r="A64" s="23" t="s">
        <v>266</v>
      </c>
      <c r="B64" t="s">
        <v>26</v>
      </c>
      <c r="C64" s="23" t="s">
        <v>267</v>
      </c>
      <c r="D64" s="23" t="s">
        <v>22263</v>
      </c>
      <c r="E64" s="23" t="s">
        <v>42</v>
      </c>
      <c r="F64" t="s">
        <v>26</v>
      </c>
      <c r="G64" s="25" t="s">
        <v>268</v>
      </c>
      <c r="H64" t="s">
        <v>26</v>
      </c>
      <c r="I64" s="24">
        <v>38353</v>
      </c>
      <c r="J64" s="25" t="s">
        <v>77</v>
      </c>
      <c r="K64" t="s">
        <v>26</v>
      </c>
      <c r="L64" s="25" t="s">
        <v>68</v>
      </c>
      <c r="M64" t="s">
        <v>26</v>
      </c>
      <c r="N64" t="s">
        <v>26</v>
      </c>
      <c r="O64" t="s">
        <v>26</v>
      </c>
      <c r="P64" s="24">
        <v>38353</v>
      </c>
      <c r="Q64" s="25" t="s">
        <v>77</v>
      </c>
      <c r="R64" t="s">
        <v>26</v>
      </c>
      <c r="S64" t="s">
        <v>26</v>
      </c>
      <c r="T64" t="s">
        <v>26</v>
      </c>
      <c r="U64" t="s">
        <v>26</v>
      </c>
      <c r="V64" t="s">
        <v>26</v>
      </c>
      <c r="W64" s="24">
        <v>38353</v>
      </c>
      <c r="X64" s="25" t="s">
        <v>77</v>
      </c>
      <c r="Y64" t="s">
        <v>26</v>
      </c>
      <c r="Z64" s="24">
        <v>38353</v>
      </c>
      <c r="AA64" s="25" t="s">
        <v>77</v>
      </c>
      <c r="AB64" t="s">
        <v>26</v>
      </c>
      <c r="AC64" s="24">
        <v>38353</v>
      </c>
      <c r="AD64" s="25" t="s">
        <v>77</v>
      </c>
      <c r="AE64" t="s">
        <v>26</v>
      </c>
      <c r="AF64" t="s">
        <v>26</v>
      </c>
      <c r="AG64" t="s">
        <v>26</v>
      </c>
      <c r="AH64" t="s">
        <v>26</v>
      </c>
      <c r="AI64" t="s">
        <v>26</v>
      </c>
      <c r="AJ64" t="s">
        <v>26</v>
      </c>
      <c r="AK64" t="s">
        <v>26</v>
      </c>
      <c r="AL64" t="s">
        <v>26</v>
      </c>
      <c r="AM64" t="s">
        <v>26</v>
      </c>
      <c r="AN64" t="s">
        <v>26</v>
      </c>
      <c r="AO64" s="25" t="s">
        <v>68</v>
      </c>
      <c r="AP64" s="23" t="s">
        <v>69</v>
      </c>
      <c r="AQ64" s="23" t="s">
        <v>30</v>
      </c>
      <c r="AR64" s="23" t="s">
        <v>46</v>
      </c>
      <c r="AS64" s="25">
        <v>4661186</v>
      </c>
      <c r="AT64" t="s">
        <v>26</v>
      </c>
      <c r="AU64" t="s">
        <v>22264</v>
      </c>
    </row>
    <row r="65" spans="1:47" ht="39.4" x14ac:dyDescent="0.4">
      <c r="A65" s="23" t="s">
        <v>269</v>
      </c>
      <c r="B65" t="s">
        <v>26</v>
      </c>
      <c r="C65" s="23" t="s">
        <v>270</v>
      </c>
      <c r="D65" s="23" t="s">
        <v>22265</v>
      </c>
      <c r="E65" s="23" t="s">
        <v>42</v>
      </c>
      <c r="F65" s="25" t="s">
        <v>271</v>
      </c>
      <c r="G65" t="s">
        <v>26</v>
      </c>
      <c r="H65" t="s">
        <v>26</v>
      </c>
      <c r="I65" t="s">
        <v>26</v>
      </c>
      <c r="J65" t="s">
        <v>26</v>
      </c>
      <c r="K65" t="s">
        <v>26</v>
      </c>
      <c r="L65" s="25" t="s">
        <v>28</v>
      </c>
      <c r="M65" t="s">
        <v>26</v>
      </c>
      <c r="N65" t="s">
        <v>26</v>
      </c>
      <c r="O65" t="s">
        <v>26</v>
      </c>
      <c r="P65" t="s">
        <v>26</v>
      </c>
      <c r="Q65" t="s">
        <v>26</v>
      </c>
      <c r="R65" t="s">
        <v>26</v>
      </c>
      <c r="S65" t="s">
        <v>26</v>
      </c>
      <c r="T65" t="s">
        <v>26</v>
      </c>
      <c r="U65" t="s">
        <v>26</v>
      </c>
      <c r="V65" t="s">
        <v>26</v>
      </c>
      <c r="W65" s="24">
        <v>37257</v>
      </c>
      <c r="X65" s="25" t="s">
        <v>77</v>
      </c>
      <c r="Y65" t="s">
        <v>26</v>
      </c>
      <c r="Z65" s="24">
        <v>37257</v>
      </c>
      <c r="AA65" s="25" t="s">
        <v>77</v>
      </c>
      <c r="AB65" t="s">
        <v>26</v>
      </c>
      <c r="AC65" s="24">
        <v>37257</v>
      </c>
      <c r="AD65" s="25" t="s">
        <v>77</v>
      </c>
      <c r="AE65" t="s">
        <v>26</v>
      </c>
      <c r="AF65" t="s">
        <v>26</v>
      </c>
      <c r="AG65" t="s">
        <v>26</v>
      </c>
      <c r="AH65" t="s">
        <v>26</v>
      </c>
      <c r="AI65" t="s">
        <v>26</v>
      </c>
      <c r="AJ65" t="s">
        <v>26</v>
      </c>
      <c r="AK65" t="s">
        <v>26</v>
      </c>
      <c r="AL65" t="s">
        <v>26</v>
      </c>
      <c r="AM65" t="s">
        <v>26</v>
      </c>
      <c r="AN65" t="s">
        <v>26</v>
      </c>
      <c r="AO65" s="25" t="s">
        <v>28</v>
      </c>
      <c r="AP65" s="23" t="s">
        <v>272</v>
      </c>
      <c r="AQ65" s="23" t="s">
        <v>30</v>
      </c>
      <c r="AR65" s="23" t="s">
        <v>273</v>
      </c>
      <c r="AS65" s="25">
        <v>30304</v>
      </c>
      <c r="AT65" t="s">
        <v>26</v>
      </c>
      <c r="AU65" t="s">
        <v>22266</v>
      </c>
    </row>
    <row r="66" spans="1:47" ht="26.25" x14ac:dyDescent="0.4">
      <c r="A66" s="23" t="s">
        <v>274</v>
      </c>
      <c r="B66" t="s">
        <v>26</v>
      </c>
      <c r="C66" s="23" t="s">
        <v>264</v>
      </c>
      <c r="D66" s="23" t="s">
        <v>22267</v>
      </c>
      <c r="E66" s="23" t="s">
        <v>60</v>
      </c>
      <c r="F66" s="25" t="s">
        <v>275</v>
      </c>
      <c r="G66" s="25" t="s">
        <v>276</v>
      </c>
      <c r="H66" t="s">
        <v>26</v>
      </c>
      <c r="I66" s="24">
        <v>39448</v>
      </c>
      <c r="J66" s="25" t="s">
        <v>77</v>
      </c>
      <c r="K66" t="s">
        <v>26</v>
      </c>
      <c r="L66" s="25" t="s">
        <v>68</v>
      </c>
      <c r="M66" s="24">
        <v>40544</v>
      </c>
      <c r="N66" s="25" t="s">
        <v>77</v>
      </c>
      <c r="O66" t="s">
        <v>26</v>
      </c>
      <c r="P66" s="24">
        <v>39448</v>
      </c>
      <c r="Q66" s="25" t="s">
        <v>77</v>
      </c>
      <c r="R66" t="s">
        <v>26</v>
      </c>
      <c r="S66" t="s">
        <v>26</v>
      </c>
      <c r="T66" t="s">
        <v>26</v>
      </c>
      <c r="U66" t="s">
        <v>26</v>
      </c>
      <c r="V66" s="25">
        <v>365</v>
      </c>
      <c r="W66" s="24">
        <v>39448</v>
      </c>
      <c r="X66" s="25" t="s">
        <v>77</v>
      </c>
      <c r="Y66" t="s">
        <v>26</v>
      </c>
      <c r="Z66" s="24">
        <v>39448</v>
      </c>
      <c r="AA66" s="25" t="s">
        <v>77</v>
      </c>
      <c r="AB66" t="s">
        <v>26</v>
      </c>
      <c r="AC66" s="24">
        <v>39448</v>
      </c>
      <c r="AD66" s="25" t="s">
        <v>77</v>
      </c>
      <c r="AE66" t="s">
        <v>26</v>
      </c>
      <c r="AF66" t="s">
        <v>26</v>
      </c>
      <c r="AG66" t="s">
        <v>26</v>
      </c>
      <c r="AH66" t="s">
        <v>26</v>
      </c>
      <c r="AI66" t="s">
        <v>26</v>
      </c>
      <c r="AJ66" t="s">
        <v>26</v>
      </c>
      <c r="AK66" t="s">
        <v>26</v>
      </c>
      <c r="AL66" t="s">
        <v>26</v>
      </c>
      <c r="AM66" t="s">
        <v>26</v>
      </c>
      <c r="AN66" t="s">
        <v>26</v>
      </c>
      <c r="AO66" s="25" t="s">
        <v>68</v>
      </c>
      <c r="AP66" s="23" t="s">
        <v>69</v>
      </c>
      <c r="AQ66" s="23" t="s">
        <v>30</v>
      </c>
      <c r="AR66" s="23" t="s">
        <v>277</v>
      </c>
      <c r="AS66" s="25">
        <v>1046394</v>
      </c>
      <c r="AT66" t="s">
        <v>26</v>
      </c>
      <c r="AU66" t="s">
        <v>22268</v>
      </c>
    </row>
    <row r="67" spans="1:47" ht="13.15" x14ac:dyDescent="0.4">
      <c r="A67" s="23" t="s">
        <v>22269</v>
      </c>
      <c r="B67" t="s">
        <v>26</v>
      </c>
      <c r="C67" s="23" t="s">
        <v>264</v>
      </c>
      <c r="D67" s="23" t="s">
        <v>22261</v>
      </c>
      <c r="E67" s="23" t="s">
        <v>60</v>
      </c>
      <c r="F67" s="25" t="s">
        <v>278</v>
      </c>
      <c r="G67" s="25" t="s">
        <v>22270</v>
      </c>
      <c r="H67" t="s">
        <v>26</v>
      </c>
      <c r="I67" t="s">
        <v>26</v>
      </c>
      <c r="J67" t="s">
        <v>26</v>
      </c>
      <c r="K67" t="s">
        <v>26</v>
      </c>
      <c r="L67" s="25" t="s">
        <v>68</v>
      </c>
      <c r="M67" t="s">
        <v>26</v>
      </c>
      <c r="N67" t="s">
        <v>26</v>
      </c>
      <c r="O67" t="s">
        <v>26</v>
      </c>
      <c r="P67" t="s">
        <v>26</v>
      </c>
      <c r="Q67" t="s">
        <v>26</v>
      </c>
      <c r="R67" t="s">
        <v>26</v>
      </c>
      <c r="S67" t="s">
        <v>26</v>
      </c>
      <c r="T67" t="s">
        <v>26</v>
      </c>
      <c r="U67" t="s">
        <v>26</v>
      </c>
      <c r="V67" t="s">
        <v>26</v>
      </c>
      <c r="W67" s="24">
        <v>42370</v>
      </c>
      <c r="X67" s="24">
        <v>44562</v>
      </c>
      <c r="Y67" t="s">
        <v>26</v>
      </c>
      <c r="Z67" s="24">
        <v>42370</v>
      </c>
      <c r="AA67" s="24">
        <v>44562</v>
      </c>
      <c r="AB67" t="s">
        <v>26</v>
      </c>
      <c r="AC67" s="24">
        <v>42370</v>
      </c>
      <c r="AD67" s="24">
        <v>44562</v>
      </c>
      <c r="AE67" t="s">
        <v>26</v>
      </c>
      <c r="AF67" t="s">
        <v>26</v>
      </c>
      <c r="AG67" t="s">
        <v>26</v>
      </c>
      <c r="AH67" t="s">
        <v>26</v>
      </c>
      <c r="AI67" t="s">
        <v>26</v>
      </c>
      <c r="AJ67" t="s">
        <v>26</v>
      </c>
      <c r="AK67" t="s">
        <v>26</v>
      </c>
      <c r="AL67" t="s">
        <v>26</v>
      </c>
      <c r="AM67" t="s">
        <v>26</v>
      </c>
      <c r="AN67" t="s">
        <v>26</v>
      </c>
      <c r="AO67" s="25" t="s">
        <v>68</v>
      </c>
      <c r="AP67" s="23" t="s">
        <v>279</v>
      </c>
      <c r="AQ67" s="23" t="s">
        <v>30</v>
      </c>
      <c r="AR67" s="23" t="s">
        <v>280</v>
      </c>
      <c r="AS67" s="25">
        <v>2040076</v>
      </c>
      <c r="AT67" t="s">
        <v>26</v>
      </c>
      <c r="AU67" t="s">
        <v>22271</v>
      </c>
    </row>
    <row r="68" spans="1:47" ht="26.25" x14ac:dyDescent="0.4">
      <c r="A68" s="23" t="s">
        <v>281</v>
      </c>
      <c r="B68" t="s">
        <v>26</v>
      </c>
      <c r="C68" s="23" t="s">
        <v>259</v>
      </c>
      <c r="D68" s="23" t="s">
        <v>22179</v>
      </c>
      <c r="E68" s="23" t="s">
        <v>60</v>
      </c>
      <c r="F68" s="25" t="s">
        <v>282</v>
      </c>
      <c r="G68" s="25" t="s">
        <v>283</v>
      </c>
      <c r="H68" t="s">
        <v>26</v>
      </c>
      <c r="I68" s="24">
        <v>39448</v>
      </c>
      <c r="J68" s="25" t="s">
        <v>77</v>
      </c>
      <c r="K68" t="s">
        <v>26</v>
      </c>
      <c r="L68" s="25" t="s">
        <v>68</v>
      </c>
      <c r="M68" s="24">
        <v>39448</v>
      </c>
      <c r="N68" s="25" t="s">
        <v>77</v>
      </c>
      <c r="O68" t="s">
        <v>26</v>
      </c>
      <c r="P68" s="24">
        <v>39448</v>
      </c>
      <c r="Q68" s="25" t="s">
        <v>77</v>
      </c>
      <c r="R68" t="s">
        <v>26</v>
      </c>
      <c r="S68" t="s">
        <v>26</v>
      </c>
      <c r="T68" t="s">
        <v>26</v>
      </c>
      <c r="U68" t="s">
        <v>26</v>
      </c>
      <c r="V68" t="s">
        <v>26</v>
      </c>
      <c r="W68" s="24">
        <v>39448</v>
      </c>
      <c r="X68" s="25" t="s">
        <v>77</v>
      </c>
      <c r="Y68" t="s">
        <v>26</v>
      </c>
      <c r="Z68" s="24">
        <v>39448</v>
      </c>
      <c r="AA68" s="25" t="s">
        <v>77</v>
      </c>
      <c r="AB68" t="s">
        <v>26</v>
      </c>
      <c r="AC68" s="24">
        <v>39448</v>
      </c>
      <c r="AD68" s="25" t="s">
        <v>77</v>
      </c>
      <c r="AE68" t="s">
        <v>26</v>
      </c>
      <c r="AF68" t="s">
        <v>26</v>
      </c>
      <c r="AG68" t="s">
        <v>26</v>
      </c>
      <c r="AH68" t="s">
        <v>26</v>
      </c>
      <c r="AI68" t="s">
        <v>26</v>
      </c>
      <c r="AJ68" t="s">
        <v>26</v>
      </c>
      <c r="AK68" t="s">
        <v>26</v>
      </c>
      <c r="AL68" t="s">
        <v>26</v>
      </c>
      <c r="AM68" t="s">
        <v>26</v>
      </c>
      <c r="AN68" t="s">
        <v>26</v>
      </c>
      <c r="AO68" s="25" t="s">
        <v>68</v>
      </c>
      <c r="AP68" s="23" t="s">
        <v>69</v>
      </c>
      <c r="AQ68" s="23" t="s">
        <v>30</v>
      </c>
      <c r="AR68" s="23" t="s">
        <v>78</v>
      </c>
      <c r="AS68" s="25">
        <v>237352</v>
      </c>
      <c r="AT68" t="s">
        <v>26</v>
      </c>
      <c r="AU68" t="s">
        <v>22272</v>
      </c>
    </row>
    <row r="69" spans="1:47" ht="26.25" x14ac:dyDescent="0.4">
      <c r="A69" s="23" t="s">
        <v>284</v>
      </c>
      <c r="B69" t="s">
        <v>26</v>
      </c>
      <c r="C69" s="23" t="s">
        <v>80</v>
      </c>
      <c r="D69" s="23" t="s">
        <v>22273</v>
      </c>
      <c r="E69" s="23" t="s">
        <v>60</v>
      </c>
      <c r="F69" s="25" t="s">
        <v>285</v>
      </c>
      <c r="G69" s="25" t="s">
        <v>286</v>
      </c>
      <c r="H69" t="s">
        <v>26</v>
      </c>
      <c r="I69" s="24">
        <v>40452</v>
      </c>
      <c r="J69" s="24">
        <v>42979</v>
      </c>
      <c r="K69" t="s">
        <v>26</v>
      </c>
      <c r="L69" s="25" t="s">
        <v>68</v>
      </c>
      <c r="M69" s="24">
        <v>40452</v>
      </c>
      <c r="N69" s="24">
        <v>42979</v>
      </c>
      <c r="O69" t="s">
        <v>26</v>
      </c>
      <c r="P69" s="24">
        <v>40452</v>
      </c>
      <c r="Q69" s="24">
        <v>42979</v>
      </c>
      <c r="R69" t="s">
        <v>26</v>
      </c>
      <c r="S69" t="s">
        <v>26</v>
      </c>
      <c r="T69" t="s">
        <v>26</v>
      </c>
      <c r="U69" t="s">
        <v>26</v>
      </c>
      <c r="V69" t="s">
        <v>26</v>
      </c>
      <c r="W69" s="24">
        <v>40452</v>
      </c>
      <c r="X69" s="24">
        <v>45231</v>
      </c>
      <c r="Y69" t="s">
        <v>26</v>
      </c>
      <c r="Z69" s="24">
        <v>40452</v>
      </c>
      <c r="AA69" s="24">
        <v>45231</v>
      </c>
      <c r="AB69" t="s">
        <v>26</v>
      </c>
      <c r="AC69" s="24">
        <v>40452</v>
      </c>
      <c r="AD69" s="24">
        <v>42979</v>
      </c>
      <c r="AE69" t="s">
        <v>26</v>
      </c>
      <c r="AF69" t="s">
        <v>26</v>
      </c>
      <c r="AG69" t="s">
        <v>26</v>
      </c>
      <c r="AH69" t="s">
        <v>26</v>
      </c>
      <c r="AI69" t="s">
        <v>26</v>
      </c>
      <c r="AJ69" t="s">
        <v>26</v>
      </c>
      <c r="AK69" t="s">
        <v>26</v>
      </c>
      <c r="AL69" t="s">
        <v>26</v>
      </c>
      <c r="AM69" t="s">
        <v>26</v>
      </c>
      <c r="AN69" t="s">
        <v>26</v>
      </c>
      <c r="AO69" s="25" t="s">
        <v>68</v>
      </c>
      <c r="AP69" s="23" t="s">
        <v>69</v>
      </c>
      <c r="AQ69" s="23" t="s">
        <v>30</v>
      </c>
      <c r="AR69" s="23" t="s">
        <v>70</v>
      </c>
      <c r="AS69" s="25">
        <v>826331</v>
      </c>
      <c r="AT69" t="s">
        <v>26</v>
      </c>
      <c r="AU69" t="s">
        <v>22274</v>
      </c>
    </row>
    <row r="70" spans="1:47" ht="26.25" x14ac:dyDescent="0.4">
      <c r="A70" s="23" t="s">
        <v>287</v>
      </c>
      <c r="B70" t="s">
        <v>26</v>
      </c>
      <c r="C70" s="23" t="s">
        <v>264</v>
      </c>
      <c r="D70" s="23" t="s">
        <v>22267</v>
      </c>
      <c r="E70" s="23" t="s">
        <v>60</v>
      </c>
      <c r="F70" s="25" t="s">
        <v>288</v>
      </c>
      <c r="G70" s="25" t="s">
        <v>289</v>
      </c>
      <c r="H70" t="s">
        <v>26</v>
      </c>
      <c r="I70" s="24">
        <v>39083</v>
      </c>
      <c r="J70" s="25" t="s">
        <v>77</v>
      </c>
      <c r="K70" t="s">
        <v>26</v>
      </c>
      <c r="L70" s="25" t="s">
        <v>68</v>
      </c>
      <c r="M70" s="24">
        <v>40664</v>
      </c>
      <c r="N70" s="25" t="s">
        <v>77</v>
      </c>
      <c r="O70" t="s">
        <v>26</v>
      </c>
      <c r="P70" s="24">
        <v>39083</v>
      </c>
      <c r="Q70" s="25" t="s">
        <v>77</v>
      </c>
      <c r="R70" t="s">
        <v>26</v>
      </c>
      <c r="S70" t="s">
        <v>26</v>
      </c>
      <c r="T70" t="s">
        <v>26</v>
      </c>
      <c r="U70" t="s">
        <v>26</v>
      </c>
      <c r="V70" s="25">
        <v>365</v>
      </c>
      <c r="W70" s="24">
        <v>39083</v>
      </c>
      <c r="X70" s="25" t="s">
        <v>77</v>
      </c>
      <c r="Y70" t="s">
        <v>26</v>
      </c>
      <c r="Z70" s="24">
        <v>39083</v>
      </c>
      <c r="AA70" s="25" t="s">
        <v>77</v>
      </c>
      <c r="AB70" t="s">
        <v>26</v>
      </c>
      <c r="AC70" s="24">
        <v>39083</v>
      </c>
      <c r="AD70" s="25" t="s">
        <v>77</v>
      </c>
      <c r="AE70" t="s">
        <v>26</v>
      </c>
      <c r="AF70" t="s">
        <v>26</v>
      </c>
      <c r="AG70" t="s">
        <v>26</v>
      </c>
      <c r="AH70" t="s">
        <v>26</v>
      </c>
      <c r="AI70" t="s">
        <v>26</v>
      </c>
      <c r="AJ70" t="s">
        <v>26</v>
      </c>
      <c r="AK70" t="s">
        <v>26</v>
      </c>
      <c r="AL70" t="s">
        <v>26</v>
      </c>
      <c r="AM70" t="s">
        <v>26</v>
      </c>
      <c r="AN70" t="s">
        <v>26</v>
      </c>
      <c r="AO70" s="25" t="s">
        <v>68</v>
      </c>
      <c r="AP70" s="23" t="s">
        <v>69</v>
      </c>
      <c r="AQ70" s="23" t="s">
        <v>30</v>
      </c>
      <c r="AR70" s="23" t="s">
        <v>290</v>
      </c>
      <c r="AS70" s="25">
        <v>1046392</v>
      </c>
      <c r="AT70" t="s">
        <v>26</v>
      </c>
      <c r="AU70" t="s">
        <v>22275</v>
      </c>
    </row>
    <row r="71" spans="1:47" ht="26.25" x14ac:dyDescent="0.4">
      <c r="A71" s="23" t="s">
        <v>22276</v>
      </c>
      <c r="B71" t="s">
        <v>26</v>
      </c>
      <c r="C71" s="23" t="s">
        <v>73</v>
      </c>
      <c r="D71" s="23" t="s">
        <v>22277</v>
      </c>
      <c r="E71" s="23" t="s">
        <v>74</v>
      </c>
      <c r="F71" s="25" t="s">
        <v>22278</v>
      </c>
      <c r="G71" s="25" t="s">
        <v>22279</v>
      </c>
      <c r="H71" t="s">
        <v>26</v>
      </c>
      <c r="I71" t="s">
        <v>26</v>
      </c>
      <c r="J71" t="s">
        <v>26</v>
      </c>
      <c r="K71" t="s">
        <v>26</v>
      </c>
      <c r="L71" s="25" t="s">
        <v>68</v>
      </c>
      <c r="M71" t="s">
        <v>26</v>
      </c>
      <c r="N71" t="s">
        <v>26</v>
      </c>
      <c r="O71" t="s">
        <v>26</v>
      </c>
      <c r="P71" t="s">
        <v>26</v>
      </c>
      <c r="Q71" t="s">
        <v>26</v>
      </c>
      <c r="R71" t="s">
        <v>26</v>
      </c>
      <c r="S71" t="s">
        <v>26</v>
      </c>
      <c r="T71" t="s">
        <v>26</v>
      </c>
      <c r="U71" t="s">
        <v>26</v>
      </c>
      <c r="V71" t="s">
        <v>26</v>
      </c>
      <c r="W71" s="24">
        <v>42795</v>
      </c>
      <c r="X71" s="25" t="s">
        <v>77</v>
      </c>
      <c r="Y71" t="s">
        <v>26</v>
      </c>
      <c r="Z71" s="24">
        <v>42795</v>
      </c>
      <c r="AA71" s="25" t="s">
        <v>77</v>
      </c>
      <c r="AB71" t="s">
        <v>26</v>
      </c>
      <c r="AC71" s="24">
        <v>42795</v>
      </c>
      <c r="AD71" s="25" t="s">
        <v>77</v>
      </c>
      <c r="AE71" t="s">
        <v>26</v>
      </c>
      <c r="AF71" t="s">
        <v>26</v>
      </c>
      <c r="AG71" t="s">
        <v>26</v>
      </c>
      <c r="AH71" t="s">
        <v>26</v>
      </c>
      <c r="AI71" t="s">
        <v>26</v>
      </c>
      <c r="AJ71" t="s">
        <v>26</v>
      </c>
      <c r="AK71" t="s">
        <v>26</v>
      </c>
      <c r="AL71" t="s">
        <v>26</v>
      </c>
      <c r="AM71" t="s">
        <v>26</v>
      </c>
      <c r="AN71" t="s">
        <v>26</v>
      </c>
      <c r="AO71" s="25" t="s">
        <v>68</v>
      </c>
      <c r="AP71" s="23" t="s">
        <v>69</v>
      </c>
      <c r="AQ71" s="23" t="s">
        <v>30</v>
      </c>
      <c r="AR71" s="23" t="s">
        <v>70</v>
      </c>
      <c r="AS71" s="25">
        <v>6420653</v>
      </c>
      <c r="AT71" t="s">
        <v>26</v>
      </c>
      <c r="AU71" t="s">
        <v>22280</v>
      </c>
    </row>
    <row r="72" spans="1:47" ht="13.15" x14ac:dyDescent="0.4">
      <c r="A72" s="23" t="s">
        <v>291</v>
      </c>
      <c r="B72" t="s">
        <v>26</v>
      </c>
      <c r="C72" s="23" t="s">
        <v>292</v>
      </c>
      <c r="D72" s="23" t="s">
        <v>22256</v>
      </c>
      <c r="E72" s="23" t="s">
        <v>42</v>
      </c>
      <c r="F72" t="s">
        <v>26</v>
      </c>
      <c r="G72" t="s">
        <v>26</v>
      </c>
      <c r="H72" t="s">
        <v>26</v>
      </c>
      <c r="I72" s="24">
        <v>41640</v>
      </c>
      <c r="J72" s="24">
        <v>41640</v>
      </c>
      <c r="K72" t="s">
        <v>26</v>
      </c>
      <c r="L72" s="25" t="s">
        <v>28</v>
      </c>
      <c r="M72" t="s">
        <v>26</v>
      </c>
      <c r="N72" t="s">
        <v>26</v>
      </c>
      <c r="O72" t="s">
        <v>26</v>
      </c>
      <c r="P72" s="24">
        <v>41640</v>
      </c>
      <c r="Q72" s="24">
        <v>41640</v>
      </c>
      <c r="R72" t="s">
        <v>26</v>
      </c>
      <c r="S72" t="s">
        <v>26</v>
      </c>
      <c r="T72" t="s">
        <v>26</v>
      </c>
      <c r="U72" t="s">
        <v>26</v>
      </c>
      <c r="V72" t="s">
        <v>26</v>
      </c>
      <c r="W72" s="24">
        <v>41640</v>
      </c>
      <c r="X72" s="24">
        <v>41640</v>
      </c>
      <c r="Y72" t="s">
        <v>26</v>
      </c>
      <c r="Z72" s="24">
        <v>41640</v>
      </c>
      <c r="AA72" s="24">
        <v>41640</v>
      </c>
      <c r="AB72" t="s">
        <v>26</v>
      </c>
      <c r="AC72" s="24">
        <v>41640</v>
      </c>
      <c r="AD72" s="24">
        <v>41640</v>
      </c>
      <c r="AE72" t="s">
        <v>26</v>
      </c>
      <c r="AF72" t="s">
        <v>26</v>
      </c>
      <c r="AG72" t="s">
        <v>26</v>
      </c>
      <c r="AH72" t="s">
        <v>26</v>
      </c>
      <c r="AI72" t="s">
        <v>26</v>
      </c>
      <c r="AJ72" t="s">
        <v>26</v>
      </c>
      <c r="AK72" t="s">
        <v>26</v>
      </c>
      <c r="AL72" t="s">
        <v>26</v>
      </c>
      <c r="AM72" t="s">
        <v>26</v>
      </c>
      <c r="AN72" t="s">
        <v>26</v>
      </c>
      <c r="AO72" s="25" t="s">
        <v>28</v>
      </c>
      <c r="AP72" s="23" t="s">
        <v>29</v>
      </c>
      <c r="AQ72" s="23" t="s">
        <v>30</v>
      </c>
      <c r="AR72" s="23" t="s">
        <v>147</v>
      </c>
      <c r="AS72" s="25">
        <v>5325198</v>
      </c>
      <c r="AT72" s="23" t="s">
        <v>22181</v>
      </c>
      <c r="AU72" t="s">
        <v>22281</v>
      </c>
    </row>
    <row r="73" spans="1:47" ht="13.15" x14ac:dyDescent="0.4">
      <c r="A73" s="23" t="s">
        <v>293</v>
      </c>
      <c r="B73" t="s">
        <v>26</v>
      </c>
      <c r="C73" s="23" t="s">
        <v>294</v>
      </c>
      <c r="D73" s="23" t="s">
        <v>22179</v>
      </c>
      <c r="E73" s="23" t="s">
        <v>42</v>
      </c>
      <c r="F73" t="s">
        <v>26</v>
      </c>
      <c r="G73" t="s">
        <v>26</v>
      </c>
      <c r="H73" t="s">
        <v>26</v>
      </c>
      <c r="I73" s="25" t="s">
        <v>295</v>
      </c>
      <c r="J73" s="25" t="s">
        <v>295</v>
      </c>
      <c r="K73" t="s">
        <v>26</v>
      </c>
      <c r="L73" s="25" t="s">
        <v>28</v>
      </c>
      <c r="M73" t="s">
        <v>26</v>
      </c>
      <c r="N73" t="s">
        <v>26</v>
      </c>
      <c r="O73" t="s">
        <v>26</v>
      </c>
      <c r="P73" s="25" t="s">
        <v>295</v>
      </c>
      <c r="Q73" s="25" t="s">
        <v>295</v>
      </c>
      <c r="R73" t="s">
        <v>26</v>
      </c>
      <c r="S73" t="s">
        <v>26</v>
      </c>
      <c r="T73" t="s">
        <v>26</v>
      </c>
      <c r="U73" t="s">
        <v>26</v>
      </c>
      <c r="V73" t="s">
        <v>26</v>
      </c>
      <c r="W73" s="25" t="s">
        <v>295</v>
      </c>
      <c r="X73" s="25" t="s">
        <v>295</v>
      </c>
      <c r="Y73" t="s">
        <v>26</v>
      </c>
      <c r="Z73" s="25" t="s">
        <v>295</v>
      </c>
      <c r="AA73" s="25" t="s">
        <v>295</v>
      </c>
      <c r="AB73" t="s">
        <v>26</v>
      </c>
      <c r="AC73" s="25" t="s">
        <v>295</v>
      </c>
      <c r="AD73" s="25" t="s">
        <v>295</v>
      </c>
      <c r="AE73" t="s">
        <v>26</v>
      </c>
      <c r="AF73" t="s">
        <v>26</v>
      </c>
      <c r="AG73" t="s">
        <v>26</v>
      </c>
      <c r="AH73" t="s">
        <v>26</v>
      </c>
      <c r="AI73" t="s">
        <v>26</v>
      </c>
      <c r="AJ73" t="s">
        <v>26</v>
      </c>
      <c r="AK73" t="s">
        <v>26</v>
      </c>
      <c r="AL73" t="s">
        <v>26</v>
      </c>
      <c r="AM73" t="s">
        <v>26</v>
      </c>
      <c r="AN73" t="s">
        <v>26</v>
      </c>
      <c r="AO73" s="25" t="s">
        <v>28</v>
      </c>
      <c r="AP73" s="23" t="s">
        <v>29</v>
      </c>
      <c r="AQ73" s="23" t="s">
        <v>30</v>
      </c>
      <c r="AR73" s="23" t="s">
        <v>147</v>
      </c>
      <c r="AS73" s="25">
        <v>5325208</v>
      </c>
      <c r="AT73" s="23" t="s">
        <v>22181</v>
      </c>
      <c r="AU73" t="s">
        <v>22282</v>
      </c>
    </row>
    <row r="74" spans="1:47" ht="26.25" x14ac:dyDescent="0.4">
      <c r="A74" s="23" t="s">
        <v>296</v>
      </c>
      <c r="B74" t="s">
        <v>26</v>
      </c>
      <c r="C74" s="23" t="s">
        <v>297</v>
      </c>
      <c r="D74" s="23" t="s">
        <v>22283</v>
      </c>
      <c r="E74" s="23" t="s">
        <v>155</v>
      </c>
      <c r="F74" s="25" t="s">
        <v>298</v>
      </c>
      <c r="G74" t="s">
        <v>26</v>
      </c>
      <c r="H74" t="s">
        <v>26</v>
      </c>
      <c r="I74" s="24">
        <v>41061</v>
      </c>
      <c r="J74" s="25" t="s">
        <v>77</v>
      </c>
      <c r="K74" t="s">
        <v>26</v>
      </c>
      <c r="L74" s="25" t="s">
        <v>68</v>
      </c>
      <c r="M74" s="24">
        <v>41061</v>
      </c>
      <c r="N74" s="24">
        <v>42736</v>
      </c>
      <c r="O74" t="s">
        <v>26</v>
      </c>
      <c r="P74" s="24">
        <v>41061</v>
      </c>
      <c r="Q74" s="25" t="s">
        <v>77</v>
      </c>
      <c r="R74" t="s">
        <v>26</v>
      </c>
      <c r="S74" t="s">
        <v>26</v>
      </c>
      <c r="T74" t="s">
        <v>26</v>
      </c>
      <c r="U74" t="s">
        <v>26</v>
      </c>
      <c r="V74" t="s">
        <v>26</v>
      </c>
      <c r="W74" s="24">
        <v>41061</v>
      </c>
      <c r="X74" s="25" t="s">
        <v>77</v>
      </c>
      <c r="Y74" t="s">
        <v>26</v>
      </c>
      <c r="Z74" s="24">
        <v>41061</v>
      </c>
      <c r="AA74" s="25" t="s">
        <v>77</v>
      </c>
      <c r="AB74" t="s">
        <v>26</v>
      </c>
      <c r="AC74" s="24">
        <v>42917</v>
      </c>
      <c r="AD74" s="25" t="s">
        <v>77</v>
      </c>
      <c r="AE74" t="s">
        <v>26</v>
      </c>
      <c r="AF74" t="s">
        <v>26</v>
      </c>
      <c r="AG74" t="s">
        <v>26</v>
      </c>
      <c r="AH74" t="s">
        <v>26</v>
      </c>
      <c r="AI74" t="s">
        <v>26</v>
      </c>
      <c r="AJ74" t="s">
        <v>26</v>
      </c>
      <c r="AK74" t="s">
        <v>26</v>
      </c>
      <c r="AL74" t="s">
        <v>26</v>
      </c>
      <c r="AM74" t="s">
        <v>26</v>
      </c>
      <c r="AN74" t="s">
        <v>26</v>
      </c>
      <c r="AO74" s="25" t="s">
        <v>68</v>
      </c>
      <c r="AP74" s="23" t="s">
        <v>69</v>
      </c>
      <c r="AQ74" s="23" t="s">
        <v>142</v>
      </c>
      <c r="AR74" s="23" t="s">
        <v>46</v>
      </c>
      <c r="AS74" s="25">
        <v>1806356</v>
      </c>
      <c r="AT74" t="s">
        <v>26</v>
      </c>
      <c r="AU74" t="s">
        <v>22284</v>
      </c>
    </row>
    <row r="75" spans="1:47" ht="13.15" x14ac:dyDescent="0.4">
      <c r="A75" s="23" t="s">
        <v>299</v>
      </c>
      <c r="B75" t="s">
        <v>26</v>
      </c>
      <c r="C75" s="23" t="s">
        <v>294</v>
      </c>
      <c r="D75" s="23" t="s">
        <v>22179</v>
      </c>
      <c r="E75" s="23" t="s">
        <v>42</v>
      </c>
      <c r="F75" t="s">
        <v>26</v>
      </c>
      <c r="G75" t="s">
        <v>26</v>
      </c>
      <c r="H75" t="s">
        <v>26</v>
      </c>
      <c r="I75" s="25" t="s">
        <v>295</v>
      </c>
      <c r="J75" s="25" t="s">
        <v>295</v>
      </c>
      <c r="K75" t="s">
        <v>26</v>
      </c>
      <c r="L75" s="25" t="s">
        <v>28</v>
      </c>
      <c r="M75" t="s">
        <v>26</v>
      </c>
      <c r="N75" t="s">
        <v>26</v>
      </c>
      <c r="O75" t="s">
        <v>26</v>
      </c>
      <c r="P75" s="25" t="s">
        <v>295</v>
      </c>
      <c r="Q75" s="25" t="s">
        <v>295</v>
      </c>
      <c r="R75" t="s">
        <v>26</v>
      </c>
      <c r="S75" t="s">
        <v>26</v>
      </c>
      <c r="T75" t="s">
        <v>26</v>
      </c>
      <c r="U75" t="s">
        <v>26</v>
      </c>
      <c r="V75" t="s">
        <v>26</v>
      </c>
      <c r="W75" s="25" t="s">
        <v>295</v>
      </c>
      <c r="X75" s="25" t="s">
        <v>295</v>
      </c>
      <c r="Y75" t="s">
        <v>26</v>
      </c>
      <c r="Z75" s="25" t="s">
        <v>295</v>
      </c>
      <c r="AA75" s="25" t="s">
        <v>295</v>
      </c>
      <c r="AB75" t="s">
        <v>26</v>
      </c>
      <c r="AC75" s="25" t="s">
        <v>295</v>
      </c>
      <c r="AD75" s="25" t="s">
        <v>295</v>
      </c>
      <c r="AE75" t="s">
        <v>26</v>
      </c>
      <c r="AF75" t="s">
        <v>26</v>
      </c>
      <c r="AG75" t="s">
        <v>26</v>
      </c>
      <c r="AH75" t="s">
        <v>26</v>
      </c>
      <c r="AI75" t="s">
        <v>26</v>
      </c>
      <c r="AJ75" t="s">
        <v>26</v>
      </c>
      <c r="AK75" t="s">
        <v>26</v>
      </c>
      <c r="AL75" t="s">
        <v>26</v>
      </c>
      <c r="AM75" t="s">
        <v>26</v>
      </c>
      <c r="AN75" t="s">
        <v>26</v>
      </c>
      <c r="AO75" s="25" t="s">
        <v>28</v>
      </c>
      <c r="AP75" s="23" t="s">
        <v>29</v>
      </c>
      <c r="AQ75" s="23" t="s">
        <v>30</v>
      </c>
      <c r="AR75" s="23" t="s">
        <v>300</v>
      </c>
      <c r="AS75" s="25">
        <v>5325201</v>
      </c>
      <c r="AT75" s="23" t="s">
        <v>22181</v>
      </c>
      <c r="AU75" t="s">
        <v>22285</v>
      </c>
    </row>
    <row r="76" spans="1:47" ht="26.25" x14ac:dyDescent="0.4">
      <c r="A76" s="23" t="s">
        <v>301</v>
      </c>
      <c r="B76" t="s">
        <v>26</v>
      </c>
      <c r="C76" s="23" t="s">
        <v>302</v>
      </c>
      <c r="D76" s="23" t="s">
        <v>22286</v>
      </c>
      <c r="E76" s="23" t="s">
        <v>42</v>
      </c>
      <c r="F76" t="s">
        <v>26</v>
      </c>
      <c r="G76" t="s">
        <v>26</v>
      </c>
      <c r="H76" t="s">
        <v>26</v>
      </c>
      <c r="I76" t="s">
        <v>26</v>
      </c>
      <c r="J76" t="s">
        <v>26</v>
      </c>
      <c r="K76" t="s">
        <v>26</v>
      </c>
      <c r="L76" s="25" t="s">
        <v>28</v>
      </c>
      <c r="M76" t="s">
        <v>26</v>
      </c>
      <c r="N76" t="s">
        <v>26</v>
      </c>
      <c r="O76" t="s">
        <v>26</v>
      </c>
      <c r="P76" t="s">
        <v>26</v>
      </c>
      <c r="Q76" t="s">
        <v>26</v>
      </c>
      <c r="R76" t="s">
        <v>26</v>
      </c>
      <c r="S76" t="s">
        <v>26</v>
      </c>
      <c r="T76" t="s">
        <v>26</v>
      </c>
      <c r="U76" t="s">
        <v>26</v>
      </c>
      <c r="V76" t="s">
        <v>26</v>
      </c>
      <c r="W76" s="24">
        <v>42005</v>
      </c>
      <c r="X76" s="24">
        <v>42005</v>
      </c>
      <c r="Y76" t="s">
        <v>26</v>
      </c>
      <c r="Z76" s="24">
        <v>42005</v>
      </c>
      <c r="AA76" s="24">
        <v>42005</v>
      </c>
      <c r="AB76" t="s">
        <v>26</v>
      </c>
      <c r="AC76" t="s">
        <v>26</v>
      </c>
      <c r="AD76" t="s">
        <v>26</v>
      </c>
      <c r="AE76" t="s">
        <v>26</v>
      </c>
      <c r="AF76" t="s">
        <v>26</v>
      </c>
      <c r="AG76" t="s">
        <v>26</v>
      </c>
      <c r="AH76" t="s">
        <v>26</v>
      </c>
      <c r="AI76" t="s">
        <v>26</v>
      </c>
      <c r="AJ76" t="s">
        <v>26</v>
      </c>
      <c r="AK76" t="s">
        <v>26</v>
      </c>
      <c r="AL76" t="s">
        <v>26</v>
      </c>
      <c r="AM76" t="s">
        <v>26</v>
      </c>
      <c r="AN76" t="s">
        <v>26</v>
      </c>
      <c r="AO76" s="25" t="s">
        <v>28</v>
      </c>
      <c r="AP76" s="23" t="s">
        <v>29</v>
      </c>
      <c r="AQ76" s="23" t="s">
        <v>30</v>
      </c>
      <c r="AR76" s="23" t="s">
        <v>245</v>
      </c>
      <c r="AS76" s="25">
        <v>5483566</v>
      </c>
      <c r="AT76" s="23" t="s">
        <v>22181</v>
      </c>
      <c r="AU76" t="s">
        <v>22287</v>
      </c>
    </row>
    <row r="77" spans="1:47" ht="26.25" x14ac:dyDescent="0.4">
      <c r="A77" s="23" t="s">
        <v>303</v>
      </c>
      <c r="B77" t="s">
        <v>26</v>
      </c>
      <c r="C77" s="23" t="s">
        <v>304</v>
      </c>
      <c r="D77" s="23" t="s">
        <v>22174</v>
      </c>
      <c r="E77" s="23" t="s">
        <v>60</v>
      </c>
      <c r="F77" s="25" t="s">
        <v>305</v>
      </c>
      <c r="G77" s="25" t="s">
        <v>306</v>
      </c>
      <c r="H77" t="s">
        <v>26</v>
      </c>
      <c r="I77" s="24">
        <v>44348</v>
      </c>
      <c r="J77" s="25" t="s">
        <v>77</v>
      </c>
      <c r="K77" t="s">
        <v>26</v>
      </c>
      <c r="L77" s="25" t="s">
        <v>68</v>
      </c>
      <c r="M77" s="24">
        <v>44531</v>
      </c>
      <c r="N77" s="25" t="s">
        <v>77</v>
      </c>
      <c r="O77" t="s">
        <v>26</v>
      </c>
      <c r="P77" s="24">
        <v>44348</v>
      </c>
      <c r="Q77" s="25" t="s">
        <v>77</v>
      </c>
      <c r="R77" t="s">
        <v>26</v>
      </c>
      <c r="S77" t="s">
        <v>26</v>
      </c>
      <c r="T77" t="s">
        <v>26</v>
      </c>
      <c r="U77" t="s">
        <v>26</v>
      </c>
      <c r="V77" t="s">
        <v>26</v>
      </c>
      <c r="W77" s="24">
        <v>44348</v>
      </c>
      <c r="X77" s="25" t="s">
        <v>77</v>
      </c>
      <c r="Y77" t="s">
        <v>26</v>
      </c>
      <c r="Z77" s="24">
        <v>44348</v>
      </c>
      <c r="AA77" s="25" t="s">
        <v>77</v>
      </c>
      <c r="AB77" t="s">
        <v>26</v>
      </c>
      <c r="AC77" s="24">
        <v>44348</v>
      </c>
      <c r="AD77" s="25" t="s">
        <v>77</v>
      </c>
      <c r="AE77" t="s">
        <v>26</v>
      </c>
      <c r="AF77" t="s">
        <v>26</v>
      </c>
      <c r="AG77" t="s">
        <v>26</v>
      </c>
      <c r="AH77" t="s">
        <v>26</v>
      </c>
      <c r="AI77" t="s">
        <v>26</v>
      </c>
      <c r="AJ77" t="s">
        <v>26</v>
      </c>
      <c r="AK77" t="s">
        <v>26</v>
      </c>
      <c r="AL77" t="s">
        <v>26</v>
      </c>
      <c r="AM77" t="s">
        <v>26</v>
      </c>
      <c r="AN77" t="s">
        <v>26</v>
      </c>
      <c r="AO77" s="25" t="s">
        <v>68</v>
      </c>
      <c r="AP77" s="23" t="s">
        <v>69</v>
      </c>
      <c r="AQ77" s="23" t="s">
        <v>30</v>
      </c>
      <c r="AR77" s="23" t="s">
        <v>257</v>
      </c>
      <c r="AS77" s="25">
        <v>5455931</v>
      </c>
      <c r="AT77" t="s">
        <v>26</v>
      </c>
      <c r="AU77" t="s">
        <v>22288</v>
      </c>
    </row>
    <row r="78" spans="1:47" ht="26.25" x14ac:dyDescent="0.4">
      <c r="A78" s="23" t="s">
        <v>307</v>
      </c>
      <c r="B78" t="s">
        <v>26</v>
      </c>
      <c r="C78" s="23" t="s">
        <v>51</v>
      </c>
      <c r="D78" t="s">
        <v>26</v>
      </c>
      <c r="E78" s="23" t="s">
        <v>42</v>
      </c>
      <c r="F78" t="s">
        <v>26</v>
      </c>
      <c r="G78" t="s">
        <v>26</v>
      </c>
      <c r="H78" t="s">
        <v>26</v>
      </c>
      <c r="I78" s="24">
        <v>33604</v>
      </c>
      <c r="J78" s="24">
        <v>33604</v>
      </c>
      <c r="K78" t="s">
        <v>26</v>
      </c>
      <c r="L78" s="25" t="s">
        <v>28</v>
      </c>
      <c r="M78" s="24">
        <v>33604</v>
      </c>
      <c r="N78" s="24">
        <v>33604</v>
      </c>
      <c r="O78" t="s">
        <v>26</v>
      </c>
      <c r="P78" t="s">
        <v>26</v>
      </c>
      <c r="Q78" t="s">
        <v>26</v>
      </c>
      <c r="R78" t="s">
        <v>26</v>
      </c>
      <c r="S78" s="24">
        <v>33604</v>
      </c>
      <c r="T78" s="24">
        <v>33604</v>
      </c>
      <c r="U78" t="s">
        <v>26</v>
      </c>
      <c r="V78" t="s">
        <v>26</v>
      </c>
      <c r="W78" s="24">
        <v>33604</v>
      </c>
      <c r="X78" s="24">
        <v>33604</v>
      </c>
      <c r="Y78" t="s">
        <v>26</v>
      </c>
      <c r="Z78" s="24">
        <v>33604</v>
      </c>
      <c r="AA78" s="24">
        <v>33604</v>
      </c>
      <c r="AB78" t="s">
        <v>26</v>
      </c>
      <c r="AC78" s="24">
        <v>33604</v>
      </c>
      <c r="AD78" s="24">
        <v>33604</v>
      </c>
      <c r="AE78" t="s">
        <v>26</v>
      </c>
      <c r="AF78" s="24">
        <v>33604</v>
      </c>
      <c r="AG78" s="24">
        <v>33604</v>
      </c>
      <c r="AH78" t="s">
        <v>26</v>
      </c>
      <c r="AI78" s="24">
        <v>33604</v>
      </c>
      <c r="AJ78" s="24">
        <v>33604</v>
      </c>
      <c r="AK78" t="s">
        <v>26</v>
      </c>
      <c r="AL78" t="s">
        <v>26</v>
      </c>
      <c r="AM78" t="s">
        <v>26</v>
      </c>
      <c r="AN78" t="s">
        <v>26</v>
      </c>
      <c r="AO78" s="25" t="s">
        <v>28</v>
      </c>
      <c r="AP78" s="23" t="s">
        <v>43</v>
      </c>
      <c r="AQ78" s="23" t="s">
        <v>30</v>
      </c>
      <c r="AR78" s="23" t="s">
        <v>44</v>
      </c>
      <c r="AS78" s="25">
        <v>5256682</v>
      </c>
      <c r="AT78" t="s">
        <v>26</v>
      </c>
      <c r="AU78" t="s">
        <v>22289</v>
      </c>
    </row>
    <row r="79" spans="1:47" ht="26.25" x14ac:dyDescent="0.4">
      <c r="A79" s="23" t="s">
        <v>308</v>
      </c>
      <c r="B79" t="s">
        <v>26</v>
      </c>
      <c r="C79" s="23" t="s">
        <v>167</v>
      </c>
      <c r="D79" s="23" t="s">
        <v>22218</v>
      </c>
      <c r="E79" s="23" t="s">
        <v>60</v>
      </c>
      <c r="F79" s="25" t="s">
        <v>309</v>
      </c>
      <c r="G79" s="25" t="s">
        <v>310</v>
      </c>
      <c r="H79" t="s">
        <v>26</v>
      </c>
      <c r="I79" s="24">
        <v>35034</v>
      </c>
      <c r="J79" s="25" t="s">
        <v>77</v>
      </c>
      <c r="K79" t="s">
        <v>26</v>
      </c>
      <c r="L79" s="25" t="s">
        <v>68</v>
      </c>
      <c r="M79" s="24">
        <v>39264</v>
      </c>
      <c r="N79" s="25" t="s">
        <v>77</v>
      </c>
      <c r="O79" t="s">
        <v>26</v>
      </c>
      <c r="P79" s="24">
        <v>35034</v>
      </c>
      <c r="Q79" s="25" t="s">
        <v>77</v>
      </c>
      <c r="R79" t="s">
        <v>26</v>
      </c>
      <c r="S79" t="s">
        <v>26</v>
      </c>
      <c r="T79" t="s">
        <v>26</v>
      </c>
      <c r="U79" t="s">
        <v>26</v>
      </c>
      <c r="V79" s="25">
        <v>365</v>
      </c>
      <c r="W79" s="24">
        <v>32568</v>
      </c>
      <c r="X79" s="25" t="s">
        <v>77</v>
      </c>
      <c r="Y79" t="s">
        <v>26</v>
      </c>
      <c r="Z79" s="24">
        <v>32568</v>
      </c>
      <c r="AA79" s="25" t="s">
        <v>77</v>
      </c>
      <c r="AB79" t="s">
        <v>26</v>
      </c>
      <c r="AC79" s="24">
        <v>32568</v>
      </c>
      <c r="AD79" s="25" t="s">
        <v>77</v>
      </c>
      <c r="AE79" t="s">
        <v>26</v>
      </c>
      <c r="AF79" t="s">
        <v>26</v>
      </c>
      <c r="AG79" t="s">
        <v>26</v>
      </c>
      <c r="AH79" t="s">
        <v>26</v>
      </c>
      <c r="AI79" t="s">
        <v>26</v>
      </c>
      <c r="AJ79" t="s">
        <v>26</v>
      </c>
      <c r="AK79" t="s">
        <v>26</v>
      </c>
      <c r="AL79" t="s">
        <v>26</v>
      </c>
      <c r="AM79" t="s">
        <v>26</v>
      </c>
      <c r="AN79" t="s">
        <v>26</v>
      </c>
      <c r="AO79" s="25" t="s">
        <v>68</v>
      </c>
      <c r="AP79" s="23" t="s">
        <v>69</v>
      </c>
      <c r="AQ79" s="23" t="s">
        <v>30</v>
      </c>
      <c r="AR79" s="23" t="s">
        <v>311</v>
      </c>
      <c r="AS79" s="25">
        <v>37022</v>
      </c>
      <c r="AT79" t="s">
        <v>26</v>
      </c>
      <c r="AU79" t="s">
        <v>22290</v>
      </c>
    </row>
    <row r="80" spans="1:47" ht="26.25" x14ac:dyDescent="0.4">
      <c r="A80" s="23" t="s">
        <v>312</v>
      </c>
      <c r="B80" t="s">
        <v>26</v>
      </c>
      <c r="C80" s="23" t="s">
        <v>80</v>
      </c>
      <c r="D80" s="23" t="s">
        <v>22184</v>
      </c>
      <c r="E80" s="23" t="s">
        <v>60</v>
      </c>
      <c r="F80" s="25" t="s">
        <v>313</v>
      </c>
      <c r="G80" s="25" t="s">
        <v>314</v>
      </c>
      <c r="H80" t="s">
        <v>26</v>
      </c>
      <c r="I80" t="s">
        <v>26</v>
      </c>
      <c r="J80" t="s">
        <v>26</v>
      </c>
      <c r="K80" t="s">
        <v>26</v>
      </c>
      <c r="L80" s="25" t="s">
        <v>68</v>
      </c>
      <c r="M80" t="s">
        <v>26</v>
      </c>
      <c r="N80" t="s">
        <v>26</v>
      </c>
      <c r="O80" t="s">
        <v>26</v>
      </c>
      <c r="P80" t="s">
        <v>26</v>
      </c>
      <c r="Q80" t="s">
        <v>26</v>
      </c>
      <c r="R80" t="s">
        <v>26</v>
      </c>
      <c r="S80" t="s">
        <v>26</v>
      </c>
      <c r="T80" t="s">
        <v>26</v>
      </c>
      <c r="U80" t="s">
        <v>26</v>
      </c>
      <c r="V80" t="s">
        <v>26</v>
      </c>
      <c r="W80" s="24">
        <v>42248</v>
      </c>
      <c r="X80" s="25" t="s">
        <v>77</v>
      </c>
      <c r="Y80" t="s">
        <v>26</v>
      </c>
      <c r="Z80" s="24">
        <v>42248</v>
      </c>
      <c r="AA80" s="25" t="s">
        <v>77</v>
      </c>
      <c r="AB80" t="s">
        <v>26</v>
      </c>
      <c r="AC80" s="24">
        <v>42248</v>
      </c>
      <c r="AD80" s="25" t="s">
        <v>77</v>
      </c>
      <c r="AE80" t="s">
        <v>26</v>
      </c>
      <c r="AF80" t="s">
        <v>26</v>
      </c>
      <c r="AG80" t="s">
        <v>26</v>
      </c>
      <c r="AH80" t="s">
        <v>26</v>
      </c>
      <c r="AI80" t="s">
        <v>26</v>
      </c>
      <c r="AJ80" t="s">
        <v>26</v>
      </c>
      <c r="AK80" t="s">
        <v>26</v>
      </c>
      <c r="AL80" t="s">
        <v>26</v>
      </c>
      <c r="AM80" t="s">
        <v>26</v>
      </c>
      <c r="AN80" t="s">
        <v>26</v>
      </c>
      <c r="AO80" s="25" t="s">
        <v>68</v>
      </c>
      <c r="AP80" s="23" t="s">
        <v>69</v>
      </c>
      <c r="AQ80" s="23" t="s">
        <v>30</v>
      </c>
      <c r="AR80" s="23" t="s">
        <v>315</v>
      </c>
      <c r="AS80" s="25">
        <v>2039241</v>
      </c>
      <c r="AT80" t="s">
        <v>26</v>
      </c>
      <c r="AU80" t="s">
        <v>22291</v>
      </c>
    </row>
    <row r="81" spans="1:47" ht="26.25" x14ac:dyDescent="0.4">
      <c r="A81" s="23" t="s">
        <v>316</v>
      </c>
      <c r="B81" t="s">
        <v>26</v>
      </c>
      <c r="C81" s="23" t="s">
        <v>176</v>
      </c>
      <c r="D81" s="23" t="s">
        <v>22292</v>
      </c>
      <c r="E81" s="23" t="s">
        <v>60</v>
      </c>
      <c r="F81" s="25" t="s">
        <v>317</v>
      </c>
      <c r="G81" s="25" t="s">
        <v>318</v>
      </c>
      <c r="H81" t="s">
        <v>26</v>
      </c>
      <c r="I81" t="s">
        <v>26</v>
      </c>
      <c r="J81" t="s">
        <v>26</v>
      </c>
      <c r="K81" t="s">
        <v>26</v>
      </c>
      <c r="L81" s="25" t="s">
        <v>68</v>
      </c>
      <c r="M81" t="s">
        <v>26</v>
      </c>
      <c r="N81" t="s">
        <v>26</v>
      </c>
      <c r="O81" t="s">
        <v>26</v>
      </c>
      <c r="P81" t="s">
        <v>26</v>
      </c>
      <c r="Q81" t="s">
        <v>26</v>
      </c>
      <c r="R81" t="s">
        <v>26</v>
      </c>
      <c r="S81" t="s">
        <v>26</v>
      </c>
      <c r="T81" t="s">
        <v>26</v>
      </c>
      <c r="U81" t="s">
        <v>26</v>
      </c>
      <c r="V81" t="s">
        <v>26</v>
      </c>
      <c r="W81" s="24">
        <v>40179</v>
      </c>
      <c r="X81" s="24">
        <v>44682</v>
      </c>
      <c r="Y81" t="s">
        <v>26</v>
      </c>
      <c r="Z81" s="24">
        <v>40179</v>
      </c>
      <c r="AA81" s="24">
        <v>44682</v>
      </c>
      <c r="AB81" t="s">
        <v>26</v>
      </c>
      <c r="AC81" s="24">
        <v>40179</v>
      </c>
      <c r="AD81" s="24">
        <v>44682</v>
      </c>
      <c r="AE81" t="s">
        <v>26</v>
      </c>
      <c r="AF81" t="s">
        <v>26</v>
      </c>
      <c r="AG81" t="s">
        <v>26</v>
      </c>
      <c r="AH81" t="s">
        <v>26</v>
      </c>
      <c r="AI81" t="s">
        <v>26</v>
      </c>
      <c r="AJ81" t="s">
        <v>26</v>
      </c>
      <c r="AK81" t="s">
        <v>26</v>
      </c>
      <c r="AL81" t="s">
        <v>26</v>
      </c>
      <c r="AM81" t="s">
        <v>26</v>
      </c>
      <c r="AN81" t="s">
        <v>26</v>
      </c>
      <c r="AO81" s="25" t="s">
        <v>68</v>
      </c>
      <c r="AP81" s="23" t="s">
        <v>69</v>
      </c>
      <c r="AQ81" s="23" t="s">
        <v>30</v>
      </c>
      <c r="AR81" s="23" t="s">
        <v>71</v>
      </c>
      <c r="AS81" s="25">
        <v>186261</v>
      </c>
      <c r="AT81" t="s">
        <v>26</v>
      </c>
      <c r="AU81" t="s">
        <v>22293</v>
      </c>
    </row>
    <row r="82" spans="1:47" ht="26.25" x14ac:dyDescent="0.4">
      <c r="A82" s="23" t="s">
        <v>319</v>
      </c>
      <c r="B82" t="s">
        <v>26</v>
      </c>
      <c r="C82" s="23" t="s">
        <v>320</v>
      </c>
      <c r="D82" s="23" t="s">
        <v>22294</v>
      </c>
      <c r="E82" s="23" t="s">
        <v>42</v>
      </c>
      <c r="F82" s="25" t="s">
        <v>321</v>
      </c>
      <c r="G82" s="25" t="s">
        <v>322</v>
      </c>
      <c r="H82" t="s">
        <v>26</v>
      </c>
      <c r="I82" t="s">
        <v>26</v>
      </c>
      <c r="J82" t="s">
        <v>26</v>
      </c>
      <c r="K82" t="s">
        <v>26</v>
      </c>
      <c r="L82" s="25" t="s">
        <v>68</v>
      </c>
      <c r="M82" t="s">
        <v>26</v>
      </c>
      <c r="N82" t="s">
        <v>26</v>
      </c>
      <c r="O82" t="s">
        <v>26</v>
      </c>
      <c r="P82" t="s">
        <v>26</v>
      </c>
      <c r="Q82" t="s">
        <v>26</v>
      </c>
      <c r="R82" t="s">
        <v>26</v>
      </c>
      <c r="S82" t="s">
        <v>26</v>
      </c>
      <c r="T82" t="s">
        <v>26</v>
      </c>
      <c r="U82" t="s">
        <v>26</v>
      </c>
      <c r="V82" t="s">
        <v>26</v>
      </c>
      <c r="W82" s="24">
        <v>40909</v>
      </c>
      <c r="X82" s="25" t="s">
        <v>77</v>
      </c>
      <c r="Y82" t="s">
        <v>26</v>
      </c>
      <c r="Z82" s="24">
        <v>40909</v>
      </c>
      <c r="AA82" s="25" t="s">
        <v>77</v>
      </c>
      <c r="AB82" t="s">
        <v>26</v>
      </c>
      <c r="AC82" s="24">
        <v>40909</v>
      </c>
      <c r="AD82" s="25" t="s">
        <v>77</v>
      </c>
      <c r="AE82" t="s">
        <v>26</v>
      </c>
      <c r="AF82" t="s">
        <v>26</v>
      </c>
      <c r="AG82" t="s">
        <v>26</v>
      </c>
      <c r="AH82" t="s">
        <v>26</v>
      </c>
      <c r="AI82" t="s">
        <v>26</v>
      </c>
      <c r="AJ82" t="s">
        <v>26</v>
      </c>
      <c r="AK82" t="s">
        <v>26</v>
      </c>
      <c r="AL82" t="s">
        <v>26</v>
      </c>
      <c r="AM82" t="s">
        <v>26</v>
      </c>
      <c r="AN82" t="s">
        <v>26</v>
      </c>
      <c r="AO82" s="25" t="s">
        <v>68</v>
      </c>
      <c r="AP82" s="23" t="s">
        <v>69</v>
      </c>
      <c r="AQ82" s="23" t="s">
        <v>30</v>
      </c>
      <c r="AR82" s="23" t="s">
        <v>46</v>
      </c>
      <c r="AS82" s="25">
        <v>1936366</v>
      </c>
      <c r="AT82" t="s">
        <v>26</v>
      </c>
      <c r="AU82" t="s">
        <v>22295</v>
      </c>
    </row>
    <row r="83" spans="1:47" ht="26.25" x14ac:dyDescent="0.4">
      <c r="A83" s="23" t="s">
        <v>323</v>
      </c>
      <c r="B83" t="s">
        <v>26</v>
      </c>
      <c r="C83" s="23" t="s">
        <v>80</v>
      </c>
      <c r="D83" s="23" t="s">
        <v>22184</v>
      </c>
      <c r="E83" s="23" t="s">
        <v>60</v>
      </c>
      <c r="F83" s="25" t="s">
        <v>324</v>
      </c>
      <c r="G83" t="s">
        <v>26</v>
      </c>
      <c r="H83" t="s">
        <v>26</v>
      </c>
      <c r="I83" t="s">
        <v>26</v>
      </c>
      <c r="J83" t="s">
        <v>26</v>
      </c>
      <c r="K83" t="s">
        <v>26</v>
      </c>
      <c r="L83" s="25" t="s">
        <v>68</v>
      </c>
      <c r="M83" t="s">
        <v>26</v>
      </c>
      <c r="N83" t="s">
        <v>26</v>
      </c>
      <c r="O83" t="s">
        <v>26</v>
      </c>
      <c r="P83" t="s">
        <v>26</v>
      </c>
      <c r="Q83" t="s">
        <v>26</v>
      </c>
      <c r="R83" t="s">
        <v>26</v>
      </c>
      <c r="S83" t="s">
        <v>26</v>
      </c>
      <c r="T83" t="s">
        <v>26</v>
      </c>
      <c r="U83" t="s">
        <v>26</v>
      </c>
      <c r="V83" t="s">
        <v>26</v>
      </c>
      <c r="W83" s="24">
        <v>43282</v>
      </c>
      <c r="X83" s="25" t="s">
        <v>77</v>
      </c>
      <c r="Y83" s="25" t="s">
        <v>22296</v>
      </c>
      <c r="Z83" s="24">
        <v>43282</v>
      </c>
      <c r="AA83" s="25" t="s">
        <v>77</v>
      </c>
      <c r="AB83" s="25" t="s">
        <v>22296</v>
      </c>
      <c r="AC83" s="24">
        <v>43282</v>
      </c>
      <c r="AD83" s="25" t="s">
        <v>77</v>
      </c>
      <c r="AE83" s="25" t="s">
        <v>22296</v>
      </c>
      <c r="AF83" t="s">
        <v>26</v>
      </c>
      <c r="AG83" t="s">
        <v>26</v>
      </c>
      <c r="AH83" t="s">
        <v>26</v>
      </c>
      <c r="AI83" t="s">
        <v>26</v>
      </c>
      <c r="AJ83" t="s">
        <v>26</v>
      </c>
      <c r="AK83" t="s">
        <v>26</v>
      </c>
      <c r="AL83" t="s">
        <v>26</v>
      </c>
      <c r="AM83" t="s">
        <v>26</v>
      </c>
      <c r="AN83" t="s">
        <v>26</v>
      </c>
      <c r="AO83" s="25" t="s">
        <v>68</v>
      </c>
      <c r="AP83" s="23" t="s">
        <v>69</v>
      </c>
      <c r="AQ83" s="23" t="s">
        <v>30</v>
      </c>
      <c r="AR83" s="23" t="s">
        <v>325</v>
      </c>
      <c r="AS83" s="25">
        <v>53150</v>
      </c>
      <c r="AT83" t="s">
        <v>26</v>
      </c>
      <c r="AU83" t="s">
        <v>22297</v>
      </c>
    </row>
    <row r="84" spans="1:47" ht="26.25" x14ac:dyDescent="0.4">
      <c r="A84" s="23" t="s">
        <v>323</v>
      </c>
      <c r="B84" t="s">
        <v>26</v>
      </c>
      <c r="C84" s="23" t="s">
        <v>80</v>
      </c>
      <c r="D84" s="23" t="s">
        <v>22184</v>
      </c>
      <c r="E84" s="23" t="s">
        <v>60</v>
      </c>
      <c r="F84" s="25" t="s">
        <v>324</v>
      </c>
      <c r="G84" t="s">
        <v>26</v>
      </c>
      <c r="H84" t="s">
        <v>26</v>
      </c>
      <c r="I84" t="s">
        <v>26</v>
      </c>
      <c r="J84" t="s">
        <v>26</v>
      </c>
      <c r="K84" t="s">
        <v>26</v>
      </c>
      <c r="L84" s="25" t="s">
        <v>68</v>
      </c>
      <c r="M84" t="s">
        <v>26</v>
      </c>
      <c r="N84" t="s">
        <v>26</v>
      </c>
      <c r="O84" t="s">
        <v>26</v>
      </c>
      <c r="P84" t="s">
        <v>26</v>
      </c>
      <c r="Q84" t="s">
        <v>26</v>
      </c>
      <c r="R84" t="s">
        <v>26</v>
      </c>
      <c r="S84" t="s">
        <v>26</v>
      </c>
      <c r="T84" t="s">
        <v>26</v>
      </c>
      <c r="U84" t="s">
        <v>26</v>
      </c>
      <c r="V84" t="s">
        <v>26</v>
      </c>
      <c r="W84" s="24">
        <v>40544</v>
      </c>
      <c r="X84" s="25" t="s">
        <v>77</v>
      </c>
      <c r="Y84" t="s">
        <v>26</v>
      </c>
      <c r="Z84" s="24">
        <v>40544</v>
      </c>
      <c r="AA84" s="25" t="s">
        <v>77</v>
      </c>
      <c r="AB84" t="s">
        <v>26</v>
      </c>
      <c r="AC84" s="24">
        <v>40544</v>
      </c>
      <c r="AD84" s="25" t="s">
        <v>77</v>
      </c>
      <c r="AE84" t="s">
        <v>26</v>
      </c>
      <c r="AF84" t="s">
        <v>26</v>
      </c>
      <c r="AG84" t="s">
        <v>26</v>
      </c>
      <c r="AH84" t="s">
        <v>26</v>
      </c>
      <c r="AI84" t="s">
        <v>26</v>
      </c>
      <c r="AJ84" t="s">
        <v>26</v>
      </c>
      <c r="AK84" t="s">
        <v>26</v>
      </c>
      <c r="AL84" t="s">
        <v>26</v>
      </c>
      <c r="AM84" t="s">
        <v>26</v>
      </c>
      <c r="AN84" t="s">
        <v>26</v>
      </c>
      <c r="AO84" s="25" t="s">
        <v>68</v>
      </c>
      <c r="AP84" s="23" t="s">
        <v>69</v>
      </c>
      <c r="AQ84" s="23" t="s">
        <v>30</v>
      </c>
      <c r="AR84" s="23" t="s">
        <v>325</v>
      </c>
      <c r="AS84" s="25">
        <v>2033431</v>
      </c>
      <c r="AT84" t="s">
        <v>26</v>
      </c>
      <c r="AU84" t="s">
        <v>22298</v>
      </c>
    </row>
    <row r="85" spans="1:47" ht="39.4" x14ac:dyDescent="0.4">
      <c r="A85" s="23" t="s">
        <v>326</v>
      </c>
      <c r="B85" t="s">
        <v>26</v>
      </c>
      <c r="C85" s="23" t="s">
        <v>327</v>
      </c>
      <c r="D85" s="23" t="s">
        <v>22299</v>
      </c>
      <c r="E85" s="23" t="s">
        <v>328</v>
      </c>
      <c r="F85" s="25" t="s">
        <v>329</v>
      </c>
      <c r="G85" s="25" t="s">
        <v>330</v>
      </c>
      <c r="H85" t="s">
        <v>26</v>
      </c>
      <c r="I85" s="24">
        <v>36708</v>
      </c>
      <c r="J85" s="25" t="s">
        <v>77</v>
      </c>
      <c r="K85" t="s">
        <v>26</v>
      </c>
      <c r="L85" s="25" t="s">
        <v>68</v>
      </c>
      <c r="M85" s="24">
        <v>36708</v>
      </c>
      <c r="N85" s="25" t="s">
        <v>77</v>
      </c>
      <c r="O85" t="s">
        <v>26</v>
      </c>
      <c r="P85" s="24">
        <v>36708</v>
      </c>
      <c r="Q85" s="25" t="s">
        <v>77</v>
      </c>
      <c r="R85" t="s">
        <v>26</v>
      </c>
      <c r="S85" t="s">
        <v>26</v>
      </c>
      <c r="T85" t="s">
        <v>26</v>
      </c>
      <c r="U85" t="s">
        <v>26</v>
      </c>
      <c r="V85" t="s">
        <v>26</v>
      </c>
      <c r="W85" s="24">
        <v>36708</v>
      </c>
      <c r="X85" s="25" t="s">
        <v>77</v>
      </c>
      <c r="Y85" t="s">
        <v>26</v>
      </c>
      <c r="Z85" s="24">
        <v>36708</v>
      </c>
      <c r="AA85" s="25" t="s">
        <v>77</v>
      </c>
      <c r="AB85" t="s">
        <v>26</v>
      </c>
      <c r="AC85" s="24">
        <v>36708</v>
      </c>
      <c r="AD85" s="25" t="s">
        <v>77</v>
      </c>
      <c r="AE85" t="s">
        <v>26</v>
      </c>
      <c r="AF85" t="s">
        <v>26</v>
      </c>
      <c r="AG85" t="s">
        <v>26</v>
      </c>
      <c r="AH85" t="s">
        <v>26</v>
      </c>
      <c r="AI85" t="s">
        <v>26</v>
      </c>
      <c r="AJ85" t="s">
        <v>26</v>
      </c>
      <c r="AK85" t="s">
        <v>26</v>
      </c>
      <c r="AL85" t="s">
        <v>26</v>
      </c>
      <c r="AM85" t="s">
        <v>26</v>
      </c>
      <c r="AN85" t="s">
        <v>26</v>
      </c>
      <c r="AO85" s="25" t="s">
        <v>68</v>
      </c>
      <c r="AP85" s="23" t="s">
        <v>69</v>
      </c>
      <c r="AQ85" s="23" t="s">
        <v>331</v>
      </c>
      <c r="AR85" s="23" t="s">
        <v>71</v>
      </c>
      <c r="AS85" s="25">
        <v>2040943</v>
      </c>
      <c r="AT85" t="s">
        <v>26</v>
      </c>
      <c r="AU85" t="s">
        <v>22300</v>
      </c>
    </row>
    <row r="86" spans="1:47" ht="13.15" x14ac:dyDescent="0.4">
      <c r="A86" s="23" t="s">
        <v>22301</v>
      </c>
      <c r="B86" t="s">
        <v>26</v>
      </c>
      <c r="C86" s="23" t="s">
        <v>332</v>
      </c>
      <c r="D86" s="23" t="s">
        <v>22256</v>
      </c>
      <c r="E86" s="23" t="s">
        <v>42</v>
      </c>
      <c r="F86" t="s">
        <v>26</v>
      </c>
      <c r="G86" t="s">
        <v>26</v>
      </c>
      <c r="H86" t="s">
        <v>26</v>
      </c>
      <c r="I86" s="24">
        <v>39814</v>
      </c>
      <c r="J86" s="24">
        <v>40179</v>
      </c>
      <c r="K86" t="s">
        <v>26</v>
      </c>
      <c r="L86" s="25" t="s">
        <v>28</v>
      </c>
      <c r="M86" s="24">
        <v>39814</v>
      </c>
      <c r="N86" s="24">
        <v>40179</v>
      </c>
      <c r="O86" t="s">
        <v>26</v>
      </c>
      <c r="P86" t="s">
        <v>26</v>
      </c>
      <c r="Q86" t="s">
        <v>26</v>
      </c>
      <c r="R86" t="s">
        <v>26</v>
      </c>
      <c r="S86" t="s">
        <v>26</v>
      </c>
      <c r="T86" t="s">
        <v>26</v>
      </c>
      <c r="U86" t="s">
        <v>26</v>
      </c>
      <c r="V86" t="s">
        <v>26</v>
      </c>
      <c r="W86" s="24">
        <v>39814</v>
      </c>
      <c r="X86" s="24">
        <v>40179</v>
      </c>
      <c r="Y86" t="s">
        <v>26</v>
      </c>
      <c r="Z86" s="24">
        <v>39814</v>
      </c>
      <c r="AA86" s="24">
        <v>40179</v>
      </c>
      <c r="AB86" t="s">
        <v>26</v>
      </c>
      <c r="AC86" s="24">
        <v>39814</v>
      </c>
      <c r="AD86" s="24">
        <v>40179</v>
      </c>
      <c r="AE86" t="s">
        <v>26</v>
      </c>
      <c r="AF86" t="s">
        <v>26</v>
      </c>
      <c r="AG86" t="s">
        <v>26</v>
      </c>
      <c r="AH86" t="s">
        <v>26</v>
      </c>
      <c r="AI86" t="s">
        <v>26</v>
      </c>
      <c r="AJ86" t="s">
        <v>26</v>
      </c>
      <c r="AK86" t="s">
        <v>26</v>
      </c>
      <c r="AL86" t="s">
        <v>26</v>
      </c>
      <c r="AM86" t="s">
        <v>26</v>
      </c>
      <c r="AN86" t="s">
        <v>26</v>
      </c>
      <c r="AO86" s="25" t="s">
        <v>28</v>
      </c>
      <c r="AP86" s="23" t="s">
        <v>279</v>
      </c>
      <c r="AQ86" s="23" t="s">
        <v>30</v>
      </c>
      <c r="AR86" s="23" t="s">
        <v>46</v>
      </c>
      <c r="AS86" s="25">
        <v>6128791</v>
      </c>
      <c r="AT86" t="s">
        <v>26</v>
      </c>
      <c r="AU86" t="s">
        <v>22302</v>
      </c>
    </row>
    <row r="87" spans="1:47" ht="13.15" x14ac:dyDescent="0.4">
      <c r="A87" s="23" t="s">
        <v>333</v>
      </c>
      <c r="B87" t="s">
        <v>26</v>
      </c>
      <c r="C87" s="23" t="s">
        <v>334</v>
      </c>
      <c r="D87" s="23" t="s">
        <v>22303</v>
      </c>
      <c r="E87" s="23" t="s">
        <v>335</v>
      </c>
      <c r="F87" s="25" t="s">
        <v>336</v>
      </c>
      <c r="G87" t="s">
        <v>26</v>
      </c>
      <c r="H87" t="s">
        <v>26</v>
      </c>
      <c r="I87" s="24">
        <v>38018</v>
      </c>
      <c r="J87" s="24">
        <v>42767</v>
      </c>
      <c r="K87" t="s">
        <v>26</v>
      </c>
      <c r="L87" s="25" t="s">
        <v>28</v>
      </c>
      <c r="M87" s="24">
        <v>38018</v>
      </c>
      <c r="N87" s="24">
        <v>42767</v>
      </c>
      <c r="O87" t="s">
        <v>26</v>
      </c>
      <c r="P87" s="24">
        <v>38018</v>
      </c>
      <c r="Q87" s="24">
        <v>42767</v>
      </c>
      <c r="R87" t="s">
        <v>26</v>
      </c>
      <c r="S87" t="s">
        <v>26</v>
      </c>
      <c r="T87" t="s">
        <v>26</v>
      </c>
      <c r="U87" t="s">
        <v>26</v>
      </c>
      <c r="V87" t="s">
        <v>26</v>
      </c>
      <c r="W87" s="24">
        <v>38018</v>
      </c>
      <c r="X87" s="24">
        <v>42767</v>
      </c>
      <c r="Y87" t="s">
        <v>26</v>
      </c>
      <c r="Z87" s="24">
        <v>38018</v>
      </c>
      <c r="AA87" s="24">
        <v>42767</v>
      </c>
      <c r="AB87" t="s">
        <v>26</v>
      </c>
      <c r="AC87" s="24">
        <v>38018</v>
      </c>
      <c r="AD87" s="24">
        <v>42767</v>
      </c>
      <c r="AE87" t="s">
        <v>26</v>
      </c>
      <c r="AF87" t="s">
        <v>26</v>
      </c>
      <c r="AG87" t="s">
        <v>26</v>
      </c>
      <c r="AH87" t="s">
        <v>26</v>
      </c>
      <c r="AI87" t="s">
        <v>26</v>
      </c>
      <c r="AJ87" t="s">
        <v>26</v>
      </c>
      <c r="AK87" t="s">
        <v>26</v>
      </c>
      <c r="AL87" t="s">
        <v>26</v>
      </c>
      <c r="AM87" t="s">
        <v>26</v>
      </c>
      <c r="AN87" t="s">
        <v>26</v>
      </c>
      <c r="AO87" s="25" t="s">
        <v>28</v>
      </c>
      <c r="AP87" s="23" t="s">
        <v>211</v>
      </c>
      <c r="AQ87" s="23" t="s">
        <v>30</v>
      </c>
      <c r="AR87" s="23" t="s">
        <v>337</v>
      </c>
      <c r="AS87" s="25">
        <v>44535</v>
      </c>
      <c r="AT87" t="s">
        <v>26</v>
      </c>
      <c r="AU87" t="s">
        <v>22304</v>
      </c>
    </row>
    <row r="88" spans="1:47" ht="13.15" x14ac:dyDescent="0.4">
      <c r="A88" s="23" t="s">
        <v>338</v>
      </c>
      <c r="B88" t="s">
        <v>26</v>
      </c>
      <c r="C88" s="23" t="s">
        <v>334</v>
      </c>
      <c r="D88" s="23" t="s">
        <v>22303</v>
      </c>
      <c r="E88" s="23" t="s">
        <v>335</v>
      </c>
      <c r="F88" s="25" t="s">
        <v>339</v>
      </c>
      <c r="G88" t="s">
        <v>26</v>
      </c>
      <c r="H88" t="s">
        <v>26</v>
      </c>
      <c r="I88" s="24">
        <v>36982</v>
      </c>
      <c r="J88" s="24">
        <v>42278</v>
      </c>
      <c r="K88" t="s">
        <v>26</v>
      </c>
      <c r="L88" s="25" t="s">
        <v>28</v>
      </c>
      <c r="M88" s="24">
        <v>36982</v>
      </c>
      <c r="N88" s="24">
        <v>42278</v>
      </c>
      <c r="O88" t="s">
        <v>26</v>
      </c>
      <c r="P88" s="24">
        <v>38718</v>
      </c>
      <c r="Q88" s="24">
        <v>42278</v>
      </c>
      <c r="R88" t="s">
        <v>26</v>
      </c>
      <c r="S88" t="s">
        <v>26</v>
      </c>
      <c r="T88" t="s">
        <v>26</v>
      </c>
      <c r="U88" t="s">
        <v>26</v>
      </c>
      <c r="V88" t="s">
        <v>26</v>
      </c>
      <c r="W88" s="24">
        <v>33695</v>
      </c>
      <c r="X88" s="24">
        <v>42278</v>
      </c>
      <c r="Y88" t="s">
        <v>26</v>
      </c>
      <c r="Z88" s="24">
        <v>33695</v>
      </c>
      <c r="AA88" s="24">
        <v>42278</v>
      </c>
      <c r="AB88" t="s">
        <v>26</v>
      </c>
      <c r="AC88" s="24">
        <v>36982</v>
      </c>
      <c r="AD88" s="24">
        <v>42278</v>
      </c>
      <c r="AE88" t="s">
        <v>26</v>
      </c>
      <c r="AF88" t="s">
        <v>26</v>
      </c>
      <c r="AG88" t="s">
        <v>26</v>
      </c>
      <c r="AH88" t="s">
        <v>26</v>
      </c>
      <c r="AI88" t="s">
        <v>26</v>
      </c>
      <c r="AJ88" t="s">
        <v>26</v>
      </c>
      <c r="AK88" t="s">
        <v>26</v>
      </c>
      <c r="AL88" t="s">
        <v>26</v>
      </c>
      <c r="AM88" t="s">
        <v>26</v>
      </c>
      <c r="AN88" t="s">
        <v>26</v>
      </c>
      <c r="AO88" s="25" t="s">
        <v>28</v>
      </c>
      <c r="AP88" s="23" t="s">
        <v>211</v>
      </c>
      <c r="AQ88" s="23" t="s">
        <v>30</v>
      </c>
      <c r="AR88" s="23" t="s">
        <v>337</v>
      </c>
      <c r="AS88" s="25">
        <v>44723</v>
      </c>
      <c r="AT88" t="s">
        <v>26</v>
      </c>
      <c r="AU88" t="s">
        <v>22305</v>
      </c>
    </row>
    <row r="89" spans="1:47" ht="26.25" x14ac:dyDescent="0.4">
      <c r="A89" s="23" t="s">
        <v>340</v>
      </c>
      <c r="B89" t="s">
        <v>26</v>
      </c>
      <c r="C89" s="23" t="s">
        <v>341</v>
      </c>
      <c r="D89" s="23" t="s">
        <v>22190</v>
      </c>
      <c r="E89" s="23" t="s">
        <v>60</v>
      </c>
      <c r="F89" s="25" t="s">
        <v>342</v>
      </c>
      <c r="G89" s="25" t="s">
        <v>343</v>
      </c>
      <c r="H89" t="s">
        <v>26</v>
      </c>
      <c r="I89" s="24">
        <v>36892</v>
      </c>
      <c r="J89" s="25" t="s">
        <v>77</v>
      </c>
      <c r="K89" s="25" t="s">
        <v>344</v>
      </c>
      <c r="L89" s="25" t="s">
        <v>68</v>
      </c>
      <c r="M89" s="24">
        <v>36892</v>
      </c>
      <c r="N89" s="25" t="s">
        <v>77</v>
      </c>
      <c r="O89" s="25" t="s">
        <v>344</v>
      </c>
      <c r="P89" s="24">
        <v>36892</v>
      </c>
      <c r="Q89" s="25" t="s">
        <v>77</v>
      </c>
      <c r="R89" s="25" t="s">
        <v>344</v>
      </c>
      <c r="S89" t="s">
        <v>26</v>
      </c>
      <c r="T89" t="s">
        <v>26</v>
      </c>
      <c r="U89" t="s">
        <v>26</v>
      </c>
      <c r="V89" s="25">
        <v>60</v>
      </c>
      <c r="W89" s="24">
        <v>36892</v>
      </c>
      <c r="X89" s="25" t="s">
        <v>77</v>
      </c>
      <c r="Y89" s="25" t="s">
        <v>344</v>
      </c>
      <c r="Z89" s="24">
        <v>36892</v>
      </c>
      <c r="AA89" s="25" t="s">
        <v>77</v>
      </c>
      <c r="AB89" s="25" t="s">
        <v>344</v>
      </c>
      <c r="AC89" s="24">
        <v>36892</v>
      </c>
      <c r="AD89" s="25" t="s">
        <v>77</v>
      </c>
      <c r="AE89" s="25" t="s">
        <v>344</v>
      </c>
      <c r="AF89" t="s">
        <v>26</v>
      </c>
      <c r="AG89" t="s">
        <v>26</v>
      </c>
      <c r="AH89" t="s">
        <v>26</v>
      </c>
      <c r="AI89" t="s">
        <v>26</v>
      </c>
      <c r="AJ89" t="s">
        <v>26</v>
      </c>
      <c r="AK89" t="s">
        <v>26</v>
      </c>
      <c r="AL89" t="s">
        <v>26</v>
      </c>
      <c r="AM89" t="s">
        <v>26</v>
      </c>
      <c r="AN89" t="s">
        <v>26</v>
      </c>
      <c r="AO89" s="25" t="s">
        <v>68</v>
      </c>
      <c r="AP89" s="23" t="s">
        <v>69</v>
      </c>
      <c r="AQ89" s="23" t="s">
        <v>30</v>
      </c>
      <c r="AR89" s="23" t="s">
        <v>203</v>
      </c>
      <c r="AS89" s="25">
        <v>1216346</v>
      </c>
      <c r="AT89" t="s">
        <v>26</v>
      </c>
      <c r="AU89" t="s">
        <v>22306</v>
      </c>
    </row>
    <row r="90" spans="1:47" ht="26.25" x14ac:dyDescent="0.4">
      <c r="A90" s="23" t="s">
        <v>345</v>
      </c>
      <c r="B90" t="s">
        <v>26</v>
      </c>
      <c r="C90" s="23" t="s">
        <v>22238</v>
      </c>
      <c r="D90" s="23" t="s">
        <v>22307</v>
      </c>
      <c r="E90" s="23" t="s">
        <v>42</v>
      </c>
      <c r="F90" t="s">
        <v>26</v>
      </c>
      <c r="G90" t="s">
        <v>26</v>
      </c>
      <c r="H90" t="s">
        <v>26</v>
      </c>
      <c r="I90" s="24">
        <v>42736</v>
      </c>
      <c r="J90" s="24">
        <v>42736</v>
      </c>
      <c r="K90" t="s">
        <v>26</v>
      </c>
      <c r="L90" s="25" t="s">
        <v>28</v>
      </c>
      <c r="M90" s="24">
        <v>42736</v>
      </c>
      <c r="N90" s="24">
        <v>42736</v>
      </c>
      <c r="O90" t="s">
        <v>26</v>
      </c>
      <c r="P90" t="s">
        <v>26</v>
      </c>
      <c r="Q90" t="s">
        <v>26</v>
      </c>
      <c r="R90" t="s">
        <v>26</v>
      </c>
      <c r="S90" s="24">
        <v>42736</v>
      </c>
      <c r="T90" s="24">
        <v>42736</v>
      </c>
      <c r="U90" t="s">
        <v>26</v>
      </c>
      <c r="V90" t="s">
        <v>26</v>
      </c>
      <c r="W90" s="24">
        <v>42736</v>
      </c>
      <c r="X90" s="24">
        <v>42736</v>
      </c>
      <c r="Y90" t="s">
        <v>26</v>
      </c>
      <c r="Z90" s="24">
        <v>42736</v>
      </c>
      <c r="AA90" s="24">
        <v>42736</v>
      </c>
      <c r="AB90" t="s">
        <v>26</v>
      </c>
      <c r="AC90" s="24">
        <v>42736</v>
      </c>
      <c r="AD90" s="24">
        <v>42736</v>
      </c>
      <c r="AE90" t="s">
        <v>26</v>
      </c>
      <c r="AF90" s="24">
        <v>42736</v>
      </c>
      <c r="AG90" s="24">
        <v>42736</v>
      </c>
      <c r="AH90" t="s">
        <v>26</v>
      </c>
      <c r="AI90" s="24">
        <v>42736</v>
      </c>
      <c r="AJ90" s="24">
        <v>42736</v>
      </c>
      <c r="AK90" t="s">
        <v>26</v>
      </c>
      <c r="AL90" t="s">
        <v>26</v>
      </c>
      <c r="AM90" t="s">
        <v>26</v>
      </c>
      <c r="AN90" t="s">
        <v>26</v>
      </c>
      <c r="AO90" s="25" t="s">
        <v>28</v>
      </c>
      <c r="AP90" s="23" t="s">
        <v>43</v>
      </c>
      <c r="AQ90" s="23" t="s">
        <v>30</v>
      </c>
      <c r="AR90" s="23" t="s">
        <v>46</v>
      </c>
      <c r="AS90" s="25">
        <v>6447833</v>
      </c>
      <c r="AT90" t="s">
        <v>26</v>
      </c>
      <c r="AU90" t="s">
        <v>22308</v>
      </c>
    </row>
    <row r="91" spans="1:47" ht="26.25" x14ac:dyDescent="0.4">
      <c r="A91" s="23" t="s">
        <v>346</v>
      </c>
      <c r="B91" t="s">
        <v>26</v>
      </c>
      <c r="C91" s="23" t="s">
        <v>347</v>
      </c>
      <c r="D91" s="23" t="s">
        <v>22309</v>
      </c>
      <c r="E91" s="23" t="s">
        <v>42</v>
      </c>
      <c r="F91" s="25" t="s">
        <v>348</v>
      </c>
      <c r="G91" s="25" t="s">
        <v>349</v>
      </c>
      <c r="H91" t="s">
        <v>26</v>
      </c>
      <c r="I91" s="24">
        <v>32874</v>
      </c>
      <c r="J91" s="25" t="s">
        <v>77</v>
      </c>
      <c r="K91" t="s">
        <v>26</v>
      </c>
      <c r="L91" s="25" t="s">
        <v>68</v>
      </c>
      <c r="M91" s="24">
        <v>34335</v>
      </c>
      <c r="N91" s="25" t="s">
        <v>77</v>
      </c>
      <c r="O91" t="s">
        <v>26</v>
      </c>
      <c r="P91" s="24">
        <v>32874</v>
      </c>
      <c r="Q91" s="25" t="s">
        <v>77</v>
      </c>
      <c r="R91" t="s">
        <v>26</v>
      </c>
      <c r="S91" t="s">
        <v>26</v>
      </c>
      <c r="T91" t="s">
        <v>26</v>
      </c>
      <c r="U91" t="s">
        <v>26</v>
      </c>
      <c r="V91" t="s">
        <v>26</v>
      </c>
      <c r="W91" s="24">
        <v>32509</v>
      </c>
      <c r="X91" s="25" t="s">
        <v>77</v>
      </c>
      <c r="Y91" t="s">
        <v>26</v>
      </c>
      <c r="Z91" s="24">
        <v>32509</v>
      </c>
      <c r="AA91" s="25" t="s">
        <v>77</v>
      </c>
      <c r="AB91" t="s">
        <v>26</v>
      </c>
      <c r="AC91" s="24">
        <v>32509</v>
      </c>
      <c r="AD91" s="25" t="s">
        <v>77</v>
      </c>
      <c r="AE91" t="s">
        <v>26</v>
      </c>
      <c r="AF91" t="s">
        <v>26</v>
      </c>
      <c r="AG91" t="s">
        <v>26</v>
      </c>
      <c r="AH91" t="s">
        <v>26</v>
      </c>
      <c r="AI91" t="s">
        <v>26</v>
      </c>
      <c r="AJ91" t="s">
        <v>26</v>
      </c>
      <c r="AK91" t="s">
        <v>26</v>
      </c>
      <c r="AL91" t="s">
        <v>26</v>
      </c>
      <c r="AM91" t="s">
        <v>26</v>
      </c>
      <c r="AN91" t="s">
        <v>26</v>
      </c>
      <c r="AO91" s="25" t="s">
        <v>68</v>
      </c>
      <c r="AP91" s="23" t="s">
        <v>69</v>
      </c>
      <c r="AQ91" s="23" t="s">
        <v>30</v>
      </c>
      <c r="AR91" s="23" t="s">
        <v>203</v>
      </c>
      <c r="AS91" s="25">
        <v>48866</v>
      </c>
      <c r="AT91" t="s">
        <v>26</v>
      </c>
      <c r="AU91" t="s">
        <v>22310</v>
      </c>
    </row>
    <row r="92" spans="1:47" ht="26.25" x14ac:dyDescent="0.4">
      <c r="A92" s="23" t="s">
        <v>350</v>
      </c>
      <c r="B92" t="s">
        <v>26</v>
      </c>
      <c r="C92" s="23" t="s">
        <v>351</v>
      </c>
      <c r="D92" s="23" t="s">
        <v>22242</v>
      </c>
      <c r="E92" s="23" t="s">
        <v>60</v>
      </c>
      <c r="F92" s="25" t="s">
        <v>352</v>
      </c>
      <c r="G92" s="25" t="s">
        <v>353</v>
      </c>
      <c r="H92" t="s">
        <v>26</v>
      </c>
      <c r="I92" t="s">
        <v>26</v>
      </c>
      <c r="J92" t="s">
        <v>26</v>
      </c>
      <c r="K92" t="s">
        <v>26</v>
      </c>
      <c r="L92" s="25" t="s">
        <v>68</v>
      </c>
      <c r="M92" t="s">
        <v>26</v>
      </c>
      <c r="N92" t="s">
        <v>26</v>
      </c>
      <c r="O92" t="s">
        <v>26</v>
      </c>
      <c r="P92" t="s">
        <v>26</v>
      </c>
      <c r="Q92" t="s">
        <v>26</v>
      </c>
      <c r="R92" t="s">
        <v>26</v>
      </c>
      <c r="S92" t="s">
        <v>26</v>
      </c>
      <c r="T92" t="s">
        <v>26</v>
      </c>
      <c r="U92" t="s">
        <v>26</v>
      </c>
      <c r="V92" t="s">
        <v>26</v>
      </c>
      <c r="W92" s="24">
        <v>36161</v>
      </c>
      <c r="X92" s="24">
        <v>39995</v>
      </c>
      <c r="Y92" t="s">
        <v>26</v>
      </c>
      <c r="Z92" s="24">
        <v>36161</v>
      </c>
      <c r="AA92" s="24">
        <v>39995</v>
      </c>
      <c r="AB92" t="s">
        <v>26</v>
      </c>
      <c r="AC92" s="24">
        <v>36161</v>
      </c>
      <c r="AD92" s="24">
        <v>39995</v>
      </c>
      <c r="AE92" t="s">
        <v>26</v>
      </c>
      <c r="AF92" t="s">
        <v>26</v>
      </c>
      <c r="AG92" t="s">
        <v>26</v>
      </c>
      <c r="AH92" t="s">
        <v>26</v>
      </c>
      <c r="AI92" t="s">
        <v>26</v>
      </c>
      <c r="AJ92" t="s">
        <v>26</v>
      </c>
      <c r="AK92" t="s">
        <v>26</v>
      </c>
      <c r="AL92" t="s">
        <v>26</v>
      </c>
      <c r="AM92" t="s">
        <v>26</v>
      </c>
      <c r="AN92" t="s">
        <v>26</v>
      </c>
      <c r="AO92" s="25" t="s">
        <v>68</v>
      </c>
      <c r="AP92" s="23" t="s">
        <v>69</v>
      </c>
      <c r="AQ92" s="23" t="s">
        <v>30</v>
      </c>
      <c r="AR92" s="23" t="s">
        <v>203</v>
      </c>
      <c r="AS92" s="25">
        <v>46106</v>
      </c>
      <c r="AT92" t="s">
        <v>26</v>
      </c>
      <c r="AU92" t="s">
        <v>22311</v>
      </c>
    </row>
    <row r="93" spans="1:47" ht="26.25" x14ac:dyDescent="0.4">
      <c r="A93" s="23" t="s">
        <v>354</v>
      </c>
      <c r="B93" t="s">
        <v>26</v>
      </c>
      <c r="C93" s="23" t="s">
        <v>320</v>
      </c>
      <c r="D93" s="23" t="s">
        <v>22312</v>
      </c>
      <c r="E93" s="23" t="s">
        <v>42</v>
      </c>
      <c r="F93" s="25" t="s">
        <v>355</v>
      </c>
      <c r="G93" s="25" t="s">
        <v>356</v>
      </c>
      <c r="H93" t="s">
        <v>26</v>
      </c>
      <c r="I93" t="s">
        <v>26</v>
      </c>
      <c r="J93" t="s">
        <v>26</v>
      </c>
      <c r="K93" t="s">
        <v>26</v>
      </c>
      <c r="L93" s="25" t="s">
        <v>68</v>
      </c>
      <c r="M93" t="s">
        <v>26</v>
      </c>
      <c r="N93" t="s">
        <v>26</v>
      </c>
      <c r="O93" t="s">
        <v>26</v>
      </c>
      <c r="P93" t="s">
        <v>26</v>
      </c>
      <c r="Q93" t="s">
        <v>26</v>
      </c>
      <c r="R93" t="s">
        <v>26</v>
      </c>
      <c r="S93" t="s">
        <v>26</v>
      </c>
      <c r="T93" t="s">
        <v>26</v>
      </c>
      <c r="U93" t="s">
        <v>26</v>
      </c>
      <c r="V93" t="s">
        <v>26</v>
      </c>
      <c r="W93" s="24">
        <v>40544</v>
      </c>
      <c r="X93" s="25" t="s">
        <v>77</v>
      </c>
      <c r="Y93" t="s">
        <v>26</v>
      </c>
      <c r="Z93" s="24">
        <v>40544</v>
      </c>
      <c r="AA93" s="25" t="s">
        <v>77</v>
      </c>
      <c r="AB93" t="s">
        <v>26</v>
      </c>
      <c r="AC93" s="24">
        <v>40544</v>
      </c>
      <c r="AD93" s="25" t="s">
        <v>77</v>
      </c>
      <c r="AE93" t="s">
        <v>26</v>
      </c>
      <c r="AF93" t="s">
        <v>26</v>
      </c>
      <c r="AG93" t="s">
        <v>26</v>
      </c>
      <c r="AH93" t="s">
        <v>26</v>
      </c>
      <c r="AI93" t="s">
        <v>26</v>
      </c>
      <c r="AJ93" t="s">
        <v>26</v>
      </c>
      <c r="AK93" t="s">
        <v>26</v>
      </c>
      <c r="AL93" t="s">
        <v>26</v>
      </c>
      <c r="AM93" t="s">
        <v>26</v>
      </c>
      <c r="AN93" t="s">
        <v>26</v>
      </c>
      <c r="AO93" s="25" t="s">
        <v>68</v>
      </c>
      <c r="AP93" s="23" t="s">
        <v>69</v>
      </c>
      <c r="AQ93" s="23" t="s">
        <v>30</v>
      </c>
      <c r="AR93" s="23" t="s">
        <v>203</v>
      </c>
      <c r="AS93" s="25">
        <v>946353</v>
      </c>
      <c r="AT93" t="s">
        <v>26</v>
      </c>
      <c r="AU93" t="s">
        <v>22313</v>
      </c>
    </row>
    <row r="94" spans="1:47" ht="13.15" x14ac:dyDescent="0.4">
      <c r="A94" s="23" t="s">
        <v>357</v>
      </c>
      <c r="B94" t="s">
        <v>26</v>
      </c>
      <c r="C94" s="23" t="s">
        <v>320</v>
      </c>
      <c r="D94" s="23" t="s">
        <v>22294</v>
      </c>
      <c r="E94" s="23" t="s">
        <v>42</v>
      </c>
      <c r="F94" s="25" t="s">
        <v>358</v>
      </c>
      <c r="G94" s="25" t="s">
        <v>359</v>
      </c>
      <c r="H94" t="s">
        <v>26</v>
      </c>
      <c r="I94" t="s">
        <v>26</v>
      </c>
      <c r="J94" t="s">
        <v>26</v>
      </c>
      <c r="K94" t="s">
        <v>26</v>
      </c>
      <c r="L94" s="25" t="s">
        <v>28</v>
      </c>
      <c r="M94" t="s">
        <v>26</v>
      </c>
      <c r="N94" t="s">
        <v>26</v>
      </c>
      <c r="O94" t="s">
        <v>26</v>
      </c>
      <c r="P94" t="s">
        <v>26</v>
      </c>
      <c r="Q94" t="s">
        <v>26</v>
      </c>
      <c r="R94" t="s">
        <v>26</v>
      </c>
      <c r="S94" t="s">
        <v>26</v>
      </c>
      <c r="T94" t="s">
        <v>26</v>
      </c>
      <c r="U94" t="s">
        <v>26</v>
      </c>
      <c r="V94" t="s">
        <v>26</v>
      </c>
      <c r="W94" s="24">
        <v>34561</v>
      </c>
      <c r="X94" s="25" t="s">
        <v>77</v>
      </c>
      <c r="Y94" t="s">
        <v>26</v>
      </c>
      <c r="Z94" s="24">
        <v>34561</v>
      </c>
      <c r="AA94" s="25" t="s">
        <v>77</v>
      </c>
      <c r="AB94" t="s">
        <v>26</v>
      </c>
      <c r="AC94" s="24">
        <v>34561</v>
      </c>
      <c r="AD94" s="25" t="s">
        <v>77</v>
      </c>
      <c r="AE94" t="s">
        <v>26</v>
      </c>
      <c r="AF94" t="s">
        <v>26</v>
      </c>
      <c r="AG94" t="s">
        <v>26</v>
      </c>
      <c r="AH94" t="s">
        <v>26</v>
      </c>
      <c r="AI94" t="s">
        <v>26</v>
      </c>
      <c r="AJ94" t="s">
        <v>26</v>
      </c>
      <c r="AK94" t="s">
        <v>26</v>
      </c>
      <c r="AL94" t="s">
        <v>26</v>
      </c>
      <c r="AM94" t="s">
        <v>26</v>
      </c>
      <c r="AN94" t="s">
        <v>26</v>
      </c>
      <c r="AO94" s="25" t="s">
        <v>28</v>
      </c>
      <c r="AP94" s="23" t="s">
        <v>211</v>
      </c>
      <c r="AQ94" s="23" t="s">
        <v>30</v>
      </c>
      <c r="AR94" s="23" t="s">
        <v>203</v>
      </c>
      <c r="AS94" s="25">
        <v>4240</v>
      </c>
      <c r="AT94" t="s">
        <v>26</v>
      </c>
      <c r="AU94" t="s">
        <v>22314</v>
      </c>
    </row>
    <row r="95" spans="1:47" ht="26.25" x14ac:dyDescent="0.4">
      <c r="A95" s="23" t="s">
        <v>360</v>
      </c>
      <c r="B95" t="s">
        <v>26</v>
      </c>
      <c r="C95" s="23" t="s">
        <v>80</v>
      </c>
      <c r="D95" s="23" t="s">
        <v>22184</v>
      </c>
      <c r="E95" s="23" t="s">
        <v>60</v>
      </c>
      <c r="F95" s="25" t="s">
        <v>361</v>
      </c>
      <c r="G95" s="25" t="s">
        <v>362</v>
      </c>
      <c r="H95" t="s">
        <v>26</v>
      </c>
      <c r="I95" t="s">
        <v>26</v>
      </c>
      <c r="J95" t="s">
        <v>26</v>
      </c>
      <c r="K95" t="s">
        <v>26</v>
      </c>
      <c r="L95" s="25" t="s">
        <v>68</v>
      </c>
      <c r="M95" t="s">
        <v>26</v>
      </c>
      <c r="N95" t="s">
        <v>26</v>
      </c>
      <c r="O95" t="s">
        <v>26</v>
      </c>
      <c r="P95" t="s">
        <v>26</v>
      </c>
      <c r="Q95" t="s">
        <v>26</v>
      </c>
      <c r="R95" t="s">
        <v>26</v>
      </c>
      <c r="S95" t="s">
        <v>26</v>
      </c>
      <c r="T95" t="s">
        <v>26</v>
      </c>
      <c r="U95" t="s">
        <v>26</v>
      </c>
      <c r="V95" t="s">
        <v>26</v>
      </c>
      <c r="W95" s="24">
        <v>42278</v>
      </c>
      <c r="X95" s="25" t="s">
        <v>77</v>
      </c>
      <c r="Y95" t="s">
        <v>26</v>
      </c>
      <c r="Z95" s="24">
        <v>42278</v>
      </c>
      <c r="AA95" s="25" t="s">
        <v>77</v>
      </c>
      <c r="AB95" t="s">
        <v>26</v>
      </c>
      <c r="AC95" s="24">
        <v>42278</v>
      </c>
      <c r="AD95" s="25" t="s">
        <v>77</v>
      </c>
      <c r="AE95" t="s">
        <v>26</v>
      </c>
      <c r="AF95" t="s">
        <v>26</v>
      </c>
      <c r="AG95" t="s">
        <v>26</v>
      </c>
      <c r="AH95" t="s">
        <v>26</v>
      </c>
      <c r="AI95" t="s">
        <v>26</v>
      </c>
      <c r="AJ95" t="s">
        <v>26</v>
      </c>
      <c r="AK95" t="s">
        <v>26</v>
      </c>
      <c r="AL95" t="s">
        <v>26</v>
      </c>
      <c r="AM95" t="s">
        <v>26</v>
      </c>
      <c r="AN95" t="s">
        <v>26</v>
      </c>
      <c r="AO95" s="25" t="s">
        <v>68</v>
      </c>
      <c r="AP95" s="23" t="s">
        <v>69</v>
      </c>
      <c r="AQ95" s="23" t="s">
        <v>30</v>
      </c>
      <c r="AR95" s="23" t="s">
        <v>203</v>
      </c>
      <c r="AS95" s="25">
        <v>2040012</v>
      </c>
      <c r="AT95" t="s">
        <v>26</v>
      </c>
      <c r="AU95" t="s">
        <v>22315</v>
      </c>
    </row>
    <row r="96" spans="1:47" ht="65.650000000000006" x14ac:dyDescent="0.4">
      <c r="A96" s="23" t="s">
        <v>22316</v>
      </c>
      <c r="B96" t="s">
        <v>26</v>
      </c>
      <c r="C96" s="23" t="s">
        <v>332</v>
      </c>
      <c r="D96" s="23" t="s">
        <v>22256</v>
      </c>
      <c r="E96" s="23" t="s">
        <v>42</v>
      </c>
      <c r="F96" t="s">
        <v>26</v>
      </c>
      <c r="G96" t="s">
        <v>26</v>
      </c>
      <c r="H96" t="s">
        <v>26</v>
      </c>
      <c r="I96" s="24">
        <v>32509</v>
      </c>
      <c r="J96" s="24">
        <v>32509</v>
      </c>
      <c r="K96" t="s">
        <v>26</v>
      </c>
      <c r="L96" s="25" t="s">
        <v>28</v>
      </c>
      <c r="M96" s="24">
        <v>32509</v>
      </c>
      <c r="N96" s="24">
        <v>32509</v>
      </c>
      <c r="O96" t="s">
        <v>26</v>
      </c>
      <c r="P96" t="s">
        <v>26</v>
      </c>
      <c r="Q96" t="s">
        <v>26</v>
      </c>
      <c r="R96" t="s">
        <v>26</v>
      </c>
      <c r="S96" t="s">
        <v>26</v>
      </c>
      <c r="T96" t="s">
        <v>26</v>
      </c>
      <c r="U96" t="s">
        <v>26</v>
      </c>
      <c r="V96" t="s">
        <v>26</v>
      </c>
      <c r="W96" s="24">
        <v>32509</v>
      </c>
      <c r="X96" s="24">
        <v>32509</v>
      </c>
      <c r="Y96" t="s">
        <v>26</v>
      </c>
      <c r="Z96" s="24">
        <v>32509</v>
      </c>
      <c r="AA96" s="24">
        <v>32509</v>
      </c>
      <c r="AB96" t="s">
        <v>26</v>
      </c>
      <c r="AC96" s="24">
        <v>32509</v>
      </c>
      <c r="AD96" s="24">
        <v>32509</v>
      </c>
      <c r="AE96" t="s">
        <v>26</v>
      </c>
      <c r="AF96" t="s">
        <v>26</v>
      </c>
      <c r="AG96" t="s">
        <v>26</v>
      </c>
      <c r="AH96" t="s">
        <v>26</v>
      </c>
      <c r="AI96" t="s">
        <v>26</v>
      </c>
      <c r="AJ96" t="s">
        <v>26</v>
      </c>
      <c r="AK96" t="s">
        <v>26</v>
      </c>
      <c r="AL96" t="s">
        <v>26</v>
      </c>
      <c r="AM96" t="s">
        <v>26</v>
      </c>
      <c r="AN96" t="s">
        <v>26</v>
      </c>
      <c r="AO96" s="25" t="s">
        <v>28</v>
      </c>
      <c r="AP96" s="23" t="s">
        <v>279</v>
      </c>
      <c r="AQ96" s="23" t="s">
        <v>30</v>
      </c>
      <c r="AR96" s="23" t="s">
        <v>46</v>
      </c>
      <c r="AS96" s="25">
        <v>6394515</v>
      </c>
      <c r="AT96" t="s">
        <v>26</v>
      </c>
      <c r="AU96" t="s">
        <v>22317</v>
      </c>
    </row>
    <row r="97" spans="1:47" ht="39.4" x14ac:dyDescent="0.4">
      <c r="A97" s="23" t="s">
        <v>363</v>
      </c>
      <c r="B97" t="s">
        <v>26</v>
      </c>
      <c r="C97" s="23" t="s">
        <v>364</v>
      </c>
      <c r="D97" s="23" t="s">
        <v>22318</v>
      </c>
      <c r="E97" s="23" t="s">
        <v>42</v>
      </c>
      <c r="F97" t="s">
        <v>26</v>
      </c>
      <c r="G97" t="s">
        <v>26</v>
      </c>
      <c r="H97" t="s">
        <v>26</v>
      </c>
      <c r="I97" s="24">
        <v>43304</v>
      </c>
      <c r="J97" s="25" t="s">
        <v>77</v>
      </c>
      <c r="K97" t="s">
        <v>26</v>
      </c>
      <c r="L97" s="25" t="s">
        <v>28</v>
      </c>
      <c r="M97" s="24">
        <v>43304</v>
      </c>
      <c r="N97" s="25" t="s">
        <v>77</v>
      </c>
      <c r="O97" t="s">
        <v>26</v>
      </c>
      <c r="P97" t="s">
        <v>26</v>
      </c>
      <c r="Q97" t="s">
        <v>26</v>
      </c>
      <c r="R97" t="s">
        <v>26</v>
      </c>
      <c r="S97" t="s">
        <v>26</v>
      </c>
      <c r="T97" t="s">
        <v>26</v>
      </c>
      <c r="U97" t="s">
        <v>26</v>
      </c>
      <c r="V97" t="s">
        <v>26</v>
      </c>
      <c r="W97" s="24">
        <v>43304</v>
      </c>
      <c r="X97" s="25" t="s">
        <v>77</v>
      </c>
      <c r="Y97" t="s">
        <v>26</v>
      </c>
      <c r="Z97" s="24">
        <v>43304</v>
      </c>
      <c r="AA97" s="25" t="s">
        <v>77</v>
      </c>
      <c r="AB97" t="s">
        <v>26</v>
      </c>
      <c r="AC97" t="s">
        <v>26</v>
      </c>
      <c r="AD97" t="s">
        <v>26</v>
      </c>
      <c r="AE97" t="s">
        <v>26</v>
      </c>
      <c r="AF97" t="s">
        <v>26</v>
      </c>
      <c r="AG97" t="s">
        <v>26</v>
      </c>
      <c r="AH97" t="s">
        <v>26</v>
      </c>
      <c r="AI97" t="s">
        <v>26</v>
      </c>
      <c r="AJ97" t="s">
        <v>26</v>
      </c>
      <c r="AK97" t="s">
        <v>26</v>
      </c>
      <c r="AL97" t="s">
        <v>26</v>
      </c>
      <c r="AM97" t="s">
        <v>26</v>
      </c>
      <c r="AN97" t="s">
        <v>26</v>
      </c>
      <c r="AO97" s="25" t="s">
        <v>28</v>
      </c>
      <c r="AP97" s="23" t="s">
        <v>365</v>
      </c>
      <c r="AQ97" s="23" t="s">
        <v>30</v>
      </c>
      <c r="AR97" s="23" t="s">
        <v>366</v>
      </c>
      <c r="AS97" s="25">
        <v>4396020</v>
      </c>
      <c r="AT97" t="s">
        <v>26</v>
      </c>
      <c r="AU97" t="s">
        <v>22319</v>
      </c>
    </row>
    <row r="98" spans="1:47" ht="39.4" x14ac:dyDescent="0.4">
      <c r="A98" s="23" t="s">
        <v>367</v>
      </c>
      <c r="B98" t="s">
        <v>26</v>
      </c>
      <c r="C98" s="23" t="s">
        <v>368</v>
      </c>
      <c r="D98" s="23" t="s">
        <v>22320</v>
      </c>
      <c r="E98" s="23" t="s">
        <v>42</v>
      </c>
      <c r="F98" t="s">
        <v>26</v>
      </c>
      <c r="G98" t="s">
        <v>26</v>
      </c>
      <c r="H98" t="s">
        <v>26</v>
      </c>
      <c r="I98" s="24">
        <v>37438</v>
      </c>
      <c r="J98" s="24">
        <v>42736</v>
      </c>
      <c r="K98" t="s">
        <v>26</v>
      </c>
      <c r="L98" s="25" t="s">
        <v>28</v>
      </c>
      <c r="M98" s="24">
        <v>37438</v>
      </c>
      <c r="N98" s="24">
        <v>42736</v>
      </c>
      <c r="O98" t="s">
        <v>26</v>
      </c>
      <c r="P98" s="24">
        <v>37438</v>
      </c>
      <c r="Q98" s="24">
        <v>42736</v>
      </c>
      <c r="R98" t="s">
        <v>26</v>
      </c>
      <c r="S98" t="s">
        <v>26</v>
      </c>
      <c r="T98" t="s">
        <v>26</v>
      </c>
      <c r="U98" t="s">
        <v>26</v>
      </c>
      <c r="V98" t="s">
        <v>26</v>
      </c>
      <c r="W98" s="24">
        <v>37438</v>
      </c>
      <c r="X98" s="24">
        <v>42736</v>
      </c>
      <c r="Y98" t="s">
        <v>26</v>
      </c>
      <c r="Z98" s="24">
        <v>37438</v>
      </c>
      <c r="AA98" s="24">
        <v>42736</v>
      </c>
      <c r="AB98" t="s">
        <v>26</v>
      </c>
      <c r="AC98" s="24">
        <v>37438</v>
      </c>
      <c r="AD98" s="24">
        <v>42736</v>
      </c>
      <c r="AE98" t="s">
        <v>26</v>
      </c>
      <c r="AF98" t="s">
        <v>26</v>
      </c>
      <c r="AG98" t="s">
        <v>26</v>
      </c>
      <c r="AH98" t="s">
        <v>26</v>
      </c>
      <c r="AI98" t="s">
        <v>26</v>
      </c>
      <c r="AJ98" t="s">
        <v>26</v>
      </c>
      <c r="AK98" t="s">
        <v>26</v>
      </c>
      <c r="AL98" t="s">
        <v>26</v>
      </c>
      <c r="AM98" t="s">
        <v>26</v>
      </c>
      <c r="AN98" t="s">
        <v>26</v>
      </c>
      <c r="AO98" s="25" t="s">
        <v>28</v>
      </c>
      <c r="AP98" s="23" t="s">
        <v>272</v>
      </c>
      <c r="AQ98" s="23" t="s">
        <v>30</v>
      </c>
      <c r="AR98" s="23" t="s">
        <v>369</v>
      </c>
      <c r="AS98" s="25">
        <v>38769</v>
      </c>
      <c r="AT98" t="s">
        <v>26</v>
      </c>
      <c r="AU98" t="s">
        <v>22321</v>
      </c>
    </row>
    <row r="99" spans="1:47" ht="13.15" x14ac:dyDescent="0.4">
      <c r="A99" s="23" t="s">
        <v>370</v>
      </c>
      <c r="B99" t="s">
        <v>26</v>
      </c>
      <c r="C99" s="23" t="s">
        <v>371</v>
      </c>
      <c r="D99" s="23" t="s">
        <v>22179</v>
      </c>
      <c r="E99" s="23" t="s">
        <v>42</v>
      </c>
      <c r="F99" t="s">
        <v>26</v>
      </c>
      <c r="G99" t="s">
        <v>26</v>
      </c>
      <c r="H99" t="s">
        <v>26</v>
      </c>
      <c r="I99" t="s">
        <v>26</v>
      </c>
      <c r="J99" t="s">
        <v>26</v>
      </c>
      <c r="K99" t="s">
        <v>26</v>
      </c>
      <c r="L99" s="25" t="s">
        <v>28</v>
      </c>
      <c r="M99" t="s">
        <v>26</v>
      </c>
      <c r="N99" t="s">
        <v>26</v>
      </c>
      <c r="O99" t="s">
        <v>26</v>
      </c>
      <c r="P99" t="s">
        <v>26</v>
      </c>
      <c r="Q99" t="s">
        <v>26</v>
      </c>
      <c r="R99" t="s">
        <v>26</v>
      </c>
      <c r="S99" t="s">
        <v>26</v>
      </c>
      <c r="T99" t="s">
        <v>26</v>
      </c>
      <c r="U99" t="s">
        <v>26</v>
      </c>
      <c r="V99" t="s">
        <v>26</v>
      </c>
      <c r="W99" s="24">
        <v>40544</v>
      </c>
      <c r="X99" s="24">
        <v>40544</v>
      </c>
      <c r="Y99" t="s">
        <v>26</v>
      </c>
      <c r="Z99" s="24">
        <v>40544</v>
      </c>
      <c r="AA99" s="24">
        <v>40544</v>
      </c>
      <c r="AB99" t="s">
        <v>26</v>
      </c>
      <c r="AC99" t="s">
        <v>26</v>
      </c>
      <c r="AD99" t="s">
        <v>26</v>
      </c>
      <c r="AE99" t="s">
        <v>26</v>
      </c>
      <c r="AF99" t="s">
        <v>26</v>
      </c>
      <c r="AG99" t="s">
        <v>26</v>
      </c>
      <c r="AH99" t="s">
        <v>26</v>
      </c>
      <c r="AI99" t="s">
        <v>26</v>
      </c>
      <c r="AJ99" t="s">
        <v>26</v>
      </c>
      <c r="AK99" t="s">
        <v>26</v>
      </c>
      <c r="AL99" t="s">
        <v>26</v>
      </c>
      <c r="AM99" t="s">
        <v>26</v>
      </c>
      <c r="AN99" t="s">
        <v>26</v>
      </c>
      <c r="AO99" s="25" t="s">
        <v>28</v>
      </c>
      <c r="AP99" s="23" t="s">
        <v>29</v>
      </c>
      <c r="AQ99" s="23" t="s">
        <v>30</v>
      </c>
      <c r="AR99" s="23" t="s">
        <v>44</v>
      </c>
      <c r="AS99" s="25">
        <v>5483575</v>
      </c>
      <c r="AT99" s="23" t="s">
        <v>22181</v>
      </c>
      <c r="AU99" t="s">
        <v>22322</v>
      </c>
    </row>
    <row r="100" spans="1:47" ht="39.4" x14ac:dyDescent="0.4">
      <c r="A100" s="23" t="s">
        <v>372</v>
      </c>
      <c r="B100" t="s">
        <v>26</v>
      </c>
      <c r="C100" t="s">
        <v>26</v>
      </c>
      <c r="D100" t="s">
        <v>26</v>
      </c>
      <c r="E100" t="s">
        <v>26</v>
      </c>
      <c r="F100" t="s">
        <v>26</v>
      </c>
      <c r="G100" t="s">
        <v>26</v>
      </c>
      <c r="H100" t="s">
        <v>26</v>
      </c>
      <c r="I100" s="25" t="s">
        <v>373</v>
      </c>
      <c r="J100" s="25" t="s">
        <v>373</v>
      </c>
      <c r="K100" t="s">
        <v>26</v>
      </c>
      <c r="L100" s="25" t="s">
        <v>28</v>
      </c>
      <c r="M100" s="25" t="s">
        <v>373</v>
      </c>
      <c r="N100" s="25" t="s">
        <v>373</v>
      </c>
      <c r="O100" t="s">
        <v>26</v>
      </c>
      <c r="P100" t="s">
        <v>26</v>
      </c>
      <c r="Q100" t="s">
        <v>26</v>
      </c>
      <c r="R100" t="s">
        <v>26</v>
      </c>
      <c r="S100" t="s">
        <v>26</v>
      </c>
      <c r="T100" t="s">
        <v>26</v>
      </c>
      <c r="U100" t="s">
        <v>26</v>
      </c>
      <c r="V100" t="s">
        <v>26</v>
      </c>
      <c r="W100" s="25" t="s">
        <v>373</v>
      </c>
      <c r="X100" s="25" t="s">
        <v>373</v>
      </c>
      <c r="Y100" t="s">
        <v>26</v>
      </c>
      <c r="Z100" s="25" t="s">
        <v>373</v>
      </c>
      <c r="AA100" s="25" t="s">
        <v>373</v>
      </c>
      <c r="AB100" t="s">
        <v>26</v>
      </c>
      <c r="AC100" s="25" t="s">
        <v>373</v>
      </c>
      <c r="AD100" s="25" t="s">
        <v>373</v>
      </c>
      <c r="AE100" t="s">
        <v>26</v>
      </c>
      <c r="AF100" t="s">
        <v>26</v>
      </c>
      <c r="AG100" t="s">
        <v>26</v>
      </c>
      <c r="AH100" t="s">
        <v>26</v>
      </c>
      <c r="AI100" t="s">
        <v>26</v>
      </c>
      <c r="AJ100" t="s">
        <v>26</v>
      </c>
      <c r="AK100" t="s">
        <v>26</v>
      </c>
      <c r="AL100" t="s">
        <v>26</v>
      </c>
      <c r="AM100" t="s">
        <v>26</v>
      </c>
      <c r="AN100" t="s">
        <v>26</v>
      </c>
      <c r="AO100" s="25" t="s">
        <v>28</v>
      </c>
      <c r="AP100" s="23" t="s">
        <v>29</v>
      </c>
      <c r="AQ100" s="23" t="s">
        <v>30</v>
      </c>
      <c r="AR100" s="23" t="s">
        <v>46</v>
      </c>
      <c r="AS100" s="25">
        <v>6009041</v>
      </c>
      <c r="AT100" t="s">
        <v>26</v>
      </c>
      <c r="AU100" t="s">
        <v>22323</v>
      </c>
    </row>
    <row r="101" spans="1:47" ht="13.15" x14ac:dyDescent="0.4">
      <c r="A101" s="23" t="s">
        <v>22324</v>
      </c>
      <c r="B101" t="s">
        <v>26</v>
      </c>
      <c r="C101" s="23" t="s">
        <v>332</v>
      </c>
      <c r="D101" s="23" t="s">
        <v>22256</v>
      </c>
      <c r="E101" s="23" t="s">
        <v>42</v>
      </c>
      <c r="F101" t="s">
        <v>26</v>
      </c>
      <c r="G101" t="s">
        <v>26</v>
      </c>
      <c r="H101" t="s">
        <v>26</v>
      </c>
      <c r="I101" s="24">
        <v>22647</v>
      </c>
      <c r="J101" s="24">
        <v>22647</v>
      </c>
      <c r="K101" t="s">
        <v>26</v>
      </c>
      <c r="L101" s="25" t="s">
        <v>28</v>
      </c>
      <c r="M101" s="24">
        <v>22647</v>
      </c>
      <c r="N101" s="24">
        <v>22647</v>
      </c>
      <c r="O101" t="s">
        <v>26</v>
      </c>
      <c r="P101" t="s">
        <v>26</v>
      </c>
      <c r="Q101" t="s">
        <v>26</v>
      </c>
      <c r="R101" t="s">
        <v>26</v>
      </c>
      <c r="S101" t="s">
        <v>26</v>
      </c>
      <c r="T101" t="s">
        <v>26</v>
      </c>
      <c r="U101" t="s">
        <v>26</v>
      </c>
      <c r="V101" t="s">
        <v>26</v>
      </c>
      <c r="W101" s="24">
        <v>22647</v>
      </c>
      <c r="X101" s="24">
        <v>22647</v>
      </c>
      <c r="Y101" t="s">
        <v>26</v>
      </c>
      <c r="Z101" s="24">
        <v>22647</v>
      </c>
      <c r="AA101" s="24">
        <v>22647</v>
      </c>
      <c r="AB101" t="s">
        <v>26</v>
      </c>
      <c r="AC101" s="24">
        <v>22647</v>
      </c>
      <c r="AD101" s="24">
        <v>22647</v>
      </c>
      <c r="AE101" t="s">
        <v>26</v>
      </c>
      <c r="AF101" t="s">
        <v>26</v>
      </c>
      <c r="AG101" t="s">
        <v>26</v>
      </c>
      <c r="AH101" t="s">
        <v>26</v>
      </c>
      <c r="AI101" t="s">
        <v>26</v>
      </c>
      <c r="AJ101" t="s">
        <v>26</v>
      </c>
      <c r="AK101" t="s">
        <v>26</v>
      </c>
      <c r="AL101" t="s">
        <v>26</v>
      </c>
      <c r="AM101" t="s">
        <v>26</v>
      </c>
      <c r="AN101" t="s">
        <v>26</v>
      </c>
      <c r="AO101" s="25" t="s">
        <v>28</v>
      </c>
      <c r="AP101" s="23" t="s">
        <v>279</v>
      </c>
      <c r="AQ101" s="23" t="s">
        <v>30</v>
      </c>
      <c r="AR101" s="23" t="s">
        <v>46</v>
      </c>
      <c r="AS101" s="25">
        <v>6128790</v>
      </c>
      <c r="AT101" t="s">
        <v>26</v>
      </c>
      <c r="AU101" t="s">
        <v>22325</v>
      </c>
    </row>
    <row r="102" spans="1:47" ht="26.25" x14ac:dyDescent="0.4">
      <c r="A102" s="23" t="s">
        <v>374</v>
      </c>
      <c r="B102" t="s">
        <v>26</v>
      </c>
      <c r="C102" s="23" t="s">
        <v>375</v>
      </c>
      <c r="D102" s="23" t="s">
        <v>22254</v>
      </c>
      <c r="E102" s="23" t="s">
        <v>60</v>
      </c>
      <c r="F102" s="25" t="s">
        <v>376</v>
      </c>
      <c r="G102" s="25" t="s">
        <v>377</v>
      </c>
      <c r="H102" t="s">
        <v>26</v>
      </c>
      <c r="I102" s="24">
        <v>35490</v>
      </c>
      <c r="J102" s="25" t="s">
        <v>77</v>
      </c>
      <c r="K102" t="s">
        <v>26</v>
      </c>
      <c r="L102" s="25" t="s">
        <v>68</v>
      </c>
      <c r="M102" s="24">
        <v>35490</v>
      </c>
      <c r="N102" s="25" t="s">
        <v>77</v>
      </c>
      <c r="O102" t="s">
        <v>26</v>
      </c>
      <c r="P102" s="24">
        <v>35490</v>
      </c>
      <c r="Q102" s="25" t="s">
        <v>77</v>
      </c>
      <c r="R102" s="25" t="s">
        <v>22326</v>
      </c>
      <c r="S102" t="s">
        <v>26</v>
      </c>
      <c r="T102" t="s">
        <v>26</v>
      </c>
      <c r="U102" t="s">
        <v>26</v>
      </c>
      <c r="V102" t="s">
        <v>26</v>
      </c>
      <c r="W102" s="24">
        <v>33664</v>
      </c>
      <c r="X102" s="25" t="s">
        <v>77</v>
      </c>
      <c r="Y102" t="s">
        <v>26</v>
      </c>
      <c r="Z102" s="24">
        <v>33664</v>
      </c>
      <c r="AA102" s="25" t="s">
        <v>77</v>
      </c>
      <c r="AB102" t="s">
        <v>26</v>
      </c>
      <c r="AC102" s="24">
        <v>33664</v>
      </c>
      <c r="AD102" s="25" t="s">
        <v>77</v>
      </c>
      <c r="AE102" t="s">
        <v>26</v>
      </c>
      <c r="AF102" t="s">
        <v>26</v>
      </c>
      <c r="AG102" t="s">
        <v>26</v>
      </c>
      <c r="AH102" t="s">
        <v>26</v>
      </c>
      <c r="AI102" t="s">
        <v>26</v>
      </c>
      <c r="AJ102" t="s">
        <v>26</v>
      </c>
      <c r="AK102" t="s">
        <v>26</v>
      </c>
      <c r="AL102" t="s">
        <v>26</v>
      </c>
      <c r="AM102" t="s">
        <v>26</v>
      </c>
      <c r="AN102" t="s">
        <v>26</v>
      </c>
      <c r="AO102" s="25" t="s">
        <v>68</v>
      </c>
      <c r="AP102" s="23" t="s">
        <v>69</v>
      </c>
      <c r="AQ102" s="23" t="s">
        <v>30</v>
      </c>
      <c r="AR102" s="23" t="s">
        <v>22327</v>
      </c>
      <c r="AS102" s="25">
        <v>25220</v>
      </c>
      <c r="AT102" t="s">
        <v>26</v>
      </c>
      <c r="AU102" t="s">
        <v>22328</v>
      </c>
    </row>
    <row r="103" spans="1:47" ht="26.25" x14ac:dyDescent="0.4">
      <c r="A103" s="23" t="s">
        <v>378</v>
      </c>
      <c r="B103" t="s">
        <v>26</v>
      </c>
      <c r="C103" s="23" t="s">
        <v>172</v>
      </c>
      <c r="D103" s="23" t="s">
        <v>22242</v>
      </c>
      <c r="E103" s="23" t="s">
        <v>60</v>
      </c>
      <c r="F103" s="25" t="s">
        <v>379</v>
      </c>
      <c r="G103" s="25" t="s">
        <v>380</v>
      </c>
      <c r="H103" t="s">
        <v>26</v>
      </c>
      <c r="I103" s="24">
        <v>32203</v>
      </c>
      <c r="J103" s="24">
        <v>40148</v>
      </c>
      <c r="K103" t="s">
        <v>26</v>
      </c>
      <c r="L103" s="25" t="s">
        <v>68</v>
      </c>
      <c r="M103" s="24">
        <v>36220</v>
      </c>
      <c r="N103" s="24">
        <v>40148</v>
      </c>
      <c r="O103" t="s">
        <v>26</v>
      </c>
      <c r="P103" s="24">
        <v>32203</v>
      </c>
      <c r="Q103" s="24">
        <v>40148</v>
      </c>
      <c r="R103" t="s">
        <v>26</v>
      </c>
      <c r="S103" t="s">
        <v>26</v>
      </c>
      <c r="T103" t="s">
        <v>26</v>
      </c>
      <c r="U103" t="s">
        <v>26</v>
      </c>
      <c r="V103" t="s">
        <v>26</v>
      </c>
      <c r="W103" s="24">
        <v>32203</v>
      </c>
      <c r="X103" s="25" t="s">
        <v>77</v>
      </c>
      <c r="Y103" t="s">
        <v>26</v>
      </c>
      <c r="Z103" s="24">
        <v>32203</v>
      </c>
      <c r="AA103" s="25" t="s">
        <v>77</v>
      </c>
      <c r="AB103" t="s">
        <v>26</v>
      </c>
      <c r="AC103" s="24">
        <v>32203</v>
      </c>
      <c r="AD103" s="25" t="s">
        <v>77</v>
      </c>
      <c r="AE103" t="s">
        <v>26</v>
      </c>
      <c r="AF103" t="s">
        <v>26</v>
      </c>
      <c r="AG103" t="s">
        <v>26</v>
      </c>
      <c r="AH103" t="s">
        <v>26</v>
      </c>
      <c r="AI103" t="s">
        <v>26</v>
      </c>
      <c r="AJ103" t="s">
        <v>26</v>
      </c>
      <c r="AK103" t="s">
        <v>26</v>
      </c>
      <c r="AL103" t="s">
        <v>26</v>
      </c>
      <c r="AM103" t="s">
        <v>26</v>
      </c>
      <c r="AN103" t="s">
        <v>26</v>
      </c>
      <c r="AO103" s="25" t="s">
        <v>68</v>
      </c>
      <c r="AP103" s="23" t="s">
        <v>69</v>
      </c>
      <c r="AQ103" s="23" t="s">
        <v>30</v>
      </c>
      <c r="AR103" s="23" t="s">
        <v>381</v>
      </c>
      <c r="AS103" s="25">
        <v>40961</v>
      </c>
      <c r="AT103" t="s">
        <v>26</v>
      </c>
      <c r="AU103" t="s">
        <v>22329</v>
      </c>
    </row>
    <row r="104" spans="1:47" ht="26.25" x14ac:dyDescent="0.4">
      <c r="A104" s="23" t="s">
        <v>382</v>
      </c>
      <c r="B104" t="s">
        <v>26</v>
      </c>
      <c r="C104" s="23" t="s">
        <v>107</v>
      </c>
      <c r="D104" s="23" t="s">
        <v>22194</v>
      </c>
      <c r="E104" s="23" t="s">
        <v>42</v>
      </c>
      <c r="F104" s="25" t="s">
        <v>383</v>
      </c>
      <c r="G104" s="25" t="s">
        <v>384</v>
      </c>
      <c r="H104" t="s">
        <v>26</v>
      </c>
      <c r="I104" s="24">
        <v>34912</v>
      </c>
      <c r="J104" s="24">
        <v>39417</v>
      </c>
      <c r="K104" t="s">
        <v>26</v>
      </c>
      <c r="L104" s="25" t="s">
        <v>68</v>
      </c>
      <c r="M104" s="24">
        <v>34912</v>
      </c>
      <c r="N104" s="24">
        <v>39417</v>
      </c>
      <c r="O104" t="s">
        <v>26</v>
      </c>
      <c r="P104" s="24">
        <v>34912</v>
      </c>
      <c r="Q104" s="24">
        <v>39417</v>
      </c>
      <c r="R104" t="s">
        <v>26</v>
      </c>
      <c r="S104" t="s">
        <v>26</v>
      </c>
      <c r="T104" t="s">
        <v>26</v>
      </c>
      <c r="U104" t="s">
        <v>26</v>
      </c>
      <c r="V104" t="s">
        <v>26</v>
      </c>
      <c r="W104" s="24">
        <v>22341</v>
      </c>
      <c r="X104" s="25" t="s">
        <v>77</v>
      </c>
      <c r="Y104" t="s">
        <v>26</v>
      </c>
      <c r="Z104" s="24">
        <v>22341</v>
      </c>
      <c r="AA104" s="25" t="s">
        <v>77</v>
      </c>
      <c r="AB104" t="s">
        <v>26</v>
      </c>
      <c r="AC104" s="24">
        <v>32509</v>
      </c>
      <c r="AD104" s="25" t="s">
        <v>77</v>
      </c>
      <c r="AE104" t="s">
        <v>26</v>
      </c>
      <c r="AF104" t="s">
        <v>26</v>
      </c>
      <c r="AG104" t="s">
        <v>26</v>
      </c>
      <c r="AH104" t="s">
        <v>26</v>
      </c>
      <c r="AI104" t="s">
        <v>26</v>
      </c>
      <c r="AJ104" t="s">
        <v>26</v>
      </c>
      <c r="AK104" t="s">
        <v>26</v>
      </c>
      <c r="AL104" t="s">
        <v>26</v>
      </c>
      <c r="AM104" t="s">
        <v>26</v>
      </c>
      <c r="AN104" t="s">
        <v>26</v>
      </c>
      <c r="AO104" s="25" t="s">
        <v>68</v>
      </c>
      <c r="AP104" s="23" t="s">
        <v>69</v>
      </c>
      <c r="AQ104" s="23" t="s">
        <v>30</v>
      </c>
      <c r="AR104" s="23" t="s">
        <v>385</v>
      </c>
      <c r="AS104" s="25">
        <v>40592</v>
      </c>
      <c r="AT104" t="s">
        <v>26</v>
      </c>
      <c r="AU104" t="s">
        <v>22330</v>
      </c>
    </row>
    <row r="105" spans="1:47" ht="26.25" x14ac:dyDescent="0.4">
      <c r="A105" s="23" t="s">
        <v>386</v>
      </c>
      <c r="B105" t="s">
        <v>26</v>
      </c>
      <c r="C105" s="23" t="s">
        <v>387</v>
      </c>
      <c r="D105" s="23" t="s">
        <v>22256</v>
      </c>
      <c r="E105" s="23" t="s">
        <v>42</v>
      </c>
      <c r="F105" t="s">
        <v>26</v>
      </c>
      <c r="G105" t="s">
        <v>26</v>
      </c>
      <c r="H105" t="s">
        <v>26</v>
      </c>
      <c r="I105" s="24">
        <v>32874</v>
      </c>
      <c r="J105" s="24">
        <v>41640</v>
      </c>
      <c r="K105" t="s">
        <v>26</v>
      </c>
      <c r="L105" s="25" t="s">
        <v>28</v>
      </c>
      <c r="M105" s="24">
        <v>32874</v>
      </c>
      <c r="N105" s="24">
        <v>41640</v>
      </c>
      <c r="O105" t="s">
        <v>26</v>
      </c>
      <c r="P105" t="s">
        <v>26</v>
      </c>
      <c r="Q105" t="s">
        <v>26</v>
      </c>
      <c r="R105" t="s">
        <v>26</v>
      </c>
      <c r="S105" s="24">
        <v>32874</v>
      </c>
      <c r="T105" s="24">
        <v>41640</v>
      </c>
      <c r="U105" t="s">
        <v>26</v>
      </c>
      <c r="V105" t="s">
        <v>26</v>
      </c>
      <c r="W105" s="24">
        <v>32874</v>
      </c>
      <c r="X105" s="24">
        <v>41640</v>
      </c>
      <c r="Y105" t="s">
        <v>26</v>
      </c>
      <c r="Z105" s="24">
        <v>32874</v>
      </c>
      <c r="AA105" s="24">
        <v>41640</v>
      </c>
      <c r="AB105" t="s">
        <v>26</v>
      </c>
      <c r="AC105" s="24">
        <v>32874</v>
      </c>
      <c r="AD105" s="24">
        <v>41640</v>
      </c>
      <c r="AE105" t="s">
        <v>26</v>
      </c>
      <c r="AF105" s="24">
        <v>32874</v>
      </c>
      <c r="AG105" s="24">
        <v>41640</v>
      </c>
      <c r="AH105" t="s">
        <v>26</v>
      </c>
      <c r="AI105" s="24">
        <v>32874</v>
      </c>
      <c r="AJ105" s="24">
        <v>41640</v>
      </c>
      <c r="AK105" t="s">
        <v>26</v>
      </c>
      <c r="AL105" t="s">
        <v>26</v>
      </c>
      <c r="AM105" t="s">
        <v>26</v>
      </c>
      <c r="AN105" t="s">
        <v>26</v>
      </c>
      <c r="AO105" s="25" t="s">
        <v>28</v>
      </c>
      <c r="AP105" s="23" t="s">
        <v>43</v>
      </c>
      <c r="AQ105" s="23" t="s">
        <v>30</v>
      </c>
      <c r="AR105" s="23" t="s">
        <v>46</v>
      </c>
      <c r="AS105" s="25">
        <v>6359431</v>
      </c>
      <c r="AT105" t="s">
        <v>26</v>
      </c>
      <c r="AU105" t="s">
        <v>22331</v>
      </c>
    </row>
    <row r="106" spans="1:47" ht="26.25" x14ac:dyDescent="0.4">
      <c r="A106" s="23" t="s">
        <v>388</v>
      </c>
      <c r="B106" t="s">
        <v>26</v>
      </c>
      <c r="C106" s="23" t="s">
        <v>389</v>
      </c>
      <c r="D106" s="23" t="s">
        <v>22254</v>
      </c>
      <c r="E106" s="23" t="s">
        <v>42</v>
      </c>
      <c r="F106" s="25" t="s">
        <v>390</v>
      </c>
      <c r="G106" s="25" t="s">
        <v>391</v>
      </c>
      <c r="H106" t="s">
        <v>26</v>
      </c>
      <c r="I106" s="24">
        <v>36982</v>
      </c>
      <c r="J106" s="24">
        <v>40148</v>
      </c>
      <c r="K106" s="25" t="s">
        <v>392</v>
      </c>
      <c r="L106" s="25" t="s">
        <v>68</v>
      </c>
      <c r="M106" s="24">
        <v>36982</v>
      </c>
      <c r="N106" s="24">
        <v>40148</v>
      </c>
      <c r="O106" s="25" t="s">
        <v>392</v>
      </c>
      <c r="P106" s="24">
        <v>36982</v>
      </c>
      <c r="Q106" s="24">
        <v>40148</v>
      </c>
      <c r="R106" t="s">
        <v>26</v>
      </c>
      <c r="S106" t="s">
        <v>26</v>
      </c>
      <c r="T106" t="s">
        <v>26</v>
      </c>
      <c r="U106" t="s">
        <v>26</v>
      </c>
      <c r="V106" t="s">
        <v>26</v>
      </c>
      <c r="W106" s="24">
        <v>36982</v>
      </c>
      <c r="X106" s="25" t="s">
        <v>77</v>
      </c>
      <c r="Y106" s="25" t="s">
        <v>393</v>
      </c>
      <c r="Z106" s="24">
        <v>36982</v>
      </c>
      <c r="AA106" s="25" t="s">
        <v>77</v>
      </c>
      <c r="AB106" s="25" t="s">
        <v>22332</v>
      </c>
      <c r="AC106" s="24">
        <v>38078</v>
      </c>
      <c r="AD106" s="25" t="s">
        <v>77</v>
      </c>
      <c r="AE106" s="25" t="s">
        <v>393</v>
      </c>
      <c r="AF106" t="s">
        <v>26</v>
      </c>
      <c r="AG106" t="s">
        <v>26</v>
      </c>
      <c r="AH106" t="s">
        <v>26</v>
      </c>
      <c r="AI106" t="s">
        <v>26</v>
      </c>
      <c r="AJ106" t="s">
        <v>26</v>
      </c>
      <c r="AK106" t="s">
        <v>26</v>
      </c>
      <c r="AL106" t="s">
        <v>26</v>
      </c>
      <c r="AM106" t="s">
        <v>26</v>
      </c>
      <c r="AN106" t="s">
        <v>26</v>
      </c>
      <c r="AO106" s="25" t="s">
        <v>68</v>
      </c>
      <c r="AP106" s="23" t="s">
        <v>69</v>
      </c>
      <c r="AQ106" s="23" t="s">
        <v>30</v>
      </c>
      <c r="AR106" s="23" t="s">
        <v>394</v>
      </c>
      <c r="AS106" s="25">
        <v>40697</v>
      </c>
      <c r="AT106" t="s">
        <v>26</v>
      </c>
      <c r="AU106" t="s">
        <v>22333</v>
      </c>
    </row>
    <row r="107" spans="1:47" ht="26.25" x14ac:dyDescent="0.4">
      <c r="A107" s="23" t="s">
        <v>395</v>
      </c>
      <c r="B107" t="s">
        <v>26</v>
      </c>
      <c r="C107" s="23" t="s">
        <v>320</v>
      </c>
      <c r="D107" s="23" t="s">
        <v>22334</v>
      </c>
      <c r="E107" s="23" t="s">
        <v>42</v>
      </c>
      <c r="F107" s="25" t="s">
        <v>396</v>
      </c>
      <c r="G107" s="25" t="s">
        <v>397</v>
      </c>
      <c r="H107" t="s">
        <v>26</v>
      </c>
      <c r="I107" t="s">
        <v>26</v>
      </c>
      <c r="J107" t="s">
        <v>26</v>
      </c>
      <c r="K107" t="s">
        <v>26</v>
      </c>
      <c r="L107" s="25" t="s">
        <v>68</v>
      </c>
      <c r="M107" t="s">
        <v>26</v>
      </c>
      <c r="N107" t="s">
        <v>26</v>
      </c>
      <c r="O107" t="s">
        <v>26</v>
      </c>
      <c r="P107" t="s">
        <v>26</v>
      </c>
      <c r="Q107" t="s">
        <v>26</v>
      </c>
      <c r="R107" t="s">
        <v>26</v>
      </c>
      <c r="S107" t="s">
        <v>26</v>
      </c>
      <c r="T107" t="s">
        <v>26</v>
      </c>
      <c r="U107" t="s">
        <v>26</v>
      </c>
      <c r="V107" t="s">
        <v>26</v>
      </c>
      <c r="W107" s="24">
        <v>32540</v>
      </c>
      <c r="X107" s="25" t="s">
        <v>77</v>
      </c>
      <c r="Y107" t="s">
        <v>26</v>
      </c>
      <c r="Z107" s="24">
        <v>32540</v>
      </c>
      <c r="AA107" s="25" t="s">
        <v>77</v>
      </c>
      <c r="AB107" t="s">
        <v>26</v>
      </c>
      <c r="AC107" s="24">
        <v>32540</v>
      </c>
      <c r="AD107" s="25" t="s">
        <v>77</v>
      </c>
      <c r="AE107" t="s">
        <v>26</v>
      </c>
      <c r="AF107" t="s">
        <v>26</v>
      </c>
      <c r="AG107" t="s">
        <v>26</v>
      </c>
      <c r="AH107" t="s">
        <v>26</v>
      </c>
      <c r="AI107" t="s">
        <v>26</v>
      </c>
      <c r="AJ107" t="s">
        <v>26</v>
      </c>
      <c r="AK107" t="s">
        <v>26</v>
      </c>
      <c r="AL107" t="s">
        <v>26</v>
      </c>
      <c r="AM107" t="s">
        <v>26</v>
      </c>
      <c r="AN107" t="s">
        <v>26</v>
      </c>
      <c r="AO107" s="25" t="s">
        <v>68</v>
      </c>
      <c r="AP107" s="23" t="s">
        <v>69</v>
      </c>
      <c r="AQ107" s="23" t="s">
        <v>30</v>
      </c>
      <c r="AR107" s="23" t="s">
        <v>381</v>
      </c>
      <c r="AS107" s="25">
        <v>47675</v>
      </c>
      <c r="AT107" t="s">
        <v>26</v>
      </c>
      <c r="AU107" t="s">
        <v>22335</v>
      </c>
    </row>
    <row r="108" spans="1:47" ht="26.25" x14ac:dyDescent="0.4">
      <c r="A108" s="23" t="s">
        <v>398</v>
      </c>
      <c r="B108" t="s">
        <v>26</v>
      </c>
      <c r="C108" s="23" t="s">
        <v>399</v>
      </c>
      <c r="D108" s="23" t="s">
        <v>22242</v>
      </c>
      <c r="E108" s="23" t="s">
        <v>60</v>
      </c>
      <c r="F108" s="25" t="s">
        <v>400</v>
      </c>
      <c r="G108" s="25" t="s">
        <v>401</v>
      </c>
      <c r="H108" t="s">
        <v>26</v>
      </c>
      <c r="I108" t="s">
        <v>26</v>
      </c>
      <c r="J108" t="s">
        <v>26</v>
      </c>
      <c r="K108" t="s">
        <v>26</v>
      </c>
      <c r="L108" s="25" t="s">
        <v>68</v>
      </c>
      <c r="M108" t="s">
        <v>26</v>
      </c>
      <c r="N108" t="s">
        <v>26</v>
      </c>
      <c r="O108" t="s">
        <v>26</v>
      </c>
      <c r="P108" t="s">
        <v>26</v>
      </c>
      <c r="Q108" t="s">
        <v>26</v>
      </c>
      <c r="R108" t="s">
        <v>26</v>
      </c>
      <c r="S108" t="s">
        <v>26</v>
      </c>
      <c r="T108" t="s">
        <v>26</v>
      </c>
      <c r="U108" t="s">
        <v>26</v>
      </c>
      <c r="V108" t="s">
        <v>26</v>
      </c>
      <c r="W108" s="24">
        <v>31444</v>
      </c>
      <c r="X108" s="24">
        <v>43132</v>
      </c>
      <c r="Y108" t="s">
        <v>26</v>
      </c>
      <c r="Z108" s="24">
        <v>31444</v>
      </c>
      <c r="AA108" s="24">
        <v>43132</v>
      </c>
      <c r="AB108" t="s">
        <v>26</v>
      </c>
      <c r="AC108" s="24">
        <v>31444</v>
      </c>
      <c r="AD108" s="24">
        <v>43132</v>
      </c>
      <c r="AE108" t="s">
        <v>26</v>
      </c>
      <c r="AF108" t="s">
        <v>26</v>
      </c>
      <c r="AG108" t="s">
        <v>26</v>
      </c>
      <c r="AH108" t="s">
        <v>26</v>
      </c>
      <c r="AI108" t="s">
        <v>26</v>
      </c>
      <c r="AJ108" t="s">
        <v>26</v>
      </c>
      <c r="AK108" t="s">
        <v>26</v>
      </c>
      <c r="AL108" t="s">
        <v>26</v>
      </c>
      <c r="AM108" t="s">
        <v>26</v>
      </c>
      <c r="AN108" t="s">
        <v>26</v>
      </c>
      <c r="AO108" s="25" t="s">
        <v>68</v>
      </c>
      <c r="AP108" s="23" t="s">
        <v>69</v>
      </c>
      <c r="AQ108" s="23" t="s">
        <v>30</v>
      </c>
      <c r="AR108" s="23" t="s">
        <v>402</v>
      </c>
      <c r="AS108" s="25">
        <v>41907</v>
      </c>
      <c r="AT108" t="s">
        <v>26</v>
      </c>
      <c r="AU108" t="s">
        <v>22336</v>
      </c>
    </row>
    <row r="109" spans="1:47" ht="26.25" x14ac:dyDescent="0.4">
      <c r="A109" s="23" t="s">
        <v>403</v>
      </c>
      <c r="B109" t="s">
        <v>26</v>
      </c>
      <c r="C109" s="23" t="s">
        <v>404</v>
      </c>
      <c r="D109" s="23" t="s">
        <v>22192</v>
      </c>
      <c r="E109" s="23" t="s">
        <v>42</v>
      </c>
      <c r="F109" s="25" t="s">
        <v>405</v>
      </c>
      <c r="G109" s="25" t="s">
        <v>406</v>
      </c>
      <c r="H109" t="s">
        <v>26</v>
      </c>
      <c r="I109" s="24">
        <v>35156</v>
      </c>
      <c r="J109" s="25" t="s">
        <v>77</v>
      </c>
      <c r="K109" t="s">
        <v>26</v>
      </c>
      <c r="L109" s="25" t="s">
        <v>68</v>
      </c>
      <c r="M109" s="24">
        <v>35156</v>
      </c>
      <c r="N109" s="25" t="s">
        <v>77</v>
      </c>
      <c r="O109" t="s">
        <v>26</v>
      </c>
      <c r="P109" s="24">
        <v>36617</v>
      </c>
      <c r="Q109" s="25" t="s">
        <v>77</v>
      </c>
      <c r="R109" t="s">
        <v>26</v>
      </c>
      <c r="S109" t="s">
        <v>26</v>
      </c>
      <c r="T109" t="s">
        <v>26</v>
      </c>
      <c r="U109" t="s">
        <v>26</v>
      </c>
      <c r="V109" s="25">
        <v>365</v>
      </c>
      <c r="W109" s="24">
        <v>32234</v>
      </c>
      <c r="X109" s="25" t="s">
        <v>77</v>
      </c>
      <c r="Y109" t="s">
        <v>26</v>
      </c>
      <c r="Z109" s="24">
        <v>32234</v>
      </c>
      <c r="AA109" s="25" t="s">
        <v>77</v>
      </c>
      <c r="AB109" t="s">
        <v>26</v>
      </c>
      <c r="AC109" s="24">
        <v>32234</v>
      </c>
      <c r="AD109" s="25" t="s">
        <v>77</v>
      </c>
      <c r="AE109" t="s">
        <v>26</v>
      </c>
      <c r="AF109" t="s">
        <v>26</v>
      </c>
      <c r="AG109" t="s">
        <v>26</v>
      </c>
      <c r="AH109" t="s">
        <v>26</v>
      </c>
      <c r="AI109" t="s">
        <v>26</v>
      </c>
      <c r="AJ109" t="s">
        <v>26</v>
      </c>
      <c r="AK109" t="s">
        <v>26</v>
      </c>
      <c r="AL109" t="s">
        <v>26</v>
      </c>
      <c r="AM109" t="s">
        <v>26</v>
      </c>
      <c r="AN109" t="s">
        <v>26</v>
      </c>
      <c r="AO109" s="25" t="s">
        <v>68</v>
      </c>
      <c r="AP109" s="23" t="s">
        <v>69</v>
      </c>
      <c r="AQ109" s="23" t="s">
        <v>30</v>
      </c>
      <c r="AR109" s="23" t="s">
        <v>407</v>
      </c>
      <c r="AS109" s="25">
        <v>40970</v>
      </c>
      <c r="AT109" t="s">
        <v>26</v>
      </c>
      <c r="AU109" t="s">
        <v>22337</v>
      </c>
    </row>
    <row r="110" spans="1:47" ht="26.25" x14ac:dyDescent="0.4">
      <c r="A110" s="23" t="s">
        <v>408</v>
      </c>
      <c r="B110" t="s">
        <v>26</v>
      </c>
      <c r="C110" s="23" t="s">
        <v>409</v>
      </c>
      <c r="D110" s="23" t="s">
        <v>22258</v>
      </c>
      <c r="E110" s="23" t="s">
        <v>42</v>
      </c>
      <c r="F110" s="25" t="s">
        <v>410</v>
      </c>
      <c r="G110" s="25" t="s">
        <v>411</v>
      </c>
      <c r="H110" t="s">
        <v>26</v>
      </c>
      <c r="I110" s="24">
        <v>35796</v>
      </c>
      <c r="J110" s="24">
        <v>36161</v>
      </c>
      <c r="K110" t="s">
        <v>26</v>
      </c>
      <c r="L110" s="25" t="s">
        <v>68</v>
      </c>
      <c r="M110" s="24">
        <v>35796</v>
      </c>
      <c r="N110" s="24">
        <v>36161</v>
      </c>
      <c r="O110" t="s">
        <v>26</v>
      </c>
      <c r="P110" s="24">
        <v>35796</v>
      </c>
      <c r="Q110" s="24">
        <v>36161</v>
      </c>
      <c r="R110" t="s">
        <v>26</v>
      </c>
      <c r="S110" t="s">
        <v>26</v>
      </c>
      <c r="T110" t="s">
        <v>26</v>
      </c>
      <c r="U110" t="s">
        <v>26</v>
      </c>
      <c r="V110" t="s">
        <v>26</v>
      </c>
      <c r="W110" s="24">
        <v>35796</v>
      </c>
      <c r="X110" s="24">
        <v>36161</v>
      </c>
      <c r="Y110" t="s">
        <v>26</v>
      </c>
      <c r="Z110" s="24">
        <v>35796</v>
      </c>
      <c r="AA110" s="24">
        <v>36161</v>
      </c>
      <c r="AB110" t="s">
        <v>26</v>
      </c>
      <c r="AC110" t="s">
        <v>26</v>
      </c>
      <c r="AD110" t="s">
        <v>26</v>
      </c>
      <c r="AE110" t="s">
        <v>26</v>
      </c>
      <c r="AF110" t="s">
        <v>26</v>
      </c>
      <c r="AG110" t="s">
        <v>26</v>
      </c>
      <c r="AH110" t="s">
        <v>26</v>
      </c>
      <c r="AI110" t="s">
        <v>26</v>
      </c>
      <c r="AJ110" t="s">
        <v>26</v>
      </c>
      <c r="AK110" t="s">
        <v>26</v>
      </c>
      <c r="AL110" t="s">
        <v>26</v>
      </c>
      <c r="AM110" t="s">
        <v>26</v>
      </c>
      <c r="AN110" t="s">
        <v>26</v>
      </c>
      <c r="AO110" s="25" t="s">
        <v>68</v>
      </c>
      <c r="AP110" s="23" t="s">
        <v>69</v>
      </c>
      <c r="AQ110" s="23" t="s">
        <v>30</v>
      </c>
      <c r="AR110" s="23" t="s">
        <v>70</v>
      </c>
      <c r="AS110" s="25">
        <v>33077</v>
      </c>
      <c r="AT110" t="s">
        <v>26</v>
      </c>
      <c r="AU110" t="s">
        <v>22338</v>
      </c>
    </row>
    <row r="111" spans="1:47" ht="26.25" x14ac:dyDescent="0.4">
      <c r="A111" s="23" t="s">
        <v>412</v>
      </c>
      <c r="B111" t="s">
        <v>26</v>
      </c>
      <c r="C111" s="23" t="s">
        <v>409</v>
      </c>
      <c r="D111" s="23" t="s">
        <v>22339</v>
      </c>
      <c r="E111" s="23" t="s">
        <v>42</v>
      </c>
      <c r="F111" t="s">
        <v>26</v>
      </c>
      <c r="G111" s="25" t="s">
        <v>411</v>
      </c>
      <c r="H111" t="s">
        <v>26</v>
      </c>
      <c r="I111" s="24">
        <v>36526</v>
      </c>
      <c r="J111" s="25" t="s">
        <v>77</v>
      </c>
      <c r="K111" t="s">
        <v>26</v>
      </c>
      <c r="L111" s="25" t="s">
        <v>68</v>
      </c>
      <c r="M111" s="24">
        <v>36526</v>
      </c>
      <c r="N111" s="25" t="s">
        <v>77</v>
      </c>
      <c r="O111" t="s">
        <v>26</v>
      </c>
      <c r="P111" s="24">
        <v>36526</v>
      </c>
      <c r="Q111" s="25" t="s">
        <v>77</v>
      </c>
      <c r="R111" t="s">
        <v>26</v>
      </c>
      <c r="S111" t="s">
        <v>26</v>
      </c>
      <c r="T111" t="s">
        <v>26</v>
      </c>
      <c r="U111" t="s">
        <v>26</v>
      </c>
      <c r="V111" t="s">
        <v>26</v>
      </c>
      <c r="W111" s="24">
        <v>36526</v>
      </c>
      <c r="X111" s="25" t="s">
        <v>77</v>
      </c>
      <c r="Y111" t="s">
        <v>26</v>
      </c>
      <c r="Z111" s="24">
        <v>36526</v>
      </c>
      <c r="AA111" s="25" t="s">
        <v>77</v>
      </c>
      <c r="AB111" t="s">
        <v>26</v>
      </c>
      <c r="AC111" s="24">
        <v>36526</v>
      </c>
      <c r="AD111" s="25" t="s">
        <v>77</v>
      </c>
      <c r="AE111" t="s">
        <v>26</v>
      </c>
      <c r="AF111" t="s">
        <v>26</v>
      </c>
      <c r="AG111" t="s">
        <v>26</v>
      </c>
      <c r="AH111" t="s">
        <v>26</v>
      </c>
      <c r="AI111" t="s">
        <v>26</v>
      </c>
      <c r="AJ111" t="s">
        <v>26</v>
      </c>
      <c r="AK111" t="s">
        <v>26</v>
      </c>
      <c r="AL111" t="s">
        <v>26</v>
      </c>
      <c r="AM111" t="s">
        <v>26</v>
      </c>
      <c r="AN111" t="s">
        <v>26</v>
      </c>
      <c r="AO111" s="25" t="s">
        <v>68</v>
      </c>
      <c r="AP111" s="23" t="s">
        <v>69</v>
      </c>
      <c r="AQ111" s="23" t="s">
        <v>30</v>
      </c>
      <c r="AR111" s="23" t="s">
        <v>413</v>
      </c>
      <c r="AS111" s="25">
        <v>28776</v>
      </c>
      <c r="AT111" t="s">
        <v>26</v>
      </c>
      <c r="AU111" t="s">
        <v>22340</v>
      </c>
    </row>
    <row r="112" spans="1:47" ht="26.25" x14ac:dyDescent="0.4">
      <c r="A112" s="23" t="s">
        <v>414</v>
      </c>
      <c r="B112" t="s">
        <v>26</v>
      </c>
      <c r="C112" s="23" t="s">
        <v>264</v>
      </c>
      <c r="D112" s="23" t="s">
        <v>22261</v>
      </c>
      <c r="E112" s="23" t="s">
        <v>60</v>
      </c>
      <c r="F112" s="25" t="s">
        <v>415</v>
      </c>
      <c r="G112" s="25" t="s">
        <v>416</v>
      </c>
      <c r="H112" t="s">
        <v>26</v>
      </c>
      <c r="I112" s="24">
        <v>31503</v>
      </c>
      <c r="J112" s="25" t="s">
        <v>77</v>
      </c>
      <c r="K112" t="s">
        <v>26</v>
      </c>
      <c r="L112" s="25" t="s">
        <v>68</v>
      </c>
      <c r="M112" s="24">
        <v>37165</v>
      </c>
      <c r="N112" s="25" t="s">
        <v>77</v>
      </c>
      <c r="O112" t="s">
        <v>26</v>
      </c>
      <c r="P112" s="24">
        <v>31503</v>
      </c>
      <c r="Q112" s="25" t="s">
        <v>77</v>
      </c>
      <c r="R112" t="s">
        <v>26</v>
      </c>
      <c r="S112" t="s">
        <v>26</v>
      </c>
      <c r="T112" t="s">
        <v>26</v>
      </c>
      <c r="U112" t="s">
        <v>26</v>
      </c>
      <c r="V112" s="25">
        <v>365</v>
      </c>
      <c r="W112" s="24">
        <v>31503</v>
      </c>
      <c r="X112" s="25" t="s">
        <v>77</v>
      </c>
      <c r="Y112" t="s">
        <v>26</v>
      </c>
      <c r="Z112" s="24">
        <v>31503</v>
      </c>
      <c r="AA112" s="25" t="s">
        <v>77</v>
      </c>
      <c r="AB112" t="s">
        <v>26</v>
      </c>
      <c r="AC112" s="24">
        <v>31503</v>
      </c>
      <c r="AD112" s="25" t="s">
        <v>77</v>
      </c>
      <c r="AE112" t="s">
        <v>26</v>
      </c>
      <c r="AF112" t="s">
        <v>26</v>
      </c>
      <c r="AG112" t="s">
        <v>26</v>
      </c>
      <c r="AH112" t="s">
        <v>26</v>
      </c>
      <c r="AI112" t="s">
        <v>26</v>
      </c>
      <c r="AJ112" t="s">
        <v>26</v>
      </c>
      <c r="AK112" t="s">
        <v>26</v>
      </c>
      <c r="AL112" t="s">
        <v>26</v>
      </c>
      <c r="AM112" t="s">
        <v>26</v>
      </c>
      <c r="AN112" t="s">
        <v>26</v>
      </c>
      <c r="AO112" s="25" t="s">
        <v>68</v>
      </c>
      <c r="AP112" s="23" t="s">
        <v>69</v>
      </c>
      <c r="AQ112" s="23" t="s">
        <v>30</v>
      </c>
      <c r="AR112" s="23" t="s">
        <v>417</v>
      </c>
      <c r="AS112" s="25">
        <v>38574</v>
      </c>
      <c r="AT112" t="s">
        <v>26</v>
      </c>
      <c r="AU112" t="s">
        <v>22341</v>
      </c>
    </row>
    <row r="113" spans="1:47" ht="26.25" x14ac:dyDescent="0.4">
      <c r="A113" s="23" t="s">
        <v>418</v>
      </c>
      <c r="B113" t="s">
        <v>26</v>
      </c>
      <c r="C113" s="23" t="s">
        <v>80</v>
      </c>
      <c r="D113" s="23" t="s">
        <v>22342</v>
      </c>
      <c r="E113" s="23" t="s">
        <v>60</v>
      </c>
      <c r="F113" s="25" t="s">
        <v>419</v>
      </c>
      <c r="G113" s="25" t="s">
        <v>420</v>
      </c>
      <c r="H113" t="s">
        <v>26</v>
      </c>
      <c r="I113" s="24">
        <v>37622</v>
      </c>
      <c r="J113" s="24">
        <v>42095</v>
      </c>
      <c r="K113" t="s">
        <v>26</v>
      </c>
      <c r="L113" s="25" t="s">
        <v>68</v>
      </c>
      <c r="M113" s="24">
        <v>37622</v>
      </c>
      <c r="N113" s="24">
        <v>42095</v>
      </c>
      <c r="O113" t="s">
        <v>26</v>
      </c>
      <c r="P113" s="24">
        <v>37622</v>
      </c>
      <c r="Q113" s="24">
        <v>42095</v>
      </c>
      <c r="R113" t="s">
        <v>26</v>
      </c>
      <c r="S113" t="s">
        <v>26</v>
      </c>
      <c r="T113" t="s">
        <v>26</v>
      </c>
      <c r="U113" t="s">
        <v>26</v>
      </c>
      <c r="V113" t="s">
        <v>26</v>
      </c>
      <c r="W113" s="24">
        <v>37622</v>
      </c>
      <c r="X113" s="24">
        <v>42095</v>
      </c>
      <c r="Y113" s="25" t="s">
        <v>421</v>
      </c>
      <c r="Z113" s="24">
        <v>37622</v>
      </c>
      <c r="AA113" s="24">
        <v>42095</v>
      </c>
      <c r="AB113" s="25" t="s">
        <v>421</v>
      </c>
      <c r="AC113" s="24">
        <v>37622</v>
      </c>
      <c r="AD113" s="24">
        <v>41730</v>
      </c>
      <c r="AE113" s="25" t="s">
        <v>421</v>
      </c>
      <c r="AF113" t="s">
        <v>26</v>
      </c>
      <c r="AG113" t="s">
        <v>26</v>
      </c>
      <c r="AH113" t="s">
        <v>26</v>
      </c>
      <c r="AI113" t="s">
        <v>26</v>
      </c>
      <c r="AJ113" t="s">
        <v>26</v>
      </c>
      <c r="AK113" t="s">
        <v>26</v>
      </c>
      <c r="AL113" t="s">
        <v>26</v>
      </c>
      <c r="AM113" t="s">
        <v>26</v>
      </c>
      <c r="AN113" t="s">
        <v>26</v>
      </c>
      <c r="AO113" s="25" t="s">
        <v>68</v>
      </c>
      <c r="AP113" s="23" t="s">
        <v>69</v>
      </c>
      <c r="AQ113" s="23" t="s">
        <v>30</v>
      </c>
      <c r="AR113" s="23" t="s">
        <v>422</v>
      </c>
      <c r="AS113" s="25">
        <v>41536</v>
      </c>
      <c r="AT113" t="s">
        <v>26</v>
      </c>
      <c r="AU113" t="s">
        <v>22343</v>
      </c>
    </row>
    <row r="114" spans="1:47" ht="26.25" x14ac:dyDescent="0.4">
      <c r="A114" s="23" t="s">
        <v>423</v>
      </c>
      <c r="B114" t="s">
        <v>26</v>
      </c>
      <c r="C114" s="23" t="s">
        <v>424</v>
      </c>
      <c r="D114" s="23" t="s">
        <v>22344</v>
      </c>
      <c r="E114" s="23" t="s">
        <v>60</v>
      </c>
      <c r="F114" s="25" t="s">
        <v>425</v>
      </c>
      <c r="G114" s="25" t="s">
        <v>426</v>
      </c>
      <c r="H114" t="s">
        <v>26</v>
      </c>
      <c r="I114" s="24">
        <v>34669</v>
      </c>
      <c r="J114" s="24">
        <v>43252</v>
      </c>
      <c r="K114" s="25" t="s">
        <v>427</v>
      </c>
      <c r="L114" s="25" t="s">
        <v>68</v>
      </c>
      <c r="M114" s="24">
        <v>34731</v>
      </c>
      <c r="N114" s="24">
        <v>43252</v>
      </c>
      <c r="O114" s="25" t="s">
        <v>427</v>
      </c>
      <c r="P114" s="24">
        <v>34669</v>
      </c>
      <c r="Q114" s="24">
        <v>42339</v>
      </c>
      <c r="R114" t="s">
        <v>26</v>
      </c>
      <c r="S114" t="s">
        <v>26</v>
      </c>
      <c r="T114" t="s">
        <v>26</v>
      </c>
      <c r="U114" t="s">
        <v>26</v>
      </c>
      <c r="V114" t="s">
        <v>26</v>
      </c>
      <c r="W114" s="24">
        <v>32540</v>
      </c>
      <c r="X114" s="25" t="s">
        <v>77</v>
      </c>
      <c r="Y114" t="s">
        <v>26</v>
      </c>
      <c r="Z114" s="24">
        <v>32540</v>
      </c>
      <c r="AA114" s="25" t="s">
        <v>77</v>
      </c>
      <c r="AB114" t="s">
        <v>26</v>
      </c>
      <c r="AC114" s="24">
        <v>32540</v>
      </c>
      <c r="AD114" s="25" t="s">
        <v>77</v>
      </c>
      <c r="AE114" t="s">
        <v>26</v>
      </c>
      <c r="AF114" t="s">
        <v>26</v>
      </c>
      <c r="AG114" t="s">
        <v>26</v>
      </c>
      <c r="AH114" t="s">
        <v>26</v>
      </c>
      <c r="AI114" t="s">
        <v>26</v>
      </c>
      <c r="AJ114" t="s">
        <v>26</v>
      </c>
      <c r="AK114" t="s">
        <v>26</v>
      </c>
      <c r="AL114" t="s">
        <v>26</v>
      </c>
      <c r="AM114" t="s">
        <v>26</v>
      </c>
      <c r="AN114" t="s">
        <v>26</v>
      </c>
      <c r="AO114" s="25" t="s">
        <v>68</v>
      </c>
      <c r="AP114" s="23" t="s">
        <v>69</v>
      </c>
      <c r="AQ114" s="23" t="s">
        <v>30</v>
      </c>
      <c r="AR114" s="23" t="s">
        <v>257</v>
      </c>
      <c r="AS114" s="25">
        <v>47760</v>
      </c>
      <c r="AT114" t="s">
        <v>26</v>
      </c>
      <c r="AU114" t="s">
        <v>22345</v>
      </c>
    </row>
    <row r="115" spans="1:47" ht="26.25" x14ac:dyDescent="0.4">
      <c r="A115" s="23" t="s">
        <v>428</v>
      </c>
      <c r="B115" t="s">
        <v>26</v>
      </c>
      <c r="C115" s="23" t="s">
        <v>73</v>
      </c>
      <c r="D115" s="23" t="s">
        <v>22346</v>
      </c>
      <c r="E115" s="23" t="s">
        <v>74</v>
      </c>
      <c r="F115" s="25" t="s">
        <v>429</v>
      </c>
      <c r="G115" s="25" t="s">
        <v>430</v>
      </c>
      <c r="H115" t="s">
        <v>26</v>
      </c>
      <c r="I115" s="24">
        <v>35490</v>
      </c>
      <c r="J115" s="25" t="s">
        <v>77</v>
      </c>
      <c r="K115" t="s">
        <v>26</v>
      </c>
      <c r="L115" s="25" t="s">
        <v>68</v>
      </c>
      <c r="M115" s="24">
        <v>36251</v>
      </c>
      <c r="N115" s="24">
        <v>42887</v>
      </c>
      <c r="O115" s="25" t="s">
        <v>431</v>
      </c>
      <c r="P115" s="24">
        <v>35490</v>
      </c>
      <c r="Q115" s="25" t="s">
        <v>77</v>
      </c>
      <c r="R115" t="s">
        <v>26</v>
      </c>
      <c r="S115" t="s">
        <v>26</v>
      </c>
      <c r="T115" t="s">
        <v>26</v>
      </c>
      <c r="U115" t="s">
        <v>26</v>
      </c>
      <c r="V115" t="s">
        <v>26</v>
      </c>
      <c r="W115" s="24">
        <v>29677</v>
      </c>
      <c r="X115" s="25" t="s">
        <v>77</v>
      </c>
      <c r="Y115" s="25" t="s">
        <v>432</v>
      </c>
      <c r="Z115" s="24">
        <v>29677</v>
      </c>
      <c r="AA115" s="25" t="s">
        <v>77</v>
      </c>
      <c r="AB115" s="25" t="s">
        <v>432</v>
      </c>
      <c r="AC115" s="24">
        <v>35490</v>
      </c>
      <c r="AD115" s="25" t="s">
        <v>77</v>
      </c>
      <c r="AE115" t="s">
        <v>26</v>
      </c>
      <c r="AF115" t="s">
        <v>26</v>
      </c>
      <c r="AG115" t="s">
        <v>26</v>
      </c>
      <c r="AH115" t="s">
        <v>26</v>
      </c>
      <c r="AI115" t="s">
        <v>26</v>
      </c>
      <c r="AJ115" t="s">
        <v>26</v>
      </c>
      <c r="AK115" t="s">
        <v>26</v>
      </c>
      <c r="AL115" t="s">
        <v>26</v>
      </c>
      <c r="AM115" t="s">
        <v>26</v>
      </c>
      <c r="AN115" t="s">
        <v>26</v>
      </c>
      <c r="AO115" s="25" t="s">
        <v>68</v>
      </c>
      <c r="AP115" s="23" t="s">
        <v>69</v>
      </c>
      <c r="AQ115" s="23" t="s">
        <v>30</v>
      </c>
      <c r="AR115" s="23" t="s">
        <v>433</v>
      </c>
      <c r="AS115" s="25">
        <v>49167</v>
      </c>
      <c r="AT115" t="s">
        <v>26</v>
      </c>
      <c r="AU115" t="s">
        <v>22347</v>
      </c>
    </row>
    <row r="116" spans="1:47" ht="26.25" x14ac:dyDescent="0.4">
      <c r="A116" s="23" t="s">
        <v>434</v>
      </c>
      <c r="B116" t="s">
        <v>26</v>
      </c>
      <c r="C116" s="23" t="s">
        <v>435</v>
      </c>
      <c r="D116" s="23" t="s">
        <v>22348</v>
      </c>
      <c r="E116" s="23" t="s">
        <v>42</v>
      </c>
      <c r="F116" s="25" t="s">
        <v>436</v>
      </c>
      <c r="G116" s="25" t="s">
        <v>437</v>
      </c>
      <c r="H116" t="s">
        <v>26</v>
      </c>
      <c r="I116" s="24">
        <v>35796</v>
      </c>
      <c r="J116" s="24">
        <v>39203</v>
      </c>
      <c r="K116" t="s">
        <v>26</v>
      </c>
      <c r="L116" s="25" t="s">
        <v>68</v>
      </c>
      <c r="M116" s="24">
        <v>35796</v>
      </c>
      <c r="N116" s="24">
        <v>39203</v>
      </c>
      <c r="O116" t="s">
        <v>26</v>
      </c>
      <c r="P116" s="24">
        <v>35796</v>
      </c>
      <c r="Q116" s="24">
        <v>39203</v>
      </c>
      <c r="R116" t="s">
        <v>26</v>
      </c>
      <c r="S116" t="s">
        <v>26</v>
      </c>
      <c r="T116" t="s">
        <v>26</v>
      </c>
      <c r="U116" t="s">
        <v>26</v>
      </c>
      <c r="V116" t="s">
        <v>26</v>
      </c>
      <c r="W116" s="24">
        <v>35796</v>
      </c>
      <c r="X116" s="24">
        <v>39203</v>
      </c>
      <c r="Y116" t="s">
        <v>26</v>
      </c>
      <c r="Z116" s="24">
        <v>35796</v>
      </c>
      <c r="AA116" s="24">
        <v>39203</v>
      </c>
      <c r="AB116" t="s">
        <v>26</v>
      </c>
      <c r="AC116" s="24">
        <v>35796</v>
      </c>
      <c r="AD116" s="24">
        <v>39142</v>
      </c>
      <c r="AE116" t="s">
        <v>26</v>
      </c>
      <c r="AF116" t="s">
        <v>26</v>
      </c>
      <c r="AG116" t="s">
        <v>26</v>
      </c>
      <c r="AH116" t="s">
        <v>26</v>
      </c>
      <c r="AI116" t="s">
        <v>26</v>
      </c>
      <c r="AJ116" t="s">
        <v>26</v>
      </c>
      <c r="AK116" t="s">
        <v>26</v>
      </c>
      <c r="AL116" t="s">
        <v>26</v>
      </c>
      <c r="AM116" t="s">
        <v>26</v>
      </c>
      <c r="AN116" t="s">
        <v>26</v>
      </c>
      <c r="AO116" s="25" t="s">
        <v>68</v>
      </c>
      <c r="AP116" s="23" t="s">
        <v>69</v>
      </c>
      <c r="AQ116" s="23" t="s">
        <v>30</v>
      </c>
      <c r="AR116" s="23" t="s">
        <v>438</v>
      </c>
      <c r="AS116" s="25">
        <v>33078</v>
      </c>
      <c r="AT116" t="s">
        <v>26</v>
      </c>
      <c r="AU116" t="s">
        <v>22349</v>
      </c>
    </row>
    <row r="117" spans="1:47" ht="26.25" x14ac:dyDescent="0.4">
      <c r="A117" s="23" t="s">
        <v>439</v>
      </c>
      <c r="B117" t="s">
        <v>26</v>
      </c>
      <c r="C117" s="23" t="s">
        <v>73</v>
      </c>
      <c r="D117" s="23" t="s">
        <v>22179</v>
      </c>
      <c r="E117" s="23" t="s">
        <v>74</v>
      </c>
      <c r="F117" s="25" t="s">
        <v>440</v>
      </c>
      <c r="G117" s="25" t="s">
        <v>441</v>
      </c>
      <c r="H117" t="s">
        <v>26</v>
      </c>
      <c r="I117" s="24">
        <v>35490</v>
      </c>
      <c r="J117" s="25" t="s">
        <v>77</v>
      </c>
      <c r="K117" t="s">
        <v>26</v>
      </c>
      <c r="L117" s="25" t="s">
        <v>68</v>
      </c>
      <c r="M117" s="24">
        <v>38261</v>
      </c>
      <c r="N117" s="24">
        <v>42705</v>
      </c>
      <c r="O117" t="s">
        <v>26</v>
      </c>
      <c r="P117" s="24">
        <v>35490</v>
      </c>
      <c r="Q117" s="25" t="s">
        <v>77</v>
      </c>
      <c r="R117" t="s">
        <v>26</v>
      </c>
      <c r="S117" t="s">
        <v>26</v>
      </c>
      <c r="T117" t="s">
        <v>26</v>
      </c>
      <c r="U117" t="s">
        <v>26</v>
      </c>
      <c r="V117" s="25">
        <v>365</v>
      </c>
      <c r="W117" s="24">
        <v>35490</v>
      </c>
      <c r="X117" s="25" t="s">
        <v>77</v>
      </c>
      <c r="Y117" t="s">
        <v>26</v>
      </c>
      <c r="Z117" s="24">
        <v>35490</v>
      </c>
      <c r="AA117" s="25" t="s">
        <v>77</v>
      </c>
      <c r="AB117" t="s">
        <v>26</v>
      </c>
      <c r="AC117" s="24">
        <v>35490</v>
      </c>
      <c r="AD117" s="25" t="s">
        <v>77</v>
      </c>
      <c r="AE117" t="s">
        <v>26</v>
      </c>
      <c r="AF117" t="s">
        <v>26</v>
      </c>
      <c r="AG117" t="s">
        <v>26</v>
      </c>
      <c r="AH117" t="s">
        <v>26</v>
      </c>
      <c r="AI117" t="s">
        <v>26</v>
      </c>
      <c r="AJ117" t="s">
        <v>26</v>
      </c>
      <c r="AK117" t="s">
        <v>26</v>
      </c>
      <c r="AL117" t="s">
        <v>26</v>
      </c>
      <c r="AM117" t="s">
        <v>26</v>
      </c>
      <c r="AN117" t="s">
        <v>26</v>
      </c>
      <c r="AO117" s="25" t="s">
        <v>68</v>
      </c>
      <c r="AP117" s="23" t="s">
        <v>69</v>
      </c>
      <c r="AQ117" s="23" t="s">
        <v>30</v>
      </c>
      <c r="AR117" s="23" t="s">
        <v>442</v>
      </c>
      <c r="AS117" s="25">
        <v>54104</v>
      </c>
      <c r="AT117" t="s">
        <v>26</v>
      </c>
      <c r="AU117" t="s">
        <v>22350</v>
      </c>
    </row>
    <row r="118" spans="1:47" ht="26.25" x14ac:dyDescent="0.4">
      <c r="A118" s="23" t="s">
        <v>443</v>
      </c>
      <c r="B118" t="s">
        <v>26</v>
      </c>
      <c r="C118" s="23" t="s">
        <v>80</v>
      </c>
      <c r="D118" s="23" t="s">
        <v>22179</v>
      </c>
      <c r="E118" s="23" t="s">
        <v>60</v>
      </c>
      <c r="F118" s="25" t="s">
        <v>444</v>
      </c>
      <c r="G118" s="25" t="s">
        <v>445</v>
      </c>
      <c r="H118" t="s">
        <v>26</v>
      </c>
      <c r="I118" t="s">
        <v>26</v>
      </c>
      <c r="J118" t="s">
        <v>26</v>
      </c>
      <c r="K118" t="s">
        <v>26</v>
      </c>
      <c r="L118" s="25" t="s">
        <v>68</v>
      </c>
      <c r="M118" t="s">
        <v>26</v>
      </c>
      <c r="N118" t="s">
        <v>26</v>
      </c>
      <c r="O118" t="s">
        <v>26</v>
      </c>
      <c r="P118" t="s">
        <v>26</v>
      </c>
      <c r="Q118" t="s">
        <v>26</v>
      </c>
      <c r="R118" t="s">
        <v>26</v>
      </c>
      <c r="S118" t="s">
        <v>26</v>
      </c>
      <c r="T118" t="s">
        <v>26</v>
      </c>
      <c r="U118" t="s">
        <v>26</v>
      </c>
      <c r="V118" t="s">
        <v>26</v>
      </c>
      <c r="W118" s="24">
        <v>34366</v>
      </c>
      <c r="X118" s="25" t="s">
        <v>77</v>
      </c>
      <c r="Y118" t="s">
        <v>26</v>
      </c>
      <c r="Z118" s="24">
        <v>34366</v>
      </c>
      <c r="AA118" s="25" t="s">
        <v>77</v>
      </c>
      <c r="AB118" t="s">
        <v>26</v>
      </c>
      <c r="AC118" s="24">
        <v>34366</v>
      </c>
      <c r="AD118" s="25" t="s">
        <v>77</v>
      </c>
      <c r="AE118" t="s">
        <v>26</v>
      </c>
      <c r="AF118" t="s">
        <v>26</v>
      </c>
      <c r="AG118" t="s">
        <v>26</v>
      </c>
      <c r="AH118" t="s">
        <v>26</v>
      </c>
      <c r="AI118" t="s">
        <v>26</v>
      </c>
      <c r="AJ118" t="s">
        <v>26</v>
      </c>
      <c r="AK118" t="s">
        <v>26</v>
      </c>
      <c r="AL118" t="s">
        <v>26</v>
      </c>
      <c r="AM118" t="s">
        <v>26</v>
      </c>
      <c r="AN118" t="s">
        <v>26</v>
      </c>
      <c r="AO118" s="25" t="s">
        <v>68</v>
      </c>
      <c r="AP118" s="23" t="s">
        <v>69</v>
      </c>
      <c r="AQ118" s="23" t="s">
        <v>30</v>
      </c>
      <c r="AR118" s="23" t="s">
        <v>203</v>
      </c>
      <c r="AS118" s="25">
        <v>48364</v>
      </c>
      <c r="AT118" t="s">
        <v>26</v>
      </c>
      <c r="AU118" t="s">
        <v>22351</v>
      </c>
    </row>
    <row r="119" spans="1:47" ht="26.25" x14ac:dyDescent="0.4">
      <c r="A119" s="23" t="s">
        <v>446</v>
      </c>
      <c r="B119" t="s">
        <v>26</v>
      </c>
      <c r="C119" s="23" t="s">
        <v>447</v>
      </c>
      <c r="D119" s="23" t="s">
        <v>22352</v>
      </c>
      <c r="E119" s="23" t="s">
        <v>42</v>
      </c>
      <c r="F119" s="25" t="s">
        <v>448</v>
      </c>
      <c r="G119" s="25" t="s">
        <v>449</v>
      </c>
      <c r="H119" t="s">
        <v>26</v>
      </c>
      <c r="I119" t="s">
        <v>26</v>
      </c>
      <c r="J119" t="s">
        <v>26</v>
      </c>
      <c r="K119" t="s">
        <v>26</v>
      </c>
      <c r="L119" s="25" t="s">
        <v>68</v>
      </c>
      <c r="M119" t="s">
        <v>26</v>
      </c>
      <c r="N119" t="s">
        <v>26</v>
      </c>
      <c r="O119" t="s">
        <v>26</v>
      </c>
      <c r="P119" t="s">
        <v>26</v>
      </c>
      <c r="Q119" t="s">
        <v>26</v>
      </c>
      <c r="R119" t="s">
        <v>26</v>
      </c>
      <c r="S119" t="s">
        <v>26</v>
      </c>
      <c r="T119" t="s">
        <v>26</v>
      </c>
      <c r="U119" t="s">
        <v>26</v>
      </c>
      <c r="V119" t="s">
        <v>26</v>
      </c>
      <c r="W119" s="24">
        <v>33635</v>
      </c>
      <c r="X119" s="25" t="s">
        <v>77</v>
      </c>
      <c r="Y119" t="s">
        <v>26</v>
      </c>
      <c r="Z119" s="24">
        <v>33635</v>
      </c>
      <c r="AA119" s="25" t="s">
        <v>77</v>
      </c>
      <c r="AB119" t="s">
        <v>26</v>
      </c>
      <c r="AC119" s="24">
        <v>33635</v>
      </c>
      <c r="AD119" s="25" t="s">
        <v>77</v>
      </c>
      <c r="AE119" t="s">
        <v>26</v>
      </c>
      <c r="AF119" t="s">
        <v>26</v>
      </c>
      <c r="AG119" t="s">
        <v>26</v>
      </c>
      <c r="AH119" t="s">
        <v>26</v>
      </c>
      <c r="AI119" t="s">
        <v>26</v>
      </c>
      <c r="AJ119" t="s">
        <v>26</v>
      </c>
      <c r="AK119" t="s">
        <v>26</v>
      </c>
      <c r="AL119" t="s">
        <v>26</v>
      </c>
      <c r="AM119" t="s">
        <v>26</v>
      </c>
      <c r="AN119" t="s">
        <v>26</v>
      </c>
      <c r="AO119" s="25" t="s">
        <v>68</v>
      </c>
      <c r="AP119" s="23" t="s">
        <v>69</v>
      </c>
      <c r="AQ119" s="23" t="s">
        <v>30</v>
      </c>
      <c r="AR119" s="23" t="s">
        <v>450</v>
      </c>
      <c r="AS119" s="25">
        <v>41725</v>
      </c>
      <c r="AT119" t="s">
        <v>26</v>
      </c>
      <c r="AU119" t="s">
        <v>22353</v>
      </c>
    </row>
    <row r="120" spans="1:47" ht="26.25" x14ac:dyDescent="0.4">
      <c r="A120" s="23" t="s">
        <v>451</v>
      </c>
      <c r="B120" t="s">
        <v>26</v>
      </c>
      <c r="C120" s="23" t="s">
        <v>452</v>
      </c>
      <c r="D120" s="23" t="s">
        <v>22184</v>
      </c>
      <c r="E120" s="23" t="s">
        <v>42</v>
      </c>
      <c r="F120" s="25" t="s">
        <v>453</v>
      </c>
      <c r="G120" s="25" t="s">
        <v>454</v>
      </c>
      <c r="H120" t="s">
        <v>26</v>
      </c>
      <c r="I120" s="24">
        <v>35431</v>
      </c>
      <c r="J120" s="24">
        <v>36800</v>
      </c>
      <c r="K120" t="s">
        <v>26</v>
      </c>
      <c r="L120" s="25" t="s">
        <v>68</v>
      </c>
      <c r="M120" s="24">
        <v>35431</v>
      </c>
      <c r="N120" s="24">
        <v>36800</v>
      </c>
      <c r="O120" t="s">
        <v>26</v>
      </c>
      <c r="P120" s="24">
        <v>35431</v>
      </c>
      <c r="Q120" s="24">
        <v>36800</v>
      </c>
      <c r="R120" t="s">
        <v>26</v>
      </c>
      <c r="S120" t="s">
        <v>26</v>
      </c>
      <c r="T120" t="s">
        <v>26</v>
      </c>
      <c r="U120" t="s">
        <v>26</v>
      </c>
      <c r="V120" t="s">
        <v>26</v>
      </c>
      <c r="W120" s="24">
        <v>32509</v>
      </c>
      <c r="X120" s="25" t="s">
        <v>77</v>
      </c>
      <c r="Y120" t="s">
        <v>26</v>
      </c>
      <c r="Z120" s="24">
        <v>32509</v>
      </c>
      <c r="AA120" s="25" t="s">
        <v>77</v>
      </c>
      <c r="AB120" t="s">
        <v>26</v>
      </c>
      <c r="AC120" s="24">
        <v>32509</v>
      </c>
      <c r="AD120" s="25" t="s">
        <v>77</v>
      </c>
      <c r="AE120" t="s">
        <v>26</v>
      </c>
      <c r="AF120" t="s">
        <v>26</v>
      </c>
      <c r="AG120" t="s">
        <v>26</v>
      </c>
      <c r="AH120" t="s">
        <v>26</v>
      </c>
      <c r="AI120" t="s">
        <v>26</v>
      </c>
      <c r="AJ120" t="s">
        <v>26</v>
      </c>
      <c r="AK120" t="s">
        <v>26</v>
      </c>
      <c r="AL120" t="s">
        <v>26</v>
      </c>
      <c r="AM120" t="s">
        <v>26</v>
      </c>
      <c r="AN120" t="s">
        <v>26</v>
      </c>
      <c r="AO120" s="25" t="s">
        <v>68</v>
      </c>
      <c r="AP120" s="23" t="s">
        <v>69</v>
      </c>
      <c r="AQ120" s="23" t="s">
        <v>30</v>
      </c>
      <c r="AR120" s="23" t="s">
        <v>257</v>
      </c>
      <c r="AS120" s="25">
        <v>23101</v>
      </c>
      <c r="AT120" t="s">
        <v>26</v>
      </c>
      <c r="AU120" t="s">
        <v>22354</v>
      </c>
    </row>
    <row r="121" spans="1:47" ht="26.25" x14ac:dyDescent="0.4">
      <c r="A121" s="23" t="s">
        <v>455</v>
      </c>
      <c r="B121" t="s">
        <v>26</v>
      </c>
      <c r="C121" s="23" t="s">
        <v>341</v>
      </c>
      <c r="D121" s="23" t="s">
        <v>22254</v>
      </c>
      <c r="E121" s="23" t="s">
        <v>60</v>
      </c>
      <c r="F121" s="25" t="s">
        <v>456</v>
      </c>
      <c r="G121" s="25" t="s">
        <v>457</v>
      </c>
      <c r="H121" t="s">
        <v>26</v>
      </c>
      <c r="I121" s="24">
        <v>35886</v>
      </c>
      <c r="J121" s="24">
        <v>41456</v>
      </c>
      <c r="K121" t="s">
        <v>26</v>
      </c>
      <c r="L121" s="25" t="s">
        <v>68</v>
      </c>
      <c r="M121" s="24">
        <v>35886</v>
      </c>
      <c r="N121" s="24">
        <v>41456</v>
      </c>
      <c r="O121" t="s">
        <v>26</v>
      </c>
      <c r="P121" s="24">
        <v>35886</v>
      </c>
      <c r="Q121" s="24">
        <v>41456</v>
      </c>
      <c r="R121" t="s">
        <v>26</v>
      </c>
      <c r="S121" t="s">
        <v>26</v>
      </c>
      <c r="T121" t="s">
        <v>26</v>
      </c>
      <c r="U121" t="s">
        <v>26</v>
      </c>
      <c r="V121" t="s">
        <v>26</v>
      </c>
      <c r="W121" s="24">
        <v>35886</v>
      </c>
      <c r="X121" s="24">
        <v>44743</v>
      </c>
      <c r="Y121" s="25" t="s">
        <v>2468</v>
      </c>
      <c r="Z121" s="24">
        <v>35886</v>
      </c>
      <c r="AA121" s="24">
        <v>44743</v>
      </c>
      <c r="AB121" s="25" t="s">
        <v>2468</v>
      </c>
      <c r="AC121" s="24">
        <v>35886</v>
      </c>
      <c r="AD121" s="24">
        <v>44743</v>
      </c>
      <c r="AE121" s="25" t="s">
        <v>2468</v>
      </c>
      <c r="AF121" t="s">
        <v>26</v>
      </c>
      <c r="AG121" t="s">
        <v>26</v>
      </c>
      <c r="AH121" t="s">
        <v>26</v>
      </c>
      <c r="AI121" t="s">
        <v>26</v>
      </c>
      <c r="AJ121" t="s">
        <v>26</v>
      </c>
      <c r="AK121" t="s">
        <v>26</v>
      </c>
      <c r="AL121" t="s">
        <v>26</v>
      </c>
      <c r="AM121" t="s">
        <v>26</v>
      </c>
      <c r="AN121" t="s">
        <v>26</v>
      </c>
      <c r="AO121" s="25" t="s">
        <v>68</v>
      </c>
      <c r="AP121" s="23" t="s">
        <v>69</v>
      </c>
      <c r="AQ121" s="23" t="s">
        <v>30</v>
      </c>
      <c r="AR121" s="23" t="s">
        <v>458</v>
      </c>
      <c r="AS121" s="25">
        <v>30840</v>
      </c>
      <c r="AT121" t="s">
        <v>26</v>
      </c>
      <c r="AU121" t="s">
        <v>22355</v>
      </c>
    </row>
    <row r="122" spans="1:47" ht="26.25" x14ac:dyDescent="0.4">
      <c r="A122" s="23" t="s">
        <v>459</v>
      </c>
      <c r="B122" t="s">
        <v>26</v>
      </c>
      <c r="C122" s="23" t="s">
        <v>460</v>
      </c>
      <c r="D122" s="23" t="s">
        <v>22356</v>
      </c>
      <c r="E122" s="23" t="s">
        <v>42</v>
      </c>
      <c r="F122" s="25" t="s">
        <v>461</v>
      </c>
      <c r="G122" s="25" t="s">
        <v>462</v>
      </c>
      <c r="H122" t="s">
        <v>26</v>
      </c>
      <c r="I122" s="24">
        <v>37622</v>
      </c>
      <c r="J122" s="24">
        <v>40118</v>
      </c>
      <c r="K122" t="s">
        <v>26</v>
      </c>
      <c r="L122" s="25" t="s">
        <v>68</v>
      </c>
      <c r="M122" s="24">
        <v>37622</v>
      </c>
      <c r="N122" s="24">
        <v>40118</v>
      </c>
      <c r="O122" t="s">
        <v>26</v>
      </c>
      <c r="P122" s="24">
        <v>37622</v>
      </c>
      <c r="Q122" s="24">
        <v>40118</v>
      </c>
      <c r="R122" t="s">
        <v>26</v>
      </c>
      <c r="S122" t="s">
        <v>26</v>
      </c>
      <c r="T122" t="s">
        <v>26</v>
      </c>
      <c r="U122" t="s">
        <v>26</v>
      </c>
      <c r="V122" t="s">
        <v>26</v>
      </c>
      <c r="W122" s="24">
        <v>37622</v>
      </c>
      <c r="X122" s="24">
        <v>40118</v>
      </c>
      <c r="Y122" t="s">
        <v>26</v>
      </c>
      <c r="Z122" s="24">
        <v>37622</v>
      </c>
      <c r="AA122" s="24">
        <v>40118</v>
      </c>
      <c r="AB122" t="s">
        <v>26</v>
      </c>
      <c r="AC122" s="24">
        <v>38231</v>
      </c>
      <c r="AD122" s="24">
        <v>40118</v>
      </c>
      <c r="AE122" t="s">
        <v>26</v>
      </c>
      <c r="AF122" t="s">
        <v>26</v>
      </c>
      <c r="AG122" t="s">
        <v>26</v>
      </c>
      <c r="AH122" t="s">
        <v>26</v>
      </c>
      <c r="AI122" t="s">
        <v>26</v>
      </c>
      <c r="AJ122" t="s">
        <v>26</v>
      </c>
      <c r="AK122" t="s">
        <v>26</v>
      </c>
      <c r="AL122" t="s">
        <v>26</v>
      </c>
      <c r="AM122" t="s">
        <v>26</v>
      </c>
      <c r="AN122" t="s">
        <v>26</v>
      </c>
      <c r="AO122" s="25" t="s">
        <v>68</v>
      </c>
      <c r="AP122" s="23" t="s">
        <v>69</v>
      </c>
      <c r="AQ122" s="23" t="s">
        <v>30</v>
      </c>
      <c r="AR122" s="23" t="s">
        <v>463</v>
      </c>
      <c r="AS122" s="25">
        <v>48054</v>
      </c>
      <c r="AT122" t="s">
        <v>26</v>
      </c>
      <c r="AU122" t="s">
        <v>22357</v>
      </c>
    </row>
    <row r="123" spans="1:47" ht="26.25" x14ac:dyDescent="0.4">
      <c r="A123" s="23" t="s">
        <v>464</v>
      </c>
      <c r="B123" t="s">
        <v>26</v>
      </c>
      <c r="C123" s="23" t="s">
        <v>465</v>
      </c>
      <c r="D123" s="23" t="s">
        <v>22254</v>
      </c>
      <c r="E123" s="23" t="s">
        <v>42</v>
      </c>
      <c r="F123" s="25" t="s">
        <v>466</v>
      </c>
      <c r="G123" s="25" t="s">
        <v>467</v>
      </c>
      <c r="H123" t="s">
        <v>26</v>
      </c>
      <c r="I123" t="s">
        <v>26</v>
      </c>
      <c r="J123" t="s">
        <v>26</v>
      </c>
      <c r="K123" t="s">
        <v>26</v>
      </c>
      <c r="L123" s="25" t="s">
        <v>68</v>
      </c>
      <c r="M123" t="s">
        <v>26</v>
      </c>
      <c r="N123" t="s">
        <v>26</v>
      </c>
      <c r="O123" t="s">
        <v>26</v>
      </c>
      <c r="P123" t="s">
        <v>26</v>
      </c>
      <c r="Q123" t="s">
        <v>26</v>
      </c>
      <c r="R123" t="s">
        <v>26</v>
      </c>
      <c r="S123" t="s">
        <v>26</v>
      </c>
      <c r="T123" t="s">
        <v>26</v>
      </c>
      <c r="U123" t="s">
        <v>26</v>
      </c>
      <c r="V123" t="s">
        <v>26</v>
      </c>
      <c r="W123" s="24">
        <v>32509</v>
      </c>
      <c r="X123" s="25" t="s">
        <v>77</v>
      </c>
      <c r="Y123" t="s">
        <v>26</v>
      </c>
      <c r="Z123" s="24">
        <v>32509</v>
      </c>
      <c r="AA123" s="25" t="s">
        <v>77</v>
      </c>
      <c r="AB123" t="s">
        <v>26</v>
      </c>
      <c r="AC123" s="24">
        <v>32509</v>
      </c>
      <c r="AD123" s="25" t="s">
        <v>77</v>
      </c>
      <c r="AE123" t="s">
        <v>26</v>
      </c>
      <c r="AF123" t="s">
        <v>26</v>
      </c>
      <c r="AG123" t="s">
        <v>26</v>
      </c>
      <c r="AH123" t="s">
        <v>26</v>
      </c>
      <c r="AI123" t="s">
        <v>26</v>
      </c>
      <c r="AJ123" t="s">
        <v>26</v>
      </c>
      <c r="AK123" t="s">
        <v>26</v>
      </c>
      <c r="AL123" t="s">
        <v>26</v>
      </c>
      <c r="AM123" t="s">
        <v>26</v>
      </c>
      <c r="AN123" t="s">
        <v>26</v>
      </c>
      <c r="AO123" s="25" t="s">
        <v>68</v>
      </c>
      <c r="AP123" s="23" t="s">
        <v>69</v>
      </c>
      <c r="AQ123" s="23" t="s">
        <v>30</v>
      </c>
      <c r="AR123" s="23" t="s">
        <v>468</v>
      </c>
      <c r="AS123" s="25">
        <v>35372</v>
      </c>
      <c r="AT123" t="s">
        <v>26</v>
      </c>
      <c r="AU123" t="s">
        <v>22358</v>
      </c>
    </row>
    <row r="124" spans="1:47" ht="26.25" x14ac:dyDescent="0.4">
      <c r="A124" s="23" t="s">
        <v>469</v>
      </c>
      <c r="B124" t="s">
        <v>26</v>
      </c>
      <c r="C124" s="23" t="s">
        <v>470</v>
      </c>
      <c r="D124" s="23" t="s">
        <v>22359</v>
      </c>
      <c r="E124" s="23" t="s">
        <v>42</v>
      </c>
      <c r="F124" s="25" t="s">
        <v>471</v>
      </c>
      <c r="G124" s="25" t="s">
        <v>472</v>
      </c>
      <c r="H124" t="s">
        <v>26</v>
      </c>
      <c r="I124" s="24">
        <v>40909</v>
      </c>
      <c r="J124" s="25" t="s">
        <v>77</v>
      </c>
      <c r="K124" t="s">
        <v>26</v>
      </c>
      <c r="L124" s="25" t="s">
        <v>68</v>
      </c>
      <c r="M124" s="24">
        <v>40909</v>
      </c>
      <c r="N124" s="25" t="s">
        <v>77</v>
      </c>
      <c r="O124" t="s">
        <v>26</v>
      </c>
      <c r="P124" s="24">
        <v>40909</v>
      </c>
      <c r="Q124" s="25" t="s">
        <v>77</v>
      </c>
      <c r="R124" t="s">
        <v>26</v>
      </c>
      <c r="S124" t="s">
        <v>26</v>
      </c>
      <c r="T124" t="s">
        <v>26</v>
      </c>
      <c r="U124" t="s">
        <v>26</v>
      </c>
      <c r="V124" t="s">
        <v>26</v>
      </c>
      <c r="W124" s="24">
        <v>40909</v>
      </c>
      <c r="X124" s="25" t="s">
        <v>77</v>
      </c>
      <c r="Y124" t="s">
        <v>26</v>
      </c>
      <c r="Z124" s="24">
        <v>40909</v>
      </c>
      <c r="AA124" s="25" t="s">
        <v>77</v>
      </c>
      <c r="AB124" t="s">
        <v>26</v>
      </c>
      <c r="AC124" s="24">
        <v>40909</v>
      </c>
      <c r="AD124" s="25" t="s">
        <v>77</v>
      </c>
      <c r="AE124" t="s">
        <v>26</v>
      </c>
      <c r="AF124" t="s">
        <v>26</v>
      </c>
      <c r="AG124" t="s">
        <v>26</v>
      </c>
      <c r="AH124" t="s">
        <v>26</v>
      </c>
      <c r="AI124" t="s">
        <v>26</v>
      </c>
      <c r="AJ124" t="s">
        <v>26</v>
      </c>
      <c r="AK124" t="s">
        <v>26</v>
      </c>
      <c r="AL124" t="s">
        <v>26</v>
      </c>
      <c r="AM124" t="s">
        <v>26</v>
      </c>
      <c r="AN124" t="s">
        <v>26</v>
      </c>
      <c r="AO124" s="25" t="s">
        <v>68</v>
      </c>
      <c r="AP124" s="23" t="s">
        <v>69</v>
      </c>
      <c r="AQ124" s="23" t="s">
        <v>30</v>
      </c>
      <c r="AR124" s="23" t="s">
        <v>473</v>
      </c>
      <c r="AS124" s="25">
        <v>1946343</v>
      </c>
      <c r="AT124" t="s">
        <v>26</v>
      </c>
      <c r="AU124" t="s">
        <v>22360</v>
      </c>
    </row>
    <row r="125" spans="1:47" ht="26.25" x14ac:dyDescent="0.4">
      <c r="A125" s="23" t="s">
        <v>474</v>
      </c>
      <c r="B125" t="s">
        <v>26</v>
      </c>
      <c r="C125" s="23" t="s">
        <v>80</v>
      </c>
      <c r="D125" s="23" t="s">
        <v>22361</v>
      </c>
      <c r="E125" s="23" t="s">
        <v>60</v>
      </c>
      <c r="F125" s="25" t="s">
        <v>475</v>
      </c>
      <c r="G125" s="25" t="s">
        <v>476</v>
      </c>
      <c r="H125" t="s">
        <v>26</v>
      </c>
      <c r="I125" t="s">
        <v>26</v>
      </c>
      <c r="J125" t="s">
        <v>26</v>
      </c>
      <c r="K125" t="s">
        <v>26</v>
      </c>
      <c r="L125" s="25" t="s">
        <v>68</v>
      </c>
      <c r="M125" t="s">
        <v>26</v>
      </c>
      <c r="N125" t="s">
        <v>26</v>
      </c>
      <c r="O125" t="s">
        <v>26</v>
      </c>
      <c r="P125" t="s">
        <v>26</v>
      </c>
      <c r="Q125" t="s">
        <v>26</v>
      </c>
      <c r="R125" t="s">
        <v>26</v>
      </c>
      <c r="S125" t="s">
        <v>26</v>
      </c>
      <c r="T125" t="s">
        <v>26</v>
      </c>
      <c r="U125" t="s">
        <v>26</v>
      </c>
      <c r="V125" t="s">
        <v>26</v>
      </c>
      <c r="W125" s="24">
        <v>40179</v>
      </c>
      <c r="X125" s="24">
        <v>43009</v>
      </c>
      <c r="Y125" t="s">
        <v>26</v>
      </c>
      <c r="Z125" s="24">
        <v>40179</v>
      </c>
      <c r="AA125" s="24">
        <v>43009</v>
      </c>
      <c r="AB125" t="s">
        <v>26</v>
      </c>
      <c r="AC125" s="24">
        <v>40179</v>
      </c>
      <c r="AD125" s="24">
        <v>43009</v>
      </c>
      <c r="AE125" t="s">
        <v>26</v>
      </c>
      <c r="AF125" t="s">
        <v>26</v>
      </c>
      <c r="AG125" t="s">
        <v>26</v>
      </c>
      <c r="AH125" t="s">
        <v>26</v>
      </c>
      <c r="AI125" t="s">
        <v>26</v>
      </c>
      <c r="AJ125" t="s">
        <v>26</v>
      </c>
      <c r="AK125" t="s">
        <v>26</v>
      </c>
      <c r="AL125" t="s">
        <v>26</v>
      </c>
      <c r="AM125" t="s">
        <v>26</v>
      </c>
      <c r="AN125" t="s">
        <v>26</v>
      </c>
      <c r="AO125" s="25" t="s">
        <v>68</v>
      </c>
      <c r="AP125" s="23" t="s">
        <v>69</v>
      </c>
      <c r="AQ125" s="23" t="s">
        <v>30</v>
      </c>
      <c r="AR125" s="23" t="s">
        <v>70</v>
      </c>
      <c r="AS125" s="25">
        <v>186265</v>
      </c>
      <c r="AT125" t="s">
        <v>26</v>
      </c>
      <c r="AU125" t="s">
        <v>22362</v>
      </c>
    </row>
    <row r="126" spans="1:47" ht="26.25" x14ac:dyDescent="0.4">
      <c r="A126" s="23" t="s">
        <v>477</v>
      </c>
      <c r="B126" t="s">
        <v>26</v>
      </c>
      <c r="C126" s="23" t="s">
        <v>478</v>
      </c>
      <c r="D126" s="23" t="s">
        <v>22254</v>
      </c>
      <c r="E126" s="23" t="s">
        <v>479</v>
      </c>
      <c r="F126" s="25" t="s">
        <v>480</v>
      </c>
      <c r="G126" s="25" t="s">
        <v>481</v>
      </c>
      <c r="H126" t="s">
        <v>26</v>
      </c>
      <c r="I126" t="s">
        <v>26</v>
      </c>
      <c r="J126" t="s">
        <v>26</v>
      </c>
      <c r="K126" t="s">
        <v>26</v>
      </c>
      <c r="L126" s="25" t="s">
        <v>68</v>
      </c>
      <c r="M126" t="s">
        <v>26</v>
      </c>
      <c r="N126" t="s">
        <v>26</v>
      </c>
      <c r="O126" t="s">
        <v>26</v>
      </c>
      <c r="P126" t="s">
        <v>26</v>
      </c>
      <c r="Q126" t="s">
        <v>26</v>
      </c>
      <c r="R126" t="s">
        <v>26</v>
      </c>
      <c r="S126" t="s">
        <v>26</v>
      </c>
      <c r="T126" t="s">
        <v>26</v>
      </c>
      <c r="U126" t="s">
        <v>26</v>
      </c>
      <c r="V126" t="s">
        <v>26</v>
      </c>
      <c r="W126" s="24">
        <v>31413</v>
      </c>
      <c r="X126" s="24">
        <v>45231</v>
      </c>
      <c r="Y126" t="s">
        <v>26</v>
      </c>
      <c r="Z126" s="24">
        <v>31413</v>
      </c>
      <c r="AA126" s="24">
        <v>45231</v>
      </c>
      <c r="AB126" t="s">
        <v>26</v>
      </c>
      <c r="AC126" s="24">
        <v>31413</v>
      </c>
      <c r="AD126" s="24">
        <v>41609</v>
      </c>
      <c r="AE126" t="s">
        <v>26</v>
      </c>
      <c r="AF126" t="s">
        <v>26</v>
      </c>
      <c r="AG126" t="s">
        <v>26</v>
      </c>
      <c r="AH126" t="s">
        <v>26</v>
      </c>
      <c r="AI126" t="s">
        <v>26</v>
      </c>
      <c r="AJ126" t="s">
        <v>26</v>
      </c>
      <c r="AK126" t="s">
        <v>26</v>
      </c>
      <c r="AL126" t="s">
        <v>26</v>
      </c>
      <c r="AM126" t="s">
        <v>26</v>
      </c>
      <c r="AN126" t="s">
        <v>26</v>
      </c>
      <c r="AO126" s="25" t="s">
        <v>68</v>
      </c>
      <c r="AP126" s="23" t="s">
        <v>69</v>
      </c>
      <c r="AQ126" s="23" t="s">
        <v>30</v>
      </c>
      <c r="AR126" s="23" t="s">
        <v>70</v>
      </c>
      <c r="AS126" s="25">
        <v>40661</v>
      </c>
      <c r="AT126" t="s">
        <v>26</v>
      </c>
      <c r="AU126" t="s">
        <v>22363</v>
      </c>
    </row>
    <row r="127" spans="1:47" ht="26.25" x14ac:dyDescent="0.4">
      <c r="A127" s="23" t="s">
        <v>482</v>
      </c>
      <c r="B127" t="s">
        <v>26</v>
      </c>
      <c r="C127" s="23" t="s">
        <v>483</v>
      </c>
      <c r="D127" s="23" t="s">
        <v>22364</v>
      </c>
      <c r="E127" s="23" t="s">
        <v>60</v>
      </c>
      <c r="F127" s="25" t="s">
        <v>484</v>
      </c>
      <c r="G127" s="25" t="s">
        <v>485</v>
      </c>
      <c r="H127" t="s">
        <v>26</v>
      </c>
      <c r="I127" s="24">
        <v>35034</v>
      </c>
      <c r="J127" s="25" t="s">
        <v>77</v>
      </c>
      <c r="K127" t="s">
        <v>26</v>
      </c>
      <c r="L127" s="25" t="s">
        <v>68</v>
      </c>
      <c r="M127" s="24">
        <v>35217</v>
      </c>
      <c r="N127" s="24">
        <v>42826</v>
      </c>
      <c r="O127" s="25" t="s">
        <v>22365</v>
      </c>
      <c r="P127" s="24">
        <v>35034</v>
      </c>
      <c r="Q127" s="25" t="s">
        <v>77</v>
      </c>
      <c r="R127" t="s">
        <v>26</v>
      </c>
      <c r="S127" t="s">
        <v>26</v>
      </c>
      <c r="T127" t="s">
        <v>26</v>
      </c>
      <c r="U127" t="s">
        <v>26</v>
      </c>
      <c r="V127" s="25">
        <v>365</v>
      </c>
      <c r="W127" s="24">
        <v>32568</v>
      </c>
      <c r="X127" s="25" t="s">
        <v>77</v>
      </c>
      <c r="Y127" t="s">
        <v>26</v>
      </c>
      <c r="Z127" s="24">
        <v>32568</v>
      </c>
      <c r="AA127" s="25" t="s">
        <v>77</v>
      </c>
      <c r="AB127" t="s">
        <v>26</v>
      </c>
      <c r="AC127" s="24">
        <v>32568</v>
      </c>
      <c r="AD127" s="25" t="s">
        <v>77</v>
      </c>
      <c r="AE127" t="s">
        <v>26</v>
      </c>
      <c r="AF127" t="s">
        <v>26</v>
      </c>
      <c r="AG127" t="s">
        <v>26</v>
      </c>
      <c r="AH127" t="s">
        <v>26</v>
      </c>
      <c r="AI127" t="s">
        <v>26</v>
      </c>
      <c r="AJ127" t="s">
        <v>26</v>
      </c>
      <c r="AK127" t="s">
        <v>26</v>
      </c>
      <c r="AL127" t="s">
        <v>26</v>
      </c>
      <c r="AM127" t="s">
        <v>26</v>
      </c>
      <c r="AN127" t="s">
        <v>26</v>
      </c>
      <c r="AO127" s="25" t="s">
        <v>68</v>
      </c>
      <c r="AP127" s="23" t="s">
        <v>69</v>
      </c>
      <c r="AQ127" s="23" t="s">
        <v>30</v>
      </c>
      <c r="AR127" s="23" t="s">
        <v>71</v>
      </c>
      <c r="AS127" s="25">
        <v>24122</v>
      </c>
      <c r="AT127" t="s">
        <v>26</v>
      </c>
      <c r="AU127" t="s">
        <v>22366</v>
      </c>
    </row>
    <row r="128" spans="1:47" ht="26.25" x14ac:dyDescent="0.4">
      <c r="A128" s="23" t="s">
        <v>486</v>
      </c>
      <c r="B128" t="s">
        <v>26</v>
      </c>
      <c r="C128" s="23" t="s">
        <v>487</v>
      </c>
      <c r="D128" s="23" t="s">
        <v>22265</v>
      </c>
      <c r="E128" s="23" t="s">
        <v>42</v>
      </c>
      <c r="F128" s="25" t="s">
        <v>488</v>
      </c>
      <c r="G128" s="25" t="s">
        <v>489</v>
      </c>
      <c r="H128" t="s">
        <v>26</v>
      </c>
      <c r="I128" s="24">
        <v>34881</v>
      </c>
      <c r="J128" s="24">
        <v>37226</v>
      </c>
      <c r="K128" t="s">
        <v>26</v>
      </c>
      <c r="L128" s="25" t="s">
        <v>68</v>
      </c>
      <c r="M128" s="24">
        <v>34881</v>
      </c>
      <c r="N128" s="24">
        <v>37226</v>
      </c>
      <c r="O128" t="s">
        <v>26</v>
      </c>
      <c r="P128" s="24">
        <v>35034</v>
      </c>
      <c r="Q128" s="24">
        <v>37226</v>
      </c>
      <c r="R128" t="s">
        <v>26</v>
      </c>
      <c r="S128" t="s">
        <v>26</v>
      </c>
      <c r="T128" t="s">
        <v>26</v>
      </c>
      <c r="U128" t="s">
        <v>26</v>
      </c>
      <c r="V128" t="s">
        <v>26</v>
      </c>
      <c r="W128" s="24">
        <v>31503</v>
      </c>
      <c r="X128" s="25" t="s">
        <v>77</v>
      </c>
      <c r="Y128" t="s">
        <v>26</v>
      </c>
      <c r="Z128" s="24">
        <v>31503</v>
      </c>
      <c r="AA128" s="25" t="s">
        <v>77</v>
      </c>
      <c r="AB128" t="s">
        <v>26</v>
      </c>
      <c r="AC128" s="24">
        <v>31503</v>
      </c>
      <c r="AD128" s="25" t="s">
        <v>77</v>
      </c>
      <c r="AE128" t="s">
        <v>26</v>
      </c>
      <c r="AF128" t="s">
        <v>26</v>
      </c>
      <c r="AG128" t="s">
        <v>26</v>
      </c>
      <c r="AH128" t="s">
        <v>26</v>
      </c>
      <c r="AI128" t="s">
        <v>26</v>
      </c>
      <c r="AJ128" t="s">
        <v>26</v>
      </c>
      <c r="AK128" t="s">
        <v>26</v>
      </c>
      <c r="AL128" t="s">
        <v>26</v>
      </c>
      <c r="AM128" t="s">
        <v>26</v>
      </c>
      <c r="AN128" t="s">
        <v>26</v>
      </c>
      <c r="AO128" s="25" t="s">
        <v>68</v>
      </c>
      <c r="AP128" s="23" t="s">
        <v>69</v>
      </c>
      <c r="AQ128" s="23" t="s">
        <v>30</v>
      </c>
      <c r="AR128" s="23" t="s">
        <v>46</v>
      </c>
      <c r="AS128" s="25">
        <v>41758</v>
      </c>
      <c r="AT128" t="s">
        <v>26</v>
      </c>
      <c r="AU128" t="s">
        <v>22367</v>
      </c>
    </row>
    <row r="129" spans="1:47" ht="26.25" x14ac:dyDescent="0.4">
      <c r="A129" s="23" t="s">
        <v>490</v>
      </c>
      <c r="B129" t="s">
        <v>26</v>
      </c>
      <c r="C129" s="23" t="s">
        <v>478</v>
      </c>
      <c r="D129" s="23" t="s">
        <v>22254</v>
      </c>
      <c r="E129" s="23" t="s">
        <v>479</v>
      </c>
      <c r="F129" s="25" t="s">
        <v>491</v>
      </c>
      <c r="G129" s="25" t="s">
        <v>492</v>
      </c>
      <c r="H129" t="s">
        <v>26</v>
      </c>
      <c r="I129" s="24">
        <v>34335</v>
      </c>
      <c r="J129" s="24">
        <v>42644</v>
      </c>
      <c r="K129" t="s">
        <v>26</v>
      </c>
      <c r="L129" s="25" t="s">
        <v>68</v>
      </c>
      <c r="M129" s="24">
        <v>34335</v>
      </c>
      <c r="N129" s="24">
        <v>42644</v>
      </c>
      <c r="O129" t="s">
        <v>26</v>
      </c>
      <c r="P129" s="24">
        <v>34790</v>
      </c>
      <c r="Q129" s="24">
        <v>41365</v>
      </c>
      <c r="R129" t="s">
        <v>26</v>
      </c>
      <c r="S129" t="s">
        <v>26</v>
      </c>
      <c r="T129" t="s">
        <v>26</v>
      </c>
      <c r="U129" t="s">
        <v>26</v>
      </c>
      <c r="V129" t="s">
        <v>26</v>
      </c>
      <c r="W129" s="24">
        <v>32509</v>
      </c>
      <c r="X129" s="24">
        <v>42644</v>
      </c>
      <c r="Y129" t="s">
        <v>26</v>
      </c>
      <c r="Z129" s="24">
        <v>32509</v>
      </c>
      <c r="AA129" s="24">
        <v>42644</v>
      </c>
      <c r="AB129" t="s">
        <v>26</v>
      </c>
      <c r="AC129" s="24">
        <v>32874</v>
      </c>
      <c r="AD129" s="24">
        <v>42644</v>
      </c>
      <c r="AE129" t="s">
        <v>26</v>
      </c>
      <c r="AF129" t="s">
        <v>26</v>
      </c>
      <c r="AG129" t="s">
        <v>26</v>
      </c>
      <c r="AH129" t="s">
        <v>26</v>
      </c>
      <c r="AI129" t="s">
        <v>26</v>
      </c>
      <c r="AJ129" t="s">
        <v>26</v>
      </c>
      <c r="AK129" t="s">
        <v>26</v>
      </c>
      <c r="AL129" t="s">
        <v>26</v>
      </c>
      <c r="AM129" t="s">
        <v>26</v>
      </c>
      <c r="AN129" t="s">
        <v>26</v>
      </c>
      <c r="AO129" s="25" t="s">
        <v>68</v>
      </c>
      <c r="AP129" s="23" t="s">
        <v>69</v>
      </c>
      <c r="AQ129" s="23" t="s">
        <v>30</v>
      </c>
      <c r="AR129" s="23" t="s">
        <v>70</v>
      </c>
      <c r="AS129" s="25">
        <v>32010</v>
      </c>
      <c r="AT129" t="s">
        <v>26</v>
      </c>
      <c r="AU129" t="s">
        <v>22368</v>
      </c>
    </row>
    <row r="130" spans="1:47" ht="26.25" x14ac:dyDescent="0.4">
      <c r="A130" s="23" t="s">
        <v>493</v>
      </c>
      <c r="B130" t="s">
        <v>26</v>
      </c>
      <c r="C130" s="23" t="s">
        <v>494</v>
      </c>
      <c r="D130" s="23" t="s">
        <v>22254</v>
      </c>
      <c r="E130" s="23" t="s">
        <v>42</v>
      </c>
      <c r="F130" s="25" t="s">
        <v>495</v>
      </c>
      <c r="G130" t="s">
        <v>26</v>
      </c>
      <c r="H130" t="s">
        <v>26</v>
      </c>
      <c r="I130" s="24">
        <v>33604</v>
      </c>
      <c r="J130" s="25" t="s">
        <v>77</v>
      </c>
      <c r="K130" t="s">
        <v>26</v>
      </c>
      <c r="L130" s="25" t="s">
        <v>68</v>
      </c>
      <c r="M130" s="24">
        <v>34700</v>
      </c>
      <c r="N130" s="25" t="s">
        <v>77</v>
      </c>
      <c r="O130" t="s">
        <v>26</v>
      </c>
      <c r="P130" s="24">
        <v>33604</v>
      </c>
      <c r="Q130" s="25" t="s">
        <v>77</v>
      </c>
      <c r="R130" t="s">
        <v>26</v>
      </c>
      <c r="S130" t="s">
        <v>26</v>
      </c>
      <c r="T130" t="s">
        <v>26</v>
      </c>
      <c r="U130" t="s">
        <v>26</v>
      </c>
      <c r="V130" t="s">
        <v>26</v>
      </c>
      <c r="W130" s="24">
        <v>32143</v>
      </c>
      <c r="X130" s="25" t="s">
        <v>77</v>
      </c>
      <c r="Y130" t="s">
        <v>26</v>
      </c>
      <c r="Z130" s="24">
        <v>32143</v>
      </c>
      <c r="AA130" s="25" t="s">
        <v>77</v>
      </c>
      <c r="AB130" t="s">
        <v>26</v>
      </c>
      <c r="AC130" s="24">
        <v>32143</v>
      </c>
      <c r="AD130" s="25" t="s">
        <v>77</v>
      </c>
      <c r="AE130" t="s">
        <v>26</v>
      </c>
      <c r="AF130" t="s">
        <v>26</v>
      </c>
      <c r="AG130" t="s">
        <v>26</v>
      </c>
      <c r="AH130" t="s">
        <v>26</v>
      </c>
      <c r="AI130" t="s">
        <v>26</v>
      </c>
      <c r="AJ130" t="s">
        <v>26</v>
      </c>
      <c r="AK130" t="s">
        <v>26</v>
      </c>
      <c r="AL130" t="s">
        <v>26</v>
      </c>
      <c r="AM130" t="s">
        <v>26</v>
      </c>
      <c r="AN130" t="s">
        <v>26</v>
      </c>
      <c r="AO130" s="25" t="s">
        <v>68</v>
      </c>
      <c r="AP130" s="23" t="s">
        <v>69</v>
      </c>
      <c r="AQ130" s="23" t="s">
        <v>30</v>
      </c>
      <c r="AR130" s="23" t="s">
        <v>232</v>
      </c>
      <c r="AS130" s="25">
        <v>41804</v>
      </c>
      <c r="AT130" t="s">
        <v>26</v>
      </c>
      <c r="AU130" t="s">
        <v>22369</v>
      </c>
    </row>
    <row r="131" spans="1:47" ht="26.25" x14ac:dyDescent="0.4">
      <c r="A131" s="23" t="s">
        <v>496</v>
      </c>
      <c r="B131" t="s">
        <v>26</v>
      </c>
      <c r="C131" s="23" t="s">
        <v>80</v>
      </c>
      <c r="D131" s="23" t="s">
        <v>22190</v>
      </c>
      <c r="E131" s="23" t="s">
        <v>60</v>
      </c>
      <c r="F131" s="25" t="s">
        <v>497</v>
      </c>
      <c r="G131" s="25" t="s">
        <v>498</v>
      </c>
      <c r="H131" t="s">
        <v>26</v>
      </c>
      <c r="I131" t="s">
        <v>26</v>
      </c>
      <c r="J131" t="s">
        <v>26</v>
      </c>
      <c r="K131" t="s">
        <v>26</v>
      </c>
      <c r="L131" s="25" t="s">
        <v>68</v>
      </c>
      <c r="M131" t="s">
        <v>26</v>
      </c>
      <c r="N131" t="s">
        <v>26</v>
      </c>
      <c r="O131" t="s">
        <v>26</v>
      </c>
      <c r="P131" t="s">
        <v>26</v>
      </c>
      <c r="Q131" t="s">
        <v>26</v>
      </c>
      <c r="R131" t="s">
        <v>26</v>
      </c>
      <c r="S131" t="s">
        <v>26</v>
      </c>
      <c r="T131" t="s">
        <v>26</v>
      </c>
      <c r="U131" t="s">
        <v>26</v>
      </c>
      <c r="V131" t="s">
        <v>26</v>
      </c>
      <c r="W131" s="24">
        <v>40179</v>
      </c>
      <c r="X131" s="25" t="s">
        <v>77</v>
      </c>
      <c r="Y131" t="s">
        <v>26</v>
      </c>
      <c r="Z131" s="24">
        <v>40179</v>
      </c>
      <c r="AA131" s="25" t="s">
        <v>77</v>
      </c>
      <c r="AB131" t="s">
        <v>26</v>
      </c>
      <c r="AC131" s="24">
        <v>40179</v>
      </c>
      <c r="AD131" s="25" t="s">
        <v>77</v>
      </c>
      <c r="AE131" t="s">
        <v>26</v>
      </c>
      <c r="AF131" t="s">
        <v>26</v>
      </c>
      <c r="AG131" t="s">
        <v>26</v>
      </c>
      <c r="AH131" t="s">
        <v>26</v>
      </c>
      <c r="AI131" t="s">
        <v>26</v>
      </c>
      <c r="AJ131" t="s">
        <v>26</v>
      </c>
      <c r="AK131" t="s">
        <v>26</v>
      </c>
      <c r="AL131" t="s">
        <v>26</v>
      </c>
      <c r="AM131" t="s">
        <v>26</v>
      </c>
      <c r="AN131" t="s">
        <v>26</v>
      </c>
      <c r="AO131" s="25" t="s">
        <v>68</v>
      </c>
      <c r="AP131" s="23" t="s">
        <v>69</v>
      </c>
      <c r="AQ131" s="23" t="s">
        <v>30</v>
      </c>
      <c r="AR131" s="23" t="s">
        <v>499</v>
      </c>
      <c r="AS131" s="25">
        <v>186263</v>
      </c>
      <c r="AT131" t="s">
        <v>26</v>
      </c>
      <c r="AU131" t="s">
        <v>22370</v>
      </c>
    </row>
    <row r="132" spans="1:47" ht="26.25" x14ac:dyDescent="0.4">
      <c r="A132" s="23" t="s">
        <v>500</v>
      </c>
      <c r="B132" t="s">
        <v>26</v>
      </c>
      <c r="C132" s="23" t="s">
        <v>447</v>
      </c>
      <c r="D132" s="23" t="s">
        <v>22352</v>
      </c>
      <c r="E132" s="23" t="s">
        <v>42</v>
      </c>
      <c r="F132" s="25" t="s">
        <v>501</v>
      </c>
      <c r="G132" s="25" t="s">
        <v>502</v>
      </c>
      <c r="H132" t="s">
        <v>26</v>
      </c>
      <c r="I132" t="s">
        <v>26</v>
      </c>
      <c r="J132" t="s">
        <v>26</v>
      </c>
      <c r="K132" t="s">
        <v>26</v>
      </c>
      <c r="L132" s="25" t="s">
        <v>68</v>
      </c>
      <c r="M132" t="s">
        <v>26</v>
      </c>
      <c r="N132" t="s">
        <v>26</v>
      </c>
      <c r="O132" t="s">
        <v>26</v>
      </c>
      <c r="P132" t="s">
        <v>26</v>
      </c>
      <c r="Q132" t="s">
        <v>26</v>
      </c>
      <c r="R132" t="s">
        <v>26</v>
      </c>
      <c r="S132" t="s">
        <v>26</v>
      </c>
      <c r="T132" t="s">
        <v>26</v>
      </c>
      <c r="U132" t="s">
        <v>26</v>
      </c>
      <c r="V132" t="s">
        <v>26</v>
      </c>
      <c r="W132" s="24">
        <v>18203</v>
      </c>
      <c r="X132" s="25" t="s">
        <v>77</v>
      </c>
      <c r="Y132" t="s">
        <v>26</v>
      </c>
      <c r="Z132" s="24">
        <v>18203</v>
      </c>
      <c r="AA132" s="25" t="s">
        <v>77</v>
      </c>
      <c r="AB132" t="s">
        <v>26</v>
      </c>
      <c r="AC132" s="24">
        <v>32143</v>
      </c>
      <c r="AD132" s="25" t="s">
        <v>77</v>
      </c>
      <c r="AE132" t="s">
        <v>26</v>
      </c>
      <c r="AF132" t="s">
        <v>26</v>
      </c>
      <c r="AG132" t="s">
        <v>26</v>
      </c>
      <c r="AH132" t="s">
        <v>26</v>
      </c>
      <c r="AI132" t="s">
        <v>26</v>
      </c>
      <c r="AJ132" t="s">
        <v>26</v>
      </c>
      <c r="AK132" t="s">
        <v>26</v>
      </c>
      <c r="AL132" t="s">
        <v>26</v>
      </c>
      <c r="AM132" t="s">
        <v>26</v>
      </c>
      <c r="AN132" t="s">
        <v>26</v>
      </c>
      <c r="AO132" s="25" t="s">
        <v>68</v>
      </c>
      <c r="AP132" s="23" t="s">
        <v>69</v>
      </c>
      <c r="AQ132" s="23" t="s">
        <v>30</v>
      </c>
      <c r="AR132" s="23" t="s">
        <v>184</v>
      </c>
      <c r="AS132" s="25">
        <v>42155</v>
      </c>
      <c r="AT132" t="s">
        <v>26</v>
      </c>
      <c r="AU132" t="s">
        <v>22371</v>
      </c>
    </row>
    <row r="133" spans="1:47" ht="26.25" x14ac:dyDescent="0.4">
      <c r="A133" s="23" t="s">
        <v>503</v>
      </c>
      <c r="B133" t="s">
        <v>26</v>
      </c>
      <c r="C133" s="23" t="s">
        <v>504</v>
      </c>
      <c r="D133" s="23" t="s">
        <v>22372</v>
      </c>
      <c r="E133" s="23" t="s">
        <v>42</v>
      </c>
      <c r="F133" s="25" t="s">
        <v>505</v>
      </c>
      <c r="G133" s="25" t="s">
        <v>506</v>
      </c>
      <c r="H133" t="s">
        <v>26</v>
      </c>
      <c r="I133" s="24">
        <v>35827</v>
      </c>
      <c r="J133" s="24">
        <v>40118</v>
      </c>
      <c r="K133" t="s">
        <v>26</v>
      </c>
      <c r="L133" s="25" t="s">
        <v>68</v>
      </c>
      <c r="M133" s="24">
        <v>35827</v>
      </c>
      <c r="N133" s="24">
        <v>40118</v>
      </c>
      <c r="O133" t="s">
        <v>26</v>
      </c>
      <c r="P133" s="24">
        <v>35827</v>
      </c>
      <c r="Q133" s="24">
        <v>40118</v>
      </c>
      <c r="R133" t="s">
        <v>26</v>
      </c>
      <c r="S133" t="s">
        <v>26</v>
      </c>
      <c r="T133" t="s">
        <v>26</v>
      </c>
      <c r="U133" t="s">
        <v>26</v>
      </c>
      <c r="V133" t="s">
        <v>26</v>
      </c>
      <c r="W133" s="24">
        <v>35827</v>
      </c>
      <c r="X133" s="24">
        <v>40118</v>
      </c>
      <c r="Y133" t="s">
        <v>26</v>
      </c>
      <c r="Z133" s="24">
        <v>35827</v>
      </c>
      <c r="AA133" s="24">
        <v>40118</v>
      </c>
      <c r="AB133" t="s">
        <v>26</v>
      </c>
      <c r="AC133" s="24">
        <v>37653</v>
      </c>
      <c r="AD133" s="24">
        <v>40118</v>
      </c>
      <c r="AE133" t="s">
        <v>26</v>
      </c>
      <c r="AF133" t="s">
        <v>26</v>
      </c>
      <c r="AG133" t="s">
        <v>26</v>
      </c>
      <c r="AH133" t="s">
        <v>26</v>
      </c>
      <c r="AI133" t="s">
        <v>26</v>
      </c>
      <c r="AJ133" t="s">
        <v>26</v>
      </c>
      <c r="AK133" t="s">
        <v>26</v>
      </c>
      <c r="AL133" t="s">
        <v>26</v>
      </c>
      <c r="AM133" t="s">
        <v>26</v>
      </c>
      <c r="AN133" t="s">
        <v>26</v>
      </c>
      <c r="AO133" s="25" t="s">
        <v>68</v>
      </c>
      <c r="AP133" s="23" t="s">
        <v>69</v>
      </c>
      <c r="AQ133" s="23" t="s">
        <v>30</v>
      </c>
      <c r="AR133" s="23" t="s">
        <v>22373</v>
      </c>
      <c r="AS133" s="25">
        <v>33337</v>
      </c>
      <c r="AT133" t="s">
        <v>26</v>
      </c>
      <c r="AU133" t="s">
        <v>22374</v>
      </c>
    </row>
    <row r="134" spans="1:47" ht="26.25" x14ac:dyDescent="0.4">
      <c r="A134" s="23" t="s">
        <v>507</v>
      </c>
      <c r="B134" t="s">
        <v>26</v>
      </c>
      <c r="C134" s="23" t="s">
        <v>504</v>
      </c>
      <c r="D134" s="23" t="s">
        <v>22372</v>
      </c>
      <c r="E134" s="23" t="s">
        <v>42</v>
      </c>
      <c r="F134" t="s">
        <v>26</v>
      </c>
      <c r="G134" s="25" t="s">
        <v>506</v>
      </c>
      <c r="H134" t="s">
        <v>26</v>
      </c>
      <c r="I134" s="24">
        <v>40210</v>
      </c>
      <c r="J134" s="24">
        <v>44805</v>
      </c>
      <c r="K134" t="s">
        <v>26</v>
      </c>
      <c r="L134" s="25" t="s">
        <v>68</v>
      </c>
      <c r="M134" s="24">
        <v>40210</v>
      </c>
      <c r="N134" s="24">
        <v>44805</v>
      </c>
      <c r="O134" t="s">
        <v>26</v>
      </c>
      <c r="P134" s="24">
        <v>40210</v>
      </c>
      <c r="Q134" s="24">
        <v>44805</v>
      </c>
      <c r="R134" t="s">
        <v>26</v>
      </c>
      <c r="S134" t="s">
        <v>26</v>
      </c>
      <c r="T134" t="s">
        <v>26</v>
      </c>
      <c r="U134" t="s">
        <v>26</v>
      </c>
      <c r="V134" t="s">
        <v>26</v>
      </c>
      <c r="W134" s="24">
        <v>40210</v>
      </c>
      <c r="X134" s="24">
        <v>44805</v>
      </c>
      <c r="Y134" t="s">
        <v>26</v>
      </c>
      <c r="Z134" s="24">
        <v>40210</v>
      </c>
      <c r="AA134" s="24">
        <v>44805</v>
      </c>
      <c r="AB134" t="s">
        <v>26</v>
      </c>
      <c r="AC134" s="24">
        <v>40210</v>
      </c>
      <c r="AD134" s="24">
        <v>44805</v>
      </c>
      <c r="AE134" t="s">
        <v>26</v>
      </c>
      <c r="AF134" t="s">
        <v>26</v>
      </c>
      <c r="AG134" t="s">
        <v>26</v>
      </c>
      <c r="AH134" t="s">
        <v>26</v>
      </c>
      <c r="AI134" t="s">
        <v>26</v>
      </c>
      <c r="AJ134" t="s">
        <v>26</v>
      </c>
      <c r="AK134" t="s">
        <v>26</v>
      </c>
      <c r="AL134" t="s">
        <v>26</v>
      </c>
      <c r="AM134" t="s">
        <v>26</v>
      </c>
      <c r="AN134" t="s">
        <v>26</v>
      </c>
      <c r="AO134" s="25" t="s">
        <v>68</v>
      </c>
      <c r="AP134" s="23" t="s">
        <v>69</v>
      </c>
      <c r="AQ134" s="23" t="s">
        <v>30</v>
      </c>
      <c r="AR134" s="23" t="s">
        <v>22375</v>
      </c>
      <c r="AS134" s="25">
        <v>135353</v>
      </c>
      <c r="AT134" t="s">
        <v>26</v>
      </c>
      <c r="AU134" t="s">
        <v>22376</v>
      </c>
    </row>
    <row r="135" spans="1:47" ht="26.25" x14ac:dyDescent="0.4">
      <c r="A135" s="23" t="s">
        <v>508</v>
      </c>
      <c r="B135" t="s">
        <v>26</v>
      </c>
      <c r="C135" s="23" t="s">
        <v>320</v>
      </c>
      <c r="D135" s="23" t="s">
        <v>22294</v>
      </c>
      <c r="E135" s="23" t="s">
        <v>42</v>
      </c>
      <c r="F135" s="25" t="s">
        <v>509</v>
      </c>
      <c r="G135" s="25" t="s">
        <v>510</v>
      </c>
      <c r="H135" t="s">
        <v>26</v>
      </c>
      <c r="I135" t="s">
        <v>26</v>
      </c>
      <c r="J135" t="s">
        <v>26</v>
      </c>
      <c r="K135" t="s">
        <v>26</v>
      </c>
      <c r="L135" s="25" t="s">
        <v>68</v>
      </c>
      <c r="M135" t="s">
        <v>26</v>
      </c>
      <c r="N135" t="s">
        <v>26</v>
      </c>
      <c r="O135" t="s">
        <v>26</v>
      </c>
      <c r="P135" t="s">
        <v>26</v>
      </c>
      <c r="Q135" t="s">
        <v>26</v>
      </c>
      <c r="R135" t="s">
        <v>26</v>
      </c>
      <c r="S135" t="s">
        <v>26</v>
      </c>
      <c r="T135" t="s">
        <v>26</v>
      </c>
      <c r="U135" t="s">
        <v>26</v>
      </c>
      <c r="V135" t="s">
        <v>26</v>
      </c>
      <c r="W135" s="24">
        <v>35796</v>
      </c>
      <c r="X135" s="24">
        <v>36434</v>
      </c>
      <c r="Y135" t="s">
        <v>26</v>
      </c>
      <c r="Z135" s="24">
        <v>35796</v>
      </c>
      <c r="AA135" s="24">
        <v>36434</v>
      </c>
      <c r="AB135" t="s">
        <v>26</v>
      </c>
      <c r="AC135" s="24">
        <v>36434</v>
      </c>
      <c r="AD135" s="24">
        <v>36434</v>
      </c>
      <c r="AE135" t="s">
        <v>26</v>
      </c>
      <c r="AF135" t="s">
        <v>26</v>
      </c>
      <c r="AG135" t="s">
        <v>26</v>
      </c>
      <c r="AH135" t="s">
        <v>26</v>
      </c>
      <c r="AI135" t="s">
        <v>26</v>
      </c>
      <c r="AJ135" t="s">
        <v>26</v>
      </c>
      <c r="AK135" t="s">
        <v>26</v>
      </c>
      <c r="AL135" t="s">
        <v>26</v>
      </c>
      <c r="AM135" t="s">
        <v>26</v>
      </c>
      <c r="AN135" t="s">
        <v>26</v>
      </c>
      <c r="AO135" s="25" t="s">
        <v>68</v>
      </c>
      <c r="AP135" s="23" t="s">
        <v>69</v>
      </c>
      <c r="AQ135" s="23" t="s">
        <v>30</v>
      </c>
      <c r="AR135" s="23" t="s">
        <v>511</v>
      </c>
      <c r="AS135" s="25">
        <v>30841</v>
      </c>
      <c r="AT135" t="s">
        <v>26</v>
      </c>
      <c r="AU135" t="s">
        <v>22377</v>
      </c>
    </row>
    <row r="136" spans="1:47" ht="26.25" x14ac:dyDescent="0.4">
      <c r="A136" s="23" t="s">
        <v>512</v>
      </c>
      <c r="B136" t="s">
        <v>26</v>
      </c>
      <c r="C136" s="23" t="s">
        <v>513</v>
      </c>
      <c r="D136" s="23" t="s">
        <v>22254</v>
      </c>
      <c r="E136" s="23" t="s">
        <v>42</v>
      </c>
      <c r="F136" s="25" t="s">
        <v>514</v>
      </c>
      <c r="G136" s="25" t="s">
        <v>515</v>
      </c>
      <c r="H136" t="s">
        <v>26</v>
      </c>
      <c r="I136" s="24">
        <v>40787</v>
      </c>
      <c r="J136" s="25" t="s">
        <v>77</v>
      </c>
      <c r="K136" t="s">
        <v>26</v>
      </c>
      <c r="L136" s="25" t="s">
        <v>68</v>
      </c>
      <c r="M136" s="24">
        <v>40787</v>
      </c>
      <c r="N136" s="25" t="s">
        <v>77</v>
      </c>
      <c r="O136" t="s">
        <v>26</v>
      </c>
      <c r="P136" s="24">
        <v>40787</v>
      </c>
      <c r="Q136" s="25" t="s">
        <v>77</v>
      </c>
      <c r="R136" t="s">
        <v>26</v>
      </c>
      <c r="S136" t="s">
        <v>26</v>
      </c>
      <c r="T136" t="s">
        <v>26</v>
      </c>
      <c r="U136" t="s">
        <v>26</v>
      </c>
      <c r="V136" t="s">
        <v>26</v>
      </c>
      <c r="W136" s="24">
        <v>40787</v>
      </c>
      <c r="X136" s="25" t="s">
        <v>77</v>
      </c>
      <c r="Y136" t="s">
        <v>26</v>
      </c>
      <c r="Z136" s="24">
        <v>40787</v>
      </c>
      <c r="AA136" s="25" t="s">
        <v>77</v>
      </c>
      <c r="AB136" t="s">
        <v>26</v>
      </c>
      <c r="AC136" s="24">
        <v>40787</v>
      </c>
      <c r="AD136" s="25" t="s">
        <v>77</v>
      </c>
      <c r="AE136" t="s">
        <v>26</v>
      </c>
      <c r="AF136" t="s">
        <v>26</v>
      </c>
      <c r="AG136" t="s">
        <v>26</v>
      </c>
      <c r="AH136" t="s">
        <v>26</v>
      </c>
      <c r="AI136" t="s">
        <v>26</v>
      </c>
      <c r="AJ136" t="s">
        <v>26</v>
      </c>
      <c r="AK136" t="s">
        <v>26</v>
      </c>
      <c r="AL136" t="s">
        <v>26</v>
      </c>
      <c r="AM136" t="s">
        <v>26</v>
      </c>
      <c r="AN136" t="s">
        <v>26</v>
      </c>
      <c r="AO136" s="25" t="s">
        <v>68</v>
      </c>
      <c r="AP136" s="23" t="s">
        <v>69</v>
      </c>
      <c r="AQ136" s="23" t="s">
        <v>30</v>
      </c>
      <c r="AR136" s="23" t="s">
        <v>70</v>
      </c>
      <c r="AS136" s="25">
        <v>806346</v>
      </c>
      <c r="AT136" t="s">
        <v>26</v>
      </c>
      <c r="AU136" t="s">
        <v>22378</v>
      </c>
    </row>
    <row r="137" spans="1:47" ht="26.25" x14ac:dyDescent="0.4">
      <c r="A137" s="23" t="s">
        <v>516</v>
      </c>
      <c r="B137" t="s">
        <v>26</v>
      </c>
      <c r="C137" s="23" t="s">
        <v>465</v>
      </c>
      <c r="D137" s="23" t="s">
        <v>22254</v>
      </c>
      <c r="E137" s="23" t="s">
        <v>42</v>
      </c>
      <c r="F137" s="25" t="s">
        <v>517</v>
      </c>
      <c r="G137" s="25" t="s">
        <v>518</v>
      </c>
      <c r="H137" t="s">
        <v>26</v>
      </c>
      <c r="I137" t="s">
        <v>26</v>
      </c>
      <c r="J137" t="s">
        <v>26</v>
      </c>
      <c r="K137" t="s">
        <v>26</v>
      </c>
      <c r="L137" s="25" t="s">
        <v>68</v>
      </c>
      <c r="M137" t="s">
        <v>26</v>
      </c>
      <c r="N137" t="s">
        <v>26</v>
      </c>
      <c r="O137" t="s">
        <v>26</v>
      </c>
      <c r="P137" t="s">
        <v>26</v>
      </c>
      <c r="Q137" t="s">
        <v>26</v>
      </c>
      <c r="R137" t="s">
        <v>26</v>
      </c>
      <c r="S137" t="s">
        <v>26</v>
      </c>
      <c r="T137" t="s">
        <v>26</v>
      </c>
      <c r="U137" t="s">
        <v>26</v>
      </c>
      <c r="V137" t="s">
        <v>26</v>
      </c>
      <c r="W137" s="24">
        <v>32143</v>
      </c>
      <c r="X137" s="25" t="s">
        <v>77</v>
      </c>
      <c r="Y137" t="s">
        <v>26</v>
      </c>
      <c r="Z137" s="24">
        <v>32143</v>
      </c>
      <c r="AA137" s="25" t="s">
        <v>77</v>
      </c>
      <c r="AB137" t="s">
        <v>26</v>
      </c>
      <c r="AC137" s="24">
        <v>32143</v>
      </c>
      <c r="AD137" s="25" t="s">
        <v>77</v>
      </c>
      <c r="AE137" t="s">
        <v>26</v>
      </c>
      <c r="AF137" t="s">
        <v>26</v>
      </c>
      <c r="AG137" t="s">
        <v>26</v>
      </c>
      <c r="AH137" t="s">
        <v>26</v>
      </c>
      <c r="AI137" t="s">
        <v>26</v>
      </c>
      <c r="AJ137" t="s">
        <v>26</v>
      </c>
      <c r="AK137" t="s">
        <v>26</v>
      </c>
      <c r="AL137" t="s">
        <v>26</v>
      </c>
      <c r="AM137" t="s">
        <v>26</v>
      </c>
      <c r="AN137" t="s">
        <v>26</v>
      </c>
      <c r="AO137" s="25" t="s">
        <v>68</v>
      </c>
      <c r="AP137" s="23" t="s">
        <v>69</v>
      </c>
      <c r="AQ137" s="23" t="s">
        <v>30</v>
      </c>
      <c r="AR137" s="23" t="s">
        <v>46</v>
      </c>
      <c r="AS137" s="25">
        <v>42223</v>
      </c>
      <c r="AT137" t="s">
        <v>26</v>
      </c>
      <c r="AU137" t="s">
        <v>22379</v>
      </c>
    </row>
    <row r="138" spans="1:47" ht="26.25" x14ac:dyDescent="0.4">
      <c r="A138" s="23" t="s">
        <v>519</v>
      </c>
      <c r="B138" t="s">
        <v>26</v>
      </c>
      <c r="C138" s="23" t="s">
        <v>520</v>
      </c>
      <c r="D138" s="23" t="s">
        <v>22254</v>
      </c>
      <c r="E138" s="23" t="s">
        <v>42</v>
      </c>
      <c r="F138" s="25" t="s">
        <v>521</v>
      </c>
      <c r="G138" s="25" t="s">
        <v>522</v>
      </c>
      <c r="H138" t="s">
        <v>26</v>
      </c>
      <c r="I138" s="24">
        <v>32174</v>
      </c>
      <c r="J138" s="24">
        <v>41426</v>
      </c>
      <c r="K138" t="s">
        <v>26</v>
      </c>
      <c r="L138" s="25" t="s">
        <v>68</v>
      </c>
      <c r="M138" s="24">
        <v>34366</v>
      </c>
      <c r="N138" s="24">
        <v>41426</v>
      </c>
      <c r="O138" t="s">
        <v>26</v>
      </c>
      <c r="P138" s="24">
        <v>32174</v>
      </c>
      <c r="Q138" s="24">
        <v>41426</v>
      </c>
      <c r="R138" t="s">
        <v>26</v>
      </c>
      <c r="S138" t="s">
        <v>26</v>
      </c>
      <c r="T138" t="s">
        <v>26</v>
      </c>
      <c r="U138" t="s">
        <v>26</v>
      </c>
      <c r="V138" t="s">
        <v>26</v>
      </c>
      <c r="W138" s="24">
        <v>31444</v>
      </c>
      <c r="X138" s="25" t="s">
        <v>77</v>
      </c>
      <c r="Y138" t="s">
        <v>26</v>
      </c>
      <c r="Z138" s="24">
        <v>31444</v>
      </c>
      <c r="AA138" s="25" t="s">
        <v>77</v>
      </c>
      <c r="AB138" t="s">
        <v>26</v>
      </c>
      <c r="AC138" s="24">
        <v>31444</v>
      </c>
      <c r="AD138" s="25" t="s">
        <v>77</v>
      </c>
      <c r="AE138" t="s">
        <v>26</v>
      </c>
      <c r="AF138" t="s">
        <v>26</v>
      </c>
      <c r="AG138" t="s">
        <v>26</v>
      </c>
      <c r="AH138" t="s">
        <v>26</v>
      </c>
      <c r="AI138" t="s">
        <v>26</v>
      </c>
      <c r="AJ138" t="s">
        <v>26</v>
      </c>
      <c r="AK138" t="s">
        <v>26</v>
      </c>
      <c r="AL138" t="s">
        <v>26</v>
      </c>
      <c r="AM138" t="s">
        <v>26</v>
      </c>
      <c r="AN138" t="s">
        <v>26</v>
      </c>
      <c r="AO138" s="25" t="s">
        <v>68</v>
      </c>
      <c r="AP138" s="23" t="s">
        <v>69</v>
      </c>
      <c r="AQ138" s="23" t="s">
        <v>30</v>
      </c>
      <c r="AR138" s="23" t="s">
        <v>523</v>
      </c>
      <c r="AS138" s="25">
        <v>41945</v>
      </c>
      <c r="AT138" t="s">
        <v>26</v>
      </c>
      <c r="AU138" t="s">
        <v>22380</v>
      </c>
    </row>
    <row r="139" spans="1:47" ht="26.25" x14ac:dyDescent="0.4">
      <c r="A139" s="23" t="s">
        <v>524</v>
      </c>
      <c r="B139" t="s">
        <v>26</v>
      </c>
      <c r="C139" s="23" t="s">
        <v>525</v>
      </c>
      <c r="D139" s="23" t="s">
        <v>22381</v>
      </c>
      <c r="E139" s="23" t="s">
        <v>526</v>
      </c>
      <c r="F139" s="25" t="s">
        <v>527</v>
      </c>
      <c r="G139" t="s">
        <v>26</v>
      </c>
      <c r="H139" t="s">
        <v>26</v>
      </c>
      <c r="I139" s="24">
        <v>36586</v>
      </c>
      <c r="J139" s="24">
        <v>44166</v>
      </c>
      <c r="K139" t="s">
        <v>26</v>
      </c>
      <c r="L139" s="25" t="s">
        <v>68</v>
      </c>
      <c r="M139" s="24">
        <v>36586</v>
      </c>
      <c r="N139" s="24">
        <v>44166</v>
      </c>
      <c r="O139" t="s">
        <v>26</v>
      </c>
      <c r="P139" s="24">
        <v>36586</v>
      </c>
      <c r="Q139" s="24">
        <v>44166</v>
      </c>
      <c r="R139" t="s">
        <v>26</v>
      </c>
      <c r="S139" t="s">
        <v>26</v>
      </c>
      <c r="T139" t="s">
        <v>26</v>
      </c>
      <c r="U139" t="s">
        <v>26</v>
      </c>
      <c r="V139" t="s">
        <v>26</v>
      </c>
      <c r="W139" s="24">
        <v>36586</v>
      </c>
      <c r="X139" s="24">
        <v>44166</v>
      </c>
      <c r="Y139" t="s">
        <v>26</v>
      </c>
      <c r="Z139" s="24">
        <v>36586</v>
      </c>
      <c r="AA139" s="24">
        <v>44166</v>
      </c>
      <c r="AB139" t="s">
        <v>26</v>
      </c>
      <c r="AC139" s="24">
        <v>42826</v>
      </c>
      <c r="AD139" s="24">
        <v>44166</v>
      </c>
      <c r="AE139" t="s">
        <v>26</v>
      </c>
      <c r="AF139" t="s">
        <v>26</v>
      </c>
      <c r="AG139" t="s">
        <v>26</v>
      </c>
      <c r="AH139" t="s">
        <v>26</v>
      </c>
      <c r="AI139" t="s">
        <v>26</v>
      </c>
      <c r="AJ139" t="s">
        <v>26</v>
      </c>
      <c r="AK139" t="s">
        <v>26</v>
      </c>
      <c r="AL139" t="s">
        <v>26</v>
      </c>
      <c r="AM139" t="s">
        <v>26</v>
      </c>
      <c r="AN139" t="s">
        <v>26</v>
      </c>
      <c r="AO139" s="25" t="s">
        <v>68</v>
      </c>
      <c r="AP139" s="23" t="s">
        <v>69</v>
      </c>
      <c r="AQ139" s="23" t="s">
        <v>528</v>
      </c>
      <c r="AR139" s="23" t="s">
        <v>70</v>
      </c>
      <c r="AS139" s="25">
        <v>136214</v>
      </c>
      <c r="AT139" t="s">
        <v>26</v>
      </c>
      <c r="AU139" t="s">
        <v>22382</v>
      </c>
    </row>
    <row r="140" spans="1:47" ht="39.4" x14ac:dyDescent="0.4">
      <c r="A140" s="23" t="s">
        <v>529</v>
      </c>
      <c r="B140" t="s">
        <v>26</v>
      </c>
      <c r="C140" s="23" t="s">
        <v>530</v>
      </c>
      <c r="D140" s="23" t="s">
        <v>22383</v>
      </c>
      <c r="E140" s="23" t="s">
        <v>139</v>
      </c>
      <c r="F140" s="25" t="s">
        <v>531</v>
      </c>
      <c r="G140" s="25" t="s">
        <v>532</v>
      </c>
      <c r="H140" t="s">
        <v>26</v>
      </c>
      <c r="I140" s="24">
        <v>30682</v>
      </c>
      <c r="J140" s="25" t="s">
        <v>77</v>
      </c>
      <c r="K140" t="s">
        <v>26</v>
      </c>
      <c r="L140" s="25" t="s">
        <v>68</v>
      </c>
      <c r="M140" t="s">
        <v>26</v>
      </c>
      <c r="N140" t="s">
        <v>26</v>
      </c>
      <c r="O140" t="s">
        <v>26</v>
      </c>
      <c r="P140" s="24">
        <v>30682</v>
      </c>
      <c r="Q140" s="25" t="s">
        <v>77</v>
      </c>
      <c r="R140" t="s">
        <v>26</v>
      </c>
      <c r="S140" t="s">
        <v>26</v>
      </c>
      <c r="T140" t="s">
        <v>26</v>
      </c>
      <c r="U140" t="s">
        <v>26</v>
      </c>
      <c r="V140" t="s">
        <v>26</v>
      </c>
      <c r="W140" s="24">
        <v>30682</v>
      </c>
      <c r="X140" s="25" t="s">
        <v>77</v>
      </c>
      <c r="Y140" t="s">
        <v>26</v>
      </c>
      <c r="Z140" s="24">
        <v>30682</v>
      </c>
      <c r="AA140" s="25" t="s">
        <v>77</v>
      </c>
      <c r="AB140" t="s">
        <v>26</v>
      </c>
      <c r="AC140" s="24">
        <v>32874</v>
      </c>
      <c r="AD140" s="25" t="s">
        <v>77</v>
      </c>
      <c r="AE140" t="s">
        <v>26</v>
      </c>
      <c r="AF140" t="s">
        <v>26</v>
      </c>
      <c r="AG140" t="s">
        <v>26</v>
      </c>
      <c r="AH140" t="s">
        <v>26</v>
      </c>
      <c r="AI140" t="s">
        <v>26</v>
      </c>
      <c r="AJ140" t="s">
        <v>26</v>
      </c>
      <c r="AK140" t="s">
        <v>26</v>
      </c>
      <c r="AL140" t="s">
        <v>26</v>
      </c>
      <c r="AM140" t="s">
        <v>26</v>
      </c>
      <c r="AN140" t="s">
        <v>26</v>
      </c>
      <c r="AO140" s="25" t="s">
        <v>68</v>
      </c>
      <c r="AP140" s="23" t="s">
        <v>69</v>
      </c>
      <c r="AQ140" s="23" t="s">
        <v>226</v>
      </c>
      <c r="AR140" s="23" t="s">
        <v>46</v>
      </c>
      <c r="AS140" s="25">
        <v>1606360</v>
      </c>
      <c r="AT140" t="s">
        <v>26</v>
      </c>
      <c r="AU140" t="s">
        <v>22384</v>
      </c>
    </row>
    <row r="141" spans="1:47" ht="39.4" x14ac:dyDescent="0.4">
      <c r="A141" s="23" t="s">
        <v>533</v>
      </c>
      <c r="B141" t="s">
        <v>26</v>
      </c>
      <c r="C141" s="23" t="s">
        <v>371</v>
      </c>
      <c r="D141" s="23" t="s">
        <v>22174</v>
      </c>
      <c r="E141" s="23" t="s">
        <v>42</v>
      </c>
      <c r="F141" t="s">
        <v>26</v>
      </c>
      <c r="G141" t="s">
        <v>26</v>
      </c>
      <c r="H141" t="s">
        <v>26</v>
      </c>
      <c r="I141" s="24">
        <v>36161</v>
      </c>
      <c r="J141" s="24">
        <v>36161</v>
      </c>
      <c r="K141" t="s">
        <v>26</v>
      </c>
      <c r="L141" s="25" t="s">
        <v>28</v>
      </c>
      <c r="M141" t="s">
        <v>26</v>
      </c>
      <c r="N141" t="s">
        <v>26</v>
      </c>
      <c r="O141" t="s">
        <v>26</v>
      </c>
      <c r="P141" s="24">
        <v>36161</v>
      </c>
      <c r="Q141" s="24">
        <v>36161</v>
      </c>
      <c r="R141" t="s">
        <v>26</v>
      </c>
      <c r="S141" t="s">
        <v>26</v>
      </c>
      <c r="T141" t="s">
        <v>26</v>
      </c>
      <c r="U141" t="s">
        <v>26</v>
      </c>
      <c r="V141" t="s">
        <v>26</v>
      </c>
      <c r="W141" s="24">
        <v>36161</v>
      </c>
      <c r="X141" s="24">
        <v>36161</v>
      </c>
      <c r="Y141" t="s">
        <v>26</v>
      </c>
      <c r="Z141" s="24">
        <v>36161</v>
      </c>
      <c r="AA141" s="24">
        <v>36161</v>
      </c>
      <c r="AB141" t="s">
        <v>26</v>
      </c>
      <c r="AC141" t="s">
        <v>26</v>
      </c>
      <c r="AD141" t="s">
        <v>26</v>
      </c>
      <c r="AE141" t="s">
        <v>26</v>
      </c>
      <c r="AF141" t="s">
        <v>26</v>
      </c>
      <c r="AG141" t="s">
        <v>26</v>
      </c>
      <c r="AH141" t="s">
        <v>26</v>
      </c>
      <c r="AI141" t="s">
        <v>26</v>
      </c>
      <c r="AJ141" t="s">
        <v>26</v>
      </c>
      <c r="AK141" t="s">
        <v>26</v>
      </c>
      <c r="AL141" t="s">
        <v>26</v>
      </c>
      <c r="AM141" t="s">
        <v>26</v>
      </c>
      <c r="AN141" t="s">
        <v>26</v>
      </c>
      <c r="AO141" s="25" t="s">
        <v>28</v>
      </c>
      <c r="AP141" s="23" t="s">
        <v>29</v>
      </c>
      <c r="AQ141" s="23" t="s">
        <v>30</v>
      </c>
      <c r="AR141" s="23" t="s">
        <v>44</v>
      </c>
      <c r="AS141" s="25">
        <v>5483647</v>
      </c>
      <c r="AT141" s="23" t="s">
        <v>22181</v>
      </c>
      <c r="AU141" t="s">
        <v>22385</v>
      </c>
    </row>
    <row r="142" spans="1:47" ht="26.25" x14ac:dyDescent="0.4">
      <c r="A142" s="23" t="s">
        <v>534</v>
      </c>
      <c r="B142" t="s">
        <v>26</v>
      </c>
      <c r="C142" s="23" t="s">
        <v>535</v>
      </c>
      <c r="D142" s="23" t="s">
        <v>22386</v>
      </c>
      <c r="E142" s="23" t="s">
        <v>42</v>
      </c>
      <c r="F142" t="s">
        <v>26</v>
      </c>
      <c r="G142" t="s">
        <v>26</v>
      </c>
      <c r="H142" t="s">
        <v>26</v>
      </c>
      <c r="I142" s="24">
        <v>37257</v>
      </c>
      <c r="J142" s="24">
        <v>37257</v>
      </c>
      <c r="K142" t="s">
        <v>26</v>
      </c>
      <c r="L142" s="25" t="s">
        <v>28</v>
      </c>
      <c r="M142" s="24">
        <v>37257</v>
      </c>
      <c r="N142" s="24">
        <v>37257</v>
      </c>
      <c r="O142" t="s">
        <v>26</v>
      </c>
      <c r="P142" t="s">
        <v>26</v>
      </c>
      <c r="Q142" t="s">
        <v>26</v>
      </c>
      <c r="R142" t="s">
        <v>26</v>
      </c>
      <c r="S142" t="s">
        <v>26</v>
      </c>
      <c r="T142" t="s">
        <v>26</v>
      </c>
      <c r="U142" t="s">
        <v>26</v>
      </c>
      <c r="V142" t="s">
        <v>26</v>
      </c>
      <c r="W142" s="24">
        <v>37257</v>
      </c>
      <c r="X142" s="24">
        <v>37257</v>
      </c>
      <c r="Y142" t="s">
        <v>26</v>
      </c>
      <c r="Z142" s="24">
        <v>37257</v>
      </c>
      <c r="AA142" s="24">
        <v>37257</v>
      </c>
      <c r="AB142" t="s">
        <v>26</v>
      </c>
      <c r="AC142" s="24">
        <v>37257</v>
      </c>
      <c r="AD142" s="24">
        <v>37257</v>
      </c>
      <c r="AE142" t="s">
        <v>26</v>
      </c>
      <c r="AF142" t="s">
        <v>26</v>
      </c>
      <c r="AG142" t="s">
        <v>26</v>
      </c>
      <c r="AH142" t="s">
        <v>26</v>
      </c>
      <c r="AI142" t="s">
        <v>26</v>
      </c>
      <c r="AJ142" t="s">
        <v>26</v>
      </c>
      <c r="AK142" t="s">
        <v>26</v>
      </c>
      <c r="AL142" t="s">
        <v>26</v>
      </c>
      <c r="AM142" t="s">
        <v>26</v>
      </c>
      <c r="AN142" t="s">
        <v>26</v>
      </c>
      <c r="AO142" s="25" t="s">
        <v>28</v>
      </c>
      <c r="AP142" s="23" t="s">
        <v>29</v>
      </c>
      <c r="AQ142" s="23" t="s">
        <v>30</v>
      </c>
      <c r="AR142" s="23" t="s">
        <v>46</v>
      </c>
      <c r="AS142" s="25">
        <v>6059449</v>
      </c>
      <c r="AT142" t="s">
        <v>26</v>
      </c>
      <c r="AU142" t="s">
        <v>22387</v>
      </c>
    </row>
    <row r="143" spans="1:47" ht="26.25" x14ac:dyDescent="0.4">
      <c r="A143" s="23" t="s">
        <v>536</v>
      </c>
      <c r="B143" t="s">
        <v>26</v>
      </c>
      <c r="C143" s="23" t="s">
        <v>181</v>
      </c>
      <c r="D143" s="23" t="s">
        <v>22174</v>
      </c>
      <c r="E143" s="23" t="s">
        <v>60</v>
      </c>
      <c r="F143" s="25" t="s">
        <v>537</v>
      </c>
      <c r="G143" s="25" t="s">
        <v>538</v>
      </c>
      <c r="H143" t="s">
        <v>26</v>
      </c>
      <c r="I143" s="24">
        <v>35704</v>
      </c>
      <c r="J143" s="24">
        <v>44105</v>
      </c>
      <c r="K143" t="s">
        <v>26</v>
      </c>
      <c r="L143" s="25" t="s">
        <v>68</v>
      </c>
      <c r="M143" s="24">
        <v>35704</v>
      </c>
      <c r="N143" s="24">
        <v>44105</v>
      </c>
      <c r="O143" t="s">
        <v>26</v>
      </c>
      <c r="P143" s="24">
        <v>35704</v>
      </c>
      <c r="Q143" s="24">
        <v>44105</v>
      </c>
      <c r="R143" t="s">
        <v>26</v>
      </c>
      <c r="S143" t="s">
        <v>26</v>
      </c>
      <c r="T143" t="s">
        <v>26</v>
      </c>
      <c r="U143" t="s">
        <v>26</v>
      </c>
      <c r="V143" t="s">
        <v>26</v>
      </c>
      <c r="W143" s="24">
        <v>35704</v>
      </c>
      <c r="X143" s="25" t="s">
        <v>77</v>
      </c>
      <c r="Y143" t="s">
        <v>26</v>
      </c>
      <c r="Z143" s="24">
        <v>35704</v>
      </c>
      <c r="AA143" s="25" t="s">
        <v>77</v>
      </c>
      <c r="AB143" t="s">
        <v>26</v>
      </c>
      <c r="AC143" s="24">
        <v>35704</v>
      </c>
      <c r="AD143" s="25" t="s">
        <v>77</v>
      </c>
      <c r="AE143" t="s">
        <v>26</v>
      </c>
      <c r="AF143" t="s">
        <v>26</v>
      </c>
      <c r="AG143" t="s">
        <v>26</v>
      </c>
      <c r="AH143" t="s">
        <v>26</v>
      </c>
      <c r="AI143" t="s">
        <v>26</v>
      </c>
      <c r="AJ143" t="s">
        <v>26</v>
      </c>
      <c r="AK143" t="s">
        <v>26</v>
      </c>
      <c r="AL143" t="s">
        <v>26</v>
      </c>
      <c r="AM143" t="s">
        <v>26</v>
      </c>
      <c r="AN143" t="s">
        <v>26</v>
      </c>
      <c r="AO143" s="25" t="s">
        <v>68</v>
      </c>
      <c r="AP143" s="23" t="s">
        <v>69</v>
      </c>
      <c r="AQ143" s="23" t="s">
        <v>30</v>
      </c>
      <c r="AR143" s="23" t="s">
        <v>539</v>
      </c>
      <c r="AS143" s="25">
        <v>41101</v>
      </c>
      <c r="AT143" t="s">
        <v>26</v>
      </c>
      <c r="AU143" t="s">
        <v>22388</v>
      </c>
    </row>
    <row r="144" spans="1:47" ht="26.25" x14ac:dyDescent="0.4">
      <c r="A144" s="23" t="s">
        <v>540</v>
      </c>
      <c r="B144" t="s">
        <v>26</v>
      </c>
      <c r="C144" s="23" t="s">
        <v>541</v>
      </c>
      <c r="D144" s="23" t="s">
        <v>22174</v>
      </c>
      <c r="E144" s="23" t="s">
        <v>60</v>
      </c>
      <c r="F144" s="25" t="s">
        <v>542</v>
      </c>
      <c r="G144" s="25" t="s">
        <v>543</v>
      </c>
      <c r="H144" t="s">
        <v>26</v>
      </c>
      <c r="I144" t="s">
        <v>26</v>
      </c>
      <c r="J144" t="s">
        <v>26</v>
      </c>
      <c r="K144" t="s">
        <v>26</v>
      </c>
      <c r="L144" s="25" t="s">
        <v>68</v>
      </c>
      <c r="M144" t="s">
        <v>26</v>
      </c>
      <c r="N144" t="s">
        <v>26</v>
      </c>
      <c r="O144" t="s">
        <v>26</v>
      </c>
      <c r="P144" t="s">
        <v>26</v>
      </c>
      <c r="Q144" t="s">
        <v>26</v>
      </c>
      <c r="R144" t="s">
        <v>26</v>
      </c>
      <c r="S144" t="s">
        <v>26</v>
      </c>
      <c r="T144" t="s">
        <v>26</v>
      </c>
      <c r="U144" t="s">
        <v>26</v>
      </c>
      <c r="V144" t="s">
        <v>26</v>
      </c>
      <c r="W144" s="24">
        <v>32509</v>
      </c>
      <c r="X144" s="24">
        <v>42675</v>
      </c>
      <c r="Y144" s="25" t="s">
        <v>544</v>
      </c>
      <c r="Z144" s="24">
        <v>32509</v>
      </c>
      <c r="AA144" s="24">
        <v>42675</v>
      </c>
      <c r="AB144" s="25" t="s">
        <v>544</v>
      </c>
      <c r="AC144" s="24">
        <v>32509</v>
      </c>
      <c r="AD144" s="24">
        <v>42675</v>
      </c>
      <c r="AE144" s="25" t="s">
        <v>544</v>
      </c>
      <c r="AF144" t="s">
        <v>26</v>
      </c>
      <c r="AG144" t="s">
        <v>26</v>
      </c>
      <c r="AH144" t="s">
        <v>26</v>
      </c>
      <c r="AI144" t="s">
        <v>26</v>
      </c>
      <c r="AJ144" t="s">
        <v>26</v>
      </c>
      <c r="AK144" t="s">
        <v>26</v>
      </c>
      <c r="AL144" t="s">
        <v>26</v>
      </c>
      <c r="AM144" t="s">
        <v>26</v>
      </c>
      <c r="AN144" t="s">
        <v>26</v>
      </c>
      <c r="AO144" s="25" t="s">
        <v>68</v>
      </c>
      <c r="AP144" s="23" t="s">
        <v>69</v>
      </c>
      <c r="AQ144" s="23" t="s">
        <v>30</v>
      </c>
      <c r="AR144" s="23" t="s">
        <v>545</v>
      </c>
      <c r="AS144" s="25">
        <v>47204</v>
      </c>
      <c r="AT144" t="s">
        <v>26</v>
      </c>
      <c r="AU144" t="s">
        <v>22389</v>
      </c>
    </row>
    <row r="145" spans="1:47" ht="26.25" x14ac:dyDescent="0.4">
      <c r="A145" s="23" t="s">
        <v>546</v>
      </c>
      <c r="B145" t="s">
        <v>26</v>
      </c>
      <c r="C145" s="23" t="s">
        <v>73</v>
      </c>
      <c r="D145" s="23" t="s">
        <v>22215</v>
      </c>
      <c r="E145" s="23" t="s">
        <v>74</v>
      </c>
      <c r="F145" s="25" t="s">
        <v>547</v>
      </c>
      <c r="G145" s="25" t="s">
        <v>548</v>
      </c>
      <c r="H145" t="s">
        <v>26</v>
      </c>
      <c r="I145" s="24">
        <v>35977</v>
      </c>
      <c r="J145" s="25" t="s">
        <v>77</v>
      </c>
      <c r="K145" t="s">
        <v>26</v>
      </c>
      <c r="L145" s="25" t="s">
        <v>68</v>
      </c>
      <c r="M145" s="24">
        <v>37987</v>
      </c>
      <c r="N145" s="24">
        <v>42856</v>
      </c>
      <c r="O145" t="s">
        <v>26</v>
      </c>
      <c r="P145" s="24">
        <v>35977</v>
      </c>
      <c r="Q145" s="25" t="s">
        <v>77</v>
      </c>
      <c r="R145" t="s">
        <v>26</v>
      </c>
      <c r="S145" t="s">
        <v>26</v>
      </c>
      <c r="T145" t="s">
        <v>26</v>
      </c>
      <c r="U145" t="s">
        <v>26</v>
      </c>
      <c r="V145" s="25">
        <v>365</v>
      </c>
      <c r="W145" s="24">
        <v>35977</v>
      </c>
      <c r="X145" s="25" t="s">
        <v>77</v>
      </c>
      <c r="Y145" t="s">
        <v>26</v>
      </c>
      <c r="Z145" s="24">
        <v>35977</v>
      </c>
      <c r="AA145" s="25" t="s">
        <v>77</v>
      </c>
      <c r="AB145" t="s">
        <v>26</v>
      </c>
      <c r="AC145" s="24">
        <v>35977</v>
      </c>
      <c r="AD145" s="25" t="s">
        <v>77</v>
      </c>
      <c r="AE145" t="s">
        <v>26</v>
      </c>
      <c r="AF145" t="s">
        <v>26</v>
      </c>
      <c r="AG145" t="s">
        <v>26</v>
      </c>
      <c r="AH145" t="s">
        <v>26</v>
      </c>
      <c r="AI145" t="s">
        <v>26</v>
      </c>
      <c r="AJ145" t="s">
        <v>26</v>
      </c>
      <c r="AK145" t="s">
        <v>26</v>
      </c>
      <c r="AL145" t="s">
        <v>26</v>
      </c>
      <c r="AM145" t="s">
        <v>26</v>
      </c>
      <c r="AN145" t="s">
        <v>26</v>
      </c>
      <c r="AO145" s="25" t="s">
        <v>68</v>
      </c>
      <c r="AP145" s="23" t="s">
        <v>69</v>
      </c>
      <c r="AQ145" s="23" t="s">
        <v>30</v>
      </c>
      <c r="AR145" s="23" t="s">
        <v>46</v>
      </c>
      <c r="AS145" s="25">
        <v>55406</v>
      </c>
      <c r="AT145" t="s">
        <v>26</v>
      </c>
      <c r="AU145" t="s">
        <v>22390</v>
      </c>
    </row>
    <row r="146" spans="1:47" ht="39.4" x14ac:dyDescent="0.4">
      <c r="A146" s="23" t="s">
        <v>549</v>
      </c>
      <c r="B146" t="s">
        <v>26</v>
      </c>
      <c r="C146" s="23" t="s">
        <v>550</v>
      </c>
      <c r="D146" t="s">
        <v>26</v>
      </c>
      <c r="E146" s="23" t="s">
        <v>42</v>
      </c>
      <c r="F146" t="s">
        <v>26</v>
      </c>
      <c r="G146" t="s">
        <v>26</v>
      </c>
      <c r="H146" t="s">
        <v>26</v>
      </c>
      <c r="I146" s="24">
        <v>1097</v>
      </c>
      <c r="J146" s="24">
        <v>1097</v>
      </c>
      <c r="K146" t="s">
        <v>26</v>
      </c>
      <c r="L146" s="25" t="s">
        <v>28</v>
      </c>
      <c r="M146" t="s">
        <v>26</v>
      </c>
      <c r="N146" t="s">
        <v>26</v>
      </c>
      <c r="O146" t="s">
        <v>26</v>
      </c>
      <c r="P146" s="24">
        <v>1097</v>
      </c>
      <c r="Q146" s="24">
        <v>1097</v>
      </c>
      <c r="R146" t="s">
        <v>26</v>
      </c>
      <c r="S146" t="s">
        <v>26</v>
      </c>
      <c r="T146" t="s">
        <v>26</v>
      </c>
      <c r="U146" t="s">
        <v>26</v>
      </c>
      <c r="V146" t="s">
        <v>26</v>
      </c>
      <c r="W146" s="24">
        <v>1097</v>
      </c>
      <c r="X146" s="24">
        <v>1097</v>
      </c>
      <c r="Y146" t="s">
        <v>26</v>
      </c>
      <c r="Z146" s="24">
        <v>1097</v>
      </c>
      <c r="AA146" s="24">
        <v>1097</v>
      </c>
      <c r="AB146" t="s">
        <v>26</v>
      </c>
      <c r="AC146" t="s">
        <v>26</v>
      </c>
      <c r="AD146" t="s">
        <v>26</v>
      </c>
      <c r="AE146" t="s">
        <v>26</v>
      </c>
      <c r="AF146" t="s">
        <v>26</v>
      </c>
      <c r="AG146" t="s">
        <v>26</v>
      </c>
      <c r="AH146" t="s">
        <v>26</v>
      </c>
      <c r="AI146" t="s">
        <v>26</v>
      </c>
      <c r="AJ146" t="s">
        <v>26</v>
      </c>
      <c r="AK146" t="s">
        <v>26</v>
      </c>
      <c r="AL146" t="s">
        <v>26</v>
      </c>
      <c r="AM146" t="s">
        <v>26</v>
      </c>
      <c r="AN146" t="s">
        <v>26</v>
      </c>
      <c r="AO146" s="25" t="s">
        <v>28</v>
      </c>
      <c r="AP146" s="23" t="s">
        <v>29</v>
      </c>
      <c r="AQ146" s="23" t="s">
        <v>30</v>
      </c>
      <c r="AR146" s="23" t="s">
        <v>46</v>
      </c>
      <c r="AS146" s="25">
        <v>6009038</v>
      </c>
      <c r="AT146" t="s">
        <v>26</v>
      </c>
      <c r="AU146" t="s">
        <v>22391</v>
      </c>
    </row>
    <row r="147" spans="1:47" ht="13.15" x14ac:dyDescent="0.4">
      <c r="A147" s="23" t="s">
        <v>551</v>
      </c>
      <c r="B147" t="s">
        <v>26</v>
      </c>
      <c r="C147" s="23" t="s">
        <v>552</v>
      </c>
      <c r="D147" s="23" t="s">
        <v>22231</v>
      </c>
      <c r="E147" s="23" t="s">
        <v>42</v>
      </c>
      <c r="F147" t="s">
        <v>26</v>
      </c>
      <c r="G147" t="s">
        <v>26</v>
      </c>
      <c r="H147" t="s">
        <v>26</v>
      </c>
      <c r="I147" s="24">
        <v>27760</v>
      </c>
      <c r="J147" s="24">
        <v>27760</v>
      </c>
      <c r="K147" t="s">
        <v>26</v>
      </c>
      <c r="L147" s="25" t="s">
        <v>28</v>
      </c>
      <c r="M147" s="24">
        <v>27760</v>
      </c>
      <c r="N147" s="24">
        <v>27760</v>
      </c>
      <c r="O147" t="s">
        <v>26</v>
      </c>
      <c r="P147" t="s">
        <v>26</v>
      </c>
      <c r="Q147" t="s">
        <v>26</v>
      </c>
      <c r="R147" t="s">
        <v>26</v>
      </c>
      <c r="S147" t="s">
        <v>26</v>
      </c>
      <c r="T147" t="s">
        <v>26</v>
      </c>
      <c r="U147" t="s">
        <v>26</v>
      </c>
      <c r="V147" t="s">
        <v>26</v>
      </c>
      <c r="W147" s="24">
        <v>27760</v>
      </c>
      <c r="X147" s="24">
        <v>27760</v>
      </c>
      <c r="Y147" t="s">
        <v>26</v>
      </c>
      <c r="Z147" s="24">
        <v>27760</v>
      </c>
      <c r="AA147" s="24">
        <v>27760</v>
      </c>
      <c r="AB147" t="s">
        <v>26</v>
      </c>
      <c r="AC147" s="24">
        <v>27760</v>
      </c>
      <c r="AD147" s="24">
        <v>27760</v>
      </c>
      <c r="AE147" t="s">
        <v>26</v>
      </c>
      <c r="AF147" t="s">
        <v>26</v>
      </c>
      <c r="AG147" t="s">
        <v>26</v>
      </c>
      <c r="AH147" t="s">
        <v>26</v>
      </c>
      <c r="AI147" t="s">
        <v>26</v>
      </c>
      <c r="AJ147" t="s">
        <v>26</v>
      </c>
      <c r="AK147" t="s">
        <v>26</v>
      </c>
      <c r="AL147" t="s">
        <v>26</v>
      </c>
      <c r="AM147" t="s">
        <v>26</v>
      </c>
      <c r="AN147" t="s">
        <v>26</v>
      </c>
      <c r="AO147" s="25" t="s">
        <v>28</v>
      </c>
      <c r="AP147" s="23" t="s">
        <v>29</v>
      </c>
      <c r="AQ147" s="23" t="s">
        <v>30</v>
      </c>
      <c r="AR147" s="23" t="s">
        <v>46</v>
      </c>
      <c r="AS147" s="25">
        <v>6009037</v>
      </c>
      <c r="AT147" t="s">
        <v>26</v>
      </c>
      <c r="AU147" t="s">
        <v>22392</v>
      </c>
    </row>
    <row r="148" spans="1:47" ht="26.25" x14ac:dyDescent="0.4">
      <c r="A148" s="23" t="s">
        <v>553</v>
      </c>
      <c r="B148" t="s">
        <v>26</v>
      </c>
      <c r="C148" s="23" t="s">
        <v>554</v>
      </c>
      <c r="D148" s="23" t="s">
        <v>22393</v>
      </c>
      <c r="E148" s="23" t="s">
        <v>120</v>
      </c>
      <c r="F148" s="25" t="s">
        <v>555</v>
      </c>
      <c r="G148" t="s">
        <v>26</v>
      </c>
      <c r="H148" t="s">
        <v>26</v>
      </c>
      <c r="I148" s="24">
        <v>41275</v>
      </c>
      <c r="J148" s="25" t="s">
        <v>77</v>
      </c>
      <c r="K148" t="s">
        <v>26</v>
      </c>
      <c r="L148" s="25" t="s">
        <v>68</v>
      </c>
      <c r="M148" s="24">
        <v>41275</v>
      </c>
      <c r="N148" s="25" t="s">
        <v>77</v>
      </c>
      <c r="O148" t="s">
        <v>26</v>
      </c>
      <c r="P148" s="24">
        <v>41275</v>
      </c>
      <c r="Q148" s="25" t="s">
        <v>77</v>
      </c>
      <c r="R148" t="s">
        <v>26</v>
      </c>
      <c r="S148" t="s">
        <v>26</v>
      </c>
      <c r="T148" t="s">
        <v>26</v>
      </c>
      <c r="U148" t="s">
        <v>26</v>
      </c>
      <c r="V148" t="s">
        <v>26</v>
      </c>
      <c r="W148" s="24">
        <v>41275</v>
      </c>
      <c r="X148" s="25" t="s">
        <v>77</v>
      </c>
      <c r="Y148" t="s">
        <v>26</v>
      </c>
      <c r="Z148" s="24">
        <v>41275</v>
      </c>
      <c r="AA148" s="25" t="s">
        <v>77</v>
      </c>
      <c r="AB148" t="s">
        <v>26</v>
      </c>
      <c r="AC148" s="24">
        <v>41275</v>
      </c>
      <c r="AD148" s="25" t="s">
        <v>77</v>
      </c>
      <c r="AE148" t="s">
        <v>26</v>
      </c>
      <c r="AF148" t="s">
        <v>26</v>
      </c>
      <c r="AG148" t="s">
        <v>26</v>
      </c>
      <c r="AH148" t="s">
        <v>26</v>
      </c>
      <c r="AI148" t="s">
        <v>26</v>
      </c>
      <c r="AJ148" t="s">
        <v>26</v>
      </c>
      <c r="AK148" t="s">
        <v>26</v>
      </c>
      <c r="AL148" t="s">
        <v>26</v>
      </c>
      <c r="AM148" t="s">
        <v>26</v>
      </c>
      <c r="AN148" t="s">
        <v>26</v>
      </c>
      <c r="AO148" s="25" t="s">
        <v>28</v>
      </c>
      <c r="AP148" s="23" t="s">
        <v>69</v>
      </c>
      <c r="AQ148" s="23" t="s">
        <v>30</v>
      </c>
      <c r="AR148" s="23" t="s">
        <v>46</v>
      </c>
      <c r="AS148" s="25">
        <v>2032490</v>
      </c>
      <c r="AT148" t="s">
        <v>26</v>
      </c>
      <c r="AU148" t="s">
        <v>22394</v>
      </c>
    </row>
    <row r="149" spans="1:47" ht="26.25" x14ac:dyDescent="0.4">
      <c r="A149" s="23" t="s">
        <v>556</v>
      </c>
      <c r="B149" t="s">
        <v>26</v>
      </c>
      <c r="C149" s="23" t="s">
        <v>399</v>
      </c>
      <c r="D149" s="23" t="s">
        <v>22242</v>
      </c>
      <c r="E149" s="23" t="s">
        <v>60</v>
      </c>
      <c r="F149" s="25" t="s">
        <v>557</v>
      </c>
      <c r="G149" s="25" t="s">
        <v>558</v>
      </c>
      <c r="H149" t="s">
        <v>26</v>
      </c>
      <c r="I149" s="24">
        <v>35490</v>
      </c>
      <c r="J149" s="24">
        <v>43070</v>
      </c>
      <c r="K149" t="s">
        <v>26</v>
      </c>
      <c r="L149" s="25" t="s">
        <v>68</v>
      </c>
      <c r="M149" t="s">
        <v>26</v>
      </c>
      <c r="N149" t="s">
        <v>26</v>
      </c>
      <c r="O149" t="s">
        <v>26</v>
      </c>
      <c r="P149" s="24">
        <v>35490</v>
      </c>
      <c r="Q149" s="24">
        <v>43070</v>
      </c>
      <c r="R149" t="s">
        <v>26</v>
      </c>
      <c r="S149" t="s">
        <v>26</v>
      </c>
      <c r="T149" t="s">
        <v>26</v>
      </c>
      <c r="U149" t="s">
        <v>26</v>
      </c>
      <c r="V149" t="s">
        <v>26</v>
      </c>
      <c r="W149" s="24">
        <v>35490</v>
      </c>
      <c r="X149" s="25" t="s">
        <v>77</v>
      </c>
      <c r="Y149" t="s">
        <v>26</v>
      </c>
      <c r="Z149" s="24">
        <v>35490</v>
      </c>
      <c r="AA149" s="25" t="s">
        <v>77</v>
      </c>
      <c r="AB149" t="s">
        <v>26</v>
      </c>
      <c r="AC149" s="24">
        <v>35490</v>
      </c>
      <c r="AD149" s="25" t="s">
        <v>77</v>
      </c>
      <c r="AE149" t="s">
        <v>26</v>
      </c>
      <c r="AF149" t="s">
        <v>26</v>
      </c>
      <c r="AG149" t="s">
        <v>26</v>
      </c>
      <c r="AH149" t="s">
        <v>26</v>
      </c>
      <c r="AI149" t="s">
        <v>26</v>
      </c>
      <c r="AJ149" t="s">
        <v>26</v>
      </c>
      <c r="AK149" t="s">
        <v>26</v>
      </c>
      <c r="AL149" t="s">
        <v>26</v>
      </c>
      <c r="AM149" t="s">
        <v>26</v>
      </c>
      <c r="AN149" t="s">
        <v>26</v>
      </c>
      <c r="AO149" s="25" t="s">
        <v>68</v>
      </c>
      <c r="AP149" s="23" t="s">
        <v>69</v>
      </c>
      <c r="AQ149" s="23" t="s">
        <v>30</v>
      </c>
      <c r="AR149" s="23" t="s">
        <v>559</v>
      </c>
      <c r="AS149" s="25">
        <v>30054</v>
      </c>
      <c r="AT149" t="s">
        <v>26</v>
      </c>
      <c r="AU149" t="s">
        <v>22395</v>
      </c>
    </row>
    <row r="150" spans="1:47" ht="26.25" x14ac:dyDescent="0.4">
      <c r="A150" s="23" t="s">
        <v>560</v>
      </c>
      <c r="B150" t="s">
        <v>26</v>
      </c>
      <c r="C150" s="23" t="s">
        <v>73</v>
      </c>
      <c r="D150" s="23" t="s">
        <v>22179</v>
      </c>
      <c r="E150" s="23" t="s">
        <v>74</v>
      </c>
      <c r="F150" s="25" t="s">
        <v>561</v>
      </c>
      <c r="G150" s="25" t="s">
        <v>562</v>
      </c>
      <c r="H150" t="s">
        <v>26</v>
      </c>
      <c r="I150" s="24">
        <v>36220</v>
      </c>
      <c r="J150" s="24">
        <v>37865</v>
      </c>
      <c r="K150" t="s">
        <v>26</v>
      </c>
      <c r="L150" s="25" t="s">
        <v>68</v>
      </c>
      <c r="M150" t="s">
        <v>26</v>
      </c>
      <c r="N150" t="s">
        <v>26</v>
      </c>
      <c r="O150" t="s">
        <v>26</v>
      </c>
      <c r="P150" s="24">
        <v>36220</v>
      </c>
      <c r="Q150" s="24">
        <v>37865</v>
      </c>
      <c r="R150" t="s">
        <v>26</v>
      </c>
      <c r="S150" t="s">
        <v>26</v>
      </c>
      <c r="T150" t="s">
        <v>26</v>
      </c>
      <c r="U150" t="s">
        <v>26</v>
      </c>
      <c r="V150" t="s">
        <v>26</v>
      </c>
      <c r="W150" s="24">
        <v>36220</v>
      </c>
      <c r="X150" s="24">
        <v>37987</v>
      </c>
      <c r="Y150" t="s">
        <v>26</v>
      </c>
      <c r="Z150" s="24">
        <v>36220</v>
      </c>
      <c r="AA150" s="24">
        <v>37987</v>
      </c>
      <c r="AB150" t="s">
        <v>26</v>
      </c>
      <c r="AC150" s="24">
        <v>36220</v>
      </c>
      <c r="AD150" s="24">
        <v>37987</v>
      </c>
      <c r="AE150" t="s">
        <v>26</v>
      </c>
      <c r="AF150" t="s">
        <v>26</v>
      </c>
      <c r="AG150" t="s">
        <v>26</v>
      </c>
      <c r="AH150" t="s">
        <v>26</v>
      </c>
      <c r="AI150" t="s">
        <v>26</v>
      </c>
      <c r="AJ150" t="s">
        <v>26</v>
      </c>
      <c r="AK150" t="s">
        <v>26</v>
      </c>
      <c r="AL150" t="s">
        <v>26</v>
      </c>
      <c r="AM150" t="s">
        <v>26</v>
      </c>
      <c r="AN150" t="s">
        <v>26</v>
      </c>
      <c r="AO150" s="25" t="s">
        <v>68</v>
      </c>
      <c r="AP150" s="23" t="s">
        <v>69</v>
      </c>
      <c r="AQ150" s="23" t="s">
        <v>30</v>
      </c>
      <c r="AR150" s="23" t="s">
        <v>70</v>
      </c>
      <c r="AS150" s="25">
        <v>44867</v>
      </c>
      <c r="AT150" t="s">
        <v>26</v>
      </c>
      <c r="AU150" t="s">
        <v>22396</v>
      </c>
    </row>
    <row r="151" spans="1:47" ht="26.25" x14ac:dyDescent="0.4">
      <c r="A151" s="23" t="s">
        <v>563</v>
      </c>
      <c r="B151" t="s">
        <v>26</v>
      </c>
      <c r="C151" s="23" t="s">
        <v>564</v>
      </c>
      <c r="D151" s="23" t="s">
        <v>22397</v>
      </c>
      <c r="E151" s="23" t="s">
        <v>42</v>
      </c>
      <c r="F151" t="s">
        <v>26</v>
      </c>
      <c r="G151" s="25" t="s">
        <v>565</v>
      </c>
      <c r="H151" t="s">
        <v>26</v>
      </c>
      <c r="I151" s="24">
        <v>41640</v>
      </c>
      <c r="J151" s="25" t="s">
        <v>77</v>
      </c>
      <c r="K151" t="s">
        <v>26</v>
      </c>
      <c r="L151" s="25" t="s">
        <v>68</v>
      </c>
      <c r="M151" s="24">
        <v>41640</v>
      </c>
      <c r="N151" s="25" t="s">
        <v>77</v>
      </c>
      <c r="O151" t="s">
        <v>26</v>
      </c>
      <c r="P151" s="24">
        <v>41640</v>
      </c>
      <c r="Q151" s="25" t="s">
        <v>77</v>
      </c>
      <c r="R151" t="s">
        <v>26</v>
      </c>
      <c r="S151" t="s">
        <v>26</v>
      </c>
      <c r="T151" t="s">
        <v>26</v>
      </c>
      <c r="U151" t="s">
        <v>26</v>
      </c>
      <c r="V151" t="s">
        <v>26</v>
      </c>
      <c r="W151" s="24">
        <v>41640</v>
      </c>
      <c r="X151" s="25" t="s">
        <v>77</v>
      </c>
      <c r="Y151" t="s">
        <v>26</v>
      </c>
      <c r="Z151" s="24">
        <v>41640</v>
      </c>
      <c r="AA151" s="25" t="s">
        <v>77</v>
      </c>
      <c r="AB151" t="s">
        <v>26</v>
      </c>
      <c r="AC151" s="24">
        <v>41640</v>
      </c>
      <c r="AD151" s="25" t="s">
        <v>77</v>
      </c>
      <c r="AE151" t="s">
        <v>26</v>
      </c>
      <c r="AF151" t="s">
        <v>26</v>
      </c>
      <c r="AG151" t="s">
        <v>26</v>
      </c>
      <c r="AH151" t="s">
        <v>26</v>
      </c>
      <c r="AI151" t="s">
        <v>26</v>
      </c>
      <c r="AJ151" t="s">
        <v>26</v>
      </c>
      <c r="AK151" t="s">
        <v>26</v>
      </c>
      <c r="AL151" t="s">
        <v>26</v>
      </c>
      <c r="AM151" t="s">
        <v>26</v>
      </c>
      <c r="AN151" t="s">
        <v>26</v>
      </c>
      <c r="AO151" s="25" t="s">
        <v>68</v>
      </c>
      <c r="AP151" s="23" t="s">
        <v>69</v>
      </c>
      <c r="AQ151" s="23" t="s">
        <v>30</v>
      </c>
      <c r="AR151" s="23" t="s">
        <v>70</v>
      </c>
      <c r="AS151" s="25">
        <v>2034580</v>
      </c>
      <c r="AT151" t="s">
        <v>26</v>
      </c>
      <c r="AU151" t="s">
        <v>22398</v>
      </c>
    </row>
    <row r="152" spans="1:47" ht="26.25" x14ac:dyDescent="0.4">
      <c r="A152" s="23" t="s">
        <v>566</v>
      </c>
      <c r="B152" t="s">
        <v>26</v>
      </c>
      <c r="C152" s="23" t="s">
        <v>73</v>
      </c>
      <c r="D152" s="23" t="s">
        <v>22179</v>
      </c>
      <c r="E152" s="23" t="s">
        <v>74</v>
      </c>
      <c r="F152" s="25" t="s">
        <v>567</v>
      </c>
      <c r="G152" s="25" t="s">
        <v>568</v>
      </c>
      <c r="H152" t="s">
        <v>26</v>
      </c>
      <c r="I152" s="24">
        <v>35796</v>
      </c>
      <c r="J152" s="25" t="s">
        <v>77</v>
      </c>
      <c r="K152" t="s">
        <v>26</v>
      </c>
      <c r="L152" s="25" t="s">
        <v>68</v>
      </c>
      <c r="M152" s="24">
        <v>35796</v>
      </c>
      <c r="N152" s="24">
        <v>42826</v>
      </c>
      <c r="O152" s="25" t="s">
        <v>22399</v>
      </c>
      <c r="P152" s="24">
        <v>35796</v>
      </c>
      <c r="Q152" s="25" t="s">
        <v>77</v>
      </c>
      <c r="R152" t="s">
        <v>26</v>
      </c>
      <c r="S152" t="s">
        <v>26</v>
      </c>
      <c r="T152" t="s">
        <v>26</v>
      </c>
      <c r="U152" t="s">
        <v>26</v>
      </c>
      <c r="V152" s="25">
        <v>365</v>
      </c>
      <c r="W152" s="24">
        <v>35796</v>
      </c>
      <c r="X152" s="25" t="s">
        <v>77</v>
      </c>
      <c r="Y152" t="s">
        <v>26</v>
      </c>
      <c r="Z152" s="24">
        <v>35796</v>
      </c>
      <c r="AA152" s="25" t="s">
        <v>77</v>
      </c>
      <c r="AB152" t="s">
        <v>26</v>
      </c>
      <c r="AC152" s="24">
        <v>36526</v>
      </c>
      <c r="AD152" s="25" t="s">
        <v>77</v>
      </c>
      <c r="AE152" t="s">
        <v>26</v>
      </c>
      <c r="AF152" t="s">
        <v>26</v>
      </c>
      <c r="AG152" t="s">
        <v>26</v>
      </c>
      <c r="AH152" t="s">
        <v>26</v>
      </c>
      <c r="AI152" t="s">
        <v>26</v>
      </c>
      <c r="AJ152" t="s">
        <v>26</v>
      </c>
      <c r="AK152" t="s">
        <v>26</v>
      </c>
      <c r="AL152" t="s">
        <v>26</v>
      </c>
      <c r="AM152" t="s">
        <v>26</v>
      </c>
      <c r="AN152" t="s">
        <v>26</v>
      </c>
      <c r="AO152" s="25" t="s">
        <v>68</v>
      </c>
      <c r="AP152" s="23" t="s">
        <v>69</v>
      </c>
      <c r="AQ152" s="23" t="s">
        <v>30</v>
      </c>
      <c r="AR152" s="23" t="s">
        <v>569</v>
      </c>
      <c r="AS152" s="25">
        <v>38024</v>
      </c>
      <c r="AT152" t="s">
        <v>26</v>
      </c>
      <c r="AU152" t="s">
        <v>22400</v>
      </c>
    </row>
    <row r="153" spans="1:47" ht="26.25" x14ac:dyDescent="0.4">
      <c r="A153" s="23" t="s">
        <v>570</v>
      </c>
      <c r="B153" t="s">
        <v>26</v>
      </c>
      <c r="C153" s="23" t="s">
        <v>213</v>
      </c>
      <c r="D153" s="23" t="s">
        <v>22174</v>
      </c>
      <c r="E153" s="23" t="s">
        <v>60</v>
      </c>
      <c r="F153" t="s">
        <v>26</v>
      </c>
      <c r="G153" s="25" t="s">
        <v>571</v>
      </c>
      <c r="H153" t="s">
        <v>26</v>
      </c>
      <c r="I153" s="24">
        <v>39814</v>
      </c>
      <c r="J153" s="25" t="s">
        <v>77</v>
      </c>
      <c r="K153" t="s">
        <v>26</v>
      </c>
      <c r="L153" s="25" t="s">
        <v>68</v>
      </c>
      <c r="M153" t="s">
        <v>26</v>
      </c>
      <c r="N153" t="s">
        <v>26</v>
      </c>
      <c r="O153" t="s">
        <v>26</v>
      </c>
      <c r="P153" s="24">
        <v>39814</v>
      </c>
      <c r="Q153" s="25" t="s">
        <v>77</v>
      </c>
      <c r="R153" t="s">
        <v>26</v>
      </c>
      <c r="S153" t="s">
        <v>26</v>
      </c>
      <c r="T153" t="s">
        <v>26</v>
      </c>
      <c r="U153" t="s">
        <v>26</v>
      </c>
      <c r="V153" t="s">
        <v>26</v>
      </c>
      <c r="W153" s="24">
        <v>39814</v>
      </c>
      <c r="X153" s="25" t="s">
        <v>77</v>
      </c>
      <c r="Y153" t="s">
        <v>26</v>
      </c>
      <c r="Z153" s="24">
        <v>39814</v>
      </c>
      <c r="AA153" s="25" t="s">
        <v>77</v>
      </c>
      <c r="AB153" t="s">
        <v>26</v>
      </c>
      <c r="AC153" s="24">
        <v>39814</v>
      </c>
      <c r="AD153" s="25" t="s">
        <v>77</v>
      </c>
      <c r="AE153" t="s">
        <v>26</v>
      </c>
      <c r="AF153" t="s">
        <v>26</v>
      </c>
      <c r="AG153" t="s">
        <v>26</v>
      </c>
      <c r="AH153" t="s">
        <v>26</v>
      </c>
      <c r="AI153" t="s">
        <v>26</v>
      </c>
      <c r="AJ153" t="s">
        <v>26</v>
      </c>
      <c r="AK153" t="s">
        <v>26</v>
      </c>
      <c r="AL153" t="s">
        <v>26</v>
      </c>
      <c r="AM153" t="s">
        <v>26</v>
      </c>
      <c r="AN153" t="s">
        <v>26</v>
      </c>
      <c r="AO153" s="25" t="s">
        <v>68</v>
      </c>
      <c r="AP153" s="23" t="s">
        <v>69</v>
      </c>
      <c r="AQ153" s="23" t="s">
        <v>30</v>
      </c>
      <c r="AR153" s="23" t="s">
        <v>572</v>
      </c>
      <c r="AS153" s="25">
        <v>28123</v>
      </c>
      <c r="AT153" t="s">
        <v>26</v>
      </c>
      <c r="AU153" t="s">
        <v>22401</v>
      </c>
    </row>
    <row r="154" spans="1:47" ht="26.25" x14ac:dyDescent="0.4">
      <c r="A154" s="23" t="s">
        <v>573</v>
      </c>
      <c r="B154" t="s">
        <v>26</v>
      </c>
      <c r="C154" s="23" t="s">
        <v>573</v>
      </c>
      <c r="D154" s="23" t="s">
        <v>22402</v>
      </c>
      <c r="E154" s="23" t="s">
        <v>574</v>
      </c>
      <c r="F154" s="25" t="s">
        <v>575</v>
      </c>
      <c r="G154" s="25" t="s">
        <v>576</v>
      </c>
      <c r="H154" t="s">
        <v>26</v>
      </c>
      <c r="I154" s="24">
        <v>38718</v>
      </c>
      <c r="J154" s="24">
        <v>42278</v>
      </c>
      <c r="K154" t="s">
        <v>26</v>
      </c>
      <c r="L154" s="25" t="s">
        <v>68</v>
      </c>
      <c r="M154" t="s">
        <v>26</v>
      </c>
      <c r="N154" t="s">
        <v>26</v>
      </c>
      <c r="O154" t="s">
        <v>26</v>
      </c>
      <c r="P154" s="24">
        <v>38718</v>
      </c>
      <c r="Q154" s="24">
        <v>42278</v>
      </c>
      <c r="R154" t="s">
        <v>26</v>
      </c>
      <c r="S154" t="s">
        <v>26</v>
      </c>
      <c r="T154" t="s">
        <v>26</v>
      </c>
      <c r="U154" t="s">
        <v>26</v>
      </c>
      <c r="V154" t="s">
        <v>26</v>
      </c>
      <c r="W154" s="24">
        <v>38718</v>
      </c>
      <c r="X154" s="24">
        <v>42278</v>
      </c>
      <c r="Y154" t="s">
        <v>26</v>
      </c>
      <c r="Z154" s="24">
        <v>38718</v>
      </c>
      <c r="AA154" s="24">
        <v>42278</v>
      </c>
      <c r="AB154" t="s">
        <v>26</v>
      </c>
      <c r="AC154" s="24">
        <v>38718</v>
      </c>
      <c r="AD154" s="24">
        <v>42278</v>
      </c>
      <c r="AE154" t="s">
        <v>26</v>
      </c>
      <c r="AF154" t="s">
        <v>26</v>
      </c>
      <c r="AG154" t="s">
        <v>26</v>
      </c>
      <c r="AH154" t="s">
        <v>26</v>
      </c>
      <c r="AI154" t="s">
        <v>26</v>
      </c>
      <c r="AJ154" t="s">
        <v>26</v>
      </c>
      <c r="AK154" t="s">
        <v>26</v>
      </c>
      <c r="AL154" t="s">
        <v>26</v>
      </c>
      <c r="AM154" t="s">
        <v>26</v>
      </c>
      <c r="AN154" t="s">
        <v>26</v>
      </c>
      <c r="AO154" s="25" t="s">
        <v>68</v>
      </c>
      <c r="AP154" s="23" t="s">
        <v>69</v>
      </c>
      <c r="AQ154" s="23" t="s">
        <v>30</v>
      </c>
      <c r="AR154" s="23" t="s">
        <v>70</v>
      </c>
      <c r="AS154" s="25">
        <v>686313</v>
      </c>
      <c r="AT154" t="s">
        <v>26</v>
      </c>
      <c r="AU154" t="s">
        <v>22403</v>
      </c>
    </row>
    <row r="155" spans="1:47" ht="26.25" x14ac:dyDescent="0.4">
      <c r="A155" s="23" t="s">
        <v>577</v>
      </c>
      <c r="B155" t="s">
        <v>26</v>
      </c>
      <c r="C155" s="23" t="s">
        <v>578</v>
      </c>
      <c r="D155" s="23" t="s">
        <v>22404</v>
      </c>
      <c r="E155" s="23" t="s">
        <v>42</v>
      </c>
      <c r="F155" s="25" t="s">
        <v>579</v>
      </c>
      <c r="G155" s="25" t="s">
        <v>580</v>
      </c>
      <c r="H155" t="s">
        <v>26</v>
      </c>
      <c r="I155" s="24">
        <v>35431</v>
      </c>
      <c r="J155" s="24">
        <v>38626</v>
      </c>
      <c r="K155" t="s">
        <v>26</v>
      </c>
      <c r="L155" s="25" t="s">
        <v>68</v>
      </c>
      <c r="M155" s="24">
        <v>35431</v>
      </c>
      <c r="N155" s="24">
        <v>38626</v>
      </c>
      <c r="O155" t="s">
        <v>26</v>
      </c>
      <c r="P155" s="24">
        <v>35431</v>
      </c>
      <c r="Q155" s="24">
        <v>38626</v>
      </c>
      <c r="R155" t="s">
        <v>26</v>
      </c>
      <c r="S155" t="s">
        <v>26</v>
      </c>
      <c r="T155" t="s">
        <v>26</v>
      </c>
      <c r="U155" t="s">
        <v>26</v>
      </c>
      <c r="V155" t="s">
        <v>26</v>
      </c>
      <c r="W155" s="24">
        <v>34700</v>
      </c>
      <c r="X155" s="25" t="s">
        <v>77</v>
      </c>
      <c r="Y155" t="s">
        <v>26</v>
      </c>
      <c r="Z155" s="24">
        <v>34700</v>
      </c>
      <c r="AA155" s="25" t="s">
        <v>77</v>
      </c>
      <c r="AB155" t="s">
        <v>26</v>
      </c>
      <c r="AC155" s="24">
        <v>34700</v>
      </c>
      <c r="AD155" s="25" t="s">
        <v>77</v>
      </c>
      <c r="AE155" t="s">
        <v>26</v>
      </c>
      <c r="AF155" t="s">
        <v>26</v>
      </c>
      <c r="AG155" t="s">
        <v>26</v>
      </c>
      <c r="AH155" t="s">
        <v>26</v>
      </c>
      <c r="AI155" t="s">
        <v>26</v>
      </c>
      <c r="AJ155" t="s">
        <v>26</v>
      </c>
      <c r="AK155" t="s">
        <v>26</v>
      </c>
      <c r="AL155" t="s">
        <v>26</v>
      </c>
      <c r="AM155" t="s">
        <v>26</v>
      </c>
      <c r="AN155" t="s">
        <v>26</v>
      </c>
      <c r="AO155" s="25" t="s">
        <v>68</v>
      </c>
      <c r="AP155" s="23" t="s">
        <v>69</v>
      </c>
      <c r="AQ155" s="23" t="s">
        <v>30</v>
      </c>
      <c r="AR155" s="23" t="s">
        <v>381</v>
      </c>
      <c r="AS155" s="25">
        <v>47370</v>
      </c>
      <c r="AT155" t="s">
        <v>26</v>
      </c>
      <c r="AU155" t="s">
        <v>22405</v>
      </c>
    </row>
    <row r="156" spans="1:47" ht="26.25" x14ac:dyDescent="0.4">
      <c r="A156" s="23" t="s">
        <v>581</v>
      </c>
      <c r="B156" t="s">
        <v>26</v>
      </c>
      <c r="C156" s="23" t="s">
        <v>578</v>
      </c>
      <c r="D156" s="23" t="s">
        <v>22404</v>
      </c>
      <c r="E156" s="23" t="s">
        <v>42</v>
      </c>
      <c r="F156" s="25" t="s">
        <v>582</v>
      </c>
      <c r="G156" s="25" t="s">
        <v>583</v>
      </c>
      <c r="H156" t="s">
        <v>26</v>
      </c>
      <c r="I156" s="24">
        <v>38443</v>
      </c>
      <c r="J156" s="24">
        <v>38443</v>
      </c>
      <c r="K156" t="s">
        <v>26</v>
      </c>
      <c r="L156" s="25" t="s">
        <v>68</v>
      </c>
      <c r="M156" s="24">
        <v>38443</v>
      </c>
      <c r="N156" s="24">
        <v>38443</v>
      </c>
      <c r="O156" t="s">
        <v>26</v>
      </c>
      <c r="P156" s="24">
        <v>38443</v>
      </c>
      <c r="Q156" s="24">
        <v>38443</v>
      </c>
      <c r="R156" t="s">
        <v>26</v>
      </c>
      <c r="S156" t="s">
        <v>26</v>
      </c>
      <c r="T156" t="s">
        <v>26</v>
      </c>
      <c r="U156" t="s">
        <v>26</v>
      </c>
      <c r="V156" t="s">
        <v>26</v>
      </c>
      <c r="W156" s="24">
        <v>38443</v>
      </c>
      <c r="X156" s="24">
        <v>38808</v>
      </c>
      <c r="Y156" t="s">
        <v>26</v>
      </c>
      <c r="Z156" s="24">
        <v>38443</v>
      </c>
      <c r="AA156" s="24">
        <v>38808</v>
      </c>
      <c r="AB156" t="s">
        <v>26</v>
      </c>
      <c r="AC156" t="s">
        <v>26</v>
      </c>
      <c r="AD156" t="s">
        <v>26</v>
      </c>
      <c r="AE156" t="s">
        <v>26</v>
      </c>
      <c r="AF156" t="s">
        <v>26</v>
      </c>
      <c r="AG156" t="s">
        <v>26</v>
      </c>
      <c r="AH156" t="s">
        <v>26</v>
      </c>
      <c r="AI156" t="s">
        <v>26</v>
      </c>
      <c r="AJ156" t="s">
        <v>26</v>
      </c>
      <c r="AK156" t="s">
        <v>26</v>
      </c>
      <c r="AL156" t="s">
        <v>26</v>
      </c>
      <c r="AM156" t="s">
        <v>26</v>
      </c>
      <c r="AN156" t="s">
        <v>26</v>
      </c>
      <c r="AO156" s="25" t="s">
        <v>68</v>
      </c>
      <c r="AP156" s="23" t="s">
        <v>69</v>
      </c>
      <c r="AQ156" s="23" t="s">
        <v>30</v>
      </c>
      <c r="AR156" s="23" t="s">
        <v>46</v>
      </c>
      <c r="AS156" s="25">
        <v>29191</v>
      </c>
      <c r="AT156" t="s">
        <v>26</v>
      </c>
      <c r="AU156" t="s">
        <v>22406</v>
      </c>
    </row>
    <row r="157" spans="1:47" ht="26.25" x14ac:dyDescent="0.4">
      <c r="A157" s="23" t="s">
        <v>584</v>
      </c>
      <c r="B157" t="s">
        <v>26</v>
      </c>
      <c r="C157" s="23" t="s">
        <v>578</v>
      </c>
      <c r="D157" s="23" t="s">
        <v>22404</v>
      </c>
      <c r="E157" s="23" t="s">
        <v>42</v>
      </c>
      <c r="F157" s="25" t="s">
        <v>585</v>
      </c>
      <c r="G157" s="25" t="s">
        <v>586</v>
      </c>
      <c r="H157" t="s">
        <v>26</v>
      </c>
      <c r="I157" s="24">
        <v>35796</v>
      </c>
      <c r="J157" s="24">
        <v>38384</v>
      </c>
      <c r="K157" t="s">
        <v>26</v>
      </c>
      <c r="L157" s="25" t="s">
        <v>68</v>
      </c>
      <c r="M157" s="24">
        <v>35796</v>
      </c>
      <c r="N157" s="24">
        <v>38384</v>
      </c>
      <c r="O157" s="25" t="s">
        <v>587</v>
      </c>
      <c r="P157" s="24">
        <v>35796</v>
      </c>
      <c r="Q157" s="24">
        <v>38384</v>
      </c>
      <c r="R157" t="s">
        <v>26</v>
      </c>
      <c r="S157" t="s">
        <v>26</v>
      </c>
      <c r="T157" t="s">
        <v>26</v>
      </c>
      <c r="U157" t="s">
        <v>26</v>
      </c>
      <c r="V157" t="s">
        <v>26</v>
      </c>
      <c r="W157" s="24">
        <v>35796</v>
      </c>
      <c r="X157" s="25" t="s">
        <v>77</v>
      </c>
      <c r="Y157" t="s">
        <v>26</v>
      </c>
      <c r="Z157" s="24">
        <v>35796</v>
      </c>
      <c r="AA157" s="25" t="s">
        <v>77</v>
      </c>
      <c r="AB157" t="s">
        <v>26</v>
      </c>
      <c r="AC157" s="24">
        <v>35796</v>
      </c>
      <c r="AD157" s="25" t="s">
        <v>77</v>
      </c>
      <c r="AE157" t="s">
        <v>26</v>
      </c>
      <c r="AF157" t="s">
        <v>26</v>
      </c>
      <c r="AG157" t="s">
        <v>26</v>
      </c>
      <c r="AH157" t="s">
        <v>26</v>
      </c>
      <c r="AI157" t="s">
        <v>26</v>
      </c>
      <c r="AJ157" t="s">
        <v>26</v>
      </c>
      <c r="AK157" t="s">
        <v>26</v>
      </c>
      <c r="AL157" t="s">
        <v>26</v>
      </c>
      <c r="AM157" t="s">
        <v>26</v>
      </c>
      <c r="AN157" t="s">
        <v>26</v>
      </c>
      <c r="AO157" s="25" t="s">
        <v>68</v>
      </c>
      <c r="AP157" s="23" t="s">
        <v>69</v>
      </c>
      <c r="AQ157" s="23" t="s">
        <v>30</v>
      </c>
      <c r="AR157" s="23" t="s">
        <v>588</v>
      </c>
      <c r="AS157" s="25">
        <v>24900</v>
      </c>
      <c r="AT157" t="s">
        <v>26</v>
      </c>
      <c r="AU157" t="s">
        <v>22407</v>
      </c>
    </row>
    <row r="158" spans="1:47" ht="26.25" x14ac:dyDescent="0.4">
      <c r="A158" s="23" t="s">
        <v>589</v>
      </c>
      <c r="B158" t="s">
        <v>26</v>
      </c>
      <c r="C158" s="23" t="s">
        <v>578</v>
      </c>
      <c r="D158" s="23" t="s">
        <v>22404</v>
      </c>
      <c r="E158" s="23" t="s">
        <v>42</v>
      </c>
      <c r="F158" s="25" t="s">
        <v>590</v>
      </c>
      <c r="G158" s="25" t="s">
        <v>591</v>
      </c>
      <c r="H158" t="s">
        <v>26</v>
      </c>
      <c r="I158" s="24">
        <v>35431</v>
      </c>
      <c r="J158" s="24">
        <v>38534</v>
      </c>
      <c r="K158" t="s">
        <v>26</v>
      </c>
      <c r="L158" s="25" t="s">
        <v>68</v>
      </c>
      <c r="M158" s="24">
        <v>35431</v>
      </c>
      <c r="N158" s="24">
        <v>38534</v>
      </c>
      <c r="O158" s="25" t="s">
        <v>592</v>
      </c>
      <c r="P158" s="24">
        <v>35431</v>
      </c>
      <c r="Q158" s="24">
        <v>38534</v>
      </c>
      <c r="R158" t="s">
        <v>26</v>
      </c>
      <c r="S158" t="s">
        <v>26</v>
      </c>
      <c r="T158" t="s">
        <v>26</v>
      </c>
      <c r="U158" t="s">
        <v>26</v>
      </c>
      <c r="V158" t="s">
        <v>26</v>
      </c>
      <c r="W158" s="24">
        <v>35065</v>
      </c>
      <c r="X158" s="25" t="s">
        <v>77</v>
      </c>
      <c r="Y158" t="s">
        <v>26</v>
      </c>
      <c r="Z158" s="24">
        <v>35065</v>
      </c>
      <c r="AA158" s="25" t="s">
        <v>77</v>
      </c>
      <c r="AB158" t="s">
        <v>26</v>
      </c>
      <c r="AC158" s="24">
        <v>35431</v>
      </c>
      <c r="AD158" s="25" t="s">
        <v>77</v>
      </c>
      <c r="AE158" t="s">
        <v>26</v>
      </c>
      <c r="AF158" t="s">
        <v>26</v>
      </c>
      <c r="AG158" t="s">
        <v>26</v>
      </c>
      <c r="AH158" t="s">
        <v>26</v>
      </c>
      <c r="AI158" t="s">
        <v>26</v>
      </c>
      <c r="AJ158" t="s">
        <v>26</v>
      </c>
      <c r="AK158" t="s">
        <v>26</v>
      </c>
      <c r="AL158" t="s">
        <v>26</v>
      </c>
      <c r="AM158" t="s">
        <v>26</v>
      </c>
      <c r="AN158" t="s">
        <v>26</v>
      </c>
      <c r="AO158" s="25" t="s">
        <v>68</v>
      </c>
      <c r="AP158" s="23" t="s">
        <v>69</v>
      </c>
      <c r="AQ158" s="23" t="s">
        <v>30</v>
      </c>
      <c r="AR158" s="23" t="s">
        <v>593</v>
      </c>
      <c r="AS158" s="25">
        <v>48084</v>
      </c>
      <c r="AT158" t="s">
        <v>26</v>
      </c>
      <c r="AU158" t="s">
        <v>22408</v>
      </c>
    </row>
    <row r="159" spans="1:47" ht="26.25" x14ac:dyDescent="0.4">
      <c r="A159" s="23" t="s">
        <v>594</v>
      </c>
      <c r="B159" t="s">
        <v>26</v>
      </c>
      <c r="C159" s="23" t="s">
        <v>578</v>
      </c>
      <c r="D159" s="23" t="s">
        <v>22404</v>
      </c>
      <c r="E159" s="23" t="s">
        <v>42</v>
      </c>
      <c r="F159" s="25" t="s">
        <v>595</v>
      </c>
      <c r="G159" s="25" t="s">
        <v>596</v>
      </c>
      <c r="H159" t="s">
        <v>26</v>
      </c>
      <c r="I159" s="24">
        <v>35431</v>
      </c>
      <c r="J159" s="24">
        <v>38384</v>
      </c>
      <c r="K159" t="s">
        <v>26</v>
      </c>
      <c r="L159" s="25" t="s">
        <v>68</v>
      </c>
      <c r="M159" s="24">
        <v>35431</v>
      </c>
      <c r="N159" s="24">
        <v>38384</v>
      </c>
      <c r="O159" s="25" t="s">
        <v>22409</v>
      </c>
      <c r="P159" s="24">
        <v>35431</v>
      </c>
      <c r="Q159" s="24">
        <v>38384</v>
      </c>
      <c r="R159" t="s">
        <v>26</v>
      </c>
      <c r="S159" t="s">
        <v>26</v>
      </c>
      <c r="T159" t="s">
        <v>26</v>
      </c>
      <c r="U159" t="s">
        <v>26</v>
      </c>
      <c r="V159" t="s">
        <v>26</v>
      </c>
      <c r="W159" s="24">
        <v>35065</v>
      </c>
      <c r="X159" s="24">
        <v>38749</v>
      </c>
      <c r="Y159" t="s">
        <v>26</v>
      </c>
      <c r="Z159" s="24">
        <v>35065</v>
      </c>
      <c r="AA159" s="24">
        <v>38749</v>
      </c>
      <c r="AB159" t="s">
        <v>26</v>
      </c>
      <c r="AC159" s="24">
        <v>35431</v>
      </c>
      <c r="AD159" s="24">
        <v>36892</v>
      </c>
      <c r="AE159" t="s">
        <v>26</v>
      </c>
      <c r="AF159" t="s">
        <v>26</v>
      </c>
      <c r="AG159" t="s">
        <v>26</v>
      </c>
      <c r="AH159" t="s">
        <v>26</v>
      </c>
      <c r="AI159" t="s">
        <v>26</v>
      </c>
      <c r="AJ159" t="s">
        <v>26</v>
      </c>
      <c r="AK159" t="s">
        <v>26</v>
      </c>
      <c r="AL159" t="s">
        <v>26</v>
      </c>
      <c r="AM159" t="s">
        <v>26</v>
      </c>
      <c r="AN159" t="s">
        <v>26</v>
      </c>
      <c r="AO159" s="25" t="s">
        <v>68</v>
      </c>
      <c r="AP159" s="23" t="s">
        <v>69</v>
      </c>
      <c r="AQ159" s="23" t="s">
        <v>30</v>
      </c>
      <c r="AR159" s="23" t="s">
        <v>597</v>
      </c>
      <c r="AS159" s="25">
        <v>24895</v>
      </c>
      <c r="AT159" t="s">
        <v>26</v>
      </c>
      <c r="AU159" t="s">
        <v>22410</v>
      </c>
    </row>
    <row r="160" spans="1:47" ht="26.25" x14ac:dyDescent="0.4">
      <c r="A160" s="23" t="s">
        <v>598</v>
      </c>
      <c r="B160" t="s">
        <v>26</v>
      </c>
      <c r="C160" s="23" t="s">
        <v>578</v>
      </c>
      <c r="D160" s="23" t="s">
        <v>22404</v>
      </c>
      <c r="E160" s="23" t="s">
        <v>42</v>
      </c>
      <c r="F160" s="25" t="s">
        <v>599</v>
      </c>
      <c r="G160" s="25" t="s">
        <v>600</v>
      </c>
      <c r="H160" t="s">
        <v>26</v>
      </c>
      <c r="I160" s="24">
        <v>35796</v>
      </c>
      <c r="J160" s="24">
        <v>38412</v>
      </c>
      <c r="K160" t="s">
        <v>26</v>
      </c>
      <c r="L160" s="25" t="s">
        <v>68</v>
      </c>
      <c r="M160" s="24">
        <v>35796</v>
      </c>
      <c r="N160" s="24">
        <v>38412</v>
      </c>
      <c r="O160" t="s">
        <v>26</v>
      </c>
      <c r="P160" s="24">
        <v>35796</v>
      </c>
      <c r="Q160" s="24">
        <v>38412</v>
      </c>
      <c r="R160" t="s">
        <v>26</v>
      </c>
      <c r="S160" t="s">
        <v>26</v>
      </c>
      <c r="T160" t="s">
        <v>26</v>
      </c>
      <c r="U160" t="s">
        <v>26</v>
      </c>
      <c r="V160" t="s">
        <v>26</v>
      </c>
      <c r="W160" s="24">
        <v>35796</v>
      </c>
      <c r="X160" s="25" t="s">
        <v>77</v>
      </c>
      <c r="Y160" t="s">
        <v>26</v>
      </c>
      <c r="Z160" s="24">
        <v>35796</v>
      </c>
      <c r="AA160" s="25" t="s">
        <v>77</v>
      </c>
      <c r="AB160" t="s">
        <v>26</v>
      </c>
      <c r="AC160" s="24">
        <v>37622</v>
      </c>
      <c r="AD160" s="25" t="s">
        <v>77</v>
      </c>
      <c r="AE160" t="s">
        <v>26</v>
      </c>
      <c r="AF160" t="s">
        <v>26</v>
      </c>
      <c r="AG160" t="s">
        <v>26</v>
      </c>
      <c r="AH160" t="s">
        <v>26</v>
      </c>
      <c r="AI160" t="s">
        <v>26</v>
      </c>
      <c r="AJ160" t="s">
        <v>26</v>
      </c>
      <c r="AK160" t="s">
        <v>26</v>
      </c>
      <c r="AL160" t="s">
        <v>26</v>
      </c>
      <c r="AM160" t="s">
        <v>26</v>
      </c>
      <c r="AN160" t="s">
        <v>26</v>
      </c>
      <c r="AO160" s="25" t="s">
        <v>68</v>
      </c>
      <c r="AP160" s="23" t="s">
        <v>69</v>
      </c>
      <c r="AQ160" s="23" t="s">
        <v>30</v>
      </c>
      <c r="AR160" s="23" t="s">
        <v>593</v>
      </c>
      <c r="AS160" s="25">
        <v>24890</v>
      </c>
      <c r="AT160" t="s">
        <v>26</v>
      </c>
      <c r="AU160" t="s">
        <v>22411</v>
      </c>
    </row>
    <row r="161" spans="1:47" ht="26.25" x14ac:dyDescent="0.4">
      <c r="A161" s="23" t="s">
        <v>601</v>
      </c>
      <c r="B161" t="s">
        <v>26</v>
      </c>
      <c r="C161" s="23" t="s">
        <v>578</v>
      </c>
      <c r="D161" s="23" t="s">
        <v>22404</v>
      </c>
      <c r="E161" s="23" t="s">
        <v>42</v>
      </c>
      <c r="F161" s="25" t="s">
        <v>602</v>
      </c>
      <c r="G161" s="25" t="s">
        <v>603</v>
      </c>
      <c r="H161" t="s">
        <v>26</v>
      </c>
      <c r="I161" s="24">
        <v>33970</v>
      </c>
      <c r="J161" s="24">
        <v>38353</v>
      </c>
      <c r="K161" t="s">
        <v>26</v>
      </c>
      <c r="L161" s="25" t="s">
        <v>68</v>
      </c>
      <c r="M161" s="24">
        <v>34335</v>
      </c>
      <c r="N161" s="24">
        <v>38353</v>
      </c>
      <c r="O161" s="25" t="s">
        <v>604</v>
      </c>
      <c r="P161" s="24">
        <v>33970</v>
      </c>
      <c r="Q161" s="24">
        <v>38353</v>
      </c>
      <c r="R161" t="s">
        <v>26</v>
      </c>
      <c r="S161" t="s">
        <v>26</v>
      </c>
      <c r="T161" t="s">
        <v>26</v>
      </c>
      <c r="U161" t="s">
        <v>26</v>
      </c>
      <c r="V161" t="s">
        <v>26</v>
      </c>
      <c r="W161" s="24">
        <v>32509</v>
      </c>
      <c r="X161" s="25" t="s">
        <v>77</v>
      </c>
      <c r="Y161" t="s">
        <v>26</v>
      </c>
      <c r="Z161" s="24">
        <v>32509</v>
      </c>
      <c r="AA161" s="25" t="s">
        <v>77</v>
      </c>
      <c r="AB161" t="s">
        <v>26</v>
      </c>
      <c r="AC161" s="24">
        <v>32509</v>
      </c>
      <c r="AD161" s="25" t="s">
        <v>77</v>
      </c>
      <c r="AE161" t="s">
        <v>26</v>
      </c>
      <c r="AF161" t="s">
        <v>26</v>
      </c>
      <c r="AG161" t="s">
        <v>26</v>
      </c>
      <c r="AH161" t="s">
        <v>26</v>
      </c>
      <c r="AI161" t="s">
        <v>26</v>
      </c>
      <c r="AJ161" t="s">
        <v>26</v>
      </c>
      <c r="AK161" t="s">
        <v>26</v>
      </c>
      <c r="AL161" t="s">
        <v>26</v>
      </c>
      <c r="AM161" t="s">
        <v>26</v>
      </c>
      <c r="AN161" t="s">
        <v>26</v>
      </c>
      <c r="AO161" s="25" t="s">
        <v>68</v>
      </c>
      <c r="AP161" s="23" t="s">
        <v>69</v>
      </c>
      <c r="AQ161" s="23" t="s">
        <v>30</v>
      </c>
      <c r="AR161" s="23" t="s">
        <v>605</v>
      </c>
      <c r="AS161" s="25">
        <v>24892</v>
      </c>
      <c r="AT161" t="s">
        <v>26</v>
      </c>
      <c r="AU161" t="s">
        <v>22412</v>
      </c>
    </row>
    <row r="162" spans="1:47" ht="26.25" x14ac:dyDescent="0.4">
      <c r="A162" s="23" t="s">
        <v>606</v>
      </c>
      <c r="B162" t="s">
        <v>26</v>
      </c>
      <c r="C162" s="23" t="s">
        <v>607</v>
      </c>
      <c r="D162" s="23" t="s">
        <v>22413</v>
      </c>
      <c r="E162" s="23" t="s">
        <v>42</v>
      </c>
      <c r="F162" s="25" t="s">
        <v>608</v>
      </c>
      <c r="G162" s="25" t="s">
        <v>609</v>
      </c>
      <c r="H162" t="s">
        <v>26</v>
      </c>
      <c r="I162" s="24">
        <v>35431</v>
      </c>
      <c r="J162" s="24">
        <v>39083</v>
      </c>
      <c r="K162" t="s">
        <v>26</v>
      </c>
      <c r="L162" s="25" t="s">
        <v>68</v>
      </c>
      <c r="M162" s="24">
        <v>35431</v>
      </c>
      <c r="N162" s="24">
        <v>39083</v>
      </c>
      <c r="O162" t="s">
        <v>26</v>
      </c>
      <c r="P162" s="24">
        <v>35431</v>
      </c>
      <c r="Q162" s="24">
        <v>39083</v>
      </c>
      <c r="R162" t="s">
        <v>26</v>
      </c>
      <c r="S162" t="s">
        <v>26</v>
      </c>
      <c r="T162" t="s">
        <v>26</v>
      </c>
      <c r="U162" t="s">
        <v>26</v>
      </c>
      <c r="V162" t="s">
        <v>26</v>
      </c>
      <c r="W162" s="24">
        <v>35431</v>
      </c>
      <c r="X162" s="24">
        <v>39083</v>
      </c>
      <c r="Y162" t="s">
        <v>26</v>
      </c>
      <c r="Z162" s="24">
        <v>35431</v>
      </c>
      <c r="AA162" s="24">
        <v>39083</v>
      </c>
      <c r="AB162" t="s">
        <v>26</v>
      </c>
      <c r="AC162" s="24">
        <v>36526</v>
      </c>
      <c r="AD162" s="24">
        <v>39083</v>
      </c>
      <c r="AE162" t="s">
        <v>26</v>
      </c>
      <c r="AF162" t="s">
        <v>26</v>
      </c>
      <c r="AG162" t="s">
        <v>26</v>
      </c>
      <c r="AH162" t="s">
        <v>26</v>
      </c>
      <c r="AI162" t="s">
        <v>26</v>
      </c>
      <c r="AJ162" t="s">
        <v>26</v>
      </c>
      <c r="AK162" t="s">
        <v>26</v>
      </c>
      <c r="AL162" t="s">
        <v>26</v>
      </c>
      <c r="AM162" t="s">
        <v>26</v>
      </c>
      <c r="AN162" t="s">
        <v>26</v>
      </c>
      <c r="AO162" s="25" t="s">
        <v>68</v>
      </c>
      <c r="AP162" s="23" t="s">
        <v>69</v>
      </c>
      <c r="AQ162" s="23" t="s">
        <v>30</v>
      </c>
      <c r="AR162" s="23" t="s">
        <v>257</v>
      </c>
      <c r="AS162" s="25">
        <v>33860</v>
      </c>
      <c r="AT162" t="s">
        <v>26</v>
      </c>
      <c r="AU162" t="s">
        <v>22414</v>
      </c>
    </row>
    <row r="163" spans="1:47" ht="26.25" x14ac:dyDescent="0.4">
      <c r="A163" s="23" t="s">
        <v>610</v>
      </c>
      <c r="B163" t="s">
        <v>26</v>
      </c>
      <c r="C163" s="23" t="s">
        <v>578</v>
      </c>
      <c r="D163" s="23" t="s">
        <v>22404</v>
      </c>
      <c r="E163" s="23" t="s">
        <v>42</v>
      </c>
      <c r="F163" s="25" t="s">
        <v>611</v>
      </c>
      <c r="G163" s="25" t="s">
        <v>612</v>
      </c>
      <c r="H163" t="s">
        <v>26</v>
      </c>
      <c r="I163" s="24">
        <v>34700</v>
      </c>
      <c r="J163" s="24">
        <v>38565</v>
      </c>
      <c r="K163" t="s">
        <v>26</v>
      </c>
      <c r="L163" s="25" t="s">
        <v>68</v>
      </c>
      <c r="M163" s="24">
        <v>34700</v>
      </c>
      <c r="N163" s="24">
        <v>38565</v>
      </c>
      <c r="O163" s="25" t="s">
        <v>22409</v>
      </c>
      <c r="P163" s="24">
        <v>34700</v>
      </c>
      <c r="Q163" s="24">
        <v>38565</v>
      </c>
      <c r="R163" t="s">
        <v>26</v>
      </c>
      <c r="S163" t="s">
        <v>26</v>
      </c>
      <c r="T163" t="s">
        <v>26</v>
      </c>
      <c r="U163" t="s">
        <v>26</v>
      </c>
      <c r="V163" t="s">
        <v>26</v>
      </c>
      <c r="W163" s="24">
        <v>32509</v>
      </c>
      <c r="X163" s="25" t="s">
        <v>77</v>
      </c>
      <c r="Y163" t="s">
        <v>26</v>
      </c>
      <c r="Z163" s="24">
        <v>32509</v>
      </c>
      <c r="AA163" s="25" t="s">
        <v>77</v>
      </c>
      <c r="AB163" t="s">
        <v>26</v>
      </c>
      <c r="AC163" s="24">
        <v>32509</v>
      </c>
      <c r="AD163" s="25" t="s">
        <v>77</v>
      </c>
      <c r="AE163" t="s">
        <v>26</v>
      </c>
      <c r="AF163" t="s">
        <v>26</v>
      </c>
      <c r="AG163" t="s">
        <v>26</v>
      </c>
      <c r="AH163" t="s">
        <v>26</v>
      </c>
      <c r="AI163" t="s">
        <v>26</v>
      </c>
      <c r="AJ163" t="s">
        <v>26</v>
      </c>
      <c r="AK163" t="s">
        <v>26</v>
      </c>
      <c r="AL163" t="s">
        <v>26</v>
      </c>
      <c r="AM163" t="s">
        <v>26</v>
      </c>
      <c r="AN163" t="s">
        <v>26</v>
      </c>
      <c r="AO163" s="25" t="s">
        <v>68</v>
      </c>
      <c r="AP163" s="23" t="s">
        <v>69</v>
      </c>
      <c r="AQ163" s="23" t="s">
        <v>30</v>
      </c>
      <c r="AR163" s="23" t="s">
        <v>184</v>
      </c>
      <c r="AS163" s="25">
        <v>48086</v>
      </c>
      <c r="AT163" t="s">
        <v>26</v>
      </c>
      <c r="AU163" t="s">
        <v>22415</v>
      </c>
    </row>
    <row r="164" spans="1:47" ht="26.25" x14ac:dyDescent="0.4">
      <c r="A164" s="23" t="s">
        <v>613</v>
      </c>
      <c r="B164" t="s">
        <v>26</v>
      </c>
      <c r="C164" s="23" t="s">
        <v>242</v>
      </c>
      <c r="D164" s="23" t="s">
        <v>22179</v>
      </c>
      <c r="E164" s="23" t="s">
        <v>42</v>
      </c>
      <c r="F164" s="25" t="s">
        <v>614</v>
      </c>
      <c r="G164" t="s">
        <v>26</v>
      </c>
      <c r="H164" t="s">
        <v>26</v>
      </c>
      <c r="I164" s="24">
        <v>37622</v>
      </c>
      <c r="J164" s="24">
        <v>37987</v>
      </c>
      <c r="K164" t="s">
        <v>26</v>
      </c>
      <c r="L164" s="25" t="s">
        <v>68</v>
      </c>
      <c r="M164" s="24">
        <v>37622</v>
      </c>
      <c r="N164" s="24">
        <v>37987</v>
      </c>
      <c r="O164" t="s">
        <v>26</v>
      </c>
      <c r="P164" s="24">
        <v>37622</v>
      </c>
      <c r="Q164" s="24">
        <v>37987</v>
      </c>
      <c r="R164" t="s">
        <v>26</v>
      </c>
      <c r="S164" t="s">
        <v>26</v>
      </c>
      <c r="T164" t="s">
        <v>26</v>
      </c>
      <c r="U164" t="s">
        <v>26</v>
      </c>
      <c r="V164" t="s">
        <v>26</v>
      </c>
      <c r="W164" s="24">
        <v>37622</v>
      </c>
      <c r="X164" s="24">
        <v>37987</v>
      </c>
      <c r="Y164" t="s">
        <v>26</v>
      </c>
      <c r="Z164" s="24">
        <v>37622</v>
      </c>
      <c r="AA164" s="24">
        <v>37987</v>
      </c>
      <c r="AB164" t="s">
        <v>26</v>
      </c>
      <c r="AC164" t="s">
        <v>26</v>
      </c>
      <c r="AD164" t="s">
        <v>26</v>
      </c>
      <c r="AE164" t="s">
        <v>26</v>
      </c>
      <c r="AF164" t="s">
        <v>26</v>
      </c>
      <c r="AG164" t="s">
        <v>26</v>
      </c>
      <c r="AH164" t="s">
        <v>26</v>
      </c>
      <c r="AI164" t="s">
        <v>26</v>
      </c>
      <c r="AJ164" t="s">
        <v>26</v>
      </c>
      <c r="AK164" t="s">
        <v>26</v>
      </c>
      <c r="AL164" t="s">
        <v>26</v>
      </c>
      <c r="AM164" t="s">
        <v>26</v>
      </c>
      <c r="AN164" t="s">
        <v>26</v>
      </c>
      <c r="AO164" s="25" t="s">
        <v>28</v>
      </c>
      <c r="AP164" s="23" t="s">
        <v>69</v>
      </c>
      <c r="AQ164" s="23" t="s">
        <v>30</v>
      </c>
      <c r="AR164" s="23" t="s">
        <v>46</v>
      </c>
      <c r="AS164" s="25">
        <v>46523</v>
      </c>
      <c r="AT164" t="s">
        <v>26</v>
      </c>
      <c r="AU164" t="s">
        <v>22416</v>
      </c>
    </row>
    <row r="165" spans="1:47" ht="13.15" x14ac:dyDescent="0.4">
      <c r="A165" s="23" t="s">
        <v>615</v>
      </c>
      <c r="B165" t="s">
        <v>26</v>
      </c>
      <c r="C165" t="s">
        <v>26</v>
      </c>
      <c r="D165" s="23" t="s">
        <v>22417</v>
      </c>
      <c r="E165" t="s">
        <v>26</v>
      </c>
      <c r="F165" t="s">
        <v>26</v>
      </c>
      <c r="G165" t="s">
        <v>26</v>
      </c>
      <c r="H165" t="s">
        <v>26</v>
      </c>
      <c r="I165" s="24">
        <v>28491</v>
      </c>
      <c r="J165" s="24">
        <v>28491</v>
      </c>
      <c r="K165" t="s">
        <v>26</v>
      </c>
      <c r="L165" s="25" t="s">
        <v>28</v>
      </c>
      <c r="M165" s="24">
        <v>28491</v>
      </c>
      <c r="N165" s="24">
        <v>28491</v>
      </c>
      <c r="O165" t="s">
        <v>26</v>
      </c>
      <c r="P165" t="s">
        <v>26</v>
      </c>
      <c r="Q165" t="s">
        <v>26</v>
      </c>
      <c r="R165" t="s">
        <v>26</v>
      </c>
      <c r="S165" t="s">
        <v>26</v>
      </c>
      <c r="T165" t="s">
        <v>26</v>
      </c>
      <c r="U165" t="s">
        <v>26</v>
      </c>
      <c r="V165" t="s">
        <v>26</v>
      </c>
      <c r="W165" s="24">
        <v>28491</v>
      </c>
      <c r="X165" s="24">
        <v>28491</v>
      </c>
      <c r="Y165" t="s">
        <v>26</v>
      </c>
      <c r="Z165" s="24">
        <v>28491</v>
      </c>
      <c r="AA165" s="24">
        <v>28491</v>
      </c>
      <c r="AB165" t="s">
        <v>26</v>
      </c>
      <c r="AC165" s="24">
        <v>28491</v>
      </c>
      <c r="AD165" s="24">
        <v>28491</v>
      </c>
      <c r="AE165" t="s">
        <v>26</v>
      </c>
      <c r="AF165" t="s">
        <v>26</v>
      </c>
      <c r="AG165" t="s">
        <v>26</v>
      </c>
      <c r="AH165" t="s">
        <v>26</v>
      </c>
      <c r="AI165" t="s">
        <v>26</v>
      </c>
      <c r="AJ165" t="s">
        <v>26</v>
      </c>
      <c r="AK165" t="s">
        <v>26</v>
      </c>
      <c r="AL165" t="s">
        <v>26</v>
      </c>
      <c r="AM165" t="s">
        <v>26</v>
      </c>
      <c r="AN165" t="s">
        <v>26</v>
      </c>
      <c r="AO165" s="25" t="s">
        <v>28</v>
      </c>
      <c r="AP165" s="23" t="s">
        <v>29</v>
      </c>
      <c r="AQ165" s="23" t="s">
        <v>30</v>
      </c>
      <c r="AR165" s="23" t="s">
        <v>46</v>
      </c>
      <c r="AS165" s="25">
        <v>6009036</v>
      </c>
      <c r="AT165" t="s">
        <v>26</v>
      </c>
      <c r="AU165" t="s">
        <v>22418</v>
      </c>
    </row>
    <row r="166" spans="1:47" ht="26.25" x14ac:dyDescent="0.4">
      <c r="A166" s="23" t="s">
        <v>616</v>
      </c>
      <c r="B166" t="s">
        <v>26</v>
      </c>
      <c r="C166" s="23" t="s">
        <v>617</v>
      </c>
      <c r="D166" s="23" t="s">
        <v>22419</v>
      </c>
      <c r="E166" s="23" t="s">
        <v>335</v>
      </c>
      <c r="F166" s="25" t="s">
        <v>618</v>
      </c>
      <c r="G166" s="25" t="s">
        <v>619</v>
      </c>
      <c r="H166" t="s">
        <v>26</v>
      </c>
      <c r="I166" s="24">
        <v>33970</v>
      </c>
      <c r="J166" s="24">
        <v>42552</v>
      </c>
      <c r="K166" t="s">
        <v>26</v>
      </c>
      <c r="L166" s="25" t="s">
        <v>68</v>
      </c>
      <c r="M166" s="24">
        <v>33970</v>
      </c>
      <c r="N166" s="24">
        <v>42552</v>
      </c>
      <c r="O166" t="s">
        <v>26</v>
      </c>
      <c r="P166" s="24">
        <v>38169</v>
      </c>
      <c r="Q166" s="24">
        <v>42552</v>
      </c>
      <c r="R166" t="s">
        <v>26</v>
      </c>
      <c r="S166" t="s">
        <v>26</v>
      </c>
      <c r="T166" t="s">
        <v>26</v>
      </c>
      <c r="U166" t="s">
        <v>26</v>
      </c>
      <c r="V166" t="s">
        <v>26</v>
      </c>
      <c r="W166" s="24">
        <v>30682</v>
      </c>
      <c r="X166" s="24">
        <v>43466</v>
      </c>
      <c r="Y166" t="s">
        <v>26</v>
      </c>
      <c r="Z166" s="24">
        <v>30682</v>
      </c>
      <c r="AA166" s="24">
        <v>43466</v>
      </c>
      <c r="AB166" t="s">
        <v>26</v>
      </c>
      <c r="AC166" s="24">
        <v>33970</v>
      </c>
      <c r="AD166" s="24">
        <v>43466</v>
      </c>
      <c r="AE166" t="s">
        <v>26</v>
      </c>
      <c r="AF166" t="s">
        <v>26</v>
      </c>
      <c r="AG166" t="s">
        <v>26</v>
      </c>
      <c r="AH166" t="s">
        <v>26</v>
      </c>
      <c r="AI166" t="s">
        <v>26</v>
      </c>
      <c r="AJ166" t="s">
        <v>26</v>
      </c>
      <c r="AK166" t="s">
        <v>26</v>
      </c>
      <c r="AL166" t="s">
        <v>26</v>
      </c>
      <c r="AM166" t="s">
        <v>26</v>
      </c>
      <c r="AN166" t="s">
        <v>26</v>
      </c>
      <c r="AO166" s="25" t="s">
        <v>68</v>
      </c>
      <c r="AP166" s="23" t="s">
        <v>69</v>
      </c>
      <c r="AQ166" s="23" t="s">
        <v>620</v>
      </c>
      <c r="AR166" s="23" t="s">
        <v>621</v>
      </c>
      <c r="AS166" s="25">
        <v>46875</v>
      </c>
      <c r="AT166" t="s">
        <v>26</v>
      </c>
      <c r="AU166" t="s">
        <v>22420</v>
      </c>
    </row>
    <row r="167" spans="1:47" ht="26.25" x14ac:dyDescent="0.4">
      <c r="A167" s="23" t="s">
        <v>622</v>
      </c>
      <c r="B167" t="s">
        <v>26</v>
      </c>
      <c r="C167" s="23" t="s">
        <v>623</v>
      </c>
      <c r="D167" s="23" t="s">
        <v>22254</v>
      </c>
      <c r="E167" s="23" t="s">
        <v>42</v>
      </c>
      <c r="F167" s="25" t="s">
        <v>624</v>
      </c>
      <c r="G167" s="25" t="s">
        <v>625</v>
      </c>
      <c r="H167" t="s">
        <v>26</v>
      </c>
      <c r="I167" s="24">
        <v>35612</v>
      </c>
      <c r="J167" s="24">
        <v>43009</v>
      </c>
      <c r="K167" t="s">
        <v>26</v>
      </c>
      <c r="L167" s="25" t="s">
        <v>68</v>
      </c>
      <c r="M167" s="24">
        <v>35612</v>
      </c>
      <c r="N167" s="24">
        <v>43009</v>
      </c>
      <c r="O167" t="s">
        <v>26</v>
      </c>
      <c r="P167" s="24">
        <v>35612</v>
      </c>
      <c r="Q167" s="24">
        <v>43009</v>
      </c>
      <c r="R167" t="s">
        <v>26</v>
      </c>
      <c r="S167" t="s">
        <v>26</v>
      </c>
      <c r="T167" t="s">
        <v>26</v>
      </c>
      <c r="U167" t="s">
        <v>26</v>
      </c>
      <c r="V167" t="s">
        <v>26</v>
      </c>
      <c r="W167" s="24">
        <v>32509</v>
      </c>
      <c r="X167" s="24">
        <v>43009</v>
      </c>
      <c r="Y167" t="s">
        <v>26</v>
      </c>
      <c r="Z167" s="24">
        <v>32509</v>
      </c>
      <c r="AA167" s="24">
        <v>43009</v>
      </c>
      <c r="AB167" t="s">
        <v>26</v>
      </c>
      <c r="AC167" s="24">
        <v>32509</v>
      </c>
      <c r="AD167" s="24">
        <v>43009</v>
      </c>
      <c r="AE167" t="s">
        <v>26</v>
      </c>
      <c r="AF167" t="s">
        <v>26</v>
      </c>
      <c r="AG167" t="s">
        <v>26</v>
      </c>
      <c r="AH167" t="s">
        <v>26</v>
      </c>
      <c r="AI167" t="s">
        <v>26</v>
      </c>
      <c r="AJ167" t="s">
        <v>26</v>
      </c>
      <c r="AK167" t="s">
        <v>26</v>
      </c>
      <c r="AL167" t="s">
        <v>26</v>
      </c>
      <c r="AM167" t="s">
        <v>26</v>
      </c>
      <c r="AN167" t="s">
        <v>26</v>
      </c>
      <c r="AO167" s="25" t="s">
        <v>68</v>
      </c>
      <c r="AP167" s="23" t="s">
        <v>69</v>
      </c>
      <c r="AQ167" s="23" t="s">
        <v>30</v>
      </c>
      <c r="AR167" s="23" t="s">
        <v>381</v>
      </c>
      <c r="AS167" s="25">
        <v>34818</v>
      </c>
      <c r="AT167" t="s">
        <v>26</v>
      </c>
      <c r="AU167" t="s">
        <v>22421</v>
      </c>
    </row>
    <row r="168" spans="1:47" ht="26.25" x14ac:dyDescent="0.4">
      <c r="A168" s="23" t="s">
        <v>626</v>
      </c>
      <c r="B168" t="s">
        <v>26</v>
      </c>
      <c r="C168" s="23" t="s">
        <v>22422</v>
      </c>
      <c r="D168" s="23" t="s">
        <v>22423</v>
      </c>
      <c r="E168" s="23" t="s">
        <v>187</v>
      </c>
      <c r="F168" s="25" t="s">
        <v>628</v>
      </c>
      <c r="G168" s="25" t="s">
        <v>629</v>
      </c>
      <c r="H168" t="s">
        <v>26</v>
      </c>
      <c r="I168" s="24">
        <v>39083</v>
      </c>
      <c r="J168" s="25" t="s">
        <v>77</v>
      </c>
      <c r="K168" t="s">
        <v>26</v>
      </c>
      <c r="L168" s="25" t="s">
        <v>68</v>
      </c>
      <c r="M168" t="s">
        <v>26</v>
      </c>
      <c r="N168" t="s">
        <v>26</v>
      </c>
      <c r="O168" t="s">
        <v>26</v>
      </c>
      <c r="P168" s="24">
        <v>39083</v>
      </c>
      <c r="Q168" s="25" t="s">
        <v>77</v>
      </c>
      <c r="R168" t="s">
        <v>26</v>
      </c>
      <c r="S168" t="s">
        <v>26</v>
      </c>
      <c r="T168" t="s">
        <v>26</v>
      </c>
      <c r="U168" t="s">
        <v>26</v>
      </c>
      <c r="V168" t="s">
        <v>26</v>
      </c>
      <c r="W168" s="24">
        <v>39083</v>
      </c>
      <c r="X168" s="25" t="s">
        <v>77</v>
      </c>
      <c r="Y168" t="s">
        <v>26</v>
      </c>
      <c r="Z168" s="24">
        <v>39083</v>
      </c>
      <c r="AA168" s="25" t="s">
        <v>77</v>
      </c>
      <c r="AB168" t="s">
        <v>26</v>
      </c>
      <c r="AC168" s="24">
        <v>39083</v>
      </c>
      <c r="AD168" s="25" t="s">
        <v>77</v>
      </c>
      <c r="AE168" t="s">
        <v>26</v>
      </c>
      <c r="AF168" t="s">
        <v>26</v>
      </c>
      <c r="AG168" t="s">
        <v>26</v>
      </c>
      <c r="AH168" t="s">
        <v>26</v>
      </c>
      <c r="AI168" t="s">
        <v>26</v>
      </c>
      <c r="AJ168" t="s">
        <v>26</v>
      </c>
      <c r="AK168" t="s">
        <v>26</v>
      </c>
      <c r="AL168" t="s">
        <v>26</v>
      </c>
      <c r="AM168" t="s">
        <v>26</v>
      </c>
      <c r="AN168" t="s">
        <v>26</v>
      </c>
      <c r="AO168" s="25" t="s">
        <v>68</v>
      </c>
      <c r="AP168" s="23" t="s">
        <v>69</v>
      </c>
      <c r="AQ168" s="23" t="s">
        <v>30</v>
      </c>
      <c r="AR168" s="23" t="s">
        <v>381</v>
      </c>
      <c r="AS168" s="25">
        <v>1976405</v>
      </c>
      <c r="AT168" t="s">
        <v>26</v>
      </c>
      <c r="AU168" t="s">
        <v>22424</v>
      </c>
    </row>
    <row r="169" spans="1:47" ht="26.25" x14ac:dyDescent="0.4">
      <c r="A169" s="23" t="s">
        <v>630</v>
      </c>
      <c r="B169" t="s">
        <v>26</v>
      </c>
      <c r="C169" s="23" t="s">
        <v>172</v>
      </c>
      <c r="D169" s="23" t="s">
        <v>22254</v>
      </c>
      <c r="E169" s="23" t="s">
        <v>60</v>
      </c>
      <c r="F169" s="25" t="s">
        <v>631</v>
      </c>
      <c r="G169" s="25" t="s">
        <v>632</v>
      </c>
      <c r="H169" t="s">
        <v>26</v>
      </c>
      <c r="I169" s="24">
        <v>36312</v>
      </c>
      <c r="J169" s="24">
        <v>40513</v>
      </c>
      <c r="K169" t="s">
        <v>26</v>
      </c>
      <c r="L169" s="25" t="s">
        <v>68</v>
      </c>
      <c r="M169" s="24">
        <v>36312</v>
      </c>
      <c r="N169" s="24">
        <v>40513</v>
      </c>
      <c r="O169" t="s">
        <v>26</v>
      </c>
      <c r="P169" s="24">
        <v>36312</v>
      </c>
      <c r="Q169" s="24">
        <v>39508</v>
      </c>
      <c r="R169" t="s">
        <v>26</v>
      </c>
      <c r="S169" t="s">
        <v>26</v>
      </c>
      <c r="T169" t="s">
        <v>26</v>
      </c>
      <c r="U169" t="s">
        <v>26</v>
      </c>
      <c r="V169" t="s">
        <v>26</v>
      </c>
      <c r="W169" s="24">
        <v>36312</v>
      </c>
      <c r="X169" s="25" t="s">
        <v>77</v>
      </c>
      <c r="Y169" t="s">
        <v>26</v>
      </c>
      <c r="Z169" s="24">
        <v>36312</v>
      </c>
      <c r="AA169" s="25" t="s">
        <v>77</v>
      </c>
      <c r="AB169" t="s">
        <v>26</v>
      </c>
      <c r="AC169" s="24">
        <v>36312</v>
      </c>
      <c r="AD169" s="25" t="s">
        <v>77</v>
      </c>
      <c r="AE169" t="s">
        <v>26</v>
      </c>
      <c r="AF169" t="s">
        <v>26</v>
      </c>
      <c r="AG169" t="s">
        <v>26</v>
      </c>
      <c r="AH169" t="s">
        <v>26</v>
      </c>
      <c r="AI169" t="s">
        <v>26</v>
      </c>
      <c r="AJ169" t="s">
        <v>26</v>
      </c>
      <c r="AK169" t="s">
        <v>26</v>
      </c>
      <c r="AL169" t="s">
        <v>26</v>
      </c>
      <c r="AM169" t="s">
        <v>26</v>
      </c>
      <c r="AN169" t="s">
        <v>26</v>
      </c>
      <c r="AO169" s="25" t="s">
        <v>68</v>
      </c>
      <c r="AP169" s="23" t="s">
        <v>69</v>
      </c>
      <c r="AQ169" s="23" t="s">
        <v>30</v>
      </c>
      <c r="AR169" s="23" t="s">
        <v>633</v>
      </c>
      <c r="AS169" s="25">
        <v>48441</v>
      </c>
      <c r="AT169" t="s">
        <v>26</v>
      </c>
      <c r="AU169" t="s">
        <v>22425</v>
      </c>
    </row>
    <row r="170" spans="1:47" ht="26.25" x14ac:dyDescent="0.4">
      <c r="A170" s="23" t="s">
        <v>634</v>
      </c>
      <c r="B170" t="s">
        <v>26</v>
      </c>
      <c r="C170" s="23" t="s">
        <v>635</v>
      </c>
      <c r="D170" s="23" t="s">
        <v>22242</v>
      </c>
      <c r="E170" s="23" t="s">
        <v>42</v>
      </c>
      <c r="F170" s="25" t="s">
        <v>636</v>
      </c>
      <c r="G170" s="25" t="s">
        <v>637</v>
      </c>
      <c r="H170" t="s">
        <v>26</v>
      </c>
      <c r="I170" s="24">
        <v>40634</v>
      </c>
      <c r="J170" s="25" t="s">
        <v>77</v>
      </c>
      <c r="K170" t="s">
        <v>26</v>
      </c>
      <c r="L170" s="25" t="s">
        <v>68</v>
      </c>
      <c r="M170" t="s">
        <v>26</v>
      </c>
      <c r="N170" t="s">
        <v>26</v>
      </c>
      <c r="O170" t="s">
        <v>26</v>
      </c>
      <c r="P170" s="24">
        <v>40634</v>
      </c>
      <c r="Q170" s="25" t="s">
        <v>77</v>
      </c>
      <c r="R170" t="s">
        <v>26</v>
      </c>
      <c r="S170" t="s">
        <v>26</v>
      </c>
      <c r="T170" t="s">
        <v>26</v>
      </c>
      <c r="U170" t="s">
        <v>26</v>
      </c>
      <c r="V170" s="25">
        <v>365</v>
      </c>
      <c r="W170" s="24">
        <v>40634</v>
      </c>
      <c r="X170" s="25" t="s">
        <v>77</v>
      </c>
      <c r="Y170" t="s">
        <v>26</v>
      </c>
      <c r="Z170" s="24">
        <v>40634</v>
      </c>
      <c r="AA170" s="25" t="s">
        <v>77</v>
      </c>
      <c r="AB170" t="s">
        <v>26</v>
      </c>
      <c r="AC170" s="24">
        <v>40634</v>
      </c>
      <c r="AD170" s="25" t="s">
        <v>77</v>
      </c>
      <c r="AE170" t="s">
        <v>26</v>
      </c>
      <c r="AF170" t="s">
        <v>26</v>
      </c>
      <c r="AG170" t="s">
        <v>26</v>
      </c>
      <c r="AH170" t="s">
        <v>26</v>
      </c>
      <c r="AI170" t="s">
        <v>26</v>
      </c>
      <c r="AJ170" t="s">
        <v>26</v>
      </c>
      <c r="AK170" t="s">
        <v>26</v>
      </c>
      <c r="AL170" t="s">
        <v>26</v>
      </c>
      <c r="AM170" t="s">
        <v>26</v>
      </c>
      <c r="AN170" t="s">
        <v>26</v>
      </c>
      <c r="AO170" s="25" t="s">
        <v>68</v>
      </c>
      <c r="AP170" s="23" t="s">
        <v>69</v>
      </c>
      <c r="AQ170" s="23" t="s">
        <v>30</v>
      </c>
      <c r="AR170" s="23" t="s">
        <v>381</v>
      </c>
      <c r="AS170" s="25">
        <v>2037568</v>
      </c>
      <c r="AT170" t="s">
        <v>26</v>
      </c>
      <c r="AU170" t="s">
        <v>22426</v>
      </c>
    </row>
    <row r="171" spans="1:47" ht="26.25" x14ac:dyDescent="0.4">
      <c r="A171" s="23" t="s">
        <v>638</v>
      </c>
      <c r="B171" t="s">
        <v>26</v>
      </c>
      <c r="C171" s="23" t="s">
        <v>320</v>
      </c>
      <c r="D171" s="23" t="s">
        <v>22334</v>
      </c>
      <c r="E171" s="23" t="s">
        <v>42</v>
      </c>
      <c r="F171" s="25" t="s">
        <v>639</v>
      </c>
      <c r="G171" s="25" t="s">
        <v>640</v>
      </c>
      <c r="H171" t="s">
        <v>26</v>
      </c>
      <c r="I171" t="s">
        <v>26</v>
      </c>
      <c r="J171" t="s">
        <v>26</v>
      </c>
      <c r="K171" t="s">
        <v>26</v>
      </c>
      <c r="L171" s="25" t="s">
        <v>68</v>
      </c>
      <c r="M171" t="s">
        <v>26</v>
      </c>
      <c r="N171" t="s">
        <v>26</v>
      </c>
      <c r="O171" t="s">
        <v>26</v>
      </c>
      <c r="P171" t="s">
        <v>26</v>
      </c>
      <c r="Q171" t="s">
        <v>26</v>
      </c>
      <c r="R171" t="s">
        <v>26</v>
      </c>
      <c r="S171" t="s">
        <v>26</v>
      </c>
      <c r="T171" t="s">
        <v>26</v>
      </c>
      <c r="U171" t="s">
        <v>26</v>
      </c>
      <c r="V171" t="s">
        <v>26</v>
      </c>
      <c r="W171" s="24">
        <v>40269</v>
      </c>
      <c r="X171" s="25" t="s">
        <v>77</v>
      </c>
      <c r="Y171" t="s">
        <v>26</v>
      </c>
      <c r="Z171" s="24">
        <v>40269</v>
      </c>
      <c r="AA171" s="25" t="s">
        <v>77</v>
      </c>
      <c r="AB171" t="s">
        <v>26</v>
      </c>
      <c r="AC171" s="24">
        <v>40269</v>
      </c>
      <c r="AD171" s="25" t="s">
        <v>77</v>
      </c>
      <c r="AE171" t="s">
        <v>26</v>
      </c>
      <c r="AF171" t="s">
        <v>26</v>
      </c>
      <c r="AG171" t="s">
        <v>26</v>
      </c>
      <c r="AH171" t="s">
        <v>26</v>
      </c>
      <c r="AI171" t="s">
        <v>26</v>
      </c>
      <c r="AJ171" t="s">
        <v>26</v>
      </c>
      <c r="AK171" t="s">
        <v>26</v>
      </c>
      <c r="AL171" t="s">
        <v>26</v>
      </c>
      <c r="AM171" t="s">
        <v>26</v>
      </c>
      <c r="AN171" t="s">
        <v>26</v>
      </c>
      <c r="AO171" s="25" t="s">
        <v>68</v>
      </c>
      <c r="AP171" s="23" t="s">
        <v>69</v>
      </c>
      <c r="AQ171" s="23" t="s">
        <v>30</v>
      </c>
      <c r="AR171" s="23" t="s">
        <v>641</v>
      </c>
      <c r="AS171" s="25">
        <v>886385</v>
      </c>
      <c r="AT171" t="s">
        <v>26</v>
      </c>
      <c r="AU171" t="s">
        <v>22427</v>
      </c>
    </row>
    <row r="172" spans="1:47" ht="39.4" x14ac:dyDescent="0.4">
      <c r="A172" s="23" t="s">
        <v>642</v>
      </c>
      <c r="B172" t="s">
        <v>26</v>
      </c>
      <c r="C172" s="23" t="s">
        <v>643</v>
      </c>
      <c r="D172" s="23" t="s">
        <v>22428</v>
      </c>
      <c r="E172" s="23" t="s">
        <v>139</v>
      </c>
      <c r="F172" s="25" t="s">
        <v>644</v>
      </c>
      <c r="G172" s="25" t="s">
        <v>645</v>
      </c>
      <c r="H172" t="s">
        <v>26</v>
      </c>
      <c r="I172" s="24">
        <v>37257</v>
      </c>
      <c r="J172" s="25" t="s">
        <v>77</v>
      </c>
      <c r="K172" s="25" t="s">
        <v>431</v>
      </c>
      <c r="L172" s="25" t="s">
        <v>68</v>
      </c>
      <c r="M172" t="s">
        <v>26</v>
      </c>
      <c r="N172" t="s">
        <v>26</v>
      </c>
      <c r="O172" t="s">
        <v>26</v>
      </c>
      <c r="P172" s="24">
        <v>37257</v>
      </c>
      <c r="Q172" s="25" t="s">
        <v>77</v>
      </c>
      <c r="R172" s="25" t="s">
        <v>431</v>
      </c>
      <c r="S172" t="s">
        <v>26</v>
      </c>
      <c r="T172" t="s">
        <v>26</v>
      </c>
      <c r="U172" t="s">
        <v>26</v>
      </c>
      <c r="V172" t="s">
        <v>26</v>
      </c>
      <c r="W172" s="24">
        <v>37257</v>
      </c>
      <c r="X172" s="25" t="s">
        <v>77</v>
      </c>
      <c r="Y172" s="25" t="s">
        <v>431</v>
      </c>
      <c r="Z172" s="24">
        <v>37257</v>
      </c>
      <c r="AA172" s="25" t="s">
        <v>77</v>
      </c>
      <c r="AB172" s="25" t="s">
        <v>431</v>
      </c>
      <c r="AC172" s="24">
        <v>37257</v>
      </c>
      <c r="AD172" s="25" t="s">
        <v>77</v>
      </c>
      <c r="AE172" s="25" t="s">
        <v>431</v>
      </c>
      <c r="AF172" t="s">
        <v>26</v>
      </c>
      <c r="AG172" t="s">
        <v>26</v>
      </c>
      <c r="AH172" t="s">
        <v>26</v>
      </c>
      <c r="AI172" t="s">
        <v>26</v>
      </c>
      <c r="AJ172" t="s">
        <v>26</v>
      </c>
      <c r="AK172" t="s">
        <v>26</v>
      </c>
      <c r="AL172" t="s">
        <v>26</v>
      </c>
      <c r="AM172" t="s">
        <v>26</v>
      </c>
      <c r="AN172" t="s">
        <v>26</v>
      </c>
      <c r="AO172" s="25" t="s">
        <v>68</v>
      </c>
      <c r="AP172" s="23" t="s">
        <v>69</v>
      </c>
      <c r="AQ172" s="23" t="s">
        <v>226</v>
      </c>
      <c r="AR172" s="23" t="s">
        <v>46</v>
      </c>
      <c r="AS172" s="25">
        <v>5500197</v>
      </c>
      <c r="AT172" t="s">
        <v>26</v>
      </c>
      <c r="AU172" t="s">
        <v>22429</v>
      </c>
    </row>
    <row r="173" spans="1:47" ht="39.4" x14ac:dyDescent="0.4">
      <c r="A173" s="23" t="s">
        <v>646</v>
      </c>
      <c r="B173" t="s">
        <v>26</v>
      </c>
      <c r="C173" t="s">
        <v>26</v>
      </c>
      <c r="D173" s="23" t="s">
        <v>22207</v>
      </c>
      <c r="E173" t="s">
        <v>26</v>
      </c>
      <c r="F173" s="25" t="s">
        <v>647</v>
      </c>
      <c r="G173" s="25" t="s">
        <v>648</v>
      </c>
      <c r="H173" t="s">
        <v>26</v>
      </c>
      <c r="I173" s="24">
        <v>33239</v>
      </c>
      <c r="J173" s="25" t="s">
        <v>77</v>
      </c>
      <c r="K173" s="25" t="s">
        <v>649</v>
      </c>
      <c r="L173" s="25" t="s">
        <v>68</v>
      </c>
      <c r="M173" s="24">
        <v>33239</v>
      </c>
      <c r="N173" s="25" t="s">
        <v>77</v>
      </c>
      <c r="O173" s="25" t="s">
        <v>22430</v>
      </c>
      <c r="P173" s="24">
        <v>35796</v>
      </c>
      <c r="Q173" s="25" t="s">
        <v>77</v>
      </c>
      <c r="R173" t="s">
        <v>26</v>
      </c>
      <c r="S173" t="s">
        <v>26</v>
      </c>
      <c r="T173" t="s">
        <v>26</v>
      </c>
      <c r="U173" t="s">
        <v>26</v>
      </c>
      <c r="V173" t="s">
        <v>26</v>
      </c>
      <c r="W173" s="24">
        <v>33239</v>
      </c>
      <c r="X173" s="25" t="s">
        <v>77</v>
      </c>
      <c r="Y173" t="s">
        <v>26</v>
      </c>
      <c r="Z173" s="24">
        <v>33239</v>
      </c>
      <c r="AA173" s="25" t="s">
        <v>77</v>
      </c>
      <c r="AB173" t="s">
        <v>26</v>
      </c>
      <c r="AC173" s="24">
        <v>33239</v>
      </c>
      <c r="AD173" s="25" t="s">
        <v>77</v>
      </c>
      <c r="AE173" t="s">
        <v>26</v>
      </c>
      <c r="AF173" t="s">
        <v>26</v>
      </c>
      <c r="AG173" t="s">
        <v>26</v>
      </c>
      <c r="AH173" t="s">
        <v>26</v>
      </c>
      <c r="AI173" t="s">
        <v>26</v>
      </c>
      <c r="AJ173" t="s">
        <v>26</v>
      </c>
      <c r="AK173" t="s">
        <v>26</v>
      </c>
      <c r="AL173" t="s">
        <v>26</v>
      </c>
      <c r="AM173" t="s">
        <v>26</v>
      </c>
      <c r="AN173" t="s">
        <v>26</v>
      </c>
      <c r="AO173" s="25" t="s">
        <v>68</v>
      </c>
      <c r="AP173" s="23" t="s">
        <v>69</v>
      </c>
      <c r="AQ173" s="23" t="s">
        <v>226</v>
      </c>
      <c r="AR173" s="23" t="s">
        <v>650</v>
      </c>
      <c r="AS173" s="25">
        <v>4852146</v>
      </c>
      <c r="AT173" t="s">
        <v>26</v>
      </c>
      <c r="AU173" t="s">
        <v>22431</v>
      </c>
    </row>
    <row r="174" spans="1:47" ht="26.25" x14ac:dyDescent="0.4">
      <c r="A174" s="23" t="s">
        <v>651</v>
      </c>
      <c r="B174" t="s">
        <v>26</v>
      </c>
      <c r="C174" s="23" t="s">
        <v>22238</v>
      </c>
      <c r="D174" t="s">
        <v>26</v>
      </c>
      <c r="E174" s="23" t="s">
        <v>42</v>
      </c>
      <c r="F174" t="s">
        <v>26</v>
      </c>
      <c r="G174" t="s">
        <v>26</v>
      </c>
      <c r="H174" t="s">
        <v>26</v>
      </c>
      <c r="I174" s="24">
        <v>43101</v>
      </c>
      <c r="J174" s="24">
        <v>43101</v>
      </c>
      <c r="K174" t="s">
        <v>26</v>
      </c>
      <c r="L174" s="25" t="s">
        <v>28</v>
      </c>
      <c r="M174" s="24">
        <v>43101</v>
      </c>
      <c r="N174" s="24">
        <v>43101</v>
      </c>
      <c r="O174" t="s">
        <v>26</v>
      </c>
      <c r="P174" t="s">
        <v>26</v>
      </c>
      <c r="Q174" t="s">
        <v>26</v>
      </c>
      <c r="R174" t="s">
        <v>26</v>
      </c>
      <c r="S174" s="24">
        <v>43101</v>
      </c>
      <c r="T174" s="24">
        <v>43101</v>
      </c>
      <c r="U174" t="s">
        <v>26</v>
      </c>
      <c r="V174" t="s">
        <v>26</v>
      </c>
      <c r="W174" s="24">
        <v>43101</v>
      </c>
      <c r="X174" s="24">
        <v>43101</v>
      </c>
      <c r="Y174" t="s">
        <v>26</v>
      </c>
      <c r="Z174" s="24">
        <v>43101</v>
      </c>
      <c r="AA174" s="24">
        <v>43101</v>
      </c>
      <c r="AB174" t="s">
        <v>26</v>
      </c>
      <c r="AC174" s="24">
        <v>43101</v>
      </c>
      <c r="AD174" s="24">
        <v>43101</v>
      </c>
      <c r="AE174" t="s">
        <v>26</v>
      </c>
      <c r="AF174" s="24">
        <v>43101</v>
      </c>
      <c r="AG174" s="24">
        <v>43101</v>
      </c>
      <c r="AH174" t="s">
        <v>26</v>
      </c>
      <c r="AI174" s="24">
        <v>43101</v>
      </c>
      <c r="AJ174" s="24">
        <v>43101</v>
      </c>
      <c r="AK174" t="s">
        <v>26</v>
      </c>
      <c r="AL174" t="s">
        <v>26</v>
      </c>
      <c r="AM174" t="s">
        <v>26</v>
      </c>
      <c r="AN174" t="s">
        <v>26</v>
      </c>
      <c r="AO174" s="25" t="s">
        <v>28</v>
      </c>
      <c r="AP174" s="23" t="s">
        <v>43</v>
      </c>
      <c r="AQ174" s="23" t="s">
        <v>30</v>
      </c>
      <c r="AR174" s="23" t="s">
        <v>44</v>
      </c>
      <c r="AS174" s="25">
        <v>5262097</v>
      </c>
      <c r="AT174" t="s">
        <v>26</v>
      </c>
      <c r="AU174" t="s">
        <v>22432</v>
      </c>
    </row>
    <row r="175" spans="1:47" ht="26.25" x14ac:dyDescent="0.4">
      <c r="A175" s="23" t="s">
        <v>652</v>
      </c>
      <c r="B175" t="s">
        <v>26</v>
      </c>
      <c r="C175" s="23" t="s">
        <v>22238</v>
      </c>
      <c r="D175" t="s">
        <v>26</v>
      </c>
      <c r="E175" s="23" t="s">
        <v>42</v>
      </c>
      <c r="F175" t="s">
        <v>26</v>
      </c>
      <c r="G175" t="s">
        <v>26</v>
      </c>
      <c r="H175" t="s">
        <v>26</v>
      </c>
      <c r="I175" s="24">
        <v>43101</v>
      </c>
      <c r="J175" s="24">
        <v>43101</v>
      </c>
      <c r="K175" t="s">
        <v>26</v>
      </c>
      <c r="L175" s="25" t="s">
        <v>28</v>
      </c>
      <c r="M175" s="24">
        <v>43101</v>
      </c>
      <c r="N175" s="24">
        <v>43101</v>
      </c>
      <c r="O175" t="s">
        <v>26</v>
      </c>
      <c r="P175" t="s">
        <v>26</v>
      </c>
      <c r="Q175" t="s">
        <v>26</v>
      </c>
      <c r="R175" t="s">
        <v>26</v>
      </c>
      <c r="S175" s="24">
        <v>43101</v>
      </c>
      <c r="T175" s="24">
        <v>43101</v>
      </c>
      <c r="U175" t="s">
        <v>26</v>
      </c>
      <c r="V175" t="s">
        <v>26</v>
      </c>
      <c r="W175" s="24">
        <v>43101</v>
      </c>
      <c r="X175" s="24">
        <v>43101</v>
      </c>
      <c r="Y175" t="s">
        <v>26</v>
      </c>
      <c r="Z175" s="24">
        <v>43101</v>
      </c>
      <c r="AA175" s="24">
        <v>43101</v>
      </c>
      <c r="AB175" t="s">
        <v>26</v>
      </c>
      <c r="AC175" s="24">
        <v>43101</v>
      </c>
      <c r="AD175" s="24">
        <v>43101</v>
      </c>
      <c r="AE175" t="s">
        <v>26</v>
      </c>
      <c r="AF175" s="24">
        <v>43101</v>
      </c>
      <c r="AG175" s="24">
        <v>43101</v>
      </c>
      <c r="AH175" t="s">
        <v>26</v>
      </c>
      <c r="AI175" s="24">
        <v>43101</v>
      </c>
      <c r="AJ175" s="24">
        <v>43101</v>
      </c>
      <c r="AK175" t="s">
        <v>26</v>
      </c>
      <c r="AL175" t="s">
        <v>26</v>
      </c>
      <c r="AM175" t="s">
        <v>26</v>
      </c>
      <c r="AN175" t="s">
        <v>26</v>
      </c>
      <c r="AO175" s="25" t="s">
        <v>28</v>
      </c>
      <c r="AP175" s="23" t="s">
        <v>43</v>
      </c>
      <c r="AQ175" s="23" t="s">
        <v>30</v>
      </c>
      <c r="AR175" s="23" t="s">
        <v>44</v>
      </c>
      <c r="AS175" s="25">
        <v>5262533</v>
      </c>
      <c r="AT175" t="s">
        <v>26</v>
      </c>
      <c r="AU175" t="s">
        <v>22433</v>
      </c>
    </row>
    <row r="176" spans="1:47" ht="26.25" x14ac:dyDescent="0.4">
      <c r="A176" s="23" t="s">
        <v>653</v>
      </c>
      <c r="B176" t="s">
        <v>26</v>
      </c>
      <c r="C176" s="23" t="s">
        <v>80</v>
      </c>
      <c r="D176" s="23" t="s">
        <v>22184</v>
      </c>
      <c r="E176" s="23" t="s">
        <v>60</v>
      </c>
      <c r="F176" s="25" t="s">
        <v>654</v>
      </c>
      <c r="G176" s="25" t="s">
        <v>655</v>
      </c>
      <c r="H176" t="s">
        <v>26</v>
      </c>
      <c r="I176" t="s">
        <v>26</v>
      </c>
      <c r="J176" t="s">
        <v>26</v>
      </c>
      <c r="K176" t="s">
        <v>26</v>
      </c>
      <c r="L176" s="25" t="s">
        <v>68</v>
      </c>
      <c r="M176" t="s">
        <v>26</v>
      </c>
      <c r="N176" t="s">
        <v>26</v>
      </c>
      <c r="O176" t="s">
        <v>26</v>
      </c>
      <c r="P176" t="s">
        <v>26</v>
      </c>
      <c r="Q176" t="s">
        <v>26</v>
      </c>
      <c r="R176" t="s">
        <v>26</v>
      </c>
      <c r="S176" t="s">
        <v>26</v>
      </c>
      <c r="T176" t="s">
        <v>26</v>
      </c>
      <c r="U176" t="s">
        <v>26</v>
      </c>
      <c r="V176" t="s">
        <v>26</v>
      </c>
      <c r="W176" s="24">
        <v>40909</v>
      </c>
      <c r="X176" s="25" t="s">
        <v>77</v>
      </c>
      <c r="Y176" t="s">
        <v>26</v>
      </c>
      <c r="Z176" s="24">
        <v>40909</v>
      </c>
      <c r="AA176" s="25" t="s">
        <v>77</v>
      </c>
      <c r="AB176" t="s">
        <v>26</v>
      </c>
      <c r="AC176" s="24">
        <v>40909</v>
      </c>
      <c r="AD176" s="25" t="s">
        <v>77</v>
      </c>
      <c r="AE176" t="s">
        <v>26</v>
      </c>
      <c r="AF176" t="s">
        <v>26</v>
      </c>
      <c r="AG176" t="s">
        <v>26</v>
      </c>
      <c r="AH176" t="s">
        <v>26</v>
      </c>
      <c r="AI176" t="s">
        <v>26</v>
      </c>
      <c r="AJ176" t="s">
        <v>26</v>
      </c>
      <c r="AK176" t="s">
        <v>26</v>
      </c>
      <c r="AL176" t="s">
        <v>26</v>
      </c>
      <c r="AM176" t="s">
        <v>26</v>
      </c>
      <c r="AN176" t="s">
        <v>26</v>
      </c>
      <c r="AO176" s="25" t="s">
        <v>68</v>
      </c>
      <c r="AP176" s="23" t="s">
        <v>69</v>
      </c>
      <c r="AQ176" s="23" t="s">
        <v>30</v>
      </c>
      <c r="AR176" s="23" t="s">
        <v>46</v>
      </c>
      <c r="AS176" s="25">
        <v>186254</v>
      </c>
      <c r="AT176" t="s">
        <v>26</v>
      </c>
      <c r="AU176" t="s">
        <v>22434</v>
      </c>
    </row>
    <row r="177" spans="1:47" ht="26.25" x14ac:dyDescent="0.4">
      <c r="A177" s="23" t="s">
        <v>656</v>
      </c>
      <c r="B177" t="s">
        <v>26</v>
      </c>
      <c r="C177" s="23" t="s">
        <v>320</v>
      </c>
      <c r="D177" s="23" t="s">
        <v>22397</v>
      </c>
      <c r="E177" s="23" t="s">
        <v>42</v>
      </c>
      <c r="F177" s="25" t="s">
        <v>657</v>
      </c>
      <c r="G177" s="25" t="s">
        <v>658</v>
      </c>
      <c r="H177" t="s">
        <v>26</v>
      </c>
      <c r="I177" t="s">
        <v>26</v>
      </c>
      <c r="J177" t="s">
        <v>26</v>
      </c>
      <c r="K177" t="s">
        <v>26</v>
      </c>
      <c r="L177" s="25" t="s">
        <v>68</v>
      </c>
      <c r="M177" t="s">
        <v>26</v>
      </c>
      <c r="N177" t="s">
        <v>26</v>
      </c>
      <c r="O177" t="s">
        <v>26</v>
      </c>
      <c r="P177" t="s">
        <v>26</v>
      </c>
      <c r="Q177" t="s">
        <v>26</v>
      </c>
      <c r="R177" t="s">
        <v>26</v>
      </c>
      <c r="S177" t="s">
        <v>26</v>
      </c>
      <c r="T177" t="s">
        <v>26</v>
      </c>
      <c r="U177" t="s">
        <v>26</v>
      </c>
      <c r="V177" t="s">
        <v>26</v>
      </c>
      <c r="W177" s="24">
        <v>38047</v>
      </c>
      <c r="X177" s="25" t="s">
        <v>77</v>
      </c>
      <c r="Y177" t="s">
        <v>26</v>
      </c>
      <c r="Z177" s="24">
        <v>38047</v>
      </c>
      <c r="AA177" s="25" t="s">
        <v>77</v>
      </c>
      <c r="AB177" t="s">
        <v>26</v>
      </c>
      <c r="AC177" s="24">
        <v>38047</v>
      </c>
      <c r="AD177" s="25" t="s">
        <v>77</v>
      </c>
      <c r="AE177" t="s">
        <v>26</v>
      </c>
      <c r="AF177" t="s">
        <v>26</v>
      </c>
      <c r="AG177" t="s">
        <v>26</v>
      </c>
      <c r="AH177" t="s">
        <v>26</v>
      </c>
      <c r="AI177" t="s">
        <v>26</v>
      </c>
      <c r="AJ177" t="s">
        <v>26</v>
      </c>
      <c r="AK177" t="s">
        <v>26</v>
      </c>
      <c r="AL177" t="s">
        <v>26</v>
      </c>
      <c r="AM177" t="s">
        <v>26</v>
      </c>
      <c r="AN177" t="s">
        <v>26</v>
      </c>
      <c r="AO177" s="25" t="s">
        <v>68</v>
      </c>
      <c r="AP177" s="23" t="s">
        <v>69</v>
      </c>
      <c r="AQ177" s="23" t="s">
        <v>30</v>
      </c>
      <c r="AR177" s="23" t="s">
        <v>46</v>
      </c>
      <c r="AS177" s="25">
        <v>37238</v>
      </c>
      <c r="AT177" t="s">
        <v>26</v>
      </c>
      <c r="AU177" t="s">
        <v>22435</v>
      </c>
    </row>
    <row r="178" spans="1:47" ht="26.25" x14ac:dyDescent="0.4">
      <c r="A178" s="23" t="s">
        <v>659</v>
      </c>
      <c r="B178" t="s">
        <v>26</v>
      </c>
      <c r="C178" s="23" t="s">
        <v>660</v>
      </c>
      <c r="D178" s="23" t="s">
        <v>22436</v>
      </c>
      <c r="E178" s="23" t="s">
        <v>60</v>
      </c>
      <c r="F178" s="25" t="s">
        <v>661</v>
      </c>
      <c r="G178" s="25" t="s">
        <v>662</v>
      </c>
      <c r="H178" t="s">
        <v>26</v>
      </c>
      <c r="I178" t="s">
        <v>26</v>
      </c>
      <c r="J178" t="s">
        <v>26</v>
      </c>
      <c r="K178" t="s">
        <v>26</v>
      </c>
      <c r="L178" s="25" t="s">
        <v>68</v>
      </c>
      <c r="M178" t="s">
        <v>26</v>
      </c>
      <c r="N178" t="s">
        <v>26</v>
      </c>
      <c r="O178" t="s">
        <v>26</v>
      </c>
      <c r="P178" t="s">
        <v>26</v>
      </c>
      <c r="Q178" t="s">
        <v>26</v>
      </c>
      <c r="R178" t="s">
        <v>26</v>
      </c>
      <c r="S178" t="s">
        <v>26</v>
      </c>
      <c r="T178" t="s">
        <v>26</v>
      </c>
      <c r="U178" t="s">
        <v>26</v>
      </c>
      <c r="V178" t="s">
        <v>26</v>
      </c>
      <c r="W178" s="24">
        <v>37987</v>
      </c>
      <c r="X178" s="25" t="s">
        <v>77</v>
      </c>
      <c r="Y178" t="s">
        <v>26</v>
      </c>
      <c r="Z178" s="24">
        <v>37987</v>
      </c>
      <c r="AA178" s="25" t="s">
        <v>77</v>
      </c>
      <c r="AB178" t="s">
        <v>26</v>
      </c>
      <c r="AC178" s="24">
        <v>37987</v>
      </c>
      <c r="AD178" s="25" t="s">
        <v>77</v>
      </c>
      <c r="AE178" t="s">
        <v>26</v>
      </c>
      <c r="AF178" t="s">
        <v>26</v>
      </c>
      <c r="AG178" t="s">
        <v>26</v>
      </c>
      <c r="AH178" t="s">
        <v>26</v>
      </c>
      <c r="AI178" t="s">
        <v>26</v>
      </c>
      <c r="AJ178" t="s">
        <v>26</v>
      </c>
      <c r="AK178" t="s">
        <v>26</v>
      </c>
      <c r="AL178" t="s">
        <v>26</v>
      </c>
      <c r="AM178" t="s">
        <v>26</v>
      </c>
      <c r="AN178" t="s">
        <v>26</v>
      </c>
      <c r="AO178" s="25" t="s">
        <v>68</v>
      </c>
      <c r="AP178" s="23" t="s">
        <v>69</v>
      </c>
      <c r="AQ178" s="23" t="s">
        <v>30</v>
      </c>
      <c r="AR178" s="23" t="s">
        <v>257</v>
      </c>
      <c r="AS178" s="25">
        <v>32555</v>
      </c>
      <c r="AT178" t="s">
        <v>26</v>
      </c>
      <c r="AU178" t="s">
        <v>22437</v>
      </c>
    </row>
    <row r="179" spans="1:47" ht="26.25" x14ac:dyDescent="0.4">
      <c r="A179" s="23" t="s">
        <v>663</v>
      </c>
      <c r="B179" t="s">
        <v>26</v>
      </c>
      <c r="C179" s="23" t="s">
        <v>664</v>
      </c>
      <c r="D179" s="23" t="s">
        <v>22438</v>
      </c>
      <c r="E179" s="23" t="s">
        <v>42</v>
      </c>
      <c r="F179" s="25" t="s">
        <v>665</v>
      </c>
      <c r="G179" t="s">
        <v>26</v>
      </c>
      <c r="H179" t="s">
        <v>26</v>
      </c>
      <c r="I179" s="24">
        <v>38899</v>
      </c>
      <c r="J179" s="24">
        <v>41275</v>
      </c>
      <c r="K179" t="s">
        <v>26</v>
      </c>
      <c r="L179" s="25" t="s">
        <v>68</v>
      </c>
      <c r="M179" s="24">
        <v>38899</v>
      </c>
      <c r="N179" s="24">
        <v>41275</v>
      </c>
      <c r="O179" t="s">
        <v>26</v>
      </c>
      <c r="P179" s="24">
        <v>38899</v>
      </c>
      <c r="Q179" s="24">
        <v>41275</v>
      </c>
      <c r="R179" t="s">
        <v>26</v>
      </c>
      <c r="S179" t="s">
        <v>26</v>
      </c>
      <c r="T179" t="s">
        <v>26</v>
      </c>
      <c r="U179" t="s">
        <v>26</v>
      </c>
      <c r="V179" t="s">
        <v>26</v>
      </c>
      <c r="W179" s="24">
        <v>38899</v>
      </c>
      <c r="X179" s="24">
        <v>41275</v>
      </c>
      <c r="Y179" t="s">
        <v>26</v>
      </c>
      <c r="Z179" s="24">
        <v>38899</v>
      </c>
      <c r="AA179" s="24">
        <v>41275</v>
      </c>
      <c r="AB179" t="s">
        <v>26</v>
      </c>
      <c r="AC179" t="s">
        <v>26</v>
      </c>
      <c r="AD179" t="s">
        <v>26</v>
      </c>
      <c r="AE179" t="s">
        <v>26</v>
      </c>
      <c r="AF179" t="s">
        <v>26</v>
      </c>
      <c r="AG179" t="s">
        <v>26</v>
      </c>
      <c r="AH179" t="s">
        <v>26</v>
      </c>
      <c r="AI179" t="s">
        <v>26</v>
      </c>
      <c r="AJ179" t="s">
        <v>26</v>
      </c>
      <c r="AK179" t="s">
        <v>26</v>
      </c>
      <c r="AL179" t="s">
        <v>26</v>
      </c>
      <c r="AM179" t="s">
        <v>26</v>
      </c>
      <c r="AN179" t="s">
        <v>26</v>
      </c>
      <c r="AO179" s="25" t="s">
        <v>68</v>
      </c>
      <c r="AP179" s="23" t="s">
        <v>69</v>
      </c>
      <c r="AQ179" s="23" t="s">
        <v>30</v>
      </c>
      <c r="AR179" s="23" t="s">
        <v>666</v>
      </c>
      <c r="AS179" s="25">
        <v>29081</v>
      </c>
      <c r="AT179" t="s">
        <v>26</v>
      </c>
      <c r="AU179" t="s">
        <v>22439</v>
      </c>
    </row>
    <row r="180" spans="1:47" ht="26.25" x14ac:dyDescent="0.4">
      <c r="A180" s="23" t="s">
        <v>667</v>
      </c>
      <c r="B180" t="s">
        <v>26</v>
      </c>
      <c r="C180" s="23" t="s">
        <v>73</v>
      </c>
      <c r="D180" s="23" t="s">
        <v>22231</v>
      </c>
      <c r="E180" s="23" t="s">
        <v>74</v>
      </c>
      <c r="F180" s="25" t="s">
        <v>668</v>
      </c>
      <c r="G180" s="25" t="s">
        <v>669</v>
      </c>
      <c r="H180" t="s">
        <v>26</v>
      </c>
      <c r="I180" s="24">
        <v>35431</v>
      </c>
      <c r="J180" s="25" t="s">
        <v>77</v>
      </c>
      <c r="K180" t="s">
        <v>26</v>
      </c>
      <c r="L180" s="25" t="s">
        <v>68</v>
      </c>
      <c r="M180" s="24">
        <v>37987</v>
      </c>
      <c r="N180" s="24">
        <v>42887</v>
      </c>
      <c r="O180" t="s">
        <v>26</v>
      </c>
      <c r="P180" s="24">
        <v>35431</v>
      </c>
      <c r="Q180" s="25" t="s">
        <v>77</v>
      </c>
      <c r="R180" t="s">
        <v>26</v>
      </c>
      <c r="S180" t="s">
        <v>26</v>
      </c>
      <c r="T180" t="s">
        <v>26</v>
      </c>
      <c r="U180" t="s">
        <v>26</v>
      </c>
      <c r="V180" s="25">
        <v>365</v>
      </c>
      <c r="W180" s="24">
        <v>35431</v>
      </c>
      <c r="X180" s="25" t="s">
        <v>77</v>
      </c>
      <c r="Y180" t="s">
        <v>26</v>
      </c>
      <c r="Z180" s="24">
        <v>35431</v>
      </c>
      <c r="AA180" s="25" t="s">
        <v>77</v>
      </c>
      <c r="AB180" t="s">
        <v>26</v>
      </c>
      <c r="AC180" s="24">
        <v>35431</v>
      </c>
      <c r="AD180" s="25" t="s">
        <v>77</v>
      </c>
      <c r="AE180" t="s">
        <v>26</v>
      </c>
      <c r="AF180" t="s">
        <v>26</v>
      </c>
      <c r="AG180" t="s">
        <v>26</v>
      </c>
      <c r="AH180" t="s">
        <v>26</v>
      </c>
      <c r="AI180" t="s">
        <v>26</v>
      </c>
      <c r="AJ180" t="s">
        <v>26</v>
      </c>
      <c r="AK180" t="s">
        <v>26</v>
      </c>
      <c r="AL180" t="s">
        <v>26</v>
      </c>
      <c r="AM180" t="s">
        <v>26</v>
      </c>
      <c r="AN180" t="s">
        <v>26</v>
      </c>
      <c r="AO180" s="25" t="s">
        <v>68</v>
      </c>
      <c r="AP180" s="23" t="s">
        <v>69</v>
      </c>
      <c r="AQ180" s="23" t="s">
        <v>30</v>
      </c>
      <c r="AR180" s="23" t="s">
        <v>670</v>
      </c>
      <c r="AS180" s="25">
        <v>326365</v>
      </c>
      <c r="AT180" t="s">
        <v>26</v>
      </c>
      <c r="AU180" t="s">
        <v>22440</v>
      </c>
    </row>
    <row r="181" spans="1:47" ht="26.25" x14ac:dyDescent="0.4">
      <c r="A181" s="23" t="s">
        <v>671</v>
      </c>
      <c r="B181" t="s">
        <v>26</v>
      </c>
      <c r="C181" s="23" t="s">
        <v>351</v>
      </c>
      <c r="D181" s="23" t="s">
        <v>22174</v>
      </c>
      <c r="E181" s="23" t="s">
        <v>60</v>
      </c>
      <c r="F181" s="25" t="s">
        <v>672</v>
      </c>
      <c r="G181" s="25" t="s">
        <v>673</v>
      </c>
      <c r="H181" t="s">
        <v>26</v>
      </c>
      <c r="I181" t="s">
        <v>26</v>
      </c>
      <c r="J181" t="s">
        <v>26</v>
      </c>
      <c r="K181" t="s">
        <v>26</v>
      </c>
      <c r="L181" s="25" t="s">
        <v>68</v>
      </c>
      <c r="M181" t="s">
        <v>26</v>
      </c>
      <c r="N181" t="s">
        <v>26</v>
      </c>
      <c r="O181" t="s">
        <v>26</v>
      </c>
      <c r="P181" t="s">
        <v>26</v>
      </c>
      <c r="Q181" t="s">
        <v>26</v>
      </c>
      <c r="R181" t="s">
        <v>26</v>
      </c>
      <c r="S181" t="s">
        <v>26</v>
      </c>
      <c r="T181" t="s">
        <v>26</v>
      </c>
      <c r="U181" t="s">
        <v>26</v>
      </c>
      <c r="V181" t="s">
        <v>26</v>
      </c>
      <c r="W181" s="24">
        <v>36220</v>
      </c>
      <c r="X181" s="24">
        <v>40057</v>
      </c>
      <c r="Y181" t="s">
        <v>26</v>
      </c>
      <c r="Z181" s="24">
        <v>36220</v>
      </c>
      <c r="AA181" s="24">
        <v>40057</v>
      </c>
      <c r="AB181" t="s">
        <v>26</v>
      </c>
      <c r="AC181" s="24">
        <v>36220</v>
      </c>
      <c r="AD181" s="24">
        <v>40057</v>
      </c>
      <c r="AE181" t="s">
        <v>26</v>
      </c>
      <c r="AF181" t="s">
        <v>26</v>
      </c>
      <c r="AG181" t="s">
        <v>26</v>
      </c>
      <c r="AH181" t="s">
        <v>26</v>
      </c>
      <c r="AI181" t="s">
        <v>26</v>
      </c>
      <c r="AJ181" t="s">
        <v>26</v>
      </c>
      <c r="AK181" t="s">
        <v>26</v>
      </c>
      <c r="AL181" t="s">
        <v>26</v>
      </c>
      <c r="AM181" t="s">
        <v>26</v>
      </c>
      <c r="AN181" t="s">
        <v>26</v>
      </c>
      <c r="AO181" s="25" t="s">
        <v>68</v>
      </c>
      <c r="AP181" s="23" t="s">
        <v>69</v>
      </c>
      <c r="AQ181" s="23" t="s">
        <v>30</v>
      </c>
      <c r="AR181" s="23" t="s">
        <v>674</v>
      </c>
      <c r="AS181" s="25">
        <v>36686</v>
      </c>
      <c r="AT181" t="s">
        <v>26</v>
      </c>
      <c r="AU181" t="s">
        <v>22441</v>
      </c>
    </row>
    <row r="182" spans="1:47" ht="26.25" x14ac:dyDescent="0.4">
      <c r="A182" s="23" t="s">
        <v>675</v>
      </c>
      <c r="B182" t="s">
        <v>26</v>
      </c>
      <c r="C182" s="23" t="s">
        <v>676</v>
      </c>
      <c r="D182" s="23" t="s">
        <v>22179</v>
      </c>
      <c r="E182" s="23" t="s">
        <v>74</v>
      </c>
      <c r="F182" s="25" t="s">
        <v>661</v>
      </c>
      <c r="G182" s="25" t="s">
        <v>677</v>
      </c>
      <c r="H182" t="s">
        <v>26</v>
      </c>
      <c r="I182" t="s">
        <v>26</v>
      </c>
      <c r="J182" t="s">
        <v>26</v>
      </c>
      <c r="K182" t="s">
        <v>26</v>
      </c>
      <c r="L182" s="25" t="s">
        <v>68</v>
      </c>
      <c r="M182" t="s">
        <v>26</v>
      </c>
      <c r="N182" t="s">
        <v>26</v>
      </c>
      <c r="O182" t="s">
        <v>26</v>
      </c>
      <c r="P182" t="s">
        <v>26</v>
      </c>
      <c r="Q182" t="s">
        <v>26</v>
      </c>
      <c r="R182" t="s">
        <v>26</v>
      </c>
      <c r="S182" t="s">
        <v>26</v>
      </c>
      <c r="T182" t="s">
        <v>26</v>
      </c>
      <c r="U182" t="s">
        <v>26</v>
      </c>
      <c r="V182" t="s">
        <v>26</v>
      </c>
      <c r="W182" s="24">
        <v>42736</v>
      </c>
      <c r="X182" s="24">
        <v>44774</v>
      </c>
      <c r="Y182" t="s">
        <v>26</v>
      </c>
      <c r="Z182" s="24">
        <v>42736</v>
      </c>
      <c r="AA182" s="24">
        <v>44774</v>
      </c>
      <c r="AB182" t="s">
        <v>26</v>
      </c>
      <c r="AC182" s="24">
        <v>42736</v>
      </c>
      <c r="AD182" s="24">
        <v>44774</v>
      </c>
      <c r="AE182" t="s">
        <v>26</v>
      </c>
      <c r="AF182" t="s">
        <v>26</v>
      </c>
      <c r="AG182" t="s">
        <v>26</v>
      </c>
      <c r="AH182" t="s">
        <v>26</v>
      </c>
      <c r="AI182" t="s">
        <v>26</v>
      </c>
      <c r="AJ182" t="s">
        <v>26</v>
      </c>
      <c r="AK182" t="s">
        <v>26</v>
      </c>
      <c r="AL182" t="s">
        <v>26</v>
      </c>
      <c r="AM182" t="s">
        <v>26</v>
      </c>
      <c r="AN182" t="s">
        <v>26</v>
      </c>
      <c r="AO182" s="25" t="s">
        <v>68</v>
      </c>
      <c r="AP182" s="23" t="s">
        <v>69</v>
      </c>
      <c r="AQ182" s="23" t="s">
        <v>30</v>
      </c>
      <c r="AR182" s="23" t="s">
        <v>678</v>
      </c>
      <c r="AS182" s="25">
        <v>2045280</v>
      </c>
      <c r="AT182" t="s">
        <v>26</v>
      </c>
      <c r="AU182" t="s">
        <v>22442</v>
      </c>
    </row>
    <row r="183" spans="1:47" ht="26.25" x14ac:dyDescent="0.4">
      <c r="A183" s="23" t="s">
        <v>679</v>
      </c>
      <c r="B183" t="s">
        <v>26</v>
      </c>
      <c r="C183" s="23" t="s">
        <v>80</v>
      </c>
      <c r="D183" s="23" t="s">
        <v>22190</v>
      </c>
      <c r="E183" s="23" t="s">
        <v>60</v>
      </c>
      <c r="F183" s="25" t="s">
        <v>680</v>
      </c>
      <c r="G183" s="25" t="s">
        <v>681</v>
      </c>
      <c r="H183" t="s">
        <v>26</v>
      </c>
      <c r="I183" t="s">
        <v>26</v>
      </c>
      <c r="J183" t="s">
        <v>26</v>
      </c>
      <c r="K183" t="s">
        <v>26</v>
      </c>
      <c r="L183" s="25" t="s">
        <v>68</v>
      </c>
      <c r="M183" t="s">
        <v>26</v>
      </c>
      <c r="N183" t="s">
        <v>26</v>
      </c>
      <c r="O183" t="s">
        <v>26</v>
      </c>
      <c r="P183" t="s">
        <v>26</v>
      </c>
      <c r="Q183" t="s">
        <v>26</v>
      </c>
      <c r="R183" t="s">
        <v>26</v>
      </c>
      <c r="S183" t="s">
        <v>26</v>
      </c>
      <c r="T183" t="s">
        <v>26</v>
      </c>
      <c r="U183" t="s">
        <v>26</v>
      </c>
      <c r="V183" t="s">
        <v>26</v>
      </c>
      <c r="W183" s="24">
        <v>37987</v>
      </c>
      <c r="X183" s="25" t="s">
        <v>77</v>
      </c>
      <c r="Y183" t="s">
        <v>26</v>
      </c>
      <c r="Z183" s="24">
        <v>37987</v>
      </c>
      <c r="AA183" s="25" t="s">
        <v>77</v>
      </c>
      <c r="AB183" t="s">
        <v>26</v>
      </c>
      <c r="AC183" s="24">
        <v>37987</v>
      </c>
      <c r="AD183" s="25" t="s">
        <v>77</v>
      </c>
      <c r="AE183" t="s">
        <v>26</v>
      </c>
      <c r="AF183" t="s">
        <v>26</v>
      </c>
      <c r="AG183" t="s">
        <v>26</v>
      </c>
      <c r="AH183" t="s">
        <v>26</v>
      </c>
      <c r="AI183" t="s">
        <v>26</v>
      </c>
      <c r="AJ183" t="s">
        <v>26</v>
      </c>
      <c r="AK183" t="s">
        <v>26</v>
      </c>
      <c r="AL183" t="s">
        <v>26</v>
      </c>
      <c r="AM183" t="s">
        <v>26</v>
      </c>
      <c r="AN183" t="s">
        <v>26</v>
      </c>
      <c r="AO183" s="25" t="s">
        <v>68</v>
      </c>
      <c r="AP183" s="23" t="s">
        <v>69</v>
      </c>
      <c r="AQ183" s="23" t="s">
        <v>30</v>
      </c>
      <c r="AR183" s="23" t="s">
        <v>337</v>
      </c>
      <c r="AS183" s="25">
        <v>46253</v>
      </c>
      <c r="AT183" t="s">
        <v>26</v>
      </c>
      <c r="AU183" t="s">
        <v>22443</v>
      </c>
    </row>
    <row r="184" spans="1:47" ht="26.25" x14ac:dyDescent="0.4">
      <c r="A184" s="23" t="s">
        <v>682</v>
      </c>
      <c r="B184" t="s">
        <v>26</v>
      </c>
      <c r="C184" s="23" t="s">
        <v>167</v>
      </c>
      <c r="D184" s="23" t="s">
        <v>22179</v>
      </c>
      <c r="E184" s="23" t="s">
        <v>60</v>
      </c>
      <c r="F184" s="25" t="s">
        <v>683</v>
      </c>
      <c r="G184" s="25" t="s">
        <v>684</v>
      </c>
      <c r="H184" t="s">
        <v>26</v>
      </c>
      <c r="I184" s="24">
        <v>36951</v>
      </c>
      <c r="J184" s="25" t="s">
        <v>77</v>
      </c>
      <c r="K184" t="s">
        <v>26</v>
      </c>
      <c r="L184" s="25" t="s">
        <v>68</v>
      </c>
      <c r="M184" s="24">
        <v>38047</v>
      </c>
      <c r="N184" s="25" t="s">
        <v>77</v>
      </c>
      <c r="O184" t="s">
        <v>26</v>
      </c>
      <c r="P184" s="24">
        <v>36951</v>
      </c>
      <c r="Q184" s="25" t="s">
        <v>77</v>
      </c>
      <c r="R184" t="s">
        <v>26</v>
      </c>
      <c r="S184" t="s">
        <v>26</v>
      </c>
      <c r="T184" t="s">
        <v>26</v>
      </c>
      <c r="U184" t="s">
        <v>26</v>
      </c>
      <c r="V184" s="25">
        <v>365</v>
      </c>
      <c r="W184" s="24">
        <v>36951</v>
      </c>
      <c r="X184" s="25" t="s">
        <v>77</v>
      </c>
      <c r="Y184" t="s">
        <v>26</v>
      </c>
      <c r="Z184" s="24">
        <v>36951</v>
      </c>
      <c r="AA184" s="25" t="s">
        <v>77</v>
      </c>
      <c r="AB184" t="s">
        <v>26</v>
      </c>
      <c r="AC184" s="24">
        <v>36951</v>
      </c>
      <c r="AD184" s="25" t="s">
        <v>77</v>
      </c>
      <c r="AE184" t="s">
        <v>26</v>
      </c>
      <c r="AF184" t="s">
        <v>26</v>
      </c>
      <c r="AG184" t="s">
        <v>26</v>
      </c>
      <c r="AH184" t="s">
        <v>26</v>
      </c>
      <c r="AI184" t="s">
        <v>26</v>
      </c>
      <c r="AJ184" t="s">
        <v>26</v>
      </c>
      <c r="AK184" t="s">
        <v>26</v>
      </c>
      <c r="AL184" t="s">
        <v>26</v>
      </c>
      <c r="AM184" t="s">
        <v>26</v>
      </c>
      <c r="AN184" t="s">
        <v>26</v>
      </c>
      <c r="AO184" s="25" t="s">
        <v>68</v>
      </c>
      <c r="AP184" s="23" t="s">
        <v>69</v>
      </c>
      <c r="AQ184" s="23" t="s">
        <v>30</v>
      </c>
      <c r="AR184" s="23" t="s">
        <v>685</v>
      </c>
      <c r="AS184" s="25">
        <v>47826</v>
      </c>
      <c r="AT184" t="s">
        <v>26</v>
      </c>
      <c r="AU184" t="s">
        <v>22444</v>
      </c>
    </row>
    <row r="185" spans="1:47" ht="26.25" x14ac:dyDescent="0.4">
      <c r="A185" s="23" t="s">
        <v>686</v>
      </c>
      <c r="B185" t="s">
        <v>26</v>
      </c>
      <c r="C185" s="23" t="s">
        <v>107</v>
      </c>
      <c r="D185" s="23" t="s">
        <v>22194</v>
      </c>
      <c r="E185" s="23" t="s">
        <v>42</v>
      </c>
      <c r="F185" s="25" t="s">
        <v>687</v>
      </c>
      <c r="G185" s="25" t="s">
        <v>688</v>
      </c>
      <c r="H185" t="s">
        <v>26</v>
      </c>
      <c r="I185" t="s">
        <v>26</v>
      </c>
      <c r="J185" t="s">
        <v>26</v>
      </c>
      <c r="K185" t="s">
        <v>26</v>
      </c>
      <c r="L185" s="25" t="s">
        <v>68</v>
      </c>
      <c r="M185" t="s">
        <v>26</v>
      </c>
      <c r="N185" t="s">
        <v>26</v>
      </c>
      <c r="O185" t="s">
        <v>26</v>
      </c>
      <c r="P185" t="s">
        <v>26</v>
      </c>
      <c r="Q185" t="s">
        <v>26</v>
      </c>
      <c r="R185" t="s">
        <v>26</v>
      </c>
      <c r="S185" t="s">
        <v>26</v>
      </c>
      <c r="T185" t="s">
        <v>26</v>
      </c>
      <c r="U185" t="s">
        <v>26</v>
      </c>
      <c r="V185" t="s">
        <v>26</v>
      </c>
      <c r="W185" s="24">
        <v>36039</v>
      </c>
      <c r="X185" s="24">
        <v>37742</v>
      </c>
      <c r="Y185" t="s">
        <v>26</v>
      </c>
      <c r="Z185" s="24">
        <v>36039</v>
      </c>
      <c r="AA185" s="24">
        <v>37742</v>
      </c>
      <c r="AB185" t="s">
        <v>26</v>
      </c>
      <c r="AC185" t="s">
        <v>26</v>
      </c>
      <c r="AD185" t="s">
        <v>26</v>
      </c>
      <c r="AE185" t="s">
        <v>26</v>
      </c>
      <c r="AF185" t="s">
        <v>26</v>
      </c>
      <c r="AG185" t="s">
        <v>26</v>
      </c>
      <c r="AH185" t="s">
        <v>26</v>
      </c>
      <c r="AI185" t="s">
        <v>26</v>
      </c>
      <c r="AJ185" t="s">
        <v>26</v>
      </c>
      <c r="AK185" t="s">
        <v>26</v>
      </c>
      <c r="AL185" t="s">
        <v>26</v>
      </c>
      <c r="AM185" t="s">
        <v>26</v>
      </c>
      <c r="AN185" t="s">
        <v>26</v>
      </c>
      <c r="AO185" s="25" t="s">
        <v>68</v>
      </c>
      <c r="AP185" s="23" t="s">
        <v>69</v>
      </c>
      <c r="AQ185" s="23" t="s">
        <v>30</v>
      </c>
      <c r="AR185" s="23" t="s">
        <v>46</v>
      </c>
      <c r="AS185" s="25">
        <v>48091</v>
      </c>
      <c r="AT185" t="s">
        <v>26</v>
      </c>
      <c r="AU185" t="s">
        <v>22445</v>
      </c>
    </row>
    <row r="186" spans="1:47" ht="26.25" x14ac:dyDescent="0.4">
      <c r="A186" s="23" t="s">
        <v>689</v>
      </c>
      <c r="B186" t="s">
        <v>26</v>
      </c>
      <c r="C186" s="23" t="s">
        <v>172</v>
      </c>
      <c r="D186" s="23" t="s">
        <v>22242</v>
      </c>
      <c r="E186" s="23" t="s">
        <v>60</v>
      </c>
      <c r="F186" s="25" t="s">
        <v>690</v>
      </c>
      <c r="G186" s="25" t="s">
        <v>691</v>
      </c>
      <c r="H186" t="s">
        <v>26</v>
      </c>
      <c r="I186" t="s">
        <v>26</v>
      </c>
      <c r="J186" t="s">
        <v>26</v>
      </c>
      <c r="K186" t="s">
        <v>26</v>
      </c>
      <c r="L186" s="25" t="s">
        <v>68</v>
      </c>
      <c r="M186" t="s">
        <v>26</v>
      </c>
      <c r="N186" t="s">
        <v>26</v>
      </c>
      <c r="O186" t="s">
        <v>26</v>
      </c>
      <c r="P186" t="s">
        <v>26</v>
      </c>
      <c r="Q186" t="s">
        <v>26</v>
      </c>
      <c r="R186" t="s">
        <v>26</v>
      </c>
      <c r="S186" t="s">
        <v>26</v>
      </c>
      <c r="T186" t="s">
        <v>26</v>
      </c>
      <c r="U186" t="s">
        <v>26</v>
      </c>
      <c r="V186" t="s">
        <v>26</v>
      </c>
      <c r="W186" s="24">
        <v>37987</v>
      </c>
      <c r="X186" s="25" t="s">
        <v>77</v>
      </c>
      <c r="Y186" t="s">
        <v>26</v>
      </c>
      <c r="Z186" s="24">
        <v>37987</v>
      </c>
      <c r="AA186" s="25" t="s">
        <v>77</v>
      </c>
      <c r="AB186" t="s">
        <v>26</v>
      </c>
      <c r="AC186" s="24">
        <v>37987</v>
      </c>
      <c r="AD186" s="25" t="s">
        <v>77</v>
      </c>
      <c r="AE186" t="s">
        <v>26</v>
      </c>
      <c r="AF186" t="s">
        <v>26</v>
      </c>
      <c r="AG186" t="s">
        <v>26</v>
      </c>
      <c r="AH186" t="s">
        <v>26</v>
      </c>
      <c r="AI186" t="s">
        <v>26</v>
      </c>
      <c r="AJ186" t="s">
        <v>26</v>
      </c>
      <c r="AK186" t="s">
        <v>26</v>
      </c>
      <c r="AL186" t="s">
        <v>26</v>
      </c>
      <c r="AM186" t="s">
        <v>26</v>
      </c>
      <c r="AN186" t="s">
        <v>26</v>
      </c>
      <c r="AO186" s="25" t="s">
        <v>68</v>
      </c>
      <c r="AP186" s="23" t="s">
        <v>69</v>
      </c>
      <c r="AQ186" s="23" t="s">
        <v>620</v>
      </c>
      <c r="AR186" s="23" t="s">
        <v>46</v>
      </c>
      <c r="AS186" s="25">
        <v>46971</v>
      </c>
      <c r="AT186" t="s">
        <v>26</v>
      </c>
      <c r="AU186" t="s">
        <v>22446</v>
      </c>
    </row>
    <row r="187" spans="1:47" ht="26.25" x14ac:dyDescent="0.4">
      <c r="A187" s="23" t="s">
        <v>692</v>
      </c>
      <c r="B187" t="s">
        <v>26</v>
      </c>
      <c r="C187" s="23" t="s">
        <v>693</v>
      </c>
      <c r="D187" s="23" t="s">
        <v>22447</v>
      </c>
      <c r="E187" s="23" t="s">
        <v>42</v>
      </c>
      <c r="F187" s="25" t="s">
        <v>694</v>
      </c>
      <c r="G187" s="25" t="s">
        <v>695</v>
      </c>
      <c r="H187" t="s">
        <v>26</v>
      </c>
      <c r="I187" t="s">
        <v>26</v>
      </c>
      <c r="J187" t="s">
        <v>26</v>
      </c>
      <c r="K187" t="s">
        <v>26</v>
      </c>
      <c r="L187" s="25" t="s">
        <v>68</v>
      </c>
      <c r="M187" t="s">
        <v>26</v>
      </c>
      <c r="N187" t="s">
        <v>26</v>
      </c>
      <c r="O187" t="s">
        <v>26</v>
      </c>
      <c r="P187" t="s">
        <v>26</v>
      </c>
      <c r="Q187" t="s">
        <v>26</v>
      </c>
      <c r="R187" t="s">
        <v>26</v>
      </c>
      <c r="S187" t="s">
        <v>26</v>
      </c>
      <c r="T187" t="s">
        <v>26</v>
      </c>
      <c r="U187" t="s">
        <v>26</v>
      </c>
      <c r="V187" t="s">
        <v>26</v>
      </c>
      <c r="W187" s="24">
        <v>42278</v>
      </c>
      <c r="X187" s="25" t="s">
        <v>77</v>
      </c>
      <c r="Y187" s="25" t="s">
        <v>696</v>
      </c>
      <c r="Z187" s="24">
        <v>42278</v>
      </c>
      <c r="AA187" s="25" t="s">
        <v>77</v>
      </c>
      <c r="AB187" s="25" t="s">
        <v>696</v>
      </c>
      <c r="AC187" s="24">
        <v>42278</v>
      </c>
      <c r="AD187" s="25" t="s">
        <v>77</v>
      </c>
      <c r="AE187" s="25" t="s">
        <v>696</v>
      </c>
      <c r="AF187" t="s">
        <v>26</v>
      </c>
      <c r="AG187" t="s">
        <v>26</v>
      </c>
      <c r="AH187" t="s">
        <v>26</v>
      </c>
      <c r="AI187" t="s">
        <v>26</v>
      </c>
      <c r="AJ187" t="s">
        <v>26</v>
      </c>
      <c r="AK187" t="s">
        <v>26</v>
      </c>
      <c r="AL187" t="s">
        <v>26</v>
      </c>
      <c r="AM187" t="s">
        <v>26</v>
      </c>
      <c r="AN187" t="s">
        <v>26</v>
      </c>
      <c r="AO187" s="25" t="s">
        <v>68</v>
      </c>
      <c r="AP187" s="23" t="s">
        <v>69</v>
      </c>
      <c r="AQ187" s="23" t="s">
        <v>30</v>
      </c>
      <c r="AR187" s="23" t="s">
        <v>697</v>
      </c>
      <c r="AS187" s="25">
        <v>2042022</v>
      </c>
      <c r="AT187" t="s">
        <v>26</v>
      </c>
      <c r="AU187" t="s">
        <v>22448</v>
      </c>
    </row>
    <row r="188" spans="1:47" ht="26.25" x14ac:dyDescent="0.4">
      <c r="A188" s="23" t="s">
        <v>698</v>
      </c>
      <c r="B188" t="s">
        <v>26</v>
      </c>
      <c r="C188" s="23" t="s">
        <v>320</v>
      </c>
      <c r="D188" s="23" t="s">
        <v>22242</v>
      </c>
      <c r="E188" s="23" t="s">
        <v>42</v>
      </c>
      <c r="F188" s="25" t="s">
        <v>699</v>
      </c>
      <c r="G188" s="25" t="s">
        <v>700</v>
      </c>
      <c r="H188" t="s">
        <v>26</v>
      </c>
      <c r="I188" t="s">
        <v>26</v>
      </c>
      <c r="J188" t="s">
        <v>26</v>
      </c>
      <c r="K188" t="s">
        <v>26</v>
      </c>
      <c r="L188" s="25" t="s">
        <v>68</v>
      </c>
      <c r="M188" t="s">
        <v>26</v>
      </c>
      <c r="N188" t="s">
        <v>26</v>
      </c>
      <c r="O188" t="s">
        <v>26</v>
      </c>
      <c r="P188" t="s">
        <v>26</v>
      </c>
      <c r="Q188" t="s">
        <v>26</v>
      </c>
      <c r="R188" t="s">
        <v>26</v>
      </c>
      <c r="S188" t="s">
        <v>26</v>
      </c>
      <c r="T188" t="s">
        <v>26</v>
      </c>
      <c r="U188" t="s">
        <v>26</v>
      </c>
      <c r="V188" t="s">
        <v>26</v>
      </c>
      <c r="W188" s="24">
        <v>41091</v>
      </c>
      <c r="X188" s="25" t="s">
        <v>77</v>
      </c>
      <c r="Y188" t="s">
        <v>26</v>
      </c>
      <c r="Z188" s="24">
        <v>41091</v>
      </c>
      <c r="AA188" s="25" t="s">
        <v>77</v>
      </c>
      <c r="AB188" t="s">
        <v>26</v>
      </c>
      <c r="AC188" s="24">
        <v>41091</v>
      </c>
      <c r="AD188" s="25" t="s">
        <v>77</v>
      </c>
      <c r="AE188" t="s">
        <v>26</v>
      </c>
      <c r="AF188" t="s">
        <v>26</v>
      </c>
      <c r="AG188" t="s">
        <v>26</v>
      </c>
      <c r="AH188" t="s">
        <v>26</v>
      </c>
      <c r="AI188" t="s">
        <v>26</v>
      </c>
      <c r="AJ188" t="s">
        <v>26</v>
      </c>
      <c r="AK188" t="s">
        <v>26</v>
      </c>
      <c r="AL188" t="s">
        <v>26</v>
      </c>
      <c r="AM188" t="s">
        <v>26</v>
      </c>
      <c r="AN188" t="s">
        <v>26</v>
      </c>
      <c r="AO188" s="25" t="s">
        <v>68</v>
      </c>
      <c r="AP188" s="23" t="s">
        <v>69</v>
      </c>
      <c r="AQ188" s="23" t="s">
        <v>30</v>
      </c>
      <c r="AR188" s="23" t="s">
        <v>46</v>
      </c>
      <c r="AS188" s="25">
        <v>2026874</v>
      </c>
      <c r="AT188" t="s">
        <v>26</v>
      </c>
      <c r="AU188" t="s">
        <v>22449</v>
      </c>
    </row>
    <row r="189" spans="1:47" ht="26.25" x14ac:dyDescent="0.4">
      <c r="A189" s="23" t="s">
        <v>701</v>
      </c>
      <c r="B189" t="s">
        <v>26</v>
      </c>
      <c r="C189" s="23" t="s">
        <v>73</v>
      </c>
      <c r="D189" s="23" t="s">
        <v>22179</v>
      </c>
      <c r="E189" s="23" t="s">
        <v>74</v>
      </c>
      <c r="F189" s="25" t="s">
        <v>702</v>
      </c>
      <c r="G189" s="25" t="s">
        <v>703</v>
      </c>
      <c r="H189" t="s">
        <v>26</v>
      </c>
      <c r="I189" s="24">
        <v>35490</v>
      </c>
      <c r="J189" s="25" t="s">
        <v>77</v>
      </c>
      <c r="K189" t="s">
        <v>26</v>
      </c>
      <c r="L189" s="25" t="s">
        <v>68</v>
      </c>
      <c r="M189" s="24">
        <v>38047</v>
      </c>
      <c r="N189" s="24">
        <v>42795</v>
      </c>
      <c r="O189" t="s">
        <v>26</v>
      </c>
      <c r="P189" s="24">
        <v>35490</v>
      </c>
      <c r="Q189" s="25" t="s">
        <v>77</v>
      </c>
      <c r="R189" t="s">
        <v>26</v>
      </c>
      <c r="S189" t="s">
        <v>26</v>
      </c>
      <c r="T189" t="s">
        <v>26</v>
      </c>
      <c r="U189" t="s">
        <v>26</v>
      </c>
      <c r="V189" s="25">
        <v>365</v>
      </c>
      <c r="W189" s="24">
        <v>35490</v>
      </c>
      <c r="X189" s="25" t="s">
        <v>77</v>
      </c>
      <c r="Y189" t="s">
        <v>26</v>
      </c>
      <c r="Z189" s="24">
        <v>35490</v>
      </c>
      <c r="AA189" s="25" t="s">
        <v>77</v>
      </c>
      <c r="AB189" t="s">
        <v>26</v>
      </c>
      <c r="AC189" s="24">
        <v>35490</v>
      </c>
      <c r="AD189" s="25" t="s">
        <v>77</v>
      </c>
      <c r="AE189" t="s">
        <v>26</v>
      </c>
      <c r="AF189" t="s">
        <v>26</v>
      </c>
      <c r="AG189" t="s">
        <v>26</v>
      </c>
      <c r="AH189" t="s">
        <v>26</v>
      </c>
      <c r="AI189" t="s">
        <v>26</v>
      </c>
      <c r="AJ189" t="s">
        <v>26</v>
      </c>
      <c r="AK189" t="s">
        <v>26</v>
      </c>
      <c r="AL189" t="s">
        <v>26</v>
      </c>
      <c r="AM189" t="s">
        <v>26</v>
      </c>
      <c r="AN189" t="s">
        <v>26</v>
      </c>
      <c r="AO189" s="25" t="s">
        <v>68</v>
      </c>
      <c r="AP189" s="23" t="s">
        <v>69</v>
      </c>
      <c r="AQ189" s="23" t="s">
        <v>30</v>
      </c>
      <c r="AR189" s="23" t="s">
        <v>704</v>
      </c>
      <c r="AS189" s="25">
        <v>37406</v>
      </c>
      <c r="AT189" t="s">
        <v>26</v>
      </c>
      <c r="AU189" t="s">
        <v>22450</v>
      </c>
    </row>
    <row r="190" spans="1:47" ht="26.25" x14ac:dyDescent="0.4">
      <c r="A190" s="23" t="s">
        <v>705</v>
      </c>
      <c r="B190" t="s">
        <v>26</v>
      </c>
      <c r="C190" s="23" t="s">
        <v>706</v>
      </c>
      <c r="D190" s="23" t="s">
        <v>22451</v>
      </c>
      <c r="E190" s="23" t="s">
        <v>335</v>
      </c>
      <c r="F190" s="25" t="s">
        <v>707</v>
      </c>
      <c r="G190" t="s">
        <v>26</v>
      </c>
      <c r="H190" t="s">
        <v>26</v>
      </c>
      <c r="I190" t="s">
        <v>26</v>
      </c>
      <c r="J190" t="s">
        <v>26</v>
      </c>
      <c r="K190" t="s">
        <v>26</v>
      </c>
      <c r="L190" s="25" t="s">
        <v>68</v>
      </c>
      <c r="M190" t="s">
        <v>26</v>
      </c>
      <c r="N190" t="s">
        <v>26</v>
      </c>
      <c r="O190" t="s">
        <v>26</v>
      </c>
      <c r="P190" t="s">
        <v>26</v>
      </c>
      <c r="Q190" t="s">
        <v>26</v>
      </c>
      <c r="R190" t="s">
        <v>26</v>
      </c>
      <c r="S190" t="s">
        <v>26</v>
      </c>
      <c r="T190" t="s">
        <v>26</v>
      </c>
      <c r="U190" t="s">
        <v>26</v>
      </c>
      <c r="V190" t="s">
        <v>26</v>
      </c>
      <c r="W190" s="24">
        <v>33786</v>
      </c>
      <c r="X190" s="24">
        <v>36526</v>
      </c>
      <c r="Y190" t="s">
        <v>26</v>
      </c>
      <c r="Z190" s="24">
        <v>33786</v>
      </c>
      <c r="AA190" s="24">
        <v>36526</v>
      </c>
      <c r="AB190" t="s">
        <v>26</v>
      </c>
      <c r="AC190" t="s">
        <v>26</v>
      </c>
      <c r="AD190" t="s">
        <v>26</v>
      </c>
      <c r="AE190" t="s">
        <v>26</v>
      </c>
      <c r="AF190" t="s">
        <v>26</v>
      </c>
      <c r="AG190" t="s">
        <v>26</v>
      </c>
      <c r="AH190" t="s">
        <v>26</v>
      </c>
      <c r="AI190" t="s">
        <v>26</v>
      </c>
      <c r="AJ190" t="s">
        <v>26</v>
      </c>
      <c r="AK190" t="s">
        <v>26</v>
      </c>
      <c r="AL190" t="s">
        <v>26</v>
      </c>
      <c r="AM190" t="s">
        <v>26</v>
      </c>
      <c r="AN190" t="s">
        <v>26</v>
      </c>
      <c r="AO190" s="25" t="s">
        <v>68</v>
      </c>
      <c r="AP190" s="23" t="s">
        <v>69</v>
      </c>
      <c r="AQ190" s="23" t="s">
        <v>708</v>
      </c>
      <c r="AR190" s="23" t="s">
        <v>569</v>
      </c>
      <c r="AS190" s="25">
        <v>29250</v>
      </c>
      <c r="AT190" t="s">
        <v>26</v>
      </c>
      <c r="AU190" t="s">
        <v>22452</v>
      </c>
    </row>
    <row r="191" spans="1:47" ht="26.25" x14ac:dyDescent="0.4">
      <c r="A191" s="23" t="s">
        <v>709</v>
      </c>
      <c r="B191" t="s">
        <v>26</v>
      </c>
      <c r="C191" s="23" t="s">
        <v>710</v>
      </c>
      <c r="D191" s="23" t="s">
        <v>22453</v>
      </c>
      <c r="E191" s="23" t="s">
        <v>711</v>
      </c>
      <c r="F191" s="25" t="s">
        <v>712</v>
      </c>
      <c r="G191" t="s">
        <v>26</v>
      </c>
      <c r="H191" t="s">
        <v>26</v>
      </c>
      <c r="I191" s="24">
        <v>38777</v>
      </c>
      <c r="J191" s="24">
        <v>40057</v>
      </c>
      <c r="K191" t="s">
        <v>26</v>
      </c>
      <c r="L191" s="25" t="s">
        <v>68</v>
      </c>
      <c r="M191" s="24">
        <v>38777</v>
      </c>
      <c r="N191" s="24">
        <v>40057</v>
      </c>
      <c r="O191" t="s">
        <v>26</v>
      </c>
      <c r="P191" s="24">
        <v>38777</v>
      </c>
      <c r="Q191" s="24">
        <v>40057</v>
      </c>
      <c r="R191" t="s">
        <v>26</v>
      </c>
      <c r="S191" t="s">
        <v>26</v>
      </c>
      <c r="T191" t="s">
        <v>26</v>
      </c>
      <c r="U191" t="s">
        <v>26</v>
      </c>
      <c r="V191" t="s">
        <v>26</v>
      </c>
      <c r="W191" s="24">
        <v>38777</v>
      </c>
      <c r="X191" s="24">
        <v>40057</v>
      </c>
      <c r="Y191" t="s">
        <v>26</v>
      </c>
      <c r="Z191" s="24">
        <v>38777</v>
      </c>
      <c r="AA191" s="24">
        <v>40057</v>
      </c>
      <c r="AB191" t="s">
        <v>26</v>
      </c>
      <c r="AC191" t="s">
        <v>26</v>
      </c>
      <c r="AD191" t="s">
        <v>26</v>
      </c>
      <c r="AE191" t="s">
        <v>26</v>
      </c>
      <c r="AF191" t="s">
        <v>26</v>
      </c>
      <c r="AG191" t="s">
        <v>26</v>
      </c>
      <c r="AH191" t="s">
        <v>26</v>
      </c>
      <c r="AI191" t="s">
        <v>26</v>
      </c>
      <c r="AJ191" t="s">
        <v>26</v>
      </c>
      <c r="AK191" t="s">
        <v>26</v>
      </c>
      <c r="AL191" t="s">
        <v>26</v>
      </c>
      <c r="AM191" t="s">
        <v>26</v>
      </c>
      <c r="AN191" t="s">
        <v>26</v>
      </c>
      <c r="AO191" s="25" t="s">
        <v>28</v>
      </c>
      <c r="AP191" s="23" t="s">
        <v>69</v>
      </c>
      <c r="AQ191" s="23" t="s">
        <v>620</v>
      </c>
      <c r="AR191" s="23" t="s">
        <v>46</v>
      </c>
      <c r="AS191" s="25">
        <v>37974</v>
      </c>
      <c r="AT191" t="s">
        <v>26</v>
      </c>
      <c r="AU191" t="s">
        <v>22454</v>
      </c>
    </row>
    <row r="192" spans="1:47" ht="26.25" x14ac:dyDescent="0.4">
      <c r="A192" s="23" t="s">
        <v>713</v>
      </c>
      <c r="B192" t="s">
        <v>26</v>
      </c>
      <c r="C192" s="23" t="s">
        <v>714</v>
      </c>
      <c r="D192" s="23" t="s">
        <v>22455</v>
      </c>
      <c r="E192" s="23" t="s">
        <v>715</v>
      </c>
      <c r="F192" s="25" t="s">
        <v>716</v>
      </c>
      <c r="G192" s="25" t="s">
        <v>717</v>
      </c>
      <c r="H192" t="s">
        <v>26</v>
      </c>
      <c r="I192" s="24">
        <v>38534</v>
      </c>
      <c r="J192" s="24">
        <v>43221</v>
      </c>
      <c r="K192" t="s">
        <v>26</v>
      </c>
      <c r="L192" s="25" t="s">
        <v>68</v>
      </c>
      <c r="M192" s="24">
        <v>38534</v>
      </c>
      <c r="N192" s="24">
        <v>43221</v>
      </c>
      <c r="O192" t="s">
        <v>26</v>
      </c>
      <c r="P192" s="24">
        <v>38534</v>
      </c>
      <c r="Q192" s="24">
        <v>43221</v>
      </c>
      <c r="R192" t="s">
        <v>26</v>
      </c>
      <c r="S192" t="s">
        <v>26</v>
      </c>
      <c r="T192" t="s">
        <v>26</v>
      </c>
      <c r="U192" t="s">
        <v>26</v>
      </c>
      <c r="V192" t="s">
        <v>26</v>
      </c>
      <c r="W192" s="24">
        <v>38534</v>
      </c>
      <c r="X192" s="24">
        <v>43221</v>
      </c>
      <c r="Y192" t="s">
        <v>26</v>
      </c>
      <c r="Z192" s="24">
        <v>38534</v>
      </c>
      <c r="AA192" s="24">
        <v>43221</v>
      </c>
      <c r="AB192" t="s">
        <v>26</v>
      </c>
      <c r="AC192" s="24">
        <v>39814</v>
      </c>
      <c r="AD192" s="24">
        <v>43221</v>
      </c>
      <c r="AE192" t="s">
        <v>26</v>
      </c>
      <c r="AF192" t="s">
        <v>26</v>
      </c>
      <c r="AG192" t="s">
        <v>26</v>
      </c>
      <c r="AH192" t="s">
        <v>26</v>
      </c>
      <c r="AI192" t="s">
        <v>26</v>
      </c>
      <c r="AJ192" t="s">
        <v>26</v>
      </c>
      <c r="AK192" t="s">
        <v>26</v>
      </c>
      <c r="AL192" t="s">
        <v>26</v>
      </c>
      <c r="AM192" t="s">
        <v>26</v>
      </c>
      <c r="AN192" t="s">
        <v>26</v>
      </c>
      <c r="AO192" s="25" t="s">
        <v>68</v>
      </c>
      <c r="AP192" s="23" t="s">
        <v>69</v>
      </c>
      <c r="AQ192" t="s">
        <v>26</v>
      </c>
      <c r="AR192" s="23" t="s">
        <v>718</v>
      </c>
      <c r="AS192" s="25">
        <v>34821</v>
      </c>
      <c r="AT192" t="s">
        <v>26</v>
      </c>
      <c r="AU192" t="s">
        <v>22456</v>
      </c>
    </row>
    <row r="193" spans="1:47" ht="26.25" x14ac:dyDescent="0.4">
      <c r="A193" s="23" t="s">
        <v>719</v>
      </c>
      <c r="B193" t="s">
        <v>26</v>
      </c>
      <c r="C193" s="23" t="s">
        <v>73</v>
      </c>
      <c r="D193" s="23" t="s">
        <v>22179</v>
      </c>
      <c r="E193" s="23" t="s">
        <v>74</v>
      </c>
      <c r="F193" s="25" t="s">
        <v>720</v>
      </c>
      <c r="G193" s="25" t="s">
        <v>721</v>
      </c>
      <c r="H193" t="s">
        <v>26</v>
      </c>
      <c r="I193" s="24">
        <v>33635</v>
      </c>
      <c r="J193" s="25" t="s">
        <v>77</v>
      </c>
      <c r="K193" t="s">
        <v>26</v>
      </c>
      <c r="L193" s="25" t="s">
        <v>68</v>
      </c>
      <c r="M193" s="24">
        <v>34790</v>
      </c>
      <c r="N193" s="24">
        <v>42826</v>
      </c>
      <c r="O193" t="s">
        <v>26</v>
      </c>
      <c r="P193" s="24">
        <v>33635</v>
      </c>
      <c r="Q193" s="25" t="s">
        <v>77</v>
      </c>
      <c r="R193" t="s">
        <v>26</v>
      </c>
      <c r="S193" t="s">
        <v>26</v>
      </c>
      <c r="T193" t="s">
        <v>26</v>
      </c>
      <c r="U193" t="s">
        <v>26</v>
      </c>
      <c r="V193" s="25">
        <v>365</v>
      </c>
      <c r="W193" s="24">
        <v>32540</v>
      </c>
      <c r="X193" s="25" t="s">
        <v>77</v>
      </c>
      <c r="Y193" t="s">
        <v>26</v>
      </c>
      <c r="Z193" s="24">
        <v>32540</v>
      </c>
      <c r="AA193" s="25" t="s">
        <v>77</v>
      </c>
      <c r="AB193" t="s">
        <v>26</v>
      </c>
      <c r="AC193" s="24">
        <v>32540</v>
      </c>
      <c r="AD193" s="25" t="s">
        <v>77</v>
      </c>
      <c r="AE193" t="s">
        <v>26</v>
      </c>
      <c r="AF193" t="s">
        <v>26</v>
      </c>
      <c r="AG193" t="s">
        <v>26</v>
      </c>
      <c r="AH193" t="s">
        <v>26</v>
      </c>
      <c r="AI193" t="s">
        <v>26</v>
      </c>
      <c r="AJ193" t="s">
        <v>26</v>
      </c>
      <c r="AK193" t="s">
        <v>26</v>
      </c>
      <c r="AL193" t="s">
        <v>26</v>
      </c>
      <c r="AM193" t="s">
        <v>26</v>
      </c>
      <c r="AN193" t="s">
        <v>26</v>
      </c>
      <c r="AO193" s="25" t="s">
        <v>68</v>
      </c>
      <c r="AP193" s="23" t="s">
        <v>69</v>
      </c>
      <c r="AQ193" s="23" t="s">
        <v>30</v>
      </c>
      <c r="AR193" s="23" t="s">
        <v>277</v>
      </c>
      <c r="AS193" s="25">
        <v>48144</v>
      </c>
      <c r="AT193" t="s">
        <v>26</v>
      </c>
      <c r="AU193" t="s">
        <v>22457</v>
      </c>
    </row>
    <row r="194" spans="1:47" ht="26.25" x14ac:dyDescent="0.4">
      <c r="A194" s="23" t="s">
        <v>722</v>
      </c>
      <c r="B194" t="s">
        <v>26</v>
      </c>
      <c r="C194" s="23" t="s">
        <v>80</v>
      </c>
      <c r="D194" s="23" t="s">
        <v>22184</v>
      </c>
      <c r="E194" s="23" t="s">
        <v>60</v>
      </c>
      <c r="F194" s="25" t="s">
        <v>723</v>
      </c>
      <c r="G194" s="25" t="s">
        <v>724</v>
      </c>
      <c r="H194" t="s">
        <v>26</v>
      </c>
      <c r="I194" t="s">
        <v>26</v>
      </c>
      <c r="J194" t="s">
        <v>26</v>
      </c>
      <c r="K194" t="s">
        <v>26</v>
      </c>
      <c r="L194" s="25" t="s">
        <v>68</v>
      </c>
      <c r="M194" t="s">
        <v>26</v>
      </c>
      <c r="N194" t="s">
        <v>26</v>
      </c>
      <c r="O194" t="s">
        <v>26</v>
      </c>
      <c r="P194" t="s">
        <v>26</v>
      </c>
      <c r="Q194" t="s">
        <v>26</v>
      </c>
      <c r="R194" t="s">
        <v>26</v>
      </c>
      <c r="S194" t="s">
        <v>26</v>
      </c>
      <c r="T194" t="s">
        <v>26</v>
      </c>
      <c r="U194" t="s">
        <v>26</v>
      </c>
      <c r="V194" t="s">
        <v>26</v>
      </c>
      <c r="W194" s="24">
        <v>40179</v>
      </c>
      <c r="X194" s="25" t="s">
        <v>77</v>
      </c>
      <c r="Y194" t="s">
        <v>26</v>
      </c>
      <c r="Z194" s="24">
        <v>40179</v>
      </c>
      <c r="AA194" s="25" t="s">
        <v>77</v>
      </c>
      <c r="AB194" t="s">
        <v>26</v>
      </c>
      <c r="AC194" s="24">
        <v>40179</v>
      </c>
      <c r="AD194" s="25" t="s">
        <v>77</v>
      </c>
      <c r="AE194" t="s">
        <v>26</v>
      </c>
      <c r="AF194" t="s">
        <v>26</v>
      </c>
      <c r="AG194" t="s">
        <v>26</v>
      </c>
      <c r="AH194" t="s">
        <v>26</v>
      </c>
      <c r="AI194" t="s">
        <v>26</v>
      </c>
      <c r="AJ194" t="s">
        <v>26</v>
      </c>
      <c r="AK194" t="s">
        <v>26</v>
      </c>
      <c r="AL194" t="s">
        <v>26</v>
      </c>
      <c r="AM194" t="s">
        <v>26</v>
      </c>
      <c r="AN194" t="s">
        <v>26</v>
      </c>
      <c r="AO194" s="25" t="s">
        <v>68</v>
      </c>
      <c r="AP194" s="23" t="s">
        <v>69</v>
      </c>
      <c r="AQ194" s="23" t="s">
        <v>30</v>
      </c>
      <c r="AR194" s="23" t="s">
        <v>71</v>
      </c>
      <c r="AS194" s="25">
        <v>186242</v>
      </c>
      <c r="AT194" t="s">
        <v>26</v>
      </c>
      <c r="AU194" t="s">
        <v>22458</v>
      </c>
    </row>
    <row r="195" spans="1:47" ht="26.25" x14ac:dyDescent="0.4">
      <c r="A195" s="23" t="s">
        <v>725</v>
      </c>
      <c r="B195" t="s">
        <v>26</v>
      </c>
      <c r="C195" s="23" t="s">
        <v>73</v>
      </c>
      <c r="D195" s="23" t="s">
        <v>22179</v>
      </c>
      <c r="E195" s="23" t="s">
        <v>74</v>
      </c>
      <c r="F195" s="25" t="s">
        <v>726</v>
      </c>
      <c r="G195" s="25" t="s">
        <v>727</v>
      </c>
      <c r="H195" t="s">
        <v>26</v>
      </c>
      <c r="I195" s="24">
        <v>36951</v>
      </c>
      <c r="J195" s="25" t="s">
        <v>77</v>
      </c>
      <c r="K195" t="s">
        <v>26</v>
      </c>
      <c r="L195" s="25" t="s">
        <v>68</v>
      </c>
      <c r="M195" s="24">
        <v>38018</v>
      </c>
      <c r="N195" s="24">
        <v>42826</v>
      </c>
      <c r="O195" t="s">
        <v>26</v>
      </c>
      <c r="P195" s="24">
        <v>36951</v>
      </c>
      <c r="Q195" s="25" t="s">
        <v>77</v>
      </c>
      <c r="R195" t="s">
        <v>26</v>
      </c>
      <c r="S195" t="s">
        <v>26</v>
      </c>
      <c r="T195" t="s">
        <v>26</v>
      </c>
      <c r="U195" t="s">
        <v>26</v>
      </c>
      <c r="V195" s="25">
        <v>365</v>
      </c>
      <c r="W195" s="24">
        <v>36951</v>
      </c>
      <c r="X195" s="25" t="s">
        <v>77</v>
      </c>
      <c r="Y195" t="s">
        <v>26</v>
      </c>
      <c r="Z195" s="24">
        <v>36951</v>
      </c>
      <c r="AA195" s="25" t="s">
        <v>77</v>
      </c>
      <c r="AB195" t="s">
        <v>26</v>
      </c>
      <c r="AC195" s="24">
        <v>37196</v>
      </c>
      <c r="AD195" s="25" t="s">
        <v>77</v>
      </c>
      <c r="AE195" t="s">
        <v>26</v>
      </c>
      <c r="AF195" t="s">
        <v>26</v>
      </c>
      <c r="AG195" t="s">
        <v>26</v>
      </c>
      <c r="AH195" t="s">
        <v>26</v>
      </c>
      <c r="AI195" t="s">
        <v>26</v>
      </c>
      <c r="AJ195" t="s">
        <v>26</v>
      </c>
      <c r="AK195" t="s">
        <v>26</v>
      </c>
      <c r="AL195" t="s">
        <v>26</v>
      </c>
      <c r="AM195" t="s">
        <v>26</v>
      </c>
      <c r="AN195" t="s">
        <v>26</v>
      </c>
      <c r="AO195" s="25" t="s">
        <v>68</v>
      </c>
      <c r="AP195" s="23" t="s">
        <v>69</v>
      </c>
      <c r="AQ195" s="23" t="s">
        <v>30</v>
      </c>
      <c r="AR195" s="23" t="s">
        <v>728</v>
      </c>
      <c r="AS195" s="25">
        <v>32254</v>
      </c>
      <c r="AT195" t="s">
        <v>26</v>
      </c>
      <c r="AU195" t="s">
        <v>22459</v>
      </c>
    </row>
    <row r="196" spans="1:47" ht="26.25" x14ac:dyDescent="0.4">
      <c r="A196" s="23" t="s">
        <v>729</v>
      </c>
      <c r="B196" t="s">
        <v>26</v>
      </c>
      <c r="C196" s="23" t="s">
        <v>146</v>
      </c>
      <c r="D196" s="23" t="s">
        <v>22174</v>
      </c>
      <c r="E196" s="23" t="s">
        <v>60</v>
      </c>
      <c r="F196" t="s">
        <v>26</v>
      </c>
      <c r="G196" t="s">
        <v>26</v>
      </c>
      <c r="H196" t="s">
        <v>26</v>
      </c>
      <c r="I196" t="s">
        <v>26</v>
      </c>
      <c r="J196" t="s">
        <v>26</v>
      </c>
      <c r="K196" t="s">
        <v>26</v>
      </c>
      <c r="L196" s="25" t="s">
        <v>28</v>
      </c>
      <c r="M196" t="s">
        <v>26</v>
      </c>
      <c r="N196" t="s">
        <v>26</v>
      </c>
      <c r="O196" t="s">
        <v>26</v>
      </c>
      <c r="P196" t="s">
        <v>26</v>
      </c>
      <c r="Q196" t="s">
        <v>26</v>
      </c>
      <c r="R196" t="s">
        <v>26</v>
      </c>
      <c r="S196" t="s">
        <v>26</v>
      </c>
      <c r="T196" t="s">
        <v>26</v>
      </c>
      <c r="U196" t="s">
        <v>26</v>
      </c>
      <c r="V196" t="s">
        <v>26</v>
      </c>
      <c r="W196" s="24">
        <v>42005</v>
      </c>
      <c r="X196" s="24">
        <v>42005</v>
      </c>
      <c r="Y196" t="s">
        <v>26</v>
      </c>
      <c r="Z196" s="24">
        <v>42005</v>
      </c>
      <c r="AA196" s="24">
        <v>42005</v>
      </c>
      <c r="AB196" t="s">
        <v>26</v>
      </c>
      <c r="AC196" t="s">
        <v>26</v>
      </c>
      <c r="AD196" t="s">
        <v>26</v>
      </c>
      <c r="AE196" t="s">
        <v>26</v>
      </c>
      <c r="AF196" t="s">
        <v>26</v>
      </c>
      <c r="AG196" t="s">
        <v>26</v>
      </c>
      <c r="AH196" t="s">
        <v>26</v>
      </c>
      <c r="AI196" t="s">
        <v>26</v>
      </c>
      <c r="AJ196" t="s">
        <v>26</v>
      </c>
      <c r="AK196" t="s">
        <v>26</v>
      </c>
      <c r="AL196" t="s">
        <v>26</v>
      </c>
      <c r="AM196" t="s">
        <v>26</v>
      </c>
      <c r="AN196" t="s">
        <v>26</v>
      </c>
      <c r="AO196" s="25" t="s">
        <v>28</v>
      </c>
      <c r="AP196" s="23" t="s">
        <v>29</v>
      </c>
      <c r="AQ196" s="23" t="s">
        <v>30</v>
      </c>
      <c r="AR196" s="23" t="s">
        <v>245</v>
      </c>
      <c r="AS196" s="25">
        <v>5483597</v>
      </c>
      <c r="AT196" s="23" t="s">
        <v>22181</v>
      </c>
      <c r="AU196" t="s">
        <v>22460</v>
      </c>
    </row>
    <row r="197" spans="1:47" ht="26.25" x14ac:dyDescent="0.4">
      <c r="A197" s="23" t="s">
        <v>730</v>
      </c>
      <c r="B197" t="s">
        <v>26</v>
      </c>
      <c r="C197" s="23" t="s">
        <v>731</v>
      </c>
      <c r="D197" s="23" t="s">
        <v>22352</v>
      </c>
      <c r="E197" s="23" t="s">
        <v>42</v>
      </c>
      <c r="F197" s="25" t="s">
        <v>732</v>
      </c>
      <c r="G197" s="25" t="s">
        <v>733</v>
      </c>
      <c r="H197" t="s">
        <v>26</v>
      </c>
      <c r="I197" s="24">
        <v>33604</v>
      </c>
      <c r="J197" s="24">
        <v>37165</v>
      </c>
      <c r="K197" t="s">
        <v>26</v>
      </c>
      <c r="L197" s="25" t="s">
        <v>68</v>
      </c>
      <c r="M197" s="24">
        <v>34335</v>
      </c>
      <c r="N197" s="24">
        <v>37165</v>
      </c>
      <c r="O197" t="s">
        <v>26</v>
      </c>
      <c r="P197" s="24">
        <v>33604</v>
      </c>
      <c r="Q197" s="24">
        <v>37165</v>
      </c>
      <c r="R197" t="s">
        <v>26</v>
      </c>
      <c r="S197" t="s">
        <v>26</v>
      </c>
      <c r="T197" t="s">
        <v>26</v>
      </c>
      <c r="U197" t="s">
        <v>26</v>
      </c>
      <c r="V197" t="s">
        <v>26</v>
      </c>
      <c r="W197" s="24">
        <v>32964</v>
      </c>
      <c r="X197" s="25" t="s">
        <v>77</v>
      </c>
      <c r="Y197" t="s">
        <v>26</v>
      </c>
      <c r="Z197" s="24">
        <v>32964</v>
      </c>
      <c r="AA197" s="25" t="s">
        <v>77</v>
      </c>
      <c r="AB197" t="s">
        <v>26</v>
      </c>
      <c r="AC197" s="24">
        <v>32964</v>
      </c>
      <c r="AD197" s="25" t="s">
        <v>77</v>
      </c>
      <c r="AE197" t="s">
        <v>26</v>
      </c>
      <c r="AF197" t="s">
        <v>26</v>
      </c>
      <c r="AG197" t="s">
        <v>26</v>
      </c>
      <c r="AH197" t="s">
        <v>26</v>
      </c>
      <c r="AI197" t="s">
        <v>26</v>
      </c>
      <c r="AJ197" t="s">
        <v>26</v>
      </c>
      <c r="AK197" t="s">
        <v>26</v>
      </c>
      <c r="AL197" t="s">
        <v>26</v>
      </c>
      <c r="AM197" t="s">
        <v>26</v>
      </c>
      <c r="AN197" t="s">
        <v>26</v>
      </c>
      <c r="AO197" s="25" t="s">
        <v>68</v>
      </c>
      <c r="AP197" s="23" t="s">
        <v>69</v>
      </c>
      <c r="AQ197" s="23" t="s">
        <v>30</v>
      </c>
      <c r="AR197" s="23" t="s">
        <v>734</v>
      </c>
      <c r="AS197" s="25">
        <v>47537</v>
      </c>
      <c r="AT197" t="s">
        <v>26</v>
      </c>
      <c r="AU197" t="s">
        <v>22461</v>
      </c>
    </row>
    <row r="198" spans="1:47" ht="26.25" x14ac:dyDescent="0.4">
      <c r="A198" s="23" t="s">
        <v>735</v>
      </c>
      <c r="B198" t="s">
        <v>26</v>
      </c>
      <c r="C198" s="23" t="s">
        <v>80</v>
      </c>
      <c r="D198" s="23" t="s">
        <v>22184</v>
      </c>
      <c r="E198" s="23" t="s">
        <v>60</v>
      </c>
      <c r="F198" s="25" t="s">
        <v>736</v>
      </c>
      <c r="G198" s="25" t="s">
        <v>737</v>
      </c>
      <c r="H198" t="s">
        <v>26</v>
      </c>
      <c r="I198" t="s">
        <v>26</v>
      </c>
      <c r="J198" t="s">
        <v>26</v>
      </c>
      <c r="K198" t="s">
        <v>26</v>
      </c>
      <c r="L198" s="25" t="s">
        <v>68</v>
      </c>
      <c r="M198" t="s">
        <v>26</v>
      </c>
      <c r="N198" t="s">
        <v>26</v>
      </c>
      <c r="O198" t="s">
        <v>26</v>
      </c>
      <c r="P198" t="s">
        <v>26</v>
      </c>
      <c r="Q198" t="s">
        <v>26</v>
      </c>
      <c r="R198" t="s">
        <v>26</v>
      </c>
      <c r="S198" t="s">
        <v>26</v>
      </c>
      <c r="T198" t="s">
        <v>26</v>
      </c>
      <c r="U198" t="s">
        <v>26</v>
      </c>
      <c r="V198" t="s">
        <v>26</v>
      </c>
      <c r="W198" s="24">
        <v>40909</v>
      </c>
      <c r="X198" s="25" t="s">
        <v>77</v>
      </c>
      <c r="Y198" s="25" t="s">
        <v>738</v>
      </c>
      <c r="Z198" s="24">
        <v>40909</v>
      </c>
      <c r="AA198" s="25" t="s">
        <v>77</v>
      </c>
      <c r="AB198" s="25" t="s">
        <v>738</v>
      </c>
      <c r="AC198" s="24">
        <v>40909</v>
      </c>
      <c r="AD198" s="25" t="s">
        <v>77</v>
      </c>
      <c r="AE198" s="25" t="s">
        <v>738</v>
      </c>
      <c r="AF198" t="s">
        <v>26</v>
      </c>
      <c r="AG198" t="s">
        <v>26</v>
      </c>
      <c r="AH198" t="s">
        <v>26</v>
      </c>
      <c r="AI198" t="s">
        <v>26</v>
      </c>
      <c r="AJ198" t="s">
        <v>26</v>
      </c>
      <c r="AK198" t="s">
        <v>26</v>
      </c>
      <c r="AL198" t="s">
        <v>26</v>
      </c>
      <c r="AM198" t="s">
        <v>26</v>
      </c>
      <c r="AN198" t="s">
        <v>26</v>
      </c>
      <c r="AO198" s="25" t="s">
        <v>68</v>
      </c>
      <c r="AP198" s="23" t="s">
        <v>69</v>
      </c>
      <c r="AQ198" s="23" t="s">
        <v>30</v>
      </c>
      <c r="AR198" s="23" t="s">
        <v>739</v>
      </c>
      <c r="AS198" s="25">
        <v>2045332</v>
      </c>
      <c r="AT198" t="s">
        <v>26</v>
      </c>
      <c r="AU198" t="s">
        <v>22462</v>
      </c>
    </row>
    <row r="199" spans="1:47" ht="26.25" x14ac:dyDescent="0.4">
      <c r="A199" s="23" t="s">
        <v>740</v>
      </c>
      <c r="B199" t="s">
        <v>26</v>
      </c>
      <c r="C199" s="23" t="s">
        <v>22163</v>
      </c>
      <c r="D199" t="s">
        <v>26</v>
      </c>
      <c r="E199" s="23" t="s">
        <v>42</v>
      </c>
      <c r="F199" t="s">
        <v>26</v>
      </c>
      <c r="G199" t="s">
        <v>26</v>
      </c>
      <c r="H199" t="s">
        <v>26</v>
      </c>
      <c r="I199" s="24">
        <v>40909</v>
      </c>
      <c r="J199" s="24">
        <v>40909</v>
      </c>
      <c r="K199" t="s">
        <v>26</v>
      </c>
      <c r="L199" s="25" t="s">
        <v>28</v>
      </c>
      <c r="M199" s="24">
        <v>40909</v>
      </c>
      <c r="N199" s="24">
        <v>40909</v>
      </c>
      <c r="O199" t="s">
        <v>26</v>
      </c>
      <c r="P199" t="s">
        <v>26</v>
      </c>
      <c r="Q199" t="s">
        <v>26</v>
      </c>
      <c r="R199" t="s">
        <v>26</v>
      </c>
      <c r="S199" s="24">
        <v>40909</v>
      </c>
      <c r="T199" s="24">
        <v>40909</v>
      </c>
      <c r="U199" t="s">
        <v>26</v>
      </c>
      <c r="V199" t="s">
        <v>26</v>
      </c>
      <c r="W199" s="24">
        <v>40909</v>
      </c>
      <c r="X199" s="24">
        <v>40909</v>
      </c>
      <c r="Y199" t="s">
        <v>26</v>
      </c>
      <c r="Z199" s="24">
        <v>40909</v>
      </c>
      <c r="AA199" s="24">
        <v>40909</v>
      </c>
      <c r="AB199" t="s">
        <v>26</v>
      </c>
      <c r="AC199" s="24">
        <v>40909</v>
      </c>
      <c r="AD199" s="24">
        <v>40909</v>
      </c>
      <c r="AE199" t="s">
        <v>26</v>
      </c>
      <c r="AF199" s="24">
        <v>40909</v>
      </c>
      <c r="AG199" s="24">
        <v>40909</v>
      </c>
      <c r="AH199" t="s">
        <v>26</v>
      </c>
      <c r="AI199" s="24">
        <v>40909</v>
      </c>
      <c r="AJ199" s="24">
        <v>40909</v>
      </c>
      <c r="AK199" t="s">
        <v>26</v>
      </c>
      <c r="AL199" t="s">
        <v>26</v>
      </c>
      <c r="AM199" t="s">
        <v>26</v>
      </c>
      <c r="AN199" t="s">
        <v>26</v>
      </c>
      <c r="AO199" s="25" t="s">
        <v>28</v>
      </c>
      <c r="AP199" s="23" t="s">
        <v>43</v>
      </c>
      <c r="AQ199" s="23" t="s">
        <v>30</v>
      </c>
      <c r="AR199" s="23" t="s">
        <v>46</v>
      </c>
      <c r="AS199" s="25">
        <v>6364597</v>
      </c>
      <c r="AT199" t="s">
        <v>26</v>
      </c>
      <c r="AU199" t="s">
        <v>22463</v>
      </c>
    </row>
    <row r="200" spans="1:47" ht="39.4" x14ac:dyDescent="0.4">
      <c r="A200" s="23" t="s">
        <v>741</v>
      </c>
      <c r="B200" t="s">
        <v>26</v>
      </c>
      <c r="C200" s="23" t="s">
        <v>742</v>
      </c>
      <c r="D200" s="23" t="s">
        <v>22207</v>
      </c>
      <c r="E200" s="23" t="s">
        <v>139</v>
      </c>
      <c r="F200" s="25" t="s">
        <v>743</v>
      </c>
      <c r="G200" s="25" t="s">
        <v>744</v>
      </c>
      <c r="H200" t="s">
        <v>26</v>
      </c>
      <c r="I200" s="24">
        <v>38718</v>
      </c>
      <c r="J200" s="25" t="s">
        <v>77</v>
      </c>
      <c r="K200" t="s">
        <v>26</v>
      </c>
      <c r="L200" s="25" t="s">
        <v>68</v>
      </c>
      <c r="M200" s="24">
        <v>38718</v>
      </c>
      <c r="N200" s="24">
        <v>42005</v>
      </c>
      <c r="O200" t="s">
        <v>26</v>
      </c>
      <c r="P200" s="24">
        <v>38718</v>
      </c>
      <c r="Q200" s="25" t="s">
        <v>77</v>
      </c>
      <c r="R200" t="s">
        <v>26</v>
      </c>
      <c r="S200" t="s">
        <v>26</v>
      </c>
      <c r="T200" t="s">
        <v>26</v>
      </c>
      <c r="U200" t="s">
        <v>26</v>
      </c>
      <c r="V200" t="s">
        <v>26</v>
      </c>
      <c r="W200" s="24">
        <v>38718</v>
      </c>
      <c r="X200" s="25" t="s">
        <v>77</v>
      </c>
      <c r="Y200" t="s">
        <v>26</v>
      </c>
      <c r="Z200" s="24">
        <v>38718</v>
      </c>
      <c r="AA200" s="25" t="s">
        <v>77</v>
      </c>
      <c r="AB200" t="s">
        <v>26</v>
      </c>
      <c r="AC200" s="24">
        <v>40909</v>
      </c>
      <c r="AD200" s="25" t="s">
        <v>77</v>
      </c>
      <c r="AE200" t="s">
        <v>26</v>
      </c>
      <c r="AF200" t="s">
        <v>26</v>
      </c>
      <c r="AG200" t="s">
        <v>26</v>
      </c>
      <c r="AH200" t="s">
        <v>26</v>
      </c>
      <c r="AI200" t="s">
        <v>26</v>
      </c>
      <c r="AJ200" t="s">
        <v>26</v>
      </c>
      <c r="AK200" t="s">
        <v>26</v>
      </c>
      <c r="AL200" t="s">
        <v>26</v>
      </c>
      <c r="AM200" t="s">
        <v>26</v>
      </c>
      <c r="AN200" t="s">
        <v>26</v>
      </c>
      <c r="AO200" s="25" t="s">
        <v>68</v>
      </c>
      <c r="AP200" s="23" t="s">
        <v>69</v>
      </c>
      <c r="AQ200" s="23" t="s">
        <v>226</v>
      </c>
      <c r="AR200" s="23" t="s">
        <v>745</v>
      </c>
      <c r="AS200" s="25">
        <v>54821</v>
      </c>
      <c r="AT200" t="s">
        <v>26</v>
      </c>
      <c r="AU200" t="s">
        <v>22464</v>
      </c>
    </row>
    <row r="201" spans="1:47" ht="52.5" x14ac:dyDescent="0.4">
      <c r="A201" s="23" t="s">
        <v>746</v>
      </c>
      <c r="B201" t="s">
        <v>26</v>
      </c>
      <c r="C201" s="23" t="s">
        <v>371</v>
      </c>
      <c r="D201" s="23" t="s">
        <v>22179</v>
      </c>
      <c r="E201" s="23" t="s">
        <v>42</v>
      </c>
      <c r="F201" t="s">
        <v>26</v>
      </c>
      <c r="G201" t="s">
        <v>26</v>
      </c>
      <c r="H201" t="s">
        <v>26</v>
      </c>
      <c r="I201" t="s">
        <v>26</v>
      </c>
      <c r="J201" t="s">
        <v>26</v>
      </c>
      <c r="K201" t="s">
        <v>26</v>
      </c>
      <c r="L201" s="25" t="s">
        <v>28</v>
      </c>
      <c r="M201" t="s">
        <v>26</v>
      </c>
      <c r="N201" t="s">
        <v>26</v>
      </c>
      <c r="O201" t="s">
        <v>26</v>
      </c>
      <c r="P201" t="s">
        <v>26</v>
      </c>
      <c r="Q201" t="s">
        <v>26</v>
      </c>
      <c r="R201" t="s">
        <v>26</v>
      </c>
      <c r="S201" t="s">
        <v>26</v>
      </c>
      <c r="T201" t="s">
        <v>26</v>
      </c>
      <c r="U201" t="s">
        <v>26</v>
      </c>
      <c r="V201" t="s">
        <v>26</v>
      </c>
      <c r="W201" s="24">
        <v>39814</v>
      </c>
      <c r="X201" s="24">
        <v>39814</v>
      </c>
      <c r="Y201" t="s">
        <v>26</v>
      </c>
      <c r="Z201" s="24">
        <v>39814</v>
      </c>
      <c r="AA201" s="24">
        <v>39814</v>
      </c>
      <c r="AB201" t="s">
        <v>26</v>
      </c>
      <c r="AC201" t="s">
        <v>26</v>
      </c>
      <c r="AD201" t="s">
        <v>26</v>
      </c>
      <c r="AE201" t="s">
        <v>26</v>
      </c>
      <c r="AF201" t="s">
        <v>26</v>
      </c>
      <c r="AG201" t="s">
        <v>26</v>
      </c>
      <c r="AH201" t="s">
        <v>26</v>
      </c>
      <c r="AI201" t="s">
        <v>26</v>
      </c>
      <c r="AJ201" t="s">
        <v>26</v>
      </c>
      <c r="AK201" t="s">
        <v>26</v>
      </c>
      <c r="AL201" t="s">
        <v>26</v>
      </c>
      <c r="AM201" t="s">
        <v>26</v>
      </c>
      <c r="AN201" t="s">
        <v>26</v>
      </c>
      <c r="AO201" s="25" t="s">
        <v>28</v>
      </c>
      <c r="AP201" s="23" t="s">
        <v>29</v>
      </c>
      <c r="AQ201" s="23" t="s">
        <v>30</v>
      </c>
      <c r="AR201" s="23" t="s">
        <v>44</v>
      </c>
      <c r="AS201" s="25">
        <v>5483568</v>
      </c>
      <c r="AT201" s="23" t="s">
        <v>22181</v>
      </c>
      <c r="AU201" t="s">
        <v>22465</v>
      </c>
    </row>
    <row r="202" spans="1:47" ht="26.25" x14ac:dyDescent="0.4">
      <c r="A202" s="23" t="s">
        <v>747</v>
      </c>
      <c r="B202" t="s">
        <v>26</v>
      </c>
      <c r="C202" s="23" t="s">
        <v>73</v>
      </c>
      <c r="D202" s="23" t="s">
        <v>22211</v>
      </c>
      <c r="E202" s="23" t="s">
        <v>74</v>
      </c>
      <c r="F202" s="25" t="s">
        <v>748</v>
      </c>
      <c r="G202" s="25" t="s">
        <v>749</v>
      </c>
      <c r="H202" t="s">
        <v>26</v>
      </c>
      <c r="I202" s="24">
        <v>35462</v>
      </c>
      <c r="J202" s="25" t="s">
        <v>77</v>
      </c>
      <c r="K202" t="s">
        <v>26</v>
      </c>
      <c r="L202" s="25" t="s">
        <v>68</v>
      </c>
      <c r="M202" s="24">
        <v>37987</v>
      </c>
      <c r="N202" s="24">
        <v>42887</v>
      </c>
      <c r="O202" t="s">
        <v>26</v>
      </c>
      <c r="P202" s="24">
        <v>35462</v>
      </c>
      <c r="Q202" s="25" t="s">
        <v>77</v>
      </c>
      <c r="R202" t="s">
        <v>26</v>
      </c>
      <c r="S202" t="s">
        <v>26</v>
      </c>
      <c r="T202" t="s">
        <v>26</v>
      </c>
      <c r="U202" t="s">
        <v>26</v>
      </c>
      <c r="V202" s="25">
        <v>365</v>
      </c>
      <c r="W202" s="24">
        <v>35462</v>
      </c>
      <c r="X202" s="25" t="s">
        <v>77</v>
      </c>
      <c r="Y202" t="s">
        <v>26</v>
      </c>
      <c r="Z202" s="24">
        <v>35462</v>
      </c>
      <c r="AA202" s="25" t="s">
        <v>77</v>
      </c>
      <c r="AB202" t="s">
        <v>26</v>
      </c>
      <c r="AC202" s="24">
        <v>35462</v>
      </c>
      <c r="AD202" s="25" t="s">
        <v>77</v>
      </c>
      <c r="AE202" t="s">
        <v>26</v>
      </c>
      <c r="AF202" t="s">
        <v>26</v>
      </c>
      <c r="AG202" t="s">
        <v>26</v>
      </c>
      <c r="AH202" t="s">
        <v>26</v>
      </c>
      <c r="AI202" t="s">
        <v>26</v>
      </c>
      <c r="AJ202" t="s">
        <v>26</v>
      </c>
      <c r="AK202" t="s">
        <v>26</v>
      </c>
      <c r="AL202" t="s">
        <v>26</v>
      </c>
      <c r="AM202" t="s">
        <v>26</v>
      </c>
      <c r="AN202" t="s">
        <v>26</v>
      </c>
      <c r="AO202" s="25" t="s">
        <v>68</v>
      </c>
      <c r="AP202" s="23" t="s">
        <v>69</v>
      </c>
      <c r="AQ202" s="23" t="s">
        <v>30</v>
      </c>
      <c r="AR202" s="23" t="s">
        <v>78</v>
      </c>
      <c r="AS202" s="25">
        <v>36790</v>
      </c>
      <c r="AT202" t="s">
        <v>26</v>
      </c>
      <c r="AU202" t="s">
        <v>22466</v>
      </c>
    </row>
    <row r="203" spans="1:47" ht="13.15" x14ac:dyDescent="0.4">
      <c r="A203" s="23" t="s">
        <v>750</v>
      </c>
      <c r="B203" t="s">
        <v>26</v>
      </c>
      <c r="C203" s="23" t="s">
        <v>146</v>
      </c>
      <c r="D203" s="23" t="s">
        <v>22174</v>
      </c>
      <c r="E203" s="23" t="s">
        <v>60</v>
      </c>
      <c r="F203" t="s">
        <v>26</v>
      </c>
      <c r="G203" t="s">
        <v>26</v>
      </c>
      <c r="H203" t="s">
        <v>26</v>
      </c>
      <c r="I203" t="s">
        <v>26</v>
      </c>
      <c r="J203" t="s">
        <v>26</v>
      </c>
      <c r="K203" t="s">
        <v>26</v>
      </c>
      <c r="L203" s="25" t="s">
        <v>28</v>
      </c>
      <c r="M203" t="s">
        <v>26</v>
      </c>
      <c r="N203" t="s">
        <v>26</v>
      </c>
      <c r="O203" t="s">
        <v>26</v>
      </c>
      <c r="P203" t="s">
        <v>26</v>
      </c>
      <c r="Q203" t="s">
        <v>26</v>
      </c>
      <c r="R203" t="s">
        <v>26</v>
      </c>
      <c r="S203" t="s">
        <v>26</v>
      </c>
      <c r="T203" t="s">
        <v>26</v>
      </c>
      <c r="U203" t="s">
        <v>26</v>
      </c>
      <c r="V203" t="s">
        <v>26</v>
      </c>
      <c r="W203" s="24">
        <v>42370</v>
      </c>
      <c r="X203" s="24">
        <v>42370</v>
      </c>
      <c r="Y203" t="s">
        <v>26</v>
      </c>
      <c r="Z203" s="24">
        <v>42370</v>
      </c>
      <c r="AA203" s="24">
        <v>42370</v>
      </c>
      <c r="AB203" t="s">
        <v>26</v>
      </c>
      <c r="AC203" t="s">
        <v>26</v>
      </c>
      <c r="AD203" t="s">
        <v>26</v>
      </c>
      <c r="AE203" t="s">
        <v>26</v>
      </c>
      <c r="AF203" t="s">
        <v>26</v>
      </c>
      <c r="AG203" t="s">
        <v>26</v>
      </c>
      <c r="AH203" t="s">
        <v>26</v>
      </c>
      <c r="AI203" t="s">
        <v>26</v>
      </c>
      <c r="AJ203" t="s">
        <v>26</v>
      </c>
      <c r="AK203" t="s">
        <v>26</v>
      </c>
      <c r="AL203" t="s">
        <v>26</v>
      </c>
      <c r="AM203" t="s">
        <v>26</v>
      </c>
      <c r="AN203" t="s">
        <v>26</v>
      </c>
      <c r="AO203" s="25" t="s">
        <v>28</v>
      </c>
      <c r="AP203" s="23" t="s">
        <v>29</v>
      </c>
      <c r="AQ203" s="23" t="s">
        <v>30</v>
      </c>
      <c r="AR203" s="23" t="s">
        <v>44</v>
      </c>
      <c r="AS203" s="25">
        <v>5483634</v>
      </c>
      <c r="AT203" s="23" t="s">
        <v>22181</v>
      </c>
      <c r="AU203" t="s">
        <v>22467</v>
      </c>
    </row>
    <row r="204" spans="1:47" ht="26.25" x14ac:dyDescent="0.4">
      <c r="A204" s="23" t="s">
        <v>751</v>
      </c>
      <c r="B204" t="s">
        <v>26</v>
      </c>
      <c r="C204" s="23" t="s">
        <v>172</v>
      </c>
      <c r="D204" s="23" t="s">
        <v>22242</v>
      </c>
      <c r="E204" s="23" t="s">
        <v>60</v>
      </c>
      <c r="F204" s="25" t="s">
        <v>752</v>
      </c>
      <c r="G204" s="25" t="s">
        <v>753</v>
      </c>
      <c r="H204" t="s">
        <v>26</v>
      </c>
      <c r="I204" t="s">
        <v>26</v>
      </c>
      <c r="J204" t="s">
        <v>26</v>
      </c>
      <c r="K204" t="s">
        <v>26</v>
      </c>
      <c r="L204" s="25" t="s">
        <v>68</v>
      </c>
      <c r="M204" t="s">
        <v>26</v>
      </c>
      <c r="N204" t="s">
        <v>26</v>
      </c>
      <c r="O204" t="s">
        <v>26</v>
      </c>
      <c r="P204" t="s">
        <v>26</v>
      </c>
      <c r="Q204" t="s">
        <v>26</v>
      </c>
      <c r="R204" t="s">
        <v>26</v>
      </c>
      <c r="S204" t="s">
        <v>26</v>
      </c>
      <c r="T204" t="s">
        <v>26</v>
      </c>
      <c r="U204" t="s">
        <v>26</v>
      </c>
      <c r="V204" t="s">
        <v>26</v>
      </c>
      <c r="W204" s="24">
        <v>38078</v>
      </c>
      <c r="X204" s="25" t="s">
        <v>77</v>
      </c>
      <c r="Y204" t="s">
        <v>26</v>
      </c>
      <c r="Z204" s="24">
        <v>38078</v>
      </c>
      <c r="AA204" s="25" t="s">
        <v>77</v>
      </c>
      <c r="AB204" t="s">
        <v>26</v>
      </c>
      <c r="AC204" s="24">
        <v>38078</v>
      </c>
      <c r="AD204" s="25" t="s">
        <v>77</v>
      </c>
      <c r="AE204" t="s">
        <v>26</v>
      </c>
      <c r="AF204" t="s">
        <v>26</v>
      </c>
      <c r="AG204" t="s">
        <v>26</v>
      </c>
      <c r="AH204" t="s">
        <v>26</v>
      </c>
      <c r="AI204" t="s">
        <v>26</v>
      </c>
      <c r="AJ204" t="s">
        <v>26</v>
      </c>
      <c r="AK204" t="s">
        <v>26</v>
      </c>
      <c r="AL204" t="s">
        <v>26</v>
      </c>
      <c r="AM204" t="s">
        <v>26</v>
      </c>
      <c r="AN204" t="s">
        <v>26</v>
      </c>
      <c r="AO204" s="25" t="s">
        <v>68</v>
      </c>
      <c r="AP204" s="23" t="s">
        <v>69</v>
      </c>
      <c r="AQ204" s="23" t="s">
        <v>30</v>
      </c>
      <c r="AR204" s="23" t="s">
        <v>128</v>
      </c>
      <c r="AS204" s="25">
        <v>33440</v>
      </c>
      <c r="AT204" t="s">
        <v>26</v>
      </c>
      <c r="AU204" t="s">
        <v>22468</v>
      </c>
    </row>
    <row r="205" spans="1:47" ht="26.25" x14ac:dyDescent="0.4">
      <c r="A205" s="23" t="s">
        <v>754</v>
      </c>
      <c r="B205" t="s">
        <v>26</v>
      </c>
      <c r="C205" s="23" t="s">
        <v>73</v>
      </c>
      <c r="D205" s="23" t="s">
        <v>22215</v>
      </c>
      <c r="E205" s="23" t="s">
        <v>74</v>
      </c>
      <c r="F205" s="25" t="s">
        <v>755</v>
      </c>
      <c r="G205" s="25" t="s">
        <v>756</v>
      </c>
      <c r="H205" t="s">
        <v>26</v>
      </c>
      <c r="I205" s="24">
        <v>41306</v>
      </c>
      <c r="J205" s="24">
        <v>43070</v>
      </c>
      <c r="K205" t="s">
        <v>26</v>
      </c>
      <c r="L205" s="25" t="s">
        <v>68</v>
      </c>
      <c r="M205" t="s">
        <v>26</v>
      </c>
      <c r="N205" t="s">
        <v>26</v>
      </c>
      <c r="O205" t="s">
        <v>26</v>
      </c>
      <c r="P205" s="24">
        <v>41306</v>
      </c>
      <c r="Q205" s="24">
        <v>43070</v>
      </c>
      <c r="R205" t="s">
        <v>26</v>
      </c>
      <c r="S205" t="s">
        <v>26</v>
      </c>
      <c r="T205" t="s">
        <v>26</v>
      </c>
      <c r="U205" t="s">
        <v>26</v>
      </c>
      <c r="V205" t="s">
        <v>26</v>
      </c>
      <c r="W205" s="24">
        <v>41306</v>
      </c>
      <c r="X205" s="24">
        <v>43070</v>
      </c>
      <c r="Y205" t="s">
        <v>26</v>
      </c>
      <c r="Z205" s="24">
        <v>41306</v>
      </c>
      <c r="AA205" s="24">
        <v>43070</v>
      </c>
      <c r="AB205" t="s">
        <v>26</v>
      </c>
      <c r="AC205" s="24">
        <v>41306</v>
      </c>
      <c r="AD205" s="24">
        <v>43070</v>
      </c>
      <c r="AE205" t="s">
        <v>26</v>
      </c>
      <c r="AF205" t="s">
        <v>26</v>
      </c>
      <c r="AG205" t="s">
        <v>26</v>
      </c>
      <c r="AH205" t="s">
        <v>26</v>
      </c>
      <c r="AI205" t="s">
        <v>26</v>
      </c>
      <c r="AJ205" t="s">
        <v>26</v>
      </c>
      <c r="AK205" t="s">
        <v>26</v>
      </c>
      <c r="AL205" t="s">
        <v>26</v>
      </c>
      <c r="AM205" t="s">
        <v>26</v>
      </c>
      <c r="AN205" t="s">
        <v>26</v>
      </c>
      <c r="AO205" s="25" t="s">
        <v>68</v>
      </c>
      <c r="AP205" s="23" t="s">
        <v>69</v>
      </c>
      <c r="AQ205" s="23" t="s">
        <v>30</v>
      </c>
      <c r="AR205" s="23" t="s">
        <v>757</v>
      </c>
      <c r="AS205" s="25">
        <v>2034797</v>
      </c>
      <c r="AT205" t="s">
        <v>26</v>
      </c>
      <c r="AU205" t="s">
        <v>22469</v>
      </c>
    </row>
    <row r="206" spans="1:47" ht="26.25" x14ac:dyDescent="0.4">
      <c r="A206" s="23" t="s">
        <v>758</v>
      </c>
      <c r="B206" t="s">
        <v>26</v>
      </c>
      <c r="C206" s="23" t="s">
        <v>172</v>
      </c>
      <c r="D206" s="23" t="s">
        <v>22242</v>
      </c>
      <c r="E206" s="23" t="s">
        <v>60</v>
      </c>
      <c r="F206" s="25" t="s">
        <v>759</v>
      </c>
      <c r="G206" s="25" t="s">
        <v>760</v>
      </c>
      <c r="H206" t="s">
        <v>26</v>
      </c>
      <c r="I206" t="s">
        <v>26</v>
      </c>
      <c r="J206" t="s">
        <v>26</v>
      </c>
      <c r="K206" t="s">
        <v>26</v>
      </c>
      <c r="L206" s="25" t="s">
        <v>68</v>
      </c>
      <c r="M206" t="s">
        <v>26</v>
      </c>
      <c r="N206" t="s">
        <v>26</v>
      </c>
      <c r="O206" t="s">
        <v>26</v>
      </c>
      <c r="P206" t="s">
        <v>26</v>
      </c>
      <c r="Q206" t="s">
        <v>26</v>
      </c>
      <c r="R206" t="s">
        <v>26</v>
      </c>
      <c r="S206" t="s">
        <v>26</v>
      </c>
      <c r="T206" t="s">
        <v>26</v>
      </c>
      <c r="U206" t="s">
        <v>26</v>
      </c>
      <c r="V206" t="s">
        <v>26</v>
      </c>
      <c r="W206" s="24">
        <v>36251</v>
      </c>
      <c r="X206" s="25" t="s">
        <v>77</v>
      </c>
      <c r="Y206" t="s">
        <v>26</v>
      </c>
      <c r="Z206" s="24">
        <v>36251</v>
      </c>
      <c r="AA206" s="25" t="s">
        <v>77</v>
      </c>
      <c r="AB206" t="s">
        <v>26</v>
      </c>
      <c r="AC206" s="24">
        <v>36251</v>
      </c>
      <c r="AD206" s="25" t="s">
        <v>77</v>
      </c>
      <c r="AE206" t="s">
        <v>26</v>
      </c>
      <c r="AF206" t="s">
        <v>26</v>
      </c>
      <c r="AG206" t="s">
        <v>26</v>
      </c>
      <c r="AH206" t="s">
        <v>26</v>
      </c>
      <c r="AI206" t="s">
        <v>26</v>
      </c>
      <c r="AJ206" t="s">
        <v>26</v>
      </c>
      <c r="AK206" t="s">
        <v>26</v>
      </c>
      <c r="AL206" t="s">
        <v>26</v>
      </c>
      <c r="AM206" t="s">
        <v>26</v>
      </c>
      <c r="AN206" t="s">
        <v>26</v>
      </c>
      <c r="AO206" s="25" t="s">
        <v>68</v>
      </c>
      <c r="AP206" s="23" t="s">
        <v>69</v>
      </c>
      <c r="AQ206" s="23" t="s">
        <v>30</v>
      </c>
      <c r="AR206" s="23" t="s">
        <v>761</v>
      </c>
      <c r="AS206" s="25">
        <v>26998</v>
      </c>
      <c r="AT206" t="s">
        <v>26</v>
      </c>
      <c r="AU206" t="s">
        <v>22470</v>
      </c>
    </row>
    <row r="207" spans="1:47" ht="26.25" x14ac:dyDescent="0.4">
      <c r="A207" s="23" t="s">
        <v>762</v>
      </c>
      <c r="B207" t="s">
        <v>26</v>
      </c>
      <c r="C207" s="23" t="s">
        <v>22471</v>
      </c>
      <c r="D207" s="23" t="s">
        <v>22472</v>
      </c>
      <c r="E207" s="23" t="s">
        <v>42</v>
      </c>
      <c r="F207" t="s">
        <v>26</v>
      </c>
      <c r="G207" t="s">
        <v>26</v>
      </c>
      <c r="H207" t="s">
        <v>26</v>
      </c>
      <c r="I207" s="24">
        <v>39814</v>
      </c>
      <c r="J207" s="24">
        <v>39814</v>
      </c>
      <c r="K207" t="s">
        <v>26</v>
      </c>
      <c r="L207" s="25" t="s">
        <v>28</v>
      </c>
      <c r="M207" s="24">
        <v>39814</v>
      </c>
      <c r="N207" s="24">
        <v>39814</v>
      </c>
      <c r="O207" t="s">
        <v>26</v>
      </c>
      <c r="P207" t="s">
        <v>26</v>
      </c>
      <c r="Q207" t="s">
        <v>26</v>
      </c>
      <c r="R207" t="s">
        <v>26</v>
      </c>
      <c r="S207" s="24">
        <v>39814</v>
      </c>
      <c r="T207" s="24">
        <v>39814</v>
      </c>
      <c r="U207" t="s">
        <v>26</v>
      </c>
      <c r="V207" t="s">
        <v>26</v>
      </c>
      <c r="W207" s="24">
        <v>39814</v>
      </c>
      <c r="X207" s="24">
        <v>39814</v>
      </c>
      <c r="Y207" t="s">
        <v>26</v>
      </c>
      <c r="Z207" s="24">
        <v>39814</v>
      </c>
      <c r="AA207" s="24">
        <v>39814</v>
      </c>
      <c r="AB207" t="s">
        <v>26</v>
      </c>
      <c r="AC207" s="24">
        <v>39814</v>
      </c>
      <c r="AD207" s="24">
        <v>39814</v>
      </c>
      <c r="AE207" t="s">
        <v>26</v>
      </c>
      <c r="AF207" s="24">
        <v>39814</v>
      </c>
      <c r="AG207" s="24">
        <v>39814</v>
      </c>
      <c r="AH207" t="s">
        <v>26</v>
      </c>
      <c r="AI207" s="24">
        <v>39814</v>
      </c>
      <c r="AJ207" s="24">
        <v>39814</v>
      </c>
      <c r="AK207" t="s">
        <v>26</v>
      </c>
      <c r="AL207" t="s">
        <v>26</v>
      </c>
      <c r="AM207" t="s">
        <v>26</v>
      </c>
      <c r="AN207" t="s">
        <v>26</v>
      </c>
      <c r="AO207" s="25" t="s">
        <v>28</v>
      </c>
      <c r="AP207" s="23" t="s">
        <v>43</v>
      </c>
      <c r="AQ207" s="23" t="s">
        <v>30</v>
      </c>
      <c r="AR207" s="23" t="s">
        <v>46</v>
      </c>
      <c r="AS207" s="25">
        <v>6359428</v>
      </c>
      <c r="AT207" t="s">
        <v>26</v>
      </c>
      <c r="AU207" t="s">
        <v>22473</v>
      </c>
    </row>
    <row r="208" spans="1:47" ht="26.25" x14ac:dyDescent="0.4">
      <c r="A208" s="23" t="s">
        <v>763</v>
      </c>
      <c r="B208" t="s">
        <v>26</v>
      </c>
      <c r="C208" s="23" t="s">
        <v>22471</v>
      </c>
      <c r="D208" s="23" t="s">
        <v>22472</v>
      </c>
      <c r="E208" s="23" t="s">
        <v>42</v>
      </c>
      <c r="F208" t="s">
        <v>26</v>
      </c>
      <c r="G208" t="s">
        <v>26</v>
      </c>
      <c r="H208" t="s">
        <v>26</v>
      </c>
      <c r="I208" s="24">
        <v>39814</v>
      </c>
      <c r="J208" s="24">
        <v>39814</v>
      </c>
      <c r="K208" t="s">
        <v>26</v>
      </c>
      <c r="L208" s="25" t="s">
        <v>28</v>
      </c>
      <c r="M208" s="24">
        <v>39814</v>
      </c>
      <c r="N208" s="24">
        <v>39814</v>
      </c>
      <c r="O208" t="s">
        <v>26</v>
      </c>
      <c r="P208" t="s">
        <v>26</v>
      </c>
      <c r="Q208" t="s">
        <v>26</v>
      </c>
      <c r="R208" t="s">
        <v>26</v>
      </c>
      <c r="S208" s="24">
        <v>39814</v>
      </c>
      <c r="T208" s="24">
        <v>39814</v>
      </c>
      <c r="U208" t="s">
        <v>26</v>
      </c>
      <c r="V208" t="s">
        <v>26</v>
      </c>
      <c r="W208" s="24">
        <v>39814</v>
      </c>
      <c r="X208" s="24">
        <v>39814</v>
      </c>
      <c r="Y208" t="s">
        <v>26</v>
      </c>
      <c r="Z208" s="24">
        <v>39814</v>
      </c>
      <c r="AA208" s="24">
        <v>39814</v>
      </c>
      <c r="AB208" t="s">
        <v>26</v>
      </c>
      <c r="AC208" s="24">
        <v>39814</v>
      </c>
      <c r="AD208" s="24">
        <v>39814</v>
      </c>
      <c r="AE208" t="s">
        <v>26</v>
      </c>
      <c r="AF208" s="24">
        <v>39814</v>
      </c>
      <c r="AG208" s="24">
        <v>39814</v>
      </c>
      <c r="AH208" t="s">
        <v>26</v>
      </c>
      <c r="AI208" s="24">
        <v>39814</v>
      </c>
      <c r="AJ208" s="24">
        <v>39814</v>
      </c>
      <c r="AK208" t="s">
        <v>26</v>
      </c>
      <c r="AL208" t="s">
        <v>26</v>
      </c>
      <c r="AM208" t="s">
        <v>26</v>
      </c>
      <c r="AN208" t="s">
        <v>26</v>
      </c>
      <c r="AO208" s="25" t="s">
        <v>28</v>
      </c>
      <c r="AP208" s="23" t="s">
        <v>43</v>
      </c>
      <c r="AQ208" s="23" t="s">
        <v>30</v>
      </c>
      <c r="AR208" s="23" t="s">
        <v>46</v>
      </c>
      <c r="AS208" s="25">
        <v>6359427</v>
      </c>
      <c r="AT208" t="s">
        <v>26</v>
      </c>
      <c r="AU208" t="s">
        <v>22474</v>
      </c>
    </row>
    <row r="209" spans="1:47" ht="13.15" x14ac:dyDescent="0.4">
      <c r="A209" s="23" t="s">
        <v>764</v>
      </c>
      <c r="B209" t="s">
        <v>26</v>
      </c>
      <c r="C209" s="23" t="s">
        <v>146</v>
      </c>
      <c r="D209" s="23" t="s">
        <v>22174</v>
      </c>
      <c r="E209" s="23" t="s">
        <v>60</v>
      </c>
      <c r="F209" t="s">
        <v>26</v>
      </c>
      <c r="G209" t="s">
        <v>26</v>
      </c>
      <c r="H209" t="s">
        <v>26</v>
      </c>
      <c r="I209" t="s">
        <v>26</v>
      </c>
      <c r="J209" t="s">
        <v>26</v>
      </c>
      <c r="K209" t="s">
        <v>26</v>
      </c>
      <c r="L209" s="25" t="s">
        <v>28</v>
      </c>
      <c r="M209" t="s">
        <v>26</v>
      </c>
      <c r="N209" t="s">
        <v>26</v>
      </c>
      <c r="O209" t="s">
        <v>26</v>
      </c>
      <c r="P209" t="s">
        <v>26</v>
      </c>
      <c r="Q209" t="s">
        <v>26</v>
      </c>
      <c r="R209" t="s">
        <v>26</v>
      </c>
      <c r="S209" t="s">
        <v>26</v>
      </c>
      <c r="T209" t="s">
        <v>26</v>
      </c>
      <c r="U209" t="s">
        <v>26</v>
      </c>
      <c r="V209" t="s">
        <v>26</v>
      </c>
      <c r="W209" s="24">
        <v>41640</v>
      </c>
      <c r="X209" s="24">
        <v>41640</v>
      </c>
      <c r="Y209" t="s">
        <v>26</v>
      </c>
      <c r="Z209" s="24">
        <v>41640</v>
      </c>
      <c r="AA209" s="24">
        <v>41640</v>
      </c>
      <c r="AB209" t="s">
        <v>26</v>
      </c>
      <c r="AC209" t="s">
        <v>26</v>
      </c>
      <c r="AD209" t="s">
        <v>26</v>
      </c>
      <c r="AE209" t="s">
        <v>26</v>
      </c>
      <c r="AF209" t="s">
        <v>26</v>
      </c>
      <c r="AG209" t="s">
        <v>26</v>
      </c>
      <c r="AH209" t="s">
        <v>26</v>
      </c>
      <c r="AI209" t="s">
        <v>26</v>
      </c>
      <c r="AJ209" t="s">
        <v>26</v>
      </c>
      <c r="AK209" t="s">
        <v>26</v>
      </c>
      <c r="AL209" t="s">
        <v>26</v>
      </c>
      <c r="AM209" t="s">
        <v>26</v>
      </c>
      <c r="AN209" t="s">
        <v>26</v>
      </c>
      <c r="AO209" s="25" t="s">
        <v>28</v>
      </c>
      <c r="AP209" s="23" t="s">
        <v>29</v>
      </c>
      <c r="AQ209" s="23" t="s">
        <v>30</v>
      </c>
      <c r="AR209" s="23" t="s">
        <v>44</v>
      </c>
      <c r="AS209" s="25">
        <v>5483633</v>
      </c>
      <c r="AT209" s="23" t="s">
        <v>22181</v>
      </c>
      <c r="AU209" t="s">
        <v>22475</v>
      </c>
    </row>
    <row r="210" spans="1:47" ht="26.25" x14ac:dyDescent="0.4">
      <c r="A210" s="23" t="s">
        <v>765</v>
      </c>
      <c r="B210" t="s">
        <v>26</v>
      </c>
      <c r="C210" s="23" t="s">
        <v>107</v>
      </c>
      <c r="D210" s="23" t="s">
        <v>22476</v>
      </c>
      <c r="E210" s="23" t="s">
        <v>42</v>
      </c>
      <c r="F210" s="25" t="s">
        <v>766</v>
      </c>
      <c r="G210" s="25" t="s">
        <v>767</v>
      </c>
      <c r="H210" t="s">
        <v>26</v>
      </c>
      <c r="I210" t="s">
        <v>26</v>
      </c>
      <c r="J210" t="s">
        <v>26</v>
      </c>
      <c r="K210" t="s">
        <v>26</v>
      </c>
      <c r="L210" s="25" t="s">
        <v>68</v>
      </c>
      <c r="M210" t="s">
        <v>26</v>
      </c>
      <c r="N210" t="s">
        <v>26</v>
      </c>
      <c r="O210" t="s">
        <v>26</v>
      </c>
      <c r="P210" t="s">
        <v>26</v>
      </c>
      <c r="Q210" t="s">
        <v>26</v>
      </c>
      <c r="R210" t="s">
        <v>26</v>
      </c>
      <c r="S210" t="s">
        <v>26</v>
      </c>
      <c r="T210" t="s">
        <v>26</v>
      </c>
      <c r="U210" t="s">
        <v>26</v>
      </c>
      <c r="V210" t="s">
        <v>26</v>
      </c>
      <c r="W210" s="24">
        <v>36130</v>
      </c>
      <c r="X210" s="24">
        <v>37226</v>
      </c>
      <c r="Y210" t="s">
        <v>26</v>
      </c>
      <c r="Z210" s="24">
        <v>36130</v>
      </c>
      <c r="AA210" s="24">
        <v>37226</v>
      </c>
      <c r="AB210" t="s">
        <v>26</v>
      </c>
      <c r="AC210" t="s">
        <v>26</v>
      </c>
      <c r="AD210" t="s">
        <v>26</v>
      </c>
      <c r="AE210" t="s">
        <v>26</v>
      </c>
      <c r="AF210" t="s">
        <v>26</v>
      </c>
      <c r="AG210" t="s">
        <v>26</v>
      </c>
      <c r="AH210" t="s">
        <v>26</v>
      </c>
      <c r="AI210" t="s">
        <v>26</v>
      </c>
      <c r="AJ210" t="s">
        <v>26</v>
      </c>
      <c r="AK210" t="s">
        <v>26</v>
      </c>
      <c r="AL210" t="s">
        <v>26</v>
      </c>
      <c r="AM210" t="s">
        <v>26</v>
      </c>
      <c r="AN210" t="s">
        <v>26</v>
      </c>
      <c r="AO210" s="25" t="s">
        <v>68</v>
      </c>
      <c r="AP210" s="23" t="s">
        <v>69</v>
      </c>
      <c r="AQ210" s="23" t="s">
        <v>30</v>
      </c>
      <c r="AR210" s="23" t="s">
        <v>70</v>
      </c>
      <c r="AS210" s="25">
        <v>12799</v>
      </c>
      <c r="AT210" t="s">
        <v>26</v>
      </c>
      <c r="AU210" t="s">
        <v>22477</v>
      </c>
    </row>
    <row r="211" spans="1:47" ht="26.25" x14ac:dyDescent="0.4">
      <c r="A211" s="23" t="s">
        <v>768</v>
      </c>
      <c r="B211" t="s">
        <v>26</v>
      </c>
      <c r="C211" s="23" t="s">
        <v>22238</v>
      </c>
      <c r="D211" s="23" t="s">
        <v>22307</v>
      </c>
      <c r="E211" s="23" t="s">
        <v>42</v>
      </c>
      <c r="F211" t="s">
        <v>26</v>
      </c>
      <c r="G211" t="s">
        <v>26</v>
      </c>
      <c r="H211" t="s">
        <v>26</v>
      </c>
      <c r="I211" s="24">
        <v>43101</v>
      </c>
      <c r="J211" s="24">
        <v>43101</v>
      </c>
      <c r="K211" t="s">
        <v>26</v>
      </c>
      <c r="L211" s="25" t="s">
        <v>28</v>
      </c>
      <c r="M211" s="24">
        <v>43101</v>
      </c>
      <c r="N211" s="24">
        <v>43101</v>
      </c>
      <c r="O211" t="s">
        <v>26</v>
      </c>
      <c r="P211" t="s">
        <v>26</v>
      </c>
      <c r="Q211" t="s">
        <v>26</v>
      </c>
      <c r="R211" t="s">
        <v>26</v>
      </c>
      <c r="S211" s="24">
        <v>43101</v>
      </c>
      <c r="T211" s="24">
        <v>43101</v>
      </c>
      <c r="U211" t="s">
        <v>26</v>
      </c>
      <c r="V211" t="s">
        <v>26</v>
      </c>
      <c r="W211" s="24">
        <v>43101</v>
      </c>
      <c r="X211" s="24">
        <v>43101</v>
      </c>
      <c r="Y211" t="s">
        <v>26</v>
      </c>
      <c r="Z211" s="24">
        <v>43101</v>
      </c>
      <c r="AA211" s="24">
        <v>43101</v>
      </c>
      <c r="AB211" t="s">
        <v>26</v>
      </c>
      <c r="AC211" s="24">
        <v>43101</v>
      </c>
      <c r="AD211" s="24">
        <v>43101</v>
      </c>
      <c r="AE211" t="s">
        <v>26</v>
      </c>
      <c r="AF211" s="24">
        <v>43101</v>
      </c>
      <c r="AG211" s="24">
        <v>43101</v>
      </c>
      <c r="AH211" t="s">
        <v>26</v>
      </c>
      <c r="AI211" s="24">
        <v>43101</v>
      </c>
      <c r="AJ211" s="24">
        <v>43101</v>
      </c>
      <c r="AK211" t="s">
        <v>26</v>
      </c>
      <c r="AL211" t="s">
        <v>26</v>
      </c>
      <c r="AM211" t="s">
        <v>26</v>
      </c>
      <c r="AN211" t="s">
        <v>26</v>
      </c>
      <c r="AO211" s="25" t="s">
        <v>28</v>
      </c>
      <c r="AP211" s="23" t="s">
        <v>43</v>
      </c>
      <c r="AQ211" s="23" t="s">
        <v>30</v>
      </c>
      <c r="AR211" s="23" t="s">
        <v>46</v>
      </c>
      <c r="AS211" s="25">
        <v>6447830</v>
      </c>
      <c r="AT211" t="s">
        <v>26</v>
      </c>
      <c r="AU211" t="s">
        <v>22478</v>
      </c>
    </row>
    <row r="212" spans="1:47" ht="26.25" x14ac:dyDescent="0.4">
      <c r="A212" s="23" t="s">
        <v>769</v>
      </c>
      <c r="B212" t="s">
        <v>26</v>
      </c>
      <c r="C212" s="23" t="s">
        <v>22238</v>
      </c>
      <c r="D212" t="s">
        <v>26</v>
      </c>
      <c r="E212" s="23" t="s">
        <v>42</v>
      </c>
      <c r="F212" t="s">
        <v>26</v>
      </c>
      <c r="G212" t="s">
        <v>26</v>
      </c>
      <c r="H212" t="s">
        <v>26</v>
      </c>
      <c r="I212" s="24">
        <v>43101</v>
      </c>
      <c r="J212" s="24">
        <v>43101</v>
      </c>
      <c r="K212" t="s">
        <v>26</v>
      </c>
      <c r="L212" s="25" t="s">
        <v>28</v>
      </c>
      <c r="M212" s="24">
        <v>43101</v>
      </c>
      <c r="N212" s="24">
        <v>43101</v>
      </c>
      <c r="O212" t="s">
        <v>26</v>
      </c>
      <c r="P212" t="s">
        <v>26</v>
      </c>
      <c r="Q212" t="s">
        <v>26</v>
      </c>
      <c r="R212" t="s">
        <v>26</v>
      </c>
      <c r="S212" s="24">
        <v>43101</v>
      </c>
      <c r="T212" s="24">
        <v>43101</v>
      </c>
      <c r="U212" t="s">
        <v>26</v>
      </c>
      <c r="V212" t="s">
        <v>26</v>
      </c>
      <c r="W212" s="24">
        <v>43101</v>
      </c>
      <c r="X212" s="24">
        <v>43101</v>
      </c>
      <c r="Y212" t="s">
        <v>26</v>
      </c>
      <c r="Z212" s="24">
        <v>43101</v>
      </c>
      <c r="AA212" s="24">
        <v>43101</v>
      </c>
      <c r="AB212" t="s">
        <v>26</v>
      </c>
      <c r="AC212" s="24">
        <v>43101</v>
      </c>
      <c r="AD212" s="24">
        <v>43101</v>
      </c>
      <c r="AE212" t="s">
        <v>26</v>
      </c>
      <c r="AF212" s="24">
        <v>43101</v>
      </c>
      <c r="AG212" s="24">
        <v>43101</v>
      </c>
      <c r="AH212" t="s">
        <v>26</v>
      </c>
      <c r="AI212" s="24">
        <v>43101</v>
      </c>
      <c r="AJ212" s="24">
        <v>43101</v>
      </c>
      <c r="AK212" t="s">
        <v>26</v>
      </c>
      <c r="AL212" t="s">
        <v>26</v>
      </c>
      <c r="AM212" t="s">
        <v>26</v>
      </c>
      <c r="AN212" t="s">
        <v>26</v>
      </c>
      <c r="AO212" s="25" t="s">
        <v>28</v>
      </c>
      <c r="AP212" s="23" t="s">
        <v>43</v>
      </c>
      <c r="AQ212" s="23" t="s">
        <v>30</v>
      </c>
      <c r="AR212" s="23" t="s">
        <v>44</v>
      </c>
      <c r="AS212" s="25">
        <v>5262096</v>
      </c>
      <c r="AT212" t="s">
        <v>26</v>
      </c>
      <c r="AU212" t="s">
        <v>22479</v>
      </c>
    </row>
    <row r="213" spans="1:47" ht="26.25" x14ac:dyDescent="0.4">
      <c r="A213" s="23" t="s">
        <v>770</v>
      </c>
      <c r="B213" t="s">
        <v>26</v>
      </c>
      <c r="C213" s="23" t="s">
        <v>22238</v>
      </c>
      <c r="D213" s="23" t="s">
        <v>22307</v>
      </c>
      <c r="E213" s="23" t="s">
        <v>42</v>
      </c>
      <c r="F213" t="s">
        <v>26</v>
      </c>
      <c r="G213" t="s">
        <v>26</v>
      </c>
      <c r="H213" t="s">
        <v>26</v>
      </c>
      <c r="I213" s="24">
        <v>43101</v>
      </c>
      <c r="J213" s="24">
        <v>43101</v>
      </c>
      <c r="K213" t="s">
        <v>26</v>
      </c>
      <c r="L213" s="25" t="s">
        <v>28</v>
      </c>
      <c r="M213" s="24">
        <v>43101</v>
      </c>
      <c r="N213" s="24">
        <v>43101</v>
      </c>
      <c r="O213" t="s">
        <v>26</v>
      </c>
      <c r="P213" t="s">
        <v>26</v>
      </c>
      <c r="Q213" t="s">
        <v>26</v>
      </c>
      <c r="R213" t="s">
        <v>26</v>
      </c>
      <c r="S213" s="24">
        <v>43101</v>
      </c>
      <c r="T213" s="24">
        <v>43101</v>
      </c>
      <c r="U213" t="s">
        <v>26</v>
      </c>
      <c r="V213" t="s">
        <v>26</v>
      </c>
      <c r="W213" s="24">
        <v>43101</v>
      </c>
      <c r="X213" s="24">
        <v>43101</v>
      </c>
      <c r="Y213" t="s">
        <v>26</v>
      </c>
      <c r="Z213" s="24">
        <v>43101</v>
      </c>
      <c r="AA213" s="24">
        <v>43101</v>
      </c>
      <c r="AB213" t="s">
        <v>26</v>
      </c>
      <c r="AC213" s="24">
        <v>43101</v>
      </c>
      <c r="AD213" s="24">
        <v>43101</v>
      </c>
      <c r="AE213" t="s">
        <v>26</v>
      </c>
      <c r="AF213" s="24">
        <v>43101</v>
      </c>
      <c r="AG213" s="24">
        <v>43101</v>
      </c>
      <c r="AH213" t="s">
        <v>26</v>
      </c>
      <c r="AI213" s="24">
        <v>43101</v>
      </c>
      <c r="AJ213" s="24">
        <v>43101</v>
      </c>
      <c r="AK213" t="s">
        <v>26</v>
      </c>
      <c r="AL213" t="s">
        <v>26</v>
      </c>
      <c r="AM213" t="s">
        <v>26</v>
      </c>
      <c r="AN213" t="s">
        <v>26</v>
      </c>
      <c r="AO213" s="25" t="s">
        <v>28</v>
      </c>
      <c r="AP213" s="23" t="s">
        <v>43</v>
      </c>
      <c r="AQ213" s="23" t="s">
        <v>30</v>
      </c>
      <c r="AR213" s="23" t="s">
        <v>46</v>
      </c>
      <c r="AS213" s="25">
        <v>6447829</v>
      </c>
      <c r="AT213" t="s">
        <v>26</v>
      </c>
      <c r="AU213" t="s">
        <v>22480</v>
      </c>
    </row>
    <row r="214" spans="1:47" ht="26.25" x14ac:dyDescent="0.4">
      <c r="A214" s="23" t="s">
        <v>771</v>
      </c>
      <c r="B214" t="s">
        <v>26</v>
      </c>
      <c r="C214" s="23" t="s">
        <v>22238</v>
      </c>
      <c r="D214" t="s">
        <v>26</v>
      </c>
      <c r="E214" s="23" t="s">
        <v>42</v>
      </c>
      <c r="F214" t="s">
        <v>26</v>
      </c>
      <c r="G214" t="s">
        <v>26</v>
      </c>
      <c r="H214" t="s">
        <v>26</v>
      </c>
      <c r="I214" s="24">
        <v>43101</v>
      </c>
      <c r="J214" s="24">
        <v>43101</v>
      </c>
      <c r="K214" t="s">
        <v>26</v>
      </c>
      <c r="L214" s="25" t="s">
        <v>28</v>
      </c>
      <c r="M214" s="24">
        <v>43101</v>
      </c>
      <c r="N214" s="24">
        <v>43101</v>
      </c>
      <c r="O214" t="s">
        <v>26</v>
      </c>
      <c r="P214" t="s">
        <v>26</v>
      </c>
      <c r="Q214" t="s">
        <v>26</v>
      </c>
      <c r="R214" t="s">
        <v>26</v>
      </c>
      <c r="S214" s="24">
        <v>43101</v>
      </c>
      <c r="T214" s="24">
        <v>43101</v>
      </c>
      <c r="U214" t="s">
        <v>26</v>
      </c>
      <c r="V214" t="s">
        <v>26</v>
      </c>
      <c r="W214" s="24">
        <v>43101</v>
      </c>
      <c r="X214" s="24">
        <v>43101</v>
      </c>
      <c r="Y214" t="s">
        <v>26</v>
      </c>
      <c r="Z214" s="24">
        <v>43101</v>
      </c>
      <c r="AA214" s="24">
        <v>43101</v>
      </c>
      <c r="AB214" t="s">
        <v>26</v>
      </c>
      <c r="AC214" s="24">
        <v>43101</v>
      </c>
      <c r="AD214" s="24">
        <v>43101</v>
      </c>
      <c r="AE214" t="s">
        <v>26</v>
      </c>
      <c r="AF214" s="24">
        <v>43101</v>
      </c>
      <c r="AG214" s="24">
        <v>43101</v>
      </c>
      <c r="AH214" t="s">
        <v>26</v>
      </c>
      <c r="AI214" s="24">
        <v>43101</v>
      </c>
      <c r="AJ214" s="24">
        <v>43101</v>
      </c>
      <c r="AK214" t="s">
        <v>26</v>
      </c>
      <c r="AL214" t="s">
        <v>26</v>
      </c>
      <c r="AM214" t="s">
        <v>26</v>
      </c>
      <c r="AN214" t="s">
        <v>26</v>
      </c>
      <c r="AO214" s="25" t="s">
        <v>28</v>
      </c>
      <c r="AP214" s="23" t="s">
        <v>43</v>
      </c>
      <c r="AQ214" s="23" t="s">
        <v>30</v>
      </c>
      <c r="AR214" s="23" t="s">
        <v>44</v>
      </c>
      <c r="AS214" s="25">
        <v>5262095</v>
      </c>
      <c r="AT214" t="s">
        <v>26</v>
      </c>
      <c r="AU214" t="s">
        <v>22481</v>
      </c>
    </row>
    <row r="215" spans="1:47" ht="26.25" x14ac:dyDescent="0.4">
      <c r="A215" s="23" t="s">
        <v>772</v>
      </c>
      <c r="B215" t="s">
        <v>26</v>
      </c>
      <c r="C215" s="23" t="s">
        <v>22238</v>
      </c>
      <c r="D215" t="s">
        <v>26</v>
      </c>
      <c r="E215" s="23" t="s">
        <v>42</v>
      </c>
      <c r="F215" t="s">
        <v>26</v>
      </c>
      <c r="G215" t="s">
        <v>26</v>
      </c>
      <c r="H215" t="s">
        <v>26</v>
      </c>
      <c r="I215" s="24">
        <v>43101</v>
      </c>
      <c r="J215" s="24">
        <v>43101</v>
      </c>
      <c r="K215" t="s">
        <v>26</v>
      </c>
      <c r="L215" s="25" t="s">
        <v>28</v>
      </c>
      <c r="M215" s="24">
        <v>43101</v>
      </c>
      <c r="N215" s="24">
        <v>43101</v>
      </c>
      <c r="O215" t="s">
        <v>26</v>
      </c>
      <c r="P215" t="s">
        <v>26</v>
      </c>
      <c r="Q215" t="s">
        <v>26</v>
      </c>
      <c r="R215" t="s">
        <v>26</v>
      </c>
      <c r="S215" s="24">
        <v>43101</v>
      </c>
      <c r="T215" s="24">
        <v>43101</v>
      </c>
      <c r="U215" t="s">
        <v>26</v>
      </c>
      <c r="V215" t="s">
        <v>26</v>
      </c>
      <c r="W215" s="24">
        <v>43101</v>
      </c>
      <c r="X215" s="24">
        <v>43101</v>
      </c>
      <c r="Y215" t="s">
        <v>26</v>
      </c>
      <c r="Z215" s="24">
        <v>43101</v>
      </c>
      <c r="AA215" s="24">
        <v>43101</v>
      </c>
      <c r="AB215" t="s">
        <v>26</v>
      </c>
      <c r="AC215" s="24">
        <v>43101</v>
      </c>
      <c r="AD215" s="24">
        <v>43101</v>
      </c>
      <c r="AE215" t="s">
        <v>26</v>
      </c>
      <c r="AF215" s="24">
        <v>43101</v>
      </c>
      <c r="AG215" s="24">
        <v>43101</v>
      </c>
      <c r="AH215" t="s">
        <v>26</v>
      </c>
      <c r="AI215" s="24">
        <v>43101</v>
      </c>
      <c r="AJ215" s="24">
        <v>43101</v>
      </c>
      <c r="AK215" t="s">
        <v>26</v>
      </c>
      <c r="AL215" t="s">
        <v>26</v>
      </c>
      <c r="AM215" t="s">
        <v>26</v>
      </c>
      <c r="AN215" t="s">
        <v>26</v>
      </c>
      <c r="AO215" s="25" t="s">
        <v>28</v>
      </c>
      <c r="AP215" s="23" t="s">
        <v>43</v>
      </c>
      <c r="AQ215" s="23" t="s">
        <v>30</v>
      </c>
      <c r="AR215" s="23" t="s">
        <v>44</v>
      </c>
      <c r="AS215" s="25">
        <v>5262532</v>
      </c>
      <c r="AT215" t="s">
        <v>26</v>
      </c>
      <c r="AU215" t="s">
        <v>22482</v>
      </c>
    </row>
    <row r="216" spans="1:47" ht="26.25" x14ac:dyDescent="0.4">
      <c r="A216" s="23" t="s">
        <v>773</v>
      </c>
      <c r="B216" t="s">
        <v>26</v>
      </c>
      <c r="C216" s="23" t="s">
        <v>22238</v>
      </c>
      <c r="D216" t="s">
        <v>26</v>
      </c>
      <c r="E216" s="23" t="s">
        <v>42</v>
      </c>
      <c r="F216" t="s">
        <v>26</v>
      </c>
      <c r="G216" t="s">
        <v>26</v>
      </c>
      <c r="H216" t="s">
        <v>26</v>
      </c>
      <c r="I216" s="24">
        <v>43101</v>
      </c>
      <c r="J216" s="24">
        <v>43101</v>
      </c>
      <c r="K216" t="s">
        <v>26</v>
      </c>
      <c r="L216" s="25" t="s">
        <v>28</v>
      </c>
      <c r="M216" s="24">
        <v>43101</v>
      </c>
      <c r="N216" s="24">
        <v>43101</v>
      </c>
      <c r="O216" t="s">
        <v>26</v>
      </c>
      <c r="P216" t="s">
        <v>26</v>
      </c>
      <c r="Q216" t="s">
        <v>26</v>
      </c>
      <c r="R216" t="s">
        <v>26</v>
      </c>
      <c r="S216" s="24">
        <v>43101</v>
      </c>
      <c r="T216" s="24">
        <v>43101</v>
      </c>
      <c r="U216" t="s">
        <v>26</v>
      </c>
      <c r="V216" t="s">
        <v>26</v>
      </c>
      <c r="W216" s="24">
        <v>43101</v>
      </c>
      <c r="X216" s="24">
        <v>43101</v>
      </c>
      <c r="Y216" t="s">
        <v>26</v>
      </c>
      <c r="Z216" s="24">
        <v>43101</v>
      </c>
      <c r="AA216" s="24">
        <v>43101</v>
      </c>
      <c r="AB216" t="s">
        <v>26</v>
      </c>
      <c r="AC216" s="24">
        <v>43101</v>
      </c>
      <c r="AD216" s="24">
        <v>43101</v>
      </c>
      <c r="AE216" t="s">
        <v>26</v>
      </c>
      <c r="AF216" s="24">
        <v>43101</v>
      </c>
      <c r="AG216" s="24">
        <v>43101</v>
      </c>
      <c r="AH216" t="s">
        <v>26</v>
      </c>
      <c r="AI216" s="24">
        <v>43101</v>
      </c>
      <c r="AJ216" s="24">
        <v>43101</v>
      </c>
      <c r="AK216" t="s">
        <v>26</v>
      </c>
      <c r="AL216" t="s">
        <v>26</v>
      </c>
      <c r="AM216" t="s">
        <v>26</v>
      </c>
      <c r="AN216" t="s">
        <v>26</v>
      </c>
      <c r="AO216" s="25" t="s">
        <v>28</v>
      </c>
      <c r="AP216" s="23" t="s">
        <v>43</v>
      </c>
      <c r="AQ216" s="23" t="s">
        <v>30</v>
      </c>
      <c r="AR216" s="23" t="s">
        <v>44</v>
      </c>
      <c r="AS216" s="25">
        <v>5262094</v>
      </c>
      <c r="AT216" t="s">
        <v>26</v>
      </c>
      <c r="AU216" t="s">
        <v>22483</v>
      </c>
    </row>
    <row r="217" spans="1:47" ht="26.25" x14ac:dyDescent="0.4">
      <c r="A217" s="23" t="s">
        <v>774</v>
      </c>
      <c r="B217" t="s">
        <v>26</v>
      </c>
      <c r="C217" s="23" t="s">
        <v>22238</v>
      </c>
      <c r="D217" s="23" t="s">
        <v>22307</v>
      </c>
      <c r="E217" s="23" t="s">
        <v>42</v>
      </c>
      <c r="F217" t="s">
        <v>26</v>
      </c>
      <c r="G217" t="s">
        <v>26</v>
      </c>
      <c r="H217" t="s">
        <v>26</v>
      </c>
      <c r="I217" s="24">
        <v>40909</v>
      </c>
      <c r="J217" s="24">
        <v>40909</v>
      </c>
      <c r="K217" t="s">
        <v>26</v>
      </c>
      <c r="L217" s="25" t="s">
        <v>28</v>
      </c>
      <c r="M217" s="24">
        <v>40909</v>
      </c>
      <c r="N217" s="24">
        <v>40909</v>
      </c>
      <c r="O217" t="s">
        <v>26</v>
      </c>
      <c r="P217" t="s">
        <v>26</v>
      </c>
      <c r="Q217" t="s">
        <v>26</v>
      </c>
      <c r="R217" t="s">
        <v>26</v>
      </c>
      <c r="S217" s="24">
        <v>40909</v>
      </c>
      <c r="T217" s="24">
        <v>40909</v>
      </c>
      <c r="U217" t="s">
        <v>26</v>
      </c>
      <c r="V217" t="s">
        <v>26</v>
      </c>
      <c r="W217" s="24">
        <v>40909</v>
      </c>
      <c r="X217" s="24">
        <v>40909</v>
      </c>
      <c r="Y217" t="s">
        <v>26</v>
      </c>
      <c r="Z217" s="24">
        <v>40909</v>
      </c>
      <c r="AA217" s="24">
        <v>40909</v>
      </c>
      <c r="AB217" t="s">
        <v>26</v>
      </c>
      <c r="AC217" s="24">
        <v>40909</v>
      </c>
      <c r="AD217" s="24">
        <v>40909</v>
      </c>
      <c r="AE217" t="s">
        <v>26</v>
      </c>
      <c r="AF217" s="24">
        <v>40909</v>
      </c>
      <c r="AG217" s="24">
        <v>40909</v>
      </c>
      <c r="AH217" t="s">
        <v>26</v>
      </c>
      <c r="AI217" s="24">
        <v>40909</v>
      </c>
      <c r="AJ217" s="24">
        <v>40909</v>
      </c>
      <c r="AK217" t="s">
        <v>26</v>
      </c>
      <c r="AL217" t="s">
        <v>26</v>
      </c>
      <c r="AM217" t="s">
        <v>26</v>
      </c>
      <c r="AN217" t="s">
        <v>26</v>
      </c>
      <c r="AO217" s="25" t="s">
        <v>28</v>
      </c>
      <c r="AP217" s="23" t="s">
        <v>43</v>
      </c>
      <c r="AQ217" s="23" t="s">
        <v>30</v>
      </c>
      <c r="AR217" s="23" t="s">
        <v>46</v>
      </c>
      <c r="AS217" s="25">
        <v>6447832</v>
      </c>
      <c r="AT217" t="s">
        <v>26</v>
      </c>
      <c r="AU217" t="s">
        <v>22484</v>
      </c>
    </row>
    <row r="218" spans="1:47" ht="26.25" x14ac:dyDescent="0.4">
      <c r="A218" s="23" t="s">
        <v>775</v>
      </c>
      <c r="B218" t="s">
        <v>26</v>
      </c>
      <c r="C218" s="23" t="s">
        <v>22238</v>
      </c>
      <c r="D218" s="23" t="s">
        <v>22307</v>
      </c>
      <c r="E218" s="23" t="s">
        <v>42</v>
      </c>
      <c r="F218" t="s">
        <v>26</v>
      </c>
      <c r="G218" t="s">
        <v>26</v>
      </c>
      <c r="H218" t="s">
        <v>26</v>
      </c>
      <c r="I218" s="24">
        <v>41275</v>
      </c>
      <c r="J218" s="24">
        <v>41275</v>
      </c>
      <c r="K218" t="s">
        <v>26</v>
      </c>
      <c r="L218" s="25" t="s">
        <v>28</v>
      </c>
      <c r="M218" s="24">
        <v>41275</v>
      </c>
      <c r="N218" s="24">
        <v>41275</v>
      </c>
      <c r="O218" t="s">
        <v>26</v>
      </c>
      <c r="P218" t="s">
        <v>26</v>
      </c>
      <c r="Q218" t="s">
        <v>26</v>
      </c>
      <c r="R218" t="s">
        <v>26</v>
      </c>
      <c r="S218" s="24">
        <v>41275</v>
      </c>
      <c r="T218" s="24">
        <v>41275</v>
      </c>
      <c r="U218" t="s">
        <v>26</v>
      </c>
      <c r="V218" t="s">
        <v>26</v>
      </c>
      <c r="W218" s="24">
        <v>41275</v>
      </c>
      <c r="X218" s="24">
        <v>41275</v>
      </c>
      <c r="Y218" t="s">
        <v>26</v>
      </c>
      <c r="Z218" s="24">
        <v>41275</v>
      </c>
      <c r="AA218" s="24">
        <v>41275</v>
      </c>
      <c r="AB218" t="s">
        <v>26</v>
      </c>
      <c r="AC218" s="24">
        <v>41275</v>
      </c>
      <c r="AD218" s="24">
        <v>41275</v>
      </c>
      <c r="AE218" t="s">
        <v>26</v>
      </c>
      <c r="AF218" s="24">
        <v>41275</v>
      </c>
      <c r="AG218" s="24">
        <v>41275</v>
      </c>
      <c r="AH218" t="s">
        <v>26</v>
      </c>
      <c r="AI218" s="24">
        <v>41275</v>
      </c>
      <c r="AJ218" s="24">
        <v>41275</v>
      </c>
      <c r="AK218" t="s">
        <v>26</v>
      </c>
      <c r="AL218" t="s">
        <v>26</v>
      </c>
      <c r="AM218" t="s">
        <v>26</v>
      </c>
      <c r="AN218" t="s">
        <v>26</v>
      </c>
      <c r="AO218" s="25" t="s">
        <v>28</v>
      </c>
      <c r="AP218" s="23" t="s">
        <v>43</v>
      </c>
      <c r="AQ218" s="23" t="s">
        <v>30</v>
      </c>
      <c r="AR218" s="23" t="s">
        <v>46</v>
      </c>
      <c r="AS218" s="25">
        <v>6447831</v>
      </c>
      <c r="AT218" t="s">
        <v>26</v>
      </c>
      <c r="AU218" t="s">
        <v>22485</v>
      </c>
    </row>
    <row r="219" spans="1:47" ht="26.25" x14ac:dyDescent="0.4">
      <c r="A219" s="23" t="s">
        <v>776</v>
      </c>
      <c r="B219" t="s">
        <v>26</v>
      </c>
      <c r="C219" s="23" t="s">
        <v>80</v>
      </c>
      <c r="D219" s="23" t="s">
        <v>22184</v>
      </c>
      <c r="E219" s="23" t="s">
        <v>60</v>
      </c>
      <c r="F219" s="25" t="s">
        <v>777</v>
      </c>
      <c r="G219" s="25" t="s">
        <v>778</v>
      </c>
      <c r="H219" t="s">
        <v>26</v>
      </c>
      <c r="I219" s="24">
        <v>35674</v>
      </c>
      <c r="J219" s="24">
        <v>36770</v>
      </c>
      <c r="K219" t="s">
        <v>26</v>
      </c>
      <c r="L219" s="25" t="s">
        <v>68</v>
      </c>
      <c r="M219" s="24">
        <v>35674</v>
      </c>
      <c r="N219" s="24">
        <v>36770</v>
      </c>
      <c r="O219" t="s">
        <v>26</v>
      </c>
      <c r="P219" s="24">
        <v>35674</v>
      </c>
      <c r="Q219" s="24">
        <v>36770</v>
      </c>
      <c r="R219" t="s">
        <v>26</v>
      </c>
      <c r="S219" t="s">
        <v>26</v>
      </c>
      <c r="T219" t="s">
        <v>26</v>
      </c>
      <c r="U219" t="s">
        <v>26</v>
      </c>
      <c r="V219" t="s">
        <v>26</v>
      </c>
      <c r="W219" s="24">
        <v>35674</v>
      </c>
      <c r="X219" s="25" t="s">
        <v>77</v>
      </c>
      <c r="Y219" t="s">
        <v>26</v>
      </c>
      <c r="Z219" s="24">
        <v>35674</v>
      </c>
      <c r="AA219" s="25" t="s">
        <v>77</v>
      </c>
      <c r="AB219" t="s">
        <v>26</v>
      </c>
      <c r="AC219" s="24">
        <v>35674</v>
      </c>
      <c r="AD219" s="25" t="s">
        <v>77</v>
      </c>
      <c r="AE219" t="s">
        <v>26</v>
      </c>
      <c r="AF219" t="s">
        <v>26</v>
      </c>
      <c r="AG219" t="s">
        <v>26</v>
      </c>
      <c r="AH219" t="s">
        <v>26</v>
      </c>
      <c r="AI219" t="s">
        <v>26</v>
      </c>
      <c r="AJ219" t="s">
        <v>26</v>
      </c>
      <c r="AK219" t="s">
        <v>26</v>
      </c>
      <c r="AL219" t="s">
        <v>26</v>
      </c>
      <c r="AM219" t="s">
        <v>26</v>
      </c>
      <c r="AN219" t="s">
        <v>26</v>
      </c>
      <c r="AO219" s="25" t="s">
        <v>68</v>
      </c>
      <c r="AP219" s="23" t="s">
        <v>69</v>
      </c>
      <c r="AQ219" s="23" t="s">
        <v>30</v>
      </c>
      <c r="AR219" s="23" t="s">
        <v>779</v>
      </c>
      <c r="AS219" s="25">
        <v>48239</v>
      </c>
      <c r="AT219" t="s">
        <v>26</v>
      </c>
      <c r="AU219" t="s">
        <v>22486</v>
      </c>
    </row>
    <row r="220" spans="1:47" ht="26.25" x14ac:dyDescent="0.4">
      <c r="A220" s="23" t="s">
        <v>780</v>
      </c>
      <c r="B220" t="s">
        <v>26</v>
      </c>
      <c r="C220" s="23" t="s">
        <v>146</v>
      </c>
      <c r="D220" s="23" t="s">
        <v>22174</v>
      </c>
      <c r="E220" s="23" t="s">
        <v>60</v>
      </c>
      <c r="F220" t="s">
        <v>26</v>
      </c>
      <c r="G220" t="s">
        <v>26</v>
      </c>
      <c r="H220" t="s">
        <v>26</v>
      </c>
      <c r="I220" t="s">
        <v>26</v>
      </c>
      <c r="J220" t="s">
        <v>26</v>
      </c>
      <c r="K220" t="s">
        <v>26</v>
      </c>
      <c r="L220" s="25" t="s">
        <v>28</v>
      </c>
      <c r="M220" t="s">
        <v>26</v>
      </c>
      <c r="N220" t="s">
        <v>26</v>
      </c>
      <c r="O220" t="s">
        <v>26</v>
      </c>
      <c r="P220" t="s">
        <v>26</v>
      </c>
      <c r="Q220" t="s">
        <v>26</v>
      </c>
      <c r="R220" t="s">
        <v>26</v>
      </c>
      <c r="S220" t="s">
        <v>26</v>
      </c>
      <c r="T220" t="s">
        <v>26</v>
      </c>
      <c r="U220" t="s">
        <v>26</v>
      </c>
      <c r="V220" t="s">
        <v>26</v>
      </c>
      <c r="W220" s="24">
        <v>42370</v>
      </c>
      <c r="X220" s="24">
        <v>42370</v>
      </c>
      <c r="Y220" t="s">
        <v>26</v>
      </c>
      <c r="Z220" s="24">
        <v>42370</v>
      </c>
      <c r="AA220" s="24">
        <v>42370</v>
      </c>
      <c r="AB220" t="s">
        <v>26</v>
      </c>
      <c r="AC220" t="s">
        <v>26</v>
      </c>
      <c r="AD220" t="s">
        <v>26</v>
      </c>
      <c r="AE220" t="s">
        <v>26</v>
      </c>
      <c r="AF220" t="s">
        <v>26</v>
      </c>
      <c r="AG220" t="s">
        <v>26</v>
      </c>
      <c r="AH220" t="s">
        <v>26</v>
      </c>
      <c r="AI220" t="s">
        <v>26</v>
      </c>
      <c r="AJ220" t="s">
        <v>26</v>
      </c>
      <c r="AK220" t="s">
        <v>26</v>
      </c>
      <c r="AL220" t="s">
        <v>26</v>
      </c>
      <c r="AM220" t="s">
        <v>26</v>
      </c>
      <c r="AN220" t="s">
        <v>26</v>
      </c>
      <c r="AO220" s="25" t="s">
        <v>28</v>
      </c>
      <c r="AP220" s="23" t="s">
        <v>29</v>
      </c>
      <c r="AQ220" s="23" t="s">
        <v>30</v>
      </c>
      <c r="AR220" s="23" t="s">
        <v>245</v>
      </c>
      <c r="AS220" s="25">
        <v>5483590</v>
      </c>
      <c r="AT220" s="23" t="s">
        <v>22181</v>
      </c>
      <c r="AU220" t="s">
        <v>22487</v>
      </c>
    </row>
    <row r="221" spans="1:47" ht="26.25" x14ac:dyDescent="0.4">
      <c r="A221" s="23" t="s">
        <v>781</v>
      </c>
      <c r="B221" t="s">
        <v>26</v>
      </c>
      <c r="C221" s="23" t="s">
        <v>107</v>
      </c>
      <c r="D221" s="23" t="s">
        <v>22334</v>
      </c>
      <c r="E221" s="23" t="s">
        <v>42</v>
      </c>
      <c r="F221" s="25" t="s">
        <v>782</v>
      </c>
      <c r="G221" t="s">
        <v>26</v>
      </c>
      <c r="H221" t="s">
        <v>26</v>
      </c>
      <c r="I221" t="s">
        <v>26</v>
      </c>
      <c r="J221" t="s">
        <v>26</v>
      </c>
      <c r="K221" t="s">
        <v>26</v>
      </c>
      <c r="L221" s="25" t="s">
        <v>68</v>
      </c>
      <c r="M221" t="s">
        <v>26</v>
      </c>
      <c r="N221" t="s">
        <v>26</v>
      </c>
      <c r="O221" t="s">
        <v>26</v>
      </c>
      <c r="P221" t="s">
        <v>26</v>
      </c>
      <c r="Q221" t="s">
        <v>26</v>
      </c>
      <c r="R221" t="s">
        <v>26</v>
      </c>
      <c r="S221" t="s">
        <v>26</v>
      </c>
      <c r="T221" t="s">
        <v>26</v>
      </c>
      <c r="U221" t="s">
        <v>26</v>
      </c>
      <c r="V221" t="s">
        <v>26</v>
      </c>
      <c r="W221" s="24">
        <v>29099</v>
      </c>
      <c r="X221" s="25" t="s">
        <v>77</v>
      </c>
      <c r="Y221" t="s">
        <v>26</v>
      </c>
      <c r="Z221" s="24">
        <v>39083</v>
      </c>
      <c r="AA221" s="25" t="s">
        <v>77</v>
      </c>
      <c r="AB221" t="s">
        <v>26</v>
      </c>
      <c r="AC221" s="24">
        <v>29099</v>
      </c>
      <c r="AD221" s="25" t="s">
        <v>77</v>
      </c>
      <c r="AE221" t="s">
        <v>26</v>
      </c>
      <c r="AF221" t="s">
        <v>26</v>
      </c>
      <c r="AG221" t="s">
        <v>26</v>
      </c>
      <c r="AH221" t="s">
        <v>26</v>
      </c>
      <c r="AI221" t="s">
        <v>26</v>
      </c>
      <c r="AJ221" t="s">
        <v>26</v>
      </c>
      <c r="AK221" t="s">
        <v>26</v>
      </c>
      <c r="AL221" t="s">
        <v>26</v>
      </c>
      <c r="AM221" t="s">
        <v>26</v>
      </c>
      <c r="AN221" t="s">
        <v>26</v>
      </c>
      <c r="AO221" s="25" t="s">
        <v>68</v>
      </c>
      <c r="AP221" s="23" t="s">
        <v>69</v>
      </c>
      <c r="AQ221" s="23" t="s">
        <v>30</v>
      </c>
      <c r="AR221" s="23" t="s">
        <v>783</v>
      </c>
      <c r="AS221" s="25">
        <v>2033411</v>
      </c>
      <c r="AT221" t="s">
        <v>26</v>
      </c>
      <c r="AU221" t="s">
        <v>22488</v>
      </c>
    </row>
    <row r="222" spans="1:47" ht="26.25" x14ac:dyDescent="0.4">
      <c r="A222" s="23" t="s">
        <v>784</v>
      </c>
      <c r="B222" t="s">
        <v>26</v>
      </c>
      <c r="C222" s="23" t="s">
        <v>80</v>
      </c>
      <c r="D222" s="23" t="s">
        <v>22184</v>
      </c>
      <c r="E222" s="23" t="s">
        <v>60</v>
      </c>
      <c r="F222" s="25" t="s">
        <v>785</v>
      </c>
      <c r="G222" s="25" t="s">
        <v>786</v>
      </c>
      <c r="H222" t="s">
        <v>26</v>
      </c>
      <c r="I222" s="24">
        <v>35612</v>
      </c>
      <c r="J222" s="24">
        <v>36831</v>
      </c>
      <c r="K222" t="s">
        <v>26</v>
      </c>
      <c r="L222" s="25" t="s">
        <v>68</v>
      </c>
      <c r="M222" s="24">
        <v>35612</v>
      </c>
      <c r="N222" s="24">
        <v>36831</v>
      </c>
      <c r="O222" t="s">
        <v>26</v>
      </c>
      <c r="P222" s="24">
        <v>35612</v>
      </c>
      <c r="Q222" s="24">
        <v>36831</v>
      </c>
      <c r="R222" t="s">
        <v>26</v>
      </c>
      <c r="S222" t="s">
        <v>26</v>
      </c>
      <c r="T222" t="s">
        <v>26</v>
      </c>
      <c r="U222" t="s">
        <v>26</v>
      </c>
      <c r="V222" t="s">
        <v>26</v>
      </c>
      <c r="W222" s="24">
        <v>35612</v>
      </c>
      <c r="X222" s="25" t="s">
        <v>77</v>
      </c>
      <c r="Y222" t="s">
        <v>26</v>
      </c>
      <c r="Z222" s="24">
        <v>35612</v>
      </c>
      <c r="AA222" s="25" t="s">
        <v>77</v>
      </c>
      <c r="AB222" t="s">
        <v>26</v>
      </c>
      <c r="AC222" s="24">
        <v>35612</v>
      </c>
      <c r="AD222" s="25" t="s">
        <v>77</v>
      </c>
      <c r="AE222" t="s">
        <v>26</v>
      </c>
      <c r="AF222" t="s">
        <v>26</v>
      </c>
      <c r="AG222" t="s">
        <v>26</v>
      </c>
      <c r="AH222" t="s">
        <v>26</v>
      </c>
      <c r="AI222" t="s">
        <v>26</v>
      </c>
      <c r="AJ222" t="s">
        <v>26</v>
      </c>
      <c r="AK222" t="s">
        <v>26</v>
      </c>
      <c r="AL222" t="s">
        <v>26</v>
      </c>
      <c r="AM222" t="s">
        <v>26</v>
      </c>
      <c r="AN222" t="s">
        <v>26</v>
      </c>
      <c r="AO222" s="25" t="s">
        <v>68</v>
      </c>
      <c r="AP222" s="23" t="s">
        <v>69</v>
      </c>
      <c r="AQ222" s="23" t="s">
        <v>30</v>
      </c>
      <c r="AR222" s="23" t="s">
        <v>337</v>
      </c>
      <c r="AS222" s="25">
        <v>32872</v>
      </c>
      <c r="AT222" t="s">
        <v>26</v>
      </c>
      <c r="AU222" t="s">
        <v>22489</v>
      </c>
    </row>
    <row r="223" spans="1:47" ht="26.25" x14ac:dyDescent="0.4">
      <c r="A223" s="23" t="s">
        <v>787</v>
      </c>
      <c r="B223" t="s">
        <v>26</v>
      </c>
      <c r="C223" s="23" t="s">
        <v>22490</v>
      </c>
      <c r="D223" s="23" t="s">
        <v>22256</v>
      </c>
      <c r="E223" s="23" t="s">
        <v>42</v>
      </c>
      <c r="F223" t="s">
        <v>26</v>
      </c>
      <c r="G223" t="s">
        <v>26</v>
      </c>
      <c r="H223" t="s">
        <v>26</v>
      </c>
      <c r="I223" s="24">
        <v>40909</v>
      </c>
      <c r="J223" s="24">
        <v>42005</v>
      </c>
      <c r="K223" t="s">
        <v>26</v>
      </c>
      <c r="L223" s="25" t="s">
        <v>28</v>
      </c>
      <c r="M223" s="24">
        <v>40909</v>
      </c>
      <c r="N223" s="24">
        <v>42005</v>
      </c>
      <c r="O223" t="s">
        <v>26</v>
      </c>
      <c r="P223" t="s">
        <v>26</v>
      </c>
      <c r="Q223" t="s">
        <v>26</v>
      </c>
      <c r="R223" t="s">
        <v>26</v>
      </c>
      <c r="S223" s="24">
        <v>40909</v>
      </c>
      <c r="T223" s="24">
        <v>42005</v>
      </c>
      <c r="U223" t="s">
        <v>26</v>
      </c>
      <c r="V223" t="s">
        <v>26</v>
      </c>
      <c r="W223" s="24">
        <v>40909</v>
      </c>
      <c r="X223" s="24">
        <v>42005</v>
      </c>
      <c r="Y223" t="s">
        <v>26</v>
      </c>
      <c r="Z223" s="24">
        <v>40909</v>
      </c>
      <c r="AA223" s="24">
        <v>42005</v>
      </c>
      <c r="AB223" t="s">
        <v>26</v>
      </c>
      <c r="AC223" s="24">
        <v>40909</v>
      </c>
      <c r="AD223" s="24">
        <v>42005</v>
      </c>
      <c r="AE223" t="s">
        <v>26</v>
      </c>
      <c r="AF223" s="24">
        <v>40909</v>
      </c>
      <c r="AG223" s="24">
        <v>42005</v>
      </c>
      <c r="AH223" t="s">
        <v>26</v>
      </c>
      <c r="AI223" s="24">
        <v>40909</v>
      </c>
      <c r="AJ223" s="24">
        <v>42005</v>
      </c>
      <c r="AK223" t="s">
        <v>26</v>
      </c>
      <c r="AL223" t="s">
        <v>26</v>
      </c>
      <c r="AM223" t="s">
        <v>26</v>
      </c>
      <c r="AN223" t="s">
        <v>26</v>
      </c>
      <c r="AO223" s="25" t="s">
        <v>28</v>
      </c>
      <c r="AP223" s="23" t="s">
        <v>43</v>
      </c>
      <c r="AQ223" s="23" t="s">
        <v>30</v>
      </c>
      <c r="AR223" s="23" t="s">
        <v>46</v>
      </c>
      <c r="AS223" s="25">
        <v>6359425</v>
      </c>
      <c r="AT223" t="s">
        <v>26</v>
      </c>
      <c r="AU223" t="s">
        <v>22491</v>
      </c>
    </row>
    <row r="224" spans="1:47" ht="26.25" x14ac:dyDescent="0.4">
      <c r="A224" s="23" t="s">
        <v>788</v>
      </c>
      <c r="B224" t="s">
        <v>26</v>
      </c>
      <c r="C224" s="23" t="s">
        <v>789</v>
      </c>
      <c r="D224" s="23" t="s">
        <v>22492</v>
      </c>
      <c r="E224" s="23" t="s">
        <v>42</v>
      </c>
      <c r="F224" s="25" t="s">
        <v>790</v>
      </c>
      <c r="G224" s="25" t="s">
        <v>791</v>
      </c>
      <c r="H224" t="s">
        <v>26</v>
      </c>
      <c r="I224" s="24">
        <v>40909</v>
      </c>
      <c r="J224" s="24">
        <v>42248</v>
      </c>
      <c r="K224" t="s">
        <v>26</v>
      </c>
      <c r="L224" s="25" t="s">
        <v>68</v>
      </c>
      <c r="M224" s="24">
        <v>40909</v>
      </c>
      <c r="N224" s="24">
        <v>42248</v>
      </c>
      <c r="O224" t="s">
        <v>26</v>
      </c>
      <c r="P224" s="24">
        <v>40909</v>
      </c>
      <c r="Q224" s="24">
        <v>42248</v>
      </c>
      <c r="R224" t="s">
        <v>26</v>
      </c>
      <c r="S224" t="s">
        <v>26</v>
      </c>
      <c r="T224" t="s">
        <v>26</v>
      </c>
      <c r="U224" t="s">
        <v>26</v>
      </c>
      <c r="V224" t="s">
        <v>26</v>
      </c>
      <c r="W224" s="24">
        <v>40909</v>
      </c>
      <c r="X224" s="24">
        <v>42248</v>
      </c>
      <c r="Y224" t="s">
        <v>26</v>
      </c>
      <c r="Z224" s="24">
        <v>40909</v>
      </c>
      <c r="AA224" s="24">
        <v>42248</v>
      </c>
      <c r="AB224" t="s">
        <v>26</v>
      </c>
      <c r="AC224" s="24">
        <v>40909</v>
      </c>
      <c r="AD224" s="24">
        <v>42248</v>
      </c>
      <c r="AE224" t="s">
        <v>26</v>
      </c>
      <c r="AF224" t="s">
        <v>26</v>
      </c>
      <c r="AG224" t="s">
        <v>26</v>
      </c>
      <c r="AH224" t="s">
        <v>26</v>
      </c>
      <c r="AI224" t="s">
        <v>26</v>
      </c>
      <c r="AJ224" t="s">
        <v>26</v>
      </c>
      <c r="AK224" t="s">
        <v>26</v>
      </c>
      <c r="AL224" t="s">
        <v>26</v>
      </c>
      <c r="AM224" t="s">
        <v>26</v>
      </c>
      <c r="AN224" t="s">
        <v>26</v>
      </c>
      <c r="AO224" s="25" t="s">
        <v>68</v>
      </c>
      <c r="AP224" s="23" t="s">
        <v>69</v>
      </c>
      <c r="AQ224" s="23" t="s">
        <v>30</v>
      </c>
      <c r="AR224" s="23" t="s">
        <v>46</v>
      </c>
      <c r="AS224" s="25">
        <v>2034813</v>
      </c>
      <c r="AT224" t="s">
        <v>26</v>
      </c>
      <c r="AU224" t="s">
        <v>22493</v>
      </c>
    </row>
    <row r="225" spans="1:47" ht="26.25" x14ac:dyDescent="0.4">
      <c r="A225" s="23" t="s">
        <v>792</v>
      </c>
      <c r="B225" t="s">
        <v>26</v>
      </c>
      <c r="C225" s="23" t="s">
        <v>80</v>
      </c>
      <c r="D225" s="23" t="s">
        <v>22184</v>
      </c>
      <c r="E225" s="23" t="s">
        <v>60</v>
      </c>
      <c r="F225" s="25" t="s">
        <v>793</v>
      </c>
      <c r="G225" s="25" t="s">
        <v>794</v>
      </c>
      <c r="H225" t="s">
        <v>26</v>
      </c>
      <c r="I225" t="s">
        <v>26</v>
      </c>
      <c r="J225" t="s">
        <v>26</v>
      </c>
      <c r="K225" t="s">
        <v>26</v>
      </c>
      <c r="L225" s="25" t="s">
        <v>68</v>
      </c>
      <c r="M225" t="s">
        <v>26</v>
      </c>
      <c r="N225" t="s">
        <v>26</v>
      </c>
      <c r="O225" t="s">
        <v>26</v>
      </c>
      <c r="P225" t="s">
        <v>26</v>
      </c>
      <c r="Q225" t="s">
        <v>26</v>
      </c>
      <c r="R225" t="s">
        <v>26</v>
      </c>
      <c r="S225" t="s">
        <v>26</v>
      </c>
      <c r="T225" t="s">
        <v>26</v>
      </c>
      <c r="U225" t="s">
        <v>26</v>
      </c>
      <c r="V225" t="s">
        <v>26</v>
      </c>
      <c r="W225" s="24">
        <v>40725</v>
      </c>
      <c r="X225" s="25" t="s">
        <v>77</v>
      </c>
      <c r="Y225" t="s">
        <v>26</v>
      </c>
      <c r="Z225" s="24">
        <v>40725</v>
      </c>
      <c r="AA225" s="25" t="s">
        <v>77</v>
      </c>
      <c r="AB225" t="s">
        <v>26</v>
      </c>
      <c r="AC225" s="24">
        <v>40725</v>
      </c>
      <c r="AD225" s="25" t="s">
        <v>77</v>
      </c>
      <c r="AE225" t="s">
        <v>26</v>
      </c>
      <c r="AF225" t="s">
        <v>26</v>
      </c>
      <c r="AG225" t="s">
        <v>26</v>
      </c>
      <c r="AH225" t="s">
        <v>26</v>
      </c>
      <c r="AI225" t="s">
        <v>26</v>
      </c>
      <c r="AJ225" t="s">
        <v>26</v>
      </c>
      <c r="AK225" t="s">
        <v>26</v>
      </c>
      <c r="AL225" t="s">
        <v>26</v>
      </c>
      <c r="AM225" t="s">
        <v>26</v>
      </c>
      <c r="AN225" t="s">
        <v>26</v>
      </c>
      <c r="AO225" s="25" t="s">
        <v>68</v>
      </c>
      <c r="AP225" s="23" t="s">
        <v>69</v>
      </c>
      <c r="AQ225" s="23" t="s">
        <v>30</v>
      </c>
      <c r="AR225" s="23" t="s">
        <v>46</v>
      </c>
      <c r="AS225" s="25">
        <v>186232</v>
      </c>
      <c r="AT225" t="s">
        <v>26</v>
      </c>
      <c r="AU225" t="s">
        <v>22494</v>
      </c>
    </row>
    <row r="226" spans="1:47" ht="13.15" x14ac:dyDescent="0.4">
      <c r="A226" s="23" t="s">
        <v>795</v>
      </c>
      <c r="B226" t="s">
        <v>26</v>
      </c>
      <c r="C226" s="23" t="s">
        <v>146</v>
      </c>
      <c r="D226" s="23" t="s">
        <v>22174</v>
      </c>
      <c r="E226" s="23" t="s">
        <v>60</v>
      </c>
      <c r="F226" t="s">
        <v>26</v>
      </c>
      <c r="G226" t="s">
        <v>26</v>
      </c>
      <c r="H226" t="s">
        <v>26</v>
      </c>
      <c r="I226" t="s">
        <v>26</v>
      </c>
      <c r="J226" t="s">
        <v>26</v>
      </c>
      <c r="K226" t="s">
        <v>26</v>
      </c>
      <c r="L226" s="25" t="s">
        <v>28</v>
      </c>
      <c r="M226" t="s">
        <v>26</v>
      </c>
      <c r="N226" t="s">
        <v>26</v>
      </c>
      <c r="O226" t="s">
        <v>26</v>
      </c>
      <c r="P226" t="s">
        <v>26</v>
      </c>
      <c r="Q226" t="s">
        <v>26</v>
      </c>
      <c r="R226" t="s">
        <v>26</v>
      </c>
      <c r="S226" t="s">
        <v>26</v>
      </c>
      <c r="T226" t="s">
        <v>26</v>
      </c>
      <c r="U226" t="s">
        <v>26</v>
      </c>
      <c r="V226" t="s">
        <v>26</v>
      </c>
      <c r="W226" s="24">
        <v>41640</v>
      </c>
      <c r="X226" s="24">
        <v>41640</v>
      </c>
      <c r="Y226" t="s">
        <v>26</v>
      </c>
      <c r="Z226" s="24">
        <v>41640</v>
      </c>
      <c r="AA226" s="24">
        <v>41640</v>
      </c>
      <c r="AB226" t="s">
        <v>26</v>
      </c>
      <c r="AC226" t="s">
        <v>26</v>
      </c>
      <c r="AD226" t="s">
        <v>26</v>
      </c>
      <c r="AE226" t="s">
        <v>26</v>
      </c>
      <c r="AF226" t="s">
        <v>26</v>
      </c>
      <c r="AG226" t="s">
        <v>26</v>
      </c>
      <c r="AH226" t="s">
        <v>26</v>
      </c>
      <c r="AI226" t="s">
        <v>26</v>
      </c>
      <c r="AJ226" t="s">
        <v>26</v>
      </c>
      <c r="AK226" t="s">
        <v>26</v>
      </c>
      <c r="AL226" t="s">
        <v>26</v>
      </c>
      <c r="AM226" t="s">
        <v>26</v>
      </c>
      <c r="AN226" t="s">
        <v>26</v>
      </c>
      <c r="AO226" s="25" t="s">
        <v>28</v>
      </c>
      <c r="AP226" s="23" t="s">
        <v>29</v>
      </c>
      <c r="AQ226" s="23" t="s">
        <v>30</v>
      </c>
      <c r="AR226" s="23" t="s">
        <v>44</v>
      </c>
      <c r="AS226" s="25">
        <v>5483632</v>
      </c>
      <c r="AT226" s="23" t="s">
        <v>22181</v>
      </c>
      <c r="AU226" t="s">
        <v>22495</v>
      </c>
    </row>
    <row r="227" spans="1:47" ht="26.25" x14ac:dyDescent="0.4">
      <c r="A227" s="23" t="s">
        <v>796</v>
      </c>
      <c r="B227" t="s">
        <v>26</v>
      </c>
      <c r="C227" s="23" t="s">
        <v>73</v>
      </c>
      <c r="D227" s="23" t="s">
        <v>22312</v>
      </c>
      <c r="E227" s="23" t="s">
        <v>74</v>
      </c>
      <c r="F227" s="25" t="s">
        <v>797</v>
      </c>
      <c r="G227" s="25" t="s">
        <v>798</v>
      </c>
      <c r="H227" t="s">
        <v>26</v>
      </c>
      <c r="I227" s="24">
        <v>40544</v>
      </c>
      <c r="J227" s="25" t="s">
        <v>77</v>
      </c>
      <c r="K227" t="s">
        <v>26</v>
      </c>
      <c r="L227" s="25" t="s">
        <v>68</v>
      </c>
      <c r="M227" s="24">
        <v>40544</v>
      </c>
      <c r="N227" s="25" t="s">
        <v>77</v>
      </c>
      <c r="O227" t="s">
        <v>26</v>
      </c>
      <c r="P227" s="24">
        <v>40544</v>
      </c>
      <c r="Q227" s="25" t="s">
        <v>77</v>
      </c>
      <c r="R227" t="s">
        <v>26</v>
      </c>
      <c r="S227" t="s">
        <v>26</v>
      </c>
      <c r="T227" t="s">
        <v>26</v>
      </c>
      <c r="U227" t="s">
        <v>26</v>
      </c>
      <c r="V227" s="25">
        <v>365</v>
      </c>
      <c r="W227" s="24">
        <v>38292</v>
      </c>
      <c r="X227" s="25" t="s">
        <v>77</v>
      </c>
      <c r="Y227" t="s">
        <v>26</v>
      </c>
      <c r="Z227" s="24">
        <v>38292</v>
      </c>
      <c r="AA227" s="25" t="s">
        <v>77</v>
      </c>
      <c r="AB227" t="s">
        <v>26</v>
      </c>
      <c r="AC227" s="24">
        <v>40544</v>
      </c>
      <c r="AD227" s="25" t="s">
        <v>77</v>
      </c>
      <c r="AE227" t="s">
        <v>26</v>
      </c>
      <c r="AF227" t="s">
        <v>26</v>
      </c>
      <c r="AG227" t="s">
        <v>26</v>
      </c>
      <c r="AH227" t="s">
        <v>26</v>
      </c>
      <c r="AI227" t="s">
        <v>26</v>
      </c>
      <c r="AJ227" t="s">
        <v>26</v>
      </c>
      <c r="AK227" t="s">
        <v>26</v>
      </c>
      <c r="AL227" t="s">
        <v>26</v>
      </c>
      <c r="AM227" t="s">
        <v>26</v>
      </c>
      <c r="AN227" t="s">
        <v>26</v>
      </c>
      <c r="AO227" s="25" t="s">
        <v>68</v>
      </c>
      <c r="AP227" s="23" t="s">
        <v>69</v>
      </c>
      <c r="AQ227" s="23" t="s">
        <v>30</v>
      </c>
      <c r="AR227" s="23" t="s">
        <v>46</v>
      </c>
      <c r="AS227" s="25">
        <v>976350</v>
      </c>
      <c r="AT227" t="s">
        <v>26</v>
      </c>
      <c r="AU227" t="s">
        <v>22496</v>
      </c>
    </row>
    <row r="228" spans="1:47" ht="26.25" x14ac:dyDescent="0.4">
      <c r="A228" s="23" t="s">
        <v>799</v>
      </c>
      <c r="B228" t="s">
        <v>26</v>
      </c>
      <c r="C228" s="23" t="s">
        <v>800</v>
      </c>
      <c r="D228" s="23" t="s">
        <v>22497</v>
      </c>
      <c r="E228" s="23" t="s">
        <v>335</v>
      </c>
      <c r="F228" s="25" t="s">
        <v>801</v>
      </c>
      <c r="G228" t="s">
        <v>26</v>
      </c>
      <c r="H228" t="s">
        <v>26</v>
      </c>
      <c r="I228" s="24">
        <v>34335</v>
      </c>
      <c r="J228" s="24">
        <v>37196</v>
      </c>
      <c r="K228" t="s">
        <v>26</v>
      </c>
      <c r="L228" s="25" t="s">
        <v>68</v>
      </c>
      <c r="M228" s="24">
        <v>35431</v>
      </c>
      <c r="N228" s="24">
        <v>37196</v>
      </c>
      <c r="O228" t="s">
        <v>26</v>
      </c>
      <c r="P228" s="24">
        <v>34335</v>
      </c>
      <c r="Q228" s="24">
        <v>37196</v>
      </c>
      <c r="R228" t="s">
        <v>26</v>
      </c>
      <c r="S228" t="s">
        <v>26</v>
      </c>
      <c r="T228" t="s">
        <v>26</v>
      </c>
      <c r="U228" t="s">
        <v>26</v>
      </c>
      <c r="V228" t="s">
        <v>26</v>
      </c>
      <c r="W228" s="24">
        <v>34335</v>
      </c>
      <c r="X228" s="24">
        <v>37196</v>
      </c>
      <c r="Y228" t="s">
        <v>26</v>
      </c>
      <c r="Z228" s="24">
        <v>34335</v>
      </c>
      <c r="AA228" s="24">
        <v>37196</v>
      </c>
      <c r="AB228" t="s">
        <v>26</v>
      </c>
      <c r="AC228" s="24">
        <v>35431</v>
      </c>
      <c r="AD228" s="24">
        <v>37135</v>
      </c>
      <c r="AE228" t="s">
        <v>26</v>
      </c>
      <c r="AF228" t="s">
        <v>26</v>
      </c>
      <c r="AG228" t="s">
        <v>26</v>
      </c>
      <c r="AH228" t="s">
        <v>26</v>
      </c>
      <c r="AI228" t="s">
        <v>26</v>
      </c>
      <c r="AJ228" t="s">
        <v>26</v>
      </c>
      <c r="AK228" t="s">
        <v>26</v>
      </c>
      <c r="AL228" t="s">
        <v>26</v>
      </c>
      <c r="AM228" t="s">
        <v>26</v>
      </c>
      <c r="AN228" t="s">
        <v>26</v>
      </c>
      <c r="AO228" s="25" t="s">
        <v>68</v>
      </c>
      <c r="AP228" s="23" t="s">
        <v>69</v>
      </c>
      <c r="AQ228" s="23" t="s">
        <v>30</v>
      </c>
      <c r="AR228" s="23" t="s">
        <v>277</v>
      </c>
      <c r="AS228" s="25">
        <v>34796</v>
      </c>
      <c r="AT228" t="s">
        <v>26</v>
      </c>
      <c r="AU228" t="s">
        <v>22498</v>
      </c>
    </row>
    <row r="229" spans="1:47" ht="26.25" x14ac:dyDescent="0.4">
      <c r="A229" s="23" t="s">
        <v>802</v>
      </c>
      <c r="B229" t="s">
        <v>26</v>
      </c>
      <c r="C229" s="23" t="s">
        <v>803</v>
      </c>
      <c r="D229" s="23" t="s">
        <v>22499</v>
      </c>
      <c r="E229" s="23" t="s">
        <v>711</v>
      </c>
      <c r="F229" s="25" t="s">
        <v>804</v>
      </c>
      <c r="G229" s="25" t="s">
        <v>805</v>
      </c>
      <c r="H229" t="s">
        <v>26</v>
      </c>
      <c r="I229" s="24">
        <v>35796</v>
      </c>
      <c r="J229" s="24">
        <v>42309</v>
      </c>
      <c r="K229" t="s">
        <v>26</v>
      </c>
      <c r="L229" s="25" t="s">
        <v>68</v>
      </c>
      <c r="M229" t="s">
        <v>26</v>
      </c>
      <c r="N229" t="s">
        <v>26</v>
      </c>
      <c r="O229" t="s">
        <v>26</v>
      </c>
      <c r="P229" s="24">
        <v>35796</v>
      </c>
      <c r="Q229" s="24">
        <v>42309</v>
      </c>
      <c r="R229" t="s">
        <v>26</v>
      </c>
      <c r="S229" t="s">
        <v>26</v>
      </c>
      <c r="T229" t="s">
        <v>26</v>
      </c>
      <c r="U229" t="s">
        <v>26</v>
      </c>
      <c r="V229" t="s">
        <v>26</v>
      </c>
      <c r="W229" s="24">
        <v>35796</v>
      </c>
      <c r="X229" s="24">
        <v>42552</v>
      </c>
      <c r="Y229" t="s">
        <v>26</v>
      </c>
      <c r="Z229" s="24">
        <v>35796</v>
      </c>
      <c r="AA229" s="24">
        <v>42552</v>
      </c>
      <c r="AB229" t="s">
        <v>26</v>
      </c>
      <c r="AC229" s="24">
        <v>35796</v>
      </c>
      <c r="AD229" s="24">
        <v>42309</v>
      </c>
      <c r="AE229" t="s">
        <v>26</v>
      </c>
      <c r="AF229" t="s">
        <v>26</v>
      </c>
      <c r="AG229" t="s">
        <v>26</v>
      </c>
      <c r="AH229" t="s">
        <v>26</v>
      </c>
      <c r="AI229" t="s">
        <v>26</v>
      </c>
      <c r="AJ229" t="s">
        <v>26</v>
      </c>
      <c r="AK229" t="s">
        <v>26</v>
      </c>
      <c r="AL229" t="s">
        <v>26</v>
      </c>
      <c r="AM229" t="s">
        <v>26</v>
      </c>
      <c r="AN229" t="s">
        <v>26</v>
      </c>
      <c r="AO229" s="25" t="s">
        <v>68</v>
      </c>
      <c r="AP229" s="23" t="s">
        <v>69</v>
      </c>
      <c r="AQ229" s="23" t="s">
        <v>30</v>
      </c>
      <c r="AR229" s="23" t="s">
        <v>806</v>
      </c>
      <c r="AS229" s="25">
        <v>33658</v>
      </c>
      <c r="AT229" t="s">
        <v>26</v>
      </c>
      <c r="AU229" t="s">
        <v>22500</v>
      </c>
    </row>
    <row r="230" spans="1:47" ht="26.25" x14ac:dyDescent="0.4">
      <c r="A230" s="23" t="s">
        <v>807</v>
      </c>
      <c r="B230" t="s">
        <v>26</v>
      </c>
      <c r="C230" s="23" t="s">
        <v>80</v>
      </c>
      <c r="D230" s="23" t="s">
        <v>22497</v>
      </c>
      <c r="E230" s="23" t="s">
        <v>60</v>
      </c>
      <c r="F230" s="25" t="s">
        <v>808</v>
      </c>
      <c r="G230" s="25" t="s">
        <v>809</v>
      </c>
      <c r="H230" t="s">
        <v>26</v>
      </c>
      <c r="I230" s="24">
        <v>35947</v>
      </c>
      <c r="J230" s="24">
        <v>37226</v>
      </c>
      <c r="K230" t="s">
        <v>26</v>
      </c>
      <c r="L230" s="25" t="s">
        <v>68</v>
      </c>
      <c r="M230" s="24">
        <v>35947</v>
      </c>
      <c r="N230" s="24">
        <v>37226</v>
      </c>
      <c r="O230" t="s">
        <v>26</v>
      </c>
      <c r="P230" s="24">
        <v>35947</v>
      </c>
      <c r="Q230" s="24">
        <v>37226</v>
      </c>
      <c r="R230" t="s">
        <v>26</v>
      </c>
      <c r="S230" t="s">
        <v>26</v>
      </c>
      <c r="T230" t="s">
        <v>26</v>
      </c>
      <c r="U230" t="s">
        <v>26</v>
      </c>
      <c r="V230" t="s">
        <v>26</v>
      </c>
      <c r="W230" s="24">
        <v>35947</v>
      </c>
      <c r="X230" s="24">
        <v>37226</v>
      </c>
      <c r="Y230" t="s">
        <v>26</v>
      </c>
      <c r="Z230" s="24">
        <v>35947</v>
      </c>
      <c r="AA230" s="24">
        <v>37226</v>
      </c>
      <c r="AB230" t="s">
        <v>26</v>
      </c>
      <c r="AC230" t="s">
        <v>26</v>
      </c>
      <c r="AD230" t="s">
        <v>26</v>
      </c>
      <c r="AE230" t="s">
        <v>26</v>
      </c>
      <c r="AF230" t="s">
        <v>26</v>
      </c>
      <c r="AG230" t="s">
        <v>26</v>
      </c>
      <c r="AH230" t="s">
        <v>26</v>
      </c>
      <c r="AI230" t="s">
        <v>26</v>
      </c>
      <c r="AJ230" t="s">
        <v>26</v>
      </c>
      <c r="AK230" t="s">
        <v>26</v>
      </c>
      <c r="AL230" t="s">
        <v>26</v>
      </c>
      <c r="AM230" t="s">
        <v>26</v>
      </c>
      <c r="AN230" t="s">
        <v>26</v>
      </c>
      <c r="AO230" s="25" t="s">
        <v>68</v>
      </c>
      <c r="AP230" s="23" t="s">
        <v>69</v>
      </c>
      <c r="AQ230" s="23" t="s">
        <v>30</v>
      </c>
      <c r="AR230" s="23" t="s">
        <v>277</v>
      </c>
      <c r="AS230" s="25">
        <v>32867</v>
      </c>
      <c r="AT230" t="s">
        <v>26</v>
      </c>
      <c r="AU230" t="s">
        <v>22501</v>
      </c>
    </row>
    <row r="231" spans="1:47" ht="26.25" x14ac:dyDescent="0.4">
      <c r="A231" s="23" t="s">
        <v>810</v>
      </c>
      <c r="B231" t="s">
        <v>26</v>
      </c>
      <c r="C231" s="23" t="s">
        <v>811</v>
      </c>
      <c r="D231" s="23" t="s">
        <v>22502</v>
      </c>
      <c r="E231" s="23" t="s">
        <v>812</v>
      </c>
      <c r="F231" t="s">
        <v>26</v>
      </c>
      <c r="G231" s="25" t="s">
        <v>813</v>
      </c>
      <c r="H231" t="s">
        <v>26</v>
      </c>
      <c r="I231" s="24">
        <v>41640</v>
      </c>
      <c r="J231" s="25" t="s">
        <v>77</v>
      </c>
      <c r="K231" t="s">
        <v>26</v>
      </c>
      <c r="L231" s="25" t="s">
        <v>68</v>
      </c>
      <c r="M231" s="24">
        <v>41640</v>
      </c>
      <c r="N231" s="25" t="s">
        <v>77</v>
      </c>
      <c r="O231" t="s">
        <v>26</v>
      </c>
      <c r="P231" s="24">
        <v>41640</v>
      </c>
      <c r="Q231" s="25" t="s">
        <v>77</v>
      </c>
      <c r="R231" t="s">
        <v>26</v>
      </c>
      <c r="S231" t="s">
        <v>26</v>
      </c>
      <c r="T231" t="s">
        <v>26</v>
      </c>
      <c r="U231" t="s">
        <v>26</v>
      </c>
      <c r="V231" t="s">
        <v>26</v>
      </c>
      <c r="W231" s="24">
        <v>41640</v>
      </c>
      <c r="X231" s="25" t="s">
        <v>77</v>
      </c>
      <c r="Y231" t="s">
        <v>26</v>
      </c>
      <c r="Z231" s="24">
        <v>41640</v>
      </c>
      <c r="AA231" s="25" t="s">
        <v>77</v>
      </c>
      <c r="AB231" t="s">
        <v>26</v>
      </c>
      <c r="AC231" s="24">
        <v>42736</v>
      </c>
      <c r="AD231" s="25" t="s">
        <v>77</v>
      </c>
      <c r="AE231" t="s">
        <v>26</v>
      </c>
      <c r="AF231" t="s">
        <v>26</v>
      </c>
      <c r="AG231" t="s">
        <v>26</v>
      </c>
      <c r="AH231" t="s">
        <v>26</v>
      </c>
      <c r="AI231" t="s">
        <v>26</v>
      </c>
      <c r="AJ231" t="s">
        <v>26</v>
      </c>
      <c r="AK231" t="s">
        <v>26</v>
      </c>
      <c r="AL231" t="s">
        <v>26</v>
      </c>
      <c r="AM231" t="s">
        <v>26</v>
      </c>
      <c r="AN231" t="s">
        <v>26</v>
      </c>
      <c r="AO231" s="25" t="s">
        <v>68</v>
      </c>
      <c r="AP231" s="23" t="s">
        <v>69</v>
      </c>
      <c r="AQ231" s="23" t="s">
        <v>30</v>
      </c>
      <c r="AR231" s="23" t="s">
        <v>814</v>
      </c>
      <c r="AS231" s="25">
        <v>2036038</v>
      </c>
      <c r="AT231" t="s">
        <v>26</v>
      </c>
      <c r="AU231" t="s">
        <v>22503</v>
      </c>
    </row>
    <row r="232" spans="1:47" ht="26.25" x14ac:dyDescent="0.4">
      <c r="A232" s="23" t="s">
        <v>815</v>
      </c>
      <c r="B232" t="s">
        <v>26</v>
      </c>
      <c r="C232" s="23" t="s">
        <v>167</v>
      </c>
      <c r="D232" s="23" t="s">
        <v>22218</v>
      </c>
      <c r="E232" s="23" t="s">
        <v>60</v>
      </c>
      <c r="F232" t="s">
        <v>26</v>
      </c>
      <c r="G232" s="25" t="s">
        <v>816</v>
      </c>
      <c r="H232" t="s">
        <v>26</v>
      </c>
      <c r="I232" s="24">
        <v>40634</v>
      </c>
      <c r="J232" s="24">
        <v>42736</v>
      </c>
      <c r="K232" t="s">
        <v>26</v>
      </c>
      <c r="L232" s="25" t="s">
        <v>68</v>
      </c>
      <c r="M232" s="24">
        <v>41244</v>
      </c>
      <c r="N232" s="24">
        <v>42736</v>
      </c>
      <c r="O232" t="s">
        <v>26</v>
      </c>
      <c r="P232" s="24">
        <v>40634</v>
      </c>
      <c r="Q232" s="24">
        <v>42736</v>
      </c>
      <c r="R232" t="s">
        <v>26</v>
      </c>
      <c r="S232" t="s">
        <v>26</v>
      </c>
      <c r="T232" t="s">
        <v>26</v>
      </c>
      <c r="U232" t="s">
        <v>26</v>
      </c>
      <c r="V232" t="s">
        <v>26</v>
      </c>
      <c r="W232" s="24">
        <v>40634</v>
      </c>
      <c r="X232" s="24">
        <v>42736</v>
      </c>
      <c r="Y232" t="s">
        <v>26</v>
      </c>
      <c r="Z232" s="24">
        <v>40634</v>
      </c>
      <c r="AA232" s="24">
        <v>42736</v>
      </c>
      <c r="AB232" t="s">
        <v>26</v>
      </c>
      <c r="AC232" s="24">
        <v>40634</v>
      </c>
      <c r="AD232" s="24">
        <v>42736</v>
      </c>
      <c r="AE232" t="s">
        <v>26</v>
      </c>
      <c r="AF232" t="s">
        <v>26</v>
      </c>
      <c r="AG232" t="s">
        <v>26</v>
      </c>
      <c r="AH232" t="s">
        <v>26</v>
      </c>
      <c r="AI232" t="s">
        <v>26</v>
      </c>
      <c r="AJ232" t="s">
        <v>26</v>
      </c>
      <c r="AK232" t="s">
        <v>26</v>
      </c>
      <c r="AL232" t="s">
        <v>26</v>
      </c>
      <c r="AM232" t="s">
        <v>26</v>
      </c>
      <c r="AN232" t="s">
        <v>26</v>
      </c>
      <c r="AO232" s="25" t="s">
        <v>68</v>
      </c>
      <c r="AP232" s="23" t="s">
        <v>69</v>
      </c>
      <c r="AQ232" s="23" t="s">
        <v>30</v>
      </c>
      <c r="AR232" s="23" t="s">
        <v>46</v>
      </c>
      <c r="AS232" s="25">
        <v>1586362</v>
      </c>
      <c r="AT232" t="s">
        <v>26</v>
      </c>
      <c r="AU232" t="s">
        <v>22504</v>
      </c>
    </row>
    <row r="233" spans="1:47" ht="26.25" x14ac:dyDescent="0.4">
      <c r="A233" s="23" t="s">
        <v>817</v>
      </c>
      <c r="B233" t="s">
        <v>26</v>
      </c>
      <c r="C233" s="23" t="s">
        <v>167</v>
      </c>
      <c r="D233" s="23" t="s">
        <v>22218</v>
      </c>
      <c r="E233" s="23" t="s">
        <v>60</v>
      </c>
      <c r="F233" s="25" t="s">
        <v>818</v>
      </c>
      <c r="G233" s="25" t="s">
        <v>819</v>
      </c>
      <c r="H233" t="s">
        <v>26</v>
      </c>
      <c r="I233" s="24">
        <v>40725</v>
      </c>
      <c r="J233" s="25" t="s">
        <v>77</v>
      </c>
      <c r="K233" t="s">
        <v>26</v>
      </c>
      <c r="L233" s="25" t="s">
        <v>68</v>
      </c>
      <c r="M233" s="24">
        <v>41091</v>
      </c>
      <c r="N233" s="25" t="s">
        <v>77</v>
      </c>
      <c r="O233" t="s">
        <v>26</v>
      </c>
      <c r="P233" s="24">
        <v>40725</v>
      </c>
      <c r="Q233" s="25" t="s">
        <v>77</v>
      </c>
      <c r="R233" t="s">
        <v>26</v>
      </c>
      <c r="S233" t="s">
        <v>26</v>
      </c>
      <c r="T233" t="s">
        <v>26</v>
      </c>
      <c r="U233" t="s">
        <v>26</v>
      </c>
      <c r="V233" s="25">
        <v>365</v>
      </c>
      <c r="W233" s="24">
        <v>40725</v>
      </c>
      <c r="X233" s="25" t="s">
        <v>77</v>
      </c>
      <c r="Y233" t="s">
        <v>26</v>
      </c>
      <c r="Z233" s="24">
        <v>40725</v>
      </c>
      <c r="AA233" s="25" t="s">
        <v>77</v>
      </c>
      <c r="AB233" t="s">
        <v>26</v>
      </c>
      <c r="AC233" s="24">
        <v>40725</v>
      </c>
      <c r="AD233" s="25" t="s">
        <v>77</v>
      </c>
      <c r="AE233" t="s">
        <v>26</v>
      </c>
      <c r="AF233" t="s">
        <v>26</v>
      </c>
      <c r="AG233" t="s">
        <v>26</v>
      </c>
      <c r="AH233" t="s">
        <v>26</v>
      </c>
      <c r="AI233" t="s">
        <v>26</v>
      </c>
      <c r="AJ233" t="s">
        <v>26</v>
      </c>
      <c r="AK233" t="s">
        <v>26</v>
      </c>
      <c r="AL233" t="s">
        <v>26</v>
      </c>
      <c r="AM233" t="s">
        <v>26</v>
      </c>
      <c r="AN233" t="s">
        <v>26</v>
      </c>
      <c r="AO233" s="25" t="s">
        <v>68</v>
      </c>
      <c r="AP233" s="23" t="s">
        <v>69</v>
      </c>
      <c r="AQ233" t="s">
        <v>26</v>
      </c>
      <c r="AR233" s="23" t="s">
        <v>569</v>
      </c>
      <c r="AS233" s="25">
        <v>1596390</v>
      </c>
      <c r="AT233" t="s">
        <v>26</v>
      </c>
      <c r="AU233" t="s">
        <v>22505</v>
      </c>
    </row>
    <row r="234" spans="1:47" ht="26.25" x14ac:dyDescent="0.4">
      <c r="A234" s="23" t="s">
        <v>820</v>
      </c>
      <c r="B234" t="s">
        <v>26</v>
      </c>
      <c r="C234" s="23" t="s">
        <v>821</v>
      </c>
      <c r="D234" s="23" t="s">
        <v>22506</v>
      </c>
      <c r="E234" s="23" t="s">
        <v>822</v>
      </c>
      <c r="F234" s="25" t="s">
        <v>823</v>
      </c>
      <c r="G234" s="25" t="s">
        <v>824</v>
      </c>
      <c r="H234" t="s">
        <v>26</v>
      </c>
      <c r="I234" s="24">
        <v>38504</v>
      </c>
      <c r="J234" s="24">
        <v>39234</v>
      </c>
      <c r="K234" t="s">
        <v>26</v>
      </c>
      <c r="L234" s="25" t="s">
        <v>68</v>
      </c>
      <c r="M234" t="s">
        <v>26</v>
      </c>
      <c r="N234" t="s">
        <v>26</v>
      </c>
      <c r="O234" t="s">
        <v>26</v>
      </c>
      <c r="P234" s="24">
        <v>38504</v>
      </c>
      <c r="Q234" s="24">
        <v>39234</v>
      </c>
      <c r="R234" t="s">
        <v>26</v>
      </c>
      <c r="S234" t="s">
        <v>26</v>
      </c>
      <c r="T234" t="s">
        <v>26</v>
      </c>
      <c r="U234" t="s">
        <v>26</v>
      </c>
      <c r="V234" t="s">
        <v>26</v>
      </c>
      <c r="W234" s="24">
        <v>38504</v>
      </c>
      <c r="X234" s="24">
        <v>39234</v>
      </c>
      <c r="Y234" t="s">
        <v>26</v>
      </c>
      <c r="Z234" s="24">
        <v>38504</v>
      </c>
      <c r="AA234" s="24">
        <v>39234</v>
      </c>
      <c r="AB234" t="s">
        <v>26</v>
      </c>
      <c r="AC234" s="24">
        <v>38504</v>
      </c>
      <c r="AD234" s="24">
        <v>39234</v>
      </c>
      <c r="AE234" t="s">
        <v>26</v>
      </c>
      <c r="AF234" t="s">
        <v>26</v>
      </c>
      <c r="AG234" t="s">
        <v>26</v>
      </c>
      <c r="AH234" t="s">
        <v>26</v>
      </c>
      <c r="AI234" t="s">
        <v>26</v>
      </c>
      <c r="AJ234" t="s">
        <v>26</v>
      </c>
      <c r="AK234" t="s">
        <v>26</v>
      </c>
      <c r="AL234" t="s">
        <v>26</v>
      </c>
      <c r="AM234" t="s">
        <v>26</v>
      </c>
      <c r="AN234" t="s">
        <v>26</v>
      </c>
      <c r="AO234" s="25" t="s">
        <v>68</v>
      </c>
      <c r="AP234" s="23" t="s">
        <v>69</v>
      </c>
      <c r="AQ234" s="23" t="s">
        <v>30</v>
      </c>
      <c r="AR234" s="23" t="s">
        <v>569</v>
      </c>
      <c r="AS234" s="25">
        <v>28373</v>
      </c>
      <c r="AT234" t="s">
        <v>26</v>
      </c>
      <c r="AU234" t="s">
        <v>22507</v>
      </c>
    </row>
    <row r="235" spans="1:47" ht="26.25" x14ac:dyDescent="0.4">
      <c r="A235" s="23" t="s">
        <v>825</v>
      </c>
      <c r="B235" t="s">
        <v>26</v>
      </c>
      <c r="C235" t="s">
        <v>26</v>
      </c>
      <c r="D235" t="s">
        <v>26</v>
      </c>
      <c r="E235" t="s">
        <v>26</v>
      </c>
      <c r="F235" t="s">
        <v>26</v>
      </c>
      <c r="G235" t="s">
        <v>26</v>
      </c>
      <c r="H235" t="s">
        <v>26</v>
      </c>
      <c r="I235" s="24">
        <v>40544</v>
      </c>
      <c r="J235" s="24">
        <v>40909</v>
      </c>
      <c r="K235" t="s">
        <v>26</v>
      </c>
      <c r="L235" s="25" t="s">
        <v>28</v>
      </c>
      <c r="M235" s="24">
        <v>40544</v>
      </c>
      <c r="N235" s="24">
        <v>40909</v>
      </c>
      <c r="O235" t="s">
        <v>26</v>
      </c>
      <c r="P235" t="s">
        <v>26</v>
      </c>
      <c r="Q235" t="s">
        <v>26</v>
      </c>
      <c r="R235" t="s">
        <v>26</v>
      </c>
      <c r="S235" s="24">
        <v>40544</v>
      </c>
      <c r="T235" s="24">
        <v>40909</v>
      </c>
      <c r="U235" t="s">
        <v>26</v>
      </c>
      <c r="V235" t="s">
        <v>26</v>
      </c>
      <c r="W235" s="24">
        <v>40544</v>
      </c>
      <c r="X235" s="24">
        <v>40909</v>
      </c>
      <c r="Y235" t="s">
        <v>26</v>
      </c>
      <c r="Z235" s="24">
        <v>40544</v>
      </c>
      <c r="AA235" s="24">
        <v>40909</v>
      </c>
      <c r="AB235" t="s">
        <v>26</v>
      </c>
      <c r="AC235" s="24">
        <v>40544</v>
      </c>
      <c r="AD235" s="24">
        <v>40909</v>
      </c>
      <c r="AE235" t="s">
        <v>26</v>
      </c>
      <c r="AF235" s="24">
        <v>40544</v>
      </c>
      <c r="AG235" s="24">
        <v>40909</v>
      </c>
      <c r="AH235" t="s">
        <v>26</v>
      </c>
      <c r="AI235" s="24">
        <v>40544</v>
      </c>
      <c r="AJ235" s="24">
        <v>40909</v>
      </c>
      <c r="AK235" t="s">
        <v>26</v>
      </c>
      <c r="AL235" t="s">
        <v>26</v>
      </c>
      <c r="AM235" t="s">
        <v>26</v>
      </c>
      <c r="AN235" t="s">
        <v>26</v>
      </c>
      <c r="AO235" s="25" t="s">
        <v>28</v>
      </c>
      <c r="AP235" s="23" t="s">
        <v>43</v>
      </c>
      <c r="AQ235" s="23" t="s">
        <v>30</v>
      </c>
      <c r="AR235" s="23" t="s">
        <v>46</v>
      </c>
      <c r="AS235" s="25">
        <v>6359424</v>
      </c>
      <c r="AT235" t="s">
        <v>26</v>
      </c>
      <c r="AU235" t="s">
        <v>22508</v>
      </c>
    </row>
    <row r="236" spans="1:47" ht="26.25" x14ac:dyDescent="0.4">
      <c r="A236" s="23" t="s">
        <v>826</v>
      </c>
      <c r="B236" t="s">
        <v>26</v>
      </c>
      <c r="C236" s="23" t="s">
        <v>827</v>
      </c>
      <c r="D236" s="23" t="s">
        <v>22509</v>
      </c>
      <c r="E236" s="23" t="s">
        <v>822</v>
      </c>
      <c r="F236" s="25" t="s">
        <v>828</v>
      </c>
      <c r="G236" t="s">
        <v>26</v>
      </c>
      <c r="H236" t="s">
        <v>26</v>
      </c>
      <c r="I236" t="s">
        <v>26</v>
      </c>
      <c r="J236" t="s">
        <v>26</v>
      </c>
      <c r="K236" t="s">
        <v>26</v>
      </c>
      <c r="L236" s="25" t="s">
        <v>68</v>
      </c>
      <c r="M236" t="s">
        <v>26</v>
      </c>
      <c r="N236" t="s">
        <v>26</v>
      </c>
      <c r="O236" t="s">
        <v>26</v>
      </c>
      <c r="P236" t="s">
        <v>26</v>
      </c>
      <c r="Q236" t="s">
        <v>26</v>
      </c>
      <c r="R236" t="s">
        <v>26</v>
      </c>
      <c r="S236" t="s">
        <v>26</v>
      </c>
      <c r="T236" t="s">
        <v>26</v>
      </c>
      <c r="U236" t="s">
        <v>26</v>
      </c>
      <c r="V236" t="s">
        <v>26</v>
      </c>
      <c r="W236" s="24">
        <v>43466</v>
      </c>
      <c r="X236" s="24">
        <v>43466</v>
      </c>
      <c r="Y236" t="s">
        <v>26</v>
      </c>
      <c r="Z236" s="24">
        <v>43466</v>
      </c>
      <c r="AA236" s="24">
        <v>43466</v>
      </c>
      <c r="AB236" t="s">
        <v>26</v>
      </c>
      <c r="AC236" s="24">
        <v>43466</v>
      </c>
      <c r="AD236" s="24">
        <v>43466</v>
      </c>
      <c r="AE236" t="s">
        <v>26</v>
      </c>
      <c r="AF236" t="s">
        <v>26</v>
      </c>
      <c r="AG236" t="s">
        <v>26</v>
      </c>
      <c r="AH236" t="s">
        <v>26</v>
      </c>
      <c r="AI236" t="s">
        <v>26</v>
      </c>
      <c r="AJ236" t="s">
        <v>26</v>
      </c>
      <c r="AK236" t="s">
        <v>26</v>
      </c>
      <c r="AL236" t="s">
        <v>26</v>
      </c>
      <c r="AM236" t="s">
        <v>26</v>
      </c>
      <c r="AN236" t="s">
        <v>26</v>
      </c>
      <c r="AO236" s="25" t="s">
        <v>68</v>
      </c>
      <c r="AP236" s="23" t="s">
        <v>69</v>
      </c>
      <c r="AQ236" s="23" t="s">
        <v>30</v>
      </c>
      <c r="AR236" s="23" t="s">
        <v>829</v>
      </c>
      <c r="AS236" s="25">
        <v>53079</v>
      </c>
      <c r="AT236" t="s">
        <v>26</v>
      </c>
      <c r="AU236" t="s">
        <v>22510</v>
      </c>
    </row>
    <row r="237" spans="1:47" ht="26.25" x14ac:dyDescent="0.4">
      <c r="A237" s="23" t="s">
        <v>830</v>
      </c>
      <c r="B237" t="s">
        <v>26</v>
      </c>
      <c r="C237" s="23" t="s">
        <v>831</v>
      </c>
      <c r="D237" s="23" t="s">
        <v>22511</v>
      </c>
      <c r="E237" s="23" t="s">
        <v>822</v>
      </c>
      <c r="F237" s="25" t="s">
        <v>832</v>
      </c>
      <c r="G237" t="s">
        <v>26</v>
      </c>
      <c r="H237" t="s">
        <v>26</v>
      </c>
      <c r="I237" s="24">
        <v>36220</v>
      </c>
      <c r="J237" s="24">
        <v>43922</v>
      </c>
      <c r="K237" s="25" t="s">
        <v>833</v>
      </c>
      <c r="L237" s="25" t="s">
        <v>68</v>
      </c>
      <c r="M237" s="24">
        <v>36220</v>
      </c>
      <c r="N237" s="24">
        <v>43922</v>
      </c>
      <c r="O237" s="25" t="s">
        <v>833</v>
      </c>
      <c r="P237" s="24">
        <v>36220</v>
      </c>
      <c r="Q237" s="24">
        <v>43922</v>
      </c>
      <c r="R237" s="25" t="s">
        <v>833</v>
      </c>
      <c r="S237" t="s">
        <v>26</v>
      </c>
      <c r="T237" t="s">
        <v>26</v>
      </c>
      <c r="U237" t="s">
        <v>26</v>
      </c>
      <c r="V237" t="s">
        <v>26</v>
      </c>
      <c r="W237" s="24">
        <v>36220</v>
      </c>
      <c r="X237" s="24">
        <v>43922</v>
      </c>
      <c r="Y237" s="25" t="s">
        <v>833</v>
      </c>
      <c r="Z237" s="24">
        <v>36220</v>
      </c>
      <c r="AA237" s="24">
        <v>43922</v>
      </c>
      <c r="AB237" s="25" t="s">
        <v>833</v>
      </c>
      <c r="AC237" s="24">
        <v>42461</v>
      </c>
      <c r="AD237" s="24">
        <v>43922</v>
      </c>
      <c r="AE237" s="25" t="s">
        <v>833</v>
      </c>
      <c r="AF237" t="s">
        <v>26</v>
      </c>
      <c r="AG237" t="s">
        <v>26</v>
      </c>
      <c r="AH237" t="s">
        <v>26</v>
      </c>
      <c r="AI237" t="s">
        <v>26</v>
      </c>
      <c r="AJ237" t="s">
        <v>26</v>
      </c>
      <c r="AK237" t="s">
        <v>26</v>
      </c>
      <c r="AL237" t="s">
        <v>26</v>
      </c>
      <c r="AM237" t="s">
        <v>26</v>
      </c>
      <c r="AN237" t="s">
        <v>26</v>
      </c>
      <c r="AO237" s="25" t="s">
        <v>68</v>
      </c>
      <c r="AP237" s="23" t="s">
        <v>69</v>
      </c>
      <c r="AQ237" s="23" t="s">
        <v>30</v>
      </c>
      <c r="AR237" s="23" t="s">
        <v>834</v>
      </c>
      <c r="AS237" s="25">
        <v>30864</v>
      </c>
      <c r="AT237" t="s">
        <v>26</v>
      </c>
      <c r="AU237" t="s">
        <v>22512</v>
      </c>
    </row>
    <row r="238" spans="1:47" ht="26.25" x14ac:dyDescent="0.4">
      <c r="A238" s="23" t="s">
        <v>835</v>
      </c>
      <c r="B238" t="s">
        <v>26</v>
      </c>
      <c r="C238" s="23" t="s">
        <v>821</v>
      </c>
      <c r="D238" s="23" t="s">
        <v>22215</v>
      </c>
      <c r="E238" s="23" t="s">
        <v>822</v>
      </c>
      <c r="F238" s="25" t="s">
        <v>836</v>
      </c>
      <c r="G238" t="s">
        <v>26</v>
      </c>
      <c r="H238" t="s">
        <v>26</v>
      </c>
      <c r="I238" s="24">
        <v>38473</v>
      </c>
      <c r="J238" s="24">
        <v>40118</v>
      </c>
      <c r="K238" t="s">
        <v>26</v>
      </c>
      <c r="L238" s="25" t="s">
        <v>68</v>
      </c>
      <c r="M238" s="24">
        <v>39387</v>
      </c>
      <c r="N238" s="24">
        <v>40118</v>
      </c>
      <c r="O238" t="s">
        <v>26</v>
      </c>
      <c r="P238" s="24">
        <v>38473</v>
      </c>
      <c r="Q238" s="24">
        <v>40118</v>
      </c>
      <c r="R238" t="s">
        <v>26</v>
      </c>
      <c r="S238" t="s">
        <v>26</v>
      </c>
      <c r="T238" t="s">
        <v>26</v>
      </c>
      <c r="U238" t="s">
        <v>26</v>
      </c>
      <c r="V238" t="s">
        <v>26</v>
      </c>
      <c r="W238" s="24">
        <v>38473</v>
      </c>
      <c r="X238" s="24">
        <v>40118</v>
      </c>
      <c r="Y238" t="s">
        <v>26</v>
      </c>
      <c r="Z238" s="24">
        <v>38473</v>
      </c>
      <c r="AA238" s="24">
        <v>40118</v>
      </c>
      <c r="AB238" t="s">
        <v>26</v>
      </c>
      <c r="AC238" t="s">
        <v>26</v>
      </c>
      <c r="AD238" t="s">
        <v>26</v>
      </c>
      <c r="AE238" t="s">
        <v>26</v>
      </c>
      <c r="AF238" t="s">
        <v>26</v>
      </c>
      <c r="AG238" t="s">
        <v>26</v>
      </c>
      <c r="AH238" t="s">
        <v>26</v>
      </c>
      <c r="AI238" t="s">
        <v>26</v>
      </c>
      <c r="AJ238" t="s">
        <v>26</v>
      </c>
      <c r="AK238" t="s">
        <v>26</v>
      </c>
      <c r="AL238" t="s">
        <v>26</v>
      </c>
      <c r="AM238" t="s">
        <v>26</v>
      </c>
      <c r="AN238" t="s">
        <v>26</v>
      </c>
      <c r="AO238" s="25" t="s">
        <v>68</v>
      </c>
      <c r="AP238" s="23" t="s">
        <v>69</v>
      </c>
      <c r="AQ238" s="23" t="s">
        <v>30</v>
      </c>
      <c r="AR238" s="23" t="s">
        <v>834</v>
      </c>
      <c r="AS238" s="25">
        <v>27665</v>
      </c>
      <c r="AT238" t="s">
        <v>26</v>
      </c>
      <c r="AU238" t="s">
        <v>22513</v>
      </c>
    </row>
    <row r="239" spans="1:47" ht="26.25" x14ac:dyDescent="0.4">
      <c r="A239" s="23" t="s">
        <v>837</v>
      </c>
      <c r="B239" t="s">
        <v>26</v>
      </c>
      <c r="C239" s="23" t="s">
        <v>821</v>
      </c>
      <c r="D239" s="23" t="s">
        <v>22215</v>
      </c>
      <c r="E239" s="23" t="s">
        <v>822</v>
      </c>
      <c r="F239" t="s">
        <v>26</v>
      </c>
      <c r="G239" s="25" t="s">
        <v>838</v>
      </c>
      <c r="H239" t="s">
        <v>26</v>
      </c>
      <c r="I239" s="24">
        <v>40299</v>
      </c>
      <c r="J239" s="24">
        <v>43040</v>
      </c>
      <c r="K239" t="s">
        <v>26</v>
      </c>
      <c r="L239" s="25" t="s">
        <v>68</v>
      </c>
      <c r="M239" s="24">
        <v>40299</v>
      </c>
      <c r="N239" s="24">
        <v>43040</v>
      </c>
      <c r="O239" t="s">
        <v>26</v>
      </c>
      <c r="P239" s="24">
        <v>40299</v>
      </c>
      <c r="Q239" s="24">
        <v>43040</v>
      </c>
      <c r="R239" t="s">
        <v>26</v>
      </c>
      <c r="S239" t="s">
        <v>26</v>
      </c>
      <c r="T239" t="s">
        <v>26</v>
      </c>
      <c r="U239" t="s">
        <v>26</v>
      </c>
      <c r="V239" t="s">
        <v>26</v>
      </c>
      <c r="W239" s="24">
        <v>40299</v>
      </c>
      <c r="X239" s="24">
        <v>43040</v>
      </c>
      <c r="Y239" t="s">
        <v>26</v>
      </c>
      <c r="Z239" s="24">
        <v>40299</v>
      </c>
      <c r="AA239" s="24">
        <v>43040</v>
      </c>
      <c r="AB239" t="s">
        <v>26</v>
      </c>
      <c r="AC239" s="24">
        <v>43040</v>
      </c>
      <c r="AD239" s="24">
        <v>43040</v>
      </c>
      <c r="AE239" t="s">
        <v>26</v>
      </c>
      <c r="AF239" t="s">
        <v>26</v>
      </c>
      <c r="AG239" t="s">
        <v>26</v>
      </c>
      <c r="AH239" t="s">
        <v>26</v>
      </c>
      <c r="AI239" t="s">
        <v>26</v>
      </c>
      <c r="AJ239" t="s">
        <v>26</v>
      </c>
      <c r="AK239" t="s">
        <v>26</v>
      </c>
      <c r="AL239" t="s">
        <v>26</v>
      </c>
      <c r="AM239" t="s">
        <v>26</v>
      </c>
      <c r="AN239" t="s">
        <v>26</v>
      </c>
      <c r="AO239" s="25" t="s">
        <v>68</v>
      </c>
      <c r="AP239" s="23" t="s">
        <v>69</v>
      </c>
      <c r="AQ239" s="23" t="s">
        <v>30</v>
      </c>
      <c r="AR239" s="23" t="s">
        <v>834</v>
      </c>
      <c r="AS239" s="25">
        <v>446302</v>
      </c>
      <c r="AT239" t="s">
        <v>26</v>
      </c>
      <c r="AU239" t="s">
        <v>22514</v>
      </c>
    </row>
    <row r="240" spans="1:47" ht="26.25" x14ac:dyDescent="0.4">
      <c r="A240" s="23" t="s">
        <v>839</v>
      </c>
      <c r="B240" t="s">
        <v>26</v>
      </c>
      <c r="C240" s="23" t="s">
        <v>80</v>
      </c>
      <c r="D240" s="23" t="s">
        <v>22515</v>
      </c>
      <c r="E240" s="23" t="s">
        <v>60</v>
      </c>
      <c r="F240" s="25" t="s">
        <v>840</v>
      </c>
      <c r="G240" s="25" t="s">
        <v>841</v>
      </c>
      <c r="H240" t="s">
        <v>26</v>
      </c>
      <c r="I240" t="s">
        <v>26</v>
      </c>
      <c r="J240" t="s">
        <v>26</v>
      </c>
      <c r="K240" t="s">
        <v>26</v>
      </c>
      <c r="L240" s="25" t="s">
        <v>68</v>
      </c>
      <c r="M240" t="s">
        <v>26</v>
      </c>
      <c r="N240" t="s">
        <v>26</v>
      </c>
      <c r="O240" t="s">
        <v>26</v>
      </c>
      <c r="P240" t="s">
        <v>26</v>
      </c>
      <c r="Q240" t="s">
        <v>26</v>
      </c>
      <c r="R240" t="s">
        <v>26</v>
      </c>
      <c r="S240" t="s">
        <v>26</v>
      </c>
      <c r="T240" t="s">
        <v>26</v>
      </c>
      <c r="U240" t="s">
        <v>26</v>
      </c>
      <c r="V240" t="s">
        <v>26</v>
      </c>
      <c r="W240" s="24">
        <v>40299</v>
      </c>
      <c r="X240" s="25" t="s">
        <v>77</v>
      </c>
      <c r="Y240" t="s">
        <v>26</v>
      </c>
      <c r="Z240" s="24">
        <v>40299</v>
      </c>
      <c r="AA240" s="25" t="s">
        <v>77</v>
      </c>
      <c r="AB240" t="s">
        <v>26</v>
      </c>
      <c r="AC240" s="24">
        <v>40299</v>
      </c>
      <c r="AD240" s="25" t="s">
        <v>77</v>
      </c>
      <c r="AE240" t="s">
        <v>26</v>
      </c>
      <c r="AF240" t="s">
        <v>26</v>
      </c>
      <c r="AG240" t="s">
        <v>26</v>
      </c>
      <c r="AH240" t="s">
        <v>26</v>
      </c>
      <c r="AI240" t="s">
        <v>26</v>
      </c>
      <c r="AJ240" t="s">
        <v>26</v>
      </c>
      <c r="AK240" t="s">
        <v>26</v>
      </c>
      <c r="AL240" t="s">
        <v>26</v>
      </c>
      <c r="AM240" t="s">
        <v>26</v>
      </c>
      <c r="AN240" t="s">
        <v>26</v>
      </c>
      <c r="AO240" s="25" t="s">
        <v>68</v>
      </c>
      <c r="AP240" s="23" t="s">
        <v>69</v>
      </c>
      <c r="AQ240" s="23" t="s">
        <v>30</v>
      </c>
      <c r="AR240" s="23" t="s">
        <v>569</v>
      </c>
      <c r="AS240" s="25">
        <v>186230</v>
      </c>
      <c r="AT240" t="s">
        <v>26</v>
      </c>
      <c r="AU240" t="s">
        <v>22516</v>
      </c>
    </row>
    <row r="241" spans="1:47" ht="26.25" x14ac:dyDescent="0.4">
      <c r="A241" s="23" t="s">
        <v>842</v>
      </c>
      <c r="B241" t="s">
        <v>26</v>
      </c>
      <c r="C241" s="23" t="s">
        <v>821</v>
      </c>
      <c r="D241" s="23" t="s">
        <v>22517</v>
      </c>
      <c r="E241" s="23" t="s">
        <v>822</v>
      </c>
      <c r="F241" s="25" t="s">
        <v>843</v>
      </c>
      <c r="G241" t="s">
        <v>26</v>
      </c>
      <c r="H241" t="s">
        <v>26</v>
      </c>
      <c r="I241" s="24">
        <v>38353</v>
      </c>
      <c r="J241" s="25" t="s">
        <v>77</v>
      </c>
      <c r="K241" t="s">
        <v>26</v>
      </c>
      <c r="L241" s="25" t="s">
        <v>68</v>
      </c>
      <c r="M241" s="24">
        <v>39448</v>
      </c>
      <c r="N241" s="25" t="s">
        <v>77</v>
      </c>
      <c r="O241" t="s">
        <v>26</v>
      </c>
      <c r="P241" s="24">
        <v>38353</v>
      </c>
      <c r="Q241" s="25" t="s">
        <v>77</v>
      </c>
      <c r="R241" t="s">
        <v>26</v>
      </c>
      <c r="S241" t="s">
        <v>26</v>
      </c>
      <c r="T241" t="s">
        <v>26</v>
      </c>
      <c r="U241" t="s">
        <v>26</v>
      </c>
      <c r="V241" t="s">
        <v>26</v>
      </c>
      <c r="W241" s="24">
        <v>38353</v>
      </c>
      <c r="X241" s="25" t="s">
        <v>77</v>
      </c>
      <c r="Y241" t="s">
        <v>26</v>
      </c>
      <c r="Z241" s="24">
        <v>38353</v>
      </c>
      <c r="AA241" s="25" t="s">
        <v>77</v>
      </c>
      <c r="AB241" t="s">
        <v>26</v>
      </c>
      <c r="AC241" s="24">
        <v>39448</v>
      </c>
      <c r="AD241" s="25" t="s">
        <v>77</v>
      </c>
      <c r="AE241" t="s">
        <v>26</v>
      </c>
      <c r="AF241" t="s">
        <v>26</v>
      </c>
      <c r="AG241" t="s">
        <v>26</v>
      </c>
      <c r="AH241" t="s">
        <v>26</v>
      </c>
      <c r="AI241" t="s">
        <v>26</v>
      </c>
      <c r="AJ241" t="s">
        <v>26</v>
      </c>
      <c r="AK241" t="s">
        <v>26</v>
      </c>
      <c r="AL241" t="s">
        <v>26</v>
      </c>
      <c r="AM241" t="s">
        <v>26</v>
      </c>
      <c r="AN241" t="s">
        <v>26</v>
      </c>
      <c r="AO241" s="25" t="s">
        <v>68</v>
      </c>
      <c r="AP241" s="23" t="s">
        <v>69</v>
      </c>
      <c r="AQ241" s="23" t="s">
        <v>30</v>
      </c>
      <c r="AR241" s="23" t="s">
        <v>844</v>
      </c>
      <c r="AS241" s="25">
        <v>28265</v>
      </c>
      <c r="AT241" t="s">
        <v>26</v>
      </c>
      <c r="AU241" t="s">
        <v>22518</v>
      </c>
    </row>
    <row r="242" spans="1:47" ht="26.25" x14ac:dyDescent="0.4">
      <c r="A242" s="23" t="s">
        <v>845</v>
      </c>
      <c r="B242" t="s">
        <v>26</v>
      </c>
      <c r="C242" s="23" t="s">
        <v>80</v>
      </c>
      <c r="D242" s="23" t="s">
        <v>22519</v>
      </c>
      <c r="E242" s="23" t="s">
        <v>60</v>
      </c>
      <c r="F242" s="25" t="s">
        <v>846</v>
      </c>
      <c r="G242" s="25" t="s">
        <v>847</v>
      </c>
      <c r="H242" t="s">
        <v>26</v>
      </c>
      <c r="I242" t="s">
        <v>26</v>
      </c>
      <c r="J242" t="s">
        <v>26</v>
      </c>
      <c r="K242" t="s">
        <v>26</v>
      </c>
      <c r="L242" s="25" t="s">
        <v>68</v>
      </c>
      <c r="M242" t="s">
        <v>26</v>
      </c>
      <c r="N242" t="s">
        <v>26</v>
      </c>
      <c r="O242" t="s">
        <v>26</v>
      </c>
      <c r="P242" t="s">
        <v>26</v>
      </c>
      <c r="Q242" t="s">
        <v>26</v>
      </c>
      <c r="R242" t="s">
        <v>26</v>
      </c>
      <c r="S242" t="s">
        <v>26</v>
      </c>
      <c r="T242" t="s">
        <v>26</v>
      </c>
      <c r="U242" t="s">
        <v>26</v>
      </c>
      <c r="V242" t="s">
        <v>26</v>
      </c>
      <c r="W242" s="24">
        <v>38353</v>
      </c>
      <c r="X242" s="25" t="s">
        <v>77</v>
      </c>
      <c r="Y242" t="s">
        <v>26</v>
      </c>
      <c r="Z242" s="24">
        <v>38353</v>
      </c>
      <c r="AA242" s="25" t="s">
        <v>77</v>
      </c>
      <c r="AB242" t="s">
        <v>26</v>
      </c>
      <c r="AC242" s="24">
        <v>39417</v>
      </c>
      <c r="AD242" s="25" t="s">
        <v>77</v>
      </c>
      <c r="AE242" t="s">
        <v>26</v>
      </c>
      <c r="AF242" t="s">
        <v>26</v>
      </c>
      <c r="AG242" t="s">
        <v>26</v>
      </c>
      <c r="AH242" t="s">
        <v>26</v>
      </c>
      <c r="AI242" t="s">
        <v>26</v>
      </c>
      <c r="AJ242" t="s">
        <v>26</v>
      </c>
      <c r="AK242" t="s">
        <v>26</v>
      </c>
      <c r="AL242" t="s">
        <v>26</v>
      </c>
      <c r="AM242" t="s">
        <v>26</v>
      </c>
      <c r="AN242" t="s">
        <v>26</v>
      </c>
      <c r="AO242" s="25" t="s">
        <v>68</v>
      </c>
      <c r="AP242" s="23" t="s">
        <v>69</v>
      </c>
      <c r="AQ242" s="23" t="s">
        <v>30</v>
      </c>
      <c r="AR242" s="23" t="s">
        <v>46</v>
      </c>
      <c r="AS242" s="25">
        <v>33721</v>
      </c>
      <c r="AT242" t="s">
        <v>26</v>
      </c>
      <c r="AU242" t="s">
        <v>22520</v>
      </c>
    </row>
    <row r="243" spans="1:47" ht="26.25" x14ac:dyDescent="0.4">
      <c r="A243" s="23" t="s">
        <v>845</v>
      </c>
      <c r="B243" t="s">
        <v>26</v>
      </c>
      <c r="C243" s="23" t="s">
        <v>80</v>
      </c>
      <c r="D243" s="23" t="s">
        <v>22519</v>
      </c>
      <c r="E243" s="23" t="s">
        <v>60</v>
      </c>
      <c r="F243" s="25" t="s">
        <v>846</v>
      </c>
      <c r="G243" s="25" t="s">
        <v>847</v>
      </c>
      <c r="H243" t="s">
        <v>26</v>
      </c>
      <c r="I243" t="s">
        <v>26</v>
      </c>
      <c r="J243" t="s">
        <v>26</v>
      </c>
      <c r="K243" t="s">
        <v>26</v>
      </c>
      <c r="L243" s="25" t="s">
        <v>68</v>
      </c>
      <c r="M243" t="s">
        <v>26</v>
      </c>
      <c r="N243" t="s">
        <v>26</v>
      </c>
      <c r="O243" t="s">
        <v>26</v>
      </c>
      <c r="P243" t="s">
        <v>26</v>
      </c>
      <c r="Q243" t="s">
        <v>26</v>
      </c>
      <c r="R243" t="s">
        <v>26</v>
      </c>
      <c r="S243" t="s">
        <v>26</v>
      </c>
      <c r="T243" t="s">
        <v>26</v>
      </c>
      <c r="U243" t="s">
        <v>26</v>
      </c>
      <c r="V243" t="s">
        <v>26</v>
      </c>
      <c r="W243" s="24">
        <v>40969</v>
      </c>
      <c r="X243" s="24">
        <v>44166</v>
      </c>
      <c r="Y243" t="s">
        <v>26</v>
      </c>
      <c r="Z243" s="24">
        <v>40969</v>
      </c>
      <c r="AA243" s="24">
        <v>44166</v>
      </c>
      <c r="AB243" t="s">
        <v>26</v>
      </c>
      <c r="AC243" s="24">
        <v>40969</v>
      </c>
      <c r="AD243" s="24">
        <v>44166</v>
      </c>
      <c r="AE243" t="s">
        <v>26</v>
      </c>
      <c r="AF243" t="s">
        <v>26</v>
      </c>
      <c r="AG243" t="s">
        <v>26</v>
      </c>
      <c r="AH243" t="s">
        <v>26</v>
      </c>
      <c r="AI243" t="s">
        <v>26</v>
      </c>
      <c r="AJ243" t="s">
        <v>26</v>
      </c>
      <c r="AK243" t="s">
        <v>26</v>
      </c>
      <c r="AL243" t="s">
        <v>26</v>
      </c>
      <c r="AM243" t="s">
        <v>26</v>
      </c>
      <c r="AN243" t="s">
        <v>26</v>
      </c>
      <c r="AO243" s="25" t="s">
        <v>68</v>
      </c>
      <c r="AP243" s="23" t="s">
        <v>69</v>
      </c>
      <c r="AQ243" s="23" t="s">
        <v>30</v>
      </c>
      <c r="AR243" s="23" t="s">
        <v>46</v>
      </c>
      <c r="AS243" s="25">
        <v>2033408</v>
      </c>
      <c r="AT243" t="s">
        <v>26</v>
      </c>
      <c r="AU243" t="s">
        <v>22521</v>
      </c>
    </row>
    <row r="244" spans="1:47" ht="26.25" x14ac:dyDescent="0.4">
      <c r="A244" s="23" t="s">
        <v>848</v>
      </c>
      <c r="B244" t="s">
        <v>26</v>
      </c>
      <c r="C244" s="23" t="s">
        <v>167</v>
      </c>
      <c r="D244" s="23" t="s">
        <v>22522</v>
      </c>
      <c r="E244" s="23" t="s">
        <v>60</v>
      </c>
      <c r="F244" s="25" t="s">
        <v>849</v>
      </c>
      <c r="G244" s="25" t="s">
        <v>850</v>
      </c>
      <c r="H244" t="s">
        <v>26</v>
      </c>
      <c r="I244" s="24">
        <v>40695</v>
      </c>
      <c r="J244" s="24">
        <v>44531</v>
      </c>
      <c r="K244" t="s">
        <v>26</v>
      </c>
      <c r="L244" s="25" t="s">
        <v>68</v>
      </c>
      <c r="M244" s="24">
        <v>41091</v>
      </c>
      <c r="N244" s="24">
        <v>44531</v>
      </c>
      <c r="O244" t="s">
        <v>26</v>
      </c>
      <c r="P244" s="24">
        <v>40695</v>
      </c>
      <c r="Q244" s="24">
        <v>44531</v>
      </c>
      <c r="R244" t="s">
        <v>26</v>
      </c>
      <c r="S244" t="s">
        <v>26</v>
      </c>
      <c r="T244" t="s">
        <v>26</v>
      </c>
      <c r="U244" t="s">
        <v>26</v>
      </c>
      <c r="V244" t="s">
        <v>26</v>
      </c>
      <c r="W244" s="24">
        <v>40695</v>
      </c>
      <c r="X244" s="24">
        <v>44531</v>
      </c>
      <c r="Y244" t="s">
        <v>26</v>
      </c>
      <c r="Z244" s="24">
        <v>40695</v>
      </c>
      <c r="AA244" s="24">
        <v>44531</v>
      </c>
      <c r="AB244" t="s">
        <v>26</v>
      </c>
      <c r="AC244" s="24">
        <v>40695</v>
      </c>
      <c r="AD244" s="24">
        <v>44531</v>
      </c>
      <c r="AE244" t="s">
        <v>26</v>
      </c>
      <c r="AF244" t="s">
        <v>26</v>
      </c>
      <c r="AG244" t="s">
        <v>26</v>
      </c>
      <c r="AH244" t="s">
        <v>26</v>
      </c>
      <c r="AI244" t="s">
        <v>26</v>
      </c>
      <c r="AJ244" t="s">
        <v>26</v>
      </c>
      <c r="AK244" t="s">
        <v>26</v>
      </c>
      <c r="AL244" t="s">
        <v>26</v>
      </c>
      <c r="AM244" t="s">
        <v>26</v>
      </c>
      <c r="AN244" t="s">
        <v>26</v>
      </c>
      <c r="AO244" s="25" t="s">
        <v>68</v>
      </c>
      <c r="AP244" s="23" t="s">
        <v>69</v>
      </c>
      <c r="AQ244" s="23" t="s">
        <v>30</v>
      </c>
      <c r="AR244" s="23" t="s">
        <v>851</v>
      </c>
      <c r="AS244" s="25">
        <v>1586359</v>
      </c>
      <c r="AT244" t="s">
        <v>26</v>
      </c>
      <c r="AU244" t="s">
        <v>22523</v>
      </c>
    </row>
    <row r="245" spans="1:47" ht="26.25" x14ac:dyDescent="0.4">
      <c r="A245" s="23" t="s">
        <v>852</v>
      </c>
      <c r="B245" t="s">
        <v>26</v>
      </c>
      <c r="C245" s="23" t="s">
        <v>80</v>
      </c>
      <c r="D245" s="23" t="s">
        <v>22519</v>
      </c>
      <c r="E245" s="23" t="s">
        <v>60</v>
      </c>
      <c r="F245" s="25" t="s">
        <v>853</v>
      </c>
      <c r="G245" s="25" t="s">
        <v>854</v>
      </c>
      <c r="H245" t="s">
        <v>26</v>
      </c>
      <c r="I245" t="s">
        <v>26</v>
      </c>
      <c r="J245" t="s">
        <v>26</v>
      </c>
      <c r="K245" t="s">
        <v>26</v>
      </c>
      <c r="L245" s="25" t="s">
        <v>68</v>
      </c>
      <c r="M245" t="s">
        <v>26</v>
      </c>
      <c r="N245" t="s">
        <v>26</v>
      </c>
      <c r="O245" t="s">
        <v>26</v>
      </c>
      <c r="P245" t="s">
        <v>26</v>
      </c>
      <c r="Q245" t="s">
        <v>26</v>
      </c>
      <c r="R245" t="s">
        <v>26</v>
      </c>
      <c r="S245" t="s">
        <v>26</v>
      </c>
      <c r="T245" t="s">
        <v>26</v>
      </c>
      <c r="U245" t="s">
        <v>26</v>
      </c>
      <c r="V245" t="s">
        <v>26</v>
      </c>
      <c r="W245" s="24">
        <v>38412</v>
      </c>
      <c r="X245" s="25" t="s">
        <v>77</v>
      </c>
      <c r="Y245" t="s">
        <v>26</v>
      </c>
      <c r="Z245" s="24">
        <v>38412</v>
      </c>
      <c r="AA245" s="25" t="s">
        <v>77</v>
      </c>
      <c r="AB245" t="s">
        <v>26</v>
      </c>
      <c r="AC245" s="24">
        <v>39326</v>
      </c>
      <c r="AD245" s="25" t="s">
        <v>77</v>
      </c>
      <c r="AE245" t="s">
        <v>26</v>
      </c>
      <c r="AF245" t="s">
        <v>26</v>
      </c>
      <c r="AG245" t="s">
        <v>26</v>
      </c>
      <c r="AH245" t="s">
        <v>26</v>
      </c>
      <c r="AI245" t="s">
        <v>26</v>
      </c>
      <c r="AJ245" t="s">
        <v>26</v>
      </c>
      <c r="AK245" t="s">
        <v>26</v>
      </c>
      <c r="AL245" t="s">
        <v>26</v>
      </c>
      <c r="AM245" t="s">
        <v>26</v>
      </c>
      <c r="AN245" t="s">
        <v>26</v>
      </c>
      <c r="AO245" s="25" t="s">
        <v>68</v>
      </c>
      <c r="AP245" s="23" t="s">
        <v>69</v>
      </c>
      <c r="AQ245" s="23" t="s">
        <v>30</v>
      </c>
      <c r="AR245" s="23" t="s">
        <v>46</v>
      </c>
      <c r="AS245" s="25">
        <v>30051</v>
      </c>
      <c r="AT245" t="s">
        <v>26</v>
      </c>
      <c r="AU245" t="s">
        <v>22524</v>
      </c>
    </row>
    <row r="246" spans="1:47" ht="26.25" x14ac:dyDescent="0.4">
      <c r="A246" s="23" t="s">
        <v>852</v>
      </c>
      <c r="B246" t="s">
        <v>26</v>
      </c>
      <c r="C246" s="23" t="s">
        <v>80</v>
      </c>
      <c r="D246" s="23" t="s">
        <v>22519</v>
      </c>
      <c r="E246" s="23" t="s">
        <v>60</v>
      </c>
      <c r="F246" s="25" t="s">
        <v>853</v>
      </c>
      <c r="G246" s="25" t="s">
        <v>854</v>
      </c>
      <c r="H246" t="s">
        <v>26</v>
      </c>
      <c r="I246" t="s">
        <v>26</v>
      </c>
      <c r="J246" t="s">
        <v>26</v>
      </c>
      <c r="K246" t="s">
        <v>26</v>
      </c>
      <c r="L246" s="25" t="s">
        <v>68</v>
      </c>
      <c r="M246" t="s">
        <v>26</v>
      </c>
      <c r="N246" t="s">
        <v>26</v>
      </c>
      <c r="O246" t="s">
        <v>26</v>
      </c>
      <c r="P246" t="s">
        <v>26</v>
      </c>
      <c r="Q246" t="s">
        <v>26</v>
      </c>
      <c r="R246" t="s">
        <v>26</v>
      </c>
      <c r="S246" t="s">
        <v>26</v>
      </c>
      <c r="T246" t="s">
        <v>26</v>
      </c>
      <c r="U246" t="s">
        <v>26</v>
      </c>
      <c r="V246" t="s">
        <v>26</v>
      </c>
      <c r="W246" s="24">
        <v>39234</v>
      </c>
      <c r="X246" s="24">
        <v>44166</v>
      </c>
      <c r="Y246" t="s">
        <v>26</v>
      </c>
      <c r="Z246" s="24">
        <v>39234</v>
      </c>
      <c r="AA246" s="24">
        <v>44166</v>
      </c>
      <c r="AB246" t="s">
        <v>26</v>
      </c>
      <c r="AC246" s="24">
        <v>39234</v>
      </c>
      <c r="AD246" s="24">
        <v>44166</v>
      </c>
      <c r="AE246" t="s">
        <v>26</v>
      </c>
      <c r="AF246" t="s">
        <v>26</v>
      </c>
      <c r="AG246" t="s">
        <v>26</v>
      </c>
      <c r="AH246" t="s">
        <v>26</v>
      </c>
      <c r="AI246" t="s">
        <v>26</v>
      </c>
      <c r="AJ246" t="s">
        <v>26</v>
      </c>
      <c r="AK246" t="s">
        <v>26</v>
      </c>
      <c r="AL246" t="s">
        <v>26</v>
      </c>
      <c r="AM246" t="s">
        <v>26</v>
      </c>
      <c r="AN246" t="s">
        <v>26</v>
      </c>
      <c r="AO246" s="25" t="s">
        <v>68</v>
      </c>
      <c r="AP246" s="23" t="s">
        <v>69</v>
      </c>
      <c r="AQ246" s="23" t="s">
        <v>30</v>
      </c>
      <c r="AR246" s="23" t="s">
        <v>46</v>
      </c>
      <c r="AS246" s="25">
        <v>2033405</v>
      </c>
      <c r="AT246" t="s">
        <v>26</v>
      </c>
      <c r="AU246" t="s">
        <v>22525</v>
      </c>
    </row>
    <row r="247" spans="1:47" ht="26.25" x14ac:dyDescent="0.4">
      <c r="A247" s="23" t="s">
        <v>855</v>
      </c>
      <c r="B247" t="s">
        <v>26</v>
      </c>
      <c r="C247" s="23" t="s">
        <v>107</v>
      </c>
      <c r="D247" s="23" t="s">
        <v>22174</v>
      </c>
      <c r="E247" s="23" t="s">
        <v>42</v>
      </c>
      <c r="F247" s="25" t="s">
        <v>856</v>
      </c>
      <c r="G247" t="s">
        <v>26</v>
      </c>
      <c r="H247" t="s">
        <v>26</v>
      </c>
      <c r="I247" t="s">
        <v>26</v>
      </c>
      <c r="J247" t="s">
        <v>26</v>
      </c>
      <c r="K247" t="s">
        <v>26</v>
      </c>
      <c r="L247" s="25" t="s">
        <v>68</v>
      </c>
      <c r="M247" t="s">
        <v>26</v>
      </c>
      <c r="N247" t="s">
        <v>26</v>
      </c>
      <c r="O247" t="s">
        <v>26</v>
      </c>
      <c r="P247" t="s">
        <v>26</v>
      </c>
      <c r="Q247" t="s">
        <v>26</v>
      </c>
      <c r="R247" t="s">
        <v>26</v>
      </c>
      <c r="S247" t="s">
        <v>26</v>
      </c>
      <c r="T247" t="s">
        <v>26</v>
      </c>
      <c r="U247" t="s">
        <v>26</v>
      </c>
      <c r="V247" t="s">
        <v>26</v>
      </c>
      <c r="W247" s="24">
        <v>35612</v>
      </c>
      <c r="X247" s="25" t="s">
        <v>77</v>
      </c>
      <c r="Y247" t="s">
        <v>26</v>
      </c>
      <c r="Z247" s="24">
        <v>35612</v>
      </c>
      <c r="AA247" s="25" t="s">
        <v>77</v>
      </c>
      <c r="AB247" t="s">
        <v>26</v>
      </c>
      <c r="AC247" s="24">
        <v>35612</v>
      </c>
      <c r="AD247" s="25" t="s">
        <v>77</v>
      </c>
      <c r="AE247" t="s">
        <v>26</v>
      </c>
      <c r="AF247" t="s">
        <v>26</v>
      </c>
      <c r="AG247" t="s">
        <v>26</v>
      </c>
      <c r="AH247" t="s">
        <v>26</v>
      </c>
      <c r="AI247" t="s">
        <v>26</v>
      </c>
      <c r="AJ247" t="s">
        <v>26</v>
      </c>
      <c r="AK247" t="s">
        <v>26</v>
      </c>
      <c r="AL247" t="s">
        <v>26</v>
      </c>
      <c r="AM247" t="s">
        <v>26</v>
      </c>
      <c r="AN247" t="s">
        <v>26</v>
      </c>
      <c r="AO247" s="25" t="s">
        <v>68</v>
      </c>
      <c r="AP247" s="23" t="s">
        <v>69</v>
      </c>
      <c r="AQ247" s="23" t="s">
        <v>30</v>
      </c>
      <c r="AR247" s="23" t="s">
        <v>71</v>
      </c>
      <c r="AS247" s="25">
        <v>2033404</v>
      </c>
      <c r="AT247" t="s">
        <v>26</v>
      </c>
      <c r="AU247" t="s">
        <v>22526</v>
      </c>
    </row>
    <row r="248" spans="1:47" ht="26.25" x14ac:dyDescent="0.4">
      <c r="A248" s="23" t="s">
        <v>857</v>
      </c>
      <c r="B248" t="s">
        <v>26</v>
      </c>
      <c r="C248" s="23" t="s">
        <v>181</v>
      </c>
      <c r="D248" s="23" t="s">
        <v>22194</v>
      </c>
      <c r="E248" s="23" t="s">
        <v>60</v>
      </c>
      <c r="F248" t="s">
        <v>26</v>
      </c>
      <c r="G248" s="25" t="s">
        <v>858</v>
      </c>
      <c r="H248" t="s">
        <v>26</v>
      </c>
      <c r="I248" s="24">
        <v>42370</v>
      </c>
      <c r="J248" s="25" t="s">
        <v>77</v>
      </c>
      <c r="K248" s="25" t="s">
        <v>859</v>
      </c>
      <c r="L248" s="25" t="s">
        <v>68</v>
      </c>
      <c r="M248" t="s">
        <v>26</v>
      </c>
      <c r="N248" t="s">
        <v>26</v>
      </c>
      <c r="O248" t="s">
        <v>26</v>
      </c>
      <c r="P248" t="s">
        <v>26</v>
      </c>
      <c r="Q248" t="s">
        <v>26</v>
      </c>
      <c r="R248" t="s">
        <v>26</v>
      </c>
      <c r="S248" s="24">
        <v>42370</v>
      </c>
      <c r="T248" s="25" t="s">
        <v>77</v>
      </c>
      <c r="U248" s="25" t="s">
        <v>859</v>
      </c>
      <c r="V248" t="s">
        <v>26</v>
      </c>
      <c r="W248" s="24">
        <v>42370</v>
      </c>
      <c r="X248" s="25" t="s">
        <v>77</v>
      </c>
      <c r="Y248" s="25" t="s">
        <v>859</v>
      </c>
      <c r="Z248" s="24">
        <v>42370</v>
      </c>
      <c r="AA248" s="25" t="s">
        <v>77</v>
      </c>
      <c r="AB248" s="25" t="s">
        <v>859</v>
      </c>
      <c r="AC248" s="24">
        <v>42370</v>
      </c>
      <c r="AD248" s="25" t="s">
        <v>77</v>
      </c>
      <c r="AE248" s="25" t="s">
        <v>859</v>
      </c>
      <c r="AF248" t="s">
        <v>26</v>
      </c>
      <c r="AG248" t="s">
        <v>26</v>
      </c>
      <c r="AH248" t="s">
        <v>26</v>
      </c>
      <c r="AI248" t="s">
        <v>26</v>
      </c>
      <c r="AJ248" t="s">
        <v>26</v>
      </c>
      <c r="AK248" t="s">
        <v>26</v>
      </c>
      <c r="AL248" t="s">
        <v>26</v>
      </c>
      <c r="AM248" t="s">
        <v>26</v>
      </c>
      <c r="AN248" t="s">
        <v>26</v>
      </c>
      <c r="AO248" s="25" t="s">
        <v>68</v>
      </c>
      <c r="AP248" s="23" t="s">
        <v>69</v>
      </c>
      <c r="AQ248" s="23" t="s">
        <v>30</v>
      </c>
      <c r="AR248" s="23" t="s">
        <v>70</v>
      </c>
      <c r="AS248" s="25">
        <v>4450821</v>
      </c>
      <c r="AT248" t="s">
        <v>26</v>
      </c>
      <c r="AU248" t="s">
        <v>22527</v>
      </c>
    </row>
    <row r="249" spans="1:47" ht="26.25" x14ac:dyDescent="0.4">
      <c r="A249" s="23" t="s">
        <v>860</v>
      </c>
      <c r="B249" t="s">
        <v>26</v>
      </c>
      <c r="C249" s="23" t="s">
        <v>320</v>
      </c>
      <c r="D249" s="23" t="s">
        <v>22528</v>
      </c>
      <c r="E249" s="23" t="s">
        <v>42</v>
      </c>
      <c r="F249" s="25" t="s">
        <v>861</v>
      </c>
      <c r="G249" s="25" t="s">
        <v>862</v>
      </c>
      <c r="H249" t="s">
        <v>26</v>
      </c>
      <c r="I249" t="s">
        <v>26</v>
      </c>
      <c r="J249" t="s">
        <v>26</v>
      </c>
      <c r="K249" t="s">
        <v>26</v>
      </c>
      <c r="L249" s="25" t="s">
        <v>68</v>
      </c>
      <c r="M249" t="s">
        <v>26</v>
      </c>
      <c r="N249" t="s">
        <v>26</v>
      </c>
      <c r="O249" t="s">
        <v>26</v>
      </c>
      <c r="P249" t="s">
        <v>26</v>
      </c>
      <c r="Q249" t="s">
        <v>26</v>
      </c>
      <c r="R249" t="s">
        <v>26</v>
      </c>
      <c r="S249" t="s">
        <v>26</v>
      </c>
      <c r="T249" t="s">
        <v>26</v>
      </c>
      <c r="U249" t="s">
        <v>26</v>
      </c>
      <c r="V249" t="s">
        <v>26</v>
      </c>
      <c r="W249" s="24">
        <v>41244</v>
      </c>
      <c r="X249" s="25" t="s">
        <v>77</v>
      </c>
      <c r="Y249" t="s">
        <v>26</v>
      </c>
      <c r="Z249" s="24">
        <v>41244</v>
      </c>
      <c r="AA249" s="25" t="s">
        <v>77</v>
      </c>
      <c r="AB249" t="s">
        <v>26</v>
      </c>
      <c r="AC249" s="24">
        <v>41244</v>
      </c>
      <c r="AD249" s="25" t="s">
        <v>77</v>
      </c>
      <c r="AE249" t="s">
        <v>26</v>
      </c>
      <c r="AF249" t="s">
        <v>26</v>
      </c>
      <c r="AG249" t="s">
        <v>26</v>
      </c>
      <c r="AH249" t="s">
        <v>26</v>
      </c>
      <c r="AI249" t="s">
        <v>26</v>
      </c>
      <c r="AJ249" t="s">
        <v>26</v>
      </c>
      <c r="AK249" t="s">
        <v>26</v>
      </c>
      <c r="AL249" t="s">
        <v>26</v>
      </c>
      <c r="AM249" t="s">
        <v>26</v>
      </c>
      <c r="AN249" t="s">
        <v>26</v>
      </c>
      <c r="AO249" s="25" t="s">
        <v>68</v>
      </c>
      <c r="AP249" s="23" t="s">
        <v>69</v>
      </c>
      <c r="AQ249" s="23" t="s">
        <v>30</v>
      </c>
      <c r="AR249" s="23" t="s">
        <v>70</v>
      </c>
      <c r="AS249" s="25">
        <v>956340</v>
      </c>
      <c r="AT249" t="s">
        <v>26</v>
      </c>
      <c r="AU249" t="s">
        <v>22529</v>
      </c>
    </row>
    <row r="250" spans="1:47" ht="26.25" x14ac:dyDescent="0.4">
      <c r="A250" s="23" t="s">
        <v>863</v>
      </c>
      <c r="B250" t="s">
        <v>26</v>
      </c>
      <c r="C250" s="23" t="s">
        <v>259</v>
      </c>
      <c r="D250" s="23" t="s">
        <v>22179</v>
      </c>
      <c r="E250" s="23" t="s">
        <v>60</v>
      </c>
      <c r="F250" s="25" t="s">
        <v>864</v>
      </c>
      <c r="G250" s="25" t="s">
        <v>865</v>
      </c>
      <c r="H250" t="s">
        <v>26</v>
      </c>
      <c r="I250" s="24">
        <v>40179</v>
      </c>
      <c r="J250" s="25" t="s">
        <v>77</v>
      </c>
      <c r="K250" s="25" t="s">
        <v>262</v>
      </c>
      <c r="L250" s="25" t="s">
        <v>68</v>
      </c>
      <c r="M250" s="24">
        <v>40179</v>
      </c>
      <c r="N250" s="25" t="s">
        <v>77</v>
      </c>
      <c r="O250" s="25" t="s">
        <v>262</v>
      </c>
      <c r="P250" s="24">
        <v>40179</v>
      </c>
      <c r="Q250" s="25" t="s">
        <v>77</v>
      </c>
      <c r="R250" s="25" t="s">
        <v>262</v>
      </c>
      <c r="S250" t="s">
        <v>26</v>
      </c>
      <c r="T250" t="s">
        <v>26</v>
      </c>
      <c r="U250" t="s">
        <v>26</v>
      </c>
      <c r="V250" t="s">
        <v>26</v>
      </c>
      <c r="W250" s="24">
        <v>40179</v>
      </c>
      <c r="X250" s="25" t="s">
        <v>77</v>
      </c>
      <c r="Y250" s="25" t="s">
        <v>262</v>
      </c>
      <c r="Z250" s="24">
        <v>40179</v>
      </c>
      <c r="AA250" s="25" t="s">
        <v>77</v>
      </c>
      <c r="AB250" s="25" t="s">
        <v>262</v>
      </c>
      <c r="AC250" s="24">
        <v>40179</v>
      </c>
      <c r="AD250" s="25" t="s">
        <v>77</v>
      </c>
      <c r="AE250" s="25" t="s">
        <v>262</v>
      </c>
      <c r="AF250" t="s">
        <v>26</v>
      </c>
      <c r="AG250" t="s">
        <v>26</v>
      </c>
      <c r="AH250" t="s">
        <v>26</v>
      </c>
      <c r="AI250" t="s">
        <v>26</v>
      </c>
      <c r="AJ250" t="s">
        <v>26</v>
      </c>
      <c r="AK250" t="s">
        <v>26</v>
      </c>
      <c r="AL250" t="s">
        <v>26</v>
      </c>
      <c r="AM250" t="s">
        <v>26</v>
      </c>
      <c r="AN250" t="s">
        <v>26</v>
      </c>
      <c r="AO250" s="25" t="s">
        <v>68</v>
      </c>
      <c r="AP250" s="23" t="s">
        <v>69</v>
      </c>
      <c r="AQ250" s="23" t="s">
        <v>30</v>
      </c>
      <c r="AR250" s="23" t="s">
        <v>70</v>
      </c>
      <c r="AS250" s="25">
        <v>2037470</v>
      </c>
      <c r="AT250" t="s">
        <v>26</v>
      </c>
      <c r="AU250" t="s">
        <v>22530</v>
      </c>
    </row>
    <row r="251" spans="1:47" ht="26.25" x14ac:dyDescent="0.4">
      <c r="A251" s="23" t="s">
        <v>866</v>
      </c>
      <c r="B251" t="s">
        <v>26</v>
      </c>
      <c r="C251" s="23" t="s">
        <v>22238</v>
      </c>
      <c r="D251" t="s">
        <v>26</v>
      </c>
      <c r="E251" s="23" t="s">
        <v>42</v>
      </c>
      <c r="F251" t="s">
        <v>26</v>
      </c>
      <c r="G251" t="s">
        <v>26</v>
      </c>
      <c r="H251" t="s">
        <v>26</v>
      </c>
      <c r="I251" s="24">
        <v>43101</v>
      </c>
      <c r="J251" s="24">
        <v>43101</v>
      </c>
      <c r="K251" t="s">
        <v>26</v>
      </c>
      <c r="L251" s="25" t="s">
        <v>28</v>
      </c>
      <c r="M251" s="24">
        <v>43101</v>
      </c>
      <c r="N251" s="24">
        <v>43101</v>
      </c>
      <c r="O251" t="s">
        <v>26</v>
      </c>
      <c r="P251" t="s">
        <v>26</v>
      </c>
      <c r="Q251" t="s">
        <v>26</v>
      </c>
      <c r="R251" t="s">
        <v>26</v>
      </c>
      <c r="S251" s="24">
        <v>43101</v>
      </c>
      <c r="T251" s="24">
        <v>43101</v>
      </c>
      <c r="U251" t="s">
        <v>26</v>
      </c>
      <c r="V251" t="s">
        <v>26</v>
      </c>
      <c r="W251" s="24">
        <v>43101</v>
      </c>
      <c r="X251" s="24">
        <v>43101</v>
      </c>
      <c r="Y251" t="s">
        <v>26</v>
      </c>
      <c r="Z251" s="24">
        <v>43101</v>
      </c>
      <c r="AA251" s="24">
        <v>43101</v>
      </c>
      <c r="AB251" t="s">
        <v>26</v>
      </c>
      <c r="AC251" s="24">
        <v>43101</v>
      </c>
      <c r="AD251" s="24">
        <v>43101</v>
      </c>
      <c r="AE251" t="s">
        <v>26</v>
      </c>
      <c r="AF251" s="24">
        <v>43101</v>
      </c>
      <c r="AG251" s="24">
        <v>43101</v>
      </c>
      <c r="AH251" t="s">
        <v>26</v>
      </c>
      <c r="AI251" s="24">
        <v>43101</v>
      </c>
      <c r="AJ251" s="24">
        <v>43101</v>
      </c>
      <c r="AK251" t="s">
        <v>26</v>
      </c>
      <c r="AL251" t="s">
        <v>26</v>
      </c>
      <c r="AM251" t="s">
        <v>26</v>
      </c>
      <c r="AN251" t="s">
        <v>26</v>
      </c>
      <c r="AO251" s="25" t="s">
        <v>28</v>
      </c>
      <c r="AP251" s="23" t="s">
        <v>43</v>
      </c>
      <c r="AQ251" s="23" t="s">
        <v>30</v>
      </c>
      <c r="AR251" s="23" t="s">
        <v>44</v>
      </c>
      <c r="AS251" s="25">
        <v>5262531</v>
      </c>
      <c r="AT251" t="s">
        <v>26</v>
      </c>
      <c r="AU251" t="s">
        <v>22531</v>
      </c>
    </row>
    <row r="252" spans="1:47" ht="26.25" x14ac:dyDescent="0.4">
      <c r="A252" s="23" t="s">
        <v>867</v>
      </c>
      <c r="B252" t="s">
        <v>26</v>
      </c>
      <c r="C252" s="23" t="s">
        <v>22238</v>
      </c>
      <c r="D252" t="s">
        <v>26</v>
      </c>
      <c r="E252" s="23" t="s">
        <v>42</v>
      </c>
      <c r="F252" t="s">
        <v>26</v>
      </c>
      <c r="G252" t="s">
        <v>26</v>
      </c>
      <c r="H252" t="s">
        <v>26</v>
      </c>
      <c r="I252" s="24">
        <v>43101</v>
      </c>
      <c r="J252" s="24">
        <v>43101</v>
      </c>
      <c r="K252" t="s">
        <v>26</v>
      </c>
      <c r="L252" s="25" t="s">
        <v>28</v>
      </c>
      <c r="M252" s="24">
        <v>43101</v>
      </c>
      <c r="N252" s="24">
        <v>43101</v>
      </c>
      <c r="O252" t="s">
        <v>26</v>
      </c>
      <c r="P252" t="s">
        <v>26</v>
      </c>
      <c r="Q252" t="s">
        <v>26</v>
      </c>
      <c r="R252" t="s">
        <v>26</v>
      </c>
      <c r="S252" s="24">
        <v>43101</v>
      </c>
      <c r="T252" s="24">
        <v>43101</v>
      </c>
      <c r="U252" t="s">
        <v>26</v>
      </c>
      <c r="V252" t="s">
        <v>26</v>
      </c>
      <c r="W252" s="24">
        <v>43101</v>
      </c>
      <c r="X252" s="24">
        <v>43101</v>
      </c>
      <c r="Y252" t="s">
        <v>26</v>
      </c>
      <c r="Z252" s="24">
        <v>43101</v>
      </c>
      <c r="AA252" s="24">
        <v>43101</v>
      </c>
      <c r="AB252" t="s">
        <v>26</v>
      </c>
      <c r="AC252" s="24">
        <v>43101</v>
      </c>
      <c r="AD252" s="24">
        <v>43101</v>
      </c>
      <c r="AE252" t="s">
        <v>26</v>
      </c>
      <c r="AF252" s="24">
        <v>43101</v>
      </c>
      <c r="AG252" s="24">
        <v>43101</v>
      </c>
      <c r="AH252" t="s">
        <v>26</v>
      </c>
      <c r="AI252" s="24">
        <v>43101</v>
      </c>
      <c r="AJ252" s="24">
        <v>43101</v>
      </c>
      <c r="AK252" t="s">
        <v>26</v>
      </c>
      <c r="AL252" t="s">
        <v>26</v>
      </c>
      <c r="AM252" t="s">
        <v>26</v>
      </c>
      <c r="AN252" t="s">
        <v>26</v>
      </c>
      <c r="AO252" s="25" t="s">
        <v>28</v>
      </c>
      <c r="AP252" s="23" t="s">
        <v>43</v>
      </c>
      <c r="AQ252" s="23" t="s">
        <v>30</v>
      </c>
      <c r="AR252" s="23" t="s">
        <v>44</v>
      </c>
      <c r="AS252" s="25">
        <v>5263209</v>
      </c>
      <c r="AT252" t="s">
        <v>26</v>
      </c>
      <c r="AU252" t="s">
        <v>22532</v>
      </c>
    </row>
    <row r="253" spans="1:47" ht="13.15" x14ac:dyDescent="0.4">
      <c r="A253" s="23" t="s">
        <v>868</v>
      </c>
      <c r="B253" t="s">
        <v>26</v>
      </c>
      <c r="C253" s="23" t="s">
        <v>146</v>
      </c>
      <c r="D253" s="23" t="s">
        <v>22174</v>
      </c>
      <c r="E253" s="23" t="s">
        <v>60</v>
      </c>
      <c r="F253" t="s">
        <v>26</v>
      </c>
      <c r="G253" t="s">
        <v>26</v>
      </c>
      <c r="H253" t="s">
        <v>26</v>
      </c>
      <c r="I253" t="s">
        <v>26</v>
      </c>
      <c r="J253" t="s">
        <v>26</v>
      </c>
      <c r="K253" t="s">
        <v>26</v>
      </c>
      <c r="L253" s="25" t="s">
        <v>28</v>
      </c>
      <c r="M253" t="s">
        <v>26</v>
      </c>
      <c r="N253" t="s">
        <v>26</v>
      </c>
      <c r="O253" t="s">
        <v>26</v>
      </c>
      <c r="P253" t="s">
        <v>26</v>
      </c>
      <c r="Q253" t="s">
        <v>26</v>
      </c>
      <c r="R253" t="s">
        <v>26</v>
      </c>
      <c r="S253" t="s">
        <v>26</v>
      </c>
      <c r="T253" t="s">
        <v>26</v>
      </c>
      <c r="U253" t="s">
        <v>26</v>
      </c>
      <c r="V253" t="s">
        <v>26</v>
      </c>
      <c r="W253" s="24">
        <v>42370</v>
      </c>
      <c r="X253" s="24">
        <v>42370</v>
      </c>
      <c r="Y253" t="s">
        <v>26</v>
      </c>
      <c r="Z253" s="24">
        <v>42370</v>
      </c>
      <c r="AA253" s="24">
        <v>42370</v>
      </c>
      <c r="AB253" t="s">
        <v>26</v>
      </c>
      <c r="AC253" t="s">
        <v>26</v>
      </c>
      <c r="AD253" t="s">
        <v>26</v>
      </c>
      <c r="AE253" t="s">
        <v>26</v>
      </c>
      <c r="AF253" t="s">
        <v>26</v>
      </c>
      <c r="AG253" t="s">
        <v>26</v>
      </c>
      <c r="AH253" t="s">
        <v>26</v>
      </c>
      <c r="AI253" t="s">
        <v>26</v>
      </c>
      <c r="AJ253" t="s">
        <v>26</v>
      </c>
      <c r="AK253" t="s">
        <v>26</v>
      </c>
      <c r="AL253" t="s">
        <v>26</v>
      </c>
      <c r="AM253" t="s">
        <v>26</v>
      </c>
      <c r="AN253" t="s">
        <v>26</v>
      </c>
      <c r="AO253" s="25" t="s">
        <v>28</v>
      </c>
      <c r="AP253" s="23" t="s">
        <v>29</v>
      </c>
      <c r="AQ253" s="23" t="s">
        <v>30</v>
      </c>
      <c r="AR253" s="23" t="s">
        <v>44</v>
      </c>
      <c r="AS253" s="25">
        <v>5483631</v>
      </c>
      <c r="AT253" s="23" t="s">
        <v>22181</v>
      </c>
      <c r="AU253" t="s">
        <v>22533</v>
      </c>
    </row>
    <row r="254" spans="1:47" ht="26.25" x14ac:dyDescent="0.4">
      <c r="A254" s="23" t="s">
        <v>869</v>
      </c>
      <c r="B254" t="s">
        <v>26</v>
      </c>
      <c r="C254" t="s">
        <v>26</v>
      </c>
      <c r="D254" t="s">
        <v>26</v>
      </c>
      <c r="E254" t="s">
        <v>26</v>
      </c>
      <c r="F254" t="s">
        <v>26</v>
      </c>
      <c r="G254" t="s">
        <v>26</v>
      </c>
      <c r="H254" t="s">
        <v>26</v>
      </c>
      <c r="I254" s="25" t="s">
        <v>22534</v>
      </c>
      <c r="J254" s="25" t="s">
        <v>22534</v>
      </c>
      <c r="K254" t="s">
        <v>26</v>
      </c>
      <c r="L254" s="25" t="s">
        <v>28</v>
      </c>
      <c r="M254" s="25" t="s">
        <v>22534</v>
      </c>
      <c r="N254" s="25" t="s">
        <v>22534</v>
      </c>
      <c r="O254" t="s">
        <v>26</v>
      </c>
      <c r="P254" t="s">
        <v>26</v>
      </c>
      <c r="Q254" t="s">
        <v>26</v>
      </c>
      <c r="R254" t="s">
        <v>26</v>
      </c>
      <c r="S254" t="s">
        <v>26</v>
      </c>
      <c r="T254" t="s">
        <v>26</v>
      </c>
      <c r="U254" t="s">
        <v>26</v>
      </c>
      <c r="V254" t="s">
        <v>26</v>
      </c>
      <c r="W254" s="25" t="s">
        <v>22534</v>
      </c>
      <c r="X254" s="25" t="s">
        <v>22534</v>
      </c>
      <c r="Y254" t="s">
        <v>26</v>
      </c>
      <c r="Z254" s="25" t="s">
        <v>22534</v>
      </c>
      <c r="AA254" s="25" t="s">
        <v>22534</v>
      </c>
      <c r="AB254" t="s">
        <v>26</v>
      </c>
      <c r="AC254" s="25" t="s">
        <v>22534</v>
      </c>
      <c r="AD254" s="25" t="s">
        <v>22534</v>
      </c>
      <c r="AE254" t="s">
        <v>26</v>
      </c>
      <c r="AF254" t="s">
        <v>26</v>
      </c>
      <c r="AG254" t="s">
        <v>26</v>
      </c>
      <c r="AH254" t="s">
        <v>26</v>
      </c>
      <c r="AI254" t="s">
        <v>26</v>
      </c>
      <c r="AJ254" t="s">
        <v>26</v>
      </c>
      <c r="AK254" t="s">
        <v>26</v>
      </c>
      <c r="AL254" t="s">
        <v>26</v>
      </c>
      <c r="AM254" t="s">
        <v>26</v>
      </c>
      <c r="AN254" t="s">
        <v>26</v>
      </c>
      <c r="AO254" s="25" t="s">
        <v>28</v>
      </c>
      <c r="AP254" s="23" t="s">
        <v>45</v>
      </c>
      <c r="AQ254" s="23" t="s">
        <v>30</v>
      </c>
      <c r="AR254" s="23" t="s">
        <v>46</v>
      </c>
      <c r="AS254" s="25">
        <v>5983395</v>
      </c>
      <c r="AT254" t="s">
        <v>26</v>
      </c>
      <c r="AU254" t="s">
        <v>22535</v>
      </c>
    </row>
    <row r="255" spans="1:47" ht="13.15" x14ac:dyDescent="0.4">
      <c r="A255" s="23" t="s">
        <v>870</v>
      </c>
      <c r="B255" t="s">
        <v>26</v>
      </c>
      <c r="C255" t="s">
        <v>26</v>
      </c>
      <c r="D255" t="s">
        <v>26</v>
      </c>
      <c r="E255" t="s">
        <v>26</v>
      </c>
      <c r="F255" t="s">
        <v>26</v>
      </c>
      <c r="G255" t="s">
        <v>26</v>
      </c>
      <c r="H255" t="s">
        <v>26</v>
      </c>
      <c r="I255" s="25" t="s">
        <v>871</v>
      </c>
      <c r="J255" s="25" t="s">
        <v>871</v>
      </c>
      <c r="K255" t="s">
        <v>26</v>
      </c>
      <c r="L255" s="25" t="s">
        <v>28</v>
      </c>
      <c r="M255" s="25" t="s">
        <v>871</v>
      </c>
      <c r="N255" s="25" t="s">
        <v>871</v>
      </c>
      <c r="O255" t="s">
        <v>26</v>
      </c>
      <c r="P255" t="s">
        <v>26</v>
      </c>
      <c r="Q255" t="s">
        <v>26</v>
      </c>
      <c r="R255" t="s">
        <v>26</v>
      </c>
      <c r="S255" t="s">
        <v>26</v>
      </c>
      <c r="T255" t="s">
        <v>26</v>
      </c>
      <c r="U255" t="s">
        <v>26</v>
      </c>
      <c r="V255" t="s">
        <v>26</v>
      </c>
      <c r="W255" s="25" t="s">
        <v>871</v>
      </c>
      <c r="X255" s="25" t="s">
        <v>871</v>
      </c>
      <c r="Y255" t="s">
        <v>26</v>
      </c>
      <c r="Z255" s="25" t="s">
        <v>871</v>
      </c>
      <c r="AA255" s="25" t="s">
        <v>871</v>
      </c>
      <c r="AB255" t="s">
        <v>26</v>
      </c>
      <c r="AC255" s="25" t="s">
        <v>871</v>
      </c>
      <c r="AD255" s="25" t="s">
        <v>871</v>
      </c>
      <c r="AE255" t="s">
        <v>26</v>
      </c>
      <c r="AF255" t="s">
        <v>26</v>
      </c>
      <c r="AG255" t="s">
        <v>26</v>
      </c>
      <c r="AH255" t="s">
        <v>26</v>
      </c>
      <c r="AI255" t="s">
        <v>26</v>
      </c>
      <c r="AJ255" t="s">
        <v>26</v>
      </c>
      <c r="AK255" t="s">
        <v>26</v>
      </c>
      <c r="AL255" t="s">
        <v>26</v>
      </c>
      <c r="AM255" t="s">
        <v>26</v>
      </c>
      <c r="AN255" t="s">
        <v>26</v>
      </c>
      <c r="AO255" s="25" t="s">
        <v>28</v>
      </c>
      <c r="AP255" s="23" t="s">
        <v>29</v>
      </c>
      <c r="AQ255" s="23" t="s">
        <v>30</v>
      </c>
      <c r="AR255" s="23" t="s">
        <v>46</v>
      </c>
      <c r="AS255" s="25">
        <v>6009034</v>
      </c>
      <c r="AT255" t="s">
        <v>26</v>
      </c>
      <c r="AU255" t="s">
        <v>22536</v>
      </c>
    </row>
    <row r="256" spans="1:47" ht="26.25" x14ac:dyDescent="0.4">
      <c r="A256" s="23" t="s">
        <v>872</v>
      </c>
      <c r="B256" t="s">
        <v>26</v>
      </c>
      <c r="C256" s="23" t="s">
        <v>873</v>
      </c>
      <c r="D256" s="23" t="s">
        <v>22537</v>
      </c>
      <c r="E256" s="23" t="s">
        <v>328</v>
      </c>
      <c r="F256" s="25" t="s">
        <v>874</v>
      </c>
      <c r="G256" s="25" t="s">
        <v>875</v>
      </c>
      <c r="H256" t="s">
        <v>26</v>
      </c>
      <c r="I256" s="24">
        <v>37408</v>
      </c>
      <c r="J256" s="25" t="s">
        <v>77</v>
      </c>
      <c r="K256" t="s">
        <v>26</v>
      </c>
      <c r="L256" s="25" t="s">
        <v>68</v>
      </c>
      <c r="M256" s="24">
        <v>37408</v>
      </c>
      <c r="N256" s="25" t="s">
        <v>77</v>
      </c>
      <c r="O256" t="s">
        <v>26</v>
      </c>
      <c r="P256" s="24">
        <v>37408</v>
      </c>
      <c r="Q256" s="25" t="s">
        <v>77</v>
      </c>
      <c r="R256" t="s">
        <v>26</v>
      </c>
      <c r="S256" t="s">
        <v>26</v>
      </c>
      <c r="T256" t="s">
        <v>26</v>
      </c>
      <c r="U256" t="s">
        <v>26</v>
      </c>
      <c r="V256" t="s">
        <v>26</v>
      </c>
      <c r="W256" s="24">
        <v>37408</v>
      </c>
      <c r="X256" s="25" t="s">
        <v>77</v>
      </c>
      <c r="Y256" t="s">
        <v>26</v>
      </c>
      <c r="Z256" s="24">
        <v>37408</v>
      </c>
      <c r="AA256" s="25" t="s">
        <v>77</v>
      </c>
      <c r="AB256" t="s">
        <v>26</v>
      </c>
      <c r="AC256" s="24">
        <v>37408</v>
      </c>
      <c r="AD256" s="25" t="s">
        <v>77</v>
      </c>
      <c r="AE256" t="s">
        <v>26</v>
      </c>
      <c r="AF256" t="s">
        <v>26</v>
      </c>
      <c r="AG256" t="s">
        <v>26</v>
      </c>
      <c r="AH256" t="s">
        <v>26</v>
      </c>
      <c r="AI256" t="s">
        <v>26</v>
      </c>
      <c r="AJ256" t="s">
        <v>26</v>
      </c>
      <c r="AK256" t="s">
        <v>26</v>
      </c>
      <c r="AL256" t="s">
        <v>26</v>
      </c>
      <c r="AM256" t="s">
        <v>26</v>
      </c>
      <c r="AN256" t="s">
        <v>26</v>
      </c>
      <c r="AO256" s="25" t="s">
        <v>68</v>
      </c>
      <c r="AP256" s="23" t="s">
        <v>69</v>
      </c>
      <c r="AQ256" s="23" t="s">
        <v>876</v>
      </c>
      <c r="AR256" s="23" t="s">
        <v>46</v>
      </c>
      <c r="AS256" s="25">
        <v>5599823</v>
      </c>
      <c r="AT256" t="s">
        <v>26</v>
      </c>
      <c r="AU256" t="s">
        <v>22538</v>
      </c>
    </row>
    <row r="257" spans="1:47" ht="26.25" x14ac:dyDescent="0.4">
      <c r="A257" s="23" t="s">
        <v>877</v>
      </c>
      <c r="B257" t="s">
        <v>26</v>
      </c>
      <c r="C257" s="23" t="s">
        <v>878</v>
      </c>
      <c r="D257" s="23" t="s">
        <v>22539</v>
      </c>
      <c r="E257" s="23" t="s">
        <v>335</v>
      </c>
      <c r="F257" s="25" t="s">
        <v>879</v>
      </c>
      <c r="G257" t="s">
        <v>26</v>
      </c>
      <c r="H257" t="s">
        <v>26</v>
      </c>
      <c r="I257" t="s">
        <v>26</v>
      </c>
      <c r="J257" t="s">
        <v>26</v>
      </c>
      <c r="K257" t="s">
        <v>26</v>
      </c>
      <c r="L257" s="25" t="s">
        <v>68</v>
      </c>
      <c r="M257" t="s">
        <v>26</v>
      </c>
      <c r="N257" t="s">
        <v>26</v>
      </c>
      <c r="O257" t="s">
        <v>26</v>
      </c>
      <c r="P257" t="s">
        <v>26</v>
      </c>
      <c r="Q257" t="s">
        <v>26</v>
      </c>
      <c r="R257" t="s">
        <v>26</v>
      </c>
      <c r="S257" t="s">
        <v>26</v>
      </c>
      <c r="T257" t="s">
        <v>26</v>
      </c>
      <c r="U257" t="s">
        <v>26</v>
      </c>
      <c r="V257" t="s">
        <v>26</v>
      </c>
      <c r="W257" s="24">
        <v>33604</v>
      </c>
      <c r="X257" s="24">
        <v>35796</v>
      </c>
      <c r="Y257" t="s">
        <v>26</v>
      </c>
      <c r="Z257" s="24">
        <v>33604</v>
      </c>
      <c r="AA257" s="24">
        <v>35796</v>
      </c>
      <c r="AB257" t="s">
        <v>26</v>
      </c>
      <c r="AC257" t="s">
        <v>26</v>
      </c>
      <c r="AD257" t="s">
        <v>26</v>
      </c>
      <c r="AE257" t="s">
        <v>26</v>
      </c>
      <c r="AF257" t="s">
        <v>26</v>
      </c>
      <c r="AG257" t="s">
        <v>26</v>
      </c>
      <c r="AH257" t="s">
        <v>26</v>
      </c>
      <c r="AI257" t="s">
        <v>26</v>
      </c>
      <c r="AJ257" t="s">
        <v>26</v>
      </c>
      <c r="AK257" t="s">
        <v>26</v>
      </c>
      <c r="AL257" t="s">
        <v>26</v>
      </c>
      <c r="AM257" t="s">
        <v>26</v>
      </c>
      <c r="AN257" t="s">
        <v>26</v>
      </c>
      <c r="AO257" s="25" t="s">
        <v>68</v>
      </c>
      <c r="AP257" s="23" t="s">
        <v>69</v>
      </c>
      <c r="AQ257" s="23" t="s">
        <v>30</v>
      </c>
      <c r="AR257" s="23" t="s">
        <v>569</v>
      </c>
      <c r="AS257" s="25">
        <v>46660</v>
      </c>
      <c r="AT257" t="s">
        <v>26</v>
      </c>
      <c r="AU257" t="s">
        <v>22540</v>
      </c>
    </row>
    <row r="258" spans="1:47" ht="26.25" x14ac:dyDescent="0.4">
      <c r="A258" s="23" t="s">
        <v>880</v>
      </c>
      <c r="B258" t="s">
        <v>26</v>
      </c>
      <c r="C258" s="23" t="s">
        <v>881</v>
      </c>
      <c r="D258" t="s">
        <v>26</v>
      </c>
      <c r="E258" s="23" t="s">
        <v>335</v>
      </c>
      <c r="F258" s="25" t="s">
        <v>882</v>
      </c>
      <c r="G258" t="s">
        <v>26</v>
      </c>
      <c r="H258" t="s">
        <v>26</v>
      </c>
      <c r="I258" t="s">
        <v>26</v>
      </c>
      <c r="J258" t="s">
        <v>26</v>
      </c>
      <c r="K258" t="s">
        <v>26</v>
      </c>
      <c r="L258" s="25" t="s">
        <v>28</v>
      </c>
      <c r="M258" t="s">
        <v>26</v>
      </c>
      <c r="N258" t="s">
        <v>26</v>
      </c>
      <c r="O258" t="s">
        <v>26</v>
      </c>
      <c r="P258" t="s">
        <v>26</v>
      </c>
      <c r="Q258" t="s">
        <v>26</v>
      </c>
      <c r="R258" t="s">
        <v>26</v>
      </c>
      <c r="S258" t="s">
        <v>26</v>
      </c>
      <c r="T258" t="s">
        <v>26</v>
      </c>
      <c r="U258" t="s">
        <v>26</v>
      </c>
      <c r="V258" t="s">
        <v>26</v>
      </c>
      <c r="W258" s="24">
        <v>33604</v>
      </c>
      <c r="X258" s="24">
        <v>36892</v>
      </c>
      <c r="Y258" t="s">
        <v>26</v>
      </c>
      <c r="Z258" s="24">
        <v>33604</v>
      </c>
      <c r="AA258" s="24">
        <v>36892</v>
      </c>
      <c r="AB258" t="s">
        <v>26</v>
      </c>
      <c r="AC258" t="s">
        <v>26</v>
      </c>
      <c r="AD258" t="s">
        <v>26</v>
      </c>
      <c r="AE258" t="s">
        <v>26</v>
      </c>
      <c r="AF258" t="s">
        <v>26</v>
      </c>
      <c r="AG258" t="s">
        <v>26</v>
      </c>
      <c r="AH258" t="s">
        <v>26</v>
      </c>
      <c r="AI258" t="s">
        <v>26</v>
      </c>
      <c r="AJ258" t="s">
        <v>26</v>
      </c>
      <c r="AK258" t="s">
        <v>26</v>
      </c>
      <c r="AL258" t="s">
        <v>26</v>
      </c>
      <c r="AM258" t="s">
        <v>26</v>
      </c>
      <c r="AN258" t="s">
        <v>26</v>
      </c>
      <c r="AO258" s="25" t="s">
        <v>28</v>
      </c>
      <c r="AP258" s="23" t="s">
        <v>211</v>
      </c>
      <c r="AQ258" s="23" t="s">
        <v>30</v>
      </c>
      <c r="AR258" s="23" t="s">
        <v>883</v>
      </c>
      <c r="AS258" s="25">
        <v>43975</v>
      </c>
      <c r="AT258" t="s">
        <v>26</v>
      </c>
      <c r="AU258" t="s">
        <v>22541</v>
      </c>
    </row>
    <row r="259" spans="1:47" ht="26.25" x14ac:dyDescent="0.4">
      <c r="A259" s="23" t="s">
        <v>884</v>
      </c>
      <c r="B259" t="s">
        <v>26</v>
      </c>
      <c r="C259" s="23" t="s">
        <v>22542</v>
      </c>
      <c r="D259" s="23" t="s">
        <v>22179</v>
      </c>
      <c r="E259" s="23" t="s">
        <v>42</v>
      </c>
      <c r="F259" t="s">
        <v>26</v>
      </c>
      <c r="G259" t="s">
        <v>26</v>
      </c>
      <c r="H259" t="s">
        <v>26</v>
      </c>
      <c r="I259" s="24">
        <v>34700</v>
      </c>
      <c r="J259" s="24">
        <v>43101</v>
      </c>
      <c r="K259" t="s">
        <v>26</v>
      </c>
      <c r="L259" s="25" t="s">
        <v>28</v>
      </c>
      <c r="M259" s="24">
        <v>34700</v>
      </c>
      <c r="N259" s="24">
        <v>43101</v>
      </c>
      <c r="O259" t="s">
        <v>26</v>
      </c>
      <c r="P259" t="s">
        <v>26</v>
      </c>
      <c r="Q259" t="s">
        <v>26</v>
      </c>
      <c r="R259" t="s">
        <v>26</v>
      </c>
      <c r="S259" s="24">
        <v>34700</v>
      </c>
      <c r="T259" s="24">
        <v>43101</v>
      </c>
      <c r="U259" t="s">
        <v>26</v>
      </c>
      <c r="V259" t="s">
        <v>26</v>
      </c>
      <c r="W259" s="24">
        <v>34700</v>
      </c>
      <c r="X259" s="24">
        <v>43101</v>
      </c>
      <c r="Y259" t="s">
        <v>26</v>
      </c>
      <c r="Z259" s="24">
        <v>34700</v>
      </c>
      <c r="AA259" s="24">
        <v>43101</v>
      </c>
      <c r="AB259" t="s">
        <v>26</v>
      </c>
      <c r="AC259" s="24">
        <v>34700</v>
      </c>
      <c r="AD259" s="24">
        <v>43101</v>
      </c>
      <c r="AE259" t="s">
        <v>26</v>
      </c>
      <c r="AF259" s="24">
        <v>34700</v>
      </c>
      <c r="AG259" s="24">
        <v>43101</v>
      </c>
      <c r="AH259" t="s">
        <v>26</v>
      </c>
      <c r="AI259" s="24">
        <v>34700</v>
      </c>
      <c r="AJ259" s="24">
        <v>43101</v>
      </c>
      <c r="AK259" t="s">
        <v>26</v>
      </c>
      <c r="AL259" t="s">
        <v>26</v>
      </c>
      <c r="AM259" t="s">
        <v>26</v>
      </c>
      <c r="AN259" t="s">
        <v>26</v>
      </c>
      <c r="AO259" s="25" t="s">
        <v>28</v>
      </c>
      <c r="AP259" s="23" t="s">
        <v>43</v>
      </c>
      <c r="AQ259" s="23" t="s">
        <v>30</v>
      </c>
      <c r="AR259" s="23" t="s">
        <v>46</v>
      </c>
      <c r="AS259" s="25">
        <v>6359422</v>
      </c>
      <c r="AT259" t="s">
        <v>26</v>
      </c>
      <c r="AU259" t="s">
        <v>22543</v>
      </c>
    </row>
    <row r="260" spans="1:47" ht="13.15" x14ac:dyDescent="0.4">
      <c r="A260" s="23" t="s">
        <v>22544</v>
      </c>
      <c r="B260" t="s">
        <v>26</v>
      </c>
      <c r="C260" s="23" t="s">
        <v>332</v>
      </c>
      <c r="D260" s="23" t="s">
        <v>22545</v>
      </c>
      <c r="E260" s="23" t="s">
        <v>42</v>
      </c>
      <c r="F260" t="s">
        <v>26</v>
      </c>
      <c r="G260" t="s">
        <v>26</v>
      </c>
      <c r="H260" t="s">
        <v>26</v>
      </c>
      <c r="I260" s="25" t="s">
        <v>295</v>
      </c>
      <c r="J260" s="25" t="s">
        <v>295</v>
      </c>
      <c r="K260" t="s">
        <v>26</v>
      </c>
      <c r="L260" s="25" t="s">
        <v>28</v>
      </c>
      <c r="M260" s="25" t="s">
        <v>295</v>
      </c>
      <c r="N260" s="25" t="s">
        <v>295</v>
      </c>
      <c r="O260" t="s">
        <v>26</v>
      </c>
      <c r="P260" t="s">
        <v>26</v>
      </c>
      <c r="Q260" t="s">
        <v>26</v>
      </c>
      <c r="R260" t="s">
        <v>26</v>
      </c>
      <c r="S260" t="s">
        <v>26</v>
      </c>
      <c r="T260" t="s">
        <v>26</v>
      </c>
      <c r="U260" t="s">
        <v>26</v>
      </c>
      <c r="V260" t="s">
        <v>26</v>
      </c>
      <c r="W260" s="25" t="s">
        <v>295</v>
      </c>
      <c r="X260" s="25" t="s">
        <v>295</v>
      </c>
      <c r="Y260" t="s">
        <v>26</v>
      </c>
      <c r="Z260" s="25" t="s">
        <v>295</v>
      </c>
      <c r="AA260" s="25" t="s">
        <v>295</v>
      </c>
      <c r="AB260" t="s">
        <v>26</v>
      </c>
      <c r="AC260" s="25" t="s">
        <v>295</v>
      </c>
      <c r="AD260" s="25" t="s">
        <v>295</v>
      </c>
      <c r="AE260" t="s">
        <v>26</v>
      </c>
      <c r="AF260" t="s">
        <v>26</v>
      </c>
      <c r="AG260" t="s">
        <v>26</v>
      </c>
      <c r="AH260" t="s">
        <v>26</v>
      </c>
      <c r="AI260" t="s">
        <v>26</v>
      </c>
      <c r="AJ260" t="s">
        <v>26</v>
      </c>
      <c r="AK260" t="s">
        <v>26</v>
      </c>
      <c r="AL260" t="s">
        <v>26</v>
      </c>
      <c r="AM260" t="s">
        <v>26</v>
      </c>
      <c r="AN260" t="s">
        <v>26</v>
      </c>
      <c r="AO260" s="25" t="s">
        <v>28</v>
      </c>
      <c r="AP260" s="23" t="s">
        <v>279</v>
      </c>
      <c r="AQ260" s="23" t="s">
        <v>30</v>
      </c>
      <c r="AR260" s="23" t="s">
        <v>46</v>
      </c>
      <c r="AS260" s="25">
        <v>6009027</v>
      </c>
      <c r="AT260" t="s">
        <v>26</v>
      </c>
      <c r="AU260" t="s">
        <v>22546</v>
      </c>
    </row>
    <row r="261" spans="1:47" ht="26.25" x14ac:dyDescent="0.4">
      <c r="A261" s="23" t="s">
        <v>885</v>
      </c>
      <c r="B261" t="s">
        <v>26</v>
      </c>
      <c r="C261" s="23" t="s">
        <v>167</v>
      </c>
      <c r="D261" s="23" t="s">
        <v>22174</v>
      </c>
      <c r="E261" s="23" t="s">
        <v>60</v>
      </c>
      <c r="F261" s="25" t="s">
        <v>886</v>
      </c>
      <c r="G261" s="25" t="s">
        <v>887</v>
      </c>
      <c r="H261" t="s">
        <v>26</v>
      </c>
      <c r="I261" s="24">
        <v>43101</v>
      </c>
      <c r="J261" s="25" t="s">
        <v>77</v>
      </c>
      <c r="K261" t="s">
        <v>26</v>
      </c>
      <c r="L261" s="25" t="s">
        <v>68</v>
      </c>
      <c r="M261" s="24">
        <v>43101</v>
      </c>
      <c r="N261" s="25" t="s">
        <v>77</v>
      </c>
      <c r="O261" t="s">
        <v>26</v>
      </c>
      <c r="P261" s="24">
        <v>43101</v>
      </c>
      <c r="Q261" s="25" t="s">
        <v>77</v>
      </c>
      <c r="R261" t="s">
        <v>26</v>
      </c>
      <c r="S261" t="s">
        <v>26</v>
      </c>
      <c r="T261" t="s">
        <v>26</v>
      </c>
      <c r="U261" t="s">
        <v>26</v>
      </c>
      <c r="V261" s="25">
        <v>365</v>
      </c>
      <c r="W261" s="24">
        <v>43101</v>
      </c>
      <c r="X261" s="25" t="s">
        <v>77</v>
      </c>
      <c r="Y261" t="s">
        <v>26</v>
      </c>
      <c r="Z261" s="24">
        <v>43101</v>
      </c>
      <c r="AA261" s="25" t="s">
        <v>77</v>
      </c>
      <c r="AB261" t="s">
        <v>26</v>
      </c>
      <c r="AC261" s="24">
        <v>43101</v>
      </c>
      <c r="AD261" s="25" t="s">
        <v>77</v>
      </c>
      <c r="AE261" t="s">
        <v>26</v>
      </c>
      <c r="AF261" t="s">
        <v>26</v>
      </c>
      <c r="AG261" t="s">
        <v>26</v>
      </c>
      <c r="AH261" t="s">
        <v>26</v>
      </c>
      <c r="AI261" t="s">
        <v>26</v>
      </c>
      <c r="AJ261" t="s">
        <v>26</v>
      </c>
      <c r="AK261" t="s">
        <v>26</v>
      </c>
      <c r="AL261" t="s">
        <v>26</v>
      </c>
      <c r="AM261" t="s">
        <v>26</v>
      </c>
      <c r="AN261" t="s">
        <v>26</v>
      </c>
      <c r="AO261" s="25" t="s">
        <v>68</v>
      </c>
      <c r="AP261" s="23" t="s">
        <v>69</v>
      </c>
      <c r="AQ261" s="23" t="s">
        <v>30</v>
      </c>
      <c r="AR261" s="23" t="s">
        <v>70</v>
      </c>
      <c r="AS261" s="25">
        <v>3962592</v>
      </c>
      <c r="AT261" t="s">
        <v>26</v>
      </c>
      <c r="AU261" t="s">
        <v>22547</v>
      </c>
    </row>
    <row r="262" spans="1:47" ht="26.25" x14ac:dyDescent="0.4">
      <c r="A262" s="23" t="s">
        <v>888</v>
      </c>
      <c r="B262" t="s">
        <v>26</v>
      </c>
      <c r="C262" s="23" t="s">
        <v>167</v>
      </c>
      <c r="D262" s="23" t="s">
        <v>22174</v>
      </c>
      <c r="E262" s="23" t="s">
        <v>60</v>
      </c>
      <c r="F262" s="25" t="s">
        <v>889</v>
      </c>
      <c r="G262" s="25" t="s">
        <v>890</v>
      </c>
      <c r="H262" t="s">
        <v>26</v>
      </c>
      <c r="I262" s="24">
        <v>43132</v>
      </c>
      <c r="J262" s="25" t="s">
        <v>77</v>
      </c>
      <c r="K262" t="s">
        <v>26</v>
      </c>
      <c r="L262" s="25" t="s">
        <v>68</v>
      </c>
      <c r="M262" s="24">
        <v>43132</v>
      </c>
      <c r="N262" s="25" t="s">
        <v>77</v>
      </c>
      <c r="O262" t="s">
        <v>26</v>
      </c>
      <c r="P262" s="24">
        <v>43132</v>
      </c>
      <c r="Q262" s="25" t="s">
        <v>77</v>
      </c>
      <c r="R262" t="s">
        <v>26</v>
      </c>
      <c r="S262" t="s">
        <v>26</v>
      </c>
      <c r="T262" t="s">
        <v>26</v>
      </c>
      <c r="U262" t="s">
        <v>26</v>
      </c>
      <c r="V262" s="25">
        <v>365</v>
      </c>
      <c r="W262" s="24">
        <v>42339</v>
      </c>
      <c r="X262" s="25" t="s">
        <v>77</v>
      </c>
      <c r="Y262" t="s">
        <v>26</v>
      </c>
      <c r="Z262" s="24">
        <v>42339</v>
      </c>
      <c r="AA262" s="25" t="s">
        <v>77</v>
      </c>
      <c r="AB262" t="s">
        <v>26</v>
      </c>
      <c r="AC262" s="24">
        <v>43132</v>
      </c>
      <c r="AD262" s="25" t="s">
        <v>77</v>
      </c>
      <c r="AE262" t="s">
        <v>26</v>
      </c>
      <c r="AF262" t="s">
        <v>26</v>
      </c>
      <c r="AG262" t="s">
        <v>26</v>
      </c>
      <c r="AH262" t="s">
        <v>26</v>
      </c>
      <c r="AI262" t="s">
        <v>26</v>
      </c>
      <c r="AJ262" t="s">
        <v>26</v>
      </c>
      <c r="AK262" t="s">
        <v>26</v>
      </c>
      <c r="AL262" t="s">
        <v>26</v>
      </c>
      <c r="AM262" t="s">
        <v>26</v>
      </c>
      <c r="AN262" t="s">
        <v>26</v>
      </c>
      <c r="AO262" s="25" t="s">
        <v>68</v>
      </c>
      <c r="AP262" s="23" t="s">
        <v>69</v>
      </c>
      <c r="AQ262" t="s">
        <v>26</v>
      </c>
      <c r="AR262" s="23" t="s">
        <v>70</v>
      </c>
      <c r="AS262" s="25">
        <v>2040981</v>
      </c>
      <c r="AT262" t="s">
        <v>26</v>
      </c>
      <c r="AU262" t="s">
        <v>22548</v>
      </c>
    </row>
    <row r="263" spans="1:47" ht="26.25" x14ac:dyDescent="0.4">
      <c r="A263" s="23" t="s">
        <v>891</v>
      </c>
      <c r="B263" t="s">
        <v>26</v>
      </c>
      <c r="C263" s="23" t="s">
        <v>167</v>
      </c>
      <c r="D263" s="23" t="s">
        <v>22174</v>
      </c>
      <c r="E263" s="23" t="s">
        <v>60</v>
      </c>
      <c r="F263" s="25" t="s">
        <v>892</v>
      </c>
      <c r="G263" s="25" t="s">
        <v>893</v>
      </c>
      <c r="H263" t="s">
        <v>26</v>
      </c>
      <c r="I263" s="24">
        <v>43132</v>
      </c>
      <c r="J263" s="25" t="s">
        <v>77</v>
      </c>
      <c r="K263" t="s">
        <v>26</v>
      </c>
      <c r="L263" s="25" t="s">
        <v>68</v>
      </c>
      <c r="M263" s="24">
        <v>43132</v>
      </c>
      <c r="N263" s="25" t="s">
        <v>77</v>
      </c>
      <c r="O263" t="s">
        <v>26</v>
      </c>
      <c r="P263" s="24">
        <v>43132</v>
      </c>
      <c r="Q263" s="25" t="s">
        <v>77</v>
      </c>
      <c r="R263" t="s">
        <v>26</v>
      </c>
      <c r="S263" t="s">
        <v>26</v>
      </c>
      <c r="T263" t="s">
        <v>26</v>
      </c>
      <c r="U263" t="s">
        <v>26</v>
      </c>
      <c r="V263" t="s">
        <v>26</v>
      </c>
      <c r="W263" s="24">
        <v>43132</v>
      </c>
      <c r="X263" s="25" t="s">
        <v>77</v>
      </c>
      <c r="Y263" t="s">
        <v>26</v>
      </c>
      <c r="Z263" s="24">
        <v>43132</v>
      </c>
      <c r="AA263" s="25" t="s">
        <v>77</v>
      </c>
      <c r="AB263" t="s">
        <v>26</v>
      </c>
      <c r="AC263" s="24">
        <v>43132</v>
      </c>
      <c r="AD263" s="25" t="s">
        <v>77</v>
      </c>
      <c r="AE263" t="s">
        <v>26</v>
      </c>
      <c r="AF263" t="s">
        <v>26</v>
      </c>
      <c r="AG263" t="s">
        <v>26</v>
      </c>
      <c r="AH263" t="s">
        <v>26</v>
      </c>
      <c r="AI263" t="s">
        <v>26</v>
      </c>
      <c r="AJ263" t="s">
        <v>26</v>
      </c>
      <c r="AK263" t="s">
        <v>26</v>
      </c>
      <c r="AL263" t="s">
        <v>26</v>
      </c>
      <c r="AM263" t="s">
        <v>26</v>
      </c>
      <c r="AN263" t="s">
        <v>26</v>
      </c>
      <c r="AO263" s="25" t="s">
        <v>68</v>
      </c>
      <c r="AP263" s="23" t="s">
        <v>69</v>
      </c>
      <c r="AQ263" s="23" t="s">
        <v>30</v>
      </c>
      <c r="AR263" s="23" t="s">
        <v>70</v>
      </c>
      <c r="AS263" s="25">
        <v>2040207</v>
      </c>
      <c r="AT263" t="s">
        <v>26</v>
      </c>
      <c r="AU263" t="s">
        <v>22549</v>
      </c>
    </row>
    <row r="264" spans="1:47" ht="26.25" x14ac:dyDescent="0.4">
      <c r="A264" s="23" t="s">
        <v>894</v>
      </c>
      <c r="B264" t="s">
        <v>26</v>
      </c>
      <c r="C264" s="23" t="s">
        <v>167</v>
      </c>
      <c r="D264" s="23" t="s">
        <v>22174</v>
      </c>
      <c r="E264" s="23" t="s">
        <v>60</v>
      </c>
      <c r="F264" t="s">
        <v>26</v>
      </c>
      <c r="G264" s="25" t="s">
        <v>895</v>
      </c>
      <c r="H264" t="s">
        <v>26</v>
      </c>
      <c r="I264" s="24">
        <v>42156</v>
      </c>
      <c r="J264" s="25" t="s">
        <v>77</v>
      </c>
      <c r="K264" t="s">
        <v>26</v>
      </c>
      <c r="L264" s="25" t="s">
        <v>68</v>
      </c>
      <c r="M264" s="24">
        <v>43101</v>
      </c>
      <c r="N264" s="25" t="s">
        <v>77</v>
      </c>
      <c r="O264" t="s">
        <v>26</v>
      </c>
      <c r="P264" s="24">
        <v>42156</v>
      </c>
      <c r="Q264" s="25" t="s">
        <v>77</v>
      </c>
      <c r="R264" t="s">
        <v>26</v>
      </c>
      <c r="S264" t="s">
        <v>26</v>
      </c>
      <c r="T264" t="s">
        <v>26</v>
      </c>
      <c r="U264" t="s">
        <v>26</v>
      </c>
      <c r="V264" t="s">
        <v>26</v>
      </c>
      <c r="W264" s="24">
        <v>42156</v>
      </c>
      <c r="X264" s="25" t="s">
        <v>77</v>
      </c>
      <c r="Y264" t="s">
        <v>26</v>
      </c>
      <c r="Z264" s="24">
        <v>42156</v>
      </c>
      <c r="AA264" s="25" t="s">
        <v>77</v>
      </c>
      <c r="AB264" t="s">
        <v>26</v>
      </c>
      <c r="AC264" s="24">
        <v>42156</v>
      </c>
      <c r="AD264" s="25" t="s">
        <v>77</v>
      </c>
      <c r="AE264" t="s">
        <v>26</v>
      </c>
      <c r="AF264" t="s">
        <v>26</v>
      </c>
      <c r="AG264" t="s">
        <v>26</v>
      </c>
      <c r="AH264" t="s">
        <v>26</v>
      </c>
      <c r="AI264" t="s">
        <v>26</v>
      </c>
      <c r="AJ264" t="s">
        <v>26</v>
      </c>
      <c r="AK264" t="s">
        <v>26</v>
      </c>
      <c r="AL264" t="s">
        <v>26</v>
      </c>
      <c r="AM264" t="s">
        <v>26</v>
      </c>
      <c r="AN264" t="s">
        <v>26</v>
      </c>
      <c r="AO264" s="25" t="s">
        <v>68</v>
      </c>
      <c r="AP264" s="23" t="s">
        <v>69</v>
      </c>
      <c r="AQ264" s="23" t="s">
        <v>30</v>
      </c>
      <c r="AR264" s="23" t="s">
        <v>896</v>
      </c>
      <c r="AS264" s="25">
        <v>3962591</v>
      </c>
      <c r="AT264" t="s">
        <v>26</v>
      </c>
      <c r="AU264" t="s">
        <v>22550</v>
      </c>
    </row>
    <row r="265" spans="1:47" ht="26.25" x14ac:dyDescent="0.4">
      <c r="A265" s="23" t="s">
        <v>897</v>
      </c>
      <c r="B265" t="s">
        <v>26</v>
      </c>
      <c r="C265" s="23" t="s">
        <v>213</v>
      </c>
      <c r="D265" s="23" t="s">
        <v>22174</v>
      </c>
      <c r="E265" s="23" t="s">
        <v>60</v>
      </c>
      <c r="F265" t="s">
        <v>26</v>
      </c>
      <c r="G265" s="25" t="s">
        <v>898</v>
      </c>
      <c r="H265" t="s">
        <v>26</v>
      </c>
      <c r="I265" s="24">
        <v>39814</v>
      </c>
      <c r="J265" s="25" t="s">
        <v>77</v>
      </c>
      <c r="K265" t="s">
        <v>26</v>
      </c>
      <c r="L265" s="25" t="s">
        <v>68</v>
      </c>
      <c r="M265" t="s">
        <v>26</v>
      </c>
      <c r="N265" t="s">
        <v>26</v>
      </c>
      <c r="O265" t="s">
        <v>26</v>
      </c>
      <c r="P265" s="24">
        <v>39814</v>
      </c>
      <c r="Q265" s="25" t="s">
        <v>77</v>
      </c>
      <c r="R265" t="s">
        <v>26</v>
      </c>
      <c r="S265" t="s">
        <v>26</v>
      </c>
      <c r="T265" t="s">
        <v>26</v>
      </c>
      <c r="U265" t="s">
        <v>26</v>
      </c>
      <c r="V265" t="s">
        <v>26</v>
      </c>
      <c r="W265" s="24">
        <v>39814</v>
      </c>
      <c r="X265" s="25" t="s">
        <v>77</v>
      </c>
      <c r="Y265" t="s">
        <v>26</v>
      </c>
      <c r="Z265" s="24">
        <v>39814</v>
      </c>
      <c r="AA265" s="25" t="s">
        <v>77</v>
      </c>
      <c r="AB265" t="s">
        <v>26</v>
      </c>
      <c r="AC265" s="24">
        <v>39814</v>
      </c>
      <c r="AD265" s="25" t="s">
        <v>77</v>
      </c>
      <c r="AE265" t="s">
        <v>26</v>
      </c>
      <c r="AF265" t="s">
        <v>26</v>
      </c>
      <c r="AG265" t="s">
        <v>26</v>
      </c>
      <c r="AH265" t="s">
        <v>26</v>
      </c>
      <c r="AI265" t="s">
        <v>26</v>
      </c>
      <c r="AJ265" t="s">
        <v>26</v>
      </c>
      <c r="AK265" t="s">
        <v>26</v>
      </c>
      <c r="AL265" t="s">
        <v>26</v>
      </c>
      <c r="AM265" t="s">
        <v>26</v>
      </c>
      <c r="AN265" t="s">
        <v>26</v>
      </c>
      <c r="AO265" s="25" t="s">
        <v>68</v>
      </c>
      <c r="AP265" s="23" t="s">
        <v>69</v>
      </c>
      <c r="AQ265" s="23" t="s">
        <v>30</v>
      </c>
      <c r="AR265" s="23" t="s">
        <v>899</v>
      </c>
      <c r="AS265" s="25">
        <v>44779</v>
      </c>
      <c r="AT265" t="s">
        <v>26</v>
      </c>
      <c r="AU265" t="s">
        <v>22551</v>
      </c>
    </row>
    <row r="266" spans="1:47" ht="26.25" x14ac:dyDescent="0.4">
      <c r="A266" s="23" t="s">
        <v>900</v>
      </c>
      <c r="B266" t="s">
        <v>26</v>
      </c>
      <c r="C266" s="23" t="s">
        <v>213</v>
      </c>
      <c r="D266" s="23" t="s">
        <v>22174</v>
      </c>
      <c r="E266" s="23" t="s">
        <v>60</v>
      </c>
      <c r="F266" t="s">
        <v>26</v>
      </c>
      <c r="G266" s="25" t="s">
        <v>901</v>
      </c>
      <c r="H266" t="s">
        <v>26</v>
      </c>
      <c r="I266" s="24">
        <v>39814</v>
      </c>
      <c r="J266" s="25" t="s">
        <v>77</v>
      </c>
      <c r="K266" t="s">
        <v>26</v>
      </c>
      <c r="L266" s="25" t="s">
        <v>68</v>
      </c>
      <c r="M266" t="s">
        <v>26</v>
      </c>
      <c r="N266" t="s">
        <v>26</v>
      </c>
      <c r="O266" t="s">
        <v>26</v>
      </c>
      <c r="P266" s="24">
        <v>39814</v>
      </c>
      <c r="Q266" s="25" t="s">
        <v>77</v>
      </c>
      <c r="R266" t="s">
        <v>26</v>
      </c>
      <c r="S266" t="s">
        <v>26</v>
      </c>
      <c r="T266" t="s">
        <v>26</v>
      </c>
      <c r="U266" t="s">
        <v>26</v>
      </c>
      <c r="V266" t="s">
        <v>26</v>
      </c>
      <c r="W266" s="24">
        <v>39814</v>
      </c>
      <c r="X266" s="25" t="s">
        <v>77</v>
      </c>
      <c r="Y266" t="s">
        <v>26</v>
      </c>
      <c r="Z266" s="24">
        <v>39814</v>
      </c>
      <c r="AA266" s="25" t="s">
        <v>77</v>
      </c>
      <c r="AB266" t="s">
        <v>26</v>
      </c>
      <c r="AC266" s="24">
        <v>39814</v>
      </c>
      <c r="AD266" s="25" t="s">
        <v>77</v>
      </c>
      <c r="AE266" t="s">
        <v>26</v>
      </c>
      <c r="AF266" t="s">
        <v>26</v>
      </c>
      <c r="AG266" t="s">
        <v>26</v>
      </c>
      <c r="AH266" t="s">
        <v>26</v>
      </c>
      <c r="AI266" t="s">
        <v>26</v>
      </c>
      <c r="AJ266" t="s">
        <v>26</v>
      </c>
      <c r="AK266" t="s">
        <v>26</v>
      </c>
      <c r="AL266" t="s">
        <v>26</v>
      </c>
      <c r="AM266" t="s">
        <v>26</v>
      </c>
      <c r="AN266" t="s">
        <v>26</v>
      </c>
      <c r="AO266" s="25" t="s">
        <v>68</v>
      </c>
      <c r="AP266" s="23" t="s">
        <v>69</v>
      </c>
      <c r="AQ266" s="23" t="s">
        <v>30</v>
      </c>
      <c r="AR266" s="23" t="s">
        <v>70</v>
      </c>
      <c r="AS266" s="25">
        <v>44775</v>
      </c>
      <c r="AT266" t="s">
        <v>26</v>
      </c>
      <c r="AU266" t="s">
        <v>22552</v>
      </c>
    </row>
    <row r="267" spans="1:47" ht="26.25" x14ac:dyDescent="0.4">
      <c r="A267" s="23" t="s">
        <v>902</v>
      </c>
      <c r="B267" t="s">
        <v>26</v>
      </c>
      <c r="C267" s="23" t="s">
        <v>213</v>
      </c>
      <c r="D267" s="23" t="s">
        <v>22174</v>
      </c>
      <c r="E267" s="23" t="s">
        <v>60</v>
      </c>
      <c r="F267" t="s">
        <v>26</v>
      </c>
      <c r="G267" s="25" t="s">
        <v>903</v>
      </c>
      <c r="H267" t="s">
        <v>26</v>
      </c>
      <c r="I267" s="24">
        <v>42005</v>
      </c>
      <c r="J267" s="25" t="s">
        <v>77</v>
      </c>
      <c r="K267" t="s">
        <v>26</v>
      </c>
      <c r="L267" s="25" t="s">
        <v>68</v>
      </c>
      <c r="M267" t="s">
        <v>26</v>
      </c>
      <c r="N267" t="s">
        <v>26</v>
      </c>
      <c r="O267" t="s">
        <v>26</v>
      </c>
      <c r="P267" s="24">
        <v>42005</v>
      </c>
      <c r="Q267" s="25" t="s">
        <v>77</v>
      </c>
      <c r="R267" t="s">
        <v>26</v>
      </c>
      <c r="S267" t="s">
        <v>26</v>
      </c>
      <c r="T267" t="s">
        <v>26</v>
      </c>
      <c r="U267" t="s">
        <v>26</v>
      </c>
      <c r="V267" t="s">
        <v>26</v>
      </c>
      <c r="W267" s="24">
        <v>42005</v>
      </c>
      <c r="X267" s="25" t="s">
        <v>77</v>
      </c>
      <c r="Y267" t="s">
        <v>26</v>
      </c>
      <c r="Z267" s="24">
        <v>42005</v>
      </c>
      <c r="AA267" s="25" t="s">
        <v>77</v>
      </c>
      <c r="AB267" t="s">
        <v>26</v>
      </c>
      <c r="AC267" s="24">
        <v>42005</v>
      </c>
      <c r="AD267" s="25" t="s">
        <v>77</v>
      </c>
      <c r="AE267" t="s">
        <v>26</v>
      </c>
      <c r="AF267" t="s">
        <v>26</v>
      </c>
      <c r="AG267" t="s">
        <v>26</v>
      </c>
      <c r="AH267" t="s">
        <v>26</v>
      </c>
      <c r="AI267" t="s">
        <v>26</v>
      </c>
      <c r="AJ267" t="s">
        <v>26</v>
      </c>
      <c r="AK267" t="s">
        <v>26</v>
      </c>
      <c r="AL267" t="s">
        <v>26</v>
      </c>
      <c r="AM267" t="s">
        <v>26</v>
      </c>
      <c r="AN267" t="s">
        <v>26</v>
      </c>
      <c r="AO267" s="25" t="s">
        <v>68</v>
      </c>
      <c r="AP267" s="23" t="s">
        <v>69</v>
      </c>
      <c r="AQ267" s="23" t="s">
        <v>30</v>
      </c>
      <c r="AR267" s="23" t="s">
        <v>46</v>
      </c>
      <c r="AS267" s="25">
        <v>2040159</v>
      </c>
      <c r="AT267" t="s">
        <v>26</v>
      </c>
      <c r="AU267" t="s">
        <v>22553</v>
      </c>
    </row>
    <row r="268" spans="1:47" ht="26.25" x14ac:dyDescent="0.4">
      <c r="A268" s="23" t="s">
        <v>904</v>
      </c>
      <c r="B268" t="s">
        <v>26</v>
      </c>
      <c r="C268" s="23" t="s">
        <v>213</v>
      </c>
      <c r="D268" s="23" t="s">
        <v>22174</v>
      </c>
      <c r="E268" s="23" t="s">
        <v>60</v>
      </c>
      <c r="F268" t="s">
        <v>26</v>
      </c>
      <c r="G268" s="25" t="s">
        <v>905</v>
      </c>
      <c r="H268" t="s">
        <v>26</v>
      </c>
      <c r="I268" s="24">
        <v>39814</v>
      </c>
      <c r="J268" s="25" t="s">
        <v>77</v>
      </c>
      <c r="K268" t="s">
        <v>26</v>
      </c>
      <c r="L268" s="25" t="s">
        <v>68</v>
      </c>
      <c r="M268" t="s">
        <v>26</v>
      </c>
      <c r="N268" t="s">
        <v>26</v>
      </c>
      <c r="O268" t="s">
        <v>26</v>
      </c>
      <c r="P268" s="24">
        <v>39814</v>
      </c>
      <c r="Q268" s="25" t="s">
        <v>77</v>
      </c>
      <c r="R268" t="s">
        <v>26</v>
      </c>
      <c r="S268" t="s">
        <v>26</v>
      </c>
      <c r="T268" t="s">
        <v>26</v>
      </c>
      <c r="U268" t="s">
        <v>26</v>
      </c>
      <c r="V268" t="s">
        <v>26</v>
      </c>
      <c r="W268" s="24">
        <v>39814</v>
      </c>
      <c r="X268" s="25" t="s">
        <v>77</v>
      </c>
      <c r="Y268" t="s">
        <v>26</v>
      </c>
      <c r="Z268" s="24">
        <v>39814</v>
      </c>
      <c r="AA268" s="25" t="s">
        <v>77</v>
      </c>
      <c r="AB268" t="s">
        <v>26</v>
      </c>
      <c r="AC268" s="24">
        <v>39814</v>
      </c>
      <c r="AD268" s="25" t="s">
        <v>77</v>
      </c>
      <c r="AE268" t="s">
        <v>26</v>
      </c>
      <c r="AF268" t="s">
        <v>26</v>
      </c>
      <c r="AG268" t="s">
        <v>26</v>
      </c>
      <c r="AH268" t="s">
        <v>26</v>
      </c>
      <c r="AI268" t="s">
        <v>26</v>
      </c>
      <c r="AJ268" t="s">
        <v>26</v>
      </c>
      <c r="AK268" t="s">
        <v>26</v>
      </c>
      <c r="AL268" t="s">
        <v>26</v>
      </c>
      <c r="AM268" t="s">
        <v>26</v>
      </c>
      <c r="AN268" t="s">
        <v>26</v>
      </c>
      <c r="AO268" s="25" t="s">
        <v>68</v>
      </c>
      <c r="AP268" s="23" t="s">
        <v>69</v>
      </c>
      <c r="AQ268" s="23" t="s">
        <v>30</v>
      </c>
      <c r="AR268" s="23" t="s">
        <v>906</v>
      </c>
      <c r="AS268" s="25">
        <v>42554</v>
      </c>
      <c r="AT268" t="s">
        <v>26</v>
      </c>
      <c r="AU268" t="s">
        <v>22554</v>
      </c>
    </row>
    <row r="269" spans="1:47" ht="26.25" x14ac:dyDescent="0.4">
      <c r="A269" s="23" t="s">
        <v>22555</v>
      </c>
      <c r="B269" t="s">
        <v>26</v>
      </c>
      <c r="C269" s="23" t="s">
        <v>908</v>
      </c>
      <c r="D269" s="23" t="s">
        <v>22174</v>
      </c>
      <c r="E269" s="23" t="s">
        <v>60</v>
      </c>
      <c r="F269" t="s">
        <v>26</v>
      </c>
      <c r="G269" s="25" t="s">
        <v>22556</v>
      </c>
      <c r="H269" t="s">
        <v>26</v>
      </c>
      <c r="I269" s="24">
        <v>35827</v>
      </c>
      <c r="J269" s="25" t="s">
        <v>77</v>
      </c>
      <c r="K269" t="s">
        <v>26</v>
      </c>
      <c r="L269" s="25" t="s">
        <v>68</v>
      </c>
      <c r="M269" s="24">
        <v>35827</v>
      </c>
      <c r="N269" s="25" t="s">
        <v>77</v>
      </c>
      <c r="O269" t="s">
        <v>26</v>
      </c>
      <c r="P269" s="24">
        <v>35827</v>
      </c>
      <c r="Q269" s="25" t="s">
        <v>77</v>
      </c>
      <c r="R269" t="s">
        <v>26</v>
      </c>
      <c r="S269" t="s">
        <v>26</v>
      </c>
      <c r="T269" t="s">
        <v>26</v>
      </c>
      <c r="U269" t="s">
        <v>26</v>
      </c>
      <c r="V269" s="25">
        <v>360</v>
      </c>
      <c r="W269" s="24">
        <v>35827</v>
      </c>
      <c r="X269" s="25" t="s">
        <v>77</v>
      </c>
      <c r="Y269" t="s">
        <v>26</v>
      </c>
      <c r="Z269" s="24">
        <v>35827</v>
      </c>
      <c r="AA269" s="25" t="s">
        <v>77</v>
      </c>
      <c r="AB269" t="s">
        <v>26</v>
      </c>
      <c r="AC269" s="24">
        <v>35827</v>
      </c>
      <c r="AD269" s="25" t="s">
        <v>77</v>
      </c>
      <c r="AE269" t="s">
        <v>26</v>
      </c>
      <c r="AF269" t="s">
        <v>26</v>
      </c>
      <c r="AG269" t="s">
        <v>26</v>
      </c>
      <c r="AH269" t="s">
        <v>26</v>
      </c>
      <c r="AI269" t="s">
        <v>26</v>
      </c>
      <c r="AJ269" t="s">
        <v>26</v>
      </c>
      <c r="AK269" t="s">
        <v>26</v>
      </c>
      <c r="AL269" t="s">
        <v>26</v>
      </c>
      <c r="AM269" t="s">
        <v>26</v>
      </c>
      <c r="AN269" t="s">
        <v>26</v>
      </c>
      <c r="AO269" s="25" t="s">
        <v>68</v>
      </c>
      <c r="AP269" s="23" t="s">
        <v>69</v>
      </c>
      <c r="AQ269" t="s">
        <v>26</v>
      </c>
      <c r="AR269" s="23" t="s">
        <v>71</v>
      </c>
      <c r="AS269" s="25">
        <v>2041886</v>
      </c>
      <c r="AT269" t="s">
        <v>26</v>
      </c>
      <c r="AU269" t="s">
        <v>22557</v>
      </c>
    </row>
    <row r="270" spans="1:47" ht="26.25" x14ac:dyDescent="0.4">
      <c r="A270" s="23" t="s">
        <v>907</v>
      </c>
      <c r="B270" t="s">
        <v>26</v>
      </c>
      <c r="C270" s="23" t="s">
        <v>908</v>
      </c>
      <c r="D270" s="23" t="s">
        <v>22174</v>
      </c>
      <c r="E270" s="23" t="s">
        <v>60</v>
      </c>
      <c r="F270" t="s">
        <v>26</v>
      </c>
      <c r="G270" s="25" t="s">
        <v>909</v>
      </c>
      <c r="H270" t="s">
        <v>26</v>
      </c>
      <c r="I270" s="24">
        <v>40544</v>
      </c>
      <c r="J270" s="25" t="s">
        <v>77</v>
      </c>
      <c r="K270" t="s">
        <v>26</v>
      </c>
      <c r="L270" s="25" t="s">
        <v>68</v>
      </c>
      <c r="M270" s="24">
        <v>40544</v>
      </c>
      <c r="N270" s="25" t="s">
        <v>77</v>
      </c>
      <c r="O270" t="s">
        <v>26</v>
      </c>
      <c r="P270" s="24">
        <v>40544</v>
      </c>
      <c r="Q270" s="25" t="s">
        <v>77</v>
      </c>
      <c r="R270" t="s">
        <v>26</v>
      </c>
      <c r="S270" t="s">
        <v>26</v>
      </c>
      <c r="T270" t="s">
        <v>26</v>
      </c>
      <c r="U270" t="s">
        <v>26</v>
      </c>
      <c r="V270" t="s">
        <v>26</v>
      </c>
      <c r="W270" s="24">
        <v>40544</v>
      </c>
      <c r="X270" s="25" t="s">
        <v>77</v>
      </c>
      <c r="Y270" t="s">
        <v>26</v>
      </c>
      <c r="Z270" s="24">
        <v>40544</v>
      </c>
      <c r="AA270" s="25" t="s">
        <v>77</v>
      </c>
      <c r="AB270" t="s">
        <v>26</v>
      </c>
      <c r="AC270" s="24">
        <v>40544</v>
      </c>
      <c r="AD270" s="25" t="s">
        <v>77</v>
      </c>
      <c r="AE270" t="s">
        <v>26</v>
      </c>
      <c r="AF270" t="s">
        <v>26</v>
      </c>
      <c r="AG270" t="s">
        <v>26</v>
      </c>
      <c r="AH270" t="s">
        <v>26</v>
      </c>
      <c r="AI270" t="s">
        <v>26</v>
      </c>
      <c r="AJ270" t="s">
        <v>26</v>
      </c>
      <c r="AK270" t="s">
        <v>26</v>
      </c>
      <c r="AL270" t="s">
        <v>26</v>
      </c>
      <c r="AM270" t="s">
        <v>26</v>
      </c>
      <c r="AN270" t="s">
        <v>26</v>
      </c>
      <c r="AO270" s="25" t="s">
        <v>68</v>
      </c>
      <c r="AP270" s="23" t="s">
        <v>69</v>
      </c>
      <c r="AQ270" s="23" t="s">
        <v>30</v>
      </c>
      <c r="AR270" s="23" t="s">
        <v>277</v>
      </c>
      <c r="AS270" s="25">
        <v>2040975</v>
      </c>
      <c r="AT270" t="s">
        <v>26</v>
      </c>
      <c r="AU270" t="s">
        <v>22558</v>
      </c>
    </row>
    <row r="271" spans="1:47" ht="26.25" x14ac:dyDescent="0.4">
      <c r="A271" s="23" t="s">
        <v>910</v>
      </c>
      <c r="B271" t="s">
        <v>26</v>
      </c>
      <c r="C271" s="23" t="s">
        <v>908</v>
      </c>
      <c r="D271" s="23" t="s">
        <v>22174</v>
      </c>
      <c r="E271" s="23" t="s">
        <v>60</v>
      </c>
      <c r="F271" s="25" t="s">
        <v>911</v>
      </c>
      <c r="G271" s="25" t="s">
        <v>912</v>
      </c>
      <c r="H271" t="s">
        <v>26</v>
      </c>
      <c r="I271" s="24">
        <v>40634</v>
      </c>
      <c r="J271" s="25" t="s">
        <v>77</v>
      </c>
      <c r="K271" t="s">
        <v>26</v>
      </c>
      <c r="L271" s="25" t="s">
        <v>68</v>
      </c>
      <c r="M271" s="24">
        <v>40634</v>
      </c>
      <c r="N271" s="25" t="s">
        <v>77</v>
      </c>
      <c r="O271" t="s">
        <v>26</v>
      </c>
      <c r="P271" s="24">
        <v>40634</v>
      </c>
      <c r="Q271" s="25" t="s">
        <v>77</v>
      </c>
      <c r="R271" t="s">
        <v>26</v>
      </c>
      <c r="S271" t="s">
        <v>26</v>
      </c>
      <c r="T271" t="s">
        <v>26</v>
      </c>
      <c r="U271" t="s">
        <v>26</v>
      </c>
      <c r="V271" s="25">
        <v>360</v>
      </c>
      <c r="W271" s="24">
        <v>40634</v>
      </c>
      <c r="X271" s="25" t="s">
        <v>77</v>
      </c>
      <c r="Y271" t="s">
        <v>26</v>
      </c>
      <c r="Z271" s="24">
        <v>40634</v>
      </c>
      <c r="AA271" s="25" t="s">
        <v>77</v>
      </c>
      <c r="AB271" t="s">
        <v>26</v>
      </c>
      <c r="AC271" s="24">
        <v>40634</v>
      </c>
      <c r="AD271" s="25" t="s">
        <v>77</v>
      </c>
      <c r="AE271" t="s">
        <v>26</v>
      </c>
      <c r="AF271" t="s">
        <v>26</v>
      </c>
      <c r="AG271" t="s">
        <v>26</v>
      </c>
      <c r="AH271" t="s">
        <v>26</v>
      </c>
      <c r="AI271" t="s">
        <v>26</v>
      </c>
      <c r="AJ271" t="s">
        <v>26</v>
      </c>
      <c r="AK271" t="s">
        <v>26</v>
      </c>
      <c r="AL271" t="s">
        <v>26</v>
      </c>
      <c r="AM271" t="s">
        <v>26</v>
      </c>
      <c r="AN271" t="s">
        <v>26</v>
      </c>
      <c r="AO271" s="25" t="s">
        <v>68</v>
      </c>
      <c r="AP271" s="23" t="s">
        <v>69</v>
      </c>
      <c r="AQ271" s="23" t="s">
        <v>30</v>
      </c>
      <c r="AR271" s="23" t="s">
        <v>277</v>
      </c>
      <c r="AS271" s="25">
        <v>2040968</v>
      </c>
      <c r="AT271" t="s">
        <v>26</v>
      </c>
      <c r="AU271" t="s">
        <v>22559</v>
      </c>
    </row>
    <row r="272" spans="1:47" ht="26.25" x14ac:dyDescent="0.4">
      <c r="A272" s="23" t="s">
        <v>913</v>
      </c>
      <c r="B272" t="s">
        <v>26</v>
      </c>
      <c r="C272" s="23" t="s">
        <v>294</v>
      </c>
      <c r="D272" s="23" t="s">
        <v>22179</v>
      </c>
      <c r="E272" s="23" t="s">
        <v>42</v>
      </c>
      <c r="F272" t="s">
        <v>26</v>
      </c>
      <c r="G272" t="s">
        <v>26</v>
      </c>
      <c r="H272" t="s">
        <v>26</v>
      </c>
      <c r="I272" s="25" t="s">
        <v>295</v>
      </c>
      <c r="J272" s="25" t="s">
        <v>295</v>
      </c>
      <c r="K272" t="s">
        <v>26</v>
      </c>
      <c r="L272" s="25" t="s">
        <v>28</v>
      </c>
      <c r="M272" t="s">
        <v>26</v>
      </c>
      <c r="N272" t="s">
        <v>26</v>
      </c>
      <c r="O272" t="s">
        <v>26</v>
      </c>
      <c r="P272" s="25" t="s">
        <v>295</v>
      </c>
      <c r="Q272" s="25" t="s">
        <v>295</v>
      </c>
      <c r="R272" t="s">
        <v>26</v>
      </c>
      <c r="S272" t="s">
        <v>26</v>
      </c>
      <c r="T272" t="s">
        <v>26</v>
      </c>
      <c r="U272" t="s">
        <v>26</v>
      </c>
      <c r="V272" t="s">
        <v>26</v>
      </c>
      <c r="W272" s="25" t="s">
        <v>295</v>
      </c>
      <c r="X272" s="25" t="s">
        <v>295</v>
      </c>
      <c r="Y272" t="s">
        <v>26</v>
      </c>
      <c r="Z272" s="25" t="s">
        <v>295</v>
      </c>
      <c r="AA272" s="25" t="s">
        <v>295</v>
      </c>
      <c r="AB272" t="s">
        <v>26</v>
      </c>
      <c r="AC272" s="25" t="s">
        <v>295</v>
      </c>
      <c r="AD272" s="25" t="s">
        <v>295</v>
      </c>
      <c r="AE272" t="s">
        <v>26</v>
      </c>
      <c r="AF272" t="s">
        <v>26</v>
      </c>
      <c r="AG272" t="s">
        <v>26</v>
      </c>
      <c r="AH272" t="s">
        <v>26</v>
      </c>
      <c r="AI272" t="s">
        <v>26</v>
      </c>
      <c r="AJ272" t="s">
        <v>26</v>
      </c>
      <c r="AK272" t="s">
        <v>26</v>
      </c>
      <c r="AL272" t="s">
        <v>26</v>
      </c>
      <c r="AM272" t="s">
        <v>26</v>
      </c>
      <c r="AN272" t="s">
        <v>26</v>
      </c>
      <c r="AO272" s="25" t="s">
        <v>28</v>
      </c>
      <c r="AP272" s="23" t="s">
        <v>29</v>
      </c>
      <c r="AQ272" s="23" t="s">
        <v>30</v>
      </c>
      <c r="AR272" s="23" t="s">
        <v>914</v>
      </c>
      <c r="AS272" s="25">
        <v>5325199</v>
      </c>
      <c r="AT272" s="23" t="s">
        <v>22181</v>
      </c>
      <c r="AU272" t="s">
        <v>22560</v>
      </c>
    </row>
    <row r="273" spans="1:47" ht="26.25" x14ac:dyDescent="0.4">
      <c r="A273" s="23" t="s">
        <v>915</v>
      </c>
      <c r="B273" t="s">
        <v>26</v>
      </c>
      <c r="C273" s="23" t="s">
        <v>916</v>
      </c>
      <c r="D273" s="23" t="s">
        <v>22561</v>
      </c>
      <c r="E273" s="23" t="s">
        <v>917</v>
      </c>
      <c r="F273" s="25" t="s">
        <v>918</v>
      </c>
      <c r="G273" t="s">
        <v>26</v>
      </c>
      <c r="H273" t="s">
        <v>26</v>
      </c>
      <c r="I273" s="24">
        <v>43281</v>
      </c>
      <c r="J273" s="25" t="s">
        <v>77</v>
      </c>
      <c r="K273" t="s">
        <v>26</v>
      </c>
      <c r="L273" s="25" t="s">
        <v>68</v>
      </c>
      <c r="M273" s="24">
        <v>43281</v>
      </c>
      <c r="N273" s="25" t="s">
        <v>77</v>
      </c>
      <c r="O273" t="s">
        <v>26</v>
      </c>
      <c r="P273" s="24">
        <v>43281</v>
      </c>
      <c r="Q273" s="25" t="s">
        <v>77</v>
      </c>
      <c r="R273" t="s">
        <v>26</v>
      </c>
      <c r="S273" t="s">
        <v>26</v>
      </c>
      <c r="T273" t="s">
        <v>26</v>
      </c>
      <c r="U273" t="s">
        <v>26</v>
      </c>
      <c r="V273" t="s">
        <v>26</v>
      </c>
      <c r="W273" s="24">
        <v>43281</v>
      </c>
      <c r="X273" s="25" t="s">
        <v>77</v>
      </c>
      <c r="Y273" t="s">
        <v>26</v>
      </c>
      <c r="Z273" s="24">
        <v>43281</v>
      </c>
      <c r="AA273" s="25" t="s">
        <v>77</v>
      </c>
      <c r="AB273" t="s">
        <v>26</v>
      </c>
      <c r="AC273" s="24">
        <v>43281</v>
      </c>
      <c r="AD273" s="25" t="s">
        <v>77</v>
      </c>
      <c r="AE273" t="s">
        <v>26</v>
      </c>
      <c r="AF273" t="s">
        <v>26</v>
      </c>
      <c r="AG273" t="s">
        <v>26</v>
      </c>
      <c r="AH273" t="s">
        <v>26</v>
      </c>
      <c r="AI273" t="s">
        <v>26</v>
      </c>
      <c r="AJ273" t="s">
        <v>26</v>
      </c>
      <c r="AK273" t="s">
        <v>26</v>
      </c>
      <c r="AL273" t="s">
        <v>26</v>
      </c>
      <c r="AM273" t="s">
        <v>26</v>
      </c>
      <c r="AN273" t="s">
        <v>26</v>
      </c>
      <c r="AO273" s="25" t="s">
        <v>28</v>
      </c>
      <c r="AP273" s="23" t="s">
        <v>69</v>
      </c>
      <c r="AQ273" s="23" t="s">
        <v>30</v>
      </c>
      <c r="AR273" s="23" t="s">
        <v>46</v>
      </c>
      <c r="AS273" s="25">
        <v>3950100</v>
      </c>
      <c r="AT273" t="s">
        <v>26</v>
      </c>
      <c r="AU273" t="s">
        <v>22562</v>
      </c>
    </row>
    <row r="274" spans="1:47" ht="26.25" x14ac:dyDescent="0.4">
      <c r="A274" s="23" t="s">
        <v>919</v>
      </c>
      <c r="B274" t="s">
        <v>26</v>
      </c>
      <c r="C274" s="23" t="s">
        <v>332</v>
      </c>
      <c r="D274" s="23" t="s">
        <v>22256</v>
      </c>
      <c r="E274" s="23" t="s">
        <v>42</v>
      </c>
      <c r="F274" t="s">
        <v>26</v>
      </c>
      <c r="G274" t="s">
        <v>26</v>
      </c>
      <c r="H274" t="s">
        <v>26</v>
      </c>
      <c r="I274" t="s">
        <v>26</v>
      </c>
      <c r="J274" t="s">
        <v>26</v>
      </c>
      <c r="K274" t="s">
        <v>26</v>
      </c>
      <c r="L274" s="25" t="s">
        <v>28</v>
      </c>
      <c r="M274" t="s">
        <v>26</v>
      </c>
      <c r="N274" t="s">
        <v>26</v>
      </c>
      <c r="O274" t="s">
        <v>26</v>
      </c>
      <c r="P274" t="s">
        <v>26</v>
      </c>
      <c r="Q274" t="s">
        <v>26</v>
      </c>
      <c r="R274" t="s">
        <v>26</v>
      </c>
      <c r="S274" t="s">
        <v>26</v>
      </c>
      <c r="T274" t="s">
        <v>26</v>
      </c>
      <c r="U274" t="s">
        <v>26</v>
      </c>
      <c r="V274" t="s">
        <v>26</v>
      </c>
      <c r="W274" s="24">
        <v>38718</v>
      </c>
      <c r="X274" s="24">
        <v>38718</v>
      </c>
      <c r="Y274" t="s">
        <v>26</v>
      </c>
      <c r="Z274" s="24">
        <v>38718</v>
      </c>
      <c r="AA274" s="24">
        <v>38718</v>
      </c>
      <c r="AB274" t="s">
        <v>26</v>
      </c>
      <c r="AC274" t="s">
        <v>26</v>
      </c>
      <c r="AD274" t="s">
        <v>26</v>
      </c>
      <c r="AE274" t="s">
        <v>26</v>
      </c>
      <c r="AF274" t="s">
        <v>26</v>
      </c>
      <c r="AG274" t="s">
        <v>26</v>
      </c>
      <c r="AH274" t="s">
        <v>26</v>
      </c>
      <c r="AI274" t="s">
        <v>26</v>
      </c>
      <c r="AJ274" t="s">
        <v>26</v>
      </c>
      <c r="AK274" t="s">
        <v>26</v>
      </c>
      <c r="AL274" t="s">
        <v>26</v>
      </c>
      <c r="AM274" t="s">
        <v>26</v>
      </c>
      <c r="AN274" t="s">
        <v>26</v>
      </c>
      <c r="AO274" s="25" t="s">
        <v>28</v>
      </c>
      <c r="AP274" s="23" t="s">
        <v>29</v>
      </c>
      <c r="AQ274" s="23" t="s">
        <v>30</v>
      </c>
      <c r="AR274" s="23" t="s">
        <v>44</v>
      </c>
      <c r="AS274" s="25">
        <v>5483580</v>
      </c>
      <c r="AT274" s="23" t="s">
        <v>22181</v>
      </c>
      <c r="AU274" t="s">
        <v>22563</v>
      </c>
    </row>
    <row r="275" spans="1:47" ht="26.25" x14ac:dyDescent="0.4">
      <c r="A275" s="23" t="s">
        <v>920</v>
      </c>
      <c r="B275" t="s">
        <v>26</v>
      </c>
      <c r="C275" s="23" t="s">
        <v>51</v>
      </c>
      <c r="D275" s="23" t="s">
        <v>22545</v>
      </c>
      <c r="E275" s="23" t="s">
        <v>42</v>
      </c>
      <c r="F275" t="s">
        <v>26</v>
      </c>
      <c r="G275" t="s">
        <v>26</v>
      </c>
      <c r="H275" t="s">
        <v>26</v>
      </c>
      <c r="I275" s="24">
        <v>41640</v>
      </c>
      <c r="J275" s="24">
        <v>41640</v>
      </c>
      <c r="K275" t="s">
        <v>26</v>
      </c>
      <c r="L275" s="25" t="s">
        <v>28</v>
      </c>
      <c r="M275" t="s">
        <v>26</v>
      </c>
      <c r="N275" t="s">
        <v>26</v>
      </c>
      <c r="O275" t="s">
        <v>26</v>
      </c>
      <c r="P275" s="24">
        <v>41640</v>
      </c>
      <c r="Q275" s="24">
        <v>41640</v>
      </c>
      <c r="R275" t="s">
        <v>26</v>
      </c>
      <c r="S275" t="s">
        <v>26</v>
      </c>
      <c r="T275" t="s">
        <v>26</v>
      </c>
      <c r="U275" t="s">
        <v>26</v>
      </c>
      <c r="V275" t="s">
        <v>26</v>
      </c>
      <c r="W275" s="24">
        <v>41640</v>
      </c>
      <c r="X275" s="24">
        <v>41640</v>
      </c>
      <c r="Y275" t="s">
        <v>26</v>
      </c>
      <c r="Z275" s="24">
        <v>41640</v>
      </c>
      <c r="AA275" s="24">
        <v>41640</v>
      </c>
      <c r="AB275" t="s">
        <v>26</v>
      </c>
      <c r="AC275" s="24">
        <v>41640</v>
      </c>
      <c r="AD275" s="24">
        <v>41640</v>
      </c>
      <c r="AE275" t="s">
        <v>26</v>
      </c>
      <c r="AF275" t="s">
        <v>26</v>
      </c>
      <c r="AG275" t="s">
        <v>26</v>
      </c>
      <c r="AH275" t="s">
        <v>26</v>
      </c>
      <c r="AI275" t="s">
        <v>26</v>
      </c>
      <c r="AJ275" t="s">
        <v>26</v>
      </c>
      <c r="AK275" t="s">
        <v>26</v>
      </c>
      <c r="AL275" t="s">
        <v>26</v>
      </c>
      <c r="AM275" t="s">
        <v>26</v>
      </c>
      <c r="AN275" t="s">
        <v>26</v>
      </c>
      <c r="AO275" s="25" t="s">
        <v>28</v>
      </c>
      <c r="AP275" s="23" t="s">
        <v>29</v>
      </c>
      <c r="AQ275" s="23" t="s">
        <v>30</v>
      </c>
      <c r="AR275" s="23" t="s">
        <v>46</v>
      </c>
      <c r="AS275" s="25">
        <v>6009033</v>
      </c>
      <c r="AT275" t="s">
        <v>26</v>
      </c>
      <c r="AU275" t="s">
        <v>22564</v>
      </c>
    </row>
    <row r="276" spans="1:47" ht="26.25" x14ac:dyDescent="0.4">
      <c r="A276" s="23" t="s">
        <v>921</v>
      </c>
      <c r="B276" t="s">
        <v>26</v>
      </c>
      <c r="C276" s="23" t="s">
        <v>51</v>
      </c>
      <c r="D276" s="23" t="s">
        <v>22545</v>
      </c>
      <c r="E276" s="23" t="s">
        <v>42</v>
      </c>
      <c r="F276" t="s">
        <v>26</v>
      </c>
      <c r="G276" t="s">
        <v>26</v>
      </c>
      <c r="H276" t="s">
        <v>26</v>
      </c>
      <c r="I276" s="24">
        <v>43101</v>
      </c>
      <c r="J276" s="24">
        <v>43101</v>
      </c>
      <c r="K276" t="s">
        <v>26</v>
      </c>
      <c r="L276" s="25" t="s">
        <v>28</v>
      </c>
      <c r="M276" t="s">
        <v>26</v>
      </c>
      <c r="N276" t="s">
        <v>26</v>
      </c>
      <c r="O276" t="s">
        <v>26</v>
      </c>
      <c r="P276" s="24">
        <v>43101</v>
      </c>
      <c r="Q276" s="24">
        <v>43101</v>
      </c>
      <c r="R276" t="s">
        <v>26</v>
      </c>
      <c r="S276" t="s">
        <v>26</v>
      </c>
      <c r="T276" t="s">
        <v>26</v>
      </c>
      <c r="U276" t="s">
        <v>26</v>
      </c>
      <c r="V276" t="s">
        <v>26</v>
      </c>
      <c r="W276" s="24">
        <v>43101</v>
      </c>
      <c r="X276" s="24">
        <v>43101</v>
      </c>
      <c r="Y276" t="s">
        <v>26</v>
      </c>
      <c r="Z276" s="24">
        <v>43101</v>
      </c>
      <c r="AA276" s="24">
        <v>43101</v>
      </c>
      <c r="AB276" t="s">
        <v>26</v>
      </c>
      <c r="AC276" s="24">
        <v>43101</v>
      </c>
      <c r="AD276" s="24">
        <v>43101</v>
      </c>
      <c r="AE276" t="s">
        <v>26</v>
      </c>
      <c r="AF276" t="s">
        <v>26</v>
      </c>
      <c r="AG276" t="s">
        <v>26</v>
      </c>
      <c r="AH276" t="s">
        <v>26</v>
      </c>
      <c r="AI276" t="s">
        <v>26</v>
      </c>
      <c r="AJ276" t="s">
        <v>26</v>
      </c>
      <c r="AK276" t="s">
        <v>26</v>
      </c>
      <c r="AL276" t="s">
        <v>26</v>
      </c>
      <c r="AM276" t="s">
        <v>26</v>
      </c>
      <c r="AN276" t="s">
        <v>26</v>
      </c>
      <c r="AO276" s="25" t="s">
        <v>28</v>
      </c>
      <c r="AP276" s="23" t="s">
        <v>29</v>
      </c>
      <c r="AQ276" s="23" t="s">
        <v>30</v>
      </c>
      <c r="AR276" s="23" t="s">
        <v>46</v>
      </c>
      <c r="AS276" s="25">
        <v>6009032</v>
      </c>
      <c r="AT276" t="s">
        <v>26</v>
      </c>
      <c r="AU276" t="s">
        <v>22565</v>
      </c>
    </row>
    <row r="277" spans="1:47" ht="13.15" x14ac:dyDescent="0.4">
      <c r="A277" s="23" t="s">
        <v>922</v>
      </c>
      <c r="B277" t="s">
        <v>26</v>
      </c>
      <c r="C277" s="23" t="s">
        <v>332</v>
      </c>
      <c r="D277" s="23" t="s">
        <v>22256</v>
      </c>
      <c r="E277" s="23" t="s">
        <v>42</v>
      </c>
      <c r="F277" t="s">
        <v>26</v>
      </c>
      <c r="G277" t="s">
        <v>26</v>
      </c>
      <c r="H277" t="s">
        <v>26</v>
      </c>
      <c r="I277" t="s">
        <v>26</v>
      </c>
      <c r="J277" t="s">
        <v>26</v>
      </c>
      <c r="K277" t="s">
        <v>26</v>
      </c>
      <c r="L277" s="25" t="s">
        <v>28</v>
      </c>
      <c r="M277" t="s">
        <v>26</v>
      </c>
      <c r="N277" t="s">
        <v>26</v>
      </c>
      <c r="O277" t="s">
        <v>26</v>
      </c>
      <c r="P277" t="s">
        <v>26</v>
      </c>
      <c r="Q277" t="s">
        <v>26</v>
      </c>
      <c r="R277" t="s">
        <v>26</v>
      </c>
      <c r="S277" t="s">
        <v>26</v>
      </c>
      <c r="T277" t="s">
        <v>26</v>
      </c>
      <c r="U277" t="s">
        <v>26</v>
      </c>
      <c r="V277" t="s">
        <v>26</v>
      </c>
      <c r="W277" s="24">
        <v>35431</v>
      </c>
      <c r="X277" s="24">
        <v>35431</v>
      </c>
      <c r="Y277" t="s">
        <v>26</v>
      </c>
      <c r="Z277" s="24">
        <v>35431</v>
      </c>
      <c r="AA277" s="24">
        <v>35431</v>
      </c>
      <c r="AB277" t="s">
        <v>26</v>
      </c>
      <c r="AC277" t="s">
        <v>26</v>
      </c>
      <c r="AD277" t="s">
        <v>26</v>
      </c>
      <c r="AE277" t="s">
        <v>26</v>
      </c>
      <c r="AF277" t="s">
        <v>26</v>
      </c>
      <c r="AG277" t="s">
        <v>26</v>
      </c>
      <c r="AH277" t="s">
        <v>26</v>
      </c>
      <c r="AI277" t="s">
        <v>26</v>
      </c>
      <c r="AJ277" t="s">
        <v>26</v>
      </c>
      <c r="AK277" t="s">
        <v>26</v>
      </c>
      <c r="AL277" t="s">
        <v>26</v>
      </c>
      <c r="AM277" t="s">
        <v>26</v>
      </c>
      <c r="AN277" t="s">
        <v>26</v>
      </c>
      <c r="AO277" s="25" t="s">
        <v>28</v>
      </c>
      <c r="AP277" s="23" t="s">
        <v>29</v>
      </c>
      <c r="AQ277" s="23" t="s">
        <v>30</v>
      </c>
      <c r="AR277" s="23" t="s">
        <v>44</v>
      </c>
      <c r="AS277" s="25">
        <v>5483579</v>
      </c>
      <c r="AT277" s="23" t="s">
        <v>22181</v>
      </c>
      <c r="AU277" t="s">
        <v>22566</v>
      </c>
    </row>
    <row r="278" spans="1:47" ht="13.15" x14ac:dyDescent="0.4">
      <c r="A278" s="23" t="s">
        <v>923</v>
      </c>
      <c r="B278" t="s">
        <v>26</v>
      </c>
      <c r="C278" s="23" t="s">
        <v>51</v>
      </c>
      <c r="D278" s="23" t="s">
        <v>22545</v>
      </c>
      <c r="E278" s="23" t="s">
        <v>42</v>
      </c>
      <c r="F278" t="s">
        <v>26</v>
      </c>
      <c r="G278" t="s">
        <v>26</v>
      </c>
      <c r="H278" t="s">
        <v>26</v>
      </c>
      <c r="I278" s="24">
        <v>35431</v>
      </c>
      <c r="J278" s="24">
        <v>35431</v>
      </c>
      <c r="K278" t="s">
        <v>26</v>
      </c>
      <c r="L278" s="25" t="s">
        <v>28</v>
      </c>
      <c r="M278" t="s">
        <v>26</v>
      </c>
      <c r="N278" t="s">
        <v>26</v>
      </c>
      <c r="O278" t="s">
        <v>26</v>
      </c>
      <c r="P278" s="24">
        <v>35431</v>
      </c>
      <c r="Q278" s="24">
        <v>35431</v>
      </c>
      <c r="R278" t="s">
        <v>26</v>
      </c>
      <c r="S278" t="s">
        <v>26</v>
      </c>
      <c r="T278" t="s">
        <v>26</v>
      </c>
      <c r="U278" t="s">
        <v>26</v>
      </c>
      <c r="V278" t="s">
        <v>26</v>
      </c>
      <c r="W278" s="24">
        <v>35431</v>
      </c>
      <c r="X278" s="24">
        <v>35431</v>
      </c>
      <c r="Y278" t="s">
        <v>26</v>
      </c>
      <c r="Z278" s="24">
        <v>35431</v>
      </c>
      <c r="AA278" s="24">
        <v>35431</v>
      </c>
      <c r="AB278" t="s">
        <v>26</v>
      </c>
      <c r="AC278" t="s">
        <v>26</v>
      </c>
      <c r="AD278" t="s">
        <v>26</v>
      </c>
      <c r="AE278" t="s">
        <v>26</v>
      </c>
      <c r="AF278" t="s">
        <v>26</v>
      </c>
      <c r="AG278" t="s">
        <v>26</v>
      </c>
      <c r="AH278" t="s">
        <v>26</v>
      </c>
      <c r="AI278" t="s">
        <v>26</v>
      </c>
      <c r="AJ278" t="s">
        <v>26</v>
      </c>
      <c r="AK278" t="s">
        <v>26</v>
      </c>
      <c r="AL278" t="s">
        <v>26</v>
      </c>
      <c r="AM278" t="s">
        <v>26</v>
      </c>
      <c r="AN278" t="s">
        <v>26</v>
      </c>
      <c r="AO278" s="25" t="s">
        <v>28</v>
      </c>
      <c r="AP278" s="23" t="s">
        <v>29</v>
      </c>
      <c r="AQ278" s="23" t="s">
        <v>30</v>
      </c>
      <c r="AR278" s="23" t="s">
        <v>46</v>
      </c>
      <c r="AS278" s="25">
        <v>6009031</v>
      </c>
      <c r="AT278" t="s">
        <v>26</v>
      </c>
      <c r="AU278" t="s">
        <v>22567</v>
      </c>
    </row>
    <row r="279" spans="1:47" ht="26.25" x14ac:dyDescent="0.4">
      <c r="A279" s="23" t="s">
        <v>924</v>
      </c>
      <c r="B279" t="s">
        <v>26</v>
      </c>
      <c r="C279" t="s">
        <v>26</v>
      </c>
      <c r="D279" s="23" t="s">
        <v>22256</v>
      </c>
      <c r="E279" t="s">
        <v>26</v>
      </c>
      <c r="F279" t="s">
        <v>26</v>
      </c>
      <c r="G279" t="s">
        <v>26</v>
      </c>
      <c r="H279" t="s">
        <v>26</v>
      </c>
      <c r="I279" s="24">
        <v>40544</v>
      </c>
      <c r="J279" s="24">
        <v>40544</v>
      </c>
      <c r="K279" t="s">
        <v>26</v>
      </c>
      <c r="L279" s="25" t="s">
        <v>28</v>
      </c>
      <c r="M279" s="24">
        <v>40544</v>
      </c>
      <c r="N279" s="24">
        <v>40544</v>
      </c>
      <c r="O279" t="s">
        <v>26</v>
      </c>
      <c r="P279" t="s">
        <v>26</v>
      </c>
      <c r="Q279" t="s">
        <v>26</v>
      </c>
      <c r="R279" t="s">
        <v>26</v>
      </c>
      <c r="S279" s="24">
        <v>40544</v>
      </c>
      <c r="T279" s="24">
        <v>40544</v>
      </c>
      <c r="U279" t="s">
        <v>26</v>
      </c>
      <c r="V279" t="s">
        <v>26</v>
      </c>
      <c r="W279" s="24">
        <v>40544</v>
      </c>
      <c r="X279" s="24">
        <v>40544</v>
      </c>
      <c r="Y279" t="s">
        <v>26</v>
      </c>
      <c r="Z279" s="24">
        <v>40544</v>
      </c>
      <c r="AA279" s="24">
        <v>40544</v>
      </c>
      <c r="AB279" t="s">
        <v>26</v>
      </c>
      <c r="AC279" s="24">
        <v>40544</v>
      </c>
      <c r="AD279" s="24">
        <v>40544</v>
      </c>
      <c r="AE279" t="s">
        <v>26</v>
      </c>
      <c r="AF279" s="24">
        <v>40544</v>
      </c>
      <c r="AG279" s="24">
        <v>40544</v>
      </c>
      <c r="AH279" t="s">
        <v>26</v>
      </c>
      <c r="AI279" s="24">
        <v>40544</v>
      </c>
      <c r="AJ279" s="24">
        <v>40544</v>
      </c>
      <c r="AK279" t="s">
        <v>26</v>
      </c>
      <c r="AL279" t="s">
        <v>26</v>
      </c>
      <c r="AM279" t="s">
        <v>26</v>
      </c>
      <c r="AN279" t="s">
        <v>26</v>
      </c>
      <c r="AO279" s="25" t="s">
        <v>28</v>
      </c>
      <c r="AP279" s="23" t="s">
        <v>43</v>
      </c>
      <c r="AQ279" s="23" t="s">
        <v>30</v>
      </c>
      <c r="AR279" s="23" t="s">
        <v>46</v>
      </c>
      <c r="AS279" s="25">
        <v>6359423</v>
      </c>
      <c r="AT279" t="s">
        <v>26</v>
      </c>
      <c r="AU279" t="s">
        <v>22568</v>
      </c>
    </row>
    <row r="280" spans="1:47" ht="13.15" x14ac:dyDescent="0.4">
      <c r="A280" s="23" t="s">
        <v>925</v>
      </c>
      <c r="B280" t="s">
        <v>26</v>
      </c>
      <c r="C280" s="23" t="s">
        <v>371</v>
      </c>
      <c r="D280" s="23" t="s">
        <v>22179</v>
      </c>
      <c r="E280" s="23" t="s">
        <v>42</v>
      </c>
      <c r="F280" t="s">
        <v>26</v>
      </c>
      <c r="G280" t="s">
        <v>26</v>
      </c>
      <c r="H280" t="s">
        <v>26</v>
      </c>
      <c r="I280" t="s">
        <v>26</v>
      </c>
      <c r="J280" t="s">
        <v>26</v>
      </c>
      <c r="K280" t="s">
        <v>26</v>
      </c>
      <c r="L280" s="25" t="s">
        <v>28</v>
      </c>
      <c r="M280" t="s">
        <v>26</v>
      </c>
      <c r="N280" t="s">
        <v>26</v>
      </c>
      <c r="O280" t="s">
        <v>26</v>
      </c>
      <c r="P280" t="s">
        <v>26</v>
      </c>
      <c r="Q280" t="s">
        <v>26</v>
      </c>
      <c r="R280" t="s">
        <v>26</v>
      </c>
      <c r="S280" t="s">
        <v>26</v>
      </c>
      <c r="T280" t="s">
        <v>26</v>
      </c>
      <c r="U280" t="s">
        <v>26</v>
      </c>
      <c r="V280" t="s">
        <v>26</v>
      </c>
      <c r="W280" s="24">
        <v>28856</v>
      </c>
      <c r="X280" s="24">
        <v>28856</v>
      </c>
      <c r="Y280" t="s">
        <v>26</v>
      </c>
      <c r="Z280" s="24">
        <v>28856</v>
      </c>
      <c r="AA280" s="24">
        <v>28856</v>
      </c>
      <c r="AB280" t="s">
        <v>26</v>
      </c>
      <c r="AC280" t="s">
        <v>26</v>
      </c>
      <c r="AD280" t="s">
        <v>26</v>
      </c>
      <c r="AE280" t="s">
        <v>26</v>
      </c>
      <c r="AF280" t="s">
        <v>26</v>
      </c>
      <c r="AG280" t="s">
        <v>26</v>
      </c>
      <c r="AH280" t="s">
        <v>26</v>
      </c>
      <c r="AI280" t="s">
        <v>26</v>
      </c>
      <c r="AJ280" t="s">
        <v>26</v>
      </c>
      <c r="AK280" t="s">
        <v>26</v>
      </c>
      <c r="AL280" t="s">
        <v>26</v>
      </c>
      <c r="AM280" t="s">
        <v>26</v>
      </c>
      <c r="AN280" t="s">
        <v>26</v>
      </c>
      <c r="AO280" s="25" t="s">
        <v>28</v>
      </c>
      <c r="AP280" s="23" t="s">
        <v>29</v>
      </c>
      <c r="AQ280" s="23" t="s">
        <v>30</v>
      </c>
      <c r="AR280" s="23" t="s">
        <v>44</v>
      </c>
      <c r="AS280" s="25">
        <v>5483576</v>
      </c>
      <c r="AT280" s="23" t="s">
        <v>22181</v>
      </c>
      <c r="AU280" t="s">
        <v>22569</v>
      </c>
    </row>
    <row r="281" spans="1:47" ht="26.25" x14ac:dyDescent="0.4">
      <c r="A281" s="23" t="s">
        <v>926</v>
      </c>
      <c r="B281" t="s">
        <v>26</v>
      </c>
      <c r="C281" s="23" t="s">
        <v>660</v>
      </c>
      <c r="D281" s="23" t="s">
        <v>22436</v>
      </c>
      <c r="E281" s="23" t="s">
        <v>60</v>
      </c>
      <c r="F281" s="25" t="s">
        <v>927</v>
      </c>
      <c r="G281" s="25" t="s">
        <v>928</v>
      </c>
      <c r="H281" t="s">
        <v>26</v>
      </c>
      <c r="I281" t="s">
        <v>26</v>
      </c>
      <c r="J281" t="s">
        <v>26</v>
      </c>
      <c r="K281" t="s">
        <v>26</v>
      </c>
      <c r="L281" s="25" t="s">
        <v>68</v>
      </c>
      <c r="M281" t="s">
        <v>26</v>
      </c>
      <c r="N281" t="s">
        <v>26</v>
      </c>
      <c r="O281" t="s">
        <v>26</v>
      </c>
      <c r="P281" t="s">
        <v>26</v>
      </c>
      <c r="Q281" t="s">
        <v>26</v>
      </c>
      <c r="R281" t="s">
        <v>26</v>
      </c>
      <c r="S281" t="s">
        <v>26</v>
      </c>
      <c r="T281" t="s">
        <v>26</v>
      </c>
      <c r="U281" t="s">
        <v>26</v>
      </c>
      <c r="V281" t="s">
        <v>26</v>
      </c>
      <c r="W281" s="24">
        <v>37987</v>
      </c>
      <c r="X281" s="25" t="s">
        <v>77</v>
      </c>
      <c r="Y281" t="s">
        <v>26</v>
      </c>
      <c r="Z281" s="24">
        <v>37987</v>
      </c>
      <c r="AA281" s="25" t="s">
        <v>77</v>
      </c>
      <c r="AB281" t="s">
        <v>26</v>
      </c>
      <c r="AC281" s="24">
        <v>37987</v>
      </c>
      <c r="AD281" s="25" t="s">
        <v>77</v>
      </c>
      <c r="AE281" t="s">
        <v>26</v>
      </c>
      <c r="AF281" t="s">
        <v>26</v>
      </c>
      <c r="AG281" t="s">
        <v>26</v>
      </c>
      <c r="AH281" t="s">
        <v>26</v>
      </c>
      <c r="AI281" t="s">
        <v>26</v>
      </c>
      <c r="AJ281" t="s">
        <v>26</v>
      </c>
      <c r="AK281" t="s">
        <v>26</v>
      </c>
      <c r="AL281" t="s">
        <v>26</v>
      </c>
      <c r="AM281" t="s">
        <v>26</v>
      </c>
      <c r="AN281" t="s">
        <v>26</v>
      </c>
      <c r="AO281" s="25" t="s">
        <v>68</v>
      </c>
      <c r="AP281" s="23" t="s">
        <v>69</v>
      </c>
      <c r="AQ281" s="23" t="s">
        <v>30</v>
      </c>
      <c r="AR281" s="23" t="s">
        <v>385</v>
      </c>
      <c r="AS281" s="25">
        <v>36966</v>
      </c>
      <c r="AT281" t="s">
        <v>26</v>
      </c>
      <c r="AU281" t="s">
        <v>22570</v>
      </c>
    </row>
    <row r="282" spans="1:47" ht="26.25" x14ac:dyDescent="0.4">
      <c r="A282" s="23" t="s">
        <v>929</v>
      </c>
      <c r="B282" t="s">
        <v>26</v>
      </c>
      <c r="C282" t="s">
        <v>26</v>
      </c>
      <c r="D282" t="s">
        <v>26</v>
      </c>
      <c r="E282" t="s">
        <v>26</v>
      </c>
      <c r="F282" t="s">
        <v>26</v>
      </c>
      <c r="G282" t="s">
        <v>26</v>
      </c>
      <c r="H282" t="s">
        <v>26</v>
      </c>
      <c r="I282" s="25" t="s">
        <v>930</v>
      </c>
      <c r="J282" s="25" t="s">
        <v>930</v>
      </c>
      <c r="K282" t="s">
        <v>26</v>
      </c>
      <c r="L282" s="25" t="s">
        <v>28</v>
      </c>
      <c r="M282" s="25" t="s">
        <v>930</v>
      </c>
      <c r="N282" s="25" t="s">
        <v>930</v>
      </c>
      <c r="O282" t="s">
        <v>26</v>
      </c>
      <c r="P282" t="s">
        <v>26</v>
      </c>
      <c r="Q282" t="s">
        <v>26</v>
      </c>
      <c r="R282" t="s">
        <v>26</v>
      </c>
      <c r="S282" t="s">
        <v>26</v>
      </c>
      <c r="T282" t="s">
        <v>26</v>
      </c>
      <c r="U282" t="s">
        <v>26</v>
      </c>
      <c r="V282" t="s">
        <v>26</v>
      </c>
      <c r="W282" s="25" t="s">
        <v>930</v>
      </c>
      <c r="X282" s="25" t="s">
        <v>930</v>
      </c>
      <c r="Y282" t="s">
        <v>26</v>
      </c>
      <c r="Z282" s="25" t="s">
        <v>930</v>
      </c>
      <c r="AA282" s="25" t="s">
        <v>930</v>
      </c>
      <c r="AB282" t="s">
        <v>26</v>
      </c>
      <c r="AC282" s="25" t="s">
        <v>930</v>
      </c>
      <c r="AD282" s="25" t="s">
        <v>930</v>
      </c>
      <c r="AE282" t="s">
        <v>26</v>
      </c>
      <c r="AF282" t="s">
        <v>26</v>
      </c>
      <c r="AG282" t="s">
        <v>26</v>
      </c>
      <c r="AH282" t="s">
        <v>26</v>
      </c>
      <c r="AI282" t="s">
        <v>26</v>
      </c>
      <c r="AJ282" t="s">
        <v>26</v>
      </c>
      <c r="AK282" t="s">
        <v>26</v>
      </c>
      <c r="AL282" t="s">
        <v>26</v>
      </c>
      <c r="AM282" t="s">
        <v>26</v>
      </c>
      <c r="AN282" t="s">
        <v>26</v>
      </c>
      <c r="AO282" s="25" t="s">
        <v>28</v>
      </c>
      <c r="AP282" s="23" t="s">
        <v>45</v>
      </c>
      <c r="AQ282" s="23" t="s">
        <v>30</v>
      </c>
      <c r="AR282" s="23" t="s">
        <v>46</v>
      </c>
      <c r="AS282" s="25">
        <v>5983394</v>
      </c>
      <c r="AT282" t="s">
        <v>26</v>
      </c>
      <c r="AU282" t="s">
        <v>22571</v>
      </c>
    </row>
    <row r="283" spans="1:47" ht="13.15" x14ac:dyDescent="0.4">
      <c r="A283" s="23" t="s">
        <v>931</v>
      </c>
      <c r="B283" t="s">
        <v>26</v>
      </c>
      <c r="C283" t="s">
        <v>26</v>
      </c>
      <c r="D283" t="s">
        <v>26</v>
      </c>
      <c r="E283" t="s">
        <v>26</v>
      </c>
      <c r="F283" t="s">
        <v>26</v>
      </c>
      <c r="G283" t="s">
        <v>26</v>
      </c>
      <c r="H283" t="s">
        <v>26</v>
      </c>
      <c r="I283" s="25" t="s">
        <v>932</v>
      </c>
      <c r="J283" s="25" t="s">
        <v>932</v>
      </c>
      <c r="K283" t="s">
        <v>26</v>
      </c>
      <c r="L283" s="25" t="s">
        <v>28</v>
      </c>
      <c r="M283" s="25" t="s">
        <v>932</v>
      </c>
      <c r="N283" s="25" t="s">
        <v>932</v>
      </c>
      <c r="O283" t="s">
        <v>26</v>
      </c>
      <c r="P283" t="s">
        <v>26</v>
      </c>
      <c r="Q283" t="s">
        <v>26</v>
      </c>
      <c r="R283" t="s">
        <v>26</v>
      </c>
      <c r="S283" t="s">
        <v>26</v>
      </c>
      <c r="T283" t="s">
        <v>26</v>
      </c>
      <c r="U283" t="s">
        <v>26</v>
      </c>
      <c r="V283" t="s">
        <v>26</v>
      </c>
      <c r="W283" s="25" t="s">
        <v>932</v>
      </c>
      <c r="X283" s="25" t="s">
        <v>932</v>
      </c>
      <c r="Y283" t="s">
        <v>26</v>
      </c>
      <c r="Z283" s="25" t="s">
        <v>932</v>
      </c>
      <c r="AA283" s="25" t="s">
        <v>932</v>
      </c>
      <c r="AB283" t="s">
        <v>26</v>
      </c>
      <c r="AC283" s="25" t="s">
        <v>932</v>
      </c>
      <c r="AD283" s="25" t="s">
        <v>932</v>
      </c>
      <c r="AE283" t="s">
        <v>26</v>
      </c>
      <c r="AF283" t="s">
        <v>26</v>
      </c>
      <c r="AG283" t="s">
        <v>26</v>
      </c>
      <c r="AH283" t="s">
        <v>26</v>
      </c>
      <c r="AI283" t="s">
        <v>26</v>
      </c>
      <c r="AJ283" t="s">
        <v>26</v>
      </c>
      <c r="AK283" t="s">
        <v>26</v>
      </c>
      <c r="AL283" t="s">
        <v>26</v>
      </c>
      <c r="AM283" t="s">
        <v>26</v>
      </c>
      <c r="AN283" t="s">
        <v>26</v>
      </c>
      <c r="AO283" s="25" t="s">
        <v>28</v>
      </c>
      <c r="AP283" s="23" t="s">
        <v>29</v>
      </c>
      <c r="AQ283" s="23" t="s">
        <v>30</v>
      </c>
      <c r="AR283" s="23" t="s">
        <v>46</v>
      </c>
      <c r="AS283" s="25">
        <v>6009030</v>
      </c>
      <c r="AT283" t="s">
        <v>26</v>
      </c>
      <c r="AU283" t="s">
        <v>22572</v>
      </c>
    </row>
    <row r="284" spans="1:47" ht="26.25" x14ac:dyDescent="0.4">
      <c r="A284" s="23" t="s">
        <v>22573</v>
      </c>
      <c r="B284" t="s">
        <v>26</v>
      </c>
      <c r="C284" s="23" t="s">
        <v>73</v>
      </c>
      <c r="D284" s="23" t="s">
        <v>22215</v>
      </c>
      <c r="E284" s="23" t="s">
        <v>74</v>
      </c>
      <c r="F284" s="25" t="s">
        <v>22574</v>
      </c>
      <c r="G284" s="25" t="s">
        <v>22575</v>
      </c>
      <c r="H284" t="s">
        <v>26</v>
      </c>
      <c r="I284" t="s">
        <v>26</v>
      </c>
      <c r="J284" t="s">
        <v>26</v>
      </c>
      <c r="K284" t="s">
        <v>26</v>
      </c>
      <c r="L284" s="25" t="s">
        <v>68</v>
      </c>
      <c r="M284" t="s">
        <v>26</v>
      </c>
      <c r="N284" t="s">
        <v>26</v>
      </c>
      <c r="O284" t="s">
        <v>26</v>
      </c>
      <c r="P284" t="s">
        <v>26</v>
      </c>
      <c r="Q284" t="s">
        <v>26</v>
      </c>
      <c r="R284" t="s">
        <v>26</v>
      </c>
      <c r="S284" t="s">
        <v>26</v>
      </c>
      <c r="T284" t="s">
        <v>26</v>
      </c>
      <c r="U284" t="s">
        <v>26</v>
      </c>
      <c r="V284" t="s">
        <v>26</v>
      </c>
      <c r="W284" s="24">
        <v>39600</v>
      </c>
      <c r="X284" s="25" t="s">
        <v>77</v>
      </c>
      <c r="Y284" t="s">
        <v>26</v>
      </c>
      <c r="Z284" s="24">
        <v>39600</v>
      </c>
      <c r="AA284" s="25" t="s">
        <v>77</v>
      </c>
      <c r="AB284" t="s">
        <v>26</v>
      </c>
      <c r="AC284" s="24">
        <v>39600</v>
      </c>
      <c r="AD284" s="25" t="s">
        <v>77</v>
      </c>
      <c r="AE284" t="s">
        <v>26</v>
      </c>
      <c r="AF284" t="s">
        <v>26</v>
      </c>
      <c r="AG284" t="s">
        <v>26</v>
      </c>
      <c r="AH284" t="s">
        <v>26</v>
      </c>
      <c r="AI284" t="s">
        <v>26</v>
      </c>
      <c r="AJ284" t="s">
        <v>26</v>
      </c>
      <c r="AK284" t="s">
        <v>26</v>
      </c>
      <c r="AL284" t="s">
        <v>26</v>
      </c>
      <c r="AM284" t="s">
        <v>26</v>
      </c>
      <c r="AN284" t="s">
        <v>26</v>
      </c>
      <c r="AO284" s="25" t="s">
        <v>68</v>
      </c>
      <c r="AP284" s="23" t="s">
        <v>69</v>
      </c>
      <c r="AQ284" s="23" t="s">
        <v>30</v>
      </c>
      <c r="AR284" s="23" t="s">
        <v>46</v>
      </c>
      <c r="AS284" s="25">
        <v>6420654</v>
      </c>
      <c r="AT284" t="s">
        <v>26</v>
      </c>
      <c r="AU284" t="s">
        <v>22576</v>
      </c>
    </row>
    <row r="285" spans="1:47" ht="26.25" x14ac:dyDescent="0.4">
      <c r="A285" s="23" t="s">
        <v>933</v>
      </c>
      <c r="B285" t="s">
        <v>26</v>
      </c>
      <c r="C285" s="23" t="s">
        <v>73</v>
      </c>
      <c r="D285" s="23" t="s">
        <v>22179</v>
      </c>
      <c r="E285" s="23" t="s">
        <v>74</v>
      </c>
      <c r="F285" s="25" t="s">
        <v>934</v>
      </c>
      <c r="G285" s="25" t="s">
        <v>935</v>
      </c>
      <c r="H285" t="s">
        <v>26</v>
      </c>
      <c r="I285" s="24">
        <v>35431</v>
      </c>
      <c r="J285" s="25" t="s">
        <v>77</v>
      </c>
      <c r="K285" t="s">
        <v>26</v>
      </c>
      <c r="L285" s="25" t="s">
        <v>68</v>
      </c>
      <c r="M285" s="24">
        <v>37987</v>
      </c>
      <c r="N285" s="24">
        <v>42856</v>
      </c>
      <c r="O285" t="s">
        <v>26</v>
      </c>
      <c r="P285" s="24">
        <v>35431</v>
      </c>
      <c r="Q285" s="25" t="s">
        <v>77</v>
      </c>
      <c r="R285" t="s">
        <v>26</v>
      </c>
      <c r="S285" t="s">
        <v>26</v>
      </c>
      <c r="T285" t="s">
        <v>26</v>
      </c>
      <c r="U285" t="s">
        <v>26</v>
      </c>
      <c r="V285" s="25">
        <v>365</v>
      </c>
      <c r="W285" s="24">
        <v>35431</v>
      </c>
      <c r="X285" s="25" t="s">
        <v>77</v>
      </c>
      <c r="Y285" t="s">
        <v>26</v>
      </c>
      <c r="Z285" s="24">
        <v>35431</v>
      </c>
      <c r="AA285" s="25" t="s">
        <v>77</v>
      </c>
      <c r="AB285" t="s">
        <v>26</v>
      </c>
      <c r="AC285" s="24">
        <v>35431</v>
      </c>
      <c r="AD285" s="25" t="s">
        <v>77</v>
      </c>
      <c r="AE285" t="s">
        <v>26</v>
      </c>
      <c r="AF285" t="s">
        <v>26</v>
      </c>
      <c r="AG285" t="s">
        <v>26</v>
      </c>
      <c r="AH285" t="s">
        <v>26</v>
      </c>
      <c r="AI285" t="s">
        <v>26</v>
      </c>
      <c r="AJ285" t="s">
        <v>26</v>
      </c>
      <c r="AK285" t="s">
        <v>26</v>
      </c>
      <c r="AL285" t="s">
        <v>26</v>
      </c>
      <c r="AM285" t="s">
        <v>26</v>
      </c>
      <c r="AN285" t="s">
        <v>26</v>
      </c>
      <c r="AO285" s="25" t="s">
        <v>68</v>
      </c>
      <c r="AP285" s="23" t="s">
        <v>69</v>
      </c>
      <c r="AQ285" s="23" t="s">
        <v>30</v>
      </c>
      <c r="AR285" s="23" t="s">
        <v>936</v>
      </c>
      <c r="AS285" s="25">
        <v>48147</v>
      </c>
      <c r="AT285" t="s">
        <v>26</v>
      </c>
      <c r="AU285" t="s">
        <v>22577</v>
      </c>
    </row>
    <row r="286" spans="1:47" ht="26.25" x14ac:dyDescent="0.4">
      <c r="A286" s="23" t="s">
        <v>937</v>
      </c>
      <c r="B286" t="s">
        <v>26</v>
      </c>
      <c r="C286" s="23" t="s">
        <v>107</v>
      </c>
      <c r="D286" s="23" t="s">
        <v>22194</v>
      </c>
      <c r="E286" s="23" t="s">
        <v>42</v>
      </c>
      <c r="F286" s="25" t="s">
        <v>938</v>
      </c>
      <c r="G286" s="25" t="s">
        <v>939</v>
      </c>
      <c r="H286" t="s">
        <v>26</v>
      </c>
      <c r="I286" t="s">
        <v>26</v>
      </c>
      <c r="J286" t="s">
        <v>26</v>
      </c>
      <c r="K286" t="s">
        <v>26</v>
      </c>
      <c r="L286" s="25" t="s">
        <v>68</v>
      </c>
      <c r="M286" t="s">
        <v>26</v>
      </c>
      <c r="N286" t="s">
        <v>26</v>
      </c>
      <c r="O286" t="s">
        <v>26</v>
      </c>
      <c r="P286" t="s">
        <v>26</v>
      </c>
      <c r="Q286" t="s">
        <v>26</v>
      </c>
      <c r="R286" t="s">
        <v>26</v>
      </c>
      <c r="S286" t="s">
        <v>26</v>
      </c>
      <c r="T286" t="s">
        <v>26</v>
      </c>
      <c r="U286" t="s">
        <v>26</v>
      </c>
      <c r="V286" t="s">
        <v>26</v>
      </c>
      <c r="W286" s="24">
        <v>35065</v>
      </c>
      <c r="X286" s="25" t="s">
        <v>77</v>
      </c>
      <c r="Y286" t="s">
        <v>26</v>
      </c>
      <c r="Z286" s="24">
        <v>35065</v>
      </c>
      <c r="AA286" s="25" t="s">
        <v>77</v>
      </c>
      <c r="AB286" t="s">
        <v>26</v>
      </c>
      <c r="AC286" s="24">
        <v>35065</v>
      </c>
      <c r="AD286" s="25" t="s">
        <v>77</v>
      </c>
      <c r="AE286" t="s">
        <v>26</v>
      </c>
      <c r="AF286" t="s">
        <v>26</v>
      </c>
      <c r="AG286" t="s">
        <v>26</v>
      </c>
      <c r="AH286" t="s">
        <v>26</v>
      </c>
      <c r="AI286" t="s">
        <v>26</v>
      </c>
      <c r="AJ286" t="s">
        <v>26</v>
      </c>
      <c r="AK286" t="s">
        <v>26</v>
      </c>
      <c r="AL286" t="s">
        <v>26</v>
      </c>
      <c r="AM286" t="s">
        <v>26</v>
      </c>
      <c r="AN286" t="s">
        <v>26</v>
      </c>
      <c r="AO286" s="25" t="s">
        <v>68</v>
      </c>
      <c r="AP286" s="23" t="s">
        <v>69</v>
      </c>
      <c r="AQ286" s="23" t="s">
        <v>30</v>
      </c>
      <c r="AR286" s="23" t="s">
        <v>46</v>
      </c>
      <c r="AS286" s="25">
        <v>37698</v>
      </c>
      <c r="AT286" t="s">
        <v>26</v>
      </c>
      <c r="AU286" t="s">
        <v>22578</v>
      </c>
    </row>
    <row r="287" spans="1:47" ht="26.25" x14ac:dyDescent="0.4">
      <c r="A287" s="23" t="s">
        <v>940</v>
      </c>
      <c r="B287" t="s">
        <v>26</v>
      </c>
      <c r="C287" s="23" t="s">
        <v>941</v>
      </c>
      <c r="D287" s="23" t="s">
        <v>22579</v>
      </c>
      <c r="E287" s="23" t="s">
        <v>42</v>
      </c>
      <c r="F287" s="25" t="s">
        <v>942</v>
      </c>
      <c r="G287" s="25" t="s">
        <v>943</v>
      </c>
      <c r="H287" t="s">
        <v>26</v>
      </c>
      <c r="I287" s="24">
        <v>38292</v>
      </c>
      <c r="J287" s="24">
        <v>40483</v>
      </c>
      <c r="K287" t="s">
        <v>26</v>
      </c>
      <c r="L287" s="25" t="s">
        <v>68</v>
      </c>
      <c r="M287" s="24">
        <v>38292</v>
      </c>
      <c r="N287" s="24">
        <v>40483</v>
      </c>
      <c r="O287" t="s">
        <v>26</v>
      </c>
      <c r="P287" s="24">
        <v>38292</v>
      </c>
      <c r="Q287" s="24">
        <v>40483</v>
      </c>
      <c r="R287" t="s">
        <v>26</v>
      </c>
      <c r="S287" t="s">
        <v>26</v>
      </c>
      <c r="T287" t="s">
        <v>26</v>
      </c>
      <c r="U287" t="s">
        <v>26</v>
      </c>
      <c r="V287" t="s">
        <v>26</v>
      </c>
      <c r="W287" s="24">
        <v>38292</v>
      </c>
      <c r="X287" s="24">
        <v>40483</v>
      </c>
      <c r="Y287" t="s">
        <v>26</v>
      </c>
      <c r="Z287" s="24">
        <v>38292</v>
      </c>
      <c r="AA287" s="24">
        <v>40483</v>
      </c>
      <c r="AB287" t="s">
        <v>26</v>
      </c>
      <c r="AC287" s="24">
        <v>38292</v>
      </c>
      <c r="AD287" s="24">
        <v>40483</v>
      </c>
      <c r="AE287" t="s">
        <v>26</v>
      </c>
      <c r="AF287" t="s">
        <v>26</v>
      </c>
      <c r="AG287" t="s">
        <v>26</v>
      </c>
      <c r="AH287" t="s">
        <v>26</v>
      </c>
      <c r="AI287" t="s">
        <v>26</v>
      </c>
      <c r="AJ287" t="s">
        <v>26</v>
      </c>
      <c r="AK287" t="s">
        <v>26</v>
      </c>
      <c r="AL287" t="s">
        <v>26</v>
      </c>
      <c r="AM287" t="s">
        <v>26</v>
      </c>
      <c r="AN287" t="s">
        <v>26</v>
      </c>
      <c r="AO287" s="25" t="s">
        <v>68</v>
      </c>
      <c r="AP287" s="23" t="s">
        <v>69</v>
      </c>
      <c r="AQ287" s="23" t="s">
        <v>30</v>
      </c>
      <c r="AR287" s="23" t="s">
        <v>385</v>
      </c>
      <c r="AS287" s="25">
        <v>28877</v>
      </c>
      <c r="AT287" t="s">
        <v>26</v>
      </c>
      <c r="AU287" t="s">
        <v>22580</v>
      </c>
    </row>
    <row r="288" spans="1:47" ht="26.25" x14ac:dyDescent="0.4">
      <c r="A288" s="23" t="s">
        <v>944</v>
      </c>
      <c r="B288" t="s">
        <v>26</v>
      </c>
      <c r="C288" s="23" t="s">
        <v>73</v>
      </c>
      <c r="D288" s="23" t="s">
        <v>22179</v>
      </c>
      <c r="E288" s="23" t="s">
        <v>74</v>
      </c>
      <c r="F288" t="s">
        <v>26</v>
      </c>
      <c r="G288" s="25" t="s">
        <v>943</v>
      </c>
      <c r="H288" t="s">
        <v>26</v>
      </c>
      <c r="I288" s="24">
        <v>40603</v>
      </c>
      <c r="J288" s="24">
        <v>41791</v>
      </c>
      <c r="K288" t="s">
        <v>26</v>
      </c>
      <c r="L288" s="25" t="s">
        <v>68</v>
      </c>
      <c r="M288" s="24">
        <v>40603</v>
      </c>
      <c r="N288" s="24">
        <v>41791</v>
      </c>
      <c r="O288" t="s">
        <v>26</v>
      </c>
      <c r="P288" s="24">
        <v>40603</v>
      </c>
      <c r="Q288" s="24">
        <v>41791</v>
      </c>
      <c r="R288" t="s">
        <v>26</v>
      </c>
      <c r="S288" t="s">
        <v>26</v>
      </c>
      <c r="T288" t="s">
        <v>26</v>
      </c>
      <c r="U288" t="s">
        <v>26</v>
      </c>
      <c r="V288" t="s">
        <v>26</v>
      </c>
      <c r="W288" s="24">
        <v>40603</v>
      </c>
      <c r="X288" s="25" t="s">
        <v>77</v>
      </c>
      <c r="Y288" t="s">
        <v>26</v>
      </c>
      <c r="Z288" s="24">
        <v>40603</v>
      </c>
      <c r="AA288" s="25" t="s">
        <v>77</v>
      </c>
      <c r="AB288" t="s">
        <v>26</v>
      </c>
      <c r="AC288" s="24">
        <v>40603</v>
      </c>
      <c r="AD288" s="25" t="s">
        <v>77</v>
      </c>
      <c r="AE288" t="s">
        <v>26</v>
      </c>
      <c r="AF288" t="s">
        <v>26</v>
      </c>
      <c r="AG288" t="s">
        <v>26</v>
      </c>
      <c r="AH288" t="s">
        <v>26</v>
      </c>
      <c r="AI288" t="s">
        <v>26</v>
      </c>
      <c r="AJ288" t="s">
        <v>26</v>
      </c>
      <c r="AK288" t="s">
        <v>26</v>
      </c>
      <c r="AL288" t="s">
        <v>26</v>
      </c>
      <c r="AM288" t="s">
        <v>26</v>
      </c>
      <c r="AN288" t="s">
        <v>26</v>
      </c>
      <c r="AO288" s="25" t="s">
        <v>68</v>
      </c>
      <c r="AP288" s="23" t="s">
        <v>69</v>
      </c>
      <c r="AQ288" s="23" t="s">
        <v>30</v>
      </c>
      <c r="AR288" s="23" t="s">
        <v>46</v>
      </c>
      <c r="AS288" s="25">
        <v>976348</v>
      </c>
      <c r="AT288" t="s">
        <v>26</v>
      </c>
      <c r="AU288" t="s">
        <v>22581</v>
      </c>
    </row>
    <row r="289" spans="1:47" ht="26.25" x14ac:dyDescent="0.4">
      <c r="A289" s="23" t="s">
        <v>945</v>
      </c>
      <c r="B289" t="s">
        <v>26</v>
      </c>
      <c r="C289" s="23" t="s">
        <v>946</v>
      </c>
      <c r="D289" s="23" t="s">
        <v>22582</v>
      </c>
      <c r="E289" s="23" t="s">
        <v>42</v>
      </c>
      <c r="F289" s="25" t="s">
        <v>947</v>
      </c>
      <c r="G289" s="25" t="s">
        <v>948</v>
      </c>
      <c r="H289" t="s">
        <v>26</v>
      </c>
      <c r="I289" t="s">
        <v>26</v>
      </c>
      <c r="J289" t="s">
        <v>26</v>
      </c>
      <c r="K289" t="s">
        <v>26</v>
      </c>
      <c r="L289" s="25" t="s">
        <v>68</v>
      </c>
      <c r="M289" t="s">
        <v>26</v>
      </c>
      <c r="N289" t="s">
        <v>26</v>
      </c>
      <c r="O289" t="s">
        <v>26</v>
      </c>
      <c r="P289" t="s">
        <v>26</v>
      </c>
      <c r="Q289" t="s">
        <v>26</v>
      </c>
      <c r="R289" t="s">
        <v>26</v>
      </c>
      <c r="S289" t="s">
        <v>26</v>
      </c>
      <c r="T289" t="s">
        <v>26</v>
      </c>
      <c r="U289" t="s">
        <v>26</v>
      </c>
      <c r="V289" t="s">
        <v>26</v>
      </c>
      <c r="W289" s="24">
        <v>33604</v>
      </c>
      <c r="X289" s="24">
        <v>42614</v>
      </c>
      <c r="Y289" t="s">
        <v>26</v>
      </c>
      <c r="Z289" s="24">
        <v>33604</v>
      </c>
      <c r="AA289" s="24">
        <v>42614</v>
      </c>
      <c r="AB289" t="s">
        <v>26</v>
      </c>
      <c r="AC289" s="24">
        <v>33604</v>
      </c>
      <c r="AD289" s="24">
        <v>42614</v>
      </c>
      <c r="AE289" t="s">
        <v>26</v>
      </c>
      <c r="AF289" t="s">
        <v>26</v>
      </c>
      <c r="AG289" t="s">
        <v>26</v>
      </c>
      <c r="AH289" t="s">
        <v>26</v>
      </c>
      <c r="AI289" t="s">
        <v>26</v>
      </c>
      <c r="AJ289" t="s">
        <v>26</v>
      </c>
      <c r="AK289" t="s">
        <v>26</v>
      </c>
      <c r="AL289" t="s">
        <v>26</v>
      </c>
      <c r="AM289" t="s">
        <v>26</v>
      </c>
      <c r="AN289" t="s">
        <v>26</v>
      </c>
      <c r="AO289" s="25" t="s">
        <v>68</v>
      </c>
      <c r="AP289" s="23" t="s">
        <v>69</v>
      </c>
      <c r="AQ289" s="23" t="s">
        <v>30</v>
      </c>
      <c r="AR289" s="23" t="s">
        <v>46</v>
      </c>
      <c r="AS289" s="25">
        <v>29855</v>
      </c>
      <c r="AT289" t="s">
        <v>26</v>
      </c>
      <c r="AU289" t="s">
        <v>22583</v>
      </c>
    </row>
    <row r="290" spans="1:47" ht="26.25" x14ac:dyDescent="0.4">
      <c r="A290" s="23" t="s">
        <v>949</v>
      </c>
      <c r="B290" t="s">
        <v>26</v>
      </c>
      <c r="C290" s="23" t="s">
        <v>950</v>
      </c>
      <c r="D290" s="23" t="s">
        <v>22218</v>
      </c>
      <c r="E290" s="23" t="s">
        <v>42</v>
      </c>
      <c r="F290" s="25" t="s">
        <v>951</v>
      </c>
      <c r="G290" t="s">
        <v>26</v>
      </c>
      <c r="H290" t="s">
        <v>26</v>
      </c>
      <c r="I290" s="24">
        <v>35704</v>
      </c>
      <c r="J290" s="24">
        <v>40179</v>
      </c>
      <c r="K290" t="s">
        <v>26</v>
      </c>
      <c r="L290" s="25" t="s">
        <v>68</v>
      </c>
      <c r="M290" s="24">
        <v>35704</v>
      </c>
      <c r="N290" s="24">
        <v>40179</v>
      </c>
      <c r="O290" t="s">
        <v>26</v>
      </c>
      <c r="P290" s="24">
        <v>35704</v>
      </c>
      <c r="Q290" s="24">
        <v>40179</v>
      </c>
      <c r="R290" t="s">
        <v>26</v>
      </c>
      <c r="S290" t="s">
        <v>26</v>
      </c>
      <c r="T290" t="s">
        <v>26</v>
      </c>
      <c r="U290" t="s">
        <v>26</v>
      </c>
      <c r="V290" t="s">
        <v>26</v>
      </c>
      <c r="W290" s="24">
        <v>35704</v>
      </c>
      <c r="X290" s="24">
        <v>40179</v>
      </c>
      <c r="Y290" t="s">
        <v>26</v>
      </c>
      <c r="Z290" s="24">
        <v>35704</v>
      </c>
      <c r="AA290" s="24">
        <v>40179</v>
      </c>
      <c r="AB290" t="s">
        <v>26</v>
      </c>
      <c r="AC290" t="s">
        <v>26</v>
      </c>
      <c r="AD290" t="s">
        <v>26</v>
      </c>
      <c r="AE290" t="s">
        <v>26</v>
      </c>
      <c r="AF290" t="s">
        <v>26</v>
      </c>
      <c r="AG290" t="s">
        <v>26</v>
      </c>
      <c r="AH290" t="s">
        <v>26</v>
      </c>
      <c r="AI290" t="s">
        <v>26</v>
      </c>
      <c r="AJ290" t="s">
        <v>26</v>
      </c>
      <c r="AK290" t="s">
        <v>26</v>
      </c>
      <c r="AL290" t="s">
        <v>26</v>
      </c>
      <c r="AM290" t="s">
        <v>26</v>
      </c>
      <c r="AN290" t="s">
        <v>26</v>
      </c>
      <c r="AO290" s="25" t="s">
        <v>68</v>
      </c>
      <c r="AP290" s="23" t="s">
        <v>69</v>
      </c>
      <c r="AQ290" s="23" t="s">
        <v>30</v>
      </c>
      <c r="AR290" s="23" t="s">
        <v>46</v>
      </c>
      <c r="AS290" s="25">
        <v>6094</v>
      </c>
      <c r="AT290" t="s">
        <v>26</v>
      </c>
      <c r="AU290" t="s">
        <v>22584</v>
      </c>
    </row>
    <row r="291" spans="1:47" ht="26.25" x14ac:dyDescent="0.4">
      <c r="A291" s="23" t="s">
        <v>949</v>
      </c>
      <c r="B291" t="s">
        <v>26</v>
      </c>
      <c r="C291" s="23" t="s">
        <v>950</v>
      </c>
      <c r="D291" s="23" t="s">
        <v>22585</v>
      </c>
      <c r="E291" s="23" t="s">
        <v>42</v>
      </c>
      <c r="F291" s="25" t="s">
        <v>951</v>
      </c>
      <c r="G291" t="s">
        <v>26</v>
      </c>
      <c r="H291" t="s">
        <v>26</v>
      </c>
      <c r="I291" s="24">
        <v>26573</v>
      </c>
      <c r="J291" s="24">
        <v>36617</v>
      </c>
      <c r="K291" t="s">
        <v>26</v>
      </c>
      <c r="L291" s="25" t="s">
        <v>68</v>
      </c>
      <c r="M291" t="s">
        <v>26</v>
      </c>
      <c r="N291" t="s">
        <v>26</v>
      </c>
      <c r="O291" t="s">
        <v>26</v>
      </c>
      <c r="P291" s="24">
        <v>26573</v>
      </c>
      <c r="Q291" s="24">
        <v>36617</v>
      </c>
      <c r="R291" t="s">
        <v>26</v>
      </c>
      <c r="S291" t="s">
        <v>26</v>
      </c>
      <c r="T291" t="s">
        <v>26</v>
      </c>
      <c r="U291" t="s">
        <v>26</v>
      </c>
      <c r="V291" t="s">
        <v>26</v>
      </c>
      <c r="W291" s="24">
        <v>26573</v>
      </c>
      <c r="X291" s="24">
        <v>36617</v>
      </c>
      <c r="Y291" t="s">
        <v>26</v>
      </c>
      <c r="Z291" s="24">
        <v>26573</v>
      </c>
      <c r="AA291" s="24">
        <v>36617</v>
      </c>
      <c r="AB291" t="s">
        <v>26</v>
      </c>
      <c r="AC291" t="s">
        <v>26</v>
      </c>
      <c r="AD291" t="s">
        <v>26</v>
      </c>
      <c r="AE291" t="s">
        <v>26</v>
      </c>
      <c r="AF291" t="s">
        <v>26</v>
      </c>
      <c r="AG291" t="s">
        <v>26</v>
      </c>
      <c r="AH291" t="s">
        <v>26</v>
      </c>
      <c r="AI291" t="s">
        <v>26</v>
      </c>
      <c r="AJ291" t="s">
        <v>26</v>
      </c>
      <c r="AK291" t="s">
        <v>26</v>
      </c>
      <c r="AL291" t="s">
        <v>26</v>
      </c>
      <c r="AM291" t="s">
        <v>26</v>
      </c>
      <c r="AN291" t="s">
        <v>26</v>
      </c>
      <c r="AO291" s="25" t="s">
        <v>68</v>
      </c>
      <c r="AP291" s="23" t="s">
        <v>69</v>
      </c>
      <c r="AQ291" s="23" t="s">
        <v>30</v>
      </c>
      <c r="AR291" s="23" t="s">
        <v>952</v>
      </c>
      <c r="AS291" s="25">
        <v>1821434</v>
      </c>
      <c r="AT291" t="s">
        <v>26</v>
      </c>
      <c r="AU291" t="s">
        <v>22586</v>
      </c>
    </row>
    <row r="292" spans="1:47" ht="26.25" x14ac:dyDescent="0.4">
      <c r="A292" s="23" t="s">
        <v>953</v>
      </c>
      <c r="B292" t="s">
        <v>26</v>
      </c>
      <c r="C292" s="23" t="s">
        <v>950</v>
      </c>
      <c r="D292" s="23" t="s">
        <v>22587</v>
      </c>
      <c r="E292" s="23" t="s">
        <v>42</v>
      </c>
      <c r="F292" t="s">
        <v>26</v>
      </c>
      <c r="G292" s="25" t="s">
        <v>954</v>
      </c>
      <c r="H292" t="s">
        <v>26</v>
      </c>
      <c r="I292" s="24">
        <v>40544</v>
      </c>
      <c r="J292" s="25" t="s">
        <v>77</v>
      </c>
      <c r="K292" t="s">
        <v>26</v>
      </c>
      <c r="L292" s="25" t="s">
        <v>68</v>
      </c>
      <c r="M292" s="24">
        <v>40544</v>
      </c>
      <c r="N292" s="25" t="s">
        <v>77</v>
      </c>
      <c r="O292" t="s">
        <v>26</v>
      </c>
      <c r="P292" s="24">
        <v>40544</v>
      </c>
      <c r="Q292" s="25" t="s">
        <v>77</v>
      </c>
      <c r="R292" t="s">
        <v>26</v>
      </c>
      <c r="S292" t="s">
        <v>26</v>
      </c>
      <c r="T292" t="s">
        <v>26</v>
      </c>
      <c r="U292" t="s">
        <v>26</v>
      </c>
      <c r="V292" t="s">
        <v>26</v>
      </c>
      <c r="W292" s="24">
        <v>40544</v>
      </c>
      <c r="X292" s="25" t="s">
        <v>77</v>
      </c>
      <c r="Y292" t="s">
        <v>26</v>
      </c>
      <c r="Z292" s="24">
        <v>40544</v>
      </c>
      <c r="AA292" s="25" t="s">
        <v>77</v>
      </c>
      <c r="AB292" t="s">
        <v>26</v>
      </c>
      <c r="AC292" s="24">
        <v>42370</v>
      </c>
      <c r="AD292" s="25" t="s">
        <v>77</v>
      </c>
      <c r="AE292" t="s">
        <v>26</v>
      </c>
      <c r="AF292" t="s">
        <v>26</v>
      </c>
      <c r="AG292" t="s">
        <v>26</v>
      </c>
      <c r="AH292" t="s">
        <v>26</v>
      </c>
      <c r="AI292" t="s">
        <v>26</v>
      </c>
      <c r="AJ292" t="s">
        <v>26</v>
      </c>
      <c r="AK292" t="s">
        <v>26</v>
      </c>
      <c r="AL292" t="s">
        <v>26</v>
      </c>
      <c r="AM292" t="s">
        <v>26</v>
      </c>
      <c r="AN292" t="s">
        <v>26</v>
      </c>
      <c r="AO292" s="25" t="s">
        <v>68</v>
      </c>
      <c r="AP292" s="23" t="s">
        <v>69</v>
      </c>
      <c r="AQ292" s="23" t="s">
        <v>30</v>
      </c>
      <c r="AR292" s="23" t="s">
        <v>46</v>
      </c>
      <c r="AS292" s="25">
        <v>2034343</v>
      </c>
      <c r="AT292" t="s">
        <v>26</v>
      </c>
      <c r="AU292" t="s">
        <v>22588</v>
      </c>
    </row>
    <row r="293" spans="1:47" ht="26.25" x14ac:dyDescent="0.4">
      <c r="A293" s="23" t="s">
        <v>955</v>
      </c>
      <c r="B293" t="s">
        <v>26</v>
      </c>
      <c r="C293" s="23" t="s">
        <v>73</v>
      </c>
      <c r="D293" s="23" t="s">
        <v>22218</v>
      </c>
      <c r="E293" s="23" t="s">
        <v>74</v>
      </c>
      <c r="F293" s="25" t="s">
        <v>956</v>
      </c>
      <c r="G293" s="25" t="s">
        <v>957</v>
      </c>
      <c r="H293" t="s">
        <v>26</v>
      </c>
      <c r="I293" s="24">
        <v>35886</v>
      </c>
      <c r="J293" s="24">
        <v>36251</v>
      </c>
      <c r="K293" t="s">
        <v>26</v>
      </c>
      <c r="L293" s="25" t="s">
        <v>68</v>
      </c>
      <c r="M293" s="24">
        <v>35886</v>
      </c>
      <c r="N293" s="24">
        <v>36251</v>
      </c>
      <c r="O293" t="s">
        <v>26</v>
      </c>
      <c r="P293" s="24">
        <v>35886</v>
      </c>
      <c r="Q293" s="24">
        <v>36251</v>
      </c>
      <c r="R293" t="s">
        <v>26</v>
      </c>
      <c r="S293" t="s">
        <v>26</v>
      </c>
      <c r="T293" t="s">
        <v>26</v>
      </c>
      <c r="U293" t="s">
        <v>26</v>
      </c>
      <c r="V293" t="s">
        <v>26</v>
      </c>
      <c r="W293" s="24">
        <v>35886</v>
      </c>
      <c r="X293" s="24">
        <v>36251</v>
      </c>
      <c r="Y293" t="s">
        <v>26</v>
      </c>
      <c r="Z293" s="24">
        <v>35886</v>
      </c>
      <c r="AA293" s="24">
        <v>36251</v>
      </c>
      <c r="AB293" t="s">
        <v>26</v>
      </c>
      <c r="AC293" t="s">
        <v>26</v>
      </c>
      <c r="AD293" t="s">
        <v>26</v>
      </c>
      <c r="AE293" t="s">
        <v>26</v>
      </c>
      <c r="AF293" t="s">
        <v>26</v>
      </c>
      <c r="AG293" t="s">
        <v>26</v>
      </c>
      <c r="AH293" t="s">
        <v>26</v>
      </c>
      <c r="AI293" t="s">
        <v>26</v>
      </c>
      <c r="AJ293" t="s">
        <v>26</v>
      </c>
      <c r="AK293" t="s">
        <v>26</v>
      </c>
      <c r="AL293" t="s">
        <v>26</v>
      </c>
      <c r="AM293" t="s">
        <v>26</v>
      </c>
      <c r="AN293" t="s">
        <v>26</v>
      </c>
      <c r="AO293" s="25" t="s">
        <v>68</v>
      </c>
      <c r="AP293" s="23" t="s">
        <v>69</v>
      </c>
      <c r="AQ293" s="23" t="s">
        <v>30</v>
      </c>
      <c r="AR293" s="23" t="s">
        <v>257</v>
      </c>
      <c r="AS293" s="25">
        <v>32980</v>
      </c>
      <c r="AT293" t="s">
        <v>26</v>
      </c>
      <c r="AU293" t="s">
        <v>22589</v>
      </c>
    </row>
    <row r="294" spans="1:47" ht="26.25" x14ac:dyDescent="0.4">
      <c r="A294" s="23" t="s">
        <v>955</v>
      </c>
      <c r="B294" t="s">
        <v>26</v>
      </c>
      <c r="C294" s="23" t="s">
        <v>73</v>
      </c>
      <c r="D294" s="23" t="s">
        <v>22179</v>
      </c>
      <c r="E294" s="23" t="s">
        <v>74</v>
      </c>
      <c r="F294" s="25" t="s">
        <v>956</v>
      </c>
      <c r="G294" s="25" t="s">
        <v>957</v>
      </c>
      <c r="H294" t="s">
        <v>26</v>
      </c>
      <c r="I294" s="24">
        <v>37165</v>
      </c>
      <c r="J294" s="24">
        <v>43101</v>
      </c>
      <c r="K294" t="s">
        <v>26</v>
      </c>
      <c r="L294" s="25" t="s">
        <v>68</v>
      </c>
      <c r="M294" s="24">
        <v>37165</v>
      </c>
      <c r="N294" s="24">
        <v>43101</v>
      </c>
      <c r="O294" t="s">
        <v>26</v>
      </c>
      <c r="P294" s="24">
        <v>37165</v>
      </c>
      <c r="Q294" s="24">
        <v>43101</v>
      </c>
      <c r="R294" t="s">
        <v>26</v>
      </c>
      <c r="S294" t="s">
        <v>26</v>
      </c>
      <c r="T294" t="s">
        <v>26</v>
      </c>
      <c r="U294" t="s">
        <v>26</v>
      </c>
      <c r="V294" t="s">
        <v>26</v>
      </c>
      <c r="W294" s="24">
        <v>37165</v>
      </c>
      <c r="X294" s="25" t="s">
        <v>77</v>
      </c>
      <c r="Y294" t="s">
        <v>26</v>
      </c>
      <c r="Z294" s="24">
        <v>37165</v>
      </c>
      <c r="AA294" s="25" t="s">
        <v>77</v>
      </c>
      <c r="AB294" t="s">
        <v>26</v>
      </c>
      <c r="AC294" s="24">
        <v>37165</v>
      </c>
      <c r="AD294" s="25" t="s">
        <v>77</v>
      </c>
      <c r="AE294" t="s">
        <v>26</v>
      </c>
      <c r="AF294" t="s">
        <v>26</v>
      </c>
      <c r="AG294" t="s">
        <v>26</v>
      </c>
      <c r="AH294" t="s">
        <v>26</v>
      </c>
      <c r="AI294" t="s">
        <v>26</v>
      </c>
      <c r="AJ294" t="s">
        <v>26</v>
      </c>
      <c r="AK294" t="s">
        <v>26</v>
      </c>
      <c r="AL294" t="s">
        <v>26</v>
      </c>
      <c r="AM294" t="s">
        <v>26</v>
      </c>
      <c r="AN294" t="s">
        <v>26</v>
      </c>
      <c r="AO294" s="25" t="s">
        <v>68</v>
      </c>
      <c r="AP294" s="23" t="s">
        <v>69</v>
      </c>
      <c r="AQ294" s="23" t="s">
        <v>30</v>
      </c>
      <c r="AR294" s="23" t="s">
        <v>257</v>
      </c>
      <c r="AS294" s="25">
        <v>32981</v>
      </c>
      <c r="AT294" t="s">
        <v>26</v>
      </c>
      <c r="AU294" t="s">
        <v>22590</v>
      </c>
    </row>
    <row r="295" spans="1:47" ht="26.25" x14ac:dyDescent="0.4">
      <c r="A295" s="23" t="s">
        <v>958</v>
      </c>
      <c r="B295" t="s">
        <v>26</v>
      </c>
      <c r="C295" s="23" t="s">
        <v>107</v>
      </c>
      <c r="D295" s="23" t="s">
        <v>22591</v>
      </c>
      <c r="E295" s="23" t="s">
        <v>42</v>
      </c>
      <c r="F295" s="25" t="s">
        <v>959</v>
      </c>
      <c r="G295" s="25" t="s">
        <v>960</v>
      </c>
      <c r="H295" t="s">
        <v>26</v>
      </c>
      <c r="I295" s="24">
        <v>27515</v>
      </c>
      <c r="J295" s="24">
        <v>43405</v>
      </c>
      <c r="K295" t="s">
        <v>26</v>
      </c>
      <c r="L295" s="25" t="s">
        <v>68</v>
      </c>
      <c r="M295" s="24">
        <v>27515</v>
      </c>
      <c r="N295" s="24">
        <v>43405</v>
      </c>
      <c r="O295" t="s">
        <v>26</v>
      </c>
      <c r="P295" s="24">
        <v>27515</v>
      </c>
      <c r="Q295" s="24">
        <v>43405</v>
      </c>
      <c r="R295" t="s">
        <v>26</v>
      </c>
      <c r="S295" t="s">
        <v>26</v>
      </c>
      <c r="T295" t="s">
        <v>26</v>
      </c>
      <c r="U295" t="s">
        <v>26</v>
      </c>
      <c r="V295" t="s">
        <v>26</v>
      </c>
      <c r="W295" s="24">
        <v>27515</v>
      </c>
      <c r="X295" s="25" t="s">
        <v>77</v>
      </c>
      <c r="Y295" t="s">
        <v>26</v>
      </c>
      <c r="Z295" s="24">
        <v>27515</v>
      </c>
      <c r="AA295" s="25" t="s">
        <v>77</v>
      </c>
      <c r="AB295" t="s">
        <v>26</v>
      </c>
      <c r="AC295" s="24">
        <v>27515</v>
      </c>
      <c r="AD295" s="25" t="s">
        <v>77</v>
      </c>
      <c r="AE295" s="25" t="s">
        <v>22592</v>
      </c>
      <c r="AF295" t="s">
        <v>26</v>
      </c>
      <c r="AG295" t="s">
        <v>26</v>
      </c>
      <c r="AH295" t="s">
        <v>26</v>
      </c>
      <c r="AI295" t="s">
        <v>26</v>
      </c>
      <c r="AJ295" t="s">
        <v>26</v>
      </c>
      <c r="AK295" t="s">
        <v>26</v>
      </c>
      <c r="AL295" t="s">
        <v>26</v>
      </c>
      <c r="AM295" t="s">
        <v>26</v>
      </c>
      <c r="AN295" t="s">
        <v>26</v>
      </c>
      <c r="AO295" s="25" t="s">
        <v>68</v>
      </c>
      <c r="AP295" s="23" t="s">
        <v>69</v>
      </c>
      <c r="AQ295" s="23" t="s">
        <v>30</v>
      </c>
      <c r="AR295" s="23" t="s">
        <v>569</v>
      </c>
      <c r="AS295" s="25">
        <v>48220</v>
      </c>
      <c r="AT295" t="s">
        <v>26</v>
      </c>
      <c r="AU295" t="s">
        <v>22593</v>
      </c>
    </row>
    <row r="296" spans="1:47" ht="26.25" x14ac:dyDescent="0.4">
      <c r="A296" s="23" t="s">
        <v>961</v>
      </c>
      <c r="B296" t="s">
        <v>26</v>
      </c>
      <c r="C296" s="23" t="s">
        <v>351</v>
      </c>
      <c r="D296" s="23" t="s">
        <v>22242</v>
      </c>
      <c r="E296" s="23" t="s">
        <v>60</v>
      </c>
      <c r="F296" s="25" t="s">
        <v>962</v>
      </c>
      <c r="G296" s="25" t="s">
        <v>963</v>
      </c>
      <c r="H296" t="s">
        <v>26</v>
      </c>
      <c r="I296" t="s">
        <v>26</v>
      </c>
      <c r="J296" t="s">
        <v>26</v>
      </c>
      <c r="K296" t="s">
        <v>26</v>
      </c>
      <c r="L296" s="25" t="s">
        <v>68</v>
      </c>
      <c r="M296" t="s">
        <v>26</v>
      </c>
      <c r="N296" t="s">
        <v>26</v>
      </c>
      <c r="O296" t="s">
        <v>26</v>
      </c>
      <c r="P296" t="s">
        <v>26</v>
      </c>
      <c r="Q296" t="s">
        <v>26</v>
      </c>
      <c r="R296" t="s">
        <v>26</v>
      </c>
      <c r="S296" t="s">
        <v>26</v>
      </c>
      <c r="T296" t="s">
        <v>26</v>
      </c>
      <c r="U296" t="s">
        <v>26</v>
      </c>
      <c r="V296" t="s">
        <v>26</v>
      </c>
      <c r="W296" s="24">
        <v>36161</v>
      </c>
      <c r="X296" s="24">
        <v>43282</v>
      </c>
      <c r="Y296" t="s">
        <v>26</v>
      </c>
      <c r="Z296" s="24">
        <v>36161</v>
      </c>
      <c r="AA296" s="24">
        <v>43282</v>
      </c>
      <c r="AB296" t="s">
        <v>26</v>
      </c>
      <c r="AC296" s="24">
        <v>36161</v>
      </c>
      <c r="AD296" s="24">
        <v>39995</v>
      </c>
      <c r="AE296" t="s">
        <v>26</v>
      </c>
      <c r="AF296" t="s">
        <v>26</v>
      </c>
      <c r="AG296" t="s">
        <v>26</v>
      </c>
      <c r="AH296" t="s">
        <v>26</v>
      </c>
      <c r="AI296" t="s">
        <v>26</v>
      </c>
      <c r="AJ296" t="s">
        <v>26</v>
      </c>
      <c r="AK296" t="s">
        <v>26</v>
      </c>
      <c r="AL296" t="s">
        <v>26</v>
      </c>
      <c r="AM296" t="s">
        <v>26</v>
      </c>
      <c r="AN296" t="s">
        <v>26</v>
      </c>
      <c r="AO296" s="25" t="s">
        <v>68</v>
      </c>
      <c r="AP296" s="23" t="s">
        <v>69</v>
      </c>
      <c r="AQ296" s="23" t="s">
        <v>30</v>
      </c>
      <c r="AR296" s="23" t="s">
        <v>964</v>
      </c>
      <c r="AS296" s="25">
        <v>30428</v>
      </c>
      <c r="AT296" t="s">
        <v>26</v>
      </c>
      <c r="AU296" t="s">
        <v>22594</v>
      </c>
    </row>
    <row r="297" spans="1:47" ht="26.25" x14ac:dyDescent="0.4">
      <c r="A297" s="23" t="s">
        <v>965</v>
      </c>
      <c r="B297" t="s">
        <v>26</v>
      </c>
      <c r="C297" s="23" t="s">
        <v>73</v>
      </c>
      <c r="D297" s="23" t="s">
        <v>22215</v>
      </c>
      <c r="E297" s="23" t="s">
        <v>74</v>
      </c>
      <c r="F297" s="25" t="s">
        <v>966</v>
      </c>
      <c r="G297" s="25" t="s">
        <v>967</v>
      </c>
      <c r="H297" t="s">
        <v>26</v>
      </c>
      <c r="I297" s="24">
        <v>37622</v>
      </c>
      <c r="J297" s="25" t="s">
        <v>77</v>
      </c>
      <c r="K297" t="s">
        <v>26</v>
      </c>
      <c r="L297" s="25" t="s">
        <v>68</v>
      </c>
      <c r="M297" s="24">
        <v>37987</v>
      </c>
      <c r="N297" s="24">
        <v>42826</v>
      </c>
      <c r="O297" t="s">
        <v>26</v>
      </c>
      <c r="P297" s="24">
        <v>37622</v>
      </c>
      <c r="Q297" s="25" t="s">
        <v>77</v>
      </c>
      <c r="R297" t="s">
        <v>26</v>
      </c>
      <c r="S297" t="s">
        <v>26</v>
      </c>
      <c r="T297" t="s">
        <v>26</v>
      </c>
      <c r="U297" t="s">
        <v>26</v>
      </c>
      <c r="V297" s="25">
        <v>365</v>
      </c>
      <c r="W297" s="24">
        <v>37622</v>
      </c>
      <c r="X297" s="25" t="s">
        <v>77</v>
      </c>
      <c r="Y297" t="s">
        <v>26</v>
      </c>
      <c r="Z297" s="24">
        <v>37622</v>
      </c>
      <c r="AA297" s="25" t="s">
        <v>77</v>
      </c>
      <c r="AB297" t="s">
        <v>26</v>
      </c>
      <c r="AC297" s="24">
        <v>37622</v>
      </c>
      <c r="AD297" s="25" t="s">
        <v>77</v>
      </c>
      <c r="AE297" t="s">
        <v>26</v>
      </c>
      <c r="AF297" t="s">
        <v>26</v>
      </c>
      <c r="AG297" t="s">
        <v>26</v>
      </c>
      <c r="AH297" t="s">
        <v>26</v>
      </c>
      <c r="AI297" t="s">
        <v>26</v>
      </c>
      <c r="AJ297" t="s">
        <v>26</v>
      </c>
      <c r="AK297" t="s">
        <v>26</v>
      </c>
      <c r="AL297" t="s">
        <v>26</v>
      </c>
      <c r="AM297" t="s">
        <v>26</v>
      </c>
      <c r="AN297" t="s">
        <v>26</v>
      </c>
      <c r="AO297" s="25" t="s">
        <v>68</v>
      </c>
      <c r="AP297" s="23" t="s">
        <v>69</v>
      </c>
      <c r="AQ297" s="23" t="s">
        <v>30</v>
      </c>
      <c r="AR297" s="23" t="s">
        <v>968</v>
      </c>
      <c r="AS297" s="25">
        <v>54055</v>
      </c>
      <c r="AT297" t="s">
        <v>26</v>
      </c>
      <c r="AU297" t="s">
        <v>22595</v>
      </c>
    </row>
    <row r="298" spans="1:47" ht="26.25" x14ac:dyDescent="0.4">
      <c r="A298" s="23" t="s">
        <v>969</v>
      </c>
      <c r="B298" t="s">
        <v>26</v>
      </c>
      <c r="C298" s="23" t="s">
        <v>970</v>
      </c>
      <c r="D298" s="23" t="s">
        <v>22596</v>
      </c>
      <c r="E298" s="23" t="s">
        <v>42</v>
      </c>
      <c r="F298" s="25" t="s">
        <v>971</v>
      </c>
      <c r="G298" t="s">
        <v>26</v>
      </c>
      <c r="H298" t="s">
        <v>26</v>
      </c>
      <c r="I298" s="24">
        <v>34335</v>
      </c>
      <c r="J298" s="24">
        <v>38657</v>
      </c>
      <c r="K298" s="25" t="s">
        <v>972</v>
      </c>
      <c r="L298" s="25" t="s">
        <v>28</v>
      </c>
      <c r="M298" s="24">
        <v>34335</v>
      </c>
      <c r="N298" s="24">
        <v>38657</v>
      </c>
      <c r="O298" s="25" t="s">
        <v>972</v>
      </c>
      <c r="P298" s="24">
        <v>35186</v>
      </c>
      <c r="Q298" s="24">
        <v>38657</v>
      </c>
      <c r="R298" s="25" t="s">
        <v>972</v>
      </c>
      <c r="S298" t="s">
        <v>26</v>
      </c>
      <c r="T298" t="s">
        <v>26</v>
      </c>
      <c r="U298" t="s">
        <v>26</v>
      </c>
      <c r="V298" t="s">
        <v>26</v>
      </c>
      <c r="W298" s="24">
        <v>33970</v>
      </c>
      <c r="X298" s="24">
        <v>38657</v>
      </c>
      <c r="Y298" t="s">
        <v>26</v>
      </c>
      <c r="Z298" s="24">
        <v>33970</v>
      </c>
      <c r="AA298" s="24">
        <v>38657</v>
      </c>
      <c r="AB298" t="s">
        <v>26</v>
      </c>
      <c r="AC298" s="24">
        <v>33970</v>
      </c>
      <c r="AD298" s="24">
        <v>38657</v>
      </c>
      <c r="AE298" t="s">
        <v>26</v>
      </c>
      <c r="AF298" t="s">
        <v>26</v>
      </c>
      <c r="AG298" t="s">
        <v>26</v>
      </c>
      <c r="AH298" t="s">
        <v>26</v>
      </c>
      <c r="AI298" t="s">
        <v>26</v>
      </c>
      <c r="AJ298" t="s">
        <v>26</v>
      </c>
      <c r="AK298" t="s">
        <v>26</v>
      </c>
      <c r="AL298" t="s">
        <v>26</v>
      </c>
      <c r="AM298" t="s">
        <v>26</v>
      </c>
      <c r="AN298" t="s">
        <v>26</v>
      </c>
      <c r="AO298" s="25" t="s">
        <v>28</v>
      </c>
      <c r="AP298" s="23" t="s">
        <v>211</v>
      </c>
      <c r="AQ298" s="23" t="s">
        <v>30</v>
      </c>
      <c r="AR298" s="23" t="s">
        <v>511</v>
      </c>
      <c r="AS298" s="25">
        <v>32449</v>
      </c>
      <c r="AT298" t="s">
        <v>26</v>
      </c>
      <c r="AU298" t="s">
        <v>22597</v>
      </c>
    </row>
    <row r="299" spans="1:47" ht="13.15" x14ac:dyDescent="0.4">
      <c r="A299" s="23" t="s">
        <v>973</v>
      </c>
      <c r="B299" t="s">
        <v>26</v>
      </c>
      <c r="C299" s="23" t="s">
        <v>970</v>
      </c>
      <c r="D299" s="23" t="s">
        <v>22596</v>
      </c>
      <c r="E299" s="23" t="s">
        <v>42</v>
      </c>
      <c r="F299" s="25" t="s">
        <v>974</v>
      </c>
      <c r="G299" s="25" t="s">
        <v>975</v>
      </c>
      <c r="H299" t="s">
        <v>26</v>
      </c>
      <c r="I299" s="24">
        <v>38718</v>
      </c>
      <c r="J299" s="24">
        <v>43374</v>
      </c>
      <c r="K299" t="s">
        <v>26</v>
      </c>
      <c r="L299" s="25" t="s">
        <v>28</v>
      </c>
      <c r="M299" s="24">
        <v>38718</v>
      </c>
      <c r="N299" s="24">
        <v>43374</v>
      </c>
      <c r="O299" t="s">
        <v>26</v>
      </c>
      <c r="P299" s="24">
        <v>38718</v>
      </c>
      <c r="Q299" s="24">
        <v>43374</v>
      </c>
      <c r="R299" t="s">
        <v>26</v>
      </c>
      <c r="S299" t="s">
        <v>26</v>
      </c>
      <c r="T299" t="s">
        <v>26</v>
      </c>
      <c r="U299" t="s">
        <v>26</v>
      </c>
      <c r="V299" t="s">
        <v>26</v>
      </c>
      <c r="W299" s="24">
        <v>38718</v>
      </c>
      <c r="X299" s="24">
        <v>43374</v>
      </c>
      <c r="Y299" t="s">
        <v>26</v>
      </c>
      <c r="Z299" s="24">
        <v>38718</v>
      </c>
      <c r="AA299" s="24">
        <v>43374</v>
      </c>
      <c r="AB299" t="s">
        <v>26</v>
      </c>
      <c r="AC299" s="24">
        <v>38718</v>
      </c>
      <c r="AD299" s="24">
        <v>43374</v>
      </c>
      <c r="AE299" t="s">
        <v>26</v>
      </c>
      <c r="AF299" t="s">
        <v>26</v>
      </c>
      <c r="AG299" t="s">
        <v>26</v>
      </c>
      <c r="AH299" t="s">
        <v>26</v>
      </c>
      <c r="AI299" t="s">
        <v>26</v>
      </c>
      <c r="AJ299" t="s">
        <v>26</v>
      </c>
      <c r="AK299" t="s">
        <v>26</v>
      </c>
      <c r="AL299" t="s">
        <v>26</v>
      </c>
      <c r="AM299" t="s">
        <v>26</v>
      </c>
      <c r="AN299" t="s">
        <v>26</v>
      </c>
      <c r="AO299" s="25" t="s">
        <v>28</v>
      </c>
      <c r="AP299" s="23" t="s">
        <v>211</v>
      </c>
      <c r="AQ299" s="23" t="s">
        <v>30</v>
      </c>
      <c r="AR299" s="23" t="s">
        <v>203</v>
      </c>
      <c r="AS299" s="25">
        <v>28544</v>
      </c>
      <c r="AT299" t="s">
        <v>26</v>
      </c>
      <c r="AU299" t="s">
        <v>22598</v>
      </c>
    </row>
    <row r="300" spans="1:47" ht="26.25" x14ac:dyDescent="0.4">
      <c r="A300" s="23" t="s">
        <v>976</v>
      </c>
      <c r="B300" t="s">
        <v>26</v>
      </c>
      <c r="C300" s="23" t="s">
        <v>320</v>
      </c>
      <c r="D300" s="23" t="s">
        <v>22599</v>
      </c>
      <c r="E300" s="23" t="s">
        <v>42</v>
      </c>
      <c r="F300" s="25" t="s">
        <v>977</v>
      </c>
      <c r="G300" s="25" t="s">
        <v>978</v>
      </c>
      <c r="H300" t="s">
        <v>26</v>
      </c>
      <c r="I300" t="s">
        <v>26</v>
      </c>
      <c r="J300" t="s">
        <v>26</v>
      </c>
      <c r="K300" t="s">
        <v>26</v>
      </c>
      <c r="L300" s="25" t="s">
        <v>68</v>
      </c>
      <c r="M300" t="s">
        <v>26</v>
      </c>
      <c r="N300" t="s">
        <v>26</v>
      </c>
      <c r="O300" t="s">
        <v>26</v>
      </c>
      <c r="P300" t="s">
        <v>26</v>
      </c>
      <c r="Q300" t="s">
        <v>26</v>
      </c>
      <c r="R300" t="s">
        <v>26</v>
      </c>
      <c r="S300" t="s">
        <v>26</v>
      </c>
      <c r="T300" t="s">
        <v>26</v>
      </c>
      <c r="U300" t="s">
        <v>26</v>
      </c>
      <c r="V300" t="s">
        <v>26</v>
      </c>
      <c r="W300" s="24">
        <v>38018</v>
      </c>
      <c r="X300" s="25" t="s">
        <v>77</v>
      </c>
      <c r="Y300" t="s">
        <v>26</v>
      </c>
      <c r="Z300" s="24">
        <v>38018</v>
      </c>
      <c r="AA300" s="25" t="s">
        <v>77</v>
      </c>
      <c r="AB300" t="s">
        <v>26</v>
      </c>
      <c r="AC300" s="24">
        <v>38018</v>
      </c>
      <c r="AD300" s="25" t="s">
        <v>77</v>
      </c>
      <c r="AE300" t="s">
        <v>26</v>
      </c>
      <c r="AF300" t="s">
        <v>26</v>
      </c>
      <c r="AG300" t="s">
        <v>26</v>
      </c>
      <c r="AH300" t="s">
        <v>26</v>
      </c>
      <c r="AI300" t="s">
        <v>26</v>
      </c>
      <c r="AJ300" t="s">
        <v>26</v>
      </c>
      <c r="AK300" t="s">
        <v>26</v>
      </c>
      <c r="AL300" t="s">
        <v>26</v>
      </c>
      <c r="AM300" t="s">
        <v>26</v>
      </c>
      <c r="AN300" t="s">
        <v>26</v>
      </c>
      <c r="AO300" s="25" t="s">
        <v>68</v>
      </c>
      <c r="AP300" s="23" t="s">
        <v>69</v>
      </c>
      <c r="AQ300" s="23" t="s">
        <v>30</v>
      </c>
      <c r="AR300" s="23" t="s">
        <v>979</v>
      </c>
      <c r="AS300" s="25">
        <v>37557</v>
      </c>
      <c r="AT300" t="s">
        <v>26</v>
      </c>
      <c r="AU300" t="s">
        <v>22600</v>
      </c>
    </row>
    <row r="301" spans="1:47" ht="26.25" x14ac:dyDescent="0.4">
      <c r="A301" s="23" t="s">
        <v>980</v>
      </c>
      <c r="B301" t="s">
        <v>26</v>
      </c>
      <c r="C301" s="23" t="s">
        <v>981</v>
      </c>
      <c r="D301" s="23" t="s">
        <v>22254</v>
      </c>
      <c r="E301" s="23" t="s">
        <v>42</v>
      </c>
      <c r="F301" s="25" t="s">
        <v>982</v>
      </c>
      <c r="G301" s="25" t="s">
        <v>983</v>
      </c>
      <c r="H301" t="s">
        <v>26</v>
      </c>
      <c r="I301" s="24">
        <v>35431</v>
      </c>
      <c r="J301" s="24">
        <v>40452</v>
      </c>
      <c r="K301" t="s">
        <v>26</v>
      </c>
      <c r="L301" s="25" t="s">
        <v>68</v>
      </c>
      <c r="M301" s="24">
        <v>35431</v>
      </c>
      <c r="N301" s="24">
        <v>40452</v>
      </c>
      <c r="O301" t="s">
        <v>26</v>
      </c>
      <c r="P301" s="24">
        <v>35431</v>
      </c>
      <c r="Q301" s="24">
        <v>40452</v>
      </c>
      <c r="R301" t="s">
        <v>26</v>
      </c>
      <c r="S301" t="s">
        <v>26</v>
      </c>
      <c r="T301" t="s">
        <v>26</v>
      </c>
      <c r="U301" t="s">
        <v>26</v>
      </c>
      <c r="V301" t="s">
        <v>26</v>
      </c>
      <c r="W301" s="24">
        <v>35431</v>
      </c>
      <c r="X301" s="25" t="s">
        <v>77</v>
      </c>
      <c r="Y301" t="s">
        <v>26</v>
      </c>
      <c r="Z301" s="24">
        <v>35431</v>
      </c>
      <c r="AA301" s="25" t="s">
        <v>77</v>
      </c>
      <c r="AB301" t="s">
        <v>26</v>
      </c>
      <c r="AC301" s="24">
        <v>35431</v>
      </c>
      <c r="AD301" s="25" t="s">
        <v>77</v>
      </c>
      <c r="AE301" t="s">
        <v>26</v>
      </c>
      <c r="AF301" t="s">
        <v>26</v>
      </c>
      <c r="AG301" t="s">
        <v>26</v>
      </c>
      <c r="AH301" t="s">
        <v>26</v>
      </c>
      <c r="AI301" t="s">
        <v>26</v>
      </c>
      <c r="AJ301" t="s">
        <v>26</v>
      </c>
      <c r="AK301" t="s">
        <v>26</v>
      </c>
      <c r="AL301" t="s">
        <v>26</v>
      </c>
      <c r="AM301" t="s">
        <v>26</v>
      </c>
      <c r="AN301" t="s">
        <v>26</v>
      </c>
      <c r="AO301" s="25" t="s">
        <v>68</v>
      </c>
      <c r="AP301" s="23" t="s">
        <v>69</v>
      </c>
      <c r="AQ301" s="23" t="s">
        <v>30</v>
      </c>
      <c r="AR301" s="23" t="s">
        <v>71</v>
      </c>
      <c r="AS301" s="25">
        <v>37579</v>
      </c>
      <c r="AT301" t="s">
        <v>26</v>
      </c>
      <c r="AU301" t="s">
        <v>22601</v>
      </c>
    </row>
    <row r="302" spans="1:47" ht="26.25" x14ac:dyDescent="0.4">
      <c r="A302" s="23" t="s">
        <v>984</v>
      </c>
      <c r="B302" t="s">
        <v>26</v>
      </c>
      <c r="C302" s="23" t="s">
        <v>465</v>
      </c>
      <c r="D302" s="23" t="s">
        <v>22254</v>
      </c>
      <c r="E302" s="23" t="s">
        <v>42</v>
      </c>
      <c r="F302" s="25" t="s">
        <v>985</v>
      </c>
      <c r="G302" s="25" t="s">
        <v>986</v>
      </c>
      <c r="H302" t="s">
        <v>26</v>
      </c>
      <c r="I302" t="s">
        <v>26</v>
      </c>
      <c r="J302" t="s">
        <v>26</v>
      </c>
      <c r="K302" t="s">
        <v>26</v>
      </c>
      <c r="L302" s="25" t="s">
        <v>68</v>
      </c>
      <c r="M302" t="s">
        <v>26</v>
      </c>
      <c r="N302" t="s">
        <v>26</v>
      </c>
      <c r="O302" t="s">
        <v>26</v>
      </c>
      <c r="P302" t="s">
        <v>26</v>
      </c>
      <c r="Q302" t="s">
        <v>26</v>
      </c>
      <c r="R302" t="s">
        <v>26</v>
      </c>
      <c r="S302" t="s">
        <v>26</v>
      </c>
      <c r="T302" t="s">
        <v>26</v>
      </c>
      <c r="U302" t="s">
        <v>26</v>
      </c>
      <c r="V302" t="s">
        <v>26</v>
      </c>
      <c r="W302" s="24">
        <v>32540</v>
      </c>
      <c r="X302" s="25" t="s">
        <v>77</v>
      </c>
      <c r="Y302" t="s">
        <v>26</v>
      </c>
      <c r="Z302" s="24">
        <v>32540</v>
      </c>
      <c r="AA302" s="25" t="s">
        <v>77</v>
      </c>
      <c r="AB302" t="s">
        <v>26</v>
      </c>
      <c r="AC302" s="24">
        <v>32540</v>
      </c>
      <c r="AD302" s="25" t="s">
        <v>77</v>
      </c>
      <c r="AE302" t="s">
        <v>26</v>
      </c>
      <c r="AF302" t="s">
        <v>26</v>
      </c>
      <c r="AG302" t="s">
        <v>26</v>
      </c>
      <c r="AH302" t="s">
        <v>26</v>
      </c>
      <c r="AI302" t="s">
        <v>26</v>
      </c>
      <c r="AJ302" t="s">
        <v>26</v>
      </c>
      <c r="AK302" t="s">
        <v>26</v>
      </c>
      <c r="AL302" t="s">
        <v>26</v>
      </c>
      <c r="AM302" t="s">
        <v>26</v>
      </c>
      <c r="AN302" t="s">
        <v>26</v>
      </c>
      <c r="AO302" s="25" t="s">
        <v>68</v>
      </c>
      <c r="AP302" s="23" t="s">
        <v>69</v>
      </c>
      <c r="AQ302" s="23" t="s">
        <v>30</v>
      </c>
      <c r="AR302" s="23" t="s">
        <v>46</v>
      </c>
      <c r="AS302" s="25">
        <v>49168</v>
      </c>
      <c r="AT302" t="s">
        <v>26</v>
      </c>
      <c r="AU302" t="s">
        <v>22602</v>
      </c>
    </row>
    <row r="303" spans="1:47" ht="39.4" x14ac:dyDescent="0.4">
      <c r="A303" s="23" t="s">
        <v>22603</v>
      </c>
      <c r="B303" t="s">
        <v>26</v>
      </c>
      <c r="C303" s="23" t="s">
        <v>5958</v>
      </c>
      <c r="D303" s="23" t="s">
        <v>22207</v>
      </c>
      <c r="E303" s="23" t="s">
        <v>139</v>
      </c>
      <c r="F303" s="25" t="s">
        <v>5959</v>
      </c>
      <c r="G303" t="s">
        <v>26</v>
      </c>
      <c r="H303" t="s">
        <v>26</v>
      </c>
      <c r="I303" s="24">
        <v>40179</v>
      </c>
      <c r="J303" s="25" t="s">
        <v>77</v>
      </c>
      <c r="K303" t="s">
        <v>26</v>
      </c>
      <c r="L303" s="25" t="s">
        <v>68</v>
      </c>
      <c r="M303" s="24">
        <v>40179</v>
      </c>
      <c r="N303" s="25" t="s">
        <v>77</v>
      </c>
      <c r="O303" t="s">
        <v>26</v>
      </c>
      <c r="P303" s="24">
        <v>40179</v>
      </c>
      <c r="Q303" s="25" t="s">
        <v>77</v>
      </c>
      <c r="R303" t="s">
        <v>26</v>
      </c>
      <c r="S303" t="s">
        <v>26</v>
      </c>
      <c r="T303" t="s">
        <v>26</v>
      </c>
      <c r="U303" t="s">
        <v>26</v>
      </c>
      <c r="V303" t="s">
        <v>26</v>
      </c>
      <c r="W303" s="24">
        <v>40179</v>
      </c>
      <c r="X303" s="25" t="s">
        <v>77</v>
      </c>
      <c r="Y303" t="s">
        <v>26</v>
      </c>
      <c r="Z303" s="24">
        <v>40179</v>
      </c>
      <c r="AA303" s="25" t="s">
        <v>77</v>
      </c>
      <c r="AB303" t="s">
        <v>26</v>
      </c>
      <c r="AC303" s="24">
        <v>40179</v>
      </c>
      <c r="AD303" s="25" t="s">
        <v>77</v>
      </c>
      <c r="AE303" t="s">
        <v>26</v>
      </c>
      <c r="AF303" t="s">
        <v>26</v>
      </c>
      <c r="AG303" t="s">
        <v>26</v>
      </c>
      <c r="AH303" t="s">
        <v>26</v>
      </c>
      <c r="AI303" t="s">
        <v>26</v>
      </c>
      <c r="AJ303" t="s">
        <v>26</v>
      </c>
      <c r="AK303" t="s">
        <v>26</v>
      </c>
      <c r="AL303" t="s">
        <v>26</v>
      </c>
      <c r="AM303" t="s">
        <v>26</v>
      </c>
      <c r="AN303" t="s">
        <v>26</v>
      </c>
      <c r="AO303" s="25" t="s">
        <v>68</v>
      </c>
      <c r="AP303" s="23" t="s">
        <v>69</v>
      </c>
      <c r="AQ303" s="23" t="s">
        <v>226</v>
      </c>
      <c r="AR303" s="23" t="s">
        <v>46</v>
      </c>
      <c r="AS303" s="25">
        <v>966333</v>
      </c>
      <c r="AT303" t="s">
        <v>26</v>
      </c>
      <c r="AU303" t="s">
        <v>22604</v>
      </c>
    </row>
    <row r="304" spans="1:47" ht="26.25" x14ac:dyDescent="0.4">
      <c r="A304" s="23" t="s">
        <v>987</v>
      </c>
      <c r="B304" t="s">
        <v>26</v>
      </c>
      <c r="C304" s="23" t="s">
        <v>988</v>
      </c>
      <c r="D304" s="23" t="s">
        <v>22605</v>
      </c>
      <c r="E304" s="23" t="s">
        <v>42</v>
      </c>
      <c r="F304" s="25" t="s">
        <v>989</v>
      </c>
      <c r="G304" s="25" t="s">
        <v>990</v>
      </c>
      <c r="H304" t="s">
        <v>26</v>
      </c>
      <c r="I304" s="24">
        <v>34973</v>
      </c>
      <c r="J304" s="24">
        <v>35339</v>
      </c>
      <c r="K304" t="s">
        <v>26</v>
      </c>
      <c r="L304" s="25" t="s">
        <v>68</v>
      </c>
      <c r="M304" s="24">
        <v>34973</v>
      </c>
      <c r="N304" s="24">
        <v>35339</v>
      </c>
      <c r="O304" t="s">
        <v>26</v>
      </c>
      <c r="P304" s="24">
        <v>35156</v>
      </c>
      <c r="Q304" s="24">
        <v>35339</v>
      </c>
      <c r="R304" t="s">
        <v>26</v>
      </c>
      <c r="S304" t="s">
        <v>26</v>
      </c>
      <c r="T304" t="s">
        <v>26</v>
      </c>
      <c r="U304" t="s">
        <v>26</v>
      </c>
      <c r="V304" t="s">
        <v>26</v>
      </c>
      <c r="W304" s="24">
        <v>32509</v>
      </c>
      <c r="X304" s="24">
        <v>35339</v>
      </c>
      <c r="Y304" t="s">
        <v>26</v>
      </c>
      <c r="Z304" s="24">
        <v>32509</v>
      </c>
      <c r="AA304" s="24">
        <v>35339</v>
      </c>
      <c r="AB304" t="s">
        <v>26</v>
      </c>
      <c r="AC304" s="24">
        <v>32509</v>
      </c>
      <c r="AD304" s="24">
        <v>35339</v>
      </c>
      <c r="AE304" t="s">
        <v>26</v>
      </c>
      <c r="AF304" t="s">
        <v>26</v>
      </c>
      <c r="AG304" t="s">
        <v>26</v>
      </c>
      <c r="AH304" t="s">
        <v>26</v>
      </c>
      <c r="AI304" t="s">
        <v>26</v>
      </c>
      <c r="AJ304" t="s">
        <v>26</v>
      </c>
      <c r="AK304" t="s">
        <v>26</v>
      </c>
      <c r="AL304" t="s">
        <v>26</v>
      </c>
      <c r="AM304" t="s">
        <v>26</v>
      </c>
      <c r="AN304" t="s">
        <v>26</v>
      </c>
      <c r="AO304" s="25" t="s">
        <v>68</v>
      </c>
      <c r="AP304" s="23" t="s">
        <v>69</v>
      </c>
      <c r="AQ304" s="23" t="s">
        <v>30</v>
      </c>
      <c r="AR304" s="23" t="s">
        <v>991</v>
      </c>
      <c r="AS304" s="25">
        <v>41994</v>
      </c>
      <c r="AT304" t="s">
        <v>26</v>
      </c>
      <c r="AU304" t="s">
        <v>22606</v>
      </c>
    </row>
    <row r="305" spans="1:47" ht="26.25" x14ac:dyDescent="0.4">
      <c r="A305" s="23" t="s">
        <v>992</v>
      </c>
      <c r="B305" t="s">
        <v>26</v>
      </c>
      <c r="C305" s="23" t="s">
        <v>993</v>
      </c>
      <c r="D305" s="23" t="s">
        <v>22254</v>
      </c>
      <c r="E305" s="23" t="s">
        <v>42</v>
      </c>
      <c r="F305" s="25" t="s">
        <v>994</v>
      </c>
      <c r="G305" s="25" t="s">
        <v>995</v>
      </c>
      <c r="H305" t="s">
        <v>26</v>
      </c>
      <c r="I305" s="24">
        <v>42095</v>
      </c>
      <c r="J305" s="24">
        <v>43101</v>
      </c>
      <c r="K305" t="s">
        <v>26</v>
      </c>
      <c r="L305" s="25" t="s">
        <v>68</v>
      </c>
      <c r="M305" s="24">
        <v>42095</v>
      </c>
      <c r="N305" s="24">
        <v>43101</v>
      </c>
      <c r="O305" t="s">
        <v>26</v>
      </c>
      <c r="P305" s="24">
        <v>42095</v>
      </c>
      <c r="Q305" s="24">
        <v>43101</v>
      </c>
      <c r="R305" t="s">
        <v>26</v>
      </c>
      <c r="S305" t="s">
        <v>26</v>
      </c>
      <c r="T305" t="s">
        <v>26</v>
      </c>
      <c r="U305" t="s">
        <v>26</v>
      </c>
      <c r="V305" t="s">
        <v>26</v>
      </c>
      <c r="W305" s="24">
        <v>42095</v>
      </c>
      <c r="X305" s="24">
        <v>43101</v>
      </c>
      <c r="Y305" t="s">
        <v>26</v>
      </c>
      <c r="Z305" s="24">
        <v>42095</v>
      </c>
      <c r="AA305" s="24">
        <v>43101</v>
      </c>
      <c r="AB305" t="s">
        <v>26</v>
      </c>
      <c r="AC305" s="24">
        <v>42095</v>
      </c>
      <c r="AD305" s="24">
        <v>43101</v>
      </c>
      <c r="AE305" t="s">
        <v>26</v>
      </c>
      <c r="AF305" t="s">
        <v>26</v>
      </c>
      <c r="AG305" t="s">
        <v>26</v>
      </c>
      <c r="AH305" t="s">
        <v>26</v>
      </c>
      <c r="AI305" t="s">
        <v>26</v>
      </c>
      <c r="AJ305" t="s">
        <v>26</v>
      </c>
      <c r="AK305" t="s">
        <v>26</v>
      </c>
      <c r="AL305" t="s">
        <v>26</v>
      </c>
      <c r="AM305" t="s">
        <v>26</v>
      </c>
      <c r="AN305" t="s">
        <v>26</v>
      </c>
      <c r="AO305" s="25" t="s">
        <v>68</v>
      </c>
      <c r="AP305" s="23" t="s">
        <v>69</v>
      </c>
      <c r="AQ305" s="23" t="s">
        <v>30</v>
      </c>
      <c r="AR305" s="23" t="s">
        <v>996</v>
      </c>
      <c r="AS305" s="25">
        <v>2041190</v>
      </c>
      <c r="AT305" t="s">
        <v>26</v>
      </c>
      <c r="AU305" t="s">
        <v>22607</v>
      </c>
    </row>
    <row r="306" spans="1:47" ht="26.25" x14ac:dyDescent="0.4">
      <c r="A306" s="23" t="s">
        <v>997</v>
      </c>
      <c r="B306" t="s">
        <v>26</v>
      </c>
      <c r="C306" s="23" t="s">
        <v>998</v>
      </c>
      <c r="D306" s="23" t="s">
        <v>22499</v>
      </c>
      <c r="E306" s="23" t="s">
        <v>711</v>
      </c>
      <c r="F306" t="s">
        <v>26</v>
      </c>
      <c r="G306" s="25" t="s">
        <v>999</v>
      </c>
      <c r="H306" t="s">
        <v>26</v>
      </c>
      <c r="I306" s="24">
        <v>40544</v>
      </c>
      <c r="J306" s="25" t="s">
        <v>77</v>
      </c>
      <c r="K306" t="s">
        <v>26</v>
      </c>
      <c r="L306" s="25" t="s">
        <v>68</v>
      </c>
      <c r="M306" s="24">
        <v>43252</v>
      </c>
      <c r="N306" s="25" t="s">
        <v>77</v>
      </c>
      <c r="O306" t="s">
        <v>26</v>
      </c>
      <c r="P306" s="24">
        <v>40544</v>
      </c>
      <c r="Q306" s="25" t="s">
        <v>77</v>
      </c>
      <c r="R306" t="s">
        <v>26</v>
      </c>
      <c r="S306" t="s">
        <v>26</v>
      </c>
      <c r="T306" t="s">
        <v>26</v>
      </c>
      <c r="U306" t="s">
        <v>26</v>
      </c>
      <c r="V306" t="s">
        <v>26</v>
      </c>
      <c r="W306" s="24">
        <v>40544</v>
      </c>
      <c r="X306" s="25" t="s">
        <v>77</v>
      </c>
      <c r="Y306" t="s">
        <v>26</v>
      </c>
      <c r="Z306" s="24">
        <v>40544</v>
      </c>
      <c r="AA306" s="25" t="s">
        <v>77</v>
      </c>
      <c r="AB306" t="s">
        <v>26</v>
      </c>
      <c r="AC306" s="24">
        <v>40544</v>
      </c>
      <c r="AD306" s="25" t="s">
        <v>77</v>
      </c>
      <c r="AE306" t="s">
        <v>26</v>
      </c>
      <c r="AF306" t="s">
        <v>26</v>
      </c>
      <c r="AG306" t="s">
        <v>26</v>
      </c>
      <c r="AH306" t="s">
        <v>26</v>
      </c>
      <c r="AI306" t="s">
        <v>26</v>
      </c>
      <c r="AJ306" t="s">
        <v>26</v>
      </c>
      <c r="AK306" t="s">
        <v>26</v>
      </c>
      <c r="AL306" t="s">
        <v>26</v>
      </c>
      <c r="AM306" t="s">
        <v>26</v>
      </c>
      <c r="AN306" t="s">
        <v>26</v>
      </c>
      <c r="AO306" s="25" t="s">
        <v>68</v>
      </c>
      <c r="AP306" s="23" t="s">
        <v>69</v>
      </c>
      <c r="AQ306" s="23" t="s">
        <v>30</v>
      </c>
      <c r="AR306" s="23" t="s">
        <v>46</v>
      </c>
      <c r="AS306" s="25">
        <v>2032428</v>
      </c>
      <c r="AT306" t="s">
        <v>26</v>
      </c>
      <c r="AU306" t="s">
        <v>22608</v>
      </c>
    </row>
    <row r="307" spans="1:47" ht="26.25" x14ac:dyDescent="0.4">
      <c r="A307" s="23" t="s">
        <v>1000</v>
      </c>
      <c r="B307" t="s">
        <v>26</v>
      </c>
      <c r="C307" s="23" t="s">
        <v>320</v>
      </c>
      <c r="D307" s="23" t="s">
        <v>22397</v>
      </c>
      <c r="E307" s="23" t="s">
        <v>42</v>
      </c>
      <c r="F307" s="25" t="s">
        <v>1001</v>
      </c>
      <c r="G307" s="25" t="s">
        <v>1002</v>
      </c>
      <c r="H307" t="s">
        <v>26</v>
      </c>
      <c r="I307" t="s">
        <v>26</v>
      </c>
      <c r="J307" t="s">
        <v>26</v>
      </c>
      <c r="K307" t="s">
        <v>26</v>
      </c>
      <c r="L307" s="25" t="s">
        <v>68</v>
      </c>
      <c r="M307" t="s">
        <v>26</v>
      </c>
      <c r="N307" t="s">
        <v>26</v>
      </c>
      <c r="O307" t="s">
        <v>26</v>
      </c>
      <c r="P307" t="s">
        <v>26</v>
      </c>
      <c r="Q307" t="s">
        <v>26</v>
      </c>
      <c r="R307" t="s">
        <v>26</v>
      </c>
      <c r="S307" t="s">
        <v>26</v>
      </c>
      <c r="T307" t="s">
        <v>26</v>
      </c>
      <c r="U307" t="s">
        <v>26</v>
      </c>
      <c r="V307" t="s">
        <v>26</v>
      </c>
      <c r="W307" s="24">
        <v>37987</v>
      </c>
      <c r="X307" s="25" t="s">
        <v>77</v>
      </c>
      <c r="Y307" t="s">
        <v>26</v>
      </c>
      <c r="Z307" s="24">
        <v>37987</v>
      </c>
      <c r="AA307" s="25" t="s">
        <v>77</v>
      </c>
      <c r="AB307" t="s">
        <v>26</v>
      </c>
      <c r="AC307" s="24">
        <v>37987</v>
      </c>
      <c r="AD307" s="25" t="s">
        <v>77</v>
      </c>
      <c r="AE307" t="s">
        <v>26</v>
      </c>
      <c r="AF307" t="s">
        <v>26</v>
      </c>
      <c r="AG307" t="s">
        <v>26</v>
      </c>
      <c r="AH307" t="s">
        <v>26</v>
      </c>
      <c r="AI307" t="s">
        <v>26</v>
      </c>
      <c r="AJ307" t="s">
        <v>26</v>
      </c>
      <c r="AK307" t="s">
        <v>26</v>
      </c>
      <c r="AL307" t="s">
        <v>26</v>
      </c>
      <c r="AM307" t="s">
        <v>26</v>
      </c>
      <c r="AN307" t="s">
        <v>26</v>
      </c>
      <c r="AO307" s="25" t="s">
        <v>68</v>
      </c>
      <c r="AP307" s="23" t="s">
        <v>69</v>
      </c>
      <c r="AQ307" s="23" t="s">
        <v>30</v>
      </c>
      <c r="AR307" s="23" t="s">
        <v>1003</v>
      </c>
      <c r="AS307" s="25">
        <v>49030</v>
      </c>
      <c r="AT307" t="s">
        <v>26</v>
      </c>
      <c r="AU307" t="s">
        <v>22609</v>
      </c>
    </row>
    <row r="308" spans="1:47" ht="26.25" x14ac:dyDescent="0.4">
      <c r="A308" s="23" t="s">
        <v>1004</v>
      </c>
      <c r="B308" t="s">
        <v>26</v>
      </c>
      <c r="C308" s="23" t="s">
        <v>80</v>
      </c>
      <c r="D308" s="23" t="s">
        <v>22184</v>
      </c>
      <c r="E308" s="23" t="s">
        <v>60</v>
      </c>
      <c r="F308" s="25" t="s">
        <v>1005</v>
      </c>
      <c r="G308" s="25" t="s">
        <v>1006</v>
      </c>
      <c r="H308" t="s">
        <v>26</v>
      </c>
      <c r="I308" t="s">
        <v>26</v>
      </c>
      <c r="J308" t="s">
        <v>26</v>
      </c>
      <c r="K308" t="s">
        <v>26</v>
      </c>
      <c r="L308" s="25" t="s">
        <v>68</v>
      </c>
      <c r="M308" t="s">
        <v>26</v>
      </c>
      <c r="N308" t="s">
        <v>26</v>
      </c>
      <c r="O308" t="s">
        <v>26</v>
      </c>
      <c r="P308" t="s">
        <v>26</v>
      </c>
      <c r="Q308" t="s">
        <v>26</v>
      </c>
      <c r="R308" t="s">
        <v>26</v>
      </c>
      <c r="S308" t="s">
        <v>26</v>
      </c>
      <c r="T308" t="s">
        <v>26</v>
      </c>
      <c r="U308" t="s">
        <v>26</v>
      </c>
      <c r="V308" t="s">
        <v>26</v>
      </c>
      <c r="W308" s="24">
        <v>40179</v>
      </c>
      <c r="X308" s="25" t="s">
        <v>77</v>
      </c>
      <c r="Y308" t="s">
        <v>26</v>
      </c>
      <c r="Z308" s="24">
        <v>40179</v>
      </c>
      <c r="AA308" s="25" t="s">
        <v>77</v>
      </c>
      <c r="AB308" t="s">
        <v>26</v>
      </c>
      <c r="AC308" s="24">
        <v>40179</v>
      </c>
      <c r="AD308" s="25" t="s">
        <v>77</v>
      </c>
      <c r="AE308" t="s">
        <v>26</v>
      </c>
      <c r="AF308" t="s">
        <v>26</v>
      </c>
      <c r="AG308" t="s">
        <v>26</v>
      </c>
      <c r="AH308" t="s">
        <v>26</v>
      </c>
      <c r="AI308" t="s">
        <v>26</v>
      </c>
      <c r="AJ308" t="s">
        <v>26</v>
      </c>
      <c r="AK308" t="s">
        <v>26</v>
      </c>
      <c r="AL308" t="s">
        <v>26</v>
      </c>
      <c r="AM308" t="s">
        <v>26</v>
      </c>
      <c r="AN308" t="s">
        <v>26</v>
      </c>
      <c r="AO308" s="25" t="s">
        <v>68</v>
      </c>
      <c r="AP308" s="23" t="s">
        <v>69</v>
      </c>
      <c r="AQ308" s="23" t="s">
        <v>30</v>
      </c>
      <c r="AR308" s="23" t="s">
        <v>1007</v>
      </c>
      <c r="AS308" s="25">
        <v>186229</v>
      </c>
      <c r="AT308" t="s">
        <v>26</v>
      </c>
      <c r="AU308" t="s">
        <v>22610</v>
      </c>
    </row>
    <row r="309" spans="1:47" ht="26.25" x14ac:dyDescent="0.4">
      <c r="A309" s="23" t="s">
        <v>1008</v>
      </c>
      <c r="B309" t="s">
        <v>26</v>
      </c>
      <c r="C309" s="23" t="s">
        <v>80</v>
      </c>
      <c r="D309" s="23" t="s">
        <v>22436</v>
      </c>
      <c r="E309" s="23" t="s">
        <v>60</v>
      </c>
      <c r="F309" s="25" t="s">
        <v>1009</v>
      </c>
      <c r="G309" s="25" t="s">
        <v>1010</v>
      </c>
      <c r="H309" t="s">
        <v>26</v>
      </c>
      <c r="I309" t="s">
        <v>26</v>
      </c>
      <c r="J309" t="s">
        <v>26</v>
      </c>
      <c r="K309" t="s">
        <v>26</v>
      </c>
      <c r="L309" s="25" t="s">
        <v>68</v>
      </c>
      <c r="M309" t="s">
        <v>26</v>
      </c>
      <c r="N309" t="s">
        <v>26</v>
      </c>
      <c r="O309" t="s">
        <v>26</v>
      </c>
      <c r="P309" t="s">
        <v>26</v>
      </c>
      <c r="Q309" t="s">
        <v>26</v>
      </c>
      <c r="R309" t="s">
        <v>26</v>
      </c>
      <c r="S309" t="s">
        <v>26</v>
      </c>
      <c r="T309" t="s">
        <v>26</v>
      </c>
      <c r="U309" t="s">
        <v>26</v>
      </c>
      <c r="V309" t="s">
        <v>26</v>
      </c>
      <c r="W309" s="24">
        <v>40179</v>
      </c>
      <c r="X309" s="25" t="s">
        <v>77</v>
      </c>
      <c r="Y309" t="s">
        <v>26</v>
      </c>
      <c r="Z309" s="24">
        <v>40179</v>
      </c>
      <c r="AA309" s="25" t="s">
        <v>77</v>
      </c>
      <c r="AB309" t="s">
        <v>26</v>
      </c>
      <c r="AC309" s="24">
        <v>40179</v>
      </c>
      <c r="AD309" s="25" t="s">
        <v>77</v>
      </c>
      <c r="AE309" t="s">
        <v>26</v>
      </c>
      <c r="AF309" t="s">
        <v>26</v>
      </c>
      <c r="AG309" t="s">
        <v>26</v>
      </c>
      <c r="AH309" t="s">
        <v>26</v>
      </c>
      <c r="AI309" t="s">
        <v>26</v>
      </c>
      <c r="AJ309" t="s">
        <v>26</v>
      </c>
      <c r="AK309" t="s">
        <v>26</v>
      </c>
      <c r="AL309" t="s">
        <v>26</v>
      </c>
      <c r="AM309" t="s">
        <v>26</v>
      </c>
      <c r="AN309" t="s">
        <v>26</v>
      </c>
      <c r="AO309" s="25" t="s">
        <v>68</v>
      </c>
      <c r="AP309" s="23" t="s">
        <v>69</v>
      </c>
      <c r="AQ309" s="23" t="s">
        <v>30</v>
      </c>
      <c r="AR309" s="23" t="s">
        <v>46</v>
      </c>
      <c r="AS309" s="25">
        <v>216142</v>
      </c>
      <c r="AT309" t="s">
        <v>26</v>
      </c>
      <c r="AU309" t="s">
        <v>22611</v>
      </c>
    </row>
    <row r="310" spans="1:47" ht="26.25" x14ac:dyDescent="0.4">
      <c r="A310" s="23" t="s">
        <v>1011</v>
      </c>
      <c r="B310" t="s">
        <v>26</v>
      </c>
      <c r="C310" s="23" t="s">
        <v>213</v>
      </c>
      <c r="D310" s="23" t="s">
        <v>22174</v>
      </c>
      <c r="E310" s="23" t="s">
        <v>60</v>
      </c>
      <c r="F310" t="s">
        <v>26</v>
      </c>
      <c r="G310" s="25" t="s">
        <v>1012</v>
      </c>
      <c r="H310" t="s">
        <v>26</v>
      </c>
      <c r="I310" s="24">
        <v>39814</v>
      </c>
      <c r="J310" s="25" t="s">
        <v>77</v>
      </c>
      <c r="K310" t="s">
        <v>26</v>
      </c>
      <c r="L310" s="25" t="s">
        <v>68</v>
      </c>
      <c r="M310" t="s">
        <v>26</v>
      </c>
      <c r="N310" t="s">
        <v>26</v>
      </c>
      <c r="O310" t="s">
        <v>26</v>
      </c>
      <c r="P310" s="24">
        <v>39814</v>
      </c>
      <c r="Q310" s="25" t="s">
        <v>77</v>
      </c>
      <c r="R310" t="s">
        <v>26</v>
      </c>
      <c r="S310" t="s">
        <v>26</v>
      </c>
      <c r="T310" t="s">
        <v>26</v>
      </c>
      <c r="U310" t="s">
        <v>26</v>
      </c>
      <c r="V310" t="s">
        <v>26</v>
      </c>
      <c r="W310" s="24">
        <v>39814</v>
      </c>
      <c r="X310" s="25" t="s">
        <v>77</v>
      </c>
      <c r="Y310" t="s">
        <v>26</v>
      </c>
      <c r="Z310" s="24">
        <v>39814</v>
      </c>
      <c r="AA310" s="25" t="s">
        <v>77</v>
      </c>
      <c r="AB310" t="s">
        <v>26</v>
      </c>
      <c r="AC310" s="24">
        <v>39814</v>
      </c>
      <c r="AD310" s="25" t="s">
        <v>77</v>
      </c>
      <c r="AE310" t="s">
        <v>26</v>
      </c>
      <c r="AF310" t="s">
        <v>26</v>
      </c>
      <c r="AG310" t="s">
        <v>26</v>
      </c>
      <c r="AH310" t="s">
        <v>26</v>
      </c>
      <c r="AI310" t="s">
        <v>26</v>
      </c>
      <c r="AJ310" t="s">
        <v>26</v>
      </c>
      <c r="AK310" t="s">
        <v>26</v>
      </c>
      <c r="AL310" t="s">
        <v>26</v>
      </c>
      <c r="AM310" t="s">
        <v>26</v>
      </c>
      <c r="AN310" t="s">
        <v>26</v>
      </c>
      <c r="AO310" s="25" t="s">
        <v>68</v>
      </c>
      <c r="AP310" s="23" t="s">
        <v>69</v>
      </c>
      <c r="AQ310" s="23" t="s">
        <v>30</v>
      </c>
      <c r="AR310" s="23" t="s">
        <v>70</v>
      </c>
      <c r="AS310" s="25">
        <v>55045</v>
      </c>
      <c r="AT310" t="s">
        <v>26</v>
      </c>
      <c r="AU310" t="s">
        <v>22612</v>
      </c>
    </row>
    <row r="311" spans="1:47" ht="26.25" x14ac:dyDescent="0.4">
      <c r="A311" s="23" t="s">
        <v>1013</v>
      </c>
      <c r="B311" t="s">
        <v>26</v>
      </c>
      <c r="C311" s="23" t="s">
        <v>167</v>
      </c>
      <c r="D311" s="23" t="s">
        <v>22179</v>
      </c>
      <c r="E311" s="23" t="s">
        <v>60</v>
      </c>
      <c r="F311" s="25" t="s">
        <v>1014</v>
      </c>
      <c r="G311" s="25" t="s">
        <v>1015</v>
      </c>
      <c r="H311" t="s">
        <v>26</v>
      </c>
      <c r="I311" s="24">
        <v>36923</v>
      </c>
      <c r="J311" s="25" t="s">
        <v>77</v>
      </c>
      <c r="K311" t="s">
        <v>26</v>
      </c>
      <c r="L311" s="25" t="s">
        <v>68</v>
      </c>
      <c r="M311" s="24">
        <v>39264</v>
      </c>
      <c r="N311" s="25" t="s">
        <v>77</v>
      </c>
      <c r="O311" t="s">
        <v>26</v>
      </c>
      <c r="P311" s="24">
        <v>36923</v>
      </c>
      <c r="Q311" s="25" t="s">
        <v>77</v>
      </c>
      <c r="R311" t="s">
        <v>26</v>
      </c>
      <c r="S311" t="s">
        <v>26</v>
      </c>
      <c r="T311" t="s">
        <v>26</v>
      </c>
      <c r="U311" t="s">
        <v>26</v>
      </c>
      <c r="V311" s="25">
        <v>365</v>
      </c>
      <c r="W311" s="24">
        <v>28550</v>
      </c>
      <c r="X311" s="25" t="s">
        <v>77</v>
      </c>
      <c r="Y311" t="s">
        <v>26</v>
      </c>
      <c r="Z311" s="24">
        <v>28550</v>
      </c>
      <c r="AA311" s="25" t="s">
        <v>77</v>
      </c>
      <c r="AB311" t="s">
        <v>26</v>
      </c>
      <c r="AC311" s="24">
        <v>33664</v>
      </c>
      <c r="AD311" s="25" t="s">
        <v>77</v>
      </c>
      <c r="AE311" t="s">
        <v>26</v>
      </c>
      <c r="AF311" t="s">
        <v>26</v>
      </c>
      <c r="AG311" t="s">
        <v>26</v>
      </c>
      <c r="AH311" t="s">
        <v>26</v>
      </c>
      <c r="AI311" t="s">
        <v>26</v>
      </c>
      <c r="AJ311" t="s">
        <v>26</v>
      </c>
      <c r="AK311" t="s">
        <v>26</v>
      </c>
      <c r="AL311" t="s">
        <v>26</v>
      </c>
      <c r="AM311" t="s">
        <v>26</v>
      </c>
      <c r="AN311" t="s">
        <v>26</v>
      </c>
      <c r="AO311" s="25" t="s">
        <v>68</v>
      </c>
      <c r="AP311" s="23" t="s">
        <v>69</v>
      </c>
      <c r="AQ311" s="23" t="s">
        <v>30</v>
      </c>
      <c r="AR311" s="23" t="s">
        <v>605</v>
      </c>
      <c r="AS311" s="25">
        <v>47829</v>
      </c>
      <c r="AT311" t="s">
        <v>26</v>
      </c>
      <c r="AU311" t="s">
        <v>22613</v>
      </c>
    </row>
    <row r="312" spans="1:47" ht="26.25" x14ac:dyDescent="0.4">
      <c r="A312" s="23" t="s">
        <v>1016</v>
      </c>
      <c r="B312" t="s">
        <v>26</v>
      </c>
      <c r="C312" s="23" t="s">
        <v>1017</v>
      </c>
      <c r="D312" s="23" t="s">
        <v>22614</v>
      </c>
      <c r="E312" s="23" t="s">
        <v>1018</v>
      </c>
      <c r="F312" s="25" t="s">
        <v>1019</v>
      </c>
      <c r="G312" s="25" t="s">
        <v>1020</v>
      </c>
      <c r="H312" t="s">
        <v>26</v>
      </c>
      <c r="I312" t="s">
        <v>26</v>
      </c>
      <c r="J312" t="s">
        <v>26</v>
      </c>
      <c r="K312" t="s">
        <v>26</v>
      </c>
      <c r="L312" s="25" t="s">
        <v>68</v>
      </c>
      <c r="M312" t="s">
        <v>26</v>
      </c>
      <c r="N312" t="s">
        <v>26</v>
      </c>
      <c r="O312" t="s">
        <v>26</v>
      </c>
      <c r="P312" t="s">
        <v>26</v>
      </c>
      <c r="Q312" t="s">
        <v>26</v>
      </c>
      <c r="R312" t="s">
        <v>26</v>
      </c>
      <c r="S312" t="s">
        <v>26</v>
      </c>
      <c r="T312" t="s">
        <v>26</v>
      </c>
      <c r="U312" t="s">
        <v>26</v>
      </c>
      <c r="V312" t="s">
        <v>26</v>
      </c>
      <c r="W312" s="24">
        <v>43101</v>
      </c>
      <c r="X312" s="25" t="s">
        <v>77</v>
      </c>
      <c r="Y312" t="s">
        <v>26</v>
      </c>
      <c r="Z312" s="24">
        <v>43101</v>
      </c>
      <c r="AA312" s="25" t="s">
        <v>77</v>
      </c>
      <c r="AB312" t="s">
        <v>26</v>
      </c>
      <c r="AC312" s="24">
        <v>43101</v>
      </c>
      <c r="AD312" s="25" t="s">
        <v>77</v>
      </c>
      <c r="AE312" t="s">
        <v>26</v>
      </c>
      <c r="AF312" t="s">
        <v>26</v>
      </c>
      <c r="AG312" t="s">
        <v>26</v>
      </c>
      <c r="AH312" t="s">
        <v>26</v>
      </c>
      <c r="AI312" t="s">
        <v>26</v>
      </c>
      <c r="AJ312" t="s">
        <v>26</v>
      </c>
      <c r="AK312" t="s">
        <v>26</v>
      </c>
      <c r="AL312" t="s">
        <v>26</v>
      </c>
      <c r="AM312" t="s">
        <v>26</v>
      </c>
      <c r="AN312" t="s">
        <v>26</v>
      </c>
      <c r="AO312" s="25" t="s">
        <v>68</v>
      </c>
      <c r="AP312" s="23" t="s">
        <v>69</v>
      </c>
      <c r="AQ312" s="23" t="s">
        <v>30</v>
      </c>
      <c r="AR312" s="23" t="s">
        <v>162</v>
      </c>
      <c r="AS312" s="25">
        <v>2049050</v>
      </c>
      <c r="AT312" t="s">
        <v>26</v>
      </c>
      <c r="AU312" t="s">
        <v>22615</v>
      </c>
    </row>
    <row r="313" spans="1:47" ht="26.25" x14ac:dyDescent="0.4">
      <c r="A313" s="23" t="s">
        <v>1021</v>
      </c>
      <c r="B313" t="s">
        <v>26</v>
      </c>
      <c r="C313" s="23" t="s">
        <v>80</v>
      </c>
      <c r="D313" s="23" t="s">
        <v>22174</v>
      </c>
      <c r="E313" s="23" t="s">
        <v>60</v>
      </c>
      <c r="F313" s="25" t="s">
        <v>1022</v>
      </c>
      <c r="G313" s="25" t="s">
        <v>1023</v>
      </c>
      <c r="H313" t="s">
        <v>26</v>
      </c>
      <c r="I313" t="s">
        <v>26</v>
      </c>
      <c r="J313" t="s">
        <v>26</v>
      </c>
      <c r="K313" t="s">
        <v>26</v>
      </c>
      <c r="L313" s="25" t="s">
        <v>68</v>
      </c>
      <c r="M313" t="s">
        <v>26</v>
      </c>
      <c r="N313" t="s">
        <v>26</v>
      </c>
      <c r="O313" t="s">
        <v>26</v>
      </c>
      <c r="P313" t="s">
        <v>26</v>
      </c>
      <c r="Q313" t="s">
        <v>26</v>
      </c>
      <c r="R313" t="s">
        <v>26</v>
      </c>
      <c r="S313" t="s">
        <v>26</v>
      </c>
      <c r="T313" t="s">
        <v>26</v>
      </c>
      <c r="U313" t="s">
        <v>26</v>
      </c>
      <c r="V313" t="s">
        <v>26</v>
      </c>
      <c r="W313" s="24">
        <v>40179</v>
      </c>
      <c r="X313" s="25" t="s">
        <v>77</v>
      </c>
      <c r="Y313" t="s">
        <v>26</v>
      </c>
      <c r="Z313" s="24">
        <v>40179</v>
      </c>
      <c r="AA313" s="25" t="s">
        <v>77</v>
      </c>
      <c r="AB313" t="s">
        <v>26</v>
      </c>
      <c r="AC313" s="24">
        <v>40179</v>
      </c>
      <c r="AD313" s="25" t="s">
        <v>77</v>
      </c>
      <c r="AE313" t="s">
        <v>26</v>
      </c>
      <c r="AF313" t="s">
        <v>26</v>
      </c>
      <c r="AG313" t="s">
        <v>26</v>
      </c>
      <c r="AH313" t="s">
        <v>26</v>
      </c>
      <c r="AI313" t="s">
        <v>26</v>
      </c>
      <c r="AJ313" t="s">
        <v>26</v>
      </c>
      <c r="AK313" t="s">
        <v>26</v>
      </c>
      <c r="AL313" t="s">
        <v>26</v>
      </c>
      <c r="AM313" t="s">
        <v>26</v>
      </c>
      <c r="AN313" t="s">
        <v>26</v>
      </c>
      <c r="AO313" s="25" t="s">
        <v>68</v>
      </c>
      <c r="AP313" s="23" t="s">
        <v>69</v>
      </c>
      <c r="AQ313" s="23" t="s">
        <v>30</v>
      </c>
      <c r="AR313" s="23" t="s">
        <v>1024</v>
      </c>
      <c r="AS313" s="25">
        <v>53127</v>
      </c>
      <c r="AT313" t="s">
        <v>26</v>
      </c>
      <c r="AU313" t="s">
        <v>22616</v>
      </c>
    </row>
    <row r="314" spans="1:47" ht="26.25" x14ac:dyDescent="0.4">
      <c r="A314" s="23" t="s">
        <v>1025</v>
      </c>
      <c r="B314" t="s">
        <v>26</v>
      </c>
      <c r="C314" s="23" t="s">
        <v>167</v>
      </c>
      <c r="D314" s="23" t="s">
        <v>22617</v>
      </c>
      <c r="E314" s="23" t="s">
        <v>60</v>
      </c>
      <c r="F314" s="25" t="s">
        <v>1026</v>
      </c>
      <c r="G314" s="25" t="s">
        <v>1027</v>
      </c>
      <c r="H314" t="s">
        <v>26</v>
      </c>
      <c r="I314" s="24">
        <v>36617</v>
      </c>
      <c r="J314" s="25" t="s">
        <v>77</v>
      </c>
      <c r="K314" t="s">
        <v>26</v>
      </c>
      <c r="L314" s="25" t="s">
        <v>68</v>
      </c>
      <c r="M314" s="24">
        <v>36617</v>
      </c>
      <c r="N314" s="25" t="s">
        <v>77</v>
      </c>
      <c r="O314" t="s">
        <v>26</v>
      </c>
      <c r="P314" s="24">
        <v>36617</v>
      </c>
      <c r="Q314" s="25" t="s">
        <v>77</v>
      </c>
      <c r="R314" t="s">
        <v>26</v>
      </c>
      <c r="S314" t="s">
        <v>26</v>
      </c>
      <c r="T314" t="s">
        <v>26</v>
      </c>
      <c r="U314" t="s">
        <v>26</v>
      </c>
      <c r="V314" s="25">
        <v>365</v>
      </c>
      <c r="W314" s="24">
        <v>36617</v>
      </c>
      <c r="X314" s="25" t="s">
        <v>77</v>
      </c>
      <c r="Y314" t="s">
        <v>26</v>
      </c>
      <c r="Z314" s="24">
        <v>36617</v>
      </c>
      <c r="AA314" s="25" t="s">
        <v>77</v>
      </c>
      <c r="AB314" t="s">
        <v>26</v>
      </c>
      <c r="AC314" s="24">
        <v>42826</v>
      </c>
      <c r="AD314" s="25" t="s">
        <v>77</v>
      </c>
      <c r="AE314" t="s">
        <v>26</v>
      </c>
      <c r="AF314" t="s">
        <v>26</v>
      </c>
      <c r="AG314" t="s">
        <v>26</v>
      </c>
      <c r="AH314" t="s">
        <v>26</v>
      </c>
      <c r="AI314" t="s">
        <v>26</v>
      </c>
      <c r="AJ314" t="s">
        <v>26</v>
      </c>
      <c r="AK314" t="s">
        <v>26</v>
      </c>
      <c r="AL314" t="s">
        <v>26</v>
      </c>
      <c r="AM314" t="s">
        <v>26</v>
      </c>
      <c r="AN314" t="s">
        <v>26</v>
      </c>
      <c r="AO314" s="25" t="s">
        <v>68</v>
      </c>
      <c r="AP314" s="23" t="s">
        <v>69</v>
      </c>
      <c r="AQ314" s="23" t="s">
        <v>30</v>
      </c>
      <c r="AR314" s="23" t="s">
        <v>70</v>
      </c>
      <c r="AS314" s="25">
        <v>31179</v>
      </c>
      <c r="AT314" t="s">
        <v>26</v>
      </c>
      <c r="AU314" t="s">
        <v>22618</v>
      </c>
    </row>
    <row r="315" spans="1:47" ht="26.25" x14ac:dyDescent="0.4">
      <c r="A315" s="23" t="s">
        <v>1028</v>
      </c>
      <c r="B315" t="s">
        <v>26</v>
      </c>
      <c r="C315" s="23" t="s">
        <v>176</v>
      </c>
      <c r="D315" s="23" t="s">
        <v>22242</v>
      </c>
      <c r="E315" s="23" t="s">
        <v>60</v>
      </c>
      <c r="F315" s="25" t="s">
        <v>1029</v>
      </c>
      <c r="G315" s="25" t="s">
        <v>1030</v>
      </c>
      <c r="H315" t="s">
        <v>26</v>
      </c>
      <c r="I315" t="s">
        <v>26</v>
      </c>
      <c r="J315" t="s">
        <v>26</v>
      </c>
      <c r="K315" t="s">
        <v>26</v>
      </c>
      <c r="L315" s="25" t="s">
        <v>68</v>
      </c>
      <c r="M315" t="s">
        <v>26</v>
      </c>
      <c r="N315" t="s">
        <v>26</v>
      </c>
      <c r="O315" t="s">
        <v>26</v>
      </c>
      <c r="P315" t="s">
        <v>26</v>
      </c>
      <c r="Q315" t="s">
        <v>26</v>
      </c>
      <c r="R315" t="s">
        <v>26</v>
      </c>
      <c r="S315" t="s">
        <v>26</v>
      </c>
      <c r="T315" t="s">
        <v>26</v>
      </c>
      <c r="U315" t="s">
        <v>26</v>
      </c>
      <c r="V315" t="s">
        <v>26</v>
      </c>
      <c r="W315" s="24">
        <v>32509</v>
      </c>
      <c r="X315" s="24">
        <v>44743</v>
      </c>
      <c r="Y315" t="s">
        <v>26</v>
      </c>
      <c r="Z315" s="24">
        <v>32509</v>
      </c>
      <c r="AA315" s="24">
        <v>44743</v>
      </c>
      <c r="AB315" t="s">
        <v>26</v>
      </c>
      <c r="AC315" s="24">
        <v>32509</v>
      </c>
      <c r="AD315" s="24">
        <v>44743</v>
      </c>
      <c r="AE315" t="s">
        <v>26</v>
      </c>
      <c r="AF315" t="s">
        <v>26</v>
      </c>
      <c r="AG315" t="s">
        <v>26</v>
      </c>
      <c r="AH315" t="s">
        <v>26</v>
      </c>
      <c r="AI315" t="s">
        <v>26</v>
      </c>
      <c r="AJ315" t="s">
        <v>26</v>
      </c>
      <c r="AK315" t="s">
        <v>26</v>
      </c>
      <c r="AL315" t="s">
        <v>26</v>
      </c>
      <c r="AM315" t="s">
        <v>26</v>
      </c>
      <c r="AN315" t="s">
        <v>26</v>
      </c>
      <c r="AO315" s="25" t="s">
        <v>68</v>
      </c>
      <c r="AP315" s="23" t="s">
        <v>69</v>
      </c>
      <c r="AQ315" s="23" t="s">
        <v>30</v>
      </c>
      <c r="AR315" s="23" t="s">
        <v>46</v>
      </c>
      <c r="AS315" s="25">
        <v>45719</v>
      </c>
      <c r="AT315" t="s">
        <v>26</v>
      </c>
      <c r="AU315" t="s">
        <v>22619</v>
      </c>
    </row>
    <row r="316" spans="1:47" ht="26.25" x14ac:dyDescent="0.4">
      <c r="A316" s="23" t="s">
        <v>1031</v>
      </c>
      <c r="B316" t="s">
        <v>26</v>
      </c>
      <c r="C316" s="23" t="s">
        <v>259</v>
      </c>
      <c r="D316" s="23" t="s">
        <v>22620</v>
      </c>
      <c r="E316" s="23" t="s">
        <v>60</v>
      </c>
      <c r="F316" s="25" t="s">
        <v>1032</v>
      </c>
      <c r="G316" s="25" t="s">
        <v>1033</v>
      </c>
      <c r="H316" t="s">
        <v>26</v>
      </c>
      <c r="I316" s="24">
        <v>41640</v>
      </c>
      <c r="J316" s="25" t="s">
        <v>77</v>
      </c>
      <c r="K316" t="s">
        <v>26</v>
      </c>
      <c r="L316" s="25" t="s">
        <v>68</v>
      </c>
      <c r="M316" s="24">
        <v>41640</v>
      </c>
      <c r="N316" s="25" t="s">
        <v>77</v>
      </c>
      <c r="O316" t="s">
        <v>26</v>
      </c>
      <c r="P316" s="24">
        <v>41640</v>
      </c>
      <c r="Q316" s="25" t="s">
        <v>77</v>
      </c>
      <c r="R316" t="s">
        <v>26</v>
      </c>
      <c r="S316" t="s">
        <v>26</v>
      </c>
      <c r="T316" t="s">
        <v>26</v>
      </c>
      <c r="U316" t="s">
        <v>26</v>
      </c>
      <c r="V316" t="s">
        <v>26</v>
      </c>
      <c r="W316" s="24">
        <v>41640</v>
      </c>
      <c r="X316" s="25" t="s">
        <v>77</v>
      </c>
      <c r="Y316" t="s">
        <v>26</v>
      </c>
      <c r="Z316" s="24">
        <v>41640</v>
      </c>
      <c r="AA316" s="25" t="s">
        <v>77</v>
      </c>
      <c r="AB316" t="s">
        <v>26</v>
      </c>
      <c r="AC316" s="24">
        <v>41640</v>
      </c>
      <c r="AD316" s="25" t="s">
        <v>77</v>
      </c>
      <c r="AE316" t="s">
        <v>26</v>
      </c>
      <c r="AF316" t="s">
        <v>26</v>
      </c>
      <c r="AG316" t="s">
        <v>26</v>
      </c>
      <c r="AH316" t="s">
        <v>26</v>
      </c>
      <c r="AI316" t="s">
        <v>26</v>
      </c>
      <c r="AJ316" t="s">
        <v>26</v>
      </c>
      <c r="AK316" t="s">
        <v>26</v>
      </c>
      <c r="AL316" t="s">
        <v>26</v>
      </c>
      <c r="AM316" t="s">
        <v>26</v>
      </c>
      <c r="AN316" t="s">
        <v>26</v>
      </c>
      <c r="AO316" s="25" t="s">
        <v>68</v>
      </c>
      <c r="AP316" s="23" t="s">
        <v>69</v>
      </c>
      <c r="AQ316" s="23" t="s">
        <v>30</v>
      </c>
      <c r="AR316" s="23" t="s">
        <v>70</v>
      </c>
      <c r="AS316" s="25">
        <v>2037352</v>
      </c>
      <c r="AT316" t="s">
        <v>26</v>
      </c>
      <c r="AU316" t="s">
        <v>22621</v>
      </c>
    </row>
    <row r="317" spans="1:47" ht="26.25" x14ac:dyDescent="0.4">
      <c r="A317" s="23" t="s">
        <v>1034</v>
      </c>
      <c r="B317" t="s">
        <v>26</v>
      </c>
      <c r="C317" s="23" t="s">
        <v>167</v>
      </c>
      <c r="D317" s="23" t="s">
        <v>22218</v>
      </c>
      <c r="E317" s="23" t="s">
        <v>60</v>
      </c>
      <c r="F317" s="25" t="s">
        <v>1035</v>
      </c>
      <c r="G317" s="25" t="s">
        <v>1036</v>
      </c>
      <c r="H317" t="s">
        <v>26</v>
      </c>
      <c r="I317" s="24">
        <v>36892</v>
      </c>
      <c r="J317" s="25" t="s">
        <v>77</v>
      </c>
      <c r="K317" t="s">
        <v>26</v>
      </c>
      <c r="L317" s="25" t="s">
        <v>68</v>
      </c>
      <c r="M317" s="24">
        <v>39448</v>
      </c>
      <c r="N317" s="25" t="s">
        <v>77</v>
      </c>
      <c r="O317" t="s">
        <v>26</v>
      </c>
      <c r="P317" s="24">
        <v>36892</v>
      </c>
      <c r="Q317" s="25" t="s">
        <v>77</v>
      </c>
      <c r="R317" t="s">
        <v>26</v>
      </c>
      <c r="S317" t="s">
        <v>26</v>
      </c>
      <c r="T317" t="s">
        <v>26</v>
      </c>
      <c r="U317" t="s">
        <v>26</v>
      </c>
      <c r="V317" s="25">
        <v>365</v>
      </c>
      <c r="W317" s="24">
        <v>36892</v>
      </c>
      <c r="X317" s="25" t="s">
        <v>77</v>
      </c>
      <c r="Y317" t="s">
        <v>26</v>
      </c>
      <c r="Z317" s="24">
        <v>36892</v>
      </c>
      <c r="AA317" s="25" t="s">
        <v>77</v>
      </c>
      <c r="AB317" t="s">
        <v>26</v>
      </c>
      <c r="AC317" s="24">
        <v>36892</v>
      </c>
      <c r="AD317" s="25" t="s">
        <v>77</v>
      </c>
      <c r="AE317" t="s">
        <v>26</v>
      </c>
      <c r="AF317" t="s">
        <v>26</v>
      </c>
      <c r="AG317" t="s">
        <v>26</v>
      </c>
      <c r="AH317" t="s">
        <v>26</v>
      </c>
      <c r="AI317" t="s">
        <v>26</v>
      </c>
      <c r="AJ317" t="s">
        <v>26</v>
      </c>
      <c r="AK317" t="s">
        <v>26</v>
      </c>
      <c r="AL317" t="s">
        <v>26</v>
      </c>
      <c r="AM317" t="s">
        <v>26</v>
      </c>
      <c r="AN317" t="s">
        <v>26</v>
      </c>
      <c r="AO317" s="25" t="s">
        <v>68</v>
      </c>
      <c r="AP317" s="23" t="s">
        <v>69</v>
      </c>
      <c r="AQ317" s="23" t="s">
        <v>30</v>
      </c>
      <c r="AR317" s="23" t="s">
        <v>46</v>
      </c>
      <c r="AS317" s="25">
        <v>10905</v>
      </c>
      <c r="AT317" t="s">
        <v>26</v>
      </c>
      <c r="AU317" t="s">
        <v>22622</v>
      </c>
    </row>
    <row r="318" spans="1:47" ht="13.15" x14ac:dyDescent="0.4">
      <c r="A318" s="23" t="s">
        <v>1037</v>
      </c>
      <c r="B318" t="s">
        <v>26</v>
      </c>
      <c r="C318" s="23" t="s">
        <v>1038</v>
      </c>
      <c r="D318" t="s">
        <v>26</v>
      </c>
      <c r="E318" s="23" t="s">
        <v>42</v>
      </c>
      <c r="F318" t="s">
        <v>26</v>
      </c>
      <c r="G318" t="s">
        <v>26</v>
      </c>
      <c r="H318" t="s">
        <v>26</v>
      </c>
      <c r="I318" s="25" t="s">
        <v>1039</v>
      </c>
      <c r="J318" s="25" t="s">
        <v>1039</v>
      </c>
      <c r="K318" t="s">
        <v>26</v>
      </c>
      <c r="L318" s="25" t="s">
        <v>28</v>
      </c>
      <c r="M318" s="25" t="s">
        <v>1039</v>
      </c>
      <c r="N318" s="25" t="s">
        <v>1039</v>
      </c>
      <c r="O318" t="s">
        <v>26</v>
      </c>
      <c r="P318" t="s">
        <v>26</v>
      </c>
      <c r="Q318" t="s">
        <v>26</v>
      </c>
      <c r="R318" t="s">
        <v>26</v>
      </c>
      <c r="S318" t="s">
        <v>26</v>
      </c>
      <c r="T318" t="s">
        <v>26</v>
      </c>
      <c r="U318" t="s">
        <v>26</v>
      </c>
      <c r="V318" t="s">
        <v>26</v>
      </c>
      <c r="W318" s="25" t="s">
        <v>1039</v>
      </c>
      <c r="X318" s="25" t="s">
        <v>1039</v>
      </c>
      <c r="Y318" t="s">
        <v>26</v>
      </c>
      <c r="Z318" s="25" t="s">
        <v>1039</v>
      </c>
      <c r="AA318" s="25" t="s">
        <v>1039</v>
      </c>
      <c r="AB318" t="s">
        <v>26</v>
      </c>
      <c r="AC318" s="25" t="s">
        <v>1039</v>
      </c>
      <c r="AD318" s="25" t="s">
        <v>1039</v>
      </c>
      <c r="AE318" t="s">
        <v>26</v>
      </c>
      <c r="AF318" t="s">
        <v>26</v>
      </c>
      <c r="AG318" t="s">
        <v>26</v>
      </c>
      <c r="AH318" t="s">
        <v>26</v>
      </c>
      <c r="AI318" t="s">
        <v>26</v>
      </c>
      <c r="AJ318" t="s">
        <v>26</v>
      </c>
      <c r="AK318" t="s">
        <v>26</v>
      </c>
      <c r="AL318" t="s">
        <v>26</v>
      </c>
      <c r="AM318" t="s">
        <v>26</v>
      </c>
      <c r="AN318" t="s">
        <v>26</v>
      </c>
      <c r="AO318" s="25" t="s">
        <v>28</v>
      </c>
      <c r="AP318" s="23" t="s">
        <v>29</v>
      </c>
      <c r="AQ318" s="23" t="s">
        <v>30</v>
      </c>
      <c r="AR318" s="23" t="s">
        <v>46</v>
      </c>
      <c r="AS318" s="25">
        <v>6009029</v>
      </c>
      <c r="AT318" t="s">
        <v>26</v>
      </c>
      <c r="AU318" t="s">
        <v>22623</v>
      </c>
    </row>
    <row r="319" spans="1:47" ht="13.15" x14ac:dyDescent="0.4">
      <c r="A319" s="23" t="s">
        <v>1040</v>
      </c>
      <c r="B319" t="s">
        <v>26</v>
      </c>
      <c r="C319" t="s">
        <v>26</v>
      </c>
      <c r="D319" t="s">
        <v>26</v>
      </c>
      <c r="E319" t="s">
        <v>26</v>
      </c>
      <c r="F319" t="s">
        <v>26</v>
      </c>
      <c r="G319" t="s">
        <v>26</v>
      </c>
      <c r="H319" t="s">
        <v>26</v>
      </c>
      <c r="I319" s="25" t="s">
        <v>1041</v>
      </c>
      <c r="J319" s="25" t="s">
        <v>1041</v>
      </c>
      <c r="K319" t="s">
        <v>26</v>
      </c>
      <c r="L319" s="25" t="s">
        <v>28</v>
      </c>
      <c r="M319" s="25" t="s">
        <v>1041</v>
      </c>
      <c r="N319" s="25" t="s">
        <v>1041</v>
      </c>
      <c r="O319" t="s">
        <v>26</v>
      </c>
      <c r="P319" t="s">
        <v>26</v>
      </c>
      <c r="Q319" t="s">
        <v>26</v>
      </c>
      <c r="R319" t="s">
        <v>26</v>
      </c>
      <c r="S319" t="s">
        <v>26</v>
      </c>
      <c r="T319" t="s">
        <v>26</v>
      </c>
      <c r="U319" t="s">
        <v>26</v>
      </c>
      <c r="V319" t="s">
        <v>26</v>
      </c>
      <c r="W319" s="25" t="s">
        <v>1041</v>
      </c>
      <c r="X319" s="25" t="s">
        <v>1041</v>
      </c>
      <c r="Y319" t="s">
        <v>26</v>
      </c>
      <c r="Z319" s="25" t="s">
        <v>1041</v>
      </c>
      <c r="AA319" s="25" t="s">
        <v>1041</v>
      </c>
      <c r="AB319" t="s">
        <v>26</v>
      </c>
      <c r="AC319" s="25" t="s">
        <v>1041</v>
      </c>
      <c r="AD319" s="25" t="s">
        <v>1041</v>
      </c>
      <c r="AE319" t="s">
        <v>26</v>
      </c>
      <c r="AF319" t="s">
        <v>26</v>
      </c>
      <c r="AG319" t="s">
        <v>26</v>
      </c>
      <c r="AH319" t="s">
        <v>26</v>
      </c>
      <c r="AI319" t="s">
        <v>26</v>
      </c>
      <c r="AJ319" t="s">
        <v>26</v>
      </c>
      <c r="AK319" t="s">
        <v>26</v>
      </c>
      <c r="AL319" t="s">
        <v>26</v>
      </c>
      <c r="AM319" t="s">
        <v>26</v>
      </c>
      <c r="AN319" t="s">
        <v>26</v>
      </c>
      <c r="AO319" s="25" t="s">
        <v>28</v>
      </c>
      <c r="AP319" s="23" t="s">
        <v>29</v>
      </c>
      <c r="AQ319" s="23" t="s">
        <v>30</v>
      </c>
      <c r="AR319" s="23" t="s">
        <v>46</v>
      </c>
      <c r="AS319" s="25">
        <v>6009028</v>
      </c>
      <c r="AT319" t="s">
        <v>26</v>
      </c>
      <c r="AU319" t="s">
        <v>22624</v>
      </c>
    </row>
    <row r="320" spans="1:47" ht="13.15" x14ac:dyDescent="0.4">
      <c r="A320" s="23" t="s">
        <v>22625</v>
      </c>
      <c r="B320" t="s">
        <v>26</v>
      </c>
      <c r="C320" s="23" t="s">
        <v>22626</v>
      </c>
      <c r="D320" s="23" t="s">
        <v>22256</v>
      </c>
      <c r="E320" s="23" t="s">
        <v>42</v>
      </c>
      <c r="F320" t="s">
        <v>26</v>
      </c>
      <c r="G320" t="s">
        <v>26</v>
      </c>
      <c r="H320" t="s">
        <v>26</v>
      </c>
      <c r="I320" s="24">
        <v>35946</v>
      </c>
      <c r="J320" s="24">
        <v>37986</v>
      </c>
      <c r="K320" t="s">
        <v>26</v>
      </c>
      <c r="L320" s="25" t="s">
        <v>28</v>
      </c>
      <c r="M320" s="24">
        <v>35946</v>
      </c>
      <c r="N320" s="24">
        <v>37986</v>
      </c>
      <c r="O320" t="s">
        <v>26</v>
      </c>
      <c r="P320" t="s">
        <v>26</v>
      </c>
      <c r="Q320" t="s">
        <v>26</v>
      </c>
      <c r="R320" t="s">
        <v>26</v>
      </c>
      <c r="S320" t="s">
        <v>26</v>
      </c>
      <c r="T320" t="s">
        <v>26</v>
      </c>
      <c r="U320" t="s">
        <v>26</v>
      </c>
      <c r="V320" t="s">
        <v>26</v>
      </c>
      <c r="W320" s="24">
        <v>35946</v>
      </c>
      <c r="X320" s="24">
        <v>37986</v>
      </c>
      <c r="Y320" t="s">
        <v>26</v>
      </c>
      <c r="Z320" s="24">
        <v>35946</v>
      </c>
      <c r="AA320" s="24">
        <v>37986</v>
      </c>
      <c r="AB320" t="s">
        <v>26</v>
      </c>
      <c r="AC320" s="24">
        <v>35946</v>
      </c>
      <c r="AD320" s="24">
        <v>37986</v>
      </c>
      <c r="AE320" t="s">
        <v>26</v>
      </c>
      <c r="AF320" t="s">
        <v>26</v>
      </c>
      <c r="AG320" t="s">
        <v>26</v>
      </c>
      <c r="AH320" t="s">
        <v>26</v>
      </c>
      <c r="AI320" t="s">
        <v>26</v>
      </c>
      <c r="AJ320" t="s">
        <v>26</v>
      </c>
      <c r="AK320" t="s">
        <v>26</v>
      </c>
      <c r="AL320" t="s">
        <v>26</v>
      </c>
      <c r="AM320" t="s">
        <v>26</v>
      </c>
      <c r="AN320" t="s">
        <v>26</v>
      </c>
      <c r="AO320" s="25" t="s">
        <v>28</v>
      </c>
      <c r="AP320" s="23" t="s">
        <v>279</v>
      </c>
      <c r="AQ320" s="23" t="s">
        <v>30</v>
      </c>
      <c r="AR320" s="23" t="s">
        <v>46</v>
      </c>
      <c r="AS320" s="25">
        <v>26072</v>
      </c>
      <c r="AT320" t="s">
        <v>26</v>
      </c>
      <c r="AU320" t="s">
        <v>22627</v>
      </c>
    </row>
    <row r="321" spans="1:47" ht="26.25" x14ac:dyDescent="0.4">
      <c r="A321" s="23" t="s">
        <v>1042</v>
      </c>
      <c r="B321" t="s">
        <v>26</v>
      </c>
      <c r="C321" s="23" t="s">
        <v>1043</v>
      </c>
      <c r="D321" s="23" t="s">
        <v>22545</v>
      </c>
      <c r="E321" s="23" t="s">
        <v>60</v>
      </c>
      <c r="F321" s="25" t="s">
        <v>1044</v>
      </c>
      <c r="G321" s="25" t="s">
        <v>1045</v>
      </c>
      <c r="H321" t="s">
        <v>26</v>
      </c>
      <c r="I321" t="s">
        <v>26</v>
      </c>
      <c r="J321" t="s">
        <v>26</v>
      </c>
      <c r="K321" t="s">
        <v>26</v>
      </c>
      <c r="L321" s="25" t="s">
        <v>68</v>
      </c>
      <c r="M321" t="s">
        <v>26</v>
      </c>
      <c r="N321" t="s">
        <v>26</v>
      </c>
      <c r="O321" t="s">
        <v>26</v>
      </c>
      <c r="P321" t="s">
        <v>26</v>
      </c>
      <c r="Q321" t="s">
        <v>26</v>
      </c>
      <c r="R321" t="s">
        <v>26</v>
      </c>
      <c r="S321" t="s">
        <v>26</v>
      </c>
      <c r="T321" t="s">
        <v>26</v>
      </c>
      <c r="U321" t="s">
        <v>26</v>
      </c>
      <c r="V321" t="s">
        <v>26</v>
      </c>
      <c r="W321" s="24">
        <v>40634</v>
      </c>
      <c r="X321" s="24">
        <v>44013</v>
      </c>
      <c r="Y321" t="s">
        <v>26</v>
      </c>
      <c r="Z321" s="24">
        <v>40634</v>
      </c>
      <c r="AA321" s="24">
        <v>44013</v>
      </c>
      <c r="AB321" t="s">
        <v>26</v>
      </c>
      <c r="AC321" s="24">
        <v>40634</v>
      </c>
      <c r="AD321" s="24">
        <v>44013</v>
      </c>
      <c r="AE321" t="s">
        <v>26</v>
      </c>
      <c r="AF321" t="s">
        <v>26</v>
      </c>
      <c r="AG321" t="s">
        <v>26</v>
      </c>
      <c r="AH321" t="s">
        <v>26</v>
      </c>
      <c r="AI321" t="s">
        <v>26</v>
      </c>
      <c r="AJ321" t="s">
        <v>26</v>
      </c>
      <c r="AK321" t="s">
        <v>26</v>
      </c>
      <c r="AL321" t="s">
        <v>26</v>
      </c>
      <c r="AM321" t="s">
        <v>26</v>
      </c>
      <c r="AN321" t="s">
        <v>26</v>
      </c>
      <c r="AO321" s="25" t="s">
        <v>68</v>
      </c>
      <c r="AP321" s="23" t="s">
        <v>69</v>
      </c>
      <c r="AQ321" s="23" t="s">
        <v>30</v>
      </c>
      <c r="AR321" s="23" t="s">
        <v>1046</v>
      </c>
      <c r="AS321" s="25">
        <v>436439</v>
      </c>
      <c r="AT321" t="s">
        <v>26</v>
      </c>
      <c r="AU321" t="s">
        <v>22628</v>
      </c>
    </row>
    <row r="322" spans="1:47" ht="26.25" x14ac:dyDescent="0.4">
      <c r="A322" s="23" t="s">
        <v>1047</v>
      </c>
      <c r="B322" t="s">
        <v>26</v>
      </c>
      <c r="C322" s="23" t="s">
        <v>22629</v>
      </c>
      <c r="D322" s="23" t="s">
        <v>22630</v>
      </c>
      <c r="E322" s="23" t="s">
        <v>42</v>
      </c>
      <c r="F322" t="s">
        <v>26</v>
      </c>
      <c r="G322" t="s">
        <v>26</v>
      </c>
      <c r="H322" t="s">
        <v>26</v>
      </c>
      <c r="I322" s="24">
        <v>25569</v>
      </c>
      <c r="J322" s="24">
        <v>40909</v>
      </c>
      <c r="K322" t="s">
        <v>26</v>
      </c>
      <c r="L322" s="25" t="s">
        <v>28</v>
      </c>
      <c r="M322" s="24">
        <v>25569</v>
      </c>
      <c r="N322" s="24">
        <v>40909</v>
      </c>
      <c r="O322" t="s">
        <v>26</v>
      </c>
      <c r="P322" t="s">
        <v>26</v>
      </c>
      <c r="Q322" t="s">
        <v>26</v>
      </c>
      <c r="R322" t="s">
        <v>26</v>
      </c>
      <c r="S322" s="24">
        <v>25569</v>
      </c>
      <c r="T322" s="24">
        <v>40909</v>
      </c>
      <c r="U322" t="s">
        <v>26</v>
      </c>
      <c r="V322" t="s">
        <v>26</v>
      </c>
      <c r="W322" s="24">
        <v>25569</v>
      </c>
      <c r="X322" s="24">
        <v>40909</v>
      </c>
      <c r="Y322" t="s">
        <v>26</v>
      </c>
      <c r="Z322" s="24">
        <v>25569</v>
      </c>
      <c r="AA322" s="24">
        <v>40909</v>
      </c>
      <c r="AB322" t="s">
        <v>26</v>
      </c>
      <c r="AC322" s="24">
        <v>25569</v>
      </c>
      <c r="AD322" s="24">
        <v>40909</v>
      </c>
      <c r="AE322" t="s">
        <v>26</v>
      </c>
      <c r="AF322" s="24">
        <v>25569</v>
      </c>
      <c r="AG322" s="24">
        <v>40909</v>
      </c>
      <c r="AH322" t="s">
        <v>26</v>
      </c>
      <c r="AI322" s="24">
        <v>25569</v>
      </c>
      <c r="AJ322" s="24">
        <v>40909</v>
      </c>
      <c r="AK322" t="s">
        <v>26</v>
      </c>
      <c r="AL322" t="s">
        <v>26</v>
      </c>
      <c r="AM322" t="s">
        <v>26</v>
      </c>
      <c r="AN322" t="s">
        <v>26</v>
      </c>
      <c r="AO322" s="25" t="s">
        <v>28</v>
      </c>
      <c r="AP322" s="23" t="s">
        <v>43</v>
      </c>
      <c r="AQ322" s="23" t="s">
        <v>30</v>
      </c>
      <c r="AR322" s="23" t="s">
        <v>46</v>
      </c>
      <c r="AS322" s="25">
        <v>6359420</v>
      </c>
      <c r="AT322" t="s">
        <v>26</v>
      </c>
      <c r="AU322" t="s">
        <v>22631</v>
      </c>
    </row>
    <row r="323" spans="1:47" ht="26.25" x14ac:dyDescent="0.4">
      <c r="A323" s="23" t="s">
        <v>1048</v>
      </c>
      <c r="B323" t="s">
        <v>26</v>
      </c>
      <c r="C323" s="23" t="s">
        <v>1049</v>
      </c>
      <c r="D323" s="23" t="s">
        <v>22352</v>
      </c>
      <c r="E323" s="23" t="s">
        <v>42</v>
      </c>
      <c r="F323" s="25" t="s">
        <v>1050</v>
      </c>
      <c r="G323" s="25" t="s">
        <v>1051</v>
      </c>
      <c r="H323" t="s">
        <v>26</v>
      </c>
      <c r="I323" s="24">
        <v>41730</v>
      </c>
      <c r="J323" s="24">
        <v>44105</v>
      </c>
      <c r="K323" t="s">
        <v>26</v>
      </c>
      <c r="L323" s="25" t="s">
        <v>68</v>
      </c>
      <c r="M323" s="24">
        <v>41730</v>
      </c>
      <c r="N323" s="24">
        <v>44105</v>
      </c>
      <c r="O323" t="s">
        <v>26</v>
      </c>
      <c r="P323" s="24">
        <v>41730</v>
      </c>
      <c r="Q323" s="24">
        <v>44105</v>
      </c>
      <c r="R323" t="s">
        <v>26</v>
      </c>
      <c r="S323" t="s">
        <v>26</v>
      </c>
      <c r="T323" t="s">
        <v>26</v>
      </c>
      <c r="U323" t="s">
        <v>26</v>
      </c>
      <c r="V323" t="s">
        <v>26</v>
      </c>
      <c r="W323" s="24">
        <v>41730</v>
      </c>
      <c r="X323" s="24">
        <v>44105</v>
      </c>
      <c r="Y323" t="s">
        <v>26</v>
      </c>
      <c r="Z323" s="24">
        <v>41730</v>
      </c>
      <c r="AA323" s="24">
        <v>44105</v>
      </c>
      <c r="AB323" t="s">
        <v>26</v>
      </c>
      <c r="AC323" s="24">
        <v>42644</v>
      </c>
      <c r="AD323" s="24">
        <v>44105</v>
      </c>
      <c r="AE323" t="s">
        <v>26</v>
      </c>
      <c r="AF323" t="s">
        <v>26</v>
      </c>
      <c r="AG323" t="s">
        <v>26</v>
      </c>
      <c r="AH323" t="s">
        <v>26</v>
      </c>
      <c r="AI323" t="s">
        <v>26</v>
      </c>
      <c r="AJ323" t="s">
        <v>26</v>
      </c>
      <c r="AK323" t="s">
        <v>26</v>
      </c>
      <c r="AL323" t="s">
        <v>26</v>
      </c>
      <c r="AM323" t="s">
        <v>26</v>
      </c>
      <c r="AN323" t="s">
        <v>26</v>
      </c>
      <c r="AO323" s="25" t="s">
        <v>68</v>
      </c>
      <c r="AP323" s="23" t="s">
        <v>69</v>
      </c>
      <c r="AQ323" s="23" t="s">
        <v>30</v>
      </c>
      <c r="AR323" s="23" t="s">
        <v>70</v>
      </c>
      <c r="AS323" s="25">
        <v>2035674</v>
      </c>
      <c r="AT323" t="s">
        <v>26</v>
      </c>
      <c r="AU323" t="s">
        <v>22632</v>
      </c>
    </row>
    <row r="324" spans="1:47" ht="26.25" x14ac:dyDescent="0.4">
      <c r="A324" s="23" t="s">
        <v>1052</v>
      </c>
      <c r="B324" t="s">
        <v>26</v>
      </c>
      <c r="C324" t="s">
        <v>26</v>
      </c>
      <c r="D324" s="23" t="s">
        <v>22256</v>
      </c>
      <c r="E324" t="s">
        <v>26</v>
      </c>
      <c r="F324" t="s">
        <v>26</v>
      </c>
      <c r="G324" t="s">
        <v>26</v>
      </c>
      <c r="H324" t="s">
        <v>26</v>
      </c>
      <c r="I324" s="24">
        <v>40909</v>
      </c>
      <c r="J324" s="24">
        <v>40909</v>
      </c>
      <c r="K324" t="s">
        <v>26</v>
      </c>
      <c r="L324" s="25" t="s">
        <v>28</v>
      </c>
      <c r="M324" s="24">
        <v>40909</v>
      </c>
      <c r="N324" s="24">
        <v>40909</v>
      </c>
      <c r="O324" t="s">
        <v>26</v>
      </c>
      <c r="P324" t="s">
        <v>26</v>
      </c>
      <c r="Q324" t="s">
        <v>26</v>
      </c>
      <c r="R324" t="s">
        <v>26</v>
      </c>
      <c r="S324" s="24">
        <v>40909</v>
      </c>
      <c r="T324" s="24">
        <v>40909</v>
      </c>
      <c r="U324" t="s">
        <v>26</v>
      </c>
      <c r="V324" t="s">
        <v>26</v>
      </c>
      <c r="W324" s="24">
        <v>40909</v>
      </c>
      <c r="X324" s="24">
        <v>40909</v>
      </c>
      <c r="Y324" t="s">
        <v>26</v>
      </c>
      <c r="Z324" s="24">
        <v>40909</v>
      </c>
      <c r="AA324" s="24">
        <v>40909</v>
      </c>
      <c r="AB324" t="s">
        <v>26</v>
      </c>
      <c r="AC324" s="24">
        <v>40909</v>
      </c>
      <c r="AD324" s="24">
        <v>40909</v>
      </c>
      <c r="AE324" t="s">
        <v>26</v>
      </c>
      <c r="AF324" s="24">
        <v>40909</v>
      </c>
      <c r="AG324" s="24">
        <v>40909</v>
      </c>
      <c r="AH324" t="s">
        <v>26</v>
      </c>
      <c r="AI324" s="24">
        <v>40909</v>
      </c>
      <c r="AJ324" s="24">
        <v>40909</v>
      </c>
      <c r="AK324" t="s">
        <v>26</v>
      </c>
      <c r="AL324" t="s">
        <v>26</v>
      </c>
      <c r="AM324" t="s">
        <v>26</v>
      </c>
      <c r="AN324" t="s">
        <v>26</v>
      </c>
      <c r="AO324" s="25" t="s">
        <v>28</v>
      </c>
      <c r="AP324" s="23" t="s">
        <v>43</v>
      </c>
      <c r="AQ324" s="23" t="s">
        <v>30</v>
      </c>
      <c r="AR324" s="23" t="s">
        <v>46</v>
      </c>
      <c r="AS324" s="25">
        <v>6359419</v>
      </c>
      <c r="AT324" t="s">
        <v>26</v>
      </c>
      <c r="AU324" t="s">
        <v>22633</v>
      </c>
    </row>
    <row r="325" spans="1:47" ht="13.15" x14ac:dyDescent="0.4">
      <c r="A325" s="23" t="s">
        <v>1053</v>
      </c>
      <c r="B325" t="s">
        <v>26</v>
      </c>
      <c r="C325" s="23" t="s">
        <v>1054</v>
      </c>
      <c r="D325" s="23" t="s">
        <v>22634</v>
      </c>
      <c r="E325" s="23" t="s">
        <v>335</v>
      </c>
      <c r="F325" t="s">
        <v>26</v>
      </c>
      <c r="G325" t="s">
        <v>26</v>
      </c>
      <c r="H325" t="s">
        <v>26</v>
      </c>
      <c r="I325" t="s">
        <v>26</v>
      </c>
      <c r="J325" t="s">
        <v>26</v>
      </c>
      <c r="K325" t="s">
        <v>26</v>
      </c>
      <c r="L325" s="25" t="s">
        <v>28</v>
      </c>
      <c r="M325" t="s">
        <v>26</v>
      </c>
      <c r="N325" t="s">
        <v>26</v>
      </c>
      <c r="O325" t="s">
        <v>26</v>
      </c>
      <c r="P325" t="s">
        <v>26</v>
      </c>
      <c r="Q325" t="s">
        <v>26</v>
      </c>
      <c r="R325" t="s">
        <v>26</v>
      </c>
      <c r="S325" t="s">
        <v>26</v>
      </c>
      <c r="T325" t="s">
        <v>26</v>
      </c>
      <c r="U325" t="s">
        <v>26</v>
      </c>
      <c r="V325" t="s">
        <v>26</v>
      </c>
      <c r="W325" s="24">
        <v>40909</v>
      </c>
      <c r="X325" s="24">
        <v>40909</v>
      </c>
      <c r="Y325" t="s">
        <v>26</v>
      </c>
      <c r="Z325" s="24">
        <v>40909</v>
      </c>
      <c r="AA325" s="24">
        <v>40909</v>
      </c>
      <c r="AB325" t="s">
        <v>26</v>
      </c>
      <c r="AC325" t="s">
        <v>26</v>
      </c>
      <c r="AD325" t="s">
        <v>26</v>
      </c>
      <c r="AE325" t="s">
        <v>26</v>
      </c>
      <c r="AF325" t="s">
        <v>26</v>
      </c>
      <c r="AG325" t="s">
        <v>26</v>
      </c>
      <c r="AH325" t="s">
        <v>26</v>
      </c>
      <c r="AI325" t="s">
        <v>26</v>
      </c>
      <c r="AJ325" t="s">
        <v>26</v>
      </c>
      <c r="AK325" t="s">
        <v>26</v>
      </c>
      <c r="AL325" t="s">
        <v>26</v>
      </c>
      <c r="AM325" t="s">
        <v>26</v>
      </c>
      <c r="AN325" t="s">
        <v>26</v>
      </c>
      <c r="AO325" s="25" t="s">
        <v>28</v>
      </c>
      <c r="AP325" s="23" t="s">
        <v>29</v>
      </c>
      <c r="AQ325" s="23" t="s">
        <v>30</v>
      </c>
      <c r="AR325" s="23" t="s">
        <v>1055</v>
      </c>
      <c r="AS325" s="25">
        <v>5483544</v>
      </c>
      <c r="AT325" s="23" t="s">
        <v>22181</v>
      </c>
      <c r="AU325" t="s">
        <v>22635</v>
      </c>
    </row>
    <row r="326" spans="1:47" ht="26.25" x14ac:dyDescent="0.4">
      <c r="A326" s="23" t="s">
        <v>1056</v>
      </c>
      <c r="B326" t="s">
        <v>26</v>
      </c>
      <c r="C326" s="23" t="s">
        <v>22636</v>
      </c>
      <c r="D326" s="23" t="s">
        <v>22637</v>
      </c>
      <c r="E326" s="23" t="s">
        <v>42</v>
      </c>
      <c r="F326" t="s">
        <v>26</v>
      </c>
      <c r="G326" t="s">
        <v>26</v>
      </c>
      <c r="H326" t="s">
        <v>26</v>
      </c>
      <c r="I326" s="24">
        <v>40544</v>
      </c>
      <c r="J326" s="24">
        <v>40544</v>
      </c>
      <c r="K326" t="s">
        <v>26</v>
      </c>
      <c r="L326" s="25" t="s">
        <v>28</v>
      </c>
      <c r="M326" s="24">
        <v>40544</v>
      </c>
      <c r="N326" s="24">
        <v>40544</v>
      </c>
      <c r="O326" t="s">
        <v>26</v>
      </c>
      <c r="P326" t="s">
        <v>26</v>
      </c>
      <c r="Q326" t="s">
        <v>26</v>
      </c>
      <c r="R326" t="s">
        <v>26</v>
      </c>
      <c r="S326" s="24">
        <v>40544</v>
      </c>
      <c r="T326" s="24">
        <v>40544</v>
      </c>
      <c r="U326" t="s">
        <v>26</v>
      </c>
      <c r="V326" t="s">
        <v>26</v>
      </c>
      <c r="W326" s="24">
        <v>40544</v>
      </c>
      <c r="X326" s="24">
        <v>40544</v>
      </c>
      <c r="Y326" t="s">
        <v>26</v>
      </c>
      <c r="Z326" s="24">
        <v>40544</v>
      </c>
      <c r="AA326" s="24">
        <v>40544</v>
      </c>
      <c r="AB326" t="s">
        <v>26</v>
      </c>
      <c r="AC326" s="24">
        <v>40544</v>
      </c>
      <c r="AD326" s="24">
        <v>40544</v>
      </c>
      <c r="AE326" t="s">
        <v>26</v>
      </c>
      <c r="AF326" s="24">
        <v>40544</v>
      </c>
      <c r="AG326" s="24">
        <v>40544</v>
      </c>
      <c r="AH326" t="s">
        <v>26</v>
      </c>
      <c r="AI326" s="24">
        <v>40544</v>
      </c>
      <c r="AJ326" s="24">
        <v>40544</v>
      </c>
      <c r="AK326" t="s">
        <v>26</v>
      </c>
      <c r="AL326" t="s">
        <v>26</v>
      </c>
      <c r="AM326" t="s">
        <v>26</v>
      </c>
      <c r="AN326" t="s">
        <v>26</v>
      </c>
      <c r="AO326" s="25" t="s">
        <v>28</v>
      </c>
      <c r="AP326" s="23" t="s">
        <v>43</v>
      </c>
      <c r="AQ326" s="23" t="s">
        <v>30</v>
      </c>
      <c r="AR326" s="23" t="s">
        <v>46</v>
      </c>
      <c r="AS326" s="25">
        <v>6359417</v>
      </c>
      <c r="AT326" t="s">
        <v>26</v>
      </c>
      <c r="AU326" t="s">
        <v>22638</v>
      </c>
    </row>
    <row r="327" spans="1:47" ht="26.25" x14ac:dyDescent="0.4">
      <c r="A327" s="23" t="s">
        <v>1057</v>
      </c>
      <c r="B327" t="s">
        <v>26</v>
      </c>
      <c r="C327" s="23" t="s">
        <v>167</v>
      </c>
      <c r="D327" s="23" t="s">
        <v>22218</v>
      </c>
      <c r="E327" s="23" t="s">
        <v>60</v>
      </c>
      <c r="F327" s="25" t="s">
        <v>1058</v>
      </c>
      <c r="G327" s="25" t="s">
        <v>1059</v>
      </c>
      <c r="H327" t="s">
        <v>26</v>
      </c>
      <c r="I327" s="24">
        <v>36982</v>
      </c>
      <c r="J327" s="25" t="s">
        <v>77</v>
      </c>
      <c r="K327" t="s">
        <v>26</v>
      </c>
      <c r="L327" s="25" t="s">
        <v>68</v>
      </c>
      <c r="M327" s="24">
        <v>39508</v>
      </c>
      <c r="N327" s="25" t="s">
        <v>77</v>
      </c>
      <c r="O327" t="s">
        <v>26</v>
      </c>
      <c r="P327" s="24">
        <v>36982</v>
      </c>
      <c r="Q327" s="25" t="s">
        <v>77</v>
      </c>
      <c r="R327" t="s">
        <v>26</v>
      </c>
      <c r="S327" t="s">
        <v>26</v>
      </c>
      <c r="T327" t="s">
        <v>26</v>
      </c>
      <c r="U327" t="s">
        <v>26</v>
      </c>
      <c r="V327" s="25">
        <v>365</v>
      </c>
      <c r="W327" s="24">
        <v>36982</v>
      </c>
      <c r="X327" s="25" t="s">
        <v>77</v>
      </c>
      <c r="Y327" t="s">
        <v>26</v>
      </c>
      <c r="Z327" s="24">
        <v>36982</v>
      </c>
      <c r="AA327" s="25" t="s">
        <v>77</v>
      </c>
      <c r="AB327" t="s">
        <v>26</v>
      </c>
      <c r="AC327" s="24">
        <v>36982</v>
      </c>
      <c r="AD327" s="25" t="s">
        <v>77</v>
      </c>
      <c r="AE327" t="s">
        <v>26</v>
      </c>
      <c r="AF327" t="s">
        <v>26</v>
      </c>
      <c r="AG327" t="s">
        <v>26</v>
      </c>
      <c r="AH327" t="s">
        <v>26</v>
      </c>
      <c r="AI327" t="s">
        <v>26</v>
      </c>
      <c r="AJ327" t="s">
        <v>26</v>
      </c>
      <c r="AK327" t="s">
        <v>26</v>
      </c>
      <c r="AL327" t="s">
        <v>26</v>
      </c>
      <c r="AM327" t="s">
        <v>26</v>
      </c>
      <c r="AN327" t="s">
        <v>26</v>
      </c>
      <c r="AO327" s="25" t="s">
        <v>68</v>
      </c>
      <c r="AP327" s="23" t="s">
        <v>69</v>
      </c>
      <c r="AQ327" s="23" t="s">
        <v>30</v>
      </c>
      <c r="AR327" s="23" t="s">
        <v>674</v>
      </c>
      <c r="AS327" s="25">
        <v>32700</v>
      </c>
      <c r="AT327" t="s">
        <v>26</v>
      </c>
      <c r="AU327" t="s">
        <v>22639</v>
      </c>
    </row>
    <row r="328" spans="1:47" ht="13.15" x14ac:dyDescent="0.4">
      <c r="A328" s="23" t="s">
        <v>1060</v>
      </c>
      <c r="B328" t="s">
        <v>26</v>
      </c>
      <c r="C328" s="23" t="s">
        <v>146</v>
      </c>
      <c r="D328" s="23" t="s">
        <v>22174</v>
      </c>
      <c r="E328" s="23" t="s">
        <v>60</v>
      </c>
      <c r="F328" t="s">
        <v>26</v>
      </c>
      <c r="G328" t="s">
        <v>26</v>
      </c>
      <c r="H328" t="s">
        <v>26</v>
      </c>
      <c r="I328" s="25" t="s">
        <v>295</v>
      </c>
      <c r="J328" s="25" t="s">
        <v>295</v>
      </c>
      <c r="K328" t="s">
        <v>26</v>
      </c>
      <c r="L328" s="25" t="s">
        <v>28</v>
      </c>
      <c r="M328" t="s">
        <v>26</v>
      </c>
      <c r="N328" t="s">
        <v>26</v>
      </c>
      <c r="O328" t="s">
        <v>26</v>
      </c>
      <c r="P328" s="25" t="s">
        <v>295</v>
      </c>
      <c r="Q328" s="25" t="s">
        <v>295</v>
      </c>
      <c r="R328" t="s">
        <v>26</v>
      </c>
      <c r="S328" t="s">
        <v>26</v>
      </c>
      <c r="T328" t="s">
        <v>26</v>
      </c>
      <c r="U328" t="s">
        <v>26</v>
      </c>
      <c r="V328" t="s">
        <v>26</v>
      </c>
      <c r="W328" s="25" t="s">
        <v>295</v>
      </c>
      <c r="X328" s="25" t="s">
        <v>295</v>
      </c>
      <c r="Y328" t="s">
        <v>26</v>
      </c>
      <c r="Z328" s="25" t="s">
        <v>295</v>
      </c>
      <c r="AA328" s="25" t="s">
        <v>295</v>
      </c>
      <c r="AB328" t="s">
        <v>26</v>
      </c>
      <c r="AC328" s="25" t="s">
        <v>295</v>
      </c>
      <c r="AD328" s="25" t="s">
        <v>295</v>
      </c>
      <c r="AE328" t="s">
        <v>26</v>
      </c>
      <c r="AF328" t="s">
        <v>26</v>
      </c>
      <c r="AG328" t="s">
        <v>26</v>
      </c>
      <c r="AH328" t="s">
        <v>26</v>
      </c>
      <c r="AI328" t="s">
        <v>26</v>
      </c>
      <c r="AJ328" t="s">
        <v>26</v>
      </c>
      <c r="AK328" t="s">
        <v>26</v>
      </c>
      <c r="AL328" t="s">
        <v>26</v>
      </c>
      <c r="AM328" t="s">
        <v>26</v>
      </c>
      <c r="AN328" t="s">
        <v>26</v>
      </c>
      <c r="AO328" s="25" t="s">
        <v>28</v>
      </c>
      <c r="AP328" s="23" t="s">
        <v>29</v>
      </c>
      <c r="AQ328" s="23" t="s">
        <v>30</v>
      </c>
      <c r="AR328" s="23" t="s">
        <v>46</v>
      </c>
      <c r="AS328" s="25">
        <v>6128789</v>
      </c>
      <c r="AT328" t="s">
        <v>26</v>
      </c>
      <c r="AU328" t="s">
        <v>22640</v>
      </c>
    </row>
    <row r="329" spans="1:47" ht="39.4" x14ac:dyDescent="0.4">
      <c r="A329" s="23" t="s">
        <v>1061</v>
      </c>
      <c r="B329" t="s">
        <v>26</v>
      </c>
      <c r="C329" t="s">
        <v>26</v>
      </c>
      <c r="D329" s="23" t="s">
        <v>22174</v>
      </c>
      <c r="E329" t="s">
        <v>26</v>
      </c>
      <c r="F329" t="s">
        <v>26</v>
      </c>
      <c r="G329" t="s">
        <v>26</v>
      </c>
      <c r="H329" t="s">
        <v>26</v>
      </c>
      <c r="I329" s="24">
        <v>42370</v>
      </c>
      <c r="J329" s="24">
        <v>42370</v>
      </c>
      <c r="K329" t="s">
        <v>26</v>
      </c>
      <c r="L329" s="25" t="s">
        <v>28</v>
      </c>
      <c r="M329" t="s">
        <v>26</v>
      </c>
      <c r="N329" t="s">
        <v>26</v>
      </c>
      <c r="O329" t="s">
        <v>26</v>
      </c>
      <c r="P329" s="24">
        <v>42370</v>
      </c>
      <c r="Q329" s="24">
        <v>42370</v>
      </c>
      <c r="R329" t="s">
        <v>26</v>
      </c>
      <c r="S329" t="s">
        <v>26</v>
      </c>
      <c r="T329" t="s">
        <v>26</v>
      </c>
      <c r="U329" t="s">
        <v>26</v>
      </c>
      <c r="V329" t="s">
        <v>26</v>
      </c>
      <c r="W329" s="24">
        <v>42370</v>
      </c>
      <c r="X329" s="24">
        <v>42370</v>
      </c>
      <c r="Y329" t="s">
        <v>26</v>
      </c>
      <c r="Z329" s="24">
        <v>42370</v>
      </c>
      <c r="AA329" s="24">
        <v>42370</v>
      </c>
      <c r="AB329" t="s">
        <v>26</v>
      </c>
      <c r="AC329" s="24">
        <v>42370</v>
      </c>
      <c r="AD329" s="24">
        <v>42370</v>
      </c>
      <c r="AE329" t="s">
        <v>26</v>
      </c>
      <c r="AF329" t="s">
        <v>26</v>
      </c>
      <c r="AG329" t="s">
        <v>26</v>
      </c>
      <c r="AH329" t="s">
        <v>26</v>
      </c>
      <c r="AI329" t="s">
        <v>26</v>
      </c>
      <c r="AJ329" t="s">
        <v>26</v>
      </c>
      <c r="AK329" t="s">
        <v>26</v>
      </c>
      <c r="AL329" t="s">
        <v>26</v>
      </c>
      <c r="AM329" t="s">
        <v>26</v>
      </c>
      <c r="AN329" t="s">
        <v>26</v>
      </c>
      <c r="AO329" s="25" t="s">
        <v>28</v>
      </c>
      <c r="AP329" s="23" t="s">
        <v>29</v>
      </c>
      <c r="AQ329" s="23" t="s">
        <v>30</v>
      </c>
      <c r="AR329" s="23" t="s">
        <v>44</v>
      </c>
      <c r="AS329" s="25">
        <v>5483559</v>
      </c>
      <c r="AT329" s="23" t="s">
        <v>22181</v>
      </c>
      <c r="AU329" t="s">
        <v>22641</v>
      </c>
    </row>
    <row r="330" spans="1:47" ht="26.25" x14ac:dyDescent="0.4">
      <c r="A330" s="23" t="s">
        <v>1062</v>
      </c>
      <c r="B330" t="s">
        <v>26</v>
      </c>
      <c r="C330" s="23" t="s">
        <v>213</v>
      </c>
      <c r="D330" s="23" t="s">
        <v>22174</v>
      </c>
      <c r="E330" s="23" t="s">
        <v>60</v>
      </c>
      <c r="F330" t="s">
        <v>26</v>
      </c>
      <c r="G330" s="25" t="s">
        <v>1063</v>
      </c>
      <c r="H330" t="s">
        <v>26</v>
      </c>
      <c r="I330" s="24">
        <v>39814</v>
      </c>
      <c r="J330" s="25" t="s">
        <v>77</v>
      </c>
      <c r="K330" t="s">
        <v>26</v>
      </c>
      <c r="L330" s="25" t="s">
        <v>68</v>
      </c>
      <c r="M330" t="s">
        <v>26</v>
      </c>
      <c r="N330" t="s">
        <v>26</v>
      </c>
      <c r="O330" t="s">
        <v>26</v>
      </c>
      <c r="P330" s="24">
        <v>39814</v>
      </c>
      <c r="Q330" s="25" t="s">
        <v>77</v>
      </c>
      <c r="R330" t="s">
        <v>26</v>
      </c>
      <c r="S330" t="s">
        <v>26</v>
      </c>
      <c r="T330" t="s">
        <v>26</v>
      </c>
      <c r="U330" t="s">
        <v>26</v>
      </c>
      <c r="V330" t="s">
        <v>26</v>
      </c>
      <c r="W330" s="24">
        <v>39814</v>
      </c>
      <c r="X330" s="25" t="s">
        <v>77</v>
      </c>
      <c r="Y330" t="s">
        <v>26</v>
      </c>
      <c r="Z330" s="24">
        <v>39814</v>
      </c>
      <c r="AA330" s="25" t="s">
        <v>77</v>
      </c>
      <c r="AB330" t="s">
        <v>26</v>
      </c>
      <c r="AC330" s="24">
        <v>39814</v>
      </c>
      <c r="AD330" s="25" t="s">
        <v>77</v>
      </c>
      <c r="AE330" t="s">
        <v>26</v>
      </c>
      <c r="AF330" t="s">
        <v>26</v>
      </c>
      <c r="AG330" t="s">
        <v>26</v>
      </c>
      <c r="AH330" t="s">
        <v>26</v>
      </c>
      <c r="AI330" t="s">
        <v>26</v>
      </c>
      <c r="AJ330" t="s">
        <v>26</v>
      </c>
      <c r="AK330" t="s">
        <v>26</v>
      </c>
      <c r="AL330" t="s">
        <v>26</v>
      </c>
      <c r="AM330" t="s">
        <v>26</v>
      </c>
      <c r="AN330" t="s">
        <v>26</v>
      </c>
      <c r="AO330" s="25" t="s">
        <v>68</v>
      </c>
      <c r="AP330" s="23" t="s">
        <v>69</v>
      </c>
      <c r="AQ330" s="23" t="s">
        <v>30</v>
      </c>
      <c r="AR330" s="23" t="s">
        <v>277</v>
      </c>
      <c r="AS330" s="25">
        <v>55235</v>
      </c>
      <c r="AT330" t="s">
        <v>26</v>
      </c>
      <c r="AU330" t="s">
        <v>22642</v>
      </c>
    </row>
    <row r="331" spans="1:47" ht="26.25" x14ac:dyDescent="0.4">
      <c r="A331" s="23" t="s">
        <v>1064</v>
      </c>
      <c r="B331" t="s">
        <v>26</v>
      </c>
      <c r="C331" s="23" t="s">
        <v>80</v>
      </c>
      <c r="D331" s="23" t="s">
        <v>22179</v>
      </c>
      <c r="E331" s="23" t="s">
        <v>60</v>
      </c>
      <c r="F331" s="25" t="s">
        <v>1065</v>
      </c>
      <c r="G331" s="25" t="s">
        <v>1066</v>
      </c>
      <c r="H331" t="s">
        <v>26</v>
      </c>
      <c r="I331" s="24">
        <v>36800</v>
      </c>
      <c r="J331" s="24">
        <v>41214</v>
      </c>
      <c r="K331" s="25" t="s">
        <v>1067</v>
      </c>
      <c r="L331" s="25" t="s">
        <v>68</v>
      </c>
      <c r="M331" s="24">
        <v>36800</v>
      </c>
      <c r="N331" s="24">
        <v>41214</v>
      </c>
      <c r="O331" s="25" t="s">
        <v>1067</v>
      </c>
      <c r="P331" s="24">
        <v>36800</v>
      </c>
      <c r="Q331" s="24">
        <v>41214</v>
      </c>
      <c r="R331" s="25" t="s">
        <v>1067</v>
      </c>
      <c r="S331" t="s">
        <v>26</v>
      </c>
      <c r="T331" t="s">
        <v>26</v>
      </c>
      <c r="U331" t="s">
        <v>26</v>
      </c>
      <c r="V331" t="s">
        <v>26</v>
      </c>
      <c r="W331" s="24">
        <v>32599</v>
      </c>
      <c r="X331" s="25" t="s">
        <v>77</v>
      </c>
      <c r="Y331" s="25" t="s">
        <v>1068</v>
      </c>
      <c r="Z331" s="24">
        <v>32599</v>
      </c>
      <c r="AA331" s="25" t="s">
        <v>77</v>
      </c>
      <c r="AB331" s="25" t="s">
        <v>1068</v>
      </c>
      <c r="AC331" s="24">
        <v>32599</v>
      </c>
      <c r="AD331" s="25" t="s">
        <v>77</v>
      </c>
      <c r="AE331" s="25" t="s">
        <v>1068</v>
      </c>
      <c r="AF331" t="s">
        <v>26</v>
      </c>
      <c r="AG331" t="s">
        <v>26</v>
      </c>
      <c r="AH331" t="s">
        <v>26</v>
      </c>
      <c r="AI331" t="s">
        <v>26</v>
      </c>
      <c r="AJ331" t="s">
        <v>26</v>
      </c>
      <c r="AK331" t="s">
        <v>26</v>
      </c>
      <c r="AL331" t="s">
        <v>26</v>
      </c>
      <c r="AM331" t="s">
        <v>26</v>
      </c>
      <c r="AN331" t="s">
        <v>26</v>
      </c>
      <c r="AO331" s="25" t="s">
        <v>68</v>
      </c>
      <c r="AP331" s="23" t="s">
        <v>69</v>
      </c>
      <c r="AQ331" s="23" t="s">
        <v>30</v>
      </c>
      <c r="AR331" s="23" t="s">
        <v>1069</v>
      </c>
      <c r="AS331" s="25">
        <v>42418</v>
      </c>
      <c r="AT331" t="s">
        <v>26</v>
      </c>
      <c r="AU331" t="s">
        <v>22643</v>
      </c>
    </row>
    <row r="332" spans="1:47" ht="26.25" x14ac:dyDescent="0.4">
      <c r="A332" s="23" t="s">
        <v>1070</v>
      </c>
      <c r="B332" t="s">
        <v>26</v>
      </c>
      <c r="C332" s="23" t="s">
        <v>1071</v>
      </c>
      <c r="D332" s="23" t="s">
        <v>22644</v>
      </c>
      <c r="E332" s="23" t="s">
        <v>60</v>
      </c>
      <c r="F332" s="25" t="s">
        <v>1072</v>
      </c>
      <c r="G332" s="25" t="s">
        <v>1073</v>
      </c>
      <c r="H332" t="s">
        <v>26</v>
      </c>
      <c r="I332" s="24">
        <v>38443</v>
      </c>
      <c r="J332" s="24">
        <v>40269</v>
      </c>
      <c r="K332" t="s">
        <v>26</v>
      </c>
      <c r="L332" s="25" t="s">
        <v>68</v>
      </c>
      <c r="M332" s="24">
        <v>38443</v>
      </c>
      <c r="N332" s="24">
        <v>38899</v>
      </c>
      <c r="O332" t="s">
        <v>26</v>
      </c>
      <c r="P332" s="24">
        <v>38443</v>
      </c>
      <c r="Q332" s="24">
        <v>40269</v>
      </c>
      <c r="R332" t="s">
        <v>26</v>
      </c>
      <c r="S332" t="s">
        <v>26</v>
      </c>
      <c r="T332" t="s">
        <v>26</v>
      </c>
      <c r="U332" t="s">
        <v>26</v>
      </c>
      <c r="V332" t="s">
        <v>26</v>
      </c>
      <c r="W332" s="24">
        <v>38443</v>
      </c>
      <c r="X332" s="24">
        <v>40269</v>
      </c>
      <c r="Y332" t="s">
        <v>26</v>
      </c>
      <c r="Z332" s="24">
        <v>38443</v>
      </c>
      <c r="AA332" s="24">
        <v>40269</v>
      </c>
      <c r="AB332" t="s">
        <v>26</v>
      </c>
      <c r="AC332" t="s">
        <v>26</v>
      </c>
      <c r="AD332" t="s">
        <v>26</v>
      </c>
      <c r="AE332" t="s">
        <v>26</v>
      </c>
      <c r="AF332" t="s">
        <v>26</v>
      </c>
      <c r="AG332" t="s">
        <v>26</v>
      </c>
      <c r="AH332" t="s">
        <v>26</v>
      </c>
      <c r="AI332" t="s">
        <v>26</v>
      </c>
      <c r="AJ332" t="s">
        <v>26</v>
      </c>
      <c r="AK332" t="s">
        <v>26</v>
      </c>
      <c r="AL332" t="s">
        <v>26</v>
      </c>
      <c r="AM332" t="s">
        <v>26</v>
      </c>
      <c r="AN332" t="s">
        <v>26</v>
      </c>
      <c r="AO332" s="25" t="s">
        <v>68</v>
      </c>
      <c r="AP332" s="23" t="s">
        <v>69</v>
      </c>
      <c r="AQ332" s="23" t="s">
        <v>30</v>
      </c>
      <c r="AR332" s="23" t="s">
        <v>71</v>
      </c>
      <c r="AS332" s="25">
        <v>39806</v>
      </c>
      <c r="AT332" t="s">
        <v>26</v>
      </c>
      <c r="AU332" t="s">
        <v>22645</v>
      </c>
    </row>
    <row r="333" spans="1:47" ht="26.25" x14ac:dyDescent="0.4">
      <c r="A333" s="23" t="s">
        <v>1074</v>
      </c>
      <c r="B333" t="s">
        <v>26</v>
      </c>
      <c r="C333" s="23" t="s">
        <v>1071</v>
      </c>
      <c r="D333" s="23" t="s">
        <v>22644</v>
      </c>
      <c r="E333" s="23" t="s">
        <v>60</v>
      </c>
      <c r="F333" t="s">
        <v>26</v>
      </c>
      <c r="G333" s="25" t="s">
        <v>1073</v>
      </c>
      <c r="H333" t="s">
        <v>26</v>
      </c>
      <c r="I333" s="24">
        <v>40360</v>
      </c>
      <c r="J333" s="25" t="s">
        <v>77</v>
      </c>
      <c r="K333" t="s">
        <v>26</v>
      </c>
      <c r="L333" s="25" t="s">
        <v>68</v>
      </c>
      <c r="M333" s="24">
        <v>40360</v>
      </c>
      <c r="N333" s="24">
        <v>44013</v>
      </c>
      <c r="O333" t="s">
        <v>26</v>
      </c>
      <c r="P333" s="24">
        <v>40360</v>
      </c>
      <c r="Q333" s="25" t="s">
        <v>77</v>
      </c>
      <c r="R333" t="s">
        <v>26</v>
      </c>
      <c r="S333" t="s">
        <v>26</v>
      </c>
      <c r="T333" t="s">
        <v>26</v>
      </c>
      <c r="U333" t="s">
        <v>26</v>
      </c>
      <c r="V333" s="25">
        <v>180</v>
      </c>
      <c r="W333" s="24">
        <v>40360</v>
      </c>
      <c r="X333" s="25" t="s">
        <v>77</v>
      </c>
      <c r="Y333" t="s">
        <v>26</v>
      </c>
      <c r="Z333" s="24">
        <v>40360</v>
      </c>
      <c r="AA333" s="25" t="s">
        <v>77</v>
      </c>
      <c r="AB333" t="s">
        <v>26</v>
      </c>
      <c r="AC333" s="24">
        <v>40634</v>
      </c>
      <c r="AD333" s="25" t="s">
        <v>77</v>
      </c>
      <c r="AE333" t="s">
        <v>26</v>
      </c>
      <c r="AF333" t="s">
        <v>26</v>
      </c>
      <c r="AG333" t="s">
        <v>26</v>
      </c>
      <c r="AH333" t="s">
        <v>26</v>
      </c>
      <c r="AI333" t="s">
        <v>26</v>
      </c>
      <c r="AJ333" t="s">
        <v>26</v>
      </c>
      <c r="AK333" t="s">
        <v>26</v>
      </c>
      <c r="AL333" t="s">
        <v>26</v>
      </c>
      <c r="AM333" t="s">
        <v>26</v>
      </c>
      <c r="AN333" t="s">
        <v>26</v>
      </c>
      <c r="AO333" s="25" t="s">
        <v>68</v>
      </c>
      <c r="AP333" s="23" t="s">
        <v>69</v>
      </c>
      <c r="AQ333" s="23" t="s">
        <v>30</v>
      </c>
      <c r="AR333" s="23" t="s">
        <v>71</v>
      </c>
      <c r="AS333" s="25">
        <v>506344</v>
      </c>
      <c r="AT333" t="s">
        <v>26</v>
      </c>
      <c r="AU333" t="s">
        <v>22646</v>
      </c>
    </row>
    <row r="334" spans="1:47" ht="26.25" x14ac:dyDescent="0.4">
      <c r="A334" s="23" t="s">
        <v>1075</v>
      </c>
      <c r="B334" t="s">
        <v>26</v>
      </c>
      <c r="C334" s="23" t="s">
        <v>1076</v>
      </c>
      <c r="D334" s="23" t="s">
        <v>22647</v>
      </c>
      <c r="E334" s="23" t="s">
        <v>42</v>
      </c>
      <c r="F334" t="s">
        <v>26</v>
      </c>
      <c r="G334" t="s">
        <v>26</v>
      </c>
      <c r="H334" t="s">
        <v>26</v>
      </c>
      <c r="I334" t="s">
        <v>26</v>
      </c>
      <c r="J334" t="s">
        <v>26</v>
      </c>
      <c r="K334" t="s">
        <v>26</v>
      </c>
      <c r="L334" s="25" t="s">
        <v>28</v>
      </c>
      <c r="M334" t="s">
        <v>26</v>
      </c>
      <c r="N334" t="s">
        <v>26</v>
      </c>
      <c r="O334" t="s">
        <v>26</v>
      </c>
      <c r="P334" t="s">
        <v>26</v>
      </c>
      <c r="Q334" t="s">
        <v>26</v>
      </c>
      <c r="R334" t="s">
        <v>26</v>
      </c>
      <c r="S334" t="s">
        <v>26</v>
      </c>
      <c r="T334" t="s">
        <v>26</v>
      </c>
      <c r="U334" t="s">
        <v>26</v>
      </c>
      <c r="V334" t="s">
        <v>26</v>
      </c>
      <c r="W334" s="24">
        <v>30682</v>
      </c>
      <c r="X334" s="24">
        <v>30682</v>
      </c>
      <c r="Y334" t="s">
        <v>26</v>
      </c>
      <c r="Z334" s="24">
        <v>30682</v>
      </c>
      <c r="AA334" s="24">
        <v>30682</v>
      </c>
      <c r="AB334" t="s">
        <v>26</v>
      </c>
      <c r="AC334" t="s">
        <v>26</v>
      </c>
      <c r="AD334" t="s">
        <v>26</v>
      </c>
      <c r="AE334" t="s">
        <v>26</v>
      </c>
      <c r="AF334" t="s">
        <v>26</v>
      </c>
      <c r="AG334" t="s">
        <v>26</v>
      </c>
      <c r="AH334" t="s">
        <v>26</v>
      </c>
      <c r="AI334" t="s">
        <v>26</v>
      </c>
      <c r="AJ334" t="s">
        <v>26</v>
      </c>
      <c r="AK334" t="s">
        <v>26</v>
      </c>
      <c r="AL334" t="s">
        <v>26</v>
      </c>
      <c r="AM334" t="s">
        <v>26</v>
      </c>
      <c r="AN334" t="s">
        <v>26</v>
      </c>
      <c r="AO334" s="25" t="s">
        <v>28</v>
      </c>
      <c r="AP334" s="23" t="s">
        <v>29</v>
      </c>
      <c r="AQ334" s="23" t="s">
        <v>30</v>
      </c>
      <c r="AR334" s="23" t="s">
        <v>1077</v>
      </c>
      <c r="AS334" s="25">
        <v>5483643</v>
      </c>
      <c r="AT334" s="23" t="s">
        <v>22181</v>
      </c>
      <c r="AU334" t="s">
        <v>22648</v>
      </c>
    </row>
    <row r="335" spans="1:47" ht="26.25" x14ac:dyDescent="0.4">
      <c r="A335" s="23" t="s">
        <v>1078</v>
      </c>
      <c r="B335" t="s">
        <v>26</v>
      </c>
      <c r="C335" s="23" t="s">
        <v>80</v>
      </c>
      <c r="D335" s="23" t="s">
        <v>22184</v>
      </c>
      <c r="E335" s="23" t="s">
        <v>60</v>
      </c>
      <c r="F335" s="25" t="s">
        <v>1079</v>
      </c>
      <c r="G335" s="25" t="s">
        <v>1080</v>
      </c>
      <c r="H335" t="s">
        <v>26</v>
      </c>
      <c r="I335" t="s">
        <v>26</v>
      </c>
      <c r="J335" t="s">
        <v>26</v>
      </c>
      <c r="K335" t="s">
        <v>26</v>
      </c>
      <c r="L335" s="25" t="s">
        <v>68</v>
      </c>
      <c r="M335" t="s">
        <v>26</v>
      </c>
      <c r="N335" t="s">
        <v>26</v>
      </c>
      <c r="O335" t="s">
        <v>26</v>
      </c>
      <c r="P335" t="s">
        <v>26</v>
      </c>
      <c r="Q335" t="s">
        <v>26</v>
      </c>
      <c r="R335" t="s">
        <v>26</v>
      </c>
      <c r="S335" t="s">
        <v>26</v>
      </c>
      <c r="T335" t="s">
        <v>26</v>
      </c>
      <c r="U335" t="s">
        <v>26</v>
      </c>
      <c r="V335" t="s">
        <v>26</v>
      </c>
      <c r="W335" s="24">
        <v>42767</v>
      </c>
      <c r="X335" s="25" t="s">
        <v>77</v>
      </c>
      <c r="Y335" t="s">
        <v>26</v>
      </c>
      <c r="Z335" s="24">
        <v>42767</v>
      </c>
      <c r="AA335" s="25" t="s">
        <v>77</v>
      </c>
      <c r="AB335" t="s">
        <v>26</v>
      </c>
      <c r="AC335" s="24">
        <v>42767</v>
      </c>
      <c r="AD335" s="25" t="s">
        <v>77</v>
      </c>
      <c r="AE335" t="s">
        <v>26</v>
      </c>
      <c r="AF335" t="s">
        <v>26</v>
      </c>
      <c r="AG335" t="s">
        <v>26</v>
      </c>
      <c r="AH335" t="s">
        <v>26</v>
      </c>
      <c r="AI335" t="s">
        <v>26</v>
      </c>
      <c r="AJ335" t="s">
        <v>26</v>
      </c>
      <c r="AK335" t="s">
        <v>26</v>
      </c>
      <c r="AL335" t="s">
        <v>26</v>
      </c>
      <c r="AM335" t="s">
        <v>26</v>
      </c>
      <c r="AN335" t="s">
        <v>26</v>
      </c>
      <c r="AO335" s="25" t="s">
        <v>68</v>
      </c>
      <c r="AP335" s="23" t="s">
        <v>69</v>
      </c>
      <c r="AQ335" s="23" t="s">
        <v>30</v>
      </c>
      <c r="AR335" s="23" t="s">
        <v>1081</v>
      </c>
      <c r="AS335" s="25">
        <v>53107</v>
      </c>
      <c r="AT335" t="s">
        <v>26</v>
      </c>
      <c r="AU335" t="s">
        <v>22649</v>
      </c>
    </row>
    <row r="336" spans="1:47" ht="26.25" x14ac:dyDescent="0.4">
      <c r="A336" s="23" t="s">
        <v>1082</v>
      </c>
      <c r="B336" t="s">
        <v>26</v>
      </c>
      <c r="C336" s="23" t="s">
        <v>213</v>
      </c>
      <c r="D336" s="23" t="s">
        <v>22174</v>
      </c>
      <c r="E336" s="23" t="s">
        <v>60</v>
      </c>
      <c r="F336" t="s">
        <v>26</v>
      </c>
      <c r="G336" s="25" t="s">
        <v>1083</v>
      </c>
      <c r="H336" t="s">
        <v>26</v>
      </c>
      <c r="I336" s="24">
        <v>42005</v>
      </c>
      <c r="J336" s="24">
        <v>42005</v>
      </c>
      <c r="K336" t="s">
        <v>26</v>
      </c>
      <c r="L336" s="25" t="s">
        <v>68</v>
      </c>
      <c r="M336" t="s">
        <v>26</v>
      </c>
      <c r="N336" t="s">
        <v>26</v>
      </c>
      <c r="O336" t="s">
        <v>26</v>
      </c>
      <c r="P336" s="24">
        <v>42005</v>
      </c>
      <c r="Q336" s="24">
        <v>42005</v>
      </c>
      <c r="R336" t="s">
        <v>26</v>
      </c>
      <c r="S336" t="s">
        <v>26</v>
      </c>
      <c r="T336" t="s">
        <v>26</v>
      </c>
      <c r="U336" t="s">
        <v>26</v>
      </c>
      <c r="V336" t="s">
        <v>26</v>
      </c>
      <c r="W336" s="24">
        <v>42005</v>
      </c>
      <c r="X336" s="24">
        <v>42005</v>
      </c>
      <c r="Y336" t="s">
        <v>26</v>
      </c>
      <c r="Z336" s="24">
        <v>42005</v>
      </c>
      <c r="AA336" s="24">
        <v>42005</v>
      </c>
      <c r="AB336" t="s">
        <v>26</v>
      </c>
      <c r="AC336" s="24">
        <v>42005</v>
      </c>
      <c r="AD336" s="24">
        <v>42005</v>
      </c>
      <c r="AE336" t="s">
        <v>26</v>
      </c>
      <c r="AF336" t="s">
        <v>26</v>
      </c>
      <c r="AG336" t="s">
        <v>26</v>
      </c>
      <c r="AH336" t="s">
        <v>26</v>
      </c>
      <c r="AI336" t="s">
        <v>26</v>
      </c>
      <c r="AJ336" t="s">
        <v>26</v>
      </c>
      <c r="AK336" t="s">
        <v>26</v>
      </c>
      <c r="AL336" t="s">
        <v>26</v>
      </c>
      <c r="AM336" t="s">
        <v>26</v>
      </c>
      <c r="AN336" t="s">
        <v>26</v>
      </c>
      <c r="AO336" s="25" t="s">
        <v>68</v>
      </c>
      <c r="AP336" s="23" t="s">
        <v>69</v>
      </c>
      <c r="AQ336" s="23" t="s">
        <v>30</v>
      </c>
      <c r="AR336" s="23" t="s">
        <v>70</v>
      </c>
      <c r="AS336" s="25">
        <v>2040164</v>
      </c>
      <c r="AT336" t="s">
        <v>26</v>
      </c>
      <c r="AU336" t="s">
        <v>22650</v>
      </c>
    </row>
    <row r="337" spans="1:47" ht="26.25" x14ac:dyDescent="0.4">
      <c r="A337" s="23" t="s">
        <v>1084</v>
      </c>
      <c r="B337" t="s">
        <v>26</v>
      </c>
      <c r="C337" s="23" t="s">
        <v>213</v>
      </c>
      <c r="D337" s="23" t="s">
        <v>22174</v>
      </c>
      <c r="E337" s="23" t="s">
        <v>60</v>
      </c>
      <c r="F337" t="s">
        <v>26</v>
      </c>
      <c r="G337" s="25" t="s">
        <v>1085</v>
      </c>
      <c r="H337" t="s">
        <v>26</v>
      </c>
      <c r="I337" s="24">
        <v>42005</v>
      </c>
      <c r="J337" s="25" t="s">
        <v>77</v>
      </c>
      <c r="K337" t="s">
        <v>26</v>
      </c>
      <c r="L337" s="25" t="s">
        <v>68</v>
      </c>
      <c r="M337" t="s">
        <v>26</v>
      </c>
      <c r="N337" t="s">
        <v>26</v>
      </c>
      <c r="O337" t="s">
        <v>26</v>
      </c>
      <c r="P337" s="24">
        <v>42005</v>
      </c>
      <c r="Q337" s="25" t="s">
        <v>77</v>
      </c>
      <c r="R337" t="s">
        <v>26</v>
      </c>
      <c r="S337" t="s">
        <v>26</v>
      </c>
      <c r="T337" t="s">
        <v>26</v>
      </c>
      <c r="U337" t="s">
        <v>26</v>
      </c>
      <c r="V337" t="s">
        <v>26</v>
      </c>
      <c r="W337" s="24">
        <v>42005</v>
      </c>
      <c r="X337" s="25" t="s">
        <v>77</v>
      </c>
      <c r="Y337" t="s">
        <v>26</v>
      </c>
      <c r="Z337" s="24">
        <v>42005</v>
      </c>
      <c r="AA337" s="25" t="s">
        <v>77</v>
      </c>
      <c r="AB337" t="s">
        <v>26</v>
      </c>
      <c r="AC337" s="24">
        <v>42005</v>
      </c>
      <c r="AD337" s="25" t="s">
        <v>77</v>
      </c>
      <c r="AE337" t="s">
        <v>26</v>
      </c>
      <c r="AF337" t="s">
        <v>26</v>
      </c>
      <c r="AG337" t="s">
        <v>26</v>
      </c>
      <c r="AH337" t="s">
        <v>26</v>
      </c>
      <c r="AI337" t="s">
        <v>26</v>
      </c>
      <c r="AJ337" t="s">
        <v>26</v>
      </c>
      <c r="AK337" t="s">
        <v>26</v>
      </c>
      <c r="AL337" t="s">
        <v>26</v>
      </c>
      <c r="AM337" t="s">
        <v>26</v>
      </c>
      <c r="AN337" t="s">
        <v>26</v>
      </c>
      <c r="AO337" s="25" t="s">
        <v>68</v>
      </c>
      <c r="AP337" s="23" t="s">
        <v>69</v>
      </c>
      <c r="AQ337" s="23" t="s">
        <v>30</v>
      </c>
      <c r="AR337" s="23" t="s">
        <v>1086</v>
      </c>
      <c r="AS337" s="25">
        <v>2040163</v>
      </c>
      <c r="AT337" t="s">
        <v>26</v>
      </c>
      <c r="AU337" t="s">
        <v>22651</v>
      </c>
    </row>
    <row r="338" spans="1:47" ht="26.25" x14ac:dyDescent="0.4">
      <c r="A338" s="23" t="s">
        <v>1087</v>
      </c>
      <c r="B338" t="s">
        <v>26</v>
      </c>
      <c r="C338" s="23" t="s">
        <v>627</v>
      </c>
      <c r="D338" s="23" t="s">
        <v>22263</v>
      </c>
      <c r="E338" s="23" t="s">
        <v>187</v>
      </c>
      <c r="F338" t="s">
        <v>26</v>
      </c>
      <c r="G338" s="25" t="s">
        <v>1088</v>
      </c>
      <c r="H338" t="s">
        <v>26</v>
      </c>
      <c r="I338" s="24">
        <v>39814</v>
      </c>
      <c r="J338" s="25" t="s">
        <v>77</v>
      </c>
      <c r="K338" t="s">
        <v>26</v>
      </c>
      <c r="L338" s="25" t="s">
        <v>68</v>
      </c>
      <c r="M338" t="s">
        <v>26</v>
      </c>
      <c r="N338" t="s">
        <v>26</v>
      </c>
      <c r="O338" t="s">
        <v>26</v>
      </c>
      <c r="P338" s="24">
        <v>39814</v>
      </c>
      <c r="Q338" s="25" t="s">
        <v>77</v>
      </c>
      <c r="R338" t="s">
        <v>26</v>
      </c>
      <c r="S338" t="s">
        <v>26</v>
      </c>
      <c r="T338" t="s">
        <v>26</v>
      </c>
      <c r="U338" t="s">
        <v>26</v>
      </c>
      <c r="V338" t="s">
        <v>26</v>
      </c>
      <c r="W338" s="24">
        <v>39814</v>
      </c>
      <c r="X338" s="25" t="s">
        <v>77</v>
      </c>
      <c r="Y338" t="s">
        <v>26</v>
      </c>
      <c r="Z338" s="24">
        <v>39814</v>
      </c>
      <c r="AA338" s="25" t="s">
        <v>77</v>
      </c>
      <c r="AB338" t="s">
        <v>26</v>
      </c>
      <c r="AC338" s="24">
        <v>39814</v>
      </c>
      <c r="AD338" s="25" t="s">
        <v>77</v>
      </c>
      <c r="AE338" t="s">
        <v>26</v>
      </c>
      <c r="AF338" t="s">
        <v>26</v>
      </c>
      <c r="AG338" t="s">
        <v>26</v>
      </c>
      <c r="AH338" t="s">
        <v>26</v>
      </c>
      <c r="AI338" t="s">
        <v>26</v>
      </c>
      <c r="AJ338" t="s">
        <v>26</v>
      </c>
      <c r="AK338" t="s">
        <v>26</v>
      </c>
      <c r="AL338" t="s">
        <v>26</v>
      </c>
      <c r="AM338" t="s">
        <v>26</v>
      </c>
      <c r="AN338" t="s">
        <v>26</v>
      </c>
      <c r="AO338" s="25" t="s">
        <v>68</v>
      </c>
      <c r="AP338" s="23" t="s">
        <v>69</v>
      </c>
      <c r="AQ338" s="23" t="s">
        <v>30</v>
      </c>
      <c r="AR338" s="23" t="s">
        <v>1089</v>
      </c>
      <c r="AS338" s="25">
        <v>2026354</v>
      </c>
      <c r="AT338" t="s">
        <v>26</v>
      </c>
      <c r="AU338" t="s">
        <v>22652</v>
      </c>
    </row>
    <row r="339" spans="1:47" ht="26.25" x14ac:dyDescent="0.4">
      <c r="A339" s="23" t="s">
        <v>1090</v>
      </c>
      <c r="B339" t="s">
        <v>26</v>
      </c>
      <c r="C339" s="23" t="s">
        <v>320</v>
      </c>
      <c r="D339" s="23" t="s">
        <v>22294</v>
      </c>
      <c r="E339" s="23" t="s">
        <v>42</v>
      </c>
      <c r="F339" s="25" t="s">
        <v>1091</v>
      </c>
      <c r="G339" s="25" t="s">
        <v>1092</v>
      </c>
      <c r="H339" t="s">
        <v>26</v>
      </c>
      <c r="I339" t="s">
        <v>26</v>
      </c>
      <c r="J339" t="s">
        <v>26</v>
      </c>
      <c r="K339" t="s">
        <v>26</v>
      </c>
      <c r="L339" s="25" t="s">
        <v>68</v>
      </c>
      <c r="M339" t="s">
        <v>26</v>
      </c>
      <c r="N339" t="s">
        <v>26</v>
      </c>
      <c r="O339" t="s">
        <v>26</v>
      </c>
      <c r="P339" t="s">
        <v>26</v>
      </c>
      <c r="Q339" t="s">
        <v>26</v>
      </c>
      <c r="R339" t="s">
        <v>26</v>
      </c>
      <c r="S339" t="s">
        <v>26</v>
      </c>
      <c r="T339" t="s">
        <v>26</v>
      </c>
      <c r="U339" t="s">
        <v>26</v>
      </c>
      <c r="V339" t="s">
        <v>26</v>
      </c>
      <c r="W339" s="24">
        <v>42767</v>
      </c>
      <c r="X339" s="25" t="s">
        <v>77</v>
      </c>
      <c r="Y339" t="s">
        <v>26</v>
      </c>
      <c r="Z339" s="24">
        <v>42767</v>
      </c>
      <c r="AA339" s="25" t="s">
        <v>77</v>
      </c>
      <c r="AB339" t="s">
        <v>26</v>
      </c>
      <c r="AC339" s="24">
        <v>42767</v>
      </c>
      <c r="AD339" s="25" t="s">
        <v>77</v>
      </c>
      <c r="AE339" t="s">
        <v>26</v>
      </c>
      <c r="AF339" t="s">
        <v>26</v>
      </c>
      <c r="AG339" t="s">
        <v>26</v>
      </c>
      <c r="AH339" t="s">
        <v>26</v>
      </c>
      <c r="AI339" t="s">
        <v>26</v>
      </c>
      <c r="AJ339" t="s">
        <v>26</v>
      </c>
      <c r="AK339" t="s">
        <v>26</v>
      </c>
      <c r="AL339" t="s">
        <v>26</v>
      </c>
      <c r="AM339" t="s">
        <v>26</v>
      </c>
      <c r="AN339" t="s">
        <v>26</v>
      </c>
      <c r="AO339" s="25" t="s">
        <v>68</v>
      </c>
      <c r="AP339" s="23" t="s">
        <v>69</v>
      </c>
      <c r="AQ339" s="23" t="s">
        <v>30</v>
      </c>
      <c r="AR339" s="23" t="s">
        <v>70</v>
      </c>
      <c r="AS339" s="25">
        <v>2045186</v>
      </c>
      <c r="AT339" t="s">
        <v>26</v>
      </c>
      <c r="AU339" t="s">
        <v>22653</v>
      </c>
    </row>
    <row r="340" spans="1:47" ht="26.25" x14ac:dyDescent="0.4">
      <c r="A340" s="23" t="s">
        <v>1093</v>
      </c>
      <c r="B340" t="s">
        <v>26</v>
      </c>
      <c r="C340" s="23" t="s">
        <v>22238</v>
      </c>
      <c r="D340" t="s">
        <v>26</v>
      </c>
      <c r="E340" s="23" t="s">
        <v>42</v>
      </c>
      <c r="F340" t="s">
        <v>26</v>
      </c>
      <c r="G340" t="s">
        <v>26</v>
      </c>
      <c r="H340" t="s">
        <v>26</v>
      </c>
      <c r="I340" s="24">
        <v>43101</v>
      </c>
      <c r="J340" s="24">
        <v>43101</v>
      </c>
      <c r="K340" t="s">
        <v>26</v>
      </c>
      <c r="L340" s="25" t="s">
        <v>28</v>
      </c>
      <c r="M340" s="24">
        <v>43101</v>
      </c>
      <c r="N340" s="24">
        <v>43101</v>
      </c>
      <c r="O340" t="s">
        <v>26</v>
      </c>
      <c r="P340" t="s">
        <v>26</v>
      </c>
      <c r="Q340" t="s">
        <v>26</v>
      </c>
      <c r="R340" t="s">
        <v>26</v>
      </c>
      <c r="S340" s="24">
        <v>43101</v>
      </c>
      <c r="T340" s="24">
        <v>43101</v>
      </c>
      <c r="U340" t="s">
        <v>26</v>
      </c>
      <c r="V340" t="s">
        <v>26</v>
      </c>
      <c r="W340" s="24">
        <v>43101</v>
      </c>
      <c r="X340" s="24">
        <v>43101</v>
      </c>
      <c r="Y340" t="s">
        <v>26</v>
      </c>
      <c r="Z340" s="24">
        <v>43101</v>
      </c>
      <c r="AA340" s="24">
        <v>43101</v>
      </c>
      <c r="AB340" t="s">
        <v>26</v>
      </c>
      <c r="AC340" s="24">
        <v>43101</v>
      </c>
      <c r="AD340" s="24">
        <v>43101</v>
      </c>
      <c r="AE340" t="s">
        <v>26</v>
      </c>
      <c r="AF340" s="24">
        <v>43101</v>
      </c>
      <c r="AG340" s="24">
        <v>43101</v>
      </c>
      <c r="AH340" t="s">
        <v>26</v>
      </c>
      <c r="AI340" s="24">
        <v>43101</v>
      </c>
      <c r="AJ340" s="24">
        <v>43101</v>
      </c>
      <c r="AK340" t="s">
        <v>26</v>
      </c>
      <c r="AL340" t="s">
        <v>26</v>
      </c>
      <c r="AM340" t="s">
        <v>26</v>
      </c>
      <c r="AN340" t="s">
        <v>26</v>
      </c>
      <c r="AO340" s="25" t="s">
        <v>28</v>
      </c>
      <c r="AP340" s="23" t="s">
        <v>43</v>
      </c>
      <c r="AQ340" s="23" t="s">
        <v>30</v>
      </c>
      <c r="AR340" s="23" t="s">
        <v>44</v>
      </c>
      <c r="AS340" s="25">
        <v>5262530</v>
      </c>
      <c r="AT340" t="s">
        <v>26</v>
      </c>
      <c r="AU340" t="s">
        <v>22654</v>
      </c>
    </row>
    <row r="341" spans="1:47" ht="26.25" x14ac:dyDescent="0.4">
      <c r="A341" s="23" t="s">
        <v>1094</v>
      </c>
      <c r="B341" t="s">
        <v>26</v>
      </c>
      <c r="C341" s="23" t="s">
        <v>22238</v>
      </c>
      <c r="D341" t="s">
        <v>26</v>
      </c>
      <c r="E341" s="23" t="s">
        <v>42</v>
      </c>
      <c r="F341" t="s">
        <v>26</v>
      </c>
      <c r="G341" t="s">
        <v>26</v>
      </c>
      <c r="H341" t="s">
        <v>26</v>
      </c>
      <c r="I341" s="24">
        <v>43101</v>
      </c>
      <c r="J341" s="24">
        <v>43101</v>
      </c>
      <c r="K341" t="s">
        <v>26</v>
      </c>
      <c r="L341" s="25" t="s">
        <v>28</v>
      </c>
      <c r="M341" s="24">
        <v>43101</v>
      </c>
      <c r="N341" s="24">
        <v>43101</v>
      </c>
      <c r="O341" t="s">
        <v>26</v>
      </c>
      <c r="P341" t="s">
        <v>26</v>
      </c>
      <c r="Q341" t="s">
        <v>26</v>
      </c>
      <c r="R341" t="s">
        <v>26</v>
      </c>
      <c r="S341" s="24">
        <v>43101</v>
      </c>
      <c r="T341" s="24">
        <v>43101</v>
      </c>
      <c r="U341" t="s">
        <v>26</v>
      </c>
      <c r="V341" t="s">
        <v>26</v>
      </c>
      <c r="W341" s="24">
        <v>43101</v>
      </c>
      <c r="X341" s="24">
        <v>43101</v>
      </c>
      <c r="Y341" t="s">
        <v>26</v>
      </c>
      <c r="Z341" s="24">
        <v>43101</v>
      </c>
      <c r="AA341" s="24">
        <v>43101</v>
      </c>
      <c r="AB341" t="s">
        <v>26</v>
      </c>
      <c r="AC341" s="24">
        <v>43101</v>
      </c>
      <c r="AD341" s="24">
        <v>43101</v>
      </c>
      <c r="AE341" t="s">
        <v>26</v>
      </c>
      <c r="AF341" s="24">
        <v>43101</v>
      </c>
      <c r="AG341" s="24">
        <v>43101</v>
      </c>
      <c r="AH341" t="s">
        <v>26</v>
      </c>
      <c r="AI341" s="24">
        <v>43101</v>
      </c>
      <c r="AJ341" s="24">
        <v>43101</v>
      </c>
      <c r="AK341" t="s">
        <v>26</v>
      </c>
      <c r="AL341" t="s">
        <v>26</v>
      </c>
      <c r="AM341" t="s">
        <v>26</v>
      </c>
      <c r="AN341" t="s">
        <v>26</v>
      </c>
      <c r="AO341" s="25" t="s">
        <v>28</v>
      </c>
      <c r="AP341" s="23" t="s">
        <v>43</v>
      </c>
      <c r="AQ341" s="23" t="s">
        <v>30</v>
      </c>
      <c r="AR341" s="23" t="s">
        <v>44</v>
      </c>
      <c r="AS341" s="25">
        <v>5262529</v>
      </c>
      <c r="AT341" t="s">
        <v>26</v>
      </c>
      <c r="AU341" t="s">
        <v>22655</v>
      </c>
    </row>
    <row r="342" spans="1:47" ht="26.25" x14ac:dyDescent="0.4">
      <c r="A342" s="23" t="s">
        <v>1095</v>
      </c>
      <c r="B342" t="s">
        <v>26</v>
      </c>
      <c r="C342" s="23" t="s">
        <v>22238</v>
      </c>
      <c r="D342" t="s">
        <v>26</v>
      </c>
      <c r="E342" s="23" t="s">
        <v>42</v>
      </c>
      <c r="F342" t="s">
        <v>26</v>
      </c>
      <c r="G342" t="s">
        <v>26</v>
      </c>
      <c r="H342" t="s">
        <v>26</v>
      </c>
      <c r="I342" s="24">
        <v>43101</v>
      </c>
      <c r="J342" s="24">
        <v>43101</v>
      </c>
      <c r="K342" t="s">
        <v>26</v>
      </c>
      <c r="L342" s="25" t="s">
        <v>28</v>
      </c>
      <c r="M342" s="24">
        <v>43101</v>
      </c>
      <c r="N342" s="24">
        <v>43101</v>
      </c>
      <c r="O342" t="s">
        <v>26</v>
      </c>
      <c r="P342" t="s">
        <v>26</v>
      </c>
      <c r="Q342" t="s">
        <v>26</v>
      </c>
      <c r="R342" t="s">
        <v>26</v>
      </c>
      <c r="S342" s="24">
        <v>43101</v>
      </c>
      <c r="T342" s="24">
        <v>43101</v>
      </c>
      <c r="U342" t="s">
        <v>26</v>
      </c>
      <c r="V342" t="s">
        <v>26</v>
      </c>
      <c r="W342" s="24">
        <v>43101</v>
      </c>
      <c r="X342" s="24">
        <v>43101</v>
      </c>
      <c r="Y342" t="s">
        <v>26</v>
      </c>
      <c r="Z342" s="24">
        <v>43101</v>
      </c>
      <c r="AA342" s="24">
        <v>43101</v>
      </c>
      <c r="AB342" t="s">
        <v>26</v>
      </c>
      <c r="AC342" s="24">
        <v>43101</v>
      </c>
      <c r="AD342" s="24">
        <v>43101</v>
      </c>
      <c r="AE342" t="s">
        <v>26</v>
      </c>
      <c r="AF342" s="24">
        <v>43101</v>
      </c>
      <c r="AG342" s="24">
        <v>43101</v>
      </c>
      <c r="AH342" t="s">
        <v>26</v>
      </c>
      <c r="AI342" s="24">
        <v>43101</v>
      </c>
      <c r="AJ342" s="24">
        <v>43101</v>
      </c>
      <c r="AK342" t="s">
        <v>26</v>
      </c>
      <c r="AL342" t="s">
        <v>26</v>
      </c>
      <c r="AM342" t="s">
        <v>26</v>
      </c>
      <c r="AN342" t="s">
        <v>26</v>
      </c>
      <c r="AO342" s="25" t="s">
        <v>28</v>
      </c>
      <c r="AP342" s="23" t="s">
        <v>43</v>
      </c>
      <c r="AQ342" s="23" t="s">
        <v>30</v>
      </c>
      <c r="AR342" s="23" t="s">
        <v>44</v>
      </c>
      <c r="AS342" s="25">
        <v>5262528</v>
      </c>
      <c r="AT342" t="s">
        <v>26</v>
      </c>
      <c r="AU342" t="s">
        <v>22656</v>
      </c>
    </row>
    <row r="343" spans="1:47" ht="26.25" x14ac:dyDescent="0.4">
      <c r="A343" s="23" t="s">
        <v>1096</v>
      </c>
      <c r="B343" t="s">
        <v>26</v>
      </c>
      <c r="C343" s="23" t="s">
        <v>22238</v>
      </c>
      <c r="D343" t="s">
        <v>26</v>
      </c>
      <c r="E343" s="23" t="s">
        <v>42</v>
      </c>
      <c r="F343" t="s">
        <v>26</v>
      </c>
      <c r="G343" t="s">
        <v>26</v>
      </c>
      <c r="H343" t="s">
        <v>26</v>
      </c>
      <c r="I343" s="24">
        <v>43101</v>
      </c>
      <c r="J343" s="24">
        <v>43101</v>
      </c>
      <c r="K343" t="s">
        <v>26</v>
      </c>
      <c r="L343" s="25" t="s">
        <v>28</v>
      </c>
      <c r="M343" s="24">
        <v>43101</v>
      </c>
      <c r="N343" s="24">
        <v>43101</v>
      </c>
      <c r="O343" t="s">
        <v>26</v>
      </c>
      <c r="P343" t="s">
        <v>26</v>
      </c>
      <c r="Q343" t="s">
        <v>26</v>
      </c>
      <c r="R343" t="s">
        <v>26</v>
      </c>
      <c r="S343" s="24">
        <v>43101</v>
      </c>
      <c r="T343" s="24">
        <v>43101</v>
      </c>
      <c r="U343" t="s">
        <v>26</v>
      </c>
      <c r="V343" t="s">
        <v>26</v>
      </c>
      <c r="W343" s="24">
        <v>43101</v>
      </c>
      <c r="X343" s="24">
        <v>43101</v>
      </c>
      <c r="Y343" t="s">
        <v>26</v>
      </c>
      <c r="Z343" s="24">
        <v>43101</v>
      </c>
      <c r="AA343" s="24">
        <v>43101</v>
      </c>
      <c r="AB343" t="s">
        <v>26</v>
      </c>
      <c r="AC343" s="24">
        <v>43101</v>
      </c>
      <c r="AD343" s="24">
        <v>43101</v>
      </c>
      <c r="AE343" t="s">
        <v>26</v>
      </c>
      <c r="AF343" s="24">
        <v>43101</v>
      </c>
      <c r="AG343" s="24">
        <v>43101</v>
      </c>
      <c r="AH343" t="s">
        <v>26</v>
      </c>
      <c r="AI343" s="24">
        <v>43101</v>
      </c>
      <c r="AJ343" s="24">
        <v>43101</v>
      </c>
      <c r="AK343" t="s">
        <v>26</v>
      </c>
      <c r="AL343" t="s">
        <v>26</v>
      </c>
      <c r="AM343" t="s">
        <v>26</v>
      </c>
      <c r="AN343" t="s">
        <v>26</v>
      </c>
      <c r="AO343" s="25" t="s">
        <v>28</v>
      </c>
      <c r="AP343" s="23" t="s">
        <v>43</v>
      </c>
      <c r="AQ343" s="23" t="s">
        <v>30</v>
      </c>
      <c r="AR343" s="23" t="s">
        <v>44</v>
      </c>
      <c r="AS343" s="25">
        <v>5263208</v>
      </c>
      <c r="AT343" t="s">
        <v>26</v>
      </c>
      <c r="AU343" t="s">
        <v>22657</v>
      </c>
    </row>
    <row r="344" spans="1:47" ht="26.25" x14ac:dyDescent="0.4">
      <c r="A344" s="23" t="s">
        <v>1097</v>
      </c>
      <c r="B344" t="s">
        <v>26</v>
      </c>
      <c r="C344" s="23" t="s">
        <v>22238</v>
      </c>
      <c r="D344" t="s">
        <v>26</v>
      </c>
      <c r="E344" s="23" t="s">
        <v>42</v>
      </c>
      <c r="F344" t="s">
        <v>26</v>
      </c>
      <c r="G344" t="s">
        <v>26</v>
      </c>
      <c r="H344" t="s">
        <v>26</v>
      </c>
      <c r="I344" s="24">
        <v>43101</v>
      </c>
      <c r="J344" s="24">
        <v>43101</v>
      </c>
      <c r="K344" t="s">
        <v>26</v>
      </c>
      <c r="L344" s="25" t="s">
        <v>28</v>
      </c>
      <c r="M344" s="24">
        <v>43101</v>
      </c>
      <c r="N344" s="24">
        <v>43101</v>
      </c>
      <c r="O344" t="s">
        <v>26</v>
      </c>
      <c r="P344" t="s">
        <v>26</v>
      </c>
      <c r="Q344" t="s">
        <v>26</v>
      </c>
      <c r="R344" t="s">
        <v>26</v>
      </c>
      <c r="S344" s="24">
        <v>43101</v>
      </c>
      <c r="T344" s="24">
        <v>43101</v>
      </c>
      <c r="U344" t="s">
        <v>26</v>
      </c>
      <c r="V344" t="s">
        <v>26</v>
      </c>
      <c r="W344" s="24">
        <v>43101</v>
      </c>
      <c r="X344" s="24">
        <v>43101</v>
      </c>
      <c r="Y344" t="s">
        <v>26</v>
      </c>
      <c r="Z344" s="24">
        <v>43101</v>
      </c>
      <c r="AA344" s="24">
        <v>43101</v>
      </c>
      <c r="AB344" t="s">
        <v>26</v>
      </c>
      <c r="AC344" s="24">
        <v>43101</v>
      </c>
      <c r="AD344" s="24">
        <v>43101</v>
      </c>
      <c r="AE344" t="s">
        <v>26</v>
      </c>
      <c r="AF344" s="24">
        <v>43101</v>
      </c>
      <c r="AG344" s="24">
        <v>43101</v>
      </c>
      <c r="AH344" t="s">
        <v>26</v>
      </c>
      <c r="AI344" s="24">
        <v>43101</v>
      </c>
      <c r="AJ344" s="24">
        <v>43101</v>
      </c>
      <c r="AK344" t="s">
        <v>26</v>
      </c>
      <c r="AL344" t="s">
        <v>26</v>
      </c>
      <c r="AM344" t="s">
        <v>26</v>
      </c>
      <c r="AN344" t="s">
        <v>26</v>
      </c>
      <c r="AO344" s="25" t="s">
        <v>28</v>
      </c>
      <c r="AP344" s="23" t="s">
        <v>43</v>
      </c>
      <c r="AQ344" s="23" t="s">
        <v>30</v>
      </c>
      <c r="AR344" s="23" t="s">
        <v>44</v>
      </c>
      <c r="AS344" s="25">
        <v>5262527</v>
      </c>
      <c r="AT344" t="s">
        <v>26</v>
      </c>
      <c r="AU344" t="s">
        <v>22658</v>
      </c>
    </row>
    <row r="345" spans="1:47" ht="26.25" x14ac:dyDescent="0.4">
      <c r="A345" s="23" t="s">
        <v>1098</v>
      </c>
      <c r="B345" t="s">
        <v>26</v>
      </c>
      <c r="C345" s="23" t="s">
        <v>294</v>
      </c>
      <c r="D345" s="23" t="s">
        <v>22179</v>
      </c>
      <c r="E345" s="23" t="s">
        <v>42</v>
      </c>
      <c r="F345" t="s">
        <v>26</v>
      </c>
      <c r="G345" t="s">
        <v>26</v>
      </c>
      <c r="H345" t="s">
        <v>26</v>
      </c>
      <c r="I345" s="25" t="s">
        <v>295</v>
      </c>
      <c r="J345" s="25" t="s">
        <v>295</v>
      </c>
      <c r="K345" t="s">
        <v>26</v>
      </c>
      <c r="L345" s="25" t="s">
        <v>28</v>
      </c>
      <c r="M345" t="s">
        <v>26</v>
      </c>
      <c r="N345" t="s">
        <v>26</v>
      </c>
      <c r="O345" t="s">
        <v>26</v>
      </c>
      <c r="P345" s="25" t="s">
        <v>295</v>
      </c>
      <c r="Q345" s="25" t="s">
        <v>295</v>
      </c>
      <c r="R345" t="s">
        <v>26</v>
      </c>
      <c r="S345" t="s">
        <v>26</v>
      </c>
      <c r="T345" t="s">
        <v>26</v>
      </c>
      <c r="U345" t="s">
        <v>26</v>
      </c>
      <c r="V345" t="s">
        <v>26</v>
      </c>
      <c r="W345" s="25" t="s">
        <v>295</v>
      </c>
      <c r="X345" s="25" t="s">
        <v>295</v>
      </c>
      <c r="Y345" t="s">
        <v>26</v>
      </c>
      <c r="Z345" s="25" t="s">
        <v>295</v>
      </c>
      <c r="AA345" s="25" t="s">
        <v>295</v>
      </c>
      <c r="AB345" t="s">
        <v>26</v>
      </c>
      <c r="AC345" s="25" t="s">
        <v>295</v>
      </c>
      <c r="AD345" s="25" t="s">
        <v>295</v>
      </c>
      <c r="AE345" t="s">
        <v>26</v>
      </c>
      <c r="AF345" t="s">
        <v>26</v>
      </c>
      <c r="AG345" t="s">
        <v>26</v>
      </c>
      <c r="AH345" t="s">
        <v>26</v>
      </c>
      <c r="AI345" t="s">
        <v>26</v>
      </c>
      <c r="AJ345" t="s">
        <v>26</v>
      </c>
      <c r="AK345" t="s">
        <v>26</v>
      </c>
      <c r="AL345" t="s">
        <v>26</v>
      </c>
      <c r="AM345" t="s">
        <v>26</v>
      </c>
      <c r="AN345" t="s">
        <v>26</v>
      </c>
      <c r="AO345" s="25" t="s">
        <v>28</v>
      </c>
      <c r="AP345" s="23" t="s">
        <v>29</v>
      </c>
      <c r="AQ345" s="23" t="s">
        <v>30</v>
      </c>
      <c r="AR345" s="23" t="s">
        <v>1099</v>
      </c>
      <c r="AS345" s="25">
        <v>5325200</v>
      </c>
      <c r="AT345" s="23" t="s">
        <v>22181</v>
      </c>
      <c r="AU345" t="s">
        <v>22659</v>
      </c>
    </row>
    <row r="346" spans="1:47" ht="26.25" x14ac:dyDescent="0.4">
      <c r="A346" s="23" t="s">
        <v>1100</v>
      </c>
      <c r="B346" t="s">
        <v>26</v>
      </c>
      <c r="C346" s="23" t="s">
        <v>80</v>
      </c>
      <c r="D346" s="23" t="s">
        <v>22660</v>
      </c>
      <c r="E346" s="23" t="s">
        <v>60</v>
      </c>
      <c r="F346" s="25" t="s">
        <v>1101</v>
      </c>
      <c r="G346" s="25" t="s">
        <v>1102</v>
      </c>
      <c r="H346" t="s">
        <v>26</v>
      </c>
      <c r="I346" s="24">
        <v>34335</v>
      </c>
      <c r="J346" s="24">
        <v>38899</v>
      </c>
      <c r="K346" t="s">
        <v>26</v>
      </c>
      <c r="L346" s="25" t="s">
        <v>68</v>
      </c>
      <c r="M346" s="24">
        <v>34335</v>
      </c>
      <c r="N346" s="24">
        <v>38899</v>
      </c>
      <c r="O346" t="s">
        <v>26</v>
      </c>
      <c r="P346" s="24">
        <v>34335</v>
      </c>
      <c r="Q346" s="24">
        <v>38899</v>
      </c>
      <c r="R346" t="s">
        <v>26</v>
      </c>
      <c r="S346" t="s">
        <v>26</v>
      </c>
      <c r="T346" t="s">
        <v>26</v>
      </c>
      <c r="U346" t="s">
        <v>26</v>
      </c>
      <c r="V346" t="s">
        <v>26</v>
      </c>
      <c r="W346" s="24">
        <v>32143</v>
      </c>
      <c r="X346" s="25" t="s">
        <v>77</v>
      </c>
      <c r="Y346" t="s">
        <v>26</v>
      </c>
      <c r="Z346" s="24">
        <v>32143</v>
      </c>
      <c r="AA346" s="25" t="s">
        <v>77</v>
      </c>
      <c r="AB346" t="s">
        <v>26</v>
      </c>
      <c r="AC346" s="24">
        <v>32143</v>
      </c>
      <c r="AD346" s="25" t="s">
        <v>77</v>
      </c>
      <c r="AE346" t="s">
        <v>26</v>
      </c>
      <c r="AF346" t="s">
        <v>26</v>
      </c>
      <c r="AG346" t="s">
        <v>26</v>
      </c>
      <c r="AH346" t="s">
        <v>26</v>
      </c>
      <c r="AI346" t="s">
        <v>26</v>
      </c>
      <c r="AJ346" t="s">
        <v>26</v>
      </c>
      <c r="AK346" t="s">
        <v>26</v>
      </c>
      <c r="AL346" t="s">
        <v>26</v>
      </c>
      <c r="AM346" t="s">
        <v>26</v>
      </c>
      <c r="AN346" t="s">
        <v>26</v>
      </c>
      <c r="AO346" s="25" t="s">
        <v>68</v>
      </c>
      <c r="AP346" s="23" t="s">
        <v>69</v>
      </c>
      <c r="AQ346" s="23" t="s">
        <v>30</v>
      </c>
      <c r="AR346" s="23" t="s">
        <v>1103</v>
      </c>
      <c r="AS346" s="25">
        <v>35485</v>
      </c>
      <c r="AT346" t="s">
        <v>26</v>
      </c>
      <c r="AU346" t="s">
        <v>22661</v>
      </c>
    </row>
    <row r="347" spans="1:47" ht="13.15" x14ac:dyDescent="0.4">
      <c r="A347" s="23" t="s">
        <v>1104</v>
      </c>
      <c r="B347" t="s">
        <v>26</v>
      </c>
      <c r="C347" s="23" t="s">
        <v>1105</v>
      </c>
      <c r="D347" s="23" t="s">
        <v>22179</v>
      </c>
      <c r="E347" s="23" t="s">
        <v>42</v>
      </c>
      <c r="F347" s="25" t="s">
        <v>1106</v>
      </c>
      <c r="G347" t="s">
        <v>26</v>
      </c>
      <c r="H347" t="s">
        <v>26</v>
      </c>
      <c r="I347" s="24">
        <v>37591</v>
      </c>
      <c r="J347" s="24">
        <v>38078</v>
      </c>
      <c r="K347" t="s">
        <v>26</v>
      </c>
      <c r="L347" s="25" t="s">
        <v>28</v>
      </c>
      <c r="M347" s="24">
        <v>37591</v>
      </c>
      <c r="N347" s="24">
        <v>38078</v>
      </c>
      <c r="O347" t="s">
        <v>26</v>
      </c>
      <c r="P347" s="24">
        <v>37591</v>
      </c>
      <c r="Q347" s="24">
        <v>38078</v>
      </c>
      <c r="R347" t="s">
        <v>26</v>
      </c>
      <c r="S347" t="s">
        <v>26</v>
      </c>
      <c r="T347" t="s">
        <v>26</v>
      </c>
      <c r="U347" t="s">
        <v>26</v>
      </c>
      <c r="V347" t="s">
        <v>26</v>
      </c>
      <c r="W347" s="24">
        <v>37591</v>
      </c>
      <c r="X347" s="24">
        <v>38078</v>
      </c>
      <c r="Y347" t="s">
        <v>26</v>
      </c>
      <c r="Z347" s="24">
        <v>37591</v>
      </c>
      <c r="AA347" s="24">
        <v>38078</v>
      </c>
      <c r="AB347" t="s">
        <v>26</v>
      </c>
      <c r="AC347" t="s">
        <v>26</v>
      </c>
      <c r="AD347" t="s">
        <v>26</v>
      </c>
      <c r="AE347" t="s">
        <v>26</v>
      </c>
      <c r="AF347" t="s">
        <v>26</v>
      </c>
      <c r="AG347" t="s">
        <v>26</v>
      </c>
      <c r="AH347" t="s">
        <v>26</v>
      </c>
      <c r="AI347" t="s">
        <v>26</v>
      </c>
      <c r="AJ347" t="s">
        <v>26</v>
      </c>
      <c r="AK347" t="s">
        <v>26</v>
      </c>
      <c r="AL347" t="s">
        <v>26</v>
      </c>
      <c r="AM347" t="s">
        <v>26</v>
      </c>
      <c r="AN347" t="s">
        <v>26</v>
      </c>
      <c r="AO347" s="25" t="s">
        <v>28</v>
      </c>
      <c r="AP347" s="23" t="s">
        <v>112</v>
      </c>
      <c r="AQ347" s="23" t="s">
        <v>30</v>
      </c>
      <c r="AR347" s="23" t="s">
        <v>46</v>
      </c>
      <c r="AS347" s="25">
        <v>27244</v>
      </c>
      <c r="AT347" t="s">
        <v>26</v>
      </c>
      <c r="AU347" t="s">
        <v>22662</v>
      </c>
    </row>
    <row r="348" spans="1:47" ht="26.25" x14ac:dyDescent="0.4">
      <c r="A348" s="23" t="s">
        <v>1107</v>
      </c>
      <c r="B348" t="s">
        <v>26</v>
      </c>
      <c r="C348" s="23" t="s">
        <v>22663</v>
      </c>
      <c r="D348" t="s">
        <v>26</v>
      </c>
      <c r="E348" s="23" t="s">
        <v>42</v>
      </c>
      <c r="F348" t="s">
        <v>26</v>
      </c>
      <c r="G348" t="s">
        <v>26</v>
      </c>
      <c r="H348" t="s">
        <v>26</v>
      </c>
      <c r="I348" s="24">
        <v>36526</v>
      </c>
      <c r="J348" s="24">
        <v>36526</v>
      </c>
      <c r="K348" t="s">
        <v>26</v>
      </c>
      <c r="L348" s="25" t="s">
        <v>28</v>
      </c>
      <c r="M348" s="24">
        <v>36526</v>
      </c>
      <c r="N348" s="24">
        <v>36526</v>
      </c>
      <c r="O348" t="s">
        <v>26</v>
      </c>
      <c r="P348" t="s">
        <v>26</v>
      </c>
      <c r="Q348" t="s">
        <v>26</v>
      </c>
      <c r="R348" t="s">
        <v>26</v>
      </c>
      <c r="S348" s="24">
        <v>36526</v>
      </c>
      <c r="T348" s="24">
        <v>36526</v>
      </c>
      <c r="U348" t="s">
        <v>26</v>
      </c>
      <c r="V348" t="s">
        <v>26</v>
      </c>
      <c r="W348" s="24">
        <v>36526</v>
      </c>
      <c r="X348" s="24">
        <v>36526</v>
      </c>
      <c r="Y348" t="s">
        <v>26</v>
      </c>
      <c r="Z348" s="24">
        <v>36526</v>
      </c>
      <c r="AA348" s="24">
        <v>36526</v>
      </c>
      <c r="AB348" t="s">
        <v>26</v>
      </c>
      <c r="AC348" s="24">
        <v>36526</v>
      </c>
      <c r="AD348" s="24">
        <v>36526</v>
      </c>
      <c r="AE348" t="s">
        <v>26</v>
      </c>
      <c r="AF348" s="24">
        <v>36526</v>
      </c>
      <c r="AG348" s="24">
        <v>36526</v>
      </c>
      <c r="AH348" t="s">
        <v>26</v>
      </c>
      <c r="AI348" s="24">
        <v>36526</v>
      </c>
      <c r="AJ348" s="24">
        <v>36526</v>
      </c>
      <c r="AK348" t="s">
        <v>26</v>
      </c>
      <c r="AL348" t="s">
        <v>26</v>
      </c>
      <c r="AM348" t="s">
        <v>26</v>
      </c>
      <c r="AN348" t="s">
        <v>26</v>
      </c>
      <c r="AO348" s="25" t="s">
        <v>28</v>
      </c>
      <c r="AP348" s="23" t="s">
        <v>43</v>
      </c>
      <c r="AQ348" s="23" t="s">
        <v>30</v>
      </c>
      <c r="AR348" s="23" t="s">
        <v>44</v>
      </c>
      <c r="AS348" s="25">
        <v>5256701</v>
      </c>
      <c r="AT348" t="s">
        <v>26</v>
      </c>
      <c r="AU348" t="s">
        <v>22664</v>
      </c>
    </row>
    <row r="349" spans="1:47" ht="26.25" x14ac:dyDescent="0.4">
      <c r="A349" s="23" t="s">
        <v>1108</v>
      </c>
      <c r="B349" t="s">
        <v>26</v>
      </c>
      <c r="C349" s="23" t="s">
        <v>80</v>
      </c>
      <c r="D349" s="23" t="s">
        <v>22184</v>
      </c>
      <c r="E349" s="23" t="s">
        <v>60</v>
      </c>
      <c r="F349" s="25" t="s">
        <v>1109</v>
      </c>
      <c r="G349" s="25" t="s">
        <v>1110</v>
      </c>
      <c r="H349" t="s">
        <v>26</v>
      </c>
      <c r="I349" t="s">
        <v>26</v>
      </c>
      <c r="J349" t="s">
        <v>26</v>
      </c>
      <c r="K349" t="s">
        <v>26</v>
      </c>
      <c r="L349" s="25" t="s">
        <v>68</v>
      </c>
      <c r="M349" t="s">
        <v>26</v>
      </c>
      <c r="N349" t="s">
        <v>26</v>
      </c>
      <c r="O349" t="s">
        <v>26</v>
      </c>
      <c r="P349" t="s">
        <v>26</v>
      </c>
      <c r="Q349" t="s">
        <v>26</v>
      </c>
      <c r="R349" t="s">
        <v>26</v>
      </c>
      <c r="S349" t="s">
        <v>26</v>
      </c>
      <c r="T349" t="s">
        <v>26</v>
      </c>
      <c r="U349" t="s">
        <v>26</v>
      </c>
      <c r="V349" t="s">
        <v>26</v>
      </c>
      <c r="W349" s="24">
        <v>38777</v>
      </c>
      <c r="X349" s="25" t="s">
        <v>77</v>
      </c>
      <c r="Y349" t="s">
        <v>26</v>
      </c>
      <c r="Z349" s="24">
        <v>38777</v>
      </c>
      <c r="AA349" s="25" t="s">
        <v>77</v>
      </c>
      <c r="AB349" t="s">
        <v>26</v>
      </c>
      <c r="AC349" s="24">
        <v>38777</v>
      </c>
      <c r="AD349" s="25" t="s">
        <v>77</v>
      </c>
      <c r="AE349" t="s">
        <v>26</v>
      </c>
      <c r="AF349" t="s">
        <v>26</v>
      </c>
      <c r="AG349" t="s">
        <v>26</v>
      </c>
      <c r="AH349" t="s">
        <v>26</v>
      </c>
      <c r="AI349" t="s">
        <v>26</v>
      </c>
      <c r="AJ349" t="s">
        <v>26</v>
      </c>
      <c r="AK349" t="s">
        <v>26</v>
      </c>
      <c r="AL349" t="s">
        <v>26</v>
      </c>
      <c r="AM349" t="s">
        <v>26</v>
      </c>
      <c r="AN349" t="s">
        <v>26</v>
      </c>
      <c r="AO349" s="25" t="s">
        <v>68</v>
      </c>
      <c r="AP349" s="23" t="s">
        <v>69</v>
      </c>
      <c r="AQ349" s="23" t="s">
        <v>30</v>
      </c>
      <c r="AR349" s="23" t="s">
        <v>1111</v>
      </c>
      <c r="AS349" s="25">
        <v>2045311</v>
      </c>
      <c r="AT349" t="s">
        <v>26</v>
      </c>
      <c r="AU349" t="s">
        <v>22665</v>
      </c>
    </row>
    <row r="350" spans="1:47" ht="13.15" x14ac:dyDescent="0.4">
      <c r="A350" s="23" t="s">
        <v>1112</v>
      </c>
      <c r="B350" t="s">
        <v>26</v>
      </c>
      <c r="C350" s="23" t="s">
        <v>1113</v>
      </c>
      <c r="D350" s="23" t="s">
        <v>22666</v>
      </c>
      <c r="E350" s="23" t="s">
        <v>42</v>
      </c>
      <c r="F350" t="s">
        <v>26</v>
      </c>
      <c r="G350" t="s">
        <v>26</v>
      </c>
      <c r="H350" t="s">
        <v>26</v>
      </c>
      <c r="I350" s="24">
        <v>39448</v>
      </c>
      <c r="J350" s="24">
        <v>39448</v>
      </c>
      <c r="K350" t="s">
        <v>26</v>
      </c>
      <c r="L350" s="25" t="s">
        <v>28</v>
      </c>
      <c r="M350" t="s">
        <v>26</v>
      </c>
      <c r="N350" t="s">
        <v>26</v>
      </c>
      <c r="O350" t="s">
        <v>26</v>
      </c>
      <c r="P350" s="24">
        <v>39448</v>
      </c>
      <c r="Q350" s="24">
        <v>39448</v>
      </c>
      <c r="R350" t="s">
        <v>26</v>
      </c>
      <c r="S350" t="s">
        <v>26</v>
      </c>
      <c r="T350" t="s">
        <v>26</v>
      </c>
      <c r="U350" t="s">
        <v>26</v>
      </c>
      <c r="V350" t="s">
        <v>26</v>
      </c>
      <c r="W350" s="24">
        <v>39448</v>
      </c>
      <c r="X350" s="24">
        <v>39448</v>
      </c>
      <c r="Y350" t="s">
        <v>26</v>
      </c>
      <c r="Z350" s="24">
        <v>39448</v>
      </c>
      <c r="AA350" s="24">
        <v>39448</v>
      </c>
      <c r="AB350" t="s">
        <v>26</v>
      </c>
      <c r="AC350" s="24">
        <v>39448</v>
      </c>
      <c r="AD350" s="24">
        <v>39448</v>
      </c>
      <c r="AE350" t="s">
        <v>26</v>
      </c>
      <c r="AF350" t="s">
        <v>26</v>
      </c>
      <c r="AG350" t="s">
        <v>26</v>
      </c>
      <c r="AH350" t="s">
        <v>26</v>
      </c>
      <c r="AI350" t="s">
        <v>26</v>
      </c>
      <c r="AJ350" t="s">
        <v>26</v>
      </c>
      <c r="AK350" t="s">
        <v>26</v>
      </c>
      <c r="AL350" t="s">
        <v>26</v>
      </c>
      <c r="AM350" t="s">
        <v>26</v>
      </c>
      <c r="AN350" t="s">
        <v>26</v>
      </c>
      <c r="AO350" s="25" t="s">
        <v>28</v>
      </c>
      <c r="AP350" s="23" t="s">
        <v>29</v>
      </c>
      <c r="AQ350" s="23" t="s">
        <v>30</v>
      </c>
      <c r="AR350" s="23" t="s">
        <v>46</v>
      </c>
      <c r="AS350" s="25">
        <v>6059447</v>
      </c>
      <c r="AT350" t="s">
        <v>26</v>
      </c>
      <c r="AU350" t="s">
        <v>22667</v>
      </c>
    </row>
    <row r="351" spans="1:47" ht="26.25" x14ac:dyDescent="0.4">
      <c r="A351" s="23" t="s">
        <v>1114</v>
      </c>
      <c r="B351" t="s">
        <v>26</v>
      </c>
      <c r="C351" s="23" t="s">
        <v>213</v>
      </c>
      <c r="D351" s="23" t="s">
        <v>22174</v>
      </c>
      <c r="E351" s="23" t="s">
        <v>60</v>
      </c>
      <c r="F351" t="s">
        <v>26</v>
      </c>
      <c r="G351" s="25" t="s">
        <v>1115</v>
      </c>
      <c r="H351" t="s">
        <v>26</v>
      </c>
      <c r="I351" s="24">
        <v>42005</v>
      </c>
      <c r="J351" s="25" t="s">
        <v>77</v>
      </c>
      <c r="K351" t="s">
        <v>26</v>
      </c>
      <c r="L351" s="25" t="s">
        <v>68</v>
      </c>
      <c r="M351" t="s">
        <v>26</v>
      </c>
      <c r="N351" t="s">
        <v>26</v>
      </c>
      <c r="O351" t="s">
        <v>26</v>
      </c>
      <c r="P351" s="24">
        <v>42005</v>
      </c>
      <c r="Q351" s="25" t="s">
        <v>77</v>
      </c>
      <c r="R351" t="s">
        <v>26</v>
      </c>
      <c r="S351" t="s">
        <v>26</v>
      </c>
      <c r="T351" t="s">
        <v>26</v>
      </c>
      <c r="U351" t="s">
        <v>26</v>
      </c>
      <c r="V351" t="s">
        <v>26</v>
      </c>
      <c r="W351" s="24">
        <v>42005</v>
      </c>
      <c r="X351" s="25" t="s">
        <v>77</v>
      </c>
      <c r="Y351" t="s">
        <v>26</v>
      </c>
      <c r="Z351" s="24">
        <v>42005</v>
      </c>
      <c r="AA351" s="25" t="s">
        <v>77</v>
      </c>
      <c r="AB351" t="s">
        <v>26</v>
      </c>
      <c r="AC351" s="24">
        <v>42370</v>
      </c>
      <c r="AD351" s="25" t="s">
        <v>77</v>
      </c>
      <c r="AE351" t="s">
        <v>26</v>
      </c>
      <c r="AF351" t="s">
        <v>26</v>
      </c>
      <c r="AG351" t="s">
        <v>26</v>
      </c>
      <c r="AH351" t="s">
        <v>26</v>
      </c>
      <c r="AI351" t="s">
        <v>26</v>
      </c>
      <c r="AJ351" t="s">
        <v>26</v>
      </c>
      <c r="AK351" t="s">
        <v>26</v>
      </c>
      <c r="AL351" t="s">
        <v>26</v>
      </c>
      <c r="AM351" t="s">
        <v>26</v>
      </c>
      <c r="AN351" t="s">
        <v>26</v>
      </c>
      <c r="AO351" s="25" t="s">
        <v>68</v>
      </c>
      <c r="AP351" s="23" t="s">
        <v>69</v>
      </c>
      <c r="AQ351" s="23" t="s">
        <v>30</v>
      </c>
      <c r="AR351" s="23" t="s">
        <v>70</v>
      </c>
      <c r="AS351" s="25">
        <v>2040158</v>
      </c>
      <c r="AT351" t="s">
        <v>26</v>
      </c>
      <c r="AU351" t="s">
        <v>22668</v>
      </c>
    </row>
    <row r="352" spans="1:47" ht="26.25" x14ac:dyDescent="0.4">
      <c r="A352" s="23" t="s">
        <v>1116</v>
      </c>
      <c r="B352" t="s">
        <v>26</v>
      </c>
      <c r="C352" s="23" t="s">
        <v>1117</v>
      </c>
      <c r="D352" s="23" t="s">
        <v>22207</v>
      </c>
      <c r="E352" s="23" t="s">
        <v>328</v>
      </c>
      <c r="F352" s="25" t="s">
        <v>1118</v>
      </c>
      <c r="G352" s="25" t="s">
        <v>1119</v>
      </c>
      <c r="H352" t="s">
        <v>26</v>
      </c>
      <c r="I352" t="s">
        <v>26</v>
      </c>
      <c r="J352" t="s">
        <v>26</v>
      </c>
      <c r="K352" t="s">
        <v>26</v>
      </c>
      <c r="L352" s="25" t="s">
        <v>68</v>
      </c>
      <c r="M352" t="s">
        <v>26</v>
      </c>
      <c r="N352" t="s">
        <v>26</v>
      </c>
      <c r="O352" t="s">
        <v>26</v>
      </c>
      <c r="P352" t="s">
        <v>26</v>
      </c>
      <c r="Q352" t="s">
        <v>26</v>
      </c>
      <c r="R352" t="s">
        <v>26</v>
      </c>
      <c r="S352" t="s">
        <v>26</v>
      </c>
      <c r="T352" t="s">
        <v>26</v>
      </c>
      <c r="U352" t="s">
        <v>26</v>
      </c>
      <c r="V352" t="s">
        <v>26</v>
      </c>
      <c r="W352" s="24">
        <v>42370</v>
      </c>
      <c r="X352" s="25" t="s">
        <v>77</v>
      </c>
      <c r="Y352" t="s">
        <v>26</v>
      </c>
      <c r="Z352" s="24">
        <v>42370</v>
      </c>
      <c r="AA352" s="25" t="s">
        <v>77</v>
      </c>
      <c r="AB352" t="s">
        <v>26</v>
      </c>
      <c r="AC352" s="24">
        <v>42370</v>
      </c>
      <c r="AD352" s="25" t="s">
        <v>77</v>
      </c>
      <c r="AE352" t="s">
        <v>26</v>
      </c>
      <c r="AF352" t="s">
        <v>26</v>
      </c>
      <c r="AG352" t="s">
        <v>26</v>
      </c>
      <c r="AH352" t="s">
        <v>26</v>
      </c>
      <c r="AI352" t="s">
        <v>26</v>
      </c>
      <c r="AJ352" t="s">
        <v>26</v>
      </c>
      <c r="AK352" t="s">
        <v>26</v>
      </c>
      <c r="AL352" t="s">
        <v>26</v>
      </c>
      <c r="AM352" t="s">
        <v>26</v>
      </c>
      <c r="AN352" t="s">
        <v>26</v>
      </c>
      <c r="AO352" s="25" t="s">
        <v>28</v>
      </c>
      <c r="AP352" s="23" t="s">
        <v>69</v>
      </c>
      <c r="AQ352" s="23" t="s">
        <v>142</v>
      </c>
      <c r="AR352" s="23" t="s">
        <v>123</v>
      </c>
      <c r="AS352" s="25">
        <v>2042614</v>
      </c>
      <c r="AT352" t="s">
        <v>26</v>
      </c>
      <c r="AU352" t="s">
        <v>22669</v>
      </c>
    </row>
    <row r="353" spans="1:47" ht="13.15" x14ac:dyDescent="0.4">
      <c r="A353" s="23" t="s">
        <v>1120</v>
      </c>
      <c r="B353" t="s">
        <v>26</v>
      </c>
      <c r="C353" s="23" t="s">
        <v>146</v>
      </c>
      <c r="D353" s="23" t="s">
        <v>22174</v>
      </c>
      <c r="E353" s="23" t="s">
        <v>60</v>
      </c>
      <c r="F353" t="s">
        <v>26</v>
      </c>
      <c r="G353" t="s">
        <v>26</v>
      </c>
      <c r="H353" t="s">
        <v>26</v>
      </c>
      <c r="I353" s="24">
        <v>42370</v>
      </c>
      <c r="J353" s="24">
        <v>42370</v>
      </c>
      <c r="K353" t="s">
        <v>26</v>
      </c>
      <c r="L353" s="25" t="s">
        <v>28</v>
      </c>
      <c r="M353" t="s">
        <v>26</v>
      </c>
      <c r="N353" t="s">
        <v>26</v>
      </c>
      <c r="O353" t="s">
        <v>26</v>
      </c>
      <c r="P353" s="24">
        <v>42370</v>
      </c>
      <c r="Q353" s="24">
        <v>42370</v>
      </c>
      <c r="R353" t="s">
        <v>26</v>
      </c>
      <c r="S353" t="s">
        <v>26</v>
      </c>
      <c r="T353" t="s">
        <v>26</v>
      </c>
      <c r="U353" t="s">
        <v>26</v>
      </c>
      <c r="V353" t="s">
        <v>26</v>
      </c>
      <c r="W353" s="24">
        <v>42370</v>
      </c>
      <c r="X353" s="24">
        <v>42370</v>
      </c>
      <c r="Y353" t="s">
        <v>26</v>
      </c>
      <c r="Z353" s="24">
        <v>42370</v>
      </c>
      <c r="AA353" s="24">
        <v>42370</v>
      </c>
      <c r="AB353" t="s">
        <v>26</v>
      </c>
      <c r="AC353" s="24">
        <v>42370</v>
      </c>
      <c r="AD353" s="24">
        <v>42370</v>
      </c>
      <c r="AE353" t="s">
        <v>26</v>
      </c>
      <c r="AF353" t="s">
        <v>26</v>
      </c>
      <c r="AG353" t="s">
        <v>26</v>
      </c>
      <c r="AH353" t="s">
        <v>26</v>
      </c>
      <c r="AI353" t="s">
        <v>26</v>
      </c>
      <c r="AJ353" t="s">
        <v>26</v>
      </c>
      <c r="AK353" t="s">
        <v>26</v>
      </c>
      <c r="AL353" t="s">
        <v>26</v>
      </c>
      <c r="AM353" t="s">
        <v>26</v>
      </c>
      <c r="AN353" t="s">
        <v>26</v>
      </c>
      <c r="AO353" s="25" t="s">
        <v>28</v>
      </c>
      <c r="AP353" s="23" t="s">
        <v>29</v>
      </c>
      <c r="AQ353" s="23" t="s">
        <v>30</v>
      </c>
      <c r="AR353" s="23" t="s">
        <v>46</v>
      </c>
      <c r="AS353" s="25">
        <v>6059446</v>
      </c>
      <c r="AT353" t="s">
        <v>26</v>
      </c>
      <c r="AU353" t="s">
        <v>22670</v>
      </c>
    </row>
    <row r="354" spans="1:47" ht="26.25" x14ac:dyDescent="0.4">
      <c r="A354" s="23" t="s">
        <v>1121</v>
      </c>
      <c r="B354" t="s">
        <v>26</v>
      </c>
      <c r="C354" s="23" t="s">
        <v>552</v>
      </c>
      <c r="D354" s="23" t="s">
        <v>22231</v>
      </c>
      <c r="E354" s="23" t="s">
        <v>42</v>
      </c>
      <c r="F354" t="s">
        <v>26</v>
      </c>
      <c r="G354" t="s">
        <v>26</v>
      </c>
      <c r="H354" t="s">
        <v>26</v>
      </c>
      <c r="I354" s="24">
        <v>37987</v>
      </c>
      <c r="J354" s="24">
        <v>37987</v>
      </c>
      <c r="K354" t="s">
        <v>26</v>
      </c>
      <c r="L354" s="25" t="s">
        <v>28</v>
      </c>
      <c r="M354" s="24">
        <v>37987</v>
      </c>
      <c r="N354" s="24">
        <v>37987</v>
      </c>
      <c r="O354" t="s">
        <v>26</v>
      </c>
      <c r="P354" t="s">
        <v>26</v>
      </c>
      <c r="Q354" t="s">
        <v>26</v>
      </c>
      <c r="R354" t="s">
        <v>26</v>
      </c>
      <c r="S354" t="s">
        <v>26</v>
      </c>
      <c r="T354" t="s">
        <v>26</v>
      </c>
      <c r="U354" t="s">
        <v>26</v>
      </c>
      <c r="V354" t="s">
        <v>26</v>
      </c>
      <c r="W354" s="24">
        <v>37987</v>
      </c>
      <c r="X354" s="24">
        <v>37987</v>
      </c>
      <c r="Y354" t="s">
        <v>26</v>
      </c>
      <c r="Z354" s="24">
        <v>37987</v>
      </c>
      <c r="AA354" s="24">
        <v>37987</v>
      </c>
      <c r="AB354" t="s">
        <v>26</v>
      </c>
      <c r="AC354" s="24">
        <v>37987</v>
      </c>
      <c r="AD354" s="24">
        <v>37987</v>
      </c>
      <c r="AE354" t="s">
        <v>26</v>
      </c>
      <c r="AF354" t="s">
        <v>26</v>
      </c>
      <c r="AG354" t="s">
        <v>26</v>
      </c>
      <c r="AH354" t="s">
        <v>26</v>
      </c>
      <c r="AI354" t="s">
        <v>26</v>
      </c>
      <c r="AJ354" t="s">
        <v>26</v>
      </c>
      <c r="AK354" t="s">
        <v>26</v>
      </c>
      <c r="AL354" t="s">
        <v>26</v>
      </c>
      <c r="AM354" t="s">
        <v>26</v>
      </c>
      <c r="AN354" t="s">
        <v>26</v>
      </c>
      <c r="AO354" s="25" t="s">
        <v>28</v>
      </c>
      <c r="AP354" s="23" t="s">
        <v>29</v>
      </c>
      <c r="AQ354" s="23" t="s">
        <v>30</v>
      </c>
      <c r="AR354" s="23" t="s">
        <v>46</v>
      </c>
      <c r="AS354" s="25">
        <v>6059445</v>
      </c>
      <c r="AT354" t="s">
        <v>26</v>
      </c>
      <c r="AU354" t="s">
        <v>22671</v>
      </c>
    </row>
    <row r="355" spans="1:47" ht="26.25" x14ac:dyDescent="0.4">
      <c r="A355" s="23" t="s">
        <v>1122</v>
      </c>
      <c r="B355" t="s">
        <v>26</v>
      </c>
      <c r="C355" s="23" t="s">
        <v>351</v>
      </c>
      <c r="D355" s="23" t="s">
        <v>22242</v>
      </c>
      <c r="E355" s="23" t="s">
        <v>60</v>
      </c>
      <c r="F355" s="25" t="s">
        <v>1123</v>
      </c>
      <c r="G355" s="25" t="s">
        <v>1124</v>
      </c>
      <c r="H355" t="s">
        <v>26</v>
      </c>
      <c r="I355" t="s">
        <v>26</v>
      </c>
      <c r="J355" t="s">
        <v>26</v>
      </c>
      <c r="K355" t="s">
        <v>26</v>
      </c>
      <c r="L355" s="25" t="s">
        <v>68</v>
      </c>
      <c r="M355" t="s">
        <v>26</v>
      </c>
      <c r="N355" t="s">
        <v>26</v>
      </c>
      <c r="O355" t="s">
        <v>26</v>
      </c>
      <c r="P355" t="s">
        <v>26</v>
      </c>
      <c r="Q355" t="s">
        <v>26</v>
      </c>
      <c r="R355" t="s">
        <v>26</v>
      </c>
      <c r="S355" t="s">
        <v>26</v>
      </c>
      <c r="T355" t="s">
        <v>26</v>
      </c>
      <c r="U355" t="s">
        <v>26</v>
      </c>
      <c r="V355" t="s">
        <v>26</v>
      </c>
      <c r="W355" s="24">
        <v>34366</v>
      </c>
      <c r="X355" s="24">
        <v>43313</v>
      </c>
      <c r="Y355" t="s">
        <v>26</v>
      </c>
      <c r="Z355" s="24">
        <v>34366</v>
      </c>
      <c r="AA355" s="24">
        <v>43313</v>
      </c>
      <c r="AB355" t="s">
        <v>26</v>
      </c>
      <c r="AC355" s="24">
        <v>34425</v>
      </c>
      <c r="AD355" s="24">
        <v>40057</v>
      </c>
      <c r="AE355" s="25" t="s">
        <v>649</v>
      </c>
      <c r="AF355" t="s">
        <v>26</v>
      </c>
      <c r="AG355" t="s">
        <v>26</v>
      </c>
      <c r="AH355" t="s">
        <v>26</v>
      </c>
      <c r="AI355" t="s">
        <v>26</v>
      </c>
      <c r="AJ355" t="s">
        <v>26</v>
      </c>
      <c r="AK355" t="s">
        <v>26</v>
      </c>
      <c r="AL355" t="s">
        <v>26</v>
      </c>
      <c r="AM355" t="s">
        <v>26</v>
      </c>
      <c r="AN355" t="s">
        <v>26</v>
      </c>
      <c r="AO355" s="25" t="s">
        <v>68</v>
      </c>
      <c r="AP355" s="23" t="s">
        <v>69</v>
      </c>
      <c r="AQ355" s="23" t="s">
        <v>30</v>
      </c>
      <c r="AR355" s="23" t="s">
        <v>70</v>
      </c>
      <c r="AS355" s="25">
        <v>35133</v>
      </c>
      <c r="AT355" t="s">
        <v>26</v>
      </c>
      <c r="AU355" t="s">
        <v>22672</v>
      </c>
    </row>
    <row r="356" spans="1:47" ht="39.4" x14ac:dyDescent="0.4">
      <c r="A356" s="23" t="s">
        <v>1125</v>
      </c>
      <c r="B356" t="s">
        <v>26</v>
      </c>
      <c r="C356" s="23" t="s">
        <v>364</v>
      </c>
      <c r="D356" s="23" t="s">
        <v>22231</v>
      </c>
      <c r="E356" s="23" t="s">
        <v>42</v>
      </c>
      <c r="F356" t="s">
        <v>26</v>
      </c>
      <c r="G356" t="s">
        <v>26</v>
      </c>
      <c r="H356" t="s">
        <v>26</v>
      </c>
      <c r="I356" s="24">
        <v>43304</v>
      </c>
      <c r="J356" s="24">
        <v>43499</v>
      </c>
      <c r="K356" t="s">
        <v>26</v>
      </c>
      <c r="L356" s="25" t="s">
        <v>28</v>
      </c>
      <c r="M356" s="24">
        <v>43304</v>
      </c>
      <c r="N356" s="24">
        <v>43499</v>
      </c>
      <c r="O356" t="s">
        <v>26</v>
      </c>
      <c r="P356" t="s">
        <v>26</v>
      </c>
      <c r="Q356" t="s">
        <v>26</v>
      </c>
      <c r="R356" t="s">
        <v>26</v>
      </c>
      <c r="S356" t="s">
        <v>26</v>
      </c>
      <c r="T356" t="s">
        <v>26</v>
      </c>
      <c r="U356" t="s">
        <v>26</v>
      </c>
      <c r="V356" t="s">
        <v>26</v>
      </c>
      <c r="W356" s="24">
        <v>43304</v>
      </c>
      <c r="X356" s="24">
        <v>43499</v>
      </c>
      <c r="Y356" t="s">
        <v>26</v>
      </c>
      <c r="Z356" s="24">
        <v>43304</v>
      </c>
      <c r="AA356" s="24">
        <v>43499</v>
      </c>
      <c r="AB356" t="s">
        <v>26</v>
      </c>
      <c r="AC356" t="s">
        <v>26</v>
      </c>
      <c r="AD356" t="s">
        <v>26</v>
      </c>
      <c r="AE356" t="s">
        <v>26</v>
      </c>
      <c r="AF356" t="s">
        <v>26</v>
      </c>
      <c r="AG356" t="s">
        <v>26</v>
      </c>
      <c r="AH356" t="s">
        <v>26</v>
      </c>
      <c r="AI356" t="s">
        <v>26</v>
      </c>
      <c r="AJ356" t="s">
        <v>26</v>
      </c>
      <c r="AK356" t="s">
        <v>26</v>
      </c>
      <c r="AL356" t="s">
        <v>26</v>
      </c>
      <c r="AM356" t="s">
        <v>26</v>
      </c>
      <c r="AN356" t="s">
        <v>26</v>
      </c>
      <c r="AO356" s="25" t="s">
        <v>28</v>
      </c>
      <c r="AP356" s="23" t="s">
        <v>365</v>
      </c>
      <c r="AQ356" s="23" t="s">
        <v>30</v>
      </c>
      <c r="AR356" s="23" t="s">
        <v>704</v>
      </c>
      <c r="AS356" s="25">
        <v>4395946</v>
      </c>
      <c r="AT356" t="s">
        <v>26</v>
      </c>
      <c r="AU356" t="s">
        <v>22673</v>
      </c>
    </row>
    <row r="357" spans="1:47" ht="26.25" x14ac:dyDescent="0.4">
      <c r="A357" s="23" t="s">
        <v>1126</v>
      </c>
      <c r="B357" t="s">
        <v>26</v>
      </c>
      <c r="C357" s="23" t="s">
        <v>1127</v>
      </c>
      <c r="D357" s="23" t="s">
        <v>22674</v>
      </c>
      <c r="E357" s="23" t="s">
        <v>42</v>
      </c>
      <c r="F357" s="25" t="s">
        <v>1128</v>
      </c>
      <c r="G357" s="25" t="s">
        <v>1129</v>
      </c>
      <c r="H357" t="s">
        <v>26</v>
      </c>
      <c r="I357" s="24">
        <v>40544</v>
      </c>
      <c r="J357" s="24">
        <v>43647</v>
      </c>
      <c r="K357" t="s">
        <v>26</v>
      </c>
      <c r="L357" s="25" t="s">
        <v>68</v>
      </c>
      <c r="M357" s="24">
        <v>40544</v>
      </c>
      <c r="N357" s="24">
        <v>43647</v>
      </c>
      <c r="O357" t="s">
        <v>26</v>
      </c>
      <c r="P357" s="24">
        <v>40544</v>
      </c>
      <c r="Q357" s="24">
        <v>43647</v>
      </c>
      <c r="R357" t="s">
        <v>26</v>
      </c>
      <c r="S357" t="s">
        <v>26</v>
      </c>
      <c r="T357" t="s">
        <v>26</v>
      </c>
      <c r="U357" t="s">
        <v>26</v>
      </c>
      <c r="V357" t="s">
        <v>26</v>
      </c>
      <c r="W357" s="24">
        <v>40544</v>
      </c>
      <c r="X357" s="25" t="s">
        <v>77</v>
      </c>
      <c r="Y357" t="s">
        <v>26</v>
      </c>
      <c r="Z357" s="24">
        <v>40544</v>
      </c>
      <c r="AA357" s="25" t="s">
        <v>77</v>
      </c>
      <c r="AB357" t="s">
        <v>26</v>
      </c>
      <c r="AC357" s="24">
        <v>40544</v>
      </c>
      <c r="AD357" s="25" t="s">
        <v>77</v>
      </c>
      <c r="AE357" t="s">
        <v>26</v>
      </c>
      <c r="AF357" t="s">
        <v>26</v>
      </c>
      <c r="AG357" t="s">
        <v>26</v>
      </c>
      <c r="AH357" t="s">
        <v>26</v>
      </c>
      <c r="AI357" t="s">
        <v>26</v>
      </c>
      <c r="AJ357" t="s">
        <v>26</v>
      </c>
      <c r="AK357" t="s">
        <v>26</v>
      </c>
      <c r="AL357" t="s">
        <v>26</v>
      </c>
      <c r="AM357" t="s">
        <v>26</v>
      </c>
      <c r="AN357" t="s">
        <v>26</v>
      </c>
      <c r="AO357" s="25" t="s">
        <v>68</v>
      </c>
      <c r="AP357" s="23" t="s">
        <v>69</v>
      </c>
      <c r="AQ357" s="23" t="s">
        <v>30</v>
      </c>
      <c r="AR357" s="23" t="s">
        <v>70</v>
      </c>
      <c r="AS357" s="25">
        <v>2029230</v>
      </c>
      <c r="AT357" t="s">
        <v>26</v>
      </c>
      <c r="AU357" t="s">
        <v>22675</v>
      </c>
    </row>
    <row r="358" spans="1:47" ht="26.25" x14ac:dyDescent="0.4">
      <c r="A358" s="23" t="s">
        <v>1130</v>
      </c>
      <c r="B358" t="s">
        <v>26</v>
      </c>
      <c r="C358" s="23" t="s">
        <v>73</v>
      </c>
      <c r="D358" s="23" t="s">
        <v>22676</v>
      </c>
      <c r="E358" s="23" t="s">
        <v>74</v>
      </c>
      <c r="F358" s="25" t="s">
        <v>1131</v>
      </c>
      <c r="G358" s="25" t="s">
        <v>1132</v>
      </c>
      <c r="H358" t="s">
        <v>26</v>
      </c>
      <c r="I358" s="24">
        <v>39234</v>
      </c>
      <c r="J358" s="25" t="s">
        <v>77</v>
      </c>
      <c r="K358" t="s">
        <v>26</v>
      </c>
      <c r="L358" s="25" t="s">
        <v>68</v>
      </c>
      <c r="M358" s="24">
        <v>39234</v>
      </c>
      <c r="N358" s="24">
        <v>42826</v>
      </c>
      <c r="O358" t="s">
        <v>26</v>
      </c>
      <c r="P358" s="24">
        <v>39234</v>
      </c>
      <c r="Q358" s="25" t="s">
        <v>77</v>
      </c>
      <c r="R358" t="s">
        <v>26</v>
      </c>
      <c r="S358" t="s">
        <v>26</v>
      </c>
      <c r="T358" t="s">
        <v>26</v>
      </c>
      <c r="U358" t="s">
        <v>26</v>
      </c>
      <c r="V358" s="25">
        <v>365</v>
      </c>
      <c r="W358" s="24">
        <v>39234</v>
      </c>
      <c r="X358" s="25" t="s">
        <v>77</v>
      </c>
      <c r="Y358" t="s">
        <v>26</v>
      </c>
      <c r="Z358" s="24">
        <v>39234</v>
      </c>
      <c r="AA358" s="25" t="s">
        <v>77</v>
      </c>
      <c r="AB358" t="s">
        <v>26</v>
      </c>
      <c r="AC358" s="24">
        <v>39234</v>
      </c>
      <c r="AD358" s="25" t="s">
        <v>77</v>
      </c>
      <c r="AE358" t="s">
        <v>26</v>
      </c>
      <c r="AF358" t="s">
        <v>26</v>
      </c>
      <c r="AG358" t="s">
        <v>26</v>
      </c>
      <c r="AH358" t="s">
        <v>26</v>
      </c>
      <c r="AI358" t="s">
        <v>26</v>
      </c>
      <c r="AJ358" t="s">
        <v>26</v>
      </c>
      <c r="AK358" t="s">
        <v>26</v>
      </c>
      <c r="AL358" t="s">
        <v>26</v>
      </c>
      <c r="AM358" t="s">
        <v>26</v>
      </c>
      <c r="AN358" t="s">
        <v>26</v>
      </c>
      <c r="AO358" s="25" t="s">
        <v>68</v>
      </c>
      <c r="AP358" s="23" t="s">
        <v>69</v>
      </c>
      <c r="AQ358" s="23" t="s">
        <v>30</v>
      </c>
      <c r="AR358" s="23" t="s">
        <v>70</v>
      </c>
      <c r="AS358" s="25">
        <v>1486349</v>
      </c>
      <c r="AT358" t="s">
        <v>26</v>
      </c>
      <c r="AU358" t="s">
        <v>22677</v>
      </c>
    </row>
    <row r="359" spans="1:47" ht="26.25" x14ac:dyDescent="0.4">
      <c r="A359" s="23" t="s">
        <v>1133</v>
      </c>
      <c r="B359" t="s">
        <v>26</v>
      </c>
      <c r="C359" s="23" t="s">
        <v>167</v>
      </c>
      <c r="D359" s="23" t="s">
        <v>22617</v>
      </c>
      <c r="E359" s="23" t="s">
        <v>60</v>
      </c>
      <c r="F359" s="25" t="s">
        <v>1134</v>
      </c>
      <c r="G359" s="25" t="s">
        <v>1135</v>
      </c>
      <c r="H359" t="s">
        <v>26</v>
      </c>
      <c r="I359" s="24">
        <v>36647</v>
      </c>
      <c r="J359" s="25" t="s">
        <v>77</v>
      </c>
      <c r="K359" t="s">
        <v>26</v>
      </c>
      <c r="L359" s="25" t="s">
        <v>68</v>
      </c>
      <c r="M359" s="24">
        <v>41091</v>
      </c>
      <c r="N359" s="25" t="s">
        <v>77</v>
      </c>
      <c r="O359" t="s">
        <v>26</v>
      </c>
      <c r="P359" s="24">
        <v>36647</v>
      </c>
      <c r="Q359" s="25" t="s">
        <v>77</v>
      </c>
      <c r="R359" t="s">
        <v>26</v>
      </c>
      <c r="S359" t="s">
        <v>26</v>
      </c>
      <c r="T359" t="s">
        <v>26</v>
      </c>
      <c r="U359" t="s">
        <v>26</v>
      </c>
      <c r="V359" s="25">
        <v>365</v>
      </c>
      <c r="W359" s="24">
        <v>36647</v>
      </c>
      <c r="X359" s="25" t="s">
        <v>77</v>
      </c>
      <c r="Y359" t="s">
        <v>26</v>
      </c>
      <c r="Z359" s="24">
        <v>36647</v>
      </c>
      <c r="AA359" s="25" t="s">
        <v>77</v>
      </c>
      <c r="AB359" t="s">
        <v>26</v>
      </c>
      <c r="AC359" s="24">
        <v>36647</v>
      </c>
      <c r="AD359" s="25" t="s">
        <v>77</v>
      </c>
      <c r="AE359" t="s">
        <v>26</v>
      </c>
      <c r="AF359" t="s">
        <v>26</v>
      </c>
      <c r="AG359" t="s">
        <v>26</v>
      </c>
      <c r="AH359" t="s">
        <v>26</v>
      </c>
      <c r="AI359" t="s">
        <v>26</v>
      </c>
      <c r="AJ359" t="s">
        <v>26</v>
      </c>
      <c r="AK359" t="s">
        <v>26</v>
      </c>
      <c r="AL359" t="s">
        <v>26</v>
      </c>
      <c r="AM359" t="s">
        <v>26</v>
      </c>
      <c r="AN359" t="s">
        <v>26</v>
      </c>
      <c r="AO359" s="25" t="s">
        <v>68</v>
      </c>
      <c r="AP359" s="23" t="s">
        <v>69</v>
      </c>
      <c r="AQ359" s="23" t="s">
        <v>30</v>
      </c>
      <c r="AR359" s="23" t="s">
        <v>71</v>
      </c>
      <c r="AS359" s="25">
        <v>5515558</v>
      </c>
      <c r="AT359" t="s">
        <v>26</v>
      </c>
      <c r="AU359" t="s">
        <v>22678</v>
      </c>
    </row>
    <row r="360" spans="1:47" ht="26.25" x14ac:dyDescent="0.4">
      <c r="A360" s="23" t="s">
        <v>1136</v>
      </c>
      <c r="B360" t="s">
        <v>26</v>
      </c>
      <c r="C360" s="23" t="s">
        <v>73</v>
      </c>
      <c r="D360" s="23" t="s">
        <v>22215</v>
      </c>
      <c r="E360" s="23" t="s">
        <v>74</v>
      </c>
      <c r="F360" s="25" t="s">
        <v>1137</v>
      </c>
      <c r="G360" s="25" t="s">
        <v>1138</v>
      </c>
      <c r="H360" t="s">
        <v>26</v>
      </c>
      <c r="I360" s="24">
        <v>41974</v>
      </c>
      <c r="J360" s="25" t="s">
        <v>77</v>
      </c>
      <c r="K360" t="s">
        <v>26</v>
      </c>
      <c r="L360" s="25" t="s">
        <v>68</v>
      </c>
      <c r="M360" t="s">
        <v>26</v>
      </c>
      <c r="N360" t="s">
        <v>26</v>
      </c>
      <c r="O360" t="s">
        <v>26</v>
      </c>
      <c r="P360" s="24">
        <v>41974</v>
      </c>
      <c r="Q360" s="25" t="s">
        <v>77</v>
      </c>
      <c r="R360" t="s">
        <v>26</v>
      </c>
      <c r="S360" t="s">
        <v>26</v>
      </c>
      <c r="T360" t="s">
        <v>26</v>
      </c>
      <c r="U360" t="s">
        <v>26</v>
      </c>
      <c r="V360" t="s">
        <v>26</v>
      </c>
      <c r="W360" s="24">
        <v>41974</v>
      </c>
      <c r="X360" s="25" t="s">
        <v>77</v>
      </c>
      <c r="Y360" t="s">
        <v>26</v>
      </c>
      <c r="Z360" s="24">
        <v>41974</v>
      </c>
      <c r="AA360" s="25" t="s">
        <v>77</v>
      </c>
      <c r="AB360" t="s">
        <v>26</v>
      </c>
      <c r="AC360" s="24">
        <v>41974</v>
      </c>
      <c r="AD360" s="25" t="s">
        <v>77</v>
      </c>
      <c r="AE360" t="s">
        <v>26</v>
      </c>
      <c r="AF360" t="s">
        <v>26</v>
      </c>
      <c r="AG360" t="s">
        <v>26</v>
      </c>
      <c r="AH360" t="s">
        <v>26</v>
      </c>
      <c r="AI360" t="s">
        <v>26</v>
      </c>
      <c r="AJ360" t="s">
        <v>26</v>
      </c>
      <c r="AK360" t="s">
        <v>26</v>
      </c>
      <c r="AL360" t="s">
        <v>26</v>
      </c>
      <c r="AM360" t="s">
        <v>26</v>
      </c>
      <c r="AN360" t="s">
        <v>26</v>
      </c>
      <c r="AO360" s="25" t="s">
        <v>68</v>
      </c>
      <c r="AP360" s="23" t="s">
        <v>69</v>
      </c>
      <c r="AQ360" s="23" t="s">
        <v>30</v>
      </c>
      <c r="AR360" s="23" t="s">
        <v>1139</v>
      </c>
      <c r="AS360" s="25">
        <v>2046126</v>
      </c>
      <c r="AT360" t="s">
        <v>26</v>
      </c>
      <c r="AU360" t="s">
        <v>22679</v>
      </c>
    </row>
    <row r="361" spans="1:47" ht="26.25" x14ac:dyDescent="0.4">
      <c r="A361" s="23" t="s">
        <v>1140</v>
      </c>
      <c r="B361" t="s">
        <v>26</v>
      </c>
      <c r="C361" s="23" t="s">
        <v>1141</v>
      </c>
      <c r="D361" s="23" t="s">
        <v>22680</v>
      </c>
      <c r="E361" s="23" t="s">
        <v>60</v>
      </c>
      <c r="F361" t="s">
        <v>26</v>
      </c>
      <c r="G361" t="s">
        <v>26</v>
      </c>
      <c r="H361" t="s">
        <v>26</v>
      </c>
      <c r="I361" s="24">
        <v>41275</v>
      </c>
      <c r="J361" s="24">
        <v>41275</v>
      </c>
      <c r="K361" t="s">
        <v>26</v>
      </c>
      <c r="L361" s="25" t="s">
        <v>28</v>
      </c>
      <c r="M361" t="s">
        <v>26</v>
      </c>
      <c r="N361" t="s">
        <v>26</v>
      </c>
      <c r="O361" t="s">
        <v>26</v>
      </c>
      <c r="P361" s="24">
        <v>41275</v>
      </c>
      <c r="Q361" s="24">
        <v>41275</v>
      </c>
      <c r="R361" t="s">
        <v>26</v>
      </c>
      <c r="S361" t="s">
        <v>26</v>
      </c>
      <c r="T361" t="s">
        <v>26</v>
      </c>
      <c r="U361" t="s">
        <v>26</v>
      </c>
      <c r="V361" t="s">
        <v>26</v>
      </c>
      <c r="W361" s="24">
        <v>41275</v>
      </c>
      <c r="X361" s="24">
        <v>41275</v>
      </c>
      <c r="Y361" t="s">
        <v>26</v>
      </c>
      <c r="Z361" s="24">
        <v>41275</v>
      </c>
      <c r="AA361" s="24">
        <v>41275</v>
      </c>
      <c r="AB361" t="s">
        <v>26</v>
      </c>
      <c r="AC361" s="24">
        <v>41275</v>
      </c>
      <c r="AD361" s="24">
        <v>41275</v>
      </c>
      <c r="AE361" t="s">
        <v>26</v>
      </c>
      <c r="AF361" t="s">
        <v>26</v>
      </c>
      <c r="AG361" t="s">
        <v>26</v>
      </c>
      <c r="AH361" t="s">
        <v>26</v>
      </c>
      <c r="AI361" t="s">
        <v>26</v>
      </c>
      <c r="AJ361" t="s">
        <v>26</v>
      </c>
      <c r="AK361" t="s">
        <v>26</v>
      </c>
      <c r="AL361" t="s">
        <v>26</v>
      </c>
      <c r="AM361" t="s">
        <v>26</v>
      </c>
      <c r="AN361" t="s">
        <v>26</v>
      </c>
      <c r="AO361" s="25" t="s">
        <v>28</v>
      </c>
      <c r="AP361" s="23" t="s">
        <v>29</v>
      </c>
      <c r="AQ361" s="23" t="s">
        <v>30</v>
      </c>
      <c r="AR361" s="23" t="s">
        <v>44</v>
      </c>
      <c r="AS361" s="25">
        <v>5488554</v>
      </c>
      <c r="AT361" s="23" t="s">
        <v>22181</v>
      </c>
      <c r="AU361" t="s">
        <v>22681</v>
      </c>
    </row>
    <row r="362" spans="1:47" ht="39.4" x14ac:dyDescent="0.4">
      <c r="A362" s="23" t="s">
        <v>1142</v>
      </c>
      <c r="B362" t="s">
        <v>26</v>
      </c>
      <c r="C362" s="23" t="s">
        <v>364</v>
      </c>
      <c r="D362" s="23" t="s">
        <v>22682</v>
      </c>
      <c r="E362" s="23" t="s">
        <v>42</v>
      </c>
      <c r="F362" t="s">
        <v>26</v>
      </c>
      <c r="G362" t="s">
        <v>26</v>
      </c>
      <c r="H362" t="s">
        <v>26</v>
      </c>
      <c r="I362" s="24">
        <v>43438</v>
      </c>
      <c r="J362" s="24">
        <v>43438</v>
      </c>
      <c r="K362" t="s">
        <v>26</v>
      </c>
      <c r="L362" s="25" t="s">
        <v>28</v>
      </c>
      <c r="M362" s="24">
        <v>43438</v>
      </c>
      <c r="N362" s="24">
        <v>43438</v>
      </c>
      <c r="O362" t="s">
        <v>26</v>
      </c>
      <c r="P362" t="s">
        <v>26</v>
      </c>
      <c r="Q362" t="s">
        <v>26</v>
      </c>
      <c r="R362" t="s">
        <v>26</v>
      </c>
      <c r="S362" t="s">
        <v>26</v>
      </c>
      <c r="T362" t="s">
        <v>26</v>
      </c>
      <c r="U362" t="s">
        <v>26</v>
      </c>
      <c r="V362" t="s">
        <v>26</v>
      </c>
      <c r="W362" s="24">
        <v>43438</v>
      </c>
      <c r="X362" s="24">
        <v>43438</v>
      </c>
      <c r="Y362" t="s">
        <v>26</v>
      </c>
      <c r="Z362" s="24">
        <v>43438</v>
      </c>
      <c r="AA362" s="24">
        <v>43438</v>
      </c>
      <c r="AB362" t="s">
        <v>26</v>
      </c>
      <c r="AC362" t="s">
        <v>26</v>
      </c>
      <c r="AD362" t="s">
        <v>26</v>
      </c>
      <c r="AE362" t="s">
        <v>26</v>
      </c>
      <c r="AF362" t="s">
        <v>26</v>
      </c>
      <c r="AG362" t="s">
        <v>26</v>
      </c>
      <c r="AH362" t="s">
        <v>26</v>
      </c>
      <c r="AI362" t="s">
        <v>26</v>
      </c>
      <c r="AJ362" t="s">
        <v>26</v>
      </c>
      <c r="AK362" t="s">
        <v>26</v>
      </c>
      <c r="AL362" t="s">
        <v>26</v>
      </c>
      <c r="AM362" t="s">
        <v>26</v>
      </c>
      <c r="AN362" t="s">
        <v>26</v>
      </c>
      <c r="AO362" s="25" t="s">
        <v>28</v>
      </c>
      <c r="AP362" s="23" t="s">
        <v>365</v>
      </c>
      <c r="AQ362" s="23" t="s">
        <v>30</v>
      </c>
      <c r="AR362" s="23" t="s">
        <v>1143</v>
      </c>
      <c r="AS362" s="25">
        <v>4395944</v>
      </c>
      <c r="AT362" t="s">
        <v>26</v>
      </c>
      <c r="AU362" t="s">
        <v>22683</v>
      </c>
    </row>
    <row r="363" spans="1:47" ht="26.25" x14ac:dyDescent="0.4">
      <c r="A363" s="23" t="s">
        <v>1144</v>
      </c>
      <c r="B363" t="s">
        <v>26</v>
      </c>
      <c r="C363" s="23" t="s">
        <v>73</v>
      </c>
      <c r="D363" s="23" t="s">
        <v>22215</v>
      </c>
      <c r="E363" s="23" t="s">
        <v>74</v>
      </c>
      <c r="F363" s="25" t="s">
        <v>1145</v>
      </c>
      <c r="G363" s="25" t="s">
        <v>1146</v>
      </c>
      <c r="H363" t="s">
        <v>26</v>
      </c>
      <c r="I363" s="24">
        <v>35431</v>
      </c>
      <c r="J363" s="25" t="s">
        <v>77</v>
      </c>
      <c r="K363" t="s">
        <v>26</v>
      </c>
      <c r="L363" s="25" t="s">
        <v>68</v>
      </c>
      <c r="M363" s="24">
        <v>38047</v>
      </c>
      <c r="N363" s="24">
        <v>42856</v>
      </c>
      <c r="O363" t="s">
        <v>26</v>
      </c>
      <c r="P363" s="24">
        <v>35431</v>
      </c>
      <c r="Q363" s="25" t="s">
        <v>77</v>
      </c>
      <c r="R363" t="s">
        <v>26</v>
      </c>
      <c r="S363" t="s">
        <v>26</v>
      </c>
      <c r="T363" t="s">
        <v>26</v>
      </c>
      <c r="U363" t="s">
        <v>26</v>
      </c>
      <c r="V363" s="25">
        <v>365</v>
      </c>
      <c r="W363" s="24">
        <v>35431</v>
      </c>
      <c r="X363" s="25" t="s">
        <v>77</v>
      </c>
      <c r="Y363" t="s">
        <v>26</v>
      </c>
      <c r="Z363" s="24">
        <v>35431</v>
      </c>
      <c r="AA363" s="25" t="s">
        <v>77</v>
      </c>
      <c r="AB363" t="s">
        <v>26</v>
      </c>
      <c r="AC363" s="24">
        <v>35431</v>
      </c>
      <c r="AD363" s="25" t="s">
        <v>77</v>
      </c>
      <c r="AE363" t="s">
        <v>26</v>
      </c>
      <c r="AF363" t="s">
        <v>26</v>
      </c>
      <c r="AG363" t="s">
        <v>26</v>
      </c>
      <c r="AH363" t="s">
        <v>26</v>
      </c>
      <c r="AI363" t="s">
        <v>26</v>
      </c>
      <c r="AJ363" t="s">
        <v>26</v>
      </c>
      <c r="AK363" t="s">
        <v>26</v>
      </c>
      <c r="AL363" t="s">
        <v>26</v>
      </c>
      <c r="AM363" t="s">
        <v>26</v>
      </c>
      <c r="AN363" t="s">
        <v>26</v>
      </c>
      <c r="AO363" s="25" t="s">
        <v>68</v>
      </c>
      <c r="AP363" s="23" t="s">
        <v>69</v>
      </c>
      <c r="AQ363" s="23" t="s">
        <v>30</v>
      </c>
      <c r="AR363" s="23" t="s">
        <v>1147</v>
      </c>
      <c r="AS363" s="25">
        <v>38983</v>
      </c>
      <c r="AT363" t="s">
        <v>26</v>
      </c>
      <c r="AU363" t="s">
        <v>22684</v>
      </c>
    </row>
    <row r="364" spans="1:47" ht="26.25" x14ac:dyDescent="0.4">
      <c r="A364" s="23" t="s">
        <v>1148</v>
      </c>
      <c r="B364" t="s">
        <v>26</v>
      </c>
      <c r="C364" s="23" t="s">
        <v>73</v>
      </c>
      <c r="D364" s="23" t="s">
        <v>22179</v>
      </c>
      <c r="E364" s="23" t="s">
        <v>74</v>
      </c>
      <c r="F364" s="25" t="s">
        <v>1149</v>
      </c>
      <c r="G364" s="25" t="s">
        <v>1150</v>
      </c>
      <c r="H364" t="s">
        <v>26</v>
      </c>
      <c r="I364" s="24">
        <v>36342</v>
      </c>
      <c r="J364" s="25" t="s">
        <v>77</v>
      </c>
      <c r="K364" t="s">
        <v>26</v>
      </c>
      <c r="L364" s="25" t="s">
        <v>68</v>
      </c>
      <c r="M364" s="24">
        <v>36342</v>
      </c>
      <c r="N364" s="24">
        <v>42856</v>
      </c>
      <c r="O364" t="s">
        <v>26</v>
      </c>
      <c r="P364" s="24">
        <v>36342</v>
      </c>
      <c r="Q364" s="25" t="s">
        <v>77</v>
      </c>
      <c r="R364" t="s">
        <v>26</v>
      </c>
      <c r="S364" t="s">
        <v>26</v>
      </c>
      <c r="T364" t="s">
        <v>26</v>
      </c>
      <c r="U364" t="s">
        <v>26</v>
      </c>
      <c r="V364" s="25">
        <v>365</v>
      </c>
      <c r="W364" s="24">
        <v>36342</v>
      </c>
      <c r="X364" s="25" t="s">
        <v>77</v>
      </c>
      <c r="Y364" t="s">
        <v>26</v>
      </c>
      <c r="Z364" s="24">
        <v>36342</v>
      </c>
      <c r="AA364" s="25" t="s">
        <v>77</v>
      </c>
      <c r="AB364" t="s">
        <v>26</v>
      </c>
      <c r="AC364" s="24">
        <v>36342</v>
      </c>
      <c r="AD364" s="25" t="s">
        <v>77</v>
      </c>
      <c r="AE364" t="s">
        <v>26</v>
      </c>
      <c r="AF364" t="s">
        <v>26</v>
      </c>
      <c r="AG364" t="s">
        <v>26</v>
      </c>
      <c r="AH364" t="s">
        <v>26</v>
      </c>
      <c r="AI364" t="s">
        <v>26</v>
      </c>
      <c r="AJ364" t="s">
        <v>26</v>
      </c>
      <c r="AK364" t="s">
        <v>26</v>
      </c>
      <c r="AL364" t="s">
        <v>26</v>
      </c>
      <c r="AM364" t="s">
        <v>26</v>
      </c>
      <c r="AN364" t="s">
        <v>26</v>
      </c>
      <c r="AO364" s="25" t="s">
        <v>68</v>
      </c>
      <c r="AP364" s="23" t="s">
        <v>69</v>
      </c>
      <c r="AQ364" s="23" t="s">
        <v>30</v>
      </c>
      <c r="AR364" s="23" t="s">
        <v>70</v>
      </c>
      <c r="AS364" s="25">
        <v>37296</v>
      </c>
      <c r="AT364" t="s">
        <v>26</v>
      </c>
      <c r="AU364" t="s">
        <v>22685</v>
      </c>
    </row>
    <row r="365" spans="1:47" ht="26.25" x14ac:dyDescent="0.4">
      <c r="A365" s="23" t="s">
        <v>1151</v>
      </c>
      <c r="B365" t="s">
        <v>26</v>
      </c>
      <c r="C365" s="23" t="s">
        <v>564</v>
      </c>
      <c r="D365" s="23" t="s">
        <v>22686</v>
      </c>
      <c r="E365" s="23" t="s">
        <v>42</v>
      </c>
      <c r="F365" t="s">
        <v>26</v>
      </c>
      <c r="G365" s="25" t="s">
        <v>1152</v>
      </c>
      <c r="H365" t="s">
        <v>26</v>
      </c>
      <c r="I365" s="24">
        <v>40787</v>
      </c>
      <c r="J365" s="25" t="s">
        <v>77</v>
      </c>
      <c r="K365" t="s">
        <v>26</v>
      </c>
      <c r="L365" s="25" t="s">
        <v>68</v>
      </c>
      <c r="M365" s="24">
        <v>40787</v>
      </c>
      <c r="N365" s="25" t="s">
        <v>77</v>
      </c>
      <c r="O365" t="s">
        <v>26</v>
      </c>
      <c r="P365" s="24">
        <v>40787</v>
      </c>
      <c r="Q365" s="25" t="s">
        <v>77</v>
      </c>
      <c r="R365" t="s">
        <v>26</v>
      </c>
      <c r="S365" t="s">
        <v>26</v>
      </c>
      <c r="T365" t="s">
        <v>26</v>
      </c>
      <c r="U365" t="s">
        <v>26</v>
      </c>
      <c r="V365" t="s">
        <v>26</v>
      </c>
      <c r="W365" s="24">
        <v>40787</v>
      </c>
      <c r="X365" s="25" t="s">
        <v>77</v>
      </c>
      <c r="Y365" t="s">
        <v>26</v>
      </c>
      <c r="Z365" s="24">
        <v>40787</v>
      </c>
      <c r="AA365" s="25" t="s">
        <v>77</v>
      </c>
      <c r="AB365" t="s">
        <v>26</v>
      </c>
      <c r="AC365" s="24">
        <v>40787</v>
      </c>
      <c r="AD365" s="25" t="s">
        <v>77</v>
      </c>
      <c r="AE365" t="s">
        <v>26</v>
      </c>
      <c r="AF365" t="s">
        <v>26</v>
      </c>
      <c r="AG365" t="s">
        <v>26</v>
      </c>
      <c r="AH365" t="s">
        <v>26</v>
      </c>
      <c r="AI365" t="s">
        <v>26</v>
      </c>
      <c r="AJ365" t="s">
        <v>26</v>
      </c>
      <c r="AK365" t="s">
        <v>26</v>
      </c>
      <c r="AL365" t="s">
        <v>26</v>
      </c>
      <c r="AM365" t="s">
        <v>26</v>
      </c>
      <c r="AN365" t="s">
        <v>26</v>
      </c>
      <c r="AO365" s="25" t="s">
        <v>68</v>
      </c>
      <c r="AP365" s="23" t="s">
        <v>69</v>
      </c>
      <c r="AQ365" s="23" t="s">
        <v>30</v>
      </c>
      <c r="AR365" s="23" t="s">
        <v>46</v>
      </c>
      <c r="AS365" s="25">
        <v>976341</v>
      </c>
      <c r="AT365" t="s">
        <v>26</v>
      </c>
      <c r="AU365" t="s">
        <v>22687</v>
      </c>
    </row>
    <row r="366" spans="1:47" ht="26.25" x14ac:dyDescent="0.4">
      <c r="A366" s="23" t="s">
        <v>1153</v>
      </c>
      <c r="B366" t="s">
        <v>26</v>
      </c>
      <c r="C366" s="23" t="s">
        <v>1154</v>
      </c>
      <c r="D366" s="23" t="s">
        <v>22222</v>
      </c>
      <c r="E366" s="23" t="s">
        <v>74</v>
      </c>
      <c r="F366" s="25" t="s">
        <v>1155</v>
      </c>
      <c r="G366" s="25" t="s">
        <v>1156</v>
      </c>
      <c r="H366" t="s">
        <v>26</v>
      </c>
      <c r="I366" t="s">
        <v>26</v>
      </c>
      <c r="J366" t="s">
        <v>26</v>
      </c>
      <c r="K366" t="s">
        <v>26</v>
      </c>
      <c r="L366" s="25" t="s">
        <v>68</v>
      </c>
      <c r="M366" t="s">
        <v>26</v>
      </c>
      <c r="N366" t="s">
        <v>26</v>
      </c>
      <c r="O366" t="s">
        <v>26</v>
      </c>
      <c r="P366" t="s">
        <v>26</v>
      </c>
      <c r="Q366" t="s">
        <v>26</v>
      </c>
      <c r="R366" t="s">
        <v>26</v>
      </c>
      <c r="S366" t="s">
        <v>26</v>
      </c>
      <c r="T366" t="s">
        <v>26</v>
      </c>
      <c r="U366" t="s">
        <v>26</v>
      </c>
      <c r="V366" t="s">
        <v>26</v>
      </c>
      <c r="W366" s="24">
        <v>42705</v>
      </c>
      <c r="X366" s="24">
        <v>44743</v>
      </c>
      <c r="Y366" t="s">
        <v>26</v>
      </c>
      <c r="Z366" s="24">
        <v>42705</v>
      </c>
      <c r="AA366" s="24">
        <v>44743</v>
      </c>
      <c r="AB366" t="s">
        <v>26</v>
      </c>
      <c r="AC366" s="24">
        <v>42705</v>
      </c>
      <c r="AD366" s="24">
        <v>44743</v>
      </c>
      <c r="AE366" t="s">
        <v>26</v>
      </c>
      <c r="AF366" t="s">
        <v>26</v>
      </c>
      <c r="AG366" t="s">
        <v>26</v>
      </c>
      <c r="AH366" t="s">
        <v>26</v>
      </c>
      <c r="AI366" t="s">
        <v>26</v>
      </c>
      <c r="AJ366" t="s">
        <v>26</v>
      </c>
      <c r="AK366" t="s">
        <v>26</v>
      </c>
      <c r="AL366" t="s">
        <v>26</v>
      </c>
      <c r="AM366" t="s">
        <v>26</v>
      </c>
      <c r="AN366" t="s">
        <v>26</v>
      </c>
      <c r="AO366" s="25" t="s">
        <v>68</v>
      </c>
      <c r="AP366" s="23" t="s">
        <v>69</v>
      </c>
      <c r="AQ366" s="23" t="s">
        <v>30</v>
      </c>
      <c r="AR366" s="23" t="s">
        <v>46</v>
      </c>
      <c r="AS366" s="25">
        <v>2038114</v>
      </c>
      <c r="AT366" t="s">
        <v>26</v>
      </c>
      <c r="AU366" t="s">
        <v>22688</v>
      </c>
    </row>
    <row r="367" spans="1:47" ht="26.25" x14ac:dyDescent="0.4">
      <c r="A367" s="23" t="s">
        <v>1157</v>
      </c>
      <c r="B367" t="s">
        <v>26</v>
      </c>
      <c r="C367" s="23" t="s">
        <v>946</v>
      </c>
      <c r="D367" s="23" t="s">
        <v>22689</v>
      </c>
      <c r="E367" s="23" t="s">
        <v>42</v>
      </c>
      <c r="F367" s="25" t="s">
        <v>1158</v>
      </c>
      <c r="G367" s="25" t="s">
        <v>1159</v>
      </c>
      <c r="H367" t="s">
        <v>26</v>
      </c>
      <c r="I367" t="s">
        <v>26</v>
      </c>
      <c r="J367" t="s">
        <v>26</v>
      </c>
      <c r="K367" t="s">
        <v>26</v>
      </c>
      <c r="L367" s="25" t="s">
        <v>68</v>
      </c>
      <c r="M367" t="s">
        <v>26</v>
      </c>
      <c r="N367" t="s">
        <v>26</v>
      </c>
      <c r="O367" t="s">
        <v>26</v>
      </c>
      <c r="P367" t="s">
        <v>26</v>
      </c>
      <c r="Q367" t="s">
        <v>26</v>
      </c>
      <c r="R367" t="s">
        <v>26</v>
      </c>
      <c r="S367" t="s">
        <v>26</v>
      </c>
      <c r="T367" t="s">
        <v>26</v>
      </c>
      <c r="U367" t="s">
        <v>26</v>
      </c>
      <c r="V367" t="s">
        <v>26</v>
      </c>
      <c r="W367" s="24">
        <v>42675</v>
      </c>
      <c r="X367" s="25" t="s">
        <v>77</v>
      </c>
      <c r="Y367" t="s">
        <v>26</v>
      </c>
      <c r="Z367" s="24">
        <v>42675</v>
      </c>
      <c r="AA367" s="25" t="s">
        <v>77</v>
      </c>
      <c r="AB367" t="s">
        <v>26</v>
      </c>
      <c r="AC367" s="24">
        <v>42675</v>
      </c>
      <c r="AD367" s="25" t="s">
        <v>77</v>
      </c>
      <c r="AE367" t="s">
        <v>26</v>
      </c>
      <c r="AF367" t="s">
        <v>26</v>
      </c>
      <c r="AG367" t="s">
        <v>26</v>
      </c>
      <c r="AH367" t="s">
        <v>26</v>
      </c>
      <c r="AI367" t="s">
        <v>26</v>
      </c>
      <c r="AJ367" t="s">
        <v>26</v>
      </c>
      <c r="AK367" t="s">
        <v>26</v>
      </c>
      <c r="AL367" t="s">
        <v>26</v>
      </c>
      <c r="AM367" t="s">
        <v>26</v>
      </c>
      <c r="AN367" t="s">
        <v>26</v>
      </c>
      <c r="AO367" s="25" t="s">
        <v>68</v>
      </c>
      <c r="AP367" s="23" t="s">
        <v>69</v>
      </c>
      <c r="AQ367" s="23" t="s">
        <v>30</v>
      </c>
      <c r="AR367" s="23" t="s">
        <v>1160</v>
      </c>
      <c r="AS367" s="25">
        <v>2038115</v>
      </c>
      <c r="AT367" t="s">
        <v>26</v>
      </c>
      <c r="AU367" t="s">
        <v>22690</v>
      </c>
    </row>
    <row r="368" spans="1:47" ht="26.25" x14ac:dyDescent="0.4">
      <c r="A368" s="23" t="s">
        <v>1161</v>
      </c>
      <c r="B368" t="s">
        <v>26</v>
      </c>
      <c r="C368" s="23" t="s">
        <v>73</v>
      </c>
      <c r="D368" s="23" t="s">
        <v>22211</v>
      </c>
      <c r="E368" s="23" t="s">
        <v>74</v>
      </c>
      <c r="F368" s="25" t="s">
        <v>1162</v>
      </c>
      <c r="G368" s="25" t="s">
        <v>1163</v>
      </c>
      <c r="H368" t="s">
        <v>26</v>
      </c>
      <c r="I368" s="24">
        <v>36617</v>
      </c>
      <c r="J368" s="24">
        <v>37956</v>
      </c>
      <c r="K368" t="s">
        <v>26</v>
      </c>
      <c r="L368" s="25" t="s">
        <v>68</v>
      </c>
      <c r="M368" t="s">
        <v>26</v>
      </c>
      <c r="N368" t="s">
        <v>26</v>
      </c>
      <c r="O368" t="s">
        <v>26</v>
      </c>
      <c r="P368" s="24">
        <v>36617</v>
      </c>
      <c r="Q368" s="24">
        <v>37956</v>
      </c>
      <c r="R368" t="s">
        <v>26</v>
      </c>
      <c r="S368" t="s">
        <v>26</v>
      </c>
      <c r="T368" t="s">
        <v>26</v>
      </c>
      <c r="U368" t="s">
        <v>26</v>
      </c>
      <c r="V368" t="s">
        <v>26</v>
      </c>
      <c r="W368" s="24">
        <v>36617</v>
      </c>
      <c r="X368" s="24">
        <v>37956</v>
      </c>
      <c r="Y368" t="s">
        <v>26</v>
      </c>
      <c r="Z368" s="24">
        <v>36617</v>
      </c>
      <c r="AA368" s="24">
        <v>37956</v>
      </c>
      <c r="AB368" t="s">
        <v>26</v>
      </c>
      <c r="AC368" s="24">
        <v>36617</v>
      </c>
      <c r="AD368" s="24">
        <v>37956</v>
      </c>
      <c r="AE368" t="s">
        <v>26</v>
      </c>
      <c r="AF368" t="s">
        <v>26</v>
      </c>
      <c r="AG368" t="s">
        <v>26</v>
      </c>
      <c r="AH368" t="s">
        <v>26</v>
      </c>
      <c r="AI368" t="s">
        <v>26</v>
      </c>
      <c r="AJ368" t="s">
        <v>26</v>
      </c>
      <c r="AK368" t="s">
        <v>26</v>
      </c>
      <c r="AL368" t="s">
        <v>26</v>
      </c>
      <c r="AM368" t="s">
        <v>26</v>
      </c>
      <c r="AN368" t="s">
        <v>26</v>
      </c>
      <c r="AO368" s="25" t="s">
        <v>68</v>
      </c>
      <c r="AP368" s="23" t="s">
        <v>69</v>
      </c>
      <c r="AQ368" s="23" t="s">
        <v>30</v>
      </c>
      <c r="AR368" s="23" t="s">
        <v>70</v>
      </c>
      <c r="AS368" s="25">
        <v>42631</v>
      </c>
      <c r="AT368" t="s">
        <v>26</v>
      </c>
      <c r="AU368" t="s">
        <v>22691</v>
      </c>
    </row>
    <row r="369" spans="1:47" ht="26.25" x14ac:dyDescent="0.4">
      <c r="A369" s="23" t="s">
        <v>22692</v>
      </c>
      <c r="B369" t="s">
        <v>26</v>
      </c>
      <c r="C369" s="23" t="s">
        <v>181</v>
      </c>
      <c r="D369" s="23" t="s">
        <v>22174</v>
      </c>
      <c r="E369" s="23" t="s">
        <v>60</v>
      </c>
      <c r="F369" t="s">
        <v>26</v>
      </c>
      <c r="G369" s="25" t="s">
        <v>22693</v>
      </c>
      <c r="H369" t="s">
        <v>26</v>
      </c>
      <c r="I369" s="24">
        <v>42248</v>
      </c>
      <c r="J369" s="25" t="s">
        <v>77</v>
      </c>
      <c r="K369" t="s">
        <v>26</v>
      </c>
      <c r="L369" s="25" t="s">
        <v>68</v>
      </c>
      <c r="M369" s="24">
        <v>43344</v>
      </c>
      <c r="N369" s="25" t="s">
        <v>77</v>
      </c>
      <c r="O369" t="s">
        <v>26</v>
      </c>
      <c r="P369" s="24">
        <v>42248</v>
      </c>
      <c r="Q369" s="25" t="s">
        <v>77</v>
      </c>
      <c r="R369" t="s">
        <v>26</v>
      </c>
      <c r="S369" s="24">
        <v>42736</v>
      </c>
      <c r="T369" s="25" t="s">
        <v>77</v>
      </c>
      <c r="U369" t="s">
        <v>26</v>
      </c>
      <c r="V369" t="s">
        <v>26</v>
      </c>
      <c r="W369" s="24">
        <v>42248</v>
      </c>
      <c r="X369" s="25" t="s">
        <v>77</v>
      </c>
      <c r="Y369" t="s">
        <v>26</v>
      </c>
      <c r="Z369" s="24">
        <v>42248</v>
      </c>
      <c r="AA369" s="25" t="s">
        <v>77</v>
      </c>
      <c r="AB369" t="s">
        <v>26</v>
      </c>
      <c r="AC369" s="24">
        <v>42248</v>
      </c>
      <c r="AD369" s="25" t="s">
        <v>77</v>
      </c>
      <c r="AE369" t="s">
        <v>26</v>
      </c>
      <c r="AF369" t="s">
        <v>26</v>
      </c>
      <c r="AG369" t="s">
        <v>26</v>
      </c>
      <c r="AH369" t="s">
        <v>26</v>
      </c>
      <c r="AI369" t="s">
        <v>26</v>
      </c>
      <c r="AJ369" t="s">
        <v>26</v>
      </c>
      <c r="AK369" t="s">
        <v>26</v>
      </c>
      <c r="AL369" t="s">
        <v>26</v>
      </c>
      <c r="AM369" t="s">
        <v>26</v>
      </c>
      <c r="AN369" t="s">
        <v>26</v>
      </c>
      <c r="AO369" s="25" t="s">
        <v>68</v>
      </c>
      <c r="AP369" s="23" t="s">
        <v>69</v>
      </c>
      <c r="AQ369" s="23" t="s">
        <v>30</v>
      </c>
      <c r="AR369" s="23" t="s">
        <v>70</v>
      </c>
      <c r="AS369" s="25">
        <v>4450819</v>
      </c>
      <c r="AT369" t="s">
        <v>26</v>
      </c>
      <c r="AU369" t="s">
        <v>22694</v>
      </c>
    </row>
    <row r="370" spans="1:47" ht="26.25" x14ac:dyDescent="0.4">
      <c r="A370" s="23" t="s">
        <v>1164</v>
      </c>
      <c r="B370" t="s">
        <v>26</v>
      </c>
      <c r="C370" s="23" t="s">
        <v>803</v>
      </c>
      <c r="D370" s="23" t="s">
        <v>22499</v>
      </c>
      <c r="E370" s="23" t="s">
        <v>711</v>
      </c>
      <c r="F370" s="25" t="s">
        <v>1165</v>
      </c>
      <c r="G370" s="25" t="s">
        <v>1166</v>
      </c>
      <c r="H370" t="s">
        <v>26</v>
      </c>
      <c r="I370" s="24">
        <v>36039</v>
      </c>
      <c r="J370" s="24">
        <v>42339</v>
      </c>
      <c r="K370" t="s">
        <v>26</v>
      </c>
      <c r="L370" s="25" t="s">
        <v>68</v>
      </c>
      <c r="M370" s="24">
        <v>36039</v>
      </c>
      <c r="N370" s="24">
        <v>37895</v>
      </c>
      <c r="O370" t="s">
        <v>26</v>
      </c>
      <c r="P370" s="24">
        <v>36039</v>
      </c>
      <c r="Q370" s="24">
        <v>42339</v>
      </c>
      <c r="R370" t="s">
        <v>26</v>
      </c>
      <c r="S370" t="s">
        <v>26</v>
      </c>
      <c r="T370" t="s">
        <v>26</v>
      </c>
      <c r="U370" t="s">
        <v>26</v>
      </c>
      <c r="V370" t="s">
        <v>26</v>
      </c>
      <c r="W370" s="24">
        <v>36039</v>
      </c>
      <c r="X370" s="24">
        <v>42583</v>
      </c>
      <c r="Y370" t="s">
        <v>26</v>
      </c>
      <c r="Z370" s="24">
        <v>36039</v>
      </c>
      <c r="AA370" s="24">
        <v>42583</v>
      </c>
      <c r="AB370" t="s">
        <v>26</v>
      </c>
      <c r="AC370" s="24">
        <v>36039</v>
      </c>
      <c r="AD370" s="24">
        <v>42583</v>
      </c>
      <c r="AE370" t="s">
        <v>26</v>
      </c>
      <c r="AF370" t="s">
        <v>26</v>
      </c>
      <c r="AG370" t="s">
        <v>26</v>
      </c>
      <c r="AH370" t="s">
        <v>26</v>
      </c>
      <c r="AI370" t="s">
        <v>26</v>
      </c>
      <c r="AJ370" t="s">
        <v>26</v>
      </c>
      <c r="AK370" t="s">
        <v>26</v>
      </c>
      <c r="AL370" t="s">
        <v>26</v>
      </c>
      <c r="AM370" t="s">
        <v>26</v>
      </c>
      <c r="AN370" t="s">
        <v>26</v>
      </c>
      <c r="AO370" s="25" t="s">
        <v>68</v>
      </c>
      <c r="AP370" s="23" t="s">
        <v>69</v>
      </c>
      <c r="AQ370" s="23" t="s">
        <v>30</v>
      </c>
      <c r="AR370" s="23" t="s">
        <v>1167</v>
      </c>
      <c r="AS370" s="25">
        <v>35174</v>
      </c>
      <c r="AT370" t="s">
        <v>26</v>
      </c>
      <c r="AU370" t="s">
        <v>22695</v>
      </c>
    </row>
    <row r="371" spans="1:47" ht="26.25" x14ac:dyDescent="0.4">
      <c r="A371" s="23" t="s">
        <v>1168</v>
      </c>
      <c r="B371" t="s">
        <v>26</v>
      </c>
      <c r="C371" s="23" t="s">
        <v>22696</v>
      </c>
      <c r="D371" s="23" t="s">
        <v>22303</v>
      </c>
      <c r="E371" s="23" t="s">
        <v>335</v>
      </c>
      <c r="F371" t="s">
        <v>26</v>
      </c>
      <c r="G371" t="s">
        <v>26</v>
      </c>
      <c r="H371" t="s">
        <v>26</v>
      </c>
      <c r="I371" s="24">
        <v>43466</v>
      </c>
      <c r="J371" s="24">
        <v>43831</v>
      </c>
      <c r="K371" t="s">
        <v>26</v>
      </c>
      <c r="L371" s="25" t="s">
        <v>28</v>
      </c>
      <c r="M371" s="24">
        <v>43466</v>
      </c>
      <c r="N371" s="24">
        <v>43831</v>
      </c>
      <c r="O371" t="s">
        <v>26</v>
      </c>
      <c r="P371" t="s">
        <v>26</v>
      </c>
      <c r="Q371" t="s">
        <v>26</v>
      </c>
      <c r="R371" t="s">
        <v>26</v>
      </c>
      <c r="S371" s="24">
        <v>43466</v>
      </c>
      <c r="T371" s="24">
        <v>43831</v>
      </c>
      <c r="U371" t="s">
        <v>26</v>
      </c>
      <c r="V371" t="s">
        <v>26</v>
      </c>
      <c r="W371" s="24">
        <v>43466</v>
      </c>
      <c r="X371" s="24">
        <v>43831</v>
      </c>
      <c r="Y371" t="s">
        <v>26</v>
      </c>
      <c r="Z371" s="24">
        <v>43466</v>
      </c>
      <c r="AA371" s="24">
        <v>43831</v>
      </c>
      <c r="AB371" t="s">
        <v>26</v>
      </c>
      <c r="AC371" s="24">
        <v>43466</v>
      </c>
      <c r="AD371" s="24">
        <v>43831</v>
      </c>
      <c r="AE371" t="s">
        <v>26</v>
      </c>
      <c r="AF371" s="24">
        <v>43466</v>
      </c>
      <c r="AG371" s="24">
        <v>43831</v>
      </c>
      <c r="AH371" t="s">
        <v>26</v>
      </c>
      <c r="AI371" s="24">
        <v>43466</v>
      </c>
      <c r="AJ371" s="24">
        <v>43831</v>
      </c>
      <c r="AK371" t="s">
        <v>26</v>
      </c>
      <c r="AL371" t="s">
        <v>26</v>
      </c>
      <c r="AM371" t="s">
        <v>26</v>
      </c>
      <c r="AN371" t="s">
        <v>26</v>
      </c>
      <c r="AO371" s="25" t="s">
        <v>28</v>
      </c>
      <c r="AP371" s="23" t="s">
        <v>43</v>
      </c>
      <c r="AQ371" s="23" t="s">
        <v>30</v>
      </c>
      <c r="AR371" s="23" t="s">
        <v>46</v>
      </c>
      <c r="AS371" s="25">
        <v>6359416</v>
      </c>
      <c r="AT371" t="s">
        <v>26</v>
      </c>
      <c r="AU371" t="s">
        <v>22697</v>
      </c>
    </row>
    <row r="372" spans="1:47" ht="13.15" x14ac:dyDescent="0.4">
      <c r="A372" s="23" t="s">
        <v>1169</v>
      </c>
      <c r="B372" t="s">
        <v>26</v>
      </c>
      <c r="C372" s="23" t="s">
        <v>48</v>
      </c>
      <c r="D372" s="23" t="s">
        <v>22168</v>
      </c>
      <c r="E372" s="23" t="s">
        <v>42</v>
      </c>
      <c r="F372" t="s">
        <v>26</v>
      </c>
      <c r="G372" t="s">
        <v>26</v>
      </c>
      <c r="H372" t="s">
        <v>26</v>
      </c>
      <c r="I372" t="s">
        <v>26</v>
      </c>
      <c r="J372" t="s">
        <v>26</v>
      </c>
      <c r="K372" t="s">
        <v>26</v>
      </c>
      <c r="L372" s="25" t="s">
        <v>28</v>
      </c>
      <c r="M372" t="s">
        <v>26</v>
      </c>
      <c r="N372" t="s">
        <v>26</v>
      </c>
      <c r="O372" t="s">
        <v>26</v>
      </c>
      <c r="P372" t="s">
        <v>26</v>
      </c>
      <c r="Q372" t="s">
        <v>26</v>
      </c>
      <c r="R372" t="s">
        <v>26</v>
      </c>
      <c r="S372" t="s">
        <v>26</v>
      </c>
      <c r="T372" t="s">
        <v>26</v>
      </c>
      <c r="U372" t="s">
        <v>26</v>
      </c>
      <c r="V372" t="s">
        <v>26</v>
      </c>
      <c r="W372" s="24">
        <v>41275</v>
      </c>
      <c r="X372" s="24">
        <v>41275</v>
      </c>
      <c r="Y372" t="s">
        <v>26</v>
      </c>
      <c r="Z372" s="24">
        <v>41275</v>
      </c>
      <c r="AA372" s="24">
        <v>41275</v>
      </c>
      <c r="AB372" t="s">
        <v>26</v>
      </c>
      <c r="AC372" t="s">
        <v>26</v>
      </c>
      <c r="AD372" t="s">
        <v>26</v>
      </c>
      <c r="AE372" t="s">
        <v>26</v>
      </c>
      <c r="AF372" t="s">
        <v>26</v>
      </c>
      <c r="AG372" t="s">
        <v>26</v>
      </c>
      <c r="AH372" t="s">
        <v>26</v>
      </c>
      <c r="AI372" t="s">
        <v>26</v>
      </c>
      <c r="AJ372" t="s">
        <v>26</v>
      </c>
      <c r="AK372" t="s">
        <v>26</v>
      </c>
      <c r="AL372" t="s">
        <v>26</v>
      </c>
      <c r="AM372" t="s">
        <v>26</v>
      </c>
      <c r="AN372" t="s">
        <v>26</v>
      </c>
      <c r="AO372" s="25" t="s">
        <v>28</v>
      </c>
      <c r="AP372" s="23" t="s">
        <v>29</v>
      </c>
      <c r="AQ372" s="23" t="s">
        <v>30</v>
      </c>
      <c r="AR372" s="23" t="s">
        <v>1170</v>
      </c>
      <c r="AS372" s="25">
        <v>5483541</v>
      </c>
      <c r="AT372" s="23" t="s">
        <v>22181</v>
      </c>
      <c r="AU372" t="s">
        <v>22698</v>
      </c>
    </row>
    <row r="373" spans="1:47" ht="26.25" x14ac:dyDescent="0.4">
      <c r="A373" s="23" t="s">
        <v>1171</v>
      </c>
      <c r="B373" t="s">
        <v>26</v>
      </c>
      <c r="C373" s="23" t="s">
        <v>22699</v>
      </c>
      <c r="D373" t="s">
        <v>26</v>
      </c>
      <c r="E373" s="23" t="s">
        <v>42</v>
      </c>
      <c r="F373" t="s">
        <v>26</v>
      </c>
      <c r="G373" t="s">
        <v>26</v>
      </c>
      <c r="H373" t="s">
        <v>26</v>
      </c>
      <c r="I373" s="24">
        <v>30682</v>
      </c>
      <c r="J373" s="24">
        <v>36526</v>
      </c>
      <c r="K373" t="s">
        <v>26</v>
      </c>
      <c r="L373" s="25" t="s">
        <v>28</v>
      </c>
      <c r="M373" s="24">
        <v>30682</v>
      </c>
      <c r="N373" s="24">
        <v>36526</v>
      </c>
      <c r="O373" t="s">
        <v>26</v>
      </c>
      <c r="P373" t="s">
        <v>26</v>
      </c>
      <c r="Q373" t="s">
        <v>26</v>
      </c>
      <c r="R373" t="s">
        <v>26</v>
      </c>
      <c r="S373" s="24">
        <v>30682</v>
      </c>
      <c r="T373" s="24">
        <v>36526</v>
      </c>
      <c r="U373" t="s">
        <v>26</v>
      </c>
      <c r="V373" t="s">
        <v>26</v>
      </c>
      <c r="W373" s="24">
        <v>30682</v>
      </c>
      <c r="X373" s="24">
        <v>36526</v>
      </c>
      <c r="Y373" t="s">
        <v>26</v>
      </c>
      <c r="Z373" s="24">
        <v>30682</v>
      </c>
      <c r="AA373" s="24">
        <v>36526</v>
      </c>
      <c r="AB373" t="s">
        <v>26</v>
      </c>
      <c r="AC373" s="24">
        <v>30682</v>
      </c>
      <c r="AD373" s="24">
        <v>36526</v>
      </c>
      <c r="AE373" t="s">
        <v>26</v>
      </c>
      <c r="AF373" s="24">
        <v>30682</v>
      </c>
      <c r="AG373" s="24">
        <v>36526</v>
      </c>
      <c r="AH373" t="s">
        <v>26</v>
      </c>
      <c r="AI373" s="24">
        <v>30682</v>
      </c>
      <c r="AJ373" s="24">
        <v>36526</v>
      </c>
      <c r="AK373" t="s">
        <v>26</v>
      </c>
      <c r="AL373" t="s">
        <v>26</v>
      </c>
      <c r="AM373" t="s">
        <v>26</v>
      </c>
      <c r="AN373" t="s">
        <v>26</v>
      </c>
      <c r="AO373" s="25" t="s">
        <v>28</v>
      </c>
      <c r="AP373" s="23" t="s">
        <v>43</v>
      </c>
      <c r="AQ373" s="23" t="s">
        <v>30</v>
      </c>
      <c r="AR373" s="23" t="s">
        <v>44</v>
      </c>
      <c r="AS373" s="25">
        <v>5263182</v>
      </c>
      <c r="AT373" t="s">
        <v>26</v>
      </c>
      <c r="AU373" t="s">
        <v>22700</v>
      </c>
    </row>
    <row r="374" spans="1:47" ht="26.25" x14ac:dyDescent="0.4">
      <c r="A374" s="23" t="s">
        <v>1172</v>
      </c>
      <c r="B374" t="s">
        <v>26</v>
      </c>
      <c r="C374" s="23" t="s">
        <v>22163</v>
      </c>
      <c r="D374" s="23" t="s">
        <v>22701</v>
      </c>
      <c r="E374" s="23" t="s">
        <v>42</v>
      </c>
      <c r="F374" t="s">
        <v>26</v>
      </c>
      <c r="G374" t="s">
        <v>26</v>
      </c>
      <c r="H374" t="s">
        <v>26</v>
      </c>
      <c r="I374" s="24">
        <v>40179</v>
      </c>
      <c r="J374" s="24">
        <v>40179</v>
      </c>
      <c r="K374" t="s">
        <v>26</v>
      </c>
      <c r="L374" s="25" t="s">
        <v>28</v>
      </c>
      <c r="M374" s="24">
        <v>40179</v>
      </c>
      <c r="N374" s="24">
        <v>40179</v>
      </c>
      <c r="O374" t="s">
        <v>26</v>
      </c>
      <c r="P374" t="s">
        <v>26</v>
      </c>
      <c r="Q374" t="s">
        <v>26</v>
      </c>
      <c r="R374" t="s">
        <v>26</v>
      </c>
      <c r="S374" s="24">
        <v>40179</v>
      </c>
      <c r="T374" s="24">
        <v>40179</v>
      </c>
      <c r="U374" t="s">
        <v>26</v>
      </c>
      <c r="V374" t="s">
        <v>26</v>
      </c>
      <c r="W374" s="24">
        <v>40179</v>
      </c>
      <c r="X374" s="24">
        <v>40179</v>
      </c>
      <c r="Y374" t="s">
        <v>26</v>
      </c>
      <c r="Z374" s="24">
        <v>40179</v>
      </c>
      <c r="AA374" s="24">
        <v>40179</v>
      </c>
      <c r="AB374" t="s">
        <v>26</v>
      </c>
      <c r="AC374" s="24">
        <v>40179</v>
      </c>
      <c r="AD374" s="24">
        <v>40179</v>
      </c>
      <c r="AE374" t="s">
        <v>26</v>
      </c>
      <c r="AF374" s="24">
        <v>40179</v>
      </c>
      <c r="AG374" s="24">
        <v>40179</v>
      </c>
      <c r="AH374" t="s">
        <v>26</v>
      </c>
      <c r="AI374" s="24">
        <v>40179</v>
      </c>
      <c r="AJ374" s="24">
        <v>40179</v>
      </c>
      <c r="AK374" t="s">
        <v>26</v>
      </c>
      <c r="AL374" t="s">
        <v>26</v>
      </c>
      <c r="AM374" t="s">
        <v>26</v>
      </c>
      <c r="AN374" t="s">
        <v>26</v>
      </c>
      <c r="AO374" s="25" t="s">
        <v>28</v>
      </c>
      <c r="AP374" s="23" t="s">
        <v>43</v>
      </c>
      <c r="AQ374" s="23" t="s">
        <v>30</v>
      </c>
      <c r="AR374" s="23" t="s">
        <v>46</v>
      </c>
      <c r="AS374" s="25">
        <v>6359415</v>
      </c>
      <c r="AT374" t="s">
        <v>26</v>
      </c>
      <c r="AU374" t="s">
        <v>22702</v>
      </c>
    </row>
    <row r="375" spans="1:47" ht="26.25" x14ac:dyDescent="0.4">
      <c r="A375" s="23" t="s">
        <v>1173</v>
      </c>
      <c r="B375" t="s">
        <v>26</v>
      </c>
      <c r="C375" s="23" t="s">
        <v>351</v>
      </c>
      <c r="D375" s="23" t="s">
        <v>22703</v>
      </c>
      <c r="E375" s="23" t="s">
        <v>60</v>
      </c>
      <c r="F375" s="25" t="s">
        <v>1174</v>
      </c>
      <c r="G375" s="25" t="s">
        <v>1175</v>
      </c>
      <c r="H375" t="s">
        <v>26</v>
      </c>
      <c r="I375" t="s">
        <v>26</v>
      </c>
      <c r="J375" t="s">
        <v>26</v>
      </c>
      <c r="K375" t="s">
        <v>26</v>
      </c>
      <c r="L375" s="25" t="s">
        <v>68</v>
      </c>
      <c r="M375" t="s">
        <v>26</v>
      </c>
      <c r="N375" t="s">
        <v>26</v>
      </c>
      <c r="O375" t="s">
        <v>26</v>
      </c>
      <c r="P375" t="s">
        <v>26</v>
      </c>
      <c r="Q375" t="s">
        <v>26</v>
      </c>
      <c r="R375" t="s">
        <v>26</v>
      </c>
      <c r="S375" t="s">
        <v>26</v>
      </c>
      <c r="T375" t="s">
        <v>26</v>
      </c>
      <c r="U375" t="s">
        <v>26</v>
      </c>
      <c r="V375" t="s">
        <v>26</v>
      </c>
      <c r="W375" s="24">
        <v>37043</v>
      </c>
      <c r="X375" s="24">
        <v>39753</v>
      </c>
      <c r="Y375" t="s">
        <v>26</v>
      </c>
      <c r="Z375" s="24">
        <v>37043</v>
      </c>
      <c r="AA375" s="24">
        <v>39753</v>
      </c>
      <c r="AB375" t="s">
        <v>26</v>
      </c>
      <c r="AC375" s="24">
        <v>37043</v>
      </c>
      <c r="AD375" s="24">
        <v>39753</v>
      </c>
      <c r="AE375" t="s">
        <v>26</v>
      </c>
      <c r="AF375" t="s">
        <v>26</v>
      </c>
      <c r="AG375" t="s">
        <v>26</v>
      </c>
      <c r="AH375" t="s">
        <v>26</v>
      </c>
      <c r="AI375" t="s">
        <v>26</v>
      </c>
      <c r="AJ375" t="s">
        <v>26</v>
      </c>
      <c r="AK375" t="s">
        <v>26</v>
      </c>
      <c r="AL375" t="s">
        <v>26</v>
      </c>
      <c r="AM375" t="s">
        <v>26</v>
      </c>
      <c r="AN375" t="s">
        <v>26</v>
      </c>
      <c r="AO375" s="25" t="s">
        <v>68</v>
      </c>
      <c r="AP375" s="23" t="s">
        <v>69</v>
      </c>
      <c r="AQ375" s="23" t="s">
        <v>30</v>
      </c>
      <c r="AR375" s="23" t="s">
        <v>70</v>
      </c>
      <c r="AS375" s="25">
        <v>43770</v>
      </c>
      <c r="AT375" t="s">
        <v>26</v>
      </c>
      <c r="AU375" t="s">
        <v>22704</v>
      </c>
    </row>
    <row r="376" spans="1:47" ht="26.25" x14ac:dyDescent="0.4">
      <c r="A376" s="23" t="s">
        <v>1176</v>
      </c>
      <c r="B376" t="s">
        <v>26</v>
      </c>
      <c r="C376" s="23" t="s">
        <v>172</v>
      </c>
      <c r="D376" s="23" t="s">
        <v>22174</v>
      </c>
      <c r="E376" s="23" t="s">
        <v>60</v>
      </c>
      <c r="F376" s="25" t="s">
        <v>1177</v>
      </c>
      <c r="G376" s="25" t="s">
        <v>1178</v>
      </c>
      <c r="H376" t="s">
        <v>26</v>
      </c>
      <c r="I376" s="24">
        <v>35674</v>
      </c>
      <c r="J376" s="24">
        <v>36861</v>
      </c>
      <c r="K376" t="s">
        <v>26</v>
      </c>
      <c r="L376" s="25" t="s">
        <v>68</v>
      </c>
      <c r="M376" s="24">
        <v>35674</v>
      </c>
      <c r="N376" s="24">
        <v>36861</v>
      </c>
      <c r="O376" t="s">
        <v>26</v>
      </c>
      <c r="P376" s="24">
        <v>35674</v>
      </c>
      <c r="Q376" s="24">
        <v>36861</v>
      </c>
      <c r="R376" t="s">
        <v>26</v>
      </c>
      <c r="S376" t="s">
        <v>26</v>
      </c>
      <c r="T376" t="s">
        <v>26</v>
      </c>
      <c r="U376" t="s">
        <v>26</v>
      </c>
      <c r="V376" t="s">
        <v>26</v>
      </c>
      <c r="W376" s="24">
        <v>35674</v>
      </c>
      <c r="X376" s="25" t="s">
        <v>77</v>
      </c>
      <c r="Y376" t="s">
        <v>26</v>
      </c>
      <c r="Z376" s="24">
        <v>35674</v>
      </c>
      <c r="AA376" s="25" t="s">
        <v>77</v>
      </c>
      <c r="AB376" t="s">
        <v>26</v>
      </c>
      <c r="AC376" s="24">
        <v>35674</v>
      </c>
      <c r="AD376" s="25" t="s">
        <v>77</v>
      </c>
      <c r="AE376" t="s">
        <v>26</v>
      </c>
      <c r="AF376" t="s">
        <v>26</v>
      </c>
      <c r="AG376" t="s">
        <v>26</v>
      </c>
      <c r="AH376" t="s">
        <v>26</v>
      </c>
      <c r="AI376" t="s">
        <v>26</v>
      </c>
      <c r="AJ376" t="s">
        <v>26</v>
      </c>
      <c r="AK376" t="s">
        <v>26</v>
      </c>
      <c r="AL376" t="s">
        <v>26</v>
      </c>
      <c r="AM376" t="s">
        <v>26</v>
      </c>
      <c r="AN376" t="s">
        <v>26</v>
      </c>
      <c r="AO376" s="25" t="s">
        <v>68</v>
      </c>
      <c r="AP376" s="23" t="s">
        <v>69</v>
      </c>
      <c r="AQ376" s="23" t="s">
        <v>30</v>
      </c>
      <c r="AR376" s="23" t="s">
        <v>337</v>
      </c>
      <c r="AS376" s="25">
        <v>33034</v>
      </c>
      <c r="AT376" t="s">
        <v>26</v>
      </c>
      <c r="AU376" t="s">
        <v>22705</v>
      </c>
    </row>
    <row r="377" spans="1:47" ht="26.25" x14ac:dyDescent="0.4">
      <c r="A377" s="23" t="s">
        <v>1179</v>
      </c>
      <c r="B377" t="s">
        <v>26</v>
      </c>
      <c r="C377" s="23" t="s">
        <v>1180</v>
      </c>
      <c r="D377" s="23" t="s">
        <v>22706</v>
      </c>
      <c r="E377" s="23" t="s">
        <v>60</v>
      </c>
      <c r="F377" s="25" t="s">
        <v>1181</v>
      </c>
      <c r="G377" s="25" t="s">
        <v>1182</v>
      </c>
      <c r="H377" t="s">
        <v>26</v>
      </c>
      <c r="I377" s="24">
        <v>35827</v>
      </c>
      <c r="J377" s="24">
        <v>38869</v>
      </c>
      <c r="K377" t="s">
        <v>26</v>
      </c>
      <c r="L377" s="25" t="s">
        <v>68</v>
      </c>
      <c r="M377" s="24">
        <v>35827</v>
      </c>
      <c r="N377" s="24">
        <v>38869</v>
      </c>
      <c r="O377" t="s">
        <v>26</v>
      </c>
      <c r="P377" s="24">
        <v>35827</v>
      </c>
      <c r="Q377" s="24">
        <v>38869</v>
      </c>
      <c r="R377" t="s">
        <v>26</v>
      </c>
      <c r="S377" t="s">
        <v>26</v>
      </c>
      <c r="T377" t="s">
        <v>26</v>
      </c>
      <c r="U377" t="s">
        <v>26</v>
      </c>
      <c r="V377" t="s">
        <v>26</v>
      </c>
      <c r="W377" s="24">
        <v>35827</v>
      </c>
      <c r="X377" s="24">
        <v>38869</v>
      </c>
      <c r="Y377" t="s">
        <v>26</v>
      </c>
      <c r="Z377" s="24">
        <v>35827</v>
      </c>
      <c r="AA377" s="24">
        <v>38869</v>
      </c>
      <c r="AB377" t="s">
        <v>26</v>
      </c>
      <c r="AC377" s="24">
        <v>35827</v>
      </c>
      <c r="AD377" s="24">
        <v>38869</v>
      </c>
      <c r="AE377" t="s">
        <v>26</v>
      </c>
      <c r="AF377" t="s">
        <v>26</v>
      </c>
      <c r="AG377" t="s">
        <v>26</v>
      </c>
      <c r="AH377" t="s">
        <v>26</v>
      </c>
      <c r="AI377" t="s">
        <v>26</v>
      </c>
      <c r="AJ377" t="s">
        <v>26</v>
      </c>
      <c r="AK377" t="s">
        <v>26</v>
      </c>
      <c r="AL377" t="s">
        <v>26</v>
      </c>
      <c r="AM377" t="s">
        <v>26</v>
      </c>
      <c r="AN377" t="s">
        <v>26</v>
      </c>
      <c r="AO377" s="25" t="s">
        <v>68</v>
      </c>
      <c r="AP377" s="23" t="s">
        <v>69</v>
      </c>
      <c r="AQ377" s="23" t="s">
        <v>30</v>
      </c>
      <c r="AR377" s="23" t="s">
        <v>46</v>
      </c>
      <c r="AS377" s="25">
        <v>38181</v>
      </c>
      <c r="AT377" t="s">
        <v>26</v>
      </c>
      <c r="AU377" t="s">
        <v>22707</v>
      </c>
    </row>
    <row r="378" spans="1:47" ht="26.25" x14ac:dyDescent="0.4">
      <c r="A378" s="23" t="s">
        <v>1179</v>
      </c>
      <c r="B378" t="s">
        <v>26</v>
      </c>
      <c r="C378" s="23" t="s">
        <v>320</v>
      </c>
      <c r="D378" s="23" t="s">
        <v>22706</v>
      </c>
      <c r="E378" s="23" t="s">
        <v>42</v>
      </c>
      <c r="F378" s="25" t="s">
        <v>1181</v>
      </c>
      <c r="G378" s="25" t="s">
        <v>1182</v>
      </c>
      <c r="H378" t="s">
        <v>26</v>
      </c>
      <c r="I378" t="s">
        <v>26</v>
      </c>
      <c r="J378" t="s">
        <v>26</v>
      </c>
      <c r="K378" t="s">
        <v>26</v>
      </c>
      <c r="L378" s="25" t="s">
        <v>68</v>
      </c>
      <c r="M378" t="s">
        <v>26</v>
      </c>
      <c r="N378" t="s">
        <v>26</v>
      </c>
      <c r="O378" t="s">
        <v>26</v>
      </c>
      <c r="P378" t="s">
        <v>26</v>
      </c>
      <c r="Q378" t="s">
        <v>26</v>
      </c>
      <c r="R378" t="s">
        <v>26</v>
      </c>
      <c r="S378" t="s">
        <v>26</v>
      </c>
      <c r="T378" t="s">
        <v>26</v>
      </c>
      <c r="U378" t="s">
        <v>26</v>
      </c>
      <c r="V378" t="s">
        <v>26</v>
      </c>
      <c r="W378" s="24">
        <v>41699</v>
      </c>
      <c r="X378" s="25" t="s">
        <v>77</v>
      </c>
      <c r="Y378" t="s">
        <v>26</v>
      </c>
      <c r="Z378" s="24">
        <v>41699</v>
      </c>
      <c r="AA378" s="25" t="s">
        <v>77</v>
      </c>
      <c r="AB378" t="s">
        <v>26</v>
      </c>
      <c r="AC378" s="24">
        <v>41699</v>
      </c>
      <c r="AD378" s="25" t="s">
        <v>77</v>
      </c>
      <c r="AE378" t="s">
        <v>26</v>
      </c>
      <c r="AF378" t="s">
        <v>26</v>
      </c>
      <c r="AG378" t="s">
        <v>26</v>
      </c>
      <c r="AH378" t="s">
        <v>26</v>
      </c>
      <c r="AI378" t="s">
        <v>26</v>
      </c>
      <c r="AJ378" t="s">
        <v>26</v>
      </c>
      <c r="AK378" t="s">
        <v>26</v>
      </c>
      <c r="AL378" t="s">
        <v>26</v>
      </c>
      <c r="AM378" t="s">
        <v>26</v>
      </c>
      <c r="AN378" t="s">
        <v>26</v>
      </c>
      <c r="AO378" s="25" t="s">
        <v>68</v>
      </c>
      <c r="AP378" s="23" t="s">
        <v>69</v>
      </c>
      <c r="AQ378" s="23" t="s">
        <v>30</v>
      </c>
      <c r="AR378" s="23" t="s">
        <v>46</v>
      </c>
      <c r="AS378" s="25">
        <v>2033394</v>
      </c>
      <c r="AT378" t="s">
        <v>26</v>
      </c>
      <c r="AU378" t="s">
        <v>22708</v>
      </c>
    </row>
    <row r="379" spans="1:47" ht="26.25" x14ac:dyDescent="0.4">
      <c r="A379" s="23" t="s">
        <v>1183</v>
      </c>
      <c r="B379" t="s">
        <v>26</v>
      </c>
      <c r="C379" s="23" t="s">
        <v>1183</v>
      </c>
      <c r="D379" s="23" t="s">
        <v>22709</v>
      </c>
      <c r="E379" s="23" t="s">
        <v>60</v>
      </c>
      <c r="F379" s="25" t="s">
        <v>1184</v>
      </c>
      <c r="G379" t="s">
        <v>26</v>
      </c>
      <c r="H379" t="s">
        <v>26</v>
      </c>
      <c r="I379" s="24">
        <v>39539</v>
      </c>
      <c r="J379" s="25" t="s">
        <v>77</v>
      </c>
      <c r="K379" s="25" t="s">
        <v>1185</v>
      </c>
      <c r="L379" s="25" t="s">
        <v>68</v>
      </c>
      <c r="M379" s="24">
        <v>39539</v>
      </c>
      <c r="N379" s="25" t="s">
        <v>77</v>
      </c>
      <c r="O379" s="25" t="s">
        <v>1185</v>
      </c>
      <c r="P379" s="24">
        <v>39539</v>
      </c>
      <c r="Q379" s="25" t="s">
        <v>77</v>
      </c>
      <c r="R379" s="25" t="s">
        <v>1185</v>
      </c>
      <c r="S379" t="s">
        <v>26</v>
      </c>
      <c r="T379" t="s">
        <v>26</v>
      </c>
      <c r="U379" t="s">
        <v>26</v>
      </c>
      <c r="V379" t="s">
        <v>26</v>
      </c>
      <c r="W379" s="24">
        <v>39539</v>
      </c>
      <c r="X379" s="25" t="s">
        <v>77</v>
      </c>
      <c r="Y379" s="25" t="s">
        <v>1185</v>
      </c>
      <c r="Z379" s="24">
        <v>39539</v>
      </c>
      <c r="AA379" s="25" t="s">
        <v>77</v>
      </c>
      <c r="AB379" s="25" t="s">
        <v>1185</v>
      </c>
      <c r="AC379" s="24">
        <v>39539</v>
      </c>
      <c r="AD379" s="25" t="s">
        <v>77</v>
      </c>
      <c r="AE379" s="25" t="s">
        <v>1185</v>
      </c>
      <c r="AF379" t="s">
        <v>26</v>
      </c>
      <c r="AG379" t="s">
        <v>26</v>
      </c>
      <c r="AH379" t="s">
        <v>26</v>
      </c>
      <c r="AI379" t="s">
        <v>26</v>
      </c>
      <c r="AJ379" t="s">
        <v>26</v>
      </c>
      <c r="AK379" t="s">
        <v>26</v>
      </c>
      <c r="AL379" t="s">
        <v>26</v>
      </c>
      <c r="AM379" t="s">
        <v>26</v>
      </c>
      <c r="AN379" t="s">
        <v>26</v>
      </c>
      <c r="AO379" s="25" t="s">
        <v>68</v>
      </c>
      <c r="AP379" s="23" t="s">
        <v>69</v>
      </c>
      <c r="AQ379" s="23" t="s">
        <v>30</v>
      </c>
      <c r="AR379" s="23" t="s">
        <v>433</v>
      </c>
      <c r="AS379" s="25">
        <v>38621</v>
      </c>
      <c r="AT379" t="s">
        <v>26</v>
      </c>
      <c r="AU379" t="s">
        <v>22710</v>
      </c>
    </row>
    <row r="380" spans="1:47" ht="26.25" x14ac:dyDescent="0.4">
      <c r="A380" s="23" t="s">
        <v>1186</v>
      </c>
      <c r="B380" t="s">
        <v>26</v>
      </c>
      <c r="C380" s="23" t="s">
        <v>351</v>
      </c>
      <c r="D380" s="23" t="s">
        <v>22174</v>
      </c>
      <c r="E380" s="23" t="s">
        <v>60</v>
      </c>
      <c r="F380" s="25" t="s">
        <v>1187</v>
      </c>
      <c r="G380" s="25" t="s">
        <v>1188</v>
      </c>
      <c r="H380" t="s">
        <v>26</v>
      </c>
      <c r="I380" t="s">
        <v>26</v>
      </c>
      <c r="J380" t="s">
        <v>26</v>
      </c>
      <c r="K380" t="s">
        <v>26</v>
      </c>
      <c r="L380" s="25" t="s">
        <v>68</v>
      </c>
      <c r="M380" t="s">
        <v>26</v>
      </c>
      <c r="N380" t="s">
        <v>26</v>
      </c>
      <c r="O380" t="s">
        <v>26</v>
      </c>
      <c r="P380" t="s">
        <v>26</v>
      </c>
      <c r="Q380" t="s">
        <v>26</v>
      </c>
      <c r="R380" t="s">
        <v>26</v>
      </c>
      <c r="S380" t="s">
        <v>26</v>
      </c>
      <c r="T380" t="s">
        <v>26</v>
      </c>
      <c r="U380" t="s">
        <v>26</v>
      </c>
      <c r="V380" t="s">
        <v>26</v>
      </c>
      <c r="W380" s="24">
        <v>29952</v>
      </c>
      <c r="X380" s="24">
        <v>42430</v>
      </c>
      <c r="Y380" s="25" t="s">
        <v>1189</v>
      </c>
      <c r="Z380" s="24">
        <v>29952</v>
      </c>
      <c r="AA380" s="24">
        <v>42430</v>
      </c>
      <c r="AB380" s="25" t="s">
        <v>1189</v>
      </c>
      <c r="AC380" s="24">
        <v>32509</v>
      </c>
      <c r="AD380" s="24">
        <v>42430</v>
      </c>
      <c r="AE380" t="s">
        <v>26</v>
      </c>
      <c r="AF380" t="s">
        <v>26</v>
      </c>
      <c r="AG380" t="s">
        <v>26</v>
      </c>
      <c r="AH380" t="s">
        <v>26</v>
      </c>
      <c r="AI380" t="s">
        <v>26</v>
      </c>
      <c r="AJ380" t="s">
        <v>26</v>
      </c>
      <c r="AK380" t="s">
        <v>26</v>
      </c>
      <c r="AL380" t="s">
        <v>26</v>
      </c>
      <c r="AM380" t="s">
        <v>26</v>
      </c>
      <c r="AN380" t="s">
        <v>26</v>
      </c>
      <c r="AO380" s="25" t="s">
        <v>68</v>
      </c>
      <c r="AP380" s="23" t="s">
        <v>69</v>
      </c>
      <c r="AQ380" s="23" t="s">
        <v>30</v>
      </c>
      <c r="AR380" s="23" t="s">
        <v>1190</v>
      </c>
      <c r="AS380" s="25">
        <v>34052</v>
      </c>
      <c r="AT380" t="s">
        <v>26</v>
      </c>
      <c r="AU380" t="s">
        <v>22711</v>
      </c>
    </row>
    <row r="381" spans="1:47" ht="26.25" x14ac:dyDescent="0.4">
      <c r="A381" s="23" t="s">
        <v>1191</v>
      </c>
      <c r="B381" t="s">
        <v>26</v>
      </c>
      <c r="C381" s="23" t="s">
        <v>1180</v>
      </c>
      <c r="D381" s="23" t="s">
        <v>22706</v>
      </c>
      <c r="E381" s="23" t="s">
        <v>60</v>
      </c>
      <c r="F381" s="25" t="s">
        <v>1192</v>
      </c>
      <c r="G381" s="25" t="s">
        <v>1193</v>
      </c>
      <c r="H381" t="s">
        <v>26</v>
      </c>
      <c r="I381" s="24">
        <v>35855</v>
      </c>
      <c r="J381" s="24">
        <v>38869</v>
      </c>
      <c r="K381" t="s">
        <v>26</v>
      </c>
      <c r="L381" s="25" t="s">
        <v>68</v>
      </c>
      <c r="M381" s="24">
        <v>35855</v>
      </c>
      <c r="N381" s="24">
        <v>38869</v>
      </c>
      <c r="O381" t="s">
        <v>26</v>
      </c>
      <c r="P381" s="24">
        <v>35855</v>
      </c>
      <c r="Q381" s="24">
        <v>38869</v>
      </c>
      <c r="R381" t="s">
        <v>26</v>
      </c>
      <c r="S381" t="s">
        <v>26</v>
      </c>
      <c r="T381" t="s">
        <v>26</v>
      </c>
      <c r="U381" t="s">
        <v>26</v>
      </c>
      <c r="V381" t="s">
        <v>26</v>
      </c>
      <c r="W381" s="24">
        <v>35855</v>
      </c>
      <c r="X381" s="24">
        <v>38869</v>
      </c>
      <c r="Y381" t="s">
        <v>26</v>
      </c>
      <c r="Z381" s="24">
        <v>35855</v>
      </c>
      <c r="AA381" s="24">
        <v>38869</v>
      </c>
      <c r="AB381" t="s">
        <v>26</v>
      </c>
      <c r="AC381" t="s">
        <v>26</v>
      </c>
      <c r="AD381" t="s">
        <v>26</v>
      </c>
      <c r="AE381" t="s">
        <v>26</v>
      </c>
      <c r="AF381" t="s">
        <v>26</v>
      </c>
      <c r="AG381" t="s">
        <v>26</v>
      </c>
      <c r="AH381" t="s">
        <v>26</v>
      </c>
      <c r="AI381" t="s">
        <v>26</v>
      </c>
      <c r="AJ381" t="s">
        <v>26</v>
      </c>
      <c r="AK381" t="s">
        <v>26</v>
      </c>
      <c r="AL381" t="s">
        <v>26</v>
      </c>
      <c r="AM381" t="s">
        <v>26</v>
      </c>
      <c r="AN381" t="s">
        <v>26</v>
      </c>
      <c r="AO381" s="25" t="s">
        <v>68</v>
      </c>
      <c r="AP381" s="23" t="s">
        <v>69</v>
      </c>
      <c r="AQ381" s="23" t="s">
        <v>30</v>
      </c>
      <c r="AR381" s="23" t="s">
        <v>46</v>
      </c>
      <c r="AS381" s="25">
        <v>36006</v>
      </c>
      <c r="AT381" t="s">
        <v>26</v>
      </c>
      <c r="AU381" t="s">
        <v>22712</v>
      </c>
    </row>
    <row r="382" spans="1:47" ht="26.25" x14ac:dyDescent="0.4">
      <c r="A382" s="23" t="s">
        <v>1191</v>
      </c>
      <c r="B382" t="s">
        <v>26</v>
      </c>
      <c r="C382" s="23" t="s">
        <v>320</v>
      </c>
      <c r="D382" s="23" t="s">
        <v>22706</v>
      </c>
      <c r="E382" s="23" t="s">
        <v>42</v>
      </c>
      <c r="F382" s="25" t="s">
        <v>1192</v>
      </c>
      <c r="G382" s="25" t="s">
        <v>1193</v>
      </c>
      <c r="H382" t="s">
        <v>26</v>
      </c>
      <c r="I382" t="s">
        <v>26</v>
      </c>
      <c r="J382" t="s">
        <v>26</v>
      </c>
      <c r="K382" t="s">
        <v>26</v>
      </c>
      <c r="L382" s="25" t="s">
        <v>68</v>
      </c>
      <c r="M382" t="s">
        <v>26</v>
      </c>
      <c r="N382" t="s">
        <v>26</v>
      </c>
      <c r="O382" t="s">
        <v>26</v>
      </c>
      <c r="P382" t="s">
        <v>26</v>
      </c>
      <c r="Q382" t="s">
        <v>26</v>
      </c>
      <c r="R382" t="s">
        <v>26</v>
      </c>
      <c r="S382" t="s">
        <v>26</v>
      </c>
      <c r="T382" t="s">
        <v>26</v>
      </c>
      <c r="U382" t="s">
        <v>26</v>
      </c>
      <c r="V382" t="s">
        <v>26</v>
      </c>
      <c r="W382" s="24">
        <v>42430</v>
      </c>
      <c r="X382" s="25" t="s">
        <v>77</v>
      </c>
      <c r="Y382" t="s">
        <v>26</v>
      </c>
      <c r="Z382" s="24">
        <v>42430</v>
      </c>
      <c r="AA382" s="25" t="s">
        <v>77</v>
      </c>
      <c r="AB382" t="s">
        <v>26</v>
      </c>
      <c r="AC382" s="24">
        <v>42430</v>
      </c>
      <c r="AD382" s="25" t="s">
        <v>77</v>
      </c>
      <c r="AE382" t="s">
        <v>26</v>
      </c>
      <c r="AF382" t="s">
        <v>26</v>
      </c>
      <c r="AG382" t="s">
        <v>26</v>
      </c>
      <c r="AH382" t="s">
        <v>26</v>
      </c>
      <c r="AI382" t="s">
        <v>26</v>
      </c>
      <c r="AJ382" t="s">
        <v>26</v>
      </c>
      <c r="AK382" t="s">
        <v>26</v>
      </c>
      <c r="AL382" t="s">
        <v>26</v>
      </c>
      <c r="AM382" t="s">
        <v>26</v>
      </c>
      <c r="AN382" t="s">
        <v>26</v>
      </c>
      <c r="AO382" s="25" t="s">
        <v>68</v>
      </c>
      <c r="AP382" s="23" t="s">
        <v>69</v>
      </c>
      <c r="AQ382" s="23" t="s">
        <v>30</v>
      </c>
      <c r="AR382" s="23" t="s">
        <v>46</v>
      </c>
      <c r="AS382" s="25">
        <v>2033393</v>
      </c>
      <c r="AT382" t="s">
        <v>26</v>
      </c>
      <c r="AU382" t="s">
        <v>22713</v>
      </c>
    </row>
    <row r="383" spans="1:47" ht="26.25" x14ac:dyDescent="0.4">
      <c r="A383" s="23" t="s">
        <v>1194</v>
      </c>
      <c r="B383" t="s">
        <v>26</v>
      </c>
      <c r="C383" s="23" t="s">
        <v>1180</v>
      </c>
      <c r="D383" s="23" t="s">
        <v>22706</v>
      </c>
      <c r="E383" s="23" t="s">
        <v>60</v>
      </c>
      <c r="F383" s="25" t="s">
        <v>1195</v>
      </c>
      <c r="G383" s="25" t="s">
        <v>1196</v>
      </c>
      <c r="H383" t="s">
        <v>26</v>
      </c>
      <c r="I383" s="24">
        <v>36039</v>
      </c>
      <c r="J383" s="24">
        <v>38777</v>
      </c>
      <c r="K383" t="s">
        <v>26</v>
      </c>
      <c r="L383" s="25" t="s">
        <v>68</v>
      </c>
      <c r="M383" s="24">
        <v>36039</v>
      </c>
      <c r="N383" s="24">
        <v>38777</v>
      </c>
      <c r="O383" t="s">
        <v>26</v>
      </c>
      <c r="P383" s="24">
        <v>36039</v>
      </c>
      <c r="Q383" s="24">
        <v>38777</v>
      </c>
      <c r="R383" t="s">
        <v>26</v>
      </c>
      <c r="S383" t="s">
        <v>26</v>
      </c>
      <c r="T383" t="s">
        <v>26</v>
      </c>
      <c r="U383" t="s">
        <v>26</v>
      </c>
      <c r="V383" t="s">
        <v>26</v>
      </c>
      <c r="W383" s="24">
        <v>36039</v>
      </c>
      <c r="X383" s="25" t="s">
        <v>77</v>
      </c>
      <c r="Y383" t="s">
        <v>26</v>
      </c>
      <c r="Z383" s="24">
        <v>36039</v>
      </c>
      <c r="AA383" s="25" t="s">
        <v>77</v>
      </c>
      <c r="AB383" t="s">
        <v>26</v>
      </c>
      <c r="AC383" s="24">
        <v>38047</v>
      </c>
      <c r="AD383" s="25" t="s">
        <v>77</v>
      </c>
      <c r="AE383" t="s">
        <v>26</v>
      </c>
      <c r="AF383" t="s">
        <v>26</v>
      </c>
      <c r="AG383" t="s">
        <v>26</v>
      </c>
      <c r="AH383" t="s">
        <v>26</v>
      </c>
      <c r="AI383" t="s">
        <v>26</v>
      </c>
      <c r="AJ383" t="s">
        <v>26</v>
      </c>
      <c r="AK383" t="s">
        <v>26</v>
      </c>
      <c r="AL383" t="s">
        <v>26</v>
      </c>
      <c r="AM383" t="s">
        <v>26</v>
      </c>
      <c r="AN383" t="s">
        <v>26</v>
      </c>
      <c r="AO383" s="25" t="s">
        <v>68</v>
      </c>
      <c r="AP383" s="23" t="s">
        <v>69</v>
      </c>
      <c r="AQ383" s="23" t="s">
        <v>30</v>
      </c>
      <c r="AR383" s="23" t="s">
        <v>123</v>
      </c>
      <c r="AS383" s="25">
        <v>32346</v>
      </c>
      <c r="AT383" t="s">
        <v>26</v>
      </c>
      <c r="AU383" t="s">
        <v>22714</v>
      </c>
    </row>
    <row r="384" spans="1:47" ht="26.25" x14ac:dyDescent="0.4">
      <c r="A384" s="23" t="s">
        <v>1197</v>
      </c>
      <c r="B384" t="s">
        <v>26</v>
      </c>
      <c r="C384" s="23" t="s">
        <v>80</v>
      </c>
      <c r="D384" s="23" t="s">
        <v>22218</v>
      </c>
      <c r="E384" s="23" t="s">
        <v>60</v>
      </c>
      <c r="F384" s="25" t="s">
        <v>1198</v>
      </c>
      <c r="G384" s="25" t="s">
        <v>1199</v>
      </c>
      <c r="H384" t="s">
        <v>26</v>
      </c>
      <c r="I384" s="24">
        <v>35735</v>
      </c>
      <c r="J384" s="24">
        <v>36831</v>
      </c>
      <c r="K384" t="s">
        <v>26</v>
      </c>
      <c r="L384" s="25" t="s">
        <v>68</v>
      </c>
      <c r="M384" s="24">
        <v>35735</v>
      </c>
      <c r="N384" s="24">
        <v>36831</v>
      </c>
      <c r="O384" t="s">
        <v>26</v>
      </c>
      <c r="P384" s="24">
        <v>35735</v>
      </c>
      <c r="Q384" s="24">
        <v>36831</v>
      </c>
      <c r="R384" t="s">
        <v>26</v>
      </c>
      <c r="S384" t="s">
        <v>26</v>
      </c>
      <c r="T384" t="s">
        <v>26</v>
      </c>
      <c r="U384" t="s">
        <v>26</v>
      </c>
      <c r="V384" t="s">
        <v>26</v>
      </c>
      <c r="W384" s="24">
        <v>35735</v>
      </c>
      <c r="X384" s="24">
        <v>42592</v>
      </c>
      <c r="Y384" t="s">
        <v>26</v>
      </c>
      <c r="Z384" s="24">
        <v>35735</v>
      </c>
      <c r="AA384" s="24">
        <v>42592</v>
      </c>
      <c r="AB384" t="s">
        <v>26</v>
      </c>
      <c r="AC384" s="24">
        <v>35735</v>
      </c>
      <c r="AD384" s="24">
        <v>42592</v>
      </c>
      <c r="AE384" t="s">
        <v>26</v>
      </c>
      <c r="AF384" t="s">
        <v>26</v>
      </c>
      <c r="AG384" t="s">
        <v>26</v>
      </c>
      <c r="AH384" t="s">
        <v>26</v>
      </c>
      <c r="AI384" t="s">
        <v>26</v>
      </c>
      <c r="AJ384" t="s">
        <v>26</v>
      </c>
      <c r="AK384" t="s">
        <v>26</v>
      </c>
      <c r="AL384" t="s">
        <v>26</v>
      </c>
      <c r="AM384" t="s">
        <v>26</v>
      </c>
      <c r="AN384" t="s">
        <v>26</v>
      </c>
      <c r="AO384" s="25" t="s">
        <v>68</v>
      </c>
      <c r="AP384" s="23" t="s">
        <v>69</v>
      </c>
      <c r="AQ384" s="23" t="s">
        <v>30</v>
      </c>
      <c r="AR384" s="23" t="s">
        <v>1200</v>
      </c>
      <c r="AS384" s="25">
        <v>33035</v>
      </c>
      <c r="AT384" t="s">
        <v>26</v>
      </c>
      <c r="AU384" t="s">
        <v>22715</v>
      </c>
    </row>
    <row r="385" spans="1:47" ht="26.25" x14ac:dyDescent="0.4">
      <c r="A385" s="23" t="s">
        <v>1201</v>
      </c>
      <c r="B385" t="s">
        <v>26</v>
      </c>
      <c r="C385" s="23" t="s">
        <v>320</v>
      </c>
      <c r="D385" s="23" t="s">
        <v>22706</v>
      </c>
      <c r="E385" s="23" t="s">
        <v>42</v>
      </c>
      <c r="F385" s="25" t="s">
        <v>1202</v>
      </c>
      <c r="G385" s="25" t="s">
        <v>1203</v>
      </c>
      <c r="H385" t="s">
        <v>26</v>
      </c>
      <c r="I385" t="s">
        <v>26</v>
      </c>
      <c r="J385" t="s">
        <v>26</v>
      </c>
      <c r="K385" t="s">
        <v>26</v>
      </c>
      <c r="L385" s="25" t="s">
        <v>68</v>
      </c>
      <c r="M385" t="s">
        <v>26</v>
      </c>
      <c r="N385" t="s">
        <v>26</v>
      </c>
      <c r="O385" t="s">
        <v>26</v>
      </c>
      <c r="P385" t="s">
        <v>26</v>
      </c>
      <c r="Q385" t="s">
        <v>26</v>
      </c>
      <c r="R385" t="s">
        <v>26</v>
      </c>
      <c r="S385" t="s">
        <v>26</v>
      </c>
      <c r="T385" t="s">
        <v>26</v>
      </c>
      <c r="U385" t="s">
        <v>26</v>
      </c>
      <c r="V385" t="s">
        <v>26</v>
      </c>
      <c r="W385" s="24">
        <v>35827</v>
      </c>
      <c r="X385" s="25" t="s">
        <v>77</v>
      </c>
      <c r="Y385" t="s">
        <v>26</v>
      </c>
      <c r="Z385" s="24">
        <v>35827</v>
      </c>
      <c r="AA385" s="25" t="s">
        <v>77</v>
      </c>
      <c r="AB385" t="s">
        <v>26</v>
      </c>
      <c r="AC385" s="24">
        <v>36100</v>
      </c>
      <c r="AD385" s="25" t="s">
        <v>77</v>
      </c>
      <c r="AE385" t="s">
        <v>26</v>
      </c>
      <c r="AF385" t="s">
        <v>26</v>
      </c>
      <c r="AG385" t="s">
        <v>26</v>
      </c>
      <c r="AH385" t="s">
        <v>26</v>
      </c>
      <c r="AI385" t="s">
        <v>26</v>
      </c>
      <c r="AJ385" t="s">
        <v>26</v>
      </c>
      <c r="AK385" t="s">
        <v>26</v>
      </c>
      <c r="AL385" t="s">
        <v>26</v>
      </c>
      <c r="AM385" t="s">
        <v>26</v>
      </c>
      <c r="AN385" t="s">
        <v>26</v>
      </c>
      <c r="AO385" s="25" t="s">
        <v>68</v>
      </c>
      <c r="AP385" s="23" t="s">
        <v>69</v>
      </c>
      <c r="AQ385" s="23" t="s">
        <v>30</v>
      </c>
      <c r="AR385" s="23" t="s">
        <v>44</v>
      </c>
      <c r="AS385" s="25">
        <v>33660</v>
      </c>
      <c r="AT385" t="s">
        <v>26</v>
      </c>
      <c r="AU385" t="s">
        <v>22716</v>
      </c>
    </row>
    <row r="386" spans="1:47" ht="26.25" x14ac:dyDescent="0.4">
      <c r="A386" s="23" t="s">
        <v>1204</v>
      </c>
      <c r="B386" t="s">
        <v>26</v>
      </c>
      <c r="C386" s="23" t="s">
        <v>320</v>
      </c>
      <c r="D386" s="23" t="s">
        <v>22717</v>
      </c>
      <c r="E386" s="23" t="s">
        <v>42</v>
      </c>
      <c r="F386" s="25" t="s">
        <v>1205</v>
      </c>
      <c r="G386" s="25" t="s">
        <v>1206</v>
      </c>
      <c r="H386" t="s">
        <v>26</v>
      </c>
      <c r="I386" t="s">
        <v>26</v>
      </c>
      <c r="J386" t="s">
        <v>26</v>
      </c>
      <c r="K386" t="s">
        <v>26</v>
      </c>
      <c r="L386" s="25" t="s">
        <v>68</v>
      </c>
      <c r="M386" t="s">
        <v>26</v>
      </c>
      <c r="N386" t="s">
        <v>26</v>
      </c>
      <c r="O386" t="s">
        <v>26</v>
      </c>
      <c r="P386" t="s">
        <v>26</v>
      </c>
      <c r="Q386" t="s">
        <v>26</v>
      </c>
      <c r="R386" t="s">
        <v>26</v>
      </c>
      <c r="S386" t="s">
        <v>26</v>
      </c>
      <c r="T386" t="s">
        <v>26</v>
      </c>
      <c r="U386" t="s">
        <v>26</v>
      </c>
      <c r="V386" t="s">
        <v>26</v>
      </c>
      <c r="W386" s="24">
        <v>41244</v>
      </c>
      <c r="X386" s="25" t="s">
        <v>77</v>
      </c>
      <c r="Y386" t="s">
        <v>26</v>
      </c>
      <c r="Z386" s="24">
        <v>41244</v>
      </c>
      <c r="AA386" s="25" t="s">
        <v>77</v>
      </c>
      <c r="AB386" t="s">
        <v>26</v>
      </c>
      <c r="AC386" s="24">
        <v>41244</v>
      </c>
      <c r="AD386" s="25" t="s">
        <v>77</v>
      </c>
      <c r="AE386" t="s">
        <v>26</v>
      </c>
      <c r="AF386" t="s">
        <v>26</v>
      </c>
      <c r="AG386" t="s">
        <v>26</v>
      </c>
      <c r="AH386" t="s">
        <v>26</v>
      </c>
      <c r="AI386" t="s">
        <v>26</v>
      </c>
      <c r="AJ386" t="s">
        <v>26</v>
      </c>
      <c r="AK386" t="s">
        <v>26</v>
      </c>
      <c r="AL386" t="s">
        <v>26</v>
      </c>
      <c r="AM386" t="s">
        <v>26</v>
      </c>
      <c r="AN386" t="s">
        <v>26</v>
      </c>
      <c r="AO386" s="25" t="s">
        <v>68</v>
      </c>
      <c r="AP386" s="23" t="s">
        <v>69</v>
      </c>
      <c r="AQ386" s="23" t="s">
        <v>30</v>
      </c>
      <c r="AR386" s="23" t="s">
        <v>70</v>
      </c>
      <c r="AS386" s="25">
        <v>1006523</v>
      </c>
      <c r="AT386" t="s">
        <v>26</v>
      </c>
      <c r="AU386" t="s">
        <v>22718</v>
      </c>
    </row>
    <row r="387" spans="1:47" ht="26.25" x14ac:dyDescent="0.4">
      <c r="A387" s="23" t="s">
        <v>1207</v>
      </c>
      <c r="B387" t="s">
        <v>26</v>
      </c>
      <c r="C387" s="23" t="s">
        <v>1180</v>
      </c>
      <c r="D387" s="23" t="s">
        <v>22706</v>
      </c>
      <c r="E387" s="23" t="s">
        <v>60</v>
      </c>
      <c r="F387" s="25" t="s">
        <v>1208</v>
      </c>
      <c r="G387" s="25" t="s">
        <v>1209</v>
      </c>
      <c r="H387" t="s">
        <v>26</v>
      </c>
      <c r="I387" s="24">
        <v>35916</v>
      </c>
      <c r="J387" s="24">
        <v>38838</v>
      </c>
      <c r="K387" t="s">
        <v>26</v>
      </c>
      <c r="L387" s="25" t="s">
        <v>68</v>
      </c>
      <c r="M387" s="24">
        <v>35916</v>
      </c>
      <c r="N387" s="24">
        <v>38838</v>
      </c>
      <c r="O387" t="s">
        <v>26</v>
      </c>
      <c r="P387" s="24">
        <v>35916</v>
      </c>
      <c r="Q387" s="24">
        <v>38838</v>
      </c>
      <c r="R387" t="s">
        <v>26</v>
      </c>
      <c r="S387" t="s">
        <v>26</v>
      </c>
      <c r="T387" t="s">
        <v>26</v>
      </c>
      <c r="U387" t="s">
        <v>26</v>
      </c>
      <c r="V387" t="s">
        <v>26</v>
      </c>
      <c r="W387" s="24">
        <v>35916</v>
      </c>
      <c r="X387" s="25" t="s">
        <v>77</v>
      </c>
      <c r="Y387" t="s">
        <v>26</v>
      </c>
      <c r="Z387" s="24">
        <v>35916</v>
      </c>
      <c r="AA387" s="25" t="s">
        <v>77</v>
      </c>
      <c r="AB387" t="s">
        <v>26</v>
      </c>
      <c r="AC387" s="24">
        <v>35916</v>
      </c>
      <c r="AD387" s="25" t="s">
        <v>77</v>
      </c>
      <c r="AE387" t="s">
        <v>26</v>
      </c>
      <c r="AF387" t="s">
        <v>26</v>
      </c>
      <c r="AG387" t="s">
        <v>26</v>
      </c>
      <c r="AH387" t="s">
        <v>26</v>
      </c>
      <c r="AI387" t="s">
        <v>26</v>
      </c>
      <c r="AJ387" t="s">
        <v>26</v>
      </c>
      <c r="AK387" t="s">
        <v>26</v>
      </c>
      <c r="AL387" t="s">
        <v>26</v>
      </c>
      <c r="AM387" t="s">
        <v>26</v>
      </c>
      <c r="AN387" t="s">
        <v>26</v>
      </c>
      <c r="AO387" s="25" t="s">
        <v>68</v>
      </c>
      <c r="AP387" s="23" t="s">
        <v>69</v>
      </c>
      <c r="AQ387" s="23" t="s">
        <v>30</v>
      </c>
      <c r="AR387" s="23" t="s">
        <v>1210</v>
      </c>
      <c r="AS387" s="25">
        <v>36005</v>
      </c>
      <c r="AT387" t="s">
        <v>26</v>
      </c>
      <c r="AU387" t="s">
        <v>22719</v>
      </c>
    </row>
    <row r="388" spans="1:47" ht="26.25" x14ac:dyDescent="0.4">
      <c r="A388" s="23" t="s">
        <v>1211</v>
      </c>
      <c r="B388" t="s">
        <v>26</v>
      </c>
      <c r="C388" s="23" t="s">
        <v>1212</v>
      </c>
      <c r="D388" s="23" t="s">
        <v>22174</v>
      </c>
      <c r="E388" s="23" t="s">
        <v>60</v>
      </c>
      <c r="F388" s="25" t="s">
        <v>1213</v>
      </c>
      <c r="G388" s="25" t="s">
        <v>1214</v>
      </c>
      <c r="H388" t="s">
        <v>26</v>
      </c>
      <c r="I388" t="s">
        <v>26</v>
      </c>
      <c r="J388" t="s">
        <v>26</v>
      </c>
      <c r="K388" t="s">
        <v>26</v>
      </c>
      <c r="L388" s="25" t="s">
        <v>68</v>
      </c>
      <c r="M388" t="s">
        <v>26</v>
      </c>
      <c r="N388" t="s">
        <v>26</v>
      </c>
      <c r="O388" t="s">
        <v>26</v>
      </c>
      <c r="P388" t="s">
        <v>26</v>
      </c>
      <c r="Q388" t="s">
        <v>26</v>
      </c>
      <c r="R388" t="s">
        <v>26</v>
      </c>
      <c r="S388" t="s">
        <v>26</v>
      </c>
      <c r="T388" t="s">
        <v>26</v>
      </c>
      <c r="U388" t="s">
        <v>26</v>
      </c>
      <c r="V388" t="s">
        <v>26</v>
      </c>
      <c r="W388" s="24">
        <v>42736</v>
      </c>
      <c r="X388" s="25" t="s">
        <v>77</v>
      </c>
      <c r="Y388" t="s">
        <v>26</v>
      </c>
      <c r="Z388" s="24">
        <v>42736</v>
      </c>
      <c r="AA388" s="25" t="s">
        <v>77</v>
      </c>
      <c r="AB388" t="s">
        <v>26</v>
      </c>
      <c r="AC388" s="24">
        <v>42736</v>
      </c>
      <c r="AD388" s="25" t="s">
        <v>77</v>
      </c>
      <c r="AE388" t="s">
        <v>26</v>
      </c>
      <c r="AF388" t="s">
        <v>26</v>
      </c>
      <c r="AG388" t="s">
        <v>26</v>
      </c>
      <c r="AH388" t="s">
        <v>26</v>
      </c>
      <c r="AI388" t="s">
        <v>26</v>
      </c>
      <c r="AJ388" t="s">
        <v>26</v>
      </c>
      <c r="AK388" t="s">
        <v>26</v>
      </c>
      <c r="AL388" t="s">
        <v>26</v>
      </c>
      <c r="AM388" t="s">
        <v>26</v>
      </c>
      <c r="AN388" t="s">
        <v>26</v>
      </c>
      <c r="AO388" s="25" t="s">
        <v>68</v>
      </c>
      <c r="AP388" s="23" t="s">
        <v>69</v>
      </c>
      <c r="AQ388" s="23" t="s">
        <v>30</v>
      </c>
      <c r="AR388" s="23" t="s">
        <v>46</v>
      </c>
      <c r="AS388" s="25">
        <v>2046464</v>
      </c>
      <c r="AT388" t="s">
        <v>26</v>
      </c>
      <c r="AU388" t="s">
        <v>22720</v>
      </c>
    </row>
    <row r="389" spans="1:47" ht="26.25" x14ac:dyDescent="0.4">
      <c r="A389" s="23" t="s">
        <v>1215</v>
      </c>
      <c r="B389" t="s">
        <v>26</v>
      </c>
      <c r="C389" s="23" t="s">
        <v>167</v>
      </c>
      <c r="D389" s="23" t="s">
        <v>22218</v>
      </c>
      <c r="E389" s="23" t="s">
        <v>60</v>
      </c>
      <c r="F389" s="25" t="s">
        <v>1216</v>
      </c>
      <c r="G389" s="25" t="s">
        <v>1217</v>
      </c>
      <c r="H389" t="s">
        <v>26</v>
      </c>
      <c r="I389" s="24">
        <v>36951</v>
      </c>
      <c r="J389" s="25" t="s">
        <v>77</v>
      </c>
      <c r="K389" t="s">
        <v>26</v>
      </c>
      <c r="L389" s="25" t="s">
        <v>68</v>
      </c>
      <c r="M389" s="24">
        <v>39508</v>
      </c>
      <c r="N389" s="25" t="s">
        <v>77</v>
      </c>
      <c r="O389" t="s">
        <v>26</v>
      </c>
      <c r="P389" s="24">
        <v>36951</v>
      </c>
      <c r="Q389" s="25" t="s">
        <v>77</v>
      </c>
      <c r="R389" t="s">
        <v>26</v>
      </c>
      <c r="S389" t="s">
        <v>26</v>
      </c>
      <c r="T389" t="s">
        <v>26</v>
      </c>
      <c r="U389" t="s">
        <v>26</v>
      </c>
      <c r="V389" s="25">
        <v>365</v>
      </c>
      <c r="W389" s="24">
        <v>30742</v>
      </c>
      <c r="X389" s="25" t="s">
        <v>77</v>
      </c>
      <c r="Y389" t="s">
        <v>26</v>
      </c>
      <c r="Z389" s="24">
        <v>30742</v>
      </c>
      <c r="AA389" s="25" t="s">
        <v>77</v>
      </c>
      <c r="AB389" t="s">
        <v>26</v>
      </c>
      <c r="AC389" s="24">
        <v>36951</v>
      </c>
      <c r="AD389" s="25" t="s">
        <v>77</v>
      </c>
      <c r="AE389" t="s">
        <v>26</v>
      </c>
      <c r="AF389" t="s">
        <v>26</v>
      </c>
      <c r="AG389" t="s">
        <v>26</v>
      </c>
      <c r="AH389" t="s">
        <v>26</v>
      </c>
      <c r="AI389" t="s">
        <v>26</v>
      </c>
      <c r="AJ389" t="s">
        <v>26</v>
      </c>
      <c r="AK389" t="s">
        <v>26</v>
      </c>
      <c r="AL389" t="s">
        <v>26</v>
      </c>
      <c r="AM389" t="s">
        <v>26</v>
      </c>
      <c r="AN389" t="s">
        <v>26</v>
      </c>
      <c r="AO389" s="25" t="s">
        <v>68</v>
      </c>
      <c r="AP389" s="23" t="s">
        <v>69</v>
      </c>
      <c r="AQ389" s="23" t="s">
        <v>30</v>
      </c>
      <c r="AR389" s="23" t="s">
        <v>844</v>
      </c>
      <c r="AS389" s="25">
        <v>37435</v>
      </c>
      <c r="AT389" t="s">
        <v>26</v>
      </c>
      <c r="AU389" t="s">
        <v>22721</v>
      </c>
    </row>
    <row r="390" spans="1:47" ht="26.25" x14ac:dyDescent="0.4">
      <c r="A390" s="23" t="s">
        <v>1218</v>
      </c>
      <c r="B390" t="s">
        <v>26</v>
      </c>
      <c r="C390" s="23" t="s">
        <v>908</v>
      </c>
      <c r="D390" s="23" t="s">
        <v>22174</v>
      </c>
      <c r="E390" s="23" t="s">
        <v>60</v>
      </c>
      <c r="F390" s="25" t="s">
        <v>1219</v>
      </c>
      <c r="G390" t="s">
        <v>26</v>
      </c>
      <c r="H390" t="s">
        <v>26</v>
      </c>
      <c r="I390" s="24">
        <v>19360</v>
      </c>
      <c r="J390" s="24">
        <v>28185</v>
      </c>
      <c r="K390" t="s">
        <v>26</v>
      </c>
      <c r="L390" s="25" t="s">
        <v>68</v>
      </c>
      <c r="M390" t="s">
        <v>26</v>
      </c>
      <c r="N390" t="s">
        <v>26</v>
      </c>
      <c r="O390" t="s">
        <v>26</v>
      </c>
      <c r="P390" s="24">
        <v>19360</v>
      </c>
      <c r="Q390" s="24">
        <v>28185</v>
      </c>
      <c r="R390" t="s">
        <v>26</v>
      </c>
      <c r="S390" t="s">
        <v>26</v>
      </c>
      <c r="T390" t="s">
        <v>26</v>
      </c>
      <c r="U390" t="s">
        <v>26</v>
      </c>
      <c r="V390" t="s">
        <v>26</v>
      </c>
      <c r="W390" s="24">
        <v>19360</v>
      </c>
      <c r="X390" s="24">
        <v>28460</v>
      </c>
      <c r="Y390" t="s">
        <v>26</v>
      </c>
      <c r="Z390" s="24">
        <v>19360</v>
      </c>
      <c r="AA390" s="24">
        <v>28460</v>
      </c>
      <c r="AB390" t="s">
        <v>26</v>
      </c>
      <c r="AC390" s="24">
        <v>27061</v>
      </c>
      <c r="AD390" s="24">
        <v>28185</v>
      </c>
      <c r="AE390" t="s">
        <v>26</v>
      </c>
      <c r="AF390" t="s">
        <v>26</v>
      </c>
      <c r="AG390" t="s">
        <v>26</v>
      </c>
      <c r="AH390" t="s">
        <v>26</v>
      </c>
      <c r="AI390" t="s">
        <v>26</v>
      </c>
      <c r="AJ390" t="s">
        <v>26</v>
      </c>
      <c r="AK390" t="s">
        <v>26</v>
      </c>
      <c r="AL390" t="s">
        <v>26</v>
      </c>
      <c r="AM390" t="s">
        <v>26</v>
      </c>
      <c r="AN390" t="s">
        <v>26</v>
      </c>
      <c r="AO390" s="25" t="s">
        <v>68</v>
      </c>
      <c r="AP390" s="23" t="s">
        <v>69</v>
      </c>
      <c r="AQ390" s="23" t="s">
        <v>30</v>
      </c>
      <c r="AR390" s="23" t="s">
        <v>277</v>
      </c>
      <c r="AS390" s="25">
        <v>2041064</v>
      </c>
      <c r="AT390" t="s">
        <v>26</v>
      </c>
      <c r="AU390" t="s">
        <v>22722</v>
      </c>
    </row>
    <row r="391" spans="1:47" ht="26.25" x14ac:dyDescent="0.4">
      <c r="A391" s="23" t="s">
        <v>1220</v>
      </c>
      <c r="B391" t="s">
        <v>26</v>
      </c>
      <c r="C391" s="23" t="s">
        <v>167</v>
      </c>
      <c r="D391" s="23" t="s">
        <v>22174</v>
      </c>
      <c r="E391" s="23" t="s">
        <v>60</v>
      </c>
      <c r="F391" s="25" t="s">
        <v>1221</v>
      </c>
      <c r="G391" s="25" t="s">
        <v>1222</v>
      </c>
      <c r="H391" t="s">
        <v>26</v>
      </c>
      <c r="I391" s="24">
        <v>32874</v>
      </c>
      <c r="J391" s="25" t="s">
        <v>77</v>
      </c>
      <c r="K391" t="s">
        <v>26</v>
      </c>
      <c r="L391" s="25" t="s">
        <v>68</v>
      </c>
      <c r="M391" s="24">
        <v>35462</v>
      </c>
      <c r="N391" s="25" t="s">
        <v>77</v>
      </c>
      <c r="O391" s="25" t="s">
        <v>22723</v>
      </c>
      <c r="P391" s="24">
        <v>32874</v>
      </c>
      <c r="Q391" s="25" t="s">
        <v>77</v>
      </c>
      <c r="R391" t="s">
        <v>26</v>
      </c>
      <c r="S391" t="s">
        <v>26</v>
      </c>
      <c r="T391" t="s">
        <v>26</v>
      </c>
      <c r="U391" t="s">
        <v>26</v>
      </c>
      <c r="V391" s="25">
        <v>365</v>
      </c>
      <c r="W391" s="24">
        <v>32874</v>
      </c>
      <c r="X391" s="25" t="s">
        <v>77</v>
      </c>
      <c r="Y391" t="s">
        <v>26</v>
      </c>
      <c r="Z391" s="24">
        <v>32874</v>
      </c>
      <c r="AA391" s="25" t="s">
        <v>77</v>
      </c>
      <c r="AB391" t="s">
        <v>26</v>
      </c>
      <c r="AC391" s="24">
        <v>32874</v>
      </c>
      <c r="AD391" s="25" t="s">
        <v>77</v>
      </c>
      <c r="AE391" t="s">
        <v>26</v>
      </c>
      <c r="AF391" t="s">
        <v>26</v>
      </c>
      <c r="AG391" t="s">
        <v>26</v>
      </c>
      <c r="AH391" t="s">
        <v>26</v>
      </c>
      <c r="AI391" t="s">
        <v>26</v>
      </c>
      <c r="AJ391" t="s">
        <v>26</v>
      </c>
      <c r="AK391" t="s">
        <v>26</v>
      </c>
      <c r="AL391" t="s">
        <v>26</v>
      </c>
      <c r="AM391" t="s">
        <v>26</v>
      </c>
      <c r="AN391" t="s">
        <v>26</v>
      </c>
      <c r="AO391" s="25" t="s">
        <v>68</v>
      </c>
      <c r="AP391" s="23" t="s">
        <v>69</v>
      </c>
      <c r="AQ391" s="23" t="s">
        <v>30</v>
      </c>
      <c r="AR391" s="23" t="s">
        <v>70</v>
      </c>
      <c r="AS391" s="25">
        <v>40635</v>
      </c>
      <c r="AT391" t="s">
        <v>26</v>
      </c>
      <c r="AU391" t="s">
        <v>22724</v>
      </c>
    </row>
    <row r="392" spans="1:47" ht="26.25" x14ac:dyDescent="0.4">
      <c r="A392" s="23" t="s">
        <v>1223</v>
      </c>
      <c r="B392" t="s">
        <v>26</v>
      </c>
      <c r="C392" s="23" t="s">
        <v>1180</v>
      </c>
      <c r="D392" s="23" t="s">
        <v>22706</v>
      </c>
      <c r="E392" s="23" t="s">
        <v>60</v>
      </c>
      <c r="F392" s="25" t="s">
        <v>1224</v>
      </c>
      <c r="G392" s="25" t="s">
        <v>1225</v>
      </c>
      <c r="H392" t="s">
        <v>26</v>
      </c>
      <c r="I392" s="24">
        <v>34731</v>
      </c>
      <c r="J392" s="24">
        <v>38838</v>
      </c>
      <c r="K392" t="s">
        <v>26</v>
      </c>
      <c r="L392" s="25" t="s">
        <v>68</v>
      </c>
      <c r="M392" s="24">
        <v>34731</v>
      </c>
      <c r="N392" s="24">
        <v>38838</v>
      </c>
      <c r="O392" t="s">
        <v>26</v>
      </c>
      <c r="P392" s="24">
        <v>35096</v>
      </c>
      <c r="Q392" s="24">
        <v>38838</v>
      </c>
      <c r="R392" t="s">
        <v>26</v>
      </c>
      <c r="S392" t="s">
        <v>26</v>
      </c>
      <c r="T392" t="s">
        <v>26</v>
      </c>
      <c r="U392" t="s">
        <v>26</v>
      </c>
      <c r="V392" t="s">
        <v>26</v>
      </c>
      <c r="W392" s="24">
        <v>32540</v>
      </c>
      <c r="X392" s="25" t="s">
        <v>77</v>
      </c>
      <c r="Y392" t="s">
        <v>26</v>
      </c>
      <c r="Z392" s="24">
        <v>32540</v>
      </c>
      <c r="AA392" s="25" t="s">
        <v>77</v>
      </c>
      <c r="AB392" t="s">
        <v>26</v>
      </c>
      <c r="AC392" s="24">
        <v>32540</v>
      </c>
      <c r="AD392" s="25" t="s">
        <v>77</v>
      </c>
      <c r="AE392" t="s">
        <v>26</v>
      </c>
      <c r="AF392" t="s">
        <v>26</v>
      </c>
      <c r="AG392" t="s">
        <v>26</v>
      </c>
      <c r="AH392" t="s">
        <v>26</v>
      </c>
      <c r="AI392" t="s">
        <v>26</v>
      </c>
      <c r="AJ392" t="s">
        <v>26</v>
      </c>
      <c r="AK392" t="s">
        <v>26</v>
      </c>
      <c r="AL392" t="s">
        <v>26</v>
      </c>
      <c r="AM392" t="s">
        <v>26</v>
      </c>
      <c r="AN392" t="s">
        <v>26</v>
      </c>
      <c r="AO392" s="25" t="s">
        <v>68</v>
      </c>
      <c r="AP392" s="23" t="s">
        <v>69</v>
      </c>
      <c r="AQ392" s="23" t="s">
        <v>30</v>
      </c>
      <c r="AR392" s="23" t="s">
        <v>46</v>
      </c>
      <c r="AS392" s="25">
        <v>38178</v>
      </c>
      <c r="AT392" t="s">
        <v>26</v>
      </c>
      <c r="AU392" t="s">
        <v>22725</v>
      </c>
    </row>
    <row r="393" spans="1:47" ht="26.25" x14ac:dyDescent="0.4">
      <c r="A393" s="23" t="s">
        <v>1226</v>
      </c>
      <c r="B393" t="s">
        <v>26</v>
      </c>
      <c r="C393" s="23" t="s">
        <v>320</v>
      </c>
      <c r="D393" s="23" t="s">
        <v>22174</v>
      </c>
      <c r="E393" s="23" t="s">
        <v>42</v>
      </c>
      <c r="F393" s="25" t="s">
        <v>1227</v>
      </c>
      <c r="G393" s="25" t="s">
        <v>1228</v>
      </c>
      <c r="H393" t="s">
        <v>26</v>
      </c>
      <c r="I393" t="s">
        <v>26</v>
      </c>
      <c r="J393" t="s">
        <v>26</v>
      </c>
      <c r="K393" t="s">
        <v>26</v>
      </c>
      <c r="L393" s="25" t="s">
        <v>68</v>
      </c>
      <c r="M393" t="s">
        <v>26</v>
      </c>
      <c r="N393" t="s">
        <v>26</v>
      </c>
      <c r="O393" t="s">
        <v>26</v>
      </c>
      <c r="P393" t="s">
        <v>26</v>
      </c>
      <c r="Q393" t="s">
        <v>26</v>
      </c>
      <c r="R393" t="s">
        <v>26</v>
      </c>
      <c r="S393" t="s">
        <v>26</v>
      </c>
      <c r="T393" t="s">
        <v>26</v>
      </c>
      <c r="U393" t="s">
        <v>26</v>
      </c>
      <c r="V393" t="s">
        <v>26</v>
      </c>
      <c r="W393" s="24">
        <v>41306</v>
      </c>
      <c r="X393" s="25" t="s">
        <v>77</v>
      </c>
      <c r="Y393" t="s">
        <v>26</v>
      </c>
      <c r="Z393" s="24">
        <v>41306</v>
      </c>
      <c r="AA393" s="25" t="s">
        <v>77</v>
      </c>
      <c r="AB393" t="s">
        <v>26</v>
      </c>
      <c r="AC393" s="24">
        <v>41306</v>
      </c>
      <c r="AD393" s="25" t="s">
        <v>77</v>
      </c>
      <c r="AE393" t="s">
        <v>26</v>
      </c>
      <c r="AF393" t="s">
        <v>26</v>
      </c>
      <c r="AG393" t="s">
        <v>26</v>
      </c>
      <c r="AH393" t="s">
        <v>26</v>
      </c>
      <c r="AI393" t="s">
        <v>26</v>
      </c>
      <c r="AJ393" t="s">
        <v>26</v>
      </c>
      <c r="AK393" t="s">
        <v>26</v>
      </c>
      <c r="AL393" t="s">
        <v>26</v>
      </c>
      <c r="AM393" t="s">
        <v>26</v>
      </c>
      <c r="AN393" t="s">
        <v>26</v>
      </c>
      <c r="AO393" s="25" t="s">
        <v>68</v>
      </c>
      <c r="AP393" s="23" t="s">
        <v>69</v>
      </c>
      <c r="AQ393" s="23" t="s">
        <v>30</v>
      </c>
      <c r="AR393" s="23" t="s">
        <v>70</v>
      </c>
      <c r="AS393" s="25">
        <v>976339</v>
      </c>
      <c r="AT393" t="s">
        <v>26</v>
      </c>
      <c r="AU393" t="s">
        <v>22726</v>
      </c>
    </row>
    <row r="394" spans="1:47" ht="26.25" x14ac:dyDescent="0.4">
      <c r="A394" s="23" t="s">
        <v>1229</v>
      </c>
      <c r="B394" t="s">
        <v>26</v>
      </c>
      <c r="C394" s="23" t="s">
        <v>908</v>
      </c>
      <c r="D394" t="s">
        <v>26</v>
      </c>
      <c r="E394" s="23" t="s">
        <v>60</v>
      </c>
      <c r="F394" s="25" t="s">
        <v>1230</v>
      </c>
      <c r="G394" t="s">
        <v>26</v>
      </c>
      <c r="H394" t="s">
        <v>26</v>
      </c>
      <c r="I394" s="24">
        <v>17168</v>
      </c>
      <c r="J394" s="24">
        <v>19268</v>
      </c>
      <c r="K394" t="s">
        <v>26</v>
      </c>
      <c r="L394" s="25" t="s">
        <v>68</v>
      </c>
      <c r="M394" t="s">
        <v>26</v>
      </c>
      <c r="N394" t="s">
        <v>26</v>
      </c>
      <c r="O394" t="s">
        <v>26</v>
      </c>
      <c r="P394" s="24">
        <v>17168</v>
      </c>
      <c r="Q394" s="24">
        <v>19268</v>
      </c>
      <c r="R394" t="s">
        <v>26</v>
      </c>
      <c r="S394" t="s">
        <v>26</v>
      </c>
      <c r="T394" t="s">
        <v>26</v>
      </c>
      <c r="U394" t="s">
        <v>26</v>
      </c>
      <c r="V394" t="s">
        <v>26</v>
      </c>
      <c r="W394" s="24">
        <v>17168</v>
      </c>
      <c r="X394" s="24">
        <v>19268</v>
      </c>
      <c r="Y394" t="s">
        <v>26</v>
      </c>
      <c r="Z394" s="24">
        <v>17168</v>
      </c>
      <c r="AA394" s="24">
        <v>19268</v>
      </c>
      <c r="AB394" t="s">
        <v>26</v>
      </c>
      <c r="AC394" t="s">
        <v>26</v>
      </c>
      <c r="AD394" t="s">
        <v>26</v>
      </c>
      <c r="AE394" t="s">
        <v>26</v>
      </c>
      <c r="AF394" t="s">
        <v>26</v>
      </c>
      <c r="AG394" t="s">
        <v>26</v>
      </c>
      <c r="AH394" t="s">
        <v>26</v>
      </c>
      <c r="AI394" t="s">
        <v>26</v>
      </c>
      <c r="AJ394" t="s">
        <v>26</v>
      </c>
      <c r="AK394" t="s">
        <v>26</v>
      </c>
      <c r="AL394" t="s">
        <v>26</v>
      </c>
      <c r="AM394" t="s">
        <v>26</v>
      </c>
      <c r="AN394" t="s">
        <v>26</v>
      </c>
      <c r="AO394" s="25" t="s">
        <v>68</v>
      </c>
      <c r="AP394" s="23" t="s">
        <v>69</v>
      </c>
      <c r="AQ394" s="23" t="s">
        <v>30</v>
      </c>
      <c r="AR394" s="23" t="s">
        <v>277</v>
      </c>
      <c r="AS394" s="25">
        <v>2041063</v>
      </c>
      <c r="AT394" t="s">
        <v>26</v>
      </c>
      <c r="AU394" t="s">
        <v>22727</v>
      </c>
    </row>
    <row r="395" spans="1:47" ht="26.25" x14ac:dyDescent="0.4">
      <c r="A395" s="23" t="s">
        <v>1231</v>
      </c>
      <c r="B395" t="s">
        <v>26</v>
      </c>
      <c r="C395" s="23" t="s">
        <v>1180</v>
      </c>
      <c r="D395" s="23" t="s">
        <v>22706</v>
      </c>
      <c r="E395" s="23" t="s">
        <v>60</v>
      </c>
      <c r="F395" s="25" t="s">
        <v>1232</v>
      </c>
      <c r="G395" s="25" t="s">
        <v>1233</v>
      </c>
      <c r="H395" t="s">
        <v>26</v>
      </c>
      <c r="I395" s="24">
        <v>35855</v>
      </c>
      <c r="J395" s="24">
        <v>38777</v>
      </c>
      <c r="K395" t="s">
        <v>26</v>
      </c>
      <c r="L395" s="25" t="s">
        <v>68</v>
      </c>
      <c r="M395" s="24">
        <v>35855</v>
      </c>
      <c r="N395" s="24">
        <v>38777</v>
      </c>
      <c r="O395" t="s">
        <v>26</v>
      </c>
      <c r="P395" s="24">
        <v>35855</v>
      </c>
      <c r="Q395" s="24">
        <v>38777</v>
      </c>
      <c r="R395" t="s">
        <v>26</v>
      </c>
      <c r="S395" t="s">
        <v>26</v>
      </c>
      <c r="T395" t="s">
        <v>26</v>
      </c>
      <c r="U395" t="s">
        <v>26</v>
      </c>
      <c r="V395" t="s">
        <v>26</v>
      </c>
      <c r="W395" s="24">
        <v>35855</v>
      </c>
      <c r="X395" s="24">
        <v>38777</v>
      </c>
      <c r="Y395" t="s">
        <v>26</v>
      </c>
      <c r="Z395" s="24">
        <v>35855</v>
      </c>
      <c r="AA395" s="24">
        <v>38777</v>
      </c>
      <c r="AB395" t="s">
        <v>26</v>
      </c>
      <c r="AC395" s="24">
        <v>35855</v>
      </c>
      <c r="AD395" s="24">
        <v>38777</v>
      </c>
      <c r="AE395" t="s">
        <v>26</v>
      </c>
      <c r="AF395" t="s">
        <v>26</v>
      </c>
      <c r="AG395" t="s">
        <v>26</v>
      </c>
      <c r="AH395" t="s">
        <v>26</v>
      </c>
      <c r="AI395" t="s">
        <v>26</v>
      </c>
      <c r="AJ395" t="s">
        <v>26</v>
      </c>
      <c r="AK395" t="s">
        <v>26</v>
      </c>
      <c r="AL395" t="s">
        <v>26</v>
      </c>
      <c r="AM395" t="s">
        <v>26</v>
      </c>
      <c r="AN395" t="s">
        <v>26</v>
      </c>
      <c r="AO395" s="25" t="s">
        <v>68</v>
      </c>
      <c r="AP395" s="23" t="s">
        <v>69</v>
      </c>
      <c r="AQ395" s="23" t="s">
        <v>30</v>
      </c>
      <c r="AR395" s="23" t="s">
        <v>46</v>
      </c>
      <c r="AS395" s="25">
        <v>38180</v>
      </c>
      <c r="AT395" t="s">
        <v>26</v>
      </c>
      <c r="AU395" t="s">
        <v>22728</v>
      </c>
    </row>
    <row r="396" spans="1:47" ht="26.25" x14ac:dyDescent="0.4">
      <c r="A396" s="23" t="s">
        <v>1231</v>
      </c>
      <c r="B396" t="s">
        <v>26</v>
      </c>
      <c r="C396" s="23" t="s">
        <v>320</v>
      </c>
      <c r="D396" s="23" t="s">
        <v>22706</v>
      </c>
      <c r="E396" s="23" t="s">
        <v>42</v>
      </c>
      <c r="F396" s="25" t="s">
        <v>1232</v>
      </c>
      <c r="G396" s="25" t="s">
        <v>1233</v>
      </c>
      <c r="H396" t="s">
        <v>26</v>
      </c>
      <c r="I396" t="s">
        <v>26</v>
      </c>
      <c r="J396" t="s">
        <v>26</v>
      </c>
      <c r="K396" t="s">
        <v>26</v>
      </c>
      <c r="L396" s="25" t="s">
        <v>68</v>
      </c>
      <c r="M396" t="s">
        <v>26</v>
      </c>
      <c r="N396" t="s">
        <v>26</v>
      </c>
      <c r="O396" t="s">
        <v>26</v>
      </c>
      <c r="P396" t="s">
        <v>26</v>
      </c>
      <c r="Q396" t="s">
        <v>26</v>
      </c>
      <c r="R396" t="s">
        <v>26</v>
      </c>
      <c r="S396" t="s">
        <v>26</v>
      </c>
      <c r="T396" t="s">
        <v>26</v>
      </c>
      <c r="U396" t="s">
        <v>26</v>
      </c>
      <c r="V396" t="s">
        <v>26</v>
      </c>
      <c r="W396" s="24">
        <v>41334</v>
      </c>
      <c r="X396" s="25" t="s">
        <v>77</v>
      </c>
      <c r="Y396" t="s">
        <v>26</v>
      </c>
      <c r="Z396" s="24">
        <v>41334</v>
      </c>
      <c r="AA396" s="25" t="s">
        <v>77</v>
      </c>
      <c r="AB396" t="s">
        <v>26</v>
      </c>
      <c r="AC396" s="24">
        <v>41334</v>
      </c>
      <c r="AD396" s="25" t="s">
        <v>77</v>
      </c>
      <c r="AE396" t="s">
        <v>26</v>
      </c>
      <c r="AF396" t="s">
        <v>26</v>
      </c>
      <c r="AG396" t="s">
        <v>26</v>
      </c>
      <c r="AH396" t="s">
        <v>26</v>
      </c>
      <c r="AI396" t="s">
        <v>26</v>
      </c>
      <c r="AJ396" t="s">
        <v>26</v>
      </c>
      <c r="AK396" t="s">
        <v>26</v>
      </c>
      <c r="AL396" t="s">
        <v>26</v>
      </c>
      <c r="AM396" t="s">
        <v>26</v>
      </c>
      <c r="AN396" t="s">
        <v>26</v>
      </c>
      <c r="AO396" s="25" t="s">
        <v>68</v>
      </c>
      <c r="AP396" s="23" t="s">
        <v>69</v>
      </c>
      <c r="AQ396" s="23" t="s">
        <v>30</v>
      </c>
      <c r="AR396" s="23" t="s">
        <v>46</v>
      </c>
      <c r="AS396" s="25">
        <v>2033387</v>
      </c>
      <c r="AT396" t="s">
        <v>26</v>
      </c>
      <c r="AU396" t="s">
        <v>22729</v>
      </c>
    </row>
    <row r="397" spans="1:47" ht="26.25" x14ac:dyDescent="0.4">
      <c r="A397" s="23" t="s">
        <v>1234</v>
      </c>
      <c r="B397" t="s">
        <v>26</v>
      </c>
      <c r="C397" s="23" t="s">
        <v>351</v>
      </c>
      <c r="D397" s="23" t="s">
        <v>22242</v>
      </c>
      <c r="E397" s="23" t="s">
        <v>60</v>
      </c>
      <c r="F397" s="25" t="s">
        <v>1235</v>
      </c>
      <c r="G397" s="25" t="s">
        <v>1236</v>
      </c>
      <c r="H397" t="s">
        <v>26</v>
      </c>
      <c r="I397" t="s">
        <v>26</v>
      </c>
      <c r="J397" t="s">
        <v>26</v>
      </c>
      <c r="K397" t="s">
        <v>26</v>
      </c>
      <c r="L397" s="25" t="s">
        <v>68</v>
      </c>
      <c r="M397" t="s">
        <v>26</v>
      </c>
      <c r="N397" t="s">
        <v>26</v>
      </c>
      <c r="O397" t="s">
        <v>26</v>
      </c>
      <c r="P397" t="s">
        <v>26</v>
      </c>
      <c r="Q397" t="s">
        <v>26</v>
      </c>
      <c r="R397" t="s">
        <v>26</v>
      </c>
      <c r="S397" t="s">
        <v>26</v>
      </c>
      <c r="T397" t="s">
        <v>26</v>
      </c>
      <c r="U397" t="s">
        <v>26</v>
      </c>
      <c r="V397" t="s">
        <v>26</v>
      </c>
      <c r="W397" s="24">
        <v>36373</v>
      </c>
      <c r="X397" s="25" t="s">
        <v>77</v>
      </c>
      <c r="Y397" t="s">
        <v>26</v>
      </c>
      <c r="Z397" s="24">
        <v>36373</v>
      </c>
      <c r="AA397" s="25" t="s">
        <v>77</v>
      </c>
      <c r="AB397" t="s">
        <v>26</v>
      </c>
      <c r="AC397" s="24">
        <v>36373</v>
      </c>
      <c r="AD397" s="25" t="s">
        <v>77</v>
      </c>
      <c r="AE397" t="s">
        <v>26</v>
      </c>
      <c r="AF397" t="s">
        <v>26</v>
      </c>
      <c r="AG397" t="s">
        <v>26</v>
      </c>
      <c r="AH397" t="s">
        <v>26</v>
      </c>
      <c r="AI397" t="s">
        <v>26</v>
      </c>
      <c r="AJ397" t="s">
        <v>26</v>
      </c>
      <c r="AK397" t="s">
        <v>26</v>
      </c>
      <c r="AL397" t="s">
        <v>26</v>
      </c>
      <c r="AM397" t="s">
        <v>26</v>
      </c>
      <c r="AN397" t="s">
        <v>26</v>
      </c>
      <c r="AO397" s="25" t="s">
        <v>68</v>
      </c>
      <c r="AP397" s="23" t="s">
        <v>69</v>
      </c>
      <c r="AQ397" s="23" t="s">
        <v>30</v>
      </c>
      <c r="AR397" s="23" t="s">
        <v>147</v>
      </c>
      <c r="AS397" s="25">
        <v>47486</v>
      </c>
      <c r="AT397" t="s">
        <v>26</v>
      </c>
      <c r="AU397" t="s">
        <v>22730</v>
      </c>
    </row>
    <row r="398" spans="1:47" ht="39.4" x14ac:dyDescent="0.4">
      <c r="A398" s="23" t="s">
        <v>1237</v>
      </c>
      <c r="B398" t="s">
        <v>26</v>
      </c>
      <c r="C398" s="23" t="s">
        <v>364</v>
      </c>
      <c r="D398" s="23" t="s">
        <v>22174</v>
      </c>
      <c r="E398" s="23" t="s">
        <v>42</v>
      </c>
      <c r="F398" t="s">
        <v>26</v>
      </c>
      <c r="G398" t="s">
        <v>26</v>
      </c>
      <c r="H398" t="s">
        <v>26</v>
      </c>
      <c r="I398" s="24">
        <v>43304</v>
      </c>
      <c r="J398" s="25" t="s">
        <v>77</v>
      </c>
      <c r="K398" t="s">
        <v>26</v>
      </c>
      <c r="L398" s="25" t="s">
        <v>28</v>
      </c>
      <c r="M398" s="24">
        <v>43304</v>
      </c>
      <c r="N398" s="25" t="s">
        <v>77</v>
      </c>
      <c r="O398" t="s">
        <v>26</v>
      </c>
      <c r="P398" t="s">
        <v>26</v>
      </c>
      <c r="Q398" t="s">
        <v>26</v>
      </c>
      <c r="R398" t="s">
        <v>26</v>
      </c>
      <c r="S398" t="s">
        <v>26</v>
      </c>
      <c r="T398" t="s">
        <v>26</v>
      </c>
      <c r="U398" t="s">
        <v>26</v>
      </c>
      <c r="V398" t="s">
        <v>26</v>
      </c>
      <c r="W398" s="24">
        <v>43304</v>
      </c>
      <c r="X398" s="25" t="s">
        <v>77</v>
      </c>
      <c r="Y398" t="s">
        <v>26</v>
      </c>
      <c r="Z398" s="24">
        <v>43304</v>
      </c>
      <c r="AA398" s="25" t="s">
        <v>77</v>
      </c>
      <c r="AB398" t="s">
        <v>26</v>
      </c>
      <c r="AC398" t="s">
        <v>26</v>
      </c>
      <c r="AD398" t="s">
        <v>26</v>
      </c>
      <c r="AE398" t="s">
        <v>26</v>
      </c>
      <c r="AF398" t="s">
        <v>26</v>
      </c>
      <c r="AG398" t="s">
        <v>26</v>
      </c>
      <c r="AH398" t="s">
        <v>26</v>
      </c>
      <c r="AI398" t="s">
        <v>26</v>
      </c>
      <c r="AJ398" t="s">
        <v>26</v>
      </c>
      <c r="AK398" t="s">
        <v>26</v>
      </c>
      <c r="AL398" t="s">
        <v>26</v>
      </c>
      <c r="AM398" t="s">
        <v>26</v>
      </c>
      <c r="AN398" t="s">
        <v>26</v>
      </c>
      <c r="AO398" s="25" t="s">
        <v>28</v>
      </c>
      <c r="AP398" s="23" t="s">
        <v>365</v>
      </c>
      <c r="AQ398" s="23" t="s">
        <v>30</v>
      </c>
      <c r="AR398" s="23" t="s">
        <v>46</v>
      </c>
      <c r="AS398" s="25">
        <v>4395937</v>
      </c>
      <c r="AT398" t="s">
        <v>26</v>
      </c>
      <c r="AU398" t="s">
        <v>22731</v>
      </c>
    </row>
    <row r="399" spans="1:47" ht="26.25" x14ac:dyDescent="0.4">
      <c r="A399" s="23" t="s">
        <v>1238</v>
      </c>
      <c r="B399" t="s">
        <v>26</v>
      </c>
      <c r="C399" s="23" t="s">
        <v>1180</v>
      </c>
      <c r="D399" s="23" t="s">
        <v>22706</v>
      </c>
      <c r="E399" s="23" t="s">
        <v>60</v>
      </c>
      <c r="F399" s="25" t="s">
        <v>1239</v>
      </c>
      <c r="G399" t="s">
        <v>26</v>
      </c>
      <c r="H399" t="s">
        <v>26</v>
      </c>
      <c r="I399" t="s">
        <v>26</v>
      </c>
      <c r="J399" t="s">
        <v>26</v>
      </c>
      <c r="K399" t="s">
        <v>26</v>
      </c>
      <c r="L399" s="25" t="s">
        <v>68</v>
      </c>
      <c r="M399" t="s">
        <v>26</v>
      </c>
      <c r="N399" t="s">
        <v>26</v>
      </c>
      <c r="O399" t="s">
        <v>26</v>
      </c>
      <c r="P399" t="s">
        <v>26</v>
      </c>
      <c r="Q399" t="s">
        <v>26</v>
      </c>
      <c r="R399" t="s">
        <v>26</v>
      </c>
      <c r="S399" t="s">
        <v>26</v>
      </c>
      <c r="T399" t="s">
        <v>26</v>
      </c>
      <c r="U399" t="s">
        <v>26</v>
      </c>
      <c r="V399" t="s">
        <v>26</v>
      </c>
      <c r="W399" s="24">
        <v>38384</v>
      </c>
      <c r="X399" s="24">
        <v>38749</v>
      </c>
      <c r="Y399" t="s">
        <v>26</v>
      </c>
      <c r="Z399" s="24">
        <v>38384</v>
      </c>
      <c r="AA399" s="24">
        <v>38749</v>
      </c>
      <c r="AB399" t="s">
        <v>26</v>
      </c>
      <c r="AC399" t="s">
        <v>26</v>
      </c>
      <c r="AD399" t="s">
        <v>26</v>
      </c>
      <c r="AE399" t="s">
        <v>26</v>
      </c>
      <c r="AF399" t="s">
        <v>26</v>
      </c>
      <c r="AG399" t="s">
        <v>26</v>
      </c>
      <c r="AH399" t="s">
        <v>26</v>
      </c>
      <c r="AI399" t="s">
        <v>26</v>
      </c>
      <c r="AJ399" t="s">
        <v>26</v>
      </c>
      <c r="AK399" t="s">
        <v>26</v>
      </c>
      <c r="AL399" t="s">
        <v>26</v>
      </c>
      <c r="AM399" t="s">
        <v>26</v>
      </c>
      <c r="AN399" t="s">
        <v>26</v>
      </c>
      <c r="AO399" s="25" t="s">
        <v>28</v>
      </c>
      <c r="AP399" s="23" t="s">
        <v>69</v>
      </c>
      <c r="AQ399" s="23" t="s">
        <v>30</v>
      </c>
      <c r="AR399" s="23" t="s">
        <v>46</v>
      </c>
      <c r="AS399" s="25">
        <v>32350</v>
      </c>
      <c r="AT399" t="s">
        <v>26</v>
      </c>
      <c r="AU399" t="s">
        <v>22732</v>
      </c>
    </row>
    <row r="400" spans="1:47" ht="26.25" x14ac:dyDescent="0.4">
      <c r="A400" s="23" t="s">
        <v>1240</v>
      </c>
      <c r="B400" t="s">
        <v>26</v>
      </c>
      <c r="C400" s="23" t="s">
        <v>320</v>
      </c>
      <c r="D400" s="23" t="s">
        <v>22733</v>
      </c>
      <c r="E400" s="23" t="s">
        <v>42</v>
      </c>
      <c r="F400" s="25" t="s">
        <v>1241</v>
      </c>
      <c r="G400" s="25" t="s">
        <v>1242</v>
      </c>
      <c r="H400" t="s">
        <v>26</v>
      </c>
      <c r="I400" t="s">
        <v>26</v>
      </c>
      <c r="J400" t="s">
        <v>26</v>
      </c>
      <c r="K400" t="s">
        <v>26</v>
      </c>
      <c r="L400" s="25" t="s">
        <v>68</v>
      </c>
      <c r="M400" t="s">
        <v>26</v>
      </c>
      <c r="N400" t="s">
        <v>26</v>
      </c>
      <c r="O400" t="s">
        <v>26</v>
      </c>
      <c r="P400" t="s">
        <v>26</v>
      </c>
      <c r="Q400" t="s">
        <v>26</v>
      </c>
      <c r="R400" t="s">
        <v>26</v>
      </c>
      <c r="S400" t="s">
        <v>26</v>
      </c>
      <c r="T400" t="s">
        <v>26</v>
      </c>
      <c r="U400" t="s">
        <v>26</v>
      </c>
      <c r="V400" t="s">
        <v>26</v>
      </c>
      <c r="W400" s="24">
        <v>41214</v>
      </c>
      <c r="X400" s="25" t="s">
        <v>77</v>
      </c>
      <c r="Y400" t="s">
        <v>26</v>
      </c>
      <c r="Z400" s="24">
        <v>41214</v>
      </c>
      <c r="AA400" s="25" t="s">
        <v>77</v>
      </c>
      <c r="AB400" t="s">
        <v>26</v>
      </c>
      <c r="AC400" s="24">
        <v>41214</v>
      </c>
      <c r="AD400" s="25" t="s">
        <v>77</v>
      </c>
      <c r="AE400" t="s">
        <v>26</v>
      </c>
      <c r="AF400" t="s">
        <v>26</v>
      </c>
      <c r="AG400" t="s">
        <v>26</v>
      </c>
      <c r="AH400" t="s">
        <v>26</v>
      </c>
      <c r="AI400" t="s">
        <v>26</v>
      </c>
      <c r="AJ400" t="s">
        <v>26</v>
      </c>
      <c r="AK400" t="s">
        <v>26</v>
      </c>
      <c r="AL400" t="s">
        <v>26</v>
      </c>
      <c r="AM400" t="s">
        <v>26</v>
      </c>
      <c r="AN400" t="s">
        <v>26</v>
      </c>
      <c r="AO400" s="25" t="s">
        <v>28</v>
      </c>
      <c r="AP400" s="23" t="s">
        <v>69</v>
      </c>
      <c r="AQ400" s="23" t="s">
        <v>30</v>
      </c>
      <c r="AR400" s="23" t="s">
        <v>1243</v>
      </c>
      <c r="AS400" s="25">
        <v>976336</v>
      </c>
      <c r="AT400" t="s">
        <v>26</v>
      </c>
      <c r="AU400" t="s">
        <v>22734</v>
      </c>
    </row>
    <row r="401" spans="1:47" ht="26.25" x14ac:dyDescent="0.4">
      <c r="A401" s="23" t="s">
        <v>1244</v>
      </c>
      <c r="B401" t="s">
        <v>26</v>
      </c>
      <c r="C401" s="23" t="s">
        <v>320</v>
      </c>
      <c r="D401" s="23" t="s">
        <v>22733</v>
      </c>
      <c r="E401" s="23" t="s">
        <v>42</v>
      </c>
      <c r="F401" s="25" t="s">
        <v>1245</v>
      </c>
      <c r="G401" s="25" t="s">
        <v>1246</v>
      </c>
      <c r="H401" t="s">
        <v>26</v>
      </c>
      <c r="I401" t="s">
        <v>26</v>
      </c>
      <c r="J401" t="s">
        <v>26</v>
      </c>
      <c r="K401" t="s">
        <v>26</v>
      </c>
      <c r="L401" s="25" t="s">
        <v>28</v>
      </c>
      <c r="M401" t="s">
        <v>26</v>
      </c>
      <c r="N401" t="s">
        <v>26</v>
      </c>
      <c r="O401" t="s">
        <v>26</v>
      </c>
      <c r="P401" t="s">
        <v>26</v>
      </c>
      <c r="Q401" t="s">
        <v>26</v>
      </c>
      <c r="R401" t="s">
        <v>26</v>
      </c>
      <c r="S401" t="s">
        <v>26</v>
      </c>
      <c r="T401" t="s">
        <v>26</v>
      </c>
      <c r="U401" t="s">
        <v>26</v>
      </c>
      <c r="V401" t="s">
        <v>26</v>
      </c>
      <c r="W401" s="24">
        <v>41214</v>
      </c>
      <c r="X401" s="25" t="s">
        <v>77</v>
      </c>
      <c r="Y401" t="s">
        <v>26</v>
      </c>
      <c r="Z401" s="24">
        <v>41214</v>
      </c>
      <c r="AA401" s="25" t="s">
        <v>77</v>
      </c>
      <c r="AB401" t="s">
        <v>26</v>
      </c>
      <c r="AC401" s="24">
        <v>41214</v>
      </c>
      <c r="AD401" s="25" t="s">
        <v>77</v>
      </c>
      <c r="AE401" t="s">
        <v>26</v>
      </c>
      <c r="AF401" t="s">
        <v>26</v>
      </c>
      <c r="AG401" t="s">
        <v>26</v>
      </c>
      <c r="AH401" t="s">
        <v>26</v>
      </c>
      <c r="AI401" t="s">
        <v>26</v>
      </c>
      <c r="AJ401" t="s">
        <v>26</v>
      </c>
      <c r="AK401" t="s">
        <v>26</v>
      </c>
      <c r="AL401" t="s">
        <v>26</v>
      </c>
      <c r="AM401" t="s">
        <v>26</v>
      </c>
      <c r="AN401" t="s">
        <v>26</v>
      </c>
      <c r="AO401" s="25" t="s">
        <v>28</v>
      </c>
      <c r="AP401" s="23" t="s">
        <v>211</v>
      </c>
      <c r="AQ401" s="23" t="s">
        <v>30</v>
      </c>
      <c r="AR401" s="23" t="s">
        <v>1247</v>
      </c>
      <c r="AS401" s="25">
        <v>976335</v>
      </c>
      <c r="AT401" t="s">
        <v>26</v>
      </c>
      <c r="AU401" t="s">
        <v>22735</v>
      </c>
    </row>
    <row r="402" spans="1:47" ht="39.4" x14ac:dyDescent="0.4">
      <c r="A402" s="23" t="s">
        <v>1248</v>
      </c>
      <c r="B402" t="s">
        <v>26</v>
      </c>
      <c r="C402" s="23" t="s">
        <v>48</v>
      </c>
      <c r="D402" s="23" t="s">
        <v>22168</v>
      </c>
      <c r="E402" s="23" t="s">
        <v>42</v>
      </c>
      <c r="F402" t="s">
        <v>26</v>
      </c>
      <c r="G402" t="s">
        <v>26</v>
      </c>
      <c r="H402" t="s">
        <v>26</v>
      </c>
      <c r="I402" t="s">
        <v>26</v>
      </c>
      <c r="J402" t="s">
        <v>26</v>
      </c>
      <c r="K402" t="s">
        <v>26</v>
      </c>
      <c r="L402" s="25" t="s">
        <v>28</v>
      </c>
      <c r="M402" t="s">
        <v>26</v>
      </c>
      <c r="N402" t="s">
        <v>26</v>
      </c>
      <c r="O402" t="s">
        <v>26</v>
      </c>
      <c r="P402" t="s">
        <v>26</v>
      </c>
      <c r="Q402" t="s">
        <v>26</v>
      </c>
      <c r="R402" t="s">
        <v>26</v>
      </c>
      <c r="S402" t="s">
        <v>26</v>
      </c>
      <c r="T402" t="s">
        <v>26</v>
      </c>
      <c r="U402" t="s">
        <v>26</v>
      </c>
      <c r="V402" t="s">
        <v>26</v>
      </c>
      <c r="W402" s="24">
        <v>40544</v>
      </c>
      <c r="X402" s="24">
        <v>40544</v>
      </c>
      <c r="Y402" t="s">
        <v>26</v>
      </c>
      <c r="Z402" s="24">
        <v>40544</v>
      </c>
      <c r="AA402" s="24">
        <v>40544</v>
      </c>
      <c r="AB402" t="s">
        <v>26</v>
      </c>
      <c r="AC402" t="s">
        <v>26</v>
      </c>
      <c r="AD402" t="s">
        <v>26</v>
      </c>
      <c r="AE402" t="s">
        <v>26</v>
      </c>
      <c r="AF402" t="s">
        <v>26</v>
      </c>
      <c r="AG402" t="s">
        <v>26</v>
      </c>
      <c r="AH402" t="s">
        <v>26</v>
      </c>
      <c r="AI402" t="s">
        <v>26</v>
      </c>
      <c r="AJ402" t="s">
        <v>26</v>
      </c>
      <c r="AK402" t="s">
        <v>26</v>
      </c>
      <c r="AL402" t="s">
        <v>26</v>
      </c>
      <c r="AM402" t="s">
        <v>26</v>
      </c>
      <c r="AN402" t="s">
        <v>26</v>
      </c>
      <c r="AO402" s="25" t="s">
        <v>28</v>
      </c>
      <c r="AP402" s="23" t="s">
        <v>29</v>
      </c>
      <c r="AQ402" s="23" t="s">
        <v>30</v>
      </c>
      <c r="AR402" s="23" t="s">
        <v>1170</v>
      </c>
      <c r="AS402" s="25">
        <v>5488540</v>
      </c>
      <c r="AT402" s="23" t="s">
        <v>22181</v>
      </c>
      <c r="AU402" t="s">
        <v>22736</v>
      </c>
    </row>
    <row r="403" spans="1:47" ht="26.25" x14ac:dyDescent="0.4">
      <c r="A403" s="23" t="s">
        <v>1249</v>
      </c>
      <c r="B403" t="s">
        <v>26</v>
      </c>
      <c r="C403" s="23" t="s">
        <v>65</v>
      </c>
      <c r="D403" s="23" t="s">
        <v>22179</v>
      </c>
      <c r="E403" s="23" t="s">
        <v>42</v>
      </c>
      <c r="F403" s="25" t="s">
        <v>1250</v>
      </c>
      <c r="G403" s="25" t="s">
        <v>1251</v>
      </c>
      <c r="H403" t="s">
        <v>26</v>
      </c>
      <c r="I403" s="24">
        <v>35977</v>
      </c>
      <c r="J403" s="24">
        <v>43070</v>
      </c>
      <c r="K403" t="s">
        <v>26</v>
      </c>
      <c r="L403" s="25" t="s">
        <v>68</v>
      </c>
      <c r="M403" s="24">
        <v>35977</v>
      </c>
      <c r="N403" s="24">
        <v>40179</v>
      </c>
      <c r="O403" t="s">
        <v>26</v>
      </c>
      <c r="P403" s="24">
        <v>35977</v>
      </c>
      <c r="Q403" s="24">
        <v>43070</v>
      </c>
      <c r="R403" t="s">
        <v>26</v>
      </c>
      <c r="S403" t="s">
        <v>26</v>
      </c>
      <c r="T403" t="s">
        <v>26</v>
      </c>
      <c r="U403" t="s">
        <v>26</v>
      </c>
      <c r="V403" t="s">
        <v>26</v>
      </c>
      <c r="W403" s="24">
        <v>35977</v>
      </c>
      <c r="X403" s="25" t="s">
        <v>77</v>
      </c>
      <c r="Y403" t="s">
        <v>26</v>
      </c>
      <c r="Z403" s="24">
        <v>35977</v>
      </c>
      <c r="AA403" s="25" t="s">
        <v>77</v>
      </c>
      <c r="AB403" t="s">
        <v>26</v>
      </c>
      <c r="AC403" s="24">
        <v>35977</v>
      </c>
      <c r="AD403" s="25" t="s">
        <v>77</v>
      </c>
      <c r="AE403" t="s">
        <v>26</v>
      </c>
      <c r="AF403" t="s">
        <v>26</v>
      </c>
      <c r="AG403" t="s">
        <v>26</v>
      </c>
      <c r="AH403" t="s">
        <v>26</v>
      </c>
      <c r="AI403" t="s">
        <v>26</v>
      </c>
      <c r="AJ403" t="s">
        <v>26</v>
      </c>
      <c r="AK403" t="s">
        <v>26</v>
      </c>
      <c r="AL403" t="s">
        <v>26</v>
      </c>
      <c r="AM403" t="s">
        <v>26</v>
      </c>
      <c r="AN403" t="s">
        <v>26</v>
      </c>
      <c r="AO403" s="25" t="s">
        <v>68</v>
      </c>
      <c r="AP403" s="23" t="s">
        <v>69</v>
      </c>
      <c r="AQ403" s="23" t="s">
        <v>30</v>
      </c>
      <c r="AR403" s="23" t="s">
        <v>71</v>
      </c>
      <c r="AS403" s="25">
        <v>40729</v>
      </c>
      <c r="AT403" t="s">
        <v>26</v>
      </c>
      <c r="AU403" t="s">
        <v>22737</v>
      </c>
    </row>
    <row r="404" spans="1:47" ht="26.25" x14ac:dyDescent="0.4">
      <c r="A404" s="23" t="s">
        <v>22738</v>
      </c>
      <c r="B404" t="s">
        <v>26</v>
      </c>
      <c r="C404" s="23" t="s">
        <v>172</v>
      </c>
      <c r="D404" s="23" t="s">
        <v>22242</v>
      </c>
      <c r="E404" s="23" t="s">
        <v>60</v>
      </c>
      <c r="F404" s="25" t="s">
        <v>22739</v>
      </c>
      <c r="G404" s="25" t="s">
        <v>22740</v>
      </c>
      <c r="H404" t="s">
        <v>26</v>
      </c>
      <c r="I404" t="s">
        <v>26</v>
      </c>
      <c r="J404" t="s">
        <v>26</v>
      </c>
      <c r="K404" t="s">
        <v>26</v>
      </c>
      <c r="L404" s="25" t="s">
        <v>68</v>
      </c>
      <c r="M404" t="s">
        <v>26</v>
      </c>
      <c r="N404" t="s">
        <v>26</v>
      </c>
      <c r="O404" t="s">
        <v>26</v>
      </c>
      <c r="P404" t="s">
        <v>26</v>
      </c>
      <c r="Q404" t="s">
        <v>26</v>
      </c>
      <c r="R404" t="s">
        <v>26</v>
      </c>
      <c r="S404" t="s">
        <v>26</v>
      </c>
      <c r="T404" t="s">
        <v>26</v>
      </c>
      <c r="U404" t="s">
        <v>26</v>
      </c>
      <c r="V404" t="s">
        <v>26</v>
      </c>
      <c r="W404" s="24">
        <v>37987</v>
      </c>
      <c r="X404" s="25" t="s">
        <v>77</v>
      </c>
      <c r="Y404" t="s">
        <v>26</v>
      </c>
      <c r="Z404" s="24">
        <v>37987</v>
      </c>
      <c r="AA404" s="25" t="s">
        <v>77</v>
      </c>
      <c r="AB404" t="s">
        <v>26</v>
      </c>
      <c r="AC404" s="24">
        <v>37987</v>
      </c>
      <c r="AD404" s="25" t="s">
        <v>77</v>
      </c>
      <c r="AE404" t="s">
        <v>26</v>
      </c>
      <c r="AF404" t="s">
        <v>26</v>
      </c>
      <c r="AG404" t="s">
        <v>26</v>
      </c>
      <c r="AH404" t="s">
        <v>26</v>
      </c>
      <c r="AI404" t="s">
        <v>26</v>
      </c>
      <c r="AJ404" t="s">
        <v>26</v>
      </c>
      <c r="AK404" t="s">
        <v>26</v>
      </c>
      <c r="AL404" t="s">
        <v>26</v>
      </c>
      <c r="AM404" t="s">
        <v>26</v>
      </c>
      <c r="AN404" t="s">
        <v>26</v>
      </c>
      <c r="AO404" s="25" t="s">
        <v>68</v>
      </c>
      <c r="AP404" s="23" t="s">
        <v>69</v>
      </c>
      <c r="AQ404" t="s">
        <v>26</v>
      </c>
      <c r="AR404" s="23" t="s">
        <v>1252</v>
      </c>
      <c r="AS404" s="25">
        <v>29942</v>
      </c>
      <c r="AT404" t="s">
        <v>26</v>
      </c>
      <c r="AU404" t="s">
        <v>22741</v>
      </c>
    </row>
    <row r="405" spans="1:47" ht="13.15" x14ac:dyDescent="0.4">
      <c r="A405" s="23" t="s">
        <v>1253</v>
      </c>
      <c r="B405" t="s">
        <v>26</v>
      </c>
      <c r="C405" s="23" t="s">
        <v>146</v>
      </c>
      <c r="D405" s="23" t="s">
        <v>22174</v>
      </c>
      <c r="E405" s="23" t="s">
        <v>60</v>
      </c>
      <c r="F405" t="s">
        <v>26</v>
      </c>
      <c r="G405" t="s">
        <v>26</v>
      </c>
      <c r="H405" t="s">
        <v>26</v>
      </c>
      <c r="I405" s="24">
        <v>42370</v>
      </c>
      <c r="J405" s="24">
        <v>42370</v>
      </c>
      <c r="K405" t="s">
        <v>26</v>
      </c>
      <c r="L405" s="25" t="s">
        <v>28</v>
      </c>
      <c r="M405" t="s">
        <v>26</v>
      </c>
      <c r="N405" t="s">
        <v>26</v>
      </c>
      <c r="O405" t="s">
        <v>26</v>
      </c>
      <c r="P405" s="24">
        <v>42370</v>
      </c>
      <c r="Q405" s="24">
        <v>42370</v>
      </c>
      <c r="R405" t="s">
        <v>26</v>
      </c>
      <c r="S405" t="s">
        <v>26</v>
      </c>
      <c r="T405" t="s">
        <v>26</v>
      </c>
      <c r="U405" t="s">
        <v>26</v>
      </c>
      <c r="V405" t="s">
        <v>26</v>
      </c>
      <c r="W405" s="24">
        <v>42370</v>
      </c>
      <c r="X405" s="24">
        <v>42370</v>
      </c>
      <c r="Y405" t="s">
        <v>26</v>
      </c>
      <c r="Z405" s="24">
        <v>42370</v>
      </c>
      <c r="AA405" s="24">
        <v>42370</v>
      </c>
      <c r="AB405" t="s">
        <v>26</v>
      </c>
      <c r="AC405" s="24">
        <v>42370</v>
      </c>
      <c r="AD405" s="24">
        <v>42370</v>
      </c>
      <c r="AE405" t="s">
        <v>26</v>
      </c>
      <c r="AF405" t="s">
        <v>26</v>
      </c>
      <c r="AG405" t="s">
        <v>26</v>
      </c>
      <c r="AH405" t="s">
        <v>26</v>
      </c>
      <c r="AI405" t="s">
        <v>26</v>
      </c>
      <c r="AJ405" t="s">
        <v>26</v>
      </c>
      <c r="AK405" t="s">
        <v>26</v>
      </c>
      <c r="AL405" t="s">
        <v>26</v>
      </c>
      <c r="AM405" t="s">
        <v>26</v>
      </c>
      <c r="AN405" t="s">
        <v>26</v>
      </c>
      <c r="AO405" s="25" t="s">
        <v>28</v>
      </c>
      <c r="AP405" s="23" t="s">
        <v>29</v>
      </c>
      <c r="AQ405" s="23" t="s">
        <v>30</v>
      </c>
      <c r="AR405" s="23" t="s">
        <v>46</v>
      </c>
      <c r="AS405" s="25">
        <v>6128788</v>
      </c>
      <c r="AT405" t="s">
        <v>26</v>
      </c>
      <c r="AU405" t="s">
        <v>22742</v>
      </c>
    </row>
    <row r="406" spans="1:47" ht="26.25" x14ac:dyDescent="0.4">
      <c r="A406" s="23" t="s">
        <v>1254</v>
      </c>
      <c r="B406" t="s">
        <v>26</v>
      </c>
      <c r="C406" s="23" t="s">
        <v>51</v>
      </c>
      <c r="D406" t="s">
        <v>26</v>
      </c>
      <c r="E406" s="23" t="s">
        <v>42</v>
      </c>
      <c r="F406" t="s">
        <v>26</v>
      </c>
      <c r="G406" t="s">
        <v>26</v>
      </c>
      <c r="H406" t="s">
        <v>26</v>
      </c>
      <c r="I406" s="24">
        <v>42005</v>
      </c>
      <c r="J406" s="24">
        <v>42005</v>
      </c>
      <c r="K406" t="s">
        <v>26</v>
      </c>
      <c r="L406" s="25" t="s">
        <v>28</v>
      </c>
      <c r="M406" s="24">
        <v>42005</v>
      </c>
      <c r="N406" s="24">
        <v>42005</v>
      </c>
      <c r="O406" t="s">
        <v>26</v>
      </c>
      <c r="P406" t="s">
        <v>26</v>
      </c>
      <c r="Q406" t="s">
        <v>26</v>
      </c>
      <c r="R406" t="s">
        <v>26</v>
      </c>
      <c r="S406" s="24">
        <v>42005</v>
      </c>
      <c r="T406" s="24">
        <v>42005</v>
      </c>
      <c r="U406" t="s">
        <v>26</v>
      </c>
      <c r="V406" t="s">
        <v>26</v>
      </c>
      <c r="W406" s="24">
        <v>42005</v>
      </c>
      <c r="X406" s="24">
        <v>42005</v>
      </c>
      <c r="Y406" t="s">
        <v>26</v>
      </c>
      <c r="Z406" s="24">
        <v>42005</v>
      </c>
      <c r="AA406" s="24">
        <v>42005</v>
      </c>
      <c r="AB406" t="s">
        <v>26</v>
      </c>
      <c r="AC406" s="24">
        <v>42005</v>
      </c>
      <c r="AD406" s="24">
        <v>42005</v>
      </c>
      <c r="AE406" t="s">
        <v>26</v>
      </c>
      <c r="AF406" s="24">
        <v>42005</v>
      </c>
      <c r="AG406" s="24">
        <v>42005</v>
      </c>
      <c r="AH406" t="s">
        <v>26</v>
      </c>
      <c r="AI406" s="24">
        <v>42005</v>
      </c>
      <c r="AJ406" s="24">
        <v>42005</v>
      </c>
      <c r="AK406" t="s">
        <v>26</v>
      </c>
      <c r="AL406" t="s">
        <v>26</v>
      </c>
      <c r="AM406" t="s">
        <v>26</v>
      </c>
      <c r="AN406" t="s">
        <v>26</v>
      </c>
      <c r="AO406" s="25" t="s">
        <v>28</v>
      </c>
      <c r="AP406" s="23" t="s">
        <v>43</v>
      </c>
      <c r="AQ406" s="23" t="s">
        <v>30</v>
      </c>
      <c r="AR406" s="23" t="s">
        <v>44</v>
      </c>
      <c r="AS406" s="25">
        <v>5256681</v>
      </c>
      <c r="AT406" t="s">
        <v>26</v>
      </c>
      <c r="AU406" t="s">
        <v>22743</v>
      </c>
    </row>
    <row r="407" spans="1:47" ht="26.25" x14ac:dyDescent="0.4">
      <c r="A407" s="23" t="s">
        <v>1255</v>
      </c>
      <c r="B407" t="s">
        <v>26</v>
      </c>
      <c r="C407" s="23" t="s">
        <v>22744</v>
      </c>
      <c r="D407" s="23" t="s">
        <v>22634</v>
      </c>
      <c r="E407" s="23" t="s">
        <v>335</v>
      </c>
      <c r="F407" t="s">
        <v>26</v>
      </c>
      <c r="G407" t="s">
        <v>26</v>
      </c>
      <c r="H407" t="s">
        <v>26</v>
      </c>
      <c r="I407" s="24">
        <v>33970</v>
      </c>
      <c r="J407" s="24">
        <v>40179</v>
      </c>
      <c r="K407" t="s">
        <v>26</v>
      </c>
      <c r="L407" s="25" t="s">
        <v>28</v>
      </c>
      <c r="M407" s="24">
        <v>33970</v>
      </c>
      <c r="N407" s="24">
        <v>40179</v>
      </c>
      <c r="O407" t="s">
        <v>26</v>
      </c>
      <c r="P407" t="s">
        <v>26</v>
      </c>
      <c r="Q407" t="s">
        <v>26</v>
      </c>
      <c r="R407" t="s">
        <v>26</v>
      </c>
      <c r="S407" s="24">
        <v>33970</v>
      </c>
      <c r="T407" s="24">
        <v>40179</v>
      </c>
      <c r="U407" t="s">
        <v>26</v>
      </c>
      <c r="V407" t="s">
        <v>26</v>
      </c>
      <c r="W407" s="24">
        <v>33970</v>
      </c>
      <c r="X407" s="24">
        <v>40179</v>
      </c>
      <c r="Y407" t="s">
        <v>26</v>
      </c>
      <c r="Z407" s="24">
        <v>33970</v>
      </c>
      <c r="AA407" s="24">
        <v>40179</v>
      </c>
      <c r="AB407" t="s">
        <v>26</v>
      </c>
      <c r="AC407" s="24">
        <v>33970</v>
      </c>
      <c r="AD407" s="24">
        <v>40179</v>
      </c>
      <c r="AE407" t="s">
        <v>26</v>
      </c>
      <c r="AF407" s="24">
        <v>33970</v>
      </c>
      <c r="AG407" s="24">
        <v>40179</v>
      </c>
      <c r="AH407" t="s">
        <v>26</v>
      </c>
      <c r="AI407" s="24">
        <v>33970</v>
      </c>
      <c r="AJ407" s="24">
        <v>40179</v>
      </c>
      <c r="AK407" t="s">
        <v>26</v>
      </c>
      <c r="AL407" t="s">
        <v>26</v>
      </c>
      <c r="AM407" t="s">
        <v>26</v>
      </c>
      <c r="AN407" t="s">
        <v>26</v>
      </c>
      <c r="AO407" s="25" t="s">
        <v>28</v>
      </c>
      <c r="AP407" s="23" t="s">
        <v>43</v>
      </c>
      <c r="AQ407" s="23" t="s">
        <v>30</v>
      </c>
      <c r="AR407" s="23" t="s">
        <v>46</v>
      </c>
      <c r="AS407" s="25">
        <v>6359412</v>
      </c>
      <c r="AT407" t="s">
        <v>26</v>
      </c>
      <c r="AU407" t="s">
        <v>22745</v>
      </c>
    </row>
    <row r="408" spans="1:47" ht="13.15" x14ac:dyDescent="0.4">
      <c r="A408" s="23" t="s">
        <v>1256</v>
      </c>
      <c r="B408" t="s">
        <v>26</v>
      </c>
      <c r="C408" s="23" t="s">
        <v>1141</v>
      </c>
      <c r="D408" s="23" t="s">
        <v>22680</v>
      </c>
      <c r="E408" s="23" t="s">
        <v>60</v>
      </c>
      <c r="F408" t="s">
        <v>26</v>
      </c>
      <c r="G408" t="s">
        <v>26</v>
      </c>
      <c r="H408" t="s">
        <v>26</v>
      </c>
      <c r="I408" t="s">
        <v>26</v>
      </c>
      <c r="J408" t="s">
        <v>26</v>
      </c>
      <c r="K408" t="s">
        <v>26</v>
      </c>
      <c r="L408" s="25" t="s">
        <v>28</v>
      </c>
      <c r="M408" t="s">
        <v>26</v>
      </c>
      <c r="N408" t="s">
        <v>26</v>
      </c>
      <c r="O408" t="s">
        <v>26</v>
      </c>
      <c r="P408" t="s">
        <v>26</v>
      </c>
      <c r="Q408" t="s">
        <v>26</v>
      </c>
      <c r="R408" t="s">
        <v>26</v>
      </c>
      <c r="S408" t="s">
        <v>26</v>
      </c>
      <c r="T408" t="s">
        <v>26</v>
      </c>
      <c r="U408" t="s">
        <v>26</v>
      </c>
      <c r="V408" t="s">
        <v>26</v>
      </c>
      <c r="W408" s="24">
        <v>41275</v>
      </c>
      <c r="X408" s="24">
        <v>41275</v>
      </c>
      <c r="Y408" t="s">
        <v>26</v>
      </c>
      <c r="Z408" s="24">
        <v>41275</v>
      </c>
      <c r="AA408" s="24">
        <v>41275</v>
      </c>
      <c r="AB408" t="s">
        <v>26</v>
      </c>
      <c r="AC408" t="s">
        <v>26</v>
      </c>
      <c r="AD408" t="s">
        <v>26</v>
      </c>
      <c r="AE408" t="s">
        <v>26</v>
      </c>
      <c r="AF408" t="s">
        <v>26</v>
      </c>
      <c r="AG408" t="s">
        <v>26</v>
      </c>
      <c r="AH408" t="s">
        <v>26</v>
      </c>
      <c r="AI408" t="s">
        <v>26</v>
      </c>
      <c r="AJ408" t="s">
        <v>26</v>
      </c>
      <c r="AK408" t="s">
        <v>26</v>
      </c>
      <c r="AL408" t="s">
        <v>26</v>
      </c>
      <c r="AM408" t="s">
        <v>26</v>
      </c>
      <c r="AN408" t="s">
        <v>26</v>
      </c>
      <c r="AO408" s="25" t="s">
        <v>28</v>
      </c>
      <c r="AP408" s="23" t="s">
        <v>29</v>
      </c>
      <c r="AQ408" s="23" t="s">
        <v>30</v>
      </c>
      <c r="AR408" s="23" t="s">
        <v>44</v>
      </c>
      <c r="AS408" s="25">
        <v>5483413</v>
      </c>
      <c r="AT408" s="23" t="s">
        <v>22181</v>
      </c>
      <c r="AU408" t="s">
        <v>22746</v>
      </c>
    </row>
    <row r="409" spans="1:47" ht="13.15" x14ac:dyDescent="0.4">
      <c r="A409" s="23" t="s">
        <v>1257</v>
      </c>
      <c r="B409" t="s">
        <v>26</v>
      </c>
      <c r="C409" s="23" t="s">
        <v>146</v>
      </c>
      <c r="D409" s="23" t="s">
        <v>22174</v>
      </c>
      <c r="E409" s="23" t="s">
        <v>60</v>
      </c>
      <c r="F409" t="s">
        <v>26</v>
      </c>
      <c r="G409" t="s">
        <v>26</v>
      </c>
      <c r="H409" t="s">
        <v>26</v>
      </c>
      <c r="I409" t="s">
        <v>26</v>
      </c>
      <c r="J409" t="s">
        <v>26</v>
      </c>
      <c r="K409" t="s">
        <v>26</v>
      </c>
      <c r="L409" s="25" t="s">
        <v>28</v>
      </c>
      <c r="M409" t="s">
        <v>26</v>
      </c>
      <c r="N409" t="s">
        <v>26</v>
      </c>
      <c r="O409" t="s">
        <v>26</v>
      </c>
      <c r="P409" t="s">
        <v>26</v>
      </c>
      <c r="Q409" t="s">
        <v>26</v>
      </c>
      <c r="R409" t="s">
        <v>26</v>
      </c>
      <c r="S409" t="s">
        <v>26</v>
      </c>
      <c r="T409" t="s">
        <v>26</v>
      </c>
      <c r="U409" t="s">
        <v>26</v>
      </c>
      <c r="V409" t="s">
        <v>26</v>
      </c>
      <c r="W409" s="24">
        <v>42370</v>
      </c>
      <c r="X409" s="24">
        <v>42370</v>
      </c>
      <c r="Y409" t="s">
        <v>26</v>
      </c>
      <c r="Z409" s="24">
        <v>42370</v>
      </c>
      <c r="AA409" s="24">
        <v>42370</v>
      </c>
      <c r="AB409" t="s">
        <v>26</v>
      </c>
      <c r="AC409" t="s">
        <v>26</v>
      </c>
      <c r="AD409" t="s">
        <v>26</v>
      </c>
      <c r="AE409" t="s">
        <v>26</v>
      </c>
      <c r="AF409" t="s">
        <v>26</v>
      </c>
      <c r="AG409" t="s">
        <v>26</v>
      </c>
      <c r="AH409" t="s">
        <v>26</v>
      </c>
      <c r="AI409" t="s">
        <v>26</v>
      </c>
      <c r="AJ409" t="s">
        <v>26</v>
      </c>
      <c r="AK409" t="s">
        <v>26</v>
      </c>
      <c r="AL409" t="s">
        <v>26</v>
      </c>
      <c r="AM409" t="s">
        <v>26</v>
      </c>
      <c r="AN409" t="s">
        <v>26</v>
      </c>
      <c r="AO409" s="25" t="s">
        <v>28</v>
      </c>
      <c r="AP409" s="23" t="s">
        <v>29</v>
      </c>
      <c r="AQ409" s="23" t="s">
        <v>30</v>
      </c>
      <c r="AR409" s="23" t="s">
        <v>44</v>
      </c>
      <c r="AS409" s="25">
        <v>5488578</v>
      </c>
      <c r="AT409" s="23" t="s">
        <v>22181</v>
      </c>
      <c r="AU409" t="s">
        <v>22747</v>
      </c>
    </row>
    <row r="410" spans="1:47" ht="26.25" x14ac:dyDescent="0.4">
      <c r="A410" s="23" t="s">
        <v>1258</v>
      </c>
      <c r="B410" t="s">
        <v>26</v>
      </c>
      <c r="C410" s="23" t="s">
        <v>73</v>
      </c>
      <c r="D410" s="23" t="s">
        <v>22748</v>
      </c>
      <c r="E410" s="23" t="s">
        <v>74</v>
      </c>
      <c r="F410" s="25" t="s">
        <v>1259</v>
      </c>
      <c r="G410" s="25" t="s">
        <v>1260</v>
      </c>
      <c r="H410" t="s">
        <v>26</v>
      </c>
      <c r="I410" s="24">
        <v>39448</v>
      </c>
      <c r="J410" s="25" t="s">
        <v>77</v>
      </c>
      <c r="K410" t="s">
        <v>26</v>
      </c>
      <c r="L410" s="25" t="s">
        <v>68</v>
      </c>
      <c r="M410" s="24">
        <v>39448</v>
      </c>
      <c r="N410" s="25" t="s">
        <v>77</v>
      </c>
      <c r="O410" t="s">
        <v>26</v>
      </c>
      <c r="P410" s="24">
        <v>39448</v>
      </c>
      <c r="Q410" s="25" t="s">
        <v>77</v>
      </c>
      <c r="R410" t="s">
        <v>26</v>
      </c>
      <c r="S410" t="s">
        <v>26</v>
      </c>
      <c r="T410" t="s">
        <v>26</v>
      </c>
      <c r="U410" t="s">
        <v>26</v>
      </c>
      <c r="V410" s="25">
        <v>365</v>
      </c>
      <c r="W410" s="24">
        <v>39448</v>
      </c>
      <c r="X410" s="25" t="s">
        <v>77</v>
      </c>
      <c r="Y410" t="s">
        <v>26</v>
      </c>
      <c r="Z410" s="24">
        <v>39448</v>
      </c>
      <c r="AA410" s="25" t="s">
        <v>77</v>
      </c>
      <c r="AB410" t="s">
        <v>26</v>
      </c>
      <c r="AC410" s="24">
        <v>39448</v>
      </c>
      <c r="AD410" s="25" t="s">
        <v>77</v>
      </c>
      <c r="AE410" t="s">
        <v>26</v>
      </c>
      <c r="AF410" t="s">
        <v>26</v>
      </c>
      <c r="AG410" t="s">
        <v>26</v>
      </c>
      <c r="AH410" t="s">
        <v>26</v>
      </c>
      <c r="AI410" t="s">
        <v>26</v>
      </c>
      <c r="AJ410" t="s">
        <v>26</v>
      </c>
      <c r="AK410" t="s">
        <v>26</v>
      </c>
      <c r="AL410" t="s">
        <v>26</v>
      </c>
      <c r="AM410" t="s">
        <v>26</v>
      </c>
      <c r="AN410" t="s">
        <v>26</v>
      </c>
      <c r="AO410" s="25" t="s">
        <v>68</v>
      </c>
      <c r="AP410" s="23" t="s">
        <v>69</v>
      </c>
      <c r="AQ410" s="23" t="s">
        <v>30</v>
      </c>
      <c r="AR410" s="23" t="s">
        <v>1261</v>
      </c>
      <c r="AS410" s="25">
        <v>33311</v>
      </c>
      <c r="AT410" t="s">
        <v>26</v>
      </c>
      <c r="AU410" t="s">
        <v>22749</v>
      </c>
    </row>
    <row r="411" spans="1:47" ht="26.25" x14ac:dyDescent="0.4">
      <c r="A411" s="23" t="s">
        <v>1262</v>
      </c>
      <c r="B411" t="s">
        <v>26</v>
      </c>
      <c r="C411" s="23" t="s">
        <v>167</v>
      </c>
      <c r="D411" s="23" t="s">
        <v>22179</v>
      </c>
      <c r="E411" s="23" t="s">
        <v>60</v>
      </c>
      <c r="F411" s="25" t="s">
        <v>1263</v>
      </c>
      <c r="G411" t="s">
        <v>26</v>
      </c>
      <c r="H411" t="s">
        <v>26</v>
      </c>
      <c r="I411" s="24">
        <v>41025</v>
      </c>
      <c r="J411" s="25" t="s">
        <v>77</v>
      </c>
      <c r="K411" t="s">
        <v>26</v>
      </c>
      <c r="L411" s="25" t="s">
        <v>68</v>
      </c>
      <c r="M411" s="24">
        <v>41025</v>
      </c>
      <c r="N411" s="25" t="s">
        <v>77</v>
      </c>
      <c r="O411" t="s">
        <v>26</v>
      </c>
      <c r="P411" s="24">
        <v>41025</v>
      </c>
      <c r="Q411" s="25" t="s">
        <v>77</v>
      </c>
      <c r="R411" t="s">
        <v>26</v>
      </c>
      <c r="S411" t="s">
        <v>26</v>
      </c>
      <c r="T411" t="s">
        <v>26</v>
      </c>
      <c r="U411" t="s">
        <v>26</v>
      </c>
      <c r="V411" s="25">
        <v>365</v>
      </c>
      <c r="W411" s="24">
        <v>40969</v>
      </c>
      <c r="X411" s="25" t="s">
        <v>77</v>
      </c>
      <c r="Y411" t="s">
        <v>26</v>
      </c>
      <c r="Z411" s="24">
        <v>40969</v>
      </c>
      <c r="AA411" s="25" t="s">
        <v>77</v>
      </c>
      <c r="AB411" t="s">
        <v>26</v>
      </c>
      <c r="AC411" s="24">
        <v>41025</v>
      </c>
      <c r="AD411" s="25" t="s">
        <v>77</v>
      </c>
      <c r="AE411" t="s">
        <v>26</v>
      </c>
      <c r="AF411" t="s">
        <v>26</v>
      </c>
      <c r="AG411" t="s">
        <v>26</v>
      </c>
      <c r="AH411" t="s">
        <v>26</v>
      </c>
      <c r="AI411" t="s">
        <v>26</v>
      </c>
      <c r="AJ411" t="s">
        <v>26</v>
      </c>
      <c r="AK411" t="s">
        <v>26</v>
      </c>
      <c r="AL411" t="s">
        <v>26</v>
      </c>
      <c r="AM411" t="s">
        <v>26</v>
      </c>
      <c r="AN411" t="s">
        <v>26</v>
      </c>
      <c r="AO411" s="25" t="s">
        <v>68</v>
      </c>
      <c r="AP411" s="23" t="s">
        <v>69</v>
      </c>
      <c r="AQ411" s="23" t="s">
        <v>30</v>
      </c>
      <c r="AR411" s="23" t="s">
        <v>70</v>
      </c>
      <c r="AS411" s="25">
        <v>5528237</v>
      </c>
      <c r="AT411" t="s">
        <v>26</v>
      </c>
      <c r="AU411" t="s">
        <v>22750</v>
      </c>
    </row>
    <row r="412" spans="1:47" ht="26.25" x14ac:dyDescent="0.4">
      <c r="A412" s="23" t="s">
        <v>1265</v>
      </c>
      <c r="B412" t="s">
        <v>26</v>
      </c>
      <c r="C412" s="23" t="s">
        <v>292</v>
      </c>
      <c r="D412" s="23" t="s">
        <v>22256</v>
      </c>
      <c r="E412" s="23" t="s">
        <v>42</v>
      </c>
      <c r="F412" t="s">
        <v>26</v>
      </c>
      <c r="G412" t="s">
        <v>26</v>
      </c>
      <c r="H412" t="s">
        <v>26</v>
      </c>
      <c r="I412" s="24">
        <v>41275</v>
      </c>
      <c r="J412" s="24">
        <v>41275</v>
      </c>
      <c r="K412" t="s">
        <v>26</v>
      </c>
      <c r="L412" s="25" t="s">
        <v>28</v>
      </c>
      <c r="M412" t="s">
        <v>26</v>
      </c>
      <c r="N412" t="s">
        <v>26</v>
      </c>
      <c r="O412" t="s">
        <v>26</v>
      </c>
      <c r="P412" s="24">
        <v>41275</v>
      </c>
      <c r="Q412" s="24">
        <v>41275</v>
      </c>
      <c r="R412" t="s">
        <v>26</v>
      </c>
      <c r="S412" t="s">
        <v>26</v>
      </c>
      <c r="T412" t="s">
        <v>26</v>
      </c>
      <c r="U412" t="s">
        <v>26</v>
      </c>
      <c r="V412" t="s">
        <v>26</v>
      </c>
      <c r="W412" s="24">
        <v>41275</v>
      </c>
      <c r="X412" s="24">
        <v>41275</v>
      </c>
      <c r="Y412" t="s">
        <v>26</v>
      </c>
      <c r="Z412" s="24">
        <v>41275</v>
      </c>
      <c r="AA412" s="24">
        <v>41275</v>
      </c>
      <c r="AB412" t="s">
        <v>26</v>
      </c>
      <c r="AC412" s="24">
        <v>41275</v>
      </c>
      <c r="AD412" s="24">
        <v>41275</v>
      </c>
      <c r="AE412" t="s">
        <v>26</v>
      </c>
      <c r="AF412" t="s">
        <v>26</v>
      </c>
      <c r="AG412" t="s">
        <v>26</v>
      </c>
      <c r="AH412" t="s">
        <v>26</v>
      </c>
      <c r="AI412" t="s">
        <v>26</v>
      </c>
      <c r="AJ412" t="s">
        <v>26</v>
      </c>
      <c r="AK412" t="s">
        <v>26</v>
      </c>
      <c r="AL412" t="s">
        <v>26</v>
      </c>
      <c r="AM412" t="s">
        <v>26</v>
      </c>
      <c r="AN412" t="s">
        <v>26</v>
      </c>
      <c r="AO412" s="25" t="s">
        <v>28</v>
      </c>
      <c r="AP412" s="23" t="s">
        <v>29</v>
      </c>
      <c r="AQ412" s="23" t="s">
        <v>30</v>
      </c>
      <c r="AR412" s="23" t="s">
        <v>147</v>
      </c>
      <c r="AS412" s="25">
        <v>5325197</v>
      </c>
      <c r="AT412" s="23" t="s">
        <v>22181</v>
      </c>
      <c r="AU412" t="s">
        <v>22751</v>
      </c>
    </row>
    <row r="413" spans="1:47" ht="26.25" x14ac:dyDescent="0.4">
      <c r="A413" s="23" t="s">
        <v>1266</v>
      </c>
      <c r="B413" t="s">
        <v>26</v>
      </c>
      <c r="C413" s="23" t="s">
        <v>80</v>
      </c>
      <c r="D413" s="23" t="s">
        <v>22218</v>
      </c>
      <c r="E413" s="23" t="s">
        <v>60</v>
      </c>
      <c r="F413" s="25" t="s">
        <v>1267</v>
      </c>
      <c r="G413" s="25" t="s">
        <v>1268</v>
      </c>
      <c r="H413" t="s">
        <v>26</v>
      </c>
      <c r="I413" s="24">
        <v>35582</v>
      </c>
      <c r="J413" s="24">
        <v>36831</v>
      </c>
      <c r="K413" t="s">
        <v>26</v>
      </c>
      <c r="L413" s="25" t="s">
        <v>68</v>
      </c>
      <c r="M413" s="24">
        <v>35582</v>
      </c>
      <c r="N413" s="24">
        <v>36831</v>
      </c>
      <c r="O413" t="s">
        <v>26</v>
      </c>
      <c r="P413" s="24">
        <v>35582</v>
      </c>
      <c r="Q413" s="24">
        <v>36831</v>
      </c>
      <c r="R413" t="s">
        <v>26</v>
      </c>
      <c r="S413" t="s">
        <v>26</v>
      </c>
      <c r="T413" t="s">
        <v>26</v>
      </c>
      <c r="U413" t="s">
        <v>26</v>
      </c>
      <c r="V413" t="s">
        <v>26</v>
      </c>
      <c r="W413" s="24">
        <v>35582</v>
      </c>
      <c r="X413" s="25" t="s">
        <v>77</v>
      </c>
      <c r="Y413" t="s">
        <v>26</v>
      </c>
      <c r="Z413" s="24">
        <v>35582</v>
      </c>
      <c r="AA413" s="25" t="s">
        <v>77</v>
      </c>
      <c r="AB413" t="s">
        <v>26</v>
      </c>
      <c r="AC413" s="24">
        <v>35582</v>
      </c>
      <c r="AD413" s="25" t="s">
        <v>77</v>
      </c>
      <c r="AE413" t="s">
        <v>26</v>
      </c>
      <c r="AF413" t="s">
        <v>26</v>
      </c>
      <c r="AG413" t="s">
        <v>26</v>
      </c>
      <c r="AH413" t="s">
        <v>26</v>
      </c>
      <c r="AI413" t="s">
        <v>26</v>
      </c>
      <c r="AJ413" t="s">
        <v>26</v>
      </c>
      <c r="AK413" t="s">
        <v>26</v>
      </c>
      <c r="AL413" t="s">
        <v>26</v>
      </c>
      <c r="AM413" t="s">
        <v>26</v>
      </c>
      <c r="AN413" t="s">
        <v>26</v>
      </c>
      <c r="AO413" s="25" t="s">
        <v>68</v>
      </c>
      <c r="AP413" s="23" t="s">
        <v>69</v>
      </c>
      <c r="AQ413" s="23" t="s">
        <v>30</v>
      </c>
      <c r="AR413" s="23" t="s">
        <v>1269</v>
      </c>
      <c r="AS413" s="25">
        <v>49174</v>
      </c>
      <c r="AT413" t="s">
        <v>26</v>
      </c>
      <c r="AU413" t="s">
        <v>22752</v>
      </c>
    </row>
    <row r="414" spans="1:47" ht="26.25" x14ac:dyDescent="0.4">
      <c r="A414" s="23" t="s">
        <v>1270</v>
      </c>
      <c r="B414" t="s">
        <v>26</v>
      </c>
      <c r="C414" s="23" t="s">
        <v>1271</v>
      </c>
      <c r="D414" s="23" t="s">
        <v>22753</v>
      </c>
      <c r="E414" s="23" t="s">
        <v>335</v>
      </c>
      <c r="F414" t="s">
        <v>26</v>
      </c>
      <c r="G414" s="25" t="s">
        <v>1272</v>
      </c>
      <c r="H414" t="s">
        <v>26</v>
      </c>
      <c r="I414" s="24">
        <v>41548</v>
      </c>
      <c r="J414" s="24">
        <v>42552</v>
      </c>
      <c r="K414" t="s">
        <v>26</v>
      </c>
      <c r="L414" s="25" t="s">
        <v>68</v>
      </c>
      <c r="M414" s="24">
        <v>41548</v>
      </c>
      <c r="N414" s="24">
        <v>42552</v>
      </c>
      <c r="O414" t="s">
        <v>26</v>
      </c>
      <c r="P414" s="24">
        <v>41548</v>
      </c>
      <c r="Q414" s="24">
        <v>42552</v>
      </c>
      <c r="R414" t="s">
        <v>26</v>
      </c>
      <c r="S414" t="s">
        <v>26</v>
      </c>
      <c r="T414" t="s">
        <v>26</v>
      </c>
      <c r="U414" t="s">
        <v>26</v>
      </c>
      <c r="V414" t="s">
        <v>26</v>
      </c>
      <c r="W414" s="24">
        <v>41548</v>
      </c>
      <c r="X414" s="24">
        <v>42552</v>
      </c>
      <c r="Y414" t="s">
        <v>26</v>
      </c>
      <c r="Z414" s="24">
        <v>41548</v>
      </c>
      <c r="AA414" s="24">
        <v>42552</v>
      </c>
      <c r="AB414" t="s">
        <v>26</v>
      </c>
      <c r="AC414" s="24">
        <v>41548</v>
      </c>
      <c r="AD414" s="24">
        <v>42552</v>
      </c>
      <c r="AE414" t="s">
        <v>26</v>
      </c>
      <c r="AF414" t="s">
        <v>26</v>
      </c>
      <c r="AG414" t="s">
        <v>26</v>
      </c>
      <c r="AH414" t="s">
        <v>26</v>
      </c>
      <c r="AI414" t="s">
        <v>26</v>
      </c>
      <c r="AJ414" t="s">
        <v>26</v>
      </c>
      <c r="AK414" t="s">
        <v>26</v>
      </c>
      <c r="AL414" t="s">
        <v>26</v>
      </c>
      <c r="AM414" t="s">
        <v>26</v>
      </c>
      <c r="AN414" t="s">
        <v>26</v>
      </c>
      <c r="AO414" s="25" t="s">
        <v>68</v>
      </c>
      <c r="AP414" s="23" t="s">
        <v>69</v>
      </c>
      <c r="AQ414" s="23" t="s">
        <v>620</v>
      </c>
      <c r="AR414" s="23" t="s">
        <v>1273</v>
      </c>
      <c r="AS414" s="25">
        <v>2032057</v>
      </c>
      <c r="AT414" t="s">
        <v>26</v>
      </c>
      <c r="AU414" t="s">
        <v>22754</v>
      </c>
    </row>
    <row r="415" spans="1:47" ht="26.25" x14ac:dyDescent="0.4">
      <c r="A415" s="23" t="s">
        <v>1274</v>
      </c>
      <c r="B415" t="s">
        <v>26</v>
      </c>
      <c r="C415" s="23" t="s">
        <v>1275</v>
      </c>
      <c r="D415" t="s">
        <v>26</v>
      </c>
      <c r="E415" s="23" t="s">
        <v>335</v>
      </c>
      <c r="F415" s="25" t="s">
        <v>1276</v>
      </c>
      <c r="G415" t="s">
        <v>26</v>
      </c>
      <c r="H415" t="s">
        <v>26</v>
      </c>
      <c r="I415" t="s">
        <v>26</v>
      </c>
      <c r="J415" t="s">
        <v>26</v>
      </c>
      <c r="K415" t="s">
        <v>26</v>
      </c>
      <c r="L415" s="25" t="s">
        <v>68</v>
      </c>
      <c r="M415" t="s">
        <v>26</v>
      </c>
      <c r="N415" t="s">
        <v>26</v>
      </c>
      <c r="O415" t="s">
        <v>26</v>
      </c>
      <c r="P415" t="s">
        <v>26</v>
      </c>
      <c r="Q415" t="s">
        <v>26</v>
      </c>
      <c r="R415" t="s">
        <v>26</v>
      </c>
      <c r="S415" t="s">
        <v>26</v>
      </c>
      <c r="T415" t="s">
        <v>26</v>
      </c>
      <c r="U415" t="s">
        <v>26</v>
      </c>
      <c r="V415" t="s">
        <v>26</v>
      </c>
      <c r="W415" s="24">
        <v>35521</v>
      </c>
      <c r="X415" s="24">
        <v>36069</v>
      </c>
      <c r="Y415" t="s">
        <v>26</v>
      </c>
      <c r="Z415" s="24">
        <v>35521</v>
      </c>
      <c r="AA415" s="24">
        <v>36069</v>
      </c>
      <c r="AB415" t="s">
        <v>26</v>
      </c>
      <c r="AC415" s="24">
        <v>35521</v>
      </c>
      <c r="AD415" s="24">
        <v>36069</v>
      </c>
      <c r="AE415" t="s">
        <v>26</v>
      </c>
      <c r="AF415" t="s">
        <v>26</v>
      </c>
      <c r="AG415" t="s">
        <v>26</v>
      </c>
      <c r="AH415" t="s">
        <v>26</v>
      </c>
      <c r="AI415" t="s">
        <v>26</v>
      </c>
      <c r="AJ415" t="s">
        <v>26</v>
      </c>
      <c r="AK415" t="s">
        <v>26</v>
      </c>
      <c r="AL415" t="s">
        <v>26</v>
      </c>
      <c r="AM415" t="s">
        <v>26</v>
      </c>
      <c r="AN415" t="s">
        <v>26</v>
      </c>
      <c r="AO415" s="25" t="s">
        <v>28</v>
      </c>
      <c r="AP415" s="23" t="s">
        <v>69</v>
      </c>
      <c r="AQ415" s="23" t="s">
        <v>30</v>
      </c>
      <c r="AR415" s="23" t="s">
        <v>46</v>
      </c>
      <c r="AS415" s="25">
        <v>26651</v>
      </c>
      <c r="AT415" t="s">
        <v>26</v>
      </c>
      <c r="AU415" t="s">
        <v>22755</v>
      </c>
    </row>
    <row r="416" spans="1:47" ht="26.25" x14ac:dyDescent="0.4">
      <c r="A416" s="23" t="s">
        <v>1277</v>
      </c>
      <c r="B416" t="s">
        <v>26</v>
      </c>
      <c r="C416" s="23" t="s">
        <v>1275</v>
      </c>
      <c r="D416" s="23" t="s">
        <v>22756</v>
      </c>
      <c r="E416" s="23" t="s">
        <v>335</v>
      </c>
      <c r="F416" s="25" t="s">
        <v>1278</v>
      </c>
      <c r="G416" s="25" t="s">
        <v>1279</v>
      </c>
      <c r="H416" t="s">
        <v>26</v>
      </c>
      <c r="I416" s="24">
        <v>33970</v>
      </c>
      <c r="J416" s="25" t="s">
        <v>77</v>
      </c>
      <c r="K416" t="s">
        <v>26</v>
      </c>
      <c r="L416" s="25" t="s">
        <v>68</v>
      </c>
      <c r="M416" s="24">
        <v>33970</v>
      </c>
      <c r="N416" s="25" t="s">
        <v>77</v>
      </c>
      <c r="O416" t="s">
        <v>26</v>
      </c>
      <c r="P416" s="24">
        <v>34700</v>
      </c>
      <c r="Q416" s="25" t="s">
        <v>77</v>
      </c>
      <c r="R416" s="25" t="s">
        <v>22757</v>
      </c>
      <c r="S416" t="s">
        <v>26</v>
      </c>
      <c r="T416" t="s">
        <v>26</v>
      </c>
      <c r="U416" t="s">
        <v>26</v>
      </c>
      <c r="V416" t="s">
        <v>26</v>
      </c>
      <c r="W416" s="24">
        <v>32143</v>
      </c>
      <c r="X416" s="25" t="s">
        <v>77</v>
      </c>
      <c r="Y416" t="s">
        <v>26</v>
      </c>
      <c r="Z416" s="24">
        <v>32143</v>
      </c>
      <c r="AA416" s="25" t="s">
        <v>77</v>
      </c>
      <c r="AB416" t="s">
        <v>26</v>
      </c>
      <c r="AC416" s="24">
        <v>33970</v>
      </c>
      <c r="AD416" s="25" t="s">
        <v>77</v>
      </c>
      <c r="AE416" t="s">
        <v>26</v>
      </c>
      <c r="AF416" t="s">
        <v>26</v>
      </c>
      <c r="AG416" t="s">
        <v>26</v>
      </c>
      <c r="AH416" t="s">
        <v>26</v>
      </c>
      <c r="AI416" t="s">
        <v>26</v>
      </c>
      <c r="AJ416" t="s">
        <v>26</v>
      </c>
      <c r="AK416" t="s">
        <v>26</v>
      </c>
      <c r="AL416" t="s">
        <v>26</v>
      </c>
      <c r="AM416" t="s">
        <v>26</v>
      </c>
      <c r="AN416" t="s">
        <v>26</v>
      </c>
      <c r="AO416" s="25" t="s">
        <v>68</v>
      </c>
      <c r="AP416" s="23" t="s">
        <v>69</v>
      </c>
      <c r="AQ416" s="23" t="s">
        <v>30</v>
      </c>
      <c r="AR416" s="23" t="s">
        <v>257</v>
      </c>
      <c r="AS416" s="25">
        <v>48737</v>
      </c>
      <c r="AT416" t="s">
        <v>26</v>
      </c>
      <c r="AU416" t="s">
        <v>22758</v>
      </c>
    </row>
    <row r="417" spans="1:47" ht="26.25" x14ac:dyDescent="0.4">
      <c r="A417" s="23" t="s">
        <v>1280</v>
      </c>
      <c r="B417" t="s">
        <v>26</v>
      </c>
      <c r="C417" s="23" t="s">
        <v>1281</v>
      </c>
      <c r="D417" t="s">
        <v>26</v>
      </c>
      <c r="E417" s="23" t="s">
        <v>335</v>
      </c>
      <c r="F417" s="25" t="s">
        <v>1282</v>
      </c>
      <c r="G417" s="25" t="s">
        <v>1283</v>
      </c>
      <c r="H417" t="s">
        <v>26</v>
      </c>
      <c r="I417" t="s">
        <v>26</v>
      </c>
      <c r="J417" t="s">
        <v>26</v>
      </c>
      <c r="K417" t="s">
        <v>26</v>
      </c>
      <c r="L417" s="25" t="s">
        <v>68</v>
      </c>
      <c r="M417" t="s">
        <v>26</v>
      </c>
      <c r="N417" t="s">
        <v>26</v>
      </c>
      <c r="O417" t="s">
        <v>26</v>
      </c>
      <c r="P417" t="s">
        <v>26</v>
      </c>
      <c r="Q417" t="s">
        <v>26</v>
      </c>
      <c r="R417" t="s">
        <v>26</v>
      </c>
      <c r="S417" t="s">
        <v>26</v>
      </c>
      <c r="T417" t="s">
        <v>26</v>
      </c>
      <c r="U417" t="s">
        <v>26</v>
      </c>
      <c r="V417" t="s">
        <v>26</v>
      </c>
      <c r="W417" s="24">
        <v>37347</v>
      </c>
      <c r="X417" s="25" t="s">
        <v>77</v>
      </c>
      <c r="Y417" t="s">
        <v>26</v>
      </c>
      <c r="Z417" s="24">
        <v>37347</v>
      </c>
      <c r="AA417" s="25" t="s">
        <v>77</v>
      </c>
      <c r="AB417" t="s">
        <v>26</v>
      </c>
      <c r="AC417" t="s">
        <v>26</v>
      </c>
      <c r="AD417" t="s">
        <v>26</v>
      </c>
      <c r="AE417" t="s">
        <v>26</v>
      </c>
      <c r="AF417" t="s">
        <v>26</v>
      </c>
      <c r="AG417" t="s">
        <v>26</v>
      </c>
      <c r="AH417" t="s">
        <v>26</v>
      </c>
      <c r="AI417" t="s">
        <v>26</v>
      </c>
      <c r="AJ417" t="s">
        <v>26</v>
      </c>
      <c r="AK417" t="s">
        <v>26</v>
      </c>
      <c r="AL417" t="s">
        <v>26</v>
      </c>
      <c r="AM417" t="s">
        <v>26</v>
      </c>
      <c r="AN417" t="s">
        <v>26</v>
      </c>
      <c r="AO417" s="25" t="s">
        <v>68</v>
      </c>
      <c r="AP417" s="23" t="s">
        <v>69</v>
      </c>
      <c r="AQ417" s="23" t="s">
        <v>30</v>
      </c>
      <c r="AR417" s="23" t="s">
        <v>1284</v>
      </c>
      <c r="AS417" s="25">
        <v>33963</v>
      </c>
      <c r="AT417" t="s">
        <v>26</v>
      </c>
      <c r="AU417" t="s">
        <v>22759</v>
      </c>
    </row>
    <row r="418" spans="1:47" ht="26.25" x14ac:dyDescent="0.4">
      <c r="A418" s="23" t="s">
        <v>1285</v>
      </c>
      <c r="B418" t="s">
        <v>26</v>
      </c>
      <c r="C418" s="23" t="s">
        <v>1286</v>
      </c>
      <c r="D418" s="23" t="s">
        <v>22760</v>
      </c>
      <c r="E418" s="23" t="s">
        <v>335</v>
      </c>
      <c r="F418" s="25" t="s">
        <v>1287</v>
      </c>
      <c r="G418" t="s">
        <v>26</v>
      </c>
      <c r="H418" t="s">
        <v>26</v>
      </c>
      <c r="I418" s="24">
        <v>37257</v>
      </c>
      <c r="J418" s="24">
        <v>40087</v>
      </c>
      <c r="K418" t="s">
        <v>26</v>
      </c>
      <c r="L418" s="25" t="s">
        <v>68</v>
      </c>
      <c r="M418" s="24">
        <v>37257</v>
      </c>
      <c r="N418" s="24">
        <v>40087</v>
      </c>
      <c r="O418" t="s">
        <v>26</v>
      </c>
      <c r="P418" s="24">
        <v>37257</v>
      </c>
      <c r="Q418" s="24">
        <v>40087</v>
      </c>
      <c r="R418" t="s">
        <v>26</v>
      </c>
      <c r="S418" t="s">
        <v>26</v>
      </c>
      <c r="T418" t="s">
        <v>26</v>
      </c>
      <c r="U418" t="s">
        <v>26</v>
      </c>
      <c r="V418" t="s">
        <v>26</v>
      </c>
      <c r="W418" s="24">
        <v>33604</v>
      </c>
      <c r="X418" s="24">
        <v>40087</v>
      </c>
      <c r="Y418" t="s">
        <v>26</v>
      </c>
      <c r="Z418" s="24">
        <v>33604</v>
      </c>
      <c r="AA418" s="24">
        <v>40087</v>
      </c>
      <c r="AB418" t="s">
        <v>26</v>
      </c>
      <c r="AC418" t="s">
        <v>26</v>
      </c>
      <c r="AD418" t="s">
        <v>26</v>
      </c>
      <c r="AE418" t="s">
        <v>26</v>
      </c>
      <c r="AF418" t="s">
        <v>26</v>
      </c>
      <c r="AG418" t="s">
        <v>26</v>
      </c>
      <c r="AH418" t="s">
        <v>26</v>
      </c>
      <c r="AI418" t="s">
        <v>26</v>
      </c>
      <c r="AJ418" t="s">
        <v>26</v>
      </c>
      <c r="AK418" t="s">
        <v>26</v>
      </c>
      <c r="AL418" t="s">
        <v>26</v>
      </c>
      <c r="AM418" t="s">
        <v>26</v>
      </c>
      <c r="AN418" t="s">
        <v>26</v>
      </c>
      <c r="AO418" s="25" t="s">
        <v>68</v>
      </c>
      <c r="AP418" s="23" t="s">
        <v>69</v>
      </c>
      <c r="AQ418" s="23" t="s">
        <v>30</v>
      </c>
      <c r="AR418" s="23" t="s">
        <v>123</v>
      </c>
      <c r="AS418" s="25">
        <v>49259</v>
      </c>
      <c r="AT418" t="s">
        <v>26</v>
      </c>
      <c r="AU418" t="s">
        <v>22761</v>
      </c>
    </row>
    <row r="419" spans="1:47" ht="26.25" x14ac:dyDescent="0.4">
      <c r="A419" s="23" t="s">
        <v>1288</v>
      </c>
      <c r="B419" t="s">
        <v>26</v>
      </c>
      <c r="C419" s="23" t="s">
        <v>1286</v>
      </c>
      <c r="D419" s="23" t="s">
        <v>22760</v>
      </c>
      <c r="E419" s="23" t="s">
        <v>335</v>
      </c>
      <c r="F419" t="s">
        <v>26</v>
      </c>
      <c r="G419" s="25" t="s">
        <v>1289</v>
      </c>
      <c r="H419" t="s">
        <v>26</v>
      </c>
      <c r="I419" s="24">
        <v>40179</v>
      </c>
      <c r="J419" s="25" t="s">
        <v>77</v>
      </c>
      <c r="K419" t="s">
        <v>26</v>
      </c>
      <c r="L419" s="25" t="s">
        <v>68</v>
      </c>
      <c r="M419" s="24">
        <v>40179</v>
      </c>
      <c r="N419" s="25" t="s">
        <v>77</v>
      </c>
      <c r="O419" t="s">
        <v>26</v>
      </c>
      <c r="P419" s="24">
        <v>40179</v>
      </c>
      <c r="Q419" s="25" t="s">
        <v>77</v>
      </c>
      <c r="R419" t="s">
        <v>26</v>
      </c>
      <c r="S419" t="s">
        <v>26</v>
      </c>
      <c r="T419" t="s">
        <v>26</v>
      </c>
      <c r="U419" t="s">
        <v>26</v>
      </c>
      <c r="V419" t="s">
        <v>26</v>
      </c>
      <c r="W419" s="24">
        <v>40179</v>
      </c>
      <c r="X419" s="25" t="s">
        <v>77</v>
      </c>
      <c r="Y419" t="s">
        <v>26</v>
      </c>
      <c r="Z419" s="24">
        <v>40179</v>
      </c>
      <c r="AA419" s="25" t="s">
        <v>77</v>
      </c>
      <c r="AB419" t="s">
        <v>26</v>
      </c>
      <c r="AC419" t="s">
        <v>26</v>
      </c>
      <c r="AD419" t="s">
        <v>26</v>
      </c>
      <c r="AE419" t="s">
        <v>26</v>
      </c>
      <c r="AF419" t="s">
        <v>26</v>
      </c>
      <c r="AG419" t="s">
        <v>26</v>
      </c>
      <c r="AH419" t="s">
        <v>26</v>
      </c>
      <c r="AI419" t="s">
        <v>26</v>
      </c>
      <c r="AJ419" t="s">
        <v>26</v>
      </c>
      <c r="AK419" t="s">
        <v>26</v>
      </c>
      <c r="AL419" t="s">
        <v>26</v>
      </c>
      <c r="AM419" t="s">
        <v>26</v>
      </c>
      <c r="AN419" t="s">
        <v>26</v>
      </c>
      <c r="AO419" s="25" t="s">
        <v>68</v>
      </c>
      <c r="AP419" s="23" t="s">
        <v>69</v>
      </c>
      <c r="AQ419" s="23" t="s">
        <v>30</v>
      </c>
      <c r="AR419" s="23" t="s">
        <v>123</v>
      </c>
      <c r="AS419" s="25">
        <v>266703</v>
      </c>
      <c r="AT419" t="s">
        <v>26</v>
      </c>
      <c r="AU419" t="s">
        <v>22762</v>
      </c>
    </row>
    <row r="420" spans="1:47" ht="26.25" x14ac:dyDescent="0.4">
      <c r="A420" s="23" t="s">
        <v>1290</v>
      </c>
      <c r="B420" t="s">
        <v>26</v>
      </c>
      <c r="C420" s="23" t="s">
        <v>1054</v>
      </c>
      <c r="D420" s="23" t="s">
        <v>22634</v>
      </c>
      <c r="E420" s="23" t="s">
        <v>335</v>
      </c>
      <c r="F420" s="25" t="s">
        <v>1291</v>
      </c>
      <c r="G420" s="25" t="s">
        <v>1292</v>
      </c>
      <c r="H420" t="s">
        <v>26</v>
      </c>
      <c r="I420" s="24">
        <v>34335</v>
      </c>
      <c r="J420" s="24">
        <v>38991</v>
      </c>
      <c r="K420" t="s">
        <v>26</v>
      </c>
      <c r="L420" s="25" t="s">
        <v>68</v>
      </c>
      <c r="M420" s="24">
        <v>34335</v>
      </c>
      <c r="N420" s="24">
        <v>38991</v>
      </c>
      <c r="O420" t="s">
        <v>26</v>
      </c>
      <c r="P420" s="24">
        <v>35065</v>
      </c>
      <c r="Q420" s="24">
        <v>38991</v>
      </c>
      <c r="R420" t="s">
        <v>26</v>
      </c>
      <c r="S420" t="s">
        <v>26</v>
      </c>
      <c r="T420" t="s">
        <v>26</v>
      </c>
      <c r="U420" t="s">
        <v>26</v>
      </c>
      <c r="V420" t="s">
        <v>26</v>
      </c>
      <c r="W420" s="24">
        <v>29587</v>
      </c>
      <c r="X420" s="25" t="s">
        <v>77</v>
      </c>
      <c r="Y420" t="s">
        <v>26</v>
      </c>
      <c r="Z420" s="24">
        <v>29587</v>
      </c>
      <c r="AA420" s="25" t="s">
        <v>77</v>
      </c>
      <c r="AB420" t="s">
        <v>26</v>
      </c>
      <c r="AC420" s="24">
        <v>32509</v>
      </c>
      <c r="AD420" s="25" t="s">
        <v>77</v>
      </c>
      <c r="AE420" t="s">
        <v>26</v>
      </c>
      <c r="AF420" t="s">
        <v>26</v>
      </c>
      <c r="AG420" t="s">
        <v>26</v>
      </c>
      <c r="AH420" t="s">
        <v>26</v>
      </c>
      <c r="AI420" t="s">
        <v>26</v>
      </c>
      <c r="AJ420" t="s">
        <v>26</v>
      </c>
      <c r="AK420" t="s">
        <v>26</v>
      </c>
      <c r="AL420" t="s">
        <v>26</v>
      </c>
      <c r="AM420" t="s">
        <v>26</v>
      </c>
      <c r="AN420" t="s">
        <v>26</v>
      </c>
      <c r="AO420" s="25" t="s">
        <v>68</v>
      </c>
      <c r="AP420" s="23" t="s">
        <v>69</v>
      </c>
      <c r="AQ420" s="23" t="s">
        <v>30</v>
      </c>
      <c r="AR420" s="23" t="s">
        <v>1293</v>
      </c>
      <c r="AS420" s="25">
        <v>43670</v>
      </c>
      <c r="AT420" t="s">
        <v>26</v>
      </c>
      <c r="AU420" t="s">
        <v>22763</v>
      </c>
    </row>
    <row r="421" spans="1:47" ht="26.25" x14ac:dyDescent="0.4">
      <c r="A421" s="23" t="s">
        <v>1294</v>
      </c>
      <c r="B421" t="s">
        <v>26</v>
      </c>
      <c r="C421" s="23" t="s">
        <v>1295</v>
      </c>
      <c r="D421" s="23" t="s">
        <v>22634</v>
      </c>
      <c r="E421" s="23" t="s">
        <v>335</v>
      </c>
      <c r="F421" s="25" t="s">
        <v>1296</v>
      </c>
      <c r="G421" s="25" t="s">
        <v>1297</v>
      </c>
      <c r="H421" t="s">
        <v>26</v>
      </c>
      <c r="I421" s="24">
        <v>33970</v>
      </c>
      <c r="J421" s="25" t="s">
        <v>77</v>
      </c>
      <c r="K421" t="s">
        <v>26</v>
      </c>
      <c r="L421" s="25" t="s">
        <v>68</v>
      </c>
      <c r="M421" s="24">
        <v>33970</v>
      </c>
      <c r="N421" s="25" t="s">
        <v>77</v>
      </c>
      <c r="O421" t="s">
        <v>26</v>
      </c>
      <c r="P421" s="24">
        <v>37257</v>
      </c>
      <c r="Q421" s="25" t="s">
        <v>77</v>
      </c>
      <c r="R421" t="s">
        <v>26</v>
      </c>
      <c r="S421" t="s">
        <v>26</v>
      </c>
      <c r="T421" t="s">
        <v>26</v>
      </c>
      <c r="U421" t="s">
        <v>26</v>
      </c>
      <c r="V421" t="s">
        <v>26</v>
      </c>
      <c r="W421" s="24">
        <v>31413</v>
      </c>
      <c r="X421" s="25" t="s">
        <v>77</v>
      </c>
      <c r="Y421" t="s">
        <v>26</v>
      </c>
      <c r="Z421" s="24">
        <v>31413</v>
      </c>
      <c r="AA421" s="25" t="s">
        <v>77</v>
      </c>
      <c r="AB421" t="s">
        <v>26</v>
      </c>
      <c r="AC421" s="24">
        <v>33970</v>
      </c>
      <c r="AD421" s="25" t="s">
        <v>77</v>
      </c>
      <c r="AE421" t="s">
        <v>26</v>
      </c>
      <c r="AF421" t="s">
        <v>26</v>
      </c>
      <c r="AG421" t="s">
        <v>26</v>
      </c>
      <c r="AH421" t="s">
        <v>26</v>
      </c>
      <c r="AI421" t="s">
        <v>26</v>
      </c>
      <c r="AJ421" t="s">
        <v>26</v>
      </c>
      <c r="AK421" t="s">
        <v>26</v>
      </c>
      <c r="AL421" t="s">
        <v>26</v>
      </c>
      <c r="AM421" t="s">
        <v>26</v>
      </c>
      <c r="AN421" t="s">
        <v>26</v>
      </c>
      <c r="AO421" s="25" t="s">
        <v>68</v>
      </c>
      <c r="AP421" s="23" t="s">
        <v>69</v>
      </c>
      <c r="AQ421" s="23" t="s">
        <v>30</v>
      </c>
      <c r="AR421" s="23" t="s">
        <v>337</v>
      </c>
      <c r="AS421" s="25">
        <v>37189</v>
      </c>
      <c r="AT421" t="s">
        <v>26</v>
      </c>
      <c r="AU421" t="s">
        <v>22764</v>
      </c>
    </row>
    <row r="422" spans="1:47" ht="26.25" x14ac:dyDescent="0.4">
      <c r="A422" s="23" t="s">
        <v>1298</v>
      </c>
      <c r="B422" t="s">
        <v>26</v>
      </c>
      <c r="C422" s="23" t="s">
        <v>1275</v>
      </c>
      <c r="D422" s="23" t="s">
        <v>22756</v>
      </c>
      <c r="E422" s="23" t="s">
        <v>335</v>
      </c>
      <c r="F422" s="25" t="s">
        <v>1299</v>
      </c>
      <c r="G422" s="25" t="s">
        <v>1300</v>
      </c>
      <c r="H422" t="s">
        <v>26</v>
      </c>
      <c r="I422" s="24">
        <v>34029</v>
      </c>
      <c r="J422" s="25" t="s">
        <v>77</v>
      </c>
      <c r="K422" t="s">
        <v>26</v>
      </c>
      <c r="L422" s="25" t="s">
        <v>68</v>
      </c>
      <c r="M422" s="24">
        <v>34029</v>
      </c>
      <c r="N422" s="25" t="s">
        <v>77</v>
      </c>
      <c r="O422" t="s">
        <v>26</v>
      </c>
      <c r="P422" s="24">
        <v>35674</v>
      </c>
      <c r="Q422" s="25" t="s">
        <v>77</v>
      </c>
      <c r="R422" t="s">
        <v>26</v>
      </c>
      <c r="S422" t="s">
        <v>26</v>
      </c>
      <c r="T422" t="s">
        <v>26</v>
      </c>
      <c r="U422" t="s">
        <v>26</v>
      </c>
      <c r="V422" t="s">
        <v>26</v>
      </c>
      <c r="W422" s="24">
        <v>32478</v>
      </c>
      <c r="X422" s="25" t="s">
        <v>77</v>
      </c>
      <c r="Y422" t="s">
        <v>26</v>
      </c>
      <c r="Z422" s="24">
        <v>32478</v>
      </c>
      <c r="AA422" s="25" t="s">
        <v>77</v>
      </c>
      <c r="AB422" t="s">
        <v>26</v>
      </c>
      <c r="AC422" s="24">
        <v>32568</v>
      </c>
      <c r="AD422" s="25" t="s">
        <v>77</v>
      </c>
      <c r="AE422" t="s">
        <v>26</v>
      </c>
      <c r="AF422" t="s">
        <v>26</v>
      </c>
      <c r="AG422" t="s">
        <v>26</v>
      </c>
      <c r="AH422" t="s">
        <v>26</v>
      </c>
      <c r="AI422" t="s">
        <v>26</v>
      </c>
      <c r="AJ422" t="s">
        <v>26</v>
      </c>
      <c r="AK422" t="s">
        <v>26</v>
      </c>
      <c r="AL422" t="s">
        <v>26</v>
      </c>
      <c r="AM422" t="s">
        <v>26</v>
      </c>
      <c r="AN422" t="s">
        <v>26</v>
      </c>
      <c r="AO422" s="25" t="s">
        <v>68</v>
      </c>
      <c r="AP422" s="23" t="s">
        <v>69</v>
      </c>
      <c r="AQ422" s="23" t="s">
        <v>30</v>
      </c>
      <c r="AR422" s="23" t="s">
        <v>46</v>
      </c>
      <c r="AS422" s="25">
        <v>47265</v>
      </c>
      <c r="AT422" t="s">
        <v>26</v>
      </c>
      <c r="AU422" t="s">
        <v>22765</v>
      </c>
    </row>
    <row r="423" spans="1:47" ht="26.25" x14ac:dyDescent="0.4">
      <c r="A423" s="23" t="s">
        <v>1301</v>
      </c>
      <c r="B423" t="s">
        <v>26</v>
      </c>
      <c r="C423" s="23" t="s">
        <v>1302</v>
      </c>
      <c r="D423" s="23" t="s">
        <v>22634</v>
      </c>
      <c r="E423" s="23" t="s">
        <v>335</v>
      </c>
      <c r="F423" s="25" t="s">
        <v>1303</v>
      </c>
      <c r="G423" s="25" t="s">
        <v>1304</v>
      </c>
      <c r="H423" t="s">
        <v>26</v>
      </c>
      <c r="I423" s="24">
        <v>35431</v>
      </c>
      <c r="J423" s="24">
        <v>41091</v>
      </c>
      <c r="K423" t="s">
        <v>26</v>
      </c>
      <c r="L423" s="25" t="s">
        <v>68</v>
      </c>
      <c r="M423" s="24">
        <v>35431</v>
      </c>
      <c r="N423" s="24">
        <v>41091</v>
      </c>
      <c r="O423" t="s">
        <v>26</v>
      </c>
      <c r="P423" s="24">
        <v>35796</v>
      </c>
      <c r="Q423" s="24">
        <v>41091</v>
      </c>
      <c r="R423" t="s">
        <v>26</v>
      </c>
      <c r="S423" t="s">
        <v>26</v>
      </c>
      <c r="T423" t="s">
        <v>26</v>
      </c>
      <c r="U423" t="s">
        <v>26</v>
      </c>
      <c r="V423" t="s">
        <v>26</v>
      </c>
      <c r="W423" s="24">
        <v>33970</v>
      </c>
      <c r="X423" s="24">
        <v>41091</v>
      </c>
      <c r="Y423" t="s">
        <v>26</v>
      </c>
      <c r="Z423" s="24">
        <v>33970</v>
      </c>
      <c r="AA423" s="24">
        <v>41091</v>
      </c>
      <c r="AB423" t="s">
        <v>26</v>
      </c>
      <c r="AC423" s="24">
        <v>35431</v>
      </c>
      <c r="AD423" s="24">
        <v>41091</v>
      </c>
      <c r="AE423" t="s">
        <v>26</v>
      </c>
      <c r="AF423" t="s">
        <v>26</v>
      </c>
      <c r="AG423" t="s">
        <v>26</v>
      </c>
      <c r="AH423" t="s">
        <v>26</v>
      </c>
      <c r="AI423" t="s">
        <v>26</v>
      </c>
      <c r="AJ423" t="s">
        <v>26</v>
      </c>
      <c r="AK423" t="s">
        <v>26</v>
      </c>
      <c r="AL423" t="s">
        <v>26</v>
      </c>
      <c r="AM423" t="s">
        <v>26</v>
      </c>
      <c r="AN423" t="s">
        <v>26</v>
      </c>
      <c r="AO423" s="25" t="s">
        <v>68</v>
      </c>
      <c r="AP423" s="23" t="s">
        <v>69</v>
      </c>
      <c r="AQ423" s="23" t="s">
        <v>30</v>
      </c>
      <c r="AR423" s="23" t="s">
        <v>46</v>
      </c>
      <c r="AS423" s="25">
        <v>33400</v>
      </c>
      <c r="AT423" t="s">
        <v>26</v>
      </c>
      <c r="AU423" t="s">
        <v>22766</v>
      </c>
    </row>
    <row r="424" spans="1:47" ht="26.25" x14ac:dyDescent="0.4">
      <c r="A424" s="23" t="s">
        <v>1301</v>
      </c>
      <c r="B424" t="s">
        <v>26</v>
      </c>
      <c r="C424" s="23" t="s">
        <v>1054</v>
      </c>
      <c r="D424" s="23" t="s">
        <v>22634</v>
      </c>
      <c r="E424" s="23" t="s">
        <v>335</v>
      </c>
      <c r="F424" s="25" t="s">
        <v>1303</v>
      </c>
      <c r="G424" s="25" t="s">
        <v>1304</v>
      </c>
      <c r="H424" t="s">
        <v>26</v>
      </c>
      <c r="I424" s="24">
        <v>41275</v>
      </c>
      <c r="J424" s="24">
        <v>42979</v>
      </c>
      <c r="K424" t="s">
        <v>26</v>
      </c>
      <c r="L424" s="25" t="s">
        <v>68</v>
      </c>
      <c r="M424" s="24">
        <v>41275</v>
      </c>
      <c r="N424" s="24">
        <v>42979</v>
      </c>
      <c r="O424" t="s">
        <v>26</v>
      </c>
      <c r="P424" s="24">
        <v>41275</v>
      </c>
      <c r="Q424" s="24">
        <v>42979</v>
      </c>
      <c r="R424" t="s">
        <v>26</v>
      </c>
      <c r="S424" t="s">
        <v>26</v>
      </c>
      <c r="T424" t="s">
        <v>26</v>
      </c>
      <c r="U424" t="s">
        <v>26</v>
      </c>
      <c r="V424" t="s">
        <v>26</v>
      </c>
      <c r="W424" s="24">
        <v>41275</v>
      </c>
      <c r="X424" s="25" t="s">
        <v>77</v>
      </c>
      <c r="Y424" t="s">
        <v>26</v>
      </c>
      <c r="Z424" s="24">
        <v>41275</v>
      </c>
      <c r="AA424" s="25" t="s">
        <v>77</v>
      </c>
      <c r="AB424" t="s">
        <v>26</v>
      </c>
      <c r="AC424" s="24">
        <v>41275</v>
      </c>
      <c r="AD424" s="25" t="s">
        <v>77</v>
      </c>
      <c r="AE424" t="s">
        <v>26</v>
      </c>
      <c r="AF424" t="s">
        <v>26</v>
      </c>
      <c r="AG424" t="s">
        <v>26</v>
      </c>
      <c r="AH424" t="s">
        <v>26</v>
      </c>
      <c r="AI424" t="s">
        <v>26</v>
      </c>
      <c r="AJ424" t="s">
        <v>26</v>
      </c>
      <c r="AK424" t="s">
        <v>26</v>
      </c>
      <c r="AL424" t="s">
        <v>26</v>
      </c>
      <c r="AM424" t="s">
        <v>26</v>
      </c>
      <c r="AN424" t="s">
        <v>26</v>
      </c>
      <c r="AO424" s="25" t="s">
        <v>68</v>
      </c>
      <c r="AP424" s="23" t="s">
        <v>69</v>
      </c>
      <c r="AQ424" s="23" t="s">
        <v>30</v>
      </c>
      <c r="AR424" s="23" t="s">
        <v>46</v>
      </c>
      <c r="AS424" s="25">
        <v>2037334</v>
      </c>
      <c r="AT424" t="s">
        <v>26</v>
      </c>
      <c r="AU424" t="s">
        <v>22767</v>
      </c>
    </row>
    <row r="425" spans="1:47" ht="26.25" x14ac:dyDescent="0.4">
      <c r="A425" s="23" t="s">
        <v>1305</v>
      </c>
      <c r="B425" t="s">
        <v>26</v>
      </c>
      <c r="C425" s="23" t="s">
        <v>1306</v>
      </c>
      <c r="D425" s="23" t="s">
        <v>22768</v>
      </c>
      <c r="E425" s="23" t="s">
        <v>335</v>
      </c>
      <c r="F425" s="25" t="s">
        <v>1307</v>
      </c>
      <c r="G425" t="s">
        <v>26</v>
      </c>
      <c r="H425" t="s">
        <v>26</v>
      </c>
      <c r="I425" s="24">
        <v>36220</v>
      </c>
      <c r="J425" s="24">
        <v>37561</v>
      </c>
      <c r="K425" t="s">
        <v>26</v>
      </c>
      <c r="L425" s="25" t="s">
        <v>68</v>
      </c>
      <c r="M425" s="24">
        <v>36220</v>
      </c>
      <c r="N425" s="24">
        <v>37561</v>
      </c>
      <c r="O425" t="s">
        <v>26</v>
      </c>
      <c r="P425" t="s">
        <v>26</v>
      </c>
      <c r="Q425" t="s">
        <v>26</v>
      </c>
      <c r="R425" t="s">
        <v>26</v>
      </c>
      <c r="S425" t="s">
        <v>26</v>
      </c>
      <c r="T425" t="s">
        <v>26</v>
      </c>
      <c r="U425" t="s">
        <v>26</v>
      </c>
      <c r="V425" t="s">
        <v>26</v>
      </c>
      <c r="W425" s="24">
        <v>36220</v>
      </c>
      <c r="X425" s="24">
        <v>37561</v>
      </c>
      <c r="Y425" t="s">
        <v>26</v>
      </c>
      <c r="Z425" s="24">
        <v>36220</v>
      </c>
      <c r="AA425" s="24">
        <v>37561</v>
      </c>
      <c r="AB425" t="s">
        <v>26</v>
      </c>
      <c r="AC425" s="24">
        <v>36220</v>
      </c>
      <c r="AD425" s="24">
        <v>37561</v>
      </c>
      <c r="AE425" s="25" t="s">
        <v>604</v>
      </c>
      <c r="AF425" t="s">
        <v>26</v>
      </c>
      <c r="AG425" t="s">
        <v>26</v>
      </c>
      <c r="AH425" t="s">
        <v>26</v>
      </c>
      <c r="AI425" t="s">
        <v>26</v>
      </c>
      <c r="AJ425" t="s">
        <v>26</v>
      </c>
      <c r="AK425" t="s">
        <v>26</v>
      </c>
      <c r="AL425" t="s">
        <v>26</v>
      </c>
      <c r="AM425" t="s">
        <v>26</v>
      </c>
      <c r="AN425" t="s">
        <v>26</v>
      </c>
      <c r="AO425" s="25" t="s">
        <v>28</v>
      </c>
      <c r="AP425" s="23" t="s">
        <v>69</v>
      </c>
      <c r="AQ425" s="23" t="s">
        <v>30</v>
      </c>
      <c r="AR425" s="23" t="s">
        <v>337</v>
      </c>
      <c r="AS425" s="25">
        <v>27710</v>
      </c>
      <c r="AT425" t="s">
        <v>26</v>
      </c>
      <c r="AU425" t="s">
        <v>22769</v>
      </c>
    </row>
    <row r="426" spans="1:47" ht="26.25" x14ac:dyDescent="0.4">
      <c r="A426" s="23" t="s">
        <v>1308</v>
      </c>
      <c r="B426" t="s">
        <v>26</v>
      </c>
      <c r="C426" s="23" t="s">
        <v>1309</v>
      </c>
      <c r="D426" s="23" t="s">
        <v>22419</v>
      </c>
      <c r="E426" s="23" t="s">
        <v>335</v>
      </c>
      <c r="F426" s="25" t="s">
        <v>1310</v>
      </c>
      <c r="G426" t="s">
        <v>26</v>
      </c>
      <c r="H426" t="s">
        <v>26</v>
      </c>
      <c r="I426" s="24">
        <v>38261</v>
      </c>
      <c r="J426" s="25" t="s">
        <v>77</v>
      </c>
      <c r="K426" t="s">
        <v>26</v>
      </c>
      <c r="L426" s="25" t="s">
        <v>68</v>
      </c>
      <c r="M426" s="24">
        <v>38261</v>
      </c>
      <c r="N426" s="25" t="s">
        <v>77</v>
      </c>
      <c r="O426" t="s">
        <v>26</v>
      </c>
      <c r="P426" s="24">
        <v>38261</v>
      </c>
      <c r="Q426" s="25" t="s">
        <v>77</v>
      </c>
      <c r="R426" t="s">
        <v>26</v>
      </c>
      <c r="S426" t="s">
        <v>26</v>
      </c>
      <c r="T426" t="s">
        <v>26</v>
      </c>
      <c r="U426" t="s">
        <v>26</v>
      </c>
      <c r="V426" t="s">
        <v>26</v>
      </c>
      <c r="W426" s="24">
        <v>38261</v>
      </c>
      <c r="X426" s="25" t="s">
        <v>77</v>
      </c>
      <c r="Y426" t="s">
        <v>26</v>
      </c>
      <c r="Z426" s="24">
        <v>38261</v>
      </c>
      <c r="AA426" s="25" t="s">
        <v>77</v>
      </c>
      <c r="AB426" t="s">
        <v>26</v>
      </c>
      <c r="AC426" s="24">
        <v>40544</v>
      </c>
      <c r="AD426" s="25" t="s">
        <v>77</v>
      </c>
      <c r="AE426" s="25" t="s">
        <v>22770</v>
      </c>
      <c r="AF426" t="s">
        <v>26</v>
      </c>
      <c r="AG426" t="s">
        <v>26</v>
      </c>
      <c r="AH426" t="s">
        <v>26</v>
      </c>
      <c r="AI426" t="s">
        <v>26</v>
      </c>
      <c r="AJ426" t="s">
        <v>26</v>
      </c>
      <c r="AK426" t="s">
        <v>26</v>
      </c>
      <c r="AL426" t="s">
        <v>26</v>
      </c>
      <c r="AM426" t="s">
        <v>26</v>
      </c>
      <c r="AN426" t="s">
        <v>26</v>
      </c>
      <c r="AO426" s="25" t="s">
        <v>68</v>
      </c>
      <c r="AP426" s="23" t="s">
        <v>69</v>
      </c>
      <c r="AQ426" s="23" t="s">
        <v>30</v>
      </c>
      <c r="AR426" s="23" t="s">
        <v>46</v>
      </c>
      <c r="AS426" s="25">
        <v>29370</v>
      </c>
      <c r="AT426" t="s">
        <v>26</v>
      </c>
      <c r="AU426" t="s">
        <v>22771</v>
      </c>
    </row>
    <row r="427" spans="1:47" ht="26.25" x14ac:dyDescent="0.4">
      <c r="A427" s="23" t="s">
        <v>1311</v>
      </c>
      <c r="B427" t="s">
        <v>26</v>
      </c>
      <c r="C427" s="23" t="s">
        <v>167</v>
      </c>
      <c r="D427" s="23" t="s">
        <v>22772</v>
      </c>
      <c r="E427" s="23" t="s">
        <v>60</v>
      </c>
      <c r="F427" s="25" t="s">
        <v>1312</v>
      </c>
      <c r="G427" t="s">
        <v>26</v>
      </c>
      <c r="H427" t="s">
        <v>26</v>
      </c>
      <c r="I427" s="24">
        <v>42005</v>
      </c>
      <c r="J427" s="25" t="s">
        <v>77</v>
      </c>
      <c r="K427" t="s">
        <v>26</v>
      </c>
      <c r="L427" s="25" t="s">
        <v>68</v>
      </c>
      <c r="M427" s="24">
        <v>42005</v>
      </c>
      <c r="N427" s="25" t="s">
        <v>77</v>
      </c>
      <c r="O427" t="s">
        <v>26</v>
      </c>
      <c r="P427" s="24">
        <v>42005</v>
      </c>
      <c r="Q427" s="25" t="s">
        <v>77</v>
      </c>
      <c r="R427" t="s">
        <v>26</v>
      </c>
      <c r="S427" t="s">
        <v>26</v>
      </c>
      <c r="T427" t="s">
        <v>26</v>
      </c>
      <c r="U427" t="s">
        <v>26</v>
      </c>
      <c r="V427" s="25">
        <v>365</v>
      </c>
      <c r="W427" s="24">
        <v>42005</v>
      </c>
      <c r="X427" s="25" t="s">
        <v>77</v>
      </c>
      <c r="Y427" t="s">
        <v>26</v>
      </c>
      <c r="Z427" s="24">
        <v>42005</v>
      </c>
      <c r="AA427" s="25" t="s">
        <v>77</v>
      </c>
      <c r="AB427" t="s">
        <v>26</v>
      </c>
      <c r="AC427" s="24">
        <v>42005</v>
      </c>
      <c r="AD427" s="25" t="s">
        <v>77</v>
      </c>
      <c r="AE427" t="s">
        <v>26</v>
      </c>
      <c r="AF427" t="s">
        <v>26</v>
      </c>
      <c r="AG427" t="s">
        <v>26</v>
      </c>
      <c r="AH427" t="s">
        <v>26</v>
      </c>
      <c r="AI427" t="s">
        <v>26</v>
      </c>
      <c r="AJ427" t="s">
        <v>26</v>
      </c>
      <c r="AK427" t="s">
        <v>26</v>
      </c>
      <c r="AL427" t="s">
        <v>26</v>
      </c>
      <c r="AM427" t="s">
        <v>26</v>
      </c>
      <c r="AN427" t="s">
        <v>26</v>
      </c>
      <c r="AO427" s="25" t="s">
        <v>68</v>
      </c>
      <c r="AP427" s="23" t="s">
        <v>69</v>
      </c>
      <c r="AQ427" s="23" t="s">
        <v>30</v>
      </c>
      <c r="AR427" s="23" t="s">
        <v>70</v>
      </c>
      <c r="AS427" s="25">
        <v>5515555</v>
      </c>
      <c r="AT427" t="s">
        <v>26</v>
      </c>
      <c r="AU427" t="s">
        <v>22773</v>
      </c>
    </row>
    <row r="428" spans="1:47" ht="26.25" x14ac:dyDescent="0.4">
      <c r="A428" s="23" t="s">
        <v>1313</v>
      </c>
      <c r="B428" t="s">
        <v>26</v>
      </c>
      <c r="C428" s="23" t="s">
        <v>107</v>
      </c>
      <c r="D428" s="23" t="s">
        <v>22756</v>
      </c>
      <c r="E428" s="23" t="s">
        <v>42</v>
      </c>
      <c r="F428" s="25" t="s">
        <v>1314</v>
      </c>
      <c r="G428" s="25" t="s">
        <v>1315</v>
      </c>
      <c r="H428" t="s">
        <v>26</v>
      </c>
      <c r="I428" s="24">
        <v>12298</v>
      </c>
      <c r="J428" s="24">
        <v>43009</v>
      </c>
      <c r="K428" t="s">
        <v>26</v>
      </c>
      <c r="L428" s="25" t="s">
        <v>68</v>
      </c>
      <c r="M428" s="24">
        <v>12754</v>
      </c>
      <c r="N428" s="24">
        <v>43009</v>
      </c>
      <c r="O428" s="25" t="s">
        <v>22774</v>
      </c>
      <c r="P428" s="24">
        <v>12298</v>
      </c>
      <c r="Q428" s="24">
        <v>43009</v>
      </c>
      <c r="R428" t="s">
        <v>26</v>
      </c>
      <c r="S428" t="s">
        <v>26</v>
      </c>
      <c r="T428" t="s">
        <v>26</v>
      </c>
      <c r="U428" t="s">
        <v>26</v>
      </c>
      <c r="V428" t="s">
        <v>26</v>
      </c>
      <c r="W428" s="24">
        <v>12298</v>
      </c>
      <c r="X428" s="24">
        <v>43009</v>
      </c>
      <c r="Y428" t="s">
        <v>26</v>
      </c>
      <c r="Z428" s="24">
        <v>12298</v>
      </c>
      <c r="AA428" s="24">
        <v>43009</v>
      </c>
      <c r="AB428" t="s">
        <v>26</v>
      </c>
      <c r="AC428" s="24">
        <v>12754</v>
      </c>
      <c r="AD428" s="24">
        <v>43009</v>
      </c>
      <c r="AE428" s="25" t="s">
        <v>22775</v>
      </c>
      <c r="AF428" t="s">
        <v>26</v>
      </c>
      <c r="AG428" t="s">
        <v>26</v>
      </c>
      <c r="AH428" t="s">
        <v>26</v>
      </c>
      <c r="AI428" t="s">
        <v>26</v>
      </c>
      <c r="AJ428" t="s">
        <v>26</v>
      </c>
      <c r="AK428" t="s">
        <v>26</v>
      </c>
      <c r="AL428" t="s">
        <v>26</v>
      </c>
      <c r="AM428" t="s">
        <v>26</v>
      </c>
      <c r="AN428" t="s">
        <v>26</v>
      </c>
      <c r="AO428" s="25" t="s">
        <v>68</v>
      </c>
      <c r="AP428" s="23" t="s">
        <v>69</v>
      </c>
      <c r="AQ428" s="23" t="s">
        <v>30</v>
      </c>
      <c r="AR428" s="23" t="s">
        <v>277</v>
      </c>
      <c r="AS428" s="25">
        <v>37339</v>
      </c>
      <c r="AT428" t="s">
        <v>26</v>
      </c>
      <c r="AU428" t="s">
        <v>22776</v>
      </c>
    </row>
    <row r="429" spans="1:47" ht="26.25" x14ac:dyDescent="0.4">
      <c r="A429" s="23" t="s">
        <v>1316</v>
      </c>
      <c r="B429" t="s">
        <v>26</v>
      </c>
      <c r="C429" s="23" t="s">
        <v>107</v>
      </c>
      <c r="D429" t="s">
        <v>26</v>
      </c>
      <c r="E429" s="23" t="s">
        <v>42</v>
      </c>
      <c r="F429" s="25" t="s">
        <v>1317</v>
      </c>
      <c r="G429" s="25" t="s">
        <v>1318</v>
      </c>
      <c r="H429" t="s">
        <v>26</v>
      </c>
      <c r="I429" s="24">
        <v>38231</v>
      </c>
      <c r="J429" s="24">
        <v>42705</v>
      </c>
      <c r="K429" t="s">
        <v>26</v>
      </c>
      <c r="L429" s="25" t="s">
        <v>68</v>
      </c>
      <c r="M429" s="24">
        <v>38231</v>
      </c>
      <c r="N429" s="24">
        <v>42705</v>
      </c>
      <c r="O429" t="s">
        <v>26</v>
      </c>
      <c r="P429" s="24">
        <v>38231</v>
      </c>
      <c r="Q429" s="24">
        <v>42705</v>
      </c>
      <c r="R429" t="s">
        <v>26</v>
      </c>
      <c r="S429" t="s">
        <v>26</v>
      </c>
      <c r="T429" t="s">
        <v>26</v>
      </c>
      <c r="U429" t="s">
        <v>26</v>
      </c>
      <c r="V429" t="s">
        <v>26</v>
      </c>
      <c r="W429" s="24">
        <v>20455</v>
      </c>
      <c r="X429" s="25" t="s">
        <v>77</v>
      </c>
      <c r="Y429" t="s">
        <v>26</v>
      </c>
      <c r="Z429" s="24">
        <v>20455</v>
      </c>
      <c r="AA429" s="25" t="s">
        <v>77</v>
      </c>
      <c r="AB429" t="s">
        <v>26</v>
      </c>
      <c r="AC429" s="24">
        <v>20455</v>
      </c>
      <c r="AD429" s="25" t="s">
        <v>77</v>
      </c>
      <c r="AE429" t="s">
        <v>26</v>
      </c>
      <c r="AF429" t="s">
        <v>26</v>
      </c>
      <c r="AG429" t="s">
        <v>26</v>
      </c>
      <c r="AH429" t="s">
        <v>26</v>
      </c>
      <c r="AI429" t="s">
        <v>26</v>
      </c>
      <c r="AJ429" t="s">
        <v>26</v>
      </c>
      <c r="AK429" t="s">
        <v>26</v>
      </c>
      <c r="AL429" t="s">
        <v>26</v>
      </c>
      <c r="AM429" t="s">
        <v>26</v>
      </c>
      <c r="AN429" t="s">
        <v>26</v>
      </c>
      <c r="AO429" s="25" t="s">
        <v>68</v>
      </c>
      <c r="AP429" s="23" t="s">
        <v>69</v>
      </c>
      <c r="AQ429" s="23" t="s">
        <v>30</v>
      </c>
      <c r="AR429" s="23" t="s">
        <v>70</v>
      </c>
      <c r="AS429" s="25">
        <v>35547</v>
      </c>
      <c r="AT429" t="s">
        <v>26</v>
      </c>
      <c r="AU429" t="s">
        <v>22777</v>
      </c>
    </row>
    <row r="430" spans="1:47" ht="26.25" x14ac:dyDescent="0.4">
      <c r="A430" s="23" t="s">
        <v>1319</v>
      </c>
      <c r="B430" t="s">
        <v>26</v>
      </c>
      <c r="C430" s="23" t="s">
        <v>1320</v>
      </c>
      <c r="D430" s="23" t="s">
        <v>22778</v>
      </c>
      <c r="E430" s="23" t="s">
        <v>335</v>
      </c>
      <c r="F430" s="25" t="s">
        <v>1321</v>
      </c>
      <c r="G430" t="s">
        <v>26</v>
      </c>
      <c r="H430" t="s">
        <v>26</v>
      </c>
      <c r="I430" s="24">
        <v>34060</v>
      </c>
      <c r="J430" s="24">
        <v>40634</v>
      </c>
      <c r="K430" t="s">
        <v>26</v>
      </c>
      <c r="L430" s="25" t="s">
        <v>68</v>
      </c>
      <c r="M430" s="24">
        <v>34060</v>
      </c>
      <c r="N430" s="24">
        <v>40634</v>
      </c>
      <c r="O430" t="s">
        <v>26</v>
      </c>
      <c r="P430" s="24">
        <v>34060</v>
      </c>
      <c r="Q430" s="24">
        <v>40634</v>
      </c>
      <c r="R430" t="s">
        <v>26</v>
      </c>
      <c r="S430" t="s">
        <v>26</v>
      </c>
      <c r="T430" t="s">
        <v>26</v>
      </c>
      <c r="U430" t="s">
        <v>26</v>
      </c>
      <c r="V430" t="s">
        <v>26</v>
      </c>
      <c r="W430" s="24">
        <v>34060</v>
      </c>
      <c r="X430" s="25" t="s">
        <v>77</v>
      </c>
      <c r="Y430" t="s">
        <v>26</v>
      </c>
      <c r="Z430" s="24">
        <v>34060</v>
      </c>
      <c r="AA430" s="25" t="s">
        <v>77</v>
      </c>
      <c r="AB430" t="s">
        <v>26</v>
      </c>
      <c r="AC430" s="24">
        <v>38808</v>
      </c>
      <c r="AD430" s="25" t="s">
        <v>77</v>
      </c>
      <c r="AE430" t="s">
        <v>26</v>
      </c>
      <c r="AF430" t="s">
        <v>26</v>
      </c>
      <c r="AG430" t="s">
        <v>26</v>
      </c>
      <c r="AH430" t="s">
        <v>26</v>
      </c>
      <c r="AI430" t="s">
        <v>26</v>
      </c>
      <c r="AJ430" t="s">
        <v>26</v>
      </c>
      <c r="AK430" t="s">
        <v>26</v>
      </c>
      <c r="AL430" t="s">
        <v>26</v>
      </c>
      <c r="AM430" t="s">
        <v>26</v>
      </c>
      <c r="AN430" t="s">
        <v>26</v>
      </c>
      <c r="AO430" s="25" t="s">
        <v>68</v>
      </c>
      <c r="AP430" s="23" t="s">
        <v>69</v>
      </c>
      <c r="AQ430" s="23" t="s">
        <v>30</v>
      </c>
      <c r="AR430" s="23" t="s">
        <v>70</v>
      </c>
      <c r="AS430" s="25">
        <v>44050</v>
      </c>
      <c r="AT430" t="s">
        <v>26</v>
      </c>
      <c r="AU430" t="s">
        <v>22779</v>
      </c>
    </row>
    <row r="431" spans="1:47" ht="26.25" x14ac:dyDescent="0.4">
      <c r="A431" s="23" t="s">
        <v>1322</v>
      </c>
      <c r="B431" t="s">
        <v>26</v>
      </c>
      <c r="C431" s="23" t="s">
        <v>107</v>
      </c>
      <c r="D431" s="23" t="s">
        <v>22539</v>
      </c>
      <c r="E431" s="23" t="s">
        <v>42</v>
      </c>
      <c r="F431" s="25" t="s">
        <v>1323</v>
      </c>
      <c r="G431" s="25" t="s">
        <v>1324</v>
      </c>
      <c r="H431" t="s">
        <v>26</v>
      </c>
      <c r="I431" s="24">
        <v>35704</v>
      </c>
      <c r="J431" s="24">
        <v>42979</v>
      </c>
      <c r="K431" t="s">
        <v>26</v>
      </c>
      <c r="L431" s="25" t="s">
        <v>68</v>
      </c>
      <c r="M431" s="24">
        <v>35704</v>
      </c>
      <c r="N431" s="24">
        <v>42979</v>
      </c>
      <c r="O431" t="s">
        <v>26</v>
      </c>
      <c r="P431" s="24">
        <v>37622</v>
      </c>
      <c r="Q431" s="24">
        <v>42979</v>
      </c>
      <c r="R431" t="s">
        <v>26</v>
      </c>
      <c r="S431" t="s">
        <v>26</v>
      </c>
      <c r="T431" t="s">
        <v>26</v>
      </c>
      <c r="U431" t="s">
        <v>26</v>
      </c>
      <c r="V431" t="s">
        <v>26</v>
      </c>
      <c r="W431" s="24">
        <v>31868</v>
      </c>
      <c r="X431" s="25" t="s">
        <v>77</v>
      </c>
      <c r="Y431" t="s">
        <v>26</v>
      </c>
      <c r="Z431" s="24">
        <v>31868</v>
      </c>
      <c r="AA431" s="25" t="s">
        <v>77</v>
      </c>
      <c r="AB431" t="s">
        <v>26</v>
      </c>
      <c r="AC431" s="24">
        <v>35796</v>
      </c>
      <c r="AD431" s="25" t="s">
        <v>77</v>
      </c>
      <c r="AE431" s="25" t="s">
        <v>22780</v>
      </c>
      <c r="AF431" t="s">
        <v>26</v>
      </c>
      <c r="AG431" t="s">
        <v>26</v>
      </c>
      <c r="AH431" t="s">
        <v>26</v>
      </c>
      <c r="AI431" t="s">
        <v>26</v>
      </c>
      <c r="AJ431" t="s">
        <v>26</v>
      </c>
      <c r="AK431" t="s">
        <v>26</v>
      </c>
      <c r="AL431" t="s">
        <v>26</v>
      </c>
      <c r="AM431" t="s">
        <v>26</v>
      </c>
      <c r="AN431" t="s">
        <v>26</v>
      </c>
      <c r="AO431" s="25" t="s">
        <v>68</v>
      </c>
      <c r="AP431" s="23" t="s">
        <v>69</v>
      </c>
      <c r="AQ431" s="23" t="s">
        <v>30</v>
      </c>
      <c r="AR431" s="23" t="s">
        <v>123</v>
      </c>
      <c r="AS431" s="25">
        <v>46521</v>
      </c>
      <c r="AT431" t="s">
        <v>26</v>
      </c>
      <c r="AU431" t="s">
        <v>22781</v>
      </c>
    </row>
    <row r="432" spans="1:47" ht="39.4" x14ac:dyDescent="0.4">
      <c r="A432" s="23" t="s">
        <v>1325</v>
      </c>
      <c r="B432" t="s">
        <v>26</v>
      </c>
      <c r="C432" s="23" t="s">
        <v>1326</v>
      </c>
      <c r="D432" s="23" t="s">
        <v>22539</v>
      </c>
      <c r="E432" t="s">
        <v>26</v>
      </c>
      <c r="F432" s="25" t="s">
        <v>1327</v>
      </c>
      <c r="G432" t="s">
        <v>26</v>
      </c>
      <c r="H432" t="s">
        <v>26</v>
      </c>
      <c r="I432" t="s">
        <v>26</v>
      </c>
      <c r="J432" t="s">
        <v>26</v>
      </c>
      <c r="K432" t="s">
        <v>26</v>
      </c>
      <c r="L432" s="25" t="s">
        <v>68</v>
      </c>
      <c r="M432" t="s">
        <v>26</v>
      </c>
      <c r="N432" t="s">
        <v>26</v>
      </c>
      <c r="O432" t="s">
        <v>26</v>
      </c>
      <c r="P432" t="s">
        <v>26</v>
      </c>
      <c r="Q432" t="s">
        <v>26</v>
      </c>
      <c r="R432" t="s">
        <v>26</v>
      </c>
      <c r="S432" t="s">
        <v>26</v>
      </c>
      <c r="T432" t="s">
        <v>26</v>
      </c>
      <c r="U432" t="s">
        <v>26</v>
      </c>
      <c r="V432" t="s">
        <v>26</v>
      </c>
      <c r="W432" s="24">
        <v>33604</v>
      </c>
      <c r="X432" s="24">
        <v>34700</v>
      </c>
      <c r="Y432" s="25" t="s">
        <v>1328</v>
      </c>
      <c r="Z432" s="24">
        <v>33604</v>
      </c>
      <c r="AA432" s="24">
        <v>34700</v>
      </c>
      <c r="AB432" s="25" t="s">
        <v>1328</v>
      </c>
      <c r="AC432" t="s">
        <v>26</v>
      </c>
      <c r="AD432" t="s">
        <v>26</v>
      </c>
      <c r="AE432" t="s">
        <v>26</v>
      </c>
      <c r="AF432" t="s">
        <v>26</v>
      </c>
      <c r="AG432" t="s">
        <v>26</v>
      </c>
      <c r="AH432" t="s">
        <v>26</v>
      </c>
      <c r="AI432" t="s">
        <v>26</v>
      </c>
      <c r="AJ432" t="s">
        <v>26</v>
      </c>
      <c r="AK432" t="s">
        <v>26</v>
      </c>
      <c r="AL432" t="s">
        <v>26</v>
      </c>
      <c r="AM432" t="s">
        <v>26</v>
      </c>
      <c r="AN432" t="s">
        <v>26</v>
      </c>
      <c r="AO432" s="25" t="s">
        <v>28</v>
      </c>
      <c r="AP432" s="23" t="s">
        <v>69</v>
      </c>
      <c r="AQ432" s="23" t="s">
        <v>30</v>
      </c>
      <c r="AR432" s="23" t="s">
        <v>569</v>
      </c>
      <c r="AS432" s="25">
        <v>43662</v>
      </c>
      <c r="AT432" t="s">
        <v>26</v>
      </c>
      <c r="AU432" t="s">
        <v>22782</v>
      </c>
    </row>
    <row r="433" spans="1:47" ht="26.25" x14ac:dyDescent="0.4">
      <c r="A433" s="23" t="s">
        <v>1329</v>
      </c>
      <c r="B433" t="s">
        <v>26</v>
      </c>
      <c r="C433" s="23" t="s">
        <v>167</v>
      </c>
      <c r="D433" s="23" t="s">
        <v>22634</v>
      </c>
      <c r="E433" s="23" t="s">
        <v>60</v>
      </c>
      <c r="F433" s="25" t="s">
        <v>1330</v>
      </c>
      <c r="G433" s="25" t="s">
        <v>1331</v>
      </c>
      <c r="H433" t="s">
        <v>26</v>
      </c>
      <c r="I433" s="24">
        <v>39873</v>
      </c>
      <c r="J433" s="25" t="s">
        <v>77</v>
      </c>
      <c r="K433" t="s">
        <v>26</v>
      </c>
      <c r="L433" s="25" t="s">
        <v>68</v>
      </c>
      <c r="M433" s="24">
        <v>39873</v>
      </c>
      <c r="N433" s="25" t="s">
        <v>77</v>
      </c>
      <c r="O433" t="s">
        <v>26</v>
      </c>
      <c r="P433" s="24">
        <v>39873</v>
      </c>
      <c r="Q433" s="25" t="s">
        <v>77</v>
      </c>
      <c r="R433" t="s">
        <v>26</v>
      </c>
      <c r="S433" t="s">
        <v>26</v>
      </c>
      <c r="T433" t="s">
        <v>26</v>
      </c>
      <c r="U433" t="s">
        <v>26</v>
      </c>
      <c r="V433" s="25">
        <v>365</v>
      </c>
      <c r="W433" s="24">
        <v>31868</v>
      </c>
      <c r="X433" s="25" t="s">
        <v>77</v>
      </c>
      <c r="Y433" t="s">
        <v>26</v>
      </c>
      <c r="Z433" s="24">
        <v>31868</v>
      </c>
      <c r="AA433" s="25" t="s">
        <v>77</v>
      </c>
      <c r="AB433" t="s">
        <v>26</v>
      </c>
      <c r="AC433" s="24">
        <v>38078</v>
      </c>
      <c r="AD433" s="25" t="s">
        <v>77</v>
      </c>
      <c r="AE433" t="s">
        <v>26</v>
      </c>
      <c r="AF433" t="s">
        <v>26</v>
      </c>
      <c r="AG433" t="s">
        <v>26</v>
      </c>
      <c r="AH433" t="s">
        <v>26</v>
      </c>
      <c r="AI433" t="s">
        <v>26</v>
      </c>
      <c r="AJ433" t="s">
        <v>26</v>
      </c>
      <c r="AK433" t="s">
        <v>26</v>
      </c>
      <c r="AL433" t="s">
        <v>26</v>
      </c>
      <c r="AM433" t="s">
        <v>26</v>
      </c>
      <c r="AN433" t="s">
        <v>26</v>
      </c>
      <c r="AO433" s="25" t="s">
        <v>68</v>
      </c>
      <c r="AP433" s="23" t="s">
        <v>69</v>
      </c>
      <c r="AQ433" s="23" t="s">
        <v>30</v>
      </c>
      <c r="AR433" s="23" t="s">
        <v>1332</v>
      </c>
      <c r="AS433" s="25">
        <v>32817</v>
      </c>
      <c r="AT433" t="s">
        <v>26</v>
      </c>
      <c r="AU433" t="s">
        <v>22783</v>
      </c>
    </row>
    <row r="434" spans="1:47" ht="26.25" x14ac:dyDescent="0.4">
      <c r="A434" s="23" t="s">
        <v>1333</v>
      </c>
      <c r="B434" t="s">
        <v>26</v>
      </c>
      <c r="C434" s="23" t="s">
        <v>1334</v>
      </c>
      <c r="D434" s="23" t="s">
        <v>22756</v>
      </c>
      <c r="E434" s="23" t="s">
        <v>335</v>
      </c>
      <c r="F434" s="25" t="s">
        <v>1335</v>
      </c>
      <c r="G434" s="25" t="s">
        <v>1336</v>
      </c>
      <c r="H434" t="s">
        <v>26</v>
      </c>
      <c r="I434" s="24">
        <v>35431</v>
      </c>
      <c r="J434" s="25" t="s">
        <v>77</v>
      </c>
      <c r="K434" t="s">
        <v>26</v>
      </c>
      <c r="L434" s="25" t="s">
        <v>68</v>
      </c>
      <c r="M434" s="24">
        <v>35431</v>
      </c>
      <c r="N434" s="25" t="s">
        <v>77</v>
      </c>
      <c r="O434" t="s">
        <v>26</v>
      </c>
      <c r="P434" s="24">
        <v>35504</v>
      </c>
      <c r="Q434" s="25" t="s">
        <v>77</v>
      </c>
      <c r="R434" t="s">
        <v>26</v>
      </c>
      <c r="S434" t="s">
        <v>26</v>
      </c>
      <c r="T434" t="s">
        <v>26</v>
      </c>
      <c r="U434" t="s">
        <v>26</v>
      </c>
      <c r="V434" t="s">
        <v>26</v>
      </c>
      <c r="W434" s="24">
        <v>32509</v>
      </c>
      <c r="X434" s="25" t="s">
        <v>77</v>
      </c>
      <c r="Y434" t="s">
        <v>26</v>
      </c>
      <c r="Z434" s="24">
        <v>32509</v>
      </c>
      <c r="AA434" s="25" t="s">
        <v>77</v>
      </c>
      <c r="AB434" t="s">
        <v>26</v>
      </c>
      <c r="AC434" s="24">
        <v>35431</v>
      </c>
      <c r="AD434" s="25" t="s">
        <v>77</v>
      </c>
      <c r="AE434" t="s">
        <v>26</v>
      </c>
      <c r="AF434" t="s">
        <v>26</v>
      </c>
      <c r="AG434" t="s">
        <v>26</v>
      </c>
      <c r="AH434" t="s">
        <v>26</v>
      </c>
      <c r="AI434" t="s">
        <v>26</v>
      </c>
      <c r="AJ434" t="s">
        <v>26</v>
      </c>
      <c r="AK434" t="s">
        <v>26</v>
      </c>
      <c r="AL434" t="s">
        <v>26</v>
      </c>
      <c r="AM434" t="s">
        <v>26</v>
      </c>
      <c r="AN434" t="s">
        <v>26</v>
      </c>
      <c r="AO434" s="25" t="s">
        <v>68</v>
      </c>
      <c r="AP434" s="23" t="s">
        <v>69</v>
      </c>
      <c r="AQ434" s="23" t="s">
        <v>30</v>
      </c>
      <c r="AR434" s="23" t="s">
        <v>277</v>
      </c>
      <c r="AS434" s="25">
        <v>41339</v>
      </c>
      <c r="AT434" t="s">
        <v>26</v>
      </c>
      <c r="AU434" t="s">
        <v>22784</v>
      </c>
    </row>
    <row r="435" spans="1:47" ht="26.25" x14ac:dyDescent="0.4">
      <c r="A435" s="23" t="s">
        <v>1337</v>
      </c>
      <c r="B435" t="s">
        <v>26</v>
      </c>
      <c r="C435" s="23" t="s">
        <v>1275</v>
      </c>
      <c r="D435" s="23" t="s">
        <v>22756</v>
      </c>
      <c r="E435" s="23" t="s">
        <v>335</v>
      </c>
      <c r="F435" s="25" t="s">
        <v>1338</v>
      </c>
      <c r="G435" s="25" t="s">
        <v>1339</v>
      </c>
      <c r="H435" t="s">
        <v>26</v>
      </c>
      <c r="I435" s="24">
        <v>33970</v>
      </c>
      <c r="J435" s="25" t="s">
        <v>77</v>
      </c>
      <c r="K435" t="s">
        <v>26</v>
      </c>
      <c r="L435" s="25" t="s">
        <v>68</v>
      </c>
      <c r="M435" s="24">
        <v>33970</v>
      </c>
      <c r="N435" s="25" t="s">
        <v>77</v>
      </c>
      <c r="O435" t="s">
        <v>26</v>
      </c>
      <c r="P435" s="24">
        <v>36647</v>
      </c>
      <c r="Q435" s="25" t="s">
        <v>77</v>
      </c>
      <c r="R435" t="s">
        <v>26</v>
      </c>
      <c r="S435" t="s">
        <v>26</v>
      </c>
      <c r="T435" t="s">
        <v>26</v>
      </c>
      <c r="U435" t="s">
        <v>26</v>
      </c>
      <c r="V435" t="s">
        <v>26</v>
      </c>
      <c r="W435" s="24">
        <v>31594</v>
      </c>
      <c r="X435" s="25" t="s">
        <v>77</v>
      </c>
      <c r="Y435" t="s">
        <v>26</v>
      </c>
      <c r="Z435" s="24">
        <v>31594</v>
      </c>
      <c r="AA435" s="25" t="s">
        <v>77</v>
      </c>
      <c r="AB435" t="s">
        <v>26</v>
      </c>
      <c r="AC435" s="24">
        <v>33970</v>
      </c>
      <c r="AD435" s="25" t="s">
        <v>77</v>
      </c>
      <c r="AE435" t="s">
        <v>26</v>
      </c>
      <c r="AF435" t="s">
        <v>26</v>
      </c>
      <c r="AG435" t="s">
        <v>26</v>
      </c>
      <c r="AH435" t="s">
        <v>26</v>
      </c>
      <c r="AI435" t="s">
        <v>26</v>
      </c>
      <c r="AJ435" t="s">
        <v>26</v>
      </c>
      <c r="AK435" t="s">
        <v>26</v>
      </c>
      <c r="AL435" t="s">
        <v>26</v>
      </c>
      <c r="AM435" t="s">
        <v>26</v>
      </c>
      <c r="AN435" t="s">
        <v>26</v>
      </c>
      <c r="AO435" s="25" t="s">
        <v>68</v>
      </c>
      <c r="AP435" s="23" t="s">
        <v>69</v>
      </c>
      <c r="AQ435" s="23" t="s">
        <v>30</v>
      </c>
      <c r="AR435" s="23" t="s">
        <v>46</v>
      </c>
      <c r="AS435" s="25">
        <v>41992</v>
      </c>
      <c r="AT435" t="s">
        <v>26</v>
      </c>
      <c r="AU435" t="s">
        <v>22785</v>
      </c>
    </row>
    <row r="436" spans="1:47" ht="52.5" x14ac:dyDescent="0.4">
      <c r="A436" s="23" t="s">
        <v>1340</v>
      </c>
      <c r="B436" t="s">
        <v>26</v>
      </c>
      <c r="C436" s="23" t="s">
        <v>1341</v>
      </c>
      <c r="D436" s="23" t="s">
        <v>22451</v>
      </c>
      <c r="E436" s="23" t="s">
        <v>335</v>
      </c>
      <c r="F436" s="25" t="s">
        <v>1342</v>
      </c>
      <c r="G436" s="25" t="s">
        <v>1343</v>
      </c>
      <c r="H436" t="s">
        <v>26</v>
      </c>
      <c r="I436" s="24">
        <v>33635</v>
      </c>
      <c r="J436" s="24">
        <v>39753</v>
      </c>
      <c r="K436" t="s">
        <v>26</v>
      </c>
      <c r="L436" s="25" t="s">
        <v>68</v>
      </c>
      <c r="M436" s="24">
        <v>36100</v>
      </c>
      <c r="N436" s="24">
        <v>39753</v>
      </c>
      <c r="O436" t="s">
        <v>26</v>
      </c>
      <c r="P436" s="24">
        <v>33635</v>
      </c>
      <c r="Q436" s="24">
        <v>39753</v>
      </c>
      <c r="R436" t="s">
        <v>26</v>
      </c>
      <c r="S436" t="s">
        <v>26</v>
      </c>
      <c r="T436" t="s">
        <v>26</v>
      </c>
      <c r="U436" t="s">
        <v>26</v>
      </c>
      <c r="V436" t="s">
        <v>26</v>
      </c>
      <c r="W436" s="24">
        <v>31444</v>
      </c>
      <c r="X436" s="25" t="s">
        <v>77</v>
      </c>
      <c r="Y436" t="s">
        <v>26</v>
      </c>
      <c r="Z436" s="24">
        <v>31444</v>
      </c>
      <c r="AA436" s="25" t="s">
        <v>77</v>
      </c>
      <c r="AB436" t="s">
        <v>26</v>
      </c>
      <c r="AC436" s="24">
        <v>32540</v>
      </c>
      <c r="AD436" s="25" t="s">
        <v>77</v>
      </c>
      <c r="AE436" t="s">
        <v>26</v>
      </c>
      <c r="AF436" t="s">
        <v>26</v>
      </c>
      <c r="AG436" t="s">
        <v>26</v>
      </c>
      <c r="AH436" t="s">
        <v>26</v>
      </c>
      <c r="AI436" t="s">
        <v>26</v>
      </c>
      <c r="AJ436" t="s">
        <v>26</v>
      </c>
      <c r="AK436" t="s">
        <v>26</v>
      </c>
      <c r="AL436" t="s">
        <v>26</v>
      </c>
      <c r="AM436" t="s">
        <v>26</v>
      </c>
      <c r="AN436" t="s">
        <v>26</v>
      </c>
      <c r="AO436" s="25" t="s">
        <v>68</v>
      </c>
      <c r="AP436" s="23" t="s">
        <v>69</v>
      </c>
      <c r="AQ436" s="23" t="s">
        <v>620</v>
      </c>
      <c r="AR436" s="23" t="s">
        <v>1344</v>
      </c>
      <c r="AS436" s="25">
        <v>39159</v>
      </c>
      <c r="AT436" t="s">
        <v>26</v>
      </c>
      <c r="AU436" t="s">
        <v>22786</v>
      </c>
    </row>
    <row r="437" spans="1:47" ht="26.25" x14ac:dyDescent="0.4">
      <c r="A437" s="23" t="s">
        <v>1345</v>
      </c>
      <c r="B437" t="s">
        <v>26</v>
      </c>
      <c r="C437" s="23" t="s">
        <v>334</v>
      </c>
      <c r="D437" s="23" t="s">
        <v>22303</v>
      </c>
      <c r="E437" s="23" t="s">
        <v>335</v>
      </c>
      <c r="F437" s="25" t="s">
        <v>1346</v>
      </c>
      <c r="G437" t="s">
        <v>26</v>
      </c>
      <c r="H437" t="s">
        <v>26</v>
      </c>
      <c r="I437" s="24">
        <v>42644</v>
      </c>
      <c r="J437" s="24">
        <v>42644</v>
      </c>
      <c r="K437" t="s">
        <v>26</v>
      </c>
      <c r="L437" s="25" t="s">
        <v>68</v>
      </c>
      <c r="M437" s="24">
        <v>42644</v>
      </c>
      <c r="N437" s="24">
        <v>42644</v>
      </c>
      <c r="O437" t="s">
        <v>26</v>
      </c>
      <c r="P437" s="24">
        <v>42644</v>
      </c>
      <c r="Q437" s="24">
        <v>42644</v>
      </c>
      <c r="R437" t="s">
        <v>26</v>
      </c>
      <c r="S437" t="s">
        <v>26</v>
      </c>
      <c r="T437" t="s">
        <v>26</v>
      </c>
      <c r="U437" t="s">
        <v>26</v>
      </c>
      <c r="V437" t="s">
        <v>26</v>
      </c>
      <c r="W437" s="24">
        <v>42644</v>
      </c>
      <c r="X437" s="24">
        <v>42644</v>
      </c>
      <c r="Y437" t="s">
        <v>26</v>
      </c>
      <c r="Z437" s="24">
        <v>42644</v>
      </c>
      <c r="AA437" s="24">
        <v>42644</v>
      </c>
      <c r="AB437" t="s">
        <v>26</v>
      </c>
      <c r="AC437" s="24">
        <v>42644</v>
      </c>
      <c r="AD437" s="24">
        <v>42644</v>
      </c>
      <c r="AE437" t="s">
        <v>26</v>
      </c>
      <c r="AF437" t="s">
        <v>26</v>
      </c>
      <c r="AG437" t="s">
        <v>26</v>
      </c>
      <c r="AH437" t="s">
        <v>26</v>
      </c>
      <c r="AI437" t="s">
        <v>26</v>
      </c>
      <c r="AJ437" t="s">
        <v>26</v>
      </c>
      <c r="AK437" t="s">
        <v>26</v>
      </c>
      <c r="AL437" t="s">
        <v>26</v>
      </c>
      <c r="AM437" t="s">
        <v>26</v>
      </c>
      <c r="AN437" t="s">
        <v>26</v>
      </c>
      <c r="AO437" s="25" t="s">
        <v>68</v>
      </c>
      <c r="AP437" s="23" t="s">
        <v>69</v>
      </c>
      <c r="AQ437" s="23" t="s">
        <v>30</v>
      </c>
      <c r="AR437" s="23" t="s">
        <v>123</v>
      </c>
      <c r="AS437" s="25">
        <v>2045973</v>
      </c>
      <c r="AT437" t="s">
        <v>26</v>
      </c>
      <c r="AU437" t="s">
        <v>22787</v>
      </c>
    </row>
    <row r="438" spans="1:47" ht="26.25" x14ac:dyDescent="0.4">
      <c r="A438" s="23" t="s">
        <v>1347</v>
      </c>
      <c r="B438" t="s">
        <v>26</v>
      </c>
      <c r="C438" s="23" t="s">
        <v>341</v>
      </c>
      <c r="D438" s="23" t="s">
        <v>22788</v>
      </c>
      <c r="E438" s="23" t="s">
        <v>60</v>
      </c>
      <c r="F438" s="25" t="s">
        <v>1348</v>
      </c>
      <c r="G438" s="25" t="s">
        <v>1349</v>
      </c>
      <c r="H438" t="s">
        <v>26</v>
      </c>
      <c r="I438" t="s">
        <v>26</v>
      </c>
      <c r="J438" t="s">
        <v>26</v>
      </c>
      <c r="K438" t="s">
        <v>26</v>
      </c>
      <c r="L438" s="25" t="s">
        <v>68</v>
      </c>
      <c r="M438" t="s">
        <v>26</v>
      </c>
      <c r="N438" t="s">
        <v>26</v>
      </c>
      <c r="O438" t="s">
        <v>26</v>
      </c>
      <c r="P438" t="s">
        <v>26</v>
      </c>
      <c r="Q438" t="s">
        <v>26</v>
      </c>
      <c r="R438" t="s">
        <v>26</v>
      </c>
      <c r="S438" t="s">
        <v>26</v>
      </c>
      <c r="T438" t="s">
        <v>26</v>
      </c>
      <c r="U438" t="s">
        <v>26</v>
      </c>
      <c r="V438" t="s">
        <v>26</v>
      </c>
      <c r="W438" s="24">
        <v>36283</v>
      </c>
      <c r="X438" s="24">
        <v>44954</v>
      </c>
      <c r="Y438" s="25" t="s">
        <v>604</v>
      </c>
      <c r="Z438" s="24">
        <v>36283</v>
      </c>
      <c r="AA438" s="24">
        <v>44954</v>
      </c>
      <c r="AB438" s="25" t="s">
        <v>604</v>
      </c>
      <c r="AC438" s="24">
        <v>36283</v>
      </c>
      <c r="AD438" s="24">
        <v>44193</v>
      </c>
      <c r="AE438" s="25" t="s">
        <v>604</v>
      </c>
      <c r="AF438" t="s">
        <v>26</v>
      </c>
      <c r="AG438" t="s">
        <v>26</v>
      </c>
      <c r="AH438" t="s">
        <v>26</v>
      </c>
      <c r="AI438" t="s">
        <v>26</v>
      </c>
      <c r="AJ438" t="s">
        <v>26</v>
      </c>
      <c r="AK438" t="s">
        <v>26</v>
      </c>
      <c r="AL438" t="s">
        <v>26</v>
      </c>
      <c r="AM438" t="s">
        <v>26</v>
      </c>
      <c r="AN438" t="s">
        <v>26</v>
      </c>
      <c r="AO438" s="25" t="s">
        <v>68</v>
      </c>
      <c r="AP438" s="23" t="s">
        <v>69</v>
      </c>
      <c r="AQ438" s="23" t="s">
        <v>30</v>
      </c>
      <c r="AR438" s="23" t="s">
        <v>1350</v>
      </c>
      <c r="AS438" s="25">
        <v>2031080</v>
      </c>
      <c r="AT438" t="s">
        <v>26</v>
      </c>
      <c r="AU438" t="s">
        <v>22789</v>
      </c>
    </row>
    <row r="439" spans="1:47" ht="26.25" x14ac:dyDescent="0.4">
      <c r="A439" s="23" t="s">
        <v>1351</v>
      </c>
      <c r="B439" t="s">
        <v>26</v>
      </c>
      <c r="C439" s="23" t="s">
        <v>172</v>
      </c>
      <c r="D439" s="23" t="s">
        <v>22256</v>
      </c>
      <c r="E439" s="23" t="s">
        <v>60</v>
      </c>
      <c r="F439" s="25" t="s">
        <v>1352</v>
      </c>
      <c r="G439" s="25" t="s">
        <v>1353</v>
      </c>
      <c r="H439" t="s">
        <v>26</v>
      </c>
      <c r="I439" s="24">
        <v>34394</v>
      </c>
      <c r="J439" s="25" t="s">
        <v>77</v>
      </c>
      <c r="K439" t="s">
        <v>26</v>
      </c>
      <c r="L439" s="25" t="s">
        <v>68</v>
      </c>
      <c r="M439" s="24">
        <v>34394</v>
      </c>
      <c r="N439" s="25" t="s">
        <v>77</v>
      </c>
      <c r="O439" t="s">
        <v>26</v>
      </c>
      <c r="P439" s="24">
        <v>35217</v>
      </c>
      <c r="Q439" s="25" t="s">
        <v>77</v>
      </c>
      <c r="R439" t="s">
        <v>26</v>
      </c>
      <c r="S439" t="s">
        <v>26</v>
      </c>
      <c r="T439" t="s">
        <v>26</v>
      </c>
      <c r="U439" t="s">
        <v>26</v>
      </c>
      <c r="V439" t="s">
        <v>26</v>
      </c>
      <c r="W439" s="24">
        <v>32933</v>
      </c>
      <c r="X439" s="25" t="s">
        <v>77</v>
      </c>
      <c r="Y439" t="s">
        <v>26</v>
      </c>
      <c r="Z439" s="24">
        <v>32933</v>
      </c>
      <c r="AA439" s="25" t="s">
        <v>77</v>
      </c>
      <c r="AB439" t="s">
        <v>26</v>
      </c>
      <c r="AC439" s="24">
        <v>32933</v>
      </c>
      <c r="AD439" s="25" t="s">
        <v>77</v>
      </c>
      <c r="AE439" t="s">
        <v>26</v>
      </c>
      <c r="AF439" t="s">
        <v>26</v>
      </c>
      <c r="AG439" t="s">
        <v>26</v>
      </c>
      <c r="AH439" t="s">
        <v>26</v>
      </c>
      <c r="AI439" t="s">
        <v>26</v>
      </c>
      <c r="AJ439" t="s">
        <v>26</v>
      </c>
      <c r="AK439" t="s">
        <v>26</v>
      </c>
      <c r="AL439" t="s">
        <v>26</v>
      </c>
      <c r="AM439" t="s">
        <v>26</v>
      </c>
      <c r="AN439" t="s">
        <v>26</v>
      </c>
      <c r="AO439" s="25" t="s">
        <v>68</v>
      </c>
      <c r="AP439" s="23" t="s">
        <v>69</v>
      </c>
      <c r="AQ439" s="23" t="s">
        <v>30</v>
      </c>
      <c r="AR439" s="23" t="s">
        <v>1354</v>
      </c>
      <c r="AS439" s="25">
        <v>35120</v>
      </c>
      <c r="AT439" t="s">
        <v>26</v>
      </c>
      <c r="AU439" t="s">
        <v>22790</v>
      </c>
    </row>
    <row r="440" spans="1:47" ht="26.25" x14ac:dyDescent="0.4">
      <c r="A440" s="23" t="s">
        <v>1355</v>
      </c>
      <c r="B440" t="s">
        <v>26</v>
      </c>
      <c r="C440" s="23" t="s">
        <v>107</v>
      </c>
      <c r="D440" s="23" t="s">
        <v>22194</v>
      </c>
      <c r="E440" s="23" t="s">
        <v>42</v>
      </c>
      <c r="F440" s="25" t="s">
        <v>1356</v>
      </c>
      <c r="G440" s="25" t="s">
        <v>1357</v>
      </c>
      <c r="H440" t="s">
        <v>26</v>
      </c>
      <c r="I440" s="24">
        <v>38443</v>
      </c>
      <c r="J440" s="24">
        <v>40299</v>
      </c>
      <c r="K440" t="s">
        <v>26</v>
      </c>
      <c r="L440" s="25" t="s">
        <v>68</v>
      </c>
      <c r="M440" s="24">
        <v>38443</v>
      </c>
      <c r="N440" s="24">
        <v>39783</v>
      </c>
      <c r="O440" t="s">
        <v>26</v>
      </c>
      <c r="P440" s="24">
        <v>38443</v>
      </c>
      <c r="Q440" s="24">
        <v>40299</v>
      </c>
      <c r="R440" t="s">
        <v>26</v>
      </c>
      <c r="S440" t="s">
        <v>26</v>
      </c>
      <c r="T440" t="s">
        <v>26</v>
      </c>
      <c r="U440" t="s">
        <v>26</v>
      </c>
      <c r="V440" t="s">
        <v>26</v>
      </c>
      <c r="W440" s="24">
        <v>38443</v>
      </c>
      <c r="X440" s="25" t="s">
        <v>77</v>
      </c>
      <c r="Y440" t="s">
        <v>26</v>
      </c>
      <c r="Z440" s="24">
        <v>38443</v>
      </c>
      <c r="AA440" s="25" t="s">
        <v>77</v>
      </c>
      <c r="AB440" t="s">
        <v>26</v>
      </c>
      <c r="AC440" s="24">
        <v>38443</v>
      </c>
      <c r="AD440" s="25" t="s">
        <v>77</v>
      </c>
      <c r="AE440" t="s">
        <v>26</v>
      </c>
      <c r="AF440" t="s">
        <v>26</v>
      </c>
      <c r="AG440" t="s">
        <v>26</v>
      </c>
      <c r="AH440" t="s">
        <v>26</v>
      </c>
      <c r="AI440" t="s">
        <v>26</v>
      </c>
      <c r="AJ440" t="s">
        <v>26</v>
      </c>
      <c r="AK440" t="s">
        <v>26</v>
      </c>
      <c r="AL440" t="s">
        <v>26</v>
      </c>
      <c r="AM440" t="s">
        <v>26</v>
      </c>
      <c r="AN440" t="s">
        <v>26</v>
      </c>
      <c r="AO440" s="25" t="s">
        <v>68</v>
      </c>
      <c r="AP440" s="23" t="s">
        <v>69</v>
      </c>
      <c r="AQ440" s="23" t="s">
        <v>30</v>
      </c>
      <c r="AR440" s="23" t="s">
        <v>1358</v>
      </c>
      <c r="AS440" s="25">
        <v>37725</v>
      </c>
      <c r="AT440" t="s">
        <v>26</v>
      </c>
      <c r="AU440" t="s">
        <v>22791</v>
      </c>
    </row>
    <row r="441" spans="1:47" ht="26.25" x14ac:dyDescent="0.4">
      <c r="A441" s="23" t="s">
        <v>1359</v>
      </c>
      <c r="B441" t="s">
        <v>26</v>
      </c>
      <c r="C441" t="s">
        <v>26</v>
      </c>
      <c r="D441" t="s">
        <v>26</v>
      </c>
      <c r="E441" t="s">
        <v>26</v>
      </c>
      <c r="F441" t="s">
        <v>26</v>
      </c>
      <c r="G441" t="s">
        <v>26</v>
      </c>
      <c r="H441" t="s">
        <v>26</v>
      </c>
      <c r="I441" s="24">
        <v>40909</v>
      </c>
      <c r="J441" s="24">
        <v>40909</v>
      </c>
      <c r="K441" t="s">
        <v>26</v>
      </c>
      <c r="L441" s="25" t="s">
        <v>28</v>
      </c>
      <c r="M441" s="24">
        <v>40909</v>
      </c>
      <c r="N441" s="24">
        <v>40909</v>
      </c>
      <c r="O441" t="s">
        <v>26</v>
      </c>
      <c r="P441" t="s">
        <v>26</v>
      </c>
      <c r="Q441" t="s">
        <v>26</v>
      </c>
      <c r="R441" t="s">
        <v>26</v>
      </c>
      <c r="S441" s="24">
        <v>40909</v>
      </c>
      <c r="T441" s="24">
        <v>40909</v>
      </c>
      <c r="U441" t="s">
        <v>26</v>
      </c>
      <c r="V441" t="s">
        <v>26</v>
      </c>
      <c r="W441" s="24">
        <v>40909</v>
      </c>
      <c r="X441" s="24">
        <v>40909</v>
      </c>
      <c r="Y441" t="s">
        <v>26</v>
      </c>
      <c r="Z441" s="24">
        <v>40909</v>
      </c>
      <c r="AA441" s="24">
        <v>40909</v>
      </c>
      <c r="AB441" t="s">
        <v>26</v>
      </c>
      <c r="AC441" s="24">
        <v>40909</v>
      </c>
      <c r="AD441" s="24">
        <v>40909</v>
      </c>
      <c r="AE441" t="s">
        <v>26</v>
      </c>
      <c r="AF441" s="24">
        <v>40909</v>
      </c>
      <c r="AG441" s="24">
        <v>40909</v>
      </c>
      <c r="AH441" t="s">
        <v>26</v>
      </c>
      <c r="AI441" s="24">
        <v>40909</v>
      </c>
      <c r="AJ441" s="24">
        <v>40909</v>
      </c>
      <c r="AK441" t="s">
        <v>26</v>
      </c>
      <c r="AL441" t="s">
        <v>26</v>
      </c>
      <c r="AM441" t="s">
        <v>26</v>
      </c>
      <c r="AN441" t="s">
        <v>26</v>
      </c>
      <c r="AO441" s="25" t="s">
        <v>28</v>
      </c>
      <c r="AP441" s="23" t="s">
        <v>43</v>
      </c>
      <c r="AQ441" s="23" t="s">
        <v>30</v>
      </c>
      <c r="AR441" s="23" t="s">
        <v>46</v>
      </c>
      <c r="AS441" s="25">
        <v>6359413</v>
      </c>
      <c r="AT441" t="s">
        <v>26</v>
      </c>
      <c r="AU441" t="s">
        <v>22792</v>
      </c>
    </row>
    <row r="442" spans="1:47" ht="26.25" x14ac:dyDescent="0.4">
      <c r="A442" s="23" t="s">
        <v>1360</v>
      </c>
      <c r="B442" t="s">
        <v>26</v>
      </c>
      <c r="C442" s="23" t="s">
        <v>259</v>
      </c>
      <c r="D442" s="23" t="s">
        <v>22179</v>
      </c>
      <c r="E442" s="23" t="s">
        <v>60</v>
      </c>
      <c r="F442" s="25" t="s">
        <v>1361</v>
      </c>
      <c r="G442" s="25" t="s">
        <v>1362</v>
      </c>
      <c r="H442" t="s">
        <v>26</v>
      </c>
      <c r="I442" s="24">
        <v>40909</v>
      </c>
      <c r="J442" s="25" t="s">
        <v>77</v>
      </c>
      <c r="K442" t="s">
        <v>26</v>
      </c>
      <c r="L442" s="25" t="s">
        <v>68</v>
      </c>
      <c r="M442" s="24">
        <v>40909</v>
      </c>
      <c r="N442" s="25" t="s">
        <v>77</v>
      </c>
      <c r="O442" t="s">
        <v>26</v>
      </c>
      <c r="P442" s="24">
        <v>40909</v>
      </c>
      <c r="Q442" s="25" t="s">
        <v>77</v>
      </c>
      <c r="R442" t="s">
        <v>26</v>
      </c>
      <c r="S442" t="s">
        <v>26</v>
      </c>
      <c r="T442" t="s">
        <v>26</v>
      </c>
      <c r="U442" t="s">
        <v>26</v>
      </c>
      <c r="V442" t="s">
        <v>26</v>
      </c>
      <c r="W442" s="24">
        <v>40909</v>
      </c>
      <c r="X442" s="25" t="s">
        <v>77</v>
      </c>
      <c r="Y442" t="s">
        <v>26</v>
      </c>
      <c r="Z442" s="24">
        <v>40909</v>
      </c>
      <c r="AA442" s="25" t="s">
        <v>77</v>
      </c>
      <c r="AB442" t="s">
        <v>26</v>
      </c>
      <c r="AC442" s="24">
        <v>40909</v>
      </c>
      <c r="AD442" s="25" t="s">
        <v>77</v>
      </c>
      <c r="AE442" t="s">
        <v>26</v>
      </c>
      <c r="AF442" t="s">
        <v>26</v>
      </c>
      <c r="AG442" t="s">
        <v>26</v>
      </c>
      <c r="AH442" t="s">
        <v>26</v>
      </c>
      <c r="AI442" t="s">
        <v>26</v>
      </c>
      <c r="AJ442" t="s">
        <v>26</v>
      </c>
      <c r="AK442" t="s">
        <v>26</v>
      </c>
      <c r="AL442" t="s">
        <v>26</v>
      </c>
      <c r="AM442" t="s">
        <v>26</v>
      </c>
      <c r="AN442" t="s">
        <v>26</v>
      </c>
      <c r="AO442" s="25" t="s">
        <v>68</v>
      </c>
      <c r="AP442" s="23" t="s">
        <v>69</v>
      </c>
      <c r="AQ442" s="23" t="s">
        <v>30</v>
      </c>
      <c r="AR442" s="23" t="s">
        <v>70</v>
      </c>
      <c r="AS442" s="25">
        <v>1096422</v>
      </c>
      <c r="AT442" t="s">
        <v>26</v>
      </c>
      <c r="AU442" t="s">
        <v>22793</v>
      </c>
    </row>
    <row r="443" spans="1:47" ht="26.25" x14ac:dyDescent="0.4">
      <c r="A443" s="23" t="s">
        <v>1363</v>
      </c>
      <c r="B443" t="s">
        <v>26</v>
      </c>
      <c r="C443" s="23" t="s">
        <v>292</v>
      </c>
      <c r="D443" s="23" t="s">
        <v>22256</v>
      </c>
      <c r="E443" s="23" t="s">
        <v>42</v>
      </c>
      <c r="F443" t="s">
        <v>26</v>
      </c>
      <c r="G443" t="s">
        <v>26</v>
      </c>
      <c r="H443" t="s">
        <v>26</v>
      </c>
      <c r="I443" s="24">
        <v>36892</v>
      </c>
      <c r="J443" s="24">
        <v>36892</v>
      </c>
      <c r="K443" t="s">
        <v>26</v>
      </c>
      <c r="L443" s="25" t="s">
        <v>28</v>
      </c>
      <c r="M443" t="s">
        <v>26</v>
      </c>
      <c r="N443" t="s">
        <v>26</v>
      </c>
      <c r="O443" t="s">
        <v>26</v>
      </c>
      <c r="P443" s="24">
        <v>36892</v>
      </c>
      <c r="Q443" s="24">
        <v>36892</v>
      </c>
      <c r="R443" t="s">
        <v>26</v>
      </c>
      <c r="S443" t="s">
        <v>26</v>
      </c>
      <c r="T443" t="s">
        <v>26</v>
      </c>
      <c r="U443" t="s">
        <v>26</v>
      </c>
      <c r="V443" t="s">
        <v>26</v>
      </c>
      <c r="W443" s="24">
        <v>36892</v>
      </c>
      <c r="X443" s="24">
        <v>36892</v>
      </c>
      <c r="Y443" t="s">
        <v>26</v>
      </c>
      <c r="Z443" s="24">
        <v>36892</v>
      </c>
      <c r="AA443" s="24">
        <v>36892</v>
      </c>
      <c r="AB443" t="s">
        <v>26</v>
      </c>
      <c r="AC443" s="24">
        <v>36892</v>
      </c>
      <c r="AD443" s="24">
        <v>36892</v>
      </c>
      <c r="AE443" t="s">
        <v>26</v>
      </c>
      <c r="AF443" t="s">
        <v>26</v>
      </c>
      <c r="AG443" t="s">
        <v>26</v>
      </c>
      <c r="AH443" t="s">
        <v>26</v>
      </c>
      <c r="AI443" t="s">
        <v>26</v>
      </c>
      <c r="AJ443" t="s">
        <v>26</v>
      </c>
      <c r="AK443" t="s">
        <v>26</v>
      </c>
      <c r="AL443" t="s">
        <v>26</v>
      </c>
      <c r="AM443" t="s">
        <v>26</v>
      </c>
      <c r="AN443" t="s">
        <v>26</v>
      </c>
      <c r="AO443" s="25" t="s">
        <v>28</v>
      </c>
      <c r="AP443" s="23" t="s">
        <v>29</v>
      </c>
      <c r="AQ443" s="23" t="s">
        <v>30</v>
      </c>
      <c r="AR443" s="23" t="s">
        <v>147</v>
      </c>
      <c r="AS443" s="25">
        <v>5325189</v>
      </c>
      <c r="AT443" s="23" t="s">
        <v>22181</v>
      </c>
      <c r="AU443" t="s">
        <v>22794</v>
      </c>
    </row>
    <row r="444" spans="1:47" ht="26.25" x14ac:dyDescent="0.4">
      <c r="A444" s="23" t="s">
        <v>1364</v>
      </c>
      <c r="B444" t="s">
        <v>26</v>
      </c>
      <c r="C444" s="23" t="s">
        <v>1365</v>
      </c>
      <c r="D444" s="23" t="s">
        <v>22795</v>
      </c>
      <c r="E444" s="23" t="s">
        <v>335</v>
      </c>
      <c r="F444" s="25" t="s">
        <v>1366</v>
      </c>
      <c r="G444" s="25" t="s">
        <v>1367</v>
      </c>
      <c r="H444" t="s">
        <v>26</v>
      </c>
      <c r="I444" t="s">
        <v>26</v>
      </c>
      <c r="J444" t="s">
        <v>26</v>
      </c>
      <c r="K444" t="s">
        <v>26</v>
      </c>
      <c r="L444" s="25" t="s">
        <v>68</v>
      </c>
      <c r="M444" t="s">
        <v>26</v>
      </c>
      <c r="N444" t="s">
        <v>26</v>
      </c>
      <c r="O444" t="s">
        <v>26</v>
      </c>
      <c r="P444" t="s">
        <v>26</v>
      </c>
      <c r="Q444" t="s">
        <v>26</v>
      </c>
      <c r="R444" t="s">
        <v>26</v>
      </c>
      <c r="S444" t="s">
        <v>26</v>
      </c>
      <c r="T444" t="s">
        <v>26</v>
      </c>
      <c r="U444" t="s">
        <v>26</v>
      </c>
      <c r="V444" t="s">
        <v>26</v>
      </c>
      <c r="W444" s="24">
        <v>42736</v>
      </c>
      <c r="X444" s="25" t="s">
        <v>77</v>
      </c>
      <c r="Y444" t="s">
        <v>26</v>
      </c>
      <c r="Z444" s="24">
        <v>42736</v>
      </c>
      <c r="AA444" s="25" t="s">
        <v>77</v>
      </c>
      <c r="AB444" t="s">
        <v>26</v>
      </c>
      <c r="AC444" s="24">
        <v>42736</v>
      </c>
      <c r="AD444" s="25" t="s">
        <v>77</v>
      </c>
      <c r="AE444" t="s">
        <v>26</v>
      </c>
      <c r="AF444" t="s">
        <v>26</v>
      </c>
      <c r="AG444" t="s">
        <v>26</v>
      </c>
      <c r="AH444" t="s">
        <v>26</v>
      </c>
      <c r="AI444" t="s">
        <v>26</v>
      </c>
      <c r="AJ444" t="s">
        <v>26</v>
      </c>
      <c r="AK444" t="s">
        <v>26</v>
      </c>
      <c r="AL444" t="s">
        <v>26</v>
      </c>
      <c r="AM444" t="s">
        <v>26</v>
      </c>
      <c r="AN444" t="s">
        <v>26</v>
      </c>
      <c r="AO444" s="25" t="s">
        <v>68</v>
      </c>
      <c r="AP444" s="23" t="s">
        <v>69</v>
      </c>
      <c r="AQ444" s="23" t="s">
        <v>30</v>
      </c>
      <c r="AR444" s="23" t="s">
        <v>1368</v>
      </c>
      <c r="AS444" s="25">
        <v>3748015</v>
      </c>
      <c r="AT444" t="s">
        <v>26</v>
      </c>
      <c r="AU444" t="s">
        <v>22796</v>
      </c>
    </row>
    <row r="445" spans="1:47" ht="26.25" x14ac:dyDescent="0.4">
      <c r="A445" s="23" t="s">
        <v>1369</v>
      </c>
      <c r="B445" t="s">
        <v>26</v>
      </c>
      <c r="C445" s="23" t="s">
        <v>22797</v>
      </c>
      <c r="D445" s="23" t="s">
        <v>22312</v>
      </c>
      <c r="E445" s="23" t="s">
        <v>42</v>
      </c>
      <c r="F445" t="s">
        <v>26</v>
      </c>
      <c r="G445" t="s">
        <v>26</v>
      </c>
      <c r="H445" t="s">
        <v>26</v>
      </c>
      <c r="I445" s="24">
        <v>39083</v>
      </c>
      <c r="J445" s="24">
        <v>40544</v>
      </c>
      <c r="K445" t="s">
        <v>26</v>
      </c>
      <c r="L445" s="25" t="s">
        <v>28</v>
      </c>
      <c r="M445" s="24">
        <v>39083</v>
      </c>
      <c r="N445" s="24">
        <v>40544</v>
      </c>
      <c r="O445" t="s">
        <v>26</v>
      </c>
      <c r="P445" t="s">
        <v>26</v>
      </c>
      <c r="Q445" t="s">
        <v>26</v>
      </c>
      <c r="R445" t="s">
        <v>26</v>
      </c>
      <c r="S445" s="24">
        <v>39083</v>
      </c>
      <c r="T445" s="24">
        <v>40544</v>
      </c>
      <c r="U445" t="s">
        <v>26</v>
      </c>
      <c r="V445" t="s">
        <v>26</v>
      </c>
      <c r="W445" s="24">
        <v>39083</v>
      </c>
      <c r="X445" s="24">
        <v>40544</v>
      </c>
      <c r="Y445" t="s">
        <v>26</v>
      </c>
      <c r="Z445" s="24">
        <v>39083</v>
      </c>
      <c r="AA445" s="24">
        <v>40544</v>
      </c>
      <c r="AB445" t="s">
        <v>26</v>
      </c>
      <c r="AC445" s="24">
        <v>39083</v>
      </c>
      <c r="AD445" s="24">
        <v>40544</v>
      </c>
      <c r="AE445" t="s">
        <v>26</v>
      </c>
      <c r="AF445" s="24">
        <v>39083</v>
      </c>
      <c r="AG445" s="24">
        <v>40544</v>
      </c>
      <c r="AH445" t="s">
        <v>26</v>
      </c>
      <c r="AI445" s="24">
        <v>39083</v>
      </c>
      <c r="AJ445" s="24">
        <v>40544</v>
      </c>
      <c r="AK445" t="s">
        <v>26</v>
      </c>
      <c r="AL445" t="s">
        <v>26</v>
      </c>
      <c r="AM445" t="s">
        <v>26</v>
      </c>
      <c r="AN445" t="s">
        <v>26</v>
      </c>
      <c r="AO445" s="25" t="s">
        <v>28</v>
      </c>
      <c r="AP445" s="23" t="s">
        <v>43</v>
      </c>
      <c r="AQ445" s="23" t="s">
        <v>30</v>
      </c>
      <c r="AR445" s="23" t="s">
        <v>46</v>
      </c>
      <c r="AS445" s="25">
        <v>6364625</v>
      </c>
      <c r="AT445" t="s">
        <v>26</v>
      </c>
      <c r="AU445" t="s">
        <v>22798</v>
      </c>
    </row>
    <row r="446" spans="1:47" ht="26.25" x14ac:dyDescent="0.4">
      <c r="A446" s="23" t="s">
        <v>1370</v>
      </c>
      <c r="B446" t="s">
        <v>26</v>
      </c>
      <c r="C446" s="23" t="s">
        <v>302</v>
      </c>
      <c r="D446" s="23" t="s">
        <v>22286</v>
      </c>
      <c r="E446" s="23" t="s">
        <v>42</v>
      </c>
      <c r="F446" t="s">
        <v>26</v>
      </c>
      <c r="G446" t="s">
        <v>26</v>
      </c>
      <c r="H446" t="s">
        <v>26</v>
      </c>
      <c r="I446" t="s">
        <v>26</v>
      </c>
      <c r="J446" t="s">
        <v>26</v>
      </c>
      <c r="K446" t="s">
        <v>26</v>
      </c>
      <c r="L446" s="25" t="s">
        <v>28</v>
      </c>
      <c r="M446" t="s">
        <v>26</v>
      </c>
      <c r="N446" t="s">
        <v>26</v>
      </c>
      <c r="O446" t="s">
        <v>26</v>
      </c>
      <c r="P446" t="s">
        <v>26</v>
      </c>
      <c r="Q446" t="s">
        <v>26</v>
      </c>
      <c r="R446" t="s">
        <v>26</v>
      </c>
      <c r="S446" t="s">
        <v>26</v>
      </c>
      <c r="T446" t="s">
        <v>26</v>
      </c>
      <c r="U446" t="s">
        <v>26</v>
      </c>
      <c r="V446" t="s">
        <v>26</v>
      </c>
      <c r="W446" s="24">
        <v>41640</v>
      </c>
      <c r="X446" s="24">
        <v>41640</v>
      </c>
      <c r="Y446" t="s">
        <v>26</v>
      </c>
      <c r="Z446" s="24">
        <v>41640</v>
      </c>
      <c r="AA446" s="24">
        <v>41640</v>
      </c>
      <c r="AB446" t="s">
        <v>26</v>
      </c>
      <c r="AC446" t="s">
        <v>26</v>
      </c>
      <c r="AD446" t="s">
        <v>26</v>
      </c>
      <c r="AE446" t="s">
        <v>26</v>
      </c>
      <c r="AF446" t="s">
        <v>26</v>
      </c>
      <c r="AG446" t="s">
        <v>26</v>
      </c>
      <c r="AH446" t="s">
        <v>26</v>
      </c>
      <c r="AI446" t="s">
        <v>26</v>
      </c>
      <c r="AJ446" t="s">
        <v>26</v>
      </c>
      <c r="AK446" t="s">
        <v>26</v>
      </c>
      <c r="AL446" t="s">
        <v>26</v>
      </c>
      <c r="AM446" t="s">
        <v>26</v>
      </c>
      <c r="AN446" t="s">
        <v>26</v>
      </c>
      <c r="AO446" s="25" t="s">
        <v>28</v>
      </c>
      <c r="AP446" s="23" t="s">
        <v>29</v>
      </c>
      <c r="AQ446" s="23" t="s">
        <v>30</v>
      </c>
      <c r="AR446" s="23" t="s">
        <v>245</v>
      </c>
      <c r="AS446" s="25">
        <v>5488561</v>
      </c>
      <c r="AT446" s="23" t="s">
        <v>22181</v>
      </c>
      <c r="AU446" t="s">
        <v>22799</v>
      </c>
    </row>
    <row r="447" spans="1:47" ht="26.25" x14ac:dyDescent="0.4">
      <c r="A447" s="23" t="s">
        <v>1371</v>
      </c>
      <c r="B447" t="s">
        <v>26</v>
      </c>
      <c r="C447" t="s">
        <v>26</v>
      </c>
      <c r="D447" s="23" t="s">
        <v>22256</v>
      </c>
      <c r="E447" t="s">
        <v>26</v>
      </c>
      <c r="F447" t="s">
        <v>26</v>
      </c>
      <c r="G447" t="s">
        <v>26</v>
      </c>
      <c r="H447" t="s">
        <v>26</v>
      </c>
      <c r="I447" s="24">
        <v>39814</v>
      </c>
      <c r="J447" s="24">
        <v>39814</v>
      </c>
      <c r="K447" t="s">
        <v>26</v>
      </c>
      <c r="L447" s="25" t="s">
        <v>28</v>
      </c>
      <c r="M447" s="24">
        <v>39814</v>
      </c>
      <c r="N447" s="24">
        <v>39814</v>
      </c>
      <c r="O447" t="s">
        <v>26</v>
      </c>
      <c r="P447" t="s">
        <v>26</v>
      </c>
      <c r="Q447" t="s">
        <v>26</v>
      </c>
      <c r="R447" t="s">
        <v>26</v>
      </c>
      <c r="S447" s="24">
        <v>39814</v>
      </c>
      <c r="T447" s="24">
        <v>39814</v>
      </c>
      <c r="U447" t="s">
        <v>26</v>
      </c>
      <c r="V447" t="s">
        <v>26</v>
      </c>
      <c r="W447" s="24">
        <v>39814</v>
      </c>
      <c r="X447" s="24">
        <v>39814</v>
      </c>
      <c r="Y447" t="s">
        <v>26</v>
      </c>
      <c r="Z447" s="24">
        <v>39814</v>
      </c>
      <c r="AA447" s="24">
        <v>39814</v>
      </c>
      <c r="AB447" t="s">
        <v>26</v>
      </c>
      <c r="AC447" s="24">
        <v>39814</v>
      </c>
      <c r="AD447" s="24">
        <v>39814</v>
      </c>
      <c r="AE447" t="s">
        <v>26</v>
      </c>
      <c r="AF447" s="24">
        <v>39814</v>
      </c>
      <c r="AG447" s="24">
        <v>39814</v>
      </c>
      <c r="AH447" t="s">
        <v>26</v>
      </c>
      <c r="AI447" s="24">
        <v>39814</v>
      </c>
      <c r="AJ447" s="24">
        <v>39814</v>
      </c>
      <c r="AK447" t="s">
        <v>26</v>
      </c>
      <c r="AL447" t="s">
        <v>26</v>
      </c>
      <c r="AM447" t="s">
        <v>26</v>
      </c>
      <c r="AN447" t="s">
        <v>26</v>
      </c>
      <c r="AO447" s="25" t="s">
        <v>28</v>
      </c>
      <c r="AP447" s="23" t="s">
        <v>43</v>
      </c>
      <c r="AQ447" s="23" t="s">
        <v>30</v>
      </c>
      <c r="AR447" s="23" t="s">
        <v>46</v>
      </c>
      <c r="AS447" s="25">
        <v>6362764</v>
      </c>
      <c r="AT447" t="s">
        <v>26</v>
      </c>
      <c r="AU447" t="s">
        <v>22800</v>
      </c>
    </row>
    <row r="448" spans="1:47" ht="26.25" x14ac:dyDescent="0.4">
      <c r="A448" s="23" t="s">
        <v>1372</v>
      </c>
      <c r="B448" t="s">
        <v>26</v>
      </c>
      <c r="C448" t="s">
        <v>26</v>
      </c>
      <c r="D448" t="s">
        <v>26</v>
      </c>
      <c r="E448" t="s">
        <v>26</v>
      </c>
      <c r="F448" t="s">
        <v>26</v>
      </c>
      <c r="G448" t="s">
        <v>26</v>
      </c>
      <c r="H448" t="s">
        <v>26</v>
      </c>
      <c r="I448" s="24">
        <v>40179</v>
      </c>
      <c r="J448" s="24">
        <v>41640</v>
      </c>
      <c r="K448" t="s">
        <v>26</v>
      </c>
      <c r="L448" s="25" t="s">
        <v>28</v>
      </c>
      <c r="M448" s="24">
        <v>40179</v>
      </c>
      <c r="N448" s="24">
        <v>41640</v>
      </c>
      <c r="O448" t="s">
        <v>26</v>
      </c>
      <c r="P448" t="s">
        <v>26</v>
      </c>
      <c r="Q448" t="s">
        <v>26</v>
      </c>
      <c r="R448" t="s">
        <v>26</v>
      </c>
      <c r="S448" s="24">
        <v>40179</v>
      </c>
      <c r="T448" s="24">
        <v>41640</v>
      </c>
      <c r="U448" t="s">
        <v>26</v>
      </c>
      <c r="V448" t="s">
        <v>26</v>
      </c>
      <c r="W448" s="24">
        <v>40179</v>
      </c>
      <c r="X448" s="24">
        <v>41640</v>
      </c>
      <c r="Y448" t="s">
        <v>26</v>
      </c>
      <c r="Z448" s="24">
        <v>40179</v>
      </c>
      <c r="AA448" s="24">
        <v>41640</v>
      </c>
      <c r="AB448" t="s">
        <v>26</v>
      </c>
      <c r="AC448" s="24">
        <v>40179</v>
      </c>
      <c r="AD448" s="24">
        <v>41640</v>
      </c>
      <c r="AE448" t="s">
        <v>26</v>
      </c>
      <c r="AF448" s="24">
        <v>40179</v>
      </c>
      <c r="AG448" s="24">
        <v>41640</v>
      </c>
      <c r="AH448" t="s">
        <v>26</v>
      </c>
      <c r="AI448" s="24">
        <v>40179</v>
      </c>
      <c r="AJ448" s="24">
        <v>41640</v>
      </c>
      <c r="AK448" t="s">
        <v>26</v>
      </c>
      <c r="AL448" t="s">
        <v>26</v>
      </c>
      <c r="AM448" t="s">
        <v>26</v>
      </c>
      <c r="AN448" t="s">
        <v>26</v>
      </c>
      <c r="AO448" s="25" t="s">
        <v>28</v>
      </c>
      <c r="AP448" s="23" t="s">
        <v>43</v>
      </c>
      <c r="AQ448" s="23" t="s">
        <v>30</v>
      </c>
      <c r="AR448" s="23" t="s">
        <v>46</v>
      </c>
      <c r="AS448" s="25">
        <v>6362762</v>
      </c>
      <c r="AT448" t="s">
        <v>26</v>
      </c>
      <c r="AU448" t="s">
        <v>22801</v>
      </c>
    </row>
    <row r="449" spans="1:47" ht="26.25" x14ac:dyDescent="0.4">
      <c r="A449" s="23" t="s">
        <v>1373</v>
      </c>
      <c r="B449" t="s">
        <v>26</v>
      </c>
      <c r="C449" t="s">
        <v>26</v>
      </c>
      <c r="D449" t="s">
        <v>26</v>
      </c>
      <c r="E449" t="s">
        <v>26</v>
      </c>
      <c r="F449" t="s">
        <v>26</v>
      </c>
      <c r="G449" t="s">
        <v>26</v>
      </c>
      <c r="H449" t="s">
        <v>26</v>
      </c>
      <c r="I449" s="24">
        <v>35065</v>
      </c>
      <c r="J449" s="24">
        <v>40909</v>
      </c>
      <c r="K449" t="s">
        <v>26</v>
      </c>
      <c r="L449" s="25" t="s">
        <v>28</v>
      </c>
      <c r="M449" s="24">
        <v>35065</v>
      </c>
      <c r="N449" s="24">
        <v>40909</v>
      </c>
      <c r="O449" t="s">
        <v>26</v>
      </c>
      <c r="P449" t="s">
        <v>26</v>
      </c>
      <c r="Q449" t="s">
        <v>26</v>
      </c>
      <c r="R449" t="s">
        <v>26</v>
      </c>
      <c r="S449" s="24">
        <v>35065</v>
      </c>
      <c r="T449" s="24">
        <v>40909</v>
      </c>
      <c r="U449" t="s">
        <v>26</v>
      </c>
      <c r="V449" t="s">
        <v>26</v>
      </c>
      <c r="W449" s="24">
        <v>35065</v>
      </c>
      <c r="X449" s="24">
        <v>40909</v>
      </c>
      <c r="Y449" t="s">
        <v>26</v>
      </c>
      <c r="Z449" s="24">
        <v>35065</v>
      </c>
      <c r="AA449" s="24">
        <v>40909</v>
      </c>
      <c r="AB449" t="s">
        <v>26</v>
      </c>
      <c r="AC449" s="24">
        <v>35065</v>
      </c>
      <c r="AD449" s="24">
        <v>40909</v>
      </c>
      <c r="AE449" t="s">
        <v>26</v>
      </c>
      <c r="AF449" s="24">
        <v>35065</v>
      </c>
      <c r="AG449" s="24">
        <v>40909</v>
      </c>
      <c r="AH449" t="s">
        <v>26</v>
      </c>
      <c r="AI449" s="24">
        <v>35065</v>
      </c>
      <c r="AJ449" s="24">
        <v>40909</v>
      </c>
      <c r="AK449" t="s">
        <v>26</v>
      </c>
      <c r="AL449" t="s">
        <v>26</v>
      </c>
      <c r="AM449" t="s">
        <v>26</v>
      </c>
      <c r="AN449" t="s">
        <v>26</v>
      </c>
      <c r="AO449" s="25" t="s">
        <v>28</v>
      </c>
      <c r="AP449" s="23" t="s">
        <v>43</v>
      </c>
      <c r="AQ449" s="23" t="s">
        <v>30</v>
      </c>
      <c r="AR449" s="23" t="s">
        <v>46</v>
      </c>
      <c r="AS449" s="25">
        <v>6362763</v>
      </c>
      <c r="AT449" t="s">
        <v>26</v>
      </c>
      <c r="AU449" t="s">
        <v>22802</v>
      </c>
    </row>
    <row r="450" spans="1:47" ht="26.25" x14ac:dyDescent="0.4">
      <c r="A450" s="23" t="s">
        <v>1374</v>
      </c>
      <c r="B450" t="s">
        <v>26</v>
      </c>
      <c r="C450" s="23" t="s">
        <v>22803</v>
      </c>
      <c r="D450" s="23" t="s">
        <v>22166</v>
      </c>
      <c r="E450" s="23" t="s">
        <v>42</v>
      </c>
      <c r="F450" t="s">
        <v>26</v>
      </c>
      <c r="G450" t="s">
        <v>26</v>
      </c>
      <c r="H450" t="s">
        <v>26</v>
      </c>
      <c r="I450" s="24">
        <v>7306</v>
      </c>
      <c r="J450" s="24">
        <v>41640</v>
      </c>
      <c r="K450" t="s">
        <v>26</v>
      </c>
      <c r="L450" s="25" t="s">
        <v>28</v>
      </c>
      <c r="M450" s="24">
        <v>7306</v>
      </c>
      <c r="N450" s="24">
        <v>41640</v>
      </c>
      <c r="O450" t="s">
        <v>26</v>
      </c>
      <c r="P450" t="s">
        <v>26</v>
      </c>
      <c r="Q450" t="s">
        <v>26</v>
      </c>
      <c r="R450" t="s">
        <v>26</v>
      </c>
      <c r="S450" s="24">
        <v>7306</v>
      </c>
      <c r="T450" s="24">
        <v>41640</v>
      </c>
      <c r="U450" t="s">
        <v>26</v>
      </c>
      <c r="V450" t="s">
        <v>26</v>
      </c>
      <c r="W450" s="24">
        <v>7306</v>
      </c>
      <c r="X450" s="24">
        <v>41640</v>
      </c>
      <c r="Y450" t="s">
        <v>26</v>
      </c>
      <c r="Z450" s="24">
        <v>7306</v>
      </c>
      <c r="AA450" s="24">
        <v>41640</v>
      </c>
      <c r="AB450" t="s">
        <v>26</v>
      </c>
      <c r="AC450" s="24">
        <v>7306</v>
      </c>
      <c r="AD450" s="24">
        <v>41640</v>
      </c>
      <c r="AE450" t="s">
        <v>26</v>
      </c>
      <c r="AF450" s="24">
        <v>7306</v>
      </c>
      <c r="AG450" s="24">
        <v>41640</v>
      </c>
      <c r="AH450" t="s">
        <v>26</v>
      </c>
      <c r="AI450" s="24">
        <v>7306</v>
      </c>
      <c r="AJ450" s="24">
        <v>41640</v>
      </c>
      <c r="AK450" t="s">
        <v>26</v>
      </c>
      <c r="AL450" t="s">
        <v>26</v>
      </c>
      <c r="AM450" t="s">
        <v>26</v>
      </c>
      <c r="AN450" t="s">
        <v>26</v>
      </c>
      <c r="AO450" s="25" t="s">
        <v>28</v>
      </c>
      <c r="AP450" s="23" t="s">
        <v>43</v>
      </c>
      <c r="AQ450" s="23" t="s">
        <v>30</v>
      </c>
      <c r="AR450" s="23" t="s">
        <v>46</v>
      </c>
      <c r="AS450" s="25">
        <v>6362761</v>
      </c>
      <c r="AT450" t="s">
        <v>26</v>
      </c>
      <c r="AU450" t="s">
        <v>22804</v>
      </c>
    </row>
    <row r="451" spans="1:47" ht="26.25" x14ac:dyDescent="0.4">
      <c r="A451" s="23" t="s">
        <v>1375</v>
      </c>
      <c r="B451" t="s">
        <v>26</v>
      </c>
      <c r="C451" s="23" t="s">
        <v>73</v>
      </c>
      <c r="D451" s="23" t="s">
        <v>22179</v>
      </c>
      <c r="E451" s="23" t="s">
        <v>74</v>
      </c>
      <c r="F451" s="25" t="s">
        <v>1376</v>
      </c>
      <c r="G451" s="25" t="s">
        <v>1377</v>
      </c>
      <c r="H451" t="s">
        <v>26</v>
      </c>
      <c r="I451" s="24">
        <v>37316</v>
      </c>
      <c r="J451" s="25" t="s">
        <v>77</v>
      </c>
      <c r="K451" t="s">
        <v>26</v>
      </c>
      <c r="L451" s="25" t="s">
        <v>68</v>
      </c>
      <c r="M451" s="24">
        <v>38869</v>
      </c>
      <c r="N451" s="24">
        <v>42826</v>
      </c>
      <c r="O451" t="s">
        <v>26</v>
      </c>
      <c r="P451" s="24">
        <v>37316</v>
      </c>
      <c r="Q451" s="25" t="s">
        <v>77</v>
      </c>
      <c r="R451" t="s">
        <v>26</v>
      </c>
      <c r="S451" t="s">
        <v>26</v>
      </c>
      <c r="T451" t="s">
        <v>26</v>
      </c>
      <c r="U451" t="s">
        <v>26</v>
      </c>
      <c r="V451" s="25">
        <v>365</v>
      </c>
      <c r="W451" s="24">
        <v>37316</v>
      </c>
      <c r="X451" s="25" t="s">
        <v>77</v>
      </c>
      <c r="Y451" t="s">
        <v>26</v>
      </c>
      <c r="Z451" s="24">
        <v>37316</v>
      </c>
      <c r="AA451" s="25" t="s">
        <v>77</v>
      </c>
      <c r="AB451" t="s">
        <v>26</v>
      </c>
      <c r="AC451" s="24">
        <v>37316</v>
      </c>
      <c r="AD451" s="25" t="s">
        <v>77</v>
      </c>
      <c r="AE451" t="s">
        <v>26</v>
      </c>
      <c r="AF451" t="s">
        <v>26</v>
      </c>
      <c r="AG451" t="s">
        <v>26</v>
      </c>
      <c r="AH451" t="s">
        <v>26</v>
      </c>
      <c r="AI451" t="s">
        <v>26</v>
      </c>
      <c r="AJ451" t="s">
        <v>26</v>
      </c>
      <c r="AK451" t="s">
        <v>26</v>
      </c>
      <c r="AL451" t="s">
        <v>26</v>
      </c>
      <c r="AM451" t="s">
        <v>26</v>
      </c>
      <c r="AN451" t="s">
        <v>26</v>
      </c>
      <c r="AO451" s="25" t="s">
        <v>68</v>
      </c>
      <c r="AP451" s="23" t="s">
        <v>69</v>
      </c>
      <c r="AQ451" s="23" t="s">
        <v>30</v>
      </c>
      <c r="AR451" s="23" t="s">
        <v>70</v>
      </c>
      <c r="AS451" s="25">
        <v>1456356</v>
      </c>
      <c r="AT451" t="s">
        <v>26</v>
      </c>
      <c r="AU451" t="s">
        <v>22805</v>
      </c>
    </row>
    <row r="452" spans="1:47" ht="26.25" x14ac:dyDescent="0.4">
      <c r="A452" s="23" t="s">
        <v>1378</v>
      </c>
      <c r="B452" t="s">
        <v>26</v>
      </c>
      <c r="C452" s="23" t="s">
        <v>351</v>
      </c>
      <c r="D452" s="23" t="s">
        <v>22242</v>
      </c>
      <c r="E452" s="23" t="s">
        <v>60</v>
      </c>
      <c r="F452" s="25" t="s">
        <v>1379</v>
      </c>
      <c r="G452" s="25" t="s">
        <v>1380</v>
      </c>
      <c r="H452" t="s">
        <v>26</v>
      </c>
      <c r="I452" t="s">
        <v>26</v>
      </c>
      <c r="J452" t="s">
        <v>26</v>
      </c>
      <c r="K452" t="s">
        <v>26</v>
      </c>
      <c r="L452" s="25" t="s">
        <v>68</v>
      </c>
      <c r="M452" t="s">
        <v>26</v>
      </c>
      <c r="N452" t="s">
        <v>26</v>
      </c>
      <c r="O452" t="s">
        <v>26</v>
      </c>
      <c r="P452" t="s">
        <v>26</v>
      </c>
      <c r="Q452" t="s">
        <v>26</v>
      </c>
      <c r="R452" t="s">
        <v>26</v>
      </c>
      <c r="S452" t="s">
        <v>26</v>
      </c>
      <c r="T452" t="s">
        <v>26</v>
      </c>
      <c r="U452" t="s">
        <v>26</v>
      </c>
      <c r="V452" t="s">
        <v>26</v>
      </c>
      <c r="W452" s="24">
        <v>36161</v>
      </c>
      <c r="X452" s="24">
        <v>40087</v>
      </c>
      <c r="Y452" t="s">
        <v>26</v>
      </c>
      <c r="Z452" s="24">
        <v>36161</v>
      </c>
      <c r="AA452" s="24">
        <v>40087</v>
      </c>
      <c r="AB452" t="s">
        <v>26</v>
      </c>
      <c r="AC452" s="24">
        <v>36161</v>
      </c>
      <c r="AD452" s="24">
        <v>40087</v>
      </c>
      <c r="AE452" t="s">
        <v>26</v>
      </c>
      <c r="AF452" t="s">
        <v>26</v>
      </c>
      <c r="AG452" t="s">
        <v>26</v>
      </c>
      <c r="AH452" t="s">
        <v>26</v>
      </c>
      <c r="AI452" t="s">
        <v>26</v>
      </c>
      <c r="AJ452" t="s">
        <v>26</v>
      </c>
      <c r="AK452" t="s">
        <v>26</v>
      </c>
      <c r="AL452" t="s">
        <v>26</v>
      </c>
      <c r="AM452" t="s">
        <v>26</v>
      </c>
      <c r="AN452" t="s">
        <v>26</v>
      </c>
      <c r="AO452" s="25" t="s">
        <v>68</v>
      </c>
      <c r="AP452" s="23" t="s">
        <v>69</v>
      </c>
      <c r="AQ452" s="23" t="s">
        <v>30</v>
      </c>
      <c r="AR452" s="23" t="s">
        <v>70</v>
      </c>
      <c r="AS452" s="25">
        <v>31422</v>
      </c>
      <c r="AT452" t="s">
        <v>26</v>
      </c>
      <c r="AU452" t="s">
        <v>22806</v>
      </c>
    </row>
    <row r="453" spans="1:47" ht="26.25" x14ac:dyDescent="0.4">
      <c r="A453" s="23" t="s">
        <v>1381</v>
      </c>
      <c r="B453" t="s">
        <v>26</v>
      </c>
      <c r="C453" s="23" t="s">
        <v>1382</v>
      </c>
      <c r="D453" s="23" t="s">
        <v>22807</v>
      </c>
      <c r="E453" s="23" t="s">
        <v>1383</v>
      </c>
      <c r="F453" s="25" t="s">
        <v>1384</v>
      </c>
      <c r="G453" s="25" t="s">
        <v>1385</v>
      </c>
      <c r="H453" t="s">
        <v>26</v>
      </c>
      <c r="I453" s="24">
        <v>38718</v>
      </c>
      <c r="J453" s="25" t="s">
        <v>77</v>
      </c>
      <c r="K453" t="s">
        <v>26</v>
      </c>
      <c r="L453" s="25" t="s">
        <v>68</v>
      </c>
      <c r="M453" t="s">
        <v>26</v>
      </c>
      <c r="N453" t="s">
        <v>26</v>
      </c>
      <c r="O453" t="s">
        <v>26</v>
      </c>
      <c r="P453" s="24">
        <v>38718</v>
      </c>
      <c r="Q453" s="25" t="s">
        <v>77</v>
      </c>
      <c r="R453" t="s">
        <v>26</v>
      </c>
      <c r="S453" t="s">
        <v>26</v>
      </c>
      <c r="T453" t="s">
        <v>26</v>
      </c>
      <c r="U453" t="s">
        <v>26</v>
      </c>
      <c r="V453" t="s">
        <v>26</v>
      </c>
      <c r="W453" s="24">
        <v>38718</v>
      </c>
      <c r="X453" s="25" t="s">
        <v>77</v>
      </c>
      <c r="Y453" t="s">
        <v>26</v>
      </c>
      <c r="Z453" s="24">
        <v>38718</v>
      </c>
      <c r="AA453" s="25" t="s">
        <v>77</v>
      </c>
      <c r="AB453" t="s">
        <v>26</v>
      </c>
      <c r="AC453" s="24">
        <v>38718</v>
      </c>
      <c r="AD453" s="25" t="s">
        <v>77</v>
      </c>
      <c r="AE453" t="s">
        <v>26</v>
      </c>
      <c r="AF453" t="s">
        <v>26</v>
      </c>
      <c r="AG453" t="s">
        <v>26</v>
      </c>
      <c r="AH453" t="s">
        <v>26</v>
      </c>
      <c r="AI453" t="s">
        <v>26</v>
      </c>
      <c r="AJ453" t="s">
        <v>26</v>
      </c>
      <c r="AK453" t="s">
        <v>26</v>
      </c>
      <c r="AL453" t="s">
        <v>26</v>
      </c>
      <c r="AM453" t="s">
        <v>26</v>
      </c>
      <c r="AN453" t="s">
        <v>26</v>
      </c>
      <c r="AO453" s="25" t="s">
        <v>68</v>
      </c>
      <c r="AP453" s="23" t="s">
        <v>69</v>
      </c>
      <c r="AQ453" s="23" t="s">
        <v>1386</v>
      </c>
      <c r="AR453" s="23" t="s">
        <v>46</v>
      </c>
      <c r="AS453" s="25">
        <v>28548</v>
      </c>
      <c r="AT453" t="s">
        <v>26</v>
      </c>
      <c r="AU453" t="s">
        <v>22808</v>
      </c>
    </row>
    <row r="454" spans="1:47" ht="26.25" x14ac:dyDescent="0.4">
      <c r="A454" s="23" t="s">
        <v>1387</v>
      </c>
      <c r="B454" t="s">
        <v>26</v>
      </c>
      <c r="C454" s="23" t="s">
        <v>146</v>
      </c>
      <c r="D454" s="23" t="s">
        <v>22174</v>
      </c>
      <c r="E454" s="23" t="s">
        <v>60</v>
      </c>
      <c r="F454" t="s">
        <v>26</v>
      </c>
      <c r="G454" t="s">
        <v>26</v>
      </c>
      <c r="H454" t="s">
        <v>26</v>
      </c>
      <c r="I454" t="s">
        <v>26</v>
      </c>
      <c r="J454" t="s">
        <v>26</v>
      </c>
      <c r="K454" t="s">
        <v>26</v>
      </c>
      <c r="L454" s="25" t="s">
        <v>28</v>
      </c>
      <c r="M454" t="s">
        <v>26</v>
      </c>
      <c r="N454" t="s">
        <v>26</v>
      </c>
      <c r="O454" t="s">
        <v>26</v>
      </c>
      <c r="P454" t="s">
        <v>26</v>
      </c>
      <c r="Q454" t="s">
        <v>26</v>
      </c>
      <c r="R454" t="s">
        <v>26</v>
      </c>
      <c r="S454" t="s">
        <v>26</v>
      </c>
      <c r="T454" t="s">
        <v>26</v>
      </c>
      <c r="U454" t="s">
        <v>26</v>
      </c>
      <c r="V454" t="s">
        <v>26</v>
      </c>
      <c r="W454" s="24">
        <v>42370</v>
      </c>
      <c r="X454" s="24">
        <v>42370</v>
      </c>
      <c r="Y454" t="s">
        <v>26</v>
      </c>
      <c r="Z454" s="24">
        <v>42370</v>
      </c>
      <c r="AA454" s="24">
        <v>42370</v>
      </c>
      <c r="AB454" t="s">
        <v>26</v>
      </c>
      <c r="AC454" t="s">
        <v>26</v>
      </c>
      <c r="AD454" t="s">
        <v>26</v>
      </c>
      <c r="AE454" t="s">
        <v>26</v>
      </c>
      <c r="AF454" t="s">
        <v>26</v>
      </c>
      <c r="AG454" t="s">
        <v>26</v>
      </c>
      <c r="AH454" t="s">
        <v>26</v>
      </c>
      <c r="AI454" t="s">
        <v>26</v>
      </c>
      <c r="AJ454" t="s">
        <v>26</v>
      </c>
      <c r="AK454" t="s">
        <v>26</v>
      </c>
      <c r="AL454" t="s">
        <v>26</v>
      </c>
      <c r="AM454" t="s">
        <v>26</v>
      </c>
      <c r="AN454" t="s">
        <v>26</v>
      </c>
      <c r="AO454" s="25" t="s">
        <v>28</v>
      </c>
      <c r="AP454" s="23" t="s">
        <v>29</v>
      </c>
      <c r="AQ454" s="23" t="s">
        <v>30</v>
      </c>
      <c r="AR454" s="23" t="s">
        <v>147</v>
      </c>
      <c r="AS454" s="25">
        <v>5483616</v>
      </c>
      <c r="AT454" s="23" t="s">
        <v>22181</v>
      </c>
      <c r="AU454" t="s">
        <v>22809</v>
      </c>
    </row>
    <row r="455" spans="1:47" ht="26.25" x14ac:dyDescent="0.4">
      <c r="A455" s="23" t="s">
        <v>1388</v>
      </c>
      <c r="B455" t="s">
        <v>26</v>
      </c>
      <c r="C455" s="23" t="s">
        <v>146</v>
      </c>
      <c r="D455" s="23" t="s">
        <v>22174</v>
      </c>
      <c r="E455" s="23" t="s">
        <v>60</v>
      </c>
      <c r="F455" t="s">
        <v>26</v>
      </c>
      <c r="G455" t="s">
        <v>26</v>
      </c>
      <c r="H455" t="s">
        <v>26</v>
      </c>
      <c r="I455" s="24">
        <v>42005</v>
      </c>
      <c r="J455" s="24">
        <v>42005</v>
      </c>
      <c r="K455" t="s">
        <v>26</v>
      </c>
      <c r="L455" s="25" t="s">
        <v>28</v>
      </c>
      <c r="M455" t="s">
        <v>26</v>
      </c>
      <c r="N455" t="s">
        <v>26</v>
      </c>
      <c r="O455" t="s">
        <v>26</v>
      </c>
      <c r="P455" s="24">
        <v>42005</v>
      </c>
      <c r="Q455" s="24">
        <v>42005</v>
      </c>
      <c r="R455" t="s">
        <v>26</v>
      </c>
      <c r="S455" t="s">
        <v>26</v>
      </c>
      <c r="T455" t="s">
        <v>26</v>
      </c>
      <c r="U455" t="s">
        <v>26</v>
      </c>
      <c r="V455" t="s">
        <v>26</v>
      </c>
      <c r="W455" s="24">
        <v>42005</v>
      </c>
      <c r="X455" s="24">
        <v>42005</v>
      </c>
      <c r="Y455" t="s">
        <v>26</v>
      </c>
      <c r="Z455" s="24">
        <v>42005</v>
      </c>
      <c r="AA455" s="24">
        <v>42005</v>
      </c>
      <c r="AB455" t="s">
        <v>26</v>
      </c>
      <c r="AC455" s="24">
        <v>42005</v>
      </c>
      <c r="AD455" s="24">
        <v>42005</v>
      </c>
      <c r="AE455" t="s">
        <v>26</v>
      </c>
      <c r="AF455" t="s">
        <v>26</v>
      </c>
      <c r="AG455" t="s">
        <v>26</v>
      </c>
      <c r="AH455" t="s">
        <v>26</v>
      </c>
      <c r="AI455" t="s">
        <v>26</v>
      </c>
      <c r="AJ455" t="s">
        <v>26</v>
      </c>
      <c r="AK455" t="s">
        <v>26</v>
      </c>
      <c r="AL455" t="s">
        <v>26</v>
      </c>
      <c r="AM455" t="s">
        <v>26</v>
      </c>
      <c r="AN455" t="s">
        <v>26</v>
      </c>
      <c r="AO455" s="25" t="s">
        <v>28</v>
      </c>
      <c r="AP455" s="23" t="s">
        <v>29</v>
      </c>
      <c r="AQ455" s="23" t="s">
        <v>30</v>
      </c>
      <c r="AR455" s="23" t="s">
        <v>46</v>
      </c>
      <c r="AS455" s="25">
        <v>6394511</v>
      </c>
      <c r="AT455" t="s">
        <v>26</v>
      </c>
      <c r="AU455" t="s">
        <v>22810</v>
      </c>
    </row>
    <row r="456" spans="1:47" ht="13.15" x14ac:dyDescent="0.4">
      <c r="A456" s="23" t="s">
        <v>1389</v>
      </c>
      <c r="B456" t="s">
        <v>26</v>
      </c>
      <c r="C456" s="23" t="s">
        <v>1390</v>
      </c>
      <c r="D456" t="s">
        <v>26</v>
      </c>
      <c r="E456" s="23" t="s">
        <v>60</v>
      </c>
      <c r="F456" t="s">
        <v>26</v>
      </c>
      <c r="G456" t="s">
        <v>26</v>
      </c>
      <c r="H456" t="s">
        <v>26</v>
      </c>
      <c r="I456" s="24">
        <v>37257</v>
      </c>
      <c r="J456" s="24">
        <v>37257</v>
      </c>
      <c r="K456" t="s">
        <v>26</v>
      </c>
      <c r="L456" s="25" t="s">
        <v>28</v>
      </c>
      <c r="M456" s="24">
        <v>37257</v>
      </c>
      <c r="N456" s="24">
        <v>37257</v>
      </c>
      <c r="O456" t="s">
        <v>26</v>
      </c>
      <c r="P456" t="s">
        <v>26</v>
      </c>
      <c r="Q456" t="s">
        <v>26</v>
      </c>
      <c r="R456" t="s">
        <v>26</v>
      </c>
      <c r="S456" t="s">
        <v>26</v>
      </c>
      <c r="T456" t="s">
        <v>26</v>
      </c>
      <c r="U456" t="s">
        <v>26</v>
      </c>
      <c r="V456" t="s">
        <v>26</v>
      </c>
      <c r="W456" s="24">
        <v>37257</v>
      </c>
      <c r="X456" s="24">
        <v>37257</v>
      </c>
      <c r="Y456" t="s">
        <v>26</v>
      </c>
      <c r="Z456" s="24">
        <v>37257</v>
      </c>
      <c r="AA456" s="24">
        <v>37257</v>
      </c>
      <c r="AB456" t="s">
        <v>26</v>
      </c>
      <c r="AC456" s="24">
        <v>37257</v>
      </c>
      <c r="AD456" s="24">
        <v>37257</v>
      </c>
      <c r="AE456" t="s">
        <v>26</v>
      </c>
      <c r="AF456" t="s">
        <v>26</v>
      </c>
      <c r="AG456" t="s">
        <v>26</v>
      </c>
      <c r="AH456" t="s">
        <v>26</v>
      </c>
      <c r="AI456" t="s">
        <v>26</v>
      </c>
      <c r="AJ456" t="s">
        <v>26</v>
      </c>
      <c r="AK456" t="s">
        <v>26</v>
      </c>
      <c r="AL456" t="s">
        <v>26</v>
      </c>
      <c r="AM456" t="s">
        <v>26</v>
      </c>
      <c r="AN456" t="s">
        <v>26</v>
      </c>
      <c r="AO456" s="25" t="s">
        <v>28</v>
      </c>
      <c r="AP456" s="23" t="s">
        <v>29</v>
      </c>
      <c r="AQ456" s="23" t="s">
        <v>30</v>
      </c>
      <c r="AR456" s="23" t="s">
        <v>46</v>
      </c>
      <c r="AS456" s="25">
        <v>6009026</v>
      </c>
      <c r="AT456" t="s">
        <v>26</v>
      </c>
      <c r="AU456" t="s">
        <v>22811</v>
      </c>
    </row>
    <row r="457" spans="1:47" ht="26.25" x14ac:dyDescent="0.4">
      <c r="A457" s="23" t="s">
        <v>22812</v>
      </c>
      <c r="B457" t="s">
        <v>26</v>
      </c>
      <c r="C457" s="23" t="s">
        <v>22813</v>
      </c>
      <c r="D457" t="s">
        <v>26</v>
      </c>
      <c r="E457" s="23" t="s">
        <v>60</v>
      </c>
      <c r="F457" t="s">
        <v>26</v>
      </c>
      <c r="G457" t="s">
        <v>26</v>
      </c>
      <c r="H457" t="s">
        <v>26</v>
      </c>
      <c r="I457" s="24">
        <v>41640</v>
      </c>
      <c r="J457" s="24">
        <v>41640</v>
      </c>
      <c r="K457" t="s">
        <v>26</v>
      </c>
      <c r="L457" s="25" t="s">
        <v>28</v>
      </c>
      <c r="M457" s="24">
        <v>41640</v>
      </c>
      <c r="N457" s="24">
        <v>41640</v>
      </c>
      <c r="O457" t="s">
        <v>26</v>
      </c>
      <c r="P457" t="s">
        <v>26</v>
      </c>
      <c r="Q457" t="s">
        <v>26</v>
      </c>
      <c r="R457" t="s">
        <v>26</v>
      </c>
      <c r="S457" s="24">
        <v>41640</v>
      </c>
      <c r="T457" s="24">
        <v>41640</v>
      </c>
      <c r="U457" t="s">
        <v>26</v>
      </c>
      <c r="V457" t="s">
        <v>26</v>
      </c>
      <c r="W457" s="24">
        <v>41640</v>
      </c>
      <c r="X457" s="24">
        <v>41640</v>
      </c>
      <c r="Y457" t="s">
        <v>26</v>
      </c>
      <c r="Z457" s="24">
        <v>41640</v>
      </c>
      <c r="AA457" s="24">
        <v>41640</v>
      </c>
      <c r="AB457" t="s">
        <v>26</v>
      </c>
      <c r="AC457" s="24">
        <v>41640</v>
      </c>
      <c r="AD457" s="24">
        <v>41640</v>
      </c>
      <c r="AE457" t="s">
        <v>26</v>
      </c>
      <c r="AF457" s="24">
        <v>41640</v>
      </c>
      <c r="AG457" s="24">
        <v>41640</v>
      </c>
      <c r="AH457" t="s">
        <v>26</v>
      </c>
      <c r="AI457" s="24">
        <v>41640</v>
      </c>
      <c r="AJ457" s="24">
        <v>41640</v>
      </c>
      <c r="AK457" t="s">
        <v>26</v>
      </c>
      <c r="AL457" t="s">
        <v>26</v>
      </c>
      <c r="AM457" t="s">
        <v>26</v>
      </c>
      <c r="AN457" t="s">
        <v>26</v>
      </c>
      <c r="AO457" s="25" t="s">
        <v>28</v>
      </c>
      <c r="AP457" s="23" t="s">
        <v>43</v>
      </c>
      <c r="AQ457" s="23" t="s">
        <v>30</v>
      </c>
      <c r="AR457" s="23" t="s">
        <v>44</v>
      </c>
      <c r="AS457" s="25">
        <v>5263185</v>
      </c>
      <c r="AT457" t="s">
        <v>26</v>
      </c>
      <c r="AU457" t="s">
        <v>22814</v>
      </c>
    </row>
    <row r="458" spans="1:47" ht="26.25" x14ac:dyDescent="0.4">
      <c r="A458" s="23" t="s">
        <v>22815</v>
      </c>
      <c r="B458" t="s">
        <v>26</v>
      </c>
      <c r="C458" s="23" t="s">
        <v>22813</v>
      </c>
      <c r="D458" t="s">
        <v>26</v>
      </c>
      <c r="E458" s="23" t="s">
        <v>60</v>
      </c>
      <c r="F458" t="s">
        <v>26</v>
      </c>
      <c r="G458" t="s">
        <v>26</v>
      </c>
      <c r="H458" t="s">
        <v>26</v>
      </c>
      <c r="I458" s="24">
        <v>41640</v>
      </c>
      <c r="J458" s="24">
        <v>41640</v>
      </c>
      <c r="K458" t="s">
        <v>26</v>
      </c>
      <c r="L458" s="25" t="s">
        <v>28</v>
      </c>
      <c r="M458" s="24">
        <v>41640</v>
      </c>
      <c r="N458" s="24">
        <v>41640</v>
      </c>
      <c r="O458" t="s">
        <v>26</v>
      </c>
      <c r="P458" t="s">
        <v>26</v>
      </c>
      <c r="Q458" t="s">
        <v>26</v>
      </c>
      <c r="R458" t="s">
        <v>26</v>
      </c>
      <c r="S458" s="24">
        <v>41640</v>
      </c>
      <c r="T458" s="24">
        <v>41640</v>
      </c>
      <c r="U458" t="s">
        <v>26</v>
      </c>
      <c r="V458" t="s">
        <v>26</v>
      </c>
      <c r="W458" s="24">
        <v>41640</v>
      </c>
      <c r="X458" s="24">
        <v>41640</v>
      </c>
      <c r="Y458" t="s">
        <v>26</v>
      </c>
      <c r="Z458" s="24">
        <v>41640</v>
      </c>
      <c r="AA458" s="24">
        <v>41640</v>
      </c>
      <c r="AB458" t="s">
        <v>26</v>
      </c>
      <c r="AC458" s="24">
        <v>41640</v>
      </c>
      <c r="AD458" s="24">
        <v>41640</v>
      </c>
      <c r="AE458" t="s">
        <v>26</v>
      </c>
      <c r="AF458" s="24">
        <v>41640</v>
      </c>
      <c r="AG458" s="24">
        <v>41640</v>
      </c>
      <c r="AH458" t="s">
        <v>26</v>
      </c>
      <c r="AI458" s="24">
        <v>41640</v>
      </c>
      <c r="AJ458" s="24">
        <v>41640</v>
      </c>
      <c r="AK458" t="s">
        <v>26</v>
      </c>
      <c r="AL458" t="s">
        <v>26</v>
      </c>
      <c r="AM458" t="s">
        <v>26</v>
      </c>
      <c r="AN458" t="s">
        <v>26</v>
      </c>
      <c r="AO458" s="25" t="s">
        <v>28</v>
      </c>
      <c r="AP458" s="23" t="s">
        <v>43</v>
      </c>
      <c r="AQ458" s="23" t="s">
        <v>30</v>
      </c>
      <c r="AR458" s="23" t="s">
        <v>44</v>
      </c>
      <c r="AS458" s="25">
        <v>5263184</v>
      </c>
      <c r="AT458" t="s">
        <v>26</v>
      </c>
      <c r="AU458" t="s">
        <v>22816</v>
      </c>
    </row>
    <row r="459" spans="1:47" ht="13.15" x14ac:dyDescent="0.4">
      <c r="A459" s="23" t="s">
        <v>1391</v>
      </c>
      <c r="B459" t="s">
        <v>26</v>
      </c>
      <c r="C459" t="s">
        <v>26</v>
      </c>
      <c r="D459" t="s">
        <v>26</v>
      </c>
      <c r="E459" t="s">
        <v>26</v>
      </c>
      <c r="F459" t="s">
        <v>26</v>
      </c>
      <c r="G459" t="s">
        <v>26</v>
      </c>
      <c r="H459" t="s">
        <v>26</v>
      </c>
      <c r="I459" s="25" t="s">
        <v>930</v>
      </c>
      <c r="J459" s="25" t="s">
        <v>930</v>
      </c>
      <c r="K459" t="s">
        <v>26</v>
      </c>
      <c r="L459" s="25" t="s">
        <v>28</v>
      </c>
      <c r="M459" s="25" t="s">
        <v>930</v>
      </c>
      <c r="N459" s="25" t="s">
        <v>930</v>
      </c>
      <c r="O459" t="s">
        <v>26</v>
      </c>
      <c r="P459" t="s">
        <v>26</v>
      </c>
      <c r="Q459" t="s">
        <v>26</v>
      </c>
      <c r="R459" t="s">
        <v>26</v>
      </c>
      <c r="S459" t="s">
        <v>26</v>
      </c>
      <c r="T459" t="s">
        <v>26</v>
      </c>
      <c r="U459" t="s">
        <v>26</v>
      </c>
      <c r="V459" t="s">
        <v>26</v>
      </c>
      <c r="W459" s="25" t="s">
        <v>930</v>
      </c>
      <c r="X459" s="25" t="s">
        <v>930</v>
      </c>
      <c r="Y459" t="s">
        <v>26</v>
      </c>
      <c r="Z459" s="25" t="s">
        <v>930</v>
      </c>
      <c r="AA459" s="25" t="s">
        <v>930</v>
      </c>
      <c r="AB459" t="s">
        <v>26</v>
      </c>
      <c r="AC459" s="25" t="s">
        <v>930</v>
      </c>
      <c r="AD459" s="25" t="s">
        <v>930</v>
      </c>
      <c r="AE459" t="s">
        <v>26</v>
      </c>
      <c r="AF459" t="s">
        <v>26</v>
      </c>
      <c r="AG459" t="s">
        <v>26</v>
      </c>
      <c r="AH459" t="s">
        <v>26</v>
      </c>
      <c r="AI459" t="s">
        <v>26</v>
      </c>
      <c r="AJ459" t="s">
        <v>26</v>
      </c>
      <c r="AK459" t="s">
        <v>26</v>
      </c>
      <c r="AL459" t="s">
        <v>26</v>
      </c>
      <c r="AM459" t="s">
        <v>26</v>
      </c>
      <c r="AN459" t="s">
        <v>26</v>
      </c>
      <c r="AO459" s="25" t="s">
        <v>28</v>
      </c>
      <c r="AP459" s="23" t="s">
        <v>29</v>
      </c>
      <c r="AQ459" s="23" t="s">
        <v>30</v>
      </c>
      <c r="AR459" s="23" t="s">
        <v>46</v>
      </c>
      <c r="AS459" s="25">
        <v>5983419</v>
      </c>
      <c r="AT459" t="s">
        <v>26</v>
      </c>
      <c r="AU459" t="s">
        <v>22817</v>
      </c>
    </row>
    <row r="460" spans="1:47" ht="13.15" x14ac:dyDescent="0.4">
      <c r="A460" s="23" t="s">
        <v>1392</v>
      </c>
      <c r="B460" t="s">
        <v>26</v>
      </c>
      <c r="C460" t="s">
        <v>26</v>
      </c>
      <c r="D460" s="23" t="s">
        <v>22231</v>
      </c>
      <c r="E460" t="s">
        <v>26</v>
      </c>
      <c r="F460" t="s">
        <v>26</v>
      </c>
      <c r="G460" t="s">
        <v>26</v>
      </c>
      <c r="H460" t="s">
        <v>26</v>
      </c>
      <c r="I460" s="24">
        <v>37257</v>
      </c>
      <c r="J460" s="24">
        <v>37257</v>
      </c>
      <c r="K460" t="s">
        <v>26</v>
      </c>
      <c r="L460" s="25" t="s">
        <v>28</v>
      </c>
      <c r="M460" s="24">
        <v>37257</v>
      </c>
      <c r="N460" s="24">
        <v>37257</v>
      </c>
      <c r="O460" t="s">
        <v>26</v>
      </c>
      <c r="P460" t="s">
        <v>26</v>
      </c>
      <c r="Q460" t="s">
        <v>26</v>
      </c>
      <c r="R460" t="s">
        <v>26</v>
      </c>
      <c r="S460" t="s">
        <v>26</v>
      </c>
      <c r="T460" t="s">
        <v>26</v>
      </c>
      <c r="U460" t="s">
        <v>26</v>
      </c>
      <c r="V460" t="s">
        <v>26</v>
      </c>
      <c r="W460" s="24">
        <v>37257</v>
      </c>
      <c r="X460" s="24">
        <v>37257</v>
      </c>
      <c r="Y460" t="s">
        <v>26</v>
      </c>
      <c r="Z460" s="24">
        <v>37257</v>
      </c>
      <c r="AA460" s="24">
        <v>37257</v>
      </c>
      <c r="AB460" t="s">
        <v>26</v>
      </c>
      <c r="AC460" s="24">
        <v>37257</v>
      </c>
      <c r="AD460" s="24">
        <v>37257</v>
      </c>
      <c r="AE460" t="s">
        <v>26</v>
      </c>
      <c r="AF460" t="s">
        <v>26</v>
      </c>
      <c r="AG460" t="s">
        <v>26</v>
      </c>
      <c r="AH460" t="s">
        <v>26</v>
      </c>
      <c r="AI460" t="s">
        <v>26</v>
      </c>
      <c r="AJ460" t="s">
        <v>26</v>
      </c>
      <c r="AK460" t="s">
        <v>26</v>
      </c>
      <c r="AL460" t="s">
        <v>26</v>
      </c>
      <c r="AM460" t="s">
        <v>26</v>
      </c>
      <c r="AN460" t="s">
        <v>26</v>
      </c>
      <c r="AO460" s="25" t="s">
        <v>28</v>
      </c>
      <c r="AP460" s="23" t="s">
        <v>29</v>
      </c>
      <c r="AQ460" s="23" t="s">
        <v>30</v>
      </c>
      <c r="AR460" s="23" t="s">
        <v>46</v>
      </c>
      <c r="AS460" s="25">
        <v>6059444</v>
      </c>
      <c r="AT460" t="s">
        <v>26</v>
      </c>
      <c r="AU460" t="s">
        <v>22818</v>
      </c>
    </row>
    <row r="461" spans="1:47" ht="26.25" x14ac:dyDescent="0.4">
      <c r="A461" s="23" t="s">
        <v>1393</v>
      </c>
      <c r="B461" t="s">
        <v>26</v>
      </c>
      <c r="C461" s="23" t="s">
        <v>351</v>
      </c>
      <c r="D461" s="23" t="s">
        <v>22242</v>
      </c>
      <c r="E461" s="23" t="s">
        <v>60</v>
      </c>
      <c r="F461" s="25" t="s">
        <v>1394</v>
      </c>
      <c r="G461" s="25" t="s">
        <v>1395</v>
      </c>
      <c r="H461" t="s">
        <v>26</v>
      </c>
      <c r="I461" t="s">
        <v>26</v>
      </c>
      <c r="J461" t="s">
        <v>26</v>
      </c>
      <c r="K461" t="s">
        <v>26</v>
      </c>
      <c r="L461" s="25" t="s">
        <v>68</v>
      </c>
      <c r="M461" t="s">
        <v>26</v>
      </c>
      <c r="N461" t="s">
        <v>26</v>
      </c>
      <c r="O461" t="s">
        <v>26</v>
      </c>
      <c r="P461" t="s">
        <v>26</v>
      </c>
      <c r="Q461" t="s">
        <v>26</v>
      </c>
      <c r="R461" t="s">
        <v>26</v>
      </c>
      <c r="S461" t="s">
        <v>26</v>
      </c>
      <c r="T461" t="s">
        <v>26</v>
      </c>
      <c r="U461" t="s">
        <v>26</v>
      </c>
      <c r="V461" t="s">
        <v>26</v>
      </c>
      <c r="W461" s="24">
        <v>36192</v>
      </c>
      <c r="X461" s="24">
        <v>40087</v>
      </c>
      <c r="Y461" t="s">
        <v>26</v>
      </c>
      <c r="Z461" s="24">
        <v>36192</v>
      </c>
      <c r="AA461" s="24">
        <v>40087</v>
      </c>
      <c r="AB461" t="s">
        <v>26</v>
      </c>
      <c r="AC461" s="24">
        <v>36192</v>
      </c>
      <c r="AD461" s="24">
        <v>40087</v>
      </c>
      <c r="AE461" t="s">
        <v>26</v>
      </c>
      <c r="AF461" t="s">
        <v>26</v>
      </c>
      <c r="AG461" t="s">
        <v>26</v>
      </c>
      <c r="AH461" t="s">
        <v>26</v>
      </c>
      <c r="AI461" t="s">
        <v>26</v>
      </c>
      <c r="AJ461" t="s">
        <v>26</v>
      </c>
      <c r="AK461" t="s">
        <v>26</v>
      </c>
      <c r="AL461" t="s">
        <v>26</v>
      </c>
      <c r="AM461" t="s">
        <v>26</v>
      </c>
      <c r="AN461" t="s">
        <v>26</v>
      </c>
      <c r="AO461" s="25" t="s">
        <v>68</v>
      </c>
      <c r="AP461" s="23" t="s">
        <v>69</v>
      </c>
      <c r="AQ461" s="23" t="s">
        <v>30</v>
      </c>
      <c r="AR461" s="23" t="s">
        <v>1396</v>
      </c>
      <c r="AS461" s="25">
        <v>35981</v>
      </c>
      <c r="AT461" t="s">
        <v>26</v>
      </c>
      <c r="AU461" t="s">
        <v>22819</v>
      </c>
    </row>
    <row r="462" spans="1:47" ht="26.25" x14ac:dyDescent="0.4">
      <c r="A462" s="23" t="s">
        <v>1397</v>
      </c>
      <c r="B462" t="s">
        <v>26</v>
      </c>
      <c r="C462" s="23" t="s">
        <v>73</v>
      </c>
      <c r="D462" s="23" t="s">
        <v>22179</v>
      </c>
      <c r="E462" s="23" t="s">
        <v>74</v>
      </c>
      <c r="F462" s="25" t="s">
        <v>1398</v>
      </c>
      <c r="G462" s="25" t="s">
        <v>1399</v>
      </c>
      <c r="H462" t="s">
        <v>26</v>
      </c>
      <c r="I462" s="24">
        <v>39508</v>
      </c>
      <c r="J462" s="25" t="s">
        <v>77</v>
      </c>
      <c r="K462" t="s">
        <v>26</v>
      </c>
      <c r="L462" s="25" t="s">
        <v>68</v>
      </c>
      <c r="M462" s="24">
        <v>39508</v>
      </c>
      <c r="N462" s="24">
        <v>42705</v>
      </c>
      <c r="O462" t="s">
        <v>26</v>
      </c>
      <c r="P462" s="24">
        <v>39508</v>
      </c>
      <c r="Q462" s="25" t="s">
        <v>77</v>
      </c>
      <c r="R462" t="s">
        <v>26</v>
      </c>
      <c r="S462" t="s">
        <v>26</v>
      </c>
      <c r="T462" t="s">
        <v>26</v>
      </c>
      <c r="U462" t="s">
        <v>26</v>
      </c>
      <c r="V462" s="25">
        <v>365</v>
      </c>
      <c r="W462" s="24">
        <v>39508</v>
      </c>
      <c r="X462" s="25" t="s">
        <v>77</v>
      </c>
      <c r="Y462" t="s">
        <v>26</v>
      </c>
      <c r="Z462" s="24">
        <v>39508</v>
      </c>
      <c r="AA462" s="25" t="s">
        <v>77</v>
      </c>
      <c r="AB462" t="s">
        <v>26</v>
      </c>
      <c r="AC462" s="24">
        <v>39508</v>
      </c>
      <c r="AD462" s="25" t="s">
        <v>77</v>
      </c>
      <c r="AE462" t="s">
        <v>26</v>
      </c>
      <c r="AF462" t="s">
        <v>26</v>
      </c>
      <c r="AG462" t="s">
        <v>26</v>
      </c>
      <c r="AH462" t="s">
        <v>26</v>
      </c>
      <c r="AI462" t="s">
        <v>26</v>
      </c>
      <c r="AJ462" t="s">
        <v>26</v>
      </c>
      <c r="AK462" t="s">
        <v>26</v>
      </c>
      <c r="AL462" t="s">
        <v>26</v>
      </c>
      <c r="AM462" t="s">
        <v>26</v>
      </c>
      <c r="AN462" t="s">
        <v>26</v>
      </c>
      <c r="AO462" s="25" t="s">
        <v>68</v>
      </c>
      <c r="AP462" s="23" t="s">
        <v>69</v>
      </c>
      <c r="AQ462" s="23" t="s">
        <v>30</v>
      </c>
      <c r="AR462" s="23" t="s">
        <v>1400</v>
      </c>
      <c r="AS462" s="25">
        <v>54772</v>
      </c>
      <c r="AT462" t="s">
        <v>26</v>
      </c>
      <c r="AU462" t="s">
        <v>22820</v>
      </c>
    </row>
    <row r="463" spans="1:47" ht="26.25" x14ac:dyDescent="0.4">
      <c r="A463" s="23" t="s">
        <v>1401</v>
      </c>
      <c r="B463" t="s">
        <v>26</v>
      </c>
      <c r="C463" s="23" t="s">
        <v>65</v>
      </c>
      <c r="D463" s="23" t="s">
        <v>22179</v>
      </c>
      <c r="E463" s="23" t="s">
        <v>42</v>
      </c>
      <c r="F463" s="25" t="s">
        <v>1402</v>
      </c>
      <c r="G463" s="25" t="s">
        <v>1403</v>
      </c>
      <c r="H463" t="s">
        <v>26</v>
      </c>
      <c r="I463" s="24">
        <v>36923</v>
      </c>
      <c r="J463" s="24">
        <v>43070</v>
      </c>
      <c r="K463" t="s">
        <v>26</v>
      </c>
      <c r="L463" s="25" t="s">
        <v>68</v>
      </c>
      <c r="M463" s="24">
        <v>36923</v>
      </c>
      <c r="N463" s="24">
        <v>38687</v>
      </c>
      <c r="O463" t="s">
        <v>26</v>
      </c>
      <c r="P463" s="24">
        <v>36923</v>
      </c>
      <c r="Q463" s="24">
        <v>43070</v>
      </c>
      <c r="R463" t="s">
        <v>26</v>
      </c>
      <c r="S463" t="s">
        <v>26</v>
      </c>
      <c r="T463" t="s">
        <v>26</v>
      </c>
      <c r="U463" t="s">
        <v>26</v>
      </c>
      <c r="V463" t="s">
        <v>26</v>
      </c>
      <c r="W463" s="24">
        <v>36923</v>
      </c>
      <c r="X463" s="24">
        <v>43070</v>
      </c>
      <c r="Y463" t="s">
        <v>26</v>
      </c>
      <c r="Z463" s="24">
        <v>36923</v>
      </c>
      <c r="AA463" s="24">
        <v>43070</v>
      </c>
      <c r="AB463" t="s">
        <v>26</v>
      </c>
      <c r="AC463" s="24">
        <v>42826</v>
      </c>
      <c r="AD463" s="24">
        <v>43070</v>
      </c>
      <c r="AE463" t="s">
        <v>26</v>
      </c>
      <c r="AF463" t="s">
        <v>26</v>
      </c>
      <c r="AG463" t="s">
        <v>26</v>
      </c>
      <c r="AH463" t="s">
        <v>26</v>
      </c>
      <c r="AI463" t="s">
        <v>26</v>
      </c>
      <c r="AJ463" t="s">
        <v>26</v>
      </c>
      <c r="AK463" t="s">
        <v>26</v>
      </c>
      <c r="AL463" t="s">
        <v>26</v>
      </c>
      <c r="AM463" t="s">
        <v>26</v>
      </c>
      <c r="AN463" t="s">
        <v>26</v>
      </c>
      <c r="AO463" s="25" t="s">
        <v>68</v>
      </c>
      <c r="AP463" s="23" t="s">
        <v>69</v>
      </c>
      <c r="AQ463" s="23" t="s">
        <v>30</v>
      </c>
      <c r="AR463" s="23" t="s">
        <v>1404</v>
      </c>
      <c r="AS463" s="25">
        <v>44811</v>
      </c>
      <c r="AT463" t="s">
        <v>26</v>
      </c>
      <c r="AU463" t="s">
        <v>22821</v>
      </c>
    </row>
    <row r="464" spans="1:47" ht="26.25" x14ac:dyDescent="0.4">
      <c r="A464" s="23" t="s">
        <v>1405</v>
      </c>
      <c r="B464" t="s">
        <v>26</v>
      </c>
      <c r="C464" s="23" t="s">
        <v>73</v>
      </c>
      <c r="D464" s="23" t="s">
        <v>22179</v>
      </c>
      <c r="E464" s="23" t="s">
        <v>74</v>
      </c>
      <c r="F464" s="25" t="s">
        <v>1406</v>
      </c>
      <c r="G464" s="25" t="s">
        <v>1407</v>
      </c>
      <c r="H464" t="s">
        <v>26</v>
      </c>
      <c r="I464" s="24">
        <v>38565</v>
      </c>
      <c r="J464" s="25" t="s">
        <v>77</v>
      </c>
      <c r="K464" t="s">
        <v>26</v>
      </c>
      <c r="L464" s="25" t="s">
        <v>68</v>
      </c>
      <c r="M464" s="24">
        <v>38565</v>
      </c>
      <c r="N464" s="24">
        <v>42887</v>
      </c>
      <c r="O464" t="s">
        <v>26</v>
      </c>
      <c r="P464" s="24">
        <v>38565</v>
      </c>
      <c r="Q464" s="25" t="s">
        <v>77</v>
      </c>
      <c r="R464" t="s">
        <v>26</v>
      </c>
      <c r="S464" t="s">
        <v>26</v>
      </c>
      <c r="T464" t="s">
        <v>26</v>
      </c>
      <c r="U464" t="s">
        <v>26</v>
      </c>
      <c r="V464" s="25">
        <v>365</v>
      </c>
      <c r="W464" s="24">
        <v>34731</v>
      </c>
      <c r="X464" s="25" t="s">
        <v>77</v>
      </c>
      <c r="Y464" t="s">
        <v>26</v>
      </c>
      <c r="Z464" s="24">
        <v>34731</v>
      </c>
      <c r="AA464" s="25" t="s">
        <v>77</v>
      </c>
      <c r="AB464" t="s">
        <v>26</v>
      </c>
      <c r="AC464" s="24">
        <v>34731</v>
      </c>
      <c r="AD464" s="25" t="s">
        <v>77</v>
      </c>
      <c r="AE464" t="s">
        <v>26</v>
      </c>
      <c r="AF464" t="s">
        <v>26</v>
      </c>
      <c r="AG464" t="s">
        <v>26</v>
      </c>
      <c r="AH464" t="s">
        <v>26</v>
      </c>
      <c r="AI464" t="s">
        <v>26</v>
      </c>
      <c r="AJ464" t="s">
        <v>26</v>
      </c>
      <c r="AK464" t="s">
        <v>26</v>
      </c>
      <c r="AL464" t="s">
        <v>26</v>
      </c>
      <c r="AM464" t="s">
        <v>26</v>
      </c>
      <c r="AN464" t="s">
        <v>26</v>
      </c>
      <c r="AO464" s="25" t="s">
        <v>68</v>
      </c>
      <c r="AP464" s="23" t="s">
        <v>69</v>
      </c>
      <c r="AQ464" s="23" t="s">
        <v>30</v>
      </c>
      <c r="AR464" s="23" t="s">
        <v>1408</v>
      </c>
      <c r="AS464" s="25">
        <v>37911</v>
      </c>
      <c r="AT464" t="s">
        <v>26</v>
      </c>
      <c r="AU464" t="s">
        <v>22822</v>
      </c>
    </row>
    <row r="465" spans="1:47" ht="26.25" x14ac:dyDescent="0.4">
      <c r="A465" s="23" t="s">
        <v>1409</v>
      </c>
      <c r="B465" t="s">
        <v>26</v>
      </c>
      <c r="C465" s="23" t="s">
        <v>80</v>
      </c>
      <c r="D465" s="23" t="s">
        <v>22174</v>
      </c>
      <c r="E465" s="23" t="s">
        <v>60</v>
      </c>
      <c r="F465" s="25" t="s">
        <v>1410</v>
      </c>
      <c r="G465" s="25" t="s">
        <v>1411</v>
      </c>
      <c r="H465" t="s">
        <v>26</v>
      </c>
      <c r="I465" t="s">
        <v>26</v>
      </c>
      <c r="J465" t="s">
        <v>26</v>
      </c>
      <c r="K465" t="s">
        <v>26</v>
      </c>
      <c r="L465" s="25" t="s">
        <v>68</v>
      </c>
      <c r="M465" t="s">
        <v>26</v>
      </c>
      <c r="N465" t="s">
        <v>26</v>
      </c>
      <c r="O465" t="s">
        <v>26</v>
      </c>
      <c r="P465" t="s">
        <v>26</v>
      </c>
      <c r="Q465" t="s">
        <v>26</v>
      </c>
      <c r="R465" t="s">
        <v>26</v>
      </c>
      <c r="S465" t="s">
        <v>26</v>
      </c>
      <c r="T465" t="s">
        <v>26</v>
      </c>
      <c r="U465" t="s">
        <v>26</v>
      </c>
      <c r="V465" t="s">
        <v>26</v>
      </c>
      <c r="W465" s="24">
        <v>38078</v>
      </c>
      <c r="X465" s="25" t="s">
        <v>77</v>
      </c>
      <c r="Y465" t="s">
        <v>26</v>
      </c>
      <c r="Z465" s="24">
        <v>38078</v>
      </c>
      <c r="AA465" s="25" t="s">
        <v>77</v>
      </c>
      <c r="AB465" t="s">
        <v>26</v>
      </c>
      <c r="AC465" s="24">
        <v>38078</v>
      </c>
      <c r="AD465" s="25" t="s">
        <v>77</v>
      </c>
      <c r="AE465" t="s">
        <v>26</v>
      </c>
      <c r="AF465" t="s">
        <v>26</v>
      </c>
      <c r="AG465" t="s">
        <v>26</v>
      </c>
      <c r="AH465" t="s">
        <v>26</v>
      </c>
      <c r="AI465" t="s">
        <v>26</v>
      </c>
      <c r="AJ465" t="s">
        <v>26</v>
      </c>
      <c r="AK465" t="s">
        <v>26</v>
      </c>
      <c r="AL465" t="s">
        <v>26</v>
      </c>
      <c r="AM465" t="s">
        <v>26</v>
      </c>
      <c r="AN465" t="s">
        <v>26</v>
      </c>
      <c r="AO465" s="25" t="s">
        <v>68</v>
      </c>
      <c r="AP465" s="23" t="s">
        <v>69</v>
      </c>
      <c r="AQ465" s="23" t="s">
        <v>30</v>
      </c>
      <c r="AR465" s="23" t="s">
        <v>46</v>
      </c>
      <c r="AS465" s="25">
        <v>47006</v>
      </c>
      <c r="AT465" t="s">
        <v>26</v>
      </c>
      <c r="AU465" t="s">
        <v>22823</v>
      </c>
    </row>
    <row r="466" spans="1:47" ht="26.25" x14ac:dyDescent="0.4">
      <c r="A466" s="23" t="s">
        <v>1412</v>
      </c>
      <c r="B466" t="s">
        <v>26</v>
      </c>
      <c r="C466" s="23" t="s">
        <v>172</v>
      </c>
      <c r="D466" s="23" t="s">
        <v>22242</v>
      </c>
      <c r="E466" s="23" t="s">
        <v>60</v>
      </c>
      <c r="F466" s="25" t="s">
        <v>1413</v>
      </c>
      <c r="G466" s="25" t="s">
        <v>1414</v>
      </c>
      <c r="H466" t="s">
        <v>26</v>
      </c>
      <c r="I466" t="s">
        <v>26</v>
      </c>
      <c r="J466" t="s">
        <v>26</v>
      </c>
      <c r="K466" t="s">
        <v>26</v>
      </c>
      <c r="L466" s="25" t="s">
        <v>68</v>
      </c>
      <c r="M466" t="s">
        <v>26</v>
      </c>
      <c r="N466" t="s">
        <v>26</v>
      </c>
      <c r="O466" t="s">
        <v>26</v>
      </c>
      <c r="P466" t="s">
        <v>26</v>
      </c>
      <c r="Q466" t="s">
        <v>26</v>
      </c>
      <c r="R466" t="s">
        <v>26</v>
      </c>
      <c r="S466" t="s">
        <v>26</v>
      </c>
      <c r="T466" t="s">
        <v>26</v>
      </c>
      <c r="U466" t="s">
        <v>26</v>
      </c>
      <c r="V466" t="s">
        <v>26</v>
      </c>
      <c r="W466" s="24">
        <v>38292</v>
      </c>
      <c r="X466" s="25" t="s">
        <v>77</v>
      </c>
      <c r="Y466" t="s">
        <v>26</v>
      </c>
      <c r="Z466" s="24">
        <v>38292</v>
      </c>
      <c r="AA466" s="25" t="s">
        <v>77</v>
      </c>
      <c r="AB466" t="s">
        <v>26</v>
      </c>
      <c r="AC466" s="24">
        <v>38292</v>
      </c>
      <c r="AD466" s="25" t="s">
        <v>77</v>
      </c>
      <c r="AE466" t="s">
        <v>26</v>
      </c>
      <c r="AF466" t="s">
        <v>26</v>
      </c>
      <c r="AG466" t="s">
        <v>26</v>
      </c>
      <c r="AH466" t="s">
        <v>26</v>
      </c>
      <c r="AI466" t="s">
        <v>26</v>
      </c>
      <c r="AJ466" t="s">
        <v>26</v>
      </c>
      <c r="AK466" t="s">
        <v>26</v>
      </c>
      <c r="AL466" t="s">
        <v>26</v>
      </c>
      <c r="AM466" t="s">
        <v>26</v>
      </c>
      <c r="AN466" t="s">
        <v>26</v>
      </c>
      <c r="AO466" s="25" t="s">
        <v>68</v>
      </c>
      <c r="AP466" s="23" t="s">
        <v>69</v>
      </c>
      <c r="AQ466" s="23" t="s">
        <v>30</v>
      </c>
      <c r="AR466" s="23" t="s">
        <v>1415</v>
      </c>
      <c r="AS466" s="25">
        <v>33491</v>
      </c>
      <c r="AT466" t="s">
        <v>26</v>
      </c>
      <c r="AU466" t="s">
        <v>22824</v>
      </c>
    </row>
    <row r="467" spans="1:47" ht="26.25" x14ac:dyDescent="0.4">
      <c r="A467" s="23" t="s">
        <v>1416</v>
      </c>
      <c r="B467" t="s">
        <v>26</v>
      </c>
      <c r="C467" s="23" t="s">
        <v>73</v>
      </c>
      <c r="D467" s="23" t="s">
        <v>22179</v>
      </c>
      <c r="E467" s="23" t="s">
        <v>74</v>
      </c>
      <c r="F467" s="25" t="s">
        <v>1417</v>
      </c>
      <c r="G467" s="25" t="s">
        <v>1418</v>
      </c>
      <c r="H467" t="s">
        <v>26</v>
      </c>
      <c r="I467" s="24">
        <v>35462</v>
      </c>
      <c r="J467" s="25" t="s">
        <v>77</v>
      </c>
      <c r="K467" t="s">
        <v>26</v>
      </c>
      <c r="L467" s="25" t="s">
        <v>68</v>
      </c>
      <c r="M467" s="24">
        <v>38018</v>
      </c>
      <c r="N467" s="24">
        <v>42887</v>
      </c>
      <c r="O467" t="s">
        <v>26</v>
      </c>
      <c r="P467" s="24">
        <v>35462</v>
      </c>
      <c r="Q467" s="25" t="s">
        <v>77</v>
      </c>
      <c r="R467" t="s">
        <v>26</v>
      </c>
      <c r="S467" t="s">
        <v>26</v>
      </c>
      <c r="T467" t="s">
        <v>26</v>
      </c>
      <c r="U467" t="s">
        <v>26</v>
      </c>
      <c r="V467" s="25">
        <v>365</v>
      </c>
      <c r="W467" s="24">
        <v>35462</v>
      </c>
      <c r="X467" s="25" t="s">
        <v>77</v>
      </c>
      <c r="Y467" t="s">
        <v>26</v>
      </c>
      <c r="Z467" s="24">
        <v>35462</v>
      </c>
      <c r="AA467" s="25" t="s">
        <v>77</v>
      </c>
      <c r="AB467" t="s">
        <v>26</v>
      </c>
      <c r="AC467" s="24">
        <v>35462</v>
      </c>
      <c r="AD467" s="25" t="s">
        <v>77</v>
      </c>
      <c r="AE467" t="s">
        <v>26</v>
      </c>
      <c r="AF467" t="s">
        <v>26</v>
      </c>
      <c r="AG467" t="s">
        <v>26</v>
      </c>
      <c r="AH467" t="s">
        <v>26</v>
      </c>
      <c r="AI467" t="s">
        <v>26</v>
      </c>
      <c r="AJ467" t="s">
        <v>26</v>
      </c>
      <c r="AK467" t="s">
        <v>26</v>
      </c>
      <c r="AL467" t="s">
        <v>26</v>
      </c>
      <c r="AM467" t="s">
        <v>26</v>
      </c>
      <c r="AN467" t="s">
        <v>26</v>
      </c>
      <c r="AO467" s="25" t="s">
        <v>68</v>
      </c>
      <c r="AP467" s="23" t="s">
        <v>69</v>
      </c>
      <c r="AQ467" s="23" t="s">
        <v>30</v>
      </c>
      <c r="AR467" s="23" t="s">
        <v>1419</v>
      </c>
      <c r="AS467" s="25">
        <v>54018</v>
      </c>
      <c r="AT467" t="s">
        <v>26</v>
      </c>
      <c r="AU467" t="s">
        <v>22825</v>
      </c>
    </row>
    <row r="468" spans="1:47" ht="26.25" x14ac:dyDescent="0.4">
      <c r="A468" s="23" t="s">
        <v>1420</v>
      </c>
      <c r="B468" t="s">
        <v>26</v>
      </c>
      <c r="C468" s="23" t="s">
        <v>80</v>
      </c>
      <c r="D468" s="23" t="s">
        <v>22184</v>
      </c>
      <c r="E468" s="23" t="s">
        <v>60</v>
      </c>
      <c r="F468" s="25" t="s">
        <v>1421</v>
      </c>
      <c r="G468" s="25" t="s">
        <v>1422</v>
      </c>
      <c r="H468" t="s">
        <v>26</v>
      </c>
      <c r="I468" t="s">
        <v>26</v>
      </c>
      <c r="J468" t="s">
        <v>26</v>
      </c>
      <c r="K468" t="s">
        <v>26</v>
      </c>
      <c r="L468" s="25" t="s">
        <v>68</v>
      </c>
      <c r="M468" t="s">
        <v>26</v>
      </c>
      <c r="N468" t="s">
        <v>26</v>
      </c>
      <c r="O468" t="s">
        <v>26</v>
      </c>
      <c r="P468" t="s">
        <v>26</v>
      </c>
      <c r="Q468" t="s">
        <v>26</v>
      </c>
      <c r="R468" t="s">
        <v>26</v>
      </c>
      <c r="S468" t="s">
        <v>26</v>
      </c>
      <c r="T468" t="s">
        <v>26</v>
      </c>
      <c r="U468" t="s">
        <v>26</v>
      </c>
      <c r="V468" t="s">
        <v>26</v>
      </c>
      <c r="W468" s="24">
        <v>40909</v>
      </c>
      <c r="X468" s="25" t="s">
        <v>77</v>
      </c>
      <c r="Y468" t="s">
        <v>26</v>
      </c>
      <c r="Z468" s="24">
        <v>40909</v>
      </c>
      <c r="AA468" s="25" t="s">
        <v>77</v>
      </c>
      <c r="AB468" t="s">
        <v>26</v>
      </c>
      <c r="AC468" s="24">
        <v>40909</v>
      </c>
      <c r="AD468" s="25" t="s">
        <v>77</v>
      </c>
      <c r="AE468" t="s">
        <v>26</v>
      </c>
      <c r="AF468" t="s">
        <v>26</v>
      </c>
      <c r="AG468" t="s">
        <v>26</v>
      </c>
      <c r="AH468" t="s">
        <v>26</v>
      </c>
      <c r="AI468" t="s">
        <v>26</v>
      </c>
      <c r="AJ468" t="s">
        <v>26</v>
      </c>
      <c r="AK468" t="s">
        <v>26</v>
      </c>
      <c r="AL468" t="s">
        <v>26</v>
      </c>
      <c r="AM468" t="s">
        <v>26</v>
      </c>
      <c r="AN468" t="s">
        <v>26</v>
      </c>
      <c r="AO468" s="25" t="s">
        <v>68</v>
      </c>
      <c r="AP468" s="23" t="s">
        <v>69</v>
      </c>
      <c r="AQ468" s="23" t="s">
        <v>30</v>
      </c>
      <c r="AR468" s="23" t="s">
        <v>1415</v>
      </c>
      <c r="AS468" s="25">
        <v>52925</v>
      </c>
      <c r="AT468" t="s">
        <v>26</v>
      </c>
      <c r="AU468" t="s">
        <v>22826</v>
      </c>
    </row>
    <row r="469" spans="1:47" ht="26.25" x14ac:dyDescent="0.4">
      <c r="A469" s="23" t="s">
        <v>1420</v>
      </c>
      <c r="B469" t="s">
        <v>26</v>
      </c>
      <c r="C469" s="23" t="s">
        <v>80</v>
      </c>
      <c r="D469" s="23" t="s">
        <v>22184</v>
      </c>
      <c r="E469" s="23" t="s">
        <v>60</v>
      </c>
      <c r="F469" s="25" t="s">
        <v>1421</v>
      </c>
      <c r="G469" s="25" t="s">
        <v>1422</v>
      </c>
      <c r="H469" t="s">
        <v>26</v>
      </c>
      <c r="I469" t="s">
        <v>26</v>
      </c>
      <c r="J469" t="s">
        <v>26</v>
      </c>
      <c r="K469" t="s">
        <v>26</v>
      </c>
      <c r="L469" s="25" t="s">
        <v>68</v>
      </c>
      <c r="M469" t="s">
        <v>26</v>
      </c>
      <c r="N469" t="s">
        <v>26</v>
      </c>
      <c r="O469" t="s">
        <v>26</v>
      </c>
      <c r="P469" t="s">
        <v>26</v>
      </c>
      <c r="Q469" t="s">
        <v>26</v>
      </c>
      <c r="R469" t="s">
        <v>26</v>
      </c>
      <c r="S469" t="s">
        <v>26</v>
      </c>
      <c r="T469" t="s">
        <v>26</v>
      </c>
      <c r="U469" t="s">
        <v>26</v>
      </c>
      <c r="V469" t="s">
        <v>26</v>
      </c>
      <c r="W469" s="24">
        <v>42278</v>
      </c>
      <c r="X469" s="24">
        <v>43831</v>
      </c>
      <c r="Y469" s="25" t="s">
        <v>833</v>
      </c>
      <c r="Z469" s="24">
        <v>42278</v>
      </c>
      <c r="AA469" s="24">
        <v>43831</v>
      </c>
      <c r="AB469" s="25" t="s">
        <v>833</v>
      </c>
      <c r="AC469" s="24">
        <v>42278</v>
      </c>
      <c r="AD469" s="24">
        <v>43831</v>
      </c>
      <c r="AE469" s="25" t="s">
        <v>833</v>
      </c>
      <c r="AF469" t="s">
        <v>26</v>
      </c>
      <c r="AG469" t="s">
        <v>26</v>
      </c>
      <c r="AH469" t="s">
        <v>26</v>
      </c>
      <c r="AI469" t="s">
        <v>26</v>
      </c>
      <c r="AJ469" t="s">
        <v>26</v>
      </c>
      <c r="AK469" t="s">
        <v>26</v>
      </c>
      <c r="AL469" t="s">
        <v>26</v>
      </c>
      <c r="AM469" t="s">
        <v>26</v>
      </c>
      <c r="AN469" t="s">
        <v>26</v>
      </c>
      <c r="AO469" s="25" t="s">
        <v>68</v>
      </c>
      <c r="AP469" s="23" t="s">
        <v>69</v>
      </c>
      <c r="AQ469" s="23" t="s">
        <v>30</v>
      </c>
      <c r="AR469" s="23" t="s">
        <v>1415</v>
      </c>
      <c r="AS469" s="25">
        <v>2040016</v>
      </c>
      <c r="AT469" t="s">
        <v>26</v>
      </c>
      <c r="AU469" t="s">
        <v>22827</v>
      </c>
    </row>
    <row r="470" spans="1:47" ht="39.4" x14ac:dyDescent="0.4">
      <c r="A470" s="23" t="s">
        <v>1423</v>
      </c>
      <c r="B470" t="s">
        <v>26</v>
      </c>
      <c r="C470" s="23" t="s">
        <v>176</v>
      </c>
      <c r="D470" s="23" t="s">
        <v>22242</v>
      </c>
      <c r="E470" s="23" t="s">
        <v>60</v>
      </c>
      <c r="F470" s="25" t="s">
        <v>1424</v>
      </c>
      <c r="G470" s="25" t="s">
        <v>1425</v>
      </c>
      <c r="H470" t="s">
        <v>26</v>
      </c>
      <c r="I470" t="s">
        <v>26</v>
      </c>
      <c r="J470" t="s">
        <v>26</v>
      </c>
      <c r="K470" t="s">
        <v>26</v>
      </c>
      <c r="L470" s="25" t="s">
        <v>68</v>
      </c>
      <c r="M470" t="s">
        <v>26</v>
      </c>
      <c r="N470" t="s">
        <v>26</v>
      </c>
      <c r="O470" t="s">
        <v>26</v>
      </c>
      <c r="P470" t="s">
        <v>26</v>
      </c>
      <c r="Q470" t="s">
        <v>26</v>
      </c>
      <c r="R470" t="s">
        <v>26</v>
      </c>
      <c r="S470" t="s">
        <v>26</v>
      </c>
      <c r="T470" t="s">
        <v>26</v>
      </c>
      <c r="U470" t="s">
        <v>26</v>
      </c>
      <c r="V470" t="s">
        <v>26</v>
      </c>
      <c r="W470" s="24">
        <v>33604</v>
      </c>
      <c r="X470" s="24">
        <v>45047</v>
      </c>
      <c r="Y470" t="s">
        <v>26</v>
      </c>
      <c r="Z470" s="24">
        <v>33604</v>
      </c>
      <c r="AA470" s="24">
        <v>45047</v>
      </c>
      <c r="AB470" t="s">
        <v>26</v>
      </c>
      <c r="AC470" s="24">
        <v>33604</v>
      </c>
      <c r="AD470" s="24">
        <v>45017</v>
      </c>
      <c r="AE470" t="s">
        <v>26</v>
      </c>
      <c r="AF470" t="s">
        <v>26</v>
      </c>
      <c r="AG470" t="s">
        <v>26</v>
      </c>
      <c r="AH470" t="s">
        <v>26</v>
      </c>
      <c r="AI470" t="s">
        <v>26</v>
      </c>
      <c r="AJ470" t="s">
        <v>26</v>
      </c>
      <c r="AK470" t="s">
        <v>26</v>
      </c>
      <c r="AL470" t="s">
        <v>26</v>
      </c>
      <c r="AM470" t="s">
        <v>26</v>
      </c>
      <c r="AN470" t="s">
        <v>26</v>
      </c>
      <c r="AO470" s="25" t="s">
        <v>68</v>
      </c>
      <c r="AP470" s="23" t="s">
        <v>69</v>
      </c>
      <c r="AQ470" s="23" t="s">
        <v>30</v>
      </c>
      <c r="AR470" s="23" t="s">
        <v>1426</v>
      </c>
      <c r="AS470" s="25">
        <v>46284</v>
      </c>
      <c r="AT470" t="s">
        <v>26</v>
      </c>
      <c r="AU470" t="s">
        <v>22828</v>
      </c>
    </row>
    <row r="471" spans="1:47" ht="26.25" x14ac:dyDescent="0.4">
      <c r="A471" s="23" t="s">
        <v>1427</v>
      </c>
      <c r="B471" t="s">
        <v>26</v>
      </c>
      <c r="C471" s="23" t="s">
        <v>320</v>
      </c>
      <c r="D471" s="23" t="s">
        <v>22294</v>
      </c>
      <c r="E471" s="23" t="s">
        <v>42</v>
      </c>
      <c r="F471" s="25" t="s">
        <v>1428</v>
      </c>
      <c r="G471" s="25" t="s">
        <v>1429</v>
      </c>
      <c r="H471" t="s">
        <v>26</v>
      </c>
      <c r="I471" t="s">
        <v>26</v>
      </c>
      <c r="J471" t="s">
        <v>26</v>
      </c>
      <c r="K471" t="s">
        <v>26</v>
      </c>
      <c r="L471" s="25" t="s">
        <v>68</v>
      </c>
      <c r="M471" t="s">
        <v>26</v>
      </c>
      <c r="N471" t="s">
        <v>26</v>
      </c>
      <c r="O471" t="s">
        <v>26</v>
      </c>
      <c r="P471" t="s">
        <v>26</v>
      </c>
      <c r="Q471" t="s">
        <v>26</v>
      </c>
      <c r="R471" t="s">
        <v>26</v>
      </c>
      <c r="S471" t="s">
        <v>26</v>
      </c>
      <c r="T471" t="s">
        <v>26</v>
      </c>
      <c r="U471" t="s">
        <v>26</v>
      </c>
      <c r="V471" t="s">
        <v>26</v>
      </c>
      <c r="W471" s="24">
        <v>40179</v>
      </c>
      <c r="X471" s="25" t="s">
        <v>77</v>
      </c>
      <c r="Y471" t="s">
        <v>26</v>
      </c>
      <c r="Z471" s="24">
        <v>40179</v>
      </c>
      <c r="AA471" s="25" t="s">
        <v>77</v>
      </c>
      <c r="AB471" t="s">
        <v>26</v>
      </c>
      <c r="AC471" s="24">
        <v>40179</v>
      </c>
      <c r="AD471" s="25" t="s">
        <v>77</v>
      </c>
      <c r="AE471" t="s">
        <v>26</v>
      </c>
      <c r="AF471" t="s">
        <v>26</v>
      </c>
      <c r="AG471" t="s">
        <v>26</v>
      </c>
      <c r="AH471" t="s">
        <v>26</v>
      </c>
      <c r="AI471" t="s">
        <v>26</v>
      </c>
      <c r="AJ471" t="s">
        <v>26</v>
      </c>
      <c r="AK471" t="s">
        <v>26</v>
      </c>
      <c r="AL471" t="s">
        <v>26</v>
      </c>
      <c r="AM471" t="s">
        <v>26</v>
      </c>
      <c r="AN471" t="s">
        <v>26</v>
      </c>
      <c r="AO471" s="25" t="s">
        <v>68</v>
      </c>
      <c r="AP471" s="23" t="s">
        <v>69</v>
      </c>
      <c r="AQ471" s="23" t="s">
        <v>30</v>
      </c>
      <c r="AR471" s="23" t="s">
        <v>1046</v>
      </c>
      <c r="AS471" s="25">
        <v>196251</v>
      </c>
      <c r="AT471" t="s">
        <v>26</v>
      </c>
      <c r="AU471" t="s">
        <v>22829</v>
      </c>
    </row>
    <row r="472" spans="1:47" ht="26.25" x14ac:dyDescent="0.4">
      <c r="A472" s="23" t="s">
        <v>1430</v>
      </c>
      <c r="B472" t="s">
        <v>26</v>
      </c>
      <c r="C472" s="23" t="s">
        <v>80</v>
      </c>
      <c r="D472" s="23" t="s">
        <v>22184</v>
      </c>
      <c r="E472" s="23" t="s">
        <v>60</v>
      </c>
      <c r="F472" s="25" t="s">
        <v>1431</v>
      </c>
      <c r="G472" s="25" t="s">
        <v>1432</v>
      </c>
      <c r="H472" t="s">
        <v>26</v>
      </c>
      <c r="I472" t="s">
        <v>26</v>
      </c>
      <c r="J472" t="s">
        <v>26</v>
      </c>
      <c r="K472" t="s">
        <v>26</v>
      </c>
      <c r="L472" s="25" t="s">
        <v>68</v>
      </c>
      <c r="M472" t="s">
        <v>26</v>
      </c>
      <c r="N472" t="s">
        <v>26</v>
      </c>
      <c r="O472" t="s">
        <v>26</v>
      </c>
      <c r="P472" t="s">
        <v>26</v>
      </c>
      <c r="Q472" t="s">
        <v>26</v>
      </c>
      <c r="R472" t="s">
        <v>26</v>
      </c>
      <c r="S472" t="s">
        <v>26</v>
      </c>
      <c r="T472" t="s">
        <v>26</v>
      </c>
      <c r="U472" t="s">
        <v>26</v>
      </c>
      <c r="V472" t="s">
        <v>26</v>
      </c>
      <c r="W472" s="24">
        <v>40909</v>
      </c>
      <c r="X472" s="25" t="s">
        <v>77</v>
      </c>
      <c r="Y472" t="s">
        <v>26</v>
      </c>
      <c r="Z472" s="24">
        <v>40909</v>
      </c>
      <c r="AA472" s="25" t="s">
        <v>77</v>
      </c>
      <c r="AB472" t="s">
        <v>26</v>
      </c>
      <c r="AC472" s="24">
        <v>40909</v>
      </c>
      <c r="AD472" s="25" t="s">
        <v>77</v>
      </c>
      <c r="AE472" t="s">
        <v>26</v>
      </c>
      <c r="AF472" t="s">
        <v>26</v>
      </c>
      <c r="AG472" t="s">
        <v>26</v>
      </c>
      <c r="AH472" t="s">
        <v>26</v>
      </c>
      <c r="AI472" t="s">
        <v>26</v>
      </c>
      <c r="AJ472" t="s">
        <v>26</v>
      </c>
      <c r="AK472" t="s">
        <v>26</v>
      </c>
      <c r="AL472" t="s">
        <v>26</v>
      </c>
      <c r="AM472" t="s">
        <v>26</v>
      </c>
      <c r="AN472" t="s">
        <v>26</v>
      </c>
      <c r="AO472" s="25" t="s">
        <v>68</v>
      </c>
      <c r="AP472" s="23" t="s">
        <v>69</v>
      </c>
      <c r="AQ472" s="23" t="s">
        <v>30</v>
      </c>
      <c r="AR472" s="23" t="s">
        <v>1433</v>
      </c>
      <c r="AS472" s="25">
        <v>53163</v>
      </c>
      <c r="AT472" t="s">
        <v>26</v>
      </c>
      <c r="AU472" t="s">
        <v>22830</v>
      </c>
    </row>
    <row r="473" spans="1:47" ht="26.25" x14ac:dyDescent="0.4">
      <c r="A473" s="23" t="s">
        <v>1434</v>
      </c>
      <c r="B473" t="s">
        <v>26</v>
      </c>
      <c r="C473" s="23" t="s">
        <v>302</v>
      </c>
      <c r="D473" s="23" t="s">
        <v>22286</v>
      </c>
      <c r="E473" s="23" t="s">
        <v>42</v>
      </c>
      <c r="F473" t="s">
        <v>26</v>
      </c>
      <c r="G473" t="s">
        <v>26</v>
      </c>
      <c r="H473" t="s">
        <v>26</v>
      </c>
      <c r="I473" t="s">
        <v>26</v>
      </c>
      <c r="J473" t="s">
        <v>26</v>
      </c>
      <c r="K473" t="s">
        <v>26</v>
      </c>
      <c r="L473" s="25" t="s">
        <v>28</v>
      </c>
      <c r="M473" t="s">
        <v>26</v>
      </c>
      <c r="N473" t="s">
        <v>26</v>
      </c>
      <c r="O473" t="s">
        <v>26</v>
      </c>
      <c r="P473" t="s">
        <v>26</v>
      </c>
      <c r="Q473" t="s">
        <v>26</v>
      </c>
      <c r="R473" t="s">
        <v>26</v>
      </c>
      <c r="S473" t="s">
        <v>26</v>
      </c>
      <c r="T473" t="s">
        <v>26</v>
      </c>
      <c r="U473" t="s">
        <v>26</v>
      </c>
      <c r="V473" t="s">
        <v>26</v>
      </c>
      <c r="W473" s="24">
        <v>41275</v>
      </c>
      <c r="X473" s="24">
        <v>41275</v>
      </c>
      <c r="Y473" t="s">
        <v>26</v>
      </c>
      <c r="Z473" s="24">
        <v>41275</v>
      </c>
      <c r="AA473" s="24">
        <v>41275</v>
      </c>
      <c r="AB473" t="s">
        <v>26</v>
      </c>
      <c r="AC473" t="s">
        <v>26</v>
      </c>
      <c r="AD473" t="s">
        <v>26</v>
      </c>
      <c r="AE473" t="s">
        <v>26</v>
      </c>
      <c r="AF473" t="s">
        <v>26</v>
      </c>
      <c r="AG473" t="s">
        <v>26</v>
      </c>
      <c r="AH473" t="s">
        <v>26</v>
      </c>
      <c r="AI473" t="s">
        <v>26</v>
      </c>
      <c r="AJ473" t="s">
        <v>26</v>
      </c>
      <c r="AK473" t="s">
        <v>26</v>
      </c>
      <c r="AL473" t="s">
        <v>26</v>
      </c>
      <c r="AM473" t="s">
        <v>26</v>
      </c>
      <c r="AN473" t="s">
        <v>26</v>
      </c>
      <c r="AO473" s="25" t="s">
        <v>28</v>
      </c>
      <c r="AP473" s="23" t="s">
        <v>29</v>
      </c>
      <c r="AQ473" s="23" t="s">
        <v>30</v>
      </c>
      <c r="AR473" s="23" t="s">
        <v>245</v>
      </c>
      <c r="AS473" s="25">
        <v>5483583</v>
      </c>
      <c r="AT473" s="23" t="s">
        <v>22181</v>
      </c>
      <c r="AU473" t="s">
        <v>22831</v>
      </c>
    </row>
    <row r="474" spans="1:47" ht="26.25" x14ac:dyDescent="0.4">
      <c r="A474" s="23" t="s">
        <v>1435</v>
      </c>
      <c r="B474" t="s">
        <v>26</v>
      </c>
      <c r="C474" s="23" t="s">
        <v>172</v>
      </c>
      <c r="D474" s="23" t="s">
        <v>22832</v>
      </c>
      <c r="E474" s="23" t="s">
        <v>60</v>
      </c>
      <c r="F474" s="25" t="s">
        <v>1436</v>
      </c>
      <c r="G474" s="25" t="s">
        <v>1437</v>
      </c>
      <c r="H474" t="s">
        <v>26</v>
      </c>
      <c r="I474" t="s">
        <v>26</v>
      </c>
      <c r="J474" t="s">
        <v>26</v>
      </c>
      <c r="K474" t="s">
        <v>26</v>
      </c>
      <c r="L474" s="25" t="s">
        <v>68</v>
      </c>
      <c r="M474" t="s">
        <v>26</v>
      </c>
      <c r="N474" t="s">
        <v>26</v>
      </c>
      <c r="O474" t="s">
        <v>26</v>
      </c>
      <c r="P474" t="s">
        <v>26</v>
      </c>
      <c r="Q474" t="s">
        <v>26</v>
      </c>
      <c r="R474" t="s">
        <v>26</v>
      </c>
      <c r="S474" t="s">
        <v>26</v>
      </c>
      <c r="T474" t="s">
        <v>26</v>
      </c>
      <c r="U474" t="s">
        <v>26</v>
      </c>
      <c r="V474" t="s">
        <v>26</v>
      </c>
      <c r="W474" s="24">
        <v>32174</v>
      </c>
      <c r="X474" s="25" t="s">
        <v>77</v>
      </c>
      <c r="Y474" t="s">
        <v>26</v>
      </c>
      <c r="Z474" s="24">
        <v>32174</v>
      </c>
      <c r="AA474" s="25" t="s">
        <v>77</v>
      </c>
      <c r="AB474" t="s">
        <v>26</v>
      </c>
      <c r="AC474" s="24">
        <v>32174</v>
      </c>
      <c r="AD474" s="25" t="s">
        <v>77</v>
      </c>
      <c r="AE474" t="s">
        <v>26</v>
      </c>
      <c r="AF474" t="s">
        <v>26</v>
      </c>
      <c r="AG474" t="s">
        <v>26</v>
      </c>
      <c r="AH474" t="s">
        <v>26</v>
      </c>
      <c r="AI474" t="s">
        <v>26</v>
      </c>
      <c r="AJ474" t="s">
        <v>26</v>
      </c>
      <c r="AK474" t="s">
        <v>26</v>
      </c>
      <c r="AL474" t="s">
        <v>26</v>
      </c>
      <c r="AM474" t="s">
        <v>26</v>
      </c>
      <c r="AN474" t="s">
        <v>26</v>
      </c>
      <c r="AO474" s="25" t="s">
        <v>68</v>
      </c>
      <c r="AP474" s="23" t="s">
        <v>69</v>
      </c>
      <c r="AQ474" s="23" t="s">
        <v>30</v>
      </c>
      <c r="AR474" s="23" t="s">
        <v>1438</v>
      </c>
      <c r="AS474" s="25">
        <v>35183</v>
      </c>
      <c r="AT474" t="s">
        <v>26</v>
      </c>
      <c r="AU474" t="s">
        <v>22833</v>
      </c>
    </row>
    <row r="475" spans="1:47" ht="26.25" x14ac:dyDescent="0.4">
      <c r="A475" s="23" t="s">
        <v>1439</v>
      </c>
      <c r="B475" t="s">
        <v>26</v>
      </c>
      <c r="C475" s="23" t="s">
        <v>181</v>
      </c>
      <c r="D475" s="23" t="s">
        <v>22174</v>
      </c>
      <c r="E475" s="23" t="s">
        <v>60</v>
      </c>
      <c r="F475" s="25" t="s">
        <v>1440</v>
      </c>
      <c r="G475" s="25" t="s">
        <v>1441</v>
      </c>
      <c r="H475" t="s">
        <v>26</v>
      </c>
      <c r="I475" s="24">
        <v>35796</v>
      </c>
      <c r="J475" s="24">
        <v>42278</v>
      </c>
      <c r="K475" t="s">
        <v>26</v>
      </c>
      <c r="L475" s="25" t="s">
        <v>68</v>
      </c>
      <c r="M475" t="s">
        <v>26</v>
      </c>
      <c r="N475" t="s">
        <v>26</v>
      </c>
      <c r="O475" t="s">
        <v>26</v>
      </c>
      <c r="P475" s="24">
        <v>35796</v>
      </c>
      <c r="Q475" s="24">
        <v>42278</v>
      </c>
      <c r="R475" t="s">
        <v>26</v>
      </c>
      <c r="S475" t="s">
        <v>26</v>
      </c>
      <c r="T475" t="s">
        <v>26</v>
      </c>
      <c r="U475" t="s">
        <v>26</v>
      </c>
      <c r="V475" t="s">
        <v>26</v>
      </c>
      <c r="W475" s="24">
        <v>35796</v>
      </c>
      <c r="X475" s="25" t="s">
        <v>77</v>
      </c>
      <c r="Y475" s="25" t="s">
        <v>1442</v>
      </c>
      <c r="Z475" s="24">
        <v>35796</v>
      </c>
      <c r="AA475" s="25" t="s">
        <v>77</v>
      </c>
      <c r="AB475" s="25" t="s">
        <v>1442</v>
      </c>
      <c r="AC475" s="24">
        <v>35796</v>
      </c>
      <c r="AD475" s="25" t="s">
        <v>77</v>
      </c>
      <c r="AE475" s="25" t="s">
        <v>1442</v>
      </c>
      <c r="AF475" t="s">
        <v>26</v>
      </c>
      <c r="AG475" t="s">
        <v>26</v>
      </c>
      <c r="AH475" t="s">
        <v>26</v>
      </c>
      <c r="AI475" t="s">
        <v>26</v>
      </c>
      <c r="AJ475" t="s">
        <v>26</v>
      </c>
      <c r="AK475" t="s">
        <v>26</v>
      </c>
      <c r="AL475" t="s">
        <v>26</v>
      </c>
      <c r="AM475" t="s">
        <v>26</v>
      </c>
      <c r="AN475" t="s">
        <v>26</v>
      </c>
      <c r="AO475" s="25" t="s">
        <v>68</v>
      </c>
      <c r="AP475" s="23" t="s">
        <v>69</v>
      </c>
      <c r="AQ475" s="23" t="s">
        <v>30</v>
      </c>
      <c r="AR475" s="23" t="s">
        <v>1443</v>
      </c>
      <c r="AS475" s="25">
        <v>32208</v>
      </c>
      <c r="AT475" t="s">
        <v>26</v>
      </c>
      <c r="AU475" t="s">
        <v>22834</v>
      </c>
    </row>
    <row r="476" spans="1:47" ht="26.25" x14ac:dyDescent="0.4">
      <c r="A476" s="23" t="s">
        <v>1444</v>
      </c>
      <c r="B476" t="s">
        <v>26</v>
      </c>
      <c r="C476" s="23" t="s">
        <v>107</v>
      </c>
      <c r="D476" s="23" t="s">
        <v>22194</v>
      </c>
      <c r="E476" s="23" t="s">
        <v>42</v>
      </c>
      <c r="F476" s="25" t="s">
        <v>1445</v>
      </c>
      <c r="G476" s="25" t="s">
        <v>1446</v>
      </c>
      <c r="H476" t="s">
        <v>26</v>
      </c>
      <c r="I476" t="s">
        <v>26</v>
      </c>
      <c r="J476" t="s">
        <v>26</v>
      </c>
      <c r="K476" t="s">
        <v>26</v>
      </c>
      <c r="L476" s="25" t="s">
        <v>68</v>
      </c>
      <c r="M476" t="s">
        <v>26</v>
      </c>
      <c r="N476" t="s">
        <v>26</v>
      </c>
      <c r="O476" t="s">
        <v>26</v>
      </c>
      <c r="P476" t="s">
        <v>26</v>
      </c>
      <c r="Q476" t="s">
        <v>26</v>
      </c>
      <c r="R476" t="s">
        <v>26</v>
      </c>
      <c r="S476" t="s">
        <v>26</v>
      </c>
      <c r="T476" t="s">
        <v>26</v>
      </c>
      <c r="U476" t="s">
        <v>26</v>
      </c>
      <c r="V476" t="s">
        <v>26</v>
      </c>
      <c r="W476" s="24">
        <v>35096</v>
      </c>
      <c r="X476" s="25" t="s">
        <v>77</v>
      </c>
      <c r="Y476" t="s">
        <v>26</v>
      </c>
      <c r="Z476" s="24">
        <v>35096</v>
      </c>
      <c r="AA476" s="25" t="s">
        <v>77</v>
      </c>
      <c r="AB476" t="s">
        <v>26</v>
      </c>
      <c r="AC476" s="24">
        <v>35096</v>
      </c>
      <c r="AD476" s="25" t="s">
        <v>77</v>
      </c>
      <c r="AE476" t="s">
        <v>26</v>
      </c>
      <c r="AF476" t="s">
        <v>26</v>
      </c>
      <c r="AG476" t="s">
        <v>26</v>
      </c>
      <c r="AH476" t="s">
        <v>26</v>
      </c>
      <c r="AI476" t="s">
        <v>26</v>
      </c>
      <c r="AJ476" t="s">
        <v>26</v>
      </c>
      <c r="AK476" t="s">
        <v>26</v>
      </c>
      <c r="AL476" t="s">
        <v>26</v>
      </c>
      <c r="AM476" t="s">
        <v>26</v>
      </c>
      <c r="AN476" t="s">
        <v>26</v>
      </c>
      <c r="AO476" s="25" t="s">
        <v>68</v>
      </c>
      <c r="AP476" s="23" t="s">
        <v>69</v>
      </c>
      <c r="AQ476" s="23" t="s">
        <v>30</v>
      </c>
      <c r="AR476" s="23" t="s">
        <v>1408</v>
      </c>
      <c r="AS476" s="25">
        <v>31924</v>
      </c>
      <c r="AT476" t="s">
        <v>26</v>
      </c>
      <c r="AU476" t="s">
        <v>22835</v>
      </c>
    </row>
    <row r="477" spans="1:47" ht="39.4" x14ac:dyDescent="0.4">
      <c r="A477" s="23" t="s">
        <v>1447</v>
      </c>
      <c r="B477" t="s">
        <v>26</v>
      </c>
      <c r="C477" s="23" t="s">
        <v>73</v>
      </c>
      <c r="D477" s="23" t="s">
        <v>22179</v>
      </c>
      <c r="E477" s="23" t="s">
        <v>74</v>
      </c>
      <c r="F477" s="25" t="s">
        <v>1448</v>
      </c>
      <c r="G477" s="25" t="s">
        <v>1449</v>
      </c>
      <c r="H477" t="s">
        <v>26</v>
      </c>
      <c r="I477" s="24">
        <v>35521</v>
      </c>
      <c r="J477" s="25" t="s">
        <v>77</v>
      </c>
      <c r="K477" t="s">
        <v>26</v>
      </c>
      <c r="L477" s="25" t="s">
        <v>68</v>
      </c>
      <c r="M477" s="24">
        <v>37987</v>
      </c>
      <c r="N477" s="24">
        <v>42887</v>
      </c>
      <c r="O477" t="s">
        <v>26</v>
      </c>
      <c r="P477" s="24">
        <v>35521</v>
      </c>
      <c r="Q477" s="25" t="s">
        <v>77</v>
      </c>
      <c r="R477" t="s">
        <v>26</v>
      </c>
      <c r="S477" t="s">
        <v>26</v>
      </c>
      <c r="T477" t="s">
        <v>26</v>
      </c>
      <c r="U477" t="s">
        <v>26</v>
      </c>
      <c r="V477" s="25">
        <v>365</v>
      </c>
      <c r="W477" s="24">
        <v>35521</v>
      </c>
      <c r="X477" s="25" t="s">
        <v>77</v>
      </c>
      <c r="Y477" t="s">
        <v>26</v>
      </c>
      <c r="Z477" s="24">
        <v>35521</v>
      </c>
      <c r="AA477" s="25" t="s">
        <v>77</v>
      </c>
      <c r="AB477" t="s">
        <v>26</v>
      </c>
      <c r="AC477" s="24">
        <v>35521</v>
      </c>
      <c r="AD477" s="25" t="s">
        <v>77</v>
      </c>
      <c r="AE477" t="s">
        <v>26</v>
      </c>
      <c r="AF477" t="s">
        <v>26</v>
      </c>
      <c r="AG477" t="s">
        <v>26</v>
      </c>
      <c r="AH477" t="s">
        <v>26</v>
      </c>
      <c r="AI477" t="s">
        <v>26</v>
      </c>
      <c r="AJ477" t="s">
        <v>26</v>
      </c>
      <c r="AK477" t="s">
        <v>26</v>
      </c>
      <c r="AL477" t="s">
        <v>26</v>
      </c>
      <c r="AM477" t="s">
        <v>26</v>
      </c>
      <c r="AN477" t="s">
        <v>26</v>
      </c>
      <c r="AO477" s="25" t="s">
        <v>68</v>
      </c>
      <c r="AP477" s="23" t="s">
        <v>69</v>
      </c>
      <c r="AQ477" s="23" t="s">
        <v>30</v>
      </c>
      <c r="AR477" s="23" t="s">
        <v>1450</v>
      </c>
      <c r="AS477" s="25">
        <v>54019</v>
      </c>
      <c r="AT477" t="s">
        <v>26</v>
      </c>
      <c r="AU477" t="s">
        <v>22836</v>
      </c>
    </row>
    <row r="478" spans="1:47" ht="26.25" x14ac:dyDescent="0.4">
      <c r="A478" s="23" t="s">
        <v>1451</v>
      </c>
      <c r="B478" t="s">
        <v>26</v>
      </c>
      <c r="C478" s="23" t="s">
        <v>1452</v>
      </c>
      <c r="D478" s="23" t="s">
        <v>22334</v>
      </c>
      <c r="E478" s="23" t="s">
        <v>42</v>
      </c>
      <c r="F478" s="25" t="s">
        <v>1453</v>
      </c>
      <c r="G478" t="s">
        <v>26</v>
      </c>
      <c r="H478" t="s">
        <v>26</v>
      </c>
      <c r="I478" s="24">
        <v>34335</v>
      </c>
      <c r="J478" s="25" t="s">
        <v>77</v>
      </c>
      <c r="K478" s="25" t="s">
        <v>202</v>
      </c>
      <c r="L478" s="25" t="s">
        <v>68</v>
      </c>
      <c r="M478" s="24">
        <v>34335</v>
      </c>
      <c r="N478" s="25" t="s">
        <v>77</v>
      </c>
      <c r="O478" s="25" t="s">
        <v>202</v>
      </c>
      <c r="P478" s="24">
        <v>35186</v>
      </c>
      <c r="Q478" s="25" t="s">
        <v>77</v>
      </c>
      <c r="R478" s="25" t="s">
        <v>202</v>
      </c>
      <c r="S478" t="s">
        <v>26</v>
      </c>
      <c r="T478" t="s">
        <v>26</v>
      </c>
      <c r="U478" t="s">
        <v>26</v>
      </c>
      <c r="V478" t="s">
        <v>26</v>
      </c>
      <c r="W478" s="24">
        <v>31413</v>
      </c>
      <c r="X478" s="25" t="s">
        <v>77</v>
      </c>
      <c r="Y478" t="s">
        <v>26</v>
      </c>
      <c r="Z478" s="24">
        <v>31413</v>
      </c>
      <c r="AA478" s="25" t="s">
        <v>77</v>
      </c>
      <c r="AB478" t="s">
        <v>26</v>
      </c>
      <c r="AC478" s="24">
        <v>31413</v>
      </c>
      <c r="AD478" s="25" t="s">
        <v>77</v>
      </c>
      <c r="AE478" t="s">
        <v>26</v>
      </c>
      <c r="AF478" t="s">
        <v>26</v>
      </c>
      <c r="AG478" t="s">
        <v>26</v>
      </c>
      <c r="AH478" t="s">
        <v>26</v>
      </c>
      <c r="AI478" t="s">
        <v>26</v>
      </c>
      <c r="AJ478" t="s">
        <v>26</v>
      </c>
      <c r="AK478" t="s">
        <v>26</v>
      </c>
      <c r="AL478" t="s">
        <v>26</v>
      </c>
      <c r="AM478" t="s">
        <v>26</v>
      </c>
      <c r="AN478" t="s">
        <v>26</v>
      </c>
      <c r="AO478" s="25" t="s">
        <v>68</v>
      </c>
      <c r="AP478" s="23" t="s">
        <v>69</v>
      </c>
      <c r="AQ478" s="23" t="s">
        <v>30</v>
      </c>
      <c r="AR478" s="23" t="s">
        <v>1454</v>
      </c>
      <c r="AS478" s="25">
        <v>40853</v>
      </c>
      <c r="AT478" t="s">
        <v>26</v>
      </c>
      <c r="AU478" t="s">
        <v>22837</v>
      </c>
    </row>
    <row r="479" spans="1:47" ht="26.25" x14ac:dyDescent="0.4">
      <c r="A479" s="23" t="s">
        <v>1455</v>
      </c>
      <c r="B479" t="s">
        <v>26</v>
      </c>
      <c r="C479" s="23" t="s">
        <v>320</v>
      </c>
      <c r="D479" s="23" t="s">
        <v>22174</v>
      </c>
      <c r="E479" s="23" t="s">
        <v>42</v>
      </c>
      <c r="F479" s="25" t="s">
        <v>1456</v>
      </c>
      <c r="G479" s="25" t="s">
        <v>1457</v>
      </c>
      <c r="H479" t="s">
        <v>26</v>
      </c>
      <c r="I479" t="s">
        <v>26</v>
      </c>
      <c r="J479" t="s">
        <v>26</v>
      </c>
      <c r="K479" t="s">
        <v>26</v>
      </c>
      <c r="L479" s="25" t="s">
        <v>68</v>
      </c>
      <c r="M479" t="s">
        <v>26</v>
      </c>
      <c r="N479" t="s">
        <v>26</v>
      </c>
      <c r="O479" t="s">
        <v>26</v>
      </c>
      <c r="P479" t="s">
        <v>26</v>
      </c>
      <c r="Q479" t="s">
        <v>26</v>
      </c>
      <c r="R479" t="s">
        <v>26</v>
      </c>
      <c r="S479" t="s">
        <v>26</v>
      </c>
      <c r="T479" t="s">
        <v>26</v>
      </c>
      <c r="U479" t="s">
        <v>26</v>
      </c>
      <c r="V479" t="s">
        <v>26</v>
      </c>
      <c r="W479" s="24">
        <v>41153</v>
      </c>
      <c r="X479" s="25" t="s">
        <v>77</v>
      </c>
      <c r="Y479" t="s">
        <v>26</v>
      </c>
      <c r="Z479" s="24">
        <v>41153</v>
      </c>
      <c r="AA479" s="25" t="s">
        <v>77</v>
      </c>
      <c r="AB479" t="s">
        <v>26</v>
      </c>
      <c r="AC479" s="24">
        <v>41153</v>
      </c>
      <c r="AD479" s="25" t="s">
        <v>77</v>
      </c>
      <c r="AE479" t="s">
        <v>26</v>
      </c>
      <c r="AF479" t="s">
        <v>26</v>
      </c>
      <c r="AG479" t="s">
        <v>26</v>
      </c>
      <c r="AH479" t="s">
        <v>26</v>
      </c>
      <c r="AI479" t="s">
        <v>26</v>
      </c>
      <c r="AJ479" t="s">
        <v>26</v>
      </c>
      <c r="AK479" t="s">
        <v>26</v>
      </c>
      <c r="AL479" t="s">
        <v>26</v>
      </c>
      <c r="AM479" t="s">
        <v>26</v>
      </c>
      <c r="AN479" t="s">
        <v>26</v>
      </c>
      <c r="AO479" s="25" t="s">
        <v>68</v>
      </c>
      <c r="AP479" s="23" t="s">
        <v>69</v>
      </c>
      <c r="AQ479" s="23" t="s">
        <v>30</v>
      </c>
      <c r="AR479" s="23" t="s">
        <v>46</v>
      </c>
      <c r="AS479" s="25">
        <v>1006522</v>
      </c>
      <c r="AT479" t="s">
        <v>26</v>
      </c>
      <c r="AU479" t="s">
        <v>22838</v>
      </c>
    </row>
    <row r="480" spans="1:47" ht="26.25" x14ac:dyDescent="0.4">
      <c r="A480" s="23" t="s">
        <v>1458</v>
      </c>
      <c r="B480" t="s">
        <v>26</v>
      </c>
      <c r="C480" s="23" t="s">
        <v>213</v>
      </c>
      <c r="D480" s="23" t="s">
        <v>22174</v>
      </c>
      <c r="E480" s="23" t="s">
        <v>60</v>
      </c>
      <c r="F480" t="s">
        <v>26</v>
      </c>
      <c r="G480" s="25" t="s">
        <v>1459</v>
      </c>
      <c r="H480" t="s">
        <v>26</v>
      </c>
      <c r="I480" s="24">
        <v>39814</v>
      </c>
      <c r="J480" s="25" t="s">
        <v>77</v>
      </c>
      <c r="K480" t="s">
        <v>26</v>
      </c>
      <c r="L480" s="25" t="s">
        <v>68</v>
      </c>
      <c r="M480" t="s">
        <v>26</v>
      </c>
      <c r="N480" t="s">
        <v>26</v>
      </c>
      <c r="O480" t="s">
        <v>26</v>
      </c>
      <c r="P480" s="24">
        <v>39814</v>
      </c>
      <c r="Q480" s="25" t="s">
        <v>77</v>
      </c>
      <c r="R480" t="s">
        <v>26</v>
      </c>
      <c r="S480" t="s">
        <v>26</v>
      </c>
      <c r="T480" t="s">
        <v>26</v>
      </c>
      <c r="U480" t="s">
        <v>26</v>
      </c>
      <c r="V480" t="s">
        <v>26</v>
      </c>
      <c r="W480" s="24">
        <v>39814</v>
      </c>
      <c r="X480" s="25" t="s">
        <v>77</v>
      </c>
      <c r="Y480" t="s">
        <v>26</v>
      </c>
      <c r="Z480" s="24">
        <v>39814</v>
      </c>
      <c r="AA480" s="25" t="s">
        <v>77</v>
      </c>
      <c r="AB480" t="s">
        <v>26</v>
      </c>
      <c r="AC480" s="24">
        <v>39814</v>
      </c>
      <c r="AD480" s="25" t="s">
        <v>77</v>
      </c>
      <c r="AE480" t="s">
        <v>26</v>
      </c>
      <c r="AF480" t="s">
        <v>26</v>
      </c>
      <c r="AG480" t="s">
        <v>26</v>
      </c>
      <c r="AH480" t="s">
        <v>26</v>
      </c>
      <c r="AI480" t="s">
        <v>26</v>
      </c>
      <c r="AJ480" t="s">
        <v>26</v>
      </c>
      <c r="AK480" t="s">
        <v>26</v>
      </c>
      <c r="AL480" t="s">
        <v>26</v>
      </c>
      <c r="AM480" t="s">
        <v>26</v>
      </c>
      <c r="AN480" t="s">
        <v>26</v>
      </c>
      <c r="AO480" s="25" t="s">
        <v>68</v>
      </c>
      <c r="AP480" s="23" t="s">
        <v>69</v>
      </c>
      <c r="AQ480" s="23" t="s">
        <v>30</v>
      </c>
      <c r="AR480" s="23" t="s">
        <v>70</v>
      </c>
      <c r="AS480" s="25">
        <v>54777</v>
      </c>
      <c r="AT480" t="s">
        <v>26</v>
      </c>
      <c r="AU480" t="s">
        <v>22839</v>
      </c>
    </row>
    <row r="481" spans="1:47" ht="26.25" x14ac:dyDescent="0.4">
      <c r="A481" s="23" t="s">
        <v>1460</v>
      </c>
      <c r="B481" t="s">
        <v>26</v>
      </c>
      <c r="C481" s="23" t="s">
        <v>181</v>
      </c>
      <c r="D481" s="23" t="s">
        <v>22174</v>
      </c>
      <c r="E481" s="23" t="s">
        <v>60</v>
      </c>
      <c r="F481" s="25" t="s">
        <v>1461</v>
      </c>
      <c r="G481" s="25" t="s">
        <v>1462</v>
      </c>
      <c r="H481" t="s">
        <v>26</v>
      </c>
      <c r="I481" t="s">
        <v>26</v>
      </c>
      <c r="J481" t="s">
        <v>26</v>
      </c>
      <c r="K481" t="s">
        <v>26</v>
      </c>
      <c r="L481" s="25" t="s">
        <v>68</v>
      </c>
      <c r="M481" t="s">
        <v>26</v>
      </c>
      <c r="N481" t="s">
        <v>26</v>
      </c>
      <c r="O481" t="s">
        <v>26</v>
      </c>
      <c r="P481" t="s">
        <v>26</v>
      </c>
      <c r="Q481" t="s">
        <v>26</v>
      </c>
      <c r="R481" t="s">
        <v>26</v>
      </c>
      <c r="S481" t="s">
        <v>26</v>
      </c>
      <c r="T481" t="s">
        <v>26</v>
      </c>
      <c r="U481" t="s">
        <v>26</v>
      </c>
      <c r="V481" t="s">
        <v>26</v>
      </c>
      <c r="W481" s="24">
        <v>34001</v>
      </c>
      <c r="X481" s="25" t="s">
        <v>77</v>
      </c>
      <c r="Y481" s="25" t="s">
        <v>1463</v>
      </c>
      <c r="Z481" s="24">
        <v>34001</v>
      </c>
      <c r="AA481" s="25" t="s">
        <v>77</v>
      </c>
      <c r="AB481" s="25" t="s">
        <v>1463</v>
      </c>
      <c r="AC481" s="24">
        <v>34001</v>
      </c>
      <c r="AD481" s="25" t="s">
        <v>77</v>
      </c>
      <c r="AE481" s="25" t="s">
        <v>1463</v>
      </c>
      <c r="AF481" t="s">
        <v>26</v>
      </c>
      <c r="AG481" t="s">
        <v>26</v>
      </c>
      <c r="AH481" t="s">
        <v>26</v>
      </c>
      <c r="AI481" t="s">
        <v>26</v>
      </c>
      <c r="AJ481" t="s">
        <v>26</v>
      </c>
      <c r="AK481" t="s">
        <v>26</v>
      </c>
      <c r="AL481" t="s">
        <v>26</v>
      </c>
      <c r="AM481" t="s">
        <v>26</v>
      </c>
      <c r="AN481" t="s">
        <v>26</v>
      </c>
      <c r="AO481" s="25" t="s">
        <v>68</v>
      </c>
      <c r="AP481" s="23" t="s">
        <v>69</v>
      </c>
      <c r="AQ481" s="23" t="s">
        <v>30</v>
      </c>
      <c r="AR481" s="23" t="s">
        <v>1464</v>
      </c>
      <c r="AS481" s="25">
        <v>46519</v>
      </c>
      <c r="AT481" t="s">
        <v>26</v>
      </c>
      <c r="AU481" t="s">
        <v>22840</v>
      </c>
    </row>
    <row r="482" spans="1:47" ht="26.25" x14ac:dyDescent="0.4">
      <c r="A482" s="23" t="s">
        <v>1465</v>
      </c>
      <c r="B482" t="s">
        <v>26</v>
      </c>
      <c r="C482" s="23" t="s">
        <v>399</v>
      </c>
      <c r="D482" s="23" t="s">
        <v>22242</v>
      </c>
      <c r="E482" s="23" t="s">
        <v>42</v>
      </c>
      <c r="F482" s="25" t="s">
        <v>1466</v>
      </c>
      <c r="G482" s="25" t="s">
        <v>1467</v>
      </c>
      <c r="H482" t="s">
        <v>26</v>
      </c>
      <c r="I482" s="24">
        <v>35521</v>
      </c>
      <c r="J482" s="24">
        <v>41183</v>
      </c>
      <c r="K482" t="s">
        <v>26</v>
      </c>
      <c r="L482" s="25" t="s">
        <v>68</v>
      </c>
      <c r="M482" s="24">
        <v>35521</v>
      </c>
      <c r="N482" s="24">
        <v>41183</v>
      </c>
      <c r="O482" t="s">
        <v>26</v>
      </c>
      <c r="P482" s="24">
        <v>35521</v>
      </c>
      <c r="Q482" s="24">
        <v>41183</v>
      </c>
      <c r="R482" t="s">
        <v>26</v>
      </c>
      <c r="S482" t="s">
        <v>26</v>
      </c>
      <c r="T482" t="s">
        <v>26</v>
      </c>
      <c r="U482" t="s">
        <v>26</v>
      </c>
      <c r="V482" t="s">
        <v>26</v>
      </c>
      <c r="W482" s="24">
        <v>35521</v>
      </c>
      <c r="X482" s="25" t="s">
        <v>77</v>
      </c>
      <c r="Y482" t="s">
        <v>26</v>
      </c>
      <c r="Z482" s="24">
        <v>35521</v>
      </c>
      <c r="AA482" s="25" t="s">
        <v>77</v>
      </c>
      <c r="AB482" t="s">
        <v>26</v>
      </c>
      <c r="AC482" s="24">
        <v>37987</v>
      </c>
      <c r="AD482" s="25" t="s">
        <v>77</v>
      </c>
      <c r="AE482" t="s">
        <v>26</v>
      </c>
      <c r="AF482" t="s">
        <v>26</v>
      </c>
      <c r="AG482" t="s">
        <v>26</v>
      </c>
      <c r="AH482" t="s">
        <v>26</v>
      </c>
      <c r="AI482" t="s">
        <v>26</v>
      </c>
      <c r="AJ482" t="s">
        <v>26</v>
      </c>
      <c r="AK482" t="s">
        <v>26</v>
      </c>
      <c r="AL482" t="s">
        <v>26</v>
      </c>
      <c r="AM482" t="s">
        <v>26</v>
      </c>
      <c r="AN482" t="s">
        <v>26</v>
      </c>
      <c r="AO482" s="25" t="s">
        <v>68</v>
      </c>
      <c r="AP482" s="23" t="s">
        <v>69</v>
      </c>
      <c r="AQ482" s="23" t="s">
        <v>30</v>
      </c>
      <c r="AR482" s="23" t="s">
        <v>1468</v>
      </c>
      <c r="AS482" s="25">
        <v>26011</v>
      </c>
      <c r="AT482" t="s">
        <v>26</v>
      </c>
      <c r="AU482" t="s">
        <v>22841</v>
      </c>
    </row>
    <row r="483" spans="1:47" ht="26.25" x14ac:dyDescent="0.4">
      <c r="A483" s="23" t="s">
        <v>1469</v>
      </c>
      <c r="B483" t="s">
        <v>26</v>
      </c>
      <c r="C483" s="23" t="s">
        <v>320</v>
      </c>
      <c r="D483" s="23" t="s">
        <v>22242</v>
      </c>
      <c r="E483" s="23" t="s">
        <v>42</v>
      </c>
      <c r="F483" s="25" t="s">
        <v>1470</v>
      </c>
      <c r="G483" s="25" t="s">
        <v>1471</v>
      </c>
      <c r="H483" t="s">
        <v>26</v>
      </c>
      <c r="I483" t="s">
        <v>26</v>
      </c>
      <c r="J483" t="s">
        <v>26</v>
      </c>
      <c r="K483" t="s">
        <v>26</v>
      </c>
      <c r="L483" s="25" t="s">
        <v>68</v>
      </c>
      <c r="M483" t="s">
        <v>26</v>
      </c>
      <c r="N483" t="s">
        <v>26</v>
      </c>
      <c r="O483" t="s">
        <v>26</v>
      </c>
      <c r="P483" t="s">
        <v>26</v>
      </c>
      <c r="Q483" t="s">
        <v>26</v>
      </c>
      <c r="R483" t="s">
        <v>26</v>
      </c>
      <c r="S483" t="s">
        <v>26</v>
      </c>
      <c r="T483" t="s">
        <v>26</v>
      </c>
      <c r="U483" t="s">
        <v>26</v>
      </c>
      <c r="V483" t="s">
        <v>26</v>
      </c>
      <c r="W483" s="24">
        <v>42370</v>
      </c>
      <c r="X483" s="25" t="s">
        <v>77</v>
      </c>
      <c r="Y483" t="s">
        <v>26</v>
      </c>
      <c r="Z483" s="24">
        <v>42370</v>
      </c>
      <c r="AA483" s="25" t="s">
        <v>77</v>
      </c>
      <c r="AB483" t="s">
        <v>26</v>
      </c>
      <c r="AC483" s="24">
        <v>42370</v>
      </c>
      <c r="AD483" s="25" t="s">
        <v>77</v>
      </c>
      <c r="AE483" t="s">
        <v>26</v>
      </c>
      <c r="AF483" t="s">
        <v>26</v>
      </c>
      <c r="AG483" t="s">
        <v>26</v>
      </c>
      <c r="AH483" t="s">
        <v>26</v>
      </c>
      <c r="AI483" t="s">
        <v>26</v>
      </c>
      <c r="AJ483" t="s">
        <v>26</v>
      </c>
      <c r="AK483" t="s">
        <v>26</v>
      </c>
      <c r="AL483" t="s">
        <v>26</v>
      </c>
      <c r="AM483" t="s">
        <v>26</v>
      </c>
      <c r="AN483" t="s">
        <v>26</v>
      </c>
      <c r="AO483" s="25" t="s">
        <v>68</v>
      </c>
      <c r="AP483" s="23" t="s">
        <v>69</v>
      </c>
      <c r="AQ483" s="23" t="s">
        <v>30</v>
      </c>
      <c r="AR483" s="23" t="s">
        <v>1247</v>
      </c>
      <c r="AS483" s="25">
        <v>2038856</v>
      </c>
      <c r="AT483" t="s">
        <v>26</v>
      </c>
      <c r="AU483" t="s">
        <v>22842</v>
      </c>
    </row>
    <row r="484" spans="1:47" ht="26.25" x14ac:dyDescent="0.4">
      <c r="A484" s="23" t="s">
        <v>1472</v>
      </c>
      <c r="B484" t="s">
        <v>26</v>
      </c>
      <c r="C484" s="23" t="s">
        <v>48</v>
      </c>
      <c r="D484" s="23" t="s">
        <v>22168</v>
      </c>
      <c r="E484" s="23" t="s">
        <v>42</v>
      </c>
      <c r="F484" t="s">
        <v>26</v>
      </c>
      <c r="G484" t="s">
        <v>26</v>
      </c>
      <c r="H484" t="s">
        <v>26</v>
      </c>
      <c r="I484" t="s">
        <v>26</v>
      </c>
      <c r="J484" t="s">
        <v>26</v>
      </c>
      <c r="K484" t="s">
        <v>26</v>
      </c>
      <c r="L484" s="25" t="s">
        <v>28</v>
      </c>
      <c r="M484" t="s">
        <v>26</v>
      </c>
      <c r="N484" t="s">
        <v>26</v>
      </c>
      <c r="O484" t="s">
        <v>26</v>
      </c>
      <c r="P484" t="s">
        <v>26</v>
      </c>
      <c r="Q484" t="s">
        <v>26</v>
      </c>
      <c r="R484" t="s">
        <v>26</v>
      </c>
      <c r="S484" t="s">
        <v>26</v>
      </c>
      <c r="T484" t="s">
        <v>26</v>
      </c>
      <c r="U484" t="s">
        <v>26</v>
      </c>
      <c r="V484" t="s">
        <v>26</v>
      </c>
      <c r="W484" s="24">
        <v>40544</v>
      </c>
      <c r="X484" s="24">
        <v>40544</v>
      </c>
      <c r="Y484" t="s">
        <v>26</v>
      </c>
      <c r="Z484" s="24">
        <v>40544</v>
      </c>
      <c r="AA484" s="24">
        <v>40544</v>
      </c>
      <c r="AB484" t="s">
        <v>26</v>
      </c>
      <c r="AC484" t="s">
        <v>26</v>
      </c>
      <c r="AD484" t="s">
        <v>26</v>
      </c>
      <c r="AE484" t="s">
        <v>26</v>
      </c>
      <c r="AF484" t="s">
        <v>26</v>
      </c>
      <c r="AG484" t="s">
        <v>26</v>
      </c>
      <c r="AH484" t="s">
        <v>26</v>
      </c>
      <c r="AI484" t="s">
        <v>26</v>
      </c>
      <c r="AJ484" t="s">
        <v>26</v>
      </c>
      <c r="AK484" t="s">
        <v>26</v>
      </c>
      <c r="AL484" t="s">
        <v>26</v>
      </c>
      <c r="AM484" t="s">
        <v>26</v>
      </c>
      <c r="AN484" t="s">
        <v>26</v>
      </c>
      <c r="AO484" s="25" t="s">
        <v>28</v>
      </c>
      <c r="AP484" s="23" t="s">
        <v>29</v>
      </c>
      <c r="AQ484" s="23" t="s">
        <v>30</v>
      </c>
      <c r="AR484" s="23" t="s">
        <v>44</v>
      </c>
      <c r="AS484" s="25">
        <v>5483540</v>
      </c>
      <c r="AT484" s="23" t="s">
        <v>22181</v>
      </c>
      <c r="AU484" t="s">
        <v>22843</v>
      </c>
    </row>
    <row r="485" spans="1:47" ht="26.25" x14ac:dyDescent="0.4">
      <c r="A485" s="23" t="s">
        <v>1473</v>
      </c>
      <c r="B485" t="s">
        <v>26</v>
      </c>
      <c r="C485" s="23" t="s">
        <v>146</v>
      </c>
      <c r="D485" s="23" t="s">
        <v>22174</v>
      </c>
      <c r="E485" s="23" t="s">
        <v>60</v>
      </c>
      <c r="F485" t="s">
        <v>26</v>
      </c>
      <c r="G485" t="s">
        <v>26</v>
      </c>
      <c r="H485" t="s">
        <v>26</v>
      </c>
      <c r="I485" t="s">
        <v>26</v>
      </c>
      <c r="J485" t="s">
        <v>26</v>
      </c>
      <c r="K485" t="s">
        <v>26</v>
      </c>
      <c r="L485" s="25" t="s">
        <v>28</v>
      </c>
      <c r="M485" t="s">
        <v>26</v>
      </c>
      <c r="N485" t="s">
        <v>26</v>
      </c>
      <c r="O485" t="s">
        <v>26</v>
      </c>
      <c r="P485" t="s">
        <v>26</v>
      </c>
      <c r="Q485" t="s">
        <v>26</v>
      </c>
      <c r="R485" t="s">
        <v>26</v>
      </c>
      <c r="S485" t="s">
        <v>26</v>
      </c>
      <c r="T485" t="s">
        <v>26</v>
      </c>
      <c r="U485" t="s">
        <v>26</v>
      </c>
      <c r="V485" t="s">
        <v>26</v>
      </c>
      <c r="W485" s="24">
        <v>42005</v>
      </c>
      <c r="X485" s="24">
        <v>42005</v>
      </c>
      <c r="Y485" t="s">
        <v>26</v>
      </c>
      <c r="Z485" s="24">
        <v>42005</v>
      </c>
      <c r="AA485" s="24">
        <v>42005</v>
      </c>
      <c r="AB485" t="s">
        <v>26</v>
      </c>
      <c r="AC485" t="s">
        <v>26</v>
      </c>
      <c r="AD485" t="s">
        <v>26</v>
      </c>
      <c r="AE485" t="s">
        <v>26</v>
      </c>
      <c r="AF485" t="s">
        <v>26</v>
      </c>
      <c r="AG485" t="s">
        <v>26</v>
      </c>
      <c r="AH485" t="s">
        <v>26</v>
      </c>
      <c r="AI485" t="s">
        <v>26</v>
      </c>
      <c r="AJ485" t="s">
        <v>26</v>
      </c>
      <c r="AK485" t="s">
        <v>26</v>
      </c>
      <c r="AL485" t="s">
        <v>26</v>
      </c>
      <c r="AM485" t="s">
        <v>26</v>
      </c>
      <c r="AN485" t="s">
        <v>26</v>
      </c>
      <c r="AO485" s="25" t="s">
        <v>28</v>
      </c>
      <c r="AP485" s="23" t="s">
        <v>29</v>
      </c>
      <c r="AQ485" s="23" t="s">
        <v>30</v>
      </c>
      <c r="AR485" s="23" t="s">
        <v>245</v>
      </c>
      <c r="AS485" s="25">
        <v>5483619</v>
      </c>
      <c r="AT485" s="23" t="s">
        <v>22181</v>
      </c>
      <c r="AU485" t="s">
        <v>22844</v>
      </c>
    </row>
    <row r="486" spans="1:47" ht="26.25" x14ac:dyDescent="0.4">
      <c r="A486" s="23" t="s">
        <v>1474</v>
      </c>
      <c r="B486" t="s">
        <v>26</v>
      </c>
      <c r="C486" s="23" t="s">
        <v>371</v>
      </c>
      <c r="D486" s="23" t="s">
        <v>22179</v>
      </c>
      <c r="E486" s="23" t="s">
        <v>42</v>
      </c>
      <c r="F486" t="s">
        <v>26</v>
      </c>
      <c r="G486" t="s">
        <v>26</v>
      </c>
      <c r="H486" t="s">
        <v>26</v>
      </c>
      <c r="I486" t="s">
        <v>26</v>
      </c>
      <c r="J486" t="s">
        <v>26</v>
      </c>
      <c r="K486" t="s">
        <v>26</v>
      </c>
      <c r="L486" s="25" t="s">
        <v>28</v>
      </c>
      <c r="M486" t="s">
        <v>26</v>
      </c>
      <c r="N486" t="s">
        <v>26</v>
      </c>
      <c r="O486" t="s">
        <v>26</v>
      </c>
      <c r="P486" t="s">
        <v>26</v>
      </c>
      <c r="Q486" t="s">
        <v>26</v>
      </c>
      <c r="R486" t="s">
        <v>26</v>
      </c>
      <c r="S486" t="s">
        <v>26</v>
      </c>
      <c r="T486" t="s">
        <v>26</v>
      </c>
      <c r="U486" t="s">
        <v>26</v>
      </c>
      <c r="V486" t="s">
        <v>26</v>
      </c>
      <c r="W486" s="24">
        <v>34335</v>
      </c>
      <c r="X486" s="24">
        <v>34335</v>
      </c>
      <c r="Y486" t="s">
        <v>26</v>
      </c>
      <c r="Z486" s="24">
        <v>34335</v>
      </c>
      <c r="AA486" s="24">
        <v>34335</v>
      </c>
      <c r="AB486" t="s">
        <v>26</v>
      </c>
      <c r="AC486" t="s">
        <v>26</v>
      </c>
      <c r="AD486" t="s">
        <v>26</v>
      </c>
      <c r="AE486" t="s">
        <v>26</v>
      </c>
      <c r="AF486" t="s">
        <v>26</v>
      </c>
      <c r="AG486" t="s">
        <v>26</v>
      </c>
      <c r="AH486" t="s">
        <v>26</v>
      </c>
      <c r="AI486" t="s">
        <v>26</v>
      </c>
      <c r="AJ486" t="s">
        <v>26</v>
      </c>
      <c r="AK486" t="s">
        <v>26</v>
      </c>
      <c r="AL486" t="s">
        <v>26</v>
      </c>
      <c r="AM486" t="s">
        <v>26</v>
      </c>
      <c r="AN486" t="s">
        <v>26</v>
      </c>
      <c r="AO486" s="25" t="s">
        <v>28</v>
      </c>
      <c r="AP486" s="23" t="s">
        <v>29</v>
      </c>
      <c r="AQ486" s="23" t="s">
        <v>30</v>
      </c>
      <c r="AR486" s="23" t="s">
        <v>1475</v>
      </c>
      <c r="AS486" s="25">
        <v>5483586</v>
      </c>
      <c r="AT486" s="23" t="s">
        <v>22181</v>
      </c>
      <c r="AU486" t="s">
        <v>22845</v>
      </c>
    </row>
    <row r="487" spans="1:47" ht="13.15" x14ac:dyDescent="0.4">
      <c r="A487" s="23" t="s">
        <v>1476</v>
      </c>
      <c r="B487" t="s">
        <v>26</v>
      </c>
      <c r="C487" s="23" t="s">
        <v>146</v>
      </c>
      <c r="D487" s="23" t="s">
        <v>22174</v>
      </c>
      <c r="E487" s="23" t="s">
        <v>60</v>
      </c>
      <c r="F487" t="s">
        <v>26</v>
      </c>
      <c r="G487" t="s">
        <v>26</v>
      </c>
      <c r="H487" t="s">
        <v>26</v>
      </c>
      <c r="I487" t="s">
        <v>26</v>
      </c>
      <c r="J487" t="s">
        <v>26</v>
      </c>
      <c r="K487" t="s">
        <v>26</v>
      </c>
      <c r="L487" s="25" t="s">
        <v>28</v>
      </c>
      <c r="M487" t="s">
        <v>26</v>
      </c>
      <c r="N487" t="s">
        <v>26</v>
      </c>
      <c r="O487" t="s">
        <v>26</v>
      </c>
      <c r="P487" t="s">
        <v>26</v>
      </c>
      <c r="Q487" t="s">
        <v>26</v>
      </c>
      <c r="R487" t="s">
        <v>26</v>
      </c>
      <c r="S487" t="s">
        <v>26</v>
      </c>
      <c r="T487" t="s">
        <v>26</v>
      </c>
      <c r="U487" t="s">
        <v>26</v>
      </c>
      <c r="V487" t="s">
        <v>26</v>
      </c>
      <c r="W487" s="24">
        <v>41640</v>
      </c>
      <c r="X487" s="24">
        <v>41640</v>
      </c>
      <c r="Y487" t="s">
        <v>26</v>
      </c>
      <c r="Z487" s="24">
        <v>41640</v>
      </c>
      <c r="AA487" s="24">
        <v>41640</v>
      </c>
      <c r="AB487" t="s">
        <v>26</v>
      </c>
      <c r="AC487" t="s">
        <v>26</v>
      </c>
      <c r="AD487" t="s">
        <v>26</v>
      </c>
      <c r="AE487" t="s">
        <v>26</v>
      </c>
      <c r="AF487" t="s">
        <v>26</v>
      </c>
      <c r="AG487" t="s">
        <v>26</v>
      </c>
      <c r="AH487" t="s">
        <v>26</v>
      </c>
      <c r="AI487" t="s">
        <v>26</v>
      </c>
      <c r="AJ487" t="s">
        <v>26</v>
      </c>
      <c r="AK487" t="s">
        <v>26</v>
      </c>
      <c r="AL487" t="s">
        <v>26</v>
      </c>
      <c r="AM487" t="s">
        <v>26</v>
      </c>
      <c r="AN487" t="s">
        <v>26</v>
      </c>
      <c r="AO487" s="25" t="s">
        <v>28</v>
      </c>
      <c r="AP487" s="23" t="s">
        <v>29</v>
      </c>
      <c r="AQ487" s="23" t="s">
        <v>30</v>
      </c>
      <c r="AR487" s="23" t="s">
        <v>44</v>
      </c>
      <c r="AS487" s="25">
        <v>5483562</v>
      </c>
      <c r="AT487" s="23" t="s">
        <v>22181</v>
      </c>
      <c r="AU487" t="s">
        <v>22846</v>
      </c>
    </row>
    <row r="488" spans="1:47" ht="26.25" x14ac:dyDescent="0.4">
      <c r="A488" s="23" t="s">
        <v>1477</v>
      </c>
      <c r="B488" t="s">
        <v>26</v>
      </c>
      <c r="C488" s="23" t="s">
        <v>80</v>
      </c>
      <c r="D488" s="23" t="s">
        <v>22184</v>
      </c>
      <c r="E488" s="23" t="s">
        <v>60</v>
      </c>
      <c r="F488" s="25" t="s">
        <v>1478</v>
      </c>
      <c r="G488" s="25" t="s">
        <v>1479</v>
      </c>
      <c r="H488" t="s">
        <v>26</v>
      </c>
      <c r="I488" t="s">
        <v>26</v>
      </c>
      <c r="J488" t="s">
        <v>26</v>
      </c>
      <c r="K488" t="s">
        <v>26</v>
      </c>
      <c r="L488" s="25" t="s">
        <v>68</v>
      </c>
      <c r="M488" t="s">
        <v>26</v>
      </c>
      <c r="N488" t="s">
        <v>26</v>
      </c>
      <c r="O488" t="s">
        <v>26</v>
      </c>
      <c r="P488" t="s">
        <v>26</v>
      </c>
      <c r="Q488" t="s">
        <v>26</v>
      </c>
      <c r="R488" t="s">
        <v>26</v>
      </c>
      <c r="S488" t="s">
        <v>26</v>
      </c>
      <c r="T488" t="s">
        <v>26</v>
      </c>
      <c r="U488" t="s">
        <v>26</v>
      </c>
      <c r="V488" t="s">
        <v>26</v>
      </c>
      <c r="W488" s="24">
        <v>40210</v>
      </c>
      <c r="X488" s="25" t="s">
        <v>77</v>
      </c>
      <c r="Y488" t="s">
        <v>26</v>
      </c>
      <c r="Z488" s="24">
        <v>40210</v>
      </c>
      <c r="AA488" s="25" t="s">
        <v>77</v>
      </c>
      <c r="AB488" t="s">
        <v>26</v>
      </c>
      <c r="AC488" s="24">
        <v>40210</v>
      </c>
      <c r="AD488" s="25" t="s">
        <v>77</v>
      </c>
      <c r="AE488" t="s">
        <v>26</v>
      </c>
      <c r="AF488" t="s">
        <v>26</v>
      </c>
      <c r="AG488" t="s">
        <v>26</v>
      </c>
      <c r="AH488" t="s">
        <v>26</v>
      </c>
      <c r="AI488" t="s">
        <v>26</v>
      </c>
      <c r="AJ488" t="s">
        <v>26</v>
      </c>
      <c r="AK488" t="s">
        <v>26</v>
      </c>
      <c r="AL488" t="s">
        <v>26</v>
      </c>
      <c r="AM488" t="s">
        <v>26</v>
      </c>
      <c r="AN488" t="s">
        <v>26</v>
      </c>
      <c r="AO488" s="25" t="s">
        <v>68</v>
      </c>
      <c r="AP488" s="23" t="s">
        <v>69</v>
      </c>
      <c r="AQ488" s="23" t="s">
        <v>30</v>
      </c>
      <c r="AR488" s="23" t="s">
        <v>1243</v>
      </c>
      <c r="AS488" s="25">
        <v>186225</v>
      </c>
      <c r="AT488" t="s">
        <v>26</v>
      </c>
      <c r="AU488" t="s">
        <v>22847</v>
      </c>
    </row>
    <row r="489" spans="1:47" ht="26.25" x14ac:dyDescent="0.4">
      <c r="A489" s="23" t="s">
        <v>1480</v>
      </c>
      <c r="B489" t="s">
        <v>26</v>
      </c>
      <c r="C489" s="23" t="s">
        <v>1481</v>
      </c>
      <c r="D489" s="23" t="s">
        <v>22190</v>
      </c>
      <c r="E489" s="23" t="s">
        <v>60</v>
      </c>
      <c r="F489" s="25" t="s">
        <v>1482</v>
      </c>
      <c r="G489" s="25" t="s">
        <v>1483</v>
      </c>
      <c r="H489" t="s">
        <v>26</v>
      </c>
      <c r="I489" t="s">
        <v>26</v>
      </c>
      <c r="J489" t="s">
        <v>26</v>
      </c>
      <c r="K489" t="s">
        <v>26</v>
      </c>
      <c r="L489" s="25" t="s">
        <v>68</v>
      </c>
      <c r="M489" t="s">
        <v>26</v>
      </c>
      <c r="N489" t="s">
        <v>26</v>
      </c>
      <c r="O489" t="s">
        <v>26</v>
      </c>
      <c r="P489" t="s">
        <v>26</v>
      </c>
      <c r="Q489" t="s">
        <v>26</v>
      </c>
      <c r="R489" t="s">
        <v>26</v>
      </c>
      <c r="S489" t="s">
        <v>26</v>
      </c>
      <c r="T489" t="s">
        <v>26</v>
      </c>
      <c r="U489" t="s">
        <v>26</v>
      </c>
      <c r="V489" t="s">
        <v>26</v>
      </c>
      <c r="W489" s="24">
        <v>37987</v>
      </c>
      <c r="X489" s="25" t="s">
        <v>77</v>
      </c>
      <c r="Y489" t="s">
        <v>26</v>
      </c>
      <c r="Z489" s="24">
        <v>37987</v>
      </c>
      <c r="AA489" s="25" t="s">
        <v>77</v>
      </c>
      <c r="AB489" t="s">
        <v>26</v>
      </c>
      <c r="AC489" s="24">
        <v>37987</v>
      </c>
      <c r="AD489" s="25" t="s">
        <v>77</v>
      </c>
      <c r="AE489" t="s">
        <v>26</v>
      </c>
      <c r="AF489" t="s">
        <v>26</v>
      </c>
      <c r="AG489" t="s">
        <v>26</v>
      </c>
      <c r="AH489" t="s">
        <v>26</v>
      </c>
      <c r="AI489" t="s">
        <v>26</v>
      </c>
      <c r="AJ489" t="s">
        <v>26</v>
      </c>
      <c r="AK489" t="s">
        <v>26</v>
      </c>
      <c r="AL489" t="s">
        <v>26</v>
      </c>
      <c r="AM489" t="s">
        <v>26</v>
      </c>
      <c r="AN489" t="s">
        <v>26</v>
      </c>
      <c r="AO489" s="25" t="s">
        <v>68</v>
      </c>
      <c r="AP489" s="23" t="s">
        <v>69</v>
      </c>
      <c r="AQ489" s="23" t="s">
        <v>30</v>
      </c>
      <c r="AR489" s="23" t="s">
        <v>1484</v>
      </c>
      <c r="AS489" s="25">
        <v>48043</v>
      </c>
      <c r="AT489" t="s">
        <v>26</v>
      </c>
      <c r="AU489" t="s">
        <v>22848</v>
      </c>
    </row>
    <row r="490" spans="1:47" ht="26.25" x14ac:dyDescent="0.4">
      <c r="A490" s="23" t="s">
        <v>1485</v>
      </c>
      <c r="B490" t="s">
        <v>26</v>
      </c>
      <c r="C490" s="23" t="s">
        <v>22849</v>
      </c>
      <c r="D490" s="23" t="s">
        <v>22850</v>
      </c>
      <c r="E490" s="23" t="s">
        <v>42</v>
      </c>
      <c r="F490" t="s">
        <v>26</v>
      </c>
      <c r="G490" t="s">
        <v>26</v>
      </c>
      <c r="H490" t="s">
        <v>26</v>
      </c>
      <c r="I490" s="24">
        <v>35796</v>
      </c>
      <c r="J490" s="24">
        <v>41275</v>
      </c>
      <c r="K490" t="s">
        <v>26</v>
      </c>
      <c r="L490" s="25" t="s">
        <v>28</v>
      </c>
      <c r="M490" s="24">
        <v>35796</v>
      </c>
      <c r="N490" s="24">
        <v>41275</v>
      </c>
      <c r="O490" t="s">
        <v>26</v>
      </c>
      <c r="P490" t="s">
        <v>26</v>
      </c>
      <c r="Q490" t="s">
        <v>26</v>
      </c>
      <c r="R490" t="s">
        <v>26</v>
      </c>
      <c r="S490" s="24">
        <v>35796</v>
      </c>
      <c r="T490" s="24">
        <v>41275</v>
      </c>
      <c r="U490" t="s">
        <v>26</v>
      </c>
      <c r="V490" t="s">
        <v>26</v>
      </c>
      <c r="W490" s="24">
        <v>35796</v>
      </c>
      <c r="X490" s="24">
        <v>41275</v>
      </c>
      <c r="Y490" t="s">
        <v>26</v>
      </c>
      <c r="Z490" s="24">
        <v>35796</v>
      </c>
      <c r="AA490" s="24">
        <v>41275</v>
      </c>
      <c r="AB490" t="s">
        <v>26</v>
      </c>
      <c r="AC490" s="24">
        <v>35796</v>
      </c>
      <c r="AD490" s="24">
        <v>41275</v>
      </c>
      <c r="AE490" t="s">
        <v>26</v>
      </c>
      <c r="AF490" s="24">
        <v>35796</v>
      </c>
      <c r="AG490" s="24">
        <v>41275</v>
      </c>
      <c r="AH490" t="s">
        <v>26</v>
      </c>
      <c r="AI490" s="24">
        <v>35796</v>
      </c>
      <c r="AJ490" s="24">
        <v>41275</v>
      </c>
      <c r="AK490" t="s">
        <v>26</v>
      </c>
      <c r="AL490" t="s">
        <v>26</v>
      </c>
      <c r="AM490" t="s">
        <v>26</v>
      </c>
      <c r="AN490" t="s">
        <v>26</v>
      </c>
      <c r="AO490" s="25" t="s">
        <v>28</v>
      </c>
      <c r="AP490" s="23" t="s">
        <v>43</v>
      </c>
      <c r="AQ490" s="23" t="s">
        <v>30</v>
      </c>
      <c r="AR490" s="23" t="s">
        <v>46</v>
      </c>
      <c r="AS490" s="25">
        <v>6362759</v>
      </c>
      <c r="AT490" t="s">
        <v>26</v>
      </c>
      <c r="AU490" t="s">
        <v>22851</v>
      </c>
    </row>
    <row r="491" spans="1:47" ht="26.25" x14ac:dyDescent="0.4">
      <c r="A491" s="23" t="s">
        <v>1486</v>
      </c>
      <c r="B491" t="s">
        <v>26</v>
      </c>
      <c r="C491" s="23" t="s">
        <v>181</v>
      </c>
      <c r="D491" s="23" t="s">
        <v>22194</v>
      </c>
      <c r="E491" s="23" t="s">
        <v>60</v>
      </c>
      <c r="F491" t="s">
        <v>26</v>
      </c>
      <c r="G491" s="25" t="s">
        <v>1487</v>
      </c>
      <c r="H491" t="s">
        <v>26</v>
      </c>
      <c r="I491" s="24">
        <v>42736</v>
      </c>
      <c r="J491" s="25" t="s">
        <v>77</v>
      </c>
      <c r="K491" t="s">
        <v>26</v>
      </c>
      <c r="L491" s="25" t="s">
        <v>68</v>
      </c>
      <c r="M491" t="s">
        <v>26</v>
      </c>
      <c r="N491" t="s">
        <v>26</v>
      </c>
      <c r="O491" t="s">
        <v>26</v>
      </c>
      <c r="P491" t="s">
        <v>26</v>
      </c>
      <c r="Q491" t="s">
        <v>26</v>
      </c>
      <c r="R491" t="s">
        <v>26</v>
      </c>
      <c r="S491" s="24">
        <v>42736</v>
      </c>
      <c r="T491" s="25" t="s">
        <v>77</v>
      </c>
      <c r="U491" t="s">
        <v>26</v>
      </c>
      <c r="V491" t="s">
        <v>26</v>
      </c>
      <c r="W491" s="24">
        <v>42736</v>
      </c>
      <c r="X491" s="25" t="s">
        <v>77</v>
      </c>
      <c r="Y491" t="s">
        <v>26</v>
      </c>
      <c r="Z491" s="24">
        <v>42736</v>
      </c>
      <c r="AA491" s="25" t="s">
        <v>77</v>
      </c>
      <c r="AB491" t="s">
        <v>26</v>
      </c>
      <c r="AC491" s="24">
        <v>42736</v>
      </c>
      <c r="AD491" s="25" t="s">
        <v>77</v>
      </c>
      <c r="AE491" t="s">
        <v>26</v>
      </c>
      <c r="AF491" t="s">
        <v>26</v>
      </c>
      <c r="AG491" t="s">
        <v>26</v>
      </c>
      <c r="AH491" t="s">
        <v>26</v>
      </c>
      <c r="AI491" t="s">
        <v>26</v>
      </c>
      <c r="AJ491" t="s">
        <v>26</v>
      </c>
      <c r="AK491" t="s">
        <v>26</v>
      </c>
      <c r="AL491" t="s">
        <v>26</v>
      </c>
      <c r="AM491" t="s">
        <v>26</v>
      </c>
      <c r="AN491" t="s">
        <v>26</v>
      </c>
      <c r="AO491" s="25" t="s">
        <v>68</v>
      </c>
      <c r="AP491" s="23" t="s">
        <v>69</v>
      </c>
      <c r="AQ491" s="23" t="s">
        <v>30</v>
      </c>
      <c r="AR491" s="23" t="s">
        <v>70</v>
      </c>
      <c r="AS491" s="25">
        <v>4450814</v>
      </c>
      <c r="AT491" t="s">
        <v>26</v>
      </c>
      <c r="AU491" t="s">
        <v>22852</v>
      </c>
    </row>
    <row r="492" spans="1:47" ht="26.25" x14ac:dyDescent="0.4">
      <c r="A492" s="23" t="s">
        <v>1488</v>
      </c>
      <c r="B492" t="s">
        <v>26</v>
      </c>
      <c r="C492" s="23" t="s">
        <v>181</v>
      </c>
      <c r="D492" s="23" t="s">
        <v>22174</v>
      </c>
      <c r="E492" s="23" t="s">
        <v>60</v>
      </c>
      <c r="F492" s="25" t="s">
        <v>1489</v>
      </c>
      <c r="G492" s="25" t="s">
        <v>1490</v>
      </c>
      <c r="H492" t="s">
        <v>26</v>
      </c>
      <c r="I492" t="s">
        <v>26</v>
      </c>
      <c r="J492" t="s">
        <v>26</v>
      </c>
      <c r="K492" t="s">
        <v>26</v>
      </c>
      <c r="L492" s="25" t="s">
        <v>68</v>
      </c>
      <c r="M492" t="s">
        <v>26</v>
      </c>
      <c r="N492" t="s">
        <v>26</v>
      </c>
      <c r="O492" t="s">
        <v>26</v>
      </c>
      <c r="P492" t="s">
        <v>26</v>
      </c>
      <c r="Q492" t="s">
        <v>26</v>
      </c>
      <c r="R492" t="s">
        <v>26</v>
      </c>
      <c r="S492" t="s">
        <v>26</v>
      </c>
      <c r="T492" t="s">
        <v>26</v>
      </c>
      <c r="U492" t="s">
        <v>26</v>
      </c>
      <c r="V492" t="s">
        <v>26</v>
      </c>
      <c r="W492" s="24">
        <v>38412</v>
      </c>
      <c r="X492" s="25" t="s">
        <v>77</v>
      </c>
      <c r="Y492" t="s">
        <v>26</v>
      </c>
      <c r="Z492" s="24">
        <v>38412</v>
      </c>
      <c r="AA492" s="25" t="s">
        <v>77</v>
      </c>
      <c r="AB492" t="s">
        <v>26</v>
      </c>
      <c r="AC492" s="24">
        <v>38412</v>
      </c>
      <c r="AD492" s="25" t="s">
        <v>77</v>
      </c>
      <c r="AE492" t="s">
        <v>26</v>
      </c>
      <c r="AF492" t="s">
        <v>26</v>
      </c>
      <c r="AG492" t="s">
        <v>26</v>
      </c>
      <c r="AH492" t="s">
        <v>26</v>
      </c>
      <c r="AI492" t="s">
        <v>26</v>
      </c>
      <c r="AJ492" t="s">
        <v>26</v>
      </c>
      <c r="AK492" t="s">
        <v>26</v>
      </c>
      <c r="AL492" t="s">
        <v>26</v>
      </c>
      <c r="AM492" t="s">
        <v>26</v>
      </c>
      <c r="AN492" t="s">
        <v>26</v>
      </c>
      <c r="AO492" s="25" t="s">
        <v>68</v>
      </c>
      <c r="AP492" s="23" t="s">
        <v>69</v>
      </c>
      <c r="AQ492" s="23" t="s">
        <v>30</v>
      </c>
      <c r="AR492" s="23" t="s">
        <v>147</v>
      </c>
      <c r="AS492" s="25">
        <v>28185</v>
      </c>
      <c r="AT492" t="s">
        <v>26</v>
      </c>
      <c r="AU492" t="s">
        <v>22853</v>
      </c>
    </row>
    <row r="493" spans="1:47" ht="13.15" x14ac:dyDescent="0.4">
      <c r="A493" s="23" t="s">
        <v>1491</v>
      </c>
      <c r="B493" t="s">
        <v>26</v>
      </c>
      <c r="C493" s="23" t="s">
        <v>1492</v>
      </c>
      <c r="D493" s="23" t="s">
        <v>22647</v>
      </c>
      <c r="E493" s="23" t="s">
        <v>42</v>
      </c>
      <c r="F493" t="s">
        <v>26</v>
      </c>
      <c r="G493" t="s">
        <v>26</v>
      </c>
      <c r="H493" t="s">
        <v>26</v>
      </c>
      <c r="I493" s="24">
        <v>37987</v>
      </c>
      <c r="J493" s="24">
        <v>37987</v>
      </c>
      <c r="K493" t="s">
        <v>26</v>
      </c>
      <c r="L493" s="25" t="s">
        <v>28</v>
      </c>
      <c r="M493" t="s">
        <v>26</v>
      </c>
      <c r="N493" t="s">
        <v>26</v>
      </c>
      <c r="O493" t="s">
        <v>26</v>
      </c>
      <c r="P493" s="24">
        <v>37987</v>
      </c>
      <c r="Q493" s="24">
        <v>37987</v>
      </c>
      <c r="R493" t="s">
        <v>26</v>
      </c>
      <c r="S493" t="s">
        <v>26</v>
      </c>
      <c r="T493" t="s">
        <v>26</v>
      </c>
      <c r="U493" t="s">
        <v>26</v>
      </c>
      <c r="V493" t="s">
        <v>26</v>
      </c>
      <c r="W493" s="24">
        <v>37987</v>
      </c>
      <c r="X493" s="24">
        <v>37987</v>
      </c>
      <c r="Y493" t="s">
        <v>26</v>
      </c>
      <c r="Z493" s="24">
        <v>37987</v>
      </c>
      <c r="AA493" s="24">
        <v>37987</v>
      </c>
      <c r="AB493" t="s">
        <v>26</v>
      </c>
      <c r="AC493" t="s">
        <v>26</v>
      </c>
      <c r="AD493" t="s">
        <v>26</v>
      </c>
      <c r="AE493" t="s">
        <v>26</v>
      </c>
      <c r="AF493" t="s">
        <v>26</v>
      </c>
      <c r="AG493" t="s">
        <v>26</v>
      </c>
      <c r="AH493" t="s">
        <v>26</v>
      </c>
      <c r="AI493" t="s">
        <v>26</v>
      </c>
      <c r="AJ493" t="s">
        <v>26</v>
      </c>
      <c r="AK493" t="s">
        <v>26</v>
      </c>
      <c r="AL493" t="s">
        <v>26</v>
      </c>
      <c r="AM493" t="s">
        <v>26</v>
      </c>
      <c r="AN493" t="s">
        <v>26</v>
      </c>
      <c r="AO493" s="25" t="s">
        <v>28</v>
      </c>
      <c r="AP493" s="23" t="s">
        <v>29</v>
      </c>
      <c r="AQ493" s="23" t="s">
        <v>30</v>
      </c>
      <c r="AR493" s="23" t="s">
        <v>46</v>
      </c>
      <c r="AS493" s="25">
        <v>6394496</v>
      </c>
      <c r="AT493" t="s">
        <v>26</v>
      </c>
      <c r="AU493" t="s">
        <v>22854</v>
      </c>
    </row>
    <row r="494" spans="1:47" ht="26.25" x14ac:dyDescent="0.4">
      <c r="A494" s="23" t="s">
        <v>1493</v>
      </c>
      <c r="B494" t="s">
        <v>26</v>
      </c>
      <c r="C494" s="23" t="s">
        <v>22542</v>
      </c>
      <c r="D494" s="23" t="s">
        <v>22701</v>
      </c>
      <c r="E494" s="23" t="s">
        <v>42</v>
      </c>
      <c r="F494" t="s">
        <v>26</v>
      </c>
      <c r="G494" t="s">
        <v>26</v>
      </c>
      <c r="H494" t="s">
        <v>26</v>
      </c>
      <c r="I494" s="24">
        <v>40179</v>
      </c>
      <c r="J494" s="24">
        <v>40179</v>
      </c>
      <c r="K494" t="s">
        <v>26</v>
      </c>
      <c r="L494" s="25" t="s">
        <v>28</v>
      </c>
      <c r="M494" s="24">
        <v>40179</v>
      </c>
      <c r="N494" s="24">
        <v>40179</v>
      </c>
      <c r="O494" t="s">
        <v>26</v>
      </c>
      <c r="P494" t="s">
        <v>26</v>
      </c>
      <c r="Q494" t="s">
        <v>26</v>
      </c>
      <c r="R494" t="s">
        <v>26</v>
      </c>
      <c r="S494" s="24">
        <v>40179</v>
      </c>
      <c r="T494" s="24">
        <v>40179</v>
      </c>
      <c r="U494" t="s">
        <v>26</v>
      </c>
      <c r="V494" t="s">
        <v>26</v>
      </c>
      <c r="W494" s="24">
        <v>40179</v>
      </c>
      <c r="X494" s="24">
        <v>40179</v>
      </c>
      <c r="Y494" t="s">
        <v>26</v>
      </c>
      <c r="Z494" s="24">
        <v>40179</v>
      </c>
      <c r="AA494" s="24">
        <v>40179</v>
      </c>
      <c r="AB494" t="s">
        <v>26</v>
      </c>
      <c r="AC494" s="24">
        <v>40179</v>
      </c>
      <c r="AD494" s="24">
        <v>40179</v>
      </c>
      <c r="AE494" t="s">
        <v>26</v>
      </c>
      <c r="AF494" s="24">
        <v>40179</v>
      </c>
      <c r="AG494" s="24">
        <v>40179</v>
      </c>
      <c r="AH494" t="s">
        <v>26</v>
      </c>
      <c r="AI494" s="24">
        <v>40179</v>
      </c>
      <c r="AJ494" s="24">
        <v>40179</v>
      </c>
      <c r="AK494" t="s">
        <v>26</v>
      </c>
      <c r="AL494" t="s">
        <v>26</v>
      </c>
      <c r="AM494" t="s">
        <v>26</v>
      </c>
      <c r="AN494" t="s">
        <v>26</v>
      </c>
      <c r="AO494" s="25" t="s">
        <v>28</v>
      </c>
      <c r="AP494" s="23" t="s">
        <v>43</v>
      </c>
      <c r="AQ494" s="23" t="s">
        <v>30</v>
      </c>
      <c r="AR494" s="23" t="s">
        <v>46</v>
      </c>
      <c r="AS494" s="25">
        <v>6364596</v>
      </c>
      <c r="AT494" t="s">
        <v>26</v>
      </c>
      <c r="AU494" t="s">
        <v>22855</v>
      </c>
    </row>
    <row r="495" spans="1:47" ht="26.25" x14ac:dyDescent="0.4">
      <c r="A495" s="23" t="s">
        <v>1494</v>
      </c>
      <c r="B495" t="s">
        <v>26</v>
      </c>
      <c r="C495" s="23" t="s">
        <v>107</v>
      </c>
      <c r="D495" s="23" t="s">
        <v>22644</v>
      </c>
      <c r="E495" s="23" t="s">
        <v>42</v>
      </c>
      <c r="F495" s="25" t="s">
        <v>1495</v>
      </c>
      <c r="G495" s="25" t="s">
        <v>1496</v>
      </c>
      <c r="H495" t="s">
        <v>26</v>
      </c>
      <c r="I495" s="24">
        <v>38353</v>
      </c>
      <c r="J495" s="24">
        <v>43040</v>
      </c>
      <c r="K495" t="s">
        <v>26</v>
      </c>
      <c r="L495" s="25" t="s">
        <v>68</v>
      </c>
      <c r="M495" s="24">
        <v>38353</v>
      </c>
      <c r="N495" s="24">
        <v>43040</v>
      </c>
      <c r="O495" t="s">
        <v>26</v>
      </c>
      <c r="P495" s="24">
        <v>38353</v>
      </c>
      <c r="Q495" s="24">
        <v>43040</v>
      </c>
      <c r="R495" t="s">
        <v>26</v>
      </c>
      <c r="S495" t="s">
        <v>26</v>
      </c>
      <c r="T495" t="s">
        <v>26</v>
      </c>
      <c r="U495" t="s">
        <v>26</v>
      </c>
      <c r="V495" t="s">
        <v>26</v>
      </c>
      <c r="W495" s="24">
        <v>38353</v>
      </c>
      <c r="X495" s="25" t="s">
        <v>77</v>
      </c>
      <c r="Y495" t="s">
        <v>26</v>
      </c>
      <c r="Z495" s="24">
        <v>38353</v>
      </c>
      <c r="AA495" s="25" t="s">
        <v>77</v>
      </c>
      <c r="AB495" t="s">
        <v>26</v>
      </c>
      <c r="AC495" s="24">
        <v>38353</v>
      </c>
      <c r="AD495" s="25" t="s">
        <v>77</v>
      </c>
      <c r="AE495" t="s">
        <v>26</v>
      </c>
      <c r="AF495" t="s">
        <v>26</v>
      </c>
      <c r="AG495" t="s">
        <v>26</v>
      </c>
      <c r="AH495" t="s">
        <v>26</v>
      </c>
      <c r="AI495" t="s">
        <v>26</v>
      </c>
      <c r="AJ495" t="s">
        <v>26</v>
      </c>
      <c r="AK495" t="s">
        <v>26</v>
      </c>
      <c r="AL495" t="s">
        <v>26</v>
      </c>
      <c r="AM495" t="s">
        <v>26</v>
      </c>
      <c r="AN495" t="s">
        <v>26</v>
      </c>
      <c r="AO495" s="25" t="s">
        <v>68</v>
      </c>
      <c r="AP495" s="23" t="s">
        <v>69</v>
      </c>
      <c r="AQ495" s="23" t="s">
        <v>30</v>
      </c>
      <c r="AR495" s="23" t="s">
        <v>1497</v>
      </c>
      <c r="AS495" s="25">
        <v>36255</v>
      </c>
      <c r="AT495" t="s">
        <v>26</v>
      </c>
      <c r="AU495" t="s">
        <v>22856</v>
      </c>
    </row>
    <row r="496" spans="1:47" ht="39.4" x14ac:dyDescent="0.4">
      <c r="A496" s="23" t="s">
        <v>22857</v>
      </c>
      <c r="B496" t="s">
        <v>26</v>
      </c>
      <c r="C496" s="23" t="s">
        <v>332</v>
      </c>
      <c r="D496" s="23" t="s">
        <v>22256</v>
      </c>
      <c r="E496" s="23" t="s">
        <v>42</v>
      </c>
      <c r="F496" t="s">
        <v>26</v>
      </c>
      <c r="G496" t="s">
        <v>26</v>
      </c>
      <c r="H496" t="s">
        <v>26</v>
      </c>
      <c r="I496" s="24">
        <v>25569</v>
      </c>
      <c r="J496" s="24">
        <v>25569</v>
      </c>
      <c r="K496" t="s">
        <v>26</v>
      </c>
      <c r="L496" s="25" t="s">
        <v>28</v>
      </c>
      <c r="M496" s="24">
        <v>25569</v>
      </c>
      <c r="N496" s="24">
        <v>25569</v>
      </c>
      <c r="O496" t="s">
        <v>26</v>
      </c>
      <c r="P496" t="s">
        <v>26</v>
      </c>
      <c r="Q496" t="s">
        <v>26</v>
      </c>
      <c r="R496" t="s">
        <v>26</v>
      </c>
      <c r="S496" t="s">
        <v>26</v>
      </c>
      <c r="T496" t="s">
        <v>26</v>
      </c>
      <c r="U496" t="s">
        <v>26</v>
      </c>
      <c r="V496" t="s">
        <v>26</v>
      </c>
      <c r="W496" s="24">
        <v>25569</v>
      </c>
      <c r="X496" s="24">
        <v>25569</v>
      </c>
      <c r="Y496" t="s">
        <v>26</v>
      </c>
      <c r="Z496" s="24">
        <v>25569</v>
      </c>
      <c r="AA496" s="24">
        <v>25569</v>
      </c>
      <c r="AB496" t="s">
        <v>26</v>
      </c>
      <c r="AC496" s="24">
        <v>25569</v>
      </c>
      <c r="AD496" s="24">
        <v>25569</v>
      </c>
      <c r="AE496" t="s">
        <v>26</v>
      </c>
      <c r="AF496" t="s">
        <v>26</v>
      </c>
      <c r="AG496" t="s">
        <v>26</v>
      </c>
      <c r="AH496" t="s">
        <v>26</v>
      </c>
      <c r="AI496" t="s">
        <v>26</v>
      </c>
      <c r="AJ496" t="s">
        <v>26</v>
      </c>
      <c r="AK496" t="s">
        <v>26</v>
      </c>
      <c r="AL496" t="s">
        <v>26</v>
      </c>
      <c r="AM496" t="s">
        <v>26</v>
      </c>
      <c r="AN496" t="s">
        <v>26</v>
      </c>
      <c r="AO496" s="25" t="s">
        <v>28</v>
      </c>
      <c r="AP496" s="23" t="s">
        <v>279</v>
      </c>
      <c r="AQ496" s="23" t="s">
        <v>30</v>
      </c>
      <c r="AR496" s="23" t="s">
        <v>46</v>
      </c>
      <c r="AS496" s="25">
        <v>6128787</v>
      </c>
      <c r="AT496" t="s">
        <v>26</v>
      </c>
      <c r="AU496" t="s">
        <v>22858</v>
      </c>
    </row>
    <row r="497" spans="1:47" ht="26.25" x14ac:dyDescent="0.4">
      <c r="A497" s="23" t="s">
        <v>22859</v>
      </c>
      <c r="B497" t="s">
        <v>26</v>
      </c>
      <c r="C497" s="23" t="s">
        <v>332</v>
      </c>
      <c r="D497" s="23" t="s">
        <v>22256</v>
      </c>
      <c r="E497" s="23" t="s">
        <v>42</v>
      </c>
      <c r="F497" t="s">
        <v>26</v>
      </c>
      <c r="G497" t="s">
        <v>26</v>
      </c>
      <c r="H497" t="s">
        <v>26</v>
      </c>
      <c r="I497" s="24">
        <v>25569</v>
      </c>
      <c r="J497" s="24">
        <v>25569</v>
      </c>
      <c r="K497" t="s">
        <v>26</v>
      </c>
      <c r="L497" s="25" t="s">
        <v>28</v>
      </c>
      <c r="M497" s="24">
        <v>25569</v>
      </c>
      <c r="N497" s="24">
        <v>25569</v>
      </c>
      <c r="O497" t="s">
        <v>26</v>
      </c>
      <c r="P497" t="s">
        <v>26</v>
      </c>
      <c r="Q497" t="s">
        <v>26</v>
      </c>
      <c r="R497" t="s">
        <v>26</v>
      </c>
      <c r="S497" t="s">
        <v>26</v>
      </c>
      <c r="T497" t="s">
        <v>26</v>
      </c>
      <c r="U497" t="s">
        <v>26</v>
      </c>
      <c r="V497" t="s">
        <v>26</v>
      </c>
      <c r="W497" s="24">
        <v>25569</v>
      </c>
      <c r="X497" s="24">
        <v>25569</v>
      </c>
      <c r="Y497" t="s">
        <v>26</v>
      </c>
      <c r="Z497" s="24">
        <v>25569</v>
      </c>
      <c r="AA497" s="24">
        <v>25569</v>
      </c>
      <c r="AB497" t="s">
        <v>26</v>
      </c>
      <c r="AC497" s="24">
        <v>25569</v>
      </c>
      <c r="AD497" s="24">
        <v>25569</v>
      </c>
      <c r="AE497" t="s">
        <v>26</v>
      </c>
      <c r="AF497" t="s">
        <v>26</v>
      </c>
      <c r="AG497" t="s">
        <v>26</v>
      </c>
      <c r="AH497" t="s">
        <v>26</v>
      </c>
      <c r="AI497" t="s">
        <v>26</v>
      </c>
      <c r="AJ497" t="s">
        <v>26</v>
      </c>
      <c r="AK497" t="s">
        <v>26</v>
      </c>
      <c r="AL497" t="s">
        <v>26</v>
      </c>
      <c r="AM497" t="s">
        <v>26</v>
      </c>
      <c r="AN497" t="s">
        <v>26</v>
      </c>
      <c r="AO497" s="25" t="s">
        <v>28</v>
      </c>
      <c r="AP497" s="23" t="s">
        <v>279</v>
      </c>
      <c r="AQ497" s="23" t="s">
        <v>30</v>
      </c>
      <c r="AR497" s="23" t="s">
        <v>46</v>
      </c>
      <c r="AS497" s="25">
        <v>6128786</v>
      </c>
      <c r="AT497" t="s">
        <v>26</v>
      </c>
      <c r="AU497" t="s">
        <v>22860</v>
      </c>
    </row>
    <row r="498" spans="1:47" ht="26.25" x14ac:dyDescent="0.4">
      <c r="A498" s="23" t="s">
        <v>22861</v>
      </c>
      <c r="B498" t="s">
        <v>26</v>
      </c>
      <c r="C498" s="23" t="s">
        <v>332</v>
      </c>
      <c r="D498" s="23" t="s">
        <v>22256</v>
      </c>
      <c r="E498" s="23" t="s">
        <v>42</v>
      </c>
      <c r="F498" t="s">
        <v>26</v>
      </c>
      <c r="G498" t="s">
        <v>26</v>
      </c>
      <c r="H498" t="s">
        <v>26</v>
      </c>
      <c r="I498" s="24">
        <v>25569</v>
      </c>
      <c r="J498" s="24">
        <v>25569</v>
      </c>
      <c r="K498" t="s">
        <v>26</v>
      </c>
      <c r="L498" s="25" t="s">
        <v>28</v>
      </c>
      <c r="M498" s="24">
        <v>25569</v>
      </c>
      <c r="N498" s="24">
        <v>25569</v>
      </c>
      <c r="O498" t="s">
        <v>26</v>
      </c>
      <c r="P498" t="s">
        <v>26</v>
      </c>
      <c r="Q498" t="s">
        <v>26</v>
      </c>
      <c r="R498" t="s">
        <v>26</v>
      </c>
      <c r="S498" t="s">
        <v>26</v>
      </c>
      <c r="T498" t="s">
        <v>26</v>
      </c>
      <c r="U498" t="s">
        <v>26</v>
      </c>
      <c r="V498" t="s">
        <v>26</v>
      </c>
      <c r="W498" s="24">
        <v>25569</v>
      </c>
      <c r="X498" s="24">
        <v>25569</v>
      </c>
      <c r="Y498" t="s">
        <v>26</v>
      </c>
      <c r="Z498" s="24">
        <v>25569</v>
      </c>
      <c r="AA498" s="24">
        <v>25569</v>
      </c>
      <c r="AB498" t="s">
        <v>26</v>
      </c>
      <c r="AC498" s="24">
        <v>25569</v>
      </c>
      <c r="AD498" s="24">
        <v>25569</v>
      </c>
      <c r="AE498" t="s">
        <v>26</v>
      </c>
      <c r="AF498" t="s">
        <v>26</v>
      </c>
      <c r="AG498" t="s">
        <v>26</v>
      </c>
      <c r="AH498" t="s">
        <v>26</v>
      </c>
      <c r="AI498" t="s">
        <v>26</v>
      </c>
      <c r="AJ498" t="s">
        <v>26</v>
      </c>
      <c r="AK498" t="s">
        <v>26</v>
      </c>
      <c r="AL498" t="s">
        <v>26</v>
      </c>
      <c r="AM498" t="s">
        <v>26</v>
      </c>
      <c r="AN498" t="s">
        <v>26</v>
      </c>
      <c r="AO498" s="25" t="s">
        <v>28</v>
      </c>
      <c r="AP498" s="23" t="s">
        <v>279</v>
      </c>
      <c r="AQ498" s="23" t="s">
        <v>30</v>
      </c>
      <c r="AR498" s="23" t="s">
        <v>46</v>
      </c>
      <c r="AS498" s="25">
        <v>6128785</v>
      </c>
      <c r="AT498" t="s">
        <v>26</v>
      </c>
      <c r="AU498" t="s">
        <v>22862</v>
      </c>
    </row>
    <row r="499" spans="1:47" ht="39.4" x14ac:dyDescent="0.4">
      <c r="A499" s="23" t="s">
        <v>22863</v>
      </c>
      <c r="B499" t="s">
        <v>26</v>
      </c>
      <c r="C499" s="23" t="s">
        <v>332</v>
      </c>
      <c r="D499" s="23" t="s">
        <v>22256</v>
      </c>
      <c r="E499" s="23" t="s">
        <v>42</v>
      </c>
      <c r="F499" t="s">
        <v>26</v>
      </c>
      <c r="G499" t="s">
        <v>26</v>
      </c>
      <c r="H499" t="s">
        <v>26</v>
      </c>
      <c r="I499" s="24">
        <v>25569</v>
      </c>
      <c r="J499" s="24">
        <v>25569</v>
      </c>
      <c r="K499" t="s">
        <v>26</v>
      </c>
      <c r="L499" s="25" t="s">
        <v>28</v>
      </c>
      <c r="M499" s="24">
        <v>25569</v>
      </c>
      <c r="N499" s="24">
        <v>25569</v>
      </c>
      <c r="O499" t="s">
        <v>26</v>
      </c>
      <c r="P499" t="s">
        <v>26</v>
      </c>
      <c r="Q499" t="s">
        <v>26</v>
      </c>
      <c r="R499" t="s">
        <v>26</v>
      </c>
      <c r="S499" t="s">
        <v>26</v>
      </c>
      <c r="T499" t="s">
        <v>26</v>
      </c>
      <c r="U499" t="s">
        <v>26</v>
      </c>
      <c r="V499" t="s">
        <v>26</v>
      </c>
      <c r="W499" s="24">
        <v>25569</v>
      </c>
      <c r="X499" s="24">
        <v>25569</v>
      </c>
      <c r="Y499" t="s">
        <v>26</v>
      </c>
      <c r="Z499" s="24">
        <v>25569</v>
      </c>
      <c r="AA499" s="24">
        <v>25569</v>
      </c>
      <c r="AB499" t="s">
        <v>26</v>
      </c>
      <c r="AC499" s="24">
        <v>25569</v>
      </c>
      <c r="AD499" s="24">
        <v>25569</v>
      </c>
      <c r="AE499" t="s">
        <v>26</v>
      </c>
      <c r="AF499" t="s">
        <v>26</v>
      </c>
      <c r="AG499" t="s">
        <v>26</v>
      </c>
      <c r="AH499" t="s">
        <v>26</v>
      </c>
      <c r="AI499" t="s">
        <v>26</v>
      </c>
      <c r="AJ499" t="s">
        <v>26</v>
      </c>
      <c r="AK499" t="s">
        <v>26</v>
      </c>
      <c r="AL499" t="s">
        <v>26</v>
      </c>
      <c r="AM499" t="s">
        <v>26</v>
      </c>
      <c r="AN499" t="s">
        <v>26</v>
      </c>
      <c r="AO499" s="25" t="s">
        <v>28</v>
      </c>
      <c r="AP499" s="23" t="s">
        <v>279</v>
      </c>
      <c r="AQ499" s="23" t="s">
        <v>30</v>
      </c>
      <c r="AR499" s="23" t="s">
        <v>46</v>
      </c>
      <c r="AS499" s="25">
        <v>6128784</v>
      </c>
      <c r="AT499" t="s">
        <v>26</v>
      </c>
      <c r="AU499" t="s">
        <v>22864</v>
      </c>
    </row>
    <row r="500" spans="1:47" ht="39.4" x14ac:dyDescent="0.4">
      <c r="A500" s="23" t="s">
        <v>22865</v>
      </c>
      <c r="B500" t="s">
        <v>26</v>
      </c>
      <c r="C500" s="23" t="s">
        <v>332</v>
      </c>
      <c r="D500" s="23" t="s">
        <v>22256</v>
      </c>
      <c r="E500" s="23" t="s">
        <v>42</v>
      </c>
      <c r="F500" t="s">
        <v>26</v>
      </c>
      <c r="G500" t="s">
        <v>26</v>
      </c>
      <c r="H500" t="s">
        <v>26</v>
      </c>
      <c r="I500" s="24">
        <v>25569</v>
      </c>
      <c r="J500" s="24">
        <v>25934</v>
      </c>
      <c r="K500" t="s">
        <v>26</v>
      </c>
      <c r="L500" s="25" t="s">
        <v>28</v>
      </c>
      <c r="M500" s="24">
        <v>25569</v>
      </c>
      <c r="N500" s="24">
        <v>25934</v>
      </c>
      <c r="O500" t="s">
        <v>26</v>
      </c>
      <c r="P500" t="s">
        <v>26</v>
      </c>
      <c r="Q500" t="s">
        <v>26</v>
      </c>
      <c r="R500" t="s">
        <v>26</v>
      </c>
      <c r="S500" t="s">
        <v>26</v>
      </c>
      <c r="T500" t="s">
        <v>26</v>
      </c>
      <c r="U500" t="s">
        <v>26</v>
      </c>
      <c r="V500" t="s">
        <v>26</v>
      </c>
      <c r="W500" s="24">
        <v>25569</v>
      </c>
      <c r="X500" s="24">
        <v>25934</v>
      </c>
      <c r="Y500" t="s">
        <v>26</v>
      </c>
      <c r="Z500" s="24">
        <v>25569</v>
      </c>
      <c r="AA500" s="24">
        <v>25934</v>
      </c>
      <c r="AB500" t="s">
        <v>26</v>
      </c>
      <c r="AC500" s="24">
        <v>25569</v>
      </c>
      <c r="AD500" s="24">
        <v>25934</v>
      </c>
      <c r="AE500" t="s">
        <v>26</v>
      </c>
      <c r="AF500" t="s">
        <v>26</v>
      </c>
      <c r="AG500" t="s">
        <v>26</v>
      </c>
      <c r="AH500" t="s">
        <v>26</v>
      </c>
      <c r="AI500" t="s">
        <v>26</v>
      </c>
      <c r="AJ500" t="s">
        <v>26</v>
      </c>
      <c r="AK500" t="s">
        <v>26</v>
      </c>
      <c r="AL500" t="s">
        <v>26</v>
      </c>
      <c r="AM500" t="s">
        <v>26</v>
      </c>
      <c r="AN500" t="s">
        <v>26</v>
      </c>
      <c r="AO500" s="25" t="s">
        <v>28</v>
      </c>
      <c r="AP500" s="23" t="s">
        <v>279</v>
      </c>
      <c r="AQ500" s="23" t="s">
        <v>30</v>
      </c>
      <c r="AR500" s="23" t="s">
        <v>46</v>
      </c>
      <c r="AS500" s="25">
        <v>6128782</v>
      </c>
      <c r="AT500" t="s">
        <v>26</v>
      </c>
      <c r="AU500" t="s">
        <v>22866</v>
      </c>
    </row>
    <row r="501" spans="1:47" ht="39.4" x14ac:dyDescent="0.4">
      <c r="A501" s="23" t="s">
        <v>22867</v>
      </c>
      <c r="B501" t="s">
        <v>26</v>
      </c>
      <c r="C501" s="23" t="s">
        <v>332</v>
      </c>
      <c r="D501" s="23" t="s">
        <v>22256</v>
      </c>
      <c r="E501" s="23" t="s">
        <v>42</v>
      </c>
      <c r="F501" t="s">
        <v>26</v>
      </c>
      <c r="G501" t="s">
        <v>26</v>
      </c>
      <c r="H501" t="s">
        <v>26</v>
      </c>
      <c r="I501" s="24">
        <v>25934</v>
      </c>
      <c r="J501" s="24">
        <v>25934</v>
      </c>
      <c r="K501" t="s">
        <v>26</v>
      </c>
      <c r="L501" s="25" t="s">
        <v>28</v>
      </c>
      <c r="M501" s="24">
        <v>25934</v>
      </c>
      <c r="N501" s="24">
        <v>25934</v>
      </c>
      <c r="O501" t="s">
        <v>26</v>
      </c>
      <c r="P501" t="s">
        <v>26</v>
      </c>
      <c r="Q501" t="s">
        <v>26</v>
      </c>
      <c r="R501" t="s">
        <v>26</v>
      </c>
      <c r="S501" t="s">
        <v>26</v>
      </c>
      <c r="T501" t="s">
        <v>26</v>
      </c>
      <c r="U501" t="s">
        <v>26</v>
      </c>
      <c r="V501" t="s">
        <v>26</v>
      </c>
      <c r="W501" s="24">
        <v>25934</v>
      </c>
      <c r="X501" s="24">
        <v>25934</v>
      </c>
      <c r="Y501" t="s">
        <v>26</v>
      </c>
      <c r="Z501" s="24">
        <v>25934</v>
      </c>
      <c r="AA501" s="24">
        <v>25934</v>
      </c>
      <c r="AB501" t="s">
        <v>26</v>
      </c>
      <c r="AC501" s="24">
        <v>25934</v>
      </c>
      <c r="AD501" s="24">
        <v>25934</v>
      </c>
      <c r="AE501" t="s">
        <v>26</v>
      </c>
      <c r="AF501" t="s">
        <v>26</v>
      </c>
      <c r="AG501" t="s">
        <v>26</v>
      </c>
      <c r="AH501" t="s">
        <v>26</v>
      </c>
      <c r="AI501" t="s">
        <v>26</v>
      </c>
      <c r="AJ501" t="s">
        <v>26</v>
      </c>
      <c r="AK501" t="s">
        <v>26</v>
      </c>
      <c r="AL501" t="s">
        <v>26</v>
      </c>
      <c r="AM501" t="s">
        <v>26</v>
      </c>
      <c r="AN501" t="s">
        <v>26</v>
      </c>
      <c r="AO501" s="25" t="s">
        <v>28</v>
      </c>
      <c r="AP501" s="23" t="s">
        <v>279</v>
      </c>
      <c r="AQ501" s="23" t="s">
        <v>30</v>
      </c>
      <c r="AR501" s="23" t="s">
        <v>46</v>
      </c>
      <c r="AS501" s="25">
        <v>6128781</v>
      </c>
      <c r="AT501" t="s">
        <v>26</v>
      </c>
      <c r="AU501" t="s">
        <v>22868</v>
      </c>
    </row>
    <row r="502" spans="1:47" ht="39.4" x14ac:dyDescent="0.4">
      <c r="A502" s="23" t="s">
        <v>22869</v>
      </c>
      <c r="B502" t="s">
        <v>26</v>
      </c>
      <c r="C502" s="23" t="s">
        <v>332</v>
      </c>
      <c r="D502" s="23" t="s">
        <v>22256</v>
      </c>
      <c r="E502" s="23" t="s">
        <v>42</v>
      </c>
      <c r="F502" t="s">
        <v>26</v>
      </c>
      <c r="G502" t="s">
        <v>26</v>
      </c>
      <c r="H502" t="s">
        <v>26</v>
      </c>
      <c r="I502" s="24">
        <v>25934</v>
      </c>
      <c r="J502" s="24">
        <v>25934</v>
      </c>
      <c r="K502" t="s">
        <v>26</v>
      </c>
      <c r="L502" s="25" t="s">
        <v>28</v>
      </c>
      <c r="M502" s="24">
        <v>25934</v>
      </c>
      <c r="N502" s="24">
        <v>25934</v>
      </c>
      <c r="O502" t="s">
        <v>26</v>
      </c>
      <c r="P502" t="s">
        <v>26</v>
      </c>
      <c r="Q502" t="s">
        <v>26</v>
      </c>
      <c r="R502" t="s">
        <v>26</v>
      </c>
      <c r="S502" t="s">
        <v>26</v>
      </c>
      <c r="T502" t="s">
        <v>26</v>
      </c>
      <c r="U502" t="s">
        <v>26</v>
      </c>
      <c r="V502" t="s">
        <v>26</v>
      </c>
      <c r="W502" s="24">
        <v>25934</v>
      </c>
      <c r="X502" s="24">
        <v>25934</v>
      </c>
      <c r="Y502" t="s">
        <v>26</v>
      </c>
      <c r="Z502" s="24">
        <v>25934</v>
      </c>
      <c r="AA502" s="24">
        <v>25934</v>
      </c>
      <c r="AB502" t="s">
        <v>26</v>
      </c>
      <c r="AC502" s="24">
        <v>25934</v>
      </c>
      <c r="AD502" s="24">
        <v>25934</v>
      </c>
      <c r="AE502" t="s">
        <v>26</v>
      </c>
      <c r="AF502" t="s">
        <v>26</v>
      </c>
      <c r="AG502" t="s">
        <v>26</v>
      </c>
      <c r="AH502" t="s">
        <v>26</v>
      </c>
      <c r="AI502" t="s">
        <v>26</v>
      </c>
      <c r="AJ502" t="s">
        <v>26</v>
      </c>
      <c r="AK502" t="s">
        <v>26</v>
      </c>
      <c r="AL502" t="s">
        <v>26</v>
      </c>
      <c r="AM502" t="s">
        <v>26</v>
      </c>
      <c r="AN502" t="s">
        <v>26</v>
      </c>
      <c r="AO502" s="25" t="s">
        <v>28</v>
      </c>
      <c r="AP502" s="23" t="s">
        <v>279</v>
      </c>
      <c r="AQ502" s="23" t="s">
        <v>30</v>
      </c>
      <c r="AR502" s="23" t="s">
        <v>46</v>
      </c>
      <c r="AS502" s="25">
        <v>6128780</v>
      </c>
      <c r="AT502" t="s">
        <v>26</v>
      </c>
      <c r="AU502" t="s">
        <v>22870</v>
      </c>
    </row>
    <row r="503" spans="1:47" ht="26.25" x14ac:dyDescent="0.4">
      <c r="A503" s="23" t="s">
        <v>22871</v>
      </c>
      <c r="B503" t="s">
        <v>26</v>
      </c>
      <c r="C503" s="23" t="s">
        <v>332</v>
      </c>
      <c r="D503" s="23" t="s">
        <v>22256</v>
      </c>
      <c r="E503" s="23" t="s">
        <v>42</v>
      </c>
      <c r="F503" t="s">
        <v>26</v>
      </c>
      <c r="G503" t="s">
        <v>26</v>
      </c>
      <c r="H503" t="s">
        <v>26</v>
      </c>
      <c r="I503" s="24">
        <v>25934</v>
      </c>
      <c r="J503" s="24">
        <v>25934</v>
      </c>
      <c r="K503" t="s">
        <v>26</v>
      </c>
      <c r="L503" s="25" t="s">
        <v>28</v>
      </c>
      <c r="M503" s="24">
        <v>25934</v>
      </c>
      <c r="N503" s="24">
        <v>25934</v>
      </c>
      <c r="O503" t="s">
        <v>26</v>
      </c>
      <c r="P503" t="s">
        <v>26</v>
      </c>
      <c r="Q503" t="s">
        <v>26</v>
      </c>
      <c r="R503" t="s">
        <v>26</v>
      </c>
      <c r="S503" t="s">
        <v>26</v>
      </c>
      <c r="T503" t="s">
        <v>26</v>
      </c>
      <c r="U503" t="s">
        <v>26</v>
      </c>
      <c r="V503" t="s">
        <v>26</v>
      </c>
      <c r="W503" s="24">
        <v>25934</v>
      </c>
      <c r="X503" s="24">
        <v>25934</v>
      </c>
      <c r="Y503" t="s">
        <v>26</v>
      </c>
      <c r="Z503" s="24">
        <v>25934</v>
      </c>
      <c r="AA503" s="24">
        <v>25934</v>
      </c>
      <c r="AB503" t="s">
        <v>26</v>
      </c>
      <c r="AC503" s="24">
        <v>25934</v>
      </c>
      <c r="AD503" s="24">
        <v>25934</v>
      </c>
      <c r="AE503" t="s">
        <v>26</v>
      </c>
      <c r="AF503" t="s">
        <v>26</v>
      </c>
      <c r="AG503" t="s">
        <v>26</v>
      </c>
      <c r="AH503" t="s">
        <v>26</v>
      </c>
      <c r="AI503" t="s">
        <v>26</v>
      </c>
      <c r="AJ503" t="s">
        <v>26</v>
      </c>
      <c r="AK503" t="s">
        <v>26</v>
      </c>
      <c r="AL503" t="s">
        <v>26</v>
      </c>
      <c r="AM503" t="s">
        <v>26</v>
      </c>
      <c r="AN503" t="s">
        <v>26</v>
      </c>
      <c r="AO503" s="25" t="s">
        <v>28</v>
      </c>
      <c r="AP503" s="23" t="s">
        <v>279</v>
      </c>
      <c r="AQ503" s="23" t="s">
        <v>30</v>
      </c>
      <c r="AR503" s="23" t="s">
        <v>46</v>
      </c>
      <c r="AS503" s="25">
        <v>6128779</v>
      </c>
      <c r="AT503" t="s">
        <v>26</v>
      </c>
      <c r="AU503" t="s">
        <v>22872</v>
      </c>
    </row>
    <row r="504" spans="1:47" ht="26.25" x14ac:dyDescent="0.4">
      <c r="A504" s="23" t="s">
        <v>22873</v>
      </c>
      <c r="B504" t="s">
        <v>26</v>
      </c>
      <c r="C504" s="23" t="s">
        <v>332</v>
      </c>
      <c r="D504" s="23" t="s">
        <v>22256</v>
      </c>
      <c r="E504" s="23" t="s">
        <v>42</v>
      </c>
      <c r="F504" t="s">
        <v>26</v>
      </c>
      <c r="G504" t="s">
        <v>26</v>
      </c>
      <c r="H504" t="s">
        <v>26</v>
      </c>
      <c r="I504" s="24">
        <v>25934</v>
      </c>
      <c r="J504" s="24">
        <v>25934</v>
      </c>
      <c r="K504" t="s">
        <v>26</v>
      </c>
      <c r="L504" s="25" t="s">
        <v>28</v>
      </c>
      <c r="M504" s="24">
        <v>25934</v>
      </c>
      <c r="N504" s="24">
        <v>25934</v>
      </c>
      <c r="O504" t="s">
        <v>26</v>
      </c>
      <c r="P504" t="s">
        <v>26</v>
      </c>
      <c r="Q504" t="s">
        <v>26</v>
      </c>
      <c r="R504" t="s">
        <v>26</v>
      </c>
      <c r="S504" t="s">
        <v>26</v>
      </c>
      <c r="T504" t="s">
        <v>26</v>
      </c>
      <c r="U504" t="s">
        <v>26</v>
      </c>
      <c r="V504" t="s">
        <v>26</v>
      </c>
      <c r="W504" s="24">
        <v>25934</v>
      </c>
      <c r="X504" s="24">
        <v>25934</v>
      </c>
      <c r="Y504" t="s">
        <v>26</v>
      </c>
      <c r="Z504" s="24">
        <v>25934</v>
      </c>
      <c r="AA504" s="24">
        <v>25934</v>
      </c>
      <c r="AB504" t="s">
        <v>26</v>
      </c>
      <c r="AC504" s="24">
        <v>25934</v>
      </c>
      <c r="AD504" s="24">
        <v>25934</v>
      </c>
      <c r="AE504" t="s">
        <v>26</v>
      </c>
      <c r="AF504" t="s">
        <v>26</v>
      </c>
      <c r="AG504" t="s">
        <v>26</v>
      </c>
      <c r="AH504" t="s">
        <v>26</v>
      </c>
      <c r="AI504" t="s">
        <v>26</v>
      </c>
      <c r="AJ504" t="s">
        <v>26</v>
      </c>
      <c r="AK504" t="s">
        <v>26</v>
      </c>
      <c r="AL504" t="s">
        <v>26</v>
      </c>
      <c r="AM504" t="s">
        <v>26</v>
      </c>
      <c r="AN504" t="s">
        <v>26</v>
      </c>
      <c r="AO504" s="25" t="s">
        <v>28</v>
      </c>
      <c r="AP504" s="23" t="s">
        <v>279</v>
      </c>
      <c r="AQ504" s="23" t="s">
        <v>30</v>
      </c>
      <c r="AR504" s="23" t="s">
        <v>46</v>
      </c>
      <c r="AS504" s="25">
        <v>6128778</v>
      </c>
      <c r="AT504" t="s">
        <v>26</v>
      </c>
      <c r="AU504" t="s">
        <v>22874</v>
      </c>
    </row>
    <row r="505" spans="1:47" ht="26.25" x14ac:dyDescent="0.4">
      <c r="A505" s="23" t="s">
        <v>22875</v>
      </c>
      <c r="B505" t="s">
        <v>26</v>
      </c>
      <c r="C505" s="23" t="s">
        <v>332</v>
      </c>
      <c r="D505" s="23" t="s">
        <v>22256</v>
      </c>
      <c r="E505" s="23" t="s">
        <v>42</v>
      </c>
      <c r="F505" t="s">
        <v>26</v>
      </c>
      <c r="G505" t="s">
        <v>26</v>
      </c>
      <c r="H505" t="s">
        <v>26</v>
      </c>
      <c r="I505" s="24">
        <v>25934</v>
      </c>
      <c r="J505" s="24">
        <v>25934</v>
      </c>
      <c r="K505" t="s">
        <v>26</v>
      </c>
      <c r="L505" s="25" t="s">
        <v>28</v>
      </c>
      <c r="M505" s="24">
        <v>25934</v>
      </c>
      <c r="N505" s="24">
        <v>25934</v>
      </c>
      <c r="O505" t="s">
        <v>26</v>
      </c>
      <c r="P505" t="s">
        <v>26</v>
      </c>
      <c r="Q505" t="s">
        <v>26</v>
      </c>
      <c r="R505" t="s">
        <v>26</v>
      </c>
      <c r="S505" t="s">
        <v>26</v>
      </c>
      <c r="T505" t="s">
        <v>26</v>
      </c>
      <c r="U505" t="s">
        <v>26</v>
      </c>
      <c r="V505" t="s">
        <v>26</v>
      </c>
      <c r="W505" s="24">
        <v>25934</v>
      </c>
      <c r="X505" s="24">
        <v>25934</v>
      </c>
      <c r="Y505" t="s">
        <v>26</v>
      </c>
      <c r="Z505" s="24">
        <v>25934</v>
      </c>
      <c r="AA505" s="24">
        <v>25934</v>
      </c>
      <c r="AB505" t="s">
        <v>26</v>
      </c>
      <c r="AC505" s="24">
        <v>25934</v>
      </c>
      <c r="AD505" s="24">
        <v>25934</v>
      </c>
      <c r="AE505" t="s">
        <v>26</v>
      </c>
      <c r="AF505" t="s">
        <v>26</v>
      </c>
      <c r="AG505" t="s">
        <v>26</v>
      </c>
      <c r="AH505" t="s">
        <v>26</v>
      </c>
      <c r="AI505" t="s">
        <v>26</v>
      </c>
      <c r="AJ505" t="s">
        <v>26</v>
      </c>
      <c r="AK505" t="s">
        <v>26</v>
      </c>
      <c r="AL505" t="s">
        <v>26</v>
      </c>
      <c r="AM505" t="s">
        <v>26</v>
      </c>
      <c r="AN505" t="s">
        <v>26</v>
      </c>
      <c r="AO505" s="25" t="s">
        <v>28</v>
      </c>
      <c r="AP505" s="23" t="s">
        <v>279</v>
      </c>
      <c r="AQ505" s="23" t="s">
        <v>30</v>
      </c>
      <c r="AR505" s="23" t="s">
        <v>46</v>
      </c>
      <c r="AS505" s="25">
        <v>6128777</v>
      </c>
      <c r="AT505" t="s">
        <v>26</v>
      </c>
      <c r="AU505" t="s">
        <v>22876</v>
      </c>
    </row>
    <row r="506" spans="1:47" ht="39.4" x14ac:dyDescent="0.4">
      <c r="A506" s="23" t="s">
        <v>22877</v>
      </c>
      <c r="B506" t="s">
        <v>26</v>
      </c>
      <c r="C506" s="23" t="s">
        <v>332</v>
      </c>
      <c r="D506" s="23" t="s">
        <v>22256</v>
      </c>
      <c r="E506" s="23" t="s">
        <v>42</v>
      </c>
      <c r="F506" t="s">
        <v>26</v>
      </c>
      <c r="G506" t="s">
        <v>26</v>
      </c>
      <c r="H506" t="s">
        <v>26</v>
      </c>
      <c r="I506" s="24">
        <v>25934</v>
      </c>
      <c r="J506" s="24">
        <v>25934</v>
      </c>
      <c r="K506" t="s">
        <v>26</v>
      </c>
      <c r="L506" s="25" t="s">
        <v>28</v>
      </c>
      <c r="M506" s="24">
        <v>25934</v>
      </c>
      <c r="N506" s="24">
        <v>25934</v>
      </c>
      <c r="O506" t="s">
        <v>26</v>
      </c>
      <c r="P506" t="s">
        <v>26</v>
      </c>
      <c r="Q506" t="s">
        <v>26</v>
      </c>
      <c r="R506" t="s">
        <v>26</v>
      </c>
      <c r="S506" t="s">
        <v>26</v>
      </c>
      <c r="T506" t="s">
        <v>26</v>
      </c>
      <c r="U506" t="s">
        <v>26</v>
      </c>
      <c r="V506" t="s">
        <v>26</v>
      </c>
      <c r="W506" s="24">
        <v>25934</v>
      </c>
      <c r="X506" s="24">
        <v>25934</v>
      </c>
      <c r="Y506" t="s">
        <v>26</v>
      </c>
      <c r="Z506" s="24">
        <v>25934</v>
      </c>
      <c r="AA506" s="24">
        <v>25934</v>
      </c>
      <c r="AB506" t="s">
        <v>26</v>
      </c>
      <c r="AC506" s="24">
        <v>25934</v>
      </c>
      <c r="AD506" s="24">
        <v>25934</v>
      </c>
      <c r="AE506" t="s">
        <v>26</v>
      </c>
      <c r="AF506" t="s">
        <v>26</v>
      </c>
      <c r="AG506" t="s">
        <v>26</v>
      </c>
      <c r="AH506" t="s">
        <v>26</v>
      </c>
      <c r="AI506" t="s">
        <v>26</v>
      </c>
      <c r="AJ506" t="s">
        <v>26</v>
      </c>
      <c r="AK506" t="s">
        <v>26</v>
      </c>
      <c r="AL506" t="s">
        <v>26</v>
      </c>
      <c r="AM506" t="s">
        <v>26</v>
      </c>
      <c r="AN506" t="s">
        <v>26</v>
      </c>
      <c r="AO506" s="25" t="s">
        <v>28</v>
      </c>
      <c r="AP506" s="23" t="s">
        <v>279</v>
      </c>
      <c r="AQ506" s="23" t="s">
        <v>30</v>
      </c>
      <c r="AR506" s="23" t="s">
        <v>46</v>
      </c>
      <c r="AS506" s="25">
        <v>6128776</v>
      </c>
      <c r="AT506" t="s">
        <v>26</v>
      </c>
      <c r="AU506" t="s">
        <v>22878</v>
      </c>
    </row>
    <row r="507" spans="1:47" ht="26.25" x14ac:dyDescent="0.4">
      <c r="A507" s="23" t="s">
        <v>22879</v>
      </c>
      <c r="B507" t="s">
        <v>26</v>
      </c>
      <c r="C507" s="23" t="s">
        <v>332</v>
      </c>
      <c r="D507" s="23" t="s">
        <v>22256</v>
      </c>
      <c r="E507" s="23" t="s">
        <v>42</v>
      </c>
      <c r="F507" t="s">
        <v>26</v>
      </c>
      <c r="G507" t="s">
        <v>26</v>
      </c>
      <c r="H507" t="s">
        <v>26</v>
      </c>
      <c r="I507" s="24">
        <v>25934</v>
      </c>
      <c r="J507" s="24">
        <v>25934</v>
      </c>
      <c r="K507" t="s">
        <v>26</v>
      </c>
      <c r="L507" s="25" t="s">
        <v>28</v>
      </c>
      <c r="M507" s="24">
        <v>25934</v>
      </c>
      <c r="N507" s="24">
        <v>25934</v>
      </c>
      <c r="O507" t="s">
        <v>26</v>
      </c>
      <c r="P507" t="s">
        <v>26</v>
      </c>
      <c r="Q507" t="s">
        <v>26</v>
      </c>
      <c r="R507" t="s">
        <v>26</v>
      </c>
      <c r="S507" t="s">
        <v>26</v>
      </c>
      <c r="T507" t="s">
        <v>26</v>
      </c>
      <c r="U507" t="s">
        <v>26</v>
      </c>
      <c r="V507" t="s">
        <v>26</v>
      </c>
      <c r="W507" s="24">
        <v>25934</v>
      </c>
      <c r="X507" s="24">
        <v>25934</v>
      </c>
      <c r="Y507" t="s">
        <v>26</v>
      </c>
      <c r="Z507" s="24">
        <v>25934</v>
      </c>
      <c r="AA507" s="24">
        <v>25934</v>
      </c>
      <c r="AB507" t="s">
        <v>26</v>
      </c>
      <c r="AC507" s="24">
        <v>25934</v>
      </c>
      <c r="AD507" s="24">
        <v>25934</v>
      </c>
      <c r="AE507" t="s">
        <v>26</v>
      </c>
      <c r="AF507" t="s">
        <v>26</v>
      </c>
      <c r="AG507" t="s">
        <v>26</v>
      </c>
      <c r="AH507" t="s">
        <v>26</v>
      </c>
      <c r="AI507" t="s">
        <v>26</v>
      </c>
      <c r="AJ507" t="s">
        <v>26</v>
      </c>
      <c r="AK507" t="s">
        <v>26</v>
      </c>
      <c r="AL507" t="s">
        <v>26</v>
      </c>
      <c r="AM507" t="s">
        <v>26</v>
      </c>
      <c r="AN507" t="s">
        <v>26</v>
      </c>
      <c r="AO507" s="25" t="s">
        <v>28</v>
      </c>
      <c r="AP507" s="23" t="s">
        <v>279</v>
      </c>
      <c r="AQ507" s="23" t="s">
        <v>30</v>
      </c>
      <c r="AR507" s="23" t="s">
        <v>46</v>
      </c>
      <c r="AS507" s="25">
        <v>6128775</v>
      </c>
      <c r="AT507" t="s">
        <v>26</v>
      </c>
      <c r="AU507" t="s">
        <v>22880</v>
      </c>
    </row>
    <row r="508" spans="1:47" ht="26.25" x14ac:dyDescent="0.4">
      <c r="A508" s="23" t="s">
        <v>22881</v>
      </c>
      <c r="B508" t="s">
        <v>26</v>
      </c>
      <c r="C508" s="23" t="s">
        <v>332</v>
      </c>
      <c r="D508" s="23" t="s">
        <v>22256</v>
      </c>
      <c r="E508" s="23" t="s">
        <v>42</v>
      </c>
      <c r="F508" t="s">
        <v>26</v>
      </c>
      <c r="G508" t="s">
        <v>26</v>
      </c>
      <c r="H508" t="s">
        <v>26</v>
      </c>
      <c r="I508" s="24">
        <v>25934</v>
      </c>
      <c r="J508" s="24">
        <v>25934</v>
      </c>
      <c r="K508" t="s">
        <v>26</v>
      </c>
      <c r="L508" s="25" t="s">
        <v>28</v>
      </c>
      <c r="M508" s="24">
        <v>25934</v>
      </c>
      <c r="N508" s="24">
        <v>25934</v>
      </c>
      <c r="O508" t="s">
        <v>26</v>
      </c>
      <c r="P508" t="s">
        <v>26</v>
      </c>
      <c r="Q508" t="s">
        <v>26</v>
      </c>
      <c r="R508" t="s">
        <v>26</v>
      </c>
      <c r="S508" t="s">
        <v>26</v>
      </c>
      <c r="T508" t="s">
        <v>26</v>
      </c>
      <c r="U508" t="s">
        <v>26</v>
      </c>
      <c r="V508" t="s">
        <v>26</v>
      </c>
      <c r="W508" s="24">
        <v>25934</v>
      </c>
      <c r="X508" s="24">
        <v>25934</v>
      </c>
      <c r="Y508" t="s">
        <v>26</v>
      </c>
      <c r="Z508" s="24">
        <v>25934</v>
      </c>
      <c r="AA508" s="24">
        <v>25934</v>
      </c>
      <c r="AB508" t="s">
        <v>26</v>
      </c>
      <c r="AC508" s="24">
        <v>25934</v>
      </c>
      <c r="AD508" s="24">
        <v>25934</v>
      </c>
      <c r="AE508" t="s">
        <v>26</v>
      </c>
      <c r="AF508" t="s">
        <v>26</v>
      </c>
      <c r="AG508" t="s">
        <v>26</v>
      </c>
      <c r="AH508" t="s">
        <v>26</v>
      </c>
      <c r="AI508" t="s">
        <v>26</v>
      </c>
      <c r="AJ508" t="s">
        <v>26</v>
      </c>
      <c r="AK508" t="s">
        <v>26</v>
      </c>
      <c r="AL508" t="s">
        <v>26</v>
      </c>
      <c r="AM508" t="s">
        <v>26</v>
      </c>
      <c r="AN508" t="s">
        <v>26</v>
      </c>
      <c r="AO508" s="25" t="s">
        <v>28</v>
      </c>
      <c r="AP508" s="23" t="s">
        <v>279</v>
      </c>
      <c r="AQ508" s="23" t="s">
        <v>30</v>
      </c>
      <c r="AR508" s="23" t="s">
        <v>46</v>
      </c>
      <c r="AS508" s="25">
        <v>6128774</v>
      </c>
      <c r="AT508" t="s">
        <v>26</v>
      </c>
      <c r="AU508" t="s">
        <v>22882</v>
      </c>
    </row>
    <row r="509" spans="1:47" ht="39.4" x14ac:dyDescent="0.4">
      <c r="A509" s="23" t="s">
        <v>22883</v>
      </c>
      <c r="B509" t="s">
        <v>26</v>
      </c>
      <c r="C509" s="23" t="s">
        <v>332</v>
      </c>
      <c r="D509" s="23" t="s">
        <v>22256</v>
      </c>
      <c r="E509" s="23" t="s">
        <v>42</v>
      </c>
      <c r="F509" t="s">
        <v>26</v>
      </c>
      <c r="G509" t="s">
        <v>26</v>
      </c>
      <c r="H509" t="s">
        <v>26</v>
      </c>
      <c r="I509" s="24">
        <v>25934</v>
      </c>
      <c r="J509" s="24">
        <v>25934</v>
      </c>
      <c r="K509" t="s">
        <v>26</v>
      </c>
      <c r="L509" s="25" t="s">
        <v>28</v>
      </c>
      <c r="M509" s="24">
        <v>25934</v>
      </c>
      <c r="N509" s="24">
        <v>25934</v>
      </c>
      <c r="O509" t="s">
        <v>26</v>
      </c>
      <c r="P509" t="s">
        <v>26</v>
      </c>
      <c r="Q509" t="s">
        <v>26</v>
      </c>
      <c r="R509" t="s">
        <v>26</v>
      </c>
      <c r="S509" t="s">
        <v>26</v>
      </c>
      <c r="T509" t="s">
        <v>26</v>
      </c>
      <c r="U509" t="s">
        <v>26</v>
      </c>
      <c r="V509" t="s">
        <v>26</v>
      </c>
      <c r="W509" s="24">
        <v>25934</v>
      </c>
      <c r="X509" s="24">
        <v>25934</v>
      </c>
      <c r="Y509" t="s">
        <v>26</v>
      </c>
      <c r="Z509" s="24">
        <v>25934</v>
      </c>
      <c r="AA509" s="24">
        <v>25934</v>
      </c>
      <c r="AB509" t="s">
        <v>26</v>
      </c>
      <c r="AC509" s="24">
        <v>25934</v>
      </c>
      <c r="AD509" s="24">
        <v>25934</v>
      </c>
      <c r="AE509" t="s">
        <v>26</v>
      </c>
      <c r="AF509" t="s">
        <v>26</v>
      </c>
      <c r="AG509" t="s">
        <v>26</v>
      </c>
      <c r="AH509" t="s">
        <v>26</v>
      </c>
      <c r="AI509" t="s">
        <v>26</v>
      </c>
      <c r="AJ509" t="s">
        <v>26</v>
      </c>
      <c r="AK509" t="s">
        <v>26</v>
      </c>
      <c r="AL509" t="s">
        <v>26</v>
      </c>
      <c r="AM509" t="s">
        <v>26</v>
      </c>
      <c r="AN509" t="s">
        <v>26</v>
      </c>
      <c r="AO509" s="25" t="s">
        <v>28</v>
      </c>
      <c r="AP509" s="23" t="s">
        <v>279</v>
      </c>
      <c r="AQ509" s="23" t="s">
        <v>30</v>
      </c>
      <c r="AR509" s="23" t="s">
        <v>46</v>
      </c>
      <c r="AS509" s="25">
        <v>6128773</v>
      </c>
      <c r="AT509" t="s">
        <v>26</v>
      </c>
      <c r="AU509" t="s">
        <v>22884</v>
      </c>
    </row>
    <row r="510" spans="1:47" ht="39.4" x14ac:dyDescent="0.4">
      <c r="A510" s="23" t="s">
        <v>22885</v>
      </c>
      <c r="B510" t="s">
        <v>26</v>
      </c>
      <c r="C510" s="23" t="s">
        <v>332</v>
      </c>
      <c r="D510" s="23" t="s">
        <v>22256</v>
      </c>
      <c r="E510" s="23" t="s">
        <v>42</v>
      </c>
      <c r="F510" t="s">
        <v>26</v>
      </c>
      <c r="G510" t="s">
        <v>26</v>
      </c>
      <c r="H510" t="s">
        <v>26</v>
      </c>
      <c r="I510" s="24">
        <v>25934</v>
      </c>
      <c r="J510" s="24">
        <v>25934</v>
      </c>
      <c r="K510" t="s">
        <v>26</v>
      </c>
      <c r="L510" s="25" t="s">
        <v>28</v>
      </c>
      <c r="M510" s="24">
        <v>25934</v>
      </c>
      <c r="N510" s="24">
        <v>25934</v>
      </c>
      <c r="O510" t="s">
        <v>26</v>
      </c>
      <c r="P510" t="s">
        <v>26</v>
      </c>
      <c r="Q510" t="s">
        <v>26</v>
      </c>
      <c r="R510" t="s">
        <v>26</v>
      </c>
      <c r="S510" t="s">
        <v>26</v>
      </c>
      <c r="T510" t="s">
        <v>26</v>
      </c>
      <c r="U510" t="s">
        <v>26</v>
      </c>
      <c r="V510" t="s">
        <v>26</v>
      </c>
      <c r="W510" s="24">
        <v>25934</v>
      </c>
      <c r="X510" s="24">
        <v>25934</v>
      </c>
      <c r="Y510" t="s">
        <v>26</v>
      </c>
      <c r="Z510" s="24">
        <v>25934</v>
      </c>
      <c r="AA510" s="24">
        <v>25934</v>
      </c>
      <c r="AB510" t="s">
        <v>26</v>
      </c>
      <c r="AC510" s="24">
        <v>25934</v>
      </c>
      <c r="AD510" s="24">
        <v>25934</v>
      </c>
      <c r="AE510" t="s">
        <v>26</v>
      </c>
      <c r="AF510" t="s">
        <v>26</v>
      </c>
      <c r="AG510" t="s">
        <v>26</v>
      </c>
      <c r="AH510" t="s">
        <v>26</v>
      </c>
      <c r="AI510" t="s">
        <v>26</v>
      </c>
      <c r="AJ510" t="s">
        <v>26</v>
      </c>
      <c r="AK510" t="s">
        <v>26</v>
      </c>
      <c r="AL510" t="s">
        <v>26</v>
      </c>
      <c r="AM510" t="s">
        <v>26</v>
      </c>
      <c r="AN510" t="s">
        <v>26</v>
      </c>
      <c r="AO510" s="25" t="s">
        <v>28</v>
      </c>
      <c r="AP510" s="23" t="s">
        <v>279</v>
      </c>
      <c r="AQ510" s="23" t="s">
        <v>30</v>
      </c>
      <c r="AR510" s="23" t="s">
        <v>46</v>
      </c>
      <c r="AS510" s="25">
        <v>6128772</v>
      </c>
      <c r="AT510" t="s">
        <v>26</v>
      </c>
      <c r="AU510" t="s">
        <v>22886</v>
      </c>
    </row>
    <row r="511" spans="1:47" ht="26.25" x14ac:dyDescent="0.4">
      <c r="A511" s="23" t="s">
        <v>22887</v>
      </c>
      <c r="B511" t="s">
        <v>26</v>
      </c>
      <c r="C511" s="23" t="s">
        <v>332</v>
      </c>
      <c r="D511" s="23" t="s">
        <v>22256</v>
      </c>
      <c r="E511" s="23" t="s">
        <v>42</v>
      </c>
      <c r="F511" t="s">
        <v>26</v>
      </c>
      <c r="G511" t="s">
        <v>26</v>
      </c>
      <c r="H511" t="s">
        <v>26</v>
      </c>
      <c r="I511" s="24">
        <v>25569</v>
      </c>
      <c r="J511" s="24">
        <v>25569</v>
      </c>
      <c r="K511" t="s">
        <v>26</v>
      </c>
      <c r="L511" s="25" t="s">
        <v>28</v>
      </c>
      <c r="M511" s="24">
        <v>25569</v>
      </c>
      <c r="N511" s="24">
        <v>25569</v>
      </c>
      <c r="O511" t="s">
        <v>26</v>
      </c>
      <c r="P511" t="s">
        <v>26</v>
      </c>
      <c r="Q511" t="s">
        <v>26</v>
      </c>
      <c r="R511" t="s">
        <v>26</v>
      </c>
      <c r="S511" t="s">
        <v>26</v>
      </c>
      <c r="T511" t="s">
        <v>26</v>
      </c>
      <c r="U511" t="s">
        <v>26</v>
      </c>
      <c r="V511" t="s">
        <v>26</v>
      </c>
      <c r="W511" s="24">
        <v>25569</v>
      </c>
      <c r="X511" s="24">
        <v>25569</v>
      </c>
      <c r="Y511" t="s">
        <v>26</v>
      </c>
      <c r="Z511" s="24">
        <v>25569</v>
      </c>
      <c r="AA511" s="24">
        <v>25569</v>
      </c>
      <c r="AB511" t="s">
        <v>26</v>
      </c>
      <c r="AC511" s="24">
        <v>25569</v>
      </c>
      <c r="AD511" s="24">
        <v>25569</v>
      </c>
      <c r="AE511" t="s">
        <v>26</v>
      </c>
      <c r="AF511" t="s">
        <v>26</v>
      </c>
      <c r="AG511" t="s">
        <v>26</v>
      </c>
      <c r="AH511" t="s">
        <v>26</v>
      </c>
      <c r="AI511" t="s">
        <v>26</v>
      </c>
      <c r="AJ511" t="s">
        <v>26</v>
      </c>
      <c r="AK511" t="s">
        <v>26</v>
      </c>
      <c r="AL511" t="s">
        <v>26</v>
      </c>
      <c r="AM511" t="s">
        <v>26</v>
      </c>
      <c r="AN511" t="s">
        <v>26</v>
      </c>
      <c r="AO511" s="25" t="s">
        <v>28</v>
      </c>
      <c r="AP511" s="23" t="s">
        <v>279</v>
      </c>
      <c r="AQ511" s="23" t="s">
        <v>30</v>
      </c>
      <c r="AR511" s="23" t="s">
        <v>46</v>
      </c>
      <c r="AS511" s="25">
        <v>6128771</v>
      </c>
      <c r="AT511" t="s">
        <v>26</v>
      </c>
      <c r="AU511" t="s">
        <v>22888</v>
      </c>
    </row>
    <row r="512" spans="1:47" ht="39.4" x14ac:dyDescent="0.4">
      <c r="A512" s="23" t="s">
        <v>22889</v>
      </c>
      <c r="B512" t="s">
        <v>26</v>
      </c>
      <c r="C512" s="23" t="s">
        <v>332</v>
      </c>
      <c r="D512" s="23" t="s">
        <v>22256</v>
      </c>
      <c r="E512" s="23" t="s">
        <v>42</v>
      </c>
      <c r="F512" t="s">
        <v>26</v>
      </c>
      <c r="G512" t="s">
        <v>26</v>
      </c>
      <c r="H512" t="s">
        <v>26</v>
      </c>
      <c r="I512" s="24">
        <v>25569</v>
      </c>
      <c r="J512" s="24">
        <v>25569</v>
      </c>
      <c r="K512" t="s">
        <v>26</v>
      </c>
      <c r="L512" s="25" t="s">
        <v>28</v>
      </c>
      <c r="M512" s="24">
        <v>25569</v>
      </c>
      <c r="N512" s="24">
        <v>25569</v>
      </c>
      <c r="O512" t="s">
        <v>26</v>
      </c>
      <c r="P512" t="s">
        <v>26</v>
      </c>
      <c r="Q512" t="s">
        <v>26</v>
      </c>
      <c r="R512" t="s">
        <v>26</v>
      </c>
      <c r="S512" t="s">
        <v>26</v>
      </c>
      <c r="T512" t="s">
        <v>26</v>
      </c>
      <c r="U512" t="s">
        <v>26</v>
      </c>
      <c r="V512" t="s">
        <v>26</v>
      </c>
      <c r="W512" s="24">
        <v>25569</v>
      </c>
      <c r="X512" s="24">
        <v>25569</v>
      </c>
      <c r="Y512" t="s">
        <v>26</v>
      </c>
      <c r="Z512" s="24">
        <v>25569</v>
      </c>
      <c r="AA512" s="24">
        <v>25569</v>
      </c>
      <c r="AB512" t="s">
        <v>26</v>
      </c>
      <c r="AC512" s="24">
        <v>25569</v>
      </c>
      <c r="AD512" s="24">
        <v>25569</v>
      </c>
      <c r="AE512" t="s">
        <v>26</v>
      </c>
      <c r="AF512" t="s">
        <v>26</v>
      </c>
      <c r="AG512" t="s">
        <v>26</v>
      </c>
      <c r="AH512" t="s">
        <v>26</v>
      </c>
      <c r="AI512" t="s">
        <v>26</v>
      </c>
      <c r="AJ512" t="s">
        <v>26</v>
      </c>
      <c r="AK512" t="s">
        <v>26</v>
      </c>
      <c r="AL512" t="s">
        <v>26</v>
      </c>
      <c r="AM512" t="s">
        <v>26</v>
      </c>
      <c r="AN512" t="s">
        <v>26</v>
      </c>
      <c r="AO512" s="25" t="s">
        <v>28</v>
      </c>
      <c r="AP512" s="23" t="s">
        <v>279</v>
      </c>
      <c r="AQ512" s="23" t="s">
        <v>30</v>
      </c>
      <c r="AR512" s="23" t="s">
        <v>46</v>
      </c>
      <c r="AS512" s="25">
        <v>6128770</v>
      </c>
      <c r="AT512" t="s">
        <v>26</v>
      </c>
      <c r="AU512" t="s">
        <v>22890</v>
      </c>
    </row>
    <row r="513" spans="1:47" ht="26.25" x14ac:dyDescent="0.4">
      <c r="A513" s="23" t="s">
        <v>22891</v>
      </c>
      <c r="B513" t="s">
        <v>26</v>
      </c>
      <c r="C513" s="23" t="s">
        <v>332</v>
      </c>
      <c r="D513" s="23" t="s">
        <v>22256</v>
      </c>
      <c r="E513" s="23" t="s">
        <v>42</v>
      </c>
      <c r="F513" t="s">
        <v>26</v>
      </c>
      <c r="G513" t="s">
        <v>26</v>
      </c>
      <c r="H513" t="s">
        <v>26</v>
      </c>
      <c r="I513" s="24">
        <v>25569</v>
      </c>
      <c r="J513" s="24">
        <v>25569</v>
      </c>
      <c r="K513" t="s">
        <v>26</v>
      </c>
      <c r="L513" s="25" t="s">
        <v>28</v>
      </c>
      <c r="M513" s="24">
        <v>25569</v>
      </c>
      <c r="N513" s="24">
        <v>25569</v>
      </c>
      <c r="O513" t="s">
        <v>26</v>
      </c>
      <c r="P513" t="s">
        <v>26</v>
      </c>
      <c r="Q513" t="s">
        <v>26</v>
      </c>
      <c r="R513" t="s">
        <v>26</v>
      </c>
      <c r="S513" t="s">
        <v>26</v>
      </c>
      <c r="T513" t="s">
        <v>26</v>
      </c>
      <c r="U513" t="s">
        <v>26</v>
      </c>
      <c r="V513" t="s">
        <v>26</v>
      </c>
      <c r="W513" s="24">
        <v>25569</v>
      </c>
      <c r="X513" s="24">
        <v>25569</v>
      </c>
      <c r="Y513" t="s">
        <v>26</v>
      </c>
      <c r="Z513" s="24">
        <v>25569</v>
      </c>
      <c r="AA513" s="24">
        <v>25569</v>
      </c>
      <c r="AB513" t="s">
        <v>26</v>
      </c>
      <c r="AC513" s="24">
        <v>25569</v>
      </c>
      <c r="AD513" s="24">
        <v>25569</v>
      </c>
      <c r="AE513" t="s">
        <v>26</v>
      </c>
      <c r="AF513" t="s">
        <v>26</v>
      </c>
      <c r="AG513" t="s">
        <v>26</v>
      </c>
      <c r="AH513" t="s">
        <v>26</v>
      </c>
      <c r="AI513" t="s">
        <v>26</v>
      </c>
      <c r="AJ513" t="s">
        <v>26</v>
      </c>
      <c r="AK513" t="s">
        <v>26</v>
      </c>
      <c r="AL513" t="s">
        <v>26</v>
      </c>
      <c r="AM513" t="s">
        <v>26</v>
      </c>
      <c r="AN513" t="s">
        <v>26</v>
      </c>
      <c r="AO513" s="25" t="s">
        <v>28</v>
      </c>
      <c r="AP513" s="23" t="s">
        <v>279</v>
      </c>
      <c r="AQ513" s="23" t="s">
        <v>30</v>
      </c>
      <c r="AR513" s="23" t="s">
        <v>46</v>
      </c>
      <c r="AS513" s="25">
        <v>6128769</v>
      </c>
      <c r="AT513" t="s">
        <v>26</v>
      </c>
      <c r="AU513" t="s">
        <v>22892</v>
      </c>
    </row>
    <row r="514" spans="1:47" ht="39.4" x14ac:dyDescent="0.4">
      <c r="A514" s="23" t="s">
        <v>22893</v>
      </c>
      <c r="B514" t="s">
        <v>26</v>
      </c>
      <c r="C514" s="23" t="s">
        <v>332</v>
      </c>
      <c r="D514" s="23" t="s">
        <v>22256</v>
      </c>
      <c r="E514" s="23" t="s">
        <v>42</v>
      </c>
      <c r="F514" t="s">
        <v>26</v>
      </c>
      <c r="G514" t="s">
        <v>26</v>
      </c>
      <c r="H514" t="s">
        <v>26</v>
      </c>
      <c r="I514" s="24">
        <v>25569</v>
      </c>
      <c r="J514" s="24">
        <v>25569</v>
      </c>
      <c r="K514" t="s">
        <v>26</v>
      </c>
      <c r="L514" s="25" t="s">
        <v>28</v>
      </c>
      <c r="M514" s="24">
        <v>25569</v>
      </c>
      <c r="N514" s="24">
        <v>25569</v>
      </c>
      <c r="O514" t="s">
        <v>26</v>
      </c>
      <c r="P514" t="s">
        <v>26</v>
      </c>
      <c r="Q514" t="s">
        <v>26</v>
      </c>
      <c r="R514" t="s">
        <v>26</v>
      </c>
      <c r="S514" t="s">
        <v>26</v>
      </c>
      <c r="T514" t="s">
        <v>26</v>
      </c>
      <c r="U514" t="s">
        <v>26</v>
      </c>
      <c r="V514" t="s">
        <v>26</v>
      </c>
      <c r="W514" s="24">
        <v>25569</v>
      </c>
      <c r="X514" s="24">
        <v>25569</v>
      </c>
      <c r="Y514" t="s">
        <v>26</v>
      </c>
      <c r="Z514" s="24">
        <v>25569</v>
      </c>
      <c r="AA514" s="24">
        <v>25569</v>
      </c>
      <c r="AB514" t="s">
        <v>26</v>
      </c>
      <c r="AC514" s="24">
        <v>25569</v>
      </c>
      <c r="AD514" s="24">
        <v>25569</v>
      </c>
      <c r="AE514" t="s">
        <v>26</v>
      </c>
      <c r="AF514" t="s">
        <v>26</v>
      </c>
      <c r="AG514" t="s">
        <v>26</v>
      </c>
      <c r="AH514" t="s">
        <v>26</v>
      </c>
      <c r="AI514" t="s">
        <v>26</v>
      </c>
      <c r="AJ514" t="s">
        <v>26</v>
      </c>
      <c r="AK514" t="s">
        <v>26</v>
      </c>
      <c r="AL514" t="s">
        <v>26</v>
      </c>
      <c r="AM514" t="s">
        <v>26</v>
      </c>
      <c r="AN514" t="s">
        <v>26</v>
      </c>
      <c r="AO514" s="25" t="s">
        <v>28</v>
      </c>
      <c r="AP514" s="23" t="s">
        <v>279</v>
      </c>
      <c r="AQ514" s="23" t="s">
        <v>30</v>
      </c>
      <c r="AR514" s="23" t="s">
        <v>46</v>
      </c>
      <c r="AS514" s="25">
        <v>6128768</v>
      </c>
      <c r="AT514" t="s">
        <v>26</v>
      </c>
      <c r="AU514" t="s">
        <v>22894</v>
      </c>
    </row>
    <row r="515" spans="1:47" ht="39.4" x14ac:dyDescent="0.4">
      <c r="A515" s="23" t="s">
        <v>22895</v>
      </c>
      <c r="B515" t="s">
        <v>26</v>
      </c>
      <c r="C515" s="23" t="s">
        <v>332</v>
      </c>
      <c r="D515" s="23" t="s">
        <v>22256</v>
      </c>
      <c r="E515" s="23" t="s">
        <v>42</v>
      </c>
      <c r="F515" t="s">
        <v>26</v>
      </c>
      <c r="G515" t="s">
        <v>26</v>
      </c>
      <c r="H515" t="s">
        <v>26</v>
      </c>
      <c r="I515" s="24">
        <v>25934</v>
      </c>
      <c r="J515" s="24">
        <v>25934</v>
      </c>
      <c r="K515" t="s">
        <v>26</v>
      </c>
      <c r="L515" s="25" t="s">
        <v>28</v>
      </c>
      <c r="M515" s="24">
        <v>25934</v>
      </c>
      <c r="N515" s="24">
        <v>25934</v>
      </c>
      <c r="O515" t="s">
        <v>26</v>
      </c>
      <c r="P515" t="s">
        <v>26</v>
      </c>
      <c r="Q515" t="s">
        <v>26</v>
      </c>
      <c r="R515" t="s">
        <v>26</v>
      </c>
      <c r="S515" t="s">
        <v>26</v>
      </c>
      <c r="T515" t="s">
        <v>26</v>
      </c>
      <c r="U515" t="s">
        <v>26</v>
      </c>
      <c r="V515" t="s">
        <v>26</v>
      </c>
      <c r="W515" s="24">
        <v>25934</v>
      </c>
      <c r="X515" s="24">
        <v>25934</v>
      </c>
      <c r="Y515" t="s">
        <v>26</v>
      </c>
      <c r="Z515" s="24">
        <v>25934</v>
      </c>
      <c r="AA515" s="24">
        <v>25934</v>
      </c>
      <c r="AB515" t="s">
        <v>26</v>
      </c>
      <c r="AC515" s="24">
        <v>25934</v>
      </c>
      <c r="AD515" s="24">
        <v>25934</v>
      </c>
      <c r="AE515" t="s">
        <v>26</v>
      </c>
      <c r="AF515" t="s">
        <v>26</v>
      </c>
      <c r="AG515" t="s">
        <v>26</v>
      </c>
      <c r="AH515" t="s">
        <v>26</v>
      </c>
      <c r="AI515" t="s">
        <v>26</v>
      </c>
      <c r="AJ515" t="s">
        <v>26</v>
      </c>
      <c r="AK515" t="s">
        <v>26</v>
      </c>
      <c r="AL515" t="s">
        <v>26</v>
      </c>
      <c r="AM515" t="s">
        <v>26</v>
      </c>
      <c r="AN515" t="s">
        <v>26</v>
      </c>
      <c r="AO515" s="25" t="s">
        <v>28</v>
      </c>
      <c r="AP515" s="23" t="s">
        <v>279</v>
      </c>
      <c r="AQ515" s="23" t="s">
        <v>30</v>
      </c>
      <c r="AR515" s="23" t="s">
        <v>46</v>
      </c>
      <c r="AS515" s="25">
        <v>6131824</v>
      </c>
      <c r="AT515" t="s">
        <v>26</v>
      </c>
      <c r="AU515" t="s">
        <v>22896</v>
      </c>
    </row>
    <row r="516" spans="1:47" ht="26.25" x14ac:dyDescent="0.4">
      <c r="A516" s="23" t="s">
        <v>22897</v>
      </c>
      <c r="B516" t="s">
        <v>26</v>
      </c>
      <c r="C516" s="23" t="s">
        <v>332</v>
      </c>
      <c r="D516" s="23" t="s">
        <v>22256</v>
      </c>
      <c r="E516" s="23" t="s">
        <v>42</v>
      </c>
      <c r="F516" t="s">
        <v>26</v>
      </c>
      <c r="G516" t="s">
        <v>26</v>
      </c>
      <c r="H516" t="s">
        <v>26</v>
      </c>
      <c r="I516" s="24">
        <v>25934</v>
      </c>
      <c r="J516" s="24">
        <v>25934</v>
      </c>
      <c r="K516" t="s">
        <v>26</v>
      </c>
      <c r="L516" s="25" t="s">
        <v>28</v>
      </c>
      <c r="M516" s="24">
        <v>25934</v>
      </c>
      <c r="N516" s="24">
        <v>25934</v>
      </c>
      <c r="O516" t="s">
        <v>26</v>
      </c>
      <c r="P516" t="s">
        <v>26</v>
      </c>
      <c r="Q516" t="s">
        <v>26</v>
      </c>
      <c r="R516" t="s">
        <v>26</v>
      </c>
      <c r="S516" t="s">
        <v>26</v>
      </c>
      <c r="T516" t="s">
        <v>26</v>
      </c>
      <c r="U516" t="s">
        <v>26</v>
      </c>
      <c r="V516" t="s">
        <v>26</v>
      </c>
      <c r="W516" s="24">
        <v>25934</v>
      </c>
      <c r="X516" s="24">
        <v>25934</v>
      </c>
      <c r="Y516" t="s">
        <v>26</v>
      </c>
      <c r="Z516" s="24">
        <v>25934</v>
      </c>
      <c r="AA516" s="24">
        <v>25934</v>
      </c>
      <c r="AB516" t="s">
        <v>26</v>
      </c>
      <c r="AC516" s="24">
        <v>25934</v>
      </c>
      <c r="AD516" s="24">
        <v>25934</v>
      </c>
      <c r="AE516" t="s">
        <v>26</v>
      </c>
      <c r="AF516" t="s">
        <v>26</v>
      </c>
      <c r="AG516" t="s">
        <v>26</v>
      </c>
      <c r="AH516" t="s">
        <v>26</v>
      </c>
      <c r="AI516" t="s">
        <v>26</v>
      </c>
      <c r="AJ516" t="s">
        <v>26</v>
      </c>
      <c r="AK516" t="s">
        <v>26</v>
      </c>
      <c r="AL516" t="s">
        <v>26</v>
      </c>
      <c r="AM516" t="s">
        <v>26</v>
      </c>
      <c r="AN516" t="s">
        <v>26</v>
      </c>
      <c r="AO516" s="25" t="s">
        <v>28</v>
      </c>
      <c r="AP516" s="23" t="s">
        <v>279</v>
      </c>
      <c r="AQ516" s="23" t="s">
        <v>30</v>
      </c>
      <c r="AR516" s="23" t="s">
        <v>46</v>
      </c>
      <c r="AS516" s="25">
        <v>6131819</v>
      </c>
      <c r="AT516" t="s">
        <v>26</v>
      </c>
      <c r="AU516" t="s">
        <v>22898</v>
      </c>
    </row>
    <row r="517" spans="1:47" ht="39.4" x14ac:dyDescent="0.4">
      <c r="A517" s="23" t="s">
        <v>22899</v>
      </c>
      <c r="B517" t="s">
        <v>26</v>
      </c>
      <c r="C517" s="23" t="s">
        <v>332</v>
      </c>
      <c r="D517" s="23" t="s">
        <v>22256</v>
      </c>
      <c r="E517" s="23" t="s">
        <v>42</v>
      </c>
      <c r="F517" t="s">
        <v>26</v>
      </c>
      <c r="G517" t="s">
        <v>26</v>
      </c>
      <c r="H517" t="s">
        <v>26</v>
      </c>
      <c r="I517" s="24">
        <v>25934</v>
      </c>
      <c r="J517" s="24">
        <v>25934</v>
      </c>
      <c r="K517" t="s">
        <v>26</v>
      </c>
      <c r="L517" s="25" t="s">
        <v>28</v>
      </c>
      <c r="M517" s="24">
        <v>25934</v>
      </c>
      <c r="N517" s="24">
        <v>25934</v>
      </c>
      <c r="O517" t="s">
        <v>26</v>
      </c>
      <c r="P517" t="s">
        <v>26</v>
      </c>
      <c r="Q517" t="s">
        <v>26</v>
      </c>
      <c r="R517" t="s">
        <v>26</v>
      </c>
      <c r="S517" t="s">
        <v>26</v>
      </c>
      <c r="T517" t="s">
        <v>26</v>
      </c>
      <c r="U517" t="s">
        <v>26</v>
      </c>
      <c r="V517" t="s">
        <v>26</v>
      </c>
      <c r="W517" s="24">
        <v>25934</v>
      </c>
      <c r="X517" s="24">
        <v>25934</v>
      </c>
      <c r="Y517" t="s">
        <v>26</v>
      </c>
      <c r="Z517" s="24">
        <v>25934</v>
      </c>
      <c r="AA517" s="24">
        <v>25934</v>
      </c>
      <c r="AB517" t="s">
        <v>26</v>
      </c>
      <c r="AC517" s="24">
        <v>25934</v>
      </c>
      <c r="AD517" s="24">
        <v>25934</v>
      </c>
      <c r="AE517" t="s">
        <v>26</v>
      </c>
      <c r="AF517" t="s">
        <v>26</v>
      </c>
      <c r="AG517" t="s">
        <v>26</v>
      </c>
      <c r="AH517" t="s">
        <v>26</v>
      </c>
      <c r="AI517" t="s">
        <v>26</v>
      </c>
      <c r="AJ517" t="s">
        <v>26</v>
      </c>
      <c r="AK517" t="s">
        <v>26</v>
      </c>
      <c r="AL517" t="s">
        <v>26</v>
      </c>
      <c r="AM517" t="s">
        <v>26</v>
      </c>
      <c r="AN517" t="s">
        <v>26</v>
      </c>
      <c r="AO517" s="25" t="s">
        <v>28</v>
      </c>
      <c r="AP517" s="23" t="s">
        <v>279</v>
      </c>
      <c r="AQ517" s="23" t="s">
        <v>30</v>
      </c>
      <c r="AR517" s="23" t="s">
        <v>46</v>
      </c>
      <c r="AS517" s="25">
        <v>6131814</v>
      </c>
      <c r="AT517" t="s">
        <v>26</v>
      </c>
      <c r="AU517" t="s">
        <v>22900</v>
      </c>
    </row>
    <row r="518" spans="1:47" ht="39.4" x14ac:dyDescent="0.4">
      <c r="A518" s="23" t="s">
        <v>22901</v>
      </c>
      <c r="B518" t="s">
        <v>26</v>
      </c>
      <c r="C518" s="23" t="s">
        <v>332</v>
      </c>
      <c r="D518" s="23" t="s">
        <v>22256</v>
      </c>
      <c r="E518" s="23" t="s">
        <v>42</v>
      </c>
      <c r="F518" t="s">
        <v>26</v>
      </c>
      <c r="G518" t="s">
        <v>26</v>
      </c>
      <c r="H518" t="s">
        <v>26</v>
      </c>
      <c r="I518" s="24">
        <v>25934</v>
      </c>
      <c r="J518" s="24">
        <v>25934</v>
      </c>
      <c r="K518" t="s">
        <v>26</v>
      </c>
      <c r="L518" s="25" t="s">
        <v>28</v>
      </c>
      <c r="M518" s="24">
        <v>25934</v>
      </c>
      <c r="N518" s="24">
        <v>25934</v>
      </c>
      <c r="O518" t="s">
        <v>26</v>
      </c>
      <c r="P518" t="s">
        <v>26</v>
      </c>
      <c r="Q518" t="s">
        <v>26</v>
      </c>
      <c r="R518" t="s">
        <v>26</v>
      </c>
      <c r="S518" t="s">
        <v>26</v>
      </c>
      <c r="T518" t="s">
        <v>26</v>
      </c>
      <c r="U518" t="s">
        <v>26</v>
      </c>
      <c r="V518" t="s">
        <v>26</v>
      </c>
      <c r="W518" s="24">
        <v>25934</v>
      </c>
      <c r="X518" s="24">
        <v>25934</v>
      </c>
      <c r="Y518" t="s">
        <v>26</v>
      </c>
      <c r="Z518" s="24">
        <v>25934</v>
      </c>
      <c r="AA518" s="24">
        <v>25934</v>
      </c>
      <c r="AB518" t="s">
        <v>26</v>
      </c>
      <c r="AC518" s="24">
        <v>25934</v>
      </c>
      <c r="AD518" s="24">
        <v>25934</v>
      </c>
      <c r="AE518" t="s">
        <v>26</v>
      </c>
      <c r="AF518" t="s">
        <v>26</v>
      </c>
      <c r="AG518" t="s">
        <v>26</v>
      </c>
      <c r="AH518" t="s">
        <v>26</v>
      </c>
      <c r="AI518" t="s">
        <v>26</v>
      </c>
      <c r="AJ518" t="s">
        <v>26</v>
      </c>
      <c r="AK518" t="s">
        <v>26</v>
      </c>
      <c r="AL518" t="s">
        <v>26</v>
      </c>
      <c r="AM518" t="s">
        <v>26</v>
      </c>
      <c r="AN518" t="s">
        <v>26</v>
      </c>
      <c r="AO518" s="25" t="s">
        <v>28</v>
      </c>
      <c r="AP518" s="23" t="s">
        <v>279</v>
      </c>
      <c r="AQ518" s="23" t="s">
        <v>30</v>
      </c>
      <c r="AR518" s="23" t="s">
        <v>46</v>
      </c>
      <c r="AS518" s="25">
        <v>6131810</v>
      </c>
      <c r="AT518" t="s">
        <v>26</v>
      </c>
      <c r="AU518" t="s">
        <v>22902</v>
      </c>
    </row>
    <row r="519" spans="1:47" ht="52.5" x14ac:dyDescent="0.4">
      <c r="A519" s="23" t="s">
        <v>22903</v>
      </c>
      <c r="B519" t="s">
        <v>26</v>
      </c>
      <c r="C519" s="23" t="s">
        <v>332</v>
      </c>
      <c r="D519" s="23" t="s">
        <v>22256</v>
      </c>
      <c r="E519" s="23" t="s">
        <v>42</v>
      </c>
      <c r="F519" t="s">
        <v>26</v>
      </c>
      <c r="G519" t="s">
        <v>26</v>
      </c>
      <c r="H519" t="s">
        <v>26</v>
      </c>
      <c r="I519" s="24">
        <v>25934</v>
      </c>
      <c r="J519" s="24">
        <v>25934</v>
      </c>
      <c r="K519" t="s">
        <v>26</v>
      </c>
      <c r="L519" s="25" t="s">
        <v>28</v>
      </c>
      <c r="M519" s="24">
        <v>25934</v>
      </c>
      <c r="N519" s="24">
        <v>25934</v>
      </c>
      <c r="O519" t="s">
        <v>26</v>
      </c>
      <c r="P519" t="s">
        <v>26</v>
      </c>
      <c r="Q519" t="s">
        <v>26</v>
      </c>
      <c r="R519" t="s">
        <v>26</v>
      </c>
      <c r="S519" t="s">
        <v>26</v>
      </c>
      <c r="T519" t="s">
        <v>26</v>
      </c>
      <c r="U519" t="s">
        <v>26</v>
      </c>
      <c r="V519" t="s">
        <v>26</v>
      </c>
      <c r="W519" s="24">
        <v>25934</v>
      </c>
      <c r="X519" s="24">
        <v>25934</v>
      </c>
      <c r="Y519" t="s">
        <v>26</v>
      </c>
      <c r="Z519" s="24">
        <v>25934</v>
      </c>
      <c r="AA519" s="24">
        <v>25934</v>
      </c>
      <c r="AB519" t="s">
        <v>26</v>
      </c>
      <c r="AC519" s="24">
        <v>25934</v>
      </c>
      <c r="AD519" s="24">
        <v>25934</v>
      </c>
      <c r="AE519" t="s">
        <v>26</v>
      </c>
      <c r="AF519" t="s">
        <v>26</v>
      </c>
      <c r="AG519" t="s">
        <v>26</v>
      </c>
      <c r="AH519" t="s">
        <v>26</v>
      </c>
      <c r="AI519" t="s">
        <v>26</v>
      </c>
      <c r="AJ519" t="s">
        <v>26</v>
      </c>
      <c r="AK519" t="s">
        <v>26</v>
      </c>
      <c r="AL519" t="s">
        <v>26</v>
      </c>
      <c r="AM519" t="s">
        <v>26</v>
      </c>
      <c r="AN519" t="s">
        <v>26</v>
      </c>
      <c r="AO519" s="25" t="s">
        <v>28</v>
      </c>
      <c r="AP519" s="23" t="s">
        <v>279</v>
      </c>
      <c r="AQ519" s="23" t="s">
        <v>30</v>
      </c>
      <c r="AR519" s="23" t="s">
        <v>46</v>
      </c>
      <c r="AS519" s="25">
        <v>6131806</v>
      </c>
      <c r="AT519" t="s">
        <v>26</v>
      </c>
      <c r="AU519" t="s">
        <v>22904</v>
      </c>
    </row>
    <row r="520" spans="1:47" ht="39.4" x14ac:dyDescent="0.4">
      <c r="A520" s="23" t="s">
        <v>22905</v>
      </c>
      <c r="B520" t="s">
        <v>26</v>
      </c>
      <c r="C520" s="23" t="s">
        <v>332</v>
      </c>
      <c r="D520" s="23" t="s">
        <v>22256</v>
      </c>
      <c r="E520" s="23" t="s">
        <v>42</v>
      </c>
      <c r="F520" t="s">
        <v>26</v>
      </c>
      <c r="G520" t="s">
        <v>26</v>
      </c>
      <c r="H520" t="s">
        <v>26</v>
      </c>
      <c r="I520" s="24">
        <v>33970</v>
      </c>
      <c r="J520" s="24">
        <v>33970</v>
      </c>
      <c r="K520" t="s">
        <v>26</v>
      </c>
      <c r="L520" s="25" t="s">
        <v>28</v>
      </c>
      <c r="M520" s="24">
        <v>33970</v>
      </c>
      <c r="N520" s="24">
        <v>33970</v>
      </c>
      <c r="O520" t="s">
        <v>26</v>
      </c>
      <c r="P520" t="s">
        <v>26</v>
      </c>
      <c r="Q520" t="s">
        <v>26</v>
      </c>
      <c r="R520" t="s">
        <v>26</v>
      </c>
      <c r="S520" t="s">
        <v>26</v>
      </c>
      <c r="T520" t="s">
        <v>26</v>
      </c>
      <c r="U520" t="s">
        <v>26</v>
      </c>
      <c r="V520" t="s">
        <v>26</v>
      </c>
      <c r="W520" s="24">
        <v>33970</v>
      </c>
      <c r="X520" s="24">
        <v>33970</v>
      </c>
      <c r="Y520" t="s">
        <v>26</v>
      </c>
      <c r="Z520" s="24">
        <v>33970</v>
      </c>
      <c r="AA520" s="24">
        <v>33970</v>
      </c>
      <c r="AB520" t="s">
        <v>26</v>
      </c>
      <c r="AC520" s="24">
        <v>33970</v>
      </c>
      <c r="AD520" s="24">
        <v>33970</v>
      </c>
      <c r="AE520" t="s">
        <v>26</v>
      </c>
      <c r="AF520" t="s">
        <v>26</v>
      </c>
      <c r="AG520" t="s">
        <v>26</v>
      </c>
      <c r="AH520" t="s">
        <v>26</v>
      </c>
      <c r="AI520" t="s">
        <v>26</v>
      </c>
      <c r="AJ520" t="s">
        <v>26</v>
      </c>
      <c r="AK520" t="s">
        <v>26</v>
      </c>
      <c r="AL520" t="s">
        <v>26</v>
      </c>
      <c r="AM520" t="s">
        <v>26</v>
      </c>
      <c r="AN520" t="s">
        <v>26</v>
      </c>
      <c r="AO520" s="25" t="s">
        <v>28</v>
      </c>
      <c r="AP520" s="23" t="s">
        <v>279</v>
      </c>
      <c r="AQ520" s="23" t="s">
        <v>30</v>
      </c>
      <c r="AR520" s="23" t="s">
        <v>46</v>
      </c>
      <c r="AS520" s="25">
        <v>6131802</v>
      </c>
      <c r="AT520" t="s">
        <v>26</v>
      </c>
      <c r="AU520" t="s">
        <v>22906</v>
      </c>
    </row>
    <row r="521" spans="1:47" ht="39.4" x14ac:dyDescent="0.4">
      <c r="A521" s="23" t="s">
        <v>22907</v>
      </c>
      <c r="B521" t="s">
        <v>26</v>
      </c>
      <c r="C521" s="23" t="s">
        <v>332</v>
      </c>
      <c r="D521" s="23" t="s">
        <v>22256</v>
      </c>
      <c r="E521" s="23" t="s">
        <v>42</v>
      </c>
      <c r="F521" t="s">
        <v>26</v>
      </c>
      <c r="G521" t="s">
        <v>26</v>
      </c>
      <c r="H521" t="s">
        <v>26</v>
      </c>
      <c r="I521" s="24">
        <v>33970</v>
      </c>
      <c r="J521" s="24">
        <v>33970</v>
      </c>
      <c r="K521" t="s">
        <v>26</v>
      </c>
      <c r="L521" s="25" t="s">
        <v>28</v>
      </c>
      <c r="M521" s="24">
        <v>33970</v>
      </c>
      <c r="N521" s="24">
        <v>33970</v>
      </c>
      <c r="O521" t="s">
        <v>26</v>
      </c>
      <c r="P521" t="s">
        <v>26</v>
      </c>
      <c r="Q521" t="s">
        <v>26</v>
      </c>
      <c r="R521" t="s">
        <v>26</v>
      </c>
      <c r="S521" t="s">
        <v>26</v>
      </c>
      <c r="T521" t="s">
        <v>26</v>
      </c>
      <c r="U521" t="s">
        <v>26</v>
      </c>
      <c r="V521" t="s">
        <v>26</v>
      </c>
      <c r="W521" s="24">
        <v>33970</v>
      </c>
      <c r="X521" s="24">
        <v>33970</v>
      </c>
      <c r="Y521" t="s">
        <v>26</v>
      </c>
      <c r="Z521" s="24">
        <v>33970</v>
      </c>
      <c r="AA521" s="24">
        <v>33970</v>
      </c>
      <c r="AB521" t="s">
        <v>26</v>
      </c>
      <c r="AC521" s="24">
        <v>33970</v>
      </c>
      <c r="AD521" s="24">
        <v>33970</v>
      </c>
      <c r="AE521" t="s">
        <v>26</v>
      </c>
      <c r="AF521" t="s">
        <v>26</v>
      </c>
      <c r="AG521" t="s">
        <v>26</v>
      </c>
      <c r="AH521" t="s">
        <v>26</v>
      </c>
      <c r="AI521" t="s">
        <v>26</v>
      </c>
      <c r="AJ521" t="s">
        <v>26</v>
      </c>
      <c r="AK521" t="s">
        <v>26</v>
      </c>
      <c r="AL521" t="s">
        <v>26</v>
      </c>
      <c r="AM521" t="s">
        <v>26</v>
      </c>
      <c r="AN521" t="s">
        <v>26</v>
      </c>
      <c r="AO521" s="25" t="s">
        <v>28</v>
      </c>
      <c r="AP521" s="23" t="s">
        <v>279</v>
      </c>
      <c r="AQ521" s="23" t="s">
        <v>30</v>
      </c>
      <c r="AR521" s="23" t="s">
        <v>46</v>
      </c>
      <c r="AS521" s="25">
        <v>6131797</v>
      </c>
      <c r="AT521" t="s">
        <v>26</v>
      </c>
      <c r="AU521" t="s">
        <v>22908</v>
      </c>
    </row>
    <row r="522" spans="1:47" ht="26.25" x14ac:dyDescent="0.4">
      <c r="A522" s="23" t="s">
        <v>22909</v>
      </c>
      <c r="B522" t="s">
        <v>26</v>
      </c>
      <c r="C522" s="23" t="s">
        <v>332</v>
      </c>
      <c r="D522" s="23" t="s">
        <v>22256</v>
      </c>
      <c r="E522" s="23" t="s">
        <v>42</v>
      </c>
      <c r="F522" t="s">
        <v>26</v>
      </c>
      <c r="G522" t="s">
        <v>26</v>
      </c>
      <c r="H522" t="s">
        <v>26</v>
      </c>
      <c r="I522" s="24">
        <v>34335</v>
      </c>
      <c r="J522" s="24">
        <v>34335</v>
      </c>
      <c r="K522" t="s">
        <v>26</v>
      </c>
      <c r="L522" s="25" t="s">
        <v>28</v>
      </c>
      <c r="M522" s="24">
        <v>34335</v>
      </c>
      <c r="N522" s="24">
        <v>34335</v>
      </c>
      <c r="O522" t="s">
        <v>26</v>
      </c>
      <c r="P522" t="s">
        <v>26</v>
      </c>
      <c r="Q522" t="s">
        <v>26</v>
      </c>
      <c r="R522" t="s">
        <v>26</v>
      </c>
      <c r="S522" t="s">
        <v>26</v>
      </c>
      <c r="T522" t="s">
        <v>26</v>
      </c>
      <c r="U522" t="s">
        <v>26</v>
      </c>
      <c r="V522" t="s">
        <v>26</v>
      </c>
      <c r="W522" s="24">
        <v>34335</v>
      </c>
      <c r="X522" s="24">
        <v>34335</v>
      </c>
      <c r="Y522" t="s">
        <v>26</v>
      </c>
      <c r="Z522" s="24">
        <v>34335</v>
      </c>
      <c r="AA522" s="24">
        <v>34335</v>
      </c>
      <c r="AB522" t="s">
        <v>26</v>
      </c>
      <c r="AC522" s="24">
        <v>34335</v>
      </c>
      <c r="AD522" s="24">
        <v>34335</v>
      </c>
      <c r="AE522" t="s">
        <v>26</v>
      </c>
      <c r="AF522" t="s">
        <v>26</v>
      </c>
      <c r="AG522" t="s">
        <v>26</v>
      </c>
      <c r="AH522" t="s">
        <v>26</v>
      </c>
      <c r="AI522" t="s">
        <v>26</v>
      </c>
      <c r="AJ522" t="s">
        <v>26</v>
      </c>
      <c r="AK522" t="s">
        <v>26</v>
      </c>
      <c r="AL522" t="s">
        <v>26</v>
      </c>
      <c r="AM522" t="s">
        <v>26</v>
      </c>
      <c r="AN522" t="s">
        <v>26</v>
      </c>
      <c r="AO522" s="25" t="s">
        <v>28</v>
      </c>
      <c r="AP522" s="23" t="s">
        <v>279</v>
      </c>
      <c r="AQ522" s="23" t="s">
        <v>30</v>
      </c>
      <c r="AR522" s="23" t="s">
        <v>46</v>
      </c>
      <c r="AS522" s="25">
        <v>6131792</v>
      </c>
      <c r="AT522" t="s">
        <v>26</v>
      </c>
      <c r="AU522" t="s">
        <v>22910</v>
      </c>
    </row>
    <row r="523" spans="1:47" ht="26.25" x14ac:dyDescent="0.4">
      <c r="A523" s="23" t="s">
        <v>22911</v>
      </c>
      <c r="B523" t="s">
        <v>26</v>
      </c>
      <c r="C523" s="23" t="s">
        <v>332</v>
      </c>
      <c r="D523" s="23" t="s">
        <v>22256</v>
      </c>
      <c r="E523" s="23" t="s">
        <v>42</v>
      </c>
      <c r="F523" t="s">
        <v>26</v>
      </c>
      <c r="G523" t="s">
        <v>26</v>
      </c>
      <c r="H523" t="s">
        <v>26</v>
      </c>
      <c r="I523" s="24">
        <v>34335</v>
      </c>
      <c r="J523" s="24">
        <v>34700</v>
      </c>
      <c r="K523" t="s">
        <v>26</v>
      </c>
      <c r="L523" s="25" t="s">
        <v>28</v>
      </c>
      <c r="M523" s="24">
        <v>34335</v>
      </c>
      <c r="N523" s="24">
        <v>34700</v>
      </c>
      <c r="O523" t="s">
        <v>26</v>
      </c>
      <c r="P523" t="s">
        <v>26</v>
      </c>
      <c r="Q523" t="s">
        <v>26</v>
      </c>
      <c r="R523" t="s">
        <v>26</v>
      </c>
      <c r="S523" t="s">
        <v>26</v>
      </c>
      <c r="T523" t="s">
        <v>26</v>
      </c>
      <c r="U523" t="s">
        <v>26</v>
      </c>
      <c r="V523" t="s">
        <v>26</v>
      </c>
      <c r="W523" s="24">
        <v>34335</v>
      </c>
      <c r="X523" s="24">
        <v>34700</v>
      </c>
      <c r="Y523" t="s">
        <v>26</v>
      </c>
      <c r="Z523" s="24">
        <v>34335</v>
      </c>
      <c r="AA523" s="24">
        <v>34700</v>
      </c>
      <c r="AB523" t="s">
        <v>26</v>
      </c>
      <c r="AC523" s="24">
        <v>34335</v>
      </c>
      <c r="AD523" s="24">
        <v>34700</v>
      </c>
      <c r="AE523" t="s">
        <v>26</v>
      </c>
      <c r="AF523" t="s">
        <v>26</v>
      </c>
      <c r="AG523" t="s">
        <v>26</v>
      </c>
      <c r="AH523" t="s">
        <v>26</v>
      </c>
      <c r="AI523" t="s">
        <v>26</v>
      </c>
      <c r="AJ523" t="s">
        <v>26</v>
      </c>
      <c r="AK523" t="s">
        <v>26</v>
      </c>
      <c r="AL523" t="s">
        <v>26</v>
      </c>
      <c r="AM523" t="s">
        <v>26</v>
      </c>
      <c r="AN523" t="s">
        <v>26</v>
      </c>
      <c r="AO523" s="25" t="s">
        <v>28</v>
      </c>
      <c r="AP523" s="23" t="s">
        <v>279</v>
      </c>
      <c r="AQ523" s="23" t="s">
        <v>30</v>
      </c>
      <c r="AR523" s="23" t="s">
        <v>46</v>
      </c>
      <c r="AS523" s="25">
        <v>6131787</v>
      </c>
      <c r="AT523" t="s">
        <v>26</v>
      </c>
      <c r="AU523" t="s">
        <v>22912</v>
      </c>
    </row>
    <row r="524" spans="1:47" ht="39.4" x14ac:dyDescent="0.4">
      <c r="A524" s="23" t="s">
        <v>22913</v>
      </c>
      <c r="B524" t="s">
        <v>26</v>
      </c>
      <c r="C524" s="23" t="s">
        <v>332</v>
      </c>
      <c r="D524" s="23" t="s">
        <v>22256</v>
      </c>
      <c r="E524" s="23" t="s">
        <v>42</v>
      </c>
      <c r="F524" t="s">
        <v>26</v>
      </c>
      <c r="G524" t="s">
        <v>26</v>
      </c>
      <c r="H524" t="s">
        <v>26</v>
      </c>
      <c r="I524" s="24">
        <v>34700</v>
      </c>
      <c r="J524" s="24">
        <v>34700</v>
      </c>
      <c r="K524" t="s">
        <v>26</v>
      </c>
      <c r="L524" s="25" t="s">
        <v>28</v>
      </c>
      <c r="M524" s="24">
        <v>34700</v>
      </c>
      <c r="N524" s="24">
        <v>34700</v>
      </c>
      <c r="O524" t="s">
        <v>26</v>
      </c>
      <c r="P524" t="s">
        <v>26</v>
      </c>
      <c r="Q524" t="s">
        <v>26</v>
      </c>
      <c r="R524" t="s">
        <v>26</v>
      </c>
      <c r="S524" t="s">
        <v>26</v>
      </c>
      <c r="T524" t="s">
        <v>26</v>
      </c>
      <c r="U524" t="s">
        <v>26</v>
      </c>
      <c r="V524" t="s">
        <v>26</v>
      </c>
      <c r="W524" s="24">
        <v>34700</v>
      </c>
      <c r="X524" s="24">
        <v>34700</v>
      </c>
      <c r="Y524" t="s">
        <v>26</v>
      </c>
      <c r="Z524" s="24">
        <v>34700</v>
      </c>
      <c r="AA524" s="24">
        <v>34700</v>
      </c>
      <c r="AB524" t="s">
        <v>26</v>
      </c>
      <c r="AC524" s="24">
        <v>34700</v>
      </c>
      <c r="AD524" s="24">
        <v>34700</v>
      </c>
      <c r="AE524" t="s">
        <v>26</v>
      </c>
      <c r="AF524" t="s">
        <v>26</v>
      </c>
      <c r="AG524" t="s">
        <v>26</v>
      </c>
      <c r="AH524" t="s">
        <v>26</v>
      </c>
      <c r="AI524" t="s">
        <v>26</v>
      </c>
      <c r="AJ524" t="s">
        <v>26</v>
      </c>
      <c r="AK524" t="s">
        <v>26</v>
      </c>
      <c r="AL524" t="s">
        <v>26</v>
      </c>
      <c r="AM524" t="s">
        <v>26</v>
      </c>
      <c r="AN524" t="s">
        <v>26</v>
      </c>
      <c r="AO524" s="25" t="s">
        <v>28</v>
      </c>
      <c r="AP524" s="23" t="s">
        <v>279</v>
      </c>
      <c r="AQ524" s="23" t="s">
        <v>30</v>
      </c>
      <c r="AR524" s="23" t="s">
        <v>46</v>
      </c>
      <c r="AS524" s="25">
        <v>6131782</v>
      </c>
      <c r="AT524" t="s">
        <v>26</v>
      </c>
      <c r="AU524" t="s">
        <v>22914</v>
      </c>
    </row>
    <row r="525" spans="1:47" ht="26.25" x14ac:dyDescent="0.4">
      <c r="A525" s="23" t="s">
        <v>22915</v>
      </c>
      <c r="B525" t="s">
        <v>26</v>
      </c>
      <c r="C525" s="23" t="s">
        <v>332</v>
      </c>
      <c r="D525" s="23" t="s">
        <v>22256</v>
      </c>
      <c r="E525" s="23" t="s">
        <v>42</v>
      </c>
      <c r="F525" t="s">
        <v>26</v>
      </c>
      <c r="G525" t="s">
        <v>26</v>
      </c>
      <c r="H525" t="s">
        <v>26</v>
      </c>
      <c r="I525" s="24">
        <v>34700</v>
      </c>
      <c r="J525" s="24">
        <v>34700</v>
      </c>
      <c r="K525" t="s">
        <v>26</v>
      </c>
      <c r="L525" s="25" t="s">
        <v>28</v>
      </c>
      <c r="M525" s="24">
        <v>34700</v>
      </c>
      <c r="N525" s="24">
        <v>34700</v>
      </c>
      <c r="O525" t="s">
        <v>26</v>
      </c>
      <c r="P525" t="s">
        <v>26</v>
      </c>
      <c r="Q525" t="s">
        <v>26</v>
      </c>
      <c r="R525" t="s">
        <v>26</v>
      </c>
      <c r="S525" t="s">
        <v>26</v>
      </c>
      <c r="T525" t="s">
        <v>26</v>
      </c>
      <c r="U525" t="s">
        <v>26</v>
      </c>
      <c r="V525" t="s">
        <v>26</v>
      </c>
      <c r="W525" s="24">
        <v>34700</v>
      </c>
      <c r="X525" s="24">
        <v>34700</v>
      </c>
      <c r="Y525" t="s">
        <v>26</v>
      </c>
      <c r="Z525" s="24">
        <v>34700</v>
      </c>
      <c r="AA525" s="24">
        <v>34700</v>
      </c>
      <c r="AB525" t="s">
        <v>26</v>
      </c>
      <c r="AC525" s="24">
        <v>34700</v>
      </c>
      <c r="AD525" s="24">
        <v>34700</v>
      </c>
      <c r="AE525" t="s">
        <v>26</v>
      </c>
      <c r="AF525" t="s">
        <v>26</v>
      </c>
      <c r="AG525" t="s">
        <v>26</v>
      </c>
      <c r="AH525" t="s">
        <v>26</v>
      </c>
      <c r="AI525" t="s">
        <v>26</v>
      </c>
      <c r="AJ525" t="s">
        <v>26</v>
      </c>
      <c r="AK525" t="s">
        <v>26</v>
      </c>
      <c r="AL525" t="s">
        <v>26</v>
      </c>
      <c r="AM525" t="s">
        <v>26</v>
      </c>
      <c r="AN525" t="s">
        <v>26</v>
      </c>
      <c r="AO525" s="25" t="s">
        <v>28</v>
      </c>
      <c r="AP525" s="23" t="s">
        <v>279</v>
      </c>
      <c r="AQ525" s="23" t="s">
        <v>30</v>
      </c>
      <c r="AR525" s="23" t="s">
        <v>46</v>
      </c>
      <c r="AS525" s="25">
        <v>6131777</v>
      </c>
      <c r="AT525" t="s">
        <v>26</v>
      </c>
      <c r="AU525" t="s">
        <v>22916</v>
      </c>
    </row>
    <row r="526" spans="1:47" ht="26.25" x14ac:dyDescent="0.4">
      <c r="A526" s="23" t="s">
        <v>22917</v>
      </c>
      <c r="B526" t="s">
        <v>26</v>
      </c>
      <c r="C526" s="23" t="s">
        <v>332</v>
      </c>
      <c r="D526" s="23" t="s">
        <v>22256</v>
      </c>
      <c r="E526" s="23" t="s">
        <v>42</v>
      </c>
      <c r="F526" t="s">
        <v>26</v>
      </c>
      <c r="G526" t="s">
        <v>26</v>
      </c>
      <c r="H526" t="s">
        <v>26</v>
      </c>
      <c r="I526" s="25" t="s">
        <v>295</v>
      </c>
      <c r="J526" s="25" t="s">
        <v>295</v>
      </c>
      <c r="K526" t="s">
        <v>26</v>
      </c>
      <c r="L526" s="25" t="s">
        <v>28</v>
      </c>
      <c r="M526" s="25" t="s">
        <v>295</v>
      </c>
      <c r="N526" s="25" t="s">
        <v>295</v>
      </c>
      <c r="O526" t="s">
        <v>26</v>
      </c>
      <c r="P526" t="s">
        <v>26</v>
      </c>
      <c r="Q526" t="s">
        <v>26</v>
      </c>
      <c r="R526" t="s">
        <v>26</v>
      </c>
      <c r="S526" t="s">
        <v>26</v>
      </c>
      <c r="T526" t="s">
        <v>26</v>
      </c>
      <c r="U526" t="s">
        <v>26</v>
      </c>
      <c r="V526" t="s">
        <v>26</v>
      </c>
      <c r="W526" s="25" t="s">
        <v>295</v>
      </c>
      <c r="X526" s="25" t="s">
        <v>295</v>
      </c>
      <c r="Y526" t="s">
        <v>26</v>
      </c>
      <c r="Z526" s="25" t="s">
        <v>295</v>
      </c>
      <c r="AA526" s="25" t="s">
        <v>295</v>
      </c>
      <c r="AB526" t="s">
        <v>26</v>
      </c>
      <c r="AC526" s="25" t="s">
        <v>295</v>
      </c>
      <c r="AD526" s="25" t="s">
        <v>295</v>
      </c>
      <c r="AE526" t="s">
        <v>26</v>
      </c>
      <c r="AF526" t="s">
        <v>26</v>
      </c>
      <c r="AG526" t="s">
        <v>26</v>
      </c>
      <c r="AH526" t="s">
        <v>26</v>
      </c>
      <c r="AI526" t="s">
        <v>26</v>
      </c>
      <c r="AJ526" t="s">
        <v>26</v>
      </c>
      <c r="AK526" t="s">
        <v>26</v>
      </c>
      <c r="AL526" t="s">
        <v>26</v>
      </c>
      <c r="AM526" t="s">
        <v>26</v>
      </c>
      <c r="AN526" t="s">
        <v>26</v>
      </c>
      <c r="AO526" s="25" t="s">
        <v>28</v>
      </c>
      <c r="AP526" s="23" t="s">
        <v>279</v>
      </c>
      <c r="AQ526" s="23" t="s">
        <v>30</v>
      </c>
      <c r="AR526" s="23" t="s">
        <v>46</v>
      </c>
      <c r="AS526" s="25">
        <v>6131773</v>
      </c>
      <c r="AT526" t="s">
        <v>26</v>
      </c>
      <c r="AU526" t="s">
        <v>22918</v>
      </c>
    </row>
    <row r="527" spans="1:47" ht="26.25" x14ac:dyDescent="0.4">
      <c r="A527" s="23" t="s">
        <v>22919</v>
      </c>
      <c r="B527" t="s">
        <v>26</v>
      </c>
      <c r="C527" s="23" t="s">
        <v>332</v>
      </c>
      <c r="D527" s="23" t="s">
        <v>22256</v>
      </c>
      <c r="E527" s="23" t="s">
        <v>42</v>
      </c>
      <c r="F527" t="s">
        <v>26</v>
      </c>
      <c r="G527" t="s">
        <v>26</v>
      </c>
      <c r="H527" t="s">
        <v>26</v>
      </c>
      <c r="I527" s="24">
        <v>35065</v>
      </c>
      <c r="J527" s="24">
        <v>35065</v>
      </c>
      <c r="K527" t="s">
        <v>26</v>
      </c>
      <c r="L527" s="25" t="s">
        <v>28</v>
      </c>
      <c r="M527" s="24">
        <v>35065</v>
      </c>
      <c r="N527" s="24">
        <v>35065</v>
      </c>
      <c r="O527" t="s">
        <v>26</v>
      </c>
      <c r="P527" t="s">
        <v>26</v>
      </c>
      <c r="Q527" t="s">
        <v>26</v>
      </c>
      <c r="R527" t="s">
        <v>26</v>
      </c>
      <c r="S527" t="s">
        <v>26</v>
      </c>
      <c r="T527" t="s">
        <v>26</v>
      </c>
      <c r="U527" t="s">
        <v>26</v>
      </c>
      <c r="V527" t="s">
        <v>26</v>
      </c>
      <c r="W527" s="24">
        <v>35065</v>
      </c>
      <c r="X527" s="24">
        <v>35065</v>
      </c>
      <c r="Y527" t="s">
        <v>26</v>
      </c>
      <c r="Z527" s="24">
        <v>35065</v>
      </c>
      <c r="AA527" s="24">
        <v>35065</v>
      </c>
      <c r="AB527" t="s">
        <v>26</v>
      </c>
      <c r="AC527" s="24">
        <v>35065</v>
      </c>
      <c r="AD527" s="24">
        <v>35065</v>
      </c>
      <c r="AE527" t="s">
        <v>26</v>
      </c>
      <c r="AF527" t="s">
        <v>26</v>
      </c>
      <c r="AG527" t="s">
        <v>26</v>
      </c>
      <c r="AH527" t="s">
        <v>26</v>
      </c>
      <c r="AI527" t="s">
        <v>26</v>
      </c>
      <c r="AJ527" t="s">
        <v>26</v>
      </c>
      <c r="AK527" t="s">
        <v>26</v>
      </c>
      <c r="AL527" t="s">
        <v>26</v>
      </c>
      <c r="AM527" t="s">
        <v>26</v>
      </c>
      <c r="AN527" t="s">
        <v>26</v>
      </c>
      <c r="AO527" s="25" t="s">
        <v>28</v>
      </c>
      <c r="AP527" s="23" t="s">
        <v>279</v>
      </c>
      <c r="AQ527" s="23" t="s">
        <v>30</v>
      </c>
      <c r="AR527" s="23" t="s">
        <v>46</v>
      </c>
      <c r="AS527" s="25">
        <v>6131767</v>
      </c>
      <c r="AT527" t="s">
        <v>26</v>
      </c>
      <c r="AU527" t="s">
        <v>22920</v>
      </c>
    </row>
    <row r="528" spans="1:47" ht="26.25" x14ac:dyDescent="0.4">
      <c r="A528" s="23" t="s">
        <v>22921</v>
      </c>
      <c r="B528" t="s">
        <v>26</v>
      </c>
      <c r="C528" s="23" t="s">
        <v>332</v>
      </c>
      <c r="D528" s="23" t="s">
        <v>22256</v>
      </c>
      <c r="E528" s="23" t="s">
        <v>42</v>
      </c>
      <c r="F528" t="s">
        <v>26</v>
      </c>
      <c r="G528" t="s">
        <v>26</v>
      </c>
      <c r="H528" t="s">
        <v>26</v>
      </c>
      <c r="I528" s="24">
        <v>35431</v>
      </c>
      <c r="J528" s="24">
        <v>35431</v>
      </c>
      <c r="K528" t="s">
        <v>26</v>
      </c>
      <c r="L528" s="25" t="s">
        <v>28</v>
      </c>
      <c r="M528" s="24">
        <v>35431</v>
      </c>
      <c r="N528" s="24">
        <v>35431</v>
      </c>
      <c r="O528" t="s">
        <v>26</v>
      </c>
      <c r="P528" t="s">
        <v>26</v>
      </c>
      <c r="Q528" t="s">
        <v>26</v>
      </c>
      <c r="R528" t="s">
        <v>26</v>
      </c>
      <c r="S528" t="s">
        <v>26</v>
      </c>
      <c r="T528" t="s">
        <v>26</v>
      </c>
      <c r="U528" t="s">
        <v>26</v>
      </c>
      <c r="V528" t="s">
        <v>26</v>
      </c>
      <c r="W528" s="24">
        <v>35431</v>
      </c>
      <c r="X528" s="24">
        <v>35431</v>
      </c>
      <c r="Y528" t="s">
        <v>26</v>
      </c>
      <c r="Z528" s="24">
        <v>35431</v>
      </c>
      <c r="AA528" s="24">
        <v>35431</v>
      </c>
      <c r="AB528" t="s">
        <v>26</v>
      </c>
      <c r="AC528" s="24">
        <v>35431</v>
      </c>
      <c r="AD528" s="24">
        <v>35431</v>
      </c>
      <c r="AE528" t="s">
        <v>26</v>
      </c>
      <c r="AF528" t="s">
        <v>26</v>
      </c>
      <c r="AG528" t="s">
        <v>26</v>
      </c>
      <c r="AH528" t="s">
        <v>26</v>
      </c>
      <c r="AI528" t="s">
        <v>26</v>
      </c>
      <c r="AJ528" t="s">
        <v>26</v>
      </c>
      <c r="AK528" t="s">
        <v>26</v>
      </c>
      <c r="AL528" t="s">
        <v>26</v>
      </c>
      <c r="AM528" t="s">
        <v>26</v>
      </c>
      <c r="AN528" t="s">
        <v>26</v>
      </c>
      <c r="AO528" s="25" t="s">
        <v>28</v>
      </c>
      <c r="AP528" s="23" t="s">
        <v>279</v>
      </c>
      <c r="AQ528" s="23" t="s">
        <v>30</v>
      </c>
      <c r="AR528" s="23" t="s">
        <v>46</v>
      </c>
      <c r="AS528" s="25">
        <v>6131763</v>
      </c>
      <c r="AT528" t="s">
        <v>26</v>
      </c>
      <c r="AU528" t="s">
        <v>22922</v>
      </c>
    </row>
    <row r="529" spans="1:47" ht="26.25" x14ac:dyDescent="0.4">
      <c r="A529" s="23" t="s">
        <v>22923</v>
      </c>
      <c r="B529" t="s">
        <v>26</v>
      </c>
      <c r="C529" s="23" t="s">
        <v>332</v>
      </c>
      <c r="D529" s="23" t="s">
        <v>22256</v>
      </c>
      <c r="E529" s="23" t="s">
        <v>42</v>
      </c>
      <c r="F529" t="s">
        <v>26</v>
      </c>
      <c r="G529" t="s">
        <v>26</v>
      </c>
      <c r="H529" t="s">
        <v>26</v>
      </c>
      <c r="I529" s="24">
        <v>35431</v>
      </c>
      <c r="J529" s="24">
        <v>35431</v>
      </c>
      <c r="K529" t="s">
        <v>26</v>
      </c>
      <c r="L529" s="25" t="s">
        <v>28</v>
      </c>
      <c r="M529" s="24">
        <v>35431</v>
      </c>
      <c r="N529" s="24">
        <v>35431</v>
      </c>
      <c r="O529" t="s">
        <v>26</v>
      </c>
      <c r="P529" t="s">
        <v>26</v>
      </c>
      <c r="Q529" t="s">
        <v>26</v>
      </c>
      <c r="R529" t="s">
        <v>26</v>
      </c>
      <c r="S529" t="s">
        <v>26</v>
      </c>
      <c r="T529" t="s">
        <v>26</v>
      </c>
      <c r="U529" t="s">
        <v>26</v>
      </c>
      <c r="V529" t="s">
        <v>26</v>
      </c>
      <c r="W529" s="24">
        <v>35431</v>
      </c>
      <c r="X529" s="24">
        <v>35431</v>
      </c>
      <c r="Y529" t="s">
        <v>26</v>
      </c>
      <c r="Z529" s="24">
        <v>35431</v>
      </c>
      <c r="AA529" s="24">
        <v>35431</v>
      </c>
      <c r="AB529" t="s">
        <v>26</v>
      </c>
      <c r="AC529" s="24">
        <v>35431</v>
      </c>
      <c r="AD529" s="24">
        <v>35431</v>
      </c>
      <c r="AE529" t="s">
        <v>26</v>
      </c>
      <c r="AF529" t="s">
        <v>26</v>
      </c>
      <c r="AG529" t="s">
        <v>26</v>
      </c>
      <c r="AH529" t="s">
        <v>26</v>
      </c>
      <c r="AI529" t="s">
        <v>26</v>
      </c>
      <c r="AJ529" t="s">
        <v>26</v>
      </c>
      <c r="AK529" t="s">
        <v>26</v>
      </c>
      <c r="AL529" t="s">
        <v>26</v>
      </c>
      <c r="AM529" t="s">
        <v>26</v>
      </c>
      <c r="AN529" t="s">
        <v>26</v>
      </c>
      <c r="AO529" s="25" t="s">
        <v>28</v>
      </c>
      <c r="AP529" s="23" t="s">
        <v>279</v>
      </c>
      <c r="AQ529" s="23" t="s">
        <v>30</v>
      </c>
      <c r="AR529" s="23" t="s">
        <v>46</v>
      </c>
      <c r="AS529" s="25">
        <v>6131759</v>
      </c>
      <c r="AT529" t="s">
        <v>26</v>
      </c>
      <c r="AU529" t="s">
        <v>22924</v>
      </c>
    </row>
    <row r="530" spans="1:47" ht="26.25" x14ac:dyDescent="0.4">
      <c r="A530" s="23" t="s">
        <v>22925</v>
      </c>
      <c r="B530" t="s">
        <v>26</v>
      </c>
      <c r="C530" s="23" t="s">
        <v>332</v>
      </c>
      <c r="D530" s="23" t="s">
        <v>22256</v>
      </c>
      <c r="E530" s="23" t="s">
        <v>42</v>
      </c>
      <c r="F530" t="s">
        <v>26</v>
      </c>
      <c r="G530" t="s">
        <v>26</v>
      </c>
      <c r="H530" t="s">
        <v>26</v>
      </c>
      <c r="I530" s="24">
        <v>35431</v>
      </c>
      <c r="J530" s="24">
        <v>35431</v>
      </c>
      <c r="K530" t="s">
        <v>26</v>
      </c>
      <c r="L530" s="25" t="s">
        <v>28</v>
      </c>
      <c r="M530" s="24">
        <v>35431</v>
      </c>
      <c r="N530" s="24">
        <v>35431</v>
      </c>
      <c r="O530" t="s">
        <v>26</v>
      </c>
      <c r="P530" t="s">
        <v>26</v>
      </c>
      <c r="Q530" t="s">
        <v>26</v>
      </c>
      <c r="R530" t="s">
        <v>26</v>
      </c>
      <c r="S530" t="s">
        <v>26</v>
      </c>
      <c r="T530" t="s">
        <v>26</v>
      </c>
      <c r="U530" t="s">
        <v>26</v>
      </c>
      <c r="V530" t="s">
        <v>26</v>
      </c>
      <c r="W530" s="24">
        <v>35431</v>
      </c>
      <c r="X530" s="24">
        <v>35431</v>
      </c>
      <c r="Y530" t="s">
        <v>26</v>
      </c>
      <c r="Z530" s="24">
        <v>35431</v>
      </c>
      <c r="AA530" s="24">
        <v>35431</v>
      </c>
      <c r="AB530" t="s">
        <v>26</v>
      </c>
      <c r="AC530" s="24">
        <v>35431</v>
      </c>
      <c r="AD530" s="24">
        <v>35431</v>
      </c>
      <c r="AE530" t="s">
        <v>26</v>
      </c>
      <c r="AF530" t="s">
        <v>26</v>
      </c>
      <c r="AG530" t="s">
        <v>26</v>
      </c>
      <c r="AH530" t="s">
        <v>26</v>
      </c>
      <c r="AI530" t="s">
        <v>26</v>
      </c>
      <c r="AJ530" t="s">
        <v>26</v>
      </c>
      <c r="AK530" t="s">
        <v>26</v>
      </c>
      <c r="AL530" t="s">
        <v>26</v>
      </c>
      <c r="AM530" t="s">
        <v>26</v>
      </c>
      <c r="AN530" t="s">
        <v>26</v>
      </c>
      <c r="AO530" s="25" t="s">
        <v>28</v>
      </c>
      <c r="AP530" s="23" t="s">
        <v>279</v>
      </c>
      <c r="AQ530" s="23" t="s">
        <v>30</v>
      </c>
      <c r="AR530" s="23" t="s">
        <v>46</v>
      </c>
      <c r="AS530" s="25">
        <v>6131754</v>
      </c>
      <c r="AT530" t="s">
        <v>26</v>
      </c>
      <c r="AU530" t="s">
        <v>22926</v>
      </c>
    </row>
    <row r="531" spans="1:47" ht="26.25" x14ac:dyDescent="0.4">
      <c r="A531" s="23" t="s">
        <v>22927</v>
      </c>
      <c r="B531" t="s">
        <v>26</v>
      </c>
      <c r="C531" s="23" t="s">
        <v>332</v>
      </c>
      <c r="D531" s="23" t="s">
        <v>22256</v>
      </c>
      <c r="E531" s="23" t="s">
        <v>42</v>
      </c>
      <c r="F531" t="s">
        <v>26</v>
      </c>
      <c r="G531" t="s">
        <v>26</v>
      </c>
      <c r="H531" t="s">
        <v>26</v>
      </c>
      <c r="I531" s="24">
        <v>35431</v>
      </c>
      <c r="J531" s="24">
        <v>35431</v>
      </c>
      <c r="K531" t="s">
        <v>26</v>
      </c>
      <c r="L531" s="25" t="s">
        <v>28</v>
      </c>
      <c r="M531" s="24">
        <v>35431</v>
      </c>
      <c r="N531" s="24">
        <v>35431</v>
      </c>
      <c r="O531" t="s">
        <v>26</v>
      </c>
      <c r="P531" t="s">
        <v>26</v>
      </c>
      <c r="Q531" t="s">
        <v>26</v>
      </c>
      <c r="R531" t="s">
        <v>26</v>
      </c>
      <c r="S531" t="s">
        <v>26</v>
      </c>
      <c r="T531" t="s">
        <v>26</v>
      </c>
      <c r="U531" t="s">
        <v>26</v>
      </c>
      <c r="V531" t="s">
        <v>26</v>
      </c>
      <c r="W531" s="24">
        <v>35431</v>
      </c>
      <c r="X531" s="24">
        <v>35431</v>
      </c>
      <c r="Y531" t="s">
        <v>26</v>
      </c>
      <c r="Z531" s="24">
        <v>35431</v>
      </c>
      <c r="AA531" s="24">
        <v>35431</v>
      </c>
      <c r="AB531" t="s">
        <v>26</v>
      </c>
      <c r="AC531" s="24">
        <v>35431</v>
      </c>
      <c r="AD531" s="24">
        <v>35431</v>
      </c>
      <c r="AE531" t="s">
        <v>26</v>
      </c>
      <c r="AF531" t="s">
        <v>26</v>
      </c>
      <c r="AG531" t="s">
        <v>26</v>
      </c>
      <c r="AH531" t="s">
        <v>26</v>
      </c>
      <c r="AI531" t="s">
        <v>26</v>
      </c>
      <c r="AJ531" t="s">
        <v>26</v>
      </c>
      <c r="AK531" t="s">
        <v>26</v>
      </c>
      <c r="AL531" t="s">
        <v>26</v>
      </c>
      <c r="AM531" t="s">
        <v>26</v>
      </c>
      <c r="AN531" t="s">
        <v>26</v>
      </c>
      <c r="AO531" s="25" t="s">
        <v>28</v>
      </c>
      <c r="AP531" s="23" t="s">
        <v>279</v>
      </c>
      <c r="AQ531" s="23" t="s">
        <v>30</v>
      </c>
      <c r="AR531" s="23" t="s">
        <v>46</v>
      </c>
      <c r="AS531" s="25">
        <v>6131749</v>
      </c>
      <c r="AT531" t="s">
        <v>26</v>
      </c>
      <c r="AU531" t="s">
        <v>22928</v>
      </c>
    </row>
    <row r="532" spans="1:47" ht="26.25" x14ac:dyDescent="0.4">
      <c r="A532" s="23" t="s">
        <v>22929</v>
      </c>
      <c r="B532" t="s">
        <v>26</v>
      </c>
      <c r="C532" s="23" t="s">
        <v>332</v>
      </c>
      <c r="D532" s="23" t="s">
        <v>22545</v>
      </c>
      <c r="E532" s="23" t="s">
        <v>42</v>
      </c>
      <c r="F532" t="s">
        <v>26</v>
      </c>
      <c r="G532" t="s">
        <v>26</v>
      </c>
      <c r="H532" t="s">
        <v>26</v>
      </c>
      <c r="I532" s="25" t="s">
        <v>295</v>
      </c>
      <c r="J532" s="25" t="s">
        <v>295</v>
      </c>
      <c r="K532" t="s">
        <v>26</v>
      </c>
      <c r="L532" s="25" t="s">
        <v>28</v>
      </c>
      <c r="M532" s="25" t="s">
        <v>295</v>
      </c>
      <c r="N532" s="25" t="s">
        <v>295</v>
      </c>
      <c r="O532" t="s">
        <v>26</v>
      </c>
      <c r="P532" t="s">
        <v>26</v>
      </c>
      <c r="Q532" t="s">
        <v>26</v>
      </c>
      <c r="R532" t="s">
        <v>26</v>
      </c>
      <c r="S532" t="s">
        <v>26</v>
      </c>
      <c r="T532" t="s">
        <v>26</v>
      </c>
      <c r="U532" t="s">
        <v>26</v>
      </c>
      <c r="V532" t="s">
        <v>26</v>
      </c>
      <c r="W532" s="25" t="s">
        <v>295</v>
      </c>
      <c r="X532" s="25" t="s">
        <v>295</v>
      </c>
      <c r="Y532" t="s">
        <v>26</v>
      </c>
      <c r="Z532" s="25" t="s">
        <v>295</v>
      </c>
      <c r="AA532" s="25" t="s">
        <v>295</v>
      </c>
      <c r="AB532" t="s">
        <v>26</v>
      </c>
      <c r="AC532" s="25" t="s">
        <v>295</v>
      </c>
      <c r="AD532" s="25" t="s">
        <v>295</v>
      </c>
      <c r="AE532" t="s">
        <v>26</v>
      </c>
      <c r="AF532" t="s">
        <v>26</v>
      </c>
      <c r="AG532" t="s">
        <v>26</v>
      </c>
      <c r="AH532" t="s">
        <v>26</v>
      </c>
      <c r="AI532" t="s">
        <v>26</v>
      </c>
      <c r="AJ532" t="s">
        <v>26</v>
      </c>
      <c r="AK532" t="s">
        <v>26</v>
      </c>
      <c r="AL532" t="s">
        <v>26</v>
      </c>
      <c r="AM532" t="s">
        <v>26</v>
      </c>
      <c r="AN532" t="s">
        <v>26</v>
      </c>
      <c r="AO532" s="25" t="s">
        <v>28</v>
      </c>
      <c r="AP532" s="23" t="s">
        <v>279</v>
      </c>
      <c r="AQ532" s="23" t="s">
        <v>30</v>
      </c>
      <c r="AR532" s="23" t="s">
        <v>46</v>
      </c>
      <c r="AS532" s="25">
        <v>6009025</v>
      </c>
      <c r="AT532" t="s">
        <v>26</v>
      </c>
      <c r="AU532" t="s">
        <v>22930</v>
      </c>
    </row>
    <row r="533" spans="1:47" ht="26.25" x14ac:dyDescent="0.4">
      <c r="A533" s="23" t="s">
        <v>22931</v>
      </c>
      <c r="B533" t="s">
        <v>26</v>
      </c>
      <c r="C533" s="23" t="s">
        <v>332</v>
      </c>
      <c r="D533" s="23" t="s">
        <v>22256</v>
      </c>
      <c r="E533" s="23" t="s">
        <v>42</v>
      </c>
      <c r="F533" t="s">
        <v>26</v>
      </c>
      <c r="G533" t="s">
        <v>26</v>
      </c>
      <c r="H533" t="s">
        <v>26</v>
      </c>
      <c r="I533" s="24">
        <v>36161</v>
      </c>
      <c r="J533" s="24">
        <v>36161</v>
      </c>
      <c r="K533" t="s">
        <v>26</v>
      </c>
      <c r="L533" s="25" t="s">
        <v>28</v>
      </c>
      <c r="M533" s="24">
        <v>36161</v>
      </c>
      <c r="N533" s="24">
        <v>36161</v>
      </c>
      <c r="O533" t="s">
        <v>26</v>
      </c>
      <c r="P533" t="s">
        <v>26</v>
      </c>
      <c r="Q533" t="s">
        <v>26</v>
      </c>
      <c r="R533" t="s">
        <v>26</v>
      </c>
      <c r="S533" t="s">
        <v>26</v>
      </c>
      <c r="T533" t="s">
        <v>26</v>
      </c>
      <c r="U533" t="s">
        <v>26</v>
      </c>
      <c r="V533" t="s">
        <v>26</v>
      </c>
      <c r="W533" s="24">
        <v>36161</v>
      </c>
      <c r="X533" s="24">
        <v>36161</v>
      </c>
      <c r="Y533" t="s">
        <v>26</v>
      </c>
      <c r="Z533" s="24">
        <v>36161</v>
      </c>
      <c r="AA533" s="24">
        <v>36161</v>
      </c>
      <c r="AB533" t="s">
        <v>26</v>
      </c>
      <c r="AC533" s="24">
        <v>36161</v>
      </c>
      <c r="AD533" s="24">
        <v>36161</v>
      </c>
      <c r="AE533" t="s">
        <v>26</v>
      </c>
      <c r="AF533" t="s">
        <v>26</v>
      </c>
      <c r="AG533" t="s">
        <v>26</v>
      </c>
      <c r="AH533" t="s">
        <v>26</v>
      </c>
      <c r="AI533" t="s">
        <v>26</v>
      </c>
      <c r="AJ533" t="s">
        <v>26</v>
      </c>
      <c r="AK533" t="s">
        <v>26</v>
      </c>
      <c r="AL533" t="s">
        <v>26</v>
      </c>
      <c r="AM533" t="s">
        <v>26</v>
      </c>
      <c r="AN533" t="s">
        <v>26</v>
      </c>
      <c r="AO533" s="25" t="s">
        <v>28</v>
      </c>
      <c r="AP533" s="23" t="s">
        <v>279</v>
      </c>
      <c r="AQ533" s="23" t="s">
        <v>30</v>
      </c>
      <c r="AR533" s="23" t="s">
        <v>46</v>
      </c>
      <c r="AS533" s="25">
        <v>6131745</v>
      </c>
      <c r="AT533" t="s">
        <v>26</v>
      </c>
      <c r="AU533" t="s">
        <v>22932</v>
      </c>
    </row>
    <row r="534" spans="1:47" ht="26.25" x14ac:dyDescent="0.4">
      <c r="A534" s="23" t="s">
        <v>22933</v>
      </c>
      <c r="B534" t="s">
        <v>26</v>
      </c>
      <c r="C534" s="23" t="s">
        <v>332</v>
      </c>
      <c r="D534" s="23" t="s">
        <v>22256</v>
      </c>
      <c r="E534" s="23" t="s">
        <v>42</v>
      </c>
      <c r="F534" t="s">
        <v>26</v>
      </c>
      <c r="G534" t="s">
        <v>26</v>
      </c>
      <c r="H534" t="s">
        <v>26</v>
      </c>
      <c r="I534" s="25" t="s">
        <v>295</v>
      </c>
      <c r="J534" s="25" t="s">
        <v>295</v>
      </c>
      <c r="K534" t="s">
        <v>26</v>
      </c>
      <c r="L534" s="25" t="s">
        <v>28</v>
      </c>
      <c r="M534" s="25" t="s">
        <v>295</v>
      </c>
      <c r="N534" s="25" t="s">
        <v>295</v>
      </c>
      <c r="O534" t="s">
        <v>26</v>
      </c>
      <c r="P534" t="s">
        <v>26</v>
      </c>
      <c r="Q534" t="s">
        <v>26</v>
      </c>
      <c r="R534" t="s">
        <v>26</v>
      </c>
      <c r="S534" t="s">
        <v>26</v>
      </c>
      <c r="T534" t="s">
        <v>26</v>
      </c>
      <c r="U534" t="s">
        <v>26</v>
      </c>
      <c r="V534" t="s">
        <v>26</v>
      </c>
      <c r="W534" s="25" t="s">
        <v>295</v>
      </c>
      <c r="X534" s="25" t="s">
        <v>295</v>
      </c>
      <c r="Y534" t="s">
        <v>26</v>
      </c>
      <c r="Z534" s="25" t="s">
        <v>295</v>
      </c>
      <c r="AA534" s="25" t="s">
        <v>295</v>
      </c>
      <c r="AB534" t="s">
        <v>26</v>
      </c>
      <c r="AC534" s="25" t="s">
        <v>295</v>
      </c>
      <c r="AD534" s="25" t="s">
        <v>295</v>
      </c>
      <c r="AE534" t="s">
        <v>26</v>
      </c>
      <c r="AF534" t="s">
        <v>26</v>
      </c>
      <c r="AG534" t="s">
        <v>26</v>
      </c>
      <c r="AH534" t="s">
        <v>26</v>
      </c>
      <c r="AI534" t="s">
        <v>26</v>
      </c>
      <c r="AJ534" t="s">
        <v>26</v>
      </c>
      <c r="AK534" t="s">
        <v>26</v>
      </c>
      <c r="AL534" t="s">
        <v>26</v>
      </c>
      <c r="AM534" t="s">
        <v>26</v>
      </c>
      <c r="AN534" t="s">
        <v>26</v>
      </c>
      <c r="AO534" s="25" t="s">
        <v>28</v>
      </c>
      <c r="AP534" s="23" t="s">
        <v>279</v>
      </c>
      <c r="AQ534" s="23" t="s">
        <v>30</v>
      </c>
      <c r="AR534" s="23" t="s">
        <v>46</v>
      </c>
      <c r="AS534" s="25">
        <v>6131741</v>
      </c>
      <c r="AT534" t="s">
        <v>26</v>
      </c>
      <c r="AU534" t="s">
        <v>22934</v>
      </c>
    </row>
    <row r="535" spans="1:47" ht="39.4" x14ac:dyDescent="0.4">
      <c r="A535" s="23" t="s">
        <v>22935</v>
      </c>
      <c r="B535" t="s">
        <v>26</v>
      </c>
      <c r="C535" s="23" t="s">
        <v>332</v>
      </c>
      <c r="D535" s="23" t="s">
        <v>22256</v>
      </c>
      <c r="E535" s="23" t="s">
        <v>42</v>
      </c>
      <c r="F535" t="s">
        <v>26</v>
      </c>
      <c r="G535" t="s">
        <v>26</v>
      </c>
      <c r="H535" t="s">
        <v>26</v>
      </c>
      <c r="I535" s="24">
        <v>36526</v>
      </c>
      <c r="J535" s="24">
        <v>36892</v>
      </c>
      <c r="K535" t="s">
        <v>26</v>
      </c>
      <c r="L535" s="25" t="s">
        <v>28</v>
      </c>
      <c r="M535" s="24">
        <v>36526</v>
      </c>
      <c r="N535" s="24">
        <v>36892</v>
      </c>
      <c r="O535" t="s">
        <v>26</v>
      </c>
      <c r="P535" t="s">
        <v>26</v>
      </c>
      <c r="Q535" t="s">
        <v>26</v>
      </c>
      <c r="R535" t="s">
        <v>26</v>
      </c>
      <c r="S535" t="s">
        <v>26</v>
      </c>
      <c r="T535" t="s">
        <v>26</v>
      </c>
      <c r="U535" t="s">
        <v>26</v>
      </c>
      <c r="V535" t="s">
        <v>26</v>
      </c>
      <c r="W535" s="24">
        <v>36526</v>
      </c>
      <c r="X535" s="24">
        <v>36892</v>
      </c>
      <c r="Y535" t="s">
        <v>26</v>
      </c>
      <c r="Z535" s="24">
        <v>36526</v>
      </c>
      <c r="AA535" s="24">
        <v>36892</v>
      </c>
      <c r="AB535" t="s">
        <v>26</v>
      </c>
      <c r="AC535" s="24">
        <v>36526</v>
      </c>
      <c r="AD535" s="24">
        <v>36892</v>
      </c>
      <c r="AE535" t="s">
        <v>26</v>
      </c>
      <c r="AF535" t="s">
        <v>26</v>
      </c>
      <c r="AG535" t="s">
        <v>26</v>
      </c>
      <c r="AH535" t="s">
        <v>26</v>
      </c>
      <c r="AI535" t="s">
        <v>26</v>
      </c>
      <c r="AJ535" t="s">
        <v>26</v>
      </c>
      <c r="AK535" t="s">
        <v>26</v>
      </c>
      <c r="AL535" t="s">
        <v>26</v>
      </c>
      <c r="AM535" t="s">
        <v>26</v>
      </c>
      <c r="AN535" t="s">
        <v>26</v>
      </c>
      <c r="AO535" s="25" t="s">
        <v>28</v>
      </c>
      <c r="AP535" s="23" t="s">
        <v>279</v>
      </c>
      <c r="AQ535" s="23" t="s">
        <v>30</v>
      </c>
      <c r="AR535" s="23" t="s">
        <v>46</v>
      </c>
      <c r="AS535" s="25">
        <v>6131737</v>
      </c>
      <c r="AT535" t="s">
        <v>26</v>
      </c>
      <c r="AU535" t="s">
        <v>22936</v>
      </c>
    </row>
    <row r="536" spans="1:47" ht="26.25" x14ac:dyDescent="0.4">
      <c r="A536" s="23" t="s">
        <v>22937</v>
      </c>
      <c r="B536" t="s">
        <v>26</v>
      </c>
      <c r="C536" s="23" t="s">
        <v>332</v>
      </c>
      <c r="D536" s="23" t="s">
        <v>22256</v>
      </c>
      <c r="E536" s="23" t="s">
        <v>42</v>
      </c>
      <c r="F536" t="s">
        <v>26</v>
      </c>
      <c r="G536" t="s">
        <v>26</v>
      </c>
      <c r="H536" t="s">
        <v>26</v>
      </c>
      <c r="I536" s="24">
        <v>36526</v>
      </c>
      <c r="J536" s="24">
        <v>36526</v>
      </c>
      <c r="K536" t="s">
        <v>26</v>
      </c>
      <c r="L536" s="25" t="s">
        <v>28</v>
      </c>
      <c r="M536" s="24">
        <v>36526</v>
      </c>
      <c r="N536" s="24">
        <v>36526</v>
      </c>
      <c r="O536" t="s">
        <v>26</v>
      </c>
      <c r="P536" t="s">
        <v>26</v>
      </c>
      <c r="Q536" t="s">
        <v>26</v>
      </c>
      <c r="R536" t="s">
        <v>26</v>
      </c>
      <c r="S536" t="s">
        <v>26</v>
      </c>
      <c r="T536" t="s">
        <v>26</v>
      </c>
      <c r="U536" t="s">
        <v>26</v>
      </c>
      <c r="V536" t="s">
        <v>26</v>
      </c>
      <c r="W536" s="24">
        <v>36526</v>
      </c>
      <c r="X536" s="24">
        <v>36526</v>
      </c>
      <c r="Y536" t="s">
        <v>26</v>
      </c>
      <c r="Z536" s="24">
        <v>36526</v>
      </c>
      <c r="AA536" s="24">
        <v>36526</v>
      </c>
      <c r="AB536" t="s">
        <v>26</v>
      </c>
      <c r="AC536" s="24">
        <v>36526</v>
      </c>
      <c r="AD536" s="24">
        <v>36526</v>
      </c>
      <c r="AE536" t="s">
        <v>26</v>
      </c>
      <c r="AF536" t="s">
        <v>26</v>
      </c>
      <c r="AG536" t="s">
        <v>26</v>
      </c>
      <c r="AH536" t="s">
        <v>26</v>
      </c>
      <c r="AI536" t="s">
        <v>26</v>
      </c>
      <c r="AJ536" t="s">
        <v>26</v>
      </c>
      <c r="AK536" t="s">
        <v>26</v>
      </c>
      <c r="AL536" t="s">
        <v>26</v>
      </c>
      <c r="AM536" t="s">
        <v>26</v>
      </c>
      <c r="AN536" t="s">
        <v>26</v>
      </c>
      <c r="AO536" s="25" t="s">
        <v>28</v>
      </c>
      <c r="AP536" s="23" t="s">
        <v>279</v>
      </c>
      <c r="AQ536" s="23" t="s">
        <v>30</v>
      </c>
      <c r="AR536" s="23" t="s">
        <v>46</v>
      </c>
      <c r="AS536" s="25">
        <v>6131735</v>
      </c>
      <c r="AT536" t="s">
        <v>26</v>
      </c>
      <c r="AU536" t="s">
        <v>22938</v>
      </c>
    </row>
    <row r="537" spans="1:47" ht="26.25" x14ac:dyDescent="0.4">
      <c r="A537" s="23" t="s">
        <v>22939</v>
      </c>
      <c r="B537" t="s">
        <v>26</v>
      </c>
      <c r="C537" s="23" t="s">
        <v>332</v>
      </c>
      <c r="D537" s="23" t="s">
        <v>22545</v>
      </c>
      <c r="E537" s="23" t="s">
        <v>42</v>
      </c>
      <c r="F537" t="s">
        <v>26</v>
      </c>
      <c r="G537" t="s">
        <v>26</v>
      </c>
      <c r="H537" t="s">
        <v>26</v>
      </c>
      <c r="I537" s="24">
        <v>36892</v>
      </c>
      <c r="J537" s="24">
        <v>36892</v>
      </c>
      <c r="K537" t="s">
        <v>26</v>
      </c>
      <c r="L537" s="25" t="s">
        <v>28</v>
      </c>
      <c r="M537" s="24">
        <v>36892</v>
      </c>
      <c r="N537" s="24">
        <v>36892</v>
      </c>
      <c r="O537" t="s">
        <v>26</v>
      </c>
      <c r="P537" t="s">
        <v>26</v>
      </c>
      <c r="Q537" t="s">
        <v>26</v>
      </c>
      <c r="R537" t="s">
        <v>26</v>
      </c>
      <c r="S537" t="s">
        <v>26</v>
      </c>
      <c r="T537" t="s">
        <v>26</v>
      </c>
      <c r="U537" t="s">
        <v>26</v>
      </c>
      <c r="V537" t="s">
        <v>26</v>
      </c>
      <c r="W537" s="24">
        <v>36892</v>
      </c>
      <c r="X537" s="24">
        <v>36892</v>
      </c>
      <c r="Y537" t="s">
        <v>26</v>
      </c>
      <c r="Z537" s="24">
        <v>36892</v>
      </c>
      <c r="AA537" s="24">
        <v>36892</v>
      </c>
      <c r="AB537" t="s">
        <v>26</v>
      </c>
      <c r="AC537" s="24">
        <v>36892</v>
      </c>
      <c r="AD537" s="24">
        <v>36892</v>
      </c>
      <c r="AE537" t="s">
        <v>26</v>
      </c>
      <c r="AF537" t="s">
        <v>26</v>
      </c>
      <c r="AG537" t="s">
        <v>26</v>
      </c>
      <c r="AH537" t="s">
        <v>26</v>
      </c>
      <c r="AI537" t="s">
        <v>26</v>
      </c>
      <c r="AJ537" t="s">
        <v>26</v>
      </c>
      <c r="AK537" t="s">
        <v>26</v>
      </c>
      <c r="AL537" t="s">
        <v>26</v>
      </c>
      <c r="AM537" t="s">
        <v>26</v>
      </c>
      <c r="AN537" t="s">
        <v>26</v>
      </c>
      <c r="AO537" s="25" t="s">
        <v>28</v>
      </c>
      <c r="AP537" s="23" t="s">
        <v>279</v>
      </c>
      <c r="AQ537" s="23" t="s">
        <v>30</v>
      </c>
      <c r="AR537" s="23" t="s">
        <v>46</v>
      </c>
      <c r="AS537" s="25">
        <v>6009024</v>
      </c>
      <c r="AT537" t="s">
        <v>26</v>
      </c>
      <c r="AU537" t="s">
        <v>22940</v>
      </c>
    </row>
    <row r="538" spans="1:47" ht="26.25" x14ac:dyDescent="0.4">
      <c r="A538" s="23" t="s">
        <v>22941</v>
      </c>
      <c r="B538" t="s">
        <v>26</v>
      </c>
      <c r="C538" s="23" t="s">
        <v>332</v>
      </c>
      <c r="D538" s="23" t="s">
        <v>22256</v>
      </c>
      <c r="E538" s="23" t="s">
        <v>42</v>
      </c>
      <c r="F538" t="s">
        <v>26</v>
      </c>
      <c r="G538" t="s">
        <v>26</v>
      </c>
      <c r="H538" t="s">
        <v>26</v>
      </c>
      <c r="I538" s="24">
        <v>36892</v>
      </c>
      <c r="J538" s="24">
        <v>36892</v>
      </c>
      <c r="K538" t="s">
        <v>26</v>
      </c>
      <c r="L538" s="25" t="s">
        <v>28</v>
      </c>
      <c r="M538" s="24">
        <v>36892</v>
      </c>
      <c r="N538" s="24">
        <v>36892</v>
      </c>
      <c r="O538" t="s">
        <v>26</v>
      </c>
      <c r="P538" t="s">
        <v>26</v>
      </c>
      <c r="Q538" t="s">
        <v>26</v>
      </c>
      <c r="R538" t="s">
        <v>26</v>
      </c>
      <c r="S538" t="s">
        <v>26</v>
      </c>
      <c r="T538" t="s">
        <v>26</v>
      </c>
      <c r="U538" t="s">
        <v>26</v>
      </c>
      <c r="V538" t="s">
        <v>26</v>
      </c>
      <c r="W538" s="24">
        <v>36892</v>
      </c>
      <c r="X538" s="24">
        <v>36892</v>
      </c>
      <c r="Y538" t="s">
        <v>26</v>
      </c>
      <c r="Z538" s="24">
        <v>36892</v>
      </c>
      <c r="AA538" s="24">
        <v>36892</v>
      </c>
      <c r="AB538" t="s">
        <v>26</v>
      </c>
      <c r="AC538" s="24">
        <v>36892</v>
      </c>
      <c r="AD538" s="24">
        <v>36892</v>
      </c>
      <c r="AE538" t="s">
        <v>26</v>
      </c>
      <c r="AF538" t="s">
        <v>26</v>
      </c>
      <c r="AG538" t="s">
        <v>26</v>
      </c>
      <c r="AH538" t="s">
        <v>26</v>
      </c>
      <c r="AI538" t="s">
        <v>26</v>
      </c>
      <c r="AJ538" t="s">
        <v>26</v>
      </c>
      <c r="AK538" t="s">
        <v>26</v>
      </c>
      <c r="AL538" t="s">
        <v>26</v>
      </c>
      <c r="AM538" t="s">
        <v>26</v>
      </c>
      <c r="AN538" t="s">
        <v>26</v>
      </c>
      <c r="AO538" s="25" t="s">
        <v>28</v>
      </c>
      <c r="AP538" s="23" t="s">
        <v>279</v>
      </c>
      <c r="AQ538" s="23" t="s">
        <v>30</v>
      </c>
      <c r="AR538" s="23" t="s">
        <v>46</v>
      </c>
      <c r="AS538" s="25">
        <v>6131734</v>
      </c>
      <c r="AT538" t="s">
        <v>26</v>
      </c>
      <c r="AU538" t="s">
        <v>22942</v>
      </c>
    </row>
    <row r="539" spans="1:47" ht="13.15" x14ac:dyDescent="0.4">
      <c r="A539" s="23" t="s">
        <v>22943</v>
      </c>
      <c r="B539" t="s">
        <v>26</v>
      </c>
      <c r="C539" s="23" t="s">
        <v>332</v>
      </c>
      <c r="D539" s="23" t="s">
        <v>22256</v>
      </c>
      <c r="E539" s="23" t="s">
        <v>42</v>
      </c>
      <c r="F539" t="s">
        <v>26</v>
      </c>
      <c r="G539" t="s">
        <v>26</v>
      </c>
      <c r="H539" t="s">
        <v>26</v>
      </c>
      <c r="I539" s="24">
        <v>36892</v>
      </c>
      <c r="J539" s="24">
        <v>37257</v>
      </c>
      <c r="K539" t="s">
        <v>26</v>
      </c>
      <c r="L539" s="25" t="s">
        <v>28</v>
      </c>
      <c r="M539" s="24">
        <v>36892</v>
      </c>
      <c r="N539" s="24">
        <v>37257</v>
      </c>
      <c r="O539" t="s">
        <v>26</v>
      </c>
      <c r="P539" t="s">
        <v>26</v>
      </c>
      <c r="Q539" t="s">
        <v>26</v>
      </c>
      <c r="R539" t="s">
        <v>26</v>
      </c>
      <c r="S539" t="s">
        <v>26</v>
      </c>
      <c r="T539" t="s">
        <v>26</v>
      </c>
      <c r="U539" t="s">
        <v>26</v>
      </c>
      <c r="V539" t="s">
        <v>26</v>
      </c>
      <c r="W539" s="24">
        <v>36892</v>
      </c>
      <c r="X539" s="24">
        <v>37257</v>
      </c>
      <c r="Y539" t="s">
        <v>26</v>
      </c>
      <c r="Z539" s="24">
        <v>36892</v>
      </c>
      <c r="AA539" s="24">
        <v>37257</v>
      </c>
      <c r="AB539" t="s">
        <v>26</v>
      </c>
      <c r="AC539" s="24">
        <v>36892</v>
      </c>
      <c r="AD539" s="24">
        <v>37257</v>
      </c>
      <c r="AE539" t="s">
        <v>26</v>
      </c>
      <c r="AF539" t="s">
        <v>26</v>
      </c>
      <c r="AG539" t="s">
        <v>26</v>
      </c>
      <c r="AH539" t="s">
        <v>26</v>
      </c>
      <c r="AI539" t="s">
        <v>26</v>
      </c>
      <c r="AJ539" t="s">
        <v>26</v>
      </c>
      <c r="AK539" t="s">
        <v>26</v>
      </c>
      <c r="AL539" t="s">
        <v>26</v>
      </c>
      <c r="AM539" t="s">
        <v>26</v>
      </c>
      <c r="AN539" t="s">
        <v>26</v>
      </c>
      <c r="AO539" s="25" t="s">
        <v>28</v>
      </c>
      <c r="AP539" s="23" t="s">
        <v>279</v>
      </c>
      <c r="AQ539" s="23" t="s">
        <v>30</v>
      </c>
      <c r="AR539" s="23" t="s">
        <v>46</v>
      </c>
      <c r="AS539" s="25">
        <v>6131732</v>
      </c>
      <c r="AT539" t="s">
        <v>26</v>
      </c>
      <c r="AU539" t="s">
        <v>22944</v>
      </c>
    </row>
    <row r="540" spans="1:47" ht="26.25" x14ac:dyDescent="0.4">
      <c r="A540" s="23" t="s">
        <v>22945</v>
      </c>
      <c r="B540" t="s">
        <v>26</v>
      </c>
      <c r="C540" s="23" t="s">
        <v>332</v>
      </c>
      <c r="D540" s="23" t="s">
        <v>22256</v>
      </c>
      <c r="E540" s="23" t="s">
        <v>42</v>
      </c>
      <c r="F540" t="s">
        <v>26</v>
      </c>
      <c r="G540" t="s">
        <v>26</v>
      </c>
      <c r="H540" t="s">
        <v>26</v>
      </c>
      <c r="I540" s="24">
        <v>35065</v>
      </c>
      <c r="J540" s="24">
        <v>35065</v>
      </c>
      <c r="K540" t="s">
        <v>26</v>
      </c>
      <c r="L540" s="25" t="s">
        <v>28</v>
      </c>
      <c r="M540" s="24">
        <v>35065</v>
      </c>
      <c r="N540" s="24">
        <v>35065</v>
      </c>
      <c r="O540" t="s">
        <v>26</v>
      </c>
      <c r="P540" t="s">
        <v>26</v>
      </c>
      <c r="Q540" t="s">
        <v>26</v>
      </c>
      <c r="R540" t="s">
        <v>26</v>
      </c>
      <c r="S540" t="s">
        <v>26</v>
      </c>
      <c r="T540" t="s">
        <v>26</v>
      </c>
      <c r="U540" t="s">
        <v>26</v>
      </c>
      <c r="V540" t="s">
        <v>26</v>
      </c>
      <c r="W540" s="24">
        <v>35065</v>
      </c>
      <c r="X540" s="24">
        <v>35065</v>
      </c>
      <c r="Y540" t="s">
        <v>26</v>
      </c>
      <c r="Z540" s="24">
        <v>35065</v>
      </c>
      <c r="AA540" s="24">
        <v>35065</v>
      </c>
      <c r="AB540" t="s">
        <v>26</v>
      </c>
      <c r="AC540" s="24">
        <v>35065</v>
      </c>
      <c r="AD540" s="24">
        <v>35065</v>
      </c>
      <c r="AE540" t="s">
        <v>26</v>
      </c>
      <c r="AF540" t="s">
        <v>26</v>
      </c>
      <c r="AG540" t="s">
        <v>26</v>
      </c>
      <c r="AH540" t="s">
        <v>26</v>
      </c>
      <c r="AI540" t="s">
        <v>26</v>
      </c>
      <c r="AJ540" t="s">
        <v>26</v>
      </c>
      <c r="AK540" t="s">
        <v>26</v>
      </c>
      <c r="AL540" t="s">
        <v>26</v>
      </c>
      <c r="AM540" t="s">
        <v>26</v>
      </c>
      <c r="AN540" t="s">
        <v>26</v>
      </c>
      <c r="AO540" s="25" t="s">
        <v>28</v>
      </c>
      <c r="AP540" s="23" t="s">
        <v>279</v>
      </c>
      <c r="AQ540" s="23" t="s">
        <v>30</v>
      </c>
      <c r="AR540" s="23" t="s">
        <v>46</v>
      </c>
      <c r="AS540" s="25">
        <v>6131728</v>
      </c>
      <c r="AT540" t="s">
        <v>26</v>
      </c>
      <c r="AU540" t="s">
        <v>22946</v>
      </c>
    </row>
    <row r="541" spans="1:47" ht="26.25" x14ac:dyDescent="0.4">
      <c r="A541" s="23" t="s">
        <v>22947</v>
      </c>
      <c r="B541" t="s">
        <v>26</v>
      </c>
      <c r="C541" s="23" t="s">
        <v>332</v>
      </c>
      <c r="D541" s="23" t="s">
        <v>22256</v>
      </c>
      <c r="E541" s="23" t="s">
        <v>42</v>
      </c>
      <c r="F541" t="s">
        <v>26</v>
      </c>
      <c r="G541" t="s">
        <v>26</v>
      </c>
      <c r="H541" t="s">
        <v>26</v>
      </c>
      <c r="I541" s="24">
        <v>35431</v>
      </c>
      <c r="J541" s="24">
        <v>35431</v>
      </c>
      <c r="K541" t="s">
        <v>26</v>
      </c>
      <c r="L541" s="25" t="s">
        <v>28</v>
      </c>
      <c r="M541" s="24">
        <v>35431</v>
      </c>
      <c r="N541" s="24">
        <v>35431</v>
      </c>
      <c r="O541" t="s">
        <v>26</v>
      </c>
      <c r="P541" t="s">
        <v>26</v>
      </c>
      <c r="Q541" t="s">
        <v>26</v>
      </c>
      <c r="R541" t="s">
        <v>26</v>
      </c>
      <c r="S541" t="s">
        <v>26</v>
      </c>
      <c r="T541" t="s">
        <v>26</v>
      </c>
      <c r="U541" t="s">
        <v>26</v>
      </c>
      <c r="V541" t="s">
        <v>26</v>
      </c>
      <c r="W541" s="24">
        <v>35431</v>
      </c>
      <c r="X541" s="24">
        <v>35431</v>
      </c>
      <c r="Y541" t="s">
        <v>26</v>
      </c>
      <c r="Z541" s="24">
        <v>35431</v>
      </c>
      <c r="AA541" s="24">
        <v>35431</v>
      </c>
      <c r="AB541" t="s">
        <v>26</v>
      </c>
      <c r="AC541" s="24">
        <v>35431</v>
      </c>
      <c r="AD541" s="24">
        <v>35431</v>
      </c>
      <c r="AE541" t="s">
        <v>26</v>
      </c>
      <c r="AF541" t="s">
        <v>26</v>
      </c>
      <c r="AG541" t="s">
        <v>26</v>
      </c>
      <c r="AH541" t="s">
        <v>26</v>
      </c>
      <c r="AI541" t="s">
        <v>26</v>
      </c>
      <c r="AJ541" t="s">
        <v>26</v>
      </c>
      <c r="AK541" t="s">
        <v>26</v>
      </c>
      <c r="AL541" t="s">
        <v>26</v>
      </c>
      <c r="AM541" t="s">
        <v>26</v>
      </c>
      <c r="AN541" t="s">
        <v>26</v>
      </c>
      <c r="AO541" s="25" t="s">
        <v>28</v>
      </c>
      <c r="AP541" s="23" t="s">
        <v>279</v>
      </c>
      <c r="AQ541" s="23" t="s">
        <v>30</v>
      </c>
      <c r="AR541" s="23" t="s">
        <v>46</v>
      </c>
      <c r="AS541" s="25">
        <v>6131722</v>
      </c>
      <c r="AT541" t="s">
        <v>26</v>
      </c>
      <c r="AU541" t="s">
        <v>22948</v>
      </c>
    </row>
    <row r="542" spans="1:47" ht="26.25" x14ac:dyDescent="0.4">
      <c r="A542" s="23" t="s">
        <v>22949</v>
      </c>
      <c r="B542" t="s">
        <v>26</v>
      </c>
      <c r="C542" s="23" t="s">
        <v>332</v>
      </c>
      <c r="D542" s="23" t="s">
        <v>22256</v>
      </c>
      <c r="E542" s="23" t="s">
        <v>42</v>
      </c>
      <c r="F542" t="s">
        <v>26</v>
      </c>
      <c r="G542" t="s">
        <v>26</v>
      </c>
      <c r="H542" t="s">
        <v>26</v>
      </c>
      <c r="I542" s="25" t="s">
        <v>295</v>
      </c>
      <c r="J542" s="25" t="s">
        <v>295</v>
      </c>
      <c r="K542" t="s">
        <v>26</v>
      </c>
      <c r="L542" s="25" t="s">
        <v>28</v>
      </c>
      <c r="M542" s="25" t="s">
        <v>295</v>
      </c>
      <c r="N542" s="25" t="s">
        <v>295</v>
      </c>
      <c r="O542" t="s">
        <v>26</v>
      </c>
      <c r="P542" t="s">
        <v>26</v>
      </c>
      <c r="Q542" t="s">
        <v>26</v>
      </c>
      <c r="R542" t="s">
        <v>26</v>
      </c>
      <c r="S542" t="s">
        <v>26</v>
      </c>
      <c r="T542" t="s">
        <v>26</v>
      </c>
      <c r="U542" t="s">
        <v>26</v>
      </c>
      <c r="V542" t="s">
        <v>26</v>
      </c>
      <c r="W542" s="25" t="s">
        <v>295</v>
      </c>
      <c r="X542" s="25" t="s">
        <v>295</v>
      </c>
      <c r="Y542" t="s">
        <v>26</v>
      </c>
      <c r="Z542" s="25" t="s">
        <v>295</v>
      </c>
      <c r="AA542" s="25" t="s">
        <v>295</v>
      </c>
      <c r="AB542" t="s">
        <v>26</v>
      </c>
      <c r="AC542" s="25" t="s">
        <v>295</v>
      </c>
      <c r="AD542" s="25" t="s">
        <v>295</v>
      </c>
      <c r="AE542" t="s">
        <v>26</v>
      </c>
      <c r="AF542" t="s">
        <v>26</v>
      </c>
      <c r="AG542" t="s">
        <v>26</v>
      </c>
      <c r="AH542" t="s">
        <v>26</v>
      </c>
      <c r="AI542" t="s">
        <v>26</v>
      </c>
      <c r="AJ542" t="s">
        <v>26</v>
      </c>
      <c r="AK542" t="s">
        <v>26</v>
      </c>
      <c r="AL542" t="s">
        <v>26</v>
      </c>
      <c r="AM542" t="s">
        <v>26</v>
      </c>
      <c r="AN542" t="s">
        <v>26</v>
      </c>
      <c r="AO542" s="25" t="s">
        <v>28</v>
      </c>
      <c r="AP542" s="23" t="s">
        <v>279</v>
      </c>
      <c r="AQ542" s="23" t="s">
        <v>30</v>
      </c>
      <c r="AR542" s="23" t="s">
        <v>46</v>
      </c>
      <c r="AS542" s="25">
        <v>6131716</v>
      </c>
      <c r="AT542" t="s">
        <v>26</v>
      </c>
      <c r="AU542" t="s">
        <v>22950</v>
      </c>
    </row>
    <row r="543" spans="1:47" ht="39.4" x14ac:dyDescent="0.4">
      <c r="A543" s="23" t="s">
        <v>22951</v>
      </c>
      <c r="B543" t="s">
        <v>26</v>
      </c>
      <c r="C543" s="23" t="s">
        <v>332</v>
      </c>
      <c r="D543" s="23" t="s">
        <v>22256</v>
      </c>
      <c r="E543" s="23" t="s">
        <v>42</v>
      </c>
      <c r="F543" t="s">
        <v>26</v>
      </c>
      <c r="G543" t="s">
        <v>26</v>
      </c>
      <c r="H543" t="s">
        <v>26</v>
      </c>
      <c r="I543" s="24">
        <v>35796</v>
      </c>
      <c r="J543" s="24">
        <v>35796</v>
      </c>
      <c r="K543" t="s">
        <v>26</v>
      </c>
      <c r="L543" s="25" t="s">
        <v>28</v>
      </c>
      <c r="M543" s="24">
        <v>35796</v>
      </c>
      <c r="N543" s="24">
        <v>35796</v>
      </c>
      <c r="O543" t="s">
        <v>26</v>
      </c>
      <c r="P543" t="s">
        <v>26</v>
      </c>
      <c r="Q543" t="s">
        <v>26</v>
      </c>
      <c r="R543" t="s">
        <v>26</v>
      </c>
      <c r="S543" t="s">
        <v>26</v>
      </c>
      <c r="T543" t="s">
        <v>26</v>
      </c>
      <c r="U543" t="s">
        <v>26</v>
      </c>
      <c r="V543" t="s">
        <v>26</v>
      </c>
      <c r="W543" s="24">
        <v>35796</v>
      </c>
      <c r="X543" s="24">
        <v>35796</v>
      </c>
      <c r="Y543" t="s">
        <v>26</v>
      </c>
      <c r="Z543" s="24">
        <v>35796</v>
      </c>
      <c r="AA543" s="24">
        <v>35796</v>
      </c>
      <c r="AB543" t="s">
        <v>26</v>
      </c>
      <c r="AC543" s="24">
        <v>35796</v>
      </c>
      <c r="AD543" s="24">
        <v>35796</v>
      </c>
      <c r="AE543" t="s">
        <v>26</v>
      </c>
      <c r="AF543" t="s">
        <v>26</v>
      </c>
      <c r="AG543" t="s">
        <v>26</v>
      </c>
      <c r="AH543" t="s">
        <v>26</v>
      </c>
      <c r="AI543" t="s">
        <v>26</v>
      </c>
      <c r="AJ543" t="s">
        <v>26</v>
      </c>
      <c r="AK543" t="s">
        <v>26</v>
      </c>
      <c r="AL543" t="s">
        <v>26</v>
      </c>
      <c r="AM543" t="s">
        <v>26</v>
      </c>
      <c r="AN543" t="s">
        <v>26</v>
      </c>
      <c r="AO543" s="25" t="s">
        <v>28</v>
      </c>
      <c r="AP543" s="23" t="s">
        <v>279</v>
      </c>
      <c r="AQ543" s="23" t="s">
        <v>30</v>
      </c>
      <c r="AR543" s="23" t="s">
        <v>46</v>
      </c>
      <c r="AS543" s="25">
        <v>6131712</v>
      </c>
      <c r="AT543" t="s">
        <v>26</v>
      </c>
      <c r="AU543" t="s">
        <v>22952</v>
      </c>
    </row>
    <row r="544" spans="1:47" ht="26.25" x14ac:dyDescent="0.4">
      <c r="A544" s="23" t="s">
        <v>22953</v>
      </c>
      <c r="B544" t="s">
        <v>26</v>
      </c>
      <c r="C544" s="23" t="s">
        <v>332</v>
      </c>
      <c r="D544" s="23" t="s">
        <v>22256</v>
      </c>
      <c r="E544" s="23" t="s">
        <v>42</v>
      </c>
      <c r="F544" t="s">
        <v>26</v>
      </c>
      <c r="G544" t="s">
        <v>26</v>
      </c>
      <c r="H544" t="s">
        <v>26</v>
      </c>
      <c r="I544" s="24">
        <v>34335</v>
      </c>
      <c r="J544" s="24">
        <v>34335</v>
      </c>
      <c r="K544" t="s">
        <v>26</v>
      </c>
      <c r="L544" s="25" t="s">
        <v>28</v>
      </c>
      <c r="M544" s="24">
        <v>34335</v>
      </c>
      <c r="N544" s="24">
        <v>34335</v>
      </c>
      <c r="O544" t="s">
        <v>26</v>
      </c>
      <c r="P544" t="s">
        <v>26</v>
      </c>
      <c r="Q544" t="s">
        <v>26</v>
      </c>
      <c r="R544" t="s">
        <v>26</v>
      </c>
      <c r="S544" t="s">
        <v>26</v>
      </c>
      <c r="T544" t="s">
        <v>26</v>
      </c>
      <c r="U544" t="s">
        <v>26</v>
      </c>
      <c r="V544" t="s">
        <v>26</v>
      </c>
      <c r="W544" s="24">
        <v>34335</v>
      </c>
      <c r="X544" s="24">
        <v>34335</v>
      </c>
      <c r="Y544" t="s">
        <v>26</v>
      </c>
      <c r="Z544" s="24">
        <v>34335</v>
      </c>
      <c r="AA544" s="24">
        <v>34335</v>
      </c>
      <c r="AB544" t="s">
        <v>26</v>
      </c>
      <c r="AC544" s="24">
        <v>34335</v>
      </c>
      <c r="AD544" s="24">
        <v>34335</v>
      </c>
      <c r="AE544" t="s">
        <v>26</v>
      </c>
      <c r="AF544" t="s">
        <v>26</v>
      </c>
      <c r="AG544" t="s">
        <v>26</v>
      </c>
      <c r="AH544" t="s">
        <v>26</v>
      </c>
      <c r="AI544" t="s">
        <v>26</v>
      </c>
      <c r="AJ544" t="s">
        <v>26</v>
      </c>
      <c r="AK544" t="s">
        <v>26</v>
      </c>
      <c r="AL544" t="s">
        <v>26</v>
      </c>
      <c r="AM544" t="s">
        <v>26</v>
      </c>
      <c r="AN544" t="s">
        <v>26</v>
      </c>
      <c r="AO544" s="25" t="s">
        <v>28</v>
      </c>
      <c r="AP544" s="23" t="s">
        <v>279</v>
      </c>
      <c r="AQ544" s="23" t="s">
        <v>30</v>
      </c>
      <c r="AR544" s="23" t="s">
        <v>46</v>
      </c>
      <c r="AS544" s="25">
        <v>6131706</v>
      </c>
      <c r="AT544" t="s">
        <v>26</v>
      </c>
      <c r="AU544" t="s">
        <v>22954</v>
      </c>
    </row>
    <row r="545" spans="1:47" ht="26.25" x14ac:dyDescent="0.4">
      <c r="A545" s="23" t="s">
        <v>22955</v>
      </c>
      <c r="B545" t="s">
        <v>26</v>
      </c>
      <c r="C545" s="23" t="s">
        <v>332</v>
      </c>
      <c r="D545" s="23" t="s">
        <v>22256</v>
      </c>
      <c r="E545" s="23" t="s">
        <v>42</v>
      </c>
      <c r="F545" t="s">
        <v>26</v>
      </c>
      <c r="G545" t="s">
        <v>26</v>
      </c>
      <c r="H545" t="s">
        <v>26</v>
      </c>
      <c r="I545" s="24">
        <v>38718</v>
      </c>
      <c r="J545" s="24">
        <v>38718</v>
      </c>
      <c r="K545" t="s">
        <v>26</v>
      </c>
      <c r="L545" s="25" t="s">
        <v>28</v>
      </c>
      <c r="M545" s="24">
        <v>38718</v>
      </c>
      <c r="N545" s="24">
        <v>38718</v>
      </c>
      <c r="O545" t="s">
        <v>26</v>
      </c>
      <c r="P545" t="s">
        <v>26</v>
      </c>
      <c r="Q545" t="s">
        <v>26</v>
      </c>
      <c r="R545" t="s">
        <v>26</v>
      </c>
      <c r="S545" t="s">
        <v>26</v>
      </c>
      <c r="T545" t="s">
        <v>26</v>
      </c>
      <c r="U545" t="s">
        <v>26</v>
      </c>
      <c r="V545" t="s">
        <v>26</v>
      </c>
      <c r="W545" s="24">
        <v>38718</v>
      </c>
      <c r="X545" s="24">
        <v>38718</v>
      </c>
      <c r="Y545" t="s">
        <v>26</v>
      </c>
      <c r="Z545" s="24">
        <v>38718</v>
      </c>
      <c r="AA545" s="24">
        <v>38718</v>
      </c>
      <c r="AB545" t="s">
        <v>26</v>
      </c>
      <c r="AC545" s="24">
        <v>38718</v>
      </c>
      <c r="AD545" s="24">
        <v>38718</v>
      </c>
      <c r="AE545" t="s">
        <v>26</v>
      </c>
      <c r="AF545" t="s">
        <v>26</v>
      </c>
      <c r="AG545" t="s">
        <v>26</v>
      </c>
      <c r="AH545" t="s">
        <v>26</v>
      </c>
      <c r="AI545" t="s">
        <v>26</v>
      </c>
      <c r="AJ545" t="s">
        <v>26</v>
      </c>
      <c r="AK545" t="s">
        <v>26</v>
      </c>
      <c r="AL545" t="s">
        <v>26</v>
      </c>
      <c r="AM545" t="s">
        <v>26</v>
      </c>
      <c r="AN545" t="s">
        <v>26</v>
      </c>
      <c r="AO545" s="25" t="s">
        <v>28</v>
      </c>
      <c r="AP545" s="23" t="s">
        <v>279</v>
      </c>
      <c r="AQ545" s="23" t="s">
        <v>30</v>
      </c>
      <c r="AR545" s="23" t="s">
        <v>46</v>
      </c>
      <c r="AS545" s="25">
        <v>6131701</v>
      </c>
      <c r="AT545" t="s">
        <v>26</v>
      </c>
      <c r="AU545" t="s">
        <v>22956</v>
      </c>
    </row>
    <row r="546" spans="1:47" ht="26.25" x14ac:dyDescent="0.4">
      <c r="A546" s="23" t="s">
        <v>22957</v>
      </c>
      <c r="B546" t="s">
        <v>26</v>
      </c>
      <c r="C546" s="23" t="s">
        <v>332</v>
      </c>
      <c r="D546" s="23" t="s">
        <v>22256</v>
      </c>
      <c r="E546" s="23" t="s">
        <v>42</v>
      </c>
      <c r="F546" t="s">
        <v>26</v>
      </c>
      <c r="G546" t="s">
        <v>26</v>
      </c>
      <c r="H546" t="s">
        <v>26</v>
      </c>
      <c r="I546" s="24">
        <v>36892</v>
      </c>
      <c r="J546" s="24">
        <v>36892</v>
      </c>
      <c r="K546" t="s">
        <v>26</v>
      </c>
      <c r="L546" s="25" t="s">
        <v>28</v>
      </c>
      <c r="M546" s="24">
        <v>36892</v>
      </c>
      <c r="N546" s="24">
        <v>36892</v>
      </c>
      <c r="O546" t="s">
        <v>26</v>
      </c>
      <c r="P546" t="s">
        <v>26</v>
      </c>
      <c r="Q546" t="s">
        <v>26</v>
      </c>
      <c r="R546" t="s">
        <v>26</v>
      </c>
      <c r="S546" t="s">
        <v>26</v>
      </c>
      <c r="T546" t="s">
        <v>26</v>
      </c>
      <c r="U546" t="s">
        <v>26</v>
      </c>
      <c r="V546" t="s">
        <v>26</v>
      </c>
      <c r="W546" s="24">
        <v>36892</v>
      </c>
      <c r="X546" s="24">
        <v>36892</v>
      </c>
      <c r="Y546" t="s">
        <v>26</v>
      </c>
      <c r="Z546" s="24">
        <v>36892</v>
      </c>
      <c r="AA546" s="24">
        <v>36892</v>
      </c>
      <c r="AB546" t="s">
        <v>26</v>
      </c>
      <c r="AC546" s="24">
        <v>36892</v>
      </c>
      <c r="AD546" s="24">
        <v>36892</v>
      </c>
      <c r="AE546" t="s">
        <v>26</v>
      </c>
      <c r="AF546" t="s">
        <v>26</v>
      </c>
      <c r="AG546" t="s">
        <v>26</v>
      </c>
      <c r="AH546" t="s">
        <v>26</v>
      </c>
      <c r="AI546" t="s">
        <v>26</v>
      </c>
      <c r="AJ546" t="s">
        <v>26</v>
      </c>
      <c r="AK546" t="s">
        <v>26</v>
      </c>
      <c r="AL546" t="s">
        <v>26</v>
      </c>
      <c r="AM546" t="s">
        <v>26</v>
      </c>
      <c r="AN546" t="s">
        <v>26</v>
      </c>
      <c r="AO546" s="25" t="s">
        <v>28</v>
      </c>
      <c r="AP546" s="23" t="s">
        <v>279</v>
      </c>
      <c r="AQ546" s="23" t="s">
        <v>30</v>
      </c>
      <c r="AR546" s="23" t="s">
        <v>46</v>
      </c>
      <c r="AS546" s="25">
        <v>6275784</v>
      </c>
      <c r="AT546" t="s">
        <v>26</v>
      </c>
      <c r="AU546" t="s">
        <v>22958</v>
      </c>
    </row>
    <row r="547" spans="1:47" ht="39.4" x14ac:dyDescent="0.4">
      <c r="A547" s="23" t="s">
        <v>22959</v>
      </c>
      <c r="B547" t="s">
        <v>26</v>
      </c>
      <c r="C547" s="23" t="s">
        <v>332</v>
      </c>
      <c r="D547" s="23" t="s">
        <v>22256</v>
      </c>
      <c r="E547" s="23" t="s">
        <v>42</v>
      </c>
      <c r="F547" t="s">
        <v>26</v>
      </c>
      <c r="G547" t="s">
        <v>26</v>
      </c>
      <c r="H547" t="s">
        <v>26</v>
      </c>
      <c r="I547" s="24">
        <v>35796</v>
      </c>
      <c r="J547" s="24">
        <v>35796</v>
      </c>
      <c r="K547" t="s">
        <v>26</v>
      </c>
      <c r="L547" s="25" t="s">
        <v>28</v>
      </c>
      <c r="M547" s="24">
        <v>35796</v>
      </c>
      <c r="N547" s="24">
        <v>35796</v>
      </c>
      <c r="O547" t="s">
        <v>26</v>
      </c>
      <c r="P547" t="s">
        <v>26</v>
      </c>
      <c r="Q547" t="s">
        <v>26</v>
      </c>
      <c r="R547" t="s">
        <v>26</v>
      </c>
      <c r="S547" t="s">
        <v>26</v>
      </c>
      <c r="T547" t="s">
        <v>26</v>
      </c>
      <c r="U547" t="s">
        <v>26</v>
      </c>
      <c r="V547" t="s">
        <v>26</v>
      </c>
      <c r="W547" s="24">
        <v>35796</v>
      </c>
      <c r="X547" s="24">
        <v>35796</v>
      </c>
      <c r="Y547" t="s">
        <v>26</v>
      </c>
      <c r="Z547" s="24">
        <v>35796</v>
      </c>
      <c r="AA547" s="24">
        <v>35796</v>
      </c>
      <c r="AB547" t="s">
        <v>26</v>
      </c>
      <c r="AC547" s="24">
        <v>35796</v>
      </c>
      <c r="AD547" s="24">
        <v>35796</v>
      </c>
      <c r="AE547" t="s">
        <v>26</v>
      </c>
      <c r="AF547" t="s">
        <v>26</v>
      </c>
      <c r="AG547" t="s">
        <v>26</v>
      </c>
      <c r="AH547" t="s">
        <v>26</v>
      </c>
      <c r="AI547" t="s">
        <v>26</v>
      </c>
      <c r="AJ547" t="s">
        <v>26</v>
      </c>
      <c r="AK547" t="s">
        <v>26</v>
      </c>
      <c r="AL547" t="s">
        <v>26</v>
      </c>
      <c r="AM547" t="s">
        <v>26</v>
      </c>
      <c r="AN547" t="s">
        <v>26</v>
      </c>
      <c r="AO547" s="25" t="s">
        <v>28</v>
      </c>
      <c r="AP547" s="23" t="s">
        <v>279</v>
      </c>
      <c r="AQ547" s="23" t="s">
        <v>30</v>
      </c>
      <c r="AR547" s="23" t="s">
        <v>46</v>
      </c>
      <c r="AS547" s="25">
        <v>6275783</v>
      </c>
      <c r="AT547" t="s">
        <v>26</v>
      </c>
      <c r="AU547" t="s">
        <v>22960</v>
      </c>
    </row>
    <row r="548" spans="1:47" ht="26.25" x14ac:dyDescent="0.4">
      <c r="A548" s="23" t="s">
        <v>22961</v>
      </c>
      <c r="B548" t="s">
        <v>26</v>
      </c>
      <c r="C548" s="23" t="s">
        <v>332</v>
      </c>
      <c r="D548" s="23" t="s">
        <v>22256</v>
      </c>
      <c r="E548" s="23" t="s">
        <v>42</v>
      </c>
      <c r="F548" t="s">
        <v>26</v>
      </c>
      <c r="G548" t="s">
        <v>26</v>
      </c>
      <c r="H548" t="s">
        <v>26</v>
      </c>
      <c r="I548" s="24">
        <v>34700</v>
      </c>
      <c r="J548" s="24">
        <v>34700</v>
      </c>
      <c r="K548" t="s">
        <v>26</v>
      </c>
      <c r="L548" s="25" t="s">
        <v>28</v>
      </c>
      <c r="M548" s="24">
        <v>34700</v>
      </c>
      <c r="N548" s="24">
        <v>34700</v>
      </c>
      <c r="O548" t="s">
        <v>26</v>
      </c>
      <c r="P548" t="s">
        <v>26</v>
      </c>
      <c r="Q548" t="s">
        <v>26</v>
      </c>
      <c r="R548" t="s">
        <v>26</v>
      </c>
      <c r="S548" t="s">
        <v>26</v>
      </c>
      <c r="T548" t="s">
        <v>26</v>
      </c>
      <c r="U548" t="s">
        <v>26</v>
      </c>
      <c r="V548" t="s">
        <v>26</v>
      </c>
      <c r="W548" s="24">
        <v>34700</v>
      </c>
      <c r="X548" s="24">
        <v>34700</v>
      </c>
      <c r="Y548" t="s">
        <v>26</v>
      </c>
      <c r="Z548" s="24">
        <v>34700</v>
      </c>
      <c r="AA548" s="24">
        <v>34700</v>
      </c>
      <c r="AB548" t="s">
        <v>26</v>
      </c>
      <c r="AC548" s="24">
        <v>34700</v>
      </c>
      <c r="AD548" s="24">
        <v>34700</v>
      </c>
      <c r="AE548" t="s">
        <v>26</v>
      </c>
      <c r="AF548" t="s">
        <v>26</v>
      </c>
      <c r="AG548" t="s">
        <v>26</v>
      </c>
      <c r="AH548" t="s">
        <v>26</v>
      </c>
      <c r="AI548" t="s">
        <v>26</v>
      </c>
      <c r="AJ548" t="s">
        <v>26</v>
      </c>
      <c r="AK548" t="s">
        <v>26</v>
      </c>
      <c r="AL548" t="s">
        <v>26</v>
      </c>
      <c r="AM548" t="s">
        <v>26</v>
      </c>
      <c r="AN548" t="s">
        <v>26</v>
      </c>
      <c r="AO548" s="25" t="s">
        <v>28</v>
      </c>
      <c r="AP548" s="23" t="s">
        <v>279</v>
      </c>
      <c r="AQ548" s="23" t="s">
        <v>30</v>
      </c>
      <c r="AR548" s="23" t="s">
        <v>46</v>
      </c>
      <c r="AS548" s="25">
        <v>6275782</v>
      </c>
      <c r="AT548" t="s">
        <v>26</v>
      </c>
      <c r="AU548" t="s">
        <v>22962</v>
      </c>
    </row>
    <row r="549" spans="1:47" ht="26.25" x14ac:dyDescent="0.4">
      <c r="A549" s="23" t="s">
        <v>22963</v>
      </c>
      <c r="B549" t="s">
        <v>26</v>
      </c>
      <c r="C549" s="23" t="s">
        <v>332</v>
      </c>
      <c r="D549" s="23" t="s">
        <v>22256</v>
      </c>
      <c r="E549" s="23" t="s">
        <v>42</v>
      </c>
      <c r="F549" t="s">
        <v>26</v>
      </c>
      <c r="G549" t="s">
        <v>26</v>
      </c>
      <c r="H549" t="s">
        <v>26</v>
      </c>
      <c r="I549" s="24">
        <v>33239</v>
      </c>
      <c r="J549" s="24">
        <v>33239</v>
      </c>
      <c r="K549" t="s">
        <v>26</v>
      </c>
      <c r="L549" s="25" t="s">
        <v>28</v>
      </c>
      <c r="M549" s="24">
        <v>33239</v>
      </c>
      <c r="N549" s="24">
        <v>33239</v>
      </c>
      <c r="O549" t="s">
        <v>26</v>
      </c>
      <c r="P549" t="s">
        <v>26</v>
      </c>
      <c r="Q549" t="s">
        <v>26</v>
      </c>
      <c r="R549" t="s">
        <v>26</v>
      </c>
      <c r="S549" t="s">
        <v>26</v>
      </c>
      <c r="T549" t="s">
        <v>26</v>
      </c>
      <c r="U549" t="s">
        <v>26</v>
      </c>
      <c r="V549" t="s">
        <v>26</v>
      </c>
      <c r="W549" s="24">
        <v>33239</v>
      </c>
      <c r="X549" s="24">
        <v>33239</v>
      </c>
      <c r="Y549" t="s">
        <v>26</v>
      </c>
      <c r="Z549" s="24">
        <v>33239</v>
      </c>
      <c r="AA549" s="24">
        <v>33239</v>
      </c>
      <c r="AB549" t="s">
        <v>26</v>
      </c>
      <c r="AC549" s="24">
        <v>33239</v>
      </c>
      <c r="AD549" s="24">
        <v>33239</v>
      </c>
      <c r="AE549" t="s">
        <v>26</v>
      </c>
      <c r="AF549" t="s">
        <v>26</v>
      </c>
      <c r="AG549" t="s">
        <v>26</v>
      </c>
      <c r="AH549" t="s">
        <v>26</v>
      </c>
      <c r="AI549" t="s">
        <v>26</v>
      </c>
      <c r="AJ549" t="s">
        <v>26</v>
      </c>
      <c r="AK549" t="s">
        <v>26</v>
      </c>
      <c r="AL549" t="s">
        <v>26</v>
      </c>
      <c r="AM549" t="s">
        <v>26</v>
      </c>
      <c r="AN549" t="s">
        <v>26</v>
      </c>
      <c r="AO549" s="25" t="s">
        <v>28</v>
      </c>
      <c r="AP549" s="23" t="s">
        <v>279</v>
      </c>
      <c r="AQ549" s="23" t="s">
        <v>30</v>
      </c>
      <c r="AR549" s="23" t="s">
        <v>46</v>
      </c>
      <c r="AS549" s="25">
        <v>6275781</v>
      </c>
      <c r="AT549" t="s">
        <v>26</v>
      </c>
      <c r="AU549" t="s">
        <v>22964</v>
      </c>
    </row>
    <row r="550" spans="1:47" ht="52.5" x14ac:dyDescent="0.4">
      <c r="A550" s="23" t="s">
        <v>22965</v>
      </c>
      <c r="B550" t="s">
        <v>26</v>
      </c>
      <c r="C550" s="23" t="s">
        <v>332</v>
      </c>
      <c r="D550" s="23" t="s">
        <v>22256</v>
      </c>
      <c r="E550" s="23" t="s">
        <v>42</v>
      </c>
      <c r="F550" t="s">
        <v>26</v>
      </c>
      <c r="G550" t="s">
        <v>26</v>
      </c>
      <c r="H550" t="s">
        <v>26</v>
      </c>
      <c r="I550" s="24">
        <v>38718</v>
      </c>
      <c r="J550" s="24">
        <v>38718</v>
      </c>
      <c r="K550" t="s">
        <v>26</v>
      </c>
      <c r="L550" s="25" t="s">
        <v>28</v>
      </c>
      <c r="M550" s="24">
        <v>38718</v>
      </c>
      <c r="N550" s="24">
        <v>38718</v>
      </c>
      <c r="O550" t="s">
        <v>26</v>
      </c>
      <c r="P550" t="s">
        <v>26</v>
      </c>
      <c r="Q550" t="s">
        <v>26</v>
      </c>
      <c r="R550" t="s">
        <v>26</v>
      </c>
      <c r="S550" t="s">
        <v>26</v>
      </c>
      <c r="T550" t="s">
        <v>26</v>
      </c>
      <c r="U550" t="s">
        <v>26</v>
      </c>
      <c r="V550" t="s">
        <v>26</v>
      </c>
      <c r="W550" s="24">
        <v>38718</v>
      </c>
      <c r="X550" s="24">
        <v>38718</v>
      </c>
      <c r="Y550" t="s">
        <v>26</v>
      </c>
      <c r="Z550" s="24">
        <v>38718</v>
      </c>
      <c r="AA550" s="24">
        <v>38718</v>
      </c>
      <c r="AB550" t="s">
        <v>26</v>
      </c>
      <c r="AC550" s="24">
        <v>38718</v>
      </c>
      <c r="AD550" s="24">
        <v>38718</v>
      </c>
      <c r="AE550" t="s">
        <v>26</v>
      </c>
      <c r="AF550" t="s">
        <v>26</v>
      </c>
      <c r="AG550" t="s">
        <v>26</v>
      </c>
      <c r="AH550" t="s">
        <v>26</v>
      </c>
      <c r="AI550" t="s">
        <v>26</v>
      </c>
      <c r="AJ550" t="s">
        <v>26</v>
      </c>
      <c r="AK550" t="s">
        <v>26</v>
      </c>
      <c r="AL550" t="s">
        <v>26</v>
      </c>
      <c r="AM550" t="s">
        <v>26</v>
      </c>
      <c r="AN550" t="s">
        <v>26</v>
      </c>
      <c r="AO550" s="25" t="s">
        <v>28</v>
      </c>
      <c r="AP550" s="23" t="s">
        <v>279</v>
      </c>
      <c r="AQ550" s="23" t="s">
        <v>30</v>
      </c>
      <c r="AR550" s="23" t="s">
        <v>46</v>
      </c>
      <c r="AS550" s="25">
        <v>6275780</v>
      </c>
      <c r="AT550" t="s">
        <v>26</v>
      </c>
      <c r="AU550" t="s">
        <v>22966</v>
      </c>
    </row>
    <row r="551" spans="1:47" ht="52.5" x14ac:dyDescent="0.4">
      <c r="A551" s="23" t="s">
        <v>22967</v>
      </c>
      <c r="B551" t="s">
        <v>26</v>
      </c>
      <c r="C551" s="23" t="s">
        <v>332</v>
      </c>
      <c r="D551" s="23" t="s">
        <v>22545</v>
      </c>
      <c r="E551" s="23" t="s">
        <v>42</v>
      </c>
      <c r="F551" t="s">
        <v>26</v>
      </c>
      <c r="G551" t="s">
        <v>26</v>
      </c>
      <c r="H551" t="s">
        <v>26</v>
      </c>
      <c r="I551" s="24">
        <v>38718</v>
      </c>
      <c r="J551" s="24">
        <v>38718</v>
      </c>
      <c r="K551" t="s">
        <v>26</v>
      </c>
      <c r="L551" s="25" t="s">
        <v>28</v>
      </c>
      <c r="M551" s="24">
        <v>38718</v>
      </c>
      <c r="N551" s="24">
        <v>38718</v>
      </c>
      <c r="O551" t="s">
        <v>26</v>
      </c>
      <c r="P551" t="s">
        <v>26</v>
      </c>
      <c r="Q551" t="s">
        <v>26</v>
      </c>
      <c r="R551" t="s">
        <v>26</v>
      </c>
      <c r="S551" t="s">
        <v>26</v>
      </c>
      <c r="T551" t="s">
        <v>26</v>
      </c>
      <c r="U551" t="s">
        <v>26</v>
      </c>
      <c r="V551" t="s">
        <v>26</v>
      </c>
      <c r="W551" s="24">
        <v>38718</v>
      </c>
      <c r="X551" s="24">
        <v>38718</v>
      </c>
      <c r="Y551" t="s">
        <v>26</v>
      </c>
      <c r="Z551" s="24">
        <v>38718</v>
      </c>
      <c r="AA551" s="24">
        <v>38718</v>
      </c>
      <c r="AB551" t="s">
        <v>26</v>
      </c>
      <c r="AC551" s="24">
        <v>38718</v>
      </c>
      <c r="AD551" s="24">
        <v>38718</v>
      </c>
      <c r="AE551" t="s">
        <v>26</v>
      </c>
      <c r="AF551" t="s">
        <v>26</v>
      </c>
      <c r="AG551" t="s">
        <v>26</v>
      </c>
      <c r="AH551" t="s">
        <v>26</v>
      </c>
      <c r="AI551" t="s">
        <v>26</v>
      </c>
      <c r="AJ551" t="s">
        <v>26</v>
      </c>
      <c r="AK551" t="s">
        <v>26</v>
      </c>
      <c r="AL551" t="s">
        <v>26</v>
      </c>
      <c r="AM551" t="s">
        <v>26</v>
      </c>
      <c r="AN551" t="s">
        <v>26</v>
      </c>
      <c r="AO551" s="25" t="s">
        <v>28</v>
      </c>
      <c r="AP551" s="23" t="s">
        <v>279</v>
      </c>
      <c r="AQ551" s="23" t="s">
        <v>30</v>
      </c>
      <c r="AR551" s="23" t="s">
        <v>46</v>
      </c>
      <c r="AS551" s="25">
        <v>6009023</v>
      </c>
      <c r="AT551" t="s">
        <v>26</v>
      </c>
      <c r="AU551" t="s">
        <v>22968</v>
      </c>
    </row>
    <row r="552" spans="1:47" ht="26.25" x14ac:dyDescent="0.4">
      <c r="A552" s="23" t="s">
        <v>22969</v>
      </c>
      <c r="B552" t="s">
        <v>26</v>
      </c>
      <c r="C552" s="23" t="s">
        <v>332</v>
      </c>
      <c r="D552" s="23" t="s">
        <v>22256</v>
      </c>
      <c r="E552" s="23" t="s">
        <v>42</v>
      </c>
      <c r="F552" t="s">
        <v>26</v>
      </c>
      <c r="G552" t="s">
        <v>26</v>
      </c>
      <c r="H552" t="s">
        <v>26</v>
      </c>
      <c r="I552" s="24">
        <v>38718</v>
      </c>
      <c r="J552" s="24">
        <v>38718</v>
      </c>
      <c r="K552" t="s">
        <v>26</v>
      </c>
      <c r="L552" s="25" t="s">
        <v>28</v>
      </c>
      <c r="M552" s="24">
        <v>38718</v>
      </c>
      <c r="N552" s="24">
        <v>38718</v>
      </c>
      <c r="O552" t="s">
        <v>26</v>
      </c>
      <c r="P552" t="s">
        <v>26</v>
      </c>
      <c r="Q552" t="s">
        <v>26</v>
      </c>
      <c r="R552" t="s">
        <v>26</v>
      </c>
      <c r="S552" t="s">
        <v>26</v>
      </c>
      <c r="T552" t="s">
        <v>26</v>
      </c>
      <c r="U552" t="s">
        <v>26</v>
      </c>
      <c r="V552" t="s">
        <v>26</v>
      </c>
      <c r="W552" s="24">
        <v>38718</v>
      </c>
      <c r="X552" s="24">
        <v>38718</v>
      </c>
      <c r="Y552" t="s">
        <v>26</v>
      </c>
      <c r="Z552" s="24">
        <v>38718</v>
      </c>
      <c r="AA552" s="24">
        <v>38718</v>
      </c>
      <c r="AB552" t="s">
        <v>26</v>
      </c>
      <c r="AC552" s="24">
        <v>38718</v>
      </c>
      <c r="AD552" s="24">
        <v>38718</v>
      </c>
      <c r="AE552" t="s">
        <v>26</v>
      </c>
      <c r="AF552" t="s">
        <v>26</v>
      </c>
      <c r="AG552" t="s">
        <v>26</v>
      </c>
      <c r="AH552" t="s">
        <v>26</v>
      </c>
      <c r="AI552" t="s">
        <v>26</v>
      </c>
      <c r="AJ552" t="s">
        <v>26</v>
      </c>
      <c r="AK552" t="s">
        <v>26</v>
      </c>
      <c r="AL552" t="s">
        <v>26</v>
      </c>
      <c r="AM552" t="s">
        <v>26</v>
      </c>
      <c r="AN552" t="s">
        <v>26</v>
      </c>
      <c r="AO552" s="25" t="s">
        <v>28</v>
      </c>
      <c r="AP552" s="23" t="s">
        <v>279</v>
      </c>
      <c r="AQ552" s="23" t="s">
        <v>30</v>
      </c>
      <c r="AR552" s="23" t="s">
        <v>46</v>
      </c>
      <c r="AS552" s="25">
        <v>6275779</v>
      </c>
      <c r="AT552" t="s">
        <v>26</v>
      </c>
      <c r="AU552" t="s">
        <v>22970</v>
      </c>
    </row>
    <row r="553" spans="1:47" ht="39.4" x14ac:dyDescent="0.4">
      <c r="A553" s="23" t="s">
        <v>22971</v>
      </c>
      <c r="B553" t="s">
        <v>26</v>
      </c>
      <c r="C553" s="23" t="s">
        <v>332</v>
      </c>
      <c r="D553" s="23" t="s">
        <v>22545</v>
      </c>
      <c r="E553" s="23" t="s">
        <v>42</v>
      </c>
      <c r="F553" t="s">
        <v>26</v>
      </c>
      <c r="G553" t="s">
        <v>26</v>
      </c>
      <c r="H553" t="s">
        <v>26</v>
      </c>
      <c r="I553" s="24">
        <v>39083</v>
      </c>
      <c r="J553" s="24">
        <v>39083</v>
      </c>
      <c r="K553" t="s">
        <v>26</v>
      </c>
      <c r="L553" s="25" t="s">
        <v>28</v>
      </c>
      <c r="M553" s="24">
        <v>39083</v>
      </c>
      <c r="N553" s="24">
        <v>39083</v>
      </c>
      <c r="O553" t="s">
        <v>26</v>
      </c>
      <c r="P553" t="s">
        <v>26</v>
      </c>
      <c r="Q553" t="s">
        <v>26</v>
      </c>
      <c r="R553" t="s">
        <v>26</v>
      </c>
      <c r="S553" t="s">
        <v>26</v>
      </c>
      <c r="T553" t="s">
        <v>26</v>
      </c>
      <c r="U553" t="s">
        <v>26</v>
      </c>
      <c r="V553" t="s">
        <v>26</v>
      </c>
      <c r="W553" s="24">
        <v>39083</v>
      </c>
      <c r="X553" s="24">
        <v>39083</v>
      </c>
      <c r="Y553" t="s">
        <v>26</v>
      </c>
      <c r="Z553" s="24">
        <v>39083</v>
      </c>
      <c r="AA553" s="24">
        <v>39083</v>
      </c>
      <c r="AB553" t="s">
        <v>26</v>
      </c>
      <c r="AC553" s="24">
        <v>39083</v>
      </c>
      <c r="AD553" s="24">
        <v>39083</v>
      </c>
      <c r="AE553" t="s">
        <v>26</v>
      </c>
      <c r="AF553" t="s">
        <v>26</v>
      </c>
      <c r="AG553" t="s">
        <v>26</v>
      </c>
      <c r="AH553" t="s">
        <v>26</v>
      </c>
      <c r="AI553" t="s">
        <v>26</v>
      </c>
      <c r="AJ553" t="s">
        <v>26</v>
      </c>
      <c r="AK553" t="s">
        <v>26</v>
      </c>
      <c r="AL553" t="s">
        <v>26</v>
      </c>
      <c r="AM553" t="s">
        <v>26</v>
      </c>
      <c r="AN553" t="s">
        <v>26</v>
      </c>
      <c r="AO553" s="25" t="s">
        <v>28</v>
      </c>
      <c r="AP553" s="23" t="s">
        <v>279</v>
      </c>
      <c r="AQ553" s="23" t="s">
        <v>30</v>
      </c>
      <c r="AR553" s="23" t="s">
        <v>46</v>
      </c>
      <c r="AS553" s="25">
        <v>6009022</v>
      </c>
      <c r="AT553" t="s">
        <v>26</v>
      </c>
      <c r="AU553" t="s">
        <v>22972</v>
      </c>
    </row>
    <row r="554" spans="1:47" ht="26.25" x14ac:dyDescent="0.4">
      <c r="A554" s="23" t="s">
        <v>22973</v>
      </c>
      <c r="B554" t="s">
        <v>26</v>
      </c>
      <c r="C554" s="23" t="s">
        <v>332</v>
      </c>
      <c r="D554" s="23" t="s">
        <v>22545</v>
      </c>
      <c r="E554" s="23" t="s">
        <v>42</v>
      </c>
      <c r="F554" t="s">
        <v>26</v>
      </c>
      <c r="G554" t="s">
        <v>26</v>
      </c>
      <c r="H554" t="s">
        <v>26</v>
      </c>
      <c r="I554" s="25" t="s">
        <v>295</v>
      </c>
      <c r="J554" s="25" t="s">
        <v>295</v>
      </c>
      <c r="K554" t="s">
        <v>26</v>
      </c>
      <c r="L554" s="25" t="s">
        <v>28</v>
      </c>
      <c r="M554" s="25" t="s">
        <v>295</v>
      </c>
      <c r="N554" s="25" t="s">
        <v>295</v>
      </c>
      <c r="O554" t="s">
        <v>26</v>
      </c>
      <c r="P554" t="s">
        <v>26</v>
      </c>
      <c r="Q554" t="s">
        <v>26</v>
      </c>
      <c r="R554" t="s">
        <v>26</v>
      </c>
      <c r="S554" t="s">
        <v>26</v>
      </c>
      <c r="T554" t="s">
        <v>26</v>
      </c>
      <c r="U554" t="s">
        <v>26</v>
      </c>
      <c r="V554" t="s">
        <v>26</v>
      </c>
      <c r="W554" s="25" t="s">
        <v>295</v>
      </c>
      <c r="X554" s="25" t="s">
        <v>295</v>
      </c>
      <c r="Y554" t="s">
        <v>26</v>
      </c>
      <c r="Z554" s="25" t="s">
        <v>295</v>
      </c>
      <c r="AA554" s="25" t="s">
        <v>295</v>
      </c>
      <c r="AB554" t="s">
        <v>26</v>
      </c>
      <c r="AC554" s="25" t="s">
        <v>295</v>
      </c>
      <c r="AD554" s="25" t="s">
        <v>295</v>
      </c>
      <c r="AE554" t="s">
        <v>26</v>
      </c>
      <c r="AF554" t="s">
        <v>26</v>
      </c>
      <c r="AG554" t="s">
        <v>26</v>
      </c>
      <c r="AH554" t="s">
        <v>26</v>
      </c>
      <c r="AI554" t="s">
        <v>26</v>
      </c>
      <c r="AJ554" t="s">
        <v>26</v>
      </c>
      <c r="AK554" t="s">
        <v>26</v>
      </c>
      <c r="AL554" t="s">
        <v>26</v>
      </c>
      <c r="AM554" t="s">
        <v>26</v>
      </c>
      <c r="AN554" t="s">
        <v>26</v>
      </c>
      <c r="AO554" s="25" t="s">
        <v>28</v>
      </c>
      <c r="AP554" s="23" t="s">
        <v>279</v>
      </c>
      <c r="AQ554" s="23" t="s">
        <v>30</v>
      </c>
      <c r="AR554" s="23" t="s">
        <v>46</v>
      </c>
      <c r="AS554" s="25">
        <v>6009021</v>
      </c>
      <c r="AT554" t="s">
        <v>26</v>
      </c>
      <c r="AU554" t="s">
        <v>22974</v>
      </c>
    </row>
    <row r="555" spans="1:47" ht="39.4" x14ac:dyDescent="0.4">
      <c r="A555" s="23" t="s">
        <v>22975</v>
      </c>
      <c r="B555" t="s">
        <v>26</v>
      </c>
      <c r="C555" s="23" t="s">
        <v>332</v>
      </c>
      <c r="D555" s="23" t="s">
        <v>22545</v>
      </c>
      <c r="E555" s="23" t="s">
        <v>42</v>
      </c>
      <c r="F555" t="s">
        <v>26</v>
      </c>
      <c r="G555" t="s">
        <v>26</v>
      </c>
      <c r="H555" t="s">
        <v>26</v>
      </c>
      <c r="I555" s="25" t="s">
        <v>295</v>
      </c>
      <c r="J555" s="25" t="s">
        <v>295</v>
      </c>
      <c r="K555" t="s">
        <v>26</v>
      </c>
      <c r="L555" s="25" t="s">
        <v>28</v>
      </c>
      <c r="M555" s="25" t="s">
        <v>295</v>
      </c>
      <c r="N555" s="25" t="s">
        <v>295</v>
      </c>
      <c r="O555" t="s">
        <v>26</v>
      </c>
      <c r="P555" t="s">
        <v>26</v>
      </c>
      <c r="Q555" t="s">
        <v>26</v>
      </c>
      <c r="R555" t="s">
        <v>26</v>
      </c>
      <c r="S555" t="s">
        <v>26</v>
      </c>
      <c r="T555" t="s">
        <v>26</v>
      </c>
      <c r="U555" t="s">
        <v>26</v>
      </c>
      <c r="V555" t="s">
        <v>26</v>
      </c>
      <c r="W555" s="25" t="s">
        <v>295</v>
      </c>
      <c r="X555" s="25" t="s">
        <v>295</v>
      </c>
      <c r="Y555" t="s">
        <v>26</v>
      </c>
      <c r="Z555" s="25" t="s">
        <v>295</v>
      </c>
      <c r="AA555" s="25" t="s">
        <v>295</v>
      </c>
      <c r="AB555" t="s">
        <v>26</v>
      </c>
      <c r="AC555" s="25" t="s">
        <v>295</v>
      </c>
      <c r="AD555" s="25" t="s">
        <v>295</v>
      </c>
      <c r="AE555" t="s">
        <v>26</v>
      </c>
      <c r="AF555" t="s">
        <v>26</v>
      </c>
      <c r="AG555" t="s">
        <v>26</v>
      </c>
      <c r="AH555" t="s">
        <v>26</v>
      </c>
      <c r="AI555" t="s">
        <v>26</v>
      </c>
      <c r="AJ555" t="s">
        <v>26</v>
      </c>
      <c r="AK555" t="s">
        <v>26</v>
      </c>
      <c r="AL555" t="s">
        <v>26</v>
      </c>
      <c r="AM555" t="s">
        <v>26</v>
      </c>
      <c r="AN555" t="s">
        <v>26</v>
      </c>
      <c r="AO555" s="25" t="s">
        <v>28</v>
      </c>
      <c r="AP555" s="23" t="s">
        <v>279</v>
      </c>
      <c r="AQ555" s="23" t="s">
        <v>30</v>
      </c>
      <c r="AR555" s="23" t="s">
        <v>46</v>
      </c>
      <c r="AS555" s="25">
        <v>6009020</v>
      </c>
      <c r="AT555" t="s">
        <v>26</v>
      </c>
      <c r="AU555" t="s">
        <v>22976</v>
      </c>
    </row>
    <row r="556" spans="1:47" ht="52.5" x14ac:dyDescent="0.4">
      <c r="A556" s="23" t="s">
        <v>22977</v>
      </c>
      <c r="B556" t="s">
        <v>26</v>
      </c>
      <c r="C556" s="23" t="s">
        <v>332</v>
      </c>
      <c r="D556" s="23" t="s">
        <v>22256</v>
      </c>
      <c r="E556" s="23" t="s">
        <v>42</v>
      </c>
      <c r="F556" t="s">
        <v>26</v>
      </c>
      <c r="G556" t="s">
        <v>26</v>
      </c>
      <c r="H556" t="s">
        <v>26</v>
      </c>
      <c r="I556" s="24">
        <v>38718</v>
      </c>
      <c r="J556" s="24">
        <v>38718</v>
      </c>
      <c r="K556" t="s">
        <v>26</v>
      </c>
      <c r="L556" s="25" t="s">
        <v>28</v>
      </c>
      <c r="M556" s="24">
        <v>38718</v>
      </c>
      <c r="N556" s="24">
        <v>38718</v>
      </c>
      <c r="O556" t="s">
        <v>26</v>
      </c>
      <c r="P556" t="s">
        <v>26</v>
      </c>
      <c r="Q556" t="s">
        <v>26</v>
      </c>
      <c r="R556" t="s">
        <v>26</v>
      </c>
      <c r="S556" t="s">
        <v>26</v>
      </c>
      <c r="T556" t="s">
        <v>26</v>
      </c>
      <c r="U556" t="s">
        <v>26</v>
      </c>
      <c r="V556" t="s">
        <v>26</v>
      </c>
      <c r="W556" s="24">
        <v>38718</v>
      </c>
      <c r="X556" s="24">
        <v>38718</v>
      </c>
      <c r="Y556" t="s">
        <v>26</v>
      </c>
      <c r="Z556" s="24">
        <v>38718</v>
      </c>
      <c r="AA556" s="24">
        <v>38718</v>
      </c>
      <c r="AB556" t="s">
        <v>26</v>
      </c>
      <c r="AC556" s="24">
        <v>38718</v>
      </c>
      <c r="AD556" s="24">
        <v>38718</v>
      </c>
      <c r="AE556" t="s">
        <v>26</v>
      </c>
      <c r="AF556" t="s">
        <v>26</v>
      </c>
      <c r="AG556" t="s">
        <v>26</v>
      </c>
      <c r="AH556" t="s">
        <v>26</v>
      </c>
      <c r="AI556" t="s">
        <v>26</v>
      </c>
      <c r="AJ556" t="s">
        <v>26</v>
      </c>
      <c r="AK556" t="s">
        <v>26</v>
      </c>
      <c r="AL556" t="s">
        <v>26</v>
      </c>
      <c r="AM556" t="s">
        <v>26</v>
      </c>
      <c r="AN556" t="s">
        <v>26</v>
      </c>
      <c r="AO556" s="25" t="s">
        <v>28</v>
      </c>
      <c r="AP556" s="23" t="s">
        <v>279</v>
      </c>
      <c r="AQ556" s="23" t="s">
        <v>30</v>
      </c>
      <c r="AR556" s="23" t="s">
        <v>46</v>
      </c>
      <c r="AS556" s="25">
        <v>6275778</v>
      </c>
      <c r="AT556" t="s">
        <v>26</v>
      </c>
      <c r="AU556" t="s">
        <v>22978</v>
      </c>
    </row>
    <row r="557" spans="1:47" ht="52.5" x14ac:dyDescent="0.4">
      <c r="A557" s="23" t="s">
        <v>22979</v>
      </c>
      <c r="B557" t="s">
        <v>26</v>
      </c>
      <c r="C557" s="23" t="s">
        <v>332</v>
      </c>
      <c r="D557" s="23" t="s">
        <v>22256</v>
      </c>
      <c r="E557" s="23" t="s">
        <v>42</v>
      </c>
      <c r="F557" t="s">
        <v>26</v>
      </c>
      <c r="G557" t="s">
        <v>26</v>
      </c>
      <c r="H557" t="s">
        <v>26</v>
      </c>
      <c r="I557" s="24">
        <v>38718</v>
      </c>
      <c r="J557" s="24">
        <v>38718</v>
      </c>
      <c r="K557" t="s">
        <v>26</v>
      </c>
      <c r="L557" s="25" t="s">
        <v>28</v>
      </c>
      <c r="M557" s="24">
        <v>38718</v>
      </c>
      <c r="N557" s="24">
        <v>38718</v>
      </c>
      <c r="O557" t="s">
        <v>26</v>
      </c>
      <c r="P557" t="s">
        <v>26</v>
      </c>
      <c r="Q557" t="s">
        <v>26</v>
      </c>
      <c r="R557" t="s">
        <v>26</v>
      </c>
      <c r="S557" t="s">
        <v>26</v>
      </c>
      <c r="T557" t="s">
        <v>26</v>
      </c>
      <c r="U557" t="s">
        <v>26</v>
      </c>
      <c r="V557" t="s">
        <v>26</v>
      </c>
      <c r="W557" s="24">
        <v>38718</v>
      </c>
      <c r="X557" s="24">
        <v>38718</v>
      </c>
      <c r="Y557" t="s">
        <v>26</v>
      </c>
      <c r="Z557" s="24">
        <v>38718</v>
      </c>
      <c r="AA557" s="24">
        <v>38718</v>
      </c>
      <c r="AB557" t="s">
        <v>26</v>
      </c>
      <c r="AC557" s="24">
        <v>38718</v>
      </c>
      <c r="AD557" s="24">
        <v>38718</v>
      </c>
      <c r="AE557" t="s">
        <v>26</v>
      </c>
      <c r="AF557" t="s">
        <v>26</v>
      </c>
      <c r="AG557" t="s">
        <v>26</v>
      </c>
      <c r="AH557" t="s">
        <v>26</v>
      </c>
      <c r="AI557" t="s">
        <v>26</v>
      </c>
      <c r="AJ557" t="s">
        <v>26</v>
      </c>
      <c r="AK557" t="s">
        <v>26</v>
      </c>
      <c r="AL557" t="s">
        <v>26</v>
      </c>
      <c r="AM557" t="s">
        <v>26</v>
      </c>
      <c r="AN557" t="s">
        <v>26</v>
      </c>
      <c r="AO557" s="25" t="s">
        <v>28</v>
      </c>
      <c r="AP557" s="23" t="s">
        <v>279</v>
      </c>
      <c r="AQ557" s="23" t="s">
        <v>30</v>
      </c>
      <c r="AR557" s="23" t="s">
        <v>46</v>
      </c>
      <c r="AS557" s="25">
        <v>6275777</v>
      </c>
      <c r="AT557" t="s">
        <v>26</v>
      </c>
      <c r="AU557" t="s">
        <v>22980</v>
      </c>
    </row>
    <row r="558" spans="1:47" ht="65.650000000000006" x14ac:dyDescent="0.4">
      <c r="A558" s="23" t="s">
        <v>22981</v>
      </c>
      <c r="B558" t="s">
        <v>26</v>
      </c>
      <c r="C558" s="23" t="s">
        <v>332</v>
      </c>
      <c r="D558" s="23" t="s">
        <v>22256</v>
      </c>
      <c r="E558" s="23" t="s">
        <v>42</v>
      </c>
      <c r="F558" t="s">
        <v>26</v>
      </c>
      <c r="G558" t="s">
        <v>26</v>
      </c>
      <c r="H558" t="s">
        <v>26</v>
      </c>
      <c r="I558" s="24">
        <v>38718</v>
      </c>
      <c r="J558" s="24">
        <v>38718</v>
      </c>
      <c r="K558" t="s">
        <v>26</v>
      </c>
      <c r="L558" s="25" t="s">
        <v>28</v>
      </c>
      <c r="M558" s="24">
        <v>38718</v>
      </c>
      <c r="N558" s="24">
        <v>38718</v>
      </c>
      <c r="O558" t="s">
        <v>26</v>
      </c>
      <c r="P558" t="s">
        <v>26</v>
      </c>
      <c r="Q558" t="s">
        <v>26</v>
      </c>
      <c r="R558" t="s">
        <v>26</v>
      </c>
      <c r="S558" t="s">
        <v>26</v>
      </c>
      <c r="T558" t="s">
        <v>26</v>
      </c>
      <c r="U558" t="s">
        <v>26</v>
      </c>
      <c r="V558" t="s">
        <v>26</v>
      </c>
      <c r="W558" s="24">
        <v>38718</v>
      </c>
      <c r="X558" s="24">
        <v>38718</v>
      </c>
      <c r="Y558" t="s">
        <v>26</v>
      </c>
      <c r="Z558" s="24">
        <v>38718</v>
      </c>
      <c r="AA558" s="24">
        <v>38718</v>
      </c>
      <c r="AB558" t="s">
        <v>26</v>
      </c>
      <c r="AC558" s="24">
        <v>38718</v>
      </c>
      <c r="AD558" s="24">
        <v>38718</v>
      </c>
      <c r="AE558" t="s">
        <v>26</v>
      </c>
      <c r="AF558" t="s">
        <v>26</v>
      </c>
      <c r="AG558" t="s">
        <v>26</v>
      </c>
      <c r="AH558" t="s">
        <v>26</v>
      </c>
      <c r="AI558" t="s">
        <v>26</v>
      </c>
      <c r="AJ558" t="s">
        <v>26</v>
      </c>
      <c r="AK558" t="s">
        <v>26</v>
      </c>
      <c r="AL558" t="s">
        <v>26</v>
      </c>
      <c r="AM558" t="s">
        <v>26</v>
      </c>
      <c r="AN558" t="s">
        <v>26</v>
      </c>
      <c r="AO558" s="25" t="s">
        <v>28</v>
      </c>
      <c r="AP558" s="23" t="s">
        <v>279</v>
      </c>
      <c r="AQ558" s="23" t="s">
        <v>30</v>
      </c>
      <c r="AR558" s="23" t="s">
        <v>46</v>
      </c>
      <c r="AS558" s="25">
        <v>6275776</v>
      </c>
      <c r="AT558" t="s">
        <v>26</v>
      </c>
      <c r="AU558" t="s">
        <v>22982</v>
      </c>
    </row>
    <row r="559" spans="1:47" ht="26.25" x14ac:dyDescent="0.4">
      <c r="A559" s="23" t="s">
        <v>22983</v>
      </c>
      <c r="B559" t="s">
        <v>26</v>
      </c>
      <c r="C559" s="23" t="s">
        <v>332</v>
      </c>
      <c r="D559" s="23" t="s">
        <v>22545</v>
      </c>
      <c r="E559" s="23" t="s">
        <v>42</v>
      </c>
      <c r="F559" t="s">
        <v>26</v>
      </c>
      <c r="G559" t="s">
        <v>26</v>
      </c>
      <c r="H559" t="s">
        <v>26</v>
      </c>
      <c r="I559" s="24">
        <v>38718</v>
      </c>
      <c r="J559" s="24">
        <v>38718</v>
      </c>
      <c r="K559" t="s">
        <v>26</v>
      </c>
      <c r="L559" s="25" t="s">
        <v>28</v>
      </c>
      <c r="M559" s="24">
        <v>38718</v>
      </c>
      <c r="N559" s="24">
        <v>38718</v>
      </c>
      <c r="O559" t="s">
        <v>26</v>
      </c>
      <c r="P559" t="s">
        <v>26</v>
      </c>
      <c r="Q559" t="s">
        <v>26</v>
      </c>
      <c r="R559" t="s">
        <v>26</v>
      </c>
      <c r="S559" t="s">
        <v>26</v>
      </c>
      <c r="T559" t="s">
        <v>26</v>
      </c>
      <c r="U559" t="s">
        <v>26</v>
      </c>
      <c r="V559" t="s">
        <v>26</v>
      </c>
      <c r="W559" s="24">
        <v>38718</v>
      </c>
      <c r="X559" s="24">
        <v>38718</v>
      </c>
      <c r="Y559" t="s">
        <v>26</v>
      </c>
      <c r="Z559" s="24">
        <v>38718</v>
      </c>
      <c r="AA559" s="24">
        <v>38718</v>
      </c>
      <c r="AB559" t="s">
        <v>26</v>
      </c>
      <c r="AC559" s="24">
        <v>38718</v>
      </c>
      <c r="AD559" s="24">
        <v>38718</v>
      </c>
      <c r="AE559" t="s">
        <v>26</v>
      </c>
      <c r="AF559" t="s">
        <v>26</v>
      </c>
      <c r="AG559" t="s">
        <v>26</v>
      </c>
      <c r="AH559" t="s">
        <v>26</v>
      </c>
      <c r="AI559" t="s">
        <v>26</v>
      </c>
      <c r="AJ559" t="s">
        <v>26</v>
      </c>
      <c r="AK559" t="s">
        <v>26</v>
      </c>
      <c r="AL559" t="s">
        <v>26</v>
      </c>
      <c r="AM559" t="s">
        <v>26</v>
      </c>
      <c r="AN559" t="s">
        <v>26</v>
      </c>
      <c r="AO559" s="25" t="s">
        <v>28</v>
      </c>
      <c r="AP559" s="23" t="s">
        <v>279</v>
      </c>
      <c r="AQ559" s="23" t="s">
        <v>30</v>
      </c>
      <c r="AR559" s="23" t="s">
        <v>46</v>
      </c>
      <c r="AS559" s="25">
        <v>6009019</v>
      </c>
      <c r="AT559" t="s">
        <v>26</v>
      </c>
      <c r="AU559" t="s">
        <v>22984</v>
      </c>
    </row>
    <row r="560" spans="1:47" ht="26.25" x14ac:dyDescent="0.4">
      <c r="A560" s="23" t="s">
        <v>22985</v>
      </c>
      <c r="B560" t="s">
        <v>26</v>
      </c>
      <c r="C560" s="23" t="s">
        <v>332</v>
      </c>
      <c r="D560" s="23" t="s">
        <v>22256</v>
      </c>
      <c r="E560" s="23" t="s">
        <v>42</v>
      </c>
      <c r="F560" t="s">
        <v>26</v>
      </c>
      <c r="G560" t="s">
        <v>26</v>
      </c>
      <c r="H560" t="s">
        <v>26</v>
      </c>
      <c r="I560" s="24">
        <v>38718</v>
      </c>
      <c r="J560" s="24">
        <v>38718</v>
      </c>
      <c r="K560" t="s">
        <v>26</v>
      </c>
      <c r="L560" s="25" t="s">
        <v>28</v>
      </c>
      <c r="M560" s="24">
        <v>38718</v>
      </c>
      <c r="N560" s="24">
        <v>38718</v>
      </c>
      <c r="O560" t="s">
        <v>26</v>
      </c>
      <c r="P560" t="s">
        <v>26</v>
      </c>
      <c r="Q560" t="s">
        <v>26</v>
      </c>
      <c r="R560" t="s">
        <v>26</v>
      </c>
      <c r="S560" t="s">
        <v>26</v>
      </c>
      <c r="T560" t="s">
        <v>26</v>
      </c>
      <c r="U560" t="s">
        <v>26</v>
      </c>
      <c r="V560" t="s">
        <v>26</v>
      </c>
      <c r="W560" s="24">
        <v>38718</v>
      </c>
      <c r="X560" s="24">
        <v>38718</v>
      </c>
      <c r="Y560" t="s">
        <v>26</v>
      </c>
      <c r="Z560" s="24">
        <v>38718</v>
      </c>
      <c r="AA560" s="24">
        <v>38718</v>
      </c>
      <c r="AB560" t="s">
        <v>26</v>
      </c>
      <c r="AC560" s="24">
        <v>38718</v>
      </c>
      <c r="AD560" s="24">
        <v>38718</v>
      </c>
      <c r="AE560" t="s">
        <v>26</v>
      </c>
      <c r="AF560" t="s">
        <v>26</v>
      </c>
      <c r="AG560" t="s">
        <v>26</v>
      </c>
      <c r="AH560" t="s">
        <v>26</v>
      </c>
      <c r="AI560" t="s">
        <v>26</v>
      </c>
      <c r="AJ560" t="s">
        <v>26</v>
      </c>
      <c r="AK560" t="s">
        <v>26</v>
      </c>
      <c r="AL560" t="s">
        <v>26</v>
      </c>
      <c r="AM560" t="s">
        <v>26</v>
      </c>
      <c r="AN560" t="s">
        <v>26</v>
      </c>
      <c r="AO560" s="25" t="s">
        <v>28</v>
      </c>
      <c r="AP560" s="23" t="s">
        <v>279</v>
      </c>
      <c r="AQ560" s="23" t="s">
        <v>30</v>
      </c>
      <c r="AR560" s="23" t="s">
        <v>46</v>
      </c>
      <c r="AS560" s="25">
        <v>6275775</v>
      </c>
      <c r="AT560" t="s">
        <v>26</v>
      </c>
      <c r="AU560" t="s">
        <v>22986</v>
      </c>
    </row>
    <row r="561" spans="1:47" ht="52.5" x14ac:dyDescent="0.4">
      <c r="A561" s="23" t="s">
        <v>22987</v>
      </c>
      <c r="B561" t="s">
        <v>26</v>
      </c>
      <c r="C561" s="23" t="s">
        <v>332</v>
      </c>
      <c r="D561" s="23" t="s">
        <v>22256</v>
      </c>
      <c r="E561" s="23" t="s">
        <v>42</v>
      </c>
      <c r="F561" t="s">
        <v>26</v>
      </c>
      <c r="G561" t="s">
        <v>26</v>
      </c>
      <c r="H561" t="s">
        <v>26</v>
      </c>
      <c r="I561" s="24">
        <v>38718</v>
      </c>
      <c r="J561" s="24">
        <v>38718</v>
      </c>
      <c r="K561" t="s">
        <v>26</v>
      </c>
      <c r="L561" s="25" t="s">
        <v>28</v>
      </c>
      <c r="M561" s="24">
        <v>38718</v>
      </c>
      <c r="N561" s="24">
        <v>38718</v>
      </c>
      <c r="O561" t="s">
        <v>26</v>
      </c>
      <c r="P561" t="s">
        <v>26</v>
      </c>
      <c r="Q561" t="s">
        <v>26</v>
      </c>
      <c r="R561" t="s">
        <v>26</v>
      </c>
      <c r="S561" t="s">
        <v>26</v>
      </c>
      <c r="T561" t="s">
        <v>26</v>
      </c>
      <c r="U561" t="s">
        <v>26</v>
      </c>
      <c r="V561" t="s">
        <v>26</v>
      </c>
      <c r="W561" s="24">
        <v>38718</v>
      </c>
      <c r="X561" s="24">
        <v>38718</v>
      </c>
      <c r="Y561" t="s">
        <v>26</v>
      </c>
      <c r="Z561" s="24">
        <v>38718</v>
      </c>
      <c r="AA561" s="24">
        <v>38718</v>
      </c>
      <c r="AB561" t="s">
        <v>26</v>
      </c>
      <c r="AC561" s="24">
        <v>38718</v>
      </c>
      <c r="AD561" s="24">
        <v>38718</v>
      </c>
      <c r="AE561" t="s">
        <v>26</v>
      </c>
      <c r="AF561" t="s">
        <v>26</v>
      </c>
      <c r="AG561" t="s">
        <v>26</v>
      </c>
      <c r="AH561" t="s">
        <v>26</v>
      </c>
      <c r="AI561" t="s">
        <v>26</v>
      </c>
      <c r="AJ561" t="s">
        <v>26</v>
      </c>
      <c r="AK561" t="s">
        <v>26</v>
      </c>
      <c r="AL561" t="s">
        <v>26</v>
      </c>
      <c r="AM561" t="s">
        <v>26</v>
      </c>
      <c r="AN561" t="s">
        <v>26</v>
      </c>
      <c r="AO561" s="25" t="s">
        <v>28</v>
      </c>
      <c r="AP561" s="23" t="s">
        <v>279</v>
      </c>
      <c r="AQ561" s="23" t="s">
        <v>30</v>
      </c>
      <c r="AR561" s="23" t="s">
        <v>46</v>
      </c>
      <c r="AS561" s="25">
        <v>6275774</v>
      </c>
      <c r="AT561" t="s">
        <v>26</v>
      </c>
      <c r="AU561" t="s">
        <v>22988</v>
      </c>
    </row>
    <row r="562" spans="1:47" ht="65.650000000000006" x14ac:dyDescent="0.4">
      <c r="A562" s="23" t="s">
        <v>22989</v>
      </c>
      <c r="B562" t="s">
        <v>26</v>
      </c>
      <c r="C562" s="23" t="s">
        <v>332</v>
      </c>
      <c r="D562" s="23" t="s">
        <v>22256</v>
      </c>
      <c r="E562" s="23" t="s">
        <v>42</v>
      </c>
      <c r="F562" t="s">
        <v>26</v>
      </c>
      <c r="G562" t="s">
        <v>26</v>
      </c>
      <c r="H562" t="s">
        <v>26</v>
      </c>
      <c r="I562" s="24">
        <v>38353</v>
      </c>
      <c r="J562" s="24">
        <v>38353</v>
      </c>
      <c r="K562" t="s">
        <v>26</v>
      </c>
      <c r="L562" s="25" t="s">
        <v>28</v>
      </c>
      <c r="M562" s="24">
        <v>38353</v>
      </c>
      <c r="N562" s="24">
        <v>38353</v>
      </c>
      <c r="O562" t="s">
        <v>26</v>
      </c>
      <c r="P562" t="s">
        <v>26</v>
      </c>
      <c r="Q562" t="s">
        <v>26</v>
      </c>
      <c r="R562" t="s">
        <v>26</v>
      </c>
      <c r="S562" t="s">
        <v>26</v>
      </c>
      <c r="T562" t="s">
        <v>26</v>
      </c>
      <c r="U562" t="s">
        <v>26</v>
      </c>
      <c r="V562" t="s">
        <v>26</v>
      </c>
      <c r="W562" s="24">
        <v>38353</v>
      </c>
      <c r="X562" s="24">
        <v>38353</v>
      </c>
      <c r="Y562" t="s">
        <v>26</v>
      </c>
      <c r="Z562" s="24">
        <v>38353</v>
      </c>
      <c r="AA562" s="24">
        <v>38353</v>
      </c>
      <c r="AB562" t="s">
        <v>26</v>
      </c>
      <c r="AC562" s="24">
        <v>38353</v>
      </c>
      <c r="AD562" s="24">
        <v>38353</v>
      </c>
      <c r="AE562" t="s">
        <v>26</v>
      </c>
      <c r="AF562" t="s">
        <v>26</v>
      </c>
      <c r="AG562" t="s">
        <v>26</v>
      </c>
      <c r="AH562" t="s">
        <v>26</v>
      </c>
      <c r="AI562" t="s">
        <v>26</v>
      </c>
      <c r="AJ562" t="s">
        <v>26</v>
      </c>
      <c r="AK562" t="s">
        <v>26</v>
      </c>
      <c r="AL562" t="s">
        <v>26</v>
      </c>
      <c r="AM562" t="s">
        <v>26</v>
      </c>
      <c r="AN562" t="s">
        <v>26</v>
      </c>
      <c r="AO562" s="25" t="s">
        <v>28</v>
      </c>
      <c r="AP562" s="23" t="s">
        <v>279</v>
      </c>
      <c r="AQ562" s="23" t="s">
        <v>30</v>
      </c>
      <c r="AR562" s="23" t="s">
        <v>46</v>
      </c>
      <c r="AS562" s="25">
        <v>6275773</v>
      </c>
      <c r="AT562" t="s">
        <v>26</v>
      </c>
      <c r="AU562" t="s">
        <v>22990</v>
      </c>
    </row>
    <row r="563" spans="1:47" ht="26.25" x14ac:dyDescent="0.4">
      <c r="A563" s="23" t="s">
        <v>1498</v>
      </c>
      <c r="B563" t="s">
        <v>26</v>
      </c>
      <c r="C563" s="23" t="s">
        <v>107</v>
      </c>
      <c r="D563" s="23" t="s">
        <v>22174</v>
      </c>
      <c r="E563" s="23" t="s">
        <v>42</v>
      </c>
      <c r="F563" s="25" t="s">
        <v>1499</v>
      </c>
      <c r="G563" t="s">
        <v>26</v>
      </c>
      <c r="H563" t="s">
        <v>26</v>
      </c>
      <c r="I563" t="s">
        <v>26</v>
      </c>
      <c r="J563" t="s">
        <v>26</v>
      </c>
      <c r="K563" t="s">
        <v>26</v>
      </c>
      <c r="L563" s="25" t="s">
        <v>68</v>
      </c>
      <c r="M563" t="s">
        <v>26</v>
      </c>
      <c r="N563" t="s">
        <v>26</v>
      </c>
      <c r="O563" t="s">
        <v>26</v>
      </c>
      <c r="P563" t="s">
        <v>26</v>
      </c>
      <c r="Q563" t="s">
        <v>26</v>
      </c>
      <c r="R563" t="s">
        <v>26</v>
      </c>
      <c r="S563" t="s">
        <v>26</v>
      </c>
      <c r="T563" t="s">
        <v>26</v>
      </c>
      <c r="U563" t="s">
        <v>26</v>
      </c>
      <c r="V563" t="s">
        <v>26</v>
      </c>
      <c r="W563" s="24">
        <v>35156</v>
      </c>
      <c r="X563" s="25" t="s">
        <v>77</v>
      </c>
      <c r="Y563" t="s">
        <v>26</v>
      </c>
      <c r="Z563" s="24">
        <v>35156</v>
      </c>
      <c r="AA563" s="25" t="s">
        <v>77</v>
      </c>
      <c r="AB563" t="s">
        <v>26</v>
      </c>
      <c r="AC563" s="24">
        <v>35156</v>
      </c>
      <c r="AD563" s="25" t="s">
        <v>77</v>
      </c>
      <c r="AE563" t="s">
        <v>26</v>
      </c>
      <c r="AF563" t="s">
        <v>26</v>
      </c>
      <c r="AG563" t="s">
        <v>26</v>
      </c>
      <c r="AH563" t="s">
        <v>26</v>
      </c>
      <c r="AI563" t="s">
        <v>26</v>
      </c>
      <c r="AJ563" t="s">
        <v>26</v>
      </c>
      <c r="AK563" t="s">
        <v>26</v>
      </c>
      <c r="AL563" t="s">
        <v>26</v>
      </c>
      <c r="AM563" t="s">
        <v>26</v>
      </c>
      <c r="AN563" t="s">
        <v>26</v>
      </c>
      <c r="AO563" s="25" t="s">
        <v>68</v>
      </c>
      <c r="AP563" s="23" t="s">
        <v>69</v>
      </c>
      <c r="AQ563" s="23" t="s">
        <v>30</v>
      </c>
      <c r="AR563" s="23" t="s">
        <v>1243</v>
      </c>
      <c r="AS563" s="25">
        <v>2033369</v>
      </c>
      <c r="AT563" t="s">
        <v>26</v>
      </c>
      <c r="AU563" t="s">
        <v>22991</v>
      </c>
    </row>
    <row r="564" spans="1:47" ht="26.25" x14ac:dyDescent="0.4">
      <c r="A564" s="23" t="s">
        <v>1500</v>
      </c>
      <c r="B564" t="s">
        <v>26</v>
      </c>
      <c r="C564" s="23" t="s">
        <v>73</v>
      </c>
      <c r="D564" s="23" t="s">
        <v>22179</v>
      </c>
      <c r="E564" s="23" t="s">
        <v>74</v>
      </c>
      <c r="F564" s="25" t="s">
        <v>1501</v>
      </c>
      <c r="G564" s="25" t="s">
        <v>1502</v>
      </c>
      <c r="H564" t="s">
        <v>26</v>
      </c>
      <c r="I564" s="24">
        <v>35855</v>
      </c>
      <c r="J564" s="25" t="s">
        <v>77</v>
      </c>
      <c r="K564" t="s">
        <v>26</v>
      </c>
      <c r="L564" s="25" t="s">
        <v>68</v>
      </c>
      <c r="M564" s="24">
        <v>38047</v>
      </c>
      <c r="N564" s="24">
        <v>42795</v>
      </c>
      <c r="O564" t="s">
        <v>26</v>
      </c>
      <c r="P564" s="24">
        <v>35855</v>
      </c>
      <c r="Q564" s="25" t="s">
        <v>77</v>
      </c>
      <c r="R564" t="s">
        <v>26</v>
      </c>
      <c r="S564" t="s">
        <v>26</v>
      </c>
      <c r="T564" t="s">
        <v>26</v>
      </c>
      <c r="U564" t="s">
        <v>26</v>
      </c>
      <c r="V564" s="25">
        <v>365</v>
      </c>
      <c r="W564" s="24">
        <v>35855</v>
      </c>
      <c r="X564" s="25" t="s">
        <v>77</v>
      </c>
      <c r="Y564" t="s">
        <v>26</v>
      </c>
      <c r="Z564" s="24">
        <v>35855</v>
      </c>
      <c r="AA564" s="25" t="s">
        <v>77</v>
      </c>
      <c r="AB564" t="s">
        <v>26</v>
      </c>
      <c r="AC564" s="24">
        <v>35855</v>
      </c>
      <c r="AD564" s="25" t="s">
        <v>77</v>
      </c>
      <c r="AE564" t="s">
        <v>26</v>
      </c>
      <c r="AF564" t="s">
        <v>26</v>
      </c>
      <c r="AG564" t="s">
        <v>26</v>
      </c>
      <c r="AH564" t="s">
        <v>26</v>
      </c>
      <c r="AI564" t="s">
        <v>26</v>
      </c>
      <c r="AJ564" t="s">
        <v>26</v>
      </c>
      <c r="AK564" t="s">
        <v>26</v>
      </c>
      <c r="AL564" t="s">
        <v>26</v>
      </c>
      <c r="AM564" t="s">
        <v>26</v>
      </c>
      <c r="AN564" t="s">
        <v>26</v>
      </c>
      <c r="AO564" s="25" t="s">
        <v>68</v>
      </c>
      <c r="AP564" s="23" t="s">
        <v>69</v>
      </c>
      <c r="AQ564" s="23" t="s">
        <v>30</v>
      </c>
      <c r="AR564" s="23" t="s">
        <v>46</v>
      </c>
      <c r="AS564" s="25">
        <v>54101</v>
      </c>
      <c r="AT564" t="s">
        <v>26</v>
      </c>
      <c r="AU564" t="s">
        <v>22992</v>
      </c>
    </row>
    <row r="565" spans="1:47" ht="26.25" x14ac:dyDescent="0.4">
      <c r="A565" s="23" t="s">
        <v>1503</v>
      </c>
      <c r="B565" t="s">
        <v>26</v>
      </c>
      <c r="C565" s="23" t="s">
        <v>1504</v>
      </c>
      <c r="D565" s="23" t="s">
        <v>22190</v>
      </c>
      <c r="E565" s="23" t="s">
        <v>42</v>
      </c>
      <c r="F565" s="25" t="s">
        <v>1505</v>
      </c>
      <c r="G565" s="25" t="s">
        <v>1506</v>
      </c>
      <c r="H565" t="s">
        <v>26</v>
      </c>
      <c r="I565" s="24">
        <v>38443</v>
      </c>
      <c r="J565" s="24">
        <v>38687</v>
      </c>
      <c r="K565" t="s">
        <v>26</v>
      </c>
      <c r="L565" s="25" t="s">
        <v>68</v>
      </c>
      <c r="M565" s="24">
        <v>38443</v>
      </c>
      <c r="N565" s="24">
        <v>38687</v>
      </c>
      <c r="O565" t="s">
        <v>26</v>
      </c>
      <c r="P565" s="24">
        <v>38443</v>
      </c>
      <c r="Q565" s="24">
        <v>38687</v>
      </c>
      <c r="R565" t="s">
        <v>26</v>
      </c>
      <c r="S565" t="s">
        <v>26</v>
      </c>
      <c r="T565" t="s">
        <v>26</v>
      </c>
      <c r="U565" t="s">
        <v>26</v>
      </c>
      <c r="V565" t="s">
        <v>26</v>
      </c>
      <c r="W565" s="24">
        <v>38443</v>
      </c>
      <c r="X565" s="24">
        <v>38687</v>
      </c>
      <c r="Y565" t="s">
        <v>26</v>
      </c>
      <c r="Z565" s="24">
        <v>38443</v>
      </c>
      <c r="AA565" s="24">
        <v>38687</v>
      </c>
      <c r="AB565" t="s">
        <v>26</v>
      </c>
      <c r="AC565" t="s">
        <v>26</v>
      </c>
      <c r="AD565" t="s">
        <v>26</v>
      </c>
      <c r="AE565" t="s">
        <v>26</v>
      </c>
      <c r="AF565" t="s">
        <v>26</v>
      </c>
      <c r="AG565" t="s">
        <v>26</v>
      </c>
      <c r="AH565" t="s">
        <v>26</v>
      </c>
      <c r="AI565" t="s">
        <v>26</v>
      </c>
      <c r="AJ565" t="s">
        <v>26</v>
      </c>
      <c r="AK565" t="s">
        <v>26</v>
      </c>
      <c r="AL565" t="s">
        <v>26</v>
      </c>
      <c r="AM565" t="s">
        <v>26</v>
      </c>
      <c r="AN565" t="s">
        <v>26</v>
      </c>
      <c r="AO565" s="25" t="s">
        <v>28</v>
      </c>
      <c r="AP565" s="23" t="s">
        <v>69</v>
      </c>
      <c r="AQ565" s="23" t="s">
        <v>30</v>
      </c>
      <c r="AR565" s="23" t="s">
        <v>105</v>
      </c>
      <c r="AS565" s="25">
        <v>32206</v>
      </c>
      <c r="AT565" t="s">
        <v>26</v>
      </c>
      <c r="AU565" t="s">
        <v>22993</v>
      </c>
    </row>
    <row r="566" spans="1:47" ht="26.25" x14ac:dyDescent="0.4">
      <c r="A566" s="23" t="s">
        <v>1507</v>
      </c>
      <c r="B566" t="s">
        <v>26</v>
      </c>
      <c r="C566" s="23" t="s">
        <v>146</v>
      </c>
      <c r="D566" s="23" t="s">
        <v>22174</v>
      </c>
      <c r="E566" s="23" t="s">
        <v>60</v>
      </c>
      <c r="F566" t="s">
        <v>26</v>
      </c>
      <c r="G566" t="s">
        <v>26</v>
      </c>
      <c r="H566" t="s">
        <v>26</v>
      </c>
      <c r="I566" t="s">
        <v>26</v>
      </c>
      <c r="J566" t="s">
        <v>26</v>
      </c>
      <c r="K566" t="s">
        <v>26</v>
      </c>
      <c r="L566" s="25" t="s">
        <v>28</v>
      </c>
      <c r="M566" t="s">
        <v>26</v>
      </c>
      <c r="N566" t="s">
        <v>26</v>
      </c>
      <c r="O566" t="s">
        <v>26</v>
      </c>
      <c r="P566" t="s">
        <v>26</v>
      </c>
      <c r="Q566" t="s">
        <v>26</v>
      </c>
      <c r="R566" t="s">
        <v>26</v>
      </c>
      <c r="S566" t="s">
        <v>26</v>
      </c>
      <c r="T566" t="s">
        <v>26</v>
      </c>
      <c r="U566" t="s">
        <v>26</v>
      </c>
      <c r="V566" t="s">
        <v>26</v>
      </c>
      <c r="W566" s="24">
        <v>41640</v>
      </c>
      <c r="X566" s="24">
        <v>41640</v>
      </c>
      <c r="Y566" t="s">
        <v>26</v>
      </c>
      <c r="Z566" s="24">
        <v>41640</v>
      </c>
      <c r="AA566" s="24">
        <v>41640</v>
      </c>
      <c r="AB566" t="s">
        <v>26</v>
      </c>
      <c r="AC566" t="s">
        <v>26</v>
      </c>
      <c r="AD566" t="s">
        <v>26</v>
      </c>
      <c r="AE566" t="s">
        <v>26</v>
      </c>
      <c r="AF566" t="s">
        <v>26</v>
      </c>
      <c r="AG566" t="s">
        <v>26</v>
      </c>
      <c r="AH566" t="s">
        <v>26</v>
      </c>
      <c r="AI566" t="s">
        <v>26</v>
      </c>
      <c r="AJ566" t="s">
        <v>26</v>
      </c>
      <c r="AK566" t="s">
        <v>26</v>
      </c>
      <c r="AL566" t="s">
        <v>26</v>
      </c>
      <c r="AM566" t="s">
        <v>26</v>
      </c>
      <c r="AN566" t="s">
        <v>26</v>
      </c>
      <c r="AO566" s="25" t="s">
        <v>28</v>
      </c>
      <c r="AP566" s="23" t="s">
        <v>29</v>
      </c>
      <c r="AQ566" s="23" t="s">
        <v>30</v>
      </c>
      <c r="AR566" s="23" t="s">
        <v>44</v>
      </c>
      <c r="AS566" s="25">
        <v>5483630</v>
      </c>
      <c r="AT566" s="23" t="s">
        <v>22181</v>
      </c>
      <c r="AU566" t="s">
        <v>22994</v>
      </c>
    </row>
    <row r="567" spans="1:47" ht="26.25" x14ac:dyDescent="0.4">
      <c r="A567" s="23" t="s">
        <v>1508</v>
      </c>
      <c r="B567" t="s">
        <v>26</v>
      </c>
      <c r="C567" s="23" t="s">
        <v>1509</v>
      </c>
      <c r="D567" s="23" t="s">
        <v>22184</v>
      </c>
      <c r="E567" s="23" t="s">
        <v>60</v>
      </c>
      <c r="F567" t="s">
        <v>26</v>
      </c>
      <c r="G567" t="s">
        <v>26</v>
      </c>
      <c r="H567" t="s">
        <v>26</v>
      </c>
      <c r="I567" s="24">
        <v>35431</v>
      </c>
      <c r="J567" s="24">
        <v>35431</v>
      </c>
      <c r="K567" t="s">
        <v>26</v>
      </c>
      <c r="L567" s="25" t="s">
        <v>28</v>
      </c>
      <c r="M567" s="24">
        <v>35431</v>
      </c>
      <c r="N567" s="24">
        <v>35431</v>
      </c>
      <c r="O567" t="s">
        <v>26</v>
      </c>
      <c r="P567" t="s">
        <v>26</v>
      </c>
      <c r="Q567" t="s">
        <v>26</v>
      </c>
      <c r="R567" t="s">
        <v>26</v>
      </c>
      <c r="S567" t="s">
        <v>26</v>
      </c>
      <c r="T567" t="s">
        <v>26</v>
      </c>
      <c r="U567" t="s">
        <v>26</v>
      </c>
      <c r="V567" t="s">
        <v>26</v>
      </c>
      <c r="W567" s="24">
        <v>35431</v>
      </c>
      <c r="X567" s="24">
        <v>35431</v>
      </c>
      <c r="Y567" t="s">
        <v>26</v>
      </c>
      <c r="Z567" s="24">
        <v>35431</v>
      </c>
      <c r="AA567" s="24">
        <v>35431</v>
      </c>
      <c r="AB567" t="s">
        <v>26</v>
      </c>
      <c r="AC567" s="24">
        <v>35431</v>
      </c>
      <c r="AD567" s="24">
        <v>35431</v>
      </c>
      <c r="AE567" t="s">
        <v>26</v>
      </c>
      <c r="AF567" t="s">
        <v>26</v>
      </c>
      <c r="AG567" t="s">
        <v>26</v>
      </c>
      <c r="AH567" t="s">
        <v>26</v>
      </c>
      <c r="AI567" t="s">
        <v>26</v>
      </c>
      <c r="AJ567" t="s">
        <v>26</v>
      </c>
      <c r="AK567" t="s">
        <v>26</v>
      </c>
      <c r="AL567" t="s">
        <v>26</v>
      </c>
      <c r="AM567" t="s">
        <v>26</v>
      </c>
      <c r="AN567" t="s">
        <v>26</v>
      </c>
      <c r="AO567" s="25" t="s">
        <v>28</v>
      </c>
      <c r="AP567" s="23" t="s">
        <v>29</v>
      </c>
      <c r="AQ567" s="23" t="s">
        <v>30</v>
      </c>
      <c r="AR567" s="23" t="s">
        <v>46</v>
      </c>
      <c r="AS567" s="25">
        <v>6009018</v>
      </c>
      <c r="AT567" t="s">
        <v>26</v>
      </c>
      <c r="AU567" t="s">
        <v>22995</v>
      </c>
    </row>
    <row r="568" spans="1:47" ht="26.25" x14ac:dyDescent="0.4">
      <c r="A568" s="23" t="s">
        <v>1510</v>
      </c>
      <c r="B568" t="s">
        <v>26</v>
      </c>
      <c r="C568" s="23" t="s">
        <v>341</v>
      </c>
      <c r="D568" s="23" t="s">
        <v>22996</v>
      </c>
      <c r="E568" s="23" t="s">
        <v>60</v>
      </c>
      <c r="F568" s="25" t="s">
        <v>1511</v>
      </c>
      <c r="G568" s="25" t="s">
        <v>1512</v>
      </c>
      <c r="H568" t="s">
        <v>26</v>
      </c>
      <c r="I568" s="24">
        <v>35186</v>
      </c>
      <c r="J568" s="25" t="s">
        <v>77</v>
      </c>
      <c r="K568" s="25" t="s">
        <v>1513</v>
      </c>
      <c r="L568" s="25" t="s">
        <v>68</v>
      </c>
      <c r="M568" s="24">
        <v>37257</v>
      </c>
      <c r="N568" s="25" t="s">
        <v>77</v>
      </c>
      <c r="O568" t="s">
        <v>26</v>
      </c>
      <c r="P568" s="24">
        <v>35186</v>
      </c>
      <c r="Q568" s="25" t="s">
        <v>77</v>
      </c>
      <c r="R568" s="25" t="s">
        <v>1513</v>
      </c>
      <c r="S568" t="s">
        <v>26</v>
      </c>
      <c r="T568" t="s">
        <v>26</v>
      </c>
      <c r="U568" t="s">
        <v>26</v>
      </c>
      <c r="V568" s="25">
        <v>60</v>
      </c>
      <c r="W568" s="24">
        <v>30317</v>
      </c>
      <c r="X568" s="25" t="s">
        <v>77</v>
      </c>
      <c r="Y568" s="25" t="s">
        <v>1513</v>
      </c>
      <c r="Z568" s="24">
        <v>30317</v>
      </c>
      <c r="AA568" s="25" t="s">
        <v>77</v>
      </c>
      <c r="AB568" s="25" t="s">
        <v>1513</v>
      </c>
      <c r="AC568" s="24">
        <v>35186</v>
      </c>
      <c r="AD568" s="25" t="s">
        <v>77</v>
      </c>
      <c r="AE568" s="25" t="s">
        <v>1513</v>
      </c>
      <c r="AF568" t="s">
        <v>26</v>
      </c>
      <c r="AG568" t="s">
        <v>26</v>
      </c>
      <c r="AH568" t="s">
        <v>26</v>
      </c>
      <c r="AI568" t="s">
        <v>26</v>
      </c>
      <c r="AJ568" t="s">
        <v>26</v>
      </c>
      <c r="AK568" t="s">
        <v>26</v>
      </c>
      <c r="AL568" t="s">
        <v>26</v>
      </c>
      <c r="AM568" t="s">
        <v>26</v>
      </c>
      <c r="AN568" t="s">
        <v>26</v>
      </c>
      <c r="AO568" s="25" t="s">
        <v>68</v>
      </c>
      <c r="AP568" s="23" t="s">
        <v>69</v>
      </c>
      <c r="AQ568" s="23" t="s">
        <v>30</v>
      </c>
      <c r="AR568" s="23" t="s">
        <v>1514</v>
      </c>
      <c r="AS568" s="25">
        <v>1226360</v>
      </c>
      <c r="AT568" t="s">
        <v>26</v>
      </c>
      <c r="AU568" t="s">
        <v>22997</v>
      </c>
    </row>
    <row r="569" spans="1:47" ht="26.25" x14ac:dyDescent="0.4">
      <c r="A569" s="23" t="s">
        <v>1515</v>
      </c>
      <c r="B569" t="s">
        <v>26</v>
      </c>
      <c r="C569" s="23" t="s">
        <v>107</v>
      </c>
      <c r="D569" s="23" t="s">
        <v>22194</v>
      </c>
      <c r="E569" s="23" t="s">
        <v>42</v>
      </c>
      <c r="F569" s="25" t="s">
        <v>1516</v>
      </c>
      <c r="G569" s="25" t="s">
        <v>1517</v>
      </c>
      <c r="H569" t="s">
        <v>26</v>
      </c>
      <c r="I569" t="s">
        <v>26</v>
      </c>
      <c r="J569" t="s">
        <v>26</v>
      </c>
      <c r="K569" t="s">
        <v>26</v>
      </c>
      <c r="L569" s="25" t="s">
        <v>68</v>
      </c>
      <c r="M569" t="s">
        <v>26</v>
      </c>
      <c r="N569" t="s">
        <v>26</v>
      </c>
      <c r="O569" t="s">
        <v>26</v>
      </c>
      <c r="P569" t="s">
        <v>26</v>
      </c>
      <c r="Q569" t="s">
        <v>26</v>
      </c>
      <c r="R569" t="s">
        <v>26</v>
      </c>
      <c r="S569" t="s">
        <v>26</v>
      </c>
      <c r="T569" t="s">
        <v>26</v>
      </c>
      <c r="U569" t="s">
        <v>26</v>
      </c>
      <c r="V569" t="s">
        <v>26</v>
      </c>
      <c r="W569" s="24">
        <v>33635</v>
      </c>
      <c r="X569" s="25" t="s">
        <v>77</v>
      </c>
      <c r="Y569" t="s">
        <v>26</v>
      </c>
      <c r="Z569" s="24">
        <v>33635</v>
      </c>
      <c r="AA569" s="25" t="s">
        <v>77</v>
      </c>
      <c r="AB569" t="s">
        <v>26</v>
      </c>
      <c r="AC569" s="24">
        <v>33635</v>
      </c>
      <c r="AD569" s="25" t="s">
        <v>77</v>
      </c>
      <c r="AE569" t="s">
        <v>26</v>
      </c>
      <c r="AF569" t="s">
        <v>26</v>
      </c>
      <c r="AG569" t="s">
        <v>26</v>
      </c>
      <c r="AH569" t="s">
        <v>26</v>
      </c>
      <c r="AI569" t="s">
        <v>26</v>
      </c>
      <c r="AJ569" t="s">
        <v>26</v>
      </c>
      <c r="AK569" t="s">
        <v>26</v>
      </c>
      <c r="AL569" t="s">
        <v>26</v>
      </c>
      <c r="AM569" t="s">
        <v>26</v>
      </c>
      <c r="AN569" t="s">
        <v>26</v>
      </c>
      <c r="AO569" s="25" t="s">
        <v>68</v>
      </c>
      <c r="AP569" s="23" t="s">
        <v>69</v>
      </c>
      <c r="AQ569" s="23" t="s">
        <v>30</v>
      </c>
      <c r="AR569" s="23" t="s">
        <v>105</v>
      </c>
      <c r="AS569" s="25">
        <v>15130</v>
      </c>
      <c r="AT569" t="s">
        <v>26</v>
      </c>
      <c r="AU569" t="s">
        <v>22998</v>
      </c>
    </row>
    <row r="570" spans="1:47" ht="26.25" x14ac:dyDescent="0.4">
      <c r="A570" s="23" t="s">
        <v>1518</v>
      </c>
      <c r="B570" t="s">
        <v>26</v>
      </c>
      <c r="C570" s="23" t="s">
        <v>1519</v>
      </c>
      <c r="D570" s="23" t="s">
        <v>22999</v>
      </c>
      <c r="E570" s="23" t="s">
        <v>42</v>
      </c>
      <c r="F570" s="25" t="s">
        <v>1520</v>
      </c>
      <c r="G570" s="25" t="s">
        <v>1521</v>
      </c>
      <c r="H570" t="s">
        <v>26</v>
      </c>
      <c r="I570" s="24">
        <v>35796</v>
      </c>
      <c r="J570" s="24">
        <v>38443</v>
      </c>
      <c r="K570" t="s">
        <v>26</v>
      </c>
      <c r="L570" s="25" t="s">
        <v>68</v>
      </c>
      <c r="M570" s="24">
        <v>35796</v>
      </c>
      <c r="N570" s="24">
        <v>38443</v>
      </c>
      <c r="O570" t="s">
        <v>26</v>
      </c>
      <c r="P570" s="24">
        <v>35796</v>
      </c>
      <c r="Q570" s="24">
        <v>38443</v>
      </c>
      <c r="R570" t="s">
        <v>26</v>
      </c>
      <c r="S570" t="s">
        <v>26</v>
      </c>
      <c r="T570" t="s">
        <v>26</v>
      </c>
      <c r="U570" t="s">
        <v>26</v>
      </c>
      <c r="V570" t="s">
        <v>26</v>
      </c>
      <c r="W570" s="24">
        <v>35796</v>
      </c>
      <c r="X570" s="25" t="s">
        <v>77</v>
      </c>
      <c r="Y570" t="s">
        <v>26</v>
      </c>
      <c r="Z570" s="24">
        <v>35796</v>
      </c>
      <c r="AA570" s="25" t="s">
        <v>77</v>
      </c>
      <c r="AB570" t="s">
        <v>26</v>
      </c>
      <c r="AC570" s="24">
        <v>35796</v>
      </c>
      <c r="AD570" s="25" t="s">
        <v>77</v>
      </c>
      <c r="AE570" t="s">
        <v>26</v>
      </c>
      <c r="AF570" t="s">
        <v>26</v>
      </c>
      <c r="AG570" t="s">
        <v>26</v>
      </c>
      <c r="AH570" t="s">
        <v>26</v>
      </c>
      <c r="AI570" t="s">
        <v>26</v>
      </c>
      <c r="AJ570" t="s">
        <v>26</v>
      </c>
      <c r="AK570" t="s">
        <v>26</v>
      </c>
      <c r="AL570" t="s">
        <v>26</v>
      </c>
      <c r="AM570" t="s">
        <v>26</v>
      </c>
      <c r="AN570" t="s">
        <v>26</v>
      </c>
      <c r="AO570" s="25" t="s">
        <v>68</v>
      </c>
      <c r="AP570" s="23" t="s">
        <v>69</v>
      </c>
      <c r="AQ570" s="23" t="s">
        <v>30</v>
      </c>
      <c r="AR570" s="23" t="s">
        <v>896</v>
      </c>
      <c r="AS570" s="25">
        <v>42114</v>
      </c>
      <c r="AT570" t="s">
        <v>26</v>
      </c>
      <c r="AU570" t="s">
        <v>23000</v>
      </c>
    </row>
    <row r="571" spans="1:47" ht="26.25" x14ac:dyDescent="0.4">
      <c r="A571" s="23" t="s">
        <v>1522</v>
      </c>
      <c r="B571" t="s">
        <v>26</v>
      </c>
      <c r="C571" s="23" t="s">
        <v>80</v>
      </c>
      <c r="D571" s="23" t="s">
        <v>22519</v>
      </c>
      <c r="E571" s="23" t="s">
        <v>60</v>
      </c>
      <c r="F571" s="25" t="s">
        <v>1523</v>
      </c>
      <c r="G571" s="25" t="s">
        <v>1524</v>
      </c>
      <c r="H571" t="s">
        <v>26</v>
      </c>
      <c r="I571" t="s">
        <v>26</v>
      </c>
      <c r="J571" t="s">
        <v>26</v>
      </c>
      <c r="K571" t="s">
        <v>26</v>
      </c>
      <c r="L571" s="25" t="s">
        <v>68</v>
      </c>
      <c r="M571" t="s">
        <v>26</v>
      </c>
      <c r="N571" t="s">
        <v>26</v>
      </c>
      <c r="O571" t="s">
        <v>26</v>
      </c>
      <c r="P571" t="s">
        <v>26</v>
      </c>
      <c r="Q571" t="s">
        <v>26</v>
      </c>
      <c r="R571" t="s">
        <v>26</v>
      </c>
      <c r="S571" t="s">
        <v>26</v>
      </c>
      <c r="T571" t="s">
        <v>26</v>
      </c>
      <c r="U571" t="s">
        <v>26</v>
      </c>
      <c r="V571" t="s">
        <v>26</v>
      </c>
      <c r="W571" s="24">
        <v>40238</v>
      </c>
      <c r="X571" s="25" t="s">
        <v>77</v>
      </c>
      <c r="Y571" s="25" t="s">
        <v>262</v>
      </c>
      <c r="Z571" s="24">
        <v>40238</v>
      </c>
      <c r="AA571" s="25" t="s">
        <v>77</v>
      </c>
      <c r="AB571" s="25" t="s">
        <v>262</v>
      </c>
      <c r="AC571" s="24">
        <v>40238</v>
      </c>
      <c r="AD571" s="25" t="s">
        <v>77</v>
      </c>
      <c r="AE571" s="25" t="s">
        <v>262</v>
      </c>
      <c r="AF571" t="s">
        <v>26</v>
      </c>
      <c r="AG571" t="s">
        <v>26</v>
      </c>
      <c r="AH571" t="s">
        <v>26</v>
      </c>
      <c r="AI571" t="s">
        <v>26</v>
      </c>
      <c r="AJ571" t="s">
        <v>26</v>
      </c>
      <c r="AK571" t="s">
        <v>26</v>
      </c>
      <c r="AL571" t="s">
        <v>26</v>
      </c>
      <c r="AM571" t="s">
        <v>26</v>
      </c>
      <c r="AN571" t="s">
        <v>26</v>
      </c>
      <c r="AO571" s="25" t="s">
        <v>68</v>
      </c>
      <c r="AP571" s="23" t="s">
        <v>69</v>
      </c>
      <c r="AQ571" s="23" t="s">
        <v>30</v>
      </c>
      <c r="AR571" s="23" t="s">
        <v>46</v>
      </c>
      <c r="AS571" s="25">
        <v>186214</v>
      </c>
      <c r="AT571" t="s">
        <v>26</v>
      </c>
      <c r="AU571" t="s">
        <v>23001</v>
      </c>
    </row>
    <row r="572" spans="1:47" ht="26.25" x14ac:dyDescent="0.4">
      <c r="A572" s="23" t="s">
        <v>1525</v>
      </c>
      <c r="B572" t="s">
        <v>26</v>
      </c>
      <c r="C572" s="23" t="s">
        <v>1180</v>
      </c>
      <c r="D572" s="23" t="s">
        <v>22706</v>
      </c>
      <c r="E572" s="23" t="s">
        <v>60</v>
      </c>
      <c r="F572" s="25" t="s">
        <v>1526</v>
      </c>
      <c r="G572" t="s">
        <v>26</v>
      </c>
      <c r="H572" t="s">
        <v>26</v>
      </c>
      <c r="I572" t="s">
        <v>26</v>
      </c>
      <c r="J572" t="s">
        <v>26</v>
      </c>
      <c r="K572" t="s">
        <v>26</v>
      </c>
      <c r="L572" s="25" t="s">
        <v>68</v>
      </c>
      <c r="M572" t="s">
        <v>26</v>
      </c>
      <c r="N572" t="s">
        <v>26</v>
      </c>
      <c r="O572" t="s">
        <v>26</v>
      </c>
      <c r="P572" t="s">
        <v>26</v>
      </c>
      <c r="Q572" t="s">
        <v>26</v>
      </c>
      <c r="R572" t="s">
        <v>26</v>
      </c>
      <c r="S572" t="s">
        <v>26</v>
      </c>
      <c r="T572" t="s">
        <v>26</v>
      </c>
      <c r="U572" t="s">
        <v>26</v>
      </c>
      <c r="V572" t="s">
        <v>26</v>
      </c>
      <c r="W572" s="24">
        <v>42278</v>
      </c>
      <c r="X572" s="25" t="s">
        <v>77</v>
      </c>
      <c r="Y572" t="s">
        <v>26</v>
      </c>
      <c r="Z572" s="24">
        <v>42278</v>
      </c>
      <c r="AA572" s="25" t="s">
        <v>77</v>
      </c>
      <c r="AB572" t="s">
        <v>26</v>
      </c>
      <c r="AC572" s="24">
        <v>42278</v>
      </c>
      <c r="AD572" s="25" t="s">
        <v>77</v>
      </c>
      <c r="AE572" t="s">
        <v>26</v>
      </c>
      <c r="AF572" t="s">
        <v>26</v>
      </c>
      <c r="AG572" t="s">
        <v>26</v>
      </c>
      <c r="AH572" t="s">
        <v>26</v>
      </c>
      <c r="AI572" t="s">
        <v>26</v>
      </c>
      <c r="AJ572" t="s">
        <v>26</v>
      </c>
      <c r="AK572" t="s">
        <v>26</v>
      </c>
      <c r="AL572" t="s">
        <v>26</v>
      </c>
      <c r="AM572" t="s">
        <v>26</v>
      </c>
      <c r="AN572" t="s">
        <v>26</v>
      </c>
      <c r="AO572" s="25" t="s">
        <v>68</v>
      </c>
      <c r="AP572" s="23" t="s">
        <v>69</v>
      </c>
      <c r="AQ572" s="23" t="s">
        <v>30</v>
      </c>
      <c r="AR572" s="23" t="s">
        <v>46</v>
      </c>
      <c r="AS572" s="25">
        <v>2033364</v>
      </c>
      <c r="AT572" t="s">
        <v>26</v>
      </c>
      <c r="AU572" t="s">
        <v>23002</v>
      </c>
    </row>
    <row r="573" spans="1:47" ht="26.25" x14ac:dyDescent="0.4">
      <c r="A573" s="23" t="s">
        <v>1527</v>
      </c>
      <c r="B573" t="s">
        <v>26</v>
      </c>
      <c r="C573" s="23" t="s">
        <v>1528</v>
      </c>
      <c r="D573" s="23" t="s">
        <v>22397</v>
      </c>
      <c r="E573" s="23" t="s">
        <v>60</v>
      </c>
      <c r="F573" s="25" t="s">
        <v>1529</v>
      </c>
      <c r="G573" s="25" t="s">
        <v>1530</v>
      </c>
      <c r="H573" t="s">
        <v>26</v>
      </c>
      <c r="I573" t="s">
        <v>26</v>
      </c>
      <c r="J573" t="s">
        <v>26</v>
      </c>
      <c r="K573" t="s">
        <v>26</v>
      </c>
      <c r="L573" s="25" t="s">
        <v>68</v>
      </c>
      <c r="M573" t="s">
        <v>26</v>
      </c>
      <c r="N573" t="s">
        <v>26</v>
      </c>
      <c r="O573" t="s">
        <v>26</v>
      </c>
      <c r="P573" t="s">
        <v>26</v>
      </c>
      <c r="Q573" t="s">
        <v>26</v>
      </c>
      <c r="R573" t="s">
        <v>26</v>
      </c>
      <c r="S573" t="s">
        <v>26</v>
      </c>
      <c r="T573" t="s">
        <v>26</v>
      </c>
      <c r="U573" t="s">
        <v>26</v>
      </c>
      <c r="V573" t="s">
        <v>26</v>
      </c>
      <c r="W573" s="24">
        <v>37987</v>
      </c>
      <c r="X573" s="25" t="s">
        <v>77</v>
      </c>
      <c r="Y573" t="s">
        <v>26</v>
      </c>
      <c r="Z573" s="24">
        <v>37987</v>
      </c>
      <c r="AA573" s="25" t="s">
        <v>77</v>
      </c>
      <c r="AB573" t="s">
        <v>26</v>
      </c>
      <c r="AC573" s="24">
        <v>37987</v>
      </c>
      <c r="AD573" s="25" t="s">
        <v>77</v>
      </c>
      <c r="AE573" t="s">
        <v>26</v>
      </c>
      <c r="AF573" t="s">
        <v>26</v>
      </c>
      <c r="AG573" t="s">
        <v>26</v>
      </c>
      <c r="AH573" t="s">
        <v>26</v>
      </c>
      <c r="AI573" t="s">
        <v>26</v>
      </c>
      <c r="AJ573" t="s">
        <v>26</v>
      </c>
      <c r="AK573" t="s">
        <v>26</v>
      </c>
      <c r="AL573" t="s">
        <v>26</v>
      </c>
      <c r="AM573" t="s">
        <v>26</v>
      </c>
      <c r="AN573" t="s">
        <v>26</v>
      </c>
      <c r="AO573" s="25" t="s">
        <v>68</v>
      </c>
      <c r="AP573" s="23" t="s">
        <v>69</v>
      </c>
      <c r="AQ573" s="23" t="s">
        <v>30</v>
      </c>
      <c r="AR573" s="23" t="s">
        <v>71</v>
      </c>
      <c r="AS573" s="25">
        <v>32495</v>
      </c>
      <c r="AT573" t="s">
        <v>26</v>
      </c>
      <c r="AU573" t="s">
        <v>23003</v>
      </c>
    </row>
    <row r="574" spans="1:47" ht="26.25" x14ac:dyDescent="0.4">
      <c r="A574" s="23" t="s">
        <v>1531</v>
      </c>
      <c r="B574" t="s">
        <v>26</v>
      </c>
      <c r="C574" s="23" t="s">
        <v>23004</v>
      </c>
      <c r="D574" s="23" t="s">
        <v>23005</v>
      </c>
      <c r="E574" s="23" t="s">
        <v>2636</v>
      </c>
      <c r="F574" s="25" t="s">
        <v>1533</v>
      </c>
      <c r="G574" t="s">
        <v>26</v>
      </c>
      <c r="H574" t="s">
        <v>26</v>
      </c>
      <c r="I574" s="24">
        <v>43644</v>
      </c>
      <c r="J574" s="24">
        <v>43728</v>
      </c>
      <c r="K574" t="s">
        <v>26</v>
      </c>
      <c r="L574" s="25" t="s">
        <v>68</v>
      </c>
      <c r="M574" t="s">
        <v>26</v>
      </c>
      <c r="N574" t="s">
        <v>26</v>
      </c>
      <c r="O574" t="s">
        <v>26</v>
      </c>
      <c r="P574" s="24">
        <v>43644</v>
      </c>
      <c r="Q574" s="24">
        <v>43728</v>
      </c>
      <c r="R574" t="s">
        <v>26</v>
      </c>
      <c r="S574" t="s">
        <v>26</v>
      </c>
      <c r="T574" t="s">
        <v>26</v>
      </c>
      <c r="U574" t="s">
        <v>26</v>
      </c>
      <c r="V574" t="s">
        <v>26</v>
      </c>
      <c r="W574" s="24">
        <v>43644</v>
      </c>
      <c r="X574" s="24">
        <v>43728</v>
      </c>
      <c r="Y574" t="s">
        <v>26</v>
      </c>
      <c r="Z574" s="24">
        <v>43644</v>
      </c>
      <c r="AA574" s="24">
        <v>43728</v>
      </c>
      <c r="AB574" t="s">
        <v>26</v>
      </c>
      <c r="AC574" s="24">
        <v>43644</v>
      </c>
      <c r="AD574" s="24">
        <v>43728</v>
      </c>
      <c r="AE574" t="s">
        <v>26</v>
      </c>
      <c r="AF574" t="s">
        <v>26</v>
      </c>
      <c r="AG574" t="s">
        <v>26</v>
      </c>
      <c r="AH574" t="s">
        <v>26</v>
      </c>
      <c r="AI574" t="s">
        <v>26</v>
      </c>
      <c r="AJ574" t="s">
        <v>26</v>
      </c>
      <c r="AK574" t="s">
        <v>26</v>
      </c>
      <c r="AL574" t="s">
        <v>26</v>
      </c>
      <c r="AM574" t="s">
        <v>26</v>
      </c>
      <c r="AN574" t="s">
        <v>26</v>
      </c>
      <c r="AO574" s="25" t="s">
        <v>68</v>
      </c>
      <c r="AP574" s="23" t="s">
        <v>69</v>
      </c>
      <c r="AQ574" s="23" t="s">
        <v>30</v>
      </c>
      <c r="AR574" s="23" t="s">
        <v>46</v>
      </c>
      <c r="AS574" s="25">
        <v>4433877</v>
      </c>
      <c r="AT574" t="s">
        <v>26</v>
      </c>
      <c r="AU574" t="s">
        <v>23006</v>
      </c>
    </row>
    <row r="575" spans="1:47" ht="26.25" x14ac:dyDescent="0.4">
      <c r="A575" s="23" t="s">
        <v>1534</v>
      </c>
      <c r="B575" t="s">
        <v>26</v>
      </c>
      <c r="C575" s="23" t="s">
        <v>320</v>
      </c>
      <c r="D575" s="23" t="s">
        <v>22254</v>
      </c>
      <c r="E575" s="23" t="s">
        <v>42</v>
      </c>
      <c r="F575" s="25" t="s">
        <v>1535</v>
      </c>
      <c r="G575" s="25" t="s">
        <v>1536</v>
      </c>
      <c r="H575" t="s">
        <v>26</v>
      </c>
      <c r="I575" t="s">
        <v>26</v>
      </c>
      <c r="J575" t="s">
        <v>26</v>
      </c>
      <c r="K575" t="s">
        <v>26</v>
      </c>
      <c r="L575" s="25" t="s">
        <v>68</v>
      </c>
      <c r="M575" t="s">
        <v>26</v>
      </c>
      <c r="N575" t="s">
        <v>26</v>
      </c>
      <c r="O575" t="s">
        <v>26</v>
      </c>
      <c r="P575" t="s">
        <v>26</v>
      </c>
      <c r="Q575" t="s">
        <v>26</v>
      </c>
      <c r="R575" t="s">
        <v>26</v>
      </c>
      <c r="S575" t="s">
        <v>26</v>
      </c>
      <c r="T575" t="s">
        <v>26</v>
      </c>
      <c r="U575" t="s">
        <v>26</v>
      </c>
      <c r="V575" t="s">
        <v>26</v>
      </c>
      <c r="W575" s="24">
        <v>36251</v>
      </c>
      <c r="X575" s="24">
        <v>44166</v>
      </c>
      <c r="Y575" s="25" t="s">
        <v>1537</v>
      </c>
      <c r="Z575" s="24">
        <v>36251</v>
      </c>
      <c r="AA575" s="24">
        <v>44166</v>
      </c>
      <c r="AB575" s="25" t="s">
        <v>1537</v>
      </c>
      <c r="AC575" s="24">
        <v>36251</v>
      </c>
      <c r="AD575" s="24">
        <v>44166</v>
      </c>
      <c r="AE575" s="25" t="s">
        <v>1537</v>
      </c>
      <c r="AF575" t="s">
        <v>26</v>
      </c>
      <c r="AG575" t="s">
        <v>26</v>
      </c>
      <c r="AH575" t="s">
        <v>26</v>
      </c>
      <c r="AI575" t="s">
        <v>26</v>
      </c>
      <c r="AJ575" t="s">
        <v>26</v>
      </c>
      <c r="AK575" t="s">
        <v>26</v>
      </c>
      <c r="AL575" t="s">
        <v>26</v>
      </c>
      <c r="AM575" t="s">
        <v>26</v>
      </c>
      <c r="AN575" t="s">
        <v>26</v>
      </c>
      <c r="AO575" s="25" t="s">
        <v>68</v>
      </c>
      <c r="AP575" s="23" t="s">
        <v>69</v>
      </c>
      <c r="AQ575" s="23" t="s">
        <v>30</v>
      </c>
      <c r="AR575" s="23" t="s">
        <v>46</v>
      </c>
      <c r="AS575" s="25">
        <v>32887</v>
      </c>
      <c r="AT575" t="s">
        <v>26</v>
      </c>
      <c r="AU575" t="s">
        <v>23007</v>
      </c>
    </row>
    <row r="576" spans="1:47" ht="26.25" x14ac:dyDescent="0.4">
      <c r="A576" s="23" t="s">
        <v>1538</v>
      </c>
      <c r="B576" t="s">
        <v>26</v>
      </c>
      <c r="C576" s="23" t="s">
        <v>181</v>
      </c>
      <c r="D576" s="23" t="s">
        <v>22174</v>
      </c>
      <c r="E576" s="23" t="s">
        <v>60</v>
      </c>
      <c r="F576" s="25" t="s">
        <v>1539</v>
      </c>
      <c r="G576" s="25" t="s">
        <v>1540</v>
      </c>
      <c r="H576" t="s">
        <v>26</v>
      </c>
      <c r="I576" s="24">
        <v>35796</v>
      </c>
      <c r="J576" s="24">
        <v>42339</v>
      </c>
      <c r="K576" t="s">
        <v>26</v>
      </c>
      <c r="L576" s="25" t="s">
        <v>68</v>
      </c>
      <c r="M576" t="s">
        <v>26</v>
      </c>
      <c r="N576" t="s">
        <v>26</v>
      </c>
      <c r="O576" t="s">
        <v>26</v>
      </c>
      <c r="P576" s="24">
        <v>35796</v>
      </c>
      <c r="Q576" s="24">
        <v>42339</v>
      </c>
      <c r="R576" t="s">
        <v>26</v>
      </c>
      <c r="S576" t="s">
        <v>26</v>
      </c>
      <c r="T576" t="s">
        <v>26</v>
      </c>
      <c r="U576" t="s">
        <v>26</v>
      </c>
      <c r="V576" t="s">
        <v>26</v>
      </c>
      <c r="W576" s="24">
        <v>35796</v>
      </c>
      <c r="X576" s="25" t="s">
        <v>77</v>
      </c>
      <c r="Y576" t="s">
        <v>26</v>
      </c>
      <c r="Z576" s="24">
        <v>35796</v>
      </c>
      <c r="AA576" s="25" t="s">
        <v>77</v>
      </c>
      <c r="AB576" t="s">
        <v>26</v>
      </c>
      <c r="AC576" s="24">
        <v>35796</v>
      </c>
      <c r="AD576" s="25" t="s">
        <v>77</v>
      </c>
      <c r="AE576" t="s">
        <v>26</v>
      </c>
      <c r="AF576" t="s">
        <v>26</v>
      </c>
      <c r="AG576" t="s">
        <v>26</v>
      </c>
      <c r="AH576" t="s">
        <v>26</v>
      </c>
      <c r="AI576" t="s">
        <v>26</v>
      </c>
      <c r="AJ576" t="s">
        <v>26</v>
      </c>
      <c r="AK576" t="s">
        <v>26</v>
      </c>
      <c r="AL576" t="s">
        <v>26</v>
      </c>
      <c r="AM576" t="s">
        <v>26</v>
      </c>
      <c r="AN576" t="s">
        <v>26</v>
      </c>
      <c r="AO576" s="25" t="s">
        <v>68</v>
      </c>
      <c r="AP576" s="23" t="s">
        <v>69</v>
      </c>
      <c r="AQ576" s="23" t="s">
        <v>30</v>
      </c>
      <c r="AR576" s="23" t="s">
        <v>1541</v>
      </c>
      <c r="AS576" s="25">
        <v>32201</v>
      </c>
      <c r="AT576" t="s">
        <v>26</v>
      </c>
      <c r="AU576" t="s">
        <v>23008</v>
      </c>
    </row>
    <row r="577" spans="1:47" ht="13.15" x14ac:dyDescent="0.4">
      <c r="A577" s="23" t="s">
        <v>1542</v>
      </c>
      <c r="B577" t="s">
        <v>26</v>
      </c>
      <c r="C577" s="23" t="s">
        <v>292</v>
      </c>
      <c r="D577" s="23" t="s">
        <v>22256</v>
      </c>
      <c r="E577" s="23" t="s">
        <v>42</v>
      </c>
      <c r="F577" t="s">
        <v>26</v>
      </c>
      <c r="G577" t="s">
        <v>26</v>
      </c>
      <c r="H577" t="s">
        <v>26</v>
      </c>
      <c r="I577" s="24">
        <v>39814</v>
      </c>
      <c r="J577" s="24">
        <v>39814</v>
      </c>
      <c r="K577" t="s">
        <v>26</v>
      </c>
      <c r="L577" s="25" t="s">
        <v>28</v>
      </c>
      <c r="M577" t="s">
        <v>26</v>
      </c>
      <c r="N577" t="s">
        <v>26</v>
      </c>
      <c r="O577" t="s">
        <v>26</v>
      </c>
      <c r="P577" s="24">
        <v>39814</v>
      </c>
      <c r="Q577" s="24">
        <v>39814</v>
      </c>
      <c r="R577" t="s">
        <v>26</v>
      </c>
      <c r="S577" t="s">
        <v>26</v>
      </c>
      <c r="T577" t="s">
        <v>26</v>
      </c>
      <c r="U577" t="s">
        <v>26</v>
      </c>
      <c r="V577" t="s">
        <v>26</v>
      </c>
      <c r="W577" s="24">
        <v>39814</v>
      </c>
      <c r="X577" s="24">
        <v>39814</v>
      </c>
      <c r="Y577" t="s">
        <v>26</v>
      </c>
      <c r="Z577" s="24">
        <v>39814</v>
      </c>
      <c r="AA577" s="24">
        <v>39814</v>
      </c>
      <c r="AB577" t="s">
        <v>26</v>
      </c>
      <c r="AC577" s="24">
        <v>39814</v>
      </c>
      <c r="AD577" s="24">
        <v>39814</v>
      </c>
      <c r="AE577" t="s">
        <v>26</v>
      </c>
      <c r="AF577" t="s">
        <v>26</v>
      </c>
      <c r="AG577" t="s">
        <v>26</v>
      </c>
      <c r="AH577" t="s">
        <v>26</v>
      </c>
      <c r="AI577" t="s">
        <v>26</v>
      </c>
      <c r="AJ577" t="s">
        <v>26</v>
      </c>
      <c r="AK577" t="s">
        <v>26</v>
      </c>
      <c r="AL577" t="s">
        <v>26</v>
      </c>
      <c r="AM577" t="s">
        <v>26</v>
      </c>
      <c r="AN577" t="s">
        <v>26</v>
      </c>
      <c r="AO577" s="25" t="s">
        <v>28</v>
      </c>
      <c r="AP577" s="23" t="s">
        <v>29</v>
      </c>
      <c r="AQ577" s="23" t="s">
        <v>30</v>
      </c>
      <c r="AR577" s="23" t="s">
        <v>147</v>
      </c>
      <c r="AS577" s="25">
        <v>5325196</v>
      </c>
      <c r="AT577" s="23" t="s">
        <v>22181</v>
      </c>
      <c r="AU577" t="s">
        <v>23009</v>
      </c>
    </row>
    <row r="578" spans="1:47" ht="26.25" x14ac:dyDescent="0.4">
      <c r="A578" s="23" t="s">
        <v>1543</v>
      </c>
      <c r="B578" t="s">
        <v>26</v>
      </c>
      <c r="C578" s="23" t="s">
        <v>73</v>
      </c>
      <c r="D578" s="23" t="s">
        <v>22179</v>
      </c>
      <c r="E578" s="23" t="s">
        <v>74</v>
      </c>
      <c r="F578" s="25" t="s">
        <v>1544</v>
      </c>
      <c r="G578" s="25" t="s">
        <v>1545</v>
      </c>
      <c r="H578" t="s">
        <v>26</v>
      </c>
      <c r="I578" s="24">
        <v>35400</v>
      </c>
      <c r="J578" s="25" t="s">
        <v>77</v>
      </c>
      <c r="K578" t="s">
        <v>26</v>
      </c>
      <c r="L578" s="25" t="s">
        <v>68</v>
      </c>
      <c r="M578" s="24">
        <v>36130</v>
      </c>
      <c r="N578" s="24">
        <v>42795</v>
      </c>
      <c r="O578" t="s">
        <v>26</v>
      </c>
      <c r="P578" s="24">
        <v>35400</v>
      </c>
      <c r="Q578" s="25" t="s">
        <v>77</v>
      </c>
      <c r="R578" t="s">
        <v>26</v>
      </c>
      <c r="S578" t="s">
        <v>26</v>
      </c>
      <c r="T578" t="s">
        <v>26</v>
      </c>
      <c r="U578" t="s">
        <v>26</v>
      </c>
      <c r="V578" s="25">
        <v>365</v>
      </c>
      <c r="W578" s="24">
        <v>32599</v>
      </c>
      <c r="X578" s="25" t="s">
        <v>77</v>
      </c>
      <c r="Y578" t="s">
        <v>26</v>
      </c>
      <c r="Z578" s="24">
        <v>32599</v>
      </c>
      <c r="AA578" s="25" t="s">
        <v>77</v>
      </c>
      <c r="AB578" t="s">
        <v>26</v>
      </c>
      <c r="AC578" s="24">
        <v>32599</v>
      </c>
      <c r="AD578" s="25" t="s">
        <v>77</v>
      </c>
      <c r="AE578" t="s">
        <v>26</v>
      </c>
      <c r="AF578" t="s">
        <v>26</v>
      </c>
      <c r="AG578" t="s">
        <v>26</v>
      </c>
      <c r="AH578" t="s">
        <v>26</v>
      </c>
      <c r="AI578" t="s">
        <v>26</v>
      </c>
      <c r="AJ578" t="s">
        <v>26</v>
      </c>
      <c r="AK578" t="s">
        <v>26</v>
      </c>
      <c r="AL578" t="s">
        <v>26</v>
      </c>
      <c r="AM578" t="s">
        <v>26</v>
      </c>
      <c r="AN578" t="s">
        <v>26</v>
      </c>
      <c r="AO578" s="25" t="s">
        <v>68</v>
      </c>
      <c r="AP578" s="23" t="s">
        <v>69</v>
      </c>
      <c r="AQ578" s="23" t="s">
        <v>30</v>
      </c>
      <c r="AR578" s="23" t="s">
        <v>147</v>
      </c>
      <c r="AS578" s="25">
        <v>48519</v>
      </c>
      <c r="AT578" t="s">
        <v>26</v>
      </c>
      <c r="AU578" t="s">
        <v>23010</v>
      </c>
    </row>
    <row r="579" spans="1:47" ht="26.25" x14ac:dyDescent="0.4">
      <c r="A579" s="23" t="s">
        <v>1546</v>
      </c>
      <c r="B579" t="s">
        <v>26</v>
      </c>
      <c r="C579" s="23" t="s">
        <v>1547</v>
      </c>
      <c r="D579" s="23" t="s">
        <v>23011</v>
      </c>
      <c r="E579" s="23" t="s">
        <v>1548</v>
      </c>
      <c r="F579" s="25" t="s">
        <v>1549</v>
      </c>
      <c r="G579" s="25" t="s">
        <v>1550</v>
      </c>
      <c r="H579" t="s">
        <v>26</v>
      </c>
      <c r="I579" s="24">
        <v>42370</v>
      </c>
      <c r="J579" s="25" t="s">
        <v>77</v>
      </c>
      <c r="K579" t="s">
        <v>26</v>
      </c>
      <c r="L579" s="25" t="s">
        <v>68</v>
      </c>
      <c r="M579" s="24">
        <v>42370</v>
      </c>
      <c r="N579" s="25" t="s">
        <v>77</v>
      </c>
      <c r="O579" t="s">
        <v>26</v>
      </c>
      <c r="P579" s="24">
        <v>42370</v>
      </c>
      <c r="Q579" s="25" t="s">
        <v>77</v>
      </c>
      <c r="R579" t="s">
        <v>26</v>
      </c>
      <c r="S579" t="s">
        <v>26</v>
      </c>
      <c r="T579" t="s">
        <v>26</v>
      </c>
      <c r="U579" t="s">
        <v>26</v>
      </c>
      <c r="V579" t="s">
        <v>26</v>
      </c>
      <c r="W579" s="24">
        <v>42370</v>
      </c>
      <c r="X579" s="25" t="s">
        <v>77</v>
      </c>
      <c r="Y579" t="s">
        <v>26</v>
      </c>
      <c r="Z579" s="24">
        <v>42370</v>
      </c>
      <c r="AA579" s="25" t="s">
        <v>77</v>
      </c>
      <c r="AB579" t="s">
        <v>26</v>
      </c>
      <c r="AC579" s="24">
        <v>42370</v>
      </c>
      <c r="AD579" s="25" t="s">
        <v>77</v>
      </c>
      <c r="AE579" t="s">
        <v>26</v>
      </c>
      <c r="AF579" t="s">
        <v>26</v>
      </c>
      <c r="AG579" t="s">
        <v>26</v>
      </c>
      <c r="AH579" t="s">
        <v>26</v>
      </c>
      <c r="AI579" t="s">
        <v>26</v>
      </c>
      <c r="AJ579" t="s">
        <v>26</v>
      </c>
      <c r="AK579" t="s">
        <v>26</v>
      </c>
      <c r="AL579" t="s">
        <v>26</v>
      </c>
      <c r="AM579" t="s">
        <v>26</v>
      </c>
      <c r="AN579" t="s">
        <v>26</v>
      </c>
      <c r="AO579" s="25" t="s">
        <v>68</v>
      </c>
      <c r="AP579" s="23" t="s">
        <v>69</v>
      </c>
      <c r="AQ579" s="23" t="s">
        <v>30</v>
      </c>
      <c r="AR579" s="23" t="s">
        <v>1046</v>
      </c>
      <c r="AS579" s="25">
        <v>5603889</v>
      </c>
      <c r="AT579" t="s">
        <v>26</v>
      </c>
      <c r="AU579" t="s">
        <v>23012</v>
      </c>
    </row>
    <row r="580" spans="1:47" ht="26.25" x14ac:dyDescent="0.4">
      <c r="A580" s="23" t="s">
        <v>1551</v>
      </c>
      <c r="B580" t="s">
        <v>26</v>
      </c>
      <c r="C580" s="23" t="s">
        <v>998</v>
      </c>
      <c r="D580" s="23" t="s">
        <v>22499</v>
      </c>
      <c r="E580" s="23" t="s">
        <v>711</v>
      </c>
      <c r="F580" t="s">
        <v>26</v>
      </c>
      <c r="G580" s="25" t="s">
        <v>1552</v>
      </c>
      <c r="H580" t="s">
        <v>26</v>
      </c>
      <c r="I580" s="24">
        <v>44197</v>
      </c>
      <c r="J580" s="25" t="s">
        <v>77</v>
      </c>
      <c r="K580" t="s">
        <v>26</v>
      </c>
      <c r="L580" s="25" t="s">
        <v>68</v>
      </c>
      <c r="M580" s="24">
        <v>44197</v>
      </c>
      <c r="N580" s="25" t="s">
        <v>77</v>
      </c>
      <c r="O580" t="s">
        <v>26</v>
      </c>
      <c r="P580" s="24">
        <v>44197</v>
      </c>
      <c r="Q580" s="25" t="s">
        <v>77</v>
      </c>
      <c r="R580" t="s">
        <v>26</v>
      </c>
      <c r="S580" t="s">
        <v>26</v>
      </c>
      <c r="T580" t="s">
        <v>26</v>
      </c>
      <c r="U580" t="s">
        <v>26</v>
      </c>
      <c r="V580" t="s">
        <v>26</v>
      </c>
      <c r="W580" s="24">
        <v>44197</v>
      </c>
      <c r="X580" s="25" t="s">
        <v>77</v>
      </c>
      <c r="Y580" t="s">
        <v>26</v>
      </c>
      <c r="Z580" s="24">
        <v>44197</v>
      </c>
      <c r="AA580" s="25" t="s">
        <v>77</v>
      </c>
      <c r="AB580" t="s">
        <v>26</v>
      </c>
      <c r="AC580" s="24">
        <v>44197</v>
      </c>
      <c r="AD580" s="25" t="s">
        <v>77</v>
      </c>
      <c r="AE580" t="s">
        <v>26</v>
      </c>
      <c r="AF580" t="s">
        <v>26</v>
      </c>
      <c r="AG580" t="s">
        <v>26</v>
      </c>
      <c r="AH580" t="s">
        <v>26</v>
      </c>
      <c r="AI580" t="s">
        <v>26</v>
      </c>
      <c r="AJ580" t="s">
        <v>26</v>
      </c>
      <c r="AK580" t="s">
        <v>26</v>
      </c>
      <c r="AL580" t="s">
        <v>26</v>
      </c>
      <c r="AM580" t="s">
        <v>26</v>
      </c>
      <c r="AN580" t="s">
        <v>26</v>
      </c>
      <c r="AO580" s="25" t="s">
        <v>68</v>
      </c>
      <c r="AP580" s="23" t="s">
        <v>69</v>
      </c>
      <c r="AQ580" s="23" t="s">
        <v>30</v>
      </c>
      <c r="AR580" s="23" t="s">
        <v>70</v>
      </c>
      <c r="AS580" s="25">
        <v>5046909</v>
      </c>
      <c r="AT580" t="s">
        <v>26</v>
      </c>
      <c r="AU580" t="s">
        <v>23013</v>
      </c>
    </row>
    <row r="581" spans="1:47" ht="13.15" x14ac:dyDescent="0.4">
      <c r="A581" s="23" t="s">
        <v>1553</v>
      </c>
      <c r="B581" t="s">
        <v>26</v>
      </c>
      <c r="C581" s="23" t="s">
        <v>107</v>
      </c>
      <c r="D581" s="23" t="s">
        <v>22194</v>
      </c>
      <c r="E581" s="23" t="s">
        <v>42</v>
      </c>
      <c r="F581" t="s">
        <v>26</v>
      </c>
      <c r="G581" t="s">
        <v>26</v>
      </c>
      <c r="H581" t="s">
        <v>26</v>
      </c>
      <c r="I581" s="24">
        <v>36526</v>
      </c>
      <c r="J581" s="24">
        <v>36526</v>
      </c>
      <c r="K581" t="s">
        <v>26</v>
      </c>
      <c r="L581" s="25" t="s">
        <v>28</v>
      </c>
      <c r="M581" s="24">
        <v>36526</v>
      </c>
      <c r="N581" s="24">
        <v>36526</v>
      </c>
      <c r="O581" t="s">
        <v>26</v>
      </c>
      <c r="P581" t="s">
        <v>26</v>
      </c>
      <c r="Q581" t="s">
        <v>26</v>
      </c>
      <c r="R581" t="s">
        <v>26</v>
      </c>
      <c r="S581" t="s">
        <v>26</v>
      </c>
      <c r="T581" t="s">
        <v>26</v>
      </c>
      <c r="U581" t="s">
        <v>26</v>
      </c>
      <c r="V581" t="s">
        <v>26</v>
      </c>
      <c r="W581" s="24">
        <v>36526</v>
      </c>
      <c r="X581" s="24">
        <v>36526</v>
      </c>
      <c r="Y581" t="s">
        <v>26</v>
      </c>
      <c r="Z581" s="24">
        <v>36526</v>
      </c>
      <c r="AA581" s="24">
        <v>36526</v>
      </c>
      <c r="AB581" t="s">
        <v>26</v>
      </c>
      <c r="AC581" s="24">
        <v>36526</v>
      </c>
      <c r="AD581" s="24">
        <v>36526</v>
      </c>
      <c r="AE581" t="s">
        <v>26</v>
      </c>
      <c r="AF581" t="s">
        <v>26</v>
      </c>
      <c r="AG581" t="s">
        <v>26</v>
      </c>
      <c r="AH581" t="s">
        <v>26</v>
      </c>
      <c r="AI581" t="s">
        <v>26</v>
      </c>
      <c r="AJ581" t="s">
        <v>26</v>
      </c>
      <c r="AK581" t="s">
        <v>26</v>
      </c>
      <c r="AL581" t="s">
        <v>26</v>
      </c>
      <c r="AM581" t="s">
        <v>26</v>
      </c>
      <c r="AN581" t="s">
        <v>26</v>
      </c>
      <c r="AO581" s="25" t="s">
        <v>28</v>
      </c>
      <c r="AP581" s="23" t="s">
        <v>29</v>
      </c>
      <c r="AQ581" s="23" t="s">
        <v>30</v>
      </c>
      <c r="AR581" s="23" t="s">
        <v>46</v>
      </c>
      <c r="AS581" s="25">
        <v>6009017</v>
      </c>
      <c r="AT581" t="s">
        <v>26</v>
      </c>
      <c r="AU581" t="s">
        <v>23014</v>
      </c>
    </row>
    <row r="582" spans="1:47" ht="26.25" x14ac:dyDescent="0.4">
      <c r="A582" s="23" t="s">
        <v>1554</v>
      </c>
      <c r="B582" t="s">
        <v>26</v>
      </c>
      <c r="C582" t="s">
        <v>26</v>
      </c>
      <c r="D582" s="23" t="s">
        <v>22207</v>
      </c>
      <c r="E582" t="s">
        <v>26</v>
      </c>
      <c r="F582" s="25" t="s">
        <v>1555</v>
      </c>
      <c r="G582" t="s">
        <v>26</v>
      </c>
      <c r="H582" t="s">
        <v>26</v>
      </c>
      <c r="I582" s="24">
        <v>40179</v>
      </c>
      <c r="J582" s="25" t="s">
        <v>77</v>
      </c>
      <c r="K582" t="s">
        <v>26</v>
      </c>
      <c r="L582" s="25" t="s">
        <v>68</v>
      </c>
      <c r="M582" s="24">
        <v>42736</v>
      </c>
      <c r="N582" s="25" t="s">
        <v>77</v>
      </c>
      <c r="O582" t="s">
        <v>26</v>
      </c>
      <c r="P582" s="24">
        <v>40179</v>
      </c>
      <c r="Q582" s="25" t="s">
        <v>77</v>
      </c>
      <c r="R582" t="s">
        <v>26</v>
      </c>
      <c r="S582" t="s">
        <v>26</v>
      </c>
      <c r="T582" t="s">
        <v>26</v>
      </c>
      <c r="U582" t="s">
        <v>26</v>
      </c>
      <c r="V582" t="s">
        <v>26</v>
      </c>
      <c r="W582" s="24">
        <v>40179</v>
      </c>
      <c r="X582" s="25" t="s">
        <v>77</v>
      </c>
      <c r="Y582" t="s">
        <v>26</v>
      </c>
      <c r="Z582" s="24">
        <v>40179</v>
      </c>
      <c r="AA582" s="25" t="s">
        <v>77</v>
      </c>
      <c r="AB582" t="s">
        <v>26</v>
      </c>
      <c r="AC582" s="24">
        <v>40179</v>
      </c>
      <c r="AD582" s="25" t="s">
        <v>77</v>
      </c>
      <c r="AE582" t="s">
        <v>26</v>
      </c>
      <c r="AF582" t="s">
        <v>26</v>
      </c>
      <c r="AG582" t="s">
        <v>26</v>
      </c>
      <c r="AH582" t="s">
        <v>26</v>
      </c>
      <c r="AI582" t="s">
        <v>26</v>
      </c>
      <c r="AJ582" t="s">
        <v>26</v>
      </c>
      <c r="AK582" t="s">
        <v>26</v>
      </c>
      <c r="AL582" t="s">
        <v>26</v>
      </c>
      <c r="AM582" t="s">
        <v>26</v>
      </c>
      <c r="AN582" t="s">
        <v>26</v>
      </c>
      <c r="AO582" s="25" t="s">
        <v>68</v>
      </c>
      <c r="AP582" s="23" t="s">
        <v>69</v>
      </c>
      <c r="AQ582" s="23" t="s">
        <v>142</v>
      </c>
      <c r="AR582" s="23" t="s">
        <v>46</v>
      </c>
      <c r="AS582" s="25">
        <v>4852145</v>
      </c>
      <c r="AT582" t="s">
        <v>26</v>
      </c>
      <c r="AU582" t="s">
        <v>23015</v>
      </c>
    </row>
    <row r="583" spans="1:47" ht="26.25" x14ac:dyDescent="0.4">
      <c r="A583" s="23" t="s">
        <v>1556</v>
      </c>
      <c r="B583" t="s">
        <v>26</v>
      </c>
      <c r="C583" t="s">
        <v>26</v>
      </c>
      <c r="D583" s="23" t="s">
        <v>22207</v>
      </c>
      <c r="E583" t="s">
        <v>26</v>
      </c>
      <c r="F583" s="25" t="s">
        <v>1557</v>
      </c>
      <c r="G583" s="25" t="s">
        <v>1558</v>
      </c>
      <c r="H583" t="s">
        <v>26</v>
      </c>
      <c r="I583" s="24">
        <v>32874</v>
      </c>
      <c r="J583" s="25" t="s">
        <v>77</v>
      </c>
      <c r="K583" s="25" t="s">
        <v>1559</v>
      </c>
      <c r="L583" s="25" t="s">
        <v>68</v>
      </c>
      <c r="M583" s="24">
        <v>32874</v>
      </c>
      <c r="N583" s="25" t="s">
        <v>77</v>
      </c>
      <c r="O583" s="25" t="s">
        <v>23016</v>
      </c>
      <c r="P583" s="24">
        <v>35796</v>
      </c>
      <c r="Q583" s="25" t="s">
        <v>77</v>
      </c>
      <c r="R583" s="25" t="s">
        <v>1559</v>
      </c>
      <c r="S583" t="s">
        <v>26</v>
      </c>
      <c r="T583" t="s">
        <v>26</v>
      </c>
      <c r="U583" t="s">
        <v>26</v>
      </c>
      <c r="V583" t="s">
        <v>26</v>
      </c>
      <c r="W583" s="24">
        <v>32874</v>
      </c>
      <c r="X583" s="25" t="s">
        <v>77</v>
      </c>
      <c r="Y583" s="25" t="s">
        <v>1559</v>
      </c>
      <c r="Z583" s="24">
        <v>32874</v>
      </c>
      <c r="AA583" s="25" t="s">
        <v>77</v>
      </c>
      <c r="AB583" s="25" t="s">
        <v>1559</v>
      </c>
      <c r="AC583" s="24">
        <v>32874</v>
      </c>
      <c r="AD583" s="25" t="s">
        <v>77</v>
      </c>
      <c r="AE583" s="25" t="s">
        <v>1559</v>
      </c>
      <c r="AF583" t="s">
        <v>26</v>
      </c>
      <c r="AG583" t="s">
        <v>26</v>
      </c>
      <c r="AH583" t="s">
        <v>26</v>
      </c>
      <c r="AI583" t="s">
        <v>26</v>
      </c>
      <c r="AJ583" t="s">
        <v>26</v>
      </c>
      <c r="AK583" t="s">
        <v>26</v>
      </c>
      <c r="AL583" t="s">
        <v>26</v>
      </c>
      <c r="AM583" t="s">
        <v>26</v>
      </c>
      <c r="AN583" t="s">
        <v>26</v>
      </c>
      <c r="AO583" s="25" t="s">
        <v>68</v>
      </c>
      <c r="AP583" s="23" t="s">
        <v>69</v>
      </c>
      <c r="AQ583" s="23" t="s">
        <v>142</v>
      </c>
      <c r="AR583" s="23" t="s">
        <v>46</v>
      </c>
      <c r="AS583" s="25">
        <v>4852149</v>
      </c>
      <c r="AT583" t="s">
        <v>26</v>
      </c>
      <c r="AU583" t="s">
        <v>23017</v>
      </c>
    </row>
    <row r="584" spans="1:47" ht="26.25" x14ac:dyDescent="0.4">
      <c r="A584" s="23" t="s">
        <v>1560</v>
      </c>
      <c r="B584" t="s">
        <v>26</v>
      </c>
      <c r="C584" s="23" t="s">
        <v>80</v>
      </c>
      <c r="D584" s="23" t="s">
        <v>22174</v>
      </c>
      <c r="E584" s="23" t="s">
        <v>60</v>
      </c>
      <c r="F584" s="25" t="s">
        <v>1561</v>
      </c>
      <c r="G584" s="25" t="s">
        <v>1562</v>
      </c>
      <c r="H584" t="s">
        <v>26</v>
      </c>
      <c r="I584" t="s">
        <v>26</v>
      </c>
      <c r="J584" t="s">
        <v>26</v>
      </c>
      <c r="K584" t="s">
        <v>26</v>
      </c>
      <c r="L584" s="25" t="s">
        <v>68</v>
      </c>
      <c r="M584" t="s">
        <v>26</v>
      </c>
      <c r="N584" t="s">
        <v>26</v>
      </c>
      <c r="O584" t="s">
        <v>26</v>
      </c>
      <c r="P584" t="s">
        <v>26</v>
      </c>
      <c r="Q584" t="s">
        <v>26</v>
      </c>
      <c r="R584" t="s">
        <v>26</v>
      </c>
      <c r="S584" t="s">
        <v>26</v>
      </c>
      <c r="T584" t="s">
        <v>26</v>
      </c>
      <c r="U584" t="s">
        <v>26</v>
      </c>
      <c r="V584" t="s">
        <v>26</v>
      </c>
      <c r="W584" s="24">
        <v>40969</v>
      </c>
      <c r="X584" s="25" t="s">
        <v>77</v>
      </c>
      <c r="Y584" t="s">
        <v>26</v>
      </c>
      <c r="Z584" s="24">
        <v>40969</v>
      </c>
      <c r="AA584" s="25" t="s">
        <v>77</v>
      </c>
      <c r="AB584" t="s">
        <v>26</v>
      </c>
      <c r="AC584" s="24">
        <v>40969</v>
      </c>
      <c r="AD584" s="25" t="s">
        <v>77</v>
      </c>
      <c r="AE584" t="s">
        <v>26</v>
      </c>
      <c r="AF584" t="s">
        <v>26</v>
      </c>
      <c r="AG584" t="s">
        <v>26</v>
      </c>
      <c r="AH584" t="s">
        <v>26</v>
      </c>
      <c r="AI584" t="s">
        <v>26</v>
      </c>
      <c r="AJ584" t="s">
        <v>26</v>
      </c>
      <c r="AK584" t="s">
        <v>26</v>
      </c>
      <c r="AL584" t="s">
        <v>26</v>
      </c>
      <c r="AM584" t="s">
        <v>26</v>
      </c>
      <c r="AN584" t="s">
        <v>26</v>
      </c>
      <c r="AO584" s="25" t="s">
        <v>68</v>
      </c>
      <c r="AP584" s="23" t="s">
        <v>69</v>
      </c>
      <c r="AQ584" s="23" t="s">
        <v>30</v>
      </c>
      <c r="AR584" s="23" t="s">
        <v>46</v>
      </c>
      <c r="AS584" s="25">
        <v>186212</v>
      </c>
      <c r="AT584" t="s">
        <v>26</v>
      </c>
      <c r="AU584" t="s">
        <v>23018</v>
      </c>
    </row>
    <row r="585" spans="1:47" ht="26.25" x14ac:dyDescent="0.4">
      <c r="A585" s="23" t="s">
        <v>1563</v>
      </c>
      <c r="B585" t="s">
        <v>26</v>
      </c>
      <c r="C585" s="23" t="s">
        <v>1180</v>
      </c>
      <c r="D585" s="23" t="s">
        <v>22706</v>
      </c>
      <c r="E585" s="23" t="s">
        <v>60</v>
      </c>
      <c r="F585" s="25" t="s">
        <v>1564</v>
      </c>
      <c r="G585" t="s">
        <v>26</v>
      </c>
      <c r="H585" t="s">
        <v>26</v>
      </c>
      <c r="I585" t="s">
        <v>26</v>
      </c>
      <c r="J585" t="s">
        <v>26</v>
      </c>
      <c r="K585" t="s">
        <v>26</v>
      </c>
      <c r="L585" s="25" t="s">
        <v>68</v>
      </c>
      <c r="M585" t="s">
        <v>26</v>
      </c>
      <c r="N585" t="s">
        <v>26</v>
      </c>
      <c r="O585" t="s">
        <v>26</v>
      </c>
      <c r="P585" t="s">
        <v>26</v>
      </c>
      <c r="Q585" t="s">
        <v>26</v>
      </c>
      <c r="R585" t="s">
        <v>26</v>
      </c>
      <c r="S585" t="s">
        <v>26</v>
      </c>
      <c r="T585" t="s">
        <v>26</v>
      </c>
      <c r="U585" t="s">
        <v>26</v>
      </c>
      <c r="V585" t="s">
        <v>26</v>
      </c>
      <c r="W585" s="24">
        <v>42156</v>
      </c>
      <c r="X585" s="25" t="s">
        <v>77</v>
      </c>
      <c r="Y585" t="s">
        <v>26</v>
      </c>
      <c r="Z585" s="24">
        <v>42156</v>
      </c>
      <c r="AA585" s="25" t="s">
        <v>77</v>
      </c>
      <c r="AB585" t="s">
        <v>26</v>
      </c>
      <c r="AC585" s="24">
        <v>42156</v>
      </c>
      <c r="AD585" s="25" t="s">
        <v>77</v>
      </c>
      <c r="AE585" t="s">
        <v>26</v>
      </c>
      <c r="AF585" t="s">
        <v>26</v>
      </c>
      <c r="AG585" t="s">
        <v>26</v>
      </c>
      <c r="AH585" t="s">
        <v>26</v>
      </c>
      <c r="AI585" t="s">
        <v>26</v>
      </c>
      <c r="AJ585" t="s">
        <v>26</v>
      </c>
      <c r="AK585" t="s">
        <v>26</v>
      </c>
      <c r="AL585" t="s">
        <v>26</v>
      </c>
      <c r="AM585" t="s">
        <v>26</v>
      </c>
      <c r="AN585" t="s">
        <v>26</v>
      </c>
      <c r="AO585" s="25" t="s">
        <v>28</v>
      </c>
      <c r="AP585" s="23" t="s">
        <v>69</v>
      </c>
      <c r="AQ585" s="23" t="s">
        <v>30</v>
      </c>
      <c r="AR585" s="23" t="s">
        <v>46</v>
      </c>
      <c r="AS585" s="25">
        <v>2032934</v>
      </c>
      <c r="AT585" t="s">
        <v>26</v>
      </c>
      <c r="AU585" t="s">
        <v>23019</v>
      </c>
    </row>
    <row r="586" spans="1:47" ht="26.25" x14ac:dyDescent="0.4">
      <c r="A586" s="23" t="s">
        <v>1565</v>
      </c>
      <c r="B586" t="s">
        <v>26</v>
      </c>
      <c r="C586" s="23" t="s">
        <v>80</v>
      </c>
      <c r="D586" s="23" t="s">
        <v>22184</v>
      </c>
      <c r="E586" s="23" t="s">
        <v>60</v>
      </c>
      <c r="F586" t="s">
        <v>26</v>
      </c>
      <c r="G586" s="25" t="s">
        <v>1566</v>
      </c>
      <c r="H586" t="s">
        <v>26</v>
      </c>
      <c r="I586" s="24">
        <v>41974</v>
      </c>
      <c r="J586" s="25" t="s">
        <v>77</v>
      </c>
      <c r="K586" t="s">
        <v>26</v>
      </c>
      <c r="L586" s="25" t="s">
        <v>68</v>
      </c>
      <c r="M586" t="s">
        <v>26</v>
      </c>
      <c r="N586" t="s">
        <v>26</v>
      </c>
      <c r="O586" t="s">
        <v>26</v>
      </c>
      <c r="P586" s="24">
        <v>41974</v>
      </c>
      <c r="Q586" s="25" t="s">
        <v>77</v>
      </c>
      <c r="R586" t="s">
        <v>26</v>
      </c>
      <c r="S586" t="s">
        <v>26</v>
      </c>
      <c r="T586" t="s">
        <v>26</v>
      </c>
      <c r="U586" t="s">
        <v>26</v>
      </c>
      <c r="V586" t="s">
        <v>26</v>
      </c>
      <c r="W586" s="24">
        <v>41974</v>
      </c>
      <c r="X586" s="25" t="s">
        <v>77</v>
      </c>
      <c r="Y586" t="s">
        <v>26</v>
      </c>
      <c r="Z586" s="24">
        <v>41974</v>
      </c>
      <c r="AA586" s="25" t="s">
        <v>77</v>
      </c>
      <c r="AB586" t="s">
        <v>26</v>
      </c>
      <c r="AC586" s="24">
        <v>41974</v>
      </c>
      <c r="AD586" s="25" t="s">
        <v>77</v>
      </c>
      <c r="AE586" t="s">
        <v>26</v>
      </c>
      <c r="AF586" t="s">
        <v>26</v>
      </c>
      <c r="AG586" t="s">
        <v>26</v>
      </c>
      <c r="AH586" t="s">
        <v>26</v>
      </c>
      <c r="AI586" t="s">
        <v>26</v>
      </c>
      <c r="AJ586" t="s">
        <v>26</v>
      </c>
      <c r="AK586" t="s">
        <v>26</v>
      </c>
      <c r="AL586" t="s">
        <v>26</v>
      </c>
      <c r="AM586" t="s">
        <v>26</v>
      </c>
      <c r="AN586" t="s">
        <v>26</v>
      </c>
      <c r="AO586" s="25" t="s">
        <v>28</v>
      </c>
      <c r="AP586" s="23" t="s">
        <v>69</v>
      </c>
      <c r="AQ586" s="23" t="s">
        <v>30</v>
      </c>
      <c r="AR586" s="23" t="s">
        <v>46</v>
      </c>
      <c r="AS586" s="25">
        <v>2043308</v>
      </c>
      <c r="AT586" t="s">
        <v>26</v>
      </c>
      <c r="AU586" t="s">
        <v>23020</v>
      </c>
    </row>
    <row r="587" spans="1:47" ht="26.25" x14ac:dyDescent="0.4">
      <c r="A587" s="23" t="s">
        <v>1567</v>
      </c>
      <c r="B587" t="s">
        <v>26</v>
      </c>
      <c r="C587" s="23" t="s">
        <v>176</v>
      </c>
      <c r="D587" s="23" t="s">
        <v>23021</v>
      </c>
      <c r="E587" s="23" t="s">
        <v>60</v>
      </c>
      <c r="F587" s="25" t="s">
        <v>1568</v>
      </c>
      <c r="G587" s="25" t="s">
        <v>1569</v>
      </c>
      <c r="H587" t="s">
        <v>26</v>
      </c>
      <c r="I587" t="s">
        <v>26</v>
      </c>
      <c r="J587" t="s">
        <v>26</v>
      </c>
      <c r="K587" t="s">
        <v>26</v>
      </c>
      <c r="L587" s="25" t="s">
        <v>68</v>
      </c>
      <c r="M587" t="s">
        <v>26</v>
      </c>
      <c r="N587" t="s">
        <v>26</v>
      </c>
      <c r="O587" t="s">
        <v>26</v>
      </c>
      <c r="P587" t="s">
        <v>26</v>
      </c>
      <c r="Q587" t="s">
        <v>26</v>
      </c>
      <c r="R587" t="s">
        <v>26</v>
      </c>
      <c r="S587" t="s">
        <v>26</v>
      </c>
      <c r="T587" t="s">
        <v>26</v>
      </c>
      <c r="U587" t="s">
        <v>26</v>
      </c>
      <c r="V587" t="s">
        <v>26</v>
      </c>
      <c r="W587" s="24">
        <v>42705</v>
      </c>
      <c r="X587" s="24">
        <v>44927</v>
      </c>
      <c r="Y587" t="s">
        <v>26</v>
      </c>
      <c r="Z587" s="24">
        <v>42705</v>
      </c>
      <c r="AA587" s="24">
        <v>44927</v>
      </c>
      <c r="AB587" t="s">
        <v>26</v>
      </c>
      <c r="AC587" s="24">
        <v>42705</v>
      </c>
      <c r="AD587" s="24">
        <v>44927</v>
      </c>
      <c r="AE587" t="s">
        <v>26</v>
      </c>
      <c r="AF587" t="s">
        <v>26</v>
      </c>
      <c r="AG587" t="s">
        <v>26</v>
      </c>
      <c r="AH587" t="s">
        <v>26</v>
      </c>
      <c r="AI587" t="s">
        <v>26</v>
      </c>
      <c r="AJ587" t="s">
        <v>26</v>
      </c>
      <c r="AK587" t="s">
        <v>26</v>
      </c>
      <c r="AL587" t="s">
        <v>26</v>
      </c>
      <c r="AM587" t="s">
        <v>26</v>
      </c>
      <c r="AN587" t="s">
        <v>26</v>
      </c>
      <c r="AO587" s="25" t="s">
        <v>68</v>
      </c>
      <c r="AP587" s="23" t="s">
        <v>69</v>
      </c>
      <c r="AQ587" s="23" t="s">
        <v>30</v>
      </c>
      <c r="AR587" s="23" t="s">
        <v>46</v>
      </c>
      <c r="AS587" s="25">
        <v>2038288</v>
      </c>
      <c r="AT587" t="s">
        <v>26</v>
      </c>
      <c r="AU587" t="s">
        <v>23022</v>
      </c>
    </row>
    <row r="588" spans="1:47" ht="26.25" x14ac:dyDescent="0.4">
      <c r="A588" s="23" t="s">
        <v>1570</v>
      </c>
      <c r="B588" t="s">
        <v>26</v>
      </c>
      <c r="C588" s="23" t="s">
        <v>80</v>
      </c>
      <c r="D588" s="23" t="s">
        <v>22267</v>
      </c>
      <c r="E588" s="23" t="s">
        <v>60</v>
      </c>
      <c r="F588" s="25" t="s">
        <v>1571</v>
      </c>
      <c r="G588" t="s">
        <v>26</v>
      </c>
      <c r="H588" t="s">
        <v>26</v>
      </c>
      <c r="I588" t="s">
        <v>26</v>
      </c>
      <c r="J588" t="s">
        <v>26</v>
      </c>
      <c r="K588" t="s">
        <v>26</v>
      </c>
      <c r="L588" s="25" t="s">
        <v>68</v>
      </c>
      <c r="M588" t="s">
        <v>26</v>
      </c>
      <c r="N588" t="s">
        <v>26</v>
      </c>
      <c r="O588" t="s">
        <v>26</v>
      </c>
      <c r="P588" t="s">
        <v>26</v>
      </c>
      <c r="Q588" t="s">
        <v>26</v>
      </c>
      <c r="R588" t="s">
        <v>26</v>
      </c>
      <c r="S588" t="s">
        <v>26</v>
      </c>
      <c r="T588" t="s">
        <v>26</v>
      </c>
      <c r="U588" t="s">
        <v>26</v>
      </c>
      <c r="V588" t="s">
        <v>26</v>
      </c>
      <c r="W588" s="24">
        <v>43313</v>
      </c>
      <c r="X588" s="24">
        <v>43862</v>
      </c>
      <c r="Y588" t="s">
        <v>26</v>
      </c>
      <c r="Z588" s="24">
        <v>43313</v>
      </c>
      <c r="AA588" s="24">
        <v>43862</v>
      </c>
      <c r="AB588" t="s">
        <v>26</v>
      </c>
      <c r="AC588" s="24">
        <v>43313</v>
      </c>
      <c r="AD588" s="24">
        <v>43862</v>
      </c>
      <c r="AE588" t="s">
        <v>26</v>
      </c>
      <c r="AF588" t="s">
        <v>26</v>
      </c>
      <c r="AG588" t="s">
        <v>26</v>
      </c>
      <c r="AH588" t="s">
        <v>26</v>
      </c>
      <c r="AI588" t="s">
        <v>26</v>
      </c>
      <c r="AJ588" t="s">
        <v>26</v>
      </c>
      <c r="AK588" t="s">
        <v>26</v>
      </c>
      <c r="AL588" t="s">
        <v>26</v>
      </c>
      <c r="AM588" t="s">
        <v>26</v>
      </c>
      <c r="AN588" t="s">
        <v>26</v>
      </c>
      <c r="AO588" s="25" t="s">
        <v>68</v>
      </c>
      <c r="AP588" s="23" t="s">
        <v>69</v>
      </c>
      <c r="AQ588" s="23" t="s">
        <v>30</v>
      </c>
      <c r="AR588" s="23" t="s">
        <v>46</v>
      </c>
      <c r="AS588" s="25">
        <v>53130</v>
      </c>
      <c r="AT588" t="s">
        <v>26</v>
      </c>
      <c r="AU588" t="s">
        <v>23023</v>
      </c>
    </row>
    <row r="589" spans="1:47" ht="26.25" x14ac:dyDescent="0.4">
      <c r="A589" s="23" t="s">
        <v>1570</v>
      </c>
      <c r="B589" t="s">
        <v>26</v>
      </c>
      <c r="C589" s="23" t="s">
        <v>80</v>
      </c>
      <c r="D589" s="23" t="s">
        <v>22267</v>
      </c>
      <c r="E589" s="23" t="s">
        <v>60</v>
      </c>
      <c r="F589" s="25" t="s">
        <v>1571</v>
      </c>
      <c r="G589" t="s">
        <v>26</v>
      </c>
      <c r="H589" t="s">
        <v>26</v>
      </c>
      <c r="I589" t="s">
        <v>26</v>
      </c>
      <c r="J589" t="s">
        <v>26</v>
      </c>
      <c r="K589" t="s">
        <v>26</v>
      </c>
      <c r="L589" s="25" t="s">
        <v>68</v>
      </c>
      <c r="M589" t="s">
        <v>26</v>
      </c>
      <c r="N589" t="s">
        <v>26</v>
      </c>
      <c r="O589" t="s">
        <v>26</v>
      </c>
      <c r="P589" t="s">
        <v>26</v>
      </c>
      <c r="Q589" t="s">
        <v>26</v>
      </c>
      <c r="R589" t="s">
        <v>26</v>
      </c>
      <c r="S589" t="s">
        <v>26</v>
      </c>
      <c r="T589" t="s">
        <v>26</v>
      </c>
      <c r="U589" t="s">
        <v>26</v>
      </c>
      <c r="V589" t="s">
        <v>26</v>
      </c>
      <c r="W589" s="24">
        <v>42095</v>
      </c>
      <c r="X589" s="25" t="s">
        <v>77</v>
      </c>
      <c r="Y589" t="s">
        <v>26</v>
      </c>
      <c r="Z589" s="24">
        <v>42095</v>
      </c>
      <c r="AA589" s="25" t="s">
        <v>77</v>
      </c>
      <c r="AB589" t="s">
        <v>26</v>
      </c>
      <c r="AC589" s="24">
        <v>42095</v>
      </c>
      <c r="AD589" s="25" t="s">
        <v>77</v>
      </c>
      <c r="AE589" t="s">
        <v>26</v>
      </c>
      <c r="AF589" t="s">
        <v>26</v>
      </c>
      <c r="AG589" t="s">
        <v>26</v>
      </c>
      <c r="AH589" t="s">
        <v>26</v>
      </c>
      <c r="AI589" t="s">
        <v>26</v>
      </c>
      <c r="AJ589" t="s">
        <v>26</v>
      </c>
      <c r="AK589" t="s">
        <v>26</v>
      </c>
      <c r="AL589" t="s">
        <v>26</v>
      </c>
      <c r="AM589" t="s">
        <v>26</v>
      </c>
      <c r="AN589" t="s">
        <v>26</v>
      </c>
      <c r="AO589" s="25" t="s">
        <v>68</v>
      </c>
      <c r="AP589" s="23" t="s">
        <v>69</v>
      </c>
      <c r="AQ589" s="23" t="s">
        <v>30</v>
      </c>
      <c r="AR589" s="23" t="s">
        <v>46</v>
      </c>
      <c r="AS589" s="25">
        <v>2033360</v>
      </c>
      <c r="AT589" t="s">
        <v>26</v>
      </c>
      <c r="AU589" t="s">
        <v>23024</v>
      </c>
    </row>
    <row r="590" spans="1:47" ht="26.25" x14ac:dyDescent="0.4">
      <c r="A590" s="23" t="s">
        <v>1572</v>
      </c>
      <c r="B590" t="s">
        <v>26</v>
      </c>
      <c r="C590" s="23" t="s">
        <v>80</v>
      </c>
      <c r="D590" s="23" t="s">
        <v>22190</v>
      </c>
      <c r="E590" s="23" t="s">
        <v>60</v>
      </c>
      <c r="F590" s="25" t="s">
        <v>1573</v>
      </c>
      <c r="G590" s="25" t="s">
        <v>1574</v>
      </c>
      <c r="H590" t="s">
        <v>26</v>
      </c>
      <c r="I590" t="s">
        <v>26</v>
      </c>
      <c r="J590" t="s">
        <v>26</v>
      </c>
      <c r="K590" t="s">
        <v>26</v>
      </c>
      <c r="L590" s="25" t="s">
        <v>68</v>
      </c>
      <c r="M590" t="s">
        <v>26</v>
      </c>
      <c r="N590" t="s">
        <v>26</v>
      </c>
      <c r="O590" t="s">
        <v>26</v>
      </c>
      <c r="P590" t="s">
        <v>26</v>
      </c>
      <c r="Q590" t="s">
        <v>26</v>
      </c>
      <c r="R590" t="s">
        <v>26</v>
      </c>
      <c r="S590" t="s">
        <v>26</v>
      </c>
      <c r="T590" t="s">
        <v>26</v>
      </c>
      <c r="U590" t="s">
        <v>26</v>
      </c>
      <c r="V590" t="s">
        <v>26</v>
      </c>
      <c r="W590" s="24">
        <v>37987</v>
      </c>
      <c r="X590" s="25" t="s">
        <v>77</v>
      </c>
      <c r="Y590" t="s">
        <v>26</v>
      </c>
      <c r="Z590" s="24">
        <v>37987</v>
      </c>
      <c r="AA590" s="25" t="s">
        <v>77</v>
      </c>
      <c r="AB590" t="s">
        <v>26</v>
      </c>
      <c r="AC590" s="24">
        <v>37987</v>
      </c>
      <c r="AD590" s="25" t="s">
        <v>77</v>
      </c>
      <c r="AE590" t="s">
        <v>26</v>
      </c>
      <c r="AF590" t="s">
        <v>26</v>
      </c>
      <c r="AG590" t="s">
        <v>26</v>
      </c>
      <c r="AH590" t="s">
        <v>26</v>
      </c>
      <c r="AI590" t="s">
        <v>26</v>
      </c>
      <c r="AJ590" t="s">
        <v>26</v>
      </c>
      <c r="AK590" t="s">
        <v>26</v>
      </c>
      <c r="AL590" t="s">
        <v>26</v>
      </c>
      <c r="AM590" t="s">
        <v>26</v>
      </c>
      <c r="AN590" t="s">
        <v>26</v>
      </c>
      <c r="AO590" s="25" t="s">
        <v>68</v>
      </c>
      <c r="AP590" s="23" t="s">
        <v>69</v>
      </c>
      <c r="AQ590" s="23" t="s">
        <v>30</v>
      </c>
      <c r="AR590" s="23" t="s">
        <v>123</v>
      </c>
      <c r="AS590" s="25">
        <v>46254</v>
      </c>
      <c r="AT590" t="s">
        <v>26</v>
      </c>
      <c r="AU590" t="s">
        <v>23025</v>
      </c>
    </row>
    <row r="591" spans="1:47" ht="26.25" x14ac:dyDescent="0.4">
      <c r="A591" s="23" t="s">
        <v>1575</v>
      </c>
      <c r="B591" t="s">
        <v>26</v>
      </c>
      <c r="C591" s="23" t="s">
        <v>1576</v>
      </c>
      <c r="D591" s="23" t="s">
        <v>23026</v>
      </c>
      <c r="E591" s="23" t="s">
        <v>60</v>
      </c>
      <c r="F591" s="25" t="s">
        <v>1577</v>
      </c>
      <c r="G591" s="25" t="s">
        <v>1578</v>
      </c>
      <c r="H591" t="s">
        <v>26</v>
      </c>
      <c r="I591" s="24">
        <v>39052</v>
      </c>
      <c r="J591" s="25" t="s">
        <v>77</v>
      </c>
      <c r="K591" t="s">
        <v>26</v>
      </c>
      <c r="L591" s="25" t="s">
        <v>68</v>
      </c>
      <c r="M591" s="24">
        <v>39052</v>
      </c>
      <c r="N591" s="25" t="s">
        <v>77</v>
      </c>
      <c r="O591" t="s">
        <v>26</v>
      </c>
      <c r="P591" s="24">
        <v>39052</v>
      </c>
      <c r="Q591" s="25" t="s">
        <v>77</v>
      </c>
      <c r="R591" t="s">
        <v>26</v>
      </c>
      <c r="S591" t="s">
        <v>26</v>
      </c>
      <c r="T591" t="s">
        <v>26</v>
      </c>
      <c r="U591" t="s">
        <v>26</v>
      </c>
      <c r="V591" t="s">
        <v>26</v>
      </c>
      <c r="W591" s="24">
        <v>39052</v>
      </c>
      <c r="X591" s="25" t="s">
        <v>77</v>
      </c>
      <c r="Y591" t="s">
        <v>26</v>
      </c>
      <c r="Z591" s="24">
        <v>39052</v>
      </c>
      <c r="AA591" s="25" t="s">
        <v>77</v>
      </c>
      <c r="AB591" t="s">
        <v>26</v>
      </c>
      <c r="AC591" s="24">
        <v>42156</v>
      </c>
      <c r="AD591" s="25" t="s">
        <v>77</v>
      </c>
      <c r="AE591" t="s">
        <v>26</v>
      </c>
      <c r="AF591" t="s">
        <v>26</v>
      </c>
      <c r="AG591" t="s">
        <v>26</v>
      </c>
      <c r="AH591" t="s">
        <v>26</v>
      </c>
      <c r="AI591" t="s">
        <v>26</v>
      </c>
      <c r="AJ591" t="s">
        <v>26</v>
      </c>
      <c r="AK591" t="s">
        <v>26</v>
      </c>
      <c r="AL591" t="s">
        <v>26</v>
      </c>
      <c r="AM591" t="s">
        <v>26</v>
      </c>
      <c r="AN591" t="s">
        <v>26</v>
      </c>
      <c r="AO591" s="25" t="s">
        <v>28</v>
      </c>
      <c r="AP591" s="23" t="s">
        <v>69</v>
      </c>
      <c r="AQ591" t="s">
        <v>26</v>
      </c>
      <c r="AR591" s="23" t="s">
        <v>46</v>
      </c>
      <c r="AS591" s="25">
        <v>29487</v>
      </c>
      <c r="AT591" t="s">
        <v>26</v>
      </c>
      <c r="AU591" t="s">
        <v>23027</v>
      </c>
    </row>
    <row r="592" spans="1:47" ht="26.25" x14ac:dyDescent="0.4">
      <c r="A592" s="23" t="s">
        <v>1579</v>
      </c>
      <c r="B592" t="s">
        <v>26</v>
      </c>
      <c r="C592" s="23" t="s">
        <v>73</v>
      </c>
      <c r="D592" s="23" t="s">
        <v>22174</v>
      </c>
      <c r="E592" s="23" t="s">
        <v>74</v>
      </c>
      <c r="F592" s="25" t="s">
        <v>1580</v>
      </c>
      <c r="G592" s="25" t="s">
        <v>1581</v>
      </c>
      <c r="H592" t="s">
        <v>26</v>
      </c>
      <c r="I592" s="24">
        <v>37347</v>
      </c>
      <c r="J592" s="25" t="s">
        <v>77</v>
      </c>
      <c r="K592" t="s">
        <v>26</v>
      </c>
      <c r="L592" s="25" t="s">
        <v>68</v>
      </c>
      <c r="M592" s="24">
        <v>38018</v>
      </c>
      <c r="N592" s="24">
        <v>42767</v>
      </c>
      <c r="O592" t="s">
        <v>26</v>
      </c>
      <c r="P592" s="24">
        <v>37347</v>
      </c>
      <c r="Q592" s="25" t="s">
        <v>77</v>
      </c>
      <c r="R592" t="s">
        <v>26</v>
      </c>
      <c r="S592" t="s">
        <v>26</v>
      </c>
      <c r="T592" t="s">
        <v>26</v>
      </c>
      <c r="U592" t="s">
        <v>26</v>
      </c>
      <c r="V592" s="25">
        <v>365</v>
      </c>
      <c r="W592" s="24">
        <v>37347</v>
      </c>
      <c r="X592" s="25" t="s">
        <v>77</v>
      </c>
      <c r="Y592" t="s">
        <v>26</v>
      </c>
      <c r="Z592" s="24">
        <v>37347</v>
      </c>
      <c r="AA592" s="25" t="s">
        <v>77</v>
      </c>
      <c r="AB592" t="s">
        <v>26</v>
      </c>
      <c r="AC592" s="24">
        <v>37347</v>
      </c>
      <c r="AD592" s="25" t="s">
        <v>77</v>
      </c>
      <c r="AE592" t="s">
        <v>26</v>
      </c>
      <c r="AF592" t="s">
        <v>26</v>
      </c>
      <c r="AG592" t="s">
        <v>26</v>
      </c>
      <c r="AH592" t="s">
        <v>26</v>
      </c>
      <c r="AI592" t="s">
        <v>26</v>
      </c>
      <c r="AJ592" t="s">
        <v>26</v>
      </c>
      <c r="AK592" t="s">
        <v>26</v>
      </c>
      <c r="AL592" t="s">
        <v>26</v>
      </c>
      <c r="AM592" t="s">
        <v>26</v>
      </c>
      <c r="AN592" t="s">
        <v>26</v>
      </c>
      <c r="AO592" s="25" t="s">
        <v>68</v>
      </c>
      <c r="AP592" s="23" t="s">
        <v>69</v>
      </c>
      <c r="AQ592" s="23" t="s">
        <v>30</v>
      </c>
      <c r="AR592" s="23" t="s">
        <v>952</v>
      </c>
      <c r="AS592" s="25">
        <v>43846</v>
      </c>
      <c r="AT592" t="s">
        <v>26</v>
      </c>
      <c r="AU592" t="s">
        <v>23028</v>
      </c>
    </row>
    <row r="593" spans="1:47" ht="26.25" x14ac:dyDescent="0.4">
      <c r="A593" s="23" t="s">
        <v>23029</v>
      </c>
      <c r="B593" t="s">
        <v>26</v>
      </c>
      <c r="C593" s="23" t="s">
        <v>332</v>
      </c>
      <c r="D593" s="23" t="s">
        <v>22256</v>
      </c>
      <c r="E593" s="23" t="s">
        <v>42</v>
      </c>
      <c r="F593" t="s">
        <v>26</v>
      </c>
      <c r="G593" t="s">
        <v>26</v>
      </c>
      <c r="H593" t="s">
        <v>26</v>
      </c>
      <c r="I593" s="24">
        <v>37622</v>
      </c>
      <c r="J593" s="24">
        <v>37622</v>
      </c>
      <c r="K593" t="s">
        <v>26</v>
      </c>
      <c r="L593" s="25" t="s">
        <v>28</v>
      </c>
      <c r="M593" s="24">
        <v>37622</v>
      </c>
      <c r="N593" s="24">
        <v>37622</v>
      </c>
      <c r="O593" t="s">
        <v>26</v>
      </c>
      <c r="P593" t="s">
        <v>26</v>
      </c>
      <c r="Q593" t="s">
        <v>26</v>
      </c>
      <c r="R593" t="s">
        <v>26</v>
      </c>
      <c r="S593" t="s">
        <v>26</v>
      </c>
      <c r="T593" t="s">
        <v>26</v>
      </c>
      <c r="U593" t="s">
        <v>26</v>
      </c>
      <c r="V593" t="s">
        <v>26</v>
      </c>
      <c r="W593" s="24">
        <v>37622</v>
      </c>
      <c r="X593" s="24">
        <v>37622</v>
      </c>
      <c r="Y593" t="s">
        <v>26</v>
      </c>
      <c r="Z593" s="24">
        <v>37622</v>
      </c>
      <c r="AA593" s="24">
        <v>37622</v>
      </c>
      <c r="AB593" t="s">
        <v>26</v>
      </c>
      <c r="AC593" s="24">
        <v>37622</v>
      </c>
      <c r="AD593" s="24">
        <v>37622</v>
      </c>
      <c r="AE593" t="s">
        <v>26</v>
      </c>
      <c r="AF593" t="s">
        <v>26</v>
      </c>
      <c r="AG593" t="s">
        <v>26</v>
      </c>
      <c r="AH593" t="s">
        <v>26</v>
      </c>
      <c r="AI593" t="s">
        <v>26</v>
      </c>
      <c r="AJ593" t="s">
        <v>26</v>
      </c>
      <c r="AK593" t="s">
        <v>26</v>
      </c>
      <c r="AL593" t="s">
        <v>26</v>
      </c>
      <c r="AM593" t="s">
        <v>26</v>
      </c>
      <c r="AN593" t="s">
        <v>26</v>
      </c>
      <c r="AO593" s="25" t="s">
        <v>28</v>
      </c>
      <c r="AP593" s="23" t="s">
        <v>279</v>
      </c>
      <c r="AQ593" s="23" t="s">
        <v>30</v>
      </c>
      <c r="AR593" s="23" t="s">
        <v>46</v>
      </c>
      <c r="AS593" s="25">
        <v>6275772</v>
      </c>
      <c r="AT593" t="s">
        <v>26</v>
      </c>
      <c r="AU593" t="s">
        <v>23030</v>
      </c>
    </row>
    <row r="594" spans="1:47" ht="13.15" x14ac:dyDescent="0.4">
      <c r="A594" s="23" t="s">
        <v>1582</v>
      </c>
      <c r="B594" t="s">
        <v>26</v>
      </c>
      <c r="C594" s="23" t="s">
        <v>1113</v>
      </c>
      <c r="D594" s="23" t="s">
        <v>22666</v>
      </c>
      <c r="E594" s="23" t="s">
        <v>42</v>
      </c>
      <c r="F594" t="s">
        <v>26</v>
      </c>
      <c r="G594" t="s">
        <v>26</v>
      </c>
      <c r="H594" t="s">
        <v>26</v>
      </c>
      <c r="I594" t="s">
        <v>26</v>
      </c>
      <c r="J594" t="s">
        <v>26</v>
      </c>
      <c r="K594" t="s">
        <v>26</v>
      </c>
      <c r="L594" s="25" t="s">
        <v>28</v>
      </c>
      <c r="M594" t="s">
        <v>26</v>
      </c>
      <c r="N594" t="s">
        <v>26</v>
      </c>
      <c r="O594" t="s">
        <v>26</v>
      </c>
      <c r="P594" t="s">
        <v>26</v>
      </c>
      <c r="Q594" t="s">
        <v>26</v>
      </c>
      <c r="R594" t="s">
        <v>26</v>
      </c>
      <c r="S594" t="s">
        <v>26</v>
      </c>
      <c r="T594" t="s">
        <v>26</v>
      </c>
      <c r="U594" t="s">
        <v>26</v>
      </c>
      <c r="V594" t="s">
        <v>26</v>
      </c>
      <c r="W594" s="25" t="s">
        <v>295</v>
      </c>
      <c r="X594" s="25" t="s">
        <v>295</v>
      </c>
      <c r="Y594" t="s">
        <v>26</v>
      </c>
      <c r="Z594" s="25" t="s">
        <v>295</v>
      </c>
      <c r="AA594" s="25" t="s">
        <v>295</v>
      </c>
      <c r="AB594" t="s">
        <v>26</v>
      </c>
      <c r="AC594" t="s">
        <v>26</v>
      </c>
      <c r="AD594" t="s">
        <v>26</v>
      </c>
      <c r="AE594" t="s">
        <v>26</v>
      </c>
      <c r="AF594" t="s">
        <v>26</v>
      </c>
      <c r="AG594" t="s">
        <v>26</v>
      </c>
      <c r="AH594" t="s">
        <v>26</v>
      </c>
      <c r="AI594" t="s">
        <v>26</v>
      </c>
      <c r="AJ594" t="s">
        <v>26</v>
      </c>
      <c r="AK594" t="s">
        <v>26</v>
      </c>
      <c r="AL594" t="s">
        <v>26</v>
      </c>
      <c r="AM594" t="s">
        <v>26</v>
      </c>
      <c r="AN594" t="s">
        <v>26</v>
      </c>
      <c r="AO594" s="25" t="s">
        <v>28</v>
      </c>
      <c r="AP594" s="23" t="s">
        <v>29</v>
      </c>
      <c r="AQ594" s="23" t="s">
        <v>30</v>
      </c>
      <c r="AR594" s="23" t="s">
        <v>44</v>
      </c>
      <c r="AS594" s="25">
        <v>5483641</v>
      </c>
      <c r="AT594" s="23" t="s">
        <v>22181</v>
      </c>
      <c r="AU594" t="s">
        <v>23031</v>
      </c>
    </row>
    <row r="595" spans="1:47" ht="26.25" x14ac:dyDescent="0.4">
      <c r="A595" s="23" t="s">
        <v>1583</v>
      </c>
      <c r="B595" t="s">
        <v>26</v>
      </c>
      <c r="C595" s="23" t="s">
        <v>167</v>
      </c>
      <c r="D595" s="23" t="s">
        <v>22218</v>
      </c>
      <c r="E595" s="23" t="s">
        <v>60</v>
      </c>
      <c r="F595" t="s">
        <v>26</v>
      </c>
      <c r="G595" s="25" t="s">
        <v>1584</v>
      </c>
      <c r="H595" t="s">
        <v>26</v>
      </c>
      <c r="I595" s="24">
        <v>39539</v>
      </c>
      <c r="J595" s="25" t="s">
        <v>77</v>
      </c>
      <c r="K595" t="s">
        <v>26</v>
      </c>
      <c r="L595" s="25" t="s">
        <v>68</v>
      </c>
      <c r="M595" s="24">
        <v>39539</v>
      </c>
      <c r="N595" s="25" t="s">
        <v>77</v>
      </c>
      <c r="O595" t="s">
        <v>26</v>
      </c>
      <c r="P595" s="24">
        <v>39539</v>
      </c>
      <c r="Q595" s="25" t="s">
        <v>77</v>
      </c>
      <c r="R595" t="s">
        <v>26</v>
      </c>
      <c r="S595" t="s">
        <v>26</v>
      </c>
      <c r="T595" t="s">
        <v>26</v>
      </c>
      <c r="U595" t="s">
        <v>26</v>
      </c>
      <c r="V595" s="25">
        <v>365</v>
      </c>
      <c r="W595" s="24">
        <v>39539</v>
      </c>
      <c r="X595" s="25" t="s">
        <v>77</v>
      </c>
      <c r="Y595" t="s">
        <v>26</v>
      </c>
      <c r="Z595" s="24">
        <v>39539</v>
      </c>
      <c r="AA595" s="25" t="s">
        <v>77</v>
      </c>
      <c r="AB595" t="s">
        <v>26</v>
      </c>
      <c r="AC595" s="24">
        <v>39539</v>
      </c>
      <c r="AD595" s="25" t="s">
        <v>77</v>
      </c>
      <c r="AE595" t="s">
        <v>26</v>
      </c>
      <c r="AF595" t="s">
        <v>26</v>
      </c>
      <c r="AG595" t="s">
        <v>26</v>
      </c>
      <c r="AH595" t="s">
        <v>26</v>
      </c>
      <c r="AI595" t="s">
        <v>26</v>
      </c>
      <c r="AJ595" t="s">
        <v>26</v>
      </c>
      <c r="AK595" t="s">
        <v>26</v>
      </c>
      <c r="AL595" t="s">
        <v>26</v>
      </c>
      <c r="AM595" t="s">
        <v>26</v>
      </c>
      <c r="AN595" t="s">
        <v>26</v>
      </c>
      <c r="AO595" s="25" t="s">
        <v>68</v>
      </c>
      <c r="AP595" s="23" t="s">
        <v>69</v>
      </c>
      <c r="AQ595" s="23" t="s">
        <v>30</v>
      </c>
      <c r="AR595" s="23" t="s">
        <v>46</v>
      </c>
      <c r="AS595" s="25">
        <v>5516371</v>
      </c>
      <c r="AT595" t="s">
        <v>26</v>
      </c>
      <c r="AU595" t="s">
        <v>23032</v>
      </c>
    </row>
    <row r="596" spans="1:47" ht="26.25" x14ac:dyDescent="0.4">
      <c r="A596" s="23" t="s">
        <v>1585</v>
      </c>
      <c r="B596" t="s">
        <v>26</v>
      </c>
      <c r="C596" s="23" t="s">
        <v>80</v>
      </c>
      <c r="D596" s="23" t="s">
        <v>22184</v>
      </c>
      <c r="E596" s="23" t="s">
        <v>60</v>
      </c>
      <c r="F596" s="25" t="s">
        <v>1586</v>
      </c>
      <c r="G596" s="25" t="s">
        <v>1587</v>
      </c>
      <c r="H596" t="s">
        <v>26</v>
      </c>
      <c r="I596" t="s">
        <v>26</v>
      </c>
      <c r="J596" t="s">
        <v>26</v>
      </c>
      <c r="K596" t="s">
        <v>26</v>
      </c>
      <c r="L596" s="25" t="s">
        <v>68</v>
      </c>
      <c r="M596" t="s">
        <v>26</v>
      </c>
      <c r="N596" t="s">
        <v>26</v>
      </c>
      <c r="O596" t="s">
        <v>26</v>
      </c>
      <c r="P596" t="s">
        <v>26</v>
      </c>
      <c r="Q596" t="s">
        <v>26</v>
      </c>
      <c r="R596" t="s">
        <v>26</v>
      </c>
      <c r="S596" t="s">
        <v>26</v>
      </c>
      <c r="T596" t="s">
        <v>26</v>
      </c>
      <c r="U596" t="s">
        <v>26</v>
      </c>
      <c r="V596" t="s">
        <v>26</v>
      </c>
      <c r="W596" s="24">
        <v>40238</v>
      </c>
      <c r="X596" s="25" t="s">
        <v>77</v>
      </c>
      <c r="Y596" t="s">
        <v>26</v>
      </c>
      <c r="Z596" s="24">
        <v>40238</v>
      </c>
      <c r="AA596" s="25" t="s">
        <v>77</v>
      </c>
      <c r="AB596" t="s">
        <v>26</v>
      </c>
      <c r="AC596" s="24">
        <v>40238</v>
      </c>
      <c r="AD596" s="25" t="s">
        <v>77</v>
      </c>
      <c r="AE596" t="s">
        <v>26</v>
      </c>
      <c r="AF596" t="s">
        <v>26</v>
      </c>
      <c r="AG596" t="s">
        <v>26</v>
      </c>
      <c r="AH596" t="s">
        <v>26</v>
      </c>
      <c r="AI596" t="s">
        <v>26</v>
      </c>
      <c r="AJ596" t="s">
        <v>26</v>
      </c>
      <c r="AK596" t="s">
        <v>26</v>
      </c>
      <c r="AL596" t="s">
        <v>26</v>
      </c>
      <c r="AM596" t="s">
        <v>26</v>
      </c>
      <c r="AN596" t="s">
        <v>26</v>
      </c>
      <c r="AO596" s="25" t="s">
        <v>68</v>
      </c>
      <c r="AP596" s="23" t="s">
        <v>69</v>
      </c>
      <c r="AQ596" s="23" t="s">
        <v>30</v>
      </c>
      <c r="AR596" s="23" t="s">
        <v>46</v>
      </c>
      <c r="AS596" s="25">
        <v>186210</v>
      </c>
      <c r="AT596" t="s">
        <v>26</v>
      </c>
      <c r="AU596" t="s">
        <v>23033</v>
      </c>
    </row>
    <row r="597" spans="1:47" ht="26.25" x14ac:dyDescent="0.4">
      <c r="A597" s="23" t="s">
        <v>23034</v>
      </c>
      <c r="B597" t="s">
        <v>26</v>
      </c>
      <c r="C597" s="23" t="s">
        <v>73</v>
      </c>
      <c r="D597" s="23" t="s">
        <v>22211</v>
      </c>
      <c r="E597" s="23" t="s">
        <v>74</v>
      </c>
      <c r="F597" s="25" t="s">
        <v>23035</v>
      </c>
      <c r="G597" s="25" t="s">
        <v>23036</v>
      </c>
      <c r="H597" t="s">
        <v>26</v>
      </c>
      <c r="I597" t="s">
        <v>26</v>
      </c>
      <c r="J597" t="s">
        <v>26</v>
      </c>
      <c r="K597" t="s">
        <v>26</v>
      </c>
      <c r="L597" s="25" t="s">
        <v>68</v>
      </c>
      <c r="M597" t="s">
        <v>26</v>
      </c>
      <c r="N597" t="s">
        <v>26</v>
      </c>
      <c r="O597" t="s">
        <v>26</v>
      </c>
      <c r="P597" t="s">
        <v>26</v>
      </c>
      <c r="Q597" t="s">
        <v>26</v>
      </c>
      <c r="R597" t="s">
        <v>26</v>
      </c>
      <c r="S597" t="s">
        <v>26</v>
      </c>
      <c r="T597" t="s">
        <v>26</v>
      </c>
      <c r="U597" t="s">
        <v>26</v>
      </c>
      <c r="V597" t="s">
        <v>26</v>
      </c>
      <c r="W597" s="24">
        <v>39083</v>
      </c>
      <c r="X597" s="25" t="s">
        <v>77</v>
      </c>
      <c r="Y597" s="25" t="s">
        <v>5439</v>
      </c>
      <c r="Z597" s="24">
        <v>39083</v>
      </c>
      <c r="AA597" s="25" t="s">
        <v>77</v>
      </c>
      <c r="AB597" s="25" t="s">
        <v>5439</v>
      </c>
      <c r="AC597" s="24">
        <v>39083</v>
      </c>
      <c r="AD597" s="25" t="s">
        <v>77</v>
      </c>
      <c r="AE597" s="25" t="s">
        <v>5439</v>
      </c>
      <c r="AF597" t="s">
        <v>26</v>
      </c>
      <c r="AG597" t="s">
        <v>26</v>
      </c>
      <c r="AH597" t="s">
        <v>26</v>
      </c>
      <c r="AI597" t="s">
        <v>26</v>
      </c>
      <c r="AJ597" t="s">
        <v>26</v>
      </c>
      <c r="AK597" t="s">
        <v>26</v>
      </c>
      <c r="AL597" t="s">
        <v>26</v>
      </c>
      <c r="AM597" t="s">
        <v>26</v>
      </c>
      <c r="AN597" t="s">
        <v>26</v>
      </c>
      <c r="AO597" s="25" t="s">
        <v>68</v>
      </c>
      <c r="AP597" s="23" t="s">
        <v>69</v>
      </c>
      <c r="AQ597" s="23" t="s">
        <v>30</v>
      </c>
      <c r="AR597" s="23" t="s">
        <v>593</v>
      </c>
      <c r="AS597" s="25">
        <v>2043944</v>
      </c>
      <c r="AT597" t="s">
        <v>26</v>
      </c>
      <c r="AU597" t="s">
        <v>23037</v>
      </c>
    </row>
    <row r="598" spans="1:47" ht="26.25" x14ac:dyDescent="0.4">
      <c r="A598" s="23" t="s">
        <v>1588</v>
      </c>
      <c r="B598" t="s">
        <v>26</v>
      </c>
      <c r="C598" s="23" t="s">
        <v>80</v>
      </c>
      <c r="D598" s="23" t="s">
        <v>22184</v>
      </c>
      <c r="E598" s="23" t="s">
        <v>60</v>
      </c>
      <c r="F598" s="25" t="s">
        <v>1589</v>
      </c>
      <c r="G598" s="25" t="s">
        <v>1590</v>
      </c>
      <c r="H598" t="s">
        <v>26</v>
      </c>
      <c r="I598" t="s">
        <v>26</v>
      </c>
      <c r="J598" t="s">
        <v>26</v>
      </c>
      <c r="K598" t="s">
        <v>26</v>
      </c>
      <c r="L598" s="25" t="s">
        <v>68</v>
      </c>
      <c r="M598" t="s">
        <v>26</v>
      </c>
      <c r="N598" t="s">
        <v>26</v>
      </c>
      <c r="O598" t="s">
        <v>26</v>
      </c>
      <c r="P598" t="s">
        <v>26</v>
      </c>
      <c r="Q598" t="s">
        <v>26</v>
      </c>
      <c r="R598" t="s">
        <v>26</v>
      </c>
      <c r="S598" t="s">
        <v>26</v>
      </c>
      <c r="T598" t="s">
        <v>26</v>
      </c>
      <c r="U598" t="s">
        <v>26</v>
      </c>
      <c r="V598" t="s">
        <v>26</v>
      </c>
      <c r="W598" s="24">
        <v>40179</v>
      </c>
      <c r="X598" s="25" t="s">
        <v>77</v>
      </c>
      <c r="Y598" t="s">
        <v>26</v>
      </c>
      <c r="Z598" s="24">
        <v>40179</v>
      </c>
      <c r="AA598" s="25" t="s">
        <v>77</v>
      </c>
      <c r="AB598" t="s">
        <v>26</v>
      </c>
      <c r="AC598" s="24">
        <v>40179</v>
      </c>
      <c r="AD598" s="25" t="s">
        <v>77</v>
      </c>
      <c r="AE598" t="s">
        <v>26</v>
      </c>
      <c r="AF598" t="s">
        <v>26</v>
      </c>
      <c r="AG598" t="s">
        <v>26</v>
      </c>
      <c r="AH598" t="s">
        <v>26</v>
      </c>
      <c r="AI598" t="s">
        <v>26</v>
      </c>
      <c r="AJ598" t="s">
        <v>26</v>
      </c>
      <c r="AK598" t="s">
        <v>26</v>
      </c>
      <c r="AL598" t="s">
        <v>26</v>
      </c>
      <c r="AM598" t="s">
        <v>26</v>
      </c>
      <c r="AN598" t="s">
        <v>26</v>
      </c>
      <c r="AO598" s="25" t="s">
        <v>68</v>
      </c>
      <c r="AP598" s="23" t="s">
        <v>69</v>
      </c>
      <c r="AQ598" s="23" t="s">
        <v>30</v>
      </c>
      <c r="AR598" s="23" t="s">
        <v>46</v>
      </c>
      <c r="AS598" s="25">
        <v>186209</v>
      </c>
      <c r="AT598" t="s">
        <v>26</v>
      </c>
      <c r="AU598" t="s">
        <v>23038</v>
      </c>
    </row>
    <row r="599" spans="1:47" ht="26.25" x14ac:dyDescent="0.4">
      <c r="A599" s="23" t="s">
        <v>1591</v>
      </c>
      <c r="B599" t="s">
        <v>26</v>
      </c>
      <c r="C599" s="23" t="s">
        <v>80</v>
      </c>
      <c r="D599" s="23" t="s">
        <v>22184</v>
      </c>
      <c r="E599" s="23" t="s">
        <v>60</v>
      </c>
      <c r="F599" s="25" t="s">
        <v>1592</v>
      </c>
      <c r="G599" s="25" t="s">
        <v>1593</v>
      </c>
      <c r="H599" t="s">
        <v>26</v>
      </c>
      <c r="I599" t="s">
        <v>26</v>
      </c>
      <c r="J599" t="s">
        <v>26</v>
      </c>
      <c r="K599" t="s">
        <v>26</v>
      </c>
      <c r="L599" s="25" t="s">
        <v>68</v>
      </c>
      <c r="M599" t="s">
        <v>26</v>
      </c>
      <c r="N599" t="s">
        <v>26</v>
      </c>
      <c r="O599" t="s">
        <v>26</v>
      </c>
      <c r="P599" t="s">
        <v>26</v>
      </c>
      <c r="Q599" t="s">
        <v>26</v>
      </c>
      <c r="R599" t="s">
        <v>26</v>
      </c>
      <c r="S599" t="s">
        <v>26</v>
      </c>
      <c r="T599" t="s">
        <v>26</v>
      </c>
      <c r="U599" t="s">
        <v>26</v>
      </c>
      <c r="V599" t="s">
        <v>26</v>
      </c>
      <c r="W599" s="24">
        <v>40603</v>
      </c>
      <c r="X599" s="25" t="s">
        <v>77</v>
      </c>
      <c r="Y599" s="25" t="s">
        <v>1594</v>
      </c>
      <c r="Z599" s="24">
        <v>40603</v>
      </c>
      <c r="AA599" s="25" t="s">
        <v>77</v>
      </c>
      <c r="AB599" s="25" t="s">
        <v>1594</v>
      </c>
      <c r="AC599" s="24">
        <v>40603</v>
      </c>
      <c r="AD599" s="25" t="s">
        <v>77</v>
      </c>
      <c r="AE599" s="25" t="s">
        <v>1594</v>
      </c>
      <c r="AF599" t="s">
        <v>26</v>
      </c>
      <c r="AG599" t="s">
        <v>26</v>
      </c>
      <c r="AH599" t="s">
        <v>26</v>
      </c>
      <c r="AI599" t="s">
        <v>26</v>
      </c>
      <c r="AJ599" t="s">
        <v>26</v>
      </c>
      <c r="AK599" t="s">
        <v>26</v>
      </c>
      <c r="AL599" t="s">
        <v>26</v>
      </c>
      <c r="AM599" t="s">
        <v>26</v>
      </c>
      <c r="AN599" t="s">
        <v>26</v>
      </c>
      <c r="AO599" s="25" t="s">
        <v>68</v>
      </c>
      <c r="AP599" s="23" t="s">
        <v>69</v>
      </c>
      <c r="AQ599" s="23" t="s">
        <v>30</v>
      </c>
      <c r="AR599" s="23" t="s">
        <v>70</v>
      </c>
      <c r="AS599" s="25">
        <v>2045309</v>
      </c>
      <c r="AT599" t="s">
        <v>26</v>
      </c>
      <c r="AU599" t="s">
        <v>23039</v>
      </c>
    </row>
    <row r="600" spans="1:47" ht="26.25" x14ac:dyDescent="0.4">
      <c r="A600" s="23" t="s">
        <v>1595</v>
      </c>
      <c r="B600" t="s">
        <v>26</v>
      </c>
      <c r="C600" s="23" t="s">
        <v>946</v>
      </c>
      <c r="D600" s="23" t="s">
        <v>22689</v>
      </c>
      <c r="E600" s="23" t="s">
        <v>42</v>
      </c>
      <c r="F600" s="25" t="s">
        <v>1596</v>
      </c>
      <c r="G600" s="25" t="s">
        <v>1597</v>
      </c>
      <c r="H600" t="s">
        <v>26</v>
      </c>
      <c r="I600" t="s">
        <v>26</v>
      </c>
      <c r="J600" t="s">
        <v>26</v>
      </c>
      <c r="K600" t="s">
        <v>26</v>
      </c>
      <c r="L600" s="25" t="s">
        <v>68</v>
      </c>
      <c r="M600" t="s">
        <v>26</v>
      </c>
      <c r="N600" t="s">
        <v>26</v>
      </c>
      <c r="O600" t="s">
        <v>26</v>
      </c>
      <c r="P600" t="s">
        <v>26</v>
      </c>
      <c r="Q600" t="s">
        <v>26</v>
      </c>
      <c r="R600" t="s">
        <v>26</v>
      </c>
      <c r="S600" t="s">
        <v>26</v>
      </c>
      <c r="T600" t="s">
        <v>26</v>
      </c>
      <c r="U600" t="s">
        <v>26</v>
      </c>
      <c r="V600" t="s">
        <v>26</v>
      </c>
      <c r="W600" s="24">
        <v>32509</v>
      </c>
      <c r="X600" s="24">
        <v>42675</v>
      </c>
      <c r="Y600" t="s">
        <v>26</v>
      </c>
      <c r="Z600" s="24">
        <v>32509</v>
      </c>
      <c r="AA600" s="24">
        <v>42675</v>
      </c>
      <c r="AB600" t="s">
        <v>26</v>
      </c>
      <c r="AC600" s="24">
        <v>32509</v>
      </c>
      <c r="AD600" s="24">
        <v>42675</v>
      </c>
      <c r="AE600" t="s">
        <v>26</v>
      </c>
      <c r="AF600" t="s">
        <v>26</v>
      </c>
      <c r="AG600" t="s">
        <v>26</v>
      </c>
      <c r="AH600" t="s">
        <v>26</v>
      </c>
      <c r="AI600" t="s">
        <v>26</v>
      </c>
      <c r="AJ600" t="s">
        <v>26</v>
      </c>
      <c r="AK600" t="s">
        <v>26</v>
      </c>
      <c r="AL600" t="s">
        <v>26</v>
      </c>
      <c r="AM600" t="s">
        <v>26</v>
      </c>
      <c r="AN600" t="s">
        <v>26</v>
      </c>
      <c r="AO600" s="25" t="s">
        <v>68</v>
      </c>
      <c r="AP600" s="23" t="s">
        <v>69</v>
      </c>
      <c r="AQ600" s="23" t="s">
        <v>30</v>
      </c>
      <c r="AR600" s="23" t="s">
        <v>46</v>
      </c>
      <c r="AS600" s="25">
        <v>5199</v>
      </c>
      <c r="AT600" t="s">
        <v>26</v>
      </c>
      <c r="AU600" t="s">
        <v>23040</v>
      </c>
    </row>
    <row r="601" spans="1:47" ht="26.25" x14ac:dyDescent="0.4">
      <c r="A601" s="23" t="s">
        <v>1598</v>
      </c>
      <c r="B601" t="s">
        <v>26</v>
      </c>
      <c r="C601" s="23" t="s">
        <v>73</v>
      </c>
      <c r="D601" s="23" t="s">
        <v>22174</v>
      </c>
      <c r="E601" s="23" t="s">
        <v>74</v>
      </c>
      <c r="F601" t="s">
        <v>26</v>
      </c>
      <c r="G601" s="25" t="s">
        <v>1599</v>
      </c>
      <c r="H601" t="s">
        <v>26</v>
      </c>
      <c r="I601" s="24">
        <v>42705</v>
      </c>
      <c r="J601" s="25" t="s">
        <v>77</v>
      </c>
      <c r="K601" t="s">
        <v>26</v>
      </c>
      <c r="L601" s="25" t="s">
        <v>68</v>
      </c>
      <c r="M601" t="s">
        <v>26</v>
      </c>
      <c r="N601" t="s">
        <v>26</v>
      </c>
      <c r="O601" t="s">
        <v>26</v>
      </c>
      <c r="P601" s="24">
        <v>42705</v>
      </c>
      <c r="Q601" s="25" t="s">
        <v>77</v>
      </c>
      <c r="R601" t="s">
        <v>26</v>
      </c>
      <c r="S601" t="s">
        <v>26</v>
      </c>
      <c r="T601" t="s">
        <v>26</v>
      </c>
      <c r="U601" t="s">
        <v>26</v>
      </c>
      <c r="V601" t="s">
        <v>26</v>
      </c>
      <c r="W601" s="24">
        <v>42705</v>
      </c>
      <c r="X601" s="25" t="s">
        <v>77</v>
      </c>
      <c r="Y601" t="s">
        <v>26</v>
      </c>
      <c r="Z601" s="24">
        <v>42705</v>
      </c>
      <c r="AA601" s="25" t="s">
        <v>77</v>
      </c>
      <c r="AB601" t="s">
        <v>26</v>
      </c>
      <c r="AC601" s="24">
        <v>42705</v>
      </c>
      <c r="AD601" s="25" t="s">
        <v>77</v>
      </c>
      <c r="AE601" t="s">
        <v>26</v>
      </c>
      <c r="AF601" t="s">
        <v>26</v>
      </c>
      <c r="AG601" t="s">
        <v>26</v>
      </c>
      <c r="AH601" t="s">
        <v>26</v>
      </c>
      <c r="AI601" t="s">
        <v>26</v>
      </c>
      <c r="AJ601" t="s">
        <v>26</v>
      </c>
      <c r="AK601" t="s">
        <v>26</v>
      </c>
      <c r="AL601" t="s">
        <v>26</v>
      </c>
      <c r="AM601" t="s">
        <v>26</v>
      </c>
      <c r="AN601" t="s">
        <v>26</v>
      </c>
      <c r="AO601" s="25" t="s">
        <v>68</v>
      </c>
      <c r="AP601" s="23" t="s">
        <v>69</v>
      </c>
      <c r="AQ601" s="23" t="s">
        <v>30</v>
      </c>
      <c r="AR601" s="23" t="s">
        <v>46</v>
      </c>
      <c r="AS601" s="25">
        <v>4402895</v>
      </c>
      <c r="AT601" t="s">
        <v>26</v>
      </c>
      <c r="AU601" t="s">
        <v>23041</v>
      </c>
    </row>
    <row r="602" spans="1:47" ht="26.25" x14ac:dyDescent="0.4">
      <c r="A602" s="23" t="s">
        <v>1600</v>
      </c>
      <c r="B602" t="s">
        <v>26</v>
      </c>
      <c r="C602" s="23" t="s">
        <v>320</v>
      </c>
      <c r="D602" s="23" t="s">
        <v>22294</v>
      </c>
      <c r="E602" s="23" t="s">
        <v>42</v>
      </c>
      <c r="F602" s="25" t="s">
        <v>1601</v>
      </c>
      <c r="G602" s="25" t="s">
        <v>1602</v>
      </c>
      <c r="H602" t="s">
        <v>26</v>
      </c>
      <c r="I602" t="s">
        <v>26</v>
      </c>
      <c r="J602" t="s">
        <v>26</v>
      </c>
      <c r="K602" t="s">
        <v>26</v>
      </c>
      <c r="L602" s="25" t="s">
        <v>68</v>
      </c>
      <c r="M602" t="s">
        <v>26</v>
      </c>
      <c r="N602" t="s">
        <v>26</v>
      </c>
      <c r="O602" t="s">
        <v>26</v>
      </c>
      <c r="P602" t="s">
        <v>26</v>
      </c>
      <c r="Q602" t="s">
        <v>26</v>
      </c>
      <c r="R602" t="s">
        <v>26</v>
      </c>
      <c r="S602" t="s">
        <v>26</v>
      </c>
      <c r="T602" t="s">
        <v>26</v>
      </c>
      <c r="U602" t="s">
        <v>26</v>
      </c>
      <c r="V602" t="s">
        <v>26</v>
      </c>
      <c r="W602" s="24">
        <v>33604</v>
      </c>
      <c r="X602" s="25" t="s">
        <v>77</v>
      </c>
      <c r="Y602" t="s">
        <v>26</v>
      </c>
      <c r="Z602" s="24">
        <v>33604</v>
      </c>
      <c r="AA602" s="25" t="s">
        <v>77</v>
      </c>
      <c r="AB602" t="s">
        <v>26</v>
      </c>
      <c r="AC602" s="24">
        <v>33604</v>
      </c>
      <c r="AD602" s="25" t="s">
        <v>77</v>
      </c>
      <c r="AE602" t="s">
        <v>26</v>
      </c>
      <c r="AF602" t="s">
        <v>26</v>
      </c>
      <c r="AG602" t="s">
        <v>26</v>
      </c>
      <c r="AH602" t="s">
        <v>26</v>
      </c>
      <c r="AI602" t="s">
        <v>26</v>
      </c>
      <c r="AJ602" t="s">
        <v>26</v>
      </c>
      <c r="AK602" t="s">
        <v>26</v>
      </c>
      <c r="AL602" t="s">
        <v>26</v>
      </c>
      <c r="AM602" t="s">
        <v>26</v>
      </c>
      <c r="AN602" t="s">
        <v>26</v>
      </c>
      <c r="AO602" s="25" t="s">
        <v>68</v>
      </c>
      <c r="AP602" s="23" t="s">
        <v>69</v>
      </c>
      <c r="AQ602" s="23" t="s">
        <v>30</v>
      </c>
      <c r="AR602" s="23" t="s">
        <v>1160</v>
      </c>
      <c r="AS602" s="25">
        <v>30149</v>
      </c>
      <c r="AT602" t="s">
        <v>26</v>
      </c>
      <c r="AU602" t="s">
        <v>23042</v>
      </c>
    </row>
    <row r="603" spans="1:47" ht="26.25" x14ac:dyDescent="0.4">
      <c r="A603" s="23" t="s">
        <v>1603</v>
      </c>
      <c r="B603" t="s">
        <v>26</v>
      </c>
      <c r="C603" s="23" t="s">
        <v>789</v>
      </c>
      <c r="D603" s="23" t="s">
        <v>22492</v>
      </c>
      <c r="E603" s="23" t="s">
        <v>42</v>
      </c>
      <c r="F603" s="25" t="s">
        <v>1604</v>
      </c>
      <c r="G603" t="s">
        <v>26</v>
      </c>
      <c r="H603" t="s">
        <v>26</v>
      </c>
      <c r="I603" s="24">
        <v>40544</v>
      </c>
      <c r="J603" s="24">
        <v>41821</v>
      </c>
      <c r="K603" t="s">
        <v>26</v>
      </c>
      <c r="L603" s="25" t="s">
        <v>68</v>
      </c>
      <c r="M603" s="24">
        <v>40544</v>
      </c>
      <c r="N603" s="24">
        <v>41821</v>
      </c>
      <c r="O603" t="s">
        <v>26</v>
      </c>
      <c r="P603" s="24">
        <v>40544</v>
      </c>
      <c r="Q603" s="24">
        <v>41821</v>
      </c>
      <c r="R603" t="s">
        <v>26</v>
      </c>
      <c r="S603" t="s">
        <v>26</v>
      </c>
      <c r="T603" t="s">
        <v>26</v>
      </c>
      <c r="U603" t="s">
        <v>26</v>
      </c>
      <c r="V603" t="s">
        <v>26</v>
      </c>
      <c r="W603" s="24">
        <v>40544</v>
      </c>
      <c r="X603" s="24">
        <v>41821</v>
      </c>
      <c r="Y603" t="s">
        <v>26</v>
      </c>
      <c r="Z603" s="24">
        <v>40544</v>
      </c>
      <c r="AA603" s="24">
        <v>41821</v>
      </c>
      <c r="AB603" t="s">
        <v>26</v>
      </c>
      <c r="AC603" s="24">
        <v>40544</v>
      </c>
      <c r="AD603" s="24">
        <v>41821</v>
      </c>
      <c r="AE603" t="s">
        <v>26</v>
      </c>
      <c r="AF603" t="s">
        <v>26</v>
      </c>
      <c r="AG603" t="s">
        <v>26</v>
      </c>
      <c r="AH603" t="s">
        <v>26</v>
      </c>
      <c r="AI603" t="s">
        <v>26</v>
      </c>
      <c r="AJ603" t="s">
        <v>26</v>
      </c>
      <c r="AK603" t="s">
        <v>26</v>
      </c>
      <c r="AL603" t="s">
        <v>26</v>
      </c>
      <c r="AM603" t="s">
        <v>26</v>
      </c>
      <c r="AN603" t="s">
        <v>26</v>
      </c>
      <c r="AO603" s="25" t="s">
        <v>28</v>
      </c>
      <c r="AP603" s="23" t="s">
        <v>69</v>
      </c>
      <c r="AQ603" s="23" t="s">
        <v>30</v>
      </c>
      <c r="AR603" s="23" t="s">
        <v>46</v>
      </c>
      <c r="AS603" s="25">
        <v>2034886</v>
      </c>
      <c r="AT603" t="s">
        <v>26</v>
      </c>
      <c r="AU603" t="s">
        <v>23043</v>
      </c>
    </row>
    <row r="604" spans="1:47" ht="26.25" x14ac:dyDescent="0.4">
      <c r="A604" s="23" t="s">
        <v>1605</v>
      </c>
      <c r="B604" t="s">
        <v>26</v>
      </c>
      <c r="C604" s="23" t="s">
        <v>73</v>
      </c>
      <c r="D604" s="23" t="s">
        <v>22179</v>
      </c>
      <c r="E604" s="23" t="s">
        <v>74</v>
      </c>
      <c r="F604" s="25" t="s">
        <v>1606</v>
      </c>
      <c r="G604" s="25" t="s">
        <v>1607</v>
      </c>
      <c r="H604" t="s">
        <v>26</v>
      </c>
      <c r="I604" s="24">
        <v>35462</v>
      </c>
      <c r="J604" s="25" t="s">
        <v>77</v>
      </c>
      <c r="K604" t="s">
        <v>26</v>
      </c>
      <c r="L604" s="25" t="s">
        <v>68</v>
      </c>
      <c r="M604" s="24">
        <v>38018</v>
      </c>
      <c r="N604" s="24">
        <v>42887</v>
      </c>
      <c r="O604" t="s">
        <v>26</v>
      </c>
      <c r="P604" s="24">
        <v>35462</v>
      </c>
      <c r="Q604" s="25" t="s">
        <v>77</v>
      </c>
      <c r="R604" t="s">
        <v>26</v>
      </c>
      <c r="S604" t="s">
        <v>26</v>
      </c>
      <c r="T604" t="s">
        <v>26</v>
      </c>
      <c r="U604" t="s">
        <v>26</v>
      </c>
      <c r="V604" s="25">
        <v>365</v>
      </c>
      <c r="W604" s="24">
        <v>35462</v>
      </c>
      <c r="X604" s="25" t="s">
        <v>77</v>
      </c>
      <c r="Y604" t="s">
        <v>26</v>
      </c>
      <c r="Z604" s="24">
        <v>35462</v>
      </c>
      <c r="AA604" s="25" t="s">
        <v>77</v>
      </c>
      <c r="AB604" t="s">
        <v>26</v>
      </c>
      <c r="AC604" s="24">
        <v>35462</v>
      </c>
      <c r="AD604" s="25" t="s">
        <v>77</v>
      </c>
      <c r="AE604" t="s">
        <v>26</v>
      </c>
      <c r="AF604" t="s">
        <v>26</v>
      </c>
      <c r="AG604" t="s">
        <v>26</v>
      </c>
      <c r="AH604" t="s">
        <v>26</v>
      </c>
      <c r="AI604" t="s">
        <v>26</v>
      </c>
      <c r="AJ604" t="s">
        <v>26</v>
      </c>
      <c r="AK604" t="s">
        <v>26</v>
      </c>
      <c r="AL604" t="s">
        <v>26</v>
      </c>
      <c r="AM604" t="s">
        <v>26</v>
      </c>
      <c r="AN604" t="s">
        <v>26</v>
      </c>
      <c r="AO604" s="25" t="s">
        <v>68</v>
      </c>
      <c r="AP604" s="23" t="s">
        <v>69</v>
      </c>
      <c r="AQ604" s="23" t="s">
        <v>30</v>
      </c>
      <c r="AR604" s="23" t="s">
        <v>46</v>
      </c>
      <c r="AS604" s="25">
        <v>47945</v>
      </c>
      <c r="AT604" t="s">
        <v>26</v>
      </c>
      <c r="AU604" t="s">
        <v>23044</v>
      </c>
    </row>
    <row r="605" spans="1:47" ht="26.25" x14ac:dyDescent="0.4">
      <c r="A605" s="23" t="s">
        <v>1608</v>
      </c>
      <c r="B605" t="s">
        <v>26</v>
      </c>
      <c r="C605" s="23" t="s">
        <v>73</v>
      </c>
      <c r="D605" s="23" t="s">
        <v>22179</v>
      </c>
      <c r="E605" s="23" t="s">
        <v>74</v>
      </c>
      <c r="F605" s="25" t="s">
        <v>1609</v>
      </c>
      <c r="G605" s="25" t="s">
        <v>1610</v>
      </c>
      <c r="H605" t="s">
        <v>26</v>
      </c>
      <c r="I605" s="24">
        <v>40603</v>
      </c>
      <c r="J605" s="25" t="s">
        <v>77</v>
      </c>
      <c r="K605" t="s">
        <v>26</v>
      </c>
      <c r="L605" s="25" t="s">
        <v>68</v>
      </c>
      <c r="M605" s="24">
        <v>40603</v>
      </c>
      <c r="N605" s="25" t="s">
        <v>77</v>
      </c>
      <c r="O605" t="s">
        <v>26</v>
      </c>
      <c r="P605" s="24">
        <v>40603</v>
      </c>
      <c r="Q605" s="25" t="s">
        <v>77</v>
      </c>
      <c r="R605" t="s">
        <v>26</v>
      </c>
      <c r="S605" t="s">
        <v>26</v>
      </c>
      <c r="T605" t="s">
        <v>26</v>
      </c>
      <c r="U605" t="s">
        <v>26</v>
      </c>
      <c r="V605" s="25">
        <v>365</v>
      </c>
      <c r="W605" s="24">
        <v>38322</v>
      </c>
      <c r="X605" s="25" t="s">
        <v>77</v>
      </c>
      <c r="Y605" t="s">
        <v>26</v>
      </c>
      <c r="Z605" s="24">
        <v>38322</v>
      </c>
      <c r="AA605" s="25" t="s">
        <v>77</v>
      </c>
      <c r="AB605" t="s">
        <v>26</v>
      </c>
      <c r="AC605" s="24">
        <v>40603</v>
      </c>
      <c r="AD605" s="25" t="s">
        <v>77</v>
      </c>
      <c r="AE605" s="25" t="s">
        <v>23045</v>
      </c>
      <c r="AF605" t="s">
        <v>26</v>
      </c>
      <c r="AG605" t="s">
        <v>26</v>
      </c>
      <c r="AH605" t="s">
        <v>26</v>
      </c>
      <c r="AI605" t="s">
        <v>26</v>
      </c>
      <c r="AJ605" t="s">
        <v>26</v>
      </c>
      <c r="AK605" t="s">
        <v>26</v>
      </c>
      <c r="AL605" t="s">
        <v>26</v>
      </c>
      <c r="AM605" t="s">
        <v>26</v>
      </c>
      <c r="AN605" t="s">
        <v>26</v>
      </c>
      <c r="AO605" s="25" t="s">
        <v>68</v>
      </c>
      <c r="AP605" s="23" t="s">
        <v>69</v>
      </c>
      <c r="AQ605" s="23" t="s">
        <v>30</v>
      </c>
      <c r="AR605" s="23" t="s">
        <v>46</v>
      </c>
      <c r="AS605" s="25">
        <v>976343</v>
      </c>
      <c r="AT605" t="s">
        <v>26</v>
      </c>
      <c r="AU605" t="s">
        <v>23046</v>
      </c>
    </row>
    <row r="606" spans="1:47" ht="26.25" x14ac:dyDescent="0.4">
      <c r="A606" s="23" t="s">
        <v>1611</v>
      </c>
      <c r="B606" t="s">
        <v>26</v>
      </c>
      <c r="C606" s="23" t="s">
        <v>1612</v>
      </c>
      <c r="D606" s="23" t="s">
        <v>23047</v>
      </c>
      <c r="E606" s="23" t="s">
        <v>42</v>
      </c>
      <c r="F606" t="s">
        <v>26</v>
      </c>
      <c r="G606" t="s">
        <v>26</v>
      </c>
      <c r="H606" t="s">
        <v>26</v>
      </c>
      <c r="I606" t="s">
        <v>26</v>
      </c>
      <c r="J606" t="s">
        <v>26</v>
      </c>
      <c r="K606" t="s">
        <v>26</v>
      </c>
      <c r="L606" s="25" t="s">
        <v>28</v>
      </c>
      <c r="M606" t="s">
        <v>26</v>
      </c>
      <c r="N606" t="s">
        <v>26</v>
      </c>
      <c r="O606" t="s">
        <v>26</v>
      </c>
      <c r="P606" t="s">
        <v>26</v>
      </c>
      <c r="Q606" t="s">
        <v>26</v>
      </c>
      <c r="R606" t="s">
        <v>26</v>
      </c>
      <c r="S606" t="s">
        <v>26</v>
      </c>
      <c r="T606" t="s">
        <v>26</v>
      </c>
      <c r="U606" t="s">
        <v>26</v>
      </c>
      <c r="V606" t="s">
        <v>26</v>
      </c>
      <c r="W606" s="24">
        <v>42736</v>
      </c>
      <c r="X606" s="24">
        <v>42736</v>
      </c>
      <c r="Y606" t="s">
        <v>26</v>
      </c>
      <c r="Z606" s="24">
        <v>42736</v>
      </c>
      <c r="AA606" s="24">
        <v>42736</v>
      </c>
      <c r="AB606" t="s">
        <v>26</v>
      </c>
      <c r="AC606" t="s">
        <v>26</v>
      </c>
      <c r="AD606" t="s">
        <v>26</v>
      </c>
      <c r="AE606" t="s">
        <v>26</v>
      </c>
      <c r="AF606" t="s">
        <v>26</v>
      </c>
      <c r="AG606" t="s">
        <v>26</v>
      </c>
      <c r="AH606" t="s">
        <v>26</v>
      </c>
      <c r="AI606" t="s">
        <v>26</v>
      </c>
      <c r="AJ606" t="s">
        <v>26</v>
      </c>
      <c r="AK606" t="s">
        <v>26</v>
      </c>
      <c r="AL606" t="s">
        <v>26</v>
      </c>
      <c r="AM606" t="s">
        <v>26</v>
      </c>
      <c r="AN606" t="s">
        <v>26</v>
      </c>
      <c r="AO606" s="25" t="s">
        <v>28</v>
      </c>
      <c r="AP606" s="23" t="s">
        <v>29</v>
      </c>
      <c r="AQ606" s="23" t="s">
        <v>30</v>
      </c>
      <c r="AR606" s="23" t="s">
        <v>147</v>
      </c>
      <c r="AS606" s="25">
        <v>5483549</v>
      </c>
      <c r="AT606" s="23" t="s">
        <v>22181</v>
      </c>
      <c r="AU606" t="s">
        <v>23048</v>
      </c>
    </row>
    <row r="607" spans="1:47" ht="26.25" x14ac:dyDescent="0.4">
      <c r="A607" s="23" t="s">
        <v>1613</v>
      </c>
      <c r="B607" t="s">
        <v>26</v>
      </c>
      <c r="C607" s="23" t="s">
        <v>1614</v>
      </c>
      <c r="D607" s="23" t="s">
        <v>23047</v>
      </c>
      <c r="E607" s="23" t="s">
        <v>42</v>
      </c>
      <c r="F607" t="s">
        <v>26</v>
      </c>
      <c r="G607" s="25" t="s">
        <v>1615</v>
      </c>
      <c r="H607" t="s">
        <v>26</v>
      </c>
      <c r="I607" s="24">
        <v>44136</v>
      </c>
      <c r="J607" s="25" t="s">
        <v>77</v>
      </c>
      <c r="K607" t="s">
        <v>26</v>
      </c>
      <c r="L607" s="25" t="s">
        <v>68</v>
      </c>
      <c r="M607" s="24">
        <v>44136</v>
      </c>
      <c r="N607" s="25" t="s">
        <v>77</v>
      </c>
      <c r="O607" t="s">
        <v>26</v>
      </c>
      <c r="P607" s="24">
        <v>44136</v>
      </c>
      <c r="Q607" s="25" t="s">
        <v>77</v>
      </c>
      <c r="R607" t="s">
        <v>26</v>
      </c>
      <c r="S607" t="s">
        <v>26</v>
      </c>
      <c r="T607" t="s">
        <v>26</v>
      </c>
      <c r="U607" t="s">
        <v>26</v>
      </c>
      <c r="V607" t="s">
        <v>26</v>
      </c>
      <c r="W607" s="24">
        <v>42186</v>
      </c>
      <c r="X607" s="25" t="s">
        <v>77</v>
      </c>
      <c r="Y607" t="s">
        <v>26</v>
      </c>
      <c r="Z607" s="24">
        <v>42186</v>
      </c>
      <c r="AA607" s="25" t="s">
        <v>77</v>
      </c>
      <c r="AB607" t="s">
        <v>26</v>
      </c>
      <c r="AC607" s="24">
        <v>42186</v>
      </c>
      <c r="AD607" s="25" t="s">
        <v>77</v>
      </c>
      <c r="AE607" t="s">
        <v>26</v>
      </c>
      <c r="AF607" t="s">
        <v>26</v>
      </c>
      <c r="AG607" t="s">
        <v>26</v>
      </c>
      <c r="AH607" t="s">
        <v>26</v>
      </c>
      <c r="AI607" t="s">
        <v>26</v>
      </c>
      <c r="AJ607" t="s">
        <v>26</v>
      </c>
      <c r="AK607" t="s">
        <v>26</v>
      </c>
      <c r="AL607" t="s">
        <v>26</v>
      </c>
      <c r="AM607" t="s">
        <v>26</v>
      </c>
      <c r="AN607" t="s">
        <v>26</v>
      </c>
      <c r="AO607" s="25" t="s">
        <v>68</v>
      </c>
      <c r="AP607" s="23" t="s">
        <v>69</v>
      </c>
      <c r="AQ607" s="23" t="s">
        <v>30</v>
      </c>
      <c r="AR607" s="23" t="s">
        <v>1616</v>
      </c>
      <c r="AS607" s="25">
        <v>5583636</v>
      </c>
      <c r="AT607" t="s">
        <v>26</v>
      </c>
      <c r="AU607" t="s">
        <v>23049</v>
      </c>
    </row>
    <row r="608" spans="1:47" ht="13.15" x14ac:dyDescent="0.4">
      <c r="A608" s="23" t="s">
        <v>1617</v>
      </c>
      <c r="B608" t="s">
        <v>26</v>
      </c>
      <c r="C608" s="23" t="s">
        <v>292</v>
      </c>
      <c r="D608" s="23" t="s">
        <v>22256</v>
      </c>
      <c r="E608" s="23" t="s">
        <v>42</v>
      </c>
      <c r="F608" t="s">
        <v>26</v>
      </c>
      <c r="G608" t="s">
        <v>26</v>
      </c>
      <c r="H608" t="s">
        <v>26</v>
      </c>
      <c r="I608" s="24">
        <v>37987</v>
      </c>
      <c r="J608" s="24">
        <v>37987</v>
      </c>
      <c r="K608" t="s">
        <v>26</v>
      </c>
      <c r="L608" s="25" t="s">
        <v>28</v>
      </c>
      <c r="M608" t="s">
        <v>26</v>
      </c>
      <c r="N608" t="s">
        <v>26</v>
      </c>
      <c r="O608" t="s">
        <v>26</v>
      </c>
      <c r="P608" s="24">
        <v>37987</v>
      </c>
      <c r="Q608" s="24">
        <v>37987</v>
      </c>
      <c r="R608" t="s">
        <v>26</v>
      </c>
      <c r="S608" t="s">
        <v>26</v>
      </c>
      <c r="T608" t="s">
        <v>26</v>
      </c>
      <c r="U608" t="s">
        <v>26</v>
      </c>
      <c r="V608" t="s">
        <v>26</v>
      </c>
      <c r="W608" s="24">
        <v>37987</v>
      </c>
      <c r="X608" s="24">
        <v>37987</v>
      </c>
      <c r="Y608" t="s">
        <v>26</v>
      </c>
      <c r="Z608" s="24">
        <v>37987</v>
      </c>
      <c r="AA608" s="24">
        <v>37987</v>
      </c>
      <c r="AB608" t="s">
        <v>26</v>
      </c>
      <c r="AC608" s="24">
        <v>37987</v>
      </c>
      <c r="AD608" s="24">
        <v>37987</v>
      </c>
      <c r="AE608" t="s">
        <v>26</v>
      </c>
      <c r="AF608" t="s">
        <v>26</v>
      </c>
      <c r="AG608" t="s">
        <v>26</v>
      </c>
      <c r="AH608" t="s">
        <v>26</v>
      </c>
      <c r="AI608" t="s">
        <v>26</v>
      </c>
      <c r="AJ608" t="s">
        <v>26</v>
      </c>
      <c r="AK608" t="s">
        <v>26</v>
      </c>
      <c r="AL608" t="s">
        <v>26</v>
      </c>
      <c r="AM608" t="s">
        <v>26</v>
      </c>
      <c r="AN608" t="s">
        <v>26</v>
      </c>
      <c r="AO608" s="25" t="s">
        <v>28</v>
      </c>
      <c r="AP608" s="23" t="s">
        <v>29</v>
      </c>
      <c r="AQ608" s="23" t="s">
        <v>30</v>
      </c>
      <c r="AR608" s="23" t="s">
        <v>147</v>
      </c>
      <c r="AS608" s="25">
        <v>5325185</v>
      </c>
      <c r="AT608" s="23" t="s">
        <v>22181</v>
      </c>
      <c r="AU608" t="s">
        <v>23050</v>
      </c>
    </row>
    <row r="609" spans="1:47" ht="26.25" x14ac:dyDescent="0.4">
      <c r="A609" s="23" t="s">
        <v>1618</v>
      </c>
      <c r="B609" t="s">
        <v>26</v>
      </c>
      <c r="C609" s="23" t="s">
        <v>146</v>
      </c>
      <c r="D609" s="23" t="s">
        <v>22174</v>
      </c>
      <c r="E609" s="23" t="s">
        <v>60</v>
      </c>
      <c r="F609" t="s">
        <v>26</v>
      </c>
      <c r="G609" t="s">
        <v>26</v>
      </c>
      <c r="H609" t="s">
        <v>26</v>
      </c>
      <c r="I609" t="s">
        <v>26</v>
      </c>
      <c r="J609" t="s">
        <v>26</v>
      </c>
      <c r="K609" t="s">
        <v>26</v>
      </c>
      <c r="L609" s="25" t="s">
        <v>28</v>
      </c>
      <c r="M609" t="s">
        <v>26</v>
      </c>
      <c r="N609" t="s">
        <v>26</v>
      </c>
      <c r="O609" t="s">
        <v>26</v>
      </c>
      <c r="P609" t="s">
        <v>26</v>
      </c>
      <c r="Q609" t="s">
        <v>26</v>
      </c>
      <c r="R609" t="s">
        <v>26</v>
      </c>
      <c r="S609" t="s">
        <v>26</v>
      </c>
      <c r="T609" t="s">
        <v>26</v>
      </c>
      <c r="U609" t="s">
        <v>26</v>
      </c>
      <c r="V609" t="s">
        <v>26</v>
      </c>
      <c r="W609" s="24">
        <v>42005</v>
      </c>
      <c r="X609" s="24">
        <v>42005</v>
      </c>
      <c r="Y609" t="s">
        <v>26</v>
      </c>
      <c r="Z609" s="24">
        <v>42005</v>
      </c>
      <c r="AA609" s="24">
        <v>42005</v>
      </c>
      <c r="AB609" t="s">
        <v>26</v>
      </c>
      <c r="AC609" t="s">
        <v>26</v>
      </c>
      <c r="AD609" t="s">
        <v>26</v>
      </c>
      <c r="AE609" t="s">
        <v>26</v>
      </c>
      <c r="AF609" t="s">
        <v>26</v>
      </c>
      <c r="AG609" t="s">
        <v>26</v>
      </c>
      <c r="AH609" t="s">
        <v>26</v>
      </c>
      <c r="AI609" t="s">
        <v>26</v>
      </c>
      <c r="AJ609" t="s">
        <v>26</v>
      </c>
      <c r="AK609" t="s">
        <v>26</v>
      </c>
      <c r="AL609" t="s">
        <v>26</v>
      </c>
      <c r="AM609" t="s">
        <v>26</v>
      </c>
      <c r="AN609" t="s">
        <v>26</v>
      </c>
      <c r="AO609" s="25" t="s">
        <v>28</v>
      </c>
      <c r="AP609" s="23" t="s">
        <v>29</v>
      </c>
      <c r="AQ609" s="23" t="s">
        <v>30</v>
      </c>
      <c r="AR609" s="23" t="s">
        <v>147</v>
      </c>
      <c r="AS609" s="25">
        <v>5488567</v>
      </c>
      <c r="AT609" s="23" t="s">
        <v>22181</v>
      </c>
      <c r="AU609" t="s">
        <v>23051</v>
      </c>
    </row>
    <row r="610" spans="1:47" ht="39.4" x14ac:dyDescent="0.4">
      <c r="A610" s="23" t="s">
        <v>1619</v>
      </c>
      <c r="B610" t="s">
        <v>26</v>
      </c>
      <c r="C610" s="23" t="s">
        <v>1141</v>
      </c>
      <c r="D610" s="23" t="s">
        <v>22174</v>
      </c>
      <c r="E610" s="23" t="s">
        <v>60</v>
      </c>
      <c r="F610" t="s">
        <v>26</v>
      </c>
      <c r="G610" t="s">
        <v>26</v>
      </c>
      <c r="H610" t="s">
        <v>26</v>
      </c>
      <c r="I610" t="s">
        <v>26</v>
      </c>
      <c r="J610" t="s">
        <v>26</v>
      </c>
      <c r="K610" t="s">
        <v>26</v>
      </c>
      <c r="L610" s="25" t="s">
        <v>28</v>
      </c>
      <c r="M610" t="s">
        <v>26</v>
      </c>
      <c r="N610" t="s">
        <v>26</v>
      </c>
      <c r="O610" t="s">
        <v>26</v>
      </c>
      <c r="P610" t="s">
        <v>26</v>
      </c>
      <c r="Q610" t="s">
        <v>26</v>
      </c>
      <c r="R610" t="s">
        <v>26</v>
      </c>
      <c r="S610" t="s">
        <v>26</v>
      </c>
      <c r="T610" t="s">
        <v>26</v>
      </c>
      <c r="U610" t="s">
        <v>26</v>
      </c>
      <c r="V610" t="s">
        <v>26</v>
      </c>
      <c r="W610" s="24">
        <v>42005</v>
      </c>
      <c r="X610" s="24">
        <v>42005</v>
      </c>
      <c r="Y610" t="s">
        <v>26</v>
      </c>
      <c r="Z610" s="24">
        <v>42005</v>
      </c>
      <c r="AA610" s="24">
        <v>42005</v>
      </c>
      <c r="AB610" t="s">
        <v>26</v>
      </c>
      <c r="AC610" t="s">
        <v>26</v>
      </c>
      <c r="AD610" t="s">
        <v>26</v>
      </c>
      <c r="AE610" t="s">
        <v>26</v>
      </c>
      <c r="AF610" t="s">
        <v>26</v>
      </c>
      <c r="AG610" t="s">
        <v>26</v>
      </c>
      <c r="AH610" t="s">
        <v>26</v>
      </c>
      <c r="AI610" t="s">
        <v>26</v>
      </c>
      <c r="AJ610" t="s">
        <v>26</v>
      </c>
      <c r="AK610" t="s">
        <v>26</v>
      </c>
      <c r="AL610" t="s">
        <v>26</v>
      </c>
      <c r="AM610" t="s">
        <v>26</v>
      </c>
      <c r="AN610" t="s">
        <v>26</v>
      </c>
      <c r="AO610" s="25" t="s">
        <v>28</v>
      </c>
      <c r="AP610" s="23" t="s">
        <v>29</v>
      </c>
      <c r="AQ610" s="23" t="s">
        <v>30</v>
      </c>
      <c r="AR610" s="23" t="s">
        <v>44</v>
      </c>
      <c r="AS610" s="25">
        <v>5483558</v>
      </c>
      <c r="AT610" s="23" t="s">
        <v>22181</v>
      </c>
      <c r="AU610" t="s">
        <v>23052</v>
      </c>
    </row>
    <row r="611" spans="1:47" ht="26.25" x14ac:dyDescent="0.4">
      <c r="A611" s="23" t="s">
        <v>1620</v>
      </c>
      <c r="B611" t="s">
        <v>26</v>
      </c>
      <c r="C611" s="23" t="s">
        <v>107</v>
      </c>
      <c r="D611" s="23" t="s">
        <v>22194</v>
      </c>
      <c r="E611" s="23" t="s">
        <v>42</v>
      </c>
      <c r="F611" s="25" t="s">
        <v>1621</v>
      </c>
      <c r="G611" s="25" t="s">
        <v>1622</v>
      </c>
      <c r="H611" t="s">
        <v>26</v>
      </c>
      <c r="I611" s="24">
        <v>36434</v>
      </c>
      <c r="J611" s="24">
        <v>40299</v>
      </c>
      <c r="K611" t="s">
        <v>26</v>
      </c>
      <c r="L611" s="25" t="s">
        <v>68</v>
      </c>
      <c r="M611" t="s">
        <v>26</v>
      </c>
      <c r="N611" t="s">
        <v>26</v>
      </c>
      <c r="O611" t="s">
        <v>26</v>
      </c>
      <c r="P611" s="24">
        <v>36434</v>
      </c>
      <c r="Q611" s="24">
        <v>40299</v>
      </c>
      <c r="R611" t="s">
        <v>26</v>
      </c>
      <c r="S611" t="s">
        <v>26</v>
      </c>
      <c r="T611" t="s">
        <v>26</v>
      </c>
      <c r="U611" t="s">
        <v>26</v>
      </c>
      <c r="V611" t="s">
        <v>26</v>
      </c>
      <c r="W611" s="24">
        <v>28095</v>
      </c>
      <c r="X611" s="25" t="s">
        <v>77</v>
      </c>
      <c r="Y611" t="s">
        <v>26</v>
      </c>
      <c r="Z611" s="24">
        <v>28095</v>
      </c>
      <c r="AA611" s="25" t="s">
        <v>77</v>
      </c>
      <c r="AB611" t="s">
        <v>26</v>
      </c>
      <c r="AC611" s="24">
        <v>37987</v>
      </c>
      <c r="AD611" s="25" t="s">
        <v>77</v>
      </c>
      <c r="AE611" t="s">
        <v>26</v>
      </c>
      <c r="AF611" t="s">
        <v>26</v>
      </c>
      <c r="AG611" t="s">
        <v>26</v>
      </c>
      <c r="AH611" t="s">
        <v>26</v>
      </c>
      <c r="AI611" t="s">
        <v>26</v>
      </c>
      <c r="AJ611" t="s">
        <v>26</v>
      </c>
      <c r="AK611" t="s">
        <v>26</v>
      </c>
      <c r="AL611" t="s">
        <v>26</v>
      </c>
      <c r="AM611" t="s">
        <v>26</v>
      </c>
      <c r="AN611" t="s">
        <v>26</v>
      </c>
      <c r="AO611" s="25" t="s">
        <v>68</v>
      </c>
      <c r="AP611" s="23" t="s">
        <v>69</v>
      </c>
      <c r="AQ611" s="23" t="s">
        <v>30</v>
      </c>
      <c r="AR611" s="23" t="s">
        <v>1623</v>
      </c>
      <c r="AS611" s="25">
        <v>46927</v>
      </c>
      <c r="AT611" t="s">
        <v>26</v>
      </c>
      <c r="AU611" t="s">
        <v>23053</v>
      </c>
    </row>
    <row r="612" spans="1:47" ht="26.25" x14ac:dyDescent="0.4">
      <c r="A612" s="23" t="s">
        <v>1624</v>
      </c>
      <c r="B612" t="s">
        <v>26</v>
      </c>
      <c r="C612" s="23" t="s">
        <v>80</v>
      </c>
      <c r="D612" s="23" t="s">
        <v>22184</v>
      </c>
      <c r="E612" s="23" t="s">
        <v>60</v>
      </c>
      <c r="F612" s="25" t="s">
        <v>1625</v>
      </c>
      <c r="G612" s="25" t="s">
        <v>1626</v>
      </c>
      <c r="H612" t="s">
        <v>26</v>
      </c>
      <c r="I612" t="s">
        <v>26</v>
      </c>
      <c r="J612" t="s">
        <v>26</v>
      </c>
      <c r="K612" t="s">
        <v>26</v>
      </c>
      <c r="L612" s="25" t="s">
        <v>68</v>
      </c>
      <c r="M612" t="s">
        <v>26</v>
      </c>
      <c r="N612" t="s">
        <v>26</v>
      </c>
      <c r="O612" t="s">
        <v>26</v>
      </c>
      <c r="P612" t="s">
        <v>26</v>
      </c>
      <c r="Q612" t="s">
        <v>26</v>
      </c>
      <c r="R612" t="s">
        <v>26</v>
      </c>
      <c r="S612" t="s">
        <v>26</v>
      </c>
      <c r="T612" t="s">
        <v>26</v>
      </c>
      <c r="U612" t="s">
        <v>26</v>
      </c>
      <c r="V612" t="s">
        <v>26</v>
      </c>
      <c r="W612" s="24">
        <v>32509</v>
      </c>
      <c r="X612" s="25" t="s">
        <v>77</v>
      </c>
      <c r="Y612" t="s">
        <v>26</v>
      </c>
      <c r="Z612" s="24">
        <v>32509</v>
      </c>
      <c r="AA612" s="25" t="s">
        <v>77</v>
      </c>
      <c r="AB612" t="s">
        <v>26</v>
      </c>
      <c r="AC612" s="24">
        <v>32509</v>
      </c>
      <c r="AD612" s="25" t="s">
        <v>77</v>
      </c>
      <c r="AE612" t="s">
        <v>26</v>
      </c>
      <c r="AF612" t="s">
        <v>26</v>
      </c>
      <c r="AG612" t="s">
        <v>26</v>
      </c>
      <c r="AH612" t="s">
        <v>26</v>
      </c>
      <c r="AI612" t="s">
        <v>26</v>
      </c>
      <c r="AJ612" t="s">
        <v>26</v>
      </c>
      <c r="AK612" t="s">
        <v>26</v>
      </c>
      <c r="AL612" t="s">
        <v>26</v>
      </c>
      <c r="AM612" t="s">
        <v>26</v>
      </c>
      <c r="AN612" t="s">
        <v>26</v>
      </c>
      <c r="AO612" s="25" t="s">
        <v>68</v>
      </c>
      <c r="AP612" s="23" t="s">
        <v>69</v>
      </c>
      <c r="AQ612" s="23" t="s">
        <v>30</v>
      </c>
      <c r="AR612" s="23" t="s">
        <v>1627</v>
      </c>
      <c r="AS612" s="25">
        <v>1271</v>
      </c>
      <c r="AT612" t="s">
        <v>26</v>
      </c>
      <c r="AU612" t="s">
        <v>23054</v>
      </c>
    </row>
    <row r="613" spans="1:47" ht="26.25" x14ac:dyDescent="0.4">
      <c r="A613" s="23" t="s">
        <v>1628</v>
      </c>
      <c r="B613" t="s">
        <v>26</v>
      </c>
      <c r="C613" s="23" t="s">
        <v>80</v>
      </c>
      <c r="D613" s="23" t="s">
        <v>22184</v>
      </c>
      <c r="E613" s="23" t="s">
        <v>60</v>
      </c>
      <c r="F613" s="25" t="s">
        <v>1629</v>
      </c>
      <c r="G613" s="25" t="s">
        <v>1630</v>
      </c>
      <c r="H613" t="s">
        <v>26</v>
      </c>
      <c r="I613" t="s">
        <v>26</v>
      </c>
      <c r="J613" t="s">
        <v>26</v>
      </c>
      <c r="K613" t="s">
        <v>26</v>
      </c>
      <c r="L613" s="25" t="s">
        <v>68</v>
      </c>
      <c r="M613" t="s">
        <v>26</v>
      </c>
      <c r="N613" t="s">
        <v>26</v>
      </c>
      <c r="O613" t="s">
        <v>26</v>
      </c>
      <c r="P613" t="s">
        <v>26</v>
      </c>
      <c r="Q613" t="s">
        <v>26</v>
      </c>
      <c r="R613" t="s">
        <v>26</v>
      </c>
      <c r="S613" t="s">
        <v>26</v>
      </c>
      <c r="T613" t="s">
        <v>26</v>
      </c>
      <c r="U613" t="s">
        <v>26</v>
      </c>
      <c r="V613" t="s">
        <v>26</v>
      </c>
      <c r="W613" s="24">
        <v>32568</v>
      </c>
      <c r="X613" s="25" t="s">
        <v>77</v>
      </c>
      <c r="Y613" t="s">
        <v>26</v>
      </c>
      <c r="Z613" s="24">
        <v>32568</v>
      </c>
      <c r="AA613" s="25" t="s">
        <v>77</v>
      </c>
      <c r="AB613" t="s">
        <v>26</v>
      </c>
      <c r="AC613" s="24">
        <v>32568</v>
      </c>
      <c r="AD613" s="25" t="s">
        <v>77</v>
      </c>
      <c r="AE613" t="s">
        <v>26</v>
      </c>
      <c r="AF613" t="s">
        <v>26</v>
      </c>
      <c r="AG613" t="s">
        <v>26</v>
      </c>
      <c r="AH613" t="s">
        <v>26</v>
      </c>
      <c r="AI613" t="s">
        <v>26</v>
      </c>
      <c r="AJ613" t="s">
        <v>26</v>
      </c>
      <c r="AK613" t="s">
        <v>26</v>
      </c>
      <c r="AL613" t="s">
        <v>26</v>
      </c>
      <c r="AM613" t="s">
        <v>26</v>
      </c>
      <c r="AN613" t="s">
        <v>26</v>
      </c>
      <c r="AO613" s="25" t="s">
        <v>68</v>
      </c>
      <c r="AP613" s="23" t="s">
        <v>69</v>
      </c>
      <c r="AQ613" s="23" t="s">
        <v>30</v>
      </c>
      <c r="AR613" s="23" t="s">
        <v>1631</v>
      </c>
      <c r="AS613" s="25">
        <v>1273</v>
      </c>
      <c r="AT613" t="s">
        <v>26</v>
      </c>
      <c r="AU613" t="s">
        <v>23055</v>
      </c>
    </row>
    <row r="614" spans="1:47" ht="13.15" x14ac:dyDescent="0.4">
      <c r="A614" s="23" t="s">
        <v>1632</v>
      </c>
      <c r="B614" t="s">
        <v>26</v>
      </c>
      <c r="C614" s="23" t="s">
        <v>80</v>
      </c>
      <c r="D614" s="23" t="s">
        <v>23056</v>
      </c>
      <c r="E614" s="23" t="s">
        <v>60</v>
      </c>
      <c r="F614" s="25" t="s">
        <v>1633</v>
      </c>
      <c r="G614" s="25" t="s">
        <v>1634</v>
      </c>
      <c r="H614" t="s">
        <v>26</v>
      </c>
      <c r="I614" s="24">
        <v>35796</v>
      </c>
      <c r="J614" s="24">
        <v>38443</v>
      </c>
      <c r="K614" t="s">
        <v>26</v>
      </c>
      <c r="L614" s="25" t="s">
        <v>28</v>
      </c>
      <c r="M614" s="24">
        <v>35796</v>
      </c>
      <c r="N614" s="24">
        <v>38443</v>
      </c>
      <c r="O614" t="s">
        <v>26</v>
      </c>
      <c r="P614" s="24">
        <v>35796</v>
      </c>
      <c r="Q614" s="24">
        <v>38443</v>
      </c>
      <c r="R614" t="s">
        <v>26</v>
      </c>
      <c r="S614" t="s">
        <v>26</v>
      </c>
      <c r="T614" t="s">
        <v>26</v>
      </c>
      <c r="U614" t="s">
        <v>26</v>
      </c>
      <c r="V614" t="s">
        <v>26</v>
      </c>
      <c r="W614" s="24">
        <v>35796</v>
      </c>
      <c r="X614" s="24">
        <v>42370</v>
      </c>
      <c r="Y614" t="s">
        <v>26</v>
      </c>
      <c r="Z614" s="24">
        <v>35796</v>
      </c>
      <c r="AA614" s="24">
        <v>42370</v>
      </c>
      <c r="AB614" t="s">
        <v>26</v>
      </c>
      <c r="AC614" s="24">
        <v>35796</v>
      </c>
      <c r="AD614" s="24">
        <v>42370</v>
      </c>
      <c r="AE614" t="s">
        <v>26</v>
      </c>
      <c r="AF614" t="s">
        <v>26</v>
      </c>
      <c r="AG614" t="s">
        <v>26</v>
      </c>
      <c r="AH614" t="s">
        <v>26</v>
      </c>
      <c r="AI614" t="s">
        <v>26</v>
      </c>
      <c r="AJ614" t="s">
        <v>26</v>
      </c>
      <c r="AK614" t="s">
        <v>26</v>
      </c>
      <c r="AL614" t="s">
        <v>26</v>
      </c>
      <c r="AM614" t="s">
        <v>26</v>
      </c>
      <c r="AN614" t="s">
        <v>26</v>
      </c>
      <c r="AO614" s="25" t="s">
        <v>28</v>
      </c>
      <c r="AP614" s="23" t="s">
        <v>211</v>
      </c>
      <c r="AQ614" s="23" t="s">
        <v>30</v>
      </c>
      <c r="AR614" s="23" t="s">
        <v>1635</v>
      </c>
      <c r="AS614" s="25">
        <v>21770</v>
      </c>
      <c r="AT614" t="s">
        <v>26</v>
      </c>
      <c r="AU614" t="s">
        <v>23057</v>
      </c>
    </row>
    <row r="615" spans="1:47" ht="26.25" x14ac:dyDescent="0.4">
      <c r="A615" s="23" t="s">
        <v>1636</v>
      </c>
      <c r="B615" t="s">
        <v>26</v>
      </c>
      <c r="C615" s="23" t="s">
        <v>107</v>
      </c>
      <c r="D615" s="23" t="s">
        <v>23058</v>
      </c>
      <c r="E615" s="23" t="s">
        <v>42</v>
      </c>
      <c r="F615" s="25" t="s">
        <v>1637</v>
      </c>
      <c r="G615" s="25" t="s">
        <v>1638</v>
      </c>
      <c r="H615" t="s">
        <v>26</v>
      </c>
      <c r="I615" t="s">
        <v>26</v>
      </c>
      <c r="J615" t="s">
        <v>26</v>
      </c>
      <c r="K615" t="s">
        <v>26</v>
      </c>
      <c r="L615" s="25" t="s">
        <v>68</v>
      </c>
      <c r="M615" t="s">
        <v>26</v>
      </c>
      <c r="N615" t="s">
        <v>26</v>
      </c>
      <c r="O615" t="s">
        <v>26</v>
      </c>
      <c r="P615" t="s">
        <v>26</v>
      </c>
      <c r="Q615" t="s">
        <v>26</v>
      </c>
      <c r="R615" t="s">
        <v>26</v>
      </c>
      <c r="S615" t="s">
        <v>26</v>
      </c>
      <c r="T615" t="s">
        <v>26</v>
      </c>
      <c r="U615" t="s">
        <v>26</v>
      </c>
      <c r="V615" t="s">
        <v>26</v>
      </c>
      <c r="W615" s="24">
        <v>32540</v>
      </c>
      <c r="X615" s="25" t="s">
        <v>77</v>
      </c>
      <c r="Y615" t="s">
        <v>26</v>
      </c>
      <c r="Z615" s="24">
        <v>32540</v>
      </c>
      <c r="AA615" s="25" t="s">
        <v>77</v>
      </c>
      <c r="AB615" t="s">
        <v>26</v>
      </c>
      <c r="AC615" s="24">
        <v>32540</v>
      </c>
      <c r="AD615" s="25" t="s">
        <v>77</v>
      </c>
      <c r="AE615" t="s">
        <v>26</v>
      </c>
      <c r="AF615" t="s">
        <v>26</v>
      </c>
      <c r="AG615" t="s">
        <v>26</v>
      </c>
      <c r="AH615" t="s">
        <v>26</v>
      </c>
      <c r="AI615" t="s">
        <v>26</v>
      </c>
      <c r="AJ615" t="s">
        <v>26</v>
      </c>
      <c r="AK615" t="s">
        <v>26</v>
      </c>
      <c r="AL615" t="s">
        <v>26</v>
      </c>
      <c r="AM615" t="s">
        <v>26</v>
      </c>
      <c r="AN615" t="s">
        <v>26</v>
      </c>
      <c r="AO615" s="25" t="s">
        <v>68</v>
      </c>
      <c r="AP615" s="23" t="s">
        <v>69</v>
      </c>
      <c r="AQ615" s="23" t="s">
        <v>30</v>
      </c>
      <c r="AR615" s="23" t="s">
        <v>1639</v>
      </c>
      <c r="AS615" s="25">
        <v>37611</v>
      </c>
      <c r="AT615" t="s">
        <v>26</v>
      </c>
      <c r="AU615" t="s">
        <v>23059</v>
      </c>
    </row>
    <row r="616" spans="1:47" ht="26.25" x14ac:dyDescent="0.4">
      <c r="A616" s="23" t="s">
        <v>1640</v>
      </c>
      <c r="B616" t="s">
        <v>26</v>
      </c>
      <c r="C616" s="23" t="s">
        <v>1641</v>
      </c>
      <c r="D616" s="23" t="s">
        <v>23060</v>
      </c>
      <c r="E616" s="23" t="s">
        <v>42</v>
      </c>
      <c r="F616" s="25" t="s">
        <v>1642</v>
      </c>
      <c r="G616" s="25" t="s">
        <v>1643</v>
      </c>
      <c r="H616" t="s">
        <v>26</v>
      </c>
      <c r="I616" s="24">
        <v>33695</v>
      </c>
      <c r="J616" s="24">
        <v>38687</v>
      </c>
      <c r="K616" t="s">
        <v>26</v>
      </c>
      <c r="L616" s="25" t="s">
        <v>68</v>
      </c>
      <c r="M616" s="24">
        <v>34790</v>
      </c>
      <c r="N616" s="24">
        <v>38687</v>
      </c>
      <c r="O616" t="s">
        <v>26</v>
      </c>
      <c r="P616" s="24">
        <v>33695</v>
      </c>
      <c r="Q616" s="24">
        <v>38687</v>
      </c>
      <c r="R616" t="s">
        <v>26</v>
      </c>
      <c r="S616" t="s">
        <v>26</v>
      </c>
      <c r="T616" t="s">
        <v>26</v>
      </c>
      <c r="U616" t="s">
        <v>26</v>
      </c>
      <c r="V616" t="s">
        <v>26</v>
      </c>
      <c r="W616" s="24">
        <v>32599</v>
      </c>
      <c r="X616" s="25" t="s">
        <v>77</v>
      </c>
      <c r="Y616" t="s">
        <v>26</v>
      </c>
      <c r="Z616" s="24">
        <v>32599</v>
      </c>
      <c r="AA616" s="25" t="s">
        <v>77</v>
      </c>
      <c r="AB616" t="s">
        <v>26</v>
      </c>
      <c r="AC616" s="24">
        <v>32599</v>
      </c>
      <c r="AD616" s="25" t="s">
        <v>77</v>
      </c>
      <c r="AE616" t="s">
        <v>26</v>
      </c>
      <c r="AF616" t="s">
        <v>26</v>
      </c>
      <c r="AG616" t="s">
        <v>26</v>
      </c>
      <c r="AH616" t="s">
        <v>26</v>
      </c>
      <c r="AI616" t="s">
        <v>26</v>
      </c>
      <c r="AJ616" t="s">
        <v>26</v>
      </c>
      <c r="AK616" t="s">
        <v>26</v>
      </c>
      <c r="AL616" t="s">
        <v>26</v>
      </c>
      <c r="AM616" t="s">
        <v>26</v>
      </c>
      <c r="AN616" t="s">
        <v>26</v>
      </c>
      <c r="AO616" s="25" t="s">
        <v>68</v>
      </c>
      <c r="AP616" s="23" t="s">
        <v>69</v>
      </c>
      <c r="AQ616" s="23" t="s">
        <v>30</v>
      </c>
      <c r="AR616" s="23" t="s">
        <v>883</v>
      </c>
      <c r="AS616" s="25">
        <v>36627</v>
      </c>
      <c r="AT616" t="s">
        <v>26</v>
      </c>
      <c r="AU616" t="s">
        <v>23061</v>
      </c>
    </row>
    <row r="617" spans="1:47" ht="26.25" x14ac:dyDescent="0.4">
      <c r="A617" s="23" t="s">
        <v>1644</v>
      </c>
      <c r="B617" t="s">
        <v>26</v>
      </c>
      <c r="C617" s="23" t="s">
        <v>399</v>
      </c>
      <c r="D617" s="23" t="s">
        <v>22242</v>
      </c>
      <c r="E617" s="23" t="s">
        <v>60</v>
      </c>
      <c r="F617" s="25" t="s">
        <v>1645</v>
      </c>
      <c r="G617" s="25" t="s">
        <v>1646</v>
      </c>
      <c r="H617" t="s">
        <v>26</v>
      </c>
      <c r="I617" t="s">
        <v>26</v>
      </c>
      <c r="J617" t="s">
        <v>26</v>
      </c>
      <c r="K617" t="s">
        <v>26</v>
      </c>
      <c r="L617" s="25" t="s">
        <v>68</v>
      </c>
      <c r="M617" t="s">
        <v>26</v>
      </c>
      <c r="N617" t="s">
        <v>26</v>
      </c>
      <c r="O617" t="s">
        <v>26</v>
      </c>
      <c r="P617" t="s">
        <v>26</v>
      </c>
      <c r="Q617" t="s">
        <v>26</v>
      </c>
      <c r="R617" t="s">
        <v>26</v>
      </c>
      <c r="S617" t="s">
        <v>26</v>
      </c>
      <c r="T617" t="s">
        <v>26</v>
      </c>
      <c r="U617" t="s">
        <v>26</v>
      </c>
      <c r="V617" t="s">
        <v>26</v>
      </c>
      <c r="W617" s="24">
        <v>35827</v>
      </c>
      <c r="X617" s="24">
        <v>44136</v>
      </c>
      <c r="Y617" t="s">
        <v>26</v>
      </c>
      <c r="Z617" s="24">
        <v>35827</v>
      </c>
      <c r="AA617" s="24">
        <v>44136</v>
      </c>
      <c r="AB617" t="s">
        <v>26</v>
      </c>
      <c r="AC617" s="24">
        <v>35827</v>
      </c>
      <c r="AD617" s="24">
        <v>44136</v>
      </c>
      <c r="AE617" t="s">
        <v>26</v>
      </c>
      <c r="AF617" t="s">
        <v>26</v>
      </c>
      <c r="AG617" t="s">
        <v>26</v>
      </c>
      <c r="AH617" t="s">
        <v>26</v>
      </c>
      <c r="AI617" t="s">
        <v>26</v>
      </c>
      <c r="AJ617" t="s">
        <v>26</v>
      </c>
      <c r="AK617" t="s">
        <v>26</v>
      </c>
      <c r="AL617" t="s">
        <v>26</v>
      </c>
      <c r="AM617" t="s">
        <v>26</v>
      </c>
      <c r="AN617" t="s">
        <v>26</v>
      </c>
      <c r="AO617" s="25" t="s">
        <v>68</v>
      </c>
      <c r="AP617" s="23" t="s">
        <v>69</v>
      </c>
      <c r="AQ617" s="23" t="s">
        <v>30</v>
      </c>
      <c r="AR617" s="23" t="s">
        <v>1647</v>
      </c>
      <c r="AS617" s="25">
        <v>31255</v>
      </c>
      <c r="AT617" t="s">
        <v>26</v>
      </c>
      <c r="AU617" t="s">
        <v>23062</v>
      </c>
    </row>
    <row r="618" spans="1:47" ht="26.25" x14ac:dyDescent="0.4">
      <c r="A618" s="23" t="s">
        <v>1648</v>
      </c>
      <c r="B618" t="s">
        <v>26</v>
      </c>
      <c r="C618" s="23" t="s">
        <v>181</v>
      </c>
      <c r="D618" s="23" t="s">
        <v>22174</v>
      </c>
      <c r="E618" s="23" t="s">
        <v>60</v>
      </c>
      <c r="F618" s="25" t="s">
        <v>1649</v>
      </c>
      <c r="G618" s="25" t="s">
        <v>1650</v>
      </c>
      <c r="H618" t="s">
        <v>26</v>
      </c>
      <c r="I618" s="24">
        <v>35886</v>
      </c>
      <c r="J618" s="24">
        <v>39630</v>
      </c>
      <c r="K618" t="s">
        <v>26</v>
      </c>
      <c r="L618" s="25" t="s">
        <v>68</v>
      </c>
      <c r="M618" t="s">
        <v>26</v>
      </c>
      <c r="N618" t="s">
        <v>26</v>
      </c>
      <c r="O618" t="s">
        <v>26</v>
      </c>
      <c r="P618" s="24">
        <v>35886</v>
      </c>
      <c r="Q618" s="24">
        <v>39630</v>
      </c>
      <c r="R618" t="s">
        <v>26</v>
      </c>
      <c r="S618" t="s">
        <v>26</v>
      </c>
      <c r="T618" t="s">
        <v>26</v>
      </c>
      <c r="U618" t="s">
        <v>26</v>
      </c>
      <c r="V618" t="s">
        <v>26</v>
      </c>
      <c r="W618" s="24">
        <v>29495</v>
      </c>
      <c r="X618" s="25" t="s">
        <v>77</v>
      </c>
      <c r="Y618" t="s">
        <v>26</v>
      </c>
      <c r="Z618" s="24">
        <v>29495</v>
      </c>
      <c r="AA618" s="25" t="s">
        <v>77</v>
      </c>
      <c r="AB618" t="s">
        <v>26</v>
      </c>
      <c r="AC618" s="24">
        <v>29495</v>
      </c>
      <c r="AD618" s="25" t="s">
        <v>77</v>
      </c>
      <c r="AE618" t="s">
        <v>26</v>
      </c>
      <c r="AF618" t="s">
        <v>26</v>
      </c>
      <c r="AG618" t="s">
        <v>26</v>
      </c>
      <c r="AH618" t="s">
        <v>26</v>
      </c>
      <c r="AI618" t="s">
        <v>26</v>
      </c>
      <c r="AJ618" t="s">
        <v>26</v>
      </c>
      <c r="AK618" t="s">
        <v>26</v>
      </c>
      <c r="AL618" t="s">
        <v>26</v>
      </c>
      <c r="AM618" t="s">
        <v>26</v>
      </c>
      <c r="AN618" t="s">
        <v>26</v>
      </c>
      <c r="AO618" s="25" t="s">
        <v>68</v>
      </c>
      <c r="AP618" s="23" t="s">
        <v>69</v>
      </c>
      <c r="AQ618" t="s">
        <v>26</v>
      </c>
      <c r="AR618" s="23" t="s">
        <v>230</v>
      </c>
      <c r="AS618" s="25">
        <v>44801</v>
      </c>
      <c r="AT618" t="s">
        <v>26</v>
      </c>
      <c r="AU618" t="s">
        <v>23063</v>
      </c>
    </row>
    <row r="619" spans="1:47" ht="26.25" x14ac:dyDescent="0.4">
      <c r="A619" s="23" t="s">
        <v>1651</v>
      </c>
      <c r="B619" t="s">
        <v>26</v>
      </c>
      <c r="C619" s="23" t="s">
        <v>73</v>
      </c>
      <c r="D619" s="23" t="s">
        <v>22179</v>
      </c>
      <c r="E619" s="23" t="s">
        <v>74</v>
      </c>
      <c r="F619" s="25" t="s">
        <v>1652</v>
      </c>
      <c r="G619" s="25" t="s">
        <v>1653</v>
      </c>
      <c r="H619" t="s">
        <v>26</v>
      </c>
      <c r="I619" s="24">
        <v>35339</v>
      </c>
      <c r="J619" s="25" t="s">
        <v>77</v>
      </c>
      <c r="K619" t="s">
        <v>26</v>
      </c>
      <c r="L619" s="25" t="s">
        <v>68</v>
      </c>
      <c r="M619" s="24">
        <v>35339</v>
      </c>
      <c r="N619" s="24">
        <v>42856</v>
      </c>
      <c r="O619" t="s">
        <v>26</v>
      </c>
      <c r="P619" s="24">
        <v>35339</v>
      </c>
      <c r="Q619" s="25" t="s">
        <v>77</v>
      </c>
      <c r="R619" t="s">
        <v>26</v>
      </c>
      <c r="S619" t="s">
        <v>26</v>
      </c>
      <c r="T619" t="s">
        <v>26</v>
      </c>
      <c r="U619" t="s">
        <v>26</v>
      </c>
      <c r="V619" s="25">
        <v>365</v>
      </c>
      <c r="W619" s="24">
        <v>32509</v>
      </c>
      <c r="X619" s="25" t="s">
        <v>77</v>
      </c>
      <c r="Y619" t="s">
        <v>26</v>
      </c>
      <c r="Z619" s="24">
        <v>32509</v>
      </c>
      <c r="AA619" s="25" t="s">
        <v>77</v>
      </c>
      <c r="AB619" t="s">
        <v>26</v>
      </c>
      <c r="AC619" s="24">
        <v>32509</v>
      </c>
      <c r="AD619" s="25" t="s">
        <v>77</v>
      </c>
      <c r="AE619" t="s">
        <v>26</v>
      </c>
      <c r="AF619" t="s">
        <v>26</v>
      </c>
      <c r="AG619" t="s">
        <v>26</v>
      </c>
      <c r="AH619" t="s">
        <v>26</v>
      </c>
      <c r="AI619" t="s">
        <v>26</v>
      </c>
      <c r="AJ619" t="s">
        <v>26</v>
      </c>
      <c r="AK619" t="s">
        <v>26</v>
      </c>
      <c r="AL619" t="s">
        <v>26</v>
      </c>
      <c r="AM619" t="s">
        <v>26</v>
      </c>
      <c r="AN619" t="s">
        <v>26</v>
      </c>
      <c r="AO619" s="25" t="s">
        <v>68</v>
      </c>
      <c r="AP619" s="23" t="s">
        <v>69</v>
      </c>
      <c r="AQ619" s="23" t="s">
        <v>30</v>
      </c>
      <c r="AR619" s="23" t="s">
        <v>1654</v>
      </c>
      <c r="AS619" s="25">
        <v>48521</v>
      </c>
      <c r="AT619" t="s">
        <v>26</v>
      </c>
      <c r="AU619" t="s">
        <v>23064</v>
      </c>
    </row>
    <row r="620" spans="1:47" ht="26.25" x14ac:dyDescent="0.4">
      <c r="A620" s="23" t="s">
        <v>1655</v>
      </c>
      <c r="B620" t="s">
        <v>26</v>
      </c>
      <c r="C620" s="23" t="s">
        <v>1656</v>
      </c>
      <c r="D620" s="23" t="s">
        <v>23065</v>
      </c>
      <c r="E620" s="23" t="s">
        <v>1657</v>
      </c>
      <c r="F620" t="s">
        <v>26</v>
      </c>
      <c r="G620" s="25" t="s">
        <v>1658</v>
      </c>
      <c r="H620" t="s">
        <v>26</v>
      </c>
      <c r="I620" s="24">
        <v>42005</v>
      </c>
      <c r="J620" s="25" t="s">
        <v>77</v>
      </c>
      <c r="K620" s="25" t="s">
        <v>696</v>
      </c>
      <c r="L620" s="25" t="s">
        <v>68</v>
      </c>
      <c r="M620" t="s">
        <v>26</v>
      </c>
      <c r="N620" t="s">
        <v>26</v>
      </c>
      <c r="O620" t="s">
        <v>26</v>
      </c>
      <c r="P620" s="24">
        <v>42005</v>
      </c>
      <c r="Q620" s="25" t="s">
        <v>77</v>
      </c>
      <c r="R620" s="25" t="s">
        <v>696</v>
      </c>
      <c r="S620" t="s">
        <v>26</v>
      </c>
      <c r="T620" t="s">
        <v>26</v>
      </c>
      <c r="U620" t="s">
        <v>26</v>
      </c>
      <c r="V620" t="s">
        <v>26</v>
      </c>
      <c r="W620" s="24">
        <v>42005</v>
      </c>
      <c r="X620" s="25" t="s">
        <v>77</v>
      </c>
      <c r="Y620" s="25" t="s">
        <v>696</v>
      </c>
      <c r="Z620" s="24">
        <v>42005</v>
      </c>
      <c r="AA620" s="25" t="s">
        <v>77</v>
      </c>
      <c r="AB620" s="25" t="s">
        <v>696</v>
      </c>
      <c r="AC620" s="24">
        <v>42005</v>
      </c>
      <c r="AD620" s="25" t="s">
        <v>77</v>
      </c>
      <c r="AE620" s="25" t="s">
        <v>696</v>
      </c>
      <c r="AF620" t="s">
        <v>26</v>
      </c>
      <c r="AG620" t="s">
        <v>26</v>
      </c>
      <c r="AH620" t="s">
        <v>26</v>
      </c>
      <c r="AI620" t="s">
        <v>26</v>
      </c>
      <c r="AJ620" t="s">
        <v>26</v>
      </c>
      <c r="AK620" t="s">
        <v>26</v>
      </c>
      <c r="AL620" t="s">
        <v>26</v>
      </c>
      <c r="AM620" t="s">
        <v>26</v>
      </c>
      <c r="AN620" t="s">
        <v>26</v>
      </c>
      <c r="AO620" s="25" t="s">
        <v>68</v>
      </c>
      <c r="AP620" s="23" t="s">
        <v>69</v>
      </c>
      <c r="AQ620" s="23" t="s">
        <v>30</v>
      </c>
      <c r="AR620" s="23" t="s">
        <v>385</v>
      </c>
      <c r="AS620" s="25">
        <v>2069550</v>
      </c>
      <c r="AT620" t="s">
        <v>26</v>
      </c>
      <c r="AU620" t="s">
        <v>23066</v>
      </c>
    </row>
    <row r="621" spans="1:47" ht="13.15" x14ac:dyDescent="0.4">
      <c r="A621" s="23" t="s">
        <v>23067</v>
      </c>
      <c r="B621" t="s">
        <v>26</v>
      </c>
      <c r="C621" s="23" t="s">
        <v>23068</v>
      </c>
      <c r="D621" s="23" t="s">
        <v>22312</v>
      </c>
      <c r="E621" s="23" t="s">
        <v>42</v>
      </c>
      <c r="F621" t="s">
        <v>26</v>
      </c>
      <c r="G621" t="s">
        <v>26</v>
      </c>
      <c r="H621" t="s">
        <v>26</v>
      </c>
      <c r="I621" s="24">
        <v>43466</v>
      </c>
      <c r="J621" s="24">
        <v>43466</v>
      </c>
      <c r="K621" t="s">
        <v>26</v>
      </c>
      <c r="L621" s="25" t="s">
        <v>28</v>
      </c>
      <c r="M621" t="s">
        <v>26</v>
      </c>
      <c r="N621" t="s">
        <v>26</v>
      </c>
      <c r="O621" t="s">
        <v>26</v>
      </c>
      <c r="P621" s="24">
        <v>43466</v>
      </c>
      <c r="Q621" s="24">
        <v>43466</v>
      </c>
      <c r="R621" t="s">
        <v>26</v>
      </c>
      <c r="S621" t="s">
        <v>26</v>
      </c>
      <c r="T621" t="s">
        <v>26</v>
      </c>
      <c r="U621" t="s">
        <v>26</v>
      </c>
      <c r="V621" t="s">
        <v>26</v>
      </c>
      <c r="W621" s="24">
        <v>43466</v>
      </c>
      <c r="X621" s="24">
        <v>43466</v>
      </c>
      <c r="Y621" t="s">
        <v>26</v>
      </c>
      <c r="Z621" s="24">
        <v>43466</v>
      </c>
      <c r="AA621" s="24">
        <v>43466</v>
      </c>
      <c r="AB621" t="s">
        <v>26</v>
      </c>
      <c r="AC621" t="s">
        <v>26</v>
      </c>
      <c r="AD621" t="s">
        <v>26</v>
      </c>
      <c r="AE621" t="s">
        <v>26</v>
      </c>
      <c r="AF621" t="s">
        <v>26</v>
      </c>
      <c r="AG621" t="s">
        <v>26</v>
      </c>
      <c r="AH621" t="s">
        <v>26</v>
      </c>
      <c r="AI621" t="s">
        <v>26</v>
      </c>
      <c r="AJ621" t="s">
        <v>26</v>
      </c>
      <c r="AK621" t="s">
        <v>26</v>
      </c>
      <c r="AL621" t="s">
        <v>26</v>
      </c>
      <c r="AM621" t="s">
        <v>26</v>
      </c>
      <c r="AN621" t="s">
        <v>26</v>
      </c>
      <c r="AO621" s="25" t="s">
        <v>28</v>
      </c>
      <c r="AP621" s="23" t="s">
        <v>279</v>
      </c>
      <c r="AQ621" s="23" t="s">
        <v>30</v>
      </c>
      <c r="AR621" s="23" t="s">
        <v>385</v>
      </c>
      <c r="AS621" s="25">
        <v>6600372</v>
      </c>
      <c r="AT621" t="s">
        <v>26</v>
      </c>
      <c r="AU621" t="s">
        <v>23069</v>
      </c>
    </row>
    <row r="622" spans="1:47" ht="13.15" x14ac:dyDescent="0.4">
      <c r="A622" s="23" t="s">
        <v>1659</v>
      </c>
      <c r="B622" t="s">
        <v>26</v>
      </c>
      <c r="C622" s="23" t="s">
        <v>146</v>
      </c>
      <c r="D622" s="23" t="s">
        <v>22174</v>
      </c>
      <c r="E622" s="23" t="s">
        <v>60</v>
      </c>
      <c r="F622" t="s">
        <v>26</v>
      </c>
      <c r="G622" t="s">
        <v>26</v>
      </c>
      <c r="H622" t="s">
        <v>26</v>
      </c>
      <c r="I622" t="s">
        <v>26</v>
      </c>
      <c r="J622" t="s">
        <v>26</v>
      </c>
      <c r="K622" t="s">
        <v>26</v>
      </c>
      <c r="L622" s="25" t="s">
        <v>28</v>
      </c>
      <c r="M622" t="s">
        <v>26</v>
      </c>
      <c r="N622" t="s">
        <v>26</v>
      </c>
      <c r="O622" t="s">
        <v>26</v>
      </c>
      <c r="P622" t="s">
        <v>26</v>
      </c>
      <c r="Q622" t="s">
        <v>26</v>
      </c>
      <c r="R622" t="s">
        <v>26</v>
      </c>
      <c r="S622" t="s">
        <v>26</v>
      </c>
      <c r="T622" t="s">
        <v>26</v>
      </c>
      <c r="U622" t="s">
        <v>26</v>
      </c>
      <c r="V622" t="s">
        <v>26</v>
      </c>
      <c r="W622" s="24">
        <v>41640</v>
      </c>
      <c r="X622" s="24">
        <v>41640</v>
      </c>
      <c r="Y622" t="s">
        <v>26</v>
      </c>
      <c r="Z622" s="24">
        <v>41640</v>
      </c>
      <c r="AA622" s="24">
        <v>41640</v>
      </c>
      <c r="AB622" t="s">
        <v>26</v>
      </c>
      <c r="AC622" t="s">
        <v>26</v>
      </c>
      <c r="AD622" t="s">
        <v>26</v>
      </c>
      <c r="AE622" t="s">
        <v>26</v>
      </c>
      <c r="AF622" t="s">
        <v>26</v>
      </c>
      <c r="AG622" t="s">
        <v>26</v>
      </c>
      <c r="AH622" t="s">
        <v>26</v>
      </c>
      <c r="AI622" t="s">
        <v>26</v>
      </c>
      <c r="AJ622" t="s">
        <v>26</v>
      </c>
      <c r="AK622" t="s">
        <v>26</v>
      </c>
      <c r="AL622" t="s">
        <v>26</v>
      </c>
      <c r="AM622" t="s">
        <v>26</v>
      </c>
      <c r="AN622" t="s">
        <v>26</v>
      </c>
      <c r="AO622" s="25" t="s">
        <v>28</v>
      </c>
      <c r="AP622" s="23" t="s">
        <v>29</v>
      </c>
      <c r="AQ622" s="23" t="s">
        <v>30</v>
      </c>
      <c r="AR622" s="23" t="s">
        <v>44</v>
      </c>
      <c r="AS622" s="25">
        <v>5488555</v>
      </c>
      <c r="AT622" s="23" t="s">
        <v>22181</v>
      </c>
      <c r="AU622" t="s">
        <v>23070</v>
      </c>
    </row>
    <row r="623" spans="1:47" ht="26.25" x14ac:dyDescent="0.4">
      <c r="A623" s="23" t="s">
        <v>1660</v>
      </c>
      <c r="B623" t="s">
        <v>26</v>
      </c>
      <c r="C623" s="23" t="s">
        <v>341</v>
      </c>
      <c r="D623" s="23" t="s">
        <v>23071</v>
      </c>
      <c r="E623" s="23" t="s">
        <v>60</v>
      </c>
      <c r="F623" s="25" t="s">
        <v>1661</v>
      </c>
      <c r="G623" s="25" t="s">
        <v>1662</v>
      </c>
      <c r="H623" t="s">
        <v>26</v>
      </c>
      <c r="I623" s="24">
        <v>37681</v>
      </c>
      <c r="J623" s="25" t="s">
        <v>77</v>
      </c>
      <c r="K623" t="s">
        <v>26</v>
      </c>
      <c r="L623" s="25" t="s">
        <v>68</v>
      </c>
      <c r="M623" s="24">
        <v>37681</v>
      </c>
      <c r="N623" s="25" t="s">
        <v>77</v>
      </c>
      <c r="O623" t="s">
        <v>26</v>
      </c>
      <c r="P623" s="24">
        <v>37681</v>
      </c>
      <c r="Q623" s="25" t="s">
        <v>77</v>
      </c>
      <c r="R623" t="s">
        <v>26</v>
      </c>
      <c r="S623" t="s">
        <v>26</v>
      </c>
      <c r="T623" t="s">
        <v>26</v>
      </c>
      <c r="U623" t="s">
        <v>26</v>
      </c>
      <c r="V623" s="25">
        <v>60</v>
      </c>
      <c r="W623" s="24">
        <v>37681</v>
      </c>
      <c r="X623" s="25" t="s">
        <v>77</v>
      </c>
      <c r="Y623" t="s">
        <v>26</v>
      </c>
      <c r="Z623" s="24">
        <v>37681</v>
      </c>
      <c r="AA623" s="25" t="s">
        <v>77</v>
      </c>
      <c r="AB623" t="s">
        <v>26</v>
      </c>
      <c r="AC623" s="24">
        <v>37681</v>
      </c>
      <c r="AD623" s="25" t="s">
        <v>77</v>
      </c>
      <c r="AE623" t="s">
        <v>26</v>
      </c>
      <c r="AF623" t="s">
        <v>26</v>
      </c>
      <c r="AG623" t="s">
        <v>26</v>
      </c>
      <c r="AH623" t="s">
        <v>26</v>
      </c>
      <c r="AI623" t="s">
        <v>26</v>
      </c>
      <c r="AJ623" t="s">
        <v>26</v>
      </c>
      <c r="AK623" t="s">
        <v>26</v>
      </c>
      <c r="AL623" t="s">
        <v>26</v>
      </c>
      <c r="AM623" t="s">
        <v>26</v>
      </c>
      <c r="AN623" t="s">
        <v>26</v>
      </c>
      <c r="AO623" s="25" t="s">
        <v>68</v>
      </c>
      <c r="AP623" s="23" t="s">
        <v>69</v>
      </c>
      <c r="AQ623" s="23" t="s">
        <v>30</v>
      </c>
      <c r="AR623" s="23" t="s">
        <v>1663</v>
      </c>
      <c r="AS623" s="25">
        <v>1226357</v>
      </c>
      <c r="AT623" t="s">
        <v>26</v>
      </c>
      <c r="AU623" t="s">
        <v>23072</v>
      </c>
    </row>
    <row r="624" spans="1:47" ht="26.25" x14ac:dyDescent="0.4">
      <c r="A624" s="23" t="s">
        <v>1664</v>
      </c>
      <c r="B624" t="s">
        <v>26</v>
      </c>
      <c r="C624" s="23" t="s">
        <v>48</v>
      </c>
      <c r="D624" s="23" t="s">
        <v>22168</v>
      </c>
      <c r="E624" s="23" t="s">
        <v>42</v>
      </c>
      <c r="F624" t="s">
        <v>26</v>
      </c>
      <c r="G624" t="s">
        <v>26</v>
      </c>
      <c r="H624" t="s">
        <v>26</v>
      </c>
      <c r="I624" t="s">
        <v>26</v>
      </c>
      <c r="J624" t="s">
        <v>26</v>
      </c>
      <c r="K624" t="s">
        <v>26</v>
      </c>
      <c r="L624" s="25" t="s">
        <v>28</v>
      </c>
      <c r="M624" t="s">
        <v>26</v>
      </c>
      <c r="N624" t="s">
        <v>26</v>
      </c>
      <c r="O624" t="s">
        <v>26</v>
      </c>
      <c r="P624" t="s">
        <v>26</v>
      </c>
      <c r="Q624" t="s">
        <v>26</v>
      </c>
      <c r="R624" t="s">
        <v>26</v>
      </c>
      <c r="S624" t="s">
        <v>26</v>
      </c>
      <c r="T624" t="s">
        <v>26</v>
      </c>
      <c r="U624" t="s">
        <v>26</v>
      </c>
      <c r="V624" t="s">
        <v>26</v>
      </c>
      <c r="W624" s="24">
        <v>40909</v>
      </c>
      <c r="X624" s="24">
        <v>40909</v>
      </c>
      <c r="Y624" t="s">
        <v>26</v>
      </c>
      <c r="Z624" s="24">
        <v>40909</v>
      </c>
      <c r="AA624" s="24">
        <v>40909</v>
      </c>
      <c r="AB624" t="s">
        <v>26</v>
      </c>
      <c r="AC624" t="s">
        <v>26</v>
      </c>
      <c r="AD624" t="s">
        <v>26</v>
      </c>
      <c r="AE624" t="s">
        <v>26</v>
      </c>
      <c r="AF624" t="s">
        <v>26</v>
      </c>
      <c r="AG624" t="s">
        <v>26</v>
      </c>
      <c r="AH624" t="s">
        <v>26</v>
      </c>
      <c r="AI624" t="s">
        <v>26</v>
      </c>
      <c r="AJ624" t="s">
        <v>26</v>
      </c>
      <c r="AK624" t="s">
        <v>26</v>
      </c>
      <c r="AL624" t="s">
        <v>26</v>
      </c>
      <c r="AM624" t="s">
        <v>26</v>
      </c>
      <c r="AN624" t="s">
        <v>26</v>
      </c>
      <c r="AO624" s="25" t="s">
        <v>28</v>
      </c>
      <c r="AP624" s="23" t="s">
        <v>29</v>
      </c>
      <c r="AQ624" s="23" t="s">
        <v>30</v>
      </c>
      <c r="AR624" s="23" t="s">
        <v>1170</v>
      </c>
      <c r="AS624" s="25">
        <v>5488539</v>
      </c>
      <c r="AT624" s="23" t="s">
        <v>22181</v>
      </c>
      <c r="AU624" t="s">
        <v>23073</v>
      </c>
    </row>
    <row r="625" spans="1:47" ht="26.25" x14ac:dyDescent="0.4">
      <c r="A625" s="23" t="s">
        <v>1665</v>
      </c>
      <c r="B625" t="s">
        <v>26</v>
      </c>
      <c r="C625" s="23" t="s">
        <v>341</v>
      </c>
      <c r="D625" s="23" t="s">
        <v>22179</v>
      </c>
      <c r="E625" s="23" t="s">
        <v>60</v>
      </c>
      <c r="F625" s="25" t="s">
        <v>1666</v>
      </c>
      <c r="G625" s="25" t="s">
        <v>1667</v>
      </c>
      <c r="H625" t="s">
        <v>26</v>
      </c>
      <c r="I625" s="24">
        <v>37622</v>
      </c>
      <c r="J625" s="25" t="s">
        <v>77</v>
      </c>
      <c r="K625" t="s">
        <v>26</v>
      </c>
      <c r="L625" s="25" t="s">
        <v>68</v>
      </c>
      <c r="M625" s="24">
        <v>37622</v>
      </c>
      <c r="N625" s="25" t="s">
        <v>77</v>
      </c>
      <c r="O625" t="s">
        <v>26</v>
      </c>
      <c r="P625" s="24">
        <v>37622</v>
      </c>
      <c r="Q625" s="25" t="s">
        <v>77</v>
      </c>
      <c r="R625" t="s">
        <v>26</v>
      </c>
      <c r="S625" t="s">
        <v>26</v>
      </c>
      <c r="T625" t="s">
        <v>26</v>
      </c>
      <c r="U625" t="s">
        <v>26</v>
      </c>
      <c r="V625" t="s">
        <v>26</v>
      </c>
      <c r="W625" s="24">
        <v>37622</v>
      </c>
      <c r="X625" s="25" t="s">
        <v>77</v>
      </c>
      <c r="Y625" t="s">
        <v>26</v>
      </c>
      <c r="Z625" s="24">
        <v>37622</v>
      </c>
      <c r="AA625" s="25" t="s">
        <v>77</v>
      </c>
      <c r="AB625" t="s">
        <v>26</v>
      </c>
      <c r="AC625" s="24">
        <v>37622</v>
      </c>
      <c r="AD625" s="25" t="s">
        <v>77</v>
      </c>
      <c r="AE625" t="s">
        <v>26</v>
      </c>
      <c r="AF625" t="s">
        <v>26</v>
      </c>
      <c r="AG625" t="s">
        <v>26</v>
      </c>
      <c r="AH625" t="s">
        <v>26</v>
      </c>
      <c r="AI625" t="s">
        <v>26</v>
      </c>
      <c r="AJ625" t="s">
        <v>26</v>
      </c>
      <c r="AK625" t="s">
        <v>26</v>
      </c>
      <c r="AL625" t="s">
        <v>26</v>
      </c>
      <c r="AM625" t="s">
        <v>26</v>
      </c>
      <c r="AN625" t="s">
        <v>26</v>
      </c>
      <c r="AO625" s="25" t="s">
        <v>68</v>
      </c>
      <c r="AP625" s="23" t="s">
        <v>69</v>
      </c>
      <c r="AQ625" s="23" t="s">
        <v>30</v>
      </c>
      <c r="AR625" s="23" t="s">
        <v>70</v>
      </c>
      <c r="AS625" s="25">
        <v>1226356</v>
      </c>
      <c r="AT625" t="s">
        <v>26</v>
      </c>
      <c r="AU625" t="s">
        <v>23074</v>
      </c>
    </row>
    <row r="626" spans="1:47" ht="26.25" x14ac:dyDescent="0.4">
      <c r="A626" s="23" t="s">
        <v>1668</v>
      </c>
      <c r="B626" t="s">
        <v>26</v>
      </c>
      <c r="C626" s="23" t="s">
        <v>73</v>
      </c>
      <c r="D626" s="23" t="s">
        <v>22215</v>
      </c>
      <c r="E626" s="23" t="s">
        <v>74</v>
      </c>
      <c r="F626" t="s">
        <v>26</v>
      </c>
      <c r="G626" s="25" t="s">
        <v>1669</v>
      </c>
      <c r="H626" t="s">
        <v>26</v>
      </c>
      <c r="I626" s="24">
        <v>42186</v>
      </c>
      <c r="J626" s="24">
        <v>42583</v>
      </c>
      <c r="K626" t="s">
        <v>26</v>
      </c>
      <c r="L626" s="25" t="s">
        <v>68</v>
      </c>
      <c r="M626" t="s">
        <v>26</v>
      </c>
      <c r="N626" t="s">
        <v>26</v>
      </c>
      <c r="O626" t="s">
        <v>26</v>
      </c>
      <c r="P626" s="24">
        <v>42186</v>
      </c>
      <c r="Q626" s="24">
        <v>42583</v>
      </c>
      <c r="R626" t="s">
        <v>26</v>
      </c>
      <c r="S626" t="s">
        <v>26</v>
      </c>
      <c r="T626" t="s">
        <v>26</v>
      </c>
      <c r="U626" t="s">
        <v>26</v>
      </c>
      <c r="V626" t="s">
        <v>26</v>
      </c>
      <c r="W626" s="24">
        <v>42186</v>
      </c>
      <c r="X626" s="24">
        <v>42583</v>
      </c>
      <c r="Y626" t="s">
        <v>26</v>
      </c>
      <c r="Z626" s="24">
        <v>42186</v>
      </c>
      <c r="AA626" s="24">
        <v>42583</v>
      </c>
      <c r="AB626" t="s">
        <v>26</v>
      </c>
      <c r="AC626" s="24">
        <v>42186</v>
      </c>
      <c r="AD626" s="24">
        <v>42583</v>
      </c>
      <c r="AE626" t="s">
        <v>26</v>
      </c>
      <c r="AF626" t="s">
        <v>26</v>
      </c>
      <c r="AG626" t="s">
        <v>26</v>
      </c>
      <c r="AH626" t="s">
        <v>26</v>
      </c>
      <c r="AI626" t="s">
        <v>26</v>
      </c>
      <c r="AJ626" t="s">
        <v>26</v>
      </c>
      <c r="AK626" t="s">
        <v>26</v>
      </c>
      <c r="AL626" t="s">
        <v>26</v>
      </c>
      <c r="AM626" t="s">
        <v>26</v>
      </c>
      <c r="AN626" t="s">
        <v>26</v>
      </c>
      <c r="AO626" s="25" t="s">
        <v>68</v>
      </c>
      <c r="AP626" s="23" t="s">
        <v>69</v>
      </c>
      <c r="AQ626" s="23" t="s">
        <v>30</v>
      </c>
      <c r="AR626" s="23" t="s">
        <v>1670</v>
      </c>
      <c r="AS626" s="25">
        <v>2046143</v>
      </c>
      <c r="AT626" t="s">
        <v>26</v>
      </c>
      <c r="AU626" t="s">
        <v>23075</v>
      </c>
    </row>
    <row r="627" spans="1:47" ht="26.25" x14ac:dyDescent="0.4">
      <c r="A627" s="23" t="s">
        <v>1671</v>
      </c>
      <c r="B627" t="s">
        <v>26</v>
      </c>
      <c r="C627" s="23" t="s">
        <v>172</v>
      </c>
      <c r="D627" s="23" t="s">
        <v>22294</v>
      </c>
      <c r="E627" s="23" t="s">
        <v>60</v>
      </c>
      <c r="F627" s="25" t="s">
        <v>1672</v>
      </c>
      <c r="G627" s="25" t="s">
        <v>1673</v>
      </c>
      <c r="H627" t="s">
        <v>26</v>
      </c>
      <c r="I627" t="s">
        <v>26</v>
      </c>
      <c r="J627" t="s">
        <v>26</v>
      </c>
      <c r="K627" t="s">
        <v>26</v>
      </c>
      <c r="L627" s="25" t="s">
        <v>68</v>
      </c>
      <c r="M627" t="s">
        <v>26</v>
      </c>
      <c r="N627" t="s">
        <v>26</v>
      </c>
      <c r="O627" t="s">
        <v>26</v>
      </c>
      <c r="P627" t="s">
        <v>26</v>
      </c>
      <c r="Q627" t="s">
        <v>26</v>
      </c>
      <c r="R627" t="s">
        <v>26</v>
      </c>
      <c r="S627" t="s">
        <v>26</v>
      </c>
      <c r="T627" t="s">
        <v>26</v>
      </c>
      <c r="U627" t="s">
        <v>26</v>
      </c>
      <c r="V627" t="s">
        <v>26</v>
      </c>
      <c r="W627" s="24">
        <v>38018</v>
      </c>
      <c r="X627" s="25" t="s">
        <v>77</v>
      </c>
      <c r="Y627" t="s">
        <v>26</v>
      </c>
      <c r="Z627" s="24">
        <v>38018</v>
      </c>
      <c r="AA627" s="25" t="s">
        <v>77</v>
      </c>
      <c r="AB627" t="s">
        <v>26</v>
      </c>
      <c r="AC627" s="24">
        <v>38018</v>
      </c>
      <c r="AD627" s="25" t="s">
        <v>77</v>
      </c>
      <c r="AE627" t="s">
        <v>26</v>
      </c>
      <c r="AF627" t="s">
        <v>26</v>
      </c>
      <c r="AG627" t="s">
        <v>26</v>
      </c>
      <c r="AH627" t="s">
        <v>26</v>
      </c>
      <c r="AI627" t="s">
        <v>26</v>
      </c>
      <c r="AJ627" t="s">
        <v>26</v>
      </c>
      <c r="AK627" t="s">
        <v>26</v>
      </c>
      <c r="AL627" t="s">
        <v>26</v>
      </c>
      <c r="AM627" t="s">
        <v>26</v>
      </c>
      <c r="AN627" t="s">
        <v>26</v>
      </c>
      <c r="AO627" s="25" t="s">
        <v>68</v>
      </c>
      <c r="AP627" s="23" t="s">
        <v>69</v>
      </c>
      <c r="AQ627" s="23" t="s">
        <v>30</v>
      </c>
      <c r="AR627" s="23" t="s">
        <v>1674</v>
      </c>
      <c r="AS627" s="25">
        <v>34323</v>
      </c>
      <c r="AT627" t="s">
        <v>26</v>
      </c>
      <c r="AU627" t="s">
        <v>23076</v>
      </c>
    </row>
    <row r="628" spans="1:47" ht="26.25" x14ac:dyDescent="0.4">
      <c r="A628" s="23" t="s">
        <v>1675</v>
      </c>
      <c r="B628" t="s">
        <v>26</v>
      </c>
      <c r="C628" s="23" t="s">
        <v>259</v>
      </c>
      <c r="D628" s="23" t="s">
        <v>22179</v>
      </c>
      <c r="E628" s="23" t="s">
        <v>60</v>
      </c>
      <c r="F628" s="25" t="s">
        <v>1676</v>
      </c>
      <c r="G628" s="25" t="s">
        <v>1677</v>
      </c>
      <c r="H628" t="s">
        <v>26</v>
      </c>
      <c r="I628" s="24">
        <v>39448</v>
      </c>
      <c r="J628" s="25" t="s">
        <v>77</v>
      </c>
      <c r="K628" t="s">
        <v>26</v>
      </c>
      <c r="L628" s="25" t="s">
        <v>68</v>
      </c>
      <c r="M628" s="24">
        <v>39448</v>
      </c>
      <c r="N628" s="25" t="s">
        <v>77</v>
      </c>
      <c r="O628" t="s">
        <v>26</v>
      </c>
      <c r="P628" s="24">
        <v>39448</v>
      </c>
      <c r="Q628" s="25" t="s">
        <v>77</v>
      </c>
      <c r="R628" t="s">
        <v>26</v>
      </c>
      <c r="S628" t="s">
        <v>26</v>
      </c>
      <c r="T628" t="s">
        <v>26</v>
      </c>
      <c r="U628" t="s">
        <v>26</v>
      </c>
      <c r="V628" t="s">
        <v>26</v>
      </c>
      <c r="W628" s="24">
        <v>39448</v>
      </c>
      <c r="X628" s="25" t="s">
        <v>77</v>
      </c>
      <c r="Y628" t="s">
        <v>26</v>
      </c>
      <c r="Z628" s="24">
        <v>39448</v>
      </c>
      <c r="AA628" s="25" t="s">
        <v>77</v>
      </c>
      <c r="AB628" t="s">
        <v>26</v>
      </c>
      <c r="AC628" s="24">
        <v>39448</v>
      </c>
      <c r="AD628" s="25" t="s">
        <v>77</v>
      </c>
      <c r="AE628" t="s">
        <v>26</v>
      </c>
      <c r="AF628" t="s">
        <v>26</v>
      </c>
      <c r="AG628" t="s">
        <v>26</v>
      </c>
      <c r="AH628" t="s">
        <v>26</v>
      </c>
      <c r="AI628" t="s">
        <v>26</v>
      </c>
      <c r="AJ628" t="s">
        <v>26</v>
      </c>
      <c r="AK628" t="s">
        <v>26</v>
      </c>
      <c r="AL628" t="s">
        <v>26</v>
      </c>
      <c r="AM628" t="s">
        <v>26</v>
      </c>
      <c r="AN628" t="s">
        <v>26</v>
      </c>
      <c r="AO628" s="25" t="s">
        <v>68</v>
      </c>
      <c r="AP628" s="23" t="s">
        <v>69</v>
      </c>
      <c r="AQ628" s="23" t="s">
        <v>30</v>
      </c>
      <c r="AR628" s="23" t="s">
        <v>78</v>
      </c>
      <c r="AS628" s="25">
        <v>237303</v>
      </c>
      <c r="AT628" t="s">
        <v>26</v>
      </c>
      <c r="AU628" t="s">
        <v>23077</v>
      </c>
    </row>
    <row r="629" spans="1:47" ht="26.25" x14ac:dyDescent="0.4">
      <c r="A629" s="23" t="s">
        <v>1678</v>
      </c>
      <c r="B629" t="s">
        <v>26</v>
      </c>
      <c r="C629" s="23" t="s">
        <v>176</v>
      </c>
      <c r="D629" s="23" t="s">
        <v>23078</v>
      </c>
      <c r="E629" s="23" t="s">
        <v>60</v>
      </c>
      <c r="F629" s="25" t="s">
        <v>1679</v>
      </c>
      <c r="G629" s="25" t="s">
        <v>1680</v>
      </c>
      <c r="H629" t="s">
        <v>26</v>
      </c>
      <c r="I629" t="s">
        <v>26</v>
      </c>
      <c r="J629" t="s">
        <v>26</v>
      </c>
      <c r="K629" t="s">
        <v>26</v>
      </c>
      <c r="L629" s="25" t="s">
        <v>68</v>
      </c>
      <c r="M629" t="s">
        <v>26</v>
      </c>
      <c r="N629" t="s">
        <v>26</v>
      </c>
      <c r="O629" t="s">
        <v>26</v>
      </c>
      <c r="P629" t="s">
        <v>26</v>
      </c>
      <c r="Q629" t="s">
        <v>26</v>
      </c>
      <c r="R629" t="s">
        <v>26</v>
      </c>
      <c r="S629" t="s">
        <v>26</v>
      </c>
      <c r="T629" t="s">
        <v>26</v>
      </c>
      <c r="U629" t="s">
        <v>26</v>
      </c>
      <c r="V629" t="s">
        <v>26</v>
      </c>
      <c r="W629" s="24">
        <v>42705</v>
      </c>
      <c r="X629" s="24">
        <v>44774</v>
      </c>
      <c r="Y629" t="s">
        <v>26</v>
      </c>
      <c r="Z629" s="24">
        <v>42705</v>
      </c>
      <c r="AA629" s="24">
        <v>44774</v>
      </c>
      <c r="AB629" t="s">
        <v>26</v>
      </c>
      <c r="AC629" s="24">
        <v>42705</v>
      </c>
      <c r="AD629" s="24">
        <v>44774</v>
      </c>
      <c r="AE629" t="s">
        <v>26</v>
      </c>
      <c r="AF629" t="s">
        <v>26</v>
      </c>
      <c r="AG629" t="s">
        <v>26</v>
      </c>
      <c r="AH629" t="s">
        <v>26</v>
      </c>
      <c r="AI629" t="s">
        <v>26</v>
      </c>
      <c r="AJ629" t="s">
        <v>26</v>
      </c>
      <c r="AK629" t="s">
        <v>26</v>
      </c>
      <c r="AL629" t="s">
        <v>26</v>
      </c>
      <c r="AM629" t="s">
        <v>26</v>
      </c>
      <c r="AN629" t="s">
        <v>26</v>
      </c>
      <c r="AO629" s="25" t="s">
        <v>68</v>
      </c>
      <c r="AP629" s="23" t="s">
        <v>69</v>
      </c>
      <c r="AQ629" s="23" t="s">
        <v>30</v>
      </c>
      <c r="AR629" s="23" t="s">
        <v>1681</v>
      </c>
      <c r="AS629" s="25">
        <v>2038346</v>
      </c>
      <c r="AT629" t="s">
        <v>26</v>
      </c>
      <c r="AU629" t="s">
        <v>23079</v>
      </c>
    </row>
    <row r="630" spans="1:47" ht="26.25" x14ac:dyDescent="0.4">
      <c r="A630" s="23" t="s">
        <v>1682</v>
      </c>
      <c r="B630" t="s">
        <v>26</v>
      </c>
      <c r="C630" t="s">
        <v>26</v>
      </c>
      <c r="D630" t="s">
        <v>26</v>
      </c>
      <c r="E630" t="s">
        <v>26</v>
      </c>
      <c r="F630" t="s">
        <v>26</v>
      </c>
      <c r="G630" t="s">
        <v>26</v>
      </c>
      <c r="H630" t="s">
        <v>26</v>
      </c>
      <c r="I630" s="24">
        <v>7306</v>
      </c>
      <c r="J630" s="24">
        <v>7306</v>
      </c>
      <c r="K630" t="s">
        <v>26</v>
      </c>
      <c r="L630" s="25" t="s">
        <v>28</v>
      </c>
      <c r="M630" t="s">
        <v>26</v>
      </c>
      <c r="N630" t="s">
        <v>26</v>
      </c>
      <c r="O630" t="s">
        <v>26</v>
      </c>
      <c r="P630" s="24">
        <v>7306</v>
      </c>
      <c r="Q630" s="24">
        <v>7306</v>
      </c>
      <c r="R630" t="s">
        <v>26</v>
      </c>
      <c r="S630" t="s">
        <v>26</v>
      </c>
      <c r="T630" t="s">
        <v>26</v>
      </c>
      <c r="U630" t="s">
        <v>26</v>
      </c>
      <c r="V630" t="s">
        <v>26</v>
      </c>
      <c r="W630" s="24">
        <v>7306</v>
      </c>
      <c r="X630" s="24">
        <v>7306</v>
      </c>
      <c r="Y630" t="s">
        <v>26</v>
      </c>
      <c r="Z630" s="24">
        <v>7306</v>
      </c>
      <c r="AA630" s="24">
        <v>7306</v>
      </c>
      <c r="AB630" t="s">
        <v>26</v>
      </c>
      <c r="AC630" t="s">
        <v>26</v>
      </c>
      <c r="AD630" t="s">
        <v>26</v>
      </c>
      <c r="AE630" t="s">
        <v>26</v>
      </c>
      <c r="AF630" t="s">
        <v>26</v>
      </c>
      <c r="AG630" t="s">
        <v>26</v>
      </c>
      <c r="AH630" t="s">
        <v>26</v>
      </c>
      <c r="AI630" t="s">
        <v>26</v>
      </c>
      <c r="AJ630" t="s">
        <v>26</v>
      </c>
      <c r="AK630" t="s">
        <v>26</v>
      </c>
      <c r="AL630" t="s">
        <v>26</v>
      </c>
      <c r="AM630" t="s">
        <v>26</v>
      </c>
      <c r="AN630" t="s">
        <v>26</v>
      </c>
      <c r="AO630" s="25" t="s">
        <v>28</v>
      </c>
      <c r="AP630" s="23" t="s">
        <v>45</v>
      </c>
      <c r="AQ630" s="23" t="s">
        <v>30</v>
      </c>
      <c r="AR630" s="23" t="s">
        <v>46</v>
      </c>
      <c r="AS630" s="25">
        <v>5983410</v>
      </c>
      <c r="AT630" t="s">
        <v>26</v>
      </c>
      <c r="AU630" t="s">
        <v>23080</v>
      </c>
    </row>
    <row r="631" spans="1:47" ht="26.25" x14ac:dyDescent="0.4">
      <c r="A631" s="23" t="s">
        <v>1683</v>
      </c>
      <c r="B631" t="s">
        <v>26</v>
      </c>
      <c r="C631" s="23" t="s">
        <v>371</v>
      </c>
      <c r="D631" s="23" t="s">
        <v>22179</v>
      </c>
      <c r="E631" s="23" t="s">
        <v>42</v>
      </c>
      <c r="F631" t="s">
        <v>26</v>
      </c>
      <c r="G631" t="s">
        <v>26</v>
      </c>
      <c r="H631" t="s">
        <v>26</v>
      </c>
      <c r="I631" t="s">
        <v>26</v>
      </c>
      <c r="J631" t="s">
        <v>26</v>
      </c>
      <c r="K631" t="s">
        <v>26</v>
      </c>
      <c r="L631" s="25" t="s">
        <v>28</v>
      </c>
      <c r="M631" t="s">
        <v>26</v>
      </c>
      <c r="N631" t="s">
        <v>26</v>
      </c>
      <c r="O631" t="s">
        <v>26</v>
      </c>
      <c r="P631" t="s">
        <v>26</v>
      </c>
      <c r="Q631" t="s">
        <v>26</v>
      </c>
      <c r="R631" t="s">
        <v>26</v>
      </c>
      <c r="S631" t="s">
        <v>26</v>
      </c>
      <c r="T631" t="s">
        <v>26</v>
      </c>
      <c r="U631" t="s">
        <v>26</v>
      </c>
      <c r="V631" t="s">
        <v>26</v>
      </c>
      <c r="W631" s="24">
        <v>9863</v>
      </c>
      <c r="X631" s="24">
        <v>9863</v>
      </c>
      <c r="Y631" t="s">
        <v>26</v>
      </c>
      <c r="Z631" s="24">
        <v>9863</v>
      </c>
      <c r="AA631" s="24">
        <v>9863</v>
      </c>
      <c r="AB631" t="s">
        <v>26</v>
      </c>
      <c r="AC631" t="s">
        <v>26</v>
      </c>
      <c r="AD631" t="s">
        <v>26</v>
      </c>
      <c r="AE631" t="s">
        <v>26</v>
      </c>
      <c r="AF631" t="s">
        <v>26</v>
      </c>
      <c r="AG631" t="s">
        <v>26</v>
      </c>
      <c r="AH631" t="s">
        <v>26</v>
      </c>
      <c r="AI631" t="s">
        <v>26</v>
      </c>
      <c r="AJ631" t="s">
        <v>26</v>
      </c>
      <c r="AK631" t="s">
        <v>26</v>
      </c>
      <c r="AL631" t="s">
        <v>26</v>
      </c>
      <c r="AM631" t="s">
        <v>26</v>
      </c>
      <c r="AN631" t="s">
        <v>26</v>
      </c>
      <c r="AO631" s="25" t="s">
        <v>28</v>
      </c>
      <c r="AP631" s="23" t="s">
        <v>29</v>
      </c>
      <c r="AQ631" s="23" t="s">
        <v>30</v>
      </c>
      <c r="AR631" s="23" t="s">
        <v>44</v>
      </c>
      <c r="AS631" s="25">
        <v>5483646</v>
      </c>
      <c r="AT631" s="23" t="s">
        <v>22181</v>
      </c>
      <c r="AU631" t="s">
        <v>23081</v>
      </c>
    </row>
    <row r="632" spans="1:47" ht="26.25" x14ac:dyDescent="0.4">
      <c r="A632" s="23" t="s">
        <v>1684</v>
      </c>
      <c r="B632" t="s">
        <v>26</v>
      </c>
      <c r="C632" t="s">
        <v>26</v>
      </c>
      <c r="D632" t="s">
        <v>26</v>
      </c>
      <c r="E632" t="s">
        <v>26</v>
      </c>
      <c r="F632" t="s">
        <v>26</v>
      </c>
      <c r="G632" t="s">
        <v>26</v>
      </c>
      <c r="H632" t="s">
        <v>26</v>
      </c>
      <c r="I632" s="24">
        <v>4384</v>
      </c>
      <c r="J632" s="24">
        <v>4384</v>
      </c>
      <c r="K632" t="s">
        <v>26</v>
      </c>
      <c r="L632" s="25" t="s">
        <v>28</v>
      </c>
      <c r="M632" s="24">
        <v>4384</v>
      </c>
      <c r="N632" s="24">
        <v>4384</v>
      </c>
      <c r="O632" t="s">
        <v>26</v>
      </c>
      <c r="P632" t="s">
        <v>26</v>
      </c>
      <c r="Q632" t="s">
        <v>26</v>
      </c>
      <c r="R632" t="s">
        <v>26</v>
      </c>
      <c r="S632" t="s">
        <v>26</v>
      </c>
      <c r="T632" t="s">
        <v>26</v>
      </c>
      <c r="U632" t="s">
        <v>26</v>
      </c>
      <c r="V632" t="s">
        <v>26</v>
      </c>
      <c r="W632" s="24">
        <v>4384</v>
      </c>
      <c r="X632" s="24">
        <v>4384</v>
      </c>
      <c r="Y632" t="s">
        <v>26</v>
      </c>
      <c r="Z632" s="24">
        <v>4384</v>
      </c>
      <c r="AA632" s="24">
        <v>4384</v>
      </c>
      <c r="AB632" t="s">
        <v>26</v>
      </c>
      <c r="AC632" s="24">
        <v>4384</v>
      </c>
      <c r="AD632" s="24">
        <v>4384</v>
      </c>
      <c r="AE632" t="s">
        <v>26</v>
      </c>
      <c r="AF632" t="s">
        <v>26</v>
      </c>
      <c r="AG632" t="s">
        <v>26</v>
      </c>
      <c r="AH632" t="s">
        <v>26</v>
      </c>
      <c r="AI632" t="s">
        <v>26</v>
      </c>
      <c r="AJ632" t="s">
        <v>26</v>
      </c>
      <c r="AK632" t="s">
        <v>26</v>
      </c>
      <c r="AL632" t="s">
        <v>26</v>
      </c>
      <c r="AM632" t="s">
        <v>26</v>
      </c>
      <c r="AN632" t="s">
        <v>26</v>
      </c>
      <c r="AO632" s="25" t="s">
        <v>28</v>
      </c>
      <c r="AP632" s="23" t="s">
        <v>45</v>
      </c>
      <c r="AQ632" s="23" t="s">
        <v>30</v>
      </c>
      <c r="AR632" s="23" t="s">
        <v>46</v>
      </c>
      <c r="AS632" s="25">
        <v>5983393</v>
      </c>
      <c r="AT632" t="s">
        <v>26</v>
      </c>
      <c r="AU632" t="s">
        <v>23082</v>
      </c>
    </row>
    <row r="633" spans="1:47" ht="26.25" x14ac:dyDescent="0.4">
      <c r="A633" s="23" t="s">
        <v>1685</v>
      </c>
      <c r="B633" t="s">
        <v>26</v>
      </c>
      <c r="C633" t="s">
        <v>26</v>
      </c>
      <c r="D633" t="s">
        <v>26</v>
      </c>
      <c r="E633" t="s">
        <v>26</v>
      </c>
      <c r="F633" t="s">
        <v>26</v>
      </c>
      <c r="G633" t="s">
        <v>26</v>
      </c>
      <c r="H633" t="s">
        <v>26</v>
      </c>
      <c r="I633" s="24">
        <v>6941</v>
      </c>
      <c r="J633" s="24">
        <v>6941</v>
      </c>
      <c r="K633" t="s">
        <v>26</v>
      </c>
      <c r="L633" s="25" t="s">
        <v>28</v>
      </c>
      <c r="M633" s="24">
        <v>6941</v>
      </c>
      <c r="N633" s="24">
        <v>6941</v>
      </c>
      <c r="O633" t="s">
        <v>26</v>
      </c>
      <c r="P633" t="s">
        <v>26</v>
      </c>
      <c r="Q633" t="s">
        <v>26</v>
      </c>
      <c r="R633" t="s">
        <v>26</v>
      </c>
      <c r="S633" t="s">
        <v>26</v>
      </c>
      <c r="T633" t="s">
        <v>26</v>
      </c>
      <c r="U633" t="s">
        <v>26</v>
      </c>
      <c r="V633" t="s">
        <v>26</v>
      </c>
      <c r="W633" s="24">
        <v>6941</v>
      </c>
      <c r="X633" s="24">
        <v>6941</v>
      </c>
      <c r="Y633" t="s">
        <v>26</v>
      </c>
      <c r="Z633" s="24">
        <v>6941</v>
      </c>
      <c r="AA633" s="24">
        <v>6941</v>
      </c>
      <c r="AB633" t="s">
        <v>26</v>
      </c>
      <c r="AC633" s="24">
        <v>6941</v>
      </c>
      <c r="AD633" s="24">
        <v>6941</v>
      </c>
      <c r="AE633" t="s">
        <v>26</v>
      </c>
      <c r="AF633" t="s">
        <v>26</v>
      </c>
      <c r="AG633" t="s">
        <v>26</v>
      </c>
      <c r="AH633" t="s">
        <v>26</v>
      </c>
      <c r="AI633" t="s">
        <v>26</v>
      </c>
      <c r="AJ633" t="s">
        <v>26</v>
      </c>
      <c r="AK633" t="s">
        <v>26</v>
      </c>
      <c r="AL633" t="s">
        <v>26</v>
      </c>
      <c r="AM633" t="s">
        <v>26</v>
      </c>
      <c r="AN633" t="s">
        <v>26</v>
      </c>
      <c r="AO633" s="25" t="s">
        <v>28</v>
      </c>
      <c r="AP633" s="23" t="s">
        <v>45</v>
      </c>
      <c r="AQ633" s="23" t="s">
        <v>30</v>
      </c>
      <c r="AR633" s="23" t="s">
        <v>46</v>
      </c>
      <c r="AS633" s="25">
        <v>5983407</v>
      </c>
      <c r="AT633" t="s">
        <v>26</v>
      </c>
      <c r="AU633" t="s">
        <v>23083</v>
      </c>
    </row>
    <row r="634" spans="1:47" ht="13.15" x14ac:dyDescent="0.4">
      <c r="A634" s="23" t="s">
        <v>1686</v>
      </c>
      <c r="B634" t="s">
        <v>26</v>
      </c>
      <c r="C634" s="23" t="s">
        <v>59</v>
      </c>
      <c r="D634" s="23" t="s">
        <v>22174</v>
      </c>
      <c r="E634" s="23" t="s">
        <v>60</v>
      </c>
      <c r="F634" t="s">
        <v>26</v>
      </c>
      <c r="G634" t="s">
        <v>26</v>
      </c>
      <c r="H634" s="25" t="s">
        <v>1687</v>
      </c>
      <c r="I634" s="24">
        <v>41275</v>
      </c>
      <c r="J634" s="24">
        <v>41275</v>
      </c>
      <c r="K634" t="s">
        <v>26</v>
      </c>
      <c r="L634" s="25" t="s">
        <v>28</v>
      </c>
      <c r="M634" s="24">
        <v>41275</v>
      </c>
      <c r="N634" s="24">
        <v>41275</v>
      </c>
      <c r="O634" t="s">
        <v>26</v>
      </c>
      <c r="P634" s="24">
        <v>41275</v>
      </c>
      <c r="Q634" s="24">
        <v>41275</v>
      </c>
      <c r="R634" t="s">
        <v>26</v>
      </c>
      <c r="S634" t="s">
        <v>26</v>
      </c>
      <c r="T634" t="s">
        <v>26</v>
      </c>
      <c r="U634" t="s">
        <v>26</v>
      </c>
      <c r="V634" t="s">
        <v>26</v>
      </c>
      <c r="W634" s="24">
        <v>41275</v>
      </c>
      <c r="X634" s="24">
        <v>41275</v>
      </c>
      <c r="Y634" t="s">
        <v>26</v>
      </c>
      <c r="Z634" s="24">
        <v>41275</v>
      </c>
      <c r="AA634" s="24">
        <v>41275</v>
      </c>
      <c r="AB634" t="s">
        <v>26</v>
      </c>
      <c r="AC634" s="24">
        <v>41275</v>
      </c>
      <c r="AD634" s="24">
        <v>41275</v>
      </c>
      <c r="AE634" t="s">
        <v>26</v>
      </c>
      <c r="AF634" t="s">
        <v>26</v>
      </c>
      <c r="AG634" t="s">
        <v>26</v>
      </c>
      <c r="AH634" t="s">
        <v>26</v>
      </c>
      <c r="AI634" t="s">
        <v>26</v>
      </c>
      <c r="AJ634" t="s">
        <v>26</v>
      </c>
      <c r="AK634" t="s">
        <v>26</v>
      </c>
      <c r="AL634" t="s">
        <v>26</v>
      </c>
      <c r="AM634" t="s">
        <v>26</v>
      </c>
      <c r="AN634" t="s">
        <v>26</v>
      </c>
      <c r="AO634" s="25" t="s">
        <v>28</v>
      </c>
      <c r="AP634" s="23" t="s">
        <v>29</v>
      </c>
      <c r="AQ634" s="23" t="s">
        <v>30</v>
      </c>
      <c r="AR634" s="23" t="s">
        <v>1688</v>
      </c>
      <c r="AS634" s="25">
        <v>2043145</v>
      </c>
      <c r="AT634" t="s">
        <v>26</v>
      </c>
      <c r="AU634" t="s">
        <v>23084</v>
      </c>
    </row>
    <row r="635" spans="1:47" ht="26.25" x14ac:dyDescent="0.4">
      <c r="A635" s="23" t="s">
        <v>1689</v>
      </c>
      <c r="B635" t="s">
        <v>26</v>
      </c>
      <c r="C635" s="23" t="s">
        <v>48</v>
      </c>
      <c r="D635" s="23" t="s">
        <v>22168</v>
      </c>
      <c r="E635" s="23" t="s">
        <v>42</v>
      </c>
      <c r="F635" t="s">
        <v>26</v>
      </c>
      <c r="G635" t="s">
        <v>26</v>
      </c>
      <c r="H635" t="s">
        <v>26</v>
      </c>
      <c r="I635" t="s">
        <v>26</v>
      </c>
      <c r="J635" t="s">
        <v>26</v>
      </c>
      <c r="K635" t="s">
        <v>26</v>
      </c>
      <c r="L635" s="25" t="s">
        <v>28</v>
      </c>
      <c r="M635" t="s">
        <v>26</v>
      </c>
      <c r="N635" t="s">
        <v>26</v>
      </c>
      <c r="O635" t="s">
        <v>26</v>
      </c>
      <c r="P635" t="s">
        <v>26</v>
      </c>
      <c r="Q635" t="s">
        <v>26</v>
      </c>
      <c r="R635" t="s">
        <v>26</v>
      </c>
      <c r="S635" t="s">
        <v>26</v>
      </c>
      <c r="T635" t="s">
        <v>26</v>
      </c>
      <c r="U635" t="s">
        <v>26</v>
      </c>
      <c r="V635" t="s">
        <v>26</v>
      </c>
      <c r="W635" s="24">
        <v>40179</v>
      </c>
      <c r="X635" s="24">
        <v>40179</v>
      </c>
      <c r="Y635" t="s">
        <v>26</v>
      </c>
      <c r="Z635" s="24">
        <v>40179</v>
      </c>
      <c r="AA635" s="24">
        <v>40179</v>
      </c>
      <c r="AB635" t="s">
        <v>26</v>
      </c>
      <c r="AC635" t="s">
        <v>26</v>
      </c>
      <c r="AD635" t="s">
        <v>26</v>
      </c>
      <c r="AE635" t="s">
        <v>26</v>
      </c>
      <c r="AF635" t="s">
        <v>26</v>
      </c>
      <c r="AG635" t="s">
        <v>26</v>
      </c>
      <c r="AH635" t="s">
        <v>26</v>
      </c>
      <c r="AI635" t="s">
        <v>26</v>
      </c>
      <c r="AJ635" t="s">
        <v>26</v>
      </c>
      <c r="AK635" t="s">
        <v>26</v>
      </c>
      <c r="AL635" t="s">
        <v>26</v>
      </c>
      <c r="AM635" t="s">
        <v>26</v>
      </c>
      <c r="AN635" t="s">
        <v>26</v>
      </c>
      <c r="AO635" s="25" t="s">
        <v>28</v>
      </c>
      <c r="AP635" s="23" t="s">
        <v>29</v>
      </c>
      <c r="AQ635" s="23" t="s">
        <v>30</v>
      </c>
      <c r="AR635" s="23" t="s">
        <v>1170</v>
      </c>
      <c r="AS635" s="25">
        <v>5488538</v>
      </c>
      <c r="AT635" s="23" t="s">
        <v>22181</v>
      </c>
      <c r="AU635" t="s">
        <v>23085</v>
      </c>
    </row>
    <row r="636" spans="1:47" ht="26.25" x14ac:dyDescent="0.4">
      <c r="A636" s="23" t="s">
        <v>1690</v>
      </c>
      <c r="B636" t="s">
        <v>26</v>
      </c>
      <c r="C636" s="23" t="s">
        <v>1691</v>
      </c>
      <c r="D636" s="23" t="s">
        <v>23086</v>
      </c>
      <c r="E636" s="23" t="s">
        <v>42</v>
      </c>
      <c r="F636" s="25" t="s">
        <v>1692</v>
      </c>
      <c r="G636" s="25" t="s">
        <v>1693</v>
      </c>
      <c r="H636" t="s">
        <v>26</v>
      </c>
      <c r="I636" t="s">
        <v>26</v>
      </c>
      <c r="J636" t="s">
        <v>26</v>
      </c>
      <c r="K636" t="s">
        <v>26</v>
      </c>
      <c r="L636" s="25" t="s">
        <v>68</v>
      </c>
      <c r="M636" t="s">
        <v>26</v>
      </c>
      <c r="N636" t="s">
        <v>26</v>
      </c>
      <c r="O636" t="s">
        <v>26</v>
      </c>
      <c r="P636" t="s">
        <v>26</v>
      </c>
      <c r="Q636" t="s">
        <v>26</v>
      </c>
      <c r="R636" t="s">
        <v>26</v>
      </c>
      <c r="S636" t="s">
        <v>26</v>
      </c>
      <c r="T636" t="s">
        <v>26</v>
      </c>
      <c r="U636" t="s">
        <v>26</v>
      </c>
      <c r="V636" t="s">
        <v>26</v>
      </c>
      <c r="W636" s="24">
        <v>38078</v>
      </c>
      <c r="X636" s="25" t="s">
        <v>77</v>
      </c>
      <c r="Y636" t="s">
        <v>26</v>
      </c>
      <c r="Z636" s="24">
        <v>38078</v>
      </c>
      <c r="AA636" s="25" t="s">
        <v>77</v>
      </c>
      <c r="AB636" t="s">
        <v>26</v>
      </c>
      <c r="AC636" s="24">
        <v>38078</v>
      </c>
      <c r="AD636" s="25" t="s">
        <v>77</v>
      </c>
      <c r="AE636" t="s">
        <v>26</v>
      </c>
      <c r="AF636" t="s">
        <v>26</v>
      </c>
      <c r="AG636" t="s">
        <v>26</v>
      </c>
      <c r="AH636" t="s">
        <v>26</v>
      </c>
      <c r="AI636" t="s">
        <v>26</v>
      </c>
      <c r="AJ636" t="s">
        <v>26</v>
      </c>
      <c r="AK636" t="s">
        <v>26</v>
      </c>
      <c r="AL636" t="s">
        <v>26</v>
      </c>
      <c r="AM636" t="s">
        <v>26</v>
      </c>
      <c r="AN636" t="s">
        <v>26</v>
      </c>
      <c r="AO636" s="25" t="s">
        <v>68</v>
      </c>
      <c r="AP636" s="23" t="s">
        <v>69</v>
      </c>
      <c r="AQ636" s="23" t="s">
        <v>30</v>
      </c>
      <c r="AR636" s="23" t="s">
        <v>650</v>
      </c>
      <c r="AS636" s="25">
        <v>25641</v>
      </c>
      <c r="AT636" t="s">
        <v>26</v>
      </c>
      <c r="AU636" t="s">
        <v>23087</v>
      </c>
    </row>
    <row r="637" spans="1:47" ht="26.25" x14ac:dyDescent="0.4">
      <c r="A637" s="23" t="s">
        <v>1694</v>
      </c>
      <c r="B637" t="s">
        <v>26</v>
      </c>
      <c r="C637" s="23" t="s">
        <v>292</v>
      </c>
      <c r="D637" s="23" t="s">
        <v>22256</v>
      </c>
      <c r="E637" s="23" t="s">
        <v>42</v>
      </c>
      <c r="F637" t="s">
        <v>26</v>
      </c>
      <c r="G637" t="s">
        <v>26</v>
      </c>
      <c r="H637" t="s">
        <v>26</v>
      </c>
      <c r="I637" s="24">
        <v>40909</v>
      </c>
      <c r="J637" s="24">
        <v>40909</v>
      </c>
      <c r="K637" t="s">
        <v>26</v>
      </c>
      <c r="L637" s="25" t="s">
        <v>28</v>
      </c>
      <c r="M637" t="s">
        <v>26</v>
      </c>
      <c r="N637" t="s">
        <v>26</v>
      </c>
      <c r="O637" t="s">
        <v>26</v>
      </c>
      <c r="P637" s="24">
        <v>40909</v>
      </c>
      <c r="Q637" s="24">
        <v>40909</v>
      </c>
      <c r="R637" t="s">
        <v>26</v>
      </c>
      <c r="S637" t="s">
        <v>26</v>
      </c>
      <c r="T637" t="s">
        <v>26</v>
      </c>
      <c r="U637" t="s">
        <v>26</v>
      </c>
      <c r="V637" t="s">
        <v>26</v>
      </c>
      <c r="W637" s="24">
        <v>40909</v>
      </c>
      <c r="X637" s="24">
        <v>40909</v>
      </c>
      <c r="Y637" t="s">
        <v>26</v>
      </c>
      <c r="Z637" s="24">
        <v>40909</v>
      </c>
      <c r="AA637" s="24">
        <v>40909</v>
      </c>
      <c r="AB637" t="s">
        <v>26</v>
      </c>
      <c r="AC637" s="24">
        <v>40909</v>
      </c>
      <c r="AD637" s="24">
        <v>40909</v>
      </c>
      <c r="AE637" t="s">
        <v>26</v>
      </c>
      <c r="AF637" t="s">
        <v>26</v>
      </c>
      <c r="AG637" t="s">
        <v>26</v>
      </c>
      <c r="AH637" t="s">
        <v>26</v>
      </c>
      <c r="AI637" t="s">
        <v>26</v>
      </c>
      <c r="AJ637" t="s">
        <v>26</v>
      </c>
      <c r="AK637" t="s">
        <v>26</v>
      </c>
      <c r="AL637" t="s">
        <v>26</v>
      </c>
      <c r="AM637" t="s">
        <v>26</v>
      </c>
      <c r="AN637" t="s">
        <v>26</v>
      </c>
      <c r="AO637" s="25" t="s">
        <v>28</v>
      </c>
      <c r="AP637" s="23" t="s">
        <v>29</v>
      </c>
      <c r="AQ637" s="23" t="s">
        <v>30</v>
      </c>
      <c r="AR637" s="23" t="s">
        <v>147</v>
      </c>
      <c r="AS637" s="25">
        <v>5325194</v>
      </c>
      <c r="AT637" s="23" t="s">
        <v>22181</v>
      </c>
      <c r="AU637" t="s">
        <v>23088</v>
      </c>
    </row>
    <row r="638" spans="1:47" ht="26.25" x14ac:dyDescent="0.4">
      <c r="A638" s="23" t="s">
        <v>1695</v>
      </c>
      <c r="B638" t="s">
        <v>26</v>
      </c>
      <c r="C638" s="23" t="s">
        <v>80</v>
      </c>
      <c r="D638" s="23" t="s">
        <v>22184</v>
      </c>
      <c r="E638" s="23" t="s">
        <v>60</v>
      </c>
      <c r="F638" s="25" t="s">
        <v>1696</v>
      </c>
      <c r="G638" s="25" t="s">
        <v>1697</v>
      </c>
      <c r="H638" t="s">
        <v>26</v>
      </c>
      <c r="I638" s="24">
        <v>35674</v>
      </c>
      <c r="J638" s="24">
        <v>36678</v>
      </c>
      <c r="K638" t="s">
        <v>26</v>
      </c>
      <c r="L638" s="25" t="s">
        <v>68</v>
      </c>
      <c r="M638" s="24">
        <v>35674</v>
      </c>
      <c r="N638" s="24">
        <v>36678</v>
      </c>
      <c r="O638" t="s">
        <v>26</v>
      </c>
      <c r="P638" s="24">
        <v>35674</v>
      </c>
      <c r="Q638" s="24">
        <v>36678</v>
      </c>
      <c r="R638" t="s">
        <v>26</v>
      </c>
      <c r="S638" t="s">
        <v>26</v>
      </c>
      <c r="T638" t="s">
        <v>26</v>
      </c>
      <c r="U638" t="s">
        <v>26</v>
      </c>
      <c r="V638" t="s">
        <v>26</v>
      </c>
      <c r="W638" s="24">
        <v>35674</v>
      </c>
      <c r="X638" s="25" t="s">
        <v>77</v>
      </c>
      <c r="Y638" t="s">
        <v>26</v>
      </c>
      <c r="Z638" s="24">
        <v>35674</v>
      </c>
      <c r="AA638" s="25" t="s">
        <v>77</v>
      </c>
      <c r="AB638" t="s">
        <v>26</v>
      </c>
      <c r="AC638" s="24">
        <v>35674</v>
      </c>
      <c r="AD638" s="25" t="s">
        <v>77</v>
      </c>
      <c r="AE638" t="s">
        <v>26</v>
      </c>
      <c r="AF638" t="s">
        <v>26</v>
      </c>
      <c r="AG638" t="s">
        <v>26</v>
      </c>
      <c r="AH638" t="s">
        <v>26</v>
      </c>
      <c r="AI638" t="s">
        <v>26</v>
      </c>
      <c r="AJ638" t="s">
        <v>26</v>
      </c>
      <c r="AK638" t="s">
        <v>26</v>
      </c>
      <c r="AL638" t="s">
        <v>26</v>
      </c>
      <c r="AM638" t="s">
        <v>26</v>
      </c>
      <c r="AN638" t="s">
        <v>26</v>
      </c>
      <c r="AO638" s="25" t="s">
        <v>68</v>
      </c>
      <c r="AP638" s="23" t="s">
        <v>69</v>
      </c>
      <c r="AQ638" s="23" t="s">
        <v>30</v>
      </c>
      <c r="AR638" s="23" t="s">
        <v>1698</v>
      </c>
      <c r="AS638" s="25">
        <v>32754</v>
      </c>
      <c r="AT638" t="s">
        <v>26</v>
      </c>
      <c r="AU638" t="s">
        <v>23089</v>
      </c>
    </row>
    <row r="639" spans="1:47" ht="13.15" x14ac:dyDescent="0.4">
      <c r="A639" s="23" t="s">
        <v>1699</v>
      </c>
      <c r="B639" t="s">
        <v>26</v>
      </c>
      <c r="C639" s="23" t="s">
        <v>334</v>
      </c>
      <c r="D639" s="23" t="s">
        <v>22303</v>
      </c>
      <c r="E639" s="23" t="s">
        <v>335</v>
      </c>
      <c r="F639" s="25" t="s">
        <v>1700</v>
      </c>
      <c r="G639" t="s">
        <v>26</v>
      </c>
      <c r="H639" t="s">
        <v>26</v>
      </c>
      <c r="I639" t="s">
        <v>26</v>
      </c>
      <c r="J639" t="s">
        <v>26</v>
      </c>
      <c r="K639" t="s">
        <v>26</v>
      </c>
      <c r="L639" s="25" t="s">
        <v>28</v>
      </c>
      <c r="M639" t="s">
        <v>26</v>
      </c>
      <c r="N639" t="s">
        <v>26</v>
      </c>
      <c r="O639" t="s">
        <v>26</v>
      </c>
      <c r="P639" t="s">
        <v>26</v>
      </c>
      <c r="Q639" t="s">
        <v>26</v>
      </c>
      <c r="R639" t="s">
        <v>26</v>
      </c>
      <c r="S639" t="s">
        <v>26</v>
      </c>
      <c r="T639" t="s">
        <v>26</v>
      </c>
      <c r="U639" t="s">
        <v>26</v>
      </c>
      <c r="V639" t="s">
        <v>26</v>
      </c>
      <c r="W639" s="24">
        <v>35156</v>
      </c>
      <c r="X639" s="24">
        <v>38534</v>
      </c>
      <c r="Y639" s="25" t="s">
        <v>1701</v>
      </c>
      <c r="Z639" s="24">
        <v>35156</v>
      </c>
      <c r="AA639" s="24">
        <v>38534</v>
      </c>
      <c r="AB639" s="25" t="s">
        <v>1701</v>
      </c>
      <c r="AC639" t="s">
        <v>26</v>
      </c>
      <c r="AD639" t="s">
        <v>26</v>
      </c>
      <c r="AE639" t="s">
        <v>26</v>
      </c>
      <c r="AF639" t="s">
        <v>26</v>
      </c>
      <c r="AG639" t="s">
        <v>26</v>
      </c>
      <c r="AH639" t="s">
        <v>26</v>
      </c>
      <c r="AI639" t="s">
        <v>26</v>
      </c>
      <c r="AJ639" t="s">
        <v>26</v>
      </c>
      <c r="AK639" t="s">
        <v>26</v>
      </c>
      <c r="AL639" t="s">
        <v>26</v>
      </c>
      <c r="AM639" t="s">
        <v>26</v>
      </c>
      <c r="AN639" t="s">
        <v>26</v>
      </c>
      <c r="AO639" s="25" t="s">
        <v>28</v>
      </c>
      <c r="AP639" s="23" t="s">
        <v>211</v>
      </c>
      <c r="AQ639" s="23" t="s">
        <v>30</v>
      </c>
      <c r="AR639" s="23" t="s">
        <v>883</v>
      </c>
      <c r="AS639" s="25">
        <v>42880</v>
      </c>
      <c r="AT639" t="s">
        <v>26</v>
      </c>
      <c r="AU639" t="s">
        <v>23090</v>
      </c>
    </row>
    <row r="640" spans="1:47" ht="26.25" x14ac:dyDescent="0.4">
      <c r="A640" s="23" t="s">
        <v>1702</v>
      </c>
      <c r="B640" t="s">
        <v>26</v>
      </c>
      <c r="C640" s="23" t="s">
        <v>371</v>
      </c>
      <c r="D640" s="23" t="s">
        <v>22179</v>
      </c>
      <c r="E640" s="23" t="s">
        <v>42</v>
      </c>
      <c r="F640" t="s">
        <v>26</v>
      </c>
      <c r="G640" t="s">
        <v>26</v>
      </c>
      <c r="H640" t="s">
        <v>26</v>
      </c>
      <c r="I640" t="s">
        <v>26</v>
      </c>
      <c r="J640" t="s">
        <v>26</v>
      </c>
      <c r="K640" t="s">
        <v>26</v>
      </c>
      <c r="L640" s="25" t="s">
        <v>28</v>
      </c>
      <c r="M640" t="s">
        <v>26</v>
      </c>
      <c r="N640" t="s">
        <v>26</v>
      </c>
      <c r="O640" t="s">
        <v>26</v>
      </c>
      <c r="P640" t="s">
        <v>26</v>
      </c>
      <c r="Q640" t="s">
        <v>26</v>
      </c>
      <c r="R640" t="s">
        <v>26</v>
      </c>
      <c r="S640" t="s">
        <v>26</v>
      </c>
      <c r="T640" t="s">
        <v>26</v>
      </c>
      <c r="U640" t="s">
        <v>26</v>
      </c>
      <c r="V640" t="s">
        <v>26</v>
      </c>
      <c r="W640" s="24">
        <v>40544</v>
      </c>
      <c r="X640" s="24">
        <v>40544</v>
      </c>
      <c r="Y640" t="s">
        <v>26</v>
      </c>
      <c r="Z640" s="24">
        <v>40544</v>
      </c>
      <c r="AA640" s="24">
        <v>40544</v>
      </c>
      <c r="AB640" t="s">
        <v>26</v>
      </c>
      <c r="AC640" t="s">
        <v>26</v>
      </c>
      <c r="AD640" t="s">
        <v>26</v>
      </c>
      <c r="AE640" t="s">
        <v>26</v>
      </c>
      <c r="AF640" t="s">
        <v>26</v>
      </c>
      <c r="AG640" t="s">
        <v>26</v>
      </c>
      <c r="AH640" t="s">
        <v>26</v>
      </c>
      <c r="AI640" t="s">
        <v>26</v>
      </c>
      <c r="AJ640" t="s">
        <v>26</v>
      </c>
      <c r="AK640" t="s">
        <v>26</v>
      </c>
      <c r="AL640" t="s">
        <v>26</v>
      </c>
      <c r="AM640" t="s">
        <v>26</v>
      </c>
      <c r="AN640" t="s">
        <v>26</v>
      </c>
      <c r="AO640" s="25" t="s">
        <v>28</v>
      </c>
      <c r="AP640" s="23" t="s">
        <v>29</v>
      </c>
      <c r="AQ640" s="23" t="s">
        <v>30</v>
      </c>
      <c r="AR640" s="23" t="s">
        <v>1170</v>
      </c>
      <c r="AS640" s="25">
        <v>5483542</v>
      </c>
      <c r="AT640" s="23" t="s">
        <v>22181</v>
      </c>
      <c r="AU640" t="s">
        <v>23091</v>
      </c>
    </row>
    <row r="641" spans="1:47" ht="26.25" x14ac:dyDescent="0.4">
      <c r="A641" s="23" t="s">
        <v>1703</v>
      </c>
      <c r="B641" t="s">
        <v>26</v>
      </c>
      <c r="C641" s="23" t="s">
        <v>676</v>
      </c>
      <c r="D641" s="23" t="s">
        <v>22689</v>
      </c>
      <c r="E641" s="23" t="s">
        <v>74</v>
      </c>
      <c r="F641" s="25" t="s">
        <v>1704</v>
      </c>
      <c r="G641" s="25" t="s">
        <v>1705</v>
      </c>
      <c r="H641" t="s">
        <v>26</v>
      </c>
      <c r="I641" t="s">
        <v>26</v>
      </c>
      <c r="J641" t="s">
        <v>26</v>
      </c>
      <c r="K641" t="s">
        <v>26</v>
      </c>
      <c r="L641" s="25" t="s">
        <v>68</v>
      </c>
      <c r="M641" t="s">
        <v>26</v>
      </c>
      <c r="N641" t="s">
        <v>26</v>
      </c>
      <c r="O641" t="s">
        <v>26</v>
      </c>
      <c r="P641" t="s">
        <v>26</v>
      </c>
      <c r="Q641" t="s">
        <v>26</v>
      </c>
      <c r="R641" t="s">
        <v>26</v>
      </c>
      <c r="S641" t="s">
        <v>26</v>
      </c>
      <c r="T641" t="s">
        <v>26</v>
      </c>
      <c r="U641" t="s">
        <v>26</v>
      </c>
      <c r="V641" t="s">
        <v>26</v>
      </c>
      <c r="W641" s="24">
        <v>38504</v>
      </c>
      <c r="X641" s="24">
        <v>44743</v>
      </c>
      <c r="Y641" t="s">
        <v>26</v>
      </c>
      <c r="Z641" s="24">
        <v>38504</v>
      </c>
      <c r="AA641" s="24">
        <v>44743</v>
      </c>
      <c r="AB641" t="s">
        <v>26</v>
      </c>
      <c r="AC641" s="24">
        <v>38504</v>
      </c>
      <c r="AD641" s="24">
        <v>42736</v>
      </c>
      <c r="AE641" t="s">
        <v>26</v>
      </c>
      <c r="AF641" t="s">
        <v>26</v>
      </c>
      <c r="AG641" t="s">
        <v>26</v>
      </c>
      <c r="AH641" t="s">
        <v>26</v>
      </c>
      <c r="AI641" t="s">
        <v>26</v>
      </c>
      <c r="AJ641" t="s">
        <v>26</v>
      </c>
      <c r="AK641" t="s">
        <v>26</v>
      </c>
      <c r="AL641" t="s">
        <v>26</v>
      </c>
      <c r="AM641" t="s">
        <v>26</v>
      </c>
      <c r="AN641" t="s">
        <v>26</v>
      </c>
      <c r="AO641" s="25" t="s">
        <v>68</v>
      </c>
      <c r="AP641" s="23" t="s">
        <v>69</v>
      </c>
      <c r="AQ641" s="23" t="s">
        <v>30</v>
      </c>
      <c r="AR641" s="23" t="s">
        <v>46</v>
      </c>
      <c r="AS641" s="25">
        <v>34117</v>
      </c>
      <c r="AT641" t="s">
        <v>26</v>
      </c>
      <c r="AU641" t="s">
        <v>23092</v>
      </c>
    </row>
    <row r="642" spans="1:47" ht="39.4" x14ac:dyDescent="0.4">
      <c r="A642" s="23" t="s">
        <v>1706</v>
      </c>
      <c r="B642" t="s">
        <v>26</v>
      </c>
      <c r="C642" s="23" t="s">
        <v>292</v>
      </c>
      <c r="D642" s="23" t="s">
        <v>22256</v>
      </c>
      <c r="E642" s="23" t="s">
        <v>42</v>
      </c>
      <c r="F642" t="s">
        <v>26</v>
      </c>
      <c r="G642" t="s">
        <v>26</v>
      </c>
      <c r="H642" t="s">
        <v>26</v>
      </c>
      <c r="I642" s="24">
        <v>41640</v>
      </c>
      <c r="J642" s="24">
        <v>41640</v>
      </c>
      <c r="K642" t="s">
        <v>26</v>
      </c>
      <c r="L642" s="25" t="s">
        <v>28</v>
      </c>
      <c r="M642" t="s">
        <v>26</v>
      </c>
      <c r="N642" t="s">
        <v>26</v>
      </c>
      <c r="O642" t="s">
        <v>26</v>
      </c>
      <c r="P642" s="24">
        <v>41640</v>
      </c>
      <c r="Q642" s="24">
        <v>41640</v>
      </c>
      <c r="R642" t="s">
        <v>26</v>
      </c>
      <c r="S642" t="s">
        <v>26</v>
      </c>
      <c r="T642" t="s">
        <v>26</v>
      </c>
      <c r="U642" t="s">
        <v>26</v>
      </c>
      <c r="V642" t="s">
        <v>26</v>
      </c>
      <c r="W642" s="24">
        <v>41640</v>
      </c>
      <c r="X642" s="24">
        <v>41640</v>
      </c>
      <c r="Y642" t="s">
        <v>26</v>
      </c>
      <c r="Z642" s="24">
        <v>41640</v>
      </c>
      <c r="AA642" s="24">
        <v>41640</v>
      </c>
      <c r="AB642" t="s">
        <v>26</v>
      </c>
      <c r="AC642" s="24">
        <v>41640</v>
      </c>
      <c r="AD642" s="24">
        <v>41640</v>
      </c>
      <c r="AE642" t="s">
        <v>26</v>
      </c>
      <c r="AF642" t="s">
        <v>26</v>
      </c>
      <c r="AG642" t="s">
        <v>26</v>
      </c>
      <c r="AH642" t="s">
        <v>26</v>
      </c>
      <c r="AI642" t="s">
        <v>26</v>
      </c>
      <c r="AJ642" t="s">
        <v>26</v>
      </c>
      <c r="AK642" t="s">
        <v>26</v>
      </c>
      <c r="AL642" t="s">
        <v>26</v>
      </c>
      <c r="AM642" t="s">
        <v>26</v>
      </c>
      <c r="AN642" t="s">
        <v>26</v>
      </c>
      <c r="AO642" s="25" t="s">
        <v>28</v>
      </c>
      <c r="AP642" s="23" t="s">
        <v>29</v>
      </c>
      <c r="AQ642" s="23" t="s">
        <v>30</v>
      </c>
      <c r="AR642" s="23" t="s">
        <v>147</v>
      </c>
      <c r="AS642" s="25">
        <v>5325195</v>
      </c>
      <c r="AT642" s="23" t="s">
        <v>22181</v>
      </c>
      <c r="AU642" t="s">
        <v>23093</v>
      </c>
    </row>
    <row r="643" spans="1:47" ht="26.25" x14ac:dyDescent="0.4">
      <c r="A643" s="23" t="s">
        <v>1707</v>
      </c>
      <c r="B643" t="s">
        <v>26</v>
      </c>
      <c r="C643" t="s">
        <v>26</v>
      </c>
      <c r="D643" t="s">
        <v>26</v>
      </c>
      <c r="E643" t="s">
        <v>26</v>
      </c>
      <c r="F643" t="s">
        <v>26</v>
      </c>
      <c r="G643" t="s">
        <v>26</v>
      </c>
      <c r="H643" t="s">
        <v>26</v>
      </c>
      <c r="I643" s="24">
        <v>7306</v>
      </c>
      <c r="J643" s="24">
        <v>7306</v>
      </c>
      <c r="K643" t="s">
        <v>26</v>
      </c>
      <c r="L643" s="25" t="s">
        <v>28</v>
      </c>
      <c r="M643" t="s">
        <v>26</v>
      </c>
      <c r="N643" t="s">
        <v>26</v>
      </c>
      <c r="O643" t="s">
        <v>26</v>
      </c>
      <c r="P643" s="24">
        <v>7306</v>
      </c>
      <c r="Q643" s="24">
        <v>7306</v>
      </c>
      <c r="R643" t="s">
        <v>26</v>
      </c>
      <c r="S643" t="s">
        <v>26</v>
      </c>
      <c r="T643" t="s">
        <v>26</v>
      </c>
      <c r="U643" t="s">
        <v>26</v>
      </c>
      <c r="V643" t="s">
        <v>26</v>
      </c>
      <c r="W643" s="24">
        <v>7306</v>
      </c>
      <c r="X643" s="24">
        <v>7306</v>
      </c>
      <c r="Y643" t="s">
        <v>26</v>
      </c>
      <c r="Z643" s="24">
        <v>7306</v>
      </c>
      <c r="AA643" s="24">
        <v>7306</v>
      </c>
      <c r="AB643" t="s">
        <v>26</v>
      </c>
      <c r="AC643" t="s">
        <v>26</v>
      </c>
      <c r="AD643" t="s">
        <v>26</v>
      </c>
      <c r="AE643" t="s">
        <v>26</v>
      </c>
      <c r="AF643" t="s">
        <v>26</v>
      </c>
      <c r="AG643" t="s">
        <v>26</v>
      </c>
      <c r="AH643" t="s">
        <v>26</v>
      </c>
      <c r="AI643" t="s">
        <v>26</v>
      </c>
      <c r="AJ643" t="s">
        <v>26</v>
      </c>
      <c r="AK643" t="s">
        <v>26</v>
      </c>
      <c r="AL643" t="s">
        <v>26</v>
      </c>
      <c r="AM643" t="s">
        <v>26</v>
      </c>
      <c r="AN643" t="s">
        <v>26</v>
      </c>
      <c r="AO643" s="25" t="s">
        <v>28</v>
      </c>
      <c r="AP643" s="23" t="s">
        <v>45</v>
      </c>
      <c r="AQ643" s="23" t="s">
        <v>30</v>
      </c>
      <c r="AR643" s="23" t="s">
        <v>46</v>
      </c>
      <c r="AS643" s="25">
        <v>5983418</v>
      </c>
      <c r="AT643" t="s">
        <v>26</v>
      </c>
      <c r="AU643" t="s">
        <v>23094</v>
      </c>
    </row>
    <row r="644" spans="1:47" ht="26.25" x14ac:dyDescent="0.4">
      <c r="A644" s="23" t="s">
        <v>1708</v>
      </c>
      <c r="B644" t="s">
        <v>26</v>
      </c>
      <c r="C644" s="23" t="s">
        <v>1709</v>
      </c>
      <c r="D644" s="23" t="s">
        <v>23095</v>
      </c>
      <c r="E644" s="23" t="s">
        <v>42</v>
      </c>
      <c r="F644" s="25" t="s">
        <v>1710</v>
      </c>
      <c r="G644" t="s">
        <v>26</v>
      </c>
      <c r="H644" t="s">
        <v>26</v>
      </c>
      <c r="I644" s="24">
        <v>35156</v>
      </c>
      <c r="J644" s="24">
        <v>39448</v>
      </c>
      <c r="K644" t="s">
        <v>26</v>
      </c>
      <c r="L644" s="25" t="s">
        <v>68</v>
      </c>
      <c r="M644" s="24">
        <v>35156</v>
      </c>
      <c r="N644" s="24">
        <v>39448</v>
      </c>
      <c r="O644" t="s">
        <v>26</v>
      </c>
      <c r="P644" s="24">
        <v>35156</v>
      </c>
      <c r="Q644" s="24">
        <v>39448</v>
      </c>
      <c r="R644" t="s">
        <v>26</v>
      </c>
      <c r="S644" t="s">
        <v>26</v>
      </c>
      <c r="T644" t="s">
        <v>26</v>
      </c>
      <c r="U644" t="s">
        <v>26</v>
      </c>
      <c r="V644" t="s">
        <v>26</v>
      </c>
      <c r="W644" s="24">
        <v>35156</v>
      </c>
      <c r="X644" s="24">
        <v>39448</v>
      </c>
      <c r="Y644" t="s">
        <v>26</v>
      </c>
      <c r="Z644" s="24">
        <v>35156</v>
      </c>
      <c r="AA644" s="24">
        <v>39448</v>
      </c>
      <c r="AB644" t="s">
        <v>26</v>
      </c>
      <c r="AC644" t="s">
        <v>26</v>
      </c>
      <c r="AD644" t="s">
        <v>26</v>
      </c>
      <c r="AE644" t="s">
        <v>26</v>
      </c>
      <c r="AF644" t="s">
        <v>26</v>
      </c>
      <c r="AG644" t="s">
        <v>26</v>
      </c>
      <c r="AH644" t="s">
        <v>26</v>
      </c>
      <c r="AI644" t="s">
        <v>26</v>
      </c>
      <c r="AJ644" t="s">
        <v>26</v>
      </c>
      <c r="AK644" t="s">
        <v>26</v>
      </c>
      <c r="AL644" t="s">
        <v>26</v>
      </c>
      <c r="AM644" t="s">
        <v>26</v>
      </c>
      <c r="AN644" t="s">
        <v>26</v>
      </c>
      <c r="AO644" s="25" t="s">
        <v>28</v>
      </c>
      <c r="AP644" s="23" t="s">
        <v>69</v>
      </c>
      <c r="AQ644" s="23" t="s">
        <v>30</v>
      </c>
      <c r="AR644" s="23" t="s">
        <v>46</v>
      </c>
      <c r="AS644" s="25">
        <v>29080</v>
      </c>
      <c r="AT644" t="s">
        <v>26</v>
      </c>
      <c r="AU644" t="s">
        <v>23096</v>
      </c>
    </row>
    <row r="645" spans="1:47" ht="26.25" x14ac:dyDescent="0.4">
      <c r="A645" s="23" t="s">
        <v>1711</v>
      </c>
      <c r="B645" t="s">
        <v>26</v>
      </c>
      <c r="C645" s="23" t="s">
        <v>181</v>
      </c>
      <c r="D645" s="23" t="s">
        <v>22174</v>
      </c>
      <c r="E645" s="23" t="s">
        <v>60</v>
      </c>
      <c r="F645" s="25" t="s">
        <v>1712</v>
      </c>
      <c r="G645" s="25" t="s">
        <v>1713</v>
      </c>
      <c r="H645" t="s">
        <v>26</v>
      </c>
      <c r="I645" s="24">
        <v>35247</v>
      </c>
      <c r="J645" s="24">
        <v>43070</v>
      </c>
      <c r="K645" t="s">
        <v>26</v>
      </c>
      <c r="L645" s="25" t="s">
        <v>68</v>
      </c>
      <c r="M645" s="24">
        <v>35247</v>
      </c>
      <c r="N645" s="24">
        <v>43070</v>
      </c>
      <c r="O645" t="s">
        <v>26</v>
      </c>
      <c r="P645" s="24">
        <v>35247</v>
      </c>
      <c r="Q645" s="24">
        <v>43070</v>
      </c>
      <c r="R645" t="s">
        <v>26</v>
      </c>
      <c r="S645" t="s">
        <v>26</v>
      </c>
      <c r="T645" t="s">
        <v>26</v>
      </c>
      <c r="U645" t="s">
        <v>26</v>
      </c>
      <c r="V645" t="s">
        <v>26</v>
      </c>
      <c r="W645" s="24">
        <v>32599</v>
      </c>
      <c r="X645" s="25" t="s">
        <v>77</v>
      </c>
      <c r="Y645" t="s">
        <v>26</v>
      </c>
      <c r="Z645" s="24">
        <v>32599</v>
      </c>
      <c r="AA645" s="25" t="s">
        <v>77</v>
      </c>
      <c r="AB645" t="s">
        <v>26</v>
      </c>
      <c r="AC645" s="24">
        <v>32599</v>
      </c>
      <c r="AD645" s="25" t="s">
        <v>77</v>
      </c>
      <c r="AE645" t="s">
        <v>26</v>
      </c>
      <c r="AF645" t="s">
        <v>26</v>
      </c>
      <c r="AG645" t="s">
        <v>26</v>
      </c>
      <c r="AH645" t="s">
        <v>26</v>
      </c>
      <c r="AI645" t="s">
        <v>26</v>
      </c>
      <c r="AJ645" t="s">
        <v>26</v>
      </c>
      <c r="AK645" t="s">
        <v>26</v>
      </c>
      <c r="AL645" t="s">
        <v>26</v>
      </c>
      <c r="AM645" t="s">
        <v>26</v>
      </c>
      <c r="AN645" t="s">
        <v>26</v>
      </c>
      <c r="AO645" s="25" t="s">
        <v>68</v>
      </c>
      <c r="AP645" s="23" t="s">
        <v>69</v>
      </c>
      <c r="AQ645" s="23" t="s">
        <v>30</v>
      </c>
      <c r="AR645" s="23" t="s">
        <v>1714</v>
      </c>
      <c r="AS645" s="25">
        <v>35338</v>
      </c>
      <c r="AT645" t="s">
        <v>26</v>
      </c>
      <c r="AU645" t="s">
        <v>23097</v>
      </c>
    </row>
    <row r="646" spans="1:47" ht="26.25" x14ac:dyDescent="0.4">
      <c r="A646" s="23" t="s">
        <v>1715</v>
      </c>
      <c r="B646" t="s">
        <v>26</v>
      </c>
      <c r="C646" s="23" t="s">
        <v>676</v>
      </c>
      <c r="D646" s="23" t="s">
        <v>22689</v>
      </c>
      <c r="E646" s="23" t="s">
        <v>74</v>
      </c>
      <c r="F646" s="25" t="s">
        <v>1716</v>
      </c>
      <c r="G646" s="25" t="s">
        <v>1717</v>
      </c>
      <c r="H646" t="s">
        <v>26</v>
      </c>
      <c r="I646" t="s">
        <v>26</v>
      </c>
      <c r="J646" t="s">
        <v>26</v>
      </c>
      <c r="K646" t="s">
        <v>26</v>
      </c>
      <c r="L646" s="25" t="s">
        <v>68</v>
      </c>
      <c r="M646" t="s">
        <v>26</v>
      </c>
      <c r="N646" t="s">
        <v>26</v>
      </c>
      <c r="O646" t="s">
        <v>26</v>
      </c>
      <c r="P646" t="s">
        <v>26</v>
      </c>
      <c r="Q646" t="s">
        <v>26</v>
      </c>
      <c r="R646" t="s">
        <v>26</v>
      </c>
      <c r="S646" t="s">
        <v>26</v>
      </c>
      <c r="T646" t="s">
        <v>26</v>
      </c>
      <c r="U646" t="s">
        <v>26</v>
      </c>
      <c r="V646" t="s">
        <v>26</v>
      </c>
      <c r="W646" s="24">
        <v>38534</v>
      </c>
      <c r="X646" s="24">
        <v>42644</v>
      </c>
      <c r="Y646" t="s">
        <v>26</v>
      </c>
      <c r="Z646" s="24">
        <v>38534</v>
      </c>
      <c r="AA646" s="24">
        <v>42644</v>
      </c>
      <c r="AB646" t="s">
        <v>26</v>
      </c>
      <c r="AC646" s="24">
        <v>38534</v>
      </c>
      <c r="AD646" s="24">
        <v>42644</v>
      </c>
      <c r="AE646" t="s">
        <v>26</v>
      </c>
      <c r="AF646" t="s">
        <v>26</v>
      </c>
      <c r="AG646" t="s">
        <v>26</v>
      </c>
      <c r="AH646" t="s">
        <v>26</v>
      </c>
      <c r="AI646" t="s">
        <v>26</v>
      </c>
      <c r="AJ646" t="s">
        <v>26</v>
      </c>
      <c r="AK646" t="s">
        <v>26</v>
      </c>
      <c r="AL646" t="s">
        <v>26</v>
      </c>
      <c r="AM646" t="s">
        <v>26</v>
      </c>
      <c r="AN646" t="s">
        <v>26</v>
      </c>
      <c r="AO646" s="25" t="s">
        <v>68</v>
      </c>
      <c r="AP646" s="23" t="s">
        <v>69</v>
      </c>
      <c r="AQ646" s="23" t="s">
        <v>30</v>
      </c>
      <c r="AR646" s="23" t="s">
        <v>123</v>
      </c>
      <c r="AS646" s="25">
        <v>30987</v>
      </c>
      <c r="AT646" t="s">
        <v>26</v>
      </c>
      <c r="AU646" t="s">
        <v>23098</v>
      </c>
    </row>
    <row r="647" spans="1:47" ht="26.25" x14ac:dyDescent="0.4">
      <c r="A647" s="23" t="s">
        <v>1718</v>
      </c>
      <c r="B647" t="s">
        <v>26</v>
      </c>
      <c r="C647" s="23" t="s">
        <v>146</v>
      </c>
      <c r="D647" s="23" t="s">
        <v>22174</v>
      </c>
      <c r="E647" s="23" t="s">
        <v>60</v>
      </c>
      <c r="F647" t="s">
        <v>26</v>
      </c>
      <c r="G647" t="s">
        <v>26</v>
      </c>
      <c r="H647" t="s">
        <v>26</v>
      </c>
      <c r="I647" t="s">
        <v>26</v>
      </c>
      <c r="J647" t="s">
        <v>26</v>
      </c>
      <c r="K647" t="s">
        <v>26</v>
      </c>
      <c r="L647" s="25" t="s">
        <v>28</v>
      </c>
      <c r="M647" t="s">
        <v>26</v>
      </c>
      <c r="N647" t="s">
        <v>26</v>
      </c>
      <c r="O647" t="s">
        <v>26</v>
      </c>
      <c r="P647" t="s">
        <v>26</v>
      </c>
      <c r="Q647" t="s">
        <v>26</v>
      </c>
      <c r="R647" t="s">
        <v>26</v>
      </c>
      <c r="S647" t="s">
        <v>26</v>
      </c>
      <c r="T647" t="s">
        <v>26</v>
      </c>
      <c r="U647" t="s">
        <v>26</v>
      </c>
      <c r="V647" t="s">
        <v>26</v>
      </c>
      <c r="W647" s="24">
        <v>42370</v>
      </c>
      <c r="X647" s="24">
        <v>42370</v>
      </c>
      <c r="Y647" t="s">
        <v>26</v>
      </c>
      <c r="Z647" s="24">
        <v>42370</v>
      </c>
      <c r="AA647" s="24">
        <v>42370</v>
      </c>
      <c r="AB647" t="s">
        <v>26</v>
      </c>
      <c r="AC647" t="s">
        <v>26</v>
      </c>
      <c r="AD647" t="s">
        <v>26</v>
      </c>
      <c r="AE647" t="s">
        <v>26</v>
      </c>
      <c r="AF647" t="s">
        <v>26</v>
      </c>
      <c r="AG647" t="s">
        <v>26</v>
      </c>
      <c r="AH647" t="s">
        <v>26</v>
      </c>
      <c r="AI647" t="s">
        <v>26</v>
      </c>
      <c r="AJ647" t="s">
        <v>26</v>
      </c>
      <c r="AK647" t="s">
        <v>26</v>
      </c>
      <c r="AL647" t="s">
        <v>26</v>
      </c>
      <c r="AM647" t="s">
        <v>26</v>
      </c>
      <c r="AN647" t="s">
        <v>26</v>
      </c>
      <c r="AO647" s="25" t="s">
        <v>28</v>
      </c>
      <c r="AP647" s="23" t="s">
        <v>29</v>
      </c>
      <c r="AQ647" s="23" t="s">
        <v>30</v>
      </c>
      <c r="AR647" s="23" t="s">
        <v>1415</v>
      </c>
      <c r="AS647" s="25">
        <v>5483591</v>
      </c>
      <c r="AT647" s="23" t="s">
        <v>22181</v>
      </c>
      <c r="AU647" t="s">
        <v>23099</v>
      </c>
    </row>
    <row r="648" spans="1:47" ht="26.25" x14ac:dyDescent="0.4">
      <c r="A648" s="23" t="s">
        <v>1719</v>
      </c>
      <c r="B648" t="s">
        <v>26</v>
      </c>
      <c r="C648" s="23" t="s">
        <v>73</v>
      </c>
      <c r="D648" s="23" t="s">
        <v>22179</v>
      </c>
      <c r="E648" s="23" t="s">
        <v>74</v>
      </c>
      <c r="F648" s="25" t="s">
        <v>1720</v>
      </c>
      <c r="G648" s="25" t="s">
        <v>1721</v>
      </c>
      <c r="H648" t="s">
        <v>26</v>
      </c>
      <c r="I648" t="s">
        <v>26</v>
      </c>
      <c r="J648" t="s">
        <v>26</v>
      </c>
      <c r="K648" t="s">
        <v>26</v>
      </c>
      <c r="L648" s="25" t="s">
        <v>68</v>
      </c>
      <c r="M648" t="s">
        <v>26</v>
      </c>
      <c r="N648" t="s">
        <v>26</v>
      </c>
      <c r="O648" t="s">
        <v>26</v>
      </c>
      <c r="P648" t="s">
        <v>26</v>
      </c>
      <c r="Q648" t="s">
        <v>26</v>
      </c>
      <c r="R648" t="s">
        <v>26</v>
      </c>
      <c r="S648" t="s">
        <v>26</v>
      </c>
      <c r="T648" t="s">
        <v>26</v>
      </c>
      <c r="U648" t="s">
        <v>26</v>
      </c>
      <c r="V648" t="s">
        <v>26</v>
      </c>
      <c r="W648" s="24">
        <v>36526</v>
      </c>
      <c r="X648" s="25" t="s">
        <v>77</v>
      </c>
      <c r="Y648" s="25" t="s">
        <v>1722</v>
      </c>
      <c r="Z648" s="24">
        <v>36526</v>
      </c>
      <c r="AA648" s="25" t="s">
        <v>77</v>
      </c>
      <c r="AB648" s="25" t="s">
        <v>1722</v>
      </c>
      <c r="AC648" s="24">
        <v>36526</v>
      </c>
      <c r="AD648" s="25" t="s">
        <v>77</v>
      </c>
      <c r="AE648" s="25" t="s">
        <v>1722</v>
      </c>
      <c r="AF648" t="s">
        <v>26</v>
      </c>
      <c r="AG648" t="s">
        <v>26</v>
      </c>
      <c r="AH648" t="s">
        <v>26</v>
      </c>
      <c r="AI648" t="s">
        <v>26</v>
      </c>
      <c r="AJ648" t="s">
        <v>26</v>
      </c>
      <c r="AK648" t="s">
        <v>26</v>
      </c>
      <c r="AL648" t="s">
        <v>26</v>
      </c>
      <c r="AM648" t="s">
        <v>26</v>
      </c>
      <c r="AN648" t="s">
        <v>26</v>
      </c>
      <c r="AO648" s="25" t="s">
        <v>68</v>
      </c>
      <c r="AP648" s="23" t="s">
        <v>69</v>
      </c>
      <c r="AQ648" s="23" t="s">
        <v>30</v>
      </c>
      <c r="AR648" s="23" t="s">
        <v>257</v>
      </c>
      <c r="AS648" s="25">
        <v>2043525</v>
      </c>
      <c r="AT648" t="s">
        <v>26</v>
      </c>
      <c r="AU648" t="s">
        <v>23100</v>
      </c>
    </row>
    <row r="649" spans="1:47" ht="26.25" x14ac:dyDescent="0.4">
      <c r="A649" s="23" t="s">
        <v>1723</v>
      </c>
      <c r="B649" t="s">
        <v>26</v>
      </c>
      <c r="C649" s="23" t="s">
        <v>1724</v>
      </c>
      <c r="D649" s="23" t="s">
        <v>23101</v>
      </c>
      <c r="E649" s="23" t="s">
        <v>60</v>
      </c>
      <c r="F649" s="25" t="s">
        <v>1725</v>
      </c>
      <c r="G649" s="25" t="s">
        <v>1726</v>
      </c>
      <c r="H649" t="s">
        <v>26</v>
      </c>
      <c r="I649" s="24">
        <v>35796</v>
      </c>
      <c r="J649" s="24">
        <v>37257</v>
      </c>
      <c r="K649" t="s">
        <v>26</v>
      </c>
      <c r="L649" s="25" t="s">
        <v>68</v>
      </c>
      <c r="M649" s="24">
        <v>35796</v>
      </c>
      <c r="N649" s="24">
        <v>37257</v>
      </c>
      <c r="O649" t="s">
        <v>26</v>
      </c>
      <c r="P649" s="24">
        <v>35796</v>
      </c>
      <c r="Q649" s="24">
        <v>37257</v>
      </c>
      <c r="R649" t="s">
        <v>26</v>
      </c>
      <c r="S649" t="s">
        <v>26</v>
      </c>
      <c r="T649" t="s">
        <v>26</v>
      </c>
      <c r="U649" t="s">
        <v>26</v>
      </c>
      <c r="V649" t="s">
        <v>26</v>
      </c>
      <c r="W649" s="24">
        <v>35796</v>
      </c>
      <c r="X649" s="25" t="s">
        <v>77</v>
      </c>
      <c r="Y649" s="25" t="s">
        <v>1727</v>
      </c>
      <c r="Z649" s="24">
        <v>35796</v>
      </c>
      <c r="AA649" s="25" t="s">
        <v>77</v>
      </c>
      <c r="AB649" s="25" t="s">
        <v>1727</v>
      </c>
      <c r="AC649" s="24">
        <v>42005</v>
      </c>
      <c r="AD649" s="25" t="s">
        <v>77</v>
      </c>
      <c r="AE649" s="25" t="s">
        <v>23102</v>
      </c>
      <c r="AF649" t="s">
        <v>26</v>
      </c>
      <c r="AG649" t="s">
        <v>26</v>
      </c>
      <c r="AH649" t="s">
        <v>26</v>
      </c>
      <c r="AI649" t="s">
        <v>26</v>
      </c>
      <c r="AJ649" t="s">
        <v>26</v>
      </c>
      <c r="AK649" t="s">
        <v>26</v>
      </c>
      <c r="AL649" t="s">
        <v>26</v>
      </c>
      <c r="AM649" t="s">
        <v>26</v>
      </c>
      <c r="AN649" t="s">
        <v>26</v>
      </c>
      <c r="AO649" s="25" t="s">
        <v>68</v>
      </c>
      <c r="AP649" s="23" t="s">
        <v>69</v>
      </c>
      <c r="AQ649" s="23" t="s">
        <v>30</v>
      </c>
      <c r="AR649" s="23" t="s">
        <v>1728</v>
      </c>
      <c r="AS649" s="25">
        <v>31416</v>
      </c>
      <c r="AT649" t="s">
        <v>26</v>
      </c>
      <c r="AU649" t="s">
        <v>23103</v>
      </c>
    </row>
    <row r="650" spans="1:47" ht="26.25" x14ac:dyDescent="0.4">
      <c r="A650" s="23" t="s">
        <v>1729</v>
      </c>
      <c r="B650" t="s">
        <v>26</v>
      </c>
      <c r="C650" s="23" t="s">
        <v>1017</v>
      </c>
      <c r="D650" s="23" t="s">
        <v>22614</v>
      </c>
      <c r="E650" s="23" t="s">
        <v>1018</v>
      </c>
      <c r="F650" s="25" t="s">
        <v>1730</v>
      </c>
      <c r="G650" t="s">
        <v>26</v>
      </c>
      <c r="H650" t="s">
        <v>26</v>
      </c>
      <c r="I650" s="24">
        <v>38353</v>
      </c>
      <c r="J650" s="24">
        <v>41275</v>
      </c>
      <c r="K650" t="s">
        <v>26</v>
      </c>
      <c r="L650" s="25" t="s">
        <v>68</v>
      </c>
      <c r="M650" s="24">
        <v>38353</v>
      </c>
      <c r="N650" s="24">
        <v>41275</v>
      </c>
      <c r="O650" t="s">
        <v>26</v>
      </c>
      <c r="P650" s="24">
        <v>38353</v>
      </c>
      <c r="Q650" s="24">
        <v>41275</v>
      </c>
      <c r="R650" t="s">
        <v>26</v>
      </c>
      <c r="S650" t="s">
        <v>26</v>
      </c>
      <c r="T650" t="s">
        <v>26</v>
      </c>
      <c r="U650" t="s">
        <v>26</v>
      </c>
      <c r="V650" t="s">
        <v>26</v>
      </c>
      <c r="W650" s="24">
        <v>38353</v>
      </c>
      <c r="X650" s="24">
        <v>41275</v>
      </c>
      <c r="Y650" t="s">
        <v>26</v>
      </c>
      <c r="Z650" s="24">
        <v>38353</v>
      </c>
      <c r="AA650" s="24">
        <v>41275</v>
      </c>
      <c r="AB650" t="s">
        <v>26</v>
      </c>
      <c r="AC650" t="s">
        <v>26</v>
      </c>
      <c r="AD650" t="s">
        <v>26</v>
      </c>
      <c r="AE650" t="s">
        <v>26</v>
      </c>
      <c r="AF650" t="s">
        <v>26</v>
      </c>
      <c r="AG650" t="s">
        <v>26</v>
      </c>
      <c r="AH650" t="s">
        <v>26</v>
      </c>
      <c r="AI650" t="s">
        <v>26</v>
      </c>
      <c r="AJ650" t="s">
        <v>26</v>
      </c>
      <c r="AK650" t="s">
        <v>26</v>
      </c>
      <c r="AL650" t="s">
        <v>26</v>
      </c>
      <c r="AM650" t="s">
        <v>26</v>
      </c>
      <c r="AN650" t="s">
        <v>26</v>
      </c>
      <c r="AO650" s="25" t="s">
        <v>68</v>
      </c>
      <c r="AP650" s="23" t="s">
        <v>69</v>
      </c>
      <c r="AQ650" s="23" t="s">
        <v>30</v>
      </c>
      <c r="AR650" s="23" t="s">
        <v>46</v>
      </c>
      <c r="AS650" s="25">
        <v>76064</v>
      </c>
      <c r="AT650" t="s">
        <v>26</v>
      </c>
      <c r="AU650" t="s">
        <v>23104</v>
      </c>
    </row>
    <row r="651" spans="1:47" ht="13.15" x14ac:dyDescent="0.4">
      <c r="A651" s="23" t="s">
        <v>1731</v>
      </c>
      <c r="B651" t="s">
        <v>26</v>
      </c>
      <c r="C651" s="23" t="s">
        <v>1732</v>
      </c>
      <c r="D651" s="23" t="s">
        <v>23105</v>
      </c>
      <c r="E651" s="23" t="s">
        <v>60</v>
      </c>
      <c r="F651" s="25" t="s">
        <v>1733</v>
      </c>
      <c r="G651" t="s">
        <v>26</v>
      </c>
      <c r="H651" t="s">
        <v>26</v>
      </c>
      <c r="I651" s="24">
        <v>35674</v>
      </c>
      <c r="J651" s="24">
        <v>41244</v>
      </c>
      <c r="K651" t="s">
        <v>26</v>
      </c>
      <c r="L651" s="25" t="s">
        <v>28</v>
      </c>
      <c r="M651" s="24">
        <v>35674</v>
      </c>
      <c r="N651" s="24">
        <v>41244</v>
      </c>
      <c r="O651" t="s">
        <v>26</v>
      </c>
      <c r="P651" s="24">
        <v>35674</v>
      </c>
      <c r="Q651" s="24">
        <v>41244</v>
      </c>
      <c r="R651" t="s">
        <v>26</v>
      </c>
      <c r="S651" t="s">
        <v>26</v>
      </c>
      <c r="T651" t="s">
        <v>26</v>
      </c>
      <c r="U651" t="s">
        <v>26</v>
      </c>
      <c r="V651" t="s">
        <v>26</v>
      </c>
      <c r="W651" s="24">
        <v>32509</v>
      </c>
      <c r="X651" s="24">
        <v>41244</v>
      </c>
      <c r="Y651" t="s">
        <v>26</v>
      </c>
      <c r="Z651" s="24">
        <v>32509</v>
      </c>
      <c r="AA651" s="24">
        <v>41244</v>
      </c>
      <c r="AB651" t="s">
        <v>26</v>
      </c>
      <c r="AC651" s="24">
        <v>32509</v>
      </c>
      <c r="AD651" s="24">
        <v>41244</v>
      </c>
      <c r="AE651" t="s">
        <v>26</v>
      </c>
      <c r="AF651" t="s">
        <v>26</v>
      </c>
      <c r="AG651" t="s">
        <v>26</v>
      </c>
      <c r="AH651" t="s">
        <v>26</v>
      </c>
      <c r="AI651" t="s">
        <v>26</v>
      </c>
      <c r="AJ651" t="s">
        <v>26</v>
      </c>
      <c r="AK651" t="s">
        <v>26</v>
      </c>
      <c r="AL651" t="s">
        <v>26</v>
      </c>
      <c r="AM651" t="s">
        <v>26</v>
      </c>
      <c r="AN651" t="s">
        <v>26</v>
      </c>
      <c r="AO651" s="25" t="s">
        <v>28</v>
      </c>
      <c r="AP651" s="23" t="s">
        <v>112</v>
      </c>
      <c r="AQ651" s="23" t="s">
        <v>30</v>
      </c>
      <c r="AR651" s="23" t="s">
        <v>1734</v>
      </c>
      <c r="AS651" s="25">
        <v>41301</v>
      </c>
      <c r="AT651" t="s">
        <v>26</v>
      </c>
      <c r="AU651" t="s">
        <v>23106</v>
      </c>
    </row>
    <row r="652" spans="1:47" ht="26.25" x14ac:dyDescent="0.4">
      <c r="A652" s="23" t="s">
        <v>1735</v>
      </c>
      <c r="B652" t="s">
        <v>26</v>
      </c>
      <c r="C652" s="23" t="s">
        <v>73</v>
      </c>
      <c r="D652" s="23" t="s">
        <v>22215</v>
      </c>
      <c r="E652" s="23" t="s">
        <v>74</v>
      </c>
      <c r="F652" s="25" t="s">
        <v>1736</v>
      </c>
      <c r="G652" s="25" t="s">
        <v>1737</v>
      </c>
      <c r="H652" t="s">
        <v>26</v>
      </c>
      <c r="I652" s="24">
        <v>38718</v>
      </c>
      <c r="J652" s="24">
        <v>43101</v>
      </c>
      <c r="K652" t="s">
        <v>26</v>
      </c>
      <c r="L652" s="25" t="s">
        <v>68</v>
      </c>
      <c r="M652" s="24">
        <v>38718</v>
      </c>
      <c r="N652" s="24">
        <v>43101</v>
      </c>
      <c r="O652" t="s">
        <v>26</v>
      </c>
      <c r="P652" s="24">
        <v>38718</v>
      </c>
      <c r="Q652" s="24">
        <v>43101</v>
      </c>
      <c r="R652" t="s">
        <v>26</v>
      </c>
      <c r="S652" t="s">
        <v>26</v>
      </c>
      <c r="T652" t="s">
        <v>26</v>
      </c>
      <c r="U652" t="s">
        <v>26</v>
      </c>
      <c r="V652" t="s">
        <v>26</v>
      </c>
      <c r="W652" s="24">
        <v>38353</v>
      </c>
      <c r="X652" s="25" t="s">
        <v>77</v>
      </c>
      <c r="Y652" t="s">
        <v>26</v>
      </c>
      <c r="Z652" s="24">
        <v>38353</v>
      </c>
      <c r="AA652" s="25" t="s">
        <v>77</v>
      </c>
      <c r="AB652" t="s">
        <v>26</v>
      </c>
      <c r="AC652" s="24">
        <v>38353</v>
      </c>
      <c r="AD652" s="25" t="s">
        <v>77</v>
      </c>
      <c r="AE652" s="25" t="s">
        <v>23107</v>
      </c>
      <c r="AF652" t="s">
        <v>26</v>
      </c>
      <c r="AG652" t="s">
        <v>26</v>
      </c>
      <c r="AH652" t="s">
        <v>26</v>
      </c>
      <c r="AI652" t="s">
        <v>26</v>
      </c>
      <c r="AJ652" t="s">
        <v>26</v>
      </c>
      <c r="AK652" t="s">
        <v>26</v>
      </c>
      <c r="AL652" t="s">
        <v>26</v>
      </c>
      <c r="AM652" t="s">
        <v>26</v>
      </c>
      <c r="AN652" t="s">
        <v>26</v>
      </c>
      <c r="AO652" s="25" t="s">
        <v>68</v>
      </c>
      <c r="AP652" s="23" t="s">
        <v>69</v>
      </c>
      <c r="AQ652" s="23" t="s">
        <v>30</v>
      </c>
      <c r="AR652" s="23" t="s">
        <v>46</v>
      </c>
      <c r="AS652" s="25">
        <v>28234</v>
      </c>
      <c r="AT652" t="s">
        <v>26</v>
      </c>
      <c r="AU652" t="s">
        <v>23108</v>
      </c>
    </row>
    <row r="653" spans="1:47" ht="39.4" x14ac:dyDescent="0.4">
      <c r="A653" s="23" t="s">
        <v>1738</v>
      </c>
      <c r="B653" t="s">
        <v>26</v>
      </c>
      <c r="C653" s="23" t="s">
        <v>1739</v>
      </c>
      <c r="D653" s="23" t="s">
        <v>23109</v>
      </c>
      <c r="E653" s="23" t="s">
        <v>328</v>
      </c>
      <c r="F653" t="s">
        <v>26</v>
      </c>
      <c r="G653" s="25" t="s">
        <v>1740</v>
      </c>
      <c r="H653" t="s">
        <v>26</v>
      </c>
      <c r="I653" s="24">
        <v>40544</v>
      </c>
      <c r="J653" s="24">
        <v>43709</v>
      </c>
      <c r="K653" t="s">
        <v>26</v>
      </c>
      <c r="L653" s="25" t="s">
        <v>68</v>
      </c>
      <c r="M653" t="s">
        <v>26</v>
      </c>
      <c r="N653" t="s">
        <v>26</v>
      </c>
      <c r="O653" t="s">
        <v>26</v>
      </c>
      <c r="P653" s="24">
        <v>40544</v>
      </c>
      <c r="Q653" s="24">
        <v>43709</v>
      </c>
      <c r="R653" t="s">
        <v>26</v>
      </c>
      <c r="S653" t="s">
        <v>26</v>
      </c>
      <c r="T653" t="s">
        <v>26</v>
      </c>
      <c r="U653" t="s">
        <v>26</v>
      </c>
      <c r="V653" t="s">
        <v>26</v>
      </c>
      <c r="W653" s="24">
        <v>40544</v>
      </c>
      <c r="X653" s="24">
        <v>43709</v>
      </c>
      <c r="Y653" t="s">
        <v>26</v>
      </c>
      <c r="Z653" s="24">
        <v>40544</v>
      </c>
      <c r="AA653" s="24">
        <v>43709</v>
      </c>
      <c r="AB653" t="s">
        <v>26</v>
      </c>
      <c r="AC653" s="24">
        <v>40544</v>
      </c>
      <c r="AD653" s="24">
        <v>43709</v>
      </c>
      <c r="AE653" t="s">
        <v>26</v>
      </c>
      <c r="AF653" t="s">
        <v>26</v>
      </c>
      <c r="AG653" t="s">
        <v>26</v>
      </c>
      <c r="AH653" t="s">
        <v>26</v>
      </c>
      <c r="AI653" t="s">
        <v>26</v>
      </c>
      <c r="AJ653" t="s">
        <v>26</v>
      </c>
      <c r="AK653" t="s">
        <v>26</v>
      </c>
      <c r="AL653" t="s">
        <v>26</v>
      </c>
      <c r="AM653" t="s">
        <v>26</v>
      </c>
      <c r="AN653" t="s">
        <v>26</v>
      </c>
      <c r="AO653" s="25" t="s">
        <v>68</v>
      </c>
      <c r="AP653" s="23" t="s">
        <v>69</v>
      </c>
      <c r="AQ653" s="23" t="s">
        <v>876</v>
      </c>
      <c r="AR653" s="23" t="s">
        <v>46</v>
      </c>
      <c r="AS653" s="25">
        <v>2040962</v>
      </c>
      <c r="AT653" t="s">
        <v>26</v>
      </c>
      <c r="AU653" t="s">
        <v>23110</v>
      </c>
    </row>
    <row r="654" spans="1:47" ht="26.25" x14ac:dyDescent="0.4">
      <c r="A654" s="23" t="s">
        <v>1741</v>
      </c>
      <c r="B654" t="s">
        <v>26</v>
      </c>
      <c r="C654" s="23" t="s">
        <v>1612</v>
      </c>
      <c r="D654" s="23" t="s">
        <v>23047</v>
      </c>
      <c r="E654" s="23" t="s">
        <v>42</v>
      </c>
      <c r="F654" t="s">
        <v>26</v>
      </c>
      <c r="G654" t="s">
        <v>26</v>
      </c>
      <c r="H654" t="s">
        <v>26</v>
      </c>
      <c r="I654" t="s">
        <v>26</v>
      </c>
      <c r="J654" t="s">
        <v>26</v>
      </c>
      <c r="K654" t="s">
        <v>26</v>
      </c>
      <c r="L654" s="25" t="s">
        <v>28</v>
      </c>
      <c r="M654" t="s">
        <v>26</v>
      </c>
      <c r="N654" t="s">
        <v>26</v>
      </c>
      <c r="O654" t="s">
        <v>26</v>
      </c>
      <c r="P654" t="s">
        <v>26</v>
      </c>
      <c r="Q654" t="s">
        <v>26</v>
      </c>
      <c r="R654" t="s">
        <v>26</v>
      </c>
      <c r="S654" t="s">
        <v>26</v>
      </c>
      <c r="T654" t="s">
        <v>26</v>
      </c>
      <c r="U654" t="s">
        <v>26</v>
      </c>
      <c r="V654" t="s">
        <v>26</v>
      </c>
      <c r="W654" s="24">
        <v>42370</v>
      </c>
      <c r="X654" s="24">
        <v>42370</v>
      </c>
      <c r="Y654" t="s">
        <v>26</v>
      </c>
      <c r="Z654" s="24">
        <v>42370</v>
      </c>
      <c r="AA654" s="24">
        <v>42370</v>
      </c>
      <c r="AB654" t="s">
        <v>26</v>
      </c>
      <c r="AC654" t="s">
        <v>26</v>
      </c>
      <c r="AD654" t="s">
        <v>26</v>
      </c>
      <c r="AE654" t="s">
        <v>26</v>
      </c>
      <c r="AF654" t="s">
        <v>26</v>
      </c>
      <c r="AG654" t="s">
        <v>26</v>
      </c>
      <c r="AH654" t="s">
        <v>26</v>
      </c>
      <c r="AI654" t="s">
        <v>26</v>
      </c>
      <c r="AJ654" t="s">
        <v>26</v>
      </c>
      <c r="AK654" t="s">
        <v>26</v>
      </c>
      <c r="AL654" t="s">
        <v>26</v>
      </c>
      <c r="AM654" t="s">
        <v>26</v>
      </c>
      <c r="AN654" t="s">
        <v>26</v>
      </c>
      <c r="AO654" s="25" t="s">
        <v>28</v>
      </c>
      <c r="AP654" s="23" t="s">
        <v>29</v>
      </c>
      <c r="AQ654" s="23" t="s">
        <v>30</v>
      </c>
      <c r="AR654" s="23" t="s">
        <v>147</v>
      </c>
      <c r="AS654" s="25">
        <v>5483554</v>
      </c>
      <c r="AT654" s="23" t="s">
        <v>22181</v>
      </c>
      <c r="AU654" t="s">
        <v>23111</v>
      </c>
    </row>
    <row r="655" spans="1:47" ht="26.25" x14ac:dyDescent="0.4">
      <c r="A655" s="23" t="s">
        <v>1742</v>
      </c>
      <c r="B655" t="s">
        <v>26</v>
      </c>
      <c r="C655" s="23" t="s">
        <v>22238</v>
      </c>
      <c r="D655" t="s">
        <v>26</v>
      </c>
      <c r="E655" s="23" t="s">
        <v>42</v>
      </c>
      <c r="F655" t="s">
        <v>26</v>
      </c>
      <c r="G655" t="s">
        <v>26</v>
      </c>
      <c r="H655" t="s">
        <v>26</v>
      </c>
      <c r="I655" s="24">
        <v>43101</v>
      </c>
      <c r="J655" s="24">
        <v>43101</v>
      </c>
      <c r="K655" t="s">
        <v>26</v>
      </c>
      <c r="L655" s="25" t="s">
        <v>28</v>
      </c>
      <c r="M655" s="24">
        <v>43101</v>
      </c>
      <c r="N655" s="24">
        <v>43101</v>
      </c>
      <c r="O655" t="s">
        <v>26</v>
      </c>
      <c r="P655" t="s">
        <v>26</v>
      </c>
      <c r="Q655" t="s">
        <v>26</v>
      </c>
      <c r="R655" t="s">
        <v>26</v>
      </c>
      <c r="S655" s="24">
        <v>43101</v>
      </c>
      <c r="T655" s="24">
        <v>43101</v>
      </c>
      <c r="U655" t="s">
        <v>26</v>
      </c>
      <c r="V655" t="s">
        <v>26</v>
      </c>
      <c r="W655" s="24">
        <v>43101</v>
      </c>
      <c r="X655" s="24">
        <v>43101</v>
      </c>
      <c r="Y655" t="s">
        <v>26</v>
      </c>
      <c r="Z655" s="24">
        <v>43101</v>
      </c>
      <c r="AA655" s="24">
        <v>43101</v>
      </c>
      <c r="AB655" t="s">
        <v>26</v>
      </c>
      <c r="AC655" s="24">
        <v>43101</v>
      </c>
      <c r="AD655" s="24">
        <v>43101</v>
      </c>
      <c r="AE655" t="s">
        <v>26</v>
      </c>
      <c r="AF655" s="24">
        <v>43101</v>
      </c>
      <c r="AG655" s="24">
        <v>43101</v>
      </c>
      <c r="AH655" t="s">
        <v>26</v>
      </c>
      <c r="AI655" s="24">
        <v>43101</v>
      </c>
      <c r="AJ655" s="24">
        <v>43101</v>
      </c>
      <c r="AK655" t="s">
        <v>26</v>
      </c>
      <c r="AL655" t="s">
        <v>26</v>
      </c>
      <c r="AM655" t="s">
        <v>26</v>
      </c>
      <c r="AN655" t="s">
        <v>26</v>
      </c>
      <c r="AO655" s="25" t="s">
        <v>28</v>
      </c>
      <c r="AP655" s="23" t="s">
        <v>43</v>
      </c>
      <c r="AQ655" s="23" t="s">
        <v>30</v>
      </c>
      <c r="AR655" s="23" t="s">
        <v>44</v>
      </c>
      <c r="AS655" s="25">
        <v>5262526</v>
      </c>
      <c r="AT655" t="s">
        <v>26</v>
      </c>
      <c r="AU655" t="s">
        <v>23112</v>
      </c>
    </row>
    <row r="656" spans="1:47" ht="26.25" x14ac:dyDescent="0.4">
      <c r="A656" s="23" t="s">
        <v>1743</v>
      </c>
      <c r="B656" t="s">
        <v>26</v>
      </c>
      <c r="C656" s="23" t="s">
        <v>22238</v>
      </c>
      <c r="D656" s="23" t="s">
        <v>22307</v>
      </c>
      <c r="E656" s="23" t="s">
        <v>42</v>
      </c>
      <c r="F656" t="s">
        <v>26</v>
      </c>
      <c r="G656" t="s">
        <v>26</v>
      </c>
      <c r="H656" t="s">
        <v>26</v>
      </c>
      <c r="I656" s="24">
        <v>40909</v>
      </c>
      <c r="J656" s="24">
        <v>40909</v>
      </c>
      <c r="K656" t="s">
        <v>26</v>
      </c>
      <c r="L656" s="25" t="s">
        <v>28</v>
      </c>
      <c r="M656" s="24">
        <v>40909</v>
      </c>
      <c r="N656" s="24">
        <v>40909</v>
      </c>
      <c r="O656" t="s">
        <v>26</v>
      </c>
      <c r="P656" t="s">
        <v>26</v>
      </c>
      <c r="Q656" t="s">
        <v>26</v>
      </c>
      <c r="R656" t="s">
        <v>26</v>
      </c>
      <c r="S656" s="24">
        <v>40909</v>
      </c>
      <c r="T656" s="24">
        <v>40909</v>
      </c>
      <c r="U656" t="s">
        <v>26</v>
      </c>
      <c r="V656" t="s">
        <v>26</v>
      </c>
      <c r="W656" s="24">
        <v>40909</v>
      </c>
      <c r="X656" s="24">
        <v>40909</v>
      </c>
      <c r="Y656" t="s">
        <v>26</v>
      </c>
      <c r="Z656" s="24">
        <v>40909</v>
      </c>
      <c r="AA656" s="24">
        <v>40909</v>
      </c>
      <c r="AB656" t="s">
        <v>26</v>
      </c>
      <c r="AC656" s="24">
        <v>40909</v>
      </c>
      <c r="AD656" s="24">
        <v>40909</v>
      </c>
      <c r="AE656" t="s">
        <v>26</v>
      </c>
      <c r="AF656" s="24">
        <v>40909</v>
      </c>
      <c r="AG656" s="24">
        <v>40909</v>
      </c>
      <c r="AH656" t="s">
        <v>26</v>
      </c>
      <c r="AI656" s="24">
        <v>40909</v>
      </c>
      <c r="AJ656" s="24">
        <v>40909</v>
      </c>
      <c r="AK656" t="s">
        <v>26</v>
      </c>
      <c r="AL656" t="s">
        <v>26</v>
      </c>
      <c r="AM656" t="s">
        <v>26</v>
      </c>
      <c r="AN656" t="s">
        <v>26</v>
      </c>
      <c r="AO656" s="25" t="s">
        <v>28</v>
      </c>
      <c r="AP656" s="23" t="s">
        <v>43</v>
      </c>
      <c r="AQ656" s="23" t="s">
        <v>30</v>
      </c>
      <c r="AR656" s="23" t="s">
        <v>46</v>
      </c>
      <c r="AS656" s="25">
        <v>6447828</v>
      </c>
      <c r="AT656" t="s">
        <v>26</v>
      </c>
      <c r="AU656" t="s">
        <v>23113</v>
      </c>
    </row>
    <row r="657" spans="1:47" ht="13.15" x14ac:dyDescent="0.4">
      <c r="A657" s="23" t="s">
        <v>1744</v>
      </c>
      <c r="B657" t="s">
        <v>26</v>
      </c>
      <c r="C657" s="23" t="s">
        <v>48</v>
      </c>
      <c r="D657" s="23" t="s">
        <v>22168</v>
      </c>
      <c r="E657" s="23" t="s">
        <v>42</v>
      </c>
      <c r="F657" t="s">
        <v>26</v>
      </c>
      <c r="G657" t="s">
        <v>26</v>
      </c>
      <c r="H657" t="s">
        <v>26</v>
      </c>
      <c r="I657" t="s">
        <v>26</v>
      </c>
      <c r="J657" t="s">
        <v>26</v>
      </c>
      <c r="K657" t="s">
        <v>26</v>
      </c>
      <c r="L657" s="25" t="s">
        <v>28</v>
      </c>
      <c r="M657" t="s">
        <v>26</v>
      </c>
      <c r="N657" t="s">
        <v>26</v>
      </c>
      <c r="O657" t="s">
        <v>26</v>
      </c>
      <c r="P657" t="s">
        <v>26</v>
      </c>
      <c r="Q657" t="s">
        <v>26</v>
      </c>
      <c r="R657" t="s">
        <v>26</v>
      </c>
      <c r="S657" t="s">
        <v>26</v>
      </c>
      <c r="T657" t="s">
        <v>26</v>
      </c>
      <c r="U657" t="s">
        <v>26</v>
      </c>
      <c r="V657" t="s">
        <v>26</v>
      </c>
      <c r="W657" s="24">
        <v>40544</v>
      </c>
      <c r="X657" s="24">
        <v>40544</v>
      </c>
      <c r="Y657" t="s">
        <v>26</v>
      </c>
      <c r="Z657" s="24">
        <v>40544</v>
      </c>
      <c r="AA657" s="24">
        <v>40544</v>
      </c>
      <c r="AB657" t="s">
        <v>26</v>
      </c>
      <c r="AC657" t="s">
        <v>26</v>
      </c>
      <c r="AD657" t="s">
        <v>26</v>
      </c>
      <c r="AE657" t="s">
        <v>26</v>
      </c>
      <c r="AF657" t="s">
        <v>26</v>
      </c>
      <c r="AG657" t="s">
        <v>26</v>
      </c>
      <c r="AH657" t="s">
        <v>26</v>
      </c>
      <c r="AI657" t="s">
        <v>26</v>
      </c>
      <c r="AJ657" t="s">
        <v>26</v>
      </c>
      <c r="AK657" t="s">
        <v>26</v>
      </c>
      <c r="AL657" t="s">
        <v>26</v>
      </c>
      <c r="AM657" t="s">
        <v>26</v>
      </c>
      <c r="AN657" t="s">
        <v>26</v>
      </c>
      <c r="AO657" s="25" t="s">
        <v>28</v>
      </c>
      <c r="AP657" s="23" t="s">
        <v>29</v>
      </c>
      <c r="AQ657" s="23" t="s">
        <v>30</v>
      </c>
      <c r="AR657" s="23" t="s">
        <v>44</v>
      </c>
      <c r="AS657" s="25">
        <v>5483539</v>
      </c>
      <c r="AT657" s="23" t="s">
        <v>22181</v>
      </c>
      <c r="AU657" t="s">
        <v>23114</v>
      </c>
    </row>
    <row r="658" spans="1:47" ht="13.15" x14ac:dyDescent="0.4">
      <c r="A658" s="23" t="s">
        <v>1745</v>
      </c>
      <c r="B658" t="s">
        <v>26</v>
      </c>
      <c r="C658" s="23" t="s">
        <v>48</v>
      </c>
      <c r="D658" s="23" t="s">
        <v>22168</v>
      </c>
      <c r="E658" s="23" t="s">
        <v>42</v>
      </c>
      <c r="F658" t="s">
        <v>26</v>
      </c>
      <c r="G658" t="s">
        <v>26</v>
      </c>
      <c r="H658" t="s">
        <v>26</v>
      </c>
      <c r="I658" t="s">
        <v>26</v>
      </c>
      <c r="J658" t="s">
        <v>26</v>
      </c>
      <c r="K658" t="s">
        <v>26</v>
      </c>
      <c r="L658" s="25" t="s">
        <v>28</v>
      </c>
      <c r="M658" t="s">
        <v>26</v>
      </c>
      <c r="N658" t="s">
        <v>26</v>
      </c>
      <c r="O658" t="s">
        <v>26</v>
      </c>
      <c r="P658" t="s">
        <v>26</v>
      </c>
      <c r="Q658" t="s">
        <v>26</v>
      </c>
      <c r="R658" t="s">
        <v>26</v>
      </c>
      <c r="S658" t="s">
        <v>26</v>
      </c>
      <c r="T658" t="s">
        <v>26</v>
      </c>
      <c r="U658" t="s">
        <v>26</v>
      </c>
      <c r="V658" t="s">
        <v>26</v>
      </c>
      <c r="W658" s="24">
        <v>40544</v>
      </c>
      <c r="X658" s="24">
        <v>40544</v>
      </c>
      <c r="Y658" t="s">
        <v>26</v>
      </c>
      <c r="Z658" s="24">
        <v>40544</v>
      </c>
      <c r="AA658" s="24">
        <v>40544</v>
      </c>
      <c r="AB658" t="s">
        <v>26</v>
      </c>
      <c r="AC658" t="s">
        <v>26</v>
      </c>
      <c r="AD658" t="s">
        <v>26</v>
      </c>
      <c r="AE658" t="s">
        <v>26</v>
      </c>
      <c r="AF658" t="s">
        <v>26</v>
      </c>
      <c r="AG658" t="s">
        <v>26</v>
      </c>
      <c r="AH658" t="s">
        <v>26</v>
      </c>
      <c r="AI658" t="s">
        <v>26</v>
      </c>
      <c r="AJ658" t="s">
        <v>26</v>
      </c>
      <c r="AK658" t="s">
        <v>26</v>
      </c>
      <c r="AL658" t="s">
        <v>26</v>
      </c>
      <c r="AM658" t="s">
        <v>26</v>
      </c>
      <c r="AN658" t="s">
        <v>26</v>
      </c>
      <c r="AO658" s="25" t="s">
        <v>28</v>
      </c>
      <c r="AP658" s="23" t="s">
        <v>29</v>
      </c>
      <c r="AQ658" s="23" t="s">
        <v>30</v>
      </c>
      <c r="AR658" s="23" t="s">
        <v>44</v>
      </c>
      <c r="AS658" s="25">
        <v>5483538</v>
      </c>
      <c r="AT658" s="23" t="s">
        <v>22181</v>
      </c>
      <c r="AU658" t="s">
        <v>23115</v>
      </c>
    </row>
    <row r="659" spans="1:47" ht="13.15" x14ac:dyDescent="0.4">
      <c r="A659" s="23" t="s">
        <v>1746</v>
      </c>
      <c r="B659" t="s">
        <v>26</v>
      </c>
      <c r="C659" s="23" t="s">
        <v>48</v>
      </c>
      <c r="D659" s="23" t="s">
        <v>22168</v>
      </c>
      <c r="E659" s="23" t="s">
        <v>42</v>
      </c>
      <c r="F659" t="s">
        <v>26</v>
      </c>
      <c r="G659" t="s">
        <v>26</v>
      </c>
      <c r="H659" t="s">
        <v>26</v>
      </c>
      <c r="I659" t="s">
        <v>26</v>
      </c>
      <c r="J659" t="s">
        <v>26</v>
      </c>
      <c r="K659" t="s">
        <v>26</v>
      </c>
      <c r="L659" s="25" t="s">
        <v>28</v>
      </c>
      <c r="M659" t="s">
        <v>26</v>
      </c>
      <c r="N659" t="s">
        <v>26</v>
      </c>
      <c r="O659" t="s">
        <v>26</v>
      </c>
      <c r="P659" t="s">
        <v>26</v>
      </c>
      <c r="Q659" t="s">
        <v>26</v>
      </c>
      <c r="R659" t="s">
        <v>26</v>
      </c>
      <c r="S659" t="s">
        <v>26</v>
      </c>
      <c r="T659" t="s">
        <v>26</v>
      </c>
      <c r="U659" t="s">
        <v>26</v>
      </c>
      <c r="V659" t="s">
        <v>26</v>
      </c>
      <c r="W659" s="24">
        <v>41275</v>
      </c>
      <c r="X659" s="24">
        <v>41275</v>
      </c>
      <c r="Y659" t="s">
        <v>26</v>
      </c>
      <c r="Z659" s="24">
        <v>41275</v>
      </c>
      <c r="AA659" s="24">
        <v>41275</v>
      </c>
      <c r="AB659" t="s">
        <v>26</v>
      </c>
      <c r="AC659" t="s">
        <v>26</v>
      </c>
      <c r="AD659" t="s">
        <v>26</v>
      </c>
      <c r="AE659" t="s">
        <v>26</v>
      </c>
      <c r="AF659" t="s">
        <v>26</v>
      </c>
      <c r="AG659" t="s">
        <v>26</v>
      </c>
      <c r="AH659" t="s">
        <v>26</v>
      </c>
      <c r="AI659" t="s">
        <v>26</v>
      </c>
      <c r="AJ659" t="s">
        <v>26</v>
      </c>
      <c r="AK659" t="s">
        <v>26</v>
      </c>
      <c r="AL659" t="s">
        <v>26</v>
      </c>
      <c r="AM659" t="s">
        <v>26</v>
      </c>
      <c r="AN659" t="s">
        <v>26</v>
      </c>
      <c r="AO659" s="25" t="s">
        <v>28</v>
      </c>
      <c r="AP659" s="23" t="s">
        <v>29</v>
      </c>
      <c r="AQ659" s="23" t="s">
        <v>30</v>
      </c>
      <c r="AR659" s="23" t="s">
        <v>44</v>
      </c>
      <c r="AS659" s="25">
        <v>5483537</v>
      </c>
      <c r="AT659" s="23" t="s">
        <v>22181</v>
      </c>
      <c r="AU659" t="s">
        <v>23116</v>
      </c>
    </row>
    <row r="660" spans="1:47" ht="13.15" x14ac:dyDescent="0.4">
      <c r="A660" s="23" t="s">
        <v>1747</v>
      </c>
      <c r="B660" t="s">
        <v>26</v>
      </c>
      <c r="C660" s="23" t="s">
        <v>48</v>
      </c>
      <c r="D660" s="23" t="s">
        <v>22168</v>
      </c>
      <c r="E660" s="23" t="s">
        <v>42</v>
      </c>
      <c r="F660" t="s">
        <v>26</v>
      </c>
      <c r="G660" t="s">
        <v>26</v>
      </c>
      <c r="H660" t="s">
        <v>26</v>
      </c>
      <c r="I660" t="s">
        <v>26</v>
      </c>
      <c r="J660" t="s">
        <v>26</v>
      </c>
      <c r="K660" t="s">
        <v>26</v>
      </c>
      <c r="L660" s="25" t="s">
        <v>28</v>
      </c>
      <c r="M660" t="s">
        <v>26</v>
      </c>
      <c r="N660" t="s">
        <v>26</v>
      </c>
      <c r="O660" t="s">
        <v>26</v>
      </c>
      <c r="P660" t="s">
        <v>26</v>
      </c>
      <c r="Q660" t="s">
        <v>26</v>
      </c>
      <c r="R660" t="s">
        <v>26</v>
      </c>
      <c r="S660" t="s">
        <v>26</v>
      </c>
      <c r="T660" t="s">
        <v>26</v>
      </c>
      <c r="U660" t="s">
        <v>26</v>
      </c>
      <c r="V660" t="s">
        <v>26</v>
      </c>
      <c r="W660" s="24">
        <v>40909</v>
      </c>
      <c r="X660" s="24">
        <v>40909</v>
      </c>
      <c r="Y660" t="s">
        <v>26</v>
      </c>
      <c r="Z660" s="24">
        <v>40909</v>
      </c>
      <c r="AA660" s="24">
        <v>40909</v>
      </c>
      <c r="AB660" t="s">
        <v>26</v>
      </c>
      <c r="AC660" t="s">
        <v>26</v>
      </c>
      <c r="AD660" t="s">
        <v>26</v>
      </c>
      <c r="AE660" t="s">
        <v>26</v>
      </c>
      <c r="AF660" t="s">
        <v>26</v>
      </c>
      <c r="AG660" t="s">
        <v>26</v>
      </c>
      <c r="AH660" t="s">
        <v>26</v>
      </c>
      <c r="AI660" t="s">
        <v>26</v>
      </c>
      <c r="AJ660" t="s">
        <v>26</v>
      </c>
      <c r="AK660" t="s">
        <v>26</v>
      </c>
      <c r="AL660" t="s">
        <v>26</v>
      </c>
      <c r="AM660" t="s">
        <v>26</v>
      </c>
      <c r="AN660" t="s">
        <v>26</v>
      </c>
      <c r="AO660" s="25" t="s">
        <v>28</v>
      </c>
      <c r="AP660" s="23" t="s">
        <v>29</v>
      </c>
      <c r="AQ660" s="23" t="s">
        <v>30</v>
      </c>
      <c r="AR660" s="23" t="s">
        <v>44</v>
      </c>
      <c r="AS660" s="25">
        <v>5483536</v>
      </c>
      <c r="AT660" s="23" t="s">
        <v>22181</v>
      </c>
      <c r="AU660" t="s">
        <v>23117</v>
      </c>
    </row>
    <row r="661" spans="1:47" ht="13.15" x14ac:dyDescent="0.4">
      <c r="A661" s="23" t="s">
        <v>1748</v>
      </c>
      <c r="B661" t="s">
        <v>26</v>
      </c>
      <c r="C661" s="23" t="s">
        <v>48</v>
      </c>
      <c r="D661" s="23" t="s">
        <v>22168</v>
      </c>
      <c r="E661" s="23" t="s">
        <v>42</v>
      </c>
      <c r="F661" t="s">
        <v>26</v>
      </c>
      <c r="G661" t="s">
        <v>26</v>
      </c>
      <c r="H661" t="s">
        <v>26</v>
      </c>
      <c r="I661" t="s">
        <v>26</v>
      </c>
      <c r="J661" t="s">
        <v>26</v>
      </c>
      <c r="K661" t="s">
        <v>26</v>
      </c>
      <c r="L661" s="25" t="s">
        <v>28</v>
      </c>
      <c r="M661" t="s">
        <v>26</v>
      </c>
      <c r="N661" t="s">
        <v>26</v>
      </c>
      <c r="O661" t="s">
        <v>26</v>
      </c>
      <c r="P661" t="s">
        <v>26</v>
      </c>
      <c r="Q661" t="s">
        <v>26</v>
      </c>
      <c r="R661" t="s">
        <v>26</v>
      </c>
      <c r="S661" t="s">
        <v>26</v>
      </c>
      <c r="T661" t="s">
        <v>26</v>
      </c>
      <c r="U661" t="s">
        <v>26</v>
      </c>
      <c r="V661" t="s">
        <v>26</v>
      </c>
      <c r="W661" s="24">
        <v>41275</v>
      </c>
      <c r="X661" s="24">
        <v>41275</v>
      </c>
      <c r="Y661" t="s">
        <v>26</v>
      </c>
      <c r="Z661" s="24">
        <v>41275</v>
      </c>
      <c r="AA661" s="24">
        <v>41275</v>
      </c>
      <c r="AB661" t="s">
        <v>26</v>
      </c>
      <c r="AC661" t="s">
        <v>26</v>
      </c>
      <c r="AD661" t="s">
        <v>26</v>
      </c>
      <c r="AE661" t="s">
        <v>26</v>
      </c>
      <c r="AF661" t="s">
        <v>26</v>
      </c>
      <c r="AG661" t="s">
        <v>26</v>
      </c>
      <c r="AH661" t="s">
        <v>26</v>
      </c>
      <c r="AI661" t="s">
        <v>26</v>
      </c>
      <c r="AJ661" t="s">
        <v>26</v>
      </c>
      <c r="AK661" t="s">
        <v>26</v>
      </c>
      <c r="AL661" t="s">
        <v>26</v>
      </c>
      <c r="AM661" t="s">
        <v>26</v>
      </c>
      <c r="AN661" t="s">
        <v>26</v>
      </c>
      <c r="AO661" s="25" t="s">
        <v>28</v>
      </c>
      <c r="AP661" s="23" t="s">
        <v>29</v>
      </c>
      <c r="AQ661" s="23" t="s">
        <v>30</v>
      </c>
      <c r="AR661" s="23" t="s">
        <v>44</v>
      </c>
      <c r="AS661" s="25">
        <v>5483535</v>
      </c>
      <c r="AT661" s="23" t="s">
        <v>22181</v>
      </c>
      <c r="AU661" t="s">
        <v>23118</v>
      </c>
    </row>
    <row r="662" spans="1:47" ht="13.15" x14ac:dyDescent="0.4">
      <c r="A662" s="23" t="s">
        <v>1749</v>
      </c>
      <c r="B662" t="s">
        <v>26</v>
      </c>
      <c r="C662" s="23" t="s">
        <v>48</v>
      </c>
      <c r="D662" s="23" t="s">
        <v>22168</v>
      </c>
      <c r="E662" s="23" t="s">
        <v>42</v>
      </c>
      <c r="F662" t="s">
        <v>26</v>
      </c>
      <c r="G662" t="s">
        <v>26</v>
      </c>
      <c r="H662" t="s">
        <v>26</v>
      </c>
      <c r="I662" t="s">
        <v>26</v>
      </c>
      <c r="J662" t="s">
        <v>26</v>
      </c>
      <c r="K662" t="s">
        <v>26</v>
      </c>
      <c r="L662" s="25" t="s">
        <v>28</v>
      </c>
      <c r="M662" t="s">
        <v>26</v>
      </c>
      <c r="N662" t="s">
        <v>26</v>
      </c>
      <c r="O662" t="s">
        <v>26</v>
      </c>
      <c r="P662" t="s">
        <v>26</v>
      </c>
      <c r="Q662" t="s">
        <v>26</v>
      </c>
      <c r="R662" t="s">
        <v>26</v>
      </c>
      <c r="S662" t="s">
        <v>26</v>
      </c>
      <c r="T662" t="s">
        <v>26</v>
      </c>
      <c r="U662" t="s">
        <v>26</v>
      </c>
      <c r="V662" t="s">
        <v>26</v>
      </c>
      <c r="W662" s="24">
        <v>41640</v>
      </c>
      <c r="X662" s="24">
        <v>41640</v>
      </c>
      <c r="Y662" t="s">
        <v>26</v>
      </c>
      <c r="Z662" s="24">
        <v>41640</v>
      </c>
      <c r="AA662" s="24">
        <v>41640</v>
      </c>
      <c r="AB662" t="s">
        <v>26</v>
      </c>
      <c r="AC662" t="s">
        <v>26</v>
      </c>
      <c r="AD662" t="s">
        <v>26</v>
      </c>
      <c r="AE662" t="s">
        <v>26</v>
      </c>
      <c r="AF662" t="s">
        <v>26</v>
      </c>
      <c r="AG662" t="s">
        <v>26</v>
      </c>
      <c r="AH662" t="s">
        <v>26</v>
      </c>
      <c r="AI662" t="s">
        <v>26</v>
      </c>
      <c r="AJ662" t="s">
        <v>26</v>
      </c>
      <c r="AK662" t="s">
        <v>26</v>
      </c>
      <c r="AL662" t="s">
        <v>26</v>
      </c>
      <c r="AM662" t="s">
        <v>26</v>
      </c>
      <c r="AN662" t="s">
        <v>26</v>
      </c>
      <c r="AO662" s="25" t="s">
        <v>28</v>
      </c>
      <c r="AP662" s="23" t="s">
        <v>29</v>
      </c>
      <c r="AQ662" s="23" t="s">
        <v>30</v>
      </c>
      <c r="AR662" s="23" t="s">
        <v>44</v>
      </c>
      <c r="AS662" s="25">
        <v>5483534</v>
      </c>
      <c r="AT662" s="23" t="s">
        <v>22181</v>
      </c>
      <c r="AU662" t="s">
        <v>23119</v>
      </c>
    </row>
    <row r="663" spans="1:47" ht="26.25" x14ac:dyDescent="0.4">
      <c r="A663" s="23" t="s">
        <v>1750</v>
      </c>
      <c r="B663" t="s">
        <v>26</v>
      </c>
      <c r="C663" s="23" t="s">
        <v>48</v>
      </c>
      <c r="D663" s="23" t="s">
        <v>22168</v>
      </c>
      <c r="E663" s="23" t="s">
        <v>42</v>
      </c>
      <c r="F663" t="s">
        <v>26</v>
      </c>
      <c r="G663" t="s">
        <v>26</v>
      </c>
      <c r="H663" t="s">
        <v>26</v>
      </c>
      <c r="I663" t="s">
        <v>26</v>
      </c>
      <c r="J663" t="s">
        <v>26</v>
      </c>
      <c r="K663" t="s">
        <v>26</v>
      </c>
      <c r="L663" s="25" t="s">
        <v>28</v>
      </c>
      <c r="M663" t="s">
        <v>26</v>
      </c>
      <c r="N663" t="s">
        <v>26</v>
      </c>
      <c r="O663" t="s">
        <v>26</v>
      </c>
      <c r="P663" t="s">
        <v>26</v>
      </c>
      <c r="Q663" t="s">
        <v>26</v>
      </c>
      <c r="R663" t="s">
        <v>26</v>
      </c>
      <c r="S663" t="s">
        <v>26</v>
      </c>
      <c r="T663" t="s">
        <v>26</v>
      </c>
      <c r="U663" t="s">
        <v>26</v>
      </c>
      <c r="V663" t="s">
        <v>26</v>
      </c>
      <c r="W663" s="24">
        <v>41275</v>
      </c>
      <c r="X663" s="24">
        <v>41275</v>
      </c>
      <c r="Y663" t="s">
        <v>26</v>
      </c>
      <c r="Z663" s="24">
        <v>41275</v>
      </c>
      <c r="AA663" s="24">
        <v>41275</v>
      </c>
      <c r="AB663" t="s">
        <v>26</v>
      </c>
      <c r="AC663" t="s">
        <v>26</v>
      </c>
      <c r="AD663" t="s">
        <v>26</v>
      </c>
      <c r="AE663" t="s">
        <v>26</v>
      </c>
      <c r="AF663" t="s">
        <v>26</v>
      </c>
      <c r="AG663" t="s">
        <v>26</v>
      </c>
      <c r="AH663" t="s">
        <v>26</v>
      </c>
      <c r="AI663" t="s">
        <v>26</v>
      </c>
      <c r="AJ663" t="s">
        <v>26</v>
      </c>
      <c r="AK663" t="s">
        <v>26</v>
      </c>
      <c r="AL663" t="s">
        <v>26</v>
      </c>
      <c r="AM663" t="s">
        <v>26</v>
      </c>
      <c r="AN663" t="s">
        <v>26</v>
      </c>
      <c r="AO663" s="25" t="s">
        <v>28</v>
      </c>
      <c r="AP663" s="23" t="s">
        <v>29</v>
      </c>
      <c r="AQ663" s="23" t="s">
        <v>30</v>
      </c>
      <c r="AR663" s="23" t="s">
        <v>44</v>
      </c>
      <c r="AS663" s="25">
        <v>5483533</v>
      </c>
      <c r="AT663" s="23" t="s">
        <v>22181</v>
      </c>
      <c r="AU663" t="s">
        <v>23120</v>
      </c>
    </row>
    <row r="664" spans="1:47" ht="13.15" x14ac:dyDescent="0.4">
      <c r="A664" s="23" t="s">
        <v>1751</v>
      </c>
      <c r="B664" t="s">
        <v>26</v>
      </c>
      <c r="C664" s="23" t="s">
        <v>48</v>
      </c>
      <c r="D664" s="23" t="s">
        <v>22168</v>
      </c>
      <c r="E664" s="23" t="s">
        <v>42</v>
      </c>
      <c r="F664" t="s">
        <v>26</v>
      </c>
      <c r="G664" t="s">
        <v>26</v>
      </c>
      <c r="H664" t="s">
        <v>26</v>
      </c>
      <c r="I664" t="s">
        <v>26</v>
      </c>
      <c r="J664" t="s">
        <v>26</v>
      </c>
      <c r="K664" t="s">
        <v>26</v>
      </c>
      <c r="L664" s="25" t="s">
        <v>28</v>
      </c>
      <c r="M664" t="s">
        <v>26</v>
      </c>
      <c r="N664" t="s">
        <v>26</v>
      </c>
      <c r="O664" t="s">
        <v>26</v>
      </c>
      <c r="P664" t="s">
        <v>26</v>
      </c>
      <c r="Q664" t="s">
        <v>26</v>
      </c>
      <c r="R664" t="s">
        <v>26</v>
      </c>
      <c r="S664" t="s">
        <v>26</v>
      </c>
      <c r="T664" t="s">
        <v>26</v>
      </c>
      <c r="U664" t="s">
        <v>26</v>
      </c>
      <c r="V664" t="s">
        <v>26</v>
      </c>
      <c r="W664" s="24">
        <v>41640</v>
      </c>
      <c r="X664" s="24">
        <v>41640</v>
      </c>
      <c r="Y664" t="s">
        <v>26</v>
      </c>
      <c r="Z664" s="24">
        <v>41640</v>
      </c>
      <c r="AA664" s="24">
        <v>41640</v>
      </c>
      <c r="AB664" t="s">
        <v>26</v>
      </c>
      <c r="AC664" t="s">
        <v>26</v>
      </c>
      <c r="AD664" t="s">
        <v>26</v>
      </c>
      <c r="AE664" t="s">
        <v>26</v>
      </c>
      <c r="AF664" t="s">
        <v>26</v>
      </c>
      <c r="AG664" t="s">
        <v>26</v>
      </c>
      <c r="AH664" t="s">
        <v>26</v>
      </c>
      <c r="AI664" t="s">
        <v>26</v>
      </c>
      <c r="AJ664" t="s">
        <v>26</v>
      </c>
      <c r="AK664" t="s">
        <v>26</v>
      </c>
      <c r="AL664" t="s">
        <v>26</v>
      </c>
      <c r="AM664" t="s">
        <v>26</v>
      </c>
      <c r="AN664" t="s">
        <v>26</v>
      </c>
      <c r="AO664" s="25" t="s">
        <v>28</v>
      </c>
      <c r="AP664" s="23" t="s">
        <v>29</v>
      </c>
      <c r="AQ664" s="23" t="s">
        <v>30</v>
      </c>
      <c r="AR664" s="23" t="s">
        <v>44</v>
      </c>
      <c r="AS664" s="25">
        <v>5483532</v>
      </c>
      <c r="AT664" s="23" t="s">
        <v>22181</v>
      </c>
      <c r="AU664" t="s">
        <v>23121</v>
      </c>
    </row>
    <row r="665" spans="1:47" ht="13.15" x14ac:dyDescent="0.4">
      <c r="A665" s="23" t="s">
        <v>1752</v>
      </c>
      <c r="B665" t="s">
        <v>26</v>
      </c>
      <c r="C665" s="23" t="s">
        <v>48</v>
      </c>
      <c r="D665" s="23" t="s">
        <v>22168</v>
      </c>
      <c r="E665" s="23" t="s">
        <v>42</v>
      </c>
      <c r="F665" t="s">
        <v>26</v>
      </c>
      <c r="G665" t="s">
        <v>26</v>
      </c>
      <c r="H665" t="s">
        <v>26</v>
      </c>
      <c r="I665" t="s">
        <v>26</v>
      </c>
      <c r="J665" t="s">
        <v>26</v>
      </c>
      <c r="K665" t="s">
        <v>26</v>
      </c>
      <c r="L665" s="25" t="s">
        <v>28</v>
      </c>
      <c r="M665" t="s">
        <v>26</v>
      </c>
      <c r="N665" t="s">
        <v>26</v>
      </c>
      <c r="O665" t="s">
        <v>26</v>
      </c>
      <c r="P665" t="s">
        <v>26</v>
      </c>
      <c r="Q665" t="s">
        <v>26</v>
      </c>
      <c r="R665" t="s">
        <v>26</v>
      </c>
      <c r="S665" t="s">
        <v>26</v>
      </c>
      <c r="T665" t="s">
        <v>26</v>
      </c>
      <c r="U665" t="s">
        <v>26</v>
      </c>
      <c r="V665" t="s">
        <v>26</v>
      </c>
      <c r="W665" s="24">
        <v>41640</v>
      </c>
      <c r="X665" s="24">
        <v>41640</v>
      </c>
      <c r="Y665" t="s">
        <v>26</v>
      </c>
      <c r="Z665" s="24">
        <v>41640</v>
      </c>
      <c r="AA665" s="24">
        <v>41640</v>
      </c>
      <c r="AB665" t="s">
        <v>26</v>
      </c>
      <c r="AC665" t="s">
        <v>26</v>
      </c>
      <c r="AD665" t="s">
        <v>26</v>
      </c>
      <c r="AE665" t="s">
        <v>26</v>
      </c>
      <c r="AF665" t="s">
        <v>26</v>
      </c>
      <c r="AG665" t="s">
        <v>26</v>
      </c>
      <c r="AH665" t="s">
        <v>26</v>
      </c>
      <c r="AI665" t="s">
        <v>26</v>
      </c>
      <c r="AJ665" t="s">
        <v>26</v>
      </c>
      <c r="AK665" t="s">
        <v>26</v>
      </c>
      <c r="AL665" t="s">
        <v>26</v>
      </c>
      <c r="AM665" t="s">
        <v>26</v>
      </c>
      <c r="AN665" t="s">
        <v>26</v>
      </c>
      <c r="AO665" s="25" t="s">
        <v>28</v>
      </c>
      <c r="AP665" s="23" t="s">
        <v>29</v>
      </c>
      <c r="AQ665" s="23" t="s">
        <v>30</v>
      </c>
      <c r="AR665" s="23" t="s">
        <v>44</v>
      </c>
      <c r="AS665" s="25">
        <v>5483531</v>
      </c>
      <c r="AT665" s="23" t="s">
        <v>22181</v>
      </c>
      <c r="AU665" t="s">
        <v>23122</v>
      </c>
    </row>
    <row r="666" spans="1:47" ht="13.15" x14ac:dyDescent="0.4">
      <c r="A666" s="23" t="s">
        <v>1753</v>
      </c>
      <c r="B666" t="s">
        <v>26</v>
      </c>
      <c r="C666" s="23" t="s">
        <v>48</v>
      </c>
      <c r="D666" s="23" t="s">
        <v>22168</v>
      </c>
      <c r="E666" s="23" t="s">
        <v>42</v>
      </c>
      <c r="F666" t="s">
        <v>26</v>
      </c>
      <c r="G666" t="s">
        <v>26</v>
      </c>
      <c r="H666" t="s">
        <v>26</v>
      </c>
      <c r="I666" t="s">
        <v>26</v>
      </c>
      <c r="J666" t="s">
        <v>26</v>
      </c>
      <c r="K666" t="s">
        <v>26</v>
      </c>
      <c r="L666" s="25" t="s">
        <v>28</v>
      </c>
      <c r="M666" t="s">
        <v>26</v>
      </c>
      <c r="N666" t="s">
        <v>26</v>
      </c>
      <c r="O666" t="s">
        <v>26</v>
      </c>
      <c r="P666" t="s">
        <v>26</v>
      </c>
      <c r="Q666" t="s">
        <v>26</v>
      </c>
      <c r="R666" t="s">
        <v>26</v>
      </c>
      <c r="S666" t="s">
        <v>26</v>
      </c>
      <c r="T666" t="s">
        <v>26</v>
      </c>
      <c r="U666" t="s">
        <v>26</v>
      </c>
      <c r="V666" t="s">
        <v>26</v>
      </c>
      <c r="W666" s="24">
        <v>42370</v>
      </c>
      <c r="X666" s="24">
        <v>42370</v>
      </c>
      <c r="Y666" t="s">
        <v>26</v>
      </c>
      <c r="Z666" s="24">
        <v>42370</v>
      </c>
      <c r="AA666" s="24">
        <v>42370</v>
      </c>
      <c r="AB666" t="s">
        <v>26</v>
      </c>
      <c r="AC666" t="s">
        <v>26</v>
      </c>
      <c r="AD666" t="s">
        <v>26</v>
      </c>
      <c r="AE666" t="s">
        <v>26</v>
      </c>
      <c r="AF666" t="s">
        <v>26</v>
      </c>
      <c r="AG666" t="s">
        <v>26</v>
      </c>
      <c r="AH666" t="s">
        <v>26</v>
      </c>
      <c r="AI666" t="s">
        <v>26</v>
      </c>
      <c r="AJ666" t="s">
        <v>26</v>
      </c>
      <c r="AK666" t="s">
        <v>26</v>
      </c>
      <c r="AL666" t="s">
        <v>26</v>
      </c>
      <c r="AM666" t="s">
        <v>26</v>
      </c>
      <c r="AN666" t="s">
        <v>26</v>
      </c>
      <c r="AO666" s="25" t="s">
        <v>28</v>
      </c>
      <c r="AP666" s="23" t="s">
        <v>29</v>
      </c>
      <c r="AQ666" s="23" t="s">
        <v>30</v>
      </c>
      <c r="AR666" s="23" t="s">
        <v>44</v>
      </c>
      <c r="AS666" s="25">
        <v>5483530</v>
      </c>
      <c r="AT666" s="23" t="s">
        <v>22181</v>
      </c>
      <c r="AU666" t="s">
        <v>23123</v>
      </c>
    </row>
    <row r="667" spans="1:47" ht="13.15" x14ac:dyDescent="0.4">
      <c r="A667" s="23" t="s">
        <v>1754</v>
      </c>
      <c r="B667" t="s">
        <v>26</v>
      </c>
      <c r="C667" s="23" t="s">
        <v>48</v>
      </c>
      <c r="D667" s="23" t="s">
        <v>22168</v>
      </c>
      <c r="E667" s="23" t="s">
        <v>42</v>
      </c>
      <c r="F667" t="s">
        <v>26</v>
      </c>
      <c r="G667" t="s">
        <v>26</v>
      </c>
      <c r="H667" t="s">
        <v>26</v>
      </c>
      <c r="I667" t="s">
        <v>26</v>
      </c>
      <c r="J667" t="s">
        <v>26</v>
      </c>
      <c r="K667" t="s">
        <v>26</v>
      </c>
      <c r="L667" s="25" t="s">
        <v>28</v>
      </c>
      <c r="M667" t="s">
        <v>26</v>
      </c>
      <c r="N667" t="s">
        <v>26</v>
      </c>
      <c r="O667" t="s">
        <v>26</v>
      </c>
      <c r="P667" t="s">
        <v>26</v>
      </c>
      <c r="Q667" t="s">
        <v>26</v>
      </c>
      <c r="R667" t="s">
        <v>26</v>
      </c>
      <c r="S667" t="s">
        <v>26</v>
      </c>
      <c r="T667" t="s">
        <v>26</v>
      </c>
      <c r="U667" t="s">
        <v>26</v>
      </c>
      <c r="V667" t="s">
        <v>26</v>
      </c>
      <c r="W667" s="24">
        <v>41640</v>
      </c>
      <c r="X667" s="24">
        <v>41640</v>
      </c>
      <c r="Y667" t="s">
        <v>26</v>
      </c>
      <c r="Z667" s="24">
        <v>41640</v>
      </c>
      <c r="AA667" s="24">
        <v>41640</v>
      </c>
      <c r="AB667" t="s">
        <v>26</v>
      </c>
      <c r="AC667" t="s">
        <v>26</v>
      </c>
      <c r="AD667" t="s">
        <v>26</v>
      </c>
      <c r="AE667" t="s">
        <v>26</v>
      </c>
      <c r="AF667" t="s">
        <v>26</v>
      </c>
      <c r="AG667" t="s">
        <v>26</v>
      </c>
      <c r="AH667" t="s">
        <v>26</v>
      </c>
      <c r="AI667" t="s">
        <v>26</v>
      </c>
      <c r="AJ667" t="s">
        <v>26</v>
      </c>
      <c r="AK667" t="s">
        <v>26</v>
      </c>
      <c r="AL667" t="s">
        <v>26</v>
      </c>
      <c r="AM667" t="s">
        <v>26</v>
      </c>
      <c r="AN667" t="s">
        <v>26</v>
      </c>
      <c r="AO667" s="25" t="s">
        <v>28</v>
      </c>
      <c r="AP667" s="23" t="s">
        <v>29</v>
      </c>
      <c r="AQ667" s="23" t="s">
        <v>30</v>
      </c>
      <c r="AR667" s="23" t="s">
        <v>44</v>
      </c>
      <c r="AS667" s="25">
        <v>5483529</v>
      </c>
      <c r="AT667" s="23" t="s">
        <v>22181</v>
      </c>
      <c r="AU667" t="s">
        <v>23124</v>
      </c>
    </row>
    <row r="668" spans="1:47" ht="26.25" x14ac:dyDescent="0.4">
      <c r="A668" s="23" t="s">
        <v>1755</v>
      </c>
      <c r="B668" t="s">
        <v>26</v>
      </c>
      <c r="C668" s="23" t="s">
        <v>264</v>
      </c>
      <c r="D668" s="23" t="s">
        <v>23125</v>
      </c>
      <c r="E668" s="23" t="s">
        <v>60</v>
      </c>
      <c r="F668" s="25" t="s">
        <v>1756</v>
      </c>
      <c r="G668" s="25" t="s">
        <v>1757</v>
      </c>
      <c r="H668" t="s">
        <v>26</v>
      </c>
      <c r="I668" s="24">
        <v>35065</v>
      </c>
      <c r="J668" s="25" t="s">
        <v>77</v>
      </c>
      <c r="K668" t="s">
        <v>26</v>
      </c>
      <c r="L668" s="25" t="s">
        <v>68</v>
      </c>
      <c r="M668" s="24">
        <v>35065</v>
      </c>
      <c r="N668" s="25" t="s">
        <v>77</v>
      </c>
      <c r="O668" t="s">
        <v>26</v>
      </c>
      <c r="P668" s="24">
        <v>35065</v>
      </c>
      <c r="Q668" s="25" t="s">
        <v>77</v>
      </c>
      <c r="R668" s="25" t="s">
        <v>23126</v>
      </c>
      <c r="S668" t="s">
        <v>26</v>
      </c>
      <c r="T668" t="s">
        <v>26</v>
      </c>
      <c r="U668" t="s">
        <v>26</v>
      </c>
      <c r="V668" s="25">
        <v>365</v>
      </c>
      <c r="W668" s="24">
        <v>35065</v>
      </c>
      <c r="X668" s="25" t="s">
        <v>77</v>
      </c>
      <c r="Y668" t="s">
        <v>26</v>
      </c>
      <c r="Z668" s="24">
        <v>35065</v>
      </c>
      <c r="AA668" s="25" t="s">
        <v>77</v>
      </c>
      <c r="AB668" t="s">
        <v>26</v>
      </c>
      <c r="AC668" s="24">
        <v>35065</v>
      </c>
      <c r="AD668" s="25" t="s">
        <v>77</v>
      </c>
      <c r="AE668" t="s">
        <v>26</v>
      </c>
      <c r="AF668" t="s">
        <v>26</v>
      </c>
      <c r="AG668" t="s">
        <v>26</v>
      </c>
      <c r="AH668" t="s">
        <v>26</v>
      </c>
      <c r="AI668" t="s">
        <v>26</v>
      </c>
      <c r="AJ668" t="s">
        <v>26</v>
      </c>
      <c r="AK668" t="s">
        <v>26</v>
      </c>
      <c r="AL668" t="s">
        <v>26</v>
      </c>
      <c r="AM668" t="s">
        <v>26</v>
      </c>
      <c r="AN668" t="s">
        <v>26</v>
      </c>
      <c r="AO668" s="25" t="s">
        <v>68</v>
      </c>
      <c r="AP668" s="23" t="s">
        <v>69</v>
      </c>
      <c r="AQ668" s="23" t="s">
        <v>30</v>
      </c>
      <c r="AR668" s="23" t="s">
        <v>369</v>
      </c>
      <c r="AS668" s="25">
        <v>25916</v>
      </c>
      <c r="AT668" t="s">
        <v>26</v>
      </c>
      <c r="AU668" t="s">
        <v>23127</v>
      </c>
    </row>
    <row r="669" spans="1:47" ht="26.25" x14ac:dyDescent="0.4">
      <c r="A669" s="23" t="s">
        <v>1758</v>
      </c>
      <c r="B669" t="s">
        <v>26</v>
      </c>
      <c r="C669" s="23" t="s">
        <v>483</v>
      </c>
      <c r="D669" s="23" t="s">
        <v>22174</v>
      </c>
      <c r="E669" s="23" t="s">
        <v>60</v>
      </c>
      <c r="F669" s="25" t="s">
        <v>1759</v>
      </c>
      <c r="G669" s="25" t="s">
        <v>1760</v>
      </c>
      <c r="H669" t="s">
        <v>26</v>
      </c>
      <c r="I669" s="24">
        <v>35886</v>
      </c>
      <c r="J669" s="25" t="s">
        <v>77</v>
      </c>
      <c r="K669" t="s">
        <v>26</v>
      </c>
      <c r="L669" s="25" t="s">
        <v>68</v>
      </c>
      <c r="M669" s="24">
        <v>36982</v>
      </c>
      <c r="N669" s="24">
        <v>42461</v>
      </c>
      <c r="O669" t="s">
        <v>26</v>
      </c>
      <c r="P669" s="24">
        <v>35886</v>
      </c>
      <c r="Q669" s="25" t="s">
        <v>77</v>
      </c>
      <c r="R669" t="s">
        <v>26</v>
      </c>
      <c r="S669" t="s">
        <v>26</v>
      </c>
      <c r="T669" t="s">
        <v>26</v>
      </c>
      <c r="U669" t="s">
        <v>26</v>
      </c>
      <c r="V669" s="25">
        <v>365</v>
      </c>
      <c r="W669" s="24">
        <v>35886</v>
      </c>
      <c r="X669" s="25" t="s">
        <v>77</v>
      </c>
      <c r="Y669" t="s">
        <v>26</v>
      </c>
      <c r="Z669" s="24">
        <v>35886</v>
      </c>
      <c r="AA669" s="25" t="s">
        <v>77</v>
      </c>
      <c r="AB669" t="s">
        <v>26</v>
      </c>
      <c r="AC669" s="24">
        <v>35886</v>
      </c>
      <c r="AD669" s="25" t="s">
        <v>77</v>
      </c>
      <c r="AE669" t="s">
        <v>26</v>
      </c>
      <c r="AF669" t="s">
        <v>26</v>
      </c>
      <c r="AG669" t="s">
        <v>26</v>
      </c>
      <c r="AH669" t="s">
        <v>26</v>
      </c>
      <c r="AI669" t="s">
        <v>26</v>
      </c>
      <c r="AJ669" t="s">
        <v>26</v>
      </c>
      <c r="AK669" t="s">
        <v>26</v>
      </c>
      <c r="AL669" t="s">
        <v>26</v>
      </c>
      <c r="AM669" t="s">
        <v>26</v>
      </c>
      <c r="AN669" t="s">
        <v>26</v>
      </c>
      <c r="AO669" s="25" t="s">
        <v>68</v>
      </c>
      <c r="AP669" s="23" t="s">
        <v>69</v>
      </c>
      <c r="AQ669" s="23" t="s">
        <v>30</v>
      </c>
      <c r="AR669" s="23" t="s">
        <v>128</v>
      </c>
      <c r="AS669" s="25">
        <v>26974</v>
      </c>
      <c r="AT669" t="s">
        <v>26</v>
      </c>
      <c r="AU669" t="s">
        <v>23128</v>
      </c>
    </row>
    <row r="670" spans="1:47" ht="26.25" x14ac:dyDescent="0.4">
      <c r="A670" s="23" t="s">
        <v>1761</v>
      </c>
      <c r="B670" t="s">
        <v>26</v>
      </c>
      <c r="C670" s="23" t="s">
        <v>51</v>
      </c>
      <c r="D670" t="s">
        <v>26</v>
      </c>
      <c r="E670" s="23" t="s">
        <v>42</v>
      </c>
      <c r="F670" t="s">
        <v>26</v>
      </c>
      <c r="G670" t="s">
        <v>26</v>
      </c>
      <c r="H670" t="s">
        <v>26</v>
      </c>
      <c r="I670" s="24">
        <v>39448</v>
      </c>
      <c r="J670" s="24">
        <v>39448</v>
      </c>
      <c r="K670" t="s">
        <v>26</v>
      </c>
      <c r="L670" s="25" t="s">
        <v>28</v>
      </c>
      <c r="M670" s="24">
        <v>39448</v>
      </c>
      <c r="N670" s="24">
        <v>39448</v>
      </c>
      <c r="O670" t="s">
        <v>26</v>
      </c>
      <c r="P670" t="s">
        <v>26</v>
      </c>
      <c r="Q670" t="s">
        <v>26</v>
      </c>
      <c r="R670" t="s">
        <v>26</v>
      </c>
      <c r="S670" s="24">
        <v>39448</v>
      </c>
      <c r="T670" s="24">
        <v>39448</v>
      </c>
      <c r="U670" t="s">
        <v>26</v>
      </c>
      <c r="V670" t="s">
        <v>26</v>
      </c>
      <c r="W670" s="24">
        <v>39448</v>
      </c>
      <c r="X670" s="24">
        <v>39448</v>
      </c>
      <c r="Y670" t="s">
        <v>26</v>
      </c>
      <c r="Z670" s="24">
        <v>39448</v>
      </c>
      <c r="AA670" s="24">
        <v>39448</v>
      </c>
      <c r="AB670" t="s">
        <v>26</v>
      </c>
      <c r="AC670" s="24">
        <v>39448</v>
      </c>
      <c r="AD670" s="24">
        <v>39448</v>
      </c>
      <c r="AE670" t="s">
        <v>26</v>
      </c>
      <c r="AF670" s="24">
        <v>39448</v>
      </c>
      <c r="AG670" s="24">
        <v>39448</v>
      </c>
      <c r="AH670" t="s">
        <v>26</v>
      </c>
      <c r="AI670" s="24">
        <v>39448</v>
      </c>
      <c r="AJ670" s="24">
        <v>39448</v>
      </c>
      <c r="AK670" t="s">
        <v>26</v>
      </c>
      <c r="AL670" t="s">
        <v>26</v>
      </c>
      <c r="AM670" t="s">
        <v>26</v>
      </c>
      <c r="AN670" t="s">
        <v>26</v>
      </c>
      <c r="AO670" s="25" t="s">
        <v>28</v>
      </c>
      <c r="AP670" s="23" t="s">
        <v>43</v>
      </c>
      <c r="AQ670" s="23" t="s">
        <v>30</v>
      </c>
      <c r="AR670" s="23" t="s">
        <v>44</v>
      </c>
      <c r="AS670" s="25">
        <v>5256679</v>
      </c>
      <c r="AT670" t="s">
        <v>26</v>
      </c>
      <c r="AU670" t="s">
        <v>23129</v>
      </c>
    </row>
    <row r="671" spans="1:47" ht="26.25" x14ac:dyDescent="0.4">
      <c r="A671" s="23" t="s">
        <v>1762</v>
      </c>
      <c r="B671" t="s">
        <v>26</v>
      </c>
      <c r="C671" s="23" t="s">
        <v>51</v>
      </c>
      <c r="D671" t="s">
        <v>26</v>
      </c>
      <c r="E671" s="23" t="s">
        <v>42</v>
      </c>
      <c r="F671" t="s">
        <v>26</v>
      </c>
      <c r="G671" t="s">
        <v>26</v>
      </c>
      <c r="H671" t="s">
        <v>26</v>
      </c>
      <c r="I671" s="24">
        <v>32874</v>
      </c>
      <c r="J671" s="24">
        <v>32874</v>
      </c>
      <c r="K671" t="s">
        <v>26</v>
      </c>
      <c r="L671" s="25" t="s">
        <v>28</v>
      </c>
      <c r="M671" s="24">
        <v>32874</v>
      </c>
      <c r="N671" s="24">
        <v>32874</v>
      </c>
      <c r="O671" t="s">
        <v>26</v>
      </c>
      <c r="P671" t="s">
        <v>26</v>
      </c>
      <c r="Q671" t="s">
        <v>26</v>
      </c>
      <c r="R671" t="s">
        <v>26</v>
      </c>
      <c r="S671" s="24">
        <v>32874</v>
      </c>
      <c r="T671" s="24">
        <v>32874</v>
      </c>
      <c r="U671" t="s">
        <v>26</v>
      </c>
      <c r="V671" t="s">
        <v>26</v>
      </c>
      <c r="W671" s="24">
        <v>32874</v>
      </c>
      <c r="X671" s="24">
        <v>32874</v>
      </c>
      <c r="Y671" t="s">
        <v>26</v>
      </c>
      <c r="Z671" s="24">
        <v>32874</v>
      </c>
      <c r="AA671" s="24">
        <v>32874</v>
      </c>
      <c r="AB671" t="s">
        <v>26</v>
      </c>
      <c r="AC671" s="24">
        <v>32874</v>
      </c>
      <c r="AD671" s="24">
        <v>32874</v>
      </c>
      <c r="AE671" t="s">
        <v>26</v>
      </c>
      <c r="AF671" s="24">
        <v>32874</v>
      </c>
      <c r="AG671" s="24">
        <v>32874</v>
      </c>
      <c r="AH671" t="s">
        <v>26</v>
      </c>
      <c r="AI671" s="24">
        <v>32874</v>
      </c>
      <c r="AJ671" s="24">
        <v>32874</v>
      </c>
      <c r="AK671" t="s">
        <v>26</v>
      </c>
      <c r="AL671" t="s">
        <v>26</v>
      </c>
      <c r="AM671" t="s">
        <v>26</v>
      </c>
      <c r="AN671" t="s">
        <v>26</v>
      </c>
      <c r="AO671" s="25" t="s">
        <v>28</v>
      </c>
      <c r="AP671" s="23" t="s">
        <v>43</v>
      </c>
      <c r="AQ671" s="23" t="s">
        <v>30</v>
      </c>
      <c r="AR671" s="23" t="s">
        <v>44</v>
      </c>
      <c r="AS671" s="25">
        <v>5256678</v>
      </c>
      <c r="AT671" t="s">
        <v>26</v>
      </c>
      <c r="AU671" t="s">
        <v>23130</v>
      </c>
    </row>
    <row r="672" spans="1:47" ht="26.25" x14ac:dyDescent="0.4">
      <c r="A672" s="23" t="s">
        <v>1763</v>
      </c>
      <c r="B672" t="s">
        <v>26</v>
      </c>
      <c r="C672" s="23" t="s">
        <v>51</v>
      </c>
      <c r="D672" t="s">
        <v>26</v>
      </c>
      <c r="E672" s="23" t="s">
        <v>42</v>
      </c>
      <c r="F672" t="s">
        <v>26</v>
      </c>
      <c r="G672" t="s">
        <v>26</v>
      </c>
      <c r="H672" t="s">
        <v>26</v>
      </c>
      <c r="I672" s="24">
        <v>40544</v>
      </c>
      <c r="J672" s="24">
        <v>40544</v>
      </c>
      <c r="K672" t="s">
        <v>26</v>
      </c>
      <c r="L672" s="25" t="s">
        <v>28</v>
      </c>
      <c r="M672" s="24">
        <v>40544</v>
      </c>
      <c r="N672" s="24">
        <v>40544</v>
      </c>
      <c r="O672" t="s">
        <v>26</v>
      </c>
      <c r="P672" t="s">
        <v>26</v>
      </c>
      <c r="Q672" t="s">
        <v>26</v>
      </c>
      <c r="R672" t="s">
        <v>26</v>
      </c>
      <c r="S672" s="24">
        <v>40544</v>
      </c>
      <c r="T672" s="24">
        <v>40544</v>
      </c>
      <c r="U672" t="s">
        <v>26</v>
      </c>
      <c r="V672" t="s">
        <v>26</v>
      </c>
      <c r="W672" s="24">
        <v>40544</v>
      </c>
      <c r="X672" s="24">
        <v>40544</v>
      </c>
      <c r="Y672" t="s">
        <v>26</v>
      </c>
      <c r="Z672" s="24">
        <v>40544</v>
      </c>
      <c r="AA672" s="24">
        <v>40544</v>
      </c>
      <c r="AB672" t="s">
        <v>26</v>
      </c>
      <c r="AC672" s="24">
        <v>40544</v>
      </c>
      <c r="AD672" s="24">
        <v>40544</v>
      </c>
      <c r="AE672" t="s">
        <v>26</v>
      </c>
      <c r="AF672" s="24">
        <v>40544</v>
      </c>
      <c r="AG672" s="24">
        <v>40544</v>
      </c>
      <c r="AH672" t="s">
        <v>26</v>
      </c>
      <c r="AI672" s="24">
        <v>40544</v>
      </c>
      <c r="AJ672" s="24">
        <v>40544</v>
      </c>
      <c r="AK672" t="s">
        <v>26</v>
      </c>
      <c r="AL672" t="s">
        <v>26</v>
      </c>
      <c r="AM672" t="s">
        <v>26</v>
      </c>
      <c r="AN672" t="s">
        <v>26</v>
      </c>
      <c r="AO672" s="25" t="s">
        <v>28</v>
      </c>
      <c r="AP672" s="23" t="s">
        <v>43</v>
      </c>
      <c r="AQ672" s="23" t="s">
        <v>30</v>
      </c>
      <c r="AR672" s="23" t="s">
        <v>44</v>
      </c>
      <c r="AS672" s="25">
        <v>5256677</v>
      </c>
      <c r="AT672" t="s">
        <v>26</v>
      </c>
      <c r="AU672" t="s">
        <v>23131</v>
      </c>
    </row>
    <row r="673" spans="1:47" ht="26.25" x14ac:dyDescent="0.4">
      <c r="A673" s="23" t="s">
        <v>1764</v>
      </c>
      <c r="B673" t="s">
        <v>26</v>
      </c>
      <c r="C673" s="23" t="s">
        <v>80</v>
      </c>
      <c r="D673" s="23" t="s">
        <v>22184</v>
      </c>
      <c r="E673" s="23" t="s">
        <v>60</v>
      </c>
      <c r="F673" s="25" t="s">
        <v>1765</v>
      </c>
      <c r="G673" s="25" t="s">
        <v>1766</v>
      </c>
      <c r="H673" t="s">
        <v>26</v>
      </c>
      <c r="I673" t="s">
        <v>26</v>
      </c>
      <c r="J673" t="s">
        <v>26</v>
      </c>
      <c r="K673" t="s">
        <v>26</v>
      </c>
      <c r="L673" s="25" t="s">
        <v>68</v>
      </c>
      <c r="M673" t="s">
        <v>26</v>
      </c>
      <c r="N673" t="s">
        <v>26</v>
      </c>
      <c r="O673" t="s">
        <v>26</v>
      </c>
      <c r="P673" t="s">
        <v>26</v>
      </c>
      <c r="Q673" t="s">
        <v>26</v>
      </c>
      <c r="R673" t="s">
        <v>26</v>
      </c>
      <c r="S673" t="s">
        <v>26</v>
      </c>
      <c r="T673" t="s">
        <v>26</v>
      </c>
      <c r="U673" t="s">
        <v>26</v>
      </c>
      <c r="V673" t="s">
        <v>26</v>
      </c>
      <c r="W673" s="24">
        <v>44136</v>
      </c>
      <c r="X673" s="25" t="s">
        <v>77</v>
      </c>
      <c r="Y673" t="s">
        <v>26</v>
      </c>
      <c r="Z673" s="24">
        <v>44136</v>
      </c>
      <c r="AA673" s="25" t="s">
        <v>77</v>
      </c>
      <c r="AB673" t="s">
        <v>26</v>
      </c>
      <c r="AC673" s="24">
        <v>44136</v>
      </c>
      <c r="AD673" s="25" t="s">
        <v>77</v>
      </c>
      <c r="AE673" t="s">
        <v>26</v>
      </c>
      <c r="AF673" t="s">
        <v>26</v>
      </c>
      <c r="AG673" t="s">
        <v>26</v>
      </c>
      <c r="AH673" t="s">
        <v>26</v>
      </c>
      <c r="AI673" t="s">
        <v>26</v>
      </c>
      <c r="AJ673" t="s">
        <v>26</v>
      </c>
      <c r="AK673" t="s">
        <v>26</v>
      </c>
      <c r="AL673" t="s">
        <v>26</v>
      </c>
      <c r="AM673" t="s">
        <v>26</v>
      </c>
      <c r="AN673" t="s">
        <v>26</v>
      </c>
      <c r="AO673" s="25" t="s">
        <v>68</v>
      </c>
      <c r="AP673" s="23" t="s">
        <v>69</v>
      </c>
      <c r="AQ673" s="23" t="s">
        <v>30</v>
      </c>
      <c r="AR673" s="23" t="s">
        <v>46</v>
      </c>
      <c r="AS673" s="25">
        <v>5203033</v>
      </c>
      <c r="AT673" t="s">
        <v>26</v>
      </c>
      <c r="AU673" t="s">
        <v>23132</v>
      </c>
    </row>
    <row r="674" spans="1:47" ht="26.25" x14ac:dyDescent="0.4">
      <c r="A674" s="23" t="s">
        <v>1767</v>
      </c>
      <c r="B674" t="s">
        <v>26</v>
      </c>
      <c r="C674" s="23" t="s">
        <v>107</v>
      </c>
      <c r="D674" s="23" t="s">
        <v>23133</v>
      </c>
      <c r="E674" s="23" t="s">
        <v>42</v>
      </c>
      <c r="F674" s="25" t="s">
        <v>1768</v>
      </c>
      <c r="G674" s="25" t="s">
        <v>1769</v>
      </c>
      <c r="H674" t="s">
        <v>26</v>
      </c>
      <c r="I674" t="s">
        <v>26</v>
      </c>
      <c r="J674" t="s">
        <v>26</v>
      </c>
      <c r="K674" t="s">
        <v>26</v>
      </c>
      <c r="L674" s="25" t="s">
        <v>68</v>
      </c>
      <c r="M674" t="s">
        <v>26</v>
      </c>
      <c r="N674" t="s">
        <v>26</v>
      </c>
      <c r="O674" t="s">
        <v>26</v>
      </c>
      <c r="P674" t="s">
        <v>26</v>
      </c>
      <c r="Q674" t="s">
        <v>26</v>
      </c>
      <c r="R674" t="s">
        <v>26</v>
      </c>
      <c r="S674" t="s">
        <v>26</v>
      </c>
      <c r="T674" t="s">
        <v>26</v>
      </c>
      <c r="U674" t="s">
        <v>26</v>
      </c>
      <c r="V674" t="s">
        <v>26</v>
      </c>
      <c r="W674" s="24">
        <v>32509</v>
      </c>
      <c r="X674" s="25" t="s">
        <v>77</v>
      </c>
      <c r="Y674" t="s">
        <v>26</v>
      </c>
      <c r="Z674" s="24">
        <v>32509</v>
      </c>
      <c r="AA674" s="25" t="s">
        <v>77</v>
      </c>
      <c r="AB674" t="s">
        <v>26</v>
      </c>
      <c r="AC674" s="24">
        <v>32509</v>
      </c>
      <c r="AD674" s="25" t="s">
        <v>77</v>
      </c>
      <c r="AE674" t="s">
        <v>26</v>
      </c>
      <c r="AF674" t="s">
        <v>26</v>
      </c>
      <c r="AG674" t="s">
        <v>26</v>
      </c>
      <c r="AH674" t="s">
        <v>26</v>
      </c>
      <c r="AI674" t="s">
        <v>26</v>
      </c>
      <c r="AJ674" t="s">
        <v>26</v>
      </c>
      <c r="AK674" t="s">
        <v>26</v>
      </c>
      <c r="AL674" t="s">
        <v>26</v>
      </c>
      <c r="AM674" t="s">
        <v>26</v>
      </c>
      <c r="AN674" t="s">
        <v>26</v>
      </c>
      <c r="AO674" s="25" t="s">
        <v>68</v>
      </c>
      <c r="AP674" s="23" t="s">
        <v>69</v>
      </c>
      <c r="AQ674" s="23" t="s">
        <v>30</v>
      </c>
      <c r="AR674" s="23" t="s">
        <v>46</v>
      </c>
      <c r="AS674" s="25">
        <v>47491</v>
      </c>
      <c r="AT674" t="s">
        <v>26</v>
      </c>
      <c r="AU674" t="s">
        <v>23134</v>
      </c>
    </row>
    <row r="675" spans="1:47" ht="26.25" x14ac:dyDescent="0.4">
      <c r="A675" s="23" t="s">
        <v>1770</v>
      </c>
      <c r="B675" t="s">
        <v>26</v>
      </c>
      <c r="C675" s="23" t="s">
        <v>22849</v>
      </c>
      <c r="D675" t="s">
        <v>26</v>
      </c>
      <c r="E675" s="23" t="s">
        <v>42</v>
      </c>
      <c r="F675" t="s">
        <v>26</v>
      </c>
      <c r="G675" t="s">
        <v>26</v>
      </c>
      <c r="H675" t="s">
        <v>26</v>
      </c>
      <c r="I675" s="24">
        <v>40544</v>
      </c>
      <c r="J675" s="24">
        <v>40544</v>
      </c>
      <c r="K675" t="s">
        <v>26</v>
      </c>
      <c r="L675" s="25" t="s">
        <v>28</v>
      </c>
      <c r="M675" s="24">
        <v>40544</v>
      </c>
      <c r="N675" s="24">
        <v>40544</v>
      </c>
      <c r="O675" t="s">
        <v>26</v>
      </c>
      <c r="P675" t="s">
        <v>26</v>
      </c>
      <c r="Q675" t="s">
        <v>26</v>
      </c>
      <c r="R675" t="s">
        <v>26</v>
      </c>
      <c r="S675" s="24">
        <v>40544</v>
      </c>
      <c r="T675" s="24">
        <v>40544</v>
      </c>
      <c r="U675" t="s">
        <v>26</v>
      </c>
      <c r="V675" t="s">
        <v>26</v>
      </c>
      <c r="W675" s="24">
        <v>40544</v>
      </c>
      <c r="X675" s="24">
        <v>40544</v>
      </c>
      <c r="Y675" t="s">
        <v>26</v>
      </c>
      <c r="Z675" s="24">
        <v>40544</v>
      </c>
      <c r="AA675" s="24">
        <v>40544</v>
      </c>
      <c r="AB675" t="s">
        <v>26</v>
      </c>
      <c r="AC675" s="24">
        <v>40544</v>
      </c>
      <c r="AD675" s="24">
        <v>40544</v>
      </c>
      <c r="AE675" t="s">
        <v>26</v>
      </c>
      <c r="AF675" s="24">
        <v>40544</v>
      </c>
      <c r="AG675" s="24">
        <v>40544</v>
      </c>
      <c r="AH675" t="s">
        <v>26</v>
      </c>
      <c r="AI675" s="24">
        <v>40544</v>
      </c>
      <c r="AJ675" s="24">
        <v>40544</v>
      </c>
      <c r="AK675" t="s">
        <v>26</v>
      </c>
      <c r="AL675" t="s">
        <v>26</v>
      </c>
      <c r="AM675" t="s">
        <v>26</v>
      </c>
      <c r="AN675" t="s">
        <v>26</v>
      </c>
      <c r="AO675" s="25" t="s">
        <v>28</v>
      </c>
      <c r="AP675" s="23" t="s">
        <v>43</v>
      </c>
      <c r="AQ675" s="23" t="s">
        <v>30</v>
      </c>
      <c r="AR675" s="23" t="s">
        <v>44</v>
      </c>
      <c r="AS675" s="25">
        <v>5256690</v>
      </c>
      <c r="AT675" t="s">
        <v>26</v>
      </c>
      <c r="AU675" t="s">
        <v>23135</v>
      </c>
    </row>
    <row r="676" spans="1:47" ht="26.25" x14ac:dyDescent="0.4">
      <c r="A676" s="23" t="s">
        <v>1771</v>
      </c>
      <c r="B676" t="s">
        <v>26</v>
      </c>
      <c r="C676" s="23" t="s">
        <v>332</v>
      </c>
      <c r="D676" t="s">
        <v>26</v>
      </c>
      <c r="E676" s="23" t="s">
        <v>42</v>
      </c>
      <c r="F676" t="s">
        <v>26</v>
      </c>
      <c r="G676" t="s">
        <v>26</v>
      </c>
      <c r="H676" t="s">
        <v>26</v>
      </c>
      <c r="I676" s="24">
        <v>43101</v>
      </c>
      <c r="J676" s="24">
        <v>43466</v>
      </c>
      <c r="K676" t="s">
        <v>26</v>
      </c>
      <c r="L676" s="25" t="s">
        <v>28</v>
      </c>
      <c r="M676" s="24">
        <v>43101</v>
      </c>
      <c r="N676" s="24">
        <v>43466</v>
      </c>
      <c r="O676" t="s">
        <v>26</v>
      </c>
      <c r="P676" t="s">
        <v>26</v>
      </c>
      <c r="Q676" t="s">
        <v>26</v>
      </c>
      <c r="R676" t="s">
        <v>26</v>
      </c>
      <c r="S676" s="24">
        <v>43101</v>
      </c>
      <c r="T676" s="24">
        <v>43466</v>
      </c>
      <c r="U676" t="s">
        <v>26</v>
      </c>
      <c r="V676" t="s">
        <v>26</v>
      </c>
      <c r="W676" s="24">
        <v>43101</v>
      </c>
      <c r="X676" s="24">
        <v>43466</v>
      </c>
      <c r="Y676" t="s">
        <v>26</v>
      </c>
      <c r="Z676" s="24">
        <v>43101</v>
      </c>
      <c r="AA676" s="24">
        <v>43466</v>
      </c>
      <c r="AB676" t="s">
        <v>26</v>
      </c>
      <c r="AC676" s="24">
        <v>43101</v>
      </c>
      <c r="AD676" s="24">
        <v>43466</v>
      </c>
      <c r="AE676" t="s">
        <v>26</v>
      </c>
      <c r="AF676" s="24">
        <v>43101</v>
      </c>
      <c r="AG676" s="24">
        <v>43466</v>
      </c>
      <c r="AH676" t="s">
        <v>26</v>
      </c>
      <c r="AI676" s="24">
        <v>43101</v>
      </c>
      <c r="AJ676" s="24">
        <v>43466</v>
      </c>
      <c r="AK676" t="s">
        <v>26</v>
      </c>
      <c r="AL676" t="s">
        <v>26</v>
      </c>
      <c r="AM676" t="s">
        <v>26</v>
      </c>
      <c r="AN676" t="s">
        <v>26</v>
      </c>
      <c r="AO676" s="25" t="s">
        <v>28</v>
      </c>
      <c r="AP676" s="23" t="s">
        <v>43</v>
      </c>
      <c r="AQ676" s="23" t="s">
        <v>30</v>
      </c>
      <c r="AR676" s="23" t="s">
        <v>44</v>
      </c>
      <c r="AS676" s="25">
        <v>5256702</v>
      </c>
      <c r="AT676" t="s">
        <v>26</v>
      </c>
      <c r="AU676" t="s">
        <v>23136</v>
      </c>
    </row>
    <row r="677" spans="1:47" ht="26.25" x14ac:dyDescent="0.4">
      <c r="A677" s="23" t="s">
        <v>1772</v>
      </c>
      <c r="B677" t="s">
        <v>26</v>
      </c>
      <c r="C677" s="23" t="s">
        <v>22177</v>
      </c>
      <c r="D677" t="s">
        <v>26</v>
      </c>
      <c r="E677" s="23" t="s">
        <v>42</v>
      </c>
      <c r="F677" t="s">
        <v>26</v>
      </c>
      <c r="G677" t="s">
        <v>26</v>
      </c>
      <c r="H677" t="s">
        <v>26</v>
      </c>
      <c r="I677" s="24">
        <v>41275</v>
      </c>
      <c r="J677" s="24">
        <v>41275</v>
      </c>
      <c r="K677" t="s">
        <v>26</v>
      </c>
      <c r="L677" s="25" t="s">
        <v>28</v>
      </c>
      <c r="M677" s="24">
        <v>41275</v>
      </c>
      <c r="N677" s="24">
        <v>41275</v>
      </c>
      <c r="O677" t="s">
        <v>26</v>
      </c>
      <c r="P677" t="s">
        <v>26</v>
      </c>
      <c r="Q677" t="s">
        <v>26</v>
      </c>
      <c r="R677" t="s">
        <v>26</v>
      </c>
      <c r="S677" s="24">
        <v>41275</v>
      </c>
      <c r="T677" s="24">
        <v>41275</v>
      </c>
      <c r="U677" t="s">
        <v>26</v>
      </c>
      <c r="V677" t="s">
        <v>26</v>
      </c>
      <c r="W677" s="24">
        <v>41275</v>
      </c>
      <c r="X677" s="24">
        <v>41275</v>
      </c>
      <c r="Y677" t="s">
        <v>26</v>
      </c>
      <c r="Z677" s="24">
        <v>41275</v>
      </c>
      <c r="AA677" s="24">
        <v>41275</v>
      </c>
      <c r="AB677" t="s">
        <v>26</v>
      </c>
      <c r="AC677" s="24">
        <v>41275</v>
      </c>
      <c r="AD677" s="24">
        <v>41275</v>
      </c>
      <c r="AE677" t="s">
        <v>26</v>
      </c>
      <c r="AF677" s="24">
        <v>41275</v>
      </c>
      <c r="AG677" s="24">
        <v>41275</v>
      </c>
      <c r="AH677" t="s">
        <v>26</v>
      </c>
      <c r="AI677" s="24">
        <v>41275</v>
      </c>
      <c r="AJ677" s="24">
        <v>41275</v>
      </c>
      <c r="AK677" t="s">
        <v>26</v>
      </c>
      <c r="AL677" t="s">
        <v>26</v>
      </c>
      <c r="AM677" t="s">
        <v>26</v>
      </c>
      <c r="AN677" t="s">
        <v>26</v>
      </c>
      <c r="AO677" s="25" t="s">
        <v>28</v>
      </c>
      <c r="AP677" s="23" t="s">
        <v>43</v>
      </c>
      <c r="AQ677" s="23" t="s">
        <v>30</v>
      </c>
      <c r="AR677" s="23" t="s">
        <v>44</v>
      </c>
      <c r="AS677" s="25">
        <v>5262106</v>
      </c>
      <c r="AT677" t="s">
        <v>26</v>
      </c>
      <c r="AU677" t="s">
        <v>23137</v>
      </c>
    </row>
    <row r="678" spans="1:47" ht="26.25" x14ac:dyDescent="0.4">
      <c r="A678" s="23" t="s">
        <v>1773</v>
      </c>
      <c r="B678" t="s">
        <v>26</v>
      </c>
      <c r="C678" s="23" t="s">
        <v>1774</v>
      </c>
      <c r="D678" s="23" t="s">
        <v>22258</v>
      </c>
      <c r="E678" s="23" t="s">
        <v>42</v>
      </c>
      <c r="F678" s="25" t="s">
        <v>1775</v>
      </c>
      <c r="G678" t="s">
        <v>26</v>
      </c>
      <c r="H678" t="s">
        <v>26</v>
      </c>
      <c r="I678" s="24">
        <v>36039</v>
      </c>
      <c r="J678" s="24">
        <v>41153</v>
      </c>
      <c r="K678" t="s">
        <v>26</v>
      </c>
      <c r="L678" s="25" t="s">
        <v>68</v>
      </c>
      <c r="M678" s="24">
        <v>36039</v>
      </c>
      <c r="N678" s="24">
        <v>38473</v>
      </c>
      <c r="O678" t="s">
        <v>26</v>
      </c>
      <c r="P678" s="24">
        <v>36039</v>
      </c>
      <c r="Q678" s="24">
        <v>41153</v>
      </c>
      <c r="R678" t="s">
        <v>26</v>
      </c>
      <c r="S678" t="s">
        <v>26</v>
      </c>
      <c r="T678" t="s">
        <v>26</v>
      </c>
      <c r="U678" t="s">
        <v>26</v>
      </c>
      <c r="V678" t="s">
        <v>26</v>
      </c>
      <c r="W678" s="24">
        <v>36039</v>
      </c>
      <c r="X678" s="24">
        <v>41153</v>
      </c>
      <c r="Y678" t="s">
        <v>26</v>
      </c>
      <c r="Z678" s="24">
        <v>36039</v>
      </c>
      <c r="AA678" s="24">
        <v>41153</v>
      </c>
      <c r="AB678" t="s">
        <v>26</v>
      </c>
      <c r="AC678" s="24">
        <v>37865</v>
      </c>
      <c r="AD678" s="24">
        <v>41153</v>
      </c>
      <c r="AE678" t="s">
        <v>26</v>
      </c>
      <c r="AF678" t="s">
        <v>26</v>
      </c>
      <c r="AG678" t="s">
        <v>26</v>
      </c>
      <c r="AH678" t="s">
        <v>26</v>
      </c>
      <c r="AI678" t="s">
        <v>26</v>
      </c>
      <c r="AJ678" t="s">
        <v>26</v>
      </c>
      <c r="AK678" t="s">
        <v>26</v>
      </c>
      <c r="AL678" t="s">
        <v>26</v>
      </c>
      <c r="AM678" t="s">
        <v>26</v>
      </c>
      <c r="AN678" t="s">
        <v>26</v>
      </c>
      <c r="AO678" s="25" t="s">
        <v>28</v>
      </c>
      <c r="AP678" s="23" t="s">
        <v>69</v>
      </c>
      <c r="AQ678" s="23" t="s">
        <v>30</v>
      </c>
      <c r="AR678" s="23" t="s">
        <v>450</v>
      </c>
      <c r="AS678" s="25">
        <v>48224</v>
      </c>
      <c r="AT678" t="s">
        <v>26</v>
      </c>
      <c r="AU678" t="s">
        <v>23138</v>
      </c>
    </row>
    <row r="679" spans="1:47" ht="26.25" x14ac:dyDescent="0.4">
      <c r="A679" s="23" t="s">
        <v>1776</v>
      </c>
      <c r="B679" t="s">
        <v>26</v>
      </c>
      <c r="C679" s="23" t="s">
        <v>51</v>
      </c>
      <c r="D679" t="s">
        <v>26</v>
      </c>
      <c r="E679" s="23" t="s">
        <v>42</v>
      </c>
      <c r="F679" t="s">
        <v>26</v>
      </c>
      <c r="G679" t="s">
        <v>26</v>
      </c>
      <c r="H679" t="s">
        <v>26</v>
      </c>
      <c r="I679" s="24">
        <v>40544</v>
      </c>
      <c r="J679" s="24">
        <v>40544</v>
      </c>
      <c r="K679" t="s">
        <v>26</v>
      </c>
      <c r="L679" s="25" t="s">
        <v>28</v>
      </c>
      <c r="M679" s="24">
        <v>40544</v>
      </c>
      <c r="N679" s="24">
        <v>40544</v>
      </c>
      <c r="O679" t="s">
        <v>26</v>
      </c>
      <c r="P679" t="s">
        <v>26</v>
      </c>
      <c r="Q679" t="s">
        <v>26</v>
      </c>
      <c r="R679" t="s">
        <v>26</v>
      </c>
      <c r="S679" s="24">
        <v>40544</v>
      </c>
      <c r="T679" s="24">
        <v>40544</v>
      </c>
      <c r="U679" t="s">
        <v>26</v>
      </c>
      <c r="V679" t="s">
        <v>26</v>
      </c>
      <c r="W679" s="24">
        <v>40544</v>
      </c>
      <c r="X679" s="24">
        <v>40544</v>
      </c>
      <c r="Y679" t="s">
        <v>26</v>
      </c>
      <c r="Z679" s="24">
        <v>40544</v>
      </c>
      <c r="AA679" s="24">
        <v>40544</v>
      </c>
      <c r="AB679" t="s">
        <v>26</v>
      </c>
      <c r="AC679" s="24">
        <v>40544</v>
      </c>
      <c r="AD679" s="24">
        <v>40544</v>
      </c>
      <c r="AE679" t="s">
        <v>26</v>
      </c>
      <c r="AF679" s="24">
        <v>40544</v>
      </c>
      <c r="AG679" s="24">
        <v>40544</v>
      </c>
      <c r="AH679" t="s">
        <v>26</v>
      </c>
      <c r="AI679" s="24">
        <v>40544</v>
      </c>
      <c r="AJ679" s="24">
        <v>40544</v>
      </c>
      <c r="AK679" t="s">
        <v>26</v>
      </c>
      <c r="AL679" t="s">
        <v>26</v>
      </c>
      <c r="AM679" t="s">
        <v>26</v>
      </c>
      <c r="AN679" t="s">
        <v>26</v>
      </c>
      <c r="AO679" s="25" t="s">
        <v>28</v>
      </c>
      <c r="AP679" s="23" t="s">
        <v>43</v>
      </c>
      <c r="AQ679" s="23" t="s">
        <v>30</v>
      </c>
      <c r="AR679" s="23" t="s">
        <v>44</v>
      </c>
      <c r="AS679" s="25">
        <v>5256680</v>
      </c>
      <c r="AT679" t="s">
        <v>26</v>
      </c>
      <c r="AU679" t="s">
        <v>23139</v>
      </c>
    </row>
    <row r="680" spans="1:47" ht="39.4" x14ac:dyDescent="0.4">
      <c r="A680" s="23" t="s">
        <v>1777</v>
      </c>
      <c r="B680" t="s">
        <v>26</v>
      </c>
      <c r="C680" s="23" t="s">
        <v>1017</v>
      </c>
      <c r="D680" s="23" t="s">
        <v>22256</v>
      </c>
      <c r="E680" s="23" t="s">
        <v>1018</v>
      </c>
      <c r="F680" s="25" t="s">
        <v>1778</v>
      </c>
      <c r="G680" s="25" t="s">
        <v>1779</v>
      </c>
      <c r="H680" t="s">
        <v>26</v>
      </c>
      <c r="I680" s="24">
        <v>35796</v>
      </c>
      <c r="J680" s="24">
        <v>41548</v>
      </c>
      <c r="K680" t="s">
        <v>26</v>
      </c>
      <c r="L680" s="25" t="s">
        <v>68</v>
      </c>
      <c r="M680" s="24">
        <v>35796</v>
      </c>
      <c r="N680" s="24">
        <v>38808</v>
      </c>
      <c r="O680" t="s">
        <v>26</v>
      </c>
      <c r="P680" s="24">
        <v>35796</v>
      </c>
      <c r="Q680" s="24">
        <v>41548</v>
      </c>
      <c r="R680" t="s">
        <v>26</v>
      </c>
      <c r="S680" t="s">
        <v>26</v>
      </c>
      <c r="T680" t="s">
        <v>26</v>
      </c>
      <c r="U680" t="s">
        <v>26</v>
      </c>
      <c r="V680" t="s">
        <v>26</v>
      </c>
      <c r="W680" s="24">
        <v>35796</v>
      </c>
      <c r="X680" s="25" t="s">
        <v>77</v>
      </c>
      <c r="Y680" t="s">
        <v>26</v>
      </c>
      <c r="Z680" s="24">
        <v>35796</v>
      </c>
      <c r="AA680" s="25" t="s">
        <v>77</v>
      </c>
      <c r="AB680" t="s">
        <v>26</v>
      </c>
      <c r="AC680" s="24">
        <v>37987</v>
      </c>
      <c r="AD680" s="25" t="s">
        <v>77</v>
      </c>
      <c r="AE680" t="s">
        <v>26</v>
      </c>
      <c r="AF680" t="s">
        <v>26</v>
      </c>
      <c r="AG680" t="s">
        <v>26</v>
      </c>
      <c r="AH680" t="s">
        <v>26</v>
      </c>
      <c r="AI680" t="s">
        <v>26</v>
      </c>
      <c r="AJ680" t="s">
        <v>26</v>
      </c>
      <c r="AK680" t="s">
        <v>26</v>
      </c>
      <c r="AL680" t="s">
        <v>26</v>
      </c>
      <c r="AM680" t="s">
        <v>26</v>
      </c>
      <c r="AN680" t="s">
        <v>26</v>
      </c>
      <c r="AO680" s="25" t="s">
        <v>68</v>
      </c>
      <c r="AP680" s="23" t="s">
        <v>69</v>
      </c>
      <c r="AQ680" s="23" t="s">
        <v>30</v>
      </c>
      <c r="AR680" s="23" t="s">
        <v>1780</v>
      </c>
      <c r="AS680" s="25">
        <v>48734</v>
      </c>
      <c r="AT680" t="s">
        <v>26</v>
      </c>
      <c r="AU680" t="s">
        <v>23140</v>
      </c>
    </row>
    <row r="681" spans="1:47" ht="26.25" x14ac:dyDescent="0.4">
      <c r="A681" s="23" t="s">
        <v>1781</v>
      </c>
      <c r="B681" t="s">
        <v>26</v>
      </c>
      <c r="C681" s="23" t="s">
        <v>51</v>
      </c>
      <c r="D681" t="s">
        <v>26</v>
      </c>
      <c r="E681" s="23" t="s">
        <v>42</v>
      </c>
      <c r="F681" t="s">
        <v>26</v>
      </c>
      <c r="G681" t="s">
        <v>26</v>
      </c>
      <c r="H681" t="s">
        <v>26</v>
      </c>
      <c r="I681" s="24">
        <v>37622</v>
      </c>
      <c r="J681" s="24">
        <v>37622</v>
      </c>
      <c r="K681" t="s">
        <v>26</v>
      </c>
      <c r="L681" s="25" t="s">
        <v>28</v>
      </c>
      <c r="M681" s="24">
        <v>37622</v>
      </c>
      <c r="N681" s="24">
        <v>37622</v>
      </c>
      <c r="O681" t="s">
        <v>26</v>
      </c>
      <c r="P681" t="s">
        <v>26</v>
      </c>
      <c r="Q681" t="s">
        <v>26</v>
      </c>
      <c r="R681" t="s">
        <v>26</v>
      </c>
      <c r="S681" s="24">
        <v>37622</v>
      </c>
      <c r="T681" s="24">
        <v>37622</v>
      </c>
      <c r="U681" t="s">
        <v>26</v>
      </c>
      <c r="V681" t="s">
        <v>26</v>
      </c>
      <c r="W681" s="24">
        <v>37622</v>
      </c>
      <c r="X681" s="24">
        <v>37622</v>
      </c>
      <c r="Y681" t="s">
        <v>26</v>
      </c>
      <c r="Z681" s="24">
        <v>37622</v>
      </c>
      <c r="AA681" s="24">
        <v>37622</v>
      </c>
      <c r="AB681" t="s">
        <v>26</v>
      </c>
      <c r="AC681" s="24">
        <v>37622</v>
      </c>
      <c r="AD681" s="24">
        <v>37622</v>
      </c>
      <c r="AE681" t="s">
        <v>26</v>
      </c>
      <c r="AF681" s="24">
        <v>37622</v>
      </c>
      <c r="AG681" s="24">
        <v>37622</v>
      </c>
      <c r="AH681" t="s">
        <v>26</v>
      </c>
      <c r="AI681" s="24">
        <v>37622</v>
      </c>
      <c r="AJ681" s="24">
        <v>37622</v>
      </c>
      <c r="AK681" t="s">
        <v>26</v>
      </c>
      <c r="AL681" t="s">
        <v>26</v>
      </c>
      <c r="AM681" t="s">
        <v>26</v>
      </c>
      <c r="AN681" t="s">
        <v>26</v>
      </c>
      <c r="AO681" s="25" t="s">
        <v>28</v>
      </c>
      <c r="AP681" s="23" t="s">
        <v>43</v>
      </c>
      <c r="AQ681" s="23" t="s">
        <v>30</v>
      </c>
      <c r="AR681" s="23" t="s">
        <v>44</v>
      </c>
      <c r="AS681" s="25">
        <v>5256676</v>
      </c>
      <c r="AT681" t="s">
        <v>26</v>
      </c>
      <c r="AU681" t="s">
        <v>23141</v>
      </c>
    </row>
    <row r="682" spans="1:47" ht="26.25" x14ac:dyDescent="0.4">
      <c r="A682" s="23" t="s">
        <v>1782</v>
      </c>
      <c r="B682" t="s">
        <v>26</v>
      </c>
      <c r="C682" s="23" t="s">
        <v>23142</v>
      </c>
      <c r="D682" s="23" t="s">
        <v>22179</v>
      </c>
      <c r="E682" s="23" t="s">
        <v>60</v>
      </c>
      <c r="F682" t="s">
        <v>26</v>
      </c>
      <c r="G682" t="s">
        <v>26</v>
      </c>
      <c r="H682" t="s">
        <v>26</v>
      </c>
      <c r="I682" s="24">
        <v>39448</v>
      </c>
      <c r="J682" s="24">
        <v>43831</v>
      </c>
      <c r="K682" t="s">
        <v>26</v>
      </c>
      <c r="L682" s="25" t="s">
        <v>28</v>
      </c>
      <c r="M682" s="24">
        <v>39448</v>
      </c>
      <c r="N682" s="24">
        <v>43831</v>
      </c>
      <c r="O682" t="s">
        <v>26</v>
      </c>
      <c r="P682" t="s">
        <v>26</v>
      </c>
      <c r="Q682" t="s">
        <v>26</v>
      </c>
      <c r="R682" t="s">
        <v>26</v>
      </c>
      <c r="S682" s="24">
        <v>39448</v>
      </c>
      <c r="T682" s="24">
        <v>43831</v>
      </c>
      <c r="U682" t="s">
        <v>26</v>
      </c>
      <c r="V682" t="s">
        <v>26</v>
      </c>
      <c r="W682" s="24">
        <v>39448</v>
      </c>
      <c r="X682" s="24">
        <v>43831</v>
      </c>
      <c r="Y682" t="s">
        <v>26</v>
      </c>
      <c r="Z682" s="24">
        <v>39448</v>
      </c>
      <c r="AA682" s="24">
        <v>43831</v>
      </c>
      <c r="AB682" t="s">
        <v>26</v>
      </c>
      <c r="AC682" s="24">
        <v>39448</v>
      </c>
      <c r="AD682" s="24">
        <v>43831</v>
      </c>
      <c r="AE682" t="s">
        <v>26</v>
      </c>
      <c r="AF682" s="24">
        <v>39448</v>
      </c>
      <c r="AG682" s="24">
        <v>43831</v>
      </c>
      <c r="AH682" t="s">
        <v>26</v>
      </c>
      <c r="AI682" s="24">
        <v>39448</v>
      </c>
      <c r="AJ682" s="24">
        <v>43831</v>
      </c>
      <c r="AK682" t="s">
        <v>26</v>
      </c>
      <c r="AL682" t="s">
        <v>26</v>
      </c>
      <c r="AM682" t="s">
        <v>26</v>
      </c>
      <c r="AN682" t="s">
        <v>26</v>
      </c>
      <c r="AO682" s="25" t="s">
        <v>28</v>
      </c>
      <c r="AP682" s="23" t="s">
        <v>43</v>
      </c>
      <c r="AQ682" s="23" t="s">
        <v>30</v>
      </c>
      <c r="AR682" s="23" t="s">
        <v>46</v>
      </c>
      <c r="AS682" s="25">
        <v>6364595</v>
      </c>
      <c r="AT682" t="s">
        <v>26</v>
      </c>
      <c r="AU682" t="s">
        <v>23143</v>
      </c>
    </row>
    <row r="683" spans="1:47" ht="26.25" x14ac:dyDescent="0.4">
      <c r="A683" s="23" t="s">
        <v>1783</v>
      </c>
      <c r="B683" t="s">
        <v>26</v>
      </c>
      <c r="C683" t="s">
        <v>26</v>
      </c>
      <c r="D683" t="s">
        <v>26</v>
      </c>
      <c r="E683" t="s">
        <v>26</v>
      </c>
      <c r="F683" t="s">
        <v>26</v>
      </c>
      <c r="G683" t="s">
        <v>26</v>
      </c>
      <c r="H683" t="s">
        <v>26</v>
      </c>
      <c r="I683" s="24">
        <v>38718</v>
      </c>
      <c r="J683" s="24">
        <v>38718</v>
      </c>
      <c r="K683" t="s">
        <v>26</v>
      </c>
      <c r="L683" s="25" t="s">
        <v>28</v>
      </c>
      <c r="M683" s="24">
        <v>38718</v>
      </c>
      <c r="N683" s="24">
        <v>38718</v>
      </c>
      <c r="O683" t="s">
        <v>26</v>
      </c>
      <c r="P683" t="s">
        <v>26</v>
      </c>
      <c r="Q683" t="s">
        <v>26</v>
      </c>
      <c r="R683" t="s">
        <v>26</v>
      </c>
      <c r="S683" s="24">
        <v>38718</v>
      </c>
      <c r="T683" s="24">
        <v>38718</v>
      </c>
      <c r="U683" t="s">
        <v>26</v>
      </c>
      <c r="V683" t="s">
        <v>26</v>
      </c>
      <c r="W683" s="24">
        <v>38718</v>
      </c>
      <c r="X683" s="24">
        <v>38718</v>
      </c>
      <c r="Y683" t="s">
        <v>26</v>
      </c>
      <c r="Z683" s="24">
        <v>38718</v>
      </c>
      <c r="AA683" s="24">
        <v>38718</v>
      </c>
      <c r="AB683" t="s">
        <v>26</v>
      </c>
      <c r="AC683" s="24">
        <v>38718</v>
      </c>
      <c r="AD683" s="24">
        <v>38718</v>
      </c>
      <c r="AE683" t="s">
        <v>26</v>
      </c>
      <c r="AF683" s="24">
        <v>38718</v>
      </c>
      <c r="AG683" s="24">
        <v>38718</v>
      </c>
      <c r="AH683" t="s">
        <v>26</v>
      </c>
      <c r="AI683" s="24">
        <v>38718</v>
      </c>
      <c r="AJ683" s="24">
        <v>38718</v>
      </c>
      <c r="AK683" t="s">
        <v>26</v>
      </c>
      <c r="AL683" t="s">
        <v>26</v>
      </c>
      <c r="AM683" t="s">
        <v>26</v>
      </c>
      <c r="AN683" t="s">
        <v>26</v>
      </c>
      <c r="AO683" s="25" t="s">
        <v>28</v>
      </c>
      <c r="AP683" s="23" t="s">
        <v>43</v>
      </c>
      <c r="AQ683" s="23" t="s">
        <v>30</v>
      </c>
      <c r="AR683" s="23" t="s">
        <v>44</v>
      </c>
      <c r="AS683" s="25">
        <v>5256686</v>
      </c>
      <c r="AT683" t="s">
        <v>26</v>
      </c>
      <c r="AU683" t="s">
        <v>23144</v>
      </c>
    </row>
    <row r="684" spans="1:47" ht="26.25" x14ac:dyDescent="0.4">
      <c r="A684" s="23" t="s">
        <v>1784</v>
      </c>
      <c r="B684" t="s">
        <v>26</v>
      </c>
      <c r="C684" s="23" t="s">
        <v>1784</v>
      </c>
      <c r="D684" s="23" t="s">
        <v>23145</v>
      </c>
      <c r="E684" s="23" t="s">
        <v>60</v>
      </c>
      <c r="F684" t="s">
        <v>26</v>
      </c>
      <c r="G684" t="s">
        <v>26</v>
      </c>
      <c r="H684" t="s">
        <v>26</v>
      </c>
      <c r="I684" s="24">
        <v>41640</v>
      </c>
      <c r="J684" s="24">
        <v>42005</v>
      </c>
      <c r="K684" t="s">
        <v>26</v>
      </c>
      <c r="L684" s="25" t="s">
        <v>28</v>
      </c>
      <c r="M684" s="24">
        <v>41640</v>
      </c>
      <c r="N684" s="24">
        <v>42005</v>
      </c>
      <c r="O684" t="s">
        <v>26</v>
      </c>
      <c r="P684" t="s">
        <v>26</v>
      </c>
      <c r="Q684" t="s">
        <v>26</v>
      </c>
      <c r="R684" t="s">
        <v>26</v>
      </c>
      <c r="S684" s="24">
        <v>41640</v>
      </c>
      <c r="T684" s="24">
        <v>42005</v>
      </c>
      <c r="U684" t="s">
        <v>26</v>
      </c>
      <c r="V684" t="s">
        <v>26</v>
      </c>
      <c r="W684" s="24">
        <v>41640</v>
      </c>
      <c r="X684" s="24">
        <v>42005</v>
      </c>
      <c r="Y684" t="s">
        <v>26</v>
      </c>
      <c r="Z684" s="24">
        <v>41640</v>
      </c>
      <c r="AA684" s="24">
        <v>42005</v>
      </c>
      <c r="AB684" t="s">
        <v>26</v>
      </c>
      <c r="AC684" s="24">
        <v>41640</v>
      </c>
      <c r="AD684" s="24">
        <v>42005</v>
      </c>
      <c r="AE684" t="s">
        <v>26</v>
      </c>
      <c r="AF684" s="24">
        <v>41640</v>
      </c>
      <c r="AG684" s="24">
        <v>42005</v>
      </c>
      <c r="AH684" t="s">
        <v>26</v>
      </c>
      <c r="AI684" s="24">
        <v>41640</v>
      </c>
      <c r="AJ684" s="24">
        <v>42005</v>
      </c>
      <c r="AK684" t="s">
        <v>26</v>
      </c>
      <c r="AL684" t="s">
        <v>26</v>
      </c>
      <c r="AM684" t="s">
        <v>26</v>
      </c>
      <c r="AN684" t="s">
        <v>26</v>
      </c>
      <c r="AO684" s="25" t="s">
        <v>28</v>
      </c>
      <c r="AP684" s="23" t="s">
        <v>43</v>
      </c>
      <c r="AQ684" s="23" t="s">
        <v>30</v>
      </c>
      <c r="AR684" s="23" t="s">
        <v>46</v>
      </c>
      <c r="AS684" s="25">
        <v>6362755</v>
      </c>
      <c r="AT684" t="s">
        <v>26</v>
      </c>
      <c r="AU684" t="s">
        <v>23146</v>
      </c>
    </row>
    <row r="685" spans="1:47" ht="26.25" x14ac:dyDescent="0.4">
      <c r="A685" s="23" t="s">
        <v>1785</v>
      </c>
      <c r="B685" t="s">
        <v>26</v>
      </c>
      <c r="C685" s="23" t="s">
        <v>80</v>
      </c>
      <c r="D685" s="23" t="s">
        <v>22184</v>
      </c>
      <c r="E685" s="23" t="s">
        <v>60</v>
      </c>
      <c r="F685" s="25" t="s">
        <v>1786</v>
      </c>
      <c r="G685" s="25" t="s">
        <v>1787</v>
      </c>
      <c r="H685" t="s">
        <v>26</v>
      </c>
      <c r="I685" s="24">
        <v>35674</v>
      </c>
      <c r="J685" s="24">
        <v>36678</v>
      </c>
      <c r="K685" t="s">
        <v>26</v>
      </c>
      <c r="L685" s="25" t="s">
        <v>68</v>
      </c>
      <c r="M685" s="24">
        <v>35674</v>
      </c>
      <c r="N685" s="24">
        <v>36678</v>
      </c>
      <c r="O685" t="s">
        <v>26</v>
      </c>
      <c r="P685" s="24">
        <v>35674</v>
      </c>
      <c r="Q685" s="24">
        <v>36678</v>
      </c>
      <c r="R685" t="s">
        <v>26</v>
      </c>
      <c r="S685" t="s">
        <v>26</v>
      </c>
      <c r="T685" t="s">
        <v>26</v>
      </c>
      <c r="U685" t="s">
        <v>26</v>
      </c>
      <c r="V685" t="s">
        <v>26</v>
      </c>
      <c r="W685" s="24">
        <v>35674</v>
      </c>
      <c r="X685" s="25" t="s">
        <v>77</v>
      </c>
      <c r="Y685" t="s">
        <v>26</v>
      </c>
      <c r="Z685" s="24">
        <v>35674</v>
      </c>
      <c r="AA685" s="25" t="s">
        <v>77</v>
      </c>
      <c r="AB685" t="s">
        <v>26</v>
      </c>
      <c r="AC685" s="24">
        <v>35674</v>
      </c>
      <c r="AD685" s="25" t="s">
        <v>77</v>
      </c>
      <c r="AE685" t="s">
        <v>26</v>
      </c>
      <c r="AF685" t="s">
        <v>26</v>
      </c>
      <c r="AG685" t="s">
        <v>26</v>
      </c>
      <c r="AH685" t="s">
        <v>26</v>
      </c>
      <c r="AI685" t="s">
        <v>26</v>
      </c>
      <c r="AJ685" t="s">
        <v>26</v>
      </c>
      <c r="AK685" t="s">
        <v>26</v>
      </c>
      <c r="AL685" t="s">
        <v>26</v>
      </c>
      <c r="AM685" t="s">
        <v>26</v>
      </c>
      <c r="AN685" t="s">
        <v>26</v>
      </c>
      <c r="AO685" s="25" t="s">
        <v>68</v>
      </c>
      <c r="AP685" s="23" t="s">
        <v>69</v>
      </c>
      <c r="AQ685" s="23" t="s">
        <v>30</v>
      </c>
      <c r="AR685" s="23" t="s">
        <v>71</v>
      </c>
      <c r="AS685" s="25">
        <v>32882</v>
      </c>
      <c r="AT685" t="s">
        <v>26</v>
      </c>
      <c r="AU685" t="s">
        <v>23147</v>
      </c>
    </row>
    <row r="686" spans="1:47" ht="13.15" x14ac:dyDescent="0.4">
      <c r="A686" s="23" t="s">
        <v>1788</v>
      </c>
      <c r="B686" t="s">
        <v>26</v>
      </c>
      <c r="C686" s="23" t="s">
        <v>146</v>
      </c>
      <c r="D686" s="23" t="s">
        <v>22174</v>
      </c>
      <c r="E686" s="23" t="s">
        <v>60</v>
      </c>
      <c r="F686" t="s">
        <v>26</v>
      </c>
      <c r="G686" t="s">
        <v>26</v>
      </c>
      <c r="H686" t="s">
        <v>26</v>
      </c>
      <c r="I686" t="s">
        <v>26</v>
      </c>
      <c r="J686" t="s">
        <v>26</v>
      </c>
      <c r="K686" t="s">
        <v>26</v>
      </c>
      <c r="L686" s="25" t="s">
        <v>28</v>
      </c>
      <c r="M686" t="s">
        <v>26</v>
      </c>
      <c r="N686" t="s">
        <v>26</v>
      </c>
      <c r="O686" t="s">
        <v>26</v>
      </c>
      <c r="P686" t="s">
        <v>26</v>
      </c>
      <c r="Q686" t="s">
        <v>26</v>
      </c>
      <c r="R686" t="s">
        <v>26</v>
      </c>
      <c r="S686" t="s">
        <v>26</v>
      </c>
      <c r="T686" t="s">
        <v>26</v>
      </c>
      <c r="U686" t="s">
        <v>26</v>
      </c>
      <c r="V686" t="s">
        <v>26</v>
      </c>
      <c r="W686" s="24">
        <v>42005</v>
      </c>
      <c r="X686" s="24">
        <v>42005</v>
      </c>
      <c r="Y686" t="s">
        <v>26</v>
      </c>
      <c r="Z686" s="24">
        <v>42005</v>
      </c>
      <c r="AA686" s="24">
        <v>42005</v>
      </c>
      <c r="AB686" t="s">
        <v>26</v>
      </c>
      <c r="AC686" t="s">
        <v>26</v>
      </c>
      <c r="AD686" t="s">
        <v>26</v>
      </c>
      <c r="AE686" t="s">
        <v>26</v>
      </c>
      <c r="AF686" t="s">
        <v>26</v>
      </c>
      <c r="AG686" t="s">
        <v>26</v>
      </c>
      <c r="AH686" t="s">
        <v>26</v>
      </c>
      <c r="AI686" t="s">
        <v>26</v>
      </c>
      <c r="AJ686" t="s">
        <v>26</v>
      </c>
      <c r="AK686" t="s">
        <v>26</v>
      </c>
      <c r="AL686" t="s">
        <v>26</v>
      </c>
      <c r="AM686" t="s">
        <v>26</v>
      </c>
      <c r="AN686" t="s">
        <v>26</v>
      </c>
      <c r="AO686" s="25" t="s">
        <v>28</v>
      </c>
      <c r="AP686" s="23" t="s">
        <v>29</v>
      </c>
      <c r="AQ686" s="23" t="s">
        <v>30</v>
      </c>
      <c r="AR686" s="23" t="s">
        <v>44</v>
      </c>
      <c r="AS686" s="25">
        <v>5483629</v>
      </c>
      <c r="AT686" s="23" t="s">
        <v>22181</v>
      </c>
      <c r="AU686" t="s">
        <v>23148</v>
      </c>
    </row>
    <row r="687" spans="1:47" ht="13.15" x14ac:dyDescent="0.4">
      <c r="A687" s="23" t="s">
        <v>1789</v>
      </c>
      <c r="B687" t="s">
        <v>26</v>
      </c>
      <c r="C687" s="23" t="s">
        <v>146</v>
      </c>
      <c r="D687" s="23" t="s">
        <v>22174</v>
      </c>
      <c r="E687" s="23" t="s">
        <v>60</v>
      </c>
      <c r="F687" t="s">
        <v>26</v>
      </c>
      <c r="G687" t="s">
        <v>26</v>
      </c>
      <c r="H687" t="s">
        <v>26</v>
      </c>
      <c r="I687" s="24">
        <v>42005</v>
      </c>
      <c r="J687" s="24">
        <v>42005</v>
      </c>
      <c r="K687" t="s">
        <v>26</v>
      </c>
      <c r="L687" s="25" t="s">
        <v>28</v>
      </c>
      <c r="M687" t="s">
        <v>26</v>
      </c>
      <c r="N687" t="s">
        <v>26</v>
      </c>
      <c r="O687" t="s">
        <v>26</v>
      </c>
      <c r="P687" s="24">
        <v>42005</v>
      </c>
      <c r="Q687" s="24">
        <v>42005</v>
      </c>
      <c r="R687" t="s">
        <v>26</v>
      </c>
      <c r="S687" t="s">
        <v>26</v>
      </c>
      <c r="T687" t="s">
        <v>26</v>
      </c>
      <c r="U687" t="s">
        <v>26</v>
      </c>
      <c r="V687" t="s">
        <v>26</v>
      </c>
      <c r="W687" s="24">
        <v>42005</v>
      </c>
      <c r="X687" s="24">
        <v>42005</v>
      </c>
      <c r="Y687" t="s">
        <v>26</v>
      </c>
      <c r="Z687" s="24">
        <v>42005</v>
      </c>
      <c r="AA687" s="24">
        <v>42005</v>
      </c>
      <c r="AB687" t="s">
        <v>26</v>
      </c>
      <c r="AC687" s="24">
        <v>42005</v>
      </c>
      <c r="AD687" s="24">
        <v>42005</v>
      </c>
      <c r="AE687" t="s">
        <v>26</v>
      </c>
      <c r="AF687" t="s">
        <v>26</v>
      </c>
      <c r="AG687" t="s">
        <v>26</v>
      </c>
      <c r="AH687" t="s">
        <v>26</v>
      </c>
      <c r="AI687" t="s">
        <v>26</v>
      </c>
      <c r="AJ687" t="s">
        <v>26</v>
      </c>
      <c r="AK687" t="s">
        <v>26</v>
      </c>
      <c r="AL687" t="s">
        <v>26</v>
      </c>
      <c r="AM687" t="s">
        <v>26</v>
      </c>
      <c r="AN687" t="s">
        <v>26</v>
      </c>
      <c r="AO687" s="25" t="s">
        <v>28</v>
      </c>
      <c r="AP687" s="23" t="s">
        <v>29</v>
      </c>
      <c r="AQ687" s="23" t="s">
        <v>30</v>
      </c>
      <c r="AR687" s="23" t="s">
        <v>46</v>
      </c>
      <c r="AS687" s="25">
        <v>6009016</v>
      </c>
      <c r="AT687" t="s">
        <v>26</v>
      </c>
      <c r="AU687" t="s">
        <v>23149</v>
      </c>
    </row>
    <row r="688" spans="1:47" ht="13.15" x14ac:dyDescent="0.4">
      <c r="A688" s="23" t="s">
        <v>1790</v>
      </c>
      <c r="B688" t="s">
        <v>26</v>
      </c>
      <c r="C688" s="23" t="s">
        <v>1141</v>
      </c>
      <c r="D688" s="23" t="s">
        <v>22174</v>
      </c>
      <c r="E688" s="23" t="s">
        <v>60</v>
      </c>
      <c r="F688" t="s">
        <v>26</v>
      </c>
      <c r="G688" t="s">
        <v>26</v>
      </c>
      <c r="H688" t="s">
        <v>26</v>
      </c>
      <c r="I688" t="s">
        <v>26</v>
      </c>
      <c r="J688" t="s">
        <v>26</v>
      </c>
      <c r="K688" t="s">
        <v>26</v>
      </c>
      <c r="L688" s="25" t="s">
        <v>28</v>
      </c>
      <c r="M688" t="s">
        <v>26</v>
      </c>
      <c r="N688" t="s">
        <v>26</v>
      </c>
      <c r="O688" t="s">
        <v>26</v>
      </c>
      <c r="P688" t="s">
        <v>26</v>
      </c>
      <c r="Q688" t="s">
        <v>26</v>
      </c>
      <c r="R688" t="s">
        <v>26</v>
      </c>
      <c r="S688" t="s">
        <v>26</v>
      </c>
      <c r="T688" t="s">
        <v>26</v>
      </c>
      <c r="U688" t="s">
        <v>26</v>
      </c>
      <c r="V688" t="s">
        <v>26</v>
      </c>
      <c r="W688" s="24">
        <v>42005</v>
      </c>
      <c r="X688" s="24">
        <v>42005</v>
      </c>
      <c r="Y688" t="s">
        <v>26</v>
      </c>
      <c r="Z688" s="24">
        <v>42005</v>
      </c>
      <c r="AA688" s="24">
        <v>42005</v>
      </c>
      <c r="AB688" t="s">
        <v>26</v>
      </c>
      <c r="AC688" t="s">
        <v>26</v>
      </c>
      <c r="AD688" t="s">
        <v>26</v>
      </c>
      <c r="AE688" t="s">
        <v>26</v>
      </c>
      <c r="AF688" t="s">
        <v>26</v>
      </c>
      <c r="AG688" t="s">
        <v>26</v>
      </c>
      <c r="AH688" t="s">
        <v>26</v>
      </c>
      <c r="AI688" t="s">
        <v>26</v>
      </c>
      <c r="AJ688" t="s">
        <v>26</v>
      </c>
      <c r="AK688" t="s">
        <v>26</v>
      </c>
      <c r="AL688" t="s">
        <v>26</v>
      </c>
      <c r="AM688" t="s">
        <v>26</v>
      </c>
      <c r="AN688" t="s">
        <v>26</v>
      </c>
      <c r="AO688" s="25" t="s">
        <v>28</v>
      </c>
      <c r="AP688" s="23" t="s">
        <v>29</v>
      </c>
      <c r="AQ688" s="23" t="s">
        <v>30</v>
      </c>
      <c r="AR688" s="23" t="s">
        <v>44</v>
      </c>
      <c r="AS688" s="25">
        <v>5485073</v>
      </c>
      <c r="AT688" s="23" t="s">
        <v>22181</v>
      </c>
      <c r="AU688" t="s">
        <v>23150</v>
      </c>
    </row>
    <row r="689" spans="1:47" ht="26.25" x14ac:dyDescent="0.4">
      <c r="A689" s="23" t="s">
        <v>1791</v>
      </c>
      <c r="B689" t="s">
        <v>26</v>
      </c>
      <c r="C689" s="23" t="s">
        <v>172</v>
      </c>
      <c r="D689" s="23" t="s">
        <v>22184</v>
      </c>
      <c r="E689" s="23" t="s">
        <v>60</v>
      </c>
      <c r="F689" s="25" t="s">
        <v>1792</v>
      </c>
      <c r="G689" s="25" t="s">
        <v>1793</v>
      </c>
      <c r="H689" t="s">
        <v>26</v>
      </c>
      <c r="I689" t="s">
        <v>26</v>
      </c>
      <c r="J689" t="s">
        <v>26</v>
      </c>
      <c r="K689" t="s">
        <v>26</v>
      </c>
      <c r="L689" s="25" t="s">
        <v>68</v>
      </c>
      <c r="M689" t="s">
        <v>26</v>
      </c>
      <c r="N689" t="s">
        <v>26</v>
      </c>
      <c r="O689" t="s">
        <v>26</v>
      </c>
      <c r="P689" t="s">
        <v>26</v>
      </c>
      <c r="Q689" t="s">
        <v>26</v>
      </c>
      <c r="R689" t="s">
        <v>26</v>
      </c>
      <c r="S689" t="s">
        <v>26</v>
      </c>
      <c r="T689" t="s">
        <v>26</v>
      </c>
      <c r="U689" t="s">
        <v>26</v>
      </c>
      <c r="V689" t="s">
        <v>26</v>
      </c>
      <c r="W689" s="24">
        <v>40238</v>
      </c>
      <c r="X689" s="25" t="s">
        <v>77</v>
      </c>
      <c r="Y689" t="s">
        <v>26</v>
      </c>
      <c r="Z689" s="24">
        <v>40238</v>
      </c>
      <c r="AA689" s="25" t="s">
        <v>77</v>
      </c>
      <c r="AB689" t="s">
        <v>26</v>
      </c>
      <c r="AC689" s="24">
        <v>40238</v>
      </c>
      <c r="AD689" s="25" t="s">
        <v>77</v>
      </c>
      <c r="AE689" t="s">
        <v>26</v>
      </c>
      <c r="AF689" t="s">
        <v>26</v>
      </c>
      <c r="AG689" t="s">
        <v>26</v>
      </c>
      <c r="AH689" t="s">
        <v>26</v>
      </c>
      <c r="AI689" t="s">
        <v>26</v>
      </c>
      <c r="AJ689" t="s">
        <v>26</v>
      </c>
      <c r="AK689" t="s">
        <v>26</v>
      </c>
      <c r="AL689" t="s">
        <v>26</v>
      </c>
      <c r="AM689" t="s">
        <v>26</v>
      </c>
      <c r="AN689" t="s">
        <v>26</v>
      </c>
      <c r="AO689" s="25" t="s">
        <v>68</v>
      </c>
      <c r="AP689" s="23" t="s">
        <v>69</v>
      </c>
      <c r="AQ689" s="23" t="s">
        <v>30</v>
      </c>
      <c r="AR689" s="23" t="s">
        <v>46</v>
      </c>
      <c r="AS689" s="25">
        <v>178183</v>
      </c>
      <c r="AT689" t="s">
        <v>26</v>
      </c>
      <c r="AU689" t="s">
        <v>23151</v>
      </c>
    </row>
    <row r="690" spans="1:47" ht="13.15" x14ac:dyDescent="0.4">
      <c r="A690" s="23" t="s">
        <v>1794</v>
      </c>
      <c r="B690" t="s">
        <v>26</v>
      </c>
      <c r="C690" s="23" t="s">
        <v>1795</v>
      </c>
      <c r="D690" s="23" t="s">
        <v>23152</v>
      </c>
      <c r="E690" s="23" t="s">
        <v>335</v>
      </c>
      <c r="F690" s="25" t="s">
        <v>1796</v>
      </c>
      <c r="G690" t="s">
        <v>26</v>
      </c>
      <c r="H690" t="s">
        <v>26</v>
      </c>
      <c r="I690" t="s">
        <v>26</v>
      </c>
      <c r="J690" t="s">
        <v>26</v>
      </c>
      <c r="K690" t="s">
        <v>26</v>
      </c>
      <c r="L690" s="25" t="s">
        <v>28</v>
      </c>
      <c r="M690" t="s">
        <v>26</v>
      </c>
      <c r="N690" t="s">
        <v>26</v>
      </c>
      <c r="O690" t="s">
        <v>26</v>
      </c>
      <c r="P690" t="s">
        <v>26</v>
      </c>
      <c r="Q690" t="s">
        <v>26</v>
      </c>
      <c r="R690" t="s">
        <v>26</v>
      </c>
      <c r="S690" t="s">
        <v>26</v>
      </c>
      <c r="T690" t="s">
        <v>26</v>
      </c>
      <c r="U690" t="s">
        <v>26</v>
      </c>
      <c r="V690" t="s">
        <v>26</v>
      </c>
      <c r="W690" s="24">
        <v>34060</v>
      </c>
      <c r="X690" s="24">
        <v>35156</v>
      </c>
      <c r="Y690" t="s">
        <v>26</v>
      </c>
      <c r="Z690" s="24">
        <v>34060</v>
      </c>
      <c r="AA690" s="24">
        <v>35156</v>
      </c>
      <c r="AB690" t="s">
        <v>26</v>
      </c>
      <c r="AC690" t="s">
        <v>26</v>
      </c>
      <c r="AD690" t="s">
        <v>26</v>
      </c>
      <c r="AE690" t="s">
        <v>26</v>
      </c>
      <c r="AF690" t="s">
        <v>26</v>
      </c>
      <c r="AG690" t="s">
        <v>26</v>
      </c>
      <c r="AH690" t="s">
        <v>26</v>
      </c>
      <c r="AI690" t="s">
        <v>26</v>
      </c>
      <c r="AJ690" t="s">
        <v>26</v>
      </c>
      <c r="AK690" t="s">
        <v>26</v>
      </c>
      <c r="AL690" t="s">
        <v>26</v>
      </c>
      <c r="AM690" t="s">
        <v>26</v>
      </c>
      <c r="AN690" t="s">
        <v>26</v>
      </c>
      <c r="AO690" s="25" t="s">
        <v>28</v>
      </c>
      <c r="AP690" s="23" t="s">
        <v>211</v>
      </c>
      <c r="AQ690" s="23" t="s">
        <v>30</v>
      </c>
      <c r="AR690" s="23" t="s">
        <v>337</v>
      </c>
      <c r="AS690" s="25">
        <v>43537</v>
      </c>
      <c r="AT690" t="s">
        <v>26</v>
      </c>
      <c r="AU690" t="s">
        <v>23153</v>
      </c>
    </row>
    <row r="691" spans="1:47" ht="26.25" x14ac:dyDescent="0.4">
      <c r="A691" s="23" t="s">
        <v>1797</v>
      </c>
      <c r="B691" t="s">
        <v>26</v>
      </c>
      <c r="C691" s="23" t="s">
        <v>172</v>
      </c>
      <c r="D691" s="23" t="s">
        <v>22254</v>
      </c>
      <c r="E691" s="23" t="s">
        <v>60</v>
      </c>
      <c r="F691" s="25" t="s">
        <v>1798</v>
      </c>
      <c r="G691" s="25" t="s">
        <v>1799</v>
      </c>
      <c r="H691" t="s">
        <v>26</v>
      </c>
      <c r="I691" s="24">
        <v>35490</v>
      </c>
      <c r="J691" s="24">
        <v>41609</v>
      </c>
      <c r="K691" t="s">
        <v>26</v>
      </c>
      <c r="L691" s="25" t="s">
        <v>68</v>
      </c>
      <c r="M691" s="24">
        <v>35490</v>
      </c>
      <c r="N691" s="24">
        <v>38869</v>
      </c>
      <c r="O691" t="s">
        <v>26</v>
      </c>
      <c r="P691" s="24">
        <v>35490</v>
      </c>
      <c r="Q691" s="24">
        <v>41609</v>
      </c>
      <c r="R691" t="s">
        <v>26</v>
      </c>
      <c r="S691" t="s">
        <v>26</v>
      </c>
      <c r="T691" t="s">
        <v>26</v>
      </c>
      <c r="U691" t="s">
        <v>26</v>
      </c>
      <c r="V691" t="s">
        <v>26</v>
      </c>
      <c r="W691" s="24">
        <v>35490</v>
      </c>
      <c r="X691" s="25" t="s">
        <v>77</v>
      </c>
      <c r="Y691" t="s">
        <v>26</v>
      </c>
      <c r="Z691" s="24">
        <v>35490</v>
      </c>
      <c r="AA691" s="25" t="s">
        <v>77</v>
      </c>
      <c r="AB691" t="s">
        <v>26</v>
      </c>
      <c r="AC691" s="24">
        <v>38047</v>
      </c>
      <c r="AD691" s="25" t="s">
        <v>77</v>
      </c>
      <c r="AE691" t="s">
        <v>26</v>
      </c>
      <c r="AF691" t="s">
        <v>26</v>
      </c>
      <c r="AG691" t="s">
        <v>26</v>
      </c>
      <c r="AH691" t="s">
        <v>26</v>
      </c>
      <c r="AI691" t="s">
        <v>26</v>
      </c>
      <c r="AJ691" t="s">
        <v>26</v>
      </c>
      <c r="AK691" t="s">
        <v>26</v>
      </c>
      <c r="AL691" t="s">
        <v>26</v>
      </c>
      <c r="AM691" t="s">
        <v>26</v>
      </c>
      <c r="AN691" t="s">
        <v>26</v>
      </c>
      <c r="AO691" s="25" t="s">
        <v>68</v>
      </c>
      <c r="AP691" s="23" t="s">
        <v>69</v>
      </c>
      <c r="AQ691" s="23" t="s">
        <v>30</v>
      </c>
      <c r="AR691" s="23" t="s">
        <v>123</v>
      </c>
      <c r="AS691" s="25">
        <v>25206</v>
      </c>
      <c r="AT691" t="s">
        <v>26</v>
      </c>
      <c r="AU691" t="s">
        <v>23154</v>
      </c>
    </row>
    <row r="692" spans="1:47" ht="26.25" x14ac:dyDescent="0.4">
      <c r="A692" s="23" t="s">
        <v>14358</v>
      </c>
      <c r="B692" t="s">
        <v>26</v>
      </c>
      <c r="C692" s="23" t="s">
        <v>22163</v>
      </c>
      <c r="D692" s="23" t="s">
        <v>22701</v>
      </c>
      <c r="E692" s="23" t="s">
        <v>42</v>
      </c>
      <c r="F692" t="s">
        <v>26</v>
      </c>
      <c r="G692" t="s">
        <v>26</v>
      </c>
      <c r="H692" t="s">
        <v>26</v>
      </c>
      <c r="I692" t="s">
        <v>26</v>
      </c>
      <c r="J692" t="s">
        <v>26</v>
      </c>
      <c r="K692" t="s">
        <v>26</v>
      </c>
      <c r="L692" s="25" t="s">
        <v>28</v>
      </c>
      <c r="M692" t="s">
        <v>26</v>
      </c>
      <c r="N692" t="s">
        <v>26</v>
      </c>
      <c r="O692" t="s">
        <v>26</v>
      </c>
      <c r="P692" t="s">
        <v>26</v>
      </c>
      <c r="Q692" t="s">
        <v>26</v>
      </c>
      <c r="R692" t="s">
        <v>26</v>
      </c>
      <c r="S692" t="s">
        <v>26</v>
      </c>
      <c r="T692" t="s">
        <v>26</v>
      </c>
      <c r="U692" t="s">
        <v>26</v>
      </c>
      <c r="V692" t="s">
        <v>26</v>
      </c>
      <c r="W692" s="24">
        <v>43101</v>
      </c>
      <c r="X692" s="24">
        <v>43101</v>
      </c>
      <c r="Y692" t="s">
        <v>26</v>
      </c>
      <c r="Z692" s="24">
        <v>43101</v>
      </c>
      <c r="AA692" s="24">
        <v>43101</v>
      </c>
      <c r="AB692" t="s">
        <v>26</v>
      </c>
      <c r="AC692" t="s">
        <v>26</v>
      </c>
      <c r="AD692" t="s">
        <v>26</v>
      </c>
      <c r="AE692" t="s">
        <v>26</v>
      </c>
      <c r="AF692" t="s">
        <v>26</v>
      </c>
      <c r="AG692" t="s">
        <v>26</v>
      </c>
      <c r="AH692" t="s">
        <v>26</v>
      </c>
      <c r="AI692" t="s">
        <v>26</v>
      </c>
      <c r="AJ692" t="s">
        <v>26</v>
      </c>
      <c r="AK692" t="s">
        <v>26</v>
      </c>
      <c r="AL692" t="s">
        <v>26</v>
      </c>
      <c r="AM692" t="s">
        <v>26</v>
      </c>
      <c r="AN692" t="s">
        <v>26</v>
      </c>
      <c r="AO692" s="25" t="s">
        <v>28</v>
      </c>
      <c r="AP692" s="23" t="s">
        <v>43</v>
      </c>
      <c r="AQ692" s="23" t="s">
        <v>30</v>
      </c>
      <c r="AR692" s="23" t="s">
        <v>46</v>
      </c>
      <c r="AS692" s="25">
        <v>6362754</v>
      </c>
      <c r="AT692" t="s">
        <v>26</v>
      </c>
      <c r="AU692" t="s">
        <v>23155</v>
      </c>
    </row>
    <row r="693" spans="1:47" ht="26.25" x14ac:dyDescent="0.4">
      <c r="A693" s="23" t="s">
        <v>1800</v>
      </c>
      <c r="B693" t="s">
        <v>26</v>
      </c>
      <c r="C693" s="23" t="s">
        <v>22163</v>
      </c>
      <c r="D693" s="23" t="s">
        <v>23156</v>
      </c>
      <c r="E693" s="23" t="s">
        <v>42</v>
      </c>
      <c r="F693" t="s">
        <v>26</v>
      </c>
      <c r="G693" t="s">
        <v>26</v>
      </c>
      <c r="H693" t="s">
        <v>26</v>
      </c>
      <c r="I693" s="24">
        <v>40909</v>
      </c>
      <c r="J693" s="24">
        <v>40909</v>
      </c>
      <c r="K693" t="s">
        <v>26</v>
      </c>
      <c r="L693" s="25" t="s">
        <v>28</v>
      </c>
      <c r="M693" s="24">
        <v>40909</v>
      </c>
      <c r="N693" s="24">
        <v>40909</v>
      </c>
      <c r="O693" t="s">
        <v>26</v>
      </c>
      <c r="P693" t="s">
        <v>26</v>
      </c>
      <c r="Q693" t="s">
        <v>26</v>
      </c>
      <c r="R693" t="s">
        <v>26</v>
      </c>
      <c r="S693" s="24">
        <v>40909</v>
      </c>
      <c r="T693" s="24">
        <v>40909</v>
      </c>
      <c r="U693" t="s">
        <v>26</v>
      </c>
      <c r="V693" t="s">
        <v>26</v>
      </c>
      <c r="W693" s="24">
        <v>40909</v>
      </c>
      <c r="X693" s="24">
        <v>40909</v>
      </c>
      <c r="Y693" t="s">
        <v>26</v>
      </c>
      <c r="Z693" s="24">
        <v>40909</v>
      </c>
      <c r="AA693" s="24">
        <v>40909</v>
      </c>
      <c r="AB693" t="s">
        <v>26</v>
      </c>
      <c r="AC693" s="24">
        <v>40909</v>
      </c>
      <c r="AD693" s="24">
        <v>40909</v>
      </c>
      <c r="AE693" t="s">
        <v>26</v>
      </c>
      <c r="AF693" s="24">
        <v>40909</v>
      </c>
      <c r="AG693" s="24">
        <v>40909</v>
      </c>
      <c r="AH693" t="s">
        <v>26</v>
      </c>
      <c r="AI693" s="24">
        <v>40909</v>
      </c>
      <c r="AJ693" s="24">
        <v>40909</v>
      </c>
      <c r="AK693" t="s">
        <v>26</v>
      </c>
      <c r="AL693" t="s">
        <v>26</v>
      </c>
      <c r="AM693" t="s">
        <v>26</v>
      </c>
      <c r="AN693" t="s">
        <v>26</v>
      </c>
      <c r="AO693" s="25" t="s">
        <v>28</v>
      </c>
      <c r="AP693" s="23" t="s">
        <v>43</v>
      </c>
      <c r="AQ693" s="23" t="s">
        <v>30</v>
      </c>
      <c r="AR693" s="23" t="s">
        <v>46</v>
      </c>
      <c r="AS693" s="25">
        <v>6364594</v>
      </c>
      <c r="AT693" t="s">
        <v>26</v>
      </c>
      <c r="AU693" t="s">
        <v>23157</v>
      </c>
    </row>
    <row r="694" spans="1:47" ht="26.25" x14ac:dyDescent="0.4">
      <c r="A694" s="23" t="s">
        <v>1801</v>
      </c>
      <c r="B694" t="s">
        <v>26</v>
      </c>
      <c r="C694" s="23" t="s">
        <v>59</v>
      </c>
      <c r="D694" s="23" t="s">
        <v>22174</v>
      </c>
      <c r="E694" s="23" t="s">
        <v>60</v>
      </c>
      <c r="F694" t="s">
        <v>26</v>
      </c>
      <c r="G694" t="s">
        <v>26</v>
      </c>
      <c r="H694" s="25" t="s">
        <v>1802</v>
      </c>
      <c r="I694" s="24">
        <v>41640</v>
      </c>
      <c r="J694" s="24">
        <v>41640</v>
      </c>
      <c r="K694" t="s">
        <v>26</v>
      </c>
      <c r="L694" s="25" t="s">
        <v>28</v>
      </c>
      <c r="M694" s="24">
        <v>41640</v>
      </c>
      <c r="N694" s="24">
        <v>41640</v>
      </c>
      <c r="O694" t="s">
        <v>26</v>
      </c>
      <c r="P694" s="24">
        <v>41640</v>
      </c>
      <c r="Q694" s="24">
        <v>41640</v>
      </c>
      <c r="R694" t="s">
        <v>26</v>
      </c>
      <c r="S694" t="s">
        <v>26</v>
      </c>
      <c r="T694" t="s">
        <v>26</v>
      </c>
      <c r="U694" t="s">
        <v>26</v>
      </c>
      <c r="V694" t="s">
        <v>26</v>
      </c>
      <c r="W694" s="24">
        <v>41640</v>
      </c>
      <c r="X694" s="24">
        <v>41640</v>
      </c>
      <c r="Y694" t="s">
        <v>26</v>
      </c>
      <c r="Z694" s="24">
        <v>41640</v>
      </c>
      <c r="AA694" s="24">
        <v>41640</v>
      </c>
      <c r="AB694" t="s">
        <v>26</v>
      </c>
      <c r="AC694" s="24">
        <v>41640</v>
      </c>
      <c r="AD694" s="24">
        <v>41640</v>
      </c>
      <c r="AE694" t="s">
        <v>26</v>
      </c>
      <c r="AF694" t="s">
        <v>26</v>
      </c>
      <c r="AG694" t="s">
        <v>26</v>
      </c>
      <c r="AH694" t="s">
        <v>26</v>
      </c>
      <c r="AI694" t="s">
        <v>26</v>
      </c>
      <c r="AJ694" t="s">
        <v>26</v>
      </c>
      <c r="AK694" t="s">
        <v>26</v>
      </c>
      <c r="AL694" t="s">
        <v>26</v>
      </c>
      <c r="AM694" t="s">
        <v>26</v>
      </c>
      <c r="AN694" t="s">
        <v>26</v>
      </c>
      <c r="AO694" s="25" t="s">
        <v>28</v>
      </c>
      <c r="AP694" s="23" t="s">
        <v>29</v>
      </c>
      <c r="AQ694" s="23" t="s">
        <v>30</v>
      </c>
      <c r="AR694" s="23" t="s">
        <v>1688</v>
      </c>
      <c r="AS694" s="25">
        <v>2043254</v>
      </c>
      <c r="AT694" t="s">
        <v>26</v>
      </c>
      <c r="AU694" t="s">
        <v>23158</v>
      </c>
    </row>
    <row r="695" spans="1:47" ht="26.25" x14ac:dyDescent="0.4">
      <c r="A695" s="23" t="s">
        <v>1803</v>
      </c>
      <c r="B695" t="s">
        <v>26</v>
      </c>
      <c r="C695" s="23" t="s">
        <v>302</v>
      </c>
      <c r="D695" s="23" t="s">
        <v>22286</v>
      </c>
      <c r="E695" s="23" t="s">
        <v>42</v>
      </c>
      <c r="F695" t="s">
        <v>26</v>
      </c>
      <c r="G695" t="s">
        <v>26</v>
      </c>
      <c r="H695" t="s">
        <v>26</v>
      </c>
      <c r="I695" t="s">
        <v>26</v>
      </c>
      <c r="J695" t="s">
        <v>26</v>
      </c>
      <c r="K695" t="s">
        <v>26</v>
      </c>
      <c r="L695" s="25" t="s">
        <v>28</v>
      </c>
      <c r="M695" t="s">
        <v>26</v>
      </c>
      <c r="N695" t="s">
        <v>26</v>
      </c>
      <c r="O695" t="s">
        <v>26</v>
      </c>
      <c r="P695" t="s">
        <v>26</v>
      </c>
      <c r="Q695" t="s">
        <v>26</v>
      </c>
      <c r="R695" t="s">
        <v>26</v>
      </c>
      <c r="S695" t="s">
        <v>26</v>
      </c>
      <c r="T695" t="s">
        <v>26</v>
      </c>
      <c r="U695" t="s">
        <v>26</v>
      </c>
      <c r="V695" t="s">
        <v>26</v>
      </c>
      <c r="W695" s="24">
        <v>41275</v>
      </c>
      <c r="X695" s="24">
        <v>41275</v>
      </c>
      <c r="Y695" t="s">
        <v>26</v>
      </c>
      <c r="Z695" s="24">
        <v>41275</v>
      </c>
      <c r="AA695" s="24">
        <v>41275</v>
      </c>
      <c r="AB695" t="s">
        <v>26</v>
      </c>
      <c r="AC695" t="s">
        <v>26</v>
      </c>
      <c r="AD695" t="s">
        <v>26</v>
      </c>
      <c r="AE695" t="s">
        <v>26</v>
      </c>
      <c r="AF695" t="s">
        <v>26</v>
      </c>
      <c r="AG695" t="s">
        <v>26</v>
      </c>
      <c r="AH695" t="s">
        <v>26</v>
      </c>
      <c r="AI695" t="s">
        <v>26</v>
      </c>
      <c r="AJ695" t="s">
        <v>26</v>
      </c>
      <c r="AK695" t="s">
        <v>26</v>
      </c>
      <c r="AL695" t="s">
        <v>26</v>
      </c>
      <c r="AM695" t="s">
        <v>26</v>
      </c>
      <c r="AN695" t="s">
        <v>26</v>
      </c>
      <c r="AO695" s="25" t="s">
        <v>28</v>
      </c>
      <c r="AP695" s="23" t="s">
        <v>29</v>
      </c>
      <c r="AQ695" s="23" t="s">
        <v>30</v>
      </c>
      <c r="AR695" s="23" t="s">
        <v>245</v>
      </c>
      <c r="AS695" s="25">
        <v>5483565</v>
      </c>
      <c r="AT695" s="23" t="s">
        <v>22181</v>
      </c>
      <c r="AU695" t="s">
        <v>23159</v>
      </c>
    </row>
    <row r="696" spans="1:47" ht="13.15" x14ac:dyDescent="0.4">
      <c r="A696" s="23" t="s">
        <v>1804</v>
      </c>
      <c r="B696" t="s">
        <v>26</v>
      </c>
      <c r="C696" s="23" t="s">
        <v>1054</v>
      </c>
      <c r="D696" s="23" t="s">
        <v>22634</v>
      </c>
      <c r="E696" s="23" t="s">
        <v>335</v>
      </c>
      <c r="F696" t="s">
        <v>26</v>
      </c>
      <c r="G696" t="s">
        <v>26</v>
      </c>
      <c r="H696" t="s">
        <v>26</v>
      </c>
      <c r="I696" t="s">
        <v>26</v>
      </c>
      <c r="J696" t="s">
        <v>26</v>
      </c>
      <c r="K696" t="s">
        <v>26</v>
      </c>
      <c r="L696" s="25" t="s">
        <v>28</v>
      </c>
      <c r="M696" t="s">
        <v>26</v>
      </c>
      <c r="N696" t="s">
        <v>26</v>
      </c>
      <c r="O696" t="s">
        <v>26</v>
      </c>
      <c r="P696" t="s">
        <v>26</v>
      </c>
      <c r="Q696" t="s">
        <v>26</v>
      </c>
      <c r="R696" t="s">
        <v>26</v>
      </c>
      <c r="S696" t="s">
        <v>26</v>
      </c>
      <c r="T696" t="s">
        <v>26</v>
      </c>
      <c r="U696" t="s">
        <v>26</v>
      </c>
      <c r="V696" t="s">
        <v>26</v>
      </c>
      <c r="W696" s="24">
        <v>41275</v>
      </c>
      <c r="X696" s="24">
        <v>41275</v>
      </c>
      <c r="Y696" t="s">
        <v>26</v>
      </c>
      <c r="Z696" s="24">
        <v>41275</v>
      </c>
      <c r="AA696" s="24">
        <v>41275</v>
      </c>
      <c r="AB696" t="s">
        <v>26</v>
      </c>
      <c r="AC696" t="s">
        <v>26</v>
      </c>
      <c r="AD696" t="s">
        <v>26</v>
      </c>
      <c r="AE696" t="s">
        <v>26</v>
      </c>
      <c r="AF696" t="s">
        <v>26</v>
      </c>
      <c r="AG696" t="s">
        <v>26</v>
      </c>
      <c r="AH696" t="s">
        <v>26</v>
      </c>
      <c r="AI696" t="s">
        <v>26</v>
      </c>
      <c r="AJ696" t="s">
        <v>26</v>
      </c>
      <c r="AK696" t="s">
        <v>26</v>
      </c>
      <c r="AL696" t="s">
        <v>26</v>
      </c>
      <c r="AM696" t="s">
        <v>26</v>
      </c>
      <c r="AN696" t="s">
        <v>26</v>
      </c>
      <c r="AO696" s="25" t="s">
        <v>28</v>
      </c>
      <c r="AP696" s="23" t="s">
        <v>29</v>
      </c>
      <c r="AQ696" s="23" t="s">
        <v>30</v>
      </c>
      <c r="AR696" s="23" t="s">
        <v>1415</v>
      </c>
      <c r="AS696" s="25">
        <v>5483546</v>
      </c>
      <c r="AT696" s="23" t="s">
        <v>22181</v>
      </c>
      <c r="AU696" t="s">
        <v>23160</v>
      </c>
    </row>
    <row r="697" spans="1:47" ht="26.25" x14ac:dyDescent="0.4">
      <c r="A697" s="23" t="s">
        <v>1805</v>
      </c>
      <c r="B697" t="s">
        <v>26</v>
      </c>
      <c r="C697" s="23" t="s">
        <v>48</v>
      </c>
      <c r="D697" s="23" t="s">
        <v>22168</v>
      </c>
      <c r="E697" s="23" t="s">
        <v>42</v>
      </c>
      <c r="F697" t="s">
        <v>26</v>
      </c>
      <c r="G697" t="s">
        <v>26</v>
      </c>
      <c r="H697" t="s">
        <v>26</v>
      </c>
      <c r="I697" t="s">
        <v>26</v>
      </c>
      <c r="J697" t="s">
        <v>26</v>
      </c>
      <c r="K697" t="s">
        <v>26</v>
      </c>
      <c r="L697" s="25" t="s">
        <v>28</v>
      </c>
      <c r="M697" t="s">
        <v>26</v>
      </c>
      <c r="N697" t="s">
        <v>26</v>
      </c>
      <c r="O697" t="s">
        <v>26</v>
      </c>
      <c r="P697" t="s">
        <v>26</v>
      </c>
      <c r="Q697" t="s">
        <v>26</v>
      </c>
      <c r="R697" t="s">
        <v>26</v>
      </c>
      <c r="S697" t="s">
        <v>26</v>
      </c>
      <c r="T697" t="s">
        <v>26</v>
      </c>
      <c r="U697" t="s">
        <v>26</v>
      </c>
      <c r="V697" t="s">
        <v>26</v>
      </c>
      <c r="W697" s="24">
        <v>40544</v>
      </c>
      <c r="X697" s="24">
        <v>40544</v>
      </c>
      <c r="Y697" t="s">
        <v>26</v>
      </c>
      <c r="Z697" s="24">
        <v>40544</v>
      </c>
      <c r="AA697" s="24">
        <v>40544</v>
      </c>
      <c r="AB697" t="s">
        <v>26</v>
      </c>
      <c r="AC697" t="s">
        <v>26</v>
      </c>
      <c r="AD697" t="s">
        <v>26</v>
      </c>
      <c r="AE697" t="s">
        <v>26</v>
      </c>
      <c r="AF697" t="s">
        <v>26</v>
      </c>
      <c r="AG697" t="s">
        <v>26</v>
      </c>
      <c r="AH697" t="s">
        <v>26</v>
      </c>
      <c r="AI697" t="s">
        <v>26</v>
      </c>
      <c r="AJ697" t="s">
        <v>26</v>
      </c>
      <c r="AK697" t="s">
        <v>26</v>
      </c>
      <c r="AL697" t="s">
        <v>26</v>
      </c>
      <c r="AM697" t="s">
        <v>26</v>
      </c>
      <c r="AN697" t="s">
        <v>26</v>
      </c>
      <c r="AO697" s="25" t="s">
        <v>28</v>
      </c>
      <c r="AP697" s="23" t="s">
        <v>29</v>
      </c>
      <c r="AQ697" s="23" t="s">
        <v>30</v>
      </c>
      <c r="AR697" s="23" t="s">
        <v>44</v>
      </c>
      <c r="AS697" s="25">
        <v>5483528</v>
      </c>
      <c r="AT697" s="23" t="s">
        <v>22181</v>
      </c>
      <c r="AU697" t="s">
        <v>23161</v>
      </c>
    </row>
    <row r="698" spans="1:47" ht="26.25" x14ac:dyDescent="0.4">
      <c r="A698" s="23" t="s">
        <v>1806</v>
      </c>
      <c r="B698" t="s">
        <v>26</v>
      </c>
      <c r="C698" s="23" t="s">
        <v>292</v>
      </c>
      <c r="D698" s="23" t="s">
        <v>22256</v>
      </c>
      <c r="E698" s="23" t="s">
        <v>42</v>
      </c>
      <c r="F698" t="s">
        <v>26</v>
      </c>
      <c r="G698" t="s">
        <v>26</v>
      </c>
      <c r="H698" t="s">
        <v>26</v>
      </c>
      <c r="I698" s="24">
        <v>36526</v>
      </c>
      <c r="J698" s="24">
        <v>36526</v>
      </c>
      <c r="K698" t="s">
        <v>26</v>
      </c>
      <c r="L698" s="25" t="s">
        <v>28</v>
      </c>
      <c r="M698" t="s">
        <v>26</v>
      </c>
      <c r="N698" t="s">
        <v>26</v>
      </c>
      <c r="O698" t="s">
        <v>26</v>
      </c>
      <c r="P698" s="24">
        <v>36526</v>
      </c>
      <c r="Q698" s="24">
        <v>36526</v>
      </c>
      <c r="R698" t="s">
        <v>26</v>
      </c>
      <c r="S698" t="s">
        <v>26</v>
      </c>
      <c r="T698" t="s">
        <v>26</v>
      </c>
      <c r="U698" t="s">
        <v>26</v>
      </c>
      <c r="V698" t="s">
        <v>26</v>
      </c>
      <c r="W698" s="24">
        <v>36526</v>
      </c>
      <c r="X698" s="24">
        <v>36526</v>
      </c>
      <c r="Y698" t="s">
        <v>26</v>
      </c>
      <c r="Z698" s="24">
        <v>36526</v>
      </c>
      <c r="AA698" s="24">
        <v>36526</v>
      </c>
      <c r="AB698" t="s">
        <v>26</v>
      </c>
      <c r="AC698" s="24">
        <v>36526</v>
      </c>
      <c r="AD698" s="24">
        <v>36526</v>
      </c>
      <c r="AE698" t="s">
        <v>26</v>
      </c>
      <c r="AF698" t="s">
        <v>26</v>
      </c>
      <c r="AG698" t="s">
        <v>26</v>
      </c>
      <c r="AH698" t="s">
        <v>26</v>
      </c>
      <c r="AI698" t="s">
        <v>26</v>
      </c>
      <c r="AJ698" t="s">
        <v>26</v>
      </c>
      <c r="AK698" t="s">
        <v>26</v>
      </c>
      <c r="AL698" t="s">
        <v>26</v>
      </c>
      <c r="AM698" t="s">
        <v>26</v>
      </c>
      <c r="AN698" t="s">
        <v>26</v>
      </c>
      <c r="AO698" s="25" t="s">
        <v>28</v>
      </c>
      <c r="AP698" s="23" t="s">
        <v>29</v>
      </c>
      <c r="AQ698" s="23" t="s">
        <v>30</v>
      </c>
      <c r="AR698" s="23" t="s">
        <v>147</v>
      </c>
      <c r="AS698" s="25">
        <v>5325193</v>
      </c>
      <c r="AT698" s="23" t="s">
        <v>22181</v>
      </c>
      <c r="AU698" t="s">
        <v>23162</v>
      </c>
    </row>
    <row r="699" spans="1:47" ht="13.15" x14ac:dyDescent="0.4">
      <c r="A699" s="23" t="s">
        <v>1807</v>
      </c>
      <c r="B699" t="s">
        <v>26</v>
      </c>
      <c r="C699" s="23" t="s">
        <v>146</v>
      </c>
      <c r="D699" s="23" t="s">
        <v>22174</v>
      </c>
      <c r="E699" s="23" t="s">
        <v>60</v>
      </c>
      <c r="F699" t="s">
        <v>26</v>
      </c>
      <c r="G699" t="s">
        <v>26</v>
      </c>
      <c r="H699" t="s">
        <v>26</v>
      </c>
      <c r="I699" t="s">
        <v>26</v>
      </c>
      <c r="J699" t="s">
        <v>26</v>
      </c>
      <c r="K699" t="s">
        <v>26</v>
      </c>
      <c r="L699" s="25" t="s">
        <v>28</v>
      </c>
      <c r="M699" t="s">
        <v>26</v>
      </c>
      <c r="N699" t="s">
        <v>26</v>
      </c>
      <c r="O699" t="s">
        <v>26</v>
      </c>
      <c r="P699" t="s">
        <v>26</v>
      </c>
      <c r="Q699" t="s">
        <v>26</v>
      </c>
      <c r="R699" t="s">
        <v>26</v>
      </c>
      <c r="S699" t="s">
        <v>26</v>
      </c>
      <c r="T699" t="s">
        <v>26</v>
      </c>
      <c r="U699" t="s">
        <v>26</v>
      </c>
      <c r="V699" t="s">
        <v>26</v>
      </c>
      <c r="W699" s="24">
        <v>42370</v>
      </c>
      <c r="X699" s="24">
        <v>42370</v>
      </c>
      <c r="Y699" t="s">
        <v>26</v>
      </c>
      <c r="Z699" s="24">
        <v>42370</v>
      </c>
      <c r="AA699" s="24">
        <v>42370</v>
      </c>
      <c r="AB699" t="s">
        <v>26</v>
      </c>
      <c r="AC699" t="s">
        <v>26</v>
      </c>
      <c r="AD699" t="s">
        <v>26</v>
      </c>
      <c r="AE699" t="s">
        <v>26</v>
      </c>
      <c r="AF699" t="s">
        <v>26</v>
      </c>
      <c r="AG699" t="s">
        <v>26</v>
      </c>
      <c r="AH699" t="s">
        <v>26</v>
      </c>
      <c r="AI699" t="s">
        <v>26</v>
      </c>
      <c r="AJ699" t="s">
        <v>26</v>
      </c>
      <c r="AK699" t="s">
        <v>26</v>
      </c>
      <c r="AL699" t="s">
        <v>26</v>
      </c>
      <c r="AM699" t="s">
        <v>26</v>
      </c>
      <c r="AN699" t="s">
        <v>26</v>
      </c>
      <c r="AO699" s="25" t="s">
        <v>28</v>
      </c>
      <c r="AP699" s="23" t="s">
        <v>29</v>
      </c>
      <c r="AQ699" s="23" t="s">
        <v>30</v>
      </c>
      <c r="AR699" s="23" t="s">
        <v>245</v>
      </c>
      <c r="AS699" s="25">
        <v>5483595</v>
      </c>
      <c r="AT699" s="23" t="s">
        <v>22181</v>
      </c>
      <c r="AU699" t="s">
        <v>23163</v>
      </c>
    </row>
    <row r="700" spans="1:47" ht="26.25" x14ac:dyDescent="0.4">
      <c r="A700" s="23" t="s">
        <v>1808</v>
      </c>
      <c r="B700" t="s">
        <v>26</v>
      </c>
      <c r="C700" s="23" t="s">
        <v>80</v>
      </c>
      <c r="D700" s="23" t="s">
        <v>22190</v>
      </c>
      <c r="E700" s="23" t="s">
        <v>60</v>
      </c>
      <c r="F700" s="25" t="s">
        <v>1809</v>
      </c>
      <c r="G700" s="25" t="s">
        <v>1810</v>
      </c>
      <c r="H700" t="s">
        <v>26</v>
      </c>
      <c r="I700" t="s">
        <v>26</v>
      </c>
      <c r="J700" t="s">
        <v>26</v>
      </c>
      <c r="K700" t="s">
        <v>26</v>
      </c>
      <c r="L700" s="25" t="s">
        <v>68</v>
      </c>
      <c r="M700" t="s">
        <v>26</v>
      </c>
      <c r="N700" t="s">
        <v>26</v>
      </c>
      <c r="O700" t="s">
        <v>26</v>
      </c>
      <c r="P700" t="s">
        <v>26</v>
      </c>
      <c r="Q700" t="s">
        <v>26</v>
      </c>
      <c r="R700" t="s">
        <v>26</v>
      </c>
      <c r="S700" t="s">
        <v>26</v>
      </c>
      <c r="T700" t="s">
        <v>26</v>
      </c>
      <c r="U700" t="s">
        <v>26</v>
      </c>
      <c r="V700" t="s">
        <v>26</v>
      </c>
      <c r="W700" s="24">
        <v>37987</v>
      </c>
      <c r="X700" s="25" t="s">
        <v>77</v>
      </c>
      <c r="Y700" t="s">
        <v>26</v>
      </c>
      <c r="Z700" s="24">
        <v>37987</v>
      </c>
      <c r="AA700" s="25" t="s">
        <v>77</v>
      </c>
      <c r="AB700" t="s">
        <v>26</v>
      </c>
      <c r="AC700" s="24">
        <v>37987</v>
      </c>
      <c r="AD700" s="25" t="s">
        <v>77</v>
      </c>
      <c r="AE700" t="s">
        <v>26</v>
      </c>
      <c r="AF700" t="s">
        <v>26</v>
      </c>
      <c r="AG700" t="s">
        <v>26</v>
      </c>
      <c r="AH700" t="s">
        <v>26</v>
      </c>
      <c r="AI700" t="s">
        <v>26</v>
      </c>
      <c r="AJ700" t="s">
        <v>26</v>
      </c>
      <c r="AK700" t="s">
        <v>26</v>
      </c>
      <c r="AL700" t="s">
        <v>26</v>
      </c>
      <c r="AM700" t="s">
        <v>26</v>
      </c>
      <c r="AN700" t="s">
        <v>26</v>
      </c>
      <c r="AO700" s="25" t="s">
        <v>68</v>
      </c>
      <c r="AP700" s="23" t="s">
        <v>69</v>
      </c>
      <c r="AQ700" s="23" t="s">
        <v>30</v>
      </c>
      <c r="AR700" s="23" t="s">
        <v>46</v>
      </c>
      <c r="AS700" s="25">
        <v>46257</v>
      </c>
      <c r="AT700" t="s">
        <v>26</v>
      </c>
      <c r="AU700" t="s">
        <v>23164</v>
      </c>
    </row>
    <row r="701" spans="1:47" ht="26.25" x14ac:dyDescent="0.4">
      <c r="A701" s="23" t="s">
        <v>1811</v>
      </c>
      <c r="B701" t="s">
        <v>26</v>
      </c>
      <c r="C701" s="23" t="s">
        <v>59</v>
      </c>
      <c r="D701" s="23" t="s">
        <v>22174</v>
      </c>
      <c r="E701" s="23" t="s">
        <v>60</v>
      </c>
      <c r="F701" t="s">
        <v>26</v>
      </c>
      <c r="G701" t="s">
        <v>26</v>
      </c>
      <c r="H701" s="25" t="s">
        <v>1812</v>
      </c>
      <c r="I701" s="24">
        <v>41275</v>
      </c>
      <c r="J701" s="24">
        <v>41275</v>
      </c>
      <c r="K701" t="s">
        <v>26</v>
      </c>
      <c r="L701" s="25" t="s">
        <v>28</v>
      </c>
      <c r="M701" s="24">
        <v>41275</v>
      </c>
      <c r="N701" s="24">
        <v>41275</v>
      </c>
      <c r="O701" t="s">
        <v>26</v>
      </c>
      <c r="P701" s="24">
        <v>41275</v>
      </c>
      <c r="Q701" s="24">
        <v>41275</v>
      </c>
      <c r="R701" t="s">
        <v>26</v>
      </c>
      <c r="S701" t="s">
        <v>26</v>
      </c>
      <c r="T701" t="s">
        <v>26</v>
      </c>
      <c r="U701" t="s">
        <v>26</v>
      </c>
      <c r="V701" t="s">
        <v>26</v>
      </c>
      <c r="W701" s="24">
        <v>41275</v>
      </c>
      <c r="X701" s="24">
        <v>41275</v>
      </c>
      <c r="Y701" t="s">
        <v>26</v>
      </c>
      <c r="Z701" s="24">
        <v>41275</v>
      </c>
      <c r="AA701" s="24">
        <v>41275</v>
      </c>
      <c r="AB701" t="s">
        <v>26</v>
      </c>
      <c r="AC701" s="24">
        <v>41275</v>
      </c>
      <c r="AD701" s="24">
        <v>41275</v>
      </c>
      <c r="AE701" t="s">
        <v>26</v>
      </c>
      <c r="AF701" t="s">
        <v>26</v>
      </c>
      <c r="AG701" t="s">
        <v>26</v>
      </c>
      <c r="AH701" t="s">
        <v>26</v>
      </c>
      <c r="AI701" t="s">
        <v>26</v>
      </c>
      <c r="AJ701" t="s">
        <v>26</v>
      </c>
      <c r="AK701" t="s">
        <v>26</v>
      </c>
      <c r="AL701" t="s">
        <v>26</v>
      </c>
      <c r="AM701" t="s">
        <v>26</v>
      </c>
      <c r="AN701" t="s">
        <v>26</v>
      </c>
      <c r="AO701" s="25" t="s">
        <v>28</v>
      </c>
      <c r="AP701" s="23" t="s">
        <v>29</v>
      </c>
      <c r="AQ701" s="23" t="s">
        <v>30</v>
      </c>
      <c r="AR701" s="23" t="s">
        <v>1688</v>
      </c>
      <c r="AS701" s="25">
        <v>2043143</v>
      </c>
      <c r="AT701" t="s">
        <v>26</v>
      </c>
      <c r="AU701" t="s">
        <v>23165</v>
      </c>
    </row>
    <row r="702" spans="1:47" ht="26.25" x14ac:dyDescent="0.4">
      <c r="A702" s="23" t="s">
        <v>1813</v>
      </c>
      <c r="B702" t="s">
        <v>26</v>
      </c>
      <c r="C702" s="23" t="s">
        <v>550</v>
      </c>
      <c r="D702" s="23" t="s">
        <v>22352</v>
      </c>
      <c r="E702" s="23" t="s">
        <v>42</v>
      </c>
      <c r="F702" s="25" t="s">
        <v>1814</v>
      </c>
      <c r="G702" s="25" t="s">
        <v>1815</v>
      </c>
      <c r="H702" t="s">
        <v>26</v>
      </c>
      <c r="I702" t="s">
        <v>26</v>
      </c>
      <c r="J702" t="s">
        <v>26</v>
      </c>
      <c r="K702" t="s">
        <v>26</v>
      </c>
      <c r="L702" s="25" t="s">
        <v>68</v>
      </c>
      <c r="M702" t="s">
        <v>26</v>
      </c>
      <c r="N702" t="s">
        <v>26</v>
      </c>
      <c r="O702" t="s">
        <v>26</v>
      </c>
      <c r="P702" t="s">
        <v>26</v>
      </c>
      <c r="Q702" t="s">
        <v>26</v>
      </c>
      <c r="R702" t="s">
        <v>26</v>
      </c>
      <c r="S702" t="s">
        <v>26</v>
      </c>
      <c r="T702" t="s">
        <v>26</v>
      </c>
      <c r="U702" t="s">
        <v>26</v>
      </c>
      <c r="V702" t="s">
        <v>26</v>
      </c>
      <c r="W702" s="24">
        <v>40179</v>
      </c>
      <c r="X702" s="25" t="s">
        <v>77</v>
      </c>
      <c r="Y702" t="s">
        <v>26</v>
      </c>
      <c r="Z702" s="24">
        <v>40179</v>
      </c>
      <c r="AA702" s="25" t="s">
        <v>77</v>
      </c>
      <c r="AB702" t="s">
        <v>26</v>
      </c>
      <c r="AC702" s="24">
        <v>40179</v>
      </c>
      <c r="AD702" s="25" t="s">
        <v>77</v>
      </c>
      <c r="AE702" t="s">
        <v>26</v>
      </c>
      <c r="AF702" t="s">
        <v>26</v>
      </c>
      <c r="AG702" t="s">
        <v>26</v>
      </c>
      <c r="AH702" t="s">
        <v>26</v>
      </c>
      <c r="AI702" t="s">
        <v>26</v>
      </c>
      <c r="AJ702" t="s">
        <v>26</v>
      </c>
      <c r="AK702" t="s">
        <v>26</v>
      </c>
      <c r="AL702" t="s">
        <v>26</v>
      </c>
      <c r="AM702" t="s">
        <v>26</v>
      </c>
      <c r="AN702" t="s">
        <v>26</v>
      </c>
      <c r="AO702" s="25" t="s">
        <v>68</v>
      </c>
      <c r="AP702" s="23" t="s">
        <v>69</v>
      </c>
      <c r="AQ702" s="23" t="s">
        <v>30</v>
      </c>
      <c r="AR702" s="23" t="s">
        <v>433</v>
      </c>
      <c r="AS702" s="25">
        <v>186259</v>
      </c>
      <c r="AT702" t="s">
        <v>26</v>
      </c>
      <c r="AU702" t="s">
        <v>23166</v>
      </c>
    </row>
    <row r="703" spans="1:47" ht="26.25" x14ac:dyDescent="0.4">
      <c r="A703" s="23" t="s">
        <v>1816</v>
      </c>
      <c r="B703" t="s">
        <v>26</v>
      </c>
      <c r="C703" s="23" t="s">
        <v>146</v>
      </c>
      <c r="D703" s="23" t="s">
        <v>22174</v>
      </c>
      <c r="E703" s="23" t="s">
        <v>60</v>
      </c>
      <c r="F703" t="s">
        <v>26</v>
      </c>
      <c r="G703" t="s">
        <v>26</v>
      </c>
      <c r="H703" t="s">
        <v>26</v>
      </c>
      <c r="I703" s="24">
        <v>42005</v>
      </c>
      <c r="J703" s="24">
        <v>42005</v>
      </c>
      <c r="K703" t="s">
        <v>26</v>
      </c>
      <c r="L703" s="25" t="s">
        <v>28</v>
      </c>
      <c r="M703" t="s">
        <v>26</v>
      </c>
      <c r="N703" t="s">
        <v>26</v>
      </c>
      <c r="O703" t="s">
        <v>26</v>
      </c>
      <c r="P703" s="24">
        <v>42005</v>
      </c>
      <c r="Q703" s="24">
        <v>42005</v>
      </c>
      <c r="R703" t="s">
        <v>26</v>
      </c>
      <c r="S703" t="s">
        <v>26</v>
      </c>
      <c r="T703" t="s">
        <v>26</v>
      </c>
      <c r="U703" t="s">
        <v>26</v>
      </c>
      <c r="V703" t="s">
        <v>26</v>
      </c>
      <c r="W703" s="24">
        <v>42005</v>
      </c>
      <c r="X703" s="24">
        <v>42005</v>
      </c>
      <c r="Y703" t="s">
        <v>26</v>
      </c>
      <c r="Z703" s="24">
        <v>42005</v>
      </c>
      <c r="AA703" s="24">
        <v>42005</v>
      </c>
      <c r="AB703" t="s">
        <v>26</v>
      </c>
      <c r="AC703" s="24">
        <v>42005</v>
      </c>
      <c r="AD703" s="24">
        <v>42005</v>
      </c>
      <c r="AE703" t="s">
        <v>26</v>
      </c>
      <c r="AF703" t="s">
        <v>26</v>
      </c>
      <c r="AG703" t="s">
        <v>26</v>
      </c>
      <c r="AH703" t="s">
        <v>26</v>
      </c>
      <c r="AI703" t="s">
        <v>26</v>
      </c>
      <c r="AJ703" t="s">
        <v>26</v>
      </c>
      <c r="AK703" t="s">
        <v>26</v>
      </c>
      <c r="AL703" t="s">
        <v>26</v>
      </c>
      <c r="AM703" t="s">
        <v>26</v>
      </c>
      <c r="AN703" t="s">
        <v>26</v>
      </c>
      <c r="AO703" s="25" t="s">
        <v>28</v>
      </c>
      <c r="AP703" s="23" t="s">
        <v>29</v>
      </c>
      <c r="AQ703" s="23" t="s">
        <v>30</v>
      </c>
      <c r="AR703" s="23" t="s">
        <v>46</v>
      </c>
      <c r="AS703" s="25">
        <v>6394510</v>
      </c>
      <c r="AT703" t="s">
        <v>26</v>
      </c>
      <c r="AU703" t="s">
        <v>23167</v>
      </c>
    </row>
    <row r="704" spans="1:47" ht="26.25" x14ac:dyDescent="0.4">
      <c r="A704" s="23" t="s">
        <v>1817</v>
      </c>
      <c r="B704" t="s">
        <v>26</v>
      </c>
      <c r="C704" s="23" t="s">
        <v>107</v>
      </c>
      <c r="D704" s="23" t="s">
        <v>22179</v>
      </c>
      <c r="E704" s="23" t="s">
        <v>42</v>
      </c>
      <c r="F704" s="25" t="s">
        <v>1818</v>
      </c>
      <c r="G704" s="25" t="s">
        <v>1819</v>
      </c>
      <c r="H704" t="s">
        <v>26</v>
      </c>
      <c r="I704" t="s">
        <v>26</v>
      </c>
      <c r="J704" t="s">
        <v>26</v>
      </c>
      <c r="K704" t="s">
        <v>26</v>
      </c>
      <c r="L704" s="25" t="s">
        <v>68</v>
      </c>
      <c r="M704" t="s">
        <v>26</v>
      </c>
      <c r="N704" t="s">
        <v>26</v>
      </c>
      <c r="O704" t="s">
        <v>26</v>
      </c>
      <c r="P704" t="s">
        <v>26</v>
      </c>
      <c r="Q704" t="s">
        <v>26</v>
      </c>
      <c r="R704" t="s">
        <v>26</v>
      </c>
      <c r="S704" t="s">
        <v>26</v>
      </c>
      <c r="T704" t="s">
        <v>26</v>
      </c>
      <c r="U704" t="s">
        <v>26</v>
      </c>
      <c r="V704" t="s">
        <v>26</v>
      </c>
      <c r="W704" s="24">
        <v>29860</v>
      </c>
      <c r="X704" s="25" t="s">
        <v>77</v>
      </c>
      <c r="Y704" t="s">
        <v>26</v>
      </c>
      <c r="Z704" s="24">
        <v>29860</v>
      </c>
      <c r="AA704" s="25" t="s">
        <v>77</v>
      </c>
      <c r="AB704" t="s">
        <v>26</v>
      </c>
      <c r="AC704" s="24">
        <v>31413</v>
      </c>
      <c r="AD704" s="25" t="s">
        <v>77</v>
      </c>
      <c r="AE704" t="s">
        <v>26</v>
      </c>
      <c r="AF704" t="s">
        <v>26</v>
      </c>
      <c r="AG704" t="s">
        <v>26</v>
      </c>
      <c r="AH704" t="s">
        <v>26</v>
      </c>
      <c r="AI704" t="s">
        <v>26</v>
      </c>
      <c r="AJ704" t="s">
        <v>26</v>
      </c>
      <c r="AK704" t="s">
        <v>26</v>
      </c>
      <c r="AL704" t="s">
        <v>26</v>
      </c>
      <c r="AM704" t="s">
        <v>26</v>
      </c>
      <c r="AN704" t="s">
        <v>26</v>
      </c>
      <c r="AO704" s="25" t="s">
        <v>68</v>
      </c>
      <c r="AP704" s="23" t="s">
        <v>69</v>
      </c>
      <c r="AQ704" s="23" t="s">
        <v>30</v>
      </c>
      <c r="AR704" s="23" t="s">
        <v>433</v>
      </c>
      <c r="AS704" s="25">
        <v>41464</v>
      </c>
      <c r="AT704" t="s">
        <v>26</v>
      </c>
      <c r="AU704" t="s">
        <v>23168</v>
      </c>
    </row>
    <row r="705" spans="1:47" ht="26.25" x14ac:dyDescent="0.4">
      <c r="A705" s="23" t="s">
        <v>1820</v>
      </c>
      <c r="B705" t="s">
        <v>26</v>
      </c>
      <c r="C705" s="23" t="s">
        <v>181</v>
      </c>
      <c r="D705" s="23" t="s">
        <v>22174</v>
      </c>
      <c r="E705" s="23" t="s">
        <v>60</v>
      </c>
      <c r="F705" s="25" t="s">
        <v>1821</v>
      </c>
      <c r="G705" s="25" t="s">
        <v>1822</v>
      </c>
      <c r="H705" t="s">
        <v>26</v>
      </c>
      <c r="I705" t="s">
        <v>26</v>
      </c>
      <c r="J705" t="s">
        <v>26</v>
      </c>
      <c r="K705" t="s">
        <v>26</v>
      </c>
      <c r="L705" s="25" t="s">
        <v>68</v>
      </c>
      <c r="M705" t="s">
        <v>26</v>
      </c>
      <c r="N705" t="s">
        <v>26</v>
      </c>
      <c r="O705" t="s">
        <v>26</v>
      </c>
      <c r="P705" t="s">
        <v>26</v>
      </c>
      <c r="Q705" t="s">
        <v>26</v>
      </c>
      <c r="R705" t="s">
        <v>26</v>
      </c>
      <c r="S705" t="s">
        <v>26</v>
      </c>
      <c r="T705" t="s">
        <v>26</v>
      </c>
      <c r="U705" t="s">
        <v>26</v>
      </c>
      <c r="V705" t="s">
        <v>26</v>
      </c>
      <c r="W705" s="24">
        <v>38565</v>
      </c>
      <c r="X705" s="25" t="s">
        <v>77</v>
      </c>
      <c r="Y705" t="s">
        <v>26</v>
      </c>
      <c r="Z705" s="24">
        <v>38565</v>
      </c>
      <c r="AA705" s="25" t="s">
        <v>77</v>
      </c>
      <c r="AB705" t="s">
        <v>26</v>
      </c>
      <c r="AC705" s="24">
        <v>38565</v>
      </c>
      <c r="AD705" s="25" t="s">
        <v>77</v>
      </c>
      <c r="AE705" t="s">
        <v>26</v>
      </c>
      <c r="AF705" t="s">
        <v>26</v>
      </c>
      <c r="AG705" t="s">
        <v>26</v>
      </c>
      <c r="AH705" t="s">
        <v>26</v>
      </c>
      <c r="AI705" t="s">
        <v>26</v>
      </c>
      <c r="AJ705" t="s">
        <v>26</v>
      </c>
      <c r="AK705" t="s">
        <v>26</v>
      </c>
      <c r="AL705" t="s">
        <v>26</v>
      </c>
      <c r="AM705" t="s">
        <v>26</v>
      </c>
      <c r="AN705" t="s">
        <v>26</v>
      </c>
      <c r="AO705" s="25" t="s">
        <v>68</v>
      </c>
      <c r="AP705" s="23" t="s">
        <v>69</v>
      </c>
      <c r="AQ705" s="23" t="s">
        <v>30</v>
      </c>
      <c r="AR705" s="23" t="s">
        <v>433</v>
      </c>
      <c r="AS705" s="25">
        <v>186257</v>
      </c>
      <c r="AT705" t="s">
        <v>26</v>
      </c>
      <c r="AU705" t="s">
        <v>23169</v>
      </c>
    </row>
    <row r="706" spans="1:47" ht="26.25" x14ac:dyDescent="0.4">
      <c r="A706" s="23" t="s">
        <v>1823</v>
      </c>
      <c r="B706" t="s">
        <v>26</v>
      </c>
      <c r="C706" s="23" t="s">
        <v>1824</v>
      </c>
      <c r="D706" s="23" t="s">
        <v>22174</v>
      </c>
      <c r="E706" s="23" t="s">
        <v>60</v>
      </c>
      <c r="F706" s="25" t="s">
        <v>1825</v>
      </c>
      <c r="G706" s="25" t="s">
        <v>1826</v>
      </c>
      <c r="H706" t="s">
        <v>26</v>
      </c>
      <c r="I706" s="24">
        <v>35796</v>
      </c>
      <c r="J706" s="24">
        <v>37257</v>
      </c>
      <c r="K706" t="s">
        <v>26</v>
      </c>
      <c r="L706" s="25" t="s">
        <v>68</v>
      </c>
      <c r="M706" s="24">
        <v>35796</v>
      </c>
      <c r="N706" s="24">
        <v>37257</v>
      </c>
      <c r="O706" t="s">
        <v>26</v>
      </c>
      <c r="P706" s="24">
        <v>35796</v>
      </c>
      <c r="Q706" s="24">
        <v>37257</v>
      </c>
      <c r="R706" t="s">
        <v>26</v>
      </c>
      <c r="S706" t="s">
        <v>26</v>
      </c>
      <c r="T706" t="s">
        <v>26</v>
      </c>
      <c r="U706" t="s">
        <v>26</v>
      </c>
      <c r="V706" t="s">
        <v>26</v>
      </c>
      <c r="W706" s="24">
        <v>35796</v>
      </c>
      <c r="X706" s="25" t="s">
        <v>77</v>
      </c>
      <c r="Y706" s="25" t="s">
        <v>1827</v>
      </c>
      <c r="Z706" s="24">
        <v>35796</v>
      </c>
      <c r="AA706" s="25" t="s">
        <v>77</v>
      </c>
      <c r="AB706" s="25" t="s">
        <v>1827</v>
      </c>
      <c r="AC706" s="24">
        <v>40210</v>
      </c>
      <c r="AD706" s="25" t="s">
        <v>77</v>
      </c>
      <c r="AE706" t="s">
        <v>26</v>
      </c>
      <c r="AF706" t="s">
        <v>26</v>
      </c>
      <c r="AG706" t="s">
        <v>26</v>
      </c>
      <c r="AH706" t="s">
        <v>26</v>
      </c>
      <c r="AI706" t="s">
        <v>26</v>
      </c>
      <c r="AJ706" t="s">
        <v>26</v>
      </c>
      <c r="AK706" t="s">
        <v>26</v>
      </c>
      <c r="AL706" t="s">
        <v>26</v>
      </c>
      <c r="AM706" t="s">
        <v>26</v>
      </c>
      <c r="AN706" t="s">
        <v>26</v>
      </c>
      <c r="AO706" s="25" t="s">
        <v>68</v>
      </c>
      <c r="AP706" s="23" t="s">
        <v>69</v>
      </c>
      <c r="AQ706" s="23" t="s">
        <v>30</v>
      </c>
      <c r="AR706" s="23" t="s">
        <v>1828</v>
      </c>
      <c r="AS706" s="25">
        <v>33008</v>
      </c>
      <c r="AT706" t="s">
        <v>26</v>
      </c>
      <c r="AU706" t="s">
        <v>23170</v>
      </c>
    </row>
    <row r="707" spans="1:47" ht="26.25" x14ac:dyDescent="0.4">
      <c r="A707" s="23" t="s">
        <v>1829</v>
      </c>
      <c r="B707" t="s">
        <v>26</v>
      </c>
      <c r="C707" s="23" t="s">
        <v>1830</v>
      </c>
      <c r="D707" s="23" t="s">
        <v>22179</v>
      </c>
      <c r="E707" s="23" t="s">
        <v>42</v>
      </c>
      <c r="F707" s="25" t="s">
        <v>1831</v>
      </c>
      <c r="G707" s="25" t="s">
        <v>1832</v>
      </c>
      <c r="H707" t="s">
        <v>26</v>
      </c>
      <c r="I707" s="24">
        <v>35247</v>
      </c>
      <c r="J707" s="24">
        <v>40756</v>
      </c>
      <c r="K707" t="s">
        <v>26</v>
      </c>
      <c r="L707" s="25" t="s">
        <v>68</v>
      </c>
      <c r="M707" s="24">
        <v>35247</v>
      </c>
      <c r="N707" s="24">
        <v>40756</v>
      </c>
      <c r="O707" t="s">
        <v>26</v>
      </c>
      <c r="P707" s="24">
        <v>35247</v>
      </c>
      <c r="Q707" s="24">
        <v>40756</v>
      </c>
      <c r="R707" t="s">
        <v>26</v>
      </c>
      <c r="S707" t="s">
        <v>26</v>
      </c>
      <c r="T707" t="s">
        <v>26</v>
      </c>
      <c r="U707" t="s">
        <v>26</v>
      </c>
      <c r="V707" t="s">
        <v>26</v>
      </c>
      <c r="W707" s="24">
        <v>29952</v>
      </c>
      <c r="X707" s="24">
        <v>42583</v>
      </c>
      <c r="Y707" s="25" t="s">
        <v>1833</v>
      </c>
      <c r="Z707" s="24">
        <v>29952</v>
      </c>
      <c r="AA707" s="24">
        <v>42583</v>
      </c>
      <c r="AB707" s="25" t="s">
        <v>1833</v>
      </c>
      <c r="AC707" s="24">
        <v>32509</v>
      </c>
      <c r="AD707" s="24">
        <v>42583</v>
      </c>
      <c r="AE707" t="s">
        <v>26</v>
      </c>
      <c r="AF707" t="s">
        <v>26</v>
      </c>
      <c r="AG707" t="s">
        <v>26</v>
      </c>
      <c r="AH707" t="s">
        <v>26</v>
      </c>
      <c r="AI707" t="s">
        <v>26</v>
      </c>
      <c r="AJ707" t="s">
        <v>26</v>
      </c>
      <c r="AK707" t="s">
        <v>26</v>
      </c>
      <c r="AL707" t="s">
        <v>26</v>
      </c>
      <c r="AM707" t="s">
        <v>26</v>
      </c>
      <c r="AN707" t="s">
        <v>26</v>
      </c>
      <c r="AO707" s="25" t="s">
        <v>68</v>
      </c>
      <c r="AP707" s="23" t="s">
        <v>69</v>
      </c>
      <c r="AQ707" s="23" t="s">
        <v>30</v>
      </c>
      <c r="AR707" s="23" t="s">
        <v>433</v>
      </c>
      <c r="AS707" s="25">
        <v>49045</v>
      </c>
      <c r="AT707" t="s">
        <v>26</v>
      </c>
      <c r="AU707" t="s">
        <v>23171</v>
      </c>
    </row>
    <row r="708" spans="1:47" ht="26.25" x14ac:dyDescent="0.4">
      <c r="A708" s="23" t="s">
        <v>1834</v>
      </c>
      <c r="B708" t="s">
        <v>26</v>
      </c>
      <c r="C708" s="23" t="s">
        <v>107</v>
      </c>
      <c r="D708" s="23" t="s">
        <v>22188</v>
      </c>
      <c r="E708" s="23" t="s">
        <v>42</v>
      </c>
      <c r="F708" s="25" t="s">
        <v>1835</v>
      </c>
      <c r="G708" s="25" t="s">
        <v>1836</v>
      </c>
      <c r="H708" t="s">
        <v>26</v>
      </c>
      <c r="I708" t="s">
        <v>26</v>
      </c>
      <c r="J708" t="s">
        <v>26</v>
      </c>
      <c r="K708" t="s">
        <v>26</v>
      </c>
      <c r="L708" s="25" t="s">
        <v>68</v>
      </c>
      <c r="M708" t="s">
        <v>26</v>
      </c>
      <c r="N708" t="s">
        <v>26</v>
      </c>
      <c r="O708" t="s">
        <v>26</v>
      </c>
      <c r="P708" t="s">
        <v>26</v>
      </c>
      <c r="Q708" t="s">
        <v>26</v>
      </c>
      <c r="R708" t="s">
        <v>26</v>
      </c>
      <c r="S708" t="s">
        <v>26</v>
      </c>
      <c r="T708" t="s">
        <v>26</v>
      </c>
      <c r="U708" t="s">
        <v>26</v>
      </c>
      <c r="V708" t="s">
        <v>26</v>
      </c>
      <c r="W708" s="24">
        <v>29312</v>
      </c>
      <c r="X708" s="25" t="s">
        <v>77</v>
      </c>
      <c r="Y708" s="25" t="s">
        <v>1837</v>
      </c>
      <c r="Z708" s="24">
        <v>29312</v>
      </c>
      <c r="AA708" s="25" t="s">
        <v>77</v>
      </c>
      <c r="AB708" s="25" t="s">
        <v>1837</v>
      </c>
      <c r="AC708" s="24">
        <v>35886</v>
      </c>
      <c r="AD708" s="25" t="s">
        <v>77</v>
      </c>
      <c r="AE708" t="s">
        <v>26</v>
      </c>
      <c r="AF708" t="s">
        <v>26</v>
      </c>
      <c r="AG708" t="s">
        <v>26</v>
      </c>
      <c r="AH708" t="s">
        <v>26</v>
      </c>
      <c r="AI708" t="s">
        <v>26</v>
      </c>
      <c r="AJ708" t="s">
        <v>26</v>
      </c>
      <c r="AK708" t="s">
        <v>26</v>
      </c>
      <c r="AL708" t="s">
        <v>26</v>
      </c>
      <c r="AM708" t="s">
        <v>26</v>
      </c>
      <c r="AN708" t="s">
        <v>26</v>
      </c>
      <c r="AO708" s="25" t="s">
        <v>68</v>
      </c>
      <c r="AP708" s="23" t="s">
        <v>69</v>
      </c>
      <c r="AQ708" s="23" t="s">
        <v>30</v>
      </c>
      <c r="AR708" s="23" t="s">
        <v>1838</v>
      </c>
      <c r="AS708" s="25">
        <v>48351</v>
      </c>
      <c r="AT708" t="s">
        <v>26</v>
      </c>
      <c r="AU708" t="s">
        <v>23172</v>
      </c>
    </row>
    <row r="709" spans="1:47" ht="26.25" x14ac:dyDescent="0.4">
      <c r="A709" s="23" t="s">
        <v>1839</v>
      </c>
      <c r="B709" t="s">
        <v>26</v>
      </c>
      <c r="C709" s="23" t="s">
        <v>80</v>
      </c>
      <c r="D709" s="23" t="s">
        <v>22190</v>
      </c>
      <c r="E709" s="23" t="s">
        <v>60</v>
      </c>
      <c r="F709" s="25" t="s">
        <v>1840</v>
      </c>
      <c r="G709" s="25" t="s">
        <v>1841</v>
      </c>
      <c r="H709" t="s">
        <v>26</v>
      </c>
      <c r="I709" t="s">
        <v>26</v>
      </c>
      <c r="J709" t="s">
        <v>26</v>
      </c>
      <c r="K709" t="s">
        <v>26</v>
      </c>
      <c r="L709" s="25" t="s">
        <v>68</v>
      </c>
      <c r="M709" t="s">
        <v>26</v>
      </c>
      <c r="N709" t="s">
        <v>26</v>
      </c>
      <c r="O709" t="s">
        <v>26</v>
      </c>
      <c r="P709" t="s">
        <v>26</v>
      </c>
      <c r="Q709" t="s">
        <v>26</v>
      </c>
      <c r="R709" t="s">
        <v>26</v>
      </c>
      <c r="S709" t="s">
        <v>26</v>
      </c>
      <c r="T709" t="s">
        <v>26</v>
      </c>
      <c r="U709" t="s">
        <v>26</v>
      </c>
      <c r="V709" t="s">
        <v>26</v>
      </c>
      <c r="W709" s="24">
        <v>40238</v>
      </c>
      <c r="X709" s="25" t="s">
        <v>77</v>
      </c>
      <c r="Y709" t="s">
        <v>26</v>
      </c>
      <c r="Z709" s="24">
        <v>40238</v>
      </c>
      <c r="AA709" s="25" t="s">
        <v>77</v>
      </c>
      <c r="AB709" t="s">
        <v>26</v>
      </c>
      <c r="AC709" s="24">
        <v>40238</v>
      </c>
      <c r="AD709" s="25" t="s">
        <v>77</v>
      </c>
      <c r="AE709" t="s">
        <v>26</v>
      </c>
      <c r="AF709" t="s">
        <v>26</v>
      </c>
      <c r="AG709" t="s">
        <v>26</v>
      </c>
      <c r="AH709" t="s">
        <v>26</v>
      </c>
      <c r="AI709" t="s">
        <v>26</v>
      </c>
      <c r="AJ709" t="s">
        <v>26</v>
      </c>
      <c r="AK709" t="s">
        <v>26</v>
      </c>
      <c r="AL709" t="s">
        <v>26</v>
      </c>
      <c r="AM709" t="s">
        <v>26</v>
      </c>
      <c r="AN709" t="s">
        <v>26</v>
      </c>
      <c r="AO709" s="25" t="s">
        <v>68</v>
      </c>
      <c r="AP709" s="23" t="s">
        <v>69</v>
      </c>
      <c r="AQ709" s="23" t="s">
        <v>30</v>
      </c>
      <c r="AR709" s="23" t="s">
        <v>1842</v>
      </c>
      <c r="AS709" s="25">
        <v>52969</v>
      </c>
      <c r="AT709" t="s">
        <v>26</v>
      </c>
      <c r="AU709" t="s">
        <v>23173</v>
      </c>
    </row>
    <row r="710" spans="1:47" ht="26.25" x14ac:dyDescent="0.4">
      <c r="A710" s="23" t="s">
        <v>1843</v>
      </c>
      <c r="B710" t="s">
        <v>26</v>
      </c>
      <c r="C710" s="23" t="s">
        <v>107</v>
      </c>
      <c r="D710" s="23" t="s">
        <v>22194</v>
      </c>
      <c r="E710" s="23" t="s">
        <v>42</v>
      </c>
      <c r="F710" s="25" t="s">
        <v>1844</v>
      </c>
      <c r="G710" s="25" t="s">
        <v>1845</v>
      </c>
      <c r="H710" t="s">
        <v>26</v>
      </c>
      <c r="I710" t="s">
        <v>26</v>
      </c>
      <c r="J710" t="s">
        <v>26</v>
      </c>
      <c r="K710" t="s">
        <v>26</v>
      </c>
      <c r="L710" s="25" t="s">
        <v>68</v>
      </c>
      <c r="M710" t="s">
        <v>26</v>
      </c>
      <c r="N710" t="s">
        <v>26</v>
      </c>
      <c r="O710" t="s">
        <v>26</v>
      </c>
      <c r="P710" t="s">
        <v>26</v>
      </c>
      <c r="Q710" t="s">
        <v>26</v>
      </c>
      <c r="R710" t="s">
        <v>26</v>
      </c>
      <c r="S710" t="s">
        <v>26</v>
      </c>
      <c r="T710" t="s">
        <v>26</v>
      </c>
      <c r="U710" t="s">
        <v>26</v>
      </c>
      <c r="V710" t="s">
        <v>26</v>
      </c>
      <c r="W710" s="24">
        <v>29830</v>
      </c>
      <c r="X710" s="25" t="s">
        <v>77</v>
      </c>
      <c r="Y710" s="25" t="s">
        <v>1846</v>
      </c>
      <c r="Z710" s="24">
        <v>29830</v>
      </c>
      <c r="AA710" s="25" t="s">
        <v>77</v>
      </c>
      <c r="AB710" s="25" t="s">
        <v>1846</v>
      </c>
      <c r="AC710" s="24">
        <v>32203</v>
      </c>
      <c r="AD710" s="25" t="s">
        <v>77</v>
      </c>
      <c r="AE710" t="s">
        <v>26</v>
      </c>
      <c r="AF710" t="s">
        <v>26</v>
      </c>
      <c r="AG710" t="s">
        <v>26</v>
      </c>
      <c r="AH710" t="s">
        <v>26</v>
      </c>
      <c r="AI710" t="s">
        <v>26</v>
      </c>
      <c r="AJ710" t="s">
        <v>26</v>
      </c>
      <c r="AK710" t="s">
        <v>26</v>
      </c>
      <c r="AL710" t="s">
        <v>26</v>
      </c>
      <c r="AM710" t="s">
        <v>26</v>
      </c>
      <c r="AN710" t="s">
        <v>26</v>
      </c>
      <c r="AO710" s="25" t="s">
        <v>68</v>
      </c>
      <c r="AP710" s="23" t="s">
        <v>69</v>
      </c>
      <c r="AQ710" s="23" t="s">
        <v>30</v>
      </c>
      <c r="AR710" s="23" t="s">
        <v>1190</v>
      </c>
      <c r="AS710" s="25">
        <v>37718</v>
      </c>
      <c r="AT710" t="s">
        <v>26</v>
      </c>
      <c r="AU710" t="s">
        <v>23174</v>
      </c>
    </row>
    <row r="711" spans="1:47" ht="26.25" x14ac:dyDescent="0.4">
      <c r="A711" s="23" t="s">
        <v>1847</v>
      </c>
      <c r="B711" t="s">
        <v>26</v>
      </c>
      <c r="C711" s="23" t="s">
        <v>1848</v>
      </c>
      <c r="D711" s="23" t="s">
        <v>23175</v>
      </c>
      <c r="E711" s="23" t="s">
        <v>42</v>
      </c>
      <c r="F711" s="25" t="s">
        <v>1849</v>
      </c>
      <c r="G711" s="25" t="s">
        <v>1850</v>
      </c>
      <c r="H711" t="s">
        <v>26</v>
      </c>
      <c r="I711" s="24">
        <v>34366</v>
      </c>
      <c r="J711" s="24">
        <v>38749</v>
      </c>
      <c r="K711" t="s">
        <v>26</v>
      </c>
      <c r="L711" s="25" t="s">
        <v>68</v>
      </c>
      <c r="M711" s="24">
        <v>34366</v>
      </c>
      <c r="N711" s="24">
        <v>38749</v>
      </c>
      <c r="O711" t="s">
        <v>26</v>
      </c>
      <c r="P711" s="24">
        <v>35004</v>
      </c>
      <c r="Q711" s="24">
        <v>38749</v>
      </c>
      <c r="R711" t="s">
        <v>26</v>
      </c>
      <c r="S711" t="s">
        <v>26</v>
      </c>
      <c r="T711" t="s">
        <v>26</v>
      </c>
      <c r="U711" t="s">
        <v>26</v>
      </c>
      <c r="V711" t="s">
        <v>26</v>
      </c>
      <c r="W711" s="24">
        <v>32540</v>
      </c>
      <c r="X711" s="25" t="s">
        <v>77</v>
      </c>
      <c r="Y711" t="s">
        <v>26</v>
      </c>
      <c r="Z711" s="24">
        <v>32540</v>
      </c>
      <c r="AA711" s="25" t="s">
        <v>77</v>
      </c>
      <c r="AB711" t="s">
        <v>26</v>
      </c>
      <c r="AC711" s="24">
        <v>32540</v>
      </c>
      <c r="AD711" s="25" t="s">
        <v>77</v>
      </c>
      <c r="AE711" t="s">
        <v>26</v>
      </c>
      <c r="AF711" t="s">
        <v>26</v>
      </c>
      <c r="AG711" t="s">
        <v>26</v>
      </c>
      <c r="AH711" t="s">
        <v>26</v>
      </c>
      <c r="AI711" t="s">
        <v>26</v>
      </c>
      <c r="AJ711" t="s">
        <v>26</v>
      </c>
      <c r="AK711" t="s">
        <v>26</v>
      </c>
      <c r="AL711" t="s">
        <v>26</v>
      </c>
      <c r="AM711" t="s">
        <v>26</v>
      </c>
      <c r="AN711" t="s">
        <v>26</v>
      </c>
      <c r="AO711" s="25" t="s">
        <v>68</v>
      </c>
      <c r="AP711" s="23" t="s">
        <v>69</v>
      </c>
      <c r="AQ711" s="23" t="s">
        <v>30</v>
      </c>
      <c r="AR711" s="23" t="s">
        <v>433</v>
      </c>
      <c r="AS711" s="25">
        <v>49230</v>
      </c>
      <c r="AT711" t="s">
        <v>26</v>
      </c>
      <c r="AU711" t="s">
        <v>23176</v>
      </c>
    </row>
    <row r="712" spans="1:47" ht="26.25" x14ac:dyDescent="0.4">
      <c r="A712" s="23" t="s">
        <v>1851</v>
      </c>
      <c r="B712" t="s">
        <v>26</v>
      </c>
      <c r="C712" s="23" t="s">
        <v>1852</v>
      </c>
      <c r="D712" s="23" t="s">
        <v>23177</v>
      </c>
      <c r="E712" s="23" t="s">
        <v>42</v>
      </c>
      <c r="F712" t="s">
        <v>26</v>
      </c>
      <c r="G712" s="25" t="s">
        <v>1853</v>
      </c>
      <c r="H712" t="s">
        <v>26</v>
      </c>
      <c r="I712" s="24">
        <v>39661</v>
      </c>
      <c r="J712" s="25" t="s">
        <v>77</v>
      </c>
      <c r="K712" t="s">
        <v>26</v>
      </c>
      <c r="L712" s="25" t="s">
        <v>68</v>
      </c>
      <c r="M712" s="24">
        <v>39661</v>
      </c>
      <c r="N712" s="25" t="s">
        <v>77</v>
      </c>
      <c r="O712" t="s">
        <v>26</v>
      </c>
      <c r="P712" s="24">
        <v>39661</v>
      </c>
      <c r="Q712" s="25" t="s">
        <v>77</v>
      </c>
      <c r="R712" t="s">
        <v>26</v>
      </c>
      <c r="S712" t="s">
        <v>26</v>
      </c>
      <c r="T712" t="s">
        <v>26</v>
      </c>
      <c r="U712" t="s">
        <v>26</v>
      </c>
      <c r="V712" t="s">
        <v>26</v>
      </c>
      <c r="W712" s="24">
        <v>39661</v>
      </c>
      <c r="X712" s="25" t="s">
        <v>77</v>
      </c>
      <c r="Y712" t="s">
        <v>26</v>
      </c>
      <c r="Z712" s="24">
        <v>39661</v>
      </c>
      <c r="AA712" s="25" t="s">
        <v>77</v>
      </c>
      <c r="AB712" t="s">
        <v>26</v>
      </c>
      <c r="AC712" s="24">
        <v>39661</v>
      </c>
      <c r="AD712" s="25" t="s">
        <v>77</v>
      </c>
      <c r="AE712" t="s">
        <v>26</v>
      </c>
      <c r="AF712" t="s">
        <v>26</v>
      </c>
      <c r="AG712" t="s">
        <v>26</v>
      </c>
      <c r="AH712" t="s">
        <v>26</v>
      </c>
      <c r="AI712" t="s">
        <v>26</v>
      </c>
      <c r="AJ712" t="s">
        <v>26</v>
      </c>
      <c r="AK712" t="s">
        <v>26</v>
      </c>
      <c r="AL712" t="s">
        <v>26</v>
      </c>
      <c r="AM712" t="s">
        <v>26</v>
      </c>
      <c r="AN712" t="s">
        <v>26</v>
      </c>
      <c r="AO712" s="25" t="s">
        <v>68</v>
      </c>
      <c r="AP712" s="23" t="s">
        <v>69</v>
      </c>
      <c r="AQ712" t="s">
        <v>26</v>
      </c>
      <c r="AR712" s="23" t="s">
        <v>433</v>
      </c>
      <c r="AS712" s="25">
        <v>38354</v>
      </c>
      <c r="AT712" t="s">
        <v>26</v>
      </c>
      <c r="AU712" t="s">
        <v>23178</v>
      </c>
    </row>
    <row r="713" spans="1:47" ht="26.25" x14ac:dyDescent="0.4">
      <c r="A713" s="23" t="s">
        <v>1854</v>
      </c>
      <c r="B713" t="s">
        <v>26</v>
      </c>
      <c r="C713" s="23" t="s">
        <v>146</v>
      </c>
      <c r="D713" s="23" t="s">
        <v>22174</v>
      </c>
      <c r="E713" s="23" t="s">
        <v>60</v>
      </c>
      <c r="F713" t="s">
        <v>26</v>
      </c>
      <c r="G713" t="s">
        <v>26</v>
      </c>
      <c r="H713" t="s">
        <v>26</v>
      </c>
      <c r="I713" t="s">
        <v>26</v>
      </c>
      <c r="J713" t="s">
        <v>26</v>
      </c>
      <c r="K713" t="s">
        <v>26</v>
      </c>
      <c r="L713" s="25" t="s">
        <v>28</v>
      </c>
      <c r="M713" t="s">
        <v>26</v>
      </c>
      <c r="N713" t="s">
        <v>26</v>
      </c>
      <c r="O713" t="s">
        <v>26</v>
      </c>
      <c r="P713" t="s">
        <v>26</v>
      </c>
      <c r="Q713" t="s">
        <v>26</v>
      </c>
      <c r="R713" t="s">
        <v>26</v>
      </c>
      <c r="S713" t="s">
        <v>26</v>
      </c>
      <c r="T713" t="s">
        <v>26</v>
      </c>
      <c r="U713" t="s">
        <v>26</v>
      </c>
      <c r="V713" t="s">
        <v>26</v>
      </c>
      <c r="W713" s="24">
        <v>42005</v>
      </c>
      <c r="X713" s="24">
        <v>42005</v>
      </c>
      <c r="Y713" t="s">
        <v>26</v>
      </c>
      <c r="Z713" s="24">
        <v>42005</v>
      </c>
      <c r="AA713" s="24">
        <v>42005</v>
      </c>
      <c r="AB713" t="s">
        <v>26</v>
      </c>
      <c r="AC713" t="s">
        <v>26</v>
      </c>
      <c r="AD713" t="s">
        <v>26</v>
      </c>
      <c r="AE713" t="s">
        <v>26</v>
      </c>
      <c r="AF713" t="s">
        <v>26</v>
      </c>
      <c r="AG713" t="s">
        <v>26</v>
      </c>
      <c r="AH713" t="s">
        <v>26</v>
      </c>
      <c r="AI713" t="s">
        <v>26</v>
      </c>
      <c r="AJ713" t="s">
        <v>26</v>
      </c>
      <c r="AK713" t="s">
        <v>26</v>
      </c>
      <c r="AL713" t="s">
        <v>26</v>
      </c>
      <c r="AM713" t="s">
        <v>26</v>
      </c>
      <c r="AN713" t="s">
        <v>26</v>
      </c>
      <c r="AO713" s="25" t="s">
        <v>28</v>
      </c>
      <c r="AP713" s="23" t="s">
        <v>29</v>
      </c>
      <c r="AQ713" s="23" t="s">
        <v>30</v>
      </c>
      <c r="AR713" s="23" t="s">
        <v>245</v>
      </c>
      <c r="AS713" s="25">
        <v>5483613</v>
      </c>
      <c r="AT713" s="23" t="s">
        <v>22181</v>
      </c>
      <c r="AU713" t="s">
        <v>23179</v>
      </c>
    </row>
    <row r="714" spans="1:47" ht="26.25" x14ac:dyDescent="0.4">
      <c r="A714" s="23" t="s">
        <v>1855</v>
      </c>
      <c r="B714" t="s">
        <v>26</v>
      </c>
      <c r="C714" s="23" t="s">
        <v>146</v>
      </c>
      <c r="D714" s="23" t="s">
        <v>22174</v>
      </c>
      <c r="E714" s="23" t="s">
        <v>60</v>
      </c>
      <c r="F714" t="s">
        <v>26</v>
      </c>
      <c r="G714" t="s">
        <v>26</v>
      </c>
      <c r="H714" t="s">
        <v>26</v>
      </c>
      <c r="I714" t="s">
        <v>26</v>
      </c>
      <c r="J714" t="s">
        <v>26</v>
      </c>
      <c r="K714" t="s">
        <v>26</v>
      </c>
      <c r="L714" s="25" t="s">
        <v>28</v>
      </c>
      <c r="M714" t="s">
        <v>26</v>
      </c>
      <c r="N714" t="s">
        <v>26</v>
      </c>
      <c r="O714" t="s">
        <v>26</v>
      </c>
      <c r="P714" t="s">
        <v>26</v>
      </c>
      <c r="Q714" t="s">
        <v>26</v>
      </c>
      <c r="R714" t="s">
        <v>26</v>
      </c>
      <c r="S714" t="s">
        <v>26</v>
      </c>
      <c r="T714" t="s">
        <v>26</v>
      </c>
      <c r="U714" t="s">
        <v>26</v>
      </c>
      <c r="V714" t="s">
        <v>26</v>
      </c>
      <c r="W714" s="24">
        <v>42370</v>
      </c>
      <c r="X714" s="24">
        <v>42370</v>
      </c>
      <c r="Y714" t="s">
        <v>26</v>
      </c>
      <c r="Z714" s="24">
        <v>42370</v>
      </c>
      <c r="AA714" s="24">
        <v>42370</v>
      </c>
      <c r="AB714" t="s">
        <v>26</v>
      </c>
      <c r="AC714" t="s">
        <v>26</v>
      </c>
      <c r="AD714" t="s">
        <v>26</v>
      </c>
      <c r="AE714" t="s">
        <v>26</v>
      </c>
      <c r="AF714" t="s">
        <v>26</v>
      </c>
      <c r="AG714" t="s">
        <v>26</v>
      </c>
      <c r="AH714" t="s">
        <v>26</v>
      </c>
      <c r="AI714" t="s">
        <v>26</v>
      </c>
      <c r="AJ714" t="s">
        <v>26</v>
      </c>
      <c r="AK714" t="s">
        <v>26</v>
      </c>
      <c r="AL714" t="s">
        <v>26</v>
      </c>
      <c r="AM714" t="s">
        <v>26</v>
      </c>
      <c r="AN714" t="s">
        <v>26</v>
      </c>
      <c r="AO714" s="25" t="s">
        <v>28</v>
      </c>
      <c r="AP714" s="23" t="s">
        <v>29</v>
      </c>
      <c r="AQ714" s="23" t="s">
        <v>30</v>
      </c>
      <c r="AR714" s="23" t="s">
        <v>147</v>
      </c>
      <c r="AS714" s="25">
        <v>5483604</v>
      </c>
      <c r="AT714" s="23" t="s">
        <v>22181</v>
      </c>
      <c r="AU714" t="s">
        <v>23180</v>
      </c>
    </row>
    <row r="715" spans="1:47" ht="26.25" x14ac:dyDescent="0.4">
      <c r="A715" s="23" t="s">
        <v>1856</v>
      </c>
      <c r="B715" t="s">
        <v>26</v>
      </c>
      <c r="C715" s="23" t="s">
        <v>1857</v>
      </c>
      <c r="D715" s="23" t="s">
        <v>23181</v>
      </c>
      <c r="E715" s="23" t="s">
        <v>120</v>
      </c>
      <c r="F715" s="25" t="s">
        <v>1858</v>
      </c>
      <c r="G715" t="s">
        <v>26</v>
      </c>
      <c r="H715" t="s">
        <v>26</v>
      </c>
      <c r="I715" s="24">
        <v>36161</v>
      </c>
      <c r="J715" s="25" t="s">
        <v>77</v>
      </c>
      <c r="K715" t="s">
        <v>26</v>
      </c>
      <c r="L715" s="25" t="s">
        <v>68</v>
      </c>
      <c r="M715" t="s">
        <v>26</v>
      </c>
      <c r="N715" t="s">
        <v>26</v>
      </c>
      <c r="O715" t="s">
        <v>26</v>
      </c>
      <c r="P715" s="24">
        <v>36161</v>
      </c>
      <c r="Q715" s="25" t="s">
        <v>77</v>
      </c>
      <c r="R715" t="s">
        <v>26</v>
      </c>
      <c r="S715" t="s">
        <v>26</v>
      </c>
      <c r="T715" t="s">
        <v>26</v>
      </c>
      <c r="U715" t="s">
        <v>26</v>
      </c>
      <c r="V715" t="s">
        <v>26</v>
      </c>
      <c r="W715" s="24">
        <v>36161</v>
      </c>
      <c r="X715" s="25" t="s">
        <v>77</v>
      </c>
      <c r="Y715" t="s">
        <v>26</v>
      </c>
      <c r="Z715" s="24">
        <v>36161</v>
      </c>
      <c r="AA715" s="25" t="s">
        <v>77</v>
      </c>
      <c r="AB715" t="s">
        <v>26</v>
      </c>
      <c r="AC715" s="24">
        <v>36161</v>
      </c>
      <c r="AD715" s="25" t="s">
        <v>77</v>
      </c>
      <c r="AE715" s="25" t="s">
        <v>23182</v>
      </c>
      <c r="AF715" t="s">
        <v>26</v>
      </c>
      <c r="AG715" t="s">
        <v>26</v>
      </c>
      <c r="AH715" t="s">
        <v>26</v>
      </c>
      <c r="AI715" t="s">
        <v>26</v>
      </c>
      <c r="AJ715" t="s">
        <v>26</v>
      </c>
      <c r="AK715" t="s">
        <v>26</v>
      </c>
      <c r="AL715" t="s">
        <v>26</v>
      </c>
      <c r="AM715" t="s">
        <v>26</v>
      </c>
      <c r="AN715" t="s">
        <v>26</v>
      </c>
      <c r="AO715" s="25" t="s">
        <v>68</v>
      </c>
      <c r="AP715" s="23" t="s">
        <v>69</v>
      </c>
      <c r="AQ715" s="23" t="s">
        <v>30</v>
      </c>
      <c r="AR715" s="23" t="s">
        <v>128</v>
      </c>
      <c r="AS715" s="25">
        <v>4464511</v>
      </c>
      <c r="AT715" t="s">
        <v>26</v>
      </c>
      <c r="AU715" t="s">
        <v>23183</v>
      </c>
    </row>
    <row r="716" spans="1:47" ht="26.25" x14ac:dyDescent="0.4">
      <c r="A716" s="23" t="s">
        <v>1859</v>
      </c>
      <c r="B716" t="s">
        <v>26</v>
      </c>
      <c r="C716" s="23" t="s">
        <v>107</v>
      </c>
      <c r="D716" s="23" t="s">
        <v>22194</v>
      </c>
      <c r="E716" s="23" t="s">
        <v>42</v>
      </c>
      <c r="F716" s="25" t="s">
        <v>1860</v>
      </c>
      <c r="G716" s="25" t="s">
        <v>1861</v>
      </c>
      <c r="H716" t="s">
        <v>26</v>
      </c>
      <c r="I716" t="s">
        <v>26</v>
      </c>
      <c r="J716" t="s">
        <v>26</v>
      </c>
      <c r="K716" t="s">
        <v>26</v>
      </c>
      <c r="L716" s="25" t="s">
        <v>68</v>
      </c>
      <c r="M716" t="s">
        <v>26</v>
      </c>
      <c r="N716" t="s">
        <v>26</v>
      </c>
      <c r="O716" t="s">
        <v>26</v>
      </c>
      <c r="P716" t="s">
        <v>26</v>
      </c>
      <c r="Q716" t="s">
        <v>26</v>
      </c>
      <c r="R716" t="s">
        <v>26</v>
      </c>
      <c r="S716" t="s">
        <v>26</v>
      </c>
      <c r="T716" t="s">
        <v>26</v>
      </c>
      <c r="U716" t="s">
        <v>26</v>
      </c>
      <c r="V716" t="s">
        <v>26</v>
      </c>
      <c r="W716" s="24">
        <v>24139</v>
      </c>
      <c r="X716" s="25" t="s">
        <v>77</v>
      </c>
      <c r="Y716" s="25" t="s">
        <v>1862</v>
      </c>
      <c r="Z716" s="24">
        <v>24139</v>
      </c>
      <c r="AA716" s="25" t="s">
        <v>77</v>
      </c>
      <c r="AB716" s="25" t="s">
        <v>1862</v>
      </c>
      <c r="AC716" s="24">
        <v>25873</v>
      </c>
      <c r="AD716" s="25" t="s">
        <v>77</v>
      </c>
      <c r="AE716" s="25" t="s">
        <v>23184</v>
      </c>
      <c r="AF716" t="s">
        <v>26</v>
      </c>
      <c r="AG716" t="s">
        <v>26</v>
      </c>
      <c r="AH716" t="s">
        <v>26</v>
      </c>
      <c r="AI716" t="s">
        <v>26</v>
      </c>
      <c r="AJ716" t="s">
        <v>26</v>
      </c>
      <c r="AK716" t="s">
        <v>26</v>
      </c>
      <c r="AL716" t="s">
        <v>26</v>
      </c>
      <c r="AM716" t="s">
        <v>26</v>
      </c>
      <c r="AN716" t="s">
        <v>26</v>
      </c>
      <c r="AO716" s="25" t="s">
        <v>68</v>
      </c>
      <c r="AP716" s="23" t="s">
        <v>69</v>
      </c>
      <c r="AQ716" s="23" t="s">
        <v>30</v>
      </c>
      <c r="AR716" s="23" t="s">
        <v>1863</v>
      </c>
      <c r="AS716" s="25">
        <v>41336</v>
      </c>
      <c r="AT716" t="s">
        <v>26</v>
      </c>
      <c r="AU716" t="s">
        <v>23185</v>
      </c>
    </row>
    <row r="717" spans="1:47" ht="26.25" x14ac:dyDescent="0.4">
      <c r="A717" s="23" t="s">
        <v>1864</v>
      </c>
      <c r="B717" t="s">
        <v>26</v>
      </c>
      <c r="C717" s="23" t="s">
        <v>264</v>
      </c>
      <c r="D717" s="23" t="s">
        <v>22261</v>
      </c>
      <c r="E717" s="23" t="s">
        <v>60</v>
      </c>
      <c r="F717" s="25" t="s">
        <v>1865</v>
      </c>
      <c r="G717" s="25" t="s">
        <v>1866</v>
      </c>
      <c r="H717" t="s">
        <v>26</v>
      </c>
      <c r="I717" s="24">
        <v>37073</v>
      </c>
      <c r="J717" s="25" t="s">
        <v>77</v>
      </c>
      <c r="K717" t="s">
        <v>26</v>
      </c>
      <c r="L717" s="25" t="s">
        <v>68</v>
      </c>
      <c r="M717" s="24">
        <v>37073</v>
      </c>
      <c r="N717" s="25" t="s">
        <v>77</v>
      </c>
      <c r="O717" t="s">
        <v>26</v>
      </c>
      <c r="P717" s="24">
        <v>37073</v>
      </c>
      <c r="Q717" s="25" t="s">
        <v>77</v>
      </c>
      <c r="R717" t="s">
        <v>26</v>
      </c>
      <c r="S717" t="s">
        <v>26</v>
      </c>
      <c r="T717" t="s">
        <v>26</v>
      </c>
      <c r="U717" t="s">
        <v>26</v>
      </c>
      <c r="V717" s="25">
        <v>365</v>
      </c>
      <c r="W717" s="24">
        <v>37073</v>
      </c>
      <c r="X717" s="25" t="s">
        <v>77</v>
      </c>
      <c r="Y717" t="s">
        <v>26</v>
      </c>
      <c r="Z717" s="24">
        <v>37073</v>
      </c>
      <c r="AA717" s="25" t="s">
        <v>77</v>
      </c>
      <c r="AB717" t="s">
        <v>26</v>
      </c>
      <c r="AC717" s="24">
        <v>37073</v>
      </c>
      <c r="AD717" s="25" t="s">
        <v>77</v>
      </c>
      <c r="AE717" t="s">
        <v>26</v>
      </c>
      <c r="AF717" t="s">
        <v>26</v>
      </c>
      <c r="AG717" t="s">
        <v>26</v>
      </c>
      <c r="AH717" t="s">
        <v>26</v>
      </c>
      <c r="AI717" t="s">
        <v>26</v>
      </c>
      <c r="AJ717" t="s">
        <v>26</v>
      </c>
      <c r="AK717" t="s">
        <v>26</v>
      </c>
      <c r="AL717" t="s">
        <v>26</v>
      </c>
      <c r="AM717" t="s">
        <v>26</v>
      </c>
      <c r="AN717" t="s">
        <v>26</v>
      </c>
      <c r="AO717" s="25" t="s">
        <v>68</v>
      </c>
      <c r="AP717" s="23" t="s">
        <v>69</v>
      </c>
      <c r="AQ717" s="23" t="s">
        <v>30</v>
      </c>
      <c r="AR717" s="23" t="s">
        <v>128</v>
      </c>
      <c r="AS717" s="25">
        <v>27266</v>
      </c>
      <c r="AT717" t="s">
        <v>26</v>
      </c>
      <c r="AU717" t="s">
        <v>23186</v>
      </c>
    </row>
    <row r="718" spans="1:47" ht="13.15" x14ac:dyDescent="0.4">
      <c r="A718" s="23" t="s">
        <v>23187</v>
      </c>
      <c r="B718" t="s">
        <v>26</v>
      </c>
      <c r="C718" s="23" t="s">
        <v>332</v>
      </c>
      <c r="D718" s="23" t="s">
        <v>22545</v>
      </c>
      <c r="E718" s="23" t="s">
        <v>42</v>
      </c>
      <c r="F718" t="s">
        <v>26</v>
      </c>
      <c r="G718" t="s">
        <v>26</v>
      </c>
      <c r="H718" t="s">
        <v>26</v>
      </c>
      <c r="I718" s="25" t="s">
        <v>295</v>
      </c>
      <c r="J718" s="25" t="s">
        <v>295</v>
      </c>
      <c r="K718" t="s">
        <v>26</v>
      </c>
      <c r="L718" s="25" t="s">
        <v>28</v>
      </c>
      <c r="M718" s="25" t="s">
        <v>295</v>
      </c>
      <c r="N718" s="25" t="s">
        <v>295</v>
      </c>
      <c r="O718" t="s">
        <v>26</v>
      </c>
      <c r="P718" t="s">
        <v>26</v>
      </c>
      <c r="Q718" t="s">
        <v>26</v>
      </c>
      <c r="R718" t="s">
        <v>26</v>
      </c>
      <c r="S718" t="s">
        <v>26</v>
      </c>
      <c r="T718" t="s">
        <v>26</v>
      </c>
      <c r="U718" t="s">
        <v>26</v>
      </c>
      <c r="V718" t="s">
        <v>26</v>
      </c>
      <c r="W718" s="25" t="s">
        <v>295</v>
      </c>
      <c r="X718" s="25" t="s">
        <v>295</v>
      </c>
      <c r="Y718" t="s">
        <v>26</v>
      </c>
      <c r="Z718" s="25" t="s">
        <v>295</v>
      </c>
      <c r="AA718" s="25" t="s">
        <v>295</v>
      </c>
      <c r="AB718" t="s">
        <v>26</v>
      </c>
      <c r="AC718" s="25" t="s">
        <v>295</v>
      </c>
      <c r="AD718" s="25" t="s">
        <v>295</v>
      </c>
      <c r="AE718" t="s">
        <v>26</v>
      </c>
      <c r="AF718" t="s">
        <v>26</v>
      </c>
      <c r="AG718" t="s">
        <v>26</v>
      </c>
      <c r="AH718" t="s">
        <v>26</v>
      </c>
      <c r="AI718" t="s">
        <v>26</v>
      </c>
      <c r="AJ718" t="s">
        <v>26</v>
      </c>
      <c r="AK718" t="s">
        <v>26</v>
      </c>
      <c r="AL718" t="s">
        <v>26</v>
      </c>
      <c r="AM718" t="s">
        <v>26</v>
      </c>
      <c r="AN718" t="s">
        <v>26</v>
      </c>
      <c r="AO718" s="25" t="s">
        <v>28</v>
      </c>
      <c r="AP718" s="23" t="s">
        <v>279</v>
      </c>
      <c r="AQ718" s="23" t="s">
        <v>30</v>
      </c>
      <c r="AR718" s="23" t="s">
        <v>46</v>
      </c>
      <c r="AS718" s="25">
        <v>6009015</v>
      </c>
      <c r="AT718" t="s">
        <v>26</v>
      </c>
      <c r="AU718" t="s">
        <v>23188</v>
      </c>
    </row>
    <row r="719" spans="1:47" ht="13.15" x14ac:dyDescent="0.4">
      <c r="A719" s="23" t="s">
        <v>1867</v>
      </c>
      <c r="B719" t="s">
        <v>26</v>
      </c>
      <c r="C719" s="23" t="s">
        <v>1868</v>
      </c>
      <c r="D719" s="23" t="s">
        <v>22634</v>
      </c>
      <c r="E719" s="23" t="s">
        <v>335</v>
      </c>
      <c r="F719" s="25" t="s">
        <v>1869</v>
      </c>
      <c r="G719" t="s">
        <v>26</v>
      </c>
      <c r="H719" t="s">
        <v>26</v>
      </c>
      <c r="I719" s="24">
        <v>36039</v>
      </c>
      <c r="J719" s="24">
        <v>41609</v>
      </c>
      <c r="K719" t="s">
        <v>26</v>
      </c>
      <c r="L719" s="25" t="s">
        <v>28</v>
      </c>
      <c r="M719" s="24">
        <v>36039</v>
      </c>
      <c r="N719" s="24">
        <v>41609</v>
      </c>
      <c r="O719" t="s">
        <v>26</v>
      </c>
      <c r="P719" s="24">
        <v>38353</v>
      </c>
      <c r="Q719" s="24">
        <v>41609</v>
      </c>
      <c r="R719" t="s">
        <v>26</v>
      </c>
      <c r="S719" t="s">
        <v>26</v>
      </c>
      <c r="T719" t="s">
        <v>26</v>
      </c>
      <c r="U719" t="s">
        <v>26</v>
      </c>
      <c r="V719" t="s">
        <v>26</v>
      </c>
      <c r="W719" s="24">
        <v>36039</v>
      </c>
      <c r="X719" s="24">
        <v>41609</v>
      </c>
      <c r="Y719" t="s">
        <v>26</v>
      </c>
      <c r="Z719" s="24">
        <v>36039</v>
      </c>
      <c r="AA719" s="24">
        <v>41609</v>
      </c>
      <c r="AB719" t="s">
        <v>26</v>
      </c>
      <c r="AC719" s="24">
        <v>36039</v>
      </c>
      <c r="AD719" s="24">
        <v>41609</v>
      </c>
      <c r="AE719" t="s">
        <v>26</v>
      </c>
      <c r="AF719" t="s">
        <v>26</v>
      </c>
      <c r="AG719" t="s">
        <v>26</v>
      </c>
      <c r="AH719" t="s">
        <v>26</v>
      </c>
      <c r="AI719" t="s">
        <v>26</v>
      </c>
      <c r="AJ719" t="s">
        <v>26</v>
      </c>
      <c r="AK719" t="s">
        <v>26</v>
      </c>
      <c r="AL719" t="s">
        <v>26</v>
      </c>
      <c r="AM719" t="s">
        <v>26</v>
      </c>
      <c r="AN719" t="s">
        <v>26</v>
      </c>
      <c r="AO719" s="25" t="s">
        <v>28</v>
      </c>
      <c r="AP719" s="23" t="s">
        <v>112</v>
      </c>
      <c r="AQ719" s="23" t="s">
        <v>30</v>
      </c>
      <c r="AR719" s="23" t="s">
        <v>203</v>
      </c>
      <c r="AS719" s="25">
        <v>43474</v>
      </c>
      <c r="AT719" t="s">
        <v>26</v>
      </c>
      <c r="AU719" t="s">
        <v>23189</v>
      </c>
    </row>
    <row r="720" spans="1:47" ht="26.25" x14ac:dyDescent="0.4">
      <c r="A720" s="23" t="s">
        <v>1870</v>
      </c>
      <c r="B720" t="s">
        <v>26</v>
      </c>
      <c r="C720" s="23" t="s">
        <v>1871</v>
      </c>
      <c r="D720" s="23" t="s">
        <v>23190</v>
      </c>
      <c r="E720" s="23" t="s">
        <v>155</v>
      </c>
      <c r="F720" s="25" t="s">
        <v>1872</v>
      </c>
      <c r="G720" s="25" t="s">
        <v>1873</v>
      </c>
      <c r="H720" t="s">
        <v>26</v>
      </c>
      <c r="I720" s="24">
        <v>41275</v>
      </c>
      <c r="J720" s="25" t="s">
        <v>77</v>
      </c>
      <c r="K720" t="s">
        <v>26</v>
      </c>
      <c r="L720" s="25" t="s">
        <v>68</v>
      </c>
      <c r="M720" t="s">
        <v>26</v>
      </c>
      <c r="N720" t="s">
        <v>26</v>
      </c>
      <c r="O720" t="s">
        <v>26</v>
      </c>
      <c r="P720" s="24">
        <v>41275</v>
      </c>
      <c r="Q720" s="25" t="s">
        <v>77</v>
      </c>
      <c r="R720" t="s">
        <v>26</v>
      </c>
      <c r="S720" t="s">
        <v>26</v>
      </c>
      <c r="T720" t="s">
        <v>26</v>
      </c>
      <c r="U720" t="s">
        <v>26</v>
      </c>
      <c r="V720" t="s">
        <v>26</v>
      </c>
      <c r="W720" s="24">
        <v>41275</v>
      </c>
      <c r="X720" s="25" t="s">
        <v>77</v>
      </c>
      <c r="Y720" t="s">
        <v>26</v>
      </c>
      <c r="Z720" s="24">
        <v>41275</v>
      </c>
      <c r="AA720" s="25" t="s">
        <v>77</v>
      </c>
      <c r="AB720" t="s">
        <v>26</v>
      </c>
      <c r="AC720" s="24">
        <v>41275</v>
      </c>
      <c r="AD720" s="25" t="s">
        <v>77</v>
      </c>
      <c r="AE720" t="s">
        <v>26</v>
      </c>
      <c r="AF720" t="s">
        <v>26</v>
      </c>
      <c r="AG720" t="s">
        <v>26</v>
      </c>
      <c r="AH720" t="s">
        <v>26</v>
      </c>
      <c r="AI720" t="s">
        <v>26</v>
      </c>
      <c r="AJ720" t="s">
        <v>26</v>
      </c>
      <c r="AK720" t="s">
        <v>26</v>
      </c>
      <c r="AL720" t="s">
        <v>26</v>
      </c>
      <c r="AM720" t="s">
        <v>26</v>
      </c>
      <c r="AN720" t="s">
        <v>26</v>
      </c>
      <c r="AO720" s="25" t="s">
        <v>68</v>
      </c>
      <c r="AP720" s="23" t="s">
        <v>69</v>
      </c>
      <c r="AQ720" s="23" t="s">
        <v>142</v>
      </c>
      <c r="AR720" s="23" t="s">
        <v>46</v>
      </c>
      <c r="AS720" s="25">
        <v>5251206</v>
      </c>
      <c r="AT720" t="s">
        <v>26</v>
      </c>
      <c r="AU720" t="s">
        <v>23191</v>
      </c>
    </row>
    <row r="721" spans="1:47" ht="26.25" x14ac:dyDescent="0.4">
      <c r="A721" s="23" t="s">
        <v>1874</v>
      </c>
      <c r="B721" t="s">
        <v>26</v>
      </c>
      <c r="C721" s="23" t="s">
        <v>1875</v>
      </c>
      <c r="D721" s="23" t="s">
        <v>23192</v>
      </c>
      <c r="E721" s="23" t="s">
        <v>155</v>
      </c>
      <c r="F721" s="25" t="s">
        <v>1876</v>
      </c>
      <c r="G721" s="25" t="s">
        <v>1877</v>
      </c>
      <c r="H721" t="s">
        <v>26</v>
      </c>
      <c r="I721" s="24">
        <v>40544</v>
      </c>
      <c r="J721" s="25" t="s">
        <v>77</v>
      </c>
      <c r="K721" t="s">
        <v>26</v>
      </c>
      <c r="L721" s="25" t="s">
        <v>68</v>
      </c>
      <c r="M721" t="s">
        <v>26</v>
      </c>
      <c r="N721" t="s">
        <v>26</v>
      </c>
      <c r="O721" t="s">
        <v>26</v>
      </c>
      <c r="P721" s="24">
        <v>40544</v>
      </c>
      <c r="Q721" s="25" t="s">
        <v>77</v>
      </c>
      <c r="R721" t="s">
        <v>26</v>
      </c>
      <c r="S721" t="s">
        <v>26</v>
      </c>
      <c r="T721" t="s">
        <v>26</v>
      </c>
      <c r="U721" t="s">
        <v>26</v>
      </c>
      <c r="V721" t="s">
        <v>26</v>
      </c>
      <c r="W721" s="24">
        <v>40544</v>
      </c>
      <c r="X721" s="25" t="s">
        <v>77</v>
      </c>
      <c r="Y721" t="s">
        <v>26</v>
      </c>
      <c r="Z721" s="24">
        <v>40544</v>
      </c>
      <c r="AA721" s="25" t="s">
        <v>77</v>
      </c>
      <c r="AB721" t="s">
        <v>26</v>
      </c>
      <c r="AC721" s="24">
        <v>40544</v>
      </c>
      <c r="AD721" s="25" t="s">
        <v>77</v>
      </c>
      <c r="AE721" t="s">
        <v>26</v>
      </c>
      <c r="AF721" t="s">
        <v>26</v>
      </c>
      <c r="AG721" t="s">
        <v>26</v>
      </c>
      <c r="AH721" t="s">
        <v>26</v>
      </c>
      <c r="AI721" t="s">
        <v>26</v>
      </c>
      <c r="AJ721" t="s">
        <v>26</v>
      </c>
      <c r="AK721" t="s">
        <v>26</v>
      </c>
      <c r="AL721" t="s">
        <v>26</v>
      </c>
      <c r="AM721" t="s">
        <v>26</v>
      </c>
      <c r="AN721" t="s">
        <v>26</v>
      </c>
      <c r="AO721" s="25" t="s">
        <v>68</v>
      </c>
      <c r="AP721" s="23" t="s">
        <v>69</v>
      </c>
      <c r="AQ721" s="23" t="s">
        <v>142</v>
      </c>
      <c r="AR721" s="23" t="s">
        <v>128</v>
      </c>
      <c r="AS721" s="25">
        <v>2041081</v>
      </c>
      <c r="AT721" t="s">
        <v>26</v>
      </c>
      <c r="AU721" t="s">
        <v>23193</v>
      </c>
    </row>
    <row r="722" spans="1:47" ht="26.25" x14ac:dyDescent="0.4">
      <c r="A722" s="23" t="s">
        <v>1878</v>
      </c>
      <c r="B722" t="s">
        <v>26</v>
      </c>
      <c r="C722" s="23" t="s">
        <v>51</v>
      </c>
      <c r="D722" t="s">
        <v>26</v>
      </c>
      <c r="E722" s="23" t="s">
        <v>42</v>
      </c>
      <c r="F722" t="s">
        <v>26</v>
      </c>
      <c r="G722" t="s">
        <v>26</v>
      </c>
      <c r="H722" t="s">
        <v>26</v>
      </c>
      <c r="I722" s="24">
        <v>36526</v>
      </c>
      <c r="J722" s="24">
        <v>36526</v>
      </c>
      <c r="K722" t="s">
        <v>26</v>
      </c>
      <c r="L722" s="25" t="s">
        <v>28</v>
      </c>
      <c r="M722" s="24">
        <v>36526</v>
      </c>
      <c r="N722" s="24">
        <v>36526</v>
      </c>
      <c r="O722" t="s">
        <v>26</v>
      </c>
      <c r="P722" t="s">
        <v>26</v>
      </c>
      <c r="Q722" t="s">
        <v>26</v>
      </c>
      <c r="R722" t="s">
        <v>26</v>
      </c>
      <c r="S722" s="24">
        <v>36526</v>
      </c>
      <c r="T722" s="24">
        <v>36526</v>
      </c>
      <c r="U722" t="s">
        <v>26</v>
      </c>
      <c r="V722" t="s">
        <v>26</v>
      </c>
      <c r="W722" s="24">
        <v>36526</v>
      </c>
      <c r="X722" s="24">
        <v>36526</v>
      </c>
      <c r="Y722" t="s">
        <v>26</v>
      </c>
      <c r="Z722" s="24">
        <v>36526</v>
      </c>
      <c r="AA722" s="24">
        <v>36526</v>
      </c>
      <c r="AB722" t="s">
        <v>26</v>
      </c>
      <c r="AC722" s="24">
        <v>36526</v>
      </c>
      <c r="AD722" s="24">
        <v>36526</v>
      </c>
      <c r="AE722" t="s">
        <v>26</v>
      </c>
      <c r="AF722" s="24">
        <v>36526</v>
      </c>
      <c r="AG722" s="24">
        <v>36526</v>
      </c>
      <c r="AH722" t="s">
        <v>26</v>
      </c>
      <c r="AI722" s="24">
        <v>36526</v>
      </c>
      <c r="AJ722" s="24">
        <v>36526</v>
      </c>
      <c r="AK722" t="s">
        <v>26</v>
      </c>
      <c r="AL722" t="s">
        <v>26</v>
      </c>
      <c r="AM722" t="s">
        <v>26</v>
      </c>
      <c r="AN722" t="s">
        <v>26</v>
      </c>
      <c r="AO722" s="25" t="s">
        <v>28</v>
      </c>
      <c r="AP722" s="23" t="s">
        <v>43</v>
      </c>
      <c r="AQ722" s="23" t="s">
        <v>30</v>
      </c>
      <c r="AR722" s="23" t="s">
        <v>44</v>
      </c>
      <c r="AS722" s="25">
        <v>5256674</v>
      </c>
      <c r="AT722" t="s">
        <v>26</v>
      </c>
      <c r="AU722" t="s">
        <v>23194</v>
      </c>
    </row>
    <row r="723" spans="1:47" ht="26.25" x14ac:dyDescent="0.4">
      <c r="A723" s="23" t="s">
        <v>1879</v>
      </c>
      <c r="B723" t="s">
        <v>26</v>
      </c>
      <c r="C723" s="23" t="s">
        <v>181</v>
      </c>
      <c r="D723" s="23" t="s">
        <v>22174</v>
      </c>
      <c r="E723" s="23" t="s">
        <v>60</v>
      </c>
      <c r="F723" s="25" t="s">
        <v>1880</v>
      </c>
      <c r="G723" s="25" t="s">
        <v>1881</v>
      </c>
      <c r="H723" t="s">
        <v>26</v>
      </c>
      <c r="I723" t="s">
        <v>26</v>
      </c>
      <c r="J723" t="s">
        <v>26</v>
      </c>
      <c r="K723" t="s">
        <v>26</v>
      </c>
      <c r="L723" s="25" t="s">
        <v>68</v>
      </c>
      <c r="M723" t="s">
        <v>26</v>
      </c>
      <c r="N723" t="s">
        <v>26</v>
      </c>
      <c r="O723" t="s">
        <v>26</v>
      </c>
      <c r="P723" t="s">
        <v>26</v>
      </c>
      <c r="Q723" t="s">
        <v>26</v>
      </c>
      <c r="R723" t="s">
        <v>26</v>
      </c>
      <c r="S723" t="s">
        <v>26</v>
      </c>
      <c r="T723" t="s">
        <v>26</v>
      </c>
      <c r="U723" t="s">
        <v>26</v>
      </c>
      <c r="V723" t="s">
        <v>26</v>
      </c>
      <c r="W723" s="24">
        <v>34759</v>
      </c>
      <c r="X723" s="25" t="s">
        <v>77</v>
      </c>
      <c r="Y723" t="s">
        <v>26</v>
      </c>
      <c r="Z723" s="24">
        <v>34759</v>
      </c>
      <c r="AA723" s="25" t="s">
        <v>77</v>
      </c>
      <c r="AB723" t="s">
        <v>26</v>
      </c>
      <c r="AC723" s="24">
        <v>34759</v>
      </c>
      <c r="AD723" s="25" t="s">
        <v>77</v>
      </c>
      <c r="AE723" t="s">
        <v>26</v>
      </c>
      <c r="AF723" t="s">
        <v>26</v>
      </c>
      <c r="AG723" t="s">
        <v>26</v>
      </c>
      <c r="AH723" t="s">
        <v>26</v>
      </c>
      <c r="AI723" t="s">
        <v>26</v>
      </c>
      <c r="AJ723" t="s">
        <v>26</v>
      </c>
      <c r="AK723" t="s">
        <v>26</v>
      </c>
      <c r="AL723" t="s">
        <v>26</v>
      </c>
      <c r="AM723" t="s">
        <v>26</v>
      </c>
      <c r="AN723" t="s">
        <v>26</v>
      </c>
      <c r="AO723" s="25" t="s">
        <v>68</v>
      </c>
      <c r="AP723" s="23" t="s">
        <v>69</v>
      </c>
      <c r="AQ723" s="23" t="s">
        <v>30</v>
      </c>
      <c r="AR723" s="23" t="s">
        <v>1882</v>
      </c>
      <c r="AS723" s="25">
        <v>27126</v>
      </c>
      <c r="AT723" t="s">
        <v>26</v>
      </c>
      <c r="AU723" t="s">
        <v>23195</v>
      </c>
    </row>
    <row r="724" spans="1:47" ht="26.25" x14ac:dyDescent="0.4">
      <c r="A724" s="23" t="s">
        <v>1883</v>
      </c>
      <c r="B724" t="s">
        <v>26</v>
      </c>
      <c r="C724" s="23" t="s">
        <v>80</v>
      </c>
      <c r="D724" s="23" t="s">
        <v>22184</v>
      </c>
      <c r="E724" s="23" t="s">
        <v>60</v>
      </c>
      <c r="F724" s="25" t="s">
        <v>1884</v>
      </c>
      <c r="G724" s="25" t="s">
        <v>1885</v>
      </c>
      <c r="H724" t="s">
        <v>26</v>
      </c>
      <c r="I724" t="s">
        <v>26</v>
      </c>
      <c r="J724" t="s">
        <v>26</v>
      </c>
      <c r="K724" t="s">
        <v>26</v>
      </c>
      <c r="L724" s="25" t="s">
        <v>68</v>
      </c>
      <c r="M724" t="s">
        <v>26</v>
      </c>
      <c r="N724" t="s">
        <v>26</v>
      </c>
      <c r="O724" t="s">
        <v>26</v>
      </c>
      <c r="P724" t="s">
        <v>26</v>
      </c>
      <c r="Q724" t="s">
        <v>26</v>
      </c>
      <c r="R724" t="s">
        <v>26</v>
      </c>
      <c r="S724" t="s">
        <v>26</v>
      </c>
      <c r="T724" t="s">
        <v>26</v>
      </c>
      <c r="U724" t="s">
        <v>26</v>
      </c>
      <c r="V724" t="s">
        <v>26</v>
      </c>
      <c r="W724" s="24">
        <v>40179</v>
      </c>
      <c r="X724" s="25" t="s">
        <v>77</v>
      </c>
      <c r="Y724" t="s">
        <v>26</v>
      </c>
      <c r="Z724" s="24">
        <v>40179</v>
      </c>
      <c r="AA724" s="25" t="s">
        <v>77</v>
      </c>
      <c r="AB724" t="s">
        <v>26</v>
      </c>
      <c r="AC724" s="24">
        <v>40179</v>
      </c>
      <c r="AD724" s="25" t="s">
        <v>77</v>
      </c>
      <c r="AE724" t="s">
        <v>26</v>
      </c>
      <c r="AF724" t="s">
        <v>26</v>
      </c>
      <c r="AG724" t="s">
        <v>26</v>
      </c>
      <c r="AH724" t="s">
        <v>26</v>
      </c>
      <c r="AI724" t="s">
        <v>26</v>
      </c>
      <c r="AJ724" t="s">
        <v>26</v>
      </c>
      <c r="AK724" t="s">
        <v>26</v>
      </c>
      <c r="AL724" t="s">
        <v>26</v>
      </c>
      <c r="AM724" t="s">
        <v>26</v>
      </c>
      <c r="AN724" t="s">
        <v>26</v>
      </c>
      <c r="AO724" s="25" t="s">
        <v>68</v>
      </c>
      <c r="AP724" s="23" t="s">
        <v>69</v>
      </c>
      <c r="AQ724" s="23" t="s">
        <v>30</v>
      </c>
      <c r="AR724" s="23" t="s">
        <v>184</v>
      </c>
      <c r="AS724" s="25">
        <v>105554</v>
      </c>
      <c r="AT724" t="s">
        <v>26</v>
      </c>
      <c r="AU724" t="s">
        <v>23196</v>
      </c>
    </row>
    <row r="725" spans="1:47" ht="26.25" x14ac:dyDescent="0.4">
      <c r="A725" s="23" t="s">
        <v>1886</v>
      </c>
      <c r="B725" t="s">
        <v>26</v>
      </c>
      <c r="C725" s="23" t="s">
        <v>73</v>
      </c>
      <c r="D725" s="23" t="s">
        <v>22179</v>
      </c>
      <c r="E725" s="23" t="s">
        <v>74</v>
      </c>
      <c r="F725" s="25" t="s">
        <v>1887</v>
      </c>
      <c r="G725" s="25" t="s">
        <v>1888</v>
      </c>
      <c r="H725" t="s">
        <v>26</v>
      </c>
      <c r="I725" s="24">
        <v>35490</v>
      </c>
      <c r="J725" s="25" t="s">
        <v>77</v>
      </c>
      <c r="K725" t="s">
        <v>26</v>
      </c>
      <c r="L725" s="25" t="s">
        <v>68</v>
      </c>
      <c r="M725" s="24">
        <v>38047</v>
      </c>
      <c r="N725" s="24">
        <v>42795</v>
      </c>
      <c r="O725" t="s">
        <v>26</v>
      </c>
      <c r="P725" s="24">
        <v>35490</v>
      </c>
      <c r="Q725" s="25" t="s">
        <v>77</v>
      </c>
      <c r="R725" t="s">
        <v>26</v>
      </c>
      <c r="S725" t="s">
        <v>26</v>
      </c>
      <c r="T725" t="s">
        <v>26</v>
      </c>
      <c r="U725" t="s">
        <v>26</v>
      </c>
      <c r="V725" s="25">
        <v>365</v>
      </c>
      <c r="W725" s="24">
        <v>35490</v>
      </c>
      <c r="X725" s="25" t="s">
        <v>77</v>
      </c>
      <c r="Y725" t="s">
        <v>26</v>
      </c>
      <c r="Z725" s="24">
        <v>35490</v>
      </c>
      <c r="AA725" s="25" t="s">
        <v>77</v>
      </c>
      <c r="AB725" t="s">
        <v>26</v>
      </c>
      <c r="AC725" s="24">
        <v>35490</v>
      </c>
      <c r="AD725" s="25" t="s">
        <v>77</v>
      </c>
      <c r="AE725" t="s">
        <v>26</v>
      </c>
      <c r="AF725" t="s">
        <v>26</v>
      </c>
      <c r="AG725" t="s">
        <v>26</v>
      </c>
      <c r="AH725" t="s">
        <v>26</v>
      </c>
      <c r="AI725" t="s">
        <v>26</v>
      </c>
      <c r="AJ725" t="s">
        <v>26</v>
      </c>
      <c r="AK725" t="s">
        <v>26</v>
      </c>
      <c r="AL725" t="s">
        <v>26</v>
      </c>
      <c r="AM725" t="s">
        <v>26</v>
      </c>
      <c r="AN725" t="s">
        <v>26</v>
      </c>
      <c r="AO725" s="25" t="s">
        <v>68</v>
      </c>
      <c r="AP725" s="23" t="s">
        <v>69</v>
      </c>
      <c r="AQ725" s="23" t="s">
        <v>30</v>
      </c>
      <c r="AR725" s="23" t="s">
        <v>1889</v>
      </c>
      <c r="AS725" s="25">
        <v>36299</v>
      </c>
      <c r="AT725" t="s">
        <v>26</v>
      </c>
      <c r="AU725" t="s">
        <v>23197</v>
      </c>
    </row>
    <row r="726" spans="1:47" ht="26.25" x14ac:dyDescent="0.4">
      <c r="A726" s="23" t="s">
        <v>23198</v>
      </c>
      <c r="B726" t="s">
        <v>26</v>
      </c>
      <c r="C726" s="23" t="s">
        <v>2538</v>
      </c>
      <c r="D726" s="23" t="s">
        <v>23199</v>
      </c>
      <c r="E726" s="23" t="s">
        <v>42</v>
      </c>
      <c r="F726" s="25" t="s">
        <v>23200</v>
      </c>
      <c r="G726" s="25" t="s">
        <v>23201</v>
      </c>
      <c r="H726" t="s">
        <v>26</v>
      </c>
      <c r="I726" s="24">
        <v>39904</v>
      </c>
      <c r="J726" s="24">
        <v>42644</v>
      </c>
      <c r="K726" t="s">
        <v>26</v>
      </c>
      <c r="L726" s="25" t="s">
        <v>68</v>
      </c>
      <c r="M726" s="24">
        <v>39904</v>
      </c>
      <c r="N726" s="24">
        <v>42644</v>
      </c>
      <c r="O726" t="s">
        <v>26</v>
      </c>
      <c r="P726" s="24">
        <v>39904</v>
      </c>
      <c r="Q726" s="24">
        <v>42644</v>
      </c>
      <c r="R726" t="s">
        <v>26</v>
      </c>
      <c r="S726" t="s">
        <v>26</v>
      </c>
      <c r="T726" t="s">
        <v>26</v>
      </c>
      <c r="U726" t="s">
        <v>26</v>
      </c>
      <c r="V726" t="s">
        <v>26</v>
      </c>
      <c r="W726" s="24">
        <v>39904</v>
      </c>
      <c r="X726" s="24">
        <v>42644</v>
      </c>
      <c r="Y726" t="s">
        <v>26</v>
      </c>
      <c r="Z726" s="24">
        <v>39904</v>
      </c>
      <c r="AA726" s="24">
        <v>42644</v>
      </c>
      <c r="AB726" t="s">
        <v>26</v>
      </c>
      <c r="AC726" s="24">
        <v>39904</v>
      </c>
      <c r="AD726" s="24">
        <v>42644</v>
      </c>
      <c r="AE726" t="s">
        <v>26</v>
      </c>
      <c r="AF726" t="s">
        <v>26</v>
      </c>
      <c r="AG726" t="s">
        <v>26</v>
      </c>
      <c r="AH726" t="s">
        <v>26</v>
      </c>
      <c r="AI726" t="s">
        <v>26</v>
      </c>
      <c r="AJ726" t="s">
        <v>26</v>
      </c>
      <c r="AK726" t="s">
        <v>26</v>
      </c>
      <c r="AL726" t="s">
        <v>26</v>
      </c>
      <c r="AM726" t="s">
        <v>26</v>
      </c>
      <c r="AN726" t="s">
        <v>26</v>
      </c>
      <c r="AO726" s="25" t="s">
        <v>68</v>
      </c>
      <c r="AP726" s="23" t="s">
        <v>69</v>
      </c>
      <c r="AQ726" s="23" t="s">
        <v>30</v>
      </c>
      <c r="AR726" s="23" t="s">
        <v>4413</v>
      </c>
      <c r="AS726" s="25">
        <v>53089</v>
      </c>
      <c r="AT726" t="s">
        <v>26</v>
      </c>
      <c r="AU726" t="s">
        <v>23202</v>
      </c>
    </row>
    <row r="727" spans="1:47" ht="13.15" x14ac:dyDescent="0.4">
      <c r="A727" s="23" t="s">
        <v>1890</v>
      </c>
      <c r="B727" t="s">
        <v>26</v>
      </c>
      <c r="C727" s="23" t="s">
        <v>1891</v>
      </c>
      <c r="D727" s="23" t="s">
        <v>23203</v>
      </c>
      <c r="E727" s="23" t="s">
        <v>42</v>
      </c>
      <c r="F727" t="s">
        <v>26</v>
      </c>
      <c r="G727" t="s">
        <v>26</v>
      </c>
      <c r="H727" s="25" t="s">
        <v>1892</v>
      </c>
      <c r="I727" s="24">
        <v>39814</v>
      </c>
      <c r="J727" s="24">
        <v>39814</v>
      </c>
      <c r="K727" t="s">
        <v>26</v>
      </c>
      <c r="L727" s="25" t="s">
        <v>28</v>
      </c>
      <c r="M727" s="24">
        <v>39814</v>
      </c>
      <c r="N727" s="24">
        <v>39814</v>
      </c>
      <c r="O727" t="s">
        <v>26</v>
      </c>
      <c r="P727" s="24">
        <v>39814</v>
      </c>
      <c r="Q727" s="24">
        <v>39814</v>
      </c>
      <c r="R727" t="s">
        <v>26</v>
      </c>
      <c r="S727" t="s">
        <v>26</v>
      </c>
      <c r="T727" t="s">
        <v>26</v>
      </c>
      <c r="U727" t="s">
        <v>26</v>
      </c>
      <c r="V727" t="s">
        <v>26</v>
      </c>
      <c r="W727" s="24">
        <v>39814</v>
      </c>
      <c r="X727" s="24">
        <v>39814</v>
      </c>
      <c r="Y727" t="s">
        <v>26</v>
      </c>
      <c r="Z727" s="24">
        <v>39814</v>
      </c>
      <c r="AA727" s="24">
        <v>39814</v>
      </c>
      <c r="AB727" t="s">
        <v>26</v>
      </c>
      <c r="AC727" t="s">
        <v>26</v>
      </c>
      <c r="AD727" t="s">
        <v>26</v>
      </c>
      <c r="AE727" t="s">
        <v>26</v>
      </c>
      <c r="AF727" t="s">
        <v>26</v>
      </c>
      <c r="AG727" t="s">
        <v>26</v>
      </c>
      <c r="AH727" t="s">
        <v>26</v>
      </c>
      <c r="AI727" t="s">
        <v>26</v>
      </c>
      <c r="AJ727" t="s">
        <v>26</v>
      </c>
      <c r="AK727" t="s">
        <v>26</v>
      </c>
      <c r="AL727" t="s">
        <v>26</v>
      </c>
      <c r="AM727" t="s">
        <v>26</v>
      </c>
      <c r="AN727" t="s">
        <v>26</v>
      </c>
      <c r="AO727" s="25" t="s">
        <v>28</v>
      </c>
      <c r="AP727" s="23" t="s">
        <v>29</v>
      </c>
      <c r="AQ727" s="23" t="s">
        <v>30</v>
      </c>
      <c r="AR727" s="23" t="s">
        <v>1893</v>
      </c>
      <c r="AS727" s="25">
        <v>2026863</v>
      </c>
      <c r="AT727" t="s">
        <v>26</v>
      </c>
      <c r="AU727" t="s">
        <v>23204</v>
      </c>
    </row>
    <row r="728" spans="1:47" ht="13.15" x14ac:dyDescent="0.4">
      <c r="A728" s="23" t="s">
        <v>1894</v>
      </c>
      <c r="B728" t="s">
        <v>26</v>
      </c>
      <c r="C728" s="23" t="s">
        <v>1891</v>
      </c>
      <c r="D728" s="23" t="s">
        <v>23203</v>
      </c>
      <c r="E728" s="23" t="s">
        <v>42</v>
      </c>
      <c r="F728" t="s">
        <v>26</v>
      </c>
      <c r="G728" t="s">
        <v>26</v>
      </c>
      <c r="H728" s="25" t="s">
        <v>1895</v>
      </c>
      <c r="I728" s="24">
        <v>39448</v>
      </c>
      <c r="J728" s="24">
        <v>39448</v>
      </c>
      <c r="K728" t="s">
        <v>26</v>
      </c>
      <c r="L728" s="25" t="s">
        <v>28</v>
      </c>
      <c r="M728" s="24">
        <v>39448</v>
      </c>
      <c r="N728" s="24">
        <v>39448</v>
      </c>
      <c r="O728" t="s">
        <v>26</v>
      </c>
      <c r="P728" s="24">
        <v>39448</v>
      </c>
      <c r="Q728" s="24">
        <v>39448</v>
      </c>
      <c r="R728" t="s">
        <v>26</v>
      </c>
      <c r="S728" t="s">
        <v>26</v>
      </c>
      <c r="T728" t="s">
        <v>26</v>
      </c>
      <c r="U728" t="s">
        <v>26</v>
      </c>
      <c r="V728" t="s">
        <v>26</v>
      </c>
      <c r="W728" s="24">
        <v>39448</v>
      </c>
      <c r="X728" s="24">
        <v>39448</v>
      </c>
      <c r="Y728" t="s">
        <v>26</v>
      </c>
      <c r="Z728" s="24">
        <v>39448</v>
      </c>
      <c r="AA728" s="24">
        <v>39448</v>
      </c>
      <c r="AB728" t="s">
        <v>26</v>
      </c>
      <c r="AC728" t="s">
        <v>26</v>
      </c>
      <c r="AD728" t="s">
        <v>26</v>
      </c>
      <c r="AE728" t="s">
        <v>26</v>
      </c>
      <c r="AF728" t="s">
        <v>26</v>
      </c>
      <c r="AG728" t="s">
        <v>26</v>
      </c>
      <c r="AH728" t="s">
        <v>26</v>
      </c>
      <c r="AI728" t="s">
        <v>26</v>
      </c>
      <c r="AJ728" t="s">
        <v>26</v>
      </c>
      <c r="AK728" t="s">
        <v>26</v>
      </c>
      <c r="AL728" t="s">
        <v>26</v>
      </c>
      <c r="AM728" t="s">
        <v>26</v>
      </c>
      <c r="AN728" t="s">
        <v>26</v>
      </c>
      <c r="AO728" s="25" t="s">
        <v>28</v>
      </c>
      <c r="AP728" s="23" t="s">
        <v>29</v>
      </c>
      <c r="AQ728" s="23" t="s">
        <v>30</v>
      </c>
      <c r="AR728" s="23" t="s">
        <v>814</v>
      </c>
      <c r="AS728" s="25">
        <v>2026852</v>
      </c>
      <c r="AT728" t="s">
        <v>26</v>
      </c>
      <c r="AU728" t="s">
        <v>23205</v>
      </c>
    </row>
    <row r="729" spans="1:47" ht="39.4" x14ac:dyDescent="0.4">
      <c r="A729" s="23" t="s">
        <v>1896</v>
      </c>
      <c r="B729" t="s">
        <v>26</v>
      </c>
      <c r="C729" s="23" t="s">
        <v>364</v>
      </c>
      <c r="D729" s="23" t="s">
        <v>22346</v>
      </c>
      <c r="E729" s="23" t="s">
        <v>42</v>
      </c>
      <c r="F729" t="s">
        <v>26</v>
      </c>
      <c r="G729" t="s">
        <v>26</v>
      </c>
      <c r="H729" t="s">
        <v>26</v>
      </c>
      <c r="I729" s="24">
        <v>43322</v>
      </c>
      <c r="J729" s="24">
        <v>43322</v>
      </c>
      <c r="K729" t="s">
        <v>26</v>
      </c>
      <c r="L729" s="25" t="s">
        <v>28</v>
      </c>
      <c r="M729" s="24">
        <v>43322</v>
      </c>
      <c r="N729" s="24">
        <v>43322</v>
      </c>
      <c r="O729" t="s">
        <v>26</v>
      </c>
      <c r="P729" t="s">
        <v>26</v>
      </c>
      <c r="Q729" t="s">
        <v>26</v>
      </c>
      <c r="R729" t="s">
        <v>26</v>
      </c>
      <c r="S729" t="s">
        <v>26</v>
      </c>
      <c r="T729" t="s">
        <v>26</v>
      </c>
      <c r="U729" t="s">
        <v>26</v>
      </c>
      <c r="V729" t="s">
        <v>26</v>
      </c>
      <c r="W729" s="24">
        <v>43322</v>
      </c>
      <c r="X729" s="24">
        <v>43322</v>
      </c>
      <c r="Y729" t="s">
        <v>26</v>
      </c>
      <c r="Z729" s="24">
        <v>43322</v>
      </c>
      <c r="AA729" s="24">
        <v>43322</v>
      </c>
      <c r="AB729" t="s">
        <v>26</v>
      </c>
      <c r="AC729" t="s">
        <v>26</v>
      </c>
      <c r="AD729" t="s">
        <v>26</v>
      </c>
      <c r="AE729" t="s">
        <v>26</v>
      </c>
      <c r="AF729" t="s">
        <v>26</v>
      </c>
      <c r="AG729" t="s">
        <v>26</v>
      </c>
      <c r="AH729" t="s">
        <v>26</v>
      </c>
      <c r="AI729" t="s">
        <v>26</v>
      </c>
      <c r="AJ729" t="s">
        <v>26</v>
      </c>
      <c r="AK729" t="s">
        <v>26</v>
      </c>
      <c r="AL729" t="s">
        <v>26</v>
      </c>
      <c r="AM729" t="s">
        <v>26</v>
      </c>
      <c r="AN729" t="s">
        <v>26</v>
      </c>
      <c r="AO729" s="25" t="s">
        <v>28</v>
      </c>
      <c r="AP729" s="23" t="s">
        <v>365</v>
      </c>
      <c r="AQ729" s="23" t="s">
        <v>30</v>
      </c>
      <c r="AR729" s="23" t="s">
        <v>70</v>
      </c>
      <c r="AS729" s="25">
        <v>4395860</v>
      </c>
      <c r="AT729" t="s">
        <v>26</v>
      </c>
      <c r="AU729" t="s">
        <v>23206</v>
      </c>
    </row>
    <row r="730" spans="1:47" ht="26.25" x14ac:dyDescent="0.4">
      <c r="A730" s="23" t="s">
        <v>1897</v>
      </c>
      <c r="B730" t="s">
        <v>26</v>
      </c>
      <c r="C730" s="23" t="s">
        <v>447</v>
      </c>
      <c r="D730" s="23" t="s">
        <v>22352</v>
      </c>
      <c r="E730" s="23" t="s">
        <v>42</v>
      </c>
      <c r="F730" s="25" t="s">
        <v>1898</v>
      </c>
      <c r="G730" s="25" t="s">
        <v>1899</v>
      </c>
      <c r="H730" t="s">
        <v>26</v>
      </c>
      <c r="I730" t="s">
        <v>26</v>
      </c>
      <c r="J730" t="s">
        <v>26</v>
      </c>
      <c r="K730" t="s">
        <v>26</v>
      </c>
      <c r="L730" s="25" t="s">
        <v>68</v>
      </c>
      <c r="M730" t="s">
        <v>26</v>
      </c>
      <c r="N730" t="s">
        <v>26</v>
      </c>
      <c r="O730" t="s">
        <v>26</v>
      </c>
      <c r="P730" t="s">
        <v>26</v>
      </c>
      <c r="Q730" t="s">
        <v>26</v>
      </c>
      <c r="R730" t="s">
        <v>26</v>
      </c>
      <c r="S730" t="s">
        <v>26</v>
      </c>
      <c r="T730" t="s">
        <v>26</v>
      </c>
      <c r="U730" t="s">
        <v>26</v>
      </c>
      <c r="V730" t="s">
        <v>26</v>
      </c>
      <c r="W730" s="24">
        <v>23163</v>
      </c>
      <c r="X730" s="25" t="s">
        <v>77</v>
      </c>
      <c r="Y730" t="s">
        <v>26</v>
      </c>
      <c r="Z730" s="24">
        <v>23163</v>
      </c>
      <c r="AA730" s="25" t="s">
        <v>77</v>
      </c>
      <c r="AB730" t="s">
        <v>26</v>
      </c>
      <c r="AC730" s="24">
        <v>32540</v>
      </c>
      <c r="AD730" s="25" t="s">
        <v>77</v>
      </c>
      <c r="AE730" t="s">
        <v>26</v>
      </c>
      <c r="AF730" t="s">
        <v>26</v>
      </c>
      <c r="AG730" t="s">
        <v>26</v>
      </c>
      <c r="AH730" t="s">
        <v>26</v>
      </c>
      <c r="AI730" t="s">
        <v>26</v>
      </c>
      <c r="AJ730" t="s">
        <v>26</v>
      </c>
      <c r="AK730" t="s">
        <v>26</v>
      </c>
      <c r="AL730" t="s">
        <v>26</v>
      </c>
      <c r="AM730" t="s">
        <v>26</v>
      </c>
      <c r="AN730" t="s">
        <v>26</v>
      </c>
      <c r="AO730" s="25" t="s">
        <v>68</v>
      </c>
      <c r="AP730" s="23" t="s">
        <v>69</v>
      </c>
      <c r="AQ730" s="23" t="s">
        <v>30</v>
      </c>
      <c r="AR730" s="23" t="s">
        <v>381</v>
      </c>
      <c r="AS730" s="25">
        <v>41592</v>
      </c>
      <c r="AT730" t="s">
        <v>26</v>
      </c>
      <c r="AU730" t="s">
        <v>23207</v>
      </c>
    </row>
    <row r="731" spans="1:47" ht="26.25" x14ac:dyDescent="0.4">
      <c r="A731" s="23" t="s">
        <v>23208</v>
      </c>
      <c r="B731" t="s">
        <v>26</v>
      </c>
      <c r="C731" s="23" t="s">
        <v>73</v>
      </c>
      <c r="D731" s="23" t="s">
        <v>22215</v>
      </c>
      <c r="E731" s="23" t="s">
        <v>74</v>
      </c>
      <c r="F731" t="s">
        <v>26</v>
      </c>
      <c r="G731" s="25" t="s">
        <v>23209</v>
      </c>
      <c r="H731" t="s">
        <v>26</v>
      </c>
      <c r="I731" t="s">
        <v>26</v>
      </c>
      <c r="J731" t="s">
        <v>26</v>
      </c>
      <c r="K731" t="s">
        <v>26</v>
      </c>
      <c r="L731" s="25" t="s">
        <v>68</v>
      </c>
      <c r="M731" t="s">
        <v>26</v>
      </c>
      <c r="N731" t="s">
        <v>26</v>
      </c>
      <c r="O731" t="s">
        <v>26</v>
      </c>
      <c r="P731" t="s">
        <v>26</v>
      </c>
      <c r="Q731" t="s">
        <v>26</v>
      </c>
      <c r="R731" t="s">
        <v>26</v>
      </c>
      <c r="S731" t="s">
        <v>26</v>
      </c>
      <c r="T731" t="s">
        <v>26</v>
      </c>
      <c r="U731" t="s">
        <v>26</v>
      </c>
      <c r="V731" t="s">
        <v>26</v>
      </c>
      <c r="W731" s="24">
        <v>41699</v>
      </c>
      <c r="X731" s="25" t="s">
        <v>77</v>
      </c>
      <c r="Y731" t="s">
        <v>26</v>
      </c>
      <c r="Z731" s="24">
        <v>41699</v>
      </c>
      <c r="AA731" s="25" t="s">
        <v>77</v>
      </c>
      <c r="AB731" t="s">
        <v>26</v>
      </c>
      <c r="AC731" s="24">
        <v>41699</v>
      </c>
      <c r="AD731" s="25" t="s">
        <v>77</v>
      </c>
      <c r="AE731" t="s">
        <v>26</v>
      </c>
      <c r="AF731" t="s">
        <v>26</v>
      </c>
      <c r="AG731" t="s">
        <v>26</v>
      </c>
      <c r="AH731" t="s">
        <v>26</v>
      </c>
      <c r="AI731" t="s">
        <v>26</v>
      </c>
      <c r="AJ731" t="s">
        <v>26</v>
      </c>
      <c r="AK731" t="s">
        <v>26</v>
      </c>
      <c r="AL731" t="s">
        <v>26</v>
      </c>
      <c r="AM731" t="s">
        <v>26</v>
      </c>
      <c r="AN731" t="s">
        <v>26</v>
      </c>
      <c r="AO731" s="25" t="s">
        <v>68</v>
      </c>
      <c r="AP731" s="23" t="s">
        <v>69</v>
      </c>
      <c r="AQ731" s="23" t="s">
        <v>30</v>
      </c>
      <c r="AR731" s="23" t="s">
        <v>70</v>
      </c>
      <c r="AS731" s="25">
        <v>6420652</v>
      </c>
      <c r="AT731" t="s">
        <v>26</v>
      </c>
      <c r="AU731" t="s">
        <v>23210</v>
      </c>
    </row>
    <row r="732" spans="1:47" ht="26.25" x14ac:dyDescent="0.4">
      <c r="A732" s="23" t="s">
        <v>23211</v>
      </c>
      <c r="B732" t="s">
        <v>26</v>
      </c>
      <c r="C732" s="23" t="s">
        <v>73</v>
      </c>
      <c r="D732" s="23" t="s">
        <v>22215</v>
      </c>
      <c r="E732" s="23" t="s">
        <v>74</v>
      </c>
      <c r="F732" t="s">
        <v>26</v>
      </c>
      <c r="G732" s="25" t="s">
        <v>23212</v>
      </c>
      <c r="H732" t="s">
        <v>26</v>
      </c>
      <c r="I732" t="s">
        <v>26</v>
      </c>
      <c r="J732" t="s">
        <v>26</v>
      </c>
      <c r="K732" t="s">
        <v>26</v>
      </c>
      <c r="L732" s="25" t="s">
        <v>68</v>
      </c>
      <c r="M732" t="s">
        <v>26</v>
      </c>
      <c r="N732" t="s">
        <v>26</v>
      </c>
      <c r="O732" t="s">
        <v>26</v>
      </c>
      <c r="P732" t="s">
        <v>26</v>
      </c>
      <c r="Q732" t="s">
        <v>26</v>
      </c>
      <c r="R732" t="s">
        <v>26</v>
      </c>
      <c r="S732" t="s">
        <v>26</v>
      </c>
      <c r="T732" t="s">
        <v>26</v>
      </c>
      <c r="U732" t="s">
        <v>26</v>
      </c>
      <c r="V732" t="s">
        <v>26</v>
      </c>
      <c r="W732" s="24">
        <v>41699</v>
      </c>
      <c r="X732" s="25" t="s">
        <v>77</v>
      </c>
      <c r="Y732" t="s">
        <v>26</v>
      </c>
      <c r="Z732" s="24">
        <v>41699</v>
      </c>
      <c r="AA732" s="25" t="s">
        <v>77</v>
      </c>
      <c r="AB732" t="s">
        <v>26</v>
      </c>
      <c r="AC732" s="24">
        <v>41699</v>
      </c>
      <c r="AD732" s="25" t="s">
        <v>77</v>
      </c>
      <c r="AE732" t="s">
        <v>26</v>
      </c>
      <c r="AF732" t="s">
        <v>26</v>
      </c>
      <c r="AG732" t="s">
        <v>26</v>
      </c>
      <c r="AH732" t="s">
        <v>26</v>
      </c>
      <c r="AI732" t="s">
        <v>26</v>
      </c>
      <c r="AJ732" t="s">
        <v>26</v>
      </c>
      <c r="AK732" t="s">
        <v>26</v>
      </c>
      <c r="AL732" t="s">
        <v>26</v>
      </c>
      <c r="AM732" t="s">
        <v>26</v>
      </c>
      <c r="AN732" t="s">
        <v>26</v>
      </c>
      <c r="AO732" s="25" t="s">
        <v>68</v>
      </c>
      <c r="AP732" s="23" t="s">
        <v>69</v>
      </c>
      <c r="AQ732" s="23" t="s">
        <v>30</v>
      </c>
      <c r="AR732" s="23" t="s">
        <v>896</v>
      </c>
      <c r="AS732" s="25">
        <v>6420651</v>
      </c>
      <c r="AT732" t="s">
        <v>26</v>
      </c>
      <c r="AU732" t="s">
        <v>23213</v>
      </c>
    </row>
    <row r="733" spans="1:47" ht="26.25" x14ac:dyDescent="0.4">
      <c r="A733" s="23" t="s">
        <v>1900</v>
      </c>
      <c r="B733" t="s">
        <v>26</v>
      </c>
      <c r="C733" s="23" t="s">
        <v>107</v>
      </c>
      <c r="D733" s="23" t="s">
        <v>22194</v>
      </c>
      <c r="E733" s="23" t="s">
        <v>42</v>
      </c>
      <c r="F733" s="25" t="s">
        <v>1901</v>
      </c>
      <c r="G733" s="25" t="s">
        <v>1902</v>
      </c>
      <c r="H733" t="s">
        <v>26</v>
      </c>
      <c r="I733" t="s">
        <v>26</v>
      </c>
      <c r="J733" t="s">
        <v>26</v>
      </c>
      <c r="K733" t="s">
        <v>26</v>
      </c>
      <c r="L733" s="25" t="s">
        <v>68</v>
      </c>
      <c r="M733" t="s">
        <v>26</v>
      </c>
      <c r="N733" t="s">
        <v>26</v>
      </c>
      <c r="O733" t="s">
        <v>26</v>
      </c>
      <c r="P733" t="s">
        <v>26</v>
      </c>
      <c r="Q733" t="s">
        <v>26</v>
      </c>
      <c r="R733" t="s">
        <v>26</v>
      </c>
      <c r="S733" t="s">
        <v>26</v>
      </c>
      <c r="T733" t="s">
        <v>26</v>
      </c>
      <c r="U733" t="s">
        <v>26</v>
      </c>
      <c r="V733" t="s">
        <v>26</v>
      </c>
      <c r="W733" s="24">
        <v>38018</v>
      </c>
      <c r="X733" s="25" t="s">
        <v>77</v>
      </c>
      <c r="Y733" t="s">
        <v>26</v>
      </c>
      <c r="Z733" s="24">
        <v>38018</v>
      </c>
      <c r="AA733" s="25" t="s">
        <v>77</v>
      </c>
      <c r="AB733" t="s">
        <v>26</v>
      </c>
      <c r="AC733" s="24">
        <v>38018</v>
      </c>
      <c r="AD733" s="25" t="s">
        <v>77</v>
      </c>
      <c r="AE733" t="s">
        <v>26</v>
      </c>
      <c r="AF733" t="s">
        <v>26</v>
      </c>
      <c r="AG733" t="s">
        <v>26</v>
      </c>
      <c r="AH733" t="s">
        <v>26</v>
      </c>
      <c r="AI733" t="s">
        <v>26</v>
      </c>
      <c r="AJ733" t="s">
        <v>26</v>
      </c>
      <c r="AK733" t="s">
        <v>26</v>
      </c>
      <c r="AL733" t="s">
        <v>26</v>
      </c>
      <c r="AM733" t="s">
        <v>26</v>
      </c>
      <c r="AN733" t="s">
        <v>26</v>
      </c>
      <c r="AO733" s="25" t="s">
        <v>68</v>
      </c>
      <c r="AP733" s="23" t="s">
        <v>69</v>
      </c>
      <c r="AQ733" s="23" t="s">
        <v>30</v>
      </c>
      <c r="AR733" s="23" t="s">
        <v>46</v>
      </c>
      <c r="AS733" s="25">
        <v>32166</v>
      </c>
      <c r="AT733" t="s">
        <v>26</v>
      </c>
      <c r="AU733" t="s">
        <v>23214</v>
      </c>
    </row>
    <row r="734" spans="1:47" ht="26.25" x14ac:dyDescent="0.4">
      <c r="A734" s="23" t="s">
        <v>1903</v>
      </c>
      <c r="B734" t="s">
        <v>26</v>
      </c>
      <c r="C734" s="23" t="s">
        <v>1904</v>
      </c>
      <c r="D734" s="23" t="s">
        <v>22174</v>
      </c>
      <c r="E734" s="23" t="s">
        <v>60</v>
      </c>
      <c r="F734" s="25" t="s">
        <v>1905</v>
      </c>
      <c r="G734" s="25" t="s">
        <v>1906</v>
      </c>
      <c r="H734" t="s">
        <v>26</v>
      </c>
      <c r="I734" s="24">
        <v>40544</v>
      </c>
      <c r="J734" s="24">
        <v>41091</v>
      </c>
      <c r="K734" t="s">
        <v>26</v>
      </c>
      <c r="L734" s="25" t="s">
        <v>68</v>
      </c>
      <c r="M734" s="24">
        <v>40544</v>
      </c>
      <c r="N734" s="24">
        <v>41091</v>
      </c>
      <c r="O734" t="s">
        <v>26</v>
      </c>
      <c r="P734" s="24">
        <v>40544</v>
      </c>
      <c r="Q734" s="24">
        <v>41091</v>
      </c>
      <c r="R734" t="s">
        <v>26</v>
      </c>
      <c r="S734" t="s">
        <v>26</v>
      </c>
      <c r="T734" t="s">
        <v>26</v>
      </c>
      <c r="U734" t="s">
        <v>26</v>
      </c>
      <c r="V734" t="s">
        <v>26</v>
      </c>
      <c r="W734" s="24">
        <v>40544</v>
      </c>
      <c r="X734" s="24">
        <v>41091</v>
      </c>
      <c r="Y734" t="s">
        <v>26</v>
      </c>
      <c r="Z734" s="24">
        <v>40544</v>
      </c>
      <c r="AA734" s="24">
        <v>41091</v>
      </c>
      <c r="AB734" t="s">
        <v>26</v>
      </c>
      <c r="AC734" t="s">
        <v>26</v>
      </c>
      <c r="AD734" t="s">
        <v>26</v>
      </c>
      <c r="AE734" t="s">
        <v>26</v>
      </c>
      <c r="AF734" t="s">
        <v>26</v>
      </c>
      <c r="AG734" t="s">
        <v>26</v>
      </c>
      <c r="AH734" t="s">
        <v>26</v>
      </c>
      <c r="AI734" t="s">
        <v>26</v>
      </c>
      <c r="AJ734" t="s">
        <v>26</v>
      </c>
      <c r="AK734" t="s">
        <v>26</v>
      </c>
      <c r="AL734" t="s">
        <v>26</v>
      </c>
      <c r="AM734" t="s">
        <v>26</v>
      </c>
      <c r="AN734" t="s">
        <v>26</v>
      </c>
      <c r="AO734" s="25" t="s">
        <v>68</v>
      </c>
      <c r="AP734" s="23" t="s">
        <v>69</v>
      </c>
      <c r="AQ734" s="23" t="s">
        <v>30</v>
      </c>
      <c r="AR734" s="23" t="s">
        <v>70</v>
      </c>
      <c r="AS734" s="25">
        <v>486463</v>
      </c>
      <c r="AT734" t="s">
        <v>26</v>
      </c>
      <c r="AU734" t="s">
        <v>23215</v>
      </c>
    </row>
    <row r="735" spans="1:47" ht="26.25" x14ac:dyDescent="0.4">
      <c r="A735" s="23" t="s">
        <v>1903</v>
      </c>
      <c r="B735" t="s">
        <v>26</v>
      </c>
      <c r="C735" s="23" t="s">
        <v>1904</v>
      </c>
      <c r="D735" s="23" t="s">
        <v>22174</v>
      </c>
      <c r="E735" s="23" t="s">
        <v>60</v>
      </c>
      <c r="F735" s="25" t="s">
        <v>1907</v>
      </c>
      <c r="G735" s="25" t="s">
        <v>1908</v>
      </c>
      <c r="H735" t="s">
        <v>26</v>
      </c>
      <c r="I735" s="24">
        <v>40544</v>
      </c>
      <c r="J735" s="24">
        <v>41183</v>
      </c>
      <c r="K735" t="s">
        <v>26</v>
      </c>
      <c r="L735" s="25" t="s">
        <v>68</v>
      </c>
      <c r="M735" s="24">
        <v>40544</v>
      </c>
      <c r="N735" s="24">
        <v>41183</v>
      </c>
      <c r="O735" t="s">
        <v>26</v>
      </c>
      <c r="P735" s="24">
        <v>40544</v>
      </c>
      <c r="Q735" s="24">
        <v>41183</v>
      </c>
      <c r="R735" t="s">
        <v>26</v>
      </c>
      <c r="S735" t="s">
        <v>26</v>
      </c>
      <c r="T735" t="s">
        <v>26</v>
      </c>
      <c r="U735" t="s">
        <v>26</v>
      </c>
      <c r="V735" t="s">
        <v>26</v>
      </c>
      <c r="W735" s="24">
        <v>40544</v>
      </c>
      <c r="X735" s="24">
        <v>41183</v>
      </c>
      <c r="Y735" t="s">
        <v>26</v>
      </c>
      <c r="Z735" s="24">
        <v>40544</v>
      </c>
      <c r="AA735" s="24">
        <v>41183</v>
      </c>
      <c r="AB735" t="s">
        <v>26</v>
      </c>
      <c r="AC735" t="s">
        <v>26</v>
      </c>
      <c r="AD735" t="s">
        <v>26</v>
      </c>
      <c r="AE735" t="s">
        <v>26</v>
      </c>
      <c r="AF735" t="s">
        <v>26</v>
      </c>
      <c r="AG735" t="s">
        <v>26</v>
      </c>
      <c r="AH735" t="s">
        <v>26</v>
      </c>
      <c r="AI735" t="s">
        <v>26</v>
      </c>
      <c r="AJ735" t="s">
        <v>26</v>
      </c>
      <c r="AK735" t="s">
        <v>26</v>
      </c>
      <c r="AL735" t="s">
        <v>26</v>
      </c>
      <c r="AM735" t="s">
        <v>26</v>
      </c>
      <c r="AN735" t="s">
        <v>26</v>
      </c>
      <c r="AO735" s="25" t="s">
        <v>68</v>
      </c>
      <c r="AP735" s="23" t="s">
        <v>69</v>
      </c>
      <c r="AQ735" s="23" t="s">
        <v>30</v>
      </c>
      <c r="AR735" s="23" t="s">
        <v>70</v>
      </c>
      <c r="AS735" s="25">
        <v>486465</v>
      </c>
      <c r="AT735" t="s">
        <v>26</v>
      </c>
      <c r="AU735" t="s">
        <v>23216</v>
      </c>
    </row>
    <row r="736" spans="1:47" ht="26.25" x14ac:dyDescent="0.4">
      <c r="A736" s="23" t="s">
        <v>1909</v>
      </c>
      <c r="B736" t="s">
        <v>26</v>
      </c>
      <c r="C736" s="23" t="s">
        <v>1910</v>
      </c>
      <c r="D736" s="23" t="s">
        <v>22263</v>
      </c>
      <c r="E736" s="23" t="s">
        <v>187</v>
      </c>
      <c r="F736" s="25" t="s">
        <v>1911</v>
      </c>
      <c r="G736" s="25" t="s">
        <v>1912</v>
      </c>
      <c r="H736" t="s">
        <v>26</v>
      </c>
      <c r="I736" s="24">
        <v>38353</v>
      </c>
      <c r="J736" s="25" t="s">
        <v>77</v>
      </c>
      <c r="K736" t="s">
        <v>26</v>
      </c>
      <c r="L736" s="25" t="s">
        <v>68</v>
      </c>
      <c r="M736" t="s">
        <v>26</v>
      </c>
      <c r="N736" t="s">
        <v>26</v>
      </c>
      <c r="O736" t="s">
        <v>26</v>
      </c>
      <c r="P736" s="24">
        <v>38353</v>
      </c>
      <c r="Q736" s="25" t="s">
        <v>77</v>
      </c>
      <c r="R736" t="s">
        <v>26</v>
      </c>
      <c r="S736" t="s">
        <v>26</v>
      </c>
      <c r="T736" t="s">
        <v>26</v>
      </c>
      <c r="U736" t="s">
        <v>26</v>
      </c>
      <c r="V736" t="s">
        <v>26</v>
      </c>
      <c r="W736" s="24">
        <v>38353</v>
      </c>
      <c r="X736" s="25" t="s">
        <v>77</v>
      </c>
      <c r="Y736" t="s">
        <v>26</v>
      </c>
      <c r="Z736" s="24">
        <v>38353</v>
      </c>
      <c r="AA736" s="25" t="s">
        <v>77</v>
      </c>
      <c r="AB736" t="s">
        <v>26</v>
      </c>
      <c r="AC736" s="24">
        <v>38353</v>
      </c>
      <c r="AD736" s="25" t="s">
        <v>77</v>
      </c>
      <c r="AE736" t="s">
        <v>26</v>
      </c>
      <c r="AF736" t="s">
        <v>26</v>
      </c>
      <c r="AG736" t="s">
        <v>26</v>
      </c>
      <c r="AH736" t="s">
        <v>26</v>
      </c>
      <c r="AI736" t="s">
        <v>26</v>
      </c>
      <c r="AJ736" t="s">
        <v>26</v>
      </c>
      <c r="AK736" t="s">
        <v>26</v>
      </c>
      <c r="AL736" t="s">
        <v>26</v>
      </c>
      <c r="AM736" t="s">
        <v>26</v>
      </c>
      <c r="AN736" t="s">
        <v>26</v>
      </c>
      <c r="AO736" s="25" t="s">
        <v>68</v>
      </c>
      <c r="AP736" s="23" t="s">
        <v>69</v>
      </c>
      <c r="AQ736" s="23" t="s">
        <v>1913</v>
      </c>
      <c r="AR736" s="23" t="s">
        <v>70</v>
      </c>
      <c r="AS736" s="25">
        <v>5540467</v>
      </c>
      <c r="AT736" t="s">
        <v>26</v>
      </c>
      <c r="AU736" t="s">
        <v>23217</v>
      </c>
    </row>
    <row r="737" spans="1:47" ht="26.25" x14ac:dyDescent="0.4">
      <c r="A737" s="23" t="s">
        <v>1914</v>
      </c>
      <c r="B737" t="s">
        <v>26</v>
      </c>
      <c r="C737" s="23" t="s">
        <v>73</v>
      </c>
      <c r="D737" s="23" t="s">
        <v>22190</v>
      </c>
      <c r="E737" s="23" t="s">
        <v>74</v>
      </c>
      <c r="F737" s="25" t="s">
        <v>1915</v>
      </c>
      <c r="G737" s="25" t="s">
        <v>1916</v>
      </c>
      <c r="H737" t="s">
        <v>26</v>
      </c>
      <c r="I737" s="24">
        <v>36892</v>
      </c>
      <c r="J737" s="25" t="s">
        <v>77</v>
      </c>
      <c r="K737" t="s">
        <v>26</v>
      </c>
      <c r="L737" s="25" t="s">
        <v>68</v>
      </c>
      <c r="M737" s="24">
        <v>37987</v>
      </c>
      <c r="N737" s="24">
        <v>42856</v>
      </c>
      <c r="O737" t="s">
        <v>26</v>
      </c>
      <c r="P737" s="24">
        <v>36892</v>
      </c>
      <c r="Q737" s="25" t="s">
        <v>77</v>
      </c>
      <c r="R737" t="s">
        <v>26</v>
      </c>
      <c r="S737" t="s">
        <v>26</v>
      </c>
      <c r="T737" t="s">
        <v>26</v>
      </c>
      <c r="U737" t="s">
        <v>26</v>
      </c>
      <c r="V737" s="25">
        <v>365</v>
      </c>
      <c r="W737" s="24">
        <v>36892</v>
      </c>
      <c r="X737" s="25" t="s">
        <v>77</v>
      </c>
      <c r="Y737" t="s">
        <v>26</v>
      </c>
      <c r="Z737" s="24">
        <v>36892</v>
      </c>
      <c r="AA737" s="25" t="s">
        <v>77</v>
      </c>
      <c r="AB737" t="s">
        <v>26</v>
      </c>
      <c r="AC737" s="24">
        <v>36892</v>
      </c>
      <c r="AD737" s="25" t="s">
        <v>77</v>
      </c>
      <c r="AE737" t="s">
        <v>26</v>
      </c>
      <c r="AF737" t="s">
        <v>26</v>
      </c>
      <c r="AG737" t="s">
        <v>26</v>
      </c>
      <c r="AH737" t="s">
        <v>26</v>
      </c>
      <c r="AI737" t="s">
        <v>26</v>
      </c>
      <c r="AJ737" t="s">
        <v>26</v>
      </c>
      <c r="AK737" t="s">
        <v>26</v>
      </c>
      <c r="AL737" t="s">
        <v>26</v>
      </c>
      <c r="AM737" t="s">
        <v>26</v>
      </c>
      <c r="AN737" t="s">
        <v>26</v>
      </c>
      <c r="AO737" s="25" t="s">
        <v>28</v>
      </c>
      <c r="AP737" s="23" t="s">
        <v>69</v>
      </c>
      <c r="AQ737" t="s">
        <v>26</v>
      </c>
      <c r="AR737" s="23" t="s">
        <v>70</v>
      </c>
      <c r="AS737" s="25">
        <v>326346</v>
      </c>
      <c r="AT737" t="s">
        <v>26</v>
      </c>
      <c r="AU737" t="s">
        <v>23218</v>
      </c>
    </row>
    <row r="738" spans="1:47" ht="26.25" x14ac:dyDescent="0.4">
      <c r="A738" s="23" t="s">
        <v>1917</v>
      </c>
      <c r="B738" t="s">
        <v>26</v>
      </c>
      <c r="C738" s="23" t="s">
        <v>102</v>
      </c>
      <c r="D738" s="23" t="s">
        <v>22190</v>
      </c>
      <c r="E738" s="23" t="s">
        <v>42</v>
      </c>
      <c r="F738" s="25" t="s">
        <v>1918</v>
      </c>
      <c r="G738" s="25" t="s">
        <v>1919</v>
      </c>
      <c r="H738" t="s">
        <v>26</v>
      </c>
      <c r="I738" t="s">
        <v>26</v>
      </c>
      <c r="J738" t="s">
        <v>26</v>
      </c>
      <c r="K738" t="s">
        <v>26</v>
      </c>
      <c r="L738" s="25" t="s">
        <v>68</v>
      </c>
      <c r="M738" t="s">
        <v>26</v>
      </c>
      <c r="N738" t="s">
        <v>26</v>
      </c>
      <c r="O738" t="s">
        <v>26</v>
      </c>
      <c r="P738" t="s">
        <v>26</v>
      </c>
      <c r="Q738" t="s">
        <v>26</v>
      </c>
      <c r="R738" t="s">
        <v>26</v>
      </c>
      <c r="S738" t="s">
        <v>26</v>
      </c>
      <c r="T738" t="s">
        <v>26</v>
      </c>
      <c r="U738" t="s">
        <v>26</v>
      </c>
      <c r="V738" t="s">
        <v>26</v>
      </c>
      <c r="W738" s="24">
        <v>38108</v>
      </c>
      <c r="X738" s="25" t="s">
        <v>77</v>
      </c>
      <c r="Y738" t="s">
        <v>26</v>
      </c>
      <c r="Z738" s="24">
        <v>38108</v>
      </c>
      <c r="AA738" s="25" t="s">
        <v>77</v>
      </c>
      <c r="AB738" t="s">
        <v>26</v>
      </c>
      <c r="AC738" s="24">
        <v>38108</v>
      </c>
      <c r="AD738" s="25" t="s">
        <v>77</v>
      </c>
      <c r="AE738" t="s">
        <v>26</v>
      </c>
      <c r="AF738" t="s">
        <v>26</v>
      </c>
      <c r="AG738" t="s">
        <v>26</v>
      </c>
      <c r="AH738" t="s">
        <v>26</v>
      </c>
      <c r="AI738" t="s">
        <v>26</v>
      </c>
      <c r="AJ738" t="s">
        <v>26</v>
      </c>
      <c r="AK738" t="s">
        <v>26</v>
      </c>
      <c r="AL738" t="s">
        <v>26</v>
      </c>
      <c r="AM738" t="s">
        <v>26</v>
      </c>
      <c r="AN738" t="s">
        <v>26</v>
      </c>
      <c r="AO738" s="25" t="s">
        <v>68</v>
      </c>
      <c r="AP738" s="23" t="s">
        <v>69</v>
      </c>
      <c r="AQ738" s="23" t="s">
        <v>30</v>
      </c>
      <c r="AR738" s="23" t="s">
        <v>70</v>
      </c>
      <c r="AS738" s="25">
        <v>32643</v>
      </c>
      <c r="AT738" t="s">
        <v>26</v>
      </c>
      <c r="AU738" t="s">
        <v>23219</v>
      </c>
    </row>
    <row r="739" spans="1:47" ht="26.25" x14ac:dyDescent="0.4">
      <c r="A739" s="23" t="s">
        <v>1920</v>
      </c>
      <c r="B739" t="s">
        <v>26</v>
      </c>
      <c r="C739" s="23" t="s">
        <v>73</v>
      </c>
      <c r="D739" s="23" t="s">
        <v>22179</v>
      </c>
      <c r="E739" s="23" t="s">
        <v>74</v>
      </c>
      <c r="F739" s="25" t="s">
        <v>1921</v>
      </c>
      <c r="G739" s="25" t="s">
        <v>1922</v>
      </c>
      <c r="H739" t="s">
        <v>26</v>
      </c>
      <c r="I739" s="24">
        <v>36312</v>
      </c>
      <c r="J739" s="25" t="s">
        <v>77</v>
      </c>
      <c r="K739" t="s">
        <v>26</v>
      </c>
      <c r="L739" s="25" t="s">
        <v>68</v>
      </c>
      <c r="M739" t="s">
        <v>26</v>
      </c>
      <c r="N739" t="s">
        <v>26</v>
      </c>
      <c r="O739" t="s">
        <v>26</v>
      </c>
      <c r="P739" s="24">
        <v>36312</v>
      </c>
      <c r="Q739" s="25" t="s">
        <v>77</v>
      </c>
      <c r="R739" t="s">
        <v>26</v>
      </c>
      <c r="S739" t="s">
        <v>26</v>
      </c>
      <c r="T739" t="s">
        <v>26</v>
      </c>
      <c r="U739" t="s">
        <v>26</v>
      </c>
      <c r="V739" s="25">
        <v>365</v>
      </c>
      <c r="W739" s="24">
        <v>36312</v>
      </c>
      <c r="X739" s="25" t="s">
        <v>77</v>
      </c>
      <c r="Y739" t="s">
        <v>26</v>
      </c>
      <c r="Z739" s="24">
        <v>36312</v>
      </c>
      <c r="AA739" s="25" t="s">
        <v>77</v>
      </c>
      <c r="AB739" t="s">
        <v>26</v>
      </c>
      <c r="AC739" s="24">
        <v>36312</v>
      </c>
      <c r="AD739" s="25" t="s">
        <v>77</v>
      </c>
      <c r="AE739" t="s">
        <v>26</v>
      </c>
      <c r="AF739" t="s">
        <v>26</v>
      </c>
      <c r="AG739" t="s">
        <v>26</v>
      </c>
      <c r="AH739" t="s">
        <v>26</v>
      </c>
      <c r="AI739" t="s">
        <v>26</v>
      </c>
      <c r="AJ739" t="s">
        <v>26</v>
      </c>
      <c r="AK739" t="s">
        <v>26</v>
      </c>
      <c r="AL739" t="s">
        <v>26</v>
      </c>
      <c r="AM739" t="s">
        <v>26</v>
      </c>
      <c r="AN739" t="s">
        <v>26</v>
      </c>
      <c r="AO739" s="25" t="s">
        <v>28</v>
      </c>
      <c r="AP739" s="23" t="s">
        <v>69</v>
      </c>
      <c r="AQ739" s="23" t="s">
        <v>30</v>
      </c>
      <c r="AR739" s="23" t="s">
        <v>70</v>
      </c>
      <c r="AS739" s="25">
        <v>4402920</v>
      </c>
      <c r="AT739" t="s">
        <v>26</v>
      </c>
      <c r="AU739" t="s">
        <v>23220</v>
      </c>
    </row>
    <row r="740" spans="1:47" ht="26.25" x14ac:dyDescent="0.4">
      <c r="A740" s="23" t="s">
        <v>1923</v>
      </c>
      <c r="B740" t="s">
        <v>26</v>
      </c>
      <c r="C740" s="23" t="s">
        <v>73</v>
      </c>
      <c r="D740" s="23" t="s">
        <v>22179</v>
      </c>
      <c r="E740" s="23" t="s">
        <v>74</v>
      </c>
      <c r="F740" s="25" t="s">
        <v>1924</v>
      </c>
      <c r="G740" s="25" t="s">
        <v>1925</v>
      </c>
      <c r="H740" t="s">
        <v>26</v>
      </c>
      <c r="I740" s="24">
        <v>35431</v>
      </c>
      <c r="J740" s="25" t="s">
        <v>77</v>
      </c>
      <c r="K740" t="s">
        <v>26</v>
      </c>
      <c r="L740" s="25" t="s">
        <v>68</v>
      </c>
      <c r="M740" s="24">
        <v>35431</v>
      </c>
      <c r="N740" s="24">
        <v>42795</v>
      </c>
      <c r="O740" s="25" t="s">
        <v>202</v>
      </c>
      <c r="P740" s="24">
        <v>35431</v>
      </c>
      <c r="Q740" s="25" t="s">
        <v>77</v>
      </c>
      <c r="R740" t="s">
        <v>26</v>
      </c>
      <c r="S740" t="s">
        <v>26</v>
      </c>
      <c r="T740" t="s">
        <v>26</v>
      </c>
      <c r="U740" t="s">
        <v>26</v>
      </c>
      <c r="V740" s="25">
        <v>365</v>
      </c>
      <c r="W740" s="24">
        <v>35431</v>
      </c>
      <c r="X740" s="25" t="s">
        <v>77</v>
      </c>
      <c r="Y740" t="s">
        <v>26</v>
      </c>
      <c r="Z740" s="24">
        <v>35431</v>
      </c>
      <c r="AA740" s="25" t="s">
        <v>77</v>
      </c>
      <c r="AB740" t="s">
        <v>26</v>
      </c>
      <c r="AC740" s="24">
        <v>35431</v>
      </c>
      <c r="AD740" s="25" t="s">
        <v>77</v>
      </c>
      <c r="AE740" s="25" t="s">
        <v>587</v>
      </c>
      <c r="AF740" t="s">
        <v>26</v>
      </c>
      <c r="AG740" t="s">
        <v>26</v>
      </c>
      <c r="AH740" t="s">
        <v>26</v>
      </c>
      <c r="AI740" t="s">
        <v>26</v>
      </c>
      <c r="AJ740" t="s">
        <v>26</v>
      </c>
      <c r="AK740" t="s">
        <v>26</v>
      </c>
      <c r="AL740" t="s">
        <v>26</v>
      </c>
      <c r="AM740" t="s">
        <v>26</v>
      </c>
      <c r="AN740" t="s">
        <v>26</v>
      </c>
      <c r="AO740" s="25" t="s">
        <v>68</v>
      </c>
      <c r="AP740" s="23" t="s">
        <v>69</v>
      </c>
      <c r="AQ740" s="23" t="s">
        <v>30</v>
      </c>
      <c r="AR740" s="23" t="s">
        <v>46</v>
      </c>
      <c r="AS740" s="25">
        <v>37947</v>
      </c>
      <c r="AT740" t="s">
        <v>26</v>
      </c>
      <c r="AU740" t="s">
        <v>23221</v>
      </c>
    </row>
    <row r="741" spans="1:47" ht="26.25" x14ac:dyDescent="0.4">
      <c r="A741" s="23" t="s">
        <v>1926</v>
      </c>
      <c r="B741" t="s">
        <v>26</v>
      </c>
      <c r="C741" s="23" t="s">
        <v>1927</v>
      </c>
      <c r="D741" s="23" t="s">
        <v>23222</v>
      </c>
      <c r="E741" s="23" t="s">
        <v>42</v>
      </c>
      <c r="F741" s="25" t="s">
        <v>1928</v>
      </c>
      <c r="G741" s="25" t="s">
        <v>1928</v>
      </c>
      <c r="H741" t="s">
        <v>26</v>
      </c>
      <c r="I741" t="s">
        <v>26</v>
      </c>
      <c r="J741" t="s">
        <v>26</v>
      </c>
      <c r="K741" t="s">
        <v>26</v>
      </c>
      <c r="L741" s="25" t="s">
        <v>68</v>
      </c>
      <c r="M741" t="s">
        <v>26</v>
      </c>
      <c r="N741" t="s">
        <v>26</v>
      </c>
      <c r="O741" t="s">
        <v>26</v>
      </c>
      <c r="P741" t="s">
        <v>26</v>
      </c>
      <c r="Q741" t="s">
        <v>26</v>
      </c>
      <c r="R741" t="s">
        <v>26</v>
      </c>
      <c r="S741" t="s">
        <v>26</v>
      </c>
      <c r="T741" t="s">
        <v>26</v>
      </c>
      <c r="U741" t="s">
        <v>26</v>
      </c>
      <c r="V741" t="s">
        <v>26</v>
      </c>
      <c r="W741" s="24">
        <v>42005</v>
      </c>
      <c r="X741" s="25" t="s">
        <v>77</v>
      </c>
      <c r="Y741" t="s">
        <v>26</v>
      </c>
      <c r="Z741" s="24">
        <v>42005</v>
      </c>
      <c r="AA741" s="25" t="s">
        <v>77</v>
      </c>
      <c r="AB741" t="s">
        <v>26</v>
      </c>
      <c r="AC741" s="24">
        <v>42005</v>
      </c>
      <c r="AD741" s="25" t="s">
        <v>77</v>
      </c>
      <c r="AE741" t="s">
        <v>26</v>
      </c>
      <c r="AF741" t="s">
        <v>26</v>
      </c>
      <c r="AG741" t="s">
        <v>26</v>
      </c>
      <c r="AH741" t="s">
        <v>26</v>
      </c>
      <c r="AI741" t="s">
        <v>26</v>
      </c>
      <c r="AJ741" t="s">
        <v>26</v>
      </c>
      <c r="AK741" t="s">
        <v>26</v>
      </c>
      <c r="AL741" t="s">
        <v>26</v>
      </c>
      <c r="AM741" t="s">
        <v>26</v>
      </c>
      <c r="AN741" t="s">
        <v>26</v>
      </c>
      <c r="AO741" s="25" t="s">
        <v>68</v>
      </c>
      <c r="AP741" s="23" t="s">
        <v>69</v>
      </c>
      <c r="AQ741" s="23" t="s">
        <v>30</v>
      </c>
      <c r="AR741" s="23" t="s">
        <v>46</v>
      </c>
      <c r="AS741" s="25">
        <v>2039982</v>
      </c>
      <c r="AT741" t="s">
        <v>26</v>
      </c>
      <c r="AU741" t="s">
        <v>23223</v>
      </c>
    </row>
    <row r="742" spans="1:47" ht="26.25" x14ac:dyDescent="0.4">
      <c r="A742" s="23" t="s">
        <v>23224</v>
      </c>
      <c r="B742" t="s">
        <v>26</v>
      </c>
      <c r="C742" s="23" t="s">
        <v>73</v>
      </c>
      <c r="D742" s="23" t="s">
        <v>22215</v>
      </c>
      <c r="E742" s="23" t="s">
        <v>74</v>
      </c>
      <c r="F742" t="s">
        <v>26</v>
      </c>
      <c r="G742" s="25" t="s">
        <v>23225</v>
      </c>
      <c r="H742" t="s">
        <v>26</v>
      </c>
      <c r="I742" t="s">
        <v>26</v>
      </c>
      <c r="J742" t="s">
        <v>26</v>
      </c>
      <c r="K742" t="s">
        <v>26</v>
      </c>
      <c r="L742" s="25" t="s">
        <v>68</v>
      </c>
      <c r="M742" t="s">
        <v>26</v>
      </c>
      <c r="N742" t="s">
        <v>26</v>
      </c>
      <c r="O742" t="s">
        <v>26</v>
      </c>
      <c r="P742" t="s">
        <v>26</v>
      </c>
      <c r="Q742" t="s">
        <v>26</v>
      </c>
      <c r="R742" t="s">
        <v>26</v>
      </c>
      <c r="S742" t="s">
        <v>26</v>
      </c>
      <c r="T742" t="s">
        <v>26</v>
      </c>
      <c r="U742" t="s">
        <v>26</v>
      </c>
      <c r="V742" t="s">
        <v>26</v>
      </c>
      <c r="W742" s="24">
        <v>41699</v>
      </c>
      <c r="X742" s="25" t="s">
        <v>77</v>
      </c>
      <c r="Y742" t="s">
        <v>26</v>
      </c>
      <c r="Z742" s="24">
        <v>41699</v>
      </c>
      <c r="AA742" s="25" t="s">
        <v>77</v>
      </c>
      <c r="AB742" t="s">
        <v>26</v>
      </c>
      <c r="AC742" s="24">
        <v>41699</v>
      </c>
      <c r="AD742" s="25" t="s">
        <v>77</v>
      </c>
      <c r="AE742" t="s">
        <v>26</v>
      </c>
      <c r="AF742" t="s">
        <v>26</v>
      </c>
      <c r="AG742" t="s">
        <v>26</v>
      </c>
      <c r="AH742" t="s">
        <v>26</v>
      </c>
      <c r="AI742" t="s">
        <v>26</v>
      </c>
      <c r="AJ742" t="s">
        <v>26</v>
      </c>
      <c r="AK742" t="s">
        <v>26</v>
      </c>
      <c r="AL742" t="s">
        <v>26</v>
      </c>
      <c r="AM742" t="s">
        <v>26</v>
      </c>
      <c r="AN742" t="s">
        <v>26</v>
      </c>
      <c r="AO742" s="25" t="s">
        <v>68</v>
      </c>
      <c r="AP742" s="23" t="s">
        <v>69</v>
      </c>
      <c r="AQ742" s="23" t="s">
        <v>30</v>
      </c>
      <c r="AR742" s="23" t="s">
        <v>70</v>
      </c>
      <c r="AS742" s="25">
        <v>6420650</v>
      </c>
      <c r="AT742" t="s">
        <v>26</v>
      </c>
      <c r="AU742" t="s">
        <v>23226</v>
      </c>
    </row>
    <row r="743" spans="1:47" ht="26.25" x14ac:dyDescent="0.4">
      <c r="A743" s="23" t="s">
        <v>1929</v>
      </c>
      <c r="B743" t="s">
        <v>26</v>
      </c>
      <c r="C743" s="23" t="s">
        <v>1930</v>
      </c>
      <c r="D743" s="23" t="s">
        <v>23227</v>
      </c>
      <c r="E743" s="23" t="s">
        <v>1383</v>
      </c>
      <c r="F743" t="s">
        <v>26</v>
      </c>
      <c r="G743" s="25" t="s">
        <v>1931</v>
      </c>
      <c r="H743" t="s">
        <v>26</v>
      </c>
      <c r="I743" s="24">
        <v>44228</v>
      </c>
      <c r="J743" s="25" t="s">
        <v>77</v>
      </c>
      <c r="K743" t="s">
        <v>26</v>
      </c>
      <c r="L743" s="25" t="s">
        <v>68</v>
      </c>
      <c r="M743" t="s">
        <v>26</v>
      </c>
      <c r="N743" t="s">
        <v>26</v>
      </c>
      <c r="O743" t="s">
        <v>26</v>
      </c>
      <c r="P743" s="24">
        <v>44228</v>
      </c>
      <c r="Q743" s="25" t="s">
        <v>77</v>
      </c>
      <c r="R743" t="s">
        <v>26</v>
      </c>
      <c r="S743" t="s">
        <v>26</v>
      </c>
      <c r="T743" t="s">
        <v>26</v>
      </c>
      <c r="U743" t="s">
        <v>26</v>
      </c>
      <c r="V743" t="s">
        <v>26</v>
      </c>
      <c r="W743" s="24">
        <v>44228</v>
      </c>
      <c r="X743" s="25" t="s">
        <v>77</v>
      </c>
      <c r="Y743" t="s">
        <v>26</v>
      </c>
      <c r="Z743" s="24">
        <v>44228</v>
      </c>
      <c r="AA743" s="25" t="s">
        <v>77</v>
      </c>
      <c r="AB743" t="s">
        <v>26</v>
      </c>
      <c r="AC743" s="24">
        <v>44228</v>
      </c>
      <c r="AD743" s="25" t="s">
        <v>77</v>
      </c>
      <c r="AE743" t="s">
        <v>26</v>
      </c>
      <c r="AF743" t="s">
        <v>26</v>
      </c>
      <c r="AG743" t="s">
        <v>26</v>
      </c>
      <c r="AH743" t="s">
        <v>26</v>
      </c>
      <c r="AI743" t="s">
        <v>26</v>
      </c>
      <c r="AJ743" t="s">
        <v>26</v>
      </c>
      <c r="AK743" t="s">
        <v>26</v>
      </c>
      <c r="AL743" t="s">
        <v>26</v>
      </c>
      <c r="AM743" t="s">
        <v>26</v>
      </c>
      <c r="AN743" t="s">
        <v>26</v>
      </c>
      <c r="AO743" s="25" t="s">
        <v>28</v>
      </c>
      <c r="AP743" s="23" t="s">
        <v>69</v>
      </c>
      <c r="AQ743" s="23" t="s">
        <v>30</v>
      </c>
      <c r="AR743" s="23" t="s">
        <v>1882</v>
      </c>
      <c r="AS743" s="25">
        <v>5246727</v>
      </c>
      <c r="AT743" t="s">
        <v>26</v>
      </c>
      <c r="AU743" t="s">
        <v>23228</v>
      </c>
    </row>
    <row r="744" spans="1:47" ht="26.25" x14ac:dyDescent="0.4">
      <c r="A744" s="23" t="s">
        <v>1932</v>
      </c>
      <c r="B744" t="s">
        <v>26</v>
      </c>
      <c r="C744" s="23" t="s">
        <v>22238</v>
      </c>
      <c r="D744" s="23" t="s">
        <v>22307</v>
      </c>
      <c r="E744" s="23" t="s">
        <v>42</v>
      </c>
      <c r="F744" t="s">
        <v>26</v>
      </c>
      <c r="G744" t="s">
        <v>26</v>
      </c>
      <c r="H744" t="s">
        <v>26</v>
      </c>
      <c r="I744" s="24">
        <v>43101</v>
      </c>
      <c r="J744" s="24">
        <v>43101</v>
      </c>
      <c r="K744" t="s">
        <v>26</v>
      </c>
      <c r="L744" s="25" t="s">
        <v>28</v>
      </c>
      <c r="M744" s="24">
        <v>43101</v>
      </c>
      <c r="N744" s="24">
        <v>43101</v>
      </c>
      <c r="O744" t="s">
        <v>26</v>
      </c>
      <c r="P744" t="s">
        <v>26</v>
      </c>
      <c r="Q744" t="s">
        <v>26</v>
      </c>
      <c r="R744" t="s">
        <v>26</v>
      </c>
      <c r="S744" s="24">
        <v>43101</v>
      </c>
      <c r="T744" s="24">
        <v>43101</v>
      </c>
      <c r="U744" t="s">
        <v>26</v>
      </c>
      <c r="V744" t="s">
        <v>26</v>
      </c>
      <c r="W744" s="24">
        <v>43101</v>
      </c>
      <c r="X744" s="24">
        <v>43101</v>
      </c>
      <c r="Y744" t="s">
        <v>26</v>
      </c>
      <c r="Z744" s="24">
        <v>43101</v>
      </c>
      <c r="AA744" s="24">
        <v>43101</v>
      </c>
      <c r="AB744" t="s">
        <v>26</v>
      </c>
      <c r="AC744" s="24">
        <v>43101</v>
      </c>
      <c r="AD744" s="24">
        <v>43101</v>
      </c>
      <c r="AE744" t="s">
        <v>26</v>
      </c>
      <c r="AF744" s="24">
        <v>43101</v>
      </c>
      <c r="AG744" s="24">
        <v>43101</v>
      </c>
      <c r="AH744" t="s">
        <v>26</v>
      </c>
      <c r="AI744" s="24">
        <v>43101</v>
      </c>
      <c r="AJ744" s="24">
        <v>43101</v>
      </c>
      <c r="AK744" t="s">
        <v>26</v>
      </c>
      <c r="AL744" t="s">
        <v>26</v>
      </c>
      <c r="AM744" t="s">
        <v>26</v>
      </c>
      <c r="AN744" t="s">
        <v>26</v>
      </c>
      <c r="AO744" s="25" t="s">
        <v>28</v>
      </c>
      <c r="AP744" s="23" t="s">
        <v>43</v>
      </c>
      <c r="AQ744" s="23" t="s">
        <v>30</v>
      </c>
      <c r="AR744" s="23" t="s">
        <v>46</v>
      </c>
      <c r="AS744" s="25">
        <v>6447827</v>
      </c>
      <c r="AT744" t="s">
        <v>26</v>
      </c>
      <c r="AU744" t="s">
        <v>23229</v>
      </c>
    </row>
    <row r="745" spans="1:47" ht="26.25" x14ac:dyDescent="0.4">
      <c r="A745" s="23" t="s">
        <v>1933</v>
      </c>
      <c r="B745" t="s">
        <v>26</v>
      </c>
      <c r="C745" s="23" t="s">
        <v>22238</v>
      </c>
      <c r="D745" t="s">
        <v>26</v>
      </c>
      <c r="E745" s="23" t="s">
        <v>42</v>
      </c>
      <c r="F745" t="s">
        <v>26</v>
      </c>
      <c r="G745" t="s">
        <v>26</v>
      </c>
      <c r="H745" t="s">
        <v>26</v>
      </c>
      <c r="I745" s="24">
        <v>43101</v>
      </c>
      <c r="J745" s="24">
        <v>43101</v>
      </c>
      <c r="K745" t="s">
        <v>26</v>
      </c>
      <c r="L745" s="25" t="s">
        <v>28</v>
      </c>
      <c r="M745" s="24">
        <v>43101</v>
      </c>
      <c r="N745" s="24">
        <v>43101</v>
      </c>
      <c r="O745" t="s">
        <v>26</v>
      </c>
      <c r="P745" t="s">
        <v>26</v>
      </c>
      <c r="Q745" t="s">
        <v>26</v>
      </c>
      <c r="R745" t="s">
        <v>26</v>
      </c>
      <c r="S745" s="24">
        <v>43101</v>
      </c>
      <c r="T745" s="24">
        <v>43101</v>
      </c>
      <c r="U745" t="s">
        <v>26</v>
      </c>
      <c r="V745" t="s">
        <v>26</v>
      </c>
      <c r="W745" s="24">
        <v>43101</v>
      </c>
      <c r="X745" s="24">
        <v>43101</v>
      </c>
      <c r="Y745" t="s">
        <v>26</v>
      </c>
      <c r="Z745" s="24">
        <v>43101</v>
      </c>
      <c r="AA745" s="24">
        <v>43101</v>
      </c>
      <c r="AB745" t="s">
        <v>26</v>
      </c>
      <c r="AC745" s="24">
        <v>43101</v>
      </c>
      <c r="AD745" s="24">
        <v>43101</v>
      </c>
      <c r="AE745" t="s">
        <v>26</v>
      </c>
      <c r="AF745" s="24">
        <v>43101</v>
      </c>
      <c r="AG745" s="24">
        <v>43101</v>
      </c>
      <c r="AH745" t="s">
        <v>26</v>
      </c>
      <c r="AI745" s="24">
        <v>43101</v>
      </c>
      <c r="AJ745" s="24">
        <v>43101</v>
      </c>
      <c r="AK745" t="s">
        <v>26</v>
      </c>
      <c r="AL745" t="s">
        <v>26</v>
      </c>
      <c r="AM745" t="s">
        <v>26</v>
      </c>
      <c r="AN745" t="s">
        <v>26</v>
      </c>
      <c r="AO745" s="25" t="s">
        <v>28</v>
      </c>
      <c r="AP745" s="23" t="s">
        <v>43</v>
      </c>
      <c r="AQ745" s="23" t="s">
        <v>30</v>
      </c>
      <c r="AR745" s="23" t="s">
        <v>44</v>
      </c>
      <c r="AS745" s="25">
        <v>5262521</v>
      </c>
      <c r="AT745" t="s">
        <v>26</v>
      </c>
      <c r="AU745" t="s">
        <v>23230</v>
      </c>
    </row>
    <row r="746" spans="1:47" ht="26.25" x14ac:dyDescent="0.4">
      <c r="A746" s="23" t="s">
        <v>1934</v>
      </c>
      <c r="B746" t="s">
        <v>26</v>
      </c>
      <c r="C746" s="23" t="s">
        <v>22238</v>
      </c>
      <c r="D746" t="s">
        <v>26</v>
      </c>
      <c r="E746" s="23" t="s">
        <v>42</v>
      </c>
      <c r="F746" t="s">
        <v>26</v>
      </c>
      <c r="G746" t="s">
        <v>26</v>
      </c>
      <c r="H746" t="s">
        <v>26</v>
      </c>
      <c r="I746" s="24">
        <v>43101</v>
      </c>
      <c r="J746" s="24">
        <v>43101</v>
      </c>
      <c r="K746" t="s">
        <v>26</v>
      </c>
      <c r="L746" s="25" t="s">
        <v>28</v>
      </c>
      <c r="M746" s="24">
        <v>43101</v>
      </c>
      <c r="N746" s="24">
        <v>43101</v>
      </c>
      <c r="O746" t="s">
        <v>26</v>
      </c>
      <c r="P746" t="s">
        <v>26</v>
      </c>
      <c r="Q746" t="s">
        <v>26</v>
      </c>
      <c r="R746" t="s">
        <v>26</v>
      </c>
      <c r="S746" s="24">
        <v>43101</v>
      </c>
      <c r="T746" s="24">
        <v>43101</v>
      </c>
      <c r="U746" t="s">
        <v>26</v>
      </c>
      <c r="V746" t="s">
        <v>26</v>
      </c>
      <c r="W746" s="24">
        <v>43101</v>
      </c>
      <c r="X746" s="24">
        <v>43101</v>
      </c>
      <c r="Y746" t="s">
        <v>26</v>
      </c>
      <c r="Z746" s="24">
        <v>43101</v>
      </c>
      <c r="AA746" s="24">
        <v>43101</v>
      </c>
      <c r="AB746" t="s">
        <v>26</v>
      </c>
      <c r="AC746" s="24">
        <v>43101</v>
      </c>
      <c r="AD746" s="24">
        <v>43101</v>
      </c>
      <c r="AE746" t="s">
        <v>26</v>
      </c>
      <c r="AF746" s="24">
        <v>43101</v>
      </c>
      <c r="AG746" s="24">
        <v>43101</v>
      </c>
      <c r="AH746" t="s">
        <v>26</v>
      </c>
      <c r="AI746" s="24">
        <v>43101</v>
      </c>
      <c r="AJ746" s="24">
        <v>43101</v>
      </c>
      <c r="AK746" t="s">
        <v>26</v>
      </c>
      <c r="AL746" t="s">
        <v>26</v>
      </c>
      <c r="AM746" t="s">
        <v>26</v>
      </c>
      <c r="AN746" t="s">
        <v>26</v>
      </c>
      <c r="AO746" s="25" t="s">
        <v>28</v>
      </c>
      <c r="AP746" s="23" t="s">
        <v>43</v>
      </c>
      <c r="AQ746" s="23" t="s">
        <v>30</v>
      </c>
      <c r="AR746" s="23" t="s">
        <v>44</v>
      </c>
      <c r="AS746" s="25">
        <v>5262520</v>
      </c>
      <c r="AT746" t="s">
        <v>26</v>
      </c>
      <c r="AU746" t="s">
        <v>23231</v>
      </c>
    </row>
    <row r="747" spans="1:47" ht="26.25" x14ac:dyDescent="0.4">
      <c r="A747" s="23" t="s">
        <v>1935</v>
      </c>
      <c r="B747" t="s">
        <v>26</v>
      </c>
      <c r="C747" s="23" t="s">
        <v>22238</v>
      </c>
      <c r="D747" t="s">
        <v>26</v>
      </c>
      <c r="E747" s="23" t="s">
        <v>42</v>
      </c>
      <c r="F747" t="s">
        <v>26</v>
      </c>
      <c r="G747" t="s">
        <v>26</v>
      </c>
      <c r="H747" t="s">
        <v>26</v>
      </c>
      <c r="I747" s="24">
        <v>43101</v>
      </c>
      <c r="J747" s="24">
        <v>43101</v>
      </c>
      <c r="K747" t="s">
        <v>26</v>
      </c>
      <c r="L747" s="25" t="s">
        <v>28</v>
      </c>
      <c r="M747" s="24">
        <v>43101</v>
      </c>
      <c r="N747" s="24">
        <v>43101</v>
      </c>
      <c r="O747" t="s">
        <v>26</v>
      </c>
      <c r="P747" t="s">
        <v>26</v>
      </c>
      <c r="Q747" t="s">
        <v>26</v>
      </c>
      <c r="R747" t="s">
        <v>26</v>
      </c>
      <c r="S747" s="24">
        <v>43101</v>
      </c>
      <c r="T747" s="24">
        <v>43101</v>
      </c>
      <c r="U747" t="s">
        <v>26</v>
      </c>
      <c r="V747" t="s">
        <v>26</v>
      </c>
      <c r="W747" s="24">
        <v>43101</v>
      </c>
      <c r="X747" s="24">
        <v>43101</v>
      </c>
      <c r="Y747" t="s">
        <v>26</v>
      </c>
      <c r="Z747" s="24">
        <v>43101</v>
      </c>
      <c r="AA747" s="24">
        <v>43101</v>
      </c>
      <c r="AB747" t="s">
        <v>26</v>
      </c>
      <c r="AC747" s="24">
        <v>43101</v>
      </c>
      <c r="AD747" s="24">
        <v>43101</v>
      </c>
      <c r="AE747" t="s">
        <v>26</v>
      </c>
      <c r="AF747" s="24">
        <v>43101</v>
      </c>
      <c r="AG747" s="24">
        <v>43101</v>
      </c>
      <c r="AH747" t="s">
        <v>26</v>
      </c>
      <c r="AI747" s="24">
        <v>43101</v>
      </c>
      <c r="AJ747" s="24">
        <v>43101</v>
      </c>
      <c r="AK747" t="s">
        <v>26</v>
      </c>
      <c r="AL747" t="s">
        <v>26</v>
      </c>
      <c r="AM747" t="s">
        <v>26</v>
      </c>
      <c r="AN747" t="s">
        <v>26</v>
      </c>
      <c r="AO747" s="25" t="s">
        <v>28</v>
      </c>
      <c r="AP747" s="23" t="s">
        <v>43</v>
      </c>
      <c r="AQ747" s="23" t="s">
        <v>30</v>
      </c>
      <c r="AR747" s="23" t="s">
        <v>44</v>
      </c>
      <c r="AS747" s="25">
        <v>5262519</v>
      </c>
      <c r="AT747" t="s">
        <v>26</v>
      </c>
      <c r="AU747" t="s">
        <v>23232</v>
      </c>
    </row>
    <row r="748" spans="1:47" ht="26.25" x14ac:dyDescent="0.4">
      <c r="A748" s="23" t="s">
        <v>1936</v>
      </c>
      <c r="B748" t="s">
        <v>26</v>
      </c>
      <c r="C748" s="23" t="s">
        <v>22238</v>
      </c>
      <c r="D748" t="s">
        <v>26</v>
      </c>
      <c r="E748" s="23" t="s">
        <v>42</v>
      </c>
      <c r="F748" t="s">
        <v>26</v>
      </c>
      <c r="G748" t="s">
        <v>26</v>
      </c>
      <c r="H748" t="s">
        <v>26</v>
      </c>
      <c r="I748" s="24">
        <v>43101</v>
      </c>
      <c r="J748" s="24">
        <v>43101</v>
      </c>
      <c r="K748" t="s">
        <v>26</v>
      </c>
      <c r="L748" s="25" t="s">
        <v>28</v>
      </c>
      <c r="M748" s="24">
        <v>43101</v>
      </c>
      <c r="N748" s="24">
        <v>43101</v>
      </c>
      <c r="O748" t="s">
        <v>26</v>
      </c>
      <c r="P748" t="s">
        <v>26</v>
      </c>
      <c r="Q748" t="s">
        <v>26</v>
      </c>
      <c r="R748" t="s">
        <v>26</v>
      </c>
      <c r="S748" s="24">
        <v>43101</v>
      </c>
      <c r="T748" s="24">
        <v>43101</v>
      </c>
      <c r="U748" t="s">
        <v>26</v>
      </c>
      <c r="V748" t="s">
        <v>26</v>
      </c>
      <c r="W748" s="24">
        <v>43101</v>
      </c>
      <c r="X748" s="24">
        <v>43101</v>
      </c>
      <c r="Y748" t="s">
        <v>26</v>
      </c>
      <c r="Z748" s="24">
        <v>43101</v>
      </c>
      <c r="AA748" s="24">
        <v>43101</v>
      </c>
      <c r="AB748" t="s">
        <v>26</v>
      </c>
      <c r="AC748" s="24">
        <v>43101</v>
      </c>
      <c r="AD748" s="24">
        <v>43101</v>
      </c>
      <c r="AE748" t="s">
        <v>26</v>
      </c>
      <c r="AF748" s="24">
        <v>43101</v>
      </c>
      <c r="AG748" s="24">
        <v>43101</v>
      </c>
      <c r="AH748" t="s">
        <v>26</v>
      </c>
      <c r="AI748" s="24">
        <v>43101</v>
      </c>
      <c r="AJ748" s="24">
        <v>43101</v>
      </c>
      <c r="AK748" t="s">
        <v>26</v>
      </c>
      <c r="AL748" t="s">
        <v>26</v>
      </c>
      <c r="AM748" t="s">
        <v>26</v>
      </c>
      <c r="AN748" t="s">
        <v>26</v>
      </c>
      <c r="AO748" s="25" t="s">
        <v>28</v>
      </c>
      <c r="AP748" s="23" t="s">
        <v>43</v>
      </c>
      <c r="AQ748" s="23" t="s">
        <v>30</v>
      </c>
      <c r="AR748" s="23" t="s">
        <v>44</v>
      </c>
      <c r="AS748" s="25">
        <v>5262518</v>
      </c>
      <c r="AT748" t="s">
        <v>26</v>
      </c>
      <c r="AU748" t="s">
        <v>23233</v>
      </c>
    </row>
    <row r="749" spans="1:47" ht="26.25" x14ac:dyDescent="0.4">
      <c r="A749" s="23" t="s">
        <v>1937</v>
      </c>
      <c r="B749" t="s">
        <v>26</v>
      </c>
      <c r="C749" s="23" t="s">
        <v>22238</v>
      </c>
      <c r="D749" s="23" t="s">
        <v>22307</v>
      </c>
      <c r="E749" s="23" t="s">
        <v>42</v>
      </c>
      <c r="F749" t="s">
        <v>26</v>
      </c>
      <c r="G749" t="s">
        <v>26</v>
      </c>
      <c r="H749" t="s">
        <v>26</v>
      </c>
      <c r="I749" s="24">
        <v>40909</v>
      </c>
      <c r="J749" s="24">
        <v>43101</v>
      </c>
      <c r="K749" t="s">
        <v>26</v>
      </c>
      <c r="L749" s="25" t="s">
        <v>28</v>
      </c>
      <c r="M749" s="24">
        <v>40909</v>
      </c>
      <c r="N749" s="24">
        <v>43101</v>
      </c>
      <c r="O749" t="s">
        <v>26</v>
      </c>
      <c r="P749" t="s">
        <v>26</v>
      </c>
      <c r="Q749" t="s">
        <v>26</v>
      </c>
      <c r="R749" t="s">
        <v>26</v>
      </c>
      <c r="S749" s="24">
        <v>40909</v>
      </c>
      <c r="T749" s="24">
        <v>43101</v>
      </c>
      <c r="U749" t="s">
        <v>26</v>
      </c>
      <c r="V749" t="s">
        <v>26</v>
      </c>
      <c r="W749" s="24">
        <v>40909</v>
      </c>
      <c r="X749" s="24">
        <v>43101</v>
      </c>
      <c r="Y749" t="s">
        <v>26</v>
      </c>
      <c r="Z749" s="24">
        <v>40909</v>
      </c>
      <c r="AA749" s="24">
        <v>43101</v>
      </c>
      <c r="AB749" t="s">
        <v>26</v>
      </c>
      <c r="AC749" s="24">
        <v>40909</v>
      </c>
      <c r="AD749" s="24">
        <v>43101</v>
      </c>
      <c r="AE749" t="s">
        <v>26</v>
      </c>
      <c r="AF749" s="24">
        <v>40909</v>
      </c>
      <c r="AG749" s="24">
        <v>43101</v>
      </c>
      <c r="AH749" t="s">
        <v>26</v>
      </c>
      <c r="AI749" s="24">
        <v>40909</v>
      </c>
      <c r="AJ749" s="24">
        <v>43101</v>
      </c>
      <c r="AK749" t="s">
        <v>26</v>
      </c>
      <c r="AL749" t="s">
        <v>26</v>
      </c>
      <c r="AM749" t="s">
        <v>26</v>
      </c>
      <c r="AN749" t="s">
        <v>26</v>
      </c>
      <c r="AO749" s="25" t="s">
        <v>28</v>
      </c>
      <c r="AP749" s="23" t="s">
        <v>43</v>
      </c>
      <c r="AQ749" s="23" t="s">
        <v>30</v>
      </c>
      <c r="AR749" s="23" t="s">
        <v>46</v>
      </c>
      <c r="AS749" s="25">
        <v>6447772</v>
      </c>
      <c r="AT749" t="s">
        <v>26</v>
      </c>
      <c r="AU749" t="s">
        <v>23234</v>
      </c>
    </row>
    <row r="750" spans="1:47" ht="26.25" x14ac:dyDescent="0.4">
      <c r="A750" s="23" t="s">
        <v>1938</v>
      </c>
      <c r="B750" t="s">
        <v>26</v>
      </c>
      <c r="C750" s="23" t="s">
        <v>22238</v>
      </c>
      <c r="D750" s="23" t="s">
        <v>22307</v>
      </c>
      <c r="E750" s="23" t="s">
        <v>42</v>
      </c>
      <c r="F750" t="s">
        <v>26</v>
      </c>
      <c r="G750" t="s">
        <v>26</v>
      </c>
      <c r="H750" t="s">
        <v>26</v>
      </c>
      <c r="I750" s="24">
        <v>40909</v>
      </c>
      <c r="J750" s="24">
        <v>40909</v>
      </c>
      <c r="K750" t="s">
        <v>26</v>
      </c>
      <c r="L750" s="25" t="s">
        <v>28</v>
      </c>
      <c r="M750" s="24">
        <v>40909</v>
      </c>
      <c r="N750" s="24">
        <v>40909</v>
      </c>
      <c r="O750" t="s">
        <v>26</v>
      </c>
      <c r="P750" t="s">
        <v>26</v>
      </c>
      <c r="Q750" t="s">
        <v>26</v>
      </c>
      <c r="R750" t="s">
        <v>26</v>
      </c>
      <c r="S750" s="24">
        <v>40909</v>
      </c>
      <c r="T750" s="24">
        <v>40909</v>
      </c>
      <c r="U750" t="s">
        <v>26</v>
      </c>
      <c r="V750" t="s">
        <v>26</v>
      </c>
      <c r="W750" s="24">
        <v>40909</v>
      </c>
      <c r="X750" s="24">
        <v>40909</v>
      </c>
      <c r="Y750" t="s">
        <v>26</v>
      </c>
      <c r="Z750" s="24">
        <v>40909</v>
      </c>
      <c r="AA750" s="24">
        <v>40909</v>
      </c>
      <c r="AB750" t="s">
        <v>26</v>
      </c>
      <c r="AC750" s="24">
        <v>40909</v>
      </c>
      <c r="AD750" s="24">
        <v>40909</v>
      </c>
      <c r="AE750" t="s">
        <v>26</v>
      </c>
      <c r="AF750" s="24">
        <v>40909</v>
      </c>
      <c r="AG750" s="24">
        <v>40909</v>
      </c>
      <c r="AH750" t="s">
        <v>26</v>
      </c>
      <c r="AI750" s="24">
        <v>40909</v>
      </c>
      <c r="AJ750" s="24">
        <v>40909</v>
      </c>
      <c r="AK750" t="s">
        <v>26</v>
      </c>
      <c r="AL750" t="s">
        <v>26</v>
      </c>
      <c r="AM750" t="s">
        <v>26</v>
      </c>
      <c r="AN750" t="s">
        <v>26</v>
      </c>
      <c r="AO750" s="25" t="s">
        <v>28</v>
      </c>
      <c r="AP750" s="23" t="s">
        <v>43</v>
      </c>
      <c r="AQ750" s="23" t="s">
        <v>30</v>
      </c>
      <c r="AR750" s="23" t="s">
        <v>46</v>
      </c>
      <c r="AS750" s="25">
        <v>6447826</v>
      </c>
      <c r="AT750" t="s">
        <v>26</v>
      </c>
      <c r="AU750" t="s">
        <v>23235</v>
      </c>
    </row>
    <row r="751" spans="1:47" ht="26.25" x14ac:dyDescent="0.4">
      <c r="A751" s="23" t="s">
        <v>1939</v>
      </c>
      <c r="B751" t="s">
        <v>26</v>
      </c>
      <c r="C751" s="23" t="s">
        <v>22238</v>
      </c>
      <c r="D751" s="23" t="s">
        <v>22307</v>
      </c>
      <c r="E751" s="23" t="s">
        <v>42</v>
      </c>
      <c r="F751" t="s">
        <v>26</v>
      </c>
      <c r="G751" t="s">
        <v>26</v>
      </c>
      <c r="H751" t="s">
        <v>26</v>
      </c>
      <c r="I751" s="24">
        <v>40909</v>
      </c>
      <c r="J751" s="24">
        <v>40909</v>
      </c>
      <c r="K751" t="s">
        <v>26</v>
      </c>
      <c r="L751" s="25" t="s">
        <v>28</v>
      </c>
      <c r="M751" s="24">
        <v>40909</v>
      </c>
      <c r="N751" s="24">
        <v>40909</v>
      </c>
      <c r="O751" t="s">
        <v>26</v>
      </c>
      <c r="P751" t="s">
        <v>26</v>
      </c>
      <c r="Q751" t="s">
        <v>26</v>
      </c>
      <c r="R751" t="s">
        <v>26</v>
      </c>
      <c r="S751" s="24">
        <v>40909</v>
      </c>
      <c r="T751" s="24">
        <v>40909</v>
      </c>
      <c r="U751" t="s">
        <v>26</v>
      </c>
      <c r="V751" t="s">
        <v>26</v>
      </c>
      <c r="W751" s="24">
        <v>40909</v>
      </c>
      <c r="X751" s="24">
        <v>40909</v>
      </c>
      <c r="Y751" t="s">
        <v>26</v>
      </c>
      <c r="Z751" s="24">
        <v>40909</v>
      </c>
      <c r="AA751" s="24">
        <v>40909</v>
      </c>
      <c r="AB751" t="s">
        <v>26</v>
      </c>
      <c r="AC751" s="24">
        <v>40909</v>
      </c>
      <c r="AD751" s="24">
        <v>40909</v>
      </c>
      <c r="AE751" t="s">
        <v>26</v>
      </c>
      <c r="AF751" s="24">
        <v>40909</v>
      </c>
      <c r="AG751" s="24">
        <v>40909</v>
      </c>
      <c r="AH751" t="s">
        <v>26</v>
      </c>
      <c r="AI751" s="24">
        <v>40909</v>
      </c>
      <c r="AJ751" s="24">
        <v>40909</v>
      </c>
      <c r="AK751" t="s">
        <v>26</v>
      </c>
      <c r="AL751" t="s">
        <v>26</v>
      </c>
      <c r="AM751" t="s">
        <v>26</v>
      </c>
      <c r="AN751" t="s">
        <v>26</v>
      </c>
      <c r="AO751" s="25" t="s">
        <v>28</v>
      </c>
      <c r="AP751" s="23" t="s">
        <v>43</v>
      </c>
      <c r="AQ751" s="23" t="s">
        <v>30</v>
      </c>
      <c r="AR751" s="23" t="s">
        <v>46</v>
      </c>
      <c r="AS751" s="25">
        <v>6447825</v>
      </c>
      <c r="AT751" t="s">
        <v>26</v>
      </c>
      <c r="AU751" t="s">
        <v>23236</v>
      </c>
    </row>
    <row r="752" spans="1:47" ht="26.25" x14ac:dyDescent="0.4">
      <c r="A752" s="23" t="s">
        <v>1940</v>
      </c>
      <c r="B752" t="s">
        <v>26</v>
      </c>
      <c r="C752" s="23" t="s">
        <v>22238</v>
      </c>
      <c r="D752" s="23" t="s">
        <v>22307</v>
      </c>
      <c r="E752" s="23" t="s">
        <v>42</v>
      </c>
      <c r="F752" t="s">
        <v>26</v>
      </c>
      <c r="G752" t="s">
        <v>26</v>
      </c>
      <c r="H752" t="s">
        <v>26</v>
      </c>
      <c r="I752" s="24">
        <v>40909</v>
      </c>
      <c r="J752" s="24">
        <v>40909</v>
      </c>
      <c r="K752" t="s">
        <v>26</v>
      </c>
      <c r="L752" s="25" t="s">
        <v>28</v>
      </c>
      <c r="M752" s="24">
        <v>40909</v>
      </c>
      <c r="N752" s="24">
        <v>40909</v>
      </c>
      <c r="O752" t="s">
        <v>26</v>
      </c>
      <c r="P752" t="s">
        <v>26</v>
      </c>
      <c r="Q752" t="s">
        <v>26</v>
      </c>
      <c r="R752" t="s">
        <v>26</v>
      </c>
      <c r="S752" s="24">
        <v>40909</v>
      </c>
      <c r="T752" s="24">
        <v>40909</v>
      </c>
      <c r="U752" t="s">
        <v>26</v>
      </c>
      <c r="V752" t="s">
        <v>26</v>
      </c>
      <c r="W752" s="24">
        <v>40909</v>
      </c>
      <c r="X752" s="24">
        <v>40909</v>
      </c>
      <c r="Y752" t="s">
        <v>26</v>
      </c>
      <c r="Z752" s="24">
        <v>40909</v>
      </c>
      <c r="AA752" s="24">
        <v>40909</v>
      </c>
      <c r="AB752" t="s">
        <v>26</v>
      </c>
      <c r="AC752" s="24">
        <v>40909</v>
      </c>
      <c r="AD752" s="24">
        <v>40909</v>
      </c>
      <c r="AE752" t="s">
        <v>26</v>
      </c>
      <c r="AF752" s="24">
        <v>40909</v>
      </c>
      <c r="AG752" s="24">
        <v>40909</v>
      </c>
      <c r="AH752" t="s">
        <v>26</v>
      </c>
      <c r="AI752" s="24">
        <v>40909</v>
      </c>
      <c r="AJ752" s="24">
        <v>40909</v>
      </c>
      <c r="AK752" t="s">
        <v>26</v>
      </c>
      <c r="AL752" t="s">
        <v>26</v>
      </c>
      <c r="AM752" t="s">
        <v>26</v>
      </c>
      <c r="AN752" t="s">
        <v>26</v>
      </c>
      <c r="AO752" s="25" t="s">
        <v>28</v>
      </c>
      <c r="AP752" s="23" t="s">
        <v>43</v>
      </c>
      <c r="AQ752" s="23" t="s">
        <v>30</v>
      </c>
      <c r="AR752" s="23" t="s">
        <v>46</v>
      </c>
      <c r="AS752" s="25">
        <v>6447824</v>
      </c>
      <c r="AT752" t="s">
        <v>26</v>
      </c>
      <c r="AU752" t="s">
        <v>23237</v>
      </c>
    </row>
    <row r="753" spans="1:47" ht="39.4" x14ac:dyDescent="0.4">
      <c r="A753" s="23" t="s">
        <v>1941</v>
      </c>
      <c r="B753" t="s">
        <v>26</v>
      </c>
      <c r="C753" s="23" t="s">
        <v>22238</v>
      </c>
      <c r="D753" t="s">
        <v>26</v>
      </c>
      <c r="E753" s="23" t="s">
        <v>42</v>
      </c>
      <c r="F753" t="s">
        <v>26</v>
      </c>
      <c r="G753" t="s">
        <v>26</v>
      </c>
      <c r="H753" t="s">
        <v>26</v>
      </c>
      <c r="I753" s="24">
        <v>40909</v>
      </c>
      <c r="J753" s="24">
        <v>43101</v>
      </c>
      <c r="K753" t="s">
        <v>26</v>
      </c>
      <c r="L753" s="25" t="s">
        <v>28</v>
      </c>
      <c r="M753" s="24">
        <v>40909</v>
      </c>
      <c r="N753" s="24">
        <v>43101</v>
      </c>
      <c r="O753" t="s">
        <v>26</v>
      </c>
      <c r="P753" t="s">
        <v>26</v>
      </c>
      <c r="Q753" t="s">
        <v>26</v>
      </c>
      <c r="R753" t="s">
        <v>26</v>
      </c>
      <c r="S753" s="24">
        <v>40909</v>
      </c>
      <c r="T753" s="24">
        <v>43101</v>
      </c>
      <c r="U753" t="s">
        <v>26</v>
      </c>
      <c r="V753" t="s">
        <v>26</v>
      </c>
      <c r="W753" s="24">
        <v>40909</v>
      </c>
      <c r="X753" s="24">
        <v>43101</v>
      </c>
      <c r="Y753" t="s">
        <v>26</v>
      </c>
      <c r="Z753" s="24">
        <v>40909</v>
      </c>
      <c r="AA753" s="24">
        <v>43101</v>
      </c>
      <c r="AB753" t="s">
        <v>26</v>
      </c>
      <c r="AC753" s="24">
        <v>40909</v>
      </c>
      <c r="AD753" s="24">
        <v>43101</v>
      </c>
      <c r="AE753" t="s">
        <v>26</v>
      </c>
      <c r="AF753" s="24">
        <v>40909</v>
      </c>
      <c r="AG753" s="24">
        <v>43101</v>
      </c>
      <c r="AH753" t="s">
        <v>26</v>
      </c>
      <c r="AI753" s="24">
        <v>40909</v>
      </c>
      <c r="AJ753" s="24">
        <v>43101</v>
      </c>
      <c r="AK753" t="s">
        <v>26</v>
      </c>
      <c r="AL753" t="s">
        <v>26</v>
      </c>
      <c r="AM753" t="s">
        <v>26</v>
      </c>
      <c r="AN753" t="s">
        <v>26</v>
      </c>
      <c r="AO753" s="25" t="s">
        <v>28</v>
      </c>
      <c r="AP753" s="23" t="s">
        <v>43</v>
      </c>
      <c r="AQ753" s="23" t="s">
        <v>30</v>
      </c>
      <c r="AR753" s="23" t="s">
        <v>44</v>
      </c>
      <c r="AS753" s="25">
        <v>5262517</v>
      </c>
      <c r="AT753" t="s">
        <v>26</v>
      </c>
      <c r="AU753" t="s">
        <v>23238</v>
      </c>
    </row>
    <row r="754" spans="1:47" ht="26.25" x14ac:dyDescent="0.4">
      <c r="A754" s="23" t="s">
        <v>1942</v>
      </c>
      <c r="B754" t="s">
        <v>26</v>
      </c>
      <c r="C754" s="23" t="s">
        <v>22238</v>
      </c>
      <c r="D754" s="23" t="s">
        <v>22307</v>
      </c>
      <c r="E754" s="23" t="s">
        <v>42</v>
      </c>
      <c r="F754" t="s">
        <v>26</v>
      </c>
      <c r="G754" t="s">
        <v>26</v>
      </c>
      <c r="H754" t="s">
        <v>26</v>
      </c>
      <c r="I754" s="24">
        <v>40909</v>
      </c>
      <c r="J754" s="24">
        <v>43101</v>
      </c>
      <c r="K754" t="s">
        <v>26</v>
      </c>
      <c r="L754" s="25" t="s">
        <v>28</v>
      </c>
      <c r="M754" s="24">
        <v>40909</v>
      </c>
      <c r="N754" s="24">
        <v>43101</v>
      </c>
      <c r="O754" t="s">
        <v>26</v>
      </c>
      <c r="P754" t="s">
        <v>26</v>
      </c>
      <c r="Q754" t="s">
        <v>26</v>
      </c>
      <c r="R754" t="s">
        <v>26</v>
      </c>
      <c r="S754" s="24">
        <v>40909</v>
      </c>
      <c r="T754" s="24">
        <v>43101</v>
      </c>
      <c r="U754" t="s">
        <v>26</v>
      </c>
      <c r="V754" t="s">
        <v>26</v>
      </c>
      <c r="W754" s="24">
        <v>40909</v>
      </c>
      <c r="X754" s="24">
        <v>43101</v>
      </c>
      <c r="Y754" t="s">
        <v>26</v>
      </c>
      <c r="Z754" s="24">
        <v>40909</v>
      </c>
      <c r="AA754" s="24">
        <v>43101</v>
      </c>
      <c r="AB754" t="s">
        <v>26</v>
      </c>
      <c r="AC754" s="24">
        <v>40909</v>
      </c>
      <c r="AD754" s="24">
        <v>43101</v>
      </c>
      <c r="AE754" t="s">
        <v>26</v>
      </c>
      <c r="AF754" s="24">
        <v>40909</v>
      </c>
      <c r="AG754" s="24">
        <v>43101</v>
      </c>
      <c r="AH754" t="s">
        <v>26</v>
      </c>
      <c r="AI754" s="24">
        <v>40909</v>
      </c>
      <c r="AJ754" s="24">
        <v>43101</v>
      </c>
      <c r="AK754" t="s">
        <v>26</v>
      </c>
      <c r="AL754" t="s">
        <v>26</v>
      </c>
      <c r="AM754" t="s">
        <v>26</v>
      </c>
      <c r="AN754" t="s">
        <v>26</v>
      </c>
      <c r="AO754" s="25" t="s">
        <v>28</v>
      </c>
      <c r="AP754" s="23" t="s">
        <v>43</v>
      </c>
      <c r="AQ754" s="23" t="s">
        <v>30</v>
      </c>
      <c r="AR754" s="23" t="s">
        <v>46</v>
      </c>
      <c r="AS754" s="25">
        <v>6447823</v>
      </c>
      <c r="AT754" t="s">
        <v>26</v>
      </c>
      <c r="AU754" t="s">
        <v>23239</v>
      </c>
    </row>
    <row r="755" spans="1:47" ht="26.25" x14ac:dyDescent="0.4">
      <c r="A755" s="23" t="s">
        <v>1943</v>
      </c>
      <c r="B755" t="s">
        <v>26</v>
      </c>
      <c r="C755" s="23" t="s">
        <v>22238</v>
      </c>
      <c r="D755" s="23" t="s">
        <v>22307</v>
      </c>
      <c r="E755" s="23" t="s">
        <v>42</v>
      </c>
      <c r="F755" t="s">
        <v>26</v>
      </c>
      <c r="G755" t="s">
        <v>26</v>
      </c>
      <c r="H755" t="s">
        <v>26</v>
      </c>
      <c r="I755" s="24">
        <v>40909</v>
      </c>
      <c r="J755" s="24">
        <v>43101</v>
      </c>
      <c r="K755" t="s">
        <v>26</v>
      </c>
      <c r="L755" s="25" t="s">
        <v>28</v>
      </c>
      <c r="M755" s="24">
        <v>40909</v>
      </c>
      <c r="N755" s="24">
        <v>43101</v>
      </c>
      <c r="O755" t="s">
        <v>26</v>
      </c>
      <c r="P755" t="s">
        <v>26</v>
      </c>
      <c r="Q755" t="s">
        <v>26</v>
      </c>
      <c r="R755" t="s">
        <v>26</v>
      </c>
      <c r="S755" s="24">
        <v>40909</v>
      </c>
      <c r="T755" s="24">
        <v>43101</v>
      </c>
      <c r="U755" t="s">
        <v>26</v>
      </c>
      <c r="V755" t="s">
        <v>26</v>
      </c>
      <c r="W755" s="24">
        <v>40909</v>
      </c>
      <c r="X755" s="24">
        <v>43101</v>
      </c>
      <c r="Y755" t="s">
        <v>26</v>
      </c>
      <c r="Z755" s="24">
        <v>40909</v>
      </c>
      <c r="AA755" s="24">
        <v>43101</v>
      </c>
      <c r="AB755" t="s">
        <v>26</v>
      </c>
      <c r="AC755" s="24">
        <v>40909</v>
      </c>
      <c r="AD755" s="24">
        <v>43101</v>
      </c>
      <c r="AE755" t="s">
        <v>26</v>
      </c>
      <c r="AF755" s="24">
        <v>40909</v>
      </c>
      <c r="AG755" s="24">
        <v>43101</v>
      </c>
      <c r="AH755" t="s">
        <v>26</v>
      </c>
      <c r="AI755" s="24">
        <v>40909</v>
      </c>
      <c r="AJ755" s="24">
        <v>43101</v>
      </c>
      <c r="AK755" t="s">
        <v>26</v>
      </c>
      <c r="AL755" t="s">
        <v>26</v>
      </c>
      <c r="AM755" t="s">
        <v>26</v>
      </c>
      <c r="AN755" t="s">
        <v>26</v>
      </c>
      <c r="AO755" s="25" t="s">
        <v>28</v>
      </c>
      <c r="AP755" s="23" t="s">
        <v>43</v>
      </c>
      <c r="AQ755" s="23" t="s">
        <v>30</v>
      </c>
      <c r="AR755" s="23" t="s">
        <v>46</v>
      </c>
      <c r="AS755" s="25">
        <v>6447822</v>
      </c>
      <c r="AT755" t="s">
        <v>26</v>
      </c>
      <c r="AU755" t="s">
        <v>23240</v>
      </c>
    </row>
    <row r="756" spans="1:47" ht="26.25" x14ac:dyDescent="0.4">
      <c r="A756" s="23" t="s">
        <v>1944</v>
      </c>
      <c r="B756" t="s">
        <v>26</v>
      </c>
      <c r="C756" s="23" t="s">
        <v>22238</v>
      </c>
      <c r="D756" s="23" t="s">
        <v>22307</v>
      </c>
      <c r="E756" s="23" t="s">
        <v>42</v>
      </c>
      <c r="F756" t="s">
        <v>26</v>
      </c>
      <c r="G756" t="s">
        <v>26</v>
      </c>
      <c r="H756" t="s">
        <v>26</v>
      </c>
      <c r="I756" s="24">
        <v>40909</v>
      </c>
      <c r="J756" s="24">
        <v>40909</v>
      </c>
      <c r="K756" t="s">
        <v>26</v>
      </c>
      <c r="L756" s="25" t="s">
        <v>28</v>
      </c>
      <c r="M756" s="24">
        <v>40909</v>
      </c>
      <c r="N756" s="24">
        <v>40909</v>
      </c>
      <c r="O756" t="s">
        <v>26</v>
      </c>
      <c r="P756" t="s">
        <v>26</v>
      </c>
      <c r="Q756" t="s">
        <v>26</v>
      </c>
      <c r="R756" t="s">
        <v>26</v>
      </c>
      <c r="S756" s="24">
        <v>40909</v>
      </c>
      <c r="T756" s="24">
        <v>40909</v>
      </c>
      <c r="U756" t="s">
        <v>26</v>
      </c>
      <c r="V756" t="s">
        <v>26</v>
      </c>
      <c r="W756" s="24">
        <v>40909</v>
      </c>
      <c r="X756" s="24">
        <v>40909</v>
      </c>
      <c r="Y756" t="s">
        <v>26</v>
      </c>
      <c r="Z756" s="24">
        <v>40909</v>
      </c>
      <c r="AA756" s="24">
        <v>40909</v>
      </c>
      <c r="AB756" t="s">
        <v>26</v>
      </c>
      <c r="AC756" s="24">
        <v>40909</v>
      </c>
      <c r="AD756" s="24">
        <v>40909</v>
      </c>
      <c r="AE756" t="s">
        <v>26</v>
      </c>
      <c r="AF756" s="24">
        <v>40909</v>
      </c>
      <c r="AG756" s="24">
        <v>40909</v>
      </c>
      <c r="AH756" t="s">
        <v>26</v>
      </c>
      <c r="AI756" s="24">
        <v>40909</v>
      </c>
      <c r="AJ756" s="24">
        <v>40909</v>
      </c>
      <c r="AK756" t="s">
        <v>26</v>
      </c>
      <c r="AL756" t="s">
        <v>26</v>
      </c>
      <c r="AM756" t="s">
        <v>26</v>
      </c>
      <c r="AN756" t="s">
        <v>26</v>
      </c>
      <c r="AO756" s="25" t="s">
        <v>28</v>
      </c>
      <c r="AP756" s="23" t="s">
        <v>43</v>
      </c>
      <c r="AQ756" s="23" t="s">
        <v>30</v>
      </c>
      <c r="AR756" s="23" t="s">
        <v>46</v>
      </c>
      <c r="AS756" s="25">
        <v>6447821</v>
      </c>
      <c r="AT756" t="s">
        <v>26</v>
      </c>
      <c r="AU756" t="s">
        <v>23241</v>
      </c>
    </row>
    <row r="757" spans="1:47" ht="26.25" x14ac:dyDescent="0.4">
      <c r="A757" s="23" t="s">
        <v>1945</v>
      </c>
      <c r="B757" t="s">
        <v>26</v>
      </c>
      <c r="C757" s="23" t="s">
        <v>22238</v>
      </c>
      <c r="D757" s="23" t="s">
        <v>22307</v>
      </c>
      <c r="E757" s="23" t="s">
        <v>42</v>
      </c>
      <c r="F757" t="s">
        <v>26</v>
      </c>
      <c r="G757" t="s">
        <v>26</v>
      </c>
      <c r="H757" t="s">
        <v>26</v>
      </c>
      <c r="I757" s="24">
        <v>40909</v>
      </c>
      <c r="J757" s="24">
        <v>40909</v>
      </c>
      <c r="K757" t="s">
        <v>26</v>
      </c>
      <c r="L757" s="25" t="s">
        <v>28</v>
      </c>
      <c r="M757" s="24">
        <v>40909</v>
      </c>
      <c r="N757" s="24">
        <v>40909</v>
      </c>
      <c r="O757" t="s">
        <v>26</v>
      </c>
      <c r="P757" t="s">
        <v>26</v>
      </c>
      <c r="Q757" t="s">
        <v>26</v>
      </c>
      <c r="R757" t="s">
        <v>26</v>
      </c>
      <c r="S757" s="24">
        <v>40909</v>
      </c>
      <c r="T757" s="24">
        <v>40909</v>
      </c>
      <c r="U757" t="s">
        <v>26</v>
      </c>
      <c r="V757" t="s">
        <v>26</v>
      </c>
      <c r="W757" s="24">
        <v>40909</v>
      </c>
      <c r="X757" s="24">
        <v>40909</v>
      </c>
      <c r="Y757" t="s">
        <v>26</v>
      </c>
      <c r="Z757" s="24">
        <v>40909</v>
      </c>
      <c r="AA757" s="24">
        <v>40909</v>
      </c>
      <c r="AB757" t="s">
        <v>26</v>
      </c>
      <c r="AC757" s="24">
        <v>40909</v>
      </c>
      <c r="AD757" s="24">
        <v>40909</v>
      </c>
      <c r="AE757" t="s">
        <v>26</v>
      </c>
      <c r="AF757" s="24">
        <v>40909</v>
      </c>
      <c r="AG757" s="24">
        <v>40909</v>
      </c>
      <c r="AH757" t="s">
        <v>26</v>
      </c>
      <c r="AI757" s="24">
        <v>40909</v>
      </c>
      <c r="AJ757" s="24">
        <v>40909</v>
      </c>
      <c r="AK757" t="s">
        <v>26</v>
      </c>
      <c r="AL757" t="s">
        <v>26</v>
      </c>
      <c r="AM757" t="s">
        <v>26</v>
      </c>
      <c r="AN757" t="s">
        <v>26</v>
      </c>
      <c r="AO757" s="25" t="s">
        <v>28</v>
      </c>
      <c r="AP757" s="23" t="s">
        <v>43</v>
      </c>
      <c r="AQ757" s="23" t="s">
        <v>30</v>
      </c>
      <c r="AR757" s="23" t="s">
        <v>46</v>
      </c>
      <c r="AS757" s="25">
        <v>6447820</v>
      </c>
      <c r="AT757" t="s">
        <v>26</v>
      </c>
      <c r="AU757" t="s">
        <v>23242</v>
      </c>
    </row>
    <row r="758" spans="1:47" ht="26.25" x14ac:dyDescent="0.4">
      <c r="A758" s="23" t="s">
        <v>1946</v>
      </c>
      <c r="B758" t="s">
        <v>26</v>
      </c>
      <c r="C758" s="23" t="s">
        <v>22238</v>
      </c>
      <c r="D758" t="s">
        <v>26</v>
      </c>
      <c r="E758" s="23" t="s">
        <v>42</v>
      </c>
      <c r="F758" t="s">
        <v>26</v>
      </c>
      <c r="G758" t="s">
        <v>26</v>
      </c>
      <c r="H758" t="s">
        <v>26</v>
      </c>
      <c r="I758" s="24">
        <v>43101</v>
      </c>
      <c r="J758" s="24">
        <v>43101</v>
      </c>
      <c r="K758" t="s">
        <v>26</v>
      </c>
      <c r="L758" s="25" t="s">
        <v>28</v>
      </c>
      <c r="M758" s="24">
        <v>43101</v>
      </c>
      <c r="N758" s="24">
        <v>43101</v>
      </c>
      <c r="O758" t="s">
        <v>26</v>
      </c>
      <c r="P758" t="s">
        <v>26</v>
      </c>
      <c r="Q758" t="s">
        <v>26</v>
      </c>
      <c r="R758" t="s">
        <v>26</v>
      </c>
      <c r="S758" s="24">
        <v>43101</v>
      </c>
      <c r="T758" s="24">
        <v>43101</v>
      </c>
      <c r="U758" t="s">
        <v>26</v>
      </c>
      <c r="V758" t="s">
        <v>26</v>
      </c>
      <c r="W758" s="24">
        <v>43101</v>
      </c>
      <c r="X758" s="24">
        <v>43101</v>
      </c>
      <c r="Y758" t="s">
        <v>26</v>
      </c>
      <c r="Z758" s="24">
        <v>43101</v>
      </c>
      <c r="AA758" s="24">
        <v>43101</v>
      </c>
      <c r="AB758" t="s">
        <v>26</v>
      </c>
      <c r="AC758" s="24">
        <v>43101</v>
      </c>
      <c r="AD758" s="24">
        <v>43101</v>
      </c>
      <c r="AE758" t="s">
        <v>26</v>
      </c>
      <c r="AF758" s="24">
        <v>43101</v>
      </c>
      <c r="AG758" s="24">
        <v>43101</v>
      </c>
      <c r="AH758" t="s">
        <v>26</v>
      </c>
      <c r="AI758" s="24">
        <v>43101</v>
      </c>
      <c r="AJ758" s="24">
        <v>43101</v>
      </c>
      <c r="AK758" t="s">
        <v>26</v>
      </c>
      <c r="AL758" t="s">
        <v>26</v>
      </c>
      <c r="AM758" t="s">
        <v>26</v>
      </c>
      <c r="AN758" t="s">
        <v>26</v>
      </c>
      <c r="AO758" s="25" t="s">
        <v>28</v>
      </c>
      <c r="AP758" s="23" t="s">
        <v>43</v>
      </c>
      <c r="AQ758" s="23" t="s">
        <v>30</v>
      </c>
      <c r="AR758" s="23" t="s">
        <v>44</v>
      </c>
      <c r="AS758" s="25">
        <v>5262516</v>
      </c>
      <c r="AT758" t="s">
        <v>26</v>
      </c>
      <c r="AU758" t="s">
        <v>23243</v>
      </c>
    </row>
    <row r="759" spans="1:47" ht="26.25" x14ac:dyDescent="0.4">
      <c r="A759" s="23" t="s">
        <v>1947</v>
      </c>
      <c r="B759" t="s">
        <v>26</v>
      </c>
      <c r="C759" s="23" t="s">
        <v>22238</v>
      </c>
      <c r="D759" t="s">
        <v>26</v>
      </c>
      <c r="E759" s="23" t="s">
        <v>42</v>
      </c>
      <c r="F759" t="s">
        <v>26</v>
      </c>
      <c r="G759" t="s">
        <v>26</v>
      </c>
      <c r="H759" t="s">
        <v>26</v>
      </c>
      <c r="I759" s="24">
        <v>43101</v>
      </c>
      <c r="J759" s="24">
        <v>43101</v>
      </c>
      <c r="K759" t="s">
        <v>26</v>
      </c>
      <c r="L759" s="25" t="s">
        <v>28</v>
      </c>
      <c r="M759" s="24">
        <v>43101</v>
      </c>
      <c r="N759" s="24">
        <v>43101</v>
      </c>
      <c r="O759" t="s">
        <v>26</v>
      </c>
      <c r="P759" t="s">
        <v>26</v>
      </c>
      <c r="Q759" t="s">
        <v>26</v>
      </c>
      <c r="R759" t="s">
        <v>26</v>
      </c>
      <c r="S759" s="24">
        <v>43101</v>
      </c>
      <c r="T759" s="24">
        <v>43101</v>
      </c>
      <c r="U759" t="s">
        <v>26</v>
      </c>
      <c r="V759" t="s">
        <v>26</v>
      </c>
      <c r="W759" s="24">
        <v>43101</v>
      </c>
      <c r="X759" s="24">
        <v>43101</v>
      </c>
      <c r="Y759" t="s">
        <v>26</v>
      </c>
      <c r="Z759" s="24">
        <v>43101</v>
      </c>
      <c r="AA759" s="24">
        <v>43101</v>
      </c>
      <c r="AB759" t="s">
        <v>26</v>
      </c>
      <c r="AC759" s="24">
        <v>43101</v>
      </c>
      <c r="AD759" s="24">
        <v>43101</v>
      </c>
      <c r="AE759" t="s">
        <v>26</v>
      </c>
      <c r="AF759" s="24">
        <v>43101</v>
      </c>
      <c r="AG759" s="24">
        <v>43101</v>
      </c>
      <c r="AH759" t="s">
        <v>26</v>
      </c>
      <c r="AI759" s="24">
        <v>43101</v>
      </c>
      <c r="AJ759" s="24">
        <v>43101</v>
      </c>
      <c r="AK759" t="s">
        <v>26</v>
      </c>
      <c r="AL759" t="s">
        <v>26</v>
      </c>
      <c r="AM759" t="s">
        <v>26</v>
      </c>
      <c r="AN759" t="s">
        <v>26</v>
      </c>
      <c r="AO759" s="25" t="s">
        <v>28</v>
      </c>
      <c r="AP759" s="23" t="s">
        <v>43</v>
      </c>
      <c r="AQ759" s="23" t="s">
        <v>30</v>
      </c>
      <c r="AR759" s="23" t="s">
        <v>44</v>
      </c>
      <c r="AS759" s="25">
        <v>5262515</v>
      </c>
      <c r="AT759" t="s">
        <v>26</v>
      </c>
      <c r="AU759" t="s">
        <v>23244</v>
      </c>
    </row>
    <row r="760" spans="1:47" ht="26.25" x14ac:dyDescent="0.4">
      <c r="A760" s="23" t="s">
        <v>1948</v>
      </c>
      <c r="B760" t="s">
        <v>26</v>
      </c>
      <c r="C760" s="23" t="s">
        <v>22238</v>
      </c>
      <c r="D760" s="23" t="s">
        <v>22307</v>
      </c>
      <c r="E760" s="23" t="s">
        <v>42</v>
      </c>
      <c r="F760" t="s">
        <v>26</v>
      </c>
      <c r="G760" t="s">
        <v>26</v>
      </c>
      <c r="H760" t="s">
        <v>26</v>
      </c>
      <c r="I760" s="24">
        <v>41640</v>
      </c>
      <c r="J760" s="24">
        <v>41640</v>
      </c>
      <c r="K760" t="s">
        <v>26</v>
      </c>
      <c r="L760" s="25" t="s">
        <v>28</v>
      </c>
      <c r="M760" s="24">
        <v>41640</v>
      </c>
      <c r="N760" s="24">
        <v>41640</v>
      </c>
      <c r="O760" t="s">
        <v>26</v>
      </c>
      <c r="P760" t="s">
        <v>26</v>
      </c>
      <c r="Q760" t="s">
        <v>26</v>
      </c>
      <c r="R760" t="s">
        <v>26</v>
      </c>
      <c r="S760" s="24">
        <v>41640</v>
      </c>
      <c r="T760" s="24">
        <v>41640</v>
      </c>
      <c r="U760" t="s">
        <v>26</v>
      </c>
      <c r="V760" t="s">
        <v>26</v>
      </c>
      <c r="W760" s="24">
        <v>41640</v>
      </c>
      <c r="X760" s="24">
        <v>41640</v>
      </c>
      <c r="Y760" t="s">
        <v>26</v>
      </c>
      <c r="Z760" s="24">
        <v>41640</v>
      </c>
      <c r="AA760" s="24">
        <v>41640</v>
      </c>
      <c r="AB760" t="s">
        <v>26</v>
      </c>
      <c r="AC760" s="24">
        <v>41640</v>
      </c>
      <c r="AD760" s="24">
        <v>41640</v>
      </c>
      <c r="AE760" t="s">
        <v>26</v>
      </c>
      <c r="AF760" s="24">
        <v>41640</v>
      </c>
      <c r="AG760" s="24">
        <v>41640</v>
      </c>
      <c r="AH760" t="s">
        <v>26</v>
      </c>
      <c r="AI760" s="24">
        <v>41640</v>
      </c>
      <c r="AJ760" s="24">
        <v>41640</v>
      </c>
      <c r="AK760" t="s">
        <v>26</v>
      </c>
      <c r="AL760" t="s">
        <v>26</v>
      </c>
      <c r="AM760" t="s">
        <v>26</v>
      </c>
      <c r="AN760" t="s">
        <v>26</v>
      </c>
      <c r="AO760" s="25" t="s">
        <v>28</v>
      </c>
      <c r="AP760" s="23" t="s">
        <v>43</v>
      </c>
      <c r="AQ760" s="23" t="s">
        <v>30</v>
      </c>
      <c r="AR760" s="23" t="s">
        <v>46</v>
      </c>
      <c r="AS760" s="25">
        <v>6447771</v>
      </c>
      <c r="AT760" t="s">
        <v>26</v>
      </c>
      <c r="AU760" t="s">
        <v>23245</v>
      </c>
    </row>
    <row r="761" spans="1:47" ht="26.25" x14ac:dyDescent="0.4">
      <c r="A761" s="23" t="s">
        <v>1949</v>
      </c>
      <c r="B761" t="s">
        <v>26</v>
      </c>
      <c r="C761" s="23" t="s">
        <v>22238</v>
      </c>
      <c r="D761" s="23" t="s">
        <v>22307</v>
      </c>
      <c r="E761" s="23" t="s">
        <v>42</v>
      </c>
      <c r="F761" t="s">
        <v>26</v>
      </c>
      <c r="G761" t="s">
        <v>26</v>
      </c>
      <c r="H761" t="s">
        <v>26</v>
      </c>
      <c r="I761" s="24">
        <v>41640</v>
      </c>
      <c r="J761" s="24">
        <v>41640</v>
      </c>
      <c r="K761" t="s">
        <v>26</v>
      </c>
      <c r="L761" s="25" t="s">
        <v>28</v>
      </c>
      <c r="M761" s="24">
        <v>41640</v>
      </c>
      <c r="N761" s="24">
        <v>41640</v>
      </c>
      <c r="O761" t="s">
        <v>26</v>
      </c>
      <c r="P761" t="s">
        <v>26</v>
      </c>
      <c r="Q761" t="s">
        <v>26</v>
      </c>
      <c r="R761" t="s">
        <v>26</v>
      </c>
      <c r="S761" s="24">
        <v>41640</v>
      </c>
      <c r="T761" s="24">
        <v>41640</v>
      </c>
      <c r="U761" t="s">
        <v>26</v>
      </c>
      <c r="V761" t="s">
        <v>26</v>
      </c>
      <c r="W761" s="24">
        <v>41640</v>
      </c>
      <c r="X761" s="24">
        <v>41640</v>
      </c>
      <c r="Y761" t="s">
        <v>26</v>
      </c>
      <c r="Z761" s="24">
        <v>41640</v>
      </c>
      <c r="AA761" s="24">
        <v>41640</v>
      </c>
      <c r="AB761" t="s">
        <v>26</v>
      </c>
      <c r="AC761" s="24">
        <v>41640</v>
      </c>
      <c r="AD761" s="24">
        <v>41640</v>
      </c>
      <c r="AE761" t="s">
        <v>26</v>
      </c>
      <c r="AF761" s="24">
        <v>41640</v>
      </c>
      <c r="AG761" s="24">
        <v>41640</v>
      </c>
      <c r="AH761" t="s">
        <v>26</v>
      </c>
      <c r="AI761" s="24">
        <v>41640</v>
      </c>
      <c r="AJ761" s="24">
        <v>41640</v>
      </c>
      <c r="AK761" t="s">
        <v>26</v>
      </c>
      <c r="AL761" t="s">
        <v>26</v>
      </c>
      <c r="AM761" t="s">
        <v>26</v>
      </c>
      <c r="AN761" t="s">
        <v>26</v>
      </c>
      <c r="AO761" s="25" t="s">
        <v>28</v>
      </c>
      <c r="AP761" s="23" t="s">
        <v>43</v>
      </c>
      <c r="AQ761" s="23" t="s">
        <v>30</v>
      </c>
      <c r="AR761" s="23" t="s">
        <v>46</v>
      </c>
      <c r="AS761" s="25">
        <v>6447819</v>
      </c>
      <c r="AT761" t="s">
        <v>26</v>
      </c>
      <c r="AU761" t="s">
        <v>23246</v>
      </c>
    </row>
    <row r="762" spans="1:47" ht="26.25" x14ac:dyDescent="0.4">
      <c r="A762" s="23" t="s">
        <v>1950</v>
      </c>
      <c r="B762" t="s">
        <v>26</v>
      </c>
      <c r="C762" s="23" t="s">
        <v>22238</v>
      </c>
      <c r="D762" s="23" t="s">
        <v>22307</v>
      </c>
      <c r="E762" s="23" t="s">
        <v>42</v>
      </c>
      <c r="F762" t="s">
        <v>26</v>
      </c>
      <c r="G762" t="s">
        <v>26</v>
      </c>
      <c r="H762" t="s">
        <v>26</v>
      </c>
      <c r="I762" s="24">
        <v>43101</v>
      </c>
      <c r="J762" s="24">
        <v>43101</v>
      </c>
      <c r="K762" t="s">
        <v>26</v>
      </c>
      <c r="L762" s="25" t="s">
        <v>28</v>
      </c>
      <c r="M762" s="24">
        <v>43101</v>
      </c>
      <c r="N762" s="24">
        <v>43101</v>
      </c>
      <c r="O762" t="s">
        <v>26</v>
      </c>
      <c r="P762" t="s">
        <v>26</v>
      </c>
      <c r="Q762" t="s">
        <v>26</v>
      </c>
      <c r="R762" t="s">
        <v>26</v>
      </c>
      <c r="S762" s="24">
        <v>43101</v>
      </c>
      <c r="T762" s="24">
        <v>43101</v>
      </c>
      <c r="U762" t="s">
        <v>26</v>
      </c>
      <c r="V762" t="s">
        <v>26</v>
      </c>
      <c r="W762" s="24">
        <v>43101</v>
      </c>
      <c r="X762" s="24">
        <v>43101</v>
      </c>
      <c r="Y762" t="s">
        <v>26</v>
      </c>
      <c r="Z762" s="24">
        <v>43101</v>
      </c>
      <c r="AA762" s="24">
        <v>43101</v>
      </c>
      <c r="AB762" t="s">
        <v>26</v>
      </c>
      <c r="AC762" s="24">
        <v>43101</v>
      </c>
      <c r="AD762" s="24">
        <v>43101</v>
      </c>
      <c r="AE762" t="s">
        <v>26</v>
      </c>
      <c r="AF762" s="24">
        <v>43101</v>
      </c>
      <c r="AG762" s="24">
        <v>43101</v>
      </c>
      <c r="AH762" t="s">
        <v>26</v>
      </c>
      <c r="AI762" s="24">
        <v>43101</v>
      </c>
      <c r="AJ762" s="24">
        <v>43101</v>
      </c>
      <c r="AK762" t="s">
        <v>26</v>
      </c>
      <c r="AL762" t="s">
        <v>26</v>
      </c>
      <c r="AM762" t="s">
        <v>26</v>
      </c>
      <c r="AN762" t="s">
        <v>26</v>
      </c>
      <c r="AO762" s="25" t="s">
        <v>28</v>
      </c>
      <c r="AP762" s="23" t="s">
        <v>43</v>
      </c>
      <c r="AQ762" s="23" t="s">
        <v>30</v>
      </c>
      <c r="AR762" s="23" t="s">
        <v>46</v>
      </c>
      <c r="AS762" s="25">
        <v>6447770</v>
      </c>
      <c r="AT762" t="s">
        <v>26</v>
      </c>
      <c r="AU762" t="s">
        <v>23247</v>
      </c>
    </row>
    <row r="763" spans="1:47" ht="26.25" x14ac:dyDescent="0.4">
      <c r="A763" s="23" t="s">
        <v>1951</v>
      </c>
      <c r="B763" t="s">
        <v>26</v>
      </c>
      <c r="C763" s="23" t="s">
        <v>23248</v>
      </c>
      <c r="D763" t="s">
        <v>26</v>
      </c>
      <c r="E763" s="23" t="s">
        <v>42</v>
      </c>
      <c r="F763" t="s">
        <v>26</v>
      </c>
      <c r="G763" t="s">
        <v>26</v>
      </c>
      <c r="H763" t="s">
        <v>26</v>
      </c>
      <c r="I763" s="24">
        <v>41275</v>
      </c>
      <c r="J763" s="24">
        <v>41275</v>
      </c>
      <c r="K763" t="s">
        <v>26</v>
      </c>
      <c r="L763" s="25" t="s">
        <v>28</v>
      </c>
      <c r="M763" s="24">
        <v>41275</v>
      </c>
      <c r="N763" s="24">
        <v>41275</v>
      </c>
      <c r="O763" t="s">
        <v>26</v>
      </c>
      <c r="P763" t="s">
        <v>26</v>
      </c>
      <c r="Q763" t="s">
        <v>26</v>
      </c>
      <c r="R763" t="s">
        <v>26</v>
      </c>
      <c r="S763" s="24">
        <v>41275</v>
      </c>
      <c r="T763" s="24">
        <v>41275</v>
      </c>
      <c r="U763" t="s">
        <v>26</v>
      </c>
      <c r="V763" t="s">
        <v>26</v>
      </c>
      <c r="W763" s="24">
        <v>41275</v>
      </c>
      <c r="X763" s="24">
        <v>41275</v>
      </c>
      <c r="Y763" t="s">
        <v>26</v>
      </c>
      <c r="Z763" s="24">
        <v>41275</v>
      </c>
      <c r="AA763" s="24">
        <v>41275</v>
      </c>
      <c r="AB763" t="s">
        <v>26</v>
      </c>
      <c r="AC763" s="24">
        <v>41275</v>
      </c>
      <c r="AD763" s="24">
        <v>41275</v>
      </c>
      <c r="AE763" t="s">
        <v>26</v>
      </c>
      <c r="AF763" s="24">
        <v>41275</v>
      </c>
      <c r="AG763" s="24">
        <v>41275</v>
      </c>
      <c r="AH763" t="s">
        <v>26</v>
      </c>
      <c r="AI763" s="24">
        <v>41275</v>
      </c>
      <c r="AJ763" s="24">
        <v>41275</v>
      </c>
      <c r="AK763" t="s">
        <v>26</v>
      </c>
      <c r="AL763" t="s">
        <v>26</v>
      </c>
      <c r="AM763" t="s">
        <v>26</v>
      </c>
      <c r="AN763" t="s">
        <v>26</v>
      </c>
      <c r="AO763" s="25" t="s">
        <v>28</v>
      </c>
      <c r="AP763" s="23" t="s">
        <v>43</v>
      </c>
      <c r="AQ763" s="23" t="s">
        <v>30</v>
      </c>
      <c r="AR763" s="23" t="s">
        <v>44</v>
      </c>
      <c r="AS763" s="25">
        <v>5263188</v>
      </c>
      <c r="AT763" t="s">
        <v>26</v>
      </c>
      <c r="AU763" t="s">
        <v>23249</v>
      </c>
    </row>
    <row r="764" spans="1:47" ht="26.25" x14ac:dyDescent="0.4">
      <c r="A764" s="23" t="s">
        <v>1952</v>
      </c>
      <c r="B764" t="s">
        <v>26</v>
      </c>
      <c r="C764" t="s">
        <v>26</v>
      </c>
      <c r="D764" s="23" t="s">
        <v>23250</v>
      </c>
      <c r="E764" t="s">
        <v>26</v>
      </c>
      <c r="F764" t="s">
        <v>26</v>
      </c>
      <c r="G764" t="s">
        <v>26</v>
      </c>
      <c r="H764" t="s">
        <v>26</v>
      </c>
      <c r="I764" s="24">
        <v>38718</v>
      </c>
      <c r="J764" s="24">
        <v>38718</v>
      </c>
      <c r="K764" t="s">
        <v>26</v>
      </c>
      <c r="L764" s="25" t="s">
        <v>28</v>
      </c>
      <c r="M764" s="24">
        <v>38718</v>
      </c>
      <c r="N764" s="24">
        <v>38718</v>
      </c>
      <c r="O764" t="s">
        <v>26</v>
      </c>
      <c r="P764" t="s">
        <v>26</v>
      </c>
      <c r="Q764" t="s">
        <v>26</v>
      </c>
      <c r="R764" t="s">
        <v>26</v>
      </c>
      <c r="S764" t="s">
        <v>26</v>
      </c>
      <c r="T764" t="s">
        <v>26</v>
      </c>
      <c r="U764" t="s">
        <v>26</v>
      </c>
      <c r="V764" t="s">
        <v>26</v>
      </c>
      <c r="W764" s="24">
        <v>38718</v>
      </c>
      <c r="X764" s="24">
        <v>38718</v>
      </c>
      <c r="Y764" t="s">
        <v>26</v>
      </c>
      <c r="Z764" s="24">
        <v>38718</v>
      </c>
      <c r="AA764" s="24">
        <v>38718</v>
      </c>
      <c r="AB764" t="s">
        <v>26</v>
      </c>
      <c r="AC764" s="24">
        <v>38718</v>
      </c>
      <c r="AD764" s="24">
        <v>38718</v>
      </c>
      <c r="AE764" t="s">
        <v>26</v>
      </c>
      <c r="AF764" t="s">
        <v>26</v>
      </c>
      <c r="AG764" t="s">
        <v>26</v>
      </c>
      <c r="AH764" t="s">
        <v>26</v>
      </c>
      <c r="AI764" t="s">
        <v>26</v>
      </c>
      <c r="AJ764" t="s">
        <v>26</v>
      </c>
      <c r="AK764" t="s">
        <v>26</v>
      </c>
      <c r="AL764" t="s">
        <v>26</v>
      </c>
      <c r="AM764" t="s">
        <v>26</v>
      </c>
      <c r="AN764" t="s">
        <v>26</v>
      </c>
      <c r="AO764" s="25" t="s">
        <v>28</v>
      </c>
      <c r="AP764" s="23" t="s">
        <v>29</v>
      </c>
      <c r="AQ764" s="23" t="s">
        <v>30</v>
      </c>
      <c r="AR764" s="23" t="s">
        <v>46</v>
      </c>
      <c r="AS764" s="25">
        <v>6009014</v>
      </c>
      <c r="AT764" t="s">
        <v>26</v>
      </c>
      <c r="AU764" t="s">
        <v>23251</v>
      </c>
    </row>
    <row r="765" spans="1:47" ht="26.25" x14ac:dyDescent="0.4">
      <c r="A765" s="23" t="s">
        <v>23252</v>
      </c>
      <c r="B765" t="s">
        <v>26</v>
      </c>
      <c r="C765" s="23" t="s">
        <v>332</v>
      </c>
      <c r="D765" s="23" t="s">
        <v>22545</v>
      </c>
      <c r="E765" s="23" t="s">
        <v>42</v>
      </c>
      <c r="F765" t="s">
        <v>26</v>
      </c>
      <c r="G765" t="s">
        <v>26</v>
      </c>
      <c r="H765" t="s">
        <v>26</v>
      </c>
      <c r="I765" s="24">
        <v>40179</v>
      </c>
      <c r="J765" s="24">
        <v>40179</v>
      </c>
      <c r="K765" t="s">
        <v>26</v>
      </c>
      <c r="L765" s="25" t="s">
        <v>28</v>
      </c>
      <c r="M765" s="24">
        <v>40179</v>
      </c>
      <c r="N765" s="24">
        <v>40179</v>
      </c>
      <c r="O765" t="s">
        <v>26</v>
      </c>
      <c r="P765" t="s">
        <v>26</v>
      </c>
      <c r="Q765" t="s">
        <v>26</v>
      </c>
      <c r="R765" t="s">
        <v>26</v>
      </c>
      <c r="S765" t="s">
        <v>26</v>
      </c>
      <c r="T765" t="s">
        <v>26</v>
      </c>
      <c r="U765" t="s">
        <v>26</v>
      </c>
      <c r="V765" t="s">
        <v>26</v>
      </c>
      <c r="W765" s="24">
        <v>40179</v>
      </c>
      <c r="X765" s="24">
        <v>40179</v>
      </c>
      <c r="Y765" t="s">
        <v>26</v>
      </c>
      <c r="Z765" s="24">
        <v>40179</v>
      </c>
      <c r="AA765" s="24">
        <v>40179</v>
      </c>
      <c r="AB765" t="s">
        <v>26</v>
      </c>
      <c r="AC765" s="24">
        <v>40179</v>
      </c>
      <c r="AD765" s="24">
        <v>40179</v>
      </c>
      <c r="AE765" t="s">
        <v>26</v>
      </c>
      <c r="AF765" t="s">
        <v>26</v>
      </c>
      <c r="AG765" t="s">
        <v>26</v>
      </c>
      <c r="AH765" t="s">
        <v>26</v>
      </c>
      <c r="AI765" t="s">
        <v>26</v>
      </c>
      <c r="AJ765" t="s">
        <v>26</v>
      </c>
      <c r="AK765" t="s">
        <v>26</v>
      </c>
      <c r="AL765" t="s">
        <v>26</v>
      </c>
      <c r="AM765" t="s">
        <v>26</v>
      </c>
      <c r="AN765" t="s">
        <v>26</v>
      </c>
      <c r="AO765" s="25" t="s">
        <v>28</v>
      </c>
      <c r="AP765" s="23" t="s">
        <v>279</v>
      </c>
      <c r="AQ765" s="23" t="s">
        <v>30</v>
      </c>
      <c r="AR765" s="23" t="s">
        <v>46</v>
      </c>
      <c r="AS765" s="25">
        <v>6009013</v>
      </c>
      <c r="AT765" t="s">
        <v>26</v>
      </c>
      <c r="AU765" t="s">
        <v>23253</v>
      </c>
    </row>
    <row r="766" spans="1:47" ht="26.25" x14ac:dyDescent="0.4">
      <c r="A766" s="23" t="s">
        <v>1953</v>
      </c>
      <c r="B766" t="s">
        <v>26</v>
      </c>
      <c r="C766" s="23" t="s">
        <v>23254</v>
      </c>
      <c r="D766" s="23" t="s">
        <v>23255</v>
      </c>
      <c r="E766" s="23" t="s">
        <v>42</v>
      </c>
      <c r="F766" t="s">
        <v>26</v>
      </c>
      <c r="G766" t="s">
        <v>26</v>
      </c>
      <c r="H766" t="s">
        <v>26</v>
      </c>
      <c r="I766" s="24">
        <v>24473</v>
      </c>
      <c r="J766" s="24">
        <v>40909</v>
      </c>
      <c r="K766" t="s">
        <v>26</v>
      </c>
      <c r="L766" s="25" t="s">
        <v>28</v>
      </c>
      <c r="M766" s="24">
        <v>24473</v>
      </c>
      <c r="N766" s="24">
        <v>40909</v>
      </c>
      <c r="O766" t="s">
        <v>26</v>
      </c>
      <c r="P766" t="s">
        <v>26</v>
      </c>
      <c r="Q766" t="s">
        <v>26</v>
      </c>
      <c r="R766" t="s">
        <v>26</v>
      </c>
      <c r="S766" s="24">
        <v>24473</v>
      </c>
      <c r="T766" s="24">
        <v>40909</v>
      </c>
      <c r="U766" t="s">
        <v>26</v>
      </c>
      <c r="V766" t="s">
        <v>26</v>
      </c>
      <c r="W766" s="24">
        <v>24473</v>
      </c>
      <c r="X766" s="24">
        <v>40909</v>
      </c>
      <c r="Y766" t="s">
        <v>26</v>
      </c>
      <c r="Z766" s="24">
        <v>24473</v>
      </c>
      <c r="AA766" s="24">
        <v>40909</v>
      </c>
      <c r="AB766" t="s">
        <v>26</v>
      </c>
      <c r="AC766" s="24">
        <v>24473</v>
      </c>
      <c r="AD766" s="24">
        <v>40909</v>
      </c>
      <c r="AE766" t="s">
        <v>26</v>
      </c>
      <c r="AF766" s="24">
        <v>24473</v>
      </c>
      <c r="AG766" s="24">
        <v>40909</v>
      </c>
      <c r="AH766" t="s">
        <v>26</v>
      </c>
      <c r="AI766" s="24">
        <v>24473</v>
      </c>
      <c r="AJ766" s="24">
        <v>40909</v>
      </c>
      <c r="AK766" t="s">
        <v>26</v>
      </c>
      <c r="AL766" t="s">
        <v>26</v>
      </c>
      <c r="AM766" t="s">
        <v>26</v>
      </c>
      <c r="AN766" t="s">
        <v>26</v>
      </c>
      <c r="AO766" s="25" t="s">
        <v>28</v>
      </c>
      <c r="AP766" s="23" t="s">
        <v>43</v>
      </c>
      <c r="AQ766" s="23" t="s">
        <v>30</v>
      </c>
      <c r="AR766" s="23" t="s">
        <v>46</v>
      </c>
      <c r="AS766" s="25">
        <v>6362752</v>
      </c>
      <c r="AT766" t="s">
        <v>26</v>
      </c>
      <c r="AU766" t="s">
        <v>23256</v>
      </c>
    </row>
    <row r="767" spans="1:47" ht="13.15" x14ac:dyDescent="0.4">
      <c r="A767" s="23" t="s">
        <v>1954</v>
      </c>
      <c r="B767" t="s">
        <v>26</v>
      </c>
      <c r="C767" s="23" t="s">
        <v>552</v>
      </c>
      <c r="D767" s="23" t="s">
        <v>22231</v>
      </c>
      <c r="E767" s="23" t="s">
        <v>42</v>
      </c>
      <c r="F767" t="s">
        <v>26</v>
      </c>
      <c r="G767" t="s">
        <v>26</v>
      </c>
      <c r="H767" t="s">
        <v>26</v>
      </c>
      <c r="I767" s="24">
        <v>36892</v>
      </c>
      <c r="J767" s="24">
        <v>36892</v>
      </c>
      <c r="K767" t="s">
        <v>26</v>
      </c>
      <c r="L767" s="25" t="s">
        <v>28</v>
      </c>
      <c r="M767" s="24">
        <v>36892</v>
      </c>
      <c r="N767" s="24">
        <v>36892</v>
      </c>
      <c r="O767" t="s">
        <v>26</v>
      </c>
      <c r="P767" t="s">
        <v>26</v>
      </c>
      <c r="Q767" t="s">
        <v>26</v>
      </c>
      <c r="R767" t="s">
        <v>26</v>
      </c>
      <c r="S767" t="s">
        <v>26</v>
      </c>
      <c r="T767" t="s">
        <v>26</v>
      </c>
      <c r="U767" t="s">
        <v>26</v>
      </c>
      <c r="V767" t="s">
        <v>26</v>
      </c>
      <c r="W767" s="24">
        <v>36892</v>
      </c>
      <c r="X767" s="24">
        <v>36892</v>
      </c>
      <c r="Y767" t="s">
        <v>26</v>
      </c>
      <c r="Z767" s="24">
        <v>36892</v>
      </c>
      <c r="AA767" s="24">
        <v>36892</v>
      </c>
      <c r="AB767" t="s">
        <v>26</v>
      </c>
      <c r="AC767" s="24">
        <v>36892</v>
      </c>
      <c r="AD767" s="24">
        <v>36892</v>
      </c>
      <c r="AE767" t="s">
        <v>26</v>
      </c>
      <c r="AF767" t="s">
        <v>26</v>
      </c>
      <c r="AG767" t="s">
        <v>26</v>
      </c>
      <c r="AH767" t="s">
        <v>26</v>
      </c>
      <c r="AI767" t="s">
        <v>26</v>
      </c>
      <c r="AJ767" t="s">
        <v>26</v>
      </c>
      <c r="AK767" t="s">
        <v>26</v>
      </c>
      <c r="AL767" t="s">
        <v>26</v>
      </c>
      <c r="AM767" t="s">
        <v>26</v>
      </c>
      <c r="AN767" t="s">
        <v>26</v>
      </c>
      <c r="AO767" s="25" t="s">
        <v>28</v>
      </c>
      <c r="AP767" s="23" t="s">
        <v>29</v>
      </c>
      <c r="AQ767" s="23" t="s">
        <v>30</v>
      </c>
      <c r="AR767" s="23" t="s">
        <v>46</v>
      </c>
      <c r="AS767" s="25">
        <v>6059442</v>
      </c>
      <c r="AT767" t="s">
        <v>26</v>
      </c>
      <c r="AU767" t="s">
        <v>23257</v>
      </c>
    </row>
    <row r="768" spans="1:47" ht="13.15" x14ac:dyDescent="0.4">
      <c r="A768" s="23" t="s">
        <v>1955</v>
      </c>
      <c r="B768" t="s">
        <v>26</v>
      </c>
      <c r="C768" s="23" t="s">
        <v>59</v>
      </c>
      <c r="D768" s="23" t="s">
        <v>22174</v>
      </c>
      <c r="E768" s="23" t="s">
        <v>60</v>
      </c>
      <c r="F768" t="s">
        <v>26</v>
      </c>
      <c r="G768" t="s">
        <v>26</v>
      </c>
      <c r="H768" s="25" t="s">
        <v>1956</v>
      </c>
      <c r="I768" s="24">
        <v>41275</v>
      </c>
      <c r="J768" s="24">
        <v>41275</v>
      </c>
      <c r="K768" t="s">
        <v>26</v>
      </c>
      <c r="L768" s="25" t="s">
        <v>28</v>
      </c>
      <c r="M768" s="24">
        <v>41275</v>
      </c>
      <c r="N768" s="24">
        <v>41275</v>
      </c>
      <c r="O768" t="s">
        <v>26</v>
      </c>
      <c r="P768" s="24">
        <v>41275</v>
      </c>
      <c r="Q768" s="24">
        <v>41275</v>
      </c>
      <c r="R768" t="s">
        <v>26</v>
      </c>
      <c r="S768" t="s">
        <v>26</v>
      </c>
      <c r="T768" t="s">
        <v>26</v>
      </c>
      <c r="U768" t="s">
        <v>26</v>
      </c>
      <c r="V768" t="s">
        <v>26</v>
      </c>
      <c r="W768" s="24">
        <v>41275</v>
      </c>
      <c r="X768" s="24">
        <v>41275</v>
      </c>
      <c r="Y768" t="s">
        <v>26</v>
      </c>
      <c r="Z768" s="24">
        <v>41275</v>
      </c>
      <c r="AA768" s="24">
        <v>41275</v>
      </c>
      <c r="AB768" t="s">
        <v>26</v>
      </c>
      <c r="AC768" s="24">
        <v>41275</v>
      </c>
      <c r="AD768" s="24">
        <v>41275</v>
      </c>
      <c r="AE768" t="s">
        <v>26</v>
      </c>
      <c r="AF768" t="s">
        <v>26</v>
      </c>
      <c r="AG768" t="s">
        <v>26</v>
      </c>
      <c r="AH768" t="s">
        <v>26</v>
      </c>
      <c r="AI768" t="s">
        <v>26</v>
      </c>
      <c r="AJ768" t="s">
        <v>26</v>
      </c>
      <c r="AK768" t="s">
        <v>26</v>
      </c>
      <c r="AL768" t="s">
        <v>26</v>
      </c>
      <c r="AM768" t="s">
        <v>26</v>
      </c>
      <c r="AN768" t="s">
        <v>26</v>
      </c>
      <c r="AO768" s="25" t="s">
        <v>28</v>
      </c>
      <c r="AP768" s="23" t="s">
        <v>29</v>
      </c>
      <c r="AQ768" s="23" t="s">
        <v>30</v>
      </c>
      <c r="AR768" s="23" t="s">
        <v>1688</v>
      </c>
      <c r="AS768" s="25">
        <v>2043141</v>
      </c>
      <c r="AT768" t="s">
        <v>26</v>
      </c>
      <c r="AU768" t="s">
        <v>23258</v>
      </c>
    </row>
    <row r="769" spans="1:47" ht="26.25" x14ac:dyDescent="0.4">
      <c r="A769" s="23" t="s">
        <v>1957</v>
      </c>
      <c r="B769" t="s">
        <v>26</v>
      </c>
      <c r="C769" s="23" t="s">
        <v>1958</v>
      </c>
      <c r="D769" s="23" t="s">
        <v>22184</v>
      </c>
      <c r="E769" s="23" t="s">
        <v>60</v>
      </c>
      <c r="F769" s="25" t="s">
        <v>1959</v>
      </c>
      <c r="G769" s="25" t="s">
        <v>1960</v>
      </c>
      <c r="H769" t="s">
        <v>26</v>
      </c>
      <c r="I769" s="24">
        <v>35309</v>
      </c>
      <c r="J769" s="24">
        <v>36861</v>
      </c>
      <c r="K769" t="s">
        <v>26</v>
      </c>
      <c r="L769" s="25" t="s">
        <v>68</v>
      </c>
      <c r="M769" s="24">
        <v>35309</v>
      </c>
      <c r="N769" s="24">
        <v>36861</v>
      </c>
      <c r="O769" t="s">
        <v>26</v>
      </c>
      <c r="P769" s="24">
        <v>35309</v>
      </c>
      <c r="Q769" s="24">
        <v>36861</v>
      </c>
      <c r="R769" t="s">
        <v>26</v>
      </c>
      <c r="S769" t="s">
        <v>26</v>
      </c>
      <c r="T769" t="s">
        <v>26</v>
      </c>
      <c r="U769" t="s">
        <v>26</v>
      </c>
      <c r="V769" t="s">
        <v>26</v>
      </c>
      <c r="W769" s="24">
        <v>32509</v>
      </c>
      <c r="X769" s="25" t="s">
        <v>77</v>
      </c>
      <c r="Y769" t="s">
        <v>26</v>
      </c>
      <c r="Z769" s="24">
        <v>32509</v>
      </c>
      <c r="AA769" s="25" t="s">
        <v>77</v>
      </c>
      <c r="AB769" t="s">
        <v>26</v>
      </c>
      <c r="AC769" s="24">
        <v>32509</v>
      </c>
      <c r="AD769" s="25" t="s">
        <v>77</v>
      </c>
      <c r="AE769" t="s">
        <v>26</v>
      </c>
      <c r="AF769" t="s">
        <v>26</v>
      </c>
      <c r="AG769" t="s">
        <v>26</v>
      </c>
      <c r="AH769" t="s">
        <v>26</v>
      </c>
      <c r="AI769" t="s">
        <v>26</v>
      </c>
      <c r="AJ769" t="s">
        <v>26</v>
      </c>
      <c r="AK769" t="s">
        <v>26</v>
      </c>
      <c r="AL769" t="s">
        <v>26</v>
      </c>
      <c r="AM769" t="s">
        <v>26</v>
      </c>
      <c r="AN769" t="s">
        <v>26</v>
      </c>
      <c r="AO769" s="25" t="s">
        <v>68</v>
      </c>
      <c r="AP769" s="23" t="s">
        <v>69</v>
      </c>
      <c r="AQ769" s="23" t="s">
        <v>30</v>
      </c>
      <c r="AR769" s="23" t="s">
        <v>1961</v>
      </c>
      <c r="AS769" s="25">
        <v>48005</v>
      </c>
      <c r="AT769" t="s">
        <v>26</v>
      </c>
      <c r="AU769" t="s">
        <v>23259</v>
      </c>
    </row>
    <row r="770" spans="1:47" ht="13.15" x14ac:dyDescent="0.4">
      <c r="A770" s="23" t="s">
        <v>1962</v>
      </c>
      <c r="B770" t="s">
        <v>26</v>
      </c>
      <c r="C770" s="23" t="s">
        <v>59</v>
      </c>
      <c r="D770" s="23" t="s">
        <v>22174</v>
      </c>
      <c r="E770" s="23" t="s">
        <v>60</v>
      </c>
      <c r="F770" t="s">
        <v>26</v>
      </c>
      <c r="G770" t="s">
        <v>26</v>
      </c>
      <c r="H770" s="25" t="s">
        <v>1963</v>
      </c>
      <c r="I770" s="24">
        <v>41275</v>
      </c>
      <c r="J770" s="24">
        <v>41275</v>
      </c>
      <c r="K770" t="s">
        <v>26</v>
      </c>
      <c r="L770" s="25" t="s">
        <v>28</v>
      </c>
      <c r="M770" s="24">
        <v>41275</v>
      </c>
      <c r="N770" s="24">
        <v>41275</v>
      </c>
      <c r="O770" t="s">
        <v>26</v>
      </c>
      <c r="P770" s="24">
        <v>41275</v>
      </c>
      <c r="Q770" s="24">
        <v>41275</v>
      </c>
      <c r="R770" t="s">
        <v>26</v>
      </c>
      <c r="S770" t="s">
        <v>26</v>
      </c>
      <c r="T770" t="s">
        <v>26</v>
      </c>
      <c r="U770" t="s">
        <v>26</v>
      </c>
      <c r="V770" t="s">
        <v>26</v>
      </c>
      <c r="W770" s="24">
        <v>41275</v>
      </c>
      <c r="X770" s="24">
        <v>41275</v>
      </c>
      <c r="Y770" t="s">
        <v>26</v>
      </c>
      <c r="Z770" s="24">
        <v>41275</v>
      </c>
      <c r="AA770" s="24">
        <v>41275</v>
      </c>
      <c r="AB770" t="s">
        <v>26</v>
      </c>
      <c r="AC770" s="24">
        <v>41275</v>
      </c>
      <c r="AD770" s="24">
        <v>41275</v>
      </c>
      <c r="AE770" t="s">
        <v>26</v>
      </c>
      <c r="AF770" t="s">
        <v>26</v>
      </c>
      <c r="AG770" t="s">
        <v>26</v>
      </c>
      <c r="AH770" t="s">
        <v>26</v>
      </c>
      <c r="AI770" t="s">
        <v>26</v>
      </c>
      <c r="AJ770" t="s">
        <v>26</v>
      </c>
      <c r="AK770" t="s">
        <v>26</v>
      </c>
      <c r="AL770" t="s">
        <v>26</v>
      </c>
      <c r="AM770" t="s">
        <v>26</v>
      </c>
      <c r="AN770" t="s">
        <v>26</v>
      </c>
      <c r="AO770" s="25" t="s">
        <v>28</v>
      </c>
      <c r="AP770" s="23" t="s">
        <v>29</v>
      </c>
      <c r="AQ770" s="23" t="s">
        <v>30</v>
      </c>
      <c r="AR770" s="23" t="s">
        <v>46</v>
      </c>
      <c r="AS770" s="25">
        <v>2043140</v>
      </c>
      <c r="AT770" t="s">
        <v>26</v>
      </c>
      <c r="AU770" t="s">
        <v>23260</v>
      </c>
    </row>
    <row r="771" spans="1:47" ht="26.25" x14ac:dyDescent="0.4">
      <c r="A771" s="23" t="s">
        <v>1964</v>
      </c>
      <c r="B771" t="s">
        <v>26</v>
      </c>
      <c r="C771" s="23" t="s">
        <v>73</v>
      </c>
      <c r="D771" s="23" t="s">
        <v>23261</v>
      </c>
      <c r="E771" s="23" t="s">
        <v>74</v>
      </c>
      <c r="F771" s="25" t="s">
        <v>1965</v>
      </c>
      <c r="G771" s="25" t="s">
        <v>1966</v>
      </c>
      <c r="H771" t="s">
        <v>26</v>
      </c>
      <c r="I771" s="24">
        <v>40148</v>
      </c>
      <c r="J771" s="25" t="s">
        <v>77</v>
      </c>
      <c r="K771" t="s">
        <v>26</v>
      </c>
      <c r="L771" s="25" t="s">
        <v>68</v>
      </c>
      <c r="M771" s="24">
        <v>40148</v>
      </c>
      <c r="N771" s="25" t="s">
        <v>77</v>
      </c>
      <c r="O771" t="s">
        <v>26</v>
      </c>
      <c r="P771" s="24">
        <v>40148</v>
      </c>
      <c r="Q771" s="25" t="s">
        <v>77</v>
      </c>
      <c r="R771" t="s">
        <v>26</v>
      </c>
      <c r="S771" t="s">
        <v>26</v>
      </c>
      <c r="T771" t="s">
        <v>26</v>
      </c>
      <c r="U771" t="s">
        <v>26</v>
      </c>
      <c r="V771" t="s">
        <v>26</v>
      </c>
      <c r="W771" s="24">
        <v>40148</v>
      </c>
      <c r="X771" s="25" t="s">
        <v>77</v>
      </c>
      <c r="Y771" t="s">
        <v>26</v>
      </c>
      <c r="Z771" s="24">
        <v>40148</v>
      </c>
      <c r="AA771" s="25" t="s">
        <v>77</v>
      </c>
      <c r="AB771" t="s">
        <v>26</v>
      </c>
      <c r="AC771" s="24">
        <v>40148</v>
      </c>
      <c r="AD771" s="25" t="s">
        <v>77</v>
      </c>
      <c r="AE771" t="s">
        <v>26</v>
      </c>
      <c r="AF771" t="s">
        <v>26</v>
      </c>
      <c r="AG771" t="s">
        <v>26</v>
      </c>
      <c r="AH771" t="s">
        <v>26</v>
      </c>
      <c r="AI771" t="s">
        <v>26</v>
      </c>
      <c r="AJ771" t="s">
        <v>26</v>
      </c>
      <c r="AK771" t="s">
        <v>26</v>
      </c>
      <c r="AL771" t="s">
        <v>26</v>
      </c>
      <c r="AM771" t="s">
        <v>26</v>
      </c>
      <c r="AN771" t="s">
        <v>26</v>
      </c>
      <c r="AO771" s="25" t="s">
        <v>68</v>
      </c>
      <c r="AP771" s="23" t="s">
        <v>69</v>
      </c>
      <c r="AQ771" s="23" t="s">
        <v>30</v>
      </c>
      <c r="AR771" s="23" t="s">
        <v>128</v>
      </c>
      <c r="AS771" s="25">
        <v>456299</v>
      </c>
      <c r="AT771" t="s">
        <v>26</v>
      </c>
      <c r="AU771" t="s">
        <v>23262</v>
      </c>
    </row>
    <row r="772" spans="1:47" ht="26.25" x14ac:dyDescent="0.4">
      <c r="A772" s="23" t="s">
        <v>1967</v>
      </c>
      <c r="B772" t="s">
        <v>26</v>
      </c>
      <c r="C772" s="23" t="s">
        <v>1968</v>
      </c>
      <c r="D772" s="23" t="s">
        <v>23263</v>
      </c>
      <c r="E772" s="23" t="s">
        <v>42</v>
      </c>
      <c r="F772" s="25" t="s">
        <v>1969</v>
      </c>
      <c r="G772" s="25" t="s">
        <v>1970</v>
      </c>
      <c r="H772" t="s">
        <v>26</v>
      </c>
      <c r="I772" s="24">
        <v>38504</v>
      </c>
      <c r="J772" s="24">
        <v>40148</v>
      </c>
      <c r="K772" t="s">
        <v>26</v>
      </c>
      <c r="L772" s="25" t="s">
        <v>68</v>
      </c>
      <c r="M772" s="24">
        <v>38504</v>
      </c>
      <c r="N772" s="24">
        <v>40148</v>
      </c>
      <c r="O772" t="s">
        <v>26</v>
      </c>
      <c r="P772" s="24">
        <v>38504</v>
      </c>
      <c r="Q772" s="24">
        <v>40148</v>
      </c>
      <c r="R772" t="s">
        <v>26</v>
      </c>
      <c r="S772" t="s">
        <v>26</v>
      </c>
      <c r="T772" t="s">
        <v>26</v>
      </c>
      <c r="U772" t="s">
        <v>26</v>
      </c>
      <c r="V772" t="s">
        <v>26</v>
      </c>
      <c r="W772" s="24">
        <v>38139</v>
      </c>
      <c r="X772" s="25" t="s">
        <v>77</v>
      </c>
      <c r="Y772" t="s">
        <v>26</v>
      </c>
      <c r="Z772" s="24">
        <v>38139</v>
      </c>
      <c r="AA772" s="25" t="s">
        <v>77</v>
      </c>
      <c r="AB772" t="s">
        <v>26</v>
      </c>
      <c r="AC772" s="24">
        <v>38139</v>
      </c>
      <c r="AD772" s="25" t="s">
        <v>77</v>
      </c>
      <c r="AE772" t="s">
        <v>26</v>
      </c>
      <c r="AF772" t="s">
        <v>26</v>
      </c>
      <c r="AG772" t="s">
        <v>26</v>
      </c>
      <c r="AH772" t="s">
        <v>26</v>
      </c>
      <c r="AI772" t="s">
        <v>26</v>
      </c>
      <c r="AJ772" t="s">
        <v>26</v>
      </c>
      <c r="AK772" t="s">
        <v>26</v>
      </c>
      <c r="AL772" t="s">
        <v>26</v>
      </c>
      <c r="AM772" t="s">
        <v>26</v>
      </c>
      <c r="AN772" t="s">
        <v>26</v>
      </c>
      <c r="AO772" s="25" t="s">
        <v>68</v>
      </c>
      <c r="AP772" s="23" t="s">
        <v>69</v>
      </c>
      <c r="AQ772" s="23" t="s">
        <v>30</v>
      </c>
      <c r="AR772" s="23" t="s">
        <v>128</v>
      </c>
      <c r="AS772" s="25">
        <v>28339</v>
      </c>
      <c r="AT772" t="s">
        <v>26</v>
      </c>
      <c r="AU772" t="s">
        <v>23264</v>
      </c>
    </row>
    <row r="773" spans="1:47" ht="13.15" x14ac:dyDescent="0.4">
      <c r="A773" s="23" t="s">
        <v>1971</v>
      </c>
      <c r="B773" s="23" t="s">
        <v>1972</v>
      </c>
      <c r="C773" s="23" t="s">
        <v>59</v>
      </c>
      <c r="D773" s="23" t="s">
        <v>22174</v>
      </c>
      <c r="E773" s="23" t="s">
        <v>60</v>
      </c>
      <c r="F773" t="s">
        <v>26</v>
      </c>
      <c r="G773" t="s">
        <v>26</v>
      </c>
      <c r="H773" s="25" t="s">
        <v>1973</v>
      </c>
      <c r="I773" s="24">
        <v>41275</v>
      </c>
      <c r="J773" s="24">
        <v>41275</v>
      </c>
      <c r="K773" t="s">
        <v>26</v>
      </c>
      <c r="L773" s="25" t="s">
        <v>28</v>
      </c>
      <c r="M773" s="24">
        <v>41275</v>
      </c>
      <c r="N773" s="24">
        <v>41275</v>
      </c>
      <c r="O773" t="s">
        <v>26</v>
      </c>
      <c r="P773" s="24">
        <v>41275</v>
      </c>
      <c r="Q773" s="24">
        <v>41275</v>
      </c>
      <c r="R773" t="s">
        <v>26</v>
      </c>
      <c r="S773" t="s">
        <v>26</v>
      </c>
      <c r="T773" t="s">
        <v>26</v>
      </c>
      <c r="U773" t="s">
        <v>26</v>
      </c>
      <c r="V773" t="s">
        <v>26</v>
      </c>
      <c r="W773" s="24">
        <v>41275</v>
      </c>
      <c r="X773" s="24">
        <v>41275</v>
      </c>
      <c r="Y773" t="s">
        <v>26</v>
      </c>
      <c r="Z773" s="24">
        <v>41275</v>
      </c>
      <c r="AA773" s="24">
        <v>41275</v>
      </c>
      <c r="AB773" t="s">
        <v>26</v>
      </c>
      <c r="AC773" s="24">
        <v>41275</v>
      </c>
      <c r="AD773" s="24">
        <v>41275</v>
      </c>
      <c r="AE773" t="s">
        <v>26</v>
      </c>
      <c r="AF773" t="s">
        <v>26</v>
      </c>
      <c r="AG773" t="s">
        <v>26</v>
      </c>
      <c r="AH773" t="s">
        <v>26</v>
      </c>
      <c r="AI773" t="s">
        <v>26</v>
      </c>
      <c r="AJ773" t="s">
        <v>26</v>
      </c>
      <c r="AK773" t="s">
        <v>26</v>
      </c>
      <c r="AL773" t="s">
        <v>26</v>
      </c>
      <c r="AM773" t="s">
        <v>26</v>
      </c>
      <c r="AN773" t="s">
        <v>26</v>
      </c>
      <c r="AO773" s="25" t="s">
        <v>28</v>
      </c>
      <c r="AP773" s="23" t="s">
        <v>29</v>
      </c>
      <c r="AQ773" s="23" t="s">
        <v>30</v>
      </c>
      <c r="AR773" s="23" t="s">
        <v>1688</v>
      </c>
      <c r="AS773" s="25">
        <v>2043139</v>
      </c>
      <c r="AT773" t="s">
        <v>26</v>
      </c>
      <c r="AU773" t="s">
        <v>23265</v>
      </c>
    </row>
    <row r="774" spans="1:47" ht="26.25" x14ac:dyDescent="0.4">
      <c r="A774" s="23" t="s">
        <v>1974</v>
      </c>
      <c r="B774" t="s">
        <v>26</v>
      </c>
      <c r="C774" s="23" t="s">
        <v>1975</v>
      </c>
      <c r="D774" s="23" t="s">
        <v>22188</v>
      </c>
      <c r="E774" s="23" t="s">
        <v>42</v>
      </c>
      <c r="F774" s="25" t="s">
        <v>1976</v>
      </c>
      <c r="G774" s="25" t="s">
        <v>1977</v>
      </c>
      <c r="H774" t="s">
        <v>26</v>
      </c>
      <c r="I774" s="24">
        <v>32143</v>
      </c>
      <c r="J774" s="24">
        <v>39387</v>
      </c>
      <c r="K774" t="s">
        <v>26</v>
      </c>
      <c r="L774" s="25" t="s">
        <v>68</v>
      </c>
      <c r="M774" s="24">
        <v>34881</v>
      </c>
      <c r="N774" s="24">
        <v>39387</v>
      </c>
      <c r="O774" t="s">
        <v>26</v>
      </c>
      <c r="P774" s="24">
        <v>32143</v>
      </c>
      <c r="Q774" s="24">
        <v>39387</v>
      </c>
      <c r="R774" t="s">
        <v>26</v>
      </c>
      <c r="S774" t="s">
        <v>26</v>
      </c>
      <c r="T774" t="s">
        <v>26</v>
      </c>
      <c r="U774" t="s">
        <v>26</v>
      </c>
      <c r="V774" t="s">
        <v>26</v>
      </c>
      <c r="W774" s="24">
        <v>27851</v>
      </c>
      <c r="X774" s="25" t="s">
        <v>77</v>
      </c>
      <c r="Y774" t="s">
        <v>26</v>
      </c>
      <c r="Z774" s="24">
        <v>27851</v>
      </c>
      <c r="AA774" s="25" t="s">
        <v>77</v>
      </c>
      <c r="AB774" t="s">
        <v>26</v>
      </c>
      <c r="AC774" s="24">
        <v>27851</v>
      </c>
      <c r="AD774" s="25" t="s">
        <v>77</v>
      </c>
      <c r="AE774" t="s">
        <v>26</v>
      </c>
      <c r="AF774" t="s">
        <v>26</v>
      </c>
      <c r="AG774" t="s">
        <v>26</v>
      </c>
      <c r="AH774" t="s">
        <v>26</v>
      </c>
      <c r="AI774" t="s">
        <v>26</v>
      </c>
      <c r="AJ774" t="s">
        <v>26</v>
      </c>
      <c r="AK774" t="s">
        <v>26</v>
      </c>
      <c r="AL774" t="s">
        <v>26</v>
      </c>
      <c r="AM774" t="s">
        <v>26</v>
      </c>
      <c r="AN774" t="s">
        <v>26</v>
      </c>
      <c r="AO774" s="25" t="s">
        <v>68</v>
      </c>
      <c r="AP774" s="23" t="s">
        <v>69</v>
      </c>
      <c r="AQ774" s="23" t="s">
        <v>30</v>
      </c>
      <c r="AR774" s="23" t="s">
        <v>128</v>
      </c>
      <c r="AS774" s="25">
        <v>37118</v>
      </c>
      <c r="AT774" t="s">
        <v>26</v>
      </c>
      <c r="AU774" t="s">
        <v>23266</v>
      </c>
    </row>
    <row r="775" spans="1:47" ht="26.25" x14ac:dyDescent="0.4">
      <c r="A775" s="23" t="s">
        <v>1978</v>
      </c>
      <c r="B775" t="s">
        <v>26</v>
      </c>
      <c r="C775" s="23" t="s">
        <v>1979</v>
      </c>
      <c r="D775" s="23" t="s">
        <v>22222</v>
      </c>
      <c r="E775" s="23" t="s">
        <v>711</v>
      </c>
      <c r="F775" s="25" t="s">
        <v>1980</v>
      </c>
      <c r="G775" s="25" t="s">
        <v>1981</v>
      </c>
      <c r="H775" t="s">
        <v>26</v>
      </c>
      <c r="I775" t="s">
        <v>26</v>
      </c>
      <c r="J775" t="s">
        <v>26</v>
      </c>
      <c r="K775" t="s">
        <v>26</v>
      </c>
      <c r="L775" s="25" t="s">
        <v>68</v>
      </c>
      <c r="M775" t="s">
        <v>26</v>
      </c>
      <c r="N775" t="s">
        <v>26</v>
      </c>
      <c r="O775" t="s">
        <v>26</v>
      </c>
      <c r="P775" t="s">
        <v>26</v>
      </c>
      <c r="Q775" t="s">
        <v>26</v>
      </c>
      <c r="R775" t="s">
        <v>26</v>
      </c>
      <c r="S775" t="s">
        <v>26</v>
      </c>
      <c r="T775" t="s">
        <v>26</v>
      </c>
      <c r="U775" t="s">
        <v>26</v>
      </c>
      <c r="V775" t="s">
        <v>26</v>
      </c>
      <c r="W775" s="24">
        <v>31048</v>
      </c>
      <c r="X775" s="24">
        <v>44774</v>
      </c>
      <c r="Y775" t="s">
        <v>26</v>
      </c>
      <c r="Z775" s="24">
        <v>31048</v>
      </c>
      <c r="AA775" s="24">
        <v>44774</v>
      </c>
      <c r="AB775" t="s">
        <v>26</v>
      </c>
      <c r="AC775" s="24">
        <v>31048</v>
      </c>
      <c r="AD775" s="24">
        <v>44774</v>
      </c>
      <c r="AE775" t="s">
        <v>26</v>
      </c>
      <c r="AF775" t="s">
        <v>26</v>
      </c>
      <c r="AG775" t="s">
        <v>26</v>
      </c>
      <c r="AH775" t="s">
        <v>26</v>
      </c>
      <c r="AI775" t="s">
        <v>26</v>
      </c>
      <c r="AJ775" t="s">
        <v>26</v>
      </c>
      <c r="AK775" t="s">
        <v>26</v>
      </c>
      <c r="AL775" t="s">
        <v>26</v>
      </c>
      <c r="AM775" t="s">
        <v>26</v>
      </c>
      <c r="AN775" t="s">
        <v>26</v>
      </c>
      <c r="AO775" s="25" t="s">
        <v>68</v>
      </c>
      <c r="AP775" s="23" t="s">
        <v>69</v>
      </c>
      <c r="AQ775" s="23" t="s">
        <v>30</v>
      </c>
      <c r="AR775" s="23" t="s">
        <v>1982</v>
      </c>
      <c r="AS775" s="25">
        <v>46291</v>
      </c>
      <c r="AT775" t="s">
        <v>26</v>
      </c>
      <c r="AU775" t="s">
        <v>23267</v>
      </c>
    </row>
    <row r="776" spans="1:47" ht="26.25" x14ac:dyDescent="0.4">
      <c r="A776" s="23" t="s">
        <v>1983</v>
      </c>
      <c r="B776" t="s">
        <v>26</v>
      </c>
      <c r="C776" s="23" t="s">
        <v>146</v>
      </c>
      <c r="D776" s="23" t="s">
        <v>22174</v>
      </c>
      <c r="E776" s="23" t="s">
        <v>60</v>
      </c>
      <c r="F776" t="s">
        <v>26</v>
      </c>
      <c r="G776" t="s">
        <v>26</v>
      </c>
      <c r="H776" t="s">
        <v>26</v>
      </c>
      <c r="I776" t="s">
        <v>26</v>
      </c>
      <c r="J776" t="s">
        <v>26</v>
      </c>
      <c r="K776" t="s">
        <v>26</v>
      </c>
      <c r="L776" s="25" t="s">
        <v>28</v>
      </c>
      <c r="M776" t="s">
        <v>26</v>
      </c>
      <c r="N776" t="s">
        <v>26</v>
      </c>
      <c r="O776" t="s">
        <v>26</v>
      </c>
      <c r="P776" t="s">
        <v>26</v>
      </c>
      <c r="Q776" t="s">
        <v>26</v>
      </c>
      <c r="R776" t="s">
        <v>26</v>
      </c>
      <c r="S776" t="s">
        <v>26</v>
      </c>
      <c r="T776" t="s">
        <v>26</v>
      </c>
      <c r="U776" t="s">
        <v>26</v>
      </c>
      <c r="V776" t="s">
        <v>26</v>
      </c>
      <c r="W776" s="24">
        <v>42005</v>
      </c>
      <c r="X776" s="24">
        <v>42005</v>
      </c>
      <c r="Y776" t="s">
        <v>26</v>
      </c>
      <c r="Z776" s="24">
        <v>42005</v>
      </c>
      <c r="AA776" s="24">
        <v>42005</v>
      </c>
      <c r="AB776" t="s">
        <v>26</v>
      </c>
      <c r="AC776" t="s">
        <v>26</v>
      </c>
      <c r="AD776" t="s">
        <v>26</v>
      </c>
      <c r="AE776" t="s">
        <v>26</v>
      </c>
      <c r="AF776" t="s">
        <v>26</v>
      </c>
      <c r="AG776" t="s">
        <v>26</v>
      </c>
      <c r="AH776" t="s">
        <v>26</v>
      </c>
      <c r="AI776" t="s">
        <v>26</v>
      </c>
      <c r="AJ776" t="s">
        <v>26</v>
      </c>
      <c r="AK776" t="s">
        <v>26</v>
      </c>
      <c r="AL776" t="s">
        <v>26</v>
      </c>
      <c r="AM776" t="s">
        <v>26</v>
      </c>
      <c r="AN776" t="s">
        <v>26</v>
      </c>
      <c r="AO776" s="25" t="s">
        <v>28</v>
      </c>
      <c r="AP776" s="23" t="s">
        <v>29</v>
      </c>
      <c r="AQ776" s="23" t="s">
        <v>30</v>
      </c>
      <c r="AR776" s="23" t="s">
        <v>44</v>
      </c>
      <c r="AS776" s="25">
        <v>5483628</v>
      </c>
      <c r="AT776" s="23" t="s">
        <v>22181</v>
      </c>
      <c r="AU776" t="s">
        <v>23268</v>
      </c>
    </row>
    <row r="777" spans="1:47" ht="26.25" x14ac:dyDescent="0.4">
      <c r="A777" s="23" t="s">
        <v>1984</v>
      </c>
      <c r="B777" t="s">
        <v>26</v>
      </c>
      <c r="C777" s="23" t="s">
        <v>80</v>
      </c>
      <c r="D777" s="23" t="s">
        <v>23269</v>
      </c>
      <c r="E777" s="23" t="s">
        <v>60</v>
      </c>
      <c r="F777" t="s">
        <v>26</v>
      </c>
      <c r="G777" s="25" t="s">
        <v>1985</v>
      </c>
      <c r="H777" t="s">
        <v>26</v>
      </c>
      <c r="I777" s="24">
        <v>40544</v>
      </c>
      <c r="J777" s="25" t="s">
        <v>77</v>
      </c>
      <c r="K777" t="s">
        <v>26</v>
      </c>
      <c r="L777" s="25" t="s">
        <v>68</v>
      </c>
      <c r="M777" s="24">
        <v>41640</v>
      </c>
      <c r="N777" s="25" t="s">
        <v>77</v>
      </c>
      <c r="O777" t="s">
        <v>26</v>
      </c>
      <c r="P777" s="24">
        <v>40544</v>
      </c>
      <c r="Q777" s="25" t="s">
        <v>77</v>
      </c>
      <c r="R777" t="s">
        <v>26</v>
      </c>
      <c r="S777" t="s">
        <v>26</v>
      </c>
      <c r="T777" t="s">
        <v>26</v>
      </c>
      <c r="U777" t="s">
        <v>26</v>
      </c>
      <c r="V777" t="s">
        <v>26</v>
      </c>
      <c r="W777" s="24">
        <v>40544</v>
      </c>
      <c r="X777" s="25" t="s">
        <v>77</v>
      </c>
      <c r="Y777" t="s">
        <v>26</v>
      </c>
      <c r="Z777" s="24">
        <v>40544</v>
      </c>
      <c r="AA777" s="25" t="s">
        <v>77</v>
      </c>
      <c r="AB777" t="s">
        <v>26</v>
      </c>
      <c r="AC777" s="24">
        <v>40544</v>
      </c>
      <c r="AD777" s="25" t="s">
        <v>77</v>
      </c>
      <c r="AE777" t="s">
        <v>26</v>
      </c>
      <c r="AF777" t="s">
        <v>26</v>
      </c>
      <c r="AG777" t="s">
        <v>26</v>
      </c>
      <c r="AH777" t="s">
        <v>26</v>
      </c>
      <c r="AI777" t="s">
        <v>26</v>
      </c>
      <c r="AJ777" t="s">
        <v>26</v>
      </c>
      <c r="AK777" t="s">
        <v>26</v>
      </c>
      <c r="AL777" t="s">
        <v>26</v>
      </c>
      <c r="AM777" t="s">
        <v>26</v>
      </c>
      <c r="AN777" t="s">
        <v>26</v>
      </c>
      <c r="AO777" s="25" t="s">
        <v>68</v>
      </c>
      <c r="AP777" s="23" t="s">
        <v>69</v>
      </c>
      <c r="AQ777" s="23" t="s">
        <v>30</v>
      </c>
      <c r="AR777" s="23" t="s">
        <v>70</v>
      </c>
      <c r="AS777" s="25">
        <v>3933172</v>
      </c>
      <c r="AT777" t="s">
        <v>26</v>
      </c>
      <c r="AU777" t="s">
        <v>23270</v>
      </c>
    </row>
    <row r="778" spans="1:47" ht="13.15" x14ac:dyDescent="0.4">
      <c r="A778" s="23" t="s">
        <v>1986</v>
      </c>
      <c r="B778" t="s">
        <v>26</v>
      </c>
      <c r="C778" s="23" t="s">
        <v>294</v>
      </c>
      <c r="D778" s="23" t="s">
        <v>22179</v>
      </c>
      <c r="E778" s="23" t="s">
        <v>42</v>
      </c>
      <c r="F778" t="s">
        <v>26</v>
      </c>
      <c r="G778" t="s">
        <v>26</v>
      </c>
      <c r="H778" t="s">
        <v>26</v>
      </c>
      <c r="I778" s="25" t="s">
        <v>295</v>
      </c>
      <c r="J778" s="25" t="s">
        <v>295</v>
      </c>
      <c r="K778" t="s">
        <v>26</v>
      </c>
      <c r="L778" s="25" t="s">
        <v>28</v>
      </c>
      <c r="M778" t="s">
        <v>26</v>
      </c>
      <c r="N778" t="s">
        <v>26</v>
      </c>
      <c r="O778" t="s">
        <v>26</v>
      </c>
      <c r="P778" s="25" t="s">
        <v>295</v>
      </c>
      <c r="Q778" s="25" t="s">
        <v>295</v>
      </c>
      <c r="R778" t="s">
        <v>26</v>
      </c>
      <c r="S778" t="s">
        <v>26</v>
      </c>
      <c r="T778" t="s">
        <v>26</v>
      </c>
      <c r="U778" t="s">
        <v>26</v>
      </c>
      <c r="V778" t="s">
        <v>26</v>
      </c>
      <c r="W778" s="25" t="s">
        <v>295</v>
      </c>
      <c r="X778" s="25" t="s">
        <v>295</v>
      </c>
      <c r="Y778" t="s">
        <v>26</v>
      </c>
      <c r="Z778" s="25" t="s">
        <v>295</v>
      </c>
      <c r="AA778" s="25" t="s">
        <v>295</v>
      </c>
      <c r="AB778" t="s">
        <v>26</v>
      </c>
      <c r="AC778" s="25" t="s">
        <v>295</v>
      </c>
      <c r="AD778" s="25" t="s">
        <v>295</v>
      </c>
      <c r="AE778" t="s">
        <v>26</v>
      </c>
      <c r="AF778" t="s">
        <v>26</v>
      </c>
      <c r="AG778" t="s">
        <v>26</v>
      </c>
      <c r="AH778" t="s">
        <v>26</v>
      </c>
      <c r="AI778" t="s">
        <v>26</v>
      </c>
      <c r="AJ778" t="s">
        <v>26</v>
      </c>
      <c r="AK778" t="s">
        <v>26</v>
      </c>
      <c r="AL778" t="s">
        <v>26</v>
      </c>
      <c r="AM778" t="s">
        <v>26</v>
      </c>
      <c r="AN778" t="s">
        <v>26</v>
      </c>
      <c r="AO778" s="25" t="s">
        <v>28</v>
      </c>
      <c r="AP778" s="23" t="s">
        <v>29</v>
      </c>
      <c r="AQ778" s="23" t="s">
        <v>30</v>
      </c>
      <c r="AR778" s="23" t="s">
        <v>147</v>
      </c>
      <c r="AS778" s="25">
        <v>5325207</v>
      </c>
      <c r="AT778" s="23" t="s">
        <v>22181</v>
      </c>
      <c r="AU778" t="s">
        <v>23271</v>
      </c>
    </row>
    <row r="779" spans="1:47" ht="13.15" x14ac:dyDescent="0.4">
      <c r="A779" s="23" t="s">
        <v>1987</v>
      </c>
      <c r="B779" t="s">
        <v>26</v>
      </c>
      <c r="C779" s="23" t="s">
        <v>146</v>
      </c>
      <c r="D779" s="23" t="s">
        <v>22174</v>
      </c>
      <c r="E779" s="23" t="s">
        <v>60</v>
      </c>
      <c r="F779" t="s">
        <v>26</v>
      </c>
      <c r="G779" t="s">
        <v>26</v>
      </c>
      <c r="H779" t="s">
        <v>26</v>
      </c>
      <c r="I779" t="s">
        <v>26</v>
      </c>
      <c r="J779" t="s">
        <v>26</v>
      </c>
      <c r="K779" t="s">
        <v>26</v>
      </c>
      <c r="L779" s="25" t="s">
        <v>28</v>
      </c>
      <c r="M779" t="s">
        <v>26</v>
      </c>
      <c r="N779" t="s">
        <v>26</v>
      </c>
      <c r="O779" t="s">
        <v>26</v>
      </c>
      <c r="P779" t="s">
        <v>26</v>
      </c>
      <c r="Q779" t="s">
        <v>26</v>
      </c>
      <c r="R779" t="s">
        <v>26</v>
      </c>
      <c r="S779" t="s">
        <v>26</v>
      </c>
      <c r="T779" t="s">
        <v>26</v>
      </c>
      <c r="U779" t="s">
        <v>26</v>
      </c>
      <c r="V779" t="s">
        <v>26</v>
      </c>
      <c r="W779" s="24">
        <v>42370</v>
      </c>
      <c r="X779" s="24">
        <v>42370</v>
      </c>
      <c r="Y779" t="s">
        <v>26</v>
      </c>
      <c r="Z779" s="24">
        <v>42370</v>
      </c>
      <c r="AA779" s="24">
        <v>42370</v>
      </c>
      <c r="AB779" t="s">
        <v>26</v>
      </c>
      <c r="AC779" t="s">
        <v>26</v>
      </c>
      <c r="AD779" t="s">
        <v>26</v>
      </c>
      <c r="AE779" t="s">
        <v>26</v>
      </c>
      <c r="AF779" t="s">
        <v>26</v>
      </c>
      <c r="AG779" t="s">
        <v>26</v>
      </c>
      <c r="AH779" t="s">
        <v>26</v>
      </c>
      <c r="AI779" t="s">
        <v>26</v>
      </c>
      <c r="AJ779" t="s">
        <v>26</v>
      </c>
      <c r="AK779" t="s">
        <v>26</v>
      </c>
      <c r="AL779" t="s">
        <v>26</v>
      </c>
      <c r="AM779" t="s">
        <v>26</v>
      </c>
      <c r="AN779" t="s">
        <v>26</v>
      </c>
      <c r="AO779" s="25" t="s">
        <v>28</v>
      </c>
      <c r="AP779" s="23" t="s">
        <v>29</v>
      </c>
      <c r="AQ779" s="23" t="s">
        <v>30</v>
      </c>
      <c r="AR779" s="23" t="s">
        <v>245</v>
      </c>
      <c r="AS779" s="25">
        <v>5488564</v>
      </c>
      <c r="AT779" s="23" t="s">
        <v>22181</v>
      </c>
      <c r="AU779" t="s">
        <v>23272</v>
      </c>
    </row>
    <row r="780" spans="1:47" ht="26.25" x14ac:dyDescent="0.4">
      <c r="A780" s="23" t="s">
        <v>1988</v>
      </c>
      <c r="B780" t="s">
        <v>26</v>
      </c>
      <c r="C780" s="23" t="s">
        <v>803</v>
      </c>
      <c r="D780" s="23" t="s">
        <v>22499</v>
      </c>
      <c r="E780" s="23" t="s">
        <v>711</v>
      </c>
      <c r="F780" s="25" t="s">
        <v>1989</v>
      </c>
      <c r="G780" s="25" t="s">
        <v>1990</v>
      </c>
      <c r="H780" t="s">
        <v>26</v>
      </c>
      <c r="I780" s="24">
        <v>36039</v>
      </c>
      <c r="J780" s="24">
        <v>42278</v>
      </c>
      <c r="K780" t="s">
        <v>26</v>
      </c>
      <c r="L780" s="25" t="s">
        <v>68</v>
      </c>
      <c r="M780" s="24">
        <v>36039</v>
      </c>
      <c r="N780" s="24">
        <v>37865</v>
      </c>
      <c r="O780" t="s">
        <v>26</v>
      </c>
      <c r="P780" s="24">
        <v>36039</v>
      </c>
      <c r="Q780" s="24">
        <v>42278</v>
      </c>
      <c r="R780" t="s">
        <v>26</v>
      </c>
      <c r="S780" t="s">
        <v>26</v>
      </c>
      <c r="T780" t="s">
        <v>26</v>
      </c>
      <c r="U780" t="s">
        <v>26</v>
      </c>
      <c r="V780" t="s">
        <v>26</v>
      </c>
      <c r="W780" s="24">
        <v>36039</v>
      </c>
      <c r="X780" s="24">
        <v>42583</v>
      </c>
      <c r="Y780" t="s">
        <v>26</v>
      </c>
      <c r="Z780" s="24">
        <v>36039</v>
      </c>
      <c r="AA780" s="24">
        <v>42583</v>
      </c>
      <c r="AB780" t="s">
        <v>26</v>
      </c>
      <c r="AC780" s="24">
        <v>36039</v>
      </c>
      <c r="AD780" s="24">
        <v>42583</v>
      </c>
      <c r="AE780" t="s">
        <v>26</v>
      </c>
      <c r="AF780" t="s">
        <v>26</v>
      </c>
      <c r="AG780" t="s">
        <v>26</v>
      </c>
      <c r="AH780" t="s">
        <v>26</v>
      </c>
      <c r="AI780" t="s">
        <v>26</v>
      </c>
      <c r="AJ780" t="s">
        <v>26</v>
      </c>
      <c r="AK780" t="s">
        <v>26</v>
      </c>
      <c r="AL780" t="s">
        <v>26</v>
      </c>
      <c r="AM780" t="s">
        <v>26</v>
      </c>
      <c r="AN780" t="s">
        <v>26</v>
      </c>
      <c r="AO780" s="25" t="s">
        <v>68</v>
      </c>
      <c r="AP780" s="23" t="s">
        <v>69</v>
      </c>
      <c r="AQ780" s="23" t="s">
        <v>30</v>
      </c>
      <c r="AR780" s="23" t="s">
        <v>70</v>
      </c>
      <c r="AS780" s="25">
        <v>34042</v>
      </c>
      <c r="AT780" t="s">
        <v>26</v>
      </c>
      <c r="AU780" t="s">
        <v>23273</v>
      </c>
    </row>
    <row r="781" spans="1:47" ht="26.25" x14ac:dyDescent="0.4">
      <c r="A781" s="23" t="s">
        <v>1991</v>
      </c>
      <c r="B781" t="s">
        <v>26</v>
      </c>
      <c r="C781" s="23" t="s">
        <v>803</v>
      </c>
      <c r="D781" s="23" t="s">
        <v>22499</v>
      </c>
      <c r="E781" s="23" t="s">
        <v>711</v>
      </c>
      <c r="F781" t="s">
        <v>26</v>
      </c>
      <c r="G781" s="25" t="s">
        <v>1992</v>
      </c>
      <c r="H781" t="s">
        <v>26</v>
      </c>
      <c r="I781" s="24">
        <v>42736</v>
      </c>
      <c r="J781" s="25" t="s">
        <v>77</v>
      </c>
      <c r="K781" t="s">
        <v>26</v>
      </c>
      <c r="L781" s="25" t="s">
        <v>68</v>
      </c>
      <c r="M781" s="24">
        <v>42736</v>
      </c>
      <c r="N781" s="25" t="s">
        <v>77</v>
      </c>
      <c r="O781" t="s">
        <v>26</v>
      </c>
      <c r="P781" s="24">
        <v>42736</v>
      </c>
      <c r="Q781" s="25" t="s">
        <v>77</v>
      </c>
      <c r="R781" t="s">
        <v>26</v>
      </c>
      <c r="S781" t="s">
        <v>26</v>
      </c>
      <c r="T781" t="s">
        <v>26</v>
      </c>
      <c r="U781" t="s">
        <v>26</v>
      </c>
      <c r="V781" t="s">
        <v>26</v>
      </c>
      <c r="W781" s="24">
        <v>42736</v>
      </c>
      <c r="X781" s="25" t="s">
        <v>77</v>
      </c>
      <c r="Y781" t="s">
        <v>26</v>
      </c>
      <c r="Z781" s="24">
        <v>42736</v>
      </c>
      <c r="AA781" s="25" t="s">
        <v>77</v>
      </c>
      <c r="AB781" t="s">
        <v>26</v>
      </c>
      <c r="AC781" s="24">
        <v>42736</v>
      </c>
      <c r="AD781" s="25" t="s">
        <v>77</v>
      </c>
      <c r="AE781" t="s">
        <v>26</v>
      </c>
      <c r="AF781" t="s">
        <v>26</v>
      </c>
      <c r="AG781" t="s">
        <v>26</v>
      </c>
      <c r="AH781" t="s">
        <v>26</v>
      </c>
      <c r="AI781" t="s">
        <v>26</v>
      </c>
      <c r="AJ781" t="s">
        <v>26</v>
      </c>
      <c r="AK781" t="s">
        <v>26</v>
      </c>
      <c r="AL781" t="s">
        <v>26</v>
      </c>
      <c r="AM781" t="s">
        <v>26</v>
      </c>
      <c r="AN781" t="s">
        <v>26</v>
      </c>
      <c r="AO781" s="25" t="s">
        <v>68</v>
      </c>
      <c r="AP781" s="23" t="s">
        <v>69</v>
      </c>
      <c r="AQ781" s="23" t="s">
        <v>30</v>
      </c>
      <c r="AR781" s="23" t="s">
        <v>1993</v>
      </c>
      <c r="AS781" s="25">
        <v>2047987</v>
      </c>
      <c r="AT781" t="s">
        <v>26</v>
      </c>
      <c r="AU781" t="s">
        <v>23274</v>
      </c>
    </row>
    <row r="782" spans="1:47" ht="13.15" x14ac:dyDescent="0.4">
      <c r="A782" s="23" t="s">
        <v>1994</v>
      </c>
      <c r="B782" t="s">
        <v>26</v>
      </c>
      <c r="C782" s="23" t="s">
        <v>146</v>
      </c>
      <c r="D782" s="23" t="s">
        <v>22174</v>
      </c>
      <c r="E782" s="23" t="s">
        <v>60</v>
      </c>
      <c r="F782" t="s">
        <v>26</v>
      </c>
      <c r="G782" t="s">
        <v>26</v>
      </c>
      <c r="H782" t="s">
        <v>26</v>
      </c>
      <c r="I782" t="s">
        <v>26</v>
      </c>
      <c r="J782" t="s">
        <v>26</v>
      </c>
      <c r="K782" t="s">
        <v>26</v>
      </c>
      <c r="L782" s="25" t="s">
        <v>28</v>
      </c>
      <c r="M782" t="s">
        <v>26</v>
      </c>
      <c r="N782" t="s">
        <v>26</v>
      </c>
      <c r="O782" t="s">
        <v>26</v>
      </c>
      <c r="P782" t="s">
        <v>26</v>
      </c>
      <c r="Q782" t="s">
        <v>26</v>
      </c>
      <c r="R782" t="s">
        <v>26</v>
      </c>
      <c r="S782" t="s">
        <v>26</v>
      </c>
      <c r="T782" t="s">
        <v>26</v>
      </c>
      <c r="U782" t="s">
        <v>26</v>
      </c>
      <c r="V782" t="s">
        <v>26</v>
      </c>
      <c r="W782" s="24">
        <v>42005</v>
      </c>
      <c r="X782" s="24">
        <v>42005</v>
      </c>
      <c r="Y782" t="s">
        <v>26</v>
      </c>
      <c r="Z782" s="24">
        <v>42005</v>
      </c>
      <c r="AA782" s="24">
        <v>42005</v>
      </c>
      <c r="AB782" t="s">
        <v>26</v>
      </c>
      <c r="AC782" t="s">
        <v>26</v>
      </c>
      <c r="AD782" t="s">
        <v>26</v>
      </c>
      <c r="AE782" t="s">
        <v>26</v>
      </c>
      <c r="AF782" t="s">
        <v>26</v>
      </c>
      <c r="AG782" t="s">
        <v>26</v>
      </c>
      <c r="AH782" t="s">
        <v>26</v>
      </c>
      <c r="AI782" t="s">
        <v>26</v>
      </c>
      <c r="AJ782" t="s">
        <v>26</v>
      </c>
      <c r="AK782" t="s">
        <v>26</v>
      </c>
      <c r="AL782" t="s">
        <v>26</v>
      </c>
      <c r="AM782" t="s">
        <v>26</v>
      </c>
      <c r="AN782" t="s">
        <v>26</v>
      </c>
      <c r="AO782" s="25" t="s">
        <v>28</v>
      </c>
      <c r="AP782" s="23" t="s">
        <v>29</v>
      </c>
      <c r="AQ782" s="23" t="s">
        <v>30</v>
      </c>
      <c r="AR782" s="23" t="s">
        <v>245</v>
      </c>
      <c r="AS782" s="25">
        <v>5483614</v>
      </c>
      <c r="AT782" s="23" t="s">
        <v>22181</v>
      </c>
      <c r="AU782" t="s">
        <v>23275</v>
      </c>
    </row>
    <row r="783" spans="1:47" ht="26.25" x14ac:dyDescent="0.4">
      <c r="A783" s="23" t="s">
        <v>1995</v>
      </c>
      <c r="B783" t="s">
        <v>26</v>
      </c>
      <c r="C783" s="23" t="s">
        <v>259</v>
      </c>
      <c r="D783" s="23" t="s">
        <v>22179</v>
      </c>
      <c r="E783" s="23" t="s">
        <v>60</v>
      </c>
      <c r="F783" s="25" t="s">
        <v>1996</v>
      </c>
      <c r="G783" s="25" t="s">
        <v>1997</v>
      </c>
      <c r="H783" t="s">
        <v>26</v>
      </c>
      <c r="I783" s="24">
        <v>40179</v>
      </c>
      <c r="J783" s="25" t="s">
        <v>77</v>
      </c>
      <c r="K783" t="s">
        <v>26</v>
      </c>
      <c r="L783" s="25" t="s">
        <v>68</v>
      </c>
      <c r="M783" s="24">
        <v>40179</v>
      </c>
      <c r="N783" s="25" t="s">
        <v>77</v>
      </c>
      <c r="O783" t="s">
        <v>26</v>
      </c>
      <c r="P783" s="24">
        <v>40179</v>
      </c>
      <c r="Q783" s="25" t="s">
        <v>77</v>
      </c>
      <c r="R783" t="s">
        <v>26</v>
      </c>
      <c r="S783" t="s">
        <v>26</v>
      </c>
      <c r="T783" t="s">
        <v>26</v>
      </c>
      <c r="U783" t="s">
        <v>26</v>
      </c>
      <c r="V783" t="s">
        <v>26</v>
      </c>
      <c r="W783" s="24">
        <v>40179</v>
      </c>
      <c r="X783" s="25" t="s">
        <v>77</v>
      </c>
      <c r="Y783" t="s">
        <v>26</v>
      </c>
      <c r="Z783" s="24">
        <v>40179</v>
      </c>
      <c r="AA783" s="25" t="s">
        <v>77</v>
      </c>
      <c r="AB783" t="s">
        <v>26</v>
      </c>
      <c r="AC783" s="24">
        <v>40179</v>
      </c>
      <c r="AD783" s="25" t="s">
        <v>77</v>
      </c>
      <c r="AE783" t="s">
        <v>26</v>
      </c>
      <c r="AF783" t="s">
        <v>26</v>
      </c>
      <c r="AG783" t="s">
        <v>26</v>
      </c>
      <c r="AH783" t="s">
        <v>26</v>
      </c>
      <c r="AI783" t="s">
        <v>26</v>
      </c>
      <c r="AJ783" t="s">
        <v>26</v>
      </c>
      <c r="AK783" t="s">
        <v>26</v>
      </c>
      <c r="AL783" t="s">
        <v>26</v>
      </c>
      <c r="AM783" t="s">
        <v>26</v>
      </c>
      <c r="AN783" t="s">
        <v>26</v>
      </c>
      <c r="AO783" s="25" t="s">
        <v>68</v>
      </c>
      <c r="AP783" s="23" t="s">
        <v>69</v>
      </c>
      <c r="AQ783" s="23" t="s">
        <v>30</v>
      </c>
      <c r="AR783" s="23" t="s">
        <v>71</v>
      </c>
      <c r="AS783" s="25">
        <v>2037466</v>
      </c>
      <c r="AT783" t="s">
        <v>26</v>
      </c>
      <c r="AU783" t="s">
        <v>23276</v>
      </c>
    </row>
    <row r="784" spans="1:47" ht="26.25" x14ac:dyDescent="0.4">
      <c r="A784" s="23" t="s">
        <v>1998</v>
      </c>
      <c r="B784" t="s">
        <v>26</v>
      </c>
      <c r="C784" s="23" t="s">
        <v>259</v>
      </c>
      <c r="D784" s="23" t="s">
        <v>22294</v>
      </c>
      <c r="E784" s="23" t="s">
        <v>60</v>
      </c>
      <c r="F784" s="25" t="s">
        <v>1999</v>
      </c>
      <c r="G784" s="25" t="s">
        <v>2000</v>
      </c>
      <c r="H784" t="s">
        <v>26</v>
      </c>
      <c r="I784" t="s">
        <v>26</v>
      </c>
      <c r="J784" t="s">
        <v>26</v>
      </c>
      <c r="K784" t="s">
        <v>26</v>
      </c>
      <c r="L784" s="25" t="s">
        <v>68</v>
      </c>
      <c r="M784" t="s">
        <v>26</v>
      </c>
      <c r="N784" t="s">
        <v>26</v>
      </c>
      <c r="O784" t="s">
        <v>26</v>
      </c>
      <c r="P784" t="s">
        <v>26</v>
      </c>
      <c r="Q784" t="s">
        <v>26</v>
      </c>
      <c r="R784" t="s">
        <v>26</v>
      </c>
      <c r="S784" t="s">
        <v>26</v>
      </c>
      <c r="T784" t="s">
        <v>26</v>
      </c>
      <c r="U784" t="s">
        <v>26</v>
      </c>
      <c r="V784" t="s">
        <v>26</v>
      </c>
      <c r="W784" s="24">
        <v>40391</v>
      </c>
      <c r="X784" s="25" t="s">
        <v>77</v>
      </c>
      <c r="Y784" s="25" t="s">
        <v>262</v>
      </c>
      <c r="Z784" s="24">
        <v>40391</v>
      </c>
      <c r="AA784" s="25" t="s">
        <v>77</v>
      </c>
      <c r="AB784" s="25" t="s">
        <v>262</v>
      </c>
      <c r="AC784" s="24">
        <v>40391</v>
      </c>
      <c r="AD784" s="25" t="s">
        <v>77</v>
      </c>
      <c r="AE784" s="25" t="s">
        <v>262</v>
      </c>
      <c r="AF784" t="s">
        <v>26</v>
      </c>
      <c r="AG784" t="s">
        <v>26</v>
      </c>
      <c r="AH784" t="s">
        <v>26</v>
      </c>
      <c r="AI784" t="s">
        <v>26</v>
      </c>
      <c r="AJ784" t="s">
        <v>26</v>
      </c>
      <c r="AK784" t="s">
        <v>26</v>
      </c>
      <c r="AL784" t="s">
        <v>26</v>
      </c>
      <c r="AM784" t="s">
        <v>26</v>
      </c>
      <c r="AN784" t="s">
        <v>26</v>
      </c>
      <c r="AO784" s="25" t="s">
        <v>68</v>
      </c>
      <c r="AP784" s="23" t="s">
        <v>69</v>
      </c>
      <c r="AQ784" s="23" t="s">
        <v>30</v>
      </c>
      <c r="AR784" s="23" t="s">
        <v>71</v>
      </c>
      <c r="AS784" s="25">
        <v>946360</v>
      </c>
      <c r="AT784" t="s">
        <v>26</v>
      </c>
      <c r="AU784" t="s">
        <v>23277</v>
      </c>
    </row>
    <row r="785" spans="1:47" ht="26.25" x14ac:dyDescent="0.4">
      <c r="A785" s="23" t="s">
        <v>2001</v>
      </c>
      <c r="B785" t="s">
        <v>26</v>
      </c>
      <c r="C785" s="23" t="s">
        <v>22238</v>
      </c>
      <c r="D785" t="s">
        <v>26</v>
      </c>
      <c r="E785" s="23" t="s">
        <v>42</v>
      </c>
      <c r="F785" t="s">
        <v>26</v>
      </c>
      <c r="G785" t="s">
        <v>26</v>
      </c>
      <c r="H785" t="s">
        <v>26</v>
      </c>
      <c r="I785" s="24">
        <v>43101</v>
      </c>
      <c r="J785" s="24">
        <v>43101</v>
      </c>
      <c r="K785" t="s">
        <v>26</v>
      </c>
      <c r="L785" s="25" t="s">
        <v>28</v>
      </c>
      <c r="M785" s="24">
        <v>43101</v>
      </c>
      <c r="N785" s="24">
        <v>43101</v>
      </c>
      <c r="O785" t="s">
        <v>26</v>
      </c>
      <c r="P785" t="s">
        <v>26</v>
      </c>
      <c r="Q785" t="s">
        <v>26</v>
      </c>
      <c r="R785" t="s">
        <v>26</v>
      </c>
      <c r="S785" s="24">
        <v>43101</v>
      </c>
      <c r="T785" s="24">
        <v>43101</v>
      </c>
      <c r="U785" t="s">
        <v>26</v>
      </c>
      <c r="V785" t="s">
        <v>26</v>
      </c>
      <c r="W785" s="24">
        <v>43101</v>
      </c>
      <c r="X785" s="24">
        <v>43101</v>
      </c>
      <c r="Y785" t="s">
        <v>26</v>
      </c>
      <c r="Z785" s="24">
        <v>43101</v>
      </c>
      <c r="AA785" s="24">
        <v>43101</v>
      </c>
      <c r="AB785" t="s">
        <v>26</v>
      </c>
      <c r="AC785" s="24">
        <v>43101</v>
      </c>
      <c r="AD785" s="24">
        <v>43101</v>
      </c>
      <c r="AE785" t="s">
        <v>26</v>
      </c>
      <c r="AF785" s="24">
        <v>43101</v>
      </c>
      <c r="AG785" s="24">
        <v>43101</v>
      </c>
      <c r="AH785" t="s">
        <v>26</v>
      </c>
      <c r="AI785" s="24">
        <v>43101</v>
      </c>
      <c r="AJ785" s="24">
        <v>43101</v>
      </c>
      <c r="AK785" t="s">
        <v>26</v>
      </c>
      <c r="AL785" t="s">
        <v>26</v>
      </c>
      <c r="AM785" t="s">
        <v>26</v>
      </c>
      <c r="AN785" t="s">
        <v>26</v>
      </c>
      <c r="AO785" s="25" t="s">
        <v>28</v>
      </c>
      <c r="AP785" s="23" t="s">
        <v>43</v>
      </c>
      <c r="AQ785" s="23" t="s">
        <v>30</v>
      </c>
      <c r="AR785" s="23" t="s">
        <v>44</v>
      </c>
      <c r="AS785" s="25">
        <v>5262525</v>
      </c>
      <c r="AT785" t="s">
        <v>26</v>
      </c>
      <c r="AU785" t="s">
        <v>23278</v>
      </c>
    </row>
    <row r="786" spans="1:47" ht="26.25" x14ac:dyDescent="0.4">
      <c r="A786" s="23" t="s">
        <v>2002</v>
      </c>
      <c r="B786" t="s">
        <v>26</v>
      </c>
      <c r="C786" s="23" t="s">
        <v>22238</v>
      </c>
      <c r="D786" t="s">
        <v>26</v>
      </c>
      <c r="E786" s="23" t="s">
        <v>42</v>
      </c>
      <c r="F786" t="s">
        <v>26</v>
      </c>
      <c r="G786" t="s">
        <v>26</v>
      </c>
      <c r="H786" t="s">
        <v>26</v>
      </c>
      <c r="I786" s="24">
        <v>43101</v>
      </c>
      <c r="J786" s="24">
        <v>43101</v>
      </c>
      <c r="K786" t="s">
        <v>26</v>
      </c>
      <c r="L786" s="25" t="s">
        <v>28</v>
      </c>
      <c r="M786" s="24">
        <v>43101</v>
      </c>
      <c r="N786" s="24">
        <v>43101</v>
      </c>
      <c r="O786" t="s">
        <v>26</v>
      </c>
      <c r="P786" t="s">
        <v>26</v>
      </c>
      <c r="Q786" t="s">
        <v>26</v>
      </c>
      <c r="R786" t="s">
        <v>26</v>
      </c>
      <c r="S786" s="24">
        <v>43101</v>
      </c>
      <c r="T786" s="24">
        <v>43101</v>
      </c>
      <c r="U786" t="s">
        <v>26</v>
      </c>
      <c r="V786" t="s">
        <v>26</v>
      </c>
      <c r="W786" s="24">
        <v>43101</v>
      </c>
      <c r="X786" s="24">
        <v>43101</v>
      </c>
      <c r="Y786" t="s">
        <v>26</v>
      </c>
      <c r="Z786" s="24">
        <v>43101</v>
      </c>
      <c r="AA786" s="24">
        <v>43101</v>
      </c>
      <c r="AB786" t="s">
        <v>26</v>
      </c>
      <c r="AC786" s="24">
        <v>43101</v>
      </c>
      <c r="AD786" s="24">
        <v>43101</v>
      </c>
      <c r="AE786" t="s">
        <v>26</v>
      </c>
      <c r="AF786" s="24">
        <v>43101</v>
      </c>
      <c r="AG786" s="24">
        <v>43101</v>
      </c>
      <c r="AH786" t="s">
        <v>26</v>
      </c>
      <c r="AI786" s="24">
        <v>43101</v>
      </c>
      <c r="AJ786" s="24">
        <v>43101</v>
      </c>
      <c r="AK786" t="s">
        <v>26</v>
      </c>
      <c r="AL786" t="s">
        <v>26</v>
      </c>
      <c r="AM786" t="s">
        <v>26</v>
      </c>
      <c r="AN786" t="s">
        <v>26</v>
      </c>
      <c r="AO786" s="25" t="s">
        <v>28</v>
      </c>
      <c r="AP786" s="23" t="s">
        <v>43</v>
      </c>
      <c r="AQ786" s="23" t="s">
        <v>30</v>
      </c>
      <c r="AR786" s="23" t="s">
        <v>44</v>
      </c>
      <c r="AS786" s="25">
        <v>5262524</v>
      </c>
      <c r="AT786" t="s">
        <v>26</v>
      </c>
      <c r="AU786" t="s">
        <v>23279</v>
      </c>
    </row>
    <row r="787" spans="1:47" ht="26.25" x14ac:dyDescent="0.4">
      <c r="A787" s="23" t="s">
        <v>2003</v>
      </c>
      <c r="B787" t="s">
        <v>26</v>
      </c>
      <c r="C787" s="23" t="s">
        <v>22238</v>
      </c>
      <c r="D787" t="s">
        <v>26</v>
      </c>
      <c r="E787" s="23" t="s">
        <v>42</v>
      </c>
      <c r="F787" t="s">
        <v>26</v>
      </c>
      <c r="G787" t="s">
        <v>26</v>
      </c>
      <c r="H787" t="s">
        <v>26</v>
      </c>
      <c r="I787" s="24">
        <v>43101</v>
      </c>
      <c r="J787" s="24">
        <v>43101</v>
      </c>
      <c r="K787" t="s">
        <v>26</v>
      </c>
      <c r="L787" s="25" t="s">
        <v>28</v>
      </c>
      <c r="M787" s="24">
        <v>43101</v>
      </c>
      <c r="N787" s="24">
        <v>43101</v>
      </c>
      <c r="O787" t="s">
        <v>26</v>
      </c>
      <c r="P787" t="s">
        <v>26</v>
      </c>
      <c r="Q787" t="s">
        <v>26</v>
      </c>
      <c r="R787" t="s">
        <v>26</v>
      </c>
      <c r="S787" s="24">
        <v>43101</v>
      </c>
      <c r="T787" s="24">
        <v>43101</v>
      </c>
      <c r="U787" t="s">
        <v>26</v>
      </c>
      <c r="V787" t="s">
        <v>26</v>
      </c>
      <c r="W787" s="24">
        <v>43101</v>
      </c>
      <c r="X787" s="24">
        <v>43101</v>
      </c>
      <c r="Y787" t="s">
        <v>26</v>
      </c>
      <c r="Z787" s="24">
        <v>43101</v>
      </c>
      <c r="AA787" s="24">
        <v>43101</v>
      </c>
      <c r="AB787" t="s">
        <v>26</v>
      </c>
      <c r="AC787" s="24">
        <v>43101</v>
      </c>
      <c r="AD787" s="24">
        <v>43101</v>
      </c>
      <c r="AE787" t="s">
        <v>26</v>
      </c>
      <c r="AF787" s="24">
        <v>43101</v>
      </c>
      <c r="AG787" s="24">
        <v>43101</v>
      </c>
      <c r="AH787" t="s">
        <v>26</v>
      </c>
      <c r="AI787" s="24">
        <v>43101</v>
      </c>
      <c r="AJ787" s="24">
        <v>43101</v>
      </c>
      <c r="AK787" t="s">
        <v>26</v>
      </c>
      <c r="AL787" t="s">
        <v>26</v>
      </c>
      <c r="AM787" t="s">
        <v>26</v>
      </c>
      <c r="AN787" t="s">
        <v>26</v>
      </c>
      <c r="AO787" s="25" t="s">
        <v>28</v>
      </c>
      <c r="AP787" s="23" t="s">
        <v>43</v>
      </c>
      <c r="AQ787" s="23" t="s">
        <v>30</v>
      </c>
      <c r="AR787" s="23" t="s">
        <v>44</v>
      </c>
      <c r="AS787" s="25">
        <v>5262523</v>
      </c>
      <c r="AT787" t="s">
        <v>26</v>
      </c>
      <c r="AU787" t="s">
        <v>23280</v>
      </c>
    </row>
    <row r="788" spans="1:47" ht="26.25" x14ac:dyDescent="0.4">
      <c r="A788" s="23" t="s">
        <v>2004</v>
      </c>
      <c r="B788" t="s">
        <v>26</v>
      </c>
      <c r="C788" s="23" t="s">
        <v>22238</v>
      </c>
      <c r="D788" t="s">
        <v>26</v>
      </c>
      <c r="E788" s="23" t="s">
        <v>42</v>
      </c>
      <c r="F788" t="s">
        <v>26</v>
      </c>
      <c r="G788" t="s">
        <v>26</v>
      </c>
      <c r="H788" t="s">
        <v>26</v>
      </c>
      <c r="I788" s="24">
        <v>43101</v>
      </c>
      <c r="J788" s="24">
        <v>43101</v>
      </c>
      <c r="K788" t="s">
        <v>26</v>
      </c>
      <c r="L788" s="25" t="s">
        <v>28</v>
      </c>
      <c r="M788" s="24">
        <v>43101</v>
      </c>
      <c r="N788" s="24">
        <v>43101</v>
      </c>
      <c r="O788" t="s">
        <v>26</v>
      </c>
      <c r="P788" t="s">
        <v>26</v>
      </c>
      <c r="Q788" t="s">
        <v>26</v>
      </c>
      <c r="R788" t="s">
        <v>26</v>
      </c>
      <c r="S788" s="24">
        <v>43101</v>
      </c>
      <c r="T788" s="24">
        <v>43101</v>
      </c>
      <c r="U788" t="s">
        <v>26</v>
      </c>
      <c r="V788" t="s">
        <v>26</v>
      </c>
      <c r="W788" s="24">
        <v>43101</v>
      </c>
      <c r="X788" s="24">
        <v>43101</v>
      </c>
      <c r="Y788" t="s">
        <v>26</v>
      </c>
      <c r="Z788" s="24">
        <v>43101</v>
      </c>
      <c r="AA788" s="24">
        <v>43101</v>
      </c>
      <c r="AB788" t="s">
        <v>26</v>
      </c>
      <c r="AC788" s="24">
        <v>43101</v>
      </c>
      <c r="AD788" s="24">
        <v>43101</v>
      </c>
      <c r="AE788" t="s">
        <v>26</v>
      </c>
      <c r="AF788" s="24">
        <v>43101</v>
      </c>
      <c r="AG788" s="24">
        <v>43101</v>
      </c>
      <c r="AH788" t="s">
        <v>26</v>
      </c>
      <c r="AI788" s="24">
        <v>43101</v>
      </c>
      <c r="AJ788" s="24">
        <v>43101</v>
      </c>
      <c r="AK788" t="s">
        <v>26</v>
      </c>
      <c r="AL788" t="s">
        <v>26</v>
      </c>
      <c r="AM788" t="s">
        <v>26</v>
      </c>
      <c r="AN788" t="s">
        <v>26</v>
      </c>
      <c r="AO788" s="25" t="s">
        <v>28</v>
      </c>
      <c r="AP788" s="23" t="s">
        <v>43</v>
      </c>
      <c r="AQ788" s="23" t="s">
        <v>30</v>
      </c>
      <c r="AR788" s="23" t="s">
        <v>44</v>
      </c>
      <c r="AS788" s="25">
        <v>5262522</v>
      </c>
      <c r="AT788" t="s">
        <v>26</v>
      </c>
      <c r="AU788" t="s">
        <v>23281</v>
      </c>
    </row>
    <row r="789" spans="1:47" ht="26.25" x14ac:dyDescent="0.4">
      <c r="A789" s="23" t="s">
        <v>2005</v>
      </c>
      <c r="B789" t="s">
        <v>26</v>
      </c>
      <c r="C789" s="23" t="s">
        <v>51</v>
      </c>
      <c r="D789" t="s">
        <v>26</v>
      </c>
      <c r="E789" s="23" t="s">
        <v>42</v>
      </c>
      <c r="F789" t="s">
        <v>26</v>
      </c>
      <c r="G789" t="s">
        <v>26</v>
      </c>
      <c r="H789" t="s">
        <v>26</v>
      </c>
      <c r="I789" s="24">
        <v>37622</v>
      </c>
      <c r="J789" s="24">
        <v>37987</v>
      </c>
      <c r="K789" t="s">
        <v>26</v>
      </c>
      <c r="L789" s="25" t="s">
        <v>28</v>
      </c>
      <c r="M789" s="24">
        <v>37622</v>
      </c>
      <c r="N789" s="24">
        <v>37987</v>
      </c>
      <c r="O789" t="s">
        <v>26</v>
      </c>
      <c r="P789" t="s">
        <v>26</v>
      </c>
      <c r="Q789" t="s">
        <v>26</v>
      </c>
      <c r="R789" t="s">
        <v>26</v>
      </c>
      <c r="S789" s="24">
        <v>37622</v>
      </c>
      <c r="T789" s="24">
        <v>37987</v>
      </c>
      <c r="U789" t="s">
        <v>26</v>
      </c>
      <c r="V789" t="s">
        <v>26</v>
      </c>
      <c r="W789" s="24">
        <v>37622</v>
      </c>
      <c r="X789" s="24">
        <v>37987</v>
      </c>
      <c r="Y789" t="s">
        <v>26</v>
      </c>
      <c r="Z789" s="24">
        <v>37622</v>
      </c>
      <c r="AA789" s="24">
        <v>37987</v>
      </c>
      <c r="AB789" t="s">
        <v>26</v>
      </c>
      <c r="AC789" s="24">
        <v>37622</v>
      </c>
      <c r="AD789" s="24">
        <v>37987</v>
      </c>
      <c r="AE789" t="s">
        <v>26</v>
      </c>
      <c r="AF789" s="24">
        <v>37622</v>
      </c>
      <c r="AG789" s="24">
        <v>37987</v>
      </c>
      <c r="AH789" t="s">
        <v>26</v>
      </c>
      <c r="AI789" s="24">
        <v>37622</v>
      </c>
      <c r="AJ789" s="24">
        <v>37987</v>
      </c>
      <c r="AK789" t="s">
        <v>26</v>
      </c>
      <c r="AL789" t="s">
        <v>26</v>
      </c>
      <c r="AM789" t="s">
        <v>26</v>
      </c>
      <c r="AN789" t="s">
        <v>26</v>
      </c>
      <c r="AO789" s="25" t="s">
        <v>28</v>
      </c>
      <c r="AP789" s="23" t="s">
        <v>43</v>
      </c>
      <c r="AQ789" s="23" t="s">
        <v>30</v>
      </c>
      <c r="AR789" s="23" t="s">
        <v>44</v>
      </c>
      <c r="AS789" s="25">
        <v>5256673</v>
      </c>
      <c r="AT789" t="s">
        <v>26</v>
      </c>
      <c r="AU789" t="s">
        <v>23282</v>
      </c>
    </row>
    <row r="790" spans="1:47" ht="52.5" x14ac:dyDescent="0.4">
      <c r="A790" s="23" t="s">
        <v>2006</v>
      </c>
      <c r="B790" t="s">
        <v>26</v>
      </c>
      <c r="C790" t="s">
        <v>26</v>
      </c>
      <c r="D790" t="s">
        <v>26</v>
      </c>
      <c r="E790" t="s">
        <v>26</v>
      </c>
      <c r="F790" t="s">
        <v>26</v>
      </c>
      <c r="G790" t="s">
        <v>26</v>
      </c>
      <c r="H790" t="s">
        <v>26</v>
      </c>
      <c r="I790" s="25" t="s">
        <v>2007</v>
      </c>
      <c r="J790" s="25" t="s">
        <v>2007</v>
      </c>
      <c r="K790" t="s">
        <v>26</v>
      </c>
      <c r="L790" s="25" t="s">
        <v>28</v>
      </c>
      <c r="M790" s="25" t="s">
        <v>2007</v>
      </c>
      <c r="N790" s="25" t="s">
        <v>2007</v>
      </c>
      <c r="O790" t="s">
        <v>26</v>
      </c>
      <c r="P790" t="s">
        <v>26</v>
      </c>
      <c r="Q790" t="s">
        <v>26</v>
      </c>
      <c r="R790" t="s">
        <v>26</v>
      </c>
      <c r="S790" t="s">
        <v>26</v>
      </c>
      <c r="T790" t="s">
        <v>26</v>
      </c>
      <c r="U790" t="s">
        <v>26</v>
      </c>
      <c r="V790" t="s">
        <v>26</v>
      </c>
      <c r="W790" s="25" t="s">
        <v>2007</v>
      </c>
      <c r="X790" s="25" t="s">
        <v>2007</v>
      </c>
      <c r="Y790" t="s">
        <v>26</v>
      </c>
      <c r="Z790" s="25" t="s">
        <v>2007</v>
      </c>
      <c r="AA790" s="25" t="s">
        <v>2007</v>
      </c>
      <c r="AB790" t="s">
        <v>26</v>
      </c>
      <c r="AC790" s="25" t="s">
        <v>2007</v>
      </c>
      <c r="AD790" s="25" t="s">
        <v>2007</v>
      </c>
      <c r="AE790" t="s">
        <v>26</v>
      </c>
      <c r="AF790" t="s">
        <v>26</v>
      </c>
      <c r="AG790" t="s">
        <v>26</v>
      </c>
      <c r="AH790" t="s">
        <v>26</v>
      </c>
      <c r="AI790" t="s">
        <v>26</v>
      </c>
      <c r="AJ790" t="s">
        <v>26</v>
      </c>
      <c r="AK790" t="s">
        <v>26</v>
      </c>
      <c r="AL790" t="s">
        <v>26</v>
      </c>
      <c r="AM790" t="s">
        <v>26</v>
      </c>
      <c r="AN790" t="s">
        <v>26</v>
      </c>
      <c r="AO790" s="25" t="s">
        <v>28</v>
      </c>
      <c r="AP790" s="23" t="s">
        <v>29</v>
      </c>
      <c r="AQ790" s="23" t="s">
        <v>30</v>
      </c>
      <c r="AR790" s="23" t="s">
        <v>46</v>
      </c>
      <c r="AS790" s="25">
        <v>5983417</v>
      </c>
      <c r="AT790" t="s">
        <v>26</v>
      </c>
      <c r="AU790" t="s">
        <v>23283</v>
      </c>
    </row>
    <row r="791" spans="1:47" ht="26.25" x14ac:dyDescent="0.4">
      <c r="A791" s="23" t="s">
        <v>2008</v>
      </c>
      <c r="B791" t="s">
        <v>26</v>
      </c>
      <c r="C791" s="23" t="s">
        <v>2009</v>
      </c>
      <c r="D791" s="23" t="s">
        <v>23284</v>
      </c>
      <c r="E791" s="23" t="s">
        <v>155</v>
      </c>
      <c r="F791" s="25" t="s">
        <v>2010</v>
      </c>
      <c r="G791" s="25" t="s">
        <v>2011</v>
      </c>
      <c r="H791" t="s">
        <v>26</v>
      </c>
      <c r="I791" s="24">
        <v>37987</v>
      </c>
      <c r="J791" s="25" t="s">
        <v>77</v>
      </c>
      <c r="K791" t="s">
        <v>26</v>
      </c>
      <c r="L791" s="25" t="s">
        <v>68</v>
      </c>
      <c r="M791" t="s">
        <v>26</v>
      </c>
      <c r="N791" t="s">
        <v>26</v>
      </c>
      <c r="O791" t="s">
        <v>26</v>
      </c>
      <c r="P791" s="24">
        <v>37987</v>
      </c>
      <c r="Q791" s="25" t="s">
        <v>77</v>
      </c>
      <c r="R791" t="s">
        <v>26</v>
      </c>
      <c r="S791" t="s">
        <v>26</v>
      </c>
      <c r="T791" t="s">
        <v>26</v>
      </c>
      <c r="U791" t="s">
        <v>26</v>
      </c>
      <c r="V791" t="s">
        <v>26</v>
      </c>
      <c r="W791" s="24">
        <v>37987</v>
      </c>
      <c r="X791" s="25" t="s">
        <v>77</v>
      </c>
      <c r="Y791" t="s">
        <v>26</v>
      </c>
      <c r="Z791" s="24">
        <v>37987</v>
      </c>
      <c r="AA791" s="25" t="s">
        <v>77</v>
      </c>
      <c r="AB791" t="s">
        <v>26</v>
      </c>
      <c r="AC791" s="24">
        <v>37987</v>
      </c>
      <c r="AD791" s="25" t="s">
        <v>77</v>
      </c>
      <c r="AE791" t="s">
        <v>26</v>
      </c>
      <c r="AF791" t="s">
        <v>26</v>
      </c>
      <c r="AG791" t="s">
        <v>26</v>
      </c>
      <c r="AH791" t="s">
        <v>26</v>
      </c>
      <c r="AI791" t="s">
        <v>26</v>
      </c>
      <c r="AJ791" t="s">
        <v>26</v>
      </c>
      <c r="AK791" t="s">
        <v>26</v>
      </c>
      <c r="AL791" t="s">
        <v>26</v>
      </c>
      <c r="AM791" t="s">
        <v>26</v>
      </c>
      <c r="AN791" t="s">
        <v>26</v>
      </c>
      <c r="AO791" s="25" t="s">
        <v>68</v>
      </c>
      <c r="AP791" s="23" t="s">
        <v>69</v>
      </c>
      <c r="AQ791" s="23" t="s">
        <v>142</v>
      </c>
      <c r="AR791" s="23" t="s">
        <v>71</v>
      </c>
      <c r="AS791" s="25">
        <v>2035737</v>
      </c>
      <c r="AT791" t="s">
        <v>26</v>
      </c>
      <c r="AU791" t="s">
        <v>23285</v>
      </c>
    </row>
    <row r="792" spans="1:47" ht="26.25" x14ac:dyDescent="0.4">
      <c r="A792" s="23" t="s">
        <v>2012</v>
      </c>
      <c r="B792" t="s">
        <v>26</v>
      </c>
      <c r="C792" s="23" t="s">
        <v>146</v>
      </c>
      <c r="D792" s="23" t="s">
        <v>22174</v>
      </c>
      <c r="E792" s="23" t="s">
        <v>60</v>
      </c>
      <c r="F792" t="s">
        <v>26</v>
      </c>
      <c r="G792" t="s">
        <v>26</v>
      </c>
      <c r="H792" t="s">
        <v>26</v>
      </c>
      <c r="I792" s="24">
        <v>42005</v>
      </c>
      <c r="J792" s="24">
        <v>42005</v>
      </c>
      <c r="K792" t="s">
        <v>26</v>
      </c>
      <c r="L792" s="25" t="s">
        <v>28</v>
      </c>
      <c r="M792" t="s">
        <v>26</v>
      </c>
      <c r="N792" t="s">
        <v>26</v>
      </c>
      <c r="O792" t="s">
        <v>26</v>
      </c>
      <c r="P792" s="24">
        <v>42005</v>
      </c>
      <c r="Q792" s="24">
        <v>42005</v>
      </c>
      <c r="R792" t="s">
        <v>26</v>
      </c>
      <c r="S792" t="s">
        <v>26</v>
      </c>
      <c r="T792" t="s">
        <v>26</v>
      </c>
      <c r="U792" t="s">
        <v>26</v>
      </c>
      <c r="V792" t="s">
        <v>26</v>
      </c>
      <c r="W792" s="24">
        <v>42005</v>
      </c>
      <c r="X792" s="24">
        <v>42005</v>
      </c>
      <c r="Y792" t="s">
        <v>26</v>
      </c>
      <c r="Z792" s="24">
        <v>42005</v>
      </c>
      <c r="AA792" s="24">
        <v>42005</v>
      </c>
      <c r="AB792" t="s">
        <v>26</v>
      </c>
      <c r="AC792" s="24">
        <v>42005</v>
      </c>
      <c r="AD792" s="24">
        <v>42005</v>
      </c>
      <c r="AE792" t="s">
        <v>26</v>
      </c>
      <c r="AF792" t="s">
        <v>26</v>
      </c>
      <c r="AG792" t="s">
        <v>26</v>
      </c>
      <c r="AH792" t="s">
        <v>26</v>
      </c>
      <c r="AI792" t="s">
        <v>26</v>
      </c>
      <c r="AJ792" t="s">
        <v>26</v>
      </c>
      <c r="AK792" t="s">
        <v>26</v>
      </c>
      <c r="AL792" t="s">
        <v>26</v>
      </c>
      <c r="AM792" t="s">
        <v>26</v>
      </c>
      <c r="AN792" t="s">
        <v>26</v>
      </c>
      <c r="AO792" s="25" t="s">
        <v>28</v>
      </c>
      <c r="AP792" s="23" t="s">
        <v>29</v>
      </c>
      <c r="AQ792" s="23" t="s">
        <v>30</v>
      </c>
      <c r="AR792" s="23" t="s">
        <v>46</v>
      </c>
      <c r="AS792" s="25">
        <v>6009012</v>
      </c>
      <c r="AT792" t="s">
        <v>26</v>
      </c>
      <c r="AU792" t="s">
        <v>23286</v>
      </c>
    </row>
    <row r="793" spans="1:47" ht="26.25" x14ac:dyDescent="0.4">
      <c r="A793" s="23" t="s">
        <v>2013</v>
      </c>
      <c r="B793" t="s">
        <v>26</v>
      </c>
      <c r="C793" s="23" t="s">
        <v>264</v>
      </c>
      <c r="D793" s="23" t="s">
        <v>23125</v>
      </c>
      <c r="E793" s="23" t="s">
        <v>60</v>
      </c>
      <c r="F793" s="25" t="s">
        <v>2014</v>
      </c>
      <c r="G793" s="25" t="s">
        <v>2015</v>
      </c>
      <c r="H793" t="s">
        <v>26</v>
      </c>
      <c r="I793" s="24">
        <v>37257</v>
      </c>
      <c r="J793" s="25" t="s">
        <v>77</v>
      </c>
      <c r="K793" t="s">
        <v>26</v>
      </c>
      <c r="L793" s="25" t="s">
        <v>68</v>
      </c>
      <c r="M793" s="24">
        <v>37257</v>
      </c>
      <c r="N793" s="25" t="s">
        <v>77</v>
      </c>
      <c r="O793" t="s">
        <v>26</v>
      </c>
      <c r="P793" s="24">
        <v>37257</v>
      </c>
      <c r="Q793" s="25" t="s">
        <v>77</v>
      </c>
      <c r="R793" t="s">
        <v>26</v>
      </c>
      <c r="S793" t="s">
        <v>26</v>
      </c>
      <c r="T793" t="s">
        <v>26</v>
      </c>
      <c r="U793" t="s">
        <v>26</v>
      </c>
      <c r="V793" s="25">
        <v>365</v>
      </c>
      <c r="W793" s="24">
        <v>35796</v>
      </c>
      <c r="X793" s="25" t="s">
        <v>77</v>
      </c>
      <c r="Y793" t="s">
        <v>26</v>
      </c>
      <c r="Z793" s="24">
        <v>35796</v>
      </c>
      <c r="AA793" s="25" t="s">
        <v>77</v>
      </c>
      <c r="AB793" t="s">
        <v>26</v>
      </c>
      <c r="AC793" s="24">
        <v>35796</v>
      </c>
      <c r="AD793" s="25" t="s">
        <v>77</v>
      </c>
      <c r="AE793" t="s">
        <v>26</v>
      </c>
      <c r="AF793" t="s">
        <v>26</v>
      </c>
      <c r="AG793" t="s">
        <v>26</v>
      </c>
      <c r="AH793" t="s">
        <v>26</v>
      </c>
      <c r="AI793" t="s">
        <v>26</v>
      </c>
      <c r="AJ793" t="s">
        <v>26</v>
      </c>
      <c r="AK793" t="s">
        <v>26</v>
      </c>
      <c r="AL793" t="s">
        <v>26</v>
      </c>
      <c r="AM793" t="s">
        <v>26</v>
      </c>
      <c r="AN793" t="s">
        <v>26</v>
      </c>
      <c r="AO793" s="25" t="s">
        <v>68</v>
      </c>
      <c r="AP793" s="23" t="s">
        <v>69</v>
      </c>
      <c r="AQ793" s="23" t="s">
        <v>30</v>
      </c>
      <c r="AR793" s="23" t="s">
        <v>128</v>
      </c>
      <c r="AS793" s="25">
        <v>43762</v>
      </c>
      <c r="AT793" t="s">
        <v>26</v>
      </c>
      <c r="AU793" t="s">
        <v>23287</v>
      </c>
    </row>
    <row r="794" spans="1:47" ht="26.25" x14ac:dyDescent="0.4">
      <c r="A794" s="23" t="s">
        <v>2016</v>
      </c>
      <c r="B794" t="s">
        <v>26</v>
      </c>
      <c r="C794" s="23" t="s">
        <v>167</v>
      </c>
      <c r="D794" s="23" t="s">
        <v>22218</v>
      </c>
      <c r="E794" s="23" t="s">
        <v>60</v>
      </c>
      <c r="F794" s="25" t="s">
        <v>2017</v>
      </c>
      <c r="G794" s="25" t="s">
        <v>2018</v>
      </c>
      <c r="H794" t="s">
        <v>26</v>
      </c>
      <c r="I794" s="24">
        <v>37987</v>
      </c>
      <c r="J794" s="25" t="s">
        <v>77</v>
      </c>
      <c r="K794" t="s">
        <v>26</v>
      </c>
      <c r="L794" s="25" t="s">
        <v>68</v>
      </c>
      <c r="M794" s="24">
        <v>37987</v>
      </c>
      <c r="N794" s="25" t="s">
        <v>77</v>
      </c>
      <c r="O794" t="s">
        <v>26</v>
      </c>
      <c r="P794" s="24">
        <v>37987</v>
      </c>
      <c r="Q794" s="25" t="s">
        <v>77</v>
      </c>
      <c r="R794" t="s">
        <v>26</v>
      </c>
      <c r="S794" t="s">
        <v>26</v>
      </c>
      <c r="T794" t="s">
        <v>26</v>
      </c>
      <c r="U794" t="s">
        <v>26</v>
      </c>
      <c r="V794" s="25">
        <v>365</v>
      </c>
      <c r="W794" s="24">
        <v>36951</v>
      </c>
      <c r="X794" s="25" t="s">
        <v>77</v>
      </c>
      <c r="Y794" t="s">
        <v>26</v>
      </c>
      <c r="Z794" s="24">
        <v>36951</v>
      </c>
      <c r="AA794" s="25" t="s">
        <v>77</v>
      </c>
      <c r="AB794" t="s">
        <v>26</v>
      </c>
      <c r="AC794" s="24">
        <v>36951</v>
      </c>
      <c r="AD794" s="25" t="s">
        <v>77</v>
      </c>
      <c r="AE794" t="s">
        <v>26</v>
      </c>
      <c r="AF794" t="s">
        <v>26</v>
      </c>
      <c r="AG794" t="s">
        <v>26</v>
      </c>
      <c r="AH794" t="s">
        <v>26</v>
      </c>
      <c r="AI794" t="s">
        <v>26</v>
      </c>
      <c r="AJ794" t="s">
        <v>26</v>
      </c>
      <c r="AK794" t="s">
        <v>26</v>
      </c>
      <c r="AL794" t="s">
        <v>26</v>
      </c>
      <c r="AM794" t="s">
        <v>26</v>
      </c>
      <c r="AN794" t="s">
        <v>26</v>
      </c>
      <c r="AO794" s="25" t="s">
        <v>68</v>
      </c>
      <c r="AP794" s="23" t="s">
        <v>69</v>
      </c>
      <c r="AQ794" s="23" t="s">
        <v>30</v>
      </c>
      <c r="AR794" s="23" t="s">
        <v>70</v>
      </c>
      <c r="AS794" s="25">
        <v>30453</v>
      </c>
      <c r="AT794" t="s">
        <v>26</v>
      </c>
      <c r="AU794" t="s">
        <v>23288</v>
      </c>
    </row>
    <row r="795" spans="1:47" ht="26.25" x14ac:dyDescent="0.4">
      <c r="A795" s="23" t="s">
        <v>2019</v>
      </c>
      <c r="B795" t="s">
        <v>26</v>
      </c>
      <c r="C795" s="23" t="s">
        <v>51</v>
      </c>
      <c r="D795" t="s">
        <v>26</v>
      </c>
      <c r="E795" s="23" t="s">
        <v>42</v>
      </c>
      <c r="F795" t="s">
        <v>26</v>
      </c>
      <c r="G795" t="s">
        <v>26</v>
      </c>
      <c r="H795" t="s">
        <v>26</v>
      </c>
      <c r="I795" s="24">
        <v>33239</v>
      </c>
      <c r="J795" s="24">
        <v>33239</v>
      </c>
      <c r="K795" t="s">
        <v>26</v>
      </c>
      <c r="L795" s="25" t="s">
        <v>28</v>
      </c>
      <c r="M795" s="24">
        <v>33239</v>
      </c>
      <c r="N795" s="24">
        <v>33239</v>
      </c>
      <c r="O795" t="s">
        <v>26</v>
      </c>
      <c r="P795" t="s">
        <v>26</v>
      </c>
      <c r="Q795" t="s">
        <v>26</v>
      </c>
      <c r="R795" t="s">
        <v>26</v>
      </c>
      <c r="S795" s="24">
        <v>33239</v>
      </c>
      <c r="T795" s="24">
        <v>33239</v>
      </c>
      <c r="U795" t="s">
        <v>26</v>
      </c>
      <c r="V795" t="s">
        <v>26</v>
      </c>
      <c r="W795" s="24">
        <v>33239</v>
      </c>
      <c r="X795" s="24">
        <v>33239</v>
      </c>
      <c r="Y795" t="s">
        <v>26</v>
      </c>
      <c r="Z795" s="24">
        <v>33239</v>
      </c>
      <c r="AA795" s="24">
        <v>33239</v>
      </c>
      <c r="AB795" t="s">
        <v>26</v>
      </c>
      <c r="AC795" s="24">
        <v>33239</v>
      </c>
      <c r="AD795" s="24">
        <v>33239</v>
      </c>
      <c r="AE795" t="s">
        <v>26</v>
      </c>
      <c r="AF795" s="24">
        <v>33239</v>
      </c>
      <c r="AG795" s="24">
        <v>33239</v>
      </c>
      <c r="AH795" t="s">
        <v>26</v>
      </c>
      <c r="AI795" s="24">
        <v>33239</v>
      </c>
      <c r="AJ795" s="24">
        <v>33239</v>
      </c>
      <c r="AK795" t="s">
        <v>26</v>
      </c>
      <c r="AL795" t="s">
        <v>26</v>
      </c>
      <c r="AM795" t="s">
        <v>26</v>
      </c>
      <c r="AN795" t="s">
        <v>26</v>
      </c>
      <c r="AO795" s="25" t="s">
        <v>28</v>
      </c>
      <c r="AP795" s="23" t="s">
        <v>43</v>
      </c>
      <c r="AQ795" s="23" t="s">
        <v>30</v>
      </c>
      <c r="AR795" s="23" t="s">
        <v>44</v>
      </c>
      <c r="AS795" s="25">
        <v>5256672</v>
      </c>
      <c r="AT795" t="s">
        <v>26</v>
      </c>
      <c r="AU795" t="s">
        <v>23289</v>
      </c>
    </row>
    <row r="796" spans="1:47" ht="26.25" x14ac:dyDescent="0.4">
      <c r="A796" s="23" t="s">
        <v>2020</v>
      </c>
      <c r="B796" t="s">
        <v>26</v>
      </c>
      <c r="C796" s="23" t="s">
        <v>107</v>
      </c>
      <c r="D796" s="23" t="s">
        <v>22174</v>
      </c>
      <c r="E796" s="23" t="s">
        <v>42</v>
      </c>
      <c r="F796" s="25" t="s">
        <v>2021</v>
      </c>
      <c r="G796" s="25" t="s">
        <v>2022</v>
      </c>
      <c r="H796" t="s">
        <v>26</v>
      </c>
      <c r="I796" t="s">
        <v>26</v>
      </c>
      <c r="J796" t="s">
        <v>26</v>
      </c>
      <c r="K796" t="s">
        <v>26</v>
      </c>
      <c r="L796" s="25" t="s">
        <v>68</v>
      </c>
      <c r="M796" t="s">
        <v>26</v>
      </c>
      <c r="N796" t="s">
        <v>26</v>
      </c>
      <c r="O796" t="s">
        <v>26</v>
      </c>
      <c r="P796" t="s">
        <v>26</v>
      </c>
      <c r="Q796" t="s">
        <v>26</v>
      </c>
      <c r="R796" t="s">
        <v>26</v>
      </c>
      <c r="S796" t="s">
        <v>26</v>
      </c>
      <c r="T796" t="s">
        <v>26</v>
      </c>
      <c r="U796" t="s">
        <v>26</v>
      </c>
      <c r="V796" t="s">
        <v>26</v>
      </c>
      <c r="W796" s="24">
        <v>43525</v>
      </c>
      <c r="X796" s="25" t="s">
        <v>77</v>
      </c>
      <c r="Y796" t="s">
        <v>26</v>
      </c>
      <c r="Z796" s="24">
        <v>43525</v>
      </c>
      <c r="AA796" s="25" t="s">
        <v>77</v>
      </c>
      <c r="AB796" t="s">
        <v>26</v>
      </c>
      <c r="AC796" s="24">
        <v>43525</v>
      </c>
      <c r="AD796" s="25" t="s">
        <v>77</v>
      </c>
      <c r="AE796" t="s">
        <v>26</v>
      </c>
      <c r="AF796" t="s">
        <v>26</v>
      </c>
      <c r="AG796" t="s">
        <v>26</v>
      </c>
      <c r="AH796" t="s">
        <v>26</v>
      </c>
      <c r="AI796" t="s">
        <v>26</v>
      </c>
      <c r="AJ796" t="s">
        <v>26</v>
      </c>
      <c r="AK796" t="s">
        <v>26</v>
      </c>
      <c r="AL796" t="s">
        <v>26</v>
      </c>
      <c r="AM796" t="s">
        <v>26</v>
      </c>
      <c r="AN796" t="s">
        <v>26</v>
      </c>
      <c r="AO796" s="25" t="s">
        <v>68</v>
      </c>
      <c r="AP796" s="23" t="s">
        <v>69</v>
      </c>
      <c r="AQ796" s="23" t="s">
        <v>30</v>
      </c>
      <c r="AR796" s="23" t="s">
        <v>1464</v>
      </c>
      <c r="AS796" s="25">
        <v>4720766</v>
      </c>
      <c r="AT796" t="s">
        <v>26</v>
      </c>
      <c r="AU796" t="s">
        <v>23290</v>
      </c>
    </row>
    <row r="797" spans="1:47" ht="26.25" x14ac:dyDescent="0.4">
      <c r="A797" s="23" t="s">
        <v>2023</v>
      </c>
      <c r="B797" t="s">
        <v>26</v>
      </c>
      <c r="C797" s="23" t="s">
        <v>332</v>
      </c>
      <c r="D797" s="23" t="s">
        <v>22256</v>
      </c>
      <c r="E797" s="23" t="s">
        <v>42</v>
      </c>
      <c r="F797" t="s">
        <v>26</v>
      </c>
      <c r="G797" t="s">
        <v>26</v>
      </c>
      <c r="H797" t="s">
        <v>26</v>
      </c>
      <c r="I797" s="24">
        <v>32874</v>
      </c>
      <c r="J797" s="24">
        <v>32874</v>
      </c>
      <c r="K797" t="s">
        <v>26</v>
      </c>
      <c r="L797" s="25" t="s">
        <v>28</v>
      </c>
      <c r="M797" s="24">
        <v>32874</v>
      </c>
      <c r="N797" s="24">
        <v>32874</v>
      </c>
      <c r="O797" t="s">
        <v>26</v>
      </c>
      <c r="P797" t="s">
        <v>26</v>
      </c>
      <c r="Q797" t="s">
        <v>26</v>
      </c>
      <c r="R797" t="s">
        <v>26</v>
      </c>
      <c r="S797" s="24">
        <v>32874</v>
      </c>
      <c r="T797" s="24">
        <v>32874</v>
      </c>
      <c r="U797" t="s">
        <v>26</v>
      </c>
      <c r="V797" t="s">
        <v>26</v>
      </c>
      <c r="W797" s="24">
        <v>32874</v>
      </c>
      <c r="X797" s="24">
        <v>32874</v>
      </c>
      <c r="Y797" t="s">
        <v>26</v>
      </c>
      <c r="Z797" s="24">
        <v>32874</v>
      </c>
      <c r="AA797" s="24">
        <v>32874</v>
      </c>
      <c r="AB797" t="s">
        <v>26</v>
      </c>
      <c r="AC797" s="24">
        <v>32874</v>
      </c>
      <c r="AD797" s="24">
        <v>32874</v>
      </c>
      <c r="AE797" t="s">
        <v>26</v>
      </c>
      <c r="AF797" s="24">
        <v>32874</v>
      </c>
      <c r="AG797" s="24">
        <v>32874</v>
      </c>
      <c r="AH797" t="s">
        <v>26</v>
      </c>
      <c r="AI797" s="24">
        <v>32874</v>
      </c>
      <c r="AJ797" s="24">
        <v>32874</v>
      </c>
      <c r="AK797" t="s">
        <v>26</v>
      </c>
      <c r="AL797" t="s">
        <v>26</v>
      </c>
      <c r="AM797" t="s">
        <v>26</v>
      </c>
      <c r="AN797" t="s">
        <v>26</v>
      </c>
      <c r="AO797" s="25" t="s">
        <v>28</v>
      </c>
      <c r="AP797" s="23" t="s">
        <v>43</v>
      </c>
      <c r="AQ797" s="23" t="s">
        <v>30</v>
      </c>
      <c r="AR797" s="23" t="s">
        <v>46</v>
      </c>
      <c r="AS797" s="25">
        <v>6394501</v>
      </c>
      <c r="AT797" t="s">
        <v>26</v>
      </c>
      <c r="AU797" t="s">
        <v>23291</v>
      </c>
    </row>
    <row r="798" spans="1:47" ht="26.25" x14ac:dyDescent="0.4">
      <c r="A798" s="23" t="s">
        <v>2024</v>
      </c>
      <c r="B798" t="s">
        <v>26</v>
      </c>
      <c r="C798" s="23" t="s">
        <v>2025</v>
      </c>
      <c r="D798" s="23" t="s">
        <v>22303</v>
      </c>
      <c r="E798" s="23" t="s">
        <v>335</v>
      </c>
      <c r="F798" s="25" t="s">
        <v>2026</v>
      </c>
      <c r="G798" t="s">
        <v>26</v>
      </c>
      <c r="H798" t="s">
        <v>26</v>
      </c>
      <c r="I798" s="24">
        <v>38353</v>
      </c>
      <c r="J798" s="24">
        <v>40179</v>
      </c>
      <c r="K798" t="s">
        <v>26</v>
      </c>
      <c r="L798" s="25" t="s">
        <v>68</v>
      </c>
      <c r="M798" s="24">
        <v>38353</v>
      </c>
      <c r="N798" s="24">
        <v>40179</v>
      </c>
      <c r="O798" t="s">
        <v>26</v>
      </c>
      <c r="P798" s="24">
        <v>38353</v>
      </c>
      <c r="Q798" s="24">
        <v>40179</v>
      </c>
      <c r="R798" t="s">
        <v>26</v>
      </c>
      <c r="S798" t="s">
        <v>26</v>
      </c>
      <c r="T798" t="s">
        <v>26</v>
      </c>
      <c r="U798" t="s">
        <v>26</v>
      </c>
      <c r="V798" t="s">
        <v>26</v>
      </c>
      <c r="W798" s="24">
        <v>33786</v>
      </c>
      <c r="X798" s="24">
        <v>40179</v>
      </c>
      <c r="Y798" t="s">
        <v>26</v>
      </c>
      <c r="Z798" s="24">
        <v>33786</v>
      </c>
      <c r="AA798" s="24">
        <v>40179</v>
      </c>
      <c r="AB798" t="s">
        <v>26</v>
      </c>
      <c r="AC798" t="s">
        <v>26</v>
      </c>
      <c r="AD798" t="s">
        <v>26</v>
      </c>
      <c r="AE798" t="s">
        <v>26</v>
      </c>
      <c r="AF798" t="s">
        <v>26</v>
      </c>
      <c r="AG798" t="s">
        <v>26</v>
      </c>
      <c r="AH798" t="s">
        <v>26</v>
      </c>
      <c r="AI798" t="s">
        <v>26</v>
      </c>
      <c r="AJ798" t="s">
        <v>26</v>
      </c>
      <c r="AK798" t="s">
        <v>26</v>
      </c>
      <c r="AL798" t="s">
        <v>26</v>
      </c>
      <c r="AM798" t="s">
        <v>26</v>
      </c>
      <c r="AN798" t="s">
        <v>26</v>
      </c>
      <c r="AO798" s="25" t="s">
        <v>68</v>
      </c>
      <c r="AP798" s="23" t="s">
        <v>69</v>
      </c>
      <c r="AQ798" s="23" t="s">
        <v>30</v>
      </c>
      <c r="AR798" s="23" t="s">
        <v>290</v>
      </c>
      <c r="AS798" s="25">
        <v>32979</v>
      </c>
      <c r="AT798" t="s">
        <v>26</v>
      </c>
      <c r="AU798" t="s">
        <v>23292</v>
      </c>
    </row>
    <row r="799" spans="1:47" ht="26.25" x14ac:dyDescent="0.4">
      <c r="A799" s="23" t="s">
        <v>2027</v>
      </c>
      <c r="B799" t="s">
        <v>26</v>
      </c>
      <c r="C799" s="23" t="s">
        <v>2028</v>
      </c>
      <c r="D799" s="23" t="s">
        <v>22309</v>
      </c>
      <c r="E799" s="23" t="s">
        <v>42</v>
      </c>
      <c r="F799" s="25" t="s">
        <v>2029</v>
      </c>
      <c r="G799" t="s">
        <v>26</v>
      </c>
      <c r="H799" t="s">
        <v>26</v>
      </c>
      <c r="I799" s="24">
        <v>38961</v>
      </c>
      <c r="J799" s="24">
        <v>42339</v>
      </c>
      <c r="K799" t="s">
        <v>26</v>
      </c>
      <c r="L799" s="25" t="s">
        <v>28</v>
      </c>
      <c r="M799" s="24">
        <v>38961</v>
      </c>
      <c r="N799" s="24">
        <v>42339</v>
      </c>
      <c r="O799" t="s">
        <v>26</v>
      </c>
      <c r="P799" s="24">
        <v>38961</v>
      </c>
      <c r="Q799" s="24">
        <v>42339</v>
      </c>
      <c r="R799" t="s">
        <v>26</v>
      </c>
      <c r="S799" t="s">
        <v>26</v>
      </c>
      <c r="T799" t="s">
        <v>26</v>
      </c>
      <c r="U799" t="s">
        <v>26</v>
      </c>
      <c r="V799" t="s">
        <v>26</v>
      </c>
      <c r="W799" s="24">
        <v>38961</v>
      </c>
      <c r="X799" s="24">
        <v>42339</v>
      </c>
      <c r="Y799" t="s">
        <v>26</v>
      </c>
      <c r="Z799" s="24">
        <v>38961</v>
      </c>
      <c r="AA799" s="24">
        <v>42339</v>
      </c>
      <c r="AB799" t="s">
        <v>26</v>
      </c>
      <c r="AC799" t="s">
        <v>26</v>
      </c>
      <c r="AD799" t="s">
        <v>26</v>
      </c>
      <c r="AE799" t="s">
        <v>26</v>
      </c>
      <c r="AF799" t="s">
        <v>26</v>
      </c>
      <c r="AG799" t="s">
        <v>26</v>
      </c>
      <c r="AH799" t="s">
        <v>26</v>
      </c>
      <c r="AI799" t="s">
        <v>26</v>
      </c>
      <c r="AJ799" t="s">
        <v>26</v>
      </c>
      <c r="AK799" t="s">
        <v>26</v>
      </c>
      <c r="AL799" t="s">
        <v>26</v>
      </c>
      <c r="AM799" t="s">
        <v>26</v>
      </c>
      <c r="AN799" t="s">
        <v>26</v>
      </c>
      <c r="AO799" s="25" t="s">
        <v>28</v>
      </c>
      <c r="AP799" s="23" t="s">
        <v>211</v>
      </c>
      <c r="AQ799" s="23" t="s">
        <v>30</v>
      </c>
      <c r="AR799" s="23" t="s">
        <v>2030</v>
      </c>
      <c r="AS799" s="25">
        <v>27571</v>
      </c>
      <c r="AT799" t="s">
        <v>26</v>
      </c>
      <c r="AU799" t="s">
        <v>23293</v>
      </c>
    </row>
    <row r="800" spans="1:47" ht="26.25" x14ac:dyDescent="0.4">
      <c r="A800" s="23" t="s">
        <v>2031</v>
      </c>
      <c r="B800" t="s">
        <v>26</v>
      </c>
      <c r="C800" s="23" t="s">
        <v>2032</v>
      </c>
      <c r="D800" s="23" t="s">
        <v>22174</v>
      </c>
      <c r="E800" s="23" t="s">
        <v>60</v>
      </c>
      <c r="F800" s="25" t="s">
        <v>2033</v>
      </c>
      <c r="G800" s="25" t="s">
        <v>2034</v>
      </c>
      <c r="H800" t="s">
        <v>26</v>
      </c>
      <c r="I800" s="24">
        <v>37012</v>
      </c>
      <c r="J800" s="24">
        <v>40878</v>
      </c>
      <c r="K800" t="s">
        <v>26</v>
      </c>
      <c r="L800" s="25" t="s">
        <v>68</v>
      </c>
      <c r="M800" s="24">
        <v>37012</v>
      </c>
      <c r="N800" s="24">
        <v>40878</v>
      </c>
      <c r="O800" t="s">
        <v>26</v>
      </c>
      <c r="P800" s="24">
        <v>37012</v>
      </c>
      <c r="Q800" s="24">
        <v>40878</v>
      </c>
      <c r="R800" t="s">
        <v>26</v>
      </c>
      <c r="S800" t="s">
        <v>26</v>
      </c>
      <c r="T800" t="s">
        <v>26</v>
      </c>
      <c r="U800" t="s">
        <v>26</v>
      </c>
      <c r="V800" t="s">
        <v>26</v>
      </c>
      <c r="W800" s="24">
        <v>36892</v>
      </c>
      <c r="X800" s="24">
        <v>40878</v>
      </c>
      <c r="Y800" t="s">
        <v>26</v>
      </c>
      <c r="Z800" s="24">
        <v>36892</v>
      </c>
      <c r="AA800" s="24">
        <v>40878</v>
      </c>
      <c r="AB800" t="s">
        <v>26</v>
      </c>
      <c r="AC800" s="24">
        <v>36892</v>
      </c>
      <c r="AD800" s="24">
        <v>40878</v>
      </c>
      <c r="AE800" t="s">
        <v>26</v>
      </c>
      <c r="AF800" t="s">
        <v>26</v>
      </c>
      <c r="AG800" t="s">
        <v>26</v>
      </c>
      <c r="AH800" t="s">
        <v>26</v>
      </c>
      <c r="AI800" t="s">
        <v>26</v>
      </c>
      <c r="AJ800" t="s">
        <v>26</v>
      </c>
      <c r="AK800" t="s">
        <v>26</v>
      </c>
      <c r="AL800" t="s">
        <v>26</v>
      </c>
      <c r="AM800" t="s">
        <v>26</v>
      </c>
      <c r="AN800" t="s">
        <v>26</v>
      </c>
      <c r="AO800" s="25" t="s">
        <v>68</v>
      </c>
      <c r="AP800" s="23" t="s">
        <v>69</v>
      </c>
      <c r="AQ800" s="23" t="s">
        <v>30</v>
      </c>
      <c r="AR800" s="23" t="s">
        <v>2035</v>
      </c>
      <c r="AS800" s="25">
        <v>34809</v>
      </c>
      <c r="AT800" t="s">
        <v>26</v>
      </c>
      <c r="AU800" t="s">
        <v>23294</v>
      </c>
    </row>
    <row r="801" spans="1:47" ht="26.25" x14ac:dyDescent="0.4">
      <c r="A801" s="23" t="s">
        <v>2036</v>
      </c>
      <c r="B801" t="s">
        <v>26</v>
      </c>
      <c r="C801" s="23" t="s">
        <v>660</v>
      </c>
      <c r="D801" s="23" t="s">
        <v>22267</v>
      </c>
      <c r="E801" s="23" t="s">
        <v>60</v>
      </c>
      <c r="F801" s="25" t="s">
        <v>2037</v>
      </c>
      <c r="G801" s="25" t="s">
        <v>2038</v>
      </c>
      <c r="H801" t="s">
        <v>26</v>
      </c>
      <c r="I801" t="s">
        <v>26</v>
      </c>
      <c r="J801" t="s">
        <v>26</v>
      </c>
      <c r="K801" t="s">
        <v>26</v>
      </c>
      <c r="L801" s="25" t="s">
        <v>68</v>
      </c>
      <c r="M801" t="s">
        <v>26</v>
      </c>
      <c r="N801" t="s">
        <v>26</v>
      </c>
      <c r="O801" t="s">
        <v>26</v>
      </c>
      <c r="P801" t="s">
        <v>26</v>
      </c>
      <c r="Q801" t="s">
        <v>26</v>
      </c>
      <c r="R801" t="s">
        <v>26</v>
      </c>
      <c r="S801" t="s">
        <v>26</v>
      </c>
      <c r="T801" t="s">
        <v>26</v>
      </c>
      <c r="U801" t="s">
        <v>26</v>
      </c>
      <c r="V801" t="s">
        <v>26</v>
      </c>
      <c r="W801" s="24">
        <v>37987</v>
      </c>
      <c r="X801" s="25" t="s">
        <v>77</v>
      </c>
      <c r="Y801" t="s">
        <v>26</v>
      </c>
      <c r="Z801" s="24">
        <v>37987</v>
      </c>
      <c r="AA801" s="25" t="s">
        <v>77</v>
      </c>
      <c r="AB801" t="s">
        <v>26</v>
      </c>
      <c r="AC801" s="24">
        <v>37987</v>
      </c>
      <c r="AD801" s="25" t="s">
        <v>77</v>
      </c>
      <c r="AE801" t="s">
        <v>26</v>
      </c>
      <c r="AF801" t="s">
        <v>26</v>
      </c>
      <c r="AG801" t="s">
        <v>26</v>
      </c>
      <c r="AH801" t="s">
        <v>26</v>
      </c>
      <c r="AI801" t="s">
        <v>26</v>
      </c>
      <c r="AJ801" t="s">
        <v>26</v>
      </c>
      <c r="AK801" t="s">
        <v>26</v>
      </c>
      <c r="AL801" t="s">
        <v>26</v>
      </c>
      <c r="AM801" t="s">
        <v>26</v>
      </c>
      <c r="AN801" t="s">
        <v>26</v>
      </c>
      <c r="AO801" s="25" t="s">
        <v>68</v>
      </c>
      <c r="AP801" s="23" t="s">
        <v>69</v>
      </c>
      <c r="AQ801" s="23" t="s">
        <v>30</v>
      </c>
      <c r="AR801" s="23" t="s">
        <v>46</v>
      </c>
      <c r="AS801" s="25">
        <v>36967</v>
      </c>
      <c r="AT801" t="s">
        <v>26</v>
      </c>
      <c r="AU801" t="s">
        <v>23295</v>
      </c>
    </row>
    <row r="802" spans="1:47" ht="26.25" x14ac:dyDescent="0.4">
      <c r="A802" s="23" t="s">
        <v>2039</v>
      </c>
      <c r="B802" t="s">
        <v>26</v>
      </c>
      <c r="C802" s="23" t="s">
        <v>803</v>
      </c>
      <c r="D802" s="23" t="s">
        <v>22499</v>
      </c>
      <c r="E802" s="23" t="s">
        <v>711</v>
      </c>
      <c r="F802" s="25" t="s">
        <v>2040</v>
      </c>
      <c r="G802" s="25" t="s">
        <v>2041</v>
      </c>
      <c r="H802" t="s">
        <v>26</v>
      </c>
      <c r="I802" s="24">
        <v>35796</v>
      </c>
      <c r="J802" s="24">
        <v>42309</v>
      </c>
      <c r="K802" t="s">
        <v>26</v>
      </c>
      <c r="L802" s="25" t="s">
        <v>68</v>
      </c>
      <c r="M802" t="s">
        <v>26</v>
      </c>
      <c r="N802" t="s">
        <v>26</v>
      </c>
      <c r="O802" t="s">
        <v>26</v>
      </c>
      <c r="P802" s="24">
        <v>35796</v>
      </c>
      <c r="Q802" s="24">
        <v>42309</v>
      </c>
      <c r="R802" t="s">
        <v>26</v>
      </c>
      <c r="S802" t="s">
        <v>26</v>
      </c>
      <c r="T802" t="s">
        <v>26</v>
      </c>
      <c r="U802" t="s">
        <v>26</v>
      </c>
      <c r="V802" t="s">
        <v>26</v>
      </c>
      <c r="W802" s="24">
        <v>35796</v>
      </c>
      <c r="X802" s="24">
        <v>42522</v>
      </c>
      <c r="Y802" t="s">
        <v>26</v>
      </c>
      <c r="Z802" s="24">
        <v>35796</v>
      </c>
      <c r="AA802" s="24">
        <v>42522</v>
      </c>
      <c r="AB802" t="s">
        <v>26</v>
      </c>
      <c r="AC802" s="24">
        <v>35796</v>
      </c>
      <c r="AD802" s="24">
        <v>42522</v>
      </c>
      <c r="AE802" t="s">
        <v>26</v>
      </c>
      <c r="AF802" t="s">
        <v>26</v>
      </c>
      <c r="AG802" t="s">
        <v>26</v>
      </c>
      <c r="AH802" t="s">
        <v>26</v>
      </c>
      <c r="AI802" t="s">
        <v>26</v>
      </c>
      <c r="AJ802" t="s">
        <v>26</v>
      </c>
      <c r="AK802" t="s">
        <v>26</v>
      </c>
      <c r="AL802" t="s">
        <v>26</v>
      </c>
      <c r="AM802" t="s">
        <v>26</v>
      </c>
      <c r="AN802" t="s">
        <v>26</v>
      </c>
      <c r="AO802" s="25" t="s">
        <v>68</v>
      </c>
      <c r="AP802" s="23" t="s">
        <v>69</v>
      </c>
      <c r="AQ802" s="23" t="s">
        <v>30</v>
      </c>
      <c r="AR802" s="23" t="s">
        <v>70</v>
      </c>
      <c r="AS802" s="25">
        <v>34046</v>
      </c>
      <c r="AT802" t="s">
        <v>26</v>
      </c>
      <c r="AU802" t="s">
        <v>23296</v>
      </c>
    </row>
    <row r="803" spans="1:47" ht="26.25" x14ac:dyDescent="0.4">
      <c r="A803" s="23" t="s">
        <v>2042</v>
      </c>
      <c r="B803" t="s">
        <v>26</v>
      </c>
      <c r="C803" s="23" t="s">
        <v>465</v>
      </c>
      <c r="D803" s="23" t="s">
        <v>22254</v>
      </c>
      <c r="E803" s="23" t="s">
        <v>42</v>
      </c>
      <c r="F803" s="25" t="s">
        <v>2043</v>
      </c>
      <c r="G803" s="25" t="s">
        <v>2044</v>
      </c>
      <c r="H803" t="s">
        <v>26</v>
      </c>
      <c r="I803" t="s">
        <v>26</v>
      </c>
      <c r="J803" t="s">
        <v>26</v>
      </c>
      <c r="K803" t="s">
        <v>26</v>
      </c>
      <c r="L803" s="25" t="s">
        <v>68</v>
      </c>
      <c r="M803" t="s">
        <v>26</v>
      </c>
      <c r="N803" t="s">
        <v>26</v>
      </c>
      <c r="O803" t="s">
        <v>26</v>
      </c>
      <c r="P803" t="s">
        <v>26</v>
      </c>
      <c r="Q803" t="s">
        <v>26</v>
      </c>
      <c r="R803" t="s">
        <v>26</v>
      </c>
      <c r="S803" t="s">
        <v>26</v>
      </c>
      <c r="T803" t="s">
        <v>26</v>
      </c>
      <c r="U803" t="s">
        <v>26</v>
      </c>
      <c r="V803" t="s">
        <v>26</v>
      </c>
      <c r="W803" s="24">
        <v>32509</v>
      </c>
      <c r="X803" s="25" t="s">
        <v>77</v>
      </c>
      <c r="Y803" t="s">
        <v>26</v>
      </c>
      <c r="Z803" s="24">
        <v>32509</v>
      </c>
      <c r="AA803" s="25" t="s">
        <v>77</v>
      </c>
      <c r="AB803" t="s">
        <v>26</v>
      </c>
      <c r="AC803" s="24">
        <v>32509</v>
      </c>
      <c r="AD803" s="25" t="s">
        <v>77</v>
      </c>
      <c r="AE803" t="s">
        <v>26</v>
      </c>
      <c r="AF803" t="s">
        <v>26</v>
      </c>
      <c r="AG803" t="s">
        <v>26</v>
      </c>
      <c r="AH803" t="s">
        <v>26</v>
      </c>
      <c r="AI803" t="s">
        <v>26</v>
      </c>
      <c r="AJ803" t="s">
        <v>26</v>
      </c>
      <c r="AK803" t="s">
        <v>26</v>
      </c>
      <c r="AL803" t="s">
        <v>26</v>
      </c>
      <c r="AM803" t="s">
        <v>26</v>
      </c>
      <c r="AN803" t="s">
        <v>26</v>
      </c>
      <c r="AO803" s="25" t="s">
        <v>68</v>
      </c>
      <c r="AP803" s="23" t="s">
        <v>69</v>
      </c>
      <c r="AQ803" s="23" t="s">
        <v>30</v>
      </c>
      <c r="AR803" s="23" t="s">
        <v>46</v>
      </c>
      <c r="AS803" s="25">
        <v>35458</v>
      </c>
      <c r="AT803" t="s">
        <v>26</v>
      </c>
      <c r="AU803" t="s">
        <v>23297</v>
      </c>
    </row>
    <row r="804" spans="1:47" ht="26.25" x14ac:dyDescent="0.4">
      <c r="A804" s="23" t="s">
        <v>2045</v>
      </c>
      <c r="B804" t="s">
        <v>26</v>
      </c>
      <c r="C804" s="23" t="s">
        <v>172</v>
      </c>
      <c r="D804" s="23" t="s">
        <v>22242</v>
      </c>
      <c r="E804" s="23" t="s">
        <v>60</v>
      </c>
      <c r="F804" s="25" t="s">
        <v>2046</v>
      </c>
      <c r="G804" t="s">
        <v>26</v>
      </c>
      <c r="H804" t="s">
        <v>26</v>
      </c>
      <c r="I804" t="s">
        <v>26</v>
      </c>
      <c r="J804" t="s">
        <v>26</v>
      </c>
      <c r="K804" t="s">
        <v>26</v>
      </c>
      <c r="L804" s="25" t="s">
        <v>68</v>
      </c>
      <c r="M804" t="s">
        <v>26</v>
      </c>
      <c r="N804" t="s">
        <v>26</v>
      </c>
      <c r="O804" t="s">
        <v>26</v>
      </c>
      <c r="P804" t="s">
        <v>26</v>
      </c>
      <c r="Q804" t="s">
        <v>26</v>
      </c>
      <c r="R804" t="s">
        <v>26</v>
      </c>
      <c r="S804" t="s">
        <v>26</v>
      </c>
      <c r="T804" t="s">
        <v>26</v>
      </c>
      <c r="U804" t="s">
        <v>26</v>
      </c>
      <c r="V804" t="s">
        <v>26</v>
      </c>
      <c r="W804" s="24">
        <v>38292</v>
      </c>
      <c r="X804" s="24">
        <v>40848</v>
      </c>
      <c r="Y804" t="s">
        <v>26</v>
      </c>
      <c r="Z804" s="24">
        <v>38292</v>
      </c>
      <c r="AA804" s="24">
        <v>40848</v>
      </c>
      <c r="AB804" t="s">
        <v>26</v>
      </c>
      <c r="AC804" s="24">
        <v>38292</v>
      </c>
      <c r="AD804" s="24">
        <v>40848</v>
      </c>
      <c r="AE804" t="s">
        <v>26</v>
      </c>
      <c r="AF804" t="s">
        <v>26</v>
      </c>
      <c r="AG804" t="s">
        <v>26</v>
      </c>
      <c r="AH804" t="s">
        <v>26</v>
      </c>
      <c r="AI804" t="s">
        <v>26</v>
      </c>
      <c r="AJ804" t="s">
        <v>26</v>
      </c>
      <c r="AK804" t="s">
        <v>26</v>
      </c>
      <c r="AL804" t="s">
        <v>26</v>
      </c>
      <c r="AM804" t="s">
        <v>26</v>
      </c>
      <c r="AN804" t="s">
        <v>26</v>
      </c>
      <c r="AO804" s="25" t="s">
        <v>28</v>
      </c>
      <c r="AP804" s="23" t="s">
        <v>69</v>
      </c>
      <c r="AQ804" s="23" t="s">
        <v>30</v>
      </c>
      <c r="AR804" s="23" t="s">
        <v>46</v>
      </c>
      <c r="AS804" s="25">
        <v>33162</v>
      </c>
      <c r="AT804" t="s">
        <v>26</v>
      </c>
      <c r="AU804" t="s">
        <v>23298</v>
      </c>
    </row>
    <row r="805" spans="1:47" ht="26.25" x14ac:dyDescent="0.4">
      <c r="A805" s="23" t="s">
        <v>2047</v>
      </c>
      <c r="B805" t="s">
        <v>26</v>
      </c>
      <c r="C805" s="23" t="s">
        <v>320</v>
      </c>
      <c r="D805" s="23" t="s">
        <v>22242</v>
      </c>
      <c r="E805" s="23" t="s">
        <v>42</v>
      </c>
      <c r="F805" t="s">
        <v>26</v>
      </c>
      <c r="G805" s="25" t="s">
        <v>2048</v>
      </c>
      <c r="H805" t="s">
        <v>26</v>
      </c>
      <c r="I805" t="s">
        <v>26</v>
      </c>
      <c r="J805" t="s">
        <v>26</v>
      </c>
      <c r="K805" t="s">
        <v>26</v>
      </c>
      <c r="L805" s="25" t="s">
        <v>68</v>
      </c>
      <c r="M805" t="s">
        <v>26</v>
      </c>
      <c r="N805" t="s">
        <v>26</v>
      </c>
      <c r="O805" t="s">
        <v>26</v>
      </c>
      <c r="P805" t="s">
        <v>26</v>
      </c>
      <c r="Q805" t="s">
        <v>26</v>
      </c>
      <c r="R805" t="s">
        <v>26</v>
      </c>
      <c r="S805" t="s">
        <v>26</v>
      </c>
      <c r="T805" t="s">
        <v>26</v>
      </c>
      <c r="U805" t="s">
        <v>26</v>
      </c>
      <c r="V805" t="s">
        <v>26</v>
      </c>
      <c r="W805" s="24">
        <v>40909</v>
      </c>
      <c r="X805" s="25" t="s">
        <v>77</v>
      </c>
      <c r="Y805" t="s">
        <v>26</v>
      </c>
      <c r="Z805" s="24">
        <v>40909</v>
      </c>
      <c r="AA805" s="25" t="s">
        <v>77</v>
      </c>
      <c r="AB805" t="s">
        <v>26</v>
      </c>
      <c r="AC805" s="24">
        <v>40909</v>
      </c>
      <c r="AD805" s="25" t="s">
        <v>77</v>
      </c>
      <c r="AE805" t="s">
        <v>26</v>
      </c>
      <c r="AF805" t="s">
        <v>26</v>
      </c>
      <c r="AG805" t="s">
        <v>26</v>
      </c>
      <c r="AH805" t="s">
        <v>26</v>
      </c>
      <c r="AI805" t="s">
        <v>26</v>
      </c>
      <c r="AJ805" t="s">
        <v>26</v>
      </c>
      <c r="AK805" t="s">
        <v>26</v>
      </c>
      <c r="AL805" t="s">
        <v>26</v>
      </c>
      <c r="AM805" t="s">
        <v>26</v>
      </c>
      <c r="AN805" t="s">
        <v>26</v>
      </c>
      <c r="AO805" s="25" t="s">
        <v>28</v>
      </c>
      <c r="AP805" s="23" t="s">
        <v>69</v>
      </c>
      <c r="AQ805" s="23" t="s">
        <v>30</v>
      </c>
      <c r="AR805" s="23" t="s">
        <v>46</v>
      </c>
      <c r="AS805" s="25">
        <v>2030115</v>
      </c>
      <c r="AT805" t="s">
        <v>26</v>
      </c>
      <c r="AU805" t="s">
        <v>23299</v>
      </c>
    </row>
    <row r="806" spans="1:47" ht="26.25" x14ac:dyDescent="0.4">
      <c r="A806" s="23" t="s">
        <v>2049</v>
      </c>
      <c r="B806" t="s">
        <v>26</v>
      </c>
      <c r="C806" s="23" t="s">
        <v>80</v>
      </c>
      <c r="D806" s="23" t="s">
        <v>22184</v>
      </c>
      <c r="E806" s="23" t="s">
        <v>60</v>
      </c>
      <c r="F806" s="25" t="s">
        <v>2050</v>
      </c>
      <c r="G806" s="25" t="s">
        <v>2051</v>
      </c>
      <c r="H806" t="s">
        <v>26</v>
      </c>
      <c r="I806" t="s">
        <v>26</v>
      </c>
      <c r="J806" t="s">
        <v>26</v>
      </c>
      <c r="K806" t="s">
        <v>26</v>
      </c>
      <c r="L806" s="25" t="s">
        <v>68</v>
      </c>
      <c r="M806" t="s">
        <v>26</v>
      </c>
      <c r="N806" t="s">
        <v>26</v>
      </c>
      <c r="O806" t="s">
        <v>26</v>
      </c>
      <c r="P806" t="s">
        <v>26</v>
      </c>
      <c r="Q806" t="s">
        <v>26</v>
      </c>
      <c r="R806" t="s">
        <v>26</v>
      </c>
      <c r="S806" t="s">
        <v>26</v>
      </c>
      <c r="T806" t="s">
        <v>26</v>
      </c>
      <c r="U806" t="s">
        <v>26</v>
      </c>
      <c r="V806" t="s">
        <v>26</v>
      </c>
      <c r="W806" s="24">
        <v>40179</v>
      </c>
      <c r="X806" s="25" t="s">
        <v>77</v>
      </c>
      <c r="Y806" t="s">
        <v>26</v>
      </c>
      <c r="Z806" s="24">
        <v>40179</v>
      </c>
      <c r="AA806" s="25" t="s">
        <v>77</v>
      </c>
      <c r="AB806" t="s">
        <v>26</v>
      </c>
      <c r="AC806" s="24">
        <v>40179</v>
      </c>
      <c r="AD806" s="25" t="s">
        <v>77</v>
      </c>
      <c r="AE806" t="s">
        <v>26</v>
      </c>
      <c r="AF806" t="s">
        <v>26</v>
      </c>
      <c r="AG806" t="s">
        <v>26</v>
      </c>
      <c r="AH806" t="s">
        <v>26</v>
      </c>
      <c r="AI806" t="s">
        <v>26</v>
      </c>
      <c r="AJ806" t="s">
        <v>26</v>
      </c>
      <c r="AK806" t="s">
        <v>26</v>
      </c>
      <c r="AL806" t="s">
        <v>26</v>
      </c>
      <c r="AM806" t="s">
        <v>26</v>
      </c>
      <c r="AN806" t="s">
        <v>26</v>
      </c>
      <c r="AO806" s="25" t="s">
        <v>68</v>
      </c>
      <c r="AP806" s="23" t="s">
        <v>69</v>
      </c>
      <c r="AQ806" s="23" t="s">
        <v>30</v>
      </c>
      <c r="AR806" s="23" t="s">
        <v>2052</v>
      </c>
      <c r="AS806" s="25">
        <v>53036</v>
      </c>
      <c r="AT806" t="s">
        <v>26</v>
      </c>
      <c r="AU806" t="s">
        <v>23300</v>
      </c>
    </row>
    <row r="807" spans="1:47" ht="26.25" x14ac:dyDescent="0.4">
      <c r="A807" s="23" t="s">
        <v>23301</v>
      </c>
      <c r="B807" t="s">
        <v>26</v>
      </c>
      <c r="C807" s="23" t="s">
        <v>51</v>
      </c>
      <c r="D807" t="s">
        <v>26</v>
      </c>
      <c r="E807" s="23" t="s">
        <v>42</v>
      </c>
      <c r="F807" t="s">
        <v>26</v>
      </c>
      <c r="G807" t="s">
        <v>26</v>
      </c>
      <c r="H807" t="s">
        <v>26</v>
      </c>
      <c r="I807" s="24">
        <v>42005</v>
      </c>
      <c r="J807" s="24">
        <v>42370</v>
      </c>
      <c r="K807" t="s">
        <v>26</v>
      </c>
      <c r="L807" s="25" t="s">
        <v>28</v>
      </c>
      <c r="M807" s="24">
        <v>42005</v>
      </c>
      <c r="N807" s="24">
        <v>42370</v>
      </c>
      <c r="O807" t="s">
        <v>26</v>
      </c>
      <c r="P807" t="s">
        <v>26</v>
      </c>
      <c r="Q807" t="s">
        <v>26</v>
      </c>
      <c r="R807" t="s">
        <v>26</v>
      </c>
      <c r="S807" s="24">
        <v>42005</v>
      </c>
      <c r="T807" s="24">
        <v>42370</v>
      </c>
      <c r="U807" t="s">
        <v>26</v>
      </c>
      <c r="V807" t="s">
        <v>26</v>
      </c>
      <c r="W807" s="24">
        <v>42005</v>
      </c>
      <c r="X807" s="24">
        <v>42370</v>
      </c>
      <c r="Y807" t="s">
        <v>26</v>
      </c>
      <c r="Z807" s="24">
        <v>42005</v>
      </c>
      <c r="AA807" s="24">
        <v>42370</v>
      </c>
      <c r="AB807" t="s">
        <v>26</v>
      </c>
      <c r="AC807" s="24">
        <v>42005</v>
      </c>
      <c r="AD807" s="24">
        <v>42370</v>
      </c>
      <c r="AE807" t="s">
        <v>26</v>
      </c>
      <c r="AF807" s="24">
        <v>42005</v>
      </c>
      <c r="AG807" s="24">
        <v>42370</v>
      </c>
      <c r="AH807" t="s">
        <v>26</v>
      </c>
      <c r="AI807" s="24">
        <v>42005</v>
      </c>
      <c r="AJ807" s="24">
        <v>42370</v>
      </c>
      <c r="AK807" t="s">
        <v>26</v>
      </c>
      <c r="AL807" t="s">
        <v>26</v>
      </c>
      <c r="AM807" t="s">
        <v>26</v>
      </c>
      <c r="AN807" t="s">
        <v>26</v>
      </c>
      <c r="AO807" s="25" t="s">
        <v>28</v>
      </c>
      <c r="AP807" s="23" t="s">
        <v>43</v>
      </c>
      <c r="AQ807" s="23" t="s">
        <v>30</v>
      </c>
      <c r="AR807" s="23" t="s">
        <v>44</v>
      </c>
      <c r="AS807" s="25">
        <v>5256671</v>
      </c>
      <c r="AT807" t="s">
        <v>26</v>
      </c>
      <c r="AU807" t="s">
        <v>23302</v>
      </c>
    </row>
    <row r="808" spans="1:47" ht="26.25" x14ac:dyDescent="0.4">
      <c r="A808" s="23" t="s">
        <v>2053</v>
      </c>
      <c r="B808" t="s">
        <v>26</v>
      </c>
      <c r="C808" t="s">
        <v>26</v>
      </c>
      <c r="D808" s="23" t="s">
        <v>23303</v>
      </c>
      <c r="E808" t="s">
        <v>26</v>
      </c>
      <c r="F808" t="s">
        <v>26</v>
      </c>
      <c r="G808" t="s">
        <v>26</v>
      </c>
      <c r="H808" t="s">
        <v>26</v>
      </c>
      <c r="I808" s="24">
        <v>41275</v>
      </c>
      <c r="J808" s="24">
        <v>42736</v>
      </c>
      <c r="K808" t="s">
        <v>26</v>
      </c>
      <c r="L808" s="25" t="s">
        <v>28</v>
      </c>
      <c r="M808" s="24">
        <v>41275</v>
      </c>
      <c r="N808" s="24">
        <v>42736</v>
      </c>
      <c r="O808" t="s">
        <v>26</v>
      </c>
      <c r="P808" t="s">
        <v>26</v>
      </c>
      <c r="Q808" t="s">
        <v>26</v>
      </c>
      <c r="R808" t="s">
        <v>26</v>
      </c>
      <c r="S808" s="24">
        <v>41275</v>
      </c>
      <c r="T808" s="24">
        <v>42736</v>
      </c>
      <c r="U808" t="s">
        <v>26</v>
      </c>
      <c r="V808" t="s">
        <v>26</v>
      </c>
      <c r="W808" s="24">
        <v>41275</v>
      </c>
      <c r="X808" s="24">
        <v>42736</v>
      </c>
      <c r="Y808" t="s">
        <v>26</v>
      </c>
      <c r="Z808" s="24">
        <v>41275</v>
      </c>
      <c r="AA808" s="24">
        <v>42736</v>
      </c>
      <c r="AB808" t="s">
        <v>26</v>
      </c>
      <c r="AC808" s="24">
        <v>41275</v>
      </c>
      <c r="AD808" s="24">
        <v>42736</v>
      </c>
      <c r="AE808" t="s">
        <v>26</v>
      </c>
      <c r="AF808" s="24">
        <v>41275</v>
      </c>
      <c r="AG808" s="24">
        <v>42736</v>
      </c>
      <c r="AH808" t="s">
        <v>26</v>
      </c>
      <c r="AI808" s="24">
        <v>41275</v>
      </c>
      <c r="AJ808" s="24">
        <v>42736</v>
      </c>
      <c r="AK808" t="s">
        <v>26</v>
      </c>
      <c r="AL808" t="s">
        <v>26</v>
      </c>
      <c r="AM808" t="s">
        <v>26</v>
      </c>
      <c r="AN808" t="s">
        <v>26</v>
      </c>
      <c r="AO808" s="25" t="s">
        <v>28</v>
      </c>
      <c r="AP808" s="23" t="s">
        <v>43</v>
      </c>
      <c r="AQ808" s="23" t="s">
        <v>30</v>
      </c>
      <c r="AR808" s="23" t="s">
        <v>46</v>
      </c>
      <c r="AS808" s="25">
        <v>6362750</v>
      </c>
      <c r="AT808" t="s">
        <v>26</v>
      </c>
      <c r="AU808" t="s">
        <v>23304</v>
      </c>
    </row>
    <row r="809" spans="1:47" ht="39.4" x14ac:dyDescent="0.4">
      <c r="A809" s="23" t="s">
        <v>2054</v>
      </c>
      <c r="B809" t="s">
        <v>26</v>
      </c>
      <c r="C809" s="23" t="s">
        <v>146</v>
      </c>
      <c r="D809" s="23" t="s">
        <v>22174</v>
      </c>
      <c r="E809" s="23" t="s">
        <v>60</v>
      </c>
      <c r="F809" t="s">
        <v>26</v>
      </c>
      <c r="G809" t="s">
        <v>26</v>
      </c>
      <c r="H809" t="s">
        <v>26</v>
      </c>
      <c r="I809" t="s">
        <v>26</v>
      </c>
      <c r="J809" t="s">
        <v>26</v>
      </c>
      <c r="K809" t="s">
        <v>26</v>
      </c>
      <c r="L809" s="25" t="s">
        <v>28</v>
      </c>
      <c r="M809" t="s">
        <v>26</v>
      </c>
      <c r="N809" t="s">
        <v>26</v>
      </c>
      <c r="O809" t="s">
        <v>26</v>
      </c>
      <c r="P809" t="s">
        <v>26</v>
      </c>
      <c r="Q809" t="s">
        <v>26</v>
      </c>
      <c r="R809" t="s">
        <v>26</v>
      </c>
      <c r="S809" t="s">
        <v>26</v>
      </c>
      <c r="T809" t="s">
        <v>26</v>
      </c>
      <c r="U809" t="s">
        <v>26</v>
      </c>
      <c r="V809" t="s">
        <v>26</v>
      </c>
      <c r="W809" s="24">
        <v>42005</v>
      </c>
      <c r="X809" s="24">
        <v>42005</v>
      </c>
      <c r="Y809" t="s">
        <v>26</v>
      </c>
      <c r="Z809" s="24">
        <v>42005</v>
      </c>
      <c r="AA809" s="24">
        <v>42005</v>
      </c>
      <c r="AB809" t="s">
        <v>26</v>
      </c>
      <c r="AC809" t="s">
        <v>26</v>
      </c>
      <c r="AD809" t="s">
        <v>26</v>
      </c>
      <c r="AE809" t="s">
        <v>26</v>
      </c>
      <c r="AF809" t="s">
        <v>26</v>
      </c>
      <c r="AG809" t="s">
        <v>26</v>
      </c>
      <c r="AH809" t="s">
        <v>26</v>
      </c>
      <c r="AI809" t="s">
        <v>26</v>
      </c>
      <c r="AJ809" t="s">
        <v>26</v>
      </c>
      <c r="AK809" t="s">
        <v>26</v>
      </c>
      <c r="AL809" t="s">
        <v>26</v>
      </c>
      <c r="AM809" t="s">
        <v>26</v>
      </c>
      <c r="AN809" t="s">
        <v>26</v>
      </c>
      <c r="AO809" s="25" t="s">
        <v>28</v>
      </c>
      <c r="AP809" s="23" t="s">
        <v>29</v>
      </c>
      <c r="AQ809" s="23" t="s">
        <v>30</v>
      </c>
      <c r="AR809" s="23" t="s">
        <v>147</v>
      </c>
      <c r="AS809" s="25">
        <v>5483608</v>
      </c>
      <c r="AT809" s="23" t="s">
        <v>22181</v>
      </c>
      <c r="AU809" t="s">
        <v>23305</v>
      </c>
    </row>
    <row r="810" spans="1:47" ht="26.25" x14ac:dyDescent="0.4">
      <c r="A810" s="23" t="s">
        <v>2055</v>
      </c>
      <c r="B810" t="s">
        <v>26</v>
      </c>
      <c r="C810" s="23" t="s">
        <v>80</v>
      </c>
      <c r="D810" s="23" t="s">
        <v>22184</v>
      </c>
      <c r="E810" s="23" t="s">
        <v>60</v>
      </c>
      <c r="F810" s="25" t="s">
        <v>2056</v>
      </c>
      <c r="G810" s="25" t="s">
        <v>2057</v>
      </c>
      <c r="H810" t="s">
        <v>26</v>
      </c>
      <c r="I810" s="24">
        <v>35947</v>
      </c>
      <c r="J810" s="24">
        <v>36800</v>
      </c>
      <c r="K810" t="s">
        <v>26</v>
      </c>
      <c r="L810" s="25" t="s">
        <v>68</v>
      </c>
      <c r="M810" s="24">
        <v>35947</v>
      </c>
      <c r="N810" s="24">
        <v>36800</v>
      </c>
      <c r="O810" t="s">
        <v>26</v>
      </c>
      <c r="P810" s="24">
        <v>35947</v>
      </c>
      <c r="Q810" s="24">
        <v>36800</v>
      </c>
      <c r="R810" t="s">
        <v>26</v>
      </c>
      <c r="S810" t="s">
        <v>26</v>
      </c>
      <c r="T810" t="s">
        <v>26</v>
      </c>
      <c r="U810" t="s">
        <v>26</v>
      </c>
      <c r="V810" t="s">
        <v>26</v>
      </c>
      <c r="W810" s="24">
        <v>35947</v>
      </c>
      <c r="X810" s="25" t="s">
        <v>77</v>
      </c>
      <c r="Y810" s="25" t="s">
        <v>2058</v>
      </c>
      <c r="Z810" s="24">
        <v>35947</v>
      </c>
      <c r="AA810" s="25" t="s">
        <v>77</v>
      </c>
      <c r="AB810" s="25" t="s">
        <v>2058</v>
      </c>
      <c r="AC810" s="24">
        <v>35947</v>
      </c>
      <c r="AD810" s="25" t="s">
        <v>77</v>
      </c>
      <c r="AE810" s="25" t="s">
        <v>2058</v>
      </c>
      <c r="AF810" t="s">
        <v>26</v>
      </c>
      <c r="AG810" t="s">
        <v>26</v>
      </c>
      <c r="AH810" t="s">
        <v>26</v>
      </c>
      <c r="AI810" t="s">
        <v>26</v>
      </c>
      <c r="AJ810" t="s">
        <v>26</v>
      </c>
      <c r="AK810" t="s">
        <v>26</v>
      </c>
      <c r="AL810" t="s">
        <v>26</v>
      </c>
      <c r="AM810" t="s">
        <v>26</v>
      </c>
      <c r="AN810" t="s">
        <v>26</v>
      </c>
      <c r="AO810" s="25" t="s">
        <v>68</v>
      </c>
      <c r="AP810" s="23" t="s">
        <v>69</v>
      </c>
      <c r="AQ810" s="23" t="s">
        <v>30</v>
      </c>
      <c r="AR810" s="23" t="s">
        <v>23306</v>
      </c>
      <c r="AS810" s="25">
        <v>11434</v>
      </c>
      <c r="AT810" t="s">
        <v>26</v>
      </c>
      <c r="AU810" t="s">
        <v>23307</v>
      </c>
    </row>
    <row r="811" spans="1:47" ht="26.25" x14ac:dyDescent="0.4">
      <c r="A811" s="23" t="s">
        <v>2059</v>
      </c>
      <c r="B811" t="s">
        <v>26</v>
      </c>
      <c r="C811" s="23" t="s">
        <v>292</v>
      </c>
      <c r="D811" s="23" t="s">
        <v>22256</v>
      </c>
      <c r="E811" s="23" t="s">
        <v>42</v>
      </c>
      <c r="F811" t="s">
        <v>26</v>
      </c>
      <c r="G811" t="s">
        <v>26</v>
      </c>
      <c r="H811" t="s">
        <v>26</v>
      </c>
      <c r="I811" s="24">
        <v>40179</v>
      </c>
      <c r="J811" s="24">
        <v>40179</v>
      </c>
      <c r="K811" t="s">
        <v>26</v>
      </c>
      <c r="L811" s="25" t="s">
        <v>28</v>
      </c>
      <c r="M811" t="s">
        <v>26</v>
      </c>
      <c r="N811" t="s">
        <v>26</v>
      </c>
      <c r="O811" t="s">
        <v>26</v>
      </c>
      <c r="P811" s="24">
        <v>40179</v>
      </c>
      <c r="Q811" s="24">
        <v>40179</v>
      </c>
      <c r="R811" t="s">
        <v>26</v>
      </c>
      <c r="S811" t="s">
        <v>26</v>
      </c>
      <c r="T811" t="s">
        <v>26</v>
      </c>
      <c r="U811" t="s">
        <v>26</v>
      </c>
      <c r="V811" t="s">
        <v>26</v>
      </c>
      <c r="W811" s="24">
        <v>40179</v>
      </c>
      <c r="X811" s="24">
        <v>40179</v>
      </c>
      <c r="Y811" t="s">
        <v>26</v>
      </c>
      <c r="Z811" s="24">
        <v>40179</v>
      </c>
      <c r="AA811" s="24">
        <v>40179</v>
      </c>
      <c r="AB811" t="s">
        <v>26</v>
      </c>
      <c r="AC811" s="24">
        <v>40179</v>
      </c>
      <c r="AD811" s="24">
        <v>40179</v>
      </c>
      <c r="AE811" t="s">
        <v>26</v>
      </c>
      <c r="AF811" t="s">
        <v>26</v>
      </c>
      <c r="AG811" t="s">
        <v>26</v>
      </c>
      <c r="AH811" t="s">
        <v>26</v>
      </c>
      <c r="AI811" t="s">
        <v>26</v>
      </c>
      <c r="AJ811" t="s">
        <v>26</v>
      </c>
      <c r="AK811" t="s">
        <v>26</v>
      </c>
      <c r="AL811" t="s">
        <v>26</v>
      </c>
      <c r="AM811" t="s">
        <v>26</v>
      </c>
      <c r="AN811" t="s">
        <v>26</v>
      </c>
      <c r="AO811" s="25" t="s">
        <v>28</v>
      </c>
      <c r="AP811" s="23" t="s">
        <v>29</v>
      </c>
      <c r="AQ811" s="23" t="s">
        <v>30</v>
      </c>
      <c r="AR811" s="23" t="s">
        <v>147</v>
      </c>
      <c r="AS811" s="25">
        <v>5325188</v>
      </c>
      <c r="AT811" s="23" t="s">
        <v>22181</v>
      </c>
      <c r="AU811" t="s">
        <v>23308</v>
      </c>
    </row>
    <row r="812" spans="1:47" ht="26.25" x14ac:dyDescent="0.4">
      <c r="A812" s="23" t="s">
        <v>2060</v>
      </c>
      <c r="B812" t="s">
        <v>26</v>
      </c>
      <c r="C812" s="23" t="s">
        <v>181</v>
      </c>
      <c r="D812" s="23" t="s">
        <v>22174</v>
      </c>
      <c r="E812" s="23" t="s">
        <v>60</v>
      </c>
      <c r="F812" s="25" t="s">
        <v>2061</v>
      </c>
      <c r="G812" s="25" t="s">
        <v>2062</v>
      </c>
      <c r="H812" t="s">
        <v>26</v>
      </c>
      <c r="I812" t="s">
        <v>26</v>
      </c>
      <c r="J812" t="s">
        <v>26</v>
      </c>
      <c r="K812" t="s">
        <v>26</v>
      </c>
      <c r="L812" s="25" t="s">
        <v>68</v>
      </c>
      <c r="M812" t="s">
        <v>26</v>
      </c>
      <c r="N812" t="s">
        <v>26</v>
      </c>
      <c r="O812" t="s">
        <v>26</v>
      </c>
      <c r="P812" t="s">
        <v>26</v>
      </c>
      <c r="Q812" t="s">
        <v>26</v>
      </c>
      <c r="R812" t="s">
        <v>26</v>
      </c>
      <c r="S812" t="s">
        <v>26</v>
      </c>
      <c r="T812" t="s">
        <v>26</v>
      </c>
      <c r="U812" t="s">
        <v>26</v>
      </c>
      <c r="V812" t="s">
        <v>26</v>
      </c>
      <c r="W812" s="24">
        <v>37742</v>
      </c>
      <c r="X812" s="25" t="s">
        <v>77</v>
      </c>
      <c r="Y812" t="s">
        <v>26</v>
      </c>
      <c r="Z812" s="24">
        <v>37742</v>
      </c>
      <c r="AA812" s="25" t="s">
        <v>77</v>
      </c>
      <c r="AB812" t="s">
        <v>26</v>
      </c>
      <c r="AC812" s="24">
        <v>37742</v>
      </c>
      <c r="AD812" s="25" t="s">
        <v>77</v>
      </c>
      <c r="AE812" t="s">
        <v>26</v>
      </c>
      <c r="AF812" t="s">
        <v>26</v>
      </c>
      <c r="AG812" t="s">
        <v>26</v>
      </c>
      <c r="AH812" t="s">
        <v>26</v>
      </c>
      <c r="AI812" t="s">
        <v>26</v>
      </c>
      <c r="AJ812" t="s">
        <v>26</v>
      </c>
      <c r="AK812" t="s">
        <v>26</v>
      </c>
      <c r="AL812" t="s">
        <v>26</v>
      </c>
      <c r="AM812" t="s">
        <v>26</v>
      </c>
      <c r="AN812" t="s">
        <v>26</v>
      </c>
      <c r="AO812" s="25" t="s">
        <v>68</v>
      </c>
      <c r="AP812" s="23" t="s">
        <v>69</v>
      </c>
      <c r="AQ812" s="23" t="s">
        <v>30</v>
      </c>
      <c r="AR812" s="23" t="s">
        <v>257</v>
      </c>
      <c r="AS812" s="25">
        <v>27124</v>
      </c>
      <c r="AT812" t="s">
        <v>26</v>
      </c>
      <c r="AU812" t="s">
        <v>23309</v>
      </c>
    </row>
    <row r="813" spans="1:47" ht="26.25" x14ac:dyDescent="0.4">
      <c r="A813" s="23" t="s">
        <v>2063</v>
      </c>
      <c r="B813" t="s">
        <v>26</v>
      </c>
      <c r="C813" s="23" t="s">
        <v>80</v>
      </c>
      <c r="D813" s="23" t="s">
        <v>22190</v>
      </c>
      <c r="E813" s="23" t="s">
        <v>60</v>
      </c>
      <c r="F813" s="25" t="s">
        <v>2064</v>
      </c>
      <c r="G813" s="25" t="s">
        <v>2065</v>
      </c>
      <c r="H813" t="s">
        <v>26</v>
      </c>
      <c r="I813" t="s">
        <v>26</v>
      </c>
      <c r="J813" t="s">
        <v>26</v>
      </c>
      <c r="K813" t="s">
        <v>26</v>
      </c>
      <c r="L813" s="25" t="s">
        <v>68</v>
      </c>
      <c r="M813" t="s">
        <v>26</v>
      </c>
      <c r="N813" t="s">
        <v>26</v>
      </c>
      <c r="O813" t="s">
        <v>26</v>
      </c>
      <c r="P813" t="s">
        <v>26</v>
      </c>
      <c r="Q813" t="s">
        <v>26</v>
      </c>
      <c r="R813" t="s">
        <v>26</v>
      </c>
      <c r="S813" t="s">
        <v>26</v>
      </c>
      <c r="T813" t="s">
        <v>26</v>
      </c>
      <c r="U813" t="s">
        <v>26</v>
      </c>
      <c r="V813" t="s">
        <v>26</v>
      </c>
      <c r="W813" s="24">
        <v>37987</v>
      </c>
      <c r="X813" s="25" t="s">
        <v>77</v>
      </c>
      <c r="Y813" t="s">
        <v>26</v>
      </c>
      <c r="Z813" s="24">
        <v>37987</v>
      </c>
      <c r="AA813" s="25" t="s">
        <v>77</v>
      </c>
      <c r="AB813" t="s">
        <v>26</v>
      </c>
      <c r="AC813" s="24">
        <v>37987</v>
      </c>
      <c r="AD813" s="25" t="s">
        <v>77</v>
      </c>
      <c r="AE813" t="s">
        <v>26</v>
      </c>
      <c r="AF813" t="s">
        <v>26</v>
      </c>
      <c r="AG813" t="s">
        <v>26</v>
      </c>
      <c r="AH813" t="s">
        <v>26</v>
      </c>
      <c r="AI813" t="s">
        <v>26</v>
      </c>
      <c r="AJ813" t="s">
        <v>26</v>
      </c>
      <c r="AK813" t="s">
        <v>26</v>
      </c>
      <c r="AL813" t="s">
        <v>26</v>
      </c>
      <c r="AM813" t="s">
        <v>26</v>
      </c>
      <c r="AN813" t="s">
        <v>26</v>
      </c>
      <c r="AO813" s="25" t="s">
        <v>68</v>
      </c>
      <c r="AP813" s="23" t="s">
        <v>69</v>
      </c>
      <c r="AQ813" s="23" t="s">
        <v>30</v>
      </c>
      <c r="AR813" s="23" t="s">
        <v>996</v>
      </c>
      <c r="AS813" s="25">
        <v>32811</v>
      </c>
      <c r="AT813" t="s">
        <v>26</v>
      </c>
      <c r="AU813" t="s">
        <v>23310</v>
      </c>
    </row>
    <row r="814" spans="1:47" ht="26.25" x14ac:dyDescent="0.4">
      <c r="A814" s="23" t="s">
        <v>2066</v>
      </c>
      <c r="B814" t="s">
        <v>26</v>
      </c>
      <c r="C814" s="23" t="s">
        <v>181</v>
      </c>
      <c r="D814" s="23" t="s">
        <v>22174</v>
      </c>
      <c r="E814" s="23" t="s">
        <v>60</v>
      </c>
      <c r="F814" s="25" t="s">
        <v>2067</v>
      </c>
      <c r="G814" s="25" t="s">
        <v>2068</v>
      </c>
      <c r="H814" t="s">
        <v>26</v>
      </c>
      <c r="I814" t="s">
        <v>26</v>
      </c>
      <c r="J814" t="s">
        <v>26</v>
      </c>
      <c r="K814" t="s">
        <v>26</v>
      </c>
      <c r="L814" s="25" t="s">
        <v>68</v>
      </c>
      <c r="M814" t="s">
        <v>26</v>
      </c>
      <c r="N814" t="s">
        <v>26</v>
      </c>
      <c r="O814" t="s">
        <v>26</v>
      </c>
      <c r="P814" t="s">
        <v>26</v>
      </c>
      <c r="Q814" t="s">
        <v>26</v>
      </c>
      <c r="R814" t="s">
        <v>26</v>
      </c>
      <c r="S814" t="s">
        <v>26</v>
      </c>
      <c r="T814" t="s">
        <v>26</v>
      </c>
      <c r="U814" t="s">
        <v>26</v>
      </c>
      <c r="V814" t="s">
        <v>26</v>
      </c>
      <c r="W814" s="24">
        <v>39173</v>
      </c>
      <c r="X814" s="25" t="s">
        <v>77</v>
      </c>
      <c r="Y814" s="25" t="s">
        <v>2069</v>
      </c>
      <c r="Z814" s="24">
        <v>39173</v>
      </c>
      <c r="AA814" s="25" t="s">
        <v>77</v>
      </c>
      <c r="AB814" s="25" t="s">
        <v>2069</v>
      </c>
      <c r="AC814" s="24">
        <v>39173</v>
      </c>
      <c r="AD814" s="25" t="s">
        <v>77</v>
      </c>
      <c r="AE814" s="25" t="s">
        <v>2069</v>
      </c>
      <c r="AF814" t="s">
        <v>26</v>
      </c>
      <c r="AG814" t="s">
        <v>26</v>
      </c>
      <c r="AH814" t="s">
        <v>26</v>
      </c>
      <c r="AI814" t="s">
        <v>26</v>
      </c>
      <c r="AJ814" t="s">
        <v>26</v>
      </c>
      <c r="AK814" t="s">
        <v>26</v>
      </c>
      <c r="AL814" t="s">
        <v>26</v>
      </c>
      <c r="AM814" t="s">
        <v>26</v>
      </c>
      <c r="AN814" t="s">
        <v>26</v>
      </c>
      <c r="AO814" s="25" t="s">
        <v>68</v>
      </c>
      <c r="AP814" s="23" t="s">
        <v>69</v>
      </c>
      <c r="AQ814" s="23" t="s">
        <v>30</v>
      </c>
      <c r="AR814" s="23" t="s">
        <v>2070</v>
      </c>
      <c r="AS814" s="25">
        <v>2038182</v>
      </c>
      <c r="AT814" t="s">
        <v>26</v>
      </c>
      <c r="AU814" t="s">
        <v>23311</v>
      </c>
    </row>
    <row r="815" spans="1:47" ht="26.25" x14ac:dyDescent="0.4">
      <c r="A815" s="23" t="s">
        <v>2071</v>
      </c>
      <c r="B815" t="s">
        <v>26</v>
      </c>
      <c r="C815" s="23" t="s">
        <v>73</v>
      </c>
      <c r="D815" s="23" t="s">
        <v>23312</v>
      </c>
      <c r="E815" s="23" t="s">
        <v>74</v>
      </c>
      <c r="F815" t="s">
        <v>26</v>
      </c>
      <c r="G815" s="25" t="s">
        <v>2072</v>
      </c>
      <c r="H815" t="s">
        <v>26</v>
      </c>
      <c r="I815" s="24">
        <v>44531</v>
      </c>
      <c r="J815" s="25" t="s">
        <v>77</v>
      </c>
      <c r="K815" t="s">
        <v>26</v>
      </c>
      <c r="L815" s="25" t="s">
        <v>68</v>
      </c>
      <c r="M815" s="24">
        <v>44531</v>
      </c>
      <c r="N815" s="25" t="s">
        <v>77</v>
      </c>
      <c r="O815" t="s">
        <v>26</v>
      </c>
      <c r="P815" s="24">
        <v>44531</v>
      </c>
      <c r="Q815" s="25" t="s">
        <v>77</v>
      </c>
      <c r="R815" t="s">
        <v>26</v>
      </c>
      <c r="S815" t="s">
        <v>26</v>
      </c>
      <c r="T815" t="s">
        <v>26</v>
      </c>
      <c r="U815" t="s">
        <v>26</v>
      </c>
      <c r="V815" t="s">
        <v>26</v>
      </c>
      <c r="W815" s="24">
        <v>44531</v>
      </c>
      <c r="X815" s="25" t="s">
        <v>77</v>
      </c>
      <c r="Y815" t="s">
        <v>26</v>
      </c>
      <c r="Z815" s="24">
        <v>44531</v>
      </c>
      <c r="AA815" s="25" t="s">
        <v>77</v>
      </c>
      <c r="AB815" t="s">
        <v>26</v>
      </c>
      <c r="AC815" s="24">
        <v>44531</v>
      </c>
      <c r="AD815" s="25" t="s">
        <v>77</v>
      </c>
      <c r="AE815" t="s">
        <v>26</v>
      </c>
      <c r="AF815" t="s">
        <v>26</v>
      </c>
      <c r="AG815" t="s">
        <v>26</v>
      </c>
      <c r="AH815" t="s">
        <v>26</v>
      </c>
      <c r="AI815" t="s">
        <v>26</v>
      </c>
      <c r="AJ815" t="s">
        <v>26</v>
      </c>
      <c r="AK815" t="s">
        <v>26</v>
      </c>
      <c r="AL815" t="s">
        <v>26</v>
      </c>
      <c r="AM815" t="s">
        <v>26</v>
      </c>
      <c r="AN815" t="s">
        <v>26</v>
      </c>
      <c r="AO815" s="25" t="s">
        <v>68</v>
      </c>
      <c r="AP815" s="23" t="s">
        <v>69</v>
      </c>
      <c r="AQ815" s="23" t="s">
        <v>30</v>
      </c>
      <c r="AR815" s="23" t="s">
        <v>70</v>
      </c>
      <c r="AS815" s="25">
        <v>5642931</v>
      </c>
      <c r="AT815" t="s">
        <v>26</v>
      </c>
      <c r="AU815" t="s">
        <v>23313</v>
      </c>
    </row>
    <row r="816" spans="1:47" ht="26.25" x14ac:dyDescent="0.4">
      <c r="A816" s="23" t="s">
        <v>2073</v>
      </c>
      <c r="B816" t="s">
        <v>26</v>
      </c>
      <c r="C816" s="23" t="s">
        <v>73</v>
      </c>
      <c r="D816" s="23" t="s">
        <v>22545</v>
      </c>
      <c r="E816" s="23" t="s">
        <v>74</v>
      </c>
      <c r="F816" t="s">
        <v>26</v>
      </c>
      <c r="G816" s="25" t="s">
        <v>2074</v>
      </c>
      <c r="H816" t="s">
        <v>26</v>
      </c>
      <c r="I816" s="24">
        <v>44531</v>
      </c>
      <c r="J816" s="25" t="s">
        <v>77</v>
      </c>
      <c r="K816" t="s">
        <v>26</v>
      </c>
      <c r="L816" s="25" t="s">
        <v>68</v>
      </c>
      <c r="M816" s="24">
        <v>44531</v>
      </c>
      <c r="N816" s="25" t="s">
        <v>77</v>
      </c>
      <c r="O816" t="s">
        <v>26</v>
      </c>
      <c r="P816" s="24">
        <v>44531</v>
      </c>
      <c r="Q816" s="25" t="s">
        <v>77</v>
      </c>
      <c r="R816" t="s">
        <v>26</v>
      </c>
      <c r="S816" t="s">
        <v>26</v>
      </c>
      <c r="T816" t="s">
        <v>26</v>
      </c>
      <c r="U816" t="s">
        <v>26</v>
      </c>
      <c r="V816" t="s">
        <v>26</v>
      </c>
      <c r="W816" s="24">
        <v>44531</v>
      </c>
      <c r="X816" s="25" t="s">
        <v>77</v>
      </c>
      <c r="Y816" t="s">
        <v>26</v>
      </c>
      <c r="Z816" s="24">
        <v>44531</v>
      </c>
      <c r="AA816" s="25" t="s">
        <v>77</v>
      </c>
      <c r="AB816" t="s">
        <v>26</v>
      </c>
      <c r="AC816" s="24">
        <v>44531</v>
      </c>
      <c r="AD816" s="25" t="s">
        <v>77</v>
      </c>
      <c r="AE816" t="s">
        <v>26</v>
      </c>
      <c r="AF816" t="s">
        <v>26</v>
      </c>
      <c r="AG816" t="s">
        <v>26</v>
      </c>
      <c r="AH816" t="s">
        <v>26</v>
      </c>
      <c r="AI816" t="s">
        <v>26</v>
      </c>
      <c r="AJ816" t="s">
        <v>26</v>
      </c>
      <c r="AK816" t="s">
        <v>26</v>
      </c>
      <c r="AL816" t="s">
        <v>26</v>
      </c>
      <c r="AM816" t="s">
        <v>26</v>
      </c>
      <c r="AN816" t="s">
        <v>26</v>
      </c>
      <c r="AO816" s="25" t="s">
        <v>68</v>
      </c>
      <c r="AP816" s="23" t="s">
        <v>69</v>
      </c>
      <c r="AQ816" s="23" t="s">
        <v>30</v>
      </c>
      <c r="AR816" s="23" t="s">
        <v>46</v>
      </c>
      <c r="AS816" s="25">
        <v>5642929</v>
      </c>
      <c r="AT816" t="s">
        <v>26</v>
      </c>
      <c r="AU816" t="s">
        <v>23314</v>
      </c>
    </row>
    <row r="817" spans="1:47" ht="26.25" x14ac:dyDescent="0.4">
      <c r="A817" s="23" t="s">
        <v>2075</v>
      </c>
      <c r="B817" t="s">
        <v>26</v>
      </c>
      <c r="C817" s="23" t="s">
        <v>48</v>
      </c>
      <c r="D817" s="23" t="s">
        <v>22168</v>
      </c>
      <c r="E817" s="23" t="s">
        <v>42</v>
      </c>
      <c r="F817" t="s">
        <v>26</v>
      </c>
      <c r="G817" t="s">
        <v>26</v>
      </c>
      <c r="H817" t="s">
        <v>26</v>
      </c>
      <c r="I817" t="s">
        <v>26</v>
      </c>
      <c r="J817" t="s">
        <v>26</v>
      </c>
      <c r="K817" t="s">
        <v>26</v>
      </c>
      <c r="L817" s="25" t="s">
        <v>28</v>
      </c>
      <c r="M817" t="s">
        <v>26</v>
      </c>
      <c r="N817" t="s">
        <v>26</v>
      </c>
      <c r="O817" t="s">
        <v>26</v>
      </c>
      <c r="P817" t="s">
        <v>26</v>
      </c>
      <c r="Q817" t="s">
        <v>26</v>
      </c>
      <c r="R817" t="s">
        <v>26</v>
      </c>
      <c r="S817" t="s">
        <v>26</v>
      </c>
      <c r="T817" t="s">
        <v>26</v>
      </c>
      <c r="U817" t="s">
        <v>26</v>
      </c>
      <c r="V817" t="s">
        <v>26</v>
      </c>
      <c r="W817" s="24">
        <v>40179</v>
      </c>
      <c r="X817" s="24">
        <v>40179</v>
      </c>
      <c r="Y817" t="s">
        <v>26</v>
      </c>
      <c r="Z817" s="24">
        <v>40179</v>
      </c>
      <c r="AA817" s="24">
        <v>40179</v>
      </c>
      <c r="AB817" t="s">
        <v>26</v>
      </c>
      <c r="AC817" t="s">
        <v>26</v>
      </c>
      <c r="AD817" t="s">
        <v>26</v>
      </c>
      <c r="AE817" t="s">
        <v>26</v>
      </c>
      <c r="AF817" t="s">
        <v>26</v>
      </c>
      <c r="AG817" t="s">
        <v>26</v>
      </c>
      <c r="AH817" t="s">
        <v>26</v>
      </c>
      <c r="AI817" t="s">
        <v>26</v>
      </c>
      <c r="AJ817" t="s">
        <v>26</v>
      </c>
      <c r="AK817" t="s">
        <v>26</v>
      </c>
      <c r="AL817" t="s">
        <v>26</v>
      </c>
      <c r="AM817" t="s">
        <v>26</v>
      </c>
      <c r="AN817" t="s">
        <v>26</v>
      </c>
      <c r="AO817" s="25" t="s">
        <v>28</v>
      </c>
      <c r="AP817" s="23" t="s">
        <v>29</v>
      </c>
      <c r="AQ817" s="23" t="s">
        <v>30</v>
      </c>
      <c r="AR817" s="23" t="s">
        <v>44</v>
      </c>
      <c r="AS817" s="25">
        <v>5483527</v>
      </c>
      <c r="AT817" s="23" t="s">
        <v>22181</v>
      </c>
      <c r="AU817" t="s">
        <v>23315</v>
      </c>
    </row>
    <row r="818" spans="1:47" ht="26.25" x14ac:dyDescent="0.4">
      <c r="A818" s="23" t="s">
        <v>2076</v>
      </c>
      <c r="B818" t="s">
        <v>26</v>
      </c>
      <c r="C818" t="s">
        <v>26</v>
      </c>
      <c r="D818" t="s">
        <v>26</v>
      </c>
      <c r="E818" t="s">
        <v>26</v>
      </c>
      <c r="F818" t="s">
        <v>26</v>
      </c>
      <c r="G818" t="s">
        <v>26</v>
      </c>
      <c r="H818" t="s">
        <v>26</v>
      </c>
      <c r="I818" s="24">
        <v>35431</v>
      </c>
      <c r="J818" s="24">
        <v>39448</v>
      </c>
      <c r="K818" t="s">
        <v>26</v>
      </c>
      <c r="L818" s="25" t="s">
        <v>28</v>
      </c>
      <c r="M818" s="24">
        <v>35431</v>
      </c>
      <c r="N818" s="24">
        <v>39448</v>
      </c>
      <c r="O818" t="s">
        <v>26</v>
      </c>
      <c r="P818" t="s">
        <v>26</v>
      </c>
      <c r="Q818" t="s">
        <v>26</v>
      </c>
      <c r="R818" t="s">
        <v>26</v>
      </c>
      <c r="S818" s="24">
        <v>35431</v>
      </c>
      <c r="T818" s="24">
        <v>39448</v>
      </c>
      <c r="U818" t="s">
        <v>26</v>
      </c>
      <c r="V818" t="s">
        <v>26</v>
      </c>
      <c r="W818" s="24">
        <v>35431</v>
      </c>
      <c r="X818" s="24">
        <v>39448</v>
      </c>
      <c r="Y818" t="s">
        <v>26</v>
      </c>
      <c r="Z818" s="24">
        <v>35431</v>
      </c>
      <c r="AA818" s="24">
        <v>39448</v>
      </c>
      <c r="AB818" t="s">
        <v>26</v>
      </c>
      <c r="AC818" s="24">
        <v>35431</v>
      </c>
      <c r="AD818" s="24">
        <v>39448</v>
      </c>
      <c r="AE818" t="s">
        <v>26</v>
      </c>
      <c r="AF818" s="24">
        <v>35431</v>
      </c>
      <c r="AG818" s="24">
        <v>39448</v>
      </c>
      <c r="AH818" t="s">
        <v>26</v>
      </c>
      <c r="AI818" s="24">
        <v>35431</v>
      </c>
      <c r="AJ818" s="24">
        <v>39448</v>
      </c>
      <c r="AK818" t="s">
        <v>26</v>
      </c>
      <c r="AL818" t="s">
        <v>26</v>
      </c>
      <c r="AM818" t="s">
        <v>26</v>
      </c>
      <c r="AN818" t="s">
        <v>26</v>
      </c>
      <c r="AO818" s="25" t="s">
        <v>28</v>
      </c>
      <c r="AP818" s="23" t="s">
        <v>43</v>
      </c>
      <c r="AQ818" s="23" t="s">
        <v>30</v>
      </c>
      <c r="AR818" s="23" t="s">
        <v>44</v>
      </c>
      <c r="AS818" s="25">
        <v>5256692</v>
      </c>
      <c r="AT818" t="s">
        <v>26</v>
      </c>
      <c r="AU818" t="s">
        <v>23316</v>
      </c>
    </row>
    <row r="819" spans="1:47" ht="26.25" x14ac:dyDescent="0.4">
      <c r="A819" s="23" t="s">
        <v>2077</v>
      </c>
      <c r="B819" t="s">
        <v>26</v>
      </c>
      <c r="C819" s="23" t="s">
        <v>2078</v>
      </c>
      <c r="D819" s="23" t="s">
        <v>23192</v>
      </c>
      <c r="E819" s="23" t="s">
        <v>155</v>
      </c>
      <c r="F819" s="25" t="s">
        <v>2079</v>
      </c>
      <c r="G819" s="25" t="s">
        <v>2080</v>
      </c>
      <c r="H819" t="s">
        <v>26</v>
      </c>
      <c r="I819" s="24">
        <v>42370</v>
      </c>
      <c r="J819" s="25" t="s">
        <v>77</v>
      </c>
      <c r="K819" t="s">
        <v>26</v>
      </c>
      <c r="L819" s="25" t="s">
        <v>68</v>
      </c>
      <c r="M819" s="24">
        <v>42370</v>
      </c>
      <c r="N819" s="24">
        <v>43831</v>
      </c>
      <c r="O819" t="s">
        <v>26</v>
      </c>
      <c r="P819" s="24">
        <v>42370</v>
      </c>
      <c r="Q819" s="25" t="s">
        <v>77</v>
      </c>
      <c r="R819" t="s">
        <v>26</v>
      </c>
      <c r="S819" t="s">
        <v>26</v>
      </c>
      <c r="T819" t="s">
        <v>26</v>
      </c>
      <c r="U819" t="s">
        <v>26</v>
      </c>
      <c r="V819" t="s">
        <v>26</v>
      </c>
      <c r="W819" s="24">
        <v>42370</v>
      </c>
      <c r="X819" s="25" t="s">
        <v>77</v>
      </c>
      <c r="Y819" t="s">
        <v>26</v>
      </c>
      <c r="Z819" s="24">
        <v>42370</v>
      </c>
      <c r="AA819" s="25" t="s">
        <v>77</v>
      </c>
      <c r="AB819" t="s">
        <v>26</v>
      </c>
      <c r="AC819" s="24">
        <v>42736</v>
      </c>
      <c r="AD819" s="25" t="s">
        <v>77</v>
      </c>
      <c r="AE819" t="s">
        <v>26</v>
      </c>
      <c r="AF819" t="s">
        <v>26</v>
      </c>
      <c r="AG819" t="s">
        <v>26</v>
      </c>
      <c r="AH819" t="s">
        <v>26</v>
      </c>
      <c r="AI819" t="s">
        <v>26</v>
      </c>
      <c r="AJ819" t="s">
        <v>26</v>
      </c>
      <c r="AK819" t="s">
        <v>26</v>
      </c>
      <c r="AL819" t="s">
        <v>26</v>
      </c>
      <c r="AM819" t="s">
        <v>26</v>
      </c>
      <c r="AN819" t="s">
        <v>26</v>
      </c>
      <c r="AO819" s="25" t="s">
        <v>68</v>
      </c>
      <c r="AP819" s="23" t="s">
        <v>69</v>
      </c>
      <c r="AQ819" s="23" t="s">
        <v>142</v>
      </c>
      <c r="AR819" s="23" t="s">
        <v>46</v>
      </c>
      <c r="AS819" s="25">
        <v>2043479</v>
      </c>
      <c r="AT819" t="s">
        <v>26</v>
      </c>
      <c r="AU819" t="s">
        <v>23317</v>
      </c>
    </row>
    <row r="820" spans="1:47" ht="39.4" x14ac:dyDescent="0.4">
      <c r="A820" s="23" t="s">
        <v>2081</v>
      </c>
      <c r="B820" t="s">
        <v>26</v>
      </c>
      <c r="C820" s="23" t="s">
        <v>364</v>
      </c>
      <c r="D820" t="s">
        <v>26</v>
      </c>
      <c r="E820" s="23" t="s">
        <v>42</v>
      </c>
      <c r="F820" t="s">
        <v>26</v>
      </c>
      <c r="G820" t="s">
        <v>26</v>
      </c>
      <c r="H820" t="s">
        <v>26</v>
      </c>
      <c r="I820" s="24">
        <v>43325</v>
      </c>
      <c r="J820" s="25" t="s">
        <v>77</v>
      </c>
      <c r="K820" t="s">
        <v>26</v>
      </c>
      <c r="L820" s="25" t="s">
        <v>28</v>
      </c>
      <c r="M820" s="24">
        <v>43325</v>
      </c>
      <c r="N820" s="25" t="s">
        <v>77</v>
      </c>
      <c r="O820" t="s">
        <v>26</v>
      </c>
      <c r="P820" t="s">
        <v>26</v>
      </c>
      <c r="Q820" t="s">
        <v>26</v>
      </c>
      <c r="R820" t="s">
        <v>26</v>
      </c>
      <c r="S820" t="s">
        <v>26</v>
      </c>
      <c r="T820" t="s">
        <v>26</v>
      </c>
      <c r="U820" t="s">
        <v>26</v>
      </c>
      <c r="V820" t="s">
        <v>26</v>
      </c>
      <c r="W820" s="24">
        <v>43325</v>
      </c>
      <c r="X820" s="25" t="s">
        <v>77</v>
      </c>
      <c r="Y820" t="s">
        <v>26</v>
      </c>
      <c r="Z820" s="24">
        <v>43325</v>
      </c>
      <c r="AA820" s="25" t="s">
        <v>77</v>
      </c>
      <c r="AB820" t="s">
        <v>26</v>
      </c>
      <c r="AC820" t="s">
        <v>26</v>
      </c>
      <c r="AD820" t="s">
        <v>26</v>
      </c>
      <c r="AE820" t="s">
        <v>26</v>
      </c>
      <c r="AF820" t="s">
        <v>26</v>
      </c>
      <c r="AG820" t="s">
        <v>26</v>
      </c>
      <c r="AH820" t="s">
        <v>26</v>
      </c>
      <c r="AI820" t="s">
        <v>26</v>
      </c>
      <c r="AJ820" t="s">
        <v>26</v>
      </c>
      <c r="AK820" t="s">
        <v>26</v>
      </c>
      <c r="AL820" t="s">
        <v>26</v>
      </c>
      <c r="AM820" t="s">
        <v>26</v>
      </c>
      <c r="AN820" t="s">
        <v>26</v>
      </c>
      <c r="AO820" s="25" t="s">
        <v>28</v>
      </c>
      <c r="AP820" s="23" t="s">
        <v>365</v>
      </c>
      <c r="AQ820" s="23" t="s">
        <v>30</v>
      </c>
      <c r="AR820" s="23" t="s">
        <v>2082</v>
      </c>
      <c r="AS820" s="25">
        <v>4395833</v>
      </c>
      <c r="AT820" t="s">
        <v>26</v>
      </c>
      <c r="AU820" t="s">
        <v>23318</v>
      </c>
    </row>
    <row r="821" spans="1:47" ht="26.25" x14ac:dyDescent="0.4">
      <c r="A821" s="23" t="s">
        <v>2083</v>
      </c>
      <c r="B821" s="23" t="s">
        <v>2084</v>
      </c>
      <c r="C821" s="23" t="s">
        <v>59</v>
      </c>
      <c r="D821" s="23" t="s">
        <v>22174</v>
      </c>
      <c r="E821" s="23" t="s">
        <v>60</v>
      </c>
      <c r="F821" t="s">
        <v>26</v>
      </c>
      <c r="G821" t="s">
        <v>26</v>
      </c>
      <c r="H821" s="25" t="s">
        <v>2085</v>
      </c>
      <c r="I821" s="24">
        <v>41275</v>
      </c>
      <c r="J821" s="24">
        <v>41275</v>
      </c>
      <c r="K821" t="s">
        <v>26</v>
      </c>
      <c r="L821" s="25" t="s">
        <v>28</v>
      </c>
      <c r="M821" s="24">
        <v>41275</v>
      </c>
      <c r="N821" s="24">
        <v>41275</v>
      </c>
      <c r="O821" t="s">
        <v>26</v>
      </c>
      <c r="P821" s="24">
        <v>41275</v>
      </c>
      <c r="Q821" s="24">
        <v>41275</v>
      </c>
      <c r="R821" t="s">
        <v>26</v>
      </c>
      <c r="S821" t="s">
        <v>26</v>
      </c>
      <c r="T821" t="s">
        <v>26</v>
      </c>
      <c r="U821" t="s">
        <v>26</v>
      </c>
      <c r="V821" t="s">
        <v>26</v>
      </c>
      <c r="W821" s="24">
        <v>41275</v>
      </c>
      <c r="X821" s="24">
        <v>41275</v>
      </c>
      <c r="Y821" t="s">
        <v>26</v>
      </c>
      <c r="Z821" s="24">
        <v>41275</v>
      </c>
      <c r="AA821" s="24">
        <v>41275</v>
      </c>
      <c r="AB821" t="s">
        <v>26</v>
      </c>
      <c r="AC821" s="24">
        <v>41275</v>
      </c>
      <c r="AD821" s="24">
        <v>41275</v>
      </c>
      <c r="AE821" t="s">
        <v>26</v>
      </c>
      <c r="AF821" t="s">
        <v>26</v>
      </c>
      <c r="AG821" t="s">
        <v>26</v>
      </c>
      <c r="AH821" t="s">
        <v>26</v>
      </c>
      <c r="AI821" t="s">
        <v>26</v>
      </c>
      <c r="AJ821" t="s">
        <v>26</v>
      </c>
      <c r="AK821" t="s">
        <v>26</v>
      </c>
      <c r="AL821" t="s">
        <v>26</v>
      </c>
      <c r="AM821" t="s">
        <v>26</v>
      </c>
      <c r="AN821" t="s">
        <v>26</v>
      </c>
      <c r="AO821" s="25" t="s">
        <v>28</v>
      </c>
      <c r="AP821" s="23" t="s">
        <v>29</v>
      </c>
      <c r="AQ821" s="23" t="s">
        <v>30</v>
      </c>
      <c r="AR821" s="23" t="s">
        <v>1688</v>
      </c>
      <c r="AS821" s="25">
        <v>2043131</v>
      </c>
      <c r="AT821" t="s">
        <v>26</v>
      </c>
      <c r="AU821" t="s">
        <v>23319</v>
      </c>
    </row>
    <row r="822" spans="1:47" ht="13.15" x14ac:dyDescent="0.4">
      <c r="A822" s="23" t="s">
        <v>2086</v>
      </c>
      <c r="B822" t="s">
        <v>26</v>
      </c>
      <c r="C822" s="23" t="s">
        <v>2087</v>
      </c>
      <c r="D822" s="23" t="s">
        <v>22522</v>
      </c>
      <c r="E822" s="23" t="s">
        <v>822</v>
      </c>
      <c r="F822" t="s">
        <v>26</v>
      </c>
      <c r="G822" t="s">
        <v>26</v>
      </c>
      <c r="H822" t="s">
        <v>26</v>
      </c>
      <c r="I822" s="24">
        <v>23377</v>
      </c>
      <c r="J822" s="24">
        <v>23377</v>
      </c>
      <c r="K822" t="s">
        <v>26</v>
      </c>
      <c r="L822" s="25" t="s">
        <v>28</v>
      </c>
      <c r="M822" s="24">
        <v>23377</v>
      </c>
      <c r="N822" s="24">
        <v>23377</v>
      </c>
      <c r="O822" t="s">
        <v>26</v>
      </c>
      <c r="P822" t="s">
        <v>26</v>
      </c>
      <c r="Q822" t="s">
        <v>26</v>
      </c>
      <c r="R822" t="s">
        <v>26</v>
      </c>
      <c r="S822" t="s">
        <v>26</v>
      </c>
      <c r="T822" t="s">
        <v>26</v>
      </c>
      <c r="U822" t="s">
        <v>26</v>
      </c>
      <c r="V822" t="s">
        <v>26</v>
      </c>
      <c r="W822" s="24">
        <v>23377</v>
      </c>
      <c r="X822" s="24">
        <v>23377</v>
      </c>
      <c r="Y822" t="s">
        <v>26</v>
      </c>
      <c r="Z822" s="24">
        <v>23377</v>
      </c>
      <c r="AA822" s="24">
        <v>23377</v>
      </c>
      <c r="AB822" t="s">
        <v>26</v>
      </c>
      <c r="AC822" s="24">
        <v>23377</v>
      </c>
      <c r="AD822" s="24">
        <v>23377</v>
      </c>
      <c r="AE822" t="s">
        <v>26</v>
      </c>
      <c r="AF822" t="s">
        <v>26</v>
      </c>
      <c r="AG822" t="s">
        <v>26</v>
      </c>
      <c r="AH822" t="s">
        <v>26</v>
      </c>
      <c r="AI822" t="s">
        <v>26</v>
      </c>
      <c r="AJ822" t="s">
        <v>26</v>
      </c>
      <c r="AK822" t="s">
        <v>26</v>
      </c>
      <c r="AL822" t="s">
        <v>26</v>
      </c>
      <c r="AM822" t="s">
        <v>26</v>
      </c>
      <c r="AN822" t="s">
        <v>26</v>
      </c>
      <c r="AO822" s="25" t="s">
        <v>28</v>
      </c>
      <c r="AP822" s="23" t="s">
        <v>29</v>
      </c>
      <c r="AQ822" s="23" t="s">
        <v>30</v>
      </c>
      <c r="AR822" s="23" t="s">
        <v>46</v>
      </c>
      <c r="AS822" s="25">
        <v>6059441</v>
      </c>
      <c r="AT822" t="s">
        <v>26</v>
      </c>
      <c r="AU822" t="s">
        <v>23320</v>
      </c>
    </row>
    <row r="823" spans="1:47" ht="26.25" x14ac:dyDescent="0.4">
      <c r="A823" s="23" t="s">
        <v>2088</v>
      </c>
      <c r="B823" t="s">
        <v>26</v>
      </c>
      <c r="C823" s="23" t="s">
        <v>22663</v>
      </c>
      <c r="D823" t="s">
        <v>26</v>
      </c>
      <c r="E823" s="23" t="s">
        <v>42</v>
      </c>
      <c r="F823" t="s">
        <v>26</v>
      </c>
      <c r="G823" t="s">
        <v>26</v>
      </c>
      <c r="H823" t="s">
        <v>26</v>
      </c>
      <c r="I823" s="24">
        <v>35431</v>
      </c>
      <c r="J823" s="24">
        <v>40544</v>
      </c>
      <c r="K823" t="s">
        <v>26</v>
      </c>
      <c r="L823" s="25" t="s">
        <v>28</v>
      </c>
      <c r="M823" s="24">
        <v>35431</v>
      </c>
      <c r="N823" s="24">
        <v>40544</v>
      </c>
      <c r="O823" t="s">
        <v>26</v>
      </c>
      <c r="P823" t="s">
        <v>26</v>
      </c>
      <c r="Q823" t="s">
        <v>26</v>
      </c>
      <c r="R823" t="s">
        <v>26</v>
      </c>
      <c r="S823" s="24">
        <v>35431</v>
      </c>
      <c r="T823" s="24">
        <v>40544</v>
      </c>
      <c r="U823" t="s">
        <v>26</v>
      </c>
      <c r="V823" t="s">
        <v>26</v>
      </c>
      <c r="W823" s="24">
        <v>35431</v>
      </c>
      <c r="X823" s="24">
        <v>40544</v>
      </c>
      <c r="Y823" t="s">
        <v>26</v>
      </c>
      <c r="Z823" s="24">
        <v>35431</v>
      </c>
      <c r="AA823" s="24">
        <v>40544</v>
      </c>
      <c r="AB823" t="s">
        <v>26</v>
      </c>
      <c r="AC823" s="24">
        <v>35431</v>
      </c>
      <c r="AD823" s="24">
        <v>40544</v>
      </c>
      <c r="AE823" t="s">
        <v>26</v>
      </c>
      <c r="AF823" s="24">
        <v>35431</v>
      </c>
      <c r="AG823" s="24">
        <v>40544</v>
      </c>
      <c r="AH823" t="s">
        <v>26</v>
      </c>
      <c r="AI823" s="24">
        <v>35431</v>
      </c>
      <c r="AJ823" s="24">
        <v>40544</v>
      </c>
      <c r="AK823" t="s">
        <v>26</v>
      </c>
      <c r="AL823" t="s">
        <v>26</v>
      </c>
      <c r="AM823" t="s">
        <v>26</v>
      </c>
      <c r="AN823" t="s">
        <v>26</v>
      </c>
      <c r="AO823" s="25" t="s">
        <v>28</v>
      </c>
      <c r="AP823" s="23" t="s">
        <v>43</v>
      </c>
      <c r="AQ823" s="23" t="s">
        <v>30</v>
      </c>
      <c r="AR823" s="23" t="s">
        <v>44</v>
      </c>
      <c r="AS823" s="25">
        <v>5256700</v>
      </c>
      <c r="AT823" t="s">
        <v>26</v>
      </c>
      <c r="AU823" t="s">
        <v>23321</v>
      </c>
    </row>
    <row r="824" spans="1:47" ht="26.25" x14ac:dyDescent="0.4">
      <c r="A824" s="23" t="s">
        <v>2089</v>
      </c>
      <c r="B824" t="s">
        <v>26</v>
      </c>
      <c r="C824" s="23" t="s">
        <v>146</v>
      </c>
      <c r="D824" s="23" t="s">
        <v>22174</v>
      </c>
      <c r="E824" s="23" t="s">
        <v>60</v>
      </c>
      <c r="F824" t="s">
        <v>26</v>
      </c>
      <c r="G824" t="s">
        <v>26</v>
      </c>
      <c r="H824" t="s">
        <v>26</v>
      </c>
      <c r="I824" t="s">
        <v>26</v>
      </c>
      <c r="J824" t="s">
        <v>26</v>
      </c>
      <c r="K824" t="s">
        <v>26</v>
      </c>
      <c r="L824" s="25" t="s">
        <v>28</v>
      </c>
      <c r="M824" t="s">
        <v>26</v>
      </c>
      <c r="N824" t="s">
        <v>26</v>
      </c>
      <c r="O824" t="s">
        <v>26</v>
      </c>
      <c r="P824" t="s">
        <v>26</v>
      </c>
      <c r="Q824" t="s">
        <v>26</v>
      </c>
      <c r="R824" t="s">
        <v>26</v>
      </c>
      <c r="S824" t="s">
        <v>26</v>
      </c>
      <c r="T824" t="s">
        <v>26</v>
      </c>
      <c r="U824" t="s">
        <v>26</v>
      </c>
      <c r="V824" t="s">
        <v>26</v>
      </c>
      <c r="W824" s="24">
        <v>42005</v>
      </c>
      <c r="X824" s="24">
        <v>42005</v>
      </c>
      <c r="Y824" t="s">
        <v>26</v>
      </c>
      <c r="Z824" s="24">
        <v>42005</v>
      </c>
      <c r="AA824" s="24">
        <v>42005</v>
      </c>
      <c r="AB824" t="s">
        <v>26</v>
      </c>
      <c r="AC824" t="s">
        <v>26</v>
      </c>
      <c r="AD824" t="s">
        <v>26</v>
      </c>
      <c r="AE824" t="s">
        <v>26</v>
      </c>
      <c r="AF824" t="s">
        <v>26</v>
      </c>
      <c r="AG824" t="s">
        <v>26</v>
      </c>
      <c r="AH824" t="s">
        <v>26</v>
      </c>
      <c r="AI824" t="s">
        <v>26</v>
      </c>
      <c r="AJ824" t="s">
        <v>26</v>
      </c>
      <c r="AK824" t="s">
        <v>26</v>
      </c>
      <c r="AL824" t="s">
        <v>26</v>
      </c>
      <c r="AM824" t="s">
        <v>26</v>
      </c>
      <c r="AN824" t="s">
        <v>26</v>
      </c>
      <c r="AO824" s="25" t="s">
        <v>28</v>
      </c>
      <c r="AP824" s="23" t="s">
        <v>29</v>
      </c>
      <c r="AQ824" s="23" t="s">
        <v>30</v>
      </c>
      <c r="AR824" s="23" t="s">
        <v>245</v>
      </c>
      <c r="AS824" s="25">
        <v>5483615</v>
      </c>
      <c r="AT824" s="23" t="s">
        <v>22181</v>
      </c>
      <c r="AU824" t="s">
        <v>23322</v>
      </c>
    </row>
    <row r="825" spans="1:47" ht="26.25" x14ac:dyDescent="0.4">
      <c r="A825" s="23" t="s">
        <v>2090</v>
      </c>
      <c r="B825" t="s">
        <v>26</v>
      </c>
      <c r="C825" s="23" t="s">
        <v>2091</v>
      </c>
      <c r="D825" s="23" t="s">
        <v>23323</v>
      </c>
      <c r="E825" s="23" t="s">
        <v>42</v>
      </c>
      <c r="F825" t="s">
        <v>26</v>
      </c>
      <c r="G825" t="s">
        <v>26</v>
      </c>
      <c r="H825" t="s">
        <v>26</v>
      </c>
      <c r="I825" s="24">
        <v>33604</v>
      </c>
      <c r="J825" s="24">
        <v>33604</v>
      </c>
      <c r="K825" t="s">
        <v>26</v>
      </c>
      <c r="L825" s="25" t="s">
        <v>28</v>
      </c>
      <c r="M825" s="24">
        <v>33604</v>
      </c>
      <c r="N825" s="24">
        <v>33604</v>
      </c>
      <c r="O825" t="s">
        <v>26</v>
      </c>
      <c r="P825" t="s">
        <v>26</v>
      </c>
      <c r="Q825" t="s">
        <v>26</v>
      </c>
      <c r="R825" t="s">
        <v>26</v>
      </c>
      <c r="S825" t="s">
        <v>26</v>
      </c>
      <c r="T825" t="s">
        <v>26</v>
      </c>
      <c r="U825" t="s">
        <v>26</v>
      </c>
      <c r="V825" t="s">
        <v>26</v>
      </c>
      <c r="W825" s="24">
        <v>33604</v>
      </c>
      <c r="X825" s="24">
        <v>33604</v>
      </c>
      <c r="Y825" t="s">
        <v>26</v>
      </c>
      <c r="Z825" s="24">
        <v>33604</v>
      </c>
      <c r="AA825" s="24">
        <v>33604</v>
      </c>
      <c r="AB825" t="s">
        <v>26</v>
      </c>
      <c r="AC825" s="24">
        <v>33604</v>
      </c>
      <c r="AD825" s="24">
        <v>33604</v>
      </c>
      <c r="AE825" t="s">
        <v>26</v>
      </c>
      <c r="AF825" t="s">
        <v>26</v>
      </c>
      <c r="AG825" t="s">
        <v>26</v>
      </c>
      <c r="AH825" t="s">
        <v>26</v>
      </c>
      <c r="AI825" t="s">
        <v>26</v>
      </c>
      <c r="AJ825" t="s">
        <v>26</v>
      </c>
      <c r="AK825" t="s">
        <v>26</v>
      </c>
      <c r="AL825" t="s">
        <v>26</v>
      </c>
      <c r="AM825" t="s">
        <v>26</v>
      </c>
      <c r="AN825" t="s">
        <v>26</v>
      </c>
      <c r="AO825" s="25" t="s">
        <v>28</v>
      </c>
      <c r="AP825" s="23" t="s">
        <v>29</v>
      </c>
      <c r="AQ825" s="23" t="s">
        <v>30</v>
      </c>
      <c r="AR825" s="23" t="s">
        <v>46</v>
      </c>
      <c r="AS825" s="25">
        <v>6009011</v>
      </c>
      <c r="AT825" t="s">
        <v>26</v>
      </c>
      <c r="AU825" t="s">
        <v>23324</v>
      </c>
    </row>
    <row r="826" spans="1:47" ht="39.4" x14ac:dyDescent="0.4">
      <c r="A826" s="23" t="s">
        <v>2092</v>
      </c>
      <c r="B826" t="s">
        <v>26</v>
      </c>
      <c r="C826" s="23" t="s">
        <v>22163</v>
      </c>
      <c r="D826" s="23" t="s">
        <v>22701</v>
      </c>
      <c r="E826" s="23" t="s">
        <v>42</v>
      </c>
      <c r="F826" t="s">
        <v>26</v>
      </c>
      <c r="G826" t="s">
        <v>26</v>
      </c>
      <c r="H826" t="s">
        <v>26</v>
      </c>
      <c r="I826" s="24">
        <v>41275</v>
      </c>
      <c r="J826" s="24">
        <v>41275</v>
      </c>
      <c r="K826" t="s">
        <v>26</v>
      </c>
      <c r="L826" s="25" t="s">
        <v>28</v>
      </c>
      <c r="M826" s="24">
        <v>41275</v>
      </c>
      <c r="N826" s="24">
        <v>41275</v>
      </c>
      <c r="O826" t="s">
        <v>26</v>
      </c>
      <c r="P826" t="s">
        <v>26</v>
      </c>
      <c r="Q826" t="s">
        <v>26</v>
      </c>
      <c r="R826" t="s">
        <v>26</v>
      </c>
      <c r="S826" s="24">
        <v>41275</v>
      </c>
      <c r="T826" s="24">
        <v>41275</v>
      </c>
      <c r="U826" t="s">
        <v>26</v>
      </c>
      <c r="V826" t="s">
        <v>26</v>
      </c>
      <c r="W826" s="24">
        <v>41275</v>
      </c>
      <c r="X826" s="24">
        <v>41275</v>
      </c>
      <c r="Y826" t="s">
        <v>26</v>
      </c>
      <c r="Z826" s="24">
        <v>41275</v>
      </c>
      <c r="AA826" s="24">
        <v>41275</v>
      </c>
      <c r="AB826" t="s">
        <v>26</v>
      </c>
      <c r="AC826" s="24">
        <v>41275</v>
      </c>
      <c r="AD826" s="24">
        <v>41275</v>
      </c>
      <c r="AE826" t="s">
        <v>26</v>
      </c>
      <c r="AF826" s="24">
        <v>41275</v>
      </c>
      <c r="AG826" s="24">
        <v>41275</v>
      </c>
      <c r="AH826" t="s">
        <v>26</v>
      </c>
      <c r="AI826" s="24">
        <v>41275</v>
      </c>
      <c r="AJ826" s="24">
        <v>41275</v>
      </c>
      <c r="AK826" t="s">
        <v>26</v>
      </c>
      <c r="AL826" t="s">
        <v>26</v>
      </c>
      <c r="AM826" t="s">
        <v>26</v>
      </c>
      <c r="AN826" t="s">
        <v>26</v>
      </c>
      <c r="AO826" s="25" t="s">
        <v>28</v>
      </c>
      <c r="AP826" s="23" t="s">
        <v>43</v>
      </c>
      <c r="AQ826" s="23" t="s">
        <v>30</v>
      </c>
      <c r="AR826" s="23" t="s">
        <v>46</v>
      </c>
      <c r="AS826" s="25">
        <v>6362749</v>
      </c>
      <c r="AT826" t="s">
        <v>26</v>
      </c>
      <c r="AU826" t="s">
        <v>23325</v>
      </c>
    </row>
    <row r="827" spans="1:47" ht="26.25" x14ac:dyDescent="0.4">
      <c r="A827" s="23" t="s">
        <v>2093</v>
      </c>
      <c r="B827" t="s">
        <v>26</v>
      </c>
      <c r="C827" s="23" t="s">
        <v>552</v>
      </c>
      <c r="D827" s="23" t="s">
        <v>22231</v>
      </c>
      <c r="E827" s="23" t="s">
        <v>42</v>
      </c>
      <c r="F827" t="s">
        <v>26</v>
      </c>
      <c r="G827" t="s">
        <v>26</v>
      </c>
      <c r="H827" t="s">
        <v>26</v>
      </c>
      <c r="I827" s="24">
        <v>39448</v>
      </c>
      <c r="J827" s="24">
        <v>39448</v>
      </c>
      <c r="K827" t="s">
        <v>26</v>
      </c>
      <c r="L827" s="25" t="s">
        <v>28</v>
      </c>
      <c r="M827" s="24">
        <v>39448</v>
      </c>
      <c r="N827" s="24">
        <v>39448</v>
      </c>
      <c r="O827" t="s">
        <v>26</v>
      </c>
      <c r="P827" t="s">
        <v>26</v>
      </c>
      <c r="Q827" t="s">
        <v>26</v>
      </c>
      <c r="R827" t="s">
        <v>26</v>
      </c>
      <c r="S827" t="s">
        <v>26</v>
      </c>
      <c r="T827" t="s">
        <v>26</v>
      </c>
      <c r="U827" t="s">
        <v>26</v>
      </c>
      <c r="V827" t="s">
        <v>26</v>
      </c>
      <c r="W827" s="24">
        <v>39448</v>
      </c>
      <c r="X827" s="24">
        <v>39448</v>
      </c>
      <c r="Y827" t="s">
        <v>26</v>
      </c>
      <c r="Z827" s="24">
        <v>39448</v>
      </c>
      <c r="AA827" s="24">
        <v>39448</v>
      </c>
      <c r="AB827" t="s">
        <v>26</v>
      </c>
      <c r="AC827" s="24">
        <v>39448</v>
      </c>
      <c r="AD827" s="24">
        <v>39448</v>
      </c>
      <c r="AE827" t="s">
        <v>26</v>
      </c>
      <c r="AF827" t="s">
        <v>26</v>
      </c>
      <c r="AG827" t="s">
        <v>26</v>
      </c>
      <c r="AH827" t="s">
        <v>26</v>
      </c>
      <c r="AI827" t="s">
        <v>26</v>
      </c>
      <c r="AJ827" t="s">
        <v>26</v>
      </c>
      <c r="AK827" t="s">
        <v>26</v>
      </c>
      <c r="AL827" t="s">
        <v>26</v>
      </c>
      <c r="AM827" t="s">
        <v>26</v>
      </c>
      <c r="AN827" t="s">
        <v>26</v>
      </c>
      <c r="AO827" s="25" t="s">
        <v>28</v>
      </c>
      <c r="AP827" s="23" t="s">
        <v>29</v>
      </c>
      <c r="AQ827" s="23" t="s">
        <v>30</v>
      </c>
      <c r="AR827" s="23" t="s">
        <v>46</v>
      </c>
      <c r="AS827" s="25">
        <v>6059440</v>
      </c>
      <c r="AT827" t="s">
        <v>26</v>
      </c>
      <c r="AU827" t="s">
        <v>23326</v>
      </c>
    </row>
    <row r="828" spans="1:47" ht="26.25" x14ac:dyDescent="0.4">
      <c r="A828" s="23" t="s">
        <v>2094</v>
      </c>
      <c r="B828" t="s">
        <v>26</v>
      </c>
      <c r="C828" s="23" t="s">
        <v>107</v>
      </c>
      <c r="D828" s="23" t="s">
        <v>23327</v>
      </c>
      <c r="E828" s="23" t="s">
        <v>42</v>
      </c>
      <c r="F828" s="25" t="s">
        <v>2095</v>
      </c>
      <c r="G828" s="25" t="s">
        <v>2096</v>
      </c>
      <c r="H828" t="s">
        <v>26</v>
      </c>
      <c r="I828" t="s">
        <v>26</v>
      </c>
      <c r="J828" t="s">
        <v>26</v>
      </c>
      <c r="K828" t="s">
        <v>26</v>
      </c>
      <c r="L828" s="25" t="s">
        <v>68</v>
      </c>
      <c r="M828" t="s">
        <v>26</v>
      </c>
      <c r="N828" t="s">
        <v>26</v>
      </c>
      <c r="O828" t="s">
        <v>26</v>
      </c>
      <c r="P828" t="s">
        <v>26</v>
      </c>
      <c r="Q828" t="s">
        <v>26</v>
      </c>
      <c r="R828" t="s">
        <v>26</v>
      </c>
      <c r="S828" t="s">
        <v>26</v>
      </c>
      <c r="T828" t="s">
        <v>26</v>
      </c>
      <c r="U828" t="s">
        <v>26</v>
      </c>
      <c r="V828" t="s">
        <v>26</v>
      </c>
      <c r="W828" s="24">
        <v>40603</v>
      </c>
      <c r="X828" s="24">
        <v>43282</v>
      </c>
      <c r="Y828" t="s">
        <v>26</v>
      </c>
      <c r="Z828" s="24">
        <v>40603</v>
      </c>
      <c r="AA828" s="24">
        <v>43282</v>
      </c>
      <c r="AB828" t="s">
        <v>26</v>
      </c>
      <c r="AC828" s="24">
        <v>40603</v>
      </c>
      <c r="AD828" s="24">
        <v>43282</v>
      </c>
      <c r="AE828" t="s">
        <v>26</v>
      </c>
      <c r="AF828" t="s">
        <v>26</v>
      </c>
      <c r="AG828" t="s">
        <v>26</v>
      </c>
      <c r="AH828" t="s">
        <v>26</v>
      </c>
      <c r="AI828" t="s">
        <v>26</v>
      </c>
      <c r="AJ828" t="s">
        <v>26</v>
      </c>
      <c r="AK828" t="s">
        <v>26</v>
      </c>
      <c r="AL828" t="s">
        <v>26</v>
      </c>
      <c r="AM828" t="s">
        <v>26</v>
      </c>
      <c r="AN828" t="s">
        <v>26</v>
      </c>
      <c r="AO828" s="25" t="s">
        <v>68</v>
      </c>
      <c r="AP828" s="23" t="s">
        <v>69</v>
      </c>
      <c r="AQ828" s="23" t="s">
        <v>30</v>
      </c>
      <c r="AR828" s="23" t="s">
        <v>46</v>
      </c>
      <c r="AS828" s="25">
        <v>436435</v>
      </c>
      <c r="AT828" t="s">
        <v>26</v>
      </c>
      <c r="AU828" t="s">
        <v>23328</v>
      </c>
    </row>
    <row r="829" spans="1:47" ht="26.25" x14ac:dyDescent="0.4">
      <c r="A829" s="23" t="s">
        <v>2097</v>
      </c>
      <c r="B829" t="s">
        <v>26</v>
      </c>
      <c r="C829" s="23" t="s">
        <v>1612</v>
      </c>
      <c r="D829" s="23" t="s">
        <v>23047</v>
      </c>
      <c r="E829" s="23" t="s">
        <v>42</v>
      </c>
      <c r="F829" t="s">
        <v>26</v>
      </c>
      <c r="G829" t="s">
        <v>26</v>
      </c>
      <c r="H829" t="s">
        <v>26</v>
      </c>
      <c r="I829" t="s">
        <v>26</v>
      </c>
      <c r="J829" t="s">
        <v>26</v>
      </c>
      <c r="K829" t="s">
        <v>26</v>
      </c>
      <c r="L829" s="25" t="s">
        <v>28</v>
      </c>
      <c r="M829" t="s">
        <v>26</v>
      </c>
      <c r="N829" t="s">
        <v>26</v>
      </c>
      <c r="O829" t="s">
        <v>26</v>
      </c>
      <c r="P829" t="s">
        <v>26</v>
      </c>
      <c r="Q829" t="s">
        <v>26</v>
      </c>
      <c r="R829" t="s">
        <v>26</v>
      </c>
      <c r="S829" t="s">
        <v>26</v>
      </c>
      <c r="T829" t="s">
        <v>26</v>
      </c>
      <c r="U829" t="s">
        <v>26</v>
      </c>
      <c r="V829" t="s">
        <v>26</v>
      </c>
      <c r="W829" s="24">
        <v>42370</v>
      </c>
      <c r="X829" s="24">
        <v>42370</v>
      </c>
      <c r="Y829" t="s">
        <v>26</v>
      </c>
      <c r="Z829" s="24">
        <v>42370</v>
      </c>
      <c r="AA829" s="24">
        <v>42370</v>
      </c>
      <c r="AB829" t="s">
        <v>26</v>
      </c>
      <c r="AC829" t="s">
        <v>26</v>
      </c>
      <c r="AD829" t="s">
        <v>26</v>
      </c>
      <c r="AE829" t="s">
        <v>26</v>
      </c>
      <c r="AF829" t="s">
        <v>26</v>
      </c>
      <c r="AG829" t="s">
        <v>26</v>
      </c>
      <c r="AH829" t="s">
        <v>26</v>
      </c>
      <c r="AI829" t="s">
        <v>26</v>
      </c>
      <c r="AJ829" t="s">
        <v>26</v>
      </c>
      <c r="AK829" t="s">
        <v>26</v>
      </c>
      <c r="AL829" t="s">
        <v>26</v>
      </c>
      <c r="AM829" t="s">
        <v>26</v>
      </c>
      <c r="AN829" t="s">
        <v>26</v>
      </c>
      <c r="AO829" s="25" t="s">
        <v>28</v>
      </c>
      <c r="AP829" s="23" t="s">
        <v>29</v>
      </c>
      <c r="AQ829" s="23" t="s">
        <v>30</v>
      </c>
      <c r="AR829" s="23" t="s">
        <v>147</v>
      </c>
      <c r="AS829" s="25">
        <v>5483548</v>
      </c>
      <c r="AT829" s="23" t="s">
        <v>22181</v>
      </c>
      <c r="AU829" t="s">
        <v>23329</v>
      </c>
    </row>
    <row r="830" spans="1:47" ht="26.25" x14ac:dyDescent="0.4">
      <c r="A830" s="23" t="s">
        <v>2098</v>
      </c>
      <c r="B830" t="s">
        <v>26</v>
      </c>
      <c r="C830" s="23" t="s">
        <v>176</v>
      </c>
      <c r="D830" s="23" t="s">
        <v>23021</v>
      </c>
      <c r="E830" s="23" t="s">
        <v>60</v>
      </c>
      <c r="F830" s="25" t="s">
        <v>2099</v>
      </c>
      <c r="G830" s="25" t="s">
        <v>2100</v>
      </c>
      <c r="H830" t="s">
        <v>26</v>
      </c>
      <c r="I830" t="s">
        <v>26</v>
      </c>
      <c r="J830" t="s">
        <v>26</v>
      </c>
      <c r="K830" t="s">
        <v>26</v>
      </c>
      <c r="L830" s="25" t="s">
        <v>68</v>
      </c>
      <c r="M830" t="s">
        <v>26</v>
      </c>
      <c r="N830" t="s">
        <v>26</v>
      </c>
      <c r="O830" t="s">
        <v>26</v>
      </c>
      <c r="P830" t="s">
        <v>26</v>
      </c>
      <c r="Q830" t="s">
        <v>26</v>
      </c>
      <c r="R830" t="s">
        <v>26</v>
      </c>
      <c r="S830" t="s">
        <v>26</v>
      </c>
      <c r="T830" t="s">
        <v>26</v>
      </c>
      <c r="U830" t="s">
        <v>26</v>
      </c>
      <c r="V830" t="s">
        <v>26</v>
      </c>
      <c r="W830" s="24">
        <v>42675</v>
      </c>
      <c r="X830" s="24">
        <v>44927</v>
      </c>
      <c r="Y830" t="s">
        <v>26</v>
      </c>
      <c r="Z830" s="24">
        <v>42675</v>
      </c>
      <c r="AA830" s="24">
        <v>44927</v>
      </c>
      <c r="AB830" t="s">
        <v>26</v>
      </c>
      <c r="AC830" s="24">
        <v>42675</v>
      </c>
      <c r="AD830" s="24">
        <v>44927</v>
      </c>
      <c r="AE830" t="s">
        <v>26</v>
      </c>
      <c r="AF830" t="s">
        <v>26</v>
      </c>
      <c r="AG830" t="s">
        <v>26</v>
      </c>
      <c r="AH830" t="s">
        <v>26</v>
      </c>
      <c r="AI830" t="s">
        <v>26</v>
      </c>
      <c r="AJ830" t="s">
        <v>26</v>
      </c>
      <c r="AK830" t="s">
        <v>26</v>
      </c>
      <c r="AL830" t="s">
        <v>26</v>
      </c>
      <c r="AM830" t="s">
        <v>26</v>
      </c>
      <c r="AN830" t="s">
        <v>26</v>
      </c>
      <c r="AO830" s="25" t="s">
        <v>68</v>
      </c>
      <c r="AP830" s="23" t="s">
        <v>69</v>
      </c>
      <c r="AQ830" s="23" t="s">
        <v>30</v>
      </c>
      <c r="AR830" s="23" t="s">
        <v>203</v>
      </c>
      <c r="AS830" s="25">
        <v>2033333</v>
      </c>
      <c r="AT830" t="s">
        <v>26</v>
      </c>
      <c r="AU830" t="s">
        <v>23330</v>
      </c>
    </row>
    <row r="831" spans="1:47" ht="26.25" x14ac:dyDescent="0.4">
      <c r="A831" s="23" t="s">
        <v>2101</v>
      </c>
      <c r="B831" t="s">
        <v>26</v>
      </c>
      <c r="C831" s="23" t="s">
        <v>172</v>
      </c>
      <c r="D831" s="23" t="s">
        <v>23331</v>
      </c>
      <c r="E831" s="23" t="s">
        <v>60</v>
      </c>
      <c r="F831" s="25" t="s">
        <v>2102</v>
      </c>
      <c r="G831" s="25" t="s">
        <v>2103</v>
      </c>
      <c r="H831" t="s">
        <v>26</v>
      </c>
      <c r="I831" s="24">
        <v>35855</v>
      </c>
      <c r="J831" s="24">
        <v>36770</v>
      </c>
      <c r="K831" t="s">
        <v>26</v>
      </c>
      <c r="L831" s="25" t="s">
        <v>68</v>
      </c>
      <c r="M831" s="24">
        <v>35855</v>
      </c>
      <c r="N831" s="24">
        <v>36770</v>
      </c>
      <c r="O831" t="s">
        <v>26</v>
      </c>
      <c r="P831" s="24">
        <v>35855</v>
      </c>
      <c r="Q831" s="24">
        <v>36770</v>
      </c>
      <c r="R831" t="s">
        <v>26</v>
      </c>
      <c r="S831" t="s">
        <v>26</v>
      </c>
      <c r="T831" t="s">
        <v>26</v>
      </c>
      <c r="U831" t="s">
        <v>26</v>
      </c>
      <c r="V831" t="s">
        <v>26</v>
      </c>
      <c r="W831" s="24">
        <v>35855</v>
      </c>
      <c r="X831" s="24">
        <v>36770</v>
      </c>
      <c r="Y831" t="s">
        <v>26</v>
      </c>
      <c r="Z831" s="24">
        <v>35855</v>
      </c>
      <c r="AA831" s="24">
        <v>36770</v>
      </c>
      <c r="AB831" t="s">
        <v>26</v>
      </c>
      <c r="AC831" t="s">
        <v>26</v>
      </c>
      <c r="AD831" t="s">
        <v>26</v>
      </c>
      <c r="AE831" t="s">
        <v>26</v>
      </c>
      <c r="AF831" t="s">
        <v>26</v>
      </c>
      <c r="AG831" t="s">
        <v>26</v>
      </c>
      <c r="AH831" t="s">
        <v>26</v>
      </c>
      <c r="AI831" t="s">
        <v>26</v>
      </c>
      <c r="AJ831" t="s">
        <v>26</v>
      </c>
      <c r="AK831" t="s">
        <v>26</v>
      </c>
      <c r="AL831" t="s">
        <v>26</v>
      </c>
      <c r="AM831" t="s">
        <v>26</v>
      </c>
      <c r="AN831" t="s">
        <v>26</v>
      </c>
      <c r="AO831" s="25" t="s">
        <v>68</v>
      </c>
      <c r="AP831" s="23" t="s">
        <v>69</v>
      </c>
      <c r="AQ831" s="23" t="s">
        <v>30</v>
      </c>
      <c r="AR831" s="23" t="s">
        <v>2104</v>
      </c>
      <c r="AS831" s="25">
        <v>33024</v>
      </c>
      <c r="AT831" t="s">
        <v>26</v>
      </c>
      <c r="AU831" t="s">
        <v>23332</v>
      </c>
    </row>
    <row r="832" spans="1:47" ht="26.25" x14ac:dyDescent="0.4">
      <c r="A832" s="23" t="s">
        <v>2101</v>
      </c>
      <c r="B832" t="s">
        <v>26</v>
      </c>
      <c r="C832" s="23" t="s">
        <v>320</v>
      </c>
      <c r="D832" s="23" t="s">
        <v>23331</v>
      </c>
      <c r="E832" s="23" t="s">
        <v>42</v>
      </c>
      <c r="F832" s="25" t="s">
        <v>2102</v>
      </c>
      <c r="G832" s="25" t="s">
        <v>2103</v>
      </c>
      <c r="H832" t="s">
        <v>26</v>
      </c>
      <c r="I832" t="s">
        <v>26</v>
      </c>
      <c r="J832" t="s">
        <v>26</v>
      </c>
      <c r="K832" t="s">
        <v>26</v>
      </c>
      <c r="L832" s="25" t="s">
        <v>68</v>
      </c>
      <c r="M832" t="s">
        <v>26</v>
      </c>
      <c r="N832" t="s">
        <v>26</v>
      </c>
      <c r="O832" t="s">
        <v>26</v>
      </c>
      <c r="P832" t="s">
        <v>26</v>
      </c>
      <c r="Q832" t="s">
        <v>26</v>
      </c>
      <c r="R832" t="s">
        <v>26</v>
      </c>
      <c r="S832" t="s">
        <v>26</v>
      </c>
      <c r="T832" t="s">
        <v>26</v>
      </c>
      <c r="U832" t="s">
        <v>26</v>
      </c>
      <c r="V832" t="s">
        <v>26</v>
      </c>
      <c r="W832" s="24">
        <v>41640</v>
      </c>
      <c r="X832" s="25" t="s">
        <v>77</v>
      </c>
      <c r="Y832" t="s">
        <v>26</v>
      </c>
      <c r="Z832" s="24">
        <v>41640</v>
      </c>
      <c r="AA832" s="25" t="s">
        <v>77</v>
      </c>
      <c r="AB832" t="s">
        <v>26</v>
      </c>
      <c r="AC832" s="24">
        <v>41640</v>
      </c>
      <c r="AD832" s="25" t="s">
        <v>77</v>
      </c>
      <c r="AE832" t="s">
        <v>26</v>
      </c>
      <c r="AF832" t="s">
        <v>26</v>
      </c>
      <c r="AG832" t="s">
        <v>26</v>
      </c>
      <c r="AH832" t="s">
        <v>26</v>
      </c>
      <c r="AI832" t="s">
        <v>26</v>
      </c>
      <c r="AJ832" t="s">
        <v>26</v>
      </c>
      <c r="AK832" t="s">
        <v>26</v>
      </c>
      <c r="AL832" t="s">
        <v>26</v>
      </c>
      <c r="AM832" t="s">
        <v>26</v>
      </c>
      <c r="AN832" t="s">
        <v>26</v>
      </c>
      <c r="AO832" s="25" t="s">
        <v>68</v>
      </c>
      <c r="AP832" s="23" t="s">
        <v>69</v>
      </c>
      <c r="AQ832" s="23" t="s">
        <v>30</v>
      </c>
      <c r="AR832" s="23" t="s">
        <v>2104</v>
      </c>
      <c r="AS832" s="25">
        <v>2033332</v>
      </c>
      <c r="AT832" t="s">
        <v>26</v>
      </c>
      <c r="AU832" t="s">
        <v>23333</v>
      </c>
    </row>
    <row r="833" spans="1:47" ht="26.25" x14ac:dyDescent="0.4">
      <c r="A833" s="23" t="s">
        <v>2105</v>
      </c>
      <c r="B833" t="s">
        <v>26</v>
      </c>
      <c r="C833" s="23" t="s">
        <v>73</v>
      </c>
      <c r="D833" s="23" t="s">
        <v>22748</v>
      </c>
      <c r="E833" s="23" t="s">
        <v>74</v>
      </c>
      <c r="F833" s="25" t="s">
        <v>2106</v>
      </c>
      <c r="G833" s="25" t="s">
        <v>2107</v>
      </c>
      <c r="H833" t="s">
        <v>26</v>
      </c>
      <c r="I833" s="24">
        <v>39600</v>
      </c>
      <c r="J833" s="25" t="s">
        <v>77</v>
      </c>
      <c r="K833" t="s">
        <v>26</v>
      </c>
      <c r="L833" s="25" t="s">
        <v>68</v>
      </c>
      <c r="M833" s="24">
        <v>39600</v>
      </c>
      <c r="N833" s="25" t="s">
        <v>77</v>
      </c>
      <c r="O833" t="s">
        <v>26</v>
      </c>
      <c r="P833" s="24">
        <v>39600</v>
      </c>
      <c r="Q833" s="25" t="s">
        <v>77</v>
      </c>
      <c r="R833" t="s">
        <v>26</v>
      </c>
      <c r="S833" t="s">
        <v>26</v>
      </c>
      <c r="T833" t="s">
        <v>26</v>
      </c>
      <c r="U833" t="s">
        <v>26</v>
      </c>
      <c r="V833" s="25">
        <v>365</v>
      </c>
      <c r="W833" s="24">
        <v>39600</v>
      </c>
      <c r="X833" s="25" t="s">
        <v>77</v>
      </c>
      <c r="Y833" t="s">
        <v>26</v>
      </c>
      <c r="Z833" s="24">
        <v>39600</v>
      </c>
      <c r="AA833" s="25" t="s">
        <v>77</v>
      </c>
      <c r="AB833" t="s">
        <v>26</v>
      </c>
      <c r="AC833" s="24">
        <v>39600</v>
      </c>
      <c r="AD833" s="25" t="s">
        <v>77</v>
      </c>
      <c r="AE833" s="25" t="s">
        <v>23334</v>
      </c>
      <c r="AF833" t="s">
        <v>26</v>
      </c>
      <c r="AG833" t="s">
        <v>26</v>
      </c>
      <c r="AH833" t="s">
        <v>26</v>
      </c>
      <c r="AI833" t="s">
        <v>26</v>
      </c>
      <c r="AJ833" t="s">
        <v>26</v>
      </c>
      <c r="AK833" t="s">
        <v>26</v>
      </c>
      <c r="AL833" t="s">
        <v>26</v>
      </c>
      <c r="AM833" t="s">
        <v>26</v>
      </c>
      <c r="AN833" t="s">
        <v>26</v>
      </c>
      <c r="AO833" s="25" t="s">
        <v>68</v>
      </c>
      <c r="AP833" s="23" t="s">
        <v>69</v>
      </c>
      <c r="AQ833" s="23" t="s">
        <v>30</v>
      </c>
      <c r="AR833" s="23" t="s">
        <v>2108</v>
      </c>
      <c r="AS833" s="25">
        <v>32188</v>
      </c>
      <c r="AT833" t="s">
        <v>26</v>
      </c>
      <c r="AU833" t="s">
        <v>23335</v>
      </c>
    </row>
    <row r="834" spans="1:47" ht="26.25" x14ac:dyDescent="0.4">
      <c r="A834" s="23" t="s">
        <v>2109</v>
      </c>
      <c r="B834" t="s">
        <v>26</v>
      </c>
      <c r="C834" s="23" t="s">
        <v>264</v>
      </c>
      <c r="D834" s="23" t="s">
        <v>23336</v>
      </c>
      <c r="E834" s="23" t="s">
        <v>60</v>
      </c>
      <c r="F834" s="25" t="s">
        <v>2110</v>
      </c>
      <c r="G834" s="25" t="s">
        <v>2111</v>
      </c>
      <c r="H834" t="s">
        <v>26</v>
      </c>
      <c r="I834" s="24">
        <v>37956</v>
      </c>
      <c r="J834" s="25" t="s">
        <v>77</v>
      </c>
      <c r="K834" t="s">
        <v>26</v>
      </c>
      <c r="L834" s="25" t="s">
        <v>68</v>
      </c>
      <c r="M834" s="24">
        <v>37956</v>
      </c>
      <c r="N834" s="25" t="s">
        <v>77</v>
      </c>
      <c r="O834" s="25" t="s">
        <v>2112</v>
      </c>
      <c r="P834" s="24">
        <v>37956</v>
      </c>
      <c r="Q834" s="25" t="s">
        <v>77</v>
      </c>
      <c r="R834" t="s">
        <v>26</v>
      </c>
      <c r="S834" t="s">
        <v>26</v>
      </c>
      <c r="T834" t="s">
        <v>26</v>
      </c>
      <c r="U834" t="s">
        <v>26</v>
      </c>
      <c r="V834" s="25">
        <v>365</v>
      </c>
      <c r="W834" s="24">
        <v>37956</v>
      </c>
      <c r="X834" s="25" t="s">
        <v>77</v>
      </c>
      <c r="Y834" t="s">
        <v>26</v>
      </c>
      <c r="Z834" s="24">
        <v>37956</v>
      </c>
      <c r="AA834" s="25" t="s">
        <v>77</v>
      </c>
      <c r="AB834" t="s">
        <v>26</v>
      </c>
      <c r="AC834" s="24">
        <v>37956</v>
      </c>
      <c r="AD834" s="25" t="s">
        <v>77</v>
      </c>
      <c r="AE834" t="s">
        <v>26</v>
      </c>
      <c r="AF834" t="s">
        <v>26</v>
      </c>
      <c r="AG834" t="s">
        <v>26</v>
      </c>
      <c r="AH834" t="s">
        <v>26</v>
      </c>
      <c r="AI834" t="s">
        <v>26</v>
      </c>
      <c r="AJ834" t="s">
        <v>26</v>
      </c>
      <c r="AK834" t="s">
        <v>26</v>
      </c>
      <c r="AL834" t="s">
        <v>26</v>
      </c>
      <c r="AM834" t="s">
        <v>26</v>
      </c>
      <c r="AN834" t="s">
        <v>26</v>
      </c>
      <c r="AO834" s="25" t="s">
        <v>68</v>
      </c>
      <c r="AP834" s="23" t="s">
        <v>69</v>
      </c>
      <c r="AQ834" s="23" t="s">
        <v>30</v>
      </c>
      <c r="AR834" s="23" t="s">
        <v>203</v>
      </c>
      <c r="AS834" s="25">
        <v>28228</v>
      </c>
      <c r="AT834" t="s">
        <v>26</v>
      </c>
      <c r="AU834" t="s">
        <v>23337</v>
      </c>
    </row>
    <row r="835" spans="1:47" ht="26.25" x14ac:dyDescent="0.4">
      <c r="A835" s="23" t="s">
        <v>2113</v>
      </c>
      <c r="B835" t="s">
        <v>26</v>
      </c>
      <c r="C835" s="23" t="s">
        <v>80</v>
      </c>
      <c r="D835" s="23" t="s">
        <v>22184</v>
      </c>
      <c r="E835" s="23" t="s">
        <v>60</v>
      </c>
      <c r="F835" s="25" t="s">
        <v>2114</v>
      </c>
      <c r="G835" s="25" t="s">
        <v>2115</v>
      </c>
      <c r="H835" t="s">
        <v>26</v>
      </c>
      <c r="I835" s="24">
        <v>35977</v>
      </c>
      <c r="J835" s="24">
        <v>36831</v>
      </c>
      <c r="K835" t="s">
        <v>26</v>
      </c>
      <c r="L835" s="25" t="s">
        <v>68</v>
      </c>
      <c r="M835" s="24">
        <v>35977</v>
      </c>
      <c r="N835" s="24">
        <v>36831</v>
      </c>
      <c r="O835" t="s">
        <v>26</v>
      </c>
      <c r="P835" s="24">
        <v>35977</v>
      </c>
      <c r="Q835" s="24">
        <v>36831</v>
      </c>
      <c r="R835" t="s">
        <v>26</v>
      </c>
      <c r="S835" t="s">
        <v>26</v>
      </c>
      <c r="T835" t="s">
        <v>26</v>
      </c>
      <c r="U835" t="s">
        <v>26</v>
      </c>
      <c r="V835" t="s">
        <v>26</v>
      </c>
      <c r="W835" s="24">
        <v>35977</v>
      </c>
      <c r="X835" s="24">
        <v>36831</v>
      </c>
      <c r="Y835" t="s">
        <v>26</v>
      </c>
      <c r="Z835" s="24">
        <v>35977</v>
      </c>
      <c r="AA835" s="24">
        <v>36831</v>
      </c>
      <c r="AB835" t="s">
        <v>26</v>
      </c>
      <c r="AC835" t="s">
        <v>26</v>
      </c>
      <c r="AD835" t="s">
        <v>26</v>
      </c>
      <c r="AE835" t="s">
        <v>26</v>
      </c>
      <c r="AF835" t="s">
        <v>26</v>
      </c>
      <c r="AG835" t="s">
        <v>26</v>
      </c>
      <c r="AH835" t="s">
        <v>26</v>
      </c>
      <c r="AI835" t="s">
        <v>26</v>
      </c>
      <c r="AJ835" t="s">
        <v>26</v>
      </c>
      <c r="AK835" t="s">
        <v>26</v>
      </c>
      <c r="AL835" t="s">
        <v>26</v>
      </c>
      <c r="AM835" t="s">
        <v>26</v>
      </c>
      <c r="AN835" t="s">
        <v>26</v>
      </c>
      <c r="AO835" s="25" t="s">
        <v>68</v>
      </c>
      <c r="AP835" s="23" t="s">
        <v>69</v>
      </c>
      <c r="AQ835" s="23" t="s">
        <v>30</v>
      </c>
      <c r="AR835" s="23" t="s">
        <v>2104</v>
      </c>
      <c r="AS835" s="25">
        <v>33679</v>
      </c>
      <c r="AT835" t="s">
        <v>26</v>
      </c>
      <c r="AU835" t="s">
        <v>23338</v>
      </c>
    </row>
    <row r="836" spans="1:47" ht="26.25" x14ac:dyDescent="0.4">
      <c r="A836" s="23" t="s">
        <v>2116</v>
      </c>
      <c r="B836" t="s">
        <v>26</v>
      </c>
      <c r="C836" s="23" t="s">
        <v>2117</v>
      </c>
      <c r="D836" s="23" t="s">
        <v>23339</v>
      </c>
      <c r="E836" s="23" t="s">
        <v>2118</v>
      </c>
      <c r="F836" s="25" t="s">
        <v>2119</v>
      </c>
      <c r="G836" s="25" t="s">
        <v>2120</v>
      </c>
      <c r="H836" t="s">
        <v>26</v>
      </c>
      <c r="I836" s="24">
        <v>40238</v>
      </c>
      <c r="J836" s="25" t="s">
        <v>77</v>
      </c>
      <c r="K836" t="s">
        <v>26</v>
      </c>
      <c r="L836" s="25" t="s">
        <v>68</v>
      </c>
      <c r="M836" s="24">
        <v>40238</v>
      </c>
      <c r="N836" s="25" t="s">
        <v>77</v>
      </c>
      <c r="O836" t="s">
        <v>26</v>
      </c>
      <c r="P836" s="24">
        <v>40238</v>
      </c>
      <c r="Q836" s="25" t="s">
        <v>77</v>
      </c>
      <c r="R836" t="s">
        <v>26</v>
      </c>
      <c r="S836" t="s">
        <v>26</v>
      </c>
      <c r="T836" t="s">
        <v>26</v>
      </c>
      <c r="U836" t="s">
        <v>26</v>
      </c>
      <c r="V836" t="s">
        <v>26</v>
      </c>
      <c r="W836" s="24">
        <v>40238</v>
      </c>
      <c r="X836" s="25" t="s">
        <v>77</v>
      </c>
      <c r="Y836" t="s">
        <v>26</v>
      </c>
      <c r="Z836" s="24">
        <v>40238</v>
      </c>
      <c r="AA836" s="25" t="s">
        <v>77</v>
      </c>
      <c r="AB836" t="s">
        <v>26</v>
      </c>
      <c r="AC836" s="24">
        <v>40238</v>
      </c>
      <c r="AD836" s="25" t="s">
        <v>77</v>
      </c>
      <c r="AE836" t="s">
        <v>26</v>
      </c>
      <c r="AF836" t="s">
        <v>26</v>
      </c>
      <c r="AG836" t="s">
        <v>26</v>
      </c>
      <c r="AH836" t="s">
        <v>26</v>
      </c>
      <c r="AI836" t="s">
        <v>26</v>
      </c>
      <c r="AJ836" t="s">
        <v>26</v>
      </c>
      <c r="AK836" t="s">
        <v>26</v>
      </c>
      <c r="AL836" t="s">
        <v>26</v>
      </c>
      <c r="AM836" t="s">
        <v>26</v>
      </c>
      <c r="AN836" t="s">
        <v>26</v>
      </c>
      <c r="AO836" s="25" t="s">
        <v>68</v>
      </c>
      <c r="AP836" s="23" t="s">
        <v>69</v>
      </c>
      <c r="AQ836" s="23" t="s">
        <v>528</v>
      </c>
      <c r="AR836" s="23" t="s">
        <v>70</v>
      </c>
      <c r="AS836" s="25">
        <v>237750</v>
      </c>
      <c r="AT836" t="s">
        <v>26</v>
      </c>
      <c r="AU836" t="s">
        <v>23340</v>
      </c>
    </row>
    <row r="837" spans="1:47" ht="26.25" x14ac:dyDescent="0.4">
      <c r="A837" s="23" t="s">
        <v>2121</v>
      </c>
      <c r="B837" t="s">
        <v>26</v>
      </c>
      <c r="C837" s="23" t="s">
        <v>80</v>
      </c>
      <c r="D837" s="23" t="s">
        <v>22184</v>
      </c>
      <c r="E837" s="23" t="s">
        <v>60</v>
      </c>
      <c r="F837" s="25" t="s">
        <v>2122</v>
      </c>
      <c r="G837" s="25" t="s">
        <v>2123</v>
      </c>
      <c r="H837" t="s">
        <v>26</v>
      </c>
      <c r="I837" t="s">
        <v>26</v>
      </c>
      <c r="J837" t="s">
        <v>26</v>
      </c>
      <c r="K837" t="s">
        <v>26</v>
      </c>
      <c r="L837" s="25" t="s">
        <v>68</v>
      </c>
      <c r="M837" t="s">
        <v>26</v>
      </c>
      <c r="N837" t="s">
        <v>26</v>
      </c>
      <c r="O837" t="s">
        <v>26</v>
      </c>
      <c r="P837" t="s">
        <v>26</v>
      </c>
      <c r="Q837" t="s">
        <v>26</v>
      </c>
      <c r="R837" t="s">
        <v>26</v>
      </c>
      <c r="S837" t="s">
        <v>26</v>
      </c>
      <c r="T837" t="s">
        <v>26</v>
      </c>
      <c r="U837" t="s">
        <v>26</v>
      </c>
      <c r="V837" t="s">
        <v>26</v>
      </c>
      <c r="W837" s="24">
        <v>43160</v>
      </c>
      <c r="X837" s="25" t="s">
        <v>77</v>
      </c>
      <c r="Y837" t="s">
        <v>26</v>
      </c>
      <c r="Z837" s="24">
        <v>43160</v>
      </c>
      <c r="AA837" s="25" t="s">
        <v>77</v>
      </c>
      <c r="AB837" t="s">
        <v>26</v>
      </c>
      <c r="AC837" s="24">
        <v>43160</v>
      </c>
      <c r="AD837" s="25" t="s">
        <v>77</v>
      </c>
      <c r="AE837" t="s">
        <v>26</v>
      </c>
      <c r="AF837" t="s">
        <v>26</v>
      </c>
      <c r="AG837" t="s">
        <v>26</v>
      </c>
      <c r="AH837" t="s">
        <v>26</v>
      </c>
      <c r="AI837" t="s">
        <v>26</v>
      </c>
      <c r="AJ837" t="s">
        <v>26</v>
      </c>
      <c r="AK837" t="s">
        <v>26</v>
      </c>
      <c r="AL837" t="s">
        <v>26</v>
      </c>
      <c r="AM837" t="s">
        <v>26</v>
      </c>
      <c r="AN837" t="s">
        <v>26</v>
      </c>
      <c r="AO837" s="25" t="s">
        <v>68</v>
      </c>
      <c r="AP837" s="23" t="s">
        <v>69</v>
      </c>
      <c r="AQ837" s="23" t="s">
        <v>30</v>
      </c>
      <c r="AR837" s="23" t="s">
        <v>996</v>
      </c>
      <c r="AS837" s="25">
        <v>5167664</v>
      </c>
      <c r="AT837" t="s">
        <v>26</v>
      </c>
      <c r="AU837" t="s">
        <v>23341</v>
      </c>
    </row>
    <row r="838" spans="1:47" ht="26.25" x14ac:dyDescent="0.4">
      <c r="A838" s="23" t="s">
        <v>2124</v>
      </c>
      <c r="B838" t="s">
        <v>26</v>
      </c>
      <c r="C838" s="23" t="s">
        <v>320</v>
      </c>
      <c r="D838" s="23" t="s">
        <v>23342</v>
      </c>
      <c r="E838" s="23" t="s">
        <v>42</v>
      </c>
      <c r="F838" s="25" t="s">
        <v>2125</v>
      </c>
      <c r="G838" s="25" t="s">
        <v>2126</v>
      </c>
      <c r="H838" t="s">
        <v>26</v>
      </c>
      <c r="I838" t="s">
        <v>26</v>
      </c>
      <c r="J838" t="s">
        <v>26</v>
      </c>
      <c r="K838" t="s">
        <v>26</v>
      </c>
      <c r="L838" s="25" t="s">
        <v>68</v>
      </c>
      <c r="M838" t="s">
        <v>26</v>
      </c>
      <c r="N838" t="s">
        <v>26</v>
      </c>
      <c r="O838" t="s">
        <v>26</v>
      </c>
      <c r="P838" t="s">
        <v>26</v>
      </c>
      <c r="Q838" t="s">
        <v>26</v>
      </c>
      <c r="R838" t="s">
        <v>26</v>
      </c>
      <c r="S838" t="s">
        <v>26</v>
      </c>
      <c r="T838" t="s">
        <v>26</v>
      </c>
      <c r="U838" t="s">
        <v>26</v>
      </c>
      <c r="V838" t="s">
        <v>26</v>
      </c>
      <c r="W838" s="24">
        <v>40575</v>
      </c>
      <c r="X838" s="25" t="s">
        <v>77</v>
      </c>
      <c r="Y838" t="s">
        <v>26</v>
      </c>
      <c r="Z838" s="24">
        <v>40575</v>
      </c>
      <c r="AA838" s="25" t="s">
        <v>77</v>
      </c>
      <c r="AB838" t="s">
        <v>26</v>
      </c>
      <c r="AC838" s="24">
        <v>40575</v>
      </c>
      <c r="AD838" s="25" t="s">
        <v>77</v>
      </c>
      <c r="AE838" t="s">
        <v>26</v>
      </c>
      <c r="AF838" t="s">
        <v>26</v>
      </c>
      <c r="AG838" t="s">
        <v>26</v>
      </c>
      <c r="AH838" t="s">
        <v>26</v>
      </c>
      <c r="AI838" t="s">
        <v>26</v>
      </c>
      <c r="AJ838" t="s">
        <v>26</v>
      </c>
      <c r="AK838" t="s">
        <v>26</v>
      </c>
      <c r="AL838" t="s">
        <v>26</v>
      </c>
      <c r="AM838" t="s">
        <v>26</v>
      </c>
      <c r="AN838" t="s">
        <v>26</v>
      </c>
      <c r="AO838" s="25" t="s">
        <v>68</v>
      </c>
      <c r="AP838" s="23" t="s">
        <v>69</v>
      </c>
      <c r="AQ838" s="23" t="s">
        <v>30</v>
      </c>
      <c r="AR838" s="23" t="s">
        <v>290</v>
      </c>
      <c r="AS838" s="25">
        <v>866383</v>
      </c>
      <c r="AT838" t="s">
        <v>26</v>
      </c>
      <c r="AU838" t="s">
        <v>23343</v>
      </c>
    </row>
    <row r="839" spans="1:47" ht="26.25" x14ac:dyDescent="0.4">
      <c r="A839" s="23" t="s">
        <v>2127</v>
      </c>
      <c r="B839" t="s">
        <v>26</v>
      </c>
      <c r="C839" s="23" t="s">
        <v>22238</v>
      </c>
      <c r="D839" t="s">
        <v>26</v>
      </c>
      <c r="E839" s="23" t="s">
        <v>42</v>
      </c>
      <c r="F839" t="s">
        <v>26</v>
      </c>
      <c r="G839" t="s">
        <v>26</v>
      </c>
      <c r="H839" t="s">
        <v>26</v>
      </c>
      <c r="I839" s="24">
        <v>43101</v>
      </c>
      <c r="J839" s="24">
        <v>43101</v>
      </c>
      <c r="K839" t="s">
        <v>26</v>
      </c>
      <c r="L839" s="25" t="s">
        <v>28</v>
      </c>
      <c r="M839" s="24">
        <v>43101</v>
      </c>
      <c r="N839" s="24">
        <v>43101</v>
      </c>
      <c r="O839" t="s">
        <v>26</v>
      </c>
      <c r="P839" t="s">
        <v>26</v>
      </c>
      <c r="Q839" t="s">
        <v>26</v>
      </c>
      <c r="R839" t="s">
        <v>26</v>
      </c>
      <c r="S839" s="24">
        <v>43101</v>
      </c>
      <c r="T839" s="24">
        <v>43101</v>
      </c>
      <c r="U839" t="s">
        <v>26</v>
      </c>
      <c r="V839" t="s">
        <v>26</v>
      </c>
      <c r="W839" s="24">
        <v>43101</v>
      </c>
      <c r="X839" s="24">
        <v>43101</v>
      </c>
      <c r="Y839" t="s">
        <v>26</v>
      </c>
      <c r="Z839" s="24">
        <v>43101</v>
      </c>
      <c r="AA839" s="24">
        <v>43101</v>
      </c>
      <c r="AB839" t="s">
        <v>26</v>
      </c>
      <c r="AC839" s="24">
        <v>43101</v>
      </c>
      <c r="AD839" s="24">
        <v>43101</v>
      </c>
      <c r="AE839" t="s">
        <v>26</v>
      </c>
      <c r="AF839" s="24">
        <v>43101</v>
      </c>
      <c r="AG839" s="24">
        <v>43101</v>
      </c>
      <c r="AH839" t="s">
        <v>26</v>
      </c>
      <c r="AI839" s="24">
        <v>43101</v>
      </c>
      <c r="AJ839" s="24">
        <v>43101</v>
      </c>
      <c r="AK839" t="s">
        <v>26</v>
      </c>
      <c r="AL839" t="s">
        <v>26</v>
      </c>
      <c r="AM839" t="s">
        <v>26</v>
      </c>
      <c r="AN839" t="s">
        <v>26</v>
      </c>
      <c r="AO839" s="25" t="s">
        <v>28</v>
      </c>
      <c r="AP839" s="23" t="s">
        <v>43</v>
      </c>
      <c r="AQ839" s="23" t="s">
        <v>30</v>
      </c>
      <c r="AR839" s="23" t="s">
        <v>44</v>
      </c>
      <c r="AS839" s="25">
        <v>5262514</v>
      </c>
      <c r="AT839" t="s">
        <v>26</v>
      </c>
      <c r="AU839" t="s">
        <v>23344</v>
      </c>
    </row>
    <row r="840" spans="1:47" ht="26.25" x14ac:dyDescent="0.4">
      <c r="A840" s="23" t="s">
        <v>23345</v>
      </c>
      <c r="B840" t="s">
        <v>26</v>
      </c>
      <c r="C840" s="23" t="s">
        <v>22238</v>
      </c>
      <c r="D840" t="s">
        <v>26</v>
      </c>
      <c r="E840" s="23" t="s">
        <v>42</v>
      </c>
      <c r="F840" t="s">
        <v>26</v>
      </c>
      <c r="G840" t="s">
        <v>26</v>
      </c>
      <c r="H840" t="s">
        <v>26</v>
      </c>
      <c r="I840" s="24">
        <v>43101</v>
      </c>
      <c r="J840" s="24">
        <v>43101</v>
      </c>
      <c r="K840" t="s">
        <v>26</v>
      </c>
      <c r="L840" s="25" t="s">
        <v>28</v>
      </c>
      <c r="M840" s="24">
        <v>43101</v>
      </c>
      <c r="N840" s="24">
        <v>43101</v>
      </c>
      <c r="O840" t="s">
        <v>26</v>
      </c>
      <c r="P840" t="s">
        <v>26</v>
      </c>
      <c r="Q840" t="s">
        <v>26</v>
      </c>
      <c r="R840" t="s">
        <v>26</v>
      </c>
      <c r="S840" s="24">
        <v>43101</v>
      </c>
      <c r="T840" s="24">
        <v>43101</v>
      </c>
      <c r="U840" t="s">
        <v>26</v>
      </c>
      <c r="V840" t="s">
        <v>26</v>
      </c>
      <c r="W840" s="24">
        <v>43101</v>
      </c>
      <c r="X840" s="24">
        <v>43101</v>
      </c>
      <c r="Y840" t="s">
        <v>26</v>
      </c>
      <c r="Z840" s="24">
        <v>43101</v>
      </c>
      <c r="AA840" s="24">
        <v>43101</v>
      </c>
      <c r="AB840" t="s">
        <v>26</v>
      </c>
      <c r="AC840" s="24">
        <v>43101</v>
      </c>
      <c r="AD840" s="24">
        <v>43101</v>
      </c>
      <c r="AE840" t="s">
        <v>26</v>
      </c>
      <c r="AF840" s="24">
        <v>43101</v>
      </c>
      <c r="AG840" s="24">
        <v>43101</v>
      </c>
      <c r="AH840" t="s">
        <v>26</v>
      </c>
      <c r="AI840" s="24">
        <v>43101</v>
      </c>
      <c r="AJ840" s="24">
        <v>43101</v>
      </c>
      <c r="AK840" t="s">
        <v>26</v>
      </c>
      <c r="AL840" t="s">
        <v>26</v>
      </c>
      <c r="AM840" t="s">
        <v>26</v>
      </c>
      <c r="AN840" t="s">
        <v>26</v>
      </c>
      <c r="AO840" s="25" t="s">
        <v>28</v>
      </c>
      <c r="AP840" s="23" t="s">
        <v>43</v>
      </c>
      <c r="AQ840" s="23" t="s">
        <v>30</v>
      </c>
      <c r="AR840" s="23" t="s">
        <v>44</v>
      </c>
      <c r="AS840" s="25">
        <v>5262513</v>
      </c>
      <c r="AT840" t="s">
        <v>26</v>
      </c>
      <c r="AU840" t="s">
        <v>23346</v>
      </c>
    </row>
    <row r="841" spans="1:47" ht="13.15" x14ac:dyDescent="0.4">
      <c r="A841" s="23" t="s">
        <v>23347</v>
      </c>
      <c r="B841" t="s">
        <v>26</v>
      </c>
      <c r="C841" s="23" t="s">
        <v>332</v>
      </c>
      <c r="D841" s="23" t="s">
        <v>22256</v>
      </c>
      <c r="E841" s="23" t="s">
        <v>42</v>
      </c>
      <c r="F841" t="s">
        <v>26</v>
      </c>
      <c r="G841" t="s">
        <v>26</v>
      </c>
      <c r="H841" t="s">
        <v>26</v>
      </c>
      <c r="I841" s="24">
        <v>39083</v>
      </c>
      <c r="J841" s="24">
        <v>39448</v>
      </c>
      <c r="K841" t="s">
        <v>26</v>
      </c>
      <c r="L841" s="25" t="s">
        <v>28</v>
      </c>
      <c r="M841" s="24">
        <v>39083</v>
      </c>
      <c r="N841" s="24">
        <v>39448</v>
      </c>
      <c r="O841" t="s">
        <v>26</v>
      </c>
      <c r="P841" t="s">
        <v>26</v>
      </c>
      <c r="Q841" t="s">
        <v>26</v>
      </c>
      <c r="R841" t="s">
        <v>26</v>
      </c>
      <c r="S841" t="s">
        <v>26</v>
      </c>
      <c r="T841" t="s">
        <v>26</v>
      </c>
      <c r="U841" t="s">
        <v>26</v>
      </c>
      <c r="V841" t="s">
        <v>26</v>
      </c>
      <c r="W841" s="24">
        <v>39083</v>
      </c>
      <c r="X841" s="24">
        <v>39448</v>
      </c>
      <c r="Y841" t="s">
        <v>26</v>
      </c>
      <c r="Z841" s="24">
        <v>39083</v>
      </c>
      <c r="AA841" s="24">
        <v>39448</v>
      </c>
      <c r="AB841" t="s">
        <v>26</v>
      </c>
      <c r="AC841" s="24">
        <v>39083</v>
      </c>
      <c r="AD841" s="24">
        <v>39448</v>
      </c>
      <c r="AE841" t="s">
        <v>26</v>
      </c>
      <c r="AF841" t="s">
        <v>26</v>
      </c>
      <c r="AG841" t="s">
        <v>26</v>
      </c>
      <c r="AH841" t="s">
        <v>26</v>
      </c>
      <c r="AI841" t="s">
        <v>26</v>
      </c>
      <c r="AJ841" t="s">
        <v>26</v>
      </c>
      <c r="AK841" t="s">
        <v>26</v>
      </c>
      <c r="AL841" t="s">
        <v>26</v>
      </c>
      <c r="AM841" t="s">
        <v>26</v>
      </c>
      <c r="AN841" t="s">
        <v>26</v>
      </c>
      <c r="AO841" s="25" t="s">
        <v>28</v>
      </c>
      <c r="AP841" s="23" t="s">
        <v>279</v>
      </c>
      <c r="AQ841" s="23" t="s">
        <v>30</v>
      </c>
      <c r="AR841" s="23" t="s">
        <v>46</v>
      </c>
      <c r="AS841" s="25">
        <v>6275771</v>
      </c>
      <c r="AT841" t="s">
        <v>26</v>
      </c>
      <c r="AU841" t="s">
        <v>23348</v>
      </c>
    </row>
    <row r="842" spans="1:47" ht="26.25" x14ac:dyDescent="0.4">
      <c r="A842" s="23" t="s">
        <v>2128</v>
      </c>
      <c r="B842" t="s">
        <v>26</v>
      </c>
      <c r="C842" s="23" t="s">
        <v>73</v>
      </c>
      <c r="D842" s="23" t="s">
        <v>22215</v>
      </c>
      <c r="E842" s="23" t="s">
        <v>74</v>
      </c>
      <c r="F842" s="25" t="s">
        <v>2129</v>
      </c>
      <c r="G842" s="25" t="s">
        <v>2130</v>
      </c>
      <c r="H842" t="s">
        <v>26</v>
      </c>
      <c r="I842" s="24">
        <v>41426</v>
      </c>
      <c r="J842" s="24">
        <v>43466</v>
      </c>
      <c r="K842" t="s">
        <v>26</v>
      </c>
      <c r="L842" s="25" t="s">
        <v>68</v>
      </c>
      <c r="M842" t="s">
        <v>26</v>
      </c>
      <c r="N842" t="s">
        <v>26</v>
      </c>
      <c r="O842" t="s">
        <v>26</v>
      </c>
      <c r="P842" s="24">
        <v>41426</v>
      </c>
      <c r="Q842" s="24">
        <v>43466</v>
      </c>
      <c r="R842" t="s">
        <v>26</v>
      </c>
      <c r="S842" t="s">
        <v>26</v>
      </c>
      <c r="T842" t="s">
        <v>26</v>
      </c>
      <c r="U842" t="s">
        <v>26</v>
      </c>
      <c r="V842" t="s">
        <v>26</v>
      </c>
      <c r="W842" s="24">
        <v>41426</v>
      </c>
      <c r="X842" s="24">
        <v>43831</v>
      </c>
      <c r="Y842" t="s">
        <v>26</v>
      </c>
      <c r="Z842" s="24">
        <v>41426</v>
      </c>
      <c r="AA842" s="24">
        <v>43831</v>
      </c>
      <c r="AB842" t="s">
        <v>26</v>
      </c>
      <c r="AC842" s="24">
        <v>41426</v>
      </c>
      <c r="AD842" s="24">
        <v>43831</v>
      </c>
      <c r="AE842" t="s">
        <v>26</v>
      </c>
      <c r="AF842" t="s">
        <v>26</v>
      </c>
      <c r="AG842" t="s">
        <v>26</v>
      </c>
      <c r="AH842" t="s">
        <v>26</v>
      </c>
      <c r="AI842" t="s">
        <v>26</v>
      </c>
      <c r="AJ842" t="s">
        <v>26</v>
      </c>
      <c r="AK842" t="s">
        <v>26</v>
      </c>
      <c r="AL842" t="s">
        <v>26</v>
      </c>
      <c r="AM842" t="s">
        <v>26</v>
      </c>
      <c r="AN842" t="s">
        <v>26</v>
      </c>
      <c r="AO842" s="25" t="s">
        <v>68</v>
      </c>
      <c r="AP842" s="23" t="s">
        <v>69</v>
      </c>
      <c r="AQ842" s="23" t="s">
        <v>30</v>
      </c>
      <c r="AR842" s="23" t="s">
        <v>128</v>
      </c>
      <c r="AS842" s="25">
        <v>2034551</v>
      </c>
      <c r="AT842" t="s">
        <v>26</v>
      </c>
      <c r="AU842" t="s">
        <v>23349</v>
      </c>
    </row>
    <row r="843" spans="1:47" ht="26.25" x14ac:dyDescent="0.4">
      <c r="A843" s="23" t="s">
        <v>2131</v>
      </c>
      <c r="B843" t="s">
        <v>26</v>
      </c>
      <c r="C843" s="23" t="s">
        <v>73</v>
      </c>
      <c r="D843" s="23" t="s">
        <v>22179</v>
      </c>
      <c r="E843" s="23" t="s">
        <v>74</v>
      </c>
      <c r="F843" s="25" t="s">
        <v>2132</v>
      </c>
      <c r="G843" s="25" t="s">
        <v>2133</v>
      </c>
      <c r="H843" t="s">
        <v>26</v>
      </c>
      <c r="I843" s="24">
        <v>35490</v>
      </c>
      <c r="J843" s="25" t="s">
        <v>77</v>
      </c>
      <c r="K843" t="s">
        <v>26</v>
      </c>
      <c r="L843" s="25" t="s">
        <v>68</v>
      </c>
      <c r="M843" s="24">
        <v>38047</v>
      </c>
      <c r="N843" s="24">
        <v>43586</v>
      </c>
      <c r="O843" s="25" t="s">
        <v>2134</v>
      </c>
      <c r="P843" s="24">
        <v>35490</v>
      </c>
      <c r="Q843" s="25" t="s">
        <v>77</v>
      </c>
      <c r="R843" t="s">
        <v>26</v>
      </c>
      <c r="S843" t="s">
        <v>26</v>
      </c>
      <c r="T843" t="s">
        <v>26</v>
      </c>
      <c r="U843" t="s">
        <v>26</v>
      </c>
      <c r="V843" s="25">
        <v>365</v>
      </c>
      <c r="W843" s="24">
        <v>35490</v>
      </c>
      <c r="X843" s="25" t="s">
        <v>77</v>
      </c>
      <c r="Y843" t="s">
        <v>26</v>
      </c>
      <c r="Z843" s="24">
        <v>35490</v>
      </c>
      <c r="AA843" s="25" t="s">
        <v>77</v>
      </c>
      <c r="AB843" t="s">
        <v>26</v>
      </c>
      <c r="AC843" s="24">
        <v>35490</v>
      </c>
      <c r="AD843" s="25" t="s">
        <v>77</v>
      </c>
      <c r="AE843" t="s">
        <v>26</v>
      </c>
      <c r="AF843" t="s">
        <v>26</v>
      </c>
      <c r="AG843" t="s">
        <v>26</v>
      </c>
      <c r="AH843" t="s">
        <v>26</v>
      </c>
      <c r="AI843" t="s">
        <v>26</v>
      </c>
      <c r="AJ843" t="s">
        <v>26</v>
      </c>
      <c r="AK843" t="s">
        <v>26</v>
      </c>
      <c r="AL843" t="s">
        <v>26</v>
      </c>
      <c r="AM843" t="s">
        <v>26</v>
      </c>
      <c r="AN843" t="s">
        <v>26</v>
      </c>
      <c r="AO843" s="25" t="s">
        <v>68</v>
      </c>
      <c r="AP843" s="23" t="s">
        <v>69</v>
      </c>
      <c r="AQ843" s="23" t="s">
        <v>30</v>
      </c>
      <c r="AR843" s="23" t="s">
        <v>2135</v>
      </c>
      <c r="AS843" s="25">
        <v>54020</v>
      </c>
      <c r="AT843" t="s">
        <v>26</v>
      </c>
      <c r="AU843" t="s">
        <v>23350</v>
      </c>
    </row>
    <row r="844" spans="1:47" ht="26.25" x14ac:dyDescent="0.4">
      <c r="A844" s="23" t="s">
        <v>2136</v>
      </c>
      <c r="B844" t="s">
        <v>26</v>
      </c>
      <c r="C844" s="23" t="s">
        <v>2137</v>
      </c>
      <c r="D844" s="23" t="s">
        <v>22352</v>
      </c>
      <c r="E844" s="23" t="s">
        <v>42</v>
      </c>
      <c r="F844" s="25" t="s">
        <v>2138</v>
      </c>
      <c r="G844" t="s">
        <v>26</v>
      </c>
      <c r="H844" t="s">
        <v>26</v>
      </c>
      <c r="I844" t="s">
        <v>26</v>
      </c>
      <c r="J844" t="s">
        <v>26</v>
      </c>
      <c r="K844" t="s">
        <v>26</v>
      </c>
      <c r="L844" s="25" t="s">
        <v>68</v>
      </c>
      <c r="M844" t="s">
        <v>26</v>
      </c>
      <c r="N844" t="s">
        <v>26</v>
      </c>
      <c r="O844" t="s">
        <v>26</v>
      </c>
      <c r="P844" t="s">
        <v>26</v>
      </c>
      <c r="Q844" t="s">
        <v>26</v>
      </c>
      <c r="R844" t="s">
        <v>26</v>
      </c>
      <c r="S844" t="s">
        <v>26</v>
      </c>
      <c r="T844" t="s">
        <v>26</v>
      </c>
      <c r="U844" t="s">
        <v>26</v>
      </c>
      <c r="V844" t="s">
        <v>26</v>
      </c>
      <c r="W844" s="24">
        <v>42095</v>
      </c>
      <c r="X844" s="24">
        <v>42095</v>
      </c>
      <c r="Y844" t="s">
        <v>26</v>
      </c>
      <c r="Z844" s="24">
        <v>42095</v>
      </c>
      <c r="AA844" s="24">
        <v>42095</v>
      </c>
      <c r="AB844" t="s">
        <v>26</v>
      </c>
      <c r="AC844" s="24">
        <v>42095</v>
      </c>
      <c r="AD844" s="24">
        <v>42095</v>
      </c>
      <c r="AE844" t="s">
        <v>26</v>
      </c>
      <c r="AF844" t="s">
        <v>26</v>
      </c>
      <c r="AG844" t="s">
        <v>26</v>
      </c>
      <c r="AH844" t="s">
        <v>26</v>
      </c>
      <c r="AI844" t="s">
        <v>26</v>
      </c>
      <c r="AJ844" t="s">
        <v>26</v>
      </c>
      <c r="AK844" t="s">
        <v>26</v>
      </c>
      <c r="AL844" t="s">
        <v>26</v>
      </c>
      <c r="AM844" t="s">
        <v>26</v>
      </c>
      <c r="AN844" t="s">
        <v>26</v>
      </c>
      <c r="AO844" s="25" t="s">
        <v>68</v>
      </c>
      <c r="AP844" s="23" t="s">
        <v>69</v>
      </c>
      <c r="AQ844" s="23" t="s">
        <v>30</v>
      </c>
      <c r="AR844" s="23" t="s">
        <v>2139</v>
      </c>
      <c r="AS844" s="25">
        <v>2033328</v>
      </c>
      <c r="AT844" t="s">
        <v>26</v>
      </c>
      <c r="AU844" t="s">
        <v>23351</v>
      </c>
    </row>
    <row r="845" spans="1:47" ht="26.25" x14ac:dyDescent="0.4">
      <c r="A845" s="23" t="s">
        <v>2140</v>
      </c>
      <c r="B845" t="s">
        <v>26</v>
      </c>
      <c r="C845" s="23" t="s">
        <v>80</v>
      </c>
      <c r="D845" s="23" t="s">
        <v>22190</v>
      </c>
      <c r="E845" s="23" t="s">
        <v>60</v>
      </c>
      <c r="F845" s="25" t="s">
        <v>2141</v>
      </c>
      <c r="G845" s="25" t="s">
        <v>2142</v>
      </c>
      <c r="H845" t="s">
        <v>26</v>
      </c>
      <c r="I845" t="s">
        <v>26</v>
      </c>
      <c r="J845" t="s">
        <v>26</v>
      </c>
      <c r="K845" t="s">
        <v>26</v>
      </c>
      <c r="L845" s="25" t="s">
        <v>68</v>
      </c>
      <c r="M845" t="s">
        <v>26</v>
      </c>
      <c r="N845" t="s">
        <v>26</v>
      </c>
      <c r="O845" t="s">
        <v>26</v>
      </c>
      <c r="P845" t="s">
        <v>26</v>
      </c>
      <c r="Q845" t="s">
        <v>26</v>
      </c>
      <c r="R845" t="s">
        <v>26</v>
      </c>
      <c r="S845" t="s">
        <v>26</v>
      </c>
      <c r="T845" t="s">
        <v>26</v>
      </c>
      <c r="U845" t="s">
        <v>26</v>
      </c>
      <c r="V845" t="s">
        <v>26</v>
      </c>
      <c r="W845" s="24">
        <v>40179</v>
      </c>
      <c r="X845" s="25" t="s">
        <v>77</v>
      </c>
      <c r="Y845" t="s">
        <v>26</v>
      </c>
      <c r="Z845" s="24">
        <v>40179</v>
      </c>
      <c r="AA845" s="25" t="s">
        <v>77</v>
      </c>
      <c r="AB845" t="s">
        <v>26</v>
      </c>
      <c r="AC845" s="24">
        <v>40179</v>
      </c>
      <c r="AD845" s="25" t="s">
        <v>77</v>
      </c>
      <c r="AE845" t="s">
        <v>26</v>
      </c>
      <c r="AF845" t="s">
        <v>26</v>
      </c>
      <c r="AG845" t="s">
        <v>26</v>
      </c>
      <c r="AH845" t="s">
        <v>26</v>
      </c>
      <c r="AI845" t="s">
        <v>26</v>
      </c>
      <c r="AJ845" t="s">
        <v>26</v>
      </c>
      <c r="AK845" t="s">
        <v>26</v>
      </c>
      <c r="AL845" t="s">
        <v>26</v>
      </c>
      <c r="AM845" t="s">
        <v>26</v>
      </c>
      <c r="AN845" t="s">
        <v>26</v>
      </c>
      <c r="AO845" s="25" t="s">
        <v>68</v>
      </c>
      <c r="AP845" s="23" t="s">
        <v>69</v>
      </c>
      <c r="AQ845" s="23" t="s">
        <v>30</v>
      </c>
      <c r="AR845" s="23" t="s">
        <v>123</v>
      </c>
      <c r="AS845" s="25">
        <v>536298</v>
      </c>
      <c r="AT845" t="s">
        <v>26</v>
      </c>
      <c r="AU845" t="s">
        <v>23352</v>
      </c>
    </row>
    <row r="846" spans="1:47" ht="26.25" x14ac:dyDescent="0.4">
      <c r="A846" s="23" t="s">
        <v>2143</v>
      </c>
      <c r="B846" t="s">
        <v>26</v>
      </c>
      <c r="C846" s="23" t="s">
        <v>2028</v>
      </c>
      <c r="D846" s="23" t="s">
        <v>22309</v>
      </c>
      <c r="E846" s="23" t="s">
        <v>42</v>
      </c>
      <c r="F846" s="25" t="s">
        <v>2144</v>
      </c>
      <c r="G846" t="s">
        <v>26</v>
      </c>
      <c r="H846" t="s">
        <v>26</v>
      </c>
      <c r="I846" s="24">
        <v>38961</v>
      </c>
      <c r="J846" s="24">
        <v>42339</v>
      </c>
      <c r="K846" t="s">
        <v>26</v>
      </c>
      <c r="L846" s="25" t="s">
        <v>28</v>
      </c>
      <c r="M846" s="24">
        <v>38961</v>
      </c>
      <c r="N846" s="24">
        <v>42339</v>
      </c>
      <c r="O846" t="s">
        <v>26</v>
      </c>
      <c r="P846" s="24">
        <v>38961</v>
      </c>
      <c r="Q846" s="24">
        <v>42339</v>
      </c>
      <c r="R846" t="s">
        <v>26</v>
      </c>
      <c r="S846" t="s">
        <v>26</v>
      </c>
      <c r="T846" t="s">
        <v>26</v>
      </c>
      <c r="U846" t="s">
        <v>26</v>
      </c>
      <c r="V846" t="s">
        <v>26</v>
      </c>
      <c r="W846" s="24">
        <v>38961</v>
      </c>
      <c r="X846" s="24">
        <v>42339</v>
      </c>
      <c r="Y846" t="s">
        <v>26</v>
      </c>
      <c r="Z846" s="24">
        <v>38961</v>
      </c>
      <c r="AA846" s="24">
        <v>42339</v>
      </c>
      <c r="AB846" t="s">
        <v>26</v>
      </c>
      <c r="AC846" s="24">
        <v>38961</v>
      </c>
      <c r="AD846" s="24">
        <v>42339</v>
      </c>
      <c r="AE846" t="s">
        <v>26</v>
      </c>
      <c r="AF846" t="s">
        <v>26</v>
      </c>
      <c r="AG846" t="s">
        <v>26</v>
      </c>
      <c r="AH846" t="s">
        <v>26</v>
      </c>
      <c r="AI846" t="s">
        <v>26</v>
      </c>
      <c r="AJ846" t="s">
        <v>26</v>
      </c>
      <c r="AK846" t="s">
        <v>26</v>
      </c>
      <c r="AL846" t="s">
        <v>26</v>
      </c>
      <c r="AM846" t="s">
        <v>26</v>
      </c>
      <c r="AN846" t="s">
        <v>26</v>
      </c>
      <c r="AO846" s="25" t="s">
        <v>28</v>
      </c>
      <c r="AP846" s="23" t="s">
        <v>211</v>
      </c>
      <c r="AQ846" s="23" t="s">
        <v>30</v>
      </c>
      <c r="AR846" s="23" t="s">
        <v>569</v>
      </c>
      <c r="AS846" s="25">
        <v>52470</v>
      </c>
      <c r="AT846" t="s">
        <v>26</v>
      </c>
      <c r="AU846" t="s">
        <v>23353</v>
      </c>
    </row>
    <row r="847" spans="1:47" ht="26.25" x14ac:dyDescent="0.4">
      <c r="A847" s="23" t="s">
        <v>2145</v>
      </c>
      <c r="B847" t="s">
        <v>26</v>
      </c>
      <c r="C847" s="23" t="s">
        <v>80</v>
      </c>
      <c r="D847" s="23" t="s">
        <v>22184</v>
      </c>
      <c r="E847" s="23" t="s">
        <v>60</v>
      </c>
      <c r="F847" s="25" t="s">
        <v>2146</v>
      </c>
      <c r="G847" s="25" t="s">
        <v>2147</v>
      </c>
      <c r="H847" t="s">
        <v>26</v>
      </c>
      <c r="I847" t="s">
        <v>26</v>
      </c>
      <c r="J847" t="s">
        <v>26</v>
      </c>
      <c r="K847" t="s">
        <v>26</v>
      </c>
      <c r="L847" s="25" t="s">
        <v>68</v>
      </c>
      <c r="M847" t="s">
        <v>26</v>
      </c>
      <c r="N847" t="s">
        <v>26</v>
      </c>
      <c r="O847" t="s">
        <v>26</v>
      </c>
      <c r="P847" t="s">
        <v>26</v>
      </c>
      <c r="Q847" t="s">
        <v>26</v>
      </c>
      <c r="R847" t="s">
        <v>26</v>
      </c>
      <c r="S847" t="s">
        <v>26</v>
      </c>
      <c r="T847" t="s">
        <v>26</v>
      </c>
      <c r="U847" t="s">
        <v>26</v>
      </c>
      <c r="V847" t="s">
        <v>26</v>
      </c>
      <c r="W847" s="24">
        <v>40179</v>
      </c>
      <c r="X847" s="25" t="s">
        <v>77</v>
      </c>
      <c r="Y847" s="25" t="s">
        <v>1185</v>
      </c>
      <c r="Z847" s="24">
        <v>40179</v>
      </c>
      <c r="AA847" s="25" t="s">
        <v>77</v>
      </c>
      <c r="AB847" s="25" t="s">
        <v>1185</v>
      </c>
      <c r="AC847" s="24">
        <v>40179</v>
      </c>
      <c r="AD847" s="25" t="s">
        <v>77</v>
      </c>
      <c r="AE847" s="25" t="s">
        <v>1185</v>
      </c>
      <c r="AF847" t="s">
        <v>26</v>
      </c>
      <c r="AG847" t="s">
        <v>26</v>
      </c>
      <c r="AH847" t="s">
        <v>26</v>
      </c>
      <c r="AI847" t="s">
        <v>26</v>
      </c>
      <c r="AJ847" t="s">
        <v>26</v>
      </c>
      <c r="AK847" t="s">
        <v>26</v>
      </c>
      <c r="AL847" t="s">
        <v>26</v>
      </c>
      <c r="AM847" t="s">
        <v>26</v>
      </c>
      <c r="AN847" t="s">
        <v>26</v>
      </c>
      <c r="AO847" s="25" t="s">
        <v>68</v>
      </c>
      <c r="AP847" s="23" t="s">
        <v>69</v>
      </c>
      <c r="AQ847" s="23" t="s">
        <v>30</v>
      </c>
      <c r="AR847" s="23" t="s">
        <v>2148</v>
      </c>
      <c r="AS847" s="25">
        <v>426783</v>
      </c>
      <c r="AT847" t="s">
        <v>26</v>
      </c>
      <c r="AU847" t="s">
        <v>23354</v>
      </c>
    </row>
    <row r="848" spans="1:47" ht="26.25" x14ac:dyDescent="0.4">
      <c r="A848" s="23" t="s">
        <v>2149</v>
      </c>
      <c r="B848" t="s">
        <v>26</v>
      </c>
      <c r="C848" s="23" t="s">
        <v>2150</v>
      </c>
      <c r="D848" s="23" t="s">
        <v>23355</v>
      </c>
      <c r="E848" s="23" t="s">
        <v>2151</v>
      </c>
      <c r="F848" s="25" t="s">
        <v>2152</v>
      </c>
      <c r="G848" s="25" t="s">
        <v>2153</v>
      </c>
      <c r="H848" t="s">
        <v>26</v>
      </c>
      <c r="I848" s="24">
        <v>33420</v>
      </c>
      <c r="J848" s="25" t="s">
        <v>77</v>
      </c>
      <c r="K848" s="25" t="s">
        <v>3950</v>
      </c>
      <c r="L848" s="25" t="s">
        <v>68</v>
      </c>
      <c r="M848" s="24">
        <v>33420</v>
      </c>
      <c r="N848" s="25" t="s">
        <v>77</v>
      </c>
      <c r="O848" s="25" t="s">
        <v>3950</v>
      </c>
      <c r="P848" s="24">
        <v>33420</v>
      </c>
      <c r="Q848" s="25" t="s">
        <v>77</v>
      </c>
      <c r="R848" s="25" t="s">
        <v>3950</v>
      </c>
      <c r="S848" t="s">
        <v>26</v>
      </c>
      <c r="T848" t="s">
        <v>26</v>
      </c>
      <c r="U848" t="s">
        <v>26</v>
      </c>
      <c r="V848" t="s">
        <v>26</v>
      </c>
      <c r="W848" s="24">
        <v>33420</v>
      </c>
      <c r="X848" s="25" t="s">
        <v>77</v>
      </c>
      <c r="Y848" s="25" t="s">
        <v>3950</v>
      </c>
      <c r="Z848" s="24">
        <v>33420</v>
      </c>
      <c r="AA848" s="25" t="s">
        <v>77</v>
      </c>
      <c r="AB848" s="25" t="s">
        <v>3950</v>
      </c>
      <c r="AC848" s="24">
        <v>33420</v>
      </c>
      <c r="AD848" s="25" t="s">
        <v>77</v>
      </c>
      <c r="AE848" s="25" t="s">
        <v>23356</v>
      </c>
      <c r="AF848" t="s">
        <v>26</v>
      </c>
      <c r="AG848" t="s">
        <v>26</v>
      </c>
      <c r="AH848" t="s">
        <v>26</v>
      </c>
      <c r="AI848" t="s">
        <v>26</v>
      </c>
      <c r="AJ848" t="s">
        <v>26</v>
      </c>
      <c r="AK848" t="s">
        <v>26</v>
      </c>
      <c r="AL848" t="s">
        <v>26</v>
      </c>
      <c r="AM848" t="s">
        <v>26</v>
      </c>
      <c r="AN848" t="s">
        <v>26</v>
      </c>
      <c r="AO848" s="25" t="s">
        <v>68</v>
      </c>
      <c r="AP848" s="23" t="s">
        <v>69</v>
      </c>
      <c r="AQ848" s="23" t="s">
        <v>30</v>
      </c>
      <c r="AR848" s="23" t="s">
        <v>70</v>
      </c>
      <c r="AS848" s="25">
        <v>27817</v>
      </c>
      <c r="AT848" t="s">
        <v>26</v>
      </c>
      <c r="AU848" t="s">
        <v>23357</v>
      </c>
    </row>
    <row r="849" spans="1:47" ht="13.15" x14ac:dyDescent="0.4">
      <c r="A849" s="23" t="s">
        <v>23358</v>
      </c>
      <c r="B849" t="s">
        <v>26</v>
      </c>
      <c r="C849" s="23" t="s">
        <v>23359</v>
      </c>
      <c r="D849" s="23" t="s">
        <v>23360</v>
      </c>
      <c r="E849" s="23" t="s">
        <v>42</v>
      </c>
      <c r="F849" t="s">
        <v>26</v>
      </c>
      <c r="G849" t="s">
        <v>26</v>
      </c>
      <c r="H849" t="s">
        <v>26</v>
      </c>
      <c r="I849" s="24">
        <v>29952</v>
      </c>
      <c r="J849" s="24">
        <v>29952</v>
      </c>
      <c r="K849" t="s">
        <v>26</v>
      </c>
      <c r="L849" s="25" t="s">
        <v>28</v>
      </c>
      <c r="M849" t="s">
        <v>26</v>
      </c>
      <c r="N849" t="s">
        <v>26</v>
      </c>
      <c r="O849" t="s">
        <v>26</v>
      </c>
      <c r="P849" s="24">
        <v>29952</v>
      </c>
      <c r="Q849" s="24">
        <v>29952</v>
      </c>
      <c r="R849" t="s">
        <v>26</v>
      </c>
      <c r="S849" t="s">
        <v>26</v>
      </c>
      <c r="T849" t="s">
        <v>26</v>
      </c>
      <c r="U849" t="s">
        <v>26</v>
      </c>
      <c r="V849" t="s">
        <v>26</v>
      </c>
      <c r="W849" s="24">
        <v>29952</v>
      </c>
      <c r="X849" s="24">
        <v>29952</v>
      </c>
      <c r="Y849" t="s">
        <v>26</v>
      </c>
      <c r="Z849" s="24">
        <v>29952</v>
      </c>
      <c r="AA849" s="24">
        <v>29952</v>
      </c>
      <c r="AB849" t="s">
        <v>26</v>
      </c>
      <c r="AC849" s="24">
        <v>29952</v>
      </c>
      <c r="AD849" s="24">
        <v>29952</v>
      </c>
      <c r="AE849" t="s">
        <v>26</v>
      </c>
      <c r="AF849" t="s">
        <v>26</v>
      </c>
      <c r="AG849" t="s">
        <v>26</v>
      </c>
      <c r="AH849" t="s">
        <v>26</v>
      </c>
      <c r="AI849" t="s">
        <v>26</v>
      </c>
      <c r="AJ849" t="s">
        <v>26</v>
      </c>
      <c r="AK849" t="s">
        <v>26</v>
      </c>
      <c r="AL849" t="s">
        <v>26</v>
      </c>
      <c r="AM849" t="s">
        <v>26</v>
      </c>
      <c r="AN849" t="s">
        <v>26</v>
      </c>
      <c r="AO849" s="25" t="s">
        <v>28</v>
      </c>
      <c r="AP849" s="23" t="s">
        <v>279</v>
      </c>
      <c r="AQ849" s="23" t="s">
        <v>30</v>
      </c>
      <c r="AR849" s="23" t="s">
        <v>71</v>
      </c>
      <c r="AS849" s="25">
        <v>6534443</v>
      </c>
      <c r="AT849" t="s">
        <v>26</v>
      </c>
      <c r="AU849" t="s">
        <v>23361</v>
      </c>
    </row>
    <row r="850" spans="1:47" ht="26.25" x14ac:dyDescent="0.4">
      <c r="A850" s="23" t="s">
        <v>2154</v>
      </c>
      <c r="B850" t="s">
        <v>26</v>
      </c>
      <c r="C850" s="23" t="s">
        <v>22238</v>
      </c>
      <c r="D850" s="23" t="s">
        <v>22307</v>
      </c>
      <c r="E850" s="23" t="s">
        <v>42</v>
      </c>
      <c r="F850" t="s">
        <v>26</v>
      </c>
      <c r="G850" t="s">
        <v>26</v>
      </c>
      <c r="H850" t="s">
        <v>26</v>
      </c>
      <c r="I850" s="24">
        <v>42736</v>
      </c>
      <c r="J850" s="24">
        <v>42736</v>
      </c>
      <c r="K850" t="s">
        <v>26</v>
      </c>
      <c r="L850" s="25" t="s">
        <v>28</v>
      </c>
      <c r="M850" s="24">
        <v>42736</v>
      </c>
      <c r="N850" s="24">
        <v>42736</v>
      </c>
      <c r="O850" t="s">
        <v>26</v>
      </c>
      <c r="P850" t="s">
        <v>26</v>
      </c>
      <c r="Q850" t="s">
        <v>26</v>
      </c>
      <c r="R850" t="s">
        <v>26</v>
      </c>
      <c r="S850" s="24">
        <v>42736</v>
      </c>
      <c r="T850" s="24">
        <v>42736</v>
      </c>
      <c r="U850" t="s">
        <v>26</v>
      </c>
      <c r="V850" t="s">
        <v>26</v>
      </c>
      <c r="W850" s="24">
        <v>42736</v>
      </c>
      <c r="X850" s="24">
        <v>42736</v>
      </c>
      <c r="Y850" t="s">
        <v>26</v>
      </c>
      <c r="Z850" s="24">
        <v>42736</v>
      </c>
      <c r="AA850" s="24">
        <v>42736</v>
      </c>
      <c r="AB850" t="s">
        <v>26</v>
      </c>
      <c r="AC850" s="24">
        <v>42736</v>
      </c>
      <c r="AD850" s="24">
        <v>42736</v>
      </c>
      <c r="AE850" t="s">
        <v>26</v>
      </c>
      <c r="AF850" s="24">
        <v>42736</v>
      </c>
      <c r="AG850" s="24">
        <v>42736</v>
      </c>
      <c r="AH850" t="s">
        <v>26</v>
      </c>
      <c r="AI850" s="24">
        <v>42736</v>
      </c>
      <c r="AJ850" s="24">
        <v>42736</v>
      </c>
      <c r="AK850" t="s">
        <v>26</v>
      </c>
      <c r="AL850" t="s">
        <v>26</v>
      </c>
      <c r="AM850" t="s">
        <v>26</v>
      </c>
      <c r="AN850" t="s">
        <v>26</v>
      </c>
      <c r="AO850" s="25" t="s">
        <v>28</v>
      </c>
      <c r="AP850" s="23" t="s">
        <v>43</v>
      </c>
      <c r="AQ850" s="23" t="s">
        <v>30</v>
      </c>
      <c r="AR850" s="23" t="s">
        <v>46</v>
      </c>
      <c r="AS850" s="25">
        <v>6447818</v>
      </c>
      <c r="AT850" t="s">
        <v>26</v>
      </c>
      <c r="AU850" t="s">
        <v>23362</v>
      </c>
    </row>
    <row r="851" spans="1:47" ht="26.25" x14ac:dyDescent="0.4">
      <c r="A851" s="23" t="s">
        <v>2155</v>
      </c>
      <c r="B851" t="s">
        <v>26</v>
      </c>
      <c r="C851" s="23" t="s">
        <v>80</v>
      </c>
      <c r="D851" s="23" t="s">
        <v>22179</v>
      </c>
      <c r="E851" s="23" t="s">
        <v>60</v>
      </c>
      <c r="F851" s="25" t="s">
        <v>2156</v>
      </c>
      <c r="G851" t="s">
        <v>26</v>
      </c>
      <c r="H851" t="s">
        <v>26</v>
      </c>
      <c r="I851" t="s">
        <v>26</v>
      </c>
      <c r="J851" t="s">
        <v>26</v>
      </c>
      <c r="K851" t="s">
        <v>26</v>
      </c>
      <c r="L851" s="25" t="s">
        <v>68</v>
      </c>
      <c r="M851" t="s">
        <v>26</v>
      </c>
      <c r="N851" t="s">
        <v>26</v>
      </c>
      <c r="O851" t="s">
        <v>26</v>
      </c>
      <c r="P851" t="s">
        <v>26</v>
      </c>
      <c r="Q851" t="s">
        <v>26</v>
      </c>
      <c r="R851" t="s">
        <v>26</v>
      </c>
      <c r="S851" t="s">
        <v>26</v>
      </c>
      <c r="T851" t="s">
        <v>26</v>
      </c>
      <c r="U851" t="s">
        <v>26</v>
      </c>
      <c r="V851" t="s">
        <v>26</v>
      </c>
      <c r="W851" s="24">
        <v>42370</v>
      </c>
      <c r="X851" s="25" t="s">
        <v>77</v>
      </c>
      <c r="Y851" t="s">
        <v>26</v>
      </c>
      <c r="Z851" s="24">
        <v>42370</v>
      </c>
      <c r="AA851" s="25" t="s">
        <v>77</v>
      </c>
      <c r="AB851" t="s">
        <v>26</v>
      </c>
      <c r="AC851" s="24">
        <v>42370</v>
      </c>
      <c r="AD851" s="25" t="s">
        <v>77</v>
      </c>
      <c r="AE851" t="s">
        <v>26</v>
      </c>
      <c r="AF851" t="s">
        <v>26</v>
      </c>
      <c r="AG851" t="s">
        <v>26</v>
      </c>
      <c r="AH851" t="s">
        <v>26</v>
      </c>
      <c r="AI851" t="s">
        <v>26</v>
      </c>
      <c r="AJ851" t="s">
        <v>26</v>
      </c>
      <c r="AK851" t="s">
        <v>26</v>
      </c>
      <c r="AL851" t="s">
        <v>26</v>
      </c>
      <c r="AM851" t="s">
        <v>26</v>
      </c>
      <c r="AN851" t="s">
        <v>26</v>
      </c>
      <c r="AO851" s="25" t="s">
        <v>68</v>
      </c>
      <c r="AP851" s="23" t="s">
        <v>69</v>
      </c>
      <c r="AQ851" s="23" t="s">
        <v>30</v>
      </c>
      <c r="AR851" s="23" t="s">
        <v>46</v>
      </c>
      <c r="AS851" s="25">
        <v>2033326</v>
      </c>
      <c r="AT851" t="s">
        <v>26</v>
      </c>
      <c r="AU851" t="s">
        <v>23363</v>
      </c>
    </row>
    <row r="852" spans="1:47" ht="26.25" x14ac:dyDescent="0.4">
      <c r="A852" s="23" t="s">
        <v>2157</v>
      </c>
      <c r="B852" t="s">
        <v>26</v>
      </c>
      <c r="C852" s="23" t="s">
        <v>73</v>
      </c>
      <c r="D852" s="23" t="s">
        <v>22215</v>
      </c>
      <c r="E852" s="23" t="s">
        <v>74</v>
      </c>
      <c r="F852" s="25" t="s">
        <v>2158</v>
      </c>
      <c r="G852" s="25" t="s">
        <v>2159</v>
      </c>
      <c r="H852" t="s">
        <v>26</v>
      </c>
      <c r="I852" s="24">
        <v>35490</v>
      </c>
      <c r="J852" s="25" t="s">
        <v>77</v>
      </c>
      <c r="K852" t="s">
        <v>26</v>
      </c>
      <c r="L852" s="25" t="s">
        <v>68</v>
      </c>
      <c r="M852" t="s">
        <v>26</v>
      </c>
      <c r="N852" t="s">
        <v>26</v>
      </c>
      <c r="O852" t="s">
        <v>26</v>
      </c>
      <c r="P852" s="24">
        <v>35490</v>
      </c>
      <c r="Q852" s="25" t="s">
        <v>77</v>
      </c>
      <c r="R852" t="s">
        <v>26</v>
      </c>
      <c r="S852" t="s">
        <v>26</v>
      </c>
      <c r="T852" t="s">
        <v>26</v>
      </c>
      <c r="U852" t="s">
        <v>26</v>
      </c>
      <c r="V852" s="25">
        <v>365</v>
      </c>
      <c r="W852" s="24">
        <v>35490</v>
      </c>
      <c r="X852" s="25" t="s">
        <v>77</v>
      </c>
      <c r="Y852" t="s">
        <v>26</v>
      </c>
      <c r="Z852" s="24">
        <v>35490</v>
      </c>
      <c r="AA852" s="25" t="s">
        <v>77</v>
      </c>
      <c r="AB852" t="s">
        <v>26</v>
      </c>
      <c r="AC852" s="24">
        <v>35490</v>
      </c>
      <c r="AD852" s="25" t="s">
        <v>77</v>
      </c>
      <c r="AE852" t="s">
        <v>26</v>
      </c>
      <c r="AF852" t="s">
        <v>26</v>
      </c>
      <c r="AG852" t="s">
        <v>26</v>
      </c>
      <c r="AH852" t="s">
        <v>26</v>
      </c>
      <c r="AI852" t="s">
        <v>26</v>
      </c>
      <c r="AJ852" t="s">
        <v>26</v>
      </c>
      <c r="AK852" t="s">
        <v>26</v>
      </c>
      <c r="AL852" t="s">
        <v>26</v>
      </c>
      <c r="AM852" t="s">
        <v>26</v>
      </c>
      <c r="AN852" t="s">
        <v>26</v>
      </c>
      <c r="AO852" s="25" t="s">
        <v>28</v>
      </c>
      <c r="AP852" s="23" t="s">
        <v>69</v>
      </c>
      <c r="AQ852" s="23" t="s">
        <v>30</v>
      </c>
      <c r="AR852" s="23" t="s">
        <v>2160</v>
      </c>
      <c r="AS852" s="25">
        <v>4402912</v>
      </c>
      <c r="AT852" t="s">
        <v>26</v>
      </c>
      <c r="AU852" t="s">
        <v>23364</v>
      </c>
    </row>
    <row r="853" spans="1:47" ht="26.25" x14ac:dyDescent="0.4">
      <c r="A853" s="23" t="s">
        <v>2161</v>
      </c>
      <c r="B853" t="s">
        <v>26</v>
      </c>
      <c r="C853" s="23" t="s">
        <v>80</v>
      </c>
      <c r="D853" s="23" t="s">
        <v>22190</v>
      </c>
      <c r="E853" s="23" t="s">
        <v>60</v>
      </c>
      <c r="F853" s="25" t="s">
        <v>2162</v>
      </c>
      <c r="G853" s="25" t="s">
        <v>2163</v>
      </c>
      <c r="H853" t="s">
        <v>26</v>
      </c>
      <c r="I853" t="s">
        <v>26</v>
      </c>
      <c r="J853" t="s">
        <v>26</v>
      </c>
      <c r="K853" t="s">
        <v>26</v>
      </c>
      <c r="L853" s="25" t="s">
        <v>68</v>
      </c>
      <c r="M853" t="s">
        <v>26</v>
      </c>
      <c r="N853" t="s">
        <v>26</v>
      </c>
      <c r="O853" t="s">
        <v>26</v>
      </c>
      <c r="P853" t="s">
        <v>26</v>
      </c>
      <c r="Q853" t="s">
        <v>26</v>
      </c>
      <c r="R853" t="s">
        <v>26</v>
      </c>
      <c r="S853" t="s">
        <v>26</v>
      </c>
      <c r="T853" t="s">
        <v>26</v>
      </c>
      <c r="U853" t="s">
        <v>26</v>
      </c>
      <c r="V853" t="s">
        <v>26</v>
      </c>
      <c r="W853" s="24">
        <v>37803</v>
      </c>
      <c r="X853" s="25" t="s">
        <v>77</v>
      </c>
      <c r="Y853" t="s">
        <v>26</v>
      </c>
      <c r="Z853" s="24">
        <v>37803</v>
      </c>
      <c r="AA853" s="25" t="s">
        <v>77</v>
      </c>
      <c r="AB853" t="s">
        <v>26</v>
      </c>
      <c r="AC853" s="24">
        <v>37803</v>
      </c>
      <c r="AD853" s="25" t="s">
        <v>77</v>
      </c>
      <c r="AE853" t="s">
        <v>26</v>
      </c>
      <c r="AF853" t="s">
        <v>26</v>
      </c>
      <c r="AG853" t="s">
        <v>26</v>
      </c>
      <c r="AH853" t="s">
        <v>26</v>
      </c>
      <c r="AI853" t="s">
        <v>26</v>
      </c>
      <c r="AJ853" t="s">
        <v>26</v>
      </c>
      <c r="AK853" t="s">
        <v>26</v>
      </c>
      <c r="AL853" t="s">
        <v>26</v>
      </c>
      <c r="AM853" t="s">
        <v>26</v>
      </c>
      <c r="AN853" t="s">
        <v>26</v>
      </c>
      <c r="AO853" s="25" t="s">
        <v>68</v>
      </c>
      <c r="AP853" s="23" t="s">
        <v>69</v>
      </c>
      <c r="AQ853" s="23" t="s">
        <v>30</v>
      </c>
      <c r="AR853" s="23" t="s">
        <v>2164</v>
      </c>
      <c r="AS853" s="25">
        <v>46260</v>
      </c>
      <c r="AT853" t="s">
        <v>26</v>
      </c>
      <c r="AU853" t="s">
        <v>23365</v>
      </c>
    </row>
    <row r="854" spans="1:47" ht="26.25" x14ac:dyDescent="0.4">
      <c r="A854" s="23" t="s">
        <v>2165</v>
      </c>
      <c r="B854" t="s">
        <v>26</v>
      </c>
      <c r="C854" s="23" t="s">
        <v>2166</v>
      </c>
      <c r="D854" s="23" t="s">
        <v>23366</v>
      </c>
      <c r="E854" s="23" t="s">
        <v>139</v>
      </c>
      <c r="F854" t="s">
        <v>26</v>
      </c>
      <c r="G854" s="25" t="s">
        <v>2167</v>
      </c>
      <c r="H854" t="s">
        <v>26</v>
      </c>
      <c r="I854" s="24">
        <v>40909</v>
      </c>
      <c r="J854" s="24">
        <v>43831</v>
      </c>
      <c r="K854" t="s">
        <v>26</v>
      </c>
      <c r="L854" s="25" t="s">
        <v>68</v>
      </c>
      <c r="M854" t="s">
        <v>26</v>
      </c>
      <c r="N854" t="s">
        <v>26</v>
      </c>
      <c r="O854" t="s">
        <v>26</v>
      </c>
      <c r="P854" s="24">
        <v>40909</v>
      </c>
      <c r="Q854" s="24">
        <v>43831</v>
      </c>
      <c r="R854" t="s">
        <v>26</v>
      </c>
      <c r="S854" t="s">
        <v>26</v>
      </c>
      <c r="T854" t="s">
        <v>26</v>
      </c>
      <c r="U854" t="s">
        <v>26</v>
      </c>
      <c r="V854" t="s">
        <v>26</v>
      </c>
      <c r="W854" s="24">
        <v>40909</v>
      </c>
      <c r="X854" s="24">
        <v>43831</v>
      </c>
      <c r="Y854" t="s">
        <v>26</v>
      </c>
      <c r="Z854" s="24">
        <v>40909</v>
      </c>
      <c r="AA854" s="24">
        <v>43831</v>
      </c>
      <c r="AB854" t="s">
        <v>26</v>
      </c>
      <c r="AC854" s="24">
        <v>40909</v>
      </c>
      <c r="AD854" s="24">
        <v>43831</v>
      </c>
      <c r="AE854" t="s">
        <v>26</v>
      </c>
      <c r="AF854" t="s">
        <v>26</v>
      </c>
      <c r="AG854" t="s">
        <v>26</v>
      </c>
      <c r="AH854" t="s">
        <v>26</v>
      </c>
      <c r="AI854" t="s">
        <v>26</v>
      </c>
      <c r="AJ854" t="s">
        <v>26</v>
      </c>
      <c r="AK854" t="s">
        <v>26</v>
      </c>
      <c r="AL854" t="s">
        <v>26</v>
      </c>
      <c r="AM854" t="s">
        <v>26</v>
      </c>
      <c r="AN854" t="s">
        <v>26</v>
      </c>
      <c r="AO854" s="25" t="s">
        <v>68</v>
      </c>
      <c r="AP854" s="23" t="s">
        <v>69</v>
      </c>
      <c r="AQ854" s="23" t="s">
        <v>142</v>
      </c>
      <c r="AR854" s="23" t="s">
        <v>2168</v>
      </c>
      <c r="AS854" s="25">
        <v>4573629</v>
      </c>
      <c r="AT854" t="s">
        <v>26</v>
      </c>
      <c r="AU854" t="s">
        <v>23367</v>
      </c>
    </row>
    <row r="855" spans="1:47" ht="26.25" x14ac:dyDescent="0.4">
      <c r="A855" s="23" t="s">
        <v>2169</v>
      </c>
      <c r="B855" t="s">
        <v>26</v>
      </c>
      <c r="C855" s="23" t="s">
        <v>264</v>
      </c>
      <c r="D855" s="23" t="s">
        <v>22174</v>
      </c>
      <c r="E855" s="23" t="s">
        <v>60</v>
      </c>
      <c r="F855" s="25" t="s">
        <v>2170</v>
      </c>
      <c r="G855" s="25" t="s">
        <v>2171</v>
      </c>
      <c r="H855" t="s">
        <v>26</v>
      </c>
      <c r="I855" s="24">
        <v>33604</v>
      </c>
      <c r="J855" s="25" t="s">
        <v>77</v>
      </c>
      <c r="K855" t="s">
        <v>26</v>
      </c>
      <c r="L855" s="25" t="s">
        <v>68</v>
      </c>
      <c r="M855" s="24">
        <v>33604</v>
      </c>
      <c r="N855" s="25" t="s">
        <v>77</v>
      </c>
      <c r="O855" t="s">
        <v>26</v>
      </c>
      <c r="P855" s="24">
        <v>34700</v>
      </c>
      <c r="Q855" s="25" t="s">
        <v>77</v>
      </c>
      <c r="R855" t="s">
        <v>26</v>
      </c>
      <c r="S855" t="s">
        <v>26</v>
      </c>
      <c r="T855" t="s">
        <v>26</v>
      </c>
      <c r="U855" t="s">
        <v>26</v>
      </c>
      <c r="V855" s="25">
        <v>365</v>
      </c>
      <c r="W855" s="24">
        <v>33604</v>
      </c>
      <c r="X855" s="25" t="s">
        <v>77</v>
      </c>
      <c r="Y855" t="s">
        <v>26</v>
      </c>
      <c r="Z855" s="24">
        <v>33604</v>
      </c>
      <c r="AA855" s="25" t="s">
        <v>77</v>
      </c>
      <c r="AB855" t="s">
        <v>26</v>
      </c>
      <c r="AC855" s="24">
        <v>33604</v>
      </c>
      <c r="AD855" s="25" t="s">
        <v>77</v>
      </c>
      <c r="AE855" t="s">
        <v>26</v>
      </c>
      <c r="AF855" t="s">
        <v>26</v>
      </c>
      <c r="AG855" t="s">
        <v>26</v>
      </c>
      <c r="AH855" t="s">
        <v>26</v>
      </c>
      <c r="AI855" t="s">
        <v>26</v>
      </c>
      <c r="AJ855" t="s">
        <v>26</v>
      </c>
      <c r="AK855" t="s">
        <v>26</v>
      </c>
      <c r="AL855" t="s">
        <v>26</v>
      </c>
      <c r="AM855" t="s">
        <v>26</v>
      </c>
      <c r="AN855" t="s">
        <v>26</v>
      </c>
      <c r="AO855" s="25" t="s">
        <v>68</v>
      </c>
      <c r="AP855" s="23" t="s">
        <v>69</v>
      </c>
      <c r="AQ855" s="23" t="s">
        <v>30</v>
      </c>
      <c r="AR855" s="23" t="s">
        <v>2172</v>
      </c>
      <c r="AS855" s="25">
        <v>35632</v>
      </c>
      <c r="AT855" t="s">
        <v>26</v>
      </c>
      <c r="AU855" t="s">
        <v>23368</v>
      </c>
    </row>
    <row r="856" spans="1:47" ht="26.25" x14ac:dyDescent="0.4">
      <c r="A856" s="23" t="s">
        <v>2173</v>
      </c>
      <c r="B856" t="s">
        <v>26</v>
      </c>
      <c r="C856" t="s">
        <v>26</v>
      </c>
      <c r="D856" s="23" t="s">
        <v>22179</v>
      </c>
      <c r="E856" t="s">
        <v>26</v>
      </c>
      <c r="F856" s="25" t="s">
        <v>2174</v>
      </c>
      <c r="G856" s="25" t="s">
        <v>2175</v>
      </c>
      <c r="H856" t="s">
        <v>26</v>
      </c>
      <c r="I856" s="24">
        <v>35370</v>
      </c>
      <c r="J856" s="24">
        <v>43770</v>
      </c>
      <c r="K856" t="s">
        <v>26</v>
      </c>
      <c r="L856" s="25" t="s">
        <v>68</v>
      </c>
      <c r="M856" s="24">
        <v>35370</v>
      </c>
      <c r="N856" s="24">
        <v>43770</v>
      </c>
      <c r="O856" t="s">
        <v>26</v>
      </c>
      <c r="P856" s="24">
        <v>35370</v>
      </c>
      <c r="Q856" s="24">
        <v>43770</v>
      </c>
      <c r="R856" t="s">
        <v>26</v>
      </c>
      <c r="S856" t="s">
        <v>26</v>
      </c>
      <c r="T856" t="s">
        <v>26</v>
      </c>
      <c r="U856" t="s">
        <v>26</v>
      </c>
      <c r="V856" t="s">
        <v>26</v>
      </c>
      <c r="W856" s="24">
        <v>35370</v>
      </c>
      <c r="X856" s="24">
        <v>43770</v>
      </c>
      <c r="Y856" t="s">
        <v>26</v>
      </c>
      <c r="Z856" s="24">
        <v>35370</v>
      </c>
      <c r="AA856" s="24">
        <v>43770</v>
      </c>
      <c r="AB856" t="s">
        <v>26</v>
      </c>
      <c r="AC856" s="24">
        <v>37469</v>
      </c>
      <c r="AD856" s="24">
        <v>43770</v>
      </c>
      <c r="AE856" s="25" t="s">
        <v>23182</v>
      </c>
      <c r="AF856" t="s">
        <v>26</v>
      </c>
      <c r="AG856" t="s">
        <v>26</v>
      </c>
      <c r="AH856" t="s">
        <v>26</v>
      </c>
      <c r="AI856" t="s">
        <v>26</v>
      </c>
      <c r="AJ856" t="s">
        <v>26</v>
      </c>
      <c r="AK856" t="s">
        <v>26</v>
      </c>
      <c r="AL856" t="s">
        <v>26</v>
      </c>
      <c r="AM856" t="s">
        <v>26</v>
      </c>
      <c r="AN856" t="s">
        <v>26</v>
      </c>
      <c r="AO856" s="25" t="s">
        <v>68</v>
      </c>
      <c r="AP856" s="23" t="s">
        <v>69</v>
      </c>
      <c r="AQ856" s="23" t="s">
        <v>30</v>
      </c>
      <c r="AR856" s="23" t="s">
        <v>883</v>
      </c>
      <c r="AS856" s="25">
        <v>31077</v>
      </c>
      <c r="AT856" t="s">
        <v>26</v>
      </c>
      <c r="AU856" t="s">
        <v>23369</v>
      </c>
    </row>
    <row r="857" spans="1:47" ht="26.25" x14ac:dyDescent="0.4">
      <c r="A857" s="23" t="s">
        <v>2176</v>
      </c>
      <c r="B857" t="s">
        <v>26</v>
      </c>
      <c r="C857" s="23" t="s">
        <v>80</v>
      </c>
      <c r="D857" s="23" t="s">
        <v>22190</v>
      </c>
      <c r="E857" s="23" t="s">
        <v>60</v>
      </c>
      <c r="F857" s="25" t="s">
        <v>2177</v>
      </c>
      <c r="G857" s="25" t="s">
        <v>2178</v>
      </c>
      <c r="H857" t="s">
        <v>26</v>
      </c>
      <c r="I857" t="s">
        <v>26</v>
      </c>
      <c r="J857" t="s">
        <v>26</v>
      </c>
      <c r="K857" t="s">
        <v>26</v>
      </c>
      <c r="L857" s="25" t="s">
        <v>68</v>
      </c>
      <c r="M857" t="s">
        <v>26</v>
      </c>
      <c r="N857" t="s">
        <v>26</v>
      </c>
      <c r="O857" t="s">
        <v>26</v>
      </c>
      <c r="P857" t="s">
        <v>26</v>
      </c>
      <c r="Q857" t="s">
        <v>26</v>
      </c>
      <c r="R857" t="s">
        <v>26</v>
      </c>
      <c r="S857" t="s">
        <v>26</v>
      </c>
      <c r="T857" t="s">
        <v>26</v>
      </c>
      <c r="U857" t="s">
        <v>26</v>
      </c>
      <c r="V857" t="s">
        <v>26</v>
      </c>
      <c r="W857" s="24">
        <v>37987</v>
      </c>
      <c r="X857" s="25" t="s">
        <v>77</v>
      </c>
      <c r="Y857" s="25" t="s">
        <v>2134</v>
      </c>
      <c r="Z857" s="24">
        <v>37987</v>
      </c>
      <c r="AA857" s="25" t="s">
        <v>77</v>
      </c>
      <c r="AB857" s="25" t="s">
        <v>2134</v>
      </c>
      <c r="AC857" s="24">
        <v>37987</v>
      </c>
      <c r="AD857" s="25" t="s">
        <v>77</v>
      </c>
      <c r="AE857" s="25" t="s">
        <v>2134</v>
      </c>
      <c r="AF857" t="s">
        <v>26</v>
      </c>
      <c r="AG857" t="s">
        <v>26</v>
      </c>
      <c r="AH857" t="s">
        <v>26</v>
      </c>
      <c r="AI857" t="s">
        <v>26</v>
      </c>
      <c r="AJ857" t="s">
        <v>26</v>
      </c>
      <c r="AK857" t="s">
        <v>26</v>
      </c>
      <c r="AL857" t="s">
        <v>26</v>
      </c>
      <c r="AM857" t="s">
        <v>26</v>
      </c>
      <c r="AN857" t="s">
        <v>26</v>
      </c>
      <c r="AO857" s="25" t="s">
        <v>68</v>
      </c>
      <c r="AP857" s="23" t="s">
        <v>69</v>
      </c>
      <c r="AQ857" s="23" t="s">
        <v>30</v>
      </c>
      <c r="AR857" s="23" t="s">
        <v>337</v>
      </c>
      <c r="AS857" s="25">
        <v>46262</v>
      </c>
      <c r="AT857" t="s">
        <v>26</v>
      </c>
      <c r="AU857" t="s">
        <v>23370</v>
      </c>
    </row>
    <row r="858" spans="1:47" ht="26.25" x14ac:dyDescent="0.4">
      <c r="A858" s="23" t="s">
        <v>2179</v>
      </c>
      <c r="B858" t="s">
        <v>26</v>
      </c>
      <c r="C858" s="23" t="s">
        <v>73</v>
      </c>
      <c r="D858" s="23" t="s">
        <v>22211</v>
      </c>
      <c r="E858" s="23" t="s">
        <v>74</v>
      </c>
      <c r="F858" s="25" t="s">
        <v>2180</v>
      </c>
      <c r="G858" s="25" t="s">
        <v>2181</v>
      </c>
      <c r="H858" t="s">
        <v>26</v>
      </c>
      <c r="I858" s="24">
        <v>35521</v>
      </c>
      <c r="J858" s="25" t="s">
        <v>77</v>
      </c>
      <c r="K858" t="s">
        <v>26</v>
      </c>
      <c r="L858" s="25" t="s">
        <v>68</v>
      </c>
      <c r="M858" s="24">
        <v>38353</v>
      </c>
      <c r="N858" s="24">
        <v>42767</v>
      </c>
      <c r="O858" s="25" t="s">
        <v>194</v>
      </c>
      <c r="P858" s="24">
        <v>35521</v>
      </c>
      <c r="Q858" s="25" t="s">
        <v>77</v>
      </c>
      <c r="R858" t="s">
        <v>26</v>
      </c>
      <c r="S858" t="s">
        <v>26</v>
      </c>
      <c r="T858" t="s">
        <v>26</v>
      </c>
      <c r="U858" t="s">
        <v>26</v>
      </c>
      <c r="V858" s="25">
        <v>365</v>
      </c>
      <c r="W858" s="24">
        <v>35521</v>
      </c>
      <c r="X858" s="25" t="s">
        <v>77</v>
      </c>
      <c r="Y858" t="s">
        <v>26</v>
      </c>
      <c r="Z858" s="24">
        <v>35521</v>
      </c>
      <c r="AA858" s="25" t="s">
        <v>77</v>
      </c>
      <c r="AB858" t="s">
        <v>26</v>
      </c>
      <c r="AC858" s="24">
        <v>35521</v>
      </c>
      <c r="AD858" s="25" t="s">
        <v>77</v>
      </c>
      <c r="AE858" t="s">
        <v>26</v>
      </c>
      <c r="AF858" t="s">
        <v>26</v>
      </c>
      <c r="AG858" t="s">
        <v>26</v>
      </c>
      <c r="AH858" t="s">
        <v>26</v>
      </c>
      <c r="AI858" t="s">
        <v>26</v>
      </c>
      <c r="AJ858" t="s">
        <v>26</v>
      </c>
      <c r="AK858" t="s">
        <v>26</v>
      </c>
      <c r="AL858" t="s">
        <v>26</v>
      </c>
      <c r="AM858" t="s">
        <v>26</v>
      </c>
      <c r="AN858" t="s">
        <v>26</v>
      </c>
      <c r="AO858" s="25" t="s">
        <v>68</v>
      </c>
      <c r="AP858" s="23" t="s">
        <v>69</v>
      </c>
      <c r="AQ858" s="23" t="s">
        <v>30</v>
      </c>
      <c r="AR858" s="23" t="s">
        <v>2182</v>
      </c>
      <c r="AS858" s="25">
        <v>52522</v>
      </c>
      <c r="AT858" t="s">
        <v>26</v>
      </c>
      <c r="AU858" t="s">
        <v>23371</v>
      </c>
    </row>
    <row r="859" spans="1:47" ht="26.25" x14ac:dyDescent="0.4">
      <c r="A859" s="23" t="s">
        <v>2183</v>
      </c>
      <c r="B859" t="s">
        <v>26</v>
      </c>
      <c r="C859" s="23" t="s">
        <v>389</v>
      </c>
      <c r="D859" s="23" t="s">
        <v>22254</v>
      </c>
      <c r="E859" s="23" t="s">
        <v>42</v>
      </c>
      <c r="F859" s="25" t="s">
        <v>2184</v>
      </c>
      <c r="G859" s="25" t="s">
        <v>2185</v>
      </c>
      <c r="H859" t="s">
        <v>26</v>
      </c>
      <c r="I859" s="24">
        <v>37073</v>
      </c>
      <c r="J859" s="24">
        <v>40148</v>
      </c>
      <c r="K859" t="s">
        <v>26</v>
      </c>
      <c r="L859" s="25" t="s">
        <v>68</v>
      </c>
      <c r="M859" s="24">
        <v>37073</v>
      </c>
      <c r="N859" s="24">
        <v>40148</v>
      </c>
      <c r="O859" t="s">
        <v>26</v>
      </c>
      <c r="P859" s="24">
        <v>37073</v>
      </c>
      <c r="Q859" s="24">
        <v>40148</v>
      </c>
      <c r="R859" t="s">
        <v>26</v>
      </c>
      <c r="S859" t="s">
        <v>26</v>
      </c>
      <c r="T859" t="s">
        <v>26</v>
      </c>
      <c r="U859" t="s">
        <v>26</v>
      </c>
      <c r="V859" t="s">
        <v>26</v>
      </c>
      <c r="W859" s="24">
        <v>30376</v>
      </c>
      <c r="X859" s="25" t="s">
        <v>77</v>
      </c>
      <c r="Y859" s="25" t="s">
        <v>2186</v>
      </c>
      <c r="Z859" s="24">
        <v>30376</v>
      </c>
      <c r="AA859" s="25" t="s">
        <v>77</v>
      </c>
      <c r="AB859" s="25" t="s">
        <v>2186</v>
      </c>
      <c r="AC859" s="24">
        <v>31199</v>
      </c>
      <c r="AD859" s="25" t="s">
        <v>77</v>
      </c>
      <c r="AE859" s="25" t="s">
        <v>23372</v>
      </c>
      <c r="AF859" t="s">
        <v>26</v>
      </c>
      <c r="AG859" t="s">
        <v>26</v>
      </c>
      <c r="AH859" t="s">
        <v>26</v>
      </c>
      <c r="AI859" t="s">
        <v>26</v>
      </c>
      <c r="AJ859" t="s">
        <v>26</v>
      </c>
      <c r="AK859" t="s">
        <v>26</v>
      </c>
      <c r="AL859" t="s">
        <v>26</v>
      </c>
      <c r="AM859" t="s">
        <v>26</v>
      </c>
      <c r="AN859" t="s">
        <v>26</v>
      </c>
      <c r="AO859" s="25" t="s">
        <v>68</v>
      </c>
      <c r="AP859" s="23" t="s">
        <v>69</v>
      </c>
      <c r="AQ859" s="23" t="s">
        <v>30</v>
      </c>
      <c r="AR859" s="23" t="s">
        <v>2187</v>
      </c>
      <c r="AS859" s="25">
        <v>49007</v>
      </c>
      <c r="AT859" t="s">
        <v>26</v>
      </c>
      <c r="AU859" t="s">
        <v>23373</v>
      </c>
    </row>
    <row r="860" spans="1:47" ht="26.25" x14ac:dyDescent="0.4">
      <c r="A860" s="23" t="s">
        <v>2188</v>
      </c>
      <c r="B860" t="s">
        <v>26</v>
      </c>
      <c r="C860" s="23" t="s">
        <v>80</v>
      </c>
      <c r="D860" s="23" t="s">
        <v>22179</v>
      </c>
      <c r="E860" s="23" t="s">
        <v>60</v>
      </c>
      <c r="F860" s="25" t="s">
        <v>2189</v>
      </c>
      <c r="G860" s="25" t="s">
        <v>2190</v>
      </c>
      <c r="H860" t="s">
        <v>26</v>
      </c>
      <c r="I860" t="s">
        <v>26</v>
      </c>
      <c r="J860" t="s">
        <v>26</v>
      </c>
      <c r="K860" t="s">
        <v>26</v>
      </c>
      <c r="L860" s="25" t="s">
        <v>68</v>
      </c>
      <c r="M860" t="s">
        <v>26</v>
      </c>
      <c r="N860" t="s">
        <v>26</v>
      </c>
      <c r="O860" t="s">
        <v>26</v>
      </c>
      <c r="P860" t="s">
        <v>26</v>
      </c>
      <c r="Q860" t="s">
        <v>26</v>
      </c>
      <c r="R860" t="s">
        <v>26</v>
      </c>
      <c r="S860" t="s">
        <v>26</v>
      </c>
      <c r="T860" t="s">
        <v>26</v>
      </c>
      <c r="U860" t="s">
        <v>26</v>
      </c>
      <c r="V860" t="s">
        <v>26</v>
      </c>
      <c r="W860" s="24">
        <v>40179</v>
      </c>
      <c r="X860" s="25" t="s">
        <v>77</v>
      </c>
      <c r="Y860" s="25" t="s">
        <v>859</v>
      </c>
      <c r="Z860" s="24">
        <v>40179</v>
      </c>
      <c r="AA860" s="25" t="s">
        <v>77</v>
      </c>
      <c r="AB860" s="25" t="s">
        <v>859</v>
      </c>
      <c r="AC860" s="24">
        <v>40179</v>
      </c>
      <c r="AD860" s="25" t="s">
        <v>77</v>
      </c>
      <c r="AE860" s="25" t="s">
        <v>859</v>
      </c>
      <c r="AF860" t="s">
        <v>26</v>
      </c>
      <c r="AG860" t="s">
        <v>26</v>
      </c>
      <c r="AH860" t="s">
        <v>26</v>
      </c>
      <c r="AI860" t="s">
        <v>26</v>
      </c>
      <c r="AJ860" t="s">
        <v>26</v>
      </c>
      <c r="AK860" t="s">
        <v>26</v>
      </c>
      <c r="AL860" t="s">
        <v>26</v>
      </c>
      <c r="AM860" t="s">
        <v>26</v>
      </c>
      <c r="AN860" t="s">
        <v>26</v>
      </c>
      <c r="AO860" s="25" t="s">
        <v>68</v>
      </c>
      <c r="AP860" s="23" t="s">
        <v>69</v>
      </c>
      <c r="AQ860" s="23" t="s">
        <v>30</v>
      </c>
      <c r="AR860" s="23" t="s">
        <v>2191</v>
      </c>
      <c r="AS860" s="25">
        <v>536297</v>
      </c>
      <c r="AT860" t="s">
        <v>26</v>
      </c>
      <c r="AU860" t="s">
        <v>23374</v>
      </c>
    </row>
    <row r="861" spans="1:47" ht="26.25" x14ac:dyDescent="0.4">
      <c r="A861" s="23" t="s">
        <v>2192</v>
      </c>
      <c r="B861" t="s">
        <v>26</v>
      </c>
      <c r="C861" s="23" t="s">
        <v>320</v>
      </c>
      <c r="D861" s="23" t="s">
        <v>22254</v>
      </c>
      <c r="E861" s="23" t="s">
        <v>42</v>
      </c>
      <c r="F861" s="25" t="s">
        <v>2193</v>
      </c>
      <c r="G861" s="25" t="s">
        <v>2194</v>
      </c>
      <c r="H861" t="s">
        <v>26</v>
      </c>
      <c r="I861" t="s">
        <v>26</v>
      </c>
      <c r="J861" t="s">
        <v>26</v>
      </c>
      <c r="K861" t="s">
        <v>26</v>
      </c>
      <c r="L861" s="25" t="s">
        <v>68</v>
      </c>
      <c r="M861" t="s">
        <v>26</v>
      </c>
      <c r="N861" t="s">
        <v>26</v>
      </c>
      <c r="O861" t="s">
        <v>26</v>
      </c>
      <c r="P861" t="s">
        <v>26</v>
      </c>
      <c r="Q861" t="s">
        <v>26</v>
      </c>
      <c r="R861" t="s">
        <v>26</v>
      </c>
      <c r="S861" t="s">
        <v>26</v>
      </c>
      <c r="T861" t="s">
        <v>26</v>
      </c>
      <c r="U861" t="s">
        <v>26</v>
      </c>
      <c r="V861" t="s">
        <v>26</v>
      </c>
      <c r="W861" s="24">
        <v>36708</v>
      </c>
      <c r="X861" s="25" t="s">
        <v>77</v>
      </c>
      <c r="Y861" t="s">
        <v>26</v>
      </c>
      <c r="Z861" s="24">
        <v>36708</v>
      </c>
      <c r="AA861" s="25" t="s">
        <v>77</v>
      </c>
      <c r="AB861" t="s">
        <v>26</v>
      </c>
      <c r="AC861" s="24">
        <v>38078</v>
      </c>
      <c r="AD861" s="25" t="s">
        <v>77</v>
      </c>
      <c r="AE861" t="s">
        <v>26</v>
      </c>
      <c r="AF861" t="s">
        <v>26</v>
      </c>
      <c r="AG861" t="s">
        <v>26</v>
      </c>
      <c r="AH861" t="s">
        <v>26</v>
      </c>
      <c r="AI861" t="s">
        <v>26</v>
      </c>
      <c r="AJ861" t="s">
        <v>26</v>
      </c>
      <c r="AK861" t="s">
        <v>26</v>
      </c>
      <c r="AL861" t="s">
        <v>26</v>
      </c>
      <c r="AM861" t="s">
        <v>26</v>
      </c>
      <c r="AN861" t="s">
        <v>26</v>
      </c>
      <c r="AO861" s="25" t="s">
        <v>68</v>
      </c>
      <c r="AP861" s="23" t="s">
        <v>69</v>
      </c>
      <c r="AQ861" s="23" t="s">
        <v>30</v>
      </c>
      <c r="AR861" s="23" t="s">
        <v>337</v>
      </c>
      <c r="AS861" s="25">
        <v>30860</v>
      </c>
      <c r="AT861" t="s">
        <v>26</v>
      </c>
      <c r="AU861" t="s">
        <v>23375</v>
      </c>
    </row>
    <row r="862" spans="1:47" ht="26.25" x14ac:dyDescent="0.4">
      <c r="A862" s="23" t="s">
        <v>2195</v>
      </c>
      <c r="B862" t="s">
        <v>26</v>
      </c>
      <c r="C862" s="23" t="s">
        <v>80</v>
      </c>
      <c r="D862" s="23" t="s">
        <v>22190</v>
      </c>
      <c r="E862" s="23" t="s">
        <v>60</v>
      </c>
      <c r="F862" s="25" t="s">
        <v>2196</v>
      </c>
      <c r="G862" s="25" t="s">
        <v>2197</v>
      </c>
      <c r="H862" t="s">
        <v>26</v>
      </c>
      <c r="I862" t="s">
        <v>26</v>
      </c>
      <c r="J862" t="s">
        <v>26</v>
      </c>
      <c r="K862" t="s">
        <v>26</v>
      </c>
      <c r="L862" s="25" t="s">
        <v>68</v>
      </c>
      <c r="M862" t="s">
        <v>26</v>
      </c>
      <c r="N862" t="s">
        <v>26</v>
      </c>
      <c r="O862" t="s">
        <v>26</v>
      </c>
      <c r="P862" t="s">
        <v>26</v>
      </c>
      <c r="Q862" t="s">
        <v>26</v>
      </c>
      <c r="R862" t="s">
        <v>26</v>
      </c>
      <c r="S862" t="s">
        <v>26</v>
      </c>
      <c r="T862" t="s">
        <v>26</v>
      </c>
      <c r="U862" t="s">
        <v>26</v>
      </c>
      <c r="V862" t="s">
        <v>26</v>
      </c>
      <c r="W862" s="24">
        <v>37987</v>
      </c>
      <c r="X862" s="25" t="s">
        <v>77</v>
      </c>
      <c r="Y862" t="s">
        <v>26</v>
      </c>
      <c r="Z862" s="24">
        <v>37987</v>
      </c>
      <c r="AA862" s="25" t="s">
        <v>77</v>
      </c>
      <c r="AB862" t="s">
        <v>26</v>
      </c>
      <c r="AC862" s="24">
        <v>37987</v>
      </c>
      <c r="AD862" s="25" t="s">
        <v>77</v>
      </c>
      <c r="AE862" t="s">
        <v>26</v>
      </c>
      <c r="AF862" t="s">
        <v>26</v>
      </c>
      <c r="AG862" t="s">
        <v>26</v>
      </c>
      <c r="AH862" t="s">
        <v>26</v>
      </c>
      <c r="AI862" t="s">
        <v>26</v>
      </c>
      <c r="AJ862" t="s">
        <v>26</v>
      </c>
      <c r="AK862" t="s">
        <v>26</v>
      </c>
      <c r="AL862" t="s">
        <v>26</v>
      </c>
      <c r="AM862" t="s">
        <v>26</v>
      </c>
      <c r="AN862" t="s">
        <v>26</v>
      </c>
      <c r="AO862" s="25" t="s">
        <v>68</v>
      </c>
      <c r="AP862" s="23" t="s">
        <v>69</v>
      </c>
      <c r="AQ862" s="23" t="s">
        <v>30</v>
      </c>
      <c r="AR862" s="23" t="s">
        <v>123</v>
      </c>
      <c r="AS862" s="25">
        <v>48036</v>
      </c>
      <c r="AT862" t="s">
        <v>26</v>
      </c>
      <c r="AU862" t="s">
        <v>23376</v>
      </c>
    </row>
    <row r="863" spans="1:47" ht="26.25" x14ac:dyDescent="0.4">
      <c r="A863" s="23" t="s">
        <v>2198</v>
      </c>
      <c r="B863" t="s">
        <v>26</v>
      </c>
      <c r="C863" s="23" t="s">
        <v>80</v>
      </c>
      <c r="D863" s="23" t="s">
        <v>23377</v>
      </c>
      <c r="E863" s="23" t="s">
        <v>60</v>
      </c>
      <c r="F863" s="25" t="s">
        <v>2199</v>
      </c>
      <c r="G863" s="25" t="s">
        <v>2200</v>
      </c>
      <c r="H863" t="s">
        <v>26</v>
      </c>
      <c r="I863" s="24">
        <v>35674</v>
      </c>
      <c r="J863" s="24">
        <v>36770</v>
      </c>
      <c r="K863" t="s">
        <v>26</v>
      </c>
      <c r="L863" s="25" t="s">
        <v>68</v>
      </c>
      <c r="M863" s="24">
        <v>35674</v>
      </c>
      <c r="N863" s="24">
        <v>36770</v>
      </c>
      <c r="O863" t="s">
        <v>26</v>
      </c>
      <c r="P863" s="24">
        <v>35674</v>
      </c>
      <c r="Q863" s="24">
        <v>36770</v>
      </c>
      <c r="R863" t="s">
        <v>26</v>
      </c>
      <c r="S863" t="s">
        <v>26</v>
      </c>
      <c r="T863" t="s">
        <v>26</v>
      </c>
      <c r="U863" t="s">
        <v>26</v>
      </c>
      <c r="V863" t="s">
        <v>26</v>
      </c>
      <c r="W863" s="24">
        <v>35674</v>
      </c>
      <c r="X863" s="25" t="s">
        <v>77</v>
      </c>
      <c r="Y863" t="s">
        <v>26</v>
      </c>
      <c r="Z863" s="24">
        <v>35674</v>
      </c>
      <c r="AA863" s="25" t="s">
        <v>77</v>
      </c>
      <c r="AB863" t="s">
        <v>26</v>
      </c>
      <c r="AC863" s="24">
        <v>35674</v>
      </c>
      <c r="AD863" s="25" t="s">
        <v>77</v>
      </c>
      <c r="AE863" t="s">
        <v>26</v>
      </c>
      <c r="AF863" t="s">
        <v>26</v>
      </c>
      <c r="AG863" t="s">
        <v>26</v>
      </c>
      <c r="AH863" t="s">
        <v>26</v>
      </c>
      <c r="AI863" t="s">
        <v>26</v>
      </c>
      <c r="AJ863" t="s">
        <v>26</v>
      </c>
      <c r="AK863" t="s">
        <v>26</v>
      </c>
      <c r="AL863" t="s">
        <v>26</v>
      </c>
      <c r="AM863" t="s">
        <v>26</v>
      </c>
      <c r="AN863" t="s">
        <v>26</v>
      </c>
      <c r="AO863" s="25" t="s">
        <v>68</v>
      </c>
      <c r="AP863" s="23" t="s">
        <v>69</v>
      </c>
      <c r="AQ863" s="23" t="s">
        <v>30</v>
      </c>
      <c r="AR863" s="23" t="s">
        <v>123</v>
      </c>
      <c r="AS863" s="25">
        <v>33176</v>
      </c>
      <c r="AT863" t="s">
        <v>26</v>
      </c>
      <c r="AU863" t="s">
        <v>23378</v>
      </c>
    </row>
    <row r="864" spans="1:47" ht="26.25" x14ac:dyDescent="0.4">
      <c r="A864" s="23" t="s">
        <v>2201</v>
      </c>
      <c r="B864" t="s">
        <v>26</v>
      </c>
      <c r="C864" s="23" t="s">
        <v>73</v>
      </c>
      <c r="D864" s="23" t="s">
        <v>22179</v>
      </c>
      <c r="E864" s="23" t="s">
        <v>74</v>
      </c>
      <c r="F864" s="25" t="s">
        <v>2202</v>
      </c>
      <c r="G864" s="25" t="s">
        <v>2203</v>
      </c>
      <c r="H864" t="s">
        <v>26</v>
      </c>
      <c r="I864" s="24">
        <v>35490</v>
      </c>
      <c r="J864" s="25" t="s">
        <v>77</v>
      </c>
      <c r="K864" t="s">
        <v>26</v>
      </c>
      <c r="L864" s="25" t="s">
        <v>68</v>
      </c>
      <c r="M864" s="24">
        <v>38047</v>
      </c>
      <c r="N864" s="24">
        <v>42795</v>
      </c>
      <c r="O864" t="s">
        <v>26</v>
      </c>
      <c r="P864" s="24">
        <v>35490</v>
      </c>
      <c r="Q864" s="25" t="s">
        <v>77</v>
      </c>
      <c r="R864" t="s">
        <v>26</v>
      </c>
      <c r="S864" t="s">
        <v>26</v>
      </c>
      <c r="T864" t="s">
        <v>26</v>
      </c>
      <c r="U864" t="s">
        <v>26</v>
      </c>
      <c r="V864" s="25">
        <v>365</v>
      </c>
      <c r="W864" s="24">
        <v>35490</v>
      </c>
      <c r="X864" s="25" t="s">
        <v>77</v>
      </c>
      <c r="Y864" t="s">
        <v>26</v>
      </c>
      <c r="Z864" s="24">
        <v>35490</v>
      </c>
      <c r="AA864" s="25" t="s">
        <v>77</v>
      </c>
      <c r="AB864" t="s">
        <v>26</v>
      </c>
      <c r="AC864" s="24">
        <v>35490</v>
      </c>
      <c r="AD864" s="25" t="s">
        <v>77</v>
      </c>
      <c r="AE864" t="s">
        <v>26</v>
      </c>
      <c r="AF864" t="s">
        <v>26</v>
      </c>
      <c r="AG864" t="s">
        <v>26</v>
      </c>
      <c r="AH864" t="s">
        <v>26</v>
      </c>
      <c r="AI864" t="s">
        <v>26</v>
      </c>
      <c r="AJ864" t="s">
        <v>26</v>
      </c>
      <c r="AK864" t="s">
        <v>26</v>
      </c>
      <c r="AL864" t="s">
        <v>26</v>
      </c>
      <c r="AM864" t="s">
        <v>26</v>
      </c>
      <c r="AN864" t="s">
        <v>26</v>
      </c>
      <c r="AO864" s="25" t="s">
        <v>68</v>
      </c>
      <c r="AP864" s="23" t="s">
        <v>69</v>
      </c>
      <c r="AQ864" s="23" t="s">
        <v>30</v>
      </c>
      <c r="AR864" s="23" t="s">
        <v>123</v>
      </c>
      <c r="AS864" s="25">
        <v>54191</v>
      </c>
      <c r="AT864" t="s">
        <v>26</v>
      </c>
      <c r="AU864" t="s">
        <v>23379</v>
      </c>
    </row>
    <row r="865" spans="1:47" ht="26.25" x14ac:dyDescent="0.4">
      <c r="A865" s="23" t="s">
        <v>2204</v>
      </c>
      <c r="B865" t="s">
        <v>26</v>
      </c>
      <c r="C865" s="23" t="s">
        <v>80</v>
      </c>
      <c r="D865" s="23" t="s">
        <v>23380</v>
      </c>
      <c r="E865" s="23" t="s">
        <v>60</v>
      </c>
      <c r="F865" s="25" t="s">
        <v>2205</v>
      </c>
      <c r="G865" s="25" t="s">
        <v>2206</v>
      </c>
      <c r="H865" t="s">
        <v>26</v>
      </c>
      <c r="I865" t="s">
        <v>26</v>
      </c>
      <c r="J865" t="s">
        <v>26</v>
      </c>
      <c r="K865" t="s">
        <v>26</v>
      </c>
      <c r="L865" s="25" t="s">
        <v>68</v>
      </c>
      <c r="M865" t="s">
        <v>26</v>
      </c>
      <c r="N865" t="s">
        <v>26</v>
      </c>
      <c r="O865" t="s">
        <v>26</v>
      </c>
      <c r="P865" t="s">
        <v>26</v>
      </c>
      <c r="Q865" t="s">
        <v>26</v>
      </c>
      <c r="R865" t="s">
        <v>26</v>
      </c>
      <c r="S865" t="s">
        <v>26</v>
      </c>
      <c r="T865" t="s">
        <v>26</v>
      </c>
      <c r="U865" t="s">
        <v>26</v>
      </c>
      <c r="V865" t="s">
        <v>26</v>
      </c>
      <c r="W865" s="24">
        <v>40179</v>
      </c>
      <c r="X865" s="25" t="s">
        <v>77</v>
      </c>
      <c r="Y865" t="s">
        <v>26</v>
      </c>
      <c r="Z865" s="24">
        <v>40179</v>
      </c>
      <c r="AA865" s="25" t="s">
        <v>77</v>
      </c>
      <c r="AB865" t="s">
        <v>26</v>
      </c>
      <c r="AC865" s="24">
        <v>40179</v>
      </c>
      <c r="AD865" s="25" t="s">
        <v>77</v>
      </c>
      <c r="AE865" t="s">
        <v>26</v>
      </c>
      <c r="AF865" t="s">
        <v>26</v>
      </c>
      <c r="AG865" t="s">
        <v>26</v>
      </c>
      <c r="AH865" t="s">
        <v>26</v>
      </c>
      <c r="AI865" t="s">
        <v>26</v>
      </c>
      <c r="AJ865" t="s">
        <v>26</v>
      </c>
      <c r="AK865" t="s">
        <v>26</v>
      </c>
      <c r="AL865" t="s">
        <v>26</v>
      </c>
      <c r="AM865" t="s">
        <v>26</v>
      </c>
      <c r="AN865" t="s">
        <v>26</v>
      </c>
      <c r="AO865" s="25" t="s">
        <v>68</v>
      </c>
      <c r="AP865" s="23" t="s">
        <v>69</v>
      </c>
      <c r="AQ865" s="23" t="s">
        <v>30</v>
      </c>
      <c r="AR865" s="23" t="s">
        <v>123</v>
      </c>
      <c r="AS865" s="25">
        <v>426777</v>
      </c>
      <c r="AT865" t="s">
        <v>26</v>
      </c>
      <c r="AU865" t="s">
        <v>23381</v>
      </c>
    </row>
    <row r="866" spans="1:47" ht="26.25" x14ac:dyDescent="0.4">
      <c r="A866" s="23" t="s">
        <v>2207</v>
      </c>
      <c r="B866" t="s">
        <v>26</v>
      </c>
      <c r="C866" s="23" t="s">
        <v>389</v>
      </c>
      <c r="D866" s="23" t="s">
        <v>22254</v>
      </c>
      <c r="E866" s="23" t="s">
        <v>42</v>
      </c>
      <c r="F866" s="25" t="s">
        <v>2208</v>
      </c>
      <c r="G866" s="25" t="s">
        <v>2209</v>
      </c>
      <c r="H866" t="s">
        <v>26</v>
      </c>
      <c r="I866" s="24">
        <v>37165</v>
      </c>
      <c r="J866" s="24">
        <v>40148</v>
      </c>
      <c r="K866" t="s">
        <v>26</v>
      </c>
      <c r="L866" s="25" t="s">
        <v>68</v>
      </c>
      <c r="M866" s="24">
        <v>37165</v>
      </c>
      <c r="N866" s="24">
        <v>40148</v>
      </c>
      <c r="O866" t="s">
        <v>26</v>
      </c>
      <c r="P866" s="24">
        <v>37165</v>
      </c>
      <c r="Q866" s="24">
        <v>40148</v>
      </c>
      <c r="R866" t="s">
        <v>26</v>
      </c>
      <c r="S866" t="s">
        <v>26</v>
      </c>
      <c r="T866" t="s">
        <v>26</v>
      </c>
      <c r="U866" t="s">
        <v>26</v>
      </c>
      <c r="V866" t="s">
        <v>26</v>
      </c>
      <c r="W866" s="24">
        <v>37165</v>
      </c>
      <c r="X866" s="25" t="s">
        <v>77</v>
      </c>
      <c r="Y866" t="s">
        <v>26</v>
      </c>
      <c r="Z866" s="24">
        <v>37165</v>
      </c>
      <c r="AA866" s="25" t="s">
        <v>77</v>
      </c>
      <c r="AB866" t="s">
        <v>26</v>
      </c>
      <c r="AC866" s="24">
        <v>37165</v>
      </c>
      <c r="AD866" s="25" t="s">
        <v>77</v>
      </c>
      <c r="AE866" t="s">
        <v>26</v>
      </c>
      <c r="AF866" t="s">
        <v>26</v>
      </c>
      <c r="AG866" t="s">
        <v>26</v>
      </c>
      <c r="AH866" t="s">
        <v>26</v>
      </c>
      <c r="AI866" t="s">
        <v>26</v>
      </c>
      <c r="AJ866" t="s">
        <v>26</v>
      </c>
      <c r="AK866" t="s">
        <v>26</v>
      </c>
      <c r="AL866" t="s">
        <v>26</v>
      </c>
      <c r="AM866" t="s">
        <v>26</v>
      </c>
      <c r="AN866" t="s">
        <v>26</v>
      </c>
      <c r="AO866" s="25" t="s">
        <v>68</v>
      </c>
      <c r="AP866" s="23" t="s">
        <v>69</v>
      </c>
      <c r="AQ866" s="23" t="s">
        <v>30</v>
      </c>
      <c r="AR866" s="23" t="s">
        <v>337</v>
      </c>
      <c r="AS866" s="25">
        <v>34461</v>
      </c>
      <c r="AT866" t="s">
        <v>26</v>
      </c>
      <c r="AU866" t="s">
        <v>23382</v>
      </c>
    </row>
    <row r="867" spans="1:47" ht="26.25" x14ac:dyDescent="0.4">
      <c r="A867" s="23" t="s">
        <v>2210</v>
      </c>
      <c r="B867" t="s">
        <v>26</v>
      </c>
      <c r="C867" s="23" t="s">
        <v>80</v>
      </c>
      <c r="D867" s="23" t="s">
        <v>23383</v>
      </c>
      <c r="E867" s="23" t="s">
        <v>60</v>
      </c>
      <c r="F867" s="25" t="s">
        <v>2211</v>
      </c>
      <c r="G867" s="25" t="s">
        <v>2212</v>
      </c>
      <c r="H867" t="s">
        <v>26</v>
      </c>
      <c r="I867" s="24">
        <v>35582</v>
      </c>
      <c r="J867" s="24">
        <v>36831</v>
      </c>
      <c r="K867" t="s">
        <v>26</v>
      </c>
      <c r="L867" s="25" t="s">
        <v>68</v>
      </c>
      <c r="M867" s="24">
        <v>35582</v>
      </c>
      <c r="N867" s="24">
        <v>36831</v>
      </c>
      <c r="O867" t="s">
        <v>26</v>
      </c>
      <c r="P867" s="24">
        <v>35582</v>
      </c>
      <c r="Q867" s="24">
        <v>36831</v>
      </c>
      <c r="R867" t="s">
        <v>26</v>
      </c>
      <c r="S867" t="s">
        <v>26</v>
      </c>
      <c r="T867" t="s">
        <v>26</v>
      </c>
      <c r="U867" t="s">
        <v>26</v>
      </c>
      <c r="V867" t="s">
        <v>26</v>
      </c>
      <c r="W867" s="24">
        <v>35582</v>
      </c>
      <c r="X867" s="25" t="s">
        <v>77</v>
      </c>
      <c r="Y867" t="s">
        <v>26</v>
      </c>
      <c r="Z867" s="24">
        <v>35582</v>
      </c>
      <c r="AA867" s="25" t="s">
        <v>77</v>
      </c>
      <c r="AB867" t="s">
        <v>26</v>
      </c>
      <c r="AC867" s="24">
        <v>35582</v>
      </c>
      <c r="AD867" s="25" t="s">
        <v>77</v>
      </c>
      <c r="AE867" t="s">
        <v>26</v>
      </c>
      <c r="AF867" t="s">
        <v>26</v>
      </c>
      <c r="AG867" t="s">
        <v>26</v>
      </c>
      <c r="AH867" t="s">
        <v>26</v>
      </c>
      <c r="AI867" t="s">
        <v>26</v>
      </c>
      <c r="AJ867" t="s">
        <v>26</v>
      </c>
      <c r="AK867" t="s">
        <v>26</v>
      </c>
      <c r="AL867" t="s">
        <v>26</v>
      </c>
      <c r="AM867" t="s">
        <v>26</v>
      </c>
      <c r="AN867" t="s">
        <v>26</v>
      </c>
      <c r="AO867" s="25" t="s">
        <v>68</v>
      </c>
      <c r="AP867" s="23" t="s">
        <v>69</v>
      </c>
      <c r="AQ867" s="23" t="s">
        <v>30</v>
      </c>
      <c r="AR867" s="23" t="s">
        <v>337</v>
      </c>
      <c r="AS867" s="25">
        <v>17608</v>
      </c>
      <c r="AT867" t="s">
        <v>26</v>
      </c>
      <c r="AU867" t="s">
        <v>23384</v>
      </c>
    </row>
    <row r="868" spans="1:47" ht="26.25" x14ac:dyDescent="0.4">
      <c r="A868" s="23" t="s">
        <v>2213</v>
      </c>
      <c r="B868" t="s">
        <v>26</v>
      </c>
      <c r="C868" s="23" t="s">
        <v>80</v>
      </c>
      <c r="D868" s="23" t="s">
        <v>23377</v>
      </c>
      <c r="E868" s="23" t="s">
        <v>60</v>
      </c>
      <c r="F868" s="25" t="s">
        <v>2214</v>
      </c>
      <c r="G868" s="25" t="s">
        <v>2215</v>
      </c>
      <c r="H868" t="s">
        <v>26</v>
      </c>
      <c r="I868" s="24">
        <v>35735</v>
      </c>
      <c r="J868" s="24">
        <v>36861</v>
      </c>
      <c r="K868" t="s">
        <v>26</v>
      </c>
      <c r="L868" s="25" t="s">
        <v>68</v>
      </c>
      <c r="M868" s="24">
        <v>35735</v>
      </c>
      <c r="N868" s="24">
        <v>36861</v>
      </c>
      <c r="O868" t="s">
        <v>26</v>
      </c>
      <c r="P868" s="24">
        <v>35735</v>
      </c>
      <c r="Q868" s="24">
        <v>36861</v>
      </c>
      <c r="R868" t="s">
        <v>26</v>
      </c>
      <c r="S868" t="s">
        <v>26</v>
      </c>
      <c r="T868" t="s">
        <v>26</v>
      </c>
      <c r="U868" t="s">
        <v>26</v>
      </c>
      <c r="V868" t="s">
        <v>26</v>
      </c>
      <c r="W868" s="24">
        <v>35735</v>
      </c>
      <c r="X868" s="25" t="s">
        <v>77</v>
      </c>
      <c r="Y868" s="25" t="s">
        <v>1264</v>
      </c>
      <c r="Z868" s="24">
        <v>35735</v>
      </c>
      <c r="AA868" s="25" t="s">
        <v>77</v>
      </c>
      <c r="AB868" s="25" t="s">
        <v>1264</v>
      </c>
      <c r="AC868" s="24">
        <v>35735</v>
      </c>
      <c r="AD868" s="25" t="s">
        <v>77</v>
      </c>
      <c r="AE868" s="25" t="s">
        <v>1264</v>
      </c>
      <c r="AF868" t="s">
        <v>26</v>
      </c>
      <c r="AG868" t="s">
        <v>26</v>
      </c>
      <c r="AH868" t="s">
        <v>26</v>
      </c>
      <c r="AI868" t="s">
        <v>26</v>
      </c>
      <c r="AJ868" t="s">
        <v>26</v>
      </c>
      <c r="AK868" t="s">
        <v>26</v>
      </c>
      <c r="AL868" t="s">
        <v>26</v>
      </c>
      <c r="AM868" t="s">
        <v>26</v>
      </c>
      <c r="AN868" t="s">
        <v>26</v>
      </c>
      <c r="AO868" s="25" t="s">
        <v>68</v>
      </c>
      <c r="AP868" s="23" t="s">
        <v>69</v>
      </c>
      <c r="AQ868" s="23" t="s">
        <v>30</v>
      </c>
      <c r="AR868" s="23" t="s">
        <v>337</v>
      </c>
      <c r="AS868" s="25">
        <v>12732</v>
      </c>
      <c r="AT868" t="s">
        <v>26</v>
      </c>
      <c r="AU868" t="s">
        <v>23385</v>
      </c>
    </row>
    <row r="869" spans="1:47" ht="26.25" x14ac:dyDescent="0.4">
      <c r="A869" s="23" t="s">
        <v>2213</v>
      </c>
      <c r="B869" t="s">
        <v>26</v>
      </c>
      <c r="C869" s="23" t="s">
        <v>80</v>
      </c>
      <c r="D869" s="23" t="s">
        <v>22436</v>
      </c>
      <c r="E869" s="23" t="s">
        <v>60</v>
      </c>
      <c r="F869" s="25" t="s">
        <v>2216</v>
      </c>
      <c r="G869" s="25" t="s">
        <v>2217</v>
      </c>
      <c r="H869" t="s">
        <v>26</v>
      </c>
      <c r="I869" t="s">
        <v>26</v>
      </c>
      <c r="J869" t="s">
        <v>26</v>
      </c>
      <c r="K869" t="s">
        <v>26</v>
      </c>
      <c r="L869" s="25" t="s">
        <v>68</v>
      </c>
      <c r="M869" t="s">
        <v>26</v>
      </c>
      <c r="N869" t="s">
        <v>26</v>
      </c>
      <c r="O869" t="s">
        <v>26</v>
      </c>
      <c r="P869" t="s">
        <v>26</v>
      </c>
      <c r="Q869" t="s">
        <v>26</v>
      </c>
      <c r="R869" t="s">
        <v>26</v>
      </c>
      <c r="S869" t="s">
        <v>26</v>
      </c>
      <c r="T869" t="s">
        <v>26</v>
      </c>
      <c r="U869" t="s">
        <v>26</v>
      </c>
      <c r="V869" t="s">
        <v>26</v>
      </c>
      <c r="W869" s="24">
        <v>43891</v>
      </c>
      <c r="X869" s="25" t="s">
        <v>77</v>
      </c>
      <c r="Y869" t="s">
        <v>26</v>
      </c>
      <c r="Z869" s="24">
        <v>43891</v>
      </c>
      <c r="AA869" s="25" t="s">
        <v>77</v>
      </c>
      <c r="AB869" t="s">
        <v>26</v>
      </c>
      <c r="AC869" s="24">
        <v>43891</v>
      </c>
      <c r="AD869" s="25" t="s">
        <v>77</v>
      </c>
      <c r="AE869" t="s">
        <v>26</v>
      </c>
      <c r="AF869" t="s">
        <v>26</v>
      </c>
      <c r="AG869" t="s">
        <v>26</v>
      </c>
      <c r="AH869" t="s">
        <v>26</v>
      </c>
      <c r="AI869" t="s">
        <v>26</v>
      </c>
      <c r="AJ869" t="s">
        <v>26</v>
      </c>
      <c r="AK869" t="s">
        <v>26</v>
      </c>
      <c r="AL869" t="s">
        <v>26</v>
      </c>
      <c r="AM869" t="s">
        <v>26</v>
      </c>
      <c r="AN869" t="s">
        <v>26</v>
      </c>
      <c r="AO869" s="25" t="s">
        <v>68</v>
      </c>
      <c r="AP869" s="23" t="s">
        <v>69</v>
      </c>
      <c r="AQ869" s="23" t="s">
        <v>30</v>
      </c>
      <c r="AR869" s="23" t="s">
        <v>337</v>
      </c>
      <c r="AS869" s="25">
        <v>2037194</v>
      </c>
      <c r="AT869" t="s">
        <v>26</v>
      </c>
      <c r="AU869" t="s">
        <v>23386</v>
      </c>
    </row>
    <row r="870" spans="1:47" ht="26.25" x14ac:dyDescent="0.4">
      <c r="A870" s="23" t="s">
        <v>23387</v>
      </c>
      <c r="B870" t="s">
        <v>26</v>
      </c>
      <c r="C870" s="23" t="s">
        <v>73</v>
      </c>
      <c r="D870" s="23" t="s">
        <v>22179</v>
      </c>
      <c r="E870" s="23" t="s">
        <v>74</v>
      </c>
      <c r="F870" s="25" t="s">
        <v>2218</v>
      </c>
      <c r="G870" s="25" t="s">
        <v>2219</v>
      </c>
      <c r="H870" t="s">
        <v>26</v>
      </c>
      <c r="I870" s="24">
        <v>35490</v>
      </c>
      <c r="J870" s="25" t="s">
        <v>77</v>
      </c>
      <c r="K870" t="s">
        <v>26</v>
      </c>
      <c r="L870" s="25" t="s">
        <v>68</v>
      </c>
      <c r="M870" s="24">
        <v>35490</v>
      </c>
      <c r="N870" s="24">
        <v>42826</v>
      </c>
      <c r="O870" s="25" t="s">
        <v>431</v>
      </c>
      <c r="P870" s="24">
        <v>35490</v>
      </c>
      <c r="Q870" s="25" t="s">
        <v>77</v>
      </c>
      <c r="R870" t="s">
        <v>26</v>
      </c>
      <c r="S870" t="s">
        <v>26</v>
      </c>
      <c r="T870" t="s">
        <v>26</v>
      </c>
      <c r="U870" t="s">
        <v>26</v>
      </c>
      <c r="V870" s="25">
        <v>365</v>
      </c>
      <c r="W870" s="24">
        <v>35490</v>
      </c>
      <c r="X870" s="25" t="s">
        <v>77</v>
      </c>
      <c r="Y870" t="s">
        <v>26</v>
      </c>
      <c r="Z870" s="24">
        <v>35490</v>
      </c>
      <c r="AA870" s="25" t="s">
        <v>77</v>
      </c>
      <c r="AB870" t="s">
        <v>26</v>
      </c>
      <c r="AC870" s="24">
        <v>35490</v>
      </c>
      <c r="AD870" s="25" t="s">
        <v>77</v>
      </c>
      <c r="AE870" s="25" t="s">
        <v>23388</v>
      </c>
      <c r="AF870" t="s">
        <v>26</v>
      </c>
      <c r="AG870" t="s">
        <v>26</v>
      </c>
      <c r="AH870" t="s">
        <v>26</v>
      </c>
      <c r="AI870" t="s">
        <v>26</v>
      </c>
      <c r="AJ870" t="s">
        <v>26</v>
      </c>
      <c r="AK870" t="s">
        <v>26</v>
      </c>
      <c r="AL870" t="s">
        <v>26</v>
      </c>
      <c r="AM870" t="s">
        <v>26</v>
      </c>
      <c r="AN870" t="s">
        <v>26</v>
      </c>
      <c r="AO870" s="25" t="s">
        <v>68</v>
      </c>
      <c r="AP870" s="23" t="s">
        <v>69</v>
      </c>
      <c r="AQ870" s="23" t="s">
        <v>30</v>
      </c>
      <c r="AR870" s="23" t="s">
        <v>2220</v>
      </c>
      <c r="AS870" s="25">
        <v>31121</v>
      </c>
      <c r="AT870" t="s">
        <v>26</v>
      </c>
      <c r="AU870" t="s">
        <v>23389</v>
      </c>
    </row>
    <row r="871" spans="1:47" ht="26.25" x14ac:dyDescent="0.4">
      <c r="A871" s="23" t="s">
        <v>2221</v>
      </c>
      <c r="B871" t="s">
        <v>26</v>
      </c>
      <c r="C871" s="23" t="s">
        <v>23390</v>
      </c>
      <c r="D871" s="23" t="s">
        <v>22179</v>
      </c>
      <c r="E871" s="23" t="s">
        <v>42</v>
      </c>
      <c r="F871" t="s">
        <v>26</v>
      </c>
      <c r="G871" t="s">
        <v>26</v>
      </c>
      <c r="H871" t="s">
        <v>26</v>
      </c>
      <c r="I871" s="24">
        <v>38353</v>
      </c>
      <c r="J871" s="24">
        <v>42005</v>
      </c>
      <c r="K871" t="s">
        <v>26</v>
      </c>
      <c r="L871" s="25" t="s">
        <v>28</v>
      </c>
      <c r="M871" s="24">
        <v>38353</v>
      </c>
      <c r="N871" s="24">
        <v>42005</v>
      </c>
      <c r="O871" t="s">
        <v>26</v>
      </c>
      <c r="P871" t="s">
        <v>26</v>
      </c>
      <c r="Q871" t="s">
        <v>26</v>
      </c>
      <c r="R871" t="s">
        <v>26</v>
      </c>
      <c r="S871" s="24">
        <v>38353</v>
      </c>
      <c r="T871" s="24">
        <v>42005</v>
      </c>
      <c r="U871" t="s">
        <v>26</v>
      </c>
      <c r="V871" t="s">
        <v>26</v>
      </c>
      <c r="W871" s="24">
        <v>38353</v>
      </c>
      <c r="X871" s="24">
        <v>42005</v>
      </c>
      <c r="Y871" t="s">
        <v>26</v>
      </c>
      <c r="Z871" s="24">
        <v>38353</v>
      </c>
      <c r="AA871" s="24">
        <v>42005</v>
      </c>
      <c r="AB871" t="s">
        <v>26</v>
      </c>
      <c r="AC871" s="24">
        <v>38353</v>
      </c>
      <c r="AD871" s="24">
        <v>42005</v>
      </c>
      <c r="AE871" t="s">
        <v>26</v>
      </c>
      <c r="AF871" s="24">
        <v>38353</v>
      </c>
      <c r="AG871" s="24">
        <v>42005</v>
      </c>
      <c r="AH871" t="s">
        <v>26</v>
      </c>
      <c r="AI871" s="24">
        <v>38353</v>
      </c>
      <c r="AJ871" s="24">
        <v>42005</v>
      </c>
      <c r="AK871" t="s">
        <v>26</v>
      </c>
      <c r="AL871" t="s">
        <v>26</v>
      </c>
      <c r="AM871" t="s">
        <v>26</v>
      </c>
      <c r="AN871" t="s">
        <v>26</v>
      </c>
      <c r="AO871" s="25" t="s">
        <v>28</v>
      </c>
      <c r="AP871" s="23" t="s">
        <v>43</v>
      </c>
      <c r="AQ871" s="23" t="s">
        <v>30</v>
      </c>
      <c r="AR871" s="23" t="s">
        <v>46</v>
      </c>
      <c r="AS871" s="25">
        <v>6362748</v>
      </c>
      <c r="AT871" t="s">
        <v>26</v>
      </c>
      <c r="AU871" t="s">
        <v>23391</v>
      </c>
    </row>
    <row r="872" spans="1:47" ht="26.25" x14ac:dyDescent="0.4">
      <c r="A872" s="23" t="s">
        <v>2222</v>
      </c>
      <c r="B872" t="s">
        <v>26</v>
      </c>
      <c r="C872" s="23" t="s">
        <v>80</v>
      </c>
      <c r="D872" s="23" t="s">
        <v>22519</v>
      </c>
      <c r="E872" s="23" t="s">
        <v>60</v>
      </c>
      <c r="F872" s="25" t="s">
        <v>2223</v>
      </c>
      <c r="G872" s="25" t="s">
        <v>2224</v>
      </c>
      <c r="H872" t="s">
        <v>26</v>
      </c>
      <c r="I872" s="24">
        <v>40725</v>
      </c>
      <c r="J872" s="25" t="s">
        <v>77</v>
      </c>
      <c r="K872" t="s">
        <v>26</v>
      </c>
      <c r="L872" s="25" t="s">
        <v>68</v>
      </c>
      <c r="M872" s="24">
        <v>41091</v>
      </c>
      <c r="N872" s="24">
        <v>44166</v>
      </c>
      <c r="O872" t="s">
        <v>26</v>
      </c>
      <c r="P872" s="24">
        <v>40725</v>
      </c>
      <c r="Q872" s="25" t="s">
        <v>77</v>
      </c>
      <c r="R872" t="s">
        <v>26</v>
      </c>
      <c r="S872" t="s">
        <v>26</v>
      </c>
      <c r="T872" t="s">
        <v>26</v>
      </c>
      <c r="U872" t="s">
        <v>26</v>
      </c>
      <c r="V872" s="25">
        <v>365</v>
      </c>
      <c r="W872" s="24">
        <v>40725</v>
      </c>
      <c r="X872" s="25" t="s">
        <v>77</v>
      </c>
      <c r="Y872" t="s">
        <v>26</v>
      </c>
      <c r="Z872" s="24">
        <v>40725</v>
      </c>
      <c r="AA872" s="25" t="s">
        <v>77</v>
      </c>
      <c r="AB872" t="s">
        <v>26</v>
      </c>
      <c r="AC872" s="24">
        <v>40725</v>
      </c>
      <c r="AD872" s="25" t="s">
        <v>77</v>
      </c>
      <c r="AE872" t="s">
        <v>26</v>
      </c>
      <c r="AF872" t="s">
        <v>26</v>
      </c>
      <c r="AG872" t="s">
        <v>26</v>
      </c>
      <c r="AH872" t="s">
        <v>26</v>
      </c>
      <c r="AI872" t="s">
        <v>26</v>
      </c>
      <c r="AJ872" t="s">
        <v>26</v>
      </c>
      <c r="AK872" t="s">
        <v>26</v>
      </c>
      <c r="AL872" t="s">
        <v>26</v>
      </c>
      <c r="AM872" t="s">
        <v>26</v>
      </c>
      <c r="AN872" t="s">
        <v>26</v>
      </c>
      <c r="AO872" s="25" t="s">
        <v>68</v>
      </c>
      <c r="AP872" s="23" t="s">
        <v>69</v>
      </c>
      <c r="AQ872" s="23" t="s">
        <v>30</v>
      </c>
      <c r="AR872" s="23" t="s">
        <v>46</v>
      </c>
      <c r="AS872" s="25">
        <v>1586361</v>
      </c>
      <c r="AT872" t="s">
        <v>26</v>
      </c>
      <c r="AU872" t="s">
        <v>23392</v>
      </c>
    </row>
    <row r="873" spans="1:47" ht="26.25" x14ac:dyDescent="0.4">
      <c r="A873" s="23" t="s">
        <v>2225</v>
      </c>
      <c r="B873" t="s">
        <v>26</v>
      </c>
      <c r="C873" s="23" t="s">
        <v>107</v>
      </c>
      <c r="D873" s="23" t="s">
        <v>23393</v>
      </c>
      <c r="E873" s="23" t="s">
        <v>42</v>
      </c>
      <c r="F873" s="25" t="s">
        <v>2226</v>
      </c>
      <c r="G873" s="25" t="s">
        <v>2227</v>
      </c>
      <c r="H873" t="s">
        <v>26</v>
      </c>
      <c r="I873" t="s">
        <v>26</v>
      </c>
      <c r="J873" t="s">
        <v>26</v>
      </c>
      <c r="K873" t="s">
        <v>26</v>
      </c>
      <c r="L873" s="25" t="s">
        <v>68</v>
      </c>
      <c r="M873" t="s">
        <v>26</v>
      </c>
      <c r="N873" t="s">
        <v>26</v>
      </c>
      <c r="O873" t="s">
        <v>26</v>
      </c>
      <c r="P873" t="s">
        <v>26</v>
      </c>
      <c r="Q873" t="s">
        <v>26</v>
      </c>
      <c r="R873" t="s">
        <v>26</v>
      </c>
      <c r="S873" t="s">
        <v>26</v>
      </c>
      <c r="T873" t="s">
        <v>26</v>
      </c>
      <c r="U873" t="s">
        <v>26</v>
      </c>
      <c r="V873" t="s">
        <v>26</v>
      </c>
      <c r="W873" s="24">
        <v>32599</v>
      </c>
      <c r="X873" s="25" t="s">
        <v>77</v>
      </c>
      <c r="Y873" t="s">
        <v>26</v>
      </c>
      <c r="Z873" s="24">
        <v>32599</v>
      </c>
      <c r="AA873" s="25" t="s">
        <v>77</v>
      </c>
      <c r="AB873" t="s">
        <v>26</v>
      </c>
      <c r="AC873" s="24">
        <v>32599</v>
      </c>
      <c r="AD873" s="25" t="s">
        <v>77</v>
      </c>
      <c r="AE873" t="s">
        <v>26</v>
      </c>
      <c r="AF873" t="s">
        <v>26</v>
      </c>
      <c r="AG873" t="s">
        <v>26</v>
      </c>
      <c r="AH873" t="s">
        <v>26</v>
      </c>
      <c r="AI873" t="s">
        <v>26</v>
      </c>
      <c r="AJ873" t="s">
        <v>26</v>
      </c>
      <c r="AK873" t="s">
        <v>26</v>
      </c>
      <c r="AL873" t="s">
        <v>26</v>
      </c>
      <c r="AM873" t="s">
        <v>26</v>
      </c>
      <c r="AN873" t="s">
        <v>26</v>
      </c>
      <c r="AO873" s="25" t="s">
        <v>68</v>
      </c>
      <c r="AP873" s="23" t="s">
        <v>69</v>
      </c>
      <c r="AQ873" s="23" t="s">
        <v>30</v>
      </c>
      <c r="AR873" s="23" t="s">
        <v>123</v>
      </c>
      <c r="AS873" s="25">
        <v>40846</v>
      </c>
      <c r="AT873" t="s">
        <v>26</v>
      </c>
      <c r="AU873" t="s">
        <v>23394</v>
      </c>
    </row>
    <row r="874" spans="1:47" ht="26.25" x14ac:dyDescent="0.4">
      <c r="A874" s="23" t="s">
        <v>2228</v>
      </c>
      <c r="B874" t="s">
        <v>26</v>
      </c>
      <c r="C874" s="23" t="s">
        <v>73</v>
      </c>
      <c r="D874" s="23" t="s">
        <v>23395</v>
      </c>
      <c r="E874" s="23" t="s">
        <v>74</v>
      </c>
      <c r="F874" s="25" t="s">
        <v>2229</v>
      </c>
      <c r="G874" s="25" t="s">
        <v>2230</v>
      </c>
      <c r="H874" t="s">
        <v>26</v>
      </c>
      <c r="I874" s="24">
        <v>42186</v>
      </c>
      <c r="J874" s="25" t="s">
        <v>77</v>
      </c>
      <c r="K874" s="25" t="s">
        <v>1185</v>
      </c>
      <c r="L874" s="25" t="s">
        <v>68</v>
      </c>
      <c r="M874" s="24">
        <v>42186</v>
      </c>
      <c r="N874" s="24">
        <v>42644</v>
      </c>
      <c r="O874" t="s">
        <v>26</v>
      </c>
      <c r="P874" s="24">
        <v>42186</v>
      </c>
      <c r="Q874" s="25" t="s">
        <v>77</v>
      </c>
      <c r="R874" s="25" t="s">
        <v>1185</v>
      </c>
      <c r="S874" t="s">
        <v>26</v>
      </c>
      <c r="T874" t="s">
        <v>26</v>
      </c>
      <c r="U874" t="s">
        <v>26</v>
      </c>
      <c r="V874" t="s">
        <v>26</v>
      </c>
      <c r="W874" s="24">
        <v>42186</v>
      </c>
      <c r="X874" s="25" t="s">
        <v>77</v>
      </c>
      <c r="Y874" s="25" t="s">
        <v>1185</v>
      </c>
      <c r="Z874" s="24">
        <v>42186</v>
      </c>
      <c r="AA874" s="25" t="s">
        <v>77</v>
      </c>
      <c r="AB874" s="25" t="s">
        <v>1185</v>
      </c>
      <c r="AC874" s="24">
        <v>42186</v>
      </c>
      <c r="AD874" s="25" t="s">
        <v>77</v>
      </c>
      <c r="AE874" s="25" t="s">
        <v>1185</v>
      </c>
      <c r="AF874" t="s">
        <v>26</v>
      </c>
      <c r="AG874" t="s">
        <v>26</v>
      </c>
      <c r="AH874" t="s">
        <v>26</v>
      </c>
      <c r="AI874" t="s">
        <v>26</v>
      </c>
      <c r="AJ874" t="s">
        <v>26</v>
      </c>
      <c r="AK874" t="s">
        <v>26</v>
      </c>
      <c r="AL874" t="s">
        <v>26</v>
      </c>
      <c r="AM874" t="s">
        <v>26</v>
      </c>
      <c r="AN874" t="s">
        <v>26</v>
      </c>
      <c r="AO874" s="25" t="s">
        <v>68</v>
      </c>
      <c r="AP874" s="23" t="s">
        <v>69</v>
      </c>
      <c r="AQ874" s="23" t="s">
        <v>30</v>
      </c>
      <c r="AR874" s="23" t="s">
        <v>71</v>
      </c>
      <c r="AS874" s="25">
        <v>2042896</v>
      </c>
      <c r="AT874" t="s">
        <v>26</v>
      </c>
      <c r="AU874" t="s">
        <v>23396</v>
      </c>
    </row>
    <row r="875" spans="1:47" ht="26.25" x14ac:dyDescent="0.4">
      <c r="A875" s="23" t="s">
        <v>2231</v>
      </c>
      <c r="B875" t="s">
        <v>26</v>
      </c>
      <c r="C875" s="23" t="s">
        <v>387</v>
      </c>
      <c r="D875" s="23" t="s">
        <v>22254</v>
      </c>
      <c r="E875" s="23" t="s">
        <v>42</v>
      </c>
      <c r="F875" s="25" t="s">
        <v>2232</v>
      </c>
      <c r="G875" t="s">
        <v>26</v>
      </c>
      <c r="H875" t="s">
        <v>26</v>
      </c>
      <c r="I875" s="24">
        <v>35462</v>
      </c>
      <c r="J875" s="24">
        <v>35521</v>
      </c>
      <c r="K875" t="s">
        <v>26</v>
      </c>
      <c r="L875" s="25" t="s">
        <v>68</v>
      </c>
      <c r="M875" s="24">
        <v>35462</v>
      </c>
      <c r="N875" s="24">
        <v>35521</v>
      </c>
      <c r="O875" t="s">
        <v>26</v>
      </c>
      <c r="P875" s="24">
        <v>35462</v>
      </c>
      <c r="Q875" s="24">
        <v>35521</v>
      </c>
      <c r="R875" t="s">
        <v>26</v>
      </c>
      <c r="S875" t="s">
        <v>26</v>
      </c>
      <c r="T875" t="s">
        <v>26</v>
      </c>
      <c r="U875" t="s">
        <v>26</v>
      </c>
      <c r="V875" t="s">
        <v>26</v>
      </c>
      <c r="W875" s="24">
        <v>35462</v>
      </c>
      <c r="X875" s="24">
        <v>35521</v>
      </c>
      <c r="Y875" t="s">
        <v>26</v>
      </c>
      <c r="Z875" s="24">
        <v>35462</v>
      </c>
      <c r="AA875" s="24">
        <v>35521</v>
      </c>
      <c r="AB875" t="s">
        <v>26</v>
      </c>
      <c r="AC875" t="s">
        <v>26</v>
      </c>
      <c r="AD875" t="s">
        <v>26</v>
      </c>
      <c r="AE875" t="s">
        <v>26</v>
      </c>
      <c r="AF875" t="s">
        <v>26</v>
      </c>
      <c r="AG875" t="s">
        <v>26</v>
      </c>
      <c r="AH875" t="s">
        <v>26</v>
      </c>
      <c r="AI875" t="s">
        <v>26</v>
      </c>
      <c r="AJ875" t="s">
        <v>26</v>
      </c>
      <c r="AK875" t="s">
        <v>26</v>
      </c>
      <c r="AL875" t="s">
        <v>26</v>
      </c>
      <c r="AM875" t="s">
        <v>26</v>
      </c>
      <c r="AN875" t="s">
        <v>26</v>
      </c>
      <c r="AO875" s="25" t="s">
        <v>68</v>
      </c>
      <c r="AP875" s="23" t="s">
        <v>69</v>
      </c>
      <c r="AQ875" s="23" t="s">
        <v>30</v>
      </c>
      <c r="AR875" s="23" t="s">
        <v>2139</v>
      </c>
      <c r="AS875" s="25">
        <v>34942</v>
      </c>
      <c r="AT875" t="s">
        <v>26</v>
      </c>
      <c r="AU875" t="s">
        <v>23397</v>
      </c>
    </row>
    <row r="876" spans="1:47" ht="26.25" x14ac:dyDescent="0.4">
      <c r="A876" s="23" t="s">
        <v>2233</v>
      </c>
      <c r="B876" t="s">
        <v>26</v>
      </c>
      <c r="C876" s="23" t="s">
        <v>447</v>
      </c>
      <c r="D876" s="23" t="s">
        <v>22352</v>
      </c>
      <c r="E876" s="23" t="s">
        <v>42</v>
      </c>
      <c r="F876" s="25" t="s">
        <v>2234</v>
      </c>
      <c r="G876" s="25" t="s">
        <v>2235</v>
      </c>
      <c r="H876" t="s">
        <v>26</v>
      </c>
      <c r="I876" t="s">
        <v>26</v>
      </c>
      <c r="J876" t="s">
        <v>26</v>
      </c>
      <c r="K876" t="s">
        <v>26</v>
      </c>
      <c r="L876" s="25" t="s">
        <v>68</v>
      </c>
      <c r="M876" t="s">
        <v>26</v>
      </c>
      <c r="N876" t="s">
        <v>26</v>
      </c>
      <c r="O876" t="s">
        <v>26</v>
      </c>
      <c r="P876" t="s">
        <v>26</v>
      </c>
      <c r="Q876" t="s">
        <v>26</v>
      </c>
      <c r="R876" t="s">
        <v>26</v>
      </c>
      <c r="S876" t="s">
        <v>26</v>
      </c>
      <c r="T876" t="s">
        <v>26</v>
      </c>
      <c r="U876" t="s">
        <v>26</v>
      </c>
      <c r="V876" t="s">
        <v>26</v>
      </c>
      <c r="W876" s="24">
        <v>23863</v>
      </c>
      <c r="X876" s="25" t="s">
        <v>77</v>
      </c>
      <c r="Y876" t="s">
        <v>26</v>
      </c>
      <c r="Z876" s="24">
        <v>23863</v>
      </c>
      <c r="AA876" s="25" t="s">
        <v>77</v>
      </c>
      <c r="AB876" t="s">
        <v>26</v>
      </c>
      <c r="AC876" s="24">
        <v>32143</v>
      </c>
      <c r="AD876" s="25" t="s">
        <v>77</v>
      </c>
      <c r="AE876" t="s">
        <v>26</v>
      </c>
      <c r="AF876" t="s">
        <v>26</v>
      </c>
      <c r="AG876" t="s">
        <v>26</v>
      </c>
      <c r="AH876" t="s">
        <v>26</v>
      </c>
      <c r="AI876" t="s">
        <v>26</v>
      </c>
      <c r="AJ876" t="s">
        <v>26</v>
      </c>
      <c r="AK876" t="s">
        <v>26</v>
      </c>
      <c r="AL876" t="s">
        <v>26</v>
      </c>
      <c r="AM876" t="s">
        <v>26</v>
      </c>
      <c r="AN876" t="s">
        <v>26</v>
      </c>
      <c r="AO876" s="25" t="s">
        <v>68</v>
      </c>
      <c r="AP876" s="23" t="s">
        <v>69</v>
      </c>
      <c r="AQ876" s="23" t="s">
        <v>30</v>
      </c>
      <c r="AR876" s="23" t="s">
        <v>2139</v>
      </c>
      <c r="AS876" s="25">
        <v>40700</v>
      </c>
      <c r="AT876" t="s">
        <v>26</v>
      </c>
      <c r="AU876" t="s">
        <v>23398</v>
      </c>
    </row>
    <row r="877" spans="1:47" ht="13.15" x14ac:dyDescent="0.4">
      <c r="A877" s="23" t="s">
        <v>23399</v>
      </c>
      <c r="B877" t="s">
        <v>26</v>
      </c>
      <c r="C877" s="23" t="s">
        <v>332</v>
      </c>
      <c r="D877" s="23" t="s">
        <v>22256</v>
      </c>
      <c r="E877" s="23" t="s">
        <v>42</v>
      </c>
      <c r="F877" t="s">
        <v>26</v>
      </c>
      <c r="G877" t="s">
        <v>26</v>
      </c>
      <c r="H877" t="s">
        <v>26</v>
      </c>
      <c r="I877" s="24">
        <v>30682</v>
      </c>
      <c r="J877" s="24">
        <v>30682</v>
      </c>
      <c r="K877" t="s">
        <v>26</v>
      </c>
      <c r="L877" s="25" t="s">
        <v>28</v>
      </c>
      <c r="M877" s="24">
        <v>30682</v>
      </c>
      <c r="N877" s="24">
        <v>30682</v>
      </c>
      <c r="O877" t="s">
        <v>26</v>
      </c>
      <c r="P877" t="s">
        <v>26</v>
      </c>
      <c r="Q877" t="s">
        <v>26</v>
      </c>
      <c r="R877" t="s">
        <v>26</v>
      </c>
      <c r="S877" t="s">
        <v>26</v>
      </c>
      <c r="T877" t="s">
        <v>26</v>
      </c>
      <c r="U877" t="s">
        <v>26</v>
      </c>
      <c r="V877" t="s">
        <v>26</v>
      </c>
      <c r="W877" s="24">
        <v>30682</v>
      </c>
      <c r="X877" s="24">
        <v>30682</v>
      </c>
      <c r="Y877" t="s">
        <v>26</v>
      </c>
      <c r="Z877" s="24">
        <v>30682</v>
      </c>
      <c r="AA877" s="24">
        <v>30682</v>
      </c>
      <c r="AB877" t="s">
        <v>26</v>
      </c>
      <c r="AC877" s="24">
        <v>30682</v>
      </c>
      <c r="AD877" s="24">
        <v>30682</v>
      </c>
      <c r="AE877" t="s">
        <v>26</v>
      </c>
      <c r="AF877" t="s">
        <v>26</v>
      </c>
      <c r="AG877" t="s">
        <v>26</v>
      </c>
      <c r="AH877" t="s">
        <v>26</v>
      </c>
      <c r="AI877" t="s">
        <v>26</v>
      </c>
      <c r="AJ877" t="s">
        <v>26</v>
      </c>
      <c r="AK877" t="s">
        <v>26</v>
      </c>
      <c r="AL877" t="s">
        <v>26</v>
      </c>
      <c r="AM877" t="s">
        <v>26</v>
      </c>
      <c r="AN877" t="s">
        <v>26</v>
      </c>
      <c r="AO877" s="25" t="s">
        <v>28</v>
      </c>
      <c r="AP877" s="23" t="s">
        <v>279</v>
      </c>
      <c r="AQ877" s="23" t="s">
        <v>30</v>
      </c>
      <c r="AR877" s="23" t="s">
        <v>46</v>
      </c>
      <c r="AS877" s="25">
        <v>6394517</v>
      </c>
      <c r="AT877" t="s">
        <v>26</v>
      </c>
      <c r="AU877" t="s">
        <v>23400</v>
      </c>
    </row>
    <row r="878" spans="1:47" ht="26.25" x14ac:dyDescent="0.4">
      <c r="A878" s="23" t="s">
        <v>2236</v>
      </c>
      <c r="B878" t="s">
        <v>26</v>
      </c>
      <c r="C878" s="23" t="s">
        <v>181</v>
      </c>
      <c r="D878" s="23" t="s">
        <v>22174</v>
      </c>
      <c r="E878" s="23" t="s">
        <v>60</v>
      </c>
      <c r="F878" s="25" t="s">
        <v>2237</v>
      </c>
      <c r="G878" s="25" t="s">
        <v>2238</v>
      </c>
      <c r="H878" t="s">
        <v>26</v>
      </c>
      <c r="I878" t="s">
        <v>26</v>
      </c>
      <c r="J878" t="s">
        <v>26</v>
      </c>
      <c r="K878" t="s">
        <v>26</v>
      </c>
      <c r="L878" s="25" t="s">
        <v>68</v>
      </c>
      <c r="M878" t="s">
        <v>26</v>
      </c>
      <c r="N878" t="s">
        <v>26</v>
      </c>
      <c r="O878" t="s">
        <v>26</v>
      </c>
      <c r="P878" t="s">
        <v>26</v>
      </c>
      <c r="Q878" t="s">
        <v>26</v>
      </c>
      <c r="R878" t="s">
        <v>26</v>
      </c>
      <c r="S878" t="s">
        <v>26</v>
      </c>
      <c r="T878" t="s">
        <v>26</v>
      </c>
      <c r="U878" t="s">
        <v>26</v>
      </c>
      <c r="V878" t="s">
        <v>26</v>
      </c>
      <c r="W878" s="24">
        <v>42401</v>
      </c>
      <c r="X878" s="25" t="s">
        <v>77</v>
      </c>
      <c r="Y878" t="s">
        <v>26</v>
      </c>
      <c r="Z878" s="24">
        <v>42401</v>
      </c>
      <c r="AA878" s="25" t="s">
        <v>77</v>
      </c>
      <c r="AB878" t="s">
        <v>26</v>
      </c>
      <c r="AC878" s="24">
        <v>42401</v>
      </c>
      <c r="AD878" s="25" t="s">
        <v>77</v>
      </c>
      <c r="AE878" t="s">
        <v>26</v>
      </c>
      <c r="AF878" t="s">
        <v>26</v>
      </c>
      <c r="AG878" t="s">
        <v>26</v>
      </c>
      <c r="AH878" t="s">
        <v>26</v>
      </c>
      <c r="AI878" t="s">
        <v>26</v>
      </c>
      <c r="AJ878" t="s">
        <v>26</v>
      </c>
      <c r="AK878" t="s">
        <v>26</v>
      </c>
      <c r="AL878" t="s">
        <v>26</v>
      </c>
      <c r="AM878" t="s">
        <v>26</v>
      </c>
      <c r="AN878" t="s">
        <v>26</v>
      </c>
      <c r="AO878" s="25" t="s">
        <v>28</v>
      </c>
      <c r="AP878" s="23" t="s">
        <v>69</v>
      </c>
      <c r="AQ878" s="23" t="s">
        <v>30</v>
      </c>
      <c r="AR878" s="23" t="s">
        <v>46</v>
      </c>
      <c r="AS878" s="25">
        <v>2041996</v>
      </c>
      <c r="AT878" t="s">
        <v>26</v>
      </c>
      <c r="AU878" t="s">
        <v>23401</v>
      </c>
    </row>
    <row r="879" spans="1:47" ht="13.15" x14ac:dyDescent="0.4">
      <c r="A879" s="23" t="s">
        <v>2239</v>
      </c>
      <c r="B879" t="s">
        <v>26</v>
      </c>
      <c r="C879" s="23" t="s">
        <v>146</v>
      </c>
      <c r="D879" s="23" t="s">
        <v>22174</v>
      </c>
      <c r="E879" s="23" t="s">
        <v>60</v>
      </c>
      <c r="F879" t="s">
        <v>26</v>
      </c>
      <c r="G879" t="s">
        <v>26</v>
      </c>
      <c r="H879" t="s">
        <v>26</v>
      </c>
      <c r="I879" t="s">
        <v>26</v>
      </c>
      <c r="J879" t="s">
        <v>26</v>
      </c>
      <c r="K879" t="s">
        <v>26</v>
      </c>
      <c r="L879" s="25" t="s">
        <v>28</v>
      </c>
      <c r="M879" t="s">
        <v>26</v>
      </c>
      <c r="N879" t="s">
        <v>26</v>
      </c>
      <c r="O879" t="s">
        <v>26</v>
      </c>
      <c r="P879" t="s">
        <v>26</v>
      </c>
      <c r="Q879" t="s">
        <v>26</v>
      </c>
      <c r="R879" t="s">
        <v>26</v>
      </c>
      <c r="S879" t="s">
        <v>26</v>
      </c>
      <c r="T879" t="s">
        <v>26</v>
      </c>
      <c r="U879" t="s">
        <v>26</v>
      </c>
      <c r="V879" t="s">
        <v>26</v>
      </c>
      <c r="W879" s="24">
        <v>41640</v>
      </c>
      <c r="X879" s="24">
        <v>41640</v>
      </c>
      <c r="Y879" t="s">
        <v>26</v>
      </c>
      <c r="Z879" s="24">
        <v>41640</v>
      </c>
      <c r="AA879" s="24">
        <v>41640</v>
      </c>
      <c r="AB879" t="s">
        <v>26</v>
      </c>
      <c r="AC879" t="s">
        <v>26</v>
      </c>
      <c r="AD879" t="s">
        <v>26</v>
      </c>
      <c r="AE879" t="s">
        <v>26</v>
      </c>
      <c r="AF879" t="s">
        <v>26</v>
      </c>
      <c r="AG879" t="s">
        <v>26</v>
      </c>
      <c r="AH879" t="s">
        <v>26</v>
      </c>
      <c r="AI879" t="s">
        <v>26</v>
      </c>
      <c r="AJ879" t="s">
        <v>26</v>
      </c>
      <c r="AK879" t="s">
        <v>26</v>
      </c>
      <c r="AL879" t="s">
        <v>26</v>
      </c>
      <c r="AM879" t="s">
        <v>26</v>
      </c>
      <c r="AN879" t="s">
        <v>26</v>
      </c>
      <c r="AO879" s="25" t="s">
        <v>28</v>
      </c>
      <c r="AP879" s="23" t="s">
        <v>29</v>
      </c>
      <c r="AQ879" s="23" t="s">
        <v>30</v>
      </c>
      <c r="AR879" s="23" t="s">
        <v>44</v>
      </c>
      <c r="AS879" s="25">
        <v>5483627</v>
      </c>
      <c r="AT879" s="23" t="s">
        <v>22181</v>
      </c>
      <c r="AU879" t="s">
        <v>23402</v>
      </c>
    </row>
    <row r="880" spans="1:47" ht="26.25" x14ac:dyDescent="0.4">
      <c r="A880" s="23" t="s">
        <v>2240</v>
      </c>
      <c r="B880" t="s">
        <v>26</v>
      </c>
      <c r="C880" s="23" t="s">
        <v>2241</v>
      </c>
      <c r="D880" t="s">
        <v>26</v>
      </c>
      <c r="E880" s="23" t="s">
        <v>42</v>
      </c>
      <c r="F880" t="s">
        <v>26</v>
      </c>
      <c r="G880" t="s">
        <v>26</v>
      </c>
      <c r="H880" t="s">
        <v>26</v>
      </c>
      <c r="I880" s="24">
        <v>40909</v>
      </c>
      <c r="J880" s="24">
        <v>40909</v>
      </c>
      <c r="K880" t="s">
        <v>26</v>
      </c>
      <c r="L880" s="25" t="s">
        <v>28</v>
      </c>
      <c r="M880" s="24">
        <v>40909</v>
      </c>
      <c r="N880" s="24">
        <v>40909</v>
      </c>
      <c r="O880" t="s">
        <v>26</v>
      </c>
      <c r="P880" t="s">
        <v>26</v>
      </c>
      <c r="Q880" t="s">
        <v>26</v>
      </c>
      <c r="R880" t="s">
        <v>26</v>
      </c>
      <c r="S880" s="24">
        <v>40909</v>
      </c>
      <c r="T880" s="24">
        <v>40909</v>
      </c>
      <c r="U880" t="s">
        <v>26</v>
      </c>
      <c r="V880" t="s">
        <v>26</v>
      </c>
      <c r="W880" s="24">
        <v>40909</v>
      </c>
      <c r="X880" s="24">
        <v>40909</v>
      </c>
      <c r="Y880" t="s">
        <v>26</v>
      </c>
      <c r="Z880" s="24">
        <v>40909</v>
      </c>
      <c r="AA880" s="24">
        <v>40909</v>
      </c>
      <c r="AB880" t="s">
        <v>26</v>
      </c>
      <c r="AC880" s="24">
        <v>40909</v>
      </c>
      <c r="AD880" s="24">
        <v>40909</v>
      </c>
      <c r="AE880" t="s">
        <v>26</v>
      </c>
      <c r="AF880" s="24">
        <v>40909</v>
      </c>
      <c r="AG880" s="24">
        <v>40909</v>
      </c>
      <c r="AH880" t="s">
        <v>26</v>
      </c>
      <c r="AI880" s="24">
        <v>40909</v>
      </c>
      <c r="AJ880" s="24">
        <v>40909</v>
      </c>
      <c r="AK880" t="s">
        <v>26</v>
      </c>
      <c r="AL880" t="s">
        <v>26</v>
      </c>
      <c r="AM880" t="s">
        <v>26</v>
      </c>
      <c r="AN880" t="s">
        <v>26</v>
      </c>
      <c r="AO880" s="25" t="s">
        <v>28</v>
      </c>
      <c r="AP880" s="23" t="s">
        <v>43</v>
      </c>
      <c r="AQ880" s="23" t="s">
        <v>30</v>
      </c>
      <c r="AR880" s="23" t="s">
        <v>44</v>
      </c>
      <c r="AS880" s="25">
        <v>5262119</v>
      </c>
      <c r="AT880" t="s">
        <v>26</v>
      </c>
      <c r="AU880" t="s">
        <v>23403</v>
      </c>
    </row>
    <row r="881" spans="1:47" ht="26.25" x14ac:dyDescent="0.4">
      <c r="A881" s="23" t="s">
        <v>2242</v>
      </c>
      <c r="B881" t="s">
        <v>26</v>
      </c>
      <c r="C881" s="23" t="s">
        <v>2243</v>
      </c>
      <c r="D881" s="23" t="s">
        <v>22174</v>
      </c>
      <c r="E881" s="23" t="s">
        <v>2244</v>
      </c>
      <c r="F881" t="s">
        <v>26</v>
      </c>
      <c r="G881" t="s">
        <v>26</v>
      </c>
      <c r="H881" s="25" t="s">
        <v>2245</v>
      </c>
      <c r="I881" s="24">
        <v>39814</v>
      </c>
      <c r="J881" s="24">
        <v>39814</v>
      </c>
      <c r="K881" t="s">
        <v>26</v>
      </c>
      <c r="L881" s="25" t="s">
        <v>28</v>
      </c>
      <c r="M881" s="24">
        <v>39814</v>
      </c>
      <c r="N881" s="24">
        <v>39814</v>
      </c>
      <c r="O881" t="s">
        <v>26</v>
      </c>
      <c r="P881" s="24">
        <v>39814</v>
      </c>
      <c r="Q881" s="24">
        <v>39814</v>
      </c>
      <c r="R881" t="s">
        <v>26</v>
      </c>
      <c r="S881" t="s">
        <v>26</v>
      </c>
      <c r="T881" t="s">
        <v>26</v>
      </c>
      <c r="U881" t="s">
        <v>26</v>
      </c>
      <c r="V881" t="s">
        <v>26</v>
      </c>
      <c r="W881" s="24">
        <v>39814</v>
      </c>
      <c r="X881" s="24">
        <v>39814</v>
      </c>
      <c r="Y881" t="s">
        <v>26</v>
      </c>
      <c r="Z881" s="24">
        <v>39814</v>
      </c>
      <c r="AA881" s="24">
        <v>39814</v>
      </c>
      <c r="AB881" t="s">
        <v>26</v>
      </c>
      <c r="AC881" s="24">
        <v>39814</v>
      </c>
      <c r="AD881" s="24">
        <v>39814</v>
      </c>
      <c r="AE881" t="s">
        <v>26</v>
      </c>
      <c r="AF881" t="s">
        <v>26</v>
      </c>
      <c r="AG881" t="s">
        <v>26</v>
      </c>
      <c r="AH881" t="s">
        <v>26</v>
      </c>
      <c r="AI881" t="s">
        <v>26</v>
      </c>
      <c r="AJ881" t="s">
        <v>26</v>
      </c>
      <c r="AK881" t="s">
        <v>26</v>
      </c>
      <c r="AL881" t="s">
        <v>26</v>
      </c>
      <c r="AM881" t="s">
        <v>26</v>
      </c>
      <c r="AN881" t="s">
        <v>26</v>
      </c>
      <c r="AO881" s="25" t="s">
        <v>28</v>
      </c>
      <c r="AP881" s="23" t="s">
        <v>29</v>
      </c>
      <c r="AQ881" s="23" t="s">
        <v>30</v>
      </c>
      <c r="AR881" s="23" t="s">
        <v>46</v>
      </c>
      <c r="AS881" s="25">
        <v>75949</v>
      </c>
      <c r="AT881" t="s">
        <v>26</v>
      </c>
      <c r="AU881" t="s">
        <v>23404</v>
      </c>
    </row>
    <row r="882" spans="1:47" ht="26.25" x14ac:dyDescent="0.4">
      <c r="A882" s="23" t="s">
        <v>2246</v>
      </c>
      <c r="B882" t="s">
        <v>26</v>
      </c>
      <c r="C882" s="23" t="s">
        <v>80</v>
      </c>
      <c r="D882" s="23" t="s">
        <v>22184</v>
      </c>
      <c r="E882" s="23" t="s">
        <v>60</v>
      </c>
      <c r="F882" s="25" t="s">
        <v>2247</v>
      </c>
      <c r="G882" t="s">
        <v>26</v>
      </c>
      <c r="H882" t="s">
        <v>26</v>
      </c>
      <c r="I882" t="s">
        <v>26</v>
      </c>
      <c r="J882" t="s">
        <v>26</v>
      </c>
      <c r="K882" t="s">
        <v>26</v>
      </c>
      <c r="L882" s="25" t="s">
        <v>68</v>
      </c>
      <c r="M882" t="s">
        <v>26</v>
      </c>
      <c r="N882" t="s">
        <v>26</v>
      </c>
      <c r="O882" t="s">
        <v>26</v>
      </c>
      <c r="P882" t="s">
        <v>26</v>
      </c>
      <c r="Q882" t="s">
        <v>26</v>
      </c>
      <c r="R882" t="s">
        <v>26</v>
      </c>
      <c r="S882" t="s">
        <v>26</v>
      </c>
      <c r="T882" t="s">
        <v>26</v>
      </c>
      <c r="U882" t="s">
        <v>26</v>
      </c>
      <c r="V882" t="s">
        <v>26</v>
      </c>
      <c r="W882" s="24">
        <v>43344</v>
      </c>
      <c r="X882" s="24">
        <v>43800</v>
      </c>
      <c r="Y882" t="s">
        <v>26</v>
      </c>
      <c r="Z882" s="24">
        <v>43344</v>
      </c>
      <c r="AA882" s="24">
        <v>43800</v>
      </c>
      <c r="AB882" t="s">
        <v>26</v>
      </c>
      <c r="AC882" s="24">
        <v>43344</v>
      </c>
      <c r="AD882" s="24">
        <v>43800</v>
      </c>
      <c r="AE882" t="s">
        <v>26</v>
      </c>
      <c r="AF882" t="s">
        <v>26</v>
      </c>
      <c r="AG882" t="s">
        <v>26</v>
      </c>
      <c r="AH882" t="s">
        <v>26</v>
      </c>
      <c r="AI882" t="s">
        <v>26</v>
      </c>
      <c r="AJ882" t="s">
        <v>26</v>
      </c>
      <c r="AK882" t="s">
        <v>26</v>
      </c>
      <c r="AL882" t="s">
        <v>26</v>
      </c>
      <c r="AM882" t="s">
        <v>26</v>
      </c>
      <c r="AN882" t="s">
        <v>26</v>
      </c>
      <c r="AO882" s="25" t="s">
        <v>68</v>
      </c>
      <c r="AP882" s="23" t="s">
        <v>69</v>
      </c>
      <c r="AQ882" s="23" t="s">
        <v>30</v>
      </c>
      <c r="AR882" s="23" t="s">
        <v>569</v>
      </c>
      <c r="AS882" s="25">
        <v>53168</v>
      </c>
      <c r="AT882" t="s">
        <v>26</v>
      </c>
      <c r="AU882" t="s">
        <v>23405</v>
      </c>
    </row>
    <row r="883" spans="1:47" ht="26.25" x14ac:dyDescent="0.4">
      <c r="A883" s="23" t="s">
        <v>2246</v>
      </c>
      <c r="B883" t="s">
        <v>26</v>
      </c>
      <c r="C883" s="23" t="s">
        <v>80</v>
      </c>
      <c r="D883" s="23" t="s">
        <v>22184</v>
      </c>
      <c r="E883" s="23" t="s">
        <v>60</v>
      </c>
      <c r="F883" s="25" t="s">
        <v>2247</v>
      </c>
      <c r="G883" t="s">
        <v>26</v>
      </c>
      <c r="H883" t="s">
        <v>26</v>
      </c>
      <c r="I883" t="s">
        <v>26</v>
      </c>
      <c r="J883" t="s">
        <v>26</v>
      </c>
      <c r="K883" t="s">
        <v>26</v>
      </c>
      <c r="L883" s="25" t="s">
        <v>68</v>
      </c>
      <c r="M883" t="s">
        <v>26</v>
      </c>
      <c r="N883" t="s">
        <v>26</v>
      </c>
      <c r="O883" t="s">
        <v>26</v>
      </c>
      <c r="P883" t="s">
        <v>26</v>
      </c>
      <c r="Q883" t="s">
        <v>26</v>
      </c>
      <c r="R883" t="s">
        <v>26</v>
      </c>
      <c r="S883" t="s">
        <v>26</v>
      </c>
      <c r="T883" t="s">
        <v>26</v>
      </c>
      <c r="U883" t="s">
        <v>26</v>
      </c>
      <c r="V883" t="s">
        <v>26</v>
      </c>
      <c r="W883" s="24">
        <v>42430</v>
      </c>
      <c r="X883" s="25" t="s">
        <v>77</v>
      </c>
      <c r="Y883" t="s">
        <v>26</v>
      </c>
      <c r="Z883" s="24">
        <v>42430</v>
      </c>
      <c r="AA883" s="25" t="s">
        <v>77</v>
      </c>
      <c r="AB883" t="s">
        <v>26</v>
      </c>
      <c r="AC883" s="24">
        <v>42430</v>
      </c>
      <c r="AD883" s="25" t="s">
        <v>77</v>
      </c>
      <c r="AE883" t="s">
        <v>26</v>
      </c>
      <c r="AF883" t="s">
        <v>26</v>
      </c>
      <c r="AG883" t="s">
        <v>26</v>
      </c>
      <c r="AH883" t="s">
        <v>26</v>
      </c>
      <c r="AI883" t="s">
        <v>26</v>
      </c>
      <c r="AJ883" t="s">
        <v>26</v>
      </c>
      <c r="AK883" t="s">
        <v>26</v>
      </c>
      <c r="AL883" t="s">
        <v>26</v>
      </c>
      <c r="AM883" t="s">
        <v>26</v>
      </c>
      <c r="AN883" t="s">
        <v>26</v>
      </c>
      <c r="AO883" s="25" t="s">
        <v>68</v>
      </c>
      <c r="AP883" s="23" t="s">
        <v>69</v>
      </c>
      <c r="AQ883" s="23" t="s">
        <v>30</v>
      </c>
      <c r="AR883" s="23" t="s">
        <v>569</v>
      </c>
      <c r="AS883" s="25">
        <v>2033322</v>
      </c>
      <c r="AT883" t="s">
        <v>26</v>
      </c>
      <c r="AU883" t="s">
        <v>23406</v>
      </c>
    </row>
    <row r="884" spans="1:47" ht="13.15" x14ac:dyDescent="0.4">
      <c r="A884" s="23" t="s">
        <v>2248</v>
      </c>
      <c r="B884" t="s">
        <v>26</v>
      </c>
      <c r="C884" s="23" t="s">
        <v>2249</v>
      </c>
      <c r="D884" s="23" t="s">
        <v>22339</v>
      </c>
      <c r="E884" s="23" t="s">
        <v>335</v>
      </c>
      <c r="F884" t="s">
        <v>26</v>
      </c>
      <c r="G884" t="s">
        <v>26</v>
      </c>
      <c r="H884" t="s">
        <v>26</v>
      </c>
      <c r="I884" s="24">
        <v>42370</v>
      </c>
      <c r="J884" s="25" t="s">
        <v>77</v>
      </c>
      <c r="K884" t="s">
        <v>26</v>
      </c>
      <c r="L884" s="25" t="s">
        <v>28</v>
      </c>
      <c r="M884" s="24">
        <v>42370</v>
      </c>
      <c r="N884" s="25" t="s">
        <v>77</v>
      </c>
      <c r="O884" t="s">
        <v>26</v>
      </c>
      <c r="P884" t="s">
        <v>26</v>
      </c>
      <c r="Q884" t="s">
        <v>26</v>
      </c>
      <c r="R884" t="s">
        <v>26</v>
      </c>
      <c r="S884" t="s">
        <v>26</v>
      </c>
      <c r="T884" t="s">
        <v>26</v>
      </c>
      <c r="U884" t="s">
        <v>26</v>
      </c>
      <c r="V884" t="s">
        <v>26</v>
      </c>
      <c r="W884" s="24">
        <v>42370</v>
      </c>
      <c r="X884" s="25" t="s">
        <v>77</v>
      </c>
      <c r="Y884" t="s">
        <v>26</v>
      </c>
      <c r="Z884" s="24">
        <v>42370</v>
      </c>
      <c r="AA884" s="25" t="s">
        <v>77</v>
      </c>
      <c r="AB884" t="s">
        <v>26</v>
      </c>
      <c r="AC884" s="24">
        <v>42370</v>
      </c>
      <c r="AD884" s="25" t="s">
        <v>77</v>
      </c>
      <c r="AE884" t="s">
        <v>26</v>
      </c>
      <c r="AF884" t="s">
        <v>26</v>
      </c>
      <c r="AG884" t="s">
        <v>26</v>
      </c>
      <c r="AH884" t="s">
        <v>26</v>
      </c>
      <c r="AI884" t="s">
        <v>26</v>
      </c>
      <c r="AJ884" t="s">
        <v>26</v>
      </c>
      <c r="AK884" t="s">
        <v>26</v>
      </c>
      <c r="AL884" t="s">
        <v>26</v>
      </c>
      <c r="AM884" t="s">
        <v>26</v>
      </c>
      <c r="AN884" t="s">
        <v>26</v>
      </c>
      <c r="AO884" s="25" t="s">
        <v>28</v>
      </c>
      <c r="AP884" s="23" t="s">
        <v>112</v>
      </c>
      <c r="AQ884" s="23" t="s">
        <v>30</v>
      </c>
      <c r="AR884" s="23" t="s">
        <v>2082</v>
      </c>
      <c r="AS884" s="25">
        <v>2046028</v>
      </c>
      <c r="AT884" t="s">
        <v>26</v>
      </c>
      <c r="AU884" t="s">
        <v>23407</v>
      </c>
    </row>
    <row r="885" spans="1:47" ht="13.15" x14ac:dyDescent="0.4">
      <c r="A885" s="23" t="s">
        <v>2250</v>
      </c>
      <c r="B885" t="s">
        <v>26</v>
      </c>
      <c r="C885" s="23" t="s">
        <v>59</v>
      </c>
      <c r="D885" s="23" t="s">
        <v>22174</v>
      </c>
      <c r="E885" s="23" t="s">
        <v>60</v>
      </c>
      <c r="F885" t="s">
        <v>26</v>
      </c>
      <c r="G885" t="s">
        <v>26</v>
      </c>
      <c r="H885" s="25" t="s">
        <v>2251</v>
      </c>
      <c r="I885" s="24">
        <v>42005</v>
      </c>
      <c r="J885" s="24">
        <v>42005</v>
      </c>
      <c r="K885" t="s">
        <v>26</v>
      </c>
      <c r="L885" s="25" t="s">
        <v>28</v>
      </c>
      <c r="M885" s="24">
        <v>42005</v>
      </c>
      <c r="N885" s="24">
        <v>42005</v>
      </c>
      <c r="O885" t="s">
        <v>26</v>
      </c>
      <c r="P885" s="24">
        <v>42005</v>
      </c>
      <c r="Q885" s="24">
        <v>42005</v>
      </c>
      <c r="R885" t="s">
        <v>26</v>
      </c>
      <c r="S885" t="s">
        <v>26</v>
      </c>
      <c r="T885" t="s">
        <v>26</v>
      </c>
      <c r="U885" t="s">
        <v>26</v>
      </c>
      <c r="V885" t="s">
        <v>26</v>
      </c>
      <c r="W885" s="24">
        <v>42005</v>
      </c>
      <c r="X885" s="24">
        <v>42005</v>
      </c>
      <c r="Y885" t="s">
        <v>26</v>
      </c>
      <c r="Z885" s="24">
        <v>42005</v>
      </c>
      <c r="AA885" s="24">
        <v>42005</v>
      </c>
      <c r="AB885" t="s">
        <v>26</v>
      </c>
      <c r="AC885" s="24">
        <v>42005</v>
      </c>
      <c r="AD885" s="24">
        <v>42005</v>
      </c>
      <c r="AE885" t="s">
        <v>26</v>
      </c>
      <c r="AF885" t="s">
        <v>26</v>
      </c>
      <c r="AG885" t="s">
        <v>26</v>
      </c>
      <c r="AH885" t="s">
        <v>26</v>
      </c>
      <c r="AI885" t="s">
        <v>26</v>
      </c>
      <c r="AJ885" t="s">
        <v>26</v>
      </c>
      <c r="AK885" t="s">
        <v>26</v>
      </c>
      <c r="AL885" t="s">
        <v>26</v>
      </c>
      <c r="AM885" t="s">
        <v>26</v>
      </c>
      <c r="AN885" t="s">
        <v>26</v>
      </c>
      <c r="AO885" s="25" t="s">
        <v>28</v>
      </c>
      <c r="AP885" s="23" t="s">
        <v>29</v>
      </c>
      <c r="AQ885" s="23" t="s">
        <v>30</v>
      </c>
      <c r="AR885" s="23" t="s">
        <v>1688</v>
      </c>
      <c r="AS885" s="25">
        <v>2043128</v>
      </c>
      <c r="AT885" t="s">
        <v>26</v>
      </c>
      <c r="AU885" t="s">
        <v>23408</v>
      </c>
    </row>
    <row r="886" spans="1:47" ht="26.25" x14ac:dyDescent="0.4">
      <c r="A886" s="23" t="s">
        <v>2252</v>
      </c>
      <c r="B886" t="s">
        <v>26</v>
      </c>
      <c r="C886" s="23" t="s">
        <v>264</v>
      </c>
      <c r="D886" s="23" t="s">
        <v>23125</v>
      </c>
      <c r="E886" s="23" t="s">
        <v>60</v>
      </c>
      <c r="F886" s="25" t="s">
        <v>2253</v>
      </c>
      <c r="G886" s="25" t="s">
        <v>2254</v>
      </c>
      <c r="H886" t="s">
        <v>26</v>
      </c>
      <c r="I886" s="24">
        <v>33604</v>
      </c>
      <c r="J886" s="25" t="s">
        <v>77</v>
      </c>
      <c r="K886" t="s">
        <v>26</v>
      </c>
      <c r="L886" s="25" t="s">
        <v>68</v>
      </c>
      <c r="M886" s="24">
        <v>33604</v>
      </c>
      <c r="N886" s="25" t="s">
        <v>77</v>
      </c>
      <c r="O886" t="s">
        <v>26</v>
      </c>
      <c r="P886" s="24">
        <v>37012</v>
      </c>
      <c r="Q886" s="25" t="s">
        <v>77</v>
      </c>
      <c r="R886" t="s">
        <v>26</v>
      </c>
      <c r="S886" t="s">
        <v>26</v>
      </c>
      <c r="T886" t="s">
        <v>26</v>
      </c>
      <c r="U886" t="s">
        <v>26</v>
      </c>
      <c r="V886" s="25">
        <v>365</v>
      </c>
      <c r="W886" s="24">
        <v>30317</v>
      </c>
      <c r="X886" s="25" t="s">
        <v>77</v>
      </c>
      <c r="Y886" t="s">
        <v>26</v>
      </c>
      <c r="Z886" s="24">
        <v>30317</v>
      </c>
      <c r="AA886" s="25" t="s">
        <v>77</v>
      </c>
      <c r="AB886" t="s">
        <v>26</v>
      </c>
      <c r="AC886" s="24">
        <v>30317</v>
      </c>
      <c r="AD886" s="25" t="s">
        <v>77</v>
      </c>
      <c r="AE886" t="s">
        <v>26</v>
      </c>
      <c r="AF886" t="s">
        <v>26</v>
      </c>
      <c r="AG886" t="s">
        <v>26</v>
      </c>
      <c r="AH886" t="s">
        <v>26</v>
      </c>
      <c r="AI886" t="s">
        <v>26</v>
      </c>
      <c r="AJ886" t="s">
        <v>26</v>
      </c>
      <c r="AK886" t="s">
        <v>26</v>
      </c>
      <c r="AL886" t="s">
        <v>26</v>
      </c>
      <c r="AM886" t="s">
        <v>26</v>
      </c>
      <c r="AN886" t="s">
        <v>26</v>
      </c>
      <c r="AO886" s="25" t="s">
        <v>68</v>
      </c>
      <c r="AP886" s="23" t="s">
        <v>69</v>
      </c>
      <c r="AQ886" s="23" t="s">
        <v>30</v>
      </c>
      <c r="AR886" s="23" t="s">
        <v>2082</v>
      </c>
      <c r="AS886" s="25">
        <v>36364</v>
      </c>
      <c r="AT886" t="s">
        <v>26</v>
      </c>
      <c r="AU886" t="s">
        <v>23409</v>
      </c>
    </row>
    <row r="887" spans="1:47" ht="26.25" x14ac:dyDescent="0.4">
      <c r="A887" s="23" t="s">
        <v>2255</v>
      </c>
      <c r="B887" t="s">
        <v>26</v>
      </c>
      <c r="C887" s="23" t="s">
        <v>73</v>
      </c>
      <c r="D887" s="23" t="s">
        <v>22179</v>
      </c>
      <c r="E887" s="23" t="s">
        <v>74</v>
      </c>
      <c r="F887" s="25" t="s">
        <v>2256</v>
      </c>
      <c r="G887" s="25" t="s">
        <v>2257</v>
      </c>
      <c r="H887" t="s">
        <v>26</v>
      </c>
      <c r="I887" s="24">
        <v>35855</v>
      </c>
      <c r="J887" s="25" t="s">
        <v>77</v>
      </c>
      <c r="K887" t="s">
        <v>26</v>
      </c>
      <c r="L887" s="25" t="s">
        <v>68</v>
      </c>
      <c r="M887" s="24">
        <v>38047</v>
      </c>
      <c r="N887" s="24">
        <v>42887</v>
      </c>
      <c r="O887" t="s">
        <v>26</v>
      </c>
      <c r="P887" s="24">
        <v>35855</v>
      </c>
      <c r="Q887" s="25" t="s">
        <v>77</v>
      </c>
      <c r="R887" t="s">
        <v>26</v>
      </c>
      <c r="S887" t="s">
        <v>26</v>
      </c>
      <c r="T887" t="s">
        <v>26</v>
      </c>
      <c r="U887" t="s">
        <v>26</v>
      </c>
      <c r="V887" s="25">
        <v>365</v>
      </c>
      <c r="W887" s="24">
        <v>35855</v>
      </c>
      <c r="X887" s="25" t="s">
        <v>77</v>
      </c>
      <c r="Y887" t="s">
        <v>26</v>
      </c>
      <c r="Z887" s="24">
        <v>35855</v>
      </c>
      <c r="AA887" s="25" t="s">
        <v>77</v>
      </c>
      <c r="AB887" t="s">
        <v>26</v>
      </c>
      <c r="AC887" s="24">
        <v>35855</v>
      </c>
      <c r="AD887" s="25" t="s">
        <v>77</v>
      </c>
      <c r="AE887" t="s">
        <v>26</v>
      </c>
      <c r="AF887" t="s">
        <v>26</v>
      </c>
      <c r="AG887" t="s">
        <v>26</v>
      </c>
      <c r="AH887" t="s">
        <v>26</v>
      </c>
      <c r="AI887" t="s">
        <v>26</v>
      </c>
      <c r="AJ887" t="s">
        <v>26</v>
      </c>
      <c r="AK887" t="s">
        <v>26</v>
      </c>
      <c r="AL887" t="s">
        <v>26</v>
      </c>
      <c r="AM887" t="s">
        <v>26</v>
      </c>
      <c r="AN887" t="s">
        <v>26</v>
      </c>
      <c r="AO887" s="25" t="s">
        <v>68</v>
      </c>
      <c r="AP887" s="23" t="s">
        <v>69</v>
      </c>
      <c r="AQ887" s="23" t="s">
        <v>30</v>
      </c>
      <c r="AR887" s="23" t="s">
        <v>2082</v>
      </c>
      <c r="AS887" s="25">
        <v>37413</v>
      </c>
      <c r="AT887" t="s">
        <v>26</v>
      </c>
      <c r="AU887" t="s">
        <v>23410</v>
      </c>
    </row>
    <row r="888" spans="1:47" ht="26.25" x14ac:dyDescent="0.4">
      <c r="A888" s="23" t="s">
        <v>2258</v>
      </c>
      <c r="B888" t="s">
        <v>26</v>
      </c>
      <c r="C888" s="23" t="s">
        <v>146</v>
      </c>
      <c r="D888" s="23" t="s">
        <v>22174</v>
      </c>
      <c r="E888" s="23" t="s">
        <v>60</v>
      </c>
      <c r="F888" t="s">
        <v>26</v>
      </c>
      <c r="G888" t="s">
        <v>26</v>
      </c>
      <c r="H888" t="s">
        <v>26</v>
      </c>
      <c r="I888" t="s">
        <v>26</v>
      </c>
      <c r="J888" t="s">
        <v>26</v>
      </c>
      <c r="K888" t="s">
        <v>26</v>
      </c>
      <c r="L888" s="25" t="s">
        <v>28</v>
      </c>
      <c r="M888" t="s">
        <v>26</v>
      </c>
      <c r="N888" t="s">
        <v>26</v>
      </c>
      <c r="O888" t="s">
        <v>26</v>
      </c>
      <c r="P888" t="s">
        <v>26</v>
      </c>
      <c r="Q888" t="s">
        <v>26</v>
      </c>
      <c r="R888" t="s">
        <v>26</v>
      </c>
      <c r="S888" t="s">
        <v>26</v>
      </c>
      <c r="T888" t="s">
        <v>26</v>
      </c>
      <c r="U888" t="s">
        <v>26</v>
      </c>
      <c r="V888" t="s">
        <v>26</v>
      </c>
      <c r="W888" s="24">
        <v>41640</v>
      </c>
      <c r="X888" s="24">
        <v>41640</v>
      </c>
      <c r="Y888" t="s">
        <v>26</v>
      </c>
      <c r="Z888" s="24">
        <v>41640</v>
      </c>
      <c r="AA888" s="24">
        <v>41640</v>
      </c>
      <c r="AB888" t="s">
        <v>26</v>
      </c>
      <c r="AC888" t="s">
        <v>26</v>
      </c>
      <c r="AD888" t="s">
        <v>26</v>
      </c>
      <c r="AE888" t="s">
        <v>26</v>
      </c>
      <c r="AF888" t="s">
        <v>26</v>
      </c>
      <c r="AG888" t="s">
        <v>26</v>
      </c>
      <c r="AH888" t="s">
        <v>26</v>
      </c>
      <c r="AI888" t="s">
        <v>26</v>
      </c>
      <c r="AJ888" t="s">
        <v>26</v>
      </c>
      <c r="AK888" t="s">
        <v>26</v>
      </c>
      <c r="AL888" t="s">
        <v>26</v>
      </c>
      <c r="AM888" t="s">
        <v>26</v>
      </c>
      <c r="AN888" t="s">
        <v>26</v>
      </c>
      <c r="AO888" s="25" t="s">
        <v>28</v>
      </c>
      <c r="AP888" s="23" t="s">
        <v>29</v>
      </c>
      <c r="AQ888" s="23" t="s">
        <v>30</v>
      </c>
      <c r="AR888" s="23" t="s">
        <v>44</v>
      </c>
      <c r="AS888" s="25">
        <v>5483626</v>
      </c>
      <c r="AT888" s="23" t="s">
        <v>22181</v>
      </c>
      <c r="AU888" t="s">
        <v>23411</v>
      </c>
    </row>
    <row r="889" spans="1:47" ht="26.25" x14ac:dyDescent="0.4">
      <c r="A889" s="23" t="s">
        <v>2259</v>
      </c>
      <c r="B889" t="s">
        <v>26</v>
      </c>
      <c r="C889" s="23" t="s">
        <v>2260</v>
      </c>
      <c r="D889" s="23" t="s">
        <v>22676</v>
      </c>
      <c r="E889" s="23" t="s">
        <v>42</v>
      </c>
      <c r="F889" s="25" t="s">
        <v>2261</v>
      </c>
      <c r="G889" t="s">
        <v>26</v>
      </c>
      <c r="H889" t="s">
        <v>26</v>
      </c>
      <c r="I889" s="24">
        <v>37257</v>
      </c>
      <c r="J889" s="24">
        <v>41183</v>
      </c>
      <c r="K889" t="s">
        <v>26</v>
      </c>
      <c r="L889" s="25" t="s">
        <v>68</v>
      </c>
      <c r="M889" s="24">
        <v>37257</v>
      </c>
      <c r="N889" s="24">
        <v>38899</v>
      </c>
      <c r="O889" t="s">
        <v>26</v>
      </c>
      <c r="P889" s="24">
        <v>37257</v>
      </c>
      <c r="Q889" s="24">
        <v>41183</v>
      </c>
      <c r="R889" t="s">
        <v>26</v>
      </c>
      <c r="S889" t="s">
        <v>26</v>
      </c>
      <c r="T889" t="s">
        <v>26</v>
      </c>
      <c r="U889" t="s">
        <v>26</v>
      </c>
      <c r="V889" t="s">
        <v>26</v>
      </c>
      <c r="W889" s="24">
        <v>32509</v>
      </c>
      <c r="X889" s="24">
        <v>42186</v>
      </c>
      <c r="Y889" t="s">
        <v>26</v>
      </c>
      <c r="Z889" s="24">
        <v>32509</v>
      </c>
      <c r="AA889" s="24">
        <v>42186</v>
      </c>
      <c r="AB889" t="s">
        <v>26</v>
      </c>
      <c r="AC889" s="24">
        <v>32509</v>
      </c>
      <c r="AD889" s="24">
        <v>42186</v>
      </c>
      <c r="AE889" t="s">
        <v>26</v>
      </c>
      <c r="AF889" t="s">
        <v>26</v>
      </c>
      <c r="AG889" t="s">
        <v>26</v>
      </c>
      <c r="AH889" t="s">
        <v>26</v>
      </c>
      <c r="AI889" t="s">
        <v>26</v>
      </c>
      <c r="AJ889" t="s">
        <v>26</v>
      </c>
      <c r="AK889" t="s">
        <v>26</v>
      </c>
      <c r="AL889" t="s">
        <v>26</v>
      </c>
      <c r="AM889" t="s">
        <v>26</v>
      </c>
      <c r="AN889" t="s">
        <v>26</v>
      </c>
      <c r="AO889" s="25" t="s">
        <v>28</v>
      </c>
      <c r="AP889" s="23" t="s">
        <v>69</v>
      </c>
      <c r="AQ889" s="23" t="s">
        <v>30</v>
      </c>
      <c r="AR889" s="23" t="s">
        <v>2262</v>
      </c>
      <c r="AS889" s="25">
        <v>41872</v>
      </c>
      <c r="AT889" t="s">
        <v>26</v>
      </c>
      <c r="AU889" t="s">
        <v>23412</v>
      </c>
    </row>
    <row r="890" spans="1:47" ht="39.4" x14ac:dyDescent="0.4">
      <c r="A890" s="23" t="s">
        <v>2263</v>
      </c>
      <c r="B890" t="s">
        <v>26</v>
      </c>
      <c r="C890" s="23" t="s">
        <v>107</v>
      </c>
      <c r="D890" s="23" t="s">
        <v>22194</v>
      </c>
      <c r="E890" s="23" t="s">
        <v>42</v>
      </c>
      <c r="F890" t="s">
        <v>26</v>
      </c>
      <c r="G890" t="s">
        <v>26</v>
      </c>
      <c r="H890" t="s">
        <v>26</v>
      </c>
      <c r="I890" s="24">
        <v>38353</v>
      </c>
      <c r="J890" s="24">
        <v>38353</v>
      </c>
      <c r="K890" t="s">
        <v>26</v>
      </c>
      <c r="L890" s="25" t="s">
        <v>28</v>
      </c>
      <c r="M890" s="24">
        <v>38353</v>
      </c>
      <c r="N890" s="24">
        <v>38353</v>
      </c>
      <c r="O890" t="s">
        <v>26</v>
      </c>
      <c r="P890" s="24">
        <v>38353</v>
      </c>
      <c r="Q890" s="24">
        <v>38353</v>
      </c>
      <c r="R890" t="s">
        <v>26</v>
      </c>
      <c r="S890" t="s">
        <v>26</v>
      </c>
      <c r="T890" t="s">
        <v>26</v>
      </c>
      <c r="U890" t="s">
        <v>26</v>
      </c>
      <c r="V890" t="s">
        <v>26</v>
      </c>
      <c r="W890" s="24">
        <v>38353</v>
      </c>
      <c r="X890" s="24">
        <v>38353</v>
      </c>
      <c r="Y890" t="s">
        <v>26</v>
      </c>
      <c r="Z890" s="24">
        <v>38353</v>
      </c>
      <c r="AA890" s="24">
        <v>38353</v>
      </c>
      <c r="AB890" t="s">
        <v>26</v>
      </c>
      <c r="AC890" t="s">
        <v>26</v>
      </c>
      <c r="AD890" t="s">
        <v>26</v>
      </c>
      <c r="AE890" t="s">
        <v>26</v>
      </c>
      <c r="AF890" t="s">
        <v>26</v>
      </c>
      <c r="AG890" t="s">
        <v>26</v>
      </c>
      <c r="AH890" t="s">
        <v>26</v>
      </c>
      <c r="AI890" t="s">
        <v>26</v>
      </c>
      <c r="AJ890" t="s">
        <v>26</v>
      </c>
      <c r="AK890" t="s">
        <v>26</v>
      </c>
      <c r="AL890" t="s">
        <v>26</v>
      </c>
      <c r="AM890" t="s">
        <v>26</v>
      </c>
      <c r="AN890" t="s">
        <v>26</v>
      </c>
      <c r="AO890" s="25" t="s">
        <v>28</v>
      </c>
      <c r="AP890" s="23" t="s">
        <v>2264</v>
      </c>
      <c r="AQ890" s="23" t="s">
        <v>30</v>
      </c>
      <c r="AR890" s="23" t="s">
        <v>46</v>
      </c>
      <c r="AS890" s="25">
        <v>5876691</v>
      </c>
      <c r="AT890" t="s">
        <v>26</v>
      </c>
      <c r="AU890" t="s">
        <v>23413</v>
      </c>
    </row>
    <row r="891" spans="1:47" ht="39.4" x14ac:dyDescent="0.4">
      <c r="A891" s="23" t="s">
        <v>2265</v>
      </c>
      <c r="B891" t="s">
        <v>26</v>
      </c>
      <c r="C891" s="23" t="s">
        <v>107</v>
      </c>
      <c r="D891" s="23" t="s">
        <v>22194</v>
      </c>
      <c r="E891" s="23" t="s">
        <v>42</v>
      </c>
      <c r="F891" t="s">
        <v>26</v>
      </c>
      <c r="G891" t="s">
        <v>26</v>
      </c>
      <c r="H891" t="s">
        <v>26</v>
      </c>
      <c r="I891" s="24">
        <v>38353</v>
      </c>
      <c r="J891" s="24">
        <v>38353</v>
      </c>
      <c r="K891" t="s">
        <v>26</v>
      </c>
      <c r="L891" s="25" t="s">
        <v>28</v>
      </c>
      <c r="M891" s="24">
        <v>38353</v>
      </c>
      <c r="N891" s="24">
        <v>38353</v>
      </c>
      <c r="O891" t="s">
        <v>26</v>
      </c>
      <c r="P891" s="24">
        <v>38353</v>
      </c>
      <c r="Q891" s="24">
        <v>38353</v>
      </c>
      <c r="R891" t="s">
        <v>26</v>
      </c>
      <c r="S891" t="s">
        <v>26</v>
      </c>
      <c r="T891" t="s">
        <v>26</v>
      </c>
      <c r="U891" t="s">
        <v>26</v>
      </c>
      <c r="V891" t="s">
        <v>26</v>
      </c>
      <c r="W891" s="24">
        <v>38353</v>
      </c>
      <c r="X891" s="24">
        <v>38353</v>
      </c>
      <c r="Y891" t="s">
        <v>26</v>
      </c>
      <c r="Z891" s="24">
        <v>38353</v>
      </c>
      <c r="AA891" s="24">
        <v>38353</v>
      </c>
      <c r="AB891" t="s">
        <v>26</v>
      </c>
      <c r="AC891" t="s">
        <v>26</v>
      </c>
      <c r="AD891" t="s">
        <v>26</v>
      </c>
      <c r="AE891" t="s">
        <v>26</v>
      </c>
      <c r="AF891" t="s">
        <v>26</v>
      </c>
      <c r="AG891" t="s">
        <v>26</v>
      </c>
      <c r="AH891" t="s">
        <v>26</v>
      </c>
      <c r="AI891" t="s">
        <v>26</v>
      </c>
      <c r="AJ891" t="s">
        <v>26</v>
      </c>
      <c r="AK891" t="s">
        <v>26</v>
      </c>
      <c r="AL891" t="s">
        <v>26</v>
      </c>
      <c r="AM891" t="s">
        <v>26</v>
      </c>
      <c r="AN891" t="s">
        <v>26</v>
      </c>
      <c r="AO891" s="25" t="s">
        <v>28</v>
      </c>
      <c r="AP891" s="23" t="s">
        <v>2264</v>
      </c>
      <c r="AQ891" s="23" t="s">
        <v>30</v>
      </c>
      <c r="AR891" s="23" t="s">
        <v>46</v>
      </c>
      <c r="AS891" s="25">
        <v>5876690</v>
      </c>
      <c r="AT891" t="s">
        <v>26</v>
      </c>
      <c r="AU891" t="s">
        <v>23414</v>
      </c>
    </row>
    <row r="892" spans="1:47" ht="39.4" x14ac:dyDescent="0.4">
      <c r="A892" s="23" t="s">
        <v>2266</v>
      </c>
      <c r="B892" t="s">
        <v>26</v>
      </c>
      <c r="C892" s="23" t="s">
        <v>107</v>
      </c>
      <c r="D892" s="23" t="s">
        <v>22194</v>
      </c>
      <c r="E892" s="23" t="s">
        <v>42</v>
      </c>
      <c r="F892" t="s">
        <v>26</v>
      </c>
      <c r="G892" t="s">
        <v>26</v>
      </c>
      <c r="H892" t="s">
        <v>26</v>
      </c>
      <c r="I892" s="24">
        <v>38353</v>
      </c>
      <c r="J892" s="24">
        <v>38353</v>
      </c>
      <c r="K892" t="s">
        <v>26</v>
      </c>
      <c r="L892" s="25" t="s">
        <v>28</v>
      </c>
      <c r="M892" s="24">
        <v>38353</v>
      </c>
      <c r="N892" s="24">
        <v>38353</v>
      </c>
      <c r="O892" t="s">
        <v>26</v>
      </c>
      <c r="P892" s="24">
        <v>38353</v>
      </c>
      <c r="Q892" s="24">
        <v>38353</v>
      </c>
      <c r="R892" t="s">
        <v>26</v>
      </c>
      <c r="S892" t="s">
        <v>26</v>
      </c>
      <c r="T892" t="s">
        <v>26</v>
      </c>
      <c r="U892" t="s">
        <v>26</v>
      </c>
      <c r="V892" t="s">
        <v>26</v>
      </c>
      <c r="W892" s="24">
        <v>38353</v>
      </c>
      <c r="X892" s="24">
        <v>38353</v>
      </c>
      <c r="Y892" t="s">
        <v>26</v>
      </c>
      <c r="Z892" s="24">
        <v>38353</v>
      </c>
      <c r="AA892" s="24">
        <v>38353</v>
      </c>
      <c r="AB892" t="s">
        <v>26</v>
      </c>
      <c r="AC892" t="s">
        <v>26</v>
      </c>
      <c r="AD892" t="s">
        <v>26</v>
      </c>
      <c r="AE892" t="s">
        <v>26</v>
      </c>
      <c r="AF892" t="s">
        <v>26</v>
      </c>
      <c r="AG892" t="s">
        <v>26</v>
      </c>
      <c r="AH892" t="s">
        <v>26</v>
      </c>
      <c r="AI892" t="s">
        <v>26</v>
      </c>
      <c r="AJ892" t="s">
        <v>26</v>
      </c>
      <c r="AK892" t="s">
        <v>26</v>
      </c>
      <c r="AL892" t="s">
        <v>26</v>
      </c>
      <c r="AM892" t="s">
        <v>26</v>
      </c>
      <c r="AN892" t="s">
        <v>26</v>
      </c>
      <c r="AO892" s="25" t="s">
        <v>28</v>
      </c>
      <c r="AP892" s="23" t="s">
        <v>2264</v>
      </c>
      <c r="AQ892" s="23" t="s">
        <v>30</v>
      </c>
      <c r="AR892" s="23" t="s">
        <v>46</v>
      </c>
      <c r="AS892" s="25">
        <v>5876689</v>
      </c>
      <c r="AT892" t="s">
        <v>26</v>
      </c>
      <c r="AU892" t="s">
        <v>23415</v>
      </c>
    </row>
    <row r="893" spans="1:47" ht="39.4" x14ac:dyDescent="0.4">
      <c r="A893" s="23" t="s">
        <v>2267</v>
      </c>
      <c r="B893" t="s">
        <v>26</v>
      </c>
      <c r="C893" s="23" t="s">
        <v>107</v>
      </c>
      <c r="D893" s="23" t="s">
        <v>22194</v>
      </c>
      <c r="E893" s="23" t="s">
        <v>42</v>
      </c>
      <c r="F893" t="s">
        <v>26</v>
      </c>
      <c r="G893" t="s">
        <v>26</v>
      </c>
      <c r="H893" t="s">
        <v>26</v>
      </c>
      <c r="I893" s="24">
        <v>38353</v>
      </c>
      <c r="J893" s="24">
        <v>38353</v>
      </c>
      <c r="K893" t="s">
        <v>26</v>
      </c>
      <c r="L893" s="25" t="s">
        <v>28</v>
      </c>
      <c r="M893" s="24">
        <v>38353</v>
      </c>
      <c r="N893" s="24">
        <v>38353</v>
      </c>
      <c r="O893" t="s">
        <v>26</v>
      </c>
      <c r="P893" s="24">
        <v>38353</v>
      </c>
      <c r="Q893" s="24">
        <v>38353</v>
      </c>
      <c r="R893" t="s">
        <v>26</v>
      </c>
      <c r="S893" t="s">
        <v>26</v>
      </c>
      <c r="T893" t="s">
        <v>26</v>
      </c>
      <c r="U893" t="s">
        <v>26</v>
      </c>
      <c r="V893" t="s">
        <v>26</v>
      </c>
      <c r="W893" s="24">
        <v>38353</v>
      </c>
      <c r="X893" s="24">
        <v>38353</v>
      </c>
      <c r="Y893" t="s">
        <v>26</v>
      </c>
      <c r="Z893" s="24">
        <v>38353</v>
      </c>
      <c r="AA893" s="24">
        <v>38353</v>
      </c>
      <c r="AB893" t="s">
        <v>26</v>
      </c>
      <c r="AC893" t="s">
        <v>26</v>
      </c>
      <c r="AD893" t="s">
        <v>26</v>
      </c>
      <c r="AE893" t="s">
        <v>26</v>
      </c>
      <c r="AF893" t="s">
        <v>26</v>
      </c>
      <c r="AG893" t="s">
        <v>26</v>
      </c>
      <c r="AH893" t="s">
        <v>26</v>
      </c>
      <c r="AI893" t="s">
        <v>26</v>
      </c>
      <c r="AJ893" t="s">
        <v>26</v>
      </c>
      <c r="AK893" t="s">
        <v>26</v>
      </c>
      <c r="AL893" t="s">
        <v>26</v>
      </c>
      <c r="AM893" t="s">
        <v>26</v>
      </c>
      <c r="AN893" t="s">
        <v>26</v>
      </c>
      <c r="AO893" s="25" t="s">
        <v>28</v>
      </c>
      <c r="AP893" s="23" t="s">
        <v>2264</v>
      </c>
      <c r="AQ893" s="23" t="s">
        <v>30</v>
      </c>
      <c r="AR893" s="23" t="s">
        <v>46</v>
      </c>
      <c r="AS893" s="25">
        <v>5876688</v>
      </c>
      <c r="AT893" t="s">
        <v>26</v>
      </c>
      <c r="AU893" t="s">
        <v>23416</v>
      </c>
    </row>
    <row r="894" spans="1:47" ht="39.4" x14ac:dyDescent="0.4">
      <c r="A894" s="23" t="s">
        <v>2268</v>
      </c>
      <c r="B894" t="s">
        <v>26</v>
      </c>
      <c r="C894" s="23" t="s">
        <v>107</v>
      </c>
      <c r="D894" s="23" t="s">
        <v>22194</v>
      </c>
      <c r="E894" s="23" t="s">
        <v>42</v>
      </c>
      <c r="F894" t="s">
        <v>26</v>
      </c>
      <c r="G894" t="s">
        <v>26</v>
      </c>
      <c r="H894" t="s">
        <v>26</v>
      </c>
      <c r="I894" s="24">
        <v>38353</v>
      </c>
      <c r="J894" s="24">
        <v>38353</v>
      </c>
      <c r="K894" t="s">
        <v>26</v>
      </c>
      <c r="L894" s="25" t="s">
        <v>28</v>
      </c>
      <c r="M894" s="24">
        <v>38353</v>
      </c>
      <c r="N894" s="24">
        <v>38353</v>
      </c>
      <c r="O894" t="s">
        <v>26</v>
      </c>
      <c r="P894" s="24">
        <v>38353</v>
      </c>
      <c r="Q894" s="24">
        <v>38353</v>
      </c>
      <c r="R894" t="s">
        <v>26</v>
      </c>
      <c r="S894" t="s">
        <v>26</v>
      </c>
      <c r="T894" t="s">
        <v>26</v>
      </c>
      <c r="U894" t="s">
        <v>26</v>
      </c>
      <c r="V894" t="s">
        <v>26</v>
      </c>
      <c r="W894" s="24">
        <v>38353</v>
      </c>
      <c r="X894" s="24">
        <v>38353</v>
      </c>
      <c r="Y894" t="s">
        <v>26</v>
      </c>
      <c r="Z894" s="24">
        <v>38353</v>
      </c>
      <c r="AA894" s="24">
        <v>38353</v>
      </c>
      <c r="AB894" t="s">
        <v>26</v>
      </c>
      <c r="AC894" t="s">
        <v>26</v>
      </c>
      <c r="AD894" t="s">
        <v>26</v>
      </c>
      <c r="AE894" t="s">
        <v>26</v>
      </c>
      <c r="AF894" t="s">
        <v>26</v>
      </c>
      <c r="AG894" t="s">
        <v>26</v>
      </c>
      <c r="AH894" t="s">
        <v>26</v>
      </c>
      <c r="AI894" t="s">
        <v>26</v>
      </c>
      <c r="AJ894" t="s">
        <v>26</v>
      </c>
      <c r="AK894" t="s">
        <v>26</v>
      </c>
      <c r="AL894" t="s">
        <v>26</v>
      </c>
      <c r="AM894" t="s">
        <v>26</v>
      </c>
      <c r="AN894" t="s">
        <v>26</v>
      </c>
      <c r="AO894" s="25" t="s">
        <v>28</v>
      </c>
      <c r="AP894" s="23" t="s">
        <v>2264</v>
      </c>
      <c r="AQ894" s="23" t="s">
        <v>30</v>
      </c>
      <c r="AR894" s="23" t="s">
        <v>46</v>
      </c>
      <c r="AS894" s="25">
        <v>5876687</v>
      </c>
      <c r="AT894" t="s">
        <v>26</v>
      </c>
      <c r="AU894" t="s">
        <v>23417</v>
      </c>
    </row>
    <row r="895" spans="1:47" ht="39.4" x14ac:dyDescent="0.4">
      <c r="A895" s="23" t="s">
        <v>2269</v>
      </c>
      <c r="B895" t="s">
        <v>26</v>
      </c>
      <c r="C895" s="23" t="s">
        <v>107</v>
      </c>
      <c r="D895" s="23" t="s">
        <v>22194</v>
      </c>
      <c r="E895" s="23" t="s">
        <v>42</v>
      </c>
      <c r="F895" t="s">
        <v>26</v>
      </c>
      <c r="G895" t="s">
        <v>26</v>
      </c>
      <c r="H895" t="s">
        <v>26</v>
      </c>
      <c r="I895" s="24">
        <v>37987</v>
      </c>
      <c r="J895" s="24">
        <v>37987</v>
      </c>
      <c r="K895" t="s">
        <v>26</v>
      </c>
      <c r="L895" s="25" t="s">
        <v>28</v>
      </c>
      <c r="M895" s="24">
        <v>37987</v>
      </c>
      <c r="N895" s="24">
        <v>37987</v>
      </c>
      <c r="O895" t="s">
        <v>26</v>
      </c>
      <c r="P895" s="24">
        <v>37987</v>
      </c>
      <c r="Q895" s="24">
        <v>37987</v>
      </c>
      <c r="R895" t="s">
        <v>26</v>
      </c>
      <c r="S895" t="s">
        <v>26</v>
      </c>
      <c r="T895" t="s">
        <v>26</v>
      </c>
      <c r="U895" t="s">
        <v>26</v>
      </c>
      <c r="V895" t="s">
        <v>26</v>
      </c>
      <c r="W895" s="24">
        <v>37987</v>
      </c>
      <c r="X895" s="24">
        <v>37987</v>
      </c>
      <c r="Y895" t="s">
        <v>26</v>
      </c>
      <c r="Z895" s="24">
        <v>37987</v>
      </c>
      <c r="AA895" s="24">
        <v>37987</v>
      </c>
      <c r="AB895" t="s">
        <v>26</v>
      </c>
      <c r="AC895" t="s">
        <v>26</v>
      </c>
      <c r="AD895" t="s">
        <v>26</v>
      </c>
      <c r="AE895" t="s">
        <v>26</v>
      </c>
      <c r="AF895" t="s">
        <v>26</v>
      </c>
      <c r="AG895" t="s">
        <v>26</v>
      </c>
      <c r="AH895" t="s">
        <v>26</v>
      </c>
      <c r="AI895" t="s">
        <v>26</v>
      </c>
      <c r="AJ895" t="s">
        <v>26</v>
      </c>
      <c r="AK895" t="s">
        <v>26</v>
      </c>
      <c r="AL895" t="s">
        <v>26</v>
      </c>
      <c r="AM895" t="s">
        <v>26</v>
      </c>
      <c r="AN895" t="s">
        <v>26</v>
      </c>
      <c r="AO895" s="25" t="s">
        <v>28</v>
      </c>
      <c r="AP895" s="23" t="s">
        <v>2264</v>
      </c>
      <c r="AQ895" s="23" t="s">
        <v>30</v>
      </c>
      <c r="AR895" s="23" t="s">
        <v>46</v>
      </c>
      <c r="AS895" s="25">
        <v>5876686</v>
      </c>
      <c r="AT895" t="s">
        <v>26</v>
      </c>
      <c r="AU895" t="s">
        <v>23418</v>
      </c>
    </row>
    <row r="896" spans="1:47" ht="39.4" x14ac:dyDescent="0.4">
      <c r="A896" s="23" t="s">
        <v>2270</v>
      </c>
      <c r="B896" t="s">
        <v>26</v>
      </c>
      <c r="C896" s="23" t="s">
        <v>107</v>
      </c>
      <c r="D896" s="23" t="s">
        <v>22194</v>
      </c>
      <c r="E896" s="23" t="s">
        <v>42</v>
      </c>
      <c r="F896" t="s">
        <v>26</v>
      </c>
      <c r="G896" t="s">
        <v>26</v>
      </c>
      <c r="H896" t="s">
        <v>26</v>
      </c>
      <c r="I896" s="24">
        <v>37987</v>
      </c>
      <c r="J896" s="24">
        <v>37987</v>
      </c>
      <c r="K896" t="s">
        <v>26</v>
      </c>
      <c r="L896" s="25" t="s">
        <v>28</v>
      </c>
      <c r="M896" s="24">
        <v>37987</v>
      </c>
      <c r="N896" s="24">
        <v>37987</v>
      </c>
      <c r="O896" t="s">
        <v>26</v>
      </c>
      <c r="P896" s="24">
        <v>37987</v>
      </c>
      <c r="Q896" s="24">
        <v>37987</v>
      </c>
      <c r="R896" t="s">
        <v>26</v>
      </c>
      <c r="S896" t="s">
        <v>26</v>
      </c>
      <c r="T896" t="s">
        <v>26</v>
      </c>
      <c r="U896" t="s">
        <v>26</v>
      </c>
      <c r="V896" t="s">
        <v>26</v>
      </c>
      <c r="W896" s="24">
        <v>37987</v>
      </c>
      <c r="X896" s="24">
        <v>37987</v>
      </c>
      <c r="Y896" t="s">
        <v>26</v>
      </c>
      <c r="Z896" s="24">
        <v>37987</v>
      </c>
      <c r="AA896" s="24">
        <v>37987</v>
      </c>
      <c r="AB896" t="s">
        <v>26</v>
      </c>
      <c r="AC896" t="s">
        <v>26</v>
      </c>
      <c r="AD896" t="s">
        <v>26</v>
      </c>
      <c r="AE896" t="s">
        <v>26</v>
      </c>
      <c r="AF896" t="s">
        <v>26</v>
      </c>
      <c r="AG896" t="s">
        <v>26</v>
      </c>
      <c r="AH896" t="s">
        <v>26</v>
      </c>
      <c r="AI896" t="s">
        <v>26</v>
      </c>
      <c r="AJ896" t="s">
        <v>26</v>
      </c>
      <c r="AK896" t="s">
        <v>26</v>
      </c>
      <c r="AL896" t="s">
        <v>26</v>
      </c>
      <c r="AM896" t="s">
        <v>26</v>
      </c>
      <c r="AN896" t="s">
        <v>26</v>
      </c>
      <c r="AO896" s="25" t="s">
        <v>28</v>
      </c>
      <c r="AP896" s="23" t="s">
        <v>2264</v>
      </c>
      <c r="AQ896" s="23" t="s">
        <v>30</v>
      </c>
      <c r="AR896" s="23" t="s">
        <v>46</v>
      </c>
      <c r="AS896" s="25">
        <v>5876685</v>
      </c>
      <c r="AT896" t="s">
        <v>26</v>
      </c>
      <c r="AU896" t="s">
        <v>23419</v>
      </c>
    </row>
    <row r="897" spans="1:47" ht="39.4" x14ac:dyDescent="0.4">
      <c r="A897" s="23" t="s">
        <v>2271</v>
      </c>
      <c r="B897" t="s">
        <v>26</v>
      </c>
      <c r="C897" s="23" t="s">
        <v>107</v>
      </c>
      <c r="D897" s="23" t="s">
        <v>22194</v>
      </c>
      <c r="E897" s="23" t="s">
        <v>42</v>
      </c>
      <c r="F897" t="s">
        <v>26</v>
      </c>
      <c r="G897" t="s">
        <v>26</v>
      </c>
      <c r="H897" t="s">
        <v>26</v>
      </c>
      <c r="I897" s="24">
        <v>38718</v>
      </c>
      <c r="J897" s="24">
        <v>38718</v>
      </c>
      <c r="K897" t="s">
        <v>26</v>
      </c>
      <c r="L897" s="25" t="s">
        <v>28</v>
      </c>
      <c r="M897" s="24">
        <v>38718</v>
      </c>
      <c r="N897" s="24">
        <v>38718</v>
      </c>
      <c r="O897" t="s">
        <v>26</v>
      </c>
      <c r="P897" s="24">
        <v>38718</v>
      </c>
      <c r="Q897" s="24">
        <v>38718</v>
      </c>
      <c r="R897" t="s">
        <v>26</v>
      </c>
      <c r="S897" t="s">
        <v>26</v>
      </c>
      <c r="T897" t="s">
        <v>26</v>
      </c>
      <c r="U897" t="s">
        <v>26</v>
      </c>
      <c r="V897" t="s">
        <v>26</v>
      </c>
      <c r="W897" s="24">
        <v>38718</v>
      </c>
      <c r="X897" s="24">
        <v>38718</v>
      </c>
      <c r="Y897" t="s">
        <v>26</v>
      </c>
      <c r="Z897" s="24">
        <v>38718</v>
      </c>
      <c r="AA897" s="24">
        <v>38718</v>
      </c>
      <c r="AB897" t="s">
        <v>26</v>
      </c>
      <c r="AC897" t="s">
        <v>26</v>
      </c>
      <c r="AD897" t="s">
        <v>26</v>
      </c>
      <c r="AE897" t="s">
        <v>26</v>
      </c>
      <c r="AF897" t="s">
        <v>26</v>
      </c>
      <c r="AG897" t="s">
        <v>26</v>
      </c>
      <c r="AH897" t="s">
        <v>26</v>
      </c>
      <c r="AI897" t="s">
        <v>26</v>
      </c>
      <c r="AJ897" t="s">
        <v>26</v>
      </c>
      <c r="AK897" t="s">
        <v>26</v>
      </c>
      <c r="AL897" t="s">
        <v>26</v>
      </c>
      <c r="AM897" t="s">
        <v>26</v>
      </c>
      <c r="AN897" t="s">
        <v>26</v>
      </c>
      <c r="AO897" s="25" t="s">
        <v>28</v>
      </c>
      <c r="AP897" s="23" t="s">
        <v>2264</v>
      </c>
      <c r="AQ897" s="23" t="s">
        <v>30</v>
      </c>
      <c r="AR897" s="23" t="s">
        <v>46</v>
      </c>
      <c r="AS897" s="25">
        <v>5876684</v>
      </c>
      <c r="AT897" t="s">
        <v>26</v>
      </c>
      <c r="AU897" t="s">
        <v>23420</v>
      </c>
    </row>
    <row r="898" spans="1:47" ht="39.4" x14ac:dyDescent="0.4">
      <c r="A898" s="23" t="s">
        <v>2272</v>
      </c>
      <c r="B898" t="s">
        <v>26</v>
      </c>
      <c r="C898" s="23" t="s">
        <v>107</v>
      </c>
      <c r="D898" s="23" t="s">
        <v>22194</v>
      </c>
      <c r="E898" s="23" t="s">
        <v>42</v>
      </c>
      <c r="F898" t="s">
        <v>26</v>
      </c>
      <c r="G898" t="s">
        <v>26</v>
      </c>
      <c r="H898" t="s">
        <v>26</v>
      </c>
      <c r="I898" s="24">
        <v>38718</v>
      </c>
      <c r="J898" s="24">
        <v>38718</v>
      </c>
      <c r="K898" t="s">
        <v>26</v>
      </c>
      <c r="L898" s="25" t="s">
        <v>28</v>
      </c>
      <c r="M898" s="24">
        <v>38718</v>
      </c>
      <c r="N898" s="24">
        <v>38718</v>
      </c>
      <c r="O898" t="s">
        <v>26</v>
      </c>
      <c r="P898" s="24">
        <v>38718</v>
      </c>
      <c r="Q898" s="24">
        <v>38718</v>
      </c>
      <c r="R898" t="s">
        <v>26</v>
      </c>
      <c r="S898" t="s">
        <v>26</v>
      </c>
      <c r="T898" t="s">
        <v>26</v>
      </c>
      <c r="U898" t="s">
        <v>26</v>
      </c>
      <c r="V898" t="s">
        <v>26</v>
      </c>
      <c r="W898" s="24">
        <v>38718</v>
      </c>
      <c r="X898" s="24">
        <v>38718</v>
      </c>
      <c r="Y898" t="s">
        <v>26</v>
      </c>
      <c r="Z898" s="24">
        <v>38718</v>
      </c>
      <c r="AA898" s="24">
        <v>38718</v>
      </c>
      <c r="AB898" t="s">
        <v>26</v>
      </c>
      <c r="AC898" t="s">
        <v>26</v>
      </c>
      <c r="AD898" t="s">
        <v>26</v>
      </c>
      <c r="AE898" t="s">
        <v>26</v>
      </c>
      <c r="AF898" t="s">
        <v>26</v>
      </c>
      <c r="AG898" t="s">
        <v>26</v>
      </c>
      <c r="AH898" t="s">
        <v>26</v>
      </c>
      <c r="AI898" t="s">
        <v>26</v>
      </c>
      <c r="AJ898" t="s">
        <v>26</v>
      </c>
      <c r="AK898" t="s">
        <v>26</v>
      </c>
      <c r="AL898" t="s">
        <v>26</v>
      </c>
      <c r="AM898" t="s">
        <v>26</v>
      </c>
      <c r="AN898" t="s">
        <v>26</v>
      </c>
      <c r="AO898" s="25" t="s">
        <v>28</v>
      </c>
      <c r="AP898" s="23" t="s">
        <v>2264</v>
      </c>
      <c r="AQ898" s="23" t="s">
        <v>30</v>
      </c>
      <c r="AR898" s="23" t="s">
        <v>46</v>
      </c>
      <c r="AS898" s="25">
        <v>5876683</v>
      </c>
      <c r="AT898" t="s">
        <v>26</v>
      </c>
      <c r="AU898" t="s">
        <v>23421</v>
      </c>
    </row>
    <row r="899" spans="1:47" ht="39.4" x14ac:dyDescent="0.4">
      <c r="A899" s="23" t="s">
        <v>2273</v>
      </c>
      <c r="B899" t="s">
        <v>26</v>
      </c>
      <c r="C899" s="23" t="s">
        <v>107</v>
      </c>
      <c r="D899" s="23" t="s">
        <v>22194</v>
      </c>
      <c r="E899" s="23" t="s">
        <v>42</v>
      </c>
      <c r="F899" t="s">
        <v>26</v>
      </c>
      <c r="G899" t="s">
        <v>26</v>
      </c>
      <c r="H899" t="s">
        <v>26</v>
      </c>
      <c r="I899" s="24">
        <v>38718</v>
      </c>
      <c r="J899" s="24">
        <v>38718</v>
      </c>
      <c r="K899" t="s">
        <v>26</v>
      </c>
      <c r="L899" s="25" t="s">
        <v>28</v>
      </c>
      <c r="M899" s="24">
        <v>38718</v>
      </c>
      <c r="N899" s="24">
        <v>38718</v>
      </c>
      <c r="O899" t="s">
        <v>26</v>
      </c>
      <c r="P899" s="24">
        <v>38718</v>
      </c>
      <c r="Q899" s="24">
        <v>38718</v>
      </c>
      <c r="R899" t="s">
        <v>26</v>
      </c>
      <c r="S899" t="s">
        <v>26</v>
      </c>
      <c r="T899" t="s">
        <v>26</v>
      </c>
      <c r="U899" t="s">
        <v>26</v>
      </c>
      <c r="V899" t="s">
        <v>26</v>
      </c>
      <c r="W899" s="24">
        <v>38718</v>
      </c>
      <c r="X899" s="24">
        <v>38718</v>
      </c>
      <c r="Y899" t="s">
        <v>26</v>
      </c>
      <c r="Z899" s="24">
        <v>38718</v>
      </c>
      <c r="AA899" s="24">
        <v>38718</v>
      </c>
      <c r="AB899" t="s">
        <v>26</v>
      </c>
      <c r="AC899" t="s">
        <v>26</v>
      </c>
      <c r="AD899" t="s">
        <v>26</v>
      </c>
      <c r="AE899" t="s">
        <v>26</v>
      </c>
      <c r="AF899" t="s">
        <v>26</v>
      </c>
      <c r="AG899" t="s">
        <v>26</v>
      </c>
      <c r="AH899" t="s">
        <v>26</v>
      </c>
      <c r="AI899" t="s">
        <v>26</v>
      </c>
      <c r="AJ899" t="s">
        <v>26</v>
      </c>
      <c r="AK899" t="s">
        <v>26</v>
      </c>
      <c r="AL899" t="s">
        <v>26</v>
      </c>
      <c r="AM899" t="s">
        <v>26</v>
      </c>
      <c r="AN899" t="s">
        <v>26</v>
      </c>
      <c r="AO899" s="25" t="s">
        <v>28</v>
      </c>
      <c r="AP899" s="23" t="s">
        <v>2264</v>
      </c>
      <c r="AQ899" s="23" t="s">
        <v>30</v>
      </c>
      <c r="AR899" s="23" t="s">
        <v>46</v>
      </c>
      <c r="AS899" s="25">
        <v>5876682</v>
      </c>
      <c r="AT899" t="s">
        <v>26</v>
      </c>
      <c r="AU899" t="s">
        <v>23422</v>
      </c>
    </row>
    <row r="900" spans="1:47" ht="39.4" x14ac:dyDescent="0.4">
      <c r="A900" s="23" t="s">
        <v>2274</v>
      </c>
      <c r="B900" t="s">
        <v>26</v>
      </c>
      <c r="C900" s="23" t="s">
        <v>107</v>
      </c>
      <c r="D900" s="23" t="s">
        <v>22194</v>
      </c>
      <c r="E900" s="23" t="s">
        <v>42</v>
      </c>
      <c r="F900" t="s">
        <v>26</v>
      </c>
      <c r="G900" t="s">
        <v>26</v>
      </c>
      <c r="H900" t="s">
        <v>26</v>
      </c>
      <c r="I900" s="24">
        <v>38353</v>
      </c>
      <c r="J900" s="24">
        <v>38353</v>
      </c>
      <c r="K900" t="s">
        <v>26</v>
      </c>
      <c r="L900" s="25" t="s">
        <v>28</v>
      </c>
      <c r="M900" s="24">
        <v>38353</v>
      </c>
      <c r="N900" s="24">
        <v>38353</v>
      </c>
      <c r="O900" t="s">
        <v>26</v>
      </c>
      <c r="P900" s="24">
        <v>38353</v>
      </c>
      <c r="Q900" s="24">
        <v>38353</v>
      </c>
      <c r="R900" t="s">
        <v>26</v>
      </c>
      <c r="S900" t="s">
        <v>26</v>
      </c>
      <c r="T900" t="s">
        <v>26</v>
      </c>
      <c r="U900" t="s">
        <v>26</v>
      </c>
      <c r="V900" t="s">
        <v>26</v>
      </c>
      <c r="W900" s="24">
        <v>38353</v>
      </c>
      <c r="X900" s="24">
        <v>38353</v>
      </c>
      <c r="Y900" t="s">
        <v>26</v>
      </c>
      <c r="Z900" s="24">
        <v>38353</v>
      </c>
      <c r="AA900" s="24">
        <v>38353</v>
      </c>
      <c r="AB900" t="s">
        <v>26</v>
      </c>
      <c r="AC900" t="s">
        <v>26</v>
      </c>
      <c r="AD900" t="s">
        <v>26</v>
      </c>
      <c r="AE900" t="s">
        <v>26</v>
      </c>
      <c r="AF900" t="s">
        <v>26</v>
      </c>
      <c r="AG900" t="s">
        <v>26</v>
      </c>
      <c r="AH900" t="s">
        <v>26</v>
      </c>
      <c r="AI900" t="s">
        <v>26</v>
      </c>
      <c r="AJ900" t="s">
        <v>26</v>
      </c>
      <c r="AK900" t="s">
        <v>26</v>
      </c>
      <c r="AL900" t="s">
        <v>26</v>
      </c>
      <c r="AM900" t="s">
        <v>26</v>
      </c>
      <c r="AN900" t="s">
        <v>26</v>
      </c>
      <c r="AO900" s="25" t="s">
        <v>28</v>
      </c>
      <c r="AP900" s="23" t="s">
        <v>2264</v>
      </c>
      <c r="AQ900" s="23" t="s">
        <v>30</v>
      </c>
      <c r="AR900" s="23" t="s">
        <v>46</v>
      </c>
      <c r="AS900" s="25">
        <v>5876681</v>
      </c>
      <c r="AT900" t="s">
        <v>26</v>
      </c>
      <c r="AU900" t="s">
        <v>23423</v>
      </c>
    </row>
    <row r="901" spans="1:47" ht="26.25" x14ac:dyDescent="0.4">
      <c r="A901" s="23" t="s">
        <v>2275</v>
      </c>
      <c r="B901" t="s">
        <v>26</v>
      </c>
      <c r="C901" s="23" t="s">
        <v>146</v>
      </c>
      <c r="D901" s="23" t="s">
        <v>22174</v>
      </c>
      <c r="E901" s="23" t="s">
        <v>60</v>
      </c>
      <c r="F901" t="s">
        <v>26</v>
      </c>
      <c r="G901" t="s">
        <v>26</v>
      </c>
      <c r="H901" t="s">
        <v>26</v>
      </c>
      <c r="I901" s="25" t="s">
        <v>295</v>
      </c>
      <c r="J901" s="25" t="s">
        <v>295</v>
      </c>
      <c r="K901" t="s">
        <v>26</v>
      </c>
      <c r="L901" s="25" t="s">
        <v>28</v>
      </c>
      <c r="M901" t="s">
        <v>26</v>
      </c>
      <c r="N901" t="s">
        <v>26</v>
      </c>
      <c r="O901" t="s">
        <v>26</v>
      </c>
      <c r="P901" s="25" t="s">
        <v>295</v>
      </c>
      <c r="Q901" s="25" t="s">
        <v>295</v>
      </c>
      <c r="R901" t="s">
        <v>26</v>
      </c>
      <c r="S901" t="s">
        <v>26</v>
      </c>
      <c r="T901" t="s">
        <v>26</v>
      </c>
      <c r="U901" t="s">
        <v>26</v>
      </c>
      <c r="V901" t="s">
        <v>26</v>
      </c>
      <c r="W901" s="25" t="s">
        <v>295</v>
      </c>
      <c r="X901" s="25" t="s">
        <v>295</v>
      </c>
      <c r="Y901" t="s">
        <v>26</v>
      </c>
      <c r="Z901" s="25" t="s">
        <v>295</v>
      </c>
      <c r="AA901" s="25" t="s">
        <v>295</v>
      </c>
      <c r="AB901" t="s">
        <v>26</v>
      </c>
      <c r="AC901" s="25" t="s">
        <v>295</v>
      </c>
      <c r="AD901" s="25" t="s">
        <v>295</v>
      </c>
      <c r="AE901" t="s">
        <v>26</v>
      </c>
      <c r="AF901" t="s">
        <v>26</v>
      </c>
      <c r="AG901" t="s">
        <v>26</v>
      </c>
      <c r="AH901" t="s">
        <v>26</v>
      </c>
      <c r="AI901" t="s">
        <v>26</v>
      </c>
      <c r="AJ901" t="s">
        <v>26</v>
      </c>
      <c r="AK901" t="s">
        <v>26</v>
      </c>
      <c r="AL901" t="s">
        <v>26</v>
      </c>
      <c r="AM901" t="s">
        <v>26</v>
      </c>
      <c r="AN901" t="s">
        <v>26</v>
      </c>
      <c r="AO901" s="25" t="s">
        <v>28</v>
      </c>
      <c r="AP901" s="23" t="s">
        <v>29</v>
      </c>
      <c r="AQ901" s="23" t="s">
        <v>30</v>
      </c>
      <c r="AR901" s="23" t="s">
        <v>44</v>
      </c>
      <c r="AS901" s="25">
        <v>6009010</v>
      </c>
      <c r="AT901" t="s">
        <v>26</v>
      </c>
      <c r="AU901" t="s">
        <v>23424</v>
      </c>
    </row>
    <row r="902" spans="1:47" ht="13.15" x14ac:dyDescent="0.4">
      <c r="A902" s="23" t="s">
        <v>2276</v>
      </c>
      <c r="B902" t="s">
        <v>26</v>
      </c>
      <c r="C902" s="23" t="s">
        <v>146</v>
      </c>
      <c r="D902" s="23" t="s">
        <v>22174</v>
      </c>
      <c r="E902" s="23" t="s">
        <v>60</v>
      </c>
      <c r="F902" t="s">
        <v>26</v>
      </c>
      <c r="G902" t="s">
        <v>26</v>
      </c>
      <c r="H902" t="s">
        <v>26</v>
      </c>
      <c r="I902" t="s">
        <v>26</v>
      </c>
      <c r="J902" t="s">
        <v>26</v>
      </c>
      <c r="K902" t="s">
        <v>26</v>
      </c>
      <c r="L902" s="25" t="s">
        <v>28</v>
      </c>
      <c r="M902" t="s">
        <v>26</v>
      </c>
      <c r="N902" t="s">
        <v>26</v>
      </c>
      <c r="O902" t="s">
        <v>26</v>
      </c>
      <c r="P902" t="s">
        <v>26</v>
      </c>
      <c r="Q902" t="s">
        <v>26</v>
      </c>
      <c r="R902" t="s">
        <v>26</v>
      </c>
      <c r="S902" t="s">
        <v>26</v>
      </c>
      <c r="T902" t="s">
        <v>26</v>
      </c>
      <c r="U902" t="s">
        <v>26</v>
      </c>
      <c r="V902" t="s">
        <v>26</v>
      </c>
      <c r="W902" s="24">
        <v>42005</v>
      </c>
      <c r="X902" s="24">
        <v>42005</v>
      </c>
      <c r="Y902" t="s">
        <v>26</v>
      </c>
      <c r="Z902" s="24">
        <v>42005</v>
      </c>
      <c r="AA902" s="24">
        <v>42005</v>
      </c>
      <c r="AB902" t="s">
        <v>26</v>
      </c>
      <c r="AC902" t="s">
        <v>26</v>
      </c>
      <c r="AD902" t="s">
        <v>26</v>
      </c>
      <c r="AE902" t="s">
        <v>26</v>
      </c>
      <c r="AF902" t="s">
        <v>26</v>
      </c>
      <c r="AG902" t="s">
        <v>26</v>
      </c>
      <c r="AH902" t="s">
        <v>26</v>
      </c>
      <c r="AI902" t="s">
        <v>26</v>
      </c>
      <c r="AJ902" t="s">
        <v>26</v>
      </c>
      <c r="AK902" t="s">
        <v>26</v>
      </c>
      <c r="AL902" t="s">
        <v>26</v>
      </c>
      <c r="AM902" t="s">
        <v>26</v>
      </c>
      <c r="AN902" t="s">
        <v>26</v>
      </c>
      <c r="AO902" s="25" t="s">
        <v>28</v>
      </c>
      <c r="AP902" s="23" t="s">
        <v>29</v>
      </c>
      <c r="AQ902" s="23" t="s">
        <v>30</v>
      </c>
      <c r="AR902" s="23" t="s">
        <v>44</v>
      </c>
      <c r="AS902" s="25">
        <v>5483625</v>
      </c>
      <c r="AT902" s="23" t="s">
        <v>22181</v>
      </c>
      <c r="AU902" t="s">
        <v>23425</v>
      </c>
    </row>
    <row r="903" spans="1:47" ht="39.4" x14ac:dyDescent="0.4">
      <c r="A903" s="23" t="s">
        <v>2277</v>
      </c>
      <c r="B903" t="s">
        <v>26</v>
      </c>
      <c r="C903" s="23" t="s">
        <v>2278</v>
      </c>
      <c r="D903" s="23" t="s">
        <v>23426</v>
      </c>
      <c r="E903" s="23" t="s">
        <v>574</v>
      </c>
      <c r="F903" t="s">
        <v>26</v>
      </c>
      <c r="G903" t="s">
        <v>26</v>
      </c>
      <c r="H903" s="25" t="s">
        <v>2279</v>
      </c>
      <c r="I903" s="24">
        <v>39814</v>
      </c>
      <c r="J903" s="24">
        <v>39814</v>
      </c>
      <c r="K903" t="s">
        <v>26</v>
      </c>
      <c r="L903" s="25" t="s">
        <v>28</v>
      </c>
      <c r="M903" s="24">
        <v>39814</v>
      </c>
      <c r="N903" s="24">
        <v>39814</v>
      </c>
      <c r="O903" t="s">
        <v>26</v>
      </c>
      <c r="P903" s="24">
        <v>39814</v>
      </c>
      <c r="Q903" s="24">
        <v>39814</v>
      </c>
      <c r="R903" t="s">
        <v>26</v>
      </c>
      <c r="S903" t="s">
        <v>26</v>
      </c>
      <c r="T903" t="s">
        <v>26</v>
      </c>
      <c r="U903" t="s">
        <v>26</v>
      </c>
      <c r="V903" t="s">
        <v>26</v>
      </c>
      <c r="W903" s="24">
        <v>39814</v>
      </c>
      <c r="X903" s="24">
        <v>39814</v>
      </c>
      <c r="Y903" t="s">
        <v>26</v>
      </c>
      <c r="Z903" s="24">
        <v>39814</v>
      </c>
      <c r="AA903" s="24">
        <v>39814</v>
      </c>
      <c r="AB903" t="s">
        <v>26</v>
      </c>
      <c r="AC903" s="24">
        <v>39814</v>
      </c>
      <c r="AD903" s="24">
        <v>39814</v>
      </c>
      <c r="AE903" t="s">
        <v>26</v>
      </c>
      <c r="AF903" t="s">
        <v>26</v>
      </c>
      <c r="AG903" t="s">
        <v>26</v>
      </c>
      <c r="AH903" t="s">
        <v>26</v>
      </c>
      <c r="AI903" t="s">
        <v>26</v>
      </c>
      <c r="AJ903" t="s">
        <v>26</v>
      </c>
      <c r="AK903" t="s">
        <v>26</v>
      </c>
      <c r="AL903" t="s">
        <v>26</v>
      </c>
      <c r="AM903" t="s">
        <v>26</v>
      </c>
      <c r="AN903" t="s">
        <v>26</v>
      </c>
      <c r="AO903" s="25" t="s">
        <v>28</v>
      </c>
      <c r="AP903" s="23" t="s">
        <v>272</v>
      </c>
      <c r="AQ903" s="23" t="s">
        <v>30</v>
      </c>
      <c r="AR903" s="23" t="s">
        <v>128</v>
      </c>
      <c r="AS903" s="25">
        <v>135354</v>
      </c>
      <c r="AT903" t="s">
        <v>26</v>
      </c>
      <c r="AU903" t="s">
        <v>23427</v>
      </c>
    </row>
    <row r="904" spans="1:47" ht="26.25" x14ac:dyDescent="0.4">
      <c r="A904" s="23" t="s">
        <v>2280</v>
      </c>
      <c r="B904" t="s">
        <v>26</v>
      </c>
      <c r="C904" s="23" t="s">
        <v>59</v>
      </c>
      <c r="D904" s="23" t="s">
        <v>22174</v>
      </c>
      <c r="E904" s="23" t="s">
        <v>60</v>
      </c>
      <c r="F904" t="s">
        <v>26</v>
      </c>
      <c r="G904" t="s">
        <v>26</v>
      </c>
      <c r="H904" s="25" t="s">
        <v>2281</v>
      </c>
      <c r="I904" s="24">
        <v>41640</v>
      </c>
      <c r="J904" s="24">
        <v>41640</v>
      </c>
      <c r="K904" t="s">
        <v>26</v>
      </c>
      <c r="L904" s="25" t="s">
        <v>28</v>
      </c>
      <c r="M904" s="24">
        <v>41640</v>
      </c>
      <c r="N904" s="24">
        <v>41640</v>
      </c>
      <c r="O904" t="s">
        <v>26</v>
      </c>
      <c r="P904" s="24">
        <v>41640</v>
      </c>
      <c r="Q904" s="24">
        <v>41640</v>
      </c>
      <c r="R904" t="s">
        <v>26</v>
      </c>
      <c r="S904" t="s">
        <v>26</v>
      </c>
      <c r="T904" t="s">
        <v>26</v>
      </c>
      <c r="U904" t="s">
        <v>26</v>
      </c>
      <c r="V904" t="s">
        <v>26</v>
      </c>
      <c r="W904" s="24">
        <v>41640</v>
      </c>
      <c r="X904" s="24">
        <v>41640</v>
      </c>
      <c r="Y904" t="s">
        <v>26</v>
      </c>
      <c r="Z904" s="24">
        <v>41640</v>
      </c>
      <c r="AA904" s="24">
        <v>41640</v>
      </c>
      <c r="AB904" t="s">
        <v>26</v>
      </c>
      <c r="AC904" s="24">
        <v>41640</v>
      </c>
      <c r="AD904" s="24">
        <v>41640</v>
      </c>
      <c r="AE904" t="s">
        <v>26</v>
      </c>
      <c r="AF904" t="s">
        <v>26</v>
      </c>
      <c r="AG904" t="s">
        <v>26</v>
      </c>
      <c r="AH904" t="s">
        <v>26</v>
      </c>
      <c r="AI904" t="s">
        <v>26</v>
      </c>
      <c r="AJ904" t="s">
        <v>26</v>
      </c>
      <c r="AK904" t="s">
        <v>26</v>
      </c>
      <c r="AL904" t="s">
        <v>26</v>
      </c>
      <c r="AM904" t="s">
        <v>26</v>
      </c>
      <c r="AN904" t="s">
        <v>26</v>
      </c>
      <c r="AO904" s="25" t="s">
        <v>28</v>
      </c>
      <c r="AP904" s="23" t="s">
        <v>29</v>
      </c>
      <c r="AQ904" s="23" t="s">
        <v>30</v>
      </c>
      <c r="AR904" s="23" t="s">
        <v>2282</v>
      </c>
      <c r="AS904" s="25">
        <v>2043184</v>
      </c>
      <c r="AT904" t="s">
        <v>26</v>
      </c>
      <c r="AU904" t="s">
        <v>23428</v>
      </c>
    </row>
    <row r="905" spans="1:47" ht="26.25" x14ac:dyDescent="0.4">
      <c r="A905" s="23" t="s">
        <v>2283</v>
      </c>
      <c r="B905" t="s">
        <v>26</v>
      </c>
      <c r="C905" s="23" t="s">
        <v>2284</v>
      </c>
      <c r="D905" s="23" t="s">
        <v>23429</v>
      </c>
      <c r="E905" s="23" t="s">
        <v>42</v>
      </c>
      <c r="F905" t="s">
        <v>26</v>
      </c>
      <c r="G905" t="s">
        <v>26</v>
      </c>
      <c r="H905" t="s">
        <v>26</v>
      </c>
      <c r="I905" s="24">
        <v>39630</v>
      </c>
      <c r="J905" s="24">
        <v>41456</v>
      </c>
      <c r="K905" t="s">
        <v>26</v>
      </c>
      <c r="L905" s="25" t="s">
        <v>68</v>
      </c>
      <c r="M905" s="24">
        <v>39630</v>
      </c>
      <c r="N905" s="24">
        <v>41456</v>
      </c>
      <c r="O905" t="s">
        <v>26</v>
      </c>
      <c r="P905" s="24">
        <v>39630</v>
      </c>
      <c r="Q905" s="24">
        <v>41456</v>
      </c>
      <c r="R905" t="s">
        <v>26</v>
      </c>
      <c r="S905" t="s">
        <v>26</v>
      </c>
      <c r="T905" t="s">
        <v>26</v>
      </c>
      <c r="U905" t="s">
        <v>26</v>
      </c>
      <c r="V905" t="s">
        <v>26</v>
      </c>
      <c r="W905" s="24">
        <v>39630</v>
      </c>
      <c r="X905" s="24">
        <v>41456</v>
      </c>
      <c r="Y905" t="s">
        <v>26</v>
      </c>
      <c r="Z905" s="24">
        <v>39630</v>
      </c>
      <c r="AA905" s="24">
        <v>41456</v>
      </c>
      <c r="AB905" t="s">
        <v>26</v>
      </c>
      <c r="AC905" s="24">
        <v>39630</v>
      </c>
      <c r="AD905" s="24">
        <v>41456</v>
      </c>
      <c r="AE905" t="s">
        <v>26</v>
      </c>
      <c r="AF905" t="s">
        <v>26</v>
      </c>
      <c r="AG905" t="s">
        <v>26</v>
      </c>
      <c r="AH905" t="s">
        <v>26</v>
      </c>
      <c r="AI905" t="s">
        <v>26</v>
      </c>
      <c r="AJ905" t="s">
        <v>26</v>
      </c>
      <c r="AK905" t="s">
        <v>26</v>
      </c>
      <c r="AL905" t="s">
        <v>26</v>
      </c>
      <c r="AM905" t="s">
        <v>26</v>
      </c>
      <c r="AN905" t="s">
        <v>26</v>
      </c>
      <c r="AO905" s="25" t="s">
        <v>68</v>
      </c>
      <c r="AP905" s="23" t="s">
        <v>69</v>
      </c>
      <c r="AQ905" s="23" t="s">
        <v>30</v>
      </c>
      <c r="AR905" s="23" t="s">
        <v>46</v>
      </c>
      <c r="AS905" s="25">
        <v>60372</v>
      </c>
      <c r="AT905" t="s">
        <v>26</v>
      </c>
      <c r="AU905" t="s">
        <v>23430</v>
      </c>
    </row>
    <row r="906" spans="1:47" ht="39.4" x14ac:dyDescent="0.4">
      <c r="A906" s="23" t="s">
        <v>2285</v>
      </c>
      <c r="B906" t="s">
        <v>26</v>
      </c>
      <c r="C906" s="23" t="s">
        <v>320</v>
      </c>
      <c r="D906" s="23" t="s">
        <v>22222</v>
      </c>
      <c r="E906" s="23" t="s">
        <v>42</v>
      </c>
      <c r="F906" s="25" t="s">
        <v>2286</v>
      </c>
      <c r="G906" s="25" t="s">
        <v>2287</v>
      </c>
      <c r="H906" t="s">
        <v>26</v>
      </c>
      <c r="I906" t="s">
        <v>26</v>
      </c>
      <c r="J906" t="s">
        <v>26</v>
      </c>
      <c r="K906" t="s">
        <v>26</v>
      </c>
      <c r="L906" s="25" t="s">
        <v>68</v>
      </c>
      <c r="M906" t="s">
        <v>26</v>
      </c>
      <c r="N906" t="s">
        <v>26</v>
      </c>
      <c r="O906" t="s">
        <v>26</v>
      </c>
      <c r="P906" t="s">
        <v>26</v>
      </c>
      <c r="Q906" t="s">
        <v>26</v>
      </c>
      <c r="R906" t="s">
        <v>26</v>
      </c>
      <c r="S906" t="s">
        <v>26</v>
      </c>
      <c r="T906" t="s">
        <v>26</v>
      </c>
      <c r="U906" t="s">
        <v>26</v>
      </c>
      <c r="V906" t="s">
        <v>26</v>
      </c>
      <c r="W906" s="24">
        <v>40544</v>
      </c>
      <c r="X906" s="25" t="s">
        <v>77</v>
      </c>
      <c r="Y906" t="s">
        <v>26</v>
      </c>
      <c r="Z906" s="24">
        <v>40544</v>
      </c>
      <c r="AA906" s="25" t="s">
        <v>77</v>
      </c>
      <c r="AB906" t="s">
        <v>26</v>
      </c>
      <c r="AC906" s="24">
        <v>40544</v>
      </c>
      <c r="AD906" s="25" t="s">
        <v>77</v>
      </c>
      <c r="AE906" t="s">
        <v>26</v>
      </c>
      <c r="AF906" t="s">
        <v>26</v>
      </c>
      <c r="AG906" t="s">
        <v>26</v>
      </c>
      <c r="AH906" t="s">
        <v>26</v>
      </c>
      <c r="AI906" t="s">
        <v>26</v>
      </c>
      <c r="AJ906" t="s">
        <v>26</v>
      </c>
      <c r="AK906" t="s">
        <v>26</v>
      </c>
      <c r="AL906" t="s">
        <v>26</v>
      </c>
      <c r="AM906" t="s">
        <v>26</v>
      </c>
      <c r="AN906" t="s">
        <v>26</v>
      </c>
      <c r="AO906" s="25" t="s">
        <v>68</v>
      </c>
      <c r="AP906" s="23" t="s">
        <v>69</v>
      </c>
      <c r="AQ906" s="23" t="s">
        <v>179</v>
      </c>
      <c r="AR906" s="23" t="s">
        <v>2288</v>
      </c>
      <c r="AS906" s="25">
        <v>1066361</v>
      </c>
      <c r="AT906" t="s">
        <v>26</v>
      </c>
      <c r="AU906" t="s">
        <v>23431</v>
      </c>
    </row>
    <row r="907" spans="1:47" ht="26.25" x14ac:dyDescent="0.4">
      <c r="A907" s="23" t="s">
        <v>2289</v>
      </c>
      <c r="B907" t="s">
        <v>26</v>
      </c>
      <c r="C907" s="23" t="s">
        <v>107</v>
      </c>
      <c r="D907" s="23" t="s">
        <v>22194</v>
      </c>
      <c r="E907" s="23" t="s">
        <v>42</v>
      </c>
      <c r="F907" s="25" t="s">
        <v>2290</v>
      </c>
      <c r="G907" s="25" t="s">
        <v>2291</v>
      </c>
      <c r="H907" t="s">
        <v>26</v>
      </c>
      <c r="I907" t="s">
        <v>26</v>
      </c>
      <c r="J907" t="s">
        <v>26</v>
      </c>
      <c r="K907" t="s">
        <v>26</v>
      </c>
      <c r="L907" s="25" t="s">
        <v>68</v>
      </c>
      <c r="M907" t="s">
        <v>26</v>
      </c>
      <c r="N907" t="s">
        <v>26</v>
      </c>
      <c r="O907" t="s">
        <v>26</v>
      </c>
      <c r="P907" t="s">
        <v>26</v>
      </c>
      <c r="Q907" t="s">
        <v>26</v>
      </c>
      <c r="R907" t="s">
        <v>26</v>
      </c>
      <c r="S907" t="s">
        <v>26</v>
      </c>
      <c r="T907" t="s">
        <v>26</v>
      </c>
      <c r="U907" t="s">
        <v>26</v>
      </c>
      <c r="V907" t="s">
        <v>26</v>
      </c>
      <c r="W907" s="24">
        <v>32509</v>
      </c>
      <c r="X907" s="25" t="s">
        <v>77</v>
      </c>
      <c r="Y907" t="s">
        <v>26</v>
      </c>
      <c r="Z907" s="24">
        <v>32509</v>
      </c>
      <c r="AA907" s="25" t="s">
        <v>77</v>
      </c>
      <c r="AB907" t="s">
        <v>26</v>
      </c>
      <c r="AC907" s="24">
        <v>32509</v>
      </c>
      <c r="AD907" s="25" t="s">
        <v>77</v>
      </c>
      <c r="AE907" t="s">
        <v>26</v>
      </c>
      <c r="AF907" t="s">
        <v>26</v>
      </c>
      <c r="AG907" t="s">
        <v>26</v>
      </c>
      <c r="AH907" t="s">
        <v>26</v>
      </c>
      <c r="AI907" t="s">
        <v>26</v>
      </c>
      <c r="AJ907" t="s">
        <v>26</v>
      </c>
      <c r="AK907" t="s">
        <v>26</v>
      </c>
      <c r="AL907" t="s">
        <v>26</v>
      </c>
      <c r="AM907" t="s">
        <v>26</v>
      </c>
      <c r="AN907" t="s">
        <v>26</v>
      </c>
      <c r="AO907" s="25" t="s">
        <v>68</v>
      </c>
      <c r="AP907" s="23" t="s">
        <v>69</v>
      </c>
      <c r="AQ907" s="23" t="s">
        <v>30</v>
      </c>
      <c r="AR907" s="23" t="s">
        <v>257</v>
      </c>
      <c r="AS907" s="25">
        <v>47859</v>
      </c>
      <c r="AT907" t="s">
        <v>26</v>
      </c>
      <c r="AU907" t="s">
        <v>23432</v>
      </c>
    </row>
    <row r="908" spans="1:47" ht="26.25" x14ac:dyDescent="0.4">
      <c r="A908" s="23" t="s">
        <v>2292</v>
      </c>
      <c r="B908" t="s">
        <v>26</v>
      </c>
      <c r="C908" s="23" t="s">
        <v>908</v>
      </c>
      <c r="D908" t="s">
        <v>26</v>
      </c>
      <c r="E908" s="23" t="s">
        <v>60</v>
      </c>
      <c r="F908" s="25" t="s">
        <v>2293</v>
      </c>
      <c r="G908" t="s">
        <v>26</v>
      </c>
      <c r="H908" t="s">
        <v>26</v>
      </c>
      <c r="I908" s="24">
        <v>28915</v>
      </c>
      <c r="J908" s="24">
        <v>28915</v>
      </c>
      <c r="K908" t="s">
        <v>26</v>
      </c>
      <c r="L908" s="25" t="s">
        <v>68</v>
      </c>
      <c r="M908" t="s">
        <v>26</v>
      </c>
      <c r="N908" t="s">
        <v>26</v>
      </c>
      <c r="O908" t="s">
        <v>26</v>
      </c>
      <c r="P908" s="24">
        <v>28915</v>
      </c>
      <c r="Q908" s="24">
        <v>28915</v>
      </c>
      <c r="R908" t="s">
        <v>26</v>
      </c>
      <c r="S908" t="s">
        <v>26</v>
      </c>
      <c r="T908" t="s">
        <v>26</v>
      </c>
      <c r="U908" t="s">
        <v>26</v>
      </c>
      <c r="V908" t="s">
        <v>26</v>
      </c>
      <c r="W908" s="24">
        <v>28915</v>
      </c>
      <c r="X908" s="24">
        <v>28915</v>
      </c>
      <c r="Y908" t="s">
        <v>26</v>
      </c>
      <c r="Z908" s="24">
        <v>28915</v>
      </c>
      <c r="AA908" s="24">
        <v>28915</v>
      </c>
      <c r="AB908" t="s">
        <v>26</v>
      </c>
      <c r="AC908" s="24">
        <v>28915</v>
      </c>
      <c r="AD908" s="24">
        <v>28915</v>
      </c>
      <c r="AE908" t="s">
        <v>26</v>
      </c>
      <c r="AF908" t="s">
        <v>26</v>
      </c>
      <c r="AG908" t="s">
        <v>26</v>
      </c>
      <c r="AH908" t="s">
        <v>26</v>
      </c>
      <c r="AI908" t="s">
        <v>26</v>
      </c>
      <c r="AJ908" t="s">
        <v>26</v>
      </c>
      <c r="AK908" t="s">
        <v>26</v>
      </c>
      <c r="AL908" t="s">
        <v>26</v>
      </c>
      <c r="AM908" t="s">
        <v>26</v>
      </c>
      <c r="AN908" t="s">
        <v>26</v>
      </c>
      <c r="AO908" s="25" t="s">
        <v>68</v>
      </c>
      <c r="AP908" s="23" t="s">
        <v>69</v>
      </c>
      <c r="AQ908" s="23" t="s">
        <v>30</v>
      </c>
      <c r="AR908" s="23" t="s">
        <v>277</v>
      </c>
      <c r="AS908" s="25">
        <v>2041061</v>
      </c>
      <c r="AT908" t="s">
        <v>26</v>
      </c>
      <c r="AU908" t="s">
        <v>23433</v>
      </c>
    </row>
    <row r="909" spans="1:47" ht="26.25" x14ac:dyDescent="0.4">
      <c r="A909" s="23" t="s">
        <v>2294</v>
      </c>
      <c r="B909" t="s">
        <v>26</v>
      </c>
      <c r="C909" s="23" t="s">
        <v>167</v>
      </c>
      <c r="D909" s="23" t="s">
        <v>23434</v>
      </c>
      <c r="E909" s="23" t="s">
        <v>60</v>
      </c>
      <c r="F909" s="25" t="s">
        <v>2295</v>
      </c>
      <c r="G909" s="25" t="s">
        <v>2296</v>
      </c>
      <c r="H909" t="s">
        <v>26</v>
      </c>
      <c r="I909" s="24">
        <v>40969</v>
      </c>
      <c r="J909" s="25" t="s">
        <v>77</v>
      </c>
      <c r="K909" t="s">
        <v>26</v>
      </c>
      <c r="L909" s="25" t="s">
        <v>68</v>
      </c>
      <c r="M909" s="24">
        <v>40969</v>
      </c>
      <c r="N909" s="25" t="s">
        <v>77</v>
      </c>
      <c r="O909" t="s">
        <v>26</v>
      </c>
      <c r="P909" s="24">
        <v>40969</v>
      </c>
      <c r="Q909" s="25" t="s">
        <v>77</v>
      </c>
      <c r="R909" t="s">
        <v>26</v>
      </c>
      <c r="S909" t="s">
        <v>26</v>
      </c>
      <c r="T909" t="s">
        <v>26</v>
      </c>
      <c r="U909" t="s">
        <v>26</v>
      </c>
      <c r="V909" t="s">
        <v>26</v>
      </c>
      <c r="W909" s="24">
        <v>40969</v>
      </c>
      <c r="X909" s="25" t="s">
        <v>77</v>
      </c>
      <c r="Y909" t="s">
        <v>26</v>
      </c>
      <c r="Z909" s="24">
        <v>40969</v>
      </c>
      <c r="AA909" s="25" t="s">
        <v>77</v>
      </c>
      <c r="AB909" t="s">
        <v>26</v>
      </c>
      <c r="AC909" s="24">
        <v>40969</v>
      </c>
      <c r="AD909" s="25" t="s">
        <v>77</v>
      </c>
      <c r="AE909" t="s">
        <v>26</v>
      </c>
      <c r="AF909" t="s">
        <v>26</v>
      </c>
      <c r="AG909" t="s">
        <v>26</v>
      </c>
      <c r="AH909" t="s">
        <v>26</v>
      </c>
      <c r="AI909" t="s">
        <v>26</v>
      </c>
      <c r="AJ909" t="s">
        <v>26</v>
      </c>
      <c r="AK909" t="s">
        <v>26</v>
      </c>
      <c r="AL909" t="s">
        <v>26</v>
      </c>
      <c r="AM909" t="s">
        <v>26</v>
      </c>
      <c r="AN909" t="s">
        <v>26</v>
      </c>
      <c r="AO909" s="25" t="s">
        <v>68</v>
      </c>
      <c r="AP909" s="23" t="s">
        <v>69</v>
      </c>
      <c r="AQ909" s="23" t="s">
        <v>2297</v>
      </c>
      <c r="AR909" s="23" t="s">
        <v>2298</v>
      </c>
      <c r="AS909" s="25">
        <v>1586337</v>
      </c>
      <c r="AT909" t="s">
        <v>26</v>
      </c>
      <c r="AU909" t="s">
        <v>23435</v>
      </c>
    </row>
    <row r="910" spans="1:47" ht="26.25" x14ac:dyDescent="0.4">
      <c r="A910" s="23" t="s">
        <v>2299</v>
      </c>
      <c r="B910" t="s">
        <v>26</v>
      </c>
      <c r="C910" s="23" t="s">
        <v>320</v>
      </c>
      <c r="D910" s="23" t="s">
        <v>22294</v>
      </c>
      <c r="E910" s="23" t="s">
        <v>42</v>
      </c>
      <c r="F910" s="25" t="s">
        <v>2300</v>
      </c>
      <c r="G910" s="25" t="s">
        <v>2301</v>
      </c>
      <c r="H910" t="s">
        <v>26</v>
      </c>
      <c r="I910" t="s">
        <v>26</v>
      </c>
      <c r="J910" t="s">
        <v>26</v>
      </c>
      <c r="K910" t="s">
        <v>26</v>
      </c>
      <c r="L910" s="25" t="s">
        <v>68</v>
      </c>
      <c r="M910" t="s">
        <v>26</v>
      </c>
      <c r="N910" t="s">
        <v>26</v>
      </c>
      <c r="O910" t="s">
        <v>26</v>
      </c>
      <c r="P910" t="s">
        <v>26</v>
      </c>
      <c r="Q910" t="s">
        <v>26</v>
      </c>
      <c r="R910" t="s">
        <v>26</v>
      </c>
      <c r="S910" t="s">
        <v>26</v>
      </c>
      <c r="T910" t="s">
        <v>26</v>
      </c>
      <c r="U910" t="s">
        <v>26</v>
      </c>
      <c r="V910" t="s">
        <v>26</v>
      </c>
      <c r="W910" s="24">
        <v>40544</v>
      </c>
      <c r="X910" s="25" t="s">
        <v>77</v>
      </c>
      <c r="Y910" t="s">
        <v>26</v>
      </c>
      <c r="Z910" s="24">
        <v>40544</v>
      </c>
      <c r="AA910" s="25" t="s">
        <v>77</v>
      </c>
      <c r="AB910" t="s">
        <v>26</v>
      </c>
      <c r="AC910" s="24">
        <v>40544</v>
      </c>
      <c r="AD910" s="25" t="s">
        <v>77</v>
      </c>
      <c r="AE910" t="s">
        <v>26</v>
      </c>
      <c r="AF910" t="s">
        <v>26</v>
      </c>
      <c r="AG910" t="s">
        <v>26</v>
      </c>
      <c r="AH910" t="s">
        <v>26</v>
      </c>
      <c r="AI910" t="s">
        <v>26</v>
      </c>
      <c r="AJ910" t="s">
        <v>26</v>
      </c>
      <c r="AK910" t="s">
        <v>26</v>
      </c>
      <c r="AL910" t="s">
        <v>26</v>
      </c>
      <c r="AM910" t="s">
        <v>26</v>
      </c>
      <c r="AN910" t="s">
        <v>26</v>
      </c>
      <c r="AO910" s="25" t="s">
        <v>68</v>
      </c>
      <c r="AP910" s="23" t="s">
        <v>69</v>
      </c>
      <c r="AQ910" s="23" t="s">
        <v>30</v>
      </c>
      <c r="AR910" s="23" t="s">
        <v>70</v>
      </c>
      <c r="AS910" s="25">
        <v>1066359</v>
      </c>
      <c r="AT910" t="s">
        <v>26</v>
      </c>
      <c r="AU910" t="s">
        <v>23436</v>
      </c>
    </row>
    <row r="911" spans="1:47" ht="26.25" x14ac:dyDescent="0.4">
      <c r="A911" s="23" t="s">
        <v>2302</v>
      </c>
      <c r="B911" t="s">
        <v>26</v>
      </c>
      <c r="C911" s="23" t="s">
        <v>259</v>
      </c>
      <c r="D911" s="23" t="s">
        <v>22179</v>
      </c>
      <c r="E911" s="23" t="s">
        <v>60</v>
      </c>
      <c r="F911" s="25" t="s">
        <v>2303</v>
      </c>
      <c r="G911" s="25" t="s">
        <v>2304</v>
      </c>
      <c r="H911" t="s">
        <v>26</v>
      </c>
      <c r="I911" s="24">
        <v>40179</v>
      </c>
      <c r="J911" s="24">
        <v>42736</v>
      </c>
      <c r="K911" s="25" t="s">
        <v>262</v>
      </c>
      <c r="L911" s="25" t="s">
        <v>68</v>
      </c>
      <c r="M911" s="24">
        <v>40179</v>
      </c>
      <c r="N911" s="24">
        <v>42736</v>
      </c>
      <c r="O911" s="25" t="s">
        <v>262</v>
      </c>
      <c r="P911" s="24">
        <v>40179</v>
      </c>
      <c r="Q911" s="24">
        <v>42736</v>
      </c>
      <c r="R911" s="25" t="s">
        <v>262</v>
      </c>
      <c r="S911" t="s">
        <v>26</v>
      </c>
      <c r="T911" t="s">
        <v>26</v>
      </c>
      <c r="U911" t="s">
        <v>26</v>
      </c>
      <c r="V911" t="s">
        <v>26</v>
      </c>
      <c r="W911" s="24">
        <v>40179</v>
      </c>
      <c r="X911" s="24">
        <v>42736</v>
      </c>
      <c r="Y911" s="25" t="s">
        <v>262</v>
      </c>
      <c r="Z911" s="24">
        <v>40179</v>
      </c>
      <c r="AA911" s="24">
        <v>42736</v>
      </c>
      <c r="AB911" s="25" t="s">
        <v>262</v>
      </c>
      <c r="AC911" s="24">
        <v>40179</v>
      </c>
      <c r="AD911" s="24">
        <v>42736</v>
      </c>
      <c r="AE911" s="25" t="s">
        <v>262</v>
      </c>
      <c r="AF911" t="s">
        <v>26</v>
      </c>
      <c r="AG911" t="s">
        <v>26</v>
      </c>
      <c r="AH911" t="s">
        <v>26</v>
      </c>
      <c r="AI911" t="s">
        <v>26</v>
      </c>
      <c r="AJ911" t="s">
        <v>26</v>
      </c>
      <c r="AK911" t="s">
        <v>26</v>
      </c>
      <c r="AL911" t="s">
        <v>26</v>
      </c>
      <c r="AM911" t="s">
        <v>26</v>
      </c>
      <c r="AN911" t="s">
        <v>26</v>
      </c>
      <c r="AO911" s="25" t="s">
        <v>68</v>
      </c>
      <c r="AP911" s="23" t="s">
        <v>69</v>
      </c>
      <c r="AQ911" s="23" t="s">
        <v>30</v>
      </c>
      <c r="AR911" s="23" t="s">
        <v>1261</v>
      </c>
      <c r="AS911" s="25">
        <v>2037464</v>
      </c>
      <c r="AT911" t="s">
        <v>26</v>
      </c>
      <c r="AU911" t="s">
        <v>23437</v>
      </c>
    </row>
    <row r="912" spans="1:47" ht="26.25" x14ac:dyDescent="0.4">
      <c r="A912" s="23" t="s">
        <v>2305</v>
      </c>
      <c r="B912" t="s">
        <v>26</v>
      </c>
      <c r="C912" s="23" t="s">
        <v>167</v>
      </c>
      <c r="D912" s="23" t="s">
        <v>22218</v>
      </c>
      <c r="E912" s="23" t="s">
        <v>60</v>
      </c>
      <c r="F912" s="25" t="s">
        <v>2306</v>
      </c>
      <c r="G912" s="25" t="s">
        <v>2307</v>
      </c>
      <c r="H912" t="s">
        <v>26</v>
      </c>
      <c r="I912" s="24">
        <v>40969</v>
      </c>
      <c r="J912" s="25" t="s">
        <v>77</v>
      </c>
      <c r="K912" t="s">
        <v>26</v>
      </c>
      <c r="L912" s="25" t="s">
        <v>68</v>
      </c>
      <c r="M912" s="24">
        <v>40969</v>
      </c>
      <c r="N912" s="25" t="s">
        <v>77</v>
      </c>
      <c r="O912" t="s">
        <v>26</v>
      </c>
      <c r="P912" s="24">
        <v>40969</v>
      </c>
      <c r="Q912" s="25" t="s">
        <v>77</v>
      </c>
      <c r="R912" t="s">
        <v>26</v>
      </c>
      <c r="S912" t="s">
        <v>26</v>
      </c>
      <c r="T912" t="s">
        <v>26</v>
      </c>
      <c r="U912" t="s">
        <v>26</v>
      </c>
      <c r="V912" s="25">
        <v>365</v>
      </c>
      <c r="W912" s="24">
        <v>40969</v>
      </c>
      <c r="X912" s="25" t="s">
        <v>77</v>
      </c>
      <c r="Y912" t="s">
        <v>26</v>
      </c>
      <c r="Z912" s="24">
        <v>40969</v>
      </c>
      <c r="AA912" s="25" t="s">
        <v>77</v>
      </c>
      <c r="AB912" t="s">
        <v>26</v>
      </c>
      <c r="AC912" s="24">
        <v>40969</v>
      </c>
      <c r="AD912" s="25" t="s">
        <v>77</v>
      </c>
      <c r="AE912" t="s">
        <v>26</v>
      </c>
      <c r="AF912" t="s">
        <v>26</v>
      </c>
      <c r="AG912" t="s">
        <v>26</v>
      </c>
      <c r="AH912" t="s">
        <v>26</v>
      </c>
      <c r="AI912" t="s">
        <v>26</v>
      </c>
      <c r="AJ912" t="s">
        <v>26</v>
      </c>
      <c r="AK912" t="s">
        <v>26</v>
      </c>
      <c r="AL912" t="s">
        <v>26</v>
      </c>
      <c r="AM912" t="s">
        <v>26</v>
      </c>
      <c r="AN912" t="s">
        <v>26</v>
      </c>
      <c r="AO912" s="25" t="s">
        <v>68</v>
      </c>
      <c r="AP912" s="23" t="s">
        <v>69</v>
      </c>
      <c r="AQ912" s="23" t="s">
        <v>30</v>
      </c>
      <c r="AR912" s="23" t="s">
        <v>152</v>
      </c>
      <c r="AS912" s="25">
        <v>1586353</v>
      </c>
      <c r="AT912" t="s">
        <v>26</v>
      </c>
      <c r="AU912" t="s">
        <v>23438</v>
      </c>
    </row>
    <row r="913" spans="1:47" ht="39.4" x14ac:dyDescent="0.4">
      <c r="A913" s="23" t="s">
        <v>2308</v>
      </c>
      <c r="B913" t="s">
        <v>26</v>
      </c>
      <c r="C913" s="23" t="s">
        <v>146</v>
      </c>
      <c r="D913" s="23" t="s">
        <v>22174</v>
      </c>
      <c r="E913" s="23" t="s">
        <v>60</v>
      </c>
      <c r="F913" t="s">
        <v>26</v>
      </c>
      <c r="G913" t="s">
        <v>26</v>
      </c>
      <c r="H913" t="s">
        <v>26</v>
      </c>
      <c r="I913" t="s">
        <v>26</v>
      </c>
      <c r="J913" t="s">
        <v>26</v>
      </c>
      <c r="K913" t="s">
        <v>26</v>
      </c>
      <c r="L913" s="25" t="s">
        <v>28</v>
      </c>
      <c r="M913" t="s">
        <v>26</v>
      </c>
      <c r="N913" t="s">
        <v>26</v>
      </c>
      <c r="O913" t="s">
        <v>26</v>
      </c>
      <c r="P913" t="s">
        <v>26</v>
      </c>
      <c r="Q913" t="s">
        <v>26</v>
      </c>
      <c r="R913" t="s">
        <v>26</v>
      </c>
      <c r="S913" t="s">
        <v>26</v>
      </c>
      <c r="T913" t="s">
        <v>26</v>
      </c>
      <c r="U913" t="s">
        <v>26</v>
      </c>
      <c r="V913" t="s">
        <v>26</v>
      </c>
      <c r="W913" s="24">
        <v>42005</v>
      </c>
      <c r="X913" s="24">
        <v>42005</v>
      </c>
      <c r="Y913" t="s">
        <v>26</v>
      </c>
      <c r="Z913" s="24">
        <v>42005</v>
      </c>
      <c r="AA913" s="24">
        <v>42005</v>
      </c>
      <c r="AB913" t="s">
        <v>26</v>
      </c>
      <c r="AC913" t="s">
        <v>26</v>
      </c>
      <c r="AD913" t="s">
        <v>26</v>
      </c>
      <c r="AE913" t="s">
        <v>26</v>
      </c>
      <c r="AF913" t="s">
        <v>26</v>
      </c>
      <c r="AG913" t="s">
        <v>26</v>
      </c>
      <c r="AH913" t="s">
        <v>26</v>
      </c>
      <c r="AI913" t="s">
        <v>26</v>
      </c>
      <c r="AJ913" t="s">
        <v>26</v>
      </c>
      <c r="AK913" t="s">
        <v>26</v>
      </c>
      <c r="AL913" t="s">
        <v>26</v>
      </c>
      <c r="AM913" t="s">
        <v>26</v>
      </c>
      <c r="AN913" t="s">
        <v>26</v>
      </c>
      <c r="AO913" s="25" t="s">
        <v>28</v>
      </c>
      <c r="AP913" s="23" t="s">
        <v>29</v>
      </c>
      <c r="AQ913" s="23" t="s">
        <v>30</v>
      </c>
      <c r="AR913" s="23" t="s">
        <v>245</v>
      </c>
      <c r="AS913" s="25">
        <v>5483618</v>
      </c>
      <c r="AT913" s="23" t="s">
        <v>22181</v>
      </c>
      <c r="AU913" t="s">
        <v>23439</v>
      </c>
    </row>
    <row r="914" spans="1:47" ht="26.25" x14ac:dyDescent="0.4">
      <c r="A914" s="23" t="s">
        <v>2309</v>
      </c>
      <c r="B914" t="s">
        <v>26</v>
      </c>
      <c r="C914" s="23" t="s">
        <v>48</v>
      </c>
      <c r="D914" s="23" t="s">
        <v>22168</v>
      </c>
      <c r="E914" s="23" t="s">
        <v>42</v>
      </c>
      <c r="F914" t="s">
        <v>26</v>
      </c>
      <c r="G914" t="s">
        <v>26</v>
      </c>
      <c r="H914" t="s">
        <v>26</v>
      </c>
      <c r="I914" s="24">
        <v>41640</v>
      </c>
      <c r="J914" s="24">
        <v>42005</v>
      </c>
      <c r="K914" t="s">
        <v>26</v>
      </c>
      <c r="L914" s="25" t="s">
        <v>28</v>
      </c>
      <c r="M914" t="s">
        <v>26</v>
      </c>
      <c r="N914" t="s">
        <v>26</v>
      </c>
      <c r="O914" t="s">
        <v>26</v>
      </c>
      <c r="P914" s="24">
        <v>41640</v>
      </c>
      <c r="Q914" s="24">
        <v>42005</v>
      </c>
      <c r="R914" t="s">
        <v>26</v>
      </c>
      <c r="S914" t="s">
        <v>26</v>
      </c>
      <c r="T914" t="s">
        <v>26</v>
      </c>
      <c r="U914" t="s">
        <v>26</v>
      </c>
      <c r="V914" t="s">
        <v>26</v>
      </c>
      <c r="W914" s="24">
        <v>41640</v>
      </c>
      <c r="X914" s="24">
        <v>42005</v>
      </c>
      <c r="Y914" t="s">
        <v>26</v>
      </c>
      <c r="Z914" s="24">
        <v>41640</v>
      </c>
      <c r="AA914" s="24">
        <v>42005</v>
      </c>
      <c r="AB914" t="s">
        <v>26</v>
      </c>
      <c r="AC914" s="24">
        <v>41640</v>
      </c>
      <c r="AD914" s="24">
        <v>42005</v>
      </c>
      <c r="AE914" t="s">
        <v>26</v>
      </c>
      <c r="AF914" t="s">
        <v>26</v>
      </c>
      <c r="AG914" t="s">
        <v>26</v>
      </c>
      <c r="AH914" t="s">
        <v>26</v>
      </c>
      <c r="AI914" t="s">
        <v>26</v>
      </c>
      <c r="AJ914" t="s">
        <v>26</v>
      </c>
      <c r="AK914" t="s">
        <v>26</v>
      </c>
      <c r="AL914" t="s">
        <v>26</v>
      </c>
      <c r="AM914" t="s">
        <v>26</v>
      </c>
      <c r="AN914" t="s">
        <v>26</v>
      </c>
      <c r="AO914" s="25" t="s">
        <v>28</v>
      </c>
      <c r="AP914" s="23" t="s">
        <v>29</v>
      </c>
      <c r="AQ914" s="23" t="s">
        <v>30</v>
      </c>
      <c r="AR914" s="23" t="s">
        <v>46</v>
      </c>
      <c r="AS914" s="25">
        <v>6275770</v>
      </c>
      <c r="AT914" t="s">
        <v>26</v>
      </c>
      <c r="AU914" t="s">
        <v>23440</v>
      </c>
    </row>
    <row r="915" spans="1:47" ht="26.25" x14ac:dyDescent="0.4">
      <c r="A915" s="23" t="s">
        <v>2310</v>
      </c>
      <c r="B915" t="s">
        <v>26</v>
      </c>
      <c r="C915" s="23" t="s">
        <v>2311</v>
      </c>
      <c r="D915" s="23" t="s">
        <v>23026</v>
      </c>
      <c r="E915" s="23" t="s">
        <v>120</v>
      </c>
      <c r="F915" s="25" t="s">
        <v>2312</v>
      </c>
      <c r="G915" s="25" t="s">
        <v>2313</v>
      </c>
      <c r="H915" t="s">
        <v>26</v>
      </c>
      <c r="I915" s="24">
        <v>41640</v>
      </c>
      <c r="J915" s="24">
        <v>43647</v>
      </c>
      <c r="K915" t="s">
        <v>26</v>
      </c>
      <c r="L915" s="25" t="s">
        <v>68</v>
      </c>
      <c r="M915" s="24">
        <v>41640</v>
      </c>
      <c r="N915" s="24">
        <v>43647</v>
      </c>
      <c r="O915" t="s">
        <v>26</v>
      </c>
      <c r="P915" s="24">
        <v>41640</v>
      </c>
      <c r="Q915" s="24">
        <v>43647</v>
      </c>
      <c r="R915" t="s">
        <v>26</v>
      </c>
      <c r="S915" t="s">
        <v>26</v>
      </c>
      <c r="T915" t="s">
        <v>26</v>
      </c>
      <c r="U915" t="s">
        <v>26</v>
      </c>
      <c r="V915" t="s">
        <v>26</v>
      </c>
      <c r="W915" s="24">
        <v>41640</v>
      </c>
      <c r="X915" s="24">
        <v>43647</v>
      </c>
      <c r="Y915" t="s">
        <v>26</v>
      </c>
      <c r="Z915" s="24">
        <v>41640</v>
      </c>
      <c r="AA915" s="24">
        <v>43647</v>
      </c>
      <c r="AB915" t="s">
        <v>26</v>
      </c>
      <c r="AC915" s="24">
        <v>41640</v>
      </c>
      <c r="AD915" s="24">
        <v>43647</v>
      </c>
      <c r="AE915" t="s">
        <v>26</v>
      </c>
      <c r="AF915" t="s">
        <v>26</v>
      </c>
      <c r="AG915" t="s">
        <v>26</v>
      </c>
      <c r="AH915" t="s">
        <v>26</v>
      </c>
      <c r="AI915" t="s">
        <v>26</v>
      </c>
      <c r="AJ915" t="s">
        <v>26</v>
      </c>
      <c r="AK915" t="s">
        <v>26</v>
      </c>
      <c r="AL915" t="s">
        <v>26</v>
      </c>
      <c r="AM915" t="s">
        <v>26</v>
      </c>
      <c r="AN915" t="s">
        <v>26</v>
      </c>
      <c r="AO915" s="25" t="s">
        <v>68</v>
      </c>
      <c r="AP915" s="23" t="s">
        <v>69</v>
      </c>
      <c r="AQ915" s="23" t="s">
        <v>2314</v>
      </c>
      <c r="AR915" s="23" t="s">
        <v>46</v>
      </c>
      <c r="AS915" s="25">
        <v>2035941</v>
      </c>
      <c r="AT915" t="s">
        <v>26</v>
      </c>
      <c r="AU915" t="s">
        <v>23441</v>
      </c>
    </row>
    <row r="916" spans="1:47" ht="26.25" x14ac:dyDescent="0.4">
      <c r="A916" s="23" t="s">
        <v>2315</v>
      </c>
      <c r="B916" t="s">
        <v>26</v>
      </c>
      <c r="C916" s="23" t="s">
        <v>1958</v>
      </c>
      <c r="D916" s="23" t="s">
        <v>22174</v>
      </c>
      <c r="E916" s="23" t="s">
        <v>60</v>
      </c>
      <c r="F916" s="25" t="s">
        <v>2316</v>
      </c>
      <c r="G916" s="25" t="s">
        <v>2317</v>
      </c>
      <c r="H916" t="s">
        <v>26</v>
      </c>
      <c r="I916" t="s">
        <v>26</v>
      </c>
      <c r="J916" t="s">
        <v>26</v>
      </c>
      <c r="K916" t="s">
        <v>26</v>
      </c>
      <c r="L916" s="25" t="s">
        <v>68</v>
      </c>
      <c r="M916" t="s">
        <v>26</v>
      </c>
      <c r="N916" t="s">
        <v>26</v>
      </c>
      <c r="O916" t="s">
        <v>26</v>
      </c>
      <c r="P916" t="s">
        <v>26</v>
      </c>
      <c r="Q916" t="s">
        <v>26</v>
      </c>
      <c r="R916" t="s">
        <v>26</v>
      </c>
      <c r="S916" t="s">
        <v>26</v>
      </c>
      <c r="T916" t="s">
        <v>26</v>
      </c>
      <c r="U916" t="s">
        <v>26</v>
      </c>
      <c r="V916" t="s">
        <v>26</v>
      </c>
      <c r="W916" s="24">
        <v>33604</v>
      </c>
      <c r="X916" s="25" t="s">
        <v>77</v>
      </c>
      <c r="Y916" s="25" t="s">
        <v>587</v>
      </c>
      <c r="Z916" s="24">
        <v>33604</v>
      </c>
      <c r="AA916" s="25" t="s">
        <v>77</v>
      </c>
      <c r="AB916" s="25" t="s">
        <v>587</v>
      </c>
      <c r="AC916" s="24">
        <v>33604</v>
      </c>
      <c r="AD916" s="25" t="s">
        <v>77</v>
      </c>
      <c r="AE916" s="25" t="s">
        <v>587</v>
      </c>
      <c r="AF916" t="s">
        <v>26</v>
      </c>
      <c r="AG916" t="s">
        <v>26</v>
      </c>
      <c r="AH916" t="s">
        <v>26</v>
      </c>
      <c r="AI916" t="s">
        <v>26</v>
      </c>
      <c r="AJ916" t="s">
        <v>26</v>
      </c>
      <c r="AK916" t="s">
        <v>26</v>
      </c>
      <c r="AL916" t="s">
        <v>26</v>
      </c>
      <c r="AM916" t="s">
        <v>26</v>
      </c>
      <c r="AN916" t="s">
        <v>26</v>
      </c>
      <c r="AO916" s="25" t="s">
        <v>68</v>
      </c>
      <c r="AP916" s="23" t="s">
        <v>69</v>
      </c>
      <c r="AQ916" s="23" t="s">
        <v>30</v>
      </c>
      <c r="AR916" s="23" t="s">
        <v>2318</v>
      </c>
      <c r="AS916" s="25">
        <v>33733</v>
      </c>
      <c r="AT916" t="s">
        <v>26</v>
      </c>
      <c r="AU916" t="s">
        <v>23442</v>
      </c>
    </row>
    <row r="917" spans="1:47" ht="26.25" x14ac:dyDescent="0.4">
      <c r="A917" s="23" t="s">
        <v>2319</v>
      </c>
      <c r="B917" t="s">
        <v>26</v>
      </c>
      <c r="C917" s="23" t="s">
        <v>2320</v>
      </c>
      <c r="D917" s="23" t="s">
        <v>22307</v>
      </c>
      <c r="E917" s="23" t="s">
        <v>42</v>
      </c>
      <c r="F917" s="25" t="s">
        <v>2321</v>
      </c>
      <c r="G917" s="25" t="s">
        <v>2322</v>
      </c>
      <c r="H917" t="s">
        <v>26</v>
      </c>
      <c r="I917" t="s">
        <v>26</v>
      </c>
      <c r="J917" t="s">
        <v>26</v>
      </c>
      <c r="K917" t="s">
        <v>26</v>
      </c>
      <c r="L917" s="25" t="s">
        <v>68</v>
      </c>
      <c r="M917" t="s">
        <v>26</v>
      </c>
      <c r="N917" t="s">
        <v>26</v>
      </c>
      <c r="O917" t="s">
        <v>26</v>
      </c>
      <c r="P917" t="s">
        <v>26</v>
      </c>
      <c r="Q917" t="s">
        <v>26</v>
      </c>
      <c r="R917" t="s">
        <v>26</v>
      </c>
      <c r="S917" t="s">
        <v>26</v>
      </c>
      <c r="T917" t="s">
        <v>26</v>
      </c>
      <c r="U917" t="s">
        <v>26</v>
      </c>
      <c r="V917" t="s">
        <v>26</v>
      </c>
      <c r="W917" s="24">
        <v>42917</v>
      </c>
      <c r="X917" s="25" t="s">
        <v>77</v>
      </c>
      <c r="Y917" t="s">
        <v>26</v>
      </c>
      <c r="Z917" s="24">
        <v>42917</v>
      </c>
      <c r="AA917" s="25" t="s">
        <v>77</v>
      </c>
      <c r="AB917" t="s">
        <v>26</v>
      </c>
      <c r="AC917" s="24">
        <v>42917</v>
      </c>
      <c r="AD917" s="25" t="s">
        <v>77</v>
      </c>
      <c r="AE917" t="s">
        <v>26</v>
      </c>
      <c r="AF917" t="s">
        <v>26</v>
      </c>
      <c r="AG917" t="s">
        <v>26</v>
      </c>
      <c r="AH917" t="s">
        <v>26</v>
      </c>
      <c r="AI917" t="s">
        <v>26</v>
      </c>
      <c r="AJ917" t="s">
        <v>26</v>
      </c>
      <c r="AK917" t="s">
        <v>26</v>
      </c>
      <c r="AL917" t="s">
        <v>26</v>
      </c>
      <c r="AM917" t="s">
        <v>26</v>
      </c>
      <c r="AN917" t="s">
        <v>26</v>
      </c>
      <c r="AO917" s="25" t="s">
        <v>68</v>
      </c>
      <c r="AP917" s="23" t="s">
        <v>69</v>
      </c>
      <c r="AQ917" s="23" t="s">
        <v>30</v>
      </c>
      <c r="AR917" s="23" t="s">
        <v>2318</v>
      </c>
      <c r="AS917" s="25">
        <v>2048876</v>
      </c>
      <c r="AT917" t="s">
        <v>26</v>
      </c>
      <c r="AU917" t="s">
        <v>23443</v>
      </c>
    </row>
    <row r="918" spans="1:47" ht="26.25" x14ac:dyDescent="0.4">
      <c r="A918" s="23" t="s">
        <v>14642</v>
      </c>
      <c r="B918" t="s">
        <v>26</v>
      </c>
      <c r="C918" s="23" t="s">
        <v>22163</v>
      </c>
      <c r="D918" s="23" t="s">
        <v>22701</v>
      </c>
      <c r="E918" s="23" t="s">
        <v>42</v>
      </c>
      <c r="F918" t="s">
        <v>26</v>
      </c>
      <c r="G918" t="s">
        <v>26</v>
      </c>
      <c r="H918" t="s">
        <v>26</v>
      </c>
      <c r="I918" t="s">
        <v>26</v>
      </c>
      <c r="J918" t="s">
        <v>26</v>
      </c>
      <c r="K918" t="s">
        <v>26</v>
      </c>
      <c r="L918" s="25" t="s">
        <v>28</v>
      </c>
      <c r="M918" t="s">
        <v>26</v>
      </c>
      <c r="N918" t="s">
        <v>26</v>
      </c>
      <c r="O918" t="s">
        <v>26</v>
      </c>
      <c r="P918" t="s">
        <v>26</v>
      </c>
      <c r="Q918" t="s">
        <v>26</v>
      </c>
      <c r="R918" t="s">
        <v>26</v>
      </c>
      <c r="S918" t="s">
        <v>26</v>
      </c>
      <c r="T918" t="s">
        <v>26</v>
      </c>
      <c r="U918" t="s">
        <v>26</v>
      </c>
      <c r="V918" t="s">
        <v>26</v>
      </c>
      <c r="W918" s="24">
        <v>33604</v>
      </c>
      <c r="X918" s="24">
        <v>41576</v>
      </c>
      <c r="Y918" t="s">
        <v>26</v>
      </c>
      <c r="Z918" s="24">
        <v>33604</v>
      </c>
      <c r="AA918" s="24">
        <v>41576</v>
      </c>
      <c r="AB918" t="s">
        <v>26</v>
      </c>
      <c r="AC918" t="s">
        <v>26</v>
      </c>
      <c r="AD918" t="s">
        <v>26</v>
      </c>
      <c r="AE918" t="s">
        <v>26</v>
      </c>
      <c r="AF918" t="s">
        <v>26</v>
      </c>
      <c r="AG918" t="s">
        <v>26</v>
      </c>
      <c r="AH918" t="s">
        <v>26</v>
      </c>
      <c r="AI918" t="s">
        <v>26</v>
      </c>
      <c r="AJ918" t="s">
        <v>26</v>
      </c>
      <c r="AK918" t="s">
        <v>26</v>
      </c>
      <c r="AL918" t="s">
        <v>26</v>
      </c>
      <c r="AM918" t="s">
        <v>26</v>
      </c>
      <c r="AN918" t="s">
        <v>26</v>
      </c>
      <c r="AO918" s="25" t="s">
        <v>28</v>
      </c>
      <c r="AP918" s="23" t="s">
        <v>43</v>
      </c>
      <c r="AQ918" s="23" t="s">
        <v>30</v>
      </c>
      <c r="AR918" s="23" t="s">
        <v>46</v>
      </c>
      <c r="AS918" s="25">
        <v>6362747</v>
      </c>
      <c r="AT918" t="s">
        <v>26</v>
      </c>
      <c r="AU918" t="s">
        <v>23444</v>
      </c>
    </row>
    <row r="919" spans="1:47" ht="26.25" x14ac:dyDescent="0.4">
      <c r="A919" s="23" t="s">
        <v>2323</v>
      </c>
      <c r="B919" t="s">
        <v>26</v>
      </c>
      <c r="C919" s="23" t="s">
        <v>1612</v>
      </c>
      <c r="D919" s="23" t="s">
        <v>23047</v>
      </c>
      <c r="E919" s="23" t="s">
        <v>42</v>
      </c>
      <c r="F919" t="s">
        <v>26</v>
      </c>
      <c r="G919" t="s">
        <v>26</v>
      </c>
      <c r="H919" t="s">
        <v>26</v>
      </c>
      <c r="I919" t="s">
        <v>26</v>
      </c>
      <c r="J919" t="s">
        <v>26</v>
      </c>
      <c r="K919" t="s">
        <v>26</v>
      </c>
      <c r="L919" s="25" t="s">
        <v>28</v>
      </c>
      <c r="M919" t="s">
        <v>26</v>
      </c>
      <c r="N919" t="s">
        <v>26</v>
      </c>
      <c r="O919" t="s">
        <v>26</v>
      </c>
      <c r="P919" t="s">
        <v>26</v>
      </c>
      <c r="Q919" t="s">
        <v>26</v>
      </c>
      <c r="R919" t="s">
        <v>26</v>
      </c>
      <c r="S919" t="s">
        <v>26</v>
      </c>
      <c r="T919" t="s">
        <v>26</v>
      </c>
      <c r="U919" t="s">
        <v>26</v>
      </c>
      <c r="V919" t="s">
        <v>26</v>
      </c>
      <c r="W919" s="24">
        <v>42005</v>
      </c>
      <c r="X919" s="24">
        <v>42005</v>
      </c>
      <c r="Y919" t="s">
        <v>26</v>
      </c>
      <c r="Z919" s="24">
        <v>42005</v>
      </c>
      <c r="AA919" s="24">
        <v>42005</v>
      </c>
      <c r="AB919" t="s">
        <v>26</v>
      </c>
      <c r="AC919" t="s">
        <v>26</v>
      </c>
      <c r="AD919" t="s">
        <v>26</v>
      </c>
      <c r="AE919" t="s">
        <v>26</v>
      </c>
      <c r="AF919" t="s">
        <v>26</v>
      </c>
      <c r="AG919" t="s">
        <v>26</v>
      </c>
      <c r="AH919" t="s">
        <v>26</v>
      </c>
      <c r="AI919" t="s">
        <v>26</v>
      </c>
      <c r="AJ919" t="s">
        <v>26</v>
      </c>
      <c r="AK919" t="s">
        <v>26</v>
      </c>
      <c r="AL919" t="s">
        <v>26</v>
      </c>
      <c r="AM919" t="s">
        <v>26</v>
      </c>
      <c r="AN919" t="s">
        <v>26</v>
      </c>
      <c r="AO919" s="25" t="s">
        <v>28</v>
      </c>
      <c r="AP919" s="23" t="s">
        <v>29</v>
      </c>
      <c r="AQ919" s="23" t="s">
        <v>30</v>
      </c>
      <c r="AR919" s="23" t="s">
        <v>147</v>
      </c>
      <c r="AS919" s="25">
        <v>5483551</v>
      </c>
      <c r="AT919" s="23" t="s">
        <v>22181</v>
      </c>
      <c r="AU919" t="s">
        <v>23445</v>
      </c>
    </row>
    <row r="920" spans="1:47" ht="26.25" x14ac:dyDescent="0.4">
      <c r="A920" s="23" t="s">
        <v>2324</v>
      </c>
      <c r="B920" t="s">
        <v>26</v>
      </c>
      <c r="C920" s="23" t="s">
        <v>2325</v>
      </c>
      <c r="D920" s="23" t="s">
        <v>22179</v>
      </c>
      <c r="E920" s="23" t="s">
        <v>42</v>
      </c>
      <c r="F920" s="25" t="s">
        <v>2326</v>
      </c>
      <c r="G920" t="s">
        <v>26</v>
      </c>
      <c r="H920" t="s">
        <v>26</v>
      </c>
      <c r="I920" s="24">
        <v>32143</v>
      </c>
      <c r="J920" s="25" t="s">
        <v>77</v>
      </c>
      <c r="K920" t="s">
        <v>26</v>
      </c>
      <c r="L920" s="25" t="s">
        <v>28</v>
      </c>
      <c r="M920" s="24">
        <v>32143</v>
      </c>
      <c r="N920" s="25" t="s">
        <v>77</v>
      </c>
      <c r="O920" s="25" t="s">
        <v>23446</v>
      </c>
      <c r="P920" s="24">
        <v>32143</v>
      </c>
      <c r="Q920" s="25" t="s">
        <v>77</v>
      </c>
      <c r="R920" t="s">
        <v>26</v>
      </c>
      <c r="S920" t="s">
        <v>26</v>
      </c>
      <c r="T920" t="s">
        <v>26</v>
      </c>
      <c r="U920" t="s">
        <v>26</v>
      </c>
      <c r="V920" t="s">
        <v>26</v>
      </c>
      <c r="W920" s="24">
        <v>32143</v>
      </c>
      <c r="X920" s="25" t="s">
        <v>77</v>
      </c>
      <c r="Y920" t="s">
        <v>26</v>
      </c>
      <c r="Z920" s="24">
        <v>32143</v>
      </c>
      <c r="AA920" s="25" t="s">
        <v>77</v>
      </c>
      <c r="AB920" t="s">
        <v>26</v>
      </c>
      <c r="AC920" s="24">
        <v>32143</v>
      </c>
      <c r="AD920" s="25" t="s">
        <v>77</v>
      </c>
      <c r="AE920" t="s">
        <v>26</v>
      </c>
      <c r="AF920" t="s">
        <v>26</v>
      </c>
      <c r="AG920" t="s">
        <v>26</v>
      </c>
      <c r="AH920" t="s">
        <v>26</v>
      </c>
      <c r="AI920" t="s">
        <v>26</v>
      </c>
      <c r="AJ920" t="s">
        <v>26</v>
      </c>
      <c r="AK920" t="s">
        <v>26</v>
      </c>
      <c r="AL920" t="s">
        <v>26</v>
      </c>
      <c r="AM920" t="s">
        <v>26</v>
      </c>
      <c r="AN920" t="s">
        <v>26</v>
      </c>
      <c r="AO920" s="25" t="s">
        <v>28</v>
      </c>
      <c r="AP920" s="23" t="s">
        <v>112</v>
      </c>
      <c r="AQ920" s="23" t="s">
        <v>30</v>
      </c>
      <c r="AR920" s="23" t="s">
        <v>2327</v>
      </c>
      <c r="AS920" s="25">
        <v>47627</v>
      </c>
      <c r="AT920" t="s">
        <v>26</v>
      </c>
      <c r="AU920" t="s">
        <v>23447</v>
      </c>
    </row>
    <row r="921" spans="1:47" ht="26.25" x14ac:dyDescent="0.4">
      <c r="A921" s="23" t="s">
        <v>2328</v>
      </c>
      <c r="B921" t="s">
        <v>26</v>
      </c>
      <c r="C921" s="23" t="s">
        <v>48</v>
      </c>
      <c r="D921" s="23" t="s">
        <v>22168</v>
      </c>
      <c r="E921" s="23" t="s">
        <v>42</v>
      </c>
      <c r="F921" t="s">
        <v>26</v>
      </c>
      <c r="G921" t="s">
        <v>26</v>
      </c>
      <c r="H921" t="s">
        <v>26</v>
      </c>
      <c r="I921" t="s">
        <v>26</v>
      </c>
      <c r="J921" t="s">
        <v>26</v>
      </c>
      <c r="K921" t="s">
        <v>26</v>
      </c>
      <c r="L921" s="25" t="s">
        <v>28</v>
      </c>
      <c r="M921" t="s">
        <v>26</v>
      </c>
      <c r="N921" t="s">
        <v>26</v>
      </c>
      <c r="O921" t="s">
        <v>26</v>
      </c>
      <c r="P921" t="s">
        <v>26</v>
      </c>
      <c r="Q921" t="s">
        <v>26</v>
      </c>
      <c r="R921" t="s">
        <v>26</v>
      </c>
      <c r="S921" t="s">
        <v>26</v>
      </c>
      <c r="T921" t="s">
        <v>26</v>
      </c>
      <c r="U921" t="s">
        <v>26</v>
      </c>
      <c r="V921" t="s">
        <v>26</v>
      </c>
      <c r="W921" s="24">
        <v>40179</v>
      </c>
      <c r="X921" s="24">
        <v>40179</v>
      </c>
      <c r="Y921" t="s">
        <v>26</v>
      </c>
      <c r="Z921" s="24">
        <v>40179</v>
      </c>
      <c r="AA921" s="24">
        <v>40179</v>
      </c>
      <c r="AB921" t="s">
        <v>26</v>
      </c>
      <c r="AC921" t="s">
        <v>26</v>
      </c>
      <c r="AD921" t="s">
        <v>26</v>
      </c>
      <c r="AE921" t="s">
        <v>26</v>
      </c>
      <c r="AF921" t="s">
        <v>26</v>
      </c>
      <c r="AG921" t="s">
        <v>26</v>
      </c>
      <c r="AH921" t="s">
        <v>26</v>
      </c>
      <c r="AI921" t="s">
        <v>26</v>
      </c>
      <c r="AJ921" t="s">
        <v>26</v>
      </c>
      <c r="AK921" t="s">
        <v>26</v>
      </c>
      <c r="AL921" t="s">
        <v>26</v>
      </c>
      <c r="AM921" t="s">
        <v>26</v>
      </c>
      <c r="AN921" t="s">
        <v>26</v>
      </c>
      <c r="AO921" s="25" t="s">
        <v>28</v>
      </c>
      <c r="AP921" s="23" t="s">
        <v>29</v>
      </c>
      <c r="AQ921" s="23" t="s">
        <v>30</v>
      </c>
      <c r="AR921" s="23" t="s">
        <v>1170</v>
      </c>
      <c r="AS921" s="25">
        <v>5488537</v>
      </c>
      <c r="AT921" s="23" t="s">
        <v>22181</v>
      </c>
      <c r="AU921" t="s">
        <v>23448</v>
      </c>
    </row>
    <row r="922" spans="1:47" ht="26.25" x14ac:dyDescent="0.4">
      <c r="A922" s="23" t="s">
        <v>2329</v>
      </c>
      <c r="B922" t="s">
        <v>26</v>
      </c>
      <c r="C922" s="23" t="s">
        <v>1504</v>
      </c>
      <c r="D922" s="23" t="s">
        <v>22179</v>
      </c>
      <c r="E922" s="23" t="s">
        <v>42</v>
      </c>
      <c r="F922" s="25" t="s">
        <v>2330</v>
      </c>
      <c r="G922" s="25" t="s">
        <v>2331</v>
      </c>
      <c r="H922" t="s">
        <v>26</v>
      </c>
      <c r="I922" s="24">
        <v>38443</v>
      </c>
      <c r="J922" s="24">
        <v>42461</v>
      </c>
      <c r="K922" t="s">
        <v>26</v>
      </c>
      <c r="L922" s="25" t="s">
        <v>68</v>
      </c>
      <c r="M922" s="24">
        <v>38443</v>
      </c>
      <c r="N922" s="24">
        <v>42461</v>
      </c>
      <c r="O922" t="s">
        <v>26</v>
      </c>
      <c r="P922" s="24">
        <v>38443</v>
      </c>
      <c r="Q922" s="24">
        <v>41821</v>
      </c>
      <c r="R922" t="s">
        <v>26</v>
      </c>
      <c r="S922" t="s">
        <v>26</v>
      </c>
      <c r="T922" t="s">
        <v>26</v>
      </c>
      <c r="U922" t="s">
        <v>26</v>
      </c>
      <c r="V922" t="s">
        <v>26</v>
      </c>
      <c r="W922" s="24">
        <v>38443</v>
      </c>
      <c r="X922" s="24">
        <v>42461</v>
      </c>
      <c r="Y922" t="s">
        <v>26</v>
      </c>
      <c r="Z922" s="24">
        <v>38443</v>
      </c>
      <c r="AA922" s="24">
        <v>42461</v>
      </c>
      <c r="AB922" t="s">
        <v>26</v>
      </c>
      <c r="AC922" s="24">
        <v>38443</v>
      </c>
      <c r="AD922" s="24">
        <v>42461</v>
      </c>
      <c r="AE922" s="25" t="s">
        <v>23449</v>
      </c>
      <c r="AF922" t="s">
        <v>26</v>
      </c>
      <c r="AG922" t="s">
        <v>26</v>
      </c>
      <c r="AH922" t="s">
        <v>26</v>
      </c>
      <c r="AI922" t="s">
        <v>26</v>
      </c>
      <c r="AJ922" t="s">
        <v>26</v>
      </c>
      <c r="AK922" t="s">
        <v>26</v>
      </c>
      <c r="AL922" t="s">
        <v>26</v>
      </c>
      <c r="AM922" t="s">
        <v>26</v>
      </c>
      <c r="AN922" t="s">
        <v>26</v>
      </c>
      <c r="AO922" s="25" t="s">
        <v>68</v>
      </c>
      <c r="AP922" s="23" t="s">
        <v>69</v>
      </c>
      <c r="AQ922" s="23" t="s">
        <v>30</v>
      </c>
      <c r="AR922" s="23" t="s">
        <v>2332</v>
      </c>
      <c r="AS922" s="25">
        <v>28974</v>
      </c>
      <c r="AT922" t="s">
        <v>26</v>
      </c>
      <c r="AU922" t="s">
        <v>23450</v>
      </c>
    </row>
    <row r="923" spans="1:47" ht="26.25" x14ac:dyDescent="0.4">
      <c r="A923" s="23" t="s">
        <v>2333</v>
      </c>
      <c r="B923" t="s">
        <v>26</v>
      </c>
      <c r="C923" s="23" t="s">
        <v>80</v>
      </c>
      <c r="D923" s="23" t="s">
        <v>22190</v>
      </c>
      <c r="E923" s="23" t="s">
        <v>60</v>
      </c>
      <c r="F923" s="25" t="s">
        <v>2334</v>
      </c>
      <c r="G923" s="25" t="s">
        <v>2335</v>
      </c>
      <c r="H923" t="s">
        <v>26</v>
      </c>
      <c r="I923" t="s">
        <v>26</v>
      </c>
      <c r="J923" t="s">
        <v>26</v>
      </c>
      <c r="K923" t="s">
        <v>26</v>
      </c>
      <c r="L923" s="25" t="s">
        <v>68</v>
      </c>
      <c r="M923" t="s">
        <v>26</v>
      </c>
      <c r="N923" t="s">
        <v>26</v>
      </c>
      <c r="O923" t="s">
        <v>26</v>
      </c>
      <c r="P923" t="s">
        <v>26</v>
      </c>
      <c r="Q923" t="s">
        <v>26</v>
      </c>
      <c r="R923" t="s">
        <v>26</v>
      </c>
      <c r="S923" t="s">
        <v>26</v>
      </c>
      <c r="T923" t="s">
        <v>26</v>
      </c>
      <c r="U923" t="s">
        <v>26</v>
      </c>
      <c r="V923" t="s">
        <v>26</v>
      </c>
      <c r="W923" s="24">
        <v>37895</v>
      </c>
      <c r="X923" s="25" t="s">
        <v>77</v>
      </c>
      <c r="Y923" t="s">
        <v>26</v>
      </c>
      <c r="Z923" s="24">
        <v>37895</v>
      </c>
      <c r="AA923" s="25" t="s">
        <v>77</v>
      </c>
      <c r="AB923" t="s">
        <v>26</v>
      </c>
      <c r="AC923" s="24">
        <v>37895</v>
      </c>
      <c r="AD923" s="25" t="s">
        <v>77</v>
      </c>
      <c r="AE923" t="s">
        <v>26</v>
      </c>
      <c r="AF923" t="s">
        <v>26</v>
      </c>
      <c r="AG923" t="s">
        <v>26</v>
      </c>
      <c r="AH923" t="s">
        <v>26</v>
      </c>
      <c r="AI923" t="s">
        <v>26</v>
      </c>
      <c r="AJ923" t="s">
        <v>26</v>
      </c>
      <c r="AK923" t="s">
        <v>26</v>
      </c>
      <c r="AL923" t="s">
        <v>26</v>
      </c>
      <c r="AM923" t="s">
        <v>26</v>
      </c>
      <c r="AN923" t="s">
        <v>26</v>
      </c>
      <c r="AO923" s="25" t="s">
        <v>68</v>
      </c>
      <c r="AP923" s="23" t="s">
        <v>69</v>
      </c>
      <c r="AQ923" s="23" t="s">
        <v>30</v>
      </c>
      <c r="AR923" s="23" t="s">
        <v>46</v>
      </c>
      <c r="AS923" s="25">
        <v>46403</v>
      </c>
      <c r="AT923" t="s">
        <v>26</v>
      </c>
      <c r="AU923" t="s">
        <v>23451</v>
      </c>
    </row>
    <row r="924" spans="1:47" ht="26.25" x14ac:dyDescent="0.4">
      <c r="A924" s="23" t="s">
        <v>2336</v>
      </c>
      <c r="B924" t="s">
        <v>26</v>
      </c>
      <c r="C924" s="23" t="s">
        <v>2337</v>
      </c>
      <c r="D924" s="23" t="s">
        <v>23452</v>
      </c>
      <c r="E924" s="23" t="s">
        <v>42</v>
      </c>
      <c r="F924" s="25" t="s">
        <v>2338</v>
      </c>
      <c r="G924" s="25" t="s">
        <v>2339</v>
      </c>
      <c r="H924" t="s">
        <v>26</v>
      </c>
      <c r="I924" s="24">
        <v>38353</v>
      </c>
      <c r="J924" s="24">
        <v>41153</v>
      </c>
      <c r="K924" t="s">
        <v>26</v>
      </c>
      <c r="L924" s="25" t="s">
        <v>68</v>
      </c>
      <c r="M924" s="24">
        <v>38353</v>
      </c>
      <c r="N924" s="24">
        <v>41153</v>
      </c>
      <c r="O924" t="s">
        <v>26</v>
      </c>
      <c r="P924" s="24">
        <v>38353</v>
      </c>
      <c r="Q924" s="24">
        <v>41153</v>
      </c>
      <c r="R924" t="s">
        <v>26</v>
      </c>
      <c r="S924" t="s">
        <v>26</v>
      </c>
      <c r="T924" t="s">
        <v>26</v>
      </c>
      <c r="U924" t="s">
        <v>26</v>
      </c>
      <c r="V924" t="s">
        <v>26</v>
      </c>
      <c r="W924" s="24">
        <v>38353</v>
      </c>
      <c r="X924" s="25" t="s">
        <v>77</v>
      </c>
      <c r="Y924" t="s">
        <v>26</v>
      </c>
      <c r="Z924" s="24">
        <v>38353</v>
      </c>
      <c r="AA924" s="25" t="s">
        <v>77</v>
      </c>
      <c r="AB924" t="s">
        <v>26</v>
      </c>
      <c r="AC924" s="24">
        <v>38777</v>
      </c>
      <c r="AD924" s="25" t="s">
        <v>77</v>
      </c>
      <c r="AE924" t="s">
        <v>26</v>
      </c>
      <c r="AF924" t="s">
        <v>26</v>
      </c>
      <c r="AG924" t="s">
        <v>26</v>
      </c>
      <c r="AH924" t="s">
        <v>26</v>
      </c>
      <c r="AI924" t="s">
        <v>26</v>
      </c>
      <c r="AJ924" t="s">
        <v>26</v>
      </c>
      <c r="AK924" t="s">
        <v>26</v>
      </c>
      <c r="AL924" t="s">
        <v>26</v>
      </c>
      <c r="AM924" t="s">
        <v>26</v>
      </c>
      <c r="AN924" t="s">
        <v>26</v>
      </c>
      <c r="AO924" s="25" t="s">
        <v>68</v>
      </c>
      <c r="AP924" s="23" t="s">
        <v>69</v>
      </c>
      <c r="AQ924" t="s">
        <v>26</v>
      </c>
      <c r="AR924" s="23" t="s">
        <v>2340</v>
      </c>
      <c r="AS924" s="25">
        <v>28444</v>
      </c>
      <c r="AT924" t="s">
        <v>26</v>
      </c>
      <c r="AU924" t="s">
        <v>23453</v>
      </c>
    </row>
    <row r="925" spans="1:47" ht="26.25" x14ac:dyDescent="0.4">
      <c r="A925" s="23" t="s">
        <v>2341</v>
      </c>
      <c r="B925" t="s">
        <v>26</v>
      </c>
      <c r="C925" s="23" t="s">
        <v>80</v>
      </c>
      <c r="D925" s="23" t="s">
        <v>22184</v>
      </c>
      <c r="E925" s="23" t="s">
        <v>60</v>
      </c>
      <c r="F925" s="25" t="s">
        <v>2342</v>
      </c>
      <c r="G925" s="25" t="s">
        <v>2343</v>
      </c>
      <c r="H925" t="s">
        <v>26</v>
      </c>
      <c r="I925" t="s">
        <v>26</v>
      </c>
      <c r="J925" t="s">
        <v>26</v>
      </c>
      <c r="K925" t="s">
        <v>26</v>
      </c>
      <c r="L925" s="25" t="s">
        <v>68</v>
      </c>
      <c r="M925" t="s">
        <v>26</v>
      </c>
      <c r="N925" t="s">
        <v>26</v>
      </c>
      <c r="O925" t="s">
        <v>26</v>
      </c>
      <c r="P925" t="s">
        <v>26</v>
      </c>
      <c r="Q925" t="s">
        <v>26</v>
      </c>
      <c r="R925" t="s">
        <v>26</v>
      </c>
      <c r="S925" t="s">
        <v>26</v>
      </c>
      <c r="T925" t="s">
        <v>26</v>
      </c>
      <c r="U925" t="s">
        <v>26</v>
      </c>
      <c r="V925" t="s">
        <v>26</v>
      </c>
      <c r="W925" s="24">
        <v>40269</v>
      </c>
      <c r="X925" s="25" t="s">
        <v>77</v>
      </c>
      <c r="Y925" t="s">
        <v>26</v>
      </c>
      <c r="Z925" s="24">
        <v>40269</v>
      </c>
      <c r="AA925" s="25" t="s">
        <v>77</v>
      </c>
      <c r="AB925" t="s">
        <v>26</v>
      </c>
      <c r="AC925" s="24">
        <v>40269</v>
      </c>
      <c r="AD925" s="25" t="s">
        <v>77</v>
      </c>
      <c r="AE925" t="s">
        <v>26</v>
      </c>
      <c r="AF925" t="s">
        <v>26</v>
      </c>
      <c r="AG925" t="s">
        <v>26</v>
      </c>
      <c r="AH925" t="s">
        <v>26</v>
      </c>
      <c r="AI925" t="s">
        <v>26</v>
      </c>
      <c r="AJ925" t="s">
        <v>26</v>
      </c>
      <c r="AK925" t="s">
        <v>26</v>
      </c>
      <c r="AL925" t="s">
        <v>26</v>
      </c>
      <c r="AM925" t="s">
        <v>26</v>
      </c>
      <c r="AN925" t="s">
        <v>26</v>
      </c>
      <c r="AO925" s="25" t="s">
        <v>68</v>
      </c>
      <c r="AP925" s="23" t="s">
        <v>69</v>
      </c>
      <c r="AQ925" s="23" t="s">
        <v>30</v>
      </c>
      <c r="AR925" s="23" t="s">
        <v>147</v>
      </c>
      <c r="AS925" s="25">
        <v>196243</v>
      </c>
      <c r="AT925" t="s">
        <v>26</v>
      </c>
      <c r="AU925" t="s">
        <v>23454</v>
      </c>
    </row>
    <row r="926" spans="1:47" ht="26.25" x14ac:dyDescent="0.4">
      <c r="A926" s="23" t="s">
        <v>2344</v>
      </c>
      <c r="B926" t="s">
        <v>26</v>
      </c>
      <c r="C926" s="23" t="s">
        <v>80</v>
      </c>
      <c r="D926" s="23" t="s">
        <v>22184</v>
      </c>
      <c r="E926" s="23" t="s">
        <v>60</v>
      </c>
      <c r="F926" s="25" t="s">
        <v>2345</v>
      </c>
      <c r="G926" s="25" t="s">
        <v>2346</v>
      </c>
      <c r="H926" t="s">
        <v>26</v>
      </c>
      <c r="I926" s="24">
        <v>35827</v>
      </c>
      <c r="J926" s="24">
        <v>36739</v>
      </c>
      <c r="K926" t="s">
        <v>26</v>
      </c>
      <c r="L926" s="25" t="s">
        <v>68</v>
      </c>
      <c r="M926" s="24">
        <v>35827</v>
      </c>
      <c r="N926" s="24">
        <v>36739</v>
      </c>
      <c r="O926" t="s">
        <v>26</v>
      </c>
      <c r="P926" s="24">
        <v>35827</v>
      </c>
      <c r="Q926" s="24">
        <v>36739</v>
      </c>
      <c r="R926" t="s">
        <v>26</v>
      </c>
      <c r="S926" t="s">
        <v>26</v>
      </c>
      <c r="T926" t="s">
        <v>26</v>
      </c>
      <c r="U926" t="s">
        <v>26</v>
      </c>
      <c r="V926" t="s">
        <v>26</v>
      </c>
      <c r="W926" s="24">
        <v>35827</v>
      </c>
      <c r="X926" s="25" t="s">
        <v>77</v>
      </c>
      <c r="Y926" s="25" t="s">
        <v>23455</v>
      </c>
      <c r="Z926" s="24">
        <v>35827</v>
      </c>
      <c r="AA926" s="25" t="s">
        <v>77</v>
      </c>
      <c r="AB926" s="25" t="s">
        <v>23455</v>
      </c>
      <c r="AC926" s="24">
        <v>43374</v>
      </c>
      <c r="AD926" s="25" t="s">
        <v>77</v>
      </c>
      <c r="AE926" s="25" t="s">
        <v>22296</v>
      </c>
      <c r="AF926" t="s">
        <v>26</v>
      </c>
      <c r="AG926" t="s">
        <v>26</v>
      </c>
      <c r="AH926" t="s">
        <v>26</v>
      </c>
      <c r="AI926" t="s">
        <v>26</v>
      </c>
      <c r="AJ926" t="s">
        <v>26</v>
      </c>
      <c r="AK926" t="s">
        <v>26</v>
      </c>
      <c r="AL926" t="s">
        <v>26</v>
      </c>
      <c r="AM926" t="s">
        <v>26</v>
      </c>
      <c r="AN926" t="s">
        <v>26</v>
      </c>
      <c r="AO926" s="25" t="s">
        <v>68</v>
      </c>
      <c r="AP926" s="23" t="s">
        <v>69</v>
      </c>
      <c r="AQ926" s="23" t="s">
        <v>30</v>
      </c>
      <c r="AR926" s="23" t="s">
        <v>2347</v>
      </c>
      <c r="AS926" s="25">
        <v>32903</v>
      </c>
      <c r="AT926" t="s">
        <v>26</v>
      </c>
      <c r="AU926" t="s">
        <v>23456</v>
      </c>
    </row>
    <row r="927" spans="1:47" ht="26.25" x14ac:dyDescent="0.4">
      <c r="A927" s="23" t="s">
        <v>2348</v>
      </c>
      <c r="B927" t="s">
        <v>26</v>
      </c>
      <c r="C927" s="23" t="s">
        <v>172</v>
      </c>
      <c r="D927" s="23" t="s">
        <v>23457</v>
      </c>
      <c r="E927" s="23" t="s">
        <v>60</v>
      </c>
      <c r="F927" s="25" t="s">
        <v>2349</v>
      </c>
      <c r="G927" s="25" t="s">
        <v>2350</v>
      </c>
      <c r="H927" t="s">
        <v>26</v>
      </c>
      <c r="I927" t="s">
        <v>26</v>
      </c>
      <c r="J927" t="s">
        <v>26</v>
      </c>
      <c r="K927" t="s">
        <v>26</v>
      </c>
      <c r="L927" s="25" t="s">
        <v>68</v>
      </c>
      <c r="M927" t="s">
        <v>26</v>
      </c>
      <c r="N927" t="s">
        <v>26</v>
      </c>
      <c r="O927" t="s">
        <v>26</v>
      </c>
      <c r="P927" t="s">
        <v>26</v>
      </c>
      <c r="Q927" t="s">
        <v>26</v>
      </c>
      <c r="R927" t="s">
        <v>26</v>
      </c>
      <c r="S927" t="s">
        <v>26</v>
      </c>
      <c r="T927" t="s">
        <v>26</v>
      </c>
      <c r="U927" t="s">
        <v>26</v>
      </c>
      <c r="V927" t="s">
        <v>26</v>
      </c>
      <c r="W927" s="24">
        <v>38261</v>
      </c>
      <c r="X927" s="25" t="s">
        <v>77</v>
      </c>
      <c r="Y927" t="s">
        <v>26</v>
      </c>
      <c r="Z927" s="24">
        <v>38261</v>
      </c>
      <c r="AA927" s="25" t="s">
        <v>77</v>
      </c>
      <c r="AB927" t="s">
        <v>26</v>
      </c>
      <c r="AC927" s="24">
        <v>38261</v>
      </c>
      <c r="AD927" s="25" t="s">
        <v>77</v>
      </c>
      <c r="AE927" t="s">
        <v>26</v>
      </c>
      <c r="AF927" t="s">
        <v>26</v>
      </c>
      <c r="AG927" t="s">
        <v>26</v>
      </c>
      <c r="AH927" t="s">
        <v>26</v>
      </c>
      <c r="AI927" t="s">
        <v>26</v>
      </c>
      <c r="AJ927" t="s">
        <v>26</v>
      </c>
      <c r="AK927" t="s">
        <v>26</v>
      </c>
      <c r="AL927" t="s">
        <v>26</v>
      </c>
      <c r="AM927" t="s">
        <v>26</v>
      </c>
      <c r="AN927" t="s">
        <v>26</v>
      </c>
      <c r="AO927" s="25" t="s">
        <v>68</v>
      </c>
      <c r="AP927" s="23" t="s">
        <v>69</v>
      </c>
      <c r="AQ927" s="23" t="s">
        <v>30</v>
      </c>
      <c r="AR927" s="23" t="s">
        <v>2351</v>
      </c>
      <c r="AS927" s="25">
        <v>46960</v>
      </c>
      <c r="AT927" t="s">
        <v>26</v>
      </c>
      <c r="AU927" t="s">
        <v>23458</v>
      </c>
    </row>
    <row r="928" spans="1:47" ht="26.25" x14ac:dyDescent="0.4">
      <c r="A928" s="23" t="s">
        <v>2352</v>
      </c>
      <c r="B928" t="s">
        <v>26</v>
      </c>
      <c r="C928" s="23" t="s">
        <v>172</v>
      </c>
      <c r="D928" s="23" t="s">
        <v>22630</v>
      </c>
      <c r="E928" s="23" t="s">
        <v>60</v>
      </c>
      <c r="F928" s="25" t="s">
        <v>2353</v>
      </c>
      <c r="G928" s="25" t="s">
        <v>2354</v>
      </c>
      <c r="H928" t="s">
        <v>26</v>
      </c>
      <c r="I928" s="24">
        <v>36495</v>
      </c>
      <c r="J928" s="24">
        <v>39508</v>
      </c>
      <c r="K928" t="s">
        <v>26</v>
      </c>
      <c r="L928" s="25" t="s">
        <v>68</v>
      </c>
      <c r="M928" s="24">
        <v>36495</v>
      </c>
      <c r="N928" s="24">
        <v>39508</v>
      </c>
      <c r="O928" t="s">
        <v>26</v>
      </c>
      <c r="P928" s="24">
        <v>36495</v>
      </c>
      <c r="Q928" s="24">
        <v>39508</v>
      </c>
      <c r="R928" t="s">
        <v>26</v>
      </c>
      <c r="S928" t="s">
        <v>26</v>
      </c>
      <c r="T928" t="s">
        <v>26</v>
      </c>
      <c r="U928" t="s">
        <v>26</v>
      </c>
      <c r="V928" t="s">
        <v>26</v>
      </c>
      <c r="W928" s="24">
        <v>36495</v>
      </c>
      <c r="X928" s="25" t="s">
        <v>77</v>
      </c>
      <c r="Y928" t="s">
        <v>26</v>
      </c>
      <c r="Z928" s="24">
        <v>36495</v>
      </c>
      <c r="AA928" s="25" t="s">
        <v>77</v>
      </c>
      <c r="AB928" t="s">
        <v>26</v>
      </c>
      <c r="AC928" s="24">
        <v>36495</v>
      </c>
      <c r="AD928" s="25" t="s">
        <v>77</v>
      </c>
      <c r="AE928" t="s">
        <v>26</v>
      </c>
      <c r="AF928" t="s">
        <v>26</v>
      </c>
      <c r="AG928" t="s">
        <v>26</v>
      </c>
      <c r="AH928" t="s">
        <v>26</v>
      </c>
      <c r="AI928" t="s">
        <v>26</v>
      </c>
      <c r="AJ928" t="s">
        <v>26</v>
      </c>
      <c r="AK928" t="s">
        <v>26</v>
      </c>
      <c r="AL928" t="s">
        <v>26</v>
      </c>
      <c r="AM928" t="s">
        <v>26</v>
      </c>
      <c r="AN928" t="s">
        <v>26</v>
      </c>
      <c r="AO928" s="25" t="s">
        <v>68</v>
      </c>
      <c r="AP928" s="23" t="s">
        <v>69</v>
      </c>
      <c r="AQ928" s="23" t="s">
        <v>30</v>
      </c>
      <c r="AR928" s="23" t="s">
        <v>1344</v>
      </c>
      <c r="AS928" s="25">
        <v>48704</v>
      </c>
      <c r="AT928" t="s">
        <v>26</v>
      </c>
      <c r="AU928" t="s">
        <v>23459</v>
      </c>
    </row>
    <row r="929" spans="1:47" ht="26.25" x14ac:dyDescent="0.4">
      <c r="A929" s="23" t="s">
        <v>2355</v>
      </c>
      <c r="B929" t="s">
        <v>26</v>
      </c>
      <c r="C929" s="23" t="s">
        <v>2355</v>
      </c>
      <c r="D929" s="23" t="s">
        <v>23460</v>
      </c>
      <c r="E929" s="23" t="s">
        <v>120</v>
      </c>
      <c r="F929" t="s">
        <v>26</v>
      </c>
      <c r="G929" s="25" t="s">
        <v>2356</v>
      </c>
      <c r="H929" t="s">
        <v>26</v>
      </c>
      <c r="I929" s="24">
        <v>39845</v>
      </c>
      <c r="J929" s="24">
        <v>43678</v>
      </c>
      <c r="K929" t="s">
        <v>26</v>
      </c>
      <c r="L929" s="25" t="s">
        <v>68</v>
      </c>
      <c r="M929" t="s">
        <v>26</v>
      </c>
      <c r="N929" t="s">
        <v>26</v>
      </c>
      <c r="O929" t="s">
        <v>26</v>
      </c>
      <c r="P929" s="24">
        <v>39845</v>
      </c>
      <c r="Q929" s="24">
        <v>43678</v>
      </c>
      <c r="R929" t="s">
        <v>26</v>
      </c>
      <c r="S929" t="s">
        <v>26</v>
      </c>
      <c r="T929" t="s">
        <v>26</v>
      </c>
      <c r="U929" t="s">
        <v>26</v>
      </c>
      <c r="V929" t="s">
        <v>26</v>
      </c>
      <c r="W929" s="24">
        <v>39845</v>
      </c>
      <c r="X929" s="24">
        <v>43678</v>
      </c>
      <c r="Y929" t="s">
        <v>26</v>
      </c>
      <c r="Z929" s="24">
        <v>39845</v>
      </c>
      <c r="AA929" s="24">
        <v>43678</v>
      </c>
      <c r="AB929" t="s">
        <v>26</v>
      </c>
      <c r="AC929" s="24">
        <v>39845</v>
      </c>
      <c r="AD929" s="24">
        <v>43678</v>
      </c>
      <c r="AE929" t="s">
        <v>26</v>
      </c>
      <c r="AF929" t="s">
        <v>26</v>
      </c>
      <c r="AG929" t="s">
        <v>26</v>
      </c>
      <c r="AH929" t="s">
        <v>26</v>
      </c>
      <c r="AI929" t="s">
        <v>26</v>
      </c>
      <c r="AJ929" t="s">
        <v>26</v>
      </c>
      <c r="AK929" t="s">
        <v>26</v>
      </c>
      <c r="AL929" t="s">
        <v>26</v>
      </c>
      <c r="AM929" t="s">
        <v>26</v>
      </c>
      <c r="AN929" t="s">
        <v>26</v>
      </c>
      <c r="AO929" s="25" t="s">
        <v>68</v>
      </c>
      <c r="AP929" s="23" t="s">
        <v>69</v>
      </c>
      <c r="AQ929" s="23" t="s">
        <v>30</v>
      </c>
      <c r="AR929" s="23" t="s">
        <v>46</v>
      </c>
      <c r="AS929" s="25">
        <v>1296373</v>
      </c>
      <c r="AT929" t="s">
        <v>26</v>
      </c>
      <c r="AU929" t="s">
        <v>23461</v>
      </c>
    </row>
    <row r="930" spans="1:47" ht="26.25" x14ac:dyDescent="0.4">
      <c r="A930" s="23" t="s">
        <v>2357</v>
      </c>
      <c r="B930" t="s">
        <v>26</v>
      </c>
      <c r="C930" s="23" t="s">
        <v>803</v>
      </c>
      <c r="D930" s="23" t="s">
        <v>22499</v>
      </c>
      <c r="E930" s="23" t="s">
        <v>711</v>
      </c>
      <c r="F930" s="25" t="s">
        <v>2358</v>
      </c>
      <c r="G930" s="25" t="s">
        <v>2359</v>
      </c>
      <c r="H930" t="s">
        <v>26</v>
      </c>
      <c r="I930" t="s">
        <v>26</v>
      </c>
      <c r="J930" t="s">
        <v>26</v>
      </c>
      <c r="K930" t="s">
        <v>26</v>
      </c>
      <c r="L930" s="25" t="s">
        <v>68</v>
      </c>
      <c r="M930" t="s">
        <v>26</v>
      </c>
      <c r="N930" t="s">
        <v>26</v>
      </c>
      <c r="O930" t="s">
        <v>26</v>
      </c>
      <c r="P930" t="s">
        <v>26</v>
      </c>
      <c r="Q930" t="s">
        <v>26</v>
      </c>
      <c r="R930" t="s">
        <v>26</v>
      </c>
      <c r="S930" t="s">
        <v>26</v>
      </c>
      <c r="T930" t="s">
        <v>26</v>
      </c>
      <c r="U930" t="s">
        <v>26</v>
      </c>
      <c r="V930" t="s">
        <v>26</v>
      </c>
      <c r="W930" s="24">
        <v>40179</v>
      </c>
      <c r="X930" s="25" t="s">
        <v>77</v>
      </c>
      <c r="Y930" t="s">
        <v>26</v>
      </c>
      <c r="Z930" s="24">
        <v>40179</v>
      </c>
      <c r="AA930" s="25" t="s">
        <v>77</v>
      </c>
      <c r="AB930" t="s">
        <v>26</v>
      </c>
      <c r="AC930" s="24">
        <v>40179</v>
      </c>
      <c r="AD930" s="25" t="s">
        <v>77</v>
      </c>
      <c r="AE930" t="s">
        <v>26</v>
      </c>
      <c r="AF930" t="s">
        <v>26</v>
      </c>
      <c r="AG930" t="s">
        <v>26</v>
      </c>
      <c r="AH930" t="s">
        <v>26</v>
      </c>
      <c r="AI930" t="s">
        <v>26</v>
      </c>
      <c r="AJ930" t="s">
        <v>26</v>
      </c>
      <c r="AK930" t="s">
        <v>26</v>
      </c>
      <c r="AL930" t="s">
        <v>26</v>
      </c>
      <c r="AM930" t="s">
        <v>26</v>
      </c>
      <c r="AN930" t="s">
        <v>26</v>
      </c>
      <c r="AO930" s="25" t="s">
        <v>68</v>
      </c>
      <c r="AP930" s="23" t="s">
        <v>69</v>
      </c>
      <c r="AQ930" s="23" t="s">
        <v>30</v>
      </c>
      <c r="AR930" s="23" t="s">
        <v>203</v>
      </c>
      <c r="AS930" s="25">
        <v>196252</v>
      </c>
      <c r="AT930" t="s">
        <v>26</v>
      </c>
      <c r="AU930" t="s">
        <v>23462</v>
      </c>
    </row>
    <row r="931" spans="1:47" ht="26.25" x14ac:dyDescent="0.4">
      <c r="A931" s="23" t="s">
        <v>2360</v>
      </c>
      <c r="B931" t="s">
        <v>26</v>
      </c>
      <c r="C931" s="23" t="s">
        <v>73</v>
      </c>
      <c r="D931" s="23" t="s">
        <v>22215</v>
      </c>
      <c r="E931" s="23" t="s">
        <v>74</v>
      </c>
      <c r="F931" s="25" t="s">
        <v>2361</v>
      </c>
      <c r="G931" s="25" t="s">
        <v>2362</v>
      </c>
      <c r="H931" t="s">
        <v>26</v>
      </c>
      <c r="I931" s="24">
        <v>35462</v>
      </c>
      <c r="J931" s="25" t="s">
        <v>77</v>
      </c>
      <c r="K931" t="s">
        <v>26</v>
      </c>
      <c r="L931" s="25" t="s">
        <v>68</v>
      </c>
      <c r="M931" s="24">
        <v>38018</v>
      </c>
      <c r="N931" s="24">
        <v>42826</v>
      </c>
      <c r="O931" t="s">
        <v>26</v>
      </c>
      <c r="P931" s="24">
        <v>35462</v>
      </c>
      <c r="Q931" s="25" t="s">
        <v>77</v>
      </c>
      <c r="R931" t="s">
        <v>26</v>
      </c>
      <c r="S931" t="s">
        <v>26</v>
      </c>
      <c r="T931" t="s">
        <v>26</v>
      </c>
      <c r="U931" t="s">
        <v>26</v>
      </c>
      <c r="V931" s="25">
        <v>365</v>
      </c>
      <c r="W931" s="24">
        <v>35462</v>
      </c>
      <c r="X931" s="25" t="s">
        <v>77</v>
      </c>
      <c r="Y931" t="s">
        <v>26</v>
      </c>
      <c r="Z931" s="24">
        <v>35462</v>
      </c>
      <c r="AA931" s="25" t="s">
        <v>77</v>
      </c>
      <c r="AB931" t="s">
        <v>26</v>
      </c>
      <c r="AC931" s="24">
        <v>35462</v>
      </c>
      <c r="AD931" s="25" t="s">
        <v>77</v>
      </c>
      <c r="AE931" t="s">
        <v>26</v>
      </c>
      <c r="AF931" t="s">
        <v>26</v>
      </c>
      <c r="AG931" t="s">
        <v>26</v>
      </c>
      <c r="AH931" t="s">
        <v>26</v>
      </c>
      <c r="AI931" t="s">
        <v>26</v>
      </c>
      <c r="AJ931" t="s">
        <v>26</v>
      </c>
      <c r="AK931" t="s">
        <v>26</v>
      </c>
      <c r="AL931" t="s">
        <v>26</v>
      </c>
      <c r="AM931" t="s">
        <v>26</v>
      </c>
      <c r="AN931" t="s">
        <v>26</v>
      </c>
      <c r="AO931" s="25" t="s">
        <v>68</v>
      </c>
      <c r="AP931" s="23" t="s">
        <v>69</v>
      </c>
      <c r="AQ931" s="23" t="s">
        <v>30</v>
      </c>
      <c r="AR931" s="23" t="s">
        <v>70</v>
      </c>
      <c r="AS931" s="25">
        <v>47319</v>
      </c>
      <c r="AT931" t="s">
        <v>26</v>
      </c>
      <c r="AU931" t="s">
        <v>23463</v>
      </c>
    </row>
    <row r="932" spans="1:47" ht="26.25" x14ac:dyDescent="0.4">
      <c r="A932" s="23" t="s">
        <v>2363</v>
      </c>
      <c r="B932" t="s">
        <v>26</v>
      </c>
      <c r="C932" s="23" t="s">
        <v>73</v>
      </c>
      <c r="D932" s="23" t="s">
        <v>22179</v>
      </c>
      <c r="E932" s="23" t="s">
        <v>74</v>
      </c>
      <c r="F932" s="25" t="s">
        <v>2364</v>
      </c>
      <c r="G932" s="25" t="s">
        <v>2365</v>
      </c>
      <c r="H932" t="s">
        <v>26</v>
      </c>
      <c r="I932" s="24">
        <v>35490</v>
      </c>
      <c r="J932" s="25" t="s">
        <v>77</v>
      </c>
      <c r="K932" t="s">
        <v>26</v>
      </c>
      <c r="L932" s="25" t="s">
        <v>68</v>
      </c>
      <c r="M932" s="24">
        <v>38018</v>
      </c>
      <c r="N932" s="24">
        <v>42856</v>
      </c>
      <c r="O932" t="s">
        <v>26</v>
      </c>
      <c r="P932" s="24">
        <v>35490</v>
      </c>
      <c r="Q932" s="25" t="s">
        <v>77</v>
      </c>
      <c r="R932" t="s">
        <v>26</v>
      </c>
      <c r="S932" t="s">
        <v>26</v>
      </c>
      <c r="T932" t="s">
        <v>26</v>
      </c>
      <c r="U932" t="s">
        <v>26</v>
      </c>
      <c r="V932" s="25">
        <v>365</v>
      </c>
      <c r="W932" s="24">
        <v>35490</v>
      </c>
      <c r="X932" s="25" t="s">
        <v>77</v>
      </c>
      <c r="Y932" t="s">
        <v>26</v>
      </c>
      <c r="Z932" s="24">
        <v>35490</v>
      </c>
      <c r="AA932" s="25" t="s">
        <v>77</v>
      </c>
      <c r="AB932" t="s">
        <v>26</v>
      </c>
      <c r="AC932" s="24">
        <v>35490</v>
      </c>
      <c r="AD932" s="25" t="s">
        <v>77</v>
      </c>
      <c r="AE932" t="s">
        <v>26</v>
      </c>
      <c r="AF932" t="s">
        <v>26</v>
      </c>
      <c r="AG932" t="s">
        <v>26</v>
      </c>
      <c r="AH932" t="s">
        <v>26</v>
      </c>
      <c r="AI932" t="s">
        <v>26</v>
      </c>
      <c r="AJ932" t="s">
        <v>26</v>
      </c>
      <c r="AK932" t="s">
        <v>26</v>
      </c>
      <c r="AL932" t="s">
        <v>26</v>
      </c>
      <c r="AM932" t="s">
        <v>26</v>
      </c>
      <c r="AN932" t="s">
        <v>26</v>
      </c>
      <c r="AO932" s="25" t="s">
        <v>68</v>
      </c>
      <c r="AP932" s="23" t="s">
        <v>69</v>
      </c>
      <c r="AQ932" s="23" t="s">
        <v>30</v>
      </c>
      <c r="AR932" s="23" t="s">
        <v>70</v>
      </c>
      <c r="AS932" s="25">
        <v>32987</v>
      </c>
      <c r="AT932" t="s">
        <v>26</v>
      </c>
      <c r="AU932" t="s">
        <v>23464</v>
      </c>
    </row>
    <row r="933" spans="1:47" ht="26.25" x14ac:dyDescent="0.4">
      <c r="A933" s="23" t="s">
        <v>2366</v>
      </c>
      <c r="B933" t="s">
        <v>26</v>
      </c>
      <c r="C933" s="23" t="s">
        <v>1528</v>
      </c>
      <c r="D933" s="23" t="s">
        <v>22397</v>
      </c>
      <c r="E933" s="23" t="s">
        <v>60</v>
      </c>
      <c r="F933" s="25" t="s">
        <v>2367</v>
      </c>
      <c r="G933" s="25" t="s">
        <v>2368</v>
      </c>
      <c r="H933" t="s">
        <v>26</v>
      </c>
      <c r="I933" t="s">
        <v>26</v>
      </c>
      <c r="J933" t="s">
        <v>26</v>
      </c>
      <c r="K933" t="s">
        <v>26</v>
      </c>
      <c r="L933" s="25" t="s">
        <v>68</v>
      </c>
      <c r="M933" t="s">
        <v>26</v>
      </c>
      <c r="N933" t="s">
        <v>26</v>
      </c>
      <c r="O933" t="s">
        <v>26</v>
      </c>
      <c r="P933" t="s">
        <v>26</v>
      </c>
      <c r="Q933" t="s">
        <v>26</v>
      </c>
      <c r="R933" t="s">
        <v>26</v>
      </c>
      <c r="S933" t="s">
        <v>26</v>
      </c>
      <c r="T933" t="s">
        <v>26</v>
      </c>
      <c r="U933" t="s">
        <v>26</v>
      </c>
      <c r="V933" t="s">
        <v>26</v>
      </c>
      <c r="W933" s="24">
        <v>38047</v>
      </c>
      <c r="X933" s="25" t="s">
        <v>77</v>
      </c>
      <c r="Y933" t="s">
        <v>26</v>
      </c>
      <c r="Z933" s="24">
        <v>38047</v>
      </c>
      <c r="AA933" s="25" t="s">
        <v>77</v>
      </c>
      <c r="AB933" t="s">
        <v>26</v>
      </c>
      <c r="AC933" s="24">
        <v>38047</v>
      </c>
      <c r="AD933" s="25" t="s">
        <v>77</v>
      </c>
      <c r="AE933" t="s">
        <v>26</v>
      </c>
      <c r="AF933" t="s">
        <v>26</v>
      </c>
      <c r="AG933" t="s">
        <v>26</v>
      </c>
      <c r="AH933" t="s">
        <v>26</v>
      </c>
      <c r="AI933" t="s">
        <v>26</v>
      </c>
      <c r="AJ933" t="s">
        <v>26</v>
      </c>
      <c r="AK933" t="s">
        <v>26</v>
      </c>
      <c r="AL933" t="s">
        <v>26</v>
      </c>
      <c r="AM933" t="s">
        <v>26</v>
      </c>
      <c r="AN933" t="s">
        <v>26</v>
      </c>
      <c r="AO933" s="25" t="s">
        <v>68</v>
      </c>
      <c r="AP933" s="23" t="s">
        <v>69</v>
      </c>
      <c r="AQ933" s="23" t="s">
        <v>30</v>
      </c>
      <c r="AR933" s="23" t="s">
        <v>2369</v>
      </c>
      <c r="AS933" s="25">
        <v>32464</v>
      </c>
      <c r="AT933" t="s">
        <v>26</v>
      </c>
      <c r="AU933" t="s">
        <v>23465</v>
      </c>
    </row>
    <row r="934" spans="1:47" ht="26.25" x14ac:dyDescent="0.4">
      <c r="A934" s="23" t="s">
        <v>2370</v>
      </c>
      <c r="B934" t="s">
        <v>26</v>
      </c>
      <c r="C934" s="23" t="s">
        <v>181</v>
      </c>
      <c r="D934" s="23" t="s">
        <v>22174</v>
      </c>
      <c r="E934" s="23" t="s">
        <v>60</v>
      </c>
      <c r="F934" s="25" t="s">
        <v>2371</v>
      </c>
      <c r="G934" s="25" t="s">
        <v>2372</v>
      </c>
      <c r="H934" t="s">
        <v>26</v>
      </c>
      <c r="I934" t="s">
        <v>26</v>
      </c>
      <c r="J934" t="s">
        <v>26</v>
      </c>
      <c r="K934" t="s">
        <v>26</v>
      </c>
      <c r="L934" s="25" t="s">
        <v>68</v>
      </c>
      <c r="M934" t="s">
        <v>26</v>
      </c>
      <c r="N934" t="s">
        <v>26</v>
      </c>
      <c r="O934" t="s">
        <v>26</v>
      </c>
      <c r="P934" t="s">
        <v>26</v>
      </c>
      <c r="Q934" t="s">
        <v>26</v>
      </c>
      <c r="R934" t="s">
        <v>26</v>
      </c>
      <c r="S934" t="s">
        <v>26</v>
      </c>
      <c r="T934" t="s">
        <v>26</v>
      </c>
      <c r="U934" t="s">
        <v>26</v>
      </c>
      <c r="V934" t="s">
        <v>26</v>
      </c>
      <c r="W934" s="24">
        <v>37316</v>
      </c>
      <c r="X934" s="25" t="s">
        <v>77</v>
      </c>
      <c r="Y934" t="s">
        <v>26</v>
      </c>
      <c r="Z934" s="24">
        <v>37316</v>
      </c>
      <c r="AA934" s="25" t="s">
        <v>77</v>
      </c>
      <c r="AB934" t="s">
        <v>26</v>
      </c>
      <c r="AC934" s="24">
        <v>37316</v>
      </c>
      <c r="AD934" s="25" t="s">
        <v>77</v>
      </c>
      <c r="AE934" t="s">
        <v>26</v>
      </c>
      <c r="AF934" t="s">
        <v>26</v>
      </c>
      <c r="AG934" t="s">
        <v>26</v>
      </c>
      <c r="AH934" t="s">
        <v>26</v>
      </c>
      <c r="AI934" t="s">
        <v>26</v>
      </c>
      <c r="AJ934" t="s">
        <v>26</v>
      </c>
      <c r="AK934" t="s">
        <v>26</v>
      </c>
      <c r="AL934" t="s">
        <v>26</v>
      </c>
      <c r="AM934" t="s">
        <v>26</v>
      </c>
      <c r="AN934" t="s">
        <v>26</v>
      </c>
      <c r="AO934" s="25" t="s">
        <v>68</v>
      </c>
      <c r="AP934" s="23" t="s">
        <v>69</v>
      </c>
      <c r="AQ934" s="23" t="s">
        <v>30</v>
      </c>
      <c r="AR934" s="23" t="s">
        <v>1639</v>
      </c>
      <c r="AS934" s="25">
        <v>33301</v>
      </c>
      <c r="AT934" t="s">
        <v>26</v>
      </c>
      <c r="AU934" t="s">
        <v>23466</v>
      </c>
    </row>
    <row r="935" spans="1:47" ht="26.25" x14ac:dyDescent="0.4">
      <c r="A935" s="23" t="s">
        <v>2373</v>
      </c>
      <c r="B935" t="s">
        <v>26</v>
      </c>
      <c r="C935" s="23" t="s">
        <v>2374</v>
      </c>
      <c r="D935" s="23" t="s">
        <v>23467</v>
      </c>
      <c r="E935" s="23" t="s">
        <v>60</v>
      </c>
      <c r="F935" t="s">
        <v>26</v>
      </c>
      <c r="G935" s="25" t="s">
        <v>2375</v>
      </c>
      <c r="H935" t="s">
        <v>26</v>
      </c>
      <c r="I935" s="24">
        <v>39814</v>
      </c>
      <c r="J935" s="25" t="s">
        <v>77</v>
      </c>
      <c r="K935" t="s">
        <v>26</v>
      </c>
      <c r="L935" s="25" t="s">
        <v>68</v>
      </c>
      <c r="M935" s="24">
        <v>41275</v>
      </c>
      <c r="N935" s="25" t="s">
        <v>77</v>
      </c>
      <c r="O935" t="s">
        <v>26</v>
      </c>
      <c r="P935" s="24">
        <v>39814</v>
      </c>
      <c r="Q935" s="25" t="s">
        <v>77</v>
      </c>
      <c r="R935" t="s">
        <v>26</v>
      </c>
      <c r="S935" t="s">
        <v>26</v>
      </c>
      <c r="T935" t="s">
        <v>26</v>
      </c>
      <c r="U935" t="s">
        <v>26</v>
      </c>
      <c r="V935" t="s">
        <v>26</v>
      </c>
      <c r="W935" s="24">
        <v>39814</v>
      </c>
      <c r="X935" s="25" t="s">
        <v>77</v>
      </c>
      <c r="Y935" t="s">
        <v>26</v>
      </c>
      <c r="Z935" s="24">
        <v>39814</v>
      </c>
      <c r="AA935" s="25" t="s">
        <v>77</v>
      </c>
      <c r="AB935" t="s">
        <v>26</v>
      </c>
      <c r="AC935" s="24">
        <v>39814</v>
      </c>
      <c r="AD935" s="25" t="s">
        <v>77</v>
      </c>
      <c r="AE935" t="s">
        <v>26</v>
      </c>
      <c r="AF935" t="s">
        <v>26</v>
      </c>
      <c r="AG935" t="s">
        <v>26</v>
      </c>
      <c r="AH935" t="s">
        <v>26</v>
      </c>
      <c r="AI935" t="s">
        <v>26</v>
      </c>
      <c r="AJ935" t="s">
        <v>26</v>
      </c>
      <c r="AK935" t="s">
        <v>26</v>
      </c>
      <c r="AL935" t="s">
        <v>26</v>
      </c>
      <c r="AM935" t="s">
        <v>26</v>
      </c>
      <c r="AN935" t="s">
        <v>26</v>
      </c>
      <c r="AO935" s="25" t="s">
        <v>68</v>
      </c>
      <c r="AP935" s="23" t="s">
        <v>69</v>
      </c>
      <c r="AQ935" s="23" t="s">
        <v>30</v>
      </c>
      <c r="AR935" s="23" t="s">
        <v>46</v>
      </c>
      <c r="AS935" s="25">
        <v>2034488</v>
      </c>
      <c r="AT935" t="s">
        <v>26</v>
      </c>
      <c r="AU935" t="s">
        <v>23468</v>
      </c>
    </row>
    <row r="936" spans="1:47" ht="26.25" x14ac:dyDescent="0.4">
      <c r="A936" s="23" t="s">
        <v>2376</v>
      </c>
      <c r="B936" t="s">
        <v>26</v>
      </c>
      <c r="C936" s="23" t="s">
        <v>181</v>
      </c>
      <c r="D936" s="23" t="s">
        <v>22174</v>
      </c>
      <c r="E936" s="23" t="s">
        <v>60</v>
      </c>
      <c r="F936" s="25" t="s">
        <v>2377</v>
      </c>
      <c r="G936" s="25" t="s">
        <v>2378</v>
      </c>
      <c r="H936" t="s">
        <v>26</v>
      </c>
      <c r="I936" t="s">
        <v>26</v>
      </c>
      <c r="J936" t="s">
        <v>26</v>
      </c>
      <c r="K936" t="s">
        <v>26</v>
      </c>
      <c r="L936" s="25" t="s">
        <v>68</v>
      </c>
      <c r="M936" t="s">
        <v>26</v>
      </c>
      <c r="N936" t="s">
        <v>26</v>
      </c>
      <c r="O936" t="s">
        <v>26</v>
      </c>
      <c r="P936" t="s">
        <v>26</v>
      </c>
      <c r="Q936" t="s">
        <v>26</v>
      </c>
      <c r="R936" t="s">
        <v>26</v>
      </c>
      <c r="S936" t="s">
        <v>26</v>
      </c>
      <c r="T936" t="s">
        <v>26</v>
      </c>
      <c r="U936" t="s">
        <v>26</v>
      </c>
      <c r="V936" t="s">
        <v>26</v>
      </c>
      <c r="W936" s="24">
        <v>37987</v>
      </c>
      <c r="X936" s="25" t="s">
        <v>77</v>
      </c>
      <c r="Y936" t="s">
        <v>26</v>
      </c>
      <c r="Z936" s="24">
        <v>37987</v>
      </c>
      <c r="AA936" s="25" t="s">
        <v>77</v>
      </c>
      <c r="AB936" t="s">
        <v>26</v>
      </c>
      <c r="AC936" s="24">
        <v>37987</v>
      </c>
      <c r="AD936" s="25" t="s">
        <v>77</v>
      </c>
      <c r="AE936" t="s">
        <v>26</v>
      </c>
      <c r="AF936" t="s">
        <v>26</v>
      </c>
      <c r="AG936" t="s">
        <v>26</v>
      </c>
      <c r="AH936" t="s">
        <v>26</v>
      </c>
      <c r="AI936" t="s">
        <v>26</v>
      </c>
      <c r="AJ936" t="s">
        <v>26</v>
      </c>
      <c r="AK936" t="s">
        <v>26</v>
      </c>
      <c r="AL936" t="s">
        <v>26</v>
      </c>
      <c r="AM936" t="s">
        <v>26</v>
      </c>
      <c r="AN936" t="s">
        <v>26</v>
      </c>
      <c r="AO936" s="25" t="s">
        <v>68</v>
      </c>
      <c r="AP936" s="23" t="s">
        <v>69</v>
      </c>
      <c r="AQ936" s="23" t="s">
        <v>30</v>
      </c>
      <c r="AR936" s="23" t="s">
        <v>433</v>
      </c>
      <c r="AS936" s="25">
        <v>186246</v>
      </c>
      <c r="AT936" t="s">
        <v>26</v>
      </c>
      <c r="AU936" t="s">
        <v>23469</v>
      </c>
    </row>
    <row r="937" spans="1:47" ht="26.25" x14ac:dyDescent="0.4">
      <c r="A937" s="23" t="s">
        <v>2379</v>
      </c>
      <c r="B937" t="s">
        <v>26</v>
      </c>
      <c r="C937" s="23" t="s">
        <v>80</v>
      </c>
      <c r="D937" s="23" t="s">
        <v>22267</v>
      </c>
      <c r="E937" s="23" t="s">
        <v>60</v>
      </c>
      <c r="F937" s="25" t="s">
        <v>2380</v>
      </c>
      <c r="G937" s="25" t="s">
        <v>2381</v>
      </c>
      <c r="H937" t="s">
        <v>26</v>
      </c>
      <c r="I937" t="s">
        <v>26</v>
      </c>
      <c r="J937" t="s">
        <v>26</v>
      </c>
      <c r="K937" t="s">
        <v>26</v>
      </c>
      <c r="L937" s="25" t="s">
        <v>68</v>
      </c>
      <c r="M937" t="s">
        <v>26</v>
      </c>
      <c r="N937" t="s">
        <v>26</v>
      </c>
      <c r="O937" t="s">
        <v>26</v>
      </c>
      <c r="P937" t="s">
        <v>26</v>
      </c>
      <c r="Q937" t="s">
        <v>26</v>
      </c>
      <c r="R937" t="s">
        <v>26</v>
      </c>
      <c r="S937" t="s">
        <v>26</v>
      </c>
      <c r="T937" t="s">
        <v>26</v>
      </c>
      <c r="U937" t="s">
        <v>26</v>
      </c>
      <c r="V937" t="s">
        <v>26</v>
      </c>
      <c r="W937" s="24">
        <v>40179</v>
      </c>
      <c r="X937" s="25" t="s">
        <v>77</v>
      </c>
      <c r="Y937" t="s">
        <v>26</v>
      </c>
      <c r="Z937" s="24">
        <v>40179</v>
      </c>
      <c r="AA937" s="25" t="s">
        <v>77</v>
      </c>
      <c r="AB937" t="s">
        <v>26</v>
      </c>
      <c r="AC937" s="24">
        <v>40179</v>
      </c>
      <c r="AD937" s="25" t="s">
        <v>77</v>
      </c>
      <c r="AE937" t="s">
        <v>26</v>
      </c>
      <c r="AF937" t="s">
        <v>26</v>
      </c>
      <c r="AG937" t="s">
        <v>26</v>
      </c>
      <c r="AH937" t="s">
        <v>26</v>
      </c>
      <c r="AI937" t="s">
        <v>26</v>
      </c>
      <c r="AJ937" t="s">
        <v>26</v>
      </c>
      <c r="AK937" t="s">
        <v>26</v>
      </c>
      <c r="AL937" t="s">
        <v>26</v>
      </c>
      <c r="AM937" t="s">
        <v>26</v>
      </c>
      <c r="AN937" t="s">
        <v>26</v>
      </c>
      <c r="AO937" s="25" t="s">
        <v>68</v>
      </c>
      <c r="AP937" s="23" t="s">
        <v>69</v>
      </c>
      <c r="AQ937" s="23" t="s">
        <v>30</v>
      </c>
      <c r="AR937" s="23" t="s">
        <v>46</v>
      </c>
      <c r="AS937" s="25">
        <v>216153</v>
      </c>
      <c r="AT937" t="s">
        <v>26</v>
      </c>
      <c r="AU937" t="s">
        <v>23470</v>
      </c>
    </row>
    <row r="938" spans="1:47" ht="39.4" x14ac:dyDescent="0.4">
      <c r="A938" s="23" t="s">
        <v>2382</v>
      </c>
      <c r="B938" t="s">
        <v>26</v>
      </c>
      <c r="C938" s="23" t="s">
        <v>998</v>
      </c>
      <c r="D938" s="23" t="s">
        <v>22499</v>
      </c>
      <c r="E938" s="23" t="s">
        <v>711</v>
      </c>
      <c r="F938" s="25" t="s">
        <v>2383</v>
      </c>
      <c r="G938" s="25" t="s">
        <v>2384</v>
      </c>
      <c r="H938" t="s">
        <v>26</v>
      </c>
      <c r="I938" s="24">
        <v>43831</v>
      </c>
      <c r="J938" s="25" t="s">
        <v>77</v>
      </c>
      <c r="K938" t="s">
        <v>26</v>
      </c>
      <c r="L938" s="25" t="s">
        <v>68</v>
      </c>
      <c r="M938" s="24">
        <v>43831</v>
      </c>
      <c r="N938" s="25" t="s">
        <v>77</v>
      </c>
      <c r="O938" t="s">
        <v>26</v>
      </c>
      <c r="P938" s="24">
        <v>43831</v>
      </c>
      <c r="Q938" s="25" t="s">
        <v>77</v>
      </c>
      <c r="R938" t="s">
        <v>26</v>
      </c>
      <c r="S938" t="s">
        <v>26</v>
      </c>
      <c r="T938" t="s">
        <v>26</v>
      </c>
      <c r="U938" t="s">
        <v>26</v>
      </c>
      <c r="V938" t="s">
        <v>26</v>
      </c>
      <c r="W938" s="24">
        <v>43831</v>
      </c>
      <c r="X938" s="25" t="s">
        <v>77</v>
      </c>
      <c r="Y938" t="s">
        <v>26</v>
      </c>
      <c r="Z938" s="24">
        <v>43831</v>
      </c>
      <c r="AA938" s="25" t="s">
        <v>77</v>
      </c>
      <c r="AB938" t="s">
        <v>26</v>
      </c>
      <c r="AC938" s="24">
        <v>43831</v>
      </c>
      <c r="AD938" s="25" t="s">
        <v>77</v>
      </c>
      <c r="AE938" t="s">
        <v>26</v>
      </c>
      <c r="AF938" t="s">
        <v>26</v>
      </c>
      <c r="AG938" t="s">
        <v>26</v>
      </c>
      <c r="AH938" t="s">
        <v>26</v>
      </c>
      <c r="AI938" t="s">
        <v>26</v>
      </c>
      <c r="AJ938" t="s">
        <v>26</v>
      </c>
      <c r="AK938" t="s">
        <v>26</v>
      </c>
      <c r="AL938" t="s">
        <v>26</v>
      </c>
      <c r="AM938" t="s">
        <v>26</v>
      </c>
      <c r="AN938" t="s">
        <v>26</v>
      </c>
      <c r="AO938" s="25" t="s">
        <v>68</v>
      </c>
      <c r="AP938" s="23" t="s">
        <v>69</v>
      </c>
      <c r="AQ938" s="23" t="s">
        <v>226</v>
      </c>
      <c r="AR938" s="23" t="s">
        <v>2385</v>
      </c>
      <c r="AS938" s="25">
        <v>5046900</v>
      </c>
      <c r="AT938" t="s">
        <v>26</v>
      </c>
      <c r="AU938" t="s">
        <v>23471</v>
      </c>
    </row>
    <row r="939" spans="1:47" ht="26.25" x14ac:dyDescent="0.4">
      <c r="A939" s="23" t="s">
        <v>2386</v>
      </c>
      <c r="B939" t="s">
        <v>26</v>
      </c>
      <c r="C939" s="23" t="s">
        <v>264</v>
      </c>
      <c r="D939" s="23" t="s">
        <v>23125</v>
      </c>
      <c r="E939" s="23" t="s">
        <v>60</v>
      </c>
      <c r="F939" s="25" t="s">
        <v>2387</v>
      </c>
      <c r="G939" s="25" t="s">
        <v>2388</v>
      </c>
      <c r="H939" t="s">
        <v>26</v>
      </c>
      <c r="I939" s="24">
        <v>33604</v>
      </c>
      <c r="J939" s="25" t="s">
        <v>77</v>
      </c>
      <c r="K939" t="s">
        <v>26</v>
      </c>
      <c r="L939" s="25" t="s">
        <v>68</v>
      </c>
      <c r="M939" s="24">
        <v>33635</v>
      </c>
      <c r="N939" s="25" t="s">
        <v>77</v>
      </c>
      <c r="O939" t="s">
        <v>26</v>
      </c>
      <c r="P939" s="24">
        <v>33604</v>
      </c>
      <c r="Q939" s="25" t="s">
        <v>77</v>
      </c>
      <c r="R939" s="25" t="s">
        <v>23472</v>
      </c>
      <c r="S939" t="s">
        <v>26</v>
      </c>
      <c r="T939" t="s">
        <v>26</v>
      </c>
      <c r="U939" t="s">
        <v>26</v>
      </c>
      <c r="V939" s="25">
        <v>365</v>
      </c>
      <c r="W939" s="24">
        <v>27440</v>
      </c>
      <c r="X939" s="25" t="s">
        <v>77</v>
      </c>
      <c r="Y939" t="s">
        <v>26</v>
      </c>
      <c r="Z939" s="24">
        <v>27440</v>
      </c>
      <c r="AA939" s="25" t="s">
        <v>77</v>
      </c>
      <c r="AB939" t="s">
        <v>26</v>
      </c>
      <c r="AC939" s="24">
        <v>27440</v>
      </c>
      <c r="AD939" s="25" t="s">
        <v>77</v>
      </c>
      <c r="AE939" t="s">
        <v>26</v>
      </c>
      <c r="AF939" t="s">
        <v>26</v>
      </c>
      <c r="AG939" t="s">
        <v>26</v>
      </c>
      <c r="AH939" t="s">
        <v>26</v>
      </c>
      <c r="AI939" t="s">
        <v>26</v>
      </c>
      <c r="AJ939" t="s">
        <v>26</v>
      </c>
      <c r="AK939" t="s">
        <v>26</v>
      </c>
      <c r="AL939" t="s">
        <v>26</v>
      </c>
      <c r="AM939" t="s">
        <v>26</v>
      </c>
      <c r="AN939" t="s">
        <v>26</v>
      </c>
      <c r="AO939" s="25" t="s">
        <v>68</v>
      </c>
      <c r="AP939" s="23" t="s">
        <v>69</v>
      </c>
      <c r="AQ939" s="23" t="s">
        <v>30</v>
      </c>
      <c r="AR939" s="23" t="s">
        <v>2389</v>
      </c>
      <c r="AS939" s="25">
        <v>3659</v>
      </c>
      <c r="AT939" t="s">
        <v>26</v>
      </c>
      <c r="AU939" t="s">
        <v>23473</v>
      </c>
    </row>
    <row r="940" spans="1:47" ht="39.4" x14ac:dyDescent="0.4">
      <c r="A940" s="23" t="s">
        <v>2390</v>
      </c>
      <c r="B940" t="s">
        <v>26</v>
      </c>
      <c r="C940" s="23" t="s">
        <v>2391</v>
      </c>
      <c r="D940" s="23" t="s">
        <v>23474</v>
      </c>
      <c r="E940" s="23" t="s">
        <v>2392</v>
      </c>
      <c r="F940" s="25" t="s">
        <v>2393</v>
      </c>
      <c r="G940" s="25" t="s">
        <v>2394</v>
      </c>
      <c r="H940" t="s">
        <v>26</v>
      </c>
      <c r="I940" s="24">
        <v>39052</v>
      </c>
      <c r="J940" s="25" t="s">
        <v>77</v>
      </c>
      <c r="K940" t="s">
        <v>26</v>
      </c>
      <c r="L940" s="25" t="s">
        <v>68</v>
      </c>
      <c r="M940" t="s">
        <v>26</v>
      </c>
      <c r="N940" t="s">
        <v>26</v>
      </c>
      <c r="O940" t="s">
        <v>26</v>
      </c>
      <c r="P940" s="24">
        <v>39052</v>
      </c>
      <c r="Q940" s="25" t="s">
        <v>77</v>
      </c>
      <c r="R940" t="s">
        <v>26</v>
      </c>
      <c r="S940" t="s">
        <v>26</v>
      </c>
      <c r="T940" t="s">
        <v>26</v>
      </c>
      <c r="U940" t="s">
        <v>26</v>
      </c>
      <c r="V940" t="s">
        <v>26</v>
      </c>
      <c r="W940" s="24">
        <v>39052</v>
      </c>
      <c r="X940" s="25" t="s">
        <v>77</v>
      </c>
      <c r="Y940" t="s">
        <v>26</v>
      </c>
      <c r="Z940" s="24">
        <v>39052</v>
      </c>
      <c r="AA940" s="25" t="s">
        <v>77</v>
      </c>
      <c r="AB940" t="s">
        <v>26</v>
      </c>
      <c r="AC940" s="24">
        <v>39052</v>
      </c>
      <c r="AD940" s="25" t="s">
        <v>77</v>
      </c>
      <c r="AE940" t="s">
        <v>26</v>
      </c>
      <c r="AF940" t="s">
        <v>26</v>
      </c>
      <c r="AG940" t="s">
        <v>26</v>
      </c>
      <c r="AH940" t="s">
        <v>26</v>
      </c>
      <c r="AI940" t="s">
        <v>26</v>
      </c>
      <c r="AJ940" t="s">
        <v>26</v>
      </c>
      <c r="AK940" t="s">
        <v>26</v>
      </c>
      <c r="AL940" t="s">
        <v>26</v>
      </c>
      <c r="AM940" t="s">
        <v>26</v>
      </c>
      <c r="AN940" t="s">
        <v>26</v>
      </c>
      <c r="AO940" s="25" t="s">
        <v>68</v>
      </c>
      <c r="AP940" s="23" t="s">
        <v>69</v>
      </c>
      <c r="AQ940" s="23" t="s">
        <v>151</v>
      </c>
      <c r="AR940" s="23" t="s">
        <v>70</v>
      </c>
      <c r="AS940" s="25">
        <v>2028923</v>
      </c>
      <c r="AT940" t="s">
        <v>26</v>
      </c>
      <c r="AU940" t="s">
        <v>23475</v>
      </c>
    </row>
    <row r="941" spans="1:47" ht="26.25" x14ac:dyDescent="0.4">
      <c r="A941" s="23" t="s">
        <v>2395</v>
      </c>
      <c r="B941" t="s">
        <v>26</v>
      </c>
      <c r="C941" s="23" t="s">
        <v>320</v>
      </c>
      <c r="D941" s="23" t="s">
        <v>22599</v>
      </c>
      <c r="E941" s="23" t="s">
        <v>42</v>
      </c>
      <c r="F941" s="25" t="s">
        <v>2396</v>
      </c>
      <c r="G941" s="25" t="s">
        <v>2397</v>
      </c>
      <c r="H941" t="s">
        <v>26</v>
      </c>
      <c r="I941" t="s">
        <v>26</v>
      </c>
      <c r="J941" t="s">
        <v>26</v>
      </c>
      <c r="K941" t="s">
        <v>26</v>
      </c>
      <c r="L941" s="25" t="s">
        <v>68</v>
      </c>
      <c r="M941" t="s">
        <v>26</v>
      </c>
      <c r="N941" t="s">
        <v>26</v>
      </c>
      <c r="O941" t="s">
        <v>26</v>
      </c>
      <c r="P941" t="s">
        <v>26</v>
      </c>
      <c r="Q941" t="s">
        <v>26</v>
      </c>
      <c r="R941" t="s">
        <v>26</v>
      </c>
      <c r="S941" t="s">
        <v>26</v>
      </c>
      <c r="T941" t="s">
        <v>26</v>
      </c>
      <c r="U941" t="s">
        <v>26</v>
      </c>
      <c r="V941" t="s">
        <v>26</v>
      </c>
      <c r="W941" s="24">
        <v>36008</v>
      </c>
      <c r="X941" s="25" t="s">
        <v>77</v>
      </c>
      <c r="Y941" s="25" t="s">
        <v>2398</v>
      </c>
      <c r="Z941" s="24">
        <v>36008</v>
      </c>
      <c r="AA941" s="25" t="s">
        <v>77</v>
      </c>
      <c r="AB941" s="25" t="s">
        <v>2398</v>
      </c>
      <c r="AC941" s="24">
        <v>41699</v>
      </c>
      <c r="AD941" s="25" t="s">
        <v>77</v>
      </c>
      <c r="AE941" s="25" t="s">
        <v>23334</v>
      </c>
      <c r="AF941" t="s">
        <v>26</v>
      </c>
      <c r="AG941" t="s">
        <v>26</v>
      </c>
      <c r="AH941" t="s">
        <v>26</v>
      </c>
      <c r="AI941" t="s">
        <v>26</v>
      </c>
      <c r="AJ941" t="s">
        <v>26</v>
      </c>
      <c r="AK941" t="s">
        <v>26</v>
      </c>
      <c r="AL941" t="s">
        <v>26</v>
      </c>
      <c r="AM941" t="s">
        <v>26</v>
      </c>
      <c r="AN941" t="s">
        <v>26</v>
      </c>
      <c r="AO941" s="25" t="s">
        <v>68</v>
      </c>
      <c r="AP941" s="23" t="s">
        <v>69</v>
      </c>
      <c r="AQ941" s="23" t="s">
        <v>30</v>
      </c>
      <c r="AR941" s="23" t="s">
        <v>2399</v>
      </c>
      <c r="AS941" s="25">
        <v>34057</v>
      </c>
      <c r="AT941" t="s">
        <v>26</v>
      </c>
      <c r="AU941" t="s">
        <v>23476</v>
      </c>
    </row>
    <row r="942" spans="1:47" ht="26.25" x14ac:dyDescent="0.4">
      <c r="A942" s="23" t="s">
        <v>2400</v>
      </c>
      <c r="B942" t="s">
        <v>26</v>
      </c>
      <c r="C942" s="23" t="s">
        <v>107</v>
      </c>
      <c r="D942" s="23" t="s">
        <v>22397</v>
      </c>
      <c r="E942" s="23" t="s">
        <v>42</v>
      </c>
      <c r="F942" s="25" t="s">
        <v>2401</v>
      </c>
      <c r="G942" s="25" t="s">
        <v>2402</v>
      </c>
      <c r="H942" t="s">
        <v>26</v>
      </c>
      <c r="I942" t="s">
        <v>26</v>
      </c>
      <c r="J942" t="s">
        <v>26</v>
      </c>
      <c r="K942" t="s">
        <v>26</v>
      </c>
      <c r="L942" s="25" t="s">
        <v>68</v>
      </c>
      <c r="M942" t="s">
        <v>26</v>
      </c>
      <c r="N942" t="s">
        <v>26</v>
      </c>
      <c r="O942" t="s">
        <v>26</v>
      </c>
      <c r="P942" t="s">
        <v>26</v>
      </c>
      <c r="Q942" t="s">
        <v>26</v>
      </c>
      <c r="R942" t="s">
        <v>26</v>
      </c>
      <c r="S942" t="s">
        <v>26</v>
      </c>
      <c r="T942" t="s">
        <v>26</v>
      </c>
      <c r="U942" t="s">
        <v>26</v>
      </c>
      <c r="V942" t="s">
        <v>26</v>
      </c>
      <c r="W942" s="24">
        <v>37987</v>
      </c>
      <c r="X942" s="24">
        <v>44136</v>
      </c>
      <c r="Y942" t="s">
        <v>26</v>
      </c>
      <c r="Z942" s="24">
        <v>37987</v>
      </c>
      <c r="AA942" s="24">
        <v>44136</v>
      </c>
      <c r="AB942" t="s">
        <v>26</v>
      </c>
      <c r="AC942" s="24">
        <v>37987</v>
      </c>
      <c r="AD942" s="24">
        <v>44136</v>
      </c>
      <c r="AE942" t="s">
        <v>26</v>
      </c>
      <c r="AF942" t="s">
        <v>26</v>
      </c>
      <c r="AG942" t="s">
        <v>26</v>
      </c>
      <c r="AH942" t="s">
        <v>26</v>
      </c>
      <c r="AI942" t="s">
        <v>26</v>
      </c>
      <c r="AJ942" t="s">
        <v>26</v>
      </c>
      <c r="AK942" t="s">
        <v>26</v>
      </c>
      <c r="AL942" t="s">
        <v>26</v>
      </c>
      <c r="AM942" t="s">
        <v>26</v>
      </c>
      <c r="AN942" t="s">
        <v>26</v>
      </c>
      <c r="AO942" s="25" t="s">
        <v>68</v>
      </c>
      <c r="AP942" s="23" t="s">
        <v>69</v>
      </c>
      <c r="AQ942" s="23" t="s">
        <v>30</v>
      </c>
      <c r="AR942" s="23" t="s">
        <v>46</v>
      </c>
      <c r="AS942" s="25">
        <v>37239</v>
      </c>
      <c r="AT942" t="s">
        <v>26</v>
      </c>
      <c r="AU942" t="s">
        <v>23477</v>
      </c>
    </row>
    <row r="943" spans="1:47" ht="26.25" x14ac:dyDescent="0.4">
      <c r="A943" s="23" t="s">
        <v>2403</v>
      </c>
      <c r="B943" t="s">
        <v>26</v>
      </c>
      <c r="C943" s="23" t="s">
        <v>2404</v>
      </c>
      <c r="D943" s="23" t="s">
        <v>23395</v>
      </c>
      <c r="E943" t="s">
        <v>26</v>
      </c>
      <c r="F943" t="s">
        <v>26</v>
      </c>
      <c r="G943" s="25" t="s">
        <v>2405</v>
      </c>
      <c r="H943" t="s">
        <v>26</v>
      </c>
      <c r="I943" s="24">
        <v>42095</v>
      </c>
      <c r="J943" s="24">
        <v>42186</v>
      </c>
      <c r="K943" t="s">
        <v>26</v>
      </c>
      <c r="L943" s="25" t="s">
        <v>68</v>
      </c>
      <c r="M943" s="24">
        <v>42095</v>
      </c>
      <c r="N943" s="24">
        <v>42186</v>
      </c>
      <c r="O943" t="s">
        <v>26</v>
      </c>
      <c r="P943" s="24">
        <v>42095</v>
      </c>
      <c r="Q943" s="24">
        <v>42186</v>
      </c>
      <c r="R943" t="s">
        <v>26</v>
      </c>
      <c r="S943" t="s">
        <v>26</v>
      </c>
      <c r="T943" t="s">
        <v>26</v>
      </c>
      <c r="U943" t="s">
        <v>26</v>
      </c>
      <c r="V943" t="s">
        <v>26</v>
      </c>
      <c r="W943" s="24">
        <v>42095</v>
      </c>
      <c r="X943" s="24">
        <v>42186</v>
      </c>
      <c r="Y943" t="s">
        <v>26</v>
      </c>
      <c r="Z943" s="24">
        <v>42095</v>
      </c>
      <c r="AA943" s="24">
        <v>42186</v>
      </c>
      <c r="AB943" t="s">
        <v>26</v>
      </c>
      <c r="AC943" s="24">
        <v>42095</v>
      </c>
      <c r="AD943" s="24">
        <v>42186</v>
      </c>
      <c r="AE943" t="s">
        <v>26</v>
      </c>
      <c r="AF943" t="s">
        <v>26</v>
      </c>
      <c r="AG943" t="s">
        <v>26</v>
      </c>
      <c r="AH943" t="s">
        <v>26</v>
      </c>
      <c r="AI943" t="s">
        <v>26</v>
      </c>
      <c r="AJ943" t="s">
        <v>26</v>
      </c>
      <c r="AK943" t="s">
        <v>26</v>
      </c>
      <c r="AL943" t="s">
        <v>26</v>
      </c>
      <c r="AM943" t="s">
        <v>26</v>
      </c>
      <c r="AN943" t="s">
        <v>26</v>
      </c>
      <c r="AO943" s="25" t="s">
        <v>68</v>
      </c>
      <c r="AP943" s="23" t="s">
        <v>69</v>
      </c>
      <c r="AQ943" s="23" t="s">
        <v>30</v>
      </c>
      <c r="AR943" s="23" t="s">
        <v>46</v>
      </c>
      <c r="AS943" s="25">
        <v>2042883</v>
      </c>
      <c r="AT943" t="s">
        <v>26</v>
      </c>
      <c r="AU943" t="s">
        <v>23478</v>
      </c>
    </row>
    <row r="944" spans="1:47" ht="26.25" x14ac:dyDescent="0.4">
      <c r="A944" s="23" t="s">
        <v>2406</v>
      </c>
      <c r="B944" t="s">
        <v>26</v>
      </c>
      <c r="C944" s="23" t="s">
        <v>2407</v>
      </c>
      <c r="D944" s="23" t="s">
        <v>23479</v>
      </c>
      <c r="E944" s="23" t="s">
        <v>139</v>
      </c>
      <c r="F944" s="25" t="s">
        <v>2408</v>
      </c>
      <c r="G944" s="25" t="s">
        <v>2409</v>
      </c>
      <c r="H944" t="s">
        <v>26</v>
      </c>
      <c r="I944" s="24">
        <v>40909</v>
      </c>
      <c r="J944" s="24">
        <v>41456</v>
      </c>
      <c r="K944" t="s">
        <v>26</v>
      </c>
      <c r="L944" s="25" t="s">
        <v>68</v>
      </c>
      <c r="M944" s="24">
        <v>40909</v>
      </c>
      <c r="N944" s="24">
        <v>41456</v>
      </c>
      <c r="O944" t="s">
        <v>26</v>
      </c>
      <c r="P944" s="24">
        <v>40909</v>
      </c>
      <c r="Q944" s="24">
        <v>41456</v>
      </c>
      <c r="R944" t="s">
        <v>26</v>
      </c>
      <c r="S944" t="s">
        <v>26</v>
      </c>
      <c r="T944" t="s">
        <v>26</v>
      </c>
      <c r="U944" t="s">
        <v>26</v>
      </c>
      <c r="V944" t="s">
        <v>26</v>
      </c>
      <c r="W944" s="24">
        <v>40909</v>
      </c>
      <c r="X944" s="24">
        <v>44197</v>
      </c>
      <c r="Y944" t="s">
        <v>26</v>
      </c>
      <c r="Z944" s="24">
        <v>40909</v>
      </c>
      <c r="AA944" s="24">
        <v>44197</v>
      </c>
      <c r="AB944" t="s">
        <v>26</v>
      </c>
      <c r="AC944" s="24">
        <v>40909</v>
      </c>
      <c r="AD944" s="24">
        <v>41456</v>
      </c>
      <c r="AE944" t="s">
        <v>26</v>
      </c>
      <c r="AF944" t="s">
        <v>26</v>
      </c>
      <c r="AG944" t="s">
        <v>26</v>
      </c>
      <c r="AH944" t="s">
        <v>26</v>
      </c>
      <c r="AI944" t="s">
        <v>26</v>
      </c>
      <c r="AJ944" t="s">
        <v>26</v>
      </c>
      <c r="AK944" t="s">
        <v>26</v>
      </c>
      <c r="AL944" t="s">
        <v>26</v>
      </c>
      <c r="AM944" t="s">
        <v>26</v>
      </c>
      <c r="AN944" t="s">
        <v>26</v>
      </c>
      <c r="AO944" s="25" t="s">
        <v>68</v>
      </c>
      <c r="AP944" s="23" t="s">
        <v>69</v>
      </c>
      <c r="AQ944" s="23" t="s">
        <v>30</v>
      </c>
      <c r="AR944" s="23" t="s">
        <v>650</v>
      </c>
      <c r="AS944" s="25">
        <v>1536337</v>
      </c>
      <c r="AT944" t="s">
        <v>26</v>
      </c>
      <c r="AU944" t="s">
        <v>23480</v>
      </c>
    </row>
    <row r="945" spans="1:47" ht="26.25" x14ac:dyDescent="0.4">
      <c r="A945" s="23" t="s">
        <v>2406</v>
      </c>
      <c r="B945" t="s">
        <v>26</v>
      </c>
      <c r="C945" s="23" t="s">
        <v>2410</v>
      </c>
      <c r="D945" s="23" t="s">
        <v>22207</v>
      </c>
      <c r="E945" s="23" t="s">
        <v>139</v>
      </c>
      <c r="F945" s="25" t="s">
        <v>2408</v>
      </c>
      <c r="G945" s="25" t="s">
        <v>2409</v>
      </c>
      <c r="H945" t="s">
        <v>26</v>
      </c>
      <c r="I945" s="24">
        <v>41640</v>
      </c>
      <c r="J945" s="25" t="s">
        <v>77</v>
      </c>
      <c r="K945" t="s">
        <v>26</v>
      </c>
      <c r="L945" s="25" t="s">
        <v>68</v>
      </c>
      <c r="M945" s="24">
        <v>41640</v>
      </c>
      <c r="N945" s="25" t="s">
        <v>77</v>
      </c>
      <c r="O945" t="s">
        <v>26</v>
      </c>
      <c r="P945" s="24">
        <v>41640</v>
      </c>
      <c r="Q945" s="25" t="s">
        <v>77</v>
      </c>
      <c r="R945" t="s">
        <v>26</v>
      </c>
      <c r="S945" t="s">
        <v>26</v>
      </c>
      <c r="T945" t="s">
        <v>26</v>
      </c>
      <c r="U945" t="s">
        <v>26</v>
      </c>
      <c r="V945" t="s">
        <v>26</v>
      </c>
      <c r="W945" s="24">
        <v>41456</v>
      </c>
      <c r="X945" s="25" t="s">
        <v>77</v>
      </c>
      <c r="Y945" t="s">
        <v>26</v>
      </c>
      <c r="Z945" s="24">
        <v>41456</v>
      </c>
      <c r="AA945" s="25" t="s">
        <v>77</v>
      </c>
      <c r="AB945" t="s">
        <v>26</v>
      </c>
      <c r="AC945" s="24">
        <v>41640</v>
      </c>
      <c r="AD945" s="25" t="s">
        <v>77</v>
      </c>
      <c r="AE945" t="s">
        <v>26</v>
      </c>
      <c r="AF945" t="s">
        <v>26</v>
      </c>
      <c r="AG945" t="s">
        <v>26</v>
      </c>
      <c r="AH945" t="s">
        <v>26</v>
      </c>
      <c r="AI945" t="s">
        <v>26</v>
      </c>
      <c r="AJ945" t="s">
        <v>26</v>
      </c>
      <c r="AK945" t="s">
        <v>26</v>
      </c>
      <c r="AL945" t="s">
        <v>26</v>
      </c>
      <c r="AM945" t="s">
        <v>26</v>
      </c>
      <c r="AN945" t="s">
        <v>26</v>
      </c>
      <c r="AO945" s="25" t="s">
        <v>68</v>
      </c>
      <c r="AP945" s="23" t="s">
        <v>69</v>
      </c>
      <c r="AQ945" s="23" t="s">
        <v>30</v>
      </c>
      <c r="AR945" s="23" t="s">
        <v>650</v>
      </c>
      <c r="AS945" s="25">
        <v>2046293</v>
      </c>
      <c r="AT945" t="s">
        <v>26</v>
      </c>
      <c r="AU945" t="s">
        <v>23481</v>
      </c>
    </row>
    <row r="946" spans="1:47" ht="26.25" x14ac:dyDescent="0.4">
      <c r="A946" s="23" t="s">
        <v>2411</v>
      </c>
      <c r="B946" t="s">
        <v>26</v>
      </c>
      <c r="C946" s="23" t="s">
        <v>73</v>
      </c>
      <c r="D946" s="23" t="s">
        <v>22211</v>
      </c>
      <c r="E946" s="23" t="s">
        <v>74</v>
      </c>
      <c r="F946" s="25" t="s">
        <v>2412</v>
      </c>
      <c r="G946" s="25" t="s">
        <v>2413</v>
      </c>
      <c r="H946" t="s">
        <v>26</v>
      </c>
      <c r="I946" s="24">
        <v>36220</v>
      </c>
      <c r="J946" s="24">
        <v>43556</v>
      </c>
      <c r="K946" t="s">
        <v>26</v>
      </c>
      <c r="L946" s="25" t="s">
        <v>68</v>
      </c>
      <c r="M946" s="24">
        <v>36220</v>
      </c>
      <c r="N946" s="24">
        <v>42826</v>
      </c>
      <c r="O946" t="s">
        <v>26</v>
      </c>
      <c r="P946" s="24">
        <v>36220</v>
      </c>
      <c r="Q946" s="24">
        <v>43556</v>
      </c>
      <c r="R946" t="s">
        <v>26</v>
      </c>
      <c r="S946" t="s">
        <v>26</v>
      </c>
      <c r="T946" t="s">
        <v>26</v>
      </c>
      <c r="U946" t="s">
        <v>26</v>
      </c>
      <c r="V946" t="s">
        <v>26</v>
      </c>
      <c r="W946" s="24">
        <v>35796</v>
      </c>
      <c r="X946" s="25" t="s">
        <v>77</v>
      </c>
      <c r="Y946" t="s">
        <v>26</v>
      </c>
      <c r="Z946" s="24">
        <v>35796</v>
      </c>
      <c r="AA946" s="25" t="s">
        <v>77</v>
      </c>
      <c r="AB946" t="s">
        <v>26</v>
      </c>
      <c r="AC946" s="24">
        <v>36220</v>
      </c>
      <c r="AD946" s="25" t="s">
        <v>77</v>
      </c>
      <c r="AE946" t="s">
        <v>26</v>
      </c>
      <c r="AF946" t="s">
        <v>26</v>
      </c>
      <c r="AG946" t="s">
        <v>26</v>
      </c>
      <c r="AH946" t="s">
        <v>26</v>
      </c>
      <c r="AI946" t="s">
        <v>26</v>
      </c>
      <c r="AJ946" t="s">
        <v>26</v>
      </c>
      <c r="AK946" t="s">
        <v>26</v>
      </c>
      <c r="AL946" t="s">
        <v>26</v>
      </c>
      <c r="AM946" t="s">
        <v>26</v>
      </c>
      <c r="AN946" t="s">
        <v>26</v>
      </c>
      <c r="AO946" s="25" t="s">
        <v>68</v>
      </c>
      <c r="AP946" s="23" t="s">
        <v>69</v>
      </c>
      <c r="AQ946" s="23" t="s">
        <v>620</v>
      </c>
      <c r="AR946" s="23" t="s">
        <v>123</v>
      </c>
      <c r="AS946" s="25">
        <v>2034548</v>
      </c>
      <c r="AT946" t="s">
        <v>26</v>
      </c>
      <c r="AU946" t="s">
        <v>23482</v>
      </c>
    </row>
    <row r="947" spans="1:47" ht="26.25" x14ac:dyDescent="0.4">
      <c r="A947" s="23" t="s">
        <v>2414</v>
      </c>
      <c r="B947" t="s">
        <v>26</v>
      </c>
      <c r="C947" s="23" t="s">
        <v>80</v>
      </c>
      <c r="D947" s="23" t="s">
        <v>22184</v>
      </c>
      <c r="E947" s="23" t="s">
        <v>60</v>
      </c>
      <c r="F947" s="25" t="s">
        <v>2415</v>
      </c>
      <c r="G947" s="25" t="s">
        <v>2416</v>
      </c>
      <c r="H947" t="s">
        <v>26</v>
      </c>
      <c r="I947" t="s">
        <v>26</v>
      </c>
      <c r="J947" t="s">
        <v>26</v>
      </c>
      <c r="K947" t="s">
        <v>26</v>
      </c>
      <c r="L947" s="25" t="s">
        <v>68</v>
      </c>
      <c r="M947" t="s">
        <v>26</v>
      </c>
      <c r="N947" t="s">
        <v>26</v>
      </c>
      <c r="O947" t="s">
        <v>26</v>
      </c>
      <c r="P947" t="s">
        <v>26</v>
      </c>
      <c r="Q947" t="s">
        <v>26</v>
      </c>
      <c r="R947" t="s">
        <v>26</v>
      </c>
      <c r="S947" t="s">
        <v>26</v>
      </c>
      <c r="T947" t="s">
        <v>26</v>
      </c>
      <c r="U947" t="s">
        <v>26</v>
      </c>
      <c r="V947" t="s">
        <v>26</v>
      </c>
      <c r="W947" s="24">
        <v>40238</v>
      </c>
      <c r="X947" s="25" t="s">
        <v>77</v>
      </c>
      <c r="Y947" t="s">
        <v>26</v>
      </c>
      <c r="Z947" s="24">
        <v>40238</v>
      </c>
      <c r="AA947" s="25" t="s">
        <v>77</v>
      </c>
      <c r="AB947" t="s">
        <v>26</v>
      </c>
      <c r="AC947" s="24">
        <v>40238</v>
      </c>
      <c r="AD947" s="25" t="s">
        <v>77</v>
      </c>
      <c r="AE947" t="s">
        <v>26</v>
      </c>
      <c r="AF947" t="s">
        <v>26</v>
      </c>
      <c r="AG947" t="s">
        <v>26</v>
      </c>
      <c r="AH947" t="s">
        <v>26</v>
      </c>
      <c r="AI947" t="s">
        <v>26</v>
      </c>
      <c r="AJ947" t="s">
        <v>26</v>
      </c>
      <c r="AK947" t="s">
        <v>26</v>
      </c>
      <c r="AL947" t="s">
        <v>26</v>
      </c>
      <c r="AM947" t="s">
        <v>26</v>
      </c>
      <c r="AN947" t="s">
        <v>26</v>
      </c>
      <c r="AO947" s="25" t="s">
        <v>68</v>
      </c>
      <c r="AP947" s="23" t="s">
        <v>69</v>
      </c>
      <c r="AQ947" s="23" t="s">
        <v>30</v>
      </c>
      <c r="AR947" s="23" t="s">
        <v>70</v>
      </c>
      <c r="AS947" s="25">
        <v>176160</v>
      </c>
      <c r="AT947" t="s">
        <v>26</v>
      </c>
      <c r="AU947" t="s">
        <v>23483</v>
      </c>
    </row>
    <row r="948" spans="1:47" ht="26.25" x14ac:dyDescent="0.4">
      <c r="A948" s="23" t="s">
        <v>2417</v>
      </c>
      <c r="B948" t="s">
        <v>26</v>
      </c>
      <c r="C948" s="23" t="s">
        <v>80</v>
      </c>
      <c r="D948" s="23" t="s">
        <v>22184</v>
      </c>
      <c r="E948" s="23" t="s">
        <v>60</v>
      </c>
      <c r="F948" t="s">
        <v>26</v>
      </c>
      <c r="G948" s="25" t="s">
        <v>2418</v>
      </c>
      <c r="H948" t="s">
        <v>26</v>
      </c>
      <c r="I948" s="24">
        <v>41275</v>
      </c>
      <c r="J948" s="25" t="s">
        <v>77</v>
      </c>
      <c r="K948" t="s">
        <v>26</v>
      </c>
      <c r="L948" s="25" t="s">
        <v>68</v>
      </c>
      <c r="M948" s="24">
        <v>41275</v>
      </c>
      <c r="N948" s="24">
        <v>43101</v>
      </c>
      <c r="O948" t="s">
        <v>26</v>
      </c>
      <c r="P948" s="24">
        <v>41275</v>
      </c>
      <c r="Q948" s="25" t="s">
        <v>77</v>
      </c>
      <c r="R948" t="s">
        <v>26</v>
      </c>
      <c r="S948" t="s">
        <v>26</v>
      </c>
      <c r="T948" t="s">
        <v>26</v>
      </c>
      <c r="U948" t="s">
        <v>26</v>
      </c>
      <c r="V948" t="s">
        <v>26</v>
      </c>
      <c r="W948" s="24">
        <v>41275</v>
      </c>
      <c r="X948" s="25" t="s">
        <v>77</v>
      </c>
      <c r="Y948" t="s">
        <v>26</v>
      </c>
      <c r="Z948" s="24">
        <v>41275</v>
      </c>
      <c r="AA948" s="25" t="s">
        <v>77</v>
      </c>
      <c r="AB948" t="s">
        <v>26</v>
      </c>
      <c r="AC948" s="24">
        <v>41275</v>
      </c>
      <c r="AD948" s="25" t="s">
        <v>77</v>
      </c>
      <c r="AE948" t="s">
        <v>26</v>
      </c>
      <c r="AF948" t="s">
        <v>26</v>
      </c>
      <c r="AG948" t="s">
        <v>26</v>
      </c>
      <c r="AH948" t="s">
        <v>26</v>
      </c>
      <c r="AI948" t="s">
        <v>26</v>
      </c>
      <c r="AJ948" t="s">
        <v>26</v>
      </c>
      <c r="AK948" t="s">
        <v>26</v>
      </c>
      <c r="AL948" t="s">
        <v>26</v>
      </c>
      <c r="AM948" t="s">
        <v>26</v>
      </c>
      <c r="AN948" t="s">
        <v>26</v>
      </c>
      <c r="AO948" s="25" t="s">
        <v>68</v>
      </c>
      <c r="AP948" s="23" t="s">
        <v>69</v>
      </c>
      <c r="AQ948" s="23" t="s">
        <v>30</v>
      </c>
      <c r="AR948" s="23" t="s">
        <v>46</v>
      </c>
      <c r="AS948" s="25">
        <v>2030020</v>
      </c>
      <c r="AT948" t="s">
        <v>26</v>
      </c>
      <c r="AU948" t="s">
        <v>23484</v>
      </c>
    </row>
    <row r="949" spans="1:47" ht="26.25" x14ac:dyDescent="0.4">
      <c r="A949" s="23" t="s">
        <v>2419</v>
      </c>
      <c r="B949" t="s">
        <v>26</v>
      </c>
      <c r="C949" s="23" t="s">
        <v>351</v>
      </c>
      <c r="D949" s="23" t="s">
        <v>22242</v>
      </c>
      <c r="E949" s="23" t="s">
        <v>60</v>
      </c>
      <c r="F949" s="25" t="s">
        <v>2420</v>
      </c>
      <c r="G949" s="25" t="s">
        <v>2421</v>
      </c>
      <c r="H949" t="s">
        <v>26</v>
      </c>
      <c r="I949" t="s">
        <v>26</v>
      </c>
      <c r="J949" t="s">
        <v>26</v>
      </c>
      <c r="K949" t="s">
        <v>26</v>
      </c>
      <c r="L949" s="25" t="s">
        <v>68</v>
      </c>
      <c r="M949" t="s">
        <v>26</v>
      </c>
      <c r="N949" t="s">
        <v>26</v>
      </c>
      <c r="O949" t="s">
        <v>26</v>
      </c>
      <c r="P949" t="s">
        <v>26</v>
      </c>
      <c r="Q949" t="s">
        <v>26</v>
      </c>
      <c r="R949" t="s">
        <v>26</v>
      </c>
      <c r="S949" t="s">
        <v>26</v>
      </c>
      <c r="T949" t="s">
        <v>26</v>
      </c>
      <c r="U949" t="s">
        <v>26</v>
      </c>
      <c r="V949" t="s">
        <v>26</v>
      </c>
      <c r="W949" s="24">
        <v>36586</v>
      </c>
      <c r="X949" s="25" t="s">
        <v>77</v>
      </c>
      <c r="Y949" s="25" t="s">
        <v>859</v>
      </c>
      <c r="Z949" s="24">
        <v>36586</v>
      </c>
      <c r="AA949" s="25" t="s">
        <v>77</v>
      </c>
      <c r="AB949" s="25" t="s">
        <v>859</v>
      </c>
      <c r="AC949" s="24">
        <v>36586</v>
      </c>
      <c r="AD949" s="25" t="s">
        <v>77</v>
      </c>
      <c r="AE949" s="25" t="s">
        <v>859</v>
      </c>
      <c r="AF949" t="s">
        <v>26</v>
      </c>
      <c r="AG949" t="s">
        <v>26</v>
      </c>
      <c r="AH949" t="s">
        <v>26</v>
      </c>
      <c r="AI949" t="s">
        <v>26</v>
      </c>
      <c r="AJ949" t="s">
        <v>26</v>
      </c>
      <c r="AK949" t="s">
        <v>26</v>
      </c>
      <c r="AL949" t="s">
        <v>26</v>
      </c>
      <c r="AM949" t="s">
        <v>26</v>
      </c>
      <c r="AN949" t="s">
        <v>26</v>
      </c>
      <c r="AO949" s="25" t="s">
        <v>68</v>
      </c>
      <c r="AP949" s="23" t="s">
        <v>69</v>
      </c>
      <c r="AQ949" s="23" t="s">
        <v>30</v>
      </c>
      <c r="AR949" s="23" t="s">
        <v>230</v>
      </c>
      <c r="AS949" s="25">
        <v>29883</v>
      </c>
      <c r="AT949" t="s">
        <v>26</v>
      </c>
      <c r="AU949" t="s">
        <v>23485</v>
      </c>
    </row>
    <row r="950" spans="1:47" ht="26.25" x14ac:dyDescent="0.4">
      <c r="A950" s="23" t="s">
        <v>2422</v>
      </c>
      <c r="B950" t="s">
        <v>26</v>
      </c>
      <c r="C950" s="23" t="s">
        <v>2423</v>
      </c>
      <c r="D950" s="23" t="s">
        <v>23486</v>
      </c>
      <c r="E950" s="23" t="s">
        <v>2424</v>
      </c>
      <c r="F950" t="s">
        <v>26</v>
      </c>
      <c r="G950" s="25" t="s">
        <v>2425</v>
      </c>
      <c r="H950" t="s">
        <v>26</v>
      </c>
      <c r="I950" s="24">
        <v>41275</v>
      </c>
      <c r="J950" s="25" t="s">
        <v>77</v>
      </c>
      <c r="K950" t="s">
        <v>26</v>
      </c>
      <c r="L950" s="25" t="s">
        <v>68</v>
      </c>
      <c r="M950" s="24">
        <v>41275</v>
      </c>
      <c r="N950" s="25" t="s">
        <v>77</v>
      </c>
      <c r="O950" t="s">
        <v>26</v>
      </c>
      <c r="P950" s="24">
        <v>41275</v>
      </c>
      <c r="Q950" s="25" t="s">
        <v>77</v>
      </c>
      <c r="R950" t="s">
        <v>26</v>
      </c>
      <c r="S950" t="s">
        <v>26</v>
      </c>
      <c r="T950" t="s">
        <v>26</v>
      </c>
      <c r="U950" t="s">
        <v>26</v>
      </c>
      <c r="V950" t="s">
        <v>26</v>
      </c>
      <c r="W950" s="24">
        <v>41275</v>
      </c>
      <c r="X950" s="25" t="s">
        <v>77</v>
      </c>
      <c r="Y950" t="s">
        <v>26</v>
      </c>
      <c r="Z950" s="24">
        <v>41275</v>
      </c>
      <c r="AA950" s="25" t="s">
        <v>77</v>
      </c>
      <c r="AB950" t="s">
        <v>26</v>
      </c>
      <c r="AC950" s="24">
        <v>42826</v>
      </c>
      <c r="AD950" s="25" t="s">
        <v>77</v>
      </c>
      <c r="AE950" t="s">
        <v>26</v>
      </c>
      <c r="AF950" t="s">
        <v>26</v>
      </c>
      <c r="AG950" t="s">
        <v>26</v>
      </c>
      <c r="AH950" t="s">
        <v>26</v>
      </c>
      <c r="AI950" t="s">
        <v>26</v>
      </c>
      <c r="AJ950" t="s">
        <v>26</v>
      </c>
      <c r="AK950" t="s">
        <v>26</v>
      </c>
      <c r="AL950" t="s">
        <v>26</v>
      </c>
      <c r="AM950" t="s">
        <v>26</v>
      </c>
      <c r="AN950" t="s">
        <v>26</v>
      </c>
      <c r="AO950" s="25" t="s">
        <v>68</v>
      </c>
      <c r="AP950" s="23" t="s">
        <v>69</v>
      </c>
      <c r="AQ950" s="23" t="s">
        <v>30</v>
      </c>
      <c r="AR950" s="23" t="s">
        <v>996</v>
      </c>
      <c r="AS950" s="25">
        <v>2032479</v>
      </c>
      <c r="AT950" t="s">
        <v>26</v>
      </c>
      <c r="AU950" t="s">
        <v>23487</v>
      </c>
    </row>
    <row r="951" spans="1:47" ht="26.25" x14ac:dyDescent="0.4">
      <c r="A951" s="23" t="s">
        <v>2426</v>
      </c>
      <c r="B951" t="s">
        <v>26</v>
      </c>
      <c r="C951" s="23" t="s">
        <v>320</v>
      </c>
      <c r="D951" s="23" t="s">
        <v>22397</v>
      </c>
      <c r="E951" s="23" t="s">
        <v>42</v>
      </c>
      <c r="F951" s="25" t="s">
        <v>2427</v>
      </c>
      <c r="G951" s="25" t="s">
        <v>2428</v>
      </c>
      <c r="H951" t="s">
        <v>26</v>
      </c>
      <c r="I951" t="s">
        <v>26</v>
      </c>
      <c r="J951" t="s">
        <v>26</v>
      </c>
      <c r="K951" t="s">
        <v>26</v>
      </c>
      <c r="L951" s="25" t="s">
        <v>68</v>
      </c>
      <c r="M951" t="s">
        <v>26</v>
      </c>
      <c r="N951" t="s">
        <v>26</v>
      </c>
      <c r="O951" t="s">
        <v>26</v>
      </c>
      <c r="P951" t="s">
        <v>26</v>
      </c>
      <c r="Q951" t="s">
        <v>26</v>
      </c>
      <c r="R951" t="s">
        <v>26</v>
      </c>
      <c r="S951" t="s">
        <v>26</v>
      </c>
      <c r="T951" t="s">
        <v>26</v>
      </c>
      <c r="U951" t="s">
        <v>26</v>
      </c>
      <c r="V951" t="s">
        <v>26</v>
      </c>
      <c r="W951" s="24">
        <v>38108</v>
      </c>
      <c r="X951" s="25" t="s">
        <v>77</v>
      </c>
      <c r="Y951" t="s">
        <v>26</v>
      </c>
      <c r="Z951" s="24">
        <v>38108</v>
      </c>
      <c r="AA951" s="25" t="s">
        <v>77</v>
      </c>
      <c r="AB951" t="s">
        <v>26</v>
      </c>
      <c r="AC951" s="24">
        <v>38108</v>
      </c>
      <c r="AD951" s="25" t="s">
        <v>77</v>
      </c>
      <c r="AE951" t="s">
        <v>26</v>
      </c>
      <c r="AF951" t="s">
        <v>26</v>
      </c>
      <c r="AG951" t="s">
        <v>26</v>
      </c>
      <c r="AH951" t="s">
        <v>26</v>
      </c>
      <c r="AI951" t="s">
        <v>26</v>
      </c>
      <c r="AJ951" t="s">
        <v>26</v>
      </c>
      <c r="AK951" t="s">
        <v>26</v>
      </c>
      <c r="AL951" t="s">
        <v>26</v>
      </c>
      <c r="AM951" t="s">
        <v>26</v>
      </c>
      <c r="AN951" t="s">
        <v>26</v>
      </c>
      <c r="AO951" s="25" t="s">
        <v>68</v>
      </c>
      <c r="AP951" s="23" t="s">
        <v>69</v>
      </c>
      <c r="AQ951" s="23" t="s">
        <v>30</v>
      </c>
      <c r="AR951" s="23" t="s">
        <v>257</v>
      </c>
      <c r="AS951" s="25">
        <v>47820</v>
      </c>
      <c r="AT951" t="s">
        <v>26</v>
      </c>
      <c r="AU951" t="s">
        <v>23488</v>
      </c>
    </row>
    <row r="952" spans="1:47" ht="26.25" x14ac:dyDescent="0.4">
      <c r="A952" s="23" t="s">
        <v>2429</v>
      </c>
      <c r="B952" t="s">
        <v>26</v>
      </c>
      <c r="C952" s="23" t="s">
        <v>264</v>
      </c>
      <c r="D952" s="23" t="s">
        <v>23489</v>
      </c>
      <c r="E952" s="23" t="s">
        <v>60</v>
      </c>
      <c r="F952" s="25" t="s">
        <v>2430</v>
      </c>
      <c r="G952" s="25" t="s">
        <v>2431</v>
      </c>
      <c r="H952" t="s">
        <v>26</v>
      </c>
      <c r="I952" s="24">
        <v>33604</v>
      </c>
      <c r="J952" s="25" t="s">
        <v>77</v>
      </c>
      <c r="K952" t="s">
        <v>26</v>
      </c>
      <c r="L952" s="25" t="s">
        <v>68</v>
      </c>
      <c r="M952" s="24">
        <v>33604</v>
      </c>
      <c r="N952" s="25" t="s">
        <v>77</v>
      </c>
      <c r="O952" t="s">
        <v>26</v>
      </c>
      <c r="P952" s="24">
        <v>36892</v>
      </c>
      <c r="Q952" s="25" t="s">
        <v>77</v>
      </c>
      <c r="R952" t="s">
        <v>26</v>
      </c>
      <c r="S952" t="s">
        <v>26</v>
      </c>
      <c r="T952" t="s">
        <v>26</v>
      </c>
      <c r="U952" t="s">
        <v>26</v>
      </c>
      <c r="V952" s="25">
        <v>365</v>
      </c>
      <c r="W952" s="24">
        <v>29952</v>
      </c>
      <c r="X952" s="25" t="s">
        <v>77</v>
      </c>
      <c r="Y952" t="s">
        <v>26</v>
      </c>
      <c r="Z952" s="24">
        <v>29952</v>
      </c>
      <c r="AA952" s="25" t="s">
        <v>77</v>
      </c>
      <c r="AB952" t="s">
        <v>26</v>
      </c>
      <c r="AC952" s="24">
        <v>29952</v>
      </c>
      <c r="AD952" s="25" t="s">
        <v>77</v>
      </c>
      <c r="AE952" t="s">
        <v>26</v>
      </c>
      <c r="AF952" t="s">
        <v>26</v>
      </c>
      <c r="AG952" t="s">
        <v>26</v>
      </c>
      <c r="AH952" t="s">
        <v>26</v>
      </c>
      <c r="AI952" t="s">
        <v>26</v>
      </c>
      <c r="AJ952" t="s">
        <v>26</v>
      </c>
      <c r="AK952" t="s">
        <v>26</v>
      </c>
      <c r="AL952" t="s">
        <v>26</v>
      </c>
      <c r="AM952" t="s">
        <v>26</v>
      </c>
      <c r="AN952" t="s">
        <v>26</v>
      </c>
      <c r="AO952" s="25" t="s">
        <v>68</v>
      </c>
      <c r="AP952" s="23" t="s">
        <v>69</v>
      </c>
      <c r="AQ952" s="23" t="s">
        <v>30</v>
      </c>
      <c r="AR952" s="23" t="s">
        <v>128</v>
      </c>
      <c r="AS952" s="25">
        <v>37218</v>
      </c>
      <c r="AT952" t="s">
        <v>26</v>
      </c>
      <c r="AU952" t="s">
        <v>23490</v>
      </c>
    </row>
    <row r="953" spans="1:47" ht="26.25" x14ac:dyDescent="0.4">
      <c r="A953" s="23" t="s">
        <v>2432</v>
      </c>
      <c r="B953" t="s">
        <v>26</v>
      </c>
      <c r="C953" s="23" t="s">
        <v>660</v>
      </c>
      <c r="D953" s="23" t="s">
        <v>22267</v>
      </c>
      <c r="E953" s="23" t="s">
        <v>60</v>
      </c>
      <c r="F953" s="25" t="s">
        <v>2433</v>
      </c>
      <c r="G953" s="25" t="s">
        <v>2434</v>
      </c>
      <c r="H953" t="s">
        <v>26</v>
      </c>
      <c r="I953" t="s">
        <v>26</v>
      </c>
      <c r="J953" t="s">
        <v>26</v>
      </c>
      <c r="K953" t="s">
        <v>26</v>
      </c>
      <c r="L953" s="25" t="s">
        <v>68</v>
      </c>
      <c r="M953" t="s">
        <v>26</v>
      </c>
      <c r="N953" t="s">
        <v>26</v>
      </c>
      <c r="O953" t="s">
        <v>26</v>
      </c>
      <c r="P953" t="s">
        <v>26</v>
      </c>
      <c r="Q953" t="s">
        <v>26</v>
      </c>
      <c r="R953" t="s">
        <v>26</v>
      </c>
      <c r="S953" t="s">
        <v>26</v>
      </c>
      <c r="T953" t="s">
        <v>26</v>
      </c>
      <c r="U953" t="s">
        <v>26</v>
      </c>
      <c r="V953" t="s">
        <v>26</v>
      </c>
      <c r="W953" s="24">
        <v>38139</v>
      </c>
      <c r="X953" s="25" t="s">
        <v>77</v>
      </c>
      <c r="Y953" t="s">
        <v>26</v>
      </c>
      <c r="Z953" s="24">
        <v>38139</v>
      </c>
      <c r="AA953" s="25" t="s">
        <v>77</v>
      </c>
      <c r="AB953" t="s">
        <v>26</v>
      </c>
      <c r="AC953" s="24">
        <v>38139</v>
      </c>
      <c r="AD953" s="25" t="s">
        <v>77</v>
      </c>
      <c r="AE953" t="s">
        <v>26</v>
      </c>
      <c r="AF953" t="s">
        <v>26</v>
      </c>
      <c r="AG953" t="s">
        <v>26</v>
      </c>
      <c r="AH953" t="s">
        <v>26</v>
      </c>
      <c r="AI953" t="s">
        <v>26</v>
      </c>
      <c r="AJ953" t="s">
        <v>26</v>
      </c>
      <c r="AK953" t="s">
        <v>26</v>
      </c>
      <c r="AL953" t="s">
        <v>26</v>
      </c>
      <c r="AM953" t="s">
        <v>26</v>
      </c>
      <c r="AN953" t="s">
        <v>26</v>
      </c>
      <c r="AO953" s="25" t="s">
        <v>68</v>
      </c>
      <c r="AP953" s="23" t="s">
        <v>69</v>
      </c>
      <c r="AQ953" s="23" t="s">
        <v>30</v>
      </c>
      <c r="AR953" s="23" t="s">
        <v>46</v>
      </c>
      <c r="AS953" s="25">
        <v>44209</v>
      </c>
      <c r="AT953" t="s">
        <v>26</v>
      </c>
      <c r="AU953" t="s">
        <v>23491</v>
      </c>
    </row>
    <row r="954" spans="1:47" ht="26.25" x14ac:dyDescent="0.4">
      <c r="A954" s="23" t="s">
        <v>2435</v>
      </c>
      <c r="B954" t="s">
        <v>26</v>
      </c>
      <c r="C954" s="23" t="s">
        <v>803</v>
      </c>
      <c r="D954" s="23" t="s">
        <v>22499</v>
      </c>
      <c r="E954" s="23" t="s">
        <v>711</v>
      </c>
      <c r="F954" s="25" t="s">
        <v>2436</v>
      </c>
      <c r="G954" s="25" t="s">
        <v>2437</v>
      </c>
      <c r="H954" t="s">
        <v>26</v>
      </c>
      <c r="I954" s="24">
        <v>35431</v>
      </c>
      <c r="J954" s="24">
        <v>42248</v>
      </c>
      <c r="K954" t="s">
        <v>26</v>
      </c>
      <c r="L954" s="25" t="s">
        <v>68</v>
      </c>
      <c r="M954" s="24">
        <v>35431</v>
      </c>
      <c r="N954" s="24">
        <v>37853</v>
      </c>
      <c r="O954" t="s">
        <v>26</v>
      </c>
      <c r="P954" s="24">
        <v>35431</v>
      </c>
      <c r="Q954" s="24">
        <v>42248</v>
      </c>
      <c r="R954" t="s">
        <v>26</v>
      </c>
      <c r="S954" t="s">
        <v>26</v>
      </c>
      <c r="T954" t="s">
        <v>26</v>
      </c>
      <c r="U954" t="s">
        <v>26</v>
      </c>
      <c r="V954" t="s">
        <v>26</v>
      </c>
      <c r="W954" s="24">
        <v>35065</v>
      </c>
      <c r="X954" s="24">
        <v>42583</v>
      </c>
      <c r="Y954" t="s">
        <v>26</v>
      </c>
      <c r="Z954" s="24">
        <v>35065</v>
      </c>
      <c r="AA954" s="24">
        <v>42583</v>
      </c>
      <c r="AB954" t="s">
        <v>26</v>
      </c>
      <c r="AC954" s="24">
        <v>35065</v>
      </c>
      <c r="AD954" s="24">
        <v>42583</v>
      </c>
      <c r="AE954" t="s">
        <v>26</v>
      </c>
      <c r="AF954" t="s">
        <v>26</v>
      </c>
      <c r="AG954" t="s">
        <v>26</v>
      </c>
      <c r="AH954" t="s">
        <v>26</v>
      </c>
      <c r="AI954" t="s">
        <v>26</v>
      </c>
      <c r="AJ954" t="s">
        <v>26</v>
      </c>
      <c r="AK954" t="s">
        <v>26</v>
      </c>
      <c r="AL954" t="s">
        <v>26</v>
      </c>
      <c r="AM954" t="s">
        <v>26</v>
      </c>
      <c r="AN954" t="s">
        <v>26</v>
      </c>
      <c r="AO954" s="25" t="s">
        <v>68</v>
      </c>
      <c r="AP954" s="23" t="s">
        <v>69</v>
      </c>
      <c r="AQ954" s="23" t="s">
        <v>30</v>
      </c>
      <c r="AR954" s="23" t="s">
        <v>70</v>
      </c>
      <c r="AS954" s="25">
        <v>41501</v>
      </c>
      <c r="AT954" t="s">
        <v>26</v>
      </c>
      <c r="AU954" t="s">
        <v>23492</v>
      </c>
    </row>
    <row r="955" spans="1:47" ht="26.25" x14ac:dyDescent="0.4">
      <c r="A955" s="23" t="s">
        <v>2438</v>
      </c>
      <c r="B955" t="s">
        <v>26</v>
      </c>
      <c r="C955" s="23" t="s">
        <v>167</v>
      </c>
      <c r="D955" s="23" t="s">
        <v>23493</v>
      </c>
      <c r="E955" s="23" t="s">
        <v>60</v>
      </c>
      <c r="F955" s="25" t="s">
        <v>2439</v>
      </c>
      <c r="G955" s="25" t="s">
        <v>2440</v>
      </c>
      <c r="H955" t="s">
        <v>26</v>
      </c>
      <c r="I955" s="24">
        <v>43831</v>
      </c>
      <c r="J955" s="25" t="s">
        <v>77</v>
      </c>
      <c r="K955" t="s">
        <v>26</v>
      </c>
      <c r="L955" s="25" t="s">
        <v>68</v>
      </c>
      <c r="M955" s="24">
        <v>43831</v>
      </c>
      <c r="N955" s="25" t="s">
        <v>77</v>
      </c>
      <c r="O955" t="s">
        <v>26</v>
      </c>
      <c r="P955" s="24">
        <v>43831</v>
      </c>
      <c r="Q955" s="25" t="s">
        <v>77</v>
      </c>
      <c r="R955" t="s">
        <v>26</v>
      </c>
      <c r="S955" t="s">
        <v>26</v>
      </c>
      <c r="T955" t="s">
        <v>26</v>
      </c>
      <c r="U955" t="s">
        <v>26</v>
      </c>
      <c r="V955" s="25">
        <v>365</v>
      </c>
      <c r="W955" s="24">
        <v>43831</v>
      </c>
      <c r="X955" s="25" t="s">
        <v>77</v>
      </c>
      <c r="Y955" t="s">
        <v>26</v>
      </c>
      <c r="Z955" s="24">
        <v>43831</v>
      </c>
      <c r="AA955" s="25" t="s">
        <v>77</v>
      </c>
      <c r="AB955" t="s">
        <v>26</v>
      </c>
      <c r="AC955" s="24">
        <v>43831</v>
      </c>
      <c r="AD955" s="25" t="s">
        <v>77</v>
      </c>
      <c r="AE955" t="s">
        <v>26</v>
      </c>
      <c r="AF955" t="s">
        <v>26</v>
      </c>
      <c r="AG955" t="s">
        <v>26</v>
      </c>
      <c r="AH955" t="s">
        <v>26</v>
      </c>
      <c r="AI955" t="s">
        <v>26</v>
      </c>
      <c r="AJ955" t="s">
        <v>26</v>
      </c>
      <c r="AK955" t="s">
        <v>26</v>
      </c>
      <c r="AL955" t="s">
        <v>26</v>
      </c>
      <c r="AM955" t="s">
        <v>26</v>
      </c>
      <c r="AN955" t="s">
        <v>26</v>
      </c>
      <c r="AO955" s="25" t="s">
        <v>68</v>
      </c>
      <c r="AP955" s="23" t="s">
        <v>69</v>
      </c>
      <c r="AQ955" s="23" t="s">
        <v>30</v>
      </c>
      <c r="AR955" s="23" t="s">
        <v>70</v>
      </c>
      <c r="AS955" s="25">
        <v>4933639</v>
      </c>
      <c r="AT955" t="s">
        <v>26</v>
      </c>
      <c r="AU955" t="s">
        <v>23494</v>
      </c>
    </row>
    <row r="956" spans="1:47" ht="26.25" x14ac:dyDescent="0.4">
      <c r="A956" s="23" t="s">
        <v>2441</v>
      </c>
      <c r="B956" t="s">
        <v>26</v>
      </c>
      <c r="C956" s="23" t="s">
        <v>80</v>
      </c>
      <c r="D956" s="23" t="s">
        <v>22184</v>
      </c>
      <c r="E956" s="23" t="s">
        <v>60</v>
      </c>
      <c r="F956" s="25" t="s">
        <v>2442</v>
      </c>
      <c r="G956" s="25" t="s">
        <v>2443</v>
      </c>
      <c r="H956" t="s">
        <v>26</v>
      </c>
      <c r="I956" t="s">
        <v>26</v>
      </c>
      <c r="J956" t="s">
        <v>26</v>
      </c>
      <c r="K956" t="s">
        <v>26</v>
      </c>
      <c r="L956" s="25" t="s">
        <v>68</v>
      </c>
      <c r="M956" t="s">
        <v>26</v>
      </c>
      <c r="N956" t="s">
        <v>26</v>
      </c>
      <c r="O956" t="s">
        <v>26</v>
      </c>
      <c r="P956" t="s">
        <v>26</v>
      </c>
      <c r="Q956" t="s">
        <v>26</v>
      </c>
      <c r="R956" t="s">
        <v>26</v>
      </c>
      <c r="S956" t="s">
        <v>26</v>
      </c>
      <c r="T956" t="s">
        <v>26</v>
      </c>
      <c r="U956" t="s">
        <v>26</v>
      </c>
      <c r="V956" t="s">
        <v>26</v>
      </c>
      <c r="W956" s="24">
        <v>40179</v>
      </c>
      <c r="X956" s="25" t="s">
        <v>77</v>
      </c>
      <c r="Y956" t="s">
        <v>26</v>
      </c>
      <c r="Z956" s="24">
        <v>40179</v>
      </c>
      <c r="AA956" s="25" t="s">
        <v>77</v>
      </c>
      <c r="AB956" t="s">
        <v>26</v>
      </c>
      <c r="AC956" s="24">
        <v>40179</v>
      </c>
      <c r="AD956" s="25" t="s">
        <v>77</v>
      </c>
      <c r="AE956" t="s">
        <v>26</v>
      </c>
      <c r="AF956" t="s">
        <v>26</v>
      </c>
      <c r="AG956" t="s">
        <v>26</v>
      </c>
      <c r="AH956" t="s">
        <v>26</v>
      </c>
      <c r="AI956" t="s">
        <v>26</v>
      </c>
      <c r="AJ956" t="s">
        <v>26</v>
      </c>
      <c r="AK956" t="s">
        <v>26</v>
      </c>
      <c r="AL956" t="s">
        <v>26</v>
      </c>
      <c r="AM956" t="s">
        <v>26</v>
      </c>
      <c r="AN956" t="s">
        <v>26</v>
      </c>
      <c r="AO956" s="25" t="s">
        <v>68</v>
      </c>
      <c r="AP956" s="23" t="s">
        <v>69</v>
      </c>
      <c r="AQ956" s="23" t="s">
        <v>30</v>
      </c>
      <c r="AR956" s="23" t="s">
        <v>184</v>
      </c>
      <c r="AS956" s="25">
        <v>176159</v>
      </c>
      <c r="AT956" t="s">
        <v>26</v>
      </c>
      <c r="AU956" t="s">
        <v>23495</v>
      </c>
    </row>
    <row r="957" spans="1:47" ht="26.25" x14ac:dyDescent="0.4">
      <c r="A957" s="23" t="s">
        <v>2444</v>
      </c>
      <c r="B957" t="s">
        <v>26</v>
      </c>
      <c r="C957" s="23" t="s">
        <v>107</v>
      </c>
      <c r="D957" s="23" t="s">
        <v>23058</v>
      </c>
      <c r="E957" s="23" t="s">
        <v>42</v>
      </c>
      <c r="F957" s="25" t="s">
        <v>2445</v>
      </c>
      <c r="G957" s="25" t="s">
        <v>2446</v>
      </c>
      <c r="H957" t="s">
        <v>26</v>
      </c>
      <c r="I957" t="s">
        <v>26</v>
      </c>
      <c r="J957" t="s">
        <v>26</v>
      </c>
      <c r="K957" t="s">
        <v>26</v>
      </c>
      <c r="L957" s="25" t="s">
        <v>68</v>
      </c>
      <c r="M957" t="s">
        <v>26</v>
      </c>
      <c r="N957" t="s">
        <v>26</v>
      </c>
      <c r="O957" t="s">
        <v>26</v>
      </c>
      <c r="P957" t="s">
        <v>26</v>
      </c>
      <c r="Q957" t="s">
        <v>26</v>
      </c>
      <c r="R957" t="s">
        <v>26</v>
      </c>
      <c r="S957" t="s">
        <v>26</v>
      </c>
      <c r="T957" t="s">
        <v>26</v>
      </c>
      <c r="U957" t="s">
        <v>26</v>
      </c>
      <c r="V957" t="s">
        <v>26</v>
      </c>
      <c r="W957" s="24">
        <v>31837</v>
      </c>
      <c r="X957" s="25" t="s">
        <v>77</v>
      </c>
      <c r="Y957" t="s">
        <v>26</v>
      </c>
      <c r="Z957" s="24">
        <v>31837</v>
      </c>
      <c r="AA957" s="25" t="s">
        <v>77</v>
      </c>
      <c r="AB957" t="s">
        <v>26</v>
      </c>
      <c r="AC957" s="24">
        <v>31837</v>
      </c>
      <c r="AD957" s="25" t="s">
        <v>77</v>
      </c>
      <c r="AE957" t="s">
        <v>26</v>
      </c>
      <c r="AF957" t="s">
        <v>26</v>
      </c>
      <c r="AG957" t="s">
        <v>26</v>
      </c>
      <c r="AH957" t="s">
        <v>26</v>
      </c>
      <c r="AI957" t="s">
        <v>26</v>
      </c>
      <c r="AJ957" t="s">
        <v>26</v>
      </c>
      <c r="AK957" t="s">
        <v>26</v>
      </c>
      <c r="AL957" t="s">
        <v>26</v>
      </c>
      <c r="AM957" t="s">
        <v>26</v>
      </c>
      <c r="AN957" t="s">
        <v>26</v>
      </c>
      <c r="AO957" s="25" t="s">
        <v>68</v>
      </c>
      <c r="AP957" s="23" t="s">
        <v>69</v>
      </c>
      <c r="AQ957" s="23" t="s">
        <v>30</v>
      </c>
      <c r="AR957" s="23" t="s">
        <v>277</v>
      </c>
      <c r="AS957" s="25">
        <v>37701</v>
      </c>
      <c r="AT957" t="s">
        <v>26</v>
      </c>
      <c r="AU957" t="s">
        <v>23496</v>
      </c>
    </row>
    <row r="958" spans="1:47" ht="26.25" x14ac:dyDescent="0.4">
      <c r="A958" s="23" t="s">
        <v>2447</v>
      </c>
      <c r="B958" t="s">
        <v>26</v>
      </c>
      <c r="C958" s="23" t="s">
        <v>107</v>
      </c>
      <c r="D958" s="23" t="s">
        <v>23058</v>
      </c>
      <c r="E958" s="23" t="s">
        <v>42</v>
      </c>
      <c r="F958" s="25" t="s">
        <v>2448</v>
      </c>
      <c r="G958" s="25" t="s">
        <v>2449</v>
      </c>
      <c r="H958" t="s">
        <v>26</v>
      </c>
      <c r="I958" t="s">
        <v>26</v>
      </c>
      <c r="J958" t="s">
        <v>26</v>
      </c>
      <c r="K958" t="s">
        <v>26</v>
      </c>
      <c r="L958" s="25" t="s">
        <v>68</v>
      </c>
      <c r="M958" t="s">
        <v>26</v>
      </c>
      <c r="N958" t="s">
        <v>26</v>
      </c>
      <c r="O958" t="s">
        <v>26</v>
      </c>
      <c r="P958" t="s">
        <v>26</v>
      </c>
      <c r="Q958" t="s">
        <v>26</v>
      </c>
      <c r="R958" t="s">
        <v>26</v>
      </c>
      <c r="S958" t="s">
        <v>26</v>
      </c>
      <c r="T958" t="s">
        <v>26</v>
      </c>
      <c r="U958" t="s">
        <v>26</v>
      </c>
      <c r="V958" t="s">
        <v>26</v>
      </c>
      <c r="W958" s="24">
        <v>35096</v>
      </c>
      <c r="X958" s="25" t="s">
        <v>77</v>
      </c>
      <c r="Y958" t="s">
        <v>26</v>
      </c>
      <c r="Z958" s="24">
        <v>35096</v>
      </c>
      <c r="AA958" s="25" t="s">
        <v>77</v>
      </c>
      <c r="AB958" t="s">
        <v>26</v>
      </c>
      <c r="AC958" s="24">
        <v>35156</v>
      </c>
      <c r="AD958" s="25" t="s">
        <v>77</v>
      </c>
      <c r="AE958" t="s">
        <v>26</v>
      </c>
      <c r="AF958" t="s">
        <v>26</v>
      </c>
      <c r="AG958" t="s">
        <v>26</v>
      </c>
      <c r="AH958" t="s">
        <v>26</v>
      </c>
      <c r="AI958" t="s">
        <v>26</v>
      </c>
      <c r="AJ958" t="s">
        <v>26</v>
      </c>
      <c r="AK958" t="s">
        <v>26</v>
      </c>
      <c r="AL958" t="s">
        <v>26</v>
      </c>
      <c r="AM958" t="s">
        <v>26</v>
      </c>
      <c r="AN958" t="s">
        <v>26</v>
      </c>
      <c r="AO958" s="25" t="s">
        <v>68</v>
      </c>
      <c r="AP958" s="23" t="s">
        <v>69</v>
      </c>
      <c r="AQ958" s="23" t="s">
        <v>30</v>
      </c>
      <c r="AR958" s="23" t="s">
        <v>996</v>
      </c>
      <c r="AS958" s="25">
        <v>5399</v>
      </c>
      <c r="AT958" t="s">
        <v>26</v>
      </c>
      <c r="AU958" t="s">
        <v>23497</v>
      </c>
    </row>
    <row r="959" spans="1:47" ht="13.15" x14ac:dyDescent="0.4">
      <c r="A959" s="23" t="s">
        <v>2450</v>
      </c>
      <c r="B959" t="s">
        <v>26</v>
      </c>
      <c r="C959" s="23" t="s">
        <v>552</v>
      </c>
      <c r="D959" s="23" t="s">
        <v>22231</v>
      </c>
      <c r="E959" s="23" t="s">
        <v>42</v>
      </c>
      <c r="F959" t="s">
        <v>26</v>
      </c>
      <c r="G959" t="s">
        <v>26</v>
      </c>
      <c r="H959" t="s">
        <v>26</v>
      </c>
      <c r="I959" s="24">
        <v>27030</v>
      </c>
      <c r="J959" s="24">
        <v>27030</v>
      </c>
      <c r="K959" t="s">
        <v>26</v>
      </c>
      <c r="L959" s="25" t="s">
        <v>28</v>
      </c>
      <c r="M959" s="24">
        <v>27030</v>
      </c>
      <c r="N959" s="24">
        <v>27030</v>
      </c>
      <c r="O959" t="s">
        <v>26</v>
      </c>
      <c r="P959" t="s">
        <v>26</v>
      </c>
      <c r="Q959" t="s">
        <v>26</v>
      </c>
      <c r="R959" t="s">
        <v>26</v>
      </c>
      <c r="S959" t="s">
        <v>26</v>
      </c>
      <c r="T959" t="s">
        <v>26</v>
      </c>
      <c r="U959" t="s">
        <v>26</v>
      </c>
      <c r="V959" t="s">
        <v>26</v>
      </c>
      <c r="W959" s="24">
        <v>27030</v>
      </c>
      <c r="X959" s="24">
        <v>27030</v>
      </c>
      <c r="Y959" t="s">
        <v>26</v>
      </c>
      <c r="Z959" s="24">
        <v>27030</v>
      </c>
      <c r="AA959" s="24">
        <v>27030</v>
      </c>
      <c r="AB959" t="s">
        <v>26</v>
      </c>
      <c r="AC959" s="24">
        <v>27030</v>
      </c>
      <c r="AD959" s="24">
        <v>27030</v>
      </c>
      <c r="AE959" t="s">
        <v>26</v>
      </c>
      <c r="AF959" t="s">
        <v>26</v>
      </c>
      <c r="AG959" t="s">
        <v>26</v>
      </c>
      <c r="AH959" t="s">
        <v>26</v>
      </c>
      <c r="AI959" t="s">
        <v>26</v>
      </c>
      <c r="AJ959" t="s">
        <v>26</v>
      </c>
      <c r="AK959" t="s">
        <v>26</v>
      </c>
      <c r="AL959" t="s">
        <v>26</v>
      </c>
      <c r="AM959" t="s">
        <v>26</v>
      </c>
      <c r="AN959" t="s">
        <v>26</v>
      </c>
      <c r="AO959" s="25" t="s">
        <v>28</v>
      </c>
      <c r="AP959" s="23" t="s">
        <v>29</v>
      </c>
      <c r="AQ959" s="23" t="s">
        <v>30</v>
      </c>
      <c r="AR959" s="23" t="s">
        <v>46</v>
      </c>
      <c r="AS959" s="25">
        <v>6009009</v>
      </c>
      <c r="AT959" t="s">
        <v>26</v>
      </c>
      <c r="AU959" t="s">
        <v>23498</v>
      </c>
    </row>
    <row r="960" spans="1:47" ht="26.25" x14ac:dyDescent="0.4">
      <c r="A960" s="23" t="s">
        <v>2451</v>
      </c>
      <c r="B960" t="s">
        <v>26</v>
      </c>
      <c r="C960" s="23" t="s">
        <v>1612</v>
      </c>
      <c r="D960" s="23" t="s">
        <v>23047</v>
      </c>
      <c r="E960" s="23" t="s">
        <v>42</v>
      </c>
      <c r="F960" t="s">
        <v>26</v>
      </c>
      <c r="G960" t="s">
        <v>26</v>
      </c>
      <c r="H960" t="s">
        <v>26</v>
      </c>
      <c r="I960" t="s">
        <v>26</v>
      </c>
      <c r="J960" t="s">
        <v>26</v>
      </c>
      <c r="K960" t="s">
        <v>26</v>
      </c>
      <c r="L960" s="25" t="s">
        <v>28</v>
      </c>
      <c r="M960" t="s">
        <v>26</v>
      </c>
      <c r="N960" t="s">
        <v>26</v>
      </c>
      <c r="O960" t="s">
        <v>26</v>
      </c>
      <c r="P960" t="s">
        <v>26</v>
      </c>
      <c r="Q960" t="s">
        <v>26</v>
      </c>
      <c r="R960" t="s">
        <v>26</v>
      </c>
      <c r="S960" t="s">
        <v>26</v>
      </c>
      <c r="T960" t="s">
        <v>26</v>
      </c>
      <c r="U960" t="s">
        <v>26</v>
      </c>
      <c r="V960" t="s">
        <v>26</v>
      </c>
      <c r="W960" s="24">
        <v>42005</v>
      </c>
      <c r="X960" s="24">
        <v>42005</v>
      </c>
      <c r="Y960" t="s">
        <v>26</v>
      </c>
      <c r="Z960" s="24">
        <v>42005</v>
      </c>
      <c r="AA960" s="24">
        <v>42005</v>
      </c>
      <c r="AB960" t="s">
        <v>26</v>
      </c>
      <c r="AC960" t="s">
        <v>26</v>
      </c>
      <c r="AD960" t="s">
        <v>26</v>
      </c>
      <c r="AE960" t="s">
        <v>26</v>
      </c>
      <c r="AF960" t="s">
        <v>26</v>
      </c>
      <c r="AG960" t="s">
        <v>26</v>
      </c>
      <c r="AH960" t="s">
        <v>26</v>
      </c>
      <c r="AI960" t="s">
        <v>26</v>
      </c>
      <c r="AJ960" t="s">
        <v>26</v>
      </c>
      <c r="AK960" t="s">
        <v>26</v>
      </c>
      <c r="AL960" t="s">
        <v>26</v>
      </c>
      <c r="AM960" t="s">
        <v>26</v>
      </c>
      <c r="AN960" t="s">
        <v>26</v>
      </c>
      <c r="AO960" s="25" t="s">
        <v>28</v>
      </c>
      <c r="AP960" s="23" t="s">
        <v>29</v>
      </c>
      <c r="AQ960" s="23" t="s">
        <v>30</v>
      </c>
      <c r="AR960" s="23" t="s">
        <v>147</v>
      </c>
      <c r="AS960" s="25">
        <v>5483552</v>
      </c>
      <c r="AT960" s="23" t="s">
        <v>22181</v>
      </c>
      <c r="AU960" t="s">
        <v>23499</v>
      </c>
    </row>
    <row r="961" spans="1:47" ht="39.4" x14ac:dyDescent="0.4">
      <c r="A961" s="23" t="s">
        <v>2452</v>
      </c>
      <c r="B961" t="s">
        <v>26</v>
      </c>
      <c r="C961" s="23" t="s">
        <v>364</v>
      </c>
      <c r="D961" s="23" t="s">
        <v>23175</v>
      </c>
      <c r="E961" s="23" t="s">
        <v>42</v>
      </c>
      <c r="F961" t="s">
        <v>26</v>
      </c>
      <c r="G961" t="s">
        <v>26</v>
      </c>
      <c r="H961" t="s">
        <v>26</v>
      </c>
      <c r="I961" s="24">
        <v>43223</v>
      </c>
      <c r="J961" s="25" t="s">
        <v>77</v>
      </c>
      <c r="K961" t="s">
        <v>26</v>
      </c>
      <c r="L961" s="25" t="s">
        <v>28</v>
      </c>
      <c r="M961" s="24">
        <v>43223</v>
      </c>
      <c r="N961" s="25" t="s">
        <v>77</v>
      </c>
      <c r="O961" t="s">
        <v>26</v>
      </c>
      <c r="P961" t="s">
        <v>26</v>
      </c>
      <c r="Q961" t="s">
        <v>26</v>
      </c>
      <c r="R961" t="s">
        <v>26</v>
      </c>
      <c r="S961" t="s">
        <v>26</v>
      </c>
      <c r="T961" t="s">
        <v>26</v>
      </c>
      <c r="U961" t="s">
        <v>26</v>
      </c>
      <c r="V961" t="s">
        <v>26</v>
      </c>
      <c r="W961" s="24">
        <v>43223</v>
      </c>
      <c r="X961" s="25" t="s">
        <v>77</v>
      </c>
      <c r="Y961" t="s">
        <v>26</v>
      </c>
      <c r="Z961" s="24">
        <v>43223</v>
      </c>
      <c r="AA961" s="25" t="s">
        <v>77</v>
      </c>
      <c r="AB961" t="s">
        <v>26</v>
      </c>
      <c r="AC961" t="s">
        <v>26</v>
      </c>
      <c r="AD961" t="s">
        <v>26</v>
      </c>
      <c r="AE961" t="s">
        <v>26</v>
      </c>
      <c r="AF961" t="s">
        <v>26</v>
      </c>
      <c r="AG961" t="s">
        <v>26</v>
      </c>
      <c r="AH961" t="s">
        <v>26</v>
      </c>
      <c r="AI961" t="s">
        <v>26</v>
      </c>
      <c r="AJ961" t="s">
        <v>26</v>
      </c>
      <c r="AK961" t="s">
        <v>26</v>
      </c>
      <c r="AL961" t="s">
        <v>26</v>
      </c>
      <c r="AM961" t="s">
        <v>26</v>
      </c>
      <c r="AN961" t="s">
        <v>26</v>
      </c>
      <c r="AO961" s="25" t="s">
        <v>28</v>
      </c>
      <c r="AP961" s="23" t="s">
        <v>365</v>
      </c>
      <c r="AQ961" s="23" t="s">
        <v>30</v>
      </c>
      <c r="AR961" s="23" t="s">
        <v>46</v>
      </c>
      <c r="AS961" s="25">
        <v>4396548</v>
      </c>
      <c r="AT961" t="s">
        <v>26</v>
      </c>
      <c r="AU961" t="s">
        <v>23500</v>
      </c>
    </row>
    <row r="962" spans="1:47" ht="26.25" x14ac:dyDescent="0.4">
      <c r="A962" s="23" t="s">
        <v>2453</v>
      </c>
      <c r="B962" t="s">
        <v>26</v>
      </c>
      <c r="C962" s="23" t="s">
        <v>259</v>
      </c>
      <c r="D962" s="23" t="s">
        <v>22179</v>
      </c>
      <c r="E962" s="23" t="s">
        <v>60</v>
      </c>
      <c r="F962" s="25" t="s">
        <v>2454</v>
      </c>
      <c r="G962" s="25" t="s">
        <v>2455</v>
      </c>
      <c r="H962" t="s">
        <v>26</v>
      </c>
      <c r="I962" s="24">
        <v>40544</v>
      </c>
      <c r="J962" s="25" t="s">
        <v>77</v>
      </c>
      <c r="K962" t="s">
        <v>26</v>
      </c>
      <c r="L962" s="25" t="s">
        <v>68</v>
      </c>
      <c r="M962" s="24">
        <v>40544</v>
      </c>
      <c r="N962" s="25" t="s">
        <v>77</v>
      </c>
      <c r="O962" t="s">
        <v>26</v>
      </c>
      <c r="P962" s="24">
        <v>40544</v>
      </c>
      <c r="Q962" s="25" t="s">
        <v>77</v>
      </c>
      <c r="R962" t="s">
        <v>26</v>
      </c>
      <c r="S962" t="s">
        <v>26</v>
      </c>
      <c r="T962" t="s">
        <v>26</v>
      </c>
      <c r="U962" t="s">
        <v>26</v>
      </c>
      <c r="V962" t="s">
        <v>26</v>
      </c>
      <c r="W962" s="24">
        <v>40544</v>
      </c>
      <c r="X962" s="25" t="s">
        <v>77</v>
      </c>
      <c r="Y962" t="s">
        <v>26</v>
      </c>
      <c r="Z962" s="24">
        <v>40544</v>
      </c>
      <c r="AA962" s="25" t="s">
        <v>77</v>
      </c>
      <c r="AB962" t="s">
        <v>26</v>
      </c>
      <c r="AC962" s="24">
        <v>40544</v>
      </c>
      <c r="AD962" s="25" t="s">
        <v>77</v>
      </c>
      <c r="AE962" t="s">
        <v>26</v>
      </c>
      <c r="AF962" t="s">
        <v>26</v>
      </c>
      <c r="AG962" t="s">
        <v>26</v>
      </c>
      <c r="AH962" t="s">
        <v>26</v>
      </c>
      <c r="AI962" t="s">
        <v>26</v>
      </c>
      <c r="AJ962" t="s">
        <v>26</v>
      </c>
      <c r="AK962" t="s">
        <v>26</v>
      </c>
      <c r="AL962" t="s">
        <v>26</v>
      </c>
      <c r="AM962" t="s">
        <v>26</v>
      </c>
      <c r="AN962" t="s">
        <v>26</v>
      </c>
      <c r="AO962" s="25" t="s">
        <v>68</v>
      </c>
      <c r="AP962" s="23" t="s">
        <v>69</v>
      </c>
      <c r="AQ962" s="23" t="s">
        <v>30</v>
      </c>
      <c r="AR962" s="23" t="s">
        <v>2456</v>
      </c>
      <c r="AS962" s="25">
        <v>2037463</v>
      </c>
      <c r="AT962" t="s">
        <v>26</v>
      </c>
      <c r="AU962" t="s">
        <v>23501</v>
      </c>
    </row>
    <row r="963" spans="1:47" ht="26.25" x14ac:dyDescent="0.4">
      <c r="A963" s="23" t="s">
        <v>2457</v>
      </c>
      <c r="B963" t="s">
        <v>26</v>
      </c>
      <c r="C963" s="23" t="s">
        <v>264</v>
      </c>
      <c r="D963" s="23" t="s">
        <v>22261</v>
      </c>
      <c r="E963" s="23" t="s">
        <v>60</v>
      </c>
      <c r="F963" s="25" t="s">
        <v>2458</v>
      </c>
      <c r="G963" s="25" t="s">
        <v>2459</v>
      </c>
      <c r="H963" t="s">
        <v>26</v>
      </c>
      <c r="I963" s="24">
        <v>41275</v>
      </c>
      <c r="J963" s="25" t="s">
        <v>77</v>
      </c>
      <c r="K963" t="s">
        <v>26</v>
      </c>
      <c r="L963" s="25" t="s">
        <v>68</v>
      </c>
      <c r="M963" s="24">
        <v>41275</v>
      </c>
      <c r="N963" s="25" t="s">
        <v>77</v>
      </c>
      <c r="O963" t="s">
        <v>26</v>
      </c>
      <c r="P963" s="24">
        <v>41275</v>
      </c>
      <c r="Q963" s="25" t="s">
        <v>77</v>
      </c>
      <c r="R963" t="s">
        <v>26</v>
      </c>
      <c r="S963" t="s">
        <v>26</v>
      </c>
      <c r="T963" t="s">
        <v>26</v>
      </c>
      <c r="U963" t="s">
        <v>26</v>
      </c>
      <c r="V963" s="25">
        <v>365</v>
      </c>
      <c r="W963" s="24">
        <v>41275</v>
      </c>
      <c r="X963" s="25" t="s">
        <v>77</v>
      </c>
      <c r="Y963" t="s">
        <v>26</v>
      </c>
      <c r="Z963" s="24">
        <v>41275</v>
      </c>
      <c r="AA963" s="25" t="s">
        <v>77</v>
      </c>
      <c r="AB963" t="s">
        <v>26</v>
      </c>
      <c r="AC963" s="24">
        <v>41275</v>
      </c>
      <c r="AD963" s="25" t="s">
        <v>77</v>
      </c>
      <c r="AE963" t="s">
        <v>26</v>
      </c>
      <c r="AF963" t="s">
        <v>26</v>
      </c>
      <c r="AG963" t="s">
        <v>26</v>
      </c>
      <c r="AH963" t="s">
        <v>26</v>
      </c>
      <c r="AI963" t="s">
        <v>26</v>
      </c>
      <c r="AJ963" t="s">
        <v>26</v>
      </c>
      <c r="AK963" t="s">
        <v>26</v>
      </c>
      <c r="AL963" t="s">
        <v>26</v>
      </c>
      <c r="AM963" t="s">
        <v>26</v>
      </c>
      <c r="AN963" t="s">
        <v>26</v>
      </c>
      <c r="AO963" s="25" t="s">
        <v>68</v>
      </c>
      <c r="AP963" s="23" t="s">
        <v>69</v>
      </c>
      <c r="AQ963" s="23" t="s">
        <v>30</v>
      </c>
      <c r="AR963" s="23" t="s">
        <v>1688</v>
      </c>
      <c r="AS963" s="25">
        <v>2030903</v>
      </c>
      <c r="AT963" t="s">
        <v>26</v>
      </c>
      <c r="AU963" t="s">
        <v>23502</v>
      </c>
    </row>
    <row r="964" spans="1:47" ht="26.25" x14ac:dyDescent="0.4">
      <c r="A964" s="23" t="s">
        <v>2460</v>
      </c>
      <c r="B964" t="s">
        <v>26</v>
      </c>
      <c r="C964" s="23" t="s">
        <v>1504</v>
      </c>
      <c r="D964" s="23" t="s">
        <v>22179</v>
      </c>
      <c r="E964" s="23" t="s">
        <v>42</v>
      </c>
      <c r="F964" t="s">
        <v>26</v>
      </c>
      <c r="G964" t="s">
        <v>26</v>
      </c>
      <c r="H964" s="25" t="s">
        <v>2461</v>
      </c>
      <c r="I964" s="24">
        <v>39083</v>
      </c>
      <c r="J964" s="24">
        <v>39083</v>
      </c>
      <c r="K964" t="s">
        <v>26</v>
      </c>
      <c r="L964" s="25" t="s">
        <v>28</v>
      </c>
      <c r="M964" s="24">
        <v>39083</v>
      </c>
      <c r="N964" s="24">
        <v>39083</v>
      </c>
      <c r="O964" t="s">
        <v>26</v>
      </c>
      <c r="P964" s="24">
        <v>39083</v>
      </c>
      <c r="Q964" s="24">
        <v>39083</v>
      </c>
      <c r="R964" t="s">
        <v>26</v>
      </c>
      <c r="S964" t="s">
        <v>26</v>
      </c>
      <c r="T964" t="s">
        <v>26</v>
      </c>
      <c r="U964" t="s">
        <v>26</v>
      </c>
      <c r="V964" t="s">
        <v>26</v>
      </c>
      <c r="W964" s="24">
        <v>39083</v>
      </c>
      <c r="X964" s="24">
        <v>39083</v>
      </c>
      <c r="Y964" t="s">
        <v>26</v>
      </c>
      <c r="Z964" s="24">
        <v>39083</v>
      </c>
      <c r="AA964" s="24">
        <v>39083</v>
      </c>
      <c r="AB964" t="s">
        <v>26</v>
      </c>
      <c r="AC964" t="s">
        <v>26</v>
      </c>
      <c r="AD964" t="s">
        <v>26</v>
      </c>
      <c r="AE964" t="s">
        <v>26</v>
      </c>
      <c r="AF964" t="s">
        <v>26</v>
      </c>
      <c r="AG964" t="s">
        <v>26</v>
      </c>
      <c r="AH964" t="s">
        <v>26</v>
      </c>
      <c r="AI964" t="s">
        <v>26</v>
      </c>
      <c r="AJ964" t="s">
        <v>26</v>
      </c>
      <c r="AK964" t="s">
        <v>26</v>
      </c>
      <c r="AL964" t="s">
        <v>26</v>
      </c>
      <c r="AM964" t="s">
        <v>26</v>
      </c>
      <c r="AN964" t="s">
        <v>26</v>
      </c>
      <c r="AO964" s="25" t="s">
        <v>28</v>
      </c>
      <c r="AP964" s="23" t="s">
        <v>29</v>
      </c>
      <c r="AQ964" s="23" t="s">
        <v>30</v>
      </c>
      <c r="AR964" s="23" t="s">
        <v>458</v>
      </c>
      <c r="AS964" s="25">
        <v>51240</v>
      </c>
      <c r="AT964" t="s">
        <v>26</v>
      </c>
      <c r="AU964" t="s">
        <v>23503</v>
      </c>
    </row>
    <row r="965" spans="1:47" ht="26.25" x14ac:dyDescent="0.4">
      <c r="A965" s="23" t="s">
        <v>2462</v>
      </c>
      <c r="B965" t="s">
        <v>26</v>
      </c>
      <c r="C965" s="23" t="s">
        <v>22163</v>
      </c>
      <c r="D965" t="s">
        <v>26</v>
      </c>
      <c r="E965" s="23" t="s">
        <v>42</v>
      </c>
      <c r="F965" t="s">
        <v>26</v>
      </c>
      <c r="G965" t="s">
        <v>26</v>
      </c>
      <c r="H965" t="s">
        <v>26</v>
      </c>
      <c r="I965" s="24">
        <v>31048</v>
      </c>
      <c r="J965" s="24">
        <v>43831</v>
      </c>
      <c r="K965" t="s">
        <v>26</v>
      </c>
      <c r="L965" s="25" t="s">
        <v>28</v>
      </c>
      <c r="M965" s="24">
        <v>31048</v>
      </c>
      <c r="N965" s="24">
        <v>43831</v>
      </c>
      <c r="O965" t="s">
        <v>26</v>
      </c>
      <c r="P965" t="s">
        <v>26</v>
      </c>
      <c r="Q965" t="s">
        <v>26</v>
      </c>
      <c r="R965" t="s">
        <v>26</v>
      </c>
      <c r="S965" s="24">
        <v>31048</v>
      </c>
      <c r="T965" s="24">
        <v>43831</v>
      </c>
      <c r="U965" t="s">
        <v>26</v>
      </c>
      <c r="V965" t="s">
        <v>26</v>
      </c>
      <c r="W965" s="24">
        <v>31048</v>
      </c>
      <c r="X965" s="24">
        <v>43831</v>
      </c>
      <c r="Y965" t="s">
        <v>26</v>
      </c>
      <c r="Z965" s="24">
        <v>31048</v>
      </c>
      <c r="AA965" s="24">
        <v>43831</v>
      </c>
      <c r="AB965" t="s">
        <v>26</v>
      </c>
      <c r="AC965" s="24">
        <v>31048</v>
      </c>
      <c r="AD965" s="24">
        <v>43831</v>
      </c>
      <c r="AE965" t="s">
        <v>26</v>
      </c>
      <c r="AF965" s="24">
        <v>31048</v>
      </c>
      <c r="AG965" s="24">
        <v>43831</v>
      </c>
      <c r="AH965" t="s">
        <v>26</v>
      </c>
      <c r="AI965" s="24">
        <v>31048</v>
      </c>
      <c r="AJ965" s="24">
        <v>43831</v>
      </c>
      <c r="AK965" t="s">
        <v>26</v>
      </c>
      <c r="AL965" t="s">
        <v>26</v>
      </c>
      <c r="AM965" t="s">
        <v>26</v>
      </c>
      <c r="AN965" t="s">
        <v>26</v>
      </c>
      <c r="AO965" s="25" t="s">
        <v>28</v>
      </c>
      <c r="AP965" s="23" t="s">
        <v>43</v>
      </c>
      <c r="AQ965" s="23" t="s">
        <v>30</v>
      </c>
      <c r="AR965" s="23" t="s">
        <v>44</v>
      </c>
      <c r="AS965" s="25">
        <v>5263189</v>
      </c>
      <c r="AT965" t="s">
        <v>26</v>
      </c>
      <c r="AU965" t="s">
        <v>23504</v>
      </c>
    </row>
    <row r="966" spans="1:47" ht="26.25" x14ac:dyDescent="0.4">
      <c r="A966" s="23" t="s">
        <v>2463</v>
      </c>
      <c r="B966" t="s">
        <v>26</v>
      </c>
      <c r="C966" s="23" t="s">
        <v>465</v>
      </c>
      <c r="D966" s="23" t="s">
        <v>22254</v>
      </c>
      <c r="E966" s="23" t="s">
        <v>42</v>
      </c>
      <c r="F966" s="25" t="s">
        <v>2464</v>
      </c>
      <c r="G966" s="25" t="s">
        <v>2465</v>
      </c>
      <c r="H966" t="s">
        <v>26</v>
      </c>
      <c r="I966" t="s">
        <v>26</v>
      </c>
      <c r="J966" t="s">
        <v>26</v>
      </c>
      <c r="K966" t="s">
        <v>26</v>
      </c>
      <c r="L966" s="25" t="s">
        <v>68</v>
      </c>
      <c r="M966" t="s">
        <v>26</v>
      </c>
      <c r="N966" t="s">
        <v>26</v>
      </c>
      <c r="O966" t="s">
        <v>26</v>
      </c>
      <c r="P966" t="s">
        <v>26</v>
      </c>
      <c r="Q966" t="s">
        <v>26</v>
      </c>
      <c r="R966" t="s">
        <v>26</v>
      </c>
      <c r="S966" t="s">
        <v>26</v>
      </c>
      <c r="T966" t="s">
        <v>26</v>
      </c>
      <c r="U966" t="s">
        <v>26</v>
      </c>
      <c r="V966" t="s">
        <v>26</v>
      </c>
      <c r="W966" s="24">
        <v>42826</v>
      </c>
      <c r="X966" s="25" t="s">
        <v>77</v>
      </c>
      <c r="Y966" t="s">
        <v>26</v>
      </c>
      <c r="Z966" s="24">
        <v>42826</v>
      </c>
      <c r="AA966" s="25" t="s">
        <v>77</v>
      </c>
      <c r="AB966" t="s">
        <v>26</v>
      </c>
      <c r="AC966" s="24">
        <v>42826</v>
      </c>
      <c r="AD966" s="25" t="s">
        <v>77</v>
      </c>
      <c r="AE966" t="s">
        <v>26</v>
      </c>
      <c r="AF966" t="s">
        <v>26</v>
      </c>
      <c r="AG966" t="s">
        <v>26</v>
      </c>
      <c r="AH966" t="s">
        <v>26</v>
      </c>
      <c r="AI966" t="s">
        <v>26</v>
      </c>
      <c r="AJ966" t="s">
        <v>26</v>
      </c>
      <c r="AK966" t="s">
        <v>26</v>
      </c>
      <c r="AL966" t="s">
        <v>26</v>
      </c>
      <c r="AM966" t="s">
        <v>26</v>
      </c>
      <c r="AN966" t="s">
        <v>26</v>
      </c>
      <c r="AO966" s="25" t="s">
        <v>68</v>
      </c>
      <c r="AP966" s="23" t="s">
        <v>69</v>
      </c>
      <c r="AQ966" s="23" t="s">
        <v>30</v>
      </c>
      <c r="AR966" s="23" t="s">
        <v>46</v>
      </c>
      <c r="AS966" s="25">
        <v>2042635</v>
      </c>
      <c r="AT966" t="s">
        <v>26</v>
      </c>
      <c r="AU966" t="s">
        <v>23505</v>
      </c>
    </row>
    <row r="967" spans="1:47" ht="26.25" x14ac:dyDescent="0.4">
      <c r="A967" s="23" t="s">
        <v>2466</v>
      </c>
      <c r="B967" t="s">
        <v>26</v>
      </c>
      <c r="C967" s="23" t="s">
        <v>181</v>
      </c>
      <c r="D967" s="23" t="s">
        <v>22174</v>
      </c>
      <c r="E967" s="23" t="s">
        <v>60</v>
      </c>
      <c r="F967" s="25" t="s">
        <v>2467</v>
      </c>
      <c r="G967" t="s">
        <v>26</v>
      </c>
      <c r="H967" t="s">
        <v>26</v>
      </c>
      <c r="I967" s="24">
        <v>41275</v>
      </c>
      <c r="J967" s="25" t="s">
        <v>77</v>
      </c>
      <c r="K967" s="25" t="s">
        <v>2468</v>
      </c>
      <c r="L967" s="25" t="s">
        <v>68</v>
      </c>
      <c r="M967" t="s">
        <v>26</v>
      </c>
      <c r="N967" t="s">
        <v>26</v>
      </c>
      <c r="O967" t="s">
        <v>26</v>
      </c>
      <c r="P967" t="s">
        <v>26</v>
      </c>
      <c r="Q967" t="s">
        <v>26</v>
      </c>
      <c r="R967" t="s">
        <v>26</v>
      </c>
      <c r="S967" s="24">
        <v>41275</v>
      </c>
      <c r="T967" s="25" t="s">
        <v>77</v>
      </c>
      <c r="U967" s="25" t="s">
        <v>2468</v>
      </c>
      <c r="V967" t="s">
        <v>26</v>
      </c>
      <c r="W967" s="24">
        <v>41275</v>
      </c>
      <c r="X967" s="25" t="s">
        <v>77</v>
      </c>
      <c r="Y967" s="25" t="s">
        <v>2468</v>
      </c>
      <c r="Z967" s="24">
        <v>41275</v>
      </c>
      <c r="AA967" s="25" t="s">
        <v>77</v>
      </c>
      <c r="AB967" s="25" t="s">
        <v>2468</v>
      </c>
      <c r="AC967" s="24">
        <v>41275</v>
      </c>
      <c r="AD967" s="25" t="s">
        <v>77</v>
      </c>
      <c r="AE967" s="25" t="s">
        <v>2468</v>
      </c>
      <c r="AF967" t="s">
        <v>26</v>
      </c>
      <c r="AG967" t="s">
        <v>26</v>
      </c>
      <c r="AH967" t="s">
        <v>26</v>
      </c>
      <c r="AI967" t="s">
        <v>26</v>
      </c>
      <c r="AJ967" t="s">
        <v>26</v>
      </c>
      <c r="AK967" t="s">
        <v>26</v>
      </c>
      <c r="AL967" t="s">
        <v>26</v>
      </c>
      <c r="AM967" t="s">
        <v>26</v>
      </c>
      <c r="AN967" t="s">
        <v>26</v>
      </c>
      <c r="AO967" s="25" t="s">
        <v>68</v>
      </c>
      <c r="AP967" s="23" t="s">
        <v>69</v>
      </c>
      <c r="AQ967" s="23" t="s">
        <v>30</v>
      </c>
      <c r="AR967" s="23" t="s">
        <v>991</v>
      </c>
      <c r="AS967" s="25">
        <v>4451125</v>
      </c>
      <c r="AT967" t="s">
        <v>26</v>
      </c>
      <c r="AU967" t="s">
        <v>23506</v>
      </c>
    </row>
    <row r="968" spans="1:47" ht="13.15" x14ac:dyDescent="0.4">
      <c r="A968" s="23" t="s">
        <v>2469</v>
      </c>
      <c r="B968" t="s">
        <v>26</v>
      </c>
      <c r="C968" s="23" t="s">
        <v>1076</v>
      </c>
      <c r="D968" s="23" t="s">
        <v>22647</v>
      </c>
      <c r="E968" s="23" t="s">
        <v>42</v>
      </c>
      <c r="F968" t="s">
        <v>26</v>
      </c>
      <c r="G968" t="s">
        <v>26</v>
      </c>
      <c r="H968" t="s">
        <v>26</v>
      </c>
      <c r="I968" t="s">
        <v>26</v>
      </c>
      <c r="J968" t="s">
        <v>26</v>
      </c>
      <c r="K968" t="s">
        <v>26</v>
      </c>
      <c r="L968" s="25" t="s">
        <v>28</v>
      </c>
      <c r="M968" t="s">
        <v>26</v>
      </c>
      <c r="N968" t="s">
        <v>26</v>
      </c>
      <c r="O968" t="s">
        <v>26</v>
      </c>
      <c r="P968" t="s">
        <v>26</v>
      </c>
      <c r="Q968" t="s">
        <v>26</v>
      </c>
      <c r="R968" t="s">
        <v>26</v>
      </c>
      <c r="S968" t="s">
        <v>26</v>
      </c>
      <c r="T968" t="s">
        <v>26</v>
      </c>
      <c r="U968" t="s">
        <v>26</v>
      </c>
      <c r="V968" t="s">
        <v>26</v>
      </c>
      <c r="W968" s="24">
        <v>37987</v>
      </c>
      <c r="X968" s="24">
        <v>37987</v>
      </c>
      <c r="Y968" t="s">
        <v>26</v>
      </c>
      <c r="Z968" s="24">
        <v>37987</v>
      </c>
      <c r="AA968" s="24">
        <v>37987</v>
      </c>
      <c r="AB968" t="s">
        <v>26</v>
      </c>
      <c r="AC968" t="s">
        <v>26</v>
      </c>
      <c r="AD968" t="s">
        <v>26</v>
      </c>
      <c r="AE968" t="s">
        <v>26</v>
      </c>
      <c r="AF968" t="s">
        <v>26</v>
      </c>
      <c r="AG968" t="s">
        <v>26</v>
      </c>
      <c r="AH968" t="s">
        <v>26</v>
      </c>
      <c r="AI968" t="s">
        <v>26</v>
      </c>
      <c r="AJ968" t="s">
        <v>26</v>
      </c>
      <c r="AK968" t="s">
        <v>26</v>
      </c>
      <c r="AL968" t="s">
        <v>26</v>
      </c>
      <c r="AM968" t="s">
        <v>26</v>
      </c>
      <c r="AN968" t="s">
        <v>26</v>
      </c>
      <c r="AO968" s="25" t="s">
        <v>28</v>
      </c>
      <c r="AP968" s="23" t="s">
        <v>29</v>
      </c>
      <c r="AQ968" s="23" t="s">
        <v>30</v>
      </c>
      <c r="AR968" s="23" t="s">
        <v>44</v>
      </c>
      <c r="AS968" s="25">
        <v>5483645</v>
      </c>
      <c r="AT968" s="23" t="s">
        <v>22181</v>
      </c>
      <c r="AU968" t="s">
        <v>23507</v>
      </c>
    </row>
    <row r="969" spans="1:47" ht="26.25" x14ac:dyDescent="0.4">
      <c r="A969" s="23" t="s">
        <v>2470</v>
      </c>
      <c r="B969" t="s">
        <v>26</v>
      </c>
      <c r="C969" s="23" t="s">
        <v>107</v>
      </c>
      <c r="D969" s="23" t="s">
        <v>23508</v>
      </c>
      <c r="E969" s="23" t="s">
        <v>42</v>
      </c>
      <c r="F969" s="25" t="s">
        <v>2471</v>
      </c>
      <c r="G969" s="25" t="s">
        <v>2472</v>
      </c>
      <c r="H969" t="s">
        <v>26</v>
      </c>
      <c r="I969" s="24">
        <v>33270</v>
      </c>
      <c r="J969" s="24">
        <v>42917</v>
      </c>
      <c r="K969" t="s">
        <v>26</v>
      </c>
      <c r="L969" s="25" t="s">
        <v>68</v>
      </c>
      <c r="M969" s="24">
        <v>34366</v>
      </c>
      <c r="N969" s="24">
        <v>42917</v>
      </c>
      <c r="O969" t="s">
        <v>26</v>
      </c>
      <c r="P969" s="24">
        <v>33270</v>
      </c>
      <c r="Q969" s="24">
        <v>42917</v>
      </c>
      <c r="R969" t="s">
        <v>26</v>
      </c>
      <c r="S969" t="s">
        <v>26</v>
      </c>
      <c r="T969" t="s">
        <v>26</v>
      </c>
      <c r="U969" t="s">
        <v>26</v>
      </c>
      <c r="V969" t="s">
        <v>26</v>
      </c>
      <c r="W969" s="24">
        <v>12540</v>
      </c>
      <c r="X969" s="25" t="s">
        <v>77</v>
      </c>
      <c r="Y969" s="25" t="s">
        <v>2473</v>
      </c>
      <c r="Z969" s="24">
        <v>12540</v>
      </c>
      <c r="AA969" s="25" t="s">
        <v>77</v>
      </c>
      <c r="AB969" s="25" t="s">
        <v>2473</v>
      </c>
      <c r="AC969" s="24">
        <v>12693</v>
      </c>
      <c r="AD969" s="25" t="s">
        <v>77</v>
      </c>
      <c r="AE969" s="25" t="s">
        <v>23509</v>
      </c>
      <c r="AF969" t="s">
        <v>26</v>
      </c>
      <c r="AG969" t="s">
        <v>26</v>
      </c>
      <c r="AH969" t="s">
        <v>26</v>
      </c>
      <c r="AI969" t="s">
        <v>26</v>
      </c>
      <c r="AJ969" t="s">
        <v>26</v>
      </c>
      <c r="AK969" t="s">
        <v>26</v>
      </c>
      <c r="AL969" t="s">
        <v>26</v>
      </c>
      <c r="AM969" t="s">
        <v>26</v>
      </c>
      <c r="AN969" t="s">
        <v>26</v>
      </c>
      <c r="AO969" s="25" t="s">
        <v>68</v>
      </c>
      <c r="AP969" s="23" t="s">
        <v>69</v>
      </c>
      <c r="AQ969" s="23" t="s">
        <v>30</v>
      </c>
      <c r="AR969" s="23" t="s">
        <v>2139</v>
      </c>
      <c r="AS969" s="25">
        <v>7735</v>
      </c>
      <c r="AT969" t="s">
        <v>26</v>
      </c>
      <c r="AU969" t="s">
        <v>23510</v>
      </c>
    </row>
    <row r="970" spans="1:47" ht="26.25" x14ac:dyDescent="0.4">
      <c r="A970" s="23" t="s">
        <v>2474</v>
      </c>
      <c r="B970" t="s">
        <v>26</v>
      </c>
      <c r="C970" s="23" t="s">
        <v>80</v>
      </c>
      <c r="D970" s="23" t="s">
        <v>22190</v>
      </c>
      <c r="E970" s="23" t="s">
        <v>60</v>
      </c>
      <c r="F970" s="25" t="s">
        <v>2475</v>
      </c>
      <c r="G970" s="25" t="s">
        <v>2476</v>
      </c>
      <c r="H970" t="s">
        <v>26</v>
      </c>
      <c r="I970" t="s">
        <v>26</v>
      </c>
      <c r="J970" t="s">
        <v>26</v>
      </c>
      <c r="K970" t="s">
        <v>26</v>
      </c>
      <c r="L970" s="25" t="s">
        <v>68</v>
      </c>
      <c r="M970" t="s">
        <v>26</v>
      </c>
      <c r="N970" t="s">
        <v>26</v>
      </c>
      <c r="O970" t="s">
        <v>26</v>
      </c>
      <c r="P970" t="s">
        <v>26</v>
      </c>
      <c r="Q970" t="s">
        <v>26</v>
      </c>
      <c r="R970" t="s">
        <v>26</v>
      </c>
      <c r="S970" t="s">
        <v>26</v>
      </c>
      <c r="T970" t="s">
        <v>26</v>
      </c>
      <c r="U970" t="s">
        <v>26</v>
      </c>
      <c r="V970" t="s">
        <v>26</v>
      </c>
      <c r="W970" s="24">
        <v>37073</v>
      </c>
      <c r="X970" s="25" t="s">
        <v>77</v>
      </c>
      <c r="Y970" s="25" t="s">
        <v>202</v>
      </c>
      <c r="Z970" s="24">
        <v>37073</v>
      </c>
      <c r="AA970" s="25" t="s">
        <v>77</v>
      </c>
      <c r="AB970" s="25" t="s">
        <v>202</v>
      </c>
      <c r="AC970" s="24">
        <v>37073</v>
      </c>
      <c r="AD970" s="25" t="s">
        <v>77</v>
      </c>
      <c r="AE970" s="25" t="s">
        <v>202</v>
      </c>
      <c r="AF970" t="s">
        <v>26</v>
      </c>
      <c r="AG970" t="s">
        <v>26</v>
      </c>
      <c r="AH970" t="s">
        <v>26</v>
      </c>
      <c r="AI970" t="s">
        <v>26</v>
      </c>
      <c r="AJ970" t="s">
        <v>26</v>
      </c>
      <c r="AK970" t="s">
        <v>26</v>
      </c>
      <c r="AL970" t="s">
        <v>26</v>
      </c>
      <c r="AM970" t="s">
        <v>26</v>
      </c>
      <c r="AN970" t="s">
        <v>26</v>
      </c>
      <c r="AO970" s="25" t="s">
        <v>68</v>
      </c>
      <c r="AP970" s="23" t="s">
        <v>69</v>
      </c>
      <c r="AQ970" s="23" t="s">
        <v>30</v>
      </c>
      <c r="AR970" s="23" t="s">
        <v>569</v>
      </c>
      <c r="AS970" s="25">
        <v>36998</v>
      </c>
      <c r="AT970" t="s">
        <v>26</v>
      </c>
      <c r="AU970" t="s">
        <v>23511</v>
      </c>
    </row>
    <row r="971" spans="1:47" ht="26.25" x14ac:dyDescent="0.4">
      <c r="A971" s="23" t="s">
        <v>2477</v>
      </c>
      <c r="B971" t="s">
        <v>26</v>
      </c>
      <c r="C971" s="23" t="s">
        <v>2478</v>
      </c>
      <c r="D971" s="23" t="s">
        <v>22174</v>
      </c>
      <c r="E971" s="23" t="s">
        <v>335</v>
      </c>
      <c r="F971" t="s">
        <v>26</v>
      </c>
      <c r="G971" s="25" t="s">
        <v>2479</v>
      </c>
      <c r="H971" t="s">
        <v>26</v>
      </c>
      <c r="I971" t="s">
        <v>26</v>
      </c>
      <c r="J971" t="s">
        <v>26</v>
      </c>
      <c r="K971" t="s">
        <v>26</v>
      </c>
      <c r="L971" s="25" t="s">
        <v>68</v>
      </c>
      <c r="M971" t="s">
        <v>26</v>
      </c>
      <c r="N971" t="s">
        <v>26</v>
      </c>
      <c r="O971" t="s">
        <v>26</v>
      </c>
      <c r="P971" t="s">
        <v>26</v>
      </c>
      <c r="Q971" t="s">
        <v>26</v>
      </c>
      <c r="R971" t="s">
        <v>26</v>
      </c>
      <c r="S971" t="s">
        <v>26</v>
      </c>
      <c r="T971" t="s">
        <v>26</v>
      </c>
      <c r="U971" t="s">
        <v>26</v>
      </c>
      <c r="V971" t="s">
        <v>26</v>
      </c>
      <c r="W971" s="24">
        <v>33329</v>
      </c>
      <c r="X971" s="25" t="s">
        <v>77</v>
      </c>
      <c r="Y971" s="25" t="s">
        <v>2480</v>
      </c>
      <c r="Z971" s="24">
        <v>33329</v>
      </c>
      <c r="AA971" s="25" t="s">
        <v>77</v>
      </c>
      <c r="AB971" s="25" t="s">
        <v>2480</v>
      </c>
      <c r="AC971" s="24">
        <v>41640</v>
      </c>
      <c r="AD971" s="25" t="s">
        <v>77</v>
      </c>
      <c r="AE971" t="s">
        <v>26</v>
      </c>
      <c r="AF971" t="s">
        <v>26</v>
      </c>
      <c r="AG971" t="s">
        <v>26</v>
      </c>
      <c r="AH971" t="s">
        <v>26</v>
      </c>
      <c r="AI971" t="s">
        <v>26</v>
      </c>
      <c r="AJ971" t="s">
        <v>26</v>
      </c>
      <c r="AK971" t="s">
        <v>26</v>
      </c>
      <c r="AL971" t="s">
        <v>26</v>
      </c>
      <c r="AM971" t="s">
        <v>26</v>
      </c>
      <c r="AN971" t="s">
        <v>26</v>
      </c>
      <c r="AO971" s="25" t="s">
        <v>68</v>
      </c>
      <c r="AP971" s="23" t="s">
        <v>69</v>
      </c>
      <c r="AQ971" t="s">
        <v>26</v>
      </c>
      <c r="AR971" s="23" t="s">
        <v>569</v>
      </c>
      <c r="AS971" s="25">
        <v>43052</v>
      </c>
      <c r="AT971" t="s">
        <v>26</v>
      </c>
      <c r="AU971" t="s">
        <v>23512</v>
      </c>
    </row>
    <row r="972" spans="1:47" ht="26.25" x14ac:dyDescent="0.4">
      <c r="A972" s="23" t="s">
        <v>2481</v>
      </c>
      <c r="B972" t="s">
        <v>26</v>
      </c>
      <c r="C972" s="23" t="s">
        <v>332</v>
      </c>
      <c r="D972" s="23" t="s">
        <v>22256</v>
      </c>
      <c r="E972" s="23" t="s">
        <v>42</v>
      </c>
      <c r="F972" t="s">
        <v>26</v>
      </c>
      <c r="G972" t="s">
        <v>26</v>
      </c>
      <c r="H972" t="s">
        <v>26</v>
      </c>
      <c r="I972" s="24">
        <v>41275</v>
      </c>
      <c r="J972" s="24">
        <v>41640</v>
      </c>
      <c r="K972" t="s">
        <v>26</v>
      </c>
      <c r="L972" s="25" t="s">
        <v>28</v>
      </c>
      <c r="M972" s="24">
        <v>41275</v>
      </c>
      <c r="N972" s="24">
        <v>41640</v>
      </c>
      <c r="O972" t="s">
        <v>26</v>
      </c>
      <c r="P972" t="s">
        <v>26</v>
      </c>
      <c r="Q972" t="s">
        <v>26</v>
      </c>
      <c r="R972" t="s">
        <v>26</v>
      </c>
      <c r="S972" t="s">
        <v>26</v>
      </c>
      <c r="T972" t="s">
        <v>26</v>
      </c>
      <c r="U972" t="s">
        <v>26</v>
      </c>
      <c r="V972" t="s">
        <v>26</v>
      </c>
      <c r="W972" s="24">
        <v>41275</v>
      </c>
      <c r="X972" s="24">
        <v>41640</v>
      </c>
      <c r="Y972" t="s">
        <v>26</v>
      </c>
      <c r="Z972" s="24">
        <v>41275</v>
      </c>
      <c r="AA972" s="24">
        <v>41640</v>
      </c>
      <c r="AB972" t="s">
        <v>26</v>
      </c>
      <c r="AC972" s="24">
        <v>41275</v>
      </c>
      <c r="AD972" s="24">
        <v>41640</v>
      </c>
      <c r="AE972" t="s">
        <v>26</v>
      </c>
      <c r="AF972" t="s">
        <v>26</v>
      </c>
      <c r="AG972" t="s">
        <v>26</v>
      </c>
      <c r="AH972" t="s">
        <v>26</v>
      </c>
      <c r="AI972" t="s">
        <v>26</v>
      </c>
      <c r="AJ972" t="s">
        <v>26</v>
      </c>
      <c r="AK972" t="s">
        <v>26</v>
      </c>
      <c r="AL972" t="s">
        <v>26</v>
      </c>
      <c r="AM972" t="s">
        <v>26</v>
      </c>
      <c r="AN972" t="s">
        <v>26</v>
      </c>
      <c r="AO972" s="25" t="s">
        <v>28</v>
      </c>
      <c r="AP972" s="23" t="s">
        <v>279</v>
      </c>
      <c r="AQ972" s="23" t="s">
        <v>30</v>
      </c>
      <c r="AR972" s="23" t="s">
        <v>46</v>
      </c>
      <c r="AS972" s="25">
        <v>6275769</v>
      </c>
      <c r="AT972" t="s">
        <v>26</v>
      </c>
      <c r="AU972" t="s">
        <v>23513</v>
      </c>
    </row>
    <row r="973" spans="1:47" ht="26.25" x14ac:dyDescent="0.4">
      <c r="A973" s="23" t="s">
        <v>2482</v>
      </c>
      <c r="B973" t="s">
        <v>26</v>
      </c>
      <c r="C973" t="s">
        <v>26</v>
      </c>
      <c r="D973" t="s">
        <v>26</v>
      </c>
      <c r="E973" t="s">
        <v>26</v>
      </c>
      <c r="F973" t="s">
        <v>26</v>
      </c>
      <c r="G973" t="s">
        <v>26</v>
      </c>
      <c r="H973" t="s">
        <v>26</v>
      </c>
      <c r="I973" s="25" t="s">
        <v>295</v>
      </c>
      <c r="J973" s="25" t="s">
        <v>295</v>
      </c>
      <c r="K973" t="s">
        <v>26</v>
      </c>
      <c r="L973" s="25" t="s">
        <v>28</v>
      </c>
      <c r="M973" t="s">
        <v>26</v>
      </c>
      <c r="N973" t="s">
        <v>26</v>
      </c>
      <c r="O973" t="s">
        <v>26</v>
      </c>
      <c r="P973" s="25" t="s">
        <v>295</v>
      </c>
      <c r="Q973" s="25" t="s">
        <v>295</v>
      </c>
      <c r="R973" t="s">
        <v>26</v>
      </c>
      <c r="S973" t="s">
        <v>26</v>
      </c>
      <c r="T973" t="s">
        <v>26</v>
      </c>
      <c r="U973" t="s">
        <v>26</v>
      </c>
      <c r="V973" t="s">
        <v>26</v>
      </c>
      <c r="W973" s="25" t="s">
        <v>295</v>
      </c>
      <c r="X973" s="25" t="s">
        <v>295</v>
      </c>
      <c r="Y973" t="s">
        <v>26</v>
      </c>
      <c r="Z973" s="25" t="s">
        <v>295</v>
      </c>
      <c r="AA973" s="25" t="s">
        <v>295</v>
      </c>
      <c r="AB973" t="s">
        <v>26</v>
      </c>
      <c r="AC973" t="s">
        <v>26</v>
      </c>
      <c r="AD973" t="s">
        <v>26</v>
      </c>
      <c r="AE973" t="s">
        <v>26</v>
      </c>
      <c r="AF973" t="s">
        <v>26</v>
      </c>
      <c r="AG973" t="s">
        <v>26</v>
      </c>
      <c r="AH973" t="s">
        <v>26</v>
      </c>
      <c r="AI973" t="s">
        <v>26</v>
      </c>
      <c r="AJ973" t="s">
        <v>26</v>
      </c>
      <c r="AK973" t="s">
        <v>26</v>
      </c>
      <c r="AL973" t="s">
        <v>26</v>
      </c>
      <c r="AM973" t="s">
        <v>26</v>
      </c>
      <c r="AN973" t="s">
        <v>26</v>
      </c>
      <c r="AO973" s="25" t="s">
        <v>28</v>
      </c>
      <c r="AP973" s="23" t="s">
        <v>45</v>
      </c>
      <c r="AQ973" s="23" t="s">
        <v>30</v>
      </c>
      <c r="AR973" s="23" t="s">
        <v>46</v>
      </c>
      <c r="AS973" s="25">
        <v>5983392</v>
      </c>
      <c r="AT973" t="s">
        <v>26</v>
      </c>
      <c r="AU973" t="s">
        <v>23514</v>
      </c>
    </row>
    <row r="974" spans="1:47" ht="26.25" x14ac:dyDescent="0.4">
      <c r="A974" s="23" t="s">
        <v>2483</v>
      </c>
      <c r="B974" t="s">
        <v>26</v>
      </c>
      <c r="C974" s="23" t="s">
        <v>80</v>
      </c>
      <c r="D974" s="23" t="s">
        <v>22184</v>
      </c>
      <c r="E974" s="23" t="s">
        <v>60</v>
      </c>
      <c r="F974" s="25" t="s">
        <v>2484</v>
      </c>
      <c r="G974" s="25" t="s">
        <v>2485</v>
      </c>
      <c r="H974" t="s">
        <v>26</v>
      </c>
      <c r="I974" t="s">
        <v>26</v>
      </c>
      <c r="J974" t="s">
        <v>26</v>
      </c>
      <c r="K974" t="s">
        <v>26</v>
      </c>
      <c r="L974" s="25" t="s">
        <v>68</v>
      </c>
      <c r="M974" t="s">
        <v>26</v>
      </c>
      <c r="N974" t="s">
        <v>26</v>
      </c>
      <c r="O974" t="s">
        <v>26</v>
      </c>
      <c r="P974" t="s">
        <v>26</v>
      </c>
      <c r="Q974" t="s">
        <v>26</v>
      </c>
      <c r="R974" t="s">
        <v>26</v>
      </c>
      <c r="S974" t="s">
        <v>26</v>
      </c>
      <c r="T974" t="s">
        <v>26</v>
      </c>
      <c r="U974" t="s">
        <v>26</v>
      </c>
      <c r="V974" t="s">
        <v>26</v>
      </c>
      <c r="W974" s="24">
        <v>40179</v>
      </c>
      <c r="X974" s="25" t="s">
        <v>77</v>
      </c>
      <c r="Y974" t="s">
        <v>26</v>
      </c>
      <c r="Z974" s="24">
        <v>40179</v>
      </c>
      <c r="AA974" s="25" t="s">
        <v>77</v>
      </c>
      <c r="AB974" t="s">
        <v>26</v>
      </c>
      <c r="AC974" s="24">
        <v>40179</v>
      </c>
      <c r="AD974" s="25" t="s">
        <v>77</v>
      </c>
      <c r="AE974" t="s">
        <v>26</v>
      </c>
      <c r="AF974" t="s">
        <v>26</v>
      </c>
      <c r="AG974" t="s">
        <v>26</v>
      </c>
      <c r="AH974" t="s">
        <v>26</v>
      </c>
      <c r="AI974" t="s">
        <v>26</v>
      </c>
      <c r="AJ974" t="s">
        <v>26</v>
      </c>
      <c r="AK974" t="s">
        <v>26</v>
      </c>
      <c r="AL974" t="s">
        <v>26</v>
      </c>
      <c r="AM974" t="s">
        <v>26</v>
      </c>
      <c r="AN974" t="s">
        <v>26</v>
      </c>
      <c r="AO974" s="25" t="s">
        <v>68</v>
      </c>
      <c r="AP974" s="23" t="s">
        <v>69</v>
      </c>
      <c r="AQ974" s="23" t="s">
        <v>30</v>
      </c>
      <c r="AR974" s="23" t="s">
        <v>253</v>
      </c>
      <c r="AS974" s="25">
        <v>176158</v>
      </c>
      <c r="AT974" t="s">
        <v>26</v>
      </c>
      <c r="AU974" t="s">
        <v>23515</v>
      </c>
    </row>
    <row r="975" spans="1:47" ht="26.25" x14ac:dyDescent="0.4">
      <c r="A975" s="23" t="s">
        <v>2486</v>
      </c>
      <c r="B975" t="s">
        <v>26</v>
      </c>
      <c r="C975" s="23" t="s">
        <v>73</v>
      </c>
      <c r="D975" s="23" t="s">
        <v>22215</v>
      </c>
      <c r="E975" s="23" t="s">
        <v>74</v>
      </c>
      <c r="F975" s="25" t="s">
        <v>2487</v>
      </c>
      <c r="G975" s="25" t="s">
        <v>2488</v>
      </c>
      <c r="H975" t="s">
        <v>26</v>
      </c>
      <c r="I975" s="24">
        <v>35643</v>
      </c>
      <c r="J975" s="25" t="s">
        <v>77</v>
      </c>
      <c r="K975" s="25" t="s">
        <v>592</v>
      </c>
      <c r="L975" s="25" t="s">
        <v>68</v>
      </c>
      <c r="M975" s="24">
        <v>38169</v>
      </c>
      <c r="N975" s="24">
        <v>42856</v>
      </c>
      <c r="O975" t="s">
        <v>26</v>
      </c>
      <c r="P975" s="24">
        <v>35643</v>
      </c>
      <c r="Q975" s="25" t="s">
        <v>77</v>
      </c>
      <c r="R975" s="25" t="s">
        <v>592</v>
      </c>
      <c r="S975" t="s">
        <v>26</v>
      </c>
      <c r="T975" t="s">
        <v>26</v>
      </c>
      <c r="U975" t="s">
        <v>26</v>
      </c>
      <c r="V975" s="25">
        <v>365</v>
      </c>
      <c r="W975" s="24">
        <v>35643</v>
      </c>
      <c r="X975" s="25" t="s">
        <v>77</v>
      </c>
      <c r="Y975" s="25" t="s">
        <v>592</v>
      </c>
      <c r="Z975" s="24">
        <v>35643</v>
      </c>
      <c r="AA975" s="25" t="s">
        <v>77</v>
      </c>
      <c r="AB975" s="25" t="s">
        <v>592</v>
      </c>
      <c r="AC975" s="24">
        <v>36892</v>
      </c>
      <c r="AD975" s="25" t="s">
        <v>77</v>
      </c>
      <c r="AE975" t="s">
        <v>26</v>
      </c>
      <c r="AF975" t="s">
        <v>26</v>
      </c>
      <c r="AG975" t="s">
        <v>26</v>
      </c>
      <c r="AH975" t="s">
        <v>26</v>
      </c>
      <c r="AI975" t="s">
        <v>26</v>
      </c>
      <c r="AJ975" t="s">
        <v>26</v>
      </c>
      <c r="AK975" t="s">
        <v>26</v>
      </c>
      <c r="AL975" t="s">
        <v>26</v>
      </c>
      <c r="AM975" t="s">
        <v>26</v>
      </c>
      <c r="AN975" t="s">
        <v>26</v>
      </c>
      <c r="AO975" s="25" t="s">
        <v>68</v>
      </c>
      <c r="AP975" s="23" t="s">
        <v>69</v>
      </c>
      <c r="AQ975" s="23" t="s">
        <v>30</v>
      </c>
      <c r="AR975" s="23" t="s">
        <v>70</v>
      </c>
      <c r="AS975" s="25">
        <v>47176</v>
      </c>
      <c r="AT975" t="s">
        <v>26</v>
      </c>
      <c r="AU975" t="s">
        <v>23516</v>
      </c>
    </row>
    <row r="976" spans="1:47" ht="13.15" x14ac:dyDescent="0.4">
      <c r="A976" s="23" t="s">
        <v>2489</v>
      </c>
      <c r="B976" t="s">
        <v>26</v>
      </c>
      <c r="C976" s="23" t="s">
        <v>371</v>
      </c>
      <c r="D976" s="23" t="s">
        <v>22179</v>
      </c>
      <c r="E976" s="23" t="s">
        <v>42</v>
      </c>
      <c r="F976" t="s">
        <v>26</v>
      </c>
      <c r="G976" t="s">
        <v>26</v>
      </c>
      <c r="H976" t="s">
        <v>26</v>
      </c>
      <c r="I976" t="s">
        <v>26</v>
      </c>
      <c r="J976" t="s">
        <v>26</v>
      </c>
      <c r="K976" t="s">
        <v>26</v>
      </c>
      <c r="L976" s="25" t="s">
        <v>28</v>
      </c>
      <c r="M976" t="s">
        <v>26</v>
      </c>
      <c r="N976" t="s">
        <v>26</v>
      </c>
      <c r="O976" t="s">
        <v>26</v>
      </c>
      <c r="P976" t="s">
        <v>26</v>
      </c>
      <c r="Q976" t="s">
        <v>26</v>
      </c>
      <c r="R976" t="s">
        <v>26</v>
      </c>
      <c r="S976" t="s">
        <v>26</v>
      </c>
      <c r="T976" t="s">
        <v>26</v>
      </c>
      <c r="U976" t="s">
        <v>26</v>
      </c>
      <c r="V976" t="s">
        <v>26</v>
      </c>
      <c r="W976" s="24">
        <v>39814</v>
      </c>
      <c r="X976" s="24">
        <v>39814</v>
      </c>
      <c r="Y976" t="s">
        <v>26</v>
      </c>
      <c r="Z976" s="24">
        <v>39814</v>
      </c>
      <c r="AA976" s="24">
        <v>39814</v>
      </c>
      <c r="AB976" t="s">
        <v>26</v>
      </c>
      <c r="AC976" t="s">
        <v>26</v>
      </c>
      <c r="AD976" t="s">
        <v>26</v>
      </c>
      <c r="AE976" t="s">
        <v>26</v>
      </c>
      <c r="AF976" t="s">
        <v>26</v>
      </c>
      <c r="AG976" t="s">
        <v>26</v>
      </c>
      <c r="AH976" t="s">
        <v>26</v>
      </c>
      <c r="AI976" t="s">
        <v>26</v>
      </c>
      <c r="AJ976" t="s">
        <v>26</v>
      </c>
      <c r="AK976" t="s">
        <v>26</v>
      </c>
      <c r="AL976" t="s">
        <v>26</v>
      </c>
      <c r="AM976" t="s">
        <v>26</v>
      </c>
      <c r="AN976" t="s">
        <v>26</v>
      </c>
      <c r="AO976" s="25" t="s">
        <v>28</v>
      </c>
      <c r="AP976" s="23" t="s">
        <v>29</v>
      </c>
      <c r="AQ976" s="23" t="s">
        <v>30</v>
      </c>
      <c r="AR976" s="23" t="s">
        <v>44</v>
      </c>
      <c r="AS976" s="25">
        <v>5483573</v>
      </c>
      <c r="AT976" s="23" t="s">
        <v>22181</v>
      </c>
      <c r="AU976" t="s">
        <v>23517</v>
      </c>
    </row>
    <row r="977" spans="1:47" ht="26.25" x14ac:dyDescent="0.4">
      <c r="A977" s="23" t="s">
        <v>2490</v>
      </c>
      <c r="B977" t="s">
        <v>26</v>
      </c>
      <c r="C977" s="23" t="s">
        <v>2491</v>
      </c>
      <c r="D977" s="23" t="s">
        <v>22174</v>
      </c>
      <c r="E977" s="23" t="s">
        <v>60</v>
      </c>
      <c r="F977" s="25" t="s">
        <v>2492</v>
      </c>
      <c r="G977" s="25" t="s">
        <v>2493</v>
      </c>
      <c r="H977" t="s">
        <v>26</v>
      </c>
      <c r="I977" s="24">
        <v>37135</v>
      </c>
      <c r="J977" s="24">
        <v>41883</v>
      </c>
      <c r="K977" t="s">
        <v>26</v>
      </c>
      <c r="L977" s="25" t="s">
        <v>68</v>
      </c>
      <c r="M977" s="24">
        <v>37135</v>
      </c>
      <c r="N977" s="24">
        <v>41883</v>
      </c>
      <c r="O977" t="s">
        <v>26</v>
      </c>
      <c r="P977" s="24">
        <v>37135</v>
      </c>
      <c r="Q977" s="24">
        <v>41883</v>
      </c>
      <c r="R977" t="s">
        <v>26</v>
      </c>
      <c r="S977" t="s">
        <v>26</v>
      </c>
      <c r="T977" t="s">
        <v>26</v>
      </c>
      <c r="U977" t="s">
        <v>26</v>
      </c>
      <c r="V977" t="s">
        <v>26</v>
      </c>
      <c r="W977" s="24">
        <v>37135</v>
      </c>
      <c r="X977" s="24">
        <v>41883</v>
      </c>
      <c r="Y977" t="s">
        <v>26</v>
      </c>
      <c r="Z977" s="24">
        <v>37135</v>
      </c>
      <c r="AA977" s="24">
        <v>41883</v>
      </c>
      <c r="AB977" t="s">
        <v>26</v>
      </c>
      <c r="AC977" s="24">
        <v>37135</v>
      </c>
      <c r="AD977" s="24">
        <v>41883</v>
      </c>
      <c r="AE977" t="s">
        <v>26</v>
      </c>
      <c r="AF977" t="s">
        <v>26</v>
      </c>
      <c r="AG977" t="s">
        <v>26</v>
      </c>
      <c r="AH977" t="s">
        <v>26</v>
      </c>
      <c r="AI977" t="s">
        <v>26</v>
      </c>
      <c r="AJ977" t="s">
        <v>26</v>
      </c>
      <c r="AK977" t="s">
        <v>26</v>
      </c>
      <c r="AL977" t="s">
        <v>26</v>
      </c>
      <c r="AM977" t="s">
        <v>26</v>
      </c>
      <c r="AN977" t="s">
        <v>26</v>
      </c>
      <c r="AO977" s="25" t="s">
        <v>68</v>
      </c>
      <c r="AP977" s="23" t="s">
        <v>69</v>
      </c>
      <c r="AQ977" s="23" t="s">
        <v>30</v>
      </c>
      <c r="AR977" s="23" t="s">
        <v>1261</v>
      </c>
      <c r="AS977" s="25">
        <v>54578</v>
      </c>
      <c r="AT977" t="s">
        <v>26</v>
      </c>
      <c r="AU977" t="s">
        <v>23518</v>
      </c>
    </row>
    <row r="978" spans="1:47" ht="26.25" x14ac:dyDescent="0.4">
      <c r="A978" s="23" t="s">
        <v>2494</v>
      </c>
      <c r="B978" t="s">
        <v>26</v>
      </c>
      <c r="C978" s="23" t="s">
        <v>23519</v>
      </c>
      <c r="D978" s="23" t="s">
        <v>23520</v>
      </c>
      <c r="E978" s="23" t="s">
        <v>42</v>
      </c>
      <c r="F978" t="s">
        <v>26</v>
      </c>
      <c r="G978" t="s">
        <v>26</v>
      </c>
      <c r="H978" t="s">
        <v>26</v>
      </c>
      <c r="I978" s="24">
        <v>39448</v>
      </c>
      <c r="J978" s="24">
        <v>41275</v>
      </c>
      <c r="K978" t="s">
        <v>26</v>
      </c>
      <c r="L978" s="25" t="s">
        <v>28</v>
      </c>
      <c r="M978" s="24">
        <v>39448</v>
      </c>
      <c r="N978" s="24">
        <v>41275</v>
      </c>
      <c r="O978" t="s">
        <v>26</v>
      </c>
      <c r="P978" t="s">
        <v>26</v>
      </c>
      <c r="Q978" t="s">
        <v>26</v>
      </c>
      <c r="R978" t="s">
        <v>26</v>
      </c>
      <c r="S978" s="24">
        <v>39448</v>
      </c>
      <c r="T978" s="24">
        <v>41275</v>
      </c>
      <c r="U978" t="s">
        <v>26</v>
      </c>
      <c r="V978" t="s">
        <v>26</v>
      </c>
      <c r="W978" s="24">
        <v>39448</v>
      </c>
      <c r="X978" s="24">
        <v>41275</v>
      </c>
      <c r="Y978" t="s">
        <v>26</v>
      </c>
      <c r="Z978" s="24">
        <v>39448</v>
      </c>
      <c r="AA978" s="24">
        <v>41275</v>
      </c>
      <c r="AB978" t="s">
        <v>26</v>
      </c>
      <c r="AC978" s="24">
        <v>39448</v>
      </c>
      <c r="AD978" s="24">
        <v>41275</v>
      </c>
      <c r="AE978" t="s">
        <v>26</v>
      </c>
      <c r="AF978" s="24">
        <v>39448</v>
      </c>
      <c r="AG978" s="24">
        <v>41275</v>
      </c>
      <c r="AH978" t="s">
        <v>26</v>
      </c>
      <c r="AI978" s="24">
        <v>39448</v>
      </c>
      <c r="AJ978" s="24">
        <v>41275</v>
      </c>
      <c r="AK978" t="s">
        <v>26</v>
      </c>
      <c r="AL978" t="s">
        <v>26</v>
      </c>
      <c r="AM978" t="s">
        <v>26</v>
      </c>
      <c r="AN978" t="s">
        <v>26</v>
      </c>
      <c r="AO978" s="25" t="s">
        <v>28</v>
      </c>
      <c r="AP978" s="23" t="s">
        <v>43</v>
      </c>
      <c r="AQ978" s="23" t="s">
        <v>30</v>
      </c>
      <c r="AR978" s="23" t="s">
        <v>46</v>
      </c>
      <c r="AS978" s="25">
        <v>6362746</v>
      </c>
      <c r="AT978" t="s">
        <v>26</v>
      </c>
      <c r="AU978" t="s">
        <v>23521</v>
      </c>
    </row>
    <row r="979" spans="1:47" ht="26.25" x14ac:dyDescent="0.4">
      <c r="A979" s="23" t="s">
        <v>2495</v>
      </c>
      <c r="B979" t="s">
        <v>26</v>
      </c>
      <c r="C979" s="23" t="s">
        <v>80</v>
      </c>
      <c r="D979" s="23" t="s">
        <v>23269</v>
      </c>
      <c r="E979" s="23" t="s">
        <v>60</v>
      </c>
      <c r="F979" t="s">
        <v>26</v>
      </c>
      <c r="G979" s="25" t="s">
        <v>2496</v>
      </c>
      <c r="H979" t="s">
        <v>26</v>
      </c>
      <c r="I979" s="24">
        <v>39814</v>
      </c>
      <c r="J979" s="25" t="s">
        <v>77</v>
      </c>
      <c r="K979" t="s">
        <v>26</v>
      </c>
      <c r="L979" s="25" t="s">
        <v>68</v>
      </c>
      <c r="M979" s="24">
        <v>41640</v>
      </c>
      <c r="N979" s="25" t="s">
        <v>77</v>
      </c>
      <c r="O979" t="s">
        <v>26</v>
      </c>
      <c r="P979" s="24">
        <v>39814</v>
      </c>
      <c r="Q979" s="25" t="s">
        <v>77</v>
      </c>
      <c r="R979" t="s">
        <v>26</v>
      </c>
      <c r="S979" t="s">
        <v>26</v>
      </c>
      <c r="T979" t="s">
        <v>26</v>
      </c>
      <c r="U979" t="s">
        <v>26</v>
      </c>
      <c r="V979" t="s">
        <v>26</v>
      </c>
      <c r="W979" s="24">
        <v>39814</v>
      </c>
      <c r="X979" s="25" t="s">
        <v>77</v>
      </c>
      <c r="Y979" t="s">
        <v>26</v>
      </c>
      <c r="Z979" s="24">
        <v>39814</v>
      </c>
      <c r="AA979" s="25" t="s">
        <v>77</v>
      </c>
      <c r="AB979" t="s">
        <v>26</v>
      </c>
      <c r="AC979" s="24">
        <v>39814</v>
      </c>
      <c r="AD979" s="25" t="s">
        <v>77</v>
      </c>
      <c r="AE979" t="s">
        <v>26</v>
      </c>
      <c r="AF979" t="s">
        <v>26</v>
      </c>
      <c r="AG979" t="s">
        <v>26</v>
      </c>
      <c r="AH979" t="s">
        <v>26</v>
      </c>
      <c r="AI979" t="s">
        <v>26</v>
      </c>
      <c r="AJ979" t="s">
        <v>26</v>
      </c>
      <c r="AK979" t="s">
        <v>26</v>
      </c>
      <c r="AL979" t="s">
        <v>26</v>
      </c>
      <c r="AM979" t="s">
        <v>26</v>
      </c>
      <c r="AN979" t="s">
        <v>26</v>
      </c>
      <c r="AO979" s="25" t="s">
        <v>68</v>
      </c>
      <c r="AP979" s="23" t="s">
        <v>69</v>
      </c>
      <c r="AQ979" s="23" t="s">
        <v>30</v>
      </c>
      <c r="AR979" s="23" t="s">
        <v>2497</v>
      </c>
      <c r="AS979" s="25">
        <v>3933164</v>
      </c>
      <c r="AT979" t="s">
        <v>26</v>
      </c>
      <c r="AU979" t="s">
        <v>23522</v>
      </c>
    </row>
    <row r="980" spans="1:47" ht="26.25" x14ac:dyDescent="0.4">
      <c r="A980" s="23" t="s">
        <v>2498</v>
      </c>
      <c r="B980" t="s">
        <v>26</v>
      </c>
      <c r="C980" s="23" t="s">
        <v>23523</v>
      </c>
      <c r="D980" s="23" t="s">
        <v>23524</v>
      </c>
      <c r="E980" s="23" t="s">
        <v>42</v>
      </c>
      <c r="F980" t="s">
        <v>26</v>
      </c>
      <c r="G980" t="s">
        <v>26</v>
      </c>
      <c r="H980" t="s">
        <v>26</v>
      </c>
      <c r="I980" s="24">
        <v>25569</v>
      </c>
      <c r="J980" s="24">
        <v>25569</v>
      </c>
      <c r="K980" t="s">
        <v>26</v>
      </c>
      <c r="L980" s="25" t="s">
        <v>28</v>
      </c>
      <c r="M980" s="24">
        <v>25569</v>
      </c>
      <c r="N980" s="24">
        <v>25569</v>
      </c>
      <c r="O980" t="s">
        <v>26</v>
      </c>
      <c r="P980" t="s">
        <v>26</v>
      </c>
      <c r="Q980" t="s">
        <v>26</v>
      </c>
      <c r="R980" t="s">
        <v>26</v>
      </c>
      <c r="S980" s="24">
        <v>25569</v>
      </c>
      <c r="T980" s="24">
        <v>25569</v>
      </c>
      <c r="U980" t="s">
        <v>26</v>
      </c>
      <c r="V980" t="s">
        <v>26</v>
      </c>
      <c r="W980" s="24">
        <v>25569</v>
      </c>
      <c r="X980" s="24">
        <v>25569</v>
      </c>
      <c r="Y980" t="s">
        <v>26</v>
      </c>
      <c r="Z980" s="24">
        <v>25569</v>
      </c>
      <c r="AA980" s="24">
        <v>25569</v>
      </c>
      <c r="AB980" t="s">
        <v>26</v>
      </c>
      <c r="AC980" s="24">
        <v>25569</v>
      </c>
      <c r="AD980" s="24">
        <v>25569</v>
      </c>
      <c r="AE980" t="s">
        <v>26</v>
      </c>
      <c r="AF980" s="24">
        <v>25569</v>
      </c>
      <c r="AG980" s="24">
        <v>25569</v>
      </c>
      <c r="AH980" t="s">
        <v>26</v>
      </c>
      <c r="AI980" s="24">
        <v>25569</v>
      </c>
      <c r="AJ980" s="24">
        <v>25569</v>
      </c>
      <c r="AK980" t="s">
        <v>26</v>
      </c>
      <c r="AL980" t="s">
        <v>26</v>
      </c>
      <c r="AM980" t="s">
        <v>26</v>
      </c>
      <c r="AN980" t="s">
        <v>26</v>
      </c>
      <c r="AO980" s="25" t="s">
        <v>28</v>
      </c>
      <c r="AP980" s="23" t="s">
        <v>43</v>
      </c>
      <c r="AQ980" s="23" t="s">
        <v>30</v>
      </c>
      <c r="AR980" s="23" t="s">
        <v>46</v>
      </c>
      <c r="AS980" s="25">
        <v>6364592</v>
      </c>
      <c r="AT980" t="s">
        <v>26</v>
      </c>
      <c r="AU980" t="s">
        <v>23525</v>
      </c>
    </row>
    <row r="981" spans="1:47" ht="26.25" x14ac:dyDescent="0.4">
      <c r="A981" s="23" t="s">
        <v>2499</v>
      </c>
      <c r="B981" t="s">
        <v>26</v>
      </c>
      <c r="C981" s="23" t="s">
        <v>2500</v>
      </c>
      <c r="D981" s="23" t="s">
        <v>22254</v>
      </c>
      <c r="E981" s="23" t="s">
        <v>42</v>
      </c>
      <c r="F981" s="25" t="s">
        <v>2501</v>
      </c>
      <c r="G981" s="25" t="s">
        <v>2502</v>
      </c>
      <c r="H981" t="s">
        <v>26</v>
      </c>
      <c r="I981" s="24">
        <v>34700</v>
      </c>
      <c r="J981" s="24">
        <v>41244</v>
      </c>
      <c r="K981" t="s">
        <v>26</v>
      </c>
      <c r="L981" s="25" t="s">
        <v>28</v>
      </c>
      <c r="M981" s="24">
        <v>34700</v>
      </c>
      <c r="N981" s="24">
        <v>41244</v>
      </c>
      <c r="O981" t="s">
        <v>26</v>
      </c>
      <c r="P981" s="24">
        <v>35065</v>
      </c>
      <c r="Q981" s="24">
        <v>41244</v>
      </c>
      <c r="R981" t="s">
        <v>26</v>
      </c>
      <c r="S981" t="s">
        <v>26</v>
      </c>
      <c r="T981" t="s">
        <v>26</v>
      </c>
      <c r="U981" t="s">
        <v>26</v>
      </c>
      <c r="V981" t="s">
        <v>26</v>
      </c>
      <c r="W981" s="24">
        <v>32509</v>
      </c>
      <c r="X981" s="24">
        <v>41244</v>
      </c>
      <c r="Y981" t="s">
        <v>26</v>
      </c>
      <c r="Z981" s="24">
        <v>32509</v>
      </c>
      <c r="AA981" s="24">
        <v>41244</v>
      </c>
      <c r="AB981" t="s">
        <v>26</v>
      </c>
      <c r="AC981" s="24">
        <v>32509</v>
      </c>
      <c r="AD981" s="24">
        <v>41244</v>
      </c>
      <c r="AE981" t="s">
        <v>26</v>
      </c>
      <c r="AF981" t="s">
        <v>26</v>
      </c>
      <c r="AG981" t="s">
        <v>26</v>
      </c>
      <c r="AH981" t="s">
        <v>26</v>
      </c>
      <c r="AI981" t="s">
        <v>26</v>
      </c>
      <c r="AJ981" t="s">
        <v>26</v>
      </c>
      <c r="AK981" t="s">
        <v>26</v>
      </c>
      <c r="AL981" t="s">
        <v>26</v>
      </c>
      <c r="AM981" t="s">
        <v>26</v>
      </c>
      <c r="AN981" t="s">
        <v>26</v>
      </c>
      <c r="AO981" s="25" t="s">
        <v>28</v>
      </c>
      <c r="AP981" s="23" t="s">
        <v>211</v>
      </c>
      <c r="AQ981" s="23" t="s">
        <v>30</v>
      </c>
      <c r="AR981" s="23" t="s">
        <v>433</v>
      </c>
      <c r="AS981" s="25">
        <v>6543</v>
      </c>
      <c r="AT981" t="s">
        <v>26</v>
      </c>
      <c r="AU981" t="s">
        <v>23526</v>
      </c>
    </row>
    <row r="982" spans="1:47" ht="26.25" x14ac:dyDescent="0.4">
      <c r="A982" s="23" t="s">
        <v>2503</v>
      </c>
      <c r="B982" t="s">
        <v>26</v>
      </c>
      <c r="C982" s="23" t="s">
        <v>146</v>
      </c>
      <c r="D982" s="23" t="s">
        <v>22174</v>
      </c>
      <c r="E982" s="23" t="s">
        <v>60</v>
      </c>
      <c r="F982" t="s">
        <v>26</v>
      </c>
      <c r="G982" t="s">
        <v>26</v>
      </c>
      <c r="H982" t="s">
        <v>26</v>
      </c>
      <c r="I982" t="s">
        <v>26</v>
      </c>
      <c r="J982" t="s">
        <v>26</v>
      </c>
      <c r="K982" t="s">
        <v>26</v>
      </c>
      <c r="L982" s="25" t="s">
        <v>28</v>
      </c>
      <c r="M982" t="s">
        <v>26</v>
      </c>
      <c r="N982" t="s">
        <v>26</v>
      </c>
      <c r="O982" t="s">
        <v>26</v>
      </c>
      <c r="P982" t="s">
        <v>26</v>
      </c>
      <c r="Q982" t="s">
        <v>26</v>
      </c>
      <c r="R982" t="s">
        <v>26</v>
      </c>
      <c r="S982" t="s">
        <v>26</v>
      </c>
      <c r="T982" t="s">
        <v>26</v>
      </c>
      <c r="U982" t="s">
        <v>26</v>
      </c>
      <c r="V982" t="s">
        <v>26</v>
      </c>
      <c r="W982" s="24">
        <v>42005</v>
      </c>
      <c r="X982" s="24">
        <v>42005</v>
      </c>
      <c r="Y982" t="s">
        <v>26</v>
      </c>
      <c r="Z982" s="24">
        <v>42005</v>
      </c>
      <c r="AA982" s="24">
        <v>42005</v>
      </c>
      <c r="AB982" t="s">
        <v>26</v>
      </c>
      <c r="AC982" t="s">
        <v>26</v>
      </c>
      <c r="AD982" t="s">
        <v>26</v>
      </c>
      <c r="AE982" t="s">
        <v>26</v>
      </c>
      <c r="AF982" t="s">
        <v>26</v>
      </c>
      <c r="AG982" t="s">
        <v>26</v>
      </c>
      <c r="AH982" t="s">
        <v>26</v>
      </c>
      <c r="AI982" t="s">
        <v>26</v>
      </c>
      <c r="AJ982" t="s">
        <v>26</v>
      </c>
      <c r="AK982" t="s">
        <v>26</v>
      </c>
      <c r="AL982" t="s">
        <v>26</v>
      </c>
      <c r="AM982" t="s">
        <v>26</v>
      </c>
      <c r="AN982" t="s">
        <v>26</v>
      </c>
      <c r="AO982" s="25" t="s">
        <v>28</v>
      </c>
      <c r="AP982" s="23" t="s">
        <v>29</v>
      </c>
      <c r="AQ982" s="23" t="s">
        <v>30</v>
      </c>
      <c r="AR982" s="23" t="s">
        <v>147</v>
      </c>
      <c r="AS982" s="25">
        <v>5483605</v>
      </c>
      <c r="AT982" s="23" t="s">
        <v>22181</v>
      </c>
      <c r="AU982" t="s">
        <v>23527</v>
      </c>
    </row>
    <row r="983" spans="1:47" ht="26.25" x14ac:dyDescent="0.4">
      <c r="A983" s="23" t="s">
        <v>2504</v>
      </c>
      <c r="B983" t="s">
        <v>26</v>
      </c>
      <c r="C983" s="23" t="s">
        <v>181</v>
      </c>
      <c r="D983" s="23" t="s">
        <v>23528</v>
      </c>
      <c r="E983" s="23" t="s">
        <v>60</v>
      </c>
      <c r="F983" s="25" t="s">
        <v>2505</v>
      </c>
      <c r="G983" s="25" t="s">
        <v>2506</v>
      </c>
      <c r="H983" t="s">
        <v>26</v>
      </c>
      <c r="I983" s="24">
        <v>34335</v>
      </c>
      <c r="J983" s="24">
        <v>39356</v>
      </c>
      <c r="K983" t="s">
        <v>26</v>
      </c>
      <c r="L983" s="25" t="s">
        <v>68</v>
      </c>
      <c r="M983" s="24">
        <v>34335</v>
      </c>
      <c r="N983" s="24">
        <v>38808</v>
      </c>
      <c r="O983" t="s">
        <v>26</v>
      </c>
      <c r="P983" s="24">
        <v>34759</v>
      </c>
      <c r="Q983" s="24">
        <v>39356</v>
      </c>
      <c r="R983" t="s">
        <v>26</v>
      </c>
      <c r="S983" t="s">
        <v>26</v>
      </c>
      <c r="T983" t="s">
        <v>26</v>
      </c>
      <c r="U983" t="s">
        <v>26</v>
      </c>
      <c r="V983" t="s">
        <v>26</v>
      </c>
      <c r="W983" s="24">
        <v>32874</v>
      </c>
      <c r="X983" s="25" t="s">
        <v>77</v>
      </c>
      <c r="Y983" t="s">
        <v>26</v>
      </c>
      <c r="Z983" s="24">
        <v>32874</v>
      </c>
      <c r="AA983" s="25" t="s">
        <v>77</v>
      </c>
      <c r="AB983" t="s">
        <v>26</v>
      </c>
      <c r="AC983" s="24">
        <v>32874</v>
      </c>
      <c r="AD983" s="25" t="s">
        <v>77</v>
      </c>
      <c r="AE983" t="s">
        <v>26</v>
      </c>
      <c r="AF983" t="s">
        <v>26</v>
      </c>
      <c r="AG983" t="s">
        <v>26</v>
      </c>
      <c r="AH983" t="s">
        <v>26</v>
      </c>
      <c r="AI983" t="s">
        <v>26</v>
      </c>
      <c r="AJ983" t="s">
        <v>26</v>
      </c>
      <c r="AK983" t="s">
        <v>26</v>
      </c>
      <c r="AL983" t="s">
        <v>26</v>
      </c>
      <c r="AM983" t="s">
        <v>26</v>
      </c>
      <c r="AN983" t="s">
        <v>26</v>
      </c>
      <c r="AO983" s="25" t="s">
        <v>68</v>
      </c>
      <c r="AP983" s="23" t="s">
        <v>69</v>
      </c>
      <c r="AQ983" s="23" t="s">
        <v>30</v>
      </c>
      <c r="AR983" s="23" t="s">
        <v>2507</v>
      </c>
      <c r="AS983" s="25">
        <v>41932</v>
      </c>
      <c r="AT983" t="s">
        <v>26</v>
      </c>
      <c r="AU983" t="s">
        <v>23529</v>
      </c>
    </row>
    <row r="984" spans="1:47" ht="26.25" x14ac:dyDescent="0.4">
      <c r="A984" s="23" t="s">
        <v>2508</v>
      </c>
      <c r="B984" t="s">
        <v>26</v>
      </c>
      <c r="C984" s="23" t="s">
        <v>465</v>
      </c>
      <c r="D984" s="23" t="s">
        <v>22359</v>
      </c>
      <c r="E984" s="23" t="s">
        <v>42</v>
      </c>
      <c r="F984" s="25" t="s">
        <v>2509</v>
      </c>
      <c r="G984" s="25" t="s">
        <v>2510</v>
      </c>
      <c r="H984" t="s">
        <v>26</v>
      </c>
      <c r="I984" t="s">
        <v>26</v>
      </c>
      <c r="J984" t="s">
        <v>26</v>
      </c>
      <c r="K984" t="s">
        <v>26</v>
      </c>
      <c r="L984" s="25" t="s">
        <v>68</v>
      </c>
      <c r="M984" t="s">
        <v>26</v>
      </c>
      <c r="N984" t="s">
        <v>26</v>
      </c>
      <c r="O984" t="s">
        <v>26</v>
      </c>
      <c r="P984" t="s">
        <v>26</v>
      </c>
      <c r="Q984" t="s">
        <v>26</v>
      </c>
      <c r="R984" t="s">
        <v>26</v>
      </c>
      <c r="S984" t="s">
        <v>26</v>
      </c>
      <c r="T984" t="s">
        <v>26</v>
      </c>
      <c r="U984" t="s">
        <v>26</v>
      </c>
      <c r="V984" t="s">
        <v>26</v>
      </c>
      <c r="W984" s="24">
        <v>36251</v>
      </c>
      <c r="X984" s="25" t="s">
        <v>77</v>
      </c>
      <c r="Y984" t="s">
        <v>26</v>
      </c>
      <c r="Z984" s="24">
        <v>36251</v>
      </c>
      <c r="AA984" s="25" t="s">
        <v>77</v>
      </c>
      <c r="AB984" t="s">
        <v>26</v>
      </c>
      <c r="AC984" s="24">
        <v>36800</v>
      </c>
      <c r="AD984" s="25" t="s">
        <v>77</v>
      </c>
      <c r="AE984" t="s">
        <v>26</v>
      </c>
      <c r="AF984" t="s">
        <v>26</v>
      </c>
      <c r="AG984" t="s">
        <v>26</v>
      </c>
      <c r="AH984" t="s">
        <v>26</v>
      </c>
      <c r="AI984" t="s">
        <v>26</v>
      </c>
      <c r="AJ984" t="s">
        <v>26</v>
      </c>
      <c r="AK984" t="s">
        <v>26</v>
      </c>
      <c r="AL984" t="s">
        <v>26</v>
      </c>
      <c r="AM984" t="s">
        <v>26</v>
      </c>
      <c r="AN984" t="s">
        <v>26</v>
      </c>
      <c r="AO984" s="25" t="s">
        <v>68</v>
      </c>
      <c r="AP984" s="23" t="s">
        <v>69</v>
      </c>
      <c r="AQ984" s="23" t="s">
        <v>30</v>
      </c>
      <c r="AR984" s="23" t="s">
        <v>277</v>
      </c>
      <c r="AS984" s="25">
        <v>49309</v>
      </c>
      <c r="AT984" t="s">
        <v>26</v>
      </c>
      <c r="AU984" t="s">
        <v>23530</v>
      </c>
    </row>
    <row r="985" spans="1:47" ht="13.15" x14ac:dyDescent="0.4">
      <c r="A985" s="23" t="s">
        <v>2511</v>
      </c>
      <c r="B985" t="s">
        <v>26</v>
      </c>
      <c r="C985" s="23" t="s">
        <v>48</v>
      </c>
      <c r="D985" s="23" t="s">
        <v>22168</v>
      </c>
      <c r="E985" s="23" t="s">
        <v>42</v>
      </c>
      <c r="F985" t="s">
        <v>26</v>
      </c>
      <c r="G985" t="s">
        <v>26</v>
      </c>
      <c r="H985" t="s">
        <v>26</v>
      </c>
      <c r="I985" t="s">
        <v>26</v>
      </c>
      <c r="J985" t="s">
        <v>26</v>
      </c>
      <c r="K985" t="s">
        <v>26</v>
      </c>
      <c r="L985" s="25" t="s">
        <v>28</v>
      </c>
      <c r="M985" t="s">
        <v>26</v>
      </c>
      <c r="N985" t="s">
        <v>26</v>
      </c>
      <c r="O985" t="s">
        <v>26</v>
      </c>
      <c r="P985" t="s">
        <v>26</v>
      </c>
      <c r="Q985" t="s">
        <v>26</v>
      </c>
      <c r="R985" t="s">
        <v>26</v>
      </c>
      <c r="S985" t="s">
        <v>26</v>
      </c>
      <c r="T985" t="s">
        <v>26</v>
      </c>
      <c r="U985" t="s">
        <v>26</v>
      </c>
      <c r="V985" t="s">
        <v>26</v>
      </c>
      <c r="W985" s="24">
        <v>42370</v>
      </c>
      <c r="X985" s="24">
        <v>42370</v>
      </c>
      <c r="Y985" t="s">
        <v>26</v>
      </c>
      <c r="Z985" s="24">
        <v>42370</v>
      </c>
      <c r="AA985" s="24">
        <v>42370</v>
      </c>
      <c r="AB985" t="s">
        <v>26</v>
      </c>
      <c r="AC985" t="s">
        <v>26</v>
      </c>
      <c r="AD985" t="s">
        <v>26</v>
      </c>
      <c r="AE985" t="s">
        <v>26</v>
      </c>
      <c r="AF985" t="s">
        <v>26</v>
      </c>
      <c r="AG985" t="s">
        <v>26</v>
      </c>
      <c r="AH985" t="s">
        <v>26</v>
      </c>
      <c r="AI985" t="s">
        <v>26</v>
      </c>
      <c r="AJ985" t="s">
        <v>26</v>
      </c>
      <c r="AK985" t="s">
        <v>26</v>
      </c>
      <c r="AL985" t="s">
        <v>26</v>
      </c>
      <c r="AM985" t="s">
        <v>26</v>
      </c>
      <c r="AN985" t="s">
        <v>26</v>
      </c>
      <c r="AO985" s="25" t="s">
        <v>28</v>
      </c>
      <c r="AP985" s="23" t="s">
        <v>29</v>
      </c>
      <c r="AQ985" s="23" t="s">
        <v>30</v>
      </c>
      <c r="AR985" s="23" t="s">
        <v>44</v>
      </c>
      <c r="AS985" s="25">
        <v>5483526</v>
      </c>
      <c r="AT985" s="23" t="s">
        <v>22181</v>
      </c>
      <c r="AU985" t="s">
        <v>23531</v>
      </c>
    </row>
    <row r="986" spans="1:47" ht="26.25" x14ac:dyDescent="0.4">
      <c r="A986" s="23" t="s">
        <v>2512</v>
      </c>
      <c r="B986" t="s">
        <v>26</v>
      </c>
      <c r="C986" s="23" t="s">
        <v>320</v>
      </c>
      <c r="D986" s="23" t="s">
        <v>22579</v>
      </c>
      <c r="E986" s="23" t="s">
        <v>42</v>
      </c>
      <c r="F986" s="25" t="s">
        <v>2513</v>
      </c>
      <c r="G986" s="25" t="s">
        <v>2514</v>
      </c>
      <c r="H986" t="s">
        <v>26</v>
      </c>
      <c r="I986" t="s">
        <v>26</v>
      </c>
      <c r="J986" t="s">
        <v>26</v>
      </c>
      <c r="K986" t="s">
        <v>26</v>
      </c>
      <c r="L986" s="25" t="s">
        <v>68</v>
      </c>
      <c r="M986" t="s">
        <v>26</v>
      </c>
      <c r="N986" t="s">
        <v>26</v>
      </c>
      <c r="O986" t="s">
        <v>26</v>
      </c>
      <c r="P986" t="s">
        <v>26</v>
      </c>
      <c r="Q986" t="s">
        <v>26</v>
      </c>
      <c r="R986" t="s">
        <v>26</v>
      </c>
      <c r="S986" t="s">
        <v>26</v>
      </c>
      <c r="T986" t="s">
        <v>26</v>
      </c>
      <c r="U986" t="s">
        <v>26</v>
      </c>
      <c r="V986" t="s">
        <v>26</v>
      </c>
      <c r="W986" s="24">
        <v>35156</v>
      </c>
      <c r="X986" s="25" t="s">
        <v>77</v>
      </c>
      <c r="Y986" t="s">
        <v>26</v>
      </c>
      <c r="Z986" s="24">
        <v>35156</v>
      </c>
      <c r="AA986" s="25" t="s">
        <v>77</v>
      </c>
      <c r="AB986" t="s">
        <v>26</v>
      </c>
      <c r="AC986" s="24">
        <v>35704</v>
      </c>
      <c r="AD986" s="25" t="s">
        <v>77</v>
      </c>
      <c r="AE986" t="s">
        <v>26</v>
      </c>
      <c r="AF986" t="s">
        <v>26</v>
      </c>
      <c r="AG986" t="s">
        <v>26</v>
      </c>
      <c r="AH986" t="s">
        <v>26</v>
      </c>
      <c r="AI986" t="s">
        <v>26</v>
      </c>
      <c r="AJ986" t="s">
        <v>26</v>
      </c>
      <c r="AK986" t="s">
        <v>26</v>
      </c>
      <c r="AL986" t="s">
        <v>26</v>
      </c>
      <c r="AM986" t="s">
        <v>26</v>
      </c>
      <c r="AN986" t="s">
        <v>26</v>
      </c>
      <c r="AO986" s="25" t="s">
        <v>68</v>
      </c>
      <c r="AP986" s="23" t="s">
        <v>69</v>
      </c>
      <c r="AQ986" s="23" t="s">
        <v>30</v>
      </c>
      <c r="AR986" s="23" t="s">
        <v>2515</v>
      </c>
      <c r="AS986" s="25">
        <v>42521</v>
      </c>
      <c r="AT986" t="s">
        <v>26</v>
      </c>
      <c r="AU986" t="s">
        <v>23532</v>
      </c>
    </row>
    <row r="987" spans="1:47" ht="26.25" x14ac:dyDescent="0.4">
      <c r="A987" s="23" t="s">
        <v>2516</v>
      </c>
      <c r="B987" t="s">
        <v>26</v>
      </c>
      <c r="C987" s="23" t="s">
        <v>107</v>
      </c>
      <c r="D987" s="23" t="s">
        <v>22256</v>
      </c>
      <c r="E987" s="23" t="s">
        <v>42</v>
      </c>
      <c r="F987" s="25" t="s">
        <v>2517</v>
      </c>
      <c r="G987" s="25" t="s">
        <v>2518</v>
      </c>
      <c r="H987" t="s">
        <v>26</v>
      </c>
      <c r="I987" t="s">
        <v>26</v>
      </c>
      <c r="J987" t="s">
        <v>26</v>
      </c>
      <c r="K987" t="s">
        <v>26</v>
      </c>
      <c r="L987" s="25" t="s">
        <v>68</v>
      </c>
      <c r="M987" t="s">
        <v>26</v>
      </c>
      <c r="N987" t="s">
        <v>26</v>
      </c>
      <c r="O987" t="s">
        <v>26</v>
      </c>
      <c r="P987" t="s">
        <v>26</v>
      </c>
      <c r="Q987" t="s">
        <v>26</v>
      </c>
      <c r="R987" t="s">
        <v>26</v>
      </c>
      <c r="S987" t="s">
        <v>26</v>
      </c>
      <c r="T987" t="s">
        <v>26</v>
      </c>
      <c r="U987" t="s">
        <v>26</v>
      </c>
      <c r="V987" t="s">
        <v>26</v>
      </c>
      <c r="W987" s="24">
        <v>35521</v>
      </c>
      <c r="X987" s="25" t="s">
        <v>77</v>
      </c>
      <c r="Y987" t="s">
        <v>26</v>
      </c>
      <c r="Z987" s="24">
        <v>35521</v>
      </c>
      <c r="AA987" s="25" t="s">
        <v>77</v>
      </c>
      <c r="AB987" t="s">
        <v>26</v>
      </c>
      <c r="AC987" s="24">
        <v>35521</v>
      </c>
      <c r="AD987" s="25" t="s">
        <v>77</v>
      </c>
      <c r="AE987" t="s">
        <v>26</v>
      </c>
      <c r="AF987" t="s">
        <v>26</v>
      </c>
      <c r="AG987" t="s">
        <v>26</v>
      </c>
      <c r="AH987" t="s">
        <v>26</v>
      </c>
      <c r="AI987" t="s">
        <v>26</v>
      </c>
      <c r="AJ987" t="s">
        <v>26</v>
      </c>
      <c r="AK987" t="s">
        <v>26</v>
      </c>
      <c r="AL987" t="s">
        <v>26</v>
      </c>
      <c r="AM987" t="s">
        <v>26</v>
      </c>
      <c r="AN987" t="s">
        <v>26</v>
      </c>
      <c r="AO987" s="25" t="s">
        <v>68</v>
      </c>
      <c r="AP987" s="23" t="s">
        <v>69</v>
      </c>
      <c r="AQ987" s="23" t="s">
        <v>30</v>
      </c>
      <c r="AR987" s="23" t="s">
        <v>2519</v>
      </c>
      <c r="AS987" s="25">
        <v>31181</v>
      </c>
      <c r="AT987" t="s">
        <v>26</v>
      </c>
      <c r="AU987" t="s">
        <v>23533</v>
      </c>
    </row>
    <row r="988" spans="1:47" ht="26.25" x14ac:dyDescent="0.4">
      <c r="A988" s="23" t="s">
        <v>2520</v>
      </c>
      <c r="B988" t="s">
        <v>26</v>
      </c>
      <c r="C988" s="23" t="s">
        <v>351</v>
      </c>
      <c r="D988" s="23" t="s">
        <v>22242</v>
      </c>
      <c r="E988" s="23" t="s">
        <v>60</v>
      </c>
      <c r="F988" s="25" t="s">
        <v>2521</v>
      </c>
      <c r="G988" s="25" t="s">
        <v>2522</v>
      </c>
      <c r="H988" t="s">
        <v>26</v>
      </c>
      <c r="I988" t="s">
        <v>26</v>
      </c>
      <c r="J988" t="s">
        <v>26</v>
      </c>
      <c r="K988" t="s">
        <v>26</v>
      </c>
      <c r="L988" s="25" t="s">
        <v>68</v>
      </c>
      <c r="M988" t="s">
        <v>26</v>
      </c>
      <c r="N988" t="s">
        <v>26</v>
      </c>
      <c r="O988" t="s">
        <v>26</v>
      </c>
      <c r="P988" t="s">
        <v>26</v>
      </c>
      <c r="Q988" t="s">
        <v>26</v>
      </c>
      <c r="R988" t="s">
        <v>26</v>
      </c>
      <c r="S988" t="s">
        <v>26</v>
      </c>
      <c r="T988" t="s">
        <v>26</v>
      </c>
      <c r="U988" t="s">
        <v>26</v>
      </c>
      <c r="V988" t="s">
        <v>26</v>
      </c>
      <c r="W988" s="24">
        <v>36192</v>
      </c>
      <c r="X988" s="24">
        <v>40087</v>
      </c>
      <c r="Y988" t="s">
        <v>26</v>
      </c>
      <c r="Z988" s="24">
        <v>36192</v>
      </c>
      <c r="AA988" s="24">
        <v>40087</v>
      </c>
      <c r="AB988" t="s">
        <v>26</v>
      </c>
      <c r="AC988" s="24">
        <v>36192</v>
      </c>
      <c r="AD988" s="24">
        <v>40087</v>
      </c>
      <c r="AE988" t="s">
        <v>26</v>
      </c>
      <c r="AF988" t="s">
        <v>26</v>
      </c>
      <c r="AG988" t="s">
        <v>26</v>
      </c>
      <c r="AH988" t="s">
        <v>26</v>
      </c>
      <c r="AI988" t="s">
        <v>26</v>
      </c>
      <c r="AJ988" t="s">
        <v>26</v>
      </c>
      <c r="AK988" t="s">
        <v>26</v>
      </c>
      <c r="AL988" t="s">
        <v>26</v>
      </c>
      <c r="AM988" t="s">
        <v>26</v>
      </c>
      <c r="AN988" t="s">
        <v>26</v>
      </c>
      <c r="AO988" s="25" t="s">
        <v>68</v>
      </c>
      <c r="AP988" s="23" t="s">
        <v>69</v>
      </c>
      <c r="AQ988" s="23" t="s">
        <v>30</v>
      </c>
      <c r="AR988" s="23" t="s">
        <v>277</v>
      </c>
      <c r="AS988" s="25">
        <v>36687</v>
      </c>
      <c r="AT988" t="s">
        <v>26</v>
      </c>
      <c r="AU988" t="s">
        <v>23534</v>
      </c>
    </row>
    <row r="989" spans="1:47" ht="26.25" x14ac:dyDescent="0.4">
      <c r="A989" s="23" t="s">
        <v>2523</v>
      </c>
      <c r="B989" t="s">
        <v>26</v>
      </c>
      <c r="C989" s="23" t="s">
        <v>172</v>
      </c>
      <c r="D989" s="23" t="s">
        <v>22359</v>
      </c>
      <c r="E989" s="23" t="s">
        <v>60</v>
      </c>
      <c r="F989" s="25" t="s">
        <v>2524</v>
      </c>
      <c r="G989" s="25" t="s">
        <v>2525</v>
      </c>
      <c r="H989" t="s">
        <v>26</v>
      </c>
      <c r="I989" s="24">
        <v>36251</v>
      </c>
      <c r="J989" s="24">
        <v>41244</v>
      </c>
      <c r="K989" t="s">
        <v>26</v>
      </c>
      <c r="L989" s="25" t="s">
        <v>68</v>
      </c>
      <c r="M989" s="24">
        <v>36251</v>
      </c>
      <c r="N989" s="24">
        <v>41244</v>
      </c>
      <c r="O989" t="s">
        <v>26</v>
      </c>
      <c r="P989" s="24">
        <v>36251</v>
      </c>
      <c r="Q989" s="24">
        <v>41244</v>
      </c>
      <c r="R989" t="s">
        <v>26</v>
      </c>
      <c r="S989" t="s">
        <v>26</v>
      </c>
      <c r="T989" t="s">
        <v>26</v>
      </c>
      <c r="U989" t="s">
        <v>26</v>
      </c>
      <c r="V989" t="s">
        <v>26</v>
      </c>
      <c r="W989" s="24">
        <v>36251</v>
      </c>
      <c r="X989" s="25" t="s">
        <v>77</v>
      </c>
      <c r="Y989" t="s">
        <v>26</v>
      </c>
      <c r="Z989" s="24">
        <v>36251</v>
      </c>
      <c r="AA989" s="25" t="s">
        <v>77</v>
      </c>
      <c r="AB989" t="s">
        <v>26</v>
      </c>
      <c r="AC989" s="24">
        <v>36251</v>
      </c>
      <c r="AD989" s="25" t="s">
        <v>77</v>
      </c>
      <c r="AE989" t="s">
        <v>26</v>
      </c>
      <c r="AF989" t="s">
        <v>26</v>
      </c>
      <c r="AG989" t="s">
        <v>26</v>
      </c>
      <c r="AH989" t="s">
        <v>26</v>
      </c>
      <c r="AI989" t="s">
        <v>26</v>
      </c>
      <c r="AJ989" t="s">
        <v>26</v>
      </c>
      <c r="AK989" t="s">
        <v>26</v>
      </c>
      <c r="AL989" t="s">
        <v>26</v>
      </c>
      <c r="AM989" t="s">
        <v>26</v>
      </c>
      <c r="AN989" t="s">
        <v>26</v>
      </c>
      <c r="AO989" s="25" t="s">
        <v>68</v>
      </c>
      <c r="AP989" s="23" t="s">
        <v>69</v>
      </c>
      <c r="AQ989" s="23" t="s">
        <v>30</v>
      </c>
      <c r="AR989" s="23" t="s">
        <v>257</v>
      </c>
      <c r="AS989" s="25">
        <v>49117</v>
      </c>
      <c r="AT989" t="s">
        <v>26</v>
      </c>
      <c r="AU989" t="s">
        <v>23535</v>
      </c>
    </row>
    <row r="990" spans="1:47" ht="26.25" x14ac:dyDescent="0.4">
      <c r="A990" s="23" t="s">
        <v>2526</v>
      </c>
      <c r="B990" t="s">
        <v>26</v>
      </c>
      <c r="C990" s="23" t="s">
        <v>2527</v>
      </c>
      <c r="D990" s="23" t="s">
        <v>23536</v>
      </c>
      <c r="E990" s="23" t="s">
        <v>42</v>
      </c>
      <c r="F990" s="25" t="s">
        <v>2528</v>
      </c>
      <c r="G990" s="25" t="s">
        <v>2528</v>
      </c>
      <c r="H990" t="s">
        <v>26</v>
      </c>
      <c r="I990" s="24">
        <v>33604</v>
      </c>
      <c r="J990" s="25" t="s">
        <v>77</v>
      </c>
      <c r="K990" t="s">
        <v>26</v>
      </c>
      <c r="L990" s="25" t="s">
        <v>68</v>
      </c>
      <c r="M990" s="24">
        <v>34335</v>
      </c>
      <c r="N990" s="25" t="s">
        <v>77</v>
      </c>
      <c r="O990" t="s">
        <v>26</v>
      </c>
      <c r="P990" s="24">
        <v>33604</v>
      </c>
      <c r="Q990" s="25" t="s">
        <v>77</v>
      </c>
      <c r="R990" t="s">
        <v>26</v>
      </c>
      <c r="S990" t="s">
        <v>26</v>
      </c>
      <c r="T990" t="s">
        <v>26</v>
      </c>
      <c r="U990" t="s">
        <v>26</v>
      </c>
      <c r="V990" s="25">
        <v>365</v>
      </c>
      <c r="W990" s="24">
        <v>32143</v>
      </c>
      <c r="X990" s="25" t="s">
        <v>77</v>
      </c>
      <c r="Y990" t="s">
        <v>26</v>
      </c>
      <c r="Z990" s="24">
        <v>32143</v>
      </c>
      <c r="AA990" s="25" t="s">
        <v>77</v>
      </c>
      <c r="AB990" t="s">
        <v>26</v>
      </c>
      <c r="AC990" s="24">
        <v>32143</v>
      </c>
      <c r="AD990" s="25" t="s">
        <v>77</v>
      </c>
      <c r="AE990" t="s">
        <v>26</v>
      </c>
      <c r="AF990" t="s">
        <v>26</v>
      </c>
      <c r="AG990" t="s">
        <v>26</v>
      </c>
      <c r="AH990" t="s">
        <v>26</v>
      </c>
      <c r="AI990" t="s">
        <v>26</v>
      </c>
      <c r="AJ990" t="s">
        <v>26</v>
      </c>
      <c r="AK990" t="s">
        <v>26</v>
      </c>
      <c r="AL990" t="s">
        <v>26</v>
      </c>
      <c r="AM990" t="s">
        <v>26</v>
      </c>
      <c r="AN990" t="s">
        <v>26</v>
      </c>
      <c r="AO990" s="25" t="s">
        <v>68</v>
      </c>
      <c r="AP990" s="23" t="s">
        <v>69</v>
      </c>
      <c r="AQ990" s="23" t="s">
        <v>30</v>
      </c>
      <c r="AR990" s="23" t="s">
        <v>191</v>
      </c>
      <c r="AS990" s="25">
        <v>41641</v>
      </c>
      <c r="AT990" t="s">
        <v>26</v>
      </c>
      <c r="AU990" t="s">
        <v>23537</v>
      </c>
    </row>
    <row r="991" spans="1:47" ht="26.25" x14ac:dyDescent="0.4">
      <c r="A991" s="23" t="s">
        <v>2529</v>
      </c>
      <c r="B991" t="s">
        <v>26</v>
      </c>
      <c r="C991" s="23" t="s">
        <v>238</v>
      </c>
      <c r="D991" s="23" t="s">
        <v>22689</v>
      </c>
      <c r="E991" s="23" t="s">
        <v>42</v>
      </c>
      <c r="F991" s="25" t="s">
        <v>2530</v>
      </c>
      <c r="G991" t="s">
        <v>26</v>
      </c>
      <c r="H991" t="s">
        <v>26</v>
      </c>
      <c r="I991" s="24">
        <v>38718</v>
      </c>
      <c r="J991" s="24">
        <v>40057</v>
      </c>
      <c r="K991" t="s">
        <v>26</v>
      </c>
      <c r="L991" s="25" t="s">
        <v>68</v>
      </c>
      <c r="M991" s="24">
        <v>38718</v>
      </c>
      <c r="N991" s="24">
        <v>40057</v>
      </c>
      <c r="O991" t="s">
        <v>26</v>
      </c>
      <c r="P991" s="24">
        <v>38718</v>
      </c>
      <c r="Q991" s="24">
        <v>40057</v>
      </c>
      <c r="R991" t="s">
        <v>26</v>
      </c>
      <c r="S991" t="s">
        <v>26</v>
      </c>
      <c r="T991" t="s">
        <v>26</v>
      </c>
      <c r="U991" t="s">
        <v>26</v>
      </c>
      <c r="V991" t="s">
        <v>26</v>
      </c>
      <c r="W991" s="24">
        <v>38718</v>
      </c>
      <c r="X991" s="24">
        <v>40057</v>
      </c>
      <c r="Y991" t="s">
        <v>26</v>
      </c>
      <c r="Z991" s="24">
        <v>38718</v>
      </c>
      <c r="AA991" s="24">
        <v>40057</v>
      </c>
      <c r="AB991" t="s">
        <v>26</v>
      </c>
      <c r="AC991" t="s">
        <v>26</v>
      </c>
      <c r="AD991" t="s">
        <v>26</v>
      </c>
      <c r="AE991" t="s">
        <v>26</v>
      </c>
      <c r="AF991" t="s">
        <v>26</v>
      </c>
      <c r="AG991" t="s">
        <v>26</v>
      </c>
      <c r="AH991" t="s">
        <v>26</v>
      </c>
      <c r="AI991" t="s">
        <v>26</v>
      </c>
      <c r="AJ991" t="s">
        <v>26</v>
      </c>
      <c r="AK991" t="s">
        <v>26</v>
      </c>
      <c r="AL991" t="s">
        <v>26</v>
      </c>
      <c r="AM991" t="s">
        <v>26</v>
      </c>
      <c r="AN991" t="s">
        <v>26</v>
      </c>
      <c r="AO991" s="25" t="s">
        <v>28</v>
      </c>
      <c r="AP991" s="23" t="s">
        <v>69</v>
      </c>
      <c r="AQ991" s="23" t="s">
        <v>30</v>
      </c>
      <c r="AR991" s="23" t="s">
        <v>2332</v>
      </c>
      <c r="AS991" s="25">
        <v>47866</v>
      </c>
      <c r="AT991" t="s">
        <v>26</v>
      </c>
      <c r="AU991" t="s">
        <v>23538</v>
      </c>
    </row>
    <row r="992" spans="1:47" ht="26.25" x14ac:dyDescent="0.4">
      <c r="A992" s="23" t="s">
        <v>2531</v>
      </c>
      <c r="B992" t="s">
        <v>26</v>
      </c>
      <c r="C992" s="23" t="s">
        <v>102</v>
      </c>
      <c r="D992" s="23" t="s">
        <v>23539</v>
      </c>
      <c r="E992" s="23" t="s">
        <v>42</v>
      </c>
      <c r="F992" s="25" t="s">
        <v>2532</v>
      </c>
      <c r="G992" s="25" t="s">
        <v>2533</v>
      </c>
      <c r="H992" t="s">
        <v>26</v>
      </c>
      <c r="I992" t="s">
        <v>26</v>
      </c>
      <c r="J992" t="s">
        <v>26</v>
      </c>
      <c r="K992" t="s">
        <v>26</v>
      </c>
      <c r="L992" s="25" t="s">
        <v>68</v>
      </c>
      <c r="M992" t="s">
        <v>26</v>
      </c>
      <c r="N992" t="s">
        <v>26</v>
      </c>
      <c r="O992" t="s">
        <v>26</v>
      </c>
      <c r="P992" t="s">
        <v>26</v>
      </c>
      <c r="Q992" t="s">
        <v>26</v>
      </c>
      <c r="R992" t="s">
        <v>26</v>
      </c>
      <c r="S992" t="s">
        <v>26</v>
      </c>
      <c r="T992" t="s">
        <v>26</v>
      </c>
      <c r="U992" t="s">
        <v>26</v>
      </c>
      <c r="V992" t="s">
        <v>26</v>
      </c>
      <c r="W992" s="24">
        <v>35796</v>
      </c>
      <c r="X992" s="25" t="s">
        <v>77</v>
      </c>
      <c r="Y992" t="s">
        <v>26</v>
      </c>
      <c r="Z992" s="24">
        <v>35796</v>
      </c>
      <c r="AA992" s="25" t="s">
        <v>77</v>
      </c>
      <c r="AB992" t="s">
        <v>26</v>
      </c>
      <c r="AC992" s="24">
        <v>35796</v>
      </c>
      <c r="AD992" s="25" t="s">
        <v>77</v>
      </c>
      <c r="AE992" t="s">
        <v>26</v>
      </c>
      <c r="AF992" t="s">
        <v>26</v>
      </c>
      <c r="AG992" t="s">
        <v>26</v>
      </c>
      <c r="AH992" t="s">
        <v>26</v>
      </c>
      <c r="AI992" t="s">
        <v>26</v>
      </c>
      <c r="AJ992" t="s">
        <v>26</v>
      </c>
      <c r="AK992" t="s">
        <v>26</v>
      </c>
      <c r="AL992" t="s">
        <v>26</v>
      </c>
      <c r="AM992" t="s">
        <v>26</v>
      </c>
      <c r="AN992" t="s">
        <v>26</v>
      </c>
      <c r="AO992" s="25" t="s">
        <v>68</v>
      </c>
      <c r="AP992" s="23" t="s">
        <v>69</v>
      </c>
      <c r="AQ992" s="23" t="s">
        <v>30</v>
      </c>
      <c r="AR992" s="23" t="s">
        <v>277</v>
      </c>
      <c r="AS992" s="25">
        <v>48112</v>
      </c>
      <c r="AT992" t="s">
        <v>26</v>
      </c>
      <c r="AU992" t="s">
        <v>23540</v>
      </c>
    </row>
    <row r="993" spans="1:47" ht="26.25" x14ac:dyDescent="0.4">
      <c r="A993" s="23" t="s">
        <v>2534</v>
      </c>
      <c r="B993" t="s">
        <v>26</v>
      </c>
      <c r="C993" s="23" t="s">
        <v>167</v>
      </c>
      <c r="D993" s="23" t="s">
        <v>22218</v>
      </c>
      <c r="E993" s="23" t="s">
        <v>60</v>
      </c>
      <c r="F993" t="s">
        <v>26</v>
      </c>
      <c r="G993" t="s">
        <v>26</v>
      </c>
      <c r="H993" t="s">
        <v>26</v>
      </c>
      <c r="I993" s="24">
        <v>33970</v>
      </c>
      <c r="J993" s="24">
        <v>33970</v>
      </c>
      <c r="K993" t="s">
        <v>26</v>
      </c>
      <c r="L993" s="25" t="s">
        <v>28</v>
      </c>
      <c r="M993" t="s">
        <v>26</v>
      </c>
      <c r="N993" t="s">
        <v>26</v>
      </c>
      <c r="O993" t="s">
        <v>26</v>
      </c>
      <c r="P993" s="24">
        <v>33970</v>
      </c>
      <c r="Q993" s="24">
        <v>33970</v>
      </c>
      <c r="R993" t="s">
        <v>26</v>
      </c>
      <c r="S993" t="s">
        <v>26</v>
      </c>
      <c r="T993" t="s">
        <v>26</v>
      </c>
      <c r="U993" t="s">
        <v>26</v>
      </c>
      <c r="V993" t="s">
        <v>26</v>
      </c>
      <c r="W993" s="24">
        <v>33970</v>
      </c>
      <c r="X993" s="24">
        <v>33970</v>
      </c>
      <c r="Y993" t="s">
        <v>26</v>
      </c>
      <c r="Z993" s="24">
        <v>33970</v>
      </c>
      <c r="AA993" s="24">
        <v>33970</v>
      </c>
      <c r="AB993" t="s">
        <v>26</v>
      </c>
      <c r="AC993" s="24">
        <v>33970</v>
      </c>
      <c r="AD993" s="24">
        <v>33970</v>
      </c>
      <c r="AE993" t="s">
        <v>26</v>
      </c>
      <c r="AF993" t="s">
        <v>26</v>
      </c>
      <c r="AG993" t="s">
        <v>26</v>
      </c>
      <c r="AH993" t="s">
        <v>26</v>
      </c>
      <c r="AI993" t="s">
        <v>26</v>
      </c>
      <c r="AJ993" t="s">
        <v>26</v>
      </c>
      <c r="AK993" t="s">
        <v>26</v>
      </c>
      <c r="AL993" t="s">
        <v>26</v>
      </c>
      <c r="AM993" t="s">
        <v>26</v>
      </c>
      <c r="AN993" t="s">
        <v>26</v>
      </c>
      <c r="AO993" s="25" t="s">
        <v>28</v>
      </c>
      <c r="AP993" s="23" t="s">
        <v>29</v>
      </c>
      <c r="AQ993" s="23" t="s">
        <v>30</v>
      </c>
      <c r="AR993" s="23" t="s">
        <v>2535</v>
      </c>
      <c r="AS993" s="25">
        <v>6009008</v>
      </c>
      <c r="AT993" t="s">
        <v>26</v>
      </c>
      <c r="AU993" t="s">
        <v>23541</v>
      </c>
    </row>
    <row r="994" spans="1:47" ht="26.25" x14ac:dyDescent="0.4">
      <c r="A994" s="23" t="s">
        <v>2536</v>
      </c>
      <c r="B994" t="s">
        <v>26</v>
      </c>
      <c r="C994" s="23" t="s">
        <v>23542</v>
      </c>
      <c r="D994" s="23" t="s">
        <v>23543</v>
      </c>
      <c r="E994" s="23" t="s">
        <v>60</v>
      </c>
      <c r="F994" t="s">
        <v>26</v>
      </c>
      <c r="G994" t="s">
        <v>26</v>
      </c>
      <c r="H994" t="s">
        <v>26</v>
      </c>
      <c r="I994" s="24">
        <v>41640</v>
      </c>
      <c r="J994" s="24">
        <v>41640</v>
      </c>
      <c r="K994" t="s">
        <v>26</v>
      </c>
      <c r="L994" s="25" t="s">
        <v>28</v>
      </c>
      <c r="M994" s="24">
        <v>41640</v>
      </c>
      <c r="N994" s="24">
        <v>41640</v>
      </c>
      <c r="O994" t="s">
        <v>26</v>
      </c>
      <c r="P994" t="s">
        <v>26</v>
      </c>
      <c r="Q994" t="s">
        <v>26</v>
      </c>
      <c r="R994" t="s">
        <v>26</v>
      </c>
      <c r="S994" s="24">
        <v>41640</v>
      </c>
      <c r="T994" s="24">
        <v>41640</v>
      </c>
      <c r="U994" t="s">
        <v>26</v>
      </c>
      <c r="V994" t="s">
        <v>26</v>
      </c>
      <c r="W994" s="24">
        <v>41640</v>
      </c>
      <c r="X994" s="24">
        <v>41640</v>
      </c>
      <c r="Y994" t="s">
        <v>26</v>
      </c>
      <c r="Z994" s="24">
        <v>41640</v>
      </c>
      <c r="AA994" s="24">
        <v>41640</v>
      </c>
      <c r="AB994" t="s">
        <v>26</v>
      </c>
      <c r="AC994" s="24">
        <v>41640</v>
      </c>
      <c r="AD994" s="24">
        <v>41640</v>
      </c>
      <c r="AE994" t="s">
        <v>26</v>
      </c>
      <c r="AF994" s="24">
        <v>41640</v>
      </c>
      <c r="AG994" s="24">
        <v>41640</v>
      </c>
      <c r="AH994" t="s">
        <v>26</v>
      </c>
      <c r="AI994" s="24">
        <v>41640</v>
      </c>
      <c r="AJ994" s="24">
        <v>41640</v>
      </c>
      <c r="AK994" t="s">
        <v>26</v>
      </c>
      <c r="AL994" t="s">
        <v>26</v>
      </c>
      <c r="AM994" t="s">
        <v>26</v>
      </c>
      <c r="AN994" t="s">
        <v>26</v>
      </c>
      <c r="AO994" s="25" t="s">
        <v>28</v>
      </c>
      <c r="AP994" s="23" t="s">
        <v>43</v>
      </c>
      <c r="AQ994" s="23" t="s">
        <v>30</v>
      </c>
      <c r="AR994" s="23" t="s">
        <v>46</v>
      </c>
      <c r="AS994" s="25">
        <v>6362744</v>
      </c>
      <c r="AT994" t="s">
        <v>26</v>
      </c>
      <c r="AU994" t="s">
        <v>23544</v>
      </c>
    </row>
    <row r="995" spans="1:47" ht="65.650000000000006" x14ac:dyDescent="0.4">
      <c r="A995" s="23" t="s">
        <v>23545</v>
      </c>
      <c r="B995" t="s">
        <v>26</v>
      </c>
      <c r="C995" s="23" t="s">
        <v>332</v>
      </c>
      <c r="D995" s="23" t="s">
        <v>22256</v>
      </c>
      <c r="E995" s="23" t="s">
        <v>42</v>
      </c>
      <c r="F995" t="s">
        <v>26</v>
      </c>
      <c r="G995" t="s">
        <v>26</v>
      </c>
      <c r="H995" t="s">
        <v>26</v>
      </c>
      <c r="I995" s="24">
        <v>30682</v>
      </c>
      <c r="J995" s="24">
        <v>30682</v>
      </c>
      <c r="K995" t="s">
        <v>26</v>
      </c>
      <c r="L995" s="25" t="s">
        <v>28</v>
      </c>
      <c r="M995" s="24">
        <v>30682</v>
      </c>
      <c r="N995" s="24">
        <v>30682</v>
      </c>
      <c r="O995" t="s">
        <v>26</v>
      </c>
      <c r="P995" t="s">
        <v>26</v>
      </c>
      <c r="Q995" t="s">
        <v>26</v>
      </c>
      <c r="R995" t="s">
        <v>26</v>
      </c>
      <c r="S995" t="s">
        <v>26</v>
      </c>
      <c r="T995" t="s">
        <v>26</v>
      </c>
      <c r="U995" t="s">
        <v>26</v>
      </c>
      <c r="V995" t="s">
        <v>26</v>
      </c>
      <c r="W995" s="24">
        <v>30682</v>
      </c>
      <c r="X995" s="24">
        <v>30682</v>
      </c>
      <c r="Y995" t="s">
        <v>26</v>
      </c>
      <c r="Z995" s="24">
        <v>30682</v>
      </c>
      <c r="AA995" s="24">
        <v>30682</v>
      </c>
      <c r="AB995" t="s">
        <v>26</v>
      </c>
      <c r="AC995" s="24">
        <v>30682</v>
      </c>
      <c r="AD995" s="24">
        <v>30682</v>
      </c>
      <c r="AE995" t="s">
        <v>26</v>
      </c>
      <c r="AF995" t="s">
        <v>26</v>
      </c>
      <c r="AG995" t="s">
        <v>26</v>
      </c>
      <c r="AH995" t="s">
        <v>26</v>
      </c>
      <c r="AI995" t="s">
        <v>26</v>
      </c>
      <c r="AJ995" t="s">
        <v>26</v>
      </c>
      <c r="AK995" t="s">
        <v>26</v>
      </c>
      <c r="AL995" t="s">
        <v>26</v>
      </c>
      <c r="AM995" t="s">
        <v>26</v>
      </c>
      <c r="AN995" t="s">
        <v>26</v>
      </c>
      <c r="AO995" s="25" t="s">
        <v>28</v>
      </c>
      <c r="AP995" s="23" t="s">
        <v>279</v>
      </c>
      <c r="AQ995" s="23" t="s">
        <v>30</v>
      </c>
      <c r="AR995" s="23" t="s">
        <v>46</v>
      </c>
      <c r="AS995" s="25">
        <v>6394516</v>
      </c>
      <c r="AT995" t="s">
        <v>26</v>
      </c>
      <c r="AU995" t="s">
        <v>23546</v>
      </c>
    </row>
    <row r="996" spans="1:47" ht="26.25" x14ac:dyDescent="0.4">
      <c r="A996" s="23" t="s">
        <v>2537</v>
      </c>
      <c r="B996" t="s">
        <v>26</v>
      </c>
      <c r="C996" s="23" t="s">
        <v>2538</v>
      </c>
      <c r="D996" s="23" t="s">
        <v>23199</v>
      </c>
      <c r="E996" s="23" t="s">
        <v>42</v>
      </c>
      <c r="F996" s="25" t="s">
        <v>2539</v>
      </c>
      <c r="G996" s="25" t="s">
        <v>2540</v>
      </c>
      <c r="H996" t="s">
        <v>26</v>
      </c>
      <c r="I996" s="24">
        <v>37653</v>
      </c>
      <c r="J996" s="24">
        <v>42278</v>
      </c>
      <c r="K996" t="s">
        <v>26</v>
      </c>
      <c r="L996" s="25" t="s">
        <v>68</v>
      </c>
      <c r="M996" s="24">
        <v>37653</v>
      </c>
      <c r="N996" s="24">
        <v>42278</v>
      </c>
      <c r="O996" t="s">
        <v>26</v>
      </c>
      <c r="P996" s="24">
        <v>39722</v>
      </c>
      <c r="Q996" s="24">
        <v>42278</v>
      </c>
      <c r="R996" t="s">
        <v>26</v>
      </c>
      <c r="S996" t="s">
        <v>26</v>
      </c>
      <c r="T996" t="s">
        <v>26</v>
      </c>
      <c r="U996" t="s">
        <v>26</v>
      </c>
      <c r="V996" t="s">
        <v>26</v>
      </c>
      <c r="W996" s="24">
        <v>37653</v>
      </c>
      <c r="X996" s="24">
        <v>42278</v>
      </c>
      <c r="Y996" t="s">
        <v>26</v>
      </c>
      <c r="Z996" s="24">
        <v>37653</v>
      </c>
      <c r="AA996" s="24">
        <v>42278</v>
      </c>
      <c r="AB996" t="s">
        <v>26</v>
      </c>
      <c r="AC996" s="24">
        <v>37653</v>
      </c>
      <c r="AD996" s="24">
        <v>42278</v>
      </c>
      <c r="AE996" t="s">
        <v>26</v>
      </c>
      <c r="AF996" t="s">
        <v>26</v>
      </c>
      <c r="AG996" t="s">
        <v>26</v>
      </c>
      <c r="AH996" t="s">
        <v>26</v>
      </c>
      <c r="AI996" t="s">
        <v>26</v>
      </c>
      <c r="AJ996" t="s">
        <v>26</v>
      </c>
      <c r="AK996" t="s">
        <v>26</v>
      </c>
      <c r="AL996" t="s">
        <v>26</v>
      </c>
      <c r="AM996" t="s">
        <v>26</v>
      </c>
      <c r="AN996" t="s">
        <v>26</v>
      </c>
      <c r="AO996" s="25" t="s">
        <v>68</v>
      </c>
      <c r="AP996" s="23" t="s">
        <v>69</v>
      </c>
      <c r="AQ996" s="23" t="s">
        <v>30</v>
      </c>
      <c r="AR996" s="23" t="s">
        <v>2541</v>
      </c>
      <c r="AS996" s="25">
        <v>43303</v>
      </c>
      <c r="AT996" t="s">
        <v>26</v>
      </c>
      <c r="AU996" t="s">
        <v>23547</v>
      </c>
    </row>
    <row r="997" spans="1:47" ht="26.25" x14ac:dyDescent="0.4">
      <c r="A997" s="23" t="s">
        <v>2542</v>
      </c>
      <c r="B997" t="s">
        <v>26</v>
      </c>
      <c r="C997" s="23" t="s">
        <v>2543</v>
      </c>
      <c r="D997" s="23" t="s">
        <v>22254</v>
      </c>
      <c r="E997" s="23" t="s">
        <v>42</v>
      </c>
      <c r="F997" s="25" t="s">
        <v>2544</v>
      </c>
      <c r="G997" s="25" t="s">
        <v>2545</v>
      </c>
      <c r="H997" t="s">
        <v>26</v>
      </c>
      <c r="I997" s="24">
        <v>37408</v>
      </c>
      <c r="J997" s="25" t="s">
        <v>77</v>
      </c>
      <c r="K997" t="s">
        <v>26</v>
      </c>
      <c r="L997" s="25" t="s">
        <v>28</v>
      </c>
      <c r="M997" s="24">
        <v>37408</v>
      </c>
      <c r="N997" s="25" t="s">
        <v>77</v>
      </c>
      <c r="O997" t="s">
        <v>26</v>
      </c>
      <c r="P997" s="24">
        <v>37408</v>
      </c>
      <c r="Q997" s="25" t="s">
        <v>77</v>
      </c>
      <c r="R997" t="s">
        <v>26</v>
      </c>
      <c r="S997" t="s">
        <v>26</v>
      </c>
      <c r="T997" t="s">
        <v>26</v>
      </c>
      <c r="U997" t="s">
        <v>26</v>
      </c>
      <c r="V997" t="s">
        <v>26</v>
      </c>
      <c r="W997" s="24">
        <v>29646</v>
      </c>
      <c r="X997" s="25" t="s">
        <v>77</v>
      </c>
      <c r="Y997" t="s">
        <v>26</v>
      </c>
      <c r="Z997" s="24">
        <v>29646</v>
      </c>
      <c r="AA997" s="25" t="s">
        <v>77</v>
      </c>
      <c r="AB997" t="s">
        <v>26</v>
      </c>
      <c r="AC997" s="24">
        <v>32568</v>
      </c>
      <c r="AD997" s="25" t="s">
        <v>77</v>
      </c>
      <c r="AE997" t="s">
        <v>26</v>
      </c>
      <c r="AF997" t="s">
        <v>26</v>
      </c>
      <c r="AG997" t="s">
        <v>26</v>
      </c>
      <c r="AH997" t="s">
        <v>26</v>
      </c>
      <c r="AI997" t="s">
        <v>26</v>
      </c>
      <c r="AJ997" t="s">
        <v>26</v>
      </c>
      <c r="AK997" t="s">
        <v>26</v>
      </c>
      <c r="AL997" t="s">
        <v>26</v>
      </c>
      <c r="AM997" t="s">
        <v>26</v>
      </c>
      <c r="AN997" t="s">
        <v>26</v>
      </c>
      <c r="AO997" s="25" t="s">
        <v>28</v>
      </c>
      <c r="AP997" s="23" t="s">
        <v>211</v>
      </c>
      <c r="AQ997" s="23" t="s">
        <v>30</v>
      </c>
      <c r="AR997" s="23" t="s">
        <v>433</v>
      </c>
      <c r="AS997" s="25">
        <v>25138</v>
      </c>
      <c r="AT997" t="s">
        <v>26</v>
      </c>
      <c r="AU997" t="s">
        <v>23548</v>
      </c>
    </row>
    <row r="998" spans="1:47" ht="26.25" x14ac:dyDescent="0.4">
      <c r="A998" s="23" t="s">
        <v>2546</v>
      </c>
      <c r="B998" t="s">
        <v>26</v>
      </c>
      <c r="C998" s="23" t="s">
        <v>181</v>
      </c>
      <c r="D998" s="23" t="s">
        <v>22174</v>
      </c>
      <c r="E998" s="23" t="s">
        <v>60</v>
      </c>
      <c r="F998" s="25" t="s">
        <v>2547</v>
      </c>
      <c r="G998" s="25" t="s">
        <v>2548</v>
      </c>
      <c r="H998" t="s">
        <v>26</v>
      </c>
      <c r="I998" t="s">
        <v>26</v>
      </c>
      <c r="J998" t="s">
        <v>26</v>
      </c>
      <c r="K998" t="s">
        <v>26</v>
      </c>
      <c r="L998" s="25" t="s">
        <v>68</v>
      </c>
      <c r="M998" t="s">
        <v>26</v>
      </c>
      <c r="N998" t="s">
        <v>26</v>
      </c>
      <c r="O998" t="s">
        <v>26</v>
      </c>
      <c r="P998" t="s">
        <v>26</v>
      </c>
      <c r="Q998" t="s">
        <v>26</v>
      </c>
      <c r="R998" t="s">
        <v>26</v>
      </c>
      <c r="S998" t="s">
        <v>26</v>
      </c>
      <c r="T998" t="s">
        <v>26</v>
      </c>
      <c r="U998" t="s">
        <v>26</v>
      </c>
      <c r="V998" t="s">
        <v>26</v>
      </c>
      <c r="W998" s="24">
        <v>33390</v>
      </c>
      <c r="X998" s="25" t="s">
        <v>77</v>
      </c>
      <c r="Y998" t="s">
        <v>26</v>
      </c>
      <c r="Z998" s="24">
        <v>33390</v>
      </c>
      <c r="AA998" s="25" t="s">
        <v>77</v>
      </c>
      <c r="AB998" t="s">
        <v>26</v>
      </c>
      <c r="AC998" s="24">
        <v>33390</v>
      </c>
      <c r="AD998" s="25" t="s">
        <v>77</v>
      </c>
      <c r="AE998" t="s">
        <v>26</v>
      </c>
      <c r="AF998" t="s">
        <v>26</v>
      </c>
      <c r="AG998" t="s">
        <v>26</v>
      </c>
      <c r="AH998" t="s">
        <v>26</v>
      </c>
      <c r="AI998" t="s">
        <v>26</v>
      </c>
      <c r="AJ998" t="s">
        <v>26</v>
      </c>
      <c r="AK998" t="s">
        <v>26</v>
      </c>
      <c r="AL998" t="s">
        <v>26</v>
      </c>
      <c r="AM998" t="s">
        <v>26</v>
      </c>
      <c r="AN998" t="s">
        <v>26</v>
      </c>
      <c r="AO998" s="25" t="s">
        <v>68</v>
      </c>
      <c r="AP998" s="23" t="s">
        <v>69</v>
      </c>
      <c r="AQ998" s="23" t="s">
        <v>30</v>
      </c>
      <c r="AR998" s="23" t="s">
        <v>2549</v>
      </c>
      <c r="AS998" s="25">
        <v>32812</v>
      </c>
      <c r="AT998" t="s">
        <v>26</v>
      </c>
      <c r="AU998" t="s">
        <v>23549</v>
      </c>
    </row>
    <row r="999" spans="1:47" ht="26.25" x14ac:dyDescent="0.4">
      <c r="A999" s="23" t="s">
        <v>2550</v>
      </c>
      <c r="B999" t="s">
        <v>26</v>
      </c>
      <c r="C999" s="23" t="s">
        <v>320</v>
      </c>
      <c r="D999" s="23" t="s">
        <v>22294</v>
      </c>
      <c r="E999" s="23" t="s">
        <v>42</v>
      </c>
      <c r="F999" t="s">
        <v>26</v>
      </c>
      <c r="G999" s="25" t="s">
        <v>2551</v>
      </c>
      <c r="H999" t="s">
        <v>26</v>
      </c>
      <c r="I999" t="s">
        <v>26</v>
      </c>
      <c r="J999" t="s">
        <v>26</v>
      </c>
      <c r="K999" t="s">
        <v>26</v>
      </c>
      <c r="L999" s="25" t="s">
        <v>68</v>
      </c>
      <c r="M999" t="s">
        <v>26</v>
      </c>
      <c r="N999" t="s">
        <v>26</v>
      </c>
      <c r="O999" t="s">
        <v>26</v>
      </c>
      <c r="P999" t="s">
        <v>26</v>
      </c>
      <c r="Q999" t="s">
        <v>26</v>
      </c>
      <c r="R999" t="s">
        <v>26</v>
      </c>
      <c r="S999" t="s">
        <v>26</v>
      </c>
      <c r="T999" t="s">
        <v>26</v>
      </c>
      <c r="U999" t="s">
        <v>26</v>
      </c>
      <c r="V999" t="s">
        <v>26</v>
      </c>
      <c r="W999" s="24">
        <v>44136</v>
      </c>
      <c r="X999" s="25" t="s">
        <v>77</v>
      </c>
      <c r="Y999" t="s">
        <v>26</v>
      </c>
      <c r="Z999" s="24">
        <v>44136</v>
      </c>
      <c r="AA999" s="25" t="s">
        <v>77</v>
      </c>
      <c r="AB999" t="s">
        <v>26</v>
      </c>
      <c r="AC999" s="24">
        <v>44136</v>
      </c>
      <c r="AD999" s="25" t="s">
        <v>77</v>
      </c>
      <c r="AE999" t="s">
        <v>26</v>
      </c>
      <c r="AF999" t="s">
        <v>26</v>
      </c>
      <c r="AG999" t="s">
        <v>26</v>
      </c>
      <c r="AH999" t="s">
        <v>26</v>
      </c>
      <c r="AI999" t="s">
        <v>26</v>
      </c>
      <c r="AJ999" t="s">
        <v>26</v>
      </c>
      <c r="AK999" t="s">
        <v>26</v>
      </c>
      <c r="AL999" t="s">
        <v>26</v>
      </c>
      <c r="AM999" t="s">
        <v>26</v>
      </c>
      <c r="AN999" t="s">
        <v>26</v>
      </c>
      <c r="AO999" s="25" t="s">
        <v>68</v>
      </c>
      <c r="AP999" s="23" t="s">
        <v>69</v>
      </c>
      <c r="AQ999" s="23" t="s">
        <v>30</v>
      </c>
      <c r="AR999" s="23" t="s">
        <v>280</v>
      </c>
      <c r="AS999" s="25">
        <v>5014763</v>
      </c>
      <c r="AT999" t="s">
        <v>26</v>
      </c>
      <c r="AU999" t="s">
        <v>23550</v>
      </c>
    </row>
    <row r="1000" spans="1:47" ht="26.25" x14ac:dyDescent="0.4">
      <c r="A1000" s="23" t="s">
        <v>2552</v>
      </c>
      <c r="B1000" t="s">
        <v>26</v>
      </c>
      <c r="C1000" s="23" t="s">
        <v>181</v>
      </c>
      <c r="D1000" s="23" t="s">
        <v>22194</v>
      </c>
      <c r="E1000" s="23" t="s">
        <v>60</v>
      </c>
      <c r="F1000" s="25" t="s">
        <v>2553</v>
      </c>
      <c r="G1000" s="25" t="s">
        <v>2554</v>
      </c>
      <c r="H1000" t="s">
        <v>26</v>
      </c>
      <c r="I1000" t="s">
        <v>26</v>
      </c>
      <c r="J1000" t="s">
        <v>26</v>
      </c>
      <c r="K1000" t="s">
        <v>26</v>
      </c>
      <c r="L1000" s="25" t="s">
        <v>68</v>
      </c>
      <c r="M1000" t="s">
        <v>26</v>
      </c>
      <c r="N1000" t="s">
        <v>26</v>
      </c>
      <c r="O1000" t="s">
        <v>26</v>
      </c>
      <c r="P1000" t="s">
        <v>26</v>
      </c>
      <c r="Q1000" t="s">
        <v>26</v>
      </c>
      <c r="R1000" t="s">
        <v>26</v>
      </c>
      <c r="S1000" t="s">
        <v>26</v>
      </c>
      <c r="T1000" t="s">
        <v>26</v>
      </c>
      <c r="U1000" t="s">
        <v>26</v>
      </c>
      <c r="V1000" t="s">
        <v>26</v>
      </c>
      <c r="W1000" s="24">
        <v>38718</v>
      </c>
      <c r="X1000" s="25" t="s">
        <v>77</v>
      </c>
      <c r="Y1000" t="s">
        <v>26</v>
      </c>
      <c r="Z1000" s="24">
        <v>38718</v>
      </c>
      <c r="AA1000" s="25" t="s">
        <v>77</v>
      </c>
      <c r="AB1000" t="s">
        <v>26</v>
      </c>
      <c r="AC1000" s="24">
        <v>38718</v>
      </c>
      <c r="AD1000" s="25" t="s">
        <v>77</v>
      </c>
      <c r="AE1000" t="s">
        <v>26</v>
      </c>
      <c r="AF1000" t="s">
        <v>26</v>
      </c>
      <c r="AG1000" t="s">
        <v>26</v>
      </c>
      <c r="AH1000" t="s">
        <v>26</v>
      </c>
      <c r="AI1000" t="s">
        <v>26</v>
      </c>
      <c r="AJ1000" t="s">
        <v>26</v>
      </c>
      <c r="AK1000" t="s">
        <v>26</v>
      </c>
      <c r="AL1000" t="s">
        <v>26</v>
      </c>
      <c r="AM1000" t="s">
        <v>26</v>
      </c>
      <c r="AN1000" t="s">
        <v>26</v>
      </c>
      <c r="AO1000" s="25" t="s">
        <v>68</v>
      </c>
      <c r="AP1000" s="23" t="s">
        <v>69</v>
      </c>
      <c r="AQ1000" s="23" t="s">
        <v>30</v>
      </c>
      <c r="AR1000" s="23" t="s">
        <v>2555</v>
      </c>
      <c r="AS1000" s="25">
        <v>186244</v>
      </c>
      <c r="AT1000" t="s">
        <v>26</v>
      </c>
      <c r="AU1000" t="s">
        <v>23551</v>
      </c>
    </row>
    <row r="1001" spans="1:47" ht="26.25" x14ac:dyDescent="0.4">
      <c r="A1001" s="23" t="s">
        <v>2556</v>
      </c>
      <c r="B1001" t="s">
        <v>26</v>
      </c>
      <c r="C1001" s="23" t="s">
        <v>2556</v>
      </c>
      <c r="D1001" s="23" t="s">
        <v>23552</v>
      </c>
      <c r="E1001" s="23" t="s">
        <v>42</v>
      </c>
      <c r="F1001" s="25" t="s">
        <v>2557</v>
      </c>
      <c r="G1001" t="s">
        <v>26</v>
      </c>
      <c r="H1001" t="s">
        <v>26</v>
      </c>
      <c r="I1001" s="24">
        <v>26481</v>
      </c>
      <c r="J1001" s="24">
        <v>36800</v>
      </c>
      <c r="K1001" s="25" t="s">
        <v>2558</v>
      </c>
      <c r="L1001" s="25" t="s">
        <v>68</v>
      </c>
      <c r="M1001" t="s">
        <v>26</v>
      </c>
      <c r="N1001" t="s">
        <v>26</v>
      </c>
      <c r="O1001" t="s">
        <v>26</v>
      </c>
      <c r="P1001" s="24">
        <v>26481</v>
      </c>
      <c r="Q1001" s="24">
        <v>36800</v>
      </c>
      <c r="R1001" s="25" t="s">
        <v>2558</v>
      </c>
      <c r="S1001" t="s">
        <v>26</v>
      </c>
      <c r="T1001" t="s">
        <v>26</v>
      </c>
      <c r="U1001" t="s">
        <v>26</v>
      </c>
      <c r="V1001" t="s">
        <v>26</v>
      </c>
      <c r="W1001" s="24">
        <v>26481</v>
      </c>
      <c r="X1001" s="24">
        <v>36800</v>
      </c>
      <c r="Y1001" s="25" t="s">
        <v>2558</v>
      </c>
      <c r="Z1001" s="24">
        <v>26481</v>
      </c>
      <c r="AA1001" s="24">
        <v>36800</v>
      </c>
      <c r="AB1001" s="25" t="s">
        <v>2558</v>
      </c>
      <c r="AC1001" t="s">
        <v>26</v>
      </c>
      <c r="AD1001" t="s">
        <v>26</v>
      </c>
      <c r="AE1001" t="s">
        <v>26</v>
      </c>
      <c r="AF1001" t="s">
        <v>26</v>
      </c>
      <c r="AG1001" t="s">
        <v>26</v>
      </c>
      <c r="AH1001" t="s">
        <v>26</v>
      </c>
      <c r="AI1001" t="s">
        <v>26</v>
      </c>
      <c r="AJ1001" t="s">
        <v>26</v>
      </c>
      <c r="AK1001" t="s">
        <v>26</v>
      </c>
      <c r="AL1001" t="s">
        <v>26</v>
      </c>
      <c r="AM1001" t="s">
        <v>26</v>
      </c>
      <c r="AN1001" t="s">
        <v>26</v>
      </c>
      <c r="AO1001" s="25" t="s">
        <v>68</v>
      </c>
      <c r="AP1001" s="23" t="s">
        <v>69</v>
      </c>
      <c r="AQ1001" s="23" t="s">
        <v>30</v>
      </c>
      <c r="AR1001" s="23" t="s">
        <v>2559</v>
      </c>
      <c r="AS1001" s="25">
        <v>1816517</v>
      </c>
      <c r="AT1001" t="s">
        <v>26</v>
      </c>
      <c r="AU1001" t="s">
        <v>23553</v>
      </c>
    </row>
    <row r="1002" spans="1:47" ht="26.25" x14ac:dyDescent="0.4">
      <c r="A1002" s="23" t="s">
        <v>23554</v>
      </c>
      <c r="B1002" t="s">
        <v>26</v>
      </c>
      <c r="C1002" t="s">
        <v>26</v>
      </c>
      <c r="D1002" t="s">
        <v>26</v>
      </c>
      <c r="E1002" t="s">
        <v>26</v>
      </c>
      <c r="F1002" t="s">
        <v>26</v>
      </c>
      <c r="G1002" t="s">
        <v>26</v>
      </c>
      <c r="H1002" t="s">
        <v>26</v>
      </c>
      <c r="I1002" s="24">
        <v>41640</v>
      </c>
      <c r="J1002" s="24">
        <v>41640</v>
      </c>
      <c r="K1002" t="s">
        <v>26</v>
      </c>
      <c r="L1002" s="25" t="s">
        <v>28</v>
      </c>
      <c r="M1002" s="24">
        <v>41640</v>
      </c>
      <c r="N1002" s="24">
        <v>41640</v>
      </c>
      <c r="O1002" t="s">
        <v>26</v>
      </c>
      <c r="P1002" t="s">
        <v>26</v>
      </c>
      <c r="Q1002" t="s">
        <v>26</v>
      </c>
      <c r="R1002" t="s">
        <v>26</v>
      </c>
      <c r="S1002" s="24">
        <v>41640</v>
      </c>
      <c r="T1002" s="24">
        <v>41640</v>
      </c>
      <c r="U1002" t="s">
        <v>26</v>
      </c>
      <c r="V1002" t="s">
        <v>26</v>
      </c>
      <c r="W1002" s="24">
        <v>41640</v>
      </c>
      <c r="X1002" s="24">
        <v>41640</v>
      </c>
      <c r="Y1002" t="s">
        <v>26</v>
      </c>
      <c r="Z1002" s="24">
        <v>41640</v>
      </c>
      <c r="AA1002" s="24">
        <v>41640</v>
      </c>
      <c r="AB1002" t="s">
        <v>26</v>
      </c>
      <c r="AC1002" s="24">
        <v>41640</v>
      </c>
      <c r="AD1002" s="24">
        <v>41640</v>
      </c>
      <c r="AE1002" t="s">
        <v>26</v>
      </c>
      <c r="AF1002" s="24">
        <v>41640</v>
      </c>
      <c r="AG1002" s="24">
        <v>41640</v>
      </c>
      <c r="AH1002" t="s">
        <v>26</v>
      </c>
      <c r="AI1002" s="24">
        <v>41640</v>
      </c>
      <c r="AJ1002" s="24">
        <v>41640</v>
      </c>
      <c r="AK1002" t="s">
        <v>26</v>
      </c>
      <c r="AL1002" t="s">
        <v>26</v>
      </c>
      <c r="AM1002" t="s">
        <v>26</v>
      </c>
      <c r="AN1002" t="s">
        <v>26</v>
      </c>
      <c r="AO1002" s="25" t="s">
        <v>28</v>
      </c>
      <c r="AP1002" s="23" t="s">
        <v>43</v>
      </c>
      <c r="AQ1002" s="23" t="s">
        <v>30</v>
      </c>
      <c r="AR1002" s="23" t="s">
        <v>46</v>
      </c>
      <c r="AS1002" s="25">
        <v>5262121</v>
      </c>
      <c r="AT1002" t="s">
        <v>26</v>
      </c>
      <c r="AU1002" t="s">
        <v>23555</v>
      </c>
    </row>
    <row r="1003" spans="1:47" ht="13.15" x14ac:dyDescent="0.4">
      <c r="A1003" s="23" t="s">
        <v>2560</v>
      </c>
      <c r="B1003" t="s">
        <v>26</v>
      </c>
      <c r="C1003" s="23" t="s">
        <v>552</v>
      </c>
      <c r="D1003" s="23" t="s">
        <v>22231</v>
      </c>
      <c r="E1003" s="23" t="s">
        <v>42</v>
      </c>
      <c r="F1003" t="s">
        <v>26</v>
      </c>
      <c r="G1003" t="s">
        <v>26</v>
      </c>
      <c r="H1003" t="s">
        <v>26</v>
      </c>
      <c r="I1003" s="24">
        <v>38718</v>
      </c>
      <c r="J1003" s="24">
        <v>38718</v>
      </c>
      <c r="K1003" t="s">
        <v>26</v>
      </c>
      <c r="L1003" s="25" t="s">
        <v>28</v>
      </c>
      <c r="M1003" s="24">
        <v>38718</v>
      </c>
      <c r="N1003" s="24">
        <v>38718</v>
      </c>
      <c r="O1003" t="s">
        <v>26</v>
      </c>
      <c r="P1003" t="s">
        <v>26</v>
      </c>
      <c r="Q1003" t="s">
        <v>26</v>
      </c>
      <c r="R1003" t="s">
        <v>26</v>
      </c>
      <c r="S1003" t="s">
        <v>26</v>
      </c>
      <c r="T1003" t="s">
        <v>26</v>
      </c>
      <c r="U1003" t="s">
        <v>26</v>
      </c>
      <c r="V1003" t="s">
        <v>26</v>
      </c>
      <c r="W1003" s="24">
        <v>38718</v>
      </c>
      <c r="X1003" s="24">
        <v>38718</v>
      </c>
      <c r="Y1003" t="s">
        <v>26</v>
      </c>
      <c r="Z1003" s="24">
        <v>38718</v>
      </c>
      <c r="AA1003" s="24">
        <v>38718</v>
      </c>
      <c r="AB1003" t="s">
        <v>26</v>
      </c>
      <c r="AC1003" s="24">
        <v>38718</v>
      </c>
      <c r="AD1003" s="24">
        <v>38718</v>
      </c>
      <c r="AE1003" t="s">
        <v>26</v>
      </c>
      <c r="AF1003" t="s">
        <v>26</v>
      </c>
      <c r="AG1003" t="s">
        <v>26</v>
      </c>
      <c r="AH1003" t="s">
        <v>26</v>
      </c>
      <c r="AI1003" t="s">
        <v>26</v>
      </c>
      <c r="AJ1003" t="s">
        <v>26</v>
      </c>
      <c r="AK1003" t="s">
        <v>26</v>
      </c>
      <c r="AL1003" t="s">
        <v>26</v>
      </c>
      <c r="AM1003" t="s">
        <v>26</v>
      </c>
      <c r="AN1003" t="s">
        <v>26</v>
      </c>
      <c r="AO1003" s="25" t="s">
        <v>28</v>
      </c>
      <c r="AP1003" s="23" t="s">
        <v>29</v>
      </c>
      <c r="AQ1003" s="23" t="s">
        <v>30</v>
      </c>
      <c r="AR1003" s="23" t="s">
        <v>46</v>
      </c>
      <c r="AS1003" s="25">
        <v>6009007</v>
      </c>
      <c r="AT1003" t="s">
        <v>26</v>
      </c>
      <c r="AU1003" t="s">
        <v>23556</v>
      </c>
    </row>
    <row r="1004" spans="1:47" ht="13.15" x14ac:dyDescent="0.4">
      <c r="A1004" s="23" t="s">
        <v>23557</v>
      </c>
      <c r="B1004" t="s">
        <v>26</v>
      </c>
      <c r="C1004" s="23" t="s">
        <v>332</v>
      </c>
      <c r="D1004" s="23" t="s">
        <v>22256</v>
      </c>
      <c r="E1004" s="23" t="s">
        <v>42</v>
      </c>
      <c r="F1004" t="s">
        <v>26</v>
      </c>
      <c r="G1004" t="s">
        <v>26</v>
      </c>
      <c r="H1004" t="s">
        <v>26</v>
      </c>
      <c r="I1004" s="24">
        <v>35065</v>
      </c>
      <c r="J1004" s="24">
        <v>35065</v>
      </c>
      <c r="K1004" t="s">
        <v>26</v>
      </c>
      <c r="L1004" s="25" t="s">
        <v>28</v>
      </c>
      <c r="M1004" s="24">
        <v>35065</v>
      </c>
      <c r="N1004" s="24">
        <v>35065</v>
      </c>
      <c r="O1004" t="s">
        <v>26</v>
      </c>
      <c r="P1004" t="s">
        <v>26</v>
      </c>
      <c r="Q1004" t="s">
        <v>26</v>
      </c>
      <c r="R1004" t="s">
        <v>26</v>
      </c>
      <c r="S1004" t="s">
        <v>26</v>
      </c>
      <c r="T1004" t="s">
        <v>26</v>
      </c>
      <c r="U1004" t="s">
        <v>26</v>
      </c>
      <c r="V1004" t="s">
        <v>26</v>
      </c>
      <c r="W1004" s="24">
        <v>35065</v>
      </c>
      <c r="X1004" s="24">
        <v>35065</v>
      </c>
      <c r="Y1004" t="s">
        <v>26</v>
      </c>
      <c r="Z1004" s="24">
        <v>35065</v>
      </c>
      <c r="AA1004" s="24">
        <v>35065</v>
      </c>
      <c r="AB1004" t="s">
        <v>26</v>
      </c>
      <c r="AC1004" s="24">
        <v>35065</v>
      </c>
      <c r="AD1004" s="24">
        <v>35065</v>
      </c>
      <c r="AE1004" t="s">
        <v>26</v>
      </c>
      <c r="AF1004" t="s">
        <v>26</v>
      </c>
      <c r="AG1004" t="s">
        <v>26</v>
      </c>
      <c r="AH1004" t="s">
        <v>26</v>
      </c>
      <c r="AI1004" t="s">
        <v>26</v>
      </c>
      <c r="AJ1004" t="s">
        <v>26</v>
      </c>
      <c r="AK1004" t="s">
        <v>26</v>
      </c>
      <c r="AL1004" t="s">
        <v>26</v>
      </c>
      <c r="AM1004" t="s">
        <v>26</v>
      </c>
      <c r="AN1004" t="s">
        <v>26</v>
      </c>
      <c r="AO1004" s="25" t="s">
        <v>28</v>
      </c>
      <c r="AP1004" s="23" t="s">
        <v>279</v>
      </c>
      <c r="AQ1004" s="23" t="s">
        <v>30</v>
      </c>
      <c r="AR1004" s="23" t="s">
        <v>46</v>
      </c>
      <c r="AS1004" s="25">
        <v>6275767</v>
      </c>
      <c r="AT1004" t="s">
        <v>26</v>
      </c>
      <c r="AU1004" t="s">
        <v>23558</v>
      </c>
    </row>
    <row r="1005" spans="1:47" ht="26.25" x14ac:dyDescent="0.4">
      <c r="A1005" s="23" t="s">
        <v>2561</v>
      </c>
      <c r="B1005" t="s">
        <v>26</v>
      </c>
      <c r="C1005" t="s">
        <v>26</v>
      </c>
      <c r="D1005" t="s">
        <v>26</v>
      </c>
      <c r="E1005" t="s">
        <v>26</v>
      </c>
      <c r="F1005" t="s">
        <v>26</v>
      </c>
      <c r="G1005" t="s">
        <v>26</v>
      </c>
      <c r="H1005" t="s">
        <v>26</v>
      </c>
      <c r="I1005" s="24">
        <v>367</v>
      </c>
      <c r="J1005" s="24">
        <v>367</v>
      </c>
      <c r="K1005" t="s">
        <v>26</v>
      </c>
      <c r="L1005" s="25" t="s">
        <v>28</v>
      </c>
      <c r="M1005" s="24">
        <v>367</v>
      </c>
      <c r="N1005" s="24">
        <v>367</v>
      </c>
      <c r="O1005" t="s">
        <v>26</v>
      </c>
      <c r="P1005" t="s">
        <v>26</v>
      </c>
      <c r="Q1005" t="s">
        <v>26</v>
      </c>
      <c r="R1005" t="s">
        <v>26</v>
      </c>
      <c r="S1005" t="s">
        <v>26</v>
      </c>
      <c r="T1005" t="s">
        <v>26</v>
      </c>
      <c r="U1005" t="s">
        <v>26</v>
      </c>
      <c r="V1005" t="s">
        <v>26</v>
      </c>
      <c r="W1005" s="24">
        <v>367</v>
      </c>
      <c r="X1005" s="24">
        <v>367</v>
      </c>
      <c r="Y1005" t="s">
        <v>26</v>
      </c>
      <c r="Z1005" s="24">
        <v>367</v>
      </c>
      <c r="AA1005" s="24">
        <v>367</v>
      </c>
      <c r="AB1005" t="s">
        <v>26</v>
      </c>
      <c r="AC1005" s="24">
        <v>367</v>
      </c>
      <c r="AD1005" s="24">
        <v>367</v>
      </c>
      <c r="AE1005" t="s">
        <v>26</v>
      </c>
      <c r="AF1005" t="s">
        <v>26</v>
      </c>
      <c r="AG1005" t="s">
        <v>26</v>
      </c>
      <c r="AH1005" t="s">
        <v>26</v>
      </c>
      <c r="AI1005" t="s">
        <v>26</v>
      </c>
      <c r="AJ1005" t="s">
        <v>26</v>
      </c>
      <c r="AK1005" t="s">
        <v>26</v>
      </c>
      <c r="AL1005" t="s">
        <v>26</v>
      </c>
      <c r="AM1005" t="s">
        <v>26</v>
      </c>
      <c r="AN1005" t="s">
        <v>26</v>
      </c>
      <c r="AO1005" s="25" t="s">
        <v>28</v>
      </c>
      <c r="AP1005" s="23" t="s">
        <v>29</v>
      </c>
      <c r="AQ1005" s="23" t="s">
        <v>30</v>
      </c>
      <c r="AR1005" s="23" t="s">
        <v>46</v>
      </c>
      <c r="AS1005" s="25">
        <v>6009006</v>
      </c>
      <c r="AT1005" t="s">
        <v>26</v>
      </c>
      <c r="AU1005" t="s">
        <v>23559</v>
      </c>
    </row>
    <row r="1006" spans="1:47" ht="13.15" x14ac:dyDescent="0.4">
      <c r="A1006" s="23" t="s">
        <v>2562</v>
      </c>
      <c r="B1006" t="s">
        <v>26</v>
      </c>
      <c r="C1006" t="s">
        <v>26</v>
      </c>
      <c r="D1006" s="23" t="s">
        <v>22179</v>
      </c>
      <c r="E1006" t="s">
        <v>26</v>
      </c>
      <c r="F1006" t="s">
        <v>26</v>
      </c>
      <c r="G1006" t="s">
        <v>26</v>
      </c>
      <c r="H1006" t="s">
        <v>26</v>
      </c>
      <c r="I1006" s="24">
        <v>33239</v>
      </c>
      <c r="J1006" s="24">
        <v>33239</v>
      </c>
      <c r="K1006" t="s">
        <v>26</v>
      </c>
      <c r="L1006" s="25" t="s">
        <v>28</v>
      </c>
      <c r="M1006" s="24">
        <v>33239</v>
      </c>
      <c r="N1006" s="24">
        <v>33239</v>
      </c>
      <c r="O1006" t="s">
        <v>26</v>
      </c>
      <c r="P1006" t="s">
        <v>26</v>
      </c>
      <c r="Q1006" t="s">
        <v>26</v>
      </c>
      <c r="R1006" t="s">
        <v>26</v>
      </c>
      <c r="S1006" t="s">
        <v>26</v>
      </c>
      <c r="T1006" t="s">
        <v>26</v>
      </c>
      <c r="U1006" t="s">
        <v>26</v>
      </c>
      <c r="V1006" t="s">
        <v>26</v>
      </c>
      <c r="W1006" s="24">
        <v>33239</v>
      </c>
      <c r="X1006" s="24">
        <v>33239</v>
      </c>
      <c r="Y1006" t="s">
        <v>26</v>
      </c>
      <c r="Z1006" s="24">
        <v>33239</v>
      </c>
      <c r="AA1006" s="24">
        <v>33239</v>
      </c>
      <c r="AB1006" t="s">
        <v>26</v>
      </c>
      <c r="AC1006" s="24">
        <v>33239</v>
      </c>
      <c r="AD1006" s="24">
        <v>33239</v>
      </c>
      <c r="AE1006" t="s">
        <v>26</v>
      </c>
      <c r="AF1006" t="s">
        <v>26</v>
      </c>
      <c r="AG1006" t="s">
        <v>26</v>
      </c>
      <c r="AH1006" t="s">
        <v>26</v>
      </c>
      <c r="AI1006" t="s">
        <v>26</v>
      </c>
      <c r="AJ1006" t="s">
        <v>26</v>
      </c>
      <c r="AK1006" t="s">
        <v>26</v>
      </c>
      <c r="AL1006" t="s">
        <v>26</v>
      </c>
      <c r="AM1006" t="s">
        <v>26</v>
      </c>
      <c r="AN1006" t="s">
        <v>26</v>
      </c>
      <c r="AO1006" s="25" t="s">
        <v>28</v>
      </c>
      <c r="AP1006" s="23" t="s">
        <v>29</v>
      </c>
      <c r="AQ1006" s="23" t="s">
        <v>30</v>
      </c>
      <c r="AR1006" s="23" t="s">
        <v>46</v>
      </c>
      <c r="AS1006" s="25">
        <v>6059439</v>
      </c>
      <c r="AT1006" t="s">
        <v>26</v>
      </c>
      <c r="AU1006" t="s">
        <v>23560</v>
      </c>
    </row>
    <row r="1007" spans="1:47" ht="26.25" x14ac:dyDescent="0.4">
      <c r="A1007" s="23" t="s">
        <v>2563</v>
      </c>
      <c r="B1007" t="s">
        <v>26</v>
      </c>
      <c r="C1007" s="23" t="s">
        <v>107</v>
      </c>
      <c r="D1007" s="23" t="s">
        <v>22312</v>
      </c>
      <c r="E1007" s="23" t="s">
        <v>42</v>
      </c>
      <c r="F1007" s="25" t="s">
        <v>2564</v>
      </c>
      <c r="G1007" s="25" t="s">
        <v>2565</v>
      </c>
      <c r="H1007" t="s">
        <v>26</v>
      </c>
      <c r="I1007" s="24">
        <v>35977</v>
      </c>
      <c r="J1007" s="24">
        <v>40238</v>
      </c>
      <c r="K1007" t="s">
        <v>26</v>
      </c>
      <c r="L1007" s="25" t="s">
        <v>68</v>
      </c>
      <c r="M1007" s="24">
        <v>35977</v>
      </c>
      <c r="N1007" s="24">
        <v>39783</v>
      </c>
      <c r="O1007" t="s">
        <v>26</v>
      </c>
      <c r="P1007" s="24">
        <v>35977</v>
      </c>
      <c r="Q1007" s="24">
        <v>40238</v>
      </c>
      <c r="R1007" t="s">
        <v>26</v>
      </c>
      <c r="S1007" t="s">
        <v>26</v>
      </c>
      <c r="T1007" t="s">
        <v>26</v>
      </c>
      <c r="U1007" t="s">
        <v>26</v>
      </c>
      <c r="V1007" t="s">
        <v>26</v>
      </c>
      <c r="W1007" s="24">
        <v>31564</v>
      </c>
      <c r="X1007" s="25" t="s">
        <v>77</v>
      </c>
      <c r="Y1007" t="s">
        <v>26</v>
      </c>
      <c r="Z1007" s="24">
        <v>31564</v>
      </c>
      <c r="AA1007" s="25" t="s">
        <v>77</v>
      </c>
      <c r="AB1007" t="s">
        <v>26</v>
      </c>
      <c r="AC1007" s="24">
        <v>38078</v>
      </c>
      <c r="AD1007" s="25" t="s">
        <v>77</v>
      </c>
      <c r="AE1007" t="s">
        <v>26</v>
      </c>
      <c r="AF1007" t="s">
        <v>26</v>
      </c>
      <c r="AG1007" t="s">
        <v>26</v>
      </c>
      <c r="AH1007" t="s">
        <v>26</v>
      </c>
      <c r="AI1007" t="s">
        <v>26</v>
      </c>
      <c r="AJ1007" t="s">
        <v>26</v>
      </c>
      <c r="AK1007" t="s">
        <v>26</v>
      </c>
      <c r="AL1007" t="s">
        <v>26</v>
      </c>
      <c r="AM1007" t="s">
        <v>26</v>
      </c>
      <c r="AN1007" t="s">
        <v>26</v>
      </c>
      <c r="AO1007" s="25" t="s">
        <v>68</v>
      </c>
      <c r="AP1007" s="23" t="s">
        <v>69</v>
      </c>
      <c r="AQ1007" s="23" t="s">
        <v>30</v>
      </c>
      <c r="AR1007" s="23" t="s">
        <v>2566</v>
      </c>
      <c r="AS1007" s="25">
        <v>31128</v>
      </c>
      <c r="AT1007" t="s">
        <v>26</v>
      </c>
      <c r="AU1007" t="s">
        <v>23561</v>
      </c>
    </row>
    <row r="1008" spans="1:47" ht="26.25" x14ac:dyDescent="0.4">
      <c r="A1008" s="23" t="s">
        <v>2567</v>
      </c>
      <c r="B1008" t="s">
        <v>26</v>
      </c>
      <c r="C1008" s="23" t="s">
        <v>1774</v>
      </c>
      <c r="D1008" s="23" t="s">
        <v>22258</v>
      </c>
      <c r="E1008" s="23" t="s">
        <v>42</v>
      </c>
      <c r="F1008" s="25" t="s">
        <v>2568</v>
      </c>
      <c r="G1008" t="s">
        <v>26</v>
      </c>
      <c r="H1008" t="s">
        <v>26</v>
      </c>
      <c r="I1008" s="24">
        <v>35674</v>
      </c>
      <c r="J1008" s="24">
        <v>41214</v>
      </c>
      <c r="K1008" t="s">
        <v>26</v>
      </c>
      <c r="L1008" s="25" t="s">
        <v>68</v>
      </c>
      <c r="M1008" s="24">
        <v>35674</v>
      </c>
      <c r="N1008" s="24">
        <v>38412</v>
      </c>
      <c r="O1008" t="s">
        <v>26</v>
      </c>
      <c r="P1008" s="24">
        <v>35674</v>
      </c>
      <c r="Q1008" s="24">
        <v>41214</v>
      </c>
      <c r="R1008" t="s">
        <v>26</v>
      </c>
      <c r="S1008" t="s">
        <v>26</v>
      </c>
      <c r="T1008" t="s">
        <v>26</v>
      </c>
      <c r="U1008" t="s">
        <v>26</v>
      </c>
      <c r="V1008" t="s">
        <v>26</v>
      </c>
      <c r="W1008" s="24">
        <v>35674</v>
      </c>
      <c r="X1008" s="24">
        <v>41214</v>
      </c>
      <c r="Y1008" t="s">
        <v>26</v>
      </c>
      <c r="Z1008" s="24">
        <v>35674</v>
      </c>
      <c r="AA1008" s="24">
        <v>41214</v>
      </c>
      <c r="AB1008" t="s">
        <v>26</v>
      </c>
      <c r="AC1008" s="24">
        <v>35674</v>
      </c>
      <c r="AD1008" s="24">
        <v>41183</v>
      </c>
      <c r="AE1008" t="s">
        <v>26</v>
      </c>
      <c r="AF1008" t="s">
        <v>26</v>
      </c>
      <c r="AG1008" t="s">
        <v>26</v>
      </c>
      <c r="AH1008" t="s">
        <v>26</v>
      </c>
      <c r="AI1008" t="s">
        <v>26</v>
      </c>
      <c r="AJ1008" t="s">
        <v>26</v>
      </c>
      <c r="AK1008" t="s">
        <v>26</v>
      </c>
      <c r="AL1008" t="s">
        <v>26</v>
      </c>
      <c r="AM1008" t="s">
        <v>26</v>
      </c>
      <c r="AN1008" t="s">
        <v>26</v>
      </c>
      <c r="AO1008" s="25" t="s">
        <v>68</v>
      </c>
      <c r="AP1008" s="23" t="s">
        <v>69</v>
      </c>
      <c r="AQ1008" s="23" t="s">
        <v>30</v>
      </c>
      <c r="AR1008" s="23" t="s">
        <v>450</v>
      </c>
      <c r="AS1008" s="25">
        <v>48488</v>
      </c>
      <c r="AT1008" t="s">
        <v>26</v>
      </c>
      <c r="AU1008" t="s">
        <v>23562</v>
      </c>
    </row>
    <row r="1009" spans="1:47" ht="39.4" x14ac:dyDescent="0.4">
      <c r="A1009" s="23" t="s">
        <v>2569</v>
      </c>
      <c r="B1009" t="s">
        <v>26</v>
      </c>
      <c r="C1009" s="23" t="s">
        <v>803</v>
      </c>
      <c r="D1009" s="23" t="s">
        <v>22499</v>
      </c>
      <c r="E1009" s="23" t="s">
        <v>711</v>
      </c>
      <c r="F1009" s="25" t="s">
        <v>2570</v>
      </c>
      <c r="G1009" s="25" t="s">
        <v>2571</v>
      </c>
      <c r="H1009" t="s">
        <v>26</v>
      </c>
      <c r="I1009" s="24">
        <v>35977</v>
      </c>
      <c r="J1009" s="24">
        <v>42186</v>
      </c>
      <c r="K1009" t="s">
        <v>26</v>
      </c>
      <c r="L1009" s="25" t="s">
        <v>68</v>
      </c>
      <c r="M1009" s="24">
        <v>35977</v>
      </c>
      <c r="N1009" s="24">
        <v>37865</v>
      </c>
      <c r="O1009" t="s">
        <v>26</v>
      </c>
      <c r="P1009" s="24">
        <v>35977</v>
      </c>
      <c r="Q1009" s="24">
        <v>42186</v>
      </c>
      <c r="R1009" t="s">
        <v>26</v>
      </c>
      <c r="S1009" t="s">
        <v>26</v>
      </c>
      <c r="T1009" t="s">
        <v>26</v>
      </c>
      <c r="U1009" t="s">
        <v>26</v>
      </c>
      <c r="V1009" t="s">
        <v>26</v>
      </c>
      <c r="W1009" s="24">
        <v>35977</v>
      </c>
      <c r="X1009" s="24">
        <v>42552</v>
      </c>
      <c r="Y1009" t="s">
        <v>26</v>
      </c>
      <c r="Z1009" s="24">
        <v>35977</v>
      </c>
      <c r="AA1009" s="24">
        <v>42552</v>
      </c>
      <c r="AB1009" t="s">
        <v>26</v>
      </c>
      <c r="AC1009" s="24">
        <v>35977</v>
      </c>
      <c r="AD1009" s="24">
        <v>42552</v>
      </c>
      <c r="AE1009" t="s">
        <v>26</v>
      </c>
      <c r="AF1009" t="s">
        <v>26</v>
      </c>
      <c r="AG1009" t="s">
        <v>26</v>
      </c>
      <c r="AH1009" t="s">
        <v>26</v>
      </c>
      <c r="AI1009" t="s">
        <v>26</v>
      </c>
      <c r="AJ1009" t="s">
        <v>26</v>
      </c>
      <c r="AK1009" t="s">
        <v>26</v>
      </c>
      <c r="AL1009" t="s">
        <v>26</v>
      </c>
      <c r="AM1009" t="s">
        <v>26</v>
      </c>
      <c r="AN1009" t="s">
        <v>26</v>
      </c>
      <c r="AO1009" s="25" t="s">
        <v>68</v>
      </c>
      <c r="AP1009" s="23" t="s">
        <v>69</v>
      </c>
      <c r="AQ1009" s="23" t="s">
        <v>30</v>
      </c>
      <c r="AR1009" s="23" t="s">
        <v>2572</v>
      </c>
      <c r="AS1009" s="25">
        <v>40950</v>
      </c>
      <c r="AT1009" t="s">
        <v>26</v>
      </c>
      <c r="AU1009" t="s">
        <v>23563</v>
      </c>
    </row>
    <row r="1010" spans="1:47" ht="26.25" x14ac:dyDescent="0.4">
      <c r="A1010" s="23" t="s">
        <v>2573</v>
      </c>
      <c r="B1010" t="s">
        <v>26</v>
      </c>
      <c r="C1010" s="23" t="s">
        <v>803</v>
      </c>
      <c r="D1010" s="23" t="s">
        <v>22499</v>
      </c>
      <c r="E1010" s="23" t="s">
        <v>711</v>
      </c>
      <c r="F1010" s="25" t="s">
        <v>2574</v>
      </c>
      <c r="G1010" s="25" t="s">
        <v>2575</v>
      </c>
      <c r="H1010" t="s">
        <v>26</v>
      </c>
      <c r="I1010" s="24">
        <v>36039</v>
      </c>
      <c r="J1010" s="24">
        <v>42278</v>
      </c>
      <c r="K1010" t="s">
        <v>26</v>
      </c>
      <c r="L1010" s="25" t="s">
        <v>68</v>
      </c>
      <c r="M1010" s="24">
        <v>36039</v>
      </c>
      <c r="N1010" s="24">
        <v>37742</v>
      </c>
      <c r="O1010" t="s">
        <v>26</v>
      </c>
      <c r="P1010" s="24">
        <v>36039</v>
      </c>
      <c r="Q1010" s="24">
        <v>42278</v>
      </c>
      <c r="R1010" t="s">
        <v>26</v>
      </c>
      <c r="S1010" t="s">
        <v>26</v>
      </c>
      <c r="T1010" t="s">
        <v>26</v>
      </c>
      <c r="U1010" t="s">
        <v>26</v>
      </c>
      <c r="V1010" t="s">
        <v>26</v>
      </c>
      <c r="W1010" s="24">
        <v>36039</v>
      </c>
      <c r="X1010" s="24">
        <v>42552</v>
      </c>
      <c r="Y1010" t="s">
        <v>26</v>
      </c>
      <c r="Z1010" s="24">
        <v>36039</v>
      </c>
      <c r="AA1010" s="24">
        <v>42552</v>
      </c>
      <c r="AB1010" t="s">
        <v>26</v>
      </c>
      <c r="AC1010" s="24">
        <v>36039</v>
      </c>
      <c r="AD1010" s="24">
        <v>42552</v>
      </c>
      <c r="AE1010" t="s">
        <v>26</v>
      </c>
      <c r="AF1010" t="s">
        <v>26</v>
      </c>
      <c r="AG1010" t="s">
        <v>26</v>
      </c>
      <c r="AH1010" t="s">
        <v>26</v>
      </c>
      <c r="AI1010" t="s">
        <v>26</v>
      </c>
      <c r="AJ1010" t="s">
        <v>26</v>
      </c>
      <c r="AK1010" t="s">
        <v>26</v>
      </c>
      <c r="AL1010" t="s">
        <v>26</v>
      </c>
      <c r="AM1010" t="s">
        <v>26</v>
      </c>
      <c r="AN1010" t="s">
        <v>26</v>
      </c>
      <c r="AO1010" s="25" t="s">
        <v>68</v>
      </c>
      <c r="AP1010" s="23" t="s">
        <v>69</v>
      </c>
      <c r="AQ1010" s="23" t="s">
        <v>30</v>
      </c>
      <c r="AR1010" s="23" t="s">
        <v>1086</v>
      </c>
      <c r="AS1010" s="25">
        <v>40952</v>
      </c>
      <c r="AT1010" t="s">
        <v>26</v>
      </c>
      <c r="AU1010" t="s">
        <v>23564</v>
      </c>
    </row>
    <row r="1011" spans="1:47" ht="26.25" x14ac:dyDescent="0.4">
      <c r="A1011" s="23" t="s">
        <v>2576</v>
      </c>
      <c r="B1011" t="s">
        <v>26</v>
      </c>
      <c r="C1011" s="23" t="s">
        <v>2577</v>
      </c>
      <c r="D1011" s="23" t="s">
        <v>23565</v>
      </c>
      <c r="E1011" s="23" t="s">
        <v>42</v>
      </c>
      <c r="F1011" s="25" t="s">
        <v>2578</v>
      </c>
      <c r="G1011" t="s">
        <v>26</v>
      </c>
      <c r="H1011" t="s">
        <v>26</v>
      </c>
      <c r="I1011" s="24">
        <v>38808</v>
      </c>
      <c r="J1011" s="24">
        <v>41609</v>
      </c>
      <c r="K1011" t="s">
        <v>26</v>
      </c>
      <c r="L1011" s="25" t="s">
        <v>68</v>
      </c>
      <c r="M1011" s="24">
        <v>38808</v>
      </c>
      <c r="N1011" s="24">
        <v>41609</v>
      </c>
      <c r="O1011" t="s">
        <v>26</v>
      </c>
      <c r="P1011" s="24">
        <v>38808</v>
      </c>
      <c r="Q1011" s="24">
        <v>41609</v>
      </c>
      <c r="R1011" t="s">
        <v>26</v>
      </c>
      <c r="S1011" t="s">
        <v>26</v>
      </c>
      <c r="T1011" t="s">
        <v>26</v>
      </c>
      <c r="U1011" t="s">
        <v>26</v>
      </c>
      <c r="V1011" t="s">
        <v>26</v>
      </c>
      <c r="W1011" s="24">
        <v>38808</v>
      </c>
      <c r="X1011" s="24">
        <v>41609</v>
      </c>
      <c r="Y1011" t="s">
        <v>26</v>
      </c>
      <c r="Z1011" s="24">
        <v>38808</v>
      </c>
      <c r="AA1011" s="24">
        <v>41609</v>
      </c>
      <c r="AB1011" t="s">
        <v>26</v>
      </c>
      <c r="AC1011" s="24">
        <v>38808</v>
      </c>
      <c r="AD1011" s="24">
        <v>41609</v>
      </c>
      <c r="AE1011" t="s">
        <v>26</v>
      </c>
      <c r="AF1011" t="s">
        <v>26</v>
      </c>
      <c r="AG1011" t="s">
        <v>26</v>
      </c>
      <c r="AH1011" t="s">
        <v>26</v>
      </c>
      <c r="AI1011" t="s">
        <v>26</v>
      </c>
      <c r="AJ1011" t="s">
        <v>26</v>
      </c>
      <c r="AK1011" t="s">
        <v>26</v>
      </c>
      <c r="AL1011" t="s">
        <v>26</v>
      </c>
      <c r="AM1011" t="s">
        <v>26</v>
      </c>
      <c r="AN1011" t="s">
        <v>26</v>
      </c>
      <c r="AO1011" s="25" t="s">
        <v>68</v>
      </c>
      <c r="AP1011" s="23" t="s">
        <v>69</v>
      </c>
      <c r="AQ1011" s="23" t="s">
        <v>30</v>
      </c>
      <c r="AR1011" s="23" t="s">
        <v>2579</v>
      </c>
      <c r="AS1011" s="25">
        <v>25766</v>
      </c>
      <c r="AT1011" t="s">
        <v>26</v>
      </c>
      <c r="AU1011" t="s">
        <v>23566</v>
      </c>
    </row>
    <row r="1012" spans="1:47" ht="26.25" x14ac:dyDescent="0.4">
      <c r="A1012" s="23" t="s">
        <v>2580</v>
      </c>
      <c r="B1012" t="s">
        <v>26</v>
      </c>
      <c r="C1012" s="23" t="s">
        <v>73</v>
      </c>
      <c r="D1012" s="23" t="s">
        <v>22215</v>
      </c>
      <c r="E1012" s="23" t="s">
        <v>74</v>
      </c>
      <c r="F1012" s="25" t="s">
        <v>2581</v>
      </c>
      <c r="G1012" s="25" t="s">
        <v>2582</v>
      </c>
      <c r="H1012" t="s">
        <v>26</v>
      </c>
      <c r="I1012" t="s">
        <v>26</v>
      </c>
      <c r="J1012" t="s">
        <v>26</v>
      </c>
      <c r="K1012" t="s">
        <v>26</v>
      </c>
      <c r="L1012" s="25" t="s">
        <v>68</v>
      </c>
      <c r="M1012" t="s">
        <v>26</v>
      </c>
      <c r="N1012" t="s">
        <v>26</v>
      </c>
      <c r="O1012" t="s">
        <v>26</v>
      </c>
      <c r="P1012" t="s">
        <v>26</v>
      </c>
      <c r="Q1012" t="s">
        <v>26</v>
      </c>
      <c r="R1012" t="s">
        <v>26</v>
      </c>
      <c r="S1012" t="s">
        <v>26</v>
      </c>
      <c r="T1012" t="s">
        <v>26</v>
      </c>
      <c r="U1012" t="s">
        <v>26</v>
      </c>
      <c r="V1012" t="s">
        <v>26</v>
      </c>
      <c r="W1012" s="24">
        <v>42370</v>
      </c>
      <c r="X1012" s="25" t="s">
        <v>77</v>
      </c>
      <c r="Y1012" t="s">
        <v>26</v>
      </c>
      <c r="Z1012" s="24">
        <v>42370</v>
      </c>
      <c r="AA1012" s="25" t="s">
        <v>77</v>
      </c>
      <c r="AB1012" t="s">
        <v>26</v>
      </c>
      <c r="AC1012" s="24">
        <v>42370</v>
      </c>
      <c r="AD1012" s="25" t="s">
        <v>77</v>
      </c>
      <c r="AE1012" t="s">
        <v>26</v>
      </c>
      <c r="AF1012" t="s">
        <v>26</v>
      </c>
      <c r="AG1012" t="s">
        <v>26</v>
      </c>
      <c r="AH1012" t="s">
        <v>26</v>
      </c>
      <c r="AI1012" t="s">
        <v>26</v>
      </c>
      <c r="AJ1012" t="s">
        <v>26</v>
      </c>
      <c r="AK1012" t="s">
        <v>26</v>
      </c>
      <c r="AL1012" t="s">
        <v>26</v>
      </c>
      <c r="AM1012" t="s">
        <v>26</v>
      </c>
      <c r="AN1012" t="s">
        <v>26</v>
      </c>
      <c r="AO1012" s="25" t="s">
        <v>68</v>
      </c>
      <c r="AP1012" s="23" t="s">
        <v>69</v>
      </c>
      <c r="AQ1012" s="23" t="s">
        <v>2583</v>
      </c>
      <c r="AR1012" s="23" t="s">
        <v>2584</v>
      </c>
      <c r="AS1012" s="25">
        <v>2044087</v>
      </c>
      <c r="AT1012" t="s">
        <v>26</v>
      </c>
      <c r="AU1012" t="s">
        <v>23567</v>
      </c>
    </row>
    <row r="1013" spans="1:47" ht="13.15" x14ac:dyDescent="0.4">
      <c r="A1013" s="23" t="s">
        <v>2585</v>
      </c>
      <c r="B1013" t="s">
        <v>26</v>
      </c>
      <c r="C1013" s="23" t="s">
        <v>146</v>
      </c>
      <c r="D1013" s="23" t="s">
        <v>22174</v>
      </c>
      <c r="E1013" s="23" t="s">
        <v>60</v>
      </c>
      <c r="F1013" t="s">
        <v>26</v>
      </c>
      <c r="G1013" t="s">
        <v>26</v>
      </c>
      <c r="H1013" t="s">
        <v>26</v>
      </c>
      <c r="I1013" t="s">
        <v>26</v>
      </c>
      <c r="J1013" t="s">
        <v>26</v>
      </c>
      <c r="K1013" t="s">
        <v>26</v>
      </c>
      <c r="L1013" s="25" t="s">
        <v>28</v>
      </c>
      <c r="M1013" t="s">
        <v>26</v>
      </c>
      <c r="N1013" t="s">
        <v>26</v>
      </c>
      <c r="O1013" t="s">
        <v>26</v>
      </c>
      <c r="P1013" t="s">
        <v>26</v>
      </c>
      <c r="Q1013" t="s">
        <v>26</v>
      </c>
      <c r="R1013" t="s">
        <v>26</v>
      </c>
      <c r="S1013" t="s">
        <v>26</v>
      </c>
      <c r="T1013" t="s">
        <v>26</v>
      </c>
      <c r="U1013" t="s">
        <v>26</v>
      </c>
      <c r="V1013" t="s">
        <v>26</v>
      </c>
      <c r="W1013" s="24">
        <v>42005</v>
      </c>
      <c r="X1013" s="24">
        <v>42005</v>
      </c>
      <c r="Y1013" t="s">
        <v>26</v>
      </c>
      <c r="Z1013" s="24">
        <v>42005</v>
      </c>
      <c r="AA1013" s="24">
        <v>42005</v>
      </c>
      <c r="AB1013" t="s">
        <v>26</v>
      </c>
      <c r="AC1013" t="s">
        <v>26</v>
      </c>
      <c r="AD1013" t="s">
        <v>26</v>
      </c>
      <c r="AE1013" t="s">
        <v>26</v>
      </c>
      <c r="AF1013" t="s">
        <v>26</v>
      </c>
      <c r="AG1013" t="s">
        <v>26</v>
      </c>
      <c r="AH1013" t="s">
        <v>26</v>
      </c>
      <c r="AI1013" t="s">
        <v>26</v>
      </c>
      <c r="AJ1013" t="s">
        <v>26</v>
      </c>
      <c r="AK1013" t="s">
        <v>26</v>
      </c>
      <c r="AL1013" t="s">
        <v>26</v>
      </c>
      <c r="AM1013" t="s">
        <v>26</v>
      </c>
      <c r="AN1013" t="s">
        <v>26</v>
      </c>
      <c r="AO1013" s="25" t="s">
        <v>28</v>
      </c>
      <c r="AP1013" s="23" t="s">
        <v>29</v>
      </c>
      <c r="AQ1013" s="23" t="s">
        <v>30</v>
      </c>
      <c r="AR1013" s="23" t="s">
        <v>147</v>
      </c>
      <c r="AS1013" s="25">
        <v>5488569</v>
      </c>
      <c r="AT1013" s="23" t="s">
        <v>22181</v>
      </c>
      <c r="AU1013" t="s">
        <v>23568</v>
      </c>
    </row>
    <row r="1014" spans="1:47" ht="13.15" x14ac:dyDescent="0.4">
      <c r="A1014" s="23" t="s">
        <v>23569</v>
      </c>
      <c r="B1014" t="s">
        <v>26</v>
      </c>
      <c r="C1014" s="23" t="s">
        <v>332</v>
      </c>
      <c r="D1014" s="23" t="s">
        <v>22545</v>
      </c>
      <c r="E1014" s="23" t="s">
        <v>42</v>
      </c>
      <c r="F1014" t="s">
        <v>26</v>
      </c>
      <c r="G1014" t="s">
        <v>26</v>
      </c>
      <c r="H1014" t="s">
        <v>26</v>
      </c>
      <c r="I1014" s="25" t="s">
        <v>295</v>
      </c>
      <c r="J1014" s="25" t="s">
        <v>295</v>
      </c>
      <c r="K1014" t="s">
        <v>26</v>
      </c>
      <c r="L1014" s="25" t="s">
        <v>28</v>
      </c>
      <c r="M1014" s="25" t="s">
        <v>295</v>
      </c>
      <c r="N1014" s="25" t="s">
        <v>295</v>
      </c>
      <c r="O1014" t="s">
        <v>26</v>
      </c>
      <c r="P1014" t="s">
        <v>26</v>
      </c>
      <c r="Q1014" t="s">
        <v>26</v>
      </c>
      <c r="R1014" t="s">
        <v>26</v>
      </c>
      <c r="S1014" t="s">
        <v>26</v>
      </c>
      <c r="T1014" t="s">
        <v>26</v>
      </c>
      <c r="U1014" t="s">
        <v>26</v>
      </c>
      <c r="V1014" t="s">
        <v>26</v>
      </c>
      <c r="W1014" s="25" t="s">
        <v>295</v>
      </c>
      <c r="X1014" s="25" t="s">
        <v>295</v>
      </c>
      <c r="Y1014" t="s">
        <v>26</v>
      </c>
      <c r="Z1014" s="25" t="s">
        <v>295</v>
      </c>
      <c r="AA1014" s="25" t="s">
        <v>295</v>
      </c>
      <c r="AB1014" t="s">
        <v>26</v>
      </c>
      <c r="AC1014" s="25" t="s">
        <v>295</v>
      </c>
      <c r="AD1014" s="25" t="s">
        <v>295</v>
      </c>
      <c r="AE1014" t="s">
        <v>26</v>
      </c>
      <c r="AF1014" t="s">
        <v>26</v>
      </c>
      <c r="AG1014" t="s">
        <v>26</v>
      </c>
      <c r="AH1014" t="s">
        <v>26</v>
      </c>
      <c r="AI1014" t="s">
        <v>26</v>
      </c>
      <c r="AJ1014" t="s">
        <v>26</v>
      </c>
      <c r="AK1014" t="s">
        <v>26</v>
      </c>
      <c r="AL1014" t="s">
        <v>26</v>
      </c>
      <c r="AM1014" t="s">
        <v>26</v>
      </c>
      <c r="AN1014" t="s">
        <v>26</v>
      </c>
      <c r="AO1014" s="25" t="s">
        <v>28</v>
      </c>
      <c r="AP1014" s="23" t="s">
        <v>279</v>
      </c>
      <c r="AQ1014" s="23" t="s">
        <v>30</v>
      </c>
      <c r="AR1014" s="23" t="s">
        <v>46</v>
      </c>
      <c r="AS1014" s="25">
        <v>6009005</v>
      </c>
      <c r="AT1014" t="s">
        <v>26</v>
      </c>
      <c r="AU1014" t="s">
        <v>23570</v>
      </c>
    </row>
    <row r="1015" spans="1:47" ht="26.25" x14ac:dyDescent="0.4">
      <c r="A1015" s="23" t="s">
        <v>2586</v>
      </c>
      <c r="B1015" t="s">
        <v>26</v>
      </c>
      <c r="C1015" s="23" t="s">
        <v>302</v>
      </c>
      <c r="D1015" s="23" t="s">
        <v>22286</v>
      </c>
      <c r="E1015" s="23" t="s">
        <v>42</v>
      </c>
      <c r="F1015" t="s">
        <v>26</v>
      </c>
      <c r="G1015" t="s">
        <v>26</v>
      </c>
      <c r="H1015" t="s">
        <v>26</v>
      </c>
      <c r="I1015" t="s">
        <v>26</v>
      </c>
      <c r="J1015" t="s">
        <v>26</v>
      </c>
      <c r="K1015" t="s">
        <v>26</v>
      </c>
      <c r="L1015" s="25" t="s">
        <v>28</v>
      </c>
      <c r="M1015" t="s">
        <v>26</v>
      </c>
      <c r="N1015" t="s">
        <v>26</v>
      </c>
      <c r="O1015" t="s">
        <v>26</v>
      </c>
      <c r="P1015" t="s">
        <v>26</v>
      </c>
      <c r="Q1015" t="s">
        <v>26</v>
      </c>
      <c r="R1015" t="s">
        <v>26</v>
      </c>
      <c r="S1015" t="s">
        <v>26</v>
      </c>
      <c r="T1015" t="s">
        <v>26</v>
      </c>
      <c r="U1015" t="s">
        <v>26</v>
      </c>
      <c r="V1015" t="s">
        <v>26</v>
      </c>
      <c r="W1015" s="24">
        <v>39814</v>
      </c>
      <c r="X1015" s="24">
        <v>39814</v>
      </c>
      <c r="Y1015" t="s">
        <v>26</v>
      </c>
      <c r="Z1015" s="24">
        <v>39814</v>
      </c>
      <c r="AA1015" s="24">
        <v>39814</v>
      </c>
      <c r="AB1015" t="s">
        <v>26</v>
      </c>
      <c r="AC1015" t="s">
        <v>26</v>
      </c>
      <c r="AD1015" t="s">
        <v>26</v>
      </c>
      <c r="AE1015" t="s">
        <v>26</v>
      </c>
      <c r="AF1015" t="s">
        <v>26</v>
      </c>
      <c r="AG1015" t="s">
        <v>26</v>
      </c>
      <c r="AH1015" t="s">
        <v>26</v>
      </c>
      <c r="AI1015" t="s">
        <v>26</v>
      </c>
      <c r="AJ1015" t="s">
        <v>26</v>
      </c>
      <c r="AK1015" t="s">
        <v>26</v>
      </c>
      <c r="AL1015" t="s">
        <v>26</v>
      </c>
      <c r="AM1015" t="s">
        <v>26</v>
      </c>
      <c r="AN1015" t="s">
        <v>26</v>
      </c>
      <c r="AO1015" s="25" t="s">
        <v>28</v>
      </c>
      <c r="AP1015" s="23" t="s">
        <v>29</v>
      </c>
      <c r="AQ1015" s="23" t="s">
        <v>30</v>
      </c>
      <c r="AR1015" s="23" t="s">
        <v>245</v>
      </c>
      <c r="AS1015" s="25">
        <v>5488559</v>
      </c>
      <c r="AT1015" s="23" t="s">
        <v>22181</v>
      </c>
      <c r="AU1015" t="s">
        <v>23571</v>
      </c>
    </row>
    <row r="1016" spans="1:47" ht="26.25" x14ac:dyDescent="0.4">
      <c r="A1016" s="23" t="s">
        <v>2587</v>
      </c>
      <c r="B1016" t="s">
        <v>26</v>
      </c>
      <c r="C1016" s="23" t="s">
        <v>2588</v>
      </c>
      <c r="D1016" s="23" t="s">
        <v>22174</v>
      </c>
      <c r="E1016" s="23" t="s">
        <v>60</v>
      </c>
      <c r="F1016" s="25" t="s">
        <v>2589</v>
      </c>
      <c r="G1016" t="s">
        <v>26</v>
      </c>
      <c r="H1016" t="s">
        <v>26</v>
      </c>
      <c r="I1016" s="24">
        <v>41640</v>
      </c>
      <c r="J1016" s="25" t="s">
        <v>77</v>
      </c>
      <c r="K1016" t="s">
        <v>26</v>
      </c>
      <c r="L1016" s="25" t="s">
        <v>28</v>
      </c>
      <c r="M1016" s="24">
        <v>41640</v>
      </c>
      <c r="N1016" s="25" t="s">
        <v>77</v>
      </c>
      <c r="O1016" t="s">
        <v>26</v>
      </c>
      <c r="P1016" s="24">
        <v>41640</v>
      </c>
      <c r="Q1016" s="25" t="s">
        <v>77</v>
      </c>
      <c r="R1016" t="s">
        <v>26</v>
      </c>
      <c r="S1016" t="s">
        <v>26</v>
      </c>
      <c r="T1016" t="s">
        <v>26</v>
      </c>
      <c r="U1016" t="s">
        <v>26</v>
      </c>
      <c r="V1016" t="s">
        <v>26</v>
      </c>
      <c r="W1016" s="24">
        <v>41640</v>
      </c>
      <c r="X1016" s="25" t="s">
        <v>77</v>
      </c>
      <c r="Y1016" t="s">
        <v>26</v>
      </c>
      <c r="Z1016" s="24">
        <v>41640</v>
      </c>
      <c r="AA1016" s="25" t="s">
        <v>77</v>
      </c>
      <c r="AB1016" t="s">
        <v>26</v>
      </c>
      <c r="AC1016" s="24">
        <v>41640</v>
      </c>
      <c r="AD1016" s="25" t="s">
        <v>77</v>
      </c>
      <c r="AE1016" t="s">
        <v>26</v>
      </c>
      <c r="AF1016" t="s">
        <v>26</v>
      </c>
      <c r="AG1016" t="s">
        <v>26</v>
      </c>
      <c r="AH1016" t="s">
        <v>26</v>
      </c>
      <c r="AI1016" t="s">
        <v>26</v>
      </c>
      <c r="AJ1016" t="s">
        <v>26</v>
      </c>
      <c r="AK1016" t="s">
        <v>26</v>
      </c>
      <c r="AL1016" t="s">
        <v>26</v>
      </c>
      <c r="AM1016" t="s">
        <v>26</v>
      </c>
      <c r="AN1016" t="s">
        <v>26</v>
      </c>
      <c r="AO1016" s="25" t="s">
        <v>28</v>
      </c>
      <c r="AP1016" s="23" t="s">
        <v>112</v>
      </c>
      <c r="AQ1016" s="23" t="s">
        <v>30</v>
      </c>
      <c r="AR1016" s="23" t="s">
        <v>2590</v>
      </c>
      <c r="AS1016" s="25">
        <v>2032228</v>
      </c>
      <c r="AT1016" t="s">
        <v>26</v>
      </c>
      <c r="AU1016" t="s">
        <v>23572</v>
      </c>
    </row>
    <row r="1017" spans="1:47" ht="26.25" x14ac:dyDescent="0.4">
      <c r="A1017" s="23" t="s">
        <v>2591</v>
      </c>
      <c r="B1017" t="s">
        <v>26</v>
      </c>
      <c r="C1017" s="23" t="s">
        <v>73</v>
      </c>
      <c r="D1017" s="23" t="s">
        <v>22215</v>
      </c>
      <c r="E1017" s="23" t="s">
        <v>74</v>
      </c>
      <c r="F1017" s="25" t="s">
        <v>2592</v>
      </c>
      <c r="G1017" s="25" t="s">
        <v>2593</v>
      </c>
      <c r="H1017" t="s">
        <v>26</v>
      </c>
      <c r="I1017" s="24">
        <v>36220</v>
      </c>
      <c r="J1017" s="25" t="s">
        <v>77</v>
      </c>
      <c r="K1017" s="25" t="s">
        <v>604</v>
      </c>
      <c r="L1017" s="25" t="s">
        <v>68</v>
      </c>
      <c r="M1017" s="24">
        <v>38139</v>
      </c>
      <c r="N1017" s="24">
        <v>42795</v>
      </c>
      <c r="O1017" t="s">
        <v>26</v>
      </c>
      <c r="P1017" s="24">
        <v>36220</v>
      </c>
      <c r="Q1017" s="25" t="s">
        <v>77</v>
      </c>
      <c r="R1017" s="25" t="s">
        <v>604</v>
      </c>
      <c r="S1017" t="s">
        <v>26</v>
      </c>
      <c r="T1017" t="s">
        <v>26</v>
      </c>
      <c r="U1017" t="s">
        <v>26</v>
      </c>
      <c r="V1017" s="25">
        <v>365</v>
      </c>
      <c r="W1017" s="24">
        <v>36220</v>
      </c>
      <c r="X1017" s="25" t="s">
        <v>77</v>
      </c>
      <c r="Y1017" s="25" t="s">
        <v>604</v>
      </c>
      <c r="Z1017" s="24">
        <v>36220</v>
      </c>
      <c r="AA1017" s="25" t="s">
        <v>77</v>
      </c>
      <c r="AB1017" s="25" t="s">
        <v>604</v>
      </c>
      <c r="AC1017" s="24">
        <v>37591</v>
      </c>
      <c r="AD1017" s="25" t="s">
        <v>77</v>
      </c>
      <c r="AE1017" t="s">
        <v>26</v>
      </c>
      <c r="AF1017" t="s">
        <v>26</v>
      </c>
      <c r="AG1017" t="s">
        <v>26</v>
      </c>
      <c r="AH1017" t="s">
        <v>26</v>
      </c>
      <c r="AI1017" t="s">
        <v>26</v>
      </c>
      <c r="AJ1017" t="s">
        <v>26</v>
      </c>
      <c r="AK1017" t="s">
        <v>26</v>
      </c>
      <c r="AL1017" t="s">
        <v>26</v>
      </c>
      <c r="AM1017" t="s">
        <v>26</v>
      </c>
      <c r="AN1017" t="s">
        <v>26</v>
      </c>
      <c r="AO1017" s="25" t="s">
        <v>68</v>
      </c>
      <c r="AP1017" s="23" t="s">
        <v>69</v>
      </c>
      <c r="AQ1017" s="23" t="s">
        <v>2583</v>
      </c>
      <c r="AR1017" s="23" t="s">
        <v>46</v>
      </c>
      <c r="AS1017" s="25">
        <v>54082</v>
      </c>
      <c r="AT1017" t="s">
        <v>26</v>
      </c>
      <c r="AU1017" t="s">
        <v>23573</v>
      </c>
    </row>
    <row r="1018" spans="1:47" ht="26.25" x14ac:dyDescent="0.4">
      <c r="A1018" s="23" t="s">
        <v>2594</v>
      </c>
      <c r="B1018" t="s">
        <v>26</v>
      </c>
      <c r="C1018" s="23" t="s">
        <v>80</v>
      </c>
      <c r="D1018" s="23" t="s">
        <v>22184</v>
      </c>
      <c r="E1018" s="23" t="s">
        <v>60</v>
      </c>
      <c r="F1018" s="25" t="s">
        <v>2595</v>
      </c>
      <c r="G1018" s="25" t="s">
        <v>2596</v>
      </c>
      <c r="H1018" t="s">
        <v>26</v>
      </c>
      <c r="I1018" s="24">
        <v>35521</v>
      </c>
      <c r="J1018" s="24">
        <v>40817</v>
      </c>
      <c r="K1018" t="s">
        <v>26</v>
      </c>
      <c r="L1018" s="25" t="s">
        <v>68</v>
      </c>
      <c r="M1018" t="s">
        <v>26</v>
      </c>
      <c r="N1018" t="s">
        <v>26</v>
      </c>
      <c r="O1018" t="s">
        <v>26</v>
      </c>
      <c r="P1018" s="24">
        <v>35521</v>
      </c>
      <c r="Q1018" s="24">
        <v>40817</v>
      </c>
      <c r="R1018" t="s">
        <v>26</v>
      </c>
      <c r="S1018" t="s">
        <v>26</v>
      </c>
      <c r="T1018" t="s">
        <v>26</v>
      </c>
      <c r="U1018" t="s">
        <v>26</v>
      </c>
      <c r="V1018" t="s">
        <v>26</v>
      </c>
      <c r="W1018" s="24">
        <v>35521</v>
      </c>
      <c r="X1018" s="25" t="s">
        <v>77</v>
      </c>
      <c r="Y1018" t="s">
        <v>26</v>
      </c>
      <c r="Z1018" s="24">
        <v>35521</v>
      </c>
      <c r="AA1018" s="25" t="s">
        <v>77</v>
      </c>
      <c r="AB1018" t="s">
        <v>26</v>
      </c>
      <c r="AC1018" s="24">
        <v>35521</v>
      </c>
      <c r="AD1018" s="25" t="s">
        <v>77</v>
      </c>
      <c r="AE1018" t="s">
        <v>26</v>
      </c>
      <c r="AF1018" t="s">
        <v>26</v>
      </c>
      <c r="AG1018" t="s">
        <v>26</v>
      </c>
      <c r="AH1018" t="s">
        <v>26</v>
      </c>
      <c r="AI1018" t="s">
        <v>26</v>
      </c>
      <c r="AJ1018" t="s">
        <v>26</v>
      </c>
      <c r="AK1018" t="s">
        <v>26</v>
      </c>
      <c r="AL1018" t="s">
        <v>26</v>
      </c>
      <c r="AM1018" t="s">
        <v>26</v>
      </c>
      <c r="AN1018" t="s">
        <v>26</v>
      </c>
      <c r="AO1018" s="25" t="s">
        <v>68</v>
      </c>
      <c r="AP1018" s="23" t="s">
        <v>69</v>
      </c>
      <c r="AQ1018" s="23" t="s">
        <v>30</v>
      </c>
      <c r="AR1018" s="23" t="s">
        <v>2597</v>
      </c>
      <c r="AS1018" s="25">
        <v>54513</v>
      </c>
      <c r="AT1018" t="s">
        <v>26</v>
      </c>
      <c r="AU1018" t="s">
        <v>23574</v>
      </c>
    </row>
    <row r="1019" spans="1:47" ht="26.25" x14ac:dyDescent="0.4">
      <c r="A1019" s="23" t="s">
        <v>2598</v>
      </c>
      <c r="B1019" t="s">
        <v>26</v>
      </c>
      <c r="C1019" s="23" t="s">
        <v>23575</v>
      </c>
      <c r="D1019" t="s">
        <v>26</v>
      </c>
      <c r="E1019" s="23" t="s">
        <v>23576</v>
      </c>
      <c r="F1019" t="s">
        <v>26</v>
      </c>
      <c r="G1019" t="s">
        <v>26</v>
      </c>
      <c r="H1019" t="s">
        <v>26</v>
      </c>
      <c r="I1019" s="24">
        <v>39814</v>
      </c>
      <c r="J1019" s="24">
        <v>40544</v>
      </c>
      <c r="K1019" t="s">
        <v>26</v>
      </c>
      <c r="L1019" s="25" t="s">
        <v>28</v>
      </c>
      <c r="M1019" s="24">
        <v>39814</v>
      </c>
      <c r="N1019" s="24">
        <v>40544</v>
      </c>
      <c r="O1019" t="s">
        <v>26</v>
      </c>
      <c r="P1019" t="s">
        <v>26</v>
      </c>
      <c r="Q1019" t="s">
        <v>26</v>
      </c>
      <c r="R1019" t="s">
        <v>26</v>
      </c>
      <c r="S1019" s="24">
        <v>39814</v>
      </c>
      <c r="T1019" s="24">
        <v>40544</v>
      </c>
      <c r="U1019" t="s">
        <v>26</v>
      </c>
      <c r="V1019" t="s">
        <v>26</v>
      </c>
      <c r="W1019" s="24">
        <v>39814</v>
      </c>
      <c r="X1019" s="24">
        <v>40544</v>
      </c>
      <c r="Y1019" t="s">
        <v>26</v>
      </c>
      <c r="Z1019" s="24">
        <v>39814</v>
      </c>
      <c r="AA1019" s="24">
        <v>40544</v>
      </c>
      <c r="AB1019" t="s">
        <v>26</v>
      </c>
      <c r="AC1019" s="24">
        <v>39814</v>
      </c>
      <c r="AD1019" s="24">
        <v>40544</v>
      </c>
      <c r="AE1019" t="s">
        <v>26</v>
      </c>
      <c r="AF1019" s="24">
        <v>39814</v>
      </c>
      <c r="AG1019" s="24">
        <v>40544</v>
      </c>
      <c r="AH1019" t="s">
        <v>26</v>
      </c>
      <c r="AI1019" s="24">
        <v>39814</v>
      </c>
      <c r="AJ1019" s="24">
        <v>40544</v>
      </c>
      <c r="AK1019" t="s">
        <v>26</v>
      </c>
      <c r="AL1019" t="s">
        <v>26</v>
      </c>
      <c r="AM1019" t="s">
        <v>26</v>
      </c>
      <c r="AN1019" t="s">
        <v>26</v>
      </c>
      <c r="AO1019" s="25" t="s">
        <v>28</v>
      </c>
      <c r="AP1019" s="23" t="s">
        <v>43</v>
      </c>
      <c r="AQ1019" s="23" t="s">
        <v>30</v>
      </c>
      <c r="AR1019" s="23" t="s">
        <v>46</v>
      </c>
      <c r="AS1019" s="25">
        <v>6362743</v>
      </c>
      <c r="AT1019" t="s">
        <v>26</v>
      </c>
      <c r="AU1019" t="s">
        <v>23577</v>
      </c>
    </row>
    <row r="1020" spans="1:47" ht="26.25" x14ac:dyDescent="0.4">
      <c r="A1020" s="23" t="s">
        <v>2599</v>
      </c>
      <c r="B1020" t="s">
        <v>26</v>
      </c>
      <c r="C1020" s="23" t="s">
        <v>2600</v>
      </c>
      <c r="D1020" s="23" t="s">
        <v>23578</v>
      </c>
      <c r="E1020" s="23" t="s">
        <v>917</v>
      </c>
      <c r="F1020" s="25" t="s">
        <v>2601</v>
      </c>
      <c r="G1020" s="25" t="s">
        <v>2602</v>
      </c>
      <c r="H1020" t="s">
        <v>26</v>
      </c>
      <c r="I1020" s="24">
        <v>42736</v>
      </c>
      <c r="J1020" s="24">
        <v>43831</v>
      </c>
      <c r="K1020" t="s">
        <v>26</v>
      </c>
      <c r="L1020" s="25" t="s">
        <v>68</v>
      </c>
      <c r="M1020" t="s">
        <v>26</v>
      </c>
      <c r="N1020" t="s">
        <v>26</v>
      </c>
      <c r="O1020" t="s">
        <v>26</v>
      </c>
      <c r="P1020" s="24">
        <v>42736</v>
      </c>
      <c r="Q1020" s="24">
        <v>43831</v>
      </c>
      <c r="R1020" t="s">
        <v>26</v>
      </c>
      <c r="S1020" t="s">
        <v>26</v>
      </c>
      <c r="T1020" t="s">
        <v>26</v>
      </c>
      <c r="U1020" t="s">
        <v>26</v>
      </c>
      <c r="V1020" t="s">
        <v>26</v>
      </c>
      <c r="W1020" s="24">
        <v>42736</v>
      </c>
      <c r="X1020" s="24">
        <v>43831</v>
      </c>
      <c r="Y1020" t="s">
        <v>26</v>
      </c>
      <c r="Z1020" s="24">
        <v>42736</v>
      </c>
      <c r="AA1020" s="24">
        <v>43831</v>
      </c>
      <c r="AB1020" t="s">
        <v>26</v>
      </c>
      <c r="AC1020" s="24">
        <v>42736</v>
      </c>
      <c r="AD1020" s="24">
        <v>43831</v>
      </c>
      <c r="AE1020" t="s">
        <v>26</v>
      </c>
      <c r="AF1020" t="s">
        <v>26</v>
      </c>
      <c r="AG1020" t="s">
        <v>26</v>
      </c>
      <c r="AH1020" t="s">
        <v>26</v>
      </c>
      <c r="AI1020" t="s">
        <v>26</v>
      </c>
      <c r="AJ1020" t="s">
        <v>26</v>
      </c>
      <c r="AK1020" t="s">
        <v>26</v>
      </c>
      <c r="AL1020" t="s">
        <v>26</v>
      </c>
      <c r="AM1020" t="s">
        <v>26</v>
      </c>
      <c r="AN1020" t="s">
        <v>26</v>
      </c>
      <c r="AO1020" s="25" t="s">
        <v>68</v>
      </c>
      <c r="AP1020" s="23" t="s">
        <v>69</v>
      </c>
      <c r="AQ1020" s="23" t="s">
        <v>30</v>
      </c>
      <c r="AR1020" s="23" t="s">
        <v>46</v>
      </c>
      <c r="AS1020" s="25">
        <v>4914462</v>
      </c>
      <c r="AT1020" t="s">
        <v>26</v>
      </c>
      <c r="AU1020" t="s">
        <v>23579</v>
      </c>
    </row>
    <row r="1021" spans="1:47" ht="26.25" x14ac:dyDescent="0.4">
      <c r="A1021" s="23" t="s">
        <v>2603</v>
      </c>
      <c r="B1021" t="s">
        <v>26</v>
      </c>
      <c r="C1021" s="23" t="s">
        <v>23519</v>
      </c>
      <c r="D1021" s="23" t="s">
        <v>23520</v>
      </c>
      <c r="E1021" s="23" t="s">
        <v>42</v>
      </c>
      <c r="F1021" t="s">
        <v>26</v>
      </c>
      <c r="G1021" t="s">
        <v>26</v>
      </c>
      <c r="H1021" t="s">
        <v>26</v>
      </c>
      <c r="I1021" s="24">
        <v>27760</v>
      </c>
      <c r="J1021" s="24">
        <v>39814</v>
      </c>
      <c r="K1021" t="s">
        <v>26</v>
      </c>
      <c r="L1021" s="25" t="s">
        <v>28</v>
      </c>
      <c r="M1021" s="24">
        <v>27760</v>
      </c>
      <c r="N1021" s="24">
        <v>39814</v>
      </c>
      <c r="O1021" t="s">
        <v>26</v>
      </c>
      <c r="P1021" t="s">
        <v>26</v>
      </c>
      <c r="Q1021" t="s">
        <v>26</v>
      </c>
      <c r="R1021" t="s">
        <v>26</v>
      </c>
      <c r="S1021" s="24">
        <v>27760</v>
      </c>
      <c r="T1021" s="24">
        <v>39814</v>
      </c>
      <c r="U1021" t="s">
        <v>26</v>
      </c>
      <c r="V1021" t="s">
        <v>26</v>
      </c>
      <c r="W1021" s="24">
        <v>27760</v>
      </c>
      <c r="X1021" s="24">
        <v>39814</v>
      </c>
      <c r="Y1021" t="s">
        <v>26</v>
      </c>
      <c r="Z1021" s="24">
        <v>27760</v>
      </c>
      <c r="AA1021" s="24">
        <v>39814</v>
      </c>
      <c r="AB1021" t="s">
        <v>26</v>
      </c>
      <c r="AC1021" s="24">
        <v>27760</v>
      </c>
      <c r="AD1021" s="24">
        <v>39814</v>
      </c>
      <c r="AE1021" t="s">
        <v>26</v>
      </c>
      <c r="AF1021" s="24">
        <v>27760</v>
      </c>
      <c r="AG1021" s="24">
        <v>39814</v>
      </c>
      <c r="AH1021" t="s">
        <v>26</v>
      </c>
      <c r="AI1021" s="24">
        <v>27760</v>
      </c>
      <c r="AJ1021" s="24">
        <v>39814</v>
      </c>
      <c r="AK1021" t="s">
        <v>26</v>
      </c>
      <c r="AL1021" t="s">
        <v>26</v>
      </c>
      <c r="AM1021" t="s">
        <v>26</v>
      </c>
      <c r="AN1021" t="s">
        <v>26</v>
      </c>
      <c r="AO1021" s="25" t="s">
        <v>28</v>
      </c>
      <c r="AP1021" s="23" t="s">
        <v>43</v>
      </c>
      <c r="AQ1021" s="23" t="s">
        <v>30</v>
      </c>
      <c r="AR1021" s="23" t="s">
        <v>442</v>
      </c>
      <c r="AS1021" s="25">
        <v>6394502</v>
      </c>
      <c r="AT1021" t="s">
        <v>26</v>
      </c>
      <c r="AU1021" t="s">
        <v>23580</v>
      </c>
    </row>
    <row r="1022" spans="1:47" ht="13.15" x14ac:dyDescent="0.4">
      <c r="A1022" s="23" t="s">
        <v>2604</v>
      </c>
      <c r="B1022" t="s">
        <v>26</v>
      </c>
      <c r="C1022" s="23" t="s">
        <v>302</v>
      </c>
      <c r="D1022" s="23" t="s">
        <v>22286</v>
      </c>
      <c r="E1022" s="23" t="s">
        <v>42</v>
      </c>
      <c r="F1022" t="s">
        <v>26</v>
      </c>
      <c r="G1022" t="s">
        <v>26</v>
      </c>
      <c r="H1022" t="s">
        <v>26</v>
      </c>
      <c r="I1022" s="24">
        <v>42736</v>
      </c>
      <c r="J1022" s="24">
        <v>42736</v>
      </c>
      <c r="K1022" t="s">
        <v>26</v>
      </c>
      <c r="L1022" s="25" t="s">
        <v>28</v>
      </c>
      <c r="M1022" t="s">
        <v>26</v>
      </c>
      <c r="N1022" t="s">
        <v>26</v>
      </c>
      <c r="O1022" t="s">
        <v>26</v>
      </c>
      <c r="P1022" s="24">
        <v>42736</v>
      </c>
      <c r="Q1022" s="24">
        <v>42736</v>
      </c>
      <c r="R1022" t="s">
        <v>26</v>
      </c>
      <c r="S1022" t="s">
        <v>26</v>
      </c>
      <c r="T1022" t="s">
        <v>26</v>
      </c>
      <c r="U1022" t="s">
        <v>26</v>
      </c>
      <c r="V1022" t="s">
        <v>26</v>
      </c>
      <c r="W1022" s="24">
        <v>42736</v>
      </c>
      <c r="X1022" s="24">
        <v>42736</v>
      </c>
      <c r="Y1022" t="s">
        <v>26</v>
      </c>
      <c r="Z1022" s="24">
        <v>42736</v>
      </c>
      <c r="AA1022" s="24">
        <v>42736</v>
      </c>
      <c r="AB1022" t="s">
        <v>26</v>
      </c>
      <c r="AC1022" s="24">
        <v>42736</v>
      </c>
      <c r="AD1022" s="24">
        <v>42736</v>
      </c>
      <c r="AE1022" t="s">
        <v>26</v>
      </c>
      <c r="AF1022" t="s">
        <v>26</v>
      </c>
      <c r="AG1022" t="s">
        <v>26</v>
      </c>
      <c r="AH1022" t="s">
        <v>26</v>
      </c>
      <c r="AI1022" t="s">
        <v>26</v>
      </c>
      <c r="AJ1022" t="s">
        <v>26</v>
      </c>
      <c r="AK1022" t="s">
        <v>26</v>
      </c>
      <c r="AL1022" t="s">
        <v>26</v>
      </c>
      <c r="AM1022" t="s">
        <v>26</v>
      </c>
      <c r="AN1022" t="s">
        <v>26</v>
      </c>
      <c r="AO1022" s="25" t="s">
        <v>28</v>
      </c>
      <c r="AP1022" s="23" t="s">
        <v>29</v>
      </c>
      <c r="AQ1022" s="23" t="s">
        <v>30</v>
      </c>
      <c r="AR1022" s="23" t="s">
        <v>46</v>
      </c>
      <c r="AS1022" s="25">
        <v>6009004</v>
      </c>
      <c r="AT1022" t="s">
        <v>26</v>
      </c>
      <c r="AU1022" t="s">
        <v>23581</v>
      </c>
    </row>
    <row r="1023" spans="1:47" ht="26.25" x14ac:dyDescent="0.4">
      <c r="A1023" s="23" t="s">
        <v>2605</v>
      </c>
      <c r="B1023" t="s">
        <v>26</v>
      </c>
      <c r="C1023" s="23" t="s">
        <v>371</v>
      </c>
      <c r="D1023" s="23" t="s">
        <v>22179</v>
      </c>
      <c r="E1023" s="23" t="s">
        <v>42</v>
      </c>
      <c r="F1023" t="s">
        <v>26</v>
      </c>
      <c r="G1023" t="s">
        <v>26</v>
      </c>
      <c r="H1023" t="s">
        <v>26</v>
      </c>
      <c r="I1023" t="s">
        <v>26</v>
      </c>
      <c r="J1023" t="s">
        <v>26</v>
      </c>
      <c r="K1023" t="s">
        <v>26</v>
      </c>
      <c r="L1023" s="25" t="s">
        <v>28</v>
      </c>
      <c r="M1023" t="s">
        <v>26</v>
      </c>
      <c r="N1023" t="s">
        <v>26</v>
      </c>
      <c r="O1023" t="s">
        <v>26</v>
      </c>
      <c r="P1023" t="s">
        <v>26</v>
      </c>
      <c r="Q1023" t="s">
        <v>26</v>
      </c>
      <c r="R1023" t="s">
        <v>26</v>
      </c>
      <c r="S1023" t="s">
        <v>26</v>
      </c>
      <c r="T1023" t="s">
        <v>26</v>
      </c>
      <c r="U1023" t="s">
        <v>26</v>
      </c>
      <c r="V1023" t="s">
        <v>26</v>
      </c>
      <c r="W1023" s="24">
        <v>40909</v>
      </c>
      <c r="X1023" s="24">
        <v>40909</v>
      </c>
      <c r="Y1023" t="s">
        <v>26</v>
      </c>
      <c r="Z1023" s="24">
        <v>40909</v>
      </c>
      <c r="AA1023" s="24">
        <v>40909</v>
      </c>
      <c r="AB1023" t="s">
        <v>26</v>
      </c>
      <c r="AC1023" t="s">
        <v>26</v>
      </c>
      <c r="AD1023" t="s">
        <v>26</v>
      </c>
      <c r="AE1023" t="s">
        <v>26</v>
      </c>
      <c r="AF1023" t="s">
        <v>26</v>
      </c>
      <c r="AG1023" t="s">
        <v>26</v>
      </c>
      <c r="AH1023" t="s">
        <v>26</v>
      </c>
      <c r="AI1023" t="s">
        <v>26</v>
      </c>
      <c r="AJ1023" t="s">
        <v>26</v>
      </c>
      <c r="AK1023" t="s">
        <v>26</v>
      </c>
      <c r="AL1023" t="s">
        <v>26</v>
      </c>
      <c r="AM1023" t="s">
        <v>26</v>
      </c>
      <c r="AN1023" t="s">
        <v>26</v>
      </c>
      <c r="AO1023" s="25" t="s">
        <v>28</v>
      </c>
      <c r="AP1023" s="23" t="s">
        <v>29</v>
      </c>
      <c r="AQ1023" s="23" t="s">
        <v>30</v>
      </c>
      <c r="AR1023" s="23" t="s">
        <v>44</v>
      </c>
      <c r="AS1023" s="25">
        <v>5483636</v>
      </c>
      <c r="AT1023" s="23" t="s">
        <v>22181</v>
      </c>
      <c r="AU1023" t="s">
        <v>23582</v>
      </c>
    </row>
    <row r="1024" spans="1:47" ht="26.25" x14ac:dyDescent="0.4">
      <c r="A1024" s="23" t="s">
        <v>2606</v>
      </c>
      <c r="B1024" t="s">
        <v>26</v>
      </c>
      <c r="C1024" s="23" t="s">
        <v>2607</v>
      </c>
      <c r="D1024" s="23" t="s">
        <v>23583</v>
      </c>
      <c r="E1024" s="23" t="s">
        <v>42</v>
      </c>
      <c r="F1024" t="s">
        <v>26</v>
      </c>
      <c r="G1024" t="s">
        <v>26</v>
      </c>
      <c r="H1024" t="s">
        <v>26</v>
      </c>
      <c r="I1024" s="24">
        <v>36526</v>
      </c>
      <c r="J1024" s="24">
        <v>36526</v>
      </c>
      <c r="K1024" t="s">
        <v>26</v>
      </c>
      <c r="L1024" s="25" t="s">
        <v>28</v>
      </c>
      <c r="M1024" s="24">
        <v>36526</v>
      </c>
      <c r="N1024" s="24">
        <v>36526</v>
      </c>
      <c r="O1024" t="s">
        <v>26</v>
      </c>
      <c r="P1024" t="s">
        <v>26</v>
      </c>
      <c r="Q1024" t="s">
        <v>26</v>
      </c>
      <c r="R1024" t="s">
        <v>26</v>
      </c>
      <c r="S1024" t="s">
        <v>26</v>
      </c>
      <c r="T1024" t="s">
        <v>26</v>
      </c>
      <c r="U1024" t="s">
        <v>26</v>
      </c>
      <c r="V1024" t="s">
        <v>26</v>
      </c>
      <c r="W1024" s="24">
        <v>36526</v>
      </c>
      <c r="X1024" s="24">
        <v>36526</v>
      </c>
      <c r="Y1024" t="s">
        <v>26</v>
      </c>
      <c r="Z1024" s="24">
        <v>36526</v>
      </c>
      <c r="AA1024" s="24">
        <v>36526</v>
      </c>
      <c r="AB1024" t="s">
        <v>26</v>
      </c>
      <c r="AC1024" s="24">
        <v>36526</v>
      </c>
      <c r="AD1024" s="24">
        <v>36526</v>
      </c>
      <c r="AE1024" t="s">
        <v>26</v>
      </c>
      <c r="AF1024" t="s">
        <v>26</v>
      </c>
      <c r="AG1024" t="s">
        <v>26</v>
      </c>
      <c r="AH1024" t="s">
        <v>26</v>
      </c>
      <c r="AI1024" t="s">
        <v>26</v>
      </c>
      <c r="AJ1024" t="s">
        <v>26</v>
      </c>
      <c r="AK1024" t="s">
        <v>26</v>
      </c>
      <c r="AL1024" t="s">
        <v>26</v>
      </c>
      <c r="AM1024" t="s">
        <v>26</v>
      </c>
      <c r="AN1024" t="s">
        <v>26</v>
      </c>
      <c r="AO1024" s="25" t="s">
        <v>28</v>
      </c>
      <c r="AP1024" s="23" t="s">
        <v>29</v>
      </c>
      <c r="AQ1024" s="23" t="s">
        <v>30</v>
      </c>
      <c r="AR1024" s="23" t="s">
        <v>46</v>
      </c>
      <c r="AS1024" s="25">
        <v>6009003</v>
      </c>
      <c r="AT1024" t="s">
        <v>26</v>
      </c>
      <c r="AU1024" t="s">
        <v>23584</v>
      </c>
    </row>
    <row r="1025" spans="1:47" ht="26.25" x14ac:dyDescent="0.4">
      <c r="A1025" s="23" t="s">
        <v>2608</v>
      </c>
      <c r="B1025" t="s">
        <v>26</v>
      </c>
      <c r="C1025" t="s">
        <v>26</v>
      </c>
      <c r="D1025" t="s">
        <v>26</v>
      </c>
      <c r="E1025" t="s">
        <v>26</v>
      </c>
      <c r="F1025" t="s">
        <v>26</v>
      </c>
      <c r="G1025" t="s">
        <v>26</v>
      </c>
      <c r="H1025" t="s">
        <v>26</v>
      </c>
      <c r="I1025" s="25" t="s">
        <v>2609</v>
      </c>
      <c r="J1025" s="25" t="s">
        <v>2609</v>
      </c>
      <c r="K1025" t="s">
        <v>26</v>
      </c>
      <c r="L1025" s="25" t="s">
        <v>28</v>
      </c>
      <c r="M1025" s="25" t="s">
        <v>2609</v>
      </c>
      <c r="N1025" s="25" t="s">
        <v>2609</v>
      </c>
      <c r="O1025" t="s">
        <v>26</v>
      </c>
      <c r="P1025" t="s">
        <v>26</v>
      </c>
      <c r="Q1025" t="s">
        <v>26</v>
      </c>
      <c r="R1025" t="s">
        <v>26</v>
      </c>
      <c r="S1025" t="s">
        <v>26</v>
      </c>
      <c r="T1025" t="s">
        <v>26</v>
      </c>
      <c r="U1025" t="s">
        <v>26</v>
      </c>
      <c r="V1025" t="s">
        <v>26</v>
      </c>
      <c r="W1025" s="25" t="s">
        <v>2609</v>
      </c>
      <c r="X1025" s="25" t="s">
        <v>2609</v>
      </c>
      <c r="Y1025" t="s">
        <v>26</v>
      </c>
      <c r="Z1025" s="25" t="s">
        <v>2609</v>
      </c>
      <c r="AA1025" s="25" t="s">
        <v>2609</v>
      </c>
      <c r="AB1025" t="s">
        <v>26</v>
      </c>
      <c r="AC1025" s="25" t="s">
        <v>2609</v>
      </c>
      <c r="AD1025" s="25" t="s">
        <v>2609</v>
      </c>
      <c r="AE1025" t="s">
        <v>26</v>
      </c>
      <c r="AF1025" t="s">
        <v>26</v>
      </c>
      <c r="AG1025" t="s">
        <v>26</v>
      </c>
      <c r="AH1025" t="s">
        <v>26</v>
      </c>
      <c r="AI1025" t="s">
        <v>26</v>
      </c>
      <c r="AJ1025" t="s">
        <v>26</v>
      </c>
      <c r="AK1025" t="s">
        <v>26</v>
      </c>
      <c r="AL1025" t="s">
        <v>26</v>
      </c>
      <c r="AM1025" t="s">
        <v>26</v>
      </c>
      <c r="AN1025" t="s">
        <v>26</v>
      </c>
      <c r="AO1025" s="25" t="s">
        <v>28</v>
      </c>
      <c r="AP1025" s="23" t="s">
        <v>29</v>
      </c>
      <c r="AQ1025" s="23" t="s">
        <v>30</v>
      </c>
      <c r="AR1025" s="23" t="s">
        <v>46</v>
      </c>
      <c r="AS1025" s="25">
        <v>6009002</v>
      </c>
      <c r="AT1025" t="s">
        <v>26</v>
      </c>
      <c r="AU1025" t="s">
        <v>23585</v>
      </c>
    </row>
    <row r="1026" spans="1:47" ht="26.25" x14ac:dyDescent="0.4">
      <c r="A1026" s="23" t="s">
        <v>2610</v>
      </c>
      <c r="B1026" t="s">
        <v>26</v>
      </c>
      <c r="C1026" s="23" t="s">
        <v>2611</v>
      </c>
      <c r="D1026" s="23" t="s">
        <v>23021</v>
      </c>
      <c r="E1026" s="23" t="s">
        <v>711</v>
      </c>
      <c r="F1026" t="s">
        <v>26</v>
      </c>
      <c r="G1026" s="25" t="s">
        <v>2612</v>
      </c>
      <c r="H1026" t="s">
        <v>26</v>
      </c>
      <c r="I1026" s="24">
        <v>39388</v>
      </c>
      <c r="J1026" s="25" t="s">
        <v>77</v>
      </c>
      <c r="K1026" t="s">
        <v>26</v>
      </c>
      <c r="L1026" s="25" t="s">
        <v>68</v>
      </c>
      <c r="M1026" s="24">
        <v>39388</v>
      </c>
      <c r="N1026" s="25" t="s">
        <v>77</v>
      </c>
      <c r="O1026" t="s">
        <v>26</v>
      </c>
      <c r="P1026" s="24">
        <v>39388</v>
      </c>
      <c r="Q1026" s="25" t="s">
        <v>77</v>
      </c>
      <c r="R1026" s="25" t="s">
        <v>23586</v>
      </c>
      <c r="S1026" s="24">
        <v>40877</v>
      </c>
      <c r="T1026" s="24">
        <v>41088</v>
      </c>
      <c r="U1026" t="s">
        <v>26</v>
      </c>
      <c r="V1026" t="s">
        <v>26</v>
      </c>
      <c r="W1026" s="24">
        <v>39388</v>
      </c>
      <c r="X1026" s="25" t="s">
        <v>77</v>
      </c>
      <c r="Y1026" t="s">
        <v>26</v>
      </c>
      <c r="Z1026" s="24">
        <v>39388</v>
      </c>
      <c r="AA1026" s="25" t="s">
        <v>77</v>
      </c>
      <c r="AB1026" t="s">
        <v>26</v>
      </c>
      <c r="AC1026" s="24">
        <v>39388</v>
      </c>
      <c r="AD1026" s="25" t="s">
        <v>77</v>
      </c>
      <c r="AE1026" t="s">
        <v>26</v>
      </c>
      <c r="AF1026" t="s">
        <v>26</v>
      </c>
      <c r="AG1026" t="s">
        <v>26</v>
      </c>
      <c r="AH1026" t="s">
        <v>26</v>
      </c>
      <c r="AI1026" t="s">
        <v>26</v>
      </c>
      <c r="AJ1026" t="s">
        <v>26</v>
      </c>
      <c r="AK1026" t="s">
        <v>26</v>
      </c>
      <c r="AL1026" t="s">
        <v>26</v>
      </c>
      <c r="AM1026" t="s">
        <v>26</v>
      </c>
      <c r="AN1026" t="s">
        <v>26</v>
      </c>
      <c r="AO1026" s="25" t="s">
        <v>68</v>
      </c>
      <c r="AP1026" s="23" t="s">
        <v>69</v>
      </c>
      <c r="AQ1026" s="23" t="s">
        <v>30</v>
      </c>
      <c r="AR1026" s="23" t="s">
        <v>70</v>
      </c>
      <c r="AS1026" s="25">
        <v>2046456</v>
      </c>
      <c r="AT1026" t="s">
        <v>26</v>
      </c>
      <c r="AU1026" t="s">
        <v>23587</v>
      </c>
    </row>
    <row r="1027" spans="1:47" ht="26.25" x14ac:dyDescent="0.4">
      <c r="A1027" s="23" t="s">
        <v>2613</v>
      </c>
      <c r="B1027" t="s">
        <v>26</v>
      </c>
      <c r="C1027" s="23" t="s">
        <v>2614</v>
      </c>
      <c r="D1027" s="23" t="s">
        <v>23588</v>
      </c>
      <c r="E1027" s="23" t="s">
        <v>1657</v>
      </c>
      <c r="F1027" s="25" t="s">
        <v>2615</v>
      </c>
      <c r="G1027" s="25" t="s">
        <v>2616</v>
      </c>
      <c r="H1027" t="s">
        <v>26</v>
      </c>
      <c r="I1027" s="24">
        <v>38808</v>
      </c>
      <c r="J1027" s="24">
        <v>43647</v>
      </c>
      <c r="K1027" t="s">
        <v>26</v>
      </c>
      <c r="L1027" s="25" t="s">
        <v>68</v>
      </c>
      <c r="M1027" s="24">
        <v>38808</v>
      </c>
      <c r="N1027" s="24">
        <v>43647</v>
      </c>
      <c r="O1027" t="s">
        <v>26</v>
      </c>
      <c r="P1027" s="24">
        <v>38808</v>
      </c>
      <c r="Q1027" s="24">
        <v>43647</v>
      </c>
      <c r="R1027" t="s">
        <v>26</v>
      </c>
      <c r="S1027" t="s">
        <v>26</v>
      </c>
      <c r="T1027" t="s">
        <v>26</v>
      </c>
      <c r="U1027" t="s">
        <v>26</v>
      </c>
      <c r="V1027" t="s">
        <v>26</v>
      </c>
      <c r="W1027" s="24">
        <v>38808</v>
      </c>
      <c r="X1027" s="24">
        <v>43647</v>
      </c>
      <c r="Y1027" t="s">
        <v>26</v>
      </c>
      <c r="Z1027" s="24">
        <v>38808</v>
      </c>
      <c r="AA1027" s="24">
        <v>43647</v>
      </c>
      <c r="AB1027" t="s">
        <v>26</v>
      </c>
      <c r="AC1027" s="24">
        <v>38808</v>
      </c>
      <c r="AD1027" s="24">
        <v>43647</v>
      </c>
      <c r="AE1027" s="25" t="s">
        <v>23589</v>
      </c>
      <c r="AF1027" t="s">
        <v>26</v>
      </c>
      <c r="AG1027" t="s">
        <v>26</v>
      </c>
      <c r="AH1027" t="s">
        <v>26</v>
      </c>
      <c r="AI1027" t="s">
        <v>26</v>
      </c>
      <c r="AJ1027" t="s">
        <v>26</v>
      </c>
      <c r="AK1027" t="s">
        <v>26</v>
      </c>
      <c r="AL1027" t="s">
        <v>26</v>
      </c>
      <c r="AM1027" t="s">
        <v>26</v>
      </c>
      <c r="AN1027" t="s">
        <v>26</v>
      </c>
      <c r="AO1027" s="25" t="s">
        <v>68</v>
      </c>
      <c r="AP1027" s="23" t="s">
        <v>69</v>
      </c>
      <c r="AQ1027" s="23" t="s">
        <v>30</v>
      </c>
      <c r="AR1027" s="23" t="s">
        <v>70</v>
      </c>
      <c r="AS1027" s="25">
        <v>34390</v>
      </c>
      <c r="AT1027" t="s">
        <v>26</v>
      </c>
      <c r="AU1027" t="s">
        <v>23590</v>
      </c>
    </row>
    <row r="1028" spans="1:47" ht="26.25" x14ac:dyDescent="0.4">
      <c r="A1028" s="23" t="s">
        <v>2617</v>
      </c>
      <c r="B1028" t="s">
        <v>26</v>
      </c>
      <c r="C1028" s="23" t="s">
        <v>789</v>
      </c>
      <c r="D1028" s="23" t="s">
        <v>22492</v>
      </c>
      <c r="E1028" s="23" t="s">
        <v>42</v>
      </c>
      <c r="F1028" s="25" t="s">
        <v>2618</v>
      </c>
      <c r="G1028" s="25" t="s">
        <v>2619</v>
      </c>
      <c r="H1028" t="s">
        <v>26</v>
      </c>
      <c r="I1028" s="24">
        <v>40544</v>
      </c>
      <c r="J1028" s="24">
        <v>42644</v>
      </c>
      <c r="K1028" t="s">
        <v>26</v>
      </c>
      <c r="L1028" s="25" t="s">
        <v>68</v>
      </c>
      <c r="M1028" s="24">
        <v>40544</v>
      </c>
      <c r="N1028" s="24">
        <v>42644</v>
      </c>
      <c r="O1028" t="s">
        <v>26</v>
      </c>
      <c r="P1028" s="24">
        <v>40544</v>
      </c>
      <c r="Q1028" s="24">
        <v>42644</v>
      </c>
      <c r="R1028" t="s">
        <v>26</v>
      </c>
      <c r="S1028" t="s">
        <v>26</v>
      </c>
      <c r="T1028" t="s">
        <v>26</v>
      </c>
      <c r="U1028" t="s">
        <v>26</v>
      </c>
      <c r="V1028" t="s">
        <v>26</v>
      </c>
      <c r="W1028" s="24">
        <v>40544</v>
      </c>
      <c r="X1028" s="24">
        <v>42644</v>
      </c>
      <c r="Y1028" t="s">
        <v>26</v>
      </c>
      <c r="Z1028" s="24">
        <v>40544</v>
      </c>
      <c r="AA1028" s="24">
        <v>42644</v>
      </c>
      <c r="AB1028" t="s">
        <v>26</v>
      </c>
      <c r="AC1028" s="24">
        <v>40544</v>
      </c>
      <c r="AD1028" s="24">
        <v>42644</v>
      </c>
      <c r="AE1028" t="s">
        <v>26</v>
      </c>
      <c r="AF1028" t="s">
        <v>26</v>
      </c>
      <c r="AG1028" t="s">
        <v>26</v>
      </c>
      <c r="AH1028" t="s">
        <v>26</v>
      </c>
      <c r="AI1028" t="s">
        <v>26</v>
      </c>
      <c r="AJ1028" t="s">
        <v>26</v>
      </c>
      <c r="AK1028" t="s">
        <v>26</v>
      </c>
      <c r="AL1028" t="s">
        <v>26</v>
      </c>
      <c r="AM1028" t="s">
        <v>26</v>
      </c>
      <c r="AN1028" t="s">
        <v>26</v>
      </c>
      <c r="AO1028" s="25" t="s">
        <v>68</v>
      </c>
      <c r="AP1028" s="23" t="s">
        <v>69</v>
      </c>
      <c r="AQ1028" s="23" t="s">
        <v>30</v>
      </c>
      <c r="AR1028" s="23" t="s">
        <v>70</v>
      </c>
      <c r="AS1028" s="25">
        <v>2034878</v>
      </c>
      <c r="AT1028" t="s">
        <v>26</v>
      </c>
      <c r="AU1028" t="s">
        <v>23591</v>
      </c>
    </row>
    <row r="1029" spans="1:47" ht="26.25" x14ac:dyDescent="0.4">
      <c r="A1029" s="23" t="s">
        <v>2620</v>
      </c>
      <c r="B1029" t="s">
        <v>26</v>
      </c>
      <c r="C1029" s="23" t="s">
        <v>2621</v>
      </c>
      <c r="D1029" s="23" t="s">
        <v>23592</v>
      </c>
      <c r="E1029" s="23" t="s">
        <v>60</v>
      </c>
      <c r="F1029" s="25" t="s">
        <v>2622</v>
      </c>
      <c r="G1029" s="25" t="s">
        <v>2623</v>
      </c>
      <c r="H1029" t="s">
        <v>26</v>
      </c>
      <c r="I1029" s="24">
        <v>35977</v>
      </c>
      <c r="J1029" s="24">
        <v>44287</v>
      </c>
      <c r="K1029" t="s">
        <v>26</v>
      </c>
      <c r="L1029" s="25" t="s">
        <v>68</v>
      </c>
      <c r="M1029" s="24">
        <v>35977</v>
      </c>
      <c r="N1029" s="24">
        <v>44287</v>
      </c>
      <c r="O1029" s="25" t="s">
        <v>23334</v>
      </c>
      <c r="P1029" s="24">
        <v>35977</v>
      </c>
      <c r="Q1029" s="24">
        <v>44287</v>
      </c>
      <c r="R1029" t="s">
        <v>26</v>
      </c>
      <c r="S1029" t="s">
        <v>26</v>
      </c>
      <c r="T1029" t="s">
        <v>26</v>
      </c>
      <c r="U1029" t="s">
        <v>26</v>
      </c>
      <c r="V1029" t="s">
        <v>26</v>
      </c>
      <c r="W1029" s="24">
        <v>35977</v>
      </c>
      <c r="X1029" s="24">
        <v>44287</v>
      </c>
      <c r="Y1029" t="s">
        <v>26</v>
      </c>
      <c r="Z1029" s="24">
        <v>35977</v>
      </c>
      <c r="AA1029" s="24">
        <v>44287</v>
      </c>
      <c r="AB1029" t="s">
        <v>26</v>
      </c>
      <c r="AC1029" s="24">
        <v>36617</v>
      </c>
      <c r="AD1029" s="24">
        <v>44287</v>
      </c>
      <c r="AE1029" t="s">
        <v>26</v>
      </c>
      <c r="AF1029" t="s">
        <v>26</v>
      </c>
      <c r="AG1029" t="s">
        <v>26</v>
      </c>
      <c r="AH1029" t="s">
        <v>26</v>
      </c>
      <c r="AI1029" t="s">
        <v>26</v>
      </c>
      <c r="AJ1029" t="s">
        <v>26</v>
      </c>
      <c r="AK1029" t="s">
        <v>26</v>
      </c>
      <c r="AL1029" t="s">
        <v>26</v>
      </c>
      <c r="AM1029" t="s">
        <v>26</v>
      </c>
      <c r="AN1029" t="s">
        <v>26</v>
      </c>
      <c r="AO1029" s="25" t="s">
        <v>68</v>
      </c>
      <c r="AP1029" s="23" t="s">
        <v>69</v>
      </c>
      <c r="AQ1029" s="23" t="s">
        <v>30</v>
      </c>
      <c r="AR1029" s="23" t="s">
        <v>2624</v>
      </c>
      <c r="AS1029" s="25">
        <v>34391</v>
      </c>
      <c r="AT1029" t="s">
        <v>26</v>
      </c>
      <c r="AU1029" t="s">
        <v>23593</v>
      </c>
    </row>
    <row r="1030" spans="1:47" ht="26.25" x14ac:dyDescent="0.4">
      <c r="A1030" s="23" t="s">
        <v>2625</v>
      </c>
      <c r="B1030" t="s">
        <v>26</v>
      </c>
      <c r="C1030" s="23" t="s">
        <v>946</v>
      </c>
      <c r="D1030" s="23" t="s">
        <v>22168</v>
      </c>
      <c r="E1030" s="23" t="s">
        <v>42</v>
      </c>
      <c r="F1030" s="25" t="s">
        <v>2626</v>
      </c>
      <c r="G1030" s="25" t="s">
        <v>2627</v>
      </c>
      <c r="H1030" t="s">
        <v>26</v>
      </c>
      <c r="I1030" t="s">
        <v>26</v>
      </c>
      <c r="J1030" t="s">
        <v>26</v>
      </c>
      <c r="K1030" t="s">
        <v>26</v>
      </c>
      <c r="L1030" s="25" t="s">
        <v>68</v>
      </c>
      <c r="M1030" t="s">
        <v>26</v>
      </c>
      <c r="N1030" t="s">
        <v>26</v>
      </c>
      <c r="O1030" t="s">
        <v>26</v>
      </c>
      <c r="P1030" t="s">
        <v>26</v>
      </c>
      <c r="Q1030" t="s">
        <v>26</v>
      </c>
      <c r="R1030" t="s">
        <v>26</v>
      </c>
      <c r="S1030" t="s">
        <v>26</v>
      </c>
      <c r="T1030" t="s">
        <v>26</v>
      </c>
      <c r="U1030" t="s">
        <v>26</v>
      </c>
      <c r="V1030" t="s">
        <v>26</v>
      </c>
      <c r="W1030" s="24">
        <v>37987</v>
      </c>
      <c r="X1030" s="24">
        <v>42614</v>
      </c>
      <c r="Y1030" t="s">
        <v>26</v>
      </c>
      <c r="Z1030" s="24">
        <v>37987</v>
      </c>
      <c r="AA1030" s="24">
        <v>42614</v>
      </c>
      <c r="AB1030" t="s">
        <v>26</v>
      </c>
      <c r="AC1030" s="24">
        <v>37987</v>
      </c>
      <c r="AD1030" s="24">
        <v>42614</v>
      </c>
      <c r="AE1030" t="s">
        <v>26</v>
      </c>
      <c r="AF1030" t="s">
        <v>26</v>
      </c>
      <c r="AG1030" t="s">
        <v>26</v>
      </c>
      <c r="AH1030" t="s">
        <v>26</v>
      </c>
      <c r="AI1030" t="s">
        <v>26</v>
      </c>
      <c r="AJ1030" t="s">
        <v>26</v>
      </c>
      <c r="AK1030" t="s">
        <v>26</v>
      </c>
      <c r="AL1030" t="s">
        <v>26</v>
      </c>
      <c r="AM1030" t="s">
        <v>26</v>
      </c>
      <c r="AN1030" t="s">
        <v>26</v>
      </c>
      <c r="AO1030" s="25" t="s">
        <v>68</v>
      </c>
      <c r="AP1030" s="23" t="s">
        <v>69</v>
      </c>
      <c r="AQ1030" s="23" t="s">
        <v>30</v>
      </c>
      <c r="AR1030" s="23" t="s">
        <v>2628</v>
      </c>
      <c r="AS1030" s="25">
        <v>33317</v>
      </c>
      <c r="AT1030" t="s">
        <v>26</v>
      </c>
      <c r="AU1030" t="s">
        <v>23594</v>
      </c>
    </row>
    <row r="1031" spans="1:47" ht="13.15" x14ac:dyDescent="0.4">
      <c r="A1031" s="23" t="s">
        <v>2629</v>
      </c>
      <c r="B1031" t="s">
        <v>26</v>
      </c>
      <c r="C1031" s="23" t="s">
        <v>1113</v>
      </c>
      <c r="D1031" s="23" t="s">
        <v>22666</v>
      </c>
      <c r="E1031" s="23" t="s">
        <v>42</v>
      </c>
      <c r="F1031" t="s">
        <v>26</v>
      </c>
      <c r="G1031" t="s">
        <v>26</v>
      </c>
      <c r="H1031" t="s">
        <v>26</v>
      </c>
      <c r="I1031" t="s">
        <v>26</v>
      </c>
      <c r="J1031" t="s">
        <v>26</v>
      </c>
      <c r="K1031" t="s">
        <v>26</v>
      </c>
      <c r="L1031" s="25" t="s">
        <v>28</v>
      </c>
      <c r="M1031" t="s">
        <v>26</v>
      </c>
      <c r="N1031" t="s">
        <v>26</v>
      </c>
      <c r="O1031" t="s">
        <v>26</v>
      </c>
      <c r="P1031" t="s">
        <v>26</v>
      </c>
      <c r="Q1031" t="s">
        <v>26</v>
      </c>
      <c r="R1031" t="s">
        <v>26</v>
      </c>
      <c r="S1031" t="s">
        <v>26</v>
      </c>
      <c r="T1031" t="s">
        <v>26</v>
      </c>
      <c r="U1031" t="s">
        <v>26</v>
      </c>
      <c r="V1031" t="s">
        <v>26</v>
      </c>
      <c r="W1031" s="24">
        <v>40544</v>
      </c>
      <c r="X1031" s="24">
        <v>40544</v>
      </c>
      <c r="Y1031" t="s">
        <v>26</v>
      </c>
      <c r="Z1031" s="24">
        <v>40544</v>
      </c>
      <c r="AA1031" s="24">
        <v>40544</v>
      </c>
      <c r="AB1031" t="s">
        <v>26</v>
      </c>
      <c r="AC1031" t="s">
        <v>26</v>
      </c>
      <c r="AD1031" t="s">
        <v>26</v>
      </c>
      <c r="AE1031" t="s">
        <v>26</v>
      </c>
      <c r="AF1031" t="s">
        <v>26</v>
      </c>
      <c r="AG1031" t="s">
        <v>26</v>
      </c>
      <c r="AH1031" t="s">
        <v>26</v>
      </c>
      <c r="AI1031" t="s">
        <v>26</v>
      </c>
      <c r="AJ1031" t="s">
        <v>26</v>
      </c>
      <c r="AK1031" t="s">
        <v>26</v>
      </c>
      <c r="AL1031" t="s">
        <v>26</v>
      </c>
      <c r="AM1031" t="s">
        <v>26</v>
      </c>
      <c r="AN1031" t="s">
        <v>26</v>
      </c>
      <c r="AO1031" s="25" t="s">
        <v>28</v>
      </c>
      <c r="AP1031" s="23" t="s">
        <v>29</v>
      </c>
      <c r="AQ1031" s="23" t="s">
        <v>30</v>
      </c>
      <c r="AR1031" s="23" t="s">
        <v>2630</v>
      </c>
      <c r="AS1031" s="25">
        <v>5483640</v>
      </c>
      <c r="AT1031" s="23" t="s">
        <v>22181</v>
      </c>
      <c r="AU1031" t="s">
        <v>23595</v>
      </c>
    </row>
    <row r="1032" spans="1:47" ht="26.25" x14ac:dyDescent="0.4">
      <c r="A1032" s="23" t="s">
        <v>2631</v>
      </c>
      <c r="B1032" t="s">
        <v>26</v>
      </c>
      <c r="C1032" s="23" t="s">
        <v>2632</v>
      </c>
      <c r="D1032" s="23" t="s">
        <v>22519</v>
      </c>
      <c r="E1032" s="23" t="s">
        <v>822</v>
      </c>
      <c r="F1032" s="25" t="s">
        <v>2633</v>
      </c>
      <c r="G1032" t="s">
        <v>26</v>
      </c>
      <c r="H1032" t="s">
        <v>26</v>
      </c>
      <c r="I1032" s="24">
        <v>39417</v>
      </c>
      <c r="J1032" s="24">
        <v>41365</v>
      </c>
      <c r="K1032" t="s">
        <v>26</v>
      </c>
      <c r="L1032" s="25" t="s">
        <v>68</v>
      </c>
      <c r="M1032" s="24">
        <v>39417</v>
      </c>
      <c r="N1032" s="24">
        <v>41365</v>
      </c>
      <c r="O1032" t="s">
        <v>26</v>
      </c>
      <c r="P1032" s="24">
        <v>39417</v>
      </c>
      <c r="Q1032" s="24">
        <v>41365</v>
      </c>
      <c r="R1032" t="s">
        <v>26</v>
      </c>
      <c r="S1032" t="s">
        <v>26</v>
      </c>
      <c r="T1032" t="s">
        <v>26</v>
      </c>
      <c r="U1032" t="s">
        <v>26</v>
      </c>
      <c r="V1032" t="s">
        <v>26</v>
      </c>
      <c r="W1032" s="24">
        <v>39417</v>
      </c>
      <c r="X1032" s="24">
        <v>41365</v>
      </c>
      <c r="Y1032" t="s">
        <v>26</v>
      </c>
      <c r="Z1032" s="24">
        <v>39417</v>
      </c>
      <c r="AA1032" s="24">
        <v>41365</v>
      </c>
      <c r="AB1032" t="s">
        <v>26</v>
      </c>
      <c r="AC1032" s="24">
        <v>39417</v>
      </c>
      <c r="AD1032" s="24">
        <v>41365</v>
      </c>
      <c r="AE1032" t="s">
        <v>26</v>
      </c>
      <c r="AF1032" t="s">
        <v>26</v>
      </c>
      <c r="AG1032" t="s">
        <v>26</v>
      </c>
      <c r="AH1032" t="s">
        <v>26</v>
      </c>
      <c r="AI1032" t="s">
        <v>26</v>
      </c>
      <c r="AJ1032" t="s">
        <v>26</v>
      </c>
      <c r="AK1032" t="s">
        <v>26</v>
      </c>
      <c r="AL1032" t="s">
        <v>26</v>
      </c>
      <c r="AM1032" t="s">
        <v>26</v>
      </c>
      <c r="AN1032" t="s">
        <v>26</v>
      </c>
      <c r="AO1032" s="25" t="s">
        <v>68</v>
      </c>
      <c r="AP1032" s="23" t="s">
        <v>69</v>
      </c>
      <c r="AQ1032" s="23" t="s">
        <v>30</v>
      </c>
      <c r="AR1032" s="23" t="s">
        <v>23596</v>
      </c>
      <c r="AS1032" s="25">
        <v>38956</v>
      </c>
      <c r="AT1032" t="s">
        <v>26</v>
      </c>
      <c r="AU1032" t="s">
        <v>23597</v>
      </c>
    </row>
    <row r="1033" spans="1:47" ht="26.25" x14ac:dyDescent="0.4">
      <c r="A1033" s="23" t="s">
        <v>2634</v>
      </c>
      <c r="B1033" t="s">
        <v>26</v>
      </c>
      <c r="C1033" s="23" t="s">
        <v>2635</v>
      </c>
      <c r="D1033" s="23" t="s">
        <v>23598</v>
      </c>
      <c r="E1033" s="23" t="s">
        <v>2636</v>
      </c>
      <c r="F1033" s="25" t="s">
        <v>2637</v>
      </c>
      <c r="G1033" s="25" t="s">
        <v>2638</v>
      </c>
      <c r="H1033" t="s">
        <v>26</v>
      </c>
      <c r="I1033" t="s">
        <v>26</v>
      </c>
      <c r="J1033" t="s">
        <v>26</v>
      </c>
      <c r="K1033" t="s">
        <v>26</v>
      </c>
      <c r="L1033" s="25" t="s">
        <v>68</v>
      </c>
      <c r="M1033" t="s">
        <v>26</v>
      </c>
      <c r="N1033" t="s">
        <v>26</v>
      </c>
      <c r="O1033" t="s">
        <v>26</v>
      </c>
      <c r="P1033" t="s">
        <v>26</v>
      </c>
      <c r="Q1033" t="s">
        <v>26</v>
      </c>
      <c r="R1033" t="s">
        <v>26</v>
      </c>
      <c r="S1033" t="s">
        <v>26</v>
      </c>
      <c r="T1033" t="s">
        <v>26</v>
      </c>
      <c r="U1033" t="s">
        <v>26</v>
      </c>
      <c r="V1033" t="s">
        <v>26</v>
      </c>
      <c r="W1033" s="24">
        <v>42370</v>
      </c>
      <c r="X1033" s="25" t="s">
        <v>77</v>
      </c>
      <c r="Y1033" t="s">
        <v>26</v>
      </c>
      <c r="Z1033" s="24">
        <v>42370</v>
      </c>
      <c r="AA1033" s="25" t="s">
        <v>77</v>
      </c>
      <c r="AB1033" t="s">
        <v>26</v>
      </c>
      <c r="AC1033" s="24">
        <v>42370</v>
      </c>
      <c r="AD1033" s="25" t="s">
        <v>77</v>
      </c>
      <c r="AE1033" t="s">
        <v>26</v>
      </c>
      <c r="AF1033" t="s">
        <v>26</v>
      </c>
      <c r="AG1033" t="s">
        <v>26</v>
      </c>
      <c r="AH1033" t="s">
        <v>26</v>
      </c>
      <c r="AI1033" t="s">
        <v>26</v>
      </c>
      <c r="AJ1033" t="s">
        <v>26</v>
      </c>
      <c r="AK1033" t="s">
        <v>26</v>
      </c>
      <c r="AL1033" t="s">
        <v>26</v>
      </c>
      <c r="AM1033" t="s">
        <v>26</v>
      </c>
      <c r="AN1033" t="s">
        <v>26</v>
      </c>
      <c r="AO1033" s="25" t="s">
        <v>28</v>
      </c>
      <c r="AP1033" s="23" t="s">
        <v>69</v>
      </c>
      <c r="AQ1033" s="23" t="s">
        <v>2583</v>
      </c>
      <c r="AR1033" s="23" t="s">
        <v>2639</v>
      </c>
      <c r="AS1033" s="25">
        <v>2038922</v>
      </c>
      <c r="AT1033" t="s">
        <v>26</v>
      </c>
      <c r="AU1033" t="s">
        <v>23599</v>
      </c>
    </row>
    <row r="1034" spans="1:47" ht="26.25" x14ac:dyDescent="0.4">
      <c r="A1034" s="23" t="s">
        <v>2640</v>
      </c>
      <c r="B1034" t="s">
        <v>26</v>
      </c>
      <c r="C1034" s="23" t="s">
        <v>2641</v>
      </c>
      <c r="D1034" s="23" t="s">
        <v>23600</v>
      </c>
      <c r="E1034" s="23" t="s">
        <v>2642</v>
      </c>
      <c r="F1034" s="25" t="s">
        <v>2643</v>
      </c>
      <c r="G1034" t="s">
        <v>26</v>
      </c>
      <c r="H1034" t="s">
        <v>26</v>
      </c>
      <c r="I1034" s="24">
        <v>39783</v>
      </c>
      <c r="J1034" s="25" t="s">
        <v>77</v>
      </c>
      <c r="K1034" t="s">
        <v>26</v>
      </c>
      <c r="L1034" s="25" t="s">
        <v>68</v>
      </c>
      <c r="M1034" s="24">
        <v>39783</v>
      </c>
      <c r="N1034" s="25" t="s">
        <v>77</v>
      </c>
      <c r="O1034" t="s">
        <v>26</v>
      </c>
      <c r="P1034" s="24">
        <v>39783</v>
      </c>
      <c r="Q1034" s="25" t="s">
        <v>77</v>
      </c>
      <c r="R1034" t="s">
        <v>26</v>
      </c>
      <c r="S1034" t="s">
        <v>26</v>
      </c>
      <c r="T1034" t="s">
        <v>26</v>
      </c>
      <c r="U1034" t="s">
        <v>26</v>
      </c>
      <c r="V1034" t="s">
        <v>26</v>
      </c>
      <c r="W1034" s="24">
        <v>39783</v>
      </c>
      <c r="X1034" s="25" t="s">
        <v>77</v>
      </c>
      <c r="Y1034" t="s">
        <v>26</v>
      </c>
      <c r="Z1034" s="24">
        <v>39783</v>
      </c>
      <c r="AA1034" s="25" t="s">
        <v>77</v>
      </c>
      <c r="AB1034" t="s">
        <v>26</v>
      </c>
      <c r="AC1034" s="24">
        <v>39783</v>
      </c>
      <c r="AD1034" s="25" t="s">
        <v>77</v>
      </c>
      <c r="AE1034" t="s">
        <v>26</v>
      </c>
      <c r="AF1034" t="s">
        <v>26</v>
      </c>
      <c r="AG1034" t="s">
        <v>26</v>
      </c>
      <c r="AH1034" t="s">
        <v>26</v>
      </c>
      <c r="AI1034" t="s">
        <v>26</v>
      </c>
      <c r="AJ1034" t="s">
        <v>26</v>
      </c>
      <c r="AK1034" t="s">
        <v>26</v>
      </c>
      <c r="AL1034" t="s">
        <v>26</v>
      </c>
      <c r="AM1034" t="s">
        <v>26</v>
      </c>
      <c r="AN1034" t="s">
        <v>26</v>
      </c>
      <c r="AO1034" s="25" t="s">
        <v>68</v>
      </c>
      <c r="AP1034" s="23" t="s">
        <v>69</v>
      </c>
      <c r="AQ1034" s="23" t="s">
        <v>30</v>
      </c>
      <c r="AR1034" s="23" t="s">
        <v>46</v>
      </c>
      <c r="AS1034" s="25">
        <v>39577</v>
      </c>
      <c r="AT1034" t="s">
        <v>26</v>
      </c>
      <c r="AU1034" t="s">
        <v>23601</v>
      </c>
    </row>
    <row r="1035" spans="1:47" ht="26.25" x14ac:dyDescent="0.4">
      <c r="A1035" s="23" t="s">
        <v>2644</v>
      </c>
      <c r="B1035" t="s">
        <v>26</v>
      </c>
      <c r="C1035" s="23" t="s">
        <v>107</v>
      </c>
      <c r="D1035" s="23" t="s">
        <v>22194</v>
      </c>
      <c r="E1035" s="23" t="s">
        <v>42</v>
      </c>
      <c r="F1035" s="25" t="s">
        <v>2645</v>
      </c>
      <c r="G1035" s="25" t="s">
        <v>2646</v>
      </c>
      <c r="H1035" t="s">
        <v>26</v>
      </c>
      <c r="I1035" t="s">
        <v>26</v>
      </c>
      <c r="J1035" t="s">
        <v>26</v>
      </c>
      <c r="K1035" t="s">
        <v>26</v>
      </c>
      <c r="L1035" s="25" t="s">
        <v>68</v>
      </c>
      <c r="M1035" t="s">
        <v>26</v>
      </c>
      <c r="N1035" t="s">
        <v>26</v>
      </c>
      <c r="O1035" t="s">
        <v>26</v>
      </c>
      <c r="P1035" t="s">
        <v>26</v>
      </c>
      <c r="Q1035" t="s">
        <v>26</v>
      </c>
      <c r="R1035" t="s">
        <v>26</v>
      </c>
      <c r="S1035" t="s">
        <v>26</v>
      </c>
      <c r="T1035" t="s">
        <v>26</v>
      </c>
      <c r="U1035" t="s">
        <v>26</v>
      </c>
      <c r="V1035" t="s">
        <v>26</v>
      </c>
      <c r="W1035" s="24">
        <v>33664</v>
      </c>
      <c r="X1035" s="25" t="s">
        <v>77</v>
      </c>
      <c r="Y1035" t="s">
        <v>26</v>
      </c>
      <c r="Z1035" s="24">
        <v>33664</v>
      </c>
      <c r="AA1035" s="25" t="s">
        <v>77</v>
      </c>
      <c r="AB1035" t="s">
        <v>26</v>
      </c>
      <c r="AC1035" s="24">
        <v>33664</v>
      </c>
      <c r="AD1035" s="25" t="s">
        <v>77</v>
      </c>
      <c r="AE1035" t="s">
        <v>26</v>
      </c>
      <c r="AF1035" t="s">
        <v>26</v>
      </c>
      <c r="AG1035" t="s">
        <v>26</v>
      </c>
      <c r="AH1035" t="s">
        <v>26</v>
      </c>
      <c r="AI1035" t="s">
        <v>26</v>
      </c>
      <c r="AJ1035" t="s">
        <v>26</v>
      </c>
      <c r="AK1035" t="s">
        <v>26</v>
      </c>
      <c r="AL1035" t="s">
        <v>26</v>
      </c>
      <c r="AM1035" t="s">
        <v>26</v>
      </c>
      <c r="AN1035" t="s">
        <v>26</v>
      </c>
      <c r="AO1035" s="25" t="s">
        <v>68</v>
      </c>
      <c r="AP1035" s="23" t="s">
        <v>69</v>
      </c>
      <c r="AQ1035" s="23" t="s">
        <v>30</v>
      </c>
      <c r="AR1035" s="23" t="s">
        <v>2647</v>
      </c>
      <c r="AS1035" s="25">
        <v>5019</v>
      </c>
      <c r="AT1035" t="s">
        <v>26</v>
      </c>
      <c r="AU1035" t="s">
        <v>23602</v>
      </c>
    </row>
    <row r="1036" spans="1:47" ht="26.25" x14ac:dyDescent="0.4">
      <c r="A1036" s="23" t="s">
        <v>23603</v>
      </c>
      <c r="B1036" t="s">
        <v>26</v>
      </c>
      <c r="C1036" s="23" t="s">
        <v>23604</v>
      </c>
      <c r="D1036" s="23" t="s">
        <v>23605</v>
      </c>
      <c r="E1036" s="23" t="s">
        <v>2636</v>
      </c>
      <c r="F1036" t="s">
        <v>26</v>
      </c>
      <c r="G1036" s="25" t="s">
        <v>23606</v>
      </c>
      <c r="H1036" t="s">
        <v>26</v>
      </c>
      <c r="I1036" s="24">
        <v>38718</v>
      </c>
      <c r="J1036" s="25" t="s">
        <v>77</v>
      </c>
      <c r="K1036" t="s">
        <v>26</v>
      </c>
      <c r="L1036" s="25" t="s">
        <v>68</v>
      </c>
      <c r="M1036" s="24">
        <v>38718</v>
      </c>
      <c r="N1036" s="25" t="s">
        <v>77</v>
      </c>
      <c r="O1036" t="s">
        <v>26</v>
      </c>
      <c r="P1036" t="s">
        <v>26</v>
      </c>
      <c r="Q1036" t="s">
        <v>26</v>
      </c>
      <c r="R1036" t="s">
        <v>26</v>
      </c>
      <c r="S1036" t="s">
        <v>26</v>
      </c>
      <c r="T1036" t="s">
        <v>26</v>
      </c>
      <c r="U1036" t="s">
        <v>26</v>
      </c>
      <c r="V1036" t="s">
        <v>26</v>
      </c>
      <c r="W1036" s="24">
        <v>38718</v>
      </c>
      <c r="X1036" s="25" t="s">
        <v>77</v>
      </c>
      <c r="Y1036" t="s">
        <v>26</v>
      </c>
      <c r="Z1036" s="24">
        <v>38718</v>
      </c>
      <c r="AA1036" s="25" t="s">
        <v>77</v>
      </c>
      <c r="AB1036" t="s">
        <v>26</v>
      </c>
      <c r="AC1036" s="24">
        <v>38718</v>
      </c>
      <c r="AD1036" s="25" t="s">
        <v>77</v>
      </c>
      <c r="AE1036" t="s">
        <v>26</v>
      </c>
      <c r="AF1036" t="s">
        <v>26</v>
      </c>
      <c r="AG1036" t="s">
        <v>26</v>
      </c>
      <c r="AH1036" t="s">
        <v>26</v>
      </c>
      <c r="AI1036" t="s">
        <v>26</v>
      </c>
      <c r="AJ1036" t="s">
        <v>26</v>
      </c>
      <c r="AK1036" t="s">
        <v>26</v>
      </c>
      <c r="AL1036" t="s">
        <v>26</v>
      </c>
      <c r="AM1036" t="s">
        <v>26</v>
      </c>
      <c r="AN1036" t="s">
        <v>26</v>
      </c>
      <c r="AO1036" s="25" t="s">
        <v>68</v>
      </c>
      <c r="AP1036" s="23" t="s">
        <v>69</v>
      </c>
      <c r="AQ1036" s="23" t="s">
        <v>30</v>
      </c>
      <c r="AR1036" s="23" t="s">
        <v>23607</v>
      </c>
      <c r="AS1036" s="25">
        <v>29335</v>
      </c>
      <c r="AT1036" t="s">
        <v>26</v>
      </c>
      <c r="AU1036" t="s">
        <v>23608</v>
      </c>
    </row>
    <row r="1037" spans="1:47" ht="26.25" x14ac:dyDescent="0.4">
      <c r="A1037" s="23" t="s">
        <v>2648</v>
      </c>
      <c r="B1037" t="s">
        <v>26</v>
      </c>
      <c r="C1037" s="23" t="s">
        <v>292</v>
      </c>
      <c r="D1037" s="23" t="s">
        <v>22256</v>
      </c>
      <c r="E1037" s="23" t="s">
        <v>42</v>
      </c>
      <c r="F1037" t="s">
        <v>26</v>
      </c>
      <c r="G1037" t="s">
        <v>26</v>
      </c>
      <c r="H1037" t="s">
        <v>26</v>
      </c>
      <c r="I1037" t="s">
        <v>26</v>
      </c>
      <c r="J1037" t="s">
        <v>26</v>
      </c>
      <c r="K1037" t="s">
        <v>26</v>
      </c>
      <c r="L1037" s="25" t="s">
        <v>28</v>
      </c>
      <c r="M1037" t="s">
        <v>26</v>
      </c>
      <c r="N1037" t="s">
        <v>26</v>
      </c>
      <c r="O1037" t="s">
        <v>26</v>
      </c>
      <c r="P1037" t="s">
        <v>26</v>
      </c>
      <c r="Q1037" t="s">
        <v>26</v>
      </c>
      <c r="R1037" t="s">
        <v>26</v>
      </c>
      <c r="S1037" t="s">
        <v>26</v>
      </c>
      <c r="T1037" t="s">
        <v>26</v>
      </c>
      <c r="U1037" t="s">
        <v>26</v>
      </c>
      <c r="V1037" t="s">
        <v>26</v>
      </c>
      <c r="W1037" s="24">
        <v>41275</v>
      </c>
      <c r="X1037" s="24">
        <v>41275</v>
      </c>
      <c r="Y1037" t="s">
        <v>26</v>
      </c>
      <c r="Z1037" s="24">
        <v>41275</v>
      </c>
      <c r="AA1037" s="24">
        <v>41275</v>
      </c>
      <c r="AB1037" t="s">
        <v>26</v>
      </c>
      <c r="AC1037" t="s">
        <v>26</v>
      </c>
      <c r="AD1037" t="s">
        <v>26</v>
      </c>
      <c r="AE1037" t="s">
        <v>26</v>
      </c>
      <c r="AF1037" t="s">
        <v>26</v>
      </c>
      <c r="AG1037" t="s">
        <v>26</v>
      </c>
      <c r="AH1037" t="s">
        <v>26</v>
      </c>
      <c r="AI1037" t="s">
        <v>26</v>
      </c>
      <c r="AJ1037" t="s">
        <v>26</v>
      </c>
      <c r="AK1037" t="s">
        <v>26</v>
      </c>
      <c r="AL1037" t="s">
        <v>26</v>
      </c>
      <c r="AM1037" t="s">
        <v>26</v>
      </c>
      <c r="AN1037" t="s">
        <v>26</v>
      </c>
      <c r="AO1037" s="25" t="s">
        <v>28</v>
      </c>
      <c r="AP1037" s="23" t="s">
        <v>29</v>
      </c>
      <c r="AQ1037" s="23" t="s">
        <v>30</v>
      </c>
      <c r="AR1037" s="23" t="s">
        <v>147</v>
      </c>
      <c r="AS1037" s="25">
        <v>5325182</v>
      </c>
      <c r="AT1037" s="23" t="s">
        <v>22181</v>
      </c>
      <c r="AU1037" t="s">
        <v>23609</v>
      </c>
    </row>
    <row r="1038" spans="1:47" ht="39.4" x14ac:dyDescent="0.4">
      <c r="A1038" s="23" t="s">
        <v>2649</v>
      </c>
      <c r="B1038" t="s">
        <v>26</v>
      </c>
      <c r="C1038" s="23" t="s">
        <v>80</v>
      </c>
      <c r="D1038" s="23" t="s">
        <v>22184</v>
      </c>
      <c r="E1038" s="23" t="s">
        <v>60</v>
      </c>
      <c r="F1038" s="25" t="s">
        <v>2650</v>
      </c>
      <c r="G1038" s="25" t="s">
        <v>2651</v>
      </c>
      <c r="H1038" t="s">
        <v>26</v>
      </c>
      <c r="I1038" t="s">
        <v>26</v>
      </c>
      <c r="J1038" t="s">
        <v>26</v>
      </c>
      <c r="K1038" t="s">
        <v>26</v>
      </c>
      <c r="L1038" s="25" t="s">
        <v>68</v>
      </c>
      <c r="M1038" t="s">
        <v>26</v>
      </c>
      <c r="N1038" t="s">
        <v>26</v>
      </c>
      <c r="O1038" t="s">
        <v>26</v>
      </c>
      <c r="P1038" t="s">
        <v>26</v>
      </c>
      <c r="Q1038" t="s">
        <v>26</v>
      </c>
      <c r="R1038" t="s">
        <v>26</v>
      </c>
      <c r="S1038" t="s">
        <v>26</v>
      </c>
      <c r="T1038" t="s">
        <v>26</v>
      </c>
      <c r="U1038" t="s">
        <v>26</v>
      </c>
      <c r="V1038" t="s">
        <v>26</v>
      </c>
      <c r="W1038" s="24">
        <v>42917</v>
      </c>
      <c r="X1038" s="24">
        <v>43770</v>
      </c>
      <c r="Y1038" t="s">
        <v>26</v>
      </c>
      <c r="Z1038" s="24">
        <v>42917</v>
      </c>
      <c r="AA1038" s="24">
        <v>43770</v>
      </c>
      <c r="AB1038" t="s">
        <v>26</v>
      </c>
      <c r="AC1038" s="24">
        <v>42917</v>
      </c>
      <c r="AD1038" s="24">
        <v>43770</v>
      </c>
      <c r="AE1038" t="s">
        <v>26</v>
      </c>
      <c r="AF1038" t="s">
        <v>26</v>
      </c>
      <c r="AG1038" t="s">
        <v>26</v>
      </c>
      <c r="AH1038" t="s">
        <v>26</v>
      </c>
      <c r="AI1038" t="s">
        <v>26</v>
      </c>
      <c r="AJ1038" t="s">
        <v>26</v>
      </c>
      <c r="AK1038" t="s">
        <v>26</v>
      </c>
      <c r="AL1038" t="s">
        <v>26</v>
      </c>
      <c r="AM1038" t="s">
        <v>26</v>
      </c>
      <c r="AN1038" t="s">
        <v>26</v>
      </c>
      <c r="AO1038" s="25" t="s">
        <v>28</v>
      </c>
      <c r="AP1038" s="23" t="s">
        <v>69</v>
      </c>
      <c r="AQ1038" s="23" t="s">
        <v>30</v>
      </c>
      <c r="AR1038" s="23" t="s">
        <v>2652</v>
      </c>
      <c r="AS1038" s="25">
        <v>53217</v>
      </c>
      <c r="AT1038" t="s">
        <v>26</v>
      </c>
      <c r="AU1038" t="s">
        <v>23610</v>
      </c>
    </row>
    <row r="1039" spans="1:47" ht="39.4" x14ac:dyDescent="0.4">
      <c r="A1039" s="23" t="s">
        <v>2649</v>
      </c>
      <c r="B1039" t="s">
        <v>26</v>
      </c>
      <c r="C1039" s="23" t="s">
        <v>80</v>
      </c>
      <c r="D1039" s="23" t="s">
        <v>22184</v>
      </c>
      <c r="E1039" s="23" t="s">
        <v>60</v>
      </c>
      <c r="F1039" s="25" t="s">
        <v>2650</v>
      </c>
      <c r="G1039" s="25" t="s">
        <v>2651</v>
      </c>
      <c r="H1039" t="s">
        <v>26</v>
      </c>
      <c r="I1039" t="s">
        <v>26</v>
      </c>
      <c r="J1039" t="s">
        <v>26</v>
      </c>
      <c r="K1039" t="s">
        <v>26</v>
      </c>
      <c r="L1039" s="25" t="s">
        <v>68</v>
      </c>
      <c r="M1039" t="s">
        <v>26</v>
      </c>
      <c r="N1039" t="s">
        <v>26</v>
      </c>
      <c r="O1039" t="s">
        <v>26</v>
      </c>
      <c r="P1039" t="s">
        <v>26</v>
      </c>
      <c r="Q1039" t="s">
        <v>26</v>
      </c>
      <c r="R1039" t="s">
        <v>26</v>
      </c>
      <c r="S1039" t="s">
        <v>26</v>
      </c>
      <c r="T1039" t="s">
        <v>26</v>
      </c>
      <c r="U1039" t="s">
        <v>26</v>
      </c>
      <c r="V1039" t="s">
        <v>26</v>
      </c>
      <c r="W1039" s="24">
        <v>42309</v>
      </c>
      <c r="X1039" s="25" t="s">
        <v>77</v>
      </c>
      <c r="Y1039" s="25" t="s">
        <v>833</v>
      </c>
      <c r="Z1039" s="24">
        <v>42309</v>
      </c>
      <c r="AA1039" s="25" t="s">
        <v>77</v>
      </c>
      <c r="AB1039" s="25" t="s">
        <v>833</v>
      </c>
      <c r="AC1039" s="24">
        <v>42309</v>
      </c>
      <c r="AD1039" s="25" t="s">
        <v>77</v>
      </c>
      <c r="AE1039" s="25" t="s">
        <v>833</v>
      </c>
      <c r="AF1039" t="s">
        <v>26</v>
      </c>
      <c r="AG1039" t="s">
        <v>26</v>
      </c>
      <c r="AH1039" t="s">
        <v>26</v>
      </c>
      <c r="AI1039" t="s">
        <v>26</v>
      </c>
      <c r="AJ1039" t="s">
        <v>26</v>
      </c>
      <c r="AK1039" t="s">
        <v>26</v>
      </c>
      <c r="AL1039" t="s">
        <v>26</v>
      </c>
      <c r="AM1039" t="s">
        <v>26</v>
      </c>
      <c r="AN1039" t="s">
        <v>26</v>
      </c>
      <c r="AO1039" s="25" t="s">
        <v>28</v>
      </c>
      <c r="AP1039" s="23" t="s">
        <v>69</v>
      </c>
      <c r="AQ1039" s="23" t="s">
        <v>30</v>
      </c>
      <c r="AR1039" s="23" t="s">
        <v>2652</v>
      </c>
      <c r="AS1039" s="25">
        <v>2039211</v>
      </c>
      <c r="AT1039" t="s">
        <v>26</v>
      </c>
      <c r="AU1039" t="s">
        <v>23611</v>
      </c>
    </row>
    <row r="1040" spans="1:47" ht="26.25" x14ac:dyDescent="0.4">
      <c r="A1040" s="23" t="s">
        <v>2653</v>
      </c>
      <c r="B1040" t="s">
        <v>26</v>
      </c>
      <c r="C1040" s="23" t="s">
        <v>172</v>
      </c>
      <c r="D1040" s="23" t="s">
        <v>22242</v>
      </c>
      <c r="E1040" s="23" t="s">
        <v>60</v>
      </c>
      <c r="F1040" s="25" t="s">
        <v>2654</v>
      </c>
      <c r="G1040" s="25" t="s">
        <v>2655</v>
      </c>
      <c r="H1040" t="s">
        <v>26</v>
      </c>
      <c r="I1040" t="s">
        <v>26</v>
      </c>
      <c r="J1040" t="s">
        <v>26</v>
      </c>
      <c r="K1040" t="s">
        <v>26</v>
      </c>
      <c r="L1040" s="25" t="s">
        <v>68</v>
      </c>
      <c r="M1040" t="s">
        <v>26</v>
      </c>
      <c r="N1040" t="s">
        <v>26</v>
      </c>
      <c r="O1040" t="s">
        <v>26</v>
      </c>
      <c r="P1040" t="s">
        <v>26</v>
      </c>
      <c r="Q1040" t="s">
        <v>26</v>
      </c>
      <c r="R1040" t="s">
        <v>26</v>
      </c>
      <c r="S1040" t="s">
        <v>26</v>
      </c>
      <c r="T1040" t="s">
        <v>26</v>
      </c>
      <c r="U1040" t="s">
        <v>26</v>
      </c>
      <c r="V1040" t="s">
        <v>26</v>
      </c>
      <c r="W1040" s="24">
        <v>37987</v>
      </c>
      <c r="X1040" s="25" t="s">
        <v>77</v>
      </c>
      <c r="Y1040" t="s">
        <v>26</v>
      </c>
      <c r="Z1040" s="24">
        <v>37987</v>
      </c>
      <c r="AA1040" s="25" t="s">
        <v>77</v>
      </c>
      <c r="AB1040" t="s">
        <v>26</v>
      </c>
      <c r="AC1040" s="24">
        <v>37987</v>
      </c>
      <c r="AD1040" s="25" t="s">
        <v>77</v>
      </c>
      <c r="AE1040" t="s">
        <v>26</v>
      </c>
      <c r="AF1040" t="s">
        <v>26</v>
      </c>
      <c r="AG1040" t="s">
        <v>26</v>
      </c>
      <c r="AH1040" t="s">
        <v>26</v>
      </c>
      <c r="AI1040" t="s">
        <v>26</v>
      </c>
      <c r="AJ1040" t="s">
        <v>26</v>
      </c>
      <c r="AK1040" t="s">
        <v>26</v>
      </c>
      <c r="AL1040" t="s">
        <v>26</v>
      </c>
      <c r="AM1040" t="s">
        <v>26</v>
      </c>
      <c r="AN1040" t="s">
        <v>26</v>
      </c>
      <c r="AO1040" s="25" t="s">
        <v>68</v>
      </c>
      <c r="AP1040" s="23" t="s">
        <v>69</v>
      </c>
      <c r="AQ1040" s="23" t="s">
        <v>30</v>
      </c>
      <c r="AR1040" s="23" t="s">
        <v>2656</v>
      </c>
      <c r="AS1040" s="25">
        <v>29898</v>
      </c>
      <c r="AT1040" t="s">
        <v>26</v>
      </c>
      <c r="AU1040" t="s">
        <v>23612</v>
      </c>
    </row>
    <row r="1041" spans="1:47" ht="39.4" x14ac:dyDescent="0.4">
      <c r="A1041" s="23" t="s">
        <v>2657</v>
      </c>
      <c r="B1041" t="s">
        <v>26</v>
      </c>
      <c r="C1041" s="23" t="s">
        <v>302</v>
      </c>
      <c r="D1041" s="23" t="s">
        <v>22286</v>
      </c>
      <c r="E1041" s="23" t="s">
        <v>42</v>
      </c>
      <c r="F1041" t="s">
        <v>26</v>
      </c>
      <c r="G1041" t="s">
        <v>26</v>
      </c>
      <c r="H1041" t="s">
        <v>26</v>
      </c>
      <c r="I1041" t="s">
        <v>26</v>
      </c>
      <c r="J1041" t="s">
        <v>26</v>
      </c>
      <c r="K1041" t="s">
        <v>26</v>
      </c>
      <c r="L1041" s="25" t="s">
        <v>28</v>
      </c>
      <c r="M1041" t="s">
        <v>26</v>
      </c>
      <c r="N1041" t="s">
        <v>26</v>
      </c>
      <c r="O1041" t="s">
        <v>26</v>
      </c>
      <c r="P1041" t="s">
        <v>26</v>
      </c>
      <c r="Q1041" t="s">
        <v>26</v>
      </c>
      <c r="R1041" t="s">
        <v>26</v>
      </c>
      <c r="S1041" t="s">
        <v>26</v>
      </c>
      <c r="T1041" t="s">
        <v>26</v>
      </c>
      <c r="U1041" t="s">
        <v>26</v>
      </c>
      <c r="V1041" t="s">
        <v>26</v>
      </c>
      <c r="W1041" s="24">
        <v>42005</v>
      </c>
      <c r="X1041" s="24">
        <v>42005</v>
      </c>
      <c r="Y1041" t="s">
        <v>26</v>
      </c>
      <c r="Z1041" s="24">
        <v>42005</v>
      </c>
      <c r="AA1041" s="24">
        <v>42005</v>
      </c>
      <c r="AB1041" t="s">
        <v>26</v>
      </c>
      <c r="AC1041" t="s">
        <v>26</v>
      </c>
      <c r="AD1041" t="s">
        <v>26</v>
      </c>
      <c r="AE1041" t="s">
        <v>26</v>
      </c>
      <c r="AF1041" t="s">
        <v>26</v>
      </c>
      <c r="AG1041" t="s">
        <v>26</v>
      </c>
      <c r="AH1041" t="s">
        <v>26</v>
      </c>
      <c r="AI1041" t="s">
        <v>26</v>
      </c>
      <c r="AJ1041" t="s">
        <v>26</v>
      </c>
      <c r="AK1041" t="s">
        <v>26</v>
      </c>
      <c r="AL1041" t="s">
        <v>26</v>
      </c>
      <c r="AM1041" t="s">
        <v>26</v>
      </c>
      <c r="AN1041" t="s">
        <v>26</v>
      </c>
      <c r="AO1041" s="25" t="s">
        <v>28</v>
      </c>
      <c r="AP1041" s="23" t="s">
        <v>29</v>
      </c>
      <c r="AQ1041" s="23" t="s">
        <v>30</v>
      </c>
      <c r="AR1041" s="23" t="s">
        <v>245</v>
      </c>
      <c r="AS1041" s="25">
        <v>5483585</v>
      </c>
      <c r="AT1041" s="23" t="s">
        <v>22181</v>
      </c>
      <c r="AU1041" t="s">
        <v>23613</v>
      </c>
    </row>
    <row r="1042" spans="1:47" ht="26.25" x14ac:dyDescent="0.4">
      <c r="A1042" s="23" t="s">
        <v>2658</v>
      </c>
      <c r="B1042" t="s">
        <v>26</v>
      </c>
      <c r="C1042" s="23" t="s">
        <v>908</v>
      </c>
      <c r="D1042" s="23" t="s">
        <v>22174</v>
      </c>
      <c r="E1042" s="23" t="s">
        <v>60</v>
      </c>
      <c r="F1042" s="25" t="s">
        <v>2659</v>
      </c>
      <c r="G1042" s="25" t="s">
        <v>2660</v>
      </c>
      <c r="H1042" t="s">
        <v>26</v>
      </c>
      <c r="I1042" s="24">
        <v>43282</v>
      </c>
      <c r="J1042" s="25" t="s">
        <v>77</v>
      </c>
      <c r="K1042" t="s">
        <v>26</v>
      </c>
      <c r="L1042" s="25" t="s">
        <v>68</v>
      </c>
      <c r="M1042" s="24">
        <v>43313</v>
      </c>
      <c r="N1042" s="25" t="s">
        <v>77</v>
      </c>
      <c r="O1042" t="s">
        <v>26</v>
      </c>
      <c r="P1042" s="24">
        <v>43282</v>
      </c>
      <c r="Q1042" s="25" t="s">
        <v>77</v>
      </c>
      <c r="R1042" t="s">
        <v>26</v>
      </c>
      <c r="S1042" t="s">
        <v>26</v>
      </c>
      <c r="T1042" t="s">
        <v>26</v>
      </c>
      <c r="U1042" t="s">
        <v>26</v>
      </c>
      <c r="V1042" t="s">
        <v>26</v>
      </c>
      <c r="W1042" s="24">
        <v>43282</v>
      </c>
      <c r="X1042" s="25" t="s">
        <v>77</v>
      </c>
      <c r="Y1042" t="s">
        <v>26</v>
      </c>
      <c r="Z1042" s="24">
        <v>43282</v>
      </c>
      <c r="AA1042" s="25" t="s">
        <v>77</v>
      </c>
      <c r="AB1042" t="s">
        <v>26</v>
      </c>
      <c r="AC1042" s="24">
        <v>43282</v>
      </c>
      <c r="AD1042" s="25" t="s">
        <v>77</v>
      </c>
      <c r="AE1042" t="s">
        <v>26</v>
      </c>
      <c r="AF1042" t="s">
        <v>26</v>
      </c>
      <c r="AG1042" t="s">
        <v>26</v>
      </c>
      <c r="AH1042" t="s">
        <v>26</v>
      </c>
      <c r="AI1042" t="s">
        <v>26</v>
      </c>
      <c r="AJ1042" t="s">
        <v>26</v>
      </c>
      <c r="AK1042" t="s">
        <v>26</v>
      </c>
      <c r="AL1042" t="s">
        <v>26</v>
      </c>
      <c r="AM1042" t="s">
        <v>26</v>
      </c>
      <c r="AN1042" t="s">
        <v>26</v>
      </c>
      <c r="AO1042" s="25" t="s">
        <v>68</v>
      </c>
      <c r="AP1042" s="23" t="s">
        <v>69</v>
      </c>
      <c r="AQ1042" s="23" t="s">
        <v>30</v>
      </c>
      <c r="AR1042" s="23" t="s">
        <v>70</v>
      </c>
      <c r="AS1042" s="25">
        <v>4758913</v>
      </c>
      <c r="AT1042" t="s">
        <v>26</v>
      </c>
      <c r="AU1042" t="s">
        <v>23614</v>
      </c>
    </row>
    <row r="1043" spans="1:47" ht="13.15" x14ac:dyDescent="0.4">
      <c r="A1043" s="23" t="s">
        <v>2661</v>
      </c>
      <c r="B1043" t="s">
        <v>26</v>
      </c>
      <c r="C1043" s="23" t="s">
        <v>2662</v>
      </c>
      <c r="D1043" s="23" t="s">
        <v>22660</v>
      </c>
      <c r="E1043" s="23" t="s">
        <v>42</v>
      </c>
      <c r="F1043" t="s">
        <v>26</v>
      </c>
      <c r="G1043" s="25" t="s">
        <v>2663</v>
      </c>
      <c r="H1043" t="s">
        <v>26</v>
      </c>
      <c r="I1043" s="24">
        <v>37500</v>
      </c>
      <c r="J1043" s="24">
        <v>43952</v>
      </c>
      <c r="K1043" t="s">
        <v>26</v>
      </c>
      <c r="L1043" s="25" t="s">
        <v>28</v>
      </c>
      <c r="M1043" s="24">
        <v>37500</v>
      </c>
      <c r="N1043" s="24">
        <v>43952</v>
      </c>
      <c r="O1043" t="s">
        <v>26</v>
      </c>
      <c r="P1043" s="24">
        <v>37500</v>
      </c>
      <c r="Q1043" s="24">
        <v>43952</v>
      </c>
      <c r="R1043" t="s">
        <v>26</v>
      </c>
      <c r="S1043" t="s">
        <v>26</v>
      </c>
      <c r="T1043" t="s">
        <v>26</v>
      </c>
      <c r="U1043" t="s">
        <v>26</v>
      </c>
      <c r="V1043" t="s">
        <v>26</v>
      </c>
      <c r="W1043" s="24">
        <v>37500</v>
      </c>
      <c r="X1043" s="24">
        <v>43952</v>
      </c>
      <c r="Y1043" t="s">
        <v>26</v>
      </c>
      <c r="Z1043" s="24">
        <v>37500</v>
      </c>
      <c r="AA1043" s="24">
        <v>43952</v>
      </c>
      <c r="AB1043" t="s">
        <v>26</v>
      </c>
      <c r="AC1043" s="24">
        <v>38777</v>
      </c>
      <c r="AD1043" s="24">
        <v>43952</v>
      </c>
      <c r="AE1043" t="s">
        <v>26</v>
      </c>
      <c r="AF1043" t="s">
        <v>26</v>
      </c>
      <c r="AG1043" t="s">
        <v>26</v>
      </c>
      <c r="AH1043" t="s">
        <v>26</v>
      </c>
      <c r="AI1043" t="s">
        <v>26</v>
      </c>
      <c r="AJ1043" t="s">
        <v>26</v>
      </c>
      <c r="AK1043" t="s">
        <v>26</v>
      </c>
      <c r="AL1043" t="s">
        <v>26</v>
      </c>
      <c r="AM1043" t="s">
        <v>26</v>
      </c>
      <c r="AN1043" t="s">
        <v>26</v>
      </c>
      <c r="AO1043" s="25" t="s">
        <v>28</v>
      </c>
      <c r="AP1043" s="23" t="s">
        <v>211</v>
      </c>
      <c r="AQ1043" t="s">
        <v>26</v>
      </c>
      <c r="AR1043" s="23" t="s">
        <v>1332</v>
      </c>
      <c r="AS1043" s="25">
        <v>33559</v>
      </c>
      <c r="AT1043" t="s">
        <v>26</v>
      </c>
      <c r="AU1043" t="s">
        <v>23615</v>
      </c>
    </row>
    <row r="1044" spans="1:47" ht="26.25" x14ac:dyDescent="0.4">
      <c r="A1044" s="23" t="s">
        <v>2664</v>
      </c>
      <c r="B1044" t="s">
        <v>26</v>
      </c>
      <c r="C1044" s="23" t="s">
        <v>320</v>
      </c>
      <c r="D1044" s="23" t="s">
        <v>23616</v>
      </c>
      <c r="E1044" s="23" t="s">
        <v>42</v>
      </c>
      <c r="F1044" s="25" t="s">
        <v>2665</v>
      </c>
      <c r="G1044" s="25" t="s">
        <v>2666</v>
      </c>
      <c r="H1044" t="s">
        <v>26</v>
      </c>
      <c r="I1044" t="s">
        <v>26</v>
      </c>
      <c r="J1044" t="s">
        <v>26</v>
      </c>
      <c r="K1044" t="s">
        <v>26</v>
      </c>
      <c r="L1044" s="25" t="s">
        <v>68</v>
      </c>
      <c r="M1044" t="s">
        <v>26</v>
      </c>
      <c r="N1044" t="s">
        <v>26</v>
      </c>
      <c r="O1044" t="s">
        <v>26</v>
      </c>
      <c r="P1044" t="s">
        <v>26</v>
      </c>
      <c r="Q1044" t="s">
        <v>26</v>
      </c>
      <c r="R1044" t="s">
        <v>26</v>
      </c>
      <c r="S1044" t="s">
        <v>26</v>
      </c>
      <c r="T1044" t="s">
        <v>26</v>
      </c>
      <c r="U1044" t="s">
        <v>26</v>
      </c>
      <c r="V1044" t="s">
        <v>26</v>
      </c>
      <c r="W1044" s="24">
        <v>40575</v>
      </c>
      <c r="X1044" s="25" t="s">
        <v>77</v>
      </c>
      <c r="Y1044" t="s">
        <v>26</v>
      </c>
      <c r="Z1044" s="24">
        <v>40575</v>
      </c>
      <c r="AA1044" s="25" t="s">
        <v>77</v>
      </c>
      <c r="AB1044" t="s">
        <v>26</v>
      </c>
      <c r="AC1044" s="24">
        <v>40575</v>
      </c>
      <c r="AD1044" s="25" t="s">
        <v>77</v>
      </c>
      <c r="AE1044" t="s">
        <v>26</v>
      </c>
      <c r="AF1044" t="s">
        <v>26</v>
      </c>
      <c r="AG1044" t="s">
        <v>26</v>
      </c>
      <c r="AH1044" t="s">
        <v>26</v>
      </c>
      <c r="AI1044" t="s">
        <v>26</v>
      </c>
      <c r="AJ1044" t="s">
        <v>26</v>
      </c>
      <c r="AK1044" t="s">
        <v>26</v>
      </c>
      <c r="AL1044" t="s">
        <v>26</v>
      </c>
      <c r="AM1044" t="s">
        <v>26</v>
      </c>
      <c r="AN1044" t="s">
        <v>26</v>
      </c>
      <c r="AO1044" s="25" t="s">
        <v>68</v>
      </c>
      <c r="AP1044" s="23" t="s">
        <v>69</v>
      </c>
      <c r="AQ1044" s="23" t="s">
        <v>30</v>
      </c>
      <c r="AR1044" s="23" t="s">
        <v>2667</v>
      </c>
      <c r="AS1044" s="25">
        <v>1066353</v>
      </c>
      <c r="AT1044" t="s">
        <v>26</v>
      </c>
      <c r="AU1044" t="s">
        <v>23617</v>
      </c>
    </row>
    <row r="1045" spans="1:47" ht="26.25" x14ac:dyDescent="0.4">
      <c r="A1045" s="23" t="s">
        <v>2668</v>
      </c>
      <c r="B1045" t="s">
        <v>26</v>
      </c>
      <c r="C1045" s="23" t="s">
        <v>710</v>
      </c>
      <c r="D1045" s="23" t="s">
        <v>22453</v>
      </c>
      <c r="E1045" s="23" t="s">
        <v>711</v>
      </c>
      <c r="F1045" s="25" t="s">
        <v>2669</v>
      </c>
      <c r="G1045" t="s">
        <v>26</v>
      </c>
      <c r="H1045" t="s">
        <v>26</v>
      </c>
      <c r="I1045" s="24">
        <v>39083</v>
      </c>
      <c r="J1045" s="24">
        <v>42644</v>
      </c>
      <c r="K1045" t="s">
        <v>26</v>
      </c>
      <c r="L1045" s="25" t="s">
        <v>68</v>
      </c>
      <c r="M1045" s="24">
        <v>39083</v>
      </c>
      <c r="N1045" s="24">
        <v>42644</v>
      </c>
      <c r="O1045" t="s">
        <v>26</v>
      </c>
      <c r="P1045" s="24">
        <v>39083</v>
      </c>
      <c r="Q1045" s="24">
        <v>42644</v>
      </c>
      <c r="R1045" t="s">
        <v>26</v>
      </c>
      <c r="S1045" t="s">
        <v>26</v>
      </c>
      <c r="T1045" t="s">
        <v>26</v>
      </c>
      <c r="U1045" t="s">
        <v>26</v>
      </c>
      <c r="V1045" t="s">
        <v>26</v>
      </c>
      <c r="W1045" s="24">
        <v>39083</v>
      </c>
      <c r="X1045" s="24">
        <v>42644</v>
      </c>
      <c r="Y1045" t="s">
        <v>26</v>
      </c>
      <c r="Z1045" s="24">
        <v>39083</v>
      </c>
      <c r="AA1045" s="24">
        <v>42644</v>
      </c>
      <c r="AB1045" t="s">
        <v>26</v>
      </c>
      <c r="AC1045" s="24">
        <v>39083</v>
      </c>
      <c r="AD1045" s="24">
        <v>41821</v>
      </c>
      <c r="AE1045" t="s">
        <v>26</v>
      </c>
      <c r="AF1045" t="s">
        <v>26</v>
      </c>
      <c r="AG1045" t="s">
        <v>26</v>
      </c>
      <c r="AH1045" t="s">
        <v>26</v>
      </c>
      <c r="AI1045" t="s">
        <v>26</v>
      </c>
      <c r="AJ1045" t="s">
        <v>26</v>
      </c>
      <c r="AK1045" t="s">
        <v>26</v>
      </c>
      <c r="AL1045" t="s">
        <v>26</v>
      </c>
      <c r="AM1045" t="s">
        <v>26</v>
      </c>
      <c r="AN1045" t="s">
        <v>26</v>
      </c>
      <c r="AO1045" s="25" t="s">
        <v>68</v>
      </c>
      <c r="AP1045" s="23" t="s">
        <v>69</v>
      </c>
      <c r="AQ1045" s="23" t="s">
        <v>30</v>
      </c>
      <c r="AR1045" s="23" t="s">
        <v>2670</v>
      </c>
      <c r="AS1045" s="25">
        <v>36889</v>
      </c>
      <c r="AT1045" t="s">
        <v>26</v>
      </c>
      <c r="AU1045" t="s">
        <v>23618</v>
      </c>
    </row>
    <row r="1046" spans="1:47" ht="26.25" x14ac:dyDescent="0.4">
      <c r="A1046" s="23" t="s">
        <v>2671</v>
      </c>
      <c r="B1046" t="s">
        <v>26</v>
      </c>
      <c r="C1046" s="23" t="s">
        <v>2672</v>
      </c>
      <c r="D1046" s="23" t="s">
        <v>22254</v>
      </c>
      <c r="E1046" s="23" t="s">
        <v>42</v>
      </c>
      <c r="F1046" s="25" t="s">
        <v>2673</v>
      </c>
      <c r="G1046" s="25" t="s">
        <v>2674</v>
      </c>
      <c r="H1046" t="s">
        <v>26</v>
      </c>
      <c r="I1046" s="24">
        <v>35916</v>
      </c>
      <c r="J1046" s="24">
        <v>39022</v>
      </c>
      <c r="K1046" t="s">
        <v>26</v>
      </c>
      <c r="L1046" s="25" t="s">
        <v>68</v>
      </c>
      <c r="M1046" s="24">
        <v>35916</v>
      </c>
      <c r="N1046" s="24">
        <v>39022</v>
      </c>
      <c r="O1046" t="s">
        <v>26</v>
      </c>
      <c r="P1046" s="24">
        <v>35916</v>
      </c>
      <c r="Q1046" s="24">
        <v>39022</v>
      </c>
      <c r="R1046" t="s">
        <v>26</v>
      </c>
      <c r="S1046" t="s">
        <v>26</v>
      </c>
      <c r="T1046" t="s">
        <v>26</v>
      </c>
      <c r="U1046" t="s">
        <v>26</v>
      </c>
      <c r="V1046" t="s">
        <v>26</v>
      </c>
      <c r="W1046" s="24">
        <v>35916</v>
      </c>
      <c r="X1046" s="24">
        <v>39022</v>
      </c>
      <c r="Y1046" t="s">
        <v>26</v>
      </c>
      <c r="Z1046" s="24">
        <v>35916</v>
      </c>
      <c r="AA1046" s="24">
        <v>39022</v>
      </c>
      <c r="AB1046" t="s">
        <v>26</v>
      </c>
      <c r="AC1046" s="24">
        <v>36557</v>
      </c>
      <c r="AD1046" s="24">
        <v>39022</v>
      </c>
      <c r="AE1046" t="s">
        <v>26</v>
      </c>
      <c r="AF1046" t="s">
        <v>26</v>
      </c>
      <c r="AG1046" t="s">
        <v>26</v>
      </c>
      <c r="AH1046" t="s">
        <v>26</v>
      </c>
      <c r="AI1046" t="s">
        <v>26</v>
      </c>
      <c r="AJ1046" t="s">
        <v>26</v>
      </c>
      <c r="AK1046" t="s">
        <v>26</v>
      </c>
      <c r="AL1046" t="s">
        <v>26</v>
      </c>
      <c r="AM1046" t="s">
        <v>26</v>
      </c>
      <c r="AN1046" t="s">
        <v>26</v>
      </c>
      <c r="AO1046" s="25" t="s">
        <v>68</v>
      </c>
      <c r="AP1046" s="23" t="s">
        <v>69</v>
      </c>
      <c r="AQ1046" s="23" t="s">
        <v>30</v>
      </c>
      <c r="AR1046" s="23" t="s">
        <v>46</v>
      </c>
      <c r="AS1046" s="25">
        <v>36144</v>
      </c>
      <c r="AT1046" t="s">
        <v>26</v>
      </c>
      <c r="AU1046" t="s">
        <v>23619</v>
      </c>
    </row>
    <row r="1047" spans="1:47" ht="13.15" x14ac:dyDescent="0.4">
      <c r="A1047" s="23" t="s">
        <v>2675</v>
      </c>
      <c r="B1047" t="s">
        <v>26</v>
      </c>
      <c r="C1047" t="s">
        <v>26</v>
      </c>
      <c r="D1047" t="s">
        <v>26</v>
      </c>
      <c r="E1047" t="s">
        <v>26</v>
      </c>
      <c r="F1047" t="s">
        <v>26</v>
      </c>
      <c r="G1047" t="s">
        <v>26</v>
      </c>
      <c r="H1047" t="s">
        <v>26</v>
      </c>
      <c r="I1047" s="24">
        <v>1462</v>
      </c>
      <c r="J1047" s="24">
        <v>1462</v>
      </c>
      <c r="K1047" t="s">
        <v>26</v>
      </c>
      <c r="L1047" s="25" t="s">
        <v>28</v>
      </c>
      <c r="M1047" s="24">
        <v>1462</v>
      </c>
      <c r="N1047" s="24">
        <v>1462</v>
      </c>
      <c r="O1047" t="s">
        <v>26</v>
      </c>
      <c r="P1047" t="s">
        <v>26</v>
      </c>
      <c r="Q1047" t="s">
        <v>26</v>
      </c>
      <c r="R1047" t="s">
        <v>26</v>
      </c>
      <c r="S1047" t="s">
        <v>26</v>
      </c>
      <c r="T1047" t="s">
        <v>26</v>
      </c>
      <c r="U1047" t="s">
        <v>26</v>
      </c>
      <c r="V1047" t="s">
        <v>26</v>
      </c>
      <c r="W1047" s="24">
        <v>1462</v>
      </c>
      <c r="X1047" s="24">
        <v>1462</v>
      </c>
      <c r="Y1047" t="s">
        <v>26</v>
      </c>
      <c r="Z1047" s="24">
        <v>1462</v>
      </c>
      <c r="AA1047" s="24">
        <v>1462</v>
      </c>
      <c r="AB1047" t="s">
        <v>26</v>
      </c>
      <c r="AC1047" s="24">
        <v>1462</v>
      </c>
      <c r="AD1047" s="24">
        <v>1462</v>
      </c>
      <c r="AE1047" t="s">
        <v>26</v>
      </c>
      <c r="AF1047" t="s">
        <v>26</v>
      </c>
      <c r="AG1047" t="s">
        <v>26</v>
      </c>
      <c r="AH1047" t="s">
        <v>26</v>
      </c>
      <c r="AI1047" t="s">
        <v>26</v>
      </c>
      <c r="AJ1047" t="s">
        <v>26</v>
      </c>
      <c r="AK1047" t="s">
        <v>26</v>
      </c>
      <c r="AL1047" t="s">
        <v>26</v>
      </c>
      <c r="AM1047" t="s">
        <v>26</v>
      </c>
      <c r="AN1047" t="s">
        <v>26</v>
      </c>
      <c r="AO1047" s="25" t="s">
        <v>28</v>
      </c>
      <c r="AP1047" s="23" t="s">
        <v>29</v>
      </c>
      <c r="AQ1047" s="23" t="s">
        <v>30</v>
      </c>
      <c r="AR1047" s="23" t="s">
        <v>46</v>
      </c>
      <c r="AS1047" s="25">
        <v>6009001</v>
      </c>
      <c r="AT1047" t="s">
        <v>26</v>
      </c>
      <c r="AU1047" t="s">
        <v>23620</v>
      </c>
    </row>
    <row r="1048" spans="1:47" ht="13.15" x14ac:dyDescent="0.4">
      <c r="A1048" s="23" t="s">
        <v>2676</v>
      </c>
      <c r="B1048" t="s">
        <v>26</v>
      </c>
      <c r="C1048" t="s">
        <v>26</v>
      </c>
      <c r="D1048" t="s">
        <v>26</v>
      </c>
      <c r="E1048" t="s">
        <v>26</v>
      </c>
      <c r="F1048" t="s">
        <v>26</v>
      </c>
      <c r="G1048" t="s">
        <v>26</v>
      </c>
      <c r="H1048" t="s">
        <v>26</v>
      </c>
      <c r="I1048" s="24">
        <v>1097</v>
      </c>
      <c r="J1048" s="24">
        <v>1097</v>
      </c>
      <c r="K1048" t="s">
        <v>26</v>
      </c>
      <c r="L1048" s="25" t="s">
        <v>28</v>
      </c>
      <c r="M1048" s="24">
        <v>1097</v>
      </c>
      <c r="N1048" s="24">
        <v>1097</v>
      </c>
      <c r="O1048" t="s">
        <v>26</v>
      </c>
      <c r="P1048" t="s">
        <v>26</v>
      </c>
      <c r="Q1048" t="s">
        <v>26</v>
      </c>
      <c r="R1048" t="s">
        <v>26</v>
      </c>
      <c r="S1048" t="s">
        <v>26</v>
      </c>
      <c r="T1048" t="s">
        <v>26</v>
      </c>
      <c r="U1048" t="s">
        <v>26</v>
      </c>
      <c r="V1048" t="s">
        <v>26</v>
      </c>
      <c r="W1048" s="24">
        <v>1097</v>
      </c>
      <c r="X1048" s="24">
        <v>1097</v>
      </c>
      <c r="Y1048" t="s">
        <v>26</v>
      </c>
      <c r="Z1048" s="24">
        <v>1097</v>
      </c>
      <c r="AA1048" s="24">
        <v>1097</v>
      </c>
      <c r="AB1048" t="s">
        <v>26</v>
      </c>
      <c r="AC1048" s="24">
        <v>1097</v>
      </c>
      <c r="AD1048" s="24">
        <v>1097</v>
      </c>
      <c r="AE1048" t="s">
        <v>26</v>
      </c>
      <c r="AF1048" t="s">
        <v>26</v>
      </c>
      <c r="AG1048" t="s">
        <v>26</v>
      </c>
      <c r="AH1048" t="s">
        <v>26</v>
      </c>
      <c r="AI1048" t="s">
        <v>26</v>
      </c>
      <c r="AJ1048" t="s">
        <v>26</v>
      </c>
      <c r="AK1048" t="s">
        <v>26</v>
      </c>
      <c r="AL1048" t="s">
        <v>26</v>
      </c>
      <c r="AM1048" t="s">
        <v>26</v>
      </c>
      <c r="AN1048" t="s">
        <v>26</v>
      </c>
      <c r="AO1048" s="25" t="s">
        <v>28</v>
      </c>
      <c r="AP1048" s="23" t="s">
        <v>29</v>
      </c>
      <c r="AQ1048" s="23" t="s">
        <v>30</v>
      </c>
      <c r="AR1048" s="23" t="s">
        <v>46</v>
      </c>
      <c r="AS1048" s="25">
        <v>6009000</v>
      </c>
      <c r="AT1048" t="s">
        <v>26</v>
      </c>
      <c r="AU1048" t="s">
        <v>23621</v>
      </c>
    </row>
    <row r="1049" spans="1:47" ht="26.25" x14ac:dyDescent="0.4">
      <c r="A1049" s="23" t="s">
        <v>2677</v>
      </c>
      <c r="B1049" t="s">
        <v>26</v>
      </c>
      <c r="C1049" s="23" t="s">
        <v>399</v>
      </c>
      <c r="D1049" s="23" t="s">
        <v>22242</v>
      </c>
      <c r="E1049" s="23" t="s">
        <v>60</v>
      </c>
      <c r="F1049" s="25" t="s">
        <v>2678</v>
      </c>
      <c r="G1049" s="25" t="s">
        <v>2679</v>
      </c>
      <c r="H1049" t="s">
        <v>26</v>
      </c>
      <c r="I1049" t="s">
        <v>26</v>
      </c>
      <c r="J1049" t="s">
        <v>26</v>
      </c>
      <c r="K1049" t="s">
        <v>26</v>
      </c>
      <c r="L1049" s="25" t="s">
        <v>68</v>
      </c>
      <c r="M1049" t="s">
        <v>26</v>
      </c>
      <c r="N1049" t="s">
        <v>26</v>
      </c>
      <c r="O1049" t="s">
        <v>26</v>
      </c>
      <c r="P1049" t="s">
        <v>26</v>
      </c>
      <c r="Q1049" t="s">
        <v>26</v>
      </c>
      <c r="R1049" t="s">
        <v>26</v>
      </c>
      <c r="S1049" t="s">
        <v>26</v>
      </c>
      <c r="T1049" t="s">
        <v>26</v>
      </c>
      <c r="U1049" t="s">
        <v>26</v>
      </c>
      <c r="V1049" t="s">
        <v>26</v>
      </c>
      <c r="W1049" s="24">
        <v>31809</v>
      </c>
      <c r="X1049" s="25" t="s">
        <v>77</v>
      </c>
      <c r="Y1049" t="s">
        <v>26</v>
      </c>
      <c r="Z1049" s="24">
        <v>31809</v>
      </c>
      <c r="AA1049" s="25" t="s">
        <v>77</v>
      </c>
      <c r="AB1049" t="s">
        <v>26</v>
      </c>
      <c r="AC1049" s="24">
        <v>31809</v>
      </c>
      <c r="AD1049" s="25" t="s">
        <v>77</v>
      </c>
      <c r="AE1049" t="s">
        <v>26</v>
      </c>
      <c r="AF1049" t="s">
        <v>26</v>
      </c>
      <c r="AG1049" t="s">
        <v>26</v>
      </c>
      <c r="AH1049" t="s">
        <v>26</v>
      </c>
      <c r="AI1049" t="s">
        <v>26</v>
      </c>
      <c r="AJ1049" t="s">
        <v>26</v>
      </c>
      <c r="AK1049" t="s">
        <v>26</v>
      </c>
      <c r="AL1049" t="s">
        <v>26</v>
      </c>
      <c r="AM1049" t="s">
        <v>26</v>
      </c>
      <c r="AN1049" t="s">
        <v>26</v>
      </c>
      <c r="AO1049" s="25" t="s">
        <v>68</v>
      </c>
      <c r="AP1049" s="23" t="s">
        <v>69</v>
      </c>
      <c r="AQ1049" s="23" t="s">
        <v>30</v>
      </c>
      <c r="AR1049" s="23" t="s">
        <v>2680</v>
      </c>
      <c r="AS1049" s="25">
        <v>41522</v>
      </c>
      <c r="AT1049" t="s">
        <v>26</v>
      </c>
      <c r="AU1049" t="s">
        <v>23622</v>
      </c>
    </row>
    <row r="1050" spans="1:47" ht="26.25" x14ac:dyDescent="0.4">
      <c r="A1050" s="23" t="s">
        <v>2681</v>
      </c>
      <c r="B1050" t="s">
        <v>26</v>
      </c>
      <c r="C1050" s="23" t="s">
        <v>803</v>
      </c>
      <c r="D1050" s="23" t="s">
        <v>22499</v>
      </c>
      <c r="E1050" s="23" t="s">
        <v>711</v>
      </c>
      <c r="F1050" s="25" t="s">
        <v>2682</v>
      </c>
      <c r="G1050" s="25" t="s">
        <v>2683</v>
      </c>
      <c r="H1050" t="s">
        <v>26</v>
      </c>
      <c r="I1050" s="24">
        <v>34335</v>
      </c>
      <c r="J1050" s="24">
        <v>42339</v>
      </c>
      <c r="K1050" t="s">
        <v>26</v>
      </c>
      <c r="L1050" s="25" t="s">
        <v>68</v>
      </c>
      <c r="M1050" s="24">
        <v>35431</v>
      </c>
      <c r="N1050" s="24">
        <v>37865</v>
      </c>
      <c r="O1050" t="s">
        <v>26</v>
      </c>
      <c r="P1050" s="24">
        <v>34335</v>
      </c>
      <c r="Q1050" s="24">
        <v>42339</v>
      </c>
      <c r="R1050" t="s">
        <v>26</v>
      </c>
      <c r="S1050" t="s">
        <v>26</v>
      </c>
      <c r="T1050" t="s">
        <v>26</v>
      </c>
      <c r="U1050" t="s">
        <v>26</v>
      </c>
      <c r="V1050" t="s">
        <v>26</v>
      </c>
      <c r="W1050" s="24">
        <v>34335</v>
      </c>
      <c r="X1050" s="24">
        <v>42583</v>
      </c>
      <c r="Y1050" t="s">
        <v>26</v>
      </c>
      <c r="Z1050" s="24">
        <v>34335</v>
      </c>
      <c r="AA1050" s="24">
        <v>42583</v>
      </c>
      <c r="AB1050" t="s">
        <v>26</v>
      </c>
      <c r="AC1050" s="24">
        <v>35431</v>
      </c>
      <c r="AD1050" s="24">
        <v>42583</v>
      </c>
      <c r="AE1050" t="s">
        <v>26</v>
      </c>
      <c r="AF1050" t="s">
        <v>26</v>
      </c>
      <c r="AG1050" t="s">
        <v>26</v>
      </c>
      <c r="AH1050" t="s">
        <v>26</v>
      </c>
      <c r="AI1050" t="s">
        <v>26</v>
      </c>
      <c r="AJ1050" t="s">
        <v>26</v>
      </c>
      <c r="AK1050" t="s">
        <v>26</v>
      </c>
      <c r="AL1050" t="s">
        <v>26</v>
      </c>
      <c r="AM1050" t="s">
        <v>26</v>
      </c>
      <c r="AN1050" t="s">
        <v>26</v>
      </c>
      <c r="AO1050" s="25" t="s">
        <v>68</v>
      </c>
      <c r="AP1050" s="23" t="s">
        <v>69</v>
      </c>
      <c r="AQ1050" s="23" t="s">
        <v>30</v>
      </c>
      <c r="AR1050" s="23" t="s">
        <v>1332</v>
      </c>
      <c r="AS1050" s="25">
        <v>33168</v>
      </c>
      <c r="AT1050" t="s">
        <v>26</v>
      </c>
      <c r="AU1050" t="s">
        <v>23623</v>
      </c>
    </row>
    <row r="1051" spans="1:47" ht="26.25" x14ac:dyDescent="0.4">
      <c r="A1051" s="23" t="s">
        <v>2684</v>
      </c>
      <c r="B1051" t="s">
        <v>26</v>
      </c>
      <c r="C1051" s="23" t="s">
        <v>2685</v>
      </c>
      <c r="D1051" s="23" t="s">
        <v>23624</v>
      </c>
      <c r="E1051" s="23" t="s">
        <v>42</v>
      </c>
      <c r="F1051" s="25" t="s">
        <v>2686</v>
      </c>
      <c r="G1051" s="25" t="s">
        <v>2687</v>
      </c>
      <c r="H1051" t="s">
        <v>26</v>
      </c>
      <c r="I1051" s="24">
        <v>39569</v>
      </c>
      <c r="J1051" s="24">
        <v>42856</v>
      </c>
      <c r="K1051" t="s">
        <v>26</v>
      </c>
      <c r="L1051" s="25" t="s">
        <v>68</v>
      </c>
      <c r="M1051" s="24">
        <v>39569</v>
      </c>
      <c r="N1051" s="24">
        <v>42856</v>
      </c>
      <c r="O1051" t="s">
        <v>26</v>
      </c>
      <c r="P1051" s="24">
        <v>39569</v>
      </c>
      <c r="Q1051" s="24">
        <v>43709</v>
      </c>
      <c r="R1051" t="s">
        <v>26</v>
      </c>
      <c r="S1051" t="s">
        <v>26</v>
      </c>
      <c r="T1051" t="s">
        <v>26</v>
      </c>
      <c r="U1051" t="s">
        <v>26</v>
      </c>
      <c r="V1051" t="s">
        <v>26</v>
      </c>
      <c r="W1051" s="24">
        <v>39569</v>
      </c>
      <c r="X1051" s="24">
        <v>42856</v>
      </c>
      <c r="Y1051" t="s">
        <v>26</v>
      </c>
      <c r="Z1051" s="24">
        <v>39569</v>
      </c>
      <c r="AA1051" s="24">
        <v>42856</v>
      </c>
      <c r="AB1051" t="s">
        <v>26</v>
      </c>
      <c r="AC1051" s="24">
        <v>42736</v>
      </c>
      <c r="AD1051" s="24">
        <v>42856</v>
      </c>
      <c r="AE1051" t="s">
        <v>26</v>
      </c>
      <c r="AF1051" t="s">
        <v>26</v>
      </c>
      <c r="AG1051" t="s">
        <v>26</v>
      </c>
      <c r="AH1051" t="s">
        <v>26</v>
      </c>
      <c r="AI1051" t="s">
        <v>26</v>
      </c>
      <c r="AJ1051" t="s">
        <v>26</v>
      </c>
      <c r="AK1051" t="s">
        <v>26</v>
      </c>
      <c r="AL1051" t="s">
        <v>26</v>
      </c>
      <c r="AM1051" t="s">
        <v>26</v>
      </c>
      <c r="AN1051" t="s">
        <v>26</v>
      </c>
      <c r="AO1051" s="25" t="s">
        <v>68</v>
      </c>
      <c r="AP1051" s="23" t="s">
        <v>69</v>
      </c>
      <c r="AQ1051" s="23" t="s">
        <v>30</v>
      </c>
      <c r="AR1051" s="23" t="s">
        <v>71</v>
      </c>
      <c r="AS1051" s="25">
        <v>29198</v>
      </c>
      <c r="AT1051" t="s">
        <v>26</v>
      </c>
      <c r="AU1051" t="s">
        <v>23625</v>
      </c>
    </row>
    <row r="1052" spans="1:47" ht="26.25" x14ac:dyDescent="0.4">
      <c r="A1052" s="23" t="s">
        <v>2688</v>
      </c>
      <c r="B1052" t="s">
        <v>26</v>
      </c>
      <c r="C1052" s="23" t="s">
        <v>23626</v>
      </c>
      <c r="D1052" t="s">
        <v>26</v>
      </c>
      <c r="E1052" s="23" t="s">
        <v>42</v>
      </c>
      <c r="F1052" t="s">
        <v>26</v>
      </c>
      <c r="G1052" t="s">
        <v>26</v>
      </c>
      <c r="H1052" t="s">
        <v>26</v>
      </c>
      <c r="I1052" s="24">
        <v>40544</v>
      </c>
      <c r="J1052" s="24">
        <v>40544</v>
      </c>
      <c r="K1052" t="s">
        <v>26</v>
      </c>
      <c r="L1052" s="25" t="s">
        <v>28</v>
      </c>
      <c r="M1052" s="24">
        <v>40544</v>
      </c>
      <c r="N1052" s="24">
        <v>40544</v>
      </c>
      <c r="O1052" t="s">
        <v>26</v>
      </c>
      <c r="P1052" t="s">
        <v>26</v>
      </c>
      <c r="Q1052" t="s">
        <v>26</v>
      </c>
      <c r="R1052" t="s">
        <v>26</v>
      </c>
      <c r="S1052" s="24">
        <v>40544</v>
      </c>
      <c r="T1052" s="24">
        <v>40544</v>
      </c>
      <c r="U1052" t="s">
        <v>26</v>
      </c>
      <c r="V1052" t="s">
        <v>26</v>
      </c>
      <c r="W1052" s="24">
        <v>40544</v>
      </c>
      <c r="X1052" s="24">
        <v>40544</v>
      </c>
      <c r="Y1052" t="s">
        <v>26</v>
      </c>
      <c r="Z1052" s="24">
        <v>40544</v>
      </c>
      <c r="AA1052" s="24">
        <v>40544</v>
      </c>
      <c r="AB1052" t="s">
        <v>26</v>
      </c>
      <c r="AC1052" s="24">
        <v>40544</v>
      </c>
      <c r="AD1052" s="24">
        <v>40544</v>
      </c>
      <c r="AE1052" t="s">
        <v>26</v>
      </c>
      <c r="AF1052" s="24">
        <v>40544</v>
      </c>
      <c r="AG1052" s="24">
        <v>40544</v>
      </c>
      <c r="AH1052" t="s">
        <v>26</v>
      </c>
      <c r="AI1052" s="24">
        <v>40544</v>
      </c>
      <c r="AJ1052" s="24">
        <v>40544</v>
      </c>
      <c r="AK1052" t="s">
        <v>26</v>
      </c>
      <c r="AL1052" t="s">
        <v>26</v>
      </c>
      <c r="AM1052" t="s">
        <v>26</v>
      </c>
      <c r="AN1052" t="s">
        <v>26</v>
      </c>
      <c r="AO1052" s="25" t="s">
        <v>28</v>
      </c>
      <c r="AP1052" s="23" t="s">
        <v>43</v>
      </c>
      <c r="AQ1052" s="23" t="s">
        <v>30</v>
      </c>
      <c r="AR1052" s="23" t="s">
        <v>44</v>
      </c>
      <c r="AS1052" s="25">
        <v>5256687</v>
      </c>
      <c r="AT1052" t="s">
        <v>26</v>
      </c>
      <c r="AU1052" t="s">
        <v>23627</v>
      </c>
    </row>
    <row r="1053" spans="1:47" ht="26.25" x14ac:dyDescent="0.4">
      <c r="A1053" s="23" t="s">
        <v>2689</v>
      </c>
      <c r="B1053" t="s">
        <v>26</v>
      </c>
      <c r="C1053" s="23" t="s">
        <v>146</v>
      </c>
      <c r="D1053" s="23" t="s">
        <v>22174</v>
      </c>
      <c r="E1053" s="23" t="s">
        <v>60</v>
      </c>
      <c r="F1053" t="s">
        <v>26</v>
      </c>
      <c r="G1053" t="s">
        <v>26</v>
      </c>
      <c r="H1053" t="s">
        <v>26</v>
      </c>
      <c r="I1053" t="s">
        <v>26</v>
      </c>
      <c r="J1053" t="s">
        <v>26</v>
      </c>
      <c r="K1053" t="s">
        <v>26</v>
      </c>
      <c r="L1053" s="25" t="s">
        <v>28</v>
      </c>
      <c r="M1053" t="s">
        <v>26</v>
      </c>
      <c r="N1053" t="s">
        <v>26</v>
      </c>
      <c r="O1053" t="s">
        <v>26</v>
      </c>
      <c r="P1053" t="s">
        <v>26</v>
      </c>
      <c r="Q1053" t="s">
        <v>26</v>
      </c>
      <c r="R1053" t="s">
        <v>26</v>
      </c>
      <c r="S1053" t="s">
        <v>26</v>
      </c>
      <c r="T1053" t="s">
        <v>26</v>
      </c>
      <c r="U1053" t="s">
        <v>26</v>
      </c>
      <c r="V1053" t="s">
        <v>26</v>
      </c>
      <c r="W1053" s="24">
        <v>42005</v>
      </c>
      <c r="X1053" s="24">
        <v>42005</v>
      </c>
      <c r="Y1053" t="s">
        <v>26</v>
      </c>
      <c r="Z1053" s="24">
        <v>42005</v>
      </c>
      <c r="AA1053" s="24">
        <v>42005</v>
      </c>
      <c r="AB1053" t="s">
        <v>26</v>
      </c>
      <c r="AC1053" t="s">
        <v>26</v>
      </c>
      <c r="AD1053" t="s">
        <v>26</v>
      </c>
      <c r="AE1053" t="s">
        <v>26</v>
      </c>
      <c r="AF1053" t="s">
        <v>26</v>
      </c>
      <c r="AG1053" t="s">
        <v>26</v>
      </c>
      <c r="AH1053" t="s">
        <v>26</v>
      </c>
      <c r="AI1053" t="s">
        <v>26</v>
      </c>
      <c r="AJ1053" t="s">
        <v>26</v>
      </c>
      <c r="AK1053" t="s">
        <v>26</v>
      </c>
      <c r="AL1053" t="s">
        <v>26</v>
      </c>
      <c r="AM1053" t="s">
        <v>26</v>
      </c>
      <c r="AN1053" t="s">
        <v>26</v>
      </c>
      <c r="AO1053" s="25" t="s">
        <v>28</v>
      </c>
      <c r="AP1053" s="23" t="s">
        <v>29</v>
      </c>
      <c r="AQ1053" s="23" t="s">
        <v>30</v>
      </c>
      <c r="AR1053" s="23" t="s">
        <v>44</v>
      </c>
      <c r="AS1053" s="25">
        <v>5483561</v>
      </c>
      <c r="AT1053" s="23" t="s">
        <v>22181</v>
      </c>
      <c r="AU1053" t="s">
        <v>23628</v>
      </c>
    </row>
    <row r="1054" spans="1:47" ht="26.25" x14ac:dyDescent="0.4">
      <c r="A1054" s="23" t="s">
        <v>14839</v>
      </c>
      <c r="B1054" t="s">
        <v>26</v>
      </c>
      <c r="C1054" s="23" t="s">
        <v>23629</v>
      </c>
      <c r="D1054" s="23" t="s">
        <v>23630</v>
      </c>
      <c r="E1054" s="23" t="s">
        <v>42</v>
      </c>
      <c r="F1054" t="s">
        <v>26</v>
      </c>
      <c r="G1054" t="s">
        <v>26</v>
      </c>
      <c r="H1054" t="s">
        <v>26</v>
      </c>
      <c r="I1054" t="s">
        <v>26</v>
      </c>
      <c r="J1054" t="s">
        <v>26</v>
      </c>
      <c r="K1054" t="s">
        <v>26</v>
      </c>
      <c r="L1054" s="25" t="s">
        <v>28</v>
      </c>
      <c r="M1054" t="s">
        <v>26</v>
      </c>
      <c r="N1054" t="s">
        <v>26</v>
      </c>
      <c r="O1054" t="s">
        <v>26</v>
      </c>
      <c r="P1054" t="s">
        <v>26</v>
      </c>
      <c r="Q1054" t="s">
        <v>26</v>
      </c>
      <c r="R1054" t="s">
        <v>26</v>
      </c>
      <c r="S1054" t="s">
        <v>26</v>
      </c>
      <c r="T1054" t="s">
        <v>26</v>
      </c>
      <c r="U1054" t="s">
        <v>26</v>
      </c>
      <c r="V1054" t="s">
        <v>26</v>
      </c>
      <c r="W1054" s="24">
        <v>34700</v>
      </c>
      <c r="X1054" s="24">
        <v>40544</v>
      </c>
      <c r="Y1054" t="s">
        <v>26</v>
      </c>
      <c r="Z1054" s="24">
        <v>34700</v>
      </c>
      <c r="AA1054" s="24">
        <v>40544</v>
      </c>
      <c r="AB1054" t="s">
        <v>26</v>
      </c>
      <c r="AC1054" t="s">
        <v>26</v>
      </c>
      <c r="AD1054" t="s">
        <v>26</v>
      </c>
      <c r="AE1054" t="s">
        <v>26</v>
      </c>
      <c r="AF1054" t="s">
        <v>26</v>
      </c>
      <c r="AG1054" t="s">
        <v>26</v>
      </c>
      <c r="AH1054" t="s">
        <v>26</v>
      </c>
      <c r="AI1054" t="s">
        <v>26</v>
      </c>
      <c r="AJ1054" t="s">
        <v>26</v>
      </c>
      <c r="AK1054" t="s">
        <v>26</v>
      </c>
      <c r="AL1054" t="s">
        <v>26</v>
      </c>
      <c r="AM1054" t="s">
        <v>26</v>
      </c>
      <c r="AN1054" t="s">
        <v>26</v>
      </c>
      <c r="AO1054" s="25" t="s">
        <v>28</v>
      </c>
      <c r="AP1054" s="23" t="s">
        <v>43</v>
      </c>
      <c r="AQ1054" s="23" t="s">
        <v>30</v>
      </c>
      <c r="AR1054" s="23" t="s">
        <v>46</v>
      </c>
      <c r="AS1054" s="25">
        <v>6362742</v>
      </c>
      <c r="AT1054" t="s">
        <v>26</v>
      </c>
      <c r="AU1054" t="s">
        <v>23631</v>
      </c>
    </row>
    <row r="1055" spans="1:47" ht="26.25" x14ac:dyDescent="0.4">
      <c r="A1055" s="23" t="s">
        <v>2690</v>
      </c>
      <c r="B1055" t="s">
        <v>26</v>
      </c>
      <c r="C1055" s="23" t="s">
        <v>107</v>
      </c>
      <c r="D1055" s="23" t="s">
        <v>23429</v>
      </c>
      <c r="E1055" s="23" t="s">
        <v>42</v>
      </c>
      <c r="F1055" s="25" t="s">
        <v>2691</v>
      </c>
      <c r="G1055" s="25" t="s">
        <v>2692</v>
      </c>
      <c r="H1055" t="s">
        <v>26</v>
      </c>
      <c r="I1055" s="24">
        <v>38169</v>
      </c>
      <c r="J1055" s="24">
        <v>40360</v>
      </c>
      <c r="K1055" t="s">
        <v>26</v>
      </c>
      <c r="L1055" s="25" t="s">
        <v>68</v>
      </c>
      <c r="M1055" s="24">
        <v>38169</v>
      </c>
      <c r="N1055" s="24">
        <v>40360</v>
      </c>
      <c r="O1055" t="s">
        <v>26</v>
      </c>
      <c r="P1055" s="24">
        <v>38169</v>
      </c>
      <c r="Q1055" s="24">
        <v>40360</v>
      </c>
      <c r="R1055" t="s">
        <v>26</v>
      </c>
      <c r="S1055" t="s">
        <v>26</v>
      </c>
      <c r="T1055" t="s">
        <v>26</v>
      </c>
      <c r="U1055" t="s">
        <v>26</v>
      </c>
      <c r="V1055" t="s">
        <v>26</v>
      </c>
      <c r="W1055" s="24">
        <v>32509</v>
      </c>
      <c r="X1055" s="25" t="s">
        <v>77</v>
      </c>
      <c r="Y1055" t="s">
        <v>26</v>
      </c>
      <c r="Z1055" s="24">
        <v>32509</v>
      </c>
      <c r="AA1055" s="25" t="s">
        <v>77</v>
      </c>
      <c r="AB1055" t="s">
        <v>26</v>
      </c>
      <c r="AC1055" s="24">
        <v>32509</v>
      </c>
      <c r="AD1055" s="25" t="s">
        <v>77</v>
      </c>
      <c r="AE1055" t="s">
        <v>26</v>
      </c>
      <c r="AF1055" t="s">
        <v>26</v>
      </c>
      <c r="AG1055" t="s">
        <v>26</v>
      </c>
      <c r="AH1055" t="s">
        <v>26</v>
      </c>
      <c r="AI1055" t="s">
        <v>26</v>
      </c>
      <c r="AJ1055" t="s">
        <v>26</v>
      </c>
      <c r="AK1055" t="s">
        <v>26</v>
      </c>
      <c r="AL1055" t="s">
        <v>26</v>
      </c>
      <c r="AM1055" t="s">
        <v>26</v>
      </c>
      <c r="AN1055" t="s">
        <v>26</v>
      </c>
      <c r="AO1055" s="25" t="s">
        <v>68</v>
      </c>
      <c r="AP1055" s="23" t="s">
        <v>69</v>
      </c>
      <c r="AQ1055" s="23" t="s">
        <v>30</v>
      </c>
      <c r="AR1055" s="23" t="s">
        <v>2693</v>
      </c>
      <c r="AS1055" s="25">
        <v>41008</v>
      </c>
      <c r="AT1055" t="s">
        <v>26</v>
      </c>
      <c r="AU1055" t="s">
        <v>23632</v>
      </c>
    </row>
    <row r="1056" spans="1:47" ht="26.25" x14ac:dyDescent="0.4">
      <c r="A1056" s="23" t="s">
        <v>2694</v>
      </c>
      <c r="B1056" t="s">
        <v>26</v>
      </c>
      <c r="C1056" s="23" t="s">
        <v>107</v>
      </c>
      <c r="D1056" s="23" t="s">
        <v>22194</v>
      </c>
      <c r="E1056" s="23" t="s">
        <v>42</v>
      </c>
      <c r="F1056" s="25" t="s">
        <v>2695</v>
      </c>
      <c r="G1056" s="25" t="s">
        <v>2696</v>
      </c>
      <c r="H1056" t="s">
        <v>26</v>
      </c>
      <c r="I1056" s="24">
        <v>30195</v>
      </c>
      <c r="J1056" s="24">
        <v>43374</v>
      </c>
      <c r="K1056" t="s">
        <v>26</v>
      </c>
      <c r="L1056" s="25" t="s">
        <v>68</v>
      </c>
      <c r="M1056" s="24">
        <v>30195</v>
      </c>
      <c r="N1056" s="24">
        <v>43374</v>
      </c>
      <c r="O1056" t="s">
        <v>26</v>
      </c>
      <c r="P1056" s="24">
        <v>30195</v>
      </c>
      <c r="Q1056" s="24">
        <v>43374</v>
      </c>
      <c r="R1056" t="s">
        <v>26</v>
      </c>
      <c r="S1056" t="s">
        <v>26</v>
      </c>
      <c r="T1056" t="s">
        <v>26</v>
      </c>
      <c r="U1056" t="s">
        <v>26</v>
      </c>
      <c r="V1056" t="s">
        <v>26</v>
      </c>
      <c r="W1056" s="24">
        <v>30195</v>
      </c>
      <c r="X1056" s="25" t="s">
        <v>77</v>
      </c>
      <c r="Y1056" t="s">
        <v>26</v>
      </c>
      <c r="Z1056" s="24">
        <v>30195</v>
      </c>
      <c r="AA1056" s="25" t="s">
        <v>77</v>
      </c>
      <c r="AB1056" t="s">
        <v>26</v>
      </c>
      <c r="AC1056" s="24">
        <v>30195</v>
      </c>
      <c r="AD1056" s="25" t="s">
        <v>77</v>
      </c>
      <c r="AE1056" s="25" t="s">
        <v>22723</v>
      </c>
      <c r="AF1056" t="s">
        <v>26</v>
      </c>
      <c r="AG1056" t="s">
        <v>26</v>
      </c>
      <c r="AH1056" t="s">
        <v>26</v>
      </c>
      <c r="AI1056" t="s">
        <v>26</v>
      </c>
      <c r="AJ1056" t="s">
        <v>26</v>
      </c>
      <c r="AK1056" t="s">
        <v>26</v>
      </c>
      <c r="AL1056" t="s">
        <v>26</v>
      </c>
      <c r="AM1056" t="s">
        <v>26</v>
      </c>
      <c r="AN1056" t="s">
        <v>26</v>
      </c>
      <c r="AO1056" s="25" t="s">
        <v>68</v>
      </c>
      <c r="AP1056" s="23" t="s">
        <v>69</v>
      </c>
      <c r="AQ1056" s="23" t="s">
        <v>30</v>
      </c>
      <c r="AR1056" s="23" t="s">
        <v>1464</v>
      </c>
      <c r="AS1056" s="25">
        <v>46372</v>
      </c>
      <c r="AT1056" t="s">
        <v>26</v>
      </c>
      <c r="AU1056" t="s">
        <v>23633</v>
      </c>
    </row>
    <row r="1057" spans="1:47" ht="26.25" x14ac:dyDescent="0.4">
      <c r="A1057" s="23" t="s">
        <v>2697</v>
      </c>
      <c r="B1057" t="s">
        <v>26</v>
      </c>
      <c r="C1057" s="23" t="s">
        <v>181</v>
      </c>
      <c r="D1057" s="23" t="s">
        <v>22174</v>
      </c>
      <c r="E1057" s="23" t="s">
        <v>60</v>
      </c>
      <c r="F1057" s="25" t="s">
        <v>2698</v>
      </c>
      <c r="G1057" s="25" t="s">
        <v>2699</v>
      </c>
      <c r="H1057" t="s">
        <v>26</v>
      </c>
      <c r="I1057" t="s">
        <v>26</v>
      </c>
      <c r="J1057" t="s">
        <v>26</v>
      </c>
      <c r="K1057" t="s">
        <v>26</v>
      </c>
      <c r="L1057" s="25" t="s">
        <v>68</v>
      </c>
      <c r="M1057" t="s">
        <v>26</v>
      </c>
      <c r="N1057" t="s">
        <v>26</v>
      </c>
      <c r="O1057" t="s">
        <v>26</v>
      </c>
      <c r="P1057" t="s">
        <v>26</v>
      </c>
      <c r="Q1057" t="s">
        <v>26</v>
      </c>
      <c r="R1057" t="s">
        <v>26</v>
      </c>
      <c r="S1057" t="s">
        <v>26</v>
      </c>
      <c r="T1057" t="s">
        <v>26</v>
      </c>
      <c r="U1057" t="s">
        <v>26</v>
      </c>
      <c r="V1057" t="s">
        <v>26</v>
      </c>
      <c r="W1057" s="24">
        <v>30317</v>
      </c>
      <c r="X1057" s="25" t="s">
        <v>77</v>
      </c>
      <c r="Y1057" s="25" t="s">
        <v>2700</v>
      </c>
      <c r="Z1057" s="24">
        <v>30317</v>
      </c>
      <c r="AA1057" s="25" t="s">
        <v>77</v>
      </c>
      <c r="AB1057" s="25" t="s">
        <v>2700</v>
      </c>
      <c r="AC1057" s="24">
        <v>30317</v>
      </c>
      <c r="AD1057" s="25" t="s">
        <v>77</v>
      </c>
      <c r="AE1057" s="25" t="s">
        <v>2700</v>
      </c>
      <c r="AF1057" t="s">
        <v>26</v>
      </c>
      <c r="AG1057" t="s">
        <v>26</v>
      </c>
      <c r="AH1057" t="s">
        <v>26</v>
      </c>
      <c r="AI1057" t="s">
        <v>26</v>
      </c>
      <c r="AJ1057" t="s">
        <v>26</v>
      </c>
      <c r="AK1057" t="s">
        <v>26</v>
      </c>
      <c r="AL1057" t="s">
        <v>26</v>
      </c>
      <c r="AM1057" t="s">
        <v>26</v>
      </c>
      <c r="AN1057" t="s">
        <v>26</v>
      </c>
      <c r="AO1057" s="25" t="s">
        <v>68</v>
      </c>
      <c r="AP1057" s="23" t="s">
        <v>69</v>
      </c>
      <c r="AQ1057" s="23" t="s">
        <v>30</v>
      </c>
      <c r="AR1057" s="23" t="s">
        <v>569</v>
      </c>
      <c r="AS1057" s="25">
        <v>2033297</v>
      </c>
      <c r="AT1057" t="s">
        <v>26</v>
      </c>
      <c r="AU1057" t="s">
        <v>23634</v>
      </c>
    </row>
    <row r="1058" spans="1:47" ht="26.25" x14ac:dyDescent="0.4">
      <c r="A1058" s="23" t="s">
        <v>2701</v>
      </c>
      <c r="B1058" t="s">
        <v>26</v>
      </c>
      <c r="C1058" t="s">
        <v>26</v>
      </c>
      <c r="D1058" s="23" t="s">
        <v>22231</v>
      </c>
      <c r="E1058" t="s">
        <v>26</v>
      </c>
      <c r="F1058" t="s">
        <v>26</v>
      </c>
      <c r="G1058" t="s">
        <v>26</v>
      </c>
      <c r="H1058" t="s">
        <v>26</v>
      </c>
      <c r="I1058" s="24">
        <v>40179</v>
      </c>
      <c r="J1058" s="24">
        <v>40179</v>
      </c>
      <c r="K1058" t="s">
        <v>26</v>
      </c>
      <c r="L1058" s="25" t="s">
        <v>28</v>
      </c>
      <c r="M1058" s="24">
        <v>40179</v>
      </c>
      <c r="N1058" s="24">
        <v>40179</v>
      </c>
      <c r="O1058" t="s">
        <v>26</v>
      </c>
      <c r="P1058" t="s">
        <v>26</v>
      </c>
      <c r="Q1058" t="s">
        <v>26</v>
      </c>
      <c r="R1058" t="s">
        <v>26</v>
      </c>
      <c r="S1058" t="s">
        <v>26</v>
      </c>
      <c r="T1058" t="s">
        <v>26</v>
      </c>
      <c r="U1058" t="s">
        <v>26</v>
      </c>
      <c r="V1058" t="s">
        <v>26</v>
      </c>
      <c r="W1058" s="24">
        <v>40179</v>
      </c>
      <c r="X1058" s="24">
        <v>40179</v>
      </c>
      <c r="Y1058" t="s">
        <v>26</v>
      </c>
      <c r="Z1058" s="24">
        <v>40179</v>
      </c>
      <c r="AA1058" s="24">
        <v>40179</v>
      </c>
      <c r="AB1058" t="s">
        <v>26</v>
      </c>
      <c r="AC1058" s="24">
        <v>40179</v>
      </c>
      <c r="AD1058" s="24">
        <v>40179</v>
      </c>
      <c r="AE1058" t="s">
        <v>26</v>
      </c>
      <c r="AF1058" t="s">
        <v>26</v>
      </c>
      <c r="AG1058" t="s">
        <v>26</v>
      </c>
      <c r="AH1058" t="s">
        <v>26</v>
      </c>
      <c r="AI1058" t="s">
        <v>26</v>
      </c>
      <c r="AJ1058" t="s">
        <v>26</v>
      </c>
      <c r="AK1058" t="s">
        <v>26</v>
      </c>
      <c r="AL1058" t="s">
        <v>26</v>
      </c>
      <c r="AM1058" t="s">
        <v>26</v>
      </c>
      <c r="AN1058" t="s">
        <v>26</v>
      </c>
      <c r="AO1058" s="25" t="s">
        <v>28</v>
      </c>
      <c r="AP1058" s="23" t="s">
        <v>29</v>
      </c>
      <c r="AQ1058" s="23" t="s">
        <v>30</v>
      </c>
      <c r="AR1058" s="23" t="s">
        <v>46</v>
      </c>
      <c r="AS1058" s="25">
        <v>6008999</v>
      </c>
      <c r="AT1058" t="s">
        <v>26</v>
      </c>
      <c r="AU1058" t="s">
        <v>23635</v>
      </c>
    </row>
    <row r="1059" spans="1:47" ht="13.15" x14ac:dyDescent="0.4">
      <c r="A1059" s="23" t="s">
        <v>2702</v>
      </c>
      <c r="B1059" t="s">
        <v>26</v>
      </c>
      <c r="C1059" s="23" t="s">
        <v>2703</v>
      </c>
      <c r="D1059" s="23" t="s">
        <v>22179</v>
      </c>
      <c r="E1059" s="23" t="s">
        <v>42</v>
      </c>
      <c r="F1059" t="s">
        <v>26</v>
      </c>
      <c r="G1059" t="s">
        <v>26</v>
      </c>
      <c r="H1059" t="s">
        <v>26</v>
      </c>
      <c r="I1059" s="24">
        <v>33970</v>
      </c>
      <c r="J1059" s="24">
        <v>33970</v>
      </c>
      <c r="K1059" t="s">
        <v>26</v>
      </c>
      <c r="L1059" s="25" t="s">
        <v>28</v>
      </c>
      <c r="M1059" s="24">
        <v>33970</v>
      </c>
      <c r="N1059" s="24">
        <v>33970</v>
      </c>
      <c r="O1059" t="s">
        <v>26</v>
      </c>
      <c r="P1059" t="s">
        <v>26</v>
      </c>
      <c r="Q1059" t="s">
        <v>26</v>
      </c>
      <c r="R1059" t="s">
        <v>26</v>
      </c>
      <c r="S1059" t="s">
        <v>26</v>
      </c>
      <c r="T1059" t="s">
        <v>26</v>
      </c>
      <c r="U1059" t="s">
        <v>26</v>
      </c>
      <c r="V1059" t="s">
        <v>26</v>
      </c>
      <c r="W1059" s="24">
        <v>33970</v>
      </c>
      <c r="X1059" s="24">
        <v>33970</v>
      </c>
      <c r="Y1059" t="s">
        <v>26</v>
      </c>
      <c r="Z1059" s="24">
        <v>33970</v>
      </c>
      <c r="AA1059" s="24">
        <v>33970</v>
      </c>
      <c r="AB1059" t="s">
        <v>26</v>
      </c>
      <c r="AC1059" s="24">
        <v>33970</v>
      </c>
      <c r="AD1059" s="24">
        <v>33970</v>
      </c>
      <c r="AE1059" t="s">
        <v>26</v>
      </c>
      <c r="AF1059" t="s">
        <v>26</v>
      </c>
      <c r="AG1059" t="s">
        <v>26</v>
      </c>
      <c r="AH1059" t="s">
        <v>26</v>
      </c>
      <c r="AI1059" t="s">
        <v>26</v>
      </c>
      <c r="AJ1059" t="s">
        <v>26</v>
      </c>
      <c r="AK1059" t="s">
        <v>26</v>
      </c>
      <c r="AL1059" t="s">
        <v>26</v>
      </c>
      <c r="AM1059" t="s">
        <v>26</v>
      </c>
      <c r="AN1059" t="s">
        <v>26</v>
      </c>
      <c r="AO1059" s="25" t="s">
        <v>28</v>
      </c>
      <c r="AP1059" s="23" t="s">
        <v>29</v>
      </c>
      <c r="AQ1059" s="23" t="s">
        <v>30</v>
      </c>
      <c r="AR1059" s="23" t="s">
        <v>46</v>
      </c>
      <c r="AS1059" s="25">
        <v>6008998</v>
      </c>
      <c r="AT1059" t="s">
        <v>26</v>
      </c>
      <c r="AU1059" t="s">
        <v>23636</v>
      </c>
    </row>
    <row r="1060" spans="1:47" ht="13.15" x14ac:dyDescent="0.4">
      <c r="A1060" s="23" t="s">
        <v>23637</v>
      </c>
      <c r="B1060" t="s">
        <v>26</v>
      </c>
      <c r="C1060" s="23" t="s">
        <v>332</v>
      </c>
      <c r="D1060" s="23" t="s">
        <v>22256</v>
      </c>
      <c r="E1060" s="23" t="s">
        <v>42</v>
      </c>
      <c r="F1060" t="s">
        <v>26</v>
      </c>
      <c r="G1060" t="s">
        <v>26</v>
      </c>
      <c r="H1060" t="s">
        <v>26</v>
      </c>
      <c r="I1060" s="24">
        <v>37622</v>
      </c>
      <c r="J1060" s="24">
        <v>39814</v>
      </c>
      <c r="K1060" t="s">
        <v>26</v>
      </c>
      <c r="L1060" s="25" t="s">
        <v>28</v>
      </c>
      <c r="M1060" s="24">
        <v>37622</v>
      </c>
      <c r="N1060" s="24">
        <v>39814</v>
      </c>
      <c r="O1060" t="s">
        <v>26</v>
      </c>
      <c r="P1060" t="s">
        <v>26</v>
      </c>
      <c r="Q1060" t="s">
        <v>26</v>
      </c>
      <c r="R1060" t="s">
        <v>26</v>
      </c>
      <c r="S1060" t="s">
        <v>26</v>
      </c>
      <c r="T1060" t="s">
        <v>26</v>
      </c>
      <c r="U1060" t="s">
        <v>26</v>
      </c>
      <c r="V1060" t="s">
        <v>26</v>
      </c>
      <c r="W1060" s="24">
        <v>37622</v>
      </c>
      <c r="X1060" s="24">
        <v>39814</v>
      </c>
      <c r="Y1060" t="s">
        <v>26</v>
      </c>
      <c r="Z1060" s="24">
        <v>37622</v>
      </c>
      <c r="AA1060" s="24">
        <v>39814</v>
      </c>
      <c r="AB1060" t="s">
        <v>26</v>
      </c>
      <c r="AC1060" s="24">
        <v>37622</v>
      </c>
      <c r="AD1060" s="24">
        <v>39814</v>
      </c>
      <c r="AE1060" t="s">
        <v>26</v>
      </c>
      <c r="AF1060" t="s">
        <v>26</v>
      </c>
      <c r="AG1060" t="s">
        <v>26</v>
      </c>
      <c r="AH1060" t="s">
        <v>26</v>
      </c>
      <c r="AI1060" t="s">
        <v>26</v>
      </c>
      <c r="AJ1060" t="s">
        <v>26</v>
      </c>
      <c r="AK1060" t="s">
        <v>26</v>
      </c>
      <c r="AL1060" t="s">
        <v>26</v>
      </c>
      <c r="AM1060" t="s">
        <v>26</v>
      </c>
      <c r="AN1060" t="s">
        <v>26</v>
      </c>
      <c r="AO1060" s="25" t="s">
        <v>28</v>
      </c>
      <c r="AP1060" s="23" t="s">
        <v>279</v>
      </c>
      <c r="AQ1060" s="23" t="s">
        <v>30</v>
      </c>
      <c r="AR1060" s="23" t="s">
        <v>46</v>
      </c>
      <c r="AS1060" s="25">
        <v>6275766</v>
      </c>
      <c r="AT1060" t="s">
        <v>26</v>
      </c>
      <c r="AU1060" t="s">
        <v>23638</v>
      </c>
    </row>
    <row r="1061" spans="1:47" ht="26.25" x14ac:dyDescent="0.4">
      <c r="A1061" s="23" t="s">
        <v>2704</v>
      </c>
      <c r="B1061" t="s">
        <v>26</v>
      </c>
      <c r="C1061" s="23" t="s">
        <v>167</v>
      </c>
      <c r="D1061" s="23" t="s">
        <v>22218</v>
      </c>
      <c r="E1061" s="23" t="s">
        <v>60</v>
      </c>
      <c r="F1061" t="s">
        <v>26</v>
      </c>
      <c r="G1061" s="25" t="s">
        <v>2705</v>
      </c>
      <c r="H1061" t="s">
        <v>26</v>
      </c>
      <c r="I1061" s="24">
        <v>42005</v>
      </c>
      <c r="J1061" s="25" t="s">
        <v>77</v>
      </c>
      <c r="K1061" s="25" t="s">
        <v>2134</v>
      </c>
      <c r="L1061" s="25" t="s">
        <v>68</v>
      </c>
      <c r="M1061" s="24">
        <v>42005</v>
      </c>
      <c r="N1061" s="25" t="s">
        <v>77</v>
      </c>
      <c r="O1061" s="25" t="s">
        <v>2134</v>
      </c>
      <c r="P1061" s="24">
        <v>42005</v>
      </c>
      <c r="Q1061" s="25" t="s">
        <v>77</v>
      </c>
      <c r="R1061" s="25" t="s">
        <v>2134</v>
      </c>
      <c r="S1061" t="s">
        <v>26</v>
      </c>
      <c r="T1061" t="s">
        <v>26</v>
      </c>
      <c r="U1061" t="s">
        <v>26</v>
      </c>
      <c r="V1061" t="s">
        <v>26</v>
      </c>
      <c r="W1061" s="24">
        <v>42005</v>
      </c>
      <c r="X1061" s="25" t="s">
        <v>77</v>
      </c>
      <c r="Y1061" s="25" t="s">
        <v>2134</v>
      </c>
      <c r="Z1061" s="24">
        <v>42005</v>
      </c>
      <c r="AA1061" s="25" t="s">
        <v>77</v>
      </c>
      <c r="AB1061" s="25" t="s">
        <v>2134</v>
      </c>
      <c r="AC1061" s="24">
        <v>42005</v>
      </c>
      <c r="AD1061" s="25" t="s">
        <v>77</v>
      </c>
      <c r="AE1061" s="25" t="s">
        <v>2134</v>
      </c>
      <c r="AF1061" t="s">
        <v>26</v>
      </c>
      <c r="AG1061" t="s">
        <v>26</v>
      </c>
      <c r="AH1061" t="s">
        <v>26</v>
      </c>
      <c r="AI1061" t="s">
        <v>26</v>
      </c>
      <c r="AJ1061" t="s">
        <v>26</v>
      </c>
      <c r="AK1061" t="s">
        <v>26</v>
      </c>
      <c r="AL1061" t="s">
        <v>26</v>
      </c>
      <c r="AM1061" t="s">
        <v>26</v>
      </c>
      <c r="AN1061" t="s">
        <v>26</v>
      </c>
      <c r="AO1061" s="25" t="s">
        <v>68</v>
      </c>
      <c r="AP1061" s="23" t="s">
        <v>69</v>
      </c>
      <c r="AQ1061" s="23" t="s">
        <v>30</v>
      </c>
      <c r="AR1061" s="23" t="s">
        <v>70</v>
      </c>
      <c r="AS1061" s="25">
        <v>2035934</v>
      </c>
      <c r="AT1061" t="s">
        <v>26</v>
      </c>
      <c r="AU1061" t="s">
        <v>23639</v>
      </c>
    </row>
    <row r="1062" spans="1:47" ht="26.25" x14ac:dyDescent="0.4">
      <c r="A1062" s="23" t="s">
        <v>2706</v>
      </c>
      <c r="B1062" t="s">
        <v>26</v>
      </c>
      <c r="C1062" s="23" t="s">
        <v>73</v>
      </c>
      <c r="D1062" s="23" t="s">
        <v>22215</v>
      </c>
      <c r="E1062" s="23" t="s">
        <v>74</v>
      </c>
      <c r="F1062" t="s">
        <v>26</v>
      </c>
      <c r="G1062" s="25" t="s">
        <v>2707</v>
      </c>
      <c r="H1062" t="s">
        <v>26</v>
      </c>
      <c r="I1062" s="24">
        <v>41699</v>
      </c>
      <c r="J1062" s="25" t="s">
        <v>77</v>
      </c>
      <c r="K1062" t="s">
        <v>26</v>
      </c>
      <c r="L1062" s="25" t="s">
        <v>68</v>
      </c>
      <c r="M1062" s="24">
        <v>41699</v>
      </c>
      <c r="N1062" s="24">
        <v>42795</v>
      </c>
      <c r="O1062" t="s">
        <v>26</v>
      </c>
      <c r="P1062" s="24">
        <v>41699</v>
      </c>
      <c r="Q1062" s="25" t="s">
        <v>77</v>
      </c>
      <c r="R1062" t="s">
        <v>26</v>
      </c>
      <c r="S1062" t="s">
        <v>26</v>
      </c>
      <c r="T1062" t="s">
        <v>26</v>
      </c>
      <c r="U1062" t="s">
        <v>26</v>
      </c>
      <c r="V1062" s="25">
        <v>365</v>
      </c>
      <c r="W1062" s="24">
        <v>41699</v>
      </c>
      <c r="X1062" s="25" t="s">
        <v>77</v>
      </c>
      <c r="Y1062" t="s">
        <v>26</v>
      </c>
      <c r="Z1062" s="24">
        <v>41699</v>
      </c>
      <c r="AA1062" s="25" t="s">
        <v>77</v>
      </c>
      <c r="AB1062" t="s">
        <v>26</v>
      </c>
      <c r="AC1062" s="24">
        <v>41699</v>
      </c>
      <c r="AD1062" s="25" t="s">
        <v>77</v>
      </c>
      <c r="AE1062" t="s">
        <v>26</v>
      </c>
      <c r="AF1062" t="s">
        <v>26</v>
      </c>
      <c r="AG1062" t="s">
        <v>26</v>
      </c>
      <c r="AH1062" t="s">
        <v>26</v>
      </c>
      <c r="AI1062" t="s">
        <v>26</v>
      </c>
      <c r="AJ1062" t="s">
        <v>26</v>
      </c>
      <c r="AK1062" t="s">
        <v>26</v>
      </c>
      <c r="AL1062" t="s">
        <v>26</v>
      </c>
      <c r="AM1062" t="s">
        <v>26</v>
      </c>
      <c r="AN1062" t="s">
        <v>26</v>
      </c>
      <c r="AO1062" s="25" t="s">
        <v>68</v>
      </c>
      <c r="AP1062" s="23" t="s">
        <v>69</v>
      </c>
      <c r="AQ1062" s="23" t="s">
        <v>30</v>
      </c>
      <c r="AR1062" s="23" t="s">
        <v>147</v>
      </c>
      <c r="AS1062" s="25">
        <v>2034540</v>
      </c>
      <c r="AT1062" t="s">
        <v>26</v>
      </c>
      <c r="AU1062" t="s">
        <v>23640</v>
      </c>
    </row>
    <row r="1063" spans="1:47" ht="26.25" x14ac:dyDescent="0.4">
      <c r="A1063" s="23" t="s">
        <v>2708</v>
      </c>
      <c r="B1063" t="s">
        <v>26</v>
      </c>
      <c r="C1063" s="23" t="s">
        <v>146</v>
      </c>
      <c r="D1063" s="23" t="s">
        <v>22174</v>
      </c>
      <c r="E1063" s="23" t="s">
        <v>60</v>
      </c>
      <c r="F1063" t="s">
        <v>26</v>
      </c>
      <c r="G1063" t="s">
        <v>26</v>
      </c>
      <c r="H1063" t="s">
        <v>26</v>
      </c>
      <c r="I1063" t="s">
        <v>26</v>
      </c>
      <c r="J1063" t="s">
        <v>26</v>
      </c>
      <c r="K1063" t="s">
        <v>26</v>
      </c>
      <c r="L1063" s="25" t="s">
        <v>28</v>
      </c>
      <c r="M1063" t="s">
        <v>26</v>
      </c>
      <c r="N1063" t="s">
        <v>26</v>
      </c>
      <c r="O1063" t="s">
        <v>26</v>
      </c>
      <c r="P1063" t="s">
        <v>26</v>
      </c>
      <c r="Q1063" t="s">
        <v>26</v>
      </c>
      <c r="R1063" t="s">
        <v>26</v>
      </c>
      <c r="S1063" t="s">
        <v>26</v>
      </c>
      <c r="T1063" t="s">
        <v>26</v>
      </c>
      <c r="U1063" t="s">
        <v>26</v>
      </c>
      <c r="V1063" t="s">
        <v>26</v>
      </c>
      <c r="W1063" s="24">
        <v>42005</v>
      </c>
      <c r="X1063" s="24">
        <v>42005</v>
      </c>
      <c r="Y1063" t="s">
        <v>26</v>
      </c>
      <c r="Z1063" s="24">
        <v>42005</v>
      </c>
      <c r="AA1063" s="24">
        <v>42005</v>
      </c>
      <c r="AB1063" t="s">
        <v>26</v>
      </c>
      <c r="AC1063" t="s">
        <v>26</v>
      </c>
      <c r="AD1063" t="s">
        <v>26</v>
      </c>
      <c r="AE1063" t="s">
        <v>26</v>
      </c>
      <c r="AF1063" t="s">
        <v>26</v>
      </c>
      <c r="AG1063" t="s">
        <v>26</v>
      </c>
      <c r="AH1063" t="s">
        <v>26</v>
      </c>
      <c r="AI1063" t="s">
        <v>26</v>
      </c>
      <c r="AJ1063" t="s">
        <v>26</v>
      </c>
      <c r="AK1063" t="s">
        <v>26</v>
      </c>
      <c r="AL1063" t="s">
        <v>26</v>
      </c>
      <c r="AM1063" t="s">
        <v>26</v>
      </c>
      <c r="AN1063" t="s">
        <v>26</v>
      </c>
      <c r="AO1063" s="25" t="s">
        <v>28</v>
      </c>
      <c r="AP1063" s="23" t="s">
        <v>29</v>
      </c>
      <c r="AQ1063" s="23" t="s">
        <v>30</v>
      </c>
      <c r="AR1063" s="23" t="s">
        <v>245</v>
      </c>
      <c r="AS1063" s="25">
        <v>5483617</v>
      </c>
      <c r="AT1063" s="23" t="s">
        <v>22181</v>
      </c>
      <c r="AU1063" t="s">
        <v>23641</v>
      </c>
    </row>
    <row r="1064" spans="1:47" ht="26.25" x14ac:dyDescent="0.4">
      <c r="A1064" s="23" t="s">
        <v>2709</v>
      </c>
      <c r="B1064" t="s">
        <v>26</v>
      </c>
      <c r="C1064" s="23" t="s">
        <v>2710</v>
      </c>
      <c r="D1064" s="23" t="s">
        <v>22179</v>
      </c>
      <c r="E1064" s="23" t="s">
        <v>42</v>
      </c>
      <c r="F1064" t="s">
        <v>26</v>
      </c>
      <c r="G1064" t="s">
        <v>26</v>
      </c>
      <c r="H1064" t="s">
        <v>26</v>
      </c>
      <c r="I1064" s="24">
        <v>37622</v>
      </c>
      <c r="J1064" s="24">
        <v>37622</v>
      </c>
      <c r="K1064" t="s">
        <v>26</v>
      </c>
      <c r="L1064" s="25" t="s">
        <v>28</v>
      </c>
      <c r="M1064" s="24">
        <v>37622</v>
      </c>
      <c r="N1064" s="24">
        <v>37622</v>
      </c>
      <c r="O1064" t="s">
        <v>26</v>
      </c>
      <c r="P1064" t="s">
        <v>26</v>
      </c>
      <c r="Q1064" t="s">
        <v>26</v>
      </c>
      <c r="R1064" t="s">
        <v>26</v>
      </c>
      <c r="S1064" t="s">
        <v>26</v>
      </c>
      <c r="T1064" t="s">
        <v>26</v>
      </c>
      <c r="U1064" t="s">
        <v>26</v>
      </c>
      <c r="V1064" t="s">
        <v>26</v>
      </c>
      <c r="W1064" s="24">
        <v>37622</v>
      </c>
      <c r="X1064" s="24">
        <v>37622</v>
      </c>
      <c r="Y1064" t="s">
        <v>26</v>
      </c>
      <c r="Z1064" s="24">
        <v>37622</v>
      </c>
      <c r="AA1064" s="24">
        <v>37622</v>
      </c>
      <c r="AB1064" t="s">
        <v>26</v>
      </c>
      <c r="AC1064" s="24">
        <v>37622</v>
      </c>
      <c r="AD1064" s="24">
        <v>37622</v>
      </c>
      <c r="AE1064" t="s">
        <v>26</v>
      </c>
      <c r="AF1064" t="s">
        <v>26</v>
      </c>
      <c r="AG1064" t="s">
        <v>26</v>
      </c>
      <c r="AH1064" t="s">
        <v>26</v>
      </c>
      <c r="AI1064" t="s">
        <v>26</v>
      </c>
      <c r="AJ1064" t="s">
        <v>26</v>
      </c>
      <c r="AK1064" t="s">
        <v>26</v>
      </c>
      <c r="AL1064" t="s">
        <v>26</v>
      </c>
      <c r="AM1064" t="s">
        <v>26</v>
      </c>
      <c r="AN1064" t="s">
        <v>26</v>
      </c>
      <c r="AO1064" s="25" t="s">
        <v>28</v>
      </c>
      <c r="AP1064" s="23" t="s">
        <v>29</v>
      </c>
      <c r="AQ1064" s="23" t="s">
        <v>30</v>
      </c>
      <c r="AR1064" s="23" t="s">
        <v>46</v>
      </c>
      <c r="AS1064" s="25">
        <v>6008997</v>
      </c>
      <c r="AT1064" t="s">
        <v>26</v>
      </c>
      <c r="AU1064" t="s">
        <v>23642</v>
      </c>
    </row>
    <row r="1065" spans="1:47" ht="26.25" x14ac:dyDescent="0.4">
      <c r="A1065" s="23" t="s">
        <v>2711</v>
      </c>
      <c r="B1065" t="s">
        <v>26</v>
      </c>
      <c r="C1065" s="23" t="s">
        <v>23643</v>
      </c>
      <c r="D1065" s="23" t="s">
        <v>23644</v>
      </c>
      <c r="E1065" s="23" t="s">
        <v>42</v>
      </c>
      <c r="F1065" t="s">
        <v>26</v>
      </c>
      <c r="G1065" t="s">
        <v>26</v>
      </c>
      <c r="H1065" t="s">
        <v>26</v>
      </c>
      <c r="I1065" s="24">
        <v>40909</v>
      </c>
      <c r="J1065" s="24">
        <v>41640</v>
      </c>
      <c r="K1065" t="s">
        <v>26</v>
      </c>
      <c r="L1065" s="25" t="s">
        <v>28</v>
      </c>
      <c r="M1065" s="24">
        <v>40909</v>
      </c>
      <c r="N1065" s="24">
        <v>41640</v>
      </c>
      <c r="O1065" t="s">
        <v>26</v>
      </c>
      <c r="P1065" t="s">
        <v>26</v>
      </c>
      <c r="Q1065" t="s">
        <v>26</v>
      </c>
      <c r="R1065" t="s">
        <v>26</v>
      </c>
      <c r="S1065" s="24">
        <v>40909</v>
      </c>
      <c r="T1065" s="24">
        <v>41640</v>
      </c>
      <c r="U1065" t="s">
        <v>26</v>
      </c>
      <c r="V1065" t="s">
        <v>26</v>
      </c>
      <c r="W1065" s="24">
        <v>40909</v>
      </c>
      <c r="X1065" s="24">
        <v>41640</v>
      </c>
      <c r="Y1065" t="s">
        <v>26</v>
      </c>
      <c r="Z1065" s="24">
        <v>40909</v>
      </c>
      <c r="AA1065" s="24">
        <v>41640</v>
      </c>
      <c r="AB1065" t="s">
        <v>26</v>
      </c>
      <c r="AC1065" s="24">
        <v>40909</v>
      </c>
      <c r="AD1065" s="24">
        <v>41640</v>
      </c>
      <c r="AE1065" t="s">
        <v>26</v>
      </c>
      <c r="AF1065" s="24">
        <v>40909</v>
      </c>
      <c r="AG1065" s="24">
        <v>41640</v>
      </c>
      <c r="AH1065" t="s">
        <v>26</v>
      </c>
      <c r="AI1065" s="24">
        <v>40909</v>
      </c>
      <c r="AJ1065" s="24">
        <v>41640</v>
      </c>
      <c r="AK1065" t="s">
        <v>26</v>
      </c>
      <c r="AL1065" t="s">
        <v>26</v>
      </c>
      <c r="AM1065" t="s">
        <v>26</v>
      </c>
      <c r="AN1065" t="s">
        <v>26</v>
      </c>
      <c r="AO1065" s="25" t="s">
        <v>28</v>
      </c>
      <c r="AP1065" s="23" t="s">
        <v>43</v>
      </c>
      <c r="AQ1065" s="23" t="s">
        <v>30</v>
      </c>
      <c r="AR1065" s="23" t="s">
        <v>46</v>
      </c>
      <c r="AS1065" s="25">
        <v>6362741</v>
      </c>
      <c r="AT1065" t="s">
        <v>26</v>
      </c>
      <c r="AU1065" t="s">
        <v>23645</v>
      </c>
    </row>
    <row r="1066" spans="1:47" ht="26.25" x14ac:dyDescent="0.4">
      <c r="A1066" s="23" t="s">
        <v>2712</v>
      </c>
      <c r="B1066" t="s">
        <v>26</v>
      </c>
      <c r="C1066" s="23" t="s">
        <v>59</v>
      </c>
      <c r="D1066" s="23" t="s">
        <v>22174</v>
      </c>
      <c r="E1066" s="23" t="s">
        <v>60</v>
      </c>
      <c r="F1066" t="s">
        <v>26</v>
      </c>
      <c r="G1066" t="s">
        <v>26</v>
      </c>
      <c r="H1066" s="25" t="s">
        <v>2713</v>
      </c>
      <c r="I1066" s="24">
        <v>41275</v>
      </c>
      <c r="J1066" s="24">
        <v>41275</v>
      </c>
      <c r="K1066" t="s">
        <v>26</v>
      </c>
      <c r="L1066" s="25" t="s">
        <v>28</v>
      </c>
      <c r="M1066" s="24">
        <v>41275</v>
      </c>
      <c r="N1066" s="24">
        <v>41275</v>
      </c>
      <c r="O1066" t="s">
        <v>26</v>
      </c>
      <c r="P1066" s="24">
        <v>41275</v>
      </c>
      <c r="Q1066" s="24">
        <v>41275</v>
      </c>
      <c r="R1066" t="s">
        <v>26</v>
      </c>
      <c r="S1066" t="s">
        <v>26</v>
      </c>
      <c r="T1066" t="s">
        <v>26</v>
      </c>
      <c r="U1066" t="s">
        <v>26</v>
      </c>
      <c r="V1066" t="s">
        <v>26</v>
      </c>
      <c r="W1066" s="24">
        <v>41275</v>
      </c>
      <c r="X1066" s="24">
        <v>41275</v>
      </c>
      <c r="Y1066" t="s">
        <v>26</v>
      </c>
      <c r="Z1066" s="24">
        <v>41275</v>
      </c>
      <c r="AA1066" s="24">
        <v>41275</v>
      </c>
      <c r="AB1066" t="s">
        <v>26</v>
      </c>
      <c r="AC1066" s="24">
        <v>41275</v>
      </c>
      <c r="AD1066" s="24">
        <v>41275</v>
      </c>
      <c r="AE1066" t="s">
        <v>26</v>
      </c>
      <c r="AF1066" t="s">
        <v>26</v>
      </c>
      <c r="AG1066" t="s">
        <v>26</v>
      </c>
      <c r="AH1066" t="s">
        <v>26</v>
      </c>
      <c r="AI1066" t="s">
        <v>26</v>
      </c>
      <c r="AJ1066" t="s">
        <v>26</v>
      </c>
      <c r="AK1066" t="s">
        <v>26</v>
      </c>
      <c r="AL1066" t="s">
        <v>26</v>
      </c>
      <c r="AM1066" t="s">
        <v>26</v>
      </c>
      <c r="AN1066" t="s">
        <v>26</v>
      </c>
      <c r="AO1066" s="25" t="s">
        <v>28</v>
      </c>
      <c r="AP1066" s="23" t="s">
        <v>29</v>
      </c>
      <c r="AQ1066" s="23" t="s">
        <v>30</v>
      </c>
      <c r="AR1066" s="23" t="s">
        <v>2282</v>
      </c>
      <c r="AS1066" s="25">
        <v>2043117</v>
      </c>
      <c r="AT1066" t="s">
        <v>26</v>
      </c>
      <c r="AU1066" t="s">
        <v>23646</v>
      </c>
    </row>
    <row r="1067" spans="1:47" ht="26.25" x14ac:dyDescent="0.4">
      <c r="A1067" s="23" t="s">
        <v>2714</v>
      </c>
      <c r="B1067" t="s">
        <v>26</v>
      </c>
      <c r="C1067" s="23" t="s">
        <v>51</v>
      </c>
      <c r="D1067" t="s">
        <v>26</v>
      </c>
      <c r="E1067" s="23" t="s">
        <v>42</v>
      </c>
      <c r="F1067" t="s">
        <v>26</v>
      </c>
      <c r="G1067" t="s">
        <v>26</v>
      </c>
      <c r="H1067" t="s">
        <v>26</v>
      </c>
      <c r="I1067" s="24">
        <v>42005</v>
      </c>
      <c r="J1067" s="24">
        <v>42005</v>
      </c>
      <c r="K1067" t="s">
        <v>26</v>
      </c>
      <c r="L1067" s="25" t="s">
        <v>28</v>
      </c>
      <c r="M1067" s="24">
        <v>42005</v>
      </c>
      <c r="N1067" s="24">
        <v>42005</v>
      </c>
      <c r="O1067" t="s">
        <v>26</v>
      </c>
      <c r="P1067" t="s">
        <v>26</v>
      </c>
      <c r="Q1067" t="s">
        <v>26</v>
      </c>
      <c r="R1067" t="s">
        <v>26</v>
      </c>
      <c r="S1067" s="24">
        <v>42005</v>
      </c>
      <c r="T1067" s="24">
        <v>42005</v>
      </c>
      <c r="U1067" t="s">
        <v>26</v>
      </c>
      <c r="V1067" t="s">
        <v>26</v>
      </c>
      <c r="W1067" s="24">
        <v>42005</v>
      </c>
      <c r="X1067" s="24">
        <v>42005</v>
      </c>
      <c r="Y1067" t="s">
        <v>26</v>
      </c>
      <c r="Z1067" s="24">
        <v>42005</v>
      </c>
      <c r="AA1067" s="24">
        <v>42005</v>
      </c>
      <c r="AB1067" t="s">
        <v>26</v>
      </c>
      <c r="AC1067" s="24">
        <v>42005</v>
      </c>
      <c r="AD1067" s="24">
        <v>42005</v>
      </c>
      <c r="AE1067" t="s">
        <v>26</v>
      </c>
      <c r="AF1067" s="24">
        <v>42005</v>
      </c>
      <c r="AG1067" s="24">
        <v>42005</v>
      </c>
      <c r="AH1067" t="s">
        <v>26</v>
      </c>
      <c r="AI1067" s="24">
        <v>42005</v>
      </c>
      <c r="AJ1067" s="24">
        <v>42005</v>
      </c>
      <c r="AK1067" t="s">
        <v>26</v>
      </c>
      <c r="AL1067" t="s">
        <v>26</v>
      </c>
      <c r="AM1067" t="s">
        <v>26</v>
      </c>
      <c r="AN1067" t="s">
        <v>26</v>
      </c>
      <c r="AO1067" s="25" t="s">
        <v>28</v>
      </c>
      <c r="AP1067" s="23" t="s">
        <v>43</v>
      </c>
      <c r="AQ1067" s="23" t="s">
        <v>30</v>
      </c>
      <c r="AR1067" s="23" t="s">
        <v>44</v>
      </c>
      <c r="AS1067" s="25">
        <v>5256670</v>
      </c>
      <c r="AT1067" t="s">
        <v>26</v>
      </c>
      <c r="AU1067" t="s">
        <v>23647</v>
      </c>
    </row>
    <row r="1068" spans="1:47" ht="26.25" x14ac:dyDescent="0.4">
      <c r="A1068" s="23" t="s">
        <v>2715</v>
      </c>
      <c r="B1068" t="s">
        <v>26</v>
      </c>
      <c r="C1068" s="23" t="s">
        <v>302</v>
      </c>
      <c r="D1068" s="23" t="s">
        <v>22286</v>
      </c>
      <c r="E1068" s="23" t="s">
        <v>42</v>
      </c>
      <c r="F1068" t="s">
        <v>26</v>
      </c>
      <c r="G1068" t="s">
        <v>26</v>
      </c>
      <c r="H1068" t="s">
        <v>26</v>
      </c>
      <c r="I1068" t="s">
        <v>26</v>
      </c>
      <c r="J1068" t="s">
        <v>26</v>
      </c>
      <c r="K1068" t="s">
        <v>26</v>
      </c>
      <c r="L1068" s="25" t="s">
        <v>28</v>
      </c>
      <c r="M1068" t="s">
        <v>26</v>
      </c>
      <c r="N1068" t="s">
        <v>26</v>
      </c>
      <c r="O1068" t="s">
        <v>26</v>
      </c>
      <c r="P1068" t="s">
        <v>26</v>
      </c>
      <c r="Q1068" t="s">
        <v>26</v>
      </c>
      <c r="R1068" t="s">
        <v>26</v>
      </c>
      <c r="S1068" t="s">
        <v>26</v>
      </c>
      <c r="T1068" t="s">
        <v>26</v>
      </c>
      <c r="U1068" t="s">
        <v>26</v>
      </c>
      <c r="V1068" t="s">
        <v>26</v>
      </c>
      <c r="W1068" s="24">
        <v>41640</v>
      </c>
      <c r="X1068" s="24">
        <v>41640</v>
      </c>
      <c r="Y1068" t="s">
        <v>26</v>
      </c>
      <c r="Z1068" s="24">
        <v>41640</v>
      </c>
      <c r="AA1068" s="24">
        <v>41640</v>
      </c>
      <c r="AB1068" t="s">
        <v>26</v>
      </c>
      <c r="AC1068" t="s">
        <v>26</v>
      </c>
      <c r="AD1068" t="s">
        <v>26</v>
      </c>
      <c r="AE1068" t="s">
        <v>26</v>
      </c>
      <c r="AF1068" t="s">
        <v>26</v>
      </c>
      <c r="AG1068" t="s">
        <v>26</v>
      </c>
      <c r="AH1068" t="s">
        <v>26</v>
      </c>
      <c r="AI1068" t="s">
        <v>26</v>
      </c>
      <c r="AJ1068" t="s">
        <v>26</v>
      </c>
      <c r="AK1068" t="s">
        <v>26</v>
      </c>
      <c r="AL1068" t="s">
        <v>26</v>
      </c>
      <c r="AM1068" t="s">
        <v>26</v>
      </c>
      <c r="AN1068" t="s">
        <v>26</v>
      </c>
      <c r="AO1068" s="25" t="s">
        <v>28</v>
      </c>
      <c r="AP1068" s="23" t="s">
        <v>29</v>
      </c>
      <c r="AQ1068" s="23" t="s">
        <v>30</v>
      </c>
      <c r="AR1068" s="23" t="s">
        <v>245</v>
      </c>
      <c r="AS1068" s="25">
        <v>5483584</v>
      </c>
      <c r="AT1068" s="23" t="s">
        <v>22181</v>
      </c>
      <c r="AU1068" t="s">
        <v>23648</v>
      </c>
    </row>
    <row r="1069" spans="1:47" ht="13.15" x14ac:dyDescent="0.4">
      <c r="A1069" s="23" t="s">
        <v>2716</v>
      </c>
      <c r="B1069" t="s">
        <v>26</v>
      </c>
      <c r="C1069" s="23" t="s">
        <v>48</v>
      </c>
      <c r="D1069" s="23" t="s">
        <v>22168</v>
      </c>
      <c r="E1069" s="23" t="s">
        <v>42</v>
      </c>
      <c r="F1069" t="s">
        <v>26</v>
      </c>
      <c r="G1069" t="s">
        <v>26</v>
      </c>
      <c r="H1069" t="s">
        <v>26</v>
      </c>
      <c r="I1069" t="s">
        <v>26</v>
      </c>
      <c r="J1069" t="s">
        <v>26</v>
      </c>
      <c r="K1069" t="s">
        <v>26</v>
      </c>
      <c r="L1069" s="25" t="s">
        <v>28</v>
      </c>
      <c r="M1069" t="s">
        <v>26</v>
      </c>
      <c r="N1069" t="s">
        <v>26</v>
      </c>
      <c r="O1069" t="s">
        <v>26</v>
      </c>
      <c r="P1069" t="s">
        <v>26</v>
      </c>
      <c r="Q1069" t="s">
        <v>26</v>
      </c>
      <c r="R1069" t="s">
        <v>26</v>
      </c>
      <c r="S1069" t="s">
        <v>26</v>
      </c>
      <c r="T1069" t="s">
        <v>26</v>
      </c>
      <c r="U1069" t="s">
        <v>26</v>
      </c>
      <c r="V1069" t="s">
        <v>26</v>
      </c>
      <c r="W1069" s="24">
        <v>40909</v>
      </c>
      <c r="X1069" s="24">
        <v>40909</v>
      </c>
      <c r="Y1069" t="s">
        <v>26</v>
      </c>
      <c r="Z1069" s="24">
        <v>40909</v>
      </c>
      <c r="AA1069" s="24">
        <v>40909</v>
      </c>
      <c r="AB1069" t="s">
        <v>26</v>
      </c>
      <c r="AC1069" t="s">
        <v>26</v>
      </c>
      <c r="AD1069" t="s">
        <v>26</v>
      </c>
      <c r="AE1069" t="s">
        <v>26</v>
      </c>
      <c r="AF1069" t="s">
        <v>26</v>
      </c>
      <c r="AG1069" t="s">
        <v>26</v>
      </c>
      <c r="AH1069" t="s">
        <v>26</v>
      </c>
      <c r="AI1069" t="s">
        <v>26</v>
      </c>
      <c r="AJ1069" t="s">
        <v>26</v>
      </c>
      <c r="AK1069" t="s">
        <v>26</v>
      </c>
      <c r="AL1069" t="s">
        <v>26</v>
      </c>
      <c r="AM1069" t="s">
        <v>26</v>
      </c>
      <c r="AN1069" t="s">
        <v>26</v>
      </c>
      <c r="AO1069" s="25" t="s">
        <v>28</v>
      </c>
      <c r="AP1069" s="23" t="s">
        <v>29</v>
      </c>
      <c r="AQ1069" s="23" t="s">
        <v>30</v>
      </c>
      <c r="AR1069" s="23" t="s">
        <v>44</v>
      </c>
      <c r="AS1069" s="25">
        <v>5483525</v>
      </c>
      <c r="AT1069" s="23" t="s">
        <v>22181</v>
      </c>
      <c r="AU1069" t="s">
        <v>23649</v>
      </c>
    </row>
    <row r="1070" spans="1:47" ht="13.15" x14ac:dyDescent="0.4">
      <c r="A1070" s="23" t="s">
        <v>2717</v>
      </c>
      <c r="B1070" t="s">
        <v>26</v>
      </c>
      <c r="C1070" s="23" t="s">
        <v>48</v>
      </c>
      <c r="D1070" s="23" t="s">
        <v>22168</v>
      </c>
      <c r="E1070" s="23" t="s">
        <v>42</v>
      </c>
      <c r="F1070" t="s">
        <v>26</v>
      </c>
      <c r="G1070" t="s">
        <v>26</v>
      </c>
      <c r="H1070" t="s">
        <v>26</v>
      </c>
      <c r="I1070" t="s">
        <v>26</v>
      </c>
      <c r="J1070" t="s">
        <v>26</v>
      </c>
      <c r="K1070" t="s">
        <v>26</v>
      </c>
      <c r="L1070" s="25" t="s">
        <v>28</v>
      </c>
      <c r="M1070" t="s">
        <v>26</v>
      </c>
      <c r="N1070" t="s">
        <v>26</v>
      </c>
      <c r="O1070" t="s">
        <v>26</v>
      </c>
      <c r="P1070" t="s">
        <v>26</v>
      </c>
      <c r="Q1070" t="s">
        <v>26</v>
      </c>
      <c r="R1070" t="s">
        <v>26</v>
      </c>
      <c r="S1070" t="s">
        <v>26</v>
      </c>
      <c r="T1070" t="s">
        <v>26</v>
      </c>
      <c r="U1070" t="s">
        <v>26</v>
      </c>
      <c r="V1070" t="s">
        <v>26</v>
      </c>
      <c r="W1070" s="24">
        <v>40544</v>
      </c>
      <c r="X1070" s="24">
        <v>40544</v>
      </c>
      <c r="Y1070" t="s">
        <v>26</v>
      </c>
      <c r="Z1070" s="24">
        <v>40544</v>
      </c>
      <c r="AA1070" s="24">
        <v>40544</v>
      </c>
      <c r="AB1070" t="s">
        <v>26</v>
      </c>
      <c r="AC1070" t="s">
        <v>26</v>
      </c>
      <c r="AD1070" t="s">
        <v>26</v>
      </c>
      <c r="AE1070" t="s">
        <v>26</v>
      </c>
      <c r="AF1070" t="s">
        <v>26</v>
      </c>
      <c r="AG1070" t="s">
        <v>26</v>
      </c>
      <c r="AH1070" t="s">
        <v>26</v>
      </c>
      <c r="AI1070" t="s">
        <v>26</v>
      </c>
      <c r="AJ1070" t="s">
        <v>26</v>
      </c>
      <c r="AK1070" t="s">
        <v>26</v>
      </c>
      <c r="AL1070" t="s">
        <v>26</v>
      </c>
      <c r="AM1070" t="s">
        <v>26</v>
      </c>
      <c r="AN1070" t="s">
        <v>26</v>
      </c>
      <c r="AO1070" s="25" t="s">
        <v>28</v>
      </c>
      <c r="AP1070" s="23" t="s">
        <v>29</v>
      </c>
      <c r="AQ1070" s="23" t="s">
        <v>30</v>
      </c>
      <c r="AR1070" s="23" t="s">
        <v>1170</v>
      </c>
      <c r="AS1070" s="25">
        <v>5488536</v>
      </c>
      <c r="AT1070" s="23" t="s">
        <v>22181</v>
      </c>
      <c r="AU1070" t="s">
        <v>23650</v>
      </c>
    </row>
    <row r="1071" spans="1:47" ht="26.25" x14ac:dyDescent="0.4">
      <c r="A1071" s="23" t="s">
        <v>2718</v>
      </c>
      <c r="B1071" t="s">
        <v>26</v>
      </c>
      <c r="C1071" s="23" t="s">
        <v>107</v>
      </c>
      <c r="D1071" s="23" t="s">
        <v>22194</v>
      </c>
      <c r="E1071" s="23" t="s">
        <v>42</v>
      </c>
      <c r="F1071" s="25" t="s">
        <v>2719</v>
      </c>
      <c r="G1071" s="25" t="s">
        <v>2720</v>
      </c>
      <c r="H1071" t="s">
        <v>26</v>
      </c>
      <c r="I1071" s="24">
        <v>32112</v>
      </c>
      <c r="J1071" s="24">
        <v>39417</v>
      </c>
      <c r="K1071" t="s">
        <v>26</v>
      </c>
      <c r="L1071" s="25" t="s">
        <v>68</v>
      </c>
      <c r="M1071" s="24">
        <v>35034</v>
      </c>
      <c r="N1071" s="24">
        <v>39417</v>
      </c>
      <c r="O1071" t="s">
        <v>26</v>
      </c>
      <c r="P1071" s="24">
        <v>32112</v>
      </c>
      <c r="Q1071" s="24">
        <v>39417</v>
      </c>
      <c r="R1071" t="s">
        <v>26</v>
      </c>
      <c r="S1071" t="s">
        <v>26</v>
      </c>
      <c r="T1071" t="s">
        <v>26</v>
      </c>
      <c r="U1071" t="s">
        <v>26</v>
      </c>
      <c r="V1071" t="s">
        <v>26</v>
      </c>
      <c r="W1071" s="24">
        <v>29646</v>
      </c>
      <c r="X1071" s="25" t="s">
        <v>77</v>
      </c>
      <c r="Y1071" t="s">
        <v>26</v>
      </c>
      <c r="Z1071" s="24">
        <v>29646</v>
      </c>
      <c r="AA1071" s="25" t="s">
        <v>77</v>
      </c>
      <c r="AB1071" t="s">
        <v>26</v>
      </c>
      <c r="AC1071" s="24">
        <v>29646</v>
      </c>
      <c r="AD1071" s="25" t="s">
        <v>77</v>
      </c>
      <c r="AE1071" t="s">
        <v>26</v>
      </c>
      <c r="AF1071" t="s">
        <v>26</v>
      </c>
      <c r="AG1071" t="s">
        <v>26</v>
      </c>
      <c r="AH1071" t="s">
        <v>26</v>
      </c>
      <c r="AI1071" t="s">
        <v>26</v>
      </c>
      <c r="AJ1071" t="s">
        <v>26</v>
      </c>
      <c r="AK1071" t="s">
        <v>26</v>
      </c>
      <c r="AL1071" t="s">
        <v>26</v>
      </c>
      <c r="AM1071" t="s">
        <v>26</v>
      </c>
      <c r="AN1071" t="s">
        <v>26</v>
      </c>
      <c r="AO1071" s="25" t="s">
        <v>68</v>
      </c>
      <c r="AP1071" s="23" t="s">
        <v>69</v>
      </c>
      <c r="AQ1071" s="23" t="s">
        <v>30</v>
      </c>
      <c r="AR1071" s="23" t="s">
        <v>46</v>
      </c>
      <c r="AS1071" s="25">
        <v>47347</v>
      </c>
      <c r="AT1071" t="s">
        <v>26</v>
      </c>
      <c r="AU1071" t="s">
        <v>23651</v>
      </c>
    </row>
    <row r="1072" spans="1:47" ht="26.25" x14ac:dyDescent="0.4">
      <c r="A1072" s="23" t="s">
        <v>2721</v>
      </c>
      <c r="B1072" t="s">
        <v>26</v>
      </c>
      <c r="C1072" s="23" t="s">
        <v>107</v>
      </c>
      <c r="D1072" s="23" t="s">
        <v>23058</v>
      </c>
      <c r="E1072" s="23" t="s">
        <v>42</v>
      </c>
      <c r="F1072" s="25" t="s">
        <v>2722</v>
      </c>
      <c r="G1072" t="s">
        <v>26</v>
      </c>
      <c r="H1072" t="s">
        <v>26</v>
      </c>
      <c r="I1072" s="24">
        <v>31472</v>
      </c>
      <c r="J1072" s="24">
        <v>36130</v>
      </c>
      <c r="K1072" t="s">
        <v>26</v>
      </c>
      <c r="L1072" s="25" t="s">
        <v>68</v>
      </c>
      <c r="M1072" t="s">
        <v>26</v>
      </c>
      <c r="N1072" t="s">
        <v>26</v>
      </c>
      <c r="O1072" t="s">
        <v>26</v>
      </c>
      <c r="P1072" s="24">
        <v>31472</v>
      </c>
      <c r="Q1072" s="24">
        <v>36130</v>
      </c>
      <c r="R1072" t="s">
        <v>26</v>
      </c>
      <c r="S1072" t="s">
        <v>26</v>
      </c>
      <c r="T1072" t="s">
        <v>26</v>
      </c>
      <c r="U1072" t="s">
        <v>26</v>
      </c>
      <c r="V1072" t="s">
        <v>26</v>
      </c>
      <c r="W1072" s="24">
        <v>31472</v>
      </c>
      <c r="X1072" s="24">
        <v>36130</v>
      </c>
      <c r="Y1072" t="s">
        <v>26</v>
      </c>
      <c r="Z1072" s="24">
        <v>31472</v>
      </c>
      <c r="AA1072" s="24">
        <v>36130</v>
      </c>
      <c r="AB1072" t="s">
        <v>26</v>
      </c>
      <c r="AC1072" s="24">
        <v>31472</v>
      </c>
      <c r="AD1072" s="24">
        <v>36130</v>
      </c>
      <c r="AE1072" t="s">
        <v>26</v>
      </c>
      <c r="AF1072" t="s">
        <v>26</v>
      </c>
      <c r="AG1072" t="s">
        <v>26</v>
      </c>
      <c r="AH1072" t="s">
        <v>26</v>
      </c>
      <c r="AI1072" t="s">
        <v>26</v>
      </c>
      <c r="AJ1072" t="s">
        <v>26</v>
      </c>
      <c r="AK1072" t="s">
        <v>26</v>
      </c>
      <c r="AL1072" t="s">
        <v>26</v>
      </c>
      <c r="AM1072" t="s">
        <v>26</v>
      </c>
      <c r="AN1072" t="s">
        <v>26</v>
      </c>
      <c r="AO1072" s="25" t="s">
        <v>68</v>
      </c>
      <c r="AP1072" s="23" t="s">
        <v>69</v>
      </c>
      <c r="AQ1072" s="23" t="s">
        <v>30</v>
      </c>
      <c r="AR1072" s="23" t="s">
        <v>46</v>
      </c>
      <c r="AS1072" s="25">
        <v>47345</v>
      </c>
      <c r="AT1072" t="s">
        <v>26</v>
      </c>
      <c r="AU1072" t="s">
        <v>23652</v>
      </c>
    </row>
    <row r="1073" spans="1:47" ht="26.25" x14ac:dyDescent="0.4">
      <c r="A1073" s="23" t="s">
        <v>2723</v>
      </c>
      <c r="B1073" t="s">
        <v>26</v>
      </c>
      <c r="C1073" s="23" t="s">
        <v>107</v>
      </c>
      <c r="D1073" s="23" t="s">
        <v>23058</v>
      </c>
      <c r="E1073" s="23" t="s">
        <v>42</v>
      </c>
      <c r="F1073" s="25" t="s">
        <v>2722</v>
      </c>
      <c r="G1073" t="s">
        <v>26</v>
      </c>
      <c r="H1073" t="s">
        <v>26</v>
      </c>
      <c r="I1073" s="24">
        <v>27820</v>
      </c>
      <c r="J1073" s="24">
        <v>31382</v>
      </c>
      <c r="K1073" t="s">
        <v>26</v>
      </c>
      <c r="L1073" s="25" t="s">
        <v>68</v>
      </c>
      <c r="M1073" t="s">
        <v>26</v>
      </c>
      <c r="N1073" t="s">
        <v>26</v>
      </c>
      <c r="O1073" t="s">
        <v>26</v>
      </c>
      <c r="P1073" s="24">
        <v>27820</v>
      </c>
      <c r="Q1073" s="24">
        <v>31382</v>
      </c>
      <c r="R1073" t="s">
        <v>26</v>
      </c>
      <c r="S1073" t="s">
        <v>26</v>
      </c>
      <c r="T1073" t="s">
        <v>26</v>
      </c>
      <c r="U1073" t="s">
        <v>26</v>
      </c>
      <c r="V1073" t="s">
        <v>26</v>
      </c>
      <c r="W1073" s="24">
        <v>27820</v>
      </c>
      <c r="X1073" s="24">
        <v>31382</v>
      </c>
      <c r="Y1073" t="s">
        <v>26</v>
      </c>
      <c r="Z1073" s="24">
        <v>27820</v>
      </c>
      <c r="AA1073" s="24">
        <v>31382</v>
      </c>
      <c r="AB1073" t="s">
        <v>26</v>
      </c>
      <c r="AC1073" s="24">
        <v>27820</v>
      </c>
      <c r="AD1073" s="24">
        <v>31382</v>
      </c>
      <c r="AE1073" t="s">
        <v>26</v>
      </c>
      <c r="AF1073" t="s">
        <v>26</v>
      </c>
      <c r="AG1073" t="s">
        <v>26</v>
      </c>
      <c r="AH1073" t="s">
        <v>26</v>
      </c>
      <c r="AI1073" t="s">
        <v>26</v>
      </c>
      <c r="AJ1073" t="s">
        <v>26</v>
      </c>
      <c r="AK1073" t="s">
        <v>26</v>
      </c>
      <c r="AL1073" t="s">
        <v>26</v>
      </c>
      <c r="AM1073" t="s">
        <v>26</v>
      </c>
      <c r="AN1073" t="s">
        <v>26</v>
      </c>
      <c r="AO1073" s="25" t="s">
        <v>68</v>
      </c>
      <c r="AP1073" s="23" t="s">
        <v>69</v>
      </c>
      <c r="AQ1073" s="23" t="s">
        <v>30</v>
      </c>
      <c r="AR1073" s="23" t="s">
        <v>46</v>
      </c>
      <c r="AS1073" s="25">
        <v>47346</v>
      </c>
      <c r="AT1073" t="s">
        <v>26</v>
      </c>
      <c r="AU1073" t="s">
        <v>23653</v>
      </c>
    </row>
    <row r="1074" spans="1:47" ht="26.25" x14ac:dyDescent="0.4">
      <c r="A1074" s="23" t="s">
        <v>2724</v>
      </c>
      <c r="B1074" t="s">
        <v>26</v>
      </c>
      <c r="C1074" s="23" t="s">
        <v>181</v>
      </c>
      <c r="D1074" s="23" t="s">
        <v>22174</v>
      </c>
      <c r="E1074" s="23" t="s">
        <v>60</v>
      </c>
      <c r="F1074" s="25" t="s">
        <v>2725</v>
      </c>
      <c r="G1074" s="25" t="s">
        <v>2726</v>
      </c>
      <c r="H1074" t="s">
        <v>26</v>
      </c>
      <c r="I1074" t="s">
        <v>26</v>
      </c>
      <c r="J1074" t="s">
        <v>26</v>
      </c>
      <c r="K1074" t="s">
        <v>26</v>
      </c>
      <c r="L1074" s="25" t="s">
        <v>68</v>
      </c>
      <c r="M1074" t="s">
        <v>26</v>
      </c>
      <c r="N1074" t="s">
        <v>26</v>
      </c>
      <c r="O1074" t="s">
        <v>26</v>
      </c>
      <c r="P1074" t="s">
        <v>26</v>
      </c>
      <c r="Q1074" t="s">
        <v>26</v>
      </c>
      <c r="R1074" t="s">
        <v>26</v>
      </c>
      <c r="S1074" t="s">
        <v>26</v>
      </c>
      <c r="T1074" t="s">
        <v>26</v>
      </c>
      <c r="U1074" t="s">
        <v>26</v>
      </c>
      <c r="V1074" t="s">
        <v>26</v>
      </c>
      <c r="W1074" s="24">
        <v>37226</v>
      </c>
      <c r="X1074" s="24">
        <v>37681</v>
      </c>
      <c r="Y1074" t="s">
        <v>26</v>
      </c>
      <c r="Z1074" s="24">
        <v>37226</v>
      </c>
      <c r="AA1074" s="24">
        <v>37681</v>
      </c>
      <c r="AB1074" t="s">
        <v>26</v>
      </c>
      <c r="AC1074" t="s">
        <v>26</v>
      </c>
      <c r="AD1074" t="s">
        <v>26</v>
      </c>
      <c r="AE1074" t="s">
        <v>26</v>
      </c>
      <c r="AF1074" t="s">
        <v>26</v>
      </c>
      <c r="AG1074" t="s">
        <v>26</v>
      </c>
      <c r="AH1074" t="s">
        <v>26</v>
      </c>
      <c r="AI1074" t="s">
        <v>26</v>
      </c>
      <c r="AJ1074" t="s">
        <v>26</v>
      </c>
      <c r="AK1074" t="s">
        <v>26</v>
      </c>
      <c r="AL1074" t="s">
        <v>26</v>
      </c>
      <c r="AM1074" t="s">
        <v>26</v>
      </c>
      <c r="AN1074" t="s">
        <v>26</v>
      </c>
      <c r="AO1074" s="25" t="s">
        <v>68</v>
      </c>
      <c r="AP1074" s="23" t="s">
        <v>69</v>
      </c>
      <c r="AQ1074" s="23" t="s">
        <v>30</v>
      </c>
      <c r="AR1074" s="23" t="s">
        <v>46</v>
      </c>
      <c r="AS1074" s="25">
        <v>32990</v>
      </c>
      <c r="AT1074" t="s">
        <v>26</v>
      </c>
      <c r="AU1074" t="s">
        <v>23654</v>
      </c>
    </row>
    <row r="1075" spans="1:47" ht="26.25" x14ac:dyDescent="0.4">
      <c r="A1075" s="23" t="s">
        <v>2724</v>
      </c>
      <c r="B1075" t="s">
        <v>26</v>
      </c>
      <c r="C1075" s="23" t="s">
        <v>107</v>
      </c>
      <c r="D1075" s="23" t="s">
        <v>22174</v>
      </c>
      <c r="E1075" s="23" t="s">
        <v>42</v>
      </c>
      <c r="F1075" s="25" t="s">
        <v>2725</v>
      </c>
      <c r="G1075" s="25" t="s">
        <v>2726</v>
      </c>
      <c r="H1075" t="s">
        <v>26</v>
      </c>
      <c r="I1075" t="s">
        <v>26</v>
      </c>
      <c r="J1075" t="s">
        <v>26</v>
      </c>
      <c r="K1075" t="s">
        <v>26</v>
      </c>
      <c r="L1075" s="25" t="s">
        <v>68</v>
      </c>
      <c r="M1075" t="s">
        <v>26</v>
      </c>
      <c r="N1075" t="s">
        <v>26</v>
      </c>
      <c r="O1075" t="s">
        <v>26</v>
      </c>
      <c r="P1075" t="s">
        <v>26</v>
      </c>
      <c r="Q1075" t="s">
        <v>26</v>
      </c>
      <c r="R1075" t="s">
        <v>26</v>
      </c>
      <c r="S1075" t="s">
        <v>26</v>
      </c>
      <c r="T1075" t="s">
        <v>26</v>
      </c>
      <c r="U1075" t="s">
        <v>26</v>
      </c>
      <c r="V1075" t="s">
        <v>26</v>
      </c>
      <c r="W1075" s="24">
        <v>37956</v>
      </c>
      <c r="X1075" s="25" t="s">
        <v>77</v>
      </c>
      <c r="Y1075" t="s">
        <v>26</v>
      </c>
      <c r="Z1075" s="24">
        <v>37956</v>
      </c>
      <c r="AA1075" s="25" t="s">
        <v>77</v>
      </c>
      <c r="AB1075" t="s">
        <v>26</v>
      </c>
      <c r="AC1075" s="24">
        <v>37956</v>
      </c>
      <c r="AD1075" s="25" t="s">
        <v>77</v>
      </c>
      <c r="AE1075" t="s">
        <v>26</v>
      </c>
      <c r="AF1075" t="s">
        <v>26</v>
      </c>
      <c r="AG1075" t="s">
        <v>26</v>
      </c>
      <c r="AH1075" t="s">
        <v>26</v>
      </c>
      <c r="AI1075" t="s">
        <v>26</v>
      </c>
      <c r="AJ1075" t="s">
        <v>26</v>
      </c>
      <c r="AK1075" t="s">
        <v>26</v>
      </c>
      <c r="AL1075" t="s">
        <v>26</v>
      </c>
      <c r="AM1075" t="s">
        <v>26</v>
      </c>
      <c r="AN1075" t="s">
        <v>26</v>
      </c>
      <c r="AO1075" s="25" t="s">
        <v>68</v>
      </c>
      <c r="AP1075" s="23" t="s">
        <v>69</v>
      </c>
      <c r="AQ1075" s="23" t="s">
        <v>30</v>
      </c>
      <c r="AR1075" s="23" t="s">
        <v>46</v>
      </c>
      <c r="AS1075" s="25">
        <v>2033295</v>
      </c>
      <c r="AT1075" t="s">
        <v>26</v>
      </c>
      <c r="AU1075" t="s">
        <v>23655</v>
      </c>
    </row>
    <row r="1076" spans="1:47" ht="26.25" x14ac:dyDescent="0.4">
      <c r="A1076" s="23" t="s">
        <v>2727</v>
      </c>
      <c r="B1076" s="23" t="s">
        <v>2728</v>
      </c>
      <c r="C1076" s="23" t="s">
        <v>59</v>
      </c>
      <c r="D1076" s="23" t="s">
        <v>22174</v>
      </c>
      <c r="E1076" s="23" t="s">
        <v>60</v>
      </c>
      <c r="F1076" t="s">
        <v>26</v>
      </c>
      <c r="G1076" t="s">
        <v>26</v>
      </c>
      <c r="H1076" s="25" t="s">
        <v>2729</v>
      </c>
      <c r="I1076" s="24">
        <v>41275</v>
      </c>
      <c r="J1076" s="24">
        <v>41275</v>
      </c>
      <c r="K1076" t="s">
        <v>26</v>
      </c>
      <c r="L1076" s="25" t="s">
        <v>28</v>
      </c>
      <c r="M1076" s="24">
        <v>41275</v>
      </c>
      <c r="N1076" s="24">
        <v>41275</v>
      </c>
      <c r="O1076" t="s">
        <v>26</v>
      </c>
      <c r="P1076" s="24">
        <v>41275</v>
      </c>
      <c r="Q1076" s="24">
        <v>41275</v>
      </c>
      <c r="R1076" t="s">
        <v>26</v>
      </c>
      <c r="S1076" t="s">
        <v>26</v>
      </c>
      <c r="T1076" t="s">
        <v>26</v>
      </c>
      <c r="U1076" t="s">
        <v>26</v>
      </c>
      <c r="V1076" t="s">
        <v>26</v>
      </c>
      <c r="W1076" s="24">
        <v>41275</v>
      </c>
      <c r="X1076" s="24">
        <v>41275</v>
      </c>
      <c r="Y1076" t="s">
        <v>26</v>
      </c>
      <c r="Z1076" s="24">
        <v>41275</v>
      </c>
      <c r="AA1076" s="24">
        <v>41275</v>
      </c>
      <c r="AB1076" t="s">
        <v>26</v>
      </c>
      <c r="AC1076" s="24">
        <v>41275</v>
      </c>
      <c r="AD1076" s="24">
        <v>41275</v>
      </c>
      <c r="AE1076" t="s">
        <v>26</v>
      </c>
      <c r="AF1076" t="s">
        <v>26</v>
      </c>
      <c r="AG1076" t="s">
        <v>26</v>
      </c>
      <c r="AH1076" t="s">
        <v>26</v>
      </c>
      <c r="AI1076" t="s">
        <v>26</v>
      </c>
      <c r="AJ1076" t="s">
        <v>26</v>
      </c>
      <c r="AK1076" t="s">
        <v>26</v>
      </c>
      <c r="AL1076" t="s">
        <v>26</v>
      </c>
      <c r="AM1076" t="s">
        <v>26</v>
      </c>
      <c r="AN1076" t="s">
        <v>26</v>
      </c>
      <c r="AO1076" s="25" t="s">
        <v>28</v>
      </c>
      <c r="AP1076" s="23" t="s">
        <v>29</v>
      </c>
      <c r="AQ1076" s="23" t="s">
        <v>30</v>
      </c>
      <c r="AR1076" s="23" t="s">
        <v>1688</v>
      </c>
      <c r="AS1076" s="25">
        <v>2043116</v>
      </c>
      <c r="AT1076" t="s">
        <v>26</v>
      </c>
      <c r="AU1076" t="s">
        <v>23656</v>
      </c>
    </row>
    <row r="1077" spans="1:47" ht="26.25" x14ac:dyDescent="0.4">
      <c r="A1077" s="23" t="s">
        <v>2730</v>
      </c>
      <c r="B1077" t="s">
        <v>26</v>
      </c>
      <c r="C1077" s="23" t="s">
        <v>73</v>
      </c>
      <c r="D1077" s="23" t="s">
        <v>22211</v>
      </c>
      <c r="E1077" s="23" t="s">
        <v>74</v>
      </c>
      <c r="F1077" s="25" t="s">
        <v>2731</v>
      </c>
      <c r="G1077" s="25" t="s">
        <v>2732</v>
      </c>
      <c r="H1077" t="s">
        <v>26</v>
      </c>
      <c r="I1077" s="24">
        <v>36161</v>
      </c>
      <c r="J1077" s="25" t="s">
        <v>77</v>
      </c>
      <c r="K1077" t="s">
        <v>26</v>
      </c>
      <c r="L1077" s="25" t="s">
        <v>68</v>
      </c>
      <c r="M1077" s="24">
        <v>37987</v>
      </c>
      <c r="N1077" s="24">
        <v>42856</v>
      </c>
      <c r="O1077" t="s">
        <v>26</v>
      </c>
      <c r="P1077" s="24">
        <v>36161</v>
      </c>
      <c r="Q1077" s="25" t="s">
        <v>77</v>
      </c>
      <c r="R1077" t="s">
        <v>26</v>
      </c>
      <c r="S1077" t="s">
        <v>26</v>
      </c>
      <c r="T1077" t="s">
        <v>26</v>
      </c>
      <c r="U1077" t="s">
        <v>26</v>
      </c>
      <c r="V1077" s="25">
        <v>365</v>
      </c>
      <c r="W1077" s="24">
        <v>36161</v>
      </c>
      <c r="X1077" s="25" t="s">
        <v>77</v>
      </c>
      <c r="Y1077" t="s">
        <v>26</v>
      </c>
      <c r="Z1077" s="24">
        <v>36161</v>
      </c>
      <c r="AA1077" s="25" t="s">
        <v>77</v>
      </c>
      <c r="AB1077" t="s">
        <v>26</v>
      </c>
      <c r="AC1077" s="24">
        <v>36161</v>
      </c>
      <c r="AD1077" s="25" t="s">
        <v>77</v>
      </c>
      <c r="AE1077" t="s">
        <v>26</v>
      </c>
      <c r="AF1077" t="s">
        <v>26</v>
      </c>
      <c r="AG1077" t="s">
        <v>26</v>
      </c>
      <c r="AH1077" t="s">
        <v>26</v>
      </c>
      <c r="AI1077" t="s">
        <v>26</v>
      </c>
      <c r="AJ1077" t="s">
        <v>26</v>
      </c>
      <c r="AK1077" t="s">
        <v>26</v>
      </c>
      <c r="AL1077" t="s">
        <v>26</v>
      </c>
      <c r="AM1077" t="s">
        <v>26</v>
      </c>
      <c r="AN1077" t="s">
        <v>26</v>
      </c>
      <c r="AO1077" s="25" t="s">
        <v>68</v>
      </c>
      <c r="AP1077" s="23" t="s">
        <v>69</v>
      </c>
      <c r="AQ1077" s="23" t="s">
        <v>30</v>
      </c>
      <c r="AR1077" s="23" t="s">
        <v>2733</v>
      </c>
      <c r="AS1077" s="25">
        <v>30672</v>
      </c>
      <c r="AT1077" t="s">
        <v>26</v>
      </c>
      <c r="AU1077" t="s">
        <v>23657</v>
      </c>
    </row>
    <row r="1078" spans="1:47" ht="26.25" x14ac:dyDescent="0.4">
      <c r="A1078" s="23" t="s">
        <v>2734</v>
      </c>
      <c r="B1078" t="s">
        <v>26</v>
      </c>
      <c r="C1078" s="23" t="s">
        <v>465</v>
      </c>
      <c r="D1078" s="23" t="s">
        <v>22254</v>
      </c>
      <c r="E1078" s="23" t="s">
        <v>42</v>
      </c>
      <c r="F1078" s="25" t="s">
        <v>2735</v>
      </c>
      <c r="G1078" s="25" t="s">
        <v>2736</v>
      </c>
      <c r="H1078" t="s">
        <v>26</v>
      </c>
      <c r="I1078" t="s">
        <v>26</v>
      </c>
      <c r="J1078" t="s">
        <v>26</v>
      </c>
      <c r="K1078" t="s">
        <v>26</v>
      </c>
      <c r="L1078" s="25" t="s">
        <v>68</v>
      </c>
      <c r="M1078" t="s">
        <v>26</v>
      </c>
      <c r="N1078" t="s">
        <v>26</v>
      </c>
      <c r="O1078" t="s">
        <v>26</v>
      </c>
      <c r="P1078" t="s">
        <v>26</v>
      </c>
      <c r="Q1078" t="s">
        <v>26</v>
      </c>
      <c r="R1078" t="s">
        <v>26</v>
      </c>
      <c r="S1078" t="s">
        <v>26</v>
      </c>
      <c r="T1078" t="s">
        <v>26</v>
      </c>
      <c r="U1078" t="s">
        <v>26</v>
      </c>
      <c r="V1078" t="s">
        <v>26</v>
      </c>
      <c r="W1078" s="24">
        <v>42064</v>
      </c>
      <c r="X1078" s="25" t="s">
        <v>77</v>
      </c>
      <c r="Y1078" t="s">
        <v>26</v>
      </c>
      <c r="Z1078" s="24">
        <v>42064</v>
      </c>
      <c r="AA1078" s="25" t="s">
        <v>77</v>
      </c>
      <c r="AB1078" t="s">
        <v>26</v>
      </c>
      <c r="AC1078" s="24">
        <v>42064</v>
      </c>
      <c r="AD1078" s="25" t="s">
        <v>77</v>
      </c>
      <c r="AE1078" t="s">
        <v>26</v>
      </c>
      <c r="AF1078" t="s">
        <v>26</v>
      </c>
      <c r="AG1078" t="s">
        <v>26</v>
      </c>
      <c r="AH1078" t="s">
        <v>26</v>
      </c>
      <c r="AI1078" t="s">
        <v>26</v>
      </c>
      <c r="AJ1078" t="s">
        <v>26</v>
      </c>
      <c r="AK1078" t="s">
        <v>26</v>
      </c>
      <c r="AL1078" t="s">
        <v>26</v>
      </c>
      <c r="AM1078" t="s">
        <v>26</v>
      </c>
      <c r="AN1078" t="s">
        <v>26</v>
      </c>
      <c r="AO1078" s="25" t="s">
        <v>68</v>
      </c>
      <c r="AP1078" s="23" t="s">
        <v>69</v>
      </c>
      <c r="AQ1078" s="23" t="s">
        <v>30</v>
      </c>
      <c r="AR1078" s="23" t="s">
        <v>46</v>
      </c>
      <c r="AS1078" s="25">
        <v>2039932</v>
      </c>
      <c r="AT1078" t="s">
        <v>26</v>
      </c>
      <c r="AU1078" t="s">
        <v>23658</v>
      </c>
    </row>
    <row r="1079" spans="1:47" ht="26.25" x14ac:dyDescent="0.4">
      <c r="A1079" s="23" t="s">
        <v>2737</v>
      </c>
      <c r="B1079" t="s">
        <v>26</v>
      </c>
      <c r="C1079" s="23" t="s">
        <v>2738</v>
      </c>
      <c r="D1079" s="23" t="s">
        <v>23659</v>
      </c>
      <c r="E1079" s="23" t="s">
        <v>42</v>
      </c>
      <c r="F1079" s="25" t="s">
        <v>2739</v>
      </c>
      <c r="G1079" s="25" t="s">
        <v>2740</v>
      </c>
      <c r="H1079" t="s">
        <v>26</v>
      </c>
      <c r="I1079" s="24">
        <v>36161</v>
      </c>
      <c r="J1079" s="24">
        <v>42370</v>
      </c>
      <c r="K1079" t="s">
        <v>26</v>
      </c>
      <c r="L1079" s="25" t="s">
        <v>68</v>
      </c>
      <c r="M1079" s="24">
        <v>36161</v>
      </c>
      <c r="N1079" s="24">
        <v>42370</v>
      </c>
      <c r="O1079" t="s">
        <v>26</v>
      </c>
      <c r="P1079" s="24">
        <v>36161</v>
      </c>
      <c r="Q1079" s="24">
        <v>42370</v>
      </c>
      <c r="R1079" t="s">
        <v>26</v>
      </c>
      <c r="S1079" t="s">
        <v>26</v>
      </c>
      <c r="T1079" t="s">
        <v>26</v>
      </c>
      <c r="U1079" t="s">
        <v>26</v>
      </c>
      <c r="V1079" t="s">
        <v>26</v>
      </c>
      <c r="W1079" s="24">
        <v>36161</v>
      </c>
      <c r="X1079" s="24">
        <v>42370</v>
      </c>
      <c r="Y1079" t="s">
        <v>26</v>
      </c>
      <c r="Z1079" s="24">
        <v>36161</v>
      </c>
      <c r="AA1079" s="24">
        <v>42370</v>
      </c>
      <c r="AB1079" t="s">
        <v>26</v>
      </c>
      <c r="AC1079" s="24">
        <v>36982</v>
      </c>
      <c r="AD1079" s="24">
        <v>42370</v>
      </c>
      <c r="AE1079" t="s">
        <v>26</v>
      </c>
      <c r="AF1079" t="s">
        <v>26</v>
      </c>
      <c r="AG1079" t="s">
        <v>26</v>
      </c>
      <c r="AH1079" t="s">
        <v>26</v>
      </c>
      <c r="AI1079" t="s">
        <v>26</v>
      </c>
      <c r="AJ1079" t="s">
        <v>26</v>
      </c>
      <c r="AK1079" t="s">
        <v>26</v>
      </c>
      <c r="AL1079" t="s">
        <v>26</v>
      </c>
      <c r="AM1079" t="s">
        <v>26</v>
      </c>
      <c r="AN1079" t="s">
        <v>26</v>
      </c>
      <c r="AO1079" s="25" t="s">
        <v>68</v>
      </c>
      <c r="AP1079" s="23" t="s">
        <v>69</v>
      </c>
      <c r="AQ1079" s="23" t="s">
        <v>30</v>
      </c>
      <c r="AR1079" s="23" t="s">
        <v>46</v>
      </c>
      <c r="AS1079" s="25">
        <v>43244</v>
      </c>
      <c r="AT1079" t="s">
        <v>26</v>
      </c>
      <c r="AU1079" t="s">
        <v>23660</v>
      </c>
    </row>
    <row r="1080" spans="1:47" ht="26.25" x14ac:dyDescent="0.4">
      <c r="A1080" s="23" t="s">
        <v>2741</v>
      </c>
      <c r="B1080" t="s">
        <v>26</v>
      </c>
      <c r="C1080" s="23" t="s">
        <v>332</v>
      </c>
      <c r="D1080" s="23" t="s">
        <v>22256</v>
      </c>
      <c r="E1080" s="23" t="s">
        <v>42</v>
      </c>
      <c r="F1080" t="s">
        <v>26</v>
      </c>
      <c r="G1080" t="s">
        <v>26</v>
      </c>
      <c r="H1080" t="s">
        <v>26</v>
      </c>
      <c r="I1080" t="s">
        <v>26</v>
      </c>
      <c r="J1080" t="s">
        <v>26</v>
      </c>
      <c r="K1080" t="s">
        <v>26</v>
      </c>
      <c r="L1080" s="25" t="s">
        <v>28</v>
      </c>
      <c r="M1080" t="s">
        <v>26</v>
      </c>
      <c r="N1080" t="s">
        <v>26</v>
      </c>
      <c r="O1080" t="s">
        <v>26</v>
      </c>
      <c r="P1080" t="s">
        <v>26</v>
      </c>
      <c r="Q1080" t="s">
        <v>26</v>
      </c>
      <c r="R1080" t="s">
        <v>26</v>
      </c>
      <c r="S1080" t="s">
        <v>26</v>
      </c>
      <c r="T1080" t="s">
        <v>26</v>
      </c>
      <c r="U1080" t="s">
        <v>26</v>
      </c>
      <c r="V1080" t="s">
        <v>26</v>
      </c>
      <c r="W1080" s="24">
        <v>39448</v>
      </c>
      <c r="X1080" s="24">
        <v>39448</v>
      </c>
      <c r="Y1080" t="s">
        <v>26</v>
      </c>
      <c r="Z1080" s="24">
        <v>39448</v>
      </c>
      <c r="AA1080" s="24">
        <v>39448</v>
      </c>
      <c r="AB1080" t="s">
        <v>26</v>
      </c>
      <c r="AC1080" s="24">
        <v>39448</v>
      </c>
      <c r="AD1080" s="24">
        <v>39448</v>
      </c>
      <c r="AE1080" t="s">
        <v>26</v>
      </c>
      <c r="AF1080" t="s">
        <v>26</v>
      </c>
      <c r="AG1080" t="s">
        <v>26</v>
      </c>
      <c r="AH1080" t="s">
        <v>26</v>
      </c>
      <c r="AI1080" t="s">
        <v>26</v>
      </c>
      <c r="AJ1080" t="s">
        <v>26</v>
      </c>
      <c r="AK1080" t="s">
        <v>26</v>
      </c>
      <c r="AL1080" t="s">
        <v>26</v>
      </c>
      <c r="AM1080" t="s">
        <v>26</v>
      </c>
      <c r="AN1080" t="s">
        <v>26</v>
      </c>
      <c r="AO1080" s="25" t="s">
        <v>28</v>
      </c>
      <c r="AP1080" s="23" t="s">
        <v>29</v>
      </c>
      <c r="AQ1080" s="23" t="s">
        <v>30</v>
      </c>
      <c r="AR1080" s="23" t="s">
        <v>44</v>
      </c>
      <c r="AS1080" s="25">
        <v>5483578</v>
      </c>
      <c r="AT1080" s="23" t="s">
        <v>22181</v>
      </c>
      <c r="AU1080" t="s">
        <v>23661</v>
      </c>
    </row>
    <row r="1081" spans="1:47" ht="13.15" x14ac:dyDescent="0.4">
      <c r="A1081" s="23" t="s">
        <v>2742</v>
      </c>
      <c r="B1081" t="s">
        <v>26</v>
      </c>
      <c r="C1081" t="s">
        <v>26</v>
      </c>
      <c r="D1081" s="23" t="s">
        <v>22179</v>
      </c>
      <c r="E1081" t="s">
        <v>26</v>
      </c>
      <c r="F1081" t="s">
        <v>26</v>
      </c>
      <c r="G1081" t="s">
        <v>26</v>
      </c>
      <c r="H1081" t="s">
        <v>26</v>
      </c>
      <c r="I1081" t="s">
        <v>26</v>
      </c>
      <c r="J1081" t="s">
        <v>26</v>
      </c>
      <c r="K1081" t="s">
        <v>26</v>
      </c>
      <c r="L1081" s="25" t="s">
        <v>28</v>
      </c>
      <c r="M1081" t="s">
        <v>26</v>
      </c>
      <c r="N1081" t="s">
        <v>26</v>
      </c>
      <c r="O1081" t="s">
        <v>26</v>
      </c>
      <c r="P1081" t="s">
        <v>26</v>
      </c>
      <c r="Q1081" t="s">
        <v>26</v>
      </c>
      <c r="R1081" t="s">
        <v>26</v>
      </c>
      <c r="S1081" t="s">
        <v>26</v>
      </c>
      <c r="T1081" t="s">
        <v>26</v>
      </c>
      <c r="U1081" t="s">
        <v>26</v>
      </c>
      <c r="V1081" t="s">
        <v>26</v>
      </c>
      <c r="W1081" s="24">
        <v>19360</v>
      </c>
      <c r="X1081" s="24">
        <v>19360</v>
      </c>
      <c r="Y1081" t="s">
        <v>26</v>
      </c>
      <c r="Z1081" s="24">
        <v>19360</v>
      </c>
      <c r="AA1081" s="24">
        <v>19360</v>
      </c>
      <c r="AB1081" t="s">
        <v>26</v>
      </c>
      <c r="AC1081" t="s">
        <v>26</v>
      </c>
      <c r="AD1081" t="s">
        <v>26</v>
      </c>
      <c r="AE1081" t="s">
        <v>26</v>
      </c>
      <c r="AF1081" t="s">
        <v>26</v>
      </c>
      <c r="AG1081" t="s">
        <v>26</v>
      </c>
      <c r="AH1081" t="s">
        <v>26</v>
      </c>
      <c r="AI1081" t="s">
        <v>26</v>
      </c>
      <c r="AJ1081" t="s">
        <v>26</v>
      </c>
      <c r="AK1081" t="s">
        <v>26</v>
      </c>
      <c r="AL1081" t="s">
        <v>26</v>
      </c>
      <c r="AM1081" t="s">
        <v>26</v>
      </c>
      <c r="AN1081" t="s">
        <v>26</v>
      </c>
      <c r="AO1081" s="25" t="s">
        <v>28</v>
      </c>
      <c r="AP1081" s="23" t="s">
        <v>29</v>
      </c>
      <c r="AQ1081" s="23" t="s">
        <v>30</v>
      </c>
      <c r="AR1081" s="23" t="s">
        <v>44</v>
      </c>
      <c r="AS1081" s="25">
        <v>5483582</v>
      </c>
      <c r="AT1081" s="23" t="s">
        <v>22181</v>
      </c>
      <c r="AU1081" t="s">
        <v>23662</v>
      </c>
    </row>
    <row r="1082" spans="1:47" ht="52.5" x14ac:dyDescent="0.4">
      <c r="A1082" s="23" t="s">
        <v>23663</v>
      </c>
      <c r="B1082" t="s">
        <v>26</v>
      </c>
      <c r="C1082" s="23" t="s">
        <v>332</v>
      </c>
      <c r="D1082" s="23" t="s">
        <v>22256</v>
      </c>
      <c r="E1082" s="23" t="s">
        <v>42</v>
      </c>
      <c r="F1082" t="s">
        <v>26</v>
      </c>
      <c r="G1082" t="s">
        <v>26</v>
      </c>
      <c r="H1082" t="s">
        <v>26</v>
      </c>
      <c r="I1082" s="24">
        <v>38718</v>
      </c>
      <c r="J1082" s="24">
        <v>39083</v>
      </c>
      <c r="K1082" t="s">
        <v>26</v>
      </c>
      <c r="L1082" s="25" t="s">
        <v>28</v>
      </c>
      <c r="M1082" s="24">
        <v>38718</v>
      </c>
      <c r="N1082" s="24">
        <v>39083</v>
      </c>
      <c r="O1082" t="s">
        <v>26</v>
      </c>
      <c r="P1082" t="s">
        <v>26</v>
      </c>
      <c r="Q1082" t="s">
        <v>26</v>
      </c>
      <c r="R1082" t="s">
        <v>26</v>
      </c>
      <c r="S1082" t="s">
        <v>26</v>
      </c>
      <c r="T1082" t="s">
        <v>26</v>
      </c>
      <c r="U1082" t="s">
        <v>26</v>
      </c>
      <c r="V1082" t="s">
        <v>26</v>
      </c>
      <c r="W1082" s="24">
        <v>38718</v>
      </c>
      <c r="X1082" s="24">
        <v>39083</v>
      </c>
      <c r="Y1082" t="s">
        <v>26</v>
      </c>
      <c r="Z1082" s="24">
        <v>38718</v>
      </c>
      <c r="AA1082" s="24">
        <v>39083</v>
      </c>
      <c r="AB1082" t="s">
        <v>26</v>
      </c>
      <c r="AC1082" s="24">
        <v>38718</v>
      </c>
      <c r="AD1082" s="24">
        <v>39083</v>
      </c>
      <c r="AE1082" t="s">
        <v>26</v>
      </c>
      <c r="AF1082" t="s">
        <v>26</v>
      </c>
      <c r="AG1082" t="s">
        <v>26</v>
      </c>
      <c r="AH1082" t="s">
        <v>26</v>
      </c>
      <c r="AI1082" t="s">
        <v>26</v>
      </c>
      <c r="AJ1082" t="s">
        <v>26</v>
      </c>
      <c r="AK1082" t="s">
        <v>26</v>
      </c>
      <c r="AL1082" t="s">
        <v>26</v>
      </c>
      <c r="AM1082" t="s">
        <v>26</v>
      </c>
      <c r="AN1082" t="s">
        <v>26</v>
      </c>
      <c r="AO1082" s="25" t="s">
        <v>28</v>
      </c>
      <c r="AP1082" s="23" t="s">
        <v>279</v>
      </c>
      <c r="AQ1082" s="23" t="s">
        <v>30</v>
      </c>
      <c r="AR1082" s="23" t="s">
        <v>46</v>
      </c>
      <c r="AS1082" s="25">
        <v>6275765</v>
      </c>
      <c r="AT1082" t="s">
        <v>26</v>
      </c>
      <c r="AU1082" t="s">
        <v>23664</v>
      </c>
    </row>
    <row r="1083" spans="1:47" ht="52.5" x14ac:dyDescent="0.4">
      <c r="A1083" s="23" t="s">
        <v>23665</v>
      </c>
      <c r="B1083" t="s">
        <v>26</v>
      </c>
      <c r="C1083" s="23" t="s">
        <v>332</v>
      </c>
      <c r="D1083" s="23" t="s">
        <v>22256</v>
      </c>
      <c r="E1083" s="23" t="s">
        <v>42</v>
      </c>
      <c r="F1083" t="s">
        <v>26</v>
      </c>
      <c r="G1083" t="s">
        <v>26</v>
      </c>
      <c r="H1083" t="s">
        <v>26</v>
      </c>
      <c r="I1083" s="24">
        <v>38718</v>
      </c>
      <c r="J1083" s="24">
        <v>38718</v>
      </c>
      <c r="K1083" t="s">
        <v>26</v>
      </c>
      <c r="L1083" s="25" t="s">
        <v>28</v>
      </c>
      <c r="M1083" s="24">
        <v>38718</v>
      </c>
      <c r="N1083" s="24">
        <v>38718</v>
      </c>
      <c r="O1083" t="s">
        <v>26</v>
      </c>
      <c r="P1083" t="s">
        <v>26</v>
      </c>
      <c r="Q1083" t="s">
        <v>26</v>
      </c>
      <c r="R1083" t="s">
        <v>26</v>
      </c>
      <c r="S1083" t="s">
        <v>26</v>
      </c>
      <c r="T1083" t="s">
        <v>26</v>
      </c>
      <c r="U1083" t="s">
        <v>26</v>
      </c>
      <c r="V1083" t="s">
        <v>26</v>
      </c>
      <c r="W1083" s="24">
        <v>38718</v>
      </c>
      <c r="X1083" s="24">
        <v>38718</v>
      </c>
      <c r="Y1083" t="s">
        <v>26</v>
      </c>
      <c r="Z1083" s="24">
        <v>38718</v>
      </c>
      <c r="AA1083" s="24">
        <v>38718</v>
      </c>
      <c r="AB1083" t="s">
        <v>26</v>
      </c>
      <c r="AC1083" s="24">
        <v>38718</v>
      </c>
      <c r="AD1083" s="24">
        <v>38718</v>
      </c>
      <c r="AE1083" t="s">
        <v>26</v>
      </c>
      <c r="AF1083" t="s">
        <v>26</v>
      </c>
      <c r="AG1083" t="s">
        <v>26</v>
      </c>
      <c r="AH1083" t="s">
        <v>26</v>
      </c>
      <c r="AI1083" t="s">
        <v>26</v>
      </c>
      <c r="AJ1083" t="s">
        <v>26</v>
      </c>
      <c r="AK1083" t="s">
        <v>26</v>
      </c>
      <c r="AL1083" t="s">
        <v>26</v>
      </c>
      <c r="AM1083" t="s">
        <v>26</v>
      </c>
      <c r="AN1083" t="s">
        <v>26</v>
      </c>
      <c r="AO1083" s="25" t="s">
        <v>28</v>
      </c>
      <c r="AP1083" s="23" t="s">
        <v>279</v>
      </c>
      <c r="AQ1083" s="23" t="s">
        <v>30</v>
      </c>
      <c r="AR1083" s="23" t="s">
        <v>46</v>
      </c>
      <c r="AS1083" s="25">
        <v>6275764</v>
      </c>
      <c r="AT1083" t="s">
        <v>26</v>
      </c>
      <c r="AU1083" t="s">
        <v>23666</v>
      </c>
    </row>
    <row r="1084" spans="1:47" ht="52.5" x14ac:dyDescent="0.4">
      <c r="A1084" s="23" t="s">
        <v>23667</v>
      </c>
      <c r="B1084" t="s">
        <v>26</v>
      </c>
      <c r="C1084" s="23" t="s">
        <v>332</v>
      </c>
      <c r="D1084" s="23" t="s">
        <v>22256</v>
      </c>
      <c r="E1084" s="23" t="s">
        <v>42</v>
      </c>
      <c r="F1084" t="s">
        <v>26</v>
      </c>
      <c r="G1084" t="s">
        <v>26</v>
      </c>
      <c r="H1084" t="s">
        <v>26</v>
      </c>
      <c r="I1084" s="24">
        <v>38718</v>
      </c>
      <c r="J1084" s="24">
        <v>39083</v>
      </c>
      <c r="K1084" t="s">
        <v>26</v>
      </c>
      <c r="L1084" s="25" t="s">
        <v>28</v>
      </c>
      <c r="M1084" s="24">
        <v>38718</v>
      </c>
      <c r="N1084" s="24">
        <v>39083</v>
      </c>
      <c r="O1084" t="s">
        <v>26</v>
      </c>
      <c r="P1084" t="s">
        <v>26</v>
      </c>
      <c r="Q1084" t="s">
        <v>26</v>
      </c>
      <c r="R1084" t="s">
        <v>26</v>
      </c>
      <c r="S1084" t="s">
        <v>26</v>
      </c>
      <c r="T1084" t="s">
        <v>26</v>
      </c>
      <c r="U1084" t="s">
        <v>26</v>
      </c>
      <c r="V1084" t="s">
        <v>26</v>
      </c>
      <c r="W1084" s="24">
        <v>38718</v>
      </c>
      <c r="X1084" s="24">
        <v>39083</v>
      </c>
      <c r="Y1084" t="s">
        <v>26</v>
      </c>
      <c r="Z1084" s="24">
        <v>38718</v>
      </c>
      <c r="AA1084" s="24">
        <v>39083</v>
      </c>
      <c r="AB1084" t="s">
        <v>26</v>
      </c>
      <c r="AC1084" s="24">
        <v>38718</v>
      </c>
      <c r="AD1084" s="24">
        <v>39083</v>
      </c>
      <c r="AE1084" t="s">
        <v>26</v>
      </c>
      <c r="AF1084" t="s">
        <v>26</v>
      </c>
      <c r="AG1084" t="s">
        <v>26</v>
      </c>
      <c r="AH1084" t="s">
        <v>26</v>
      </c>
      <c r="AI1084" t="s">
        <v>26</v>
      </c>
      <c r="AJ1084" t="s">
        <v>26</v>
      </c>
      <c r="AK1084" t="s">
        <v>26</v>
      </c>
      <c r="AL1084" t="s">
        <v>26</v>
      </c>
      <c r="AM1084" t="s">
        <v>26</v>
      </c>
      <c r="AN1084" t="s">
        <v>26</v>
      </c>
      <c r="AO1084" s="25" t="s">
        <v>28</v>
      </c>
      <c r="AP1084" s="23" t="s">
        <v>279</v>
      </c>
      <c r="AQ1084" s="23" t="s">
        <v>30</v>
      </c>
      <c r="AR1084" s="23" t="s">
        <v>46</v>
      </c>
      <c r="AS1084" s="25">
        <v>6275763</v>
      </c>
      <c r="AT1084" t="s">
        <v>26</v>
      </c>
      <c r="AU1084" t="s">
        <v>23668</v>
      </c>
    </row>
    <row r="1085" spans="1:47" ht="13.15" x14ac:dyDescent="0.4">
      <c r="A1085" s="23" t="s">
        <v>2743</v>
      </c>
      <c r="B1085" t="s">
        <v>26</v>
      </c>
      <c r="C1085" s="23" t="s">
        <v>294</v>
      </c>
      <c r="D1085" s="23" t="s">
        <v>22179</v>
      </c>
      <c r="E1085" s="23" t="s">
        <v>42</v>
      </c>
      <c r="F1085" t="s">
        <v>26</v>
      </c>
      <c r="G1085" t="s">
        <v>26</v>
      </c>
      <c r="H1085" t="s">
        <v>26</v>
      </c>
      <c r="I1085" s="25" t="s">
        <v>295</v>
      </c>
      <c r="J1085" s="25" t="s">
        <v>295</v>
      </c>
      <c r="K1085" t="s">
        <v>26</v>
      </c>
      <c r="L1085" s="25" t="s">
        <v>28</v>
      </c>
      <c r="M1085" t="s">
        <v>26</v>
      </c>
      <c r="N1085" t="s">
        <v>26</v>
      </c>
      <c r="O1085" t="s">
        <v>26</v>
      </c>
      <c r="P1085" s="25" t="s">
        <v>295</v>
      </c>
      <c r="Q1085" s="25" t="s">
        <v>295</v>
      </c>
      <c r="R1085" t="s">
        <v>26</v>
      </c>
      <c r="S1085" t="s">
        <v>26</v>
      </c>
      <c r="T1085" t="s">
        <v>26</v>
      </c>
      <c r="U1085" t="s">
        <v>26</v>
      </c>
      <c r="V1085" t="s">
        <v>26</v>
      </c>
      <c r="W1085" s="25" t="s">
        <v>295</v>
      </c>
      <c r="X1085" s="25" t="s">
        <v>295</v>
      </c>
      <c r="Y1085" t="s">
        <v>26</v>
      </c>
      <c r="Z1085" s="25" t="s">
        <v>295</v>
      </c>
      <c r="AA1085" s="25" t="s">
        <v>295</v>
      </c>
      <c r="AB1085" t="s">
        <v>26</v>
      </c>
      <c r="AC1085" s="25" t="s">
        <v>295</v>
      </c>
      <c r="AD1085" s="25" t="s">
        <v>295</v>
      </c>
      <c r="AE1085" t="s">
        <v>26</v>
      </c>
      <c r="AF1085" t="s">
        <v>26</v>
      </c>
      <c r="AG1085" t="s">
        <v>26</v>
      </c>
      <c r="AH1085" t="s">
        <v>26</v>
      </c>
      <c r="AI1085" t="s">
        <v>26</v>
      </c>
      <c r="AJ1085" t="s">
        <v>26</v>
      </c>
      <c r="AK1085" t="s">
        <v>26</v>
      </c>
      <c r="AL1085" t="s">
        <v>26</v>
      </c>
      <c r="AM1085" t="s">
        <v>26</v>
      </c>
      <c r="AN1085" t="s">
        <v>26</v>
      </c>
      <c r="AO1085" s="25" t="s">
        <v>28</v>
      </c>
      <c r="AP1085" s="23" t="s">
        <v>29</v>
      </c>
      <c r="AQ1085" s="23" t="s">
        <v>30</v>
      </c>
      <c r="AR1085" s="23" t="s">
        <v>147</v>
      </c>
      <c r="AS1085" s="25">
        <v>5325205</v>
      </c>
      <c r="AT1085" s="23" t="s">
        <v>22181</v>
      </c>
      <c r="AU1085" t="s">
        <v>23669</v>
      </c>
    </row>
    <row r="1086" spans="1:47" ht="26.25" x14ac:dyDescent="0.4">
      <c r="A1086" s="23" t="s">
        <v>2744</v>
      </c>
      <c r="B1086" t="s">
        <v>26</v>
      </c>
      <c r="C1086" t="s">
        <v>26</v>
      </c>
      <c r="D1086" s="23" t="s">
        <v>22179</v>
      </c>
      <c r="E1086" t="s">
        <v>26</v>
      </c>
      <c r="F1086" t="s">
        <v>26</v>
      </c>
      <c r="G1086" t="s">
        <v>26</v>
      </c>
      <c r="H1086" t="s">
        <v>26</v>
      </c>
      <c r="I1086" t="s">
        <v>26</v>
      </c>
      <c r="J1086" t="s">
        <v>26</v>
      </c>
      <c r="K1086" t="s">
        <v>26</v>
      </c>
      <c r="L1086" s="25" t="s">
        <v>28</v>
      </c>
      <c r="M1086" t="s">
        <v>26</v>
      </c>
      <c r="N1086" t="s">
        <v>26</v>
      </c>
      <c r="O1086" t="s">
        <v>26</v>
      </c>
      <c r="P1086" t="s">
        <v>26</v>
      </c>
      <c r="Q1086" t="s">
        <v>26</v>
      </c>
      <c r="R1086" t="s">
        <v>26</v>
      </c>
      <c r="S1086" t="s">
        <v>26</v>
      </c>
      <c r="T1086" t="s">
        <v>26</v>
      </c>
      <c r="U1086" t="s">
        <v>26</v>
      </c>
      <c r="V1086" t="s">
        <v>26</v>
      </c>
      <c r="W1086" s="24">
        <v>19360</v>
      </c>
      <c r="X1086" s="24">
        <v>19360</v>
      </c>
      <c r="Y1086" t="s">
        <v>26</v>
      </c>
      <c r="Z1086" s="24">
        <v>19360</v>
      </c>
      <c r="AA1086" s="24">
        <v>19360</v>
      </c>
      <c r="AB1086" t="s">
        <v>26</v>
      </c>
      <c r="AC1086" t="s">
        <v>26</v>
      </c>
      <c r="AD1086" t="s">
        <v>26</v>
      </c>
      <c r="AE1086" t="s">
        <v>26</v>
      </c>
      <c r="AF1086" t="s">
        <v>26</v>
      </c>
      <c r="AG1086" t="s">
        <v>26</v>
      </c>
      <c r="AH1086" t="s">
        <v>26</v>
      </c>
      <c r="AI1086" t="s">
        <v>26</v>
      </c>
      <c r="AJ1086" t="s">
        <v>26</v>
      </c>
      <c r="AK1086" t="s">
        <v>26</v>
      </c>
      <c r="AL1086" t="s">
        <v>26</v>
      </c>
      <c r="AM1086" t="s">
        <v>26</v>
      </c>
      <c r="AN1086" t="s">
        <v>26</v>
      </c>
      <c r="AO1086" s="25" t="s">
        <v>28</v>
      </c>
      <c r="AP1086" s="23" t="s">
        <v>29</v>
      </c>
      <c r="AQ1086" s="23" t="s">
        <v>30</v>
      </c>
      <c r="AR1086" s="23" t="s">
        <v>44</v>
      </c>
      <c r="AS1086" s="25">
        <v>5483642</v>
      </c>
      <c r="AT1086" s="23" t="s">
        <v>22181</v>
      </c>
      <c r="AU1086" t="s">
        <v>23670</v>
      </c>
    </row>
    <row r="1087" spans="1:47" ht="26.25" x14ac:dyDescent="0.4">
      <c r="A1087" s="23" t="s">
        <v>2745</v>
      </c>
      <c r="B1087" t="s">
        <v>26</v>
      </c>
      <c r="C1087" s="23" t="s">
        <v>73</v>
      </c>
      <c r="D1087" s="23" t="s">
        <v>22215</v>
      </c>
      <c r="E1087" s="23" t="s">
        <v>74</v>
      </c>
      <c r="F1087" s="25" t="s">
        <v>2746</v>
      </c>
      <c r="G1087" s="25" t="s">
        <v>2747</v>
      </c>
      <c r="H1087" t="s">
        <v>26</v>
      </c>
      <c r="I1087" t="s">
        <v>26</v>
      </c>
      <c r="J1087" t="s">
        <v>26</v>
      </c>
      <c r="K1087" t="s">
        <v>26</v>
      </c>
      <c r="L1087" s="25" t="s">
        <v>68</v>
      </c>
      <c r="M1087" t="s">
        <v>26</v>
      </c>
      <c r="N1087" t="s">
        <v>26</v>
      </c>
      <c r="O1087" t="s">
        <v>26</v>
      </c>
      <c r="P1087" t="s">
        <v>26</v>
      </c>
      <c r="Q1087" t="s">
        <v>26</v>
      </c>
      <c r="R1087" t="s">
        <v>26</v>
      </c>
      <c r="S1087" t="s">
        <v>26</v>
      </c>
      <c r="T1087" t="s">
        <v>26</v>
      </c>
      <c r="U1087" t="s">
        <v>26</v>
      </c>
      <c r="V1087" t="s">
        <v>26</v>
      </c>
      <c r="W1087" s="24">
        <v>42370</v>
      </c>
      <c r="X1087" s="25" t="s">
        <v>77</v>
      </c>
      <c r="Y1087" t="s">
        <v>26</v>
      </c>
      <c r="Z1087" s="24">
        <v>42370</v>
      </c>
      <c r="AA1087" s="25" t="s">
        <v>77</v>
      </c>
      <c r="AB1087" t="s">
        <v>26</v>
      </c>
      <c r="AC1087" s="24">
        <v>42370</v>
      </c>
      <c r="AD1087" s="25" t="s">
        <v>77</v>
      </c>
      <c r="AE1087" t="s">
        <v>26</v>
      </c>
      <c r="AF1087" t="s">
        <v>26</v>
      </c>
      <c r="AG1087" t="s">
        <v>26</v>
      </c>
      <c r="AH1087" t="s">
        <v>26</v>
      </c>
      <c r="AI1087" t="s">
        <v>26</v>
      </c>
      <c r="AJ1087" t="s">
        <v>26</v>
      </c>
      <c r="AK1087" t="s">
        <v>26</v>
      </c>
      <c r="AL1087" t="s">
        <v>26</v>
      </c>
      <c r="AM1087" t="s">
        <v>26</v>
      </c>
      <c r="AN1087" t="s">
        <v>26</v>
      </c>
      <c r="AO1087" s="25" t="s">
        <v>68</v>
      </c>
      <c r="AP1087" s="23" t="s">
        <v>69</v>
      </c>
      <c r="AQ1087" s="23" t="s">
        <v>2583</v>
      </c>
      <c r="AR1087" s="23" t="s">
        <v>257</v>
      </c>
      <c r="AS1087" s="25">
        <v>2043847</v>
      </c>
      <c r="AT1087" t="s">
        <v>26</v>
      </c>
      <c r="AU1087" t="s">
        <v>23671</v>
      </c>
    </row>
    <row r="1088" spans="1:47" ht="26.25" x14ac:dyDescent="0.4">
      <c r="A1088" s="23" t="s">
        <v>2748</v>
      </c>
      <c r="B1088" t="s">
        <v>26</v>
      </c>
      <c r="C1088" s="23" t="s">
        <v>2749</v>
      </c>
      <c r="D1088" s="23" t="s">
        <v>22634</v>
      </c>
      <c r="E1088" s="23" t="s">
        <v>335</v>
      </c>
      <c r="F1088" s="25" t="s">
        <v>2750</v>
      </c>
      <c r="G1088" t="s">
        <v>26</v>
      </c>
      <c r="H1088" t="s">
        <v>26</v>
      </c>
      <c r="I1088" t="s">
        <v>26</v>
      </c>
      <c r="J1088" t="s">
        <v>26</v>
      </c>
      <c r="K1088" t="s">
        <v>26</v>
      </c>
      <c r="L1088" s="25" t="s">
        <v>68</v>
      </c>
      <c r="M1088" t="s">
        <v>26</v>
      </c>
      <c r="N1088" t="s">
        <v>26</v>
      </c>
      <c r="O1088" t="s">
        <v>26</v>
      </c>
      <c r="P1088" t="s">
        <v>26</v>
      </c>
      <c r="Q1088" t="s">
        <v>26</v>
      </c>
      <c r="R1088" t="s">
        <v>26</v>
      </c>
      <c r="S1088" t="s">
        <v>26</v>
      </c>
      <c r="T1088" t="s">
        <v>26</v>
      </c>
      <c r="U1088" t="s">
        <v>26</v>
      </c>
      <c r="V1088" t="s">
        <v>26</v>
      </c>
      <c r="W1088" s="24">
        <v>33848</v>
      </c>
      <c r="X1088" s="24">
        <v>38626</v>
      </c>
      <c r="Y1088" t="s">
        <v>26</v>
      </c>
      <c r="Z1088" s="24">
        <v>33848</v>
      </c>
      <c r="AA1088" s="24">
        <v>38626</v>
      </c>
      <c r="AB1088" t="s">
        <v>26</v>
      </c>
      <c r="AC1088" t="s">
        <v>26</v>
      </c>
      <c r="AD1088" t="s">
        <v>26</v>
      </c>
      <c r="AE1088" t="s">
        <v>26</v>
      </c>
      <c r="AF1088" t="s">
        <v>26</v>
      </c>
      <c r="AG1088" t="s">
        <v>26</v>
      </c>
      <c r="AH1088" t="s">
        <v>26</v>
      </c>
      <c r="AI1088" t="s">
        <v>26</v>
      </c>
      <c r="AJ1088" t="s">
        <v>26</v>
      </c>
      <c r="AK1088" t="s">
        <v>26</v>
      </c>
      <c r="AL1088" t="s">
        <v>26</v>
      </c>
      <c r="AM1088" t="s">
        <v>26</v>
      </c>
      <c r="AN1088" t="s">
        <v>26</v>
      </c>
      <c r="AO1088" s="25" t="s">
        <v>68</v>
      </c>
      <c r="AP1088" s="23" t="s">
        <v>69</v>
      </c>
      <c r="AQ1088" s="23" t="s">
        <v>30</v>
      </c>
      <c r="AR1088" s="23" t="s">
        <v>883</v>
      </c>
      <c r="AS1088" s="25">
        <v>37079</v>
      </c>
      <c r="AT1088" t="s">
        <v>26</v>
      </c>
      <c r="AU1088" t="s">
        <v>23672</v>
      </c>
    </row>
    <row r="1089" spans="1:47" ht="26.25" x14ac:dyDescent="0.4">
      <c r="A1089" s="23" t="s">
        <v>2751</v>
      </c>
      <c r="B1089" t="s">
        <v>26</v>
      </c>
      <c r="C1089" s="23" t="s">
        <v>1113</v>
      </c>
      <c r="D1089" s="23" t="s">
        <v>22666</v>
      </c>
      <c r="E1089" s="23" t="s">
        <v>42</v>
      </c>
      <c r="F1089" t="s">
        <v>26</v>
      </c>
      <c r="G1089" t="s">
        <v>26</v>
      </c>
      <c r="H1089" t="s">
        <v>26</v>
      </c>
      <c r="I1089" s="24">
        <v>39814</v>
      </c>
      <c r="J1089" s="24">
        <v>39814</v>
      </c>
      <c r="K1089" t="s">
        <v>26</v>
      </c>
      <c r="L1089" s="25" t="s">
        <v>28</v>
      </c>
      <c r="M1089" s="24">
        <v>39814</v>
      </c>
      <c r="N1089" s="24">
        <v>39814</v>
      </c>
      <c r="O1089" t="s">
        <v>26</v>
      </c>
      <c r="P1089" t="s">
        <v>26</v>
      </c>
      <c r="Q1089" t="s">
        <v>26</v>
      </c>
      <c r="R1089" t="s">
        <v>26</v>
      </c>
      <c r="S1089" s="24">
        <v>39814</v>
      </c>
      <c r="T1089" s="24">
        <v>39814</v>
      </c>
      <c r="U1089" t="s">
        <v>26</v>
      </c>
      <c r="V1089" t="s">
        <v>26</v>
      </c>
      <c r="W1089" s="24">
        <v>39814</v>
      </c>
      <c r="X1089" s="24">
        <v>39814</v>
      </c>
      <c r="Y1089" t="s">
        <v>26</v>
      </c>
      <c r="Z1089" s="24">
        <v>39814</v>
      </c>
      <c r="AA1089" s="24">
        <v>39814</v>
      </c>
      <c r="AB1089" t="s">
        <v>26</v>
      </c>
      <c r="AC1089" s="24">
        <v>39814</v>
      </c>
      <c r="AD1089" s="24">
        <v>39814</v>
      </c>
      <c r="AE1089" t="s">
        <v>26</v>
      </c>
      <c r="AF1089" s="24">
        <v>39814</v>
      </c>
      <c r="AG1089" s="24">
        <v>39814</v>
      </c>
      <c r="AH1089" t="s">
        <v>26</v>
      </c>
      <c r="AI1089" s="24">
        <v>39814</v>
      </c>
      <c r="AJ1089" s="24">
        <v>39814</v>
      </c>
      <c r="AK1089" t="s">
        <v>26</v>
      </c>
      <c r="AL1089" t="s">
        <v>26</v>
      </c>
      <c r="AM1089" t="s">
        <v>26</v>
      </c>
      <c r="AN1089" t="s">
        <v>26</v>
      </c>
      <c r="AO1089" s="25" t="s">
        <v>28</v>
      </c>
      <c r="AP1089" s="23" t="s">
        <v>43</v>
      </c>
      <c r="AQ1089" s="23" t="s">
        <v>30</v>
      </c>
      <c r="AR1089" s="23" t="s">
        <v>46</v>
      </c>
      <c r="AS1089" s="25">
        <v>6359434</v>
      </c>
      <c r="AT1089" t="s">
        <v>26</v>
      </c>
      <c r="AU1089" t="s">
        <v>23673</v>
      </c>
    </row>
    <row r="1090" spans="1:47" ht="26.25" x14ac:dyDescent="0.4">
      <c r="A1090" s="23" t="s">
        <v>2752</v>
      </c>
      <c r="B1090" t="s">
        <v>26</v>
      </c>
      <c r="C1090" s="23" t="s">
        <v>292</v>
      </c>
      <c r="D1090" s="23" t="s">
        <v>22256</v>
      </c>
      <c r="E1090" s="23" t="s">
        <v>42</v>
      </c>
      <c r="F1090" t="s">
        <v>26</v>
      </c>
      <c r="G1090" t="s">
        <v>26</v>
      </c>
      <c r="H1090" t="s">
        <v>26</v>
      </c>
      <c r="I1090" s="24">
        <v>40179</v>
      </c>
      <c r="J1090" s="24">
        <v>40179</v>
      </c>
      <c r="K1090" t="s">
        <v>26</v>
      </c>
      <c r="L1090" s="25" t="s">
        <v>28</v>
      </c>
      <c r="M1090" t="s">
        <v>26</v>
      </c>
      <c r="N1090" t="s">
        <v>26</v>
      </c>
      <c r="O1090" t="s">
        <v>26</v>
      </c>
      <c r="P1090" s="24">
        <v>40179</v>
      </c>
      <c r="Q1090" s="24">
        <v>40179</v>
      </c>
      <c r="R1090" t="s">
        <v>26</v>
      </c>
      <c r="S1090" t="s">
        <v>26</v>
      </c>
      <c r="T1090" t="s">
        <v>26</v>
      </c>
      <c r="U1090" t="s">
        <v>26</v>
      </c>
      <c r="V1090" t="s">
        <v>26</v>
      </c>
      <c r="W1090" s="24">
        <v>40179</v>
      </c>
      <c r="X1090" s="24">
        <v>40179</v>
      </c>
      <c r="Y1090" t="s">
        <v>26</v>
      </c>
      <c r="Z1090" s="24">
        <v>40179</v>
      </c>
      <c r="AA1090" s="24">
        <v>40179</v>
      </c>
      <c r="AB1090" t="s">
        <v>26</v>
      </c>
      <c r="AC1090" s="24">
        <v>40179</v>
      </c>
      <c r="AD1090" s="24">
        <v>40179</v>
      </c>
      <c r="AE1090" t="s">
        <v>26</v>
      </c>
      <c r="AF1090" t="s">
        <v>26</v>
      </c>
      <c r="AG1090" t="s">
        <v>26</v>
      </c>
      <c r="AH1090" t="s">
        <v>26</v>
      </c>
      <c r="AI1090" t="s">
        <v>26</v>
      </c>
      <c r="AJ1090" t="s">
        <v>26</v>
      </c>
      <c r="AK1090" t="s">
        <v>26</v>
      </c>
      <c r="AL1090" t="s">
        <v>26</v>
      </c>
      <c r="AM1090" t="s">
        <v>26</v>
      </c>
      <c r="AN1090" t="s">
        <v>26</v>
      </c>
      <c r="AO1090" s="25" t="s">
        <v>28</v>
      </c>
      <c r="AP1090" s="23" t="s">
        <v>29</v>
      </c>
      <c r="AQ1090" s="23" t="s">
        <v>30</v>
      </c>
      <c r="AR1090" s="23" t="s">
        <v>147</v>
      </c>
      <c r="AS1090" s="25">
        <v>5483648</v>
      </c>
      <c r="AT1090" s="23" t="s">
        <v>22181</v>
      </c>
      <c r="AU1090" t="s">
        <v>23674</v>
      </c>
    </row>
    <row r="1091" spans="1:47" ht="26.25" x14ac:dyDescent="0.4">
      <c r="A1091" s="23" t="s">
        <v>2753</v>
      </c>
      <c r="B1091" t="s">
        <v>26</v>
      </c>
      <c r="C1091" s="23" t="s">
        <v>2754</v>
      </c>
      <c r="D1091" s="23" t="s">
        <v>23675</v>
      </c>
      <c r="E1091" s="23" t="s">
        <v>335</v>
      </c>
      <c r="F1091" s="25" t="s">
        <v>2755</v>
      </c>
      <c r="G1091" t="s">
        <v>26</v>
      </c>
      <c r="H1091" t="s">
        <v>26</v>
      </c>
      <c r="I1091" t="s">
        <v>26</v>
      </c>
      <c r="J1091" t="s">
        <v>26</v>
      </c>
      <c r="K1091" t="s">
        <v>26</v>
      </c>
      <c r="L1091" s="25" t="s">
        <v>28</v>
      </c>
      <c r="M1091" t="s">
        <v>26</v>
      </c>
      <c r="N1091" t="s">
        <v>26</v>
      </c>
      <c r="O1091" t="s">
        <v>26</v>
      </c>
      <c r="P1091" t="s">
        <v>26</v>
      </c>
      <c r="Q1091" t="s">
        <v>26</v>
      </c>
      <c r="R1091" t="s">
        <v>26</v>
      </c>
      <c r="S1091" t="s">
        <v>26</v>
      </c>
      <c r="T1091" t="s">
        <v>26</v>
      </c>
      <c r="U1091" t="s">
        <v>26</v>
      </c>
      <c r="V1091" t="s">
        <v>26</v>
      </c>
      <c r="W1091" s="24">
        <v>33848</v>
      </c>
      <c r="X1091" s="24">
        <v>39417</v>
      </c>
      <c r="Y1091" s="25" t="s">
        <v>91</v>
      </c>
      <c r="Z1091" s="24">
        <v>33848</v>
      </c>
      <c r="AA1091" s="24">
        <v>39417</v>
      </c>
      <c r="AB1091" s="25" t="s">
        <v>91</v>
      </c>
      <c r="AC1091" t="s">
        <v>26</v>
      </c>
      <c r="AD1091" t="s">
        <v>26</v>
      </c>
      <c r="AE1091" t="s">
        <v>26</v>
      </c>
      <c r="AF1091" t="s">
        <v>26</v>
      </c>
      <c r="AG1091" t="s">
        <v>26</v>
      </c>
      <c r="AH1091" t="s">
        <v>26</v>
      </c>
      <c r="AI1091" t="s">
        <v>26</v>
      </c>
      <c r="AJ1091" t="s">
        <v>26</v>
      </c>
      <c r="AK1091" t="s">
        <v>26</v>
      </c>
      <c r="AL1091" t="s">
        <v>26</v>
      </c>
      <c r="AM1091" t="s">
        <v>26</v>
      </c>
      <c r="AN1091" t="s">
        <v>26</v>
      </c>
      <c r="AO1091" s="25" t="s">
        <v>28</v>
      </c>
      <c r="AP1091" s="23" t="s">
        <v>211</v>
      </c>
      <c r="AQ1091" s="23" t="s">
        <v>30</v>
      </c>
      <c r="AR1091" s="23" t="s">
        <v>337</v>
      </c>
      <c r="AS1091" s="25">
        <v>43056</v>
      </c>
      <c r="AT1091" t="s">
        <v>26</v>
      </c>
      <c r="AU1091" t="s">
        <v>23676</v>
      </c>
    </row>
    <row r="1092" spans="1:47" ht="26.25" x14ac:dyDescent="0.4">
      <c r="A1092" s="23" t="s">
        <v>2756</v>
      </c>
      <c r="B1092" t="s">
        <v>26</v>
      </c>
      <c r="C1092" s="23" t="s">
        <v>65</v>
      </c>
      <c r="D1092" s="23" t="s">
        <v>22630</v>
      </c>
      <c r="E1092" s="23" t="s">
        <v>42</v>
      </c>
      <c r="F1092" t="s">
        <v>26</v>
      </c>
      <c r="G1092" t="s">
        <v>26</v>
      </c>
      <c r="H1092" t="s">
        <v>26</v>
      </c>
      <c r="I1092" s="24">
        <v>33604</v>
      </c>
      <c r="J1092" s="24">
        <v>37622</v>
      </c>
      <c r="K1092" t="s">
        <v>26</v>
      </c>
      <c r="L1092" s="25" t="s">
        <v>28</v>
      </c>
      <c r="M1092" s="24">
        <v>33604</v>
      </c>
      <c r="N1092" s="24">
        <v>37622</v>
      </c>
      <c r="O1092" t="s">
        <v>26</v>
      </c>
      <c r="P1092" t="s">
        <v>26</v>
      </c>
      <c r="Q1092" t="s">
        <v>26</v>
      </c>
      <c r="R1092" t="s">
        <v>26</v>
      </c>
      <c r="S1092" s="24">
        <v>33604</v>
      </c>
      <c r="T1092" s="24">
        <v>37622</v>
      </c>
      <c r="U1092" t="s">
        <v>26</v>
      </c>
      <c r="V1092" t="s">
        <v>26</v>
      </c>
      <c r="W1092" s="24">
        <v>33604</v>
      </c>
      <c r="X1092" s="24">
        <v>37622</v>
      </c>
      <c r="Y1092" t="s">
        <v>26</v>
      </c>
      <c r="Z1092" s="24">
        <v>33604</v>
      </c>
      <c r="AA1092" s="24">
        <v>37622</v>
      </c>
      <c r="AB1092" t="s">
        <v>26</v>
      </c>
      <c r="AC1092" s="24">
        <v>33604</v>
      </c>
      <c r="AD1092" s="24">
        <v>37622</v>
      </c>
      <c r="AE1092" t="s">
        <v>26</v>
      </c>
      <c r="AF1092" s="24">
        <v>33604</v>
      </c>
      <c r="AG1092" s="24">
        <v>37622</v>
      </c>
      <c r="AH1092" t="s">
        <v>26</v>
      </c>
      <c r="AI1092" s="24">
        <v>33604</v>
      </c>
      <c r="AJ1092" s="24">
        <v>37622</v>
      </c>
      <c r="AK1092" t="s">
        <v>26</v>
      </c>
      <c r="AL1092" t="s">
        <v>26</v>
      </c>
      <c r="AM1092" t="s">
        <v>26</v>
      </c>
      <c r="AN1092" t="s">
        <v>26</v>
      </c>
      <c r="AO1092" s="25" t="s">
        <v>28</v>
      </c>
      <c r="AP1092" s="23" t="s">
        <v>43</v>
      </c>
      <c r="AQ1092" s="23" t="s">
        <v>30</v>
      </c>
      <c r="AR1092" s="23" t="s">
        <v>46</v>
      </c>
      <c r="AS1092" s="25">
        <v>6362738</v>
      </c>
      <c r="AT1092" t="s">
        <v>26</v>
      </c>
      <c r="AU1092" t="s">
        <v>23677</v>
      </c>
    </row>
    <row r="1093" spans="1:47" ht="39.4" x14ac:dyDescent="0.4">
      <c r="A1093" s="23" t="s">
        <v>2757</v>
      </c>
      <c r="B1093" t="s">
        <v>26</v>
      </c>
      <c r="C1093" s="23" t="s">
        <v>1054</v>
      </c>
      <c r="D1093" s="23" t="s">
        <v>22634</v>
      </c>
      <c r="E1093" s="23" t="s">
        <v>335</v>
      </c>
      <c r="F1093" t="s">
        <v>26</v>
      </c>
      <c r="G1093" t="s">
        <v>26</v>
      </c>
      <c r="H1093" t="s">
        <v>26</v>
      </c>
      <c r="I1093" t="s">
        <v>26</v>
      </c>
      <c r="J1093" t="s">
        <v>26</v>
      </c>
      <c r="K1093" t="s">
        <v>26</v>
      </c>
      <c r="L1093" s="25" t="s">
        <v>28</v>
      </c>
      <c r="M1093" t="s">
        <v>26</v>
      </c>
      <c r="N1093" t="s">
        <v>26</v>
      </c>
      <c r="O1093" t="s">
        <v>26</v>
      </c>
      <c r="P1093" t="s">
        <v>26</v>
      </c>
      <c r="Q1093" t="s">
        <v>26</v>
      </c>
      <c r="R1093" t="s">
        <v>26</v>
      </c>
      <c r="S1093" t="s">
        <v>26</v>
      </c>
      <c r="T1093" t="s">
        <v>26</v>
      </c>
      <c r="U1093" t="s">
        <v>26</v>
      </c>
      <c r="V1093" t="s">
        <v>26</v>
      </c>
      <c r="W1093" s="24">
        <v>40909</v>
      </c>
      <c r="X1093" s="24">
        <v>40909</v>
      </c>
      <c r="Y1093" t="s">
        <v>26</v>
      </c>
      <c r="Z1093" s="24">
        <v>40909</v>
      </c>
      <c r="AA1093" s="24">
        <v>40909</v>
      </c>
      <c r="AB1093" t="s">
        <v>26</v>
      </c>
      <c r="AC1093" t="s">
        <v>26</v>
      </c>
      <c r="AD1093" t="s">
        <v>26</v>
      </c>
      <c r="AE1093" t="s">
        <v>26</v>
      </c>
      <c r="AF1093" t="s">
        <v>26</v>
      </c>
      <c r="AG1093" t="s">
        <v>26</v>
      </c>
      <c r="AH1093" t="s">
        <v>26</v>
      </c>
      <c r="AI1093" t="s">
        <v>26</v>
      </c>
      <c r="AJ1093" t="s">
        <v>26</v>
      </c>
      <c r="AK1093" t="s">
        <v>26</v>
      </c>
      <c r="AL1093" t="s">
        <v>26</v>
      </c>
      <c r="AM1093" t="s">
        <v>26</v>
      </c>
      <c r="AN1093" t="s">
        <v>26</v>
      </c>
      <c r="AO1093" s="25" t="s">
        <v>28</v>
      </c>
      <c r="AP1093" s="23" t="s">
        <v>29</v>
      </c>
      <c r="AQ1093" s="23" t="s">
        <v>30</v>
      </c>
      <c r="AR1093" s="23" t="s">
        <v>2758</v>
      </c>
      <c r="AS1093" s="25">
        <v>5483545</v>
      </c>
      <c r="AT1093" s="23" t="s">
        <v>22181</v>
      </c>
      <c r="AU1093" t="s">
        <v>23678</v>
      </c>
    </row>
    <row r="1094" spans="1:47" ht="13.15" x14ac:dyDescent="0.4">
      <c r="A1094" s="23" t="s">
        <v>2759</v>
      </c>
      <c r="B1094" t="s">
        <v>26</v>
      </c>
      <c r="C1094" s="23" t="s">
        <v>107</v>
      </c>
      <c r="D1094" s="23" t="s">
        <v>22194</v>
      </c>
      <c r="E1094" s="23" t="s">
        <v>42</v>
      </c>
      <c r="F1094" t="s">
        <v>26</v>
      </c>
      <c r="G1094" t="s">
        <v>26</v>
      </c>
      <c r="H1094" t="s">
        <v>26</v>
      </c>
      <c r="I1094" s="24">
        <v>36526</v>
      </c>
      <c r="J1094" s="24">
        <v>36526</v>
      </c>
      <c r="K1094" t="s">
        <v>26</v>
      </c>
      <c r="L1094" s="25" t="s">
        <v>28</v>
      </c>
      <c r="M1094" s="24">
        <v>36526</v>
      </c>
      <c r="N1094" s="24">
        <v>36526</v>
      </c>
      <c r="O1094" t="s">
        <v>26</v>
      </c>
      <c r="P1094" t="s">
        <v>26</v>
      </c>
      <c r="Q1094" t="s">
        <v>26</v>
      </c>
      <c r="R1094" t="s">
        <v>26</v>
      </c>
      <c r="S1094" t="s">
        <v>26</v>
      </c>
      <c r="T1094" t="s">
        <v>26</v>
      </c>
      <c r="U1094" t="s">
        <v>26</v>
      </c>
      <c r="V1094" t="s">
        <v>26</v>
      </c>
      <c r="W1094" s="24">
        <v>36526</v>
      </c>
      <c r="X1094" s="24">
        <v>36526</v>
      </c>
      <c r="Y1094" t="s">
        <v>26</v>
      </c>
      <c r="Z1094" s="24">
        <v>36526</v>
      </c>
      <c r="AA1094" s="24">
        <v>36526</v>
      </c>
      <c r="AB1094" t="s">
        <v>26</v>
      </c>
      <c r="AC1094" s="24">
        <v>36526</v>
      </c>
      <c r="AD1094" s="24">
        <v>36526</v>
      </c>
      <c r="AE1094" t="s">
        <v>26</v>
      </c>
      <c r="AF1094" t="s">
        <v>26</v>
      </c>
      <c r="AG1094" t="s">
        <v>26</v>
      </c>
      <c r="AH1094" t="s">
        <v>26</v>
      </c>
      <c r="AI1094" t="s">
        <v>26</v>
      </c>
      <c r="AJ1094" t="s">
        <v>26</v>
      </c>
      <c r="AK1094" t="s">
        <v>26</v>
      </c>
      <c r="AL1094" t="s">
        <v>26</v>
      </c>
      <c r="AM1094" t="s">
        <v>26</v>
      </c>
      <c r="AN1094" t="s">
        <v>26</v>
      </c>
      <c r="AO1094" s="25" t="s">
        <v>28</v>
      </c>
      <c r="AP1094" s="23" t="s">
        <v>29</v>
      </c>
      <c r="AQ1094" s="23" t="s">
        <v>30</v>
      </c>
      <c r="AR1094" s="23" t="s">
        <v>46</v>
      </c>
      <c r="AS1094" s="25">
        <v>6008996</v>
      </c>
      <c r="AT1094" t="s">
        <v>26</v>
      </c>
      <c r="AU1094" t="s">
        <v>23679</v>
      </c>
    </row>
    <row r="1095" spans="1:47" ht="26.25" x14ac:dyDescent="0.4">
      <c r="A1095" s="23" t="s">
        <v>2760</v>
      </c>
      <c r="B1095" t="s">
        <v>26</v>
      </c>
      <c r="C1095" s="23" t="s">
        <v>146</v>
      </c>
      <c r="D1095" s="23" t="s">
        <v>22174</v>
      </c>
      <c r="E1095" s="23" t="s">
        <v>60</v>
      </c>
      <c r="F1095" t="s">
        <v>26</v>
      </c>
      <c r="G1095" t="s">
        <v>26</v>
      </c>
      <c r="H1095" t="s">
        <v>26</v>
      </c>
      <c r="I1095" t="s">
        <v>26</v>
      </c>
      <c r="J1095" t="s">
        <v>26</v>
      </c>
      <c r="K1095" t="s">
        <v>26</v>
      </c>
      <c r="L1095" s="25" t="s">
        <v>28</v>
      </c>
      <c r="M1095" t="s">
        <v>26</v>
      </c>
      <c r="N1095" t="s">
        <v>26</v>
      </c>
      <c r="O1095" t="s">
        <v>26</v>
      </c>
      <c r="P1095" t="s">
        <v>26</v>
      </c>
      <c r="Q1095" t="s">
        <v>26</v>
      </c>
      <c r="R1095" t="s">
        <v>26</v>
      </c>
      <c r="S1095" t="s">
        <v>26</v>
      </c>
      <c r="T1095" t="s">
        <v>26</v>
      </c>
      <c r="U1095" t="s">
        <v>26</v>
      </c>
      <c r="V1095" t="s">
        <v>26</v>
      </c>
      <c r="W1095" s="24">
        <v>42005</v>
      </c>
      <c r="X1095" s="24">
        <v>42005</v>
      </c>
      <c r="Y1095" t="s">
        <v>26</v>
      </c>
      <c r="Z1095" s="24">
        <v>42005</v>
      </c>
      <c r="AA1095" s="24">
        <v>42005</v>
      </c>
      <c r="AB1095" t="s">
        <v>26</v>
      </c>
      <c r="AC1095" t="s">
        <v>26</v>
      </c>
      <c r="AD1095" t="s">
        <v>26</v>
      </c>
      <c r="AE1095" t="s">
        <v>26</v>
      </c>
      <c r="AF1095" t="s">
        <v>26</v>
      </c>
      <c r="AG1095" t="s">
        <v>26</v>
      </c>
      <c r="AH1095" t="s">
        <v>26</v>
      </c>
      <c r="AI1095" t="s">
        <v>26</v>
      </c>
      <c r="AJ1095" t="s">
        <v>26</v>
      </c>
      <c r="AK1095" t="s">
        <v>26</v>
      </c>
      <c r="AL1095" t="s">
        <v>26</v>
      </c>
      <c r="AM1095" t="s">
        <v>26</v>
      </c>
      <c r="AN1095" t="s">
        <v>26</v>
      </c>
      <c r="AO1095" s="25" t="s">
        <v>28</v>
      </c>
      <c r="AP1095" s="23" t="s">
        <v>29</v>
      </c>
      <c r="AQ1095" s="23" t="s">
        <v>30</v>
      </c>
      <c r="AR1095" s="23" t="s">
        <v>147</v>
      </c>
      <c r="AS1095" s="25">
        <v>5483606</v>
      </c>
      <c r="AT1095" s="23" t="s">
        <v>22181</v>
      </c>
      <c r="AU1095" t="s">
        <v>23680</v>
      </c>
    </row>
    <row r="1096" spans="1:47" ht="13.15" x14ac:dyDescent="0.4">
      <c r="A1096" s="23" t="s">
        <v>2761</v>
      </c>
      <c r="B1096" t="s">
        <v>26</v>
      </c>
      <c r="C1096" s="23" t="s">
        <v>107</v>
      </c>
      <c r="D1096" s="23" t="s">
        <v>22194</v>
      </c>
      <c r="E1096" s="23" t="s">
        <v>42</v>
      </c>
      <c r="F1096" t="s">
        <v>26</v>
      </c>
      <c r="G1096" t="s">
        <v>26</v>
      </c>
      <c r="H1096" t="s">
        <v>26</v>
      </c>
      <c r="I1096" s="24">
        <v>38718</v>
      </c>
      <c r="J1096" s="24">
        <v>38718</v>
      </c>
      <c r="K1096" t="s">
        <v>26</v>
      </c>
      <c r="L1096" s="25" t="s">
        <v>28</v>
      </c>
      <c r="M1096" s="24">
        <v>38718</v>
      </c>
      <c r="N1096" s="24">
        <v>38718</v>
      </c>
      <c r="O1096" t="s">
        <v>26</v>
      </c>
      <c r="P1096" t="s">
        <v>26</v>
      </c>
      <c r="Q1096" t="s">
        <v>26</v>
      </c>
      <c r="R1096" t="s">
        <v>26</v>
      </c>
      <c r="S1096" t="s">
        <v>26</v>
      </c>
      <c r="T1096" t="s">
        <v>26</v>
      </c>
      <c r="U1096" t="s">
        <v>26</v>
      </c>
      <c r="V1096" t="s">
        <v>26</v>
      </c>
      <c r="W1096" s="24">
        <v>38718</v>
      </c>
      <c r="X1096" s="24">
        <v>38718</v>
      </c>
      <c r="Y1096" t="s">
        <v>26</v>
      </c>
      <c r="Z1096" s="24">
        <v>38718</v>
      </c>
      <c r="AA1096" s="24">
        <v>38718</v>
      </c>
      <c r="AB1096" t="s">
        <v>26</v>
      </c>
      <c r="AC1096" s="24">
        <v>38718</v>
      </c>
      <c r="AD1096" s="24">
        <v>38718</v>
      </c>
      <c r="AE1096" t="s">
        <v>26</v>
      </c>
      <c r="AF1096" t="s">
        <v>26</v>
      </c>
      <c r="AG1096" t="s">
        <v>26</v>
      </c>
      <c r="AH1096" t="s">
        <v>26</v>
      </c>
      <c r="AI1096" t="s">
        <v>26</v>
      </c>
      <c r="AJ1096" t="s">
        <v>26</v>
      </c>
      <c r="AK1096" t="s">
        <v>26</v>
      </c>
      <c r="AL1096" t="s">
        <v>26</v>
      </c>
      <c r="AM1096" t="s">
        <v>26</v>
      </c>
      <c r="AN1096" t="s">
        <v>26</v>
      </c>
      <c r="AO1096" s="25" t="s">
        <v>28</v>
      </c>
      <c r="AP1096" s="23" t="s">
        <v>29</v>
      </c>
      <c r="AQ1096" s="23" t="s">
        <v>30</v>
      </c>
      <c r="AR1096" s="23" t="s">
        <v>46</v>
      </c>
      <c r="AS1096" s="25">
        <v>6008995</v>
      </c>
      <c r="AT1096" t="s">
        <v>26</v>
      </c>
      <c r="AU1096" t="s">
        <v>23681</v>
      </c>
    </row>
    <row r="1097" spans="1:47" ht="13.15" x14ac:dyDescent="0.4">
      <c r="A1097" s="23" t="s">
        <v>2762</v>
      </c>
      <c r="B1097" t="s">
        <v>26</v>
      </c>
      <c r="C1097" s="23" t="s">
        <v>107</v>
      </c>
      <c r="D1097" s="23" t="s">
        <v>22194</v>
      </c>
      <c r="E1097" s="23" t="s">
        <v>42</v>
      </c>
      <c r="F1097" t="s">
        <v>26</v>
      </c>
      <c r="G1097" t="s">
        <v>26</v>
      </c>
      <c r="H1097" t="s">
        <v>26</v>
      </c>
      <c r="I1097" s="24">
        <v>38353</v>
      </c>
      <c r="J1097" s="24">
        <v>38353</v>
      </c>
      <c r="K1097" t="s">
        <v>26</v>
      </c>
      <c r="L1097" s="25" t="s">
        <v>28</v>
      </c>
      <c r="M1097" s="24">
        <v>38353</v>
      </c>
      <c r="N1097" s="24">
        <v>38353</v>
      </c>
      <c r="O1097" t="s">
        <v>26</v>
      </c>
      <c r="P1097" t="s">
        <v>26</v>
      </c>
      <c r="Q1097" t="s">
        <v>26</v>
      </c>
      <c r="R1097" t="s">
        <v>26</v>
      </c>
      <c r="S1097" t="s">
        <v>26</v>
      </c>
      <c r="T1097" t="s">
        <v>26</v>
      </c>
      <c r="U1097" t="s">
        <v>26</v>
      </c>
      <c r="V1097" t="s">
        <v>26</v>
      </c>
      <c r="W1097" s="24">
        <v>38353</v>
      </c>
      <c r="X1097" s="24">
        <v>38353</v>
      </c>
      <c r="Y1097" t="s">
        <v>26</v>
      </c>
      <c r="Z1097" s="24">
        <v>38353</v>
      </c>
      <c r="AA1097" s="24">
        <v>38353</v>
      </c>
      <c r="AB1097" t="s">
        <v>26</v>
      </c>
      <c r="AC1097" s="24">
        <v>38353</v>
      </c>
      <c r="AD1097" s="24">
        <v>38353</v>
      </c>
      <c r="AE1097" t="s">
        <v>26</v>
      </c>
      <c r="AF1097" t="s">
        <v>26</v>
      </c>
      <c r="AG1097" t="s">
        <v>26</v>
      </c>
      <c r="AH1097" t="s">
        <v>26</v>
      </c>
      <c r="AI1097" t="s">
        <v>26</v>
      </c>
      <c r="AJ1097" t="s">
        <v>26</v>
      </c>
      <c r="AK1097" t="s">
        <v>26</v>
      </c>
      <c r="AL1097" t="s">
        <v>26</v>
      </c>
      <c r="AM1097" t="s">
        <v>26</v>
      </c>
      <c r="AN1097" t="s">
        <v>26</v>
      </c>
      <c r="AO1097" s="25" t="s">
        <v>28</v>
      </c>
      <c r="AP1097" s="23" t="s">
        <v>29</v>
      </c>
      <c r="AQ1097" s="23" t="s">
        <v>30</v>
      </c>
      <c r="AR1097" s="23" t="s">
        <v>46</v>
      </c>
      <c r="AS1097" s="25">
        <v>6008994</v>
      </c>
      <c r="AT1097" t="s">
        <v>26</v>
      </c>
      <c r="AU1097" t="s">
        <v>23682</v>
      </c>
    </row>
    <row r="1098" spans="1:47" ht="13.15" x14ac:dyDescent="0.4">
      <c r="A1098" s="23" t="s">
        <v>2763</v>
      </c>
      <c r="B1098" t="s">
        <v>26</v>
      </c>
      <c r="C1098" s="23" t="s">
        <v>107</v>
      </c>
      <c r="D1098" s="23" t="s">
        <v>22194</v>
      </c>
      <c r="E1098" s="23" t="s">
        <v>42</v>
      </c>
      <c r="F1098" t="s">
        <v>26</v>
      </c>
      <c r="G1098" t="s">
        <v>26</v>
      </c>
      <c r="H1098" t="s">
        <v>26</v>
      </c>
      <c r="I1098" s="24">
        <v>35796</v>
      </c>
      <c r="J1098" s="24">
        <v>35796</v>
      </c>
      <c r="K1098" t="s">
        <v>26</v>
      </c>
      <c r="L1098" s="25" t="s">
        <v>28</v>
      </c>
      <c r="M1098" s="24">
        <v>35796</v>
      </c>
      <c r="N1098" s="24">
        <v>35796</v>
      </c>
      <c r="O1098" t="s">
        <v>26</v>
      </c>
      <c r="P1098" t="s">
        <v>26</v>
      </c>
      <c r="Q1098" t="s">
        <v>26</v>
      </c>
      <c r="R1098" t="s">
        <v>26</v>
      </c>
      <c r="S1098" t="s">
        <v>26</v>
      </c>
      <c r="T1098" t="s">
        <v>26</v>
      </c>
      <c r="U1098" t="s">
        <v>26</v>
      </c>
      <c r="V1098" t="s">
        <v>26</v>
      </c>
      <c r="W1098" s="24">
        <v>35796</v>
      </c>
      <c r="X1098" s="24">
        <v>35796</v>
      </c>
      <c r="Y1098" t="s">
        <v>26</v>
      </c>
      <c r="Z1098" s="24">
        <v>35796</v>
      </c>
      <c r="AA1098" s="24">
        <v>35796</v>
      </c>
      <c r="AB1098" t="s">
        <v>26</v>
      </c>
      <c r="AC1098" s="24">
        <v>35796</v>
      </c>
      <c r="AD1098" s="24">
        <v>35796</v>
      </c>
      <c r="AE1098" t="s">
        <v>26</v>
      </c>
      <c r="AF1098" t="s">
        <v>26</v>
      </c>
      <c r="AG1098" t="s">
        <v>26</v>
      </c>
      <c r="AH1098" t="s">
        <v>26</v>
      </c>
      <c r="AI1098" t="s">
        <v>26</v>
      </c>
      <c r="AJ1098" t="s">
        <v>26</v>
      </c>
      <c r="AK1098" t="s">
        <v>26</v>
      </c>
      <c r="AL1098" t="s">
        <v>26</v>
      </c>
      <c r="AM1098" t="s">
        <v>26</v>
      </c>
      <c r="AN1098" t="s">
        <v>26</v>
      </c>
      <c r="AO1098" s="25" t="s">
        <v>28</v>
      </c>
      <c r="AP1098" s="23" t="s">
        <v>29</v>
      </c>
      <c r="AQ1098" s="23" t="s">
        <v>30</v>
      </c>
      <c r="AR1098" s="23" t="s">
        <v>46</v>
      </c>
      <c r="AS1098" s="25">
        <v>6008993</v>
      </c>
      <c r="AT1098" t="s">
        <v>26</v>
      </c>
      <c r="AU1098" t="s">
        <v>23683</v>
      </c>
    </row>
    <row r="1099" spans="1:47" ht="13.15" x14ac:dyDescent="0.4">
      <c r="A1099" s="23" t="s">
        <v>2764</v>
      </c>
      <c r="B1099" t="s">
        <v>26</v>
      </c>
      <c r="C1099" s="23" t="s">
        <v>107</v>
      </c>
      <c r="D1099" s="23" t="s">
        <v>22194</v>
      </c>
      <c r="E1099" s="23" t="s">
        <v>42</v>
      </c>
      <c r="F1099" t="s">
        <v>26</v>
      </c>
      <c r="G1099" t="s">
        <v>26</v>
      </c>
      <c r="H1099" t="s">
        <v>26</v>
      </c>
      <c r="I1099" s="24">
        <v>38353</v>
      </c>
      <c r="J1099" s="24">
        <v>38353</v>
      </c>
      <c r="K1099" t="s">
        <v>26</v>
      </c>
      <c r="L1099" s="25" t="s">
        <v>28</v>
      </c>
      <c r="M1099" s="24">
        <v>38353</v>
      </c>
      <c r="N1099" s="24">
        <v>38353</v>
      </c>
      <c r="O1099" t="s">
        <v>26</v>
      </c>
      <c r="P1099" t="s">
        <v>26</v>
      </c>
      <c r="Q1099" t="s">
        <v>26</v>
      </c>
      <c r="R1099" t="s">
        <v>26</v>
      </c>
      <c r="S1099" t="s">
        <v>26</v>
      </c>
      <c r="T1099" t="s">
        <v>26</v>
      </c>
      <c r="U1099" t="s">
        <v>26</v>
      </c>
      <c r="V1099" t="s">
        <v>26</v>
      </c>
      <c r="W1099" s="24">
        <v>38353</v>
      </c>
      <c r="X1099" s="24">
        <v>38353</v>
      </c>
      <c r="Y1099" t="s">
        <v>26</v>
      </c>
      <c r="Z1099" s="24">
        <v>38353</v>
      </c>
      <c r="AA1099" s="24">
        <v>38353</v>
      </c>
      <c r="AB1099" t="s">
        <v>26</v>
      </c>
      <c r="AC1099" s="24">
        <v>38353</v>
      </c>
      <c r="AD1099" s="24">
        <v>38353</v>
      </c>
      <c r="AE1099" t="s">
        <v>26</v>
      </c>
      <c r="AF1099" t="s">
        <v>26</v>
      </c>
      <c r="AG1099" t="s">
        <v>26</v>
      </c>
      <c r="AH1099" t="s">
        <v>26</v>
      </c>
      <c r="AI1099" t="s">
        <v>26</v>
      </c>
      <c r="AJ1099" t="s">
        <v>26</v>
      </c>
      <c r="AK1099" t="s">
        <v>26</v>
      </c>
      <c r="AL1099" t="s">
        <v>26</v>
      </c>
      <c r="AM1099" t="s">
        <v>26</v>
      </c>
      <c r="AN1099" t="s">
        <v>26</v>
      </c>
      <c r="AO1099" s="25" t="s">
        <v>28</v>
      </c>
      <c r="AP1099" s="23" t="s">
        <v>29</v>
      </c>
      <c r="AQ1099" s="23" t="s">
        <v>30</v>
      </c>
      <c r="AR1099" s="23" t="s">
        <v>46</v>
      </c>
      <c r="AS1099" s="25">
        <v>6059437</v>
      </c>
      <c r="AT1099" t="s">
        <v>26</v>
      </c>
      <c r="AU1099" t="s">
        <v>23684</v>
      </c>
    </row>
    <row r="1100" spans="1:47" ht="13.15" x14ac:dyDescent="0.4">
      <c r="A1100" s="23" t="s">
        <v>2765</v>
      </c>
      <c r="B1100" t="s">
        <v>26</v>
      </c>
      <c r="C1100" s="23" t="s">
        <v>107</v>
      </c>
      <c r="D1100" s="23" t="s">
        <v>22194</v>
      </c>
      <c r="E1100" s="23" t="s">
        <v>42</v>
      </c>
      <c r="F1100" t="s">
        <v>26</v>
      </c>
      <c r="G1100" t="s">
        <v>26</v>
      </c>
      <c r="H1100" t="s">
        <v>26</v>
      </c>
      <c r="I1100" s="24">
        <v>31778</v>
      </c>
      <c r="J1100" s="24">
        <v>31778</v>
      </c>
      <c r="K1100" t="s">
        <v>26</v>
      </c>
      <c r="L1100" s="25" t="s">
        <v>28</v>
      </c>
      <c r="M1100" s="24">
        <v>31778</v>
      </c>
      <c r="N1100" s="24">
        <v>31778</v>
      </c>
      <c r="O1100" t="s">
        <v>26</v>
      </c>
      <c r="P1100" t="s">
        <v>26</v>
      </c>
      <c r="Q1100" t="s">
        <v>26</v>
      </c>
      <c r="R1100" t="s">
        <v>26</v>
      </c>
      <c r="S1100" t="s">
        <v>26</v>
      </c>
      <c r="T1100" t="s">
        <v>26</v>
      </c>
      <c r="U1100" t="s">
        <v>26</v>
      </c>
      <c r="V1100" t="s">
        <v>26</v>
      </c>
      <c r="W1100" s="24">
        <v>31778</v>
      </c>
      <c r="X1100" s="24">
        <v>31778</v>
      </c>
      <c r="Y1100" t="s">
        <v>26</v>
      </c>
      <c r="Z1100" s="24">
        <v>31778</v>
      </c>
      <c r="AA1100" s="24">
        <v>31778</v>
      </c>
      <c r="AB1100" t="s">
        <v>26</v>
      </c>
      <c r="AC1100" s="24">
        <v>31778</v>
      </c>
      <c r="AD1100" s="24">
        <v>31778</v>
      </c>
      <c r="AE1100" t="s">
        <v>26</v>
      </c>
      <c r="AF1100" t="s">
        <v>26</v>
      </c>
      <c r="AG1100" t="s">
        <v>26</v>
      </c>
      <c r="AH1100" t="s">
        <v>26</v>
      </c>
      <c r="AI1100" t="s">
        <v>26</v>
      </c>
      <c r="AJ1100" t="s">
        <v>26</v>
      </c>
      <c r="AK1100" t="s">
        <v>26</v>
      </c>
      <c r="AL1100" t="s">
        <v>26</v>
      </c>
      <c r="AM1100" t="s">
        <v>26</v>
      </c>
      <c r="AN1100" t="s">
        <v>26</v>
      </c>
      <c r="AO1100" s="25" t="s">
        <v>28</v>
      </c>
      <c r="AP1100" s="23" t="s">
        <v>29</v>
      </c>
      <c r="AQ1100" s="23" t="s">
        <v>30</v>
      </c>
      <c r="AR1100" s="23" t="s">
        <v>46</v>
      </c>
      <c r="AS1100" s="25">
        <v>6008992</v>
      </c>
      <c r="AT1100" t="s">
        <v>26</v>
      </c>
      <c r="AU1100" t="s">
        <v>23685</v>
      </c>
    </row>
    <row r="1101" spans="1:47" ht="13.15" x14ac:dyDescent="0.4">
      <c r="A1101" s="23" t="s">
        <v>2766</v>
      </c>
      <c r="B1101" t="s">
        <v>26</v>
      </c>
      <c r="C1101" s="23" t="s">
        <v>107</v>
      </c>
      <c r="D1101" s="23" t="s">
        <v>22194</v>
      </c>
      <c r="E1101" s="23" t="s">
        <v>42</v>
      </c>
      <c r="F1101" t="s">
        <v>26</v>
      </c>
      <c r="G1101" t="s">
        <v>26</v>
      </c>
      <c r="H1101" t="s">
        <v>26</v>
      </c>
      <c r="I1101" s="24">
        <v>36892</v>
      </c>
      <c r="J1101" s="24">
        <v>36892</v>
      </c>
      <c r="K1101" t="s">
        <v>26</v>
      </c>
      <c r="L1101" s="25" t="s">
        <v>28</v>
      </c>
      <c r="M1101" s="24">
        <v>36892</v>
      </c>
      <c r="N1101" s="24">
        <v>36892</v>
      </c>
      <c r="O1101" t="s">
        <v>26</v>
      </c>
      <c r="P1101" t="s">
        <v>26</v>
      </c>
      <c r="Q1101" t="s">
        <v>26</v>
      </c>
      <c r="R1101" t="s">
        <v>26</v>
      </c>
      <c r="S1101" t="s">
        <v>26</v>
      </c>
      <c r="T1101" t="s">
        <v>26</v>
      </c>
      <c r="U1101" t="s">
        <v>26</v>
      </c>
      <c r="V1101" t="s">
        <v>26</v>
      </c>
      <c r="W1101" s="24">
        <v>36892</v>
      </c>
      <c r="X1101" s="24">
        <v>36892</v>
      </c>
      <c r="Y1101" t="s">
        <v>26</v>
      </c>
      <c r="Z1101" s="24">
        <v>36892</v>
      </c>
      <c r="AA1101" s="24">
        <v>36892</v>
      </c>
      <c r="AB1101" t="s">
        <v>26</v>
      </c>
      <c r="AC1101" s="24">
        <v>36892</v>
      </c>
      <c r="AD1101" s="24">
        <v>36892</v>
      </c>
      <c r="AE1101" t="s">
        <v>26</v>
      </c>
      <c r="AF1101" t="s">
        <v>26</v>
      </c>
      <c r="AG1101" t="s">
        <v>26</v>
      </c>
      <c r="AH1101" t="s">
        <v>26</v>
      </c>
      <c r="AI1101" t="s">
        <v>26</v>
      </c>
      <c r="AJ1101" t="s">
        <v>26</v>
      </c>
      <c r="AK1101" t="s">
        <v>26</v>
      </c>
      <c r="AL1101" t="s">
        <v>26</v>
      </c>
      <c r="AM1101" t="s">
        <v>26</v>
      </c>
      <c r="AN1101" t="s">
        <v>26</v>
      </c>
      <c r="AO1101" s="25" t="s">
        <v>28</v>
      </c>
      <c r="AP1101" s="23" t="s">
        <v>29</v>
      </c>
      <c r="AQ1101" s="23" t="s">
        <v>30</v>
      </c>
      <c r="AR1101" s="23" t="s">
        <v>46</v>
      </c>
      <c r="AS1101" s="25">
        <v>6059436</v>
      </c>
      <c r="AT1101" t="s">
        <v>26</v>
      </c>
      <c r="AU1101" t="s">
        <v>23686</v>
      </c>
    </row>
    <row r="1102" spans="1:47" ht="13.15" x14ac:dyDescent="0.4">
      <c r="A1102" s="23" t="s">
        <v>2767</v>
      </c>
      <c r="B1102" t="s">
        <v>26</v>
      </c>
      <c r="C1102" s="23" t="s">
        <v>107</v>
      </c>
      <c r="D1102" s="23" t="s">
        <v>22194</v>
      </c>
      <c r="E1102" s="23" t="s">
        <v>42</v>
      </c>
      <c r="F1102" t="s">
        <v>26</v>
      </c>
      <c r="G1102" t="s">
        <v>26</v>
      </c>
      <c r="H1102" t="s">
        <v>26</v>
      </c>
      <c r="I1102" s="24">
        <v>37622</v>
      </c>
      <c r="J1102" s="24">
        <v>37622</v>
      </c>
      <c r="K1102" t="s">
        <v>26</v>
      </c>
      <c r="L1102" s="25" t="s">
        <v>28</v>
      </c>
      <c r="M1102" s="24">
        <v>37622</v>
      </c>
      <c r="N1102" s="24">
        <v>37622</v>
      </c>
      <c r="O1102" t="s">
        <v>26</v>
      </c>
      <c r="P1102" t="s">
        <v>26</v>
      </c>
      <c r="Q1102" t="s">
        <v>26</v>
      </c>
      <c r="R1102" t="s">
        <v>26</v>
      </c>
      <c r="S1102" t="s">
        <v>26</v>
      </c>
      <c r="T1102" t="s">
        <v>26</v>
      </c>
      <c r="U1102" t="s">
        <v>26</v>
      </c>
      <c r="V1102" t="s">
        <v>26</v>
      </c>
      <c r="W1102" s="24">
        <v>37622</v>
      </c>
      <c r="X1102" s="24">
        <v>37622</v>
      </c>
      <c r="Y1102" t="s">
        <v>26</v>
      </c>
      <c r="Z1102" s="24">
        <v>37622</v>
      </c>
      <c r="AA1102" s="24">
        <v>37622</v>
      </c>
      <c r="AB1102" t="s">
        <v>26</v>
      </c>
      <c r="AC1102" s="24">
        <v>37622</v>
      </c>
      <c r="AD1102" s="24">
        <v>37622</v>
      </c>
      <c r="AE1102" t="s">
        <v>26</v>
      </c>
      <c r="AF1102" t="s">
        <v>26</v>
      </c>
      <c r="AG1102" t="s">
        <v>26</v>
      </c>
      <c r="AH1102" t="s">
        <v>26</v>
      </c>
      <c r="AI1102" t="s">
        <v>26</v>
      </c>
      <c r="AJ1102" t="s">
        <v>26</v>
      </c>
      <c r="AK1102" t="s">
        <v>26</v>
      </c>
      <c r="AL1102" t="s">
        <v>26</v>
      </c>
      <c r="AM1102" t="s">
        <v>26</v>
      </c>
      <c r="AN1102" t="s">
        <v>26</v>
      </c>
      <c r="AO1102" s="25" t="s">
        <v>28</v>
      </c>
      <c r="AP1102" s="23" t="s">
        <v>29</v>
      </c>
      <c r="AQ1102" s="23" t="s">
        <v>30</v>
      </c>
      <c r="AR1102" s="23" t="s">
        <v>46</v>
      </c>
      <c r="AS1102" s="25">
        <v>6008991</v>
      </c>
      <c r="AT1102" t="s">
        <v>26</v>
      </c>
      <c r="AU1102" t="s">
        <v>23687</v>
      </c>
    </row>
    <row r="1103" spans="1:47" ht="13.15" x14ac:dyDescent="0.4">
      <c r="A1103" s="23" t="s">
        <v>2768</v>
      </c>
      <c r="B1103" t="s">
        <v>26</v>
      </c>
      <c r="C1103" s="23" t="s">
        <v>107</v>
      </c>
      <c r="D1103" s="23" t="s">
        <v>22194</v>
      </c>
      <c r="E1103" s="23" t="s">
        <v>42</v>
      </c>
      <c r="F1103" t="s">
        <v>26</v>
      </c>
      <c r="G1103" t="s">
        <v>26</v>
      </c>
      <c r="H1103" t="s">
        <v>26</v>
      </c>
      <c r="I1103" s="24">
        <v>37622</v>
      </c>
      <c r="J1103" s="24">
        <v>37622</v>
      </c>
      <c r="K1103" t="s">
        <v>26</v>
      </c>
      <c r="L1103" s="25" t="s">
        <v>28</v>
      </c>
      <c r="M1103" s="24">
        <v>37622</v>
      </c>
      <c r="N1103" s="24">
        <v>37622</v>
      </c>
      <c r="O1103" t="s">
        <v>26</v>
      </c>
      <c r="P1103" t="s">
        <v>26</v>
      </c>
      <c r="Q1103" t="s">
        <v>26</v>
      </c>
      <c r="R1103" t="s">
        <v>26</v>
      </c>
      <c r="S1103" t="s">
        <v>26</v>
      </c>
      <c r="T1103" t="s">
        <v>26</v>
      </c>
      <c r="U1103" t="s">
        <v>26</v>
      </c>
      <c r="V1103" t="s">
        <v>26</v>
      </c>
      <c r="W1103" s="24">
        <v>37622</v>
      </c>
      <c r="X1103" s="24">
        <v>37622</v>
      </c>
      <c r="Y1103" t="s">
        <v>26</v>
      </c>
      <c r="Z1103" s="24">
        <v>37622</v>
      </c>
      <c r="AA1103" s="24">
        <v>37622</v>
      </c>
      <c r="AB1103" t="s">
        <v>26</v>
      </c>
      <c r="AC1103" s="24">
        <v>37622</v>
      </c>
      <c r="AD1103" s="24">
        <v>37622</v>
      </c>
      <c r="AE1103" t="s">
        <v>26</v>
      </c>
      <c r="AF1103" t="s">
        <v>26</v>
      </c>
      <c r="AG1103" t="s">
        <v>26</v>
      </c>
      <c r="AH1103" t="s">
        <v>26</v>
      </c>
      <c r="AI1103" t="s">
        <v>26</v>
      </c>
      <c r="AJ1103" t="s">
        <v>26</v>
      </c>
      <c r="AK1103" t="s">
        <v>26</v>
      </c>
      <c r="AL1103" t="s">
        <v>26</v>
      </c>
      <c r="AM1103" t="s">
        <v>26</v>
      </c>
      <c r="AN1103" t="s">
        <v>26</v>
      </c>
      <c r="AO1103" s="25" t="s">
        <v>28</v>
      </c>
      <c r="AP1103" s="23" t="s">
        <v>29</v>
      </c>
      <c r="AQ1103" s="23" t="s">
        <v>30</v>
      </c>
      <c r="AR1103" s="23" t="s">
        <v>46</v>
      </c>
      <c r="AS1103" s="25">
        <v>6008990</v>
      </c>
      <c r="AT1103" t="s">
        <v>26</v>
      </c>
      <c r="AU1103" t="s">
        <v>23688</v>
      </c>
    </row>
    <row r="1104" spans="1:47" ht="13.15" x14ac:dyDescent="0.4">
      <c r="A1104" s="23" t="s">
        <v>2769</v>
      </c>
      <c r="B1104" t="s">
        <v>26</v>
      </c>
      <c r="C1104" s="23" t="s">
        <v>107</v>
      </c>
      <c r="D1104" s="23" t="s">
        <v>22194</v>
      </c>
      <c r="E1104" s="23" t="s">
        <v>42</v>
      </c>
      <c r="F1104" t="s">
        <v>26</v>
      </c>
      <c r="G1104" t="s">
        <v>26</v>
      </c>
      <c r="H1104" t="s">
        <v>26</v>
      </c>
      <c r="I1104" s="24">
        <v>38353</v>
      </c>
      <c r="J1104" s="24">
        <v>38353</v>
      </c>
      <c r="K1104" t="s">
        <v>26</v>
      </c>
      <c r="L1104" s="25" t="s">
        <v>28</v>
      </c>
      <c r="M1104" s="24">
        <v>38353</v>
      </c>
      <c r="N1104" s="24">
        <v>38353</v>
      </c>
      <c r="O1104" t="s">
        <v>26</v>
      </c>
      <c r="P1104" t="s">
        <v>26</v>
      </c>
      <c r="Q1104" t="s">
        <v>26</v>
      </c>
      <c r="R1104" t="s">
        <v>26</v>
      </c>
      <c r="S1104" t="s">
        <v>26</v>
      </c>
      <c r="T1104" t="s">
        <v>26</v>
      </c>
      <c r="U1104" t="s">
        <v>26</v>
      </c>
      <c r="V1104" t="s">
        <v>26</v>
      </c>
      <c r="W1104" s="24">
        <v>38353</v>
      </c>
      <c r="X1104" s="24">
        <v>38353</v>
      </c>
      <c r="Y1104" t="s">
        <v>26</v>
      </c>
      <c r="Z1104" s="24">
        <v>38353</v>
      </c>
      <c r="AA1104" s="24">
        <v>38353</v>
      </c>
      <c r="AB1104" t="s">
        <v>26</v>
      </c>
      <c r="AC1104" s="24">
        <v>38353</v>
      </c>
      <c r="AD1104" s="24">
        <v>38353</v>
      </c>
      <c r="AE1104" t="s">
        <v>26</v>
      </c>
      <c r="AF1104" t="s">
        <v>26</v>
      </c>
      <c r="AG1104" t="s">
        <v>26</v>
      </c>
      <c r="AH1104" t="s">
        <v>26</v>
      </c>
      <c r="AI1104" t="s">
        <v>26</v>
      </c>
      <c r="AJ1104" t="s">
        <v>26</v>
      </c>
      <c r="AK1104" t="s">
        <v>26</v>
      </c>
      <c r="AL1104" t="s">
        <v>26</v>
      </c>
      <c r="AM1104" t="s">
        <v>26</v>
      </c>
      <c r="AN1104" t="s">
        <v>26</v>
      </c>
      <c r="AO1104" s="25" t="s">
        <v>28</v>
      </c>
      <c r="AP1104" s="23" t="s">
        <v>29</v>
      </c>
      <c r="AQ1104" s="23" t="s">
        <v>30</v>
      </c>
      <c r="AR1104" s="23" t="s">
        <v>46</v>
      </c>
      <c r="AS1104" s="25">
        <v>6008989</v>
      </c>
      <c r="AT1104" t="s">
        <v>26</v>
      </c>
      <c r="AU1104" t="s">
        <v>23689</v>
      </c>
    </row>
    <row r="1105" spans="1:47" ht="26.25" x14ac:dyDescent="0.4">
      <c r="A1105" s="23" t="s">
        <v>2770</v>
      </c>
      <c r="B1105" s="23" t="s">
        <v>2771</v>
      </c>
      <c r="C1105" s="23" t="s">
        <v>59</v>
      </c>
      <c r="D1105" s="23" t="s">
        <v>22174</v>
      </c>
      <c r="E1105" s="23" t="s">
        <v>60</v>
      </c>
      <c r="F1105" t="s">
        <v>26</v>
      </c>
      <c r="G1105" t="s">
        <v>26</v>
      </c>
      <c r="H1105" s="25" t="s">
        <v>2772</v>
      </c>
      <c r="I1105" s="24">
        <v>39083</v>
      </c>
      <c r="J1105" s="24">
        <v>39083</v>
      </c>
      <c r="K1105" t="s">
        <v>26</v>
      </c>
      <c r="L1105" s="25" t="s">
        <v>28</v>
      </c>
      <c r="M1105" s="24">
        <v>39083</v>
      </c>
      <c r="N1105" s="24">
        <v>39083</v>
      </c>
      <c r="O1105" t="s">
        <v>26</v>
      </c>
      <c r="P1105" s="24">
        <v>39083</v>
      </c>
      <c r="Q1105" s="24">
        <v>39083</v>
      </c>
      <c r="R1105" t="s">
        <v>26</v>
      </c>
      <c r="S1105" t="s">
        <v>26</v>
      </c>
      <c r="T1105" t="s">
        <v>26</v>
      </c>
      <c r="U1105" t="s">
        <v>26</v>
      </c>
      <c r="V1105" t="s">
        <v>26</v>
      </c>
      <c r="W1105" s="24">
        <v>39083</v>
      </c>
      <c r="X1105" s="24">
        <v>39083</v>
      </c>
      <c r="Y1105" t="s">
        <v>26</v>
      </c>
      <c r="Z1105" s="24">
        <v>39083</v>
      </c>
      <c r="AA1105" s="24">
        <v>39083</v>
      </c>
      <c r="AB1105" t="s">
        <v>26</v>
      </c>
      <c r="AC1105" s="24">
        <v>39083</v>
      </c>
      <c r="AD1105" s="24">
        <v>39083</v>
      </c>
      <c r="AE1105" t="s">
        <v>26</v>
      </c>
      <c r="AF1105" t="s">
        <v>26</v>
      </c>
      <c r="AG1105" t="s">
        <v>26</v>
      </c>
      <c r="AH1105" t="s">
        <v>26</v>
      </c>
      <c r="AI1105" t="s">
        <v>26</v>
      </c>
      <c r="AJ1105" t="s">
        <v>26</v>
      </c>
      <c r="AK1105" t="s">
        <v>26</v>
      </c>
      <c r="AL1105" t="s">
        <v>26</v>
      </c>
      <c r="AM1105" t="s">
        <v>26</v>
      </c>
      <c r="AN1105" t="s">
        <v>26</v>
      </c>
      <c r="AO1105" s="25" t="s">
        <v>28</v>
      </c>
      <c r="AP1105" s="23" t="s">
        <v>29</v>
      </c>
      <c r="AQ1105" s="23" t="s">
        <v>30</v>
      </c>
      <c r="AR1105" s="23" t="s">
        <v>128</v>
      </c>
      <c r="AS1105" s="25">
        <v>105944</v>
      </c>
      <c r="AT1105" t="s">
        <v>26</v>
      </c>
      <c r="AU1105" t="s">
        <v>23690</v>
      </c>
    </row>
    <row r="1106" spans="1:47" ht="26.25" x14ac:dyDescent="0.4">
      <c r="A1106" s="23" t="s">
        <v>2773</v>
      </c>
      <c r="B1106" t="s">
        <v>26</v>
      </c>
      <c r="C1106" s="23" t="s">
        <v>371</v>
      </c>
      <c r="D1106" s="23" t="s">
        <v>22179</v>
      </c>
      <c r="E1106" s="23" t="s">
        <v>42</v>
      </c>
      <c r="F1106" t="s">
        <v>26</v>
      </c>
      <c r="G1106" t="s">
        <v>26</v>
      </c>
      <c r="H1106" t="s">
        <v>26</v>
      </c>
      <c r="I1106" t="s">
        <v>26</v>
      </c>
      <c r="J1106" t="s">
        <v>26</v>
      </c>
      <c r="K1106" t="s">
        <v>26</v>
      </c>
      <c r="L1106" s="25" t="s">
        <v>28</v>
      </c>
      <c r="M1106" t="s">
        <v>26</v>
      </c>
      <c r="N1106" t="s">
        <v>26</v>
      </c>
      <c r="O1106" t="s">
        <v>26</v>
      </c>
      <c r="P1106" t="s">
        <v>26</v>
      </c>
      <c r="Q1106" t="s">
        <v>26</v>
      </c>
      <c r="R1106" t="s">
        <v>26</v>
      </c>
      <c r="S1106" t="s">
        <v>26</v>
      </c>
      <c r="T1106" t="s">
        <v>26</v>
      </c>
      <c r="U1106" t="s">
        <v>26</v>
      </c>
      <c r="V1106" t="s">
        <v>26</v>
      </c>
      <c r="W1106" s="24">
        <v>39083</v>
      </c>
      <c r="X1106" s="24">
        <v>39083</v>
      </c>
      <c r="Y1106" t="s">
        <v>26</v>
      </c>
      <c r="Z1106" s="24">
        <v>39083</v>
      </c>
      <c r="AA1106" s="24">
        <v>39083</v>
      </c>
      <c r="AB1106" t="s">
        <v>26</v>
      </c>
      <c r="AC1106" t="s">
        <v>26</v>
      </c>
      <c r="AD1106" t="s">
        <v>26</v>
      </c>
      <c r="AE1106" t="s">
        <v>26</v>
      </c>
      <c r="AF1106" t="s">
        <v>26</v>
      </c>
      <c r="AG1106" t="s">
        <v>26</v>
      </c>
      <c r="AH1106" t="s">
        <v>26</v>
      </c>
      <c r="AI1106" t="s">
        <v>26</v>
      </c>
      <c r="AJ1106" t="s">
        <v>26</v>
      </c>
      <c r="AK1106" t="s">
        <v>26</v>
      </c>
      <c r="AL1106" t="s">
        <v>26</v>
      </c>
      <c r="AM1106" t="s">
        <v>26</v>
      </c>
      <c r="AN1106" t="s">
        <v>26</v>
      </c>
      <c r="AO1106" s="25" t="s">
        <v>28</v>
      </c>
      <c r="AP1106" s="23" t="s">
        <v>29</v>
      </c>
      <c r="AQ1106" s="23" t="s">
        <v>30</v>
      </c>
      <c r="AR1106" s="23" t="s">
        <v>2385</v>
      </c>
      <c r="AS1106" s="25">
        <v>5488556</v>
      </c>
      <c r="AT1106" s="23" t="s">
        <v>22181</v>
      </c>
      <c r="AU1106" t="s">
        <v>23691</v>
      </c>
    </row>
    <row r="1107" spans="1:47" ht="13.15" x14ac:dyDescent="0.4">
      <c r="A1107" s="23" t="s">
        <v>2774</v>
      </c>
      <c r="B1107" t="s">
        <v>26</v>
      </c>
      <c r="C1107" s="23" t="s">
        <v>107</v>
      </c>
      <c r="D1107" s="23" t="s">
        <v>22194</v>
      </c>
      <c r="E1107" s="23" t="s">
        <v>42</v>
      </c>
      <c r="F1107" t="s">
        <v>26</v>
      </c>
      <c r="G1107" t="s">
        <v>26</v>
      </c>
      <c r="H1107" t="s">
        <v>26</v>
      </c>
      <c r="I1107" s="24">
        <v>38718</v>
      </c>
      <c r="J1107" s="24">
        <v>38718</v>
      </c>
      <c r="K1107" t="s">
        <v>26</v>
      </c>
      <c r="L1107" s="25" t="s">
        <v>28</v>
      </c>
      <c r="M1107" s="24">
        <v>38718</v>
      </c>
      <c r="N1107" s="24">
        <v>38718</v>
      </c>
      <c r="O1107" t="s">
        <v>26</v>
      </c>
      <c r="P1107" t="s">
        <v>26</v>
      </c>
      <c r="Q1107" t="s">
        <v>26</v>
      </c>
      <c r="R1107" t="s">
        <v>26</v>
      </c>
      <c r="S1107" t="s">
        <v>26</v>
      </c>
      <c r="T1107" t="s">
        <v>26</v>
      </c>
      <c r="U1107" t="s">
        <v>26</v>
      </c>
      <c r="V1107" t="s">
        <v>26</v>
      </c>
      <c r="W1107" s="24">
        <v>38718</v>
      </c>
      <c r="X1107" s="24">
        <v>38718</v>
      </c>
      <c r="Y1107" t="s">
        <v>26</v>
      </c>
      <c r="Z1107" s="24">
        <v>38718</v>
      </c>
      <c r="AA1107" s="24">
        <v>38718</v>
      </c>
      <c r="AB1107" t="s">
        <v>26</v>
      </c>
      <c r="AC1107" s="24">
        <v>38718</v>
      </c>
      <c r="AD1107" s="24">
        <v>38718</v>
      </c>
      <c r="AE1107" t="s">
        <v>26</v>
      </c>
      <c r="AF1107" t="s">
        <v>26</v>
      </c>
      <c r="AG1107" t="s">
        <v>26</v>
      </c>
      <c r="AH1107" t="s">
        <v>26</v>
      </c>
      <c r="AI1107" t="s">
        <v>26</v>
      </c>
      <c r="AJ1107" t="s">
        <v>26</v>
      </c>
      <c r="AK1107" t="s">
        <v>26</v>
      </c>
      <c r="AL1107" t="s">
        <v>26</v>
      </c>
      <c r="AM1107" t="s">
        <v>26</v>
      </c>
      <c r="AN1107" t="s">
        <v>26</v>
      </c>
      <c r="AO1107" s="25" t="s">
        <v>28</v>
      </c>
      <c r="AP1107" s="23" t="s">
        <v>29</v>
      </c>
      <c r="AQ1107" s="23" t="s">
        <v>30</v>
      </c>
      <c r="AR1107" s="23" t="s">
        <v>46</v>
      </c>
      <c r="AS1107" s="25">
        <v>6008988</v>
      </c>
      <c r="AT1107" t="s">
        <v>26</v>
      </c>
      <c r="AU1107" t="s">
        <v>23692</v>
      </c>
    </row>
    <row r="1108" spans="1:47" ht="26.25" x14ac:dyDescent="0.4">
      <c r="A1108" s="23" t="s">
        <v>2775</v>
      </c>
      <c r="B1108" t="s">
        <v>26</v>
      </c>
      <c r="C1108" s="23" t="s">
        <v>107</v>
      </c>
      <c r="D1108" s="23" t="s">
        <v>22194</v>
      </c>
      <c r="E1108" s="23" t="s">
        <v>42</v>
      </c>
      <c r="F1108" t="s">
        <v>26</v>
      </c>
      <c r="G1108" t="s">
        <v>26</v>
      </c>
      <c r="H1108" t="s">
        <v>26</v>
      </c>
      <c r="I1108" s="24">
        <v>33970</v>
      </c>
      <c r="J1108" s="24">
        <v>33970</v>
      </c>
      <c r="K1108" t="s">
        <v>26</v>
      </c>
      <c r="L1108" s="25" t="s">
        <v>28</v>
      </c>
      <c r="M1108" s="24">
        <v>33970</v>
      </c>
      <c r="N1108" s="24">
        <v>33970</v>
      </c>
      <c r="O1108" t="s">
        <v>26</v>
      </c>
      <c r="P1108" t="s">
        <v>26</v>
      </c>
      <c r="Q1108" t="s">
        <v>26</v>
      </c>
      <c r="R1108" t="s">
        <v>26</v>
      </c>
      <c r="S1108" t="s">
        <v>26</v>
      </c>
      <c r="T1108" t="s">
        <v>26</v>
      </c>
      <c r="U1108" t="s">
        <v>26</v>
      </c>
      <c r="V1108" t="s">
        <v>26</v>
      </c>
      <c r="W1108" s="24">
        <v>33970</v>
      </c>
      <c r="X1108" s="24">
        <v>33970</v>
      </c>
      <c r="Y1108" t="s">
        <v>26</v>
      </c>
      <c r="Z1108" s="24">
        <v>33970</v>
      </c>
      <c r="AA1108" s="24">
        <v>33970</v>
      </c>
      <c r="AB1108" t="s">
        <v>26</v>
      </c>
      <c r="AC1108" s="24">
        <v>33970</v>
      </c>
      <c r="AD1108" s="24">
        <v>33970</v>
      </c>
      <c r="AE1108" t="s">
        <v>26</v>
      </c>
      <c r="AF1108" t="s">
        <v>26</v>
      </c>
      <c r="AG1108" t="s">
        <v>26</v>
      </c>
      <c r="AH1108" t="s">
        <v>26</v>
      </c>
      <c r="AI1108" t="s">
        <v>26</v>
      </c>
      <c r="AJ1108" t="s">
        <v>26</v>
      </c>
      <c r="AK1108" t="s">
        <v>26</v>
      </c>
      <c r="AL1108" t="s">
        <v>26</v>
      </c>
      <c r="AM1108" t="s">
        <v>26</v>
      </c>
      <c r="AN1108" t="s">
        <v>26</v>
      </c>
      <c r="AO1108" s="25" t="s">
        <v>28</v>
      </c>
      <c r="AP1108" s="23" t="s">
        <v>29</v>
      </c>
      <c r="AQ1108" s="23" t="s">
        <v>30</v>
      </c>
      <c r="AR1108" s="23" t="s">
        <v>46</v>
      </c>
      <c r="AS1108" s="25">
        <v>6008987</v>
      </c>
      <c r="AT1108" t="s">
        <v>26</v>
      </c>
      <c r="AU1108" t="s">
        <v>23693</v>
      </c>
    </row>
    <row r="1109" spans="1:47" ht="13.15" x14ac:dyDescent="0.4">
      <c r="A1109" s="23" t="s">
        <v>2776</v>
      </c>
      <c r="B1109" t="s">
        <v>26</v>
      </c>
      <c r="C1109" s="23" t="s">
        <v>107</v>
      </c>
      <c r="D1109" s="23" t="s">
        <v>22194</v>
      </c>
      <c r="E1109" s="23" t="s">
        <v>42</v>
      </c>
      <c r="F1109" t="s">
        <v>26</v>
      </c>
      <c r="G1109" t="s">
        <v>26</v>
      </c>
      <c r="H1109" t="s">
        <v>26</v>
      </c>
      <c r="I1109" s="24">
        <v>37987</v>
      </c>
      <c r="J1109" s="24">
        <v>37987</v>
      </c>
      <c r="K1109" t="s">
        <v>26</v>
      </c>
      <c r="L1109" s="25" t="s">
        <v>28</v>
      </c>
      <c r="M1109" s="24">
        <v>37987</v>
      </c>
      <c r="N1109" s="24">
        <v>37987</v>
      </c>
      <c r="O1109" t="s">
        <v>26</v>
      </c>
      <c r="P1109" t="s">
        <v>26</v>
      </c>
      <c r="Q1109" t="s">
        <v>26</v>
      </c>
      <c r="R1109" t="s">
        <v>26</v>
      </c>
      <c r="S1109" t="s">
        <v>26</v>
      </c>
      <c r="T1109" t="s">
        <v>26</v>
      </c>
      <c r="U1109" t="s">
        <v>26</v>
      </c>
      <c r="V1109" t="s">
        <v>26</v>
      </c>
      <c r="W1109" s="24">
        <v>37987</v>
      </c>
      <c r="X1109" s="24">
        <v>37987</v>
      </c>
      <c r="Y1109" t="s">
        <v>26</v>
      </c>
      <c r="Z1109" s="24">
        <v>37987</v>
      </c>
      <c r="AA1109" s="24">
        <v>37987</v>
      </c>
      <c r="AB1109" t="s">
        <v>26</v>
      </c>
      <c r="AC1109" s="24">
        <v>37987</v>
      </c>
      <c r="AD1109" s="24">
        <v>37987</v>
      </c>
      <c r="AE1109" t="s">
        <v>26</v>
      </c>
      <c r="AF1109" t="s">
        <v>26</v>
      </c>
      <c r="AG1109" t="s">
        <v>26</v>
      </c>
      <c r="AH1109" t="s">
        <v>26</v>
      </c>
      <c r="AI1109" t="s">
        <v>26</v>
      </c>
      <c r="AJ1109" t="s">
        <v>26</v>
      </c>
      <c r="AK1109" t="s">
        <v>26</v>
      </c>
      <c r="AL1109" t="s">
        <v>26</v>
      </c>
      <c r="AM1109" t="s">
        <v>26</v>
      </c>
      <c r="AN1109" t="s">
        <v>26</v>
      </c>
      <c r="AO1109" s="25" t="s">
        <v>28</v>
      </c>
      <c r="AP1109" s="23" t="s">
        <v>29</v>
      </c>
      <c r="AQ1109" s="23" t="s">
        <v>30</v>
      </c>
      <c r="AR1109" s="23" t="s">
        <v>46</v>
      </c>
      <c r="AS1109" s="25">
        <v>6008985</v>
      </c>
      <c r="AT1109" t="s">
        <v>26</v>
      </c>
      <c r="AU1109" t="s">
        <v>23694</v>
      </c>
    </row>
    <row r="1110" spans="1:47" ht="26.25" x14ac:dyDescent="0.4">
      <c r="A1110" s="23" t="s">
        <v>2777</v>
      </c>
      <c r="B1110" t="s">
        <v>26</v>
      </c>
      <c r="C1110" s="23" t="s">
        <v>107</v>
      </c>
      <c r="D1110" s="23" t="s">
        <v>22194</v>
      </c>
      <c r="E1110" s="23" t="s">
        <v>42</v>
      </c>
      <c r="F1110" t="s">
        <v>26</v>
      </c>
      <c r="G1110" t="s">
        <v>26</v>
      </c>
      <c r="H1110" t="s">
        <v>26</v>
      </c>
      <c r="I1110" s="24">
        <v>36892</v>
      </c>
      <c r="J1110" s="24">
        <v>36892</v>
      </c>
      <c r="K1110" t="s">
        <v>26</v>
      </c>
      <c r="L1110" s="25" t="s">
        <v>28</v>
      </c>
      <c r="M1110" s="24">
        <v>36892</v>
      </c>
      <c r="N1110" s="24">
        <v>36892</v>
      </c>
      <c r="O1110" t="s">
        <v>26</v>
      </c>
      <c r="P1110" t="s">
        <v>26</v>
      </c>
      <c r="Q1110" t="s">
        <v>26</v>
      </c>
      <c r="R1110" t="s">
        <v>26</v>
      </c>
      <c r="S1110" t="s">
        <v>26</v>
      </c>
      <c r="T1110" t="s">
        <v>26</v>
      </c>
      <c r="U1110" t="s">
        <v>26</v>
      </c>
      <c r="V1110" t="s">
        <v>26</v>
      </c>
      <c r="W1110" s="24">
        <v>36892</v>
      </c>
      <c r="X1110" s="24">
        <v>36892</v>
      </c>
      <c r="Y1110" t="s">
        <v>26</v>
      </c>
      <c r="Z1110" s="24">
        <v>36892</v>
      </c>
      <c r="AA1110" s="24">
        <v>36892</v>
      </c>
      <c r="AB1110" t="s">
        <v>26</v>
      </c>
      <c r="AC1110" s="24">
        <v>36892</v>
      </c>
      <c r="AD1110" s="24">
        <v>36892</v>
      </c>
      <c r="AE1110" t="s">
        <v>26</v>
      </c>
      <c r="AF1110" t="s">
        <v>26</v>
      </c>
      <c r="AG1110" t="s">
        <v>26</v>
      </c>
      <c r="AH1110" t="s">
        <v>26</v>
      </c>
      <c r="AI1110" t="s">
        <v>26</v>
      </c>
      <c r="AJ1110" t="s">
        <v>26</v>
      </c>
      <c r="AK1110" t="s">
        <v>26</v>
      </c>
      <c r="AL1110" t="s">
        <v>26</v>
      </c>
      <c r="AM1110" t="s">
        <v>26</v>
      </c>
      <c r="AN1110" t="s">
        <v>26</v>
      </c>
      <c r="AO1110" s="25" t="s">
        <v>28</v>
      </c>
      <c r="AP1110" s="23" t="s">
        <v>29</v>
      </c>
      <c r="AQ1110" s="23" t="s">
        <v>30</v>
      </c>
      <c r="AR1110" s="23" t="s">
        <v>46</v>
      </c>
      <c r="AS1110" s="25">
        <v>6059435</v>
      </c>
      <c r="AT1110" t="s">
        <v>26</v>
      </c>
      <c r="AU1110" t="s">
        <v>23695</v>
      </c>
    </row>
    <row r="1111" spans="1:47" ht="13.15" x14ac:dyDescent="0.4">
      <c r="A1111" s="23" t="s">
        <v>2778</v>
      </c>
      <c r="B1111" t="s">
        <v>26</v>
      </c>
      <c r="C1111" s="23" t="s">
        <v>107</v>
      </c>
      <c r="D1111" s="23" t="s">
        <v>22194</v>
      </c>
      <c r="E1111" s="23" t="s">
        <v>42</v>
      </c>
      <c r="F1111" t="s">
        <v>26</v>
      </c>
      <c r="G1111" t="s">
        <v>26</v>
      </c>
      <c r="H1111" t="s">
        <v>26</v>
      </c>
      <c r="I1111" s="24">
        <v>38718</v>
      </c>
      <c r="J1111" s="24">
        <v>38718</v>
      </c>
      <c r="K1111" t="s">
        <v>26</v>
      </c>
      <c r="L1111" s="25" t="s">
        <v>28</v>
      </c>
      <c r="M1111" s="24">
        <v>38718</v>
      </c>
      <c r="N1111" s="24">
        <v>38718</v>
      </c>
      <c r="O1111" t="s">
        <v>26</v>
      </c>
      <c r="P1111" t="s">
        <v>26</v>
      </c>
      <c r="Q1111" t="s">
        <v>26</v>
      </c>
      <c r="R1111" t="s">
        <v>26</v>
      </c>
      <c r="S1111" t="s">
        <v>26</v>
      </c>
      <c r="T1111" t="s">
        <v>26</v>
      </c>
      <c r="U1111" t="s">
        <v>26</v>
      </c>
      <c r="V1111" t="s">
        <v>26</v>
      </c>
      <c r="W1111" s="24">
        <v>38718</v>
      </c>
      <c r="X1111" s="24">
        <v>38718</v>
      </c>
      <c r="Y1111" t="s">
        <v>26</v>
      </c>
      <c r="Z1111" s="24">
        <v>38718</v>
      </c>
      <c r="AA1111" s="24">
        <v>38718</v>
      </c>
      <c r="AB1111" t="s">
        <v>26</v>
      </c>
      <c r="AC1111" s="24">
        <v>38718</v>
      </c>
      <c r="AD1111" s="24">
        <v>38718</v>
      </c>
      <c r="AE1111" t="s">
        <v>26</v>
      </c>
      <c r="AF1111" t="s">
        <v>26</v>
      </c>
      <c r="AG1111" t="s">
        <v>26</v>
      </c>
      <c r="AH1111" t="s">
        <v>26</v>
      </c>
      <c r="AI1111" t="s">
        <v>26</v>
      </c>
      <c r="AJ1111" t="s">
        <v>26</v>
      </c>
      <c r="AK1111" t="s">
        <v>26</v>
      </c>
      <c r="AL1111" t="s">
        <v>26</v>
      </c>
      <c r="AM1111" t="s">
        <v>26</v>
      </c>
      <c r="AN1111" t="s">
        <v>26</v>
      </c>
      <c r="AO1111" s="25" t="s">
        <v>28</v>
      </c>
      <c r="AP1111" s="23" t="s">
        <v>29</v>
      </c>
      <c r="AQ1111" s="23" t="s">
        <v>30</v>
      </c>
      <c r="AR1111" s="23" t="s">
        <v>46</v>
      </c>
      <c r="AS1111" s="25">
        <v>6008984</v>
      </c>
      <c r="AT1111" t="s">
        <v>26</v>
      </c>
      <c r="AU1111" t="s">
        <v>23696</v>
      </c>
    </row>
    <row r="1112" spans="1:47" ht="39.4" x14ac:dyDescent="0.4">
      <c r="A1112" s="23" t="s">
        <v>2779</v>
      </c>
      <c r="B1112" s="23" t="s">
        <v>2780</v>
      </c>
      <c r="C1112" s="23" t="s">
        <v>59</v>
      </c>
      <c r="D1112" s="23" t="s">
        <v>22174</v>
      </c>
      <c r="E1112" s="23" t="s">
        <v>60</v>
      </c>
      <c r="F1112" t="s">
        <v>26</v>
      </c>
      <c r="G1112" t="s">
        <v>26</v>
      </c>
      <c r="H1112" s="25" t="s">
        <v>2781</v>
      </c>
      <c r="I1112" s="24">
        <v>38718</v>
      </c>
      <c r="J1112" s="24">
        <v>38718</v>
      </c>
      <c r="K1112" t="s">
        <v>26</v>
      </c>
      <c r="L1112" s="25" t="s">
        <v>28</v>
      </c>
      <c r="M1112" s="24">
        <v>38718</v>
      </c>
      <c r="N1112" s="24">
        <v>38718</v>
      </c>
      <c r="O1112" t="s">
        <v>26</v>
      </c>
      <c r="P1112" s="24">
        <v>38718</v>
      </c>
      <c r="Q1112" s="24">
        <v>38718</v>
      </c>
      <c r="R1112" t="s">
        <v>26</v>
      </c>
      <c r="S1112" t="s">
        <v>26</v>
      </c>
      <c r="T1112" t="s">
        <v>26</v>
      </c>
      <c r="U1112" t="s">
        <v>26</v>
      </c>
      <c r="V1112" t="s">
        <v>26</v>
      </c>
      <c r="W1112" s="24">
        <v>38718</v>
      </c>
      <c r="X1112" s="24">
        <v>38718</v>
      </c>
      <c r="Y1112" t="s">
        <v>26</v>
      </c>
      <c r="Z1112" s="24">
        <v>38718</v>
      </c>
      <c r="AA1112" s="24">
        <v>38718</v>
      </c>
      <c r="AB1112" t="s">
        <v>26</v>
      </c>
      <c r="AC1112" s="24">
        <v>38718</v>
      </c>
      <c r="AD1112" s="24">
        <v>38718</v>
      </c>
      <c r="AE1112" t="s">
        <v>26</v>
      </c>
      <c r="AF1112" t="s">
        <v>26</v>
      </c>
      <c r="AG1112" t="s">
        <v>26</v>
      </c>
      <c r="AH1112" t="s">
        <v>26</v>
      </c>
      <c r="AI1112" t="s">
        <v>26</v>
      </c>
      <c r="AJ1112" t="s">
        <v>26</v>
      </c>
      <c r="AK1112" t="s">
        <v>26</v>
      </c>
      <c r="AL1112" t="s">
        <v>26</v>
      </c>
      <c r="AM1112" t="s">
        <v>26</v>
      </c>
      <c r="AN1112" t="s">
        <v>26</v>
      </c>
      <c r="AO1112" s="25" t="s">
        <v>28</v>
      </c>
      <c r="AP1112" s="23" t="s">
        <v>29</v>
      </c>
      <c r="AQ1112" s="23" t="s">
        <v>30</v>
      </c>
      <c r="AR1112" s="23" t="s">
        <v>128</v>
      </c>
      <c r="AS1112" s="25">
        <v>105910</v>
      </c>
      <c r="AT1112" t="s">
        <v>26</v>
      </c>
      <c r="AU1112" t="s">
        <v>23697</v>
      </c>
    </row>
    <row r="1113" spans="1:47" ht="13.15" x14ac:dyDescent="0.4">
      <c r="A1113" s="23" t="s">
        <v>2782</v>
      </c>
      <c r="B1113" t="s">
        <v>26</v>
      </c>
      <c r="C1113" s="23" t="s">
        <v>107</v>
      </c>
      <c r="D1113" s="23" t="s">
        <v>22194</v>
      </c>
      <c r="E1113" s="23" t="s">
        <v>42</v>
      </c>
      <c r="F1113" t="s">
        <v>26</v>
      </c>
      <c r="G1113" t="s">
        <v>26</v>
      </c>
      <c r="H1113" t="s">
        <v>26</v>
      </c>
      <c r="I1113" s="24">
        <v>37257</v>
      </c>
      <c r="J1113" s="24">
        <v>37257</v>
      </c>
      <c r="K1113" t="s">
        <v>26</v>
      </c>
      <c r="L1113" s="25" t="s">
        <v>28</v>
      </c>
      <c r="M1113" s="24">
        <v>37257</v>
      </c>
      <c r="N1113" s="24">
        <v>37257</v>
      </c>
      <c r="O1113" t="s">
        <v>26</v>
      </c>
      <c r="P1113" t="s">
        <v>26</v>
      </c>
      <c r="Q1113" t="s">
        <v>26</v>
      </c>
      <c r="R1113" t="s">
        <v>26</v>
      </c>
      <c r="S1113" t="s">
        <v>26</v>
      </c>
      <c r="T1113" t="s">
        <v>26</v>
      </c>
      <c r="U1113" t="s">
        <v>26</v>
      </c>
      <c r="V1113" t="s">
        <v>26</v>
      </c>
      <c r="W1113" s="24">
        <v>37257</v>
      </c>
      <c r="X1113" s="24">
        <v>37257</v>
      </c>
      <c r="Y1113" t="s">
        <v>26</v>
      </c>
      <c r="Z1113" s="24">
        <v>37257</v>
      </c>
      <c r="AA1113" s="24">
        <v>37257</v>
      </c>
      <c r="AB1113" t="s">
        <v>26</v>
      </c>
      <c r="AC1113" s="24">
        <v>37257</v>
      </c>
      <c r="AD1113" s="24">
        <v>37257</v>
      </c>
      <c r="AE1113" t="s">
        <v>26</v>
      </c>
      <c r="AF1113" t="s">
        <v>26</v>
      </c>
      <c r="AG1113" t="s">
        <v>26</v>
      </c>
      <c r="AH1113" t="s">
        <v>26</v>
      </c>
      <c r="AI1113" t="s">
        <v>26</v>
      </c>
      <c r="AJ1113" t="s">
        <v>26</v>
      </c>
      <c r="AK1113" t="s">
        <v>26</v>
      </c>
      <c r="AL1113" t="s">
        <v>26</v>
      </c>
      <c r="AM1113" t="s">
        <v>26</v>
      </c>
      <c r="AN1113" t="s">
        <v>26</v>
      </c>
      <c r="AO1113" s="25" t="s">
        <v>28</v>
      </c>
      <c r="AP1113" s="23" t="s">
        <v>29</v>
      </c>
      <c r="AQ1113" s="23" t="s">
        <v>30</v>
      </c>
      <c r="AR1113" s="23" t="s">
        <v>46</v>
      </c>
      <c r="AS1113" s="25">
        <v>6059497</v>
      </c>
      <c r="AT1113" t="s">
        <v>26</v>
      </c>
      <c r="AU1113" t="s">
        <v>23698</v>
      </c>
    </row>
    <row r="1114" spans="1:47" ht="13.15" x14ac:dyDescent="0.4">
      <c r="A1114" s="23" t="s">
        <v>2783</v>
      </c>
      <c r="B1114" t="s">
        <v>26</v>
      </c>
      <c r="C1114" s="23" t="s">
        <v>107</v>
      </c>
      <c r="D1114" s="23" t="s">
        <v>22194</v>
      </c>
      <c r="E1114" s="23" t="s">
        <v>42</v>
      </c>
      <c r="F1114" t="s">
        <v>26</v>
      </c>
      <c r="G1114" t="s">
        <v>26</v>
      </c>
      <c r="H1114" t="s">
        <v>26</v>
      </c>
      <c r="I1114" s="24">
        <v>37622</v>
      </c>
      <c r="J1114" s="24">
        <v>37622</v>
      </c>
      <c r="K1114" t="s">
        <v>26</v>
      </c>
      <c r="L1114" s="25" t="s">
        <v>28</v>
      </c>
      <c r="M1114" s="24">
        <v>37622</v>
      </c>
      <c r="N1114" s="24">
        <v>37622</v>
      </c>
      <c r="O1114" t="s">
        <v>26</v>
      </c>
      <c r="P1114" t="s">
        <v>26</v>
      </c>
      <c r="Q1114" t="s">
        <v>26</v>
      </c>
      <c r="R1114" t="s">
        <v>26</v>
      </c>
      <c r="S1114" t="s">
        <v>26</v>
      </c>
      <c r="T1114" t="s">
        <v>26</v>
      </c>
      <c r="U1114" t="s">
        <v>26</v>
      </c>
      <c r="V1114" t="s">
        <v>26</v>
      </c>
      <c r="W1114" s="24">
        <v>37622</v>
      </c>
      <c r="X1114" s="24">
        <v>37622</v>
      </c>
      <c r="Y1114" t="s">
        <v>26</v>
      </c>
      <c r="Z1114" s="24">
        <v>37622</v>
      </c>
      <c r="AA1114" s="24">
        <v>37622</v>
      </c>
      <c r="AB1114" t="s">
        <v>26</v>
      </c>
      <c r="AC1114" s="24">
        <v>37622</v>
      </c>
      <c r="AD1114" s="24">
        <v>37622</v>
      </c>
      <c r="AE1114" t="s">
        <v>26</v>
      </c>
      <c r="AF1114" t="s">
        <v>26</v>
      </c>
      <c r="AG1114" t="s">
        <v>26</v>
      </c>
      <c r="AH1114" t="s">
        <v>26</v>
      </c>
      <c r="AI1114" t="s">
        <v>26</v>
      </c>
      <c r="AJ1114" t="s">
        <v>26</v>
      </c>
      <c r="AK1114" t="s">
        <v>26</v>
      </c>
      <c r="AL1114" t="s">
        <v>26</v>
      </c>
      <c r="AM1114" t="s">
        <v>26</v>
      </c>
      <c r="AN1114" t="s">
        <v>26</v>
      </c>
      <c r="AO1114" s="25" t="s">
        <v>28</v>
      </c>
      <c r="AP1114" s="23" t="s">
        <v>29</v>
      </c>
      <c r="AQ1114" s="23" t="s">
        <v>30</v>
      </c>
      <c r="AR1114" s="23" t="s">
        <v>46</v>
      </c>
      <c r="AS1114" s="25">
        <v>6059496</v>
      </c>
      <c r="AT1114" t="s">
        <v>26</v>
      </c>
      <c r="AU1114" t="s">
        <v>23699</v>
      </c>
    </row>
    <row r="1115" spans="1:47" ht="26.25" x14ac:dyDescent="0.4">
      <c r="A1115" s="23" t="s">
        <v>2784</v>
      </c>
      <c r="B1115" t="s">
        <v>26</v>
      </c>
      <c r="C1115" s="23" t="s">
        <v>107</v>
      </c>
      <c r="D1115" s="23" t="s">
        <v>22194</v>
      </c>
      <c r="E1115" s="23" t="s">
        <v>42</v>
      </c>
      <c r="F1115" t="s">
        <v>26</v>
      </c>
      <c r="G1115" t="s">
        <v>26</v>
      </c>
      <c r="H1115" t="s">
        <v>26</v>
      </c>
      <c r="I1115" s="24">
        <v>37622</v>
      </c>
      <c r="J1115" s="24">
        <v>37622</v>
      </c>
      <c r="K1115" t="s">
        <v>26</v>
      </c>
      <c r="L1115" s="25" t="s">
        <v>28</v>
      </c>
      <c r="M1115" s="24">
        <v>37622</v>
      </c>
      <c r="N1115" s="24">
        <v>37622</v>
      </c>
      <c r="O1115" t="s">
        <v>26</v>
      </c>
      <c r="P1115" t="s">
        <v>26</v>
      </c>
      <c r="Q1115" t="s">
        <v>26</v>
      </c>
      <c r="R1115" t="s">
        <v>26</v>
      </c>
      <c r="S1115" t="s">
        <v>26</v>
      </c>
      <c r="T1115" t="s">
        <v>26</v>
      </c>
      <c r="U1115" t="s">
        <v>26</v>
      </c>
      <c r="V1115" t="s">
        <v>26</v>
      </c>
      <c r="W1115" s="24">
        <v>37622</v>
      </c>
      <c r="X1115" s="24">
        <v>37622</v>
      </c>
      <c r="Y1115" t="s">
        <v>26</v>
      </c>
      <c r="Z1115" s="24">
        <v>37622</v>
      </c>
      <c r="AA1115" s="24">
        <v>37622</v>
      </c>
      <c r="AB1115" t="s">
        <v>26</v>
      </c>
      <c r="AC1115" s="24">
        <v>37622</v>
      </c>
      <c r="AD1115" s="24">
        <v>37622</v>
      </c>
      <c r="AE1115" t="s">
        <v>26</v>
      </c>
      <c r="AF1115" t="s">
        <v>26</v>
      </c>
      <c r="AG1115" t="s">
        <v>26</v>
      </c>
      <c r="AH1115" t="s">
        <v>26</v>
      </c>
      <c r="AI1115" t="s">
        <v>26</v>
      </c>
      <c r="AJ1115" t="s">
        <v>26</v>
      </c>
      <c r="AK1115" t="s">
        <v>26</v>
      </c>
      <c r="AL1115" t="s">
        <v>26</v>
      </c>
      <c r="AM1115" t="s">
        <v>26</v>
      </c>
      <c r="AN1115" t="s">
        <v>26</v>
      </c>
      <c r="AO1115" s="25" t="s">
        <v>28</v>
      </c>
      <c r="AP1115" s="23" t="s">
        <v>29</v>
      </c>
      <c r="AQ1115" s="23" t="s">
        <v>30</v>
      </c>
      <c r="AR1115" s="23" t="s">
        <v>46</v>
      </c>
      <c r="AS1115" s="25">
        <v>6059495</v>
      </c>
      <c r="AT1115" t="s">
        <v>26</v>
      </c>
      <c r="AU1115" t="s">
        <v>23700</v>
      </c>
    </row>
    <row r="1116" spans="1:47" ht="13.15" x14ac:dyDescent="0.4">
      <c r="A1116" s="23" t="s">
        <v>2785</v>
      </c>
      <c r="B1116" t="s">
        <v>26</v>
      </c>
      <c r="C1116" s="23" t="s">
        <v>107</v>
      </c>
      <c r="D1116" s="23" t="s">
        <v>22194</v>
      </c>
      <c r="E1116" s="23" t="s">
        <v>42</v>
      </c>
      <c r="F1116" t="s">
        <v>26</v>
      </c>
      <c r="G1116" t="s">
        <v>26</v>
      </c>
      <c r="H1116" t="s">
        <v>26</v>
      </c>
      <c r="I1116" s="24">
        <v>36892</v>
      </c>
      <c r="J1116" s="24">
        <v>36892</v>
      </c>
      <c r="K1116" t="s">
        <v>26</v>
      </c>
      <c r="L1116" s="25" t="s">
        <v>28</v>
      </c>
      <c r="M1116" s="24">
        <v>36892</v>
      </c>
      <c r="N1116" s="24">
        <v>36892</v>
      </c>
      <c r="O1116" t="s">
        <v>26</v>
      </c>
      <c r="P1116" t="s">
        <v>26</v>
      </c>
      <c r="Q1116" t="s">
        <v>26</v>
      </c>
      <c r="R1116" t="s">
        <v>26</v>
      </c>
      <c r="S1116" t="s">
        <v>26</v>
      </c>
      <c r="T1116" t="s">
        <v>26</v>
      </c>
      <c r="U1116" t="s">
        <v>26</v>
      </c>
      <c r="V1116" t="s">
        <v>26</v>
      </c>
      <c r="W1116" s="24">
        <v>36892</v>
      </c>
      <c r="X1116" s="24">
        <v>36892</v>
      </c>
      <c r="Y1116" t="s">
        <v>26</v>
      </c>
      <c r="Z1116" s="24">
        <v>36892</v>
      </c>
      <c r="AA1116" s="24">
        <v>36892</v>
      </c>
      <c r="AB1116" t="s">
        <v>26</v>
      </c>
      <c r="AC1116" s="24">
        <v>36892</v>
      </c>
      <c r="AD1116" s="24">
        <v>36892</v>
      </c>
      <c r="AE1116" t="s">
        <v>26</v>
      </c>
      <c r="AF1116" t="s">
        <v>26</v>
      </c>
      <c r="AG1116" t="s">
        <v>26</v>
      </c>
      <c r="AH1116" t="s">
        <v>26</v>
      </c>
      <c r="AI1116" t="s">
        <v>26</v>
      </c>
      <c r="AJ1116" t="s">
        <v>26</v>
      </c>
      <c r="AK1116" t="s">
        <v>26</v>
      </c>
      <c r="AL1116" t="s">
        <v>26</v>
      </c>
      <c r="AM1116" t="s">
        <v>26</v>
      </c>
      <c r="AN1116" t="s">
        <v>26</v>
      </c>
      <c r="AO1116" s="25" t="s">
        <v>28</v>
      </c>
      <c r="AP1116" s="23" t="s">
        <v>29</v>
      </c>
      <c r="AQ1116" s="23" t="s">
        <v>30</v>
      </c>
      <c r="AR1116" s="23" t="s">
        <v>46</v>
      </c>
      <c r="AS1116" s="25">
        <v>6059494</v>
      </c>
      <c r="AT1116" t="s">
        <v>26</v>
      </c>
      <c r="AU1116" t="s">
        <v>23701</v>
      </c>
    </row>
    <row r="1117" spans="1:47" ht="26.25" x14ac:dyDescent="0.4">
      <c r="A1117" s="23" t="s">
        <v>2786</v>
      </c>
      <c r="B1117" t="s">
        <v>26</v>
      </c>
      <c r="C1117" s="23" t="s">
        <v>107</v>
      </c>
      <c r="D1117" s="23" t="s">
        <v>22194</v>
      </c>
      <c r="E1117" s="23" t="s">
        <v>42</v>
      </c>
      <c r="F1117" t="s">
        <v>26</v>
      </c>
      <c r="G1117" t="s">
        <v>26</v>
      </c>
      <c r="H1117" t="s">
        <v>26</v>
      </c>
      <c r="I1117" s="24">
        <v>37987</v>
      </c>
      <c r="J1117" s="24">
        <v>37987</v>
      </c>
      <c r="K1117" t="s">
        <v>26</v>
      </c>
      <c r="L1117" s="25" t="s">
        <v>28</v>
      </c>
      <c r="M1117" s="24">
        <v>37987</v>
      </c>
      <c r="N1117" s="24">
        <v>37987</v>
      </c>
      <c r="O1117" t="s">
        <v>26</v>
      </c>
      <c r="P1117" t="s">
        <v>26</v>
      </c>
      <c r="Q1117" t="s">
        <v>26</v>
      </c>
      <c r="R1117" t="s">
        <v>26</v>
      </c>
      <c r="S1117" t="s">
        <v>26</v>
      </c>
      <c r="T1117" t="s">
        <v>26</v>
      </c>
      <c r="U1117" t="s">
        <v>26</v>
      </c>
      <c r="V1117" t="s">
        <v>26</v>
      </c>
      <c r="W1117" s="24">
        <v>37987</v>
      </c>
      <c r="X1117" s="24">
        <v>37987</v>
      </c>
      <c r="Y1117" t="s">
        <v>26</v>
      </c>
      <c r="Z1117" s="24">
        <v>37987</v>
      </c>
      <c r="AA1117" s="24">
        <v>37987</v>
      </c>
      <c r="AB1117" t="s">
        <v>26</v>
      </c>
      <c r="AC1117" s="24">
        <v>37987</v>
      </c>
      <c r="AD1117" s="24">
        <v>37987</v>
      </c>
      <c r="AE1117" t="s">
        <v>26</v>
      </c>
      <c r="AF1117" t="s">
        <v>26</v>
      </c>
      <c r="AG1117" t="s">
        <v>26</v>
      </c>
      <c r="AH1117" t="s">
        <v>26</v>
      </c>
      <c r="AI1117" t="s">
        <v>26</v>
      </c>
      <c r="AJ1117" t="s">
        <v>26</v>
      </c>
      <c r="AK1117" t="s">
        <v>26</v>
      </c>
      <c r="AL1117" t="s">
        <v>26</v>
      </c>
      <c r="AM1117" t="s">
        <v>26</v>
      </c>
      <c r="AN1117" t="s">
        <v>26</v>
      </c>
      <c r="AO1117" s="25" t="s">
        <v>28</v>
      </c>
      <c r="AP1117" s="23" t="s">
        <v>29</v>
      </c>
      <c r="AQ1117" s="23" t="s">
        <v>30</v>
      </c>
      <c r="AR1117" s="23" t="s">
        <v>46</v>
      </c>
      <c r="AS1117" s="25">
        <v>6059434</v>
      </c>
      <c r="AT1117" t="s">
        <v>26</v>
      </c>
      <c r="AU1117" t="s">
        <v>23702</v>
      </c>
    </row>
    <row r="1118" spans="1:47" ht="13.15" x14ac:dyDescent="0.4">
      <c r="A1118" s="23" t="s">
        <v>2787</v>
      </c>
      <c r="B1118" t="s">
        <v>26</v>
      </c>
      <c r="C1118" s="23" t="s">
        <v>107</v>
      </c>
      <c r="D1118" s="23" t="s">
        <v>22194</v>
      </c>
      <c r="E1118" s="23" t="s">
        <v>42</v>
      </c>
      <c r="F1118" t="s">
        <v>26</v>
      </c>
      <c r="G1118" t="s">
        <v>26</v>
      </c>
      <c r="H1118" t="s">
        <v>26</v>
      </c>
      <c r="I1118" s="24">
        <v>37987</v>
      </c>
      <c r="J1118" s="24">
        <v>37987</v>
      </c>
      <c r="K1118" t="s">
        <v>26</v>
      </c>
      <c r="L1118" s="25" t="s">
        <v>28</v>
      </c>
      <c r="M1118" s="24">
        <v>37987</v>
      </c>
      <c r="N1118" s="24">
        <v>37987</v>
      </c>
      <c r="O1118" t="s">
        <v>26</v>
      </c>
      <c r="P1118" t="s">
        <v>26</v>
      </c>
      <c r="Q1118" t="s">
        <v>26</v>
      </c>
      <c r="R1118" t="s">
        <v>26</v>
      </c>
      <c r="S1118" t="s">
        <v>26</v>
      </c>
      <c r="T1118" t="s">
        <v>26</v>
      </c>
      <c r="U1118" t="s">
        <v>26</v>
      </c>
      <c r="V1118" t="s">
        <v>26</v>
      </c>
      <c r="W1118" s="24">
        <v>37987</v>
      </c>
      <c r="X1118" s="24">
        <v>37987</v>
      </c>
      <c r="Y1118" t="s">
        <v>26</v>
      </c>
      <c r="Z1118" s="24">
        <v>37987</v>
      </c>
      <c r="AA1118" s="24">
        <v>37987</v>
      </c>
      <c r="AB1118" t="s">
        <v>26</v>
      </c>
      <c r="AC1118" s="24">
        <v>37987</v>
      </c>
      <c r="AD1118" s="24">
        <v>37987</v>
      </c>
      <c r="AE1118" t="s">
        <v>26</v>
      </c>
      <c r="AF1118" t="s">
        <v>26</v>
      </c>
      <c r="AG1118" t="s">
        <v>26</v>
      </c>
      <c r="AH1118" t="s">
        <v>26</v>
      </c>
      <c r="AI1118" t="s">
        <v>26</v>
      </c>
      <c r="AJ1118" t="s">
        <v>26</v>
      </c>
      <c r="AK1118" t="s">
        <v>26</v>
      </c>
      <c r="AL1118" t="s">
        <v>26</v>
      </c>
      <c r="AM1118" t="s">
        <v>26</v>
      </c>
      <c r="AN1118" t="s">
        <v>26</v>
      </c>
      <c r="AO1118" s="25" t="s">
        <v>28</v>
      </c>
      <c r="AP1118" s="23" t="s">
        <v>29</v>
      </c>
      <c r="AQ1118" s="23" t="s">
        <v>30</v>
      </c>
      <c r="AR1118" s="23" t="s">
        <v>46</v>
      </c>
      <c r="AS1118" s="25">
        <v>6059493</v>
      </c>
      <c r="AT1118" t="s">
        <v>26</v>
      </c>
      <c r="AU1118" t="s">
        <v>23703</v>
      </c>
    </row>
    <row r="1119" spans="1:47" ht="13.15" x14ac:dyDescent="0.4">
      <c r="A1119" s="23" t="s">
        <v>2788</v>
      </c>
      <c r="B1119" t="s">
        <v>26</v>
      </c>
      <c r="C1119" s="23" t="s">
        <v>1481</v>
      </c>
      <c r="D1119" s="23" t="s">
        <v>22174</v>
      </c>
      <c r="E1119" s="23" t="s">
        <v>60</v>
      </c>
      <c r="F1119" t="s">
        <v>26</v>
      </c>
      <c r="G1119" t="s">
        <v>26</v>
      </c>
      <c r="H1119" t="s">
        <v>26</v>
      </c>
      <c r="I1119" s="24">
        <v>34700</v>
      </c>
      <c r="J1119" s="24">
        <v>34700</v>
      </c>
      <c r="K1119" t="s">
        <v>26</v>
      </c>
      <c r="L1119" s="25" t="s">
        <v>28</v>
      </c>
      <c r="M1119" t="s">
        <v>26</v>
      </c>
      <c r="N1119" t="s">
        <v>26</v>
      </c>
      <c r="O1119" t="s">
        <v>26</v>
      </c>
      <c r="P1119" s="24">
        <v>34700</v>
      </c>
      <c r="Q1119" s="24">
        <v>34700</v>
      </c>
      <c r="R1119" t="s">
        <v>26</v>
      </c>
      <c r="S1119" t="s">
        <v>26</v>
      </c>
      <c r="T1119" t="s">
        <v>26</v>
      </c>
      <c r="U1119" t="s">
        <v>26</v>
      </c>
      <c r="V1119" t="s">
        <v>26</v>
      </c>
      <c r="W1119" s="24">
        <v>34700</v>
      </c>
      <c r="X1119" s="24">
        <v>34700</v>
      </c>
      <c r="Y1119" t="s">
        <v>26</v>
      </c>
      <c r="Z1119" s="24">
        <v>34700</v>
      </c>
      <c r="AA1119" s="24">
        <v>34700</v>
      </c>
      <c r="AB1119" t="s">
        <v>26</v>
      </c>
      <c r="AC1119" t="s">
        <v>26</v>
      </c>
      <c r="AD1119" t="s">
        <v>26</v>
      </c>
      <c r="AE1119" t="s">
        <v>26</v>
      </c>
      <c r="AF1119" t="s">
        <v>26</v>
      </c>
      <c r="AG1119" t="s">
        <v>26</v>
      </c>
      <c r="AH1119" t="s">
        <v>26</v>
      </c>
      <c r="AI1119" t="s">
        <v>26</v>
      </c>
      <c r="AJ1119" t="s">
        <v>26</v>
      </c>
      <c r="AK1119" t="s">
        <v>26</v>
      </c>
      <c r="AL1119" t="s">
        <v>26</v>
      </c>
      <c r="AM1119" t="s">
        <v>26</v>
      </c>
      <c r="AN1119" t="s">
        <v>26</v>
      </c>
      <c r="AO1119" s="25" t="s">
        <v>28</v>
      </c>
      <c r="AP1119" s="23" t="s">
        <v>29</v>
      </c>
      <c r="AQ1119" s="23" t="s">
        <v>30</v>
      </c>
      <c r="AR1119" s="23" t="s">
        <v>44</v>
      </c>
      <c r="AS1119" s="25">
        <v>5488557</v>
      </c>
      <c r="AT1119" s="23" t="s">
        <v>22181</v>
      </c>
      <c r="AU1119" t="s">
        <v>23704</v>
      </c>
    </row>
    <row r="1120" spans="1:47" ht="13.15" x14ac:dyDescent="0.4">
      <c r="A1120" s="23" t="s">
        <v>2789</v>
      </c>
      <c r="B1120" t="s">
        <v>26</v>
      </c>
      <c r="C1120" s="23" t="s">
        <v>107</v>
      </c>
      <c r="D1120" s="23" t="s">
        <v>22194</v>
      </c>
      <c r="E1120" s="23" t="s">
        <v>42</v>
      </c>
      <c r="F1120" t="s">
        <v>26</v>
      </c>
      <c r="G1120" t="s">
        <v>26</v>
      </c>
      <c r="H1120" t="s">
        <v>26</v>
      </c>
      <c r="I1120" s="24">
        <v>37622</v>
      </c>
      <c r="J1120" s="24">
        <v>37622</v>
      </c>
      <c r="K1120" t="s">
        <v>26</v>
      </c>
      <c r="L1120" s="25" t="s">
        <v>28</v>
      </c>
      <c r="M1120" s="24">
        <v>37622</v>
      </c>
      <c r="N1120" s="24">
        <v>37622</v>
      </c>
      <c r="O1120" t="s">
        <v>26</v>
      </c>
      <c r="P1120" t="s">
        <v>26</v>
      </c>
      <c r="Q1120" t="s">
        <v>26</v>
      </c>
      <c r="R1120" t="s">
        <v>26</v>
      </c>
      <c r="S1120" t="s">
        <v>26</v>
      </c>
      <c r="T1120" t="s">
        <v>26</v>
      </c>
      <c r="U1120" t="s">
        <v>26</v>
      </c>
      <c r="V1120" t="s">
        <v>26</v>
      </c>
      <c r="W1120" s="24">
        <v>37622</v>
      </c>
      <c r="X1120" s="24">
        <v>37622</v>
      </c>
      <c r="Y1120" t="s">
        <v>26</v>
      </c>
      <c r="Z1120" s="24">
        <v>37622</v>
      </c>
      <c r="AA1120" s="24">
        <v>37622</v>
      </c>
      <c r="AB1120" t="s">
        <v>26</v>
      </c>
      <c r="AC1120" s="24">
        <v>37622</v>
      </c>
      <c r="AD1120" s="24">
        <v>37622</v>
      </c>
      <c r="AE1120" t="s">
        <v>26</v>
      </c>
      <c r="AF1120" t="s">
        <v>26</v>
      </c>
      <c r="AG1120" t="s">
        <v>26</v>
      </c>
      <c r="AH1120" t="s">
        <v>26</v>
      </c>
      <c r="AI1120" t="s">
        <v>26</v>
      </c>
      <c r="AJ1120" t="s">
        <v>26</v>
      </c>
      <c r="AK1120" t="s">
        <v>26</v>
      </c>
      <c r="AL1120" t="s">
        <v>26</v>
      </c>
      <c r="AM1120" t="s">
        <v>26</v>
      </c>
      <c r="AN1120" t="s">
        <v>26</v>
      </c>
      <c r="AO1120" s="25" t="s">
        <v>28</v>
      </c>
      <c r="AP1120" s="23" t="s">
        <v>29</v>
      </c>
      <c r="AQ1120" s="23" t="s">
        <v>30</v>
      </c>
      <c r="AR1120" s="23" t="s">
        <v>46</v>
      </c>
      <c r="AS1120" s="25">
        <v>6059492</v>
      </c>
      <c r="AT1120" t="s">
        <v>26</v>
      </c>
      <c r="AU1120" t="s">
        <v>23705</v>
      </c>
    </row>
    <row r="1121" spans="1:47" ht="13.15" x14ac:dyDescent="0.4">
      <c r="A1121" s="23" t="s">
        <v>2790</v>
      </c>
      <c r="B1121" t="s">
        <v>26</v>
      </c>
      <c r="C1121" s="23" t="s">
        <v>107</v>
      </c>
      <c r="D1121" s="23" t="s">
        <v>22194</v>
      </c>
      <c r="E1121" s="23" t="s">
        <v>42</v>
      </c>
      <c r="F1121" t="s">
        <v>26</v>
      </c>
      <c r="G1121" t="s">
        <v>26</v>
      </c>
      <c r="H1121" t="s">
        <v>26</v>
      </c>
      <c r="I1121" s="24">
        <v>36526</v>
      </c>
      <c r="J1121" s="24">
        <v>36526</v>
      </c>
      <c r="K1121" t="s">
        <v>26</v>
      </c>
      <c r="L1121" s="25" t="s">
        <v>28</v>
      </c>
      <c r="M1121" s="24">
        <v>36526</v>
      </c>
      <c r="N1121" s="24">
        <v>36526</v>
      </c>
      <c r="O1121" t="s">
        <v>26</v>
      </c>
      <c r="P1121" t="s">
        <v>26</v>
      </c>
      <c r="Q1121" t="s">
        <v>26</v>
      </c>
      <c r="R1121" t="s">
        <v>26</v>
      </c>
      <c r="S1121" t="s">
        <v>26</v>
      </c>
      <c r="T1121" t="s">
        <v>26</v>
      </c>
      <c r="U1121" t="s">
        <v>26</v>
      </c>
      <c r="V1121" t="s">
        <v>26</v>
      </c>
      <c r="W1121" s="24">
        <v>36526</v>
      </c>
      <c r="X1121" s="24">
        <v>36526</v>
      </c>
      <c r="Y1121" t="s">
        <v>26</v>
      </c>
      <c r="Z1121" s="24">
        <v>36526</v>
      </c>
      <c r="AA1121" s="24">
        <v>36526</v>
      </c>
      <c r="AB1121" t="s">
        <v>26</v>
      </c>
      <c r="AC1121" s="24">
        <v>36526</v>
      </c>
      <c r="AD1121" s="24">
        <v>36526</v>
      </c>
      <c r="AE1121" t="s">
        <v>26</v>
      </c>
      <c r="AF1121" t="s">
        <v>26</v>
      </c>
      <c r="AG1121" t="s">
        <v>26</v>
      </c>
      <c r="AH1121" t="s">
        <v>26</v>
      </c>
      <c r="AI1121" t="s">
        <v>26</v>
      </c>
      <c r="AJ1121" t="s">
        <v>26</v>
      </c>
      <c r="AK1121" t="s">
        <v>26</v>
      </c>
      <c r="AL1121" t="s">
        <v>26</v>
      </c>
      <c r="AM1121" t="s">
        <v>26</v>
      </c>
      <c r="AN1121" t="s">
        <v>26</v>
      </c>
      <c r="AO1121" s="25" t="s">
        <v>28</v>
      </c>
      <c r="AP1121" s="23" t="s">
        <v>29</v>
      </c>
      <c r="AQ1121" s="23" t="s">
        <v>30</v>
      </c>
      <c r="AR1121" s="23" t="s">
        <v>46</v>
      </c>
      <c r="AS1121" s="25">
        <v>6059433</v>
      </c>
      <c r="AT1121" t="s">
        <v>26</v>
      </c>
      <c r="AU1121" t="s">
        <v>23706</v>
      </c>
    </row>
    <row r="1122" spans="1:47" ht="13.15" x14ac:dyDescent="0.4">
      <c r="A1122" s="23" t="s">
        <v>2791</v>
      </c>
      <c r="B1122" t="s">
        <v>26</v>
      </c>
      <c r="C1122" s="23" t="s">
        <v>107</v>
      </c>
      <c r="D1122" s="23" t="s">
        <v>22194</v>
      </c>
      <c r="E1122" s="23" t="s">
        <v>42</v>
      </c>
      <c r="F1122" t="s">
        <v>26</v>
      </c>
      <c r="G1122" t="s">
        <v>26</v>
      </c>
      <c r="H1122" t="s">
        <v>26</v>
      </c>
      <c r="I1122" s="24">
        <v>36526</v>
      </c>
      <c r="J1122" s="24">
        <v>36526</v>
      </c>
      <c r="K1122" t="s">
        <v>26</v>
      </c>
      <c r="L1122" s="25" t="s">
        <v>28</v>
      </c>
      <c r="M1122" s="24">
        <v>36526</v>
      </c>
      <c r="N1122" s="24">
        <v>36526</v>
      </c>
      <c r="O1122" t="s">
        <v>26</v>
      </c>
      <c r="P1122" t="s">
        <v>26</v>
      </c>
      <c r="Q1122" t="s">
        <v>26</v>
      </c>
      <c r="R1122" t="s">
        <v>26</v>
      </c>
      <c r="S1122" t="s">
        <v>26</v>
      </c>
      <c r="T1122" t="s">
        <v>26</v>
      </c>
      <c r="U1122" t="s">
        <v>26</v>
      </c>
      <c r="V1122" t="s">
        <v>26</v>
      </c>
      <c r="W1122" s="24">
        <v>36526</v>
      </c>
      <c r="X1122" s="24">
        <v>36526</v>
      </c>
      <c r="Y1122" t="s">
        <v>26</v>
      </c>
      <c r="Z1122" s="24">
        <v>36526</v>
      </c>
      <c r="AA1122" s="24">
        <v>36526</v>
      </c>
      <c r="AB1122" t="s">
        <v>26</v>
      </c>
      <c r="AC1122" s="24">
        <v>36526</v>
      </c>
      <c r="AD1122" s="24">
        <v>36526</v>
      </c>
      <c r="AE1122" t="s">
        <v>26</v>
      </c>
      <c r="AF1122" t="s">
        <v>26</v>
      </c>
      <c r="AG1122" t="s">
        <v>26</v>
      </c>
      <c r="AH1122" t="s">
        <v>26</v>
      </c>
      <c r="AI1122" t="s">
        <v>26</v>
      </c>
      <c r="AJ1122" t="s">
        <v>26</v>
      </c>
      <c r="AK1122" t="s">
        <v>26</v>
      </c>
      <c r="AL1122" t="s">
        <v>26</v>
      </c>
      <c r="AM1122" t="s">
        <v>26</v>
      </c>
      <c r="AN1122" t="s">
        <v>26</v>
      </c>
      <c r="AO1122" s="25" t="s">
        <v>28</v>
      </c>
      <c r="AP1122" s="23" t="s">
        <v>29</v>
      </c>
      <c r="AQ1122" s="23" t="s">
        <v>30</v>
      </c>
      <c r="AR1122" s="23" t="s">
        <v>46</v>
      </c>
      <c r="AS1122" s="25">
        <v>6059432</v>
      </c>
      <c r="AT1122" t="s">
        <v>26</v>
      </c>
      <c r="AU1122" t="s">
        <v>23707</v>
      </c>
    </row>
    <row r="1123" spans="1:47" ht="13.15" x14ac:dyDescent="0.4">
      <c r="A1123" s="23" t="s">
        <v>2792</v>
      </c>
      <c r="B1123" t="s">
        <v>26</v>
      </c>
      <c r="C1123" s="23" t="s">
        <v>107</v>
      </c>
      <c r="D1123" s="23" t="s">
        <v>22194</v>
      </c>
      <c r="E1123" s="23" t="s">
        <v>42</v>
      </c>
      <c r="F1123" t="s">
        <v>26</v>
      </c>
      <c r="G1123" t="s">
        <v>26</v>
      </c>
      <c r="H1123" t="s">
        <v>26</v>
      </c>
      <c r="I1123" s="24">
        <v>36892</v>
      </c>
      <c r="J1123" s="24">
        <v>36892</v>
      </c>
      <c r="K1123" t="s">
        <v>26</v>
      </c>
      <c r="L1123" s="25" t="s">
        <v>28</v>
      </c>
      <c r="M1123" s="24">
        <v>36892</v>
      </c>
      <c r="N1123" s="24">
        <v>36892</v>
      </c>
      <c r="O1123" t="s">
        <v>26</v>
      </c>
      <c r="P1123" t="s">
        <v>26</v>
      </c>
      <c r="Q1123" t="s">
        <v>26</v>
      </c>
      <c r="R1123" t="s">
        <v>26</v>
      </c>
      <c r="S1123" t="s">
        <v>26</v>
      </c>
      <c r="T1123" t="s">
        <v>26</v>
      </c>
      <c r="U1123" t="s">
        <v>26</v>
      </c>
      <c r="V1123" t="s">
        <v>26</v>
      </c>
      <c r="W1123" s="24">
        <v>36892</v>
      </c>
      <c r="X1123" s="24">
        <v>36892</v>
      </c>
      <c r="Y1123" t="s">
        <v>26</v>
      </c>
      <c r="Z1123" s="24">
        <v>36892</v>
      </c>
      <c r="AA1123" s="24">
        <v>36892</v>
      </c>
      <c r="AB1123" t="s">
        <v>26</v>
      </c>
      <c r="AC1123" s="24">
        <v>36892</v>
      </c>
      <c r="AD1123" s="24">
        <v>36892</v>
      </c>
      <c r="AE1123" t="s">
        <v>26</v>
      </c>
      <c r="AF1123" t="s">
        <v>26</v>
      </c>
      <c r="AG1123" t="s">
        <v>26</v>
      </c>
      <c r="AH1123" t="s">
        <v>26</v>
      </c>
      <c r="AI1123" t="s">
        <v>26</v>
      </c>
      <c r="AJ1123" t="s">
        <v>26</v>
      </c>
      <c r="AK1123" t="s">
        <v>26</v>
      </c>
      <c r="AL1123" t="s">
        <v>26</v>
      </c>
      <c r="AM1123" t="s">
        <v>26</v>
      </c>
      <c r="AN1123" t="s">
        <v>26</v>
      </c>
      <c r="AO1123" s="25" t="s">
        <v>28</v>
      </c>
      <c r="AP1123" s="23" t="s">
        <v>29</v>
      </c>
      <c r="AQ1123" s="23" t="s">
        <v>30</v>
      </c>
      <c r="AR1123" s="23" t="s">
        <v>46</v>
      </c>
      <c r="AS1123" s="25">
        <v>6059431</v>
      </c>
      <c r="AT1123" t="s">
        <v>26</v>
      </c>
      <c r="AU1123" t="s">
        <v>23708</v>
      </c>
    </row>
    <row r="1124" spans="1:47" ht="26.25" x14ac:dyDescent="0.4">
      <c r="A1124" s="23" t="s">
        <v>2793</v>
      </c>
      <c r="B1124" t="s">
        <v>26</v>
      </c>
      <c r="C1124" s="23" t="s">
        <v>107</v>
      </c>
      <c r="D1124" s="23" t="s">
        <v>22194</v>
      </c>
      <c r="E1124" s="23" t="s">
        <v>42</v>
      </c>
      <c r="F1124" t="s">
        <v>26</v>
      </c>
      <c r="G1124" t="s">
        <v>26</v>
      </c>
      <c r="H1124" t="s">
        <v>26</v>
      </c>
      <c r="I1124" s="24">
        <v>36526</v>
      </c>
      <c r="J1124" s="24">
        <v>36526</v>
      </c>
      <c r="K1124" t="s">
        <v>26</v>
      </c>
      <c r="L1124" s="25" t="s">
        <v>28</v>
      </c>
      <c r="M1124" s="24">
        <v>36526</v>
      </c>
      <c r="N1124" s="24">
        <v>36526</v>
      </c>
      <c r="O1124" t="s">
        <v>26</v>
      </c>
      <c r="P1124" t="s">
        <v>26</v>
      </c>
      <c r="Q1124" t="s">
        <v>26</v>
      </c>
      <c r="R1124" t="s">
        <v>26</v>
      </c>
      <c r="S1124" t="s">
        <v>26</v>
      </c>
      <c r="T1124" t="s">
        <v>26</v>
      </c>
      <c r="U1124" t="s">
        <v>26</v>
      </c>
      <c r="V1124" t="s">
        <v>26</v>
      </c>
      <c r="W1124" s="24">
        <v>36526</v>
      </c>
      <c r="X1124" s="24">
        <v>36526</v>
      </c>
      <c r="Y1124" t="s">
        <v>26</v>
      </c>
      <c r="Z1124" s="24">
        <v>36526</v>
      </c>
      <c r="AA1124" s="24">
        <v>36526</v>
      </c>
      <c r="AB1124" t="s">
        <v>26</v>
      </c>
      <c r="AC1124" s="24">
        <v>36526</v>
      </c>
      <c r="AD1124" s="24">
        <v>36526</v>
      </c>
      <c r="AE1124" t="s">
        <v>26</v>
      </c>
      <c r="AF1124" t="s">
        <v>26</v>
      </c>
      <c r="AG1124" t="s">
        <v>26</v>
      </c>
      <c r="AH1124" t="s">
        <v>26</v>
      </c>
      <c r="AI1124" t="s">
        <v>26</v>
      </c>
      <c r="AJ1124" t="s">
        <v>26</v>
      </c>
      <c r="AK1124" t="s">
        <v>26</v>
      </c>
      <c r="AL1124" t="s">
        <v>26</v>
      </c>
      <c r="AM1124" t="s">
        <v>26</v>
      </c>
      <c r="AN1124" t="s">
        <v>26</v>
      </c>
      <c r="AO1124" s="25" t="s">
        <v>28</v>
      </c>
      <c r="AP1124" s="23" t="s">
        <v>29</v>
      </c>
      <c r="AQ1124" s="23" t="s">
        <v>30</v>
      </c>
      <c r="AR1124" s="23" t="s">
        <v>46</v>
      </c>
      <c r="AS1124" s="25">
        <v>6059491</v>
      </c>
      <c r="AT1124" t="s">
        <v>26</v>
      </c>
      <c r="AU1124" t="s">
        <v>23709</v>
      </c>
    </row>
    <row r="1125" spans="1:47" ht="26.25" x14ac:dyDescent="0.4">
      <c r="A1125" s="23" t="s">
        <v>2794</v>
      </c>
      <c r="B1125" t="s">
        <v>26</v>
      </c>
      <c r="C1125" s="23" t="s">
        <v>59</v>
      </c>
      <c r="D1125" s="23" t="s">
        <v>22174</v>
      </c>
      <c r="E1125" s="23" t="s">
        <v>60</v>
      </c>
      <c r="F1125" t="s">
        <v>26</v>
      </c>
      <c r="G1125" t="s">
        <v>26</v>
      </c>
      <c r="H1125" s="25" t="s">
        <v>2795</v>
      </c>
      <c r="I1125" s="24">
        <v>40909</v>
      </c>
      <c r="J1125" s="24">
        <v>40909</v>
      </c>
      <c r="K1125" t="s">
        <v>26</v>
      </c>
      <c r="L1125" s="25" t="s">
        <v>28</v>
      </c>
      <c r="M1125" s="24">
        <v>40909</v>
      </c>
      <c r="N1125" s="24">
        <v>40909</v>
      </c>
      <c r="O1125" t="s">
        <v>26</v>
      </c>
      <c r="P1125" s="24">
        <v>40909</v>
      </c>
      <c r="Q1125" s="24">
        <v>40909</v>
      </c>
      <c r="R1125" t="s">
        <v>26</v>
      </c>
      <c r="S1125" t="s">
        <v>26</v>
      </c>
      <c r="T1125" t="s">
        <v>26</v>
      </c>
      <c r="U1125" t="s">
        <v>26</v>
      </c>
      <c r="V1125" t="s">
        <v>26</v>
      </c>
      <c r="W1125" s="24">
        <v>40909</v>
      </c>
      <c r="X1125" s="24">
        <v>40909</v>
      </c>
      <c r="Y1125" t="s">
        <v>26</v>
      </c>
      <c r="Z1125" s="24">
        <v>40909</v>
      </c>
      <c r="AA1125" s="24">
        <v>40909</v>
      </c>
      <c r="AB1125" t="s">
        <v>26</v>
      </c>
      <c r="AC1125" s="24">
        <v>40909</v>
      </c>
      <c r="AD1125" s="24">
        <v>40909</v>
      </c>
      <c r="AE1125" t="s">
        <v>26</v>
      </c>
      <c r="AF1125" t="s">
        <v>26</v>
      </c>
      <c r="AG1125" t="s">
        <v>26</v>
      </c>
      <c r="AH1125" t="s">
        <v>26</v>
      </c>
      <c r="AI1125" t="s">
        <v>26</v>
      </c>
      <c r="AJ1125" t="s">
        <v>26</v>
      </c>
      <c r="AK1125" t="s">
        <v>26</v>
      </c>
      <c r="AL1125" t="s">
        <v>26</v>
      </c>
      <c r="AM1125" t="s">
        <v>26</v>
      </c>
      <c r="AN1125" t="s">
        <v>26</v>
      </c>
      <c r="AO1125" s="25" t="s">
        <v>28</v>
      </c>
      <c r="AP1125" s="23" t="s">
        <v>29</v>
      </c>
      <c r="AQ1125" s="23" t="s">
        <v>30</v>
      </c>
      <c r="AR1125" s="23" t="s">
        <v>1688</v>
      </c>
      <c r="AS1125" s="25">
        <v>2043197</v>
      </c>
      <c r="AT1125" t="s">
        <v>26</v>
      </c>
      <c r="AU1125" t="s">
        <v>23710</v>
      </c>
    </row>
    <row r="1126" spans="1:47" ht="26.25" x14ac:dyDescent="0.4">
      <c r="A1126" s="23" t="s">
        <v>2796</v>
      </c>
      <c r="B1126" t="s">
        <v>26</v>
      </c>
      <c r="C1126" s="23" t="s">
        <v>167</v>
      </c>
      <c r="D1126" s="23" t="s">
        <v>22218</v>
      </c>
      <c r="E1126" s="23" t="s">
        <v>60</v>
      </c>
      <c r="F1126" t="s">
        <v>26</v>
      </c>
      <c r="G1126" t="s">
        <v>26</v>
      </c>
      <c r="H1126" t="s">
        <v>26</v>
      </c>
      <c r="I1126" s="24">
        <v>39448</v>
      </c>
      <c r="J1126" s="24">
        <v>39448</v>
      </c>
      <c r="K1126" t="s">
        <v>26</v>
      </c>
      <c r="L1126" s="25" t="s">
        <v>28</v>
      </c>
      <c r="M1126" t="s">
        <v>26</v>
      </c>
      <c r="N1126" t="s">
        <v>26</v>
      </c>
      <c r="O1126" t="s">
        <v>26</v>
      </c>
      <c r="P1126" s="24">
        <v>39448</v>
      </c>
      <c r="Q1126" s="24">
        <v>39448</v>
      </c>
      <c r="R1126" t="s">
        <v>26</v>
      </c>
      <c r="S1126" t="s">
        <v>26</v>
      </c>
      <c r="T1126" t="s">
        <v>26</v>
      </c>
      <c r="U1126" t="s">
        <v>26</v>
      </c>
      <c r="V1126" t="s">
        <v>26</v>
      </c>
      <c r="W1126" s="24">
        <v>39448</v>
      </c>
      <c r="X1126" s="24">
        <v>39448</v>
      </c>
      <c r="Y1126" t="s">
        <v>26</v>
      </c>
      <c r="Z1126" s="24">
        <v>39448</v>
      </c>
      <c r="AA1126" s="24">
        <v>39448</v>
      </c>
      <c r="AB1126" t="s">
        <v>26</v>
      </c>
      <c r="AC1126" s="24">
        <v>39448</v>
      </c>
      <c r="AD1126" s="24">
        <v>39448</v>
      </c>
      <c r="AE1126" t="s">
        <v>26</v>
      </c>
      <c r="AF1126" t="s">
        <v>26</v>
      </c>
      <c r="AG1126" t="s">
        <v>26</v>
      </c>
      <c r="AH1126" t="s">
        <v>26</v>
      </c>
      <c r="AI1126" t="s">
        <v>26</v>
      </c>
      <c r="AJ1126" t="s">
        <v>26</v>
      </c>
      <c r="AK1126" t="s">
        <v>26</v>
      </c>
      <c r="AL1126" t="s">
        <v>26</v>
      </c>
      <c r="AM1126" t="s">
        <v>26</v>
      </c>
      <c r="AN1126" t="s">
        <v>26</v>
      </c>
      <c r="AO1126" s="25" t="s">
        <v>28</v>
      </c>
      <c r="AP1126" s="23" t="s">
        <v>29</v>
      </c>
      <c r="AQ1126" s="23" t="s">
        <v>30</v>
      </c>
      <c r="AR1126" s="23" t="s">
        <v>914</v>
      </c>
      <c r="AS1126" s="25">
        <v>5324467</v>
      </c>
      <c r="AT1126" s="23" t="s">
        <v>22181</v>
      </c>
      <c r="AU1126" t="s">
        <v>23711</v>
      </c>
    </row>
    <row r="1127" spans="1:47" ht="26.25" x14ac:dyDescent="0.4">
      <c r="A1127" s="23" t="s">
        <v>2797</v>
      </c>
      <c r="B1127" t="s">
        <v>26</v>
      </c>
      <c r="C1127" s="23" t="s">
        <v>2797</v>
      </c>
      <c r="D1127" s="23" t="s">
        <v>22218</v>
      </c>
      <c r="E1127" s="23" t="s">
        <v>42</v>
      </c>
      <c r="F1127" s="25" t="s">
        <v>2798</v>
      </c>
      <c r="G1127" s="25" t="s">
        <v>2799</v>
      </c>
      <c r="H1127" t="s">
        <v>26</v>
      </c>
      <c r="I1127" s="24">
        <v>32174</v>
      </c>
      <c r="J1127" s="25" t="s">
        <v>77</v>
      </c>
      <c r="K1127" t="s">
        <v>26</v>
      </c>
      <c r="L1127" s="25" t="s">
        <v>68</v>
      </c>
      <c r="M1127" s="24">
        <v>34425</v>
      </c>
      <c r="N1127" s="25" t="s">
        <v>77</v>
      </c>
      <c r="O1127" t="s">
        <v>26</v>
      </c>
      <c r="P1127" s="24">
        <v>32174</v>
      </c>
      <c r="Q1127" s="25" t="s">
        <v>77</v>
      </c>
      <c r="R1127" t="s">
        <v>26</v>
      </c>
      <c r="S1127" t="s">
        <v>26</v>
      </c>
      <c r="T1127" t="s">
        <v>26</v>
      </c>
      <c r="U1127" t="s">
        <v>26</v>
      </c>
      <c r="V1127" s="25">
        <v>365</v>
      </c>
      <c r="W1127" s="24">
        <v>31444</v>
      </c>
      <c r="X1127" s="25" t="s">
        <v>77</v>
      </c>
      <c r="Y1127" t="s">
        <v>26</v>
      </c>
      <c r="Z1127" s="24">
        <v>31444</v>
      </c>
      <c r="AA1127" s="25" t="s">
        <v>77</v>
      </c>
      <c r="AB1127" t="s">
        <v>26</v>
      </c>
      <c r="AC1127" s="24">
        <v>31444</v>
      </c>
      <c r="AD1127" s="25" t="s">
        <v>77</v>
      </c>
      <c r="AE1127" t="s">
        <v>26</v>
      </c>
      <c r="AF1127" t="s">
        <v>26</v>
      </c>
      <c r="AG1127" t="s">
        <v>26</v>
      </c>
      <c r="AH1127" t="s">
        <v>26</v>
      </c>
      <c r="AI1127" t="s">
        <v>26</v>
      </c>
      <c r="AJ1127" t="s">
        <v>26</v>
      </c>
      <c r="AK1127" t="s">
        <v>26</v>
      </c>
      <c r="AL1127" t="s">
        <v>26</v>
      </c>
      <c r="AM1127" t="s">
        <v>26</v>
      </c>
      <c r="AN1127" t="s">
        <v>26</v>
      </c>
      <c r="AO1127" s="25" t="s">
        <v>68</v>
      </c>
      <c r="AP1127" s="23" t="s">
        <v>69</v>
      </c>
      <c r="AQ1127" s="23" t="s">
        <v>30</v>
      </c>
      <c r="AR1127" s="23" t="s">
        <v>337</v>
      </c>
      <c r="AS1127" s="25">
        <v>41677</v>
      </c>
      <c r="AT1127" t="s">
        <v>26</v>
      </c>
      <c r="AU1127" t="s">
        <v>23712</v>
      </c>
    </row>
    <row r="1128" spans="1:47" ht="26.25" x14ac:dyDescent="0.4">
      <c r="A1128" s="23" t="s">
        <v>2800</v>
      </c>
      <c r="B1128" t="s">
        <v>26</v>
      </c>
      <c r="C1128" s="23" t="s">
        <v>2801</v>
      </c>
      <c r="D1128" s="23" t="s">
        <v>22231</v>
      </c>
      <c r="E1128" s="23" t="s">
        <v>42</v>
      </c>
      <c r="F1128" s="25" t="s">
        <v>2802</v>
      </c>
      <c r="G1128" s="25" t="s">
        <v>2803</v>
      </c>
      <c r="H1128" t="s">
        <v>26</v>
      </c>
      <c r="I1128" s="24">
        <v>39083</v>
      </c>
      <c r="J1128" s="24">
        <v>44562</v>
      </c>
      <c r="K1128" s="25" t="s">
        <v>2804</v>
      </c>
      <c r="L1128" s="25" t="s">
        <v>28</v>
      </c>
      <c r="M1128" s="24">
        <v>39083</v>
      </c>
      <c r="N1128" s="24">
        <v>44562</v>
      </c>
      <c r="O1128" s="25" t="s">
        <v>2804</v>
      </c>
      <c r="P1128" t="s">
        <v>26</v>
      </c>
      <c r="Q1128" t="s">
        <v>26</v>
      </c>
      <c r="R1128" t="s">
        <v>26</v>
      </c>
      <c r="S1128" t="s">
        <v>26</v>
      </c>
      <c r="T1128" t="s">
        <v>26</v>
      </c>
      <c r="U1128" t="s">
        <v>26</v>
      </c>
      <c r="V1128" t="s">
        <v>26</v>
      </c>
      <c r="W1128" s="24">
        <v>39083</v>
      </c>
      <c r="X1128" s="24">
        <v>44562</v>
      </c>
      <c r="Y1128" s="25" t="s">
        <v>2804</v>
      </c>
      <c r="Z1128" s="24">
        <v>39083</v>
      </c>
      <c r="AA1128" s="24">
        <v>44562</v>
      </c>
      <c r="AB1128" s="25" t="s">
        <v>2804</v>
      </c>
      <c r="AC1128" s="24">
        <v>39083</v>
      </c>
      <c r="AD1128" s="24">
        <v>44562</v>
      </c>
      <c r="AE1128" s="25" t="s">
        <v>2804</v>
      </c>
      <c r="AF1128" t="s">
        <v>26</v>
      </c>
      <c r="AG1128" t="s">
        <v>26</v>
      </c>
      <c r="AH1128" t="s">
        <v>26</v>
      </c>
      <c r="AI1128" t="s">
        <v>26</v>
      </c>
      <c r="AJ1128" t="s">
        <v>26</v>
      </c>
      <c r="AK1128" t="s">
        <v>26</v>
      </c>
      <c r="AL1128" t="s">
        <v>26</v>
      </c>
      <c r="AM1128" t="s">
        <v>26</v>
      </c>
      <c r="AN1128" t="s">
        <v>26</v>
      </c>
      <c r="AO1128" s="25" t="s">
        <v>28</v>
      </c>
      <c r="AP1128" s="23" t="s">
        <v>112</v>
      </c>
      <c r="AQ1128" s="23" t="s">
        <v>30</v>
      </c>
      <c r="AR1128" s="23" t="s">
        <v>70</v>
      </c>
      <c r="AS1128" s="25">
        <v>2026471</v>
      </c>
      <c r="AT1128" t="s">
        <v>26</v>
      </c>
      <c r="AU1128" t="s">
        <v>23713</v>
      </c>
    </row>
    <row r="1129" spans="1:47" ht="13.15" x14ac:dyDescent="0.4">
      <c r="A1129" s="23" t="s">
        <v>2805</v>
      </c>
      <c r="B1129" t="s">
        <v>26</v>
      </c>
      <c r="C1129" s="23" t="s">
        <v>146</v>
      </c>
      <c r="D1129" s="23" t="s">
        <v>22174</v>
      </c>
      <c r="E1129" s="23" t="s">
        <v>60</v>
      </c>
      <c r="F1129" t="s">
        <v>26</v>
      </c>
      <c r="G1129" t="s">
        <v>26</v>
      </c>
      <c r="H1129" t="s">
        <v>26</v>
      </c>
      <c r="I1129" t="s">
        <v>26</v>
      </c>
      <c r="J1129" t="s">
        <v>26</v>
      </c>
      <c r="K1129" t="s">
        <v>26</v>
      </c>
      <c r="L1129" s="25" t="s">
        <v>28</v>
      </c>
      <c r="M1129" t="s">
        <v>26</v>
      </c>
      <c r="N1129" t="s">
        <v>26</v>
      </c>
      <c r="O1129" t="s">
        <v>26</v>
      </c>
      <c r="P1129" t="s">
        <v>26</v>
      </c>
      <c r="Q1129" t="s">
        <v>26</v>
      </c>
      <c r="R1129" t="s">
        <v>26</v>
      </c>
      <c r="S1129" t="s">
        <v>26</v>
      </c>
      <c r="T1129" t="s">
        <v>26</v>
      </c>
      <c r="U1129" t="s">
        <v>26</v>
      </c>
      <c r="V1129" t="s">
        <v>26</v>
      </c>
      <c r="W1129" s="24">
        <v>42370</v>
      </c>
      <c r="X1129" s="24">
        <v>42370</v>
      </c>
      <c r="Y1129" t="s">
        <v>26</v>
      </c>
      <c r="Z1129" s="24">
        <v>42370</v>
      </c>
      <c r="AA1129" s="24">
        <v>42370</v>
      </c>
      <c r="AB1129" t="s">
        <v>26</v>
      </c>
      <c r="AC1129" t="s">
        <v>26</v>
      </c>
      <c r="AD1129" t="s">
        <v>26</v>
      </c>
      <c r="AE1129" t="s">
        <v>26</v>
      </c>
      <c r="AF1129" t="s">
        <v>26</v>
      </c>
      <c r="AG1129" t="s">
        <v>26</v>
      </c>
      <c r="AH1129" t="s">
        <v>26</v>
      </c>
      <c r="AI1129" t="s">
        <v>26</v>
      </c>
      <c r="AJ1129" t="s">
        <v>26</v>
      </c>
      <c r="AK1129" t="s">
        <v>26</v>
      </c>
      <c r="AL1129" t="s">
        <v>26</v>
      </c>
      <c r="AM1129" t="s">
        <v>26</v>
      </c>
      <c r="AN1129" t="s">
        <v>26</v>
      </c>
      <c r="AO1129" s="25" t="s">
        <v>28</v>
      </c>
      <c r="AP1129" s="23" t="s">
        <v>29</v>
      </c>
      <c r="AQ1129" s="23" t="s">
        <v>30</v>
      </c>
      <c r="AR1129" s="23" t="s">
        <v>245</v>
      </c>
      <c r="AS1129" s="25">
        <v>5483594</v>
      </c>
      <c r="AT1129" s="23" t="s">
        <v>22181</v>
      </c>
      <c r="AU1129" t="s">
        <v>23714</v>
      </c>
    </row>
    <row r="1130" spans="1:47" ht="26.25" x14ac:dyDescent="0.4">
      <c r="A1130" s="23" t="s">
        <v>2806</v>
      </c>
      <c r="B1130" t="s">
        <v>26</v>
      </c>
      <c r="C1130" s="23" t="s">
        <v>1054</v>
      </c>
      <c r="D1130" s="23" t="s">
        <v>22634</v>
      </c>
      <c r="E1130" s="23" t="s">
        <v>335</v>
      </c>
      <c r="F1130" t="s">
        <v>26</v>
      </c>
      <c r="G1130" t="s">
        <v>26</v>
      </c>
      <c r="H1130" t="s">
        <v>26</v>
      </c>
      <c r="I1130" t="s">
        <v>26</v>
      </c>
      <c r="J1130" t="s">
        <v>26</v>
      </c>
      <c r="K1130" t="s">
        <v>26</v>
      </c>
      <c r="L1130" s="25" t="s">
        <v>28</v>
      </c>
      <c r="M1130" t="s">
        <v>26</v>
      </c>
      <c r="N1130" t="s">
        <v>26</v>
      </c>
      <c r="O1130" t="s">
        <v>26</v>
      </c>
      <c r="P1130" t="s">
        <v>26</v>
      </c>
      <c r="Q1130" t="s">
        <v>26</v>
      </c>
      <c r="R1130" t="s">
        <v>26</v>
      </c>
      <c r="S1130" t="s">
        <v>26</v>
      </c>
      <c r="T1130" t="s">
        <v>26</v>
      </c>
      <c r="U1130" t="s">
        <v>26</v>
      </c>
      <c r="V1130" t="s">
        <v>26</v>
      </c>
      <c r="W1130" s="24">
        <v>41275</v>
      </c>
      <c r="X1130" s="24">
        <v>41275</v>
      </c>
      <c r="Y1130" t="s">
        <v>26</v>
      </c>
      <c r="Z1130" s="24">
        <v>41275</v>
      </c>
      <c r="AA1130" s="24">
        <v>41275</v>
      </c>
      <c r="AB1130" t="s">
        <v>26</v>
      </c>
      <c r="AC1130" t="s">
        <v>26</v>
      </c>
      <c r="AD1130" t="s">
        <v>26</v>
      </c>
      <c r="AE1130" t="s">
        <v>26</v>
      </c>
      <c r="AF1130" t="s">
        <v>26</v>
      </c>
      <c r="AG1130" t="s">
        <v>26</v>
      </c>
      <c r="AH1130" t="s">
        <v>26</v>
      </c>
      <c r="AI1130" t="s">
        <v>26</v>
      </c>
      <c r="AJ1130" t="s">
        <v>26</v>
      </c>
      <c r="AK1130" t="s">
        <v>26</v>
      </c>
      <c r="AL1130" t="s">
        <v>26</v>
      </c>
      <c r="AM1130" t="s">
        <v>26</v>
      </c>
      <c r="AN1130" t="s">
        <v>26</v>
      </c>
      <c r="AO1130" s="25" t="s">
        <v>28</v>
      </c>
      <c r="AP1130" s="23" t="s">
        <v>29</v>
      </c>
      <c r="AQ1130" s="23" t="s">
        <v>30</v>
      </c>
      <c r="AR1130" s="23" t="s">
        <v>2807</v>
      </c>
      <c r="AS1130" s="25">
        <v>5483543</v>
      </c>
      <c r="AT1130" s="23" t="s">
        <v>22181</v>
      </c>
      <c r="AU1130" t="s">
        <v>23715</v>
      </c>
    </row>
    <row r="1131" spans="1:47" ht="26.25" x14ac:dyDescent="0.4">
      <c r="A1131" s="23" t="s">
        <v>2808</v>
      </c>
      <c r="B1131" t="s">
        <v>26</v>
      </c>
      <c r="C1131" s="23" t="s">
        <v>399</v>
      </c>
      <c r="D1131" s="23" t="s">
        <v>22242</v>
      </c>
      <c r="E1131" s="23" t="s">
        <v>42</v>
      </c>
      <c r="F1131" s="25" t="s">
        <v>2809</v>
      </c>
      <c r="G1131" s="25" t="s">
        <v>2810</v>
      </c>
      <c r="H1131" t="s">
        <v>26</v>
      </c>
      <c r="I1131" s="24">
        <v>34366</v>
      </c>
      <c r="J1131" s="24">
        <v>41214</v>
      </c>
      <c r="K1131" t="s">
        <v>26</v>
      </c>
      <c r="L1131" s="25" t="s">
        <v>68</v>
      </c>
      <c r="M1131" s="24">
        <v>34366</v>
      </c>
      <c r="N1131" s="24">
        <v>41214</v>
      </c>
      <c r="O1131" t="s">
        <v>26</v>
      </c>
      <c r="P1131" s="24">
        <v>34820</v>
      </c>
      <c r="Q1131" s="24">
        <v>41214</v>
      </c>
      <c r="R1131" t="s">
        <v>26</v>
      </c>
      <c r="S1131" t="s">
        <v>26</v>
      </c>
      <c r="T1131" t="s">
        <v>26</v>
      </c>
      <c r="U1131" t="s">
        <v>26</v>
      </c>
      <c r="V1131" t="s">
        <v>26</v>
      </c>
      <c r="W1131" s="24">
        <v>32540</v>
      </c>
      <c r="X1131" s="25" t="s">
        <v>77</v>
      </c>
      <c r="Y1131" t="s">
        <v>26</v>
      </c>
      <c r="Z1131" s="24">
        <v>32540</v>
      </c>
      <c r="AA1131" s="25" t="s">
        <v>77</v>
      </c>
      <c r="AB1131" t="s">
        <v>26</v>
      </c>
      <c r="AC1131" s="24">
        <v>32540</v>
      </c>
      <c r="AD1131" s="25" t="s">
        <v>77</v>
      </c>
      <c r="AE1131" t="s">
        <v>26</v>
      </c>
      <c r="AF1131" t="s">
        <v>26</v>
      </c>
      <c r="AG1131" t="s">
        <v>26</v>
      </c>
      <c r="AH1131" t="s">
        <v>26</v>
      </c>
      <c r="AI1131" t="s">
        <v>26</v>
      </c>
      <c r="AJ1131" t="s">
        <v>26</v>
      </c>
      <c r="AK1131" t="s">
        <v>26</v>
      </c>
      <c r="AL1131" t="s">
        <v>26</v>
      </c>
      <c r="AM1131" t="s">
        <v>26</v>
      </c>
      <c r="AN1131" t="s">
        <v>26</v>
      </c>
      <c r="AO1131" s="25" t="s">
        <v>68</v>
      </c>
      <c r="AP1131" s="23" t="s">
        <v>69</v>
      </c>
      <c r="AQ1131" s="23" t="s">
        <v>30</v>
      </c>
      <c r="AR1131" s="23" t="s">
        <v>2811</v>
      </c>
      <c r="AS1131" s="25">
        <v>47817</v>
      </c>
      <c r="AT1131" t="s">
        <v>26</v>
      </c>
      <c r="AU1131" t="s">
        <v>23716</v>
      </c>
    </row>
    <row r="1132" spans="1:47" ht="26.25" x14ac:dyDescent="0.4">
      <c r="A1132" s="23" t="s">
        <v>2812</v>
      </c>
      <c r="B1132" t="s">
        <v>26</v>
      </c>
      <c r="C1132" s="23" t="s">
        <v>2812</v>
      </c>
      <c r="D1132" s="23" t="s">
        <v>23717</v>
      </c>
      <c r="E1132" s="23" t="s">
        <v>42</v>
      </c>
      <c r="F1132" s="25" t="s">
        <v>2813</v>
      </c>
      <c r="G1132" t="s">
        <v>26</v>
      </c>
      <c r="H1132" t="s">
        <v>26</v>
      </c>
      <c r="I1132" s="24">
        <v>43831</v>
      </c>
      <c r="J1132" s="25" t="s">
        <v>77</v>
      </c>
      <c r="K1132" t="s">
        <v>26</v>
      </c>
      <c r="L1132" s="25" t="s">
        <v>68</v>
      </c>
      <c r="M1132" s="24">
        <v>43831</v>
      </c>
      <c r="N1132" s="25" t="s">
        <v>77</v>
      </c>
      <c r="O1132" t="s">
        <v>26</v>
      </c>
      <c r="P1132" s="24">
        <v>43831</v>
      </c>
      <c r="Q1132" s="25" t="s">
        <v>77</v>
      </c>
      <c r="R1132" t="s">
        <v>26</v>
      </c>
      <c r="S1132" t="s">
        <v>26</v>
      </c>
      <c r="T1132" t="s">
        <v>26</v>
      </c>
      <c r="U1132" t="s">
        <v>26</v>
      </c>
      <c r="V1132" t="s">
        <v>26</v>
      </c>
      <c r="W1132" s="24">
        <v>43831</v>
      </c>
      <c r="X1132" s="25" t="s">
        <v>77</v>
      </c>
      <c r="Y1132" t="s">
        <v>26</v>
      </c>
      <c r="Z1132" s="24">
        <v>43831</v>
      </c>
      <c r="AA1132" s="25" t="s">
        <v>77</v>
      </c>
      <c r="AB1132" t="s">
        <v>26</v>
      </c>
      <c r="AC1132" s="24">
        <v>43831</v>
      </c>
      <c r="AD1132" s="25" t="s">
        <v>77</v>
      </c>
      <c r="AE1132" t="s">
        <v>26</v>
      </c>
      <c r="AF1132" t="s">
        <v>26</v>
      </c>
      <c r="AG1132" t="s">
        <v>26</v>
      </c>
      <c r="AH1132" t="s">
        <v>26</v>
      </c>
      <c r="AI1132" t="s">
        <v>26</v>
      </c>
      <c r="AJ1132" t="s">
        <v>26</v>
      </c>
      <c r="AK1132" t="s">
        <v>26</v>
      </c>
      <c r="AL1132" t="s">
        <v>26</v>
      </c>
      <c r="AM1132" t="s">
        <v>26</v>
      </c>
      <c r="AN1132" t="s">
        <v>26</v>
      </c>
      <c r="AO1132" s="25" t="s">
        <v>28</v>
      </c>
      <c r="AP1132" s="23" t="s">
        <v>69</v>
      </c>
      <c r="AQ1132" s="23" t="s">
        <v>30</v>
      </c>
      <c r="AR1132" s="23" t="s">
        <v>147</v>
      </c>
      <c r="AS1132" s="25">
        <v>5430090</v>
      </c>
      <c r="AT1132" t="s">
        <v>26</v>
      </c>
      <c r="AU1132" t="s">
        <v>23718</v>
      </c>
    </row>
    <row r="1133" spans="1:47" ht="26.25" x14ac:dyDescent="0.4">
      <c r="A1133" s="23" t="s">
        <v>2814</v>
      </c>
      <c r="B1133" t="s">
        <v>26</v>
      </c>
      <c r="C1133" s="23" t="s">
        <v>351</v>
      </c>
      <c r="D1133" s="23" t="s">
        <v>22242</v>
      </c>
      <c r="E1133" s="23" t="s">
        <v>60</v>
      </c>
      <c r="F1133" s="25" t="s">
        <v>2815</v>
      </c>
      <c r="G1133" s="25" t="s">
        <v>2816</v>
      </c>
      <c r="H1133" t="s">
        <v>26</v>
      </c>
      <c r="I1133" t="s">
        <v>26</v>
      </c>
      <c r="J1133" t="s">
        <v>26</v>
      </c>
      <c r="K1133" t="s">
        <v>26</v>
      </c>
      <c r="L1133" s="25" t="s">
        <v>68</v>
      </c>
      <c r="M1133" t="s">
        <v>26</v>
      </c>
      <c r="N1133" t="s">
        <v>26</v>
      </c>
      <c r="O1133" t="s">
        <v>26</v>
      </c>
      <c r="P1133" t="s">
        <v>26</v>
      </c>
      <c r="Q1133" t="s">
        <v>26</v>
      </c>
      <c r="R1133" t="s">
        <v>26</v>
      </c>
      <c r="S1133" t="s">
        <v>26</v>
      </c>
      <c r="T1133" t="s">
        <v>26</v>
      </c>
      <c r="U1133" t="s">
        <v>26</v>
      </c>
      <c r="V1133" t="s">
        <v>26</v>
      </c>
      <c r="W1133" s="24">
        <v>36192</v>
      </c>
      <c r="X1133" s="24">
        <v>40087</v>
      </c>
      <c r="Y1133" t="s">
        <v>26</v>
      </c>
      <c r="Z1133" s="24">
        <v>36192</v>
      </c>
      <c r="AA1133" s="24">
        <v>40087</v>
      </c>
      <c r="AB1133" t="s">
        <v>26</v>
      </c>
      <c r="AC1133" s="24">
        <v>36192</v>
      </c>
      <c r="AD1133" s="24">
        <v>40087</v>
      </c>
      <c r="AE1133" t="s">
        <v>26</v>
      </c>
      <c r="AF1133" t="s">
        <v>26</v>
      </c>
      <c r="AG1133" t="s">
        <v>26</v>
      </c>
      <c r="AH1133" t="s">
        <v>26</v>
      </c>
      <c r="AI1133" t="s">
        <v>26</v>
      </c>
      <c r="AJ1133" t="s">
        <v>26</v>
      </c>
      <c r="AK1133" t="s">
        <v>26</v>
      </c>
      <c r="AL1133" t="s">
        <v>26</v>
      </c>
      <c r="AM1133" t="s">
        <v>26</v>
      </c>
      <c r="AN1133" t="s">
        <v>26</v>
      </c>
      <c r="AO1133" s="25" t="s">
        <v>68</v>
      </c>
      <c r="AP1133" s="23" t="s">
        <v>69</v>
      </c>
      <c r="AQ1133" s="23" t="s">
        <v>30</v>
      </c>
      <c r="AR1133" s="23" t="s">
        <v>1170</v>
      </c>
      <c r="AS1133" s="25">
        <v>36112</v>
      </c>
      <c r="AT1133" t="s">
        <v>26</v>
      </c>
      <c r="AU1133" t="s">
        <v>23719</v>
      </c>
    </row>
    <row r="1134" spans="1:47" ht="26.25" x14ac:dyDescent="0.4">
      <c r="A1134" s="23" t="s">
        <v>2817</v>
      </c>
      <c r="B1134" t="s">
        <v>26</v>
      </c>
      <c r="C1134" s="23" t="s">
        <v>107</v>
      </c>
      <c r="D1134" s="23" t="s">
        <v>22194</v>
      </c>
      <c r="E1134" s="23" t="s">
        <v>42</v>
      </c>
      <c r="F1134" s="25" t="s">
        <v>2818</v>
      </c>
      <c r="G1134" s="25" t="s">
        <v>2819</v>
      </c>
      <c r="H1134" t="s">
        <v>26</v>
      </c>
      <c r="I1134" t="s">
        <v>26</v>
      </c>
      <c r="J1134" t="s">
        <v>26</v>
      </c>
      <c r="K1134" t="s">
        <v>26</v>
      </c>
      <c r="L1134" s="25" t="s">
        <v>68</v>
      </c>
      <c r="M1134" t="s">
        <v>26</v>
      </c>
      <c r="N1134" t="s">
        <v>26</v>
      </c>
      <c r="O1134" t="s">
        <v>26</v>
      </c>
      <c r="P1134" t="s">
        <v>26</v>
      </c>
      <c r="Q1134" t="s">
        <v>26</v>
      </c>
      <c r="R1134" t="s">
        <v>26</v>
      </c>
      <c r="S1134" t="s">
        <v>26</v>
      </c>
      <c r="T1134" t="s">
        <v>26</v>
      </c>
      <c r="U1134" t="s">
        <v>26</v>
      </c>
      <c r="V1134" t="s">
        <v>26</v>
      </c>
      <c r="W1134" s="24">
        <v>23043</v>
      </c>
      <c r="X1134" s="25" t="s">
        <v>77</v>
      </c>
      <c r="Y1134" s="25" t="s">
        <v>2820</v>
      </c>
      <c r="Z1134" s="24">
        <v>23043</v>
      </c>
      <c r="AA1134" s="25" t="s">
        <v>77</v>
      </c>
      <c r="AB1134" s="25" t="s">
        <v>2820</v>
      </c>
      <c r="AC1134" s="24">
        <v>27454</v>
      </c>
      <c r="AD1134" s="25" t="s">
        <v>77</v>
      </c>
      <c r="AE1134" s="25" t="s">
        <v>23720</v>
      </c>
      <c r="AF1134" t="s">
        <v>26</v>
      </c>
      <c r="AG1134" t="s">
        <v>26</v>
      </c>
      <c r="AH1134" t="s">
        <v>26</v>
      </c>
      <c r="AI1134" t="s">
        <v>26</v>
      </c>
      <c r="AJ1134" t="s">
        <v>26</v>
      </c>
      <c r="AK1134" t="s">
        <v>26</v>
      </c>
      <c r="AL1134" t="s">
        <v>26</v>
      </c>
      <c r="AM1134" t="s">
        <v>26</v>
      </c>
      <c r="AN1134" t="s">
        <v>26</v>
      </c>
      <c r="AO1134" s="25" t="s">
        <v>68</v>
      </c>
      <c r="AP1134" s="23" t="s">
        <v>69</v>
      </c>
      <c r="AQ1134" s="23" t="s">
        <v>30</v>
      </c>
      <c r="AR1134" s="23" t="s">
        <v>2821</v>
      </c>
      <c r="AS1134" s="25">
        <v>35845</v>
      </c>
      <c r="AT1134" t="s">
        <v>26</v>
      </c>
      <c r="AU1134" t="s">
        <v>23721</v>
      </c>
    </row>
    <row r="1135" spans="1:47" ht="26.25" x14ac:dyDescent="0.4">
      <c r="A1135" s="23" t="s">
        <v>2822</v>
      </c>
      <c r="B1135" t="s">
        <v>26</v>
      </c>
      <c r="C1135" s="23" t="s">
        <v>80</v>
      </c>
      <c r="D1135" s="23" t="s">
        <v>22179</v>
      </c>
      <c r="E1135" s="23" t="s">
        <v>60</v>
      </c>
      <c r="F1135" s="25" t="s">
        <v>2823</v>
      </c>
      <c r="G1135" s="25" t="s">
        <v>2824</v>
      </c>
      <c r="H1135" t="s">
        <v>26</v>
      </c>
      <c r="I1135" s="24">
        <v>34700</v>
      </c>
      <c r="J1135" s="24">
        <v>35796</v>
      </c>
      <c r="K1135" t="s">
        <v>26</v>
      </c>
      <c r="L1135" s="25" t="s">
        <v>68</v>
      </c>
      <c r="M1135" s="24">
        <v>34700</v>
      </c>
      <c r="N1135" s="24">
        <v>35796</v>
      </c>
      <c r="O1135" t="s">
        <v>26</v>
      </c>
      <c r="P1135" s="24">
        <v>34700</v>
      </c>
      <c r="Q1135" s="24">
        <v>35796</v>
      </c>
      <c r="R1135" t="s">
        <v>26</v>
      </c>
      <c r="S1135" t="s">
        <v>26</v>
      </c>
      <c r="T1135" t="s">
        <v>26</v>
      </c>
      <c r="U1135" t="s">
        <v>26</v>
      </c>
      <c r="V1135" t="s">
        <v>26</v>
      </c>
      <c r="W1135" s="24">
        <v>31048</v>
      </c>
      <c r="X1135" s="24">
        <v>42736</v>
      </c>
      <c r="Y1135" t="s">
        <v>26</v>
      </c>
      <c r="Z1135" s="24">
        <v>31048</v>
      </c>
      <c r="AA1135" s="24">
        <v>42736</v>
      </c>
      <c r="AB1135" t="s">
        <v>26</v>
      </c>
      <c r="AC1135" s="24">
        <v>31048</v>
      </c>
      <c r="AD1135" s="24">
        <v>42552</v>
      </c>
      <c r="AE1135" t="s">
        <v>26</v>
      </c>
      <c r="AF1135" t="s">
        <v>26</v>
      </c>
      <c r="AG1135" t="s">
        <v>26</v>
      </c>
      <c r="AH1135" t="s">
        <v>26</v>
      </c>
      <c r="AI1135" t="s">
        <v>26</v>
      </c>
      <c r="AJ1135" t="s">
        <v>26</v>
      </c>
      <c r="AK1135" t="s">
        <v>26</v>
      </c>
      <c r="AL1135" t="s">
        <v>26</v>
      </c>
      <c r="AM1135" t="s">
        <v>26</v>
      </c>
      <c r="AN1135" t="s">
        <v>26</v>
      </c>
      <c r="AO1135" s="25" t="s">
        <v>68</v>
      </c>
      <c r="AP1135" s="23" t="s">
        <v>69</v>
      </c>
      <c r="AQ1135" s="23" t="s">
        <v>30</v>
      </c>
      <c r="AR1135" s="23" t="s">
        <v>230</v>
      </c>
      <c r="AS1135" s="25">
        <v>46992</v>
      </c>
      <c r="AT1135" t="s">
        <v>26</v>
      </c>
      <c r="AU1135" t="s">
        <v>23722</v>
      </c>
    </row>
    <row r="1136" spans="1:47" ht="26.25" x14ac:dyDescent="0.4">
      <c r="A1136" s="23" t="s">
        <v>2825</v>
      </c>
      <c r="B1136" t="s">
        <v>26</v>
      </c>
      <c r="C1136" s="23" t="s">
        <v>351</v>
      </c>
      <c r="D1136" s="23" t="s">
        <v>22242</v>
      </c>
      <c r="E1136" s="23" t="s">
        <v>60</v>
      </c>
      <c r="F1136" s="25" t="s">
        <v>2826</v>
      </c>
      <c r="G1136" s="25" t="s">
        <v>2827</v>
      </c>
      <c r="H1136" t="s">
        <v>26</v>
      </c>
      <c r="I1136" t="s">
        <v>26</v>
      </c>
      <c r="J1136" t="s">
        <v>26</v>
      </c>
      <c r="K1136" t="s">
        <v>26</v>
      </c>
      <c r="L1136" s="25" t="s">
        <v>68</v>
      </c>
      <c r="M1136" t="s">
        <v>26</v>
      </c>
      <c r="N1136" t="s">
        <v>26</v>
      </c>
      <c r="O1136" t="s">
        <v>26</v>
      </c>
      <c r="P1136" t="s">
        <v>26</v>
      </c>
      <c r="Q1136" t="s">
        <v>26</v>
      </c>
      <c r="R1136" t="s">
        <v>26</v>
      </c>
      <c r="S1136" t="s">
        <v>26</v>
      </c>
      <c r="T1136" t="s">
        <v>26</v>
      </c>
      <c r="U1136" t="s">
        <v>26</v>
      </c>
      <c r="V1136" t="s">
        <v>26</v>
      </c>
      <c r="W1136" s="24">
        <v>36220</v>
      </c>
      <c r="X1136" s="24">
        <v>40057</v>
      </c>
      <c r="Y1136" t="s">
        <v>26</v>
      </c>
      <c r="Z1136" s="24">
        <v>36220</v>
      </c>
      <c r="AA1136" s="24">
        <v>40057</v>
      </c>
      <c r="AB1136" t="s">
        <v>26</v>
      </c>
      <c r="AC1136" s="24">
        <v>36220</v>
      </c>
      <c r="AD1136" s="24">
        <v>40057</v>
      </c>
      <c r="AE1136" t="s">
        <v>26</v>
      </c>
      <c r="AF1136" t="s">
        <v>26</v>
      </c>
      <c r="AG1136" t="s">
        <v>26</v>
      </c>
      <c r="AH1136" t="s">
        <v>26</v>
      </c>
      <c r="AI1136" t="s">
        <v>26</v>
      </c>
      <c r="AJ1136" t="s">
        <v>26</v>
      </c>
      <c r="AK1136" t="s">
        <v>26</v>
      </c>
      <c r="AL1136" t="s">
        <v>26</v>
      </c>
      <c r="AM1136" t="s">
        <v>26</v>
      </c>
      <c r="AN1136" t="s">
        <v>26</v>
      </c>
      <c r="AO1136" s="25" t="s">
        <v>68</v>
      </c>
      <c r="AP1136" s="23" t="s">
        <v>69</v>
      </c>
      <c r="AQ1136" s="23" t="s">
        <v>30</v>
      </c>
      <c r="AR1136" s="23" t="s">
        <v>230</v>
      </c>
      <c r="AS1136" s="25">
        <v>34187</v>
      </c>
      <c r="AT1136" t="s">
        <v>26</v>
      </c>
      <c r="AU1136" t="s">
        <v>23723</v>
      </c>
    </row>
    <row r="1137" spans="1:47" ht="26.25" x14ac:dyDescent="0.4">
      <c r="A1137" s="23" t="s">
        <v>2828</v>
      </c>
      <c r="B1137" t="s">
        <v>26</v>
      </c>
      <c r="C1137" s="23" t="s">
        <v>465</v>
      </c>
      <c r="D1137" s="23" t="s">
        <v>22254</v>
      </c>
      <c r="E1137" s="23" t="s">
        <v>42</v>
      </c>
      <c r="F1137" s="25" t="s">
        <v>2829</v>
      </c>
      <c r="G1137" t="s">
        <v>26</v>
      </c>
      <c r="H1137" t="s">
        <v>26</v>
      </c>
      <c r="I1137" t="s">
        <v>26</v>
      </c>
      <c r="J1137" t="s">
        <v>26</v>
      </c>
      <c r="K1137" t="s">
        <v>26</v>
      </c>
      <c r="L1137" s="25" t="s">
        <v>68</v>
      </c>
      <c r="M1137" t="s">
        <v>26</v>
      </c>
      <c r="N1137" t="s">
        <v>26</v>
      </c>
      <c r="O1137" t="s">
        <v>26</v>
      </c>
      <c r="P1137" t="s">
        <v>26</v>
      </c>
      <c r="Q1137" t="s">
        <v>26</v>
      </c>
      <c r="R1137" t="s">
        <v>26</v>
      </c>
      <c r="S1137" t="s">
        <v>26</v>
      </c>
      <c r="T1137" t="s">
        <v>26</v>
      </c>
      <c r="U1137" t="s">
        <v>26</v>
      </c>
      <c r="V1137" t="s">
        <v>26</v>
      </c>
      <c r="W1137" s="24">
        <v>42370</v>
      </c>
      <c r="X1137" s="25" t="s">
        <v>77</v>
      </c>
      <c r="Y1137" t="s">
        <v>26</v>
      </c>
      <c r="Z1137" s="24">
        <v>42370</v>
      </c>
      <c r="AA1137" s="25" t="s">
        <v>77</v>
      </c>
      <c r="AB1137" t="s">
        <v>26</v>
      </c>
      <c r="AC1137" s="24">
        <v>42370</v>
      </c>
      <c r="AD1137" s="25" t="s">
        <v>77</v>
      </c>
      <c r="AE1137" t="s">
        <v>26</v>
      </c>
      <c r="AF1137" t="s">
        <v>26</v>
      </c>
      <c r="AG1137" t="s">
        <v>26</v>
      </c>
      <c r="AH1137" t="s">
        <v>26</v>
      </c>
      <c r="AI1137" t="s">
        <v>26</v>
      </c>
      <c r="AJ1137" t="s">
        <v>26</v>
      </c>
      <c r="AK1137" t="s">
        <v>26</v>
      </c>
      <c r="AL1137" t="s">
        <v>26</v>
      </c>
      <c r="AM1137" t="s">
        <v>26</v>
      </c>
      <c r="AN1137" t="s">
        <v>26</v>
      </c>
      <c r="AO1137" s="25" t="s">
        <v>68</v>
      </c>
      <c r="AP1137" s="23" t="s">
        <v>69</v>
      </c>
      <c r="AQ1137" s="23" t="s">
        <v>30</v>
      </c>
      <c r="AR1137" s="23" t="s">
        <v>2830</v>
      </c>
      <c r="AS1137" s="25">
        <v>2033276</v>
      </c>
      <c r="AT1137" t="s">
        <v>26</v>
      </c>
      <c r="AU1137" t="s">
        <v>23724</v>
      </c>
    </row>
    <row r="1138" spans="1:47" ht="13.15" x14ac:dyDescent="0.4">
      <c r="A1138" s="23" t="s">
        <v>2831</v>
      </c>
      <c r="B1138" t="s">
        <v>26</v>
      </c>
      <c r="C1138" s="23" t="s">
        <v>107</v>
      </c>
      <c r="D1138" s="23" t="s">
        <v>22194</v>
      </c>
      <c r="E1138" s="23" t="s">
        <v>42</v>
      </c>
      <c r="F1138" t="s">
        <v>26</v>
      </c>
      <c r="G1138" t="s">
        <v>26</v>
      </c>
      <c r="H1138" t="s">
        <v>26</v>
      </c>
      <c r="I1138" s="24">
        <v>37622</v>
      </c>
      <c r="J1138" s="24">
        <v>37622</v>
      </c>
      <c r="K1138" t="s">
        <v>26</v>
      </c>
      <c r="L1138" s="25" t="s">
        <v>28</v>
      </c>
      <c r="M1138" s="24">
        <v>37622</v>
      </c>
      <c r="N1138" s="24">
        <v>37622</v>
      </c>
      <c r="O1138" t="s">
        <v>26</v>
      </c>
      <c r="P1138" t="s">
        <v>26</v>
      </c>
      <c r="Q1138" t="s">
        <v>26</v>
      </c>
      <c r="R1138" t="s">
        <v>26</v>
      </c>
      <c r="S1138" t="s">
        <v>26</v>
      </c>
      <c r="T1138" t="s">
        <v>26</v>
      </c>
      <c r="U1138" t="s">
        <v>26</v>
      </c>
      <c r="V1138" t="s">
        <v>26</v>
      </c>
      <c r="W1138" s="24">
        <v>37622</v>
      </c>
      <c r="X1138" s="24">
        <v>37622</v>
      </c>
      <c r="Y1138" t="s">
        <v>26</v>
      </c>
      <c r="Z1138" s="24">
        <v>37622</v>
      </c>
      <c r="AA1138" s="24">
        <v>37622</v>
      </c>
      <c r="AB1138" t="s">
        <v>26</v>
      </c>
      <c r="AC1138" s="24">
        <v>37622</v>
      </c>
      <c r="AD1138" s="24">
        <v>37622</v>
      </c>
      <c r="AE1138" t="s">
        <v>26</v>
      </c>
      <c r="AF1138" t="s">
        <v>26</v>
      </c>
      <c r="AG1138" t="s">
        <v>26</v>
      </c>
      <c r="AH1138" t="s">
        <v>26</v>
      </c>
      <c r="AI1138" t="s">
        <v>26</v>
      </c>
      <c r="AJ1138" t="s">
        <v>26</v>
      </c>
      <c r="AK1138" t="s">
        <v>26</v>
      </c>
      <c r="AL1138" t="s">
        <v>26</v>
      </c>
      <c r="AM1138" t="s">
        <v>26</v>
      </c>
      <c r="AN1138" t="s">
        <v>26</v>
      </c>
      <c r="AO1138" s="25" t="s">
        <v>28</v>
      </c>
      <c r="AP1138" s="23" t="s">
        <v>29</v>
      </c>
      <c r="AQ1138" s="23" t="s">
        <v>30</v>
      </c>
      <c r="AR1138" s="23" t="s">
        <v>46</v>
      </c>
      <c r="AS1138" s="25">
        <v>6059430</v>
      </c>
      <c r="AT1138" t="s">
        <v>26</v>
      </c>
      <c r="AU1138" t="s">
        <v>23725</v>
      </c>
    </row>
    <row r="1139" spans="1:47" ht="26.25" x14ac:dyDescent="0.4">
      <c r="A1139" s="23" t="s">
        <v>2832</v>
      </c>
      <c r="B1139" t="s">
        <v>26</v>
      </c>
      <c r="C1139" s="23" t="s">
        <v>181</v>
      </c>
      <c r="D1139" s="23" t="s">
        <v>22174</v>
      </c>
      <c r="E1139" s="23" t="s">
        <v>60</v>
      </c>
      <c r="F1139" t="s">
        <v>26</v>
      </c>
      <c r="G1139" s="25" t="s">
        <v>2833</v>
      </c>
      <c r="H1139" t="s">
        <v>26</v>
      </c>
      <c r="I1139" s="24">
        <v>42370</v>
      </c>
      <c r="J1139" s="25" t="s">
        <v>77</v>
      </c>
      <c r="K1139" t="s">
        <v>26</v>
      </c>
      <c r="L1139" s="25" t="s">
        <v>68</v>
      </c>
      <c r="M1139" t="s">
        <v>26</v>
      </c>
      <c r="N1139" t="s">
        <v>26</v>
      </c>
      <c r="O1139" t="s">
        <v>26</v>
      </c>
      <c r="P1139" t="s">
        <v>26</v>
      </c>
      <c r="Q1139" t="s">
        <v>26</v>
      </c>
      <c r="R1139" t="s">
        <v>26</v>
      </c>
      <c r="S1139" s="24">
        <v>42370</v>
      </c>
      <c r="T1139" s="25" t="s">
        <v>77</v>
      </c>
      <c r="U1139" t="s">
        <v>26</v>
      </c>
      <c r="V1139" t="s">
        <v>26</v>
      </c>
      <c r="W1139" s="24">
        <v>42370</v>
      </c>
      <c r="X1139" s="25" t="s">
        <v>77</v>
      </c>
      <c r="Y1139" t="s">
        <v>26</v>
      </c>
      <c r="Z1139" s="24">
        <v>42370</v>
      </c>
      <c r="AA1139" s="25" t="s">
        <v>77</v>
      </c>
      <c r="AB1139" t="s">
        <v>26</v>
      </c>
      <c r="AC1139" s="24">
        <v>42370</v>
      </c>
      <c r="AD1139" s="25" t="s">
        <v>77</v>
      </c>
      <c r="AE1139" t="s">
        <v>26</v>
      </c>
      <c r="AF1139" t="s">
        <v>26</v>
      </c>
      <c r="AG1139" t="s">
        <v>26</v>
      </c>
      <c r="AH1139" t="s">
        <v>26</v>
      </c>
      <c r="AI1139" t="s">
        <v>26</v>
      </c>
      <c r="AJ1139" t="s">
        <v>26</v>
      </c>
      <c r="AK1139" t="s">
        <v>26</v>
      </c>
      <c r="AL1139" t="s">
        <v>26</v>
      </c>
      <c r="AM1139" t="s">
        <v>26</v>
      </c>
      <c r="AN1139" t="s">
        <v>26</v>
      </c>
      <c r="AO1139" s="25" t="s">
        <v>68</v>
      </c>
      <c r="AP1139" s="23" t="s">
        <v>69</v>
      </c>
      <c r="AQ1139" s="23" t="s">
        <v>30</v>
      </c>
      <c r="AR1139" s="23" t="s">
        <v>46</v>
      </c>
      <c r="AS1139" s="25">
        <v>2041997</v>
      </c>
      <c r="AT1139" t="s">
        <v>26</v>
      </c>
      <c r="AU1139" t="s">
        <v>23726</v>
      </c>
    </row>
    <row r="1140" spans="1:47" ht="26.25" x14ac:dyDescent="0.4">
      <c r="A1140" s="23" t="s">
        <v>2834</v>
      </c>
      <c r="B1140" t="s">
        <v>26</v>
      </c>
      <c r="C1140" s="23" t="s">
        <v>80</v>
      </c>
      <c r="D1140" s="23" t="s">
        <v>22267</v>
      </c>
      <c r="E1140" s="23" t="s">
        <v>60</v>
      </c>
      <c r="F1140" s="25" t="s">
        <v>2835</v>
      </c>
      <c r="G1140" s="25" t="s">
        <v>2836</v>
      </c>
      <c r="H1140" t="s">
        <v>26</v>
      </c>
      <c r="I1140" t="s">
        <v>26</v>
      </c>
      <c r="J1140" t="s">
        <v>26</v>
      </c>
      <c r="K1140" t="s">
        <v>26</v>
      </c>
      <c r="L1140" s="25" t="s">
        <v>68</v>
      </c>
      <c r="M1140" t="s">
        <v>26</v>
      </c>
      <c r="N1140" t="s">
        <v>26</v>
      </c>
      <c r="O1140" t="s">
        <v>26</v>
      </c>
      <c r="P1140" t="s">
        <v>26</v>
      </c>
      <c r="Q1140" t="s">
        <v>26</v>
      </c>
      <c r="R1140" t="s">
        <v>26</v>
      </c>
      <c r="S1140" t="s">
        <v>26</v>
      </c>
      <c r="T1140" t="s">
        <v>26</v>
      </c>
      <c r="U1140" t="s">
        <v>26</v>
      </c>
      <c r="V1140" t="s">
        <v>26</v>
      </c>
      <c r="W1140" s="24">
        <v>40238</v>
      </c>
      <c r="X1140" s="25" t="s">
        <v>77</v>
      </c>
      <c r="Y1140" t="s">
        <v>26</v>
      </c>
      <c r="Z1140" s="24">
        <v>40238</v>
      </c>
      <c r="AA1140" s="25" t="s">
        <v>77</v>
      </c>
      <c r="AB1140" t="s">
        <v>26</v>
      </c>
      <c r="AC1140" s="24">
        <v>40238</v>
      </c>
      <c r="AD1140" s="25" t="s">
        <v>77</v>
      </c>
      <c r="AE1140" t="s">
        <v>26</v>
      </c>
      <c r="AF1140" t="s">
        <v>26</v>
      </c>
      <c r="AG1140" t="s">
        <v>26</v>
      </c>
      <c r="AH1140" t="s">
        <v>26</v>
      </c>
      <c r="AI1140" t="s">
        <v>26</v>
      </c>
      <c r="AJ1140" t="s">
        <v>26</v>
      </c>
      <c r="AK1140" t="s">
        <v>26</v>
      </c>
      <c r="AL1140" t="s">
        <v>26</v>
      </c>
      <c r="AM1140" t="s">
        <v>26</v>
      </c>
      <c r="AN1140" t="s">
        <v>26</v>
      </c>
      <c r="AO1140" s="25" t="s">
        <v>68</v>
      </c>
      <c r="AP1140" s="23" t="s">
        <v>69</v>
      </c>
      <c r="AQ1140" s="23" t="s">
        <v>30</v>
      </c>
      <c r="AR1140" s="23" t="s">
        <v>46</v>
      </c>
      <c r="AS1140" s="25">
        <v>196237</v>
      </c>
      <c r="AT1140" t="s">
        <v>26</v>
      </c>
      <c r="AU1140" t="s">
        <v>23727</v>
      </c>
    </row>
    <row r="1141" spans="1:47" ht="26.25" x14ac:dyDescent="0.4">
      <c r="A1141" s="23" t="s">
        <v>2837</v>
      </c>
      <c r="B1141" t="s">
        <v>26</v>
      </c>
      <c r="C1141" s="23" t="s">
        <v>80</v>
      </c>
      <c r="D1141" s="23" t="s">
        <v>22184</v>
      </c>
      <c r="E1141" s="23" t="s">
        <v>60</v>
      </c>
      <c r="F1141" t="s">
        <v>26</v>
      </c>
      <c r="G1141" s="25" t="s">
        <v>2838</v>
      </c>
      <c r="H1141" t="s">
        <v>26</v>
      </c>
      <c r="I1141" s="24">
        <v>41275</v>
      </c>
      <c r="J1141" s="25" t="s">
        <v>77</v>
      </c>
      <c r="K1141" s="25" t="s">
        <v>2839</v>
      </c>
      <c r="L1141" s="25" t="s">
        <v>68</v>
      </c>
      <c r="M1141" t="s">
        <v>26</v>
      </c>
      <c r="N1141" t="s">
        <v>26</v>
      </c>
      <c r="O1141" t="s">
        <v>26</v>
      </c>
      <c r="P1141" s="24">
        <v>41275</v>
      </c>
      <c r="Q1141" s="25" t="s">
        <v>77</v>
      </c>
      <c r="R1141" s="25" t="s">
        <v>2839</v>
      </c>
      <c r="S1141" t="s">
        <v>26</v>
      </c>
      <c r="T1141" t="s">
        <v>26</v>
      </c>
      <c r="U1141" t="s">
        <v>26</v>
      </c>
      <c r="V1141" t="s">
        <v>26</v>
      </c>
      <c r="W1141" s="24">
        <v>41275</v>
      </c>
      <c r="X1141" s="25" t="s">
        <v>77</v>
      </c>
      <c r="Y1141" s="25" t="s">
        <v>2839</v>
      </c>
      <c r="Z1141" s="24">
        <v>41275</v>
      </c>
      <c r="AA1141" s="25" t="s">
        <v>77</v>
      </c>
      <c r="AB1141" s="25" t="s">
        <v>2839</v>
      </c>
      <c r="AC1141" s="24">
        <v>41275</v>
      </c>
      <c r="AD1141" s="25" t="s">
        <v>77</v>
      </c>
      <c r="AE1141" s="25" t="s">
        <v>2839</v>
      </c>
      <c r="AF1141" t="s">
        <v>26</v>
      </c>
      <c r="AG1141" t="s">
        <v>26</v>
      </c>
      <c r="AH1141" t="s">
        <v>26</v>
      </c>
      <c r="AI1141" t="s">
        <v>26</v>
      </c>
      <c r="AJ1141" t="s">
        <v>26</v>
      </c>
      <c r="AK1141" t="s">
        <v>26</v>
      </c>
      <c r="AL1141" t="s">
        <v>26</v>
      </c>
      <c r="AM1141" t="s">
        <v>26</v>
      </c>
      <c r="AN1141" t="s">
        <v>26</v>
      </c>
      <c r="AO1141" s="25" t="s">
        <v>68</v>
      </c>
      <c r="AP1141" s="23" t="s">
        <v>69</v>
      </c>
      <c r="AQ1141" s="23" t="s">
        <v>30</v>
      </c>
      <c r="AR1141" s="23" t="s">
        <v>46</v>
      </c>
      <c r="AS1141" s="25">
        <v>3933310</v>
      </c>
      <c r="AT1141" t="s">
        <v>26</v>
      </c>
      <c r="AU1141" t="s">
        <v>23728</v>
      </c>
    </row>
    <row r="1142" spans="1:47" ht="26.25" x14ac:dyDescent="0.4">
      <c r="A1142" s="23" t="s">
        <v>2840</v>
      </c>
      <c r="B1142" t="s">
        <v>26</v>
      </c>
      <c r="C1142" s="23" t="s">
        <v>80</v>
      </c>
      <c r="D1142" s="23" t="s">
        <v>22184</v>
      </c>
      <c r="E1142" s="23" t="s">
        <v>60</v>
      </c>
      <c r="F1142" s="25" t="s">
        <v>2841</v>
      </c>
      <c r="G1142" s="25" t="s">
        <v>2842</v>
      </c>
      <c r="H1142" t="s">
        <v>26</v>
      </c>
      <c r="I1142" s="24">
        <v>39052</v>
      </c>
      <c r="J1142" s="24">
        <v>42736</v>
      </c>
      <c r="K1142" t="s">
        <v>26</v>
      </c>
      <c r="L1142" s="25" t="s">
        <v>68</v>
      </c>
      <c r="M1142" s="24">
        <v>39052</v>
      </c>
      <c r="N1142" s="24">
        <v>42736</v>
      </c>
      <c r="O1142" t="s">
        <v>26</v>
      </c>
      <c r="P1142" s="24">
        <v>39052</v>
      </c>
      <c r="Q1142" s="24">
        <v>42736</v>
      </c>
      <c r="R1142" t="s">
        <v>26</v>
      </c>
      <c r="S1142" t="s">
        <v>26</v>
      </c>
      <c r="T1142" t="s">
        <v>26</v>
      </c>
      <c r="U1142" t="s">
        <v>26</v>
      </c>
      <c r="V1142" t="s">
        <v>26</v>
      </c>
      <c r="W1142" s="24">
        <v>39052</v>
      </c>
      <c r="X1142" s="24">
        <v>42736</v>
      </c>
      <c r="Y1142" t="s">
        <v>26</v>
      </c>
      <c r="Z1142" s="24">
        <v>39052</v>
      </c>
      <c r="AA1142" s="24">
        <v>42736</v>
      </c>
      <c r="AB1142" t="s">
        <v>26</v>
      </c>
      <c r="AC1142" s="24">
        <v>41153</v>
      </c>
      <c r="AD1142" s="24">
        <v>42736</v>
      </c>
      <c r="AE1142" t="s">
        <v>26</v>
      </c>
      <c r="AF1142" t="s">
        <v>26</v>
      </c>
      <c r="AG1142" t="s">
        <v>26</v>
      </c>
      <c r="AH1142" t="s">
        <v>26</v>
      </c>
      <c r="AI1142" t="s">
        <v>26</v>
      </c>
      <c r="AJ1142" t="s">
        <v>26</v>
      </c>
      <c r="AK1142" t="s">
        <v>26</v>
      </c>
      <c r="AL1142" t="s">
        <v>26</v>
      </c>
      <c r="AM1142" t="s">
        <v>26</v>
      </c>
      <c r="AN1142" t="s">
        <v>26</v>
      </c>
      <c r="AO1142" s="25" t="s">
        <v>68</v>
      </c>
      <c r="AP1142" s="23" t="s">
        <v>69</v>
      </c>
      <c r="AQ1142" s="23" t="s">
        <v>30</v>
      </c>
      <c r="AR1142" s="23" t="s">
        <v>147</v>
      </c>
      <c r="AS1142" s="25">
        <v>29657</v>
      </c>
      <c r="AT1142" t="s">
        <v>26</v>
      </c>
      <c r="AU1142" t="s">
        <v>23729</v>
      </c>
    </row>
    <row r="1143" spans="1:47" ht="26.25" x14ac:dyDescent="0.4">
      <c r="A1143" s="23" t="s">
        <v>2843</v>
      </c>
      <c r="B1143" t="s">
        <v>26</v>
      </c>
      <c r="C1143" s="23" t="s">
        <v>2844</v>
      </c>
      <c r="D1143" s="23" t="s">
        <v>22709</v>
      </c>
      <c r="E1143" s="23" t="s">
        <v>60</v>
      </c>
      <c r="F1143" s="25" t="s">
        <v>2845</v>
      </c>
      <c r="G1143" s="25" t="s">
        <v>2846</v>
      </c>
      <c r="H1143" t="s">
        <v>26</v>
      </c>
      <c r="I1143" t="s">
        <v>26</v>
      </c>
      <c r="J1143" t="s">
        <v>26</v>
      </c>
      <c r="K1143" t="s">
        <v>26</v>
      </c>
      <c r="L1143" s="25" t="s">
        <v>68</v>
      </c>
      <c r="M1143" t="s">
        <v>26</v>
      </c>
      <c r="N1143" t="s">
        <v>26</v>
      </c>
      <c r="O1143" t="s">
        <v>26</v>
      </c>
      <c r="P1143" t="s">
        <v>26</v>
      </c>
      <c r="Q1143" t="s">
        <v>26</v>
      </c>
      <c r="R1143" t="s">
        <v>26</v>
      </c>
      <c r="S1143" t="s">
        <v>26</v>
      </c>
      <c r="T1143" t="s">
        <v>26</v>
      </c>
      <c r="U1143" t="s">
        <v>26</v>
      </c>
      <c r="V1143" t="s">
        <v>26</v>
      </c>
      <c r="W1143" s="24">
        <v>42370</v>
      </c>
      <c r="X1143" s="25" t="s">
        <v>77</v>
      </c>
      <c r="Y1143" t="s">
        <v>26</v>
      </c>
      <c r="Z1143" s="24">
        <v>42370</v>
      </c>
      <c r="AA1143" s="25" t="s">
        <v>77</v>
      </c>
      <c r="AB1143" t="s">
        <v>26</v>
      </c>
      <c r="AC1143" s="24">
        <v>42370</v>
      </c>
      <c r="AD1143" s="25" t="s">
        <v>77</v>
      </c>
      <c r="AE1143" t="s">
        <v>26</v>
      </c>
      <c r="AF1143" t="s">
        <v>26</v>
      </c>
      <c r="AG1143" t="s">
        <v>26</v>
      </c>
      <c r="AH1143" t="s">
        <v>26</v>
      </c>
      <c r="AI1143" t="s">
        <v>26</v>
      </c>
      <c r="AJ1143" t="s">
        <v>26</v>
      </c>
      <c r="AK1143" t="s">
        <v>26</v>
      </c>
      <c r="AL1143" t="s">
        <v>26</v>
      </c>
      <c r="AM1143" t="s">
        <v>26</v>
      </c>
      <c r="AN1143" t="s">
        <v>26</v>
      </c>
      <c r="AO1143" s="25" t="s">
        <v>68</v>
      </c>
      <c r="AP1143" s="23" t="s">
        <v>69</v>
      </c>
      <c r="AQ1143" s="23" t="s">
        <v>30</v>
      </c>
      <c r="AR1143" s="23" t="s">
        <v>2847</v>
      </c>
      <c r="AS1143" s="25">
        <v>2041990</v>
      </c>
      <c r="AT1143" t="s">
        <v>26</v>
      </c>
      <c r="AU1143" t="s">
        <v>23730</v>
      </c>
    </row>
    <row r="1144" spans="1:47" ht="26.25" x14ac:dyDescent="0.4">
      <c r="A1144" s="23" t="s">
        <v>2848</v>
      </c>
      <c r="B1144" t="s">
        <v>26</v>
      </c>
      <c r="C1144" s="23" t="s">
        <v>908</v>
      </c>
      <c r="D1144" s="23" t="s">
        <v>22174</v>
      </c>
      <c r="E1144" s="23" t="s">
        <v>60</v>
      </c>
      <c r="F1144" s="25" t="s">
        <v>2849</v>
      </c>
      <c r="G1144" s="25" t="s">
        <v>2850</v>
      </c>
      <c r="H1144" t="s">
        <v>26</v>
      </c>
      <c r="I1144" s="24">
        <v>39814</v>
      </c>
      <c r="J1144" s="24">
        <v>43647</v>
      </c>
      <c r="K1144" t="s">
        <v>26</v>
      </c>
      <c r="L1144" s="25" t="s">
        <v>68</v>
      </c>
      <c r="M1144" s="24">
        <v>39814</v>
      </c>
      <c r="N1144" s="24">
        <v>43647</v>
      </c>
      <c r="O1144" t="s">
        <v>26</v>
      </c>
      <c r="P1144" s="24">
        <v>39814</v>
      </c>
      <c r="Q1144" s="24">
        <v>43647</v>
      </c>
      <c r="R1144" t="s">
        <v>26</v>
      </c>
      <c r="S1144" t="s">
        <v>26</v>
      </c>
      <c r="T1144" t="s">
        <v>26</v>
      </c>
      <c r="U1144" t="s">
        <v>26</v>
      </c>
      <c r="V1144" t="s">
        <v>26</v>
      </c>
      <c r="W1144" s="24">
        <v>39814</v>
      </c>
      <c r="X1144" s="24">
        <v>43647</v>
      </c>
      <c r="Y1144" t="s">
        <v>26</v>
      </c>
      <c r="Z1144" s="24">
        <v>39814</v>
      </c>
      <c r="AA1144" s="24">
        <v>43647</v>
      </c>
      <c r="AB1144" t="s">
        <v>26</v>
      </c>
      <c r="AC1144" s="24">
        <v>39814</v>
      </c>
      <c r="AD1144" s="24">
        <v>43647</v>
      </c>
      <c r="AE1144" t="s">
        <v>26</v>
      </c>
      <c r="AF1144" t="s">
        <v>26</v>
      </c>
      <c r="AG1144" t="s">
        <v>26</v>
      </c>
      <c r="AH1144" t="s">
        <v>26</v>
      </c>
      <c r="AI1144" t="s">
        <v>26</v>
      </c>
      <c r="AJ1144" t="s">
        <v>26</v>
      </c>
      <c r="AK1144" t="s">
        <v>26</v>
      </c>
      <c r="AL1144" t="s">
        <v>26</v>
      </c>
      <c r="AM1144" t="s">
        <v>26</v>
      </c>
      <c r="AN1144" t="s">
        <v>26</v>
      </c>
      <c r="AO1144" s="25" t="s">
        <v>68</v>
      </c>
      <c r="AP1144" s="23" t="s">
        <v>69</v>
      </c>
      <c r="AQ1144" s="23" t="s">
        <v>30</v>
      </c>
      <c r="AR1144" s="23" t="s">
        <v>2851</v>
      </c>
      <c r="AS1144" s="25">
        <v>2041034</v>
      </c>
      <c r="AT1144" t="s">
        <v>26</v>
      </c>
      <c r="AU1144" t="s">
        <v>23731</v>
      </c>
    </row>
    <row r="1145" spans="1:47" ht="13.15" x14ac:dyDescent="0.4">
      <c r="A1145" s="23" t="s">
        <v>2852</v>
      </c>
      <c r="B1145" t="s">
        <v>26</v>
      </c>
      <c r="C1145" s="23" t="s">
        <v>146</v>
      </c>
      <c r="D1145" s="23" t="s">
        <v>22174</v>
      </c>
      <c r="E1145" s="23" t="s">
        <v>60</v>
      </c>
      <c r="F1145" t="s">
        <v>26</v>
      </c>
      <c r="G1145" t="s">
        <v>26</v>
      </c>
      <c r="H1145" t="s">
        <v>26</v>
      </c>
      <c r="I1145" t="s">
        <v>26</v>
      </c>
      <c r="J1145" t="s">
        <v>26</v>
      </c>
      <c r="K1145" t="s">
        <v>26</v>
      </c>
      <c r="L1145" s="25" t="s">
        <v>28</v>
      </c>
      <c r="M1145" t="s">
        <v>26</v>
      </c>
      <c r="N1145" t="s">
        <v>26</v>
      </c>
      <c r="O1145" t="s">
        <v>26</v>
      </c>
      <c r="P1145" t="s">
        <v>26</v>
      </c>
      <c r="Q1145" t="s">
        <v>26</v>
      </c>
      <c r="R1145" t="s">
        <v>26</v>
      </c>
      <c r="S1145" t="s">
        <v>26</v>
      </c>
      <c r="T1145" t="s">
        <v>26</v>
      </c>
      <c r="U1145" t="s">
        <v>26</v>
      </c>
      <c r="V1145" t="s">
        <v>26</v>
      </c>
      <c r="W1145" s="24">
        <v>41640</v>
      </c>
      <c r="X1145" s="24">
        <v>41640</v>
      </c>
      <c r="Y1145" t="s">
        <v>26</v>
      </c>
      <c r="Z1145" s="24">
        <v>41640</v>
      </c>
      <c r="AA1145" s="24">
        <v>41640</v>
      </c>
      <c r="AB1145" t="s">
        <v>26</v>
      </c>
      <c r="AC1145" t="s">
        <v>26</v>
      </c>
      <c r="AD1145" t="s">
        <v>26</v>
      </c>
      <c r="AE1145" t="s">
        <v>26</v>
      </c>
      <c r="AF1145" t="s">
        <v>26</v>
      </c>
      <c r="AG1145" t="s">
        <v>26</v>
      </c>
      <c r="AH1145" t="s">
        <v>26</v>
      </c>
      <c r="AI1145" t="s">
        <v>26</v>
      </c>
      <c r="AJ1145" t="s">
        <v>26</v>
      </c>
      <c r="AK1145" t="s">
        <v>26</v>
      </c>
      <c r="AL1145" t="s">
        <v>26</v>
      </c>
      <c r="AM1145" t="s">
        <v>26</v>
      </c>
      <c r="AN1145" t="s">
        <v>26</v>
      </c>
      <c r="AO1145" s="25" t="s">
        <v>28</v>
      </c>
      <c r="AP1145" s="23" t="s">
        <v>29</v>
      </c>
      <c r="AQ1145" s="23" t="s">
        <v>30</v>
      </c>
      <c r="AR1145" s="23" t="s">
        <v>44</v>
      </c>
      <c r="AS1145" s="25">
        <v>5483624</v>
      </c>
      <c r="AT1145" s="23" t="s">
        <v>22181</v>
      </c>
      <c r="AU1145" t="s">
        <v>23732</v>
      </c>
    </row>
    <row r="1146" spans="1:47" ht="26.25" x14ac:dyDescent="0.4">
      <c r="A1146" s="23" t="s">
        <v>2853</v>
      </c>
      <c r="B1146" t="s">
        <v>26</v>
      </c>
      <c r="C1146" s="23" t="s">
        <v>146</v>
      </c>
      <c r="D1146" s="23" t="s">
        <v>22174</v>
      </c>
      <c r="E1146" s="23" t="s">
        <v>60</v>
      </c>
      <c r="F1146" t="s">
        <v>26</v>
      </c>
      <c r="G1146" t="s">
        <v>26</v>
      </c>
      <c r="H1146" t="s">
        <v>26</v>
      </c>
      <c r="I1146" t="s">
        <v>26</v>
      </c>
      <c r="J1146" t="s">
        <v>26</v>
      </c>
      <c r="K1146" t="s">
        <v>26</v>
      </c>
      <c r="L1146" s="25" t="s">
        <v>28</v>
      </c>
      <c r="M1146" t="s">
        <v>26</v>
      </c>
      <c r="N1146" t="s">
        <v>26</v>
      </c>
      <c r="O1146" t="s">
        <v>26</v>
      </c>
      <c r="P1146" t="s">
        <v>26</v>
      </c>
      <c r="Q1146" t="s">
        <v>26</v>
      </c>
      <c r="R1146" t="s">
        <v>26</v>
      </c>
      <c r="S1146" t="s">
        <v>26</v>
      </c>
      <c r="T1146" t="s">
        <v>26</v>
      </c>
      <c r="U1146" t="s">
        <v>26</v>
      </c>
      <c r="V1146" t="s">
        <v>26</v>
      </c>
      <c r="W1146" s="24">
        <v>42005</v>
      </c>
      <c r="X1146" s="24">
        <v>42005</v>
      </c>
      <c r="Y1146" t="s">
        <v>26</v>
      </c>
      <c r="Z1146" s="24">
        <v>42005</v>
      </c>
      <c r="AA1146" s="24">
        <v>42005</v>
      </c>
      <c r="AB1146" t="s">
        <v>26</v>
      </c>
      <c r="AC1146" t="s">
        <v>26</v>
      </c>
      <c r="AD1146" t="s">
        <v>26</v>
      </c>
      <c r="AE1146" t="s">
        <v>26</v>
      </c>
      <c r="AF1146" t="s">
        <v>26</v>
      </c>
      <c r="AG1146" t="s">
        <v>26</v>
      </c>
      <c r="AH1146" t="s">
        <v>26</v>
      </c>
      <c r="AI1146" t="s">
        <v>26</v>
      </c>
      <c r="AJ1146" t="s">
        <v>26</v>
      </c>
      <c r="AK1146" t="s">
        <v>26</v>
      </c>
      <c r="AL1146" t="s">
        <v>26</v>
      </c>
      <c r="AM1146" t="s">
        <v>26</v>
      </c>
      <c r="AN1146" t="s">
        <v>26</v>
      </c>
      <c r="AO1146" s="25" t="s">
        <v>28</v>
      </c>
      <c r="AP1146" s="23" t="s">
        <v>29</v>
      </c>
      <c r="AQ1146" s="23" t="s">
        <v>30</v>
      </c>
      <c r="AR1146" s="23" t="s">
        <v>147</v>
      </c>
      <c r="AS1146" s="25">
        <v>5483601</v>
      </c>
      <c r="AT1146" s="23" t="s">
        <v>22181</v>
      </c>
      <c r="AU1146" t="s">
        <v>23733</v>
      </c>
    </row>
    <row r="1147" spans="1:47" ht="26.25" x14ac:dyDescent="0.4">
      <c r="A1147" s="23" t="s">
        <v>2854</v>
      </c>
      <c r="B1147" t="s">
        <v>26</v>
      </c>
      <c r="C1147" s="23" t="s">
        <v>1141</v>
      </c>
      <c r="D1147" s="23" t="s">
        <v>22174</v>
      </c>
      <c r="E1147" s="23" t="s">
        <v>60</v>
      </c>
      <c r="F1147" t="s">
        <v>26</v>
      </c>
      <c r="G1147" t="s">
        <v>26</v>
      </c>
      <c r="H1147" t="s">
        <v>26</v>
      </c>
      <c r="I1147" t="s">
        <v>26</v>
      </c>
      <c r="J1147" t="s">
        <v>26</v>
      </c>
      <c r="K1147" t="s">
        <v>26</v>
      </c>
      <c r="L1147" s="25" t="s">
        <v>28</v>
      </c>
      <c r="M1147" t="s">
        <v>26</v>
      </c>
      <c r="N1147" t="s">
        <v>26</v>
      </c>
      <c r="O1147" t="s">
        <v>26</v>
      </c>
      <c r="P1147" t="s">
        <v>26</v>
      </c>
      <c r="Q1147" t="s">
        <v>26</v>
      </c>
      <c r="R1147" t="s">
        <v>26</v>
      </c>
      <c r="S1147" t="s">
        <v>26</v>
      </c>
      <c r="T1147" t="s">
        <v>26</v>
      </c>
      <c r="U1147" t="s">
        <v>26</v>
      </c>
      <c r="V1147" t="s">
        <v>26</v>
      </c>
      <c r="W1147" s="24">
        <v>42370</v>
      </c>
      <c r="X1147" s="24">
        <v>42370</v>
      </c>
      <c r="Y1147" t="s">
        <v>26</v>
      </c>
      <c r="Z1147" s="24">
        <v>42370</v>
      </c>
      <c r="AA1147" s="24">
        <v>42370</v>
      </c>
      <c r="AB1147" t="s">
        <v>26</v>
      </c>
      <c r="AC1147" t="s">
        <v>26</v>
      </c>
      <c r="AD1147" t="s">
        <v>26</v>
      </c>
      <c r="AE1147" t="s">
        <v>26</v>
      </c>
      <c r="AF1147" t="s">
        <v>26</v>
      </c>
      <c r="AG1147" t="s">
        <v>26</v>
      </c>
      <c r="AH1147" t="s">
        <v>26</v>
      </c>
      <c r="AI1147" t="s">
        <v>26</v>
      </c>
      <c r="AJ1147" t="s">
        <v>26</v>
      </c>
      <c r="AK1147" t="s">
        <v>26</v>
      </c>
      <c r="AL1147" t="s">
        <v>26</v>
      </c>
      <c r="AM1147" t="s">
        <v>26</v>
      </c>
      <c r="AN1147" t="s">
        <v>26</v>
      </c>
      <c r="AO1147" s="25" t="s">
        <v>28</v>
      </c>
      <c r="AP1147" s="23" t="s">
        <v>29</v>
      </c>
      <c r="AQ1147" s="23" t="s">
        <v>30</v>
      </c>
      <c r="AR1147" s="23" t="s">
        <v>44</v>
      </c>
      <c r="AS1147" s="25">
        <v>5483557</v>
      </c>
      <c r="AT1147" s="23" t="s">
        <v>22181</v>
      </c>
      <c r="AU1147" t="s">
        <v>23734</v>
      </c>
    </row>
    <row r="1148" spans="1:47" ht="26.25" x14ac:dyDescent="0.4">
      <c r="A1148" s="23" t="s">
        <v>2855</v>
      </c>
      <c r="B1148" t="s">
        <v>26</v>
      </c>
      <c r="C1148" s="23" t="s">
        <v>146</v>
      </c>
      <c r="D1148" s="23" t="s">
        <v>22174</v>
      </c>
      <c r="E1148" s="23" t="s">
        <v>60</v>
      </c>
      <c r="F1148" t="s">
        <v>26</v>
      </c>
      <c r="G1148" t="s">
        <v>26</v>
      </c>
      <c r="H1148" t="s">
        <v>26</v>
      </c>
      <c r="I1148" t="s">
        <v>26</v>
      </c>
      <c r="J1148" t="s">
        <v>26</v>
      </c>
      <c r="K1148" t="s">
        <v>26</v>
      </c>
      <c r="L1148" s="25" t="s">
        <v>28</v>
      </c>
      <c r="M1148" t="s">
        <v>26</v>
      </c>
      <c r="N1148" t="s">
        <v>26</v>
      </c>
      <c r="O1148" t="s">
        <v>26</v>
      </c>
      <c r="P1148" t="s">
        <v>26</v>
      </c>
      <c r="Q1148" t="s">
        <v>26</v>
      </c>
      <c r="R1148" t="s">
        <v>26</v>
      </c>
      <c r="S1148" t="s">
        <v>26</v>
      </c>
      <c r="T1148" t="s">
        <v>26</v>
      </c>
      <c r="U1148" t="s">
        <v>26</v>
      </c>
      <c r="V1148" t="s">
        <v>26</v>
      </c>
      <c r="W1148" s="24">
        <v>42370</v>
      </c>
      <c r="X1148" s="24">
        <v>42370</v>
      </c>
      <c r="Y1148" t="s">
        <v>26</v>
      </c>
      <c r="Z1148" s="24">
        <v>42370</v>
      </c>
      <c r="AA1148" s="24">
        <v>42370</v>
      </c>
      <c r="AB1148" t="s">
        <v>26</v>
      </c>
      <c r="AC1148" t="s">
        <v>26</v>
      </c>
      <c r="AD1148" t="s">
        <v>26</v>
      </c>
      <c r="AE1148" t="s">
        <v>26</v>
      </c>
      <c r="AF1148" t="s">
        <v>26</v>
      </c>
      <c r="AG1148" t="s">
        <v>26</v>
      </c>
      <c r="AH1148" t="s">
        <v>26</v>
      </c>
      <c r="AI1148" t="s">
        <v>26</v>
      </c>
      <c r="AJ1148" t="s">
        <v>26</v>
      </c>
      <c r="AK1148" t="s">
        <v>26</v>
      </c>
      <c r="AL1148" t="s">
        <v>26</v>
      </c>
      <c r="AM1148" t="s">
        <v>26</v>
      </c>
      <c r="AN1148" t="s">
        <v>26</v>
      </c>
      <c r="AO1148" s="25" t="s">
        <v>28</v>
      </c>
      <c r="AP1148" s="23" t="s">
        <v>29</v>
      </c>
      <c r="AQ1148" s="23" t="s">
        <v>30</v>
      </c>
      <c r="AR1148" s="23" t="s">
        <v>2856</v>
      </c>
      <c r="AS1148" s="25">
        <v>5483593</v>
      </c>
      <c r="AT1148" s="23" t="s">
        <v>22181</v>
      </c>
      <c r="AU1148" t="s">
        <v>23735</v>
      </c>
    </row>
    <row r="1149" spans="1:47" ht="26.25" x14ac:dyDescent="0.4">
      <c r="A1149" s="23" t="s">
        <v>2857</v>
      </c>
      <c r="B1149" t="s">
        <v>26</v>
      </c>
      <c r="C1149" s="23" t="s">
        <v>146</v>
      </c>
      <c r="D1149" s="23" t="s">
        <v>22174</v>
      </c>
      <c r="E1149" s="23" t="s">
        <v>60</v>
      </c>
      <c r="F1149" t="s">
        <v>26</v>
      </c>
      <c r="G1149" t="s">
        <v>26</v>
      </c>
      <c r="H1149" t="s">
        <v>26</v>
      </c>
      <c r="I1149" t="s">
        <v>26</v>
      </c>
      <c r="J1149" t="s">
        <v>26</v>
      </c>
      <c r="K1149" t="s">
        <v>26</v>
      </c>
      <c r="L1149" s="25" t="s">
        <v>28</v>
      </c>
      <c r="M1149" t="s">
        <v>26</v>
      </c>
      <c r="N1149" t="s">
        <v>26</v>
      </c>
      <c r="O1149" t="s">
        <v>26</v>
      </c>
      <c r="P1149" t="s">
        <v>26</v>
      </c>
      <c r="Q1149" t="s">
        <v>26</v>
      </c>
      <c r="R1149" t="s">
        <v>26</v>
      </c>
      <c r="S1149" t="s">
        <v>26</v>
      </c>
      <c r="T1149" t="s">
        <v>26</v>
      </c>
      <c r="U1149" t="s">
        <v>26</v>
      </c>
      <c r="V1149" t="s">
        <v>26</v>
      </c>
      <c r="W1149" s="24">
        <v>42005</v>
      </c>
      <c r="X1149" s="24">
        <v>42005</v>
      </c>
      <c r="Y1149" t="s">
        <v>26</v>
      </c>
      <c r="Z1149" s="24">
        <v>42005</v>
      </c>
      <c r="AA1149" s="24">
        <v>42005</v>
      </c>
      <c r="AB1149" t="s">
        <v>26</v>
      </c>
      <c r="AC1149" t="s">
        <v>26</v>
      </c>
      <c r="AD1149" t="s">
        <v>26</v>
      </c>
      <c r="AE1149" t="s">
        <v>26</v>
      </c>
      <c r="AF1149" t="s">
        <v>26</v>
      </c>
      <c r="AG1149" t="s">
        <v>26</v>
      </c>
      <c r="AH1149" t="s">
        <v>26</v>
      </c>
      <c r="AI1149" t="s">
        <v>26</v>
      </c>
      <c r="AJ1149" t="s">
        <v>26</v>
      </c>
      <c r="AK1149" t="s">
        <v>26</v>
      </c>
      <c r="AL1149" t="s">
        <v>26</v>
      </c>
      <c r="AM1149" t="s">
        <v>26</v>
      </c>
      <c r="AN1149" t="s">
        <v>26</v>
      </c>
      <c r="AO1149" s="25" t="s">
        <v>28</v>
      </c>
      <c r="AP1149" s="23" t="s">
        <v>29</v>
      </c>
      <c r="AQ1149" s="23" t="s">
        <v>30</v>
      </c>
      <c r="AR1149" s="23" t="s">
        <v>245</v>
      </c>
      <c r="AS1149" s="25">
        <v>5483596</v>
      </c>
      <c r="AT1149" s="23" t="s">
        <v>22181</v>
      </c>
      <c r="AU1149" t="s">
        <v>23736</v>
      </c>
    </row>
    <row r="1150" spans="1:47" ht="26.25" x14ac:dyDescent="0.4">
      <c r="A1150" s="23" t="s">
        <v>2858</v>
      </c>
      <c r="B1150" t="s">
        <v>26</v>
      </c>
      <c r="C1150" s="23" t="s">
        <v>294</v>
      </c>
      <c r="D1150" s="23" t="s">
        <v>22179</v>
      </c>
      <c r="E1150" s="23" t="s">
        <v>42</v>
      </c>
      <c r="F1150" t="s">
        <v>26</v>
      </c>
      <c r="G1150" t="s">
        <v>26</v>
      </c>
      <c r="H1150" t="s">
        <v>26</v>
      </c>
      <c r="I1150" s="24">
        <v>39814</v>
      </c>
      <c r="J1150" s="24">
        <v>39814</v>
      </c>
      <c r="K1150" t="s">
        <v>26</v>
      </c>
      <c r="L1150" s="25" t="s">
        <v>28</v>
      </c>
      <c r="M1150" t="s">
        <v>26</v>
      </c>
      <c r="N1150" t="s">
        <v>26</v>
      </c>
      <c r="O1150" t="s">
        <v>26</v>
      </c>
      <c r="P1150" s="24">
        <v>39814</v>
      </c>
      <c r="Q1150" s="24">
        <v>39814</v>
      </c>
      <c r="R1150" t="s">
        <v>26</v>
      </c>
      <c r="S1150" t="s">
        <v>26</v>
      </c>
      <c r="T1150" t="s">
        <v>26</v>
      </c>
      <c r="U1150" t="s">
        <v>26</v>
      </c>
      <c r="V1150" t="s">
        <v>26</v>
      </c>
      <c r="W1150" s="24">
        <v>39814</v>
      </c>
      <c r="X1150" s="24">
        <v>39814</v>
      </c>
      <c r="Y1150" t="s">
        <v>26</v>
      </c>
      <c r="Z1150" s="24">
        <v>39814</v>
      </c>
      <c r="AA1150" s="24">
        <v>39814</v>
      </c>
      <c r="AB1150" t="s">
        <v>26</v>
      </c>
      <c r="AC1150" s="24">
        <v>39814</v>
      </c>
      <c r="AD1150" s="24">
        <v>39814</v>
      </c>
      <c r="AE1150" t="s">
        <v>26</v>
      </c>
      <c r="AF1150" t="s">
        <v>26</v>
      </c>
      <c r="AG1150" t="s">
        <v>26</v>
      </c>
      <c r="AH1150" t="s">
        <v>26</v>
      </c>
      <c r="AI1150" t="s">
        <v>26</v>
      </c>
      <c r="AJ1150" t="s">
        <v>26</v>
      </c>
      <c r="AK1150" t="s">
        <v>26</v>
      </c>
      <c r="AL1150" t="s">
        <v>26</v>
      </c>
      <c r="AM1150" t="s">
        <v>26</v>
      </c>
      <c r="AN1150" t="s">
        <v>26</v>
      </c>
      <c r="AO1150" s="25" t="s">
        <v>28</v>
      </c>
      <c r="AP1150" s="23" t="s">
        <v>29</v>
      </c>
      <c r="AQ1150" s="23" t="s">
        <v>30</v>
      </c>
      <c r="AR1150" s="23" t="s">
        <v>147</v>
      </c>
      <c r="AS1150" s="25">
        <v>5325210</v>
      </c>
      <c r="AT1150" s="23" t="s">
        <v>22181</v>
      </c>
      <c r="AU1150" t="s">
        <v>23737</v>
      </c>
    </row>
    <row r="1151" spans="1:47" ht="26.25" x14ac:dyDescent="0.4">
      <c r="A1151" s="23" t="s">
        <v>2859</v>
      </c>
      <c r="B1151" t="s">
        <v>26</v>
      </c>
      <c r="C1151" s="23" t="s">
        <v>2241</v>
      </c>
      <c r="D1151" t="s">
        <v>26</v>
      </c>
      <c r="E1151" s="23" t="s">
        <v>42</v>
      </c>
      <c r="F1151" t="s">
        <v>26</v>
      </c>
      <c r="G1151" t="s">
        <v>26</v>
      </c>
      <c r="H1151" t="s">
        <v>26</v>
      </c>
      <c r="I1151" s="24">
        <v>40909</v>
      </c>
      <c r="J1151" s="24">
        <v>40909</v>
      </c>
      <c r="K1151" t="s">
        <v>26</v>
      </c>
      <c r="L1151" s="25" t="s">
        <v>28</v>
      </c>
      <c r="M1151" s="24">
        <v>40909</v>
      </c>
      <c r="N1151" s="24">
        <v>40909</v>
      </c>
      <c r="O1151" t="s">
        <v>26</v>
      </c>
      <c r="P1151" t="s">
        <v>26</v>
      </c>
      <c r="Q1151" t="s">
        <v>26</v>
      </c>
      <c r="R1151" t="s">
        <v>26</v>
      </c>
      <c r="S1151" s="24">
        <v>40909</v>
      </c>
      <c r="T1151" s="24">
        <v>40909</v>
      </c>
      <c r="U1151" t="s">
        <v>26</v>
      </c>
      <c r="V1151" t="s">
        <v>26</v>
      </c>
      <c r="W1151" s="24">
        <v>40909</v>
      </c>
      <c r="X1151" s="24">
        <v>40909</v>
      </c>
      <c r="Y1151" t="s">
        <v>26</v>
      </c>
      <c r="Z1151" s="24">
        <v>40909</v>
      </c>
      <c r="AA1151" s="24">
        <v>40909</v>
      </c>
      <c r="AB1151" t="s">
        <v>26</v>
      </c>
      <c r="AC1151" s="24">
        <v>40909</v>
      </c>
      <c r="AD1151" s="24">
        <v>40909</v>
      </c>
      <c r="AE1151" t="s">
        <v>26</v>
      </c>
      <c r="AF1151" s="24">
        <v>40909</v>
      </c>
      <c r="AG1151" s="24">
        <v>40909</v>
      </c>
      <c r="AH1151" t="s">
        <v>26</v>
      </c>
      <c r="AI1151" s="24">
        <v>40909</v>
      </c>
      <c r="AJ1151" s="24">
        <v>40909</v>
      </c>
      <c r="AK1151" t="s">
        <v>26</v>
      </c>
      <c r="AL1151" t="s">
        <v>26</v>
      </c>
      <c r="AM1151" t="s">
        <v>26</v>
      </c>
      <c r="AN1151" t="s">
        <v>26</v>
      </c>
      <c r="AO1151" s="25" t="s">
        <v>28</v>
      </c>
      <c r="AP1151" s="23" t="s">
        <v>43</v>
      </c>
      <c r="AQ1151" s="23" t="s">
        <v>30</v>
      </c>
      <c r="AR1151" s="23" t="s">
        <v>44</v>
      </c>
      <c r="AS1151" s="25">
        <v>5262118</v>
      </c>
      <c r="AT1151" t="s">
        <v>26</v>
      </c>
      <c r="AU1151" t="s">
        <v>23738</v>
      </c>
    </row>
    <row r="1152" spans="1:47" ht="26.25" x14ac:dyDescent="0.4">
      <c r="A1152" s="23" t="s">
        <v>2860</v>
      </c>
      <c r="B1152" t="s">
        <v>26</v>
      </c>
      <c r="C1152" s="23" t="s">
        <v>146</v>
      </c>
      <c r="D1152" s="23" t="s">
        <v>22174</v>
      </c>
      <c r="E1152" s="23" t="s">
        <v>60</v>
      </c>
      <c r="F1152" t="s">
        <v>26</v>
      </c>
      <c r="G1152" t="s">
        <v>26</v>
      </c>
      <c r="H1152" t="s">
        <v>26</v>
      </c>
      <c r="I1152" t="s">
        <v>26</v>
      </c>
      <c r="J1152" t="s">
        <v>26</v>
      </c>
      <c r="K1152" t="s">
        <v>26</v>
      </c>
      <c r="L1152" s="25" t="s">
        <v>28</v>
      </c>
      <c r="M1152" t="s">
        <v>26</v>
      </c>
      <c r="N1152" t="s">
        <v>26</v>
      </c>
      <c r="O1152" t="s">
        <v>26</v>
      </c>
      <c r="P1152" t="s">
        <v>26</v>
      </c>
      <c r="Q1152" t="s">
        <v>26</v>
      </c>
      <c r="R1152" t="s">
        <v>26</v>
      </c>
      <c r="S1152" t="s">
        <v>26</v>
      </c>
      <c r="T1152" t="s">
        <v>26</v>
      </c>
      <c r="U1152" t="s">
        <v>26</v>
      </c>
      <c r="V1152" t="s">
        <v>26</v>
      </c>
      <c r="W1152" s="24">
        <v>42370</v>
      </c>
      <c r="X1152" s="24">
        <v>42370</v>
      </c>
      <c r="Y1152" t="s">
        <v>26</v>
      </c>
      <c r="Z1152" s="24">
        <v>42370</v>
      </c>
      <c r="AA1152" s="24">
        <v>42370</v>
      </c>
      <c r="AB1152" t="s">
        <v>26</v>
      </c>
      <c r="AC1152" t="s">
        <v>26</v>
      </c>
      <c r="AD1152" t="s">
        <v>26</v>
      </c>
      <c r="AE1152" t="s">
        <v>26</v>
      </c>
      <c r="AF1152" t="s">
        <v>26</v>
      </c>
      <c r="AG1152" t="s">
        <v>26</v>
      </c>
      <c r="AH1152" t="s">
        <v>26</v>
      </c>
      <c r="AI1152" t="s">
        <v>26</v>
      </c>
      <c r="AJ1152" t="s">
        <v>26</v>
      </c>
      <c r="AK1152" t="s">
        <v>26</v>
      </c>
      <c r="AL1152" t="s">
        <v>26</v>
      </c>
      <c r="AM1152" t="s">
        <v>26</v>
      </c>
      <c r="AN1152" t="s">
        <v>26</v>
      </c>
      <c r="AO1152" s="25" t="s">
        <v>28</v>
      </c>
      <c r="AP1152" s="23" t="s">
        <v>29</v>
      </c>
      <c r="AQ1152" s="23" t="s">
        <v>30</v>
      </c>
      <c r="AR1152" s="23" t="s">
        <v>147</v>
      </c>
      <c r="AS1152" s="25">
        <v>5483600</v>
      </c>
      <c r="AT1152" s="23" t="s">
        <v>22181</v>
      </c>
      <c r="AU1152" t="s">
        <v>23739</v>
      </c>
    </row>
    <row r="1153" spans="1:47" ht="26.25" x14ac:dyDescent="0.4">
      <c r="A1153" s="23" t="s">
        <v>2861</v>
      </c>
      <c r="B1153" t="s">
        <v>26</v>
      </c>
      <c r="C1153" s="23" t="s">
        <v>1612</v>
      </c>
      <c r="D1153" s="23" t="s">
        <v>23047</v>
      </c>
      <c r="E1153" s="23" t="s">
        <v>42</v>
      </c>
      <c r="F1153" t="s">
        <v>26</v>
      </c>
      <c r="G1153" t="s">
        <v>26</v>
      </c>
      <c r="H1153" t="s">
        <v>26</v>
      </c>
      <c r="I1153" t="s">
        <v>26</v>
      </c>
      <c r="J1153" t="s">
        <v>26</v>
      </c>
      <c r="K1153" t="s">
        <v>26</v>
      </c>
      <c r="L1153" s="25" t="s">
        <v>28</v>
      </c>
      <c r="M1153" t="s">
        <v>26</v>
      </c>
      <c r="N1153" t="s">
        <v>26</v>
      </c>
      <c r="O1153" t="s">
        <v>26</v>
      </c>
      <c r="P1153" t="s">
        <v>26</v>
      </c>
      <c r="Q1153" t="s">
        <v>26</v>
      </c>
      <c r="R1153" t="s">
        <v>26</v>
      </c>
      <c r="S1153" t="s">
        <v>26</v>
      </c>
      <c r="T1153" t="s">
        <v>26</v>
      </c>
      <c r="U1153" t="s">
        <v>26</v>
      </c>
      <c r="V1153" t="s">
        <v>26</v>
      </c>
      <c r="W1153" s="24">
        <v>40179</v>
      </c>
      <c r="X1153" s="24">
        <v>40179</v>
      </c>
      <c r="Y1153" t="s">
        <v>26</v>
      </c>
      <c r="Z1153" s="24">
        <v>40179</v>
      </c>
      <c r="AA1153" s="24">
        <v>40179</v>
      </c>
      <c r="AB1153" t="s">
        <v>26</v>
      </c>
      <c r="AC1153" t="s">
        <v>26</v>
      </c>
      <c r="AD1153" t="s">
        <v>26</v>
      </c>
      <c r="AE1153" t="s">
        <v>26</v>
      </c>
      <c r="AF1153" t="s">
        <v>26</v>
      </c>
      <c r="AG1153" t="s">
        <v>26</v>
      </c>
      <c r="AH1153" t="s">
        <v>26</v>
      </c>
      <c r="AI1153" t="s">
        <v>26</v>
      </c>
      <c r="AJ1153" t="s">
        <v>26</v>
      </c>
      <c r="AK1153" t="s">
        <v>26</v>
      </c>
      <c r="AL1153" t="s">
        <v>26</v>
      </c>
      <c r="AM1153" t="s">
        <v>26</v>
      </c>
      <c r="AN1153" t="s">
        <v>26</v>
      </c>
      <c r="AO1153" s="25" t="s">
        <v>28</v>
      </c>
      <c r="AP1153" s="23" t="s">
        <v>29</v>
      </c>
      <c r="AQ1153" s="23" t="s">
        <v>30</v>
      </c>
      <c r="AR1153" s="23" t="s">
        <v>147</v>
      </c>
      <c r="AS1153" s="25">
        <v>5483555</v>
      </c>
      <c r="AT1153" s="23" t="s">
        <v>22181</v>
      </c>
      <c r="AU1153" t="s">
        <v>23740</v>
      </c>
    </row>
    <row r="1154" spans="1:47" ht="26.25" x14ac:dyDescent="0.4">
      <c r="A1154" s="23" t="s">
        <v>2862</v>
      </c>
      <c r="B1154" t="s">
        <v>26</v>
      </c>
      <c r="C1154" s="23" t="s">
        <v>80</v>
      </c>
      <c r="D1154" s="23" t="s">
        <v>22184</v>
      </c>
      <c r="E1154" s="23" t="s">
        <v>60</v>
      </c>
      <c r="F1154" s="25" t="s">
        <v>2863</v>
      </c>
      <c r="G1154" s="25" t="s">
        <v>2864</v>
      </c>
      <c r="H1154" t="s">
        <v>26</v>
      </c>
      <c r="I1154" s="24">
        <v>35947</v>
      </c>
      <c r="J1154" s="24">
        <v>36861</v>
      </c>
      <c r="K1154" t="s">
        <v>26</v>
      </c>
      <c r="L1154" s="25" t="s">
        <v>68</v>
      </c>
      <c r="M1154" s="24">
        <v>35947</v>
      </c>
      <c r="N1154" s="24">
        <v>36861</v>
      </c>
      <c r="O1154" t="s">
        <v>26</v>
      </c>
      <c r="P1154" s="24">
        <v>35947</v>
      </c>
      <c r="Q1154" s="24">
        <v>36861</v>
      </c>
      <c r="R1154" t="s">
        <v>26</v>
      </c>
      <c r="S1154" t="s">
        <v>26</v>
      </c>
      <c r="T1154" t="s">
        <v>26</v>
      </c>
      <c r="U1154" t="s">
        <v>26</v>
      </c>
      <c r="V1154" t="s">
        <v>26</v>
      </c>
      <c r="W1154" s="24">
        <v>35947</v>
      </c>
      <c r="X1154" s="24">
        <v>36861</v>
      </c>
      <c r="Y1154" t="s">
        <v>26</v>
      </c>
      <c r="Z1154" s="24">
        <v>35947</v>
      </c>
      <c r="AA1154" s="24">
        <v>36861</v>
      </c>
      <c r="AB1154" t="s">
        <v>26</v>
      </c>
      <c r="AC1154" t="s">
        <v>26</v>
      </c>
      <c r="AD1154" t="s">
        <v>26</v>
      </c>
      <c r="AE1154" t="s">
        <v>26</v>
      </c>
      <c r="AF1154" t="s">
        <v>26</v>
      </c>
      <c r="AG1154" t="s">
        <v>26</v>
      </c>
      <c r="AH1154" t="s">
        <v>26</v>
      </c>
      <c r="AI1154" t="s">
        <v>26</v>
      </c>
      <c r="AJ1154" t="s">
        <v>26</v>
      </c>
      <c r="AK1154" t="s">
        <v>26</v>
      </c>
      <c r="AL1154" t="s">
        <v>26</v>
      </c>
      <c r="AM1154" t="s">
        <v>26</v>
      </c>
      <c r="AN1154" t="s">
        <v>26</v>
      </c>
      <c r="AO1154" s="25" t="s">
        <v>68</v>
      </c>
      <c r="AP1154" s="23" t="s">
        <v>69</v>
      </c>
      <c r="AQ1154" s="23" t="s">
        <v>30</v>
      </c>
      <c r="AR1154" s="23" t="s">
        <v>123</v>
      </c>
      <c r="AS1154" s="25">
        <v>12118</v>
      </c>
      <c r="AT1154" t="s">
        <v>26</v>
      </c>
      <c r="AU1154" t="s">
        <v>23741</v>
      </c>
    </row>
    <row r="1155" spans="1:47" ht="26.25" x14ac:dyDescent="0.4">
      <c r="A1155" s="23" t="s">
        <v>2865</v>
      </c>
      <c r="B1155" t="s">
        <v>26</v>
      </c>
      <c r="C1155" s="23" t="s">
        <v>2866</v>
      </c>
      <c r="D1155" s="23" t="s">
        <v>23742</v>
      </c>
      <c r="E1155" s="23" t="s">
        <v>42</v>
      </c>
      <c r="F1155" s="25" t="s">
        <v>2867</v>
      </c>
      <c r="G1155" s="25" t="s">
        <v>2868</v>
      </c>
      <c r="H1155" t="s">
        <v>26</v>
      </c>
      <c r="I1155" s="24">
        <v>35462</v>
      </c>
      <c r="J1155" s="25" t="s">
        <v>77</v>
      </c>
      <c r="K1155" t="s">
        <v>26</v>
      </c>
      <c r="L1155" s="25" t="s">
        <v>68</v>
      </c>
      <c r="M1155" s="24">
        <v>35462</v>
      </c>
      <c r="N1155" s="25" t="s">
        <v>77</v>
      </c>
      <c r="O1155" t="s">
        <v>26</v>
      </c>
      <c r="P1155" s="24">
        <v>35462</v>
      </c>
      <c r="Q1155" s="25" t="s">
        <v>77</v>
      </c>
      <c r="R1155" t="s">
        <v>26</v>
      </c>
      <c r="S1155" t="s">
        <v>26</v>
      </c>
      <c r="T1155" t="s">
        <v>26</v>
      </c>
      <c r="U1155" t="s">
        <v>26</v>
      </c>
      <c r="V1155" s="25">
        <v>365</v>
      </c>
      <c r="W1155" s="24">
        <v>35462</v>
      </c>
      <c r="X1155" s="25" t="s">
        <v>77</v>
      </c>
      <c r="Y1155" t="s">
        <v>26</v>
      </c>
      <c r="Z1155" s="24">
        <v>35462</v>
      </c>
      <c r="AA1155" s="25" t="s">
        <v>77</v>
      </c>
      <c r="AB1155" t="s">
        <v>26</v>
      </c>
      <c r="AC1155" s="24">
        <v>36923</v>
      </c>
      <c r="AD1155" s="25" t="s">
        <v>77</v>
      </c>
      <c r="AE1155" t="s">
        <v>26</v>
      </c>
      <c r="AF1155" t="s">
        <v>26</v>
      </c>
      <c r="AG1155" t="s">
        <v>26</v>
      </c>
      <c r="AH1155" t="s">
        <v>26</v>
      </c>
      <c r="AI1155" t="s">
        <v>26</v>
      </c>
      <c r="AJ1155" t="s">
        <v>26</v>
      </c>
      <c r="AK1155" t="s">
        <v>26</v>
      </c>
      <c r="AL1155" t="s">
        <v>26</v>
      </c>
      <c r="AM1155" t="s">
        <v>26</v>
      </c>
      <c r="AN1155" t="s">
        <v>26</v>
      </c>
      <c r="AO1155" s="25" t="s">
        <v>68</v>
      </c>
      <c r="AP1155" s="23" t="s">
        <v>69</v>
      </c>
      <c r="AQ1155" s="23" t="s">
        <v>30</v>
      </c>
      <c r="AR1155" s="23" t="s">
        <v>337</v>
      </c>
      <c r="AS1155" s="25">
        <v>542</v>
      </c>
      <c r="AT1155" t="s">
        <v>26</v>
      </c>
      <c r="AU1155" t="s">
        <v>23743</v>
      </c>
    </row>
    <row r="1156" spans="1:47" ht="26.25" x14ac:dyDescent="0.4">
      <c r="A1156" s="23" t="s">
        <v>2869</v>
      </c>
      <c r="B1156" t="s">
        <v>26</v>
      </c>
      <c r="C1156" s="23" t="s">
        <v>107</v>
      </c>
      <c r="D1156" s="23" t="s">
        <v>22194</v>
      </c>
      <c r="E1156" s="23" t="s">
        <v>42</v>
      </c>
      <c r="F1156" s="25" t="s">
        <v>2870</v>
      </c>
      <c r="G1156" s="25" t="s">
        <v>2871</v>
      </c>
      <c r="H1156" t="s">
        <v>26</v>
      </c>
      <c r="I1156" t="s">
        <v>26</v>
      </c>
      <c r="J1156" t="s">
        <v>26</v>
      </c>
      <c r="K1156" t="s">
        <v>26</v>
      </c>
      <c r="L1156" s="25" t="s">
        <v>68</v>
      </c>
      <c r="M1156" t="s">
        <v>26</v>
      </c>
      <c r="N1156" t="s">
        <v>26</v>
      </c>
      <c r="O1156" t="s">
        <v>26</v>
      </c>
      <c r="P1156" t="s">
        <v>26</v>
      </c>
      <c r="Q1156" t="s">
        <v>26</v>
      </c>
      <c r="R1156" t="s">
        <v>26</v>
      </c>
      <c r="S1156" t="s">
        <v>26</v>
      </c>
      <c r="T1156" t="s">
        <v>26</v>
      </c>
      <c r="U1156" t="s">
        <v>26</v>
      </c>
      <c r="V1156" t="s">
        <v>26</v>
      </c>
      <c r="W1156" s="24">
        <v>29190</v>
      </c>
      <c r="X1156" s="25" t="s">
        <v>77</v>
      </c>
      <c r="Y1156" t="s">
        <v>26</v>
      </c>
      <c r="Z1156" s="24">
        <v>29190</v>
      </c>
      <c r="AA1156" s="25" t="s">
        <v>77</v>
      </c>
      <c r="AB1156" t="s">
        <v>26</v>
      </c>
      <c r="AC1156" s="24">
        <v>29190</v>
      </c>
      <c r="AD1156" s="25" t="s">
        <v>77</v>
      </c>
      <c r="AE1156" t="s">
        <v>26</v>
      </c>
      <c r="AF1156" t="s">
        <v>26</v>
      </c>
      <c r="AG1156" t="s">
        <v>26</v>
      </c>
      <c r="AH1156" t="s">
        <v>26</v>
      </c>
      <c r="AI1156" t="s">
        <v>26</v>
      </c>
      <c r="AJ1156" t="s">
        <v>26</v>
      </c>
      <c r="AK1156" t="s">
        <v>26</v>
      </c>
      <c r="AL1156" t="s">
        <v>26</v>
      </c>
      <c r="AM1156" t="s">
        <v>26</v>
      </c>
      <c r="AN1156" t="s">
        <v>26</v>
      </c>
      <c r="AO1156" s="25" t="s">
        <v>68</v>
      </c>
      <c r="AP1156" s="23" t="s">
        <v>69</v>
      </c>
      <c r="AQ1156" s="23" t="s">
        <v>30</v>
      </c>
      <c r="AR1156" s="23" t="s">
        <v>2872</v>
      </c>
      <c r="AS1156" s="25">
        <v>47590</v>
      </c>
      <c r="AT1156" t="s">
        <v>26</v>
      </c>
      <c r="AU1156" t="s">
        <v>23744</v>
      </c>
    </row>
    <row r="1157" spans="1:47" ht="26.25" x14ac:dyDescent="0.4">
      <c r="A1157" s="23" t="s">
        <v>2873</v>
      </c>
      <c r="B1157" t="s">
        <v>26</v>
      </c>
      <c r="C1157" s="23" t="s">
        <v>23745</v>
      </c>
      <c r="D1157" t="s">
        <v>26</v>
      </c>
      <c r="E1157" s="23" t="s">
        <v>42</v>
      </c>
      <c r="F1157" t="s">
        <v>26</v>
      </c>
      <c r="G1157" t="s">
        <v>26</v>
      </c>
      <c r="H1157" t="s">
        <v>26</v>
      </c>
      <c r="I1157" s="24">
        <v>38718</v>
      </c>
      <c r="J1157" s="24">
        <v>38718</v>
      </c>
      <c r="K1157" t="s">
        <v>26</v>
      </c>
      <c r="L1157" s="25" t="s">
        <v>28</v>
      </c>
      <c r="M1157" s="24">
        <v>38718</v>
      </c>
      <c r="N1157" s="24">
        <v>38718</v>
      </c>
      <c r="O1157" t="s">
        <v>26</v>
      </c>
      <c r="P1157" t="s">
        <v>26</v>
      </c>
      <c r="Q1157" t="s">
        <v>26</v>
      </c>
      <c r="R1157" t="s">
        <v>26</v>
      </c>
      <c r="S1157" s="24">
        <v>38718</v>
      </c>
      <c r="T1157" s="24">
        <v>38718</v>
      </c>
      <c r="U1157" t="s">
        <v>26</v>
      </c>
      <c r="V1157" t="s">
        <v>26</v>
      </c>
      <c r="W1157" s="24">
        <v>38718</v>
      </c>
      <c r="X1157" s="24">
        <v>38718</v>
      </c>
      <c r="Y1157" t="s">
        <v>26</v>
      </c>
      <c r="Z1157" s="24">
        <v>38718</v>
      </c>
      <c r="AA1157" s="24">
        <v>38718</v>
      </c>
      <c r="AB1157" t="s">
        <v>26</v>
      </c>
      <c r="AC1157" s="24">
        <v>38718</v>
      </c>
      <c r="AD1157" s="24">
        <v>38718</v>
      </c>
      <c r="AE1157" t="s">
        <v>26</v>
      </c>
      <c r="AF1157" s="24">
        <v>38718</v>
      </c>
      <c r="AG1157" s="24">
        <v>38718</v>
      </c>
      <c r="AH1157" t="s">
        <v>26</v>
      </c>
      <c r="AI1157" s="24">
        <v>38718</v>
      </c>
      <c r="AJ1157" s="24">
        <v>38718</v>
      </c>
      <c r="AK1157" t="s">
        <v>26</v>
      </c>
      <c r="AL1157" t="s">
        <v>26</v>
      </c>
      <c r="AM1157" t="s">
        <v>26</v>
      </c>
      <c r="AN1157" t="s">
        <v>26</v>
      </c>
      <c r="AO1157" s="25" t="s">
        <v>28</v>
      </c>
      <c r="AP1157" s="23" t="s">
        <v>43</v>
      </c>
      <c r="AQ1157" s="23" t="s">
        <v>30</v>
      </c>
      <c r="AR1157" s="23" t="s">
        <v>44</v>
      </c>
      <c r="AS1157" s="25">
        <v>5262120</v>
      </c>
      <c r="AT1157" t="s">
        <v>26</v>
      </c>
      <c r="AU1157" t="s">
        <v>23746</v>
      </c>
    </row>
    <row r="1158" spans="1:47" ht="13.15" x14ac:dyDescent="0.4">
      <c r="A1158" s="23" t="s">
        <v>2874</v>
      </c>
      <c r="B1158" t="s">
        <v>26</v>
      </c>
      <c r="C1158" t="s">
        <v>26</v>
      </c>
      <c r="D1158" s="23" t="s">
        <v>22179</v>
      </c>
      <c r="E1158" t="s">
        <v>26</v>
      </c>
      <c r="F1158" t="s">
        <v>26</v>
      </c>
      <c r="G1158" t="s">
        <v>26</v>
      </c>
      <c r="H1158" t="s">
        <v>26</v>
      </c>
      <c r="I1158" s="24">
        <v>39083</v>
      </c>
      <c r="J1158" s="24">
        <v>39083</v>
      </c>
      <c r="K1158" t="s">
        <v>26</v>
      </c>
      <c r="L1158" s="25" t="s">
        <v>28</v>
      </c>
      <c r="M1158" s="24">
        <v>39083</v>
      </c>
      <c r="N1158" s="24">
        <v>39083</v>
      </c>
      <c r="O1158" t="s">
        <v>26</v>
      </c>
      <c r="P1158" t="s">
        <v>26</v>
      </c>
      <c r="Q1158" t="s">
        <v>26</v>
      </c>
      <c r="R1158" t="s">
        <v>26</v>
      </c>
      <c r="S1158" t="s">
        <v>26</v>
      </c>
      <c r="T1158" t="s">
        <v>26</v>
      </c>
      <c r="U1158" t="s">
        <v>26</v>
      </c>
      <c r="V1158" t="s">
        <v>26</v>
      </c>
      <c r="W1158" s="24">
        <v>39083</v>
      </c>
      <c r="X1158" s="24">
        <v>39083</v>
      </c>
      <c r="Y1158" t="s">
        <v>26</v>
      </c>
      <c r="Z1158" s="24">
        <v>39083</v>
      </c>
      <c r="AA1158" s="24">
        <v>39083</v>
      </c>
      <c r="AB1158" t="s">
        <v>26</v>
      </c>
      <c r="AC1158" s="24">
        <v>39083</v>
      </c>
      <c r="AD1158" s="24">
        <v>39083</v>
      </c>
      <c r="AE1158" t="s">
        <v>26</v>
      </c>
      <c r="AF1158" t="s">
        <v>26</v>
      </c>
      <c r="AG1158" t="s">
        <v>26</v>
      </c>
      <c r="AH1158" t="s">
        <v>26</v>
      </c>
      <c r="AI1158" t="s">
        <v>26</v>
      </c>
      <c r="AJ1158" t="s">
        <v>26</v>
      </c>
      <c r="AK1158" t="s">
        <v>26</v>
      </c>
      <c r="AL1158" t="s">
        <v>26</v>
      </c>
      <c r="AM1158" t="s">
        <v>26</v>
      </c>
      <c r="AN1158" t="s">
        <v>26</v>
      </c>
      <c r="AO1158" s="25" t="s">
        <v>28</v>
      </c>
      <c r="AP1158" s="23" t="s">
        <v>29</v>
      </c>
      <c r="AQ1158" s="23" t="s">
        <v>30</v>
      </c>
      <c r="AR1158" s="23" t="s">
        <v>46</v>
      </c>
      <c r="AS1158" s="25">
        <v>6059429</v>
      </c>
      <c r="AT1158" t="s">
        <v>26</v>
      </c>
      <c r="AU1158" t="s">
        <v>23747</v>
      </c>
    </row>
    <row r="1159" spans="1:47" ht="26.25" x14ac:dyDescent="0.4">
      <c r="A1159" s="23" t="s">
        <v>2875</v>
      </c>
      <c r="B1159" t="s">
        <v>26</v>
      </c>
      <c r="C1159" s="23" t="s">
        <v>181</v>
      </c>
      <c r="D1159" s="23" t="s">
        <v>22174</v>
      </c>
      <c r="E1159" s="23" t="s">
        <v>60</v>
      </c>
      <c r="F1159" s="25" t="s">
        <v>2876</v>
      </c>
      <c r="G1159" s="25" t="s">
        <v>2877</v>
      </c>
      <c r="H1159" t="s">
        <v>26</v>
      </c>
      <c r="I1159" t="s">
        <v>26</v>
      </c>
      <c r="J1159" t="s">
        <v>26</v>
      </c>
      <c r="K1159" t="s">
        <v>26</v>
      </c>
      <c r="L1159" s="25" t="s">
        <v>68</v>
      </c>
      <c r="M1159" t="s">
        <v>26</v>
      </c>
      <c r="N1159" t="s">
        <v>26</v>
      </c>
      <c r="O1159" t="s">
        <v>26</v>
      </c>
      <c r="P1159" t="s">
        <v>26</v>
      </c>
      <c r="Q1159" t="s">
        <v>26</v>
      </c>
      <c r="R1159" t="s">
        <v>26</v>
      </c>
      <c r="S1159" t="s">
        <v>26</v>
      </c>
      <c r="T1159" t="s">
        <v>26</v>
      </c>
      <c r="U1159" t="s">
        <v>26</v>
      </c>
      <c r="V1159" t="s">
        <v>26</v>
      </c>
      <c r="W1159" s="24">
        <v>34731</v>
      </c>
      <c r="X1159" s="25" t="s">
        <v>77</v>
      </c>
      <c r="Y1159" t="s">
        <v>26</v>
      </c>
      <c r="Z1159" s="24">
        <v>34731</v>
      </c>
      <c r="AA1159" s="25" t="s">
        <v>77</v>
      </c>
      <c r="AB1159" t="s">
        <v>26</v>
      </c>
      <c r="AC1159" s="24">
        <v>34731</v>
      </c>
      <c r="AD1159" s="25" t="s">
        <v>77</v>
      </c>
      <c r="AE1159" t="s">
        <v>26</v>
      </c>
      <c r="AF1159" t="s">
        <v>26</v>
      </c>
      <c r="AG1159" t="s">
        <v>26</v>
      </c>
      <c r="AH1159" t="s">
        <v>26</v>
      </c>
      <c r="AI1159" t="s">
        <v>26</v>
      </c>
      <c r="AJ1159" t="s">
        <v>26</v>
      </c>
      <c r="AK1159" t="s">
        <v>26</v>
      </c>
      <c r="AL1159" t="s">
        <v>26</v>
      </c>
      <c r="AM1159" t="s">
        <v>26</v>
      </c>
      <c r="AN1159" t="s">
        <v>26</v>
      </c>
      <c r="AO1159" s="25" t="s">
        <v>68</v>
      </c>
      <c r="AP1159" s="23" t="s">
        <v>69</v>
      </c>
      <c r="AQ1159" s="23" t="s">
        <v>30</v>
      </c>
      <c r="AR1159" s="23" t="s">
        <v>996</v>
      </c>
      <c r="AS1159" s="25">
        <v>33755</v>
      </c>
      <c r="AT1159" t="s">
        <v>26</v>
      </c>
      <c r="AU1159" t="s">
        <v>23748</v>
      </c>
    </row>
    <row r="1160" spans="1:47" ht="26.25" x14ac:dyDescent="0.4">
      <c r="A1160" s="23" t="s">
        <v>2878</v>
      </c>
      <c r="B1160" t="s">
        <v>26</v>
      </c>
      <c r="C1160" s="23" t="s">
        <v>351</v>
      </c>
      <c r="D1160" s="23" t="s">
        <v>22242</v>
      </c>
      <c r="E1160" s="23" t="s">
        <v>60</v>
      </c>
      <c r="F1160" s="25" t="s">
        <v>2879</v>
      </c>
      <c r="G1160" s="25" t="s">
        <v>2880</v>
      </c>
      <c r="H1160" t="s">
        <v>26</v>
      </c>
      <c r="I1160" t="s">
        <v>26</v>
      </c>
      <c r="J1160" t="s">
        <v>26</v>
      </c>
      <c r="K1160" t="s">
        <v>26</v>
      </c>
      <c r="L1160" s="25" t="s">
        <v>68</v>
      </c>
      <c r="M1160" t="s">
        <v>26</v>
      </c>
      <c r="N1160" t="s">
        <v>26</v>
      </c>
      <c r="O1160" t="s">
        <v>26</v>
      </c>
      <c r="P1160" t="s">
        <v>26</v>
      </c>
      <c r="Q1160" t="s">
        <v>26</v>
      </c>
      <c r="R1160" t="s">
        <v>26</v>
      </c>
      <c r="S1160" t="s">
        <v>26</v>
      </c>
      <c r="T1160" t="s">
        <v>26</v>
      </c>
      <c r="U1160" t="s">
        <v>26</v>
      </c>
      <c r="V1160" t="s">
        <v>26</v>
      </c>
      <c r="W1160" s="24">
        <v>37347</v>
      </c>
      <c r="X1160" s="24">
        <v>40087</v>
      </c>
      <c r="Y1160" t="s">
        <v>26</v>
      </c>
      <c r="Z1160" s="24">
        <v>37347</v>
      </c>
      <c r="AA1160" s="24">
        <v>40087</v>
      </c>
      <c r="AB1160" t="s">
        <v>26</v>
      </c>
      <c r="AC1160" s="24">
        <v>37347</v>
      </c>
      <c r="AD1160" s="24">
        <v>40087</v>
      </c>
      <c r="AE1160" t="s">
        <v>26</v>
      </c>
      <c r="AF1160" t="s">
        <v>26</v>
      </c>
      <c r="AG1160" t="s">
        <v>26</v>
      </c>
      <c r="AH1160" t="s">
        <v>26</v>
      </c>
      <c r="AI1160" t="s">
        <v>26</v>
      </c>
      <c r="AJ1160" t="s">
        <v>26</v>
      </c>
      <c r="AK1160" t="s">
        <v>26</v>
      </c>
      <c r="AL1160" t="s">
        <v>26</v>
      </c>
      <c r="AM1160" t="s">
        <v>26</v>
      </c>
      <c r="AN1160" t="s">
        <v>26</v>
      </c>
      <c r="AO1160" s="25" t="s">
        <v>68</v>
      </c>
      <c r="AP1160" s="23" t="s">
        <v>69</v>
      </c>
      <c r="AQ1160" s="23" t="s">
        <v>30</v>
      </c>
      <c r="AR1160" s="23" t="s">
        <v>2881</v>
      </c>
      <c r="AS1160" s="25">
        <v>30151</v>
      </c>
      <c r="AT1160" t="s">
        <v>26</v>
      </c>
      <c r="AU1160" t="s">
        <v>23749</v>
      </c>
    </row>
    <row r="1161" spans="1:47" ht="26.25" x14ac:dyDescent="0.4">
      <c r="A1161" s="23" t="s">
        <v>2882</v>
      </c>
      <c r="B1161" t="s">
        <v>26</v>
      </c>
      <c r="C1161" s="23" t="s">
        <v>107</v>
      </c>
      <c r="D1161" s="23" t="s">
        <v>22194</v>
      </c>
      <c r="E1161" s="23" t="s">
        <v>42</v>
      </c>
      <c r="F1161" s="25" t="s">
        <v>2883</v>
      </c>
      <c r="G1161" s="25" t="s">
        <v>2884</v>
      </c>
      <c r="H1161" t="s">
        <v>26</v>
      </c>
      <c r="I1161" t="s">
        <v>26</v>
      </c>
      <c r="J1161" t="s">
        <v>26</v>
      </c>
      <c r="K1161" t="s">
        <v>26</v>
      </c>
      <c r="L1161" s="25" t="s">
        <v>68</v>
      </c>
      <c r="M1161" t="s">
        <v>26</v>
      </c>
      <c r="N1161" t="s">
        <v>26</v>
      </c>
      <c r="O1161" t="s">
        <v>26</v>
      </c>
      <c r="P1161" t="s">
        <v>26</v>
      </c>
      <c r="Q1161" t="s">
        <v>26</v>
      </c>
      <c r="R1161" t="s">
        <v>26</v>
      </c>
      <c r="S1161" t="s">
        <v>26</v>
      </c>
      <c r="T1161" t="s">
        <v>26</v>
      </c>
      <c r="U1161" t="s">
        <v>26</v>
      </c>
      <c r="V1161" t="s">
        <v>26</v>
      </c>
      <c r="W1161" s="24">
        <v>35462</v>
      </c>
      <c r="X1161" s="25" t="s">
        <v>77</v>
      </c>
      <c r="Y1161" t="s">
        <v>26</v>
      </c>
      <c r="Z1161" s="24">
        <v>35462</v>
      </c>
      <c r="AA1161" s="25" t="s">
        <v>77</v>
      </c>
      <c r="AB1161" t="s">
        <v>26</v>
      </c>
      <c r="AC1161" s="24">
        <v>35462</v>
      </c>
      <c r="AD1161" s="25" t="s">
        <v>77</v>
      </c>
      <c r="AE1161" t="s">
        <v>26</v>
      </c>
      <c r="AF1161" t="s">
        <v>26</v>
      </c>
      <c r="AG1161" t="s">
        <v>26</v>
      </c>
      <c r="AH1161" t="s">
        <v>26</v>
      </c>
      <c r="AI1161" t="s">
        <v>26</v>
      </c>
      <c r="AJ1161" t="s">
        <v>26</v>
      </c>
      <c r="AK1161" t="s">
        <v>26</v>
      </c>
      <c r="AL1161" t="s">
        <v>26</v>
      </c>
      <c r="AM1161" t="s">
        <v>26</v>
      </c>
      <c r="AN1161" t="s">
        <v>26</v>
      </c>
      <c r="AO1161" s="25" t="s">
        <v>68</v>
      </c>
      <c r="AP1161" s="23" t="s">
        <v>69</v>
      </c>
      <c r="AQ1161" s="23" t="s">
        <v>30</v>
      </c>
      <c r="AR1161" s="23" t="s">
        <v>433</v>
      </c>
      <c r="AS1161" s="25">
        <v>32675</v>
      </c>
      <c r="AT1161" t="s">
        <v>26</v>
      </c>
      <c r="AU1161" t="s">
        <v>23750</v>
      </c>
    </row>
    <row r="1162" spans="1:47" ht="26.25" x14ac:dyDescent="0.4">
      <c r="A1162" s="23" t="s">
        <v>2885</v>
      </c>
      <c r="B1162" t="s">
        <v>26</v>
      </c>
      <c r="C1162" s="23" t="s">
        <v>146</v>
      </c>
      <c r="D1162" s="23" t="s">
        <v>22174</v>
      </c>
      <c r="E1162" s="23" t="s">
        <v>60</v>
      </c>
      <c r="F1162" t="s">
        <v>26</v>
      </c>
      <c r="G1162" t="s">
        <v>26</v>
      </c>
      <c r="H1162" t="s">
        <v>26</v>
      </c>
      <c r="I1162" t="s">
        <v>26</v>
      </c>
      <c r="J1162" t="s">
        <v>26</v>
      </c>
      <c r="K1162" t="s">
        <v>26</v>
      </c>
      <c r="L1162" s="25" t="s">
        <v>28</v>
      </c>
      <c r="M1162" t="s">
        <v>26</v>
      </c>
      <c r="N1162" t="s">
        <v>26</v>
      </c>
      <c r="O1162" t="s">
        <v>26</v>
      </c>
      <c r="P1162" t="s">
        <v>26</v>
      </c>
      <c r="Q1162" t="s">
        <v>26</v>
      </c>
      <c r="R1162" t="s">
        <v>26</v>
      </c>
      <c r="S1162" t="s">
        <v>26</v>
      </c>
      <c r="T1162" t="s">
        <v>26</v>
      </c>
      <c r="U1162" t="s">
        <v>26</v>
      </c>
      <c r="V1162" t="s">
        <v>26</v>
      </c>
      <c r="W1162" s="24">
        <v>42370</v>
      </c>
      <c r="X1162" s="24">
        <v>42370</v>
      </c>
      <c r="Y1162" t="s">
        <v>26</v>
      </c>
      <c r="Z1162" s="24">
        <v>42370</v>
      </c>
      <c r="AA1162" s="24">
        <v>42370</v>
      </c>
      <c r="AB1162" t="s">
        <v>26</v>
      </c>
      <c r="AC1162" t="s">
        <v>26</v>
      </c>
      <c r="AD1162" t="s">
        <v>26</v>
      </c>
      <c r="AE1162" t="s">
        <v>26</v>
      </c>
      <c r="AF1162" t="s">
        <v>26</v>
      </c>
      <c r="AG1162" t="s">
        <v>26</v>
      </c>
      <c r="AH1162" t="s">
        <v>26</v>
      </c>
      <c r="AI1162" t="s">
        <v>26</v>
      </c>
      <c r="AJ1162" t="s">
        <v>26</v>
      </c>
      <c r="AK1162" t="s">
        <v>26</v>
      </c>
      <c r="AL1162" t="s">
        <v>26</v>
      </c>
      <c r="AM1162" t="s">
        <v>26</v>
      </c>
      <c r="AN1162" t="s">
        <v>26</v>
      </c>
      <c r="AO1162" s="25" t="s">
        <v>28</v>
      </c>
      <c r="AP1162" s="23" t="s">
        <v>29</v>
      </c>
      <c r="AQ1162" s="23" t="s">
        <v>30</v>
      </c>
      <c r="AR1162" s="23" t="s">
        <v>245</v>
      </c>
      <c r="AS1162" s="25">
        <v>5483589</v>
      </c>
      <c r="AT1162" s="23" t="s">
        <v>22181</v>
      </c>
      <c r="AU1162" t="s">
        <v>23751</v>
      </c>
    </row>
    <row r="1163" spans="1:47" ht="26.25" x14ac:dyDescent="0.4">
      <c r="A1163" s="23" t="s">
        <v>2886</v>
      </c>
      <c r="B1163" t="s">
        <v>26</v>
      </c>
      <c r="C1163" s="23" t="s">
        <v>676</v>
      </c>
      <c r="D1163" s="23" t="s">
        <v>22179</v>
      </c>
      <c r="E1163" s="23" t="s">
        <v>74</v>
      </c>
      <c r="F1163" s="25" t="s">
        <v>2887</v>
      </c>
      <c r="G1163" s="25" t="s">
        <v>2888</v>
      </c>
      <c r="H1163" t="s">
        <v>26</v>
      </c>
      <c r="I1163" t="s">
        <v>26</v>
      </c>
      <c r="J1163" t="s">
        <v>26</v>
      </c>
      <c r="K1163" t="s">
        <v>26</v>
      </c>
      <c r="L1163" s="25" t="s">
        <v>68</v>
      </c>
      <c r="M1163" t="s">
        <v>26</v>
      </c>
      <c r="N1163" t="s">
        <v>26</v>
      </c>
      <c r="O1163" t="s">
        <v>26</v>
      </c>
      <c r="P1163" t="s">
        <v>26</v>
      </c>
      <c r="Q1163" t="s">
        <v>26</v>
      </c>
      <c r="R1163" t="s">
        <v>26</v>
      </c>
      <c r="S1163" t="s">
        <v>26</v>
      </c>
      <c r="T1163" t="s">
        <v>26</v>
      </c>
      <c r="U1163" t="s">
        <v>26</v>
      </c>
      <c r="V1163" t="s">
        <v>26</v>
      </c>
      <c r="W1163" s="24">
        <v>38504</v>
      </c>
      <c r="X1163" s="24">
        <v>42736</v>
      </c>
      <c r="Y1163" t="s">
        <v>26</v>
      </c>
      <c r="Z1163" s="24">
        <v>38504</v>
      </c>
      <c r="AA1163" s="24">
        <v>42736</v>
      </c>
      <c r="AB1163" t="s">
        <v>26</v>
      </c>
      <c r="AC1163" s="24">
        <v>38504</v>
      </c>
      <c r="AD1163" s="24">
        <v>42736</v>
      </c>
      <c r="AE1163" t="s">
        <v>26</v>
      </c>
      <c r="AF1163" t="s">
        <v>26</v>
      </c>
      <c r="AG1163" t="s">
        <v>26</v>
      </c>
      <c r="AH1163" t="s">
        <v>26</v>
      </c>
      <c r="AI1163" t="s">
        <v>26</v>
      </c>
      <c r="AJ1163" t="s">
        <v>26</v>
      </c>
      <c r="AK1163" t="s">
        <v>26</v>
      </c>
      <c r="AL1163" t="s">
        <v>26</v>
      </c>
      <c r="AM1163" t="s">
        <v>26</v>
      </c>
      <c r="AN1163" t="s">
        <v>26</v>
      </c>
      <c r="AO1163" s="25" t="s">
        <v>68</v>
      </c>
      <c r="AP1163" s="23" t="s">
        <v>69</v>
      </c>
      <c r="AQ1163" s="23" t="s">
        <v>30</v>
      </c>
      <c r="AR1163" s="23" t="s">
        <v>2889</v>
      </c>
      <c r="AS1163" s="25">
        <v>45959</v>
      </c>
      <c r="AT1163" t="s">
        <v>26</v>
      </c>
      <c r="AU1163" t="s">
        <v>23752</v>
      </c>
    </row>
    <row r="1164" spans="1:47" ht="13.15" x14ac:dyDescent="0.4">
      <c r="A1164" s="23" t="s">
        <v>2890</v>
      </c>
      <c r="B1164" t="s">
        <v>26</v>
      </c>
      <c r="C1164" s="23" t="s">
        <v>1113</v>
      </c>
      <c r="D1164" s="23" t="s">
        <v>22666</v>
      </c>
      <c r="E1164" s="23" t="s">
        <v>42</v>
      </c>
      <c r="F1164" t="s">
        <v>26</v>
      </c>
      <c r="G1164" t="s">
        <v>26</v>
      </c>
      <c r="H1164" t="s">
        <v>26</v>
      </c>
      <c r="I1164" t="s">
        <v>26</v>
      </c>
      <c r="J1164" t="s">
        <v>26</v>
      </c>
      <c r="K1164" t="s">
        <v>26</v>
      </c>
      <c r="L1164" s="25" t="s">
        <v>28</v>
      </c>
      <c r="M1164" t="s">
        <v>26</v>
      </c>
      <c r="N1164" t="s">
        <v>26</v>
      </c>
      <c r="O1164" t="s">
        <v>26</v>
      </c>
      <c r="P1164" t="s">
        <v>26</v>
      </c>
      <c r="Q1164" t="s">
        <v>26</v>
      </c>
      <c r="R1164" t="s">
        <v>26</v>
      </c>
      <c r="S1164" t="s">
        <v>26</v>
      </c>
      <c r="T1164" t="s">
        <v>26</v>
      </c>
      <c r="U1164" t="s">
        <v>26</v>
      </c>
      <c r="V1164" t="s">
        <v>26</v>
      </c>
      <c r="W1164" s="24">
        <v>40179</v>
      </c>
      <c r="X1164" s="24">
        <v>40179</v>
      </c>
      <c r="Y1164" t="s">
        <v>26</v>
      </c>
      <c r="Z1164" s="24">
        <v>40179</v>
      </c>
      <c r="AA1164" s="24">
        <v>40179</v>
      </c>
      <c r="AB1164" t="s">
        <v>26</v>
      </c>
      <c r="AC1164" t="s">
        <v>26</v>
      </c>
      <c r="AD1164" t="s">
        <v>26</v>
      </c>
      <c r="AE1164" t="s">
        <v>26</v>
      </c>
      <c r="AF1164" t="s">
        <v>26</v>
      </c>
      <c r="AG1164" t="s">
        <v>26</v>
      </c>
      <c r="AH1164" t="s">
        <v>26</v>
      </c>
      <c r="AI1164" t="s">
        <v>26</v>
      </c>
      <c r="AJ1164" t="s">
        <v>26</v>
      </c>
      <c r="AK1164" t="s">
        <v>26</v>
      </c>
      <c r="AL1164" t="s">
        <v>26</v>
      </c>
      <c r="AM1164" t="s">
        <v>26</v>
      </c>
      <c r="AN1164" t="s">
        <v>26</v>
      </c>
      <c r="AO1164" s="25" t="s">
        <v>28</v>
      </c>
      <c r="AP1164" s="23" t="s">
        <v>29</v>
      </c>
      <c r="AQ1164" s="23" t="s">
        <v>30</v>
      </c>
      <c r="AR1164" s="23" t="s">
        <v>44</v>
      </c>
      <c r="AS1164" s="25">
        <v>5483639</v>
      </c>
      <c r="AT1164" s="23" t="s">
        <v>22181</v>
      </c>
      <c r="AU1164" t="s">
        <v>23753</v>
      </c>
    </row>
    <row r="1165" spans="1:47" ht="13.15" x14ac:dyDescent="0.4">
      <c r="A1165" s="23" t="s">
        <v>2891</v>
      </c>
      <c r="B1165" t="s">
        <v>26</v>
      </c>
      <c r="C1165" t="s">
        <v>26</v>
      </c>
      <c r="D1165" t="s">
        <v>26</v>
      </c>
      <c r="E1165" t="s">
        <v>26</v>
      </c>
      <c r="F1165" t="s">
        <v>26</v>
      </c>
      <c r="G1165" t="s">
        <v>26</v>
      </c>
      <c r="H1165" t="s">
        <v>26</v>
      </c>
      <c r="I1165" s="25" t="s">
        <v>2892</v>
      </c>
      <c r="J1165" s="25" t="s">
        <v>2892</v>
      </c>
      <c r="K1165" t="s">
        <v>26</v>
      </c>
      <c r="L1165" s="25" t="s">
        <v>28</v>
      </c>
      <c r="M1165" s="25" t="s">
        <v>2892</v>
      </c>
      <c r="N1165" s="25" t="s">
        <v>2892</v>
      </c>
      <c r="O1165" t="s">
        <v>26</v>
      </c>
      <c r="P1165" t="s">
        <v>26</v>
      </c>
      <c r="Q1165" t="s">
        <v>26</v>
      </c>
      <c r="R1165" t="s">
        <v>26</v>
      </c>
      <c r="S1165" t="s">
        <v>26</v>
      </c>
      <c r="T1165" t="s">
        <v>26</v>
      </c>
      <c r="U1165" t="s">
        <v>26</v>
      </c>
      <c r="V1165" t="s">
        <v>26</v>
      </c>
      <c r="W1165" s="25" t="s">
        <v>2892</v>
      </c>
      <c r="X1165" s="25" t="s">
        <v>2892</v>
      </c>
      <c r="Y1165" t="s">
        <v>26</v>
      </c>
      <c r="Z1165" s="25" t="s">
        <v>2892</v>
      </c>
      <c r="AA1165" s="25" t="s">
        <v>2892</v>
      </c>
      <c r="AB1165" t="s">
        <v>26</v>
      </c>
      <c r="AC1165" s="25" t="s">
        <v>2892</v>
      </c>
      <c r="AD1165" s="25" t="s">
        <v>2892</v>
      </c>
      <c r="AE1165" t="s">
        <v>26</v>
      </c>
      <c r="AF1165" t="s">
        <v>26</v>
      </c>
      <c r="AG1165" t="s">
        <v>26</v>
      </c>
      <c r="AH1165" t="s">
        <v>26</v>
      </c>
      <c r="AI1165" t="s">
        <v>26</v>
      </c>
      <c r="AJ1165" t="s">
        <v>26</v>
      </c>
      <c r="AK1165" t="s">
        <v>26</v>
      </c>
      <c r="AL1165" t="s">
        <v>26</v>
      </c>
      <c r="AM1165" t="s">
        <v>26</v>
      </c>
      <c r="AN1165" t="s">
        <v>26</v>
      </c>
      <c r="AO1165" s="25" t="s">
        <v>28</v>
      </c>
      <c r="AP1165" s="23" t="s">
        <v>29</v>
      </c>
      <c r="AQ1165" s="23" t="s">
        <v>30</v>
      </c>
      <c r="AR1165" s="23" t="s">
        <v>46</v>
      </c>
      <c r="AS1165" s="25">
        <v>6059490</v>
      </c>
      <c r="AT1165" t="s">
        <v>26</v>
      </c>
      <c r="AU1165" t="s">
        <v>23754</v>
      </c>
    </row>
    <row r="1166" spans="1:47" ht="13.15" x14ac:dyDescent="0.4">
      <c r="A1166" s="23" t="s">
        <v>2893</v>
      </c>
      <c r="B1166" t="s">
        <v>26</v>
      </c>
      <c r="C1166" s="23" t="s">
        <v>1076</v>
      </c>
      <c r="D1166" s="23" t="s">
        <v>22647</v>
      </c>
      <c r="E1166" s="23" t="s">
        <v>42</v>
      </c>
      <c r="F1166" t="s">
        <v>26</v>
      </c>
      <c r="G1166" t="s">
        <v>26</v>
      </c>
      <c r="H1166" t="s">
        <v>26</v>
      </c>
      <c r="I1166" t="s">
        <v>26</v>
      </c>
      <c r="J1166" t="s">
        <v>26</v>
      </c>
      <c r="K1166" t="s">
        <v>26</v>
      </c>
      <c r="L1166" s="25" t="s">
        <v>28</v>
      </c>
      <c r="M1166" t="s">
        <v>26</v>
      </c>
      <c r="N1166" t="s">
        <v>26</v>
      </c>
      <c r="O1166" t="s">
        <v>26</v>
      </c>
      <c r="P1166" t="s">
        <v>26</v>
      </c>
      <c r="Q1166" t="s">
        <v>26</v>
      </c>
      <c r="R1166" t="s">
        <v>26</v>
      </c>
      <c r="S1166" t="s">
        <v>26</v>
      </c>
      <c r="T1166" t="s">
        <v>26</v>
      </c>
      <c r="U1166" t="s">
        <v>26</v>
      </c>
      <c r="V1166" t="s">
        <v>26</v>
      </c>
      <c r="W1166" s="24">
        <v>39814</v>
      </c>
      <c r="X1166" s="24">
        <v>39814</v>
      </c>
      <c r="Y1166" t="s">
        <v>26</v>
      </c>
      <c r="Z1166" s="24">
        <v>39814</v>
      </c>
      <c r="AA1166" s="24">
        <v>39814</v>
      </c>
      <c r="AB1166" t="s">
        <v>26</v>
      </c>
      <c r="AC1166" t="s">
        <v>26</v>
      </c>
      <c r="AD1166" t="s">
        <v>26</v>
      </c>
      <c r="AE1166" t="s">
        <v>26</v>
      </c>
      <c r="AF1166" t="s">
        <v>26</v>
      </c>
      <c r="AG1166" t="s">
        <v>26</v>
      </c>
      <c r="AH1166" t="s">
        <v>26</v>
      </c>
      <c r="AI1166" t="s">
        <v>26</v>
      </c>
      <c r="AJ1166" t="s">
        <v>26</v>
      </c>
      <c r="AK1166" t="s">
        <v>26</v>
      </c>
      <c r="AL1166" t="s">
        <v>26</v>
      </c>
      <c r="AM1166" t="s">
        <v>26</v>
      </c>
      <c r="AN1166" t="s">
        <v>26</v>
      </c>
      <c r="AO1166" s="25" t="s">
        <v>28</v>
      </c>
      <c r="AP1166" s="23" t="s">
        <v>29</v>
      </c>
      <c r="AQ1166" s="23" t="s">
        <v>30</v>
      </c>
      <c r="AR1166" s="23" t="s">
        <v>44</v>
      </c>
      <c r="AS1166" s="25">
        <v>5483644</v>
      </c>
      <c r="AT1166" s="23" t="s">
        <v>22181</v>
      </c>
      <c r="AU1166" t="s">
        <v>23755</v>
      </c>
    </row>
    <row r="1167" spans="1:47" ht="13.15" x14ac:dyDescent="0.4">
      <c r="A1167" s="23" t="s">
        <v>2894</v>
      </c>
      <c r="B1167" s="23" t="s">
        <v>2895</v>
      </c>
      <c r="C1167" s="23" t="s">
        <v>59</v>
      </c>
      <c r="D1167" s="23" t="s">
        <v>22174</v>
      </c>
      <c r="E1167" s="23" t="s">
        <v>60</v>
      </c>
      <c r="F1167" t="s">
        <v>26</v>
      </c>
      <c r="G1167" t="s">
        <v>26</v>
      </c>
      <c r="H1167" s="25" t="s">
        <v>2896</v>
      </c>
      <c r="I1167" s="24">
        <v>41275</v>
      </c>
      <c r="J1167" s="24">
        <v>41275</v>
      </c>
      <c r="K1167" t="s">
        <v>26</v>
      </c>
      <c r="L1167" s="25" t="s">
        <v>28</v>
      </c>
      <c r="M1167" s="24">
        <v>41275</v>
      </c>
      <c r="N1167" s="24">
        <v>41275</v>
      </c>
      <c r="O1167" t="s">
        <v>26</v>
      </c>
      <c r="P1167" s="24">
        <v>41275</v>
      </c>
      <c r="Q1167" s="24">
        <v>41275</v>
      </c>
      <c r="R1167" t="s">
        <v>26</v>
      </c>
      <c r="S1167" t="s">
        <v>26</v>
      </c>
      <c r="T1167" t="s">
        <v>26</v>
      </c>
      <c r="U1167" t="s">
        <v>26</v>
      </c>
      <c r="V1167" t="s">
        <v>26</v>
      </c>
      <c r="W1167" s="24">
        <v>41275</v>
      </c>
      <c r="X1167" s="24">
        <v>41275</v>
      </c>
      <c r="Y1167" t="s">
        <v>26</v>
      </c>
      <c r="Z1167" s="24">
        <v>41275</v>
      </c>
      <c r="AA1167" s="24">
        <v>41275</v>
      </c>
      <c r="AB1167" t="s">
        <v>26</v>
      </c>
      <c r="AC1167" s="24">
        <v>41275</v>
      </c>
      <c r="AD1167" s="24">
        <v>41275</v>
      </c>
      <c r="AE1167" t="s">
        <v>26</v>
      </c>
      <c r="AF1167" t="s">
        <v>26</v>
      </c>
      <c r="AG1167" t="s">
        <v>26</v>
      </c>
      <c r="AH1167" t="s">
        <v>26</v>
      </c>
      <c r="AI1167" t="s">
        <v>26</v>
      </c>
      <c r="AJ1167" t="s">
        <v>26</v>
      </c>
      <c r="AK1167" t="s">
        <v>26</v>
      </c>
      <c r="AL1167" t="s">
        <v>26</v>
      </c>
      <c r="AM1167" t="s">
        <v>26</v>
      </c>
      <c r="AN1167" t="s">
        <v>26</v>
      </c>
      <c r="AO1167" s="25" t="s">
        <v>28</v>
      </c>
      <c r="AP1167" s="23" t="s">
        <v>29</v>
      </c>
      <c r="AQ1167" s="23" t="s">
        <v>30</v>
      </c>
      <c r="AR1167" s="23" t="s">
        <v>46</v>
      </c>
      <c r="AS1167" s="25">
        <v>2043295</v>
      </c>
      <c r="AT1167" t="s">
        <v>26</v>
      </c>
      <c r="AU1167" t="s">
        <v>23756</v>
      </c>
    </row>
    <row r="1168" spans="1:47" ht="13.15" x14ac:dyDescent="0.4">
      <c r="A1168" s="23" t="s">
        <v>2897</v>
      </c>
      <c r="B1168" s="23" t="s">
        <v>2771</v>
      </c>
      <c r="C1168" s="23" t="s">
        <v>59</v>
      </c>
      <c r="D1168" s="23" t="s">
        <v>22174</v>
      </c>
      <c r="E1168" s="23" t="s">
        <v>60</v>
      </c>
      <c r="F1168" t="s">
        <v>26</v>
      </c>
      <c r="G1168" t="s">
        <v>26</v>
      </c>
      <c r="H1168" s="25" t="s">
        <v>2898</v>
      </c>
      <c r="I1168" s="24">
        <v>38718</v>
      </c>
      <c r="J1168" s="24">
        <v>38718</v>
      </c>
      <c r="K1168" t="s">
        <v>26</v>
      </c>
      <c r="L1168" s="25" t="s">
        <v>28</v>
      </c>
      <c r="M1168" s="24">
        <v>38718</v>
      </c>
      <c r="N1168" s="24">
        <v>38718</v>
      </c>
      <c r="O1168" t="s">
        <v>26</v>
      </c>
      <c r="P1168" s="24">
        <v>38718</v>
      </c>
      <c r="Q1168" s="24">
        <v>38718</v>
      </c>
      <c r="R1168" t="s">
        <v>26</v>
      </c>
      <c r="S1168" t="s">
        <v>26</v>
      </c>
      <c r="T1168" t="s">
        <v>26</v>
      </c>
      <c r="U1168" t="s">
        <v>26</v>
      </c>
      <c r="V1168" t="s">
        <v>26</v>
      </c>
      <c r="W1168" s="24">
        <v>38718</v>
      </c>
      <c r="X1168" s="24">
        <v>38718</v>
      </c>
      <c r="Y1168" t="s">
        <v>26</v>
      </c>
      <c r="Z1168" s="24">
        <v>38718</v>
      </c>
      <c r="AA1168" s="24">
        <v>38718</v>
      </c>
      <c r="AB1168" t="s">
        <v>26</v>
      </c>
      <c r="AC1168" s="24">
        <v>38718</v>
      </c>
      <c r="AD1168" s="24">
        <v>38718</v>
      </c>
      <c r="AE1168" t="s">
        <v>26</v>
      </c>
      <c r="AF1168" t="s">
        <v>26</v>
      </c>
      <c r="AG1168" t="s">
        <v>26</v>
      </c>
      <c r="AH1168" t="s">
        <v>26</v>
      </c>
      <c r="AI1168" t="s">
        <v>26</v>
      </c>
      <c r="AJ1168" t="s">
        <v>26</v>
      </c>
      <c r="AK1168" t="s">
        <v>26</v>
      </c>
      <c r="AL1168" t="s">
        <v>26</v>
      </c>
      <c r="AM1168" t="s">
        <v>26</v>
      </c>
      <c r="AN1168" t="s">
        <v>26</v>
      </c>
      <c r="AO1168" s="25" t="s">
        <v>28</v>
      </c>
      <c r="AP1168" s="23" t="s">
        <v>29</v>
      </c>
      <c r="AQ1168" s="23" t="s">
        <v>30</v>
      </c>
      <c r="AR1168" s="23" t="s">
        <v>1688</v>
      </c>
      <c r="AS1168" s="25">
        <v>105906</v>
      </c>
      <c r="AT1168" t="s">
        <v>26</v>
      </c>
      <c r="AU1168" t="s">
        <v>23757</v>
      </c>
    </row>
    <row r="1169" spans="1:47" ht="39.4" x14ac:dyDescent="0.4">
      <c r="A1169" s="23" t="s">
        <v>2899</v>
      </c>
      <c r="B1169" s="23" t="s">
        <v>2900</v>
      </c>
      <c r="C1169" s="23" t="s">
        <v>59</v>
      </c>
      <c r="D1169" s="23" t="s">
        <v>22174</v>
      </c>
      <c r="E1169" s="23" t="s">
        <v>60</v>
      </c>
      <c r="F1169" t="s">
        <v>26</v>
      </c>
      <c r="G1169" t="s">
        <v>26</v>
      </c>
      <c r="H1169" s="25" t="s">
        <v>2901</v>
      </c>
      <c r="I1169" s="24">
        <v>41275</v>
      </c>
      <c r="J1169" s="24">
        <v>41275</v>
      </c>
      <c r="K1169" t="s">
        <v>26</v>
      </c>
      <c r="L1169" s="25" t="s">
        <v>28</v>
      </c>
      <c r="M1169" s="24">
        <v>41275</v>
      </c>
      <c r="N1169" s="24">
        <v>41275</v>
      </c>
      <c r="O1169" t="s">
        <v>26</v>
      </c>
      <c r="P1169" s="24">
        <v>41275</v>
      </c>
      <c r="Q1169" s="24">
        <v>41275</v>
      </c>
      <c r="R1169" t="s">
        <v>26</v>
      </c>
      <c r="S1169" t="s">
        <v>26</v>
      </c>
      <c r="T1169" t="s">
        <v>26</v>
      </c>
      <c r="U1169" t="s">
        <v>26</v>
      </c>
      <c r="V1169" t="s">
        <v>26</v>
      </c>
      <c r="W1169" s="24">
        <v>41275</v>
      </c>
      <c r="X1169" s="24">
        <v>41275</v>
      </c>
      <c r="Y1169" t="s">
        <v>26</v>
      </c>
      <c r="Z1169" s="24">
        <v>41275</v>
      </c>
      <c r="AA1169" s="24">
        <v>41275</v>
      </c>
      <c r="AB1169" t="s">
        <v>26</v>
      </c>
      <c r="AC1169" s="24">
        <v>41275</v>
      </c>
      <c r="AD1169" s="24">
        <v>41275</v>
      </c>
      <c r="AE1169" t="s">
        <v>26</v>
      </c>
      <c r="AF1169" t="s">
        <v>26</v>
      </c>
      <c r="AG1169" t="s">
        <v>26</v>
      </c>
      <c r="AH1169" t="s">
        <v>26</v>
      </c>
      <c r="AI1169" t="s">
        <v>26</v>
      </c>
      <c r="AJ1169" t="s">
        <v>26</v>
      </c>
      <c r="AK1169" t="s">
        <v>26</v>
      </c>
      <c r="AL1169" t="s">
        <v>26</v>
      </c>
      <c r="AM1169" t="s">
        <v>26</v>
      </c>
      <c r="AN1169" t="s">
        <v>26</v>
      </c>
      <c r="AO1169" s="25" t="s">
        <v>28</v>
      </c>
      <c r="AP1169" s="23" t="s">
        <v>29</v>
      </c>
      <c r="AQ1169" s="23" t="s">
        <v>30</v>
      </c>
      <c r="AR1169" s="23" t="s">
        <v>123</v>
      </c>
      <c r="AS1169" s="25">
        <v>2043189</v>
      </c>
      <c r="AT1169" t="s">
        <v>26</v>
      </c>
      <c r="AU1169" t="s">
        <v>23758</v>
      </c>
    </row>
    <row r="1170" spans="1:47" ht="26.25" x14ac:dyDescent="0.4">
      <c r="A1170" s="23" t="s">
        <v>2902</v>
      </c>
      <c r="B1170" t="s">
        <v>26</v>
      </c>
      <c r="C1170" s="23" t="s">
        <v>172</v>
      </c>
      <c r="D1170" s="23" t="s">
        <v>22242</v>
      </c>
      <c r="E1170" s="23" t="s">
        <v>60</v>
      </c>
      <c r="F1170" s="25" t="s">
        <v>2903</v>
      </c>
      <c r="G1170" s="25" t="s">
        <v>2904</v>
      </c>
      <c r="H1170" t="s">
        <v>26</v>
      </c>
      <c r="I1170" t="s">
        <v>26</v>
      </c>
      <c r="J1170" t="s">
        <v>26</v>
      </c>
      <c r="K1170" t="s">
        <v>26</v>
      </c>
      <c r="L1170" s="25" t="s">
        <v>68</v>
      </c>
      <c r="M1170" t="s">
        <v>26</v>
      </c>
      <c r="N1170" t="s">
        <v>26</v>
      </c>
      <c r="O1170" t="s">
        <v>26</v>
      </c>
      <c r="P1170" t="s">
        <v>26</v>
      </c>
      <c r="Q1170" t="s">
        <v>26</v>
      </c>
      <c r="R1170" t="s">
        <v>26</v>
      </c>
      <c r="S1170" t="s">
        <v>26</v>
      </c>
      <c r="T1170" t="s">
        <v>26</v>
      </c>
      <c r="U1170" t="s">
        <v>26</v>
      </c>
      <c r="V1170" t="s">
        <v>26</v>
      </c>
      <c r="W1170" s="24">
        <v>29830</v>
      </c>
      <c r="X1170" s="25" t="s">
        <v>77</v>
      </c>
      <c r="Y1170" t="s">
        <v>26</v>
      </c>
      <c r="Z1170" s="24">
        <v>29830</v>
      </c>
      <c r="AA1170" s="25" t="s">
        <v>77</v>
      </c>
      <c r="AB1170" t="s">
        <v>26</v>
      </c>
      <c r="AC1170" s="24">
        <v>36192</v>
      </c>
      <c r="AD1170" s="25" t="s">
        <v>77</v>
      </c>
      <c r="AE1170" t="s">
        <v>26</v>
      </c>
      <c r="AF1170" t="s">
        <v>26</v>
      </c>
      <c r="AG1170" t="s">
        <v>26</v>
      </c>
      <c r="AH1170" t="s">
        <v>26</v>
      </c>
      <c r="AI1170" t="s">
        <v>26</v>
      </c>
      <c r="AJ1170" t="s">
        <v>26</v>
      </c>
      <c r="AK1170" t="s">
        <v>26</v>
      </c>
      <c r="AL1170" t="s">
        <v>26</v>
      </c>
      <c r="AM1170" t="s">
        <v>26</v>
      </c>
      <c r="AN1170" t="s">
        <v>26</v>
      </c>
      <c r="AO1170" s="25" t="s">
        <v>68</v>
      </c>
      <c r="AP1170" s="23" t="s">
        <v>69</v>
      </c>
      <c r="AQ1170" s="23" t="s">
        <v>30</v>
      </c>
      <c r="AR1170" s="23" t="s">
        <v>433</v>
      </c>
      <c r="AS1170" s="25">
        <v>48486</v>
      </c>
      <c r="AT1170" t="s">
        <v>26</v>
      </c>
      <c r="AU1170" t="s">
        <v>23759</v>
      </c>
    </row>
    <row r="1171" spans="1:47" ht="26.25" x14ac:dyDescent="0.4">
      <c r="A1171" s="23" t="s">
        <v>2905</v>
      </c>
      <c r="B1171" t="s">
        <v>26</v>
      </c>
      <c r="C1171" s="23" t="s">
        <v>80</v>
      </c>
      <c r="D1171" s="23" t="s">
        <v>22251</v>
      </c>
      <c r="E1171" s="23" t="s">
        <v>60</v>
      </c>
      <c r="F1171" s="25" t="s">
        <v>2906</v>
      </c>
      <c r="G1171" s="25" t="s">
        <v>2907</v>
      </c>
      <c r="H1171" t="s">
        <v>26</v>
      </c>
      <c r="I1171" t="s">
        <v>26</v>
      </c>
      <c r="J1171" t="s">
        <v>26</v>
      </c>
      <c r="K1171" t="s">
        <v>26</v>
      </c>
      <c r="L1171" s="25" t="s">
        <v>68</v>
      </c>
      <c r="M1171" t="s">
        <v>26</v>
      </c>
      <c r="N1171" t="s">
        <v>26</v>
      </c>
      <c r="O1171" t="s">
        <v>26</v>
      </c>
      <c r="P1171" t="s">
        <v>26</v>
      </c>
      <c r="Q1171" t="s">
        <v>26</v>
      </c>
      <c r="R1171" t="s">
        <v>26</v>
      </c>
      <c r="S1171" t="s">
        <v>26</v>
      </c>
      <c r="T1171" t="s">
        <v>26</v>
      </c>
      <c r="U1171" t="s">
        <v>26</v>
      </c>
      <c r="V1171" t="s">
        <v>26</v>
      </c>
      <c r="W1171" s="24">
        <v>34335</v>
      </c>
      <c r="X1171" s="25" t="s">
        <v>77</v>
      </c>
      <c r="Y1171" t="s">
        <v>26</v>
      </c>
      <c r="Z1171" s="24">
        <v>34335</v>
      </c>
      <c r="AA1171" s="25" t="s">
        <v>77</v>
      </c>
      <c r="AB1171" t="s">
        <v>26</v>
      </c>
      <c r="AC1171" s="24">
        <v>34335</v>
      </c>
      <c r="AD1171" s="25" t="s">
        <v>77</v>
      </c>
      <c r="AE1171" t="s">
        <v>26</v>
      </c>
      <c r="AF1171" t="s">
        <v>26</v>
      </c>
      <c r="AG1171" t="s">
        <v>26</v>
      </c>
      <c r="AH1171" t="s">
        <v>26</v>
      </c>
      <c r="AI1171" t="s">
        <v>26</v>
      </c>
      <c r="AJ1171" t="s">
        <v>26</v>
      </c>
      <c r="AK1171" t="s">
        <v>26</v>
      </c>
      <c r="AL1171" t="s">
        <v>26</v>
      </c>
      <c r="AM1171" t="s">
        <v>26</v>
      </c>
      <c r="AN1171" t="s">
        <v>26</v>
      </c>
      <c r="AO1171" s="25" t="s">
        <v>68</v>
      </c>
      <c r="AP1171" s="23" t="s">
        <v>69</v>
      </c>
      <c r="AQ1171" s="23" t="s">
        <v>30</v>
      </c>
      <c r="AR1171" s="23" t="s">
        <v>2908</v>
      </c>
      <c r="AS1171" s="25">
        <v>46402</v>
      </c>
      <c r="AT1171" t="s">
        <v>26</v>
      </c>
      <c r="AU1171" t="s">
        <v>23760</v>
      </c>
    </row>
    <row r="1172" spans="1:47" ht="26.25" x14ac:dyDescent="0.4">
      <c r="A1172" s="23" t="s">
        <v>2909</v>
      </c>
      <c r="B1172" t="s">
        <v>26</v>
      </c>
      <c r="C1172" s="23" t="s">
        <v>2910</v>
      </c>
      <c r="D1172" s="23" t="s">
        <v>23761</v>
      </c>
      <c r="E1172" s="23" t="s">
        <v>42</v>
      </c>
      <c r="F1172" s="25" t="s">
        <v>2911</v>
      </c>
      <c r="G1172" t="s">
        <v>26</v>
      </c>
      <c r="H1172" t="s">
        <v>26</v>
      </c>
      <c r="I1172" s="24">
        <v>37347</v>
      </c>
      <c r="J1172" s="25" t="s">
        <v>77</v>
      </c>
      <c r="K1172" s="25" t="s">
        <v>2912</v>
      </c>
      <c r="L1172" s="25" t="s">
        <v>68</v>
      </c>
      <c r="M1172" s="24">
        <v>37347</v>
      </c>
      <c r="N1172" s="25" t="s">
        <v>77</v>
      </c>
      <c r="O1172" s="25" t="s">
        <v>2912</v>
      </c>
      <c r="P1172" s="24">
        <v>37347</v>
      </c>
      <c r="Q1172" s="25" t="s">
        <v>77</v>
      </c>
      <c r="R1172" s="25" t="s">
        <v>2912</v>
      </c>
      <c r="S1172" t="s">
        <v>26</v>
      </c>
      <c r="T1172" t="s">
        <v>26</v>
      </c>
      <c r="U1172" t="s">
        <v>26</v>
      </c>
      <c r="V1172" t="s">
        <v>26</v>
      </c>
      <c r="W1172" s="24">
        <v>37347</v>
      </c>
      <c r="X1172" s="25" t="s">
        <v>77</v>
      </c>
      <c r="Y1172" s="25" t="s">
        <v>2912</v>
      </c>
      <c r="Z1172" s="24">
        <v>37347</v>
      </c>
      <c r="AA1172" s="25" t="s">
        <v>77</v>
      </c>
      <c r="AB1172" s="25" t="s">
        <v>2912</v>
      </c>
      <c r="AC1172" s="24">
        <v>37347</v>
      </c>
      <c r="AD1172" s="25" t="s">
        <v>77</v>
      </c>
      <c r="AE1172" s="25" t="s">
        <v>2912</v>
      </c>
      <c r="AF1172" t="s">
        <v>26</v>
      </c>
      <c r="AG1172" t="s">
        <v>26</v>
      </c>
      <c r="AH1172" t="s">
        <v>26</v>
      </c>
      <c r="AI1172" t="s">
        <v>26</v>
      </c>
      <c r="AJ1172" t="s">
        <v>26</v>
      </c>
      <c r="AK1172" t="s">
        <v>26</v>
      </c>
      <c r="AL1172" t="s">
        <v>26</v>
      </c>
      <c r="AM1172" t="s">
        <v>26</v>
      </c>
      <c r="AN1172" t="s">
        <v>26</v>
      </c>
      <c r="AO1172" s="25" t="s">
        <v>68</v>
      </c>
      <c r="AP1172" s="23" t="s">
        <v>69</v>
      </c>
      <c r="AQ1172" s="23" t="s">
        <v>30</v>
      </c>
      <c r="AR1172" s="23" t="s">
        <v>184</v>
      </c>
      <c r="AS1172" s="25">
        <v>40294</v>
      </c>
      <c r="AT1172" t="s">
        <v>26</v>
      </c>
      <c r="AU1172" t="s">
        <v>23762</v>
      </c>
    </row>
    <row r="1173" spans="1:47" ht="26.25" x14ac:dyDescent="0.4">
      <c r="A1173" s="23" t="s">
        <v>2913</v>
      </c>
      <c r="B1173" t="s">
        <v>26</v>
      </c>
      <c r="C1173" s="23" t="s">
        <v>320</v>
      </c>
      <c r="D1173" s="23" t="s">
        <v>22294</v>
      </c>
      <c r="E1173" s="23" t="s">
        <v>42</v>
      </c>
      <c r="F1173" t="s">
        <v>26</v>
      </c>
      <c r="G1173" s="25" t="s">
        <v>2914</v>
      </c>
      <c r="H1173" t="s">
        <v>26</v>
      </c>
      <c r="I1173" t="s">
        <v>26</v>
      </c>
      <c r="J1173" t="s">
        <v>26</v>
      </c>
      <c r="K1173" t="s">
        <v>26</v>
      </c>
      <c r="L1173" s="25" t="s">
        <v>68</v>
      </c>
      <c r="M1173" t="s">
        <v>26</v>
      </c>
      <c r="N1173" t="s">
        <v>26</v>
      </c>
      <c r="O1173" t="s">
        <v>26</v>
      </c>
      <c r="P1173" t="s">
        <v>26</v>
      </c>
      <c r="Q1173" t="s">
        <v>26</v>
      </c>
      <c r="R1173" t="s">
        <v>26</v>
      </c>
      <c r="S1173" t="s">
        <v>26</v>
      </c>
      <c r="T1173" t="s">
        <v>26</v>
      </c>
      <c r="U1173" t="s">
        <v>26</v>
      </c>
      <c r="V1173" t="s">
        <v>26</v>
      </c>
      <c r="W1173" s="24">
        <v>43466</v>
      </c>
      <c r="X1173" s="25" t="s">
        <v>77</v>
      </c>
      <c r="Y1173" t="s">
        <v>26</v>
      </c>
      <c r="Z1173" s="24">
        <v>43466</v>
      </c>
      <c r="AA1173" s="25" t="s">
        <v>77</v>
      </c>
      <c r="AB1173" t="s">
        <v>26</v>
      </c>
      <c r="AC1173" s="24">
        <v>43466</v>
      </c>
      <c r="AD1173" s="25" t="s">
        <v>77</v>
      </c>
      <c r="AE1173" t="s">
        <v>26</v>
      </c>
      <c r="AF1173" t="s">
        <v>26</v>
      </c>
      <c r="AG1173" t="s">
        <v>26</v>
      </c>
      <c r="AH1173" t="s">
        <v>26</v>
      </c>
      <c r="AI1173" t="s">
        <v>26</v>
      </c>
      <c r="AJ1173" t="s">
        <v>26</v>
      </c>
      <c r="AK1173" t="s">
        <v>26</v>
      </c>
      <c r="AL1173" t="s">
        <v>26</v>
      </c>
      <c r="AM1173" t="s">
        <v>26</v>
      </c>
      <c r="AN1173" t="s">
        <v>26</v>
      </c>
      <c r="AO1173" s="25" t="s">
        <v>68</v>
      </c>
      <c r="AP1173" s="23" t="s">
        <v>69</v>
      </c>
      <c r="AQ1173" s="23" t="s">
        <v>30</v>
      </c>
      <c r="AR1173" s="23" t="s">
        <v>2915</v>
      </c>
      <c r="AS1173" s="25">
        <v>4669301</v>
      </c>
      <c r="AT1173" t="s">
        <v>26</v>
      </c>
      <c r="AU1173" t="s">
        <v>23763</v>
      </c>
    </row>
    <row r="1174" spans="1:47" ht="26.25" x14ac:dyDescent="0.4">
      <c r="A1174" s="23" t="s">
        <v>2916</v>
      </c>
      <c r="B1174" t="s">
        <v>26</v>
      </c>
      <c r="C1174" s="23" t="s">
        <v>302</v>
      </c>
      <c r="D1174" s="23" t="s">
        <v>22286</v>
      </c>
      <c r="E1174" s="23" t="s">
        <v>42</v>
      </c>
      <c r="F1174" t="s">
        <v>26</v>
      </c>
      <c r="G1174" t="s">
        <v>26</v>
      </c>
      <c r="H1174" t="s">
        <v>26</v>
      </c>
      <c r="I1174" t="s">
        <v>26</v>
      </c>
      <c r="J1174" t="s">
        <v>26</v>
      </c>
      <c r="K1174" t="s">
        <v>26</v>
      </c>
      <c r="L1174" s="25" t="s">
        <v>28</v>
      </c>
      <c r="M1174" t="s">
        <v>26</v>
      </c>
      <c r="N1174" t="s">
        <v>26</v>
      </c>
      <c r="O1174" t="s">
        <v>26</v>
      </c>
      <c r="P1174" t="s">
        <v>26</v>
      </c>
      <c r="Q1174" t="s">
        <v>26</v>
      </c>
      <c r="R1174" t="s">
        <v>26</v>
      </c>
      <c r="S1174" t="s">
        <v>26</v>
      </c>
      <c r="T1174" t="s">
        <v>26</v>
      </c>
      <c r="U1174" t="s">
        <v>26</v>
      </c>
      <c r="V1174" t="s">
        <v>26</v>
      </c>
      <c r="W1174" s="24">
        <v>40544</v>
      </c>
      <c r="X1174" s="24">
        <v>40544</v>
      </c>
      <c r="Y1174" t="s">
        <v>26</v>
      </c>
      <c r="Z1174" s="24">
        <v>40544</v>
      </c>
      <c r="AA1174" s="24">
        <v>40544</v>
      </c>
      <c r="AB1174" t="s">
        <v>26</v>
      </c>
      <c r="AC1174" t="s">
        <v>26</v>
      </c>
      <c r="AD1174" t="s">
        <v>26</v>
      </c>
      <c r="AE1174" t="s">
        <v>26</v>
      </c>
      <c r="AF1174" t="s">
        <v>26</v>
      </c>
      <c r="AG1174" t="s">
        <v>26</v>
      </c>
      <c r="AH1174" t="s">
        <v>26</v>
      </c>
      <c r="AI1174" t="s">
        <v>26</v>
      </c>
      <c r="AJ1174" t="s">
        <v>26</v>
      </c>
      <c r="AK1174" t="s">
        <v>26</v>
      </c>
      <c r="AL1174" t="s">
        <v>26</v>
      </c>
      <c r="AM1174" t="s">
        <v>26</v>
      </c>
      <c r="AN1174" t="s">
        <v>26</v>
      </c>
      <c r="AO1174" s="25" t="s">
        <v>28</v>
      </c>
      <c r="AP1174" s="23" t="s">
        <v>29</v>
      </c>
      <c r="AQ1174" s="23" t="s">
        <v>30</v>
      </c>
      <c r="AR1174" s="23" t="s">
        <v>245</v>
      </c>
      <c r="AS1174" s="25">
        <v>5483564</v>
      </c>
      <c r="AT1174" s="23" t="s">
        <v>22181</v>
      </c>
      <c r="AU1174" t="s">
        <v>23764</v>
      </c>
    </row>
    <row r="1175" spans="1:47" ht="26.25" x14ac:dyDescent="0.4">
      <c r="A1175" s="23" t="s">
        <v>2917</v>
      </c>
      <c r="B1175" t="s">
        <v>26</v>
      </c>
      <c r="C1175" s="23" t="s">
        <v>399</v>
      </c>
      <c r="D1175" s="23" t="s">
        <v>22242</v>
      </c>
      <c r="E1175" s="23" t="s">
        <v>60</v>
      </c>
      <c r="F1175" s="25" t="s">
        <v>2918</v>
      </c>
      <c r="G1175" s="25" t="s">
        <v>2919</v>
      </c>
      <c r="H1175" t="s">
        <v>26</v>
      </c>
      <c r="I1175" t="s">
        <v>26</v>
      </c>
      <c r="J1175" t="s">
        <v>26</v>
      </c>
      <c r="K1175" t="s">
        <v>26</v>
      </c>
      <c r="L1175" s="25" t="s">
        <v>68</v>
      </c>
      <c r="M1175" t="s">
        <v>26</v>
      </c>
      <c r="N1175" t="s">
        <v>26</v>
      </c>
      <c r="O1175" t="s">
        <v>26</v>
      </c>
      <c r="P1175" t="s">
        <v>26</v>
      </c>
      <c r="Q1175" t="s">
        <v>26</v>
      </c>
      <c r="R1175" t="s">
        <v>26</v>
      </c>
      <c r="S1175" t="s">
        <v>26</v>
      </c>
      <c r="T1175" t="s">
        <v>26</v>
      </c>
      <c r="U1175" t="s">
        <v>26</v>
      </c>
      <c r="V1175" t="s">
        <v>26</v>
      </c>
      <c r="W1175" s="24">
        <v>32143</v>
      </c>
      <c r="X1175" s="24">
        <v>43831</v>
      </c>
      <c r="Y1175" t="s">
        <v>26</v>
      </c>
      <c r="Z1175" s="24">
        <v>32143</v>
      </c>
      <c r="AA1175" s="24">
        <v>43831</v>
      </c>
      <c r="AB1175" t="s">
        <v>26</v>
      </c>
      <c r="AC1175" s="24">
        <v>32143</v>
      </c>
      <c r="AD1175" s="24">
        <v>43831</v>
      </c>
      <c r="AE1175" t="s">
        <v>26</v>
      </c>
      <c r="AF1175" t="s">
        <v>26</v>
      </c>
      <c r="AG1175" t="s">
        <v>26</v>
      </c>
      <c r="AH1175" t="s">
        <v>26</v>
      </c>
      <c r="AI1175" t="s">
        <v>26</v>
      </c>
      <c r="AJ1175" t="s">
        <v>26</v>
      </c>
      <c r="AK1175" t="s">
        <v>26</v>
      </c>
      <c r="AL1175" t="s">
        <v>26</v>
      </c>
      <c r="AM1175" t="s">
        <v>26</v>
      </c>
      <c r="AN1175" t="s">
        <v>26</v>
      </c>
      <c r="AO1175" s="25" t="s">
        <v>68</v>
      </c>
      <c r="AP1175" s="23" t="s">
        <v>69</v>
      </c>
      <c r="AQ1175" s="23" t="s">
        <v>30</v>
      </c>
      <c r="AR1175" s="23" t="s">
        <v>2920</v>
      </c>
      <c r="AS1175" s="25">
        <v>47999</v>
      </c>
      <c r="AT1175" t="s">
        <v>26</v>
      </c>
      <c r="AU1175" t="s">
        <v>23765</v>
      </c>
    </row>
    <row r="1176" spans="1:47" ht="26.25" x14ac:dyDescent="0.4">
      <c r="A1176" s="23" t="s">
        <v>2921</v>
      </c>
      <c r="B1176" t="s">
        <v>26</v>
      </c>
      <c r="C1176" s="23" t="s">
        <v>803</v>
      </c>
      <c r="D1176" s="23" t="s">
        <v>22499</v>
      </c>
      <c r="E1176" s="23" t="s">
        <v>711</v>
      </c>
      <c r="F1176" s="25" t="s">
        <v>2922</v>
      </c>
      <c r="G1176" s="25" t="s">
        <v>2923</v>
      </c>
      <c r="H1176" t="s">
        <v>26</v>
      </c>
      <c r="I1176" s="24">
        <v>35431</v>
      </c>
      <c r="J1176" s="24">
        <v>42278</v>
      </c>
      <c r="K1176" t="s">
        <v>26</v>
      </c>
      <c r="L1176" s="25" t="s">
        <v>68</v>
      </c>
      <c r="M1176" s="24">
        <v>35431</v>
      </c>
      <c r="N1176" s="24">
        <v>37865</v>
      </c>
      <c r="O1176" t="s">
        <v>26</v>
      </c>
      <c r="P1176" s="24">
        <v>35431</v>
      </c>
      <c r="Q1176" s="24">
        <v>42278</v>
      </c>
      <c r="R1176" t="s">
        <v>26</v>
      </c>
      <c r="S1176" t="s">
        <v>26</v>
      </c>
      <c r="T1176" t="s">
        <v>26</v>
      </c>
      <c r="U1176" t="s">
        <v>26</v>
      </c>
      <c r="V1176" t="s">
        <v>26</v>
      </c>
      <c r="W1176" s="24">
        <v>33604</v>
      </c>
      <c r="X1176" s="24">
        <v>43313</v>
      </c>
      <c r="Y1176" t="s">
        <v>26</v>
      </c>
      <c r="Z1176" s="24">
        <v>33604</v>
      </c>
      <c r="AA1176" s="24">
        <v>43313</v>
      </c>
      <c r="AB1176" t="s">
        <v>26</v>
      </c>
      <c r="AC1176" s="24">
        <v>37926</v>
      </c>
      <c r="AD1176" s="24">
        <v>43313</v>
      </c>
      <c r="AE1176" t="s">
        <v>26</v>
      </c>
      <c r="AF1176" t="s">
        <v>26</v>
      </c>
      <c r="AG1176" t="s">
        <v>26</v>
      </c>
      <c r="AH1176" t="s">
        <v>26</v>
      </c>
      <c r="AI1176" t="s">
        <v>26</v>
      </c>
      <c r="AJ1176" t="s">
        <v>26</v>
      </c>
      <c r="AK1176" t="s">
        <v>26</v>
      </c>
      <c r="AL1176" t="s">
        <v>26</v>
      </c>
      <c r="AM1176" t="s">
        <v>26</v>
      </c>
      <c r="AN1176" t="s">
        <v>26</v>
      </c>
      <c r="AO1176" s="25" t="s">
        <v>68</v>
      </c>
      <c r="AP1176" s="23" t="s">
        <v>69</v>
      </c>
      <c r="AQ1176" s="23" t="s">
        <v>30</v>
      </c>
      <c r="AR1176" s="23" t="s">
        <v>253</v>
      </c>
      <c r="AS1176" s="25">
        <v>41080</v>
      </c>
      <c r="AT1176" t="s">
        <v>26</v>
      </c>
      <c r="AU1176" t="s">
        <v>23766</v>
      </c>
    </row>
    <row r="1177" spans="1:47" ht="26.25" x14ac:dyDescent="0.4">
      <c r="A1177" s="23" t="s">
        <v>2924</v>
      </c>
      <c r="B1177" t="s">
        <v>26</v>
      </c>
      <c r="C1177" s="23" t="s">
        <v>22238</v>
      </c>
      <c r="D1177" s="23" t="s">
        <v>22307</v>
      </c>
      <c r="E1177" s="23" t="s">
        <v>42</v>
      </c>
      <c r="F1177" t="s">
        <v>26</v>
      </c>
      <c r="G1177" t="s">
        <v>26</v>
      </c>
      <c r="H1177" t="s">
        <v>26</v>
      </c>
      <c r="I1177" s="24">
        <v>40909</v>
      </c>
      <c r="J1177" s="24">
        <v>40909</v>
      </c>
      <c r="K1177" t="s">
        <v>26</v>
      </c>
      <c r="L1177" s="25" t="s">
        <v>28</v>
      </c>
      <c r="M1177" s="24">
        <v>40909</v>
      </c>
      <c r="N1177" s="24">
        <v>40909</v>
      </c>
      <c r="O1177" t="s">
        <v>26</v>
      </c>
      <c r="P1177" t="s">
        <v>26</v>
      </c>
      <c r="Q1177" t="s">
        <v>26</v>
      </c>
      <c r="R1177" t="s">
        <v>26</v>
      </c>
      <c r="S1177" s="24">
        <v>40909</v>
      </c>
      <c r="T1177" s="24">
        <v>40909</v>
      </c>
      <c r="U1177" t="s">
        <v>26</v>
      </c>
      <c r="V1177" t="s">
        <v>26</v>
      </c>
      <c r="W1177" s="24">
        <v>40909</v>
      </c>
      <c r="X1177" s="24">
        <v>40909</v>
      </c>
      <c r="Y1177" t="s">
        <v>26</v>
      </c>
      <c r="Z1177" s="24">
        <v>40909</v>
      </c>
      <c r="AA1177" s="24">
        <v>40909</v>
      </c>
      <c r="AB1177" t="s">
        <v>26</v>
      </c>
      <c r="AC1177" s="24">
        <v>40909</v>
      </c>
      <c r="AD1177" s="24">
        <v>40909</v>
      </c>
      <c r="AE1177" t="s">
        <v>26</v>
      </c>
      <c r="AF1177" s="24">
        <v>40909</v>
      </c>
      <c r="AG1177" s="24">
        <v>40909</v>
      </c>
      <c r="AH1177" t="s">
        <v>26</v>
      </c>
      <c r="AI1177" s="24">
        <v>40909</v>
      </c>
      <c r="AJ1177" s="24">
        <v>40909</v>
      </c>
      <c r="AK1177" t="s">
        <v>26</v>
      </c>
      <c r="AL1177" t="s">
        <v>26</v>
      </c>
      <c r="AM1177" t="s">
        <v>26</v>
      </c>
      <c r="AN1177" t="s">
        <v>26</v>
      </c>
      <c r="AO1177" s="25" t="s">
        <v>28</v>
      </c>
      <c r="AP1177" s="23" t="s">
        <v>43</v>
      </c>
      <c r="AQ1177" s="23" t="s">
        <v>30</v>
      </c>
      <c r="AR1177" s="23" t="s">
        <v>46</v>
      </c>
      <c r="AS1177" s="25">
        <v>6447817</v>
      </c>
      <c r="AT1177" t="s">
        <v>26</v>
      </c>
      <c r="AU1177" t="s">
        <v>23767</v>
      </c>
    </row>
    <row r="1178" spans="1:47" ht="26.25" x14ac:dyDescent="0.4">
      <c r="A1178" s="23" t="s">
        <v>2925</v>
      </c>
      <c r="B1178" t="s">
        <v>26</v>
      </c>
      <c r="C1178" s="23" t="s">
        <v>22238</v>
      </c>
      <c r="D1178" s="23" t="s">
        <v>22307</v>
      </c>
      <c r="E1178" s="23" t="s">
        <v>42</v>
      </c>
      <c r="F1178" t="s">
        <v>26</v>
      </c>
      <c r="G1178" t="s">
        <v>26</v>
      </c>
      <c r="H1178" t="s">
        <v>26</v>
      </c>
      <c r="I1178" s="24">
        <v>40909</v>
      </c>
      <c r="J1178" s="24">
        <v>40909</v>
      </c>
      <c r="K1178" t="s">
        <v>26</v>
      </c>
      <c r="L1178" s="25" t="s">
        <v>28</v>
      </c>
      <c r="M1178" s="24">
        <v>40909</v>
      </c>
      <c r="N1178" s="24">
        <v>40909</v>
      </c>
      <c r="O1178" t="s">
        <v>26</v>
      </c>
      <c r="P1178" t="s">
        <v>26</v>
      </c>
      <c r="Q1178" t="s">
        <v>26</v>
      </c>
      <c r="R1178" t="s">
        <v>26</v>
      </c>
      <c r="S1178" s="24">
        <v>40909</v>
      </c>
      <c r="T1178" s="24">
        <v>40909</v>
      </c>
      <c r="U1178" t="s">
        <v>26</v>
      </c>
      <c r="V1178" t="s">
        <v>26</v>
      </c>
      <c r="W1178" s="24">
        <v>40909</v>
      </c>
      <c r="X1178" s="24">
        <v>40909</v>
      </c>
      <c r="Y1178" t="s">
        <v>26</v>
      </c>
      <c r="Z1178" s="24">
        <v>40909</v>
      </c>
      <c r="AA1178" s="24">
        <v>40909</v>
      </c>
      <c r="AB1178" t="s">
        <v>26</v>
      </c>
      <c r="AC1178" s="24">
        <v>40909</v>
      </c>
      <c r="AD1178" s="24">
        <v>40909</v>
      </c>
      <c r="AE1178" t="s">
        <v>26</v>
      </c>
      <c r="AF1178" s="24">
        <v>40909</v>
      </c>
      <c r="AG1178" s="24">
        <v>40909</v>
      </c>
      <c r="AH1178" t="s">
        <v>26</v>
      </c>
      <c r="AI1178" s="24">
        <v>40909</v>
      </c>
      <c r="AJ1178" s="24">
        <v>40909</v>
      </c>
      <c r="AK1178" t="s">
        <v>26</v>
      </c>
      <c r="AL1178" t="s">
        <v>26</v>
      </c>
      <c r="AM1178" t="s">
        <v>26</v>
      </c>
      <c r="AN1178" t="s">
        <v>26</v>
      </c>
      <c r="AO1178" s="25" t="s">
        <v>28</v>
      </c>
      <c r="AP1178" s="23" t="s">
        <v>43</v>
      </c>
      <c r="AQ1178" s="23" t="s">
        <v>30</v>
      </c>
      <c r="AR1178" s="23" t="s">
        <v>46</v>
      </c>
      <c r="AS1178" s="25">
        <v>6447816</v>
      </c>
      <c r="AT1178" t="s">
        <v>26</v>
      </c>
      <c r="AU1178" t="s">
        <v>23768</v>
      </c>
    </row>
    <row r="1179" spans="1:47" ht="26.25" x14ac:dyDescent="0.4">
      <c r="A1179" s="23" t="s">
        <v>2926</v>
      </c>
      <c r="B1179" t="s">
        <v>26</v>
      </c>
      <c r="C1179" s="23" t="s">
        <v>22238</v>
      </c>
      <c r="D1179" s="23" t="s">
        <v>22307</v>
      </c>
      <c r="E1179" s="23" t="s">
        <v>42</v>
      </c>
      <c r="F1179" t="s">
        <v>26</v>
      </c>
      <c r="G1179" t="s">
        <v>26</v>
      </c>
      <c r="H1179" t="s">
        <v>26</v>
      </c>
      <c r="I1179" s="24">
        <v>40909</v>
      </c>
      <c r="J1179" s="24">
        <v>40909</v>
      </c>
      <c r="K1179" t="s">
        <v>26</v>
      </c>
      <c r="L1179" s="25" t="s">
        <v>28</v>
      </c>
      <c r="M1179" s="24">
        <v>40909</v>
      </c>
      <c r="N1179" s="24">
        <v>40909</v>
      </c>
      <c r="O1179" t="s">
        <v>26</v>
      </c>
      <c r="P1179" t="s">
        <v>26</v>
      </c>
      <c r="Q1179" t="s">
        <v>26</v>
      </c>
      <c r="R1179" t="s">
        <v>26</v>
      </c>
      <c r="S1179" s="24">
        <v>40909</v>
      </c>
      <c r="T1179" s="24">
        <v>40909</v>
      </c>
      <c r="U1179" t="s">
        <v>26</v>
      </c>
      <c r="V1179" t="s">
        <v>26</v>
      </c>
      <c r="W1179" s="24">
        <v>40909</v>
      </c>
      <c r="X1179" s="24">
        <v>40909</v>
      </c>
      <c r="Y1179" t="s">
        <v>26</v>
      </c>
      <c r="Z1179" s="24">
        <v>40909</v>
      </c>
      <c r="AA1179" s="24">
        <v>40909</v>
      </c>
      <c r="AB1179" t="s">
        <v>26</v>
      </c>
      <c r="AC1179" s="24">
        <v>40909</v>
      </c>
      <c r="AD1179" s="24">
        <v>40909</v>
      </c>
      <c r="AE1179" t="s">
        <v>26</v>
      </c>
      <c r="AF1179" s="24">
        <v>40909</v>
      </c>
      <c r="AG1179" s="24">
        <v>40909</v>
      </c>
      <c r="AH1179" t="s">
        <v>26</v>
      </c>
      <c r="AI1179" s="24">
        <v>40909</v>
      </c>
      <c r="AJ1179" s="24">
        <v>40909</v>
      </c>
      <c r="AK1179" t="s">
        <v>26</v>
      </c>
      <c r="AL1179" t="s">
        <v>26</v>
      </c>
      <c r="AM1179" t="s">
        <v>26</v>
      </c>
      <c r="AN1179" t="s">
        <v>26</v>
      </c>
      <c r="AO1179" s="25" t="s">
        <v>28</v>
      </c>
      <c r="AP1179" s="23" t="s">
        <v>43</v>
      </c>
      <c r="AQ1179" s="23" t="s">
        <v>30</v>
      </c>
      <c r="AR1179" s="23" t="s">
        <v>46</v>
      </c>
      <c r="AS1179" s="25">
        <v>6447815</v>
      </c>
      <c r="AT1179" t="s">
        <v>26</v>
      </c>
      <c r="AU1179" t="s">
        <v>23769</v>
      </c>
    </row>
    <row r="1180" spans="1:47" ht="26.25" x14ac:dyDescent="0.4">
      <c r="A1180" s="23" t="s">
        <v>2927</v>
      </c>
      <c r="B1180" t="s">
        <v>26</v>
      </c>
      <c r="C1180" s="23" t="s">
        <v>22238</v>
      </c>
      <c r="D1180" s="23" t="s">
        <v>22307</v>
      </c>
      <c r="E1180" s="23" t="s">
        <v>42</v>
      </c>
      <c r="F1180" t="s">
        <v>26</v>
      </c>
      <c r="G1180" t="s">
        <v>26</v>
      </c>
      <c r="H1180" t="s">
        <v>26</v>
      </c>
      <c r="I1180" s="24">
        <v>40909</v>
      </c>
      <c r="J1180" s="24">
        <v>40909</v>
      </c>
      <c r="K1180" t="s">
        <v>26</v>
      </c>
      <c r="L1180" s="25" t="s">
        <v>28</v>
      </c>
      <c r="M1180" s="24">
        <v>40909</v>
      </c>
      <c r="N1180" s="24">
        <v>40909</v>
      </c>
      <c r="O1180" t="s">
        <v>26</v>
      </c>
      <c r="P1180" t="s">
        <v>26</v>
      </c>
      <c r="Q1180" t="s">
        <v>26</v>
      </c>
      <c r="R1180" t="s">
        <v>26</v>
      </c>
      <c r="S1180" s="24">
        <v>40909</v>
      </c>
      <c r="T1180" s="24">
        <v>40909</v>
      </c>
      <c r="U1180" t="s">
        <v>26</v>
      </c>
      <c r="V1180" t="s">
        <v>26</v>
      </c>
      <c r="W1180" s="24">
        <v>40909</v>
      </c>
      <c r="X1180" s="24">
        <v>40909</v>
      </c>
      <c r="Y1180" t="s">
        <v>26</v>
      </c>
      <c r="Z1180" s="24">
        <v>40909</v>
      </c>
      <c r="AA1180" s="24">
        <v>40909</v>
      </c>
      <c r="AB1180" t="s">
        <v>26</v>
      </c>
      <c r="AC1180" s="24">
        <v>40909</v>
      </c>
      <c r="AD1180" s="24">
        <v>40909</v>
      </c>
      <c r="AE1180" t="s">
        <v>26</v>
      </c>
      <c r="AF1180" s="24">
        <v>40909</v>
      </c>
      <c r="AG1180" s="24">
        <v>40909</v>
      </c>
      <c r="AH1180" t="s">
        <v>26</v>
      </c>
      <c r="AI1180" s="24">
        <v>40909</v>
      </c>
      <c r="AJ1180" s="24">
        <v>40909</v>
      </c>
      <c r="AK1180" t="s">
        <v>26</v>
      </c>
      <c r="AL1180" t="s">
        <v>26</v>
      </c>
      <c r="AM1180" t="s">
        <v>26</v>
      </c>
      <c r="AN1180" t="s">
        <v>26</v>
      </c>
      <c r="AO1180" s="25" t="s">
        <v>28</v>
      </c>
      <c r="AP1180" s="23" t="s">
        <v>43</v>
      </c>
      <c r="AQ1180" s="23" t="s">
        <v>30</v>
      </c>
      <c r="AR1180" s="23" t="s">
        <v>46</v>
      </c>
      <c r="AS1180" s="25">
        <v>6447814</v>
      </c>
      <c r="AT1180" t="s">
        <v>26</v>
      </c>
      <c r="AU1180" t="s">
        <v>23770</v>
      </c>
    </row>
    <row r="1181" spans="1:47" ht="26.25" x14ac:dyDescent="0.4">
      <c r="A1181" s="23" t="s">
        <v>2928</v>
      </c>
      <c r="B1181" t="s">
        <v>26</v>
      </c>
      <c r="C1181" s="23" t="s">
        <v>22238</v>
      </c>
      <c r="D1181" s="23" t="s">
        <v>22307</v>
      </c>
      <c r="E1181" s="23" t="s">
        <v>42</v>
      </c>
      <c r="F1181" t="s">
        <v>26</v>
      </c>
      <c r="G1181" t="s">
        <v>26</v>
      </c>
      <c r="H1181" t="s">
        <v>26</v>
      </c>
      <c r="I1181" s="24">
        <v>40909</v>
      </c>
      <c r="J1181" s="24">
        <v>40909</v>
      </c>
      <c r="K1181" t="s">
        <v>26</v>
      </c>
      <c r="L1181" s="25" t="s">
        <v>28</v>
      </c>
      <c r="M1181" s="24">
        <v>40909</v>
      </c>
      <c r="N1181" s="24">
        <v>40909</v>
      </c>
      <c r="O1181" t="s">
        <v>26</v>
      </c>
      <c r="P1181" t="s">
        <v>26</v>
      </c>
      <c r="Q1181" t="s">
        <v>26</v>
      </c>
      <c r="R1181" t="s">
        <v>26</v>
      </c>
      <c r="S1181" s="24">
        <v>40909</v>
      </c>
      <c r="T1181" s="24">
        <v>40909</v>
      </c>
      <c r="U1181" t="s">
        <v>26</v>
      </c>
      <c r="V1181" t="s">
        <v>26</v>
      </c>
      <c r="W1181" s="24">
        <v>40909</v>
      </c>
      <c r="X1181" s="24">
        <v>40909</v>
      </c>
      <c r="Y1181" t="s">
        <v>26</v>
      </c>
      <c r="Z1181" s="24">
        <v>40909</v>
      </c>
      <c r="AA1181" s="24">
        <v>40909</v>
      </c>
      <c r="AB1181" t="s">
        <v>26</v>
      </c>
      <c r="AC1181" s="24">
        <v>40909</v>
      </c>
      <c r="AD1181" s="24">
        <v>40909</v>
      </c>
      <c r="AE1181" t="s">
        <v>26</v>
      </c>
      <c r="AF1181" s="24">
        <v>40909</v>
      </c>
      <c r="AG1181" s="24">
        <v>40909</v>
      </c>
      <c r="AH1181" t="s">
        <v>26</v>
      </c>
      <c r="AI1181" s="24">
        <v>40909</v>
      </c>
      <c r="AJ1181" s="24">
        <v>40909</v>
      </c>
      <c r="AK1181" t="s">
        <v>26</v>
      </c>
      <c r="AL1181" t="s">
        <v>26</v>
      </c>
      <c r="AM1181" t="s">
        <v>26</v>
      </c>
      <c r="AN1181" t="s">
        <v>26</v>
      </c>
      <c r="AO1181" s="25" t="s">
        <v>28</v>
      </c>
      <c r="AP1181" s="23" t="s">
        <v>43</v>
      </c>
      <c r="AQ1181" s="23" t="s">
        <v>30</v>
      </c>
      <c r="AR1181" s="23" t="s">
        <v>46</v>
      </c>
      <c r="AS1181" s="25">
        <v>6447813</v>
      </c>
      <c r="AT1181" t="s">
        <v>26</v>
      </c>
      <c r="AU1181" t="s">
        <v>23771</v>
      </c>
    </row>
    <row r="1182" spans="1:47" ht="26.25" x14ac:dyDescent="0.4">
      <c r="A1182" s="23" t="s">
        <v>2929</v>
      </c>
      <c r="B1182" t="s">
        <v>26</v>
      </c>
      <c r="C1182" s="23" t="s">
        <v>22238</v>
      </c>
      <c r="D1182" s="23" t="s">
        <v>22307</v>
      </c>
      <c r="E1182" s="23" t="s">
        <v>42</v>
      </c>
      <c r="F1182" t="s">
        <v>26</v>
      </c>
      <c r="G1182" t="s">
        <v>26</v>
      </c>
      <c r="H1182" t="s">
        <v>26</v>
      </c>
      <c r="I1182" s="24">
        <v>40909</v>
      </c>
      <c r="J1182" s="24">
        <v>40909</v>
      </c>
      <c r="K1182" t="s">
        <v>26</v>
      </c>
      <c r="L1182" s="25" t="s">
        <v>28</v>
      </c>
      <c r="M1182" s="24">
        <v>40909</v>
      </c>
      <c r="N1182" s="24">
        <v>40909</v>
      </c>
      <c r="O1182" t="s">
        <v>26</v>
      </c>
      <c r="P1182" t="s">
        <v>26</v>
      </c>
      <c r="Q1182" t="s">
        <v>26</v>
      </c>
      <c r="R1182" t="s">
        <v>26</v>
      </c>
      <c r="S1182" s="24">
        <v>40909</v>
      </c>
      <c r="T1182" s="24">
        <v>40909</v>
      </c>
      <c r="U1182" t="s">
        <v>26</v>
      </c>
      <c r="V1182" t="s">
        <v>26</v>
      </c>
      <c r="W1182" s="24">
        <v>40909</v>
      </c>
      <c r="X1182" s="24">
        <v>40909</v>
      </c>
      <c r="Y1182" t="s">
        <v>26</v>
      </c>
      <c r="Z1182" s="24">
        <v>40909</v>
      </c>
      <c r="AA1182" s="24">
        <v>40909</v>
      </c>
      <c r="AB1182" t="s">
        <v>26</v>
      </c>
      <c r="AC1182" s="24">
        <v>40909</v>
      </c>
      <c r="AD1182" s="24">
        <v>40909</v>
      </c>
      <c r="AE1182" t="s">
        <v>26</v>
      </c>
      <c r="AF1182" s="24">
        <v>40909</v>
      </c>
      <c r="AG1182" s="24">
        <v>40909</v>
      </c>
      <c r="AH1182" t="s">
        <v>26</v>
      </c>
      <c r="AI1182" s="24">
        <v>40909</v>
      </c>
      <c r="AJ1182" s="24">
        <v>40909</v>
      </c>
      <c r="AK1182" t="s">
        <v>26</v>
      </c>
      <c r="AL1182" t="s">
        <v>26</v>
      </c>
      <c r="AM1182" t="s">
        <v>26</v>
      </c>
      <c r="AN1182" t="s">
        <v>26</v>
      </c>
      <c r="AO1182" s="25" t="s">
        <v>28</v>
      </c>
      <c r="AP1182" s="23" t="s">
        <v>43</v>
      </c>
      <c r="AQ1182" s="23" t="s">
        <v>30</v>
      </c>
      <c r="AR1182" s="23" t="s">
        <v>46</v>
      </c>
      <c r="AS1182" s="25">
        <v>6447812</v>
      </c>
      <c r="AT1182" t="s">
        <v>26</v>
      </c>
      <c r="AU1182" t="s">
        <v>23772</v>
      </c>
    </row>
    <row r="1183" spans="1:47" ht="26.25" x14ac:dyDescent="0.4">
      <c r="A1183" s="23" t="s">
        <v>2930</v>
      </c>
      <c r="B1183" t="s">
        <v>26</v>
      </c>
      <c r="C1183" s="23" t="s">
        <v>22238</v>
      </c>
      <c r="D1183" s="23" t="s">
        <v>22307</v>
      </c>
      <c r="E1183" s="23" t="s">
        <v>42</v>
      </c>
      <c r="F1183" t="s">
        <v>26</v>
      </c>
      <c r="G1183" t="s">
        <v>26</v>
      </c>
      <c r="H1183" t="s">
        <v>26</v>
      </c>
      <c r="I1183" s="24">
        <v>40909</v>
      </c>
      <c r="J1183" s="24">
        <v>40909</v>
      </c>
      <c r="K1183" t="s">
        <v>26</v>
      </c>
      <c r="L1183" s="25" t="s">
        <v>28</v>
      </c>
      <c r="M1183" s="24">
        <v>40909</v>
      </c>
      <c r="N1183" s="24">
        <v>40909</v>
      </c>
      <c r="O1183" t="s">
        <v>26</v>
      </c>
      <c r="P1183" t="s">
        <v>26</v>
      </c>
      <c r="Q1183" t="s">
        <v>26</v>
      </c>
      <c r="R1183" t="s">
        <v>26</v>
      </c>
      <c r="S1183" s="24">
        <v>40909</v>
      </c>
      <c r="T1183" s="24">
        <v>40909</v>
      </c>
      <c r="U1183" t="s">
        <v>26</v>
      </c>
      <c r="V1183" t="s">
        <v>26</v>
      </c>
      <c r="W1183" s="24">
        <v>40909</v>
      </c>
      <c r="X1183" s="24">
        <v>40909</v>
      </c>
      <c r="Y1183" t="s">
        <v>26</v>
      </c>
      <c r="Z1183" s="24">
        <v>40909</v>
      </c>
      <c r="AA1183" s="24">
        <v>40909</v>
      </c>
      <c r="AB1183" t="s">
        <v>26</v>
      </c>
      <c r="AC1183" s="24">
        <v>40909</v>
      </c>
      <c r="AD1183" s="24">
        <v>40909</v>
      </c>
      <c r="AE1183" t="s">
        <v>26</v>
      </c>
      <c r="AF1183" s="24">
        <v>40909</v>
      </c>
      <c r="AG1183" s="24">
        <v>40909</v>
      </c>
      <c r="AH1183" t="s">
        <v>26</v>
      </c>
      <c r="AI1183" s="24">
        <v>40909</v>
      </c>
      <c r="AJ1183" s="24">
        <v>40909</v>
      </c>
      <c r="AK1183" t="s">
        <v>26</v>
      </c>
      <c r="AL1183" t="s">
        <v>26</v>
      </c>
      <c r="AM1183" t="s">
        <v>26</v>
      </c>
      <c r="AN1183" t="s">
        <v>26</v>
      </c>
      <c r="AO1183" s="25" t="s">
        <v>28</v>
      </c>
      <c r="AP1183" s="23" t="s">
        <v>43</v>
      </c>
      <c r="AQ1183" s="23" t="s">
        <v>30</v>
      </c>
      <c r="AR1183" s="23" t="s">
        <v>46</v>
      </c>
      <c r="AS1183" s="25">
        <v>6447811</v>
      </c>
      <c r="AT1183" t="s">
        <v>26</v>
      </c>
      <c r="AU1183" t="s">
        <v>23773</v>
      </c>
    </row>
    <row r="1184" spans="1:47" ht="26.25" x14ac:dyDescent="0.4">
      <c r="A1184" s="23" t="s">
        <v>2931</v>
      </c>
      <c r="B1184" t="s">
        <v>26</v>
      </c>
      <c r="C1184" s="23" t="s">
        <v>22238</v>
      </c>
      <c r="D1184" s="23" t="s">
        <v>22307</v>
      </c>
      <c r="E1184" s="23" t="s">
        <v>42</v>
      </c>
      <c r="F1184" t="s">
        <v>26</v>
      </c>
      <c r="G1184" t="s">
        <v>26</v>
      </c>
      <c r="H1184" t="s">
        <v>26</v>
      </c>
      <c r="I1184" s="24">
        <v>40909</v>
      </c>
      <c r="J1184" s="24">
        <v>40909</v>
      </c>
      <c r="K1184" t="s">
        <v>26</v>
      </c>
      <c r="L1184" s="25" t="s">
        <v>28</v>
      </c>
      <c r="M1184" s="24">
        <v>40909</v>
      </c>
      <c r="N1184" s="24">
        <v>40909</v>
      </c>
      <c r="O1184" t="s">
        <v>26</v>
      </c>
      <c r="P1184" t="s">
        <v>26</v>
      </c>
      <c r="Q1184" t="s">
        <v>26</v>
      </c>
      <c r="R1184" t="s">
        <v>26</v>
      </c>
      <c r="S1184" s="24">
        <v>40909</v>
      </c>
      <c r="T1184" s="24">
        <v>40909</v>
      </c>
      <c r="U1184" t="s">
        <v>26</v>
      </c>
      <c r="V1184" t="s">
        <v>26</v>
      </c>
      <c r="W1184" s="24">
        <v>40909</v>
      </c>
      <c r="X1184" s="24">
        <v>40909</v>
      </c>
      <c r="Y1184" t="s">
        <v>26</v>
      </c>
      <c r="Z1184" s="24">
        <v>40909</v>
      </c>
      <c r="AA1184" s="24">
        <v>40909</v>
      </c>
      <c r="AB1184" t="s">
        <v>26</v>
      </c>
      <c r="AC1184" s="24">
        <v>40909</v>
      </c>
      <c r="AD1184" s="24">
        <v>40909</v>
      </c>
      <c r="AE1184" t="s">
        <v>26</v>
      </c>
      <c r="AF1184" s="24">
        <v>40909</v>
      </c>
      <c r="AG1184" s="24">
        <v>40909</v>
      </c>
      <c r="AH1184" t="s">
        <v>26</v>
      </c>
      <c r="AI1184" s="24">
        <v>40909</v>
      </c>
      <c r="AJ1184" s="24">
        <v>40909</v>
      </c>
      <c r="AK1184" t="s">
        <v>26</v>
      </c>
      <c r="AL1184" t="s">
        <v>26</v>
      </c>
      <c r="AM1184" t="s">
        <v>26</v>
      </c>
      <c r="AN1184" t="s">
        <v>26</v>
      </c>
      <c r="AO1184" s="25" t="s">
        <v>28</v>
      </c>
      <c r="AP1184" s="23" t="s">
        <v>43</v>
      </c>
      <c r="AQ1184" s="23" t="s">
        <v>30</v>
      </c>
      <c r="AR1184" s="23" t="s">
        <v>46</v>
      </c>
      <c r="AS1184" s="25">
        <v>6447810</v>
      </c>
      <c r="AT1184" t="s">
        <v>26</v>
      </c>
      <c r="AU1184" t="s">
        <v>23774</v>
      </c>
    </row>
    <row r="1185" spans="1:47" ht="26.25" x14ac:dyDescent="0.4">
      <c r="A1185" s="23" t="s">
        <v>2932</v>
      </c>
      <c r="B1185" t="s">
        <v>26</v>
      </c>
      <c r="C1185" s="23" t="s">
        <v>22238</v>
      </c>
      <c r="D1185" s="23" t="s">
        <v>22307</v>
      </c>
      <c r="E1185" s="23" t="s">
        <v>42</v>
      </c>
      <c r="F1185" t="s">
        <v>26</v>
      </c>
      <c r="G1185" t="s">
        <v>26</v>
      </c>
      <c r="H1185" t="s">
        <v>26</v>
      </c>
      <c r="I1185" s="24">
        <v>40909</v>
      </c>
      <c r="J1185" s="24">
        <v>40909</v>
      </c>
      <c r="K1185" t="s">
        <v>26</v>
      </c>
      <c r="L1185" s="25" t="s">
        <v>28</v>
      </c>
      <c r="M1185" s="24">
        <v>40909</v>
      </c>
      <c r="N1185" s="24">
        <v>40909</v>
      </c>
      <c r="O1185" t="s">
        <v>26</v>
      </c>
      <c r="P1185" t="s">
        <v>26</v>
      </c>
      <c r="Q1185" t="s">
        <v>26</v>
      </c>
      <c r="R1185" t="s">
        <v>26</v>
      </c>
      <c r="S1185" s="24">
        <v>40909</v>
      </c>
      <c r="T1185" s="24">
        <v>40909</v>
      </c>
      <c r="U1185" t="s">
        <v>26</v>
      </c>
      <c r="V1185" t="s">
        <v>26</v>
      </c>
      <c r="W1185" s="24">
        <v>40909</v>
      </c>
      <c r="X1185" s="24">
        <v>40909</v>
      </c>
      <c r="Y1185" t="s">
        <v>26</v>
      </c>
      <c r="Z1185" s="24">
        <v>40909</v>
      </c>
      <c r="AA1185" s="24">
        <v>40909</v>
      </c>
      <c r="AB1185" t="s">
        <v>26</v>
      </c>
      <c r="AC1185" s="24">
        <v>40909</v>
      </c>
      <c r="AD1185" s="24">
        <v>40909</v>
      </c>
      <c r="AE1185" t="s">
        <v>26</v>
      </c>
      <c r="AF1185" s="24">
        <v>40909</v>
      </c>
      <c r="AG1185" s="24">
        <v>40909</v>
      </c>
      <c r="AH1185" t="s">
        <v>26</v>
      </c>
      <c r="AI1185" s="24">
        <v>40909</v>
      </c>
      <c r="AJ1185" s="24">
        <v>40909</v>
      </c>
      <c r="AK1185" t="s">
        <v>26</v>
      </c>
      <c r="AL1185" t="s">
        <v>26</v>
      </c>
      <c r="AM1185" t="s">
        <v>26</v>
      </c>
      <c r="AN1185" t="s">
        <v>26</v>
      </c>
      <c r="AO1185" s="25" t="s">
        <v>28</v>
      </c>
      <c r="AP1185" s="23" t="s">
        <v>43</v>
      </c>
      <c r="AQ1185" s="23" t="s">
        <v>30</v>
      </c>
      <c r="AR1185" s="23" t="s">
        <v>46</v>
      </c>
      <c r="AS1185" s="25">
        <v>6447809</v>
      </c>
      <c r="AT1185" t="s">
        <v>26</v>
      </c>
      <c r="AU1185" t="s">
        <v>23775</v>
      </c>
    </row>
    <row r="1186" spans="1:47" ht="26.25" x14ac:dyDescent="0.4">
      <c r="A1186" s="23" t="s">
        <v>2933</v>
      </c>
      <c r="B1186" t="s">
        <v>26</v>
      </c>
      <c r="C1186" s="23" t="s">
        <v>2934</v>
      </c>
      <c r="D1186" s="23" t="s">
        <v>23776</v>
      </c>
      <c r="E1186" s="23" t="s">
        <v>42</v>
      </c>
      <c r="F1186" s="25" t="s">
        <v>2935</v>
      </c>
      <c r="G1186" s="25" t="s">
        <v>2936</v>
      </c>
      <c r="H1186" t="s">
        <v>26</v>
      </c>
      <c r="I1186" s="24">
        <v>35521</v>
      </c>
      <c r="J1186" s="25" t="s">
        <v>77</v>
      </c>
      <c r="K1186" t="s">
        <v>26</v>
      </c>
      <c r="L1186" s="25" t="s">
        <v>68</v>
      </c>
      <c r="M1186" s="24">
        <v>35612</v>
      </c>
      <c r="N1186" s="25" t="s">
        <v>77</v>
      </c>
      <c r="O1186" t="s">
        <v>26</v>
      </c>
      <c r="P1186" s="24">
        <v>35521</v>
      </c>
      <c r="Q1186" s="24">
        <v>43739</v>
      </c>
      <c r="R1186" t="s">
        <v>26</v>
      </c>
      <c r="S1186" t="s">
        <v>26</v>
      </c>
      <c r="T1186" t="s">
        <v>26</v>
      </c>
      <c r="U1186" t="s">
        <v>26</v>
      </c>
      <c r="V1186" t="s">
        <v>26</v>
      </c>
      <c r="W1186" s="24">
        <v>34335</v>
      </c>
      <c r="X1186" s="25" t="s">
        <v>77</v>
      </c>
      <c r="Y1186" t="s">
        <v>26</v>
      </c>
      <c r="Z1186" s="24">
        <v>34335</v>
      </c>
      <c r="AA1186" s="25" t="s">
        <v>77</v>
      </c>
      <c r="AB1186" t="s">
        <v>26</v>
      </c>
      <c r="AC1186" s="24">
        <v>34335</v>
      </c>
      <c r="AD1186" s="25" t="s">
        <v>77</v>
      </c>
      <c r="AE1186" t="s">
        <v>26</v>
      </c>
      <c r="AF1186" t="s">
        <v>26</v>
      </c>
      <c r="AG1186" t="s">
        <v>26</v>
      </c>
      <c r="AH1186" t="s">
        <v>26</v>
      </c>
      <c r="AI1186" t="s">
        <v>26</v>
      </c>
      <c r="AJ1186" t="s">
        <v>26</v>
      </c>
      <c r="AK1186" t="s">
        <v>26</v>
      </c>
      <c r="AL1186" t="s">
        <v>26</v>
      </c>
      <c r="AM1186" t="s">
        <v>26</v>
      </c>
      <c r="AN1186" t="s">
        <v>26</v>
      </c>
      <c r="AO1186" s="25" t="s">
        <v>28</v>
      </c>
      <c r="AP1186" s="23" t="s">
        <v>69</v>
      </c>
      <c r="AQ1186" s="23" t="s">
        <v>30</v>
      </c>
      <c r="AR1186" s="23" t="s">
        <v>2937</v>
      </c>
      <c r="AS1186" s="25">
        <v>27297</v>
      </c>
      <c r="AT1186" t="s">
        <v>26</v>
      </c>
      <c r="AU1186" t="s">
        <v>23777</v>
      </c>
    </row>
    <row r="1187" spans="1:47" ht="26.25" x14ac:dyDescent="0.4">
      <c r="A1187" s="23" t="s">
        <v>2933</v>
      </c>
      <c r="B1187" t="s">
        <v>26</v>
      </c>
      <c r="C1187" s="23" t="s">
        <v>2938</v>
      </c>
      <c r="D1187" s="23" t="s">
        <v>23776</v>
      </c>
      <c r="E1187" s="23" t="s">
        <v>479</v>
      </c>
      <c r="F1187" s="25" t="s">
        <v>2935</v>
      </c>
      <c r="G1187" s="25" t="s">
        <v>2936</v>
      </c>
      <c r="H1187" t="s">
        <v>26</v>
      </c>
      <c r="I1187" t="s">
        <v>26</v>
      </c>
      <c r="J1187" t="s">
        <v>26</v>
      </c>
      <c r="K1187" t="s">
        <v>26</v>
      </c>
      <c r="L1187" s="25" t="s">
        <v>68</v>
      </c>
      <c r="M1187" t="s">
        <v>26</v>
      </c>
      <c r="N1187" t="s">
        <v>26</v>
      </c>
      <c r="O1187" t="s">
        <v>26</v>
      </c>
      <c r="P1187" t="s">
        <v>26</v>
      </c>
      <c r="Q1187" t="s">
        <v>26</v>
      </c>
      <c r="R1187" t="s">
        <v>26</v>
      </c>
      <c r="S1187" t="s">
        <v>26</v>
      </c>
      <c r="T1187" t="s">
        <v>26</v>
      </c>
      <c r="U1187" t="s">
        <v>26</v>
      </c>
      <c r="V1187" t="s">
        <v>26</v>
      </c>
      <c r="W1187" s="24">
        <v>42278</v>
      </c>
      <c r="X1187" s="24">
        <v>42644</v>
      </c>
      <c r="Y1187" t="s">
        <v>26</v>
      </c>
      <c r="Z1187" s="24">
        <v>42278</v>
      </c>
      <c r="AA1187" s="24">
        <v>42644</v>
      </c>
      <c r="AB1187" t="s">
        <v>26</v>
      </c>
      <c r="AC1187" s="24">
        <v>42278</v>
      </c>
      <c r="AD1187" s="24">
        <v>42644</v>
      </c>
      <c r="AE1187" t="s">
        <v>26</v>
      </c>
      <c r="AF1187" t="s">
        <v>26</v>
      </c>
      <c r="AG1187" t="s">
        <v>26</v>
      </c>
      <c r="AH1187" t="s">
        <v>26</v>
      </c>
      <c r="AI1187" t="s">
        <v>26</v>
      </c>
      <c r="AJ1187" t="s">
        <v>26</v>
      </c>
      <c r="AK1187" t="s">
        <v>26</v>
      </c>
      <c r="AL1187" t="s">
        <v>26</v>
      </c>
      <c r="AM1187" t="s">
        <v>26</v>
      </c>
      <c r="AN1187" t="s">
        <v>26</v>
      </c>
      <c r="AO1187" s="25" t="s">
        <v>28</v>
      </c>
      <c r="AP1187" s="23" t="s">
        <v>69</v>
      </c>
      <c r="AQ1187" s="23" t="s">
        <v>30</v>
      </c>
      <c r="AR1187" s="23" t="s">
        <v>2937</v>
      </c>
      <c r="AS1187" s="25">
        <v>2036992</v>
      </c>
      <c r="AT1187" t="s">
        <v>26</v>
      </c>
      <c r="AU1187" t="s">
        <v>23778</v>
      </c>
    </row>
    <row r="1188" spans="1:47" ht="26.25" x14ac:dyDescent="0.4">
      <c r="A1188" s="23" t="s">
        <v>2939</v>
      </c>
      <c r="B1188" t="s">
        <v>26</v>
      </c>
      <c r="C1188" s="23" t="s">
        <v>2320</v>
      </c>
      <c r="D1188" s="23" t="s">
        <v>22307</v>
      </c>
      <c r="E1188" s="23" t="s">
        <v>42</v>
      </c>
      <c r="F1188" s="25" t="s">
        <v>2940</v>
      </c>
      <c r="G1188" s="25" t="s">
        <v>2941</v>
      </c>
      <c r="H1188" t="s">
        <v>26</v>
      </c>
      <c r="I1188" s="24">
        <v>35490</v>
      </c>
      <c r="J1188" s="24">
        <v>39114</v>
      </c>
      <c r="K1188" t="s">
        <v>26</v>
      </c>
      <c r="L1188" s="25" t="s">
        <v>68</v>
      </c>
      <c r="M1188" s="24">
        <v>35490</v>
      </c>
      <c r="N1188" s="24">
        <v>39114</v>
      </c>
      <c r="O1188" t="s">
        <v>26</v>
      </c>
      <c r="P1188" s="24">
        <v>35490</v>
      </c>
      <c r="Q1188" s="24">
        <v>39114</v>
      </c>
      <c r="R1188" t="s">
        <v>26</v>
      </c>
      <c r="S1188" t="s">
        <v>26</v>
      </c>
      <c r="T1188" t="s">
        <v>26</v>
      </c>
      <c r="U1188" t="s">
        <v>26</v>
      </c>
      <c r="V1188" t="s">
        <v>26</v>
      </c>
      <c r="W1188" s="24">
        <v>21429</v>
      </c>
      <c r="X1188" s="25" t="s">
        <v>77</v>
      </c>
      <c r="Y1188" t="s">
        <v>26</v>
      </c>
      <c r="Z1188" s="24">
        <v>21429</v>
      </c>
      <c r="AA1188" s="25" t="s">
        <v>77</v>
      </c>
      <c r="AB1188" t="s">
        <v>26</v>
      </c>
      <c r="AC1188" s="24">
        <v>38078</v>
      </c>
      <c r="AD1188" s="25" t="s">
        <v>77</v>
      </c>
      <c r="AE1188" t="s">
        <v>26</v>
      </c>
      <c r="AF1188" t="s">
        <v>26</v>
      </c>
      <c r="AG1188" t="s">
        <v>26</v>
      </c>
      <c r="AH1188" t="s">
        <v>26</v>
      </c>
      <c r="AI1188" t="s">
        <v>26</v>
      </c>
      <c r="AJ1188" t="s">
        <v>26</v>
      </c>
      <c r="AK1188" t="s">
        <v>26</v>
      </c>
      <c r="AL1188" t="s">
        <v>26</v>
      </c>
      <c r="AM1188" t="s">
        <v>26</v>
      </c>
      <c r="AN1188" t="s">
        <v>26</v>
      </c>
      <c r="AO1188" s="25" t="s">
        <v>68</v>
      </c>
      <c r="AP1188" s="23" t="s">
        <v>69</v>
      </c>
      <c r="AQ1188" s="23" t="s">
        <v>30</v>
      </c>
      <c r="AR1188" s="23" t="s">
        <v>2942</v>
      </c>
      <c r="AS1188" s="25">
        <v>48481</v>
      </c>
      <c r="AT1188" t="s">
        <v>26</v>
      </c>
      <c r="AU1188" t="s">
        <v>23779</v>
      </c>
    </row>
    <row r="1189" spans="1:47" ht="26.25" x14ac:dyDescent="0.4">
      <c r="A1189" s="23" t="s">
        <v>2943</v>
      </c>
      <c r="B1189" t="s">
        <v>26</v>
      </c>
      <c r="C1189" s="23" t="s">
        <v>73</v>
      </c>
      <c r="D1189" s="23" t="s">
        <v>22179</v>
      </c>
      <c r="E1189" s="23" t="s">
        <v>74</v>
      </c>
      <c r="F1189" s="25" t="s">
        <v>2944</v>
      </c>
      <c r="G1189" s="25" t="s">
        <v>2945</v>
      </c>
      <c r="H1189" t="s">
        <v>26</v>
      </c>
      <c r="I1189" s="24">
        <v>35490</v>
      </c>
      <c r="J1189" s="25" t="s">
        <v>77</v>
      </c>
      <c r="K1189" t="s">
        <v>26</v>
      </c>
      <c r="L1189" s="25" t="s">
        <v>68</v>
      </c>
      <c r="M1189" s="24">
        <v>38047</v>
      </c>
      <c r="N1189" s="24">
        <v>42795</v>
      </c>
      <c r="O1189" t="s">
        <v>26</v>
      </c>
      <c r="P1189" s="24">
        <v>35490</v>
      </c>
      <c r="Q1189" s="25" t="s">
        <v>77</v>
      </c>
      <c r="R1189" t="s">
        <v>26</v>
      </c>
      <c r="S1189" t="s">
        <v>26</v>
      </c>
      <c r="T1189" t="s">
        <v>26</v>
      </c>
      <c r="U1189" t="s">
        <v>26</v>
      </c>
      <c r="V1189" s="25">
        <v>365</v>
      </c>
      <c r="W1189" s="24">
        <v>35490</v>
      </c>
      <c r="X1189" s="25" t="s">
        <v>77</v>
      </c>
      <c r="Y1189" t="s">
        <v>26</v>
      </c>
      <c r="Z1189" s="24">
        <v>35490</v>
      </c>
      <c r="AA1189" s="25" t="s">
        <v>77</v>
      </c>
      <c r="AB1189" t="s">
        <v>26</v>
      </c>
      <c r="AC1189" s="24">
        <v>35490</v>
      </c>
      <c r="AD1189" s="25" t="s">
        <v>77</v>
      </c>
      <c r="AE1189" t="s">
        <v>26</v>
      </c>
      <c r="AF1189" t="s">
        <v>26</v>
      </c>
      <c r="AG1189" t="s">
        <v>26</v>
      </c>
      <c r="AH1189" t="s">
        <v>26</v>
      </c>
      <c r="AI1189" t="s">
        <v>26</v>
      </c>
      <c r="AJ1189" t="s">
        <v>26</v>
      </c>
      <c r="AK1189" t="s">
        <v>26</v>
      </c>
      <c r="AL1189" t="s">
        <v>26</v>
      </c>
      <c r="AM1189" t="s">
        <v>26</v>
      </c>
      <c r="AN1189" t="s">
        <v>26</v>
      </c>
      <c r="AO1189" s="25" t="s">
        <v>68</v>
      </c>
      <c r="AP1189" s="23" t="s">
        <v>69</v>
      </c>
      <c r="AQ1189" s="23" t="s">
        <v>30</v>
      </c>
      <c r="AR1189" s="23" t="s">
        <v>2946</v>
      </c>
      <c r="AS1189" s="25">
        <v>55427</v>
      </c>
      <c r="AT1189" t="s">
        <v>26</v>
      </c>
      <c r="AU1189" t="s">
        <v>23780</v>
      </c>
    </row>
    <row r="1190" spans="1:47" ht="26.25" x14ac:dyDescent="0.4">
      <c r="A1190" s="23" t="s">
        <v>2947</v>
      </c>
      <c r="B1190" t="s">
        <v>26</v>
      </c>
      <c r="C1190" s="23" t="s">
        <v>2948</v>
      </c>
      <c r="D1190" s="23" t="s">
        <v>23781</v>
      </c>
      <c r="E1190" s="23" t="s">
        <v>42</v>
      </c>
      <c r="F1190" s="25" t="s">
        <v>2949</v>
      </c>
      <c r="G1190" s="25" t="s">
        <v>2950</v>
      </c>
      <c r="H1190" t="s">
        <v>26</v>
      </c>
      <c r="I1190" s="24">
        <v>35400</v>
      </c>
      <c r="J1190" s="25" t="s">
        <v>77</v>
      </c>
      <c r="K1190" t="s">
        <v>26</v>
      </c>
      <c r="L1190" s="25" t="s">
        <v>68</v>
      </c>
      <c r="M1190" s="24">
        <v>35886</v>
      </c>
      <c r="N1190" s="25" t="s">
        <v>77</v>
      </c>
      <c r="O1190" t="s">
        <v>26</v>
      </c>
      <c r="P1190" s="24">
        <v>35400</v>
      </c>
      <c r="Q1190" s="25" t="s">
        <v>77</v>
      </c>
      <c r="R1190" t="s">
        <v>26</v>
      </c>
      <c r="S1190" t="s">
        <v>26</v>
      </c>
      <c r="T1190" t="s">
        <v>26</v>
      </c>
      <c r="U1190" t="s">
        <v>26</v>
      </c>
      <c r="V1190" t="s">
        <v>26</v>
      </c>
      <c r="W1190" s="24">
        <v>32599</v>
      </c>
      <c r="X1190" s="25" t="s">
        <v>77</v>
      </c>
      <c r="Y1190" t="s">
        <v>26</v>
      </c>
      <c r="Z1190" s="24">
        <v>32599</v>
      </c>
      <c r="AA1190" s="25" t="s">
        <v>77</v>
      </c>
      <c r="AB1190" t="s">
        <v>26</v>
      </c>
      <c r="AC1190" s="24">
        <v>32599</v>
      </c>
      <c r="AD1190" s="25" t="s">
        <v>77</v>
      </c>
      <c r="AE1190" t="s">
        <v>26</v>
      </c>
      <c r="AF1190" t="s">
        <v>26</v>
      </c>
      <c r="AG1190" t="s">
        <v>26</v>
      </c>
      <c r="AH1190" t="s">
        <v>26</v>
      </c>
      <c r="AI1190" t="s">
        <v>26</v>
      </c>
      <c r="AJ1190" t="s">
        <v>26</v>
      </c>
      <c r="AK1190" t="s">
        <v>26</v>
      </c>
      <c r="AL1190" t="s">
        <v>26</v>
      </c>
      <c r="AM1190" t="s">
        <v>26</v>
      </c>
      <c r="AN1190" t="s">
        <v>26</v>
      </c>
      <c r="AO1190" s="25" t="s">
        <v>68</v>
      </c>
      <c r="AP1190" s="23" t="s">
        <v>69</v>
      </c>
      <c r="AQ1190" s="23" t="s">
        <v>30</v>
      </c>
      <c r="AR1190" s="23" t="s">
        <v>2951</v>
      </c>
      <c r="AS1190" s="25">
        <v>47564</v>
      </c>
      <c r="AT1190" t="s">
        <v>26</v>
      </c>
      <c r="AU1190" t="s">
        <v>23782</v>
      </c>
    </row>
    <row r="1191" spans="1:47" ht="26.25" x14ac:dyDescent="0.4">
      <c r="A1191" s="23" t="s">
        <v>2952</v>
      </c>
      <c r="B1191" t="s">
        <v>26</v>
      </c>
      <c r="C1191" s="23" t="s">
        <v>1481</v>
      </c>
      <c r="D1191" s="23" t="s">
        <v>22190</v>
      </c>
      <c r="E1191" s="23" t="s">
        <v>60</v>
      </c>
      <c r="F1191" s="25" t="s">
        <v>2953</v>
      </c>
      <c r="G1191" s="25" t="s">
        <v>2954</v>
      </c>
      <c r="H1191" t="s">
        <v>26</v>
      </c>
      <c r="I1191" t="s">
        <v>26</v>
      </c>
      <c r="J1191" t="s">
        <v>26</v>
      </c>
      <c r="K1191" t="s">
        <v>26</v>
      </c>
      <c r="L1191" s="25" t="s">
        <v>68</v>
      </c>
      <c r="M1191" t="s">
        <v>26</v>
      </c>
      <c r="N1191" t="s">
        <v>26</v>
      </c>
      <c r="O1191" t="s">
        <v>26</v>
      </c>
      <c r="P1191" t="s">
        <v>26</v>
      </c>
      <c r="Q1191" t="s">
        <v>26</v>
      </c>
      <c r="R1191" t="s">
        <v>26</v>
      </c>
      <c r="S1191" t="s">
        <v>26</v>
      </c>
      <c r="T1191" t="s">
        <v>26</v>
      </c>
      <c r="U1191" t="s">
        <v>26</v>
      </c>
      <c r="V1191" t="s">
        <v>26</v>
      </c>
      <c r="W1191" s="24">
        <v>37987</v>
      </c>
      <c r="X1191" s="25" t="s">
        <v>77</v>
      </c>
      <c r="Y1191" t="s">
        <v>26</v>
      </c>
      <c r="Z1191" s="24">
        <v>37987</v>
      </c>
      <c r="AA1191" s="25" t="s">
        <v>77</v>
      </c>
      <c r="AB1191" t="s">
        <v>26</v>
      </c>
      <c r="AC1191" s="24">
        <v>37987</v>
      </c>
      <c r="AD1191" s="25" t="s">
        <v>77</v>
      </c>
      <c r="AE1191" t="s">
        <v>26</v>
      </c>
      <c r="AF1191" t="s">
        <v>26</v>
      </c>
      <c r="AG1191" t="s">
        <v>26</v>
      </c>
      <c r="AH1191" t="s">
        <v>26</v>
      </c>
      <c r="AI1191" t="s">
        <v>26</v>
      </c>
      <c r="AJ1191" t="s">
        <v>26</v>
      </c>
      <c r="AK1191" t="s">
        <v>26</v>
      </c>
      <c r="AL1191" t="s">
        <v>26</v>
      </c>
      <c r="AM1191" t="s">
        <v>26</v>
      </c>
      <c r="AN1191" t="s">
        <v>26</v>
      </c>
      <c r="AO1191" s="25" t="s">
        <v>68</v>
      </c>
      <c r="AP1191" s="23" t="s">
        <v>69</v>
      </c>
      <c r="AQ1191" s="23" t="s">
        <v>30</v>
      </c>
      <c r="AR1191" s="23" t="s">
        <v>46</v>
      </c>
      <c r="AS1191" s="25">
        <v>46404</v>
      </c>
      <c r="AT1191" t="s">
        <v>26</v>
      </c>
      <c r="AU1191" t="s">
        <v>23783</v>
      </c>
    </row>
    <row r="1192" spans="1:47" ht="26.25" x14ac:dyDescent="0.4">
      <c r="A1192" s="23" t="s">
        <v>2955</v>
      </c>
      <c r="B1192" t="s">
        <v>26</v>
      </c>
      <c r="C1192" s="23" t="s">
        <v>320</v>
      </c>
      <c r="D1192" s="23" t="s">
        <v>22397</v>
      </c>
      <c r="E1192" s="23" t="s">
        <v>42</v>
      </c>
      <c r="F1192" s="25" t="s">
        <v>2956</v>
      </c>
      <c r="G1192" s="25" t="s">
        <v>2957</v>
      </c>
      <c r="H1192" t="s">
        <v>26</v>
      </c>
      <c r="I1192" t="s">
        <v>26</v>
      </c>
      <c r="J1192" t="s">
        <v>26</v>
      </c>
      <c r="K1192" t="s">
        <v>26</v>
      </c>
      <c r="L1192" s="25" t="s">
        <v>68</v>
      </c>
      <c r="M1192" t="s">
        <v>26</v>
      </c>
      <c r="N1192" t="s">
        <v>26</v>
      </c>
      <c r="O1192" t="s">
        <v>26</v>
      </c>
      <c r="P1192" t="s">
        <v>26</v>
      </c>
      <c r="Q1192" t="s">
        <v>26</v>
      </c>
      <c r="R1192" t="s">
        <v>26</v>
      </c>
      <c r="S1192" t="s">
        <v>26</v>
      </c>
      <c r="T1192" t="s">
        <v>26</v>
      </c>
      <c r="U1192" t="s">
        <v>26</v>
      </c>
      <c r="V1192" t="s">
        <v>26</v>
      </c>
      <c r="W1192" s="24">
        <v>40909</v>
      </c>
      <c r="X1192" s="25" t="s">
        <v>77</v>
      </c>
      <c r="Y1192" t="s">
        <v>26</v>
      </c>
      <c r="Z1192" s="24">
        <v>40909</v>
      </c>
      <c r="AA1192" s="25" t="s">
        <v>77</v>
      </c>
      <c r="AB1192" t="s">
        <v>26</v>
      </c>
      <c r="AC1192" s="24">
        <v>40909</v>
      </c>
      <c r="AD1192" s="25" t="s">
        <v>77</v>
      </c>
      <c r="AE1192" t="s">
        <v>26</v>
      </c>
      <c r="AF1192" t="s">
        <v>26</v>
      </c>
      <c r="AG1192" t="s">
        <v>26</v>
      </c>
      <c r="AH1192" t="s">
        <v>26</v>
      </c>
      <c r="AI1192" t="s">
        <v>26</v>
      </c>
      <c r="AJ1192" t="s">
        <v>26</v>
      </c>
      <c r="AK1192" t="s">
        <v>26</v>
      </c>
      <c r="AL1192" t="s">
        <v>26</v>
      </c>
      <c r="AM1192" t="s">
        <v>26</v>
      </c>
      <c r="AN1192" t="s">
        <v>26</v>
      </c>
      <c r="AO1192" s="25" t="s">
        <v>68</v>
      </c>
      <c r="AP1192" s="23" t="s">
        <v>69</v>
      </c>
      <c r="AQ1192" s="23" t="s">
        <v>30</v>
      </c>
      <c r="AR1192" s="23" t="s">
        <v>1261</v>
      </c>
      <c r="AS1192" s="25">
        <v>996344</v>
      </c>
      <c r="AT1192" t="s">
        <v>26</v>
      </c>
      <c r="AU1192" t="s">
        <v>23784</v>
      </c>
    </row>
    <row r="1193" spans="1:47" ht="26.25" x14ac:dyDescent="0.4">
      <c r="A1193" s="23" t="s">
        <v>2958</v>
      </c>
      <c r="B1193" t="s">
        <v>26</v>
      </c>
      <c r="C1193" s="23" t="s">
        <v>107</v>
      </c>
      <c r="D1193" s="23" t="s">
        <v>22194</v>
      </c>
      <c r="E1193" s="23" t="s">
        <v>42</v>
      </c>
      <c r="F1193" s="25" t="s">
        <v>2959</v>
      </c>
      <c r="G1193" s="25" t="s">
        <v>2960</v>
      </c>
      <c r="H1193" t="s">
        <v>26</v>
      </c>
      <c r="I1193" s="24">
        <v>33604</v>
      </c>
      <c r="J1193" s="24">
        <v>39417</v>
      </c>
      <c r="K1193" t="s">
        <v>26</v>
      </c>
      <c r="L1193" s="25" t="s">
        <v>68</v>
      </c>
      <c r="M1193" s="24">
        <v>33604</v>
      </c>
      <c r="N1193" s="24">
        <v>39417</v>
      </c>
      <c r="O1193" t="s">
        <v>26</v>
      </c>
      <c r="P1193" s="24">
        <v>34669</v>
      </c>
      <c r="Q1193" s="24">
        <v>39417</v>
      </c>
      <c r="R1193" t="s">
        <v>26</v>
      </c>
      <c r="S1193" t="s">
        <v>26</v>
      </c>
      <c r="T1193" t="s">
        <v>26</v>
      </c>
      <c r="U1193" t="s">
        <v>26</v>
      </c>
      <c r="V1193" t="s">
        <v>26</v>
      </c>
      <c r="W1193" s="24">
        <v>26481</v>
      </c>
      <c r="X1193" s="25" t="s">
        <v>77</v>
      </c>
      <c r="Y1193" t="s">
        <v>26</v>
      </c>
      <c r="Z1193" s="24">
        <v>26481</v>
      </c>
      <c r="AA1193" s="25" t="s">
        <v>77</v>
      </c>
      <c r="AB1193" t="s">
        <v>26</v>
      </c>
      <c r="AC1193" s="24">
        <v>26481</v>
      </c>
      <c r="AD1193" s="25" t="s">
        <v>77</v>
      </c>
      <c r="AE1193" t="s">
        <v>26</v>
      </c>
      <c r="AF1193" t="s">
        <v>26</v>
      </c>
      <c r="AG1193" t="s">
        <v>26</v>
      </c>
      <c r="AH1193" t="s">
        <v>26</v>
      </c>
      <c r="AI1193" t="s">
        <v>26</v>
      </c>
      <c r="AJ1193" t="s">
        <v>26</v>
      </c>
      <c r="AK1193" t="s">
        <v>26</v>
      </c>
      <c r="AL1193" t="s">
        <v>26</v>
      </c>
      <c r="AM1193" t="s">
        <v>26</v>
      </c>
      <c r="AN1193" t="s">
        <v>26</v>
      </c>
      <c r="AO1193" s="25" t="s">
        <v>68</v>
      </c>
      <c r="AP1193" s="23" t="s">
        <v>69</v>
      </c>
      <c r="AQ1193" s="23" t="s">
        <v>30</v>
      </c>
      <c r="AR1193" s="23" t="s">
        <v>2961</v>
      </c>
      <c r="AS1193" s="25">
        <v>41702</v>
      </c>
      <c r="AT1193" t="s">
        <v>26</v>
      </c>
      <c r="AU1193" t="s">
        <v>23785</v>
      </c>
    </row>
    <row r="1194" spans="1:47" ht="26.25" x14ac:dyDescent="0.4">
      <c r="A1194" s="23" t="s">
        <v>2962</v>
      </c>
      <c r="B1194" t="s">
        <v>26</v>
      </c>
      <c r="C1194" s="23" t="s">
        <v>1691</v>
      </c>
      <c r="D1194" s="23" t="s">
        <v>22294</v>
      </c>
      <c r="E1194" s="23" t="s">
        <v>42</v>
      </c>
      <c r="F1194" s="25" t="s">
        <v>2963</v>
      </c>
      <c r="G1194" s="25" t="s">
        <v>2964</v>
      </c>
      <c r="H1194" t="s">
        <v>26</v>
      </c>
      <c r="I1194" s="24">
        <v>34790</v>
      </c>
      <c r="J1194" s="24">
        <v>38534</v>
      </c>
      <c r="K1194" s="25" t="s">
        <v>2965</v>
      </c>
      <c r="L1194" s="25" t="s">
        <v>68</v>
      </c>
      <c r="M1194" s="24">
        <v>35339</v>
      </c>
      <c r="N1194" s="24">
        <v>37591</v>
      </c>
      <c r="O1194" t="s">
        <v>26</v>
      </c>
      <c r="P1194" s="24">
        <v>34790</v>
      </c>
      <c r="Q1194" s="24">
        <v>38534</v>
      </c>
      <c r="R1194" s="25" t="s">
        <v>2965</v>
      </c>
      <c r="S1194" t="s">
        <v>26</v>
      </c>
      <c r="T1194" t="s">
        <v>26</v>
      </c>
      <c r="U1194" t="s">
        <v>26</v>
      </c>
      <c r="V1194" t="s">
        <v>26</v>
      </c>
      <c r="W1194" s="24">
        <v>34060</v>
      </c>
      <c r="X1194" s="25" t="s">
        <v>77</v>
      </c>
      <c r="Y1194" t="s">
        <v>26</v>
      </c>
      <c r="Z1194" s="24">
        <v>34060</v>
      </c>
      <c r="AA1194" s="25" t="s">
        <v>77</v>
      </c>
      <c r="AB1194" t="s">
        <v>26</v>
      </c>
      <c r="AC1194" s="24">
        <v>34060</v>
      </c>
      <c r="AD1194" s="25" t="s">
        <v>77</v>
      </c>
      <c r="AE1194" t="s">
        <v>26</v>
      </c>
      <c r="AF1194" t="s">
        <v>26</v>
      </c>
      <c r="AG1194" t="s">
        <v>26</v>
      </c>
      <c r="AH1194" t="s">
        <v>26</v>
      </c>
      <c r="AI1194" t="s">
        <v>26</v>
      </c>
      <c r="AJ1194" t="s">
        <v>26</v>
      </c>
      <c r="AK1194" t="s">
        <v>26</v>
      </c>
      <c r="AL1194" t="s">
        <v>26</v>
      </c>
      <c r="AM1194" t="s">
        <v>26</v>
      </c>
      <c r="AN1194" t="s">
        <v>26</v>
      </c>
      <c r="AO1194" s="25" t="s">
        <v>68</v>
      </c>
      <c r="AP1194" s="23" t="s">
        <v>69</v>
      </c>
      <c r="AQ1194" s="23" t="s">
        <v>30</v>
      </c>
      <c r="AR1194" s="23" t="s">
        <v>2966</v>
      </c>
      <c r="AS1194" s="25">
        <v>36983</v>
      </c>
      <c r="AT1194" t="s">
        <v>26</v>
      </c>
      <c r="AU1194" t="s">
        <v>23786</v>
      </c>
    </row>
    <row r="1195" spans="1:47" ht="26.25" x14ac:dyDescent="0.4">
      <c r="A1195" s="23" t="s">
        <v>2967</v>
      </c>
      <c r="B1195" t="s">
        <v>26</v>
      </c>
      <c r="C1195" s="23" t="s">
        <v>1691</v>
      </c>
      <c r="D1195" s="23" t="s">
        <v>22294</v>
      </c>
      <c r="E1195" s="23" t="s">
        <v>42</v>
      </c>
      <c r="F1195" s="25" t="s">
        <v>2968</v>
      </c>
      <c r="G1195" s="25" t="s">
        <v>2969</v>
      </c>
      <c r="H1195" t="s">
        <v>26</v>
      </c>
      <c r="I1195" s="24">
        <v>36251</v>
      </c>
      <c r="J1195" s="24">
        <v>38534</v>
      </c>
      <c r="K1195" t="s">
        <v>26</v>
      </c>
      <c r="L1195" s="25" t="s">
        <v>68</v>
      </c>
      <c r="M1195" s="24">
        <v>36251</v>
      </c>
      <c r="N1195" s="24">
        <v>38078</v>
      </c>
      <c r="O1195" t="s">
        <v>26</v>
      </c>
      <c r="P1195" s="24">
        <v>36251</v>
      </c>
      <c r="Q1195" s="24">
        <v>38534</v>
      </c>
      <c r="R1195" t="s">
        <v>26</v>
      </c>
      <c r="S1195" t="s">
        <v>26</v>
      </c>
      <c r="T1195" t="s">
        <v>26</v>
      </c>
      <c r="U1195" t="s">
        <v>26</v>
      </c>
      <c r="V1195" t="s">
        <v>26</v>
      </c>
      <c r="W1195" s="24">
        <v>27668</v>
      </c>
      <c r="X1195" s="25" t="s">
        <v>77</v>
      </c>
      <c r="Y1195" t="s">
        <v>26</v>
      </c>
      <c r="Z1195" s="24">
        <v>27668</v>
      </c>
      <c r="AA1195" s="25" t="s">
        <v>77</v>
      </c>
      <c r="AB1195" t="s">
        <v>26</v>
      </c>
      <c r="AC1195" s="24">
        <v>27668</v>
      </c>
      <c r="AD1195" s="25" t="s">
        <v>77</v>
      </c>
      <c r="AE1195" t="s">
        <v>26</v>
      </c>
      <c r="AF1195" t="s">
        <v>26</v>
      </c>
      <c r="AG1195" t="s">
        <v>26</v>
      </c>
      <c r="AH1195" t="s">
        <v>26</v>
      </c>
      <c r="AI1195" t="s">
        <v>26</v>
      </c>
      <c r="AJ1195" t="s">
        <v>26</v>
      </c>
      <c r="AK1195" t="s">
        <v>26</v>
      </c>
      <c r="AL1195" t="s">
        <v>26</v>
      </c>
      <c r="AM1195" t="s">
        <v>26</v>
      </c>
      <c r="AN1195" t="s">
        <v>26</v>
      </c>
      <c r="AO1195" s="25" t="s">
        <v>68</v>
      </c>
      <c r="AP1195" s="23" t="s">
        <v>69</v>
      </c>
      <c r="AQ1195" s="23" t="s">
        <v>30</v>
      </c>
      <c r="AR1195" s="23" t="s">
        <v>2966</v>
      </c>
      <c r="AS1195" s="25">
        <v>34996</v>
      </c>
      <c r="AT1195" t="s">
        <v>26</v>
      </c>
      <c r="AU1195" t="s">
        <v>23787</v>
      </c>
    </row>
    <row r="1196" spans="1:47" ht="26.25" x14ac:dyDescent="0.4">
      <c r="A1196" s="23" t="s">
        <v>2970</v>
      </c>
      <c r="B1196" t="s">
        <v>26</v>
      </c>
      <c r="C1196" s="23" t="s">
        <v>2971</v>
      </c>
      <c r="D1196" s="23" t="s">
        <v>23788</v>
      </c>
      <c r="E1196" s="23" t="s">
        <v>187</v>
      </c>
      <c r="F1196" s="25" t="s">
        <v>2972</v>
      </c>
      <c r="G1196" t="s">
        <v>26</v>
      </c>
      <c r="H1196" t="s">
        <v>26</v>
      </c>
      <c r="I1196" s="24">
        <v>38443</v>
      </c>
      <c r="J1196" s="25" t="s">
        <v>77</v>
      </c>
      <c r="K1196" t="s">
        <v>26</v>
      </c>
      <c r="L1196" s="25" t="s">
        <v>68</v>
      </c>
      <c r="M1196" t="s">
        <v>26</v>
      </c>
      <c r="N1196" t="s">
        <v>26</v>
      </c>
      <c r="O1196" t="s">
        <v>26</v>
      </c>
      <c r="P1196" s="24">
        <v>38443</v>
      </c>
      <c r="Q1196" s="25" t="s">
        <v>77</v>
      </c>
      <c r="R1196" t="s">
        <v>26</v>
      </c>
      <c r="S1196" t="s">
        <v>26</v>
      </c>
      <c r="T1196" t="s">
        <v>26</v>
      </c>
      <c r="U1196" t="s">
        <v>26</v>
      </c>
      <c r="V1196" t="s">
        <v>26</v>
      </c>
      <c r="W1196" s="24">
        <v>38443</v>
      </c>
      <c r="X1196" s="25" t="s">
        <v>77</v>
      </c>
      <c r="Y1196" t="s">
        <v>26</v>
      </c>
      <c r="Z1196" s="24">
        <v>38443</v>
      </c>
      <c r="AA1196" s="25" t="s">
        <v>77</v>
      </c>
      <c r="AB1196" t="s">
        <v>26</v>
      </c>
      <c r="AC1196" s="24">
        <v>38443</v>
      </c>
      <c r="AD1196" s="25" t="s">
        <v>77</v>
      </c>
      <c r="AE1196" t="s">
        <v>26</v>
      </c>
      <c r="AF1196" t="s">
        <v>26</v>
      </c>
      <c r="AG1196" t="s">
        <v>26</v>
      </c>
      <c r="AH1196" t="s">
        <v>26</v>
      </c>
      <c r="AI1196" t="s">
        <v>26</v>
      </c>
      <c r="AJ1196" t="s">
        <v>26</v>
      </c>
      <c r="AK1196" t="s">
        <v>26</v>
      </c>
      <c r="AL1196" t="s">
        <v>26</v>
      </c>
      <c r="AM1196" t="s">
        <v>26</v>
      </c>
      <c r="AN1196" t="s">
        <v>26</v>
      </c>
      <c r="AO1196" s="25" t="s">
        <v>68</v>
      </c>
      <c r="AP1196" s="23" t="s">
        <v>69</v>
      </c>
      <c r="AQ1196" s="23" t="s">
        <v>30</v>
      </c>
      <c r="AR1196" s="23" t="s">
        <v>2973</v>
      </c>
      <c r="AS1196" s="25">
        <v>5514779</v>
      </c>
      <c r="AT1196" t="s">
        <v>26</v>
      </c>
      <c r="AU1196" t="s">
        <v>23789</v>
      </c>
    </row>
    <row r="1197" spans="1:47" ht="26.25" x14ac:dyDescent="0.4">
      <c r="A1197" s="23" t="s">
        <v>23790</v>
      </c>
      <c r="B1197" t="s">
        <v>26</v>
      </c>
      <c r="C1197" s="23" t="s">
        <v>23790</v>
      </c>
      <c r="D1197" s="23" t="s">
        <v>23791</v>
      </c>
      <c r="E1197" s="23" t="s">
        <v>42</v>
      </c>
      <c r="F1197" s="25" t="s">
        <v>23792</v>
      </c>
      <c r="G1197" t="s">
        <v>26</v>
      </c>
      <c r="H1197" t="s">
        <v>26</v>
      </c>
      <c r="I1197" s="24">
        <v>43831</v>
      </c>
      <c r="J1197" s="25" t="s">
        <v>77</v>
      </c>
      <c r="K1197" t="s">
        <v>26</v>
      </c>
      <c r="L1197" s="25" t="s">
        <v>68</v>
      </c>
      <c r="M1197" t="s">
        <v>26</v>
      </c>
      <c r="N1197" t="s">
        <v>26</v>
      </c>
      <c r="O1197" t="s">
        <v>26</v>
      </c>
      <c r="P1197" s="24">
        <v>43831</v>
      </c>
      <c r="Q1197" s="25" t="s">
        <v>77</v>
      </c>
      <c r="R1197" t="s">
        <v>26</v>
      </c>
      <c r="S1197" t="s">
        <v>26</v>
      </c>
      <c r="T1197" t="s">
        <v>26</v>
      </c>
      <c r="U1197" t="s">
        <v>26</v>
      </c>
      <c r="V1197" t="s">
        <v>26</v>
      </c>
      <c r="W1197" s="24">
        <v>43831</v>
      </c>
      <c r="X1197" s="25" t="s">
        <v>77</v>
      </c>
      <c r="Y1197" t="s">
        <v>26</v>
      </c>
      <c r="Z1197" s="24">
        <v>43831</v>
      </c>
      <c r="AA1197" s="25" t="s">
        <v>77</v>
      </c>
      <c r="AB1197" t="s">
        <v>26</v>
      </c>
      <c r="AC1197" s="24">
        <v>43831</v>
      </c>
      <c r="AD1197" s="25" t="s">
        <v>77</v>
      </c>
      <c r="AE1197" t="s">
        <v>26</v>
      </c>
      <c r="AF1197" t="s">
        <v>26</v>
      </c>
      <c r="AG1197" t="s">
        <v>26</v>
      </c>
      <c r="AH1197" t="s">
        <v>26</v>
      </c>
      <c r="AI1197" t="s">
        <v>26</v>
      </c>
      <c r="AJ1197" t="s">
        <v>26</v>
      </c>
      <c r="AK1197" t="s">
        <v>26</v>
      </c>
      <c r="AL1197" t="s">
        <v>26</v>
      </c>
      <c r="AM1197" t="s">
        <v>26</v>
      </c>
      <c r="AN1197" t="s">
        <v>26</v>
      </c>
      <c r="AO1197" s="25" t="s">
        <v>68</v>
      </c>
      <c r="AP1197" s="23" t="s">
        <v>69</v>
      </c>
      <c r="AQ1197" s="23" t="s">
        <v>30</v>
      </c>
      <c r="AR1197" s="23" t="s">
        <v>23793</v>
      </c>
      <c r="AS1197" s="25">
        <v>6482208</v>
      </c>
      <c r="AT1197" t="s">
        <v>26</v>
      </c>
      <c r="AU1197" t="s">
        <v>23794</v>
      </c>
    </row>
    <row r="1198" spans="1:47" ht="26.25" x14ac:dyDescent="0.4">
      <c r="A1198" s="23" t="s">
        <v>2974</v>
      </c>
      <c r="B1198" t="s">
        <v>26</v>
      </c>
      <c r="C1198" s="23" t="s">
        <v>465</v>
      </c>
      <c r="D1198" s="23" t="s">
        <v>22254</v>
      </c>
      <c r="E1198" s="23" t="s">
        <v>42</v>
      </c>
      <c r="F1198" s="25" t="s">
        <v>2975</v>
      </c>
      <c r="G1198" s="25" t="s">
        <v>2976</v>
      </c>
      <c r="H1198" t="s">
        <v>26</v>
      </c>
      <c r="I1198" t="s">
        <v>26</v>
      </c>
      <c r="J1198" t="s">
        <v>26</v>
      </c>
      <c r="K1198" t="s">
        <v>26</v>
      </c>
      <c r="L1198" s="25" t="s">
        <v>68</v>
      </c>
      <c r="M1198" t="s">
        <v>26</v>
      </c>
      <c r="N1198" t="s">
        <v>26</v>
      </c>
      <c r="O1198" t="s">
        <v>26</v>
      </c>
      <c r="P1198" t="s">
        <v>26</v>
      </c>
      <c r="Q1198" t="s">
        <v>26</v>
      </c>
      <c r="R1198" t="s">
        <v>26</v>
      </c>
      <c r="S1198" t="s">
        <v>26</v>
      </c>
      <c r="T1198" t="s">
        <v>26</v>
      </c>
      <c r="U1198" t="s">
        <v>26</v>
      </c>
      <c r="V1198" t="s">
        <v>26</v>
      </c>
      <c r="W1198" s="24">
        <v>38353</v>
      </c>
      <c r="X1198" s="25" t="s">
        <v>77</v>
      </c>
      <c r="Y1198" t="s">
        <v>26</v>
      </c>
      <c r="Z1198" s="24">
        <v>38353</v>
      </c>
      <c r="AA1198" s="25" t="s">
        <v>77</v>
      </c>
      <c r="AB1198" t="s">
        <v>26</v>
      </c>
      <c r="AC1198" s="24">
        <v>38353</v>
      </c>
      <c r="AD1198" s="25" t="s">
        <v>77</v>
      </c>
      <c r="AE1198" t="s">
        <v>26</v>
      </c>
      <c r="AF1198" t="s">
        <v>26</v>
      </c>
      <c r="AG1198" t="s">
        <v>26</v>
      </c>
      <c r="AH1198" t="s">
        <v>26</v>
      </c>
      <c r="AI1198" t="s">
        <v>26</v>
      </c>
      <c r="AJ1198" t="s">
        <v>26</v>
      </c>
      <c r="AK1198" t="s">
        <v>26</v>
      </c>
      <c r="AL1198" t="s">
        <v>26</v>
      </c>
      <c r="AM1198" t="s">
        <v>26</v>
      </c>
      <c r="AN1198" t="s">
        <v>26</v>
      </c>
      <c r="AO1198" s="25" t="s">
        <v>68</v>
      </c>
      <c r="AP1198" s="23" t="s">
        <v>69</v>
      </c>
      <c r="AQ1198" s="23" t="s">
        <v>30</v>
      </c>
      <c r="AR1198" s="23" t="s">
        <v>46</v>
      </c>
      <c r="AS1198" s="25">
        <v>46505</v>
      </c>
      <c r="AT1198" t="s">
        <v>26</v>
      </c>
      <c r="AU1198" t="s">
        <v>23795</v>
      </c>
    </row>
    <row r="1199" spans="1:47" ht="26.25" x14ac:dyDescent="0.4">
      <c r="A1199" s="23" t="s">
        <v>2977</v>
      </c>
      <c r="B1199" t="s">
        <v>26</v>
      </c>
      <c r="C1199" s="23" t="s">
        <v>2978</v>
      </c>
      <c r="D1199" s="23" t="s">
        <v>23796</v>
      </c>
      <c r="E1199" s="23" t="s">
        <v>2979</v>
      </c>
      <c r="F1199" s="25" t="s">
        <v>2980</v>
      </c>
      <c r="G1199" s="25" t="s">
        <v>2981</v>
      </c>
      <c r="H1199" t="s">
        <v>26</v>
      </c>
      <c r="I1199" s="24">
        <v>40544</v>
      </c>
      <c r="J1199" s="25" t="s">
        <v>77</v>
      </c>
      <c r="K1199" t="s">
        <v>26</v>
      </c>
      <c r="L1199" s="25" t="s">
        <v>68</v>
      </c>
      <c r="M1199" t="s">
        <v>26</v>
      </c>
      <c r="N1199" t="s">
        <v>26</v>
      </c>
      <c r="O1199" t="s">
        <v>26</v>
      </c>
      <c r="P1199" s="24">
        <v>40544</v>
      </c>
      <c r="Q1199" s="25" t="s">
        <v>77</v>
      </c>
      <c r="R1199" t="s">
        <v>26</v>
      </c>
      <c r="S1199" t="s">
        <v>26</v>
      </c>
      <c r="T1199" t="s">
        <v>26</v>
      </c>
      <c r="U1199" t="s">
        <v>26</v>
      </c>
      <c r="V1199" t="s">
        <v>26</v>
      </c>
      <c r="W1199" s="24">
        <v>40544</v>
      </c>
      <c r="X1199" s="25" t="s">
        <v>77</v>
      </c>
      <c r="Y1199" t="s">
        <v>26</v>
      </c>
      <c r="Z1199" s="24">
        <v>40544</v>
      </c>
      <c r="AA1199" s="25" t="s">
        <v>77</v>
      </c>
      <c r="AB1199" t="s">
        <v>26</v>
      </c>
      <c r="AC1199" s="24">
        <v>40544</v>
      </c>
      <c r="AD1199" s="25" t="s">
        <v>77</v>
      </c>
      <c r="AE1199" t="s">
        <v>26</v>
      </c>
      <c r="AF1199" t="s">
        <v>26</v>
      </c>
      <c r="AG1199" t="s">
        <v>26</v>
      </c>
      <c r="AH1199" t="s">
        <v>26</v>
      </c>
      <c r="AI1199" t="s">
        <v>26</v>
      </c>
      <c r="AJ1199" t="s">
        <v>26</v>
      </c>
      <c r="AK1199" t="s">
        <v>26</v>
      </c>
      <c r="AL1199" t="s">
        <v>26</v>
      </c>
      <c r="AM1199" t="s">
        <v>26</v>
      </c>
      <c r="AN1199" t="s">
        <v>26</v>
      </c>
      <c r="AO1199" s="25" t="s">
        <v>68</v>
      </c>
      <c r="AP1199" s="23" t="s">
        <v>69</v>
      </c>
      <c r="AQ1199" s="23" t="s">
        <v>30</v>
      </c>
      <c r="AR1199" s="23" t="s">
        <v>46</v>
      </c>
      <c r="AS1199" s="25">
        <v>5340596</v>
      </c>
      <c r="AT1199" t="s">
        <v>26</v>
      </c>
      <c r="AU1199" t="s">
        <v>23797</v>
      </c>
    </row>
    <row r="1200" spans="1:47" ht="13.15" x14ac:dyDescent="0.4">
      <c r="A1200" s="23" t="s">
        <v>2982</v>
      </c>
      <c r="B1200" t="s">
        <v>26</v>
      </c>
      <c r="C1200" s="23" t="s">
        <v>2983</v>
      </c>
      <c r="D1200" s="23" t="s">
        <v>22179</v>
      </c>
      <c r="E1200" s="23" t="s">
        <v>42</v>
      </c>
      <c r="F1200" t="s">
        <v>26</v>
      </c>
      <c r="G1200" t="s">
        <v>26</v>
      </c>
      <c r="H1200" t="s">
        <v>26</v>
      </c>
      <c r="I1200" s="24">
        <v>39083</v>
      </c>
      <c r="J1200" s="24">
        <v>39083</v>
      </c>
      <c r="K1200" t="s">
        <v>26</v>
      </c>
      <c r="L1200" s="25" t="s">
        <v>28</v>
      </c>
      <c r="M1200" s="24">
        <v>39083</v>
      </c>
      <c r="N1200" s="24">
        <v>39083</v>
      </c>
      <c r="O1200" t="s">
        <v>26</v>
      </c>
      <c r="P1200" t="s">
        <v>26</v>
      </c>
      <c r="Q1200" t="s">
        <v>26</v>
      </c>
      <c r="R1200" t="s">
        <v>26</v>
      </c>
      <c r="S1200" t="s">
        <v>26</v>
      </c>
      <c r="T1200" t="s">
        <v>26</v>
      </c>
      <c r="U1200" t="s">
        <v>26</v>
      </c>
      <c r="V1200" t="s">
        <v>26</v>
      </c>
      <c r="W1200" s="24">
        <v>39083</v>
      </c>
      <c r="X1200" s="24">
        <v>39083</v>
      </c>
      <c r="Y1200" t="s">
        <v>26</v>
      </c>
      <c r="Z1200" s="24">
        <v>39083</v>
      </c>
      <c r="AA1200" s="24">
        <v>39083</v>
      </c>
      <c r="AB1200" t="s">
        <v>26</v>
      </c>
      <c r="AC1200" s="24">
        <v>39083</v>
      </c>
      <c r="AD1200" s="24">
        <v>39083</v>
      </c>
      <c r="AE1200" t="s">
        <v>26</v>
      </c>
      <c r="AF1200" t="s">
        <v>26</v>
      </c>
      <c r="AG1200" t="s">
        <v>26</v>
      </c>
      <c r="AH1200" t="s">
        <v>26</v>
      </c>
      <c r="AI1200" t="s">
        <v>26</v>
      </c>
      <c r="AJ1200" t="s">
        <v>26</v>
      </c>
      <c r="AK1200" t="s">
        <v>26</v>
      </c>
      <c r="AL1200" t="s">
        <v>26</v>
      </c>
      <c r="AM1200" t="s">
        <v>26</v>
      </c>
      <c r="AN1200" t="s">
        <v>26</v>
      </c>
      <c r="AO1200" s="25" t="s">
        <v>28</v>
      </c>
      <c r="AP1200" s="23" t="s">
        <v>29</v>
      </c>
      <c r="AQ1200" s="23" t="s">
        <v>30</v>
      </c>
      <c r="AR1200" s="23" t="s">
        <v>46</v>
      </c>
      <c r="AS1200" s="25">
        <v>6059489</v>
      </c>
      <c r="AT1200" t="s">
        <v>26</v>
      </c>
      <c r="AU1200" t="s">
        <v>23798</v>
      </c>
    </row>
    <row r="1201" spans="1:47" ht="26.25" x14ac:dyDescent="0.4">
      <c r="A1201" s="23" t="s">
        <v>2984</v>
      </c>
      <c r="B1201" t="s">
        <v>26</v>
      </c>
      <c r="C1201" s="23" t="s">
        <v>22238</v>
      </c>
      <c r="D1201" t="s">
        <v>26</v>
      </c>
      <c r="E1201" s="23" t="s">
        <v>42</v>
      </c>
      <c r="F1201" t="s">
        <v>26</v>
      </c>
      <c r="G1201" t="s">
        <v>26</v>
      </c>
      <c r="H1201" t="s">
        <v>26</v>
      </c>
      <c r="I1201" s="24">
        <v>43101</v>
      </c>
      <c r="J1201" s="24">
        <v>43101</v>
      </c>
      <c r="K1201" t="s">
        <v>26</v>
      </c>
      <c r="L1201" s="25" t="s">
        <v>28</v>
      </c>
      <c r="M1201" s="24">
        <v>43101</v>
      </c>
      <c r="N1201" s="24">
        <v>43101</v>
      </c>
      <c r="O1201" t="s">
        <v>26</v>
      </c>
      <c r="P1201" t="s">
        <v>26</v>
      </c>
      <c r="Q1201" t="s">
        <v>26</v>
      </c>
      <c r="R1201" t="s">
        <v>26</v>
      </c>
      <c r="S1201" s="24">
        <v>43101</v>
      </c>
      <c r="T1201" s="24">
        <v>43101</v>
      </c>
      <c r="U1201" t="s">
        <v>26</v>
      </c>
      <c r="V1201" t="s">
        <v>26</v>
      </c>
      <c r="W1201" s="24">
        <v>43101</v>
      </c>
      <c r="X1201" s="24">
        <v>43101</v>
      </c>
      <c r="Y1201" t="s">
        <v>26</v>
      </c>
      <c r="Z1201" s="24">
        <v>43101</v>
      </c>
      <c r="AA1201" s="24">
        <v>43101</v>
      </c>
      <c r="AB1201" t="s">
        <v>26</v>
      </c>
      <c r="AC1201" s="24">
        <v>43101</v>
      </c>
      <c r="AD1201" s="24">
        <v>43101</v>
      </c>
      <c r="AE1201" t="s">
        <v>26</v>
      </c>
      <c r="AF1201" s="24">
        <v>43101</v>
      </c>
      <c r="AG1201" s="24">
        <v>43101</v>
      </c>
      <c r="AH1201" t="s">
        <v>26</v>
      </c>
      <c r="AI1201" s="24">
        <v>43101</v>
      </c>
      <c r="AJ1201" s="24">
        <v>43101</v>
      </c>
      <c r="AK1201" t="s">
        <v>26</v>
      </c>
      <c r="AL1201" t="s">
        <v>26</v>
      </c>
      <c r="AM1201" t="s">
        <v>26</v>
      </c>
      <c r="AN1201" t="s">
        <v>26</v>
      </c>
      <c r="AO1201" s="25" t="s">
        <v>28</v>
      </c>
      <c r="AP1201" s="23" t="s">
        <v>43</v>
      </c>
      <c r="AQ1201" s="23" t="s">
        <v>30</v>
      </c>
      <c r="AR1201" s="23" t="s">
        <v>44</v>
      </c>
      <c r="AS1201" s="25">
        <v>5262512</v>
      </c>
      <c r="AT1201" t="s">
        <v>26</v>
      </c>
      <c r="AU1201" t="s">
        <v>23799</v>
      </c>
    </row>
    <row r="1202" spans="1:47" ht="26.25" x14ac:dyDescent="0.4">
      <c r="A1202" s="23" t="s">
        <v>2985</v>
      </c>
      <c r="B1202" t="s">
        <v>26</v>
      </c>
      <c r="C1202" s="23" t="s">
        <v>22238</v>
      </c>
      <c r="D1202" t="s">
        <v>26</v>
      </c>
      <c r="E1202" s="23" t="s">
        <v>42</v>
      </c>
      <c r="F1202" t="s">
        <v>26</v>
      </c>
      <c r="G1202" t="s">
        <v>26</v>
      </c>
      <c r="H1202" t="s">
        <v>26</v>
      </c>
      <c r="I1202" s="24">
        <v>43101</v>
      </c>
      <c r="J1202" s="24">
        <v>43101</v>
      </c>
      <c r="K1202" t="s">
        <v>26</v>
      </c>
      <c r="L1202" s="25" t="s">
        <v>28</v>
      </c>
      <c r="M1202" s="24">
        <v>43101</v>
      </c>
      <c r="N1202" s="24">
        <v>43101</v>
      </c>
      <c r="O1202" t="s">
        <v>26</v>
      </c>
      <c r="P1202" t="s">
        <v>26</v>
      </c>
      <c r="Q1202" t="s">
        <v>26</v>
      </c>
      <c r="R1202" t="s">
        <v>26</v>
      </c>
      <c r="S1202" s="24">
        <v>43101</v>
      </c>
      <c r="T1202" s="24">
        <v>43101</v>
      </c>
      <c r="U1202" t="s">
        <v>26</v>
      </c>
      <c r="V1202" t="s">
        <v>26</v>
      </c>
      <c r="W1202" s="24">
        <v>43101</v>
      </c>
      <c r="X1202" s="24">
        <v>43101</v>
      </c>
      <c r="Y1202" t="s">
        <v>26</v>
      </c>
      <c r="Z1202" s="24">
        <v>43101</v>
      </c>
      <c r="AA1202" s="24">
        <v>43101</v>
      </c>
      <c r="AB1202" t="s">
        <v>26</v>
      </c>
      <c r="AC1202" s="24">
        <v>43101</v>
      </c>
      <c r="AD1202" s="24">
        <v>43101</v>
      </c>
      <c r="AE1202" t="s">
        <v>26</v>
      </c>
      <c r="AF1202" s="24">
        <v>43101</v>
      </c>
      <c r="AG1202" s="24">
        <v>43101</v>
      </c>
      <c r="AH1202" t="s">
        <v>26</v>
      </c>
      <c r="AI1202" s="24">
        <v>43101</v>
      </c>
      <c r="AJ1202" s="24">
        <v>43101</v>
      </c>
      <c r="AK1202" t="s">
        <v>26</v>
      </c>
      <c r="AL1202" t="s">
        <v>26</v>
      </c>
      <c r="AM1202" t="s">
        <v>26</v>
      </c>
      <c r="AN1202" t="s">
        <v>26</v>
      </c>
      <c r="AO1202" s="25" t="s">
        <v>28</v>
      </c>
      <c r="AP1202" s="23" t="s">
        <v>43</v>
      </c>
      <c r="AQ1202" s="23" t="s">
        <v>30</v>
      </c>
      <c r="AR1202" s="23" t="s">
        <v>44</v>
      </c>
      <c r="AS1202" s="25">
        <v>5262511</v>
      </c>
      <c r="AT1202" t="s">
        <v>26</v>
      </c>
      <c r="AU1202" t="s">
        <v>23800</v>
      </c>
    </row>
    <row r="1203" spans="1:47" ht="26.25" x14ac:dyDescent="0.4">
      <c r="A1203" s="23" t="s">
        <v>2986</v>
      </c>
      <c r="B1203" t="s">
        <v>26</v>
      </c>
      <c r="C1203" s="23" t="s">
        <v>22238</v>
      </c>
      <c r="D1203" t="s">
        <v>26</v>
      </c>
      <c r="E1203" s="23" t="s">
        <v>42</v>
      </c>
      <c r="F1203" t="s">
        <v>26</v>
      </c>
      <c r="G1203" t="s">
        <v>26</v>
      </c>
      <c r="H1203" t="s">
        <v>26</v>
      </c>
      <c r="I1203" s="24">
        <v>43101</v>
      </c>
      <c r="J1203" s="24">
        <v>43101</v>
      </c>
      <c r="K1203" t="s">
        <v>26</v>
      </c>
      <c r="L1203" s="25" t="s">
        <v>28</v>
      </c>
      <c r="M1203" s="24">
        <v>43101</v>
      </c>
      <c r="N1203" s="24">
        <v>43101</v>
      </c>
      <c r="O1203" t="s">
        <v>26</v>
      </c>
      <c r="P1203" t="s">
        <v>26</v>
      </c>
      <c r="Q1203" t="s">
        <v>26</v>
      </c>
      <c r="R1203" t="s">
        <v>26</v>
      </c>
      <c r="S1203" s="24">
        <v>43101</v>
      </c>
      <c r="T1203" s="24">
        <v>43101</v>
      </c>
      <c r="U1203" t="s">
        <v>26</v>
      </c>
      <c r="V1203" t="s">
        <v>26</v>
      </c>
      <c r="W1203" s="24">
        <v>43101</v>
      </c>
      <c r="X1203" s="24">
        <v>43101</v>
      </c>
      <c r="Y1203" t="s">
        <v>26</v>
      </c>
      <c r="Z1203" s="24">
        <v>43101</v>
      </c>
      <c r="AA1203" s="24">
        <v>43101</v>
      </c>
      <c r="AB1203" t="s">
        <v>26</v>
      </c>
      <c r="AC1203" s="24">
        <v>43101</v>
      </c>
      <c r="AD1203" s="24">
        <v>43101</v>
      </c>
      <c r="AE1203" t="s">
        <v>26</v>
      </c>
      <c r="AF1203" s="24">
        <v>43101</v>
      </c>
      <c r="AG1203" s="24">
        <v>43101</v>
      </c>
      <c r="AH1203" t="s">
        <v>26</v>
      </c>
      <c r="AI1203" s="24">
        <v>43101</v>
      </c>
      <c r="AJ1203" s="24">
        <v>43101</v>
      </c>
      <c r="AK1203" t="s">
        <v>26</v>
      </c>
      <c r="AL1203" t="s">
        <v>26</v>
      </c>
      <c r="AM1203" t="s">
        <v>26</v>
      </c>
      <c r="AN1203" t="s">
        <v>26</v>
      </c>
      <c r="AO1203" s="25" t="s">
        <v>28</v>
      </c>
      <c r="AP1203" s="23" t="s">
        <v>43</v>
      </c>
      <c r="AQ1203" s="23" t="s">
        <v>30</v>
      </c>
      <c r="AR1203" s="23" t="s">
        <v>44</v>
      </c>
      <c r="AS1203" s="25">
        <v>5262510</v>
      </c>
      <c r="AT1203" t="s">
        <v>26</v>
      </c>
      <c r="AU1203" t="s">
        <v>23801</v>
      </c>
    </row>
    <row r="1204" spans="1:47" ht="26.25" x14ac:dyDescent="0.4">
      <c r="A1204" s="23" t="s">
        <v>2987</v>
      </c>
      <c r="B1204" t="s">
        <v>26</v>
      </c>
      <c r="C1204" s="23" t="s">
        <v>22238</v>
      </c>
      <c r="D1204" t="s">
        <v>26</v>
      </c>
      <c r="E1204" s="23" t="s">
        <v>42</v>
      </c>
      <c r="F1204" t="s">
        <v>26</v>
      </c>
      <c r="G1204" t="s">
        <v>26</v>
      </c>
      <c r="H1204" t="s">
        <v>26</v>
      </c>
      <c r="I1204" s="24">
        <v>43101</v>
      </c>
      <c r="J1204" s="24">
        <v>43101</v>
      </c>
      <c r="K1204" t="s">
        <v>26</v>
      </c>
      <c r="L1204" s="25" t="s">
        <v>28</v>
      </c>
      <c r="M1204" s="24">
        <v>43101</v>
      </c>
      <c r="N1204" s="24">
        <v>43101</v>
      </c>
      <c r="O1204" t="s">
        <v>26</v>
      </c>
      <c r="P1204" t="s">
        <v>26</v>
      </c>
      <c r="Q1204" t="s">
        <v>26</v>
      </c>
      <c r="R1204" t="s">
        <v>26</v>
      </c>
      <c r="S1204" s="24">
        <v>43101</v>
      </c>
      <c r="T1204" s="24">
        <v>43101</v>
      </c>
      <c r="U1204" t="s">
        <v>26</v>
      </c>
      <c r="V1204" t="s">
        <v>26</v>
      </c>
      <c r="W1204" s="24">
        <v>43101</v>
      </c>
      <c r="X1204" s="24">
        <v>43101</v>
      </c>
      <c r="Y1204" t="s">
        <v>26</v>
      </c>
      <c r="Z1204" s="24">
        <v>43101</v>
      </c>
      <c r="AA1204" s="24">
        <v>43101</v>
      </c>
      <c r="AB1204" t="s">
        <v>26</v>
      </c>
      <c r="AC1204" s="24">
        <v>43101</v>
      </c>
      <c r="AD1204" s="24">
        <v>43101</v>
      </c>
      <c r="AE1204" t="s">
        <v>26</v>
      </c>
      <c r="AF1204" s="24">
        <v>43101</v>
      </c>
      <c r="AG1204" s="24">
        <v>43101</v>
      </c>
      <c r="AH1204" t="s">
        <v>26</v>
      </c>
      <c r="AI1204" s="24">
        <v>43101</v>
      </c>
      <c r="AJ1204" s="24">
        <v>43101</v>
      </c>
      <c r="AK1204" t="s">
        <v>26</v>
      </c>
      <c r="AL1204" t="s">
        <v>26</v>
      </c>
      <c r="AM1204" t="s">
        <v>26</v>
      </c>
      <c r="AN1204" t="s">
        <v>26</v>
      </c>
      <c r="AO1204" s="25" t="s">
        <v>28</v>
      </c>
      <c r="AP1204" s="23" t="s">
        <v>43</v>
      </c>
      <c r="AQ1204" s="23" t="s">
        <v>30</v>
      </c>
      <c r="AR1204" s="23" t="s">
        <v>44</v>
      </c>
      <c r="AS1204" s="25">
        <v>5262509</v>
      </c>
      <c r="AT1204" t="s">
        <v>26</v>
      </c>
      <c r="AU1204" t="s">
        <v>23802</v>
      </c>
    </row>
    <row r="1205" spans="1:47" ht="26.25" x14ac:dyDescent="0.4">
      <c r="A1205" s="23" t="s">
        <v>2988</v>
      </c>
      <c r="B1205" t="s">
        <v>26</v>
      </c>
      <c r="C1205" s="23" t="s">
        <v>22238</v>
      </c>
      <c r="D1205" t="s">
        <v>26</v>
      </c>
      <c r="E1205" s="23" t="s">
        <v>42</v>
      </c>
      <c r="F1205" t="s">
        <v>26</v>
      </c>
      <c r="G1205" t="s">
        <v>26</v>
      </c>
      <c r="H1205" t="s">
        <v>26</v>
      </c>
      <c r="I1205" s="24">
        <v>43101</v>
      </c>
      <c r="J1205" s="24">
        <v>43101</v>
      </c>
      <c r="K1205" t="s">
        <v>26</v>
      </c>
      <c r="L1205" s="25" t="s">
        <v>28</v>
      </c>
      <c r="M1205" s="24">
        <v>43101</v>
      </c>
      <c r="N1205" s="24">
        <v>43101</v>
      </c>
      <c r="O1205" t="s">
        <v>26</v>
      </c>
      <c r="P1205" t="s">
        <v>26</v>
      </c>
      <c r="Q1205" t="s">
        <v>26</v>
      </c>
      <c r="R1205" t="s">
        <v>26</v>
      </c>
      <c r="S1205" s="24">
        <v>43101</v>
      </c>
      <c r="T1205" s="24">
        <v>43101</v>
      </c>
      <c r="U1205" t="s">
        <v>26</v>
      </c>
      <c r="V1205" t="s">
        <v>26</v>
      </c>
      <c r="W1205" s="24">
        <v>43101</v>
      </c>
      <c r="X1205" s="24">
        <v>43101</v>
      </c>
      <c r="Y1205" t="s">
        <v>26</v>
      </c>
      <c r="Z1205" s="24">
        <v>43101</v>
      </c>
      <c r="AA1205" s="24">
        <v>43101</v>
      </c>
      <c r="AB1205" t="s">
        <v>26</v>
      </c>
      <c r="AC1205" s="24">
        <v>43101</v>
      </c>
      <c r="AD1205" s="24">
        <v>43101</v>
      </c>
      <c r="AE1205" t="s">
        <v>26</v>
      </c>
      <c r="AF1205" s="24">
        <v>43101</v>
      </c>
      <c r="AG1205" s="24">
        <v>43101</v>
      </c>
      <c r="AH1205" t="s">
        <v>26</v>
      </c>
      <c r="AI1205" s="24">
        <v>43101</v>
      </c>
      <c r="AJ1205" s="24">
        <v>43101</v>
      </c>
      <c r="AK1205" t="s">
        <v>26</v>
      </c>
      <c r="AL1205" t="s">
        <v>26</v>
      </c>
      <c r="AM1205" t="s">
        <v>26</v>
      </c>
      <c r="AN1205" t="s">
        <v>26</v>
      </c>
      <c r="AO1205" s="25" t="s">
        <v>28</v>
      </c>
      <c r="AP1205" s="23" t="s">
        <v>43</v>
      </c>
      <c r="AQ1205" s="23" t="s">
        <v>30</v>
      </c>
      <c r="AR1205" s="23" t="s">
        <v>44</v>
      </c>
      <c r="AS1205" s="25">
        <v>5263207</v>
      </c>
      <c r="AT1205" t="s">
        <v>26</v>
      </c>
      <c r="AU1205" t="s">
        <v>23803</v>
      </c>
    </row>
    <row r="1206" spans="1:47" ht="26.25" x14ac:dyDescent="0.4">
      <c r="A1206" s="23" t="s">
        <v>2989</v>
      </c>
      <c r="B1206" t="s">
        <v>26</v>
      </c>
      <c r="C1206" s="23" t="s">
        <v>22238</v>
      </c>
      <c r="D1206" t="s">
        <v>26</v>
      </c>
      <c r="E1206" s="23" t="s">
        <v>42</v>
      </c>
      <c r="F1206" t="s">
        <v>26</v>
      </c>
      <c r="G1206" t="s">
        <v>26</v>
      </c>
      <c r="H1206" t="s">
        <v>26</v>
      </c>
      <c r="I1206" s="24">
        <v>43101</v>
      </c>
      <c r="J1206" s="24">
        <v>43101</v>
      </c>
      <c r="K1206" t="s">
        <v>26</v>
      </c>
      <c r="L1206" s="25" t="s">
        <v>28</v>
      </c>
      <c r="M1206" s="24">
        <v>43101</v>
      </c>
      <c r="N1206" s="24">
        <v>43101</v>
      </c>
      <c r="O1206" t="s">
        <v>26</v>
      </c>
      <c r="P1206" t="s">
        <v>26</v>
      </c>
      <c r="Q1206" t="s">
        <v>26</v>
      </c>
      <c r="R1206" t="s">
        <v>26</v>
      </c>
      <c r="S1206" s="24">
        <v>43101</v>
      </c>
      <c r="T1206" s="24">
        <v>43101</v>
      </c>
      <c r="U1206" t="s">
        <v>26</v>
      </c>
      <c r="V1206" t="s">
        <v>26</v>
      </c>
      <c r="W1206" s="24">
        <v>43101</v>
      </c>
      <c r="X1206" s="24">
        <v>43101</v>
      </c>
      <c r="Y1206" t="s">
        <v>26</v>
      </c>
      <c r="Z1206" s="24">
        <v>43101</v>
      </c>
      <c r="AA1206" s="24">
        <v>43101</v>
      </c>
      <c r="AB1206" t="s">
        <v>26</v>
      </c>
      <c r="AC1206" s="24">
        <v>43101</v>
      </c>
      <c r="AD1206" s="24">
        <v>43101</v>
      </c>
      <c r="AE1206" t="s">
        <v>26</v>
      </c>
      <c r="AF1206" s="24">
        <v>43101</v>
      </c>
      <c r="AG1206" s="24">
        <v>43101</v>
      </c>
      <c r="AH1206" t="s">
        <v>26</v>
      </c>
      <c r="AI1206" s="24">
        <v>43101</v>
      </c>
      <c r="AJ1206" s="24">
        <v>43101</v>
      </c>
      <c r="AK1206" t="s">
        <v>26</v>
      </c>
      <c r="AL1206" t="s">
        <v>26</v>
      </c>
      <c r="AM1206" t="s">
        <v>26</v>
      </c>
      <c r="AN1206" t="s">
        <v>26</v>
      </c>
      <c r="AO1206" s="25" t="s">
        <v>28</v>
      </c>
      <c r="AP1206" s="23" t="s">
        <v>43</v>
      </c>
      <c r="AQ1206" s="23" t="s">
        <v>30</v>
      </c>
      <c r="AR1206" s="23" t="s">
        <v>44</v>
      </c>
      <c r="AS1206" s="25">
        <v>5263206</v>
      </c>
      <c r="AT1206" t="s">
        <v>26</v>
      </c>
      <c r="AU1206" t="s">
        <v>23804</v>
      </c>
    </row>
    <row r="1207" spans="1:47" ht="26.25" x14ac:dyDescent="0.4">
      <c r="A1207" s="23" t="s">
        <v>2990</v>
      </c>
      <c r="B1207" t="s">
        <v>26</v>
      </c>
      <c r="C1207" s="23" t="s">
        <v>22238</v>
      </c>
      <c r="D1207" s="23" t="s">
        <v>22307</v>
      </c>
      <c r="E1207" s="23" t="s">
        <v>42</v>
      </c>
      <c r="F1207" t="s">
        <v>26</v>
      </c>
      <c r="G1207" t="s">
        <v>26</v>
      </c>
      <c r="H1207" t="s">
        <v>26</v>
      </c>
      <c r="I1207" s="24">
        <v>43101</v>
      </c>
      <c r="J1207" s="24">
        <v>43101</v>
      </c>
      <c r="K1207" t="s">
        <v>26</v>
      </c>
      <c r="L1207" s="25" t="s">
        <v>28</v>
      </c>
      <c r="M1207" s="24">
        <v>43101</v>
      </c>
      <c r="N1207" s="24">
        <v>43101</v>
      </c>
      <c r="O1207" t="s">
        <v>26</v>
      </c>
      <c r="P1207" t="s">
        <v>26</v>
      </c>
      <c r="Q1207" t="s">
        <v>26</v>
      </c>
      <c r="R1207" t="s">
        <v>26</v>
      </c>
      <c r="S1207" s="24">
        <v>43101</v>
      </c>
      <c r="T1207" s="24">
        <v>43101</v>
      </c>
      <c r="U1207" t="s">
        <v>26</v>
      </c>
      <c r="V1207" t="s">
        <v>26</v>
      </c>
      <c r="W1207" s="24">
        <v>43101</v>
      </c>
      <c r="X1207" s="24">
        <v>43101</v>
      </c>
      <c r="Y1207" t="s">
        <v>26</v>
      </c>
      <c r="Z1207" s="24">
        <v>43101</v>
      </c>
      <c r="AA1207" s="24">
        <v>43101</v>
      </c>
      <c r="AB1207" t="s">
        <v>26</v>
      </c>
      <c r="AC1207" s="24">
        <v>43101</v>
      </c>
      <c r="AD1207" s="24">
        <v>43101</v>
      </c>
      <c r="AE1207" t="s">
        <v>26</v>
      </c>
      <c r="AF1207" s="24">
        <v>43101</v>
      </c>
      <c r="AG1207" s="24">
        <v>43101</v>
      </c>
      <c r="AH1207" t="s">
        <v>26</v>
      </c>
      <c r="AI1207" s="24">
        <v>43101</v>
      </c>
      <c r="AJ1207" s="24">
        <v>43101</v>
      </c>
      <c r="AK1207" t="s">
        <v>26</v>
      </c>
      <c r="AL1207" t="s">
        <v>26</v>
      </c>
      <c r="AM1207" t="s">
        <v>26</v>
      </c>
      <c r="AN1207" t="s">
        <v>26</v>
      </c>
      <c r="AO1207" s="25" t="s">
        <v>28</v>
      </c>
      <c r="AP1207" s="23" t="s">
        <v>43</v>
      </c>
      <c r="AQ1207" s="23" t="s">
        <v>30</v>
      </c>
      <c r="AR1207" s="23" t="s">
        <v>46</v>
      </c>
      <c r="AS1207" s="25">
        <v>6447769</v>
      </c>
      <c r="AT1207" t="s">
        <v>26</v>
      </c>
      <c r="AU1207" t="s">
        <v>23805</v>
      </c>
    </row>
    <row r="1208" spans="1:47" ht="26.25" x14ac:dyDescent="0.4">
      <c r="A1208" s="23" t="s">
        <v>2991</v>
      </c>
      <c r="B1208" t="s">
        <v>26</v>
      </c>
      <c r="C1208" s="23" t="s">
        <v>22238</v>
      </c>
      <c r="D1208" s="23" t="s">
        <v>22307</v>
      </c>
      <c r="E1208" s="23" t="s">
        <v>42</v>
      </c>
      <c r="F1208" t="s">
        <v>26</v>
      </c>
      <c r="G1208" t="s">
        <v>26</v>
      </c>
      <c r="H1208" t="s">
        <v>26</v>
      </c>
      <c r="I1208" s="24">
        <v>40909</v>
      </c>
      <c r="J1208" s="24">
        <v>43101</v>
      </c>
      <c r="K1208" t="s">
        <v>26</v>
      </c>
      <c r="L1208" s="25" t="s">
        <v>28</v>
      </c>
      <c r="M1208" s="24">
        <v>40909</v>
      </c>
      <c r="N1208" s="24">
        <v>43101</v>
      </c>
      <c r="O1208" t="s">
        <v>26</v>
      </c>
      <c r="P1208" t="s">
        <v>26</v>
      </c>
      <c r="Q1208" t="s">
        <v>26</v>
      </c>
      <c r="R1208" t="s">
        <v>26</v>
      </c>
      <c r="S1208" s="24">
        <v>40909</v>
      </c>
      <c r="T1208" s="24">
        <v>43101</v>
      </c>
      <c r="U1208" t="s">
        <v>26</v>
      </c>
      <c r="V1208" t="s">
        <v>26</v>
      </c>
      <c r="W1208" s="24">
        <v>40909</v>
      </c>
      <c r="X1208" s="24">
        <v>43101</v>
      </c>
      <c r="Y1208" t="s">
        <v>26</v>
      </c>
      <c r="Z1208" s="24">
        <v>40909</v>
      </c>
      <c r="AA1208" s="24">
        <v>43101</v>
      </c>
      <c r="AB1208" t="s">
        <v>26</v>
      </c>
      <c r="AC1208" s="24">
        <v>40909</v>
      </c>
      <c r="AD1208" s="24">
        <v>43101</v>
      </c>
      <c r="AE1208" t="s">
        <v>26</v>
      </c>
      <c r="AF1208" s="24">
        <v>40909</v>
      </c>
      <c r="AG1208" s="24">
        <v>43101</v>
      </c>
      <c r="AH1208" t="s">
        <v>26</v>
      </c>
      <c r="AI1208" s="24">
        <v>40909</v>
      </c>
      <c r="AJ1208" s="24">
        <v>43101</v>
      </c>
      <c r="AK1208" t="s">
        <v>26</v>
      </c>
      <c r="AL1208" t="s">
        <v>26</v>
      </c>
      <c r="AM1208" t="s">
        <v>26</v>
      </c>
      <c r="AN1208" t="s">
        <v>26</v>
      </c>
      <c r="AO1208" s="25" t="s">
        <v>28</v>
      </c>
      <c r="AP1208" s="23" t="s">
        <v>43</v>
      </c>
      <c r="AQ1208" s="23" t="s">
        <v>30</v>
      </c>
      <c r="AR1208" s="23" t="s">
        <v>46</v>
      </c>
      <c r="AS1208" s="25">
        <v>6447808</v>
      </c>
      <c r="AT1208" t="s">
        <v>26</v>
      </c>
      <c r="AU1208" t="s">
        <v>23806</v>
      </c>
    </row>
    <row r="1209" spans="1:47" ht="26.25" x14ac:dyDescent="0.4">
      <c r="A1209" s="23" t="s">
        <v>2992</v>
      </c>
      <c r="B1209" t="s">
        <v>26</v>
      </c>
      <c r="C1209" s="23" t="s">
        <v>2993</v>
      </c>
      <c r="D1209" s="23" t="s">
        <v>23807</v>
      </c>
      <c r="E1209" s="23" t="s">
        <v>42</v>
      </c>
      <c r="F1209" s="25" t="s">
        <v>2994</v>
      </c>
      <c r="G1209" s="25" t="s">
        <v>2995</v>
      </c>
      <c r="H1209" t="s">
        <v>26</v>
      </c>
      <c r="I1209" t="s">
        <v>26</v>
      </c>
      <c r="J1209" t="s">
        <v>26</v>
      </c>
      <c r="K1209" t="s">
        <v>26</v>
      </c>
      <c r="L1209" s="25" t="s">
        <v>68</v>
      </c>
      <c r="M1209" t="s">
        <v>26</v>
      </c>
      <c r="N1209" t="s">
        <v>26</v>
      </c>
      <c r="O1209" t="s">
        <v>26</v>
      </c>
      <c r="P1209" t="s">
        <v>26</v>
      </c>
      <c r="Q1209" t="s">
        <v>26</v>
      </c>
      <c r="R1209" t="s">
        <v>26</v>
      </c>
      <c r="S1209" t="s">
        <v>26</v>
      </c>
      <c r="T1209" t="s">
        <v>26</v>
      </c>
      <c r="U1209" t="s">
        <v>26</v>
      </c>
      <c r="V1209" t="s">
        <v>26</v>
      </c>
      <c r="W1209" s="24">
        <v>39873</v>
      </c>
      <c r="X1209" s="25" t="s">
        <v>77</v>
      </c>
      <c r="Y1209" s="25" t="s">
        <v>2996</v>
      </c>
      <c r="Z1209" s="24">
        <v>39873</v>
      </c>
      <c r="AA1209" s="25" t="s">
        <v>77</v>
      </c>
      <c r="AB1209" s="25" t="s">
        <v>2996</v>
      </c>
      <c r="AC1209" s="24">
        <v>39873</v>
      </c>
      <c r="AD1209" s="25" t="s">
        <v>77</v>
      </c>
      <c r="AE1209" s="25" t="s">
        <v>2996</v>
      </c>
      <c r="AF1209" t="s">
        <v>26</v>
      </c>
      <c r="AG1209" t="s">
        <v>26</v>
      </c>
      <c r="AH1209" t="s">
        <v>26</v>
      </c>
      <c r="AI1209" t="s">
        <v>26</v>
      </c>
      <c r="AJ1209" t="s">
        <v>26</v>
      </c>
      <c r="AK1209" t="s">
        <v>26</v>
      </c>
      <c r="AL1209" t="s">
        <v>26</v>
      </c>
      <c r="AM1209" t="s">
        <v>26</v>
      </c>
      <c r="AN1209" t="s">
        <v>26</v>
      </c>
      <c r="AO1209" s="25" t="s">
        <v>28</v>
      </c>
      <c r="AP1209" s="23" t="s">
        <v>69</v>
      </c>
      <c r="AQ1209" t="s">
        <v>26</v>
      </c>
      <c r="AR1209" s="23" t="s">
        <v>2997</v>
      </c>
      <c r="AS1209" s="25">
        <v>85513</v>
      </c>
      <c r="AT1209" t="s">
        <v>26</v>
      </c>
      <c r="AU1209" t="s">
        <v>23808</v>
      </c>
    </row>
    <row r="1210" spans="1:47" ht="26.25" x14ac:dyDescent="0.4">
      <c r="A1210" s="23" t="s">
        <v>2998</v>
      </c>
      <c r="B1210" t="s">
        <v>26</v>
      </c>
      <c r="C1210" s="23" t="s">
        <v>2993</v>
      </c>
      <c r="D1210" s="23" t="s">
        <v>23807</v>
      </c>
      <c r="E1210" s="23" t="s">
        <v>42</v>
      </c>
      <c r="F1210" s="25" t="s">
        <v>2999</v>
      </c>
      <c r="G1210" s="25" t="s">
        <v>3000</v>
      </c>
      <c r="H1210" t="s">
        <v>26</v>
      </c>
      <c r="I1210" t="s">
        <v>26</v>
      </c>
      <c r="J1210" t="s">
        <v>26</v>
      </c>
      <c r="K1210" t="s">
        <v>26</v>
      </c>
      <c r="L1210" s="25" t="s">
        <v>68</v>
      </c>
      <c r="M1210" t="s">
        <v>26</v>
      </c>
      <c r="N1210" t="s">
        <v>26</v>
      </c>
      <c r="O1210" t="s">
        <v>26</v>
      </c>
      <c r="P1210" t="s">
        <v>26</v>
      </c>
      <c r="Q1210" t="s">
        <v>26</v>
      </c>
      <c r="R1210" t="s">
        <v>26</v>
      </c>
      <c r="S1210" t="s">
        <v>26</v>
      </c>
      <c r="T1210" t="s">
        <v>26</v>
      </c>
      <c r="U1210" t="s">
        <v>26</v>
      </c>
      <c r="V1210" t="s">
        <v>26</v>
      </c>
      <c r="W1210" s="24">
        <v>34335</v>
      </c>
      <c r="X1210" s="25" t="s">
        <v>77</v>
      </c>
      <c r="Y1210" t="s">
        <v>26</v>
      </c>
      <c r="Z1210" s="24">
        <v>34335</v>
      </c>
      <c r="AA1210" s="25" t="s">
        <v>77</v>
      </c>
      <c r="AB1210" t="s">
        <v>26</v>
      </c>
      <c r="AC1210" s="24">
        <v>36526</v>
      </c>
      <c r="AD1210" s="25" t="s">
        <v>77</v>
      </c>
      <c r="AE1210" t="s">
        <v>26</v>
      </c>
      <c r="AF1210" t="s">
        <v>26</v>
      </c>
      <c r="AG1210" t="s">
        <v>26</v>
      </c>
      <c r="AH1210" t="s">
        <v>26</v>
      </c>
      <c r="AI1210" t="s">
        <v>26</v>
      </c>
      <c r="AJ1210" t="s">
        <v>26</v>
      </c>
      <c r="AK1210" t="s">
        <v>26</v>
      </c>
      <c r="AL1210" t="s">
        <v>26</v>
      </c>
      <c r="AM1210" t="s">
        <v>26</v>
      </c>
      <c r="AN1210" t="s">
        <v>26</v>
      </c>
      <c r="AO1210" s="25" t="s">
        <v>68</v>
      </c>
      <c r="AP1210" s="23" t="s">
        <v>69</v>
      </c>
      <c r="AQ1210" s="23" t="s">
        <v>30</v>
      </c>
      <c r="AR1210" s="23" t="s">
        <v>670</v>
      </c>
      <c r="AS1210" s="25">
        <v>85436</v>
      </c>
      <c r="AT1210" t="s">
        <v>26</v>
      </c>
      <c r="AU1210" t="s">
        <v>23809</v>
      </c>
    </row>
    <row r="1211" spans="1:47" ht="26.25" x14ac:dyDescent="0.4">
      <c r="A1211" s="23" t="s">
        <v>3001</v>
      </c>
      <c r="B1211" t="s">
        <v>26</v>
      </c>
      <c r="C1211" s="23" t="s">
        <v>259</v>
      </c>
      <c r="D1211" s="23" t="s">
        <v>22179</v>
      </c>
      <c r="E1211" s="23" t="s">
        <v>60</v>
      </c>
      <c r="F1211" t="s">
        <v>26</v>
      </c>
      <c r="G1211" s="25" t="s">
        <v>3002</v>
      </c>
      <c r="H1211" t="s">
        <v>26</v>
      </c>
      <c r="I1211" s="24">
        <v>40909</v>
      </c>
      <c r="J1211" s="24">
        <v>41640</v>
      </c>
      <c r="K1211" t="s">
        <v>26</v>
      </c>
      <c r="L1211" s="25" t="s">
        <v>68</v>
      </c>
      <c r="M1211" s="24">
        <v>40909</v>
      </c>
      <c r="N1211" s="24">
        <v>41640</v>
      </c>
      <c r="O1211" t="s">
        <v>26</v>
      </c>
      <c r="P1211" s="24">
        <v>40909</v>
      </c>
      <c r="Q1211" s="24">
        <v>41640</v>
      </c>
      <c r="R1211" t="s">
        <v>26</v>
      </c>
      <c r="S1211" t="s">
        <v>26</v>
      </c>
      <c r="T1211" t="s">
        <v>26</v>
      </c>
      <c r="U1211" t="s">
        <v>26</v>
      </c>
      <c r="V1211" t="s">
        <v>26</v>
      </c>
      <c r="W1211" s="24">
        <v>40909</v>
      </c>
      <c r="X1211" s="24">
        <v>41640</v>
      </c>
      <c r="Y1211" t="s">
        <v>26</v>
      </c>
      <c r="Z1211" s="24">
        <v>40909</v>
      </c>
      <c r="AA1211" s="24">
        <v>41640</v>
      </c>
      <c r="AB1211" t="s">
        <v>26</v>
      </c>
      <c r="AC1211" s="24">
        <v>40909</v>
      </c>
      <c r="AD1211" s="24">
        <v>41640</v>
      </c>
      <c r="AE1211" t="s">
        <v>26</v>
      </c>
      <c r="AF1211" t="s">
        <v>26</v>
      </c>
      <c r="AG1211" t="s">
        <v>26</v>
      </c>
      <c r="AH1211" t="s">
        <v>26</v>
      </c>
      <c r="AI1211" t="s">
        <v>26</v>
      </c>
      <c r="AJ1211" t="s">
        <v>26</v>
      </c>
      <c r="AK1211" t="s">
        <v>26</v>
      </c>
      <c r="AL1211" t="s">
        <v>26</v>
      </c>
      <c r="AM1211" t="s">
        <v>26</v>
      </c>
      <c r="AN1211" t="s">
        <v>26</v>
      </c>
      <c r="AO1211" s="25" t="s">
        <v>68</v>
      </c>
      <c r="AP1211" s="23" t="s">
        <v>69</v>
      </c>
      <c r="AQ1211" s="23" t="s">
        <v>30</v>
      </c>
      <c r="AR1211" s="23" t="s">
        <v>70</v>
      </c>
      <c r="AS1211" s="25">
        <v>1226376</v>
      </c>
      <c r="AT1211" t="s">
        <v>26</v>
      </c>
      <c r="AU1211" t="s">
        <v>23810</v>
      </c>
    </row>
    <row r="1212" spans="1:47" ht="26.25" x14ac:dyDescent="0.4">
      <c r="A1212" s="23" t="s">
        <v>3003</v>
      </c>
      <c r="B1212" t="s">
        <v>26</v>
      </c>
      <c r="C1212" s="23" t="s">
        <v>3004</v>
      </c>
      <c r="D1212" s="23" t="s">
        <v>23811</v>
      </c>
      <c r="E1212" s="23" t="s">
        <v>574</v>
      </c>
      <c r="F1212" s="25" t="s">
        <v>3005</v>
      </c>
      <c r="G1212" t="s">
        <v>26</v>
      </c>
      <c r="H1212" t="s">
        <v>26</v>
      </c>
      <c r="I1212" s="24">
        <v>39873</v>
      </c>
      <c r="J1212" s="24">
        <v>40969</v>
      </c>
      <c r="K1212" t="s">
        <v>26</v>
      </c>
      <c r="L1212" s="25" t="s">
        <v>68</v>
      </c>
      <c r="M1212" s="24">
        <v>39873</v>
      </c>
      <c r="N1212" s="24">
        <v>40969</v>
      </c>
      <c r="O1212" t="s">
        <v>26</v>
      </c>
      <c r="P1212" s="24">
        <v>39873</v>
      </c>
      <c r="Q1212" s="24">
        <v>40969</v>
      </c>
      <c r="R1212" t="s">
        <v>26</v>
      </c>
      <c r="S1212" t="s">
        <v>26</v>
      </c>
      <c r="T1212" t="s">
        <v>26</v>
      </c>
      <c r="U1212" t="s">
        <v>26</v>
      </c>
      <c r="V1212" t="s">
        <v>26</v>
      </c>
      <c r="W1212" s="24">
        <v>39873</v>
      </c>
      <c r="X1212" s="24">
        <v>40969</v>
      </c>
      <c r="Y1212" t="s">
        <v>26</v>
      </c>
      <c r="Z1212" s="24">
        <v>39873</v>
      </c>
      <c r="AA1212" s="24">
        <v>40969</v>
      </c>
      <c r="AB1212" t="s">
        <v>26</v>
      </c>
      <c r="AC1212" s="24">
        <v>39873</v>
      </c>
      <c r="AD1212" s="24">
        <v>40969</v>
      </c>
      <c r="AE1212" t="s">
        <v>26</v>
      </c>
      <c r="AF1212" t="s">
        <v>26</v>
      </c>
      <c r="AG1212" t="s">
        <v>26</v>
      </c>
      <c r="AH1212" t="s">
        <v>26</v>
      </c>
      <c r="AI1212" t="s">
        <v>26</v>
      </c>
      <c r="AJ1212" t="s">
        <v>26</v>
      </c>
      <c r="AK1212" t="s">
        <v>26</v>
      </c>
      <c r="AL1212" t="s">
        <v>26</v>
      </c>
      <c r="AM1212" t="s">
        <v>26</v>
      </c>
      <c r="AN1212" t="s">
        <v>26</v>
      </c>
      <c r="AO1212" s="25" t="s">
        <v>68</v>
      </c>
      <c r="AP1212" s="23" t="s">
        <v>69</v>
      </c>
      <c r="AQ1212" s="23" t="s">
        <v>30</v>
      </c>
      <c r="AR1212" s="23" t="s">
        <v>46</v>
      </c>
      <c r="AS1212" s="25">
        <v>54444</v>
      </c>
      <c r="AT1212" t="s">
        <v>26</v>
      </c>
      <c r="AU1212" t="s">
        <v>23812</v>
      </c>
    </row>
    <row r="1213" spans="1:47" ht="26.25" x14ac:dyDescent="0.4">
      <c r="A1213" s="23" t="s">
        <v>3006</v>
      </c>
      <c r="B1213" t="s">
        <v>26</v>
      </c>
      <c r="C1213" s="23" t="s">
        <v>3004</v>
      </c>
      <c r="D1213" s="23" t="s">
        <v>23811</v>
      </c>
      <c r="E1213" s="23" t="s">
        <v>574</v>
      </c>
      <c r="F1213" t="s">
        <v>26</v>
      </c>
      <c r="G1213" t="s">
        <v>26</v>
      </c>
      <c r="H1213" t="s">
        <v>26</v>
      </c>
      <c r="I1213" s="24">
        <v>40909</v>
      </c>
      <c r="J1213" s="25" t="s">
        <v>77</v>
      </c>
      <c r="K1213" t="s">
        <v>26</v>
      </c>
      <c r="L1213" s="25" t="s">
        <v>68</v>
      </c>
      <c r="M1213" s="24">
        <v>40909</v>
      </c>
      <c r="N1213" s="25" t="s">
        <v>77</v>
      </c>
      <c r="O1213" t="s">
        <v>26</v>
      </c>
      <c r="P1213" s="24">
        <v>40909</v>
      </c>
      <c r="Q1213" s="25" t="s">
        <v>77</v>
      </c>
      <c r="R1213" t="s">
        <v>26</v>
      </c>
      <c r="S1213" t="s">
        <v>26</v>
      </c>
      <c r="T1213" t="s">
        <v>26</v>
      </c>
      <c r="U1213" t="s">
        <v>26</v>
      </c>
      <c r="V1213" t="s">
        <v>26</v>
      </c>
      <c r="W1213" s="24">
        <v>40909</v>
      </c>
      <c r="X1213" s="25" t="s">
        <v>77</v>
      </c>
      <c r="Y1213" t="s">
        <v>26</v>
      </c>
      <c r="Z1213" s="24">
        <v>40909</v>
      </c>
      <c r="AA1213" s="25" t="s">
        <v>77</v>
      </c>
      <c r="AB1213" t="s">
        <v>26</v>
      </c>
      <c r="AC1213" s="24">
        <v>40909</v>
      </c>
      <c r="AD1213" s="25" t="s">
        <v>77</v>
      </c>
      <c r="AE1213" t="s">
        <v>26</v>
      </c>
      <c r="AF1213" t="s">
        <v>26</v>
      </c>
      <c r="AG1213" t="s">
        <v>26</v>
      </c>
      <c r="AH1213" t="s">
        <v>26</v>
      </c>
      <c r="AI1213" t="s">
        <v>26</v>
      </c>
      <c r="AJ1213" t="s">
        <v>26</v>
      </c>
      <c r="AK1213" t="s">
        <v>26</v>
      </c>
      <c r="AL1213" t="s">
        <v>26</v>
      </c>
      <c r="AM1213" t="s">
        <v>26</v>
      </c>
      <c r="AN1213" t="s">
        <v>26</v>
      </c>
      <c r="AO1213" s="25" t="s">
        <v>68</v>
      </c>
      <c r="AP1213" s="23" t="s">
        <v>69</v>
      </c>
      <c r="AQ1213" s="23" t="s">
        <v>30</v>
      </c>
      <c r="AR1213" s="23" t="s">
        <v>128</v>
      </c>
      <c r="AS1213" s="25">
        <v>2029985</v>
      </c>
      <c r="AT1213" t="s">
        <v>26</v>
      </c>
      <c r="AU1213" t="s">
        <v>23813</v>
      </c>
    </row>
    <row r="1214" spans="1:47" ht="26.25" x14ac:dyDescent="0.4">
      <c r="A1214" s="23" t="s">
        <v>3007</v>
      </c>
      <c r="B1214" t="s">
        <v>26</v>
      </c>
      <c r="C1214" s="23" t="s">
        <v>3004</v>
      </c>
      <c r="D1214" s="23" t="s">
        <v>23811</v>
      </c>
      <c r="E1214" s="23" t="s">
        <v>574</v>
      </c>
      <c r="F1214" s="25" t="s">
        <v>3008</v>
      </c>
      <c r="G1214" t="s">
        <v>26</v>
      </c>
      <c r="H1214" t="s">
        <v>26</v>
      </c>
      <c r="I1214" s="24">
        <v>40969</v>
      </c>
      <c r="J1214" s="25" t="s">
        <v>77</v>
      </c>
      <c r="K1214" t="s">
        <v>26</v>
      </c>
      <c r="L1214" s="25" t="s">
        <v>68</v>
      </c>
      <c r="M1214" s="24">
        <v>40969</v>
      </c>
      <c r="N1214" s="25" t="s">
        <v>77</v>
      </c>
      <c r="O1214" t="s">
        <v>26</v>
      </c>
      <c r="P1214" s="24">
        <v>40969</v>
      </c>
      <c r="Q1214" s="25" t="s">
        <v>77</v>
      </c>
      <c r="R1214" t="s">
        <v>26</v>
      </c>
      <c r="S1214" t="s">
        <v>26</v>
      </c>
      <c r="T1214" t="s">
        <v>26</v>
      </c>
      <c r="U1214" t="s">
        <v>26</v>
      </c>
      <c r="V1214" t="s">
        <v>26</v>
      </c>
      <c r="W1214" s="24">
        <v>40969</v>
      </c>
      <c r="X1214" s="25" t="s">
        <v>77</v>
      </c>
      <c r="Y1214" t="s">
        <v>26</v>
      </c>
      <c r="Z1214" s="24">
        <v>40969</v>
      </c>
      <c r="AA1214" s="25" t="s">
        <v>77</v>
      </c>
      <c r="AB1214" t="s">
        <v>26</v>
      </c>
      <c r="AC1214" s="24">
        <v>40969</v>
      </c>
      <c r="AD1214" s="25" t="s">
        <v>77</v>
      </c>
      <c r="AE1214" t="s">
        <v>26</v>
      </c>
      <c r="AF1214" t="s">
        <v>26</v>
      </c>
      <c r="AG1214" t="s">
        <v>26</v>
      </c>
      <c r="AH1214" t="s">
        <v>26</v>
      </c>
      <c r="AI1214" t="s">
        <v>26</v>
      </c>
      <c r="AJ1214" t="s">
        <v>26</v>
      </c>
      <c r="AK1214" t="s">
        <v>26</v>
      </c>
      <c r="AL1214" t="s">
        <v>26</v>
      </c>
      <c r="AM1214" t="s">
        <v>26</v>
      </c>
      <c r="AN1214" t="s">
        <v>26</v>
      </c>
      <c r="AO1214" s="25" t="s">
        <v>68</v>
      </c>
      <c r="AP1214" s="23" t="s">
        <v>69</v>
      </c>
      <c r="AQ1214" s="23" t="s">
        <v>30</v>
      </c>
      <c r="AR1214" s="23" t="s">
        <v>128</v>
      </c>
      <c r="AS1214" s="25">
        <v>2029989</v>
      </c>
      <c r="AT1214" t="s">
        <v>26</v>
      </c>
      <c r="AU1214" t="s">
        <v>23814</v>
      </c>
    </row>
    <row r="1215" spans="1:47" ht="26.25" x14ac:dyDescent="0.4">
      <c r="A1215" s="23" t="s">
        <v>3009</v>
      </c>
      <c r="B1215" t="s">
        <v>26</v>
      </c>
      <c r="C1215" s="23" t="s">
        <v>660</v>
      </c>
      <c r="D1215" s="23" t="s">
        <v>22267</v>
      </c>
      <c r="E1215" s="23" t="s">
        <v>60</v>
      </c>
      <c r="F1215" s="25" t="s">
        <v>3010</v>
      </c>
      <c r="G1215" s="25" t="s">
        <v>3011</v>
      </c>
      <c r="H1215" t="s">
        <v>26</v>
      </c>
      <c r="I1215" t="s">
        <v>26</v>
      </c>
      <c r="J1215" t="s">
        <v>26</v>
      </c>
      <c r="K1215" t="s">
        <v>26</v>
      </c>
      <c r="L1215" s="25" t="s">
        <v>68</v>
      </c>
      <c r="M1215" t="s">
        <v>26</v>
      </c>
      <c r="N1215" t="s">
        <v>26</v>
      </c>
      <c r="O1215" t="s">
        <v>26</v>
      </c>
      <c r="P1215" t="s">
        <v>26</v>
      </c>
      <c r="Q1215" t="s">
        <v>26</v>
      </c>
      <c r="R1215" t="s">
        <v>26</v>
      </c>
      <c r="S1215" t="s">
        <v>26</v>
      </c>
      <c r="T1215" t="s">
        <v>26</v>
      </c>
      <c r="U1215" t="s">
        <v>26</v>
      </c>
      <c r="V1215" t="s">
        <v>26</v>
      </c>
      <c r="W1215" s="24">
        <v>37987</v>
      </c>
      <c r="X1215" s="25" t="s">
        <v>77</v>
      </c>
      <c r="Y1215" t="s">
        <v>26</v>
      </c>
      <c r="Z1215" s="24">
        <v>37987</v>
      </c>
      <c r="AA1215" s="25" t="s">
        <v>77</v>
      </c>
      <c r="AB1215" t="s">
        <v>26</v>
      </c>
      <c r="AC1215" s="24">
        <v>37987</v>
      </c>
      <c r="AD1215" s="25" t="s">
        <v>77</v>
      </c>
      <c r="AE1215" t="s">
        <v>26</v>
      </c>
      <c r="AF1215" t="s">
        <v>26</v>
      </c>
      <c r="AG1215" t="s">
        <v>26</v>
      </c>
      <c r="AH1215" t="s">
        <v>26</v>
      </c>
      <c r="AI1215" t="s">
        <v>26</v>
      </c>
      <c r="AJ1215" t="s">
        <v>26</v>
      </c>
      <c r="AK1215" t="s">
        <v>26</v>
      </c>
      <c r="AL1215" t="s">
        <v>26</v>
      </c>
      <c r="AM1215" t="s">
        <v>26</v>
      </c>
      <c r="AN1215" t="s">
        <v>26</v>
      </c>
      <c r="AO1215" s="25" t="s">
        <v>68</v>
      </c>
      <c r="AP1215" s="23" t="s">
        <v>69</v>
      </c>
      <c r="AQ1215" s="23" t="s">
        <v>30</v>
      </c>
      <c r="AR1215" s="23" t="s">
        <v>3012</v>
      </c>
      <c r="AS1215" s="25">
        <v>25673</v>
      </c>
      <c r="AT1215" t="s">
        <v>26</v>
      </c>
      <c r="AU1215" t="s">
        <v>23815</v>
      </c>
    </row>
    <row r="1216" spans="1:47" ht="26.25" x14ac:dyDescent="0.4">
      <c r="A1216" s="23" t="s">
        <v>3013</v>
      </c>
      <c r="B1216" t="s">
        <v>26</v>
      </c>
      <c r="C1216" s="23" t="s">
        <v>23816</v>
      </c>
      <c r="D1216" s="23" t="s">
        <v>22686</v>
      </c>
      <c r="E1216" s="23" t="s">
        <v>42</v>
      </c>
      <c r="F1216" t="s">
        <v>26</v>
      </c>
      <c r="G1216" t="s">
        <v>26</v>
      </c>
      <c r="H1216" t="s">
        <v>26</v>
      </c>
      <c r="I1216" s="24">
        <v>42005</v>
      </c>
      <c r="J1216" s="24">
        <v>42370</v>
      </c>
      <c r="K1216" t="s">
        <v>26</v>
      </c>
      <c r="L1216" s="25" t="s">
        <v>28</v>
      </c>
      <c r="M1216" s="24">
        <v>42005</v>
      </c>
      <c r="N1216" s="24">
        <v>42370</v>
      </c>
      <c r="O1216" t="s">
        <v>26</v>
      </c>
      <c r="P1216" t="s">
        <v>26</v>
      </c>
      <c r="Q1216" t="s">
        <v>26</v>
      </c>
      <c r="R1216" t="s">
        <v>26</v>
      </c>
      <c r="S1216" s="24">
        <v>42005</v>
      </c>
      <c r="T1216" s="24">
        <v>42370</v>
      </c>
      <c r="U1216" t="s">
        <v>26</v>
      </c>
      <c r="V1216" t="s">
        <v>26</v>
      </c>
      <c r="W1216" s="24">
        <v>42005</v>
      </c>
      <c r="X1216" s="24">
        <v>42370</v>
      </c>
      <c r="Y1216" t="s">
        <v>26</v>
      </c>
      <c r="Z1216" s="24">
        <v>42005</v>
      </c>
      <c r="AA1216" s="24">
        <v>42370</v>
      </c>
      <c r="AB1216" t="s">
        <v>26</v>
      </c>
      <c r="AC1216" s="24">
        <v>42005</v>
      </c>
      <c r="AD1216" s="24">
        <v>42370</v>
      </c>
      <c r="AE1216" t="s">
        <v>26</v>
      </c>
      <c r="AF1216" s="24">
        <v>42005</v>
      </c>
      <c r="AG1216" s="24">
        <v>42370</v>
      </c>
      <c r="AH1216" t="s">
        <v>26</v>
      </c>
      <c r="AI1216" s="24">
        <v>42005</v>
      </c>
      <c r="AJ1216" s="24">
        <v>42370</v>
      </c>
      <c r="AK1216" t="s">
        <v>26</v>
      </c>
      <c r="AL1216" t="s">
        <v>26</v>
      </c>
      <c r="AM1216" t="s">
        <v>26</v>
      </c>
      <c r="AN1216" t="s">
        <v>26</v>
      </c>
      <c r="AO1216" s="25" t="s">
        <v>28</v>
      </c>
      <c r="AP1216" s="23" t="s">
        <v>43</v>
      </c>
      <c r="AQ1216" s="23" t="s">
        <v>30</v>
      </c>
      <c r="AR1216" s="23" t="s">
        <v>46</v>
      </c>
      <c r="AS1216" s="25">
        <v>6362736</v>
      </c>
      <c r="AT1216" t="s">
        <v>26</v>
      </c>
      <c r="AU1216" t="s">
        <v>23817</v>
      </c>
    </row>
    <row r="1217" spans="1:47" ht="26.25" x14ac:dyDescent="0.4">
      <c r="A1217" s="23" t="s">
        <v>3014</v>
      </c>
      <c r="B1217" t="s">
        <v>26</v>
      </c>
      <c r="C1217" s="23" t="s">
        <v>2641</v>
      </c>
      <c r="D1217" s="23" t="s">
        <v>23600</v>
      </c>
      <c r="E1217" s="23" t="s">
        <v>2642</v>
      </c>
      <c r="F1217" s="25" t="s">
        <v>3015</v>
      </c>
      <c r="G1217" t="s">
        <v>26</v>
      </c>
      <c r="H1217" t="s">
        <v>26</v>
      </c>
      <c r="I1217" s="24">
        <v>39448</v>
      </c>
      <c r="J1217" s="25" t="s">
        <v>77</v>
      </c>
      <c r="K1217" t="s">
        <v>26</v>
      </c>
      <c r="L1217" s="25" t="s">
        <v>68</v>
      </c>
      <c r="M1217" s="24">
        <v>39448</v>
      </c>
      <c r="N1217" s="25" t="s">
        <v>77</v>
      </c>
      <c r="O1217" t="s">
        <v>26</v>
      </c>
      <c r="P1217" s="24">
        <v>39448</v>
      </c>
      <c r="Q1217" s="25" t="s">
        <v>77</v>
      </c>
      <c r="R1217" t="s">
        <v>26</v>
      </c>
      <c r="S1217" t="s">
        <v>26</v>
      </c>
      <c r="T1217" t="s">
        <v>26</v>
      </c>
      <c r="U1217" t="s">
        <v>26</v>
      </c>
      <c r="V1217" t="s">
        <v>26</v>
      </c>
      <c r="W1217" s="24">
        <v>39448</v>
      </c>
      <c r="X1217" s="25" t="s">
        <v>77</v>
      </c>
      <c r="Y1217" t="s">
        <v>26</v>
      </c>
      <c r="Z1217" s="24">
        <v>39448</v>
      </c>
      <c r="AA1217" s="25" t="s">
        <v>77</v>
      </c>
      <c r="AB1217" t="s">
        <v>26</v>
      </c>
      <c r="AC1217" s="24">
        <v>39448</v>
      </c>
      <c r="AD1217" s="25" t="s">
        <v>77</v>
      </c>
      <c r="AE1217" t="s">
        <v>26</v>
      </c>
      <c r="AF1217" t="s">
        <v>26</v>
      </c>
      <c r="AG1217" t="s">
        <v>26</v>
      </c>
      <c r="AH1217" t="s">
        <v>26</v>
      </c>
      <c r="AI1217" t="s">
        <v>26</v>
      </c>
      <c r="AJ1217" t="s">
        <v>26</v>
      </c>
      <c r="AK1217" t="s">
        <v>26</v>
      </c>
      <c r="AL1217" t="s">
        <v>26</v>
      </c>
      <c r="AM1217" t="s">
        <v>26</v>
      </c>
      <c r="AN1217" t="s">
        <v>26</v>
      </c>
      <c r="AO1217" s="25" t="s">
        <v>68</v>
      </c>
      <c r="AP1217" s="23" t="s">
        <v>69</v>
      </c>
      <c r="AQ1217" s="23" t="s">
        <v>30</v>
      </c>
      <c r="AR1217" s="23" t="s">
        <v>46</v>
      </c>
      <c r="AS1217" s="25">
        <v>28639</v>
      </c>
      <c r="AT1217" t="s">
        <v>26</v>
      </c>
      <c r="AU1217" t="s">
        <v>23818</v>
      </c>
    </row>
    <row r="1218" spans="1:47" ht="26.25" x14ac:dyDescent="0.4">
      <c r="A1218" s="23" t="s">
        <v>3016</v>
      </c>
      <c r="B1218" t="s">
        <v>26</v>
      </c>
      <c r="C1218" s="23" t="s">
        <v>23819</v>
      </c>
      <c r="D1218" t="s">
        <v>26</v>
      </c>
      <c r="E1218" s="23" t="s">
        <v>335</v>
      </c>
      <c r="F1218" t="s">
        <v>26</v>
      </c>
      <c r="G1218" t="s">
        <v>26</v>
      </c>
      <c r="H1218" t="s">
        <v>26</v>
      </c>
      <c r="I1218" s="24">
        <v>42370</v>
      </c>
      <c r="J1218" s="24">
        <v>42370</v>
      </c>
      <c r="K1218" t="s">
        <v>26</v>
      </c>
      <c r="L1218" s="25" t="s">
        <v>28</v>
      </c>
      <c r="M1218" s="24">
        <v>42370</v>
      </c>
      <c r="N1218" s="24">
        <v>42370</v>
      </c>
      <c r="O1218" t="s">
        <v>26</v>
      </c>
      <c r="P1218" t="s">
        <v>26</v>
      </c>
      <c r="Q1218" t="s">
        <v>26</v>
      </c>
      <c r="R1218" t="s">
        <v>26</v>
      </c>
      <c r="S1218" s="24">
        <v>42370</v>
      </c>
      <c r="T1218" s="24">
        <v>42370</v>
      </c>
      <c r="U1218" t="s">
        <v>26</v>
      </c>
      <c r="V1218" t="s">
        <v>26</v>
      </c>
      <c r="W1218" s="24">
        <v>42370</v>
      </c>
      <c r="X1218" s="24">
        <v>42370</v>
      </c>
      <c r="Y1218" t="s">
        <v>26</v>
      </c>
      <c r="Z1218" s="24">
        <v>42370</v>
      </c>
      <c r="AA1218" s="24">
        <v>42370</v>
      </c>
      <c r="AB1218" t="s">
        <v>26</v>
      </c>
      <c r="AC1218" s="24">
        <v>42370</v>
      </c>
      <c r="AD1218" s="24">
        <v>42370</v>
      </c>
      <c r="AE1218" t="s">
        <v>26</v>
      </c>
      <c r="AF1218" s="24">
        <v>42370</v>
      </c>
      <c r="AG1218" s="24">
        <v>42370</v>
      </c>
      <c r="AH1218" t="s">
        <v>26</v>
      </c>
      <c r="AI1218" s="24">
        <v>42370</v>
      </c>
      <c r="AJ1218" s="24">
        <v>42370</v>
      </c>
      <c r="AK1218" t="s">
        <v>26</v>
      </c>
      <c r="AL1218" t="s">
        <v>26</v>
      </c>
      <c r="AM1218" t="s">
        <v>26</v>
      </c>
      <c r="AN1218" t="s">
        <v>26</v>
      </c>
      <c r="AO1218" s="25" t="s">
        <v>28</v>
      </c>
      <c r="AP1218" s="23" t="s">
        <v>43</v>
      </c>
      <c r="AQ1218" s="23" t="s">
        <v>30</v>
      </c>
      <c r="AR1218" s="23" t="s">
        <v>44</v>
      </c>
      <c r="AS1218" s="25">
        <v>5263178</v>
      </c>
      <c r="AT1218" t="s">
        <v>26</v>
      </c>
      <c r="AU1218" t="s">
        <v>23820</v>
      </c>
    </row>
    <row r="1219" spans="1:47" ht="13.15" x14ac:dyDescent="0.4">
      <c r="A1219" s="23" t="s">
        <v>3017</v>
      </c>
      <c r="B1219" t="s">
        <v>26</v>
      </c>
      <c r="C1219" s="23" t="s">
        <v>1481</v>
      </c>
      <c r="D1219" t="s">
        <v>26</v>
      </c>
      <c r="E1219" s="23" t="s">
        <v>60</v>
      </c>
      <c r="F1219" t="s">
        <v>26</v>
      </c>
      <c r="G1219" t="s">
        <v>26</v>
      </c>
      <c r="H1219" t="s">
        <v>26</v>
      </c>
      <c r="I1219" s="25" t="s">
        <v>3018</v>
      </c>
      <c r="J1219" s="25" t="s">
        <v>3018</v>
      </c>
      <c r="K1219" t="s">
        <v>26</v>
      </c>
      <c r="L1219" s="25" t="s">
        <v>28</v>
      </c>
      <c r="M1219" s="25" t="s">
        <v>3018</v>
      </c>
      <c r="N1219" s="25" t="s">
        <v>3018</v>
      </c>
      <c r="O1219" t="s">
        <v>26</v>
      </c>
      <c r="P1219" t="s">
        <v>26</v>
      </c>
      <c r="Q1219" t="s">
        <v>26</v>
      </c>
      <c r="R1219" t="s">
        <v>26</v>
      </c>
      <c r="S1219" t="s">
        <v>26</v>
      </c>
      <c r="T1219" t="s">
        <v>26</v>
      </c>
      <c r="U1219" t="s">
        <v>26</v>
      </c>
      <c r="V1219" t="s">
        <v>26</v>
      </c>
      <c r="W1219" s="25" t="s">
        <v>3018</v>
      </c>
      <c r="X1219" s="25" t="s">
        <v>3018</v>
      </c>
      <c r="Y1219" t="s">
        <v>26</v>
      </c>
      <c r="Z1219" s="25" t="s">
        <v>3018</v>
      </c>
      <c r="AA1219" s="25" t="s">
        <v>3018</v>
      </c>
      <c r="AB1219" t="s">
        <v>26</v>
      </c>
      <c r="AC1219" s="25" t="s">
        <v>3018</v>
      </c>
      <c r="AD1219" s="25" t="s">
        <v>3018</v>
      </c>
      <c r="AE1219" t="s">
        <v>26</v>
      </c>
      <c r="AF1219" t="s">
        <v>26</v>
      </c>
      <c r="AG1219" t="s">
        <v>26</v>
      </c>
      <c r="AH1219" t="s">
        <v>26</v>
      </c>
      <c r="AI1219" t="s">
        <v>26</v>
      </c>
      <c r="AJ1219" t="s">
        <v>26</v>
      </c>
      <c r="AK1219" t="s">
        <v>26</v>
      </c>
      <c r="AL1219" t="s">
        <v>26</v>
      </c>
      <c r="AM1219" t="s">
        <v>26</v>
      </c>
      <c r="AN1219" t="s">
        <v>26</v>
      </c>
      <c r="AO1219" s="25" t="s">
        <v>28</v>
      </c>
      <c r="AP1219" s="23" t="s">
        <v>29</v>
      </c>
      <c r="AQ1219" s="23" t="s">
        <v>30</v>
      </c>
      <c r="AR1219" s="23" t="s">
        <v>46</v>
      </c>
      <c r="AS1219" s="25">
        <v>6059488</v>
      </c>
      <c r="AT1219" t="s">
        <v>26</v>
      </c>
      <c r="AU1219" t="s">
        <v>23821</v>
      </c>
    </row>
    <row r="1220" spans="1:47" ht="26.25" x14ac:dyDescent="0.4">
      <c r="A1220" s="23" t="s">
        <v>3019</v>
      </c>
      <c r="B1220" t="s">
        <v>26</v>
      </c>
      <c r="C1220" s="23" t="s">
        <v>181</v>
      </c>
      <c r="D1220" s="23" t="s">
        <v>22174</v>
      </c>
      <c r="E1220" s="23" t="s">
        <v>60</v>
      </c>
      <c r="F1220" s="25" t="s">
        <v>3020</v>
      </c>
      <c r="G1220" s="25" t="s">
        <v>3021</v>
      </c>
      <c r="H1220" t="s">
        <v>26</v>
      </c>
      <c r="I1220" s="24">
        <v>36069</v>
      </c>
      <c r="J1220" s="24">
        <v>39630</v>
      </c>
      <c r="K1220" t="s">
        <v>26</v>
      </c>
      <c r="L1220" s="25" t="s">
        <v>68</v>
      </c>
      <c r="M1220" t="s">
        <v>26</v>
      </c>
      <c r="N1220" t="s">
        <v>26</v>
      </c>
      <c r="O1220" t="s">
        <v>26</v>
      </c>
      <c r="P1220" s="24">
        <v>36069</v>
      </c>
      <c r="Q1220" s="24">
        <v>39630</v>
      </c>
      <c r="R1220" t="s">
        <v>26</v>
      </c>
      <c r="S1220" t="s">
        <v>26</v>
      </c>
      <c r="T1220" t="s">
        <v>26</v>
      </c>
      <c r="U1220" t="s">
        <v>26</v>
      </c>
      <c r="V1220" t="s">
        <v>26</v>
      </c>
      <c r="W1220" s="24">
        <v>29830</v>
      </c>
      <c r="X1220" s="25" t="s">
        <v>77</v>
      </c>
      <c r="Y1220" t="s">
        <v>26</v>
      </c>
      <c r="Z1220" s="24">
        <v>29830</v>
      </c>
      <c r="AA1220" s="25" t="s">
        <v>77</v>
      </c>
      <c r="AB1220" t="s">
        <v>26</v>
      </c>
      <c r="AC1220" s="24">
        <v>29830</v>
      </c>
      <c r="AD1220" s="25" t="s">
        <v>77</v>
      </c>
      <c r="AE1220" t="s">
        <v>26</v>
      </c>
      <c r="AF1220" t="s">
        <v>26</v>
      </c>
      <c r="AG1220" t="s">
        <v>26</v>
      </c>
      <c r="AH1220" t="s">
        <v>26</v>
      </c>
      <c r="AI1220" t="s">
        <v>26</v>
      </c>
      <c r="AJ1220" t="s">
        <v>26</v>
      </c>
      <c r="AK1220" t="s">
        <v>26</v>
      </c>
      <c r="AL1220" t="s">
        <v>26</v>
      </c>
      <c r="AM1220" t="s">
        <v>26</v>
      </c>
      <c r="AN1220" t="s">
        <v>26</v>
      </c>
      <c r="AO1220" s="25" t="s">
        <v>68</v>
      </c>
      <c r="AP1220" s="23" t="s">
        <v>69</v>
      </c>
      <c r="AQ1220" s="23" t="s">
        <v>30</v>
      </c>
      <c r="AR1220" s="23" t="s">
        <v>3022</v>
      </c>
      <c r="AS1220" s="25">
        <v>46500</v>
      </c>
      <c r="AT1220" t="s">
        <v>26</v>
      </c>
      <c r="AU1220" t="s">
        <v>23822</v>
      </c>
    </row>
    <row r="1221" spans="1:47" ht="26.25" x14ac:dyDescent="0.4">
      <c r="A1221" s="23" t="s">
        <v>3023</v>
      </c>
      <c r="B1221" t="s">
        <v>26</v>
      </c>
      <c r="C1221" s="23" t="s">
        <v>3024</v>
      </c>
      <c r="D1221" s="23" t="s">
        <v>23823</v>
      </c>
      <c r="E1221" s="23" t="s">
        <v>42</v>
      </c>
      <c r="F1221" t="s">
        <v>26</v>
      </c>
      <c r="G1221" t="s">
        <v>26</v>
      </c>
      <c r="H1221" t="s">
        <v>26</v>
      </c>
      <c r="I1221" s="24">
        <v>37622</v>
      </c>
      <c r="J1221" s="24">
        <v>37622</v>
      </c>
      <c r="K1221" t="s">
        <v>26</v>
      </c>
      <c r="L1221" s="25" t="s">
        <v>28</v>
      </c>
      <c r="M1221" s="24">
        <v>37622</v>
      </c>
      <c r="N1221" s="24">
        <v>37622</v>
      </c>
      <c r="O1221" t="s">
        <v>26</v>
      </c>
      <c r="P1221" t="s">
        <v>26</v>
      </c>
      <c r="Q1221" t="s">
        <v>26</v>
      </c>
      <c r="R1221" t="s">
        <v>26</v>
      </c>
      <c r="S1221" t="s">
        <v>26</v>
      </c>
      <c r="T1221" t="s">
        <v>26</v>
      </c>
      <c r="U1221" t="s">
        <v>26</v>
      </c>
      <c r="V1221" t="s">
        <v>26</v>
      </c>
      <c r="W1221" s="24">
        <v>37622</v>
      </c>
      <c r="X1221" s="24">
        <v>37622</v>
      </c>
      <c r="Y1221" t="s">
        <v>26</v>
      </c>
      <c r="Z1221" s="24">
        <v>37622</v>
      </c>
      <c r="AA1221" s="24">
        <v>37622</v>
      </c>
      <c r="AB1221" t="s">
        <v>26</v>
      </c>
      <c r="AC1221" s="24">
        <v>37622</v>
      </c>
      <c r="AD1221" s="24">
        <v>37622</v>
      </c>
      <c r="AE1221" t="s">
        <v>26</v>
      </c>
      <c r="AF1221" t="s">
        <v>26</v>
      </c>
      <c r="AG1221" t="s">
        <v>26</v>
      </c>
      <c r="AH1221" t="s">
        <v>26</v>
      </c>
      <c r="AI1221" t="s">
        <v>26</v>
      </c>
      <c r="AJ1221" t="s">
        <v>26</v>
      </c>
      <c r="AK1221" t="s">
        <v>26</v>
      </c>
      <c r="AL1221" t="s">
        <v>26</v>
      </c>
      <c r="AM1221" t="s">
        <v>26</v>
      </c>
      <c r="AN1221" t="s">
        <v>26</v>
      </c>
      <c r="AO1221" s="25" t="s">
        <v>28</v>
      </c>
      <c r="AP1221" s="23" t="s">
        <v>29</v>
      </c>
      <c r="AQ1221" s="23" t="s">
        <v>30</v>
      </c>
      <c r="AR1221" s="23" t="s">
        <v>46</v>
      </c>
      <c r="AS1221" s="25">
        <v>6059487</v>
      </c>
      <c r="AT1221" t="s">
        <v>26</v>
      </c>
      <c r="AU1221" t="s">
        <v>23824</v>
      </c>
    </row>
    <row r="1222" spans="1:47" ht="26.25" x14ac:dyDescent="0.4">
      <c r="A1222" s="23" t="s">
        <v>3025</v>
      </c>
      <c r="B1222" t="s">
        <v>26</v>
      </c>
      <c r="C1222" s="23" t="s">
        <v>1113</v>
      </c>
      <c r="D1222" s="23" t="s">
        <v>22666</v>
      </c>
      <c r="E1222" s="23" t="s">
        <v>42</v>
      </c>
      <c r="F1222" t="s">
        <v>26</v>
      </c>
      <c r="G1222" t="s">
        <v>26</v>
      </c>
      <c r="H1222" t="s">
        <v>26</v>
      </c>
      <c r="I1222" t="s">
        <v>26</v>
      </c>
      <c r="J1222" t="s">
        <v>26</v>
      </c>
      <c r="K1222" t="s">
        <v>26</v>
      </c>
      <c r="L1222" s="25" t="s">
        <v>28</v>
      </c>
      <c r="M1222" t="s">
        <v>26</v>
      </c>
      <c r="N1222" t="s">
        <v>26</v>
      </c>
      <c r="O1222" t="s">
        <v>26</v>
      </c>
      <c r="P1222" t="s">
        <v>26</v>
      </c>
      <c r="Q1222" t="s">
        <v>26</v>
      </c>
      <c r="R1222" t="s">
        <v>26</v>
      </c>
      <c r="S1222" t="s">
        <v>26</v>
      </c>
      <c r="T1222" t="s">
        <v>26</v>
      </c>
      <c r="U1222" t="s">
        <v>26</v>
      </c>
      <c r="V1222" t="s">
        <v>26</v>
      </c>
      <c r="W1222" s="25" t="s">
        <v>295</v>
      </c>
      <c r="X1222" s="25" t="s">
        <v>295</v>
      </c>
      <c r="Y1222" t="s">
        <v>26</v>
      </c>
      <c r="Z1222" s="25" t="s">
        <v>295</v>
      </c>
      <c r="AA1222" s="25" t="s">
        <v>295</v>
      </c>
      <c r="AB1222" t="s">
        <v>26</v>
      </c>
      <c r="AC1222" t="s">
        <v>26</v>
      </c>
      <c r="AD1222" t="s">
        <v>26</v>
      </c>
      <c r="AE1222" t="s">
        <v>26</v>
      </c>
      <c r="AF1222" t="s">
        <v>26</v>
      </c>
      <c r="AG1222" t="s">
        <v>26</v>
      </c>
      <c r="AH1222" t="s">
        <v>26</v>
      </c>
      <c r="AI1222" t="s">
        <v>26</v>
      </c>
      <c r="AJ1222" t="s">
        <v>26</v>
      </c>
      <c r="AK1222" t="s">
        <v>26</v>
      </c>
      <c r="AL1222" t="s">
        <v>26</v>
      </c>
      <c r="AM1222" t="s">
        <v>26</v>
      </c>
      <c r="AN1222" t="s">
        <v>26</v>
      </c>
      <c r="AO1222" s="25" t="s">
        <v>28</v>
      </c>
      <c r="AP1222" s="23" t="s">
        <v>29</v>
      </c>
      <c r="AQ1222" s="23" t="s">
        <v>30</v>
      </c>
      <c r="AR1222" s="23" t="s">
        <v>44</v>
      </c>
      <c r="AS1222" s="25">
        <v>5483638</v>
      </c>
      <c r="AT1222" s="23" t="s">
        <v>22181</v>
      </c>
      <c r="AU1222" t="s">
        <v>23825</v>
      </c>
    </row>
    <row r="1223" spans="1:47" ht="26.25" x14ac:dyDescent="0.4">
      <c r="A1223" s="23" t="s">
        <v>3026</v>
      </c>
      <c r="B1223" t="s">
        <v>26</v>
      </c>
      <c r="C1223" s="23" t="s">
        <v>146</v>
      </c>
      <c r="D1223" s="23" t="s">
        <v>22174</v>
      </c>
      <c r="E1223" s="23" t="s">
        <v>60</v>
      </c>
      <c r="F1223" t="s">
        <v>26</v>
      </c>
      <c r="G1223" t="s">
        <v>26</v>
      </c>
      <c r="H1223" t="s">
        <v>26</v>
      </c>
      <c r="I1223" t="s">
        <v>26</v>
      </c>
      <c r="J1223" t="s">
        <v>26</v>
      </c>
      <c r="K1223" t="s">
        <v>26</v>
      </c>
      <c r="L1223" s="25" t="s">
        <v>28</v>
      </c>
      <c r="M1223" t="s">
        <v>26</v>
      </c>
      <c r="N1223" t="s">
        <v>26</v>
      </c>
      <c r="O1223" t="s">
        <v>26</v>
      </c>
      <c r="P1223" t="s">
        <v>26</v>
      </c>
      <c r="Q1223" t="s">
        <v>26</v>
      </c>
      <c r="R1223" t="s">
        <v>26</v>
      </c>
      <c r="S1223" t="s">
        <v>26</v>
      </c>
      <c r="T1223" t="s">
        <v>26</v>
      </c>
      <c r="U1223" t="s">
        <v>26</v>
      </c>
      <c r="V1223" t="s">
        <v>26</v>
      </c>
      <c r="W1223" s="24">
        <v>42005</v>
      </c>
      <c r="X1223" s="24">
        <v>42005</v>
      </c>
      <c r="Y1223" t="s">
        <v>26</v>
      </c>
      <c r="Z1223" s="24">
        <v>42005</v>
      </c>
      <c r="AA1223" s="24">
        <v>42005</v>
      </c>
      <c r="AB1223" t="s">
        <v>26</v>
      </c>
      <c r="AC1223" t="s">
        <v>26</v>
      </c>
      <c r="AD1223" t="s">
        <v>26</v>
      </c>
      <c r="AE1223" t="s">
        <v>26</v>
      </c>
      <c r="AF1223" t="s">
        <v>26</v>
      </c>
      <c r="AG1223" t="s">
        <v>26</v>
      </c>
      <c r="AH1223" t="s">
        <v>26</v>
      </c>
      <c r="AI1223" t="s">
        <v>26</v>
      </c>
      <c r="AJ1223" t="s">
        <v>26</v>
      </c>
      <c r="AK1223" t="s">
        <v>26</v>
      </c>
      <c r="AL1223" t="s">
        <v>26</v>
      </c>
      <c r="AM1223" t="s">
        <v>26</v>
      </c>
      <c r="AN1223" t="s">
        <v>26</v>
      </c>
      <c r="AO1223" s="25" t="s">
        <v>28</v>
      </c>
      <c r="AP1223" s="23" t="s">
        <v>29</v>
      </c>
      <c r="AQ1223" s="23" t="s">
        <v>30</v>
      </c>
      <c r="AR1223" s="23" t="s">
        <v>245</v>
      </c>
      <c r="AS1223" s="25">
        <v>5483611</v>
      </c>
      <c r="AT1223" s="23" t="s">
        <v>22181</v>
      </c>
      <c r="AU1223" t="s">
        <v>23826</v>
      </c>
    </row>
    <row r="1224" spans="1:47" ht="13.15" x14ac:dyDescent="0.4">
      <c r="A1224" s="23" t="s">
        <v>3027</v>
      </c>
      <c r="B1224" t="s">
        <v>26</v>
      </c>
      <c r="C1224" s="23" t="s">
        <v>146</v>
      </c>
      <c r="D1224" s="23" t="s">
        <v>22174</v>
      </c>
      <c r="E1224" s="23" t="s">
        <v>60</v>
      </c>
      <c r="F1224" t="s">
        <v>26</v>
      </c>
      <c r="G1224" t="s">
        <v>26</v>
      </c>
      <c r="H1224" t="s">
        <v>26</v>
      </c>
      <c r="I1224" t="s">
        <v>26</v>
      </c>
      <c r="J1224" t="s">
        <v>26</v>
      </c>
      <c r="K1224" t="s">
        <v>26</v>
      </c>
      <c r="L1224" s="25" t="s">
        <v>28</v>
      </c>
      <c r="M1224" t="s">
        <v>26</v>
      </c>
      <c r="N1224" t="s">
        <v>26</v>
      </c>
      <c r="O1224" t="s">
        <v>26</v>
      </c>
      <c r="P1224" t="s">
        <v>26</v>
      </c>
      <c r="Q1224" t="s">
        <v>26</v>
      </c>
      <c r="R1224" t="s">
        <v>26</v>
      </c>
      <c r="S1224" t="s">
        <v>26</v>
      </c>
      <c r="T1224" t="s">
        <v>26</v>
      </c>
      <c r="U1224" t="s">
        <v>26</v>
      </c>
      <c r="V1224" t="s">
        <v>26</v>
      </c>
      <c r="W1224" s="24">
        <v>42370</v>
      </c>
      <c r="X1224" s="24">
        <v>42370</v>
      </c>
      <c r="Y1224" t="s">
        <v>26</v>
      </c>
      <c r="Z1224" s="24">
        <v>42370</v>
      </c>
      <c r="AA1224" s="24">
        <v>42370</v>
      </c>
      <c r="AB1224" t="s">
        <v>26</v>
      </c>
      <c r="AC1224" t="s">
        <v>26</v>
      </c>
      <c r="AD1224" t="s">
        <v>26</v>
      </c>
      <c r="AE1224" t="s">
        <v>26</v>
      </c>
      <c r="AF1224" t="s">
        <v>26</v>
      </c>
      <c r="AG1224" t="s">
        <v>26</v>
      </c>
      <c r="AH1224" t="s">
        <v>26</v>
      </c>
      <c r="AI1224" t="s">
        <v>26</v>
      </c>
      <c r="AJ1224" t="s">
        <v>26</v>
      </c>
      <c r="AK1224" t="s">
        <v>26</v>
      </c>
      <c r="AL1224" t="s">
        <v>26</v>
      </c>
      <c r="AM1224" t="s">
        <v>26</v>
      </c>
      <c r="AN1224" t="s">
        <v>26</v>
      </c>
      <c r="AO1224" s="25" t="s">
        <v>28</v>
      </c>
      <c r="AP1224" s="23" t="s">
        <v>29</v>
      </c>
      <c r="AQ1224" s="23" t="s">
        <v>30</v>
      </c>
      <c r="AR1224" s="23" t="s">
        <v>245</v>
      </c>
      <c r="AS1224" s="25">
        <v>5483592</v>
      </c>
      <c r="AT1224" s="23" t="s">
        <v>22181</v>
      </c>
      <c r="AU1224" t="s">
        <v>23827</v>
      </c>
    </row>
    <row r="1225" spans="1:47" ht="26.25" x14ac:dyDescent="0.4">
      <c r="A1225" s="23" t="s">
        <v>3028</v>
      </c>
      <c r="B1225" t="s">
        <v>26</v>
      </c>
      <c r="C1225" t="s">
        <v>26</v>
      </c>
      <c r="D1225" s="23" t="s">
        <v>22231</v>
      </c>
      <c r="E1225" t="s">
        <v>26</v>
      </c>
      <c r="F1225" t="s">
        <v>26</v>
      </c>
      <c r="G1225" t="s">
        <v>26</v>
      </c>
      <c r="H1225" t="s">
        <v>26</v>
      </c>
      <c r="I1225" t="s">
        <v>26</v>
      </c>
      <c r="J1225" t="s">
        <v>26</v>
      </c>
      <c r="K1225" t="s">
        <v>26</v>
      </c>
      <c r="L1225" s="25" t="s">
        <v>28</v>
      </c>
      <c r="M1225" t="s">
        <v>26</v>
      </c>
      <c r="N1225" t="s">
        <v>26</v>
      </c>
      <c r="O1225" t="s">
        <v>26</v>
      </c>
      <c r="P1225" t="s">
        <v>26</v>
      </c>
      <c r="Q1225" t="s">
        <v>26</v>
      </c>
      <c r="R1225" t="s">
        <v>26</v>
      </c>
      <c r="S1225" t="s">
        <v>26</v>
      </c>
      <c r="T1225" t="s">
        <v>26</v>
      </c>
      <c r="U1225" t="s">
        <v>26</v>
      </c>
      <c r="V1225" t="s">
        <v>26</v>
      </c>
      <c r="W1225" s="24">
        <v>24108</v>
      </c>
      <c r="X1225" s="24">
        <v>24108</v>
      </c>
      <c r="Y1225" t="s">
        <v>26</v>
      </c>
      <c r="Z1225" s="24">
        <v>24108</v>
      </c>
      <c r="AA1225" s="24">
        <v>24108</v>
      </c>
      <c r="AB1225" t="s">
        <v>26</v>
      </c>
      <c r="AC1225" t="s">
        <v>26</v>
      </c>
      <c r="AD1225" t="s">
        <v>26</v>
      </c>
      <c r="AE1225" t="s">
        <v>26</v>
      </c>
      <c r="AF1225" t="s">
        <v>26</v>
      </c>
      <c r="AG1225" t="s">
        <v>26</v>
      </c>
      <c r="AH1225" t="s">
        <v>26</v>
      </c>
      <c r="AI1225" t="s">
        <v>26</v>
      </c>
      <c r="AJ1225" t="s">
        <v>26</v>
      </c>
      <c r="AK1225" t="s">
        <v>26</v>
      </c>
      <c r="AL1225" t="s">
        <v>26</v>
      </c>
      <c r="AM1225" t="s">
        <v>26</v>
      </c>
      <c r="AN1225" t="s">
        <v>26</v>
      </c>
      <c r="AO1225" s="25" t="s">
        <v>28</v>
      </c>
      <c r="AP1225" s="23" t="s">
        <v>29</v>
      </c>
      <c r="AQ1225" s="23" t="s">
        <v>30</v>
      </c>
      <c r="AR1225" s="23" t="s">
        <v>44</v>
      </c>
      <c r="AS1225" s="25">
        <v>5483637</v>
      </c>
      <c r="AT1225" s="23" t="s">
        <v>22181</v>
      </c>
      <c r="AU1225" t="s">
        <v>23828</v>
      </c>
    </row>
    <row r="1226" spans="1:47" ht="26.25" x14ac:dyDescent="0.4">
      <c r="A1226" s="23" t="s">
        <v>3029</v>
      </c>
      <c r="B1226" t="s">
        <v>26</v>
      </c>
      <c r="C1226" s="23" t="s">
        <v>552</v>
      </c>
      <c r="D1226" s="23" t="s">
        <v>22231</v>
      </c>
      <c r="E1226" s="23" t="s">
        <v>42</v>
      </c>
      <c r="F1226" t="s">
        <v>26</v>
      </c>
      <c r="G1226" t="s">
        <v>26</v>
      </c>
      <c r="H1226" t="s">
        <v>26</v>
      </c>
      <c r="I1226" s="24">
        <v>39814</v>
      </c>
      <c r="J1226" s="24">
        <v>39814</v>
      </c>
      <c r="K1226" t="s">
        <v>26</v>
      </c>
      <c r="L1226" s="25" t="s">
        <v>28</v>
      </c>
      <c r="M1226" s="24">
        <v>39814</v>
      </c>
      <c r="N1226" s="24">
        <v>39814</v>
      </c>
      <c r="O1226" t="s">
        <v>26</v>
      </c>
      <c r="P1226" t="s">
        <v>26</v>
      </c>
      <c r="Q1226" t="s">
        <v>26</v>
      </c>
      <c r="R1226" t="s">
        <v>26</v>
      </c>
      <c r="S1226" t="s">
        <v>26</v>
      </c>
      <c r="T1226" t="s">
        <v>26</v>
      </c>
      <c r="U1226" t="s">
        <v>26</v>
      </c>
      <c r="V1226" t="s">
        <v>26</v>
      </c>
      <c r="W1226" s="24">
        <v>39814</v>
      </c>
      <c r="X1226" s="24">
        <v>39814</v>
      </c>
      <c r="Y1226" t="s">
        <v>26</v>
      </c>
      <c r="Z1226" s="24">
        <v>39814</v>
      </c>
      <c r="AA1226" s="24">
        <v>39814</v>
      </c>
      <c r="AB1226" t="s">
        <v>26</v>
      </c>
      <c r="AC1226" s="24">
        <v>39814</v>
      </c>
      <c r="AD1226" s="24">
        <v>39814</v>
      </c>
      <c r="AE1226" t="s">
        <v>26</v>
      </c>
      <c r="AF1226" t="s">
        <v>26</v>
      </c>
      <c r="AG1226" t="s">
        <v>26</v>
      </c>
      <c r="AH1226" t="s">
        <v>26</v>
      </c>
      <c r="AI1226" t="s">
        <v>26</v>
      </c>
      <c r="AJ1226" t="s">
        <v>26</v>
      </c>
      <c r="AK1226" t="s">
        <v>26</v>
      </c>
      <c r="AL1226" t="s">
        <v>26</v>
      </c>
      <c r="AM1226" t="s">
        <v>26</v>
      </c>
      <c r="AN1226" t="s">
        <v>26</v>
      </c>
      <c r="AO1226" s="25" t="s">
        <v>28</v>
      </c>
      <c r="AP1226" s="23" t="s">
        <v>29</v>
      </c>
      <c r="AQ1226" s="23" t="s">
        <v>30</v>
      </c>
      <c r="AR1226" s="23" t="s">
        <v>46</v>
      </c>
      <c r="AS1226" s="25">
        <v>6059485</v>
      </c>
      <c r="AT1226" t="s">
        <v>26</v>
      </c>
      <c r="AU1226" t="s">
        <v>23829</v>
      </c>
    </row>
    <row r="1227" spans="1:47" ht="26.25" x14ac:dyDescent="0.4">
      <c r="A1227" s="23" t="s">
        <v>3030</v>
      </c>
      <c r="B1227" t="s">
        <v>26</v>
      </c>
      <c r="C1227" s="23" t="s">
        <v>146</v>
      </c>
      <c r="D1227" s="23" t="s">
        <v>22174</v>
      </c>
      <c r="E1227" s="23" t="s">
        <v>60</v>
      </c>
      <c r="F1227" t="s">
        <v>26</v>
      </c>
      <c r="G1227" t="s">
        <v>26</v>
      </c>
      <c r="H1227" t="s">
        <v>26</v>
      </c>
      <c r="I1227" s="24">
        <v>36892</v>
      </c>
      <c r="J1227" s="24">
        <v>36892</v>
      </c>
      <c r="K1227" t="s">
        <v>26</v>
      </c>
      <c r="L1227" s="25" t="s">
        <v>28</v>
      </c>
      <c r="M1227" s="24">
        <v>36892</v>
      </c>
      <c r="N1227" s="24">
        <v>36892</v>
      </c>
      <c r="O1227" t="s">
        <v>26</v>
      </c>
      <c r="P1227" t="s">
        <v>26</v>
      </c>
      <c r="Q1227" t="s">
        <v>26</v>
      </c>
      <c r="R1227" t="s">
        <v>26</v>
      </c>
      <c r="S1227" t="s">
        <v>26</v>
      </c>
      <c r="T1227" t="s">
        <v>26</v>
      </c>
      <c r="U1227" t="s">
        <v>26</v>
      </c>
      <c r="V1227" t="s">
        <v>26</v>
      </c>
      <c r="W1227" s="24">
        <v>36892</v>
      </c>
      <c r="X1227" s="24">
        <v>36892</v>
      </c>
      <c r="Y1227" t="s">
        <v>26</v>
      </c>
      <c r="Z1227" s="24">
        <v>36892</v>
      </c>
      <c r="AA1227" s="24">
        <v>36892</v>
      </c>
      <c r="AB1227" t="s">
        <v>26</v>
      </c>
      <c r="AC1227" s="24">
        <v>36892</v>
      </c>
      <c r="AD1227" s="24">
        <v>36892</v>
      </c>
      <c r="AE1227" t="s">
        <v>26</v>
      </c>
      <c r="AF1227" t="s">
        <v>26</v>
      </c>
      <c r="AG1227" t="s">
        <v>26</v>
      </c>
      <c r="AH1227" t="s">
        <v>26</v>
      </c>
      <c r="AI1227" t="s">
        <v>26</v>
      </c>
      <c r="AJ1227" t="s">
        <v>26</v>
      </c>
      <c r="AK1227" t="s">
        <v>26</v>
      </c>
      <c r="AL1227" t="s">
        <v>26</v>
      </c>
      <c r="AM1227" t="s">
        <v>26</v>
      </c>
      <c r="AN1227" t="s">
        <v>26</v>
      </c>
      <c r="AO1227" s="25" t="s">
        <v>28</v>
      </c>
      <c r="AP1227" s="23" t="s">
        <v>29</v>
      </c>
      <c r="AQ1227" s="23" t="s">
        <v>30</v>
      </c>
      <c r="AR1227" s="23" t="s">
        <v>46</v>
      </c>
      <c r="AS1227" s="25">
        <v>6059486</v>
      </c>
      <c r="AT1227" t="s">
        <v>26</v>
      </c>
      <c r="AU1227" t="s">
        <v>23830</v>
      </c>
    </row>
    <row r="1228" spans="1:47" ht="26.25" x14ac:dyDescent="0.4">
      <c r="A1228" s="23" t="s">
        <v>3031</v>
      </c>
      <c r="B1228" t="s">
        <v>26</v>
      </c>
      <c r="C1228" s="23" t="s">
        <v>23831</v>
      </c>
      <c r="D1228" t="s">
        <v>26</v>
      </c>
      <c r="E1228" s="23" t="s">
        <v>60</v>
      </c>
      <c r="F1228" t="s">
        <v>26</v>
      </c>
      <c r="G1228" t="s">
        <v>26</v>
      </c>
      <c r="H1228" t="s">
        <v>26</v>
      </c>
      <c r="I1228" s="24">
        <v>37987</v>
      </c>
      <c r="J1228" s="24">
        <v>38718</v>
      </c>
      <c r="K1228" t="s">
        <v>26</v>
      </c>
      <c r="L1228" s="25" t="s">
        <v>28</v>
      </c>
      <c r="M1228" s="24">
        <v>37987</v>
      </c>
      <c r="N1228" s="24">
        <v>38718</v>
      </c>
      <c r="O1228" t="s">
        <v>26</v>
      </c>
      <c r="P1228" t="s">
        <v>26</v>
      </c>
      <c r="Q1228" t="s">
        <v>26</v>
      </c>
      <c r="R1228" t="s">
        <v>26</v>
      </c>
      <c r="S1228" s="24">
        <v>37987</v>
      </c>
      <c r="T1228" s="24">
        <v>38718</v>
      </c>
      <c r="U1228" t="s">
        <v>26</v>
      </c>
      <c r="V1228" t="s">
        <v>26</v>
      </c>
      <c r="W1228" s="24">
        <v>37987</v>
      </c>
      <c r="X1228" s="24">
        <v>38718</v>
      </c>
      <c r="Y1228" t="s">
        <v>26</v>
      </c>
      <c r="Z1228" s="24">
        <v>37987</v>
      </c>
      <c r="AA1228" s="24">
        <v>38718</v>
      </c>
      <c r="AB1228" t="s">
        <v>26</v>
      </c>
      <c r="AC1228" s="24">
        <v>37987</v>
      </c>
      <c r="AD1228" s="24">
        <v>38718</v>
      </c>
      <c r="AE1228" t="s">
        <v>26</v>
      </c>
      <c r="AF1228" s="24">
        <v>37987</v>
      </c>
      <c r="AG1228" s="24">
        <v>38718</v>
      </c>
      <c r="AH1228" t="s">
        <v>26</v>
      </c>
      <c r="AI1228" s="24">
        <v>37987</v>
      </c>
      <c r="AJ1228" s="24">
        <v>38718</v>
      </c>
      <c r="AK1228" t="s">
        <v>26</v>
      </c>
      <c r="AL1228" t="s">
        <v>26</v>
      </c>
      <c r="AM1228" t="s">
        <v>26</v>
      </c>
      <c r="AN1228" t="s">
        <v>26</v>
      </c>
      <c r="AO1228" s="25" t="s">
        <v>28</v>
      </c>
      <c r="AP1228" s="23" t="s">
        <v>43</v>
      </c>
      <c r="AQ1228" s="23" t="s">
        <v>30</v>
      </c>
      <c r="AR1228" s="23" t="s">
        <v>44</v>
      </c>
      <c r="AS1228" s="25">
        <v>5263183</v>
      </c>
      <c r="AT1228" t="s">
        <v>26</v>
      </c>
      <c r="AU1228" t="s">
        <v>23832</v>
      </c>
    </row>
    <row r="1229" spans="1:47" ht="26.25" x14ac:dyDescent="0.4">
      <c r="A1229" s="23" t="s">
        <v>3032</v>
      </c>
      <c r="B1229" t="s">
        <v>26</v>
      </c>
      <c r="C1229" s="23" t="s">
        <v>513</v>
      </c>
      <c r="D1229" s="23" t="s">
        <v>23833</v>
      </c>
      <c r="E1229" s="23" t="s">
        <v>42</v>
      </c>
      <c r="F1229" t="s">
        <v>26</v>
      </c>
      <c r="G1229" s="25" t="s">
        <v>3033</v>
      </c>
      <c r="H1229" t="s">
        <v>26</v>
      </c>
      <c r="I1229" s="24">
        <v>41426</v>
      </c>
      <c r="J1229" s="25" t="s">
        <v>77</v>
      </c>
      <c r="K1229" t="s">
        <v>26</v>
      </c>
      <c r="L1229" s="25" t="s">
        <v>68</v>
      </c>
      <c r="M1229" s="24">
        <v>41426</v>
      </c>
      <c r="N1229" s="25" t="s">
        <v>77</v>
      </c>
      <c r="O1229" t="s">
        <v>26</v>
      </c>
      <c r="P1229" s="24">
        <v>41426</v>
      </c>
      <c r="Q1229" s="25" t="s">
        <v>77</v>
      </c>
      <c r="R1229" t="s">
        <v>26</v>
      </c>
      <c r="S1229" t="s">
        <v>26</v>
      </c>
      <c r="T1229" t="s">
        <v>26</v>
      </c>
      <c r="U1229" t="s">
        <v>26</v>
      </c>
      <c r="V1229" t="s">
        <v>26</v>
      </c>
      <c r="W1229" s="24">
        <v>41426</v>
      </c>
      <c r="X1229" s="25" t="s">
        <v>77</v>
      </c>
      <c r="Y1229" t="s">
        <v>26</v>
      </c>
      <c r="Z1229" s="24">
        <v>41426</v>
      </c>
      <c r="AA1229" s="25" t="s">
        <v>77</v>
      </c>
      <c r="AB1229" t="s">
        <v>26</v>
      </c>
      <c r="AC1229" s="24">
        <v>41426</v>
      </c>
      <c r="AD1229" s="25" t="s">
        <v>77</v>
      </c>
      <c r="AE1229" t="s">
        <v>26</v>
      </c>
      <c r="AF1229" t="s">
        <v>26</v>
      </c>
      <c r="AG1229" t="s">
        <v>26</v>
      </c>
      <c r="AH1229" t="s">
        <v>26</v>
      </c>
      <c r="AI1229" t="s">
        <v>26</v>
      </c>
      <c r="AJ1229" t="s">
        <v>26</v>
      </c>
      <c r="AK1229" t="s">
        <v>26</v>
      </c>
      <c r="AL1229" t="s">
        <v>26</v>
      </c>
      <c r="AM1229" t="s">
        <v>26</v>
      </c>
      <c r="AN1229" t="s">
        <v>26</v>
      </c>
      <c r="AO1229" s="25" t="s">
        <v>28</v>
      </c>
      <c r="AP1229" s="23" t="s">
        <v>69</v>
      </c>
      <c r="AQ1229" s="23" t="s">
        <v>30</v>
      </c>
      <c r="AR1229" s="23" t="s">
        <v>23834</v>
      </c>
      <c r="AS1229" s="25">
        <v>4931649</v>
      </c>
      <c r="AT1229" t="s">
        <v>26</v>
      </c>
      <c r="AU1229" t="s">
        <v>23835</v>
      </c>
    </row>
    <row r="1230" spans="1:47" ht="26.25" x14ac:dyDescent="0.4">
      <c r="A1230" s="23" t="s">
        <v>3034</v>
      </c>
      <c r="B1230" t="s">
        <v>26</v>
      </c>
      <c r="C1230" t="s">
        <v>26</v>
      </c>
      <c r="D1230" s="23" t="s">
        <v>22231</v>
      </c>
      <c r="E1230" t="s">
        <v>26</v>
      </c>
      <c r="F1230" t="s">
        <v>26</v>
      </c>
      <c r="G1230" t="s">
        <v>26</v>
      </c>
      <c r="H1230" t="s">
        <v>26</v>
      </c>
      <c r="I1230" s="24">
        <v>38353</v>
      </c>
      <c r="J1230" s="24">
        <v>38353</v>
      </c>
      <c r="K1230" t="s">
        <v>26</v>
      </c>
      <c r="L1230" s="25" t="s">
        <v>28</v>
      </c>
      <c r="M1230" s="24">
        <v>38353</v>
      </c>
      <c r="N1230" s="24">
        <v>38353</v>
      </c>
      <c r="O1230" t="s">
        <v>26</v>
      </c>
      <c r="P1230" t="s">
        <v>26</v>
      </c>
      <c r="Q1230" t="s">
        <v>26</v>
      </c>
      <c r="R1230" t="s">
        <v>26</v>
      </c>
      <c r="S1230" t="s">
        <v>26</v>
      </c>
      <c r="T1230" t="s">
        <v>26</v>
      </c>
      <c r="U1230" t="s">
        <v>26</v>
      </c>
      <c r="V1230" t="s">
        <v>26</v>
      </c>
      <c r="W1230" s="24">
        <v>38353</v>
      </c>
      <c r="X1230" s="24">
        <v>38353</v>
      </c>
      <c r="Y1230" t="s">
        <v>26</v>
      </c>
      <c r="Z1230" s="24">
        <v>38353</v>
      </c>
      <c r="AA1230" s="24">
        <v>38353</v>
      </c>
      <c r="AB1230" t="s">
        <v>26</v>
      </c>
      <c r="AC1230" s="24">
        <v>38353</v>
      </c>
      <c r="AD1230" s="24">
        <v>38353</v>
      </c>
      <c r="AE1230" t="s">
        <v>26</v>
      </c>
      <c r="AF1230" t="s">
        <v>26</v>
      </c>
      <c r="AG1230" t="s">
        <v>26</v>
      </c>
      <c r="AH1230" t="s">
        <v>26</v>
      </c>
      <c r="AI1230" t="s">
        <v>26</v>
      </c>
      <c r="AJ1230" t="s">
        <v>26</v>
      </c>
      <c r="AK1230" t="s">
        <v>26</v>
      </c>
      <c r="AL1230" t="s">
        <v>26</v>
      </c>
      <c r="AM1230" t="s">
        <v>26</v>
      </c>
      <c r="AN1230" t="s">
        <v>26</v>
      </c>
      <c r="AO1230" s="25" t="s">
        <v>28</v>
      </c>
      <c r="AP1230" s="23" t="s">
        <v>29</v>
      </c>
      <c r="AQ1230" s="23" t="s">
        <v>30</v>
      </c>
      <c r="AR1230" s="23" t="s">
        <v>46</v>
      </c>
      <c r="AS1230" s="25">
        <v>6059484</v>
      </c>
      <c r="AT1230" t="s">
        <v>26</v>
      </c>
      <c r="AU1230" t="s">
        <v>23836</v>
      </c>
    </row>
    <row r="1231" spans="1:47" ht="26.25" x14ac:dyDescent="0.4">
      <c r="A1231" s="23" t="s">
        <v>3035</v>
      </c>
      <c r="B1231" t="s">
        <v>26</v>
      </c>
      <c r="C1231" s="23" t="s">
        <v>146</v>
      </c>
      <c r="D1231" s="23" t="s">
        <v>22174</v>
      </c>
      <c r="E1231" s="23" t="s">
        <v>60</v>
      </c>
      <c r="F1231" t="s">
        <v>26</v>
      </c>
      <c r="G1231" t="s">
        <v>26</v>
      </c>
      <c r="H1231" t="s">
        <v>26</v>
      </c>
      <c r="I1231" t="s">
        <v>26</v>
      </c>
      <c r="J1231" t="s">
        <v>26</v>
      </c>
      <c r="K1231" t="s">
        <v>26</v>
      </c>
      <c r="L1231" s="25" t="s">
        <v>28</v>
      </c>
      <c r="M1231" t="s">
        <v>26</v>
      </c>
      <c r="N1231" t="s">
        <v>26</v>
      </c>
      <c r="O1231" t="s">
        <v>26</v>
      </c>
      <c r="P1231" t="s">
        <v>26</v>
      </c>
      <c r="Q1231" t="s">
        <v>26</v>
      </c>
      <c r="R1231" t="s">
        <v>26</v>
      </c>
      <c r="S1231" t="s">
        <v>26</v>
      </c>
      <c r="T1231" t="s">
        <v>26</v>
      </c>
      <c r="U1231" t="s">
        <v>26</v>
      </c>
      <c r="V1231" t="s">
        <v>26</v>
      </c>
      <c r="W1231" s="24">
        <v>42005</v>
      </c>
      <c r="X1231" s="24">
        <v>42005</v>
      </c>
      <c r="Y1231" t="s">
        <v>26</v>
      </c>
      <c r="Z1231" s="24">
        <v>42005</v>
      </c>
      <c r="AA1231" s="24">
        <v>42005</v>
      </c>
      <c r="AB1231" t="s">
        <v>26</v>
      </c>
      <c r="AC1231" t="s">
        <v>26</v>
      </c>
      <c r="AD1231" t="s">
        <v>26</v>
      </c>
      <c r="AE1231" t="s">
        <v>26</v>
      </c>
      <c r="AF1231" t="s">
        <v>26</v>
      </c>
      <c r="AG1231" t="s">
        <v>26</v>
      </c>
      <c r="AH1231" t="s">
        <v>26</v>
      </c>
      <c r="AI1231" t="s">
        <v>26</v>
      </c>
      <c r="AJ1231" t="s">
        <v>26</v>
      </c>
      <c r="AK1231" t="s">
        <v>26</v>
      </c>
      <c r="AL1231" t="s">
        <v>26</v>
      </c>
      <c r="AM1231" t="s">
        <v>26</v>
      </c>
      <c r="AN1231" t="s">
        <v>26</v>
      </c>
      <c r="AO1231" s="25" t="s">
        <v>28</v>
      </c>
      <c r="AP1231" s="23" t="s">
        <v>29</v>
      </c>
      <c r="AQ1231" s="23" t="s">
        <v>30</v>
      </c>
      <c r="AR1231" s="23" t="s">
        <v>245</v>
      </c>
      <c r="AS1231" s="25">
        <v>5483612</v>
      </c>
      <c r="AT1231" s="23" t="s">
        <v>22181</v>
      </c>
      <c r="AU1231" t="s">
        <v>23837</v>
      </c>
    </row>
    <row r="1232" spans="1:47" ht="26.25" x14ac:dyDescent="0.4">
      <c r="A1232" s="23" t="s">
        <v>3036</v>
      </c>
      <c r="B1232" t="s">
        <v>26</v>
      </c>
      <c r="C1232" s="23" t="s">
        <v>3037</v>
      </c>
      <c r="D1232" s="23" t="s">
        <v>23838</v>
      </c>
      <c r="E1232" s="23" t="s">
        <v>574</v>
      </c>
      <c r="F1232" s="25" t="s">
        <v>3038</v>
      </c>
      <c r="G1232" s="25" t="s">
        <v>3039</v>
      </c>
      <c r="H1232" t="s">
        <v>26</v>
      </c>
      <c r="I1232" s="24">
        <v>40969</v>
      </c>
      <c r="J1232" s="25" t="s">
        <v>77</v>
      </c>
      <c r="K1232" t="s">
        <v>26</v>
      </c>
      <c r="L1232" s="25" t="s">
        <v>68</v>
      </c>
      <c r="M1232" s="24">
        <v>40969</v>
      </c>
      <c r="N1232" s="25" t="s">
        <v>77</v>
      </c>
      <c r="O1232" t="s">
        <v>26</v>
      </c>
      <c r="P1232" s="24">
        <v>40969</v>
      </c>
      <c r="Q1232" s="25" t="s">
        <v>77</v>
      </c>
      <c r="R1232" t="s">
        <v>26</v>
      </c>
      <c r="S1232" t="s">
        <v>26</v>
      </c>
      <c r="T1232" t="s">
        <v>26</v>
      </c>
      <c r="U1232" t="s">
        <v>26</v>
      </c>
      <c r="V1232" t="s">
        <v>26</v>
      </c>
      <c r="W1232" s="24">
        <v>40969</v>
      </c>
      <c r="X1232" s="25" t="s">
        <v>77</v>
      </c>
      <c r="Y1232" t="s">
        <v>26</v>
      </c>
      <c r="Z1232" s="24">
        <v>40969</v>
      </c>
      <c r="AA1232" s="25" t="s">
        <v>77</v>
      </c>
      <c r="AB1232" t="s">
        <v>26</v>
      </c>
      <c r="AC1232" s="24">
        <v>40969</v>
      </c>
      <c r="AD1232" s="25" t="s">
        <v>77</v>
      </c>
      <c r="AE1232" t="s">
        <v>26</v>
      </c>
      <c r="AF1232" t="s">
        <v>26</v>
      </c>
      <c r="AG1232" t="s">
        <v>26</v>
      </c>
      <c r="AH1232" t="s">
        <v>26</v>
      </c>
      <c r="AI1232" t="s">
        <v>26</v>
      </c>
      <c r="AJ1232" t="s">
        <v>26</v>
      </c>
      <c r="AK1232" t="s">
        <v>26</v>
      </c>
      <c r="AL1232" t="s">
        <v>26</v>
      </c>
      <c r="AM1232" t="s">
        <v>26</v>
      </c>
      <c r="AN1232" t="s">
        <v>26</v>
      </c>
      <c r="AO1232" s="25" t="s">
        <v>68</v>
      </c>
      <c r="AP1232" s="23" t="s">
        <v>69</v>
      </c>
      <c r="AQ1232" s="23" t="s">
        <v>30</v>
      </c>
      <c r="AR1232" s="23" t="s">
        <v>46</v>
      </c>
      <c r="AS1232" s="25">
        <v>2032133</v>
      </c>
      <c r="AT1232" t="s">
        <v>26</v>
      </c>
      <c r="AU1232" t="s">
        <v>23839</v>
      </c>
    </row>
    <row r="1233" spans="1:47" ht="26.25" x14ac:dyDescent="0.4">
      <c r="A1233" s="23" t="s">
        <v>3040</v>
      </c>
      <c r="B1233" t="s">
        <v>26</v>
      </c>
      <c r="C1233" s="23" t="s">
        <v>3041</v>
      </c>
      <c r="D1233" s="23" t="s">
        <v>23840</v>
      </c>
      <c r="E1233" s="23" t="s">
        <v>574</v>
      </c>
      <c r="F1233" s="25" t="s">
        <v>3042</v>
      </c>
      <c r="G1233" s="25" t="s">
        <v>3043</v>
      </c>
      <c r="H1233" t="s">
        <v>26</v>
      </c>
      <c r="I1233" s="24">
        <v>39814</v>
      </c>
      <c r="J1233" s="24">
        <v>43952</v>
      </c>
      <c r="K1233" t="s">
        <v>26</v>
      </c>
      <c r="L1233" s="25" t="s">
        <v>68</v>
      </c>
      <c r="M1233" s="24">
        <v>39814</v>
      </c>
      <c r="N1233" s="24">
        <v>43952</v>
      </c>
      <c r="O1233" t="s">
        <v>26</v>
      </c>
      <c r="P1233" s="24">
        <v>39814</v>
      </c>
      <c r="Q1233" s="24">
        <v>43952</v>
      </c>
      <c r="R1233" t="s">
        <v>26</v>
      </c>
      <c r="S1233" t="s">
        <v>26</v>
      </c>
      <c r="T1233" t="s">
        <v>26</v>
      </c>
      <c r="U1233" t="s">
        <v>26</v>
      </c>
      <c r="V1233" t="s">
        <v>26</v>
      </c>
      <c r="W1233" s="24">
        <v>39814</v>
      </c>
      <c r="X1233" s="25" t="s">
        <v>77</v>
      </c>
      <c r="Y1233" t="s">
        <v>26</v>
      </c>
      <c r="Z1233" s="24">
        <v>39814</v>
      </c>
      <c r="AA1233" s="25" t="s">
        <v>77</v>
      </c>
      <c r="AB1233" t="s">
        <v>26</v>
      </c>
      <c r="AC1233" s="24">
        <v>39814</v>
      </c>
      <c r="AD1233" s="25" t="s">
        <v>77</v>
      </c>
      <c r="AE1233" t="s">
        <v>26</v>
      </c>
      <c r="AF1233" t="s">
        <v>26</v>
      </c>
      <c r="AG1233" t="s">
        <v>26</v>
      </c>
      <c r="AH1233" t="s">
        <v>26</v>
      </c>
      <c r="AI1233" t="s">
        <v>26</v>
      </c>
      <c r="AJ1233" t="s">
        <v>26</v>
      </c>
      <c r="AK1233" t="s">
        <v>26</v>
      </c>
      <c r="AL1233" t="s">
        <v>26</v>
      </c>
      <c r="AM1233" t="s">
        <v>26</v>
      </c>
      <c r="AN1233" t="s">
        <v>26</v>
      </c>
      <c r="AO1233" s="25" t="s">
        <v>68</v>
      </c>
      <c r="AP1233" s="23" t="s">
        <v>69</v>
      </c>
      <c r="AQ1233" s="23" t="s">
        <v>30</v>
      </c>
      <c r="AR1233" s="23" t="s">
        <v>70</v>
      </c>
      <c r="AS1233" s="25">
        <v>226501</v>
      </c>
      <c r="AT1233" t="s">
        <v>26</v>
      </c>
      <c r="AU1233" t="s">
        <v>23841</v>
      </c>
    </row>
    <row r="1234" spans="1:47" ht="26.25" x14ac:dyDescent="0.4">
      <c r="A1234" s="23" t="s">
        <v>3044</v>
      </c>
      <c r="B1234" t="s">
        <v>26</v>
      </c>
      <c r="C1234" s="23" t="s">
        <v>2404</v>
      </c>
      <c r="D1234" s="23" t="s">
        <v>23395</v>
      </c>
      <c r="E1234" t="s">
        <v>26</v>
      </c>
      <c r="F1234" s="25" t="s">
        <v>3045</v>
      </c>
      <c r="G1234" s="25" t="s">
        <v>3046</v>
      </c>
      <c r="H1234" t="s">
        <v>26</v>
      </c>
      <c r="I1234" s="24">
        <v>42186</v>
      </c>
      <c r="J1234" s="25" t="s">
        <v>77</v>
      </c>
      <c r="K1234" t="s">
        <v>26</v>
      </c>
      <c r="L1234" s="25" t="s">
        <v>68</v>
      </c>
      <c r="M1234" s="24">
        <v>42186</v>
      </c>
      <c r="N1234" s="24">
        <v>43831</v>
      </c>
      <c r="O1234" t="s">
        <v>26</v>
      </c>
      <c r="P1234" s="24">
        <v>42186</v>
      </c>
      <c r="Q1234" s="24">
        <v>43831</v>
      </c>
      <c r="R1234" t="s">
        <v>26</v>
      </c>
      <c r="S1234" s="24">
        <v>43922</v>
      </c>
      <c r="T1234" s="25" t="s">
        <v>77</v>
      </c>
      <c r="U1234" t="s">
        <v>26</v>
      </c>
      <c r="V1234" t="s">
        <v>26</v>
      </c>
      <c r="W1234" s="24">
        <v>42186</v>
      </c>
      <c r="X1234" s="25" t="s">
        <v>77</v>
      </c>
      <c r="Y1234" t="s">
        <v>26</v>
      </c>
      <c r="Z1234" s="24">
        <v>42186</v>
      </c>
      <c r="AA1234" s="25" t="s">
        <v>77</v>
      </c>
      <c r="AB1234" t="s">
        <v>26</v>
      </c>
      <c r="AC1234" s="24">
        <v>42186</v>
      </c>
      <c r="AD1234" s="25" t="s">
        <v>77</v>
      </c>
      <c r="AE1234" t="s">
        <v>26</v>
      </c>
      <c r="AF1234" t="s">
        <v>26</v>
      </c>
      <c r="AG1234" t="s">
        <v>26</v>
      </c>
      <c r="AH1234" t="s">
        <v>26</v>
      </c>
      <c r="AI1234" t="s">
        <v>26</v>
      </c>
      <c r="AJ1234" t="s">
        <v>26</v>
      </c>
      <c r="AK1234" t="s">
        <v>26</v>
      </c>
      <c r="AL1234" t="s">
        <v>26</v>
      </c>
      <c r="AM1234" t="s">
        <v>26</v>
      </c>
      <c r="AN1234" t="s">
        <v>26</v>
      </c>
      <c r="AO1234" s="25" t="s">
        <v>68</v>
      </c>
      <c r="AP1234" s="23" t="s">
        <v>69</v>
      </c>
      <c r="AQ1234" s="23" t="s">
        <v>30</v>
      </c>
      <c r="AR1234" s="23" t="s">
        <v>70</v>
      </c>
      <c r="AS1234" s="25">
        <v>2042879</v>
      </c>
      <c r="AT1234" t="s">
        <v>26</v>
      </c>
      <c r="AU1234" t="s">
        <v>23842</v>
      </c>
    </row>
    <row r="1235" spans="1:47" ht="26.25" x14ac:dyDescent="0.4">
      <c r="A1235" s="23" t="s">
        <v>3047</v>
      </c>
      <c r="B1235" t="s">
        <v>26</v>
      </c>
      <c r="C1235" s="23" t="s">
        <v>146</v>
      </c>
      <c r="D1235" s="23" t="s">
        <v>22174</v>
      </c>
      <c r="E1235" s="23" t="s">
        <v>60</v>
      </c>
      <c r="F1235" t="s">
        <v>26</v>
      </c>
      <c r="G1235" t="s">
        <v>26</v>
      </c>
      <c r="H1235" t="s">
        <v>26</v>
      </c>
      <c r="I1235" s="24">
        <v>42005</v>
      </c>
      <c r="J1235" s="24">
        <v>42005</v>
      </c>
      <c r="K1235" t="s">
        <v>26</v>
      </c>
      <c r="L1235" s="25" t="s">
        <v>28</v>
      </c>
      <c r="M1235" t="s">
        <v>26</v>
      </c>
      <c r="N1235" t="s">
        <v>26</v>
      </c>
      <c r="O1235" t="s">
        <v>26</v>
      </c>
      <c r="P1235" s="24">
        <v>42005</v>
      </c>
      <c r="Q1235" s="24">
        <v>42005</v>
      </c>
      <c r="R1235" t="s">
        <v>26</v>
      </c>
      <c r="S1235" t="s">
        <v>26</v>
      </c>
      <c r="T1235" t="s">
        <v>26</v>
      </c>
      <c r="U1235" t="s">
        <v>26</v>
      </c>
      <c r="V1235" t="s">
        <v>26</v>
      </c>
      <c r="W1235" s="24">
        <v>42005</v>
      </c>
      <c r="X1235" s="24">
        <v>42005</v>
      </c>
      <c r="Y1235" t="s">
        <v>26</v>
      </c>
      <c r="Z1235" s="24">
        <v>42005</v>
      </c>
      <c r="AA1235" s="24">
        <v>42005</v>
      </c>
      <c r="AB1235" t="s">
        <v>26</v>
      </c>
      <c r="AC1235" s="24">
        <v>42005</v>
      </c>
      <c r="AD1235" s="24">
        <v>42005</v>
      </c>
      <c r="AE1235" t="s">
        <v>26</v>
      </c>
      <c r="AF1235" t="s">
        <v>26</v>
      </c>
      <c r="AG1235" t="s">
        <v>26</v>
      </c>
      <c r="AH1235" t="s">
        <v>26</v>
      </c>
      <c r="AI1235" t="s">
        <v>26</v>
      </c>
      <c r="AJ1235" t="s">
        <v>26</v>
      </c>
      <c r="AK1235" t="s">
        <v>26</v>
      </c>
      <c r="AL1235" t="s">
        <v>26</v>
      </c>
      <c r="AM1235" t="s">
        <v>26</v>
      </c>
      <c r="AN1235" t="s">
        <v>26</v>
      </c>
      <c r="AO1235" s="25" t="s">
        <v>28</v>
      </c>
      <c r="AP1235" s="23" t="s">
        <v>29</v>
      </c>
      <c r="AQ1235" s="23" t="s">
        <v>30</v>
      </c>
      <c r="AR1235" s="23" t="s">
        <v>46</v>
      </c>
      <c r="AS1235" s="25">
        <v>6394507</v>
      </c>
      <c r="AT1235" t="s">
        <v>26</v>
      </c>
      <c r="AU1235" t="s">
        <v>23843</v>
      </c>
    </row>
    <row r="1236" spans="1:47" ht="26.25" x14ac:dyDescent="0.4">
      <c r="A1236" s="23" t="s">
        <v>3048</v>
      </c>
      <c r="B1236" t="s">
        <v>26</v>
      </c>
      <c r="C1236" s="23" t="s">
        <v>80</v>
      </c>
      <c r="D1236" s="23" t="s">
        <v>23844</v>
      </c>
      <c r="E1236" s="23" t="s">
        <v>3049</v>
      </c>
      <c r="F1236" s="25" t="s">
        <v>3050</v>
      </c>
      <c r="G1236" s="25" t="s">
        <v>3051</v>
      </c>
      <c r="H1236" t="s">
        <v>26</v>
      </c>
      <c r="I1236" s="24">
        <v>40299</v>
      </c>
      <c r="J1236" s="25" t="s">
        <v>77</v>
      </c>
      <c r="K1236" t="s">
        <v>26</v>
      </c>
      <c r="L1236" s="25" t="s">
        <v>68</v>
      </c>
      <c r="M1236" s="24">
        <v>40299</v>
      </c>
      <c r="N1236" s="25" t="s">
        <v>77</v>
      </c>
      <c r="O1236" t="s">
        <v>26</v>
      </c>
      <c r="P1236" s="24">
        <v>40299</v>
      </c>
      <c r="Q1236" s="25" t="s">
        <v>77</v>
      </c>
      <c r="R1236" t="s">
        <v>26</v>
      </c>
      <c r="S1236" t="s">
        <v>26</v>
      </c>
      <c r="T1236" t="s">
        <v>26</v>
      </c>
      <c r="U1236" t="s">
        <v>26</v>
      </c>
      <c r="V1236" t="s">
        <v>26</v>
      </c>
      <c r="W1236" s="24">
        <v>40299</v>
      </c>
      <c r="X1236" s="25" t="s">
        <v>77</v>
      </c>
      <c r="Y1236" t="s">
        <v>26</v>
      </c>
      <c r="Z1236" s="24">
        <v>40299</v>
      </c>
      <c r="AA1236" s="25" t="s">
        <v>77</v>
      </c>
      <c r="AB1236" t="s">
        <v>26</v>
      </c>
      <c r="AC1236" s="24">
        <v>42917</v>
      </c>
      <c r="AD1236" s="25" t="s">
        <v>77</v>
      </c>
      <c r="AE1236" t="s">
        <v>26</v>
      </c>
      <c r="AF1236" t="s">
        <v>26</v>
      </c>
      <c r="AG1236" t="s">
        <v>26</v>
      </c>
      <c r="AH1236" t="s">
        <v>26</v>
      </c>
      <c r="AI1236" t="s">
        <v>26</v>
      </c>
      <c r="AJ1236" t="s">
        <v>26</v>
      </c>
      <c r="AK1236" t="s">
        <v>26</v>
      </c>
      <c r="AL1236" t="s">
        <v>26</v>
      </c>
      <c r="AM1236" t="s">
        <v>26</v>
      </c>
      <c r="AN1236" t="s">
        <v>26</v>
      </c>
      <c r="AO1236" s="25" t="s">
        <v>68</v>
      </c>
      <c r="AP1236" s="23" t="s">
        <v>69</v>
      </c>
      <c r="AQ1236" s="23" t="s">
        <v>30</v>
      </c>
      <c r="AR1236" s="23" t="s">
        <v>46</v>
      </c>
      <c r="AS1236" s="25">
        <v>636323</v>
      </c>
      <c r="AT1236" t="s">
        <v>26</v>
      </c>
      <c r="AU1236" t="s">
        <v>23845</v>
      </c>
    </row>
    <row r="1237" spans="1:47" ht="91.9" x14ac:dyDescent="0.4">
      <c r="A1237" s="23" t="s">
        <v>3052</v>
      </c>
      <c r="B1237" t="s">
        <v>26</v>
      </c>
      <c r="C1237" s="23" t="s">
        <v>2404</v>
      </c>
      <c r="D1237" s="23" t="s">
        <v>23395</v>
      </c>
      <c r="E1237" t="s">
        <v>26</v>
      </c>
      <c r="F1237" s="25" t="s">
        <v>3053</v>
      </c>
      <c r="G1237" s="25" t="s">
        <v>3054</v>
      </c>
      <c r="H1237" t="s">
        <v>26</v>
      </c>
      <c r="I1237" s="24">
        <v>39448</v>
      </c>
      <c r="J1237" s="25" t="s">
        <v>77</v>
      </c>
      <c r="K1237" t="s">
        <v>26</v>
      </c>
      <c r="L1237" s="25" t="s">
        <v>68</v>
      </c>
      <c r="M1237" s="24">
        <v>39448</v>
      </c>
      <c r="N1237" s="24">
        <v>43466</v>
      </c>
      <c r="O1237" t="s">
        <v>26</v>
      </c>
      <c r="P1237" s="24">
        <v>39448</v>
      </c>
      <c r="Q1237" s="24">
        <v>43466</v>
      </c>
      <c r="R1237" t="s">
        <v>26</v>
      </c>
      <c r="S1237" s="24">
        <v>43647</v>
      </c>
      <c r="T1237" s="25" t="s">
        <v>77</v>
      </c>
      <c r="U1237" t="s">
        <v>26</v>
      </c>
      <c r="V1237" t="s">
        <v>26</v>
      </c>
      <c r="W1237" s="24">
        <v>39448</v>
      </c>
      <c r="X1237" s="25" t="s">
        <v>77</v>
      </c>
      <c r="Y1237" t="s">
        <v>26</v>
      </c>
      <c r="Z1237" s="24">
        <v>39448</v>
      </c>
      <c r="AA1237" s="25" t="s">
        <v>77</v>
      </c>
      <c r="AB1237" t="s">
        <v>26</v>
      </c>
      <c r="AC1237" s="24">
        <v>39448</v>
      </c>
      <c r="AD1237" s="25" t="s">
        <v>77</v>
      </c>
      <c r="AE1237" t="s">
        <v>26</v>
      </c>
      <c r="AF1237" t="s">
        <v>26</v>
      </c>
      <c r="AG1237" t="s">
        <v>26</v>
      </c>
      <c r="AH1237" t="s">
        <v>26</v>
      </c>
      <c r="AI1237" t="s">
        <v>26</v>
      </c>
      <c r="AJ1237" t="s">
        <v>26</v>
      </c>
      <c r="AK1237" t="s">
        <v>26</v>
      </c>
      <c r="AL1237" t="s">
        <v>26</v>
      </c>
      <c r="AM1237" t="s">
        <v>26</v>
      </c>
      <c r="AN1237" t="s">
        <v>26</v>
      </c>
      <c r="AO1237" s="25" t="s">
        <v>68</v>
      </c>
      <c r="AP1237" s="23" t="s">
        <v>69</v>
      </c>
      <c r="AQ1237" s="23" t="s">
        <v>30</v>
      </c>
      <c r="AR1237" s="23" t="s">
        <v>70</v>
      </c>
      <c r="AS1237" s="25">
        <v>226500</v>
      </c>
      <c r="AT1237" s="23" t="s">
        <v>23846</v>
      </c>
      <c r="AU1237" t="s">
        <v>23847</v>
      </c>
    </row>
    <row r="1238" spans="1:47" ht="26.25" x14ac:dyDescent="0.4">
      <c r="A1238" s="23" t="s">
        <v>3055</v>
      </c>
      <c r="B1238" t="s">
        <v>26</v>
      </c>
      <c r="C1238" s="23" t="s">
        <v>264</v>
      </c>
      <c r="D1238" s="23" t="s">
        <v>23848</v>
      </c>
      <c r="E1238" s="23" t="s">
        <v>60</v>
      </c>
      <c r="F1238" s="25" t="s">
        <v>3056</v>
      </c>
      <c r="G1238" s="25" t="s">
        <v>3057</v>
      </c>
      <c r="H1238" t="s">
        <v>26</v>
      </c>
      <c r="I1238" s="24">
        <v>33826</v>
      </c>
      <c r="J1238" s="25" t="s">
        <v>77</v>
      </c>
      <c r="K1238" t="s">
        <v>26</v>
      </c>
      <c r="L1238" s="25" t="s">
        <v>68</v>
      </c>
      <c r="M1238" s="24">
        <v>33826</v>
      </c>
      <c r="N1238" s="25" t="s">
        <v>77</v>
      </c>
      <c r="O1238" t="s">
        <v>26</v>
      </c>
      <c r="P1238" s="24">
        <v>36996</v>
      </c>
      <c r="Q1238" s="25" t="s">
        <v>77</v>
      </c>
      <c r="R1238" t="s">
        <v>26</v>
      </c>
      <c r="S1238" t="s">
        <v>26</v>
      </c>
      <c r="T1238" t="s">
        <v>26</v>
      </c>
      <c r="U1238" t="s">
        <v>26</v>
      </c>
      <c r="V1238" s="25">
        <v>365</v>
      </c>
      <c r="W1238" s="24">
        <v>28491</v>
      </c>
      <c r="X1238" s="25" t="s">
        <v>77</v>
      </c>
      <c r="Y1238" s="25" t="s">
        <v>3058</v>
      </c>
      <c r="Z1238" s="24">
        <v>28491</v>
      </c>
      <c r="AA1238" s="25" t="s">
        <v>77</v>
      </c>
      <c r="AB1238" s="25" t="s">
        <v>3058</v>
      </c>
      <c r="AC1238" s="24">
        <v>28491</v>
      </c>
      <c r="AD1238" s="25" t="s">
        <v>77</v>
      </c>
      <c r="AE1238" s="25" t="s">
        <v>3058</v>
      </c>
      <c r="AF1238" t="s">
        <v>26</v>
      </c>
      <c r="AG1238" t="s">
        <v>26</v>
      </c>
      <c r="AH1238" t="s">
        <v>26</v>
      </c>
      <c r="AI1238" t="s">
        <v>26</v>
      </c>
      <c r="AJ1238" t="s">
        <v>26</v>
      </c>
      <c r="AK1238" t="s">
        <v>26</v>
      </c>
      <c r="AL1238" t="s">
        <v>26</v>
      </c>
      <c r="AM1238" t="s">
        <v>26</v>
      </c>
      <c r="AN1238" t="s">
        <v>26</v>
      </c>
      <c r="AO1238" s="25" t="s">
        <v>68</v>
      </c>
      <c r="AP1238" s="23" t="s">
        <v>69</v>
      </c>
      <c r="AQ1238" s="23" t="s">
        <v>30</v>
      </c>
      <c r="AR1238" s="23" t="s">
        <v>2966</v>
      </c>
      <c r="AS1238" s="25">
        <v>35317</v>
      </c>
      <c r="AT1238" t="s">
        <v>26</v>
      </c>
      <c r="AU1238" t="s">
        <v>23849</v>
      </c>
    </row>
    <row r="1239" spans="1:47" ht="26.25" x14ac:dyDescent="0.4">
      <c r="A1239" s="23" t="s">
        <v>3059</v>
      </c>
      <c r="B1239" t="s">
        <v>26</v>
      </c>
      <c r="C1239" s="23" t="s">
        <v>167</v>
      </c>
      <c r="D1239" s="23" t="s">
        <v>23850</v>
      </c>
      <c r="E1239" s="23" t="s">
        <v>60</v>
      </c>
      <c r="F1239" s="25" t="s">
        <v>3060</v>
      </c>
      <c r="G1239" s="25" t="s">
        <v>3061</v>
      </c>
      <c r="H1239" t="s">
        <v>26</v>
      </c>
      <c r="I1239" s="24">
        <v>42064</v>
      </c>
      <c r="J1239" s="25" t="s">
        <v>77</v>
      </c>
      <c r="K1239" t="s">
        <v>26</v>
      </c>
      <c r="L1239" s="25" t="s">
        <v>68</v>
      </c>
      <c r="M1239" s="24">
        <v>42064</v>
      </c>
      <c r="N1239" s="25" t="s">
        <v>77</v>
      </c>
      <c r="O1239" t="s">
        <v>26</v>
      </c>
      <c r="P1239" s="24">
        <v>42064</v>
      </c>
      <c r="Q1239" s="25" t="s">
        <v>77</v>
      </c>
      <c r="R1239" t="s">
        <v>26</v>
      </c>
      <c r="S1239" t="s">
        <v>26</v>
      </c>
      <c r="T1239" t="s">
        <v>26</v>
      </c>
      <c r="U1239" t="s">
        <v>26</v>
      </c>
      <c r="V1239" s="25">
        <v>365</v>
      </c>
      <c r="W1239" s="24">
        <v>39508</v>
      </c>
      <c r="X1239" s="25" t="s">
        <v>77</v>
      </c>
      <c r="Y1239" t="s">
        <v>26</v>
      </c>
      <c r="Z1239" s="24">
        <v>39508</v>
      </c>
      <c r="AA1239" s="25" t="s">
        <v>77</v>
      </c>
      <c r="AB1239" t="s">
        <v>26</v>
      </c>
      <c r="AC1239" s="24">
        <v>39508</v>
      </c>
      <c r="AD1239" s="25" t="s">
        <v>77</v>
      </c>
      <c r="AE1239" t="s">
        <v>26</v>
      </c>
      <c r="AF1239" t="s">
        <v>26</v>
      </c>
      <c r="AG1239" t="s">
        <v>26</v>
      </c>
      <c r="AH1239" t="s">
        <v>26</v>
      </c>
      <c r="AI1239" t="s">
        <v>26</v>
      </c>
      <c r="AJ1239" t="s">
        <v>26</v>
      </c>
      <c r="AK1239" t="s">
        <v>26</v>
      </c>
      <c r="AL1239" t="s">
        <v>26</v>
      </c>
      <c r="AM1239" t="s">
        <v>26</v>
      </c>
      <c r="AN1239" t="s">
        <v>26</v>
      </c>
      <c r="AO1239" s="25" t="s">
        <v>68</v>
      </c>
      <c r="AP1239" s="23" t="s">
        <v>69</v>
      </c>
      <c r="AQ1239" s="23" t="s">
        <v>30</v>
      </c>
      <c r="AR1239" s="23" t="s">
        <v>46</v>
      </c>
      <c r="AS1239" s="25">
        <v>996338</v>
      </c>
      <c r="AT1239" t="s">
        <v>26</v>
      </c>
      <c r="AU1239" t="s">
        <v>23851</v>
      </c>
    </row>
    <row r="1240" spans="1:47" ht="26.25" x14ac:dyDescent="0.4">
      <c r="A1240" s="23" t="s">
        <v>3062</v>
      </c>
      <c r="B1240" t="s">
        <v>26</v>
      </c>
      <c r="C1240" s="23" t="s">
        <v>320</v>
      </c>
      <c r="D1240" s="23" t="s">
        <v>23616</v>
      </c>
      <c r="E1240" s="23" t="s">
        <v>42</v>
      </c>
      <c r="F1240" s="25" t="s">
        <v>3063</v>
      </c>
      <c r="G1240" s="25" t="s">
        <v>3064</v>
      </c>
      <c r="H1240" t="s">
        <v>26</v>
      </c>
      <c r="I1240" t="s">
        <v>26</v>
      </c>
      <c r="J1240" t="s">
        <v>26</v>
      </c>
      <c r="K1240" t="s">
        <v>26</v>
      </c>
      <c r="L1240" s="25" t="s">
        <v>68</v>
      </c>
      <c r="M1240" t="s">
        <v>26</v>
      </c>
      <c r="N1240" t="s">
        <v>26</v>
      </c>
      <c r="O1240" t="s">
        <v>26</v>
      </c>
      <c r="P1240" t="s">
        <v>26</v>
      </c>
      <c r="Q1240" t="s">
        <v>26</v>
      </c>
      <c r="R1240" t="s">
        <v>26</v>
      </c>
      <c r="S1240" t="s">
        <v>26</v>
      </c>
      <c r="T1240" t="s">
        <v>26</v>
      </c>
      <c r="U1240" t="s">
        <v>26</v>
      </c>
      <c r="V1240" t="s">
        <v>26</v>
      </c>
      <c r="W1240" s="24">
        <v>37987</v>
      </c>
      <c r="X1240" s="25" t="s">
        <v>77</v>
      </c>
      <c r="Y1240" t="s">
        <v>26</v>
      </c>
      <c r="Z1240" s="24">
        <v>37987</v>
      </c>
      <c r="AA1240" s="25" t="s">
        <v>77</v>
      </c>
      <c r="AB1240" t="s">
        <v>26</v>
      </c>
      <c r="AC1240" s="24">
        <v>37987</v>
      </c>
      <c r="AD1240" s="25" t="s">
        <v>77</v>
      </c>
      <c r="AE1240" t="s">
        <v>26</v>
      </c>
      <c r="AF1240" t="s">
        <v>26</v>
      </c>
      <c r="AG1240" t="s">
        <v>26</v>
      </c>
      <c r="AH1240" t="s">
        <v>26</v>
      </c>
      <c r="AI1240" t="s">
        <v>26</v>
      </c>
      <c r="AJ1240" t="s">
        <v>26</v>
      </c>
      <c r="AK1240" t="s">
        <v>26</v>
      </c>
      <c r="AL1240" t="s">
        <v>26</v>
      </c>
      <c r="AM1240" t="s">
        <v>26</v>
      </c>
      <c r="AN1240" t="s">
        <v>26</v>
      </c>
      <c r="AO1240" s="25" t="s">
        <v>68</v>
      </c>
      <c r="AP1240" s="23" t="s">
        <v>69</v>
      </c>
      <c r="AQ1240" s="23" t="s">
        <v>30</v>
      </c>
      <c r="AR1240" s="23" t="s">
        <v>1247</v>
      </c>
      <c r="AS1240" s="25">
        <v>25330</v>
      </c>
      <c r="AT1240" t="s">
        <v>26</v>
      </c>
      <c r="AU1240" t="s">
        <v>23852</v>
      </c>
    </row>
    <row r="1241" spans="1:47" ht="26.25" x14ac:dyDescent="0.4">
      <c r="A1241" s="23" t="s">
        <v>3065</v>
      </c>
      <c r="B1241" t="s">
        <v>26</v>
      </c>
      <c r="C1241" s="23" t="s">
        <v>320</v>
      </c>
      <c r="D1241" s="23" t="s">
        <v>23853</v>
      </c>
      <c r="E1241" s="23" t="s">
        <v>42</v>
      </c>
      <c r="F1241" s="25" t="s">
        <v>3066</v>
      </c>
      <c r="G1241" s="25" t="s">
        <v>3067</v>
      </c>
      <c r="H1241" t="s">
        <v>26</v>
      </c>
      <c r="I1241" t="s">
        <v>26</v>
      </c>
      <c r="J1241" t="s">
        <v>26</v>
      </c>
      <c r="K1241" t="s">
        <v>26</v>
      </c>
      <c r="L1241" s="25" t="s">
        <v>68</v>
      </c>
      <c r="M1241" t="s">
        <v>26</v>
      </c>
      <c r="N1241" t="s">
        <v>26</v>
      </c>
      <c r="O1241" t="s">
        <v>26</v>
      </c>
      <c r="P1241" t="s">
        <v>26</v>
      </c>
      <c r="Q1241" t="s">
        <v>26</v>
      </c>
      <c r="R1241" t="s">
        <v>26</v>
      </c>
      <c r="S1241" t="s">
        <v>26</v>
      </c>
      <c r="T1241" t="s">
        <v>26</v>
      </c>
      <c r="U1241" t="s">
        <v>26</v>
      </c>
      <c r="V1241" t="s">
        <v>26</v>
      </c>
      <c r="W1241" s="24">
        <v>41214</v>
      </c>
      <c r="X1241" s="25" t="s">
        <v>77</v>
      </c>
      <c r="Y1241" t="s">
        <v>26</v>
      </c>
      <c r="Z1241" s="24">
        <v>41214</v>
      </c>
      <c r="AA1241" s="25" t="s">
        <v>77</v>
      </c>
      <c r="AB1241" t="s">
        <v>26</v>
      </c>
      <c r="AC1241" s="24">
        <v>41214</v>
      </c>
      <c r="AD1241" s="25" t="s">
        <v>77</v>
      </c>
      <c r="AE1241" t="s">
        <v>26</v>
      </c>
      <c r="AF1241" t="s">
        <v>26</v>
      </c>
      <c r="AG1241" t="s">
        <v>26</v>
      </c>
      <c r="AH1241" t="s">
        <v>26</v>
      </c>
      <c r="AI1241" t="s">
        <v>26</v>
      </c>
      <c r="AJ1241" t="s">
        <v>26</v>
      </c>
      <c r="AK1241" t="s">
        <v>26</v>
      </c>
      <c r="AL1241" t="s">
        <v>26</v>
      </c>
      <c r="AM1241" t="s">
        <v>26</v>
      </c>
      <c r="AN1241" t="s">
        <v>26</v>
      </c>
      <c r="AO1241" s="25" t="s">
        <v>68</v>
      </c>
      <c r="AP1241" s="23" t="s">
        <v>69</v>
      </c>
      <c r="AQ1241" s="23" t="s">
        <v>30</v>
      </c>
      <c r="AR1241" s="23" t="s">
        <v>3068</v>
      </c>
      <c r="AS1241" s="25">
        <v>996337</v>
      </c>
      <c r="AT1241" t="s">
        <v>26</v>
      </c>
      <c r="AU1241" t="s">
        <v>23854</v>
      </c>
    </row>
    <row r="1242" spans="1:47" ht="26.25" x14ac:dyDescent="0.4">
      <c r="A1242" s="23" t="s">
        <v>3069</v>
      </c>
      <c r="B1242" t="s">
        <v>26</v>
      </c>
      <c r="C1242" s="23" t="s">
        <v>320</v>
      </c>
      <c r="D1242" s="23" t="s">
        <v>22294</v>
      </c>
      <c r="E1242" s="23" t="s">
        <v>42</v>
      </c>
      <c r="F1242" s="25" t="s">
        <v>3070</v>
      </c>
      <c r="G1242" s="25" t="s">
        <v>3071</v>
      </c>
      <c r="H1242" t="s">
        <v>26</v>
      </c>
      <c r="I1242" t="s">
        <v>26</v>
      </c>
      <c r="J1242" t="s">
        <v>26</v>
      </c>
      <c r="K1242" t="s">
        <v>26</v>
      </c>
      <c r="L1242" s="25" t="s">
        <v>68</v>
      </c>
      <c r="M1242" t="s">
        <v>26</v>
      </c>
      <c r="N1242" t="s">
        <v>26</v>
      </c>
      <c r="O1242" t="s">
        <v>26</v>
      </c>
      <c r="P1242" t="s">
        <v>26</v>
      </c>
      <c r="Q1242" t="s">
        <v>26</v>
      </c>
      <c r="R1242" t="s">
        <v>26</v>
      </c>
      <c r="S1242" t="s">
        <v>26</v>
      </c>
      <c r="T1242" t="s">
        <v>26</v>
      </c>
      <c r="U1242" t="s">
        <v>26</v>
      </c>
      <c r="V1242" t="s">
        <v>26</v>
      </c>
      <c r="W1242" s="24">
        <v>38047</v>
      </c>
      <c r="X1242" s="24">
        <v>40360</v>
      </c>
      <c r="Y1242" t="s">
        <v>26</v>
      </c>
      <c r="Z1242" s="24">
        <v>38047</v>
      </c>
      <c r="AA1242" s="24">
        <v>40360</v>
      </c>
      <c r="AB1242" t="s">
        <v>26</v>
      </c>
      <c r="AC1242" s="24">
        <v>38047</v>
      </c>
      <c r="AD1242" s="24">
        <v>40360</v>
      </c>
      <c r="AE1242" t="s">
        <v>26</v>
      </c>
      <c r="AF1242" t="s">
        <v>26</v>
      </c>
      <c r="AG1242" t="s">
        <v>26</v>
      </c>
      <c r="AH1242" t="s">
        <v>26</v>
      </c>
      <c r="AI1242" t="s">
        <v>26</v>
      </c>
      <c r="AJ1242" t="s">
        <v>26</v>
      </c>
      <c r="AK1242" t="s">
        <v>26</v>
      </c>
      <c r="AL1242" t="s">
        <v>26</v>
      </c>
      <c r="AM1242" t="s">
        <v>26</v>
      </c>
      <c r="AN1242" t="s">
        <v>26</v>
      </c>
      <c r="AO1242" s="25" t="s">
        <v>68</v>
      </c>
      <c r="AP1242" s="23" t="s">
        <v>69</v>
      </c>
      <c r="AQ1242" s="23" t="s">
        <v>30</v>
      </c>
      <c r="AR1242" s="23" t="s">
        <v>1419</v>
      </c>
      <c r="AS1242" s="25">
        <v>46628</v>
      </c>
      <c r="AT1242" t="s">
        <v>26</v>
      </c>
      <c r="AU1242" t="s">
        <v>23855</v>
      </c>
    </row>
    <row r="1243" spans="1:47" ht="26.25" x14ac:dyDescent="0.4">
      <c r="A1243" s="23" t="s">
        <v>3072</v>
      </c>
      <c r="B1243" t="s">
        <v>26</v>
      </c>
      <c r="C1243" s="23" t="s">
        <v>320</v>
      </c>
      <c r="D1243" s="23" t="s">
        <v>22599</v>
      </c>
      <c r="E1243" s="23" t="s">
        <v>42</v>
      </c>
      <c r="F1243" t="s">
        <v>26</v>
      </c>
      <c r="G1243" s="25" t="s">
        <v>3071</v>
      </c>
      <c r="H1243" t="s">
        <v>26</v>
      </c>
      <c r="I1243" t="s">
        <v>26</v>
      </c>
      <c r="J1243" t="s">
        <v>26</v>
      </c>
      <c r="K1243" t="s">
        <v>26</v>
      </c>
      <c r="L1243" s="25" t="s">
        <v>68</v>
      </c>
      <c r="M1243" t="s">
        <v>26</v>
      </c>
      <c r="N1243" t="s">
        <v>26</v>
      </c>
      <c r="O1243" t="s">
        <v>26</v>
      </c>
      <c r="P1243" t="s">
        <v>26</v>
      </c>
      <c r="Q1243" t="s">
        <v>26</v>
      </c>
      <c r="R1243" t="s">
        <v>26</v>
      </c>
      <c r="S1243" t="s">
        <v>26</v>
      </c>
      <c r="T1243" t="s">
        <v>26</v>
      </c>
      <c r="U1243" t="s">
        <v>26</v>
      </c>
      <c r="V1243" t="s">
        <v>26</v>
      </c>
      <c r="W1243" s="24">
        <v>40422</v>
      </c>
      <c r="X1243" s="25" t="s">
        <v>77</v>
      </c>
      <c r="Y1243" t="s">
        <v>26</v>
      </c>
      <c r="Z1243" s="24">
        <v>40422</v>
      </c>
      <c r="AA1243" s="25" t="s">
        <v>77</v>
      </c>
      <c r="AB1243" t="s">
        <v>26</v>
      </c>
      <c r="AC1243" s="24">
        <v>40422</v>
      </c>
      <c r="AD1243" s="25" t="s">
        <v>77</v>
      </c>
      <c r="AE1243" t="s">
        <v>26</v>
      </c>
      <c r="AF1243" t="s">
        <v>26</v>
      </c>
      <c r="AG1243" t="s">
        <v>26</v>
      </c>
      <c r="AH1243" t="s">
        <v>26</v>
      </c>
      <c r="AI1243" t="s">
        <v>26</v>
      </c>
      <c r="AJ1243" t="s">
        <v>26</v>
      </c>
      <c r="AK1243" t="s">
        <v>26</v>
      </c>
      <c r="AL1243" t="s">
        <v>26</v>
      </c>
      <c r="AM1243" t="s">
        <v>26</v>
      </c>
      <c r="AN1243" t="s">
        <v>26</v>
      </c>
      <c r="AO1243" s="25" t="s">
        <v>68</v>
      </c>
      <c r="AP1243" s="23" t="s">
        <v>69</v>
      </c>
      <c r="AQ1243" s="23" t="s">
        <v>30</v>
      </c>
      <c r="AR1243" s="23" t="s">
        <v>1419</v>
      </c>
      <c r="AS1243" s="25">
        <v>2034145</v>
      </c>
      <c r="AT1243" t="s">
        <v>26</v>
      </c>
      <c r="AU1243" t="s">
        <v>23856</v>
      </c>
    </row>
    <row r="1244" spans="1:47" ht="26.25" x14ac:dyDescent="0.4">
      <c r="A1244" s="23" t="s">
        <v>3073</v>
      </c>
      <c r="B1244" t="s">
        <v>26</v>
      </c>
      <c r="C1244" t="s">
        <v>26</v>
      </c>
      <c r="D1244" t="s">
        <v>26</v>
      </c>
      <c r="E1244" t="s">
        <v>26</v>
      </c>
      <c r="F1244" t="s">
        <v>26</v>
      </c>
      <c r="G1244" t="s">
        <v>26</v>
      </c>
      <c r="H1244" t="s">
        <v>26</v>
      </c>
      <c r="I1244" s="24">
        <v>4750</v>
      </c>
      <c r="J1244" s="24">
        <v>4750</v>
      </c>
      <c r="K1244" t="s">
        <v>26</v>
      </c>
      <c r="L1244" s="25" t="s">
        <v>28</v>
      </c>
      <c r="M1244" s="24">
        <v>4750</v>
      </c>
      <c r="N1244" s="24">
        <v>4750</v>
      </c>
      <c r="O1244" t="s">
        <v>26</v>
      </c>
      <c r="P1244" t="s">
        <v>26</v>
      </c>
      <c r="Q1244" t="s">
        <v>26</v>
      </c>
      <c r="R1244" t="s">
        <v>26</v>
      </c>
      <c r="S1244" t="s">
        <v>26</v>
      </c>
      <c r="T1244" t="s">
        <v>26</v>
      </c>
      <c r="U1244" t="s">
        <v>26</v>
      </c>
      <c r="V1244" t="s">
        <v>26</v>
      </c>
      <c r="W1244" s="24">
        <v>4750</v>
      </c>
      <c r="X1244" s="24">
        <v>4750</v>
      </c>
      <c r="Y1244" t="s">
        <v>26</v>
      </c>
      <c r="Z1244" s="24">
        <v>4750</v>
      </c>
      <c r="AA1244" s="24">
        <v>4750</v>
      </c>
      <c r="AB1244" t="s">
        <v>26</v>
      </c>
      <c r="AC1244" s="24">
        <v>4750</v>
      </c>
      <c r="AD1244" s="24">
        <v>4750</v>
      </c>
      <c r="AE1244" t="s">
        <v>26</v>
      </c>
      <c r="AF1244" t="s">
        <v>26</v>
      </c>
      <c r="AG1244" t="s">
        <v>26</v>
      </c>
      <c r="AH1244" t="s">
        <v>26</v>
      </c>
      <c r="AI1244" t="s">
        <v>26</v>
      </c>
      <c r="AJ1244" t="s">
        <v>26</v>
      </c>
      <c r="AK1244" t="s">
        <v>26</v>
      </c>
      <c r="AL1244" t="s">
        <v>26</v>
      </c>
      <c r="AM1244" t="s">
        <v>26</v>
      </c>
      <c r="AN1244" t="s">
        <v>26</v>
      </c>
      <c r="AO1244" s="25" t="s">
        <v>28</v>
      </c>
      <c r="AP1244" s="23" t="s">
        <v>45</v>
      </c>
      <c r="AQ1244" s="23" t="s">
        <v>30</v>
      </c>
      <c r="AR1244" s="23" t="s">
        <v>46</v>
      </c>
      <c r="AS1244" s="25">
        <v>5983390</v>
      </c>
      <c r="AT1244" t="s">
        <v>26</v>
      </c>
      <c r="AU1244" t="s">
        <v>23857</v>
      </c>
    </row>
    <row r="1245" spans="1:47" ht="52.5" x14ac:dyDescent="0.4">
      <c r="A1245" s="23" t="s">
        <v>3074</v>
      </c>
      <c r="B1245" t="s">
        <v>26</v>
      </c>
      <c r="C1245" s="23" t="s">
        <v>3075</v>
      </c>
      <c r="D1245" s="23" t="s">
        <v>23858</v>
      </c>
      <c r="E1245" s="23" t="s">
        <v>335</v>
      </c>
      <c r="F1245" s="25" t="s">
        <v>3076</v>
      </c>
      <c r="G1245" t="s">
        <v>26</v>
      </c>
      <c r="H1245" t="s">
        <v>26</v>
      </c>
      <c r="I1245" t="s">
        <v>26</v>
      </c>
      <c r="J1245" t="s">
        <v>26</v>
      </c>
      <c r="K1245" t="s">
        <v>26</v>
      </c>
      <c r="L1245" s="25" t="s">
        <v>28</v>
      </c>
      <c r="M1245" t="s">
        <v>26</v>
      </c>
      <c r="N1245" t="s">
        <v>26</v>
      </c>
      <c r="O1245" t="s">
        <v>26</v>
      </c>
      <c r="P1245" t="s">
        <v>26</v>
      </c>
      <c r="Q1245" t="s">
        <v>26</v>
      </c>
      <c r="R1245" t="s">
        <v>26</v>
      </c>
      <c r="S1245" t="s">
        <v>26</v>
      </c>
      <c r="T1245" t="s">
        <v>26</v>
      </c>
      <c r="U1245" t="s">
        <v>26</v>
      </c>
      <c r="V1245" t="s">
        <v>26</v>
      </c>
      <c r="W1245" s="24">
        <v>33939</v>
      </c>
      <c r="X1245" s="24">
        <v>36770</v>
      </c>
      <c r="Y1245" t="s">
        <v>26</v>
      </c>
      <c r="Z1245" s="24">
        <v>33939</v>
      </c>
      <c r="AA1245" s="24">
        <v>36770</v>
      </c>
      <c r="AB1245" t="s">
        <v>26</v>
      </c>
      <c r="AC1245" t="s">
        <v>26</v>
      </c>
      <c r="AD1245" t="s">
        <v>26</v>
      </c>
      <c r="AE1245" t="s">
        <v>26</v>
      </c>
      <c r="AF1245" t="s">
        <v>26</v>
      </c>
      <c r="AG1245" t="s">
        <v>26</v>
      </c>
      <c r="AH1245" t="s">
        <v>26</v>
      </c>
      <c r="AI1245" t="s">
        <v>26</v>
      </c>
      <c r="AJ1245" t="s">
        <v>26</v>
      </c>
      <c r="AK1245" t="s">
        <v>26</v>
      </c>
      <c r="AL1245" t="s">
        <v>26</v>
      </c>
      <c r="AM1245" t="s">
        <v>26</v>
      </c>
      <c r="AN1245" t="s">
        <v>26</v>
      </c>
      <c r="AO1245" s="25" t="s">
        <v>28</v>
      </c>
      <c r="AP1245" s="23" t="s">
        <v>211</v>
      </c>
      <c r="AQ1245" s="23" t="s">
        <v>708</v>
      </c>
      <c r="AR1245" s="23" t="s">
        <v>46</v>
      </c>
      <c r="AS1245" s="25">
        <v>43190</v>
      </c>
      <c r="AT1245" t="s">
        <v>26</v>
      </c>
      <c r="AU1245" t="s">
        <v>23859</v>
      </c>
    </row>
    <row r="1246" spans="1:47" ht="26.25" x14ac:dyDescent="0.4">
      <c r="A1246" s="23" t="s">
        <v>3077</v>
      </c>
      <c r="B1246" t="s">
        <v>26</v>
      </c>
      <c r="C1246" s="23" t="s">
        <v>1968</v>
      </c>
      <c r="D1246" s="23" t="s">
        <v>23263</v>
      </c>
      <c r="E1246" s="23" t="s">
        <v>42</v>
      </c>
      <c r="F1246" s="25" t="s">
        <v>3078</v>
      </c>
      <c r="G1246" s="25" t="s">
        <v>3079</v>
      </c>
      <c r="H1246" t="s">
        <v>26</v>
      </c>
      <c r="I1246" s="24">
        <v>36220</v>
      </c>
      <c r="J1246" s="24">
        <v>40148</v>
      </c>
      <c r="K1246" t="s">
        <v>26</v>
      </c>
      <c r="L1246" s="25" t="s">
        <v>68</v>
      </c>
      <c r="M1246" s="24">
        <v>36220</v>
      </c>
      <c r="N1246" s="24">
        <v>40148</v>
      </c>
      <c r="O1246" s="25" t="s">
        <v>23860</v>
      </c>
      <c r="P1246" s="24">
        <v>36220</v>
      </c>
      <c r="Q1246" s="24">
        <v>40148</v>
      </c>
      <c r="R1246" t="s">
        <v>26</v>
      </c>
      <c r="S1246" t="s">
        <v>26</v>
      </c>
      <c r="T1246" t="s">
        <v>26</v>
      </c>
      <c r="U1246" t="s">
        <v>26</v>
      </c>
      <c r="V1246" t="s">
        <v>26</v>
      </c>
      <c r="W1246" s="24">
        <v>34029</v>
      </c>
      <c r="X1246" s="25" t="s">
        <v>77</v>
      </c>
      <c r="Y1246" s="25" t="s">
        <v>3080</v>
      </c>
      <c r="Z1246" s="24">
        <v>34029</v>
      </c>
      <c r="AA1246" s="25" t="s">
        <v>77</v>
      </c>
      <c r="AB1246" s="25" t="s">
        <v>3080</v>
      </c>
      <c r="AC1246" s="24">
        <v>34029</v>
      </c>
      <c r="AD1246" s="25" t="s">
        <v>77</v>
      </c>
      <c r="AE1246" s="25" t="s">
        <v>3080</v>
      </c>
      <c r="AF1246" t="s">
        <v>26</v>
      </c>
      <c r="AG1246" t="s">
        <v>26</v>
      </c>
      <c r="AH1246" t="s">
        <v>26</v>
      </c>
      <c r="AI1246" t="s">
        <v>26</v>
      </c>
      <c r="AJ1246" t="s">
        <v>26</v>
      </c>
      <c r="AK1246" t="s">
        <v>26</v>
      </c>
      <c r="AL1246" t="s">
        <v>26</v>
      </c>
      <c r="AM1246" t="s">
        <v>26</v>
      </c>
      <c r="AN1246" t="s">
        <v>26</v>
      </c>
      <c r="AO1246" s="25" t="s">
        <v>68</v>
      </c>
      <c r="AP1246" s="23" t="s">
        <v>69</v>
      </c>
      <c r="AQ1246" s="23" t="s">
        <v>30</v>
      </c>
      <c r="AR1246" s="23" t="s">
        <v>3081</v>
      </c>
      <c r="AS1246" s="25">
        <v>29794</v>
      </c>
      <c r="AT1246" t="s">
        <v>26</v>
      </c>
      <c r="AU1246" t="s">
        <v>23861</v>
      </c>
    </row>
    <row r="1247" spans="1:47" ht="39.4" x14ac:dyDescent="0.4">
      <c r="A1247" s="23" t="s">
        <v>3082</v>
      </c>
      <c r="B1247" t="s">
        <v>26</v>
      </c>
      <c r="C1247" s="23" t="s">
        <v>264</v>
      </c>
      <c r="D1247" s="23" t="s">
        <v>23862</v>
      </c>
      <c r="E1247" s="23" t="s">
        <v>60</v>
      </c>
      <c r="F1247" s="25" t="s">
        <v>3083</v>
      </c>
      <c r="G1247" s="25" t="s">
        <v>3084</v>
      </c>
      <c r="H1247" t="s">
        <v>26</v>
      </c>
      <c r="I1247" s="24">
        <v>34700</v>
      </c>
      <c r="J1247" s="25" t="s">
        <v>77</v>
      </c>
      <c r="K1247" t="s">
        <v>26</v>
      </c>
      <c r="L1247" s="25" t="s">
        <v>68</v>
      </c>
      <c r="M1247" s="24">
        <v>34700</v>
      </c>
      <c r="N1247" s="25" t="s">
        <v>77</v>
      </c>
      <c r="O1247" t="s">
        <v>26</v>
      </c>
      <c r="P1247" s="24">
        <v>36982</v>
      </c>
      <c r="Q1247" s="25" t="s">
        <v>77</v>
      </c>
      <c r="R1247" t="s">
        <v>26</v>
      </c>
      <c r="S1247" t="s">
        <v>26</v>
      </c>
      <c r="T1247" t="s">
        <v>26</v>
      </c>
      <c r="U1247" t="s">
        <v>26</v>
      </c>
      <c r="V1247" s="25">
        <v>365</v>
      </c>
      <c r="W1247" s="24">
        <v>30956</v>
      </c>
      <c r="X1247" s="25" t="s">
        <v>77</v>
      </c>
      <c r="Y1247" s="25" t="s">
        <v>3085</v>
      </c>
      <c r="Z1247" s="24">
        <v>30956</v>
      </c>
      <c r="AA1247" s="25" t="s">
        <v>77</v>
      </c>
      <c r="AB1247" s="25" t="s">
        <v>3085</v>
      </c>
      <c r="AC1247" s="24">
        <v>30956</v>
      </c>
      <c r="AD1247" s="25" t="s">
        <v>77</v>
      </c>
      <c r="AE1247" s="25" t="s">
        <v>3085</v>
      </c>
      <c r="AF1247" t="s">
        <v>26</v>
      </c>
      <c r="AG1247" t="s">
        <v>26</v>
      </c>
      <c r="AH1247" t="s">
        <v>26</v>
      </c>
      <c r="AI1247" t="s">
        <v>26</v>
      </c>
      <c r="AJ1247" t="s">
        <v>26</v>
      </c>
      <c r="AK1247" t="s">
        <v>26</v>
      </c>
      <c r="AL1247" t="s">
        <v>26</v>
      </c>
      <c r="AM1247" t="s">
        <v>26</v>
      </c>
      <c r="AN1247" t="s">
        <v>26</v>
      </c>
      <c r="AO1247" s="25" t="s">
        <v>68</v>
      </c>
      <c r="AP1247" s="23" t="s">
        <v>69</v>
      </c>
      <c r="AQ1247" s="23" t="s">
        <v>30</v>
      </c>
      <c r="AR1247" s="23" t="s">
        <v>3086</v>
      </c>
      <c r="AS1247" s="25">
        <v>3983</v>
      </c>
      <c r="AT1247" t="s">
        <v>26</v>
      </c>
      <c r="AU1247" t="s">
        <v>23863</v>
      </c>
    </row>
    <row r="1248" spans="1:47" ht="39.4" x14ac:dyDescent="0.4">
      <c r="A1248" s="23" t="s">
        <v>3087</v>
      </c>
      <c r="B1248" t="s">
        <v>26</v>
      </c>
      <c r="C1248" s="23" t="s">
        <v>3088</v>
      </c>
      <c r="D1248" s="23" t="s">
        <v>22283</v>
      </c>
      <c r="E1248" s="23" t="s">
        <v>155</v>
      </c>
      <c r="F1248" s="25" t="s">
        <v>3089</v>
      </c>
      <c r="G1248" s="25" t="s">
        <v>3090</v>
      </c>
      <c r="H1248" t="s">
        <v>26</v>
      </c>
      <c r="I1248" s="24">
        <v>37987</v>
      </c>
      <c r="J1248" s="25" t="s">
        <v>77</v>
      </c>
      <c r="K1248" s="25" t="s">
        <v>3091</v>
      </c>
      <c r="L1248" s="25" t="s">
        <v>68</v>
      </c>
      <c r="M1248" t="s">
        <v>26</v>
      </c>
      <c r="N1248" t="s">
        <v>26</v>
      </c>
      <c r="O1248" t="s">
        <v>26</v>
      </c>
      <c r="P1248" s="24">
        <v>37987</v>
      </c>
      <c r="Q1248" s="25" t="s">
        <v>77</v>
      </c>
      <c r="R1248" s="25" t="s">
        <v>3091</v>
      </c>
      <c r="S1248" t="s">
        <v>26</v>
      </c>
      <c r="T1248" t="s">
        <v>26</v>
      </c>
      <c r="U1248" t="s">
        <v>26</v>
      </c>
      <c r="V1248" t="s">
        <v>26</v>
      </c>
      <c r="W1248" s="24">
        <v>37987</v>
      </c>
      <c r="X1248" s="25" t="s">
        <v>77</v>
      </c>
      <c r="Y1248" s="25" t="s">
        <v>3091</v>
      </c>
      <c r="Z1248" s="24">
        <v>37987</v>
      </c>
      <c r="AA1248" s="25" t="s">
        <v>77</v>
      </c>
      <c r="AB1248" s="25" t="s">
        <v>3091</v>
      </c>
      <c r="AC1248" s="24">
        <v>37987</v>
      </c>
      <c r="AD1248" s="25" t="s">
        <v>77</v>
      </c>
      <c r="AE1248" s="25" t="s">
        <v>3091</v>
      </c>
      <c r="AF1248" t="s">
        <v>26</v>
      </c>
      <c r="AG1248" t="s">
        <v>26</v>
      </c>
      <c r="AH1248" t="s">
        <v>26</v>
      </c>
      <c r="AI1248" t="s">
        <v>26</v>
      </c>
      <c r="AJ1248" t="s">
        <v>26</v>
      </c>
      <c r="AK1248" t="s">
        <v>26</v>
      </c>
      <c r="AL1248" t="s">
        <v>26</v>
      </c>
      <c r="AM1248" t="s">
        <v>26</v>
      </c>
      <c r="AN1248" t="s">
        <v>26</v>
      </c>
      <c r="AO1248" s="25" t="s">
        <v>68</v>
      </c>
      <c r="AP1248" s="23" t="s">
        <v>69</v>
      </c>
      <c r="AQ1248" s="23" t="s">
        <v>226</v>
      </c>
      <c r="AR1248" s="23" t="s">
        <v>996</v>
      </c>
      <c r="AS1248" s="25">
        <v>5430094</v>
      </c>
      <c r="AT1248" t="s">
        <v>26</v>
      </c>
      <c r="AU1248" t="s">
        <v>23864</v>
      </c>
    </row>
    <row r="1249" spans="1:47" ht="26.25" x14ac:dyDescent="0.4">
      <c r="A1249" s="23" t="s">
        <v>3092</v>
      </c>
      <c r="B1249" t="s">
        <v>26</v>
      </c>
      <c r="C1249" s="23" t="s">
        <v>80</v>
      </c>
      <c r="D1249" s="23" t="s">
        <v>22184</v>
      </c>
      <c r="E1249" s="23" t="s">
        <v>60</v>
      </c>
      <c r="F1249" s="25" t="s">
        <v>3093</v>
      </c>
      <c r="G1249" s="25" t="s">
        <v>3094</v>
      </c>
      <c r="H1249" t="s">
        <v>26</v>
      </c>
      <c r="I1249" s="24">
        <v>39264</v>
      </c>
      <c r="J1249" s="24">
        <v>42736</v>
      </c>
      <c r="K1249" t="s">
        <v>26</v>
      </c>
      <c r="L1249" s="25" t="s">
        <v>68</v>
      </c>
      <c r="M1249" s="24">
        <v>39264</v>
      </c>
      <c r="N1249" s="24">
        <v>42736</v>
      </c>
      <c r="O1249" t="s">
        <v>26</v>
      </c>
      <c r="P1249" s="24">
        <v>39264</v>
      </c>
      <c r="Q1249" s="24">
        <v>42736</v>
      </c>
      <c r="R1249" t="s">
        <v>26</v>
      </c>
      <c r="S1249" t="s">
        <v>26</v>
      </c>
      <c r="T1249" t="s">
        <v>26</v>
      </c>
      <c r="U1249" t="s">
        <v>26</v>
      </c>
      <c r="V1249" t="s">
        <v>26</v>
      </c>
      <c r="W1249" s="24">
        <v>39264</v>
      </c>
      <c r="X1249" s="24">
        <v>42736</v>
      </c>
      <c r="Y1249" t="s">
        <v>26</v>
      </c>
      <c r="Z1249" s="24">
        <v>39264</v>
      </c>
      <c r="AA1249" s="24">
        <v>42736</v>
      </c>
      <c r="AB1249" t="s">
        <v>26</v>
      </c>
      <c r="AC1249" s="24">
        <v>39264</v>
      </c>
      <c r="AD1249" s="24">
        <v>42736</v>
      </c>
      <c r="AE1249" t="s">
        <v>26</v>
      </c>
      <c r="AF1249" t="s">
        <v>26</v>
      </c>
      <c r="AG1249" t="s">
        <v>26</v>
      </c>
      <c r="AH1249" t="s">
        <v>26</v>
      </c>
      <c r="AI1249" t="s">
        <v>26</v>
      </c>
      <c r="AJ1249" t="s">
        <v>26</v>
      </c>
      <c r="AK1249" t="s">
        <v>26</v>
      </c>
      <c r="AL1249" t="s">
        <v>26</v>
      </c>
      <c r="AM1249" t="s">
        <v>26</v>
      </c>
      <c r="AN1249" t="s">
        <v>26</v>
      </c>
      <c r="AO1249" s="25" t="s">
        <v>68</v>
      </c>
      <c r="AP1249" s="23" t="s">
        <v>69</v>
      </c>
      <c r="AQ1249" s="23" t="s">
        <v>30</v>
      </c>
      <c r="AR1249" s="23" t="s">
        <v>128</v>
      </c>
      <c r="AS1249" s="25">
        <v>28517</v>
      </c>
      <c r="AT1249" t="s">
        <v>26</v>
      </c>
      <c r="AU1249" t="s">
        <v>23865</v>
      </c>
    </row>
    <row r="1250" spans="1:47" ht="13.15" x14ac:dyDescent="0.4">
      <c r="A1250" s="23" t="s">
        <v>3095</v>
      </c>
      <c r="B1250" t="s">
        <v>26</v>
      </c>
      <c r="C1250" s="23" t="s">
        <v>371</v>
      </c>
      <c r="D1250" s="23" t="s">
        <v>22179</v>
      </c>
      <c r="E1250" s="23" t="s">
        <v>42</v>
      </c>
      <c r="F1250" t="s">
        <v>26</v>
      </c>
      <c r="G1250" t="s">
        <v>26</v>
      </c>
      <c r="H1250" t="s">
        <v>26</v>
      </c>
      <c r="I1250" t="s">
        <v>26</v>
      </c>
      <c r="J1250" t="s">
        <v>26</v>
      </c>
      <c r="K1250" t="s">
        <v>26</v>
      </c>
      <c r="L1250" s="25" t="s">
        <v>28</v>
      </c>
      <c r="M1250" t="s">
        <v>26</v>
      </c>
      <c r="N1250" t="s">
        <v>26</v>
      </c>
      <c r="O1250" t="s">
        <v>26</v>
      </c>
      <c r="P1250" t="s">
        <v>26</v>
      </c>
      <c r="Q1250" t="s">
        <v>26</v>
      </c>
      <c r="R1250" t="s">
        <v>26</v>
      </c>
      <c r="S1250" t="s">
        <v>26</v>
      </c>
      <c r="T1250" t="s">
        <v>26</v>
      </c>
      <c r="U1250" t="s">
        <v>26</v>
      </c>
      <c r="V1250" t="s">
        <v>26</v>
      </c>
      <c r="W1250" s="24">
        <v>39814</v>
      </c>
      <c r="X1250" s="24">
        <v>39814</v>
      </c>
      <c r="Y1250" t="s">
        <v>26</v>
      </c>
      <c r="Z1250" s="24">
        <v>39814</v>
      </c>
      <c r="AA1250" s="24">
        <v>39814</v>
      </c>
      <c r="AB1250" t="s">
        <v>26</v>
      </c>
      <c r="AC1250" t="s">
        <v>26</v>
      </c>
      <c r="AD1250" t="s">
        <v>26</v>
      </c>
      <c r="AE1250" t="s">
        <v>26</v>
      </c>
      <c r="AF1250" t="s">
        <v>26</v>
      </c>
      <c r="AG1250" t="s">
        <v>26</v>
      </c>
      <c r="AH1250" t="s">
        <v>26</v>
      </c>
      <c r="AI1250" t="s">
        <v>26</v>
      </c>
      <c r="AJ1250" t="s">
        <v>26</v>
      </c>
      <c r="AK1250" t="s">
        <v>26</v>
      </c>
      <c r="AL1250" t="s">
        <v>26</v>
      </c>
      <c r="AM1250" t="s">
        <v>26</v>
      </c>
      <c r="AN1250" t="s">
        <v>26</v>
      </c>
      <c r="AO1250" s="25" t="s">
        <v>28</v>
      </c>
      <c r="AP1250" s="23" t="s">
        <v>29</v>
      </c>
      <c r="AQ1250" s="23" t="s">
        <v>30</v>
      </c>
      <c r="AR1250" s="23" t="s">
        <v>44</v>
      </c>
      <c r="AS1250" s="25">
        <v>5483572</v>
      </c>
      <c r="AT1250" s="23" t="s">
        <v>22181</v>
      </c>
      <c r="AU1250" t="s">
        <v>23866</v>
      </c>
    </row>
    <row r="1251" spans="1:47" ht="39.4" x14ac:dyDescent="0.4">
      <c r="A1251" s="23" t="s">
        <v>3096</v>
      </c>
      <c r="B1251" t="s">
        <v>26</v>
      </c>
      <c r="C1251" s="23" t="s">
        <v>302</v>
      </c>
      <c r="D1251" s="23" t="s">
        <v>22286</v>
      </c>
      <c r="E1251" s="23" t="s">
        <v>42</v>
      </c>
      <c r="F1251" t="s">
        <v>26</v>
      </c>
      <c r="G1251" t="s">
        <v>26</v>
      </c>
      <c r="H1251" t="s">
        <v>26</v>
      </c>
      <c r="I1251" t="s">
        <v>26</v>
      </c>
      <c r="J1251" t="s">
        <v>26</v>
      </c>
      <c r="K1251" t="s">
        <v>26</v>
      </c>
      <c r="L1251" s="25" t="s">
        <v>28</v>
      </c>
      <c r="M1251" t="s">
        <v>26</v>
      </c>
      <c r="N1251" t="s">
        <v>26</v>
      </c>
      <c r="O1251" t="s">
        <v>26</v>
      </c>
      <c r="P1251" t="s">
        <v>26</v>
      </c>
      <c r="Q1251" t="s">
        <v>26</v>
      </c>
      <c r="R1251" t="s">
        <v>26</v>
      </c>
      <c r="S1251" t="s">
        <v>26</v>
      </c>
      <c r="T1251" t="s">
        <v>26</v>
      </c>
      <c r="U1251" t="s">
        <v>26</v>
      </c>
      <c r="V1251" t="s">
        <v>26</v>
      </c>
      <c r="W1251" s="24">
        <v>42370</v>
      </c>
      <c r="X1251" s="24">
        <v>42370</v>
      </c>
      <c r="Y1251" t="s">
        <v>26</v>
      </c>
      <c r="Z1251" s="24">
        <v>42370</v>
      </c>
      <c r="AA1251" s="24">
        <v>42370</v>
      </c>
      <c r="AB1251" t="s">
        <v>26</v>
      </c>
      <c r="AC1251" t="s">
        <v>26</v>
      </c>
      <c r="AD1251" t="s">
        <v>26</v>
      </c>
      <c r="AE1251" t="s">
        <v>26</v>
      </c>
      <c r="AF1251" t="s">
        <v>26</v>
      </c>
      <c r="AG1251" t="s">
        <v>26</v>
      </c>
      <c r="AH1251" t="s">
        <v>26</v>
      </c>
      <c r="AI1251" t="s">
        <v>26</v>
      </c>
      <c r="AJ1251" t="s">
        <v>26</v>
      </c>
      <c r="AK1251" t="s">
        <v>26</v>
      </c>
      <c r="AL1251" t="s">
        <v>26</v>
      </c>
      <c r="AM1251" t="s">
        <v>26</v>
      </c>
      <c r="AN1251" t="s">
        <v>26</v>
      </c>
      <c r="AO1251" s="25" t="s">
        <v>28</v>
      </c>
      <c r="AP1251" s="23" t="s">
        <v>29</v>
      </c>
      <c r="AQ1251" s="23" t="s">
        <v>30</v>
      </c>
      <c r="AR1251" s="23" t="s">
        <v>245</v>
      </c>
      <c r="AS1251" s="25">
        <v>5483567</v>
      </c>
      <c r="AT1251" s="23" t="s">
        <v>22181</v>
      </c>
      <c r="AU1251" t="s">
        <v>23867</v>
      </c>
    </row>
    <row r="1252" spans="1:47" ht="13.15" x14ac:dyDescent="0.4">
      <c r="A1252" s="23" t="s">
        <v>3097</v>
      </c>
      <c r="B1252" t="s">
        <v>26</v>
      </c>
      <c r="C1252" t="s">
        <v>26</v>
      </c>
      <c r="D1252" t="s">
        <v>26</v>
      </c>
      <c r="E1252" t="s">
        <v>26</v>
      </c>
      <c r="F1252" t="s">
        <v>26</v>
      </c>
      <c r="G1252" t="s">
        <v>26</v>
      </c>
      <c r="H1252" t="s">
        <v>26</v>
      </c>
      <c r="I1252" s="25" t="s">
        <v>3098</v>
      </c>
      <c r="J1252" s="25" t="s">
        <v>3098</v>
      </c>
      <c r="K1252" t="s">
        <v>26</v>
      </c>
      <c r="L1252" s="25" t="s">
        <v>28</v>
      </c>
      <c r="M1252" s="25" t="s">
        <v>3098</v>
      </c>
      <c r="N1252" s="25" t="s">
        <v>3098</v>
      </c>
      <c r="O1252" t="s">
        <v>26</v>
      </c>
      <c r="P1252" t="s">
        <v>26</v>
      </c>
      <c r="Q1252" t="s">
        <v>26</v>
      </c>
      <c r="R1252" t="s">
        <v>26</v>
      </c>
      <c r="S1252" t="s">
        <v>26</v>
      </c>
      <c r="T1252" t="s">
        <v>26</v>
      </c>
      <c r="U1252" t="s">
        <v>26</v>
      </c>
      <c r="V1252" t="s">
        <v>26</v>
      </c>
      <c r="W1252" s="25" t="s">
        <v>3098</v>
      </c>
      <c r="X1252" s="25" t="s">
        <v>3098</v>
      </c>
      <c r="Y1252" t="s">
        <v>26</v>
      </c>
      <c r="Z1252" s="25" t="s">
        <v>3098</v>
      </c>
      <c r="AA1252" s="25" t="s">
        <v>3098</v>
      </c>
      <c r="AB1252" t="s">
        <v>26</v>
      </c>
      <c r="AC1252" s="25" t="s">
        <v>3098</v>
      </c>
      <c r="AD1252" s="25" t="s">
        <v>3098</v>
      </c>
      <c r="AE1252" t="s">
        <v>26</v>
      </c>
      <c r="AF1252" t="s">
        <v>26</v>
      </c>
      <c r="AG1252" t="s">
        <v>26</v>
      </c>
      <c r="AH1252" t="s">
        <v>26</v>
      </c>
      <c r="AI1252" t="s">
        <v>26</v>
      </c>
      <c r="AJ1252" t="s">
        <v>26</v>
      </c>
      <c r="AK1252" t="s">
        <v>26</v>
      </c>
      <c r="AL1252" t="s">
        <v>26</v>
      </c>
      <c r="AM1252" t="s">
        <v>26</v>
      </c>
      <c r="AN1252" t="s">
        <v>26</v>
      </c>
      <c r="AO1252" s="25" t="s">
        <v>28</v>
      </c>
      <c r="AP1252" s="23" t="s">
        <v>29</v>
      </c>
      <c r="AQ1252" s="23" t="s">
        <v>30</v>
      </c>
      <c r="AR1252" s="23" t="s">
        <v>46</v>
      </c>
      <c r="AS1252" s="25">
        <v>6009039</v>
      </c>
      <c r="AT1252" t="s">
        <v>26</v>
      </c>
      <c r="AU1252" t="s">
        <v>23868</v>
      </c>
    </row>
    <row r="1253" spans="1:47" ht="26.25" x14ac:dyDescent="0.4">
      <c r="A1253" s="23" t="s">
        <v>3099</v>
      </c>
      <c r="B1253" t="s">
        <v>26</v>
      </c>
      <c r="C1253" s="23" t="s">
        <v>146</v>
      </c>
      <c r="D1253" s="23" t="s">
        <v>22174</v>
      </c>
      <c r="E1253" s="23" t="s">
        <v>60</v>
      </c>
      <c r="F1253" t="s">
        <v>26</v>
      </c>
      <c r="G1253" t="s">
        <v>26</v>
      </c>
      <c r="H1253" t="s">
        <v>26</v>
      </c>
      <c r="I1253" t="s">
        <v>26</v>
      </c>
      <c r="J1253" t="s">
        <v>26</v>
      </c>
      <c r="K1253" t="s">
        <v>26</v>
      </c>
      <c r="L1253" s="25" t="s">
        <v>28</v>
      </c>
      <c r="M1253" t="s">
        <v>26</v>
      </c>
      <c r="N1253" t="s">
        <v>26</v>
      </c>
      <c r="O1253" t="s">
        <v>26</v>
      </c>
      <c r="P1253" t="s">
        <v>26</v>
      </c>
      <c r="Q1253" t="s">
        <v>26</v>
      </c>
      <c r="R1253" t="s">
        <v>26</v>
      </c>
      <c r="S1253" t="s">
        <v>26</v>
      </c>
      <c r="T1253" t="s">
        <v>26</v>
      </c>
      <c r="U1253" t="s">
        <v>26</v>
      </c>
      <c r="V1253" t="s">
        <v>26</v>
      </c>
      <c r="W1253" s="24">
        <v>42370</v>
      </c>
      <c r="X1253" s="24">
        <v>42370</v>
      </c>
      <c r="Y1253" t="s">
        <v>26</v>
      </c>
      <c r="Z1253" s="24">
        <v>42370</v>
      </c>
      <c r="AA1253" s="24">
        <v>42370</v>
      </c>
      <c r="AB1253" t="s">
        <v>26</v>
      </c>
      <c r="AC1253" t="s">
        <v>26</v>
      </c>
      <c r="AD1253" t="s">
        <v>26</v>
      </c>
      <c r="AE1253" t="s">
        <v>26</v>
      </c>
      <c r="AF1253" t="s">
        <v>26</v>
      </c>
      <c r="AG1253" t="s">
        <v>26</v>
      </c>
      <c r="AH1253" t="s">
        <v>26</v>
      </c>
      <c r="AI1253" t="s">
        <v>26</v>
      </c>
      <c r="AJ1253" t="s">
        <v>26</v>
      </c>
      <c r="AK1253" t="s">
        <v>26</v>
      </c>
      <c r="AL1253" t="s">
        <v>26</v>
      </c>
      <c r="AM1253" t="s">
        <v>26</v>
      </c>
      <c r="AN1253" t="s">
        <v>26</v>
      </c>
      <c r="AO1253" s="25" t="s">
        <v>28</v>
      </c>
      <c r="AP1253" s="23" t="s">
        <v>29</v>
      </c>
      <c r="AQ1253" s="23" t="s">
        <v>30</v>
      </c>
      <c r="AR1253" s="23" t="s">
        <v>147</v>
      </c>
      <c r="AS1253" s="25">
        <v>5483598</v>
      </c>
      <c r="AT1253" s="23" t="s">
        <v>22181</v>
      </c>
      <c r="AU1253" t="s">
        <v>23869</v>
      </c>
    </row>
    <row r="1254" spans="1:47" ht="13.15" x14ac:dyDescent="0.4">
      <c r="A1254" s="23" t="s">
        <v>3100</v>
      </c>
      <c r="B1254" t="s">
        <v>26</v>
      </c>
      <c r="C1254" s="23" t="s">
        <v>146</v>
      </c>
      <c r="D1254" s="23" t="s">
        <v>22174</v>
      </c>
      <c r="E1254" s="23" t="s">
        <v>60</v>
      </c>
      <c r="F1254" t="s">
        <v>26</v>
      </c>
      <c r="G1254" t="s">
        <v>26</v>
      </c>
      <c r="H1254" t="s">
        <v>26</v>
      </c>
      <c r="I1254" t="s">
        <v>26</v>
      </c>
      <c r="J1254" t="s">
        <v>26</v>
      </c>
      <c r="K1254" t="s">
        <v>26</v>
      </c>
      <c r="L1254" s="25" t="s">
        <v>28</v>
      </c>
      <c r="M1254" t="s">
        <v>26</v>
      </c>
      <c r="N1254" t="s">
        <v>26</v>
      </c>
      <c r="O1254" t="s">
        <v>26</v>
      </c>
      <c r="P1254" t="s">
        <v>26</v>
      </c>
      <c r="Q1254" t="s">
        <v>26</v>
      </c>
      <c r="R1254" t="s">
        <v>26</v>
      </c>
      <c r="S1254" t="s">
        <v>26</v>
      </c>
      <c r="T1254" t="s">
        <v>26</v>
      </c>
      <c r="U1254" t="s">
        <v>26</v>
      </c>
      <c r="V1254" t="s">
        <v>26</v>
      </c>
      <c r="W1254" s="24">
        <v>42005</v>
      </c>
      <c r="X1254" s="24">
        <v>42005</v>
      </c>
      <c r="Y1254" t="s">
        <v>26</v>
      </c>
      <c r="Z1254" s="24">
        <v>42005</v>
      </c>
      <c r="AA1254" s="24">
        <v>42005</v>
      </c>
      <c r="AB1254" t="s">
        <v>26</v>
      </c>
      <c r="AC1254" t="s">
        <v>26</v>
      </c>
      <c r="AD1254" t="s">
        <v>26</v>
      </c>
      <c r="AE1254" t="s">
        <v>26</v>
      </c>
      <c r="AF1254" t="s">
        <v>26</v>
      </c>
      <c r="AG1254" t="s">
        <v>26</v>
      </c>
      <c r="AH1254" t="s">
        <v>26</v>
      </c>
      <c r="AI1254" t="s">
        <v>26</v>
      </c>
      <c r="AJ1254" t="s">
        <v>26</v>
      </c>
      <c r="AK1254" t="s">
        <v>26</v>
      </c>
      <c r="AL1254" t="s">
        <v>26</v>
      </c>
      <c r="AM1254" t="s">
        <v>26</v>
      </c>
      <c r="AN1254" t="s">
        <v>26</v>
      </c>
      <c r="AO1254" s="25" t="s">
        <v>28</v>
      </c>
      <c r="AP1254" s="23" t="s">
        <v>29</v>
      </c>
      <c r="AQ1254" s="23" t="s">
        <v>30</v>
      </c>
      <c r="AR1254" s="23" t="s">
        <v>44</v>
      </c>
      <c r="AS1254" s="25">
        <v>5483623</v>
      </c>
      <c r="AT1254" s="23" t="s">
        <v>22181</v>
      </c>
      <c r="AU1254" t="s">
        <v>23870</v>
      </c>
    </row>
    <row r="1255" spans="1:47" ht="26.25" x14ac:dyDescent="0.4">
      <c r="A1255" s="23" t="s">
        <v>3101</v>
      </c>
      <c r="B1255" t="s">
        <v>26</v>
      </c>
      <c r="C1255" t="s">
        <v>26</v>
      </c>
      <c r="D1255" t="s">
        <v>26</v>
      </c>
      <c r="E1255" t="s">
        <v>26</v>
      </c>
      <c r="F1255" t="s">
        <v>26</v>
      </c>
      <c r="G1255" t="s">
        <v>26</v>
      </c>
      <c r="H1255" t="s">
        <v>26</v>
      </c>
      <c r="I1255" s="24">
        <v>40544</v>
      </c>
      <c r="J1255" s="24">
        <v>40544</v>
      </c>
      <c r="K1255" t="s">
        <v>26</v>
      </c>
      <c r="L1255" s="25" t="s">
        <v>28</v>
      </c>
      <c r="M1255" s="24">
        <v>40544</v>
      </c>
      <c r="N1255" s="24">
        <v>40544</v>
      </c>
      <c r="O1255" t="s">
        <v>26</v>
      </c>
      <c r="P1255" t="s">
        <v>26</v>
      </c>
      <c r="Q1255" t="s">
        <v>26</v>
      </c>
      <c r="R1255" t="s">
        <v>26</v>
      </c>
      <c r="S1255" s="24">
        <v>40544</v>
      </c>
      <c r="T1255" s="24">
        <v>40544</v>
      </c>
      <c r="U1255" t="s">
        <v>26</v>
      </c>
      <c r="V1255" t="s">
        <v>26</v>
      </c>
      <c r="W1255" s="24">
        <v>40544</v>
      </c>
      <c r="X1255" s="24">
        <v>40544</v>
      </c>
      <c r="Y1255" t="s">
        <v>26</v>
      </c>
      <c r="Z1255" s="24">
        <v>40544</v>
      </c>
      <c r="AA1255" s="24">
        <v>40544</v>
      </c>
      <c r="AB1255" t="s">
        <v>26</v>
      </c>
      <c r="AC1255" s="24">
        <v>40544</v>
      </c>
      <c r="AD1255" s="24">
        <v>40544</v>
      </c>
      <c r="AE1255" t="s">
        <v>26</v>
      </c>
      <c r="AF1255" s="24">
        <v>40544</v>
      </c>
      <c r="AG1255" s="24">
        <v>40544</v>
      </c>
      <c r="AH1255" t="s">
        <v>26</v>
      </c>
      <c r="AI1255" s="24">
        <v>40544</v>
      </c>
      <c r="AJ1255" s="24">
        <v>40544</v>
      </c>
      <c r="AK1255" t="s">
        <v>26</v>
      </c>
      <c r="AL1255" t="s">
        <v>26</v>
      </c>
      <c r="AM1255" t="s">
        <v>26</v>
      </c>
      <c r="AN1255" t="s">
        <v>26</v>
      </c>
      <c r="AO1255" s="25" t="s">
        <v>28</v>
      </c>
      <c r="AP1255" s="23" t="s">
        <v>43</v>
      </c>
      <c r="AQ1255" s="23" t="s">
        <v>30</v>
      </c>
      <c r="AR1255" s="23" t="s">
        <v>46</v>
      </c>
      <c r="AS1255" s="25">
        <v>6359430</v>
      </c>
      <c r="AT1255" t="s">
        <v>26</v>
      </c>
      <c r="AU1255" t="s">
        <v>23871</v>
      </c>
    </row>
    <row r="1256" spans="1:47" ht="26.25" x14ac:dyDescent="0.4">
      <c r="A1256" s="23" t="s">
        <v>3102</v>
      </c>
      <c r="B1256" t="s">
        <v>26</v>
      </c>
      <c r="C1256" s="23" t="s">
        <v>332</v>
      </c>
      <c r="D1256" s="23" t="s">
        <v>22256</v>
      </c>
      <c r="E1256" s="23" t="s">
        <v>42</v>
      </c>
      <c r="F1256" t="s">
        <v>26</v>
      </c>
      <c r="G1256" t="s">
        <v>26</v>
      </c>
      <c r="H1256" t="s">
        <v>26</v>
      </c>
      <c r="I1256" s="24">
        <v>42005</v>
      </c>
      <c r="J1256" s="24">
        <v>42005</v>
      </c>
      <c r="K1256" t="s">
        <v>26</v>
      </c>
      <c r="L1256" s="25" t="s">
        <v>28</v>
      </c>
      <c r="M1256" s="24">
        <v>42005</v>
      </c>
      <c r="N1256" s="24">
        <v>42005</v>
      </c>
      <c r="O1256" t="s">
        <v>26</v>
      </c>
      <c r="P1256" t="s">
        <v>26</v>
      </c>
      <c r="Q1256" t="s">
        <v>26</v>
      </c>
      <c r="R1256" t="s">
        <v>26</v>
      </c>
      <c r="S1256" t="s">
        <v>26</v>
      </c>
      <c r="T1256" t="s">
        <v>26</v>
      </c>
      <c r="U1256" t="s">
        <v>26</v>
      </c>
      <c r="V1256" t="s">
        <v>26</v>
      </c>
      <c r="W1256" s="24">
        <v>42005</v>
      </c>
      <c r="X1256" s="24">
        <v>42005</v>
      </c>
      <c r="Y1256" t="s">
        <v>26</v>
      </c>
      <c r="Z1256" s="24">
        <v>42005</v>
      </c>
      <c r="AA1256" s="24">
        <v>42005</v>
      </c>
      <c r="AB1256" t="s">
        <v>26</v>
      </c>
      <c r="AC1256" s="24">
        <v>42005</v>
      </c>
      <c r="AD1256" s="24">
        <v>42005</v>
      </c>
      <c r="AE1256" t="s">
        <v>26</v>
      </c>
      <c r="AF1256" t="s">
        <v>26</v>
      </c>
      <c r="AG1256" t="s">
        <v>26</v>
      </c>
      <c r="AH1256" t="s">
        <v>26</v>
      </c>
      <c r="AI1256" t="s">
        <v>26</v>
      </c>
      <c r="AJ1256" t="s">
        <v>26</v>
      </c>
      <c r="AK1256" t="s">
        <v>26</v>
      </c>
      <c r="AL1256" t="s">
        <v>26</v>
      </c>
      <c r="AM1256" t="s">
        <v>26</v>
      </c>
      <c r="AN1256" t="s">
        <v>26</v>
      </c>
      <c r="AO1256" s="25" t="s">
        <v>28</v>
      </c>
      <c r="AP1256" s="23" t="s">
        <v>279</v>
      </c>
      <c r="AQ1256" s="23" t="s">
        <v>30</v>
      </c>
      <c r="AR1256" s="23" t="s">
        <v>46</v>
      </c>
      <c r="AS1256" s="25">
        <v>6275762</v>
      </c>
      <c r="AT1256" t="s">
        <v>26</v>
      </c>
      <c r="AU1256" t="s">
        <v>23872</v>
      </c>
    </row>
    <row r="1257" spans="1:47" ht="26.25" x14ac:dyDescent="0.4">
      <c r="A1257" s="23" t="s">
        <v>3103</v>
      </c>
      <c r="B1257" t="s">
        <v>26</v>
      </c>
      <c r="C1257" s="23" t="s">
        <v>73</v>
      </c>
      <c r="D1257" s="23" t="s">
        <v>22215</v>
      </c>
      <c r="E1257" s="23" t="s">
        <v>74</v>
      </c>
      <c r="F1257" s="25" t="s">
        <v>3104</v>
      </c>
      <c r="G1257" s="25" t="s">
        <v>3105</v>
      </c>
      <c r="H1257" t="s">
        <v>26</v>
      </c>
      <c r="I1257" s="24">
        <v>36617</v>
      </c>
      <c r="J1257" s="24">
        <v>37165</v>
      </c>
      <c r="K1257" t="s">
        <v>26</v>
      </c>
      <c r="L1257" s="25" t="s">
        <v>68</v>
      </c>
      <c r="M1257" s="24">
        <v>36617</v>
      </c>
      <c r="N1257" s="24">
        <v>37165</v>
      </c>
      <c r="O1257" t="s">
        <v>26</v>
      </c>
      <c r="P1257" s="24">
        <v>36617</v>
      </c>
      <c r="Q1257" s="24">
        <v>37165</v>
      </c>
      <c r="R1257" t="s">
        <v>26</v>
      </c>
      <c r="S1257" t="s">
        <v>26</v>
      </c>
      <c r="T1257" t="s">
        <v>26</v>
      </c>
      <c r="U1257" t="s">
        <v>26</v>
      </c>
      <c r="V1257" t="s">
        <v>26</v>
      </c>
      <c r="W1257" s="24">
        <v>35431</v>
      </c>
      <c r="X1257" s="25" t="s">
        <v>77</v>
      </c>
      <c r="Y1257" s="25" t="s">
        <v>3106</v>
      </c>
      <c r="Z1257" s="24">
        <v>35431</v>
      </c>
      <c r="AA1257" s="25" t="s">
        <v>77</v>
      </c>
      <c r="AB1257" s="25" t="s">
        <v>3106</v>
      </c>
      <c r="AC1257" s="24">
        <v>36892</v>
      </c>
      <c r="AD1257" s="25" t="s">
        <v>77</v>
      </c>
      <c r="AE1257" s="25" t="s">
        <v>3106</v>
      </c>
      <c r="AF1257" t="s">
        <v>26</v>
      </c>
      <c r="AG1257" t="s">
        <v>26</v>
      </c>
      <c r="AH1257" t="s">
        <v>26</v>
      </c>
      <c r="AI1257" t="s">
        <v>26</v>
      </c>
      <c r="AJ1257" t="s">
        <v>26</v>
      </c>
      <c r="AK1257" t="s">
        <v>26</v>
      </c>
      <c r="AL1257" t="s">
        <v>26</v>
      </c>
      <c r="AM1257" t="s">
        <v>26</v>
      </c>
      <c r="AN1257" t="s">
        <v>26</v>
      </c>
      <c r="AO1257" s="25" t="s">
        <v>68</v>
      </c>
      <c r="AP1257" s="23" t="s">
        <v>69</v>
      </c>
      <c r="AQ1257" s="23" t="s">
        <v>30</v>
      </c>
      <c r="AR1257" s="23" t="s">
        <v>3107</v>
      </c>
      <c r="AS1257" s="25">
        <v>47238</v>
      </c>
      <c r="AT1257" t="s">
        <v>26</v>
      </c>
      <c r="AU1257" t="s">
        <v>23873</v>
      </c>
    </row>
    <row r="1258" spans="1:47" ht="26.25" x14ac:dyDescent="0.4">
      <c r="A1258" s="23" t="s">
        <v>3108</v>
      </c>
      <c r="B1258" t="s">
        <v>26</v>
      </c>
      <c r="C1258" s="23" t="s">
        <v>332</v>
      </c>
      <c r="D1258" s="23" t="s">
        <v>22256</v>
      </c>
      <c r="E1258" s="23" t="s">
        <v>42</v>
      </c>
      <c r="F1258" t="s">
        <v>26</v>
      </c>
      <c r="G1258" t="s">
        <v>26</v>
      </c>
      <c r="H1258" t="s">
        <v>26</v>
      </c>
      <c r="I1258" s="24">
        <v>40909</v>
      </c>
      <c r="J1258" s="24">
        <v>41640</v>
      </c>
      <c r="K1258" t="s">
        <v>26</v>
      </c>
      <c r="L1258" s="25" t="s">
        <v>28</v>
      </c>
      <c r="M1258" s="24">
        <v>40909</v>
      </c>
      <c r="N1258" s="24">
        <v>41640</v>
      </c>
      <c r="O1258" t="s">
        <v>26</v>
      </c>
      <c r="P1258" t="s">
        <v>26</v>
      </c>
      <c r="Q1258" t="s">
        <v>26</v>
      </c>
      <c r="R1258" t="s">
        <v>26</v>
      </c>
      <c r="S1258" t="s">
        <v>26</v>
      </c>
      <c r="T1258" t="s">
        <v>26</v>
      </c>
      <c r="U1258" t="s">
        <v>26</v>
      </c>
      <c r="V1258" t="s">
        <v>26</v>
      </c>
      <c r="W1258" s="24">
        <v>40909</v>
      </c>
      <c r="X1258" s="24">
        <v>41640</v>
      </c>
      <c r="Y1258" t="s">
        <v>26</v>
      </c>
      <c r="Z1258" s="24">
        <v>40909</v>
      </c>
      <c r="AA1258" s="24">
        <v>41640</v>
      </c>
      <c r="AB1258" t="s">
        <v>26</v>
      </c>
      <c r="AC1258" s="24">
        <v>40909</v>
      </c>
      <c r="AD1258" s="24">
        <v>41640</v>
      </c>
      <c r="AE1258" t="s">
        <v>26</v>
      </c>
      <c r="AF1258" t="s">
        <v>26</v>
      </c>
      <c r="AG1258" t="s">
        <v>26</v>
      </c>
      <c r="AH1258" t="s">
        <v>26</v>
      </c>
      <c r="AI1258" t="s">
        <v>26</v>
      </c>
      <c r="AJ1258" t="s">
        <v>26</v>
      </c>
      <c r="AK1258" t="s">
        <v>26</v>
      </c>
      <c r="AL1258" t="s">
        <v>26</v>
      </c>
      <c r="AM1258" t="s">
        <v>26</v>
      </c>
      <c r="AN1258" t="s">
        <v>26</v>
      </c>
      <c r="AO1258" s="25" t="s">
        <v>28</v>
      </c>
      <c r="AP1258" s="23" t="s">
        <v>279</v>
      </c>
      <c r="AQ1258" s="23" t="s">
        <v>30</v>
      </c>
      <c r="AR1258" s="23" t="s">
        <v>46</v>
      </c>
      <c r="AS1258" s="25">
        <v>6275761</v>
      </c>
      <c r="AT1258" t="s">
        <v>26</v>
      </c>
      <c r="AU1258" t="s">
        <v>23874</v>
      </c>
    </row>
    <row r="1259" spans="1:47" ht="26.25" x14ac:dyDescent="0.4">
      <c r="A1259" s="23" t="s">
        <v>3109</v>
      </c>
      <c r="B1259" t="s">
        <v>26</v>
      </c>
      <c r="C1259" s="23" t="s">
        <v>513</v>
      </c>
      <c r="D1259" s="23" t="s">
        <v>22254</v>
      </c>
      <c r="E1259" s="23" t="s">
        <v>42</v>
      </c>
      <c r="F1259" s="25" t="s">
        <v>3110</v>
      </c>
      <c r="G1259" s="25" t="s">
        <v>3111</v>
      </c>
      <c r="H1259" t="s">
        <v>26</v>
      </c>
      <c r="I1259" s="24">
        <v>40210</v>
      </c>
      <c r="J1259" s="25" t="s">
        <v>77</v>
      </c>
      <c r="K1259" t="s">
        <v>26</v>
      </c>
      <c r="L1259" s="25" t="s">
        <v>68</v>
      </c>
      <c r="M1259" s="24">
        <v>40210</v>
      </c>
      <c r="N1259" s="25" t="s">
        <v>77</v>
      </c>
      <c r="O1259" t="s">
        <v>26</v>
      </c>
      <c r="P1259" s="24">
        <v>40210</v>
      </c>
      <c r="Q1259" s="25" t="s">
        <v>77</v>
      </c>
      <c r="R1259" t="s">
        <v>26</v>
      </c>
      <c r="S1259" t="s">
        <v>26</v>
      </c>
      <c r="T1259" t="s">
        <v>26</v>
      </c>
      <c r="U1259" t="s">
        <v>26</v>
      </c>
      <c r="V1259" t="s">
        <v>26</v>
      </c>
      <c r="W1259" s="24">
        <v>40210</v>
      </c>
      <c r="X1259" s="25" t="s">
        <v>77</v>
      </c>
      <c r="Y1259" t="s">
        <v>26</v>
      </c>
      <c r="Z1259" s="24">
        <v>40210</v>
      </c>
      <c r="AA1259" s="25" t="s">
        <v>77</v>
      </c>
      <c r="AB1259" t="s">
        <v>26</v>
      </c>
      <c r="AC1259" s="24">
        <v>40210</v>
      </c>
      <c r="AD1259" s="25" t="s">
        <v>77</v>
      </c>
      <c r="AE1259" t="s">
        <v>26</v>
      </c>
      <c r="AF1259" t="s">
        <v>26</v>
      </c>
      <c r="AG1259" t="s">
        <v>26</v>
      </c>
      <c r="AH1259" t="s">
        <v>26</v>
      </c>
      <c r="AI1259" t="s">
        <v>26</v>
      </c>
      <c r="AJ1259" t="s">
        <v>26</v>
      </c>
      <c r="AK1259" t="s">
        <v>26</v>
      </c>
      <c r="AL1259" t="s">
        <v>26</v>
      </c>
      <c r="AM1259" t="s">
        <v>26</v>
      </c>
      <c r="AN1259" t="s">
        <v>26</v>
      </c>
      <c r="AO1259" s="25" t="s">
        <v>68</v>
      </c>
      <c r="AP1259" s="23" t="s">
        <v>69</v>
      </c>
      <c r="AQ1259" s="23" t="s">
        <v>30</v>
      </c>
      <c r="AR1259" s="23" t="s">
        <v>290</v>
      </c>
      <c r="AS1259" s="25">
        <v>806345</v>
      </c>
      <c r="AT1259" t="s">
        <v>26</v>
      </c>
      <c r="AU1259" t="s">
        <v>23875</v>
      </c>
    </row>
    <row r="1260" spans="1:47" ht="26.25" x14ac:dyDescent="0.4">
      <c r="A1260" s="23" t="s">
        <v>3112</v>
      </c>
      <c r="B1260" t="s">
        <v>26</v>
      </c>
      <c r="C1260" s="23" t="s">
        <v>176</v>
      </c>
      <c r="D1260" s="23" t="s">
        <v>22179</v>
      </c>
      <c r="E1260" s="23" t="s">
        <v>60</v>
      </c>
      <c r="F1260" s="25" t="s">
        <v>3113</v>
      </c>
      <c r="G1260" s="25" t="s">
        <v>3114</v>
      </c>
      <c r="H1260" t="s">
        <v>26</v>
      </c>
      <c r="I1260" t="s">
        <v>26</v>
      </c>
      <c r="J1260" t="s">
        <v>26</v>
      </c>
      <c r="K1260" t="s">
        <v>26</v>
      </c>
      <c r="L1260" s="25" t="s">
        <v>68</v>
      </c>
      <c r="M1260" t="s">
        <v>26</v>
      </c>
      <c r="N1260" t="s">
        <v>26</v>
      </c>
      <c r="O1260" t="s">
        <v>26</v>
      </c>
      <c r="P1260" t="s">
        <v>26</v>
      </c>
      <c r="Q1260" t="s">
        <v>26</v>
      </c>
      <c r="R1260" t="s">
        <v>26</v>
      </c>
      <c r="S1260" t="s">
        <v>26</v>
      </c>
      <c r="T1260" t="s">
        <v>26</v>
      </c>
      <c r="U1260" t="s">
        <v>26</v>
      </c>
      <c r="V1260" t="s">
        <v>26</v>
      </c>
      <c r="W1260" s="24">
        <v>33604</v>
      </c>
      <c r="X1260" s="24">
        <v>44682</v>
      </c>
      <c r="Y1260" t="s">
        <v>26</v>
      </c>
      <c r="Z1260" s="24">
        <v>33604</v>
      </c>
      <c r="AA1260" s="24">
        <v>44682</v>
      </c>
      <c r="AB1260" t="s">
        <v>26</v>
      </c>
      <c r="AC1260" s="24">
        <v>33604</v>
      </c>
      <c r="AD1260" s="24">
        <v>44682</v>
      </c>
      <c r="AE1260" t="s">
        <v>26</v>
      </c>
      <c r="AF1260" t="s">
        <v>26</v>
      </c>
      <c r="AG1260" t="s">
        <v>26</v>
      </c>
      <c r="AH1260" t="s">
        <v>26</v>
      </c>
      <c r="AI1260" t="s">
        <v>26</v>
      </c>
      <c r="AJ1260" t="s">
        <v>26</v>
      </c>
      <c r="AK1260" t="s">
        <v>26</v>
      </c>
      <c r="AL1260" t="s">
        <v>26</v>
      </c>
      <c r="AM1260" t="s">
        <v>26</v>
      </c>
      <c r="AN1260" t="s">
        <v>26</v>
      </c>
      <c r="AO1260" s="25" t="s">
        <v>68</v>
      </c>
      <c r="AP1260" s="23" t="s">
        <v>69</v>
      </c>
      <c r="AQ1260" s="23" t="s">
        <v>30</v>
      </c>
      <c r="AR1260" s="23" t="s">
        <v>46</v>
      </c>
      <c r="AS1260" s="25">
        <v>30295</v>
      </c>
      <c r="AT1260" t="s">
        <v>26</v>
      </c>
      <c r="AU1260" t="s">
        <v>23876</v>
      </c>
    </row>
    <row r="1261" spans="1:47" ht="52.5" x14ac:dyDescent="0.4">
      <c r="A1261" s="23" t="s">
        <v>3115</v>
      </c>
      <c r="B1261" t="s">
        <v>26</v>
      </c>
      <c r="C1261" s="23" t="s">
        <v>3116</v>
      </c>
      <c r="D1261" s="23" t="s">
        <v>23877</v>
      </c>
      <c r="E1261" t="s">
        <v>26</v>
      </c>
      <c r="F1261" s="25" t="s">
        <v>3117</v>
      </c>
      <c r="G1261" s="25" t="s">
        <v>3118</v>
      </c>
      <c r="H1261" t="s">
        <v>26</v>
      </c>
      <c r="I1261" s="24">
        <v>35431</v>
      </c>
      <c r="J1261" s="24">
        <v>43831</v>
      </c>
      <c r="K1261" t="s">
        <v>26</v>
      </c>
      <c r="L1261" s="25" t="s">
        <v>68</v>
      </c>
      <c r="M1261" t="s">
        <v>26</v>
      </c>
      <c r="N1261" t="s">
        <v>26</v>
      </c>
      <c r="O1261" t="s">
        <v>26</v>
      </c>
      <c r="P1261" s="24">
        <v>35431</v>
      </c>
      <c r="Q1261" s="24">
        <v>43831</v>
      </c>
      <c r="R1261" t="s">
        <v>26</v>
      </c>
      <c r="S1261" t="s">
        <v>26</v>
      </c>
      <c r="T1261" t="s">
        <v>26</v>
      </c>
      <c r="U1261" t="s">
        <v>26</v>
      </c>
      <c r="V1261" t="s">
        <v>26</v>
      </c>
      <c r="W1261" s="24">
        <v>35431</v>
      </c>
      <c r="X1261" s="24">
        <v>43831</v>
      </c>
      <c r="Y1261" t="s">
        <v>26</v>
      </c>
      <c r="Z1261" s="24">
        <v>35431</v>
      </c>
      <c r="AA1261" s="24">
        <v>43831</v>
      </c>
      <c r="AB1261" t="s">
        <v>26</v>
      </c>
      <c r="AC1261" s="24">
        <v>35431</v>
      </c>
      <c r="AD1261" s="24">
        <v>43831</v>
      </c>
      <c r="AE1261" t="s">
        <v>26</v>
      </c>
      <c r="AF1261" t="s">
        <v>26</v>
      </c>
      <c r="AG1261" t="s">
        <v>26</v>
      </c>
      <c r="AH1261" t="s">
        <v>26</v>
      </c>
      <c r="AI1261" t="s">
        <v>26</v>
      </c>
      <c r="AJ1261" t="s">
        <v>26</v>
      </c>
      <c r="AK1261" t="s">
        <v>26</v>
      </c>
      <c r="AL1261" t="s">
        <v>26</v>
      </c>
      <c r="AM1261" t="s">
        <v>26</v>
      </c>
      <c r="AN1261" t="s">
        <v>26</v>
      </c>
      <c r="AO1261" s="25" t="s">
        <v>68</v>
      </c>
      <c r="AP1261" s="23" t="s">
        <v>69</v>
      </c>
      <c r="AQ1261" s="23" t="s">
        <v>158</v>
      </c>
      <c r="AR1261" s="23" t="s">
        <v>46</v>
      </c>
      <c r="AS1261" s="25">
        <v>2049082</v>
      </c>
      <c r="AT1261" t="s">
        <v>26</v>
      </c>
      <c r="AU1261" t="s">
        <v>23878</v>
      </c>
    </row>
    <row r="1262" spans="1:47" ht="39.4" x14ac:dyDescent="0.4">
      <c r="A1262" s="23" t="s">
        <v>23879</v>
      </c>
      <c r="B1262" t="s">
        <v>26</v>
      </c>
      <c r="C1262" s="23" t="s">
        <v>23880</v>
      </c>
      <c r="D1262" s="23" t="s">
        <v>23881</v>
      </c>
      <c r="E1262" s="23" t="s">
        <v>6485</v>
      </c>
      <c r="F1262" s="25" t="s">
        <v>23882</v>
      </c>
      <c r="G1262" s="25" t="s">
        <v>23883</v>
      </c>
      <c r="H1262" t="s">
        <v>26</v>
      </c>
      <c r="I1262" s="24">
        <v>42005</v>
      </c>
      <c r="J1262" s="25" t="s">
        <v>77</v>
      </c>
      <c r="K1262" t="s">
        <v>26</v>
      </c>
      <c r="L1262" s="25" t="s">
        <v>68</v>
      </c>
      <c r="M1262" s="24">
        <v>43831</v>
      </c>
      <c r="N1262" s="25" t="s">
        <v>77</v>
      </c>
      <c r="O1262" t="s">
        <v>26</v>
      </c>
      <c r="P1262" s="24">
        <v>42005</v>
      </c>
      <c r="Q1262" s="25" t="s">
        <v>77</v>
      </c>
      <c r="R1262" t="s">
        <v>26</v>
      </c>
      <c r="S1262" t="s">
        <v>26</v>
      </c>
      <c r="T1262" t="s">
        <v>26</v>
      </c>
      <c r="U1262" t="s">
        <v>26</v>
      </c>
      <c r="V1262" t="s">
        <v>26</v>
      </c>
      <c r="W1262" s="24">
        <v>42005</v>
      </c>
      <c r="X1262" s="25" t="s">
        <v>77</v>
      </c>
      <c r="Y1262" t="s">
        <v>26</v>
      </c>
      <c r="Z1262" s="24">
        <v>42005</v>
      </c>
      <c r="AA1262" s="25" t="s">
        <v>77</v>
      </c>
      <c r="AB1262" t="s">
        <v>26</v>
      </c>
      <c r="AC1262" s="24">
        <v>42005</v>
      </c>
      <c r="AD1262" s="25" t="s">
        <v>77</v>
      </c>
      <c r="AE1262" t="s">
        <v>26</v>
      </c>
      <c r="AF1262" t="s">
        <v>26</v>
      </c>
      <c r="AG1262" t="s">
        <v>26</v>
      </c>
      <c r="AH1262" t="s">
        <v>26</v>
      </c>
      <c r="AI1262" t="s">
        <v>26</v>
      </c>
      <c r="AJ1262" t="s">
        <v>26</v>
      </c>
      <c r="AK1262" t="s">
        <v>26</v>
      </c>
      <c r="AL1262" t="s">
        <v>26</v>
      </c>
      <c r="AM1262" t="s">
        <v>26</v>
      </c>
      <c r="AN1262" t="s">
        <v>26</v>
      </c>
      <c r="AO1262" s="25" t="s">
        <v>68</v>
      </c>
      <c r="AP1262" s="23" t="s">
        <v>69</v>
      </c>
      <c r="AQ1262" s="23" t="s">
        <v>226</v>
      </c>
      <c r="AR1262" s="23" t="s">
        <v>385</v>
      </c>
      <c r="AS1262" s="25">
        <v>6474646</v>
      </c>
      <c r="AT1262" t="s">
        <v>26</v>
      </c>
      <c r="AU1262" t="s">
        <v>23884</v>
      </c>
    </row>
    <row r="1263" spans="1:47" ht="26.25" x14ac:dyDescent="0.4">
      <c r="A1263" s="23" t="s">
        <v>3119</v>
      </c>
      <c r="B1263" t="s">
        <v>26</v>
      </c>
      <c r="C1263" s="23" t="s">
        <v>371</v>
      </c>
      <c r="D1263" s="23" t="s">
        <v>22179</v>
      </c>
      <c r="E1263" s="23" t="s">
        <v>42</v>
      </c>
      <c r="F1263" t="s">
        <v>26</v>
      </c>
      <c r="G1263" t="s">
        <v>26</v>
      </c>
      <c r="H1263" t="s">
        <v>26</v>
      </c>
      <c r="I1263" t="s">
        <v>26</v>
      </c>
      <c r="J1263" t="s">
        <v>26</v>
      </c>
      <c r="K1263" t="s">
        <v>26</v>
      </c>
      <c r="L1263" s="25" t="s">
        <v>28</v>
      </c>
      <c r="M1263" t="s">
        <v>26</v>
      </c>
      <c r="N1263" t="s">
        <v>26</v>
      </c>
      <c r="O1263" t="s">
        <v>26</v>
      </c>
      <c r="P1263" t="s">
        <v>26</v>
      </c>
      <c r="Q1263" t="s">
        <v>26</v>
      </c>
      <c r="R1263" t="s">
        <v>26</v>
      </c>
      <c r="S1263" t="s">
        <v>26</v>
      </c>
      <c r="T1263" t="s">
        <v>26</v>
      </c>
      <c r="U1263" t="s">
        <v>26</v>
      </c>
      <c r="V1263" t="s">
        <v>26</v>
      </c>
      <c r="W1263" s="24">
        <v>40179</v>
      </c>
      <c r="X1263" s="24">
        <v>40179</v>
      </c>
      <c r="Y1263" t="s">
        <v>26</v>
      </c>
      <c r="Z1263" s="24">
        <v>40179</v>
      </c>
      <c r="AA1263" s="24">
        <v>40179</v>
      </c>
      <c r="AB1263" t="s">
        <v>26</v>
      </c>
      <c r="AC1263" t="s">
        <v>26</v>
      </c>
      <c r="AD1263" t="s">
        <v>26</v>
      </c>
      <c r="AE1263" t="s">
        <v>26</v>
      </c>
      <c r="AF1263" t="s">
        <v>26</v>
      </c>
      <c r="AG1263" t="s">
        <v>26</v>
      </c>
      <c r="AH1263" t="s">
        <v>26</v>
      </c>
      <c r="AI1263" t="s">
        <v>26</v>
      </c>
      <c r="AJ1263" t="s">
        <v>26</v>
      </c>
      <c r="AK1263" t="s">
        <v>26</v>
      </c>
      <c r="AL1263" t="s">
        <v>26</v>
      </c>
      <c r="AM1263" t="s">
        <v>26</v>
      </c>
      <c r="AN1263" t="s">
        <v>26</v>
      </c>
      <c r="AO1263" s="25" t="s">
        <v>28</v>
      </c>
      <c r="AP1263" s="23" t="s">
        <v>29</v>
      </c>
      <c r="AQ1263" s="23" t="s">
        <v>30</v>
      </c>
      <c r="AR1263" s="23" t="s">
        <v>3120</v>
      </c>
      <c r="AS1263" s="25">
        <v>5483563</v>
      </c>
      <c r="AT1263" s="23" t="s">
        <v>22181</v>
      </c>
      <c r="AU1263" t="s">
        <v>23885</v>
      </c>
    </row>
    <row r="1264" spans="1:47" ht="26.25" x14ac:dyDescent="0.4">
      <c r="A1264" s="23" t="s">
        <v>3121</v>
      </c>
      <c r="B1264" t="s">
        <v>26</v>
      </c>
      <c r="C1264" t="s">
        <v>26</v>
      </c>
      <c r="D1264" s="23" t="s">
        <v>22179</v>
      </c>
      <c r="E1264" t="s">
        <v>26</v>
      </c>
      <c r="F1264" t="s">
        <v>26</v>
      </c>
      <c r="G1264" t="s">
        <v>26</v>
      </c>
      <c r="H1264" t="s">
        <v>26</v>
      </c>
      <c r="I1264" s="24">
        <v>22647</v>
      </c>
      <c r="J1264" s="24">
        <v>22647</v>
      </c>
      <c r="K1264" t="s">
        <v>26</v>
      </c>
      <c r="L1264" s="25" t="s">
        <v>28</v>
      </c>
      <c r="M1264" t="s">
        <v>26</v>
      </c>
      <c r="N1264" t="s">
        <v>26</v>
      </c>
      <c r="O1264" t="s">
        <v>26</v>
      </c>
      <c r="P1264" s="24">
        <v>22647</v>
      </c>
      <c r="Q1264" s="24">
        <v>22647</v>
      </c>
      <c r="R1264" t="s">
        <v>26</v>
      </c>
      <c r="S1264" t="s">
        <v>26</v>
      </c>
      <c r="T1264" t="s">
        <v>26</v>
      </c>
      <c r="U1264" t="s">
        <v>26</v>
      </c>
      <c r="V1264" t="s">
        <v>26</v>
      </c>
      <c r="W1264" s="24">
        <v>22647</v>
      </c>
      <c r="X1264" s="24">
        <v>22647</v>
      </c>
      <c r="Y1264" t="s">
        <v>26</v>
      </c>
      <c r="Z1264" s="24">
        <v>22647</v>
      </c>
      <c r="AA1264" s="24">
        <v>22647</v>
      </c>
      <c r="AB1264" t="s">
        <v>26</v>
      </c>
      <c r="AC1264" t="s">
        <v>26</v>
      </c>
      <c r="AD1264" t="s">
        <v>26</v>
      </c>
      <c r="AE1264" t="s">
        <v>26</v>
      </c>
      <c r="AF1264" t="s">
        <v>26</v>
      </c>
      <c r="AG1264" t="s">
        <v>26</v>
      </c>
      <c r="AH1264" t="s">
        <v>26</v>
      </c>
      <c r="AI1264" t="s">
        <v>26</v>
      </c>
      <c r="AJ1264" t="s">
        <v>26</v>
      </c>
      <c r="AK1264" t="s">
        <v>26</v>
      </c>
      <c r="AL1264" t="s">
        <v>26</v>
      </c>
      <c r="AM1264" t="s">
        <v>26</v>
      </c>
      <c r="AN1264" t="s">
        <v>26</v>
      </c>
      <c r="AO1264" s="25" t="s">
        <v>28</v>
      </c>
      <c r="AP1264" s="23" t="s">
        <v>29</v>
      </c>
      <c r="AQ1264" s="23" t="s">
        <v>30</v>
      </c>
      <c r="AR1264" s="23" t="s">
        <v>44</v>
      </c>
      <c r="AS1264" s="25">
        <v>5483577</v>
      </c>
      <c r="AT1264" s="23" t="s">
        <v>22181</v>
      </c>
      <c r="AU1264" t="s">
        <v>23886</v>
      </c>
    </row>
    <row r="1265" spans="1:47" ht="13.15" x14ac:dyDescent="0.4">
      <c r="A1265" s="23" t="s">
        <v>23887</v>
      </c>
      <c r="B1265" t="s">
        <v>26</v>
      </c>
      <c r="C1265" s="23" t="s">
        <v>332</v>
      </c>
      <c r="D1265" t="s">
        <v>26</v>
      </c>
      <c r="E1265" s="23" t="s">
        <v>42</v>
      </c>
      <c r="F1265" t="s">
        <v>26</v>
      </c>
      <c r="G1265" t="s">
        <v>26</v>
      </c>
      <c r="H1265" t="s">
        <v>26</v>
      </c>
      <c r="I1265" s="24">
        <v>40179</v>
      </c>
      <c r="J1265" s="24">
        <v>40179</v>
      </c>
      <c r="K1265" t="s">
        <v>26</v>
      </c>
      <c r="L1265" s="25" t="s">
        <v>28</v>
      </c>
      <c r="M1265" s="24">
        <v>40179</v>
      </c>
      <c r="N1265" s="24">
        <v>40179</v>
      </c>
      <c r="O1265" t="s">
        <v>26</v>
      </c>
      <c r="P1265" t="s">
        <v>26</v>
      </c>
      <c r="Q1265" t="s">
        <v>26</v>
      </c>
      <c r="R1265" t="s">
        <v>26</v>
      </c>
      <c r="S1265" t="s">
        <v>26</v>
      </c>
      <c r="T1265" t="s">
        <v>26</v>
      </c>
      <c r="U1265" t="s">
        <v>26</v>
      </c>
      <c r="V1265" t="s">
        <v>26</v>
      </c>
      <c r="W1265" s="24">
        <v>40179</v>
      </c>
      <c r="X1265" s="24">
        <v>40179</v>
      </c>
      <c r="Y1265" t="s">
        <v>26</v>
      </c>
      <c r="Z1265" s="24">
        <v>40179</v>
      </c>
      <c r="AA1265" s="24">
        <v>40179</v>
      </c>
      <c r="AB1265" t="s">
        <v>26</v>
      </c>
      <c r="AC1265" s="24">
        <v>40179</v>
      </c>
      <c r="AD1265" s="24">
        <v>40179</v>
      </c>
      <c r="AE1265" t="s">
        <v>26</v>
      </c>
      <c r="AF1265" t="s">
        <v>26</v>
      </c>
      <c r="AG1265" t="s">
        <v>26</v>
      </c>
      <c r="AH1265" t="s">
        <v>26</v>
      </c>
      <c r="AI1265" t="s">
        <v>26</v>
      </c>
      <c r="AJ1265" t="s">
        <v>26</v>
      </c>
      <c r="AK1265" t="s">
        <v>26</v>
      </c>
      <c r="AL1265" t="s">
        <v>26</v>
      </c>
      <c r="AM1265" t="s">
        <v>26</v>
      </c>
      <c r="AN1265" t="s">
        <v>26</v>
      </c>
      <c r="AO1265" s="25" t="s">
        <v>28</v>
      </c>
      <c r="AP1265" s="23" t="s">
        <v>279</v>
      </c>
      <c r="AQ1265" t="s">
        <v>26</v>
      </c>
      <c r="AR1265" s="23" t="s">
        <v>46</v>
      </c>
      <c r="AS1265" s="25">
        <v>5643025</v>
      </c>
      <c r="AT1265" t="s">
        <v>26</v>
      </c>
      <c r="AU1265" t="s">
        <v>23888</v>
      </c>
    </row>
    <row r="1266" spans="1:47" ht="26.25" x14ac:dyDescent="0.4">
      <c r="A1266" s="23" t="s">
        <v>3122</v>
      </c>
      <c r="B1266" t="s">
        <v>26</v>
      </c>
      <c r="C1266" s="23" t="s">
        <v>1180</v>
      </c>
      <c r="D1266" s="23" t="s">
        <v>22706</v>
      </c>
      <c r="E1266" s="23" t="s">
        <v>60</v>
      </c>
      <c r="F1266" s="25" t="s">
        <v>3123</v>
      </c>
      <c r="G1266" t="s">
        <v>26</v>
      </c>
      <c r="H1266" t="s">
        <v>26</v>
      </c>
      <c r="I1266" t="s">
        <v>26</v>
      </c>
      <c r="J1266" t="s">
        <v>26</v>
      </c>
      <c r="K1266" t="s">
        <v>26</v>
      </c>
      <c r="L1266" s="25" t="s">
        <v>68</v>
      </c>
      <c r="M1266" t="s">
        <v>26</v>
      </c>
      <c r="N1266" t="s">
        <v>26</v>
      </c>
      <c r="O1266" t="s">
        <v>26</v>
      </c>
      <c r="P1266" t="s">
        <v>26</v>
      </c>
      <c r="Q1266" t="s">
        <v>26</v>
      </c>
      <c r="R1266" t="s">
        <v>26</v>
      </c>
      <c r="S1266" t="s">
        <v>26</v>
      </c>
      <c r="T1266" t="s">
        <v>26</v>
      </c>
      <c r="U1266" t="s">
        <v>26</v>
      </c>
      <c r="V1266" t="s">
        <v>26</v>
      </c>
      <c r="W1266" s="24">
        <v>42064</v>
      </c>
      <c r="X1266" s="25" t="s">
        <v>77</v>
      </c>
      <c r="Y1266" t="s">
        <v>26</v>
      </c>
      <c r="Z1266" s="24">
        <v>42064</v>
      </c>
      <c r="AA1266" s="25" t="s">
        <v>77</v>
      </c>
      <c r="AB1266" t="s">
        <v>26</v>
      </c>
      <c r="AC1266" s="24">
        <v>42064</v>
      </c>
      <c r="AD1266" s="25" t="s">
        <v>77</v>
      </c>
      <c r="AE1266" t="s">
        <v>26</v>
      </c>
      <c r="AF1266" t="s">
        <v>26</v>
      </c>
      <c r="AG1266" t="s">
        <v>26</v>
      </c>
      <c r="AH1266" t="s">
        <v>26</v>
      </c>
      <c r="AI1266" t="s">
        <v>26</v>
      </c>
      <c r="AJ1266" t="s">
        <v>26</v>
      </c>
      <c r="AK1266" t="s">
        <v>26</v>
      </c>
      <c r="AL1266" t="s">
        <v>26</v>
      </c>
      <c r="AM1266" t="s">
        <v>26</v>
      </c>
      <c r="AN1266" t="s">
        <v>26</v>
      </c>
      <c r="AO1266" s="25" t="s">
        <v>28</v>
      </c>
      <c r="AP1266" s="23" t="s">
        <v>69</v>
      </c>
      <c r="AQ1266" s="23" t="s">
        <v>30</v>
      </c>
      <c r="AR1266" s="23" t="s">
        <v>46</v>
      </c>
      <c r="AS1266" s="25">
        <v>2033257</v>
      </c>
      <c r="AT1266" t="s">
        <v>26</v>
      </c>
      <c r="AU1266" t="s">
        <v>23889</v>
      </c>
    </row>
    <row r="1267" spans="1:47" ht="26.25" x14ac:dyDescent="0.4">
      <c r="A1267" s="23" t="s">
        <v>3124</v>
      </c>
      <c r="B1267" t="s">
        <v>26</v>
      </c>
      <c r="C1267" s="23" t="s">
        <v>80</v>
      </c>
      <c r="D1267" s="23" t="s">
        <v>22184</v>
      </c>
      <c r="E1267" s="23" t="s">
        <v>60</v>
      </c>
      <c r="F1267" s="25" t="s">
        <v>3125</v>
      </c>
      <c r="G1267" s="25" t="s">
        <v>3126</v>
      </c>
      <c r="H1267" t="s">
        <v>26</v>
      </c>
      <c r="I1267" t="s">
        <v>26</v>
      </c>
      <c r="J1267" t="s">
        <v>26</v>
      </c>
      <c r="K1267" t="s">
        <v>26</v>
      </c>
      <c r="L1267" s="25" t="s">
        <v>68</v>
      </c>
      <c r="M1267" t="s">
        <v>26</v>
      </c>
      <c r="N1267" t="s">
        <v>26</v>
      </c>
      <c r="O1267" t="s">
        <v>26</v>
      </c>
      <c r="P1267" t="s">
        <v>26</v>
      </c>
      <c r="Q1267" t="s">
        <v>26</v>
      </c>
      <c r="R1267" t="s">
        <v>26</v>
      </c>
      <c r="S1267" t="s">
        <v>26</v>
      </c>
      <c r="T1267" t="s">
        <v>26</v>
      </c>
      <c r="U1267" t="s">
        <v>26</v>
      </c>
      <c r="V1267" t="s">
        <v>26</v>
      </c>
      <c r="W1267" s="24">
        <v>40238</v>
      </c>
      <c r="X1267" s="25" t="s">
        <v>77</v>
      </c>
      <c r="Y1267" t="s">
        <v>26</v>
      </c>
      <c r="Z1267" s="24">
        <v>40238</v>
      </c>
      <c r="AA1267" s="25" t="s">
        <v>77</v>
      </c>
      <c r="AB1267" t="s">
        <v>26</v>
      </c>
      <c r="AC1267" s="24">
        <v>40238</v>
      </c>
      <c r="AD1267" s="25" t="s">
        <v>77</v>
      </c>
      <c r="AE1267" t="s">
        <v>26</v>
      </c>
      <c r="AF1267" t="s">
        <v>26</v>
      </c>
      <c r="AG1267" t="s">
        <v>26</v>
      </c>
      <c r="AH1267" t="s">
        <v>26</v>
      </c>
      <c r="AI1267" t="s">
        <v>26</v>
      </c>
      <c r="AJ1267" t="s">
        <v>26</v>
      </c>
      <c r="AK1267" t="s">
        <v>26</v>
      </c>
      <c r="AL1267" t="s">
        <v>26</v>
      </c>
      <c r="AM1267" t="s">
        <v>26</v>
      </c>
      <c r="AN1267" t="s">
        <v>26</v>
      </c>
      <c r="AO1267" s="25" t="s">
        <v>68</v>
      </c>
      <c r="AP1267" s="23" t="s">
        <v>69</v>
      </c>
      <c r="AQ1267" s="23" t="s">
        <v>30</v>
      </c>
      <c r="AR1267" s="23" t="s">
        <v>70</v>
      </c>
      <c r="AS1267" s="25">
        <v>176152</v>
      </c>
      <c r="AT1267" t="s">
        <v>26</v>
      </c>
      <c r="AU1267" t="s">
        <v>23890</v>
      </c>
    </row>
    <row r="1268" spans="1:47" ht="26.25" x14ac:dyDescent="0.4">
      <c r="A1268" s="23" t="s">
        <v>3127</v>
      </c>
      <c r="B1268" t="s">
        <v>26</v>
      </c>
      <c r="C1268" s="23" t="s">
        <v>80</v>
      </c>
      <c r="D1268" s="23" t="s">
        <v>22184</v>
      </c>
      <c r="E1268" s="23" t="s">
        <v>60</v>
      </c>
      <c r="F1268" s="25" t="s">
        <v>3128</v>
      </c>
      <c r="G1268" t="s">
        <v>26</v>
      </c>
      <c r="H1268" t="s">
        <v>26</v>
      </c>
      <c r="I1268" t="s">
        <v>26</v>
      </c>
      <c r="J1268" t="s">
        <v>26</v>
      </c>
      <c r="K1268" t="s">
        <v>26</v>
      </c>
      <c r="L1268" s="25" t="s">
        <v>68</v>
      </c>
      <c r="M1268" t="s">
        <v>26</v>
      </c>
      <c r="N1268" t="s">
        <v>26</v>
      </c>
      <c r="O1268" t="s">
        <v>26</v>
      </c>
      <c r="P1268" t="s">
        <v>26</v>
      </c>
      <c r="Q1268" t="s">
        <v>26</v>
      </c>
      <c r="R1268" t="s">
        <v>26</v>
      </c>
      <c r="S1268" t="s">
        <v>26</v>
      </c>
      <c r="T1268" t="s">
        <v>26</v>
      </c>
      <c r="U1268" t="s">
        <v>26</v>
      </c>
      <c r="V1268" t="s">
        <v>26</v>
      </c>
      <c r="W1268" s="24">
        <v>43800</v>
      </c>
      <c r="X1268" s="24">
        <v>43800</v>
      </c>
      <c r="Y1268" t="s">
        <v>26</v>
      </c>
      <c r="Z1268" s="24">
        <v>43800</v>
      </c>
      <c r="AA1268" s="24">
        <v>43800</v>
      </c>
      <c r="AB1268" t="s">
        <v>26</v>
      </c>
      <c r="AC1268" s="24">
        <v>43800</v>
      </c>
      <c r="AD1268" s="24">
        <v>43800</v>
      </c>
      <c r="AE1268" t="s">
        <v>26</v>
      </c>
      <c r="AF1268" t="s">
        <v>26</v>
      </c>
      <c r="AG1268" t="s">
        <v>26</v>
      </c>
      <c r="AH1268" t="s">
        <v>26</v>
      </c>
      <c r="AI1268" t="s">
        <v>26</v>
      </c>
      <c r="AJ1268" t="s">
        <v>26</v>
      </c>
      <c r="AK1268" t="s">
        <v>26</v>
      </c>
      <c r="AL1268" t="s">
        <v>26</v>
      </c>
      <c r="AM1268" t="s">
        <v>26</v>
      </c>
      <c r="AN1268" t="s">
        <v>26</v>
      </c>
      <c r="AO1268" s="25" t="s">
        <v>68</v>
      </c>
      <c r="AP1268" s="23" t="s">
        <v>69</v>
      </c>
      <c r="AQ1268" s="23" t="s">
        <v>30</v>
      </c>
      <c r="AR1268" s="23" t="s">
        <v>1368</v>
      </c>
      <c r="AS1268" s="25">
        <v>176151</v>
      </c>
      <c r="AT1268" t="s">
        <v>26</v>
      </c>
      <c r="AU1268" t="s">
        <v>23891</v>
      </c>
    </row>
    <row r="1269" spans="1:47" ht="26.25" x14ac:dyDescent="0.4">
      <c r="A1269" s="23" t="s">
        <v>3127</v>
      </c>
      <c r="B1269" t="s">
        <v>26</v>
      </c>
      <c r="C1269" s="23" t="s">
        <v>80</v>
      </c>
      <c r="D1269" s="23" t="s">
        <v>22184</v>
      </c>
      <c r="E1269" s="23" t="s">
        <v>60</v>
      </c>
      <c r="F1269" s="25" t="s">
        <v>3128</v>
      </c>
      <c r="G1269" t="s">
        <v>26</v>
      </c>
      <c r="H1269" t="s">
        <v>26</v>
      </c>
      <c r="I1269" t="s">
        <v>26</v>
      </c>
      <c r="J1269" t="s">
        <v>26</v>
      </c>
      <c r="K1269" t="s">
        <v>26</v>
      </c>
      <c r="L1269" s="25" t="s">
        <v>68</v>
      </c>
      <c r="M1269" t="s">
        <v>26</v>
      </c>
      <c r="N1269" t="s">
        <v>26</v>
      </c>
      <c r="O1269" t="s">
        <v>26</v>
      </c>
      <c r="P1269" t="s">
        <v>26</v>
      </c>
      <c r="Q1269" t="s">
        <v>26</v>
      </c>
      <c r="R1269" t="s">
        <v>26</v>
      </c>
      <c r="S1269" t="s">
        <v>26</v>
      </c>
      <c r="T1269" t="s">
        <v>26</v>
      </c>
      <c r="U1269" t="s">
        <v>26</v>
      </c>
      <c r="V1269" t="s">
        <v>26</v>
      </c>
      <c r="W1269" s="24">
        <v>42339</v>
      </c>
      <c r="X1269" s="25" t="s">
        <v>77</v>
      </c>
      <c r="Y1269" t="s">
        <v>26</v>
      </c>
      <c r="Z1269" s="24">
        <v>42339</v>
      </c>
      <c r="AA1269" s="25" t="s">
        <v>77</v>
      </c>
      <c r="AB1269" t="s">
        <v>26</v>
      </c>
      <c r="AC1269" s="24">
        <v>42339</v>
      </c>
      <c r="AD1269" s="25" t="s">
        <v>77</v>
      </c>
      <c r="AE1269" t="s">
        <v>26</v>
      </c>
      <c r="AF1269" t="s">
        <v>26</v>
      </c>
      <c r="AG1269" t="s">
        <v>26</v>
      </c>
      <c r="AH1269" t="s">
        <v>26</v>
      </c>
      <c r="AI1269" t="s">
        <v>26</v>
      </c>
      <c r="AJ1269" t="s">
        <v>26</v>
      </c>
      <c r="AK1269" t="s">
        <v>26</v>
      </c>
      <c r="AL1269" t="s">
        <v>26</v>
      </c>
      <c r="AM1269" t="s">
        <v>26</v>
      </c>
      <c r="AN1269" t="s">
        <v>26</v>
      </c>
      <c r="AO1269" s="25" t="s">
        <v>68</v>
      </c>
      <c r="AP1269" s="23" t="s">
        <v>69</v>
      </c>
      <c r="AQ1269" s="23" t="s">
        <v>30</v>
      </c>
      <c r="AR1269" s="23" t="s">
        <v>1368</v>
      </c>
      <c r="AS1269" s="25">
        <v>2033255</v>
      </c>
      <c r="AT1269" t="s">
        <v>26</v>
      </c>
      <c r="AU1269" t="s">
        <v>23892</v>
      </c>
    </row>
    <row r="1270" spans="1:47" ht="26.25" x14ac:dyDescent="0.4">
      <c r="A1270" s="23" t="s">
        <v>3129</v>
      </c>
      <c r="B1270" t="s">
        <v>26</v>
      </c>
      <c r="C1270" s="23" t="s">
        <v>73</v>
      </c>
      <c r="D1270" s="23" t="s">
        <v>22211</v>
      </c>
      <c r="E1270" s="23" t="s">
        <v>74</v>
      </c>
      <c r="F1270" s="25" t="s">
        <v>3130</v>
      </c>
      <c r="G1270" s="25" t="s">
        <v>3131</v>
      </c>
      <c r="H1270" t="s">
        <v>26</v>
      </c>
      <c r="I1270" s="24">
        <v>36892</v>
      </c>
      <c r="J1270" s="25" t="s">
        <v>77</v>
      </c>
      <c r="K1270" t="s">
        <v>26</v>
      </c>
      <c r="L1270" s="25" t="s">
        <v>68</v>
      </c>
      <c r="M1270" s="24">
        <v>37987</v>
      </c>
      <c r="N1270" s="24">
        <v>42795</v>
      </c>
      <c r="O1270" t="s">
        <v>26</v>
      </c>
      <c r="P1270" s="24">
        <v>36892</v>
      </c>
      <c r="Q1270" s="25" t="s">
        <v>77</v>
      </c>
      <c r="R1270" t="s">
        <v>26</v>
      </c>
      <c r="S1270" t="s">
        <v>26</v>
      </c>
      <c r="T1270" t="s">
        <v>26</v>
      </c>
      <c r="U1270" t="s">
        <v>26</v>
      </c>
      <c r="V1270" s="25">
        <v>365</v>
      </c>
      <c r="W1270" s="24">
        <v>36892</v>
      </c>
      <c r="X1270" s="25" t="s">
        <v>77</v>
      </c>
      <c r="Y1270" t="s">
        <v>26</v>
      </c>
      <c r="Z1270" s="24">
        <v>36892</v>
      </c>
      <c r="AA1270" s="25" t="s">
        <v>77</v>
      </c>
      <c r="AB1270" t="s">
        <v>26</v>
      </c>
      <c r="AC1270" s="24">
        <v>36892</v>
      </c>
      <c r="AD1270" s="25" t="s">
        <v>77</v>
      </c>
      <c r="AE1270" t="s">
        <v>26</v>
      </c>
      <c r="AF1270" t="s">
        <v>26</v>
      </c>
      <c r="AG1270" t="s">
        <v>26</v>
      </c>
      <c r="AH1270" t="s">
        <v>26</v>
      </c>
      <c r="AI1270" t="s">
        <v>26</v>
      </c>
      <c r="AJ1270" t="s">
        <v>26</v>
      </c>
      <c r="AK1270" t="s">
        <v>26</v>
      </c>
      <c r="AL1270" t="s">
        <v>26</v>
      </c>
      <c r="AM1270" t="s">
        <v>26</v>
      </c>
      <c r="AN1270" t="s">
        <v>26</v>
      </c>
      <c r="AO1270" s="25" t="s">
        <v>68</v>
      </c>
      <c r="AP1270" s="23" t="s">
        <v>69</v>
      </c>
      <c r="AQ1270" s="23" t="s">
        <v>30</v>
      </c>
      <c r="AR1270" s="23" t="s">
        <v>249</v>
      </c>
      <c r="AS1270" s="25">
        <v>60278</v>
      </c>
      <c r="AT1270" t="s">
        <v>26</v>
      </c>
      <c r="AU1270" t="s">
        <v>23893</v>
      </c>
    </row>
    <row r="1271" spans="1:47" ht="26.25" x14ac:dyDescent="0.4">
      <c r="A1271" s="23" t="s">
        <v>3132</v>
      </c>
      <c r="B1271" t="s">
        <v>26</v>
      </c>
      <c r="C1271" s="23" t="s">
        <v>3133</v>
      </c>
      <c r="D1271" s="23" t="s">
        <v>23460</v>
      </c>
      <c r="E1271" s="23" t="s">
        <v>120</v>
      </c>
      <c r="F1271" t="s">
        <v>26</v>
      </c>
      <c r="G1271" s="25" t="s">
        <v>3134</v>
      </c>
      <c r="H1271" t="s">
        <v>26</v>
      </c>
      <c r="I1271" s="24">
        <v>41275</v>
      </c>
      <c r="J1271" s="24">
        <v>41548</v>
      </c>
      <c r="K1271" t="s">
        <v>26</v>
      </c>
      <c r="L1271" s="25" t="s">
        <v>68</v>
      </c>
      <c r="M1271" s="24">
        <v>41275</v>
      </c>
      <c r="N1271" s="24">
        <v>41548</v>
      </c>
      <c r="O1271" t="s">
        <v>26</v>
      </c>
      <c r="P1271" s="24">
        <v>41275</v>
      </c>
      <c r="Q1271" s="24">
        <v>41548</v>
      </c>
      <c r="R1271" t="s">
        <v>26</v>
      </c>
      <c r="S1271" t="s">
        <v>26</v>
      </c>
      <c r="T1271" t="s">
        <v>26</v>
      </c>
      <c r="U1271" t="s">
        <v>26</v>
      </c>
      <c r="V1271" t="s">
        <v>26</v>
      </c>
      <c r="W1271" s="24">
        <v>41275</v>
      </c>
      <c r="X1271" s="24">
        <v>41548</v>
      </c>
      <c r="Y1271" t="s">
        <v>26</v>
      </c>
      <c r="Z1271" s="24">
        <v>41275</v>
      </c>
      <c r="AA1271" s="24">
        <v>41548</v>
      </c>
      <c r="AB1271" t="s">
        <v>26</v>
      </c>
      <c r="AC1271" s="24">
        <v>41548</v>
      </c>
      <c r="AD1271" s="24">
        <v>41548</v>
      </c>
      <c r="AE1271" t="s">
        <v>26</v>
      </c>
      <c r="AF1271" t="s">
        <v>26</v>
      </c>
      <c r="AG1271" t="s">
        <v>26</v>
      </c>
      <c r="AH1271" t="s">
        <v>26</v>
      </c>
      <c r="AI1271" t="s">
        <v>26</v>
      </c>
      <c r="AJ1271" t="s">
        <v>26</v>
      </c>
      <c r="AK1271" t="s">
        <v>26</v>
      </c>
      <c r="AL1271" t="s">
        <v>26</v>
      </c>
      <c r="AM1271" t="s">
        <v>26</v>
      </c>
      <c r="AN1271" t="s">
        <v>26</v>
      </c>
      <c r="AO1271" s="25" t="s">
        <v>28</v>
      </c>
      <c r="AP1271" s="23" t="s">
        <v>69</v>
      </c>
      <c r="AQ1271" s="23" t="s">
        <v>30</v>
      </c>
      <c r="AR1271" s="23" t="s">
        <v>1688</v>
      </c>
      <c r="AS1271" s="25">
        <v>2030319</v>
      </c>
      <c r="AT1271" t="s">
        <v>26</v>
      </c>
      <c r="AU1271" t="s">
        <v>23894</v>
      </c>
    </row>
    <row r="1272" spans="1:47" ht="26.25" x14ac:dyDescent="0.4">
      <c r="A1272" s="23" t="s">
        <v>3135</v>
      </c>
      <c r="B1272" t="s">
        <v>26</v>
      </c>
      <c r="C1272" s="23" t="s">
        <v>73</v>
      </c>
      <c r="D1272" s="23" t="s">
        <v>23895</v>
      </c>
      <c r="E1272" s="23" t="s">
        <v>74</v>
      </c>
      <c r="F1272" s="25" t="s">
        <v>3136</v>
      </c>
      <c r="G1272" s="25" t="s">
        <v>3137</v>
      </c>
      <c r="H1272" t="s">
        <v>26</v>
      </c>
      <c r="I1272" s="24">
        <v>35796</v>
      </c>
      <c r="J1272" s="25" t="s">
        <v>77</v>
      </c>
      <c r="K1272" t="s">
        <v>26</v>
      </c>
      <c r="L1272" s="25" t="s">
        <v>68</v>
      </c>
      <c r="M1272" s="24">
        <v>38047</v>
      </c>
      <c r="N1272" s="24">
        <v>42887</v>
      </c>
      <c r="O1272" t="s">
        <v>26</v>
      </c>
      <c r="P1272" s="24">
        <v>35796</v>
      </c>
      <c r="Q1272" s="25" t="s">
        <v>77</v>
      </c>
      <c r="R1272" t="s">
        <v>26</v>
      </c>
      <c r="S1272" t="s">
        <v>26</v>
      </c>
      <c r="T1272" t="s">
        <v>26</v>
      </c>
      <c r="U1272" t="s">
        <v>26</v>
      </c>
      <c r="V1272" s="25">
        <v>365</v>
      </c>
      <c r="W1272" s="24">
        <v>35796</v>
      </c>
      <c r="X1272" s="25" t="s">
        <v>77</v>
      </c>
      <c r="Y1272" t="s">
        <v>26</v>
      </c>
      <c r="Z1272" s="24">
        <v>35796</v>
      </c>
      <c r="AA1272" s="25" t="s">
        <v>77</v>
      </c>
      <c r="AB1272" t="s">
        <v>26</v>
      </c>
      <c r="AC1272" s="24">
        <v>35796</v>
      </c>
      <c r="AD1272" s="25" t="s">
        <v>77</v>
      </c>
      <c r="AE1272" t="s">
        <v>26</v>
      </c>
      <c r="AF1272" t="s">
        <v>26</v>
      </c>
      <c r="AG1272" t="s">
        <v>26</v>
      </c>
      <c r="AH1272" t="s">
        <v>26</v>
      </c>
      <c r="AI1272" t="s">
        <v>26</v>
      </c>
      <c r="AJ1272" t="s">
        <v>26</v>
      </c>
      <c r="AK1272" t="s">
        <v>26</v>
      </c>
      <c r="AL1272" t="s">
        <v>26</v>
      </c>
      <c r="AM1272" t="s">
        <v>26</v>
      </c>
      <c r="AN1272" t="s">
        <v>26</v>
      </c>
      <c r="AO1272" s="25" t="s">
        <v>68</v>
      </c>
      <c r="AP1272" s="23" t="s">
        <v>69</v>
      </c>
      <c r="AQ1272" s="23" t="s">
        <v>30</v>
      </c>
      <c r="AR1272" s="23" t="s">
        <v>337</v>
      </c>
      <c r="AS1272" s="25">
        <v>54142</v>
      </c>
      <c r="AT1272" t="s">
        <v>26</v>
      </c>
      <c r="AU1272" t="s">
        <v>23896</v>
      </c>
    </row>
    <row r="1273" spans="1:47" ht="26.25" x14ac:dyDescent="0.4">
      <c r="A1273" s="23" t="s">
        <v>3138</v>
      </c>
      <c r="B1273" t="s">
        <v>26</v>
      </c>
      <c r="C1273" s="23" t="s">
        <v>1481</v>
      </c>
      <c r="D1273" s="23" t="s">
        <v>22190</v>
      </c>
      <c r="E1273" s="23" t="s">
        <v>60</v>
      </c>
      <c r="F1273" s="25" t="s">
        <v>3139</v>
      </c>
      <c r="G1273" s="25" t="s">
        <v>3140</v>
      </c>
      <c r="H1273" t="s">
        <v>26</v>
      </c>
      <c r="I1273" t="s">
        <v>26</v>
      </c>
      <c r="J1273" t="s">
        <v>26</v>
      </c>
      <c r="K1273" t="s">
        <v>26</v>
      </c>
      <c r="L1273" s="25" t="s">
        <v>68</v>
      </c>
      <c r="M1273" t="s">
        <v>26</v>
      </c>
      <c r="N1273" t="s">
        <v>26</v>
      </c>
      <c r="O1273" t="s">
        <v>26</v>
      </c>
      <c r="P1273" t="s">
        <v>26</v>
      </c>
      <c r="Q1273" t="s">
        <v>26</v>
      </c>
      <c r="R1273" t="s">
        <v>26</v>
      </c>
      <c r="S1273" t="s">
        <v>26</v>
      </c>
      <c r="T1273" t="s">
        <v>26</v>
      </c>
      <c r="U1273" t="s">
        <v>26</v>
      </c>
      <c r="V1273" t="s">
        <v>26</v>
      </c>
      <c r="W1273" s="24">
        <v>37987</v>
      </c>
      <c r="X1273" s="25" t="s">
        <v>77</v>
      </c>
      <c r="Y1273" t="s">
        <v>26</v>
      </c>
      <c r="Z1273" s="24">
        <v>37987</v>
      </c>
      <c r="AA1273" s="25" t="s">
        <v>77</v>
      </c>
      <c r="AB1273" t="s">
        <v>26</v>
      </c>
      <c r="AC1273" s="24">
        <v>37987</v>
      </c>
      <c r="AD1273" s="25" t="s">
        <v>77</v>
      </c>
      <c r="AE1273" t="s">
        <v>26</v>
      </c>
      <c r="AF1273" t="s">
        <v>26</v>
      </c>
      <c r="AG1273" t="s">
        <v>26</v>
      </c>
      <c r="AH1273" t="s">
        <v>26</v>
      </c>
      <c r="AI1273" t="s">
        <v>26</v>
      </c>
      <c r="AJ1273" t="s">
        <v>26</v>
      </c>
      <c r="AK1273" t="s">
        <v>26</v>
      </c>
      <c r="AL1273" t="s">
        <v>26</v>
      </c>
      <c r="AM1273" t="s">
        <v>26</v>
      </c>
      <c r="AN1273" t="s">
        <v>26</v>
      </c>
      <c r="AO1273" s="25" t="s">
        <v>68</v>
      </c>
      <c r="AP1273" s="23" t="s">
        <v>69</v>
      </c>
      <c r="AQ1273" s="23" t="s">
        <v>30</v>
      </c>
      <c r="AR1273" s="23" t="s">
        <v>3141</v>
      </c>
      <c r="AS1273" s="25">
        <v>46686</v>
      </c>
      <c r="AT1273" t="s">
        <v>26</v>
      </c>
      <c r="AU1273" t="s">
        <v>23897</v>
      </c>
    </row>
    <row r="1274" spans="1:47" ht="26.25" x14ac:dyDescent="0.4">
      <c r="A1274" s="23" t="s">
        <v>3142</v>
      </c>
      <c r="B1274" t="s">
        <v>26</v>
      </c>
      <c r="C1274" s="23" t="s">
        <v>3143</v>
      </c>
      <c r="D1274" s="23" t="s">
        <v>23898</v>
      </c>
      <c r="E1274" s="23" t="s">
        <v>2636</v>
      </c>
      <c r="F1274" s="25" t="s">
        <v>3144</v>
      </c>
      <c r="G1274" s="25" t="s">
        <v>3145</v>
      </c>
      <c r="H1274" t="s">
        <v>26</v>
      </c>
      <c r="I1274" s="24">
        <v>41275</v>
      </c>
      <c r="J1274" s="25" t="s">
        <v>77</v>
      </c>
      <c r="K1274" t="s">
        <v>26</v>
      </c>
      <c r="L1274" s="25" t="s">
        <v>68</v>
      </c>
      <c r="M1274" t="s">
        <v>26</v>
      </c>
      <c r="N1274" t="s">
        <v>26</v>
      </c>
      <c r="O1274" t="s">
        <v>26</v>
      </c>
      <c r="P1274" s="24">
        <v>41275</v>
      </c>
      <c r="Q1274" s="25" t="s">
        <v>77</v>
      </c>
      <c r="R1274" t="s">
        <v>26</v>
      </c>
      <c r="S1274" t="s">
        <v>26</v>
      </c>
      <c r="T1274" t="s">
        <v>26</v>
      </c>
      <c r="U1274" t="s">
        <v>26</v>
      </c>
      <c r="V1274" s="25">
        <v>180</v>
      </c>
      <c r="W1274" s="24">
        <v>41275</v>
      </c>
      <c r="X1274" s="25" t="s">
        <v>77</v>
      </c>
      <c r="Y1274" t="s">
        <v>26</v>
      </c>
      <c r="Z1274" s="24">
        <v>41275</v>
      </c>
      <c r="AA1274" s="25" t="s">
        <v>77</v>
      </c>
      <c r="AB1274" t="s">
        <v>26</v>
      </c>
      <c r="AC1274" s="24">
        <v>41275</v>
      </c>
      <c r="AD1274" s="25" t="s">
        <v>77</v>
      </c>
      <c r="AE1274" t="s">
        <v>26</v>
      </c>
      <c r="AF1274" t="s">
        <v>26</v>
      </c>
      <c r="AG1274" t="s">
        <v>26</v>
      </c>
      <c r="AH1274" t="s">
        <v>26</v>
      </c>
      <c r="AI1274" t="s">
        <v>26</v>
      </c>
      <c r="AJ1274" t="s">
        <v>26</v>
      </c>
      <c r="AK1274" t="s">
        <v>26</v>
      </c>
      <c r="AL1274" t="s">
        <v>26</v>
      </c>
      <c r="AM1274" t="s">
        <v>26</v>
      </c>
      <c r="AN1274" t="s">
        <v>26</v>
      </c>
      <c r="AO1274" s="25" t="s">
        <v>68</v>
      </c>
      <c r="AP1274" s="23" t="s">
        <v>69</v>
      </c>
      <c r="AQ1274" s="23" t="s">
        <v>30</v>
      </c>
      <c r="AR1274" s="23" t="s">
        <v>896</v>
      </c>
      <c r="AS1274" s="25">
        <v>2031345</v>
      </c>
      <c r="AT1274" t="s">
        <v>26</v>
      </c>
      <c r="AU1274" t="s">
        <v>23899</v>
      </c>
    </row>
    <row r="1275" spans="1:47" ht="26.25" x14ac:dyDescent="0.4">
      <c r="A1275" s="23" t="s">
        <v>3146</v>
      </c>
      <c r="B1275" t="s">
        <v>26</v>
      </c>
      <c r="C1275" s="23" t="s">
        <v>259</v>
      </c>
      <c r="D1275" s="23" t="s">
        <v>22179</v>
      </c>
      <c r="E1275" s="23" t="s">
        <v>60</v>
      </c>
      <c r="F1275" s="25" t="s">
        <v>3147</v>
      </c>
      <c r="G1275" s="25" t="s">
        <v>3148</v>
      </c>
      <c r="H1275" t="s">
        <v>26</v>
      </c>
      <c r="I1275" s="24">
        <v>40909</v>
      </c>
      <c r="J1275" s="25" t="s">
        <v>77</v>
      </c>
      <c r="K1275" t="s">
        <v>26</v>
      </c>
      <c r="L1275" s="25" t="s">
        <v>68</v>
      </c>
      <c r="M1275" s="24">
        <v>40909</v>
      </c>
      <c r="N1275" s="25" t="s">
        <v>77</v>
      </c>
      <c r="O1275" t="s">
        <v>26</v>
      </c>
      <c r="P1275" s="24">
        <v>40909</v>
      </c>
      <c r="Q1275" s="25" t="s">
        <v>77</v>
      </c>
      <c r="R1275" t="s">
        <v>26</v>
      </c>
      <c r="S1275" t="s">
        <v>26</v>
      </c>
      <c r="T1275" t="s">
        <v>26</v>
      </c>
      <c r="U1275" t="s">
        <v>26</v>
      </c>
      <c r="V1275" t="s">
        <v>26</v>
      </c>
      <c r="W1275" s="24">
        <v>40909</v>
      </c>
      <c r="X1275" s="25" t="s">
        <v>77</v>
      </c>
      <c r="Y1275" t="s">
        <v>26</v>
      </c>
      <c r="Z1275" s="24">
        <v>40909</v>
      </c>
      <c r="AA1275" s="25" t="s">
        <v>77</v>
      </c>
      <c r="AB1275" t="s">
        <v>26</v>
      </c>
      <c r="AC1275" s="24">
        <v>40909</v>
      </c>
      <c r="AD1275" s="25" t="s">
        <v>77</v>
      </c>
      <c r="AE1275" t="s">
        <v>26</v>
      </c>
      <c r="AF1275" t="s">
        <v>26</v>
      </c>
      <c r="AG1275" t="s">
        <v>26</v>
      </c>
      <c r="AH1275" t="s">
        <v>26</v>
      </c>
      <c r="AI1275" t="s">
        <v>26</v>
      </c>
      <c r="AJ1275" t="s">
        <v>26</v>
      </c>
      <c r="AK1275" t="s">
        <v>26</v>
      </c>
      <c r="AL1275" t="s">
        <v>26</v>
      </c>
      <c r="AM1275" t="s">
        <v>26</v>
      </c>
      <c r="AN1275" t="s">
        <v>26</v>
      </c>
      <c r="AO1275" s="25" t="s">
        <v>68</v>
      </c>
      <c r="AP1275" s="23" t="s">
        <v>69</v>
      </c>
      <c r="AQ1275" s="23" t="s">
        <v>30</v>
      </c>
      <c r="AR1275" s="23" t="s">
        <v>458</v>
      </c>
      <c r="AS1275" s="25">
        <v>1606376</v>
      </c>
      <c r="AT1275" t="s">
        <v>26</v>
      </c>
      <c r="AU1275" t="s">
        <v>23900</v>
      </c>
    </row>
    <row r="1276" spans="1:47" ht="26.25" x14ac:dyDescent="0.4">
      <c r="A1276" s="23" t="s">
        <v>3149</v>
      </c>
      <c r="B1276" t="s">
        <v>26</v>
      </c>
      <c r="C1276" s="23" t="s">
        <v>3150</v>
      </c>
      <c r="D1276" s="23" t="s">
        <v>22453</v>
      </c>
      <c r="E1276" s="23" t="s">
        <v>711</v>
      </c>
      <c r="F1276" s="25" t="s">
        <v>3151</v>
      </c>
      <c r="G1276" s="25" t="s">
        <v>3152</v>
      </c>
      <c r="H1276" t="s">
        <v>26</v>
      </c>
      <c r="I1276" t="s">
        <v>26</v>
      </c>
      <c r="J1276" t="s">
        <v>26</v>
      </c>
      <c r="K1276" t="s">
        <v>26</v>
      </c>
      <c r="L1276" s="25" t="s">
        <v>68</v>
      </c>
      <c r="M1276" t="s">
        <v>26</v>
      </c>
      <c r="N1276" t="s">
        <v>26</v>
      </c>
      <c r="O1276" t="s">
        <v>26</v>
      </c>
      <c r="P1276" t="s">
        <v>26</v>
      </c>
      <c r="Q1276" t="s">
        <v>26</v>
      </c>
      <c r="R1276" t="s">
        <v>26</v>
      </c>
      <c r="S1276" t="s">
        <v>26</v>
      </c>
      <c r="T1276" t="s">
        <v>26</v>
      </c>
      <c r="U1276" t="s">
        <v>26</v>
      </c>
      <c r="V1276" t="s">
        <v>26</v>
      </c>
      <c r="W1276" s="24">
        <v>42736</v>
      </c>
      <c r="X1276" s="25" t="s">
        <v>77</v>
      </c>
      <c r="Y1276" t="s">
        <v>26</v>
      </c>
      <c r="Z1276" s="24">
        <v>42736</v>
      </c>
      <c r="AA1276" s="25" t="s">
        <v>77</v>
      </c>
      <c r="AB1276" t="s">
        <v>26</v>
      </c>
      <c r="AC1276" s="24">
        <v>42736</v>
      </c>
      <c r="AD1276" s="25" t="s">
        <v>77</v>
      </c>
      <c r="AE1276" t="s">
        <v>26</v>
      </c>
      <c r="AF1276" t="s">
        <v>26</v>
      </c>
      <c r="AG1276" t="s">
        <v>26</v>
      </c>
      <c r="AH1276" t="s">
        <v>26</v>
      </c>
      <c r="AI1276" t="s">
        <v>26</v>
      </c>
      <c r="AJ1276" t="s">
        <v>26</v>
      </c>
      <c r="AK1276" t="s">
        <v>26</v>
      </c>
      <c r="AL1276" t="s">
        <v>26</v>
      </c>
      <c r="AM1276" t="s">
        <v>26</v>
      </c>
      <c r="AN1276" t="s">
        <v>26</v>
      </c>
      <c r="AO1276" s="25" t="s">
        <v>68</v>
      </c>
      <c r="AP1276" s="23" t="s">
        <v>69</v>
      </c>
      <c r="AQ1276" s="23" t="s">
        <v>30</v>
      </c>
      <c r="AR1276" s="23" t="s">
        <v>78</v>
      </c>
      <c r="AS1276" s="25">
        <v>2047581</v>
      </c>
      <c r="AT1276" t="s">
        <v>26</v>
      </c>
      <c r="AU1276" t="s">
        <v>23901</v>
      </c>
    </row>
    <row r="1277" spans="1:47" ht="26.25" x14ac:dyDescent="0.4">
      <c r="A1277" s="23" t="s">
        <v>3153</v>
      </c>
      <c r="B1277" t="s">
        <v>26</v>
      </c>
      <c r="C1277" s="23" t="s">
        <v>320</v>
      </c>
      <c r="D1277" s="23" t="s">
        <v>22242</v>
      </c>
      <c r="E1277" s="23" t="s">
        <v>42</v>
      </c>
      <c r="F1277" s="25" t="s">
        <v>3154</v>
      </c>
      <c r="G1277" s="25" t="s">
        <v>3155</v>
      </c>
      <c r="H1277" t="s">
        <v>26</v>
      </c>
      <c r="I1277" t="s">
        <v>26</v>
      </c>
      <c r="J1277" t="s">
        <v>26</v>
      </c>
      <c r="K1277" t="s">
        <v>26</v>
      </c>
      <c r="L1277" s="25" t="s">
        <v>68</v>
      </c>
      <c r="M1277" t="s">
        <v>26</v>
      </c>
      <c r="N1277" t="s">
        <v>26</v>
      </c>
      <c r="O1277" t="s">
        <v>26</v>
      </c>
      <c r="P1277" t="s">
        <v>26</v>
      </c>
      <c r="Q1277" t="s">
        <v>26</v>
      </c>
      <c r="R1277" t="s">
        <v>26</v>
      </c>
      <c r="S1277" t="s">
        <v>26</v>
      </c>
      <c r="T1277" t="s">
        <v>26</v>
      </c>
      <c r="U1277" t="s">
        <v>26</v>
      </c>
      <c r="V1277" t="s">
        <v>26</v>
      </c>
      <c r="W1277" s="24">
        <v>41061</v>
      </c>
      <c r="X1277" s="25" t="s">
        <v>77</v>
      </c>
      <c r="Y1277" t="s">
        <v>26</v>
      </c>
      <c r="Z1277" s="24">
        <v>41061</v>
      </c>
      <c r="AA1277" s="25" t="s">
        <v>77</v>
      </c>
      <c r="AB1277" t="s">
        <v>26</v>
      </c>
      <c r="AC1277" s="24">
        <v>41061</v>
      </c>
      <c r="AD1277" s="25" t="s">
        <v>77</v>
      </c>
      <c r="AE1277" t="s">
        <v>26</v>
      </c>
      <c r="AF1277" t="s">
        <v>26</v>
      </c>
      <c r="AG1277" t="s">
        <v>26</v>
      </c>
      <c r="AH1277" t="s">
        <v>26</v>
      </c>
      <c r="AI1277" t="s">
        <v>26</v>
      </c>
      <c r="AJ1277" t="s">
        <v>26</v>
      </c>
      <c r="AK1277" t="s">
        <v>26</v>
      </c>
      <c r="AL1277" t="s">
        <v>26</v>
      </c>
      <c r="AM1277" t="s">
        <v>26</v>
      </c>
      <c r="AN1277" t="s">
        <v>26</v>
      </c>
      <c r="AO1277" s="25" t="s">
        <v>68</v>
      </c>
      <c r="AP1277" s="23" t="s">
        <v>69</v>
      </c>
      <c r="AQ1277" s="23" t="s">
        <v>30</v>
      </c>
      <c r="AR1277" s="23" t="s">
        <v>46</v>
      </c>
      <c r="AS1277" s="25">
        <v>996371</v>
      </c>
      <c r="AT1277" t="s">
        <v>26</v>
      </c>
      <c r="AU1277" t="s">
        <v>23902</v>
      </c>
    </row>
    <row r="1278" spans="1:47" ht="26.25" x14ac:dyDescent="0.4">
      <c r="A1278" s="23" t="s">
        <v>3156</v>
      </c>
      <c r="B1278" t="s">
        <v>26</v>
      </c>
      <c r="C1278" s="23" t="s">
        <v>3157</v>
      </c>
      <c r="D1278" s="23" t="s">
        <v>22436</v>
      </c>
      <c r="E1278" s="23" t="s">
        <v>42</v>
      </c>
      <c r="F1278" s="25" t="s">
        <v>3158</v>
      </c>
      <c r="G1278" s="25" t="s">
        <v>3159</v>
      </c>
      <c r="H1278" t="s">
        <v>26</v>
      </c>
      <c r="I1278" t="s">
        <v>26</v>
      </c>
      <c r="J1278" t="s">
        <v>26</v>
      </c>
      <c r="K1278" t="s">
        <v>26</v>
      </c>
      <c r="L1278" s="25" t="s">
        <v>68</v>
      </c>
      <c r="M1278" t="s">
        <v>26</v>
      </c>
      <c r="N1278" t="s">
        <v>26</v>
      </c>
      <c r="O1278" t="s">
        <v>26</v>
      </c>
      <c r="P1278" t="s">
        <v>26</v>
      </c>
      <c r="Q1278" t="s">
        <v>26</v>
      </c>
      <c r="R1278" t="s">
        <v>26</v>
      </c>
      <c r="S1278" t="s">
        <v>26</v>
      </c>
      <c r="T1278" t="s">
        <v>26</v>
      </c>
      <c r="U1278" t="s">
        <v>26</v>
      </c>
      <c r="V1278" t="s">
        <v>26</v>
      </c>
      <c r="W1278" s="24">
        <v>37987</v>
      </c>
      <c r="X1278" s="24">
        <v>42552</v>
      </c>
      <c r="Y1278" t="s">
        <v>26</v>
      </c>
      <c r="Z1278" s="24">
        <v>37987</v>
      </c>
      <c r="AA1278" s="24">
        <v>42552</v>
      </c>
      <c r="AB1278" t="s">
        <v>26</v>
      </c>
      <c r="AC1278" s="24">
        <v>37987</v>
      </c>
      <c r="AD1278" s="24">
        <v>42552</v>
      </c>
      <c r="AE1278" t="s">
        <v>26</v>
      </c>
      <c r="AF1278" t="s">
        <v>26</v>
      </c>
      <c r="AG1278" t="s">
        <v>26</v>
      </c>
      <c r="AH1278" t="s">
        <v>26</v>
      </c>
      <c r="AI1278" t="s">
        <v>26</v>
      </c>
      <c r="AJ1278" t="s">
        <v>26</v>
      </c>
      <c r="AK1278" t="s">
        <v>26</v>
      </c>
      <c r="AL1278" t="s">
        <v>26</v>
      </c>
      <c r="AM1278" t="s">
        <v>26</v>
      </c>
      <c r="AN1278" t="s">
        <v>26</v>
      </c>
      <c r="AO1278" s="25" t="s">
        <v>68</v>
      </c>
      <c r="AP1278" s="23" t="s">
        <v>69</v>
      </c>
      <c r="AQ1278" s="23" t="s">
        <v>30</v>
      </c>
      <c r="AR1278" s="23" t="s">
        <v>3160</v>
      </c>
      <c r="AS1278" s="25">
        <v>46405</v>
      </c>
      <c r="AT1278" t="s">
        <v>26</v>
      </c>
      <c r="AU1278" t="s">
        <v>23903</v>
      </c>
    </row>
    <row r="1279" spans="1:47" ht="26.25" x14ac:dyDescent="0.4">
      <c r="A1279" s="23" t="s">
        <v>3161</v>
      </c>
      <c r="B1279" t="s">
        <v>26</v>
      </c>
      <c r="C1279" s="23" t="s">
        <v>107</v>
      </c>
      <c r="D1279" s="23" t="s">
        <v>22222</v>
      </c>
      <c r="E1279" s="23" t="s">
        <v>42</v>
      </c>
      <c r="F1279" s="25" t="s">
        <v>3162</v>
      </c>
      <c r="G1279" t="s">
        <v>26</v>
      </c>
      <c r="H1279" t="s">
        <v>26</v>
      </c>
      <c r="I1279" t="s">
        <v>26</v>
      </c>
      <c r="J1279" t="s">
        <v>26</v>
      </c>
      <c r="K1279" t="s">
        <v>26</v>
      </c>
      <c r="L1279" s="25" t="s">
        <v>68</v>
      </c>
      <c r="M1279" t="s">
        <v>26</v>
      </c>
      <c r="N1279" t="s">
        <v>26</v>
      </c>
      <c r="O1279" t="s">
        <v>26</v>
      </c>
      <c r="P1279" t="s">
        <v>26</v>
      </c>
      <c r="Q1279" t="s">
        <v>26</v>
      </c>
      <c r="R1279" t="s">
        <v>26</v>
      </c>
      <c r="S1279" t="s">
        <v>26</v>
      </c>
      <c r="T1279" t="s">
        <v>26</v>
      </c>
      <c r="U1279" t="s">
        <v>26</v>
      </c>
      <c r="V1279" t="s">
        <v>26</v>
      </c>
      <c r="W1279" s="24">
        <v>35521</v>
      </c>
      <c r="X1279" s="25" t="s">
        <v>77</v>
      </c>
      <c r="Y1279" t="s">
        <v>26</v>
      </c>
      <c r="Z1279" s="24">
        <v>35521</v>
      </c>
      <c r="AA1279" s="25" t="s">
        <v>77</v>
      </c>
      <c r="AB1279" t="s">
        <v>26</v>
      </c>
      <c r="AC1279" s="24">
        <v>35521</v>
      </c>
      <c r="AD1279" s="25" t="s">
        <v>77</v>
      </c>
      <c r="AE1279" t="s">
        <v>26</v>
      </c>
      <c r="AF1279" t="s">
        <v>26</v>
      </c>
      <c r="AG1279" t="s">
        <v>26</v>
      </c>
      <c r="AH1279" t="s">
        <v>26</v>
      </c>
      <c r="AI1279" t="s">
        <v>26</v>
      </c>
      <c r="AJ1279" t="s">
        <v>26</v>
      </c>
      <c r="AK1279" t="s">
        <v>26</v>
      </c>
      <c r="AL1279" t="s">
        <v>26</v>
      </c>
      <c r="AM1279" t="s">
        <v>26</v>
      </c>
      <c r="AN1279" t="s">
        <v>26</v>
      </c>
      <c r="AO1279" s="25" t="s">
        <v>68</v>
      </c>
      <c r="AP1279" s="23" t="s">
        <v>69</v>
      </c>
      <c r="AQ1279" s="23" t="s">
        <v>30</v>
      </c>
      <c r="AR1279" s="23" t="s">
        <v>46</v>
      </c>
      <c r="AS1279" s="25">
        <v>2033251</v>
      </c>
      <c r="AT1279" t="s">
        <v>26</v>
      </c>
      <c r="AU1279" t="s">
        <v>23904</v>
      </c>
    </row>
    <row r="1280" spans="1:47" ht="26.25" x14ac:dyDescent="0.4">
      <c r="A1280" s="23" t="s">
        <v>3163</v>
      </c>
      <c r="B1280" t="s">
        <v>26</v>
      </c>
      <c r="C1280" s="23" t="s">
        <v>73</v>
      </c>
      <c r="D1280" s="23" t="s">
        <v>22179</v>
      </c>
      <c r="E1280" s="23" t="s">
        <v>74</v>
      </c>
      <c r="F1280" s="25" t="s">
        <v>3164</v>
      </c>
      <c r="G1280" s="25" t="s">
        <v>3165</v>
      </c>
      <c r="H1280" t="s">
        <v>26</v>
      </c>
      <c r="I1280" s="24">
        <v>35490</v>
      </c>
      <c r="J1280" s="25" t="s">
        <v>77</v>
      </c>
      <c r="K1280" s="25" t="s">
        <v>3166</v>
      </c>
      <c r="L1280" s="25" t="s">
        <v>68</v>
      </c>
      <c r="M1280" s="24">
        <v>40787</v>
      </c>
      <c r="N1280" s="24">
        <v>42826</v>
      </c>
      <c r="O1280" t="s">
        <v>26</v>
      </c>
      <c r="P1280" s="24">
        <v>35490</v>
      </c>
      <c r="Q1280" s="25" t="s">
        <v>77</v>
      </c>
      <c r="R1280" s="25" t="s">
        <v>3166</v>
      </c>
      <c r="S1280" t="s">
        <v>26</v>
      </c>
      <c r="T1280" t="s">
        <v>26</v>
      </c>
      <c r="U1280" t="s">
        <v>26</v>
      </c>
      <c r="V1280" s="25">
        <v>365</v>
      </c>
      <c r="W1280" s="24">
        <v>35490</v>
      </c>
      <c r="X1280" s="25" t="s">
        <v>77</v>
      </c>
      <c r="Y1280" t="s">
        <v>26</v>
      </c>
      <c r="Z1280" s="24">
        <v>35490</v>
      </c>
      <c r="AA1280" s="25" t="s">
        <v>77</v>
      </c>
      <c r="AB1280" t="s">
        <v>26</v>
      </c>
      <c r="AC1280" s="24">
        <v>35490</v>
      </c>
      <c r="AD1280" s="25" t="s">
        <v>77</v>
      </c>
      <c r="AE1280" t="s">
        <v>26</v>
      </c>
      <c r="AF1280" t="s">
        <v>26</v>
      </c>
      <c r="AG1280" t="s">
        <v>26</v>
      </c>
      <c r="AH1280" t="s">
        <v>26</v>
      </c>
      <c r="AI1280" t="s">
        <v>26</v>
      </c>
      <c r="AJ1280" t="s">
        <v>26</v>
      </c>
      <c r="AK1280" t="s">
        <v>26</v>
      </c>
      <c r="AL1280" t="s">
        <v>26</v>
      </c>
      <c r="AM1280" t="s">
        <v>26</v>
      </c>
      <c r="AN1280" t="s">
        <v>26</v>
      </c>
      <c r="AO1280" s="25" t="s">
        <v>68</v>
      </c>
      <c r="AP1280" s="23" t="s">
        <v>69</v>
      </c>
      <c r="AQ1280" s="23" t="s">
        <v>30</v>
      </c>
      <c r="AR1280" s="23" t="s">
        <v>257</v>
      </c>
      <c r="AS1280" s="25">
        <v>46406</v>
      </c>
      <c r="AT1280" t="s">
        <v>26</v>
      </c>
      <c r="AU1280" t="s">
        <v>23905</v>
      </c>
    </row>
    <row r="1281" spans="1:47" ht="26.25" x14ac:dyDescent="0.4">
      <c r="A1281" s="23" t="s">
        <v>3167</v>
      </c>
      <c r="B1281" t="s">
        <v>26</v>
      </c>
      <c r="C1281" s="23" t="s">
        <v>73</v>
      </c>
      <c r="D1281" s="23" t="s">
        <v>22215</v>
      </c>
      <c r="E1281" s="23" t="s">
        <v>74</v>
      </c>
      <c r="F1281" t="s">
        <v>26</v>
      </c>
      <c r="G1281" s="25" t="s">
        <v>3168</v>
      </c>
      <c r="H1281" t="s">
        <v>26</v>
      </c>
      <c r="I1281" s="24">
        <v>41365</v>
      </c>
      <c r="J1281" s="25" t="s">
        <v>77</v>
      </c>
      <c r="K1281" t="s">
        <v>26</v>
      </c>
      <c r="L1281" s="25" t="s">
        <v>68</v>
      </c>
      <c r="M1281" s="24">
        <v>41365</v>
      </c>
      <c r="N1281" s="24">
        <v>42767</v>
      </c>
      <c r="O1281" t="s">
        <v>26</v>
      </c>
      <c r="P1281" s="24">
        <v>41365</v>
      </c>
      <c r="Q1281" s="25" t="s">
        <v>77</v>
      </c>
      <c r="R1281" t="s">
        <v>26</v>
      </c>
      <c r="S1281" t="s">
        <v>26</v>
      </c>
      <c r="T1281" t="s">
        <v>26</v>
      </c>
      <c r="U1281" t="s">
        <v>26</v>
      </c>
      <c r="V1281" t="s">
        <v>26</v>
      </c>
      <c r="W1281" s="24">
        <v>41365</v>
      </c>
      <c r="X1281" s="25" t="s">
        <v>77</v>
      </c>
      <c r="Y1281" t="s">
        <v>26</v>
      </c>
      <c r="Z1281" s="24">
        <v>41365</v>
      </c>
      <c r="AA1281" s="25" t="s">
        <v>77</v>
      </c>
      <c r="AB1281" t="s">
        <v>26</v>
      </c>
      <c r="AC1281" s="24">
        <v>41365</v>
      </c>
      <c r="AD1281" s="25" t="s">
        <v>77</v>
      </c>
      <c r="AE1281" t="s">
        <v>26</v>
      </c>
      <c r="AF1281" t="s">
        <v>26</v>
      </c>
      <c r="AG1281" t="s">
        <v>26</v>
      </c>
      <c r="AH1281" t="s">
        <v>26</v>
      </c>
      <c r="AI1281" t="s">
        <v>26</v>
      </c>
      <c r="AJ1281" t="s">
        <v>26</v>
      </c>
      <c r="AK1281" t="s">
        <v>26</v>
      </c>
      <c r="AL1281" t="s">
        <v>26</v>
      </c>
      <c r="AM1281" t="s">
        <v>26</v>
      </c>
      <c r="AN1281" t="s">
        <v>26</v>
      </c>
      <c r="AO1281" s="25" t="s">
        <v>68</v>
      </c>
      <c r="AP1281" s="23" t="s">
        <v>69</v>
      </c>
      <c r="AQ1281" s="23" t="s">
        <v>30</v>
      </c>
      <c r="AR1281" s="23" t="s">
        <v>70</v>
      </c>
      <c r="AS1281" s="25">
        <v>2034742</v>
      </c>
      <c r="AT1281" t="s">
        <v>26</v>
      </c>
      <c r="AU1281" t="s">
        <v>23906</v>
      </c>
    </row>
    <row r="1282" spans="1:47" ht="26.25" x14ac:dyDescent="0.4">
      <c r="A1282" s="23" t="s">
        <v>3169</v>
      </c>
      <c r="B1282" t="s">
        <v>26</v>
      </c>
      <c r="C1282" s="23" t="s">
        <v>3150</v>
      </c>
      <c r="D1282" s="23" t="s">
        <v>22453</v>
      </c>
      <c r="E1282" s="23" t="s">
        <v>711</v>
      </c>
      <c r="F1282" s="25" t="s">
        <v>3170</v>
      </c>
      <c r="G1282" s="25" t="s">
        <v>3171</v>
      </c>
      <c r="H1282" t="s">
        <v>26</v>
      </c>
      <c r="I1282" t="s">
        <v>26</v>
      </c>
      <c r="J1282" t="s">
        <v>26</v>
      </c>
      <c r="K1282" t="s">
        <v>26</v>
      </c>
      <c r="L1282" s="25" t="s">
        <v>68</v>
      </c>
      <c r="M1282" t="s">
        <v>26</v>
      </c>
      <c r="N1282" t="s">
        <v>26</v>
      </c>
      <c r="O1282" t="s">
        <v>26</v>
      </c>
      <c r="P1282" t="s">
        <v>26</v>
      </c>
      <c r="Q1282" t="s">
        <v>26</v>
      </c>
      <c r="R1282" t="s">
        <v>26</v>
      </c>
      <c r="S1282" t="s">
        <v>26</v>
      </c>
      <c r="T1282" t="s">
        <v>26</v>
      </c>
      <c r="U1282" t="s">
        <v>26</v>
      </c>
      <c r="V1282" t="s">
        <v>26</v>
      </c>
      <c r="W1282" s="24">
        <v>36892</v>
      </c>
      <c r="X1282" s="25" t="s">
        <v>77</v>
      </c>
      <c r="Y1282" t="s">
        <v>26</v>
      </c>
      <c r="Z1282" s="24">
        <v>36892</v>
      </c>
      <c r="AA1282" s="25" t="s">
        <v>77</v>
      </c>
      <c r="AB1282" t="s">
        <v>26</v>
      </c>
      <c r="AC1282" s="24">
        <v>36892</v>
      </c>
      <c r="AD1282" s="25" t="s">
        <v>77</v>
      </c>
      <c r="AE1282" t="s">
        <v>26</v>
      </c>
      <c r="AF1282" t="s">
        <v>26</v>
      </c>
      <c r="AG1282" t="s">
        <v>26</v>
      </c>
      <c r="AH1282" t="s">
        <v>26</v>
      </c>
      <c r="AI1282" t="s">
        <v>26</v>
      </c>
      <c r="AJ1282" t="s">
        <v>26</v>
      </c>
      <c r="AK1282" t="s">
        <v>26</v>
      </c>
      <c r="AL1282" t="s">
        <v>26</v>
      </c>
      <c r="AM1282" t="s">
        <v>26</v>
      </c>
      <c r="AN1282" t="s">
        <v>26</v>
      </c>
      <c r="AO1282" s="25" t="s">
        <v>68</v>
      </c>
      <c r="AP1282" s="23" t="s">
        <v>69</v>
      </c>
      <c r="AQ1282" s="23" t="s">
        <v>30</v>
      </c>
      <c r="AR1282" s="23" t="s">
        <v>128</v>
      </c>
      <c r="AS1282" s="25">
        <v>26450</v>
      </c>
      <c r="AT1282" t="s">
        <v>26</v>
      </c>
      <c r="AU1282" t="s">
        <v>23907</v>
      </c>
    </row>
    <row r="1283" spans="1:47" ht="39.4" x14ac:dyDescent="0.4">
      <c r="A1283" s="23" t="s">
        <v>3172</v>
      </c>
      <c r="B1283" t="s">
        <v>26</v>
      </c>
      <c r="C1283" s="23" t="s">
        <v>80</v>
      </c>
      <c r="D1283" s="23" t="s">
        <v>22184</v>
      </c>
      <c r="E1283" s="23" t="s">
        <v>60</v>
      </c>
      <c r="F1283" s="25" t="s">
        <v>3173</v>
      </c>
      <c r="G1283" s="25" t="s">
        <v>3174</v>
      </c>
      <c r="H1283" t="s">
        <v>26</v>
      </c>
      <c r="I1283" t="s">
        <v>26</v>
      </c>
      <c r="J1283" t="s">
        <v>26</v>
      </c>
      <c r="K1283" t="s">
        <v>26</v>
      </c>
      <c r="L1283" s="25" t="s">
        <v>68</v>
      </c>
      <c r="M1283" t="s">
        <v>26</v>
      </c>
      <c r="N1283" t="s">
        <v>26</v>
      </c>
      <c r="O1283" t="s">
        <v>26</v>
      </c>
      <c r="P1283" t="s">
        <v>26</v>
      </c>
      <c r="Q1283" t="s">
        <v>26</v>
      </c>
      <c r="R1283" t="s">
        <v>26</v>
      </c>
      <c r="S1283" t="s">
        <v>26</v>
      </c>
      <c r="T1283" t="s">
        <v>26</v>
      </c>
      <c r="U1283" t="s">
        <v>26</v>
      </c>
      <c r="V1283" t="s">
        <v>26</v>
      </c>
      <c r="W1283" s="24">
        <v>40210</v>
      </c>
      <c r="X1283" s="25" t="s">
        <v>77</v>
      </c>
      <c r="Y1283" t="s">
        <v>26</v>
      </c>
      <c r="Z1283" s="24">
        <v>40210</v>
      </c>
      <c r="AA1283" s="25" t="s">
        <v>77</v>
      </c>
      <c r="AB1283" t="s">
        <v>26</v>
      </c>
      <c r="AC1283" s="24">
        <v>40210</v>
      </c>
      <c r="AD1283" s="25" t="s">
        <v>77</v>
      </c>
      <c r="AE1283" t="s">
        <v>26</v>
      </c>
      <c r="AF1283" t="s">
        <v>26</v>
      </c>
      <c r="AG1283" t="s">
        <v>26</v>
      </c>
      <c r="AH1283" t="s">
        <v>26</v>
      </c>
      <c r="AI1283" t="s">
        <v>26</v>
      </c>
      <c r="AJ1283" t="s">
        <v>26</v>
      </c>
      <c r="AK1283" t="s">
        <v>26</v>
      </c>
      <c r="AL1283" t="s">
        <v>26</v>
      </c>
      <c r="AM1283" t="s">
        <v>26</v>
      </c>
      <c r="AN1283" t="s">
        <v>26</v>
      </c>
      <c r="AO1283" s="25" t="s">
        <v>68</v>
      </c>
      <c r="AP1283" s="23" t="s">
        <v>69</v>
      </c>
      <c r="AQ1283" s="23" t="s">
        <v>30</v>
      </c>
      <c r="AR1283" s="23" t="s">
        <v>3175</v>
      </c>
      <c r="AS1283" s="25">
        <v>176148</v>
      </c>
      <c r="AT1283" t="s">
        <v>26</v>
      </c>
      <c r="AU1283" t="s">
        <v>23908</v>
      </c>
    </row>
    <row r="1284" spans="1:47" ht="26.25" x14ac:dyDescent="0.4">
      <c r="A1284" s="23" t="s">
        <v>3176</v>
      </c>
      <c r="B1284" t="s">
        <v>26</v>
      </c>
      <c r="C1284" s="23" t="s">
        <v>3177</v>
      </c>
      <c r="D1284" s="23" t="s">
        <v>23909</v>
      </c>
      <c r="E1284" s="23" t="s">
        <v>42</v>
      </c>
      <c r="F1284" t="s">
        <v>26</v>
      </c>
      <c r="G1284" t="s">
        <v>26</v>
      </c>
      <c r="H1284" t="s">
        <v>26</v>
      </c>
      <c r="I1284" s="24">
        <v>40269</v>
      </c>
      <c r="J1284" s="25" t="s">
        <v>77</v>
      </c>
      <c r="K1284" t="s">
        <v>26</v>
      </c>
      <c r="L1284" s="25" t="s">
        <v>68</v>
      </c>
      <c r="M1284" s="24">
        <v>40269</v>
      </c>
      <c r="N1284" s="25" t="s">
        <v>77</v>
      </c>
      <c r="O1284" t="s">
        <v>26</v>
      </c>
      <c r="P1284" s="24">
        <v>40269</v>
      </c>
      <c r="Q1284" s="25" t="s">
        <v>77</v>
      </c>
      <c r="R1284" t="s">
        <v>26</v>
      </c>
      <c r="S1284" t="s">
        <v>26</v>
      </c>
      <c r="T1284" t="s">
        <v>26</v>
      </c>
      <c r="U1284" t="s">
        <v>26</v>
      </c>
      <c r="V1284" t="s">
        <v>26</v>
      </c>
      <c r="W1284" s="24">
        <v>40269</v>
      </c>
      <c r="X1284" s="25" t="s">
        <v>77</v>
      </c>
      <c r="Y1284" t="s">
        <v>26</v>
      </c>
      <c r="Z1284" s="24">
        <v>40269</v>
      </c>
      <c r="AA1284" s="25" t="s">
        <v>77</v>
      </c>
      <c r="AB1284" t="s">
        <v>26</v>
      </c>
      <c r="AC1284" s="24">
        <v>40269</v>
      </c>
      <c r="AD1284" s="25" t="s">
        <v>77</v>
      </c>
      <c r="AE1284" t="s">
        <v>26</v>
      </c>
      <c r="AF1284" t="s">
        <v>26</v>
      </c>
      <c r="AG1284" t="s">
        <v>26</v>
      </c>
      <c r="AH1284" t="s">
        <v>26</v>
      </c>
      <c r="AI1284" t="s">
        <v>26</v>
      </c>
      <c r="AJ1284" t="s">
        <v>26</v>
      </c>
      <c r="AK1284" t="s">
        <v>26</v>
      </c>
      <c r="AL1284" t="s">
        <v>26</v>
      </c>
      <c r="AM1284" t="s">
        <v>26</v>
      </c>
      <c r="AN1284" t="s">
        <v>26</v>
      </c>
      <c r="AO1284" s="25" t="s">
        <v>68</v>
      </c>
      <c r="AP1284" s="23" t="s">
        <v>69</v>
      </c>
      <c r="AQ1284" s="23" t="s">
        <v>30</v>
      </c>
      <c r="AR1284" s="23" t="s">
        <v>46</v>
      </c>
      <c r="AS1284" s="25">
        <v>1046401</v>
      </c>
      <c r="AT1284" t="s">
        <v>26</v>
      </c>
      <c r="AU1284" t="s">
        <v>23910</v>
      </c>
    </row>
    <row r="1285" spans="1:47" ht="26.25" x14ac:dyDescent="0.4">
      <c r="A1285" s="23" t="s">
        <v>3178</v>
      </c>
      <c r="B1285" t="s">
        <v>26</v>
      </c>
      <c r="C1285" s="23" t="s">
        <v>80</v>
      </c>
      <c r="D1285" s="23" t="s">
        <v>22194</v>
      </c>
      <c r="E1285" s="23" t="s">
        <v>60</v>
      </c>
      <c r="F1285" s="25" t="s">
        <v>3179</v>
      </c>
      <c r="G1285" s="25" t="s">
        <v>3180</v>
      </c>
      <c r="H1285" t="s">
        <v>26</v>
      </c>
      <c r="I1285" t="s">
        <v>26</v>
      </c>
      <c r="J1285" t="s">
        <v>26</v>
      </c>
      <c r="K1285" t="s">
        <v>26</v>
      </c>
      <c r="L1285" s="25" t="s">
        <v>68</v>
      </c>
      <c r="M1285" t="s">
        <v>26</v>
      </c>
      <c r="N1285" t="s">
        <v>26</v>
      </c>
      <c r="O1285" t="s">
        <v>26</v>
      </c>
      <c r="P1285" t="s">
        <v>26</v>
      </c>
      <c r="Q1285" t="s">
        <v>26</v>
      </c>
      <c r="R1285" t="s">
        <v>26</v>
      </c>
      <c r="S1285" t="s">
        <v>26</v>
      </c>
      <c r="T1285" t="s">
        <v>26</v>
      </c>
      <c r="U1285" t="s">
        <v>26</v>
      </c>
      <c r="V1285" t="s">
        <v>26</v>
      </c>
      <c r="W1285" s="24">
        <v>36161</v>
      </c>
      <c r="X1285" s="25" t="s">
        <v>77</v>
      </c>
      <c r="Y1285" s="25" t="s">
        <v>3181</v>
      </c>
      <c r="Z1285" s="24">
        <v>36161</v>
      </c>
      <c r="AA1285" s="25" t="s">
        <v>77</v>
      </c>
      <c r="AB1285" s="25" t="s">
        <v>3181</v>
      </c>
      <c r="AC1285" s="24">
        <v>40179</v>
      </c>
      <c r="AD1285" s="25" t="s">
        <v>77</v>
      </c>
      <c r="AE1285" t="s">
        <v>26</v>
      </c>
      <c r="AF1285" t="s">
        <v>26</v>
      </c>
      <c r="AG1285" t="s">
        <v>26</v>
      </c>
      <c r="AH1285" t="s">
        <v>26</v>
      </c>
      <c r="AI1285" t="s">
        <v>26</v>
      </c>
      <c r="AJ1285" t="s">
        <v>26</v>
      </c>
      <c r="AK1285" t="s">
        <v>26</v>
      </c>
      <c r="AL1285" t="s">
        <v>26</v>
      </c>
      <c r="AM1285" t="s">
        <v>26</v>
      </c>
      <c r="AN1285" t="s">
        <v>26</v>
      </c>
      <c r="AO1285" s="25" t="s">
        <v>68</v>
      </c>
      <c r="AP1285" s="23" t="s">
        <v>69</v>
      </c>
      <c r="AQ1285" s="23" t="s">
        <v>30</v>
      </c>
      <c r="AR1285" s="23" t="s">
        <v>3182</v>
      </c>
      <c r="AS1285" s="25">
        <v>40979</v>
      </c>
      <c r="AT1285" t="s">
        <v>26</v>
      </c>
      <c r="AU1285" t="s">
        <v>23911</v>
      </c>
    </row>
    <row r="1286" spans="1:47" ht="52.5" x14ac:dyDescent="0.4">
      <c r="A1286" s="23" t="s">
        <v>3183</v>
      </c>
      <c r="B1286" t="s">
        <v>26</v>
      </c>
      <c r="C1286" s="23" t="s">
        <v>3184</v>
      </c>
      <c r="D1286" s="23" t="s">
        <v>23912</v>
      </c>
      <c r="E1286" s="23" t="s">
        <v>139</v>
      </c>
      <c r="F1286" s="25" t="s">
        <v>3185</v>
      </c>
      <c r="G1286" s="25" t="s">
        <v>3186</v>
      </c>
      <c r="H1286" t="s">
        <v>26</v>
      </c>
      <c r="I1286" s="24">
        <v>40787</v>
      </c>
      <c r="J1286" s="25" t="s">
        <v>77</v>
      </c>
      <c r="K1286" t="s">
        <v>26</v>
      </c>
      <c r="L1286" s="25" t="s">
        <v>68</v>
      </c>
      <c r="M1286" s="24">
        <v>40787</v>
      </c>
      <c r="N1286" s="25" t="s">
        <v>77</v>
      </c>
      <c r="O1286" t="s">
        <v>26</v>
      </c>
      <c r="P1286" s="24">
        <v>40787</v>
      </c>
      <c r="Q1286" s="25" t="s">
        <v>77</v>
      </c>
      <c r="R1286" t="s">
        <v>26</v>
      </c>
      <c r="S1286" t="s">
        <v>26</v>
      </c>
      <c r="T1286" t="s">
        <v>26</v>
      </c>
      <c r="U1286" t="s">
        <v>26</v>
      </c>
      <c r="V1286" t="s">
        <v>26</v>
      </c>
      <c r="W1286" s="24">
        <v>40787</v>
      </c>
      <c r="X1286" s="25" t="s">
        <v>77</v>
      </c>
      <c r="Y1286" t="s">
        <v>26</v>
      </c>
      <c r="Z1286" s="24">
        <v>40787</v>
      </c>
      <c r="AA1286" s="25" t="s">
        <v>77</v>
      </c>
      <c r="AB1286" t="s">
        <v>26</v>
      </c>
      <c r="AC1286" s="24">
        <v>40787</v>
      </c>
      <c r="AD1286" s="25" t="s">
        <v>77</v>
      </c>
      <c r="AE1286" t="s">
        <v>26</v>
      </c>
      <c r="AF1286" t="s">
        <v>26</v>
      </c>
      <c r="AG1286" t="s">
        <v>26</v>
      </c>
      <c r="AH1286" t="s">
        <v>26</v>
      </c>
      <c r="AI1286" t="s">
        <v>26</v>
      </c>
      <c r="AJ1286" t="s">
        <v>26</v>
      </c>
      <c r="AK1286" t="s">
        <v>26</v>
      </c>
      <c r="AL1286" t="s">
        <v>26</v>
      </c>
      <c r="AM1286" t="s">
        <v>26</v>
      </c>
      <c r="AN1286" t="s">
        <v>26</v>
      </c>
      <c r="AO1286" s="25" t="s">
        <v>68</v>
      </c>
      <c r="AP1286" s="23" t="s">
        <v>69</v>
      </c>
      <c r="AQ1286" s="23" t="s">
        <v>158</v>
      </c>
      <c r="AR1286" s="23" t="s">
        <v>46</v>
      </c>
      <c r="AS1286" s="25">
        <v>806355</v>
      </c>
      <c r="AT1286" t="s">
        <v>26</v>
      </c>
      <c r="AU1286" t="s">
        <v>23913</v>
      </c>
    </row>
    <row r="1287" spans="1:47" ht="26.25" x14ac:dyDescent="0.4">
      <c r="A1287" s="23" t="s">
        <v>3187</v>
      </c>
      <c r="B1287" t="s">
        <v>26</v>
      </c>
      <c r="C1287" s="23" t="s">
        <v>3188</v>
      </c>
      <c r="D1287" s="23" t="s">
        <v>23914</v>
      </c>
      <c r="E1287" s="23" t="s">
        <v>42</v>
      </c>
      <c r="F1287" s="25" t="s">
        <v>3189</v>
      </c>
      <c r="G1287" s="25" t="s">
        <v>3190</v>
      </c>
      <c r="H1287" t="s">
        <v>26</v>
      </c>
      <c r="I1287" t="s">
        <v>26</v>
      </c>
      <c r="J1287" t="s">
        <v>26</v>
      </c>
      <c r="K1287" t="s">
        <v>26</v>
      </c>
      <c r="L1287" s="25" t="s">
        <v>68</v>
      </c>
      <c r="M1287" t="s">
        <v>26</v>
      </c>
      <c r="N1287" t="s">
        <v>26</v>
      </c>
      <c r="O1287" t="s">
        <v>26</v>
      </c>
      <c r="P1287" t="s">
        <v>26</v>
      </c>
      <c r="Q1287" t="s">
        <v>26</v>
      </c>
      <c r="R1287" t="s">
        <v>26</v>
      </c>
      <c r="S1287" t="s">
        <v>26</v>
      </c>
      <c r="T1287" t="s">
        <v>26</v>
      </c>
      <c r="U1287" t="s">
        <v>26</v>
      </c>
      <c r="V1287" t="s">
        <v>26</v>
      </c>
      <c r="W1287" s="24">
        <v>43101</v>
      </c>
      <c r="X1287" s="25" t="s">
        <v>77</v>
      </c>
      <c r="Y1287" t="s">
        <v>26</v>
      </c>
      <c r="Z1287" s="24">
        <v>43101</v>
      </c>
      <c r="AA1287" s="25" t="s">
        <v>77</v>
      </c>
      <c r="AB1287" t="s">
        <v>26</v>
      </c>
      <c r="AC1287" s="24">
        <v>43101</v>
      </c>
      <c r="AD1287" s="25" t="s">
        <v>77</v>
      </c>
      <c r="AE1287" t="s">
        <v>26</v>
      </c>
      <c r="AF1287" t="s">
        <v>26</v>
      </c>
      <c r="AG1287" t="s">
        <v>26</v>
      </c>
      <c r="AH1287" t="s">
        <v>26</v>
      </c>
      <c r="AI1287" t="s">
        <v>26</v>
      </c>
      <c r="AJ1287" t="s">
        <v>26</v>
      </c>
      <c r="AK1287" t="s">
        <v>26</v>
      </c>
      <c r="AL1287" t="s">
        <v>26</v>
      </c>
      <c r="AM1287" t="s">
        <v>26</v>
      </c>
      <c r="AN1287" t="s">
        <v>26</v>
      </c>
      <c r="AO1287" s="25" t="s">
        <v>68</v>
      </c>
      <c r="AP1287" s="23" t="s">
        <v>69</v>
      </c>
      <c r="AQ1287" s="23" t="s">
        <v>30</v>
      </c>
      <c r="AR1287" s="23" t="s">
        <v>78</v>
      </c>
      <c r="AS1287" s="25">
        <v>2045860</v>
      </c>
      <c r="AT1287" t="s">
        <v>26</v>
      </c>
      <c r="AU1287" t="s">
        <v>23915</v>
      </c>
    </row>
    <row r="1288" spans="1:47" ht="26.25" x14ac:dyDescent="0.4">
      <c r="A1288" s="23" t="s">
        <v>3191</v>
      </c>
      <c r="B1288" t="s">
        <v>26</v>
      </c>
      <c r="C1288" s="23" t="s">
        <v>3188</v>
      </c>
      <c r="D1288" s="23" t="s">
        <v>23914</v>
      </c>
      <c r="E1288" s="23" t="s">
        <v>42</v>
      </c>
      <c r="F1288" s="25" t="s">
        <v>3189</v>
      </c>
      <c r="G1288" s="25" t="s">
        <v>3190</v>
      </c>
      <c r="H1288" t="s">
        <v>26</v>
      </c>
      <c r="I1288" s="24">
        <v>39083</v>
      </c>
      <c r="J1288" s="24">
        <v>39904</v>
      </c>
      <c r="K1288" t="s">
        <v>26</v>
      </c>
      <c r="L1288" s="25" t="s">
        <v>68</v>
      </c>
      <c r="M1288" s="24">
        <v>39083</v>
      </c>
      <c r="N1288" s="24">
        <v>39904</v>
      </c>
      <c r="O1288" t="s">
        <v>26</v>
      </c>
      <c r="P1288" s="24">
        <v>39083</v>
      </c>
      <c r="Q1288" s="24">
        <v>39904</v>
      </c>
      <c r="R1288" t="s">
        <v>26</v>
      </c>
      <c r="S1288" t="s">
        <v>26</v>
      </c>
      <c r="T1288" t="s">
        <v>26</v>
      </c>
      <c r="U1288" t="s">
        <v>26</v>
      </c>
      <c r="V1288" t="s">
        <v>26</v>
      </c>
      <c r="W1288" s="24">
        <v>39083</v>
      </c>
      <c r="X1288" s="24">
        <v>39904</v>
      </c>
      <c r="Y1288" t="s">
        <v>26</v>
      </c>
      <c r="Z1288" s="24">
        <v>39083</v>
      </c>
      <c r="AA1288" s="24">
        <v>39904</v>
      </c>
      <c r="AB1288" t="s">
        <v>26</v>
      </c>
      <c r="AC1288" t="s">
        <v>26</v>
      </c>
      <c r="AD1288" t="s">
        <v>26</v>
      </c>
      <c r="AE1288" t="s">
        <v>26</v>
      </c>
      <c r="AF1288" t="s">
        <v>26</v>
      </c>
      <c r="AG1288" t="s">
        <v>26</v>
      </c>
      <c r="AH1288" t="s">
        <v>26</v>
      </c>
      <c r="AI1288" t="s">
        <v>26</v>
      </c>
      <c r="AJ1288" t="s">
        <v>26</v>
      </c>
      <c r="AK1288" t="s">
        <v>26</v>
      </c>
      <c r="AL1288" t="s">
        <v>26</v>
      </c>
      <c r="AM1288" t="s">
        <v>26</v>
      </c>
      <c r="AN1288" t="s">
        <v>26</v>
      </c>
      <c r="AO1288" s="25" t="s">
        <v>68</v>
      </c>
      <c r="AP1288" s="23" t="s">
        <v>69</v>
      </c>
      <c r="AQ1288" s="23" t="s">
        <v>30</v>
      </c>
      <c r="AR1288" s="23" t="s">
        <v>78</v>
      </c>
      <c r="AS1288" s="25">
        <v>38995</v>
      </c>
      <c r="AT1288" t="s">
        <v>26</v>
      </c>
      <c r="AU1288" t="s">
        <v>23916</v>
      </c>
    </row>
    <row r="1289" spans="1:47" ht="26.25" x14ac:dyDescent="0.4">
      <c r="A1289" s="23" t="s">
        <v>3192</v>
      </c>
      <c r="B1289" t="s">
        <v>26</v>
      </c>
      <c r="C1289" s="23" t="s">
        <v>73</v>
      </c>
      <c r="D1289" s="23" t="s">
        <v>22179</v>
      </c>
      <c r="E1289" s="23" t="s">
        <v>74</v>
      </c>
      <c r="F1289" s="25" t="s">
        <v>3193</v>
      </c>
      <c r="G1289" s="25" t="s">
        <v>3194</v>
      </c>
      <c r="H1289" t="s">
        <v>26</v>
      </c>
      <c r="I1289" t="s">
        <v>26</v>
      </c>
      <c r="J1289" t="s">
        <v>26</v>
      </c>
      <c r="K1289" t="s">
        <v>26</v>
      </c>
      <c r="L1289" s="25" t="s">
        <v>68</v>
      </c>
      <c r="M1289" t="s">
        <v>26</v>
      </c>
      <c r="N1289" t="s">
        <v>26</v>
      </c>
      <c r="O1289" t="s">
        <v>26</v>
      </c>
      <c r="P1289" t="s">
        <v>26</v>
      </c>
      <c r="Q1289" t="s">
        <v>26</v>
      </c>
      <c r="R1289" t="s">
        <v>26</v>
      </c>
      <c r="S1289" t="s">
        <v>26</v>
      </c>
      <c r="T1289" t="s">
        <v>26</v>
      </c>
      <c r="U1289" t="s">
        <v>26</v>
      </c>
      <c r="V1289" t="s">
        <v>26</v>
      </c>
      <c r="W1289" s="24">
        <v>42339</v>
      </c>
      <c r="X1289" s="25" t="s">
        <v>77</v>
      </c>
      <c r="Y1289" t="s">
        <v>26</v>
      </c>
      <c r="Z1289" s="24">
        <v>42339</v>
      </c>
      <c r="AA1289" s="25" t="s">
        <v>77</v>
      </c>
      <c r="AB1289" t="s">
        <v>26</v>
      </c>
      <c r="AC1289" s="24">
        <v>42339</v>
      </c>
      <c r="AD1289" s="25" t="s">
        <v>77</v>
      </c>
      <c r="AE1289" t="s">
        <v>26</v>
      </c>
      <c r="AF1289" t="s">
        <v>26</v>
      </c>
      <c r="AG1289" t="s">
        <v>26</v>
      </c>
      <c r="AH1289" t="s">
        <v>26</v>
      </c>
      <c r="AI1289" t="s">
        <v>26</v>
      </c>
      <c r="AJ1289" t="s">
        <v>26</v>
      </c>
      <c r="AK1289" t="s">
        <v>26</v>
      </c>
      <c r="AL1289" t="s">
        <v>26</v>
      </c>
      <c r="AM1289" t="s">
        <v>26</v>
      </c>
      <c r="AN1289" t="s">
        <v>26</v>
      </c>
      <c r="AO1289" s="25" t="s">
        <v>68</v>
      </c>
      <c r="AP1289" s="23" t="s">
        <v>69</v>
      </c>
      <c r="AQ1289" s="23" t="s">
        <v>30</v>
      </c>
      <c r="AR1289" s="23" t="s">
        <v>46</v>
      </c>
      <c r="AS1289" s="25">
        <v>2033250</v>
      </c>
      <c r="AT1289" t="s">
        <v>26</v>
      </c>
      <c r="AU1289" t="s">
        <v>23917</v>
      </c>
    </row>
    <row r="1290" spans="1:47" ht="26.25" x14ac:dyDescent="0.4">
      <c r="A1290" s="23" t="s">
        <v>3195</v>
      </c>
      <c r="B1290" t="s">
        <v>26</v>
      </c>
      <c r="C1290" s="23" t="s">
        <v>3196</v>
      </c>
      <c r="D1290" s="23" t="s">
        <v>22179</v>
      </c>
      <c r="E1290" s="23" t="s">
        <v>42</v>
      </c>
      <c r="F1290" s="25" t="s">
        <v>3197</v>
      </c>
      <c r="G1290" s="25" t="s">
        <v>3198</v>
      </c>
      <c r="H1290" t="s">
        <v>26</v>
      </c>
      <c r="I1290" s="24">
        <v>43466</v>
      </c>
      <c r="J1290" s="25" t="s">
        <v>77</v>
      </c>
      <c r="K1290" t="s">
        <v>26</v>
      </c>
      <c r="L1290" s="25" t="s">
        <v>68</v>
      </c>
      <c r="M1290" t="s">
        <v>26</v>
      </c>
      <c r="N1290" t="s">
        <v>26</v>
      </c>
      <c r="O1290" t="s">
        <v>26</v>
      </c>
      <c r="P1290" s="24">
        <v>43466</v>
      </c>
      <c r="Q1290" s="25" t="s">
        <v>77</v>
      </c>
      <c r="R1290" t="s">
        <v>26</v>
      </c>
      <c r="S1290" t="s">
        <v>26</v>
      </c>
      <c r="T1290" t="s">
        <v>26</v>
      </c>
      <c r="U1290" t="s">
        <v>26</v>
      </c>
      <c r="V1290" t="s">
        <v>26</v>
      </c>
      <c r="W1290" s="24">
        <v>43466</v>
      </c>
      <c r="X1290" s="25" t="s">
        <v>77</v>
      </c>
      <c r="Y1290" t="s">
        <v>26</v>
      </c>
      <c r="Z1290" s="24">
        <v>43466</v>
      </c>
      <c r="AA1290" s="25" t="s">
        <v>77</v>
      </c>
      <c r="AB1290" t="s">
        <v>26</v>
      </c>
      <c r="AC1290" s="24">
        <v>43466</v>
      </c>
      <c r="AD1290" s="25" t="s">
        <v>77</v>
      </c>
      <c r="AE1290" t="s">
        <v>26</v>
      </c>
      <c r="AF1290" t="s">
        <v>26</v>
      </c>
      <c r="AG1290" t="s">
        <v>26</v>
      </c>
      <c r="AH1290" t="s">
        <v>26</v>
      </c>
      <c r="AI1290" t="s">
        <v>26</v>
      </c>
      <c r="AJ1290" t="s">
        <v>26</v>
      </c>
      <c r="AK1290" t="s">
        <v>26</v>
      </c>
      <c r="AL1290" t="s">
        <v>26</v>
      </c>
      <c r="AM1290" t="s">
        <v>26</v>
      </c>
      <c r="AN1290" t="s">
        <v>26</v>
      </c>
      <c r="AO1290" s="25" t="s">
        <v>68</v>
      </c>
      <c r="AP1290" s="23" t="s">
        <v>69</v>
      </c>
      <c r="AQ1290" s="23" t="s">
        <v>30</v>
      </c>
      <c r="AR1290" s="23" t="s">
        <v>46</v>
      </c>
      <c r="AS1290" s="25">
        <v>4397043</v>
      </c>
      <c r="AT1290" t="s">
        <v>26</v>
      </c>
      <c r="AU1290" t="s">
        <v>23918</v>
      </c>
    </row>
    <row r="1291" spans="1:47" ht="26.25" x14ac:dyDescent="0.4">
      <c r="A1291" s="23" t="s">
        <v>3199</v>
      </c>
      <c r="B1291" t="s">
        <v>26</v>
      </c>
      <c r="C1291" s="23" t="s">
        <v>80</v>
      </c>
      <c r="D1291" s="23" t="s">
        <v>22184</v>
      </c>
      <c r="E1291" s="23" t="s">
        <v>60</v>
      </c>
      <c r="F1291" s="25" t="s">
        <v>3200</v>
      </c>
      <c r="G1291" s="25" t="s">
        <v>3201</v>
      </c>
      <c r="H1291" t="s">
        <v>26</v>
      </c>
      <c r="I1291" s="24">
        <v>39904</v>
      </c>
      <c r="J1291" s="24">
        <v>41579</v>
      </c>
      <c r="K1291" t="s">
        <v>26</v>
      </c>
      <c r="L1291" s="25" t="s">
        <v>68</v>
      </c>
      <c r="M1291" s="24">
        <v>39904</v>
      </c>
      <c r="N1291" s="24">
        <v>41579</v>
      </c>
      <c r="O1291" t="s">
        <v>26</v>
      </c>
      <c r="P1291" s="24">
        <v>39904</v>
      </c>
      <c r="Q1291" s="24">
        <v>41579</v>
      </c>
      <c r="R1291" t="s">
        <v>26</v>
      </c>
      <c r="S1291" t="s">
        <v>26</v>
      </c>
      <c r="T1291" t="s">
        <v>26</v>
      </c>
      <c r="U1291" t="s">
        <v>26</v>
      </c>
      <c r="V1291" t="s">
        <v>26</v>
      </c>
      <c r="W1291" s="24">
        <v>32509</v>
      </c>
      <c r="X1291" s="25" t="s">
        <v>77</v>
      </c>
      <c r="Y1291" s="25" t="s">
        <v>3202</v>
      </c>
      <c r="Z1291" s="24">
        <v>32509</v>
      </c>
      <c r="AA1291" s="25" t="s">
        <v>77</v>
      </c>
      <c r="AB1291" s="25" t="s">
        <v>3202</v>
      </c>
      <c r="AC1291" s="24">
        <v>35521</v>
      </c>
      <c r="AD1291" s="25" t="s">
        <v>77</v>
      </c>
      <c r="AE1291" t="s">
        <v>26</v>
      </c>
      <c r="AF1291" t="s">
        <v>26</v>
      </c>
      <c r="AG1291" t="s">
        <v>26</v>
      </c>
      <c r="AH1291" t="s">
        <v>26</v>
      </c>
      <c r="AI1291" t="s">
        <v>26</v>
      </c>
      <c r="AJ1291" t="s">
        <v>26</v>
      </c>
      <c r="AK1291" t="s">
        <v>26</v>
      </c>
      <c r="AL1291" t="s">
        <v>26</v>
      </c>
      <c r="AM1291" t="s">
        <v>26</v>
      </c>
      <c r="AN1291" t="s">
        <v>26</v>
      </c>
      <c r="AO1291" s="25" t="s">
        <v>68</v>
      </c>
      <c r="AP1291" s="23" t="s">
        <v>69</v>
      </c>
      <c r="AQ1291" s="23" t="s">
        <v>30</v>
      </c>
      <c r="AR1291" s="23" t="s">
        <v>3203</v>
      </c>
      <c r="AS1291" s="25">
        <v>48309</v>
      </c>
      <c r="AT1291" t="s">
        <v>26</v>
      </c>
      <c r="AU1291" t="s">
        <v>23919</v>
      </c>
    </row>
    <row r="1292" spans="1:47" ht="26.25" x14ac:dyDescent="0.4">
      <c r="A1292" s="23" t="s">
        <v>3204</v>
      </c>
      <c r="B1292" t="s">
        <v>26</v>
      </c>
      <c r="C1292" s="23" t="s">
        <v>264</v>
      </c>
      <c r="D1292" s="23" t="s">
        <v>23850</v>
      </c>
      <c r="E1292" s="23" t="s">
        <v>60</v>
      </c>
      <c r="F1292" s="25" t="s">
        <v>3205</v>
      </c>
      <c r="G1292" s="25" t="s">
        <v>3206</v>
      </c>
      <c r="H1292" t="s">
        <v>26</v>
      </c>
      <c r="I1292" s="24">
        <v>35065</v>
      </c>
      <c r="J1292" s="25" t="s">
        <v>77</v>
      </c>
      <c r="K1292" t="s">
        <v>26</v>
      </c>
      <c r="L1292" s="25" t="s">
        <v>68</v>
      </c>
      <c r="M1292" s="24">
        <v>39448</v>
      </c>
      <c r="N1292" s="25" t="s">
        <v>77</v>
      </c>
      <c r="O1292" t="s">
        <v>26</v>
      </c>
      <c r="P1292" s="24">
        <v>35065</v>
      </c>
      <c r="Q1292" s="25" t="s">
        <v>77</v>
      </c>
      <c r="R1292" t="s">
        <v>26</v>
      </c>
      <c r="S1292" t="s">
        <v>26</v>
      </c>
      <c r="T1292" t="s">
        <v>26</v>
      </c>
      <c r="U1292" t="s">
        <v>26</v>
      </c>
      <c r="V1292" s="25">
        <v>365</v>
      </c>
      <c r="W1292" s="24">
        <v>35065</v>
      </c>
      <c r="X1292" s="25" t="s">
        <v>77</v>
      </c>
      <c r="Y1292" t="s">
        <v>26</v>
      </c>
      <c r="Z1292" s="24">
        <v>35065</v>
      </c>
      <c r="AA1292" s="25" t="s">
        <v>77</v>
      </c>
      <c r="AB1292" t="s">
        <v>26</v>
      </c>
      <c r="AC1292" s="24">
        <v>35065</v>
      </c>
      <c r="AD1292" s="25" t="s">
        <v>77</v>
      </c>
      <c r="AE1292" t="s">
        <v>26</v>
      </c>
      <c r="AF1292" t="s">
        <v>26</v>
      </c>
      <c r="AG1292" t="s">
        <v>26</v>
      </c>
      <c r="AH1292" t="s">
        <v>26</v>
      </c>
      <c r="AI1292" t="s">
        <v>26</v>
      </c>
      <c r="AJ1292" t="s">
        <v>26</v>
      </c>
      <c r="AK1292" t="s">
        <v>26</v>
      </c>
      <c r="AL1292" t="s">
        <v>26</v>
      </c>
      <c r="AM1292" t="s">
        <v>26</v>
      </c>
      <c r="AN1292" t="s">
        <v>26</v>
      </c>
      <c r="AO1292" s="25" t="s">
        <v>68</v>
      </c>
      <c r="AP1292" s="23" t="s">
        <v>69</v>
      </c>
      <c r="AQ1292" s="23" t="s">
        <v>30</v>
      </c>
      <c r="AR1292" s="23" t="s">
        <v>128</v>
      </c>
      <c r="AS1292" s="25">
        <v>33313</v>
      </c>
      <c r="AT1292" t="s">
        <v>26</v>
      </c>
      <c r="AU1292" t="s">
        <v>23920</v>
      </c>
    </row>
    <row r="1293" spans="1:47" ht="26.25" x14ac:dyDescent="0.4">
      <c r="A1293" s="23" t="s">
        <v>3207</v>
      </c>
      <c r="B1293" t="s">
        <v>26</v>
      </c>
      <c r="C1293" s="23" t="s">
        <v>172</v>
      </c>
      <c r="D1293" s="23" t="s">
        <v>22242</v>
      </c>
      <c r="E1293" s="23" t="s">
        <v>60</v>
      </c>
      <c r="F1293" s="25" t="s">
        <v>3208</v>
      </c>
      <c r="G1293" s="25" t="s">
        <v>3209</v>
      </c>
      <c r="H1293" t="s">
        <v>26</v>
      </c>
      <c r="I1293" t="s">
        <v>26</v>
      </c>
      <c r="J1293" t="s">
        <v>26</v>
      </c>
      <c r="K1293" t="s">
        <v>26</v>
      </c>
      <c r="L1293" s="25" t="s">
        <v>68</v>
      </c>
      <c r="M1293" t="s">
        <v>26</v>
      </c>
      <c r="N1293" t="s">
        <v>26</v>
      </c>
      <c r="O1293" t="s">
        <v>26</v>
      </c>
      <c r="P1293" t="s">
        <v>26</v>
      </c>
      <c r="Q1293" t="s">
        <v>26</v>
      </c>
      <c r="R1293" t="s">
        <v>26</v>
      </c>
      <c r="S1293" t="s">
        <v>26</v>
      </c>
      <c r="T1293" t="s">
        <v>26</v>
      </c>
      <c r="U1293" t="s">
        <v>26</v>
      </c>
      <c r="V1293" t="s">
        <v>26</v>
      </c>
      <c r="W1293" s="24">
        <v>37987</v>
      </c>
      <c r="X1293" s="25" t="s">
        <v>77</v>
      </c>
      <c r="Y1293" t="s">
        <v>26</v>
      </c>
      <c r="Z1293" s="24">
        <v>37987</v>
      </c>
      <c r="AA1293" s="25" t="s">
        <v>77</v>
      </c>
      <c r="AB1293" t="s">
        <v>26</v>
      </c>
      <c r="AC1293" s="24">
        <v>37987</v>
      </c>
      <c r="AD1293" s="25" t="s">
        <v>77</v>
      </c>
      <c r="AE1293" t="s">
        <v>26</v>
      </c>
      <c r="AF1293" t="s">
        <v>26</v>
      </c>
      <c r="AG1293" t="s">
        <v>26</v>
      </c>
      <c r="AH1293" t="s">
        <v>26</v>
      </c>
      <c r="AI1293" t="s">
        <v>26</v>
      </c>
      <c r="AJ1293" t="s">
        <v>26</v>
      </c>
      <c r="AK1293" t="s">
        <v>26</v>
      </c>
      <c r="AL1293" t="s">
        <v>26</v>
      </c>
      <c r="AM1293" t="s">
        <v>26</v>
      </c>
      <c r="AN1293" t="s">
        <v>26</v>
      </c>
      <c r="AO1293" s="25" t="s">
        <v>68</v>
      </c>
      <c r="AP1293" s="23" t="s">
        <v>69</v>
      </c>
      <c r="AQ1293" s="23" t="s">
        <v>30</v>
      </c>
      <c r="AR1293" s="23" t="s">
        <v>3210</v>
      </c>
      <c r="AS1293" s="25">
        <v>26001</v>
      </c>
      <c r="AT1293" t="s">
        <v>26</v>
      </c>
      <c r="AU1293" t="s">
        <v>23921</v>
      </c>
    </row>
    <row r="1294" spans="1:47" ht="26.25" x14ac:dyDescent="0.4">
      <c r="A1294" s="23" t="s">
        <v>3211</v>
      </c>
      <c r="B1294" t="s">
        <v>26</v>
      </c>
      <c r="C1294" s="23" t="s">
        <v>107</v>
      </c>
      <c r="D1294" s="23" t="s">
        <v>22174</v>
      </c>
      <c r="E1294" s="23" t="s">
        <v>42</v>
      </c>
      <c r="F1294" s="25" t="s">
        <v>3212</v>
      </c>
      <c r="G1294" s="25" t="s">
        <v>3213</v>
      </c>
      <c r="H1294" t="s">
        <v>26</v>
      </c>
      <c r="I1294" s="24">
        <v>37712</v>
      </c>
      <c r="J1294" s="24">
        <v>39295</v>
      </c>
      <c r="K1294" t="s">
        <v>26</v>
      </c>
      <c r="L1294" s="25" t="s">
        <v>68</v>
      </c>
      <c r="M1294" s="24">
        <v>37712</v>
      </c>
      <c r="N1294" s="24">
        <v>39295</v>
      </c>
      <c r="O1294" t="s">
        <v>26</v>
      </c>
      <c r="P1294" s="24">
        <v>37712</v>
      </c>
      <c r="Q1294" s="24">
        <v>39295</v>
      </c>
      <c r="R1294" t="s">
        <v>26</v>
      </c>
      <c r="S1294" t="s">
        <v>26</v>
      </c>
      <c r="T1294" t="s">
        <v>26</v>
      </c>
      <c r="U1294" t="s">
        <v>26</v>
      </c>
      <c r="V1294" t="s">
        <v>26</v>
      </c>
      <c r="W1294" s="24">
        <v>36982</v>
      </c>
      <c r="X1294" s="25" t="s">
        <v>77</v>
      </c>
      <c r="Y1294" t="s">
        <v>26</v>
      </c>
      <c r="Z1294" s="24">
        <v>36982</v>
      </c>
      <c r="AA1294" s="25" t="s">
        <v>77</v>
      </c>
      <c r="AB1294" t="s">
        <v>26</v>
      </c>
      <c r="AC1294" s="24">
        <v>37834</v>
      </c>
      <c r="AD1294" s="25" t="s">
        <v>77</v>
      </c>
      <c r="AE1294" t="s">
        <v>26</v>
      </c>
      <c r="AF1294" t="s">
        <v>26</v>
      </c>
      <c r="AG1294" t="s">
        <v>26</v>
      </c>
      <c r="AH1294" t="s">
        <v>26</v>
      </c>
      <c r="AI1294" t="s">
        <v>26</v>
      </c>
      <c r="AJ1294" t="s">
        <v>26</v>
      </c>
      <c r="AK1294" t="s">
        <v>26</v>
      </c>
      <c r="AL1294" t="s">
        <v>26</v>
      </c>
      <c r="AM1294" t="s">
        <v>26</v>
      </c>
      <c r="AN1294" t="s">
        <v>26</v>
      </c>
      <c r="AO1294" s="25" t="s">
        <v>68</v>
      </c>
      <c r="AP1294" s="23" t="s">
        <v>69</v>
      </c>
      <c r="AQ1294" s="23" t="s">
        <v>30</v>
      </c>
      <c r="AR1294" s="23" t="s">
        <v>128</v>
      </c>
      <c r="AS1294" s="25">
        <v>27271</v>
      </c>
      <c r="AT1294" t="s">
        <v>26</v>
      </c>
      <c r="AU1294" t="s">
        <v>23922</v>
      </c>
    </row>
    <row r="1295" spans="1:47" ht="26.25" x14ac:dyDescent="0.4">
      <c r="A1295" s="23" t="s">
        <v>3214</v>
      </c>
      <c r="B1295" t="s">
        <v>26</v>
      </c>
      <c r="C1295" s="23" t="s">
        <v>80</v>
      </c>
      <c r="D1295" s="23" t="s">
        <v>22184</v>
      </c>
      <c r="E1295" s="23" t="s">
        <v>60</v>
      </c>
      <c r="F1295" s="25" t="s">
        <v>3215</v>
      </c>
      <c r="G1295" s="25" t="s">
        <v>3216</v>
      </c>
      <c r="H1295" t="s">
        <v>26</v>
      </c>
      <c r="I1295" t="s">
        <v>26</v>
      </c>
      <c r="J1295" t="s">
        <v>26</v>
      </c>
      <c r="K1295" t="s">
        <v>26</v>
      </c>
      <c r="L1295" s="25" t="s">
        <v>68</v>
      </c>
      <c r="M1295" t="s">
        <v>26</v>
      </c>
      <c r="N1295" t="s">
        <v>26</v>
      </c>
      <c r="O1295" t="s">
        <v>26</v>
      </c>
      <c r="P1295" t="s">
        <v>26</v>
      </c>
      <c r="Q1295" t="s">
        <v>26</v>
      </c>
      <c r="R1295" t="s">
        <v>26</v>
      </c>
      <c r="S1295" t="s">
        <v>26</v>
      </c>
      <c r="T1295" t="s">
        <v>26</v>
      </c>
      <c r="U1295" t="s">
        <v>26</v>
      </c>
      <c r="V1295" t="s">
        <v>26</v>
      </c>
      <c r="W1295" s="24">
        <v>40330</v>
      </c>
      <c r="X1295" s="24">
        <v>43435</v>
      </c>
      <c r="Y1295" t="s">
        <v>26</v>
      </c>
      <c r="Z1295" s="24">
        <v>40330</v>
      </c>
      <c r="AA1295" s="24">
        <v>43435</v>
      </c>
      <c r="AB1295" t="s">
        <v>26</v>
      </c>
      <c r="AC1295" s="24">
        <v>40330</v>
      </c>
      <c r="AD1295" s="24">
        <v>43435</v>
      </c>
      <c r="AE1295" t="s">
        <v>26</v>
      </c>
      <c r="AF1295" t="s">
        <v>26</v>
      </c>
      <c r="AG1295" t="s">
        <v>26</v>
      </c>
      <c r="AH1295" t="s">
        <v>26</v>
      </c>
      <c r="AI1295" t="s">
        <v>26</v>
      </c>
      <c r="AJ1295" t="s">
        <v>26</v>
      </c>
      <c r="AK1295" t="s">
        <v>26</v>
      </c>
      <c r="AL1295" t="s">
        <v>26</v>
      </c>
      <c r="AM1295" t="s">
        <v>26</v>
      </c>
      <c r="AN1295" t="s">
        <v>26</v>
      </c>
      <c r="AO1295" s="25" t="s">
        <v>68</v>
      </c>
      <c r="AP1295" s="23" t="s">
        <v>69</v>
      </c>
      <c r="AQ1295" s="23" t="s">
        <v>30</v>
      </c>
      <c r="AR1295" s="23" t="s">
        <v>46</v>
      </c>
      <c r="AS1295" s="25">
        <v>176144</v>
      </c>
      <c r="AT1295" t="s">
        <v>26</v>
      </c>
      <c r="AU1295" t="s">
        <v>23923</v>
      </c>
    </row>
    <row r="1296" spans="1:47" ht="26.25" x14ac:dyDescent="0.4">
      <c r="A1296" s="23" t="s">
        <v>3217</v>
      </c>
      <c r="B1296" t="s">
        <v>26</v>
      </c>
      <c r="C1296" s="23" t="s">
        <v>3188</v>
      </c>
      <c r="D1296" s="23" t="s">
        <v>23914</v>
      </c>
      <c r="E1296" s="23" t="s">
        <v>42</v>
      </c>
      <c r="F1296" s="25" t="s">
        <v>3218</v>
      </c>
      <c r="G1296" s="25" t="s">
        <v>3219</v>
      </c>
      <c r="H1296" t="s">
        <v>26</v>
      </c>
      <c r="I1296" t="s">
        <v>26</v>
      </c>
      <c r="J1296" t="s">
        <v>26</v>
      </c>
      <c r="K1296" t="s">
        <v>26</v>
      </c>
      <c r="L1296" s="25" t="s">
        <v>68</v>
      </c>
      <c r="M1296" t="s">
        <v>26</v>
      </c>
      <c r="N1296" t="s">
        <v>26</v>
      </c>
      <c r="O1296" t="s">
        <v>26</v>
      </c>
      <c r="P1296" t="s">
        <v>26</v>
      </c>
      <c r="Q1296" t="s">
        <v>26</v>
      </c>
      <c r="R1296" t="s">
        <v>26</v>
      </c>
      <c r="S1296" t="s">
        <v>26</v>
      </c>
      <c r="T1296" t="s">
        <v>26</v>
      </c>
      <c r="U1296" t="s">
        <v>26</v>
      </c>
      <c r="V1296" t="s">
        <v>26</v>
      </c>
      <c r="W1296" s="24">
        <v>41183</v>
      </c>
      <c r="X1296" s="25" t="s">
        <v>77</v>
      </c>
      <c r="Y1296" t="s">
        <v>26</v>
      </c>
      <c r="Z1296" s="24">
        <v>41183</v>
      </c>
      <c r="AA1296" s="25" t="s">
        <v>77</v>
      </c>
      <c r="AB1296" t="s">
        <v>26</v>
      </c>
      <c r="AC1296" s="24">
        <v>41183</v>
      </c>
      <c r="AD1296" s="25" t="s">
        <v>77</v>
      </c>
      <c r="AE1296" t="s">
        <v>26</v>
      </c>
      <c r="AF1296" t="s">
        <v>26</v>
      </c>
      <c r="AG1296" t="s">
        <v>26</v>
      </c>
      <c r="AH1296" t="s">
        <v>26</v>
      </c>
      <c r="AI1296" t="s">
        <v>26</v>
      </c>
      <c r="AJ1296" t="s">
        <v>26</v>
      </c>
      <c r="AK1296" t="s">
        <v>26</v>
      </c>
      <c r="AL1296" t="s">
        <v>26</v>
      </c>
      <c r="AM1296" t="s">
        <v>26</v>
      </c>
      <c r="AN1296" t="s">
        <v>26</v>
      </c>
      <c r="AO1296" s="25" t="s">
        <v>68</v>
      </c>
      <c r="AP1296" s="23" t="s">
        <v>69</v>
      </c>
      <c r="AQ1296" s="23" t="s">
        <v>30</v>
      </c>
      <c r="AR1296" s="23" t="s">
        <v>3220</v>
      </c>
      <c r="AS1296" s="25">
        <v>2029118</v>
      </c>
      <c r="AT1296" t="s">
        <v>26</v>
      </c>
      <c r="AU1296" t="s">
        <v>23924</v>
      </c>
    </row>
    <row r="1297" spans="1:47" ht="26.25" x14ac:dyDescent="0.4">
      <c r="A1297" s="23" t="s">
        <v>3221</v>
      </c>
      <c r="B1297" t="s">
        <v>26</v>
      </c>
      <c r="C1297" s="23" t="s">
        <v>3222</v>
      </c>
      <c r="D1297" s="23" t="s">
        <v>22222</v>
      </c>
      <c r="E1297" s="23" t="s">
        <v>74</v>
      </c>
      <c r="F1297" s="25" t="s">
        <v>3223</v>
      </c>
      <c r="G1297" s="25" t="s">
        <v>3224</v>
      </c>
      <c r="H1297" t="s">
        <v>26</v>
      </c>
      <c r="I1297" t="s">
        <v>26</v>
      </c>
      <c r="J1297" t="s">
        <v>26</v>
      </c>
      <c r="K1297" t="s">
        <v>26</v>
      </c>
      <c r="L1297" s="25" t="s">
        <v>68</v>
      </c>
      <c r="M1297" t="s">
        <v>26</v>
      </c>
      <c r="N1297" t="s">
        <v>26</v>
      </c>
      <c r="O1297" t="s">
        <v>26</v>
      </c>
      <c r="P1297" t="s">
        <v>26</v>
      </c>
      <c r="Q1297" t="s">
        <v>26</v>
      </c>
      <c r="R1297" t="s">
        <v>26</v>
      </c>
      <c r="S1297" t="s">
        <v>26</v>
      </c>
      <c r="T1297" t="s">
        <v>26</v>
      </c>
      <c r="U1297" t="s">
        <v>26</v>
      </c>
      <c r="V1297" t="s">
        <v>26</v>
      </c>
      <c r="W1297" s="24">
        <v>42736</v>
      </c>
      <c r="X1297" s="25" t="s">
        <v>77</v>
      </c>
      <c r="Y1297" t="s">
        <v>26</v>
      </c>
      <c r="Z1297" s="24">
        <v>42736</v>
      </c>
      <c r="AA1297" s="25" t="s">
        <v>77</v>
      </c>
      <c r="AB1297" t="s">
        <v>26</v>
      </c>
      <c r="AC1297" s="24">
        <v>42736</v>
      </c>
      <c r="AD1297" s="25" t="s">
        <v>77</v>
      </c>
      <c r="AE1297" t="s">
        <v>26</v>
      </c>
      <c r="AF1297" t="s">
        <v>26</v>
      </c>
      <c r="AG1297" t="s">
        <v>26</v>
      </c>
      <c r="AH1297" t="s">
        <v>26</v>
      </c>
      <c r="AI1297" t="s">
        <v>26</v>
      </c>
      <c r="AJ1297" t="s">
        <v>26</v>
      </c>
      <c r="AK1297" t="s">
        <v>26</v>
      </c>
      <c r="AL1297" t="s">
        <v>26</v>
      </c>
      <c r="AM1297" t="s">
        <v>26</v>
      </c>
      <c r="AN1297" t="s">
        <v>26</v>
      </c>
      <c r="AO1297" s="25" t="s">
        <v>68</v>
      </c>
      <c r="AP1297" s="23" t="s">
        <v>69</v>
      </c>
      <c r="AQ1297" s="23" t="s">
        <v>30</v>
      </c>
      <c r="AR1297" s="23" t="s">
        <v>46</v>
      </c>
      <c r="AS1297" s="25">
        <v>2046420</v>
      </c>
      <c r="AT1297" t="s">
        <v>26</v>
      </c>
      <c r="AU1297" t="s">
        <v>23925</v>
      </c>
    </row>
    <row r="1298" spans="1:47" ht="26.25" x14ac:dyDescent="0.4">
      <c r="A1298" s="23" t="s">
        <v>23926</v>
      </c>
      <c r="B1298" t="s">
        <v>26</v>
      </c>
      <c r="C1298" s="23" t="s">
        <v>3188</v>
      </c>
      <c r="D1298" s="23" t="s">
        <v>23914</v>
      </c>
      <c r="E1298" s="23" t="s">
        <v>42</v>
      </c>
      <c r="F1298" s="25" t="s">
        <v>23927</v>
      </c>
      <c r="G1298" s="25" t="s">
        <v>23928</v>
      </c>
      <c r="H1298" t="s">
        <v>26</v>
      </c>
      <c r="I1298" t="s">
        <v>26</v>
      </c>
      <c r="J1298" t="s">
        <v>26</v>
      </c>
      <c r="K1298" t="s">
        <v>26</v>
      </c>
      <c r="L1298" s="25" t="s">
        <v>68</v>
      </c>
      <c r="M1298" t="s">
        <v>26</v>
      </c>
      <c r="N1298" t="s">
        <v>26</v>
      </c>
      <c r="O1298" t="s">
        <v>26</v>
      </c>
      <c r="P1298" t="s">
        <v>26</v>
      </c>
      <c r="Q1298" t="s">
        <v>26</v>
      </c>
      <c r="R1298" t="s">
        <v>26</v>
      </c>
      <c r="S1298" t="s">
        <v>26</v>
      </c>
      <c r="T1298" t="s">
        <v>26</v>
      </c>
      <c r="U1298" t="s">
        <v>26</v>
      </c>
      <c r="V1298" t="s">
        <v>26</v>
      </c>
      <c r="W1298" s="24">
        <v>42917</v>
      </c>
      <c r="X1298" s="25" t="s">
        <v>77</v>
      </c>
      <c r="Y1298" s="25" t="s">
        <v>696</v>
      </c>
      <c r="Z1298" s="24">
        <v>42917</v>
      </c>
      <c r="AA1298" s="25" t="s">
        <v>77</v>
      </c>
      <c r="AB1298" s="25" t="s">
        <v>696</v>
      </c>
      <c r="AC1298" s="24">
        <v>42917</v>
      </c>
      <c r="AD1298" s="25" t="s">
        <v>77</v>
      </c>
      <c r="AE1298" s="25" t="s">
        <v>696</v>
      </c>
      <c r="AF1298" t="s">
        <v>26</v>
      </c>
      <c r="AG1298" t="s">
        <v>26</v>
      </c>
      <c r="AH1298" t="s">
        <v>26</v>
      </c>
      <c r="AI1298" t="s">
        <v>26</v>
      </c>
      <c r="AJ1298" t="s">
        <v>26</v>
      </c>
      <c r="AK1298" t="s">
        <v>26</v>
      </c>
      <c r="AL1298" t="s">
        <v>26</v>
      </c>
      <c r="AM1298" t="s">
        <v>26</v>
      </c>
      <c r="AN1298" t="s">
        <v>26</v>
      </c>
      <c r="AO1298" s="25" t="s">
        <v>68</v>
      </c>
      <c r="AP1298" s="23" t="s">
        <v>69</v>
      </c>
      <c r="AQ1298" s="23" t="s">
        <v>30</v>
      </c>
      <c r="AR1298" s="23" t="s">
        <v>23929</v>
      </c>
      <c r="AS1298" s="25">
        <v>2045854</v>
      </c>
      <c r="AT1298" t="s">
        <v>26</v>
      </c>
      <c r="AU1298" t="s">
        <v>23930</v>
      </c>
    </row>
    <row r="1299" spans="1:47" ht="26.25" x14ac:dyDescent="0.4">
      <c r="A1299" s="23" t="s">
        <v>3225</v>
      </c>
      <c r="B1299" t="s">
        <v>26</v>
      </c>
      <c r="C1299" s="23" t="s">
        <v>3226</v>
      </c>
      <c r="D1299" s="23" t="s">
        <v>22772</v>
      </c>
      <c r="E1299" s="23" t="s">
        <v>335</v>
      </c>
      <c r="F1299" s="25" t="s">
        <v>3227</v>
      </c>
      <c r="G1299" t="s">
        <v>26</v>
      </c>
      <c r="H1299" t="s">
        <v>26</v>
      </c>
      <c r="I1299" t="s">
        <v>26</v>
      </c>
      <c r="J1299" t="s">
        <v>26</v>
      </c>
      <c r="K1299" t="s">
        <v>26</v>
      </c>
      <c r="L1299" s="25" t="s">
        <v>68</v>
      </c>
      <c r="M1299" t="s">
        <v>26</v>
      </c>
      <c r="N1299" t="s">
        <v>26</v>
      </c>
      <c r="O1299" t="s">
        <v>26</v>
      </c>
      <c r="P1299" t="s">
        <v>26</v>
      </c>
      <c r="Q1299" t="s">
        <v>26</v>
      </c>
      <c r="R1299" t="s">
        <v>26</v>
      </c>
      <c r="S1299" t="s">
        <v>26</v>
      </c>
      <c r="T1299" t="s">
        <v>26</v>
      </c>
      <c r="U1299" t="s">
        <v>26</v>
      </c>
      <c r="V1299" t="s">
        <v>26</v>
      </c>
      <c r="W1299" s="24">
        <v>37347</v>
      </c>
      <c r="X1299" s="25" t="s">
        <v>77</v>
      </c>
      <c r="Y1299" t="s">
        <v>26</v>
      </c>
      <c r="Z1299" s="24">
        <v>37347</v>
      </c>
      <c r="AA1299" s="25" t="s">
        <v>77</v>
      </c>
      <c r="AB1299" t="s">
        <v>26</v>
      </c>
      <c r="AC1299" s="24">
        <v>43101</v>
      </c>
      <c r="AD1299" s="25" t="s">
        <v>77</v>
      </c>
      <c r="AE1299" t="s">
        <v>26</v>
      </c>
      <c r="AF1299" t="s">
        <v>26</v>
      </c>
      <c r="AG1299" t="s">
        <v>26</v>
      </c>
      <c r="AH1299" t="s">
        <v>26</v>
      </c>
      <c r="AI1299" t="s">
        <v>26</v>
      </c>
      <c r="AJ1299" t="s">
        <v>26</v>
      </c>
      <c r="AK1299" t="s">
        <v>26</v>
      </c>
      <c r="AL1299" t="s">
        <v>26</v>
      </c>
      <c r="AM1299" t="s">
        <v>26</v>
      </c>
      <c r="AN1299" t="s">
        <v>26</v>
      </c>
      <c r="AO1299" s="25" t="s">
        <v>68</v>
      </c>
      <c r="AP1299" s="23" t="s">
        <v>69</v>
      </c>
      <c r="AQ1299" s="23" t="s">
        <v>30</v>
      </c>
      <c r="AR1299" s="23" t="s">
        <v>1623</v>
      </c>
      <c r="AS1299" s="25">
        <v>27708</v>
      </c>
      <c r="AT1299" t="s">
        <v>26</v>
      </c>
      <c r="AU1299" t="s">
        <v>23931</v>
      </c>
    </row>
    <row r="1300" spans="1:47" ht="26.25" x14ac:dyDescent="0.4">
      <c r="A1300" s="23" t="s">
        <v>3228</v>
      </c>
      <c r="B1300" t="s">
        <v>26</v>
      </c>
      <c r="C1300" s="23" t="s">
        <v>80</v>
      </c>
      <c r="D1300" s="23" t="s">
        <v>22184</v>
      </c>
      <c r="E1300" s="23" t="s">
        <v>60</v>
      </c>
      <c r="F1300" s="25" t="s">
        <v>3229</v>
      </c>
      <c r="G1300" s="25" t="s">
        <v>3230</v>
      </c>
      <c r="H1300" t="s">
        <v>26</v>
      </c>
      <c r="I1300" t="s">
        <v>26</v>
      </c>
      <c r="J1300" t="s">
        <v>26</v>
      </c>
      <c r="K1300" t="s">
        <v>26</v>
      </c>
      <c r="L1300" s="25" t="s">
        <v>68</v>
      </c>
      <c r="M1300" t="s">
        <v>26</v>
      </c>
      <c r="N1300" t="s">
        <v>26</v>
      </c>
      <c r="O1300" t="s">
        <v>26</v>
      </c>
      <c r="P1300" t="s">
        <v>26</v>
      </c>
      <c r="Q1300" t="s">
        <v>26</v>
      </c>
      <c r="R1300" t="s">
        <v>26</v>
      </c>
      <c r="S1300" t="s">
        <v>26</v>
      </c>
      <c r="T1300" t="s">
        <v>26</v>
      </c>
      <c r="U1300" t="s">
        <v>26</v>
      </c>
      <c r="V1300" t="s">
        <v>26</v>
      </c>
      <c r="W1300" s="24">
        <v>42491</v>
      </c>
      <c r="X1300" s="25" t="s">
        <v>77</v>
      </c>
      <c r="Y1300" t="s">
        <v>26</v>
      </c>
      <c r="Z1300" s="24">
        <v>42491</v>
      </c>
      <c r="AA1300" s="25" t="s">
        <v>77</v>
      </c>
      <c r="AB1300" t="s">
        <v>26</v>
      </c>
      <c r="AC1300" s="24">
        <v>42491</v>
      </c>
      <c r="AD1300" s="25" t="s">
        <v>77</v>
      </c>
      <c r="AE1300" t="s">
        <v>26</v>
      </c>
      <c r="AF1300" t="s">
        <v>26</v>
      </c>
      <c r="AG1300" t="s">
        <v>26</v>
      </c>
      <c r="AH1300" t="s">
        <v>26</v>
      </c>
      <c r="AI1300" t="s">
        <v>26</v>
      </c>
      <c r="AJ1300" t="s">
        <v>26</v>
      </c>
      <c r="AK1300" t="s">
        <v>26</v>
      </c>
      <c r="AL1300" t="s">
        <v>26</v>
      </c>
      <c r="AM1300" t="s">
        <v>26</v>
      </c>
      <c r="AN1300" t="s">
        <v>26</v>
      </c>
      <c r="AO1300" s="25" t="s">
        <v>68</v>
      </c>
      <c r="AP1300" s="23" t="s">
        <v>69</v>
      </c>
      <c r="AQ1300" s="23" t="s">
        <v>30</v>
      </c>
      <c r="AR1300" s="23" t="s">
        <v>3231</v>
      </c>
      <c r="AS1300" s="25">
        <v>2033246</v>
      </c>
      <c r="AT1300" t="s">
        <v>26</v>
      </c>
      <c r="AU1300" t="s">
        <v>23932</v>
      </c>
    </row>
    <row r="1301" spans="1:47" ht="26.25" x14ac:dyDescent="0.4">
      <c r="A1301" s="23" t="s">
        <v>23933</v>
      </c>
      <c r="B1301" t="s">
        <v>26</v>
      </c>
      <c r="C1301" s="23" t="s">
        <v>3188</v>
      </c>
      <c r="D1301" s="23" t="s">
        <v>23914</v>
      </c>
      <c r="E1301" s="23" t="s">
        <v>42</v>
      </c>
      <c r="F1301" s="25" t="s">
        <v>23934</v>
      </c>
      <c r="G1301" s="25" t="s">
        <v>23935</v>
      </c>
      <c r="H1301" t="s">
        <v>26</v>
      </c>
      <c r="I1301" s="24">
        <v>39083</v>
      </c>
      <c r="J1301" s="24">
        <v>39904</v>
      </c>
      <c r="K1301" t="s">
        <v>26</v>
      </c>
      <c r="L1301" s="25" t="s">
        <v>68</v>
      </c>
      <c r="M1301" s="24">
        <v>39083</v>
      </c>
      <c r="N1301" s="24">
        <v>39904</v>
      </c>
      <c r="O1301" t="s">
        <v>26</v>
      </c>
      <c r="P1301" s="24">
        <v>39083</v>
      </c>
      <c r="Q1301" s="24">
        <v>39904</v>
      </c>
      <c r="R1301" t="s">
        <v>26</v>
      </c>
      <c r="S1301" t="s">
        <v>26</v>
      </c>
      <c r="T1301" t="s">
        <v>26</v>
      </c>
      <c r="U1301" t="s">
        <v>26</v>
      </c>
      <c r="V1301" t="s">
        <v>26</v>
      </c>
      <c r="W1301" s="24">
        <v>39083</v>
      </c>
      <c r="X1301" s="25" t="s">
        <v>77</v>
      </c>
      <c r="Y1301" t="s">
        <v>26</v>
      </c>
      <c r="Z1301" s="24">
        <v>39083</v>
      </c>
      <c r="AA1301" s="25" t="s">
        <v>77</v>
      </c>
      <c r="AB1301" t="s">
        <v>26</v>
      </c>
      <c r="AC1301" s="24">
        <v>39083</v>
      </c>
      <c r="AD1301" s="25" t="s">
        <v>77</v>
      </c>
      <c r="AE1301" t="s">
        <v>26</v>
      </c>
      <c r="AF1301" t="s">
        <v>26</v>
      </c>
      <c r="AG1301" t="s">
        <v>26</v>
      </c>
      <c r="AH1301" t="s">
        <v>26</v>
      </c>
      <c r="AI1301" t="s">
        <v>26</v>
      </c>
      <c r="AJ1301" t="s">
        <v>26</v>
      </c>
      <c r="AK1301" t="s">
        <v>26</v>
      </c>
      <c r="AL1301" t="s">
        <v>26</v>
      </c>
      <c r="AM1301" t="s">
        <v>26</v>
      </c>
      <c r="AN1301" t="s">
        <v>26</v>
      </c>
      <c r="AO1301" s="25" t="s">
        <v>68</v>
      </c>
      <c r="AP1301" s="23" t="s">
        <v>69</v>
      </c>
      <c r="AQ1301" s="23" t="s">
        <v>30</v>
      </c>
      <c r="AR1301" s="23" t="s">
        <v>23936</v>
      </c>
      <c r="AS1301" s="25">
        <v>21865</v>
      </c>
      <c r="AT1301" t="s">
        <v>26</v>
      </c>
      <c r="AU1301" t="s">
        <v>23937</v>
      </c>
    </row>
    <row r="1302" spans="1:47" ht="26.25" x14ac:dyDescent="0.4">
      <c r="A1302" s="23" t="s">
        <v>3232</v>
      </c>
      <c r="B1302" t="s">
        <v>26</v>
      </c>
      <c r="C1302" s="23" t="s">
        <v>73</v>
      </c>
      <c r="D1302" s="23" t="s">
        <v>22211</v>
      </c>
      <c r="E1302" s="23" t="s">
        <v>74</v>
      </c>
      <c r="F1302" s="25" t="s">
        <v>3233</v>
      </c>
      <c r="G1302" s="25" t="s">
        <v>3234</v>
      </c>
      <c r="H1302" t="s">
        <v>26</v>
      </c>
      <c r="I1302" s="24">
        <v>35612</v>
      </c>
      <c r="J1302" s="25" t="s">
        <v>77</v>
      </c>
      <c r="K1302" t="s">
        <v>26</v>
      </c>
      <c r="L1302" s="25" t="s">
        <v>68</v>
      </c>
      <c r="M1302" s="24">
        <v>35612</v>
      </c>
      <c r="N1302" s="24">
        <v>42675</v>
      </c>
      <c r="O1302" t="s">
        <v>26</v>
      </c>
      <c r="P1302" s="24">
        <v>35612</v>
      </c>
      <c r="Q1302" s="25" t="s">
        <v>77</v>
      </c>
      <c r="R1302" t="s">
        <v>26</v>
      </c>
      <c r="S1302" t="s">
        <v>26</v>
      </c>
      <c r="T1302" t="s">
        <v>26</v>
      </c>
      <c r="U1302" t="s">
        <v>26</v>
      </c>
      <c r="V1302" s="25">
        <v>365</v>
      </c>
      <c r="W1302" s="24">
        <v>35612</v>
      </c>
      <c r="X1302" s="25" t="s">
        <v>77</v>
      </c>
      <c r="Y1302" t="s">
        <v>26</v>
      </c>
      <c r="Z1302" s="24">
        <v>35612</v>
      </c>
      <c r="AA1302" s="25" t="s">
        <v>77</v>
      </c>
      <c r="AB1302" t="s">
        <v>26</v>
      </c>
      <c r="AC1302" s="24">
        <v>35612</v>
      </c>
      <c r="AD1302" s="25" t="s">
        <v>77</v>
      </c>
      <c r="AE1302" t="s">
        <v>26</v>
      </c>
      <c r="AF1302" t="s">
        <v>26</v>
      </c>
      <c r="AG1302" t="s">
        <v>26</v>
      </c>
      <c r="AH1302" t="s">
        <v>26</v>
      </c>
      <c r="AI1302" t="s">
        <v>26</v>
      </c>
      <c r="AJ1302" t="s">
        <v>26</v>
      </c>
      <c r="AK1302" t="s">
        <v>26</v>
      </c>
      <c r="AL1302" t="s">
        <v>26</v>
      </c>
      <c r="AM1302" t="s">
        <v>26</v>
      </c>
      <c r="AN1302" t="s">
        <v>26</v>
      </c>
      <c r="AO1302" s="25" t="s">
        <v>68</v>
      </c>
      <c r="AP1302" s="23" t="s">
        <v>69</v>
      </c>
      <c r="AQ1302" s="23" t="s">
        <v>30</v>
      </c>
      <c r="AR1302" s="23" t="s">
        <v>1464</v>
      </c>
      <c r="AS1302" s="25">
        <v>48368</v>
      </c>
      <c r="AT1302" t="s">
        <v>26</v>
      </c>
      <c r="AU1302" t="s">
        <v>23938</v>
      </c>
    </row>
    <row r="1303" spans="1:47" ht="26.25" x14ac:dyDescent="0.4">
      <c r="A1303" s="23" t="s">
        <v>3235</v>
      </c>
      <c r="B1303" t="s">
        <v>26</v>
      </c>
      <c r="C1303" s="23" t="s">
        <v>80</v>
      </c>
      <c r="D1303" s="23" t="s">
        <v>22184</v>
      </c>
      <c r="E1303" s="23" t="s">
        <v>60</v>
      </c>
      <c r="F1303" s="25" t="s">
        <v>3236</v>
      </c>
      <c r="G1303" s="25" t="s">
        <v>3237</v>
      </c>
      <c r="H1303" t="s">
        <v>26</v>
      </c>
      <c r="I1303" t="s">
        <v>26</v>
      </c>
      <c r="J1303" t="s">
        <v>26</v>
      </c>
      <c r="K1303" t="s">
        <v>26</v>
      </c>
      <c r="L1303" s="25" t="s">
        <v>68</v>
      </c>
      <c r="M1303" t="s">
        <v>26</v>
      </c>
      <c r="N1303" t="s">
        <v>26</v>
      </c>
      <c r="O1303" t="s">
        <v>26</v>
      </c>
      <c r="P1303" t="s">
        <v>26</v>
      </c>
      <c r="Q1303" t="s">
        <v>26</v>
      </c>
      <c r="R1303" t="s">
        <v>26</v>
      </c>
      <c r="S1303" t="s">
        <v>26</v>
      </c>
      <c r="T1303" t="s">
        <v>26</v>
      </c>
      <c r="U1303" t="s">
        <v>26</v>
      </c>
      <c r="V1303" t="s">
        <v>26</v>
      </c>
      <c r="W1303" s="24">
        <v>40179</v>
      </c>
      <c r="X1303" s="25" t="s">
        <v>77</v>
      </c>
      <c r="Y1303" t="s">
        <v>26</v>
      </c>
      <c r="Z1303" s="24">
        <v>40179</v>
      </c>
      <c r="AA1303" s="25" t="s">
        <v>77</v>
      </c>
      <c r="AB1303" t="s">
        <v>26</v>
      </c>
      <c r="AC1303" s="24">
        <v>40179</v>
      </c>
      <c r="AD1303" s="25" t="s">
        <v>77</v>
      </c>
      <c r="AE1303" t="s">
        <v>26</v>
      </c>
      <c r="AF1303" t="s">
        <v>26</v>
      </c>
      <c r="AG1303" t="s">
        <v>26</v>
      </c>
      <c r="AH1303" t="s">
        <v>26</v>
      </c>
      <c r="AI1303" t="s">
        <v>26</v>
      </c>
      <c r="AJ1303" t="s">
        <v>26</v>
      </c>
      <c r="AK1303" t="s">
        <v>26</v>
      </c>
      <c r="AL1303" t="s">
        <v>26</v>
      </c>
      <c r="AM1303" t="s">
        <v>26</v>
      </c>
      <c r="AN1303" t="s">
        <v>26</v>
      </c>
      <c r="AO1303" s="25" t="s">
        <v>68</v>
      </c>
      <c r="AP1303" s="23" t="s">
        <v>69</v>
      </c>
      <c r="AQ1303" s="23" t="s">
        <v>30</v>
      </c>
      <c r="AR1303" s="23" t="s">
        <v>337</v>
      </c>
      <c r="AS1303" s="25">
        <v>426766</v>
      </c>
      <c r="AT1303" t="s">
        <v>26</v>
      </c>
      <c r="AU1303" t="s">
        <v>23939</v>
      </c>
    </row>
    <row r="1304" spans="1:47" ht="26.25" x14ac:dyDescent="0.4">
      <c r="A1304" s="23" t="s">
        <v>3238</v>
      </c>
      <c r="B1304" t="s">
        <v>26</v>
      </c>
      <c r="C1304" s="23" t="s">
        <v>320</v>
      </c>
      <c r="D1304" s="23" t="s">
        <v>22294</v>
      </c>
      <c r="E1304" s="23" t="s">
        <v>42</v>
      </c>
      <c r="F1304" s="25" t="s">
        <v>3239</v>
      </c>
      <c r="G1304" s="25" t="s">
        <v>3240</v>
      </c>
      <c r="H1304" t="s">
        <v>26</v>
      </c>
      <c r="I1304" t="s">
        <v>26</v>
      </c>
      <c r="J1304" t="s">
        <v>26</v>
      </c>
      <c r="K1304" t="s">
        <v>26</v>
      </c>
      <c r="L1304" s="25" t="s">
        <v>68</v>
      </c>
      <c r="M1304" t="s">
        <v>26</v>
      </c>
      <c r="N1304" t="s">
        <v>26</v>
      </c>
      <c r="O1304" t="s">
        <v>26</v>
      </c>
      <c r="P1304" t="s">
        <v>26</v>
      </c>
      <c r="Q1304" t="s">
        <v>26</v>
      </c>
      <c r="R1304" t="s">
        <v>26</v>
      </c>
      <c r="S1304" t="s">
        <v>26</v>
      </c>
      <c r="T1304" t="s">
        <v>26</v>
      </c>
      <c r="U1304" t="s">
        <v>26</v>
      </c>
      <c r="V1304" t="s">
        <v>26</v>
      </c>
      <c r="W1304" s="24">
        <v>34700</v>
      </c>
      <c r="X1304" s="25" t="s">
        <v>77</v>
      </c>
      <c r="Y1304" t="s">
        <v>26</v>
      </c>
      <c r="Z1304" s="24">
        <v>34700</v>
      </c>
      <c r="AA1304" s="25" t="s">
        <v>77</v>
      </c>
      <c r="AB1304" t="s">
        <v>26</v>
      </c>
      <c r="AC1304" s="24">
        <v>34700</v>
      </c>
      <c r="AD1304" s="25" t="s">
        <v>77</v>
      </c>
      <c r="AE1304" t="s">
        <v>26</v>
      </c>
      <c r="AF1304" t="s">
        <v>26</v>
      </c>
      <c r="AG1304" t="s">
        <v>26</v>
      </c>
      <c r="AH1304" t="s">
        <v>26</v>
      </c>
      <c r="AI1304" t="s">
        <v>26</v>
      </c>
      <c r="AJ1304" t="s">
        <v>26</v>
      </c>
      <c r="AK1304" t="s">
        <v>26</v>
      </c>
      <c r="AL1304" t="s">
        <v>26</v>
      </c>
      <c r="AM1304" t="s">
        <v>26</v>
      </c>
      <c r="AN1304" t="s">
        <v>26</v>
      </c>
      <c r="AO1304" s="25" t="s">
        <v>68</v>
      </c>
      <c r="AP1304" s="23" t="s">
        <v>69</v>
      </c>
      <c r="AQ1304" s="23" t="s">
        <v>30</v>
      </c>
      <c r="AR1304" s="23" t="s">
        <v>3241</v>
      </c>
      <c r="AS1304" s="25">
        <v>49031</v>
      </c>
      <c r="AT1304" t="s">
        <v>26</v>
      </c>
      <c r="AU1304" t="s">
        <v>23940</v>
      </c>
    </row>
    <row r="1305" spans="1:47" ht="26.25" x14ac:dyDescent="0.4">
      <c r="A1305" s="23" t="s">
        <v>3242</v>
      </c>
      <c r="B1305" t="s">
        <v>26</v>
      </c>
      <c r="C1305" s="23" t="s">
        <v>3243</v>
      </c>
      <c r="D1305" s="23" t="s">
        <v>23941</v>
      </c>
      <c r="E1305" s="23" t="s">
        <v>120</v>
      </c>
      <c r="F1305" s="25" t="s">
        <v>3244</v>
      </c>
      <c r="G1305" t="s">
        <v>26</v>
      </c>
      <c r="H1305" t="s">
        <v>26</v>
      </c>
      <c r="I1305" s="24">
        <v>40544</v>
      </c>
      <c r="J1305" s="25" t="s">
        <v>77</v>
      </c>
      <c r="K1305" t="s">
        <v>26</v>
      </c>
      <c r="L1305" s="25" t="s">
        <v>68</v>
      </c>
      <c r="M1305" s="24">
        <v>40544</v>
      </c>
      <c r="N1305" s="25" t="s">
        <v>77</v>
      </c>
      <c r="O1305" t="s">
        <v>26</v>
      </c>
      <c r="P1305" s="24">
        <v>40544</v>
      </c>
      <c r="Q1305" s="25" t="s">
        <v>77</v>
      </c>
      <c r="R1305" t="s">
        <v>26</v>
      </c>
      <c r="S1305" t="s">
        <v>26</v>
      </c>
      <c r="T1305" t="s">
        <v>26</v>
      </c>
      <c r="U1305" t="s">
        <v>26</v>
      </c>
      <c r="V1305" t="s">
        <v>26</v>
      </c>
      <c r="W1305" s="24">
        <v>40544</v>
      </c>
      <c r="X1305" s="25" t="s">
        <v>77</v>
      </c>
      <c r="Y1305" t="s">
        <v>26</v>
      </c>
      <c r="Z1305" s="24">
        <v>40544</v>
      </c>
      <c r="AA1305" s="25" t="s">
        <v>77</v>
      </c>
      <c r="AB1305" t="s">
        <v>26</v>
      </c>
      <c r="AC1305" s="24">
        <v>40544</v>
      </c>
      <c r="AD1305" s="25" t="s">
        <v>77</v>
      </c>
      <c r="AE1305" t="s">
        <v>26</v>
      </c>
      <c r="AF1305" t="s">
        <v>26</v>
      </c>
      <c r="AG1305" t="s">
        <v>26</v>
      </c>
      <c r="AH1305" t="s">
        <v>26</v>
      </c>
      <c r="AI1305" t="s">
        <v>26</v>
      </c>
      <c r="AJ1305" t="s">
        <v>26</v>
      </c>
      <c r="AK1305" t="s">
        <v>26</v>
      </c>
      <c r="AL1305" t="s">
        <v>26</v>
      </c>
      <c r="AM1305" t="s">
        <v>26</v>
      </c>
      <c r="AN1305" t="s">
        <v>26</v>
      </c>
      <c r="AO1305" s="25" t="s">
        <v>68</v>
      </c>
      <c r="AP1305" s="23" t="s">
        <v>69</v>
      </c>
      <c r="AQ1305" s="23" t="s">
        <v>30</v>
      </c>
      <c r="AR1305" s="23" t="s">
        <v>123</v>
      </c>
      <c r="AS1305" s="25">
        <v>1606375</v>
      </c>
      <c r="AT1305" t="s">
        <v>26</v>
      </c>
      <c r="AU1305" t="s">
        <v>23942</v>
      </c>
    </row>
    <row r="1306" spans="1:47" ht="26.25" x14ac:dyDescent="0.4">
      <c r="A1306" s="23" t="s">
        <v>3245</v>
      </c>
      <c r="B1306" t="s">
        <v>26</v>
      </c>
      <c r="C1306" s="23" t="s">
        <v>3246</v>
      </c>
      <c r="D1306" s="23" t="s">
        <v>22428</v>
      </c>
      <c r="E1306" s="23" t="s">
        <v>139</v>
      </c>
      <c r="F1306" t="s">
        <v>26</v>
      </c>
      <c r="G1306" s="25" t="s">
        <v>3247</v>
      </c>
      <c r="H1306" t="s">
        <v>26</v>
      </c>
      <c r="I1306" s="24">
        <v>42401</v>
      </c>
      <c r="J1306" s="25" t="s">
        <v>77</v>
      </c>
      <c r="K1306" t="s">
        <v>26</v>
      </c>
      <c r="L1306" s="25" t="s">
        <v>68</v>
      </c>
      <c r="M1306" t="s">
        <v>26</v>
      </c>
      <c r="N1306" t="s">
        <v>26</v>
      </c>
      <c r="O1306" t="s">
        <v>26</v>
      </c>
      <c r="P1306" s="24">
        <v>42401</v>
      </c>
      <c r="Q1306" s="25" t="s">
        <v>77</v>
      </c>
      <c r="R1306" t="s">
        <v>26</v>
      </c>
      <c r="S1306" t="s">
        <v>26</v>
      </c>
      <c r="T1306" t="s">
        <v>26</v>
      </c>
      <c r="U1306" t="s">
        <v>26</v>
      </c>
      <c r="V1306" t="s">
        <v>26</v>
      </c>
      <c r="W1306" s="24">
        <v>42401</v>
      </c>
      <c r="X1306" s="25" t="s">
        <v>77</v>
      </c>
      <c r="Y1306" t="s">
        <v>26</v>
      </c>
      <c r="Z1306" s="24">
        <v>42401</v>
      </c>
      <c r="AA1306" s="25" t="s">
        <v>77</v>
      </c>
      <c r="AB1306" t="s">
        <v>26</v>
      </c>
      <c r="AC1306" s="24">
        <v>42401</v>
      </c>
      <c r="AD1306" s="25" t="s">
        <v>77</v>
      </c>
      <c r="AE1306" t="s">
        <v>26</v>
      </c>
      <c r="AF1306" t="s">
        <v>26</v>
      </c>
      <c r="AG1306" t="s">
        <v>26</v>
      </c>
      <c r="AH1306" t="s">
        <v>26</v>
      </c>
      <c r="AI1306" t="s">
        <v>26</v>
      </c>
      <c r="AJ1306" t="s">
        <v>26</v>
      </c>
      <c r="AK1306" t="s">
        <v>26</v>
      </c>
      <c r="AL1306" t="s">
        <v>26</v>
      </c>
      <c r="AM1306" t="s">
        <v>26</v>
      </c>
      <c r="AN1306" t="s">
        <v>26</v>
      </c>
      <c r="AO1306" s="25" t="s">
        <v>68</v>
      </c>
      <c r="AP1306" s="23" t="s">
        <v>69</v>
      </c>
      <c r="AQ1306" s="23" t="s">
        <v>30</v>
      </c>
      <c r="AR1306" s="23" t="s">
        <v>46</v>
      </c>
      <c r="AS1306" s="25">
        <v>2042206</v>
      </c>
      <c r="AT1306" t="s">
        <v>26</v>
      </c>
      <c r="AU1306" t="s">
        <v>23943</v>
      </c>
    </row>
    <row r="1307" spans="1:47" ht="26.25" x14ac:dyDescent="0.4">
      <c r="A1307" s="23" t="s">
        <v>3248</v>
      </c>
      <c r="B1307" t="s">
        <v>26</v>
      </c>
      <c r="C1307" s="23" t="s">
        <v>3249</v>
      </c>
      <c r="D1307" s="23" t="s">
        <v>23944</v>
      </c>
      <c r="E1307" s="23" t="s">
        <v>3250</v>
      </c>
      <c r="F1307" t="s">
        <v>26</v>
      </c>
      <c r="G1307" s="25" t="s">
        <v>3251</v>
      </c>
      <c r="H1307" t="s">
        <v>26</v>
      </c>
      <c r="I1307" s="24">
        <v>41365</v>
      </c>
      <c r="J1307" s="25" t="s">
        <v>77</v>
      </c>
      <c r="K1307" t="s">
        <v>26</v>
      </c>
      <c r="L1307" s="25" t="s">
        <v>68</v>
      </c>
      <c r="M1307" s="24">
        <v>41365</v>
      </c>
      <c r="N1307" s="25" t="s">
        <v>77</v>
      </c>
      <c r="O1307" t="s">
        <v>26</v>
      </c>
      <c r="P1307" s="24">
        <v>41365</v>
      </c>
      <c r="Q1307" s="25" t="s">
        <v>77</v>
      </c>
      <c r="R1307" t="s">
        <v>26</v>
      </c>
      <c r="S1307" t="s">
        <v>26</v>
      </c>
      <c r="T1307" t="s">
        <v>26</v>
      </c>
      <c r="U1307" t="s">
        <v>26</v>
      </c>
      <c r="V1307" t="s">
        <v>26</v>
      </c>
      <c r="W1307" s="24">
        <v>41365</v>
      </c>
      <c r="X1307" s="25" t="s">
        <v>77</v>
      </c>
      <c r="Y1307" t="s">
        <v>26</v>
      </c>
      <c r="Z1307" s="24">
        <v>41365</v>
      </c>
      <c r="AA1307" s="25" t="s">
        <v>77</v>
      </c>
      <c r="AB1307" t="s">
        <v>26</v>
      </c>
      <c r="AC1307" s="24">
        <v>41365</v>
      </c>
      <c r="AD1307" s="25" t="s">
        <v>77</v>
      </c>
      <c r="AE1307" t="s">
        <v>26</v>
      </c>
      <c r="AF1307" t="s">
        <v>26</v>
      </c>
      <c r="AG1307" t="s">
        <v>26</v>
      </c>
      <c r="AH1307" t="s">
        <v>26</v>
      </c>
      <c r="AI1307" t="s">
        <v>26</v>
      </c>
      <c r="AJ1307" t="s">
        <v>26</v>
      </c>
      <c r="AK1307" t="s">
        <v>26</v>
      </c>
      <c r="AL1307" t="s">
        <v>26</v>
      </c>
      <c r="AM1307" t="s">
        <v>26</v>
      </c>
      <c r="AN1307" t="s">
        <v>26</v>
      </c>
      <c r="AO1307" s="25" t="s">
        <v>68</v>
      </c>
      <c r="AP1307" s="23" t="s">
        <v>69</v>
      </c>
      <c r="AQ1307" s="23" t="s">
        <v>30</v>
      </c>
      <c r="AR1307" s="23" t="s">
        <v>337</v>
      </c>
      <c r="AS1307" s="25">
        <v>2031381</v>
      </c>
      <c r="AT1307" t="s">
        <v>26</v>
      </c>
      <c r="AU1307" t="s">
        <v>23945</v>
      </c>
    </row>
    <row r="1308" spans="1:47" ht="26.25" x14ac:dyDescent="0.4">
      <c r="A1308" s="23" t="s">
        <v>3252</v>
      </c>
      <c r="B1308" t="s">
        <v>26</v>
      </c>
      <c r="C1308" s="23" t="s">
        <v>80</v>
      </c>
      <c r="D1308" s="23" t="s">
        <v>22190</v>
      </c>
      <c r="E1308" s="23" t="s">
        <v>60</v>
      </c>
      <c r="F1308" s="25" t="s">
        <v>3253</v>
      </c>
      <c r="G1308" s="25" t="s">
        <v>3254</v>
      </c>
      <c r="H1308" t="s">
        <v>26</v>
      </c>
      <c r="I1308" t="s">
        <v>26</v>
      </c>
      <c r="J1308" t="s">
        <v>26</v>
      </c>
      <c r="K1308" t="s">
        <v>26</v>
      </c>
      <c r="L1308" s="25" t="s">
        <v>68</v>
      </c>
      <c r="M1308" t="s">
        <v>26</v>
      </c>
      <c r="N1308" t="s">
        <v>26</v>
      </c>
      <c r="O1308" t="s">
        <v>26</v>
      </c>
      <c r="P1308" t="s">
        <v>26</v>
      </c>
      <c r="Q1308" t="s">
        <v>26</v>
      </c>
      <c r="R1308" t="s">
        <v>26</v>
      </c>
      <c r="S1308" t="s">
        <v>26</v>
      </c>
      <c r="T1308" t="s">
        <v>26</v>
      </c>
      <c r="U1308" t="s">
        <v>26</v>
      </c>
      <c r="V1308" t="s">
        <v>26</v>
      </c>
      <c r="W1308" s="24">
        <v>40544</v>
      </c>
      <c r="X1308" s="25" t="s">
        <v>77</v>
      </c>
      <c r="Y1308" t="s">
        <v>26</v>
      </c>
      <c r="Z1308" s="24">
        <v>40544</v>
      </c>
      <c r="AA1308" s="25" t="s">
        <v>77</v>
      </c>
      <c r="AB1308" t="s">
        <v>26</v>
      </c>
      <c r="AC1308" s="24">
        <v>40544</v>
      </c>
      <c r="AD1308" s="25" t="s">
        <v>77</v>
      </c>
      <c r="AE1308" t="s">
        <v>26</v>
      </c>
      <c r="AF1308" t="s">
        <v>26</v>
      </c>
      <c r="AG1308" t="s">
        <v>26</v>
      </c>
      <c r="AH1308" t="s">
        <v>26</v>
      </c>
      <c r="AI1308" t="s">
        <v>26</v>
      </c>
      <c r="AJ1308" t="s">
        <v>26</v>
      </c>
      <c r="AK1308" t="s">
        <v>26</v>
      </c>
      <c r="AL1308" t="s">
        <v>26</v>
      </c>
      <c r="AM1308" t="s">
        <v>26</v>
      </c>
      <c r="AN1308" t="s">
        <v>26</v>
      </c>
      <c r="AO1308" s="25" t="s">
        <v>68</v>
      </c>
      <c r="AP1308" s="23" t="s">
        <v>69</v>
      </c>
      <c r="AQ1308" s="23" t="s">
        <v>30</v>
      </c>
      <c r="AR1308" s="23" t="s">
        <v>230</v>
      </c>
      <c r="AS1308" s="25">
        <v>436405</v>
      </c>
      <c r="AT1308" t="s">
        <v>26</v>
      </c>
      <c r="AU1308" t="s">
        <v>23946</v>
      </c>
    </row>
    <row r="1309" spans="1:47" ht="26.25" x14ac:dyDescent="0.4">
      <c r="A1309" s="23" t="s">
        <v>3255</v>
      </c>
      <c r="B1309" t="s">
        <v>26</v>
      </c>
      <c r="C1309" s="23" t="s">
        <v>320</v>
      </c>
      <c r="D1309" s="23" t="s">
        <v>22397</v>
      </c>
      <c r="E1309" s="23" t="s">
        <v>42</v>
      </c>
      <c r="F1309" s="25" t="s">
        <v>3256</v>
      </c>
      <c r="G1309" s="25" t="s">
        <v>3257</v>
      </c>
      <c r="H1309" t="s">
        <v>26</v>
      </c>
      <c r="I1309" t="s">
        <v>26</v>
      </c>
      <c r="J1309" t="s">
        <v>26</v>
      </c>
      <c r="K1309" t="s">
        <v>26</v>
      </c>
      <c r="L1309" s="25" t="s">
        <v>68</v>
      </c>
      <c r="M1309" t="s">
        <v>26</v>
      </c>
      <c r="N1309" t="s">
        <v>26</v>
      </c>
      <c r="O1309" t="s">
        <v>26</v>
      </c>
      <c r="P1309" t="s">
        <v>26</v>
      </c>
      <c r="Q1309" t="s">
        <v>26</v>
      </c>
      <c r="R1309" t="s">
        <v>26</v>
      </c>
      <c r="S1309" t="s">
        <v>26</v>
      </c>
      <c r="T1309" t="s">
        <v>26</v>
      </c>
      <c r="U1309" t="s">
        <v>26</v>
      </c>
      <c r="V1309" t="s">
        <v>26</v>
      </c>
      <c r="W1309" s="24">
        <v>38078</v>
      </c>
      <c r="X1309" s="25" t="s">
        <v>77</v>
      </c>
      <c r="Y1309" t="s">
        <v>26</v>
      </c>
      <c r="Z1309" s="24">
        <v>38078</v>
      </c>
      <c r="AA1309" s="25" t="s">
        <v>77</v>
      </c>
      <c r="AB1309" t="s">
        <v>26</v>
      </c>
      <c r="AC1309" s="24">
        <v>38078</v>
      </c>
      <c r="AD1309" s="25" t="s">
        <v>77</v>
      </c>
      <c r="AE1309" t="s">
        <v>26</v>
      </c>
      <c r="AF1309" t="s">
        <v>26</v>
      </c>
      <c r="AG1309" t="s">
        <v>26</v>
      </c>
      <c r="AH1309" t="s">
        <v>26</v>
      </c>
      <c r="AI1309" t="s">
        <v>26</v>
      </c>
      <c r="AJ1309" t="s">
        <v>26</v>
      </c>
      <c r="AK1309" t="s">
        <v>26</v>
      </c>
      <c r="AL1309" t="s">
        <v>26</v>
      </c>
      <c r="AM1309" t="s">
        <v>26</v>
      </c>
      <c r="AN1309" t="s">
        <v>26</v>
      </c>
      <c r="AO1309" s="25" t="s">
        <v>68</v>
      </c>
      <c r="AP1309" s="23" t="s">
        <v>69</v>
      </c>
      <c r="AQ1309" s="23" t="s">
        <v>30</v>
      </c>
      <c r="AR1309" s="23" t="s">
        <v>458</v>
      </c>
      <c r="AS1309" s="25">
        <v>37370</v>
      </c>
      <c r="AT1309" t="s">
        <v>26</v>
      </c>
      <c r="AU1309" t="s">
        <v>23947</v>
      </c>
    </row>
    <row r="1310" spans="1:47" ht="26.25" x14ac:dyDescent="0.4">
      <c r="A1310" s="23" t="s">
        <v>3258</v>
      </c>
      <c r="B1310" t="s">
        <v>26</v>
      </c>
      <c r="C1310" s="23" t="s">
        <v>80</v>
      </c>
      <c r="D1310" s="23" t="s">
        <v>22179</v>
      </c>
      <c r="E1310" s="23" t="s">
        <v>60</v>
      </c>
      <c r="F1310" s="25" t="s">
        <v>3259</v>
      </c>
      <c r="G1310" s="25" t="s">
        <v>3260</v>
      </c>
      <c r="H1310" t="s">
        <v>26</v>
      </c>
      <c r="I1310" s="24">
        <v>35977</v>
      </c>
      <c r="J1310" s="24">
        <v>42736</v>
      </c>
      <c r="K1310" t="s">
        <v>26</v>
      </c>
      <c r="L1310" s="25" t="s">
        <v>68</v>
      </c>
      <c r="M1310" s="24">
        <v>35977</v>
      </c>
      <c r="N1310" s="24">
        <v>40269</v>
      </c>
      <c r="O1310" t="s">
        <v>26</v>
      </c>
      <c r="P1310" s="24">
        <v>35977</v>
      </c>
      <c r="Q1310" s="24">
        <v>42736</v>
      </c>
      <c r="R1310" t="s">
        <v>26</v>
      </c>
      <c r="S1310" t="s">
        <v>26</v>
      </c>
      <c r="T1310" t="s">
        <v>26</v>
      </c>
      <c r="U1310" t="s">
        <v>26</v>
      </c>
      <c r="V1310" t="s">
        <v>26</v>
      </c>
      <c r="W1310" s="24">
        <v>35977</v>
      </c>
      <c r="X1310" s="25" t="s">
        <v>77</v>
      </c>
      <c r="Y1310" t="s">
        <v>26</v>
      </c>
      <c r="Z1310" s="24">
        <v>35977</v>
      </c>
      <c r="AA1310" s="25" t="s">
        <v>77</v>
      </c>
      <c r="AB1310" t="s">
        <v>26</v>
      </c>
      <c r="AC1310" s="24">
        <v>35977</v>
      </c>
      <c r="AD1310" s="25" t="s">
        <v>77</v>
      </c>
      <c r="AE1310" t="s">
        <v>26</v>
      </c>
      <c r="AF1310" t="s">
        <v>26</v>
      </c>
      <c r="AG1310" t="s">
        <v>26</v>
      </c>
      <c r="AH1310" t="s">
        <v>26</v>
      </c>
      <c r="AI1310" t="s">
        <v>26</v>
      </c>
      <c r="AJ1310" t="s">
        <v>26</v>
      </c>
      <c r="AK1310" t="s">
        <v>26</v>
      </c>
      <c r="AL1310" t="s">
        <v>26</v>
      </c>
      <c r="AM1310" t="s">
        <v>26</v>
      </c>
      <c r="AN1310" t="s">
        <v>26</v>
      </c>
      <c r="AO1310" s="25" t="s">
        <v>68</v>
      </c>
      <c r="AP1310" s="23" t="s">
        <v>69</v>
      </c>
      <c r="AQ1310" s="23" t="s">
        <v>30</v>
      </c>
      <c r="AR1310" s="23" t="s">
        <v>71</v>
      </c>
      <c r="AS1310" s="25">
        <v>31260</v>
      </c>
      <c r="AT1310" t="s">
        <v>26</v>
      </c>
      <c r="AU1310" t="s">
        <v>23948</v>
      </c>
    </row>
    <row r="1311" spans="1:47" ht="26.25" x14ac:dyDescent="0.4">
      <c r="A1311" s="23" t="s">
        <v>3261</v>
      </c>
      <c r="B1311" t="s">
        <v>26</v>
      </c>
      <c r="C1311" s="23" t="s">
        <v>789</v>
      </c>
      <c r="D1311" s="23" t="s">
        <v>22492</v>
      </c>
      <c r="E1311" s="23" t="s">
        <v>42</v>
      </c>
      <c r="F1311" s="25" t="s">
        <v>3262</v>
      </c>
      <c r="G1311" s="25" t="s">
        <v>3263</v>
      </c>
      <c r="H1311" t="s">
        <v>26</v>
      </c>
      <c r="I1311" s="24">
        <v>40544</v>
      </c>
      <c r="J1311" s="24">
        <v>41456</v>
      </c>
      <c r="K1311" t="s">
        <v>26</v>
      </c>
      <c r="L1311" s="25" t="s">
        <v>68</v>
      </c>
      <c r="M1311" s="24">
        <v>40544</v>
      </c>
      <c r="N1311" s="24">
        <v>41456</v>
      </c>
      <c r="O1311" t="s">
        <v>26</v>
      </c>
      <c r="P1311" s="24">
        <v>40544</v>
      </c>
      <c r="Q1311" s="24">
        <v>41456</v>
      </c>
      <c r="R1311" t="s">
        <v>26</v>
      </c>
      <c r="S1311" t="s">
        <v>26</v>
      </c>
      <c r="T1311" t="s">
        <v>26</v>
      </c>
      <c r="U1311" t="s">
        <v>26</v>
      </c>
      <c r="V1311" t="s">
        <v>26</v>
      </c>
      <c r="W1311" s="24">
        <v>40544</v>
      </c>
      <c r="X1311" s="24">
        <v>41456</v>
      </c>
      <c r="Y1311" t="s">
        <v>26</v>
      </c>
      <c r="Z1311" s="24">
        <v>40544</v>
      </c>
      <c r="AA1311" s="24">
        <v>41456</v>
      </c>
      <c r="AB1311" t="s">
        <v>26</v>
      </c>
      <c r="AC1311" s="24">
        <v>40544</v>
      </c>
      <c r="AD1311" s="24">
        <v>41456</v>
      </c>
      <c r="AE1311" t="s">
        <v>26</v>
      </c>
      <c r="AF1311" t="s">
        <v>26</v>
      </c>
      <c r="AG1311" t="s">
        <v>26</v>
      </c>
      <c r="AH1311" t="s">
        <v>26</v>
      </c>
      <c r="AI1311" t="s">
        <v>26</v>
      </c>
      <c r="AJ1311" t="s">
        <v>26</v>
      </c>
      <c r="AK1311" t="s">
        <v>26</v>
      </c>
      <c r="AL1311" t="s">
        <v>26</v>
      </c>
      <c r="AM1311" t="s">
        <v>26</v>
      </c>
      <c r="AN1311" t="s">
        <v>26</v>
      </c>
      <c r="AO1311" s="25" t="s">
        <v>28</v>
      </c>
      <c r="AP1311" s="23" t="s">
        <v>69</v>
      </c>
      <c r="AQ1311" s="23" t="s">
        <v>30</v>
      </c>
      <c r="AR1311" s="23" t="s">
        <v>2872</v>
      </c>
      <c r="AS1311" s="25">
        <v>2034866</v>
      </c>
      <c r="AT1311" t="s">
        <v>26</v>
      </c>
      <c r="AU1311" t="s">
        <v>23949</v>
      </c>
    </row>
    <row r="1312" spans="1:47" ht="26.25" x14ac:dyDescent="0.4">
      <c r="A1312" s="23" t="s">
        <v>3264</v>
      </c>
      <c r="B1312" t="s">
        <v>26</v>
      </c>
      <c r="C1312" s="23" t="s">
        <v>3157</v>
      </c>
      <c r="D1312" s="23" t="s">
        <v>23950</v>
      </c>
      <c r="E1312" s="23" t="s">
        <v>42</v>
      </c>
      <c r="F1312" s="25" t="s">
        <v>3265</v>
      </c>
      <c r="G1312" s="25" t="s">
        <v>3265</v>
      </c>
      <c r="H1312" t="s">
        <v>26</v>
      </c>
      <c r="I1312" t="s">
        <v>26</v>
      </c>
      <c r="J1312" t="s">
        <v>26</v>
      </c>
      <c r="K1312" t="s">
        <v>26</v>
      </c>
      <c r="L1312" s="25" t="s">
        <v>68</v>
      </c>
      <c r="M1312" t="s">
        <v>26</v>
      </c>
      <c r="N1312" t="s">
        <v>26</v>
      </c>
      <c r="O1312" t="s">
        <v>26</v>
      </c>
      <c r="P1312" t="s">
        <v>26</v>
      </c>
      <c r="Q1312" t="s">
        <v>26</v>
      </c>
      <c r="R1312" t="s">
        <v>26</v>
      </c>
      <c r="S1312" t="s">
        <v>26</v>
      </c>
      <c r="T1312" t="s">
        <v>26</v>
      </c>
      <c r="U1312" t="s">
        <v>26</v>
      </c>
      <c r="V1312" t="s">
        <v>26</v>
      </c>
      <c r="W1312" s="24">
        <v>37987</v>
      </c>
      <c r="X1312" s="25" t="s">
        <v>77</v>
      </c>
      <c r="Y1312" t="s">
        <v>26</v>
      </c>
      <c r="Z1312" s="24">
        <v>37987</v>
      </c>
      <c r="AA1312" s="25" t="s">
        <v>77</v>
      </c>
      <c r="AB1312" t="s">
        <v>26</v>
      </c>
      <c r="AC1312" s="24">
        <v>37987</v>
      </c>
      <c r="AD1312" s="25" t="s">
        <v>77</v>
      </c>
      <c r="AE1312" t="s">
        <v>26</v>
      </c>
      <c r="AF1312" t="s">
        <v>26</v>
      </c>
      <c r="AG1312" t="s">
        <v>26</v>
      </c>
      <c r="AH1312" t="s">
        <v>26</v>
      </c>
      <c r="AI1312" t="s">
        <v>26</v>
      </c>
      <c r="AJ1312" t="s">
        <v>26</v>
      </c>
      <c r="AK1312" t="s">
        <v>26</v>
      </c>
      <c r="AL1312" t="s">
        <v>26</v>
      </c>
      <c r="AM1312" t="s">
        <v>26</v>
      </c>
      <c r="AN1312" t="s">
        <v>26</v>
      </c>
      <c r="AO1312" s="25" t="s">
        <v>68</v>
      </c>
      <c r="AP1312" s="23" t="s">
        <v>69</v>
      </c>
      <c r="AQ1312" s="23" t="s">
        <v>30</v>
      </c>
      <c r="AR1312" s="23" t="s">
        <v>3266</v>
      </c>
      <c r="AS1312" s="25">
        <v>32556</v>
      </c>
      <c r="AT1312" t="s">
        <v>26</v>
      </c>
      <c r="AU1312" t="s">
        <v>23951</v>
      </c>
    </row>
    <row r="1313" spans="1:47" ht="26.25" x14ac:dyDescent="0.4">
      <c r="A1313" s="23" t="s">
        <v>3267</v>
      </c>
      <c r="B1313" t="s">
        <v>26</v>
      </c>
      <c r="C1313" s="23" t="s">
        <v>80</v>
      </c>
      <c r="D1313" s="23" t="s">
        <v>22184</v>
      </c>
      <c r="E1313" s="23" t="s">
        <v>60</v>
      </c>
      <c r="F1313" s="25" t="s">
        <v>3268</v>
      </c>
      <c r="G1313" s="25" t="s">
        <v>3269</v>
      </c>
      <c r="H1313" t="s">
        <v>26</v>
      </c>
      <c r="I1313" t="s">
        <v>26</v>
      </c>
      <c r="J1313" t="s">
        <v>26</v>
      </c>
      <c r="K1313" t="s">
        <v>26</v>
      </c>
      <c r="L1313" s="25" t="s">
        <v>68</v>
      </c>
      <c r="M1313" t="s">
        <v>26</v>
      </c>
      <c r="N1313" t="s">
        <v>26</v>
      </c>
      <c r="O1313" t="s">
        <v>26</v>
      </c>
      <c r="P1313" t="s">
        <v>26</v>
      </c>
      <c r="Q1313" t="s">
        <v>26</v>
      </c>
      <c r="R1313" t="s">
        <v>26</v>
      </c>
      <c r="S1313" t="s">
        <v>26</v>
      </c>
      <c r="T1313" t="s">
        <v>26</v>
      </c>
      <c r="U1313" t="s">
        <v>26</v>
      </c>
      <c r="V1313" t="s">
        <v>26</v>
      </c>
      <c r="W1313" s="24">
        <v>40603</v>
      </c>
      <c r="X1313" s="24">
        <v>43374</v>
      </c>
      <c r="Y1313" t="s">
        <v>26</v>
      </c>
      <c r="Z1313" s="24">
        <v>40603</v>
      </c>
      <c r="AA1313" s="24">
        <v>43374</v>
      </c>
      <c r="AB1313" t="s">
        <v>26</v>
      </c>
      <c r="AC1313" s="24">
        <v>40603</v>
      </c>
      <c r="AD1313" s="24">
        <v>43374</v>
      </c>
      <c r="AE1313" t="s">
        <v>26</v>
      </c>
      <c r="AF1313" t="s">
        <v>26</v>
      </c>
      <c r="AG1313" t="s">
        <v>26</v>
      </c>
      <c r="AH1313" t="s">
        <v>26</v>
      </c>
      <c r="AI1313" t="s">
        <v>26</v>
      </c>
      <c r="AJ1313" t="s">
        <v>26</v>
      </c>
      <c r="AK1313" t="s">
        <v>26</v>
      </c>
      <c r="AL1313" t="s">
        <v>26</v>
      </c>
      <c r="AM1313" t="s">
        <v>26</v>
      </c>
      <c r="AN1313" t="s">
        <v>26</v>
      </c>
      <c r="AO1313" s="25" t="s">
        <v>68</v>
      </c>
      <c r="AP1313" s="23" t="s">
        <v>69</v>
      </c>
      <c r="AQ1313" s="23" t="s">
        <v>30</v>
      </c>
      <c r="AR1313" s="23" t="s">
        <v>46</v>
      </c>
      <c r="AS1313" s="25">
        <v>436402</v>
      </c>
      <c r="AT1313" t="s">
        <v>26</v>
      </c>
      <c r="AU1313" t="s">
        <v>23952</v>
      </c>
    </row>
    <row r="1314" spans="1:47" ht="39.4" x14ac:dyDescent="0.4">
      <c r="A1314" s="23" t="s">
        <v>3270</v>
      </c>
      <c r="B1314" t="s">
        <v>26</v>
      </c>
      <c r="C1314" s="23" t="s">
        <v>320</v>
      </c>
      <c r="D1314" s="23" t="s">
        <v>22174</v>
      </c>
      <c r="E1314" s="23" t="s">
        <v>42</v>
      </c>
      <c r="F1314" s="25" t="s">
        <v>3271</v>
      </c>
      <c r="G1314" s="25" t="s">
        <v>3272</v>
      </c>
      <c r="H1314" t="s">
        <v>26</v>
      </c>
      <c r="I1314" t="s">
        <v>26</v>
      </c>
      <c r="J1314" t="s">
        <v>26</v>
      </c>
      <c r="K1314" t="s">
        <v>26</v>
      </c>
      <c r="L1314" s="25" t="s">
        <v>68</v>
      </c>
      <c r="M1314" t="s">
        <v>26</v>
      </c>
      <c r="N1314" t="s">
        <v>26</v>
      </c>
      <c r="O1314" t="s">
        <v>26</v>
      </c>
      <c r="P1314" t="s">
        <v>26</v>
      </c>
      <c r="Q1314" t="s">
        <v>26</v>
      </c>
      <c r="R1314" t="s">
        <v>26</v>
      </c>
      <c r="S1314" t="s">
        <v>26</v>
      </c>
      <c r="T1314" t="s">
        <v>26</v>
      </c>
      <c r="U1314" t="s">
        <v>26</v>
      </c>
      <c r="V1314" t="s">
        <v>26</v>
      </c>
      <c r="W1314" s="24">
        <v>40544</v>
      </c>
      <c r="X1314" s="25" t="s">
        <v>77</v>
      </c>
      <c r="Y1314" t="s">
        <v>26</v>
      </c>
      <c r="Z1314" s="24">
        <v>40544</v>
      </c>
      <c r="AA1314" s="25" t="s">
        <v>77</v>
      </c>
      <c r="AB1314" t="s">
        <v>26</v>
      </c>
      <c r="AC1314" s="24">
        <v>40544</v>
      </c>
      <c r="AD1314" s="25" t="s">
        <v>77</v>
      </c>
      <c r="AE1314" t="s">
        <v>26</v>
      </c>
      <c r="AF1314" t="s">
        <v>26</v>
      </c>
      <c r="AG1314" t="s">
        <v>26</v>
      </c>
      <c r="AH1314" t="s">
        <v>26</v>
      </c>
      <c r="AI1314" t="s">
        <v>26</v>
      </c>
      <c r="AJ1314" t="s">
        <v>26</v>
      </c>
      <c r="AK1314" t="s">
        <v>26</v>
      </c>
      <c r="AL1314" t="s">
        <v>26</v>
      </c>
      <c r="AM1314" t="s">
        <v>26</v>
      </c>
      <c r="AN1314" t="s">
        <v>26</v>
      </c>
      <c r="AO1314" s="25" t="s">
        <v>68</v>
      </c>
      <c r="AP1314" s="23" t="s">
        <v>69</v>
      </c>
      <c r="AQ1314" s="23" t="s">
        <v>30</v>
      </c>
      <c r="AR1314" s="23" t="s">
        <v>23953</v>
      </c>
      <c r="AS1314" s="25">
        <v>105607</v>
      </c>
      <c r="AT1314" t="s">
        <v>26</v>
      </c>
      <c r="AU1314" t="s">
        <v>23954</v>
      </c>
    </row>
    <row r="1315" spans="1:47" ht="26.25" x14ac:dyDescent="0.4">
      <c r="A1315" s="23" t="s">
        <v>3273</v>
      </c>
      <c r="B1315" t="s">
        <v>26</v>
      </c>
      <c r="C1315" s="23" t="s">
        <v>3150</v>
      </c>
      <c r="D1315" s="23" t="s">
        <v>22453</v>
      </c>
      <c r="E1315" s="23" t="s">
        <v>711</v>
      </c>
      <c r="F1315" s="25" t="s">
        <v>3274</v>
      </c>
      <c r="G1315" s="25" t="s">
        <v>3275</v>
      </c>
      <c r="H1315" t="s">
        <v>26</v>
      </c>
      <c r="I1315" t="s">
        <v>26</v>
      </c>
      <c r="J1315" t="s">
        <v>26</v>
      </c>
      <c r="K1315" t="s">
        <v>26</v>
      </c>
      <c r="L1315" s="25" t="s">
        <v>68</v>
      </c>
      <c r="M1315" t="s">
        <v>26</v>
      </c>
      <c r="N1315" t="s">
        <v>26</v>
      </c>
      <c r="O1315" t="s">
        <v>26</v>
      </c>
      <c r="P1315" t="s">
        <v>26</v>
      </c>
      <c r="Q1315" t="s">
        <v>26</v>
      </c>
      <c r="R1315" t="s">
        <v>26</v>
      </c>
      <c r="S1315" t="s">
        <v>26</v>
      </c>
      <c r="T1315" t="s">
        <v>26</v>
      </c>
      <c r="U1315" t="s">
        <v>26</v>
      </c>
      <c r="V1315" t="s">
        <v>26</v>
      </c>
      <c r="W1315" s="24">
        <v>42736</v>
      </c>
      <c r="X1315" s="25" t="s">
        <v>77</v>
      </c>
      <c r="Y1315" t="s">
        <v>26</v>
      </c>
      <c r="Z1315" s="24">
        <v>42736</v>
      </c>
      <c r="AA1315" s="25" t="s">
        <v>77</v>
      </c>
      <c r="AB1315" t="s">
        <v>26</v>
      </c>
      <c r="AC1315" s="24">
        <v>42736</v>
      </c>
      <c r="AD1315" s="25" t="s">
        <v>77</v>
      </c>
      <c r="AE1315" t="s">
        <v>26</v>
      </c>
      <c r="AF1315" t="s">
        <v>26</v>
      </c>
      <c r="AG1315" t="s">
        <v>26</v>
      </c>
      <c r="AH1315" t="s">
        <v>26</v>
      </c>
      <c r="AI1315" t="s">
        <v>26</v>
      </c>
      <c r="AJ1315" t="s">
        <v>26</v>
      </c>
      <c r="AK1315" t="s">
        <v>26</v>
      </c>
      <c r="AL1315" t="s">
        <v>26</v>
      </c>
      <c r="AM1315" t="s">
        <v>26</v>
      </c>
      <c r="AN1315" t="s">
        <v>26</v>
      </c>
      <c r="AO1315" s="25" t="s">
        <v>68</v>
      </c>
      <c r="AP1315" s="23" t="s">
        <v>69</v>
      </c>
      <c r="AQ1315" s="23" t="s">
        <v>30</v>
      </c>
      <c r="AR1315" s="23" t="s">
        <v>128</v>
      </c>
      <c r="AS1315" s="25">
        <v>2047700</v>
      </c>
      <c r="AT1315" t="s">
        <v>26</v>
      </c>
      <c r="AU1315" t="s">
        <v>23955</v>
      </c>
    </row>
    <row r="1316" spans="1:47" ht="26.25" x14ac:dyDescent="0.4">
      <c r="A1316" s="23" t="s">
        <v>3276</v>
      </c>
      <c r="B1316" t="s">
        <v>26</v>
      </c>
      <c r="C1316" s="23" t="s">
        <v>3277</v>
      </c>
      <c r="D1316" s="23" t="s">
        <v>22680</v>
      </c>
      <c r="E1316" t="s">
        <v>26</v>
      </c>
      <c r="F1316" s="25" t="s">
        <v>3278</v>
      </c>
      <c r="G1316" s="25" t="s">
        <v>3279</v>
      </c>
      <c r="H1316" t="s">
        <v>26</v>
      </c>
      <c r="I1316" t="s">
        <v>26</v>
      </c>
      <c r="J1316" t="s">
        <v>26</v>
      </c>
      <c r="K1316" t="s">
        <v>26</v>
      </c>
      <c r="L1316" s="25" t="s">
        <v>68</v>
      </c>
      <c r="M1316" t="s">
        <v>26</v>
      </c>
      <c r="N1316" t="s">
        <v>26</v>
      </c>
      <c r="O1316" t="s">
        <v>26</v>
      </c>
      <c r="P1316" t="s">
        <v>26</v>
      </c>
      <c r="Q1316" t="s">
        <v>26</v>
      </c>
      <c r="R1316" t="s">
        <v>26</v>
      </c>
      <c r="S1316" t="s">
        <v>26</v>
      </c>
      <c r="T1316" t="s">
        <v>26</v>
      </c>
      <c r="U1316" t="s">
        <v>26</v>
      </c>
      <c r="V1316" t="s">
        <v>26</v>
      </c>
      <c r="W1316" s="24">
        <v>36526</v>
      </c>
      <c r="X1316" s="25" t="s">
        <v>77</v>
      </c>
      <c r="Y1316" t="s">
        <v>26</v>
      </c>
      <c r="Z1316" s="24">
        <v>36526</v>
      </c>
      <c r="AA1316" s="25" t="s">
        <v>77</v>
      </c>
      <c r="AB1316" t="s">
        <v>26</v>
      </c>
      <c r="AC1316" s="24">
        <v>36526</v>
      </c>
      <c r="AD1316" s="25" t="s">
        <v>77</v>
      </c>
      <c r="AE1316" t="s">
        <v>26</v>
      </c>
      <c r="AF1316" t="s">
        <v>26</v>
      </c>
      <c r="AG1316" t="s">
        <v>26</v>
      </c>
      <c r="AH1316" t="s">
        <v>26</v>
      </c>
      <c r="AI1316" t="s">
        <v>26</v>
      </c>
      <c r="AJ1316" t="s">
        <v>26</v>
      </c>
      <c r="AK1316" t="s">
        <v>26</v>
      </c>
      <c r="AL1316" t="s">
        <v>26</v>
      </c>
      <c r="AM1316" t="s">
        <v>26</v>
      </c>
      <c r="AN1316" t="s">
        <v>26</v>
      </c>
      <c r="AO1316" s="25" t="s">
        <v>68</v>
      </c>
      <c r="AP1316" s="23" t="s">
        <v>69</v>
      </c>
      <c r="AQ1316" s="23" t="s">
        <v>30</v>
      </c>
      <c r="AR1316" s="23" t="s">
        <v>128</v>
      </c>
      <c r="AS1316" s="25">
        <v>26599</v>
      </c>
      <c r="AT1316" t="s">
        <v>26</v>
      </c>
      <c r="AU1316" t="s">
        <v>23956</v>
      </c>
    </row>
    <row r="1317" spans="1:47" ht="26.25" x14ac:dyDescent="0.4">
      <c r="A1317" s="23" t="s">
        <v>3280</v>
      </c>
      <c r="B1317" t="s">
        <v>26</v>
      </c>
      <c r="C1317" s="23" t="s">
        <v>3281</v>
      </c>
      <c r="D1317" s="23" t="s">
        <v>23957</v>
      </c>
      <c r="E1317" s="23" t="s">
        <v>60</v>
      </c>
      <c r="F1317" s="25" t="s">
        <v>3282</v>
      </c>
      <c r="G1317" s="25" t="s">
        <v>3283</v>
      </c>
      <c r="H1317" t="s">
        <v>26</v>
      </c>
      <c r="I1317" s="24">
        <v>35339</v>
      </c>
      <c r="J1317" s="24">
        <v>37530</v>
      </c>
      <c r="K1317" t="s">
        <v>26</v>
      </c>
      <c r="L1317" s="25" t="s">
        <v>68</v>
      </c>
      <c r="M1317" s="24">
        <v>35431</v>
      </c>
      <c r="N1317" s="24">
        <v>37530</v>
      </c>
      <c r="O1317" t="s">
        <v>26</v>
      </c>
      <c r="P1317" s="24">
        <v>35339</v>
      </c>
      <c r="Q1317" s="24">
        <v>37530</v>
      </c>
      <c r="R1317" t="s">
        <v>26</v>
      </c>
      <c r="S1317" t="s">
        <v>26</v>
      </c>
      <c r="T1317" t="s">
        <v>26</v>
      </c>
      <c r="U1317" t="s">
        <v>26</v>
      </c>
      <c r="V1317" t="s">
        <v>26</v>
      </c>
      <c r="W1317" s="24">
        <v>26115</v>
      </c>
      <c r="X1317" s="25" t="s">
        <v>77</v>
      </c>
      <c r="Y1317" t="s">
        <v>26</v>
      </c>
      <c r="Z1317" s="24">
        <v>26115</v>
      </c>
      <c r="AA1317" s="25" t="s">
        <v>77</v>
      </c>
      <c r="AB1317" t="s">
        <v>26</v>
      </c>
      <c r="AC1317" s="24">
        <v>26115</v>
      </c>
      <c r="AD1317" s="25" t="s">
        <v>77</v>
      </c>
      <c r="AE1317" t="s">
        <v>26</v>
      </c>
      <c r="AF1317" t="s">
        <v>26</v>
      </c>
      <c r="AG1317" t="s">
        <v>26</v>
      </c>
      <c r="AH1317" t="s">
        <v>26</v>
      </c>
      <c r="AI1317" t="s">
        <v>26</v>
      </c>
      <c r="AJ1317" t="s">
        <v>26</v>
      </c>
      <c r="AK1317" t="s">
        <v>26</v>
      </c>
      <c r="AL1317" t="s">
        <v>26</v>
      </c>
      <c r="AM1317" t="s">
        <v>26</v>
      </c>
      <c r="AN1317" t="s">
        <v>26</v>
      </c>
      <c r="AO1317" s="25" t="s">
        <v>68</v>
      </c>
      <c r="AP1317" s="23" t="s">
        <v>69</v>
      </c>
      <c r="AQ1317" s="23" t="s">
        <v>30</v>
      </c>
      <c r="AR1317" s="23" t="s">
        <v>2389</v>
      </c>
      <c r="AS1317" s="25">
        <v>45628</v>
      </c>
      <c r="AT1317" t="s">
        <v>26</v>
      </c>
      <c r="AU1317" t="s">
        <v>23958</v>
      </c>
    </row>
    <row r="1318" spans="1:47" ht="26.25" x14ac:dyDescent="0.4">
      <c r="A1318" s="23" t="s">
        <v>3284</v>
      </c>
      <c r="B1318" t="s">
        <v>26</v>
      </c>
      <c r="C1318" s="23" t="s">
        <v>2538</v>
      </c>
      <c r="D1318" s="23" t="s">
        <v>23199</v>
      </c>
      <c r="E1318" s="23" t="s">
        <v>42</v>
      </c>
      <c r="F1318" s="25" t="s">
        <v>3285</v>
      </c>
      <c r="G1318" s="25" t="s">
        <v>3286</v>
      </c>
      <c r="H1318" t="s">
        <v>26</v>
      </c>
      <c r="I1318" s="24">
        <v>37287</v>
      </c>
      <c r="J1318" s="24">
        <v>42826</v>
      </c>
      <c r="K1318" t="s">
        <v>26</v>
      </c>
      <c r="L1318" s="25" t="s">
        <v>68</v>
      </c>
      <c r="M1318" s="24">
        <v>37287</v>
      </c>
      <c r="N1318" s="24">
        <v>42826</v>
      </c>
      <c r="O1318" t="s">
        <v>26</v>
      </c>
      <c r="P1318" s="24">
        <v>39630</v>
      </c>
      <c r="Q1318" s="24">
        <v>42826</v>
      </c>
      <c r="R1318" s="25" t="s">
        <v>23959</v>
      </c>
      <c r="S1318" t="s">
        <v>26</v>
      </c>
      <c r="T1318" t="s">
        <v>26</v>
      </c>
      <c r="U1318" t="s">
        <v>26</v>
      </c>
      <c r="V1318" t="s">
        <v>26</v>
      </c>
      <c r="W1318" s="24">
        <v>37287</v>
      </c>
      <c r="X1318" s="24">
        <v>42826</v>
      </c>
      <c r="Y1318" t="s">
        <v>26</v>
      </c>
      <c r="Z1318" s="24">
        <v>37287</v>
      </c>
      <c r="AA1318" s="24">
        <v>42826</v>
      </c>
      <c r="AB1318" t="s">
        <v>26</v>
      </c>
      <c r="AC1318" s="24">
        <v>37287</v>
      </c>
      <c r="AD1318" s="24">
        <v>42826</v>
      </c>
      <c r="AE1318" t="s">
        <v>26</v>
      </c>
      <c r="AF1318" t="s">
        <v>26</v>
      </c>
      <c r="AG1318" t="s">
        <v>26</v>
      </c>
      <c r="AH1318" t="s">
        <v>26</v>
      </c>
      <c r="AI1318" t="s">
        <v>26</v>
      </c>
      <c r="AJ1318" t="s">
        <v>26</v>
      </c>
      <c r="AK1318" t="s">
        <v>26</v>
      </c>
      <c r="AL1318" t="s">
        <v>26</v>
      </c>
      <c r="AM1318" t="s">
        <v>26</v>
      </c>
      <c r="AN1318" t="s">
        <v>26</v>
      </c>
      <c r="AO1318" s="25" t="s">
        <v>68</v>
      </c>
      <c r="AP1318" s="23" t="s">
        <v>69</v>
      </c>
      <c r="AQ1318" s="23" t="s">
        <v>30</v>
      </c>
      <c r="AR1318" s="23" t="s">
        <v>3287</v>
      </c>
      <c r="AS1318" s="25">
        <v>25645</v>
      </c>
      <c r="AT1318" t="s">
        <v>26</v>
      </c>
      <c r="AU1318" t="s">
        <v>23960</v>
      </c>
    </row>
    <row r="1319" spans="1:47" ht="26.25" x14ac:dyDescent="0.4">
      <c r="A1319" s="23" t="s">
        <v>3288</v>
      </c>
      <c r="B1319" t="s">
        <v>26</v>
      </c>
      <c r="C1319" s="23" t="s">
        <v>80</v>
      </c>
      <c r="D1319" s="23" t="s">
        <v>22184</v>
      </c>
      <c r="E1319" s="23" t="s">
        <v>60</v>
      </c>
      <c r="F1319" s="25" t="s">
        <v>3289</v>
      </c>
      <c r="G1319" t="s">
        <v>26</v>
      </c>
      <c r="H1319" t="s">
        <v>26</v>
      </c>
      <c r="I1319" t="s">
        <v>26</v>
      </c>
      <c r="J1319" t="s">
        <v>26</v>
      </c>
      <c r="K1319" t="s">
        <v>26</v>
      </c>
      <c r="L1319" s="25" t="s">
        <v>68</v>
      </c>
      <c r="M1319" t="s">
        <v>26</v>
      </c>
      <c r="N1319" t="s">
        <v>26</v>
      </c>
      <c r="O1319" t="s">
        <v>26</v>
      </c>
      <c r="P1319" t="s">
        <v>26</v>
      </c>
      <c r="Q1319" t="s">
        <v>26</v>
      </c>
      <c r="R1319" t="s">
        <v>26</v>
      </c>
      <c r="S1319" t="s">
        <v>26</v>
      </c>
      <c r="T1319" t="s">
        <v>26</v>
      </c>
      <c r="U1319" t="s">
        <v>26</v>
      </c>
      <c r="V1319" t="s">
        <v>26</v>
      </c>
      <c r="W1319" s="24">
        <v>41640</v>
      </c>
      <c r="X1319" s="25" t="s">
        <v>77</v>
      </c>
      <c r="Y1319" t="s">
        <v>26</v>
      </c>
      <c r="Z1319" s="24">
        <v>41640</v>
      </c>
      <c r="AA1319" s="25" t="s">
        <v>77</v>
      </c>
      <c r="AB1319" t="s">
        <v>26</v>
      </c>
      <c r="AC1319" s="24">
        <v>41640</v>
      </c>
      <c r="AD1319" s="25" t="s">
        <v>77</v>
      </c>
      <c r="AE1319" t="s">
        <v>26</v>
      </c>
      <c r="AF1319" t="s">
        <v>26</v>
      </c>
      <c r="AG1319" t="s">
        <v>26</v>
      </c>
      <c r="AH1319" t="s">
        <v>26</v>
      </c>
      <c r="AI1319" t="s">
        <v>26</v>
      </c>
      <c r="AJ1319" t="s">
        <v>26</v>
      </c>
      <c r="AK1319" t="s">
        <v>26</v>
      </c>
      <c r="AL1319" t="s">
        <v>26</v>
      </c>
      <c r="AM1319" t="s">
        <v>26</v>
      </c>
      <c r="AN1319" t="s">
        <v>26</v>
      </c>
      <c r="AO1319" s="25" t="s">
        <v>68</v>
      </c>
      <c r="AP1319" s="23" t="s">
        <v>69</v>
      </c>
      <c r="AQ1319" s="23" t="s">
        <v>30</v>
      </c>
      <c r="AR1319" s="23" t="s">
        <v>3290</v>
      </c>
      <c r="AS1319" s="25">
        <v>2033233</v>
      </c>
      <c r="AT1319" t="s">
        <v>26</v>
      </c>
      <c r="AU1319" t="s">
        <v>23961</v>
      </c>
    </row>
    <row r="1320" spans="1:47" ht="26.25" x14ac:dyDescent="0.4">
      <c r="A1320" s="23" t="s">
        <v>3291</v>
      </c>
      <c r="B1320" t="s">
        <v>26</v>
      </c>
      <c r="C1320" s="23" t="s">
        <v>320</v>
      </c>
      <c r="D1320" s="23" t="s">
        <v>22545</v>
      </c>
      <c r="E1320" s="23" t="s">
        <v>42</v>
      </c>
      <c r="F1320" s="25" t="s">
        <v>3292</v>
      </c>
      <c r="G1320" s="25" t="s">
        <v>3293</v>
      </c>
      <c r="H1320" t="s">
        <v>26</v>
      </c>
      <c r="I1320" t="s">
        <v>26</v>
      </c>
      <c r="J1320" t="s">
        <v>26</v>
      </c>
      <c r="K1320" t="s">
        <v>26</v>
      </c>
      <c r="L1320" s="25" t="s">
        <v>68</v>
      </c>
      <c r="M1320" t="s">
        <v>26</v>
      </c>
      <c r="N1320" t="s">
        <v>26</v>
      </c>
      <c r="O1320" t="s">
        <v>26</v>
      </c>
      <c r="P1320" t="s">
        <v>26</v>
      </c>
      <c r="Q1320" t="s">
        <v>26</v>
      </c>
      <c r="R1320" t="s">
        <v>26</v>
      </c>
      <c r="S1320" t="s">
        <v>26</v>
      </c>
      <c r="T1320" t="s">
        <v>26</v>
      </c>
      <c r="U1320" t="s">
        <v>26</v>
      </c>
      <c r="V1320" t="s">
        <v>26</v>
      </c>
      <c r="W1320" s="24">
        <v>36130</v>
      </c>
      <c r="X1320" s="25" t="s">
        <v>77</v>
      </c>
      <c r="Y1320" t="s">
        <v>26</v>
      </c>
      <c r="Z1320" s="24">
        <v>36130</v>
      </c>
      <c r="AA1320" s="25" t="s">
        <v>77</v>
      </c>
      <c r="AB1320" t="s">
        <v>26</v>
      </c>
      <c r="AC1320" t="s">
        <v>26</v>
      </c>
      <c r="AD1320" t="s">
        <v>26</v>
      </c>
      <c r="AE1320" t="s">
        <v>26</v>
      </c>
      <c r="AF1320" t="s">
        <v>26</v>
      </c>
      <c r="AG1320" t="s">
        <v>26</v>
      </c>
      <c r="AH1320" t="s">
        <v>26</v>
      </c>
      <c r="AI1320" t="s">
        <v>26</v>
      </c>
      <c r="AJ1320" t="s">
        <v>26</v>
      </c>
      <c r="AK1320" t="s">
        <v>26</v>
      </c>
      <c r="AL1320" t="s">
        <v>26</v>
      </c>
      <c r="AM1320" t="s">
        <v>26</v>
      </c>
      <c r="AN1320" t="s">
        <v>26</v>
      </c>
      <c r="AO1320" s="25" t="s">
        <v>68</v>
      </c>
      <c r="AP1320" s="23" t="s">
        <v>69</v>
      </c>
      <c r="AQ1320" s="23" t="s">
        <v>30</v>
      </c>
      <c r="AR1320" s="23" t="s">
        <v>3294</v>
      </c>
      <c r="AS1320" s="25">
        <v>25726</v>
      </c>
      <c r="AT1320" t="s">
        <v>26</v>
      </c>
      <c r="AU1320" t="s">
        <v>23962</v>
      </c>
    </row>
    <row r="1321" spans="1:47" ht="26.25" x14ac:dyDescent="0.4">
      <c r="A1321" s="23" t="s">
        <v>3295</v>
      </c>
      <c r="B1321" t="s">
        <v>26</v>
      </c>
      <c r="C1321" s="23" t="s">
        <v>213</v>
      </c>
      <c r="D1321" s="23" t="s">
        <v>22174</v>
      </c>
      <c r="E1321" s="23" t="s">
        <v>60</v>
      </c>
      <c r="F1321" t="s">
        <v>26</v>
      </c>
      <c r="G1321" s="25" t="s">
        <v>3296</v>
      </c>
      <c r="H1321" t="s">
        <v>26</v>
      </c>
      <c r="I1321" s="24">
        <v>39814</v>
      </c>
      <c r="J1321" s="25" t="s">
        <v>77</v>
      </c>
      <c r="K1321" t="s">
        <v>26</v>
      </c>
      <c r="L1321" s="25" t="s">
        <v>68</v>
      </c>
      <c r="M1321" t="s">
        <v>26</v>
      </c>
      <c r="N1321" t="s">
        <v>26</v>
      </c>
      <c r="O1321" t="s">
        <v>26</v>
      </c>
      <c r="P1321" s="24">
        <v>39814</v>
      </c>
      <c r="Q1321" s="25" t="s">
        <v>77</v>
      </c>
      <c r="R1321" t="s">
        <v>26</v>
      </c>
      <c r="S1321" t="s">
        <v>26</v>
      </c>
      <c r="T1321" t="s">
        <v>26</v>
      </c>
      <c r="U1321" t="s">
        <v>26</v>
      </c>
      <c r="V1321" t="s">
        <v>26</v>
      </c>
      <c r="W1321" s="24">
        <v>39814</v>
      </c>
      <c r="X1321" s="25" t="s">
        <v>77</v>
      </c>
      <c r="Y1321" t="s">
        <v>26</v>
      </c>
      <c r="Z1321" s="24">
        <v>39814</v>
      </c>
      <c r="AA1321" s="25" t="s">
        <v>77</v>
      </c>
      <c r="AB1321" t="s">
        <v>26</v>
      </c>
      <c r="AC1321" s="24">
        <v>39814</v>
      </c>
      <c r="AD1321" s="25" t="s">
        <v>77</v>
      </c>
      <c r="AE1321" t="s">
        <v>26</v>
      </c>
      <c r="AF1321" t="s">
        <v>26</v>
      </c>
      <c r="AG1321" t="s">
        <v>26</v>
      </c>
      <c r="AH1321" t="s">
        <v>26</v>
      </c>
      <c r="AI1321" t="s">
        <v>26</v>
      </c>
      <c r="AJ1321" t="s">
        <v>26</v>
      </c>
      <c r="AK1321" t="s">
        <v>26</v>
      </c>
      <c r="AL1321" t="s">
        <v>26</v>
      </c>
      <c r="AM1321" t="s">
        <v>26</v>
      </c>
      <c r="AN1321" t="s">
        <v>26</v>
      </c>
      <c r="AO1321" s="25" t="s">
        <v>68</v>
      </c>
      <c r="AP1321" s="23" t="s">
        <v>69</v>
      </c>
      <c r="AQ1321" s="23" t="s">
        <v>30</v>
      </c>
      <c r="AR1321" s="23" t="s">
        <v>70</v>
      </c>
      <c r="AS1321" s="25">
        <v>54979</v>
      </c>
      <c r="AT1321" t="s">
        <v>26</v>
      </c>
      <c r="AU1321" t="s">
        <v>23963</v>
      </c>
    </row>
    <row r="1322" spans="1:47" ht="26.25" x14ac:dyDescent="0.4">
      <c r="A1322" s="23" t="s">
        <v>23964</v>
      </c>
      <c r="B1322" t="s">
        <v>26</v>
      </c>
      <c r="C1322" s="23" t="s">
        <v>73</v>
      </c>
      <c r="D1322" s="23" t="s">
        <v>22179</v>
      </c>
      <c r="E1322" s="23" t="s">
        <v>74</v>
      </c>
      <c r="F1322" s="25" t="s">
        <v>23965</v>
      </c>
      <c r="G1322" s="25" t="s">
        <v>23966</v>
      </c>
      <c r="H1322" t="s">
        <v>26</v>
      </c>
      <c r="I1322" s="24">
        <v>38718</v>
      </c>
      <c r="J1322" s="25" t="s">
        <v>77</v>
      </c>
      <c r="K1322" t="s">
        <v>26</v>
      </c>
      <c r="L1322" s="25" t="s">
        <v>68</v>
      </c>
      <c r="M1322" s="24">
        <v>38718</v>
      </c>
      <c r="N1322" s="25" t="s">
        <v>77</v>
      </c>
      <c r="O1322" t="s">
        <v>26</v>
      </c>
      <c r="P1322" s="24">
        <v>38718</v>
      </c>
      <c r="Q1322" s="25" t="s">
        <v>77</v>
      </c>
      <c r="R1322" t="s">
        <v>26</v>
      </c>
      <c r="S1322" t="s">
        <v>26</v>
      </c>
      <c r="T1322" t="s">
        <v>26</v>
      </c>
      <c r="U1322" t="s">
        <v>26</v>
      </c>
      <c r="V1322" s="25">
        <v>365</v>
      </c>
      <c r="W1322" s="24">
        <v>38718</v>
      </c>
      <c r="X1322" s="25" t="s">
        <v>77</v>
      </c>
      <c r="Y1322" t="s">
        <v>26</v>
      </c>
      <c r="Z1322" s="24">
        <v>38718</v>
      </c>
      <c r="AA1322" s="25" t="s">
        <v>77</v>
      </c>
      <c r="AB1322" t="s">
        <v>26</v>
      </c>
      <c r="AC1322" s="24">
        <v>38718</v>
      </c>
      <c r="AD1322" s="25" t="s">
        <v>77</v>
      </c>
      <c r="AE1322" t="s">
        <v>26</v>
      </c>
      <c r="AF1322" t="s">
        <v>26</v>
      </c>
      <c r="AG1322" t="s">
        <v>26</v>
      </c>
      <c r="AH1322" t="s">
        <v>26</v>
      </c>
      <c r="AI1322" t="s">
        <v>26</v>
      </c>
      <c r="AJ1322" t="s">
        <v>26</v>
      </c>
      <c r="AK1322" t="s">
        <v>26</v>
      </c>
      <c r="AL1322" t="s">
        <v>26</v>
      </c>
      <c r="AM1322" t="s">
        <v>26</v>
      </c>
      <c r="AN1322" t="s">
        <v>26</v>
      </c>
      <c r="AO1322" s="25" t="s">
        <v>68</v>
      </c>
      <c r="AP1322" s="23" t="s">
        <v>69</v>
      </c>
      <c r="AQ1322" s="23" t="s">
        <v>30</v>
      </c>
      <c r="AR1322" s="23" t="s">
        <v>4218</v>
      </c>
      <c r="AS1322" s="25">
        <v>2039990</v>
      </c>
      <c r="AT1322" t="s">
        <v>26</v>
      </c>
      <c r="AU1322" t="s">
        <v>23967</v>
      </c>
    </row>
    <row r="1323" spans="1:47" ht="26.25" x14ac:dyDescent="0.4">
      <c r="A1323" s="23" t="s">
        <v>3297</v>
      </c>
      <c r="B1323" t="s">
        <v>26</v>
      </c>
      <c r="C1323" s="23" t="s">
        <v>564</v>
      </c>
      <c r="D1323" s="23" t="s">
        <v>22599</v>
      </c>
      <c r="E1323" s="23" t="s">
        <v>42</v>
      </c>
      <c r="F1323" t="s">
        <v>26</v>
      </c>
      <c r="G1323" s="25" t="s">
        <v>3298</v>
      </c>
      <c r="H1323" t="s">
        <v>26</v>
      </c>
      <c r="I1323" s="24">
        <v>37288</v>
      </c>
      <c r="J1323" s="25" t="s">
        <v>77</v>
      </c>
      <c r="K1323" s="25" t="s">
        <v>3299</v>
      </c>
      <c r="L1323" s="25" t="s">
        <v>68</v>
      </c>
      <c r="M1323" s="24">
        <v>41640</v>
      </c>
      <c r="N1323" s="25" t="s">
        <v>77</v>
      </c>
      <c r="O1323" s="25" t="s">
        <v>23968</v>
      </c>
      <c r="P1323" s="24">
        <v>37288</v>
      </c>
      <c r="Q1323" s="25" t="s">
        <v>77</v>
      </c>
      <c r="R1323" s="25" t="s">
        <v>23969</v>
      </c>
      <c r="S1323" t="s">
        <v>26</v>
      </c>
      <c r="T1323" t="s">
        <v>26</v>
      </c>
      <c r="U1323" t="s">
        <v>26</v>
      </c>
      <c r="V1323" t="s">
        <v>26</v>
      </c>
      <c r="W1323" s="24">
        <v>37288</v>
      </c>
      <c r="X1323" s="25" t="s">
        <v>77</v>
      </c>
      <c r="Y1323" s="25" t="s">
        <v>3300</v>
      </c>
      <c r="Z1323" s="24">
        <v>37288</v>
      </c>
      <c r="AA1323" s="25" t="s">
        <v>77</v>
      </c>
      <c r="AB1323" s="25" t="s">
        <v>3300</v>
      </c>
      <c r="AC1323" s="24">
        <v>37288</v>
      </c>
      <c r="AD1323" s="25" t="s">
        <v>77</v>
      </c>
      <c r="AE1323" s="25" t="s">
        <v>3300</v>
      </c>
      <c r="AF1323" t="s">
        <v>26</v>
      </c>
      <c r="AG1323" t="s">
        <v>26</v>
      </c>
      <c r="AH1323" t="s">
        <v>26</v>
      </c>
      <c r="AI1323" t="s">
        <v>26</v>
      </c>
      <c r="AJ1323" t="s">
        <v>26</v>
      </c>
      <c r="AK1323" t="s">
        <v>26</v>
      </c>
      <c r="AL1323" t="s">
        <v>26</v>
      </c>
      <c r="AM1323" t="s">
        <v>26</v>
      </c>
      <c r="AN1323" t="s">
        <v>26</v>
      </c>
      <c r="AO1323" s="25" t="s">
        <v>68</v>
      </c>
      <c r="AP1323" s="23" t="s">
        <v>69</v>
      </c>
      <c r="AQ1323" s="23" t="s">
        <v>30</v>
      </c>
      <c r="AR1323" s="23" t="s">
        <v>70</v>
      </c>
      <c r="AS1323" s="25">
        <v>2034146</v>
      </c>
      <c r="AT1323" t="s">
        <v>26</v>
      </c>
      <c r="AU1323" t="s">
        <v>23970</v>
      </c>
    </row>
    <row r="1324" spans="1:47" ht="26.25" x14ac:dyDescent="0.4">
      <c r="A1324" s="23" t="s">
        <v>3301</v>
      </c>
      <c r="B1324" t="s">
        <v>26</v>
      </c>
      <c r="C1324" s="23" t="s">
        <v>3188</v>
      </c>
      <c r="D1324" s="23" t="s">
        <v>23914</v>
      </c>
      <c r="E1324" s="23" t="s">
        <v>42</v>
      </c>
      <c r="F1324" s="25" t="s">
        <v>3302</v>
      </c>
      <c r="G1324" s="25" t="s">
        <v>3303</v>
      </c>
      <c r="H1324" t="s">
        <v>26</v>
      </c>
      <c r="I1324" t="s">
        <v>26</v>
      </c>
      <c r="J1324" t="s">
        <v>26</v>
      </c>
      <c r="K1324" t="s">
        <v>26</v>
      </c>
      <c r="L1324" s="25" t="s">
        <v>68</v>
      </c>
      <c r="M1324" t="s">
        <v>26</v>
      </c>
      <c r="N1324" t="s">
        <v>26</v>
      </c>
      <c r="O1324" t="s">
        <v>26</v>
      </c>
      <c r="P1324" t="s">
        <v>26</v>
      </c>
      <c r="Q1324" t="s">
        <v>26</v>
      </c>
      <c r="R1324" t="s">
        <v>26</v>
      </c>
      <c r="S1324" t="s">
        <v>26</v>
      </c>
      <c r="T1324" t="s">
        <v>26</v>
      </c>
      <c r="U1324" t="s">
        <v>26</v>
      </c>
      <c r="V1324" t="s">
        <v>26</v>
      </c>
      <c r="W1324" s="24">
        <v>43191</v>
      </c>
      <c r="X1324" s="25" t="s">
        <v>77</v>
      </c>
      <c r="Y1324" t="s">
        <v>26</v>
      </c>
      <c r="Z1324" s="24">
        <v>43191</v>
      </c>
      <c r="AA1324" s="25" t="s">
        <v>77</v>
      </c>
      <c r="AB1324" t="s">
        <v>26</v>
      </c>
      <c r="AC1324" s="24">
        <v>43191</v>
      </c>
      <c r="AD1324" s="25" t="s">
        <v>77</v>
      </c>
      <c r="AE1324" t="s">
        <v>26</v>
      </c>
      <c r="AF1324" t="s">
        <v>26</v>
      </c>
      <c r="AG1324" t="s">
        <v>26</v>
      </c>
      <c r="AH1324" t="s">
        <v>26</v>
      </c>
      <c r="AI1324" t="s">
        <v>26</v>
      </c>
      <c r="AJ1324" t="s">
        <v>26</v>
      </c>
      <c r="AK1324" t="s">
        <v>26</v>
      </c>
      <c r="AL1324" t="s">
        <v>26</v>
      </c>
      <c r="AM1324" t="s">
        <v>26</v>
      </c>
      <c r="AN1324" t="s">
        <v>26</v>
      </c>
      <c r="AO1324" s="25" t="s">
        <v>68</v>
      </c>
      <c r="AP1324" s="23" t="s">
        <v>69</v>
      </c>
      <c r="AQ1324" s="23" t="s">
        <v>30</v>
      </c>
      <c r="AR1324" s="23" t="s">
        <v>78</v>
      </c>
      <c r="AS1324" s="25">
        <v>2045822</v>
      </c>
      <c r="AT1324" t="s">
        <v>26</v>
      </c>
      <c r="AU1324" t="s">
        <v>23971</v>
      </c>
    </row>
    <row r="1325" spans="1:47" ht="26.25" x14ac:dyDescent="0.4">
      <c r="A1325" s="23" t="s">
        <v>3304</v>
      </c>
      <c r="B1325" t="s">
        <v>26</v>
      </c>
      <c r="C1325" s="23" t="s">
        <v>3305</v>
      </c>
      <c r="D1325" s="23" t="s">
        <v>23972</v>
      </c>
      <c r="E1325" s="23" t="s">
        <v>822</v>
      </c>
      <c r="F1325" s="25" t="s">
        <v>3306</v>
      </c>
      <c r="G1325" t="s">
        <v>26</v>
      </c>
      <c r="H1325" t="s">
        <v>26</v>
      </c>
      <c r="I1325" s="24">
        <v>37257</v>
      </c>
      <c r="J1325" s="25" t="s">
        <v>77</v>
      </c>
      <c r="K1325" t="s">
        <v>26</v>
      </c>
      <c r="L1325" s="25" t="s">
        <v>68</v>
      </c>
      <c r="M1325" s="24">
        <v>37257</v>
      </c>
      <c r="N1325" s="25" t="s">
        <v>77</v>
      </c>
      <c r="O1325" t="s">
        <v>26</v>
      </c>
      <c r="P1325" s="24">
        <v>37257</v>
      </c>
      <c r="Q1325" s="25" t="s">
        <v>77</v>
      </c>
      <c r="R1325" t="s">
        <v>26</v>
      </c>
      <c r="S1325" t="s">
        <v>26</v>
      </c>
      <c r="T1325" t="s">
        <v>26</v>
      </c>
      <c r="U1325" t="s">
        <v>26</v>
      </c>
      <c r="V1325" t="s">
        <v>26</v>
      </c>
      <c r="W1325" s="24">
        <v>37257</v>
      </c>
      <c r="X1325" s="25" t="s">
        <v>77</v>
      </c>
      <c r="Y1325" t="s">
        <v>26</v>
      </c>
      <c r="Z1325" s="24">
        <v>37257</v>
      </c>
      <c r="AA1325" s="25" t="s">
        <v>77</v>
      </c>
      <c r="AB1325" t="s">
        <v>26</v>
      </c>
      <c r="AC1325" s="24">
        <v>37257</v>
      </c>
      <c r="AD1325" s="25" t="s">
        <v>77</v>
      </c>
      <c r="AE1325" t="s">
        <v>26</v>
      </c>
      <c r="AF1325" t="s">
        <v>26</v>
      </c>
      <c r="AG1325" t="s">
        <v>26</v>
      </c>
      <c r="AH1325" t="s">
        <v>26</v>
      </c>
      <c r="AI1325" t="s">
        <v>26</v>
      </c>
      <c r="AJ1325" t="s">
        <v>26</v>
      </c>
      <c r="AK1325" t="s">
        <v>26</v>
      </c>
      <c r="AL1325" t="s">
        <v>26</v>
      </c>
      <c r="AM1325" t="s">
        <v>26</v>
      </c>
      <c r="AN1325" t="s">
        <v>26</v>
      </c>
      <c r="AO1325" s="25" t="s">
        <v>68</v>
      </c>
      <c r="AP1325" s="23" t="s">
        <v>69</v>
      </c>
      <c r="AQ1325" s="23" t="s">
        <v>30</v>
      </c>
      <c r="AR1325" s="23" t="s">
        <v>1046</v>
      </c>
      <c r="AS1325" s="25">
        <v>2031821</v>
      </c>
      <c r="AT1325" t="s">
        <v>26</v>
      </c>
      <c r="AU1325" t="s">
        <v>23973</v>
      </c>
    </row>
    <row r="1326" spans="1:47" ht="26.25" x14ac:dyDescent="0.4">
      <c r="A1326" s="23" t="s">
        <v>3307</v>
      </c>
      <c r="B1326" t="s">
        <v>26</v>
      </c>
      <c r="C1326" s="23" t="s">
        <v>3308</v>
      </c>
      <c r="D1326" s="23" t="s">
        <v>2244</v>
      </c>
      <c r="E1326" s="23" t="s">
        <v>2244</v>
      </c>
      <c r="F1326" s="25" t="s">
        <v>3309</v>
      </c>
      <c r="G1326" s="25" t="s">
        <v>3310</v>
      </c>
      <c r="H1326" t="s">
        <v>26</v>
      </c>
      <c r="I1326" t="s">
        <v>26</v>
      </c>
      <c r="J1326" t="s">
        <v>26</v>
      </c>
      <c r="K1326" t="s">
        <v>26</v>
      </c>
      <c r="L1326" s="25" t="s">
        <v>68</v>
      </c>
      <c r="M1326" t="s">
        <v>26</v>
      </c>
      <c r="N1326" t="s">
        <v>26</v>
      </c>
      <c r="O1326" t="s">
        <v>26</v>
      </c>
      <c r="P1326" t="s">
        <v>26</v>
      </c>
      <c r="Q1326" t="s">
        <v>26</v>
      </c>
      <c r="R1326" t="s">
        <v>26</v>
      </c>
      <c r="S1326" t="s">
        <v>26</v>
      </c>
      <c r="T1326" t="s">
        <v>26</v>
      </c>
      <c r="U1326" t="s">
        <v>26</v>
      </c>
      <c r="V1326" t="s">
        <v>26</v>
      </c>
      <c r="W1326" s="24">
        <v>41306</v>
      </c>
      <c r="X1326" s="25" t="s">
        <v>77</v>
      </c>
      <c r="Y1326" t="s">
        <v>26</v>
      </c>
      <c r="Z1326" s="24">
        <v>41306</v>
      </c>
      <c r="AA1326" s="25" t="s">
        <v>77</v>
      </c>
      <c r="AB1326" t="s">
        <v>26</v>
      </c>
      <c r="AC1326" s="24">
        <v>41306</v>
      </c>
      <c r="AD1326" s="25" t="s">
        <v>77</v>
      </c>
      <c r="AE1326" t="s">
        <v>26</v>
      </c>
      <c r="AF1326" t="s">
        <v>26</v>
      </c>
      <c r="AG1326" t="s">
        <v>26</v>
      </c>
      <c r="AH1326" t="s">
        <v>26</v>
      </c>
      <c r="AI1326" t="s">
        <v>26</v>
      </c>
      <c r="AJ1326" t="s">
        <v>26</v>
      </c>
      <c r="AK1326" t="s">
        <v>26</v>
      </c>
      <c r="AL1326" t="s">
        <v>26</v>
      </c>
      <c r="AM1326" t="s">
        <v>26</v>
      </c>
      <c r="AN1326" t="s">
        <v>26</v>
      </c>
      <c r="AO1326" s="25" t="s">
        <v>68</v>
      </c>
      <c r="AP1326" s="23" t="s">
        <v>69</v>
      </c>
      <c r="AQ1326" s="23" t="s">
        <v>30</v>
      </c>
      <c r="AR1326" s="23" t="s">
        <v>78</v>
      </c>
      <c r="AS1326" s="25">
        <v>2049881</v>
      </c>
      <c r="AT1326" t="s">
        <v>26</v>
      </c>
      <c r="AU1326" t="s">
        <v>23974</v>
      </c>
    </row>
    <row r="1327" spans="1:47" ht="26.25" x14ac:dyDescent="0.4">
      <c r="A1327" s="23" t="s">
        <v>3311</v>
      </c>
      <c r="B1327" t="s">
        <v>26</v>
      </c>
      <c r="C1327" s="23" t="s">
        <v>399</v>
      </c>
      <c r="D1327" s="23" t="s">
        <v>22242</v>
      </c>
      <c r="E1327" s="23" t="s">
        <v>60</v>
      </c>
      <c r="F1327" s="25" t="s">
        <v>3312</v>
      </c>
      <c r="G1327" s="25" t="s">
        <v>3313</v>
      </c>
      <c r="H1327" t="s">
        <v>26</v>
      </c>
      <c r="I1327" s="24">
        <v>36951</v>
      </c>
      <c r="J1327" s="24">
        <v>41974</v>
      </c>
      <c r="K1327" t="s">
        <v>26</v>
      </c>
      <c r="L1327" s="25" t="s">
        <v>68</v>
      </c>
      <c r="M1327" t="s">
        <v>26</v>
      </c>
      <c r="N1327" t="s">
        <v>26</v>
      </c>
      <c r="O1327" t="s">
        <v>26</v>
      </c>
      <c r="P1327" s="24">
        <v>36951</v>
      </c>
      <c r="Q1327" s="24">
        <v>41974</v>
      </c>
      <c r="R1327" t="s">
        <v>26</v>
      </c>
      <c r="S1327" t="s">
        <v>26</v>
      </c>
      <c r="T1327" t="s">
        <v>26</v>
      </c>
      <c r="U1327" t="s">
        <v>26</v>
      </c>
      <c r="V1327" t="s">
        <v>26</v>
      </c>
      <c r="W1327" s="24">
        <v>36951</v>
      </c>
      <c r="X1327" s="24">
        <v>41974</v>
      </c>
      <c r="Y1327" t="s">
        <v>26</v>
      </c>
      <c r="Z1327" s="24">
        <v>36951</v>
      </c>
      <c r="AA1327" s="24">
        <v>41974</v>
      </c>
      <c r="AB1327" t="s">
        <v>26</v>
      </c>
      <c r="AC1327" s="24">
        <v>36951</v>
      </c>
      <c r="AD1327" s="24">
        <v>41974</v>
      </c>
      <c r="AE1327" t="s">
        <v>26</v>
      </c>
      <c r="AF1327" t="s">
        <v>26</v>
      </c>
      <c r="AG1327" t="s">
        <v>26</v>
      </c>
      <c r="AH1327" t="s">
        <v>26</v>
      </c>
      <c r="AI1327" t="s">
        <v>26</v>
      </c>
      <c r="AJ1327" t="s">
        <v>26</v>
      </c>
      <c r="AK1327" t="s">
        <v>26</v>
      </c>
      <c r="AL1327" t="s">
        <v>26</v>
      </c>
      <c r="AM1327" t="s">
        <v>26</v>
      </c>
      <c r="AN1327" t="s">
        <v>26</v>
      </c>
      <c r="AO1327" s="25" t="s">
        <v>68</v>
      </c>
      <c r="AP1327" s="23" t="s">
        <v>69</v>
      </c>
      <c r="AQ1327" s="23" t="s">
        <v>30</v>
      </c>
      <c r="AR1327" s="23" t="s">
        <v>3314</v>
      </c>
      <c r="AS1327" s="25">
        <v>43629</v>
      </c>
      <c r="AT1327" t="s">
        <v>26</v>
      </c>
      <c r="AU1327" t="s">
        <v>23975</v>
      </c>
    </row>
    <row r="1328" spans="1:47" ht="26.25" x14ac:dyDescent="0.4">
      <c r="A1328" s="23" t="s">
        <v>3315</v>
      </c>
      <c r="B1328" t="s">
        <v>26</v>
      </c>
      <c r="C1328" s="23" t="s">
        <v>3316</v>
      </c>
      <c r="D1328" s="23" t="s">
        <v>22174</v>
      </c>
      <c r="E1328" s="23" t="s">
        <v>42</v>
      </c>
      <c r="F1328" s="25" t="s">
        <v>3317</v>
      </c>
      <c r="G1328" s="25" t="s">
        <v>3318</v>
      </c>
      <c r="H1328" t="s">
        <v>26</v>
      </c>
      <c r="I1328" s="24">
        <v>36526</v>
      </c>
      <c r="J1328" s="25" t="s">
        <v>77</v>
      </c>
      <c r="K1328" t="s">
        <v>26</v>
      </c>
      <c r="L1328" s="25" t="s">
        <v>68</v>
      </c>
      <c r="M1328" s="24">
        <v>37987</v>
      </c>
      <c r="N1328" s="24">
        <v>42887</v>
      </c>
      <c r="O1328" t="s">
        <v>26</v>
      </c>
      <c r="P1328" s="24">
        <v>36526</v>
      </c>
      <c r="Q1328" s="25" t="s">
        <v>77</v>
      </c>
      <c r="R1328" t="s">
        <v>26</v>
      </c>
      <c r="S1328" t="s">
        <v>26</v>
      </c>
      <c r="T1328" t="s">
        <v>26</v>
      </c>
      <c r="U1328" t="s">
        <v>26</v>
      </c>
      <c r="V1328" s="25">
        <v>365</v>
      </c>
      <c r="W1328" s="24">
        <v>35462</v>
      </c>
      <c r="X1328" s="25" t="s">
        <v>77</v>
      </c>
      <c r="Y1328" t="s">
        <v>26</v>
      </c>
      <c r="Z1328" s="24">
        <v>35462</v>
      </c>
      <c r="AA1328" s="25" t="s">
        <v>77</v>
      </c>
      <c r="AB1328" t="s">
        <v>26</v>
      </c>
      <c r="AC1328" s="24">
        <v>36526</v>
      </c>
      <c r="AD1328" s="25" t="s">
        <v>77</v>
      </c>
      <c r="AE1328" t="s">
        <v>26</v>
      </c>
      <c r="AF1328" t="s">
        <v>26</v>
      </c>
      <c r="AG1328" t="s">
        <v>26</v>
      </c>
      <c r="AH1328" t="s">
        <v>26</v>
      </c>
      <c r="AI1328" t="s">
        <v>26</v>
      </c>
      <c r="AJ1328" t="s">
        <v>26</v>
      </c>
      <c r="AK1328" t="s">
        <v>26</v>
      </c>
      <c r="AL1328" t="s">
        <v>26</v>
      </c>
      <c r="AM1328" t="s">
        <v>26</v>
      </c>
      <c r="AN1328" t="s">
        <v>26</v>
      </c>
      <c r="AO1328" s="25" t="s">
        <v>68</v>
      </c>
      <c r="AP1328" s="23" t="s">
        <v>69</v>
      </c>
      <c r="AQ1328" s="23" t="s">
        <v>30</v>
      </c>
      <c r="AR1328" s="23" t="s">
        <v>3319</v>
      </c>
      <c r="AS1328" s="25">
        <v>38864</v>
      </c>
      <c r="AT1328" t="s">
        <v>26</v>
      </c>
      <c r="AU1328" t="s">
        <v>23976</v>
      </c>
    </row>
    <row r="1329" spans="1:47" ht="26.25" x14ac:dyDescent="0.4">
      <c r="A1329" s="23" t="s">
        <v>3320</v>
      </c>
      <c r="B1329" t="s">
        <v>26</v>
      </c>
      <c r="C1329" s="23" t="s">
        <v>3321</v>
      </c>
      <c r="D1329" s="23" t="s">
        <v>22215</v>
      </c>
      <c r="E1329" s="23" t="s">
        <v>187</v>
      </c>
      <c r="F1329" s="25" t="s">
        <v>3322</v>
      </c>
      <c r="G1329" s="25" t="s">
        <v>3323</v>
      </c>
      <c r="H1329" t="s">
        <v>26</v>
      </c>
      <c r="I1329" s="24">
        <v>38718</v>
      </c>
      <c r="J1329" s="25" t="s">
        <v>77</v>
      </c>
      <c r="K1329" t="s">
        <v>26</v>
      </c>
      <c r="L1329" s="25" t="s">
        <v>68</v>
      </c>
      <c r="M1329" s="24">
        <v>38718</v>
      </c>
      <c r="N1329" s="25" t="s">
        <v>77</v>
      </c>
      <c r="O1329" t="s">
        <v>26</v>
      </c>
      <c r="P1329" s="24">
        <v>38718</v>
      </c>
      <c r="Q1329" s="25" t="s">
        <v>77</v>
      </c>
      <c r="R1329" t="s">
        <v>26</v>
      </c>
      <c r="S1329" t="s">
        <v>26</v>
      </c>
      <c r="T1329" t="s">
        <v>26</v>
      </c>
      <c r="U1329" t="s">
        <v>26</v>
      </c>
      <c r="V1329" t="s">
        <v>26</v>
      </c>
      <c r="W1329" s="24">
        <v>38718</v>
      </c>
      <c r="X1329" s="25" t="s">
        <v>77</v>
      </c>
      <c r="Y1329" t="s">
        <v>26</v>
      </c>
      <c r="Z1329" s="24">
        <v>38718</v>
      </c>
      <c r="AA1329" s="25" t="s">
        <v>77</v>
      </c>
      <c r="AB1329" t="s">
        <v>26</v>
      </c>
      <c r="AC1329" s="24">
        <v>38718</v>
      </c>
      <c r="AD1329" s="25" t="s">
        <v>77</v>
      </c>
      <c r="AE1329" s="25" t="s">
        <v>23977</v>
      </c>
      <c r="AF1329" t="s">
        <v>26</v>
      </c>
      <c r="AG1329" t="s">
        <v>26</v>
      </c>
      <c r="AH1329" t="s">
        <v>26</v>
      </c>
      <c r="AI1329" t="s">
        <v>26</v>
      </c>
      <c r="AJ1329" t="s">
        <v>26</v>
      </c>
      <c r="AK1329" t="s">
        <v>26</v>
      </c>
      <c r="AL1329" t="s">
        <v>26</v>
      </c>
      <c r="AM1329" t="s">
        <v>26</v>
      </c>
      <c r="AN1329" t="s">
        <v>26</v>
      </c>
      <c r="AO1329" s="25" t="s">
        <v>68</v>
      </c>
      <c r="AP1329" s="23" t="s">
        <v>69</v>
      </c>
      <c r="AQ1329" s="23" t="s">
        <v>30</v>
      </c>
      <c r="AR1329" s="23" t="s">
        <v>3324</v>
      </c>
      <c r="AS1329" s="25">
        <v>32205</v>
      </c>
      <c r="AT1329" t="s">
        <v>26</v>
      </c>
      <c r="AU1329" t="s">
        <v>23978</v>
      </c>
    </row>
    <row r="1330" spans="1:47" ht="26.25" x14ac:dyDescent="0.4">
      <c r="A1330" s="23" t="s">
        <v>3325</v>
      </c>
      <c r="B1330" t="s">
        <v>26</v>
      </c>
      <c r="C1330" s="23" t="s">
        <v>107</v>
      </c>
      <c r="D1330" s="23" t="s">
        <v>22174</v>
      </c>
      <c r="E1330" s="23" t="s">
        <v>42</v>
      </c>
      <c r="F1330" s="25" t="s">
        <v>3326</v>
      </c>
      <c r="G1330" s="25" t="s">
        <v>3327</v>
      </c>
      <c r="H1330" t="s">
        <v>26</v>
      </c>
      <c r="I1330" t="s">
        <v>26</v>
      </c>
      <c r="J1330" t="s">
        <v>26</v>
      </c>
      <c r="K1330" t="s">
        <v>26</v>
      </c>
      <c r="L1330" s="25" t="s">
        <v>68</v>
      </c>
      <c r="M1330" t="s">
        <v>26</v>
      </c>
      <c r="N1330" t="s">
        <v>26</v>
      </c>
      <c r="O1330" t="s">
        <v>26</v>
      </c>
      <c r="P1330" t="s">
        <v>26</v>
      </c>
      <c r="Q1330" t="s">
        <v>26</v>
      </c>
      <c r="R1330" t="s">
        <v>26</v>
      </c>
      <c r="S1330" t="s">
        <v>26</v>
      </c>
      <c r="T1330" t="s">
        <v>26</v>
      </c>
      <c r="U1330" t="s">
        <v>26</v>
      </c>
      <c r="V1330" t="s">
        <v>26</v>
      </c>
      <c r="W1330" s="24">
        <v>29587</v>
      </c>
      <c r="X1330" s="25" t="s">
        <v>77</v>
      </c>
      <c r="Y1330" t="s">
        <v>26</v>
      </c>
      <c r="Z1330" s="24">
        <v>29587</v>
      </c>
      <c r="AA1330" s="25" t="s">
        <v>77</v>
      </c>
      <c r="AB1330" t="s">
        <v>26</v>
      </c>
      <c r="AC1330" s="24">
        <v>33573</v>
      </c>
      <c r="AD1330" s="25" t="s">
        <v>77</v>
      </c>
      <c r="AE1330" s="25" t="s">
        <v>23979</v>
      </c>
      <c r="AF1330" t="s">
        <v>26</v>
      </c>
      <c r="AG1330" t="s">
        <v>26</v>
      </c>
      <c r="AH1330" t="s">
        <v>26</v>
      </c>
      <c r="AI1330" t="s">
        <v>26</v>
      </c>
      <c r="AJ1330" t="s">
        <v>26</v>
      </c>
      <c r="AK1330" t="s">
        <v>26</v>
      </c>
      <c r="AL1330" t="s">
        <v>26</v>
      </c>
      <c r="AM1330" t="s">
        <v>26</v>
      </c>
      <c r="AN1330" t="s">
        <v>26</v>
      </c>
      <c r="AO1330" s="25" t="s">
        <v>68</v>
      </c>
      <c r="AP1330" s="23" t="s">
        <v>69</v>
      </c>
      <c r="AQ1330" s="23" t="s">
        <v>30</v>
      </c>
      <c r="AR1330" s="23" t="s">
        <v>1828</v>
      </c>
      <c r="AS1330" s="25">
        <v>49241</v>
      </c>
      <c r="AT1330" t="s">
        <v>26</v>
      </c>
      <c r="AU1330" t="s">
        <v>23980</v>
      </c>
    </row>
    <row r="1331" spans="1:47" ht="26.25" x14ac:dyDescent="0.4">
      <c r="A1331" s="23" t="s">
        <v>3328</v>
      </c>
      <c r="B1331" t="s">
        <v>26</v>
      </c>
      <c r="C1331" s="23" t="s">
        <v>264</v>
      </c>
      <c r="D1331" s="23" t="s">
        <v>23981</v>
      </c>
      <c r="E1331" s="23" t="s">
        <v>60</v>
      </c>
      <c r="F1331" s="25" t="s">
        <v>3329</v>
      </c>
      <c r="G1331" s="25" t="s">
        <v>3330</v>
      </c>
      <c r="H1331" t="s">
        <v>26</v>
      </c>
      <c r="I1331" s="24">
        <v>37257</v>
      </c>
      <c r="J1331" s="25" t="s">
        <v>77</v>
      </c>
      <c r="K1331" t="s">
        <v>26</v>
      </c>
      <c r="L1331" s="25" t="s">
        <v>68</v>
      </c>
      <c r="M1331" s="24">
        <v>37257</v>
      </c>
      <c r="N1331" s="25" t="s">
        <v>77</v>
      </c>
      <c r="O1331" s="25" t="s">
        <v>23982</v>
      </c>
      <c r="P1331" s="24">
        <v>37257</v>
      </c>
      <c r="Q1331" s="25" t="s">
        <v>77</v>
      </c>
      <c r="R1331" t="s">
        <v>26</v>
      </c>
      <c r="S1331" t="s">
        <v>26</v>
      </c>
      <c r="T1331" t="s">
        <v>26</v>
      </c>
      <c r="U1331" t="s">
        <v>26</v>
      </c>
      <c r="V1331" s="25">
        <v>365</v>
      </c>
      <c r="W1331" s="24">
        <v>37257</v>
      </c>
      <c r="X1331" s="25" t="s">
        <v>77</v>
      </c>
      <c r="Y1331" t="s">
        <v>26</v>
      </c>
      <c r="Z1331" s="24">
        <v>37257</v>
      </c>
      <c r="AA1331" s="25" t="s">
        <v>77</v>
      </c>
      <c r="AB1331" t="s">
        <v>26</v>
      </c>
      <c r="AC1331" s="24">
        <v>37895</v>
      </c>
      <c r="AD1331" s="25" t="s">
        <v>77</v>
      </c>
      <c r="AE1331" t="s">
        <v>26</v>
      </c>
      <c r="AF1331" t="s">
        <v>26</v>
      </c>
      <c r="AG1331" t="s">
        <v>26</v>
      </c>
      <c r="AH1331" t="s">
        <v>26</v>
      </c>
      <c r="AI1331" t="s">
        <v>26</v>
      </c>
      <c r="AJ1331" t="s">
        <v>26</v>
      </c>
      <c r="AK1331" t="s">
        <v>26</v>
      </c>
      <c r="AL1331" t="s">
        <v>26</v>
      </c>
      <c r="AM1331" t="s">
        <v>26</v>
      </c>
      <c r="AN1331" t="s">
        <v>26</v>
      </c>
      <c r="AO1331" s="25" t="s">
        <v>68</v>
      </c>
      <c r="AP1331" s="23" t="s">
        <v>69</v>
      </c>
      <c r="AQ1331" s="23" t="s">
        <v>30</v>
      </c>
      <c r="AR1331" s="23" t="s">
        <v>666</v>
      </c>
      <c r="AS1331" s="25">
        <v>32373</v>
      </c>
      <c r="AT1331" t="s">
        <v>26</v>
      </c>
      <c r="AU1331" t="s">
        <v>23983</v>
      </c>
    </row>
    <row r="1332" spans="1:47" ht="26.25" x14ac:dyDescent="0.4">
      <c r="A1332" s="23" t="s">
        <v>3331</v>
      </c>
      <c r="B1332" t="s">
        <v>26</v>
      </c>
      <c r="C1332" s="23" t="s">
        <v>264</v>
      </c>
      <c r="D1332" s="23" t="s">
        <v>22261</v>
      </c>
      <c r="E1332" s="23" t="s">
        <v>60</v>
      </c>
      <c r="F1332" s="25" t="s">
        <v>3332</v>
      </c>
      <c r="G1332" s="25" t="s">
        <v>3333</v>
      </c>
      <c r="H1332" t="s">
        <v>26</v>
      </c>
      <c r="I1332" s="24">
        <v>35065</v>
      </c>
      <c r="J1332" s="25" t="s">
        <v>77</v>
      </c>
      <c r="K1332" t="s">
        <v>26</v>
      </c>
      <c r="L1332" s="25" t="s">
        <v>68</v>
      </c>
      <c r="M1332" s="24">
        <v>35065</v>
      </c>
      <c r="N1332" s="25" t="s">
        <v>77</v>
      </c>
      <c r="O1332" t="s">
        <v>26</v>
      </c>
      <c r="P1332" s="24">
        <v>35065</v>
      </c>
      <c r="Q1332" s="25" t="s">
        <v>77</v>
      </c>
      <c r="R1332" t="s">
        <v>26</v>
      </c>
      <c r="S1332" t="s">
        <v>26</v>
      </c>
      <c r="T1332" t="s">
        <v>26</v>
      </c>
      <c r="U1332" t="s">
        <v>26</v>
      </c>
      <c r="V1332" s="25">
        <v>365</v>
      </c>
      <c r="W1332" s="24">
        <v>35065</v>
      </c>
      <c r="X1332" s="25" t="s">
        <v>77</v>
      </c>
      <c r="Y1332" t="s">
        <v>26</v>
      </c>
      <c r="Z1332" s="24">
        <v>35065</v>
      </c>
      <c r="AA1332" s="25" t="s">
        <v>77</v>
      </c>
      <c r="AB1332" t="s">
        <v>26</v>
      </c>
      <c r="AC1332" s="24">
        <v>35065</v>
      </c>
      <c r="AD1332" s="25" t="s">
        <v>77</v>
      </c>
      <c r="AE1332" t="s">
        <v>26</v>
      </c>
      <c r="AF1332" t="s">
        <v>26</v>
      </c>
      <c r="AG1332" t="s">
        <v>26</v>
      </c>
      <c r="AH1332" t="s">
        <v>26</v>
      </c>
      <c r="AI1332" t="s">
        <v>26</v>
      </c>
      <c r="AJ1332" t="s">
        <v>26</v>
      </c>
      <c r="AK1332" t="s">
        <v>26</v>
      </c>
      <c r="AL1332" t="s">
        <v>26</v>
      </c>
      <c r="AM1332" t="s">
        <v>26</v>
      </c>
      <c r="AN1332" t="s">
        <v>26</v>
      </c>
      <c r="AO1332" s="25" t="s">
        <v>68</v>
      </c>
      <c r="AP1332" s="23" t="s">
        <v>69</v>
      </c>
      <c r="AQ1332" s="23" t="s">
        <v>30</v>
      </c>
      <c r="AR1332" s="23" t="s">
        <v>128</v>
      </c>
      <c r="AS1332" s="25">
        <v>29366</v>
      </c>
      <c r="AT1332" t="s">
        <v>26</v>
      </c>
      <c r="AU1332" t="s">
        <v>23984</v>
      </c>
    </row>
    <row r="1333" spans="1:47" ht="26.25" x14ac:dyDescent="0.4">
      <c r="A1333" s="23" t="s">
        <v>3334</v>
      </c>
      <c r="B1333" t="s">
        <v>26</v>
      </c>
      <c r="C1333" s="23" t="s">
        <v>3308</v>
      </c>
      <c r="D1333" s="23" t="s">
        <v>2244</v>
      </c>
      <c r="E1333" s="23" t="s">
        <v>2244</v>
      </c>
      <c r="F1333" s="25" t="s">
        <v>3335</v>
      </c>
      <c r="G1333" s="25" t="s">
        <v>3336</v>
      </c>
      <c r="H1333" t="s">
        <v>26</v>
      </c>
      <c r="I1333" t="s">
        <v>26</v>
      </c>
      <c r="J1333" t="s">
        <v>26</v>
      </c>
      <c r="K1333" t="s">
        <v>26</v>
      </c>
      <c r="L1333" s="25" t="s">
        <v>68</v>
      </c>
      <c r="M1333" t="s">
        <v>26</v>
      </c>
      <c r="N1333" t="s">
        <v>26</v>
      </c>
      <c r="O1333" t="s">
        <v>26</v>
      </c>
      <c r="P1333" t="s">
        <v>26</v>
      </c>
      <c r="Q1333" t="s">
        <v>26</v>
      </c>
      <c r="R1333" t="s">
        <v>26</v>
      </c>
      <c r="S1333" t="s">
        <v>26</v>
      </c>
      <c r="T1333" t="s">
        <v>26</v>
      </c>
      <c r="U1333" t="s">
        <v>26</v>
      </c>
      <c r="V1333" t="s">
        <v>26</v>
      </c>
      <c r="W1333" s="24">
        <v>41153</v>
      </c>
      <c r="X1333" s="25" t="s">
        <v>77</v>
      </c>
      <c r="Y1333" t="s">
        <v>26</v>
      </c>
      <c r="Z1333" s="24">
        <v>41153</v>
      </c>
      <c r="AA1333" s="25" t="s">
        <v>77</v>
      </c>
      <c r="AB1333" t="s">
        <v>26</v>
      </c>
      <c r="AC1333" s="24">
        <v>41153</v>
      </c>
      <c r="AD1333" s="25" t="s">
        <v>77</v>
      </c>
      <c r="AE1333" t="s">
        <v>26</v>
      </c>
      <c r="AF1333" t="s">
        <v>26</v>
      </c>
      <c r="AG1333" t="s">
        <v>26</v>
      </c>
      <c r="AH1333" t="s">
        <v>26</v>
      </c>
      <c r="AI1333" t="s">
        <v>26</v>
      </c>
      <c r="AJ1333" t="s">
        <v>26</v>
      </c>
      <c r="AK1333" t="s">
        <v>26</v>
      </c>
      <c r="AL1333" t="s">
        <v>26</v>
      </c>
      <c r="AM1333" t="s">
        <v>26</v>
      </c>
      <c r="AN1333" t="s">
        <v>26</v>
      </c>
      <c r="AO1333" s="25" t="s">
        <v>68</v>
      </c>
      <c r="AP1333" s="23" t="s">
        <v>69</v>
      </c>
      <c r="AQ1333" s="23" t="s">
        <v>30</v>
      </c>
      <c r="AR1333" s="23" t="s">
        <v>78</v>
      </c>
      <c r="AS1333" s="25">
        <v>2049876</v>
      </c>
      <c r="AT1333" t="s">
        <v>26</v>
      </c>
      <c r="AU1333" t="s">
        <v>23985</v>
      </c>
    </row>
    <row r="1334" spans="1:47" ht="26.25" x14ac:dyDescent="0.4">
      <c r="A1334" s="23" t="s">
        <v>3337</v>
      </c>
      <c r="B1334" t="s">
        <v>26</v>
      </c>
      <c r="C1334" s="23" t="s">
        <v>3226</v>
      </c>
      <c r="D1334" s="23" t="s">
        <v>22772</v>
      </c>
      <c r="E1334" s="23" t="s">
        <v>335</v>
      </c>
      <c r="F1334" s="25" t="s">
        <v>3338</v>
      </c>
      <c r="G1334" t="s">
        <v>26</v>
      </c>
      <c r="H1334" t="s">
        <v>26</v>
      </c>
      <c r="I1334" t="s">
        <v>26</v>
      </c>
      <c r="J1334" t="s">
        <v>26</v>
      </c>
      <c r="K1334" t="s">
        <v>26</v>
      </c>
      <c r="L1334" s="25" t="s">
        <v>68</v>
      </c>
      <c r="M1334" t="s">
        <v>26</v>
      </c>
      <c r="N1334" t="s">
        <v>26</v>
      </c>
      <c r="O1334" t="s">
        <v>26</v>
      </c>
      <c r="P1334" t="s">
        <v>26</v>
      </c>
      <c r="Q1334" t="s">
        <v>26</v>
      </c>
      <c r="R1334" t="s">
        <v>26</v>
      </c>
      <c r="S1334" t="s">
        <v>26</v>
      </c>
      <c r="T1334" t="s">
        <v>26</v>
      </c>
      <c r="U1334" t="s">
        <v>26</v>
      </c>
      <c r="V1334" t="s">
        <v>26</v>
      </c>
      <c r="W1334" s="24">
        <v>33604</v>
      </c>
      <c r="X1334" s="24">
        <v>36526</v>
      </c>
      <c r="Y1334" t="s">
        <v>26</v>
      </c>
      <c r="Z1334" s="24">
        <v>33604</v>
      </c>
      <c r="AA1334" s="24">
        <v>36526</v>
      </c>
      <c r="AB1334" t="s">
        <v>26</v>
      </c>
      <c r="AC1334" t="s">
        <v>26</v>
      </c>
      <c r="AD1334" t="s">
        <v>26</v>
      </c>
      <c r="AE1334" t="s">
        <v>26</v>
      </c>
      <c r="AF1334" t="s">
        <v>26</v>
      </c>
      <c r="AG1334" t="s">
        <v>26</v>
      </c>
      <c r="AH1334" t="s">
        <v>26</v>
      </c>
      <c r="AI1334" t="s">
        <v>26</v>
      </c>
      <c r="AJ1334" t="s">
        <v>26</v>
      </c>
      <c r="AK1334" t="s">
        <v>26</v>
      </c>
      <c r="AL1334" t="s">
        <v>26</v>
      </c>
      <c r="AM1334" t="s">
        <v>26</v>
      </c>
      <c r="AN1334" t="s">
        <v>26</v>
      </c>
      <c r="AO1334" s="25" t="s">
        <v>68</v>
      </c>
      <c r="AP1334" s="23" t="s">
        <v>69</v>
      </c>
      <c r="AQ1334" s="23" t="s">
        <v>30</v>
      </c>
      <c r="AR1334" s="23" t="s">
        <v>569</v>
      </c>
      <c r="AS1334" s="25">
        <v>42546</v>
      </c>
      <c r="AT1334" t="s">
        <v>26</v>
      </c>
      <c r="AU1334" t="s">
        <v>23986</v>
      </c>
    </row>
    <row r="1335" spans="1:47" ht="26.25" x14ac:dyDescent="0.4">
      <c r="A1335" s="23" t="s">
        <v>3339</v>
      </c>
      <c r="B1335" t="s">
        <v>26</v>
      </c>
      <c r="C1335" s="23" t="s">
        <v>73</v>
      </c>
      <c r="D1335" s="23" t="s">
        <v>22179</v>
      </c>
      <c r="E1335" s="23" t="s">
        <v>74</v>
      </c>
      <c r="F1335" s="25" t="s">
        <v>3340</v>
      </c>
      <c r="G1335" s="25" t="s">
        <v>3341</v>
      </c>
      <c r="H1335" t="s">
        <v>26</v>
      </c>
      <c r="I1335" s="24">
        <v>35462</v>
      </c>
      <c r="J1335" s="25" t="s">
        <v>77</v>
      </c>
      <c r="K1335" t="s">
        <v>26</v>
      </c>
      <c r="L1335" s="25" t="s">
        <v>68</v>
      </c>
      <c r="M1335" s="24">
        <v>38018</v>
      </c>
      <c r="N1335" s="24">
        <v>42767</v>
      </c>
      <c r="O1335" t="s">
        <v>26</v>
      </c>
      <c r="P1335" s="24">
        <v>35462</v>
      </c>
      <c r="Q1335" s="25" t="s">
        <v>77</v>
      </c>
      <c r="R1335" t="s">
        <v>26</v>
      </c>
      <c r="S1335" t="s">
        <v>26</v>
      </c>
      <c r="T1335" t="s">
        <v>26</v>
      </c>
      <c r="U1335" t="s">
        <v>26</v>
      </c>
      <c r="V1335" s="25">
        <v>365</v>
      </c>
      <c r="W1335" s="24">
        <v>35462</v>
      </c>
      <c r="X1335" s="25" t="s">
        <v>77</v>
      </c>
      <c r="Y1335" t="s">
        <v>26</v>
      </c>
      <c r="Z1335" s="24">
        <v>35462</v>
      </c>
      <c r="AA1335" s="25" t="s">
        <v>77</v>
      </c>
      <c r="AB1335" t="s">
        <v>26</v>
      </c>
      <c r="AC1335" s="24">
        <v>35462</v>
      </c>
      <c r="AD1335" s="25" t="s">
        <v>77</v>
      </c>
      <c r="AE1335" t="s">
        <v>26</v>
      </c>
      <c r="AF1335" t="s">
        <v>26</v>
      </c>
      <c r="AG1335" t="s">
        <v>26</v>
      </c>
      <c r="AH1335" t="s">
        <v>26</v>
      </c>
      <c r="AI1335" t="s">
        <v>26</v>
      </c>
      <c r="AJ1335" t="s">
        <v>26</v>
      </c>
      <c r="AK1335" t="s">
        <v>26</v>
      </c>
      <c r="AL1335" t="s">
        <v>26</v>
      </c>
      <c r="AM1335" t="s">
        <v>26</v>
      </c>
      <c r="AN1335" t="s">
        <v>26</v>
      </c>
      <c r="AO1335" s="25" t="s">
        <v>68</v>
      </c>
      <c r="AP1335" s="23" t="s">
        <v>69</v>
      </c>
      <c r="AQ1335" s="23" t="s">
        <v>30</v>
      </c>
      <c r="AR1335" s="23" t="s">
        <v>3342</v>
      </c>
      <c r="AS1335" s="25">
        <v>54193</v>
      </c>
      <c r="AT1335" t="s">
        <v>26</v>
      </c>
      <c r="AU1335" t="s">
        <v>23987</v>
      </c>
    </row>
    <row r="1336" spans="1:47" ht="26.25" x14ac:dyDescent="0.4">
      <c r="A1336" s="23" t="s">
        <v>3343</v>
      </c>
      <c r="B1336" t="s">
        <v>26</v>
      </c>
      <c r="C1336" s="23" t="s">
        <v>264</v>
      </c>
      <c r="D1336" s="23" t="s">
        <v>23125</v>
      </c>
      <c r="E1336" s="23" t="s">
        <v>60</v>
      </c>
      <c r="F1336" s="25" t="s">
        <v>3344</v>
      </c>
      <c r="G1336" s="25" t="s">
        <v>3345</v>
      </c>
      <c r="H1336" t="s">
        <v>26</v>
      </c>
      <c r="I1336" s="24">
        <v>33604</v>
      </c>
      <c r="J1336" s="25" t="s">
        <v>77</v>
      </c>
      <c r="K1336" t="s">
        <v>26</v>
      </c>
      <c r="L1336" s="25" t="s">
        <v>68</v>
      </c>
      <c r="M1336" s="24">
        <v>33604</v>
      </c>
      <c r="N1336" s="25" t="s">
        <v>77</v>
      </c>
      <c r="O1336" t="s">
        <v>26</v>
      </c>
      <c r="P1336" s="24">
        <v>33604</v>
      </c>
      <c r="Q1336" s="25" t="s">
        <v>77</v>
      </c>
      <c r="R1336" s="25" t="s">
        <v>23988</v>
      </c>
      <c r="S1336" t="s">
        <v>26</v>
      </c>
      <c r="T1336" t="s">
        <v>26</v>
      </c>
      <c r="U1336" t="s">
        <v>26</v>
      </c>
      <c r="V1336" s="25">
        <v>365</v>
      </c>
      <c r="W1336" s="24">
        <v>33604</v>
      </c>
      <c r="X1336" s="25" t="s">
        <v>77</v>
      </c>
      <c r="Y1336" t="s">
        <v>26</v>
      </c>
      <c r="Z1336" s="24">
        <v>33604</v>
      </c>
      <c r="AA1336" s="25" t="s">
        <v>77</v>
      </c>
      <c r="AB1336" t="s">
        <v>26</v>
      </c>
      <c r="AC1336" s="24">
        <v>33604</v>
      </c>
      <c r="AD1336" s="25" t="s">
        <v>77</v>
      </c>
      <c r="AE1336" t="s">
        <v>26</v>
      </c>
      <c r="AF1336" t="s">
        <v>26</v>
      </c>
      <c r="AG1336" t="s">
        <v>26</v>
      </c>
      <c r="AH1336" t="s">
        <v>26</v>
      </c>
      <c r="AI1336" t="s">
        <v>26</v>
      </c>
      <c r="AJ1336" t="s">
        <v>26</v>
      </c>
      <c r="AK1336" t="s">
        <v>26</v>
      </c>
      <c r="AL1336" t="s">
        <v>26</v>
      </c>
      <c r="AM1336" t="s">
        <v>26</v>
      </c>
      <c r="AN1336" t="s">
        <v>26</v>
      </c>
      <c r="AO1336" s="25" t="s">
        <v>68</v>
      </c>
      <c r="AP1336" s="23" t="s">
        <v>69</v>
      </c>
      <c r="AQ1336" s="23" t="s">
        <v>30</v>
      </c>
      <c r="AR1336" s="23" t="s">
        <v>128</v>
      </c>
      <c r="AS1336" s="25">
        <v>43408</v>
      </c>
      <c r="AT1336" t="s">
        <v>26</v>
      </c>
      <c r="AU1336" t="s">
        <v>23989</v>
      </c>
    </row>
    <row r="1337" spans="1:47" ht="26.25" x14ac:dyDescent="0.4">
      <c r="A1337" s="23" t="s">
        <v>3346</v>
      </c>
      <c r="B1337" t="s">
        <v>26</v>
      </c>
      <c r="C1337" s="23" t="s">
        <v>181</v>
      </c>
      <c r="D1337" s="23" t="s">
        <v>22174</v>
      </c>
      <c r="E1337" s="23" t="s">
        <v>60</v>
      </c>
      <c r="F1337" s="25" t="s">
        <v>3347</v>
      </c>
      <c r="G1337" s="25" t="s">
        <v>3348</v>
      </c>
      <c r="H1337" t="s">
        <v>26</v>
      </c>
      <c r="I1337" s="24">
        <v>36161</v>
      </c>
      <c r="J1337" s="24">
        <v>39630</v>
      </c>
      <c r="K1337" t="s">
        <v>26</v>
      </c>
      <c r="L1337" s="25" t="s">
        <v>68</v>
      </c>
      <c r="M1337" t="s">
        <v>26</v>
      </c>
      <c r="N1337" t="s">
        <v>26</v>
      </c>
      <c r="O1337" t="s">
        <v>26</v>
      </c>
      <c r="P1337" s="24">
        <v>36161</v>
      </c>
      <c r="Q1337" s="24">
        <v>39630</v>
      </c>
      <c r="R1337" t="s">
        <v>26</v>
      </c>
      <c r="S1337" t="s">
        <v>26</v>
      </c>
      <c r="T1337" t="s">
        <v>26</v>
      </c>
      <c r="U1337" t="s">
        <v>26</v>
      </c>
      <c r="V1337" t="s">
        <v>26</v>
      </c>
      <c r="W1337" s="24">
        <v>25628</v>
      </c>
      <c r="X1337" s="25" t="s">
        <v>77</v>
      </c>
      <c r="Y1337" t="s">
        <v>26</v>
      </c>
      <c r="Z1337" s="24">
        <v>25628</v>
      </c>
      <c r="AA1337" s="25" t="s">
        <v>77</v>
      </c>
      <c r="AB1337" t="s">
        <v>26</v>
      </c>
      <c r="AC1337" s="24">
        <v>25628</v>
      </c>
      <c r="AD1337" s="25" t="s">
        <v>77</v>
      </c>
      <c r="AE1337" t="s">
        <v>26</v>
      </c>
      <c r="AF1337" t="s">
        <v>26</v>
      </c>
      <c r="AG1337" t="s">
        <v>26</v>
      </c>
      <c r="AH1337" t="s">
        <v>26</v>
      </c>
      <c r="AI1337" t="s">
        <v>26</v>
      </c>
      <c r="AJ1337" t="s">
        <v>26</v>
      </c>
      <c r="AK1337" t="s">
        <v>26</v>
      </c>
      <c r="AL1337" t="s">
        <v>26</v>
      </c>
      <c r="AM1337" t="s">
        <v>26</v>
      </c>
      <c r="AN1337" t="s">
        <v>26</v>
      </c>
      <c r="AO1337" s="25" t="s">
        <v>68</v>
      </c>
      <c r="AP1337" s="23" t="s">
        <v>69</v>
      </c>
      <c r="AQ1337" s="23" t="s">
        <v>30</v>
      </c>
      <c r="AR1337" s="23" t="s">
        <v>71</v>
      </c>
      <c r="AS1337" s="25">
        <v>33391</v>
      </c>
      <c r="AT1337" t="s">
        <v>26</v>
      </c>
      <c r="AU1337" t="s">
        <v>23990</v>
      </c>
    </row>
    <row r="1338" spans="1:47" ht="26.25" x14ac:dyDescent="0.4">
      <c r="A1338" s="23" t="s">
        <v>3349</v>
      </c>
      <c r="B1338" t="s">
        <v>26</v>
      </c>
      <c r="C1338" s="23" t="s">
        <v>80</v>
      </c>
      <c r="D1338" s="23" t="s">
        <v>22174</v>
      </c>
      <c r="E1338" s="23" t="s">
        <v>60</v>
      </c>
      <c r="F1338" s="25" t="s">
        <v>3350</v>
      </c>
      <c r="G1338" s="25" t="s">
        <v>3351</v>
      </c>
      <c r="H1338" t="s">
        <v>26</v>
      </c>
      <c r="I1338" s="24">
        <v>38749</v>
      </c>
      <c r="J1338" s="24">
        <v>44166</v>
      </c>
      <c r="K1338" t="s">
        <v>26</v>
      </c>
      <c r="L1338" s="25" t="s">
        <v>68</v>
      </c>
      <c r="M1338" s="24">
        <v>38749</v>
      </c>
      <c r="N1338" s="24">
        <v>44166</v>
      </c>
      <c r="O1338" t="s">
        <v>26</v>
      </c>
      <c r="P1338" s="24">
        <v>38749</v>
      </c>
      <c r="Q1338" s="24">
        <v>44166</v>
      </c>
      <c r="R1338" t="s">
        <v>26</v>
      </c>
      <c r="S1338" t="s">
        <v>26</v>
      </c>
      <c r="T1338" t="s">
        <v>26</v>
      </c>
      <c r="U1338" t="s">
        <v>26</v>
      </c>
      <c r="V1338" t="s">
        <v>26</v>
      </c>
      <c r="W1338" s="24">
        <v>38749</v>
      </c>
      <c r="X1338" s="25" t="s">
        <v>77</v>
      </c>
      <c r="Y1338" t="s">
        <v>26</v>
      </c>
      <c r="Z1338" s="24">
        <v>38749</v>
      </c>
      <c r="AA1338" s="25" t="s">
        <v>77</v>
      </c>
      <c r="AB1338" t="s">
        <v>26</v>
      </c>
      <c r="AC1338" s="24">
        <v>38749</v>
      </c>
      <c r="AD1338" s="25" t="s">
        <v>77</v>
      </c>
      <c r="AE1338" t="s">
        <v>26</v>
      </c>
      <c r="AF1338" t="s">
        <v>26</v>
      </c>
      <c r="AG1338" t="s">
        <v>26</v>
      </c>
      <c r="AH1338" t="s">
        <v>26</v>
      </c>
      <c r="AI1338" t="s">
        <v>26</v>
      </c>
      <c r="AJ1338" t="s">
        <v>26</v>
      </c>
      <c r="AK1338" t="s">
        <v>26</v>
      </c>
      <c r="AL1338" t="s">
        <v>26</v>
      </c>
      <c r="AM1338" t="s">
        <v>26</v>
      </c>
      <c r="AN1338" t="s">
        <v>26</v>
      </c>
      <c r="AO1338" s="25" t="s">
        <v>68</v>
      </c>
      <c r="AP1338" s="23" t="s">
        <v>69</v>
      </c>
      <c r="AQ1338" s="23" t="s">
        <v>30</v>
      </c>
      <c r="AR1338" s="23" t="s">
        <v>46</v>
      </c>
      <c r="AS1338" s="25">
        <v>36086</v>
      </c>
      <c r="AT1338" t="s">
        <v>26</v>
      </c>
      <c r="AU1338" t="s">
        <v>23991</v>
      </c>
    </row>
    <row r="1339" spans="1:47" ht="39.4" x14ac:dyDescent="0.4">
      <c r="A1339" s="23" t="s">
        <v>3352</v>
      </c>
      <c r="B1339" t="s">
        <v>26</v>
      </c>
      <c r="C1339" s="23" t="s">
        <v>3353</v>
      </c>
      <c r="D1339" s="23" t="s">
        <v>23992</v>
      </c>
      <c r="E1339" s="23" t="s">
        <v>155</v>
      </c>
      <c r="F1339" s="25" t="s">
        <v>3354</v>
      </c>
      <c r="G1339" s="25" t="s">
        <v>3355</v>
      </c>
      <c r="H1339" t="s">
        <v>26</v>
      </c>
      <c r="I1339" s="24">
        <v>39600</v>
      </c>
      <c r="J1339" s="24">
        <v>44044</v>
      </c>
      <c r="K1339" t="s">
        <v>26</v>
      </c>
      <c r="L1339" s="25" t="s">
        <v>68</v>
      </c>
      <c r="M1339" t="s">
        <v>26</v>
      </c>
      <c r="N1339" t="s">
        <v>26</v>
      </c>
      <c r="O1339" t="s">
        <v>26</v>
      </c>
      <c r="P1339" s="24">
        <v>39600</v>
      </c>
      <c r="Q1339" s="24">
        <v>44044</v>
      </c>
      <c r="R1339" t="s">
        <v>26</v>
      </c>
      <c r="S1339" t="s">
        <v>26</v>
      </c>
      <c r="T1339" t="s">
        <v>26</v>
      </c>
      <c r="U1339" t="s">
        <v>26</v>
      </c>
      <c r="V1339" t="s">
        <v>26</v>
      </c>
      <c r="W1339" s="24">
        <v>39600</v>
      </c>
      <c r="X1339" s="24">
        <v>44044</v>
      </c>
      <c r="Y1339" t="s">
        <v>26</v>
      </c>
      <c r="Z1339" s="24">
        <v>39600</v>
      </c>
      <c r="AA1339" s="24">
        <v>44044</v>
      </c>
      <c r="AB1339" t="s">
        <v>26</v>
      </c>
      <c r="AC1339" s="24">
        <v>39600</v>
      </c>
      <c r="AD1339" s="24">
        <v>44044</v>
      </c>
      <c r="AE1339" t="s">
        <v>26</v>
      </c>
      <c r="AF1339" t="s">
        <v>26</v>
      </c>
      <c r="AG1339" t="s">
        <v>26</v>
      </c>
      <c r="AH1339" t="s">
        <v>26</v>
      </c>
      <c r="AI1339" t="s">
        <v>26</v>
      </c>
      <c r="AJ1339" t="s">
        <v>26</v>
      </c>
      <c r="AK1339" t="s">
        <v>26</v>
      </c>
      <c r="AL1339" t="s">
        <v>26</v>
      </c>
      <c r="AM1339" t="s">
        <v>26</v>
      </c>
      <c r="AN1339" t="s">
        <v>26</v>
      </c>
      <c r="AO1339" s="25" t="s">
        <v>68</v>
      </c>
      <c r="AP1339" s="23" t="s">
        <v>69</v>
      </c>
      <c r="AQ1339" s="23" t="s">
        <v>226</v>
      </c>
      <c r="AR1339" s="23" t="s">
        <v>46</v>
      </c>
      <c r="AS1339" s="25">
        <v>5026681</v>
      </c>
      <c r="AT1339" t="s">
        <v>26</v>
      </c>
      <c r="AU1339" t="s">
        <v>23993</v>
      </c>
    </row>
    <row r="1340" spans="1:47" ht="26.25" x14ac:dyDescent="0.4">
      <c r="A1340" s="23" t="s">
        <v>3356</v>
      </c>
      <c r="B1340" t="s">
        <v>26</v>
      </c>
      <c r="C1340" s="23" t="s">
        <v>320</v>
      </c>
      <c r="D1340" s="23" t="s">
        <v>22174</v>
      </c>
      <c r="E1340" s="23" t="s">
        <v>42</v>
      </c>
      <c r="F1340" s="25" t="s">
        <v>3357</v>
      </c>
      <c r="G1340" s="25" t="s">
        <v>3358</v>
      </c>
      <c r="H1340" t="s">
        <v>26</v>
      </c>
      <c r="I1340" t="s">
        <v>26</v>
      </c>
      <c r="J1340" t="s">
        <v>26</v>
      </c>
      <c r="K1340" t="s">
        <v>26</v>
      </c>
      <c r="L1340" s="25" t="s">
        <v>68</v>
      </c>
      <c r="M1340" t="s">
        <v>26</v>
      </c>
      <c r="N1340" t="s">
        <v>26</v>
      </c>
      <c r="O1340" t="s">
        <v>26</v>
      </c>
      <c r="P1340" t="s">
        <v>26</v>
      </c>
      <c r="Q1340" t="s">
        <v>26</v>
      </c>
      <c r="R1340" t="s">
        <v>26</v>
      </c>
      <c r="S1340" t="s">
        <v>26</v>
      </c>
      <c r="T1340" t="s">
        <v>26</v>
      </c>
      <c r="U1340" t="s">
        <v>26</v>
      </c>
      <c r="V1340" t="s">
        <v>26</v>
      </c>
      <c r="W1340" s="24">
        <v>40210</v>
      </c>
      <c r="X1340" s="25" t="s">
        <v>77</v>
      </c>
      <c r="Y1340" t="s">
        <v>26</v>
      </c>
      <c r="Z1340" s="24">
        <v>40210</v>
      </c>
      <c r="AA1340" s="25" t="s">
        <v>77</v>
      </c>
      <c r="AB1340" t="s">
        <v>26</v>
      </c>
      <c r="AC1340" s="24">
        <v>40210</v>
      </c>
      <c r="AD1340" s="25" t="s">
        <v>77</v>
      </c>
      <c r="AE1340" t="s">
        <v>26</v>
      </c>
      <c r="AF1340" t="s">
        <v>26</v>
      </c>
      <c r="AG1340" t="s">
        <v>26</v>
      </c>
      <c r="AH1340" t="s">
        <v>26</v>
      </c>
      <c r="AI1340" t="s">
        <v>26</v>
      </c>
      <c r="AJ1340" t="s">
        <v>26</v>
      </c>
      <c r="AK1340" t="s">
        <v>26</v>
      </c>
      <c r="AL1340" t="s">
        <v>26</v>
      </c>
      <c r="AM1340" t="s">
        <v>26</v>
      </c>
      <c r="AN1340" t="s">
        <v>26</v>
      </c>
      <c r="AO1340" s="25" t="s">
        <v>68</v>
      </c>
      <c r="AP1340" s="23" t="s">
        <v>69</v>
      </c>
      <c r="AQ1340" s="23" t="s">
        <v>620</v>
      </c>
      <c r="AR1340" s="23" t="s">
        <v>46</v>
      </c>
      <c r="AS1340" s="25">
        <v>53033</v>
      </c>
      <c r="AT1340" t="s">
        <v>26</v>
      </c>
      <c r="AU1340" t="s">
        <v>23994</v>
      </c>
    </row>
    <row r="1341" spans="1:47" ht="26.25" x14ac:dyDescent="0.4">
      <c r="A1341" s="23" t="s">
        <v>3359</v>
      </c>
      <c r="B1341" t="s">
        <v>26</v>
      </c>
      <c r="C1341" s="23" t="s">
        <v>789</v>
      </c>
      <c r="D1341" s="23" t="s">
        <v>22492</v>
      </c>
      <c r="E1341" s="23" t="s">
        <v>42</v>
      </c>
      <c r="F1341" s="25" t="s">
        <v>3360</v>
      </c>
      <c r="G1341" t="s">
        <v>26</v>
      </c>
      <c r="H1341" t="s">
        <v>26</v>
      </c>
      <c r="I1341" s="24">
        <v>40909</v>
      </c>
      <c r="J1341" s="24">
        <v>43009</v>
      </c>
      <c r="K1341" t="s">
        <v>26</v>
      </c>
      <c r="L1341" s="25" t="s">
        <v>68</v>
      </c>
      <c r="M1341" s="24">
        <v>40909</v>
      </c>
      <c r="N1341" s="24">
        <v>43009</v>
      </c>
      <c r="O1341" t="s">
        <v>26</v>
      </c>
      <c r="P1341" s="24">
        <v>40909</v>
      </c>
      <c r="Q1341" s="24">
        <v>43009</v>
      </c>
      <c r="R1341" t="s">
        <v>26</v>
      </c>
      <c r="S1341" t="s">
        <v>26</v>
      </c>
      <c r="T1341" t="s">
        <v>26</v>
      </c>
      <c r="U1341" t="s">
        <v>26</v>
      </c>
      <c r="V1341" t="s">
        <v>26</v>
      </c>
      <c r="W1341" s="24">
        <v>40909</v>
      </c>
      <c r="X1341" s="24">
        <v>43009</v>
      </c>
      <c r="Y1341" t="s">
        <v>26</v>
      </c>
      <c r="Z1341" s="24">
        <v>40909</v>
      </c>
      <c r="AA1341" s="24">
        <v>43009</v>
      </c>
      <c r="AB1341" t="s">
        <v>26</v>
      </c>
      <c r="AC1341" s="24">
        <v>40909</v>
      </c>
      <c r="AD1341" s="24">
        <v>43009</v>
      </c>
      <c r="AE1341" t="s">
        <v>26</v>
      </c>
      <c r="AF1341" t="s">
        <v>26</v>
      </c>
      <c r="AG1341" t="s">
        <v>26</v>
      </c>
      <c r="AH1341" t="s">
        <v>26</v>
      </c>
      <c r="AI1341" t="s">
        <v>26</v>
      </c>
      <c r="AJ1341" t="s">
        <v>26</v>
      </c>
      <c r="AK1341" t="s">
        <v>26</v>
      </c>
      <c r="AL1341" t="s">
        <v>26</v>
      </c>
      <c r="AM1341" t="s">
        <v>26</v>
      </c>
      <c r="AN1341" t="s">
        <v>26</v>
      </c>
      <c r="AO1341" s="25" t="s">
        <v>28</v>
      </c>
      <c r="AP1341" s="23" t="s">
        <v>69</v>
      </c>
      <c r="AQ1341" s="23" t="s">
        <v>30</v>
      </c>
      <c r="AR1341" s="23" t="s">
        <v>46</v>
      </c>
      <c r="AS1341" s="25">
        <v>2034860</v>
      </c>
      <c r="AT1341" t="s">
        <v>26</v>
      </c>
      <c r="AU1341" t="s">
        <v>23995</v>
      </c>
    </row>
    <row r="1342" spans="1:47" ht="39.4" x14ac:dyDescent="0.4">
      <c r="A1342" s="23" t="s">
        <v>3361</v>
      </c>
      <c r="B1342" t="s">
        <v>26</v>
      </c>
      <c r="C1342" s="23" t="s">
        <v>3362</v>
      </c>
      <c r="D1342" s="23" t="s">
        <v>23996</v>
      </c>
      <c r="E1342" s="23" t="s">
        <v>139</v>
      </c>
      <c r="F1342" s="25" t="s">
        <v>3363</v>
      </c>
      <c r="G1342" t="s">
        <v>26</v>
      </c>
      <c r="H1342" t="s">
        <v>26</v>
      </c>
      <c r="I1342" s="24">
        <v>37043</v>
      </c>
      <c r="J1342" s="25" t="s">
        <v>77</v>
      </c>
      <c r="K1342" t="s">
        <v>26</v>
      </c>
      <c r="L1342" s="25" t="s">
        <v>68</v>
      </c>
      <c r="M1342" s="24">
        <v>37043</v>
      </c>
      <c r="N1342" s="25" t="s">
        <v>77</v>
      </c>
      <c r="O1342" t="s">
        <v>26</v>
      </c>
      <c r="P1342" s="24">
        <v>37043</v>
      </c>
      <c r="Q1342" s="25" t="s">
        <v>77</v>
      </c>
      <c r="R1342" t="s">
        <v>26</v>
      </c>
      <c r="S1342" t="s">
        <v>26</v>
      </c>
      <c r="T1342" t="s">
        <v>26</v>
      </c>
      <c r="U1342" t="s">
        <v>26</v>
      </c>
      <c r="V1342" t="s">
        <v>26</v>
      </c>
      <c r="W1342" s="24">
        <v>37043</v>
      </c>
      <c r="X1342" s="25" t="s">
        <v>77</v>
      </c>
      <c r="Y1342" t="s">
        <v>26</v>
      </c>
      <c r="Z1342" s="24">
        <v>37043</v>
      </c>
      <c r="AA1342" s="25" t="s">
        <v>77</v>
      </c>
      <c r="AB1342" t="s">
        <v>26</v>
      </c>
      <c r="AC1342" s="24">
        <v>42887</v>
      </c>
      <c r="AD1342" s="25" t="s">
        <v>77</v>
      </c>
      <c r="AE1342" t="s">
        <v>26</v>
      </c>
      <c r="AF1342" t="s">
        <v>26</v>
      </c>
      <c r="AG1342" t="s">
        <v>26</v>
      </c>
      <c r="AH1342" t="s">
        <v>26</v>
      </c>
      <c r="AI1342" t="s">
        <v>26</v>
      </c>
      <c r="AJ1342" t="s">
        <v>26</v>
      </c>
      <c r="AK1342" t="s">
        <v>26</v>
      </c>
      <c r="AL1342" t="s">
        <v>26</v>
      </c>
      <c r="AM1342" t="s">
        <v>26</v>
      </c>
      <c r="AN1342" t="s">
        <v>26</v>
      </c>
      <c r="AO1342" s="25" t="s">
        <v>68</v>
      </c>
      <c r="AP1342" s="23" t="s">
        <v>69</v>
      </c>
      <c r="AQ1342" s="23" t="s">
        <v>226</v>
      </c>
      <c r="AR1342" s="23" t="s">
        <v>46</v>
      </c>
      <c r="AS1342" s="25">
        <v>29514</v>
      </c>
      <c r="AT1342" t="s">
        <v>26</v>
      </c>
      <c r="AU1342" t="s">
        <v>23997</v>
      </c>
    </row>
    <row r="1343" spans="1:47" ht="26.25" x14ac:dyDescent="0.4">
      <c r="A1343" s="23" t="s">
        <v>3364</v>
      </c>
      <c r="B1343" t="s">
        <v>26</v>
      </c>
      <c r="C1343" s="23" t="s">
        <v>80</v>
      </c>
      <c r="D1343" s="23" t="s">
        <v>22184</v>
      </c>
      <c r="E1343" s="23" t="s">
        <v>60</v>
      </c>
      <c r="F1343" s="25" t="s">
        <v>3365</v>
      </c>
      <c r="G1343" s="25" t="s">
        <v>3366</v>
      </c>
      <c r="H1343" t="s">
        <v>26</v>
      </c>
      <c r="I1343" s="24">
        <v>35735</v>
      </c>
      <c r="J1343" s="24">
        <v>36831</v>
      </c>
      <c r="K1343" t="s">
        <v>26</v>
      </c>
      <c r="L1343" s="25" t="s">
        <v>68</v>
      </c>
      <c r="M1343" s="24">
        <v>35735</v>
      </c>
      <c r="N1343" s="24">
        <v>36831</v>
      </c>
      <c r="O1343" t="s">
        <v>26</v>
      </c>
      <c r="P1343" s="24">
        <v>35735</v>
      </c>
      <c r="Q1343" s="24">
        <v>36831</v>
      </c>
      <c r="R1343" t="s">
        <v>26</v>
      </c>
      <c r="S1343" t="s">
        <v>26</v>
      </c>
      <c r="T1343" t="s">
        <v>26</v>
      </c>
      <c r="U1343" t="s">
        <v>26</v>
      </c>
      <c r="V1343" t="s">
        <v>26</v>
      </c>
      <c r="W1343" s="24">
        <v>35735</v>
      </c>
      <c r="X1343" s="24">
        <v>37926</v>
      </c>
      <c r="Y1343" t="s">
        <v>26</v>
      </c>
      <c r="Z1343" s="24">
        <v>35735</v>
      </c>
      <c r="AA1343" s="24">
        <v>37926</v>
      </c>
      <c r="AB1343" t="s">
        <v>26</v>
      </c>
      <c r="AC1343" s="24">
        <v>35735</v>
      </c>
      <c r="AD1343" s="24">
        <v>37926</v>
      </c>
      <c r="AE1343" t="s">
        <v>26</v>
      </c>
      <c r="AF1343" t="s">
        <v>26</v>
      </c>
      <c r="AG1343" t="s">
        <v>26</v>
      </c>
      <c r="AH1343" t="s">
        <v>26</v>
      </c>
      <c r="AI1343" t="s">
        <v>26</v>
      </c>
      <c r="AJ1343" t="s">
        <v>26</v>
      </c>
      <c r="AK1343" t="s">
        <v>26</v>
      </c>
      <c r="AL1343" t="s">
        <v>26</v>
      </c>
      <c r="AM1343" t="s">
        <v>26</v>
      </c>
      <c r="AN1343" t="s">
        <v>26</v>
      </c>
      <c r="AO1343" s="25" t="s">
        <v>68</v>
      </c>
      <c r="AP1343" s="23" t="s">
        <v>69</v>
      </c>
      <c r="AQ1343" s="23" t="s">
        <v>30</v>
      </c>
      <c r="AR1343" s="23" t="s">
        <v>70</v>
      </c>
      <c r="AS1343" s="25">
        <v>32791</v>
      </c>
      <c r="AT1343" t="s">
        <v>26</v>
      </c>
      <c r="AU1343" t="s">
        <v>23998</v>
      </c>
    </row>
    <row r="1344" spans="1:47" ht="26.25" x14ac:dyDescent="0.4">
      <c r="A1344" s="23" t="s">
        <v>3367</v>
      </c>
      <c r="B1344" t="s">
        <v>26</v>
      </c>
      <c r="C1344" s="23" t="s">
        <v>351</v>
      </c>
      <c r="D1344" s="23" t="s">
        <v>22242</v>
      </c>
      <c r="E1344" s="23" t="s">
        <v>60</v>
      </c>
      <c r="F1344" s="25" t="s">
        <v>3368</v>
      </c>
      <c r="G1344" s="25" t="s">
        <v>3369</v>
      </c>
      <c r="H1344" t="s">
        <v>26</v>
      </c>
      <c r="I1344" t="s">
        <v>26</v>
      </c>
      <c r="J1344" t="s">
        <v>26</v>
      </c>
      <c r="K1344" t="s">
        <v>26</v>
      </c>
      <c r="L1344" s="25" t="s">
        <v>68</v>
      </c>
      <c r="M1344" t="s">
        <v>26</v>
      </c>
      <c r="N1344" t="s">
        <v>26</v>
      </c>
      <c r="O1344" t="s">
        <v>26</v>
      </c>
      <c r="P1344" t="s">
        <v>26</v>
      </c>
      <c r="Q1344" t="s">
        <v>26</v>
      </c>
      <c r="R1344" t="s">
        <v>26</v>
      </c>
      <c r="S1344" t="s">
        <v>26</v>
      </c>
      <c r="T1344" t="s">
        <v>26</v>
      </c>
      <c r="U1344" t="s">
        <v>26</v>
      </c>
      <c r="V1344" t="s">
        <v>26</v>
      </c>
      <c r="W1344" s="24">
        <v>33695</v>
      </c>
      <c r="X1344" s="25" t="s">
        <v>77</v>
      </c>
      <c r="Y1344" t="s">
        <v>26</v>
      </c>
      <c r="Z1344" s="24">
        <v>33695</v>
      </c>
      <c r="AA1344" s="25" t="s">
        <v>77</v>
      </c>
      <c r="AB1344" t="s">
        <v>26</v>
      </c>
      <c r="AC1344" s="24">
        <v>33695</v>
      </c>
      <c r="AD1344" s="25" t="s">
        <v>77</v>
      </c>
      <c r="AE1344" t="s">
        <v>26</v>
      </c>
      <c r="AF1344" t="s">
        <v>26</v>
      </c>
      <c r="AG1344" t="s">
        <v>26</v>
      </c>
      <c r="AH1344" t="s">
        <v>26</v>
      </c>
      <c r="AI1344" t="s">
        <v>26</v>
      </c>
      <c r="AJ1344" t="s">
        <v>26</v>
      </c>
      <c r="AK1344" t="s">
        <v>26</v>
      </c>
      <c r="AL1344" t="s">
        <v>26</v>
      </c>
      <c r="AM1344" t="s">
        <v>26</v>
      </c>
      <c r="AN1344" t="s">
        <v>26</v>
      </c>
      <c r="AO1344" s="25" t="s">
        <v>68</v>
      </c>
      <c r="AP1344" s="23" t="s">
        <v>69</v>
      </c>
      <c r="AQ1344" s="23" t="s">
        <v>30</v>
      </c>
      <c r="AR1344" s="23" t="s">
        <v>3370</v>
      </c>
      <c r="AS1344" s="25">
        <v>34198</v>
      </c>
      <c r="AT1344" t="s">
        <v>26</v>
      </c>
      <c r="AU1344" t="s">
        <v>23999</v>
      </c>
    </row>
    <row r="1345" spans="1:47" ht="26.25" x14ac:dyDescent="0.4">
      <c r="A1345" s="23" t="s">
        <v>24000</v>
      </c>
      <c r="B1345" t="s">
        <v>26</v>
      </c>
      <c r="C1345" s="23" t="s">
        <v>80</v>
      </c>
      <c r="D1345" s="23" t="s">
        <v>22184</v>
      </c>
      <c r="E1345" s="23" t="s">
        <v>60</v>
      </c>
      <c r="F1345" s="25" t="s">
        <v>24001</v>
      </c>
      <c r="G1345" t="s">
        <v>26</v>
      </c>
      <c r="H1345" t="s">
        <v>26</v>
      </c>
      <c r="I1345" t="s">
        <v>26</v>
      </c>
      <c r="J1345" t="s">
        <v>26</v>
      </c>
      <c r="K1345" t="s">
        <v>26</v>
      </c>
      <c r="L1345" s="25" t="s">
        <v>68</v>
      </c>
      <c r="M1345" t="s">
        <v>26</v>
      </c>
      <c r="N1345" t="s">
        <v>26</v>
      </c>
      <c r="O1345" t="s">
        <v>26</v>
      </c>
      <c r="P1345" t="s">
        <v>26</v>
      </c>
      <c r="Q1345" t="s">
        <v>26</v>
      </c>
      <c r="R1345" t="s">
        <v>26</v>
      </c>
      <c r="S1345" t="s">
        <v>26</v>
      </c>
      <c r="T1345" t="s">
        <v>26</v>
      </c>
      <c r="U1345" t="s">
        <v>26</v>
      </c>
      <c r="V1345" t="s">
        <v>26</v>
      </c>
      <c r="W1345" s="24">
        <v>40940</v>
      </c>
      <c r="X1345" s="25" t="s">
        <v>77</v>
      </c>
      <c r="Y1345" t="s">
        <v>26</v>
      </c>
      <c r="Z1345" s="24">
        <v>40940</v>
      </c>
      <c r="AA1345" s="25" t="s">
        <v>77</v>
      </c>
      <c r="AB1345" t="s">
        <v>26</v>
      </c>
      <c r="AC1345" s="24">
        <v>40940</v>
      </c>
      <c r="AD1345" s="25" t="s">
        <v>77</v>
      </c>
      <c r="AE1345" t="s">
        <v>26</v>
      </c>
      <c r="AF1345" t="s">
        <v>26</v>
      </c>
      <c r="AG1345" t="s">
        <v>26</v>
      </c>
      <c r="AH1345" t="s">
        <v>26</v>
      </c>
      <c r="AI1345" t="s">
        <v>26</v>
      </c>
      <c r="AJ1345" t="s">
        <v>26</v>
      </c>
      <c r="AK1345" t="s">
        <v>26</v>
      </c>
      <c r="AL1345" t="s">
        <v>26</v>
      </c>
      <c r="AM1345" t="s">
        <v>26</v>
      </c>
      <c r="AN1345" t="s">
        <v>26</v>
      </c>
      <c r="AO1345" s="25" t="s">
        <v>68</v>
      </c>
      <c r="AP1345" s="23" t="s">
        <v>69</v>
      </c>
      <c r="AQ1345" s="23" t="s">
        <v>30</v>
      </c>
      <c r="AR1345" s="23" t="s">
        <v>337</v>
      </c>
      <c r="AS1345" s="25">
        <v>53173</v>
      </c>
      <c r="AT1345" t="s">
        <v>26</v>
      </c>
      <c r="AU1345" t="s">
        <v>24002</v>
      </c>
    </row>
    <row r="1346" spans="1:47" ht="26.25" x14ac:dyDescent="0.4">
      <c r="A1346" s="23" t="s">
        <v>3177</v>
      </c>
      <c r="B1346" t="s">
        <v>26</v>
      </c>
      <c r="C1346" s="23" t="s">
        <v>3177</v>
      </c>
      <c r="D1346" s="23" t="s">
        <v>24003</v>
      </c>
      <c r="E1346" s="23" t="s">
        <v>42</v>
      </c>
      <c r="F1346" s="25" t="s">
        <v>3371</v>
      </c>
      <c r="G1346" s="25" t="s">
        <v>3372</v>
      </c>
      <c r="H1346" t="s">
        <v>26</v>
      </c>
      <c r="I1346" s="24">
        <v>38808</v>
      </c>
      <c r="J1346" s="24">
        <v>40087</v>
      </c>
      <c r="K1346" t="s">
        <v>26</v>
      </c>
      <c r="L1346" s="25" t="s">
        <v>68</v>
      </c>
      <c r="M1346" s="24">
        <v>38808</v>
      </c>
      <c r="N1346" s="24">
        <v>40087</v>
      </c>
      <c r="O1346" t="s">
        <v>26</v>
      </c>
      <c r="P1346" s="24">
        <v>38808</v>
      </c>
      <c r="Q1346" s="24">
        <v>40087</v>
      </c>
      <c r="R1346" t="s">
        <v>26</v>
      </c>
      <c r="S1346" t="s">
        <v>26</v>
      </c>
      <c r="T1346" t="s">
        <v>26</v>
      </c>
      <c r="U1346" t="s">
        <v>26</v>
      </c>
      <c r="V1346" t="s">
        <v>26</v>
      </c>
      <c r="W1346" s="24">
        <v>38808</v>
      </c>
      <c r="X1346" s="24">
        <v>40087</v>
      </c>
      <c r="Y1346" t="s">
        <v>26</v>
      </c>
      <c r="Z1346" s="24">
        <v>38808</v>
      </c>
      <c r="AA1346" s="24">
        <v>40087</v>
      </c>
      <c r="AB1346" t="s">
        <v>26</v>
      </c>
      <c r="AC1346" t="s">
        <v>26</v>
      </c>
      <c r="AD1346" t="s">
        <v>26</v>
      </c>
      <c r="AE1346" t="s">
        <v>26</v>
      </c>
      <c r="AF1346" t="s">
        <v>26</v>
      </c>
      <c r="AG1346" t="s">
        <v>26</v>
      </c>
      <c r="AH1346" t="s">
        <v>26</v>
      </c>
      <c r="AI1346" t="s">
        <v>26</v>
      </c>
      <c r="AJ1346" t="s">
        <v>26</v>
      </c>
      <c r="AK1346" t="s">
        <v>26</v>
      </c>
      <c r="AL1346" t="s">
        <v>26</v>
      </c>
      <c r="AM1346" t="s">
        <v>26</v>
      </c>
      <c r="AN1346" t="s">
        <v>26</v>
      </c>
      <c r="AO1346" s="25" t="s">
        <v>68</v>
      </c>
      <c r="AP1346" s="23" t="s">
        <v>69</v>
      </c>
      <c r="AQ1346" s="23" t="s">
        <v>30</v>
      </c>
      <c r="AR1346" s="23" t="s">
        <v>46</v>
      </c>
      <c r="AS1346" s="25">
        <v>28902</v>
      </c>
      <c r="AT1346" t="s">
        <v>26</v>
      </c>
      <c r="AU1346" t="s">
        <v>24004</v>
      </c>
    </row>
    <row r="1347" spans="1:47" ht="26.25" x14ac:dyDescent="0.4">
      <c r="A1347" s="23" t="s">
        <v>3373</v>
      </c>
      <c r="B1347" t="s">
        <v>26</v>
      </c>
      <c r="C1347" s="23" t="s">
        <v>3150</v>
      </c>
      <c r="D1347" s="23" t="s">
        <v>22453</v>
      </c>
      <c r="E1347" s="23" t="s">
        <v>711</v>
      </c>
      <c r="F1347" s="25" t="s">
        <v>3374</v>
      </c>
      <c r="G1347" s="25" t="s">
        <v>3375</v>
      </c>
      <c r="H1347" t="s">
        <v>26</v>
      </c>
      <c r="I1347" t="s">
        <v>26</v>
      </c>
      <c r="J1347" t="s">
        <v>26</v>
      </c>
      <c r="K1347" t="s">
        <v>26</v>
      </c>
      <c r="L1347" s="25" t="s">
        <v>68</v>
      </c>
      <c r="M1347" t="s">
        <v>26</v>
      </c>
      <c r="N1347" t="s">
        <v>26</v>
      </c>
      <c r="O1347" t="s">
        <v>26</v>
      </c>
      <c r="P1347" t="s">
        <v>26</v>
      </c>
      <c r="Q1347" t="s">
        <v>26</v>
      </c>
      <c r="R1347" t="s">
        <v>26</v>
      </c>
      <c r="S1347" t="s">
        <v>26</v>
      </c>
      <c r="T1347" t="s">
        <v>26</v>
      </c>
      <c r="U1347" t="s">
        <v>26</v>
      </c>
      <c r="V1347" t="s">
        <v>26</v>
      </c>
      <c r="W1347" s="24">
        <v>42736</v>
      </c>
      <c r="X1347" s="25" t="s">
        <v>77</v>
      </c>
      <c r="Y1347" t="s">
        <v>26</v>
      </c>
      <c r="Z1347" s="24">
        <v>42736</v>
      </c>
      <c r="AA1347" s="25" t="s">
        <v>77</v>
      </c>
      <c r="AB1347" t="s">
        <v>26</v>
      </c>
      <c r="AC1347" s="24">
        <v>42736</v>
      </c>
      <c r="AD1347" s="25" t="s">
        <v>77</v>
      </c>
      <c r="AE1347" t="s">
        <v>26</v>
      </c>
      <c r="AF1347" t="s">
        <v>26</v>
      </c>
      <c r="AG1347" t="s">
        <v>26</v>
      </c>
      <c r="AH1347" t="s">
        <v>26</v>
      </c>
      <c r="AI1347" t="s">
        <v>26</v>
      </c>
      <c r="AJ1347" t="s">
        <v>26</v>
      </c>
      <c r="AK1347" t="s">
        <v>26</v>
      </c>
      <c r="AL1347" t="s">
        <v>26</v>
      </c>
      <c r="AM1347" t="s">
        <v>26</v>
      </c>
      <c r="AN1347" t="s">
        <v>26</v>
      </c>
      <c r="AO1347" s="25" t="s">
        <v>68</v>
      </c>
      <c r="AP1347" s="23" t="s">
        <v>69</v>
      </c>
      <c r="AQ1347" s="23" t="s">
        <v>30</v>
      </c>
      <c r="AR1347" s="23" t="s">
        <v>78</v>
      </c>
      <c r="AS1347" s="25">
        <v>2047595</v>
      </c>
      <c r="AT1347" t="s">
        <v>26</v>
      </c>
      <c r="AU1347" t="s">
        <v>24005</v>
      </c>
    </row>
    <row r="1348" spans="1:47" ht="26.25" x14ac:dyDescent="0.4">
      <c r="A1348" s="23" t="s">
        <v>3376</v>
      </c>
      <c r="B1348" t="s">
        <v>26</v>
      </c>
      <c r="C1348" s="23" t="s">
        <v>181</v>
      </c>
      <c r="D1348" s="23" t="s">
        <v>22174</v>
      </c>
      <c r="E1348" s="23" t="s">
        <v>60</v>
      </c>
      <c r="F1348" s="25" t="s">
        <v>3377</v>
      </c>
      <c r="G1348" s="25" t="s">
        <v>3378</v>
      </c>
      <c r="H1348" t="s">
        <v>26</v>
      </c>
      <c r="I1348" s="24">
        <v>35796</v>
      </c>
      <c r="J1348" s="24">
        <v>38961</v>
      </c>
      <c r="K1348" t="s">
        <v>26</v>
      </c>
      <c r="L1348" s="25" t="s">
        <v>68</v>
      </c>
      <c r="M1348" s="24">
        <v>35796</v>
      </c>
      <c r="N1348" s="24">
        <v>38961</v>
      </c>
      <c r="O1348" t="s">
        <v>26</v>
      </c>
      <c r="P1348" s="24">
        <v>35796</v>
      </c>
      <c r="Q1348" s="24">
        <v>38961</v>
      </c>
      <c r="R1348" t="s">
        <v>26</v>
      </c>
      <c r="S1348" t="s">
        <v>26</v>
      </c>
      <c r="T1348" t="s">
        <v>26</v>
      </c>
      <c r="U1348" t="s">
        <v>26</v>
      </c>
      <c r="V1348" t="s">
        <v>26</v>
      </c>
      <c r="W1348" s="24">
        <v>35796</v>
      </c>
      <c r="X1348" s="24">
        <v>38961</v>
      </c>
      <c r="Y1348" t="s">
        <v>26</v>
      </c>
      <c r="Z1348" s="24">
        <v>35796</v>
      </c>
      <c r="AA1348" s="24">
        <v>38961</v>
      </c>
      <c r="AB1348" t="s">
        <v>26</v>
      </c>
      <c r="AC1348" s="24">
        <v>38261</v>
      </c>
      <c r="AD1348" s="24">
        <v>38961</v>
      </c>
      <c r="AE1348" t="s">
        <v>26</v>
      </c>
      <c r="AF1348" t="s">
        <v>26</v>
      </c>
      <c r="AG1348" t="s">
        <v>26</v>
      </c>
      <c r="AH1348" t="s">
        <v>26</v>
      </c>
      <c r="AI1348" t="s">
        <v>26</v>
      </c>
      <c r="AJ1348" t="s">
        <v>26</v>
      </c>
      <c r="AK1348" t="s">
        <v>26</v>
      </c>
      <c r="AL1348" t="s">
        <v>26</v>
      </c>
      <c r="AM1348" t="s">
        <v>26</v>
      </c>
      <c r="AN1348" t="s">
        <v>26</v>
      </c>
      <c r="AO1348" s="25" t="s">
        <v>68</v>
      </c>
      <c r="AP1348" s="23" t="s">
        <v>69</v>
      </c>
      <c r="AQ1348" s="23" t="s">
        <v>30</v>
      </c>
      <c r="AR1348" s="23" t="s">
        <v>3379</v>
      </c>
      <c r="AS1348" s="25">
        <v>32843</v>
      </c>
      <c r="AT1348" t="s">
        <v>26</v>
      </c>
      <c r="AU1348" t="s">
        <v>24006</v>
      </c>
    </row>
    <row r="1349" spans="1:47" ht="26.25" x14ac:dyDescent="0.4">
      <c r="A1349" s="23" t="s">
        <v>3380</v>
      </c>
      <c r="B1349" t="s">
        <v>26</v>
      </c>
      <c r="C1349" s="23" t="s">
        <v>172</v>
      </c>
      <c r="D1349" s="23" t="s">
        <v>22242</v>
      </c>
      <c r="E1349" s="23" t="s">
        <v>60</v>
      </c>
      <c r="F1349" s="25" t="s">
        <v>3381</v>
      </c>
      <c r="G1349" s="25" t="s">
        <v>3382</v>
      </c>
      <c r="H1349" t="s">
        <v>26</v>
      </c>
      <c r="I1349" t="s">
        <v>26</v>
      </c>
      <c r="J1349" t="s">
        <v>26</v>
      </c>
      <c r="K1349" t="s">
        <v>26</v>
      </c>
      <c r="L1349" s="25" t="s">
        <v>68</v>
      </c>
      <c r="M1349" t="s">
        <v>26</v>
      </c>
      <c r="N1349" t="s">
        <v>26</v>
      </c>
      <c r="O1349" t="s">
        <v>26</v>
      </c>
      <c r="P1349" t="s">
        <v>26</v>
      </c>
      <c r="Q1349" t="s">
        <v>26</v>
      </c>
      <c r="R1349" t="s">
        <v>26</v>
      </c>
      <c r="S1349" t="s">
        <v>26</v>
      </c>
      <c r="T1349" t="s">
        <v>26</v>
      </c>
      <c r="U1349" t="s">
        <v>26</v>
      </c>
      <c r="V1349" t="s">
        <v>26</v>
      </c>
      <c r="W1349" s="24">
        <v>38047</v>
      </c>
      <c r="X1349" s="25" t="s">
        <v>77</v>
      </c>
      <c r="Y1349" t="s">
        <v>26</v>
      </c>
      <c r="Z1349" s="24">
        <v>38047</v>
      </c>
      <c r="AA1349" s="25" t="s">
        <v>77</v>
      </c>
      <c r="AB1349" t="s">
        <v>26</v>
      </c>
      <c r="AC1349" s="24">
        <v>38047</v>
      </c>
      <c r="AD1349" s="25" t="s">
        <v>77</v>
      </c>
      <c r="AE1349" t="s">
        <v>26</v>
      </c>
      <c r="AF1349" t="s">
        <v>26</v>
      </c>
      <c r="AG1349" t="s">
        <v>26</v>
      </c>
      <c r="AH1349" t="s">
        <v>26</v>
      </c>
      <c r="AI1349" t="s">
        <v>26</v>
      </c>
      <c r="AJ1349" t="s">
        <v>26</v>
      </c>
      <c r="AK1349" t="s">
        <v>26</v>
      </c>
      <c r="AL1349" t="s">
        <v>26</v>
      </c>
      <c r="AM1349" t="s">
        <v>26</v>
      </c>
      <c r="AN1349" t="s">
        <v>26</v>
      </c>
      <c r="AO1349" s="25" t="s">
        <v>68</v>
      </c>
      <c r="AP1349" s="23" t="s">
        <v>69</v>
      </c>
      <c r="AQ1349" s="23" t="s">
        <v>30</v>
      </c>
      <c r="AR1349" s="23" t="s">
        <v>3383</v>
      </c>
      <c r="AS1349" s="25">
        <v>31015</v>
      </c>
      <c r="AT1349" t="s">
        <v>26</v>
      </c>
      <c r="AU1349" t="s">
        <v>24007</v>
      </c>
    </row>
    <row r="1350" spans="1:47" ht="26.25" x14ac:dyDescent="0.4">
      <c r="A1350" s="23" t="s">
        <v>3384</v>
      </c>
      <c r="B1350" t="s">
        <v>26</v>
      </c>
      <c r="C1350" s="23" t="s">
        <v>1958</v>
      </c>
      <c r="D1350" s="23" t="s">
        <v>24008</v>
      </c>
      <c r="E1350" s="23" t="s">
        <v>60</v>
      </c>
      <c r="F1350" s="25" t="s">
        <v>3385</v>
      </c>
      <c r="G1350" s="25" t="s">
        <v>3386</v>
      </c>
      <c r="H1350" t="s">
        <v>26</v>
      </c>
      <c r="I1350" t="s">
        <v>26</v>
      </c>
      <c r="J1350" t="s">
        <v>26</v>
      </c>
      <c r="K1350" t="s">
        <v>26</v>
      </c>
      <c r="L1350" s="25" t="s">
        <v>68</v>
      </c>
      <c r="M1350" t="s">
        <v>26</v>
      </c>
      <c r="N1350" t="s">
        <v>26</v>
      </c>
      <c r="O1350" t="s">
        <v>26</v>
      </c>
      <c r="P1350" t="s">
        <v>26</v>
      </c>
      <c r="Q1350" t="s">
        <v>26</v>
      </c>
      <c r="R1350" t="s">
        <v>26</v>
      </c>
      <c r="S1350" t="s">
        <v>26</v>
      </c>
      <c r="T1350" t="s">
        <v>26</v>
      </c>
      <c r="U1350" t="s">
        <v>26</v>
      </c>
      <c r="V1350" t="s">
        <v>26</v>
      </c>
      <c r="W1350" s="24">
        <v>36160</v>
      </c>
      <c r="X1350" s="25" t="s">
        <v>77</v>
      </c>
      <c r="Y1350" t="s">
        <v>26</v>
      </c>
      <c r="Z1350" s="24">
        <v>36160</v>
      </c>
      <c r="AA1350" s="25" t="s">
        <v>77</v>
      </c>
      <c r="AB1350" t="s">
        <v>26</v>
      </c>
      <c r="AC1350" s="24">
        <v>36160</v>
      </c>
      <c r="AD1350" s="25" t="s">
        <v>77</v>
      </c>
      <c r="AE1350" t="s">
        <v>26</v>
      </c>
      <c r="AF1350" t="s">
        <v>26</v>
      </c>
      <c r="AG1350" t="s">
        <v>26</v>
      </c>
      <c r="AH1350" t="s">
        <v>26</v>
      </c>
      <c r="AI1350" t="s">
        <v>26</v>
      </c>
      <c r="AJ1350" t="s">
        <v>26</v>
      </c>
      <c r="AK1350" t="s">
        <v>26</v>
      </c>
      <c r="AL1350" t="s">
        <v>26</v>
      </c>
      <c r="AM1350" t="s">
        <v>26</v>
      </c>
      <c r="AN1350" t="s">
        <v>26</v>
      </c>
      <c r="AO1350" s="25" t="s">
        <v>68</v>
      </c>
      <c r="AP1350" s="23" t="s">
        <v>69</v>
      </c>
      <c r="AQ1350" s="23" t="s">
        <v>30</v>
      </c>
      <c r="AR1350" s="23" t="s">
        <v>46</v>
      </c>
      <c r="AS1350" s="25">
        <v>38985</v>
      </c>
      <c r="AT1350" t="s">
        <v>26</v>
      </c>
      <c r="AU1350" t="s">
        <v>24009</v>
      </c>
    </row>
    <row r="1351" spans="1:47" ht="26.25" x14ac:dyDescent="0.4">
      <c r="A1351" s="23" t="s">
        <v>3387</v>
      </c>
      <c r="B1351" t="s">
        <v>26</v>
      </c>
      <c r="C1351" s="23" t="s">
        <v>181</v>
      </c>
      <c r="D1351" s="23" t="s">
        <v>24010</v>
      </c>
      <c r="E1351" s="23" t="s">
        <v>60</v>
      </c>
      <c r="F1351" s="25" t="s">
        <v>3388</v>
      </c>
      <c r="G1351" s="25" t="s">
        <v>3389</v>
      </c>
      <c r="H1351" t="s">
        <v>26</v>
      </c>
      <c r="I1351" t="s">
        <v>26</v>
      </c>
      <c r="J1351" t="s">
        <v>26</v>
      </c>
      <c r="K1351" t="s">
        <v>26</v>
      </c>
      <c r="L1351" s="25" t="s">
        <v>68</v>
      </c>
      <c r="M1351" t="s">
        <v>26</v>
      </c>
      <c r="N1351" t="s">
        <v>26</v>
      </c>
      <c r="O1351" t="s">
        <v>26</v>
      </c>
      <c r="P1351" t="s">
        <v>26</v>
      </c>
      <c r="Q1351" t="s">
        <v>26</v>
      </c>
      <c r="R1351" t="s">
        <v>26</v>
      </c>
      <c r="S1351" t="s">
        <v>26</v>
      </c>
      <c r="T1351" t="s">
        <v>26</v>
      </c>
      <c r="U1351" t="s">
        <v>26</v>
      </c>
      <c r="V1351" t="s">
        <v>26</v>
      </c>
      <c r="W1351" s="24">
        <v>32509</v>
      </c>
      <c r="X1351" s="25" t="s">
        <v>77</v>
      </c>
      <c r="Y1351" t="s">
        <v>26</v>
      </c>
      <c r="Z1351" s="24">
        <v>32509</v>
      </c>
      <c r="AA1351" s="25" t="s">
        <v>77</v>
      </c>
      <c r="AB1351" t="s">
        <v>26</v>
      </c>
      <c r="AC1351" s="24">
        <v>32509</v>
      </c>
      <c r="AD1351" s="25" t="s">
        <v>77</v>
      </c>
      <c r="AE1351" t="s">
        <v>26</v>
      </c>
      <c r="AF1351" t="s">
        <v>26</v>
      </c>
      <c r="AG1351" t="s">
        <v>26</v>
      </c>
      <c r="AH1351" t="s">
        <v>26</v>
      </c>
      <c r="AI1351" t="s">
        <v>26</v>
      </c>
      <c r="AJ1351" t="s">
        <v>26</v>
      </c>
      <c r="AK1351" t="s">
        <v>26</v>
      </c>
      <c r="AL1351" t="s">
        <v>26</v>
      </c>
      <c r="AM1351" t="s">
        <v>26</v>
      </c>
      <c r="AN1351" t="s">
        <v>26</v>
      </c>
      <c r="AO1351" s="25" t="s">
        <v>68</v>
      </c>
      <c r="AP1351" s="23" t="s">
        <v>69</v>
      </c>
      <c r="AQ1351" s="23" t="s">
        <v>30</v>
      </c>
      <c r="AR1351" s="23" t="s">
        <v>70</v>
      </c>
      <c r="AS1351" s="25">
        <v>31987</v>
      </c>
      <c r="AT1351" t="s">
        <v>26</v>
      </c>
      <c r="AU1351" t="s">
        <v>24011</v>
      </c>
    </row>
    <row r="1352" spans="1:47" ht="26.25" x14ac:dyDescent="0.4">
      <c r="A1352" s="23" t="s">
        <v>3390</v>
      </c>
      <c r="B1352" t="s">
        <v>26</v>
      </c>
      <c r="C1352" s="23" t="s">
        <v>172</v>
      </c>
      <c r="D1352" s="23" t="s">
        <v>22242</v>
      </c>
      <c r="E1352" s="23" t="s">
        <v>60</v>
      </c>
      <c r="F1352" s="25" t="s">
        <v>3391</v>
      </c>
      <c r="G1352" s="25" t="s">
        <v>3392</v>
      </c>
      <c r="H1352" t="s">
        <v>26</v>
      </c>
      <c r="I1352" t="s">
        <v>26</v>
      </c>
      <c r="J1352" t="s">
        <v>26</v>
      </c>
      <c r="K1352" t="s">
        <v>26</v>
      </c>
      <c r="L1352" s="25" t="s">
        <v>68</v>
      </c>
      <c r="M1352" t="s">
        <v>26</v>
      </c>
      <c r="N1352" t="s">
        <v>26</v>
      </c>
      <c r="O1352" t="s">
        <v>26</v>
      </c>
      <c r="P1352" t="s">
        <v>26</v>
      </c>
      <c r="Q1352" t="s">
        <v>26</v>
      </c>
      <c r="R1352" t="s">
        <v>26</v>
      </c>
      <c r="S1352" t="s">
        <v>26</v>
      </c>
      <c r="T1352" t="s">
        <v>26</v>
      </c>
      <c r="U1352" t="s">
        <v>26</v>
      </c>
      <c r="V1352" t="s">
        <v>26</v>
      </c>
      <c r="W1352" s="24">
        <v>38261</v>
      </c>
      <c r="X1352" s="25" t="s">
        <v>77</v>
      </c>
      <c r="Y1352" t="s">
        <v>26</v>
      </c>
      <c r="Z1352" s="24">
        <v>38261</v>
      </c>
      <c r="AA1352" s="25" t="s">
        <v>77</v>
      </c>
      <c r="AB1352" t="s">
        <v>26</v>
      </c>
      <c r="AC1352" s="24">
        <v>38261</v>
      </c>
      <c r="AD1352" s="25" t="s">
        <v>77</v>
      </c>
      <c r="AE1352" t="s">
        <v>26</v>
      </c>
      <c r="AF1352" t="s">
        <v>26</v>
      </c>
      <c r="AG1352" t="s">
        <v>26</v>
      </c>
      <c r="AH1352" t="s">
        <v>26</v>
      </c>
      <c r="AI1352" t="s">
        <v>26</v>
      </c>
      <c r="AJ1352" t="s">
        <v>26</v>
      </c>
      <c r="AK1352" t="s">
        <v>26</v>
      </c>
      <c r="AL1352" t="s">
        <v>26</v>
      </c>
      <c r="AM1352" t="s">
        <v>26</v>
      </c>
      <c r="AN1352" t="s">
        <v>26</v>
      </c>
      <c r="AO1352" s="25" t="s">
        <v>68</v>
      </c>
      <c r="AP1352" s="23" t="s">
        <v>69</v>
      </c>
      <c r="AQ1352" s="23" t="s">
        <v>30</v>
      </c>
      <c r="AR1352" s="23" t="s">
        <v>147</v>
      </c>
      <c r="AS1352" s="25">
        <v>46663</v>
      </c>
      <c r="AT1352" t="s">
        <v>26</v>
      </c>
      <c r="AU1352" t="s">
        <v>24012</v>
      </c>
    </row>
    <row r="1353" spans="1:47" ht="26.25" x14ac:dyDescent="0.4">
      <c r="A1353" s="23" t="s">
        <v>24013</v>
      </c>
      <c r="B1353" t="s">
        <v>26</v>
      </c>
      <c r="C1353" s="23" t="s">
        <v>24014</v>
      </c>
      <c r="D1353" s="23" t="s">
        <v>24015</v>
      </c>
      <c r="E1353" s="23" t="s">
        <v>711</v>
      </c>
      <c r="F1353" s="25" t="s">
        <v>24016</v>
      </c>
      <c r="G1353" t="s">
        <v>26</v>
      </c>
      <c r="H1353" t="s">
        <v>26</v>
      </c>
      <c r="I1353" s="24">
        <v>44197</v>
      </c>
      <c r="J1353" s="25" t="s">
        <v>77</v>
      </c>
      <c r="K1353" t="s">
        <v>26</v>
      </c>
      <c r="L1353" s="25" t="s">
        <v>68</v>
      </c>
      <c r="M1353" s="24">
        <v>44197</v>
      </c>
      <c r="N1353" s="25" t="s">
        <v>77</v>
      </c>
      <c r="O1353" t="s">
        <v>26</v>
      </c>
      <c r="P1353" s="24">
        <v>44197</v>
      </c>
      <c r="Q1353" s="25" t="s">
        <v>77</v>
      </c>
      <c r="R1353" t="s">
        <v>26</v>
      </c>
      <c r="S1353" t="s">
        <v>26</v>
      </c>
      <c r="T1353" t="s">
        <v>26</v>
      </c>
      <c r="U1353" t="s">
        <v>26</v>
      </c>
      <c r="V1353" t="s">
        <v>26</v>
      </c>
      <c r="W1353" s="24">
        <v>44197</v>
      </c>
      <c r="X1353" s="25" t="s">
        <v>77</v>
      </c>
      <c r="Y1353" t="s">
        <v>26</v>
      </c>
      <c r="Z1353" s="24">
        <v>44197</v>
      </c>
      <c r="AA1353" s="25" t="s">
        <v>77</v>
      </c>
      <c r="AB1353" t="s">
        <v>26</v>
      </c>
      <c r="AC1353" s="24">
        <v>44197</v>
      </c>
      <c r="AD1353" s="25" t="s">
        <v>77</v>
      </c>
      <c r="AE1353" t="s">
        <v>26</v>
      </c>
      <c r="AF1353" t="s">
        <v>26</v>
      </c>
      <c r="AG1353" t="s">
        <v>26</v>
      </c>
      <c r="AH1353" t="s">
        <v>26</v>
      </c>
      <c r="AI1353" t="s">
        <v>26</v>
      </c>
      <c r="AJ1353" t="s">
        <v>26</v>
      </c>
      <c r="AK1353" t="s">
        <v>26</v>
      </c>
      <c r="AL1353" t="s">
        <v>26</v>
      </c>
      <c r="AM1353" t="s">
        <v>26</v>
      </c>
      <c r="AN1353" t="s">
        <v>26</v>
      </c>
      <c r="AO1353" s="25" t="s">
        <v>28</v>
      </c>
      <c r="AP1353" s="23" t="s">
        <v>69</v>
      </c>
      <c r="AQ1353" s="23" t="s">
        <v>30</v>
      </c>
      <c r="AR1353" s="23" t="s">
        <v>147</v>
      </c>
      <c r="AS1353" s="25">
        <v>6485326</v>
      </c>
      <c r="AT1353" t="s">
        <v>26</v>
      </c>
      <c r="AU1353" t="s">
        <v>24017</v>
      </c>
    </row>
    <row r="1354" spans="1:47" ht="26.25" x14ac:dyDescent="0.4">
      <c r="A1354" s="23" t="s">
        <v>3393</v>
      </c>
      <c r="B1354" t="s">
        <v>26</v>
      </c>
      <c r="C1354" s="23" t="s">
        <v>3393</v>
      </c>
      <c r="D1354" s="23" t="s">
        <v>22539</v>
      </c>
      <c r="E1354" s="23" t="s">
        <v>335</v>
      </c>
      <c r="F1354" s="25" t="s">
        <v>3394</v>
      </c>
      <c r="G1354" s="25" t="s">
        <v>3395</v>
      </c>
      <c r="H1354" t="s">
        <v>26</v>
      </c>
      <c r="I1354" t="s">
        <v>26</v>
      </c>
      <c r="J1354" t="s">
        <v>26</v>
      </c>
      <c r="K1354" t="s">
        <v>26</v>
      </c>
      <c r="L1354" s="25" t="s">
        <v>68</v>
      </c>
      <c r="M1354" t="s">
        <v>26</v>
      </c>
      <c r="N1354" t="s">
        <v>26</v>
      </c>
      <c r="O1354" t="s">
        <v>26</v>
      </c>
      <c r="P1354" t="s">
        <v>26</v>
      </c>
      <c r="Q1354" t="s">
        <v>26</v>
      </c>
      <c r="R1354" t="s">
        <v>26</v>
      </c>
      <c r="S1354" t="s">
        <v>26</v>
      </c>
      <c r="T1354" t="s">
        <v>26</v>
      </c>
      <c r="U1354" t="s">
        <v>26</v>
      </c>
      <c r="V1354" t="s">
        <v>26</v>
      </c>
      <c r="W1354" s="24">
        <v>33604</v>
      </c>
      <c r="X1354" s="25" t="s">
        <v>77</v>
      </c>
      <c r="Y1354" s="25" t="s">
        <v>1328</v>
      </c>
      <c r="Z1354" s="24">
        <v>33604</v>
      </c>
      <c r="AA1354" s="25" t="s">
        <v>77</v>
      </c>
      <c r="AB1354" s="25" t="s">
        <v>1328</v>
      </c>
      <c r="AC1354" s="24">
        <v>38961</v>
      </c>
      <c r="AD1354" s="25" t="s">
        <v>77</v>
      </c>
      <c r="AE1354" s="25" t="s">
        <v>23982</v>
      </c>
      <c r="AF1354" t="s">
        <v>26</v>
      </c>
      <c r="AG1354" t="s">
        <v>26</v>
      </c>
      <c r="AH1354" t="s">
        <v>26</v>
      </c>
      <c r="AI1354" t="s">
        <v>26</v>
      </c>
      <c r="AJ1354" t="s">
        <v>26</v>
      </c>
      <c r="AK1354" t="s">
        <v>26</v>
      </c>
      <c r="AL1354" t="s">
        <v>26</v>
      </c>
      <c r="AM1354" t="s">
        <v>26</v>
      </c>
      <c r="AN1354" t="s">
        <v>26</v>
      </c>
      <c r="AO1354" s="25" t="s">
        <v>68</v>
      </c>
      <c r="AP1354" s="23" t="s">
        <v>69</v>
      </c>
      <c r="AQ1354" s="23" t="s">
        <v>30</v>
      </c>
      <c r="AR1354" s="23" t="s">
        <v>569</v>
      </c>
      <c r="AS1354" s="25">
        <v>43187</v>
      </c>
      <c r="AT1354" t="s">
        <v>26</v>
      </c>
      <c r="AU1354" t="s">
        <v>24018</v>
      </c>
    </row>
    <row r="1355" spans="1:47" ht="26.25" x14ac:dyDescent="0.4">
      <c r="A1355" s="23" t="s">
        <v>3396</v>
      </c>
      <c r="B1355" t="s">
        <v>26</v>
      </c>
      <c r="C1355" s="23" t="s">
        <v>3397</v>
      </c>
      <c r="D1355" s="23" t="s">
        <v>24019</v>
      </c>
      <c r="E1355" s="23" t="s">
        <v>1657</v>
      </c>
      <c r="F1355" s="25" t="s">
        <v>3398</v>
      </c>
      <c r="G1355" t="s">
        <v>26</v>
      </c>
      <c r="H1355" t="s">
        <v>26</v>
      </c>
      <c r="I1355" t="s">
        <v>26</v>
      </c>
      <c r="J1355" t="s">
        <v>26</v>
      </c>
      <c r="K1355" t="s">
        <v>26</v>
      </c>
      <c r="L1355" s="25" t="s">
        <v>68</v>
      </c>
      <c r="M1355" t="s">
        <v>26</v>
      </c>
      <c r="N1355" t="s">
        <v>26</v>
      </c>
      <c r="O1355" t="s">
        <v>26</v>
      </c>
      <c r="P1355" t="s">
        <v>26</v>
      </c>
      <c r="Q1355" t="s">
        <v>26</v>
      </c>
      <c r="R1355" t="s">
        <v>26</v>
      </c>
      <c r="S1355" t="s">
        <v>26</v>
      </c>
      <c r="T1355" t="s">
        <v>26</v>
      </c>
      <c r="U1355" t="s">
        <v>26</v>
      </c>
      <c r="V1355" t="s">
        <v>26</v>
      </c>
      <c r="W1355" s="24">
        <v>42795</v>
      </c>
      <c r="X1355" s="25" t="s">
        <v>77</v>
      </c>
      <c r="Y1355" t="s">
        <v>26</v>
      </c>
      <c r="Z1355" s="24">
        <v>42795</v>
      </c>
      <c r="AA1355" s="25" t="s">
        <v>77</v>
      </c>
      <c r="AB1355" t="s">
        <v>26</v>
      </c>
      <c r="AC1355" s="24">
        <v>42795</v>
      </c>
      <c r="AD1355" s="25" t="s">
        <v>77</v>
      </c>
      <c r="AE1355" t="s">
        <v>26</v>
      </c>
      <c r="AF1355" t="s">
        <v>26</v>
      </c>
      <c r="AG1355" t="s">
        <v>26</v>
      </c>
      <c r="AH1355" t="s">
        <v>26</v>
      </c>
      <c r="AI1355" t="s">
        <v>26</v>
      </c>
      <c r="AJ1355" t="s">
        <v>26</v>
      </c>
      <c r="AK1355" t="s">
        <v>26</v>
      </c>
      <c r="AL1355" t="s">
        <v>26</v>
      </c>
      <c r="AM1355" t="s">
        <v>26</v>
      </c>
      <c r="AN1355" t="s">
        <v>26</v>
      </c>
      <c r="AO1355" s="25" t="s">
        <v>68</v>
      </c>
      <c r="AP1355" s="23" t="s">
        <v>69</v>
      </c>
      <c r="AQ1355" s="23" t="s">
        <v>30</v>
      </c>
      <c r="AR1355" s="23" t="s">
        <v>3399</v>
      </c>
      <c r="AS1355" s="25">
        <v>2047895</v>
      </c>
      <c r="AT1355" t="s">
        <v>26</v>
      </c>
      <c r="AU1355" t="s">
        <v>24020</v>
      </c>
    </row>
    <row r="1356" spans="1:47" ht="26.25" x14ac:dyDescent="0.4">
      <c r="A1356" s="23" t="s">
        <v>3400</v>
      </c>
      <c r="B1356" t="s">
        <v>26</v>
      </c>
      <c r="C1356" s="23" t="s">
        <v>80</v>
      </c>
      <c r="D1356" s="23" t="s">
        <v>24021</v>
      </c>
      <c r="E1356" s="23" t="s">
        <v>60</v>
      </c>
      <c r="F1356" s="25" t="s">
        <v>3401</v>
      </c>
      <c r="G1356" s="25" t="s">
        <v>3402</v>
      </c>
      <c r="H1356" t="s">
        <v>26</v>
      </c>
      <c r="I1356" s="24">
        <v>39142</v>
      </c>
      <c r="J1356" s="24">
        <v>41244</v>
      </c>
      <c r="K1356" t="s">
        <v>26</v>
      </c>
      <c r="L1356" s="25" t="s">
        <v>68</v>
      </c>
      <c r="M1356" s="24">
        <v>39142</v>
      </c>
      <c r="N1356" s="24">
        <v>41244</v>
      </c>
      <c r="O1356" t="s">
        <v>26</v>
      </c>
      <c r="P1356" s="24">
        <v>39142</v>
      </c>
      <c r="Q1356" s="24">
        <v>41244</v>
      </c>
      <c r="R1356" t="s">
        <v>26</v>
      </c>
      <c r="S1356" t="s">
        <v>26</v>
      </c>
      <c r="T1356" t="s">
        <v>26</v>
      </c>
      <c r="U1356" t="s">
        <v>26</v>
      </c>
      <c r="V1356" t="s">
        <v>26</v>
      </c>
      <c r="W1356" s="24">
        <v>39142</v>
      </c>
      <c r="X1356" s="24">
        <v>41244</v>
      </c>
      <c r="Y1356" t="s">
        <v>26</v>
      </c>
      <c r="Z1356" s="24">
        <v>39142</v>
      </c>
      <c r="AA1356" s="24">
        <v>41244</v>
      </c>
      <c r="AB1356" t="s">
        <v>26</v>
      </c>
      <c r="AC1356" t="s">
        <v>26</v>
      </c>
      <c r="AD1356" t="s">
        <v>26</v>
      </c>
      <c r="AE1356" t="s">
        <v>26</v>
      </c>
      <c r="AF1356" t="s">
        <v>26</v>
      </c>
      <c r="AG1356" t="s">
        <v>26</v>
      </c>
      <c r="AH1356" t="s">
        <v>26</v>
      </c>
      <c r="AI1356" t="s">
        <v>26</v>
      </c>
      <c r="AJ1356" t="s">
        <v>26</v>
      </c>
      <c r="AK1356" t="s">
        <v>26</v>
      </c>
      <c r="AL1356" t="s">
        <v>26</v>
      </c>
      <c r="AM1356" t="s">
        <v>26</v>
      </c>
      <c r="AN1356" t="s">
        <v>26</v>
      </c>
      <c r="AO1356" s="25" t="s">
        <v>68</v>
      </c>
      <c r="AP1356" s="23" t="s">
        <v>69</v>
      </c>
      <c r="AQ1356" s="23" t="s">
        <v>30</v>
      </c>
      <c r="AR1356" s="23" t="s">
        <v>1368</v>
      </c>
      <c r="AS1356" s="25">
        <v>28645</v>
      </c>
      <c r="AT1356" t="s">
        <v>26</v>
      </c>
      <c r="AU1356" t="s">
        <v>24022</v>
      </c>
    </row>
    <row r="1357" spans="1:47" ht="26.25" x14ac:dyDescent="0.4">
      <c r="A1357" s="23" t="s">
        <v>3403</v>
      </c>
      <c r="B1357" t="s">
        <v>26</v>
      </c>
      <c r="C1357" s="23" t="s">
        <v>80</v>
      </c>
      <c r="D1357" s="23" t="s">
        <v>22190</v>
      </c>
      <c r="E1357" s="23" t="s">
        <v>60</v>
      </c>
      <c r="F1357" s="25" t="s">
        <v>3404</v>
      </c>
      <c r="G1357" s="25" t="s">
        <v>3405</v>
      </c>
      <c r="H1357" t="s">
        <v>26</v>
      </c>
      <c r="I1357" t="s">
        <v>26</v>
      </c>
      <c r="J1357" t="s">
        <v>26</v>
      </c>
      <c r="K1357" t="s">
        <v>26</v>
      </c>
      <c r="L1357" s="25" t="s">
        <v>68</v>
      </c>
      <c r="M1357" t="s">
        <v>26</v>
      </c>
      <c r="N1357" t="s">
        <v>26</v>
      </c>
      <c r="O1357" t="s">
        <v>26</v>
      </c>
      <c r="P1357" t="s">
        <v>26</v>
      </c>
      <c r="Q1357" t="s">
        <v>26</v>
      </c>
      <c r="R1357" t="s">
        <v>26</v>
      </c>
      <c r="S1357" t="s">
        <v>26</v>
      </c>
      <c r="T1357" t="s">
        <v>26</v>
      </c>
      <c r="U1357" t="s">
        <v>26</v>
      </c>
      <c r="V1357" t="s">
        <v>26</v>
      </c>
      <c r="W1357" s="24">
        <v>37987</v>
      </c>
      <c r="X1357" s="25" t="s">
        <v>77</v>
      </c>
      <c r="Y1357" t="s">
        <v>26</v>
      </c>
      <c r="Z1357" s="24">
        <v>37987</v>
      </c>
      <c r="AA1357" s="25" t="s">
        <v>77</v>
      </c>
      <c r="AB1357" t="s">
        <v>26</v>
      </c>
      <c r="AC1357" s="24">
        <v>37987</v>
      </c>
      <c r="AD1357" s="25" t="s">
        <v>77</v>
      </c>
      <c r="AE1357" t="s">
        <v>26</v>
      </c>
      <c r="AF1357" t="s">
        <v>26</v>
      </c>
      <c r="AG1357" t="s">
        <v>26</v>
      </c>
      <c r="AH1357" t="s">
        <v>26</v>
      </c>
      <c r="AI1357" t="s">
        <v>26</v>
      </c>
      <c r="AJ1357" t="s">
        <v>26</v>
      </c>
      <c r="AK1357" t="s">
        <v>26</v>
      </c>
      <c r="AL1357" t="s">
        <v>26</v>
      </c>
      <c r="AM1357" t="s">
        <v>26</v>
      </c>
      <c r="AN1357" t="s">
        <v>26</v>
      </c>
      <c r="AO1357" s="25" t="s">
        <v>68</v>
      </c>
      <c r="AP1357" s="23" t="s">
        <v>69</v>
      </c>
      <c r="AQ1357" s="23" t="s">
        <v>30</v>
      </c>
      <c r="AR1357" s="23" t="s">
        <v>123</v>
      </c>
      <c r="AS1357" s="25">
        <v>25335</v>
      </c>
      <c r="AT1357" t="s">
        <v>26</v>
      </c>
      <c r="AU1357" t="s">
        <v>24023</v>
      </c>
    </row>
    <row r="1358" spans="1:47" ht="26.25" x14ac:dyDescent="0.4">
      <c r="A1358" s="23" t="s">
        <v>3406</v>
      </c>
      <c r="B1358" t="s">
        <v>26</v>
      </c>
      <c r="C1358" s="23" t="s">
        <v>172</v>
      </c>
      <c r="D1358" s="23" t="s">
        <v>22242</v>
      </c>
      <c r="E1358" s="23" t="s">
        <v>60</v>
      </c>
      <c r="F1358" s="25" t="s">
        <v>3407</v>
      </c>
      <c r="G1358" s="25" t="s">
        <v>3408</v>
      </c>
      <c r="H1358" t="s">
        <v>26</v>
      </c>
      <c r="I1358" t="s">
        <v>26</v>
      </c>
      <c r="J1358" t="s">
        <v>26</v>
      </c>
      <c r="K1358" t="s">
        <v>26</v>
      </c>
      <c r="L1358" s="25" t="s">
        <v>68</v>
      </c>
      <c r="M1358" t="s">
        <v>26</v>
      </c>
      <c r="N1358" t="s">
        <v>26</v>
      </c>
      <c r="O1358" t="s">
        <v>26</v>
      </c>
      <c r="P1358" t="s">
        <v>26</v>
      </c>
      <c r="Q1358" t="s">
        <v>26</v>
      </c>
      <c r="R1358" t="s">
        <v>26</v>
      </c>
      <c r="S1358" t="s">
        <v>26</v>
      </c>
      <c r="T1358" t="s">
        <v>26</v>
      </c>
      <c r="U1358" t="s">
        <v>26</v>
      </c>
      <c r="V1358" t="s">
        <v>26</v>
      </c>
      <c r="W1358" s="24">
        <v>38047</v>
      </c>
      <c r="X1358" s="25" t="s">
        <v>77</v>
      </c>
      <c r="Y1358" t="s">
        <v>26</v>
      </c>
      <c r="Z1358" s="24">
        <v>38047</v>
      </c>
      <c r="AA1358" s="25" t="s">
        <v>77</v>
      </c>
      <c r="AB1358" t="s">
        <v>26</v>
      </c>
      <c r="AC1358" s="24">
        <v>38047</v>
      </c>
      <c r="AD1358" s="25" t="s">
        <v>77</v>
      </c>
      <c r="AE1358" t="s">
        <v>26</v>
      </c>
      <c r="AF1358" t="s">
        <v>26</v>
      </c>
      <c r="AG1358" t="s">
        <v>26</v>
      </c>
      <c r="AH1358" t="s">
        <v>26</v>
      </c>
      <c r="AI1358" t="s">
        <v>26</v>
      </c>
      <c r="AJ1358" t="s">
        <v>26</v>
      </c>
      <c r="AK1358" t="s">
        <v>26</v>
      </c>
      <c r="AL1358" t="s">
        <v>26</v>
      </c>
      <c r="AM1358" t="s">
        <v>26</v>
      </c>
      <c r="AN1358" t="s">
        <v>26</v>
      </c>
      <c r="AO1358" s="25" t="s">
        <v>68</v>
      </c>
      <c r="AP1358" s="23" t="s">
        <v>69</v>
      </c>
      <c r="AQ1358" s="23" t="s">
        <v>30</v>
      </c>
      <c r="AR1358" s="23" t="s">
        <v>2966</v>
      </c>
      <c r="AS1358" s="25">
        <v>34135</v>
      </c>
      <c r="AT1358" t="s">
        <v>26</v>
      </c>
      <c r="AU1358" t="s">
        <v>24024</v>
      </c>
    </row>
    <row r="1359" spans="1:47" ht="26.25" x14ac:dyDescent="0.4">
      <c r="A1359" s="23" t="s">
        <v>3409</v>
      </c>
      <c r="B1359" t="s">
        <v>26</v>
      </c>
      <c r="C1359" s="23" t="s">
        <v>176</v>
      </c>
      <c r="D1359" s="23" t="s">
        <v>22222</v>
      </c>
      <c r="E1359" s="23" t="s">
        <v>60</v>
      </c>
      <c r="F1359" s="25" t="s">
        <v>3410</v>
      </c>
      <c r="G1359" s="25" t="s">
        <v>3411</v>
      </c>
      <c r="H1359" t="s">
        <v>26</v>
      </c>
      <c r="I1359" t="s">
        <v>26</v>
      </c>
      <c r="J1359" t="s">
        <v>26</v>
      </c>
      <c r="K1359" t="s">
        <v>26</v>
      </c>
      <c r="L1359" s="25" t="s">
        <v>68</v>
      </c>
      <c r="M1359" t="s">
        <v>26</v>
      </c>
      <c r="N1359" t="s">
        <v>26</v>
      </c>
      <c r="O1359" t="s">
        <v>26</v>
      </c>
      <c r="P1359" t="s">
        <v>26</v>
      </c>
      <c r="Q1359" t="s">
        <v>26</v>
      </c>
      <c r="R1359" t="s">
        <v>26</v>
      </c>
      <c r="S1359" t="s">
        <v>26</v>
      </c>
      <c r="T1359" t="s">
        <v>26</v>
      </c>
      <c r="U1359" t="s">
        <v>26</v>
      </c>
      <c r="V1359" t="s">
        <v>26</v>
      </c>
      <c r="W1359" s="24">
        <v>40179</v>
      </c>
      <c r="X1359" s="24">
        <v>44713</v>
      </c>
      <c r="Y1359" t="s">
        <v>26</v>
      </c>
      <c r="Z1359" s="24">
        <v>40179</v>
      </c>
      <c r="AA1359" s="24">
        <v>44713</v>
      </c>
      <c r="AB1359" t="s">
        <v>26</v>
      </c>
      <c r="AC1359" s="24">
        <v>40179</v>
      </c>
      <c r="AD1359" s="24">
        <v>44713</v>
      </c>
      <c r="AE1359" t="s">
        <v>26</v>
      </c>
      <c r="AF1359" t="s">
        <v>26</v>
      </c>
      <c r="AG1359" t="s">
        <v>26</v>
      </c>
      <c r="AH1359" t="s">
        <v>26</v>
      </c>
      <c r="AI1359" t="s">
        <v>26</v>
      </c>
      <c r="AJ1359" t="s">
        <v>26</v>
      </c>
      <c r="AK1359" t="s">
        <v>26</v>
      </c>
      <c r="AL1359" t="s">
        <v>26</v>
      </c>
      <c r="AM1359" t="s">
        <v>26</v>
      </c>
      <c r="AN1359" t="s">
        <v>26</v>
      </c>
      <c r="AO1359" s="25" t="s">
        <v>68</v>
      </c>
      <c r="AP1359" s="23" t="s">
        <v>69</v>
      </c>
      <c r="AQ1359" s="23" t="s">
        <v>30</v>
      </c>
      <c r="AR1359" s="23" t="s">
        <v>3412</v>
      </c>
      <c r="AS1359" s="25">
        <v>186238</v>
      </c>
      <c r="AT1359" t="s">
        <v>26</v>
      </c>
      <c r="AU1359" t="s">
        <v>24025</v>
      </c>
    </row>
    <row r="1360" spans="1:47" ht="26.25" x14ac:dyDescent="0.4">
      <c r="A1360" s="23" t="s">
        <v>3413</v>
      </c>
      <c r="B1360" t="s">
        <v>26</v>
      </c>
      <c r="C1360" s="23" t="s">
        <v>264</v>
      </c>
      <c r="D1360" s="23" t="s">
        <v>22174</v>
      </c>
      <c r="E1360" s="23" t="s">
        <v>60</v>
      </c>
      <c r="F1360" s="25" t="s">
        <v>3414</v>
      </c>
      <c r="G1360" s="25" t="s">
        <v>3415</v>
      </c>
      <c r="H1360" t="s">
        <v>26</v>
      </c>
      <c r="I1360" s="24">
        <v>33604</v>
      </c>
      <c r="J1360" s="25" t="s">
        <v>77</v>
      </c>
      <c r="K1360" t="s">
        <v>26</v>
      </c>
      <c r="L1360" s="25" t="s">
        <v>68</v>
      </c>
      <c r="M1360" s="24">
        <v>33604</v>
      </c>
      <c r="N1360" s="25" t="s">
        <v>77</v>
      </c>
      <c r="O1360" t="s">
        <v>26</v>
      </c>
      <c r="P1360" s="24">
        <v>33604</v>
      </c>
      <c r="Q1360" s="25" t="s">
        <v>77</v>
      </c>
      <c r="R1360" s="25" t="s">
        <v>24026</v>
      </c>
      <c r="S1360" t="s">
        <v>26</v>
      </c>
      <c r="T1360" t="s">
        <v>26</v>
      </c>
      <c r="U1360" t="s">
        <v>26</v>
      </c>
      <c r="V1360" s="25">
        <v>365</v>
      </c>
      <c r="W1360" s="24">
        <v>31413</v>
      </c>
      <c r="X1360" s="25" t="s">
        <v>77</v>
      </c>
      <c r="Y1360" t="s">
        <v>26</v>
      </c>
      <c r="Z1360" s="24">
        <v>31413</v>
      </c>
      <c r="AA1360" s="25" t="s">
        <v>77</v>
      </c>
      <c r="AB1360" t="s">
        <v>26</v>
      </c>
      <c r="AC1360" s="24">
        <v>31413</v>
      </c>
      <c r="AD1360" s="25" t="s">
        <v>77</v>
      </c>
      <c r="AE1360" t="s">
        <v>26</v>
      </c>
      <c r="AF1360" t="s">
        <v>26</v>
      </c>
      <c r="AG1360" t="s">
        <v>26</v>
      </c>
      <c r="AH1360" t="s">
        <v>26</v>
      </c>
      <c r="AI1360" t="s">
        <v>26</v>
      </c>
      <c r="AJ1360" t="s">
        <v>26</v>
      </c>
      <c r="AK1360" t="s">
        <v>26</v>
      </c>
      <c r="AL1360" t="s">
        <v>26</v>
      </c>
      <c r="AM1360" t="s">
        <v>26</v>
      </c>
      <c r="AN1360" t="s">
        <v>26</v>
      </c>
      <c r="AO1360" s="25" t="s">
        <v>68</v>
      </c>
      <c r="AP1360" s="23" t="s">
        <v>69</v>
      </c>
      <c r="AQ1360" s="23" t="s">
        <v>30</v>
      </c>
      <c r="AR1360" s="23" t="s">
        <v>2389</v>
      </c>
      <c r="AS1360" s="25">
        <v>36649</v>
      </c>
      <c r="AT1360" t="s">
        <v>26</v>
      </c>
      <c r="AU1360" t="s">
        <v>24027</v>
      </c>
    </row>
    <row r="1361" spans="1:47" ht="26.25" x14ac:dyDescent="0.4">
      <c r="A1361" s="23" t="s">
        <v>3416</v>
      </c>
      <c r="B1361" t="s">
        <v>26</v>
      </c>
      <c r="C1361" s="23" t="s">
        <v>167</v>
      </c>
      <c r="D1361" s="23" t="s">
        <v>22218</v>
      </c>
      <c r="E1361" s="23" t="s">
        <v>60</v>
      </c>
      <c r="F1361" s="25" t="s">
        <v>3417</v>
      </c>
      <c r="G1361" s="25" t="s">
        <v>3418</v>
      </c>
      <c r="H1361" t="s">
        <v>26</v>
      </c>
      <c r="I1361" s="24">
        <v>32933</v>
      </c>
      <c r="J1361" s="25" t="s">
        <v>77</v>
      </c>
      <c r="K1361" t="s">
        <v>26</v>
      </c>
      <c r="L1361" s="25" t="s">
        <v>68</v>
      </c>
      <c r="M1361" s="24">
        <v>39356</v>
      </c>
      <c r="N1361" s="25" t="s">
        <v>77</v>
      </c>
      <c r="O1361" t="s">
        <v>26</v>
      </c>
      <c r="P1361" s="24">
        <v>32933</v>
      </c>
      <c r="Q1361" s="25" t="s">
        <v>77</v>
      </c>
      <c r="R1361" t="s">
        <v>26</v>
      </c>
      <c r="S1361" t="s">
        <v>26</v>
      </c>
      <c r="T1361" t="s">
        <v>26</v>
      </c>
      <c r="U1361" t="s">
        <v>26</v>
      </c>
      <c r="V1361" s="25">
        <v>365</v>
      </c>
      <c r="W1361" s="24">
        <v>32568</v>
      </c>
      <c r="X1361" s="25" t="s">
        <v>77</v>
      </c>
      <c r="Y1361" t="s">
        <v>26</v>
      </c>
      <c r="Z1361" s="24">
        <v>32568</v>
      </c>
      <c r="AA1361" s="25" t="s">
        <v>77</v>
      </c>
      <c r="AB1361" t="s">
        <v>26</v>
      </c>
      <c r="AC1361" s="24">
        <v>32933</v>
      </c>
      <c r="AD1361" s="25" t="s">
        <v>77</v>
      </c>
      <c r="AE1361" t="s">
        <v>26</v>
      </c>
      <c r="AF1361" t="s">
        <v>26</v>
      </c>
      <c r="AG1361" t="s">
        <v>26</v>
      </c>
      <c r="AH1361" t="s">
        <v>26</v>
      </c>
      <c r="AI1361" t="s">
        <v>26</v>
      </c>
      <c r="AJ1361" t="s">
        <v>26</v>
      </c>
      <c r="AK1361" t="s">
        <v>26</v>
      </c>
      <c r="AL1361" t="s">
        <v>26</v>
      </c>
      <c r="AM1361" t="s">
        <v>26</v>
      </c>
      <c r="AN1361" t="s">
        <v>26</v>
      </c>
      <c r="AO1361" s="25" t="s">
        <v>68</v>
      </c>
      <c r="AP1361" s="23" t="s">
        <v>69</v>
      </c>
      <c r="AQ1361" s="23" t="s">
        <v>30</v>
      </c>
      <c r="AR1361" s="23" t="s">
        <v>458</v>
      </c>
      <c r="AS1361" s="25">
        <v>31252</v>
      </c>
      <c r="AT1361" t="s">
        <v>26</v>
      </c>
      <c r="AU1361" t="s">
        <v>24028</v>
      </c>
    </row>
    <row r="1362" spans="1:47" ht="26.25" x14ac:dyDescent="0.4">
      <c r="A1362" s="23" t="s">
        <v>3419</v>
      </c>
      <c r="B1362" t="s">
        <v>26</v>
      </c>
      <c r="C1362" s="23" t="s">
        <v>80</v>
      </c>
      <c r="D1362" s="23" t="s">
        <v>22184</v>
      </c>
      <c r="E1362" s="23" t="s">
        <v>60</v>
      </c>
      <c r="F1362" s="25" t="s">
        <v>3420</v>
      </c>
      <c r="G1362" s="25" t="s">
        <v>3421</v>
      </c>
      <c r="H1362" t="s">
        <v>26</v>
      </c>
      <c r="I1362" s="24">
        <v>35582</v>
      </c>
      <c r="J1362" s="24">
        <v>36831</v>
      </c>
      <c r="K1362" t="s">
        <v>26</v>
      </c>
      <c r="L1362" s="25" t="s">
        <v>68</v>
      </c>
      <c r="M1362" s="24">
        <v>35582</v>
      </c>
      <c r="N1362" s="24">
        <v>36831</v>
      </c>
      <c r="O1362" t="s">
        <v>26</v>
      </c>
      <c r="P1362" s="24">
        <v>35582</v>
      </c>
      <c r="Q1362" s="24">
        <v>36831</v>
      </c>
      <c r="R1362" t="s">
        <v>26</v>
      </c>
      <c r="S1362" t="s">
        <v>26</v>
      </c>
      <c r="T1362" t="s">
        <v>26</v>
      </c>
      <c r="U1362" t="s">
        <v>26</v>
      </c>
      <c r="V1362" t="s">
        <v>26</v>
      </c>
      <c r="W1362" s="24">
        <v>35582</v>
      </c>
      <c r="X1362" s="24">
        <v>42644</v>
      </c>
      <c r="Y1362" t="s">
        <v>26</v>
      </c>
      <c r="Z1362" s="24">
        <v>35582</v>
      </c>
      <c r="AA1362" s="24">
        <v>42644</v>
      </c>
      <c r="AB1362" t="s">
        <v>26</v>
      </c>
      <c r="AC1362" s="24">
        <v>35582</v>
      </c>
      <c r="AD1362" s="24">
        <v>42644</v>
      </c>
      <c r="AE1362" t="s">
        <v>26</v>
      </c>
      <c r="AF1362" t="s">
        <v>26</v>
      </c>
      <c r="AG1362" t="s">
        <v>26</v>
      </c>
      <c r="AH1362" t="s">
        <v>26</v>
      </c>
      <c r="AI1362" t="s">
        <v>26</v>
      </c>
      <c r="AJ1362" t="s">
        <v>26</v>
      </c>
      <c r="AK1362" t="s">
        <v>26</v>
      </c>
      <c r="AL1362" t="s">
        <v>26</v>
      </c>
      <c r="AM1362" t="s">
        <v>26</v>
      </c>
      <c r="AN1362" t="s">
        <v>26</v>
      </c>
      <c r="AO1362" s="25" t="s">
        <v>68</v>
      </c>
      <c r="AP1362" s="23" t="s">
        <v>69</v>
      </c>
      <c r="AQ1362" s="23" t="s">
        <v>30</v>
      </c>
      <c r="AR1362" s="23" t="s">
        <v>70</v>
      </c>
      <c r="AS1362" s="25">
        <v>33503</v>
      </c>
      <c r="AT1362" t="s">
        <v>26</v>
      </c>
      <c r="AU1362" t="s">
        <v>24029</v>
      </c>
    </row>
    <row r="1363" spans="1:47" ht="26.25" x14ac:dyDescent="0.4">
      <c r="A1363" s="23" t="s">
        <v>3422</v>
      </c>
      <c r="B1363" t="s">
        <v>26</v>
      </c>
      <c r="C1363" s="23" t="s">
        <v>80</v>
      </c>
      <c r="D1363" s="23" t="s">
        <v>22184</v>
      </c>
      <c r="E1363" s="23" t="s">
        <v>60</v>
      </c>
      <c r="F1363" s="25" t="s">
        <v>3423</v>
      </c>
      <c r="G1363" s="25" t="s">
        <v>3424</v>
      </c>
      <c r="H1363" t="s">
        <v>26</v>
      </c>
      <c r="I1363" t="s">
        <v>26</v>
      </c>
      <c r="J1363" t="s">
        <v>26</v>
      </c>
      <c r="K1363" t="s">
        <v>26</v>
      </c>
      <c r="L1363" s="25" t="s">
        <v>68</v>
      </c>
      <c r="M1363" t="s">
        <v>26</v>
      </c>
      <c r="N1363" t="s">
        <v>26</v>
      </c>
      <c r="O1363" t="s">
        <v>26</v>
      </c>
      <c r="P1363" t="s">
        <v>26</v>
      </c>
      <c r="Q1363" t="s">
        <v>26</v>
      </c>
      <c r="R1363" t="s">
        <v>26</v>
      </c>
      <c r="S1363" t="s">
        <v>26</v>
      </c>
      <c r="T1363" t="s">
        <v>26</v>
      </c>
      <c r="U1363" t="s">
        <v>26</v>
      </c>
      <c r="V1363" t="s">
        <v>26</v>
      </c>
      <c r="W1363" s="24">
        <v>40238</v>
      </c>
      <c r="X1363" s="25" t="s">
        <v>77</v>
      </c>
      <c r="Y1363" s="25" t="s">
        <v>1559</v>
      </c>
      <c r="Z1363" s="24">
        <v>40238</v>
      </c>
      <c r="AA1363" s="25" t="s">
        <v>77</v>
      </c>
      <c r="AB1363" s="25" t="s">
        <v>1559</v>
      </c>
      <c r="AC1363" s="24">
        <v>40238</v>
      </c>
      <c r="AD1363" s="25" t="s">
        <v>77</v>
      </c>
      <c r="AE1363" s="25" t="s">
        <v>1559</v>
      </c>
      <c r="AF1363" t="s">
        <v>26</v>
      </c>
      <c r="AG1363" t="s">
        <v>26</v>
      </c>
      <c r="AH1363" t="s">
        <v>26</v>
      </c>
      <c r="AI1363" t="s">
        <v>26</v>
      </c>
      <c r="AJ1363" t="s">
        <v>26</v>
      </c>
      <c r="AK1363" t="s">
        <v>26</v>
      </c>
      <c r="AL1363" t="s">
        <v>26</v>
      </c>
      <c r="AM1363" t="s">
        <v>26</v>
      </c>
      <c r="AN1363" t="s">
        <v>26</v>
      </c>
      <c r="AO1363" s="25" t="s">
        <v>68</v>
      </c>
      <c r="AP1363" s="23" t="s">
        <v>69</v>
      </c>
      <c r="AQ1363" s="23" t="s">
        <v>30</v>
      </c>
      <c r="AR1363" s="23" t="s">
        <v>3425</v>
      </c>
      <c r="AS1363" s="25">
        <v>186289</v>
      </c>
      <c r="AT1363" t="s">
        <v>26</v>
      </c>
      <c r="AU1363" t="s">
        <v>24030</v>
      </c>
    </row>
    <row r="1364" spans="1:47" ht="26.25" x14ac:dyDescent="0.4">
      <c r="A1364" s="23" t="s">
        <v>3426</v>
      </c>
      <c r="B1364" t="s">
        <v>26</v>
      </c>
      <c r="C1364" s="23" t="s">
        <v>181</v>
      </c>
      <c r="D1364" s="23" t="s">
        <v>22174</v>
      </c>
      <c r="E1364" s="23" t="s">
        <v>60</v>
      </c>
      <c r="F1364" s="25" t="s">
        <v>3427</v>
      </c>
      <c r="G1364" s="25" t="s">
        <v>3428</v>
      </c>
      <c r="H1364" t="s">
        <v>26</v>
      </c>
      <c r="I1364" t="s">
        <v>26</v>
      </c>
      <c r="J1364" t="s">
        <v>26</v>
      </c>
      <c r="K1364" t="s">
        <v>26</v>
      </c>
      <c r="L1364" s="25" t="s">
        <v>68</v>
      </c>
      <c r="M1364" t="s">
        <v>26</v>
      </c>
      <c r="N1364" t="s">
        <v>26</v>
      </c>
      <c r="O1364" t="s">
        <v>26</v>
      </c>
      <c r="P1364" t="s">
        <v>26</v>
      </c>
      <c r="Q1364" t="s">
        <v>26</v>
      </c>
      <c r="R1364" t="s">
        <v>26</v>
      </c>
      <c r="S1364" t="s">
        <v>26</v>
      </c>
      <c r="T1364" t="s">
        <v>26</v>
      </c>
      <c r="U1364" t="s">
        <v>26</v>
      </c>
      <c r="V1364" t="s">
        <v>26</v>
      </c>
      <c r="W1364" s="24">
        <v>34700</v>
      </c>
      <c r="X1364" s="25" t="s">
        <v>77</v>
      </c>
      <c r="Y1364" t="s">
        <v>26</v>
      </c>
      <c r="Z1364" s="24">
        <v>34700</v>
      </c>
      <c r="AA1364" s="25" t="s">
        <v>77</v>
      </c>
      <c r="AB1364" t="s">
        <v>26</v>
      </c>
      <c r="AC1364" s="24">
        <v>34700</v>
      </c>
      <c r="AD1364" s="25" t="s">
        <v>77</v>
      </c>
      <c r="AE1364" t="s">
        <v>26</v>
      </c>
      <c r="AF1364" t="s">
        <v>26</v>
      </c>
      <c r="AG1364" t="s">
        <v>26</v>
      </c>
      <c r="AH1364" t="s">
        <v>26</v>
      </c>
      <c r="AI1364" t="s">
        <v>26</v>
      </c>
      <c r="AJ1364" t="s">
        <v>26</v>
      </c>
      <c r="AK1364" t="s">
        <v>26</v>
      </c>
      <c r="AL1364" t="s">
        <v>26</v>
      </c>
      <c r="AM1364" t="s">
        <v>26</v>
      </c>
      <c r="AN1364" t="s">
        <v>26</v>
      </c>
      <c r="AO1364" s="25" t="s">
        <v>68</v>
      </c>
      <c r="AP1364" s="23" t="s">
        <v>69</v>
      </c>
      <c r="AQ1364" s="23" t="s">
        <v>30</v>
      </c>
      <c r="AR1364" s="23" t="s">
        <v>147</v>
      </c>
      <c r="AS1364" s="25">
        <v>5799</v>
      </c>
      <c r="AT1364" t="s">
        <v>26</v>
      </c>
      <c r="AU1364" t="s">
        <v>24031</v>
      </c>
    </row>
    <row r="1365" spans="1:47" ht="26.25" x14ac:dyDescent="0.4">
      <c r="A1365" s="23" t="s">
        <v>3429</v>
      </c>
      <c r="B1365" t="s">
        <v>26</v>
      </c>
      <c r="C1365" s="23" t="s">
        <v>80</v>
      </c>
      <c r="D1365" s="23" t="s">
        <v>22184</v>
      </c>
      <c r="E1365" s="23" t="s">
        <v>60</v>
      </c>
      <c r="F1365" s="25" t="s">
        <v>3430</v>
      </c>
      <c r="G1365" s="25" t="s">
        <v>3431</v>
      </c>
      <c r="H1365" t="s">
        <v>26</v>
      </c>
      <c r="I1365" t="s">
        <v>26</v>
      </c>
      <c r="J1365" t="s">
        <v>26</v>
      </c>
      <c r="K1365" t="s">
        <v>26</v>
      </c>
      <c r="L1365" s="25" t="s">
        <v>68</v>
      </c>
      <c r="M1365" t="s">
        <v>26</v>
      </c>
      <c r="N1365" t="s">
        <v>26</v>
      </c>
      <c r="O1365" t="s">
        <v>26</v>
      </c>
      <c r="P1365" t="s">
        <v>26</v>
      </c>
      <c r="Q1365" t="s">
        <v>26</v>
      </c>
      <c r="R1365" t="s">
        <v>26</v>
      </c>
      <c r="S1365" t="s">
        <v>26</v>
      </c>
      <c r="T1365" t="s">
        <v>26</v>
      </c>
      <c r="U1365" t="s">
        <v>26</v>
      </c>
      <c r="V1365" t="s">
        <v>26</v>
      </c>
      <c r="W1365" s="24">
        <v>42795</v>
      </c>
      <c r="X1365" s="25" t="s">
        <v>77</v>
      </c>
      <c r="Y1365" t="s">
        <v>26</v>
      </c>
      <c r="Z1365" s="24">
        <v>42795</v>
      </c>
      <c r="AA1365" s="25" t="s">
        <v>77</v>
      </c>
      <c r="AB1365" t="s">
        <v>26</v>
      </c>
      <c r="AC1365" s="24">
        <v>42795</v>
      </c>
      <c r="AD1365" s="25" t="s">
        <v>77</v>
      </c>
      <c r="AE1365" t="s">
        <v>26</v>
      </c>
      <c r="AF1365" t="s">
        <v>26</v>
      </c>
      <c r="AG1365" t="s">
        <v>26</v>
      </c>
      <c r="AH1365" t="s">
        <v>26</v>
      </c>
      <c r="AI1365" t="s">
        <v>26</v>
      </c>
      <c r="AJ1365" t="s">
        <v>26</v>
      </c>
      <c r="AK1365" t="s">
        <v>26</v>
      </c>
      <c r="AL1365" t="s">
        <v>26</v>
      </c>
      <c r="AM1365" t="s">
        <v>26</v>
      </c>
      <c r="AN1365" t="s">
        <v>26</v>
      </c>
      <c r="AO1365" s="25" t="s">
        <v>68</v>
      </c>
      <c r="AP1365" s="23" t="s">
        <v>69</v>
      </c>
      <c r="AQ1365" s="23" t="s">
        <v>30</v>
      </c>
      <c r="AR1365" s="23" t="s">
        <v>3432</v>
      </c>
      <c r="AS1365" s="25">
        <v>2039986</v>
      </c>
      <c r="AT1365" t="s">
        <v>26</v>
      </c>
      <c r="AU1365" t="s">
        <v>24032</v>
      </c>
    </row>
    <row r="1366" spans="1:47" ht="26.25" x14ac:dyDescent="0.4">
      <c r="A1366" s="23" t="s">
        <v>3433</v>
      </c>
      <c r="B1366" t="s">
        <v>26</v>
      </c>
      <c r="C1366" s="23" t="s">
        <v>3434</v>
      </c>
      <c r="D1366" s="23" t="s">
        <v>24033</v>
      </c>
      <c r="E1366" s="23" t="s">
        <v>328</v>
      </c>
      <c r="F1366" s="25" t="s">
        <v>3435</v>
      </c>
      <c r="G1366" t="s">
        <v>26</v>
      </c>
      <c r="H1366" t="s">
        <v>26</v>
      </c>
      <c r="I1366" s="24">
        <v>39083</v>
      </c>
      <c r="J1366" s="24">
        <v>43647</v>
      </c>
      <c r="K1366" t="s">
        <v>26</v>
      </c>
      <c r="L1366" s="25" t="s">
        <v>68</v>
      </c>
      <c r="M1366" t="s">
        <v>26</v>
      </c>
      <c r="N1366" t="s">
        <v>26</v>
      </c>
      <c r="O1366" t="s">
        <v>26</v>
      </c>
      <c r="P1366" s="24">
        <v>39083</v>
      </c>
      <c r="Q1366" s="24">
        <v>43647</v>
      </c>
      <c r="R1366" t="s">
        <v>26</v>
      </c>
      <c r="S1366" t="s">
        <v>26</v>
      </c>
      <c r="T1366" t="s">
        <v>26</v>
      </c>
      <c r="U1366" t="s">
        <v>26</v>
      </c>
      <c r="V1366" t="s">
        <v>26</v>
      </c>
      <c r="W1366" s="24">
        <v>39083</v>
      </c>
      <c r="X1366" s="24">
        <v>43647</v>
      </c>
      <c r="Y1366" t="s">
        <v>26</v>
      </c>
      <c r="Z1366" s="24">
        <v>39083</v>
      </c>
      <c r="AA1366" s="24">
        <v>43647</v>
      </c>
      <c r="AB1366" t="s">
        <v>26</v>
      </c>
      <c r="AC1366" s="24">
        <v>39083</v>
      </c>
      <c r="AD1366" s="24">
        <v>43647</v>
      </c>
      <c r="AE1366" t="s">
        <v>26</v>
      </c>
      <c r="AF1366" t="s">
        <v>26</v>
      </c>
      <c r="AG1366" t="s">
        <v>26</v>
      </c>
      <c r="AH1366" t="s">
        <v>26</v>
      </c>
      <c r="AI1366" t="s">
        <v>26</v>
      </c>
      <c r="AJ1366" t="s">
        <v>26</v>
      </c>
      <c r="AK1366" t="s">
        <v>26</v>
      </c>
      <c r="AL1366" t="s">
        <v>26</v>
      </c>
      <c r="AM1366" t="s">
        <v>26</v>
      </c>
      <c r="AN1366" t="s">
        <v>26</v>
      </c>
      <c r="AO1366" s="25" t="s">
        <v>68</v>
      </c>
      <c r="AP1366" s="23" t="s">
        <v>69</v>
      </c>
      <c r="AQ1366" s="23" t="s">
        <v>876</v>
      </c>
      <c r="AR1366" s="23" t="s">
        <v>46</v>
      </c>
      <c r="AS1366" s="25">
        <v>2032290</v>
      </c>
      <c r="AT1366" t="s">
        <v>26</v>
      </c>
      <c r="AU1366" t="s">
        <v>24034</v>
      </c>
    </row>
    <row r="1367" spans="1:47" ht="26.25" x14ac:dyDescent="0.4">
      <c r="A1367" s="23" t="s">
        <v>3436</v>
      </c>
      <c r="B1367" t="s">
        <v>26</v>
      </c>
      <c r="C1367" s="23" t="s">
        <v>23816</v>
      </c>
      <c r="D1367" s="23" t="s">
        <v>24035</v>
      </c>
      <c r="E1367" s="23" t="s">
        <v>42</v>
      </c>
      <c r="F1367" t="s">
        <v>26</v>
      </c>
      <c r="G1367" t="s">
        <v>26</v>
      </c>
      <c r="H1367" t="s">
        <v>26</v>
      </c>
      <c r="I1367" s="24">
        <v>40544</v>
      </c>
      <c r="J1367" s="24">
        <v>40544</v>
      </c>
      <c r="K1367" t="s">
        <v>26</v>
      </c>
      <c r="L1367" s="25" t="s">
        <v>28</v>
      </c>
      <c r="M1367" s="24">
        <v>40544</v>
      </c>
      <c r="N1367" s="24">
        <v>40544</v>
      </c>
      <c r="O1367" t="s">
        <v>26</v>
      </c>
      <c r="P1367" t="s">
        <v>26</v>
      </c>
      <c r="Q1367" t="s">
        <v>26</v>
      </c>
      <c r="R1367" t="s">
        <v>26</v>
      </c>
      <c r="S1367" s="24">
        <v>40544</v>
      </c>
      <c r="T1367" s="24">
        <v>40544</v>
      </c>
      <c r="U1367" t="s">
        <v>26</v>
      </c>
      <c r="V1367" t="s">
        <v>26</v>
      </c>
      <c r="W1367" s="24">
        <v>40544</v>
      </c>
      <c r="X1367" s="24">
        <v>40544</v>
      </c>
      <c r="Y1367" t="s">
        <v>26</v>
      </c>
      <c r="Z1367" s="24">
        <v>40544</v>
      </c>
      <c r="AA1367" s="24">
        <v>40544</v>
      </c>
      <c r="AB1367" t="s">
        <v>26</v>
      </c>
      <c r="AC1367" s="24">
        <v>40544</v>
      </c>
      <c r="AD1367" s="24">
        <v>40544</v>
      </c>
      <c r="AE1367" t="s">
        <v>26</v>
      </c>
      <c r="AF1367" s="24">
        <v>40544</v>
      </c>
      <c r="AG1367" s="24">
        <v>40544</v>
      </c>
      <c r="AH1367" t="s">
        <v>26</v>
      </c>
      <c r="AI1367" s="24">
        <v>40544</v>
      </c>
      <c r="AJ1367" s="24">
        <v>40544</v>
      </c>
      <c r="AK1367" t="s">
        <v>26</v>
      </c>
      <c r="AL1367" t="s">
        <v>26</v>
      </c>
      <c r="AM1367" t="s">
        <v>26</v>
      </c>
      <c r="AN1367" t="s">
        <v>26</v>
      </c>
      <c r="AO1367" s="25" t="s">
        <v>28</v>
      </c>
      <c r="AP1367" s="23" t="s">
        <v>43</v>
      </c>
      <c r="AQ1367" s="23" t="s">
        <v>30</v>
      </c>
      <c r="AR1367" s="23" t="s">
        <v>46</v>
      </c>
      <c r="AS1367" s="25">
        <v>6362735</v>
      </c>
      <c r="AT1367" t="s">
        <v>26</v>
      </c>
      <c r="AU1367" t="s">
        <v>24036</v>
      </c>
    </row>
    <row r="1368" spans="1:47" ht="26.25" x14ac:dyDescent="0.4">
      <c r="A1368" s="23" t="s">
        <v>3437</v>
      </c>
      <c r="B1368" t="s">
        <v>26</v>
      </c>
      <c r="C1368" s="23" t="s">
        <v>332</v>
      </c>
      <c r="D1368" s="23" t="s">
        <v>22256</v>
      </c>
      <c r="E1368" s="23" t="s">
        <v>42</v>
      </c>
      <c r="F1368" t="s">
        <v>26</v>
      </c>
      <c r="G1368" t="s">
        <v>26</v>
      </c>
      <c r="H1368" t="s">
        <v>26</v>
      </c>
      <c r="I1368" s="24">
        <v>41275</v>
      </c>
      <c r="J1368" s="24">
        <v>41640</v>
      </c>
      <c r="K1368" t="s">
        <v>26</v>
      </c>
      <c r="L1368" s="25" t="s">
        <v>28</v>
      </c>
      <c r="M1368" s="24">
        <v>41275</v>
      </c>
      <c r="N1368" s="24">
        <v>41640</v>
      </c>
      <c r="O1368" t="s">
        <v>26</v>
      </c>
      <c r="P1368" t="s">
        <v>26</v>
      </c>
      <c r="Q1368" t="s">
        <v>26</v>
      </c>
      <c r="R1368" t="s">
        <v>26</v>
      </c>
      <c r="S1368" t="s">
        <v>26</v>
      </c>
      <c r="T1368" t="s">
        <v>26</v>
      </c>
      <c r="U1368" t="s">
        <v>26</v>
      </c>
      <c r="V1368" t="s">
        <v>26</v>
      </c>
      <c r="W1368" s="24">
        <v>41275</v>
      </c>
      <c r="X1368" s="24">
        <v>41640</v>
      </c>
      <c r="Y1368" t="s">
        <v>26</v>
      </c>
      <c r="Z1368" s="24">
        <v>41275</v>
      </c>
      <c r="AA1368" s="24">
        <v>41640</v>
      </c>
      <c r="AB1368" t="s">
        <v>26</v>
      </c>
      <c r="AC1368" s="24">
        <v>41275</v>
      </c>
      <c r="AD1368" s="24">
        <v>41640</v>
      </c>
      <c r="AE1368" t="s">
        <v>26</v>
      </c>
      <c r="AF1368" t="s">
        <v>26</v>
      </c>
      <c r="AG1368" t="s">
        <v>26</v>
      </c>
      <c r="AH1368" t="s">
        <v>26</v>
      </c>
      <c r="AI1368" t="s">
        <v>26</v>
      </c>
      <c r="AJ1368" t="s">
        <v>26</v>
      </c>
      <c r="AK1368" t="s">
        <v>26</v>
      </c>
      <c r="AL1368" t="s">
        <v>26</v>
      </c>
      <c r="AM1368" t="s">
        <v>26</v>
      </c>
      <c r="AN1368" t="s">
        <v>26</v>
      </c>
      <c r="AO1368" s="25" t="s">
        <v>28</v>
      </c>
      <c r="AP1368" s="23" t="s">
        <v>279</v>
      </c>
      <c r="AQ1368" s="23" t="s">
        <v>30</v>
      </c>
      <c r="AR1368" s="23" t="s">
        <v>46</v>
      </c>
      <c r="AS1368" s="25">
        <v>6275760</v>
      </c>
      <c r="AT1368" t="s">
        <v>26</v>
      </c>
      <c r="AU1368" t="s">
        <v>24037</v>
      </c>
    </row>
    <row r="1369" spans="1:47" ht="26.25" x14ac:dyDescent="0.4">
      <c r="A1369" s="23" t="s">
        <v>3438</v>
      </c>
      <c r="B1369" t="s">
        <v>26</v>
      </c>
      <c r="C1369" s="23" t="s">
        <v>51</v>
      </c>
      <c r="D1369" t="s">
        <v>26</v>
      </c>
      <c r="E1369" s="23" t="s">
        <v>42</v>
      </c>
      <c r="F1369" t="s">
        <v>26</v>
      </c>
      <c r="G1369" t="s">
        <v>26</v>
      </c>
      <c r="H1369" t="s">
        <v>26</v>
      </c>
      <c r="I1369" s="24">
        <v>34700</v>
      </c>
      <c r="J1369" s="24">
        <v>41275</v>
      </c>
      <c r="K1369" t="s">
        <v>26</v>
      </c>
      <c r="L1369" s="25" t="s">
        <v>28</v>
      </c>
      <c r="M1369" s="24">
        <v>34700</v>
      </c>
      <c r="N1369" s="24">
        <v>41275</v>
      </c>
      <c r="O1369" t="s">
        <v>26</v>
      </c>
      <c r="P1369" t="s">
        <v>26</v>
      </c>
      <c r="Q1369" t="s">
        <v>26</v>
      </c>
      <c r="R1369" t="s">
        <v>26</v>
      </c>
      <c r="S1369" s="24">
        <v>34700</v>
      </c>
      <c r="T1369" s="24">
        <v>41275</v>
      </c>
      <c r="U1369" t="s">
        <v>26</v>
      </c>
      <c r="V1369" t="s">
        <v>26</v>
      </c>
      <c r="W1369" s="24">
        <v>34700</v>
      </c>
      <c r="X1369" s="24">
        <v>41275</v>
      </c>
      <c r="Y1369" t="s">
        <v>26</v>
      </c>
      <c r="Z1369" s="24">
        <v>34700</v>
      </c>
      <c r="AA1369" s="24">
        <v>41275</v>
      </c>
      <c r="AB1369" t="s">
        <v>26</v>
      </c>
      <c r="AC1369" s="24">
        <v>34700</v>
      </c>
      <c r="AD1369" s="24">
        <v>41275</v>
      </c>
      <c r="AE1369" t="s">
        <v>26</v>
      </c>
      <c r="AF1369" s="24">
        <v>34700</v>
      </c>
      <c r="AG1369" s="24">
        <v>41275</v>
      </c>
      <c r="AH1369" t="s">
        <v>26</v>
      </c>
      <c r="AI1369" s="24">
        <v>34700</v>
      </c>
      <c r="AJ1369" s="24">
        <v>41275</v>
      </c>
      <c r="AK1369" t="s">
        <v>26</v>
      </c>
      <c r="AL1369" t="s">
        <v>26</v>
      </c>
      <c r="AM1369" t="s">
        <v>26</v>
      </c>
      <c r="AN1369" t="s">
        <v>26</v>
      </c>
      <c r="AO1369" s="25" t="s">
        <v>28</v>
      </c>
      <c r="AP1369" s="23" t="s">
        <v>43</v>
      </c>
      <c r="AQ1369" s="23" t="s">
        <v>30</v>
      </c>
      <c r="AR1369" s="23" t="s">
        <v>44</v>
      </c>
      <c r="AS1369" s="25">
        <v>5256669</v>
      </c>
      <c r="AT1369" t="s">
        <v>26</v>
      </c>
      <c r="AU1369" t="s">
        <v>24038</v>
      </c>
    </row>
    <row r="1370" spans="1:47" ht="26.25" x14ac:dyDescent="0.4">
      <c r="A1370" s="23" t="s">
        <v>3439</v>
      </c>
      <c r="B1370" t="s">
        <v>26</v>
      </c>
      <c r="C1370" s="23" t="s">
        <v>3440</v>
      </c>
      <c r="D1370" s="23" t="s">
        <v>22179</v>
      </c>
      <c r="E1370" s="23" t="s">
        <v>42</v>
      </c>
      <c r="F1370" t="s">
        <v>26</v>
      </c>
      <c r="G1370" t="s">
        <v>26</v>
      </c>
      <c r="H1370" t="s">
        <v>26</v>
      </c>
      <c r="I1370" t="s">
        <v>26</v>
      </c>
      <c r="J1370" t="s">
        <v>26</v>
      </c>
      <c r="K1370" t="s">
        <v>26</v>
      </c>
      <c r="L1370" s="25" t="s">
        <v>28</v>
      </c>
      <c r="M1370" t="s">
        <v>26</v>
      </c>
      <c r="N1370" t="s">
        <v>26</v>
      </c>
      <c r="O1370" t="s">
        <v>26</v>
      </c>
      <c r="P1370" t="s">
        <v>26</v>
      </c>
      <c r="Q1370" t="s">
        <v>26</v>
      </c>
      <c r="R1370" t="s">
        <v>26</v>
      </c>
      <c r="S1370" t="s">
        <v>26</v>
      </c>
      <c r="T1370" t="s">
        <v>26</v>
      </c>
      <c r="U1370" t="s">
        <v>26</v>
      </c>
      <c r="V1370" t="s">
        <v>26</v>
      </c>
      <c r="W1370" s="24">
        <v>36526</v>
      </c>
      <c r="X1370" s="24">
        <v>36526</v>
      </c>
      <c r="Y1370" t="s">
        <v>26</v>
      </c>
      <c r="Z1370" s="24">
        <v>36526</v>
      </c>
      <c r="AA1370" s="24">
        <v>36526</v>
      </c>
      <c r="AB1370" t="s">
        <v>26</v>
      </c>
      <c r="AC1370" t="s">
        <v>26</v>
      </c>
      <c r="AD1370" t="s">
        <v>26</v>
      </c>
      <c r="AE1370" t="s">
        <v>26</v>
      </c>
      <c r="AF1370" t="s">
        <v>26</v>
      </c>
      <c r="AG1370" t="s">
        <v>26</v>
      </c>
      <c r="AH1370" t="s">
        <v>26</v>
      </c>
      <c r="AI1370" t="s">
        <v>26</v>
      </c>
      <c r="AJ1370" t="s">
        <v>26</v>
      </c>
      <c r="AK1370" t="s">
        <v>26</v>
      </c>
      <c r="AL1370" t="s">
        <v>26</v>
      </c>
      <c r="AM1370" t="s">
        <v>26</v>
      </c>
      <c r="AN1370" t="s">
        <v>26</v>
      </c>
      <c r="AO1370" s="25" t="s">
        <v>28</v>
      </c>
      <c r="AP1370" s="23" t="s">
        <v>29</v>
      </c>
      <c r="AQ1370" s="23" t="s">
        <v>30</v>
      </c>
      <c r="AR1370" s="23" t="s">
        <v>44</v>
      </c>
      <c r="AS1370" s="25">
        <v>5483570</v>
      </c>
      <c r="AT1370" s="23" t="s">
        <v>22181</v>
      </c>
      <c r="AU1370" t="s">
        <v>24039</v>
      </c>
    </row>
    <row r="1371" spans="1:47" ht="39.4" x14ac:dyDescent="0.4">
      <c r="A1371" s="23" t="s">
        <v>3441</v>
      </c>
      <c r="B1371" t="s">
        <v>26</v>
      </c>
      <c r="C1371" t="s">
        <v>26</v>
      </c>
      <c r="D1371" s="23" t="s">
        <v>22207</v>
      </c>
      <c r="E1371" t="s">
        <v>26</v>
      </c>
      <c r="F1371" s="25" t="s">
        <v>3442</v>
      </c>
      <c r="G1371" s="25" t="s">
        <v>3443</v>
      </c>
      <c r="H1371" t="s">
        <v>26</v>
      </c>
      <c r="I1371" s="24">
        <v>33604</v>
      </c>
      <c r="J1371" s="25" t="s">
        <v>77</v>
      </c>
      <c r="K1371" s="25" t="s">
        <v>3444</v>
      </c>
      <c r="L1371" s="25" t="s">
        <v>68</v>
      </c>
      <c r="M1371" s="24">
        <v>33604</v>
      </c>
      <c r="N1371" s="25" t="s">
        <v>77</v>
      </c>
      <c r="O1371" s="25" t="s">
        <v>3444</v>
      </c>
      <c r="P1371" s="24">
        <v>36161</v>
      </c>
      <c r="Q1371" s="25" t="s">
        <v>77</v>
      </c>
      <c r="R1371" t="s">
        <v>26</v>
      </c>
      <c r="S1371" t="s">
        <v>26</v>
      </c>
      <c r="T1371" t="s">
        <v>26</v>
      </c>
      <c r="U1371" t="s">
        <v>26</v>
      </c>
      <c r="V1371" t="s">
        <v>26</v>
      </c>
      <c r="W1371" s="24">
        <v>33604</v>
      </c>
      <c r="X1371" s="25" t="s">
        <v>77</v>
      </c>
      <c r="Y1371" t="s">
        <v>26</v>
      </c>
      <c r="Z1371" s="24">
        <v>33604</v>
      </c>
      <c r="AA1371" s="25" t="s">
        <v>77</v>
      </c>
      <c r="AB1371" t="s">
        <v>26</v>
      </c>
      <c r="AC1371" s="24">
        <v>33604</v>
      </c>
      <c r="AD1371" s="25" t="s">
        <v>77</v>
      </c>
      <c r="AE1371" t="s">
        <v>26</v>
      </c>
      <c r="AF1371" t="s">
        <v>26</v>
      </c>
      <c r="AG1371" t="s">
        <v>26</v>
      </c>
      <c r="AH1371" t="s">
        <v>26</v>
      </c>
      <c r="AI1371" t="s">
        <v>26</v>
      </c>
      <c r="AJ1371" t="s">
        <v>26</v>
      </c>
      <c r="AK1371" t="s">
        <v>26</v>
      </c>
      <c r="AL1371" t="s">
        <v>26</v>
      </c>
      <c r="AM1371" t="s">
        <v>26</v>
      </c>
      <c r="AN1371" t="s">
        <v>26</v>
      </c>
      <c r="AO1371" s="25" t="s">
        <v>68</v>
      </c>
      <c r="AP1371" s="23" t="s">
        <v>69</v>
      </c>
      <c r="AQ1371" s="23" t="s">
        <v>226</v>
      </c>
      <c r="AR1371" s="23" t="s">
        <v>46</v>
      </c>
      <c r="AS1371" s="25">
        <v>4852148</v>
      </c>
      <c r="AT1371" t="s">
        <v>26</v>
      </c>
      <c r="AU1371" t="s">
        <v>24040</v>
      </c>
    </row>
    <row r="1372" spans="1:47" ht="26.25" x14ac:dyDescent="0.4">
      <c r="A1372" s="23" t="s">
        <v>3445</v>
      </c>
      <c r="B1372" t="s">
        <v>26</v>
      </c>
      <c r="C1372" s="23" t="s">
        <v>2404</v>
      </c>
      <c r="D1372" s="23" t="s">
        <v>23395</v>
      </c>
      <c r="E1372" t="s">
        <v>26</v>
      </c>
      <c r="F1372" s="25" t="s">
        <v>3446</v>
      </c>
      <c r="G1372" s="25" t="s">
        <v>3447</v>
      </c>
      <c r="H1372" t="s">
        <v>26</v>
      </c>
      <c r="I1372" s="24">
        <v>43160</v>
      </c>
      <c r="J1372" s="25" t="s">
        <v>77</v>
      </c>
      <c r="K1372" t="s">
        <v>26</v>
      </c>
      <c r="L1372" s="25" t="s">
        <v>68</v>
      </c>
      <c r="M1372" s="24">
        <v>43160</v>
      </c>
      <c r="N1372" s="24">
        <v>43831</v>
      </c>
      <c r="O1372" t="s">
        <v>26</v>
      </c>
      <c r="P1372" s="24">
        <v>43160</v>
      </c>
      <c r="Q1372" s="24">
        <v>43831</v>
      </c>
      <c r="R1372" t="s">
        <v>26</v>
      </c>
      <c r="S1372" s="24">
        <v>44197</v>
      </c>
      <c r="T1372" s="25" t="s">
        <v>77</v>
      </c>
      <c r="U1372" t="s">
        <v>26</v>
      </c>
      <c r="V1372" t="s">
        <v>26</v>
      </c>
      <c r="W1372" s="24">
        <v>43160</v>
      </c>
      <c r="X1372" s="25" t="s">
        <v>77</v>
      </c>
      <c r="Y1372" t="s">
        <v>26</v>
      </c>
      <c r="Z1372" s="24">
        <v>43160</v>
      </c>
      <c r="AA1372" s="25" t="s">
        <v>77</v>
      </c>
      <c r="AB1372" t="s">
        <v>26</v>
      </c>
      <c r="AC1372" s="24">
        <v>43160</v>
      </c>
      <c r="AD1372" s="25" t="s">
        <v>77</v>
      </c>
      <c r="AE1372" t="s">
        <v>26</v>
      </c>
      <c r="AF1372" t="s">
        <v>26</v>
      </c>
      <c r="AG1372" t="s">
        <v>26</v>
      </c>
      <c r="AH1372" t="s">
        <v>26</v>
      </c>
      <c r="AI1372" t="s">
        <v>26</v>
      </c>
      <c r="AJ1372" t="s">
        <v>26</v>
      </c>
      <c r="AK1372" t="s">
        <v>26</v>
      </c>
      <c r="AL1372" t="s">
        <v>26</v>
      </c>
      <c r="AM1372" t="s">
        <v>26</v>
      </c>
      <c r="AN1372" t="s">
        <v>26</v>
      </c>
      <c r="AO1372" s="25" t="s">
        <v>68</v>
      </c>
      <c r="AP1372" s="23" t="s">
        <v>69</v>
      </c>
      <c r="AQ1372" s="23" t="s">
        <v>30</v>
      </c>
      <c r="AR1372" s="23" t="s">
        <v>147</v>
      </c>
      <c r="AS1372" s="25">
        <v>4170343</v>
      </c>
      <c r="AT1372" t="s">
        <v>26</v>
      </c>
      <c r="AU1372" t="s">
        <v>24041</v>
      </c>
    </row>
    <row r="1373" spans="1:47" ht="26.25" x14ac:dyDescent="0.4">
      <c r="A1373" s="23" t="s">
        <v>3448</v>
      </c>
      <c r="B1373" t="s">
        <v>26</v>
      </c>
      <c r="C1373" s="23" t="s">
        <v>107</v>
      </c>
      <c r="D1373" s="23" t="s">
        <v>22312</v>
      </c>
      <c r="E1373" s="23" t="s">
        <v>42</v>
      </c>
      <c r="F1373" s="25" t="s">
        <v>3449</v>
      </c>
      <c r="G1373" s="25" t="s">
        <v>3450</v>
      </c>
      <c r="H1373" t="s">
        <v>26</v>
      </c>
      <c r="I1373" s="24">
        <v>35551</v>
      </c>
      <c r="J1373" s="24">
        <v>40299</v>
      </c>
      <c r="K1373" t="s">
        <v>26</v>
      </c>
      <c r="L1373" s="25" t="s">
        <v>68</v>
      </c>
      <c r="M1373" s="24">
        <v>35551</v>
      </c>
      <c r="N1373" s="24">
        <v>39753</v>
      </c>
      <c r="O1373" t="s">
        <v>26</v>
      </c>
      <c r="P1373" s="24">
        <v>35551</v>
      </c>
      <c r="Q1373" s="24">
        <v>40299</v>
      </c>
      <c r="R1373" t="s">
        <v>26</v>
      </c>
      <c r="S1373" t="s">
        <v>26</v>
      </c>
      <c r="T1373" t="s">
        <v>26</v>
      </c>
      <c r="U1373" t="s">
        <v>26</v>
      </c>
      <c r="V1373" t="s">
        <v>26</v>
      </c>
      <c r="W1373" s="24">
        <v>35551</v>
      </c>
      <c r="X1373" s="25" t="s">
        <v>77</v>
      </c>
      <c r="Y1373" t="s">
        <v>26</v>
      </c>
      <c r="Z1373" s="24">
        <v>35551</v>
      </c>
      <c r="AA1373" s="25" t="s">
        <v>77</v>
      </c>
      <c r="AB1373" t="s">
        <v>26</v>
      </c>
      <c r="AC1373" s="24">
        <v>37987</v>
      </c>
      <c r="AD1373" s="25" t="s">
        <v>77</v>
      </c>
      <c r="AE1373" t="s">
        <v>26</v>
      </c>
      <c r="AF1373" t="s">
        <v>26</v>
      </c>
      <c r="AG1373" t="s">
        <v>26</v>
      </c>
      <c r="AH1373" t="s">
        <v>26</v>
      </c>
      <c r="AI1373" t="s">
        <v>26</v>
      </c>
      <c r="AJ1373" t="s">
        <v>26</v>
      </c>
      <c r="AK1373" t="s">
        <v>26</v>
      </c>
      <c r="AL1373" t="s">
        <v>26</v>
      </c>
      <c r="AM1373" t="s">
        <v>26</v>
      </c>
      <c r="AN1373" t="s">
        <v>26</v>
      </c>
      <c r="AO1373" s="25" t="s">
        <v>68</v>
      </c>
      <c r="AP1373" s="23" t="s">
        <v>69</v>
      </c>
      <c r="AQ1373" s="23" t="s">
        <v>30</v>
      </c>
      <c r="AR1373" s="23" t="s">
        <v>3451</v>
      </c>
      <c r="AS1373" s="25">
        <v>34569</v>
      </c>
      <c r="AT1373" t="s">
        <v>26</v>
      </c>
      <c r="AU1373" t="s">
        <v>24042</v>
      </c>
    </row>
    <row r="1374" spans="1:47" ht="13.15" x14ac:dyDescent="0.4">
      <c r="A1374" s="23" t="s">
        <v>3452</v>
      </c>
      <c r="B1374" t="s">
        <v>26</v>
      </c>
      <c r="C1374" s="23" t="s">
        <v>146</v>
      </c>
      <c r="D1374" s="23" t="s">
        <v>22174</v>
      </c>
      <c r="E1374" s="23" t="s">
        <v>60</v>
      </c>
      <c r="F1374" t="s">
        <v>26</v>
      </c>
      <c r="G1374" t="s">
        <v>26</v>
      </c>
      <c r="H1374" t="s">
        <v>26</v>
      </c>
      <c r="I1374" t="s">
        <v>26</v>
      </c>
      <c r="J1374" t="s">
        <v>26</v>
      </c>
      <c r="K1374" t="s">
        <v>26</v>
      </c>
      <c r="L1374" s="25" t="s">
        <v>28</v>
      </c>
      <c r="M1374" t="s">
        <v>26</v>
      </c>
      <c r="N1374" t="s">
        <v>26</v>
      </c>
      <c r="O1374" t="s">
        <v>26</v>
      </c>
      <c r="P1374" t="s">
        <v>26</v>
      </c>
      <c r="Q1374" t="s">
        <v>26</v>
      </c>
      <c r="R1374" t="s">
        <v>26</v>
      </c>
      <c r="S1374" t="s">
        <v>26</v>
      </c>
      <c r="T1374" t="s">
        <v>26</v>
      </c>
      <c r="U1374" t="s">
        <v>26</v>
      </c>
      <c r="V1374" t="s">
        <v>26</v>
      </c>
      <c r="W1374" s="24">
        <v>42005</v>
      </c>
      <c r="X1374" s="24">
        <v>42005</v>
      </c>
      <c r="Y1374" t="s">
        <v>26</v>
      </c>
      <c r="Z1374" s="24">
        <v>42005</v>
      </c>
      <c r="AA1374" s="24">
        <v>42005</v>
      </c>
      <c r="AB1374" t="s">
        <v>26</v>
      </c>
      <c r="AC1374" t="s">
        <v>26</v>
      </c>
      <c r="AD1374" t="s">
        <v>26</v>
      </c>
      <c r="AE1374" t="s">
        <v>26</v>
      </c>
      <c r="AF1374" t="s">
        <v>26</v>
      </c>
      <c r="AG1374" t="s">
        <v>26</v>
      </c>
      <c r="AH1374" t="s">
        <v>26</v>
      </c>
      <c r="AI1374" t="s">
        <v>26</v>
      </c>
      <c r="AJ1374" t="s">
        <v>26</v>
      </c>
      <c r="AK1374" t="s">
        <v>26</v>
      </c>
      <c r="AL1374" t="s">
        <v>26</v>
      </c>
      <c r="AM1374" t="s">
        <v>26</v>
      </c>
      <c r="AN1374" t="s">
        <v>26</v>
      </c>
      <c r="AO1374" s="25" t="s">
        <v>28</v>
      </c>
      <c r="AP1374" s="23" t="s">
        <v>29</v>
      </c>
      <c r="AQ1374" s="23" t="s">
        <v>30</v>
      </c>
      <c r="AR1374" s="23" t="s">
        <v>44</v>
      </c>
      <c r="AS1374" s="25">
        <v>5483622</v>
      </c>
      <c r="AT1374" s="23" t="s">
        <v>22181</v>
      </c>
      <c r="AU1374" t="s">
        <v>24043</v>
      </c>
    </row>
    <row r="1375" spans="1:47" ht="26.25" x14ac:dyDescent="0.4">
      <c r="A1375" s="23" t="s">
        <v>3453</v>
      </c>
      <c r="B1375" t="s">
        <v>26</v>
      </c>
      <c r="C1375" s="23" t="s">
        <v>23542</v>
      </c>
      <c r="D1375" t="s">
        <v>26</v>
      </c>
      <c r="E1375" s="23" t="s">
        <v>60</v>
      </c>
      <c r="F1375" t="s">
        <v>26</v>
      </c>
      <c r="G1375" t="s">
        <v>26</v>
      </c>
      <c r="H1375" t="s">
        <v>26</v>
      </c>
      <c r="I1375" s="24">
        <v>41640</v>
      </c>
      <c r="J1375" s="24">
        <v>41640</v>
      </c>
      <c r="K1375" t="s">
        <v>26</v>
      </c>
      <c r="L1375" s="25" t="s">
        <v>28</v>
      </c>
      <c r="M1375" s="24">
        <v>41640</v>
      </c>
      <c r="N1375" s="24">
        <v>41640</v>
      </c>
      <c r="O1375" t="s">
        <v>26</v>
      </c>
      <c r="P1375" t="s">
        <v>26</v>
      </c>
      <c r="Q1375" t="s">
        <v>26</v>
      </c>
      <c r="R1375" t="s">
        <v>26</v>
      </c>
      <c r="S1375" s="24">
        <v>41640</v>
      </c>
      <c r="T1375" s="24">
        <v>41640</v>
      </c>
      <c r="U1375" t="s">
        <v>26</v>
      </c>
      <c r="V1375" t="s">
        <v>26</v>
      </c>
      <c r="W1375" s="24">
        <v>41640</v>
      </c>
      <c r="X1375" s="24">
        <v>41640</v>
      </c>
      <c r="Y1375" t="s">
        <v>26</v>
      </c>
      <c r="Z1375" s="24">
        <v>41640</v>
      </c>
      <c r="AA1375" s="24">
        <v>41640</v>
      </c>
      <c r="AB1375" t="s">
        <v>26</v>
      </c>
      <c r="AC1375" s="24">
        <v>41640</v>
      </c>
      <c r="AD1375" s="24">
        <v>41640</v>
      </c>
      <c r="AE1375" t="s">
        <v>26</v>
      </c>
      <c r="AF1375" s="24">
        <v>41640</v>
      </c>
      <c r="AG1375" s="24">
        <v>41640</v>
      </c>
      <c r="AH1375" t="s">
        <v>26</v>
      </c>
      <c r="AI1375" s="24">
        <v>41640</v>
      </c>
      <c r="AJ1375" s="24">
        <v>41640</v>
      </c>
      <c r="AK1375" t="s">
        <v>26</v>
      </c>
      <c r="AL1375" t="s">
        <v>26</v>
      </c>
      <c r="AM1375" t="s">
        <v>26</v>
      </c>
      <c r="AN1375" t="s">
        <v>26</v>
      </c>
      <c r="AO1375" s="25" t="s">
        <v>28</v>
      </c>
      <c r="AP1375" s="23" t="s">
        <v>43</v>
      </c>
      <c r="AQ1375" s="23" t="s">
        <v>30</v>
      </c>
      <c r="AR1375" s="23" t="s">
        <v>44</v>
      </c>
      <c r="AS1375" s="25">
        <v>5262102</v>
      </c>
      <c r="AT1375" t="s">
        <v>26</v>
      </c>
      <c r="AU1375" t="s">
        <v>24044</v>
      </c>
    </row>
    <row r="1376" spans="1:47" ht="26.25" x14ac:dyDescent="0.4">
      <c r="A1376" s="23" t="s">
        <v>3454</v>
      </c>
      <c r="B1376" t="s">
        <v>26</v>
      </c>
      <c r="C1376" s="23" t="s">
        <v>22471</v>
      </c>
      <c r="D1376" t="s">
        <v>26</v>
      </c>
      <c r="E1376" s="23" t="s">
        <v>42</v>
      </c>
      <c r="F1376" t="s">
        <v>26</v>
      </c>
      <c r="G1376" t="s">
        <v>26</v>
      </c>
      <c r="H1376" t="s">
        <v>26</v>
      </c>
      <c r="I1376" s="24">
        <v>39814</v>
      </c>
      <c r="J1376" s="24">
        <v>39814</v>
      </c>
      <c r="K1376" t="s">
        <v>26</v>
      </c>
      <c r="L1376" s="25" t="s">
        <v>28</v>
      </c>
      <c r="M1376" s="24">
        <v>39814</v>
      </c>
      <c r="N1376" s="24">
        <v>39814</v>
      </c>
      <c r="O1376" t="s">
        <v>26</v>
      </c>
      <c r="P1376" t="s">
        <v>26</v>
      </c>
      <c r="Q1376" t="s">
        <v>26</v>
      </c>
      <c r="R1376" t="s">
        <v>26</v>
      </c>
      <c r="S1376" s="24">
        <v>39814</v>
      </c>
      <c r="T1376" s="24">
        <v>39814</v>
      </c>
      <c r="U1376" t="s">
        <v>26</v>
      </c>
      <c r="V1376" t="s">
        <v>26</v>
      </c>
      <c r="W1376" s="24">
        <v>39814</v>
      </c>
      <c r="X1376" s="24">
        <v>39814</v>
      </c>
      <c r="Y1376" t="s">
        <v>26</v>
      </c>
      <c r="Z1376" s="24">
        <v>39814</v>
      </c>
      <c r="AA1376" s="24">
        <v>39814</v>
      </c>
      <c r="AB1376" t="s">
        <v>26</v>
      </c>
      <c r="AC1376" s="24">
        <v>39814</v>
      </c>
      <c r="AD1376" s="24">
        <v>39814</v>
      </c>
      <c r="AE1376" t="s">
        <v>26</v>
      </c>
      <c r="AF1376" s="24">
        <v>39814</v>
      </c>
      <c r="AG1376" s="24">
        <v>39814</v>
      </c>
      <c r="AH1376" t="s">
        <v>26</v>
      </c>
      <c r="AI1376" s="24">
        <v>39814</v>
      </c>
      <c r="AJ1376" s="24">
        <v>39814</v>
      </c>
      <c r="AK1376" t="s">
        <v>26</v>
      </c>
      <c r="AL1376" t="s">
        <v>26</v>
      </c>
      <c r="AM1376" t="s">
        <v>26</v>
      </c>
      <c r="AN1376" t="s">
        <v>26</v>
      </c>
      <c r="AO1376" s="25" t="s">
        <v>28</v>
      </c>
      <c r="AP1376" s="23" t="s">
        <v>43</v>
      </c>
      <c r="AQ1376" s="23" t="s">
        <v>30</v>
      </c>
      <c r="AR1376" s="23" t="s">
        <v>46</v>
      </c>
      <c r="AS1376" s="25">
        <v>6362734</v>
      </c>
      <c r="AT1376" t="s">
        <v>26</v>
      </c>
      <c r="AU1376" t="s">
        <v>24045</v>
      </c>
    </row>
    <row r="1377" spans="1:47" ht="26.25" x14ac:dyDescent="0.4">
      <c r="A1377" s="23" t="s">
        <v>3455</v>
      </c>
      <c r="B1377" t="s">
        <v>26</v>
      </c>
      <c r="C1377" s="23" t="s">
        <v>146</v>
      </c>
      <c r="D1377" s="23" t="s">
        <v>22174</v>
      </c>
      <c r="E1377" s="23" t="s">
        <v>60</v>
      </c>
      <c r="F1377" t="s">
        <v>26</v>
      </c>
      <c r="G1377" t="s">
        <v>26</v>
      </c>
      <c r="H1377" t="s">
        <v>26</v>
      </c>
      <c r="I1377" t="s">
        <v>26</v>
      </c>
      <c r="J1377" t="s">
        <v>26</v>
      </c>
      <c r="K1377" t="s">
        <v>26</v>
      </c>
      <c r="L1377" s="25" t="s">
        <v>28</v>
      </c>
      <c r="M1377" t="s">
        <v>26</v>
      </c>
      <c r="N1377" t="s">
        <v>26</v>
      </c>
      <c r="O1377" t="s">
        <v>26</v>
      </c>
      <c r="P1377" t="s">
        <v>26</v>
      </c>
      <c r="Q1377" t="s">
        <v>26</v>
      </c>
      <c r="R1377" t="s">
        <v>26</v>
      </c>
      <c r="S1377" t="s">
        <v>26</v>
      </c>
      <c r="T1377" t="s">
        <v>26</v>
      </c>
      <c r="U1377" t="s">
        <v>26</v>
      </c>
      <c r="V1377" t="s">
        <v>26</v>
      </c>
      <c r="W1377" s="24">
        <v>41640</v>
      </c>
      <c r="X1377" s="24">
        <v>41640</v>
      </c>
      <c r="Y1377" t="s">
        <v>26</v>
      </c>
      <c r="Z1377" s="24">
        <v>41640</v>
      </c>
      <c r="AA1377" s="24">
        <v>41640</v>
      </c>
      <c r="AB1377" t="s">
        <v>26</v>
      </c>
      <c r="AC1377" t="s">
        <v>26</v>
      </c>
      <c r="AD1377" t="s">
        <v>26</v>
      </c>
      <c r="AE1377" t="s">
        <v>26</v>
      </c>
      <c r="AF1377" t="s">
        <v>26</v>
      </c>
      <c r="AG1377" t="s">
        <v>26</v>
      </c>
      <c r="AH1377" t="s">
        <v>26</v>
      </c>
      <c r="AI1377" t="s">
        <v>26</v>
      </c>
      <c r="AJ1377" t="s">
        <v>26</v>
      </c>
      <c r="AK1377" t="s">
        <v>26</v>
      </c>
      <c r="AL1377" t="s">
        <v>26</v>
      </c>
      <c r="AM1377" t="s">
        <v>26</v>
      </c>
      <c r="AN1377" t="s">
        <v>26</v>
      </c>
      <c r="AO1377" s="25" t="s">
        <v>28</v>
      </c>
      <c r="AP1377" s="23" t="s">
        <v>29</v>
      </c>
      <c r="AQ1377" s="23" t="s">
        <v>30</v>
      </c>
      <c r="AR1377" s="23" t="s">
        <v>44</v>
      </c>
      <c r="AS1377" s="25">
        <v>5483621</v>
      </c>
      <c r="AT1377" s="23" t="s">
        <v>22181</v>
      </c>
      <c r="AU1377" t="s">
        <v>24046</v>
      </c>
    </row>
    <row r="1378" spans="1:47" ht="39.4" x14ac:dyDescent="0.4">
      <c r="A1378" s="23" t="s">
        <v>3456</v>
      </c>
      <c r="B1378" t="s">
        <v>26</v>
      </c>
      <c r="C1378" s="23" t="s">
        <v>3457</v>
      </c>
      <c r="D1378" s="23" t="s">
        <v>22254</v>
      </c>
      <c r="E1378" s="23" t="s">
        <v>42</v>
      </c>
      <c r="F1378" t="s">
        <v>26</v>
      </c>
      <c r="G1378" t="s">
        <v>26</v>
      </c>
      <c r="H1378" t="s">
        <v>26</v>
      </c>
      <c r="I1378" s="24">
        <v>42013</v>
      </c>
      <c r="J1378" s="24">
        <v>45043</v>
      </c>
      <c r="K1378" t="s">
        <v>26</v>
      </c>
      <c r="L1378" s="25" t="s">
        <v>28</v>
      </c>
      <c r="M1378" s="24">
        <v>42013</v>
      </c>
      <c r="N1378" s="24">
        <v>45043</v>
      </c>
      <c r="O1378" t="s">
        <v>26</v>
      </c>
      <c r="P1378" t="s">
        <v>26</v>
      </c>
      <c r="Q1378" t="s">
        <v>26</v>
      </c>
      <c r="R1378" t="s">
        <v>26</v>
      </c>
      <c r="S1378" t="s">
        <v>26</v>
      </c>
      <c r="T1378" t="s">
        <v>26</v>
      </c>
      <c r="U1378" t="s">
        <v>26</v>
      </c>
      <c r="V1378" t="s">
        <v>26</v>
      </c>
      <c r="W1378" s="24">
        <v>42013</v>
      </c>
      <c r="X1378" s="24">
        <v>45043</v>
      </c>
      <c r="Y1378" t="s">
        <v>26</v>
      </c>
      <c r="Z1378" s="24">
        <v>42013</v>
      </c>
      <c r="AA1378" s="24">
        <v>45043</v>
      </c>
      <c r="AB1378" t="s">
        <v>26</v>
      </c>
      <c r="AC1378" s="24">
        <v>42013</v>
      </c>
      <c r="AD1378" s="24">
        <v>43357</v>
      </c>
      <c r="AE1378" t="s">
        <v>26</v>
      </c>
      <c r="AF1378" t="s">
        <v>26</v>
      </c>
      <c r="AG1378" t="s">
        <v>26</v>
      </c>
      <c r="AH1378" t="s">
        <v>26</v>
      </c>
      <c r="AI1378" t="s">
        <v>26</v>
      </c>
      <c r="AJ1378" t="s">
        <v>26</v>
      </c>
      <c r="AK1378" t="s">
        <v>26</v>
      </c>
      <c r="AL1378" t="s">
        <v>26</v>
      </c>
      <c r="AM1378" t="s">
        <v>26</v>
      </c>
      <c r="AN1378" t="s">
        <v>26</v>
      </c>
      <c r="AO1378" s="25" t="s">
        <v>28</v>
      </c>
      <c r="AP1378" s="23" t="s">
        <v>365</v>
      </c>
      <c r="AQ1378" s="23" t="s">
        <v>30</v>
      </c>
      <c r="AR1378" s="23" t="s">
        <v>996</v>
      </c>
      <c r="AS1378" s="25">
        <v>3962596</v>
      </c>
      <c r="AT1378" t="s">
        <v>26</v>
      </c>
      <c r="AU1378" t="s">
        <v>24047</v>
      </c>
    </row>
    <row r="1379" spans="1:47" ht="13.15" x14ac:dyDescent="0.4">
      <c r="A1379" s="23" t="s">
        <v>3458</v>
      </c>
      <c r="B1379" t="s">
        <v>26</v>
      </c>
      <c r="C1379" s="23" t="s">
        <v>1612</v>
      </c>
      <c r="D1379" s="23" t="s">
        <v>23047</v>
      </c>
      <c r="E1379" s="23" t="s">
        <v>42</v>
      </c>
      <c r="F1379" t="s">
        <v>26</v>
      </c>
      <c r="G1379" t="s">
        <v>26</v>
      </c>
      <c r="H1379" t="s">
        <v>26</v>
      </c>
      <c r="I1379" t="s">
        <v>26</v>
      </c>
      <c r="J1379" t="s">
        <v>26</v>
      </c>
      <c r="K1379" t="s">
        <v>26</v>
      </c>
      <c r="L1379" s="25" t="s">
        <v>28</v>
      </c>
      <c r="M1379" t="s">
        <v>26</v>
      </c>
      <c r="N1379" t="s">
        <v>26</v>
      </c>
      <c r="O1379" t="s">
        <v>26</v>
      </c>
      <c r="P1379" t="s">
        <v>26</v>
      </c>
      <c r="Q1379" t="s">
        <v>26</v>
      </c>
      <c r="R1379" t="s">
        <v>26</v>
      </c>
      <c r="S1379" t="s">
        <v>26</v>
      </c>
      <c r="T1379" t="s">
        <v>26</v>
      </c>
      <c r="U1379" t="s">
        <v>26</v>
      </c>
      <c r="V1379" t="s">
        <v>26</v>
      </c>
      <c r="W1379" s="24">
        <v>42370</v>
      </c>
      <c r="X1379" s="24">
        <v>42370</v>
      </c>
      <c r="Y1379" t="s">
        <v>26</v>
      </c>
      <c r="Z1379" s="24">
        <v>42370</v>
      </c>
      <c r="AA1379" s="24">
        <v>42370</v>
      </c>
      <c r="AB1379" t="s">
        <v>26</v>
      </c>
      <c r="AC1379" t="s">
        <v>26</v>
      </c>
      <c r="AD1379" t="s">
        <v>26</v>
      </c>
      <c r="AE1379" t="s">
        <v>26</v>
      </c>
      <c r="AF1379" t="s">
        <v>26</v>
      </c>
      <c r="AG1379" t="s">
        <v>26</v>
      </c>
      <c r="AH1379" t="s">
        <v>26</v>
      </c>
      <c r="AI1379" t="s">
        <v>26</v>
      </c>
      <c r="AJ1379" t="s">
        <v>26</v>
      </c>
      <c r="AK1379" t="s">
        <v>26</v>
      </c>
      <c r="AL1379" t="s">
        <v>26</v>
      </c>
      <c r="AM1379" t="s">
        <v>26</v>
      </c>
      <c r="AN1379" t="s">
        <v>26</v>
      </c>
      <c r="AO1379" s="25" t="s">
        <v>28</v>
      </c>
      <c r="AP1379" s="23" t="s">
        <v>29</v>
      </c>
      <c r="AQ1379" s="23" t="s">
        <v>30</v>
      </c>
      <c r="AR1379" s="23" t="s">
        <v>147</v>
      </c>
      <c r="AS1379" s="25">
        <v>5483550</v>
      </c>
      <c r="AT1379" s="23" t="s">
        <v>22181</v>
      </c>
      <c r="AU1379" t="s">
        <v>24048</v>
      </c>
    </row>
    <row r="1380" spans="1:47" ht="26.25" x14ac:dyDescent="0.4">
      <c r="A1380" s="23" t="s">
        <v>3459</v>
      </c>
      <c r="B1380" t="s">
        <v>26</v>
      </c>
      <c r="C1380" s="23" t="s">
        <v>3460</v>
      </c>
      <c r="D1380" s="23" t="s">
        <v>24049</v>
      </c>
      <c r="E1380" s="23" t="s">
        <v>3461</v>
      </c>
      <c r="F1380" s="25" t="s">
        <v>3462</v>
      </c>
      <c r="G1380" s="25" t="s">
        <v>3463</v>
      </c>
      <c r="H1380" t="s">
        <v>26</v>
      </c>
      <c r="I1380" s="24">
        <v>39814</v>
      </c>
      <c r="J1380" s="25" t="s">
        <v>77</v>
      </c>
      <c r="K1380" t="s">
        <v>26</v>
      </c>
      <c r="L1380" s="25" t="s">
        <v>68</v>
      </c>
      <c r="M1380" s="24">
        <v>39814</v>
      </c>
      <c r="N1380" s="24">
        <v>42736</v>
      </c>
      <c r="O1380" t="s">
        <v>26</v>
      </c>
      <c r="P1380" s="24">
        <v>39814</v>
      </c>
      <c r="Q1380" s="25" t="s">
        <v>77</v>
      </c>
      <c r="R1380" t="s">
        <v>26</v>
      </c>
      <c r="S1380" t="s">
        <v>26</v>
      </c>
      <c r="T1380" t="s">
        <v>26</v>
      </c>
      <c r="U1380" t="s">
        <v>26</v>
      </c>
      <c r="V1380" t="s">
        <v>26</v>
      </c>
      <c r="W1380" s="24">
        <v>39814</v>
      </c>
      <c r="X1380" s="25" t="s">
        <v>77</v>
      </c>
      <c r="Y1380" t="s">
        <v>26</v>
      </c>
      <c r="Z1380" s="24">
        <v>39814</v>
      </c>
      <c r="AA1380" s="25" t="s">
        <v>77</v>
      </c>
      <c r="AB1380" t="s">
        <v>26</v>
      </c>
      <c r="AC1380" s="24">
        <v>42370</v>
      </c>
      <c r="AD1380" s="25" t="s">
        <v>77</v>
      </c>
      <c r="AE1380" t="s">
        <v>26</v>
      </c>
      <c r="AF1380" t="s">
        <v>26</v>
      </c>
      <c r="AG1380" t="s">
        <v>26</v>
      </c>
      <c r="AH1380" t="s">
        <v>26</v>
      </c>
      <c r="AI1380" t="s">
        <v>26</v>
      </c>
      <c r="AJ1380" t="s">
        <v>26</v>
      </c>
      <c r="AK1380" t="s">
        <v>26</v>
      </c>
      <c r="AL1380" t="s">
        <v>26</v>
      </c>
      <c r="AM1380" t="s">
        <v>26</v>
      </c>
      <c r="AN1380" t="s">
        <v>26</v>
      </c>
      <c r="AO1380" s="25" t="s">
        <v>68</v>
      </c>
      <c r="AP1380" s="23" t="s">
        <v>69</v>
      </c>
      <c r="AQ1380" s="23" t="s">
        <v>30</v>
      </c>
      <c r="AR1380" s="23" t="s">
        <v>70</v>
      </c>
      <c r="AS1380" s="25">
        <v>105762</v>
      </c>
      <c r="AT1380" t="s">
        <v>26</v>
      </c>
      <c r="AU1380" t="s">
        <v>24050</v>
      </c>
    </row>
    <row r="1381" spans="1:47" ht="26.25" x14ac:dyDescent="0.4">
      <c r="A1381" s="23" t="s">
        <v>3464</v>
      </c>
      <c r="B1381" t="s">
        <v>26</v>
      </c>
      <c r="C1381" s="23" t="s">
        <v>167</v>
      </c>
      <c r="D1381" s="23" t="s">
        <v>22218</v>
      </c>
      <c r="E1381" s="23" t="s">
        <v>60</v>
      </c>
      <c r="F1381" s="25" t="s">
        <v>3465</v>
      </c>
      <c r="G1381" s="25" t="s">
        <v>3466</v>
      </c>
      <c r="H1381" t="s">
        <v>26</v>
      </c>
      <c r="I1381" s="24">
        <v>41334</v>
      </c>
      <c r="J1381" s="25" t="s">
        <v>77</v>
      </c>
      <c r="K1381" t="s">
        <v>26</v>
      </c>
      <c r="L1381" s="25" t="s">
        <v>68</v>
      </c>
      <c r="M1381" s="24">
        <v>41334</v>
      </c>
      <c r="N1381" s="25" t="s">
        <v>77</v>
      </c>
      <c r="O1381" t="s">
        <v>26</v>
      </c>
      <c r="P1381" s="24">
        <v>41334</v>
      </c>
      <c r="Q1381" s="25" t="s">
        <v>77</v>
      </c>
      <c r="R1381" t="s">
        <v>26</v>
      </c>
      <c r="S1381" t="s">
        <v>26</v>
      </c>
      <c r="T1381" t="s">
        <v>26</v>
      </c>
      <c r="U1381" t="s">
        <v>26</v>
      </c>
      <c r="V1381" s="25">
        <v>365</v>
      </c>
      <c r="W1381" s="24">
        <v>39508</v>
      </c>
      <c r="X1381" s="25" t="s">
        <v>77</v>
      </c>
      <c r="Y1381" t="s">
        <v>26</v>
      </c>
      <c r="Z1381" s="24">
        <v>39508</v>
      </c>
      <c r="AA1381" s="25" t="s">
        <v>77</v>
      </c>
      <c r="AB1381" t="s">
        <v>26</v>
      </c>
      <c r="AC1381" s="24">
        <v>41334</v>
      </c>
      <c r="AD1381" s="25" t="s">
        <v>77</v>
      </c>
      <c r="AE1381" t="s">
        <v>26</v>
      </c>
      <c r="AF1381" t="s">
        <v>26</v>
      </c>
      <c r="AG1381" t="s">
        <v>26</v>
      </c>
      <c r="AH1381" t="s">
        <v>26</v>
      </c>
      <c r="AI1381" t="s">
        <v>26</v>
      </c>
      <c r="AJ1381" t="s">
        <v>26</v>
      </c>
      <c r="AK1381" t="s">
        <v>26</v>
      </c>
      <c r="AL1381" t="s">
        <v>26</v>
      </c>
      <c r="AM1381" t="s">
        <v>26</v>
      </c>
      <c r="AN1381" t="s">
        <v>26</v>
      </c>
      <c r="AO1381" s="25" t="s">
        <v>68</v>
      </c>
      <c r="AP1381" s="23" t="s">
        <v>69</v>
      </c>
      <c r="AQ1381" s="23" t="s">
        <v>30</v>
      </c>
      <c r="AR1381" s="23" t="s">
        <v>70</v>
      </c>
      <c r="AS1381" s="25">
        <v>5516383</v>
      </c>
      <c r="AT1381" t="s">
        <v>26</v>
      </c>
      <c r="AU1381" t="s">
        <v>24051</v>
      </c>
    </row>
    <row r="1382" spans="1:47" ht="26.25" x14ac:dyDescent="0.4">
      <c r="A1382" s="23" t="s">
        <v>3467</v>
      </c>
      <c r="B1382" t="s">
        <v>26</v>
      </c>
      <c r="C1382" s="23" t="s">
        <v>80</v>
      </c>
      <c r="D1382" s="23" t="s">
        <v>24052</v>
      </c>
      <c r="E1382" s="23" t="s">
        <v>60</v>
      </c>
      <c r="F1382" s="25" t="s">
        <v>3468</v>
      </c>
      <c r="G1382" s="25" t="s">
        <v>3469</v>
      </c>
      <c r="H1382" t="s">
        <v>26</v>
      </c>
      <c r="I1382" s="24">
        <v>38718</v>
      </c>
      <c r="J1382" s="24">
        <v>40787</v>
      </c>
      <c r="K1382" s="25" t="s">
        <v>431</v>
      </c>
      <c r="L1382" s="25" t="s">
        <v>68</v>
      </c>
      <c r="M1382" s="24">
        <v>38718</v>
      </c>
      <c r="N1382" s="24">
        <v>40787</v>
      </c>
      <c r="O1382" s="25" t="s">
        <v>431</v>
      </c>
      <c r="P1382" s="24">
        <v>38718</v>
      </c>
      <c r="Q1382" s="24">
        <v>40787</v>
      </c>
      <c r="R1382" s="25" t="s">
        <v>431</v>
      </c>
      <c r="S1382" t="s">
        <v>26</v>
      </c>
      <c r="T1382" t="s">
        <v>26</v>
      </c>
      <c r="U1382" t="s">
        <v>26</v>
      </c>
      <c r="V1382" t="s">
        <v>26</v>
      </c>
      <c r="W1382" s="24">
        <v>38718</v>
      </c>
      <c r="X1382" s="24">
        <v>40787</v>
      </c>
      <c r="Y1382" s="25" t="s">
        <v>431</v>
      </c>
      <c r="Z1382" s="24">
        <v>38718</v>
      </c>
      <c r="AA1382" s="24">
        <v>40787</v>
      </c>
      <c r="AB1382" s="25" t="s">
        <v>431</v>
      </c>
      <c r="AC1382" t="s">
        <v>26</v>
      </c>
      <c r="AD1382" t="s">
        <v>26</v>
      </c>
      <c r="AE1382" t="s">
        <v>26</v>
      </c>
      <c r="AF1382" t="s">
        <v>26</v>
      </c>
      <c r="AG1382" t="s">
        <v>26</v>
      </c>
      <c r="AH1382" t="s">
        <v>26</v>
      </c>
      <c r="AI1382" t="s">
        <v>26</v>
      </c>
      <c r="AJ1382" t="s">
        <v>26</v>
      </c>
      <c r="AK1382" t="s">
        <v>26</v>
      </c>
      <c r="AL1382" t="s">
        <v>26</v>
      </c>
      <c r="AM1382" t="s">
        <v>26</v>
      </c>
      <c r="AN1382" t="s">
        <v>26</v>
      </c>
      <c r="AO1382" s="25" t="s">
        <v>68</v>
      </c>
      <c r="AP1382" s="23" t="s">
        <v>69</v>
      </c>
      <c r="AQ1382" s="23" t="s">
        <v>30</v>
      </c>
      <c r="AR1382" s="23" t="s">
        <v>46</v>
      </c>
      <c r="AS1382" s="25">
        <v>32818</v>
      </c>
      <c r="AT1382" t="s">
        <v>26</v>
      </c>
      <c r="AU1382" t="s">
        <v>24053</v>
      </c>
    </row>
    <row r="1383" spans="1:47" ht="13.15" x14ac:dyDescent="0.4">
      <c r="A1383" s="23" t="s">
        <v>24054</v>
      </c>
      <c r="B1383" t="s">
        <v>26</v>
      </c>
      <c r="C1383" s="23" t="s">
        <v>24055</v>
      </c>
      <c r="D1383" s="23" t="s">
        <v>22772</v>
      </c>
      <c r="E1383" s="23" t="s">
        <v>335</v>
      </c>
      <c r="F1383" t="s">
        <v>26</v>
      </c>
      <c r="G1383" t="s">
        <v>26</v>
      </c>
      <c r="H1383" t="s">
        <v>26</v>
      </c>
      <c r="I1383" s="24">
        <v>43101</v>
      </c>
      <c r="J1383" s="24">
        <v>43101</v>
      </c>
      <c r="K1383" t="s">
        <v>26</v>
      </c>
      <c r="L1383" s="25" t="s">
        <v>28</v>
      </c>
      <c r="M1383" t="s">
        <v>26</v>
      </c>
      <c r="N1383" t="s">
        <v>26</v>
      </c>
      <c r="O1383" t="s">
        <v>26</v>
      </c>
      <c r="P1383" s="24">
        <v>43101</v>
      </c>
      <c r="Q1383" s="24">
        <v>43101</v>
      </c>
      <c r="R1383" t="s">
        <v>26</v>
      </c>
      <c r="S1383" t="s">
        <v>26</v>
      </c>
      <c r="T1383" t="s">
        <v>26</v>
      </c>
      <c r="U1383" t="s">
        <v>26</v>
      </c>
      <c r="V1383" t="s">
        <v>26</v>
      </c>
      <c r="W1383" s="24">
        <v>43101</v>
      </c>
      <c r="X1383" s="24">
        <v>43101</v>
      </c>
      <c r="Y1383" t="s">
        <v>26</v>
      </c>
      <c r="Z1383" s="24">
        <v>43101</v>
      </c>
      <c r="AA1383" s="24">
        <v>43101</v>
      </c>
      <c r="AB1383" t="s">
        <v>26</v>
      </c>
      <c r="AC1383" t="s">
        <v>26</v>
      </c>
      <c r="AD1383" t="s">
        <v>26</v>
      </c>
      <c r="AE1383" t="s">
        <v>26</v>
      </c>
      <c r="AF1383" t="s">
        <v>26</v>
      </c>
      <c r="AG1383" t="s">
        <v>26</v>
      </c>
      <c r="AH1383" t="s">
        <v>26</v>
      </c>
      <c r="AI1383" t="s">
        <v>26</v>
      </c>
      <c r="AJ1383" t="s">
        <v>26</v>
      </c>
      <c r="AK1383" t="s">
        <v>26</v>
      </c>
      <c r="AL1383" t="s">
        <v>26</v>
      </c>
      <c r="AM1383" t="s">
        <v>26</v>
      </c>
      <c r="AN1383" t="s">
        <v>26</v>
      </c>
      <c r="AO1383" s="25" t="s">
        <v>28</v>
      </c>
      <c r="AP1383" s="23" t="s">
        <v>279</v>
      </c>
      <c r="AQ1383" s="23" t="s">
        <v>30</v>
      </c>
      <c r="AR1383" s="23" t="s">
        <v>46</v>
      </c>
      <c r="AS1383" s="25">
        <v>6508386</v>
      </c>
      <c r="AT1383" t="s">
        <v>26</v>
      </c>
      <c r="AU1383" t="s">
        <v>24056</v>
      </c>
    </row>
    <row r="1384" spans="1:47" ht="26.25" x14ac:dyDescent="0.4">
      <c r="A1384" s="23" t="s">
        <v>3470</v>
      </c>
      <c r="B1384" t="s">
        <v>26</v>
      </c>
      <c r="C1384" s="23" t="s">
        <v>2241</v>
      </c>
      <c r="D1384" t="s">
        <v>26</v>
      </c>
      <c r="E1384" s="23" t="s">
        <v>42</v>
      </c>
      <c r="F1384" t="s">
        <v>26</v>
      </c>
      <c r="G1384" t="s">
        <v>26</v>
      </c>
      <c r="H1384" t="s">
        <v>26</v>
      </c>
      <c r="I1384" s="24">
        <v>40909</v>
      </c>
      <c r="J1384" s="24">
        <v>40909</v>
      </c>
      <c r="K1384" t="s">
        <v>26</v>
      </c>
      <c r="L1384" s="25" t="s">
        <v>28</v>
      </c>
      <c r="M1384" s="24">
        <v>40909</v>
      </c>
      <c r="N1384" s="24">
        <v>40909</v>
      </c>
      <c r="O1384" t="s">
        <v>26</v>
      </c>
      <c r="P1384" t="s">
        <v>26</v>
      </c>
      <c r="Q1384" t="s">
        <v>26</v>
      </c>
      <c r="R1384" t="s">
        <v>26</v>
      </c>
      <c r="S1384" s="24">
        <v>40909</v>
      </c>
      <c r="T1384" s="24">
        <v>40909</v>
      </c>
      <c r="U1384" t="s">
        <v>26</v>
      </c>
      <c r="V1384" t="s">
        <v>26</v>
      </c>
      <c r="W1384" s="24">
        <v>40909</v>
      </c>
      <c r="X1384" s="24">
        <v>40909</v>
      </c>
      <c r="Y1384" t="s">
        <v>26</v>
      </c>
      <c r="Z1384" s="24">
        <v>40909</v>
      </c>
      <c r="AA1384" s="24">
        <v>40909</v>
      </c>
      <c r="AB1384" t="s">
        <v>26</v>
      </c>
      <c r="AC1384" s="24">
        <v>40909</v>
      </c>
      <c r="AD1384" s="24">
        <v>40909</v>
      </c>
      <c r="AE1384" t="s">
        <v>26</v>
      </c>
      <c r="AF1384" s="24">
        <v>40909</v>
      </c>
      <c r="AG1384" s="24">
        <v>40909</v>
      </c>
      <c r="AH1384" t="s">
        <v>26</v>
      </c>
      <c r="AI1384" s="24">
        <v>40909</v>
      </c>
      <c r="AJ1384" s="24">
        <v>40909</v>
      </c>
      <c r="AK1384" t="s">
        <v>26</v>
      </c>
      <c r="AL1384" t="s">
        <v>26</v>
      </c>
      <c r="AM1384" t="s">
        <v>26</v>
      </c>
      <c r="AN1384" t="s">
        <v>26</v>
      </c>
      <c r="AO1384" s="25" t="s">
        <v>28</v>
      </c>
      <c r="AP1384" s="23" t="s">
        <v>43</v>
      </c>
      <c r="AQ1384" s="23" t="s">
        <v>30</v>
      </c>
      <c r="AR1384" s="23" t="s">
        <v>44</v>
      </c>
      <c r="AS1384" s="25">
        <v>5262117</v>
      </c>
      <c r="AT1384" t="s">
        <v>26</v>
      </c>
      <c r="AU1384" t="s">
        <v>24057</v>
      </c>
    </row>
    <row r="1385" spans="1:47" ht="26.25" x14ac:dyDescent="0.4">
      <c r="A1385" s="23" t="s">
        <v>3471</v>
      </c>
      <c r="B1385" t="s">
        <v>26</v>
      </c>
      <c r="C1385" s="23" t="s">
        <v>3472</v>
      </c>
      <c r="D1385" s="23" t="s">
        <v>24058</v>
      </c>
      <c r="E1385" s="23" t="s">
        <v>3473</v>
      </c>
      <c r="F1385" t="s">
        <v>26</v>
      </c>
      <c r="G1385" s="25" t="s">
        <v>3474</v>
      </c>
      <c r="H1385" t="s">
        <v>26</v>
      </c>
      <c r="I1385" s="24">
        <v>35796</v>
      </c>
      <c r="J1385" s="25" t="s">
        <v>77</v>
      </c>
      <c r="K1385" t="s">
        <v>26</v>
      </c>
      <c r="L1385" s="25" t="s">
        <v>68</v>
      </c>
      <c r="M1385" s="24">
        <v>35796</v>
      </c>
      <c r="N1385" s="25" t="s">
        <v>77</v>
      </c>
      <c r="O1385" t="s">
        <v>26</v>
      </c>
      <c r="P1385" s="24">
        <v>35796</v>
      </c>
      <c r="Q1385" s="25" t="s">
        <v>77</v>
      </c>
      <c r="R1385" t="s">
        <v>26</v>
      </c>
      <c r="S1385" t="s">
        <v>26</v>
      </c>
      <c r="T1385" t="s">
        <v>26</v>
      </c>
      <c r="U1385" t="s">
        <v>26</v>
      </c>
      <c r="V1385" t="s">
        <v>26</v>
      </c>
      <c r="W1385" s="24">
        <v>35796</v>
      </c>
      <c r="X1385" s="25" t="s">
        <v>77</v>
      </c>
      <c r="Y1385" t="s">
        <v>26</v>
      </c>
      <c r="Z1385" s="24">
        <v>35796</v>
      </c>
      <c r="AA1385" s="25" t="s">
        <v>77</v>
      </c>
      <c r="AB1385" t="s">
        <v>26</v>
      </c>
      <c r="AC1385" s="24">
        <v>35796</v>
      </c>
      <c r="AD1385" s="25" t="s">
        <v>77</v>
      </c>
      <c r="AE1385" s="25" t="s">
        <v>24059</v>
      </c>
      <c r="AF1385" t="s">
        <v>26</v>
      </c>
      <c r="AG1385" t="s">
        <v>26</v>
      </c>
      <c r="AH1385" t="s">
        <v>26</v>
      </c>
      <c r="AI1385" t="s">
        <v>26</v>
      </c>
      <c r="AJ1385" t="s">
        <v>26</v>
      </c>
      <c r="AK1385" t="s">
        <v>26</v>
      </c>
      <c r="AL1385" t="s">
        <v>26</v>
      </c>
      <c r="AM1385" t="s">
        <v>26</v>
      </c>
      <c r="AN1385" t="s">
        <v>26</v>
      </c>
      <c r="AO1385" s="25" t="s">
        <v>68</v>
      </c>
      <c r="AP1385" s="23" t="s">
        <v>69</v>
      </c>
      <c r="AQ1385" t="s">
        <v>26</v>
      </c>
      <c r="AR1385" s="23" t="s">
        <v>70</v>
      </c>
      <c r="AS1385" s="25">
        <v>47717</v>
      </c>
      <c r="AT1385" t="s">
        <v>26</v>
      </c>
      <c r="AU1385" t="s">
        <v>24060</v>
      </c>
    </row>
    <row r="1386" spans="1:47" ht="26.25" x14ac:dyDescent="0.4">
      <c r="A1386" s="23" t="s">
        <v>3475</v>
      </c>
      <c r="B1386" t="s">
        <v>26</v>
      </c>
      <c r="C1386" s="23" t="s">
        <v>3476</v>
      </c>
      <c r="D1386" s="23" t="s">
        <v>24061</v>
      </c>
      <c r="E1386" s="23" t="s">
        <v>42</v>
      </c>
      <c r="F1386" s="25" t="s">
        <v>3477</v>
      </c>
      <c r="G1386" s="25" t="s">
        <v>3478</v>
      </c>
      <c r="H1386" t="s">
        <v>26</v>
      </c>
      <c r="I1386" s="24">
        <v>37987</v>
      </c>
      <c r="J1386" s="24">
        <v>41640</v>
      </c>
      <c r="K1386" t="s">
        <v>26</v>
      </c>
      <c r="L1386" s="25" t="s">
        <v>68</v>
      </c>
      <c r="M1386" s="24">
        <v>37987</v>
      </c>
      <c r="N1386" s="24">
        <v>41640</v>
      </c>
      <c r="O1386" t="s">
        <v>26</v>
      </c>
      <c r="P1386" t="s">
        <v>26</v>
      </c>
      <c r="Q1386" t="s">
        <v>26</v>
      </c>
      <c r="R1386" t="s">
        <v>26</v>
      </c>
      <c r="S1386" t="s">
        <v>26</v>
      </c>
      <c r="T1386" t="s">
        <v>26</v>
      </c>
      <c r="U1386" t="s">
        <v>26</v>
      </c>
      <c r="V1386" t="s">
        <v>26</v>
      </c>
      <c r="W1386" s="24">
        <v>37987</v>
      </c>
      <c r="X1386" s="24">
        <v>41640</v>
      </c>
      <c r="Y1386" t="s">
        <v>26</v>
      </c>
      <c r="Z1386" s="24">
        <v>37987</v>
      </c>
      <c r="AA1386" s="24">
        <v>41640</v>
      </c>
      <c r="AB1386" t="s">
        <v>26</v>
      </c>
      <c r="AC1386" s="24">
        <v>37987</v>
      </c>
      <c r="AD1386" s="24">
        <v>41640</v>
      </c>
      <c r="AE1386" t="s">
        <v>26</v>
      </c>
      <c r="AF1386" t="s">
        <v>26</v>
      </c>
      <c r="AG1386" t="s">
        <v>26</v>
      </c>
      <c r="AH1386" t="s">
        <v>26</v>
      </c>
      <c r="AI1386" t="s">
        <v>26</v>
      </c>
      <c r="AJ1386" t="s">
        <v>26</v>
      </c>
      <c r="AK1386" t="s">
        <v>26</v>
      </c>
      <c r="AL1386" t="s">
        <v>26</v>
      </c>
      <c r="AM1386" t="s">
        <v>26</v>
      </c>
      <c r="AN1386" t="s">
        <v>26</v>
      </c>
      <c r="AO1386" s="25" t="s">
        <v>68</v>
      </c>
      <c r="AP1386" s="23" t="s">
        <v>69</v>
      </c>
      <c r="AQ1386" s="23" t="s">
        <v>30</v>
      </c>
      <c r="AR1386" s="23" t="s">
        <v>3479</v>
      </c>
      <c r="AS1386" s="25">
        <v>105645</v>
      </c>
      <c r="AT1386" t="s">
        <v>26</v>
      </c>
      <c r="AU1386" t="s">
        <v>24062</v>
      </c>
    </row>
    <row r="1387" spans="1:47" ht="26.25" x14ac:dyDescent="0.4">
      <c r="A1387" s="23" t="s">
        <v>3480</v>
      </c>
      <c r="B1387" t="s">
        <v>26</v>
      </c>
      <c r="C1387" s="23" t="s">
        <v>80</v>
      </c>
      <c r="D1387" s="23" t="s">
        <v>22254</v>
      </c>
      <c r="E1387" s="23" t="s">
        <v>60</v>
      </c>
      <c r="F1387" s="25" t="s">
        <v>3481</v>
      </c>
      <c r="G1387" t="s">
        <v>26</v>
      </c>
      <c r="H1387" t="s">
        <v>26</v>
      </c>
      <c r="I1387" t="s">
        <v>26</v>
      </c>
      <c r="J1387" t="s">
        <v>26</v>
      </c>
      <c r="K1387" t="s">
        <v>26</v>
      </c>
      <c r="L1387" s="25" t="s">
        <v>68</v>
      </c>
      <c r="M1387" t="s">
        <v>26</v>
      </c>
      <c r="N1387" t="s">
        <v>26</v>
      </c>
      <c r="O1387" t="s">
        <v>26</v>
      </c>
      <c r="P1387" t="s">
        <v>26</v>
      </c>
      <c r="Q1387" t="s">
        <v>26</v>
      </c>
      <c r="R1387" t="s">
        <v>26</v>
      </c>
      <c r="S1387" t="s">
        <v>26</v>
      </c>
      <c r="T1387" t="s">
        <v>26</v>
      </c>
      <c r="U1387" t="s">
        <v>26</v>
      </c>
      <c r="V1387" t="s">
        <v>26</v>
      </c>
      <c r="W1387" s="24">
        <v>42005</v>
      </c>
      <c r="X1387" s="24">
        <v>42370</v>
      </c>
      <c r="Y1387" t="s">
        <v>26</v>
      </c>
      <c r="Z1387" s="24">
        <v>42005</v>
      </c>
      <c r="AA1387" s="24">
        <v>42370</v>
      </c>
      <c r="AB1387" t="s">
        <v>26</v>
      </c>
      <c r="AC1387" s="24">
        <v>42005</v>
      </c>
      <c r="AD1387" s="24">
        <v>42370</v>
      </c>
      <c r="AE1387" t="s">
        <v>26</v>
      </c>
      <c r="AF1387" t="s">
        <v>26</v>
      </c>
      <c r="AG1387" t="s">
        <v>26</v>
      </c>
      <c r="AH1387" t="s">
        <v>26</v>
      </c>
      <c r="AI1387" t="s">
        <v>26</v>
      </c>
      <c r="AJ1387" t="s">
        <v>26</v>
      </c>
      <c r="AK1387" t="s">
        <v>26</v>
      </c>
      <c r="AL1387" t="s">
        <v>26</v>
      </c>
      <c r="AM1387" t="s">
        <v>26</v>
      </c>
      <c r="AN1387" t="s">
        <v>26</v>
      </c>
      <c r="AO1387" s="25" t="s">
        <v>68</v>
      </c>
      <c r="AP1387" s="23" t="s">
        <v>69</v>
      </c>
      <c r="AQ1387" s="23" t="s">
        <v>30</v>
      </c>
      <c r="AR1387" s="23" t="s">
        <v>3482</v>
      </c>
      <c r="AS1387" s="25">
        <v>2033202</v>
      </c>
      <c r="AT1387" t="s">
        <v>26</v>
      </c>
      <c r="AU1387" t="s">
        <v>24063</v>
      </c>
    </row>
    <row r="1388" spans="1:47" ht="26.25" x14ac:dyDescent="0.4">
      <c r="A1388" s="23" t="s">
        <v>3483</v>
      </c>
      <c r="B1388" t="s">
        <v>26</v>
      </c>
      <c r="C1388" s="23" t="s">
        <v>80</v>
      </c>
      <c r="D1388" s="23" t="s">
        <v>22254</v>
      </c>
      <c r="E1388" s="23" t="s">
        <v>60</v>
      </c>
      <c r="F1388" s="25" t="s">
        <v>3484</v>
      </c>
      <c r="G1388" s="25" t="s">
        <v>3485</v>
      </c>
      <c r="H1388" t="s">
        <v>26</v>
      </c>
      <c r="I1388" t="s">
        <v>26</v>
      </c>
      <c r="J1388" t="s">
        <v>26</v>
      </c>
      <c r="K1388" t="s">
        <v>26</v>
      </c>
      <c r="L1388" s="25" t="s">
        <v>68</v>
      </c>
      <c r="M1388" t="s">
        <v>26</v>
      </c>
      <c r="N1388" t="s">
        <v>26</v>
      </c>
      <c r="O1388" t="s">
        <v>26</v>
      </c>
      <c r="P1388" t="s">
        <v>26</v>
      </c>
      <c r="Q1388" t="s">
        <v>26</v>
      </c>
      <c r="R1388" t="s">
        <v>26</v>
      </c>
      <c r="S1388" t="s">
        <v>26</v>
      </c>
      <c r="T1388" t="s">
        <v>26</v>
      </c>
      <c r="U1388" t="s">
        <v>26</v>
      </c>
      <c r="V1388" t="s">
        <v>26</v>
      </c>
      <c r="W1388" s="24">
        <v>42005</v>
      </c>
      <c r="X1388" s="25" t="s">
        <v>77</v>
      </c>
      <c r="Y1388" t="s">
        <v>26</v>
      </c>
      <c r="Z1388" s="24">
        <v>42005</v>
      </c>
      <c r="AA1388" s="25" t="s">
        <v>77</v>
      </c>
      <c r="AB1388" t="s">
        <v>26</v>
      </c>
      <c r="AC1388" s="24">
        <v>42005</v>
      </c>
      <c r="AD1388" s="25" t="s">
        <v>77</v>
      </c>
      <c r="AE1388" t="s">
        <v>26</v>
      </c>
      <c r="AF1388" t="s">
        <v>26</v>
      </c>
      <c r="AG1388" t="s">
        <v>26</v>
      </c>
      <c r="AH1388" t="s">
        <v>26</v>
      </c>
      <c r="AI1388" t="s">
        <v>26</v>
      </c>
      <c r="AJ1388" t="s">
        <v>26</v>
      </c>
      <c r="AK1388" t="s">
        <v>26</v>
      </c>
      <c r="AL1388" t="s">
        <v>26</v>
      </c>
      <c r="AM1388" t="s">
        <v>26</v>
      </c>
      <c r="AN1388" t="s">
        <v>26</v>
      </c>
      <c r="AO1388" s="25" t="s">
        <v>68</v>
      </c>
      <c r="AP1388" s="23" t="s">
        <v>69</v>
      </c>
      <c r="AQ1388" s="23" t="s">
        <v>30</v>
      </c>
      <c r="AR1388" s="23" t="s">
        <v>3486</v>
      </c>
      <c r="AS1388" s="25">
        <v>2033201</v>
      </c>
      <c r="AT1388" t="s">
        <v>26</v>
      </c>
      <c r="AU1388" t="s">
        <v>24064</v>
      </c>
    </row>
    <row r="1389" spans="1:47" ht="26.25" x14ac:dyDescent="0.4">
      <c r="A1389" s="23" t="s">
        <v>3487</v>
      </c>
      <c r="B1389" t="s">
        <v>26</v>
      </c>
      <c r="C1389" s="23" t="s">
        <v>1612</v>
      </c>
      <c r="D1389" s="23" t="s">
        <v>23047</v>
      </c>
      <c r="E1389" s="23" t="s">
        <v>42</v>
      </c>
      <c r="F1389" t="s">
        <v>26</v>
      </c>
      <c r="G1389" t="s">
        <v>26</v>
      </c>
      <c r="H1389" t="s">
        <v>26</v>
      </c>
      <c r="I1389" t="s">
        <v>26</v>
      </c>
      <c r="J1389" t="s">
        <v>26</v>
      </c>
      <c r="K1389" t="s">
        <v>26</v>
      </c>
      <c r="L1389" s="25" t="s">
        <v>28</v>
      </c>
      <c r="M1389" t="s">
        <v>26</v>
      </c>
      <c r="N1389" t="s">
        <v>26</v>
      </c>
      <c r="O1389" t="s">
        <v>26</v>
      </c>
      <c r="P1389" t="s">
        <v>26</v>
      </c>
      <c r="Q1389" t="s">
        <v>26</v>
      </c>
      <c r="R1389" t="s">
        <v>26</v>
      </c>
      <c r="S1389" t="s">
        <v>26</v>
      </c>
      <c r="T1389" t="s">
        <v>26</v>
      </c>
      <c r="U1389" t="s">
        <v>26</v>
      </c>
      <c r="V1389" t="s">
        <v>26</v>
      </c>
      <c r="W1389" s="24">
        <v>42005</v>
      </c>
      <c r="X1389" s="24">
        <v>42005</v>
      </c>
      <c r="Y1389" t="s">
        <v>26</v>
      </c>
      <c r="Z1389" s="24">
        <v>42005</v>
      </c>
      <c r="AA1389" s="24">
        <v>42005</v>
      </c>
      <c r="AB1389" t="s">
        <v>26</v>
      </c>
      <c r="AC1389" t="s">
        <v>26</v>
      </c>
      <c r="AD1389" t="s">
        <v>26</v>
      </c>
      <c r="AE1389" t="s">
        <v>26</v>
      </c>
      <c r="AF1389" t="s">
        <v>26</v>
      </c>
      <c r="AG1389" t="s">
        <v>26</v>
      </c>
      <c r="AH1389" t="s">
        <v>26</v>
      </c>
      <c r="AI1389" t="s">
        <v>26</v>
      </c>
      <c r="AJ1389" t="s">
        <v>26</v>
      </c>
      <c r="AK1389" t="s">
        <v>26</v>
      </c>
      <c r="AL1389" t="s">
        <v>26</v>
      </c>
      <c r="AM1389" t="s">
        <v>26</v>
      </c>
      <c r="AN1389" t="s">
        <v>26</v>
      </c>
      <c r="AO1389" s="25" t="s">
        <v>28</v>
      </c>
      <c r="AP1389" s="23" t="s">
        <v>29</v>
      </c>
      <c r="AQ1389" s="23" t="s">
        <v>30</v>
      </c>
      <c r="AR1389" s="23" t="s">
        <v>147</v>
      </c>
      <c r="AS1389" s="25">
        <v>5483553</v>
      </c>
      <c r="AT1389" s="23" t="s">
        <v>22181</v>
      </c>
      <c r="AU1389" t="s">
        <v>24065</v>
      </c>
    </row>
    <row r="1390" spans="1:47" ht="26.25" x14ac:dyDescent="0.4">
      <c r="A1390" s="23" t="s">
        <v>3488</v>
      </c>
      <c r="B1390" t="s">
        <v>26</v>
      </c>
      <c r="C1390" s="23" t="s">
        <v>3489</v>
      </c>
      <c r="D1390" s="23" t="s">
        <v>22352</v>
      </c>
      <c r="E1390" s="23" t="s">
        <v>42</v>
      </c>
      <c r="F1390" s="25" t="s">
        <v>3490</v>
      </c>
      <c r="G1390" s="25" t="s">
        <v>3491</v>
      </c>
      <c r="H1390" t="s">
        <v>26</v>
      </c>
      <c r="I1390" t="s">
        <v>26</v>
      </c>
      <c r="J1390" t="s">
        <v>26</v>
      </c>
      <c r="K1390" t="s">
        <v>26</v>
      </c>
      <c r="L1390" s="25" t="s">
        <v>68</v>
      </c>
      <c r="M1390" t="s">
        <v>26</v>
      </c>
      <c r="N1390" t="s">
        <v>26</v>
      </c>
      <c r="O1390" t="s">
        <v>26</v>
      </c>
      <c r="P1390" t="s">
        <v>26</v>
      </c>
      <c r="Q1390" t="s">
        <v>26</v>
      </c>
      <c r="R1390" t="s">
        <v>26</v>
      </c>
      <c r="S1390" t="s">
        <v>26</v>
      </c>
      <c r="T1390" t="s">
        <v>26</v>
      </c>
      <c r="U1390" t="s">
        <v>26</v>
      </c>
      <c r="V1390" t="s">
        <v>26</v>
      </c>
      <c r="W1390" s="24">
        <v>31415</v>
      </c>
      <c r="X1390" s="25" t="s">
        <v>77</v>
      </c>
      <c r="Y1390" t="s">
        <v>26</v>
      </c>
      <c r="Z1390" s="24">
        <v>31415</v>
      </c>
      <c r="AA1390" s="25" t="s">
        <v>77</v>
      </c>
      <c r="AB1390" t="s">
        <v>26</v>
      </c>
      <c r="AC1390" s="24">
        <v>31415</v>
      </c>
      <c r="AD1390" s="25" t="s">
        <v>77</v>
      </c>
      <c r="AE1390" t="s">
        <v>26</v>
      </c>
      <c r="AF1390" t="s">
        <v>26</v>
      </c>
      <c r="AG1390" t="s">
        <v>26</v>
      </c>
      <c r="AH1390" t="s">
        <v>26</v>
      </c>
      <c r="AI1390" t="s">
        <v>26</v>
      </c>
      <c r="AJ1390" t="s">
        <v>26</v>
      </c>
      <c r="AK1390" t="s">
        <v>26</v>
      </c>
      <c r="AL1390" t="s">
        <v>26</v>
      </c>
      <c r="AM1390" t="s">
        <v>26</v>
      </c>
      <c r="AN1390" t="s">
        <v>26</v>
      </c>
      <c r="AO1390" s="25" t="s">
        <v>68</v>
      </c>
      <c r="AP1390" s="23" t="s">
        <v>69</v>
      </c>
      <c r="AQ1390" s="23" t="s">
        <v>30</v>
      </c>
      <c r="AR1390" s="23" t="s">
        <v>3492</v>
      </c>
      <c r="AS1390" s="25">
        <v>42339</v>
      </c>
      <c r="AT1390" t="s">
        <v>26</v>
      </c>
      <c r="AU1390" t="s">
        <v>24066</v>
      </c>
    </row>
    <row r="1391" spans="1:47" ht="26.25" x14ac:dyDescent="0.4">
      <c r="A1391" s="23" t="s">
        <v>3493</v>
      </c>
      <c r="B1391" t="s">
        <v>26</v>
      </c>
      <c r="C1391" s="23" t="s">
        <v>3489</v>
      </c>
      <c r="D1391" s="23" t="s">
        <v>22352</v>
      </c>
      <c r="E1391" s="23" t="s">
        <v>42</v>
      </c>
      <c r="F1391" s="25" t="s">
        <v>3494</v>
      </c>
      <c r="G1391" s="25" t="s">
        <v>3495</v>
      </c>
      <c r="H1391" t="s">
        <v>26</v>
      </c>
      <c r="I1391" t="s">
        <v>26</v>
      </c>
      <c r="J1391" t="s">
        <v>26</v>
      </c>
      <c r="K1391" t="s">
        <v>26</v>
      </c>
      <c r="L1391" s="25" t="s">
        <v>68</v>
      </c>
      <c r="M1391" t="s">
        <v>26</v>
      </c>
      <c r="N1391" t="s">
        <v>26</v>
      </c>
      <c r="O1391" t="s">
        <v>26</v>
      </c>
      <c r="P1391" t="s">
        <v>26</v>
      </c>
      <c r="Q1391" t="s">
        <v>26</v>
      </c>
      <c r="R1391" t="s">
        <v>26</v>
      </c>
      <c r="S1391" t="s">
        <v>26</v>
      </c>
      <c r="T1391" t="s">
        <v>26</v>
      </c>
      <c r="U1391" t="s">
        <v>26</v>
      </c>
      <c r="V1391" t="s">
        <v>26</v>
      </c>
      <c r="W1391" s="24">
        <v>34700</v>
      </c>
      <c r="X1391" s="25" t="s">
        <v>77</v>
      </c>
      <c r="Y1391" t="s">
        <v>26</v>
      </c>
      <c r="Z1391" s="24">
        <v>34700</v>
      </c>
      <c r="AA1391" s="25" t="s">
        <v>77</v>
      </c>
      <c r="AB1391" t="s">
        <v>26</v>
      </c>
      <c r="AC1391" s="24">
        <v>35431</v>
      </c>
      <c r="AD1391" s="25" t="s">
        <v>77</v>
      </c>
      <c r="AE1391" t="s">
        <v>26</v>
      </c>
      <c r="AF1391" t="s">
        <v>26</v>
      </c>
      <c r="AG1391" t="s">
        <v>26</v>
      </c>
      <c r="AH1391" t="s">
        <v>26</v>
      </c>
      <c r="AI1391" t="s">
        <v>26</v>
      </c>
      <c r="AJ1391" t="s">
        <v>26</v>
      </c>
      <c r="AK1391" t="s">
        <v>26</v>
      </c>
      <c r="AL1391" t="s">
        <v>26</v>
      </c>
      <c r="AM1391" t="s">
        <v>26</v>
      </c>
      <c r="AN1391" t="s">
        <v>26</v>
      </c>
      <c r="AO1391" s="25" t="s">
        <v>68</v>
      </c>
      <c r="AP1391" s="23" t="s">
        <v>69</v>
      </c>
      <c r="AQ1391" s="23" t="s">
        <v>30</v>
      </c>
      <c r="AR1391" s="23" t="s">
        <v>3496</v>
      </c>
      <c r="AS1391" s="25">
        <v>42446</v>
      </c>
      <c r="AT1391" t="s">
        <v>26</v>
      </c>
      <c r="AU1391" t="s">
        <v>24067</v>
      </c>
    </row>
    <row r="1392" spans="1:47" ht="26.25" x14ac:dyDescent="0.4">
      <c r="A1392" s="23" t="s">
        <v>3497</v>
      </c>
      <c r="B1392" t="s">
        <v>26</v>
      </c>
      <c r="C1392" s="23" t="s">
        <v>3489</v>
      </c>
      <c r="D1392" s="23" t="s">
        <v>22352</v>
      </c>
      <c r="E1392" s="23" t="s">
        <v>42</v>
      </c>
      <c r="F1392" s="25" t="s">
        <v>3498</v>
      </c>
      <c r="G1392" s="25" t="s">
        <v>3499</v>
      </c>
      <c r="H1392" t="s">
        <v>26</v>
      </c>
      <c r="I1392" t="s">
        <v>26</v>
      </c>
      <c r="J1392" t="s">
        <v>26</v>
      </c>
      <c r="K1392" t="s">
        <v>26</v>
      </c>
      <c r="L1392" s="25" t="s">
        <v>68</v>
      </c>
      <c r="M1392" t="s">
        <v>26</v>
      </c>
      <c r="N1392" t="s">
        <v>26</v>
      </c>
      <c r="O1392" t="s">
        <v>26</v>
      </c>
      <c r="P1392" t="s">
        <v>26</v>
      </c>
      <c r="Q1392" t="s">
        <v>26</v>
      </c>
      <c r="R1392" t="s">
        <v>26</v>
      </c>
      <c r="S1392" t="s">
        <v>26</v>
      </c>
      <c r="T1392" t="s">
        <v>26</v>
      </c>
      <c r="U1392" t="s">
        <v>26</v>
      </c>
      <c r="V1392" t="s">
        <v>26</v>
      </c>
      <c r="W1392" s="24">
        <v>35431</v>
      </c>
      <c r="X1392" s="25" t="s">
        <v>77</v>
      </c>
      <c r="Y1392" t="s">
        <v>26</v>
      </c>
      <c r="Z1392" s="24">
        <v>35431</v>
      </c>
      <c r="AA1392" s="25" t="s">
        <v>77</v>
      </c>
      <c r="AB1392" t="s">
        <v>26</v>
      </c>
      <c r="AC1392" s="24">
        <v>35431</v>
      </c>
      <c r="AD1392" s="25" t="s">
        <v>77</v>
      </c>
      <c r="AE1392" t="s">
        <v>26</v>
      </c>
      <c r="AF1392" t="s">
        <v>26</v>
      </c>
      <c r="AG1392" t="s">
        <v>26</v>
      </c>
      <c r="AH1392" t="s">
        <v>26</v>
      </c>
      <c r="AI1392" t="s">
        <v>26</v>
      </c>
      <c r="AJ1392" t="s">
        <v>26</v>
      </c>
      <c r="AK1392" t="s">
        <v>26</v>
      </c>
      <c r="AL1392" t="s">
        <v>26</v>
      </c>
      <c r="AM1392" t="s">
        <v>26</v>
      </c>
      <c r="AN1392" t="s">
        <v>26</v>
      </c>
      <c r="AO1392" s="25" t="s">
        <v>68</v>
      </c>
      <c r="AP1392" s="23" t="s">
        <v>69</v>
      </c>
      <c r="AQ1392" s="23" t="s">
        <v>30</v>
      </c>
      <c r="AR1392" s="23" t="s">
        <v>70</v>
      </c>
      <c r="AS1392" s="25">
        <v>1114</v>
      </c>
      <c r="AT1392" t="s">
        <v>26</v>
      </c>
      <c r="AU1392" t="s">
        <v>24068</v>
      </c>
    </row>
    <row r="1393" spans="1:47" ht="26.25" x14ac:dyDescent="0.4">
      <c r="A1393" s="23" t="s">
        <v>3500</v>
      </c>
      <c r="B1393" t="s">
        <v>26</v>
      </c>
      <c r="C1393" s="23" t="s">
        <v>320</v>
      </c>
      <c r="D1393" s="23" t="s">
        <v>22579</v>
      </c>
      <c r="E1393" s="23" t="s">
        <v>42</v>
      </c>
      <c r="F1393" s="25" t="s">
        <v>3501</v>
      </c>
      <c r="G1393" s="25" t="s">
        <v>3502</v>
      </c>
      <c r="H1393" t="s">
        <v>26</v>
      </c>
      <c r="I1393" t="s">
        <v>26</v>
      </c>
      <c r="J1393" t="s">
        <v>26</v>
      </c>
      <c r="K1393" t="s">
        <v>26</v>
      </c>
      <c r="L1393" s="25" t="s">
        <v>68</v>
      </c>
      <c r="M1393" t="s">
        <v>26</v>
      </c>
      <c r="N1393" t="s">
        <v>26</v>
      </c>
      <c r="O1393" t="s">
        <v>26</v>
      </c>
      <c r="P1393" t="s">
        <v>26</v>
      </c>
      <c r="Q1393" t="s">
        <v>26</v>
      </c>
      <c r="R1393" t="s">
        <v>26</v>
      </c>
      <c r="S1393" t="s">
        <v>26</v>
      </c>
      <c r="T1393" t="s">
        <v>26</v>
      </c>
      <c r="U1393" t="s">
        <v>26</v>
      </c>
      <c r="V1393" t="s">
        <v>26</v>
      </c>
      <c r="W1393" s="24">
        <v>36708</v>
      </c>
      <c r="X1393" s="25" t="s">
        <v>77</v>
      </c>
      <c r="Y1393" t="s">
        <v>26</v>
      </c>
      <c r="Z1393" s="24">
        <v>36708</v>
      </c>
      <c r="AA1393" s="25" t="s">
        <v>77</v>
      </c>
      <c r="AB1393" t="s">
        <v>26</v>
      </c>
      <c r="AC1393" s="24">
        <v>38078</v>
      </c>
      <c r="AD1393" s="25" t="s">
        <v>77</v>
      </c>
      <c r="AE1393" t="s">
        <v>26</v>
      </c>
      <c r="AF1393" t="s">
        <v>26</v>
      </c>
      <c r="AG1393" t="s">
        <v>26</v>
      </c>
      <c r="AH1393" t="s">
        <v>26</v>
      </c>
      <c r="AI1393" t="s">
        <v>26</v>
      </c>
      <c r="AJ1393" t="s">
        <v>26</v>
      </c>
      <c r="AK1393" t="s">
        <v>26</v>
      </c>
      <c r="AL1393" t="s">
        <v>26</v>
      </c>
      <c r="AM1393" t="s">
        <v>26</v>
      </c>
      <c r="AN1393" t="s">
        <v>26</v>
      </c>
      <c r="AO1393" s="25" t="s">
        <v>68</v>
      </c>
      <c r="AP1393" s="23" t="s">
        <v>69</v>
      </c>
      <c r="AQ1393" s="23" t="s">
        <v>30</v>
      </c>
      <c r="AR1393" s="23" t="s">
        <v>337</v>
      </c>
      <c r="AS1393" s="25">
        <v>49010</v>
      </c>
      <c r="AT1393" t="s">
        <v>26</v>
      </c>
      <c r="AU1393" t="s">
        <v>24069</v>
      </c>
    </row>
    <row r="1394" spans="1:47" ht="26.25" x14ac:dyDescent="0.4">
      <c r="A1394" s="23" t="s">
        <v>3503</v>
      </c>
      <c r="B1394" t="s">
        <v>26</v>
      </c>
      <c r="C1394" s="23" t="s">
        <v>3504</v>
      </c>
      <c r="D1394" s="23" t="s">
        <v>22634</v>
      </c>
      <c r="E1394" s="23" t="s">
        <v>335</v>
      </c>
      <c r="F1394" t="s">
        <v>26</v>
      </c>
      <c r="G1394" s="25" t="s">
        <v>3505</v>
      </c>
      <c r="H1394" t="s">
        <v>26</v>
      </c>
      <c r="I1394" s="24">
        <v>41640</v>
      </c>
      <c r="J1394" s="25" t="s">
        <v>77</v>
      </c>
      <c r="K1394" t="s">
        <v>26</v>
      </c>
      <c r="L1394" s="25" t="s">
        <v>68</v>
      </c>
      <c r="M1394" s="24">
        <v>41640</v>
      </c>
      <c r="N1394" s="25" t="s">
        <v>77</v>
      </c>
      <c r="O1394" t="s">
        <v>26</v>
      </c>
      <c r="P1394" s="24">
        <v>41640</v>
      </c>
      <c r="Q1394" s="25" t="s">
        <v>77</v>
      </c>
      <c r="R1394" t="s">
        <v>26</v>
      </c>
      <c r="S1394" t="s">
        <v>26</v>
      </c>
      <c r="T1394" t="s">
        <v>26</v>
      </c>
      <c r="U1394" t="s">
        <v>26</v>
      </c>
      <c r="V1394" t="s">
        <v>26</v>
      </c>
      <c r="W1394" s="24">
        <v>41640</v>
      </c>
      <c r="X1394" s="25" t="s">
        <v>77</v>
      </c>
      <c r="Y1394" t="s">
        <v>26</v>
      </c>
      <c r="Z1394" s="24">
        <v>41640</v>
      </c>
      <c r="AA1394" s="25" t="s">
        <v>77</v>
      </c>
      <c r="AB1394" t="s">
        <v>26</v>
      </c>
      <c r="AC1394" s="24">
        <v>41640</v>
      </c>
      <c r="AD1394" s="25" t="s">
        <v>77</v>
      </c>
      <c r="AE1394" t="s">
        <v>26</v>
      </c>
      <c r="AF1394" t="s">
        <v>26</v>
      </c>
      <c r="AG1394" t="s">
        <v>26</v>
      </c>
      <c r="AH1394" t="s">
        <v>26</v>
      </c>
      <c r="AI1394" t="s">
        <v>26</v>
      </c>
      <c r="AJ1394" t="s">
        <v>26</v>
      </c>
      <c r="AK1394" t="s">
        <v>26</v>
      </c>
      <c r="AL1394" t="s">
        <v>26</v>
      </c>
      <c r="AM1394" t="s">
        <v>26</v>
      </c>
      <c r="AN1394" t="s">
        <v>26</v>
      </c>
      <c r="AO1394" s="25" t="s">
        <v>68</v>
      </c>
      <c r="AP1394" s="23" t="s">
        <v>69</v>
      </c>
      <c r="AQ1394" s="23" t="s">
        <v>30</v>
      </c>
      <c r="AR1394" s="23" t="s">
        <v>277</v>
      </c>
      <c r="AS1394" s="25">
        <v>4997115</v>
      </c>
      <c r="AT1394" t="s">
        <v>26</v>
      </c>
      <c r="AU1394" t="s">
        <v>24070</v>
      </c>
    </row>
    <row r="1395" spans="1:47" ht="26.25" x14ac:dyDescent="0.4">
      <c r="A1395" s="23" t="s">
        <v>3506</v>
      </c>
      <c r="B1395" t="s">
        <v>26</v>
      </c>
      <c r="C1395" s="23" t="s">
        <v>3504</v>
      </c>
      <c r="D1395" s="23" t="s">
        <v>22634</v>
      </c>
      <c r="E1395" s="23" t="s">
        <v>335</v>
      </c>
      <c r="F1395" t="s">
        <v>26</v>
      </c>
      <c r="G1395" s="25" t="s">
        <v>3507</v>
      </c>
      <c r="H1395" t="s">
        <v>26</v>
      </c>
      <c r="I1395" s="24">
        <v>41821</v>
      </c>
      <c r="J1395" s="25" t="s">
        <v>77</v>
      </c>
      <c r="K1395" t="s">
        <v>26</v>
      </c>
      <c r="L1395" s="25" t="s">
        <v>68</v>
      </c>
      <c r="M1395" s="24">
        <v>41821</v>
      </c>
      <c r="N1395" s="25" t="s">
        <v>77</v>
      </c>
      <c r="O1395" t="s">
        <v>26</v>
      </c>
      <c r="P1395" s="24">
        <v>41821</v>
      </c>
      <c r="Q1395" s="25" t="s">
        <v>77</v>
      </c>
      <c r="R1395" t="s">
        <v>26</v>
      </c>
      <c r="S1395" t="s">
        <v>26</v>
      </c>
      <c r="T1395" t="s">
        <v>26</v>
      </c>
      <c r="U1395" t="s">
        <v>26</v>
      </c>
      <c r="V1395" t="s">
        <v>26</v>
      </c>
      <c r="W1395" s="24">
        <v>41821</v>
      </c>
      <c r="X1395" s="25" t="s">
        <v>77</v>
      </c>
      <c r="Y1395" t="s">
        <v>26</v>
      </c>
      <c r="Z1395" s="24">
        <v>41821</v>
      </c>
      <c r="AA1395" s="25" t="s">
        <v>77</v>
      </c>
      <c r="AB1395" t="s">
        <v>26</v>
      </c>
      <c r="AC1395" s="24">
        <v>41821</v>
      </c>
      <c r="AD1395" s="25" t="s">
        <v>77</v>
      </c>
      <c r="AE1395" t="s">
        <v>26</v>
      </c>
      <c r="AF1395" t="s">
        <v>26</v>
      </c>
      <c r="AG1395" t="s">
        <v>26</v>
      </c>
      <c r="AH1395" t="s">
        <v>26</v>
      </c>
      <c r="AI1395" t="s">
        <v>26</v>
      </c>
      <c r="AJ1395" t="s">
        <v>26</v>
      </c>
      <c r="AK1395" t="s">
        <v>26</v>
      </c>
      <c r="AL1395" t="s">
        <v>26</v>
      </c>
      <c r="AM1395" t="s">
        <v>26</v>
      </c>
      <c r="AN1395" t="s">
        <v>26</v>
      </c>
      <c r="AO1395" s="25" t="s">
        <v>68</v>
      </c>
      <c r="AP1395" s="23" t="s">
        <v>69</v>
      </c>
      <c r="AQ1395" s="23" t="s">
        <v>30</v>
      </c>
      <c r="AR1395" s="23" t="s">
        <v>70</v>
      </c>
      <c r="AS1395" s="25">
        <v>4997118</v>
      </c>
      <c r="AT1395" t="s">
        <v>26</v>
      </c>
      <c r="AU1395" t="s">
        <v>24071</v>
      </c>
    </row>
    <row r="1396" spans="1:47" ht="26.25" x14ac:dyDescent="0.4">
      <c r="A1396" s="23" t="s">
        <v>3508</v>
      </c>
      <c r="B1396" t="s">
        <v>26</v>
      </c>
      <c r="C1396" s="23" t="s">
        <v>107</v>
      </c>
      <c r="D1396" s="23" t="s">
        <v>22352</v>
      </c>
      <c r="E1396" s="23" t="s">
        <v>42</v>
      </c>
      <c r="F1396" s="25" t="s">
        <v>3509</v>
      </c>
      <c r="G1396" s="25" t="s">
        <v>3510</v>
      </c>
      <c r="H1396" t="s">
        <v>26</v>
      </c>
      <c r="I1396" s="24">
        <v>31898</v>
      </c>
      <c r="J1396" s="24">
        <v>37561</v>
      </c>
      <c r="K1396" t="s">
        <v>26</v>
      </c>
      <c r="L1396" s="25" t="s">
        <v>68</v>
      </c>
      <c r="M1396" s="24">
        <v>35004</v>
      </c>
      <c r="N1396" s="24">
        <v>37561</v>
      </c>
      <c r="O1396" t="s">
        <v>26</v>
      </c>
      <c r="P1396" s="24">
        <v>31898</v>
      </c>
      <c r="Q1396" s="24">
        <v>37561</v>
      </c>
      <c r="R1396" t="s">
        <v>26</v>
      </c>
      <c r="S1396" t="s">
        <v>26</v>
      </c>
      <c r="T1396" t="s">
        <v>26</v>
      </c>
      <c r="U1396" t="s">
        <v>26</v>
      </c>
      <c r="V1396" t="s">
        <v>26</v>
      </c>
      <c r="W1396" s="24">
        <v>26238</v>
      </c>
      <c r="X1396" s="25" t="s">
        <v>77</v>
      </c>
      <c r="Y1396" t="s">
        <v>26</v>
      </c>
      <c r="Z1396" s="24">
        <v>26238</v>
      </c>
      <c r="AA1396" s="25" t="s">
        <v>77</v>
      </c>
      <c r="AB1396" t="s">
        <v>26</v>
      </c>
      <c r="AC1396" s="24">
        <v>26238</v>
      </c>
      <c r="AD1396" s="25" t="s">
        <v>77</v>
      </c>
      <c r="AE1396" t="s">
        <v>26</v>
      </c>
      <c r="AF1396" t="s">
        <v>26</v>
      </c>
      <c r="AG1396" t="s">
        <v>26</v>
      </c>
      <c r="AH1396" t="s">
        <v>26</v>
      </c>
      <c r="AI1396" t="s">
        <v>26</v>
      </c>
      <c r="AJ1396" t="s">
        <v>26</v>
      </c>
      <c r="AK1396" t="s">
        <v>26</v>
      </c>
      <c r="AL1396" t="s">
        <v>26</v>
      </c>
      <c r="AM1396" t="s">
        <v>26</v>
      </c>
      <c r="AN1396" t="s">
        <v>26</v>
      </c>
      <c r="AO1396" s="25" t="s">
        <v>68</v>
      </c>
      <c r="AP1396" s="23" t="s">
        <v>69</v>
      </c>
      <c r="AQ1396" s="23" t="s">
        <v>30</v>
      </c>
      <c r="AR1396" s="23" t="s">
        <v>2389</v>
      </c>
      <c r="AS1396" s="25">
        <v>40686</v>
      </c>
      <c r="AT1396" t="s">
        <v>26</v>
      </c>
      <c r="AU1396" t="s">
        <v>24072</v>
      </c>
    </row>
    <row r="1397" spans="1:47" ht="26.25" x14ac:dyDescent="0.4">
      <c r="A1397" s="23" t="s">
        <v>3511</v>
      </c>
      <c r="B1397" t="s">
        <v>26</v>
      </c>
      <c r="C1397" s="23" t="s">
        <v>107</v>
      </c>
      <c r="D1397" s="23" t="s">
        <v>22352</v>
      </c>
      <c r="E1397" s="23" t="s">
        <v>42</v>
      </c>
      <c r="F1397" s="25" t="s">
        <v>3509</v>
      </c>
      <c r="G1397" s="25" t="s">
        <v>3510</v>
      </c>
      <c r="H1397" t="s">
        <v>26</v>
      </c>
      <c r="I1397" s="24">
        <v>23377</v>
      </c>
      <c r="J1397" s="24">
        <v>31352</v>
      </c>
      <c r="K1397" t="s">
        <v>26</v>
      </c>
      <c r="L1397" s="25" t="s">
        <v>68</v>
      </c>
      <c r="M1397" t="s">
        <v>26</v>
      </c>
      <c r="N1397" t="s">
        <v>26</v>
      </c>
      <c r="O1397" t="s">
        <v>26</v>
      </c>
      <c r="P1397" s="24">
        <v>23377</v>
      </c>
      <c r="Q1397" s="24">
        <v>31352</v>
      </c>
      <c r="R1397" t="s">
        <v>26</v>
      </c>
      <c r="S1397" t="s">
        <v>26</v>
      </c>
      <c r="T1397" t="s">
        <v>26</v>
      </c>
      <c r="U1397" t="s">
        <v>26</v>
      </c>
      <c r="V1397" t="s">
        <v>26</v>
      </c>
      <c r="W1397" s="24">
        <v>23377</v>
      </c>
      <c r="X1397" s="24">
        <v>31352</v>
      </c>
      <c r="Y1397" t="s">
        <v>26</v>
      </c>
      <c r="Z1397" s="24">
        <v>23377</v>
      </c>
      <c r="AA1397" s="24">
        <v>31352</v>
      </c>
      <c r="AB1397" t="s">
        <v>26</v>
      </c>
      <c r="AC1397" t="s">
        <v>26</v>
      </c>
      <c r="AD1397" t="s">
        <v>26</v>
      </c>
      <c r="AE1397" t="s">
        <v>26</v>
      </c>
      <c r="AF1397" t="s">
        <v>26</v>
      </c>
      <c r="AG1397" t="s">
        <v>26</v>
      </c>
      <c r="AH1397" t="s">
        <v>26</v>
      </c>
      <c r="AI1397" t="s">
        <v>26</v>
      </c>
      <c r="AJ1397" t="s">
        <v>26</v>
      </c>
      <c r="AK1397" t="s">
        <v>26</v>
      </c>
      <c r="AL1397" t="s">
        <v>26</v>
      </c>
      <c r="AM1397" t="s">
        <v>26</v>
      </c>
      <c r="AN1397" t="s">
        <v>26</v>
      </c>
      <c r="AO1397" s="25" t="s">
        <v>68</v>
      </c>
      <c r="AP1397" s="23" t="s">
        <v>69</v>
      </c>
      <c r="AQ1397" s="23" t="s">
        <v>30</v>
      </c>
      <c r="AR1397" s="23" t="s">
        <v>2389</v>
      </c>
      <c r="AS1397" s="25">
        <v>40685</v>
      </c>
      <c r="AT1397" t="s">
        <v>26</v>
      </c>
      <c r="AU1397" t="s">
        <v>24073</v>
      </c>
    </row>
    <row r="1398" spans="1:47" ht="78.75" x14ac:dyDescent="0.4">
      <c r="A1398" s="23" t="s">
        <v>24074</v>
      </c>
      <c r="B1398" t="s">
        <v>26</v>
      </c>
      <c r="C1398" s="23" t="s">
        <v>332</v>
      </c>
      <c r="D1398" s="23" t="s">
        <v>22545</v>
      </c>
      <c r="E1398" s="23" t="s">
        <v>42</v>
      </c>
      <c r="F1398" t="s">
        <v>26</v>
      </c>
      <c r="G1398" t="s">
        <v>26</v>
      </c>
      <c r="H1398" t="s">
        <v>26</v>
      </c>
      <c r="I1398" s="24">
        <v>35431</v>
      </c>
      <c r="J1398" s="24">
        <v>35431</v>
      </c>
      <c r="K1398" t="s">
        <v>26</v>
      </c>
      <c r="L1398" s="25" t="s">
        <v>28</v>
      </c>
      <c r="M1398" s="24">
        <v>35431</v>
      </c>
      <c r="N1398" s="24">
        <v>35431</v>
      </c>
      <c r="O1398" t="s">
        <v>26</v>
      </c>
      <c r="P1398" t="s">
        <v>26</v>
      </c>
      <c r="Q1398" t="s">
        <v>26</v>
      </c>
      <c r="R1398" t="s">
        <v>26</v>
      </c>
      <c r="S1398" t="s">
        <v>26</v>
      </c>
      <c r="T1398" t="s">
        <v>26</v>
      </c>
      <c r="U1398" t="s">
        <v>26</v>
      </c>
      <c r="V1398" t="s">
        <v>26</v>
      </c>
      <c r="W1398" s="24">
        <v>35431</v>
      </c>
      <c r="X1398" s="24">
        <v>35431</v>
      </c>
      <c r="Y1398" t="s">
        <v>26</v>
      </c>
      <c r="Z1398" s="24">
        <v>35431</v>
      </c>
      <c r="AA1398" s="24">
        <v>35431</v>
      </c>
      <c r="AB1398" t="s">
        <v>26</v>
      </c>
      <c r="AC1398" s="24">
        <v>35431</v>
      </c>
      <c r="AD1398" s="24">
        <v>35431</v>
      </c>
      <c r="AE1398" t="s">
        <v>26</v>
      </c>
      <c r="AF1398" t="s">
        <v>26</v>
      </c>
      <c r="AG1398" t="s">
        <v>26</v>
      </c>
      <c r="AH1398" t="s">
        <v>26</v>
      </c>
      <c r="AI1398" t="s">
        <v>26</v>
      </c>
      <c r="AJ1398" t="s">
        <v>26</v>
      </c>
      <c r="AK1398" t="s">
        <v>26</v>
      </c>
      <c r="AL1398" t="s">
        <v>26</v>
      </c>
      <c r="AM1398" t="s">
        <v>26</v>
      </c>
      <c r="AN1398" t="s">
        <v>26</v>
      </c>
      <c r="AO1398" s="25" t="s">
        <v>28</v>
      </c>
      <c r="AP1398" s="23" t="s">
        <v>279</v>
      </c>
      <c r="AQ1398" s="23" t="s">
        <v>30</v>
      </c>
      <c r="AR1398" s="23" t="s">
        <v>46</v>
      </c>
      <c r="AS1398" s="25">
        <v>6059483</v>
      </c>
      <c r="AT1398" t="s">
        <v>26</v>
      </c>
      <c r="AU1398" t="s">
        <v>24075</v>
      </c>
    </row>
    <row r="1399" spans="1:47" ht="65.650000000000006" x14ac:dyDescent="0.4">
      <c r="A1399" s="23" t="s">
        <v>24076</v>
      </c>
      <c r="B1399" t="s">
        <v>26</v>
      </c>
      <c r="C1399" s="23" t="s">
        <v>332</v>
      </c>
      <c r="D1399" s="23" t="s">
        <v>22545</v>
      </c>
      <c r="E1399" s="23" t="s">
        <v>42</v>
      </c>
      <c r="F1399" t="s">
        <v>26</v>
      </c>
      <c r="G1399" t="s">
        <v>26</v>
      </c>
      <c r="H1399" t="s">
        <v>26</v>
      </c>
      <c r="I1399" s="24">
        <v>40544</v>
      </c>
      <c r="J1399" s="24">
        <v>40544</v>
      </c>
      <c r="K1399" t="s">
        <v>26</v>
      </c>
      <c r="L1399" s="25" t="s">
        <v>28</v>
      </c>
      <c r="M1399" s="24">
        <v>40544</v>
      </c>
      <c r="N1399" s="24">
        <v>40544</v>
      </c>
      <c r="O1399" t="s">
        <v>26</v>
      </c>
      <c r="P1399" t="s">
        <v>26</v>
      </c>
      <c r="Q1399" t="s">
        <v>26</v>
      </c>
      <c r="R1399" t="s">
        <v>26</v>
      </c>
      <c r="S1399" t="s">
        <v>26</v>
      </c>
      <c r="T1399" t="s">
        <v>26</v>
      </c>
      <c r="U1399" t="s">
        <v>26</v>
      </c>
      <c r="V1399" t="s">
        <v>26</v>
      </c>
      <c r="W1399" s="24">
        <v>40544</v>
      </c>
      <c r="X1399" s="24">
        <v>40544</v>
      </c>
      <c r="Y1399" t="s">
        <v>26</v>
      </c>
      <c r="Z1399" s="24">
        <v>40544</v>
      </c>
      <c r="AA1399" s="24">
        <v>40544</v>
      </c>
      <c r="AB1399" t="s">
        <v>26</v>
      </c>
      <c r="AC1399" s="24">
        <v>40544</v>
      </c>
      <c r="AD1399" s="24">
        <v>40544</v>
      </c>
      <c r="AE1399" t="s">
        <v>26</v>
      </c>
      <c r="AF1399" t="s">
        <v>26</v>
      </c>
      <c r="AG1399" t="s">
        <v>26</v>
      </c>
      <c r="AH1399" t="s">
        <v>26</v>
      </c>
      <c r="AI1399" t="s">
        <v>26</v>
      </c>
      <c r="AJ1399" t="s">
        <v>26</v>
      </c>
      <c r="AK1399" t="s">
        <v>26</v>
      </c>
      <c r="AL1399" t="s">
        <v>26</v>
      </c>
      <c r="AM1399" t="s">
        <v>26</v>
      </c>
      <c r="AN1399" t="s">
        <v>26</v>
      </c>
      <c r="AO1399" s="25" t="s">
        <v>28</v>
      </c>
      <c r="AP1399" s="23" t="s">
        <v>279</v>
      </c>
      <c r="AQ1399" s="23" t="s">
        <v>30</v>
      </c>
      <c r="AR1399" s="23" t="s">
        <v>46</v>
      </c>
      <c r="AS1399" s="25">
        <v>6059482</v>
      </c>
      <c r="AT1399" t="s">
        <v>26</v>
      </c>
      <c r="AU1399" t="s">
        <v>24077</v>
      </c>
    </row>
    <row r="1400" spans="1:47" ht="26.25" x14ac:dyDescent="0.4">
      <c r="A1400" s="23" t="s">
        <v>3512</v>
      </c>
      <c r="B1400" t="s">
        <v>26</v>
      </c>
      <c r="C1400" s="23" t="s">
        <v>3512</v>
      </c>
      <c r="D1400" t="s">
        <v>26</v>
      </c>
      <c r="E1400" s="23" t="s">
        <v>3513</v>
      </c>
      <c r="F1400" t="s">
        <v>26</v>
      </c>
      <c r="G1400" t="s">
        <v>26</v>
      </c>
      <c r="H1400" t="s">
        <v>26</v>
      </c>
      <c r="I1400" s="24">
        <v>41640</v>
      </c>
      <c r="J1400" s="24">
        <v>42370</v>
      </c>
      <c r="K1400" t="s">
        <v>26</v>
      </c>
      <c r="L1400" s="25" t="s">
        <v>28</v>
      </c>
      <c r="M1400" s="24">
        <v>41640</v>
      </c>
      <c r="N1400" s="24">
        <v>42370</v>
      </c>
      <c r="O1400" t="s">
        <v>26</v>
      </c>
      <c r="P1400" t="s">
        <v>26</v>
      </c>
      <c r="Q1400" t="s">
        <v>26</v>
      </c>
      <c r="R1400" t="s">
        <v>26</v>
      </c>
      <c r="S1400" s="24">
        <v>41640</v>
      </c>
      <c r="T1400" s="24">
        <v>42370</v>
      </c>
      <c r="U1400" t="s">
        <v>26</v>
      </c>
      <c r="V1400" t="s">
        <v>26</v>
      </c>
      <c r="W1400" s="24">
        <v>41640</v>
      </c>
      <c r="X1400" s="24">
        <v>42370</v>
      </c>
      <c r="Y1400" t="s">
        <v>26</v>
      </c>
      <c r="Z1400" s="24">
        <v>41640</v>
      </c>
      <c r="AA1400" s="24">
        <v>42370</v>
      </c>
      <c r="AB1400" t="s">
        <v>26</v>
      </c>
      <c r="AC1400" s="24">
        <v>41640</v>
      </c>
      <c r="AD1400" s="24">
        <v>42370</v>
      </c>
      <c r="AE1400" t="s">
        <v>26</v>
      </c>
      <c r="AF1400" s="24">
        <v>41640</v>
      </c>
      <c r="AG1400" s="24">
        <v>42370</v>
      </c>
      <c r="AH1400" t="s">
        <v>26</v>
      </c>
      <c r="AI1400" s="24">
        <v>41640</v>
      </c>
      <c r="AJ1400" s="24">
        <v>42370</v>
      </c>
      <c r="AK1400" t="s">
        <v>26</v>
      </c>
      <c r="AL1400" t="s">
        <v>26</v>
      </c>
      <c r="AM1400" t="s">
        <v>26</v>
      </c>
      <c r="AN1400" t="s">
        <v>26</v>
      </c>
      <c r="AO1400" s="25" t="s">
        <v>28</v>
      </c>
      <c r="AP1400" s="23" t="s">
        <v>43</v>
      </c>
      <c r="AQ1400" s="23" t="s">
        <v>30</v>
      </c>
      <c r="AR1400" s="23" t="s">
        <v>46</v>
      </c>
      <c r="AS1400" s="25">
        <v>6362731</v>
      </c>
      <c r="AT1400" t="s">
        <v>26</v>
      </c>
      <c r="AU1400" t="s">
        <v>24078</v>
      </c>
    </row>
    <row r="1401" spans="1:47" ht="26.25" x14ac:dyDescent="0.4">
      <c r="A1401" s="23" t="s">
        <v>3514</v>
      </c>
      <c r="B1401" t="s">
        <v>26</v>
      </c>
      <c r="C1401" t="s">
        <v>26</v>
      </c>
      <c r="D1401" t="s">
        <v>26</v>
      </c>
      <c r="E1401" t="s">
        <v>26</v>
      </c>
      <c r="F1401" t="s">
        <v>26</v>
      </c>
      <c r="G1401" t="s">
        <v>26</v>
      </c>
      <c r="H1401" t="s">
        <v>26</v>
      </c>
      <c r="I1401" s="24">
        <v>34335</v>
      </c>
      <c r="J1401" s="24">
        <v>34335</v>
      </c>
      <c r="K1401" t="s">
        <v>26</v>
      </c>
      <c r="L1401" s="25" t="s">
        <v>28</v>
      </c>
      <c r="M1401" s="24">
        <v>34335</v>
      </c>
      <c r="N1401" s="24">
        <v>34335</v>
      </c>
      <c r="O1401" t="s">
        <v>26</v>
      </c>
      <c r="P1401" t="s">
        <v>26</v>
      </c>
      <c r="Q1401" t="s">
        <v>26</v>
      </c>
      <c r="R1401" t="s">
        <v>26</v>
      </c>
      <c r="S1401" s="24">
        <v>34335</v>
      </c>
      <c r="T1401" s="24">
        <v>34335</v>
      </c>
      <c r="U1401" t="s">
        <v>26</v>
      </c>
      <c r="V1401" t="s">
        <v>26</v>
      </c>
      <c r="W1401" s="24">
        <v>34335</v>
      </c>
      <c r="X1401" s="24">
        <v>34335</v>
      </c>
      <c r="Y1401" t="s">
        <v>26</v>
      </c>
      <c r="Z1401" s="24">
        <v>34335</v>
      </c>
      <c r="AA1401" s="24">
        <v>34335</v>
      </c>
      <c r="AB1401" t="s">
        <v>26</v>
      </c>
      <c r="AC1401" s="24">
        <v>34335</v>
      </c>
      <c r="AD1401" s="24">
        <v>34335</v>
      </c>
      <c r="AE1401" t="s">
        <v>26</v>
      </c>
      <c r="AF1401" s="24">
        <v>34335</v>
      </c>
      <c r="AG1401" s="24">
        <v>34335</v>
      </c>
      <c r="AH1401" t="s">
        <v>26</v>
      </c>
      <c r="AI1401" s="24">
        <v>34335</v>
      </c>
      <c r="AJ1401" s="24">
        <v>34335</v>
      </c>
      <c r="AK1401" t="s">
        <v>26</v>
      </c>
      <c r="AL1401" t="s">
        <v>26</v>
      </c>
      <c r="AM1401" t="s">
        <v>26</v>
      </c>
      <c r="AN1401" t="s">
        <v>26</v>
      </c>
      <c r="AO1401" s="25" t="s">
        <v>28</v>
      </c>
      <c r="AP1401" s="23" t="s">
        <v>43</v>
      </c>
      <c r="AQ1401" s="23" t="s">
        <v>30</v>
      </c>
      <c r="AR1401" s="23" t="s">
        <v>44</v>
      </c>
      <c r="AS1401" s="25">
        <v>5263187</v>
      </c>
      <c r="AT1401" t="s">
        <v>26</v>
      </c>
      <c r="AU1401" t="s">
        <v>24079</v>
      </c>
    </row>
    <row r="1402" spans="1:47" ht="26.25" x14ac:dyDescent="0.4">
      <c r="A1402" s="23" t="s">
        <v>3515</v>
      </c>
      <c r="B1402" t="s">
        <v>26</v>
      </c>
      <c r="C1402" s="23" t="s">
        <v>24080</v>
      </c>
      <c r="D1402" s="23" t="s">
        <v>23493</v>
      </c>
      <c r="E1402" s="23" t="s">
        <v>42</v>
      </c>
      <c r="F1402" t="s">
        <v>26</v>
      </c>
      <c r="G1402" t="s">
        <v>26</v>
      </c>
      <c r="H1402" t="s">
        <v>26</v>
      </c>
      <c r="I1402" s="24">
        <v>36526</v>
      </c>
      <c r="J1402" s="24">
        <v>36526</v>
      </c>
      <c r="K1402" t="s">
        <v>26</v>
      </c>
      <c r="L1402" s="25" t="s">
        <v>28</v>
      </c>
      <c r="M1402" s="24">
        <v>36526</v>
      </c>
      <c r="N1402" s="24">
        <v>36526</v>
      </c>
      <c r="O1402" t="s">
        <v>26</v>
      </c>
      <c r="P1402" t="s">
        <v>26</v>
      </c>
      <c r="Q1402" t="s">
        <v>26</v>
      </c>
      <c r="R1402" t="s">
        <v>26</v>
      </c>
      <c r="S1402" s="24">
        <v>36526</v>
      </c>
      <c r="T1402" s="24">
        <v>36526</v>
      </c>
      <c r="U1402" t="s">
        <v>26</v>
      </c>
      <c r="V1402" t="s">
        <v>26</v>
      </c>
      <c r="W1402" s="24">
        <v>36526</v>
      </c>
      <c r="X1402" s="24">
        <v>36526</v>
      </c>
      <c r="Y1402" t="s">
        <v>26</v>
      </c>
      <c r="Z1402" s="24">
        <v>36526</v>
      </c>
      <c r="AA1402" s="24">
        <v>36526</v>
      </c>
      <c r="AB1402" t="s">
        <v>26</v>
      </c>
      <c r="AC1402" s="24">
        <v>36526</v>
      </c>
      <c r="AD1402" s="24">
        <v>36526</v>
      </c>
      <c r="AE1402" t="s">
        <v>26</v>
      </c>
      <c r="AF1402" s="24">
        <v>36526</v>
      </c>
      <c r="AG1402" s="24">
        <v>36526</v>
      </c>
      <c r="AH1402" t="s">
        <v>26</v>
      </c>
      <c r="AI1402" s="24">
        <v>36526</v>
      </c>
      <c r="AJ1402" s="24">
        <v>36526</v>
      </c>
      <c r="AK1402" t="s">
        <v>26</v>
      </c>
      <c r="AL1402" t="s">
        <v>26</v>
      </c>
      <c r="AM1402" t="s">
        <v>26</v>
      </c>
      <c r="AN1402" t="s">
        <v>26</v>
      </c>
      <c r="AO1402" s="25" t="s">
        <v>28</v>
      </c>
      <c r="AP1402" s="23" t="s">
        <v>43</v>
      </c>
      <c r="AQ1402" s="23" t="s">
        <v>30</v>
      </c>
      <c r="AR1402" s="23" t="s">
        <v>46</v>
      </c>
      <c r="AS1402" s="25">
        <v>6362730</v>
      </c>
      <c r="AT1402" t="s">
        <v>26</v>
      </c>
      <c r="AU1402" t="s">
        <v>24081</v>
      </c>
    </row>
    <row r="1403" spans="1:47" ht="26.25" x14ac:dyDescent="0.4">
      <c r="A1403" s="23" t="s">
        <v>3516</v>
      </c>
      <c r="B1403" t="s">
        <v>26</v>
      </c>
      <c r="C1403" s="23" t="s">
        <v>22238</v>
      </c>
      <c r="D1403" t="s">
        <v>26</v>
      </c>
      <c r="E1403" s="23" t="s">
        <v>42</v>
      </c>
      <c r="F1403" t="s">
        <v>26</v>
      </c>
      <c r="G1403" t="s">
        <v>26</v>
      </c>
      <c r="H1403" t="s">
        <v>26</v>
      </c>
      <c r="I1403" s="24">
        <v>43101</v>
      </c>
      <c r="J1403" s="24">
        <v>43101</v>
      </c>
      <c r="K1403" t="s">
        <v>26</v>
      </c>
      <c r="L1403" s="25" t="s">
        <v>28</v>
      </c>
      <c r="M1403" s="24">
        <v>43101</v>
      </c>
      <c r="N1403" s="24">
        <v>43101</v>
      </c>
      <c r="O1403" t="s">
        <v>26</v>
      </c>
      <c r="P1403" t="s">
        <v>26</v>
      </c>
      <c r="Q1403" t="s">
        <v>26</v>
      </c>
      <c r="R1403" t="s">
        <v>26</v>
      </c>
      <c r="S1403" s="24">
        <v>43101</v>
      </c>
      <c r="T1403" s="24">
        <v>43101</v>
      </c>
      <c r="U1403" t="s">
        <v>26</v>
      </c>
      <c r="V1403" t="s">
        <v>26</v>
      </c>
      <c r="W1403" s="24">
        <v>43101</v>
      </c>
      <c r="X1403" s="24">
        <v>43101</v>
      </c>
      <c r="Y1403" t="s">
        <v>26</v>
      </c>
      <c r="Z1403" s="24">
        <v>43101</v>
      </c>
      <c r="AA1403" s="24">
        <v>43101</v>
      </c>
      <c r="AB1403" t="s">
        <v>26</v>
      </c>
      <c r="AC1403" s="24">
        <v>43101</v>
      </c>
      <c r="AD1403" s="24">
        <v>43101</v>
      </c>
      <c r="AE1403" t="s">
        <v>26</v>
      </c>
      <c r="AF1403" s="24">
        <v>43101</v>
      </c>
      <c r="AG1403" s="24">
        <v>43101</v>
      </c>
      <c r="AH1403" t="s">
        <v>26</v>
      </c>
      <c r="AI1403" s="24">
        <v>43101</v>
      </c>
      <c r="AJ1403" s="24">
        <v>43101</v>
      </c>
      <c r="AK1403" t="s">
        <v>26</v>
      </c>
      <c r="AL1403" t="s">
        <v>26</v>
      </c>
      <c r="AM1403" t="s">
        <v>26</v>
      </c>
      <c r="AN1403" t="s">
        <v>26</v>
      </c>
      <c r="AO1403" s="25" t="s">
        <v>28</v>
      </c>
      <c r="AP1403" s="23" t="s">
        <v>43</v>
      </c>
      <c r="AQ1403" s="23" t="s">
        <v>30</v>
      </c>
      <c r="AR1403" s="23" t="s">
        <v>44</v>
      </c>
      <c r="AS1403" s="25">
        <v>5263205</v>
      </c>
      <c r="AT1403" t="s">
        <v>26</v>
      </c>
      <c r="AU1403" t="s">
        <v>24082</v>
      </c>
    </row>
    <row r="1404" spans="1:47" ht="26.25" x14ac:dyDescent="0.4">
      <c r="A1404" s="23" t="s">
        <v>3517</v>
      </c>
      <c r="B1404" t="s">
        <v>26</v>
      </c>
      <c r="C1404" s="23" t="s">
        <v>146</v>
      </c>
      <c r="D1404" s="23" t="s">
        <v>24083</v>
      </c>
      <c r="E1404" s="23" t="s">
        <v>60</v>
      </c>
      <c r="F1404" t="s">
        <v>26</v>
      </c>
      <c r="G1404" t="s">
        <v>26</v>
      </c>
      <c r="H1404" t="s">
        <v>26</v>
      </c>
      <c r="I1404" s="24">
        <v>36526</v>
      </c>
      <c r="J1404" s="24">
        <v>40179</v>
      </c>
      <c r="K1404" t="s">
        <v>26</v>
      </c>
      <c r="L1404" s="25" t="s">
        <v>28</v>
      </c>
      <c r="M1404" s="24">
        <v>36526</v>
      </c>
      <c r="N1404" s="24">
        <v>40179</v>
      </c>
      <c r="O1404" t="s">
        <v>26</v>
      </c>
      <c r="P1404" t="s">
        <v>26</v>
      </c>
      <c r="Q1404" t="s">
        <v>26</v>
      </c>
      <c r="R1404" t="s">
        <v>26</v>
      </c>
      <c r="S1404" s="24">
        <v>36526</v>
      </c>
      <c r="T1404" s="24">
        <v>40179</v>
      </c>
      <c r="U1404" t="s">
        <v>26</v>
      </c>
      <c r="V1404" t="s">
        <v>26</v>
      </c>
      <c r="W1404" s="24">
        <v>36526</v>
      </c>
      <c r="X1404" s="24">
        <v>40179</v>
      </c>
      <c r="Y1404" t="s">
        <v>26</v>
      </c>
      <c r="Z1404" s="24">
        <v>36526</v>
      </c>
      <c r="AA1404" s="24">
        <v>40179</v>
      </c>
      <c r="AB1404" t="s">
        <v>26</v>
      </c>
      <c r="AC1404" s="24">
        <v>36526</v>
      </c>
      <c r="AD1404" s="24">
        <v>40179</v>
      </c>
      <c r="AE1404" t="s">
        <v>26</v>
      </c>
      <c r="AF1404" s="24">
        <v>36526</v>
      </c>
      <c r="AG1404" s="24">
        <v>40179</v>
      </c>
      <c r="AH1404" t="s">
        <v>26</v>
      </c>
      <c r="AI1404" s="24">
        <v>36526</v>
      </c>
      <c r="AJ1404" s="24">
        <v>40179</v>
      </c>
      <c r="AK1404" t="s">
        <v>26</v>
      </c>
      <c r="AL1404" t="s">
        <v>26</v>
      </c>
      <c r="AM1404" t="s">
        <v>26</v>
      </c>
      <c r="AN1404" t="s">
        <v>26</v>
      </c>
      <c r="AO1404" s="25" t="s">
        <v>28</v>
      </c>
      <c r="AP1404" s="23" t="s">
        <v>43</v>
      </c>
      <c r="AQ1404" s="23" t="s">
        <v>30</v>
      </c>
      <c r="AR1404" s="23" t="s">
        <v>46</v>
      </c>
      <c r="AS1404" s="25">
        <v>6362729</v>
      </c>
      <c r="AT1404" t="s">
        <v>26</v>
      </c>
      <c r="AU1404" t="s">
        <v>24084</v>
      </c>
    </row>
    <row r="1405" spans="1:47" ht="13.15" x14ac:dyDescent="0.4">
      <c r="A1405" s="23" t="s">
        <v>3518</v>
      </c>
      <c r="B1405" t="s">
        <v>26</v>
      </c>
      <c r="C1405" t="s">
        <v>26</v>
      </c>
      <c r="D1405" t="s">
        <v>26</v>
      </c>
      <c r="E1405" t="s">
        <v>26</v>
      </c>
      <c r="F1405" t="s">
        <v>26</v>
      </c>
      <c r="G1405" t="s">
        <v>26</v>
      </c>
      <c r="H1405" t="s">
        <v>26</v>
      </c>
      <c r="I1405" s="24">
        <v>732</v>
      </c>
      <c r="J1405" s="24">
        <v>732</v>
      </c>
      <c r="K1405" t="s">
        <v>26</v>
      </c>
      <c r="L1405" s="25" t="s">
        <v>28</v>
      </c>
      <c r="M1405" s="24">
        <v>732</v>
      </c>
      <c r="N1405" s="24">
        <v>732</v>
      </c>
      <c r="O1405" t="s">
        <v>26</v>
      </c>
      <c r="P1405" t="s">
        <v>26</v>
      </c>
      <c r="Q1405" t="s">
        <v>26</v>
      </c>
      <c r="R1405" t="s">
        <v>26</v>
      </c>
      <c r="S1405" t="s">
        <v>26</v>
      </c>
      <c r="T1405" t="s">
        <v>26</v>
      </c>
      <c r="U1405" t="s">
        <v>26</v>
      </c>
      <c r="V1405" t="s">
        <v>26</v>
      </c>
      <c r="W1405" s="24">
        <v>732</v>
      </c>
      <c r="X1405" s="24">
        <v>732</v>
      </c>
      <c r="Y1405" t="s">
        <v>26</v>
      </c>
      <c r="Z1405" s="24">
        <v>732</v>
      </c>
      <c r="AA1405" s="24">
        <v>732</v>
      </c>
      <c r="AB1405" t="s">
        <v>26</v>
      </c>
      <c r="AC1405" s="24">
        <v>732</v>
      </c>
      <c r="AD1405" s="24">
        <v>732</v>
      </c>
      <c r="AE1405" t="s">
        <v>26</v>
      </c>
      <c r="AF1405" t="s">
        <v>26</v>
      </c>
      <c r="AG1405" t="s">
        <v>26</v>
      </c>
      <c r="AH1405" t="s">
        <v>26</v>
      </c>
      <c r="AI1405" t="s">
        <v>26</v>
      </c>
      <c r="AJ1405" t="s">
        <v>26</v>
      </c>
      <c r="AK1405" t="s">
        <v>26</v>
      </c>
      <c r="AL1405" t="s">
        <v>26</v>
      </c>
      <c r="AM1405" t="s">
        <v>26</v>
      </c>
      <c r="AN1405" t="s">
        <v>26</v>
      </c>
      <c r="AO1405" s="25" t="s">
        <v>28</v>
      </c>
      <c r="AP1405" s="23" t="s">
        <v>29</v>
      </c>
      <c r="AQ1405" s="23" t="s">
        <v>30</v>
      </c>
      <c r="AR1405" s="23" t="s">
        <v>46</v>
      </c>
      <c r="AS1405" s="25">
        <v>6059481</v>
      </c>
      <c r="AT1405" t="s">
        <v>26</v>
      </c>
      <c r="AU1405" t="s">
        <v>24085</v>
      </c>
    </row>
    <row r="1406" spans="1:47" ht="26.25" x14ac:dyDescent="0.4">
      <c r="A1406" s="23" t="s">
        <v>3519</v>
      </c>
      <c r="B1406" t="s">
        <v>26</v>
      </c>
      <c r="C1406" s="23" t="s">
        <v>22163</v>
      </c>
      <c r="D1406" s="23" t="s">
        <v>24086</v>
      </c>
      <c r="E1406" s="23" t="s">
        <v>42</v>
      </c>
      <c r="F1406" t="s">
        <v>26</v>
      </c>
      <c r="G1406" t="s">
        <v>26</v>
      </c>
      <c r="H1406" t="s">
        <v>26</v>
      </c>
      <c r="I1406" s="24">
        <v>41275</v>
      </c>
      <c r="J1406" s="24">
        <v>41275</v>
      </c>
      <c r="K1406" t="s">
        <v>26</v>
      </c>
      <c r="L1406" s="25" t="s">
        <v>28</v>
      </c>
      <c r="M1406" s="24">
        <v>41275</v>
      </c>
      <c r="N1406" s="24">
        <v>41275</v>
      </c>
      <c r="O1406" t="s">
        <v>26</v>
      </c>
      <c r="P1406" t="s">
        <v>26</v>
      </c>
      <c r="Q1406" t="s">
        <v>26</v>
      </c>
      <c r="R1406" t="s">
        <v>26</v>
      </c>
      <c r="S1406" s="24">
        <v>41275</v>
      </c>
      <c r="T1406" s="24">
        <v>41275</v>
      </c>
      <c r="U1406" t="s">
        <v>26</v>
      </c>
      <c r="V1406" t="s">
        <v>26</v>
      </c>
      <c r="W1406" s="24">
        <v>41275</v>
      </c>
      <c r="X1406" s="24">
        <v>41275</v>
      </c>
      <c r="Y1406" t="s">
        <v>26</v>
      </c>
      <c r="Z1406" s="24">
        <v>41275</v>
      </c>
      <c r="AA1406" s="24">
        <v>41275</v>
      </c>
      <c r="AB1406" t="s">
        <v>26</v>
      </c>
      <c r="AC1406" s="24">
        <v>41275</v>
      </c>
      <c r="AD1406" s="24">
        <v>41275</v>
      </c>
      <c r="AE1406" t="s">
        <v>26</v>
      </c>
      <c r="AF1406" s="24">
        <v>41275</v>
      </c>
      <c r="AG1406" s="24">
        <v>41275</v>
      </c>
      <c r="AH1406" t="s">
        <v>26</v>
      </c>
      <c r="AI1406" s="24">
        <v>41275</v>
      </c>
      <c r="AJ1406" s="24">
        <v>41275</v>
      </c>
      <c r="AK1406" t="s">
        <v>26</v>
      </c>
      <c r="AL1406" t="s">
        <v>26</v>
      </c>
      <c r="AM1406" t="s">
        <v>26</v>
      </c>
      <c r="AN1406" t="s">
        <v>26</v>
      </c>
      <c r="AO1406" s="25" t="s">
        <v>28</v>
      </c>
      <c r="AP1406" s="23" t="s">
        <v>43</v>
      </c>
      <c r="AQ1406" s="23" t="s">
        <v>30</v>
      </c>
      <c r="AR1406" s="23" t="s">
        <v>46</v>
      </c>
      <c r="AS1406" s="25">
        <v>6364589</v>
      </c>
      <c r="AT1406" t="s">
        <v>26</v>
      </c>
      <c r="AU1406" t="s">
        <v>24087</v>
      </c>
    </row>
    <row r="1407" spans="1:47" ht="13.15" x14ac:dyDescent="0.4">
      <c r="A1407" s="23" t="s">
        <v>3520</v>
      </c>
      <c r="B1407" t="s">
        <v>26</v>
      </c>
      <c r="C1407" s="23" t="s">
        <v>1868</v>
      </c>
      <c r="D1407" s="23" t="s">
        <v>22634</v>
      </c>
      <c r="E1407" s="23" t="s">
        <v>335</v>
      </c>
      <c r="F1407" s="25" t="s">
        <v>3521</v>
      </c>
      <c r="G1407" t="s">
        <v>26</v>
      </c>
      <c r="H1407" t="s">
        <v>26</v>
      </c>
      <c r="I1407" s="24">
        <v>34001</v>
      </c>
      <c r="J1407" s="24">
        <v>35977</v>
      </c>
      <c r="K1407" t="s">
        <v>26</v>
      </c>
      <c r="L1407" s="25" t="s">
        <v>28</v>
      </c>
      <c r="M1407" s="24">
        <v>34001</v>
      </c>
      <c r="N1407" s="24">
        <v>35977</v>
      </c>
      <c r="O1407" t="s">
        <v>26</v>
      </c>
      <c r="P1407" t="s">
        <v>26</v>
      </c>
      <c r="Q1407" t="s">
        <v>26</v>
      </c>
      <c r="R1407" t="s">
        <v>26</v>
      </c>
      <c r="S1407" t="s">
        <v>26</v>
      </c>
      <c r="T1407" t="s">
        <v>26</v>
      </c>
      <c r="U1407" t="s">
        <v>26</v>
      </c>
      <c r="V1407" t="s">
        <v>26</v>
      </c>
      <c r="W1407" s="24">
        <v>32021</v>
      </c>
      <c r="X1407" s="24">
        <v>35977</v>
      </c>
      <c r="Y1407" t="s">
        <v>26</v>
      </c>
      <c r="Z1407" s="24">
        <v>32021</v>
      </c>
      <c r="AA1407" s="24">
        <v>35977</v>
      </c>
      <c r="AB1407" t="s">
        <v>26</v>
      </c>
      <c r="AC1407" s="24">
        <v>34001</v>
      </c>
      <c r="AD1407" s="24">
        <v>35977</v>
      </c>
      <c r="AE1407" t="s">
        <v>26</v>
      </c>
      <c r="AF1407" t="s">
        <v>26</v>
      </c>
      <c r="AG1407" t="s">
        <v>26</v>
      </c>
      <c r="AH1407" t="s">
        <v>26</v>
      </c>
      <c r="AI1407" t="s">
        <v>26</v>
      </c>
      <c r="AJ1407" t="s">
        <v>26</v>
      </c>
      <c r="AK1407" t="s">
        <v>26</v>
      </c>
      <c r="AL1407" t="s">
        <v>26</v>
      </c>
      <c r="AM1407" t="s">
        <v>26</v>
      </c>
      <c r="AN1407" t="s">
        <v>26</v>
      </c>
      <c r="AO1407" s="25" t="s">
        <v>28</v>
      </c>
      <c r="AP1407" s="23" t="s">
        <v>112</v>
      </c>
      <c r="AQ1407" s="23" t="s">
        <v>30</v>
      </c>
      <c r="AR1407" s="23" t="s">
        <v>203</v>
      </c>
      <c r="AS1407" s="25">
        <v>44335</v>
      </c>
      <c r="AT1407" t="s">
        <v>26</v>
      </c>
      <c r="AU1407" t="s">
        <v>24088</v>
      </c>
    </row>
    <row r="1408" spans="1:47" ht="26.25" x14ac:dyDescent="0.4">
      <c r="A1408" s="23" t="s">
        <v>3522</v>
      </c>
      <c r="B1408" t="s">
        <v>26</v>
      </c>
      <c r="C1408" s="23" t="s">
        <v>3523</v>
      </c>
      <c r="D1408" s="23" t="s">
        <v>22254</v>
      </c>
      <c r="E1408" s="23" t="s">
        <v>42</v>
      </c>
      <c r="F1408" s="25" t="s">
        <v>3524</v>
      </c>
      <c r="G1408" s="25" t="s">
        <v>3525</v>
      </c>
      <c r="H1408" t="s">
        <v>26</v>
      </c>
      <c r="I1408" s="24">
        <v>35490</v>
      </c>
      <c r="J1408" s="24">
        <v>37803</v>
      </c>
      <c r="K1408" t="s">
        <v>26</v>
      </c>
      <c r="L1408" s="25" t="s">
        <v>68</v>
      </c>
      <c r="M1408" s="24">
        <v>35490</v>
      </c>
      <c r="N1408" s="24">
        <v>37803</v>
      </c>
      <c r="O1408" t="s">
        <v>26</v>
      </c>
      <c r="P1408" t="s">
        <v>26</v>
      </c>
      <c r="Q1408" t="s">
        <v>26</v>
      </c>
      <c r="R1408" t="s">
        <v>26</v>
      </c>
      <c r="S1408" t="s">
        <v>26</v>
      </c>
      <c r="T1408" t="s">
        <v>26</v>
      </c>
      <c r="U1408" t="s">
        <v>26</v>
      </c>
      <c r="V1408" t="s">
        <v>26</v>
      </c>
      <c r="W1408" s="24">
        <v>35490</v>
      </c>
      <c r="X1408" s="25" t="s">
        <v>77</v>
      </c>
      <c r="Y1408" t="s">
        <v>26</v>
      </c>
      <c r="Z1408" s="24">
        <v>35490</v>
      </c>
      <c r="AA1408" s="25" t="s">
        <v>77</v>
      </c>
      <c r="AB1408" t="s">
        <v>26</v>
      </c>
      <c r="AC1408" s="24">
        <v>37316</v>
      </c>
      <c r="AD1408" s="25" t="s">
        <v>77</v>
      </c>
      <c r="AE1408" t="s">
        <v>26</v>
      </c>
      <c r="AF1408" t="s">
        <v>26</v>
      </c>
      <c r="AG1408" t="s">
        <v>26</v>
      </c>
      <c r="AH1408" t="s">
        <v>26</v>
      </c>
      <c r="AI1408" t="s">
        <v>26</v>
      </c>
      <c r="AJ1408" t="s">
        <v>26</v>
      </c>
      <c r="AK1408" t="s">
        <v>26</v>
      </c>
      <c r="AL1408" t="s">
        <v>26</v>
      </c>
      <c r="AM1408" t="s">
        <v>26</v>
      </c>
      <c r="AN1408" t="s">
        <v>26</v>
      </c>
      <c r="AO1408" s="25" t="s">
        <v>68</v>
      </c>
      <c r="AP1408" s="23" t="s">
        <v>69</v>
      </c>
      <c r="AQ1408" s="23" t="s">
        <v>30</v>
      </c>
      <c r="AR1408" s="23" t="s">
        <v>3526</v>
      </c>
      <c r="AS1408" s="25">
        <v>21451</v>
      </c>
      <c r="AT1408" t="s">
        <v>26</v>
      </c>
      <c r="AU1408" t="s">
        <v>24089</v>
      </c>
    </row>
    <row r="1409" spans="1:47" ht="39.4" x14ac:dyDescent="0.4">
      <c r="A1409" s="23" t="s">
        <v>3527</v>
      </c>
      <c r="B1409" t="s">
        <v>26</v>
      </c>
      <c r="C1409" s="23" t="s">
        <v>3528</v>
      </c>
      <c r="D1409" s="23" t="s">
        <v>24090</v>
      </c>
      <c r="E1409" s="23" t="s">
        <v>42</v>
      </c>
      <c r="F1409" s="25" t="s">
        <v>3529</v>
      </c>
      <c r="G1409" t="s">
        <v>26</v>
      </c>
      <c r="H1409" t="s">
        <v>26</v>
      </c>
      <c r="I1409" s="24">
        <v>39173</v>
      </c>
      <c r="J1409" s="24">
        <v>43647</v>
      </c>
      <c r="K1409" t="s">
        <v>26</v>
      </c>
      <c r="L1409" s="25" t="s">
        <v>68</v>
      </c>
      <c r="M1409" t="s">
        <v>26</v>
      </c>
      <c r="N1409" t="s">
        <v>26</v>
      </c>
      <c r="O1409" t="s">
        <v>26</v>
      </c>
      <c r="P1409" s="24">
        <v>39173</v>
      </c>
      <c r="Q1409" s="24">
        <v>43647</v>
      </c>
      <c r="R1409" t="s">
        <v>26</v>
      </c>
      <c r="S1409" t="s">
        <v>26</v>
      </c>
      <c r="T1409" t="s">
        <v>26</v>
      </c>
      <c r="U1409" t="s">
        <v>26</v>
      </c>
      <c r="V1409" t="s">
        <v>26</v>
      </c>
      <c r="W1409" s="24">
        <v>39173</v>
      </c>
      <c r="X1409" s="24">
        <v>43647</v>
      </c>
      <c r="Y1409" t="s">
        <v>26</v>
      </c>
      <c r="Z1409" s="24">
        <v>39173</v>
      </c>
      <c r="AA1409" s="24">
        <v>43647</v>
      </c>
      <c r="AB1409" t="s">
        <v>26</v>
      </c>
      <c r="AC1409" s="24">
        <v>39173</v>
      </c>
      <c r="AD1409" s="24">
        <v>43647</v>
      </c>
      <c r="AE1409" t="s">
        <v>26</v>
      </c>
      <c r="AF1409" t="s">
        <v>26</v>
      </c>
      <c r="AG1409" t="s">
        <v>26</v>
      </c>
      <c r="AH1409" t="s">
        <v>26</v>
      </c>
      <c r="AI1409" t="s">
        <v>26</v>
      </c>
      <c r="AJ1409" t="s">
        <v>26</v>
      </c>
      <c r="AK1409" t="s">
        <v>26</v>
      </c>
      <c r="AL1409" t="s">
        <v>26</v>
      </c>
      <c r="AM1409" t="s">
        <v>26</v>
      </c>
      <c r="AN1409" t="s">
        <v>26</v>
      </c>
      <c r="AO1409" s="25" t="s">
        <v>68</v>
      </c>
      <c r="AP1409" s="23" t="s">
        <v>69</v>
      </c>
      <c r="AQ1409" s="23" t="s">
        <v>226</v>
      </c>
      <c r="AR1409" s="23" t="s">
        <v>46</v>
      </c>
      <c r="AS1409" s="25">
        <v>4380456</v>
      </c>
      <c r="AT1409" t="s">
        <v>26</v>
      </c>
      <c r="AU1409" t="s">
        <v>24091</v>
      </c>
    </row>
    <row r="1410" spans="1:47" ht="26.25" x14ac:dyDescent="0.4">
      <c r="A1410" s="23" t="s">
        <v>3530</v>
      </c>
      <c r="B1410" t="s">
        <v>26</v>
      </c>
      <c r="C1410" s="23" t="s">
        <v>80</v>
      </c>
      <c r="D1410" s="23" t="s">
        <v>22254</v>
      </c>
      <c r="E1410" s="23" t="s">
        <v>60</v>
      </c>
      <c r="F1410" s="25" t="s">
        <v>3531</v>
      </c>
      <c r="G1410" s="25" t="s">
        <v>3532</v>
      </c>
      <c r="H1410" t="s">
        <v>26</v>
      </c>
      <c r="I1410" t="s">
        <v>26</v>
      </c>
      <c r="J1410" t="s">
        <v>26</v>
      </c>
      <c r="K1410" t="s">
        <v>26</v>
      </c>
      <c r="L1410" s="25" t="s">
        <v>68</v>
      </c>
      <c r="M1410" t="s">
        <v>26</v>
      </c>
      <c r="N1410" t="s">
        <v>26</v>
      </c>
      <c r="O1410" t="s">
        <v>26</v>
      </c>
      <c r="P1410" t="s">
        <v>26</v>
      </c>
      <c r="Q1410" t="s">
        <v>26</v>
      </c>
      <c r="R1410" t="s">
        <v>26</v>
      </c>
      <c r="S1410" t="s">
        <v>26</v>
      </c>
      <c r="T1410" t="s">
        <v>26</v>
      </c>
      <c r="U1410" t="s">
        <v>26</v>
      </c>
      <c r="V1410" t="s">
        <v>26</v>
      </c>
      <c r="W1410" s="24">
        <v>35735</v>
      </c>
      <c r="X1410" s="25" t="s">
        <v>77</v>
      </c>
      <c r="Y1410" t="s">
        <v>26</v>
      </c>
      <c r="Z1410" s="24">
        <v>35735</v>
      </c>
      <c r="AA1410" s="25" t="s">
        <v>77</v>
      </c>
      <c r="AB1410" t="s">
        <v>26</v>
      </c>
      <c r="AC1410" s="24">
        <v>35735</v>
      </c>
      <c r="AD1410" s="25" t="s">
        <v>77</v>
      </c>
      <c r="AE1410" t="s">
        <v>26</v>
      </c>
      <c r="AF1410" t="s">
        <v>26</v>
      </c>
      <c r="AG1410" t="s">
        <v>26</v>
      </c>
      <c r="AH1410" t="s">
        <v>26</v>
      </c>
      <c r="AI1410" t="s">
        <v>26</v>
      </c>
      <c r="AJ1410" t="s">
        <v>26</v>
      </c>
      <c r="AK1410" t="s">
        <v>26</v>
      </c>
      <c r="AL1410" t="s">
        <v>26</v>
      </c>
      <c r="AM1410" t="s">
        <v>26</v>
      </c>
      <c r="AN1410" t="s">
        <v>26</v>
      </c>
      <c r="AO1410" s="25" t="s">
        <v>68</v>
      </c>
      <c r="AP1410" s="23" t="s">
        <v>69</v>
      </c>
      <c r="AQ1410" s="23" t="s">
        <v>30</v>
      </c>
      <c r="AR1410" s="23" t="s">
        <v>123</v>
      </c>
      <c r="AS1410" s="25">
        <v>47472</v>
      </c>
      <c r="AT1410" t="s">
        <v>26</v>
      </c>
      <c r="AU1410" t="s">
        <v>24092</v>
      </c>
    </row>
    <row r="1411" spans="1:47" ht="26.25" x14ac:dyDescent="0.4">
      <c r="A1411" s="23" t="s">
        <v>3533</v>
      </c>
      <c r="B1411" t="s">
        <v>26</v>
      </c>
      <c r="C1411" s="23" t="s">
        <v>172</v>
      </c>
      <c r="D1411" s="23" t="s">
        <v>22294</v>
      </c>
      <c r="E1411" s="23" t="s">
        <v>60</v>
      </c>
      <c r="F1411" s="25" t="s">
        <v>3534</v>
      </c>
      <c r="G1411" s="25" t="s">
        <v>3535</v>
      </c>
      <c r="H1411" t="s">
        <v>26</v>
      </c>
      <c r="I1411" s="24">
        <v>35796</v>
      </c>
      <c r="J1411" s="24">
        <v>40360</v>
      </c>
      <c r="K1411" t="s">
        <v>26</v>
      </c>
      <c r="L1411" s="25" t="s">
        <v>68</v>
      </c>
      <c r="M1411" s="24">
        <v>35796</v>
      </c>
      <c r="N1411" s="24">
        <v>40360</v>
      </c>
      <c r="O1411" t="s">
        <v>26</v>
      </c>
      <c r="P1411" s="24">
        <v>35796</v>
      </c>
      <c r="Q1411" s="24">
        <v>40360</v>
      </c>
      <c r="R1411" t="s">
        <v>26</v>
      </c>
      <c r="S1411" t="s">
        <v>26</v>
      </c>
      <c r="T1411" t="s">
        <v>26</v>
      </c>
      <c r="U1411" t="s">
        <v>26</v>
      </c>
      <c r="V1411" t="s">
        <v>26</v>
      </c>
      <c r="W1411" s="24">
        <v>35796</v>
      </c>
      <c r="X1411" s="25" t="s">
        <v>77</v>
      </c>
      <c r="Y1411" s="25" t="s">
        <v>3536</v>
      </c>
      <c r="Z1411" s="24">
        <v>35796</v>
      </c>
      <c r="AA1411" s="25" t="s">
        <v>77</v>
      </c>
      <c r="AB1411" s="25" t="s">
        <v>3536</v>
      </c>
      <c r="AC1411" s="24">
        <v>35796</v>
      </c>
      <c r="AD1411" s="25" t="s">
        <v>77</v>
      </c>
      <c r="AE1411" s="25" t="s">
        <v>3536</v>
      </c>
      <c r="AF1411" t="s">
        <v>26</v>
      </c>
      <c r="AG1411" t="s">
        <v>26</v>
      </c>
      <c r="AH1411" t="s">
        <v>26</v>
      </c>
      <c r="AI1411" t="s">
        <v>26</v>
      </c>
      <c r="AJ1411" t="s">
        <v>26</v>
      </c>
      <c r="AK1411" t="s">
        <v>26</v>
      </c>
      <c r="AL1411" t="s">
        <v>26</v>
      </c>
      <c r="AM1411" t="s">
        <v>26</v>
      </c>
      <c r="AN1411" t="s">
        <v>26</v>
      </c>
      <c r="AO1411" s="25" t="s">
        <v>68</v>
      </c>
      <c r="AP1411" s="23" t="s">
        <v>69</v>
      </c>
      <c r="AQ1411" s="23" t="s">
        <v>30</v>
      </c>
      <c r="AR1411" s="23" t="s">
        <v>105</v>
      </c>
      <c r="AS1411" s="25">
        <v>25318</v>
      </c>
      <c r="AT1411" t="s">
        <v>26</v>
      </c>
      <c r="AU1411" t="s">
        <v>24093</v>
      </c>
    </row>
    <row r="1412" spans="1:47" ht="26.25" x14ac:dyDescent="0.4">
      <c r="A1412" s="23" t="s">
        <v>3537</v>
      </c>
      <c r="B1412" t="s">
        <v>26</v>
      </c>
      <c r="C1412" s="23" t="s">
        <v>2844</v>
      </c>
      <c r="D1412" s="23" t="s">
        <v>22709</v>
      </c>
      <c r="E1412" s="23" t="s">
        <v>60</v>
      </c>
      <c r="F1412" s="25" t="s">
        <v>3538</v>
      </c>
      <c r="G1412" s="25" t="s">
        <v>3539</v>
      </c>
      <c r="H1412" t="s">
        <v>26</v>
      </c>
      <c r="I1412" s="24">
        <v>41275</v>
      </c>
      <c r="J1412" s="24">
        <v>42005</v>
      </c>
      <c r="K1412" t="s">
        <v>26</v>
      </c>
      <c r="L1412" s="25" t="s">
        <v>68</v>
      </c>
      <c r="M1412" t="s">
        <v>26</v>
      </c>
      <c r="N1412" t="s">
        <v>26</v>
      </c>
      <c r="O1412" t="s">
        <v>26</v>
      </c>
      <c r="P1412" s="24">
        <v>41275</v>
      </c>
      <c r="Q1412" s="24">
        <v>42005</v>
      </c>
      <c r="R1412" t="s">
        <v>26</v>
      </c>
      <c r="S1412" t="s">
        <v>26</v>
      </c>
      <c r="T1412" t="s">
        <v>26</v>
      </c>
      <c r="U1412" t="s">
        <v>26</v>
      </c>
      <c r="V1412" t="s">
        <v>26</v>
      </c>
      <c r="W1412" s="24">
        <v>41275</v>
      </c>
      <c r="X1412" s="24">
        <v>42186</v>
      </c>
      <c r="Y1412" t="s">
        <v>26</v>
      </c>
      <c r="Z1412" s="24">
        <v>41275</v>
      </c>
      <c r="AA1412" s="24">
        <v>42186</v>
      </c>
      <c r="AB1412" t="s">
        <v>26</v>
      </c>
      <c r="AC1412" s="24">
        <v>41275</v>
      </c>
      <c r="AD1412" s="24">
        <v>42005</v>
      </c>
      <c r="AE1412" t="s">
        <v>26</v>
      </c>
      <c r="AF1412" t="s">
        <v>26</v>
      </c>
      <c r="AG1412" t="s">
        <v>26</v>
      </c>
      <c r="AH1412" t="s">
        <v>26</v>
      </c>
      <c r="AI1412" t="s">
        <v>26</v>
      </c>
      <c r="AJ1412" t="s">
        <v>26</v>
      </c>
      <c r="AK1412" t="s">
        <v>26</v>
      </c>
      <c r="AL1412" t="s">
        <v>26</v>
      </c>
      <c r="AM1412" t="s">
        <v>26</v>
      </c>
      <c r="AN1412" t="s">
        <v>26</v>
      </c>
      <c r="AO1412" s="25" t="s">
        <v>68</v>
      </c>
      <c r="AP1412" s="23" t="s">
        <v>69</v>
      </c>
      <c r="AQ1412" s="23" t="s">
        <v>30</v>
      </c>
      <c r="AR1412" s="23" t="s">
        <v>2262</v>
      </c>
      <c r="AS1412" s="25">
        <v>2031243</v>
      </c>
      <c r="AT1412" t="s">
        <v>26</v>
      </c>
      <c r="AU1412" t="s">
        <v>24094</v>
      </c>
    </row>
    <row r="1413" spans="1:47" ht="26.25" x14ac:dyDescent="0.4">
      <c r="A1413" s="23" t="s">
        <v>3540</v>
      </c>
      <c r="B1413" t="s">
        <v>26</v>
      </c>
      <c r="C1413" s="23" t="s">
        <v>107</v>
      </c>
      <c r="D1413" s="23" t="s">
        <v>22194</v>
      </c>
      <c r="E1413" s="23" t="s">
        <v>42</v>
      </c>
      <c r="F1413" s="25" t="s">
        <v>3541</v>
      </c>
      <c r="G1413" s="25" t="s">
        <v>3542</v>
      </c>
      <c r="H1413" t="s">
        <v>26</v>
      </c>
      <c r="I1413" s="24">
        <v>28522</v>
      </c>
      <c r="J1413" s="24">
        <v>43435</v>
      </c>
      <c r="K1413" t="s">
        <v>26</v>
      </c>
      <c r="L1413" s="25" t="s">
        <v>68</v>
      </c>
      <c r="M1413" s="24">
        <v>28522</v>
      </c>
      <c r="N1413" s="24">
        <v>43435</v>
      </c>
      <c r="O1413" s="25" t="s">
        <v>1328</v>
      </c>
      <c r="P1413" s="24">
        <v>28522</v>
      </c>
      <c r="Q1413" s="24">
        <v>43435</v>
      </c>
      <c r="R1413" t="s">
        <v>26</v>
      </c>
      <c r="S1413" t="s">
        <v>26</v>
      </c>
      <c r="T1413" t="s">
        <v>26</v>
      </c>
      <c r="U1413" t="s">
        <v>26</v>
      </c>
      <c r="V1413" t="s">
        <v>26</v>
      </c>
      <c r="W1413" s="24">
        <v>28522</v>
      </c>
      <c r="X1413" s="25" t="s">
        <v>77</v>
      </c>
      <c r="Y1413" t="s">
        <v>26</v>
      </c>
      <c r="Z1413" s="24">
        <v>28522</v>
      </c>
      <c r="AA1413" s="25" t="s">
        <v>77</v>
      </c>
      <c r="AB1413" t="s">
        <v>26</v>
      </c>
      <c r="AC1413" s="24">
        <v>28522</v>
      </c>
      <c r="AD1413" s="25" t="s">
        <v>77</v>
      </c>
      <c r="AE1413" t="s">
        <v>26</v>
      </c>
      <c r="AF1413" t="s">
        <v>26</v>
      </c>
      <c r="AG1413" t="s">
        <v>26</v>
      </c>
      <c r="AH1413" t="s">
        <v>26</v>
      </c>
      <c r="AI1413" t="s">
        <v>26</v>
      </c>
      <c r="AJ1413" t="s">
        <v>26</v>
      </c>
      <c r="AK1413" t="s">
        <v>26</v>
      </c>
      <c r="AL1413" t="s">
        <v>26</v>
      </c>
      <c r="AM1413" t="s">
        <v>26</v>
      </c>
      <c r="AN1413" t="s">
        <v>26</v>
      </c>
      <c r="AO1413" s="25" t="s">
        <v>68</v>
      </c>
      <c r="AP1413" s="23" t="s">
        <v>69</v>
      </c>
      <c r="AQ1413" s="23" t="s">
        <v>30</v>
      </c>
      <c r="AR1413" s="23" t="s">
        <v>337</v>
      </c>
      <c r="AS1413" s="25">
        <v>36680</v>
      </c>
      <c r="AT1413" t="s">
        <v>26</v>
      </c>
      <c r="AU1413" t="s">
        <v>24095</v>
      </c>
    </row>
    <row r="1414" spans="1:47" ht="26.25" x14ac:dyDescent="0.4">
      <c r="A1414" s="23" t="s">
        <v>3543</v>
      </c>
      <c r="B1414" t="s">
        <v>26</v>
      </c>
      <c r="C1414" s="23" t="s">
        <v>172</v>
      </c>
      <c r="D1414" s="23" t="s">
        <v>22294</v>
      </c>
      <c r="E1414" s="23" t="s">
        <v>60</v>
      </c>
      <c r="F1414" s="25" t="s">
        <v>3544</v>
      </c>
      <c r="G1414" s="25" t="s">
        <v>3545</v>
      </c>
      <c r="H1414" t="s">
        <v>26</v>
      </c>
      <c r="I1414" t="s">
        <v>26</v>
      </c>
      <c r="J1414" t="s">
        <v>26</v>
      </c>
      <c r="K1414" t="s">
        <v>26</v>
      </c>
      <c r="L1414" s="25" t="s">
        <v>68</v>
      </c>
      <c r="M1414" t="s">
        <v>26</v>
      </c>
      <c r="N1414" t="s">
        <v>26</v>
      </c>
      <c r="O1414" t="s">
        <v>26</v>
      </c>
      <c r="P1414" t="s">
        <v>26</v>
      </c>
      <c r="Q1414" t="s">
        <v>26</v>
      </c>
      <c r="R1414" t="s">
        <v>26</v>
      </c>
      <c r="S1414" t="s">
        <v>26</v>
      </c>
      <c r="T1414" t="s">
        <v>26</v>
      </c>
      <c r="U1414" t="s">
        <v>26</v>
      </c>
      <c r="V1414" t="s">
        <v>26</v>
      </c>
      <c r="W1414" s="24">
        <v>32568</v>
      </c>
      <c r="X1414" s="25" t="s">
        <v>77</v>
      </c>
      <c r="Y1414" t="s">
        <v>26</v>
      </c>
      <c r="Z1414" s="24">
        <v>32568</v>
      </c>
      <c r="AA1414" s="25" t="s">
        <v>77</v>
      </c>
      <c r="AB1414" t="s">
        <v>26</v>
      </c>
      <c r="AC1414" s="24">
        <v>32568</v>
      </c>
      <c r="AD1414" s="25" t="s">
        <v>77</v>
      </c>
      <c r="AE1414" t="s">
        <v>26</v>
      </c>
      <c r="AF1414" t="s">
        <v>26</v>
      </c>
      <c r="AG1414" t="s">
        <v>26</v>
      </c>
      <c r="AH1414" t="s">
        <v>26</v>
      </c>
      <c r="AI1414" t="s">
        <v>26</v>
      </c>
      <c r="AJ1414" t="s">
        <v>26</v>
      </c>
      <c r="AK1414" t="s">
        <v>26</v>
      </c>
      <c r="AL1414" t="s">
        <v>26</v>
      </c>
      <c r="AM1414" t="s">
        <v>26</v>
      </c>
      <c r="AN1414" t="s">
        <v>26</v>
      </c>
      <c r="AO1414" s="25" t="s">
        <v>68</v>
      </c>
      <c r="AP1414" s="23" t="s">
        <v>69</v>
      </c>
      <c r="AQ1414" s="23" t="s">
        <v>30</v>
      </c>
      <c r="AR1414" s="23" t="s">
        <v>3546</v>
      </c>
      <c r="AS1414" s="25">
        <v>41601</v>
      </c>
      <c r="AT1414" t="s">
        <v>26</v>
      </c>
      <c r="AU1414" t="s">
        <v>24096</v>
      </c>
    </row>
    <row r="1415" spans="1:47" ht="26.25" x14ac:dyDescent="0.4">
      <c r="A1415" s="23" t="s">
        <v>3547</v>
      </c>
      <c r="B1415" t="s">
        <v>26</v>
      </c>
      <c r="C1415" s="23" t="s">
        <v>3548</v>
      </c>
      <c r="D1415" s="23" t="s">
        <v>24097</v>
      </c>
      <c r="E1415" s="23" t="s">
        <v>120</v>
      </c>
      <c r="F1415" s="25" t="s">
        <v>3549</v>
      </c>
      <c r="G1415" t="s">
        <v>26</v>
      </c>
      <c r="H1415" t="s">
        <v>26</v>
      </c>
      <c r="I1415" s="24">
        <v>39630</v>
      </c>
      <c r="J1415" s="25" t="s">
        <v>77</v>
      </c>
      <c r="K1415" t="s">
        <v>26</v>
      </c>
      <c r="L1415" s="25" t="s">
        <v>68</v>
      </c>
      <c r="M1415" s="24">
        <v>39630</v>
      </c>
      <c r="N1415" s="25" t="s">
        <v>77</v>
      </c>
      <c r="O1415" t="s">
        <v>26</v>
      </c>
      <c r="P1415" s="24">
        <v>39630</v>
      </c>
      <c r="Q1415" s="25" t="s">
        <v>77</v>
      </c>
      <c r="R1415" t="s">
        <v>26</v>
      </c>
      <c r="S1415" t="s">
        <v>26</v>
      </c>
      <c r="T1415" t="s">
        <v>26</v>
      </c>
      <c r="U1415" t="s">
        <v>26</v>
      </c>
      <c r="V1415" t="s">
        <v>26</v>
      </c>
      <c r="W1415" s="24">
        <v>39630</v>
      </c>
      <c r="X1415" s="25" t="s">
        <v>77</v>
      </c>
      <c r="Y1415" t="s">
        <v>26</v>
      </c>
      <c r="Z1415" s="24">
        <v>39630</v>
      </c>
      <c r="AA1415" s="25" t="s">
        <v>77</v>
      </c>
      <c r="AB1415" t="s">
        <v>26</v>
      </c>
      <c r="AC1415" s="24">
        <v>39630</v>
      </c>
      <c r="AD1415" s="25" t="s">
        <v>77</v>
      </c>
      <c r="AE1415" t="s">
        <v>26</v>
      </c>
      <c r="AF1415" t="s">
        <v>26</v>
      </c>
      <c r="AG1415" t="s">
        <v>26</v>
      </c>
      <c r="AH1415" t="s">
        <v>26</v>
      </c>
      <c r="AI1415" t="s">
        <v>26</v>
      </c>
      <c r="AJ1415" t="s">
        <v>26</v>
      </c>
      <c r="AK1415" t="s">
        <v>26</v>
      </c>
      <c r="AL1415" t="s">
        <v>26</v>
      </c>
      <c r="AM1415" t="s">
        <v>26</v>
      </c>
      <c r="AN1415" t="s">
        <v>26</v>
      </c>
      <c r="AO1415" s="25" t="s">
        <v>68</v>
      </c>
      <c r="AP1415" s="23" t="s">
        <v>69</v>
      </c>
      <c r="AQ1415" s="23" t="s">
        <v>30</v>
      </c>
      <c r="AR1415" s="23" t="s">
        <v>2262</v>
      </c>
      <c r="AS1415" s="25">
        <v>38343</v>
      </c>
      <c r="AT1415" t="s">
        <v>26</v>
      </c>
      <c r="AU1415" t="s">
        <v>24098</v>
      </c>
    </row>
    <row r="1416" spans="1:47" ht="26.25" x14ac:dyDescent="0.4">
      <c r="A1416" s="23" t="s">
        <v>3550</v>
      </c>
      <c r="B1416" t="s">
        <v>26</v>
      </c>
      <c r="C1416" s="23" t="s">
        <v>172</v>
      </c>
      <c r="D1416" s="23" t="s">
        <v>22242</v>
      </c>
      <c r="E1416" s="23" t="s">
        <v>60</v>
      </c>
      <c r="F1416" s="25" t="s">
        <v>3551</v>
      </c>
      <c r="G1416" s="25" t="s">
        <v>3552</v>
      </c>
      <c r="H1416" t="s">
        <v>26</v>
      </c>
      <c r="I1416" t="s">
        <v>26</v>
      </c>
      <c r="J1416" t="s">
        <v>26</v>
      </c>
      <c r="K1416" t="s">
        <v>26</v>
      </c>
      <c r="L1416" s="25" t="s">
        <v>68</v>
      </c>
      <c r="M1416" t="s">
        <v>26</v>
      </c>
      <c r="N1416" t="s">
        <v>26</v>
      </c>
      <c r="O1416" t="s">
        <v>26</v>
      </c>
      <c r="P1416" t="s">
        <v>26</v>
      </c>
      <c r="Q1416" t="s">
        <v>26</v>
      </c>
      <c r="R1416" t="s">
        <v>26</v>
      </c>
      <c r="S1416" t="s">
        <v>26</v>
      </c>
      <c r="T1416" t="s">
        <v>26</v>
      </c>
      <c r="U1416" t="s">
        <v>26</v>
      </c>
      <c r="V1416" t="s">
        <v>26</v>
      </c>
      <c r="W1416" s="24">
        <v>42339</v>
      </c>
      <c r="X1416" s="25" t="s">
        <v>77</v>
      </c>
      <c r="Y1416" t="s">
        <v>26</v>
      </c>
      <c r="Z1416" s="24">
        <v>42339</v>
      </c>
      <c r="AA1416" s="25" t="s">
        <v>77</v>
      </c>
      <c r="AB1416" t="s">
        <v>26</v>
      </c>
      <c r="AC1416" s="24">
        <v>42339</v>
      </c>
      <c r="AD1416" s="25" t="s">
        <v>77</v>
      </c>
      <c r="AE1416" t="s">
        <v>26</v>
      </c>
      <c r="AF1416" t="s">
        <v>26</v>
      </c>
      <c r="AG1416" t="s">
        <v>26</v>
      </c>
      <c r="AH1416" t="s">
        <v>26</v>
      </c>
      <c r="AI1416" t="s">
        <v>26</v>
      </c>
      <c r="AJ1416" t="s">
        <v>26</v>
      </c>
      <c r="AK1416" t="s">
        <v>26</v>
      </c>
      <c r="AL1416" t="s">
        <v>26</v>
      </c>
      <c r="AM1416" t="s">
        <v>26</v>
      </c>
      <c r="AN1416" t="s">
        <v>26</v>
      </c>
      <c r="AO1416" s="25" t="s">
        <v>68</v>
      </c>
      <c r="AP1416" s="23" t="s">
        <v>69</v>
      </c>
      <c r="AQ1416" s="23" t="s">
        <v>30</v>
      </c>
      <c r="AR1416" s="23" t="s">
        <v>3553</v>
      </c>
      <c r="AS1416" s="25">
        <v>2039027</v>
      </c>
      <c r="AT1416" t="s">
        <v>26</v>
      </c>
      <c r="AU1416" t="s">
        <v>24099</v>
      </c>
    </row>
    <row r="1417" spans="1:47" ht="26.25" x14ac:dyDescent="0.4">
      <c r="A1417" s="23" t="s">
        <v>3554</v>
      </c>
      <c r="B1417" t="s">
        <v>26</v>
      </c>
      <c r="C1417" s="23" t="s">
        <v>172</v>
      </c>
      <c r="D1417" s="23" t="s">
        <v>22256</v>
      </c>
      <c r="E1417" s="23" t="s">
        <v>60</v>
      </c>
      <c r="F1417" s="25" t="s">
        <v>3555</v>
      </c>
      <c r="G1417" s="25" t="s">
        <v>3556</v>
      </c>
      <c r="H1417" t="s">
        <v>26</v>
      </c>
      <c r="I1417" s="24">
        <v>35886</v>
      </c>
      <c r="J1417" s="24">
        <v>41548</v>
      </c>
      <c r="K1417" t="s">
        <v>26</v>
      </c>
      <c r="L1417" s="25" t="s">
        <v>68</v>
      </c>
      <c r="M1417" s="24">
        <v>35886</v>
      </c>
      <c r="N1417" s="24">
        <v>38808</v>
      </c>
      <c r="O1417" t="s">
        <v>26</v>
      </c>
      <c r="P1417" s="24">
        <v>35886</v>
      </c>
      <c r="Q1417" s="24">
        <v>41548</v>
      </c>
      <c r="R1417" t="s">
        <v>26</v>
      </c>
      <c r="S1417" t="s">
        <v>26</v>
      </c>
      <c r="T1417" t="s">
        <v>26</v>
      </c>
      <c r="U1417" t="s">
        <v>26</v>
      </c>
      <c r="V1417" t="s">
        <v>26</v>
      </c>
      <c r="W1417" s="24">
        <v>35886</v>
      </c>
      <c r="X1417" s="25" t="s">
        <v>77</v>
      </c>
      <c r="Y1417" t="s">
        <v>26</v>
      </c>
      <c r="Z1417" s="24">
        <v>35886</v>
      </c>
      <c r="AA1417" s="25" t="s">
        <v>77</v>
      </c>
      <c r="AB1417" t="s">
        <v>26</v>
      </c>
      <c r="AC1417" s="24">
        <v>38078</v>
      </c>
      <c r="AD1417" s="25" t="s">
        <v>77</v>
      </c>
      <c r="AE1417" t="s">
        <v>26</v>
      </c>
      <c r="AF1417" t="s">
        <v>26</v>
      </c>
      <c r="AG1417" t="s">
        <v>26</v>
      </c>
      <c r="AH1417" t="s">
        <v>26</v>
      </c>
      <c r="AI1417" t="s">
        <v>26</v>
      </c>
      <c r="AJ1417" t="s">
        <v>26</v>
      </c>
      <c r="AK1417" t="s">
        <v>26</v>
      </c>
      <c r="AL1417" t="s">
        <v>26</v>
      </c>
      <c r="AM1417" t="s">
        <v>26</v>
      </c>
      <c r="AN1417" t="s">
        <v>26</v>
      </c>
      <c r="AO1417" s="25" t="s">
        <v>68</v>
      </c>
      <c r="AP1417" s="23" t="s">
        <v>69</v>
      </c>
      <c r="AQ1417" s="23" t="s">
        <v>30</v>
      </c>
      <c r="AR1417" s="23" t="s">
        <v>3557</v>
      </c>
      <c r="AS1417" s="25">
        <v>48229</v>
      </c>
      <c r="AT1417" t="s">
        <v>26</v>
      </c>
      <c r="AU1417" t="s">
        <v>24100</v>
      </c>
    </row>
    <row r="1418" spans="1:47" ht="26.25" x14ac:dyDescent="0.4">
      <c r="A1418" s="23" t="s">
        <v>3558</v>
      </c>
      <c r="B1418" t="s">
        <v>26</v>
      </c>
      <c r="C1418" s="23" t="s">
        <v>1958</v>
      </c>
      <c r="D1418" s="23" t="s">
        <v>24008</v>
      </c>
      <c r="E1418" s="23" t="s">
        <v>60</v>
      </c>
      <c r="F1418" s="25" t="s">
        <v>3559</v>
      </c>
      <c r="G1418" s="25" t="s">
        <v>3560</v>
      </c>
      <c r="H1418" t="s">
        <v>26</v>
      </c>
      <c r="I1418" t="s">
        <v>26</v>
      </c>
      <c r="J1418" t="s">
        <v>26</v>
      </c>
      <c r="K1418" t="s">
        <v>26</v>
      </c>
      <c r="L1418" s="25" t="s">
        <v>68</v>
      </c>
      <c r="M1418" t="s">
        <v>26</v>
      </c>
      <c r="N1418" t="s">
        <v>26</v>
      </c>
      <c r="O1418" t="s">
        <v>26</v>
      </c>
      <c r="P1418" t="s">
        <v>26</v>
      </c>
      <c r="Q1418" t="s">
        <v>26</v>
      </c>
      <c r="R1418" t="s">
        <v>26</v>
      </c>
      <c r="S1418" t="s">
        <v>26</v>
      </c>
      <c r="T1418" t="s">
        <v>26</v>
      </c>
      <c r="U1418" t="s">
        <v>26</v>
      </c>
      <c r="V1418" t="s">
        <v>26</v>
      </c>
      <c r="W1418" s="24">
        <v>30407</v>
      </c>
      <c r="X1418" s="25" t="s">
        <v>77</v>
      </c>
      <c r="Y1418" s="25" t="s">
        <v>833</v>
      </c>
      <c r="Z1418" s="24">
        <v>30407</v>
      </c>
      <c r="AA1418" s="25" t="s">
        <v>77</v>
      </c>
      <c r="AB1418" s="25" t="s">
        <v>833</v>
      </c>
      <c r="AC1418" s="24">
        <v>35431</v>
      </c>
      <c r="AD1418" s="25" t="s">
        <v>77</v>
      </c>
      <c r="AE1418" s="25" t="s">
        <v>833</v>
      </c>
      <c r="AF1418" t="s">
        <v>26</v>
      </c>
      <c r="AG1418" t="s">
        <v>26</v>
      </c>
      <c r="AH1418" t="s">
        <v>26</v>
      </c>
      <c r="AI1418" t="s">
        <v>26</v>
      </c>
      <c r="AJ1418" t="s">
        <v>26</v>
      </c>
      <c r="AK1418" t="s">
        <v>26</v>
      </c>
      <c r="AL1418" t="s">
        <v>26</v>
      </c>
      <c r="AM1418" t="s">
        <v>26</v>
      </c>
      <c r="AN1418" t="s">
        <v>26</v>
      </c>
      <c r="AO1418" s="25" t="s">
        <v>68</v>
      </c>
      <c r="AP1418" s="23" t="s">
        <v>69</v>
      </c>
      <c r="AQ1418" s="23" t="s">
        <v>30</v>
      </c>
      <c r="AR1418" s="23" t="s">
        <v>203</v>
      </c>
      <c r="AS1418" s="25">
        <v>45691</v>
      </c>
      <c r="AT1418" t="s">
        <v>26</v>
      </c>
      <c r="AU1418" t="s">
        <v>24101</v>
      </c>
    </row>
    <row r="1419" spans="1:47" ht="26.25" x14ac:dyDescent="0.4">
      <c r="A1419" s="23" t="s">
        <v>3561</v>
      </c>
      <c r="B1419" t="s">
        <v>26</v>
      </c>
      <c r="C1419" s="23" t="s">
        <v>564</v>
      </c>
      <c r="D1419" s="23" t="s">
        <v>22294</v>
      </c>
      <c r="E1419" s="23" t="s">
        <v>42</v>
      </c>
      <c r="F1419" s="25" t="s">
        <v>3562</v>
      </c>
      <c r="G1419" s="25" t="s">
        <v>3563</v>
      </c>
      <c r="H1419" t="s">
        <v>26</v>
      </c>
      <c r="I1419" t="s">
        <v>26</v>
      </c>
      <c r="J1419" t="s">
        <v>26</v>
      </c>
      <c r="K1419" t="s">
        <v>26</v>
      </c>
      <c r="L1419" s="25" t="s">
        <v>68</v>
      </c>
      <c r="M1419" t="s">
        <v>26</v>
      </c>
      <c r="N1419" t="s">
        <v>26</v>
      </c>
      <c r="O1419" t="s">
        <v>26</v>
      </c>
      <c r="P1419" t="s">
        <v>26</v>
      </c>
      <c r="Q1419" t="s">
        <v>26</v>
      </c>
      <c r="R1419" t="s">
        <v>26</v>
      </c>
      <c r="S1419" t="s">
        <v>26</v>
      </c>
      <c r="T1419" t="s">
        <v>26</v>
      </c>
      <c r="U1419" t="s">
        <v>26</v>
      </c>
      <c r="V1419" t="s">
        <v>26</v>
      </c>
      <c r="W1419" s="24">
        <v>32568</v>
      </c>
      <c r="X1419" s="25" t="s">
        <v>77</v>
      </c>
      <c r="Y1419" s="25" t="s">
        <v>3564</v>
      </c>
      <c r="Z1419" s="24">
        <v>32568</v>
      </c>
      <c r="AA1419" s="25" t="s">
        <v>77</v>
      </c>
      <c r="AB1419" s="25" t="s">
        <v>3564</v>
      </c>
      <c r="AC1419" s="24">
        <v>32568</v>
      </c>
      <c r="AD1419" s="25" t="s">
        <v>77</v>
      </c>
      <c r="AE1419" s="25" t="s">
        <v>3564</v>
      </c>
      <c r="AF1419" t="s">
        <v>26</v>
      </c>
      <c r="AG1419" t="s">
        <v>26</v>
      </c>
      <c r="AH1419" t="s">
        <v>26</v>
      </c>
      <c r="AI1419" t="s">
        <v>26</v>
      </c>
      <c r="AJ1419" t="s">
        <v>26</v>
      </c>
      <c r="AK1419" t="s">
        <v>26</v>
      </c>
      <c r="AL1419" t="s">
        <v>26</v>
      </c>
      <c r="AM1419" t="s">
        <v>26</v>
      </c>
      <c r="AN1419" t="s">
        <v>26</v>
      </c>
      <c r="AO1419" s="25" t="s">
        <v>68</v>
      </c>
      <c r="AP1419" s="23" t="s">
        <v>69</v>
      </c>
      <c r="AQ1419" s="23" t="s">
        <v>30</v>
      </c>
      <c r="AR1419" s="23" t="s">
        <v>1419</v>
      </c>
      <c r="AS1419" s="25">
        <v>30117</v>
      </c>
      <c r="AT1419" t="s">
        <v>26</v>
      </c>
      <c r="AU1419" t="s">
        <v>24102</v>
      </c>
    </row>
    <row r="1420" spans="1:47" ht="26.25" x14ac:dyDescent="0.4">
      <c r="A1420" s="23" t="s">
        <v>3565</v>
      </c>
      <c r="B1420" t="s">
        <v>26</v>
      </c>
      <c r="C1420" s="23" t="s">
        <v>107</v>
      </c>
      <c r="D1420" s="23" t="s">
        <v>22194</v>
      </c>
      <c r="E1420" s="23" t="s">
        <v>42</v>
      </c>
      <c r="F1420" s="25" t="s">
        <v>3566</v>
      </c>
      <c r="G1420" s="25" t="s">
        <v>3567</v>
      </c>
      <c r="H1420" t="s">
        <v>26</v>
      </c>
      <c r="I1420" t="s">
        <v>26</v>
      </c>
      <c r="J1420" t="s">
        <v>26</v>
      </c>
      <c r="K1420" t="s">
        <v>26</v>
      </c>
      <c r="L1420" s="25" t="s">
        <v>68</v>
      </c>
      <c r="M1420" t="s">
        <v>26</v>
      </c>
      <c r="N1420" t="s">
        <v>26</v>
      </c>
      <c r="O1420" t="s">
        <v>26</v>
      </c>
      <c r="P1420" t="s">
        <v>26</v>
      </c>
      <c r="Q1420" t="s">
        <v>26</v>
      </c>
      <c r="R1420" t="s">
        <v>26</v>
      </c>
      <c r="S1420" t="s">
        <v>26</v>
      </c>
      <c r="T1420" t="s">
        <v>26</v>
      </c>
      <c r="U1420" t="s">
        <v>26</v>
      </c>
      <c r="V1420" t="s">
        <v>26</v>
      </c>
      <c r="W1420" s="24">
        <v>31472</v>
      </c>
      <c r="X1420" s="25" t="s">
        <v>77</v>
      </c>
      <c r="Y1420" t="s">
        <v>26</v>
      </c>
      <c r="Z1420" s="24">
        <v>31472</v>
      </c>
      <c r="AA1420" s="25" t="s">
        <v>77</v>
      </c>
      <c r="AB1420" t="s">
        <v>26</v>
      </c>
      <c r="AC1420" s="24">
        <v>31472</v>
      </c>
      <c r="AD1420" s="25" t="s">
        <v>77</v>
      </c>
      <c r="AE1420" t="s">
        <v>26</v>
      </c>
      <c r="AF1420" t="s">
        <v>26</v>
      </c>
      <c r="AG1420" t="s">
        <v>26</v>
      </c>
      <c r="AH1420" t="s">
        <v>26</v>
      </c>
      <c r="AI1420" t="s">
        <v>26</v>
      </c>
      <c r="AJ1420" t="s">
        <v>26</v>
      </c>
      <c r="AK1420" t="s">
        <v>26</v>
      </c>
      <c r="AL1420" t="s">
        <v>26</v>
      </c>
      <c r="AM1420" t="s">
        <v>26</v>
      </c>
      <c r="AN1420" t="s">
        <v>26</v>
      </c>
      <c r="AO1420" s="25" t="s">
        <v>68</v>
      </c>
      <c r="AP1420" s="23" t="s">
        <v>69</v>
      </c>
      <c r="AQ1420" s="23" t="s">
        <v>30</v>
      </c>
      <c r="AR1420" s="23" t="s">
        <v>2139</v>
      </c>
      <c r="AS1420" s="25">
        <v>36441</v>
      </c>
      <c r="AT1420" t="s">
        <v>26</v>
      </c>
      <c r="AU1420" t="s">
        <v>24103</v>
      </c>
    </row>
    <row r="1421" spans="1:47" ht="26.25" x14ac:dyDescent="0.4">
      <c r="A1421" s="23" t="s">
        <v>3568</v>
      </c>
      <c r="B1421" t="s">
        <v>26</v>
      </c>
      <c r="C1421" s="23" t="s">
        <v>3569</v>
      </c>
      <c r="D1421" s="23" t="s">
        <v>24104</v>
      </c>
      <c r="E1421" s="23" t="s">
        <v>42</v>
      </c>
      <c r="F1421" t="s">
        <v>26</v>
      </c>
      <c r="G1421" t="s">
        <v>26</v>
      </c>
      <c r="H1421" t="s">
        <v>26</v>
      </c>
      <c r="I1421" s="24">
        <v>39995</v>
      </c>
      <c r="J1421" s="24">
        <v>43831</v>
      </c>
      <c r="K1421" s="25" t="s">
        <v>3570</v>
      </c>
      <c r="L1421" s="25" t="s">
        <v>68</v>
      </c>
      <c r="M1421" s="24">
        <v>39995</v>
      </c>
      <c r="N1421" s="24">
        <v>40179</v>
      </c>
      <c r="O1421" t="s">
        <v>26</v>
      </c>
      <c r="P1421" s="24">
        <v>39995</v>
      </c>
      <c r="Q1421" s="24">
        <v>43831</v>
      </c>
      <c r="R1421" s="25" t="s">
        <v>3570</v>
      </c>
      <c r="S1421" t="s">
        <v>26</v>
      </c>
      <c r="T1421" t="s">
        <v>26</v>
      </c>
      <c r="U1421" t="s">
        <v>26</v>
      </c>
      <c r="V1421" t="s">
        <v>26</v>
      </c>
      <c r="W1421" s="24">
        <v>39995</v>
      </c>
      <c r="X1421" s="24">
        <v>43831</v>
      </c>
      <c r="Y1421" s="25" t="s">
        <v>3570</v>
      </c>
      <c r="Z1421" s="24">
        <v>39995</v>
      </c>
      <c r="AA1421" s="24">
        <v>43831</v>
      </c>
      <c r="AB1421" s="25" t="s">
        <v>3570</v>
      </c>
      <c r="AC1421" s="24">
        <v>43101</v>
      </c>
      <c r="AD1421" s="24">
        <v>43831</v>
      </c>
      <c r="AE1421" t="s">
        <v>26</v>
      </c>
      <c r="AF1421" t="s">
        <v>26</v>
      </c>
      <c r="AG1421" t="s">
        <v>26</v>
      </c>
      <c r="AH1421" t="s">
        <v>26</v>
      </c>
      <c r="AI1421" t="s">
        <v>26</v>
      </c>
      <c r="AJ1421" t="s">
        <v>26</v>
      </c>
      <c r="AK1421" t="s">
        <v>26</v>
      </c>
      <c r="AL1421" t="s">
        <v>26</v>
      </c>
      <c r="AM1421" t="s">
        <v>26</v>
      </c>
      <c r="AN1421" t="s">
        <v>26</v>
      </c>
      <c r="AO1421" s="25" t="s">
        <v>68</v>
      </c>
      <c r="AP1421" s="23" t="s">
        <v>69</v>
      </c>
      <c r="AQ1421" s="23" t="s">
        <v>30</v>
      </c>
      <c r="AR1421" s="23" t="s">
        <v>230</v>
      </c>
      <c r="AS1421" s="25">
        <v>28641</v>
      </c>
      <c r="AT1421" t="s">
        <v>26</v>
      </c>
      <c r="AU1421" t="s">
        <v>24105</v>
      </c>
    </row>
    <row r="1422" spans="1:47" ht="26.25" x14ac:dyDescent="0.4">
      <c r="A1422" s="23" t="s">
        <v>3571</v>
      </c>
      <c r="B1422" t="s">
        <v>26</v>
      </c>
      <c r="C1422" s="23" t="s">
        <v>73</v>
      </c>
      <c r="D1422" s="23" t="s">
        <v>22179</v>
      </c>
      <c r="E1422" s="23" t="s">
        <v>74</v>
      </c>
      <c r="F1422" s="25" t="s">
        <v>3572</v>
      </c>
      <c r="G1422" s="25" t="s">
        <v>3573</v>
      </c>
      <c r="H1422" t="s">
        <v>26</v>
      </c>
      <c r="I1422" s="24">
        <v>35431</v>
      </c>
      <c r="J1422" s="25" t="s">
        <v>77</v>
      </c>
      <c r="K1422" t="s">
        <v>26</v>
      </c>
      <c r="L1422" s="25" t="s">
        <v>68</v>
      </c>
      <c r="M1422" t="s">
        <v>26</v>
      </c>
      <c r="N1422" t="s">
        <v>26</v>
      </c>
      <c r="O1422" t="s">
        <v>26</v>
      </c>
      <c r="P1422" s="24">
        <v>35431</v>
      </c>
      <c r="Q1422" s="25" t="s">
        <v>77</v>
      </c>
      <c r="R1422" t="s">
        <v>26</v>
      </c>
      <c r="S1422" t="s">
        <v>26</v>
      </c>
      <c r="T1422" t="s">
        <v>26</v>
      </c>
      <c r="U1422" t="s">
        <v>26</v>
      </c>
      <c r="V1422" s="25">
        <v>365</v>
      </c>
      <c r="W1422" s="24">
        <v>35431</v>
      </c>
      <c r="X1422" s="25" t="s">
        <v>77</v>
      </c>
      <c r="Y1422" t="s">
        <v>26</v>
      </c>
      <c r="Z1422" s="24">
        <v>35431</v>
      </c>
      <c r="AA1422" s="25" t="s">
        <v>77</v>
      </c>
      <c r="AB1422" t="s">
        <v>26</v>
      </c>
      <c r="AC1422" s="24">
        <v>35431</v>
      </c>
      <c r="AD1422" s="25" t="s">
        <v>77</v>
      </c>
      <c r="AE1422" t="s">
        <v>26</v>
      </c>
      <c r="AF1422" t="s">
        <v>26</v>
      </c>
      <c r="AG1422" t="s">
        <v>26</v>
      </c>
      <c r="AH1422" t="s">
        <v>26</v>
      </c>
      <c r="AI1422" t="s">
        <v>26</v>
      </c>
      <c r="AJ1422" t="s">
        <v>26</v>
      </c>
      <c r="AK1422" t="s">
        <v>26</v>
      </c>
      <c r="AL1422" t="s">
        <v>26</v>
      </c>
      <c r="AM1422" t="s">
        <v>26</v>
      </c>
      <c r="AN1422" t="s">
        <v>26</v>
      </c>
      <c r="AO1422" s="25" t="s">
        <v>68</v>
      </c>
      <c r="AP1422" s="23" t="s">
        <v>69</v>
      </c>
      <c r="AQ1422" s="23" t="s">
        <v>30</v>
      </c>
      <c r="AR1422" s="23" t="s">
        <v>46</v>
      </c>
      <c r="AS1422" s="25">
        <v>4408555</v>
      </c>
      <c r="AT1422" t="s">
        <v>26</v>
      </c>
      <c r="AU1422" t="s">
        <v>24106</v>
      </c>
    </row>
    <row r="1423" spans="1:47" ht="26.25" x14ac:dyDescent="0.4">
      <c r="A1423" s="23" t="s">
        <v>3574</v>
      </c>
      <c r="B1423" t="s">
        <v>26</v>
      </c>
      <c r="C1423" s="23" t="s">
        <v>80</v>
      </c>
      <c r="D1423" s="23" t="s">
        <v>22184</v>
      </c>
      <c r="E1423" s="23" t="s">
        <v>60</v>
      </c>
      <c r="F1423" s="25" t="s">
        <v>3575</v>
      </c>
      <c r="G1423" s="25" t="s">
        <v>3576</v>
      </c>
      <c r="H1423" t="s">
        <v>26</v>
      </c>
      <c r="I1423" s="24">
        <v>31778</v>
      </c>
      <c r="J1423" s="24">
        <v>41609</v>
      </c>
      <c r="K1423" t="s">
        <v>26</v>
      </c>
      <c r="L1423" s="25" t="s">
        <v>68</v>
      </c>
      <c r="M1423" s="24">
        <v>33664</v>
      </c>
      <c r="N1423" s="24">
        <v>41609</v>
      </c>
      <c r="O1423" t="s">
        <v>26</v>
      </c>
      <c r="P1423" s="24">
        <v>31778</v>
      </c>
      <c r="Q1423" s="24">
        <v>41609</v>
      </c>
      <c r="R1423" t="s">
        <v>26</v>
      </c>
      <c r="S1423" t="s">
        <v>26</v>
      </c>
      <c r="T1423" t="s">
        <v>26</v>
      </c>
      <c r="U1423" t="s">
        <v>26</v>
      </c>
      <c r="V1423" t="s">
        <v>26</v>
      </c>
      <c r="W1423" s="24">
        <v>27668</v>
      </c>
      <c r="X1423" s="25" t="s">
        <v>77</v>
      </c>
      <c r="Y1423" t="s">
        <v>26</v>
      </c>
      <c r="Z1423" s="24">
        <v>27668</v>
      </c>
      <c r="AA1423" s="25" t="s">
        <v>77</v>
      </c>
      <c r="AB1423" t="s">
        <v>26</v>
      </c>
      <c r="AC1423" s="24">
        <v>27668</v>
      </c>
      <c r="AD1423" s="25" t="s">
        <v>77</v>
      </c>
      <c r="AE1423" t="s">
        <v>26</v>
      </c>
      <c r="AF1423" t="s">
        <v>26</v>
      </c>
      <c r="AG1423" t="s">
        <v>26</v>
      </c>
      <c r="AH1423" t="s">
        <v>26</v>
      </c>
      <c r="AI1423" t="s">
        <v>26</v>
      </c>
      <c r="AJ1423" t="s">
        <v>26</v>
      </c>
      <c r="AK1423" t="s">
        <v>26</v>
      </c>
      <c r="AL1423" t="s">
        <v>26</v>
      </c>
      <c r="AM1423" t="s">
        <v>26</v>
      </c>
      <c r="AN1423" t="s">
        <v>26</v>
      </c>
      <c r="AO1423" s="25" t="s">
        <v>68</v>
      </c>
      <c r="AP1423" s="23" t="s">
        <v>69</v>
      </c>
      <c r="AQ1423" s="23" t="s">
        <v>30</v>
      </c>
      <c r="AR1423" s="23" t="s">
        <v>3577</v>
      </c>
      <c r="AS1423" s="25">
        <v>35930</v>
      </c>
      <c r="AT1423" t="s">
        <v>26</v>
      </c>
      <c r="AU1423" t="s">
        <v>24107</v>
      </c>
    </row>
    <row r="1424" spans="1:47" ht="26.25" x14ac:dyDescent="0.4">
      <c r="A1424" s="23" t="s">
        <v>3578</v>
      </c>
      <c r="B1424" t="s">
        <v>26</v>
      </c>
      <c r="C1424" s="23" t="s">
        <v>80</v>
      </c>
      <c r="D1424" s="23" t="s">
        <v>24108</v>
      </c>
      <c r="E1424" s="23" t="s">
        <v>60</v>
      </c>
      <c r="F1424" s="25" t="s">
        <v>3575</v>
      </c>
      <c r="G1424" s="25" t="s">
        <v>3576</v>
      </c>
      <c r="H1424" t="s">
        <v>26</v>
      </c>
      <c r="I1424" s="24">
        <v>26299</v>
      </c>
      <c r="J1424" s="24">
        <v>31048</v>
      </c>
      <c r="K1424" t="s">
        <v>26</v>
      </c>
      <c r="L1424" s="25" t="s">
        <v>68</v>
      </c>
      <c r="M1424" t="s">
        <v>26</v>
      </c>
      <c r="N1424" t="s">
        <v>26</v>
      </c>
      <c r="O1424" t="s">
        <v>26</v>
      </c>
      <c r="P1424" s="24">
        <v>26299</v>
      </c>
      <c r="Q1424" s="24">
        <v>31048</v>
      </c>
      <c r="R1424" t="s">
        <v>26</v>
      </c>
      <c r="S1424" t="s">
        <v>26</v>
      </c>
      <c r="T1424" t="s">
        <v>26</v>
      </c>
      <c r="U1424" t="s">
        <v>26</v>
      </c>
      <c r="V1424" t="s">
        <v>26</v>
      </c>
      <c r="W1424" s="24">
        <v>26299</v>
      </c>
      <c r="X1424" s="24">
        <v>31048</v>
      </c>
      <c r="Y1424" t="s">
        <v>26</v>
      </c>
      <c r="Z1424" s="24">
        <v>26299</v>
      </c>
      <c r="AA1424" s="24">
        <v>31048</v>
      </c>
      <c r="AB1424" t="s">
        <v>26</v>
      </c>
      <c r="AC1424" t="s">
        <v>26</v>
      </c>
      <c r="AD1424" t="s">
        <v>26</v>
      </c>
      <c r="AE1424" t="s">
        <v>26</v>
      </c>
      <c r="AF1424" t="s">
        <v>26</v>
      </c>
      <c r="AG1424" t="s">
        <v>26</v>
      </c>
      <c r="AH1424" t="s">
        <v>26</v>
      </c>
      <c r="AI1424" t="s">
        <v>26</v>
      </c>
      <c r="AJ1424" t="s">
        <v>26</v>
      </c>
      <c r="AK1424" t="s">
        <v>26</v>
      </c>
      <c r="AL1424" t="s">
        <v>26</v>
      </c>
      <c r="AM1424" t="s">
        <v>26</v>
      </c>
      <c r="AN1424" t="s">
        <v>26</v>
      </c>
      <c r="AO1424" s="25" t="s">
        <v>68</v>
      </c>
      <c r="AP1424" s="23" t="s">
        <v>69</v>
      </c>
      <c r="AQ1424" s="23" t="s">
        <v>30</v>
      </c>
      <c r="AR1424" s="23" t="s">
        <v>3577</v>
      </c>
      <c r="AS1424" s="25">
        <v>35929</v>
      </c>
      <c r="AT1424" t="s">
        <v>26</v>
      </c>
      <c r="AU1424" t="s">
        <v>24109</v>
      </c>
    </row>
    <row r="1425" spans="1:47" ht="26.25" x14ac:dyDescent="0.4">
      <c r="A1425" s="23" t="s">
        <v>3579</v>
      </c>
      <c r="B1425" t="s">
        <v>26</v>
      </c>
      <c r="C1425" s="23" t="s">
        <v>3580</v>
      </c>
      <c r="D1425" s="23" t="s">
        <v>22179</v>
      </c>
      <c r="E1425" s="23" t="s">
        <v>42</v>
      </c>
      <c r="F1425" s="25" t="s">
        <v>3581</v>
      </c>
      <c r="G1425" s="25" t="s">
        <v>3582</v>
      </c>
      <c r="H1425" t="s">
        <v>26</v>
      </c>
      <c r="I1425" t="s">
        <v>26</v>
      </c>
      <c r="J1425" t="s">
        <v>26</v>
      </c>
      <c r="K1425" t="s">
        <v>26</v>
      </c>
      <c r="L1425" s="25" t="s">
        <v>68</v>
      </c>
      <c r="M1425" t="s">
        <v>26</v>
      </c>
      <c r="N1425" t="s">
        <v>26</v>
      </c>
      <c r="O1425" t="s">
        <v>26</v>
      </c>
      <c r="P1425" t="s">
        <v>26</v>
      </c>
      <c r="Q1425" t="s">
        <v>26</v>
      </c>
      <c r="R1425" t="s">
        <v>26</v>
      </c>
      <c r="S1425" t="s">
        <v>26</v>
      </c>
      <c r="T1425" t="s">
        <v>26</v>
      </c>
      <c r="U1425" t="s">
        <v>26</v>
      </c>
      <c r="V1425" t="s">
        <v>26</v>
      </c>
      <c r="W1425" s="24">
        <v>26207</v>
      </c>
      <c r="X1425" s="25" t="s">
        <v>77</v>
      </c>
      <c r="Y1425" t="s">
        <v>26</v>
      </c>
      <c r="Z1425" s="24">
        <v>26207</v>
      </c>
      <c r="AA1425" s="25" t="s">
        <v>77</v>
      </c>
      <c r="AB1425" t="s">
        <v>26</v>
      </c>
      <c r="AC1425" s="24">
        <v>26207</v>
      </c>
      <c r="AD1425" s="25" t="s">
        <v>77</v>
      </c>
      <c r="AE1425" t="s">
        <v>26</v>
      </c>
      <c r="AF1425" t="s">
        <v>26</v>
      </c>
      <c r="AG1425" t="s">
        <v>26</v>
      </c>
      <c r="AH1425" t="s">
        <v>26</v>
      </c>
      <c r="AI1425" t="s">
        <v>26</v>
      </c>
      <c r="AJ1425" t="s">
        <v>26</v>
      </c>
      <c r="AK1425" t="s">
        <v>26</v>
      </c>
      <c r="AL1425" t="s">
        <v>26</v>
      </c>
      <c r="AM1425" t="s">
        <v>26</v>
      </c>
      <c r="AN1425" t="s">
        <v>26</v>
      </c>
      <c r="AO1425" s="25" t="s">
        <v>28</v>
      </c>
      <c r="AP1425" s="23" t="s">
        <v>69</v>
      </c>
      <c r="AQ1425" s="23" t="s">
        <v>30</v>
      </c>
      <c r="AR1425" s="23" t="s">
        <v>3583</v>
      </c>
      <c r="AS1425" s="25">
        <v>41329</v>
      </c>
      <c r="AT1425" t="s">
        <v>26</v>
      </c>
      <c r="AU1425" t="s">
        <v>24110</v>
      </c>
    </row>
    <row r="1426" spans="1:47" ht="26.25" x14ac:dyDescent="0.4">
      <c r="A1426" s="23" t="s">
        <v>3584</v>
      </c>
      <c r="B1426" t="s">
        <v>26</v>
      </c>
      <c r="C1426" s="23" t="s">
        <v>264</v>
      </c>
      <c r="D1426" s="23" t="s">
        <v>22261</v>
      </c>
      <c r="E1426" s="23" t="s">
        <v>60</v>
      </c>
      <c r="F1426" s="25" t="s">
        <v>3585</v>
      </c>
      <c r="G1426" s="25" t="s">
        <v>3586</v>
      </c>
      <c r="H1426" t="s">
        <v>26</v>
      </c>
      <c r="I1426" s="24">
        <v>39904</v>
      </c>
      <c r="J1426" s="25" t="s">
        <v>77</v>
      </c>
      <c r="K1426" t="s">
        <v>26</v>
      </c>
      <c r="L1426" s="25" t="s">
        <v>68</v>
      </c>
      <c r="M1426" s="24">
        <v>40634</v>
      </c>
      <c r="N1426" s="25" t="s">
        <v>77</v>
      </c>
      <c r="O1426" t="s">
        <v>26</v>
      </c>
      <c r="P1426" s="24">
        <v>39904</v>
      </c>
      <c r="Q1426" s="25" t="s">
        <v>77</v>
      </c>
      <c r="R1426" t="s">
        <v>26</v>
      </c>
      <c r="S1426" t="s">
        <v>26</v>
      </c>
      <c r="T1426" t="s">
        <v>26</v>
      </c>
      <c r="U1426" t="s">
        <v>26</v>
      </c>
      <c r="V1426" s="25">
        <v>365</v>
      </c>
      <c r="W1426" s="24">
        <v>39904</v>
      </c>
      <c r="X1426" s="25" t="s">
        <v>77</v>
      </c>
      <c r="Y1426" t="s">
        <v>26</v>
      </c>
      <c r="Z1426" s="24">
        <v>39904</v>
      </c>
      <c r="AA1426" s="25" t="s">
        <v>77</v>
      </c>
      <c r="AB1426" t="s">
        <v>26</v>
      </c>
      <c r="AC1426" s="24">
        <v>39904</v>
      </c>
      <c r="AD1426" s="25" t="s">
        <v>77</v>
      </c>
      <c r="AE1426" t="s">
        <v>26</v>
      </c>
      <c r="AF1426" t="s">
        <v>26</v>
      </c>
      <c r="AG1426" t="s">
        <v>26</v>
      </c>
      <c r="AH1426" t="s">
        <v>26</v>
      </c>
      <c r="AI1426" t="s">
        <v>26</v>
      </c>
      <c r="AJ1426" t="s">
        <v>26</v>
      </c>
      <c r="AK1426" t="s">
        <v>26</v>
      </c>
      <c r="AL1426" t="s">
        <v>26</v>
      </c>
      <c r="AM1426" t="s">
        <v>26</v>
      </c>
      <c r="AN1426" t="s">
        <v>26</v>
      </c>
      <c r="AO1426" s="25" t="s">
        <v>68</v>
      </c>
      <c r="AP1426" s="23" t="s">
        <v>69</v>
      </c>
      <c r="AQ1426" s="23" t="s">
        <v>30</v>
      </c>
      <c r="AR1426" s="23" t="s">
        <v>257</v>
      </c>
      <c r="AS1426" s="25">
        <v>196254</v>
      </c>
      <c r="AT1426" t="s">
        <v>26</v>
      </c>
      <c r="AU1426" t="s">
        <v>24111</v>
      </c>
    </row>
    <row r="1427" spans="1:47" ht="26.25" x14ac:dyDescent="0.4">
      <c r="A1427" s="23" t="s">
        <v>3587</v>
      </c>
      <c r="B1427" t="s">
        <v>26</v>
      </c>
      <c r="C1427" s="23" t="s">
        <v>80</v>
      </c>
      <c r="D1427" s="23" t="s">
        <v>22184</v>
      </c>
      <c r="E1427" s="23" t="s">
        <v>60</v>
      </c>
      <c r="F1427" s="25" t="s">
        <v>3588</v>
      </c>
      <c r="G1427" s="25" t="s">
        <v>3589</v>
      </c>
      <c r="H1427" t="s">
        <v>26</v>
      </c>
      <c r="I1427" t="s">
        <v>26</v>
      </c>
      <c r="J1427" t="s">
        <v>26</v>
      </c>
      <c r="K1427" t="s">
        <v>26</v>
      </c>
      <c r="L1427" s="25" t="s">
        <v>68</v>
      </c>
      <c r="M1427" t="s">
        <v>26</v>
      </c>
      <c r="N1427" t="s">
        <v>26</v>
      </c>
      <c r="O1427" t="s">
        <v>26</v>
      </c>
      <c r="P1427" t="s">
        <v>26</v>
      </c>
      <c r="Q1427" t="s">
        <v>26</v>
      </c>
      <c r="R1427" t="s">
        <v>26</v>
      </c>
      <c r="S1427" t="s">
        <v>26</v>
      </c>
      <c r="T1427" t="s">
        <v>26</v>
      </c>
      <c r="U1427" t="s">
        <v>26</v>
      </c>
      <c r="V1427" t="s">
        <v>26</v>
      </c>
      <c r="W1427" s="24">
        <v>40179</v>
      </c>
      <c r="X1427" s="25" t="s">
        <v>77</v>
      </c>
      <c r="Y1427" t="s">
        <v>26</v>
      </c>
      <c r="Z1427" s="24">
        <v>40179</v>
      </c>
      <c r="AA1427" s="25" t="s">
        <v>77</v>
      </c>
      <c r="AB1427" t="s">
        <v>26</v>
      </c>
      <c r="AC1427" s="24">
        <v>40179</v>
      </c>
      <c r="AD1427" s="25" t="s">
        <v>77</v>
      </c>
      <c r="AE1427" t="s">
        <v>26</v>
      </c>
      <c r="AF1427" t="s">
        <v>26</v>
      </c>
      <c r="AG1427" t="s">
        <v>26</v>
      </c>
      <c r="AH1427" t="s">
        <v>26</v>
      </c>
      <c r="AI1427" t="s">
        <v>26</v>
      </c>
      <c r="AJ1427" t="s">
        <v>26</v>
      </c>
      <c r="AK1427" t="s">
        <v>26</v>
      </c>
      <c r="AL1427" t="s">
        <v>26</v>
      </c>
      <c r="AM1427" t="s">
        <v>26</v>
      </c>
      <c r="AN1427" t="s">
        <v>26</v>
      </c>
      <c r="AO1427" s="25" t="s">
        <v>68</v>
      </c>
      <c r="AP1427" s="23" t="s">
        <v>69</v>
      </c>
      <c r="AQ1427" s="23" t="s">
        <v>30</v>
      </c>
      <c r="AR1427" s="23" t="s">
        <v>46</v>
      </c>
      <c r="AS1427" s="25">
        <v>53128</v>
      </c>
      <c r="AT1427" t="s">
        <v>26</v>
      </c>
      <c r="AU1427" t="s">
        <v>24112</v>
      </c>
    </row>
    <row r="1428" spans="1:47" ht="26.25" x14ac:dyDescent="0.4">
      <c r="A1428" s="23" t="s">
        <v>3590</v>
      </c>
      <c r="B1428" t="s">
        <v>26</v>
      </c>
      <c r="C1428" s="23" t="s">
        <v>107</v>
      </c>
      <c r="D1428" s="23" t="s">
        <v>22194</v>
      </c>
      <c r="E1428" s="23" t="s">
        <v>42</v>
      </c>
      <c r="F1428" s="25" t="s">
        <v>3591</v>
      </c>
      <c r="G1428" s="25" t="s">
        <v>3592</v>
      </c>
      <c r="H1428" t="s">
        <v>26</v>
      </c>
      <c r="I1428" t="s">
        <v>26</v>
      </c>
      <c r="J1428" t="s">
        <v>26</v>
      </c>
      <c r="K1428" t="s">
        <v>26</v>
      </c>
      <c r="L1428" s="25" t="s">
        <v>68</v>
      </c>
      <c r="M1428" t="s">
        <v>26</v>
      </c>
      <c r="N1428" t="s">
        <v>26</v>
      </c>
      <c r="O1428" t="s">
        <v>26</v>
      </c>
      <c r="P1428" t="s">
        <v>26</v>
      </c>
      <c r="Q1428" t="s">
        <v>26</v>
      </c>
      <c r="R1428" t="s">
        <v>26</v>
      </c>
      <c r="S1428" t="s">
        <v>26</v>
      </c>
      <c r="T1428" t="s">
        <v>26</v>
      </c>
      <c r="U1428" t="s">
        <v>26</v>
      </c>
      <c r="V1428" t="s">
        <v>26</v>
      </c>
      <c r="W1428" s="24">
        <v>35096</v>
      </c>
      <c r="X1428" s="25" t="s">
        <v>77</v>
      </c>
      <c r="Y1428" t="s">
        <v>26</v>
      </c>
      <c r="Z1428" s="24">
        <v>35096</v>
      </c>
      <c r="AA1428" s="25" t="s">
        <v>77</v>
      </c>
      <c r="AB1428" t="s">
        <v>26</v>
      </c>
      <c r="AC1428" s="24">
        <v>35096</v>
      </c>
      <c r="AD1428" s="25" t="s">
        <v>77</v>
      </c>
      <c r="AE1428" t="s">
        <v>26</v>
      </c>
      <c r="AF1428" t="s">
        <v>26</v>
      </c>
      <c r="AG1428" t="s">
        <v>26</v>
      </c>
      <c r="AH1428" t="s">
        <v>26</v>
      </c>
      <c r="AI1428" t="s">
        <v>26</v>
      </c>
      <c r="AJ1428" t="s">
        <v>26</v>
      </c>
      <c r="AK1428" t="s">
        <v>26</v>
      </c>
      <c r="AL1428" t="s">
        <v>26</v>
      </c>
      <c r="AM1428" t="s">
        <v>26</v>
      </c>
      <c r="AN1428" t="s">
        <v>26</v>
      </c>
      <c r="AO1428" s="25" t="s">
        <v>68</v>
      </c>
      <c r="AP1428" s="23" t="s">
        <v>69</v>
      </c>
      <c r="AQ1428" s="23" t="s">
        <v>30</v>
      </c>
      <c r="AR1428" s="23" t="s">
        <v>1332</v>
      </c>
      <c r="AS1428" s="25">
        <v>29875</v>
      </c>
      <c r="AT1428" t="s">
        <v>26</v>
      </c>
      <c r="AU1428" t="s">
        <v>24113</v>
      </c>
    </row>
    <row r="1429" spans="1:47" ht="26.25" x14ac:dyDescent="0.4">
      <c r="A1429" s="23" t="s">
        <v>3593</v>
      </c>
      <c r="B1429" t="s">
        <v>26</v>
      </c>
      <c r="C1429" s="23" t="s">
        <v>3594</v>
      </c>
      <c r="D1429" s="23" t="s">
        <v>24114</v>
      </c>
      <c r="E1429" s="23" t="s">
        <v>42</v>
      </c>
      <c r="F1429" s="25" t="s">
        <v>3595</v>
      </c>
      <c r="G1429" s="25" t="s">
        <v>3596</v>
      </c>
      <c r="H1429" t="s">
        <v>26</v>
      </c>
      <c r="I1429" s="24">
        <v>40909</v>
      </c>
      <c r="J1429" s="25" t="s">
        <v>77</v>
      </c>
      <c r="K1429" s="25" t="s">
        <v>24115</v>
      </c>
      <c r="L1429" s="25" t="s">
        <v>68</v>
      </c>
      <c r="M1429" t="s">
        <v>26</v>
      </c>
      <c r="N1429" t="s">
        <v>26</v>
      </c>
      <c r="O1429" t="s">
        <v>26</v>
      </c>
      <c r="P1429" s="24">
        <v>40909</v>
      </c>
      <c r="Q1429" s="25" t="s">
        <v>77</v>
      </c>
      <c r="R1429" s="25" t="s">
        <v>24115</v>
      </c>
      <c r="S1429" t="s">
        <v>26</v>
      </c>
      <c r="T1429" t="s">
        <v>26</v>
      </c>
      <c r="U1429" t="s">
        <v>26</v>
      </c>
      <c r="V1429" t="s">
        <v>26</v>
      </c>
      <c r="W1429" s="24">
        <v>40909</v>
      </c>
      <c r="X1429" s="25" t="s">
        <v>77</v>
      </c>
      <c r="Y1429" t="s">
        <v>26</v>
      </c>
      <c r="Z1429" s="24">
        <v>40909</v>
      </c>
      <c r="AA1429" s="25" t="s">
        <v>77</v>
      </c>
      <c r="AB1429" t="s">
        <v>26</v>
      </c>
      <c r="AC1429" s="24">
        <v>40909</v>
      </c>
      <c r="AD1429" s="25" t="s">
        <v>77</v>
      </c>
      <c r="AE1429" t="s">
        <v>26</v>
      </c>
      <c r="AF1429" t="s">
        <v>26</v>
      </c>
      <c r="AG1429" t="s">
        <v>26</v>
      </c>
      <c r="AH1429" t="s">
        <v>26</v>
      </c>
      <c r="AI1429" t="s">
        <v>26</v>
      </c>
      <c r="AJ1429" t="s">
        <v>26</v>
      </c>
      <c r="AK1429" t="s">
        <v>26</v>
      </c>
      <c r="AL1429" t="s">
        <v>26</v>
      </c>
      <c r="AM1429" t="s">
        <v>26</v>
      </c>
      <c r="AN1429" t="s">
        <v>26</v>
      </c>
      <c r="AO1429" s="25" t="s">
        <v>68</v>
      </c>
      <c r="AP1429" s="23" t="s">
        <v>69</v>
      </c>
      <c r="AQ1429" s="23" t="s">
        <v>30</v>
      </c>
      <c r="AR1429" s="23" t="s">
        <v>1332</v>
      </c>
      <c r="AS1429" s="25">
        <v>5531552</v>
      </c>
      <c r="AT1429" t="s">
        <v>26</v>
      </c>
      <c r="AU1429" t="s">
        <v>24116</v>
      </c>
    </row>
    <row r="1430" spans="1:47" ht="26.25" x14ac:dyDescent="0.4">
      <c r="A1430" s="23" t="s">
        <v>3597</v>
      </c>
      <c r="B1430" t="s">
        <v>26</v>
      </c>
      <c r="C1430" s="23" t="s">
        <v>3598</v>
      </c>
      <c r="D1430" s="23" t="s">
        <v>24117</v>
      </c>
      <c r="E1430" s="23" t="s">
        <v>42</v>
      </c>
      <c r="F1430" s="25" t="s">
        <v>3599</v>
      </c>
      <c r="G1430" s="25" t="s">
        <v>3600</v>
      </c>
      <c r="H1430" t="s">
        <v>26</v>
      </c>
      <c r="I1430" s="24">
        <v>35339</v>
      </c>
      <c r="J1430" s="24">
        <v>44652</v>
      </c>
      <c r="K1430" t="s">
        <v>26</v>
      </c>
      <c r="L1430" s="25" t="s">
        <v>68</v>
      </c>
      <c r="M1430" s="24">
        <v>35339</v>
      </c>
      <c r="N1430" s="24">
        <v>44652</v>
      </c>
      <c r="O1430" t="s">
        <v>26</v>
      </c>
      <c r="P1430" s="24">
        <v>35339</v>
      </c>
      <c r="Q1430" s="24">
        <v>44652</v>
      </c>
      <c r="R1430" t="s">
        <v>26</v>
      </c>
      <c r="S1430" t="s">
        <v>26</v>
      </c>
      <c r="T1430" t="s">
        <v>26</v>
      </c>
      <c r="U1430" t="s">
        <v>26</v>
      </c>
      <c r="V1430" t="s">
        <v>26</v>
      </c>
      <c r="W1430" s="24">
        <v>35339</v>
      </c>
      <c r="X1430" s="24">
        <v>44652</v>
      </c>
      <c r="Y1430" t="s">
        <v>26</v>
      </c>
      <c r="Z1430" s="24">
        <v>35339</v>
      </c>
      <c r="AA1430" s="24">
        <v>44652</v>
      </c>
      <c r="AB1430" t="s">
        <v>26</v>
      </c>
      <c r="AC1430" s="24">
        <v>38047</v>
      </c>
      <c r="AD1430" s="24">
        <v>44652</v>
      </c>
      <c r="AE1430" t="s">
        <v>26</v>
      </c>
      <c r="AF1430" t="s">
        <v>26</v>
      </c>
      <c r="AG1430" t="s">
        <v>26</v>
      </c>
      <c r="AH1430" t="s">
        <v>26</v>
      </c>
      <c r="AI1430" t="s">
        <v>26</v>
      </c>
      <c r="AJ1430" t="s">
        <v>26</v>
      </c>
      <c r="AK1430" t="s">
        <v>26</v>
      </c>
      <c r="AL1430" t="s">
        <v>26</v>
      </c>
      <c r="AM1430" t="s">
        <v>26</v>
      </c>
      <c r="AN1430" t="s">
        <v>26</v>
      </c>
      <c r="AO1430" s="25" t="s">
        <v>68</v>
      </c>
      <c r="AP1430" s="23" t="s">
        <v>69</v>
      </c>
      <c r="AQ1430" s="23" t="s">
        <v>30</v>
      </c>
      <c r="AR1430" s="23" t="s">
        <v>222</v>
      </c>
      <c r="AS1430" s="25">
        <v>48458</v>
      </c>
      <c r="AT1430" t="s">
        <v>26</v>
      </c>
      <c r="AU1430" t="s">
        <v>24118</v>
      </c>
    </row>
    <row r="1431" spans="1:47" ht="26.25" x14ac:dyDescent="0.4">
      <c r="A1431" s="23" t="s">
        <v>3601</v>
      </c>
      <c r="B1431" t="s">
        <v>26</v>
      </c>
      <c r="C1431" s="23" t="s">
        <v>981</v>
      </c>
      <c r="D1431" s="23" t="s">
        <v>22254</v>
      </c>
      <c r="E1431" s="23" t="s">
        <v>42</v>
      </c>
      <c r="F1431" s="25" t="s">
        <v>3602</v>
      </c>
      <c r="G1431" s="25" t="s">
        <v>3603</v>
      </c>
      <c r="H1431" t="s">
        <v>26</v>
      </c>
      <c r="I1431" s="24">
        <v>35490</v>
      </c>
      <c r="J1431" s="24">
        <v>40483</v>
      </c>
      <c r="K1431" t="s">
        <v>26</v>
      </c>
      <c r="L1431" s="25" t="s">
        <v>68</v>
      </c>
      <c r="M1431" s="24">
        <v>35490</v>
      </c>
      <c r="N1431" s="24">
        <v>40483</v>
      </c>
      <c r="O1431" t="s">
        <v>26</v>
      </c>
      <c r="P1431" s="24">
        <v>35490</v>
      </c>
      <c r="Q1431" s="24">
        <v>40483</v>
      </c>
      <c r="R1431" t="s">
        <v>26</v>
      </c>
      <c r="S1431" t="s">
        <v>26</v>
      </c>
      <c r="T1431" t="s">
        <v>26</v>
      </c>
      <c r="U1431" t="s">
        <v>26</v>
      </c>
      <c r="V1431" t="s">
        <v>26</v>
      </c>
      <c r="W1431" s="24">
        <v>35490</v>
      </c>
      <c r="X1431" s="25" t="s">
        <v>77</v>
      </c>
      <c r="Y1431" t="s">
        <v>26</v>
      </c>
      <c r="Z1431" s="24">
        <v>35490</v>
      </c>
      <c r="AA1431" s="25" t="s">
        <v>77</v>
      </c>
      <c r="AB1431" t="s">
        <v>26</v>
      </c>
      <c r="AC1431" s="24">
        <v>35735</v>
      </c>
      <c r="AD1431" s="25" t="s">
        <v>77</v>
      </c>
      <c r="AE1431" s="25" t="s">
        <v>22723</v>
      </c>
      <c r="AF1431" t="s">
        <v>26</v>
      </c>
      <c r="AG1431" t="s">
        <v>26</v>
      </c>
      <c r="AH1431" t="s">
        <v>26</v>
      </c>
      <c r="AI1431" t="s">
        <v>26</v>
      </c>
      <c r="AJ1431" t="s">
        <v>26</v>
      </c>
      <c r="AK1431" t="s">
        <v>26</v>
      </c>
      <c r="AL1431" t="s">
        <v>26</v>
      </c>
      <c r="AM1431" t="s">
        <v>26</v>
      </c>
      <c r="AN1431" t="s">
        <v>26</v>
      </c>
      <c r="AO1431" s="25" t="s">
        <v>68</v>
      </c>
      <c r="AP1431" s="23" t="s">
        <v>69</v>
      </c>
      <c r="AQ1431" s="23" t="s">
        <v>30</v>
      </c>
      <c r="AR1431" s="23" t="s">
        <v>3604</v>
      </c>
      <c r="AS1431" s="25">
        <v>860</v>
      </c>
      <c r="AT1431" t="s">
        <v>26</v>
      </c>
      <c r="AU1431" t="s">
        <v>24119</v>
      </c>
    </row>
    <row r="1432" spans="1:47" ht="26.25" x14ac:dyDescent="0.4">
      <c r="A1432" s="23" t="s">
        <v>3605</v>
      </c>
      <c r="B1432" t="s">
        <v>26</v>
      </c>
      <c r="C1432" s="23" t="s">
        <v>320</v>
      </c>
      <c r="D1432" s="23" t="s">
        <v>22174</v>
      </c>
      <c r="E1432" s="23" t="s">
        <v>42</v>
      </c>
      <c r="F1432" s="25" t="s">
        <v>3606</v>
      </c>
      <c r="G1432" s="25" t="s">
        <v>3607</v>
      </c>
      <c r="H1432" t="s">
        <v>26</v>
      </c>
      <c r="I1432" t="s">
        <v>26</v>
      </c>
      <c r="J1432" t="s">
        <v>26</v>
      </c>
      <c r="K1432" t="s">
        <v>26</v>
      </c>
      <c r="L1432" s="25" t="s">
        <v>68</v>
      </c>
      <c r="M1432" t="s">
        <v>26</v>
      </c>
      <c r="N1432" t="s">
        <v>26</v>
      </c>
      <c r="O1432" t="s">
        <v>26</v>
      </c>
      <c r="P1432" t="s">
        <v>26</v>
      </c>
      <c r="Q1432" t="s">
        <v>26</v>
      </c>
      <c r="R1432" t="s">
        <v>26</v>
      </c>
      <c r="S1432" t="s">
        <v>26</v>
      </c>
      <c r="T1432" t="s">
        <v>26</v>
      </c>
      <c r="U1432" t="s">
        <v>26</v>
      </c>
      <c r="V1432" t="s">
        <v>26</v>
      </c>
      <c r="W1432" s="24">
        <v>41214</v>
      </c>
      <c r="X1432" s="25" t="s">
        <v>77</v>
      </c>
      <c r="Y1432" t="s">
        <v>26</v>
      </c>
      <c r="Z1432" s="24">
        <v>41214</v>
      </c>
      <c r="AA1432" s="25" t="s">
        <v>77</v>
      </c>
      <c r="AB1432" t="s">
        <v>26</v>
      </c>
      <c r="AC1432" s="24">
        <v>41214</v>
      </c>
      <c r="AD1432" s="25" t="s">
        <v>77</v>
      </c>
      <c r="AE1432" t="s">
        <v>26</v>
      </c>
      <c r="AF1432" t="s">
        <v>26</v>
      </c>
      <c r="AG1432" t="s">
        <v>26</v>
      </c>
      <c r="AH1432" t="s">
        <v>26</v>
      </c>
      <c r="AI1432" t="s">
        <v>26</v>
      </c>
      <c r="AJ1432" t="s">
        <v>26</v>
      </c>
      <c r="AK1432" t="s">
        <v>26</v>
      </c>
      <c r="AL1432" t="s">
        <v>26</v>
      </c>
      <c r="AM1432" t="s">
        <v>26</v>
      </c>
      <c r="AN1432" t="s">
        <v>26</v>
      </c>
      <c r="AO1432" s="25" t="s">
        <v>68</v>
      </c>
      <c r="AP1432" s="23" t="s">
        <v>69</v>
      </c>
      <c r="AQ1432" s="23" t="s">
        <v>30</v>
      </c>
      <c r="AR1432" s="23" t="s">
        <v>46</v>
      </c>
      <c r="AS1432" s="25">
        <v>1096408</v>
      </c>
      <c r="AT1432" t="s">
        <v>26</v>
      </c>
      <c r="AU1432" t="s">
        <v>24120</v>
      </c>
    </row>
    <row r="1433" spans="1:47" ht="26.25" x14ac:dyDescent="0.4">
      <c r="A1433" s="23" t="s">
        <v>3608</v>
      </c>
      <c r="B1433" t="s">
        <v>26</v>
      </c>
      <c r="C1433" s="23" t="s">
        <v>80</v>
      </c>
      <c r="D1433" s="23" t="s">
        <v>22436</v>
      </c>
      <c r="E1433" s="23" t="s">
        <v>60</v>
      </c>
      <c r="F1433" s="25" t="s">
        <v>3609</v>
      </c>
      <c r="G1433" s="25" t="s">
        <v>3610</v>
      </c>
      <c r="H1433" t="s">
        <v>26</v>
      </c>
      <c r="I1433" t="s">
        <v>26</v>
      </c>
      <c r="J1433" t="s">
        <v>26</v>
      </c>
      <c r="K1433" t="s">
        <v>26</v>
      </c>
      <c r="L1433" s="25" t="s">
        <v>68</v>
      </c>
      <c r="M1433" t="s">
        <v>26</v>
      </c>
      <c r="N1433" t="s">
        <v>26</v>
      </c>
      <c r="O1433" t="s">
        <v>26</v>
      </c>
      <c r="P1433" t="s">
        <v>26</v>
      </c>
      <c r="Q1433" t="s">
        <v>26</v>
      </c>
      <c r="R1433" t="s">
        <v>26</v>
      </c>
      <c r="S1433" t="s">
        <v>26</v>
      </c>
      <c r="T1433" t="s">
        <v>26</v>
      </c>
      <c r="U1433" t="s">
        <v>26</v>
      </c>
      <c r="V1433" t="s">
        <v>26</v>
      </c>
      <c r="W1433" s="24">
        <v>40179</v>
      </c>
      <c r="X1433" s="25" t="s">
        <v>77</v>
      </c>
      <c r="Y1433" t="s">
        <v>26</v>
      </c>
      <c r="Z1433" s="24">
        <v>40179</v>
      </c>
      <c r="AA1433" s="25" t="s">
        <v>77</v>
      </c>
      <c r="AB1433" t="s">
        <v>26</v>
      </c>
      <c r="AC1433" s="24">
        <v>40179</v>
      </c>
      <c r="AD1433" s="25" t="s">
        <v>77</v>
      </c>
      <c r="AE1433" t="s">
        <v>26</v>
      </c>
      <c r="AF1433" t="s">
        <v>26</v>
      </c>
      <c r="AG1433" t="s">
        <v>26</v>
      </c>
      <c r="AH1433" t="s">
        <v>26</v>
      </c>
      <c r="AI1433" t="s">
        <v>26</v>
      </c>
      <c r="AJ1433" t="s">
        <v>26</v>
      </c>
      <c r="AK1433" t="s">
        <v>26</v>
      </c>
      <c r="AL1433" t="s">
        <v>26</v>
      </c>
      <c r="AM1433" t="s">
        <v>26</v>
      </c>
      <c r="AN1433" t="s">
        <v>26</v>
      </c>
      <c r="AO1433" s="25" t="s">
        <v>68</v>
      </c>
      <c r="AP1433" s="23" t="s">
        <v>69</v>
      </c>
      <c r="AQ1433" s="23" t="s">
        <v>30</v>
      </c>
      <c r="AR1433" s="23" t="s">
        <v>3611</v>
      </c>
      <c r="AS1433" s="25">
        <v>216141</v>
      </c>
      <c r="AT1433" t="s">
        <v>26</v>
      </c>
      <c r="AU1433" t="s">
        <v>24121</v>
      </c>
    </row>
    <row r="1434" spans="1:47" ht="26.25" x14ac:dyDescent="0.4">
      <c r="A1434" s="23" t="s">
        <v>3612</v>
      </c>
      <c r="B1434" t="s">
        <v>26</v>
      </c>
      <c r="C1434" s="23" t="s">
        <v>172</v>
      </c>
      <c r="D1434" s="23" t="s">
        <v>23616</v>
      </c>
      <c r="E1434" s="23" t="s">
        <v>60</v>
      </c>
      <c r="F1434" s="25" t="s">
        <v>3613</v>
      </c>
      <c r="G1434" s="25" t="s">
        <v>3614</v>
      </c>
      <c r="H1434" t="s">
        <v>26</v>
      </c>
      <c r="I1434" s="24">
        <v>38687</v>
      </c>
      <c r="J1434" s="24">
        <v>42339</v>
      </c>
      <c r="K1434" t="s">
        <v>26</v>
      </c>
      <c r="L1434" s="25" t="s">
        <v>68</v>
      </c>
      <c r="M1434" s="24">
        <v>38687</v>
      </c>
      <c r="N1434" s="24">
        <v>42339</v>
      </c>
      <c r="O1434" t="s">
        <v>26</v>
      </c>
      <c r="P1434" s="24">
        <v>38687</v>
      </c>
      <c r="Q1434" s="24">
        <v>42339</v>
      </c>
      <c r="R1434" t="s">
        <v>26</v>
      </c>
      <c r="S1434" t="s">
        <v>26</v>
      </c>
      <c r="T1434" t="s">
        <v>26</v>
      </c>
      <c r="U1434" t="s">
        <v>26</v>
      </c>
      <c r="V1434" t="s">
        <v>26</v>
      </c>
      <c r="W1434" s="24">
        <v>34060</v>
      </c>
      <c r="X1434" s="25" t="s">
        <v>77</v>
      </c>
      <c r="Y1434" t="s">
        <v>26</v>
      </c>
      <c r="Z1434" s="24">
        <v>34060</v>
      </c>
      <c r="AA1434" s="25" t="s">
        <v>77</v>
      </c>
      <c r="AB1434" t="s">
        <v>26</v>
      </c>
      <c r="AC1434" s="24">
        <v>34060</v>
      </c>
      <c r="AD1434" s="25" t="s">
        <v>77</v>
      </c>
      <c r="AE1434" t="s">
        <v>26</v>
      </c>
      <c r="AF1434" t="s">
        <v>26</v>
      </c>
      <c r="AG1434" t="s">
        <v>26</v>
      </c>
      <c r="AH1434" t="s">
        <v>26</v>
      </c>
      <c r="AI1434" t="s">
        <v>26</v>
      </c>
      <c r="AJ1434" t="s">
        <v>26</v>
      </c>
      <c r="AK1434" t="s">
        <v>26</v>
      </c>
      <c r="AL1434" t="s">
        <v>26</v>
      </c>
      <c r="AM1434" t="s">
        <v>26</v>
      </c>
      <c r="AN1434" t="s">
        <v>26</v>
      </c>
      <c r="AO1434" s="25" t="s">
        <v>68</v>
      </c>
      <c r="AP1434" s="23" t="s">
        <v>69</v>
      </c>
      <c r="AQ1434" s="23" t="s">
        <v>30</v>
      </c>
      <c r="AR1434" s="23" t="s">
        <v>46</v>
      </c>
      <c r="AS1434" s="25">
        <v>36654</v>
      </c>
      <c r="AT1434" t="s">
        <v>26</v>
      </c>
      <c r="AU1434" t="s">
        <v>24122</v>
      </c>
    </row>
    <row r="1435" spans="1:47" ht="26.25" x14ac:dyDescent="0.4">
      <c r="A1435" s="23" t="s">
        <v>3615</v>
      </c>
      <c r="B1435" t="s">
        <v>26</v>
      </c>
      <c r="C1435" s="23" t="s">
        <v>107</v>
      </c>
      <c r="D1435" s="23" t="s">
        <v>22334</v>
      </c>
      <c r="E1435" s="23" t="s">
        <v>42</v>
      </c>
      <c r="F1435" s="25" t="s">
        <v>3616</v>
      </c>
      <c r="G1435" s="25" t="s">
        <v>3617</v>
      </c>
      <c r="H1435" t="s">
        <v>26</v>
      </c>
      <c r="I1435" s="24">
        <v>34943</v>
      </c>
      <c r="J1435" s="24">
        <v>39417</v>
      </c>
      <c r="K1435" t="s">
        <v>26</v>
      </c>
      <c r="L1435" s="25" t="s">
        <v>68</v>
      </c>
      <c r="M1435" s="24">
        <v>34943</v>
      </c>
      <c r="N1435" s="24">
        <v>39417</v>
      </c>
      <c r="O1435" t="s">
        <v>26</v>
      </c>
      <c r="P1435" s="24">
        <v>34943</v>
      </c>
      <c r="Q1435" s="24">
        <v>39417</v>
      </c>
      <c r="R1435" t="s">
        <v>26</v>
      </c>
      <c r="S1435" t="s">
        <v>26</v>
      </c>
      <c r="T1435" t="s">
        <v>26</v>
      </c>
      <c r="U1435" t="s">
        <v>26</v>
      </c>
      <c r="V1435" t="s">
        <v>26</v>
      </c>
      <c r="W1435" s="24">
        <v>26115</v>
      </c>
      <c r="X1435" s="25" t="s">
        <v>77</v>
      </c>
      <c r="Y1435" s="25" t="s">
        <v>3618</v>
      </c>
      <c r="Z1435" s="24">
        <v>26115</v>
      </c>
      <c r="AA1435" s="25" t="s">
        <v>77</v>
      </c>
      <c r="AB1435" s="25" t="s">
        <v>3618</v>
      </c>
      <c r="AC1435" s="24">
        <v>26115</v>
      </c>
      <c r="AD1435" s="25" t="s">
        <v>77</v>
      </c>
      <c r="AE1435" s="25" t="s">
        <v>3618</v>
      </c>
      <c r="AF1435" t="s">
        <v>26</v>
      </c>
      <c r="AG1435" t="s">
        <v>26</v>
      </c>
      <c r="AH1435" t="s">
        <v>26</v>
      </c>
      <c r="AI1435" t="s">
        <v>26</v>
      </c>
      <c r="AJ1435" t="s">
        <v>26</v>
      </c>
      <c r="AK1435" t="s">
        <v>26</v>
      </c>
      <c r="AL1435" t="s">
        <v>26</v>
      </c>
      <c r="AM1435" t="s">
        <v>26</v>
      </c>
      <c r="AN1435" t="s">
        <v>26</v>
      </c>
      <c r="AO1435" s="25" t="s">
        <v>68</v>
      </c>
      <c r="AP1435" s="23" t="s">
        <v>69</v>
      </c>
      <c r="AQ1435" s="23" t="s">
        <v>30</v>
      </c>
      <c r="AR1435" s="23" t="s">
        <v>257</v>
      </c>
      <c r="AS1435" s="25">
        <v>24478</v>
      </c>
      <c r="AT1435" t="s">
        <v>26</v>
      </c>
      <c r="AU1435" t="s">
        <v>24123</v>
      </c>
    </row>
    <row r="1436" spans="1:47" ht="26.25" x14ac:dyDescent="0.4">
      <c r="A1436" s="23" t="s">
        <v>3619</v>
      </c>
      <c r="B1436" t="s">
        <v>26</v>
      </c>
      <c r="C1436" s="23" t="s">
        <v>320</v>
      </c>
      <c r="D1436" s="23" t="s">
        <v>24124</v>
      </c>
      <c r="E1436" s="23" t="s">
        <v>42</v>
      </c>
      <c r="F1436" s="25" t="s">
        <v>3620</v>
      </c>
      <c r="G1436" s="25" t="s">
        <v>3621</v>
      </c>
      <c r="H1436" t="s">
        <v>26</v>
      </c>
      <c r="I1436" t="s">
        <v>26</v>
      </c>
      <c r="J1436" t="s">
        <v>26</v>
      </c>
      <c r="K1436" t="s">
        <v>26</v>
      </c>
      <c r="L1436" s="25" t="s">
        <v>68</v>
      </c>
      <c r="M1436" t="s">
        <v>26</v>
      </c>
      <c r="N1436" t="s">
        <v>26</v>
      </c>
      <c r="O1436" t="s">
        <v>26</v>
      </c>
      <c r="P1436" t="s">
        <v>26</v>
      </c>
      <c r="Q1436" t="s">
        <v>26</v>
      </c>
      <c r="R1436" t="s">
        <v>26</v>
      </c>
      <c r="S1436" t="s">
        <v>26</v>
      </c>
      <c r="T1436" t="s">
        <v>26</v>
      </c>
      <c r="U1436" t="s">
        <v>26</v>
      </c>
      <c r="V1436" t="s">
        <v>26</v>
      </c>
      <c r="W1436" s="24">
        <v>41244</v>
      </c>
      <c r="X1436" s="24">
        <v>43800</v>
      </c>
      <c r="Y1436" t="s">
        <v>26</v>
      </c>
      <c r="Z1436" s="24">
        <v>41244</v>
      </c>
      <c r="AA1436" s="24">
        <v>43800</v>
      </c>
      <c r="AB1436" t="s">
        <v>26</v>
      </c>
      <c r="AC1436" s="24">
        <v>41244</v>
      </c>
      <c r="AD1436" s="24">
        <v>43800</v>
      </c>
      <c r="AE1436" t="s">
        <v>26</v>
      </c>
      <c r="AF1436" t="s">
        <v>26</v>
      </c>
      <c r="AG1436" t="s">
        <v>26</v>
      </c>
      <c r="AH1436" t="s">
        <v>26</v>
      </c>
      <c r="AI1436" t="s">
        <v>26</v>
      </c>
      <c r="AJ1436" t="s">
        <v>26</v>
      </c>
      <c r="AK1436" t="s">
        <v>26</v>
      </c>
      <c r="AL1436" t="s">
        <v>26</v>
      </c>
      <c r="AM1436" t="s">
        <v>26</v>
      </c>
      <c r="AN1436" t="s">
        <v>26</v>
      </c>
      <c r="AO1436" s="25" t="s">
        <v>68</v>
      </c>
      <c r="AP1436" s="23" t="s">
        <v>69</v>
      </c>
      <c r="AQ1436" s="23" t="s">
        <v>30</v>
      </c>
      <c r="AR1436" s="23" t="s">
        <v>46</v>
      </c>
      <c r="AS1436" s="25">
        <v>1006380</v>
      </c>
      <c r="AT1436" t="s">
        <v>26</v>
      </c>
      <c r="AU1436" t="s">
        <v>24125</v>
      </c>
    </row>
    <row r="1437" spans="1:47" ht="26.25" x14ac:dyDescent="0.4">
      <c r="A1437" s="23" t="s">
        <v>3622</v>
      </c>
      <c r="B1437" t="s">
        <v>26</v>
      </c>
      <c r="C1437" s="23" t="s">
        <v>3623</v>
      </c>
      <c r="D1437" s="23" t="s">
        <v>24126</v>
      </c>
      <c r="E1437" s="23" t="s">
        <v>42</v>
      </c>
      <c r="F1437" s="25" t="s">
        <v>3624</v>
      </c>
      <c r="G1437" s="25" t="s">
        <v>3625</v>
      </c>
      <c r="H1437" t="s">
        <v>26</v>
      </c>
      <c r="I1437" t="s">
        <v>26</v>
      </c>
      <c r="J1437" t="s">
        <v>26</v>
      </c>
      <c r="K1437" t="s">
        <v>26</v>
      </c>
      <c r="L1437" s="25" t="s">
        <v>68</v>
      </c>
      <c r="M1437" t="s">
        <v>26</v>
      </c>
      <c r="N1437" t="s">
        <v>26</v>
      </c>
      <c r="O1437" t="s">
        <v>26</v>
      </c>
      <c r="P1437" t="s">
        <v>26</v>
      </c>
      <c r="Q1437" t="s">
        <v>26</v>
      </c>
      <c r="R1437" t="s">
        <v>26</v>
      </c>
      <c r="S1437" t="s">
        <v>26</v>
      </c>
      <c r="T1437" t="s">
        <v>26</v>
      </c>
      <c r="U1437" t="s">
        <v>26</v>
      </c>
      <c r="V1437" t="s">
        <v>26</v>
      </c>
      <c r="W1437" s="24">
        <v>33635</v>
      </c>
      <c r="X1437" s="25" t="s">
        <v>77</v>
      </c>
      <c r="Y1437" t="s">
        <v>26</v>
      </c>
      <c r="Z1437" s="24">
        <v>33635</v>
      </c>
      <c r="AA1437" s="25" t="s">
        <v>77</v>
      </c>
      <c r="AB1437" t="s">
        <v>26</v>
      </c>
      <c r="AC1437" s="24">
        <v>33635</v>
      </c>
      <c r="AD1437" s="25" t="s">
        <v>77</v>
      </c>
      <c r="AE1437" t="s">
        <v>26</v>
      </c>
      <c r="AF1437" t="s">
        <v>26</v>
      </c>
      <c r="AG1437" t="s">
        <v>26</v>
      </c>
      <c r="AH1437" t="s">
        <v>26</v>
      </c>
      <c r="AI1437" t="s">
        <v>26</v>
      </c>
      <c r="AJ1437" t="s">
        <v>26</v>
      </c>
      <c r="AK1437" t="s">
        <v>26</v>
      </c>
      <c r="AL1437" t="s">
        <v>26</v>
      </c>
      <c r="AM1437" t="s">
        <v>26</v>
      </c>
      <c r="AN1437" t="s">
        <v>26</v>
      </c>
      <c r="AO1437" s="25" t="s">
        <v>68</v>
      </c>
      <c r="AP1437" s="23" t="s">
        <v>69</v>
      </c>
      <c r="AQ1437" s="23" t="s">
        <v>30</v>
      </c>
      <c r="AR1437" s="23" t="s">
        <v>3626</v>
      </c>
      <c r="AS1437" s="25">
        <v>47871</v>
      </c>
      <c r="AT1437" t="s">
        <v>26</v>
      </c>
      <c r="AU1437" t="s">
        <v>24127</v>
      </c>
    </row>
    <row r="1438" spans="1:47" ht="26.25" x14ac:dyDescent="0.4">
      <c r="A1438" s="23" t="s">
        <v>3627</v>
      </c>
      <c r="B1438" t="s">
        <v>26</v>
      </c>
      <c r="C1438" s="23" t="s">
        <v>176</v>
      </c>
      <c r="D1438" s="23" t="s">
        <v>23950</v>
      </c>
      <c r="E1438" s="23" t="s">
        <v>60</v>
      </c>
      <c r="F1438" s="25" t="s">
        <v>3628</v>
      </c>
      <c r="G1438" t="s">
        <v>26</v>
      </c>
      <c r="H1438" t="s">
        <v>26</v>
      </c>
      <c r="I1438" t="s">
        <v>26</v>
      </c>
      <c r="J1438" t="s">
        <v>26</v>
      </c>
      <c r="K1438" t="s">
        <v>26</v>
      </c>
      <c r="L1438" s="25" t="s">
        <v>68</v>
      </c>
      <c r="M1438" t="s">
        <v>26</v>
      </c>
      <c r="N1438" t="s">
        <v>26</v>
      </c>
      <c r="O1438" t="s">
        <v>26</v>
      </c>
      <c r="P1438" t="s">
        <v>26</v>
      </c>
      <c r="Q1438" t="s">
        <v>26</v>
      </c>
      <c r="R1438" t="s">
        <v>26</v>
      </c>
      <c r="S1438" t="s">
        <v>26</v>
      </c>
      <c r="T1438" t="s">
        <v>26</v>
      </c>
      <c r="U1438" t="s">
        <v>26</v>
      </c>
      <c r="V1438" t="s">
        <v>26</v>
      </c>
      <c r="W1438" s="24">
        <v>42675</v>
      </c>
      <c r="X1438" s="24">
        <v>44866</v>
      </c>
      <c r="Y1438" t="s">
        <v>26</v>
      </c>
      <c r="Z1438" s="24">
        <v>42675</v>
      </c>
      <c r="AA1438" s="24">
        <v>44866</v>
      </c>
      <c r="AB1438" t="s">
        <v>26</v>
      </c>
      <c r="AC1438" s="24">
        <v>42675</v>
      </c>
      <c r="AD1438" s="24">
        <v>44866</v>
      </c>
      <c r="AE1438" t="s">
        <v>26</v>
      </c>
      <c r="AF1438" t="s">
        <v>26</v>
      </c>
      <c r="AG1438" t="s">
        <v>26</v>
      </c>
      <c r="AH1438" t="s">
        <v>26</v>
      </c>
      <c r="AI1438" t="s">
        <v>26</v>
      </c>
      <c r="AJ1438" t="s">
        <v>26</v>
      </c>
      <c r="AK1438" t="s">
        <v>26</v>
      </c>
      <c r="AL1438" t="s">
        <v>26</v>
      </c>
      <c r="AM1438" t="s">
        <v>26</v>
      </c>
      <c r="AN1438" t="s">
        <v>26</v>
      </c>
      <c r="AO1438" s="25" t="s">
        <v>68</v>
      </c>
      <c r="AP1438" s="23" t="s">
        <v>69</v>
      </c>
      <c r="AQ1438" s="23" t="s">
        <v>30</v>
      </c>
      <c r="AR1438" s="23" t="s">
        <v>123</v>
      </c>
      <c r="AS1438" s="25">
        <v>2033191</v>
      </c>
      <c r="AT1438" t="s">
        <v>26</v>
      </c>
      <c r="AU1438" t="s">
        <v>24128</v>
      </c>
    </row>
    <row r="1439" spans="1:47" ht="26.25" x14ac:dyDescent="0.4">
      <c r="A1439" s="23" t="s">
        <v>3629</v>
      </c>
      <c r="B1439" t="s">
        <v>26</v>
      </c>
      <c r="C1439" s="23" t="s">
        <v>107</v>
      </c>
      <c r="D1439" s="23" t="s">
        <v>22194</v>
      </c>
      <c r="E1439" s="23" t="s">
        <v>42</v>
      </c>
      <c r="F1439" s="25" t="s">
        <v>3630</v>
      </c>
      <c r="G1439" s="25" t="s">
        <v>3631</v>
      </c>
      <c r="H1439" t="s">
        <v>26</v>
      </c>
      <c r="I1439" t="s">
        <v>26</v>
      </c>
      <c r="J1439" t="s">
        <v>26</v>
      </c>
      <c r="K1439" t="s">
        <v>26</v>
      </c>
      <c r="L1439" s="25" t="s">
        <v>68</v>
      </c>
      <c r="M1439" t="s">
        <v>26</v>
      </c>
      <c r="N1439" t="s">
        <v>26</v>
      </c>
      <c r="O1439" t="s">
        <v>26</v>
      </c>
      <c r="P1439" t="s">
        <v>26</v>
      </c>
      <c r="Q1439" t="s">
        <v>26</v>
      </c>
      <c r="R1439" t="s">
        <v>26</v>
      </c>
      <c r="S1439" t="s">
        <v>26</v>
      </c>
      <c r="T1439" t="s">
        <v>26</v>
      </c>
      <c r="U1439" t="s">
        <v>26</v>
      </c>
      <c r="V1439" t="s">
        <v>26</v>
      </c>
      <c r="W1439" s="24">
        <v>34759</v>
      </c>
      <c r="X1439" s="25" t="s">
        <v>77</v>
      </c>
      <c r="Y1439" t="s">
        <v>26</v>
      </c>
      <c r="Z1439" s="24">
        <v>34759</v>
      </c>
      <c r="AA1439" s="25" t="s">
        <v>77</v>
      </c>
      <c r="AB1439" t="s">
        <v>26</v>
      </c>
      <c r="AC1439" s="24">
        <v>34759</v>
      </c>
      <c r="AD1439" s="25" t="s">
        <v>77</v>
      </c>
      <c r="AE1439" t="s">
        <v>26</v>
      </c>
      <c r="AF1439" t="s">
        <v>26</v>
      </c>
      <c r="AG1439" t="s">
        <v>26</v>
      </c>
      <c r="AH1439" t="s">
        <v>26</v>
      </c>
      <c r="AI1439" t="s">
        <v>26</v>
      </c>
      <c r="AJ1439" t="s">
        <v>26</v>
      </c>
      <c r="AK1439" t="s">
        <v>26</v>
      </c>
      <c r="AL1439" t="s">
        <v>26</v>
      </c>
      <c r="AM1439" t="s">
        <v>26</v>
      </c>
      <c r="AN1439" t="s">
        <v>26</v>
      </c>
      <c r="AO1439" s="25" t="s">
        <v>68</v>
      </c>
      <c r="AP1439" s="23" t="s">
        <v>69</v>
      </c>
      <c r="AQ1439" s="23" t="s">
        <v>30</v>
      </c>
      <c r="AR1439" s="23" t="s">
        <v>1332</v>
      </c>
      <c r="AS1439" s="25">
        <v>30007</v>
      </c>
      <c r="AT1439" t="s">
        <v>26</v>
      </c>
      <c r="AU1439" t="s">
        <v>24129</v>
      </c>
    </row>
    <row r="1440" spans="1:47" ht="26.25" x14ac:dyDescent="0.4">
      <c r="A1440" s="23" t="s">
        <v>3632</v>
      </c>
      <c r="B1440" t="s">
        <v>26</v>
      </c>
      <c r="C1440" s="23" t="s">
        <v>465</v>
      </c>
      <c r="D1440" s="23" t="s">
        <v>22254</v>
      </c>
      <c r="E1440" s="23" t="s">
        <v>42</v>
      </c>
      <c r="F1440" s="25" t="s">
        <v>3633</v>
      </c>
      <c r="G1440" s="25" t="s">
        <v>3634</v>
      </c>
      <c r="H1440" t="s">
        <v>26</v>
      </c>
      <c r="I1440" t="s">
        <v>26</v>
      </c>
      <c r="J1440" t="s">
        <v>26</v>
      </c>
      <c r="K1440" t="s">
        <v>26</v>
      </c>
      <c r="L1440" s="25" t="s">
        <v>68</v>
      </c>
      <c r="M1440" t="s">
        <v>26</v>
      </c>
      <c r="N1440" t="s">
        <v>26</v>
      </c>
      <c r="O1440" t="s">
        <v>26</v>
      </c>
      <c r="P1440" t="s">
        <v>26</v>
      </c>
      <c r="Q1440" t="s">
        <v>26</v>
      </c>
      <c r="R1440" t="s">
        <v>26</v>
      </c>
      <c r="S1440" t="s">
        <v>26</v>
      </c>
      <c r="T1440" t="s">
        <v>26</v>
      </c>
      <c r="U1440" t="s">
        <v>26</v>
      </c>
      <c r="V1440" t="s">
        <v>26</v>
      </c>
      <c r="W1440" s="24">
        <v>26207</v>
      </c>
      <c r="X1440" s="25" t="s">
        <v>77</v>
      </c>
      <c r="Y1440" s="25" t="s">
        <v>3635</v>
      </c>
      <c r="Z1440" s="24">
        <v>26207</v>
      </c>
      <c r="AA1440" s="25" t="s">
        <v>77</v>
      </c>
      <c r="AB1440" s="25" t="s">
        <v>3635</v>
      </c>
      <c r="AC1440" s="24">
        <v>26207</v>
      </c>
      <c r="AD1440" s="25" t="s">
        <v>77</v>
      </c>
      <c r="AE1440" s="25" t="s">
        <v>3635</v>
      </c>
      <c r="AF1440" t="s">
        <v>26</v>
      </c>
      <c r="AG1440" t="s">
        <v>26</v>
      </c>
      <c r="AH1440" t="s">
        <v>26</v>
      </c>
      <c r="AI1440" t="s">
        <v>26</v>
      </c>
      <c r="AJ1440" t="s">
        <v>26</v>
      </c>
      <c r="AK1440" t="s">
        <v>26</v>
      </c>
      <c r="AL1440" t="s">
        <v>26</v>
      </c>
      <c r="AM1440" t="s">
        <v>26</v>
      </c>
      <c r="AN1440" t="s">
        <v>26</v>
      </c>
      <c r="AO1440" s="25" t="s">
        <v>68</v>
      </c>
      <c r="AP1440" s="23" t="s">
        <v>69</v>
      </c>
      <c r="AQ1440" s="23" t="s">
        <v>30</v>
      </c>
      <c r="AR1440" s="23" t="s">
        <v>46</v>
      </c>
      <c r="AS1440" s="25">
        <v>41284</v>
      </c>
      <c r="AT1440" t="s">
        <v>26</v>
      </c>
      <c r="AU1440" t="s">
        <v>24130</v>
      </c>
    </row>
    <row r="1441" spans="1:47" ht="26.25" x14ac:dyDescent="0.4">
      <c r="A1441" s="23" t="s">
        <v>3636</v>
      </c>
      <c r="B1441" t="s">
        <v>26</v>
      </c>
      <c r="C1441" s="23" t="s">
        <v>3637</v>
      </c>
      <c r="D1441" s="23" t="s">
        <v>24131</v>
      </c>
      <c r="E1441" s="23" t="s">
        <v>42</v>
      </c>
      <c r="F1441" s="25" t="s">
        <v>3638</v>
      </c>
      <c r="G1441" s="25" t="s">
        <v>3639</v>
      </c>
      <c r="H1441" t="s">
        <v>26</v>
      </c>
      <c r="I1441" s="24">
        <v>35886</v>
      </c>
      <c r="J1441" s="25" t="s">
        <v>77</v>
      </c>
      <c r="K1441" t="s">
        <v>26</v>
      </c>
      <c r="L1441" s="25" t="s">
        <v>68</v>
      </c>
      <c r="M1441" s="24">
        <v>35886</v>
      </c>
      <c r="N1441" s="25" t="s">
        <v>77</v>
      </c>
      <c r="O1441" t="s">
        <v>26</v>
      </c>
      <c r="P1441" s="24">
        <v>35886</v>
      </c>
      <c r="Q1441" s="25" t="s">
        <v>77</v>
      </c>
      <c r="R1441" t="s">
        <v>26</v>
      </c>
      <c r="S1441" t="s">
        <v>26</v>
      </c>
      <c r="T1441" t="s">
        <v>26</v>
      </c>
      <c r="U1441" t="s">
        <v>26</v>
      </c>
      <c r="V1441" t="s">
        <v>26</v>
      </c>
      <c r="W1441" s="24">
        <v>35886</v>
      </c>
      <c r="X1441" s="25" t="s">
        <v>77</v>
      </c>
      <c r="Y1441" t="s">
        <v>26</v>
      </c>
      <c r="Z1441" s="24">
        <v>35886</v>
      </c>
      <c r="AA1441" s="25" t="s">
        <v>77</v>
      </c>
      <c r="AB1441" t="s">
        <v>26</v>
      </c>
      <c r="AC1441" s="24">
        <v>38899</v>
      </c>
      <c r="AD1441" s="25" t="s">
        <v>77</v>
      </c>
      <c r="AE1441" t="s">
        <v>26</v>
      </c>
      <c r="AF1441" t="s">
        <v>26</v>
      </c>
      <c r="AG1441" t="s">
        <v>26</v>
      </c>
      <c r="AH1441" t="s">
        <v>26</v>
      </c>
      <c r="AI1441" t="s">
        <v>26</v>
      </c>
      <c r="AJ1441" t="s">
        <v>26</v>
      </c>
      <c r="AK1441" t="s">
        <v>26</v>
      </c>
      <c r="AL1441" t="s">
        <v>26</v>
      </c>
      <c r="AM1441" t="s">
        <v>26</v>
      </c>
      <c r="AN1441" t="s">
        <v>26</v>
      </c>
      <c r="AO1441" s="25" t="s">
        <v>68</v>
      </c>
      <c r="AP1441" s="23" t="s">
        <v>69</v>
      </c>
      <c r="AQ1441" s="23" t="s">
        <v>30</v>
      </c>
      <c r="AR1441" s="23" t="s">
        <v>3640</v>
      </c>
      <c r="AS1441" s="25">
        <v>35933</v>
      </c>
      <c r="AT1441" t="s">
        <v>26</v>
      </c>
      <c r="AU1441" t="s">
        <v>24132</v>
      </c>
    </row>
    <row r="1442" spans="1:47" ht="26.25" x14ac:dyDescent="0.4">
      <c r="A1442" s="23" t="s">
        <v>3641</v>
      </c>
      <c r="B1442" t="s">
        <v>26</v>
      </c>
      <c r="C1442" s="23" t="s">
        <v>3642</v>
      </c>
      <c r="D1442" s="23" t="s">
        <v>24133</v>
      </c>
      <c r="E1442" s="23" t="s">
        <v>42</v>
      </c>
      <c r="F1442" t="s">
        <v>26</v>
      </c>
      <c r="G1442" s="25" t="s">
        <v>3643</v>
      </c>
      <c r="H1442" t="s">
        <v>26</v>
      </c>
      <c r="I1442" s="24">
        <v>40179</v>
      </c>
      <c r="J1442" s="25" t="s">
        <v>77</v>
      </c>
      <c r="K1442" t="s">
        <v>26</v>
      </c>
      <c r="L1442" s="25" t="s">
        <v>68</v>
      </c>
      <c r="M1442" t="s">
        <v>26</v>
      </c>
      <c r="N1442" t="s">
        <v>26</v>
      </c>
      <c r="O1442" t="s">
        <v>26</v>
      </c>
      <c r="P1442" s="24">
        <v>40179</v>
      </c>
      <c r="Q1442" s="25" t="s">
        <v>77</v>
      </c>
      <c r="R1442" t="s">
        <v>26</v>
      </c>
      <c r="S1442" t="s">
        <v>26</v>
      </c>
      <c r="T1442" t="s">
        <v>26</v>
      </c>
      <c r="U1442" t="s">
        <v>26</v>
      </c>
      <c r="V1442" t="s">
        <v>26</v>
      </c>
      <c r="W1442" s="24">
        <v>40179</v>
      </c>
      <c r="X1442" s="25" t="s">
        <v>77</v>
      </c>
      <c r="Y1442" t="s">
        <v>26</v>
      </c>
      <c r="Z1442" s="24">
        <v>40179</v>
      </c>
      <c r="AA1442" s="25" t="s">
        <v>77</v>
      </c>
      <c r="AB1442" t="s">
        <v>26</v>
      </c>
      <c r="AC1442" s="24">
        <v>40179</v>
      </c>
      <c r="AD1442" s="25" t="s">
        <v>77</v>
      </c>
      <c r="AE1442" t="s">
        <v>26</v>
      </c>
      <c r="AF1442" t="s">
        <v>26</v>
      </c>
      <c r="AG1442" t="s">
        <v>26</v>
      </c>
      <c r="AH1442" t="s">
        <v>26</v>
      </c>
      <c r="AI1442" t="s">
        <v>26</v>
      </c>
      <c r="AJ1442" t="s">
        <v>26</v>
      </c>
      <c r="AK1442" t="s">
        <v>26</v>
      </c>
      <c r="AL1442" t="s">
        <v>26</v>
      </c>
      <c r="AM1442" t="s">
        <v>26</v>
      </c>
      <c r="AN1442" t="s">
        <v>26</v>
      </c>
      <c r="AO1442" s="25" t="s">
        <v>68</v>
      </c>
      <c r="AP1442" s="23" t="s">
        <v>69</v>
      </c>
      <c r="AQ1442" s="23" t="s">
        <v>30</v>
      </c>
      <c r="AR1442" s="23" t="s">
        <v>1464</v>
      </c>
      <c r="AS1442" s="25">
        <v>5042542</v>
      </c>
      <c r="AT1442" t="s">
        <v>26</v>
      </c>
      <c r="AU1442" t="s">
        <v>24134</v>
      </c>
    </row>
    <row r="1443" spans="1:47" ht="26.25" x14ac:dyDescent="0.4">
      <c r="A1443" s="23" t="s">
        <v>3644</v>
      </c>
      <c r="B1443" t="s">
        <v>26</v>
      </c>
      <c r="C1443" s="23" t="s">
        <v>80</v>
      </c>
      <c r="D1443" s="23" t="s">
        <v>22190</v>
      </c>
      <c r="E1443" s="23" t="s">
        <v>60</v>
      </c>
      <c r="F1443" s="25" t="s">
        <v>3645</v>
      </c>
      <c r="G1443" t="s">
        <v>26</v>
      </c>
      <c r="H1443" t="s">
        <v>26</v>
      </c>
      <c r="I1443" t="s">
        <v>26</v>
      </c>
      <c r="J1443" t="s">
        <v>26</v>
      </c>
      <c r="K1443" t="s">
        <v>26</v>
      </c>
      <c r="L1443" s="25" t="s">
        <v>68</v>
      </c>
      <c r="M1443" t="s">
        <v>26</v>
      </c>
      <c r="N1443" t="s">
        <v>26</v>
      </c>
      <c r="O1443" t="s">
        <v>26</v>
      </c>
      <c r="P1443" t="s">
        <v>26</v>
      </c>
      <c r="Q1443" t="s">
        <v>26</v>
      </c>
      <c r="R1443" t="s">
        <v>26</v>
      </c>
      <c r="S1443" t="s">
        <v>26</v>
      </c>
      <c r="T1443" t="s">
        <v>26</v>
      </c>
      <c r="U1443" t="s">
        <v>26</v>
      </c>
      <c r="V1443" t="s">
        <v>26</v>
      </c>
      <c r="W1443" s="24">
        <v>43374</v>
      </c>
      <c r="X1443" s="24">
        <v>43831</v>
      </c>
      <c r="Y1443" t="s">
        <v>26</v>
      </c>
      <c r="Z1443" s="24">
        <v>43374</v>
      </c>
      <c r="AA1443" s="24">
        <v>43831</v>
      </c>
      <c r="AB1443" t="s">
        <v>26</v>
      </c>
      <c r="AC1443" s="24">
        <v>43374</v>
      </c>
      <c r="AD1443" s="24">
        <v>43831</v>
      </c>
      <c r="AE1443" t="s">
        <v>26</v>
      </c>
      <c r="AF1443" t="s">
        <v>26</v>
      </c>
      <c r="AG1443" t="s">
        <v>26</v>
      </c>
      <c r="AH1443" t="s">
        <v>26</v>
      </c>
      <c r="AI1443" t="s">
        <v>26</v>
      </c>
      <c r="AJ1443" t="s">
        <v>26</v>
      </c>
      <c r="AK1443" t="s">
        <v>26</v>
      </c>
      <c r="AL1443" t="s">
        <v>26</v>
      </c>
      <c r="AM1443" t="s">
        <v>26</v>
      </c>
      <c r="AN1443" t="s">
        <v>26</v>
      </c>
      <c r="AO1443" s="25" t="s">
        <v>68</v>
      </c>
      <c r="AP1443" s="23" t="s">
        <v>69</v>
      </c>
      <c r="AQ1443" s="23" t="s">
        <v>30</v>
      </c>
      <c r="AR1443" s="23" t="s">
        <v>3451</v>
      </c>
      <c r="AS1443" s="25">
        <v>52909</v>
      </c>
      <c r="AT1443" t="s">
        <v>26</v>
      </c>
      <c r="AU1443" t="s">
        <v>24135</v>
      </c>
    </row>
    <row r="1444" spans="1:47" ht="26.25" x14ac:dyDescent="0.4">
      <c r="A1444" s="23" t="s">
        <v>3644</v>
      </c>
      <c r="B1444" t="s">
        <v>26</v>
      </c>
      <c r="C1444" s="23" t="s">
        <v>80</v>
      </c>
      <c r="D1444" s="23" t="s">
        <v>24008</v>
      </c>
      <c r="E1444" s="23" t="s">
        <v>60</v>
      </c>
      <c r="F1444" s="25" t="s">
        <v>3645</v>
      </c>
      <c r="G1444" t="s">
        <v>26</v>
      </c>
      <c r="H1444" t="s">
        <v>26</v>
      </c>
      <c r="I1444" t="s">
        <v>26</v>
      </c>
      <c r="J1444" t="s">
        <v>26</v>
      </c>
      <c r="K1444" t="s">
        <v>26</v>
      </c>
      <c r="L1444" s="25" t="s">
        <v>68</v>
      </c>
      <c r="M1444" t="s">
        <v>26</v>
      </c>
      <c r="N1444" t="s">
        <v>26</v>
      </c>
      <c r="O1444" t="s">
        <v>26</v>
      </c>
      <c r="P1444" t="s">
        <v>26</v>
      </c>
      <c r="Q1444" t="s">
        <v>26</v>
      </c>
      <c r="R1444" t="s">
        <v>26</v>
      </c>
      <c r="S1444" t="s">
        <v>26</v>
      </c>
      <c r="T1444" t="s">
        <v>26</v>
      </c>
      <c r="U1444" t="s">
        <v>26</v>
      </c>
      <c r="V1444" t="s">
        <v>26</v>
      </c>
      <c r="W1444" s="24">
        <v>42461</v>
      </c>
      <c r="X1444" s="25" t="s">
        <v>77</v>
      </c>
      <c r="Y1444" t="s">
        <v>26</v>
      </c>
      <c r="Z1444" s="24">
        <v>42461</v>
      </c>
      <c r="AA1444" s="25" t="s">
        <v>77</v>
      </c>
      <c r="AB1444" t="s">
        <v>26</v>
      </c>
      <c r="AC1444" s="24">
        <v>42461</v>
      </c>
      <c r="AD1444" s="25" t="s">
        <v>77</v>
      </c>
      <c r="AE1444" t="s">
        <v>26</v>
      </c>
      <c r="AF1444" t="s">
        <v>26</v>
      </c>
      <c r="AG1444" t="s">
        <v>26</v>
      </c>
      <c r="AH1444" t="s">
        <v>26</v>
      </c>
      <c r="AI1444" t="s">
        <v>26</v>
      </c>
      <c r="AJ1444" t="s">
        <v>26</v>
      </c>
      <c r="AK1444" t="s">
        <v>26</v>
      </c>
      <c r="AL1444" t="s">
        <v>26</v>
      </c>
      <c r="AM1444" t="s">
        <v>26</v>
      </c>
      <c r="AN1444" t="s">
        <v>26</v>
      </c>
      <c r="AO1444" s="25" t="s">
        <v>68</v>
      </c>
      <c r="AP1444" s="23" t="s">
        <v>69</v>
      </c>
      <c r="AQ1444" s="23" t="s">
        <v>30</v>
      </c>
      <c r="AR1444" s="23" t="s">
        <v>3451</v>
      </c>
      <c r="AS1444" s="25">
        <v>2033190</v>
      </c>
      <c r="AT1444" t="s">
        <v>26</v>
      </c>
      <c r="AU1444" t="s">
        <v>24136</v>
      </c>
    </row>
    <row r="1445" spans="1:47" ht="26.25" x14ac:dyDescent="0.4">
      <c r="A1445" s="23" t="s">
        <v>3646</v>
      </c>
      <c r="B1445" t="s">
        <v>26</v>
      </c>
      <c r="C1445" s="23" t="s">
        <v>320</v>
      </c>
      <c r="D1445" s="23" t="s">
        <v>22294</v>
      </c>
      <c r="E1445" s="23" t="s">
        <v>42</v>
      </c>
      <c r="F1445" s="25" t="s">
        <v>3647</v>
      </c>
      <c r="G1445" s="25" t="s">
        <v>3648</v>
      </c>
      <c r="H1445" t="s">
        <v>26</v>
      </c>
      <c r="I1445" t="s">
        <v>26</v>
      </c>
      <c r="J1445" t="s">
        <v>26</v>
      </c>
      <c r="K1445" t="s">
        <v>26</v>
      </c>
      <c r="L1445" s="25" t="s">
        <v>68</v>
      </c>
      <c r="M1445" t="s">
        <v>26</v>
      </c>
      <c r="N1445" t="s">
        <v>26</v>
      </c>
      <c r="O1445" t="s">
        <v>26</v>
      </c>
      <c r="P1445" t="s">
        <v>26</v>
      </c>
      <c r="Q1445" t="s">
        <v>26</v>
      </c>
      <c r="R1445" t="s">
        <v>26</v>
      </c>
      <c r="S1445" t="s">
        <v>26</v>
      </c>
      <c r="T1445" t="s">
        <v>26</v>
      </c>
      <c r="U1445" t="s">
        <v>26</v>
      </c>
      <c r="V1445" t="s">
        <v>26</v>
      </c>
      <c r="W1445" s="24">
        <v>32509</v>
      </c>
      <c r="X1445" s="25" t="s">
        <v>77</v>
      </c>
      <c r="Y1445" s="25" t="s">
        <v>3649</v>
      </c>
      <c r="Z1445" s="24">
        <v>32509</v>
      </c>
      <c r="AA1445" s="25" t="s">
        <v>77</v>
      </c>
      <c r="AB1445" s="25" t="s">
        <v>3649</v>
      </c>
      <c r="AC1445" s="24">
        <v>32509</v>
      </c>
      <c r="AD1445" s="25" t="s">
        <v>77</v>
      </c>
      <c r="AE1445" s="25" t="s">
        <v>3649</v>
      </c>
      <c r="AF1445" t="s">
        <v>26</v>
      </c>
      <c r="AG1445" t="s">
        <v>26</v>
      </c>
      <c r="AH1445" t="s">
        <v>26</v>
      </c>
      <c r="AI1445" t="s">
        <v>26</v>
      </c>
      <c r="AJ1445" t="s">
        <v>26</v>
      </c>
      <c r="AK1445" t="s">
        <v>26</v>
      </c>
      <c r="AL1445" t="s">
        <v>26</v>
      </c>
      <c r="AM1445" t="s">
        <v>26</v>
      </c>
      <c r="AN1445" t="s">
        <v>26</v>
      </c>
      <c r="AO1445" s="25" t="s">
        <v>68</v>
      </c>
      <c r="AP1445" s="23" t="s">
        <v>69</v>
      </c>
      <c r="AQ1445" s="23" t="s">
        <v>30</v>
      </c>
      <c r="AR1445" s="23" t="s">
        <v>385</v>
      </c>
      <c r="AS1445" s="25">
        <v>5203</v>
      </c>
      <c r="AT1445" t="s">
        <v>26</v>
      </c>
      <c r="AU1445" t="s">
        <v>24137</v>
      </c>
    </row>
    <row r="1446" spans="1:47" ht="26.25" x14ac:dyDescent="0.4">
      <c r="A1446" s="23" t="s">
        <v>3650</v>
      </c>
      <c r="B1446" t="s">
        <v>26</v>
      </c>
      <c r="C1446" s="23" t="s">
        <v>80</v>
      </c>
      <c r="D1446" s="23" t="s">
        <v>22190</v>
      </c>
      <c r="E1446" s="23" t="s">
        <v>60</v>
      </c>
      <c r="F1446" s="25" t="s">
        <v>3651</v>
      </c>
      <c r="G1446" t="s">
        <v>26</v>
      </c>
      <c r="H1446" t="s">
        <v>26</v>
      </c>
      <c r="I1446" t="s">
        <v>26</v>
      </c>
      <c r="J1446" t="s">
        <v>26</v>
      </c>
      <c r="K1446" t="s">
        <v>26</v>
      </c>
      <c r="L1446" s="25" t="s">
        <v>68</v>
      </c>
      <c r="M1446" t="s">
        <v>26</v>
      </c>
      <c r="N1446" t="s">
        <v>26</v>
      </c>
      <c r="O1446" t="s">
        <v>26</v>
      </c>
      <c r="P1446" t="s">
        <v>26</v>
      </c>
      <c r="Q1446" t="s">
        <v>26</v>
      </c>
      <c r="R1446" t="s">
        <v>26</v>
      </c>
      <c r="S1446" t="s">
        <v>26</v>
      </c>
      <c r="T1446" t="s">
        <v>26</v>
      </c>
      <c r="U1446" t="s">
        <v>26</v>
      </c>
      <c r="V1446" t="s">
        <v>26</v>
      </c>
      <c r="W1446" s="24">
        <v>42736</v>
      </c>
      <c r="X1446" s="25" t="s">
        <v>77</v>
      </c>
      <c r="Y1446" t="s">
        <v>26</v>
      </c>
      <c r="Z1446" s="24">
        <v>42736</v>
      </c>
      <c r="AA1446" s="25" t="s">
        <v>77</v>
      </c>
      <c r="AB1446" t="s">
        <v>26</v>
      </c>
      <c r="AC1446" s="24">
        <v>42736</v>
      </c>
      <c r="AD1446" s="25" t="s">
        <v>77</v>
      </c>
      <c r="AE1446" t="s">
        <v>26</v>
      </c>
      <c r="AF1446" t="s">
        <v>26</v>
      </c>
      <c r="AG1446" t="s">
        <v>26</v>
      </c>
      <c r="AH1446" t="s">
        <v>26</v>
      </c>
      <c r="AI1446" t="s">
        <v>26</v>
      </c>
      <c r="AJ1446" t="s">
        <v>26</v>
      </c>
      <c r="AK1446" t="s">
        <v>26</v>
      </c>
      <c r="AL1446" t="s">
        <v>26</v>
      </c>
      <c r="AM1446" t="s">
        <v>26</v>
      </c>
      <c r="AN1446" t="s">
        <v>26</v>
      </c>
      <c r="AO1446" s="25" t="s">
        <v>68</v>
      </c>
      <c r="AP1446" s="23" t="s">
        <v>69</v>
      </c>
      <c r="AQ1446" s="23" t="s">
        <v>30</v>
      </c>
      <c r="AR1446" s="23" t="s">
        <v>3652</v>
      </c>
      <c r="AS1446" s="25">
        <v>52971</v>
      </c>
      <c r="AT1446" t="s">
        <v>26</v>
      </c>
      <c r="AU1446" t="s">
        <v>24138</v>
      </c>
    </row>
    <row r="1447" spans="1:47" ht="26.25" x14ac:dyDescent="0.4">
      <c r="A1447" s="23" t="s">
        <v>3653</v>
      </c>
      <c r="B1447" t="s">
        <v>26</v>
      </c>
      <c r="C1447" s="23" t="s">
        <v>3654</v>
      </c>
      <c r="D1447" s="23" t="s">
        <v>24139</v>
      </c>
      <c r="E1447" s="23" t="s">
        <v>42</v>
      </c>
      <c r="F1447" s="25" t="s">
        <v>3655</v>
      </c>
      <c r="G1447" s="25" t="s">
        <v>3656</v>
      </c>
      <c r="H1447" t="s">
        <v>26</v>
      </c>
      <c r="I1447" s="24">
        <v>35612</v>
      </c>
      <c r="J1447" s="25" t="s">
        <v>77</v>
      </c>
      <c r="K1447" t="s">
        <v>26</v>
      </c>
      <c r="L1447" s="25" t="s">
        <v>68</v>
      </c>
      <c r="M1447" s="24">
        <v>35612</v>
      </c>
      <c r="N1447" s="25" t="s">
        <v>77</v>
      </c>
      <c r="O1447" t="s">
        <v>26</v>
      </c>
      <c r="P1447" s="24">
        <v>35612</v>
      </c>
      <c r="Q1447" s="25" t="s">
        <v>77</v>
      </c>
      <c r="R1447" t="s">
        <v>26</v>
      </c>
      <c r="S1447" t="s">
        <v>26</v>
      </c>
      <c r="T1447" t="s">
        <v>26</v>
      </c>
      <c r="U1447" t="s">
        <v>26</v>
      </c>
      <c r="V1447" s="25">
        <v>180</v>
      </c>
      <c r="W1447" s="24">
        <v>33604</v>
      </c>
      <c r="X1447" s="25" t="s">
        <v>77</v>
      </c>
      <c r="Y1447" t="s">
        <v>26</v>
      </c>
      <c r="Z1447" s="24">
        <v>33604</v>
      </c>
      <c r="AA1447" s="25" t="s">
        <v>77</v>
      </c>
      <c r="AB1447" t="s">
        <v>26</v>
      </c>
      <c r="AC1447" s="24">
        <v>33604</v>
      </c>
      <c r="AD1447" s="25" t="s">
        <v>77</v>
      </c>
      <c r="AE1447" t="s">
        <v>26</v>
      </c>
      <c r="AF1447" t="s">
        <v>26</v>
      </c>
      <c r="AG1447" t="s">
        <v>26</v>
      </c>
      <c r="AH1447" t="s">
        <v>26</v>
      </c>
      <c r="AI1447" t="s">
        <v>26</v>
      </c>
      <c r="AJ1447" t="s">
        <v>26</v>
      </c>
      <c r="AK1447" t="s">
        <v>26</v>
      </c>
      <c r="AL1447" t="s">
        <v>26</v>
      </c>
      <c r="AM1447" t="s">
        <v>26</v>
      </c>
      <c r="AN1447" t="s">
        <v>26</v>
      </c>
      <c r="AO1447" s="25" t="s">
        <v>68</v>
      </c>
      <c r="AP1447" s="23" t="s">
        <v>69</v>
      </c>
      <c r="AQ1447" s="23" t="s">
        <v>30</v>
      </c>
      <c r="AR1447" s="23" t="s">
        <v>3657</v>
      </c>
      <c r="AS1447" s="25">
        <v>47878</v>
      </c>
      <c r="AT1447" t="s">
        <v>26</v>
      </c>
      <c r="AU1447" t="s">
        <v>24140</v>
      </c>
    </row>
    <row r="1448" spans="1:47" ht="39.4" x14ac:dyDescent="0.4">
      <c r="A1448" s="23" t="s">
        <v>3658</v>
      </c>
      <c r="B1448" t="s">
        <v>26</v>
      </c>
      <c r="C1448" s="23" t="s">
        <v>73</v>
      </c>
      <c r="D1448" s="23" t="s">
        <v>22179</v>
      </c>
      <c r="E1448" s="23" t="s">
        <v>74</v>
      </c>
      <c r="F1448" s="25" t="s">
        <v>3659</v>
      </c>
      <c r="G1448" s="25" t="s">
        <v>3660</v>
      </c>
      <c r="H1448" t="s">
        <v>26</v>
      </c>
      <c r="I1448" s="24">
        <v>35462</v>
      </c>
      <c r="J1448" s="25" t="s">
        <v>77</v>
      </c>
      <c r="K1448" t="s">
        <v>26</v>
      </c>
      <c r="L1448" s="25" t="s">
        <v>68</v>
      </c>
      <c r="M1448" s="24">
        <v>38139</v>
      </c>
      <c r="N1448" s="24">
        <v>42856</v>
      </c>
      <c r="O1448" t="s">
        <v>26</v>
      </c>
      <c r="P1448" s="24">
        <v>35462</v>
      </c>
      <c r="Q1448" s="25" t="s">
        <v>77</v>
      </c>
      <c r="R1448" t="s">
        <v>26</v>
      </c>
      <c r="S1448" t="s">
        <v>26</v>
      </c>
      <c r="T1448" t="s">
        <v>26</v>
      </c>
      <c r="U1448" t="s">
        <v>26</v>
      </c>
      <c r="V1448" s="25">
        <v>365</v>
      </c>
      <c r="W1448" s="24">
        <v>35462</v>
      </c>
      <c r="X1448" s="25" t="s">
        <v>77</v>
      </c>
      <c r="Y1448" t="s">
        <v>26</v>
      </c>
      <c r="Z1448" s="24">
        <v>35462</v>
      </c>
      <c r="AA1448" s="25" t="s">
        <v>77</v>
      </c>
      <c r="AB1448" t="s">
        <v>26</v>
      </c>
      <c r="AC1448" s="24">
        <v>35462</v>
      </c>
      <c r="AD1448" s="25" t="s">
        <v>77</v>
      </c>
      <c r="AE1448" t="s">
        <v>26</v>
      </c>
      <c r="AF1448" t="s">
        <v>26</v>
      </c>
      <c r="AG1448" t="s">
        <v>26</v>
      </c>
      <c r="AH1448" t="s">
        <v>26</v>
      </c>
      <c r="AI1448" t="s">
        <v>26</v>
      </c>
      <c r="AJ1448" t="s">
        <v>26</v>
      </c>
      <c r="AK1448" t="s">
        <v>26</v>
      </c>
      <c r="AL1448" t="s">
        <v>26</v>
      </c>
      <c r="AM1448" t="s">
        <v>26</v>
      </c>
      <c r="AN1448" t="s">
        <v>26</v>
      </c>
      <c r="AO1448" s="25" t="s">
        <v>68</v>
      </c>
      <c r="AP1448" s="23" t="s">
        <v>69</v>
      </c>
      <c r="AQ1448" s="23" t="s">
        <v>30</v>
      </c>
      <c r="AR1448" s="23" t="s">
        <v>3661</v>
      </c>
      <c r="AS1448" s="25">
        <v>48401</v>
      </c>
      <c r="AT1448" t="s">
        <v>26</v>
      </c>
      <c r="AU1448" t="s">
        <v>24141</v>
      </c>
    </row>
    <row r="1449" spans="1:47" ht="26.25" x14ac:dyDescent="0.4">
      <c r="A1449" s="23" t="s">
        <v>3662</v>
      </c>
      <c r="B1449" t="s">
        <v>26</v>
      </c>
      <c r="C1449" s="23" t="s">
        <v>176</v>
      </c>
      <c r="D1449" s="23" t="s">
        <v>22242</v>
      </c>
      <c r="E1449" s="23" t="s">
        <v>60</v>
      </c>
      <c r="F1449" s="25" t="s">
        <v>3663</v>
      </c>
      <c r="G1449" s="25" t="s">
        <v>3664</v>
      </c>
      <c r="H1449" t="s">
        <v>26</v>
      </c>
      <c r="I1449" t="s">
        <v>26</v>
      </c>
      <c r="J1449" t="s">
        <v>26</v>
      </c>
      <c r="K1449" t="s">
        <v>26</v>
      </c>
      <c r="L1449" s="25" t="s">
        <v>68</v>
      </c>
      <c r="M1449" t="s">
        <v>26</v>
      </c>
      <c r="N1449" t="s">
        <v>26</v>
      </c>
      <c r="O1449" t="s">
        <v>26</v>
      </c>
      <c r="P1449" t="s">
        <v>26</v>
      </c>
      <c r="Q1449" t="s">
        <v>26</v>
      </c>
      <c r="R1449" t="s">
        <v>26</v>
      </c>
      <c r="S1449" t="s">
        <v>26</v>
      </c>
      <c r="T1449" t="s">
        <v>26</v>
      </c>
      <c r="U1449" t="s">
        <v>26</v>
      </c>
      <c r="V1449" t="s">
        <v>26</v>
      </c>
      <c r="W1449" s="24">
        <v>42795</v>
      </c>
      <c r="X1449" s="24">
        <v>45078</v>
      </c>
      <c r="Y1449" t="s">
        <v>26</v>
      </c>
      <c r="Z1449" s="24">
        <v>42795</v>
      </c>
      <c r="AA1449" s="24">
        <v>45078</v>
      </c>
      <c r="AB1449" t="s">
        <v>26</v>
      </c>
      <c r="AC1449" s="24">
        <v>42795</v>
      </c>
      <c r="AD1449" s="24">
        <v>45078</v>
      </c>
      <c r="AE1449" t="s">
        <v>26</v>
      </c>
      <c r="AF1449" t="s">
        <v>26</v>
      </c>
      <c r="AG1449" t="s">
        <v>26</v>
      </c>
      <c r="AH1449" t="s">
        <v>26</v>
      </c>
      <c r="AI1449" t="s">
        <v>26</v>
      </c>
      <c r="AJ1449" t="s">
        <v>26</v>
      </c>
      <c r="AK1449" t="s">
        <v>26</v>
      </c>
      <c r="AL1449" t="s">
        <v>26</v>
      </c>
      <c r="AM1449" t="s">
        <v>26</v>
      </c>
      <c r="AN1449" t="s">
        <v>26</v>
      </c>
      <c r="AO1449" s="25" t="s">
        <v>68</v>
      </c>
      <c r="AP1449" s="23" t="s">
        <v>69</v>
      </c>
      <c r="AQ1449" s="23" t="s">
        <v>30</v>
      </c>
      <c r="AR1449" s="23" t="s">
        <v>71</v>
      </c>
      <c r="AS1449" s="25">
        <v>2049250</v>
      </c>
      <c r="AT1449" t="s">
        <v>26</v>
      </c>
      <c r="AU1449" t="s">
        <v>24142</v>
      </c>
    </row>
    <row r="1450" spans="1:47" ht="26.25" x14ac:dyDescent="0.4">
      <c r="A1450" s="23" t="s">
        <v>3665</v>
      </c>
      <c r="B1450" t="s">
        <v>26</v>
      </c>
      <c r="C1450" s="23" t="s">
        <v>1691</v>
      </c>
      <c r="D1450" s="23" t="s">
        <v>22599</v>
      </c>
      <c r="E1450" s="23" t="s">
        <v>42</v>
      </c>
      <c r="F1450" s="25" t="s">
        <v>3666</v>
      </c>
      <c r="G1450" s="25" t="s">
        <v>3667</v>
      </c>
      <c r="H1450" t="s">
        <v>26</v>
      </c>
      <c r="I1450" s="24">
        <v>36220</v>
      </c>
      <c r="J1450" s="24">
        <v>38534</v>
      </c>
      <c r="K1450" t="s">
        <v>26</v>
      </c>
      <c r="L1450" s="25" t="s">
        <v>68</v>
      </c>
      <c r="M1450" t="s">
        <v>26</v>
      </c>
      <c r="N1450" t="s">
        <v>26</v>
      </c>
      <c r="O1450" t="s">
        <v>26</v>
      </c>
      <c r="P1450" s="24">
        <v>36220</v>
      </c>
      <c r="Q1450" s="24">
        <v>38534</v>
      </c>
      <c r="R1450" t="s">
        <v>26</v>
      </c>
      <c r="S1450" t="s">
        <v>26</v>
      </c>
      <c r="T1450" t="s">
        <v>26</v>
      </c>
      <c r="U1450" t="s">
        <v>26</v>
      </c>
      <c r="V1450" t="s">
        <v>26</v>
      </c>
      <c r="W1450" s="24">
        <v>36220</v>
      </c>
      <c r="X1450" s="25" t="s">
        <v>77</v>
      </c>
      <c r="Y1450" t="s">
        <v>26</v>
      </c>
      <c r="Z1450" s="24">
        <v>36220</v>
      </c>
      <c r="AA1450" s="25" t="s">
        <v>77</v>
      </c>
      <c r="AB1450" t="s">
        <v>26</v>
      </c>
      <c r="AC1450" s="24">
        <v>36220</v>
      </c>
      <c r="AD1450" s="25" t="s">
        <v>77</v>
      </c>
      <c r="AE1450" t="s">
        <v>26</v>
      </c>
      <c r="AF1450" t="s">
        <v>26</v>
      </c>
      <c r="AG1450" t="s">
        <v>26</v>
      </c>
      <c r="AH1450" t="s">
        <v>26</v>
      </c>
      <c r="AI1450" t="s">
        <v>26</v>
      </c>
      <c r="AJ1450" t="s">
        <v>26</v>
      </c>
      <c r="AK1450" t="s">
        <v>26</v>
      </c>
      <c r="AL1450" t="s">
        <v>26</v>
      </c>
      <c r="AM1450" t="s">
        <v>26</v>
      </c>
      <c r="AN1450" t="s">
        <v>26</v>
      </c>
      <c r="AO1450" s="25" t="s">
        <v>68</v>
      </c>
      <c r="AP1450" s="23" t="s">
        <v>69</v>
      </c>
      <c r="AQ1450" s="23" t="s">
        <v>30</v>
      </c>
      <c r="AR1450" s="23" t="s">
        <v>46</v>
      </c>
      <c r="AS1450" s="25">
        <v>36333</v>
      </c>
      <c r="AT1450" t="s">
        <v>26</v>
      </c>
      <c r="AU1450" t="s">
        <v>24143</v>
      </c>
    </row>
    <row r="1451" spans="1:47" ht="26.25" x14ac:dyDescent="0.4">
      <c r="A1451" s="23" t="s">
        <v>3668</v>
      </c>
      <c r="B1451" t="s">
        <v>26</v>
      </c>
      <c r="C1451" s="23" t="s">
        <v>73</v>
      </c>
      <c r="D1451" s="23" t="s">
        <v>22179</v>
      </c>
      <c r="E1451" s="23" t="s">
        <v>74</v>
      </c>
      <c r="F1451" s="25" t="s">
        <v>3669</v>
      </c>
      <c r="G1451" s="25" t="s">
        <v>3670</v>
      </c>
      <c r="H1451" t="s">
        <v>26</v>
      </c>
      <c r="I1451" s="24">
        <v>35490</v>
      </c>
      <c r="J1451" s="25" t="s">
        <v>77</v>
      </c>
      <c r="K1451" s="25" t="s">
        <v>587</v>
      </c>
      <c r="L1451" s="25" t="s">
        <v>68</v>
      </c>
      <c r="M1451" s="24">
        <v>38047</v>
      </c>
      <c r="N1451" s="24">
        <v>42795</v>
      </c>
      <c r="O1451" t="s">
        <v>26</v>
      </c>
      <c r="P1451" s="24">
        <v>35490</v>
      </c>
      <c r="Q1451" s="25" t="s">
        <v>77</v>
      </c>
      <c r="R1451" s="25" t="s">
        <v>587</v>
      </c>
      <c r="S1451" t="s">
        <v>26</v>
      </c>
      <c r="T1451" t="s">
        <v>26</v>
      </c>
      <c r="U1451" t="s">
        <v>26</v>
      </c>
      <c r="V1451" s="25">
        <v>365</v>
      </c>
      <c r="W1451" s="24">
        <v>35490</v>
      </c>
      <c r="X1451" s="25" t="s">
        <v>77</v>
      </c>
      <c r="Y1451" s="25" t="s">
        <v>587</v>
      </c>
      <c r="Z1451" s="24">
        <v>35490</v>
      </c>
      <c r="AA1451" s="25" t="s">
        <v>77</v>
      </c>
      <c r="AB1451" s="25" t="s">
        <v>587</v>
      </c>
      <c r="AC1451" s="24">
        <v>35490</v>
      </c>
      <c r="AD1451" s="25" t="s">
        <v>77</v>
      </c>
      <c r="AE1451" s="25" t="s">
        <v>587</v>
      </c>
      <c r="AF1451" t="s">
        <v>26</v>
      </c>
      <c r="AG1451" t="s">
        <v>26</v>
      </c>
      <c r="AH1451" t="s">
        <v>26</v>
      </c>
      <c r="AI1451" t="s">
        <v>26</v>
      </c>
      <c r="AJ1451" t="s">
        <v>26</v>
      </c>
      <c r="AK1451" t="s">
        <v>26</v>
      </c>
      <c r="AL1451" t="s">
        <v>26</v>
      </c>
      <c r="AM1451" t="s">
        <v>26</v>
      </c>
      <c r="AN1451" t="s">
        <v>26</v>
      </c>
      <c r="AO1451" s="25" t="s">
        <v>68</v>
      </c>
      <c r="AP1451" s="23" t="s">
        <v>69</v>
      </c>
      <c r="AQ1451" s="23" t="s">
        <v>30</v>
      </c>
      <c r="AR1451" s="23" t="s">
        <v>123</v>
      </c>
      <c r="AS1451" s="25">
        <v>54114</v>
      </c>
      <c r="AT1451" t="s">
        <v>26</v>
      </c>
      <c r="AU1451" t="s">
        <v>24144</v>
      </c>
    </row>
    <row r="1452" spans="1:47" ht="26.25" x14ac:dyDescent="0.4">
      <c r="A1452" s="23" t="s">
        <v>3671</v>
      </c>
      <c r="B1452" t="s">
        <v>26</v>
      </c>
      <c r="C1452" s="23" t="s">
        <v>80</v>
      </c>
      <c r="D1452" s="23" t="s">
        <v>22190</v>
      </c>
      <c r="E1452" s="23" t="s">
        <v>60</v>
      </c>
      <c r="F1452" s="25" t="s">
        <v>3672</v>
      </c>
      <c r="G1452" s="25" t="s">
        <v>3673</v>
      </c>
      <c r="H1452" t="s">
        <v>26</v>
      </c>
      <c r="I1452" t="s">
        <v>26</v>
      </c>
      <c r="J1452" t="s">
        <v>26</v>
      </c>
      <c r="K1452" t="s">
        <v>26</v>
      </c>
      <c r="L1452" s="25" t="s">
        <v>68</v>
      </c>
      <c r="M1452" t="s">
        <v>26</v>
      </c>
      <c r="N1452" t="s">
        <v>26</v>
      </c>
      <c r="O1452" t="s">
        <v>26</v>
      </c>
      <c r="P1452" t="s">
        <v>26</v>
      </c>
      <c r="Q1452" t="s">
        <v>26</v>
      </c>
      <c r="R1452" t="s">
        <v>26</v>
      </c>
      <c r="S1452" t="s">
        <v>26</v>
      </c>
      <c r="T1452" t="s">
        <v>26</v>
      </c>
      <c r="U1452" t="s">
        <v>26</v>
      </c>
      <c r="V1452" t="s">
        <v>26</v>
      </c>
      <c r="W1452" s="24">
        <v>37987</v>
      </c>
      <c r="X1452" s="25" t="s">
        <v>77</v>
      </c>
      <c r="Y1452" t="s">
        <v>26</v>
      </c>
      <c r="Z1452" s="24">
        <v>37987</v>
      </c>
      <c r="AA1452" s="25" t="s">
        <v>77</v>
      </c>
      <c r="AB1452" t="s">
        <v>26</v>
      </c>
      <c r="AC1452" s="24">
        <v>37987</v>
      </c>
      <c r="AD1452" s="25" t="s">
        <v>77</v>
      </c>
      <c r="AE1452" t="s">
        <v>26</v>
      </c>
      <c r="AF1452" t="s">
        <v>26</v>
      </c>
      <c r="AG1452" t="s">
        <v>26</v>
      </c>
      <c r="AH1452" t="s">
        <v>26</v>
      </c>
      <c r="AI1452" t="s">
        <v>26</v>
      </c>
      <c r="AJ1452" t="s">
        <v>26</v>
      </c>
      <c r="AK1452" t="s">
        <v>26</v>
      </c>
      <c r="AL1452" t="s">
        <v>26</v>
      </c>
      <c r="AM1452" t="s">
        <v>26</v>
      </c>
      <c r="AN1452" t="s">
        <v>26</v>
      </c>
      <c r="AO1452" s="25" t="s">
        <v>68</v>
      </c>
      <c r="AP1452" s="23" t="s">
        <v>69</v>
      </c>
      <c r="AQ1452" s="23" t="s">
        <v>30</v>
      </c>
      <c r="AR1452" s="23" t="s">
        <v>3674</v>
      </c>
      <c r="AS1452" s="25">
        <v>44518</v>
      </c>
      <c r="AT1452" t="s">
        <v>26</v>
      </c>
      <c r="AU1452" t="s">
        <v>24145</v>
      </c>
    </row>
    <row r="1453" spans="1:47" ht="39.4" x14ac:dyDescent="0.4">
      <c r="A1453" s="23" t="s">
        <v>3675</v>
      </c>
      <c r="B1453" t="s">
        <v>26</v>
      </c>
      <c r="C1453" s="23" t="s">
        <v>73</v>
      </c>
      <c r="D1453" s="23" t="s">
        <v>22179</v>
      </c>
      <c r="E1453" s="23" t="s">
        <v>74</v>
      </c>
      <c r="F1453" s="25" t="s">
        <v>3676</v>
      </c>
      <c r="G1453" s="25" t="s">
        <v>3677</v>
      </c>
      <c r="H1453" t="s">
        <v>26</v>
      </c>
      <c r="I1453" s="24">
        <v>33695</v>
      </c>
      <c r="J1453" s="25" t="s">
        <v>77</v>
      </c>
      <c r="K1453" s="25" t="s">
        <v>3678</v>
      </c>
      <c r="L1453" s="25" t="s">
        <v>68</v>
      </c>
      <c r="M1453" s="24">
        <v>33695</v>
      </c>
      <c r="N1453" s="24">
        <v>42826</v>
      </c>
      <c r="O1453" s="25" t="s">
        <v>24146</v>
      </c>
      <c r="P1453" s="24">
        <v>35065</v>
      </c>
      <c r="Q1453" s="25" t="s">
        <v>77</v>
      </c>
      <c r="R1453" s="25" t="s">
        <v>24147</v>
      </c>
      <c r="S1453" t="s">
        <v>26</v>
      </c>
      <c r="T1453" t="s">
        <v>26</v>
      </c>
      <c r="U1453" t="s">
        <v>26</v>
      </c>
      <c r="V1453" s="25">
        <v>365</v>
      </c>
      <c r="W1453" s="24">
        <v>33420</v>
      </c>
      <c r="X1453" s="25" t="s">
        <v>77</v>
      </c>
      <c r="Y1453" t="s">
        <v>26</v>
      </c>
      <c r="Z1453" s="24">
        <v>33420</v>
      </c>
      <c r="AA1453" s="25" t="s">
        <v>77</v>
      </c>
      <c r="AB1453" t="s">
        <v>26</v>
      </c>
      <c r="AC1453" s="24">
        <v>33420</v>
      </c>
      <c r="AD1453" s="25" t="s">
        <v>77</v>
      </c>
      <c r="AE1453" t="s">
        <v>26</v>
      </c>
      <c r="AF1453" t="s">
        <v>26</v>
      </c>
      <c r="AG1453" t="s">
        <v>26</v>
      </c>
      <c r="AH1453" t="s">
        <v>26</v>
      </c>
      <c r="AI1453" t="s">
        <v>26</v>
      </c>
      <c r="AJ1453" t="s">
        <v>26</v>
      </c>
      <c r="AK1453" t="s">
        <v>26</v>
      </c>
      <c r="AL1453" t="s">
        <v>26</v>
      </c>
      <c r="AM1453" t="s">
        <v>26</v>
      </c>
      <c r="AN1453" t="s">
        <v>26</v>
      </c>
      <c r="AO1453" s="25" t="s">
        <v>68</v>
      </c>
      <c r="AP1453" s="23" t="s">
        <v>69</v>
      </c>
      <c r="AQ1453" s="23" t="s">
        <v>30</v>
      </c>
      <c r="AR1453" s="23" t="s">
        <v>3679</v>
      </c>
      <c r="AS1453" s="25">
        <v>30572</v>
      </c>
      <c r="AT1453" t="s">
        <v>26</v>
      </c>
      <c r="AU1453" t="s">
        <v>24148</v>
      </c>
    </row>
    <row r="1454" spans="1:47" ht="26.25" x14ac:dyDescent="0.4">
      <c r="A1454" s="23" t="s">
        <v>3680</v>
      </c>
      <c r="B1454" t="s">
        <v>26</v>
      </c>
      <c r="C1454" s="23" t="s">
        <v>73</v>
      </c>
      <c r="D1454" s="23" t="s">
        <v>22179</v>
      </c>
      <c r="E1454" s="23" t="s">
        <v>74</v>
      </c>
      <c r="F1454" s="25" t="s">
        <v>3681</v>
      </c>
      <c r="G1454" s="25" t="s">
        <v>3682</v>
      </c>
      <c r="H1454" t="s">
        <v>26</v>
      </c>
      <c r="I1454" s="24">
        <v>35462</v>
      </c>
      <c r="J1454" s="25" t="s">
        <v>77</v>
      </c>
      <c r="K1454" t="s">
        <v>26</v>
      </c>
      <c r="L1454" s="25" t="s">
        <v>68</v>
      </c>
      <c r="M1454" s="24">
        <v>38018</v>
      </c>
      <c r="N1454" s="24">
        <v>42887</v>
      </c>
      <c r="O1454" t="s">
        <v>26</v>
      </c>
      <c r="P1454" s="24">
        <v>35462</v>
      </c>
      <c r="Q1454" s="25" t="s">
        <v>77</v>
      </c>
      <c r="R1454" t="s">
        <v>26</v>
      </c>
      <c r="S1454" t="s">
        <v>26</v>
      </c>
      <c r="T1454" t="s">
        <v>26</v>
      </c>
      <c r="U1454" t="s">
        <v>26</v>
      </c>
      <c r="V1454" s="25">
        <v>365</v>
      </c>
      <c r="W1454" s="24">
        <v>35462</v>
      </c>
      <c r="X1454" s="25" t="s">
        <v>77</v>
      </c>
      <c r="Y1454" t="s">
        <v>26</v>
      </c>
      <c r="Z1454" s="24">
        <v>35462</v>
      </c>
      <c r="AA1454" s="25" t="s">
        <v>77</v>
      </c>
      <c r="AB1454" t="s">
        <v>26</v>
      </c>
      <c r="AC1454" s="24">
        <v>35462</v>
      </c>
      <c r="AD1454" s="25" t="s">
        <v>77</v>
      </c>
      <c r="AE1454" t="s">
        <v>26</v>
      </c>
      <c r="AF1454" t="s">
        <v>26</v>
      </c>
      <c r="AG1454" t="s">
        <v>26</v>
      </c>
      <c r="AH1454" t="s">
        <v>26</v>
      </c>
      <c r="AI1454" t="s">
        <v>26</v>
      </c>
      <c r="AJ1454" t="s">
        <v>26</v>
      </c>
      <c r="AK1454" t="s">
        <v>26</v>
      </c>
      <c r="AL1454" t="s">
        <v>26</v>
      </c>
      <c r="AM1454" t="s">
        <v>26</v>
      </c>
      <c r="AN1454" t="s">
        <v>26</v>
      </c>
      <c r="AO1454" s="25" t="s">
        <v>68</v>
      </c>
      <c r="AP1454" s="23" t="s">
        <v>69</v>
      </c>
      <c r="AQ1454" s="23" t="s">
        <v>30</v>
      </c>
      <c r="AR1454" s="23" t="s">
        <v>71</v>
      </c>
      <c r="AS1454" s="25">
        <v>37571</v>
      </c>
      <c r="AT1454" t="s">
        <v>26</v>
      </c>
      <c r="AU1454" t="s">
        <v>24149</v>
      </c>
    </row>
    <row r="1455" spans="1:47" ht="26.25" x14ac:dyDescent="0.4">
      <c r="A1455" s="23" t="s">
        <v>3683</v>
      </c>
      <c r="B1455" t="s">
        <v>26</v>
      </c>
      <c r="C1455" s="23" t="s">
        <v>3684</v>
      </c>
      <c r="D1455" s="23" t="s">
        <v>24150</v>
      </c>
      <c r="E1455" s="23" t="s">
        <v>42</v>
      </c>
      <c r="F1455" s="25" t="s">
        <v>3685</v>
      </c>
      <c r="G1455" t="s">
        <v>26</v>
      </c>
      <c r="H1455" t="s">
        <v>26</v>
      </c>
      <c r="I1455" s="24">
        <v>39083</v>
      </c>
      <c r="J1455" s="24">
        <v>41153</v>
      </c>
      <c r="K1455" t="s">
        <v>26</v>
      </c>
      <c r="L1455" s="25" t="s">
        <v>68</v>
      </c>
      <c r="M1455" s="24">
        <v>39083</v>
      </c>
      <c r="N1455" s="24">
        <v>41153</v>
      </c>
      <c r="O1455" t="s">
        <v>26</v>
      </c>
      <c r="P1455" s="24">
        <v>39083</v>
      </c>
      <c r="Q1455" s="24">
        <v>41153</v>
      </c>
      <c r="R1455" t="s">
        <v>26</v>
      </c>
      <c r="S1455" t="s">
        <v>26</v>
      </c>
      <c r="T1455" t="s">
        <v>26</v>
      </c>
      <c r="U1455" t="s">
        <v>26</v>
      </c>
      <c r="V1455" t="s">
        <v>26</v>
      </c>
      <c r="W1455" s="24">
        <v>39083</v>
      </c>
      <c r="X1455" s="24">
        <v>41153</v>
      </c>
      <c r="Y1455" t="s">
        <v>26</v>
      </c>
      <c r="Z1455" s="24">
        <v>39083</v>
      </c>
      <c r="AA1455" s="24">
        <v>41153</v>
      </c>
      <c r="AB1455" t="s">
        <v>26</v>
      </c>
      <c r="AC1455" t="s">
        <v>26</v>
      </c>
      <c r="AD1455" t="s">
        <v>26</v>
      </c>
      <c r="AE1455" t="s">
        <v>26</v>
      </c>
      <c r="AF1455" t="s">
        <v>26</v>
      </c>
      <c r="AG1455" t="s">
        <v>26</v>
      </c>
      <c r="AH1455" t="s">
        <v>26</v>
      </c>
      <c r="AI1455" t="s">
        <v>26</v>
      </c>
      <c r="AJ1455" t="s">
        <v>26</v>
      </c>
      <c r="AK1455" t="s">
        <v>26</v>
      </c>
      <c r="AL1455" t="s">
        <v>26</v>
      </c>
      <c r="AM1455" t="s">
        <v>26</v>
      </c>
      <c r="AN1455" t="s">
        <v>26</v>
      </c>
      <c r="AO1455" s="25" t="s">
        <v>68</v>
      </c>
      <c r="AP1455" s="23" t="s">
        <v>69</v>
      </c>
      <c r="AQ1455" s="23" t="s">
        <v>30</v>
      </c>
      <c r="AR1455" s="23" t="s">
        <v>44</v>
      </c>
      <c r="AS1455" s="25">
        <v>28904</v>
      </c>
      <c r="AT1455" t="s">
        <v>26</v>
      </c>
      <c r="AU1455" t="s">
        <v>24151</v>
      </c>
    </row>
    <row r="1456" spans="1:47" ht="26.25" x14ac:dyDescent="0.4">
      <c r="A1456" s="23" t="s">
        <v>3686</v>
      </c>
      <c r="B1456" t="s">
        <v>26</v>
      </c>
      <c r="C1456" s="23" t="s">
        <v>3687</v>
      </c>
      <c r="D1456" s="23" t="s">
        <v>24152</v>
      </c>
      <c r="E1456" s="23" t="s">
        <v>42</v>
      </c>
      <c r="F1456" s="25" t="s">
        <v>3688</v>
      </c>
      <c r="G1456" t="s">
        <v>26</v>
      </c>
      <c r="H1456" t="s">
        <v>26</v>
      </c>
      <c r="I1456" s="24">
        <v>38353</v>
      </c>
      <c r="J1456" s="25" t="s">
        <v>77</v>
      </c>
      <c r="K1456" t="s">
        <v>26</v>
      </c>
      <c r="L1456" s="25" t="s">
        <v>68</v>
      </c>
      <c r="M1456" s="24">
        <v>38353</v>
      </c>
      <c r="N1456" s="25" t="s">
        <v>77</v>
      </c>
      <c r="O1456" t="s">
        <v>26</v>
      </c>
      <c r="P1456" s="24">
        <v>38353</v>
      </c>
      <c r="Q1456" s="25" t="s">
        <v>77</v>
      </c>
      <c r="R1456" t="s">
        <v>26</v>
      </c>
      <c r="S1456" t="s">
        <v>26</v>
      </c>
      <c r="T1456" t="s">
        <v>26</v>
      </c>
      <c r="U1456" t="s">
        <v>26</v>
      </c>
      <c r="V1456" t="s">
        <v>26</v>
      </c>
      <c r="W1456" s="24">
        <v>38353</v>
      </c>
      <c r="X1456" s="25" t="s">
        <v>77</v>
      </c>
      <c r="Y1456" t="s">
        <v>26</v>
      </c>
      <c r="Z1456" s="24">
        <v>38353</v>
      </c>
      <c r="AA1456" s="25" t="s">
        <v>77</v>
      </c>
      <c r="AB1456" t="s">
        <v>26</v>
      </c>
      <c r="AC1456" s="24">
        <v>38353</v>
      </c>
      <c r="AD1456" s="25" t="s">
        <v>77</v>
      </c>
      <c r="AE1456" t="s">
        <v>26</v>
      </c>
      <c r="AF1456" t="s">
        <v>26</v>
      </c>
      <c r="AG1456" t="s">
        <v>26</v>
      </c>
      <c r="AH1456" t="s">
        <v>26</v>
      </c>
      <c r="AI1456" t="s">
        <v>26</v>
      </c>
      <c r="AJ1456" t="s">
        <v>26</v>
      </c>
      <c r="AK1456" t="s">
        <v>26</v>
      </c>
      <c r="AL1456" t="s">
        <v>26</v>
      </c>
      <c r="AM1456" t="s">
        <v>26</v>
      </c>
      <c r="AN1456" t="s">
        <v>26</v>
      </c>
      <c r="AO1456" s="25" t="s">
        <v>68</v>
      </c>
      <c r="AP1456" s="23" t="s">
        <v>69</v>
      </c>
      <c r="AQ1456" s="23" t="s">
        <v>30</v>
      </c>
      <c r="AR1456" s="23" t="s">
        <v>2966</v>
      </c>
      <c r="AS1456" s="25">
        <v>39831</v>
      </c>
      <c r="AT1456" t="s">
        <v>26</v>
      </c>
      <c r="AU1456" t="s">
        <v>24153</v>
      </c>
    </row>
    <row r="1457" spans="1:47" ht="26.25" x14ac:dyDescent="0.4">
      <c r="A1457" s="23" t="s">
        <v>3689</v>
      </c>
      <c r="B1457" t="s">
        <v>26</v>
      </c>
      <c r="C1457" s="23" t="s">
        <v>3690</v>
      </c>
      <c r="D1457" s="23" t="s">
        <v>24154</v>
      </c>
      <c r="E1457" s="23" t="s">
        <v>917</v>
      </c>
      <c r="F1457" s="25" t="s">
        <v>3691</v>
      </c>
      <c r="G1457" t="s">
        <v>26</v>
      </c>
      <c r="H1457" t="s">
        <v>26</v>
      </c>
      <c r="I1457" s="24">
        <v>39083</v>
      </c>
      <c r="J1457" s="25" t="s">
        <v>77</v>
      </c>
      <c r="K1457" t="s">
        <v>26</v>
      </c>
      <c r="L1457" s="25" t="s">
        <v>68</v>
      </c>
      <c r="M1457" s="24">
        <v>39083</v>
      </c>
      <c r="N1457" s="25" t="s">
        <v>77</v>
      </c>
      <c r="O1457" t="s">
        <v>26</v>
      </c>
      <c r="P1457" s="24">
        <v>39083</v>
      </c>
      <c r="Q1457" s="24">
        <v>43221</v>
      </c>
      <c r="R1457" t="s">
        <v>26</v>
      </c>
      <c r="S1457" t="s">
        <v>26</v>
      </c>
      <c r="T1457" t="s">
        <v>26</v>
      </c>
      <c r="U1457" t="s">
        <v>26</v>
      </c>
      <c r="V1457" t="s">
        <v>26</v>
      </c>
      <c r="W1457" s="24">
        <v>39083</v>
      </c>
      <c r="X1457" s="25" t="s">
        <v>77</v>
      </c>
      <c r="Y1457" t="s">
        <v>26</v>
      </c>
      <c r="Z1457" s="24">
        <v>39083</v>
      </c>
      <c r="AA1457" s="25" t="s">
        <v>77</v>
      </c>
      <c r="AB1457" t="s">
        <v>26</v>
      </c>
      <c r="AC1457" s="24">
        <v>39083</v>
      </c>
      <c r="AD1457" s="25" t="s">
        <v>77</v>
      </c>
      <c r="AE1457" t="s">
        <v>26</v>
      </c>
      <c r="AF1457" t="s">
        <v>26</v>
      </c>
      <c r="AG1457" t="s">
        <v>26</v>
      </c>
      <c r="AH1457" t="s">
        <v>26</v>
      </c>
      <c r="AI1457" t="s">
        <v>26</v>
      </c>
      <c r="AJ1457" t="s">
        <v>26</v>
      </c>
      <c r="AK1457" t="s">
        <v>26</v>
      </c>
      <c r="AL1457" t="s">
        <v>26</v>
      </c>
      <c r="AM1457" t="s">
        <v>26</v>
      </c>
      <c r="AN1457" t="s">
        <v>26</v>
      </c>
      <c r="AO1457" s="25" t="s">
        <v>68</v>
      </c>
      <c r="AP1457" s="23" t="s">
        <v>69</v>
      </c>
      <c r="AQ1457" s="23" t="s">
        <v>30</v>
      </c>
      <c r="AR1457" s="23" t="s">
        <v>70</v>
      </c>
      <c r="AS1457" s="25">
        <v>136244</v>
      </c>
      <c r="AT1457" t="s">
        <v>26</v>
      </c>
      <c r="AU1457" t="s">
        <v>24155</v>
      </c>
    </row>
    <row r="1458" spans="1:47" ht="26.25" x14ac:dyDescent="0.4">
      <c r="A1458" s="23" t="s">
        <v>3692</v>
      </c>
      <c r="B1458" t="s">
        <v>26</v>
      </c>
      <c r="C1458" s="23" t="s">
        <v>73</v>
      </c>
      <c r="D1458" s="23" t="s">
        <v>22179</v>
      </c>
      <c r="E1458" s="23" t="s">
        <v>74</v>
      </c>
      <c r="F1458" s="25" t="s">
        <v>3693</v>
      </c>
      <c r="G1458" s="25" t="s">
        <v>3694</v>
      </c>
      <c r="H1458" t="s">
        <v>26</v>
      </c>
      <c r="I1458" s="24">
        <v>36161</v>
      </c>
      <c r="J1458" s="25" t="s">
        <v>77</v>
      </c>
      <c r="K1458" t="s">
        <v>26</v>
      </c>
      <c r="L1458" s="25" t="s">
        <v>68</v>
      </c>
      <c r="M1458" s="24">
        <v>37987</v>
      </c>
      <c r="N1458" s="24">
        <v>42736</v>
      </c>
      <c r="O1458" t="s">
        <v>26</v>
      </c>
      <c r="P1458" s="24">
        <v>36161</v>
      </c>
      <c r="Q1458" s="25" t="s">
        <v>77</v>
      </c>
      <c r="R1458" t="s">
        <v>26</v>
      </c>
      <c r="S1458" t="s">
        <v>26</v>
      </c>
      <c r="T1458" t="s">
        <v>26</v>
      </c>
      <c r="U1458" t="s">
        <v>26</v>
      </c>
      <c r="V1458" s="25">
        <v>365</v>
      </c>
      <c r="W1458" s="24">
        <v>36161</v>
      </c>
      <c r="X1458" s="25" t="s">
        <v>77</v>
      </c>
      <c r="Y1458" t="s">
        <v>26</v>
      </c>
      <c r="Z1458" s="24">
        <v>36161</v>
      </c>
      <c r="AA1458" s="25" t="s">
        <v>77</v>
      </c>
      <c r="AB1458" t="s">
        <v>26</v>
      </c>
      <c r="AC1458" s="24">
        <v>36161</v>
      </c>
      <c r="AD1458" s="25" t="s">
        <v>77</v>
      </c>
      <c r="AE1458" t="s">
        <v>26</v>
      </c>
      <c r="AF1458" t="s">
        <v>26</v>
      </c>
      <c r="AG1458" t="s">
        <v>26</v>
      </c>
      <c r="AH1458" t="s">
        <v>26</v>
      </c>
      <c r="AI1458" t="s">
        <v>26</v>
      </c>
      <c r="AJ1458" t="s">
        <v>26</v>
      </c>
      <c r="AK1458" t="s">
        <v>26</v>
      </c>
      <c r="AL1458" t="s">
        <v>26</v>
      </c>
      <c r="AM1458" t="s">
        <v>26</v>
      </c>
      <c r="AN1458" t="s">
        <v>26</v>
      </c>
      <c r="AO1458" s="25" t="s">
        <v>68</v>
      </c>
      <c r="AP1458" s="23" t="s">
        <v>69</v>
      </c>
      <c r="AQ1458" s="23" t="s">
        <v>30</v>
      </c>
      <c r="AR1458" s="23" t="s">
        <v>3695</v>
      </c>
      <c r="AS1458" s="25">
        <v>25710</v>
      </c>
      <c r="AT1458" t="s">
        <v>26</v>
      </c>
      <c r="AU1458" t="s">
        <v>24156</v>
      </c>
    </row>
    <row r="1459" spans="1:47" ht="26.25" x14ac:dyDescent="0.4">
      <c r="A1459" s="23" t="s">
        <v>3696</v>
      </c>
      <c r="B1459" t="s">
        <v>26</v>
      </c>
      <c r="C1459" s="23" t="s">
        <v>107</v>
      </c>
      <c r="D1459" s="23" t="s">
        <v>22179</v>
      </c>
      <c r="E1459" s="23" t="s">
        <v>42</v>
      </c>
      <c r="F1459" s="25" t="s">
        <v>3697</v>
      </c>
      <c r="G1459" s="25" t="s">
        <v>3698</v>
      </c>
      <c r="H1459" t="s">
        <v>26</v>
      </c>
      <c r="I1459" t="s">
        <v>26</v>
      </c>
      <c r="J1459" t="s">
        <v>26</v>
      </c>
      <c r="K1459" t="s">
        <v>26</v>
      </c>
      <c r="L1459" s="25" t="s">
        <v>68</v>
      </c>
      <c r="M1459" t="s">
        <v>26</v>
      </c>
      <c r="N1459" t="s">
        <v>26</v>
      </c>
      <c r="O1459" t="s">
        <v>26</v>
      </c>
      <c r="P1459" t="s">
        <v>26</v>
      </c>
      <c r="Q1459" t="s">
        <v>26</v>
      </c>
      <c r="R1459" t="s">
        <v>26</v>
      </c>
      <c r="S1459" t="s">
        <v>26</v>
      </c>
      <c r="T1459" t="s">
        <v>26</v>
      </c>
      <c r="U1459" t="s">
        <v>26</v>
      </c>
      <c r="V1459" t="s">
        <v>26</v>
      </c>
      <c r="W1459" s="24">
        <v>31472</v>
      </c>
      <c r="X1459" s="25" t="s">
        <v>77</v>
      </c>
      <c r="Y1459" t="s">
        <v>26</v>
      </c>
      <c r="Z1459" s="24">
        <v>31472</v>
      </c>
      <c r="AA1459" s="25" t="s">
        <v>77</v>
      </c>
      <c r="AB1459" t="s">
        <v>26</v>
      </c>
      <c r="AC1459" s="24">
        <v>31656</v>
      </c>
      <c r="AD1459" s="25" t="s">
        <v>77</v>
      </c>
      <c r="AE1459" t="s">
        <v>26</v>
      </c>
      <c r="AF1459" t="s">
        <v>26</v>
      </c>
      <c r="AG1459" t="s">
        <v>26</v>
      </c>
      <c r="AH1459" t="s">
        <v>26</v>
      </c>
      <c r="AI1459" t="s">
        <v>26</v>
      </c>
      <c r="AJ1459" t="s">
        <v>26</v>
      </c>
      <c r="AK1459" t="s">
        <v>26</v>
      </c>
      <c r="AL1459" t="s">
        <v>26</v>
      </c>
      <c r="AM1459" t="s">
        <v>26</v>
      </c>
      <c r="AN1459" t="s">
        <v>26</v>
      </c>
      <c r="AO1459" s="25" t="s">
        <v>68</v>
      </c>
      <c r="AP1459" s="23" t="s">
        <v>69</v>
      </c>
      <c r="AQ1459" s="23" t="s">
        <v>30</v>
      </c>
      <c r="AR1459" s="23" t="s">
        <v>70</v>
      </c>
      <c r="AS1459" s="25">
        <v>5639</v>
      </c>
      <c r="AT1459" t="s">
        <v>26</v>
      </c>
      <c r="AU1459" t="s">
        <v>24157</v>
      </c>
    </row>
    <row r="1460" spans="1:47" ht="26.25" x14ac:dyDescent="0.4">
      <c r="A1460" s="23" t="s">
        <v>3699</v>
      </c>
      <c r="B1460" t="s">
        <v>26</v>
      </c>
      <c r="C1460" s="23" t="s">
        <v>167</v>
      </c>
      <c r="D1460" s="23" t="s">
        <v>22218</v>
      </c>
      <c r="E1460" s="23" t="s">
        <v>60</v>
      </c>
      <c r="F1460" s="25" t="s">
        <v>3700</v>
      </c>
      <c r="G1460" s="25" t="s">
        <v>3701</v>
      </c>
      <c r="H1460" t="s">
        <v>26</v>
      </c>
      <c r="I1460" s="24">
        <v>36892</v>
      </c>
      <c r="J1460" s="25" t="s">
        <v>77</v>
      </c>
      <c r="K1460" t="s">
        <v>26</v>
      </c>
      <c r="L1460" s="25" t="s">
        <v>68</v>
      </c>
      <c r="M1460" s="24">
        <v>39995</v>
      </c>
      <c r="N1460" s="25" t="s">
        <v>77</v>
      </c>
      <c r="O1460" t="s">
        <v>26</v>
      </c>
      <c r="P1460" s="24">
        <v>36892</v>
      </c>
      <c r="Q1460" s="25" t="s">
        <v>77</v>
      </c>
      <c r="R1460" t="s">
        <v>26</v>
      </c>
      <c r="S1460" t="s">
        <v>26</v>
      </c>
      <c r="T1460" t="s">
        <v>26</v>
      </c>
      <c r="U1460" t="s">
        <v>26</v>
      </c>
      <c r="V1460" s="25">
        <v>365</v>
      </c>
      <c r="W1460" s="24">
        <v>36892</v>
      </c>
      <c r="X1460" s="25" t="s">
        <v>77</v>
      </c>
      <c r="Y1460" t="s">
        <v>26</v>
      </c>
      <c r="Z1460" s="24">
        <v>36892</v>
      </c>
      <c r="AA1460" s="25" t="s">
        <v>77</v>
      </c>
      <c r="AB1460" t="s">
        <v>26</v>
      </c>
      <c r="AC1460" s="24">
        <v>36892</v>
      </c>
      <c r="AD1460" s="25" t="s">
        <v>77</v>
      </c>
      <c r="AE1460" t="s">
        <v>26</v>
      </c>
      <c r="AF1460" t="s">
        <v>26</v>
      </c>
      <c r="AG1460" t="s">
        <v>26</v>
      </c>
      <c r="AH1460" t="s">
        <v>26</v>
      </c>
      <c r="AI1460" t="s">
        <v>26</v>
      </c>
      <c r="AJ1460" t="s">
        <v>26</v>
      </c>
      <c r="AK1460" t="s">
        <v>26</v>
      </c>
      <c r="AL1460" t="s">
        <v>26</v>
      </c>
      <c r="AM1460" t="s">
        <v>26</v>
      </c>
      <c r="AN1460" t="s">
        <v>26</v>
      </c>
      <c r="AO1460" s="25" t="s">
        <v>68</v>
      </c>
      <c r="AP1460" s="23" t="s">
        <v>69</v>
      </c>
      <c r="AQ1460" s="23" t="s">
        <v>30</v>
      </c>
      <c r="AR1460" s="23" t="s">
        <v>3702</v>
      </c>
      <c r="AS1460" s="25">
        <v>34392</v>
      </c>
      <c r="AT1460" t="s">
        <v>26</v>
      </c>
      <c r="AU1460" t="s">
        <v>24158</v>
      </c>
    </row>
    <row r="1461" spans="1:47" ht="26.25" x14ac:dyDescent="0.4">
      <c r="A1461" s="23" t="s">
        <v>3703</v>
      </c>
      <c r="B1461" t="s">
        <v>26</v>
      </c>
      <c r="C1461" s="23" t="s">
        <v>80</v>
      </c>
      <c r="D1461" s="23" t="s">
        <v>22190</v>
      </c>
      <c r="E1461" s="23" t="s">
        <v>60</v>
      </c>
      <c r="F1461" s="25" t="s">
        <v>3704</v>
      </c>
      <c r="G1461" s="25" t="s">
        <v>3705</v>
      </c>
      <c r="H1461" t="s">
        <v>26</v>
      </c>
      <c r="I1461" t="s">
        <v>26</v>
      </c>
      <c r="J1461" t="s">
        <v>26</v>
      </c>
      <c r="K1461" t="s">
        <v>26</v>
      </c>
      <c r="L1461" s="25" t="s">
        <v>68</v>
      </c>
      <c r="M1461" t="s">
        <v>26</v>
      </c>
      <c r="N1461" t="s">
        <v>26</v>
      </c>
      <c r="O1461" t="s">
        <v>26</v>
      </c>
      <c r="P1461" t="s">
        <v>26</v>
      </c>
      <c r="Q1461" t="s">
        <v>26</v>
      </c>
      <c r="R1461" t="s">
        <v>26</v>
      </c>
      <c r="S1461" t="s">
        <v>26</v>
      </c>
      <c r="T1461" t="s">
        <v>26</v>
      </c>
      <c r="U1461" t="s">
        <v>26</v>
      </c>
      <c r="V1461" t="s">
        <v>26</v>
      </c>
      <c r="W1461" s="24">
        <v>40179</v>
      </c>
      <c r="X1461" s="25" t="s">
        <v>77</v>
      </c>
      <c r="Y1461" t="s">
        <v>26</v>
      </c>
      <c r="Z1461" s="24">
        <v>40179</v>
      </c>
      <c r="AA1461" s="25" t="s">
        <v>77</v>
      </c>
      <c r="AB1461" t="s">
        <v>26</v>
      </c>
      <c r="AC1461" s="24">
        <v>40179</v>
      </c>
      <c r="AD1461" s="25" t="s">
        <v>77</v>
      </c>
      <c r="AE1461" t="s">
        <v>26</v>
      </c>
      <c r="AF1461" t="s">
        <v>26</v>
      </c>
      <c r="AG1461" t="s">
        <v>26</v>
      </c>
      <c r="AH1461" t="s">
        <v>26</v>
      </c>
      <c r="AI1461" t="s">
        <v>26</v>
      </c>
      <c r="AJ1461" t="s">
        <v>26</v>
      </c>
      <c r="AK1461" t="s">
        <v>26</v>
      </c>
      <c r="AL1461" t="s">
        <v>26</v>
      </c>
      <c r="AM1461" t="s">
        <v>26</v>
      </c>
      <c r="AN1461" t="s">
        <v>26</v>
      </c>
      <c r="AO1461" s="25" t="s">
        <v>68</v>
      </c>
      <c r="AP1461" s="23" t="s">
        <v>69</v>
      </c>
      <c r="AQ1461" s="23" t="s">
        <v>30</v>
      </c>
      <c r="AR1461" s="23" t="s">
        <v>24159</v>
      </c>
      <c r="AS1461" s="25">
        <v>196225</v>
      </c>
      <c r="AT1461" t="s">
        <v>26</v>
      </c>
      <c r="AU1461" t="s">
        <v>24160</v>
      </c>
    </row>
    <row r="1462" spans="1:47" ht="26.25" x14ac:dyDescent="0.4">
      <c r="A1462" s="23" t="s">
        <v>3706</v>
      </c>
      <c r="B1462" t="s">
        <v>26</v>
      </c>
      <c r="C1462" s="23" t="s">
        <v>107</v>
      </c>
      <c r="D1462" s="23" t="s">
        <v>22254</v>
      </c>
      <c r="E1462" s="23" t="s">
        <v>42</v>
      </c>
      <c r="F1462" s="25" t="s">
        <v>3707</v>
      </c>
      <c r="G1462" s="25" t="s">
        <v>3708</v>
      </c>
      <c r="H1462" t="s">
        <v>26</v>
      </c>
      <c r="I1462" t="s">
        <v>26</v>
      </c>
      <c r="J1462" t="s">
        <v>26</v>
      </c>
      <c r="K1462" t="s">
        <v>26</v>
      </c>
      <c r="L1462" s="25" t="s">
        <v>68</v>
      </c>
      <c r="M1462" t="s">
        <v>26</v>
      </c>
      <c r="N1462" t="s">
        <v>26</v>
      </c>
      <c r="O1462" t="s">
        <v>26</v>
      </c>
      <c r="P1462" t="s">
        <v>26</v>
      </c>
      <c r="Q1462" t="s">
        <v>26</v>
      </c>
      <c r="R1462" t="s">
        <v>26</v>
      </c>
      <c r="S1462" t="s">
        <v>26</v>
      </c>
      <c r="T1462" t="s">
        <v>26</v>
      </c>
      <c r="U1462" t="s">
        <v>26</v>
      </c>
      <c r="V1462" t="s">
        <v>26</v>
      </c>
      <c r="W1462" s="24">
        <v>27242</v>
      </c>
      <c r="X1462" s="25" t="s">
        <v>77</v>
      </c>
      <c r="Y1462" s="25" t="s">
        <v>3709</v>
      </c>
      <c r="Z1462" s="24">
        <v>27242</v>
      </c>
      <c r="AA1462" s="25" t="s">
        <v>77</v>
      </c>
      <c r="AB1462" s="25" t="s">
        <v>3709</v>
      </c>
      <c r="AC1462" s="24">
        <v>27242</v>
      </c>
      <c r="AD1462" s="25" t="s">
        <v>77</v>
      </c>
      <c r="AE1462" s="25" t="s">
        <v>24161</v>
      </c>
      <c r="AF1462" t="s">
        <v>26</v>
      </c>
      <c r="AG1462" t="s">
        <v>26</v>
      </c>
      <c r="AH1462" t="s">
        <v>26</v>
      </c>
      <c r="AI1462" t="s">
        <v>26</v>
      </c>
      <c r="AJ1462" t="s">
        <v>26</v>
      </c>
      <c r="AK1462" t="s">
        <v>26</v>
      </c>
      <c r="AL1462" t="s">
        <v>26</v>
      </c>
      <c r="AM1462" t="s">
        <v>26</v>
      </c>
      <c r="AN1462" t="s">
        <v>26</v>
      </c>
      <c r="AO1462" s="25" t="s">
        <v>68</v>
      </c>
      <c r="AP1462" s="23" t="s">
        <v>69</v>
      </c>
      <c r="AQ1462" s="23" t="s">
        <v>30</v>
      </c>
      <c r="AR1462" s="23" t="s">
        <v>2872</v>
      </c>
      <c r="AS1462" s="25">
        <v>15745</v>
      </c>
      <c r="AT1462" t="s">
        <v>26</v>
      </c>
      <c r="AU1462" t="s">
        <v>24162</v>
      </c>
    </row>
    <row r="1463" spans="1:47" ht="26.25" x14ac:dyDescent="0.4">
      <c r="A1463" s="23" t="s">
        <v>3710</v>
      </c>
      <c r="B1463" t="s">
        <v>26</v>
      </c>
      <c r="C1463" s="23" t="s">
        <v>107</v>
      </c>
      <c r="D1463" s="23" t="s">
        <v>22194</v>
      </c>
      <c r="E1463" s="23" t="s">
        <v>42</v>
      </c>
      <c r="F1463" s="25" t="s">
        <v>3711</v>
      </c>
      <c r="G1463" s="25" t="s">
        <v>3712</v>
      </c>
      <c r="H1463" t="s">
        <v>26</v>
      </c>
      <c r="I1463" t="s">
        <v>26</v>
      </c>
      <c r="J1463" t="s">
        <v>26</v>
      </c>
      <c r="K1463" t="s">
        <v>26</v>
      </c>
      <c r="L1463" s="25" t="s">
        <v>68</v>
      </c>
      <c r="M1463" t="s">
        <v>26</v>
      </c>
      <c r="N1463" t="s">
        <v>26</v>
      </c>
      <c r="O1463" t="s">
        <v>26</v>
      </c>
      <c r="P1463" t="s">
        <v>26</v>
      </c>
      <c r="Q1463" t="s">
        <v>26</v>
      </c>
      <c r="R1463" t="s">
        <v>26</v>
      </c>
      <c r="S1463" t="s">
        <v>26</v>
      </c>
      <c r="T1463" t="s">
        <v>26</v>
      </c>
      <c r="U1463" t="s">
        <v>26</v>
      </c>
      <c r="V1463" t="s">
        <v>26</v>
      </c>
      <c r="W1463" s="24">
        <v>32933</v>
      </c>
      <c r="X1463" s="25" t="s">
        <v>77</v>
      </c>
      <c r="Y1463" t="s">
        <v>26</v>
      </c>
      <c r="Z1463" s="24">
        <v>32933</v>
      </c>
      <c r="AA1463" s="25" t="s">
        <v>77</v>
      </c>
      <c r="AB1463" t="s">
        <v>26</v>
      </c>
      <c r="AC1463" s="24">
        <v>32933</v>
      </c>
      <c r="AD1463" s="25" t="s">
        <v>77</v>
      </c>
      <c r="AE1463" t="s">
        <v>26</v>
      </c>
      <c r="AF1463" t="s">
        <v>26</v>
      </c>
      <c r="AG1463" t="s">
        <v>26</v>
      </c>
      <c r="AH1463" t="s">
        <v>26</v>
      </c>
      <c r="AI1463" t="s">
        <v>26</v>
      </c>
      <c r="AJ1463" t="s">
        <v>26</v>
      </c>
      <c r="AK1463" t="s">
        <v>26</v>
      </c>
      <c r="AL1463" t="s">
        <v>26</v>
      </c>
      <c r="AM1463" t="s">
        <v>26</v>
      </c>
      <c r="AN1463" t="s">
        <v>26</v>
      </c>
      <c r="AO1463" s="25" t="s">
        <v>68</v>
      </c>
      <c r="AP1463" s="23" t="s">
        <v>69</v>
      </c>
      <c r="AQ1463" s="23" t="s">
        <v>30</v>
      </c>
      <c r="AR1463" s="23" t="s">
        <v>3713</v>
      </c>
      <c r="AS1463" s="25">
        <v>35944</v>
      </c>
      <c r="AT1463" t="s">
        <v>26</v>
      </c>
      <c r="AU1463" t="s">
        <v>24163</v>
      </c>
    </row>
    <row r="1464" spans="1:47" ht="26.25" x14ac:dyDescent="0.4">
      <c r="A1464" s="23" t="s">
        <v>24164</v>
      </c>
      <c r="B1464" t="s">
        <v>26</v>
      </c>
      <c r="C1464" s="23" t="s">
        <v>635</v>
      </c>
      <c r="D1464" s="23" t="s">
        <v>22179</v>
      </c>
      <c r="E1464" s="23" t="s">
        <v>42</v>
      </c>
      <c r="F1464" s="25" t="s">
        <v>24165</v>
      </c>
      <c r="G1464" s="25" t="s">
        <v>24166</v>
      </c>
      <c r="H1464" t="s">
        <v>26</v>
      </c>
      <c r="I1464" s="24">
        <v>43891</v>
      </c>
      <c r="J1464" s="25" t="s">
        <v>77</v>
      </c>
      <c r="K1464" t="s">
        <v>26</v>
      </c>
      <c r="L1464" s="25" t="s">
        <v>68</v>
      </c>
      <c r="M1464" t="s">
        <v>26</v>
      </c>
      <c r="N1464" t="s">
        <v>26</v>
      </c>
      <c r="O1464" t="s">
        <v>26</v>
      </c>
      <c r="P1464" s="24">
        <v>43891</v>
      </c>
      <c r="Q1464" s="25" t="s">
        <v>77</v>
      </c>
      <c r="R1464" t="s">
        <v>26</v>
      </c>
      <c r="S1464" t="s">
        <v>26</v>
      </c>
      <c r="T1464" t="s">
        <v>26</v>
      </c>
      <c r="U1464" t="s">
        <v>26</v>
      </c>
      <c r="V1464" s="25">
        <v>365</v>
      </c>
      <c r="W1464" s="24">
        <v>43891</v>
      </c>
      <c r="X1464" s="25" t="s">
        <v>77</v>
      </c>
      <c r="Y1464" t="s">
        <v>26</v>
      </c>
      <c r="Z1464" s="24">
        <v>43891</v>
      </c>
      <c r="AA1464" s="25" t="s">
        <v>77</v>
      </c>
      <c r="AB1464" t="s">
        <v>26</v>
      </c>
      <c r="AC1464" s="24">
        <v>43891</v>
      </c>
      <c r="AD1464" s="25" t="s">
        <v>77</v>
      </c>
      <c r="AE1464" t="s">
        <v>26</v>
      </c>
      <c r="AF1464" t="s">
        <v>26</v>
      </c>
      <c r="AG1464" t="s">
        <v>26</v>
      </c>
      <c r="AH1464" t="s">
        <v>26</v>
      </c>
      <c r="AI1464" t="s">
        <v>26</v>
      </c>
      <c r="AJ1464" t="s">
        <v>26</v>
      </c>
      <c r="AK1464" t="s">
        <v>26</v>
      </c>
      <c r="AL1464" t="s">
        <v>26</v>
      </c>
      <c r="AM1464" t="s">
        <v>26</v>
      </c>
      <c r="AN1464" t="s">
        <v>26</v>
      </c>
      <c r="AO1464" s="25" t="s">
        <v>68</v>
      </c>
      <c r="AP1464" s="23" t="s">
        <v>69</v>
      </c>
      <c r="AQ1464" s="23" t="s">
        <v>30</v>
      </c>
      <c r="AR1464" s="23" t="s">
        <v>4413</v>
      </c>
      <c r="AS1464" s="25">
        <v>5062709</v>
      </c>
      <c r="AT1464" t="s">
        <v>26</v>
      </c>
      <c r="AU1464" t="s">
        <v>24167</v>
      </c>
    </row>
    <row r="1465" spans="1:47" ht="26.25" x14ac:dyDescent="0.4">
      <c r="A1465" s="23" t="s">
        <v>3714</v>
      </c>
      <c r="B1465" t="s">
        <v>26</v>
      </c>
      <c r="C1465" s="23" t="s">
        <v>1481</v>
      </c>
      <c r="D1465" s="23" t="s">
        <v>22190</v>
      </c>
      <c r="E1465" s="23" t="s">
        <v>60</v>
      </c>
      <c r="F1465" s="25" t="s">
        <v>3715</v>
      </c>
      <c r="G1465" s="25" t="s">
        <v>3716</v>
      </c>
      <c r="H1465" t="s">
        <v>26</v>
      </c>
      <c r="I1465" t="s">
        <v>26</v>
      </c>
      <c r="J1465" t="s">
        <v>26</v>
      </c>
      <c r="K1465" t="s">
        <v>26</v>
      </c>
      <c r="L1465" s="25" t="s">
        <v>68</v>
      </c>
      <c r="M1465" t="s">
        <v>26</v>
      </c>
      <c r="N1465" t="s">
        <v>26</v>
      </c>
      <c r="O1465" t="s">
        <v>26</v>
      </c>
      <c r="P1465" t="s">
        <v>26</v>
      </c>
      <c r="Q1465" t="s">
        <v>26</v>
      </c>
      <c r="R1465" t="s">
        <v>26</v>
      </c>
      <c r="S1465" t="s">
        <v>26</v>
      </c>
      <c r="T1465" t="s">
        <v>26</v>
      </c>
      <c r="U1465" t="s">
        <v>26</v>
      </c>
      <c r="V1465" t="s">
        <v>26</v>
      </c>
      <c r="W1465" s="24">
        <v>31413</v>
      </c>
      <c r="X1465" s="25" t="s">
        <v>77</v>
      </c>
      <c r="Y1465" s="25" t="s">
        <v>3717</v>
      </c>
      <c r="Z1465" s="24">
        <v>31413</v>
      </c>
      <c r="AA1465" s="25" t="s">
        <v>77</v>
      </c>
      <c r="AB1465" s="25" t="s">
        <v>3717</v>
      </c>
      <c r="AC1465" s="24">
        <v>31413</v>
      </c>
      <c r="AD1465" s="25" t="s">
        <v>77</v>
      </c>
      <c r="AE1465" s="25" t="s">
        <v>3717</v>
      </c>
      <c r="AF1465" t="s">
        <v>26</v>
      </c>
      <c r="AG1465" t="s">
        <v>26</v>
      </c>
      <c r="AH1465" t="s">
        <v>26</v>
      </c>
      <c r="AI1465" t="s">
        <v>26</v>
      </c>
      <c r="AJ1465" t="s">
        <v>26</v>
      </c>
      <c r="AK1465" t="s">
        <v>26</v>
      </c>
      <c r="AL1465" t="s">
        <v>26</v>
      </c>
      <c r="AM1465" t="s">
        <v>26</v>
      </c>
      <c r="AN1465" t="s">
        <v>26</v>
      </c>
      <c r="AO1465" s="25" t="s">
        <v>68</v>
      </c>
      <c r="AP1465" s="23" t="s">
        <v>69</v>
      </c>
      <c r="AQ1465" s="23" t="s">
        <v>30</v>
      </c>
      <c r="AR1465" s="23" t="s">
        <v>3718</v>
      </c>
      <c r="AS1465" s="25">
        <v>42128</v>
      </c>
      <c r="AT1465" t="s">
        <v>26</v>
      </c>
      <c r="AU1465" t="s">
        <v>24168</v>
      </c>
    </row>
    <row r="1466" spans="1:47" ht="26.25" x14ac:dyDescent="0.4">
      <c r="A1466" s="23" t="s">
        <v>3719</v>
      </c>
      <c r="B1466" t="s">
        <v>26</v>
      </c>
      <c r="C1466" s="23" t="s">
        <v>73</v>
      </c>
      <c r="D1466" s="23" t="s">
        <v>22211</v>
      </c>
      <c r="E1466" s="23" t="s">
        <v>74</v>
      </c>
      <c r="F1466" s="25" t="s">
        <v>3720</v>
      </c>
      <c r="G1466" s="25" t="s">
        <v>3721</v>
      </c>
      <c r="H1466" t="s">
        <v>26</v>
      </c>
      <c r="I1466" s="24">
        <v>32082</v>
      </c>
      <c r="J1466" s="25" t="s">
        <v>77</v>
      </c>
      <c r="K1466" t="s">
        <v>26</v>
      </c>
      <c r="L1466" s="25" t="s">
        <v>68</v>
      </c>
      <c r="M1466" s="24">
        <v>33604</v>
      </c>
      <c r="N1466" s="24">
        <v>42826</v>
      </c>
      <c r="O1466" t="s">
        <v>26</v>
      </c>
      <c r="P1466" s="24">
        <v>32082</v>
      </c>
      <c r="Q1466" s="25" t="s">
        <v>77</v>
      </c>
      <c r="R1466" t="s">
        <v>26</v>
      </c>
      <c r="S1466" t="s">
        <v>26</v>
      </c>
      <c r="T1466" t="s">
        <v>26</v>
      </c>
      <c r="U1466" t="s">
        <v>26</v>
      </c>
      <c r="V1466" t="s">
        <v>26</v>
      </c>
      <c r="W1466" s="24">
        <v>30987</v>
      </c>
      <c r="X1466" s="25" t="s">
        <v>77</v>
      </c>
      <c r="Y1466" t="s">
        <v>26</v>
      </c>
      <c r="Z1466" s="24">
        <v>30987</v>
      </c>
      <c r="AA1466" s="25" t="s">
        <v>77</v>
      </c>
      <c r="AB1466" t="s">
        <v>26</v>
      </c>
      <c r="AC1466" s="24">
        <v>30987</v>
      </c>
      <c r="AD1466" s="25" t="s">
        <v>77</v>
      </c>
      <c r="AE1466" t="s">
        <v>26</v>
      </c>
      <c r="AF1466" t="s">
        <v>26</v>
      </c>
      <c r="AG1466" t="s">
        <v>26</v>
      </c>
      <c r="AH1466" t="s">
        <v>26</v>
      </c>
      <c r="AI1466" t="s">
        <v>26</v>
      </c>
      <c r="AJ1466" t="s">
        <v>26</v>
      </c>
      <c r="AK1466" t="s">
        <v>26</v>
      </c>
      <c r="AL1466" t="s">
        <v>26</v>
      </c>
      <c r="AM1466" t="s">
        <v>26</v>
      </c>
      <c r="AN1466" t="s">
        <v>26</v>
      </c>
      <c r="AO1466" s="25" t="s">
        <v>68</v>
      </c>
      <c r="AP1466" s="23" t="s">
        <v>69</v>
      </c>
      <c r="AQ1466" s="23" t="s">
        <v>30</v>
      </c>
      <c r="AR1466" s="23" t="s">
        <v>3722</v>
      </c>
      <c r="AS1466" s="25">
        <v>6472</v>
      </c>
      <c r="AT1466" t="s">
        <v>26</v>
      </c>
      <c r="AU1466" t="s">
        <v>24169</v>
      </c>
    </row>
    <row r="1467" spans="1:47" ht="26.25" x14ac:dyDescent="0.4">
      <c r="A1467" s="23" t="s">
        <v>3723</v>
      </c>
      <c r="B1467" t="s">
        <v>26</v>
      </c>
      <c r="C1467" s="23" t="s">
        <v>73</v>
      </c>
      <c r="D1467" s="23" t="s">
        <v>22211</v>
      </c>
      <c r="E1467" s="23" t="s">
        <v>74</v>
      </c>
      <c r="F1467" s="25" t="s">
        <v>3720</v>
      </c>
      <c r="G1467" t="s">
        <v>26</v>
      </c>
      <c r="H1467" t="s">
        <v>26</v>
      </c>
      <c r="I1467" s="24">
        <v>31444</v>
      </c>
      <c r="J1467" s="24">
        <v>32112</v>
      </c>
      <c r="K1467" t="s">
        <v>26</v>
      </c>
      <c r="L1467" s="25" t="s">
        <v>68</v>
      </c>
      <c r="M1467" t="s">
        <v>26</v>
      </c>
      <c r="N1467" t="s">
        <v>26</v>
      </c>
      <c r="O1467" t="s">
        <v>26</v>
      </c>
      <c r="P1467" s="24">
        <v>31444</v>
      </c>
      <c r="Q1467" s="24">
        <v>32112</v>
      </c>
      <c r="R1467" t="s">
        <v>26</v>
      </c>
      <c r="S1467" t="s">
        <v>26</v>
      </c>
      <c r="T1467" t="s">
        <v>26</v>
      </c>
      <c r="U1467" t="s">
        <v>26</v>
      </c>
      <c r="V1467" t="s">
        <v>26</v>
      </c>
      <c r="W1467" s="24">
        <v>31444</v>
      </c>
      <c r="X1467" s="24">
        <v>32112</v>
      </c>
      <c r="Y1467" t="s">
        <v>26</v>
      </c>
      <c r="Z1467" s="24">
        <v>31444</v>
      </c>
      <c r="AA1467" s="24">
        <v>32112</v>
      </c>
      <c r="AB1467" t="s">
        <v>26</v>
      </c>
      <c r="AC1467" s="24">
        <v>31444</v>
      </c>
      <c r="AD1467" s="24">
        <v>32082</v>
      </c>
      <c r="AE1467" t="s">
        <v>26</v>
      </c>
      <c r="AF1467" t="s">
        <v>26</v>
      </c>
      <c r="AG1467" t="s">
        <v>26</v>
      </c>
      <c r="AH1467" t="s">
        <v>26</v>
      </c>
      <c r="AI1467" t="s">
        <v>26</v>
      </c>
      <c r="AJ1467" t="s">
        <v>26</v>
      </c>
      <c r="AK1467" t="s">
        <v>26</v>
      </c>
      <c r="AL1467" t="s">
        <v>26</v>
      </c>
      <c r="AM1467" t="s">
        <v>26</v>
      </c>
      <c r="AN1467" t="s">
        <v>26</v>
      </c>
      <c r="AO1467" s="25" t="s">
        <v>68</v>
      </c>
      <c r="AP1467" s="23" t="s">
        <v>69</v>
      </c>
      <c r="AQ1467" s="23" t="s">
        <v>30</v>
      </c>
      <c r="AR1467" s="23" t="s">
        <v>3722</v>
      </c>
      <c r="AS1467" s="25">
        <v>36328</v>
      </c>
      <c r="AT1467" t="s">
        <v>26</v>
      </c>
      <c r="AU1467" t="s">
        <v>24170</v>
      </c>
    </row>
    <row r="1468" spans="1:47" ht="26.25" x14ac:dyDescent="0.4">
      <c r="A1468" s="23" t="s">
        <v>3724</v>
      </c>
      <c r="B1468" t="s">
        <v>26</v>
      </c>
      <c r="C1468" s="23" t="s">
        <v>73</v>
      </c>
      <c r="D1468" s="23" t="s">
        <v>22211</v>
      </c>
      <c r="E1468" s="23" t="s">
        <v>74</v>
      </c>
      <c r="F1468" s="25" t="s">
        <v>3720</v>
      </c>
      <c r="G1468" t="s">
        <v>26</v>
      </c>
      <c r="H1468" t="s">
        <v>26</v>
      </c>
      <c r="I1468" s="24">
        <v>30072</v>
      </c>
      <c r="J1468" s="24">
        <v>31382</v>
      </c>
      <c r="K1468" t="s">
        <v>26</v>
      </c>
      <c r="L1468" s="25" t="s">
        <v>68</v>
      </c>
      <c r="M1468" t="s">
        <v>26</v>
      </c>
      <c r="N1468" t="s">
        <v>26</v>
      </c>
      <c r="O1468" t="s">
        <v>26</v>
      </c>
      <c r="P1468" s="24">
        <v>30072</v>
      </c>
      <c r="Q1468" s="24">
        <v>31382</v>
      </c>
      <c r="R1468" t="s">
        <v>26</v>
      </c>
      <c r="S1468" t="s">
        <v>26</v>
      </c>
      <c r="T1468" t="s">
        <v>26</v>
      </c>
      <c r="U1468" t="s">
        <v>26</v>
      </c>
      <c r="V1468" t="s">
        <v>26</v>
      </c>
      <c r="W1468" s="24">
        <v>30072</v>
      </c>
      <c r="X1468" s="24">
        <v>31382</v>
      </c>
      <c r="Y1468" t="s">
        <v>26</v>
      </c>
      <c r="Z1468" s="24">
        <v>30072</v>
      </c>
      <c r="AA1468" s="24">
        <v>31382</v>
      </c>
      <c r="AB1468" t="s">
        <v>26</v>
      </c>
      <c r="AC1468" t="s">
        <v>26</v>
      </c>
      <c r="AD1468" t="s">
        <v>26</v>
      </c>
      <c r="AE1468" t="s">
        <v>26</v>
      </c>
      <c r="AF1468" t="s">
        <v>26</v>
      </c>
      <c r="AG1468" t="s">
        <v>26</v>
      </c>
      <c r="AH1468" t="s">
        <v>26</v>
      </c>
      <c r="AI1468" t="s">
        <v>26</v>
      </c>
      <c r="AJ1468" t="s">
        <v>26</v>
      </c>
      <c r="AK1468" t="s">
        <v>26</v>
      </c>
      <c r="AL1468" t="s">
        <v>26</v>
      </c>
      <c r="AM1468" t="s">
        <v>26</v>
      </c>
      <c r="AN1468" t="s">
        <v>26</v>
      </c>
      <c r="AO1468" s="25" t="s">
        <v>68</v>
      </c>
      <c r="AP1468" s="23" t="s">
        <v>69</v>
      </c>
      <c r="AQ1468" s="23" t="s">
        <v>30</v>
      </c>
      <c r="AR1468" s="23" t="s">
        <v>3722</v>
      </c>
      <c r="AS1468" s="25">
        <v>36326</v>
      </c>
      <c r="AT1468" t="s">
        <v>26</v>
      </c>
      <c r="AU1468" t="s">
        <v>24171</v>
      </c>
    </row>
    <row r="1469" spans="1:47" ht="26.25" x14ac:dyDescent="0.4">
      <c r="A1469" s="23" t="s">
        <v>3725</v>
      </c>
      <c r="B1469" t="s">
        <v>26</v>
      </c>
      <c r="C1469" s="23" t="s">
        <v>3726</v>
      </c>
      <c r="D1469" s="23" t="s">
        <v>22689</v>
      </c>
      <c r="E1469" s="23" t="s">
        <v>42</v>
      </c>
      <c r="F1469" s="25" t="s">
        <v>3727</v>
      </c>
      <c r="G1469" s="25" t="s">
        <v>3728</v>
      </c>
      <c r="H1469" t="s">
        <v>26</v>
      </c>
      <c r="I1469" s="24">
        <v>41183</v>
      </c>
      <c r="J1469" s="25" t="s">
        <v>77</v>
      </c>
      <c r="K1469" t="s">
        <v>26</v>
      </c>
      <c r="L1469" s="25" t="s">
        <v>68</v>
      </c>
      <c r="M1469" s="24">
        <v>41183</v>
      </c>
      <c r="N1469" s="25" t="s">
        <v>77</v>
      </c>
      <c r="O1469" t="s">
        <v>26</v>
      </c>
      <c r="P1469" s="24">
        <v>41183</v>
      </c>
      <c r="Q1469" s="25" t="s">
        <v>77</v>
      </c>
      <c r="R1469" t="s">
        <v>26</v>
      </c>
      <c r="S1469" t="s">
        <v>26</v>
      </c>
      <c r="T1469" t="s">
        <v>26</v>
      </c>
      <c r="U1469" t="s">
        <v>26</v>
      </c>
      <c r="V1469" t="s">
        <v>26</v>
      </c>
      <c r="W1469" s="24">
        <v>41183</v>
      </c>
      <c r="X1469" s="25" t="s">
        <v>77</v>
      </c>
      <c r="Y1469" t="s">
        <v>26</v>
      </c>
      <c r="Z1469" s="24">
        <v>41183</v>
      </c>
      <c r="AA1469" s="25" t="s">
        <v>77</v>
      </c>
      <c r="AB1469" t="s">
        <v>26</v>
      </c>
      <c r="AC1469" s="24">
        <v>41183</v>
      </c>
      <c r="AD1469" s="25" t="s">
        <v>77</v>
      </c>
      <c r="AE1469" t="s">
        <v>26</v>
      </c>
      <c r="AF1469" t="s">
        <v>26</v>
      </c>
      <c r="AG1469" t="s">
        <v>26</v>
      </c>
      <c r="AH1469" t="s">
        <v>26</v>
      </c>
      <c r="AI1469" t="s">
        <v>26</v>
      </c>
      <c r="AJ1469" t="s">
        <v>26</v>
      </c>
      <c r="AK1469" t="s">
        <v>26</v>
      </c>
      <c r="AL1469" t="s">
        <v>26</v>
      </c>
      <c r="AM1469" t="s">
        <v>26</v>
      </c>
      <c r="AN1469" t="s">
        <v>26</v>
      </c>
      <c r="AO1469" s="25" t="s">
        <v>68</v>
      </c>
      <c r="AP1469" s="23" t="s">
        <v>69</v>
      </c>
      <c r="AQ1469" s="23" t="s">
        <v>30</v>
      </c>
      <c r="AR1469" s="23" t="s">
        <v>417</v>
      </c>
      <c r="AS1469" s="25">
        <v>2030637</v>
      </c>
      <c r="AT1469" t="s">
        <v>26</v>
      </c>
      <c r="AU1469" t="s">
        <v>24172</v>
      </c>
    </row>
    <row r="1470" spans="1:47" ht="26.25" x14ac:dyDescent="0.4">
      <c r="A1470" s="23" t="s">
        <v>3729</v>
      </c>
      <c r="B1470" t="s">
        <v>26</v>
      </c>
      <c r="C1470" s="23" t="s">
        <v>73</v>
      </c>
      <c r="D1470" s="23" t="s">
        <v>22179</v>
      </c>
      <c r="E1470" s="23" t="s">
        <v>74</v>
      </c>
      <c r="F1470" s="25" t="s">
        <v>3730</v>
      </c>
      <c r="G1470" s="25" t="s">
        <v>3731</v>
      </c>
      <c r="H1470" t="s">
        <v>26</v>
      </c>
      <c r="I1470" s="24">
        <v>36251</v>
      </c>
      <c r="J1470" s="25" t="s">
        <v>77</v>
      </c>
      <c r="K1470" t="s">
        <v>26</v>
      </c>
      <c r="L1470" s="25" t="s">
        <v>68</v>
      </c>
      <c r="M1470" s="24">
        <v>38078</v>
      </c>
      <c r="N1470" s="24">
        <v>42826</v>
      </c>
      <c r="O1470" t="s">
        <v>26</v>
      </c>
      <c r="P1470" s="24">
        <v>36251</v>
      </c>
      <c r="Q1470" s="25" t="s">
        <v>77</v>
      </c>
      <c r="R1470" t="s">
        <v>26</v>
      </c>
      <c r="S1470" t="s">
        <v>26</v>
      </c>
      <c r="T1470" t="s">
        <v>26</v>
      </c>
      <c r="U1470" t="s">
        <v>26</v>
      </c>
      <c r="V1470" s="25">
        <v>365</v>
      </c>
      <c r="W1470" s="24">
        <v>36251</v>
      </c>
      <c r="X1470" s="25" t="s">
        <v>77</v>
      </c>
      <c r="Y1470" t="s">
        <v>26</v>
      </c>
      <c r="Z1470" s="24">
        <v>36251</v>
      </c>
      <c r="AA1470" s="25" t="s">
        <v>77</v>
      </c>
      <c r="AB1470" t="s">
        <v>26</v>
      </c>
      <c r="AC1470" s="24">
        <v>36251</v>
      </c>
      <c r="AD1470" s="25" t="s">
        <v>77</v>
      </c>
      <c r="AE1470" t="s">
        <v>26</v>
      </c>
      <c r="AF1470" t="s">
        <v>26</v>
      </c>
      <c r="AG1470" t="s">
        <v>26</v>
      </c>
      <c r="AH1470" t="s">
        <v>26</v>
      </c>
      <c r="AI1470" t="s">
        <v>26</v>
      </c>
      <c r="AJ1470" t="s">
        <v>26</v>
      </c>
      <c r="AK1470" t="s">
        <v>26</v>
      </c>
      <c r="AL1470" t="s">
        <v>26</v>
      </c>
      <c r="AM1470" t="s">
        <v>26</v>
      </c>
      <c r="AN1470" t="s">
        <v>26</v>
      </c>
      <c r="AO1470" s="25" t="s">
        <v>68</v>
      </c>
      <c r="AP1470" s="23" t="s">
        <v>69</v>
      </c>
      <c r="AQ1470" s="23" t="s">
        <v>30</v>
      </c>
      <c r="AR1470" s="23" t="s">
        <v>3732</v>
      </c>
      <c r="AS1470" s="25">
        <v>38113</v>
      </c>
      <c r="AT1470" t="s">
        <v>26</v>
      </c>
      <c r="AU1470" t="s">
        <v>24173</v>
      </c>
    </row>
    <row r="1471" spans="1:47" ht="26.25" x14ac:dyDescent="0.4">
      <c r="A1471" s="23" t="s">
        <v>3733</v>
      </c>
      <c r="B1471" t="s">
        <v>26</v>
      </c>
      <c r="C1471" s="23" t="s">
        <v>73</v>
      </c>
      <c r="D1471" s="23" t="s">
        <v>22179</v>
      </c>
      <c r="E1471" s="23" t="s">
        <v>74</v>
      </c>
      <c r="F1471" s="25" t="s">
        <v>3734</v>
      </c>
      <c r="G1471" s="25" t="s">
        <v>3735</v>
      </c>
      <c r="H1471" t="s">
        <v>26</v>
      </c>
      <c r="I1471" s="24">
        <v>37073</v>
      </c>
      <c r="J1471" s="25" t="s">
        <v>77</v>
      </c>
      <c r="K1471" s="25" t="s">
        <v>3736</v>
      </c>
      <c r="L1471" s="25" t="s">
        <v>68</v>
      </c>
      <c r="M1471" s="24">
        <v>37073</v>
      </c>
      <c r="N1471" s="24">
        <v>42887</v>
      </c>
      <c r="O1471" s="25" t="s">
        <v>3736</v>
      </c>
      <c r="P1471" s="24">
        <v>37073</v>
      </c>
      <c r="Q1471" s="25" t="s">
        <v>77</v>
      </c>
      <c r="R1471" s="25" t="s">
        <v>3737</v>
      </c>
      <c r="S1471" t="s">
        <v>26</v>
      </c>
      <c r="T1471" t="s">
        <v>26</v>
      </c>
      <c r="U1471" t="s">
        <v>26</v>
      </c>
      <c r="V1471" s="25">
        <v>365</v>
      </c>
      <c r="W1471" s="24">
        <v>37073</v>
      </c>
      <c r="X1471" s="25" t="s">
        <v>77</v>
      </c>
      <c r="Y1471" s="25" t="s">
        <v>3737</v>
      </c>
      <c r="Z1471" s="24">
        <v>37073</v>
      </c>
      <c r="AA1471" s="25" t="s">
        <v>77</v>
      </c>
      <c r="AB1471" s="25" t="s">
        <v>3737</v>
      </c>
      <c r="AC1471" s="24">
        <v>37073</v>
      </c>
      <c r="AD1471" s="25" t="s">
        <v>77</v>
      </c>
      <c r="AE1471" s="25" t="s">
        <v>3737</v>
      </c>
      <c r="AF1471" t="s">
        <v>26</v>
      </c>
      <c r="AG1471" t="s">
        <v>26</v>
      </c>
      <c r="AH1471" t="s">
        <v>26</v>
      </c>
      <c r="AI1471" t="s">
        <v>26</v>
      </c>
      <c r="AJ1471" t="s">
        <v>26</v>
      </c>
      <c r="AK1471" t="s">
        <v>26</v>
      </c>
      <c r="AL1471" t="s">
        <v>26</v>
      </c>
      <c r="AM1471" t="s">
        <v>26</v>
      </c>
      <c r="AN1471" t="s">
        <v>26</v>
      </c>
      <c r="AO1471" s="25" t="s">
        <v>68</v>
      </c>
      <c r="AP1471" s="23" t="s">
        <v>69</v>
      </c>
      <c r="AQ1471" s="23" t="s">
        <v>30</v>
      </c>
      <c r="AR1471" s="23" t="s">
        <v>1350</v>
      </c>
      <c r="AS1471" s="25">
        <v>30493</v>
      </c>
      <c r="AT1471" t="s">
        <v>26</v>
      </c>
      <c r="AU1471" t="s">
        <v>24174</v>
      </c>
    </row>
    <row r="1472" spans="1:47" ht="26.25" x14ac:dyDescent="0.4">
      <c r="A1472" s="23" t="s">
        <v>3738</v>
      </c>
      <c r="B1472" t="s">
        <v>26</v>
      </c>
      <c r="C1472" s="23" t="s">
        <v>73</v>
      </c>
      <c r="D1472" s="23" t="s">
        <v>22179</v>
      </c>
      <c r="E1472" s="23" t="s">
        <v>74</v>
      </c>
      <c r="F1472" s="25" t="s">
        <v>3739</v>
      </c>
      <c r="G1472" s="25" t="s">
        <v>3740</v>
      </c>
      <c r="H1472" t="s">
        <v>26</v>
      </c>
      <c r="I1472" s="24">
        <v>39234</v>
      </c>
      <c r="J1472" s="25" t="s">
        <v>77</v>
      </c>
      <c r="K1472" t="s">
        <v>26</v>
      </c>
      <c r="L1472" s="25" t="s">
        <v>68</v>
      </c>
      <c r="M1472" s="24">
        <v>39326</v>
      </c>
      <c r="N1472" s="24">
        <v>42826</v>
      </c>
      <c r="O1472" t="s">
        <v>26</v>
      </c>
      <c r="P1472" s="24">
        <v>39234</v>
      </c>
      <c r="Q1472" s="25" t="s">
        <v>77</v>
      </c>
      <c r="R1472" t="s">
        <v>26</v>
      </c>
      <c r="S1472" t="s">
        <v>26</v>
      </c>
      <c r="T1472" t="s">
        <v>26</v>
      </c>
      <c r="U1472" t="s">
        <v>26</v>
      </c>
      <c r="V1472" s="25">
        <v>365</v>
      </c>
      <c r="W1472" s="24">
        <v>39234</v>
      </c>
      <c r="X1472" s="25" t="s">
        <v>77</v>
      </c>
      <c r="Y1472" t="s">
        <v>26</v>
      </c>
      <c r="Z1472" s="24">
        <v>39234</v>
      </c>
      <c r="AA1472" s="25" t="s">
        <v>77</v>
      </c>
      <c r="AB1472" t="s">
        <v>26</v>
      </c>
      <c r="AC1472" s="24">
        <v>39234</v>
      </c>
      <c r="AD1472" s="25" t="s">
        <v>77</v>
      </c>
      <c r="AE1472" t="s">
        <v>26</v>
      </c>
      <c r="AF1472" t="s">
        <v>26</v>
      </c>
      <c r="AG1472" t="s">
        <v>26</v>
      </c>
      <c r="AH1472" t="s">
        <v>26</v>
      </c>
      <c r="AI1472" t="s">
        <v>26</v>
      </c>
      <c r="AJ1472" t="s">
        <v>26</v>
      </c>
      <c r="AK1472" t="s">
        <v>26</v>
      </c>
      <c r="AL1472" t="s">
        <v>26</v>
      </c>
      <c r="AM1472" t="s">
        <v>26</v>
      </c>
      <c r="AN1472" t="s">
        <v>26</v>
      </c>
      <c r="AO1472" s="25" t="s">
        <v>68</v>
      </c>
      <c r="AP1472" s="23" t="s">
        <v>69</v>
      </c>
      <c r="AQ1472" s="23" t="s">
        <v>30</v>
      </c>
      <c r="AR1472" s="23" t="s">
        <v>1350</v>
      </c>
      <c r="AS1472" s="25">
        <v>54423</v>
      </c>
      <c r="AT1472" t="s">
        <v>26</v>
      </c>
      <c r="AU1472" t="s">
        <v>24175</v>
      </c>
    </row>
    <row r="1473" spans="1:47" ht="26.25" x14ac:dyDescent="0.4">
      <c r="A1473" s="23" t="s">
        <v>3741</v>
      </c>
      <c r="B1473" t="s">
        <v>26</v>
      </c>
      <c r="C1473" s="23" t="s">
        <v>3742</v>
      </c>
      <c r="D1473" s="23" t="s">
        <v>22476</v>
      </c>
      <c r="E1473" s="23" t="s">
        <v>42</v>
      </c>
      <c r="F1473" s="25" t="s">
        <v>3743</v>
      </c>
      <c r="G1473" s="25" t="s">
        <v>3744</v>
      </c>
      <c r="H1473" t="s">
        <v>26</v>
      </c>
      <c r="I1473" t="s">
        <v>26</v>
      </c>
      <c r="J1473" t="s">
        <v>26</v>
      </c>
      <c r="K1473" t="s">
        <v>26</v>
      </c>
      <c r="L1473" s="25" t="s">
        <v>68</v>
      </c>
      <c r="M1473" t="s">
        <v>26</v>
      </c>
      <c r="N1473" t="s">
        <v>26</v>
      </c>
      <c r="O1473" t="s">
        <v>26</v>
      </c>
      <c r="P1473" t="s">
        <v>26</v>
      </c>
      <c r="Q1473" t="s">
        <v>26</v>
      </c>
      <c r="R1473" t="s">
        <v>26</v>
      </c>
      <c r="S1473" t="s">
        <v>26</v>
      </c>
      <c r="T1473" t="s">
        <v>26</v>
      </c>
      <c r="U1473" t="s">
        <v>26</v>
      </c>
      <c r="V1473" t="s">
        <v>26</v>
      </c>
      <c r="W1473" s="24">
        <v>35886</v>
      </c>
      <c r="X1473" s="24">
        <v>37165</v>
      </c>
      <c r="Y1473" t="s">
        <v>26</v>
      </c>
      <c r="Z1473" s="24">
        <v>35886</v>
      </c>
      <c r="AA1473" s="24">
        <v>37165</v>
      </c>
      <c r="AB1473" t="s">
        <v>26</v>
      </c>
      <c r="AC1473" t="s">
        <v>26</v>
      </c>
      <c r="AD1473" t="s">
        <v>26</v>
      </c>
      <c r="AE1473" t="s">
        <v>26</v>
      </c>
      <c r="AF1473" t="s">
        <v>26</v>
      </c>
      <c r="AG1473" t="s">
        <v>26</v>
      </c>
      <c r="AH1473" t="s">
        <v>26</v>
      </c>
      <c r="AI1473" t="s">
        <v>26</v>
      </c>
      <c r="AJ1473" t="s">
        <v>26</v>
      </c>
      <c r="AK1473" t="s">
        <v>26</v>
      </c>
      <c r="AL1473" t="s">
        <v>26</v>
      </c>
      <c r="AM1473" t="s">
        <v>26</v>
      </c>
      <c r="AN1473" t="s">
        <v>26</v>
      </c>
      <c r="AO1473" s="25" t="s">
        <v>68</v>
      </c>
      <c r="AP1473" s="23" t="s">
        <v>69</v>
      </c>
      <c r="AQ1473" s="23" t="s">
        <v>30</v>
      </c>
      <c r="AR1473" s="23" t="s">
        <v>1200</v>
      </c>
      <c r="AS1473" s="25">
        <v>33010</v>
      </c>
      <c r="AT1473" t="s">
        <v>26</v>
      </c>
      <c r="AU1473" t="s">
        <v>24176</v>
      </c>
    </row>
    <row r="1474" spans="1:47" ht="26.25" x14ac:dyDescent="0.4">
      <c r="A1474" s="23" t="s">
        <v>3745</v>
      </c>
      <c r="B1474" t="s">
        <v>26</v>
      </c>
      <c r="C1474" s="23" t="s">
        <v>73</v>
      </c>
      <c r="D1474" s="23" t="s">
        <v>22179</v>
      </c>
      <c r="E1474" s="23" t="s">
        <v>74</v>
      </c>
      <c r="F1474" s="25" t="s">
        <v>3746</v>
      </c>
      <c r="G1474" s="25" t="s">
        <v>3747</v>
      </c>
      <c r="H1474" t="s">
        <v>26</v>
      </c>
      <c r="I1474" s="24">
        <v>35796</v>
      </c>
      <c r="J1474" s="24">
        <v>38534</v>
      </c>
      <c r="K1474" t="s">
        <v>26</v>
      </c>
      <c r="L1474" s="25" t="s">
        <v>68</v>
      </c>
      <c r="M1474" t="s">
        <v>26</v>
      </c>
      <c r="N1474" t="s">
        <v>26</v>
      </c>
      <c r="O1474" t="s">
        <v>26</v>
      </c>
      <c r="P1474" s="24">
        <v>35796</v>
      </c>
      <c r="Q1474" s="24">
        <v>38534</v>
      </c>
      <c r="R1474" t="s">
        <v>26</v>
      </c>
      <c r="S1474" t="s">
        <v>26</v>
      </c>
      <c r="T1474" t="s">
        <v>26</v>
      </c>
      <c r="U1474" t="s">
        <v>26</v>
      </c>
      <c r="V1474" t="s">
        <v>26</v>
      </c>
      <c r="W1474" s="24">
        <v>35796</v>
      </c>
      <c r="X1474" s="24">
        <v>38534</v>
      </c>
      <c r="Y1474" t="s">
        <v>26</v>
      </c>
      <c r="Z1474" s="24">
        <v>35796</v>
      </c>
      <c r="AA1474" s="24">
        <v>38534</v>
      </c>
      <c r="AB1474" t="s">
        <v>26</v>
      </c>
      <c r="AC1474" s="24">
        <v>36161</v>
      </c>
      <c r="AD1474" s="24">
        <v>38534</v>
      </c>
      <c r="AE1474" t="s">
        <v>26</v>
      </c>
      <c r="AF1474" t="s">
        <v>26</v>
      </c>
      <c r="AG1474" t="s">
        <v>26</v>
      </c>
      <c r="AH1474" t="s">
        <v>26</v>
      </c>
      <c r="AI1474" t="s">
        <v>26</v>
      </c>
      <c r="AJ1474" t="s">
        <v>26</v>
      </c>
      <c r="AK1474" t="s">
        <v>26</v>
      </c>
      <c r="AL1474" t="s">
        <v>26</v>
      </c>
      <c r="AM1474" t="s">
        <v>26</v>
      </c>
      <c r="AN1474" t="s">
        <v>26</v>
      </c>
      <c r="AO1474" s="25" t="s">
        <v>68</v>
      </c>
      <c r="AP1474" s="23" t="s">
        <v>69</v>
      </c>
      <c r="AQ1474" s="23" t="s">
        <v>30</v>
      </c>
      <c r="AR1474" s="23" t="s">
        <v>3748</v>
      </c>
      <c r="AS1474" s="25">
        <v>47800</v>
      </c>
      <c r="AT1474" t="s">
        <v>26</v>
      </c>
      <c r="AU1474" t="s">
        <v>24177</v>
      </c>
    </row>
    <row r="1475" spans="1:47" ht="26.25" x14ac:dyDescent="0.4">
      <c r="A1475" s="23" t="s">
        <v>3745</v>
      </c>
      <c r="B1475" t="s">
        <v>26</v>
      </c>
      <c r="C1475" s="23" t="s">
        <v>107</v>
      </c>
      <c r="D1475" s="23" t="s">
        <v>22179</v>
      </c>
      <c r="E1475" s="23" t="s">
        <v>42</v>
      </c>
      <c r="F1475" s="25" t="s">
        <v>3746</v>
      </c>
      <c r="G1475" s="25" t="s">
        <v>3747</v>
      </c>
      <c r="H1475" t="s">
        <v>26</v>
      </c>
      <c r="I1475" t="s">
        <v>26</v>
      </c>
      <c r="J1475" t="s">
        <v>26</v>
      </c>
      <c r="K1475" t="s">
        <v>26</v>
      </c>
      <c r="L1475" s="25" t="s">
        <v>68</v>
      </c>
      <c r="M1475" t="s">
        <v>26</v>
      </c>
      <c r="N1475" t="s">
        <v>26</v>
      </c>
      <c r="O1475" t="s">
        <v>26</v>
      </c>
      <c r="P1475" t="s">
        <v>26</v>
      </c>
      <c r="Q1475" t="s">
        <v>26</v>
      </c>
      <c r="R1475" t="s">
        <v>26</v>
      </c>
      <c r="S1475" t="s">
        <v>26</v>
      </c>
      <c r="T1475" t="s">
        <v>26</v>
      </c>
      <c r="U1475" t="s">
        <v>26</v>
      </c>
      <c r="V1475" t="s">
        <v>26</v>
      </c>
      <c r="W1475" s="24">
        <v>42767</v>
      </c>
      <c r="X1475" s="25" t="s">
        <v>77</v>
      </c>
      <c r="Y1475" t="s">
        <v>26</v>
      </c>
      <c r="Z1475" s="24">
        <v>42767</v>
      </c>
      <c r="AA1475" s="25" t="s">
        <v>77</v>
      </c>
      <c r="AB1475" t="s">
        <v>26</v>
      </c>
      <c r="AC1475" s="24">
        <v>42767</v>
      </c>
      <c r="AD1475" s="25" t="s">
        <v>77</v>
      </c>
      <c r="AE1475" t="s">
        <v>26</v>
      </c>
      <c r="AF1475" t="s">
        <v>26</v>
      </c>
      <c r="AG1475" t="s">
        <v>26</v>
      </c>
      <c r="AH1475" t="s">
        <v>26</v>
      </c>
      <c r="AI1475" t="s">
        <v>26</v>
      </c>
      <c r="AJ1475" t="s">
        <v>26</v>
      </c>
      <c r="AK1475" t="s">
        <v>26</v>
      </c>
      <c r="AL1475" t="s">
        <v>26</v>
      </c>
      <c r="AM1475" t="s">
        <v>26</v>
      </c>
      <c r="AN1475" t="s">
        <v>26</v>
      </c>
      <c r="AO1475" s="25" t="s">
        <v>68</v>
      </c>
      <c r="AP1475" s="23" t="s">
        <v>69</v>
      </c>
      <c r="AQ1475" s="23" t="s">
        <v>30</v>
      </c>
      <c r="AR1475" s="23" t="s">
        <v>3748</v>
      </c>
      <c r="AS1475" s="25">
        <v>4366611</v>
      </c>
      <c r="AT1475" t="s">
        <v>26</v>
      </c>
      <c r="AU1475" t="s">
        <v>24178</v>
      </c>
    </row>
    <row r="1476" spans="1:47" ht="26.25" x14ac:dyDescent="0.4">
      <c r="A1476" s="23" t="s">
        <v>3749</v>
      </c>
      <c r="B1476" t="s">
        <v>26</v>
      </c>
      <c r="C1476" s="23" t="s">
        <v>80</v>
      </c>
      <c r="D1476" s="23" t="s">
        <v>22174</v>
      </c>
      <c r="E1476" s="23" t="s">
        <v>60</v>
      </c>
      <c r="F1476" s="25" t="s">
        <v>3750</v>
      </c>
      <c r="G1476" s="25" t="s">
        <v>3751</v>
      </c>
      <c r="H1476" t="s">
        <v>26</v>
      </c>
      <c r="I1476" t="s">
        <v>26</v>
      </c>
      <c r="J1476" t="s">
        <v>26</v>
      </c>
      <c r="K1476" t="s">
        <v>26</v>
      </c>
      <c r="L1476" s="25" t="s">
        <v>68</v>
      </c>
      <c r="M1476" t="s">
        <v>26</v>
      </c>
      <c r="N1476" t="s">
        <v>26</v>
      </c>
      <c r="O1476" t="s">
        <v>26</v>
      </c>
      <c r="P1476" t="s">
        <v>26</v>
      </c>
      <c r="Q1476" t="s">
        <v>26</v>
      </c>
      <c r="R1476" t="s">
        <v>26</v>
      </c>
      <c r="S1476" t="s">
        <v>26</v>
      </c>
      <c r="T1476" t="s">
        <v>26</v>
      </c>
      <c r="U1476" t="s">
        <v>26</v>
      </c>
      <c r="V1476" t="s">
        <v>26</v>
      </c>
      <c r="W1476" s="24">
        <v>37104</v>
      </c>
      <c r="X1476" s="25" t="s">
        <v>77</v>
      </c>
      <c r="Y1476" t="s">
        <v>26</v>
      </c>
      <c r="Z1476" s="24">
        <v>37104</v>
      </c>
      <c r="AA1476" s="25" t="s">
        <v>77</v>
      </c>
      <c r="AB1476" t="s">
        <v>26</v>
      </c>
      <c r="AC1476" s="24">
        <v>37104</v>
      </c>
      <c r="AD1476" s="25" t="s">
        <v>77</v>
      </c>
      <c r="AE1476" t="s">
        <v>26</v>
      </c>
      <c r="AF1476" t="s">
        <v>26</v>
      </c>
      <c r="AG1476" t="s">
        <v>26</v>
      </c>
      <c r="AH1476" t="s">
        <v>26</v>
      </c>
      <c r="AI1476" t="s">
        <v>26</v>
      </c>
      <c r="AJ1476" t="s">
        <v>26</v>
      </c>
      <c r="AK1476" t="s">
        <v>26</v>
      </c>
      <c r="AL1476" t="s">
        <v>26</v>
      </c>
      <c r="AM1476" t="s">
        <v>26</v>
      </c>
      <c r="AN1476" t="s">
        <v>26</v>
      </c>
      <c r="AO1476" s="25" t="s">
        <v>68</v>
      </c>
      <c r="AP1476" s="23" t="s">
        <v>69</v>
      </c>
      <c r="AQ1476" s="23" t="s">
        <v>30</v>
      </c>
      <c r="AR1476" s="23" t="s">
        <v>128</v>
      </c>
      <c r="AS1476" s="25">
        <v>27404</v>
      </c>
      <c r="AT1476" t="s">
        <v>26</v>
      </c>
      <c r="AU1476" t="s">
        <v>24179</v>
      </c>
    </row>
    <row r="1477" spans="1:47" ht="26.25" x14ac:dyDescent="0.4">
      <c r="A1477" s="23" t="s">
        <v>3752</v>
      </c>
      <c r="B1477" t="s">
        <v>26</v>
      </c>
      <c r="C1477" s="23" t="s">
        <v>3753</v>
      </c>
      <c r="D1477" s="23" t="s">
        <v>24180</v>
      </c>
      <c r="E1477" s="23" t="s">
        <v>42</v>
      </c>
      <c r="F1477" s="25" t="s">
        <v>3754</v>
      </c>
      <c r="G1477" t="s">
        <v>26</v>
      </c>
      <c r="H1477" t="s">
        <v>26</v>
      </c>
      <c r="I1477" s="24">
        <v>37622</v>
      </c>
      <c r="J1477" s="25" t="s">
        <v>77</v>
      </c>
      <c r="K1477" t="s">
        <v>26</v>
      </c>
      <c r="L1477" s="25" t="s">
        <v>68</v>
      </c>
      <c r="M1477" s="24">
        <v>37622</v>
      </c>
      <c r="N1477" s="25" t="s">
        <v>77</v>
      </c>
      <c r="O1477" t="s">
        <v>26</v>
      </c>
      <c r="P1477" s="24">
        <v>37622</v>
      </c>
      <c r="Q1477" s="25" t="s">
        <v>77</v>
      </c>
      <c r="R1477" t="s">
        <v>26</v>
      </c>
      <c r="S1477" t="s">
        <v>26</v>
      </c>
      <c r="T1477" t="s">
        <v>26</v>
      </c>
      <c r="U1477" t="s">
        <v>26</v>
      </c>
      <c r="V1477" t="s">
        <v>26</v>
      </c>
      <c r="W1477" s="24">
        <v>37622</v>
      </c>
      <c r="X1477" s="25" t="s">
        <v>77</v>
      </c>
      <c r="Y1477" t="s">
        <v>26</v>
      </c>
      <c r="Z1477" s="24">
        <v>37622</v>
      </c>
      <c r="AA1477" s="25" t="s">
        <v>77</v>
      </c>
      <c r="AB1477" t="s">
        <v>26</v>
      </c>
      <c r="AC1477" s="24">
        <v>37622</v>
      </c>
      <c r="AD1477" s="25" t="s">
        <v>77</v>
      </c>
      <c r="AE1477" t="s">
        <v>26</v>
      </c>
      <c r="AF1477" t="s">
        <v>26</v>
      </c>
      <c r="AG1477" t="s">
        <v>26</v>
      </c>
      <c r="AH1477" t="s">
        <v>26</v>
      </c>
      <c r="AI1477" t="s">
        <v>26</v>
      </c>
      <c r="AJ1477" t="s">
        <v>26</v>
      </c>
      <c r="AK1477" t="s">
        <v>26</v>
      </c>
      <c r="AL1477" t="s">
        <v>26</v>
      </c>
      <c r="AM1477" t="s">
        <v>26</v>
      </c>
      <c r="AN1477" t="s">
        <v>26</v>
      </c>
      <c r="AO1477" s="25" t="s">
        <v>28</v>
      </c>
      <c r="AP1477" s="23" t="s">
        <v>69</v>
      </c>
      <c r="AQ1477" s="23" t="s">
        <v>30</v>
      </c>
      <c r="AR1477" s="23" t="s">
        <v>3755</v>
      </c>
      <c r="AS1477" s="25">
        <v>27598</v>
      </c>
      <c r="AT1477" t="s">
        <v>26</v>
      </c>
      <c r="AU1477" t="s">
        <v>24181</v>
      </c>
    </row>
    <row r="1478" spans="1:47" ht="26.25" x14ac:dyDescent="0.4">
      <c r="A1478" s="23" t="s">
        <v>3756</v>
      </c>
      <c r="B1478" t="s">
        <v>26</v>
      </c>
      <c r="C1478" s="23" t="s">
        <v>1958</v>
      </c>
      <c r="D1478" s="23" t="s">
        <v>22174</v>
      </c>
      <c r="E1478" s="23" t="s">
        <v>60</v>
      </c>
      <c r="F1478" s="25" t="s">
        <v>3757</v>
      </c>
      <c r="G1478" s="25" t="s">
        <v>3758</v>
      </c>
      <c r="H1478" t="s">
        <v>26</v>
      </c>
      <c r="I1478" t="s">
        <v>26</v>
      </c>
      <c r="J1478" t="s">
        <v>26</v>
      </c>
      <c r="K1478" t="s">
        <v>26</v>
      </c>
      <c r="L1478" s="25" t="s">
        <v>68</v>
      </c>
      <c r="M1478" t="s">
        <v>26</v>
      </c>
      <c r="N1478" t="s">
        <v>26</v>
      </c>
      <c r="O1478" t="s">
        <v>26</v>
      </c>
      <c r="P1478" t="s">
        <v>26</v>
      </c>
      <c r="Q1478" t="s">
        <v>26</v>
      </c>
      <c r="R1478" t="s">
        <v>26</v>
      </c>
      <c r="S1478" t="s">
        <v>26</v>
      </c>
      <c r="T1478" t="s">
        <v>26</v>
      </c>
      <c r="U1478" t="s">
        <v>26</v>
      </c>
      <c r="V1478" t="s">
        <v>26</v>
      </c>
      <c r="W1478" s="24">
        <v>37803</v>
      </c>
      <c r="X1478" s="24">
        <v>44013</v>
      </c>
      <c r="Y1478" t="s">
        <v>26</v>
      </c>
      <c r="Z1478" s="24">
        <v>37803</v>
      </c>
      <c r="AA1478" s="24">
        <v>44013</v>
      </c>
      <c r="AB1478" t="s">
        <v>26</v>
      </c>
      <c r="AC1478" s="24">
        <v>37803</v>
      </c>
      <c r="AD1478" s="24">
        <v>44013</v>
      </c>
      <c r="AE1478" t="s">
        <v>26</v>
      </c>
      <c r="AF1478" t="s">
        <v>26</v>
      </c>
      <c r="AG1478" t="s">
        <v>26</v>
      </c>
      <c r="AH1478" t="s">
        <v>26</v>
      </c>
      <c r="AI1478" t="s">
        <v>26</v>
      </c>
      <c r="AJ1478" t="s">
        <v>26</v>
      </c>
      <c r="AK1478" t="s">
        <v>26</v>
      </c>
      <c r="AL1478" t="s">
        <v>26</v>
      </c>
      <c r="AM1478" t="s">
        <v>26</v>
      </c>
      <c r="AN1478" t="s">
        <v>26</v>
      </c>
      <c r="AO1478" s="25" t="s">
        <v>68</v>
      </c>
      <c r="AP1478" s="23" t="s">
        <v>69</v>
      </c>
      <c r="AQ1478" s="23" t="s">
        <v>30</v>
      </c>
      <c r="AR1478" s="23" t="s">
        <v>3759</v>
      </c>
      <c r="AS1478" s="25">
        <v>46986</v>
      </c>
      <c r="AT1478" t="s">
        <v>26</v>
      </c>
      <c r="AU1478" t="s">
        <v>24182</v>
      </c>
    </row>
    <row r="1479" spans="1:47" ht="26.25" x14ac:dyDescent="0.4">
      <c r="A1479" s="23" t="s">
        <v>3760</v>
      </c>
      <c r="B1479" t="s">
        <v>26</v>
      </c>
      <c r="C1479" s="23" t="s">
        <v>73</v>
      </c>
      <c r="D1479" s="23" t="s">
        <v>22211</v>
      </c>
      <c r="E1479" s="23" t="s">
        <v>74</v>
      </c>
      <c r="F1479" s="25" t="s">
        <v>3761</v>
      </c>
      <c r="G1479" s="25" t="s">
        <v>3762</v>
      </c>
      <c r="H1479" t="s">
        <v>26</v>
      </c>
      <c r="I1479" t="s">
        <v>26</v>
      </c>
      <c r="J1479" t="s">
        <v>26</v>
      </c>
      <c r="K1479" t="s">
        <v>26</v>
      </c>
      <c r="L1479" s="25" t="s">
        <v>68</v>
      </c>
      <c r="M1479" t="s">
        <v>26</v>
      </c>
      <c r="N1479" t="s">
        <v>26</v>
      </c>
      <c r="O1479" t="s">
        <v>26</v>
      </c>
      <c r="P1479" t="s">
        <v>26</v>
      </c>
      <c r="Q1479" t="s">
        <v>26</v>
      </c>
      <c r="R1479" t="s">
        <v>26</v>
      </c>
      <c r="S1479" t="s">
        <v>26</v>
      </c>
      <c r="T1479" t="s">
        <v>26</v>
      </c>
      <c r="U1479" t="s">
        <v>26</v>
      </c>
      <c r="V1479" t="s">
        <v>26</v>
      </c>
      <c r="W1479" s="24">
        <v>40544</v>
      </c>
      <c r="X1479" s="25" t="s">
        <v>77</v>
      </c>
      <c r="Y1479" s="25" t="s">
        <v>3763</v>
      </c>
      <c r="Z1479" s="24">
        <v>40544</v>
      </c>
      <c r="AA1479" s="25" t="s">
        <v>77</v>
      </c>
      <c r="AB1479" s="25" t="s">
        <v>3763</v>
      </c>
      <c r="AC1479" s="24">
        <v>40544</v>
      </c>
      <c r="AD1479" s="25" t="s">
        <v>77</v>
      </c>
      <c r="AE1479" s="25" t="s">
        <v>3763</v>
      </c>
      <c r="AF1479" t="s">
        <v>26</v>
      </c>
      <c r="AG1479" t="s">
        <v>26</v>
      </c>
      <c r="AH1479" t="s">
        <v>26</v>
      </c>
      <c r="AI1479" t="s">
        <v>26</v>
      </c>
      <c r="AJ1479" t="s">
        <v>26</v>
      </c>
      <c r="AK1479" t="s">
        <v>26</v>
      </c>
      <c r="AL1479" t="s">
        <v>26</v>
      </c>
      <c r="AM1479" t="s">
        <v>26</v>
      </c>
      <c r="AN1479" t="s">
        <v>26</v>
      </c>
      <c r="AO1479" s="25" t="s">
        <v>68</v>
      </c>
      <c r="AP1479" s="23" t="s">
        <v>69</v>
      </c>
      <c r="AQ1479" s="23" t="s">
        <v>30</v>
      </c>
      <c r="AR1479" s="23" t="s">
        <v>1419</v>
      </c>
      <c r="AS1479" s="25">
        <v>436399</v>
      </c>
      <c r="AT1479" t="s">
        <v>26</v>
      </c>
      <c r="AU1479" t="s">
        <v>24183</v>
      </c>
    </row>
    <row r="1480" spans="1:47" ht="26.25" x14ac:dyDescent="0.4">
      <c r="A1480" s="23" t="s">
        <v>3764</v>
      </c>
      <c r="B1480" t="s">
        <v>26</v>
      </c>
      <c r="C1480" s="23" t="s">
        <v>167</v>
      </c>
      <c r="D1480" s="23" t="s">
        <v>22218</v>
      </c>
      <c r="E1480" s="23" t="s">
        <v>60</v>
      </c>
      <c r="F1480" s="25" t="s">
        <v>3765</v>
      </c>
      <c r="G1480" s="25" t="s">
        <v>3766</v>
      </c>
      <c r="H1480" t="s">
        <v>26</v>
      </c>
      <c r="I1480" s="24">
        <v>36923</v>
      </c>
      <c r="J1480" s="25" t="s">
        <v>77</v>
      </c>
      <c r="K1480" t="s">
        <v>26</v>
      </c>
      <c r="L1480" s="25" t="s">
        <v>68</v>
      </c>
      <c r="M1480" s="24">
        <v>39295</v>
      </c>
      <c r="N1480" s="25" t="s">
        <v>77</v>
      </c>
      <c r="O1480" t="s">
        <v>26</v>
      </c>
      <c r="P1480" s="24">
        <v>36923</v>
      </c>
      <c r="Q1480" s="25" t="s">
        <v>77</v>
      </c>
      <c r="R1480" t="s">
        <v>26</v>
      </c>
      <c r="S1480" t="s">
        <v>26</v>
      </c>
      <c r="T1480" t="s">
        <v>26</v>
      </c>
      <c r="U1480" t="s">
        <v>26</v>
      </c>
      <c r="V1480" s="25">
        <v>365</v>
      </c>
      <c r="W1480" s="24">
        <v>36923</v>
      </c>
      <c r="X1480" s="25" t="s">
        <v>77</v>
      </c>
      <c r="Y1480" t="s">
        <v>26</v>
      </c>
      <c r="Z1480" s="24">
        <v>36923</v>
      </c>
      <c r="AA1480" s="25" t="s">
        <v>77</v>
      </c>
      <c r="AB1480" t="s">
        <v>26</v>
      </c>
      <c r="AC1480" s="24">
        <v>36923</v>
      </c>
      <c r="AD1480" s="25" t="s">
        <v>77</v>
      </c>
      <c r="AE1480" t="s">
        <v>26</v>
      </c>
      <c r="AF1480" t="s">
        <v>26</v>
      </c>
      <c r="AG1480" t="s">
        <v>26</v>
      </c>
      <c r="AH1480" t="s">
        <v>26</v>
      </c>
      <c r="AI1480" t="s">
        <v>26</v>
      </c>
      <c r="AJ1480" t="s">
        <v>26</v>
      </c>
      <c r="AK1480" t="s">
        <v>26</v>
      </c>
      <c r="AL1480" t="s">
        <v>26</v>
      </c>
      <c r="AM1480" t="s">
        <v>26</v>
      </c>
      <c r="AN1480" t="s">
        <v>26</v>
      </c>
      <c r="AO1480" s="25" t="s">
        <v>68</v>
      </c>
      <c r="AP1480" s="23" t="s">
        <v>69</v>
      </c>
      <c r="AQ1480" s="23" t="s">
        <v>30</v>
      </c>
      <c r="AR1480" s="23" t="s">
        <v>3767</v>
      </c>
      <c r="AS1480" s="25">
        <v>49003</v>
      </c>
      <c r="AT1480" t="s">
        <v>26</v>
      </c>
      <c r="AU1480" t="s">
        <v>24184</v>
      </c>
    </row>
    <row r="1481" spans="1:47" ht="26.25" x14ac:dyDescent="0.4">
      <c r="A1481" s="23" t="s">
        <v>3768</v>
      </c>
      <c r="B1481" t="s">
        <v>26</v>
      </c>
      <c r="C1481" s="23" t="s">
        <v>107</v>
      </c>
      <c r="D1481" s="23" t="s">
        <v>22497</v>
      </c>
      <c r="E1481" s="23" t="s">
        <v>42</v>
      </c>
      <c r="F1481" s="25" t="s">
        <v>3769</v>
      </c>
      <c r="G1481" s="25" t="s">
        <v>3770</v>
      </c>
      <c r="H1481" t="s">
        <v>26</v>
      </c>
      <c r="I1481" s="24">
        <v>35370</v>
      </c>
      <c r="J1481" s="24">
        <v>36800</v>
      </c>
      <c r="K1481" t="s">
        <v>26</v>
      </c>
      <c r="L1481" s="25" t="s">
        <v>68</v>
      </c>
      <c r="M1481" s="24">
        <v>35431</v>
      </c>
      <c r="N1481" s="24">
        <v>36800</v>
      </c>
      <c r="O1481" t="s">
        <v>26</v>
      </c>
      <c r="P1481" s="24">
        <v>35370</v>
      </c>
      <c r="Q1481" s="24">
        <v>36800</v>
      </c>
      <c r="R1481" t="s">
        <v>26</v>
      </c>
      <c r="S1481" t="s">
        <v>26</v>
      </c>
      <c r="T1481" t="s">
        <v>26</v>
      </c>
      <c r="U1481" t="s">
        <v>26</v>
      </c>
      <c r="V1481" t="s">
        <v>26</v>
      </c>
      <c r="W1481" s="24">
        <v>35004</v>
      </c>
      <c r="X1481" s="24">
        <v>37165</v>
      </c>
      <c r="Y1481" t="s">
        <v>26</v>
      </c>
      <c r="Z1481" s="24">
        <v>35004</v>
      </c>
      <c r="AA1481" s="24">
        <v>37165</v>
      </c>
      <c r="AB1481" t="s">
        <v>26</v>
      </c>
      <c r="AC1481" s="24">
        <v>35431</v>
      </c>
      <c r="AD1481" s="24">
        <v>37165</v>
      </c>
      <c r="AE1481" t="s">
        <v>26</v>
      </c>
      <c r="AF1481" t="s">
        <v>26</v>
      </c>
      <c r="AG1481" t="s">
        <v>26</v>
      </c>
      <c r="AH1481" t="s">
        <v>26</v>
      </c>
      <c r="AI1481" t="s">
        <v>26</v>
      </c>
      <c r="AJ1481" t="s">
        <v>26</v>
      </c>
      <c r="AK1481" t="s">
        <v>26</v>
      </c>
      <c r="AL1481" t="s">
        <v>26</v>
      </c>
      <c r="AM1481" t="s">
        <v>26</v>
      </c>
      <c r="AN1481" t="s">
        <v>26</v>
      </c>
      <c r="AO1481" s="25" t="s">
        <v>68</v>
      </c>
      <c r="AP1481" s="23" t="s">
        <v>69</v>
      </c>
      <c r="AQ1481" s="23" t="s">
        <v>30</v>
      </c>
      <c r="AR1481" s="23" t="s">
        <v>3771</v>
      </c>
      <c r="AS1481" s="25">
        <v>36786</v>
      </c>
      <c r="AT1481" t="s">
        <v>26</v>
      </c>
      <c r="AU1481" t="s">
        <v>24185</v>
      </c>
    </row>
    <row r="1482" spans="1:47" ht="26.25" x14ac:dyDescent="0.4">
      <c r="A1482" s="23" t="s">
        <v>3772</v>
      </c>
      <c r="B1482" t="s">
        <v>26</v>
      </c>
      <c r="C1482" s="23" t="s">
        <v>172</v>
      </c>
      <c r="D1482" s="23" t="s">
        <v>23616</v>
      </c>
      <c r="E1482" s="23" t="s">
        <v>60</v>
      </c>
      <c r="F1482" s="25" t="s">
        <v>3773</v>
      </c>
      <c r="G1482" s="25" t="s">
        <v>3774</v>
      </c>
      <c r="H1482" t="s">
        <v>26</v>
      </c>
      <c r="I1482" t="s">
        <v>26</v>
      </c>
      <c r="J1482" t="s">
        <v>26</v>
      </c>
      <c r="K1482" t="s">
        <v>26</v>
      </c>
      <c r="L1482" s="25" t="s">
        <v>68</v>
      </c>
      <c r="M1482" t="s">
        <v>26</v>
      </c>
      <c r="N1482" t="s">
        <v>26</v>
      </c>
      <c r="O1482" t="s">
        <v>26</v>
      </c>
      <c r="P1482" t="s">
        <v>26</v>
      </c>
      <c r="Q1482" t="s">
        <v>26</v>
      </c>
      <c r="R1482" t="s">
        <v>26</v>
      </c>
      <c r="S1482" t="s">
        <v>26</v>
      </c>
      <c r="T1482" t="s">
        <v>26</v>
      </c>
      <c r="U1482" t="s">
        <v>26</v>
      </c>
      <c r="V1482" t="s">
        <v>26</v>
      </c>
      <c r="W1482" s="24">
        <v>34881</v>
      </c>
      <c r="X1482" s="25" t="s">
        <v>77</v>
      </c>
      <c r="Y1482" t="s">
        <v>26</v>
      </c>
      <c r="Z1482" s="24">
        <v>34881</v>
      </c>
      <c r="AA1482" s="25" t="s">
        <v>77</v>
      </c>
      <c r="AB1482" t="s">
        <v>26</v>
      </c>
      <c r="AC1482" s="24">
        <v>34881</v>
      </c>
      <c r="AD1482" s="25" t="s">
        <v>77</v>
      </c>
      <c r="AE1482" t="s">
        <v>26</v>
      </c>
      <c r="AF1482" t="s">
        <v>26</v>
      </c>
      <c r="AG1482" t="s">
        <v>26</v>
      </c>
      <c r="AH1482" t="s">
        <v>26</v>
      </c>
      <c r="AI1482" t="s">
        <v>26</v>
      </c>
      <c r="AJ1482" t="s">
        <v>26</v>
      </c>
      <c r="AK1482" t="s">
        <v>26</v>
      </c>
      <c r="AL1482" t="s">
        <v>26</v>
      </c>
      <c r="AM1482" t="s">
        <v>26</v>
      </c>
      <c r="AN1482" t="s">
        <v>26</v>
      </c>
      <c r="AO1482" s="25" t="s">
        <v>68</v>
      </c>
      <c r="AP1482" s="23" t="s">
        <v>69</v>
      </c>
      <c r="AQ1482" s="23" t="s">
        <v>30</v>
      </c>
      <c r="AR1482" s="23" t="s">
        <v>71</v>
      </c>
      <c r="AS1482" s="25">
        <v>51545</v>
      </c>
      <c r="AT1482" t="s">
        <v>26</v>
      </c>
      <c r="AU1482" t="s">
        <v>24186</v>
      </c>
    </row>
    <row r="1483" spans="1:47" ht="26.25" x14ac:dyDescent="0.4">
      <c r="A1483" s="23" t="s">
        <v>3775</v>
      </c>
      <c r="B1483" t="s">
        <v>26</v>
      </c>
      <c r="C1483" s="23" t="s">
        <v>80</v>
      </c>
      <c r="D1483" s="23" t="s">
        <v>22184</v>
      </c>
      <c r="E1483" s="23" t="s">
        <v>60</v>
      </c>
      <c r="F1483" s="25" t="s">
        <v>3776</v>
      </c>
      <c r="G1483" t="s">
        <v>26</v>
      </c>
      <c r="H1483" t="s">
        <v>26</v>
      </c>
      <c r="I1483" t="s">
        <v>26</v>
      </c>
      <c r="J1483" t="s">
        <v>26</v>
      </c>
      <c r="K1483" t="s">
        <v>26</v>
      </c>
      <c r="L1483" s="25" t="s">
        <v>68</v>
      </c>
      <c r="M1483" t="s">
        <v>26</v>
      </c>
      <c r="N1483" t="s">
        <v>26</v>
      </c>
      <c r="O1483" t="s">
        <v>26</v>
      </c>
      <c r="P1483" t="s">
        <v>26</v>
      </c>
      <c r="Q1483" t="s">
        <v>26</v>
      </c>
      <c r="R1483" t="s">
        <v>26</v>
      </c>
      <c r="S1483" t="s">
        <v>26</v>
      </c>
      <c r="T1483" t="s">
        <v>26</v>
      </c>
      <c r="U1483" t="s">
        <v>26</v>
      </c>
      <c r="V1483" t="s">
        <v>26</v>
      </c>
      <c r="W1483" s="24">
        <v>43313</v>
      </c>
      <c r="X1483" s="24">
        <v>43800</v>
      </c>
      <c r="Y1483" t="s">
        <v>26</v>
      </c>
      <c r="Z1483" s="24">
        <v>43313</v>
      </c>
      <c r="AA1483" s="24">
        <v>43800</v>
      </c>
      <c r="AB1483" t="s">
        <v>26</v>
      </c>
      <c r="AC1483" s="24">
        <v>43313</v>
      </c>
      <c r="AD1483" s="24">
        <v>43800</v>
      </c>
      <c r="AE1483" t="s">
        <v>26</v>
      </c>
      <c r="AF1483" t="s">
        <v>26</v>
      </c>
      <c r="AG1483" t="s">
        <v>26</v>
      </c>
      <c r="AH1483" t="s">
        <v>26</v>
      </c>
      <c r="AI1483" t="s">
        <v>26</v>
      </c>
      <c r="AJ1483" t="s">
        <v>26</v>
      </c>
      <c r="AK1483" t="s">
        <v>26</v>
      </c>
      <c r="AL1483" t="s">
        <v>26</v>
      </c>
      <c r="AM1483" t="s">
        <v>26</v>
      </c>
      <c r="AN1483" t="s">
        <v>26</v>
      </c>
      <c r="AO1483" s="25" t="s">
        <v>68</v>
      </c>
      <c r="AP1483" s="23" t="s">
        <v>69</v>
      </c>
      <c r="AQ1483" s="23" t="s">
        <v>30</v>
      </c>
      <c r="AR1483" s="23" t="s">
        <v>1419</v>
      </c>
      <c r="AS1483" s="25">
        <v>53076</v>
      </c>
      <c r="AT1483" t="s">
        <v>26</v>
      </c>
      <c r="AU1483" t="s">
        <v>24187</v>
      </c>
    </row>
    <row r="1484" spans="1:47" ht="26.25" x14ac:dyDescent="0.4">
      <c r="A1484" s="23" t="s">
        <v>3775</v>
      </c>
      <c r="B1484" t="s">
        <v>26</v>
      </c>
      <c r="C1484" s="23" t="s">
        <v>80</v>
      </c>
      <c r="D1484" s="23" t="s">
        <v>22174</v>
      </c>
      <c r="E1484" s="23" t="s">
        <v>60</v>
      </c>
      <c r="F1484" s="25" t="s">
        <v>3776</v>
      </c>
      <c r="G1484" t="s">
        <v>26</v>
      </c>
      <c r="H1484" t="s">
        <v>26</v>
      </c>
      <c r="I1484" t="s">
        <v>26</v>
      </c>
      <c r="J1484" t="s">
        <v>26</v>
      </c>
      <c r="K1484" t="s">
        <v>26</v>
      </c>
      <c r="L1484" s="25" t="s">
        <v>68</v>
      </c>
      <c r="M1484" t="s">
        <v>26</v>
      </c>
      <c r="N1484" t="s">
        <v>26</v>
      </c>
      <c r="O1484" t="s">
        <v>26</v>
      </c>
      <c r="P1484" t="s">
        <v>26</v>
      </c>
      <c r="Q1484" t="s">
        <v>26</v>
      </c>
      <c r="R1484" t="s">
        <v>26</v>
      </c>
      <c r="S1484" t="s">
        <v>26</v>
      </c>
      <c r="T1484" t="s">
        <v>26</v>
      </c>
      <c r="U1484" t="s">
        <v>26</v>
      </c>
      <c r="V1484" t="s">
        <v>26</v>
      </c>
      <c r="W1484" s="24">
        <v>42583</v>
      </c>
      <c r="X1484" s="25" t="s">
        <v>77</v>
      </c>
      <c r="Y1484" t="s">
        <v>26</v>
      </c>
      <c r="Z1484" s="24">
        <v>42583</v>
      </c>
      <c r="AA1484" s="25" t="s">
        <v>77</v>
      </c>
      <c r="AB1484" t="s">
        <v>26</v>
      </c>
      <c r="AC1484" s="24">
        <v>42583</v>
      </c>
      <c r="AD1484" s="25" t="s">
        <v>77</v>
      </c>
      <c r="AE1484" t="s">
        <v>26</v>
      </c>
      <c r="AF1484" t="s">
        <v>26</v>
      </c>
      <c r="AG1484" t="s">
        <v>26</v>
      </c>
      <c r="AH1484" t="s">
        <v>26</v>
      </c>
      <c r="AI1484" t="s">
        <v>26</v>
      </c>
      <c r="AJ1484" t="s">
        <v>26</v>
      </c>
      <c r="AK1484" t="s">
        <v>26</v>
      </c>
      <c r="AL1484" t="s">
        <v>26</v>
      </c>
      <c r="AM1484" t="s">
        <v>26</v>
      </c>
      <c r="AN1484" t="s">
        <v>26</v>
      </c>
      <c r="AO1484" s="25" t="s">
        <v>68</v>
      </c>
      <c r="AP1484" s="23" t="s">
        <v>69</v>
      </c>
      <c r="AQ1484" s="23" t="s">
        <v>30</v>
      </c>
      <c r="AR1484" s="23" t="s">
        <v>1419</v>
      </c>
      <c r="AS1484" s="25">
        <v>2033183</v>
      </c>
      <c r="AT1484" t="s">
        <v>26</v>
      </c>
      <c r="AU1484" t="s">
        <v>24188</v>
      </c>
    </row>
    <row r="1485" spans="1:47" ht="26.25" x14ac:dyDescent="0.4">
      <c r="A1485" s="23" t="s">
        <v>3777</v>
      </c>
      <c r="B1485" t="s">
        <v>26</v>
      </c>
      <c r="C1485" s="23" t="s">
        <v>80</v>
      </c>
      <c r="D1485" s="23" t="s">
        <v>24008</v>
      </c>
      <c r="E1485" s="23" t="s">
        <v>60</v>
      </c>
      <c r="F1485" s="25" t="s">
        <v>3778</v>
      </c>
      <c r="G1485" s="25" t="s">
        <v>3779</v>
      </c>
      <c r="H1485" t="s">
        <v>26</v>
      </c>
      <c r="I1485" s="24">
        <v>34790</v>
      </c>
      <c r="J1485" s="24">
        <v>35765</v>
      </c>
      <c r="K1485" t="s">
        <v>26</v>
      </c>
      <c r="L1485" s="25" t="s">
        <v>68</v>
      </c>
      <c r="M1485" s="24">
        <v>34790</v>
      </c>
      <c r="N1485" s="24">
        <v>35765</v>
      </c>
      <c r="O1485" t="s">
        <v>26</v>
      </c>
      <c r="P1485" s="24">
        <v>34790</v>
      </c>
      <c r="Q1485" s="24">
        <v>35765</v>
      </c>
      <c r="R1485" t="s">
        <v>26</v>
      </c>
      <c r="S1485" t="s">
        <v>26</v>
      </c>
      <c r="T1485" t="s">
        <v>26</v>
      </c>
      <c r="U1485" t="s">
        <v>26</v>
      </c>
      <c r="V1485" t="s">
        <v>26</v>
      </c>
      <c r="W1485" s="24">
        <v>34060</v>
      </c>
      <c r="X1485" s="25" t="s">
        <v>77</v>
      </c>
      <c r="Y1485" t="s">
        <v>26</v>
      </c>
      <c r="Z1485" s="24">
        <v>34060</v>
      </c>
      <c r="AA1485" s="25" t="s">
        <v>77</v>
      </c>
      <c r="AB1485" t="s">
        <v>26</v>
      </c>
      <c r="AC1485" s="24">
        <v>34425</v>
      </c>
      <c r="AD1485" s="25" t="s">
        <v>77</v>
      </c>
      <c r="AE1485" t="s">
        <v>26</v>
      </c>
      <c r="AF1485" t="s">
        <v>26</v>
      </c>
      <c r="AG1485" t="s">
        <v>26</v>
      </c>
      <c r="AH1485" t="s">
        <v>26</v>
      </c>
      <c r="AI1485" t="s">
        <v>26</v>
      </c>
      <c r="AJ1485" t="s">
        <v>26</v>
      </c>
      <c r="AK1485" t="s">
        <v>26</v>
      </c>
      <c r="AL1485" t="s">
        <v>26</v>
      </c>
      <c r="AM1485" t="s">
        <v>26</v>
      </c>
      <c r="AN1485" t="s">
        <v>26</v>
      </c>
      <c r="AO1485" s="25" t="s">
        <v>68</v>
      </c>
      <c r="AP1485" s="23" t="s">
        <v>69</v>
      </c>
      <c r="AQ1485" s="23" t="s">
        <v>30</v>
      </c>
      <c r="AR1485" s="23" t="s">
        <v>1415</v>
      </c>
      <c r="AS1485" s="25">
        <v>45127</v>
      </c>
      <c r="AT1485" t="s">
        <v>26</v>
      </c>
      <c r="AU1485" t="s">
        <v>24189</v>
      </c>
    </row>
    <row r="1486" spans="1:47" ht="26.25" x14ac:dyDescent="0.4">
      <c r="A1486" s="23" t="s">
        <v>3780</v>
      </c>
      <c r="B1486" t="s">
        <v>26</v>
      </c>
      <c r="C1486" s="23" t="s">
        <v>172</v>
      </c>
      <c r="D1486" s="23" t="s">
        <v>22294</v>
      </c>
      <c r="E1486" s="23" t="s">
        <v>60</v>
      </c>
      <c r="F1486" s="25" t="s">
        <v>3781</v>
      </c>
      <c r="G1486" s="25" t="s">
        <v>3782</v>
      </c>
      <c r="H1486" t="s">
        <v>26</v>
      </c>
      <c r="I1486" s="24">
        <v>35796</v>
      </c>
      <c r="J1486" s="24">
        <v>40483</v>
      </c>
      <c r="K1486" t="s">
        <v>26</v>
      </c>
      <c r="L1486" s="25" t="s">
        <v>68</v>
      </c>
      <c r="M1486" s="24">
        <v>35796</v>
      </c>
      <c r="N1486" s="24">
        <v>40483</v>
      </c>
      <c r="O1486" t="s">
        <v>26</v>
      </c>
      <c r="P1486" s="24">
        <v>35796</v>
      </c>
      <c r="Q1486" s="24">
        <v>40483</v>
      </c>
      <c r="R1486" t="s">
        <v>26</v>
      </c>
      <c r="S1486" t="s">
        <v>26</v>
      </c>
      <c r="T1486" t="s">
        <v>26</v>
      </c>
      <c r="U1486" t="s">
        <v>26</v>
      </c>
      <c r="V1486" t="s">
        <v>26</v>
      </c>
      <c r="W1486" s="24">
        <v>35796</v>
      </c>
      <c r="X1486" s="25" t="s">
        <v>77</v>
      </c>
      <c r="Y1486" t="s">
        <v>26</v>
      </c>
      <c r="Z1486" s="24">
        <v>35796</v>
      </c>
      <c r="AA1486" s="25" t="s">
        <v>77</v>
      </c>
      <c r="AB1486" t="s">
        <v>26</v>
      </c>
      <c r="AC1486" s="24">
        <v>35796</v>
      </c>
      <c r="AD1486" s="25" t="s">
        <v>77</v>
      </c>
      <c r="AE1486" t="s">
        <v>26</v>
      </c>
      <c r="AF1486" t="s">
        <v>26</v>
      </c>
      <c r="AG1486" t="s">
        <v>26</v>
      </c>
      <c r="AH1486" t="s">
        <v>26</v>
      </c>
      <c r="AI1486" t="s">
        <v>26</v>
      </c>
      <c r="AJ1486" t="s">
        <v>26</v>
      </c>
      <c r="AK1486" t="s">
        <v>26</v>
      </c>
      <c r="AL1486" t="s">
        <v>26</v>
      </c>
      <c r="AM1486" t="s">
        <v>26</v>
      </c>
      <c r="AN1486" t="s">
        <v>26</v>
      </c>
      <c r="AO1486" s="25" t="s">
        <v>68</v>
      </c>
      <c r="AP1486" s="23" t="s">
        <v>69</v>
      </c>
      <c r="AQ1486" s="23" t="s">
        <v>30</v>
      </c>
      <c r="AR1486" s="23" t="s">
        <v>3783</v>
      </c>
      <c r="AS1486" s="25">
        <v>36261</v>
      </c>
      <c r="AT1486" t="s">
        <v>26</v>
      </c>
      <c r="AU1486" t="s">
        <v>24190</v>
      </c>
    </row>
    <row r="1487" spans="1:47" ht="26.25" x14ac:dyDescent="0.4">
      <c r="A1487" s="23" t="s">
        <v>3784</v>
      </c>
      <c r="B1487" t="s">
        <v>26</v>
      </c>
      <c r="C1487" s="23" t="s">
        <v>1127</v>
      </c>
      <c r="D1487" s="23" t="s">
        <v>22674</v>
      </c>
      <c r="E1487" s="23" t="s">
        <v>42</v>
      </c>
      <c r="F1487" s="25" t="s">
        <v>3785</v>
      </c>
      <c r="G1487" s="25" t="s">
        <v>3786</v>
      </c>
      <c r="H1487" t="s">
        <v>26</v>
      </c>
      <c r="I1487" s="24">
        <v>36770</v>
      </c>
      <c r="J1487" s="24">
        <v>44228</v>
      </c>
      <c r="K1487" t="s">
        <v>26</v>
      </c>
      <c r="L1487" s="25" t="s">
        <v>68</v>
      </c>
      <c r="M1487" s="24">
        <v>41671</v>
      </c>
      <c r="N1487" s="24">
        <v>44228</v>
      </c>
      <c r="O1487" t="s">
        <v>26</v>
      </c>
      <c r="P1487" s="24">
        <v>36770</v>
      </c>
      <c r="Q1487" s="24">
        <v>44228</v>
      </c>
      <c r="R1487" t="s">
        <v>26</v>
      </c>
      <c r="S1487" t="s">
        <v>26</v>
      </c>
      <c r="T1487" t="s">
        <v>26</v>
      </c>
      <c r="U1487" t="s">
        <v>26</v>
      </c>
      <c r="V1487" t="s">
        <v>26</v>
      </c>
      <c r="W1487" s="24">
        <v>36770</v>
      </c>
      <c r="X1487" s="25" t="s">
        <v>77</v>
      </c>
      <c r="Y1487" t="s">
        <v>26</v>
      </c>
      <c r="Z1487" s="24">
        <v>36770</v>
      </c>
      <c r="AA1487" s="25" t="s">
        <v>77</v>
      </c>
      <c r="AB1487" t="s">
        <v>26</v>
      </c>
      <c r="AC1487" s="24">
        <v>36770</v>
      </c>
      <c r="AD1487" s="25" t="s">
        <v>77</v>
      </c>
      <c r="AE1487" t="s">
        <v>26</v>
      </c>
      <c r="AF1487" t="s">
        <v>26</v>
      </c>
      <c r="AG1487" t="s">
        <v>26</v>
      </c>
      <c r="AH1487" t="s">
        <v>26</v>
      </c>
      <c r="AI1487" t="s">
        <v>26</v>
      </c>
      <c r="AJ1487" t="s">
        <v>26</v>
      </c>
      <c r="AK1487" t="s">
        <v>26</v>
      </c>
      <c r="AL1487" t="s">
        <v>26</v>
      </c>
      <c r="AM1487" t="s">
        <v>26</v>
      </c>
      <c r="AN1487" t="s">
        <v>26</v>
      </c>
      <c r="AO1487" s="25" t="s">
        <v>68</v>
      </c>
      <c r="AP1487" s="23" t="s">
        <v>69</v>
      </c>
      <c r="AQ1487" s="23" t="s">
        <v>30</v>
      </c>
      <c r="AR1487" s="23" t="s">
        <v>2148</v>
      </c>
      <c r="AS1487" s="25">
        <v>46504</v>
      </c>
      <c r="AT1487" t="s">
        <v>26</v>
      </c>
      <c r="AU1487" t="s">
        <v>24191</v>
      </c>
    </row>
    <row r="1488" spans="1:47" ht="26.25" x14ac:dyDescent="0.4">
      <c r="A1488" s="23" t="s">
        <v>3787</v>
      </c>
      <c r="B1488" t="s">
        <v>26</v>
      </c>
      <c r="C1488" s="23" t="s">
        <v>73</v>
      </c>
      <c r="D1488" s="23" t="s">
        <v>22179</v>
      </c>
      <c r="E1488" s="23" t="s">
        <v>74</v>
      </c>
      <c r="F1488" s="25" t="s">
        <v>3788</v>
      </c>
      <c r="G1488" s="25" t="s">
        <v>3789</v>
      </c>
      <c r="H1488" t="s">
        <v>26</v>
      </c>
      <c r="I1488" s="24">
        <v>35490</v>
      </c>
      <c r="J1488" s="25" t="s">
        <v>77</v>
      </c>
      <c r="K1488" t="s">
        <v>26</v>
      </c>
      <c r="L1488" s="25" t="s">
        <v>68</v>
      </c>
      <c r="M1488" s="24">
        <v>38047</v>
      </c>
      <c r="N1488" s="24">
        <v>42856</v>
      </c>
      <c r="O1488" t="s">
        <v>26</v>
      </c>
      <c r="P1488" s="24">
        <v>35490</v>
      </c>
      <c r="Q1488" s="25" t="s">
        <v>77</v>
      </c>
      <c r="R1488" t="s">
        <v>26</v>
      </c>
      <c r="S1488" t="s">
        <v>26</v>
      </c>
      <c r="T1488" t="s">
        <v>26</v>
      </c>
      <c r="U1488" t="s">
        <v>26</v>
      </c>
      <c r="V1488" s="25">
        <v>365</v>
      </c>
      <c r="W1488" s="24">
        <v>34759</v>
      </c>
      <c r="X1488" s="25" t="s">
        <v>77</v>
      </c>
      <c r="Y1488" t="s">
        <v>26</v>
      </c>
      <c r="Z1488" s="24">
        <v>34759</v>
      </c>
      <c r="AA1488" s="25" t="s">
        <v>77</v>
      </c>
      <c r="AB1488" t="s">
        <v>26</v>
      </c>
      <c r="AC1488" s="24">
        <v>34759</v>
      </c>
      <c r="AD1488" s="25" t="s">
        <v>77</v>
      </c>
      <c r="AE1488" t="s">
        <v>26</v>
      </c>
      <c r="AF1488" t="s">
        <v>26</v>
      </c>
      <c r="AG1488" t="s">
        <v>26</v>
      </c>
      <c r="AH1488" t="s">
        <v>26</v>
      </c>
      <c r="AI1488" t="s">
        <v>26</v>
      </c>
      <c r="AJ1488" t="s">
        <v>26</v>
      </c>
      <c r="AK1488" t="s">
        <v>26</v>
      </c>
      <c r="AL1488" t="s">
        <v>26</v>
      </c>
      <c r="AM1488" t="s">
        <v>26</v>
      </c>
      <c r="AN1488" t="s">
        <v>26</v>
      </c>
      <c r="AO1488" s="25" t="s">
        <v>68</v>
      </c>
      <c r="AP1488" s="23" t="s">
        <v>69</v>
      </c>
      <c r="AQ1488" s="23" t="s">
        <v>30</v>
      </c>
      <c r="AR1488" s="23" t="s">
        <v>1419</v>
      </c>
      <c r="AS1488" s="25">
        <v>31319</v>
      </c>
      <c r="AT1488" t="s">
        <v>26</v>
      </c>
      <c r="AU1488" t="s">
        <v>24192</v>
      </c>
    </row>
    <row r="1489" spans="1:47" ht="26.25" x14ac:dyDescent="0.4">
      <c r="A1489" s="23" t="s">
        <v>3790</v>
      </c>
      <c r="B1489" t="s">
        <v>26</v>
      </c>
      <c r="C1489" s="23" t="s">
        <v>264</v>
      </c>
      <c r="D1489" s="23" t="s">
        <v>22261</v>
      </c>
      <c r="E1489" s="23" t="s">
        <v>60</v>
      </c>
      <c r="F1489" s="25" t="s">
        <v>3791</v>
      </c>
      <c r="G1489" s="25" t="s">
        <v>3792</v>
      </c>
      <c r="H1489" t="s">
        <v>26</v>
      </c>
      <c r="I1489" s="24">
        <v>38718</v>
      </c>
      <c r="J1489" s="25" t="s">
        <v>77</v>
      </c>
      <c r="K1489" t="s">
        <v>26</v>
      </c>
      <c r="L1489" s="25" t="s">
        <v>68</v>
      </c>
      <c r="M1489" s="24">
        <v>40634</v>
      </c>
      <c r="N1489" s="25" t="s">
        <v>77</v>
      </c>
      <c r="O1489" t="s">
        <v>26</v>
      </c>
      <c r="P1489" s="24">
        <v>38718</v>
      </c>
      <c r="Q1489" s="25" t="s">
        <v>77</v>
      </c>
      <c r="R1489" t="s">
        <v>26</v>
      </c>
      <c r="S1489" t="s">
        <v>26</v>
      </c>
      <c r="T1489" t="s">
        <v>26</v>
      </c>
      <c r="U1489" t="s">
        <v>26</v>
      </c>
      <c r="V1489" s="25">
        <v>365</v>
      </c>
      <c r="W1489" s="24">
        <v>38718</v>
      </c>
      <c r="X1489" s="25" t="s">
        <v>77</v>
      </c>
      <c r="Y1489" t="s">
        <v>26</v>
      </c>
      <c r="Z1489" s="24">
        <v>38718</v>
      </c>
      <c r="AA1489" s="25" t="s">
        <v>77</v>
      </c>
      <c r="AB1489" t="s">
        <v>26</v>
      </c>
      <c r="AC1489" s="24">
        <v>38718</v>
      </c>
      <c r="AD1489" s="25" t="s">
        <v>77</v>
      </c>
      <c r="AE1489" t="s">
        <v>26</v>
      </c>
      <c r="AF1489" t="s">
        <v>26</v>
      </c>
      <c r="AG1489" t="s">
        <v>26</v>
      </c>
      <c r="AH1489" t="s">
        <v>26</v>
      </c>
      <c r="AI1489" t="s">
        <v>26</v>
      </c>
      <c r="AJ1489" t="s">
        <v>26</v>
      </c>
      <c r="AK1489" t="s">
        <v>26</v>
      </c>
      <c r="AL1489" t="s">
        <v>26</v>
      </c>
      <c r="AM1489" t="s">
        <v>26</v>
      </c>
      <c r="AN1489" t="s">
        <v>26</v>
      </c>
      <c r="AO1489" s="25" t="s">
        <v>68</v>
      </c>
      <c r="AP1489" s="23" t="s">
        <v>69</v>
      </c>
      <c r="AQ1489" s="23" t="s">
        <v>30</v>
      </c>
      <c r="AR1489" s="23" t="s">
        <v>1415</v>
      </c>
      <c r="AS1489" s="25">
        <v>1006509</v>
      </c>
      <c r="AT1489" t="s">
        <v>26</v>
      </c>
      <c r="AU1489" t="s">
        <v>24193</v>
      </c>
    </row>
    <row r="1490" spans="1:47" ht="26.25" x14ac:dyDescent="0.4">
      <c r="A1490" s="23" t="s">
        <v>3793</v>
      </c>
      <c r="B1490" t="s">
        <v>26</v>
      </c>
      <c r="C1490" s="23" t="s">
        <v>1481</v>
      </c>
      <c r="D1490" s="23" t="s">
        <v>22190</v>
      </c>
      <c r="E1490" s="23" t="s">
        <v>60</v>
      </c>
      <c r="F1490" s="25" t="s">
        <v>3794</v>
      </c>
      <c r="G1490" s="25" t="s">
        <v>3795</v>
      </c>
      <c r="H1490" t="s">
        <v>26</v>
      </c>
      <c r="I1490" t="s">
        <v>26</v>
      </c>
      <c r="J1490" t="s">
        <v>26</v>
      </c>
      <c r="K1490" t="s">
        <v>26</v>
      </c>
      <c r="L1490" s="25" t="s">
        <v>68</v>
      </c>
      <c r="M1490" t="s">
        <v>26</v>
      </c>
      <c r="N1490" t="s">
        <v>26</v>
      </c>
      <c r="O1490" t="s">
        <v>26</v>
      </c>
      <c r="P1490" t="s">
        <v>26</v>
      </c>
      <c r="Q1490" t="s">
        <v>26</v>
      </c>
      <c r="R1490" t="s">
        <v>26</v>
      </c>
      <c r="S1490" t="s">
        <v>26</v>
      </c>
      <c r="T1490" t="s">
        <v>26</v>
      </c>
      <c r="U1490" t="s">
        <v>26</v>
      </c>
      <c r="V1490" t="s">
        <v>26</v>
      </c>
      <c r="W1490" s="24">
        <v>32568</v>
      </c>
      <c r="X1490" s="25" t="s">
        <v>77</v>
      </c>
      <c r="Y1490" t="s">
        <v>26</v>
      </c>
      <c r="Z1490" s="24">
        <v>32568</v>
      </c>
      <c r="AA1490" s="25" t="s">
        <v>77</v>
      </c>
      <c r="AB1490" t="s">
        <v>26</v>
      </c>
      <c r="AC1490" s="24">
        <v>32568</v>
      </c>
      <c r="AD1490" s="25" t="s">
        <v>77</v>
      </c>
      <c r="AE1490" t="s">
        <v>26</v>
      </c>
      <c r="AF1490" t="s">
        <v>26</v>
      </c>
      <c r="AG1490" t="s">
        <v>26</v>
      </c>
      <c r="AH1490" t="s">
        <v>26</v>
      </c>
      <c r="AI1490" t="s">
        <v>26</v>
      </c>
      <c r="AJ1490" t="s">
        <v>26</v>
      </c>
      <c r="AK1490" t="s">
        <v>26</v>
      </c>
      <c r="AL1490" t="s">
        <v>26</v>
      </c>
      <c r="AM1490" t="s">
        <v>26</v>
      </c>
      <c r="AN1490" t="s">
        <v>26</v>
      </c>
      <c r="AO1490" s="25" t="s">
        <v>68</v>
      </c>
      <c r="AP1490" s="23" t="s">
        <v>69</v>
      </c>
      <c r="AQ1490" s="23" t="s">
        <v>30</v>
      </c>
      <c r="AR1490" s="23" t="s">
        <v>1419</v>
      </c>
      <c r="AS1490" s="25">
        <v>25716</v>
      </c>
      <c r="AT1490" t="s">
        <v>26</v>
      </c>
      <c r="AU1490" t="s">
        <v>24194</v>
      </c>
    </row>
    <row r="1491" spans="1:47" ht="26.25" x14ac:dyDescent="0.4">
      <c r="A1491" s="23" t="s">
        <v>3796</v>
      </c>
      <c r="B1491" t="s">
        <v>26</v>
      </c>
      <c r="C1491" s="23" t="s">
        <v>3797</v>
      </c>
      <c r="D1491" s="23" t="s">
        <v>24195</v>
      </c>
      <c r="E1491" s="23" t="s">
        <v>42</v>
      </c>
      <c r="F1491" s="25" t="s">
        <v>3798</v>
      </c>
      <c r="G1491" s="25" t="s">
        <v>3799</v>
      </c>
      <c r="H1491" t="s">
        <v>26</v>
      </c>
      <c r="I1491" t="s">
        <v>26</v>
      </c>
      <c r="J1491" t="s">
        <v>26</v>
      </c>
      <c r="K1491" t="s">
        <v>26</v>
      </c>
      <c r="L1491" s="25" t="s">
        <v>68</v>
      </c>
      <c r="M1491" t="s">
        <v>26</v>
      </c>
      <c r="N1491" t="s">
        <v>26</v>
      </c>
      <c r="O1491" t="s">
        <v>26</v>
      </c>
      <c r="P1491" t="s">
        <v>26</v>
      </c>
      <c r="Q1491" t="s">
        <v>26</v>
      </c>
      <c r="R1491" t="s">
        <v>26</v>
      </c>
      <c r="S1491" t="s">
        <v>26</v>
      </c>
      <c r="T1491" t="s">
        <v>26</v>
      </c>
      <c r="U1491" t="s">
        <v>26</v>
      </c>
      <c r="V1491" t="s">
        <v>26</v>
      </c>
      <c r="W1491" s="24">
        <v>34700</v>
      </c>
      <c r="X1491" s="24">
        <v>38777</v>
      </c>
      <c r="Y1491" t="s">
        <v>26</v>
      </c>
      <c r="Z1491" s="24">
        <v>34700</v>
      </c>
      <c r="AA1491" s="24">
        <v>38777</v>
      </c>
      <c r="AB1491" t="s">
        <v>26</v>
      </c>
      <c r="AC1491" s="24">
        <v>35431</v>
      </c>
      <c r="AD1491" s="24">
        <v>37135</v>
      </c>
      <c r="AE1491" t="s">
        <v>26</v>
      </c>
      <c r="AF1491" t="s">
        <v>26</v>
      </c>
      <c r="AG1491" t="s">
        <v>26</v>
      </c>
      <c r="AH1491" t="s">
        <v>26</v>
      </c>
      <c r="AI1491" t="s">
        <v>26</v>
      </c>
      <c r="AJ1491" t="s">
        <v>26</v>
      </c>
      <c r="AK1491" t="s">
        <v>26</v>
      </c>
      <c r="AL1491" t="s">
        <v>26</v>
      </c>
      <c r="AM1491" t="s">
        <v>26</v>
      </c>
      <c r="AN1491" t="s">
        <v>26</v>
      </c>
      <c r="AO1491" s="25" t="s">
        <v>68</v>
      </c>
      <c r="AP1491" s="23" t="s">
        <v>69</v>
      </c>
      <c r="AQ1491" s="23" t="s">
        <v>30</v>
      </c>
      <c r="AR1491" s="23" t="s">
        <v>70</v>
      </c>
      <c r="AS1491" s="25">
        <v>42096</v>
      </c>
      <c r="AT1491" t="s">
        <v>26</v>
      </c>
      <c r="AU1491" t="s">
        <v>24196</v>
      </c>
    </row>
    <row r="1492" spans="1:47" ht="26.25" x14ac:dyDescent="0.4">
      <c r="A1492" s="23" t="s">
        <v>3800</v>
      </c>
      <c r="B1492" t="s">
        <v>26</v>
      </c>
      <c r="C1492" s="23" t="s">
        <v>1691</v>
      </c>
      <c r="D1492" s="23" t="s">
        <v>22294</v>
      </c>
      <c r="E1492" s="23" t="s">
        <v>42</v>
      </c>
      <c r="F1492" s="25" t="s">
        <v>3801</v>
      </c>
      <c r="G1492" s="25" t="s">
        <v>3802</v>
      </c>
      <c r="H1492" t="s">
        <v>26</v>
      </c>
      <c r="I1492" t="s">
        <v>26</v>
      </c>
      <c r="J1492" t="s">
        <v>26</v>
      </c>
      <c r="K1492" t="s">
        <v>26</v>
      </c>
      <c r="L1492" s="25" t="s">
        <v>68</v>
      </c>
      <c r="M1492" t="s">
        <v>26</v>
      </c>
      <c r="N1492" t="s">
        <v>26</v>
      </c>
      <c r="O1492" t="s">
        <v>26</v>
      </c>
      <c r="P1492" t="s">
        <v>26</v>
      </c>
      <c r="Q1492" t="s">
        <v>26</v>
      </c>
      <c r="R1492" t="s">
        <v>26</v>
      </c>
      <c r="S1492" t="s">
        <v>26</v>
      </c>
      <c r="T1492" t="s">
        <v>26</v>
      </c>
      <c r="U1492" t="s">
        <v>26</v>
      </c>
      <c r="V1492" t="s">
        <v>26</v>
      </c>
      <c r="W1492" s="24">
        <v>32509</v>
      </c>
      <c r="X1492" s="25" t="s">
        <v>77</v>
      </c>
      <c r="Y1492" t="s">
        <v>26</v>
      </c>
      <c r="Z1492" s="24">
        <v>32509</v>
      </c>
      <c r="AA1492" s="25" t="s">
        <v>77</v>
      </c>
      <c r="AB1492" t="s">
        <v>26</v>
      </c>
      <c r="AC1492" s="24">
        <v>32509</v>
      </c>
      <c r="AD1492" s="25" t="s">
        <v>77</v>
      </c>
      <c r="AE1492" t="s">
        <v>26</v>
      </c>
      <c r="AF1492" t="s">
        <v>26</v>
      </c>
      <c r="AG1492" t="s">
        <v>26</v>
      </c>
      <c r="AH1492" t="s">
        <v>26</v>
      </c>
      <c r="AI1492" t="s">
        <v>26</v>
      </c>
      <c r="AJ1492" t="s">
        <v>26</v>
      </c>
      <c r="AK1492" t="s">
        <v>26</v>
      </c>
      <c r="AL1492" t="s">
        <v>26</v>
      </c>
      <c r="AM1492" t="s">
        <v>26</v>
      </c>
      <c r="AN1492" t="s">
        <v>26</v>
      </c>
      <c r="AO1492" s="25" t="s">
        <v>68</v>
      </c>
      <c r="AP1492" s="23" t="s">
        <v>69</v>
      </c>
      <c r="AQ1492" s="23" t="s">
        <v>30</v>
      </c>
      <c r="AR1492" s="23" t="s">
        <v>46</v>
      </c>
      <c r="AS1492" s="25">
        <v>42414</v>
      </c>
      <c r="AT1492" t="s">
        <v>26</v>
      </c>
      <c r="AU1492" t="s">
        <v>24197</v>
      </c>
    </row>
    <row r="1493" spans="1:47" ht="26.25" x14ac:dyDescent="0.4">
      <c r="A1493" s="23" t="s">
        <v>24198</v>
      </c>
      <c r="B1493" t="s">
        <v>26</v>
      </c>
      <c r="C1493" s="23" t="s">
        <v>73</v>
      </c>
      <c r="D1493" s="23" t="s">
        <v>22179</v>
      </c>
      <c r="E1493" s="23" t="s">
        <v>74</v>
      </c>
      <c r="F1493" s="25" t="s">
        <v>24199</v>
      </c>
      <c r="G1493" s="25" t="s">
        <v>24200</v>
      </c>
      <c r="H1493" t="s">
        <v>26</v>
      </c>
      <c r="I1493" s="24">
        <v>35490</v>
      </c>
      <c r="J1493" s="25" t="s">
        <v>77</v>
      </c>
      <c r="K1493" t="s">
        <v>26</v>
      </c>
      <c r="L1493" s="25" t="s">
        <v>68</v>
      </c>
      <c r="M1493" s="24">
        <v>38777</v>
      </c>
      <c r="N1493" s="25" t="s">
        <v>77</v>
      </c>
      <c r="O1493" t="s">
        <v>26</v>
      </c>
      <c r="P1493" s="24">
        <v>35490</v>
      </c>
      <c r="Q1493" s="25" t="s">
        <v>77</v>
      </c>
      <c r="R1493" t="s">
        <v>26</v>
      </c>
      <c r="S1493" t="s">
        <v>26</v>
      </c>
      <c r="T1493" t="s">
        <v>26</v>
      </c>
      <c r="U1493" t="s">
        <v>26</v>
      </c>
      <c r="V1493" s="25">
        <v>365</v>
      </c>
      <c r="W1493" s="24">
        <v>35490</v>
      </c>
      <c r="X1493" s="25" t="s">
        <v>77</v>
      </c>
      <c r="Y1493" t="s">
        <v>26</v>
      </c>
      <c r="Z1493" s="24">
        <v>35490</v>
      </c>
      <c r="AA1493" s="25" t="s">
        <v>77</v>
      </c>
      <c r="AB1493" t="s">
        <v>26</v>
      </c>
      <c r="AC1493" s="24">
        <v>35490</v>
      </c>
      <c r="AD1493" s="25" t="s">
        <v>77</v>
      </c>
      <c r="AE1493" t="s">
        <v>26</v>
      </c>
      <c r="AF1493" t="s">
        <v>26</v>
      </c>
      <c r="AG1493" t="s">
        <v>26</v>
      </c>
      <c r="AH1493" t="s">
        <v>26</v>
      </c>
      <c r="AI1493" t="s">
        <v>26</v>
      </c>
      <c r="AJ1493" t="s">
        <v>26</v>
      </c>
      <c r="AK1493" t="s">
        <v>26</v>
      </c>
      <c r="AL1493" t="s">
        <v>26</v>
      </c>
      <c r="AM1493" t="s">
        <v>26</v>
      </c>
      <c r="AN1493" t="s">
        <v>26</v>
      </c>
      <c r="AO1493" s="25" t="s">
        <v>68</v>
      </c>
      <c r="AP1493" s="23" t="s">
        <v>69</v>
      </c>
      <c r="AQ1493" s="23" t="s">
        <v>30</v>
      </c>
      <c r="AR1493" s="23" t="s">
        <v>44</v>
      </c>
      <c r="AS1493" s="25">
        <v>6420649</v>
      </c>
      <c r="AT1493" t="s">
        <v>26</v>
      </c>
      <c r="AU1493" t="s">
        <v>24201</v>
      </c>
    </row>
    <row r="1494" spans="1:47" ht="26.25" x14ac:dyDescent="0.4">
      <c r="A1494" s="23" t="s">
        <v>3803</v>
      </c>
      <c r="B1494" t="s">
        <v>26</v>
      </c>
      <c r="C1494" s="23" t="s">
        <v>1365</v>
      </c>
      <c r="D1494" s="23" t="s">
        <v>22795</v>
      </c>
      <c r="E1494" s="23" t="s">
        <v>335</v>
      </c>
      <c r="F1494" s="25" t="s">
        <v>3804</v>
      </c>
      <c r="G1494" s="25" t="s">
        <v>3805</v>
      </c>
      <c r="H1494" t="s">
        <v>26</v>
      </c>
      <c r="I1494" t="s">
        <v>26</v>
      </c>
      <c r="J1494" t="s">
        <v>26</v>
      </c>
      <c r="K1494" t="s">
        <v>26</v>
      </c>
      <c r="L1494" s="25" t="s">
        <v>68</v>
      </c>
      <c r="M1494" t="s">
        <v>26</v>
      </c>
      <c r="N1494" t="s">
        <v>26</v>
      </c>
      <c r="O1494" t="s">
        <v>26</v>
      </c>
      <c r="P1494" t="s">
        <v>26</v>
      </c>
      <c r="Q1494" t="s">
        <v>26</v>
      </c>
      <c r="R1494" t="s">
        <v>26</v>
      </c>
      <c r="S1494" t="s">
        <v>26</v>
      </c>
      <c r="T1494" t="s">
        <v>26</v>
      </c>
      <c r="U1494" t="s">
        <v>26</v>
      </c>
      <c r="V1494" t="s">
        <v>26</v>
      </c>
      <c r="W1494" s="24">
        <v>43070</v>
      </c>
      <c r="X1494" s="25" t="s">
        <v>77</v>
      </c>
      <c r="Y1494" t="s">
        <v>26</v>
      </c>
      <c r="Z1494" s="24">
        <v>43070</v>
      </c>
      <c r="AA1494" s="25" t="s">
        <v>77</v>
      </c>
      <c r="AB1494" t="s">
        <v>26</v>
      </c>
      <c r="AC1494" s="24">
        <v>43070</v>
      </c>
      <c r="AD1494" s="25" t="s">
        <v>77</v>
      </c>
      <c r="AE1494" t="s">
        <v>26</v>
      </c>
      <c r="AF1494" t="s">
        <v>26</v>
      </c>
      <c r="AG1494" t="s">
        <v>26</v>
      </c>
      <c r="AH1494" t="s">
        <v>26</v>
      </c>
      <c r="AI1494" t="s">
        <v>26</v>
      </c>
      <c r="AJ1494" t="s">
        <v>26</v>
      </c>
      <c r="AK1494" t="s">
        <v>26</v>
      </c>
      <c r="AL1494" t="s">
        <v>26</v>
      </c>
      <c r="AM1494" t="s">
        <v>26</v>
      </c>
      <c r="AN1494" t="s">
        <v>26</v>
      </c>
      <c r="AO1494" s="25" t="s">
        <v>68</v>
      </c>
      <c r="AP1494" s="23" t="s">
        <v>69</v>
      </c>
      <c r="AQ1494" s="23" t="s">
        <v>30</v>
      </c>
      <c r="AR1494" s="23" t="s">
        <v>1368</v>
      </c>
      <c r="AS1494" s="25">
        <v>3748009</v>
      </c>
      <c r="AT1494" t="s">
        <v>26</v>
      </c>
      <c r="AU1494" t="s">
        <v>24202</v>
      </c>
    </row>
    <row r="1495" spans="1:47" ht="39.4" x14ac:dyDescent="0.4">
      <c r="A1495" s="23" t="s">
        <v>3806</v>
      </c>
      <c r="B1495" t="s">
        <v>26</v>
      </c>
      <c r="C1495" s="23" t="s">
        <v>3807</v>
      </c>
      <c r="D1495" s="23" t="s">
        <v>24203</v>
      </c>
      <c r="E1495" s="23" t="s">
        <v>74</v>
      </c>
      <c r="F1495" s="25" t="s">
        <v>3808</v>
      </c>
      <c r="G1495" s="25" t="s">
        <v>3809</v>
      </c>
      <c r="H1495" t="s">
        <v>26</v>
      </c>
      <c r="I1495" t="s">
        <v>26</v>
      </c>
      <c r="J1495" t="s">
        <v>26</v>
      </c>
      <c r="K1495" t="s">
        <v>26</v>
      </c>
      <c r="L1495" s="25" t="s">
        <v>68</v>
      </c>
      <c r="M1495" t="s">
        <v>26</v>
      </c>
      <c r="N1495" t="s">
        <v>26</v>
      </c>
      <c r="O1495" t="s">
        <v>26</v>
      </c>
      <c r="P1495" t="s">
        <v>26</v>
      </c>
      <c r="Q1495" t="s">
        <v>26</v>
      </c>
      <c r="R1495" t="s">
        <v>26</v>
      </c>
      <c r="S1495" t="s">
        <v>26</v>
      </c>
      <c r="T1495" t="s">
        <v>26</v>
      </c>
      <c r="U1495" t="s">
        <v>26</v>
      </c>
      <c r="V1495" t="s">
        <v>26</v>
      </c>
      <c r="W1495" s="24">
        <v>42767</v>
      </c>
      <c r="X1495" s="25" t="s">
        <v>77</v>
      </c>
      <c r="Y1495" t="s">
        <v>26</v>
      </c>
      <c r="Z1495" s="24">
        <v>42767</v>
      </c>
      <c r="AA1495" s="25" t="s">
        <v>77</v>
      </c>
      <c r="AB1495" t="s">
        <v>26</v>
      </c>
      <c r="AC1495" s="24">
        <v>42767</v>
      </c>
      <c r="AD1495" s="25" t="s">
        <v>77</v>
      </c>
      <c r="AE1495" t="s">
        <v>26</v>
      </c>
      <c r="AF1495" t="s">
        <v>26</v>
      </c>
      <c r="AG1495" t="s">
        <v>26</v>
      </c>
      <c r="AH1495" t="s">
        <v>26</v>
      </c>
      <c r="AI1495" t="s">
        <v>26</v>
      </c>
      <c r="AJ1495" t="s">
        <v>26</v>
      </c>
      <c r="AK1495" t="s">
        <v>26</v>
      </c>
      <c r="AL1495" t="s">
        <v>26</v>
      </c>
      <c r="AM1495" t="s">
        <v>26</v>
      </c>
      <c r="AN1495" t="s">
        <v>26</v>
      </c>
      <c r="AO1495" s="25" t="s">
        <v>68</v>
      </c>
      <c r="AP1495" s="23" t="s">
        <v>69</v>
      </c>
      <c r="AQ1495" s="23" t="s">
        <v>30</v>
      </c>
      <c r="AR1495" s="23" t="s">
        <v>71</v>
      </c>
      <c r="AS1495" s="25">
        <v>2037842</v>
      </c>
      <c r="AT1495" t="s">
        <v>26</v>
      </c>
      <c r="AU1495" t="s">
        <v>24204</v>
      </c>
    </row>
    <row r="1496" spans="1:47" ht="26.25" x14ac:dyDescent="0.4">
      <c r="A1496" s="23" t="s">
        <v>3810</v>
      </c>
      <c r="B1496" t="s">
        <v>26</v>
      </c>
      <c r="C1496" s="23" t="s">
        <v>80</v>
      </c>
      <c r="D1496" s="23" t="s">
        <v>22190</v>
      </c>
      <c r="E1496" s="23" t="s">
        <v>60</v>
      </c>
      <c r="F1496" s="25" t="s">
        <v>3811</v>
      </c>
      <c r="G1496" s="25" t="s">
        <v>3812</v>
      </c>
      <c r="H1496" t="s">
        <v>26</v>
      </c>
      <c r="I1496" t="s">
        <v>26</v>
      </c>
      <c r="J1496" t="s">
        <v>26</v>
      </c>
      <c r="K1496" t="s">
        <v>26</v>
      </c>
      <c r="L1496" s="25" t="s">
        <v>68</v>
      </c>
      <c r="M1496" t="s">
        <v>26</v>
      </c>
      <c r="N1496" t="s">
        <v>26</v>
      </c>
      <c r="O1496" t="s">
        <v>26</v>
      </c>
      <c r="P1496" t="s">
        <v>26</v>
      </c>
      <c r="Q1496" t="s">
        <v>26</v>
      </c>
      <c r="R1496" t="s">
        <v>26</v>
      </c>
      <c r="S1496" t="s">
        <v>26</v>
      </c>
      <c r="T1496" t="s">
        <v>26</v>
      </c>
      <c r="U1496" t="s">
        <v>26</v>
      </c>
      <c r="V1496" t="s">
        <v>26</v>
      </c>
      <c r="W1496" s="24">
        <v>38353</v>
      </c>
      <c r="X1496" s="25" t="s">
        <v>77</v>
      </c>
      <c r="Y1496" t="s">
        <v>26</v>
      </c>
      <c r="Z1496" s="24">
        <v>38353</v>
      </c>
      <c r="AA1496" s="25" t="s">
        <v>77</v>
      </c>
      <c r="AB1496" t="s">
        <v>26</v>
      </c>
      <c r="AC1496" s="24">
        <v>38353</v>
      </c>
      <c r="AD1496" s="25" t="s">
        <v>77</v>
      </c>
      <c r="AE1496" t="s">
        <v>26</v>
      </c>
      <c r="AF1496" t="s">
        <v>26</v>
      </c>
      <c r="AG1496" t="s">
        <v>26</v>
      </c>
      <c r="AH1496" t="s">
        <v>26</v>
      </c>
      <c r="AI1496" t="s">
        <v>26</v>
      </c>
      <c r="AJ1496" t="s">
        <v>26</v>
      </c>
      <c r="AK1496" t="s">
        <v>26</v>
      </c>
      <c r="AL1496" t="s">
        <v>26</v>
      </c>
      <c r="AM1496" t="s">
        <v>26</v>
      </c>
      <c r="AN1496" t="s">
        <v>26</v>
      </c>
      <c r="AO1496" s="25" t="s">
        <v>68</v>
      </c>
      <c r="AP1496" s="23" t="s">
        <v>69</v>
      </c>
      <c r="AQ1496" s="23" t="s">
        <v>30</v>
      </c>
      <c r="AR1496" s="23" t="s">
        <v>46</v>
      </c>
      <c r="AS1496" s="25">
        <v>25338</v>
      </c>
      <c r="AT1496" t="s">
        <v>26</v>
      </c>
      <c r="AU1496" t="s">
        <v>24205</v>
      </c>
    </row>
    <row r="1497" spans="1:47" ht="26.25" x14ac:dyDescent="0.4">
      <c r="A1497" s="23" t="s">
        <v>3813</v>
      </c>
      <c r="B1497" t="s">
        <v>26</v>
      </c>
      <c r="C1497" s="23" t="s">
        <v>1504</v>
      </c>
      <c r="D1497" s="23" t="s">
        <v>22179</v>
      </c>
      <c r="E1497" s="23" t="s">
        <v>42</v>
      </c>
      <c r="F1497" s="25" t="s">
        <v>3814</v>
      </c>
      <c r="G1497" s="25" t="s">
        <v>3815</v>
      </c>
      <c r="H1497" t="s">
        <v>26</v>
      </c>
      <c r="I1497" s="24">
        <v>40544</v>
      </c>
      <c r="J1497" s="24">
        <v>42736</v>
      </c>
      <c r="K1497" t="s">
        <v>26</v>
      </c>
      <c r="L1497" s="25" t="s">
        <v>68</v>
      </c>
      <c r="M1497" s="24">
        <v>40544</v>
      </c>
      <c r="N1497" s="24">
        <v>42736</v>
      </c>
      <c r="O1497" t="s">
        <v>26</v>
      </c>
      <c r="P1497" s="24">
        <v>40544</v>
      </c>
      <c r="Q1497" s="24">
        <v>42736</v>
      </c>
      <c r="R1497" t="s">
        <v>26</v>
      </c>
      <c r="S1497" t="s">
        <v>26</v>
      </c>
      <c r="T1497" t="s">
        <v>26</v>
      </c>
      <c r="U1497" t="s">
        <v>26</v>
      </c>
      <c r="V1497" t="s">
        <v>26</v>
      </c>
      <c r="W1497" s="24">
        <v>40544</v>
      </c>
      <c r="X1497" s="24">
        <v>42979</v>
      </c>
      <c r="Y1497" t="s">
        <v>26</v>
      </c>
      <c r="Z1497" s="24">
        <v>40544</v>
      </c>
      <c r="AA1497" s="24">
        <v>42979</v>
      </c>
      <c r="AB1497" t="s">
        <v>26</v>
      </c>
      <c r="AC1497" s="24">
        <v>40544</v>
      </c>
      <c r="AD1497" s="24">
        <v>42979</v>
      </c>
      <c r="AE1497" t="s">
        <v>26</v>
      </c>
      <c r="AF1497" t="s">
        <v>26</v>
      </c>
      <c r="AG1497" t="s">
        <v>26</v>
      </c>
      <c r="AH1497" t="s">
        <v>26</v>
      </c>
      <c r="AI1497" t="s">
        <v>26</v>
      </c>
      <c r="AJ1497" t="s">
        <v>26</v>
      </c>
      <c r="AK1497" t="s">
        <v>26</v>
      </c>
      <c r="AL1497" t="s">
        <v>26</v>
      </c>
      <c r="AM1497" t="s">
        <v>26</v>
      </c>
      <c r="AN1497" t="s">
        <v>26</v>
      </c>
      <c r="AO1497" s="25" t="s">
        <v>68</v>
      </c>
      <c r="AP1497" s="23" t="s">
        <v>69</v>
      </c>
      <c r="AQ1497" s="23" t="s">
        <v>30</v>
      </c>
      <c r="AR1497" s="23" t="s">
        <v>3816</v>
      </c>
      <c r="AS1497" s="25">
        <v>646503</v>
      </c>
      <c r="AT1497" t="s">
        <v>26</v>
      </c>
      <c r="AU1497" t="s">
        <v>24206</v>
      </c>
    </row>
    <row r="1498" spans="1:47" ht="26.25" x14ac:dyDescent="0.4">
      <c r="A1498" s="23" t="s">
        <v>3817</v>
      </c>
      <c r="B1498" t="s">
        <v>26</v>
      </c>
      <c r="C1498" s="23" t="s">
        <v>3818</v>
      </c>
      <c r="D1498" s="23" t="s">
        <v>22218</v>
      </c>
      <c r="E1498" s="23" t="s">
        <v>479</v>
      </c>
      <c r="F1498" s="25" t="s">
        <v>3819</v>
      </c>
      <c r="G1498" s="25" t="s">
        <v>3820</v>
      </c>
      <c r="H1498" t="s">
        <v>26</v>
      </c>
      <c r="I1498" t="s">
        <v>26</v>
      </c>
      <c r="J1498" t="s">
        <v>26</v>
      </c>
      <c r="K1498" t="s">
        <v>26</v>
      </c>
      <c r="L1498" s="25" t="s">
        <v>68</v>
      </c>
      <c r="M1498" t="s">
        <v>26</v>
      </c>
      <c r="N1498" t="s">
        <v>26</v>
      </c>
      <c r="O1498" t="s">
        <v>26</v>
      </c>
      <c r="P1498" t="s">
        <v>26</v>
      </c>
      <c r="Q1498" t="s">
        <v>26</v>
      </c>
      <c r="R1498" t="s">
        <v>26</v>
      </c>
      <c r="S1498" t="s">
        <v>26</v>
      </c>
      <c r="T1498" t="s">
        <v>26</v>
      </c>
      <c r="U1498" t="s">
        <v>26</v>
      </c>
      <c r="V1498" t="s">
        <v>26</v>
      </c>
      <c r="W1498" s="24">
        <v>33604</v>
      </c>
      <c r="X1498" s="25" t="s">
        <v>77</v>
      </c>
      <c r="Y1498" t="s">
        <v>26</v>
      </c>
      <c r="Z1498" s="24">
        <v>33604</v>
      </c>
      <c r="AA1498" s="25" t="s">
        <v>77</v>
      </c>
      <c r="AB1498" t="s">
        <v>26</v>
      </c>
      <c r="AC1498" s="24">
        <v>33604</v>
      </c>
      <c r="AD1498" s="25" t="s">
        <v>77</v>
      </c>
      <c r="AE1498" t="s">
        <v>26</v>
      </c>
      <c r="AF1498" t="s">
        <v>26</v>
      </c>
      <c r="AG1498" t="s">
        <v>26</v>
      </c>
      <c r="AH1498" t="s">
        <v>26</v>
      </c>
      <c r="AI1498" t="s">
        <v>26</v>
      </c>
      <c r="AJ1498" t="s">
        <v>26</v>
      </c>
      <c r="AK1498" t="s">
        <v>26</v>
      </c>
      <c r="AL1498" t="s">
        <v>26</v>
      </c>
      <c r="AM1498" t="s">
        <v>26</v>
      </c>
      <c r="AN1498" t="s">
        <v>26</v>
      </c>
      <c r="AO1498" s="25" t="s">
        <v>68</v>
      </c>
      <c r="AP1498" s="23" t="s">
        <v>69</v>
      </c>
      <c r="AQ1498" s="23" t="s">
        <v>30</v>
      </c>
      <c r="AR1498" s="23" t="s">
        <v>71</v>
      </c>
      <c r="AS1498" s="25">
        <v>37146</v>
      </c>
      <c r="AT1498" s="23" t="s">
        <v>24207</v>
      </c>
      <c r="AU1498" t="s">
        <v>24208</v>
      </c>
    </row>
    <row r="1499" spans="1:47" ht="26.25" x14ac:dyDescent="0.4">
      <c r="A1499" s="23" t="s">
        <v>3817</v>
      </c>
      <c r="B1499" t="s">
        <v>26</v>
      </c>
      <c r="C1499" s="23" t="s">
        <v>3818</v>
      </c>
      <c r="D1499" s="23" t="s">
        <v>22218</v>
      </c>
      <c r="E1499" s="23" t="s">
        <v>479</v>
      </c>
      <c r="F1499" s="25" t="s">
        <v>3819</v>
      </c>
      <c r="G1499" s="25" t="s">
        <v>3820</v>
      </c>
      <c r="H1499" t="s">
        <v>26</v>
      </c>
      <c r="I1499" t="s">
        <v>26</v>
      </c>
      <c r="J1499" t="s">
        <v>26</v>
      </c>
      <c r="K1499" t="s">
        <v>26</v>
      </c>
      <c r="L1499" s="25" t="s">
        <v>68</v>
      </c>
      <c r="M1499" t="s">
        <v>26</v>
      </c>
      <c r="N1499" t="s">
        <v>26</v>
      </c>
      <c r="O1499" t="s">
        <v>26</v>
      </c>
      <c r="P1499" t="s">
        <v>26</v>
      </c>
      <c r="Q1499" t="s">
        <v>26</v>
      </c>
      <c r="R1499" t="s">
        <v>26</v>
      </c>
      <c r="S1499" t="s">
        <v>26</v>
      </c>
      <c r="T1499" t="s">
        <v>26</v>
      </c>
      <c r="U1499" t="s">
        <v>26</v>
      </c>
      <c r="V1499" t="s">
        <v>26</v>
      </c>
      <c r="W1499" s="24">
        <v>42339</v>
      </c>
      <c r="X1499" s="24">
        <v>42339</v>
      </c>
      <c r="Y1499" t="s">
        <v>26</v>
      </c>
      <c r="Z1499" s="24">
        <v>42339</v>
      </c>
      <c r="AA1499" s="24">
        <v>42339</v>
      </c>
      <c r="AB1499" t="s">
        <v>26</v>
      </c>
      <c r="AC1499" s="24">
        <v>42339</v>
      </c>
      <c r="AD1499" s="24">
        <v>42339</v>
      </c>
      <c r="AE1499" t="s">
        <v>26</v>
      </c>
      <c r="AF1499" t="s">
        <v>26</v>
      </c>
      <c r="AG1499" t="s">
        <v>26</v>
      </c>
      <c r="AH1499" t="s">
        <v>26</v>
      </c>
      <c r="AI1499" t="s">
        <v>26</v>
      </c>
      <c r="AJ1499" t="s">
        <v>26</v>
      </c>
      <c r="AK1499" t="s">
        <v>26</v>
      </c>
      <c r="AL1499" t="s">
        <v>26</v>
      </c>
      <c r="AM1499" t="s">
        <v>26</v>
      </c>
      <c r="AN1499" t="s">
        <v>26</v>
      </c>
      <c r="AO1499" s="25" t="s">
        <v>68</v>
      </c>
      <c r="AP1499" s="23" t="s">
        <v>69</v>
      </c>
      <c r="AQ1499" s="23" t="s">
        <v>30</v>
      </c>
      <c r="AR1499" s="23" t="s">
        <v>71</v>
      </c>
      <c r="AS1499" s="25">
        <v>2038058</v>
      </c>
      <c r="AT1499" t="s">
        <v>26</v>
      </c>
      <c r="AU1499" t="s">
        <v>24209</v>
      </c>
    </row>
    <row r="1500" spans="1:47" ht="26.25" x14ac:dyDescent="0.4">
      <c r="A1500" s="23" t="s">
        <v>24210</v>
      </c>
      <c r="B1500" t="s">
        <v>26</v>
      </c>
      <c r="C1500" s="23" t="s">
        <v>80</v>
      </c>
      <c r="D1500" s="23" t="s">
        <v>22267</v>
      </c>
      <c r="E1500" s="23" t="s">
        <v>60</v>
      </c>
      <c r="F1500" s="25" t="s">
        <v>24211</v>
      </c>
      <c r="G1500" s="25" t="s">
        <v>24212</v>
      </c>
      <c r="H1500" t="s">
        <v>26</v>
      </c>
      <c r="I1500" t="s">
        <v>26</v>
      </c>
      <c r="J1500" t="s">
        <v>26</v>
      </c>
      <c r="K1500" t="s">
        <v>26</v>
      </c>
      <c r="L1500" s="25" t="s">
        <v>68</v>
      </c>
      <c r="M1500" t="s">
        <v>26</v>
      </c>
      <c r="N1500" t="s">
        <v>26</v>
      </c>
      <c r="O1500" t="s">
        <v>26</v>
      </c>
      <c r="P1500" t="s">
        <v>26</v>
      </c>
      <c r="Q1500" t="s">
        <v>26</v>
      </c>
      <c r="R1500" t="s">
        <v>26</v>
      </c>
      <c r="S1500" t="s">
        <v>26</v>
      </c>
      <c r="T1500" t="s">
        <v>26</v>
      </c>
      <c r="U1500" t="s">
        <v>26</v>
      </c>
      <c r="V1500" t="s">
        <v>26</v>
      </c>
      <c r="W1500" s="24">
        <v>40940</v>
      </c>
      <c r="X1500" s="25" t="s">
        <v>77</v>
      </c>
      <c r="Y1500" t="s">
        <v>26</v>
      </c>
      <c r="Z1500" s="24">
        <v>40940</v>
      </c>
      <c r="AA1500" s="25" t="s">
        <v>77</v>
      </c>
      <c r="AB1500" t="s">
        <v>26</v>
      </c>
      <c r="AC1500" s="24">
        <v>40940</v>
      </c>
      <c r="AD1500" s="25" t="s">
        <v>77</v>
      </c>
      <c r="AE1500" t="s">
        <v>26</v>
      </c>
      <c r="AF1500" t="s">
        <v>26</v>
      </c>
      <c r="AG1500" t="s">
        <v>26</v>
      </c>
      <c r="AH1500" t="s">
        <v>26</v>
      </c>
      <c r="AI1500" t="s">
        <v>26</v>
      </c>
      <c r="AJ1500" t="s">
        <v>26</v>
      </c>
      <c r="AK1500" t="s">
        <v>26</v>
      </c>
      <c r="AL1500" t="s">
        <v>26</v>
      </c>
      <c r="AM1500" t="s">
        <v>26</v>
      </c>
      <c r="AN1500" t="s">
        <v>26</v>
      </c>
      <c r="AO1500" s="25" t="s">
        <v>68</v>
      </c>
      <c r="AP1500" s="23" t="s">
        <v>69</v>
      </c>
      <c r="AQ1500" s="23" t="s">
        <v>30</v>
      </c>
      <c r="AR1500" s="23" t="s">
        <v>46</v>
      </c>
      <c r="AS1500" s="25">
        <v>105448</v>
      </c>
      <c r="AT1500" t="s">
        <v>26</v>
      </c>
      <c r="AU1500" t="s">
        <v>24213</v>
      </c>
    </row>
    <row r="1501" spans="1:47" ht="26.25" x14ac:dyDescent="0.4">
      <c r="A1501" s="23" t="s">
        <v>3821</v>
      </c>
      <c r="B1501" t="s">
        <v>26</v>
      </c>
      <c r="C1501" s="23" t="s">
        <v>1504</v>
      </c>
      <c r="D1501" s="23" t="s">
        <v>22179</v>
      </c>
      <c r="E1501" s="23" t="s">
        <v>42</v>
      </c>
      <c r="F1501" s="25" t="s">
        <v>3822</v>
      </c>
      <c r="G1501" s="25" t="s">
        <v>3823</v>
      </c>
      <c r="H1501" t="s">
        <v>26</v>
      </c>
      <c r="I1501" s="24">
        <v>32051</v>
      </c>
      <c r="J1501" s="24">
        <v>42552</v>
      </c>
      <c r="K1501" t="s">
        <v>26</v>
      </c>
      <c r="L1501" s="25" t="s">
        <v>68</v>
      </c>
      <c r="M1501" s="24">
        <v>32051</v>
      </c>
      <c r="N1501" s="24">
        <v>42552</v>
      </c>
      <c r="O1501" t="s">
        <v>26</v>
      </c>
      <c r="P1501" s="24">
        <v>32051</v>
      </c>
      <c r="Q1501" s="24">
        <v>42552</v>
      </c>
      <c r="R1501" t="s">
        <v>26</v>
      </c>
      <c r="S1501" t="s">
        <v>26</v>
      </c>
      <c r="T1501" t="s">
        <v>26</v>
      </c>
      <c r="U1501" t="s">
        <v>26</v>
      </c>
      <c r="V1501" t="s">
        <v>26</v>
      </c>
      <c r="W1501" s="24">
        <v>32051</v>
      </c>
      <c r="X1501" s="24">
        <v>42552</v>
      </c>
      <c r="Y1501" t="s">
        <v>26</v>
      </c>
      <c r="Z1501" s="24">
        <v>32051</v>
      </c>
      <c r="AA1501" s="24">
        <v>42552</v>
      </c>
      <c r="AB1501" t="s">
        <v>26</v>
      </c>
      <c r="AC1501" t="s">
        <v>26</v>
      </c>
      <c r="AD1501" t="s">
        <v>26</v>
      </c>
      <c r="AE1501" t="s">
        <v>26</v>
      </c>
      <c r="AF1501" t="s">
        <v>26</v>
      </c>
      <c r="AG1501" t="s">
        <v>26</v>
      </c>
      <c r="AH1501" t="s">
        <v>26</v>
      </c>
      <c r="AI1501" t="s">
        <v>26</v>
      </c>
      <c r="AJ1501" t="s">
        <v>26</v>
      </c>
      <c r="AK1501" t="s">
        <v>26</v>
      </c>
      <c r="AL1501" t="s">
        <v>26</v>
      </c>
      <c r="AM1501" t="s">
        <v>26</v>
      </c>
      <c r="AN1501" t="s">
        <v>26</v>
      </c>
      <c r="AO1501" s="25" t="s">
        <v>68</v>
      </c>
      <c r="AP1501" s="23" t="s">
        <v>69</v>
      </c>
      <c r="AQ1501" s="23" t="s">
        <v>30</v>
      </c>
      <c r="AR1501" s="23" t="s">
        <v>46</v>
      </c>
      <c r="AS1501" s="25">
        <v>28723</v>
      </c>
      <c r="AT1501" t="s">
        <v>26</v>
      </c>
      <c r="AU1501" t="s">
        <v>24214</v>
      </c>
    </row>
    <row r="1502" spans="1:47" ht="26.25" x14ac:dyDescent="0.4">
      <c r="A1502" s="23" t="s">
        <v>3824</v>
      </c>
      <c r="B1502" t="s">
        <v>26</v>
      </c>
      <c r="C1502" s="23" t="s">
        <v>3825</v>
      </c>
      <c r="D1502" s="23" t="s">
        <v>24215</v>
      </c>
      <c r="E1502" s="23" t="s">
        <v>42</v>
      </c>
      <c r="F1502" s="25" t="s">
        <v>3826</v>
      </c>
      <c r="G1502" t="s">
        <v>26</v>
      </c>
      <c r="H1502" t="s">
        <v>26</v>
      </c>
      <c r="I1502" s="24">
        <v>36342</v>
      </c>
      <c r="J1502" s="24">
        <v>41365</v>
      </c>
      <c r="K1502" t="s">
        <v>26</v>
      </c>
      <c r="L1502" s="25" t="s">
        <v>68</v>
      </c>
      <c r="M1502" s="24">
        <v>36342</v>
      </c>
      <c r="N1502" s="24">
        <v>41365</v>
      </c>
      <c r="O1502" t="s">
        <v>26</v>
      </c>
      <c r="P1502" s="24">
        <v>36342</v>
      </c>
      <c r="Q1502" s="24">
        <v>41365</v>
      </c>
      <c r="R1502" t="s">
        <v>26</v>
      </c>
      <c r="S1502" t="s">
        <v>26</v>
      </c>
      <c r="T1502" t="s">
        <v>26</v>
      </c>
      <c r="U1502" t="s">
        <v>26</v>
      </c>
      <c r="V1502" t="s">
        <v>26</v>
      </c>
      <c r="W1502" s="24">
        <v>36342</v>
      </c>
      <c r="X1502" s="25" t="s">
        <v>77</v>
      </c>
      <c r="Y1502" t="s">
        <v>26</v>
      </c>
      <c r="Z1502" s="24">
        <v>36342</v>
      </c>
      <c r="AA1502" s="25" t="s">
        <v>77</v>
      </c>
      <c r="AB1502" t="s">
        <v>26</v>
      </c>
      <c r="AC1502" s="24">
        <v>37712</v>
      </c>
      <c r="AD1502" s="25" t="s">
        <v>77</v>
      </c>
      <c r="AE1502" t="s">
        <v>26</v>
      </c>
      <c r="AF1502" t="s">
        <v>26</v>
      </c>
      <c r="AG1502" t="s">
        <v>26</v>
      </c>
      <c r="AH1502" t="s">
        <v>26</v>
      </c>
      <c r="AI1502" t="s">
        <v>26</v>
      </c>
      <c r="AJ1502" t="s">
        <v>26</v>
      </c>
      <c r="AK1502" t="s">
        <v>26</v>
      </c>
      <c r="AL1502" t="s">
        <v>26</v>
      </c>
      <c r="AM1502" t="s">
        <v>26</v>
      </c>
      <c r="AN1502" t="s">
        <v>26</v>
      </c>
      <c r="AO1502" s="25" t="s">
        <v>68</v>
      </c>
      <c r="AP1502" s="23" t="s">
        <v>211</v>
      </c>
      <c r="AQ1502" s="23" t="s">
        <v>30</v>
      </c>
      <c r="AR1502" s="23" t="s">
        <v>3827</v>
      </c>
      <c r="AS1502" s="25">
        <v>37099</v>
      </c>
      <c r="AT1502" t="s">
        <v>26</v>
      </c>
      <c r="AU1502" t="s">
        <v>24216</v>
      </c>
    </row>
    <row r="1503" spans="1:47" ht="26.25" x14ac:dyDescent="0.4">
      <c r="A1503" s="23" t="s">
        <v>3828</v>
      </c>
      <c r="B1503" t="s">
        <v>26</v>
      </c>
      <c r="C1503" s="23" t="s">
        <v>172</v>
      </c>
      <c r="D1503" s="23" t="s">
        <v>22256</v>
      </c>
      <c r="E1503" s="23" t="s">
        <v>60</v>
      </c>
      <c r="F1503" s="25" t="s">
        <v>3829</v>
      </c>
      <c r="G1503" s="25" t="s">
        <v>3830</v>
      </c>
      <c r="H1503" t="s">
        <v>26</v>
      </c>
      <c r="I1503" s="24">
        <v>37712</v>
      </c>
      <c r="J1503" s="24">
        <v>41548</v>
      </c>
      <c r="K1503" t="s">
        <v>26</v>
      </c>
      <c r="L1503" s="25" t="s">
        <v>68</v>
      </c>
      <c r="M1503" s="24">
        <v>37712</v>
      </c>
      <c r="N1503" s="24">
        <v>38808</v>
      </c>
      <c r="O1503" t="s">
        <v>26</v>
      </c>
      <c r="P1503" s="24">
        <v>37712</v>
      </c>
      <c r="Q1503" s="24">
        <v>41548</v>
      </c>
      <c r="R1503" t="s">
        <v>26</v>
      </c>
      <c r="S1503" t="s">
        <v>26</v>
      </c>
      <c r="T1503" t="s">
        <v>26</v>
      </c>
      <c r="U1503" t="s">
        <v>26</v>
      </c>
      <c r="V1503" t="s">
        <v>26</v>
      </c>
      <c r="W1503" s="24">
        <v>37712</v>
      </c>
      <c r="X1503" s="24">
        <v>41548</v>
      </c>
      <c r="Y1503" t="s">
        <v>26</v>
      </c>
      <c r="Z1503" s="24">
        <v>37712</v>
      </c>
      <c r="AA1503" s="24">
        <v>41548</v>
      </c>
      <c r="AB1503" t="s">
        <v>26</v>
      </c>
      <c r="AC1503" t="s">
        <v>26</v>
      </c>
      <c r="AD1503" t="s">
        <v>26</v>
      </c>
      <c r="AE1503" t="s">
        <v>26</v>
      </c>
      <c r="AF1503" t="s">
        <v>26</v>
      </c>
      <c r="AG1503" t="s">
        <v>26</v>
      </c>
      <c r="AH1503" t="s">
        <v>26</v>
      </c>
      <c r="AI1503" t="s">
        <v>26</v>
      </c>
      <c r="AJ1503" t="s">
        <v>26</v>
      </c>
      <c r="AK1503" t="s">
        <v>26</v>
      </c>
      <c r="AL1503" t="s">
        <v>26</v>
      </c>
      <c r="AM1503" t="s">
        <v>26</v>
      </c>
      <c r="AN1503" t="s">
        <v>26</v>
      </c>
      <c r="AO1503" s="25" t="s">
        <v>68</v>
      </c>
      <c r="AP1503" s="23" t="s">
        <v>69</v>
      </c>
      <c r="AQ1503" s="23" t="s">
        <v>30</v>
      </c>
      <c r="AR1503" s="23" t="s">
        <v>3831</v>
      </c>
      <c r="AS1503" s="25">
        <v>45906</v>
      </c>
      <c r="AT1503" t="s">
        <v>26</v>
      </c>
      <c r="AU1503" t="s">
        <v>24217</v>
      </c>
    </row>
    <row r="1504" spans="1:47" ht="26.25" x14ac:dyDescent="0.4">
      <c r="A1504" s="23" t="s">
        <v>3832</v>
      </c>
      <c r="B1504" t="s">
        <v>26</v>
      </c>
      <c r="C1504" s="23" t="s">
        <v>404</v>
      </c>
      <c r="D1504" s="23" t="s">
        <v>22192</v>
      </c>
      <c r="E1504" s="23" t="s">
        <v>42</v>
      </c>
      <c r="F1504" s="25" t="s">
        <v>3833</v>
      </c>
      <c r="G1504" s="25" t="s">
        <v>3834</v>
      </c>
      <c r="H1504" t="s">
        <v>26</v>
      </c>
      <c r="I1504" s="24">
        <v>35490</v>
      </c>
      <c r="J1504" s="25" t="s">
        <v>77</v>
      </c>
      <c r="K1504" t="s">
        <v>26</v>
      </c>
      <c r="L1504" s="25" t="s">
        <v>68</v>
      </c>
      <c r="M1504" s="24">
        <v>35490</v>
      </c>
      <c r="N1504" s="25" t="s">
        <v>77</v>
      </c>
      <c r="O1504" t="s">
        <v>26</v>
      </c>
      <c r="P1504" s="24">
        <v>35490</v>
      </c>
      <c r="Q1504" s="25" t="s">
        <v>77</v>
      </c>
      <c r="R1504" t="s">
        <v>26</v>
      </c>
      <c r="S1504" t="s">
        <v>26</v>
      </c>
      <c r="T1504" t="s">
        <v>26</v>
      </c>
      <c r="U1504" t="s">
        <v>26</v>
      </c>
      <c r="V1504" s="25">
        <v>365</v>
      </c>
      <c r="W1504" s="24">
        <v>35490</v>
      </c>
      <c r="X1504" s="25" t="s">
        <v>77</v>
      </c>
      <c r="Y1504" t="s">
        <v>26</v>
      </c>
      <c r="Z1504" s="24">
        <v>35490</v>
      </c>
      <c r="AA1504" s="25" t="s">
        <v>77</v>
      </c>
      <c r="AB1504" t="s">
        <v>26</v>
      </c>
      <c r="AC1504" s="24">
        <v>35490</v>
      </c>
      <c r="AD1504" s="25" t="s">
        <v>77</v>
      </c>
      <c r="AE1504" t="s">
        <v>26</v>
      </c>
      <c r="AF1504" t="s">
        <v>26</v>
      </c>
      <c r="AG1504" t="s">
        <v>26</v>
      </c>
      <c r="AH1504" t="s">
        <v>26</v>
      </c>
      <c r="AI1504" t="s">
        <v>26</v>
      </c>
      <c r="AJ1504" t="s">
        <v>26</v>
      </c>
      <c r="AK1504" t="s">
        <v>26</v>
      </c>
      <c r="AL1504" t="s">
        <v>26</v>
      </c>
      <c r="AM1504" t="s">
        <v>26</v>
      </c>
      <c r="AN1504" t="s">
        <v>26</v>
      </c>
      <c r="AO1504" s="25" t="s">
        <v>68</v>
      </c>
      <c r="AP1504" s="23" t="s">
        <v>69</v>
      </c>
      <c r="AQ1504" s="23" t="s">
        <v>30</v>
      </c>
      <c r="AR1504" s="23" t="s">
        <v>1269</v>
      </c>
      <c r="AS1504" s="25">
        <v>34426</v>
      </c>
      <c r="AT1504" t="s">
        <v>26</v>
      </c>
      <c r="AU1504" t="s">
        <v>24218</v>
      </c>
    </row>
    <row r="1505" spans="1:47" ht="26.25" x14ac:dyDescent="0.4">
      <c r="A1505" s="23" t="s">
        <v>3835</v>
      </c>
      <c r="B1505" t="s">
        <v>26</v>
      </c>
      <c r="C1505" s="23" t="s">
        <v>80</v>
      </c>
      <c r="D1505" s="23" t="s">
        <v>22190</v>
      </c>
      <c r="E1505" s="23" t="s">
        <v>60</v>
      </c>
      <c r="F1505" s="25" t="s">
        <v>3836</v>
      </c>
      <c r="G1505" t="s">
        <v>26</v>
      </c>
      <c r="H1505" t="s">
        <v>26</v>
      </c>
      <c r="I1505" t="s">
        <v>26</v>
      </c>
      <c r="J1505" t="s">
        <v>26</v>
      </c>
      <c r="K1505" t="s">
        <v>26</v>
      </c>
      <c r="L1505" s="25" t="s">
        <v>68</v>
      </c>
      <c r="M1505" t="s">
        <v>26</v>
      </c>
      <c r="N1505" t="s">
        <v>26</v>
      </c>
      <c r="O1505" t="s">
        <v>26</v>
      </c>
      <c r="P1505" t="s">
        <v>26</v>
      </c>
      <c r="Q1505" t="s">
        <v>26</v>
      </c>
      <c r="R1505" t="s">
        <v>26</v>
      </c>
      <c r="S1505" t="s">
        <v>26</v>
      </c>
      <c r="T1505" t="s">
        <v>26</v>
      </c>
      <c r="U1505" t="s">
        <v>26</v>
      </c>
      <c r="V1505" t="s">
        <v>26</v>
      </c>
      <c r="W1505" s="24">
        <v>43374</v>
      </c>
      <c r="X1505" s="24">
        <v>43739</v>
      </c>
      <c r="Y1505" t="s">
        <v>26</v>
      </c>
      <c r="Z1505" s="24">
        <v>43374</v>
      </c>
      <c r="AA1505" s="24">
        <v>43739</v>
      </c>
      <c r="AB1505" t="s">
        <v>26</v>
      </c>
      <c r="AC1505" s="24">
        <v>43374</v>
      </c>
      <c r="AD1505" s="24">
        <v>43739</v>
      </c>
      <c r="AE1505" t="s">
        <v>26</v>
      </c>
      <c r="AF1505" t="s">
        <v>26</v>
      </c>
      <c r="AG1505" t="s">
        <v>26</v>
      </c>
      <c r="AH1505" t="s">
        <v>26</v>
      </c>
      <c r="AI1505" t="s">
        <v>26</v>
      </c>
      <c r="AJ1505" t="s">
        <v>26</v>
      </c>
      <c r="AK1505" t="s">
        <v>26</v>
      </c>
      <c r="AL1505" t="s">
        <v>26</v>
      </c>
      <c r="AM1505" t="s">
        <v>26</v>
      </c>
      <c r="AN1505" t="s">
        <v>26</v>
      </c>
      <c r="AO1505" s="25" t="s">
        <v>68</v>
      </c>
      <c r="AP1505" s="23" t="s">
        <v>69</v>
      </c>
      <c r="AQ1505" s="23" t="s">
        <v>30</v>
      </c>
      <c r="AR1505" s="23" t="s">
        <v>3831</v>
      </c>
      <c r="AS1505" s="25">
        <v>52974</v>
      </c>
      <c r="AT1505" t="s">
        <v>26</v>
      </c>
      <c r="AU1505" t="s">
        <v>24219</v>
      </c>
    </row>
    <row r="1506" spans="1:47" ht="26.25" x14ac:dyDescent="0.4">
      <c r="A1506" s="23" t="s">
        <v>3835</v>
      </c>
      <c r="B1506" t="s">
        <v>26</v>
      </c>
      <c r="C1506" s="23" t="s">
        <v>80</v>
      </c>
      <c r="D1506" s="23" t="s">
        <v>22179</v>
      </c>
      <c r="E1506" s="23" t="s">
        <v>60</v>
      </c>
      <c r="F1506" s="25" t="s">
        <v>3836</v>
      </c>
      <c r="G1506" t="s">
        <v>26</v>
      </c>
      <c r="H1506" t="s">
        <v>26</v>
      </c>
      <c r="I1506" t="s">
        <v>26</v>
      </c>
      <c r="J1506" t="s">
        <v>26</v>
      </c>
      <c r="K1506" t="s">
        <v>26</v>
      </c>
      <c r="L1506" s="25" t="s">
        <v>68</v>
      </c>
      <c r="M1506" t="s">
        <v>26</v>
      </c>
      <c r="N1506" t="s">
        <v>26</v>
      </c>
      <c r="O1506" t="s">
        <v>26</v>
      </c>
      <c r="P1506" t="s">
        <v>26</v>
      </c>
      <c r="Q1506" t="s">
        <v>26</v>
      </c>
      <c r="R1506" t="s">
        <v>26</v>
      </c>
      <c r="S1506" t="s">
        <v>26</v>
      </c>
      <c r="T1506" t="s">
        <v>26</v>
      </c>
      <c r="U1506" t="s">
        <v>26</v>
      </c>
      <c r="V1506" t="s">
        <v>26</v>
      </c>
      <c r="W1506" s="24">
        <v>42278</v>
      </c>
      <c r="X1506" s="25" t="s">
        <v>77</v>
      </c>
      <c r="Y1506" t="s">
        <v>26</v>
      </c>
      <c r="Z1506" s="24">
        <v>42278</v>
      </c>
      <c r="AA1506" s="25" t="s">
        <v>77</v>
      </c>
      <c r="AB1506" t="s">
        <v>26</v>
      </c>
      <c r="AC1506" s="24">
        <v>42278</v>
      </c>
      <c r="AD1506" s="25" t="s">
        <v>77</v>
      </c>
      <c r="AE1506" t="s">
        <v>26</v>
      </c>
      <c r="AF1506" t="s">
        <v>26</v>
      </c>
      <c r="AG1506" t="s">
        <v>26</v>
      </c>
      <c r="AH1506" t="s">
        <v>26</v>
      </c>
      <c r="AI1506" t="s">
        <v>26</v>
      </c>
      <c r="AJ1506" t="s">
        <v>26</v>
      </c>
      <c r="AK1506" t="s">
        <v>26</v>
      </c>
      <c r="AL1506" t="s">
        <v>26</v>
      </c>
      <c r="AM1506" t="s">
        <v>26</v>
      </c>
      <c r="AN1506" t="s">
        <v>26</v>
      </c>
      <c r="AO1506" s="25" t="s">
        <v>68</v>
      </c>
      <c r="AP1506" s="23" t="s">
        <v>69</v>
      </c>
      <c r="AQ1506" s="23" t="s">
        <v>30</v>
      </c>
      <c r="AR1506" s="23" t="s">
        <v>3831</v>
      </c>
      <c r="AS1506" s="25">
        <v>2033180</v>
      </c>
      <c r="AT1506" t="s">
        <v>26</v>
      </c>
      <c r="AU1506" t="s">
        <v>24220</v>
      </c>
    </row>
    <row r="1507" spans="1:47" ht="26.25" x14ac:dyDescent="0.4">
      <c r="A1507" s="23" t="s">
        <v>3837</v>
      </c>
      <c r="B1507" t="s">
        <v>26</v>
      </c>
      <c r="C1507" s="23" t="s">
        <v>399</v>
      </c>
      <c r="D1507" s="23" t="s">
        <v>22242</v>
      </c>
      <c r="E1507" s="23" t="s">
        <v>60</v>
      </c>
      <c r="F1507" s="25" t="s">
        <v>3838</v>
      </c>
      <c r="G1507" s="25" t="s">
        <v>3839</v>
      </c>
      <c r="H1507" t="s">
        <v>26</v>
      </c>
      <c r="I1507" t="s">
        <v>26</v>
      </c>
      <c r="J1507" t="s">
        <v>26</v>
      </c>
      <c r="K1507" t="s">
        <v>26</v>
      </c>
      <c r="L1507" s="25" t="s">
        <v>68</v>
      </c>
      <c r="M1507" t="s">
        <v>26</v>
      </c>
      <c r="N1507" t="s">
        <v>26</v>
      </c>
      <c r="O1507" t="s">
        <v>26</v>
      </c>
      <c r="P1507" t="s">
        <v>26</v>
      </c>
      <c r="Q1507" t="s">
        <v>26</v>
      </c>
      <c r="R1507" t="s">
        <v>26</v>
      </c>
      <c r="S1507" t="s">
        <v>26</v>
      </c>
      <c r="T1507" t="s">
        <v>26</v>
      </c>
      <c r="U1507" t="s">
        <v>26</v>
      </c>
      <c r="V1507" t="s">
        <v>26</v>
      </c>
      <c r="W1507" s="24">
        <v>32143</v>
      </c>
      <c r="X1507" s="24">
        <v>43070</v>
      </c>
      <c r="Y1507" t="s">
        <v>26</v>
      </c>
      <c r="Z1507" s="24">
        <v>32143</v>
      </c>
      <c r="AA1507" s="24">
        <v>43070</v>
      </c>
      <c r="AB1507" t="s">
        <v>26</v>
      </c>
      <c r="AC1507" s="24">
        <v>32143</v>
      </c>
      <c r="AD1507" s="24">
        <v>43070</v>
      </c>
      <c r="AE1507" t="s">
        <v>26</v>
      </c>
      <c r="AF1507" t="s">
        <v>26</v>
      </c>
      <c r="AG1507" t="s">
        <v>26</v>
      </c>
      <c r="AH1507" t="s">
        <v>26</v>
      </c>
      <c r="AI1507" t="s">
        <v>26</v>
      </c>
      <c r="AJ1507" t="s">
        <v>26</v>
      </c>
      <c r="AK1507" t="s">
        <v>26</v>
      </c>
      <c r="AL1507" t="s">
        <v>26</v>
      </c>
      <c r="AM1507" t="s">
        <v>26</v>
      </c>
      <c r="AN1507" t="s">
        <v>26</v>
      </c>
      <c r="AO1507" s="25" t="s">
        <v>68</v>
      </c>
      <c r="AP1507" s="23" t="s">
        <v>69</v>
      </c>
      <c r="AQ1507" s="23" t="s">
        <v>30</v>
      </c>
      <c r="AR1507" s="23" t="s">
        <v>3840</v>
      </c>
      <c r="AS1507" s="25">
        <v>47293</v>
      </c>
      <c r="AT1507" t="s">
        <v>26</v>
      </c>
      <c r="AU1507" t="s">
        <v>24221</v>
      </c>
    </row>
    <row r="1508" spans="1:47" ht="26.25" x14ac:dyDescent="0.4">
      <c r="A1508" s="23" t="s">
        <v>3841</v>
      </c>
      <c r="B1508" t="s">
        <v>26</v>
      </c>
      <c r="C1508" s="23" t="s">
        <v>399</v>
      </c>
      <c r="D1508" s="23" t="s">
        <v>22179</v>
      </c>
      <c r="E1508" s="23" t="s">
        <v>60</v>
      </c>
      <c r="F1508" s="25" t="s">
        <v>3838</v>
      </c>
      <c r="G1508" s="25" t="s">
        <v>3839</v>
      </c>
      <c r="H1508" t="s">
        <v>26</v>
      </c>
      <c r="I1508" t="s">
        <v>26</v>
      </c>
      <c r="J1508" t="s">
        <v>26</v>
      </c>
      <c r="K1508" t="s">
        <v>26</v>
      </c>
      <c r="L1508" s="25" t="s">
        <v>68</v>
      </c>
      <c r="M1508" t="s">
        <v>26</v>
      </c>
      <c r="N1508" t="s">
        <v>26</v>
      </c>
      <c r="O1508" t="s">
        <v>26</v>
      </c>
      <c r="P1508" t="s">
        <v>26</v>
      </c>
      <c r="Q1508" t="s">
        <v>26</v>
      </c>
      <c r="R1508" t="s">
        <v>26</v>
      </c>
      <c r="S1508" t="s">
        <v>26</v>
      </c>
      <c r="T1508" t="s">
        <v>26</v>
      </c>
      <c r="U1508" t="s">
        <v>26</v>
      </c>
      <c r="V1508" t="s">
        <v>26</v>
      </c>
      <c r="W1508" s="24">
        <v>31413</v>
      </c>
      <c r="X1508" s="24">
        <v>32051</v>
      </c>
      <c r="Y1508" t="s">
        <v>26</v>
      </c>
      <c r="Z1508" s="24">
        <v>31413</v>
      </c>
      <c r="AA1508" s="24">
        <v>32051</v>
      </c>
      <c r="AB1508" t="s">
        <v>26</v>
      </c>
      <c r="AC1508" s="24">
        <v>31413</v>
      </c>
      <c r="AD1508" s="24">
        <v>32051</v>
      </c>
      <c r="AE1508" t="s">
        <v>26</v>
      </c>
      <c r="AF1508" t="s">
        <v>26</v>
      </c>
      <c r="AG1508" t="s">
        <v>26</v>
      </c>
      <c r="AH1508" t="s">
        <v>26</v>
      </c>
      <c r="AI1508" t="s">
        <v>26</v>
      </c>
      <c r="AJ1508" t="s">
        <v>26</v>
      </c>
      <c r="AK1508" t="s">
        <v>26</v>
      </c>
      <c r="AL1508" t="s">
        <v>26</v>
      </c>
      <c r="AM1508" t="s">
        <v>26</v>
      </c>
      <c r="AN1508" t="s">
        <v>26</v>
      </c>
      <c r="AO1508" s="25" t="s">
        <v>68</v>
      </c>
      <c r="AP1508" s="23" t="s">
        <v>69</v>
      </c>
      <c r="AQ1508" s="23" t="s">
        <v>30</v>
      </c>
      <c r="AR1508" s="23" t="s">
        <v>3840</v>
      </c>
      <c r="AS1508" s="25">
        <v>47295</v>
      </c>
      <c r="AT1508" t="s">
        <v>26</v>
      </c>
      <c r="AU1508" t="s">
        <v>24222</v>
      </c>
    </row>
    <row r="1509" spans="1:47" ht="26.25" x14ac:dyDescent="0.4">
      <c r="A1509" s="23" t="s">
        <v>3842</v>
      </c>
      <c r="B1509" t="s">
        <v>26</v>
      </c>
      <c r="C1509" s="23" t="s">
        <v>399</v>
      </c>
      <c r="D1509" s="23" t="s">
        <v>22179</v>
      </c>
      <c r="E1509" s="23" t="s">
        <v>60</v>
      </c>
      <c r="F1509" s="25" t="s">
        <v>3838</v>
      </c>
      <c r="G1509" s="25" t="s">
        <v>3839</v>
      </c>
      <c r="H1509" t="s">
        <v>26</v>
      </c>
      <c r="I1509" t="s">
        <v>26</v>
      </c>
      <c r="J1509" t="s">
        <v>26</v>
      </c>
      <c r="K1509" t="s">
        <v>26</v>
      </c>
      <c r="L1509" s="25" t="s">
        <v>68</v>
      </c>
      <c r="M1509" t="s">
        <v>26</v>
      </c>
      <c r="N1509" t="s">
        <v>26</v>
      </c>
      <c r="O1509" t="s">
        <v>26</v>
      </c>
      <c r="P1509" t="s">
        <v>26</v>
      </c>
      <c r="Q1509" t="s">
        <v>26</v>
      </c>
      <c r="R1509" t="s">
        <v>26</v>
      </c>
      <c r="S1509" t="s">
        <v>26</v>
      </c>
      <c r="T1509" t="s">
        <v>26</v>
      </c>
      <c r="U1509" t="s">
        <v>26</v>
      </c>
      <c r="V1509" t="s">
        <v>26</v>
      </c>
      <c r="W1509" s="24">
        <v>18749</v>
      </c>
      <c r="X1509" s="24">
        <v>31321</v>
      </c>
      <c r="Y1509" t="s">
        <v>26</v>
      </c>
      <c r="Z1509" s="24">
        <v>18749</v>
      </c>
      <c r="AA1509" s="24">
        <v>31321</v>
      </c>
      <c r="AB1509" t="s">
        <v>26</v>
      </c>
      <c r="AC1509" s="24">
        <v>18749</v>
      </c>
      <c r="AD1509" s="24">
        <v>31321</v>
      </c>
      <c r="AE1509" t="s">
        <v>26</v>
      </c>
      <c r="AF1509" t="s">
        <v>26</v>
      </c>
      <c r="AG1509" t="s">
        <v>26</v>
      </c>
      <c r="AH1509" t="s">
        <v>26</v>
      </c>
      <c r="AI1509" t="s">
        <v>26</v>
      </c>
      <c r="AJ1509" t="s">
        <v>26</v>
      </c>
      <c r="AK1509" t="s">
        <v>26</v>
      </c>
      <c r="AL1509" t="s">
        <v>26</v>
      </c>
      <c r="AM1509" t="s">
        <v>26</v>
      </c>
      <c r="AN1509" t="s">
        <v>26</v>
      </c>
      <c r="AO1509" s="25" t="s">
        <v>68</v>
      </c>
      <c r="AP1509" s="23" t="s">
        <v>69</v>
      </c>
      <c r="AQ1509" s="23" t="s">
        <v>30</v>
      </c>
      <c r="AR1509" s="23" t="s">
        <v>3840</v>
      </c>
      <c r="AS1509" s="25">
        <v>47296</v>
      </c>
      <c r="AT1509" t="s">
        <v>26</v>
      </c>
      <c r="AU1509" t="s">
        <v>24223</v>
      </c>
    </row>
    <row r="1510" spans="1:47" ht="26.25" x14ac:dyDescent="0.4">
      <c r="A1510" s="23" t="s">
        <v>3843</v>
      </c>
      <c r="B1510" t="s">
        <v>26</v>
      </c>
      <c r="C1510" s="23" t="s">
        <v>264</v>
      </c>
      <c r="D1510" s="23" t="s">
        <v>22174</v>
      </c>
      <c r="E1510" s="23" t="s">
        <v>60</v>
      </c>
      <c r="F1510" s="25" t="s">
        <v>3844</v>
      </c>
      <c r="G1510" s="25" t="s">
        <v>3845</v>
      </c>
      <c r="H1510" t="s">
        <v>26</v>
      </c>
      <c r="I1510" s="24">
        <v>36526</v>
      </c>
      <c r="J1510" s="25" t="s">
        <v>77</v>
      </c>
      <c r="K1510" t="s">
        <v>26</v>
      </c>
      <c r="L1510" s="25" t="s">
        <v>68</v>
      </c>
      <c r="M1510" s="24">
        <v>37135</v>
      </c>
      <c r="N1510" s="25" t="s">
        <v>77</v>
      </c>
      <c r="O1510" t="s">
        <v>26</v>
      </c>
      <c r="P1510" s="24">
        <v>36526</v>
      </c>
      <c r="Q1510" s="25" t="s">
        <v>77</v>
      </c>
      <c r="R1510" t="s">
        <v>26</v>
      </c>
      <c r="S1510" t="s">
        <v>26</v>
      </c>
      <c r="T1510" t="s">
        <v>26</v>
      </c>
      <c r="U1510" t="s">
        <v>26</v>
      </c>
      <c r="V1510" s="25">
        <v>365</v>
      </c>
      <c r="W1510" s="24">
        <v>36526</v>
      </c>
      <c r="X1510" s="25" t="s">
        <v>77</v>
      </c>
      <c r="Y1510" t="s">
        <v>26</v>
      </c>
      <c r="Z1510" s="24">
        <v>36526</v>
      </c>
      <c r="AA1510" s="25" t="s">
        <v>77</v>
      </c>
      <c r="AB1510" t="s">
        <v>26</v>
      </c>
      <c r="AC1510" s="24">
        <v>36526</v>
      </c>
      <c r="AD1510" s="25" t="s">
        <v>77</v>
      </c>
      <c r="AE1510" t="s">
        <v>26</v>
      </c>
      <c r="AF1510" t="s">
        <v>26</v>
      </c>
      <c r="AG1510" t="s">
        <v>26</v>
      </c>
      <c r="AH1510" t="s">
        <v>26</v>
      </c>
      <c r="AI1510" t="s">
        <v>26</v>
      </c>
      <c r="AJ1510" t="s">
        <v>26</v>
      </c>
      <c r="AK1510" t="s">
        <v>26</v>
      </c>
      <c r="AL1510" t="s">
        <v>26</v>
      </c>
      <c r="AM1510" t="s">
        <v>26</v>
      </c>
      <c r="AN1510" t="s">
        <v>26</v>
      </c>
      <c r="AO1510" s="25" t="s">
        <v>68</v>
      </c>
      <c r="AP1510" s="23" t="s">
        <v>69</v>
      </c>
      <c r="AQ1510" s="23" t="s">
        <v>30</v>
      </c>
      <c r="AR1510" s="23" t="s">
        <v>369</v>
      </c>
      <c r="AS1510" s="25">
        <v>26325</v>
      </c>
      <c r="AT1510" t="s">
        <v>26</v>
      </c>
      <c r="AU1510" t="s">
        <v>24224</v>
      </c>
    </row>
    <row r="1511" spans="1:47" ht="26.25" x14ac:dyDescent="0.4">
      <c r="A1511" s="23" t="s">
        <v>24225</v>
      </c>
      <c r="B1511" t="s">
        <v>26</v>
      </c>
      <c r="C1511" s="23" t="s">
        <v>24226</v>
      </c>
      <c r="D1511" s="23" t="s">
        <v>24227</v>
      </c>
      <c r="E1511" s="23" t="s">
        <v>42</v>
      </c>
      <c r="F1511" s="25" t="s">
        <v>24228</v>
      </c>
      <c r="G1511" s="25" t="s">
        <v>24229</v>
      </c>
      <c r="H1511" t="s">
        <v>26</v>
      </c>
      <c r="I1511" s="24">
        <v>43101</v>
      </c>
      <c r="J1511" s="25" t="s">
        <v>77</v>
      </c>
      <c r="K1511" t="s">
        <v>26</v>
      </c>
      <c r="L1511" s="25" t="s">
        <v>68</v>
      </c>
      <c r="M1511" t="s">
        <v>26</v>
      </c>
      <c r="N1511" t="s">
        <v>26</v>
      </c>
      <c r="O1511" t="s">
        <v>26</v>
      </c>
      <c r="P1511" s="24">
        <v>43101</v>
      </c>
      <c r="Q1511" s="25" t="s">
        <v>77</v>
      </c>
      <c r="R1511" t="s">
        <v>26</v>
      </c>
      <c r="S1511" t="s">
        <v>26</v>
      </c>
      <c r="T1511" t="s">
        <v>26</v>
      </c>
      <c r="U1511" t="s">
        <v>26</v>
      </c>
      <c r="V1511" t="s">
        <v>26</v>
      </c>
      <c r="W1511" s="24">
        <v>43101</v>
      </c>
      <c r="X1511" s="25" t="s">
        <v>77</v>
      </c>
      <c r="Y1511" t="s">
        <v>26</v>
      </c>
      <c r="Z1511" s="24">
        <v>43101</v>
      </c>
      <c r="AA1511" s="25" t="s">
        <v>77</v>
      </c>
      <c r="AB1511" t="s">
        <v>26</v>
      </c>
      <c r="AC1511" s="24">
        <v>43101</v>
      </c>
      <c r="AD1511" s="25" t="s">
        <v>77</v>
      </c>
      <c r="AE1511" t="s">
        <v>26</v>
      </c>
      <c r="AF1511" t="s">
        <v>26</v>
      </c>
      <c r="AG1511" t="s">
        <v>26</v>
      </c>
      <c r="AH1511" t="s">
        <v>26</v>
      </c>
      <c r="AI1511" t="s">
        <v>26</v>
      </c>
      <c r="AJ1511" t="s">
        <v>26</v>
      </c>
      <c r="AK1511" t="s">
        <v>26</v>
      </c>
      <c r="AL1511" t="s">
        <v>26</v>
      </c>
      <c r="AM1511" t="s">
        <v>26</v>
      </c>
      <c r="AN1511" t="s">
        <v>26</v>
      </c>
      <c r="AO1511" s="25" t="s">
        <v>68</v>
      </c>
      <c r="AP1511" s="23" t="s">
        <v>69</v>
      </c>
      <c r="AQ1511" s="23" t="s">
        <v>30</v>
      </c>
      <c r="AR1511" s="23" t="s">
        <v>184</v>
      </c>
      <c r="AS1511" s="25">
        <v>6477218</v>
      </c>
      <c r="AT1511" t="s">
        <v>26</v>
      </c>
      <c r="AU1511" t="s">
        <v>24230</v>
      </c>
    </row>
    <row r="1512" spans="1:47" ht="26.25" x14ac:dyDescent="0.4">
      <c r="A1512" s="23" t="s">
        <v>3846</v>
      </c>
      <c r="B1512" t="s">
        <v>26</v>
      </c>
      <c r="C1512" s="23" t="s">
        <v>320</v>
      </c>
      <c r="D1512" s="23" t="s">
        <v>22599</v>
      </c>
      <c r="E1512" s="23" t="s">
        <v>42</v>
      </c>
      <c r="F1512" s="25" t="s">
        <v>3847</v>
      </c>
      <c r="G1512" s="25" t="s">
        <v>3848</v>
      </c>
      <c r="H1512" t="s">
        <v>26</v>
      </c>
      <c r="I1512" t="s">
        <v>26</v>
      </c>
      <c r="J1512" t="s">
        <v>26</v>
      </c>
      <c r="K1512" t="s">
        <v>26</v>
      </c>
      <c r="L1512" s="25" t="s">
        <v>68</v>
      </c>
      <c r="M1512" t="s">
        <v>26</v>
      </c>
      <c r="N1512" t="s">
        <v>26</v>
      </c>
      <c r="O1512" t="s">
        <v>26</v>
      </c>
      <c r="P1512" t="s">
        <v>26</v>
      </c>
      <c r="Q1512" t="s">
        <v>26</v>
      </c>
      <c r="R1512" t="s">
        <v>26</v>
      </c>
      <c r="S1512" t="s">
        <v>26</v>
      </c>
      <c r="T1512" t="s">
        <v>26</v>
      </c>
      <c r="U1512" t="s">
        <v>26</v>
      </c>
      <c r="V1512" t="s">
        <v>26</v>
      </c>
      <c r="W1512" s="24">
        <v>38047</v>
      </c>
      <c r="X1512" s="25" t="s">
        <v>77</v>
      </c>
      <c r="Y1512" t="s">
        <v>26</v>
      </c>
      <c r="Z1512" s="24">
        <v>38047</v>
      </c>
      <c r="AA1512" s="25" t="s">
        <v>77</v>
      </c>
      <c r="AB1512" t="s">
        <v>26</v>
      </c>
      <c r="AC1512" s="24">
        <v>38047</v>
      </c>
      <c r="AD1512" s="25" t="s">
        <v>77</v>
      </c>
      <c r="AE1512" t="s">
        <v>26</v>
      </c>
      <c r="AF1512" t="s">
        <v>26</v>
      </c>
      <c r="AG1512" t="s">
        <v>26</v>
      </c>
      <c r="AH1512" t="s">
        <v>26</v>
      </c>
      <c r="AI1512" t="s">
        <v>26</v>
      </c>
      <c r="AJ1512" t="s">
        <v>26</v>
      </c>
      <c r="AK1512" t="s">
        <v>26</v>
      </c>
      <c r="AL1512" t="s">
        <v>26</v>
      </c>
      <c r="AM1512" t="s">
        <v>26</v>
      </c>
      <c r="AN1512" t="s">
        <v>26</v>
      </c>
      <c r="AO1512" s="25" t="s">
        <v>68</v>
      </c>
      <c r="AP1512" s="23" t="s">
        <v>69</v>
      </c>
      <c r="AQ1512" s="23" t="s">
        <v>30</v>
      </c>
      <c r="AR1512" s="23" t="s">
        <v>257</v>
      </c>
      <c r="AS1512" s="25">
        <v>30962</v>
      </c>
      <c r="AT1512" t="s">
        <v>26</v>
      </c>
      <c r="AU1512" t="s">
        <v>24231</v>
      </c>
    </row>
    <row r="1513" spans="1:47" ht="26.25" x14ac:dyDescent="0.4">
      <c r="A1513" s="23" t="s">
        <v>3849</v>
      </c>
      <c r="B1513" t="s">
        <v>26</v>
      </c>
      <c r="C1513" s="23" t="s">
        <v>73</v>
      </c>
      <c r="D1513" s="23" t="s">
        <v>22179</v>
      </c>
      <c r="E1513" s="23" t="s">
        <v>74</v>
      </c>
      <c r="F1513" s="25" t="s">
        <v>3850</v>
      </c>
      <c r="G1513" s="25" t="s">
        <v>3851</v>
      </c>
      <c r="H1513" t="s">
        <v>26</v>
      </c>
      <c r="I1513" s="24">
        <v>33270</v>
      </c>
      <c r="J1513" s="25" t="s">
        <v>77</v>
      </c>
      <c r="K1513" t="s">
        <v>26</v>
      </c>
      <c r="L1513" s="25" t="s">
        <v>68</v>
      </c>
      <c r="M1513" s="24">
        <v>34790</v>
      </c>
      <c r="N1513" s="24">
        <v>42887</v>
      </c>
      <c r="O1513" t="s">
        <v>26</v>
      </c>
      <c r="P1513" s="24">
        <v>33270</v>
      </c>
      <c r="Q1513" s="25" t="s">
        <v>77</v>
      </c>
      <c r="R1513" t="s">
        <v>26</v>
      </c>
      <c r="S1513" t="s">
        <v>26</v>
      </c>
      <c r="T1513" t="s">
        <v>26</v>
      </c>
      <c r="U1513" t="s">
        <v>26</v>
      </c>
      <c r="V1513" s="25">
        <v>365</v>
      </c>
      <c r="W1513" s="24">
        <v>31778</v>
      </c>
      <c r="X1513" s="25" t="s">
        <v>77</v>
      </c>
      <c r="Y1513" t="s">
        <v>26</v>
      </c>
      <c r="Z1513" s="24">
        <v>31778</v>
      </c>
      <c r="AA1513" s="25" t="s">
        <v>77</v>
      </c>
      <c r="AB1513" t="s">
        <v>26</v>
      </c>
      <c r="AC1513" s="24">
        <v>31778</v>
      </c>
      <c r="AD1513" s="25" t="s">
        <v>77</v>
      </c>
      <c r="AE1513" t="s">
        <v>26</v>
      </c>
      <c r="AF1513" t="s">
        <v>26</v>
      </c>
      <c r="AG1513" t="s">
        <v>26</v>
      </c>
      <c r="AH1513" t="s">
        <v>26</v>
      </c>
      <c r="AI1513" t="s">
        <v>26</v>
      </c>
      <c r="AJ1513" t="s">
        <v>26</v>
      </c>
      <c r="AK1513" t="s">
        <v>26</v>
      </c>
      <c r="AL1513" t="s">
        <v>26</v>
      </c>
      <c r="AM1513" t="s">
        <v>26</v>
      </c>
      <c r="AN1513" t="s">
        <v>26</v>
      </c>
      <c r="AO1513" s="25" t="s">
        <v>68</v>
      </c>
      <c r="AP1513" s="23" t="s">
        <v>69</v>
      </c>
      <c r="AQ1513" s="23" t="s">
        <v>30</v>
      </c>
      <c r="AR1513" s="23" t="s">
        <v>3852</v>
      </c>
      <c r="AS1513" s="25">
        <v>48530</v>
      </c>
      <c r="AT1513" t="s">
        <v>26</v>
      </c>
      <c r="AU1513" t="s">
        <v>24232</v>
      </c>
    </row>
    <row r="1514" spans="1:47" ht="26.25" x14ac:dyDescent="0.4">
      <c r="A1514" s="23" t="s">
        <v>3853</v>
      </c>
      <c r="B1514" t="s">
        <v>26</v>
      </c>
      <c r="C1514" s="23" t="s">
        <v>1481</v>
      </c>
      <c r="D1514" s="23" t="s">
        <v>22190</v>
      </c>
      <c r="E1514" s="23" t="s">
        <v>60</v>
      </c>
      <c r="F1514" s="25" t="s">
        <v>3854</v>
      </c>
      <c r="G1514" s="25" t="s">
        <v>3855</v>
      </c>
      <c r="H1514" t="s">
        <v>26</v>
      </c>
      <c r="I1514" t="s">
        <v>26</v>
      </c>
      <c r="J1514" t="s">
        <v>26</v>
      </c>
      <c r="K1514" t="s">
        <v>26</v>
      </c>
      <c r="L1514" s="25" t="s">
        <v>68</v>
      </c>
      <c r="M1514" t="s">
        <v>26</v>
      </c>
      <c r="N1514" t="s">
        <v>26</v>
      </c>
      <c r="O1514" t="s">
        <v>26</v>
      </c>
      <c r="P1514" t="s">
        <v>26</v>
      </c>
      <c r="Q1514" t="s">
        <v>26</v>
      </c>
      <c r="R1514" t="s">
        <v>26</v>
      </c>
      <c r="S1514" t="s">
        <v>26</v>
      </c>
      <c r="T1514" t="s">
        <v>26</v>
      </c>
      <c r="U1514" t="s">
        <v>26</v>
      </c>
      <c r="V1514" t="s">
        <v>26</v>
      </c>
      <c r="W1514" s="24">
        <v>37987</v>
      </c>
      <c r="X1514" s="25" t="s">
        <v>77</v>
      </c>
      <c r="Y1514" t="s">
        <v>26</v>
      </c>
      <c r="Z1514" s="24">
        <v>37987</v>
      </c>
      <c r="AA1514" s="25" t="s">
        <v>77</v>
      </c>
      <c r="AB1514" t="s">
        <v>26</v>
      </c>
      <c r="AC1514" s="24">
        <v>37987</v>
      </c>
      <c r="AD1514" s="25" t="s">
        <v>77</v>
      </c>
      <c r="AE1514" t="s">
        <v>26</v>
      </c>
      <c r="AF1514" t="s">
        <v>26</v>
      </c>
      <c r="AG1514" t="s">
        <v>26</v>
      </c>
      <c r="AH1514" t="s">
        <v>26</v>
      </c>
      <c r="AI1514" t="s">
        <v>26</v>
      </c>
      <c r="AJ1514" t="s">
        <v>26</v>
      </c>
      <c r="AK1514" t="s">
        <v>26</v>
      </c>
      <c r="AL1514" t="s">
        <v>26</v>
      </c>
      <c r="AM1514" t="s">
        <v>26</v>
      </c>
      <c r="AN1514" t="s">
        <v>26</v>
      </c>
      <c r="AO1514" s="25" t="s">
        <v>68</v>
      </c>
      <c r="AP1514" s="23" t="s">
        <v>69</v>
      </c>
      <c r="AQ1514" s="23" t="s">
        <v>30</v>
      </c>
      <c r="AR1514" s="23" t="s">
        <v>105</v>
      </c>
      <c r="AS1514" s="25">
        <v>36978</v>
      </c>
      <c r="AT1514" t="s">
        <v>26</v>
      </c>
      <c r="AU1514" t="s">
        <v>24233</v>
      </c>
    </row>
    <row r="1515" spans="1:47" ht="26.25" x14ac:dyDescent="0.4">
      <c r="A1515" s="23" t="s">
        <v>3856</v>
      </c>
      <c r="B1515" t="s">
        <v>26</v>
      </c>
      <c r="C1515" s="23" t="s">
        <v>320</v>
      </c>
      <c r="D1515" s="23" t="s">
        <v>22294</v>
      </c>
      <c r="E1515" s="23" t="s">
        <v>42</v>
      </c>
      <c r="F1515" s="25" t="s">
        <v>3857</v>
      </c>
      <c r="G1515" s="25" t="s">
        <v>3858</v>
      </c>
      <c r="H1515" t="s">
        <v>26</v>
      </c>
      <c r="I1515" t="s">
        <v>26</v>
      </c>
      <c r="J1515" t="s">
        <v>26</v>
      </c>
      <c r="K1515" t="s">
        <v>26</v>
      </c>
      <c r="L1515" s="25" t="s">
        <v>68</v>
      </c>
      <c r="M1515" t="s">
        <v>26</v>
      </c>
      <c r="N1515" t="s">
        <v>26</v>
      </c>
      <c r="O1515" t="s">
        <v>26</v>
      </c>
      <c r="P1515" t="s">
        <v>26</v>
      </c>
      <c r="Q1515" t="s">
        <v>26</v>
      </c>
      <c r="R1515" t="s">
        <v>26</v>
      </c>
      <c r="S1515" t="s">
        <v>26</v>
      </c>
      <c r="T1515" t="s">
        <v>26</v>
      </c>
      <c r="U1515" t="s">
        <v>26</v>
      </c>
      <c r="V1515" t="s">
        <v>26</v>
      </c>
      <c r="W1515" s="24">
        <v>38108</v>
      </c>
      <c r="X1515" s="25" t="s">
        <v>77</v>
      </c>
      <c r="Y1515" t="s">
        <v>26</v>
      </c>
      <c r="Z1515" s="24">
        <v>38108</v>
      </c>
      <c r="AA1515" s="25" t="s">
        <v>77</v>
      </c>
      <c r="AB1515" t="s">
        <v>26</v>
      </c>
      <c r="AC1515" s="24">
        <v>38108</v>
      </c>
      <c r="AD1515" s="25" t="s">
        <v>77</v>
      </c>
      <c r="AE1515" t="s">
        <v>26</v>
      </c>
      <c r="AF1515" t="s">
        <v>26</v>
      </c>
      <c r="AG1515" t="s">
        <v>26</v>
      </c>
      <c r="AH1515" t="s">
        <v>26</v>
      </c>
      <c r="AI1515" t="s">
        <v>26</v>
      </c>
      <c r="AJ1515" t="s">
        <v>26</v>
      </c>
      <c r="AK1515" t="s">
        <v>26</v>
      </c>
      <c r="AL1515" t="s">
        <v>26</v>
      </c>
      <c r="AM1515" t="s">
        <v>26</v>
      </c>
      <c r="AN1515" t="s">
        <v>26</v>
      </c>
      <c r="AO1515" s="25" t="s">
        <v>68</v>
      </c>
      <c r="AP1515" s="23" t="s">
        <v>69</v>
      </c>
      <c r="AQ1515" s="23" t="s">
        <v>30</v>
      </c>
      <c r="AR1515" s="23" t="s">
        <v>257</v>
      </c>
      <c r="AS1515" s="25">
        <v>48397</v>
      </c>
      <c r="AT1515" t="s">
        <v>26</v>
      </c>
      <c r="AU1515" t="s">
        <v>24234</v>
      </c>
    </row>
    <row r="1516" spans="1:47" ht="26.25" x14ac:dyDescent="0.4">
      <c r="A1516" s="23" t="s">
        <v>3859</v>
      </c>
      <c r="B1516" t="s">
        <v>26</v>
      </c>
      <c r="C1516" s="23" t="s">
        <v>1054</v>
      </c>
      <c r="D1516" s="23" t="s">
        <v>22772</v>
      </c>
      <c r="E1516" s="23" t="s">
        <v>335</v>
      </c>
      <c r="F1516" s="25" t="s">
        <v>3860</v>
      </c>
      <c r="G1516" s="25" t="s">
        <v>3861</v>
      </c>
      <c r="H1516" t="s">
        <v>26</v>
      </c>
      <c r="I1516" s="24">
        <v>34425</v>
      </c>
      <c r="J1516" s="24">
        <v>41913</v>
      </c>
      <c r="K1516" t="s">
        <v>26</v>
      </c>
      <c r="L1516" s="25" t="s">
        <v>68</v>
      </c>
      <c r="M1516" s="24">
        <v>34425</v>
      </c>
      <c r="N1516" s="24">
        <v>41913</v>
      </c>
      <c r="O1516" t="s">
        <v>26</v>
      </c>
      <c r="P1516" s="24">
        <v>34973</v>
      </c>
      <c r="Q1516" s="24">
        <v>41913</v>
      </c>
      <c r="R1516" t="s">
        <v>26</v>
      </c>
      <c r="S1516" t="s">
        <v>26</v>
      </c>
      <c r="T1516" t="s">
        <v>26</v>
      </c>
      <c r="U1516" t="s">
        <v>26</v>
      </c>
      <c r="V1516" t="s">
        <v>26</v>
      </c>
      <c r="W1516" s="24">
        <v>32599</v>
      </c>
      <c r="X1516" s="25" t="s">
        <v>77</v>
      </c>
      <c r="Y1516" t="s">
        <v>26</v>
      </c>
      <c r="Z1516" s="24">
        <v>32599</v>
      </c>
      <c r="AA1516" s="25" t="s">
        <v>77</v>
      </c>
      <c r="AB1516" t="s">
        <v>26</v>
      </c>
      <c r="AC1516" s="24">
        <v>32599</v>
      </c>
      <c r="AD1516" s="25" t="s">
        <v>77</v>
      </c>
      <c r="AE1516" t="s">
        <v>26</v>
      </c>
      <c r="AF1516" t="s">
        <v>26</v>
      </c>
      <c r="AG1516" t="s">
        <v>26</v>
      </c>
      <c r="AH1516" t="s">
        <v>26</v>
      </c>
      <c r="AI1516" t="s">
        <v>26</v>
      </c>
      <c r="AJ1516" t="s">
        <v>26</v>
      </c>
      <c r="AK1516" t="s">
        <v>26</v>
      </c>
      <c r="AL1516" t="s">
        <v>26</v>
      </c>
      <c r="AM1516" t="s">
        <v>26</v>
      </c>
      <c r="AN1516" t="s">
        <v>26</v>
      </c>
      <c r="AO1516" s="25" t="s">
        <v>68</v>
      </c>
      <c r="AP1516" s="23" t="s">
        <v>69</v>
      </c>
      <c r="AQ1516" s="23" t="s">
        <v>30</v>
      </c>
      <c r="AR1516" s="23" t="s">
        <v>184</v>
      </c>
      <c r="AS1516" s="25">
        <v>34616</v>
      </c>
      <c r="AT1516" t="s">
        <v>26</v>
      </c>
      <c r="AU1516" t="s">
        <v>24235</v>
      </c>
    </row>
    <row r="1517" spans="1:47" ht="26.25" x14ac:dyDescent="0.4">
      <c r="A1517" s="23" t="s">
        <v>3862</v>
      </c>
      <c r="B1517" t="s">
        <v>26</v>
      </c>
      <c r="C1517" s="23" t="s">
        <v>465</v>
      </c>
      <c r="D1517" s="23" t="s">
        <v>22254</v>
      </c>
      <c r="E1517" s="23" t="s">
        <v>42</v>
      </c>
      <c r="F1517" s="25" t="s">
        <v>3863</v>
      </c>
      <c r="G1517" s="25" t="s">
        <v>3864</v>
      </c>
      <c r="H1517" t="s">
        <v>26</v>
      </c>
      <c r="I1517" t="s">
        <v>26</v>
      </c>
      <c r="J1517" t="s">
        <v>26</v>
      </c>
      <c r="K1517" t="s">
        <v>26</v>
      </c>
      <c r="L1517" s="25" t="s">
        <v>68</v>
      </c>
      <c r="M1517" t="s">
        <v>26</v>
      </c>
      <c r="N1517" t="s">
        <v>26</v>
      </c>
      <c r="O1517" t="s">
        <v>26</v>
      </c>
      <c r="P1517" t="s">
        <v>26</v>
      </c>
      <c r="Q1517" t="s">
        <v>26</v>
      </c>
      <c r="R1517" t="s">
        <v>26</v>
      </c>
      <c r="S1517" t="s">
        <v>26</v>
      </c>
      <c r="T1517" t="s">
        <v>26</v>
      </c>
      <c r="U1517" t="s">
        <v>26</v>
      </c>
      <c r="V1517" t="s">
        <v>26</v>
      </c>
      <c r="W1517" s="24">
        <v>32568</v>
      </c>
      <c r="X1517" s="25" t="s">
        <v>77</v>
      </c>
      <c r="Y1517" t="s">
        <v>26</v>
      </c>
      <c r="Z1517" s="24">
        <v>32568</v>
      </c>
      <c r="AA1517" s="25" t="s">
        <v>77</v>
      </c>
      <c r="AB1517" t="s">
        <v>26</v>
      </c>
      <c r="AC1517" s="24">
        <v>32568</v>
      </c>
      <c r="AD1517" s="25" t="s">
        <v>77</v>
      </c>
      <c r="AE1517" t="s">
        <v>26</v>
      </c>
      <c r="AF1517" t="s">
        <v>26</v>
      </c>
      <c r="AG1517" t="s">
        <v>26</v>
      </c>
      <c r="AH1517" t="s">
        <v>26</v>
      </c>
      <c r="AI1517" t="s">
        <v>26</v>
      </c>
      <c r="AJ1517" t="s">
        <v>26</v>
      </c>
      <c r="AK1517" t="s">
        <v>26</v>
      </c>
      <c r="AL1517" t="s">
        <v>26</v>
      </c>
      <c r="AM1517" t="s">
        <v>26</v>
      </c>
      <c r="AN1517" t="s">
        <v>26</v>
      </c>
      <c r="AO1517" s="25" t="s">
        <v>68</v>
      </c>
      <c r="AP1517" s="23" t="s">
        <v>69</v>
      </c>
      <c r="AQ1517" s="23" t="s">
        <v>30</v>
      </c>
      <c r="AR1517" s="23" t="s">
        <v>46</v>
      </c>
      <c r="AS1517" s="25">
        <v>42312</v>
      </c>
      <c r="AT1517" t="s">
        <v>26</v>
      </c>
      <c r="AU1517" t="s">
        <v>24236</v>
      </c>
    </row>
    <row r="1518" spans="1:47" ht="26.25" x14ac:dyDescent="0.4">
      <c r="A1518" s="23" t="s">
        <v>3865</v>
      </c>
      <c r="B1518" t="s">
        <v>26</v>
      </c>
      <c r="C1518" s="23" t="s">
        <v>3866</v>
      </c>
      <c r="D1518" s="23" t="s">
        <v>23460</v>
      </c>
      <c r="E1518" s="23" t="s">
        <v>120</v>
      </c>
      <c r="F1518" t="s">
        <v>26</v>
      </c>
      <c r="G1518" s="25" t="s">
        <v>3867</v>
      </c>
      <c r="H1518" t="s">
        <v>26</v>
      </c>
      <c r="I1518" s="24">
        <v>40269</v>
      </c>
      <c r="J1518" s="25" t="s">
        <v>77</v>
      </c>
      <c r="K1518" t="s">
        <v>26</v>
      </c>
      <c r="L1518" s="25" t="s">
        <v>68</v>
      </c>
      <c r="M1518" s="24">
        <v>40269</v>
      </c>
      <c r="N1518" s="25" t="s">
        <v>77</v>
      </c>
      <c r="O1518" t="s">
        <v>26</v>
      </c>
      <c r="P1518" s="24">
        <v>40269</v>
      </c>
      <c r="Q1518" s="25" t="s">
        <v>77</v>
      </c>
      <c r="R1518" t="s">
        <v>26</v>
      </c>
      <c r="S1518" t="s">
        <v>26</v>
      </c>
      <c r="T1518" t="s">
        <v>26</v>
      </c>
      <c r="U1518" t="s">
        <v>26</v>
      </c>
      <c r="V1518" t="s">
        <v>26</v>
      </c>
      <c r="W1518" s="24">
        <v>40269</v>
      </c>
      <c r="X1518" s="25" t="s">
        <v>77</v>
      </c>
      <c r="Y1518" t="s">
        <v>26</v>
      </c>
      <c r="Z1518" s="24">
        <v>40269</v>
      </c>
      <c r="AA1518" s="25" t="s">
        <v>77</v>
      </c>
      <c r="AB1518" t="s">
        <v>26</v>
      </c>
      <c r="AC1518" s="24">
        <v>40269</v>
      </c>
      <c r="AD1518" s="25" t="s">
        <v>77</v>
      </c>
      <c r="AE1518" t="s">
        <v>26</v>
      </c>
      <c r="AF1518" t="s">
        <v>26</v>
      </c>
      <c r="AG1518" t="s">
        <v>26</v>
      </c>
      <c r="AH1518" t="s">
        <v>26</v>
      </c>
      <c r="AI1518" t="s">
        <v>26</v>
      </c>
      <c r="AJ1518" t="s">
        <v>26</v>
      </c>
      <c r="AK1518" t="s">
        <v>26</v>
      </c>
      <c r="AL1518" t="s">
        <v>26</v>
      </c>
      <c r="AM1518" t="s">
        <v>26</v>
      </c>
      <c r="AN1518" t="s">
        <v>26</v>
      </c>
      <c r="AO1518" s="25" t="s">
        <v>68</v>
      </c>
      <c r="AP1518" s="23" t="s">
        <v>69</v>
      </c>
      <c r="AQ1518" s="23" t="s">
        <v>620</v>
      </c>
      <c r="AR1518" s="23" t="s">
        <v>381</v>
      </c>
      <c r="AS1518" s="25">
        <v>1396369</v>
      </c>
      <c r="AT1518" t="s">
        <v>26</v>
      </c>
      <c r="AU1518" t="s">
        <v>24237</v>
      </c>
    </row>
    <row r="1519" spans="1:47" ht="26.25" x14ac:dyDescent="0.4">
      <c r="A1519" s="23" t="s">
        <v>3868</v>
      </c>
      <c r="B1519" t="s">
        <v>26</v>
      </c>
      <c r="C1519" s="23" t="s">
        <v>73</v>
      </c>
      <c r="D1519" s="23" t="s">
        <v>22179</v>
      </c>
      <c r="E1519" s="23" t="s">
        <v>74</v>
      </c>
      <c r="F1519" s="25" t="s">
        <v>3869</v>
      </c>
      <c r="G1519" s="25" t="s">
        <v>3870</v>
      </c>
      <c r="H1519" t="s">
        <v>26</v>
      </c>
      <c r="I1519" s="24">
        <v>36161</v>
      </c>
      <c r="J1519" s="25" t="s">
        <v>77</v>
      </c>
      <c r="K1519" t="s">
        <v>26</v>
      </c>
      <c r="L1519" s="25" t="s">
        <v>68</v>
      </c>
      <c r="M1519" s="24">
        <v>37987</v>
      </c>
      <c r="N1519" s="24">
        <v>42887</v>
      </c>
      <c r="O1519" t="s">
        <v>26</v>
      </c>
      <c r="P1519" s="24">
        <v>36161</v>
      </c>
      <c r="Q1519" s="25" t="s">
        <v>77</v>
      </c>
      <c r="R1519" t="s">
        <v>26</v>
      </c>
      <c r="S1519" t="s">
        <v>26</v>
      </c>
      <c r="T1519" t="s">
        <v>26</v>
      </c>
      <c r="U1519" t="s">
        <v>26</v>
      </c>
      <c r="V1519" s="25">
        <v>365</v>
      </c>
      <c r="W1519" s="24">
        <v>36161</v>
      </c>
      <c r="X1519" s="25" t="s">
        <v>77</v>
      </c>
      <c r="Y1519" t="s">
        <v>26</v>
      </c>
      <c r="Z1519" s="24">
        <v>36161</v>
      </c>
      <c r="AA1519" s="25" t="s">
        <v>77</v>
      </c>
      <c r="AB1519" t="s">
        <v>26</v>
      </c>
      <c r="AC1519" s="24">
        <v>36161</v>
      </c>
      <c r="AD1519" s="25" t="s">
        <v>77</v>
      </c>
      <c r="AE1519" t="s">
        <v>26</v>
      </c>
      <c r="AF1519" t="s">
        <v>26</v>
      </c>
      <c r="AG1519" t="s">
        <v>26</v>
      </c>
      <c r="AH1519" t="s">
        <v>26</v>
      </c>
      <c r="AI1519" t="s">
        <v>26</v>
      </c>
      <c r="AJ1519" t="s">
        <v>26</v>
      </c>
      <c r="AK1519" t="s">
        <v>26</v>
      </c>
      <c r="AL1519" t="s">
        <v>26</v>
      </c>
      <c r="AM1519" t="s">
        <v>26</v>
      </c>
      <c r="AN1519" t="s">
        <v>26</v>
      </c>
      <c r="AO1519" s="25" t="s">
        <v>68</v>
      </c>
      <c r="AP1519" s="23" t="s">
        <v>69</v>
      </c>
      <c r="AQ1519" s="23" t="s">
        <v>30</v>
      </c>
      <c r="AR1519" s="23" t="s">
        <v>1139</v>
      </c>
      <c r="AS1519" s="25">
        <v>44274</v>
      </c>
      <c r="AT1519" t="s">
        <v>26</v>
      </c>
      <c r="AU1519" t="s">
        <v>24238</v>
      </c>
    </row>
    <row r="1520" spans="1:47" ht="26.25" x14ac:dyDescent="0.4">
      <c r="A1520" s="23" t="s">
        <v>3871</v>
      </c>
      <c r="B1520" t="s">
        <v>26</v>
      </c>
      <c r="C1520" s="23" t="s">
        <v>320</v>
      </c>
      <c r="D1520" s="23" t="s">
        <v>22242</v>
      </c>
      <c r="E1520" s="23" t="s">
        <v>42</v>
      </c>
      <c r="F1520" s="25" t="s">
        <v>3872</v>
      </c>
      <c r="G1520" s="25" t="s">
        <v>3873</v>
      </c>
      <c r="H1520" t="s">
        <v>26</v>
      </c>
      <c r="I1520" t="s">
        <v>26</v>
      </c>
      <c r="J1520" t="s">
        <v>26</v>
      </c>
      <c r="K1520" t="s">
        <v>26</v>
      </c>
      <c r="L1520" s="25" t="s">
        <v>68</v>
      </c>
      <c r="M1520" t="s">
        <v>26</v>
      </c>
      <c r="N1520" t="s">
        <v>26</v>
      </c>
      <c r="O1520" t="s">
        <v>26</v>
      </c>
      <c r="P1520" t="s">
        <v>26</v>
      </c>
      <c r="Q1520" t="s">
        <v>26</v>
      </c>
      <c r="R1520" t="s">
        <v>26</v>
      </c>
      <c r="S1520" t="s">
        <v>26</v>
      </c>
      <c r="T1520" t="s">
        <v>26</v>
      </c>
      <c r="U1520" t="s">
        <v>26</v>
      </c>
      <c r="V1520" t="s">
        <v>26</v>
      </c>
      <c r="W1520" s="24">
        <v>36130</v>
      </c>
      <c r="X1520" s="25" t="s">
        <v>77</v>
      </c>
      <c r="Y1520" s="25" t="s">
        <v>3166</v>
      </c>
      <c r="Z1520" s="24">
        <v>36130</v>
      </c>
      <c r="AA1520" s="25" t="s">
        <v>77</v>
      </c>
      <c r="AB1520" s="25" t="s">
        <v>3166</v>
      </c>
      <c r="AC1520" s="24">
        <v>40210</v>
      </c>
      <c r="AD1520" s="25" t="s">
        <v>77</v>
      </c>
      <c r="AE1520" t="s">
        <v>26</v>
      </c>
      <c r="AF1520" t="s">
        <v>26</v>
      </c>
      <c r="AG1520" t="s">
        <v>26</v>
      </c>
      <c r="AH1520" t="s">
        <v>26</v>
      </c>
      <c r="AI1520" t="s">
        <v>26</v>
      </c>
      <c r="AJ1520" t="s">
        <v>26</v>
      </c>
      <c r="AK1520" t="s">
        <v>26</v>
      </c>
      <c r="AL1520" t="s">
        <v>26</v>
      </c>
      <c r="AM1520" t="s">
        <v>26</v>
      </c>
      <c r="AN1520" t="s">
        <v>26</v>
      </c>
      <c r="AO1520" s="25" t="s">
        <v>68</v>
      </c>
      <c r="AP1520" s="23" t="s">
        <v>69</v>
      </c>
      <c r="AQ1520" s="23" t="s">
        <v>30</v>
      </c>
      <c r="AR1520" s="23" t="s">
        <v>3874</v>
      </c>
      <c r="AS1520" s="25">
        <v>37794</v>
      </c>
      <c r="AT1520" t="s">
        <v>26</v>
      </c>
      <c r="AU1520" t="s">
        <v>24239</v>
      </c>
    </row>
    <row r="1521" spans="1:47" ht="26.25" x14ac:dyDescent="0.4">
      <c r="A1521" s="23" t="s">
        <v>3875</v>
      </c>
      <c r="B1521" t="s">
        <v>26</v>
      </c>
      <c r="C1521" s="23" t="s">
        <v>3876</v>
      </c>
      <c r="D1521" s="23" t="s">
        <v>24240</v>
      </c>
      <c r="E1521" s="23" t="s">
        <v>335</v>
      </c>
      <c r="F1521" s="25" t="s">
        <v>3877</v>
      </c>
      <c r="G1521" t="s">
        <v>26</v>
      </c>
      <c r="H1521" t="s">
        <v>26</v>
      </c>
      <c r="I1521" s="24">
        <v>43101</v>
      </c>
      <c r="J1521" s="25" t="s">
        <v>77</v>
      </c>
      <c r="K1521" t="s">
        <v>26</v>
      </c>
      <c r="L1521" s="25" t="s">
        <v>68</v>
      </c>
      <c r="M1521" t="s">
        <v>26</v>
      </c>
      <c r="N1521" t="s">
        <v>26</v>
      </c>
      <c r="O1521" t="s">
        <v>26</v>
      </c>
      <c r="P1521" s="24">
        <v>43101</v>
      </c>
      <c r="Q1521" s="25" t="s">
        <v>77</v>
      </c>
      <c r="R1521" t="s">
        <v>26</v>
      </c>
      <c r="S1521" t="s">
        <v>26</v>
      </c>
      <c r="T1521" t="s">
        <v>26</v>
      </c>
      <c r="U1521" t="s">
        <v>26</v>
      </c>
      <c r="V1521" t="s">
        <v>26</v>
      </c>
      <c r="W1521" s="24">
        <v>43101</v>
      </c>
      <c r="X1521" s="25" t="s">
        <v>77</v>
      </c>
      <c r="Y1521" t="s">
        <v>26</v>
      </c>
      <c r="Z1521" s="24">
        <v>43101</v>
      </c>
      <c r="AA1521" s="25" t="s">
        <v>77</v>
      </c>
      <c r="AB1521" t="s">
        <v>26</v>
      </c>
      <c r="AC1521" s="24">
        <v>43101</v>
      </c>
      <c r="AD1521" s="25" t="s">
        <v>77</v>
      </c>
      <c r="AE1521" t="s">
        <v>26</v>
      </c>
      <c r="AF1521" t="s">
        <v>26</v>
      </c>
      <c r="AG1521" t="s">
        <v>26</v>
      </c>
      <c r="AH1521" t="s">
        <v>26</v>
      </c>
      <c r="AI1521" t="s">
        <v>26</v>
      </c>
      <c r="AJ1521" t="s">
        <v>26</v>
      </c>
      <c r="AK1521" t="s">
        <v>26</v>
      </c>
      <c r="AL1521" t="s">
        <v>26</v>
      </c>
      <c r="AM1521" t="s">
        <v>26</v>
      </c>
      <c r="AN1521" t="s">
        <v>26</v>
      </c>
      <c r="AO1521" s="25" t="s">
        <v>28</v>
      </c>
      <c r="AP1521" s="23" t="s">
        <v>69</v>
      </c>
      <c r="AQ1521" s="23" t="s">
        <v>30</v>
      </c>
      <c r="AR1521" s="23" t="s">
        <v>277</v>
      </c>
      <c r="AS1521" s="25">
        <v>5500743</v>
      </c>
      <c r="AT1521" t="s">
        <v>26</v>
      </c>
      <c r="AU1521" t="s">
        <v>24241</v>
      </c>
    </row>
    <row r="1522" spans="1:47" ht="26.25" x14ac:dyDescent="0.4">
      <c r="A1522" s="23" t="s">
        <v>3878</v>
      </c>
      <c r="B1522" t="s">
        <v>26</v>
      </c>
      <c r="C1522" s="23" t="s">
        <v>107</v>
      </c>
      <c r="D1522" s="23" t="s">
        <v>23058</v>
      </c>
      <c r="E1522" s="23" t="s">
        <v>42</v>
      </c>
      <c r="F1522" s="25" t="s">
        <v>3879</v>
      </c>
      <c r="G1522" s="25" t="s">
        <v>3880</v>
      </c>
      <c r="H1522" t="s">
        <v>26</v>
      </c>
      <c r="I1522" s="24">
        <v>31472</v>
      </c>
      <c r="J1522" s="24">
        <v>34669</v>
      </c>
      <c r="K1522" t="s">
        <v>26</v>
      </c>
      <c r="L1522" s="25" t="s">
        <v>68</v>
      </c>
      <c r="M1522" t="s">
        <v>26</v>
      </c>
      <c r="N1522" t="s">
        <v>26</v>
      </c>
      <c r="O1522" t="s">
        <v>26</v>
      </c>
      <c r="P1522" s="24">
        <v>31472</v>
      </c>
      <c r="Q1522" s="24">
        <v>34669</v>
      </c>
      <c r="R1522" t="s">
        <v>26</v>
      </c>
      <c r="S1522" t="s">
        <v>26</v>
      </c>
      <c r="T1522" t="s">
        <v>26</v>
      </c>
      <c r="U1522" t="s">
        <v>26</v>
      </c>
      <c r="V1522" t="s">
        <v>26</v>
      </c>
      <c r="W1522" s="24">
        <v>31472</v>
      </c>
      <c r="X1522" s="24">
        <v>34669</v>
      </c>
      <c r="Y1522" t="s">
        <v>26</v>
      </c>
      <c r="Z1522" s="24">
        <v>31472</v>
      </c>
      <c r="AA1522" s="24">
        <v>34669</v>
      </c>
      <c r="AB1522" t="s">
        <v>26</v>
      </c>
      <c r="AC1522" s="24">
        <v>31472</v>
      </c>
      <c r="AD1522" s="24">
        <v>34669</v>
      </c>
      <c r="AE1522" t="s">
        <v>26</v>
      </c>
      <c r="AF1522" t="s">
        <v>26</v>
      </c>
      <c r="AG1522" t="s">
        <v>26</v>
      </c>
      <c r="AH1522" t="s">
        <v>26</v>
      </c>
      <c r="AI1522" t="s">
        <v>26</v>
      </c>
      <c r="AJ1522" t="s">
        <v>26</v>
      </c>
      <c r="AK1522" t="s">
        <v>26</v>
      </c>
      <c r="AL1522" t="s">
        <v>26</v>
      </c>
      <c r="AM1522" t="s">
        <v>26</v>
      </c>
      <c r="AN1522" t="s">
        <v>26</v>
      </c>
      <c r="AO1522" s="25" t="s">
        <v>68</v>
      </c>
      <c r="AP1522" s="23" t="s">
        <v>69</v>
      </c>
      <c r="AQ1522" s="23" t="s">
        <v>30</v>
      </c>
      <c r="AR1522" s="23" t="s">
        <v>3881</v>
      </c>
      <c r="AS1522" s="25">
        <v>34887</v>
      </c>
      <c r="AT1522" t="s">
        <v>26</v>
      </c>
      <c r="AU1522" t="s">
        <v>24242</v>
      </c>
    </row>
    <row r="1523" spans="1:47" ht="26.25" x14ac:dyDescent="0.4">
      <c r="A1523" s="23" t="s">
        <v>3882</v>
      </c>
      <c r="B1523" t="s">
        <v>26</v>
      </c>
      <c r="C1523" s="23" t="s">
        <v>107</v>
      </c>
      <c r="D1523" s="23" t="s">
        <v>23058</v>
      </c>
      <c r="E1523" s="23" t="s">
        <v>42</v>
      </c>
      <c r="F1523" s="25" t="s">
        <v>3879</v>
      </c>
      <c r="G1523" s="25" t="s">
        <v>3880</v>
      </c>
      <c r="H1523" t="s">
        <v>26</v>
      </c>
      <c r="I1523" s="24">
        <v>20821</v>
      </c>
      <c r="J1523" s="24">
        <v>31382</v>
      </c>
      <c r="K1523" t="s">
        <v>26</v>
      </c>
      <c r="L1523" s="25" t="s">
        <v>68</v>
      </c>
      <c r="M1523" t="s">
        <v>26</v>
      </c>
      <c r="N1523" t="s">
        <v>26</v>
      </c>
      <c r="O1523" t="s">
        <v>26</v>
      </c>
      <c r="P1523" s="24">
        <v>20821</v>
      </c>
      <c r="Q1523" s="24">
        <v>31382</v>
      </c>
      <c r="R1523" t="s">
        <v>26</v>
      </c>
      <c r="S1523" t="s">
        <v>26</v>
      </c>
      <c r="T1523" t="s">
        <v>26</v>
      </c>
      <c r="U1523" t="s">
        <v>26</v>
      </c>
      <c r="V1523" t="s">
        <v>26</v>
      </c>
      <c r="W1523" s="24">
        <v>20821</v>
      </c>
      <c r="X1523" s="24">
        <v>31382</v>
      </c>
      <c r="Y1523" t="s">
        <v>26</v>
      </c>
      <c r="Z1523" s="24">
        <v>20821</v>
      </c>
      <c r="AA1523" s="24">
        <v>31382</v>
      </c>
      <c r="AB1523" t="s">
        <v>26</v>
      </c>
      <c r="AC1523" s="24">
        <v>20880</v>
      </c>
      <c r="AD1523" s="24">
        <v>31382</v>
      </c>
      <c r="AE1523" t="s">
        <v>26</v>
      </c>
      <c r="AF1523" t="s">
        <v>26</v>
      </c>
      <c r="AG1523" t="s">
        <v>26</v>
      </c>
      <c r="AH1523" t="s">
        <v>26</v>
      </c>
      <c r="AI1523" t="s">
        <v>26</v>
      </c>
      <c r="AJ1523" t="s">
        <v>26</v>
      </c>
      <c r="AK1523" t="s">
        <v>26</v>
      </c>
      <c r="AL1523" t="s">
        <v>26</v>
      </c>
      <c r="AM1523" t="s">
        <v>26</v>
      </c>
      <c r="AN1523" t="s">
        <v>26</v>
      </c>
      <c r="AO1523" s="25" t="s">
        <v>68</v>
      </c>
      <c r="AP1523" s="23" t="s">
        <v>69</v>
      </c>
      <c r="AQ1523" s="23" t="s">
        <v>30</v>
      </c>
      <c r="AR1523" s="23" t="s">
        <v>3881</v>
      </c>
      <c r="AS1523" s="25">
        <v>34886</v>
      </c>
      <c r="AT1523" t="s">
        <v>26</v>
      </c>
      <c r="AU1523" t="s">
        <v>24243</v>
      </c>
    </row>
    <row r="1524" spans="1:47" ht="26.25" x14ac:dyDescent="0.4">
      <c r="A1524" s="23" t="s">
        <v>3883</v>
      </c>
      <c r="B1524" t="s">
        <v>26</v>
      </c>
      <c r="C1524" s="23" t="s">
        <v>107</v>
      </c>
      <c r="D1524" s="23" t="s">
        <v>23058</v>
      </c>
      <c r="E1524" s="23" t="s">
        <v>42</v>
      </c>
      <c r="F1524" s="25" t="s">
        <v>3879</v>
      </c>
      <c r="G1524" s="25" t="s">
        <v>3880</v>
      </c>
      <c r="H1524" t="s">
        <v>26</v>
      </c>
      <c r="I1524" s="24">
        <v>34943</v>
      </c>
      <c r="J1524" s="24">
        <v>39417</v>
      </c>
      <c r="K1524" t="s">
        <v>26</v>
      </c>
      <c r="L1524" s="25" t="s">
        <v>68</v>
      </c>
      <c r="M1524" s="24">
        <v>35462</v>
      </c>
      <c r="N1524" s="24">
        <v>39417</v>
      </c>
      <c r="O1524" t="s">
        <v>26</v>
      </c>
      <c r="P1524" s="24">
        <v>34943</v>
      </c>
      <c r="Q1524" s="24">
        <v>39417</v>
      </c>
      <c r="R1524" t="s">
        <v>26</v>
      </c>
      <c r="S1524" t="s">
        <v>26</v>
      </c>
      <c r="T1524" t="s">
        <v>26</v>
      </c>
      <c r="U1524" t="s">
        <v>26</v>
      </c>
      <c r="V1524" t="s">
        <v>26</v>
      </c>
      <c r="W1524" s="24">
        <v>32568</v>
      </c>
      <c r="X1524" s="25" t="s">
        <v>77</v>
      </c>
      <c r="Y1524" t="s">
        <v>26</v>
      </c>
      <c r="Z1524" s="24">
        <v>32568</v>
      </c>
      <c r="AA1524" s="25" t="s">
        <v>77</v>
      </c>
      <c r="AB1524" t="s">
        <v>26</v>
      </c>
      <c r="AC1524" s="24">
        <v>32568</v>
      </c>
      <c r="AD1524" s="25" t="s">
        <v>77</v>
      </c>
      <c r="AE1524" t="s">
        <v>26</v>
      </c>
      <c r="AF1524" t="s">
        <v>26</v>
      </c>
      <c r="AG1524" t="s">
        <v>26</v>
      </c>
      <c r="AH1524" t="s">
        <v>26</v>
      </c>
      <c r="AI1524" t="s">
        <v>26</v>
      </c>
      <c r="AJ1524" t="s">
        <v>26</v>
      </c>
      <c r="AK1524" t="s">
        <v>26</v>
      </c>
      <c r="AL1524" t="s">
        <v>26</v>
      </c>
      <c r="AM1524" t="s">
        <v>26</v>
      </c>
      <c r="AN1524" t="s">
        <v>26</v>
      </c>
      <c r="AO1524" s="25" t="s">
        <v>68</v>
      </c>
      <c r="AP1524" s="23" t="s">
        <v>69</v>
      </c>
      <c r="AQ1524" s="23" t="s">
        <v>30</v>
      </c>
      <c r="AR1524" s="23" t="s">
        <v>3881</v>
      </c>
      <c r="AS1524" s="25">
        <v>2004</v>
      </c>
      <c r="AT1524" t="s">
        <v>26</v>
      </c>
      <c r="AU1524" t="s">
        <v>24244</v>
      </c>
    </row>
    <row r="1525" spans="1:47" ht="26.25" x14ac:dyDescent="0.4">
      <c r="A1525" s="23" t="s">
        <v>3884</v>
      </c>
      <c r="B1525" t="s">
        <v>26</v>
      </c>
      <c r="C1525" s="23" t="s">
        <v>80</v>
      </c>
      <c r="D1525" s="23" t="s">
        <v>22190</v>
      </c>
      <c r="E1525" s="23" t="s">
        <v>60</v>
      </c>
      <c r="F1525" s="25" t="s">
        <v>3885</v>
      </c>
      <c r="G1525" s="25" t="s">
        <v>3886</v>
      </c>
      <c r="H1525" t="s">
        <v>26</v>
      </c>
      <c r="I1525" t="s">
        <v>26</v>
      </c>
      <c r="J1525" t="s">
        <v>26</v>
      </c>
      <c r="K1525" t="s">
        <v>26</v>
      </c>
      <c r="L1525" s="25" t="s">
        <v>68</v>
      </c>
      <c r="M1525" t="s">
        <v>26</v>
      </c>
      <c r="N1525" t="s">
        <v>26</v>
      </c>
      <c r="O1525" t="s">
        <v>26</v>
      </c>
      <c r="P1525" t="s">
        <v>26</v>
      </c>
      <c r="Q1525" t="s">
        <v>26</v>
      </c>
      <c r="R1525" t="s">
        <v>26</v>
      </c>
      <c r="S1525" t="s">
        <v>26</v>
      </c>
      <c r="T1525" t="s">
        <v>26</v>
      </c>
      <c r="U1525" t="s">
        <v>26</v>
      </c>
      <c r="V1525" t="s">
        <v>26</v>
      </c>
      <c r="W1525" s="24">
        <v>40179</v>
      </c>
      <c r="X1525" s="25" t="s">
        <v>77</v>
      </c>
      <c r="Y1525" t="s">
        <v>26</v>
      </c>
      <c r="Z1525" s="24">
        <v>40179</v>
      </c>
      <c r="AA1525" s="25" t="s">
        <v>77</v>
      </c>
      <c r="AB1525" t="s">
        <v>26</v>
      </c>
      <c r="AC1525" s="24">
        <v>40179</v>
      </c>
      <c r="AD1525" s="25" t="s">
        <v>77</v>
      </c>
      <c r="AE1525" t="s">
        <v>26</v>
      </c>
      <c r="AF1525" t="s">
        <v>26</v>
      </c>
      <c r="AG1525" t="s">
        <v>26</v>
      </c>
      <c r="AH1525" t="s">
        <v>26</v>
      </c>
      <c r="AI1525" t="s">
        <v>26</v>
      </c>
      <c r="AJ1525" t="s">
        <v>26</v>
      </c>
      <c r="AK1525" t="s">
        <v>26</v>
      </c>
      <c r="AL1525" t="s">
        <v>26</v>
      </c>
      <c r="AM1525" t="s">
        <v>26</v>
      </c>
      <c r="AN1525" t="s">
        <v>26</v>
      </c>
      <c r="AO1525" s="25" t="s">
        <v>68</v>
      </c>
      <c r="AP1525" s="23" t="s">
        <v>69</v>
      </c>
      <c r="AQ1525" s="23" t="s">
        <v>30</v>
      </c>
      <c r="AR1525" s="23" t="s">
        <v>46</v>
      </c>
      <c r="AS1525" s="25">
        <v>196219</v>
      </c>
      <c r="AT1525" t="s">
        <v>26</v>
      </c>
      <c r="AU1525" t="s">
        <v>24245</v>
      </c>
    </row>
    <row r="1526" spans="1:47" ht="26.25" x14ac:dyDescent="0.4">
      <c r="A1526" s="23" t="s">
        <v>3887</v>
      </c>
      <c r="B1526" t="s">
        <v>26</v>
      </c>
      <c r="C1526" s="23" t="s">
        <v>465</v>
      </c>
      <c r="D1526" s="23" t="s">
        <v>22334</v>
      </c>
      <c r="E1526" s="23" t="s">
        <v>42</v>
      </c>
      <c r="F1526" s="25" t="s">
        <v>3888</v>
      </c>
      <c r="G1526" s="25" t="s">
        <v>3889</v>
      </c>
      <c r="H1526" t="s">
        <v>26</v>
      </c>
      <c r="I1526" t="s">
        <v>26</v>
      </c>
      <c r="J1526" t="s">
        <v>26</v>
      </c>
      <c r="K1526" t="s">
        <v>26</v>
      </c>
      <c r="L1526" s="25" t="s">
        <v>68</v>
      </c>
      <c r="M1526" t="s">
        <v>26</v>
      </c>
      <c r="N1526" t="s">
        <v>26</v>
      </c>
      <c r="O1526" t="s">
        <v>26</v>
      </c>
      <c r="P1526" t="s">
        <v>26</v>
      </c>
      <c r="Q1526" t="s">
        <v>26</v>
      </c>
      <c r="R1526" t="s">
        <v>26</v>
      </c>
      <c r="S1526" t="s">
        <v>26</v>
      </c>
      <c r="T1526" t="s">
        <v>26</v>
      </c>
      <c r="U1526" t="s">
        <v>26</v>
      </c>
      <c r="V1526" t="s">
        <v>26</v>
      </c>
      <c r="W1526" s="24">
        <v>31444</v>
      </c>
      <c r="X1526" s="25" t="s">
        <v>77</v>
      </c>
      <c r="Y1526" t="s">
        <v>26</v>
      </c>
      <c r="Z1526" s="24">
        <v>31444</v>
      </c>
      <c r="AA1526" s="25" t="s">
        <v>77</v>
      </c>
      <c r="AB1526" t="s">
        <v>26</v>
      </c>
      <c r="AC1526" s="24">
        <v>31444</v>
      </c>
      <c r="AD1526" s="25" t="s">
        <v>77</v>
      </c>
      <c r="AE1526" t="s">
        <v>26</v>
      </c>
      <c r="AF1526" t="s">
        <v>26</v>
      </c>
      <c r="AG1526" t="s">
        <v>26</v>
      </c>
      <c r="AH1526" t="s">
        <v>26</v>
      </c>
      <c r="AI1526" t="s">
        <v>26</v>
      </c>
      <c r="AJ1526" t="s">
        <v>26</v>
      </c>
      <c r="AK1526" t="s">
        <v>26</v>
      </c>
      <c r="AL1526" t="s">
        <v>26</v>
      </c>
      <c r="AM1526" t="s">
        <v>26</v>
      </c>
      <c r="AN1526" t="s">
        <v>26</v>
      </c>
      <c r="AO1526" s="25" t="s">
        <v>68</v>
      </c>
      <c r="AP1526" s="23" t="s">
        <v>69</v>
      </c>
      <c r="AQ1526" s="23" t="s">
        <v>30</v>
      </c>
      <c r="AR1526" s="23" t="s">
        <v>46</v>
      </c>
      <c r="AS1526" s="25">
        <v>42317</v>
      </c>
      <c r="AT1526" t="s">
        <v>26</v>
      </c>
      <c r="AU1526" t="s">
        <v>24246</v>
      </c>
    </row>
    <row r="1527" spans="1:47" ht="26.25" x14ac:dyDescent="0.4">
      <c r="A1527" s="23" t="s">
        <v>3890</v>
      </c>
      <c r="B1527" t="s">
        <v>26</v>
      </c>
      <c r="C1527" s="23" t="s">
        <v>172</v>
      </c>
      <c r="D1527" s="23" t="s">
        <v>22579</v>
      </c>
      <c r="E1527" s="23" t="s">
        <v>60</v>
      </c>
      <c r="F1527" s="25" t="s">
        <v>3891</v>
      </c>
      <c r="G1527" s="25" t="s">
        <v>3892</v>
      </c>
      <c r="H1527" t="s">
        <v>26</v>
      </c>
      <c r="I1527" s="24">
        <v>31413</v>
      </c>
      <c r="J1527" s="24">
        <v>31594</v>
      </c>
      <c r="K1527" t="s">
        <v>26</v>
      </c>
      <c r="L1527" s="25" t="s">
        <v>68</v>
      </c>
      <c r="M1527" t="s">
        <v>26</v>
      </c>
      <c r="N1527" t="s">
        <v>26</v>
      </c>
      <c r="O1527" t="s">
        <v>26</v>
      </c>
      <c r="P1527" s="24">
        <v>31413</v>
      </c>
      <c r="Q1527" s="24">
        <v>31594</v>
      </c>
      <c r="R1527" t="s">
        <v>26</v>
      </c>
      <c r="S1527" t="s">
        <v>26</v>
      </c>
      <c r="T1527" t="s">
        <v>26</v>
      </c>
      <c r="U1527" t="s">
        <v>26</v>
      </c>
      <c r="V1527" t="s">
        <v>26</v>
      </c>
      <c r="W1527" s="24">
        <v>31413</v>
      </c>
      <c r="X1527" s="24">
        <v>31594</v>
      </c>
      <c r="Y1527" t="s">
        <v>26</v>
      </c>
      <c r="Z1527" s="24">
        <v>31413</v>
      </c>
      <c r="AA1527" s="24">
        <v>31594</v>
      </c>
      <c r="AB1527" t="s">
        <v>26</v>
      </c>
      <c r="AC1527" s="24">
        <v>31413</v>
      </c>
      <c r="AD1527" s="24">
        <v>31594</v>
      </c>
      <c r="AE1527" t="s">
        <v>26</v>
      </c>
      <c r="AF1527" t="s">
        <v>26</v>
      </c>
      <c r="AG1527" t="s">
        <v>26</v>
      </c>
      <c r="AH1527" t="s">
        <v>26</v>
      </c>
      <c r="AI1527" t="s">
        <v>26</v>
      </c>
      <c r="AJ1527" t="s">
        <v>26</v>
      </c>
      <c r="AK1527" t="s">
        <v>26</v>
      </c>
      <c r="AL1527" t="s">
        <v>26</v>
      </c>
      <c r="AM1527" t="s">
        <v>26</v>
      </c>
      <c r="AN1527" t="s">
        <v>26</v>
      </c>
      <c r="AO1527" s="25" t="s">
        <v>68</v>
      </c>
      <c r="AP1527" s="23" t="s">
        <v>69</v>
      </c>
      <c r="AQ1527" s="23" t="s">
        <v>30</v>
      </c>
      <c r="AR1527" s="23" t="s">
        <v>3893</v>
      </c>
      <c r="AS1527" s="25">
        <v>35936</v>
      </c>
      <c r="AT1527" t="s">
        <v>26</v>
      </c>
      <c r="AU1527" t="s">
        <v>24247</v>
      </c>
    </row>
    <row r="1528" spans="1:47" ht="26.25" x14ac:dyDescent="0.4">
      <c r="A1528" s="23" t="s">
        <v>3894</v>
      </c>
      <c r="B1528" t="s">
        <v>26</v>
      </c>
      <c r="C1528" s="23" t="s">
        <v>172</v>
      </c>
      <c r="D1528" s="23" t="s">
        <v>22579</v>
      </c>
      <c r="E1528" s="23" t="s">
        <v>60</v>
      </c>
      <c r="F1528" s="25" t="s">
        <v>3891</v>
      </c>
      <c r="G1528" s="25" t="s">
        <v>3892</v>
      </c>
      <c r="H1528" t="s">
        <v>26</v>
      </c>
      <c r="I1528" s="24">
        <v>26299</v>
      </c>
      <c r="J1528" s="24">
        <v>31229</v>
      </c>
      <c r="K1528" t="s">
        <v>26</v>
      </c>
      <c r="L1528" s="25" t="s">
        <v>68</v>
      </c>
      <c r="M1528" t="s">
        <v>26</v>
      </c>
      <c r="N1528" t="s">
        <v>26</v>
      </c>
      <c r="O1528" t="s">
        <v>26</v>
      </c>
      <c r="P1528" s="24">
        <v>26299</v>
      </c>
      <c r="Q1528" s="24">
        <v>31229</v>
      </c>
      <c r="R1528" t="s">
        <v>26</v>
      </c>
      <c r="S1528" t="s">
        <v>26</v>
      </c>
      <c r="T1528" t="s">
        <v>26</v>
      </c>
      <c r="U1528" t="s">
        <v>26</v>
      </c>
      <c r="V1528" t="s">
        <v>26</v>
      </c>
      <c r="W1528" s="24">
        <v>26299</v>
      </c>
      <c r="X1528" s="24">
        <v>31229</v>
      </c>
      <c r="Y1528" t="s">
        <v>26</v>
      </c>
      <c r="Z1528" s="24">
        <v>26299</v>
      </c>
      <c r="AA1528" s="24">
        <v>31229</v>
      </c>
      <c r="AB1528" t="s">
        <v>26</v>
      </c>
      <c r="AC1528" s="24">
        <v>26299</v>
      </c>
      <c r="AD1528" s="24">
        <v>31229</v>
      </c>
      <c r="AE1528" t="s">
        <v>26</v>
      </c>
      <c r="AF1528" t="s">
        <v>26</v>
      </c>
      <c r="AG1528" t="s">
        <v>26</v>
      </c>
      <c r="AH1528" t="s">
        <v>26</v>
      </c>
      <c r="AI1528" t="s">
        <v>26</v>
      </c>
      <c r="AJ1528" t="s">
        <v>26</v>
      </c>
      <c r="AK1528" t="s">
        <v>26</v>
      </c>
      <c r="AL1528" t="s">
        <v>26</v>
      </c>
      <c r="AM1528" t="s">
        <v>26</v>
      </c>
      <c r="AN1528" t="s">
        <v>26</v>
      </c>
      <c r="AO1528" s="25" t="s">
        <v>68</v>
      </c>
      <c r="AP1528" s="23" t="s">
        <v>69</v>
      </c>
      <c r="AQ1528" s="23" t="s">
        <v>30</v>
      </c>
      <c r="AR1528" s="23" t="s">
        <v>3893</v>
      </c>
      <c r="AS1528" s="25">
        <v>35937</v>
      </c>
      <c r="AT1528" t="s">
        <v>26</v>
      </c>
      <c r="AU1528" t="s">
        <v>24248</v>
      </c>
    </row>
    <row r="1529" spans="1:47" ht="26.25" x14ac:dyDescent="0.4">
      <c r="A1529" s="23" t="s">
        <v>3895</v>
      </c>
      <c r="B1529" t="s">
        <v>26</v>
      </c>
      <c r="C1529" s="23" t="s">
        <v>172</v>
      </c>
      <c r="D1529" s="23" t="s">
        <v>22579</v>
      </c>
      <c r="E1529" s="23" t="s">
        <v>60</v>
      </c>
      <c r="F1529" s="25" t="s">
        <v>3891</v>
      </c>
      <c r="G1529" s="25" t="s">
        <v>3892</v>
      </c>
      <c r="H1529" t="s">
        <v>26</v>
      </c>
      <c r="I1529" s="24">
        <v>32112</v>
      </c>
      <c r="J1529" s="24">
        <v>40087</v>
      </c>
      <c r="K1529" t="s">
        <v>26</v>
      </c>
      <c r="L1529" s="25" t="s">
        <v>68</v>
      </c>
      <c r="M1529" s="24">
        <v>33786</v>
      </c>
      <c r="N1529" s="24">
        <v>40087</v>
      </c>
      <c r="O1529" t="s">
        <v>26</v>
      </c>
      <c r="P1529" s="24">
        <v>32112</v>
      </c>
      <c r="Q1529" s="24">
        <v>40087</v>
      </c>
      <c r="R1529" t="s">
        <v>26</v>
      </c>
      <c r="S1529" t="s">
        <v>26</v>
      </c>
      <c r="T1529" t="s">
        <v>26</v>
      </c>
      <c r="U1529" t="s">
        <v>26</v>
      </c>
      <c r="V1529" t="s">
        <v>26</v>
      </c>
      <c r="W1529" s="24">
        <v>26634</v>
      </c>
      <c r="X1529" s="25" t="s">
        <v>77</v>
      </c>
      <c r="Y1529" s="25" t="s">
        <v>3896</v>
      </c>
      <c r="Z1529" s="24">
        <v>26634</v>
      </c>
      <c r="AA1529" s="25" t="s">
        <v>77</v>
      </c>
      <c r="AB1529" s="25" t="s">
        <v>3896</v>
      </c>
      <c r="AC1529" s="24">
        <v>26634</v>
      </c>
      <c r="AD1529" s="25" t="s">
        <v>77</v>
      </c>
      <c r="AE1529" s="25" t="s">
        <v>3896</v>
      </c>
      <c r="AF1529" t="s">
        <v>26</v>
      </c>
      <c r="AG1529" t="s">
        <v>26</v>
      </c>
      <c r="AH1529" t="s">
        <v>26</v>
      </c>
      <c r="AI1529" t="s">
        <v>26</v>
      </c>
      <c r="AJ1529" t="s">
        <v>26</v>
      </c>
      <c r="AK1529" t="s">
        <v>26</v>
      </c>
      <c r="AL1529" t="s">
        <v>26</v>
      </c>
      <c r="AM1529" t="s">
        <v>26</v>
      </c>
      <c r="AN1529" t="s">
        <v>26</v>
      </c>
      <c r="AO1529" s="25" t="s">
        <v>68</v>
      </c>
      <c r="AP1529" s="23" t="s">
        <v>69</v>
      </c>
      <c r="AQ1529" s="23" t="s">
        <v>30</v>
      </c>
      <c r="AR1529" s="23" t="s">
        <v>3893</v>
      </c>
      <c r="AS1529" s="25">
        <v>35935</v>
      </c>
      <c r="AT1529" t="s">
        <v>26</v>
      </c>
      <c r="AU1529" t="s">
        <v>24249</v>
      </c>
    </row>
    <row r="1530" spans="1:47" ht="26.25" x14ac:dyDescent="0.4">
      <c r="A1530" s="23" t="s">
        <v>3897</v>
      </c>
      <c r="B1530" t="s">
        <v>26</v>
      </c>
      <c r="C1530" s="23" t="s">
        <v>320</v>
      </c>
      <c r="D1530" s="23" t="s">
        <v>22174</v>
      </c>
      <c r="E1530" s="23" t="s">
        <v>42</v>
      </c>
      <c r="F1530" s="25" t="s">
        <v>3898</v>
      </c>
      <c r="G1530" s="25" t="s">
        <v>3899</v>
      </c>
      <c r="H1530" t="s">
        <v>26</v>
      </c>
      <c r="I1530" t="s">
        <v>26</v>
      </c>
      <c r="J1530" t="s">
        <v>26</v>
      </c>
      <c r="K1530" t="s">
        <v>26</v>
      </c>
      <c r="L1530" s="25" t="s">
        <v>68</v>
      </c>
      <c r="M1530" t="s">
        <v>26</v>
      </c>
      <c r="N1530" t="s">
        <v>26</v>
      </c>
      <c r="O1530" t="s">
        <v>26</v>
      </c>
      <c r="P1530" t="s">
        <v>26</v>
      </c>
      <c r="Q1530" t="s">
        <v>26</v>
      </c>
      <c r="R1530" t="s">
        <v>26</v>
      </c>
      <c r="S1530" t="s">
        <v>26</v>
      </c>
      <c r="T1530" t="s">
        <v>26</v>
      </c>
      <c r="U1530" t="s">
        <v>26</v>
      </c>
      <c r="V1530" t="s">
        <v>26</v>
      </c>
      <c r="W1530" s="24">
        <v>37043</v>
      </c>
      <c r="X1530" s="25" t="s">
        <v>77</v>
      </c>
      <c r="Y1530" t="s">
        <v>26</v>
      </c>
      <c r="Z1530" s="24">
        <v>37043</v>
      </c>
      <c r="AA1530" s="25" t="s">
        <v>77</v>
      </c>
      <c r="AB1530" t="s">
        <v>26</v>
      </c>
      <c r="AC1530" s="24">
        <v>37043</v>
      </c>
      <c r="AD1530" s="25" t="s">
        <v>77</v>
      </c>
      <c r="AE1530" t="s">
        <v>26</v>
      </c>
      <c r="AF1530" t="s">
        <v>26</v>
      </c>
      <c r="AG1530" t="s">
        <v>26</v>
      </c>
      <c r="AH1530" t="s">
        <v>26</v>
      </c>
      <c r="AI1530" t="s">
        <v>26</v>
      </c>
      <c r="AJ1530" t="s">
        <v>26</v>
      </c>
      <c r="AK1530" t="s">
        <v>26</v>
      </c>
      <c r="AL1530" t="s">
        <v>26</v>
      </c>
      <c r="AM1530" t="s">
        <v>26</v>
      </c>
      <c r="AN1530" t="s">
        <v>26</v>
      </c>
      <c r="AO1530" s="25" t="s">
        <v>68</v>
      </c>
      <c r="AP1530" s="23" t="s">
        <v>69</v>
      </c>
      <c r="AQ1530" s="23" t="s">
        <v>30</v>
      </c>
      <c r="AR1530" s="23" t="s">
        <v>273</v>
      </c>
      <c r="AS1530" s="25">
        <v>25343</v>
      </c>
      <c r="AT1530" t="s">
        <v>26</v>
      </c>
      <c r="AU1530" t="s">
        <v>24250</v>
      </c>
    </row>
    <row r="1531" spans="1:47" ht="26.25" x14ac:dyDescent="0.4">
      <c r="A1531" s="23" t="s">
        <v>3900</v>
      </c>
      <c r="B1531" t="s">
        <v>26</v>
      </c>
      <c r="C1531" s="23" t="s">
        <v>264</v>
      </c>
      <c r="D1531" s="23" t="s">
        <v>22605</v>
      </c>
      <c r="E1531" s="23" t="s">
        <v>60</v>
      </c>
      <c r="F1531" s="25" t="s">
        <v>3901</v>
      </c>
      <c r="G1531" s="25" t="s">
        <v>3902</v>
      </c>
      <c r="H1531" t="s">
        <v>26</v>
      </c>
      <c r="I1531" s="24">
        <v>32051</v>
      </c>
      <c r="J1531" s="25" t="s">
        <v>77</v>
      </c>
      <c r="K1531" t="s">
        <v>26</v>
      </c>
      <c r="L1531" s="25" t="s">
        <v>68</v>
      </c>
      <c r="M1531" s="24">
        <v>33683</v>
      </c>
      <c r="N1531" s="25" t="s">
        <v>77</v>
      </c>
      <c r="O1531" t="s">
        <v>26</v>
      </c>
      <c r="P1531" s="24">
        <v>32051</v>
      </c>
      <c r="Q1531" s="25" t="s">
        <v>77</v>
      </c>
      <c r="R1531" s="25" t="s">
        <v>24026</v>
      </c>
      <c r="S1531" t="s">
        <v>26</v>
      </c>
      <c r="T1531" t="s">
        <v>26</v>
      </c>
      <c r="U1531" t="s">
        <v>26</v>
      </c>
      <c r="V1531" s="25">
        <v>365</v>
      </c>
      <c r="W1531" s="24">
        <v>30468</v>
      </c>
      <c r="X1531" s="25" t="s">
        <v>77</v>
      </c>
      <c r="Y1531" t="s">
        <v>26</v>
      </c>
      <c r="Z1531" s="24">
        <v>30468</v>
      </c>
      <c r="AA1531" s="25" t="s">
        <v>77</v>
      </c>
      <c r="AB1531" t="s">
        <v>26</v>
      </c>
      <c r="AC1531" s="24">
        <v>30468</v>
      </c>
      <c r="AD1531" s="25" t="s">
        <v>77</v>
      </c>
      <c r="AE1531" t="s">
        <v>26</v>
      </c>
      <c r="AF1531" t="s">
        <v>26</v>
      </c>
      <c r="AG1531" t="s">
        <v>26</v>
      </c>
      <c r="AH1531" t="s">
        <v>26</v>
      </c>
      <c r="AI1531" t="s">
        <v>26</v>
      </c>
      <c r="AJ1531" t="s">
        <v>26</v>
      </c>
      <c r="AK1531" t="s">
        <v>26</v>
      </c>
      <c r="AL1531" t="s">
        <v>26</v>
      </c>
      <c r="AM1531" t="s">
        <v>26</v>
      </c>
      <c r="AN1531" t="s">
        <v>26</v>
      </c>
      <c r="AO1531" s="25" t="s">
        <v>68</v>
      </c>
      <c r="AP1531" s="23" t="s">
        <v>69</v>
      </c>
      <c r="AQ1531" s="23" t="s">
        <v>30</v>
      </c>
      <c r="AR1531" s="23" t="s">
        <v>2389</v>
      </c>
      <c r="AS1531" s="25">
        <v>37088</v>
      </c>
      <c r="AT1531" t="s">
        <v>26</v>
      </c>
      <c r="AU1531" t="s">
        <v>24251</v>
      </c>
    </row>
    <row r="1532" spans="1:47" ht="26.25" x14ac:dyDescent="0.4">
      <c r="A1532" s="23" t="s">
        <v>3903</v>
      </c>
      <c r="B1532" t="s">
        <v>26</v>
      </c>
      <c r="C1532" s="23" t="s">
        <v>3904</v>
      </c>
      <c r="D1532" s="23" t="s">
        <v>22179</v>
      </c>
      <c r="E1532" s="23" t="s">
        <v>42</v>
      </c>
      <c r="F1532" s="25" t="s">
        <v>3905</v>
      </c>
      <c r="G1532" s="25" t="s">
        <v>3906</v>
      </c>
      <c r="H1532" t="s">
        <v>26</v>
      </c>
      <c r="I1532" t="s">
        <v>26</v>
      </c>
      <c r="J1532" t="s">
        <v>26</v>
      </c>
      <c r="K1532" t="s">
        <v>26</v>
      </c>
      <c r="L1532" s="25" t="s">
        <v>68</v>
      </c>
      <c r="M1532" t="s">
        <v>26</v>
      </c>
      <c r="N1532" t="s">
        <v>26</v>
      </c>
      <c r="O1532" t="s">
        <v>26</v>
      </c>
      <c r="P1532" t="s">
        <v>26</v>
      </c>
      <c r="Q1532" t="s">
        <v>26</v>
      </c>
      <c r="R1532" t="s">
        <v>26</v>
      </c>
      <c r="S1532" t="s">
        <v>26</v>
      </c>
      <c r="T1532" t="s">
        <v>26</v>
      </c>
      <c r="U1532" t="s">
        <v>26</v>
      </c>
      <c r="V1532" t="s">
        <v>26</v>
      </c>
      <c r="W1532" s="24">
        <v>37987</v>
      </c>
      <c r="X1532" s="24">
        <v>39264</v>
      </c>
      <c r="Y1532" t="s">
        <v>26</v>
      </c>
      <c r="Z1532" s="24">
        <v>37987</v>
      </c>
      <c r="AA1532" s="24">
        <v>39264</v>
      </c>
      <c r="AB1532" t="s">
        <v>26</v>
      </c>
      <c r="AC1532" s="24">
        <v>37987</v>
      </c>
      <c r="AD1532" s="24">
        <v>39264</v>
      </c>
      <c r="AE1532" t="s">
        <v>26</v>
      </c>
      <c r="AF1532" t="s">
        <v>26</v>
      </c>
      <c r="AG1532" t="s">
        <v>26</v>
      </c>
      <c r="AH1532" t="s">
        <v>26</v>
      </c>
      <c r="AI1532" t="s">
        <v>26</v>
      </c>
      <c r="AJ1532" t="s">
        <v>26</v>
      </c>
      <c r="AK1532" t="s">
        <v>26</v>
      </c>
      <c r="AL1532" t="s">
        <v>26</v>
      </c>
      <c r="AM1532" t="s">
        <v>26</v>
      </c>
      <c r="AN1532" t="s">
        <v>26</v>
      </c>
      <c r="AO1532" s="25" t="s">
        <v>68</v>
      </c>
      <c r="AP1532" s="23" t="s">
        <v>69</v>
      </c>
      <c r="AQ1532" s="23" t="s">
        <v>30</v>
      </c>
      <c r="AR1532" s="23" t="s">
        <v>3907</v>
      </c>
      <c r="AS1532" s="25">
        <v>46424</v>
      </c>
      <c r="AT1532" t="s">
        <v>26</v>
      </c>
      <c r="AU1532" t="s">
        <v>24252</v>
      </c>
    </row>
    <row r="1533" spans="1:47" ht="26.25" x14ac:dyDescent="0.4">
      <c r="A1533" s="23" t="s">
        <v>3908</v>
      </c>
      <c r="B1533" t="s">
        <v>26</v>
      </c>
      <c r="C1533" s="23" t="s">
        <v>399</v>
      </c>
      <c r="D1533" s="23" t="s">
        <v>22242</v>
      </c>
      <c r="E1533" s="23" t="s">
        <v>42</v>
      </c>
      <c r="F1533" s="25" t="s">
        <v>3909</v>
      </c>
      <c r="G1533" s="25" t="s">
        <v>3910</v>
      </c>
      <c r="H1533" t="s">
        <v>26</v>
      </c>
      <c r="I1533" t="s">
        <v>26</v>
      </c>
      <c r="J1533" t="s">
        <v>26</v>
      </c>
      <c r="K1533" t="s">
        <v>26</v>
      </c>
      <c r="L1533" s="25" t="s">
        <v>68</v>
      </c>
      <c r="M1533" t="s">
        <v>26</v>
      </c>
      <c r="N1533" t="s">
        <v>26</v>
      </c>
      <c r="O1533" t="s">
        <v>26</v>
      </c>
      <c r="P1533" t="s">
        <v>26</v>
      </c>
      <c r="Q1533" t="s">
        <v>26</v>
      </c>
      <c r="R1533" t="s">
        <v>26</v>
      </c>
      <c r="S1533" t="s">
        <v>26</v>
      </c>
      <c r="T1533" t="s">
        <v>26</v>
      </c>
      <c r="U1533" t="s">
        <v>26</v>
      </c>
      <c r="V1533" t="s">
        <v>26</v>
      </c>
      <c r="W1533" s="24">
        <v>27181</v>
      </c>
      <c r="X1533" s="24">
        <v>42767</v>
      </c>
      <c r="Y1533" t="s">
        <v>26</v>
      </c>
      <c r="Z1533" s="24">
        <v>27181</v>
      </c>
      <c r="AA1533" s="24">
        <v>42767</v>
      </c>
      <c r="AB1533" t="s">
        <v>26</v>
      </c>
      <c r="AC1533" s="24">
        <v>27181</v>
      </c>
      <c r="AD1533" s="24">
        <v>42767</v>
      </c>
      <c r="AE1533" t="s">
        <v>26</v>
      </c>
      <c r="AF1533" t="s">
        <v>26</v>
      </c>
      <c r="AG1533" t="s">
        <v>26</v>
      </c>
      <c r="AH1533" t="s">
        <v>26</v>
      </c>
      <c r="AI1533" t="s">
        <v>26</v>
      </c>
      <c r="AJ1533" t="s">
        <v>26</v>
      </c>
      <c r="AK1533" t="s">
        <v>26</v>
      </c>
      <c r="AL1533" t="s">
        <v>26</v>
      </c>
      <c r="AM1533" t="s">
        <v>26</v>
      </c>
      <c r="AN1533" t="s">
        <v>26</v>
      </c>
      <c r="AO1533" s="25" t="s">
        <v>68</v>
      </c>
      <c r="AP1533" s="23" t="s">
        <v>69</v>
      </c>
      <c r="AQ1533" s="23" t="s">
        <v>30</v>
      </c>
      <c r="AR1533" s="23" t="s">
        <v>2389</v>
      </c>
      <c r="AS1533" s="25">
        <v>38026</v>
      </c>
      <c r="AT1533" t="s">
        <v>26</v>
      </c>
      <c r="AU1533" t="s">
        <v>24253</v>
      </c>
    </row>
    <row r="1534" spans="1:47" ht="26.25" x14ac:dyDescent="0.4">
      <c r="A1534" s="23" t="s">
        <v>3911</v>
      </c>
      <c r="B1534" t="s">
        <v>26</v>
      </c>
      <c r="C1534" s="23" t="s">
        <v>3912</v>
      </c>
      <c r="D1534" s="23" t="s">
        <v>24108</v>
      </c>
      <c r="E1534" s="23" t="s">
        <v>42</v>
      </c>
      <c r="F1534" s="25" t="s">
        <v>3913</v>
      </c>
      <c r="G1534" t="s">
        <v>26</v>
      </c>
      <c r="H1534" t="s">
        <v>26</v>
      </c>
      <c r="I1534" s="24">
        <v>36892</v>
      </c>
      <c r="J1534" s="25" t="s">
        <v>77</v>
      </c>
      <c r="K1534" t="s">
        <v>26</v>
      </c>
      <c r="L1534" s="25" t="s">
        <v>68</v>
      </c>
      <c r="M1534" s="24">
        <v>36892</v>
      </c>
      <c r="N1534" s="25" t="s">
        <v>77</v>
      </c>
      <c r="O1534" t="s">
        <v>26</v>
      </c>
      <c r="P1534" s="24">
        <v>36892</v>
      </c>
      <c r="Q1534" s="25" t="s">
        <v>77</v>
      </c>
      <c r="R1534" t="s">
        <v>26</v>
      </c>
      <c r="S1534" t="s">
        <v>26</v>
      </c>
      <c r="T1534" t="s">
        <v>26</v>
      </c>
      <c r="U1534" t="s">
        <v>26</v>
      </c>
      <c r="V1534" t="s">
        <v>26</v>
      </c>
      <c r="W1534" s="24">
        <v>36892</v>
      </c>
      <c r="X1534" s="25" t="s">
        <v>77</v>
      </c>
      <c r="Y1534" t="s">
        <v>26</v>
      </c>
      <c r="Z1534" s="24">
        <v>36892</v>
      </c>
      <c r="AA1534" s="25" t="s">
        <v>77</v>
      </c>
      <c r="AB1534" t="s">
        <v>26</v>
      </c>
      <c r="AC1534" s="24">
        <v>36892</v>
      </c>
      <c r="AD1534" s="25" t="s">
        <v>77</v>
      </c>
      <c r="AE1534" t="s">
        <v>26</v>
      </c>
      <c r="AF1534" t="s">
        <v>26</v>
      </c>
      <c r="AG1534" t="s">
        <v>26</v>
      </c>
      <c r="AH1534" t="s">
        <v>26</v>
      </c>
      <c r="AI1534" t="s">
        <v>26</v>
      </c>
      <c r="AJ1534" t="s">
        <v>26</v>
      </c>
      <c r="AK1534" t="s">
        <v>26</v>
      </c>
      <c r="AL1534" t="s">
        <v>26</v>
      </c>
      <c r="AM1534" t="s">
        <v>26</v>
      </c>
      <c r="AN1534" t="s">
        <v>26</v>
      </c>
      <c r="AO1534" s="25" t="s">
        <v>68</v>
      </c>
      <c r="AP1534" s="23" t="s">
        <v>69</v>
      </c>
      <c r="AQ1534" s="23" t="s">
        <v>30</v>
      </c>
      <c r="AR1534" s="23" t="s">
        <v>2389</v>
      </c>
      <c r="AS1534" s="25">
        <v>46531</v>
      </c>
      <c r="AT1534" t="s">
        <v>26</v>
      </c>
      <c r="AU1534" t="s">
        <v>24254</v>
      </c>
    </row>
    <row r="1535" spans="1:47" ht="26.25" x14ac:dyDescent="0.4">
      <c r="A1535" s="23" t="s">
        <v>3914</v>
      </c>
      <c r="B1535" t="s">
        <v>26</v>
      </c>
      <c r="C1535" s="23" t="s">
        <v>107</v>
      </c>
      <c r="D1535" s="23" t="s">
        <v>22194</v>
      </c>
      <c r="E1535" s="23" t="s">
        <v>42</v>
      </c>
      <c r="F1535" s="25" t="s">
        <v>3915</v>
      </c>
      <c r="G1535" s="25" t="s">
        <v>3916</v>
      </c>
      <c r="H1535" t="s">
        <v>26</v>
      </c>
      <c r="I1535" t="s">
        <v>26</v>
      </c>
      <c r="J1535" t="s">
        <v>26</v>
      </c>
      <c r="K1535" t="s">
        <v>26</v>
      </c>
      <c r="L1535" s="25" t="s">
        <v>68</v>
      </c>
      <c r="M1535" t="s">
        <v>26</v>
      </c>
      <c r="N1535" t="s">
        <v>26</v>
      </c>
      <c r="O1535" t="s">
        <v>26</v>
      </c>
      <c r="P1535" t="s">
        <v>26</v>
      </c>
      <c r="Q1535" t="s">
        <v>26</v>
      </c>
      <c r="R1535" t="s">
        <v>26</v>
      </c>
      <c r="S1535" t="s">
        <v>26</v>
      </c>
      <c r="T1535" t="s">
        <v>26</v>
      </c>
      <c r="U1535" t="s">
        <v>26</v>
      </c>
      <c r="V1535" t="s">
        <v>26</v>
      </c>
      <c r="W1535" s="24">
        <v>33298</v>
      </c>
      <c r="X1535" s="25" t="s">
        <v>77</v>
      </c>
      <c r="Y1535" t="s">
        <v>26</v>
      </c>
      <c r="Z1535" s="24">
        <v>33298</v>
      </c>
      <c r="AA1535" s="25" t="s">
        <v>77</v>
      </c>
      <c r="AB1535" t="s">
        <v>26</v>
      </c>
      <c r="AC1535" s="24">
        <v>33298</v>
      </c>
      <c r="AD1535" s="25" t="s">
        <v>77</v>
      </c>
      <c r="AE1535" t="s">
        <v>26</v>
      </c>
      <c r="AF1535" t="s">
        <v>26</v>
      </c>
      <c r="AG1535" t="s">
        <v>26</v>
      </c>
      <c r="AH1535" t="s">
        <v>26</v>
      </c>
      <c r="AI1535" t="s">
        <v>26</v>
      </c>
      <c r="AJ1535" t="s">
        <v>26</v>
      </c>
      <c r="AK1535" t="s">
        <v>26</v>
      </c>
      <c r="AL1535" t="s">
        <v>26</v>
      </c>
      <c r="AM1535" t="s">
        <v>26</v>
      </c>
      <c r="AN1535" t="s">
        <v>26</v>
      </c>
      <c r="AO1535" s="25" t="s">
        <v>68</v>
      </c>
      <c r="AP1535" s="23" t="s">
        <v>69</v>
      </c>
      <c r="AQ1535" s="23" t="s">
        <v>30</v>
      </c>
      <c r="AR1535" s="23" t="s">
        <v>433</v>
      </c>
      <c r="AS1535" s="25">
        <v>31620</v>
      </c>
      <c r="AT1535" t="s">
        <v>26</v>
      </c>
      <c r="AU1535" t="s">
        <v>24255</v>
      </c>
    </row>
    <row r="1536" spans="1:47" ht="26.25" x14ac:dyDescent="0.4">
      <c r="A1536" s="23" t="s">
        <v>3917</v>
      </c>
      <c r="B1536" t="s">
        <v>26</v>
      </c>
      <c r="C1536" s="23" t="s">
        <v>107</v>
      </c>
      <c r="D1536" s="23" t="s">
        <v>22194</v>
      </c>
      <c r="E1536" s="23" t="s">
        <v>42</v>
      </c>
      <c r="F1536" s="25" t="s">
        <v>3918</v>
      </c>
      <c r="G1536" s="25" t="s">
        <v>3919</v>
      </c>
      <c r="H1536" t="s">
        <v>26</v>
      </c>
      <c r="I1536" t="s">
        <v>26</v>
      </c>
      <c r="J1536" t="s">
        <v>26</v>
      </c>
      <c r="K1536" t="s">
        <v>26</v>
      </c>
      <c r="L1536" s="25" t="s">
        <v>68</v>
      </c>
      <c r="M1536" t="s">
        <v>26</v>
      </c>
      <c r="N1536" t="s">
        <v>26</v>
      </c>
      <c r="O1536" t="s">
        <v>26</v>
      </c>
      <c r="P1536" t="s">
        <v>26</v>
      </c>
      <c r="Q1536" t="s">
        <v>26</v>
      </c>
      <c r="R1536" t="s">
        <v>26</v>
      </c>
      <c r="S1536" t="s">
        <v>26</v>
      </c>
      <c r="T1536" t="s">
        <v>26</v>
      </c>
      <c r="U1536" t="s">
        <v>26</v>
      </c>
      <c r="V1536" t="s">
        <v>26</v>
      </c>
      <c r="W1536" s="24">
        <v>32509</v>
      </c>
      <c r="X1536" s="25" t="s">
        <v>77</v>
      </c>
      <c r="Y1536" s="25" t="s">
        <v>3920</v>
      </c>
      <c r="Z1536" s="24">
        <v>32509</v>
      </c>
      <c r="AA1536" s="25" t="s">
        <v>77</v>
      </c>
      <c r="AB1536" s="25" t="s">
        <v>24256</v>
      </c>
      <c r="AC1536" s="24">
        <v>32509</v>
      </c>
      <c r="AD1536" s="25" t="s">
        <v>77</v>
      </c>
      <c r="AE1536" s="25" t="s">
        <v>3920</v>
      </c>
      <c r="AF1536" t="s">
        <v>26</v>
      </c>
      <c r="AG1536" t="s">
        <v>26</v>
      </c>
      <c r="AH1536" t="s">
        <v>26</v>
      </c>
      <c r="AI1536" t="s">
        <v>26</v>
      </c>
      <c r="AJ1536" t="s">
        <v>26</v>
      </c>
      <c r="AK1536" t="s">
        <v>26</v>
      </c>
      <c r="AL1536" t="s">
        <v>26</v>
      </c>
      <c r="AM1536" t="s">
        <v>26</v>
      </c>
      <c r="AN1536" t="s">
        <v>26</v>
      </c>
      <c r="AO1536" s="25" t="s">
        <v>68</v>
      </c>
      <c r="AP1536" s="23" t="s">
        <v>69</v>
      </c>
      <c r="AQ1536" s="23" t="s">
        <v>30</v>
      </c>
      <c r="AR1536" s="23" t="s">
        <v>1344</v>
      </c>
      <c r="AS1536" s="25">
        <v>7018</v>
      </c>
      <c r="AT1536" t="s">
        <v>26</v>
      </c>
      <c r="AU1536" t="s">
        <v>24257</v>
      </c>
    </row>
    <row r="1537" spans="1:47" ht="26.25" x14ac:dyDescent="0.4">
      <c r="A1537" s="23" t="s">
        <v>3921</v>
      </c>
      <c r="B1537" t="s">
        <v>26</v>
      </c>
      <c r="C1537" s="23" t="s">
        <v>73</v>
      </c>
      <c r="D1537" s="23" t="s">
        <v>22179</v>
      </c>
      <c r="E1537" s="23" t="s">
        <v>74</v>
      </c>
      <c r="F1537" s="25" t="s">
        <v>3922</v>
      </c>
      <c r="G1537" s="25" t="s">
        <v>3923</v>
      </c>
      <c r="H1537" t="s">
        <v>26</v>
      </c>
      <c r="I1537" s="24">
        <v>35521</v>
      </c>
      <c r="J1537" s="25" t="s">
        <v>77</v>
      </c>
      <c r="K1537" s="25" t="s">
        <v>91</v>
      </c>
      <c r="L1537" s="25" t="s">
        <v>68</v>
      </c>
      <c r="M1537" s="24">
        <v>38078</v>
      </c>
      <c r="N1537" s="24">
        <v>42887</v>
      </c>
      <c r="O1537" t="s">
        <v>26</v>
      </c>
      <c r="P1537" s="24">
        <v>35521</v>
      </c>
      <c r="Q1537" s="25" t="s">
        <v>77</v>
      </c>
      <c r="R1537" s="25" t="s">
        <v>91</v>
      </c>
      <c r="S1537" t="s">
        <v>26</v>
      </c>
      <c r="T1537" t="s">
        <v>26</v>
      </c>
      <c r="U1537" t="s">
        <v>26</v>
      </c>
      <c r="V1537" s="25">
        <v>365</v>
      </c>
      <c r="W1537" s="24">
        <v>35521</v>
      </c>
      <c r="X1537" s="25" t="s">
        <v>77</v>
      </c>
      <c r="Y1537" s="25" t="s">
        <v>91</v>
      </c>
      <c r="Z1537" s="24">
        <v>35521</v>
      </c>
      <c r="AA1537" s="25" t="s">
        <v>77</v>
      </c>
      <c r="AB1537" s="25" t="s">
        <v>91</v>
      </c>
      <c r="AC1537" s="24">
        <v>35521</v>
      </c>
      <c r="AD1537" s="25" t="s">
        <v>77</v>
      </c>
      <c r="AE1537" s="25" t="s">
        <v>91</v>
      </c>
      <c r="AF1537" t="s">
        <v>26</v>
      </c>
      <c r="AG1537" t="s">
        <v>26</v>
      </c>
      <c r="AH1537" t="s">
        <v>26</v>
      </c>
      <c r="AI1537" t="s">
        <v>26</v>
      </c>
      <c r="AJ1537" t="s">
        <v>26</v>
      </c>
      <c r="AK1537" t="s">
        <v>26</v>
      </c>
      <c r="AL1537" t="s">
        <v>26</v>
      </c>
      <c r="AM1537" t="s">
        <v>26</v>
      </c>
      <c r="AN1537" t="s">
        <v>26</v>
      </c>
      <c r="AO1537" s="25" t="s">
        <v>68</v>
      </c>
      <c r="AP1537" s="23" t="s">
        <v>69</v>
      </c>
      <c r="AQ1537" s="23" t="s">
        <v>30</v>
      </c>
      <c r="AR1537" s="23" t="s">
        <v>3924</v>
      </c>
      <c r="AS1537" s="25">
        <v>48134</v>
      </c>
      <c r="AT1537" t="s">
        <v>26</v>
      </c>
      <c r="AU1537" t="s">
        <v>24258</v>
      </c>
    </row>
    <row r="1538" spans="1:47" ht="26.25" x14ac:dyDescent="0.4">
      <c r="A1538" s="23" t="s">
        <v>3925</v>
      </c>
      <c r="B1538" t="s">
        <v>26</v>
      </c>
      <c r="C1538" s="23" t="s">
        <v>172</v>
      </c>
      <c r="D1538" s="23" t="s">
        <v>22242</v>
      </c>
      <c r="E1538" s="23" t="s">
        <v>60</v>
      </c>
      <c r="F1538" s="25" t="s">
        <v>3926</v>
      </c>
      <c r="G1538" s="25" t="s">
        <v>3927</v>
      </c>
      <c r="H1538" t="s">
        <v>26</v>
      </c>
      <c r="I1538" t="s">
        <v>26</v>
      </c>
      <c r="J1538" t="s">
        <v>26</v>
      </c>
      <c r="K1538" t="s">
        <v>26</v>
      </c>
      <c r="L1538" s="25" t="s">
        <v>68</v>
      </c>
      <c r="M1538" t="s">
        <v>26</v>
      </c>
      <c r="N1538" t="s">
        <v>26</v>
      </c>
      <c r="O1538" t="s">
        <v>26</v>
      </c>
      <c r="P1538" t="s">
        <v>26</v>
      </c>
      <c r="Q1538" t="s">
        <v>26</v>
      </c>
      <c r="R1538" t="s">
        <v>26</v>
      </c>
      <c r="S1538" t="s">
        <v>26</v>
      </c>
      <c r="T1538" t="s">
        <v>26</v>
      </c>
      <c r="U1538" t="s">
        <v>26</v>
      </c>
      <c r="V1538" t="s">
        <v>26</v>
      </c>
      <c r="W1538" s="24">
        <v>38047</v>
      </c>
      <c r="X1538" s="25" t="s">
        <v>77</v>
      </c>
      <c r="Y1538" t="s">
        <v>26</v>
      </c>
      <c r="Z1538" s="24">
        <v>38047</v>
      </c>
      <c r="AA1538" s="25" t="s">
        <v>77</v>
      </c>
      <c r="AB1538" t="s">
        <v>26</v>
      </c>
      <c r="AC1538" s="24">
        <v>38047</v>
      </c>
      <c r="AD1538" s="25" t="s">
        <v>77</v>
      </c>
      <c r="AE1538" t="s">
        <v>26</v>
      </c>
      <c r="AF1538" t="s">
        <v>26</v>
      </c>
      <c r="AG1538" t="s">
        <v>26</v>
      </c>
      <c r="AH1538" t="s">
        <v>26</v>
      </c>
      <c r="AI1538" t="s">
        <v>26</v>
      </c>
      <c r="AJ1538" t="s">
        <v>26</v>
      </c>
      <c r="AK1538" t="s">
        <v>26</v>
      </c>
      <c r="AL1538" t="s">
        <v>26</v>
      </c>
      <c r="AM1538" t="s">
        <v>26</v>
      </c>
      <c r="AN1538" t="s">
        <v>26</v>
      </c>
      <c r="AO1538" s="25" t="s">
        <v>68</v>
      </c>
      <c r="AP1538" s="23" t="s">
        <v>69</v>
      </c>
      <c r="AQ1538" s="23" t="s">
        <v>30</v>
      </c>
      <c r="AR1538" s="23" t="s">
        <v>3928</v>
      </c>
      <c r="AS1538" s="25">
        <v>31737</v>
      </c>
      <c r="AT1538" t="s">
        <v>26</v>
      </c>
      <c r="AU1538" t="s">
        <v>24259</v>
      </c>
    </row>
    <row r="1539" spans="1:47" ht="26.25" x14ac:dyDescent="0.4">
      <c r="A1539" s="23" t="s">
        <v>3929</v>
      </c>
      <c r="B1539" t="s">
        <v>26</v>
      </c>
      <c r="C1539" s="23" t="s">
        <v>465</v>
      </c>
      <c r="D1539" s="23" t="s">
        <v>22254</v>
      </c>
      <c r="E1539" s="23" t="s">
        <v>42</v>
      </c>
      <c r="F1539" s="25" t="s">
        <v>3930</v>
      </c>
      <c r="G1539" s="25" t="s">
        <v>3931</v>
      </c>
      <c r="H1539" t="s">
        <v>26</v>
      </c>
      <c r="I1539" t="s">
        <v>26</v>
      </c>
      <c r="J1539" t="s">
        <v>26</v>
      </c>
      <c r="K1539" t="s">
        <v>26</v>
      </c>
      <c r="L1539" s="25" t="s">
        <v>68</v>
      </c>
      <c r="M1539" t="s">
        <v>26</v>
      </c>
      <c r="N1539" t="s">
        <v>26</v>
      </c>
      <c r="O1539" t="s">
        <v>26</v>
      </c>
      <c r="P1539" t="s">
        <v>26</v>
      </c>
      <c r="Q1539" t="s">
        <v>26</v>
      </c>
      <c r="R1539" t="s">
        <v>26</v>
      </c>
      <c r="S1539" t="s">
        <v>26</v>
      </c>
      <c r="T1539" t="s">
        <v>26</v>
      </c>
      <c r="U1539" t="s">
        <v>26</v>
      </c>
      <c r="V1539" t="s">
        <v>26</v>
      </c>
      <c r="W1539" s="24">
        <v>31413</v>
      </c>
      <c r="X1539" s="25" t="s">
        <v>77</v>
      </c>
      <c r="Y1539" t="s">
        <v>26</v>
      </c>
      <c r="Z1539" s="24">
        <v>31413</v>
      </c>
      <c r="AA1539" s="25" t="s">
        <v>77</v>
      </c>
      <c r="AB1539" t="s">
        <v>26</v>
      </c>
      <c r="AC1539" s="24">
        <v>31413</v>
      </c>
      <c r="AD1539" s="25" t="s">
        <v>77</v>
      </c>
      <c r="AE1539" t="s">
        <v>26</v>
      </c>
      <c r="AF1539" t="s">
        <v>26</v>
      </c>
      <c r="AG1539" t="s">
        <v>26</v>
      </c>
      <c r="AH1539" t="s">
        <v>26</v>
      </c>
      <c r="AI1539" t="s">
        <v>26</v>
      </c>
      <c r="AJ1539" t="s">
        <v>26</v>
      </c>
      <c r="AK1539" t="s">
        <v>26</v>
      </c>
      <c r="AL1539" t="s">
        <v>26</v>
      </c>
      <c r="AM1539" t="s">
        <v>26</v>
      </c>
      <c r="AN1539" t="s">
        <v>26</v>
      </c>
      <c r="AO1539" s="25" t="s">
        <v>68</v>
      </c>
      <c r="AP1539" s="23" t="s">
        <v>69</v>
      </c>
      <c r="AQ1539" s="23" t="s">
        <v>30</v>
      </c>
      <c r="AR1539" s="23" t="s">
        <v>46</v>
      </c>
      <c r="AS1539" s="25">
        <v>41013</v>
      </c>
      <c r="AT1539" t="s">
        <v>26</v>
      </c>
      <c r="AU1539" t="s">
        <v>24260</v>
      </c>
    </row>
    <row r="1540" spans="1:47" ht="26.25" x14ac:dyDescent="0.4">
      <c r="A1540" s="23" t="s">
        <v>3932</v>
      </c>
      <c r="B1540" t="s">
        <v>26</v>
      </c>
      <c r="C1540" s="23" t="s">
        <v>172</v>
      </c>
      <c r="D1540" s="23" t="s">
        <v>22256</v>
      </c>
      <c r="E1540" s="23" t="s">
        <v>60</v>
      </c>
      <c r="F1540" s="25" t="s">
        <v>3933</v>
      </c>
      <c r="G1540" s="25" t="s">
        <v>3934</v>
      </c>
      <c r="H1540" t="s">
        <v>26</v>
      </c>
      <c r="I1540" s="24">
        <v>32143</v>
      </c>
      <c r="J1540" s="24">
        <v>41548</v>
      </c>
      <c r="K1540" t="s">
        <v>26</v>
      </c>
      <c r="L1540" s="25" t="s">
        <v>68</v>
      </c>
      <c r="M1540" s="24">
        <v>34335</v>
      </c>
      <c r="N1540" s="24">
        <v>41548</v>
      </c>
      <c r="O1540" t="s">
        <v>26</v>
      </c>
      <c r="P1540" s="24">
        <v>32143</v>
      </c>
      <c r="Q1540" s="24">
        <v>41548</v>
      </c>
      <c r="R1540" t="s">
        <v>26</v>
      </c>
      <c r="S1540" t="s">
        <v>26</v>
      </c>
      <c r="T1540" t="s">
        <v>26</v>
      </c>
      <c r="U1540" t="s">
        <v>26</v>
      </c>
      <c r="V1540" t="s">
        <v>26</v>
      </c>
      <c r="W1540" s="24">
        <v>31413</v>
      </c>
      <c r="X1540" s="25" t="s">
        <v>77</v>
      </c>
      <c r="Y1540" t="s">
        <v>26</v>
      </c>
      <c r="Z1540" s="24">
        <v>31413</v>
      </c>
      <c r="AA1540" s="25" t="s">
        <v>77</v>
      </c>
      <c r="AB1540" t="s">
        <v>26</v>
      </c>
      <c r="AC1540" s="24">
        <v>31413</v>
      </c>
      <c r="AD1540" s="25" t="s">
        <v>77</v>
      </c>
      <c r="AE1540" t="s">
        <v>26</v>
      </c>
      <c r="AF1540" t="s">
        <v>26</v>
      </c>
      <c r="AG1540" t="s">
        <v>26</v>
      </c>
      <c r="AH1540" t="s">
        <v>26</v>
      </c>
      <c r="AI1540" t="s">
        <v>26</v>
      </c>
      <c r="AJ1540" t="s">
        <v>26</v>
      </c>
      <c r="AK1540" t="s">
        <v>26</v>
      </c>
      <c r="AL1540" t="s">
        <v>26</v>
      </c>
      <c r="AM1540" t="s">
        <v>26</v>
      </c>
      <c r="AN1540" t="s">
        <v>26</v>
      </c>
      <c r="AO1540" s="25" t="s">
        <v>68</v>
      </c>
      <c r="AP1540" s="23" t="s">
        <v>69</v>
      </c>
      <c r="AQ1540" s="23" t="s">
        <v>30</v>
      </c>
      <c r="AR1540" s="23" t="s">
        <v>3935</v>
      </c>
      <c r="AS1540" s="25">
        <v>25041</v>
      </c>
      <c r="AT1540" t="s">
        <v>26</v>
      </c>
      <c r="AU1540" t="s">
        <v>24261</v>
      </c>
    </row>
    <row r="1541" spans="1:47" ht="26.25" x14ac:dyDescent="0.4">
      <c r="A1541" s="23" t="s">
        <v>3936</v>
      </c>
      <c r="B1541" t="s">
        <v>26</v>
      </c>
      <c r="C1541" s="23" t="s">
        <v>3937</v>
      </c>
      <c r="D1541" s="23" t="s">
        <v>24262</v>
      </c>
      <c r="E1541" s="23" t="s">
        <v>42</v>
      </c>
      <c r="F1541" t="s">
        <v>26</v>
      </c>
      <c r="G1541" s="25" t="s">
        <v>3938</v>
      </c>
      <c r="H1541" t="s">
        <v>26</v>
      </c>
      <c r="I1541" s="24">
        <v>39814</v>
      </c>
      <c r="J1541" s="25" t="s">
        <v>77</v>
      </c>
      <c r="K1541" t="s">
        <v>26</v>
      </c>
      <c r="L1541" s="25" t="s">
        <v>68</v>
      </c>
      <c r="M1541" t="s">
        <v>26</v>
      </c>
      <c r="N1541" t="s">
        <v>26</v>
      </c>
      <c r="O1541" t="s">
        <v>26</v>
      </c>
      <c r="P1541" s="24">
        <v>39814</v>
      </c>
      <c r="Q1541" s="25" t="s">
        <v>77</v>
      </c>
      <c r="R1541" t="s">
        <v>26</v>
      </c>
      <c r="S1541" t="s">
        <v>26</v>
      </c>
      <c r="T1541" t="s">
        <v>26</v>
      </c>
      <c r="U1541" t="s">
        <v>26</v>
      </c>
      <c r="V1541" t="s">
        <v>26</v>
      </c>
      <c r="W1541" s="24">
        <v>39814</v>
      </c>
      <c r="X1541" s="25" t="s">
        <v>77</v>
      </c>
      <c r="Y1541" t="s">
        <v>26</v>
      </c>
      <c r="Z1541" s="24">
        <v>39814</v>
      </c>
      <c r="AA1541" s="25" t="s">
        <v>77</v>
      </c>
      <c r="AB1541" t="s">
        <v>26</v>
      </c>
      <c r="AC1541" s="24">
        <v>39814</v>
      </c>
      <c r="AD1541" s="25" t="s">
        <v>77</v>
      </c>
      <c r="AE1541" t="s">
        <v>26</v>
      </c>
      <c r="AF1541" t="s">
        <v>26</v>
      </c>
      <c r="AG1541" t="s">
        <v>26</v>
      </c>
      <c r="AH1541" t="s">
        <v>26</v>
      </c>
      <c r="AI1541" t="s">
        <v>26</v>
      </c>
      <c r="AJ1541" t="s">
        <v>26</v>
      </c>
      <c r="AK1541" t="s">
        <v>26</v>
      </c>
      <c r="AL1541" t="s">
        <v>26</v>
      </c>
      <c r="AM1541" t="s">
        <v>26</v>
      </c>
      <c r="AN1541" t="s">
        <v>26</v>
      </c>
      <c r="AO1541" s="25" t="s">
        <v>68</v>
      </c>
      <c r="AP1541" s="23" t="s">
        <v>69</v>
      </c>
      <c r="AQ1541" s="23" t="s">
        <v>30</v>
      </c>
      <c r="AR1541" s="23" t="s">
        <v>337</v>
      </c>
      <c r="AS1541" s="25">
        <v>2027398</v>
      </c>
      <c r="AT1541" t="s">
        <v>26</v>
      </c>
      <c r="AU1541" t="s">
        <v>24263</v>
      </c>
    </row>
    <row r="1542" spans="1:47" ht="26.25" x14ac:dyDescent="0.4">
      <c r="A1542" s="23" t="s">
        <v>3939</v>
      </c>
      <c r="B1542" t="s">
        <v>26</v>
      </c>
      <c r="C1542" s="23" t="s">
        <v>80</v>
      </c>
      <c r="D1542" s="23" t="s">
        <v>22184</v>
      </c>
      <c r="E1542" s="23" t="s">
        <v>60</v>
      </c>
      <c r="F1542" s="25" t="s">
        <v>3940</v>
      </c>
      <c r="G1542" s="25" t="s">
        <v>3941</v>
      </c>
      <c r="H1542" t="s">
        <v>26</v>
      </c>
      <c r="I1542" t="s">
        <v>26</v>
      </c>
      <c r="J1542" t="s">
        <v>26</v>
      </c>
      <c r="K1542" t="s">
        <v>26</v>
      </c>
      <c r="L1542" s="25" t="s">
        <v>68</v>
      </c>
      <c r="M1542" t="s">
        <v>26</v>
      </c>
      <c r="N1542" t="s">
        <v>26</v>
      </c>
      <c r="O1542" t="s">
        <v>26</v>
      </c>
      <c r="P1542" t="s">
        <v>26</v>
      </c>
      <c r="Q1542" t="s">
        <v>26</v>
      </c>
      <c r="R1542" t="s">
        <v>26</v>
      </c>
      <c r="S1542" t="s">
        <v>26</v>
      </c>
      <c r="T1542" t="s">
        <v>26</v>
      </c>
      <c r="U1542" t="s">
        <v>26</v>
      </c>
      <c r="V1542" t="s">
        <v>26</v>
      </c>
      <c r="W1542" s="24">
        <v>40179</v>
      </c>
      <c r="X1542" s="25" t="s">
        <v>77</v>
      </c>
      <c r="Y1542" t="s">
        <v>26</v>
      </c>
      <c r="Z1542" s="24">
        <v>40179</v>
      </c>
      <c r="AA1542" s="25" t="s">
        <v>77</v>
      </c>
      <c r="AB1542" t="s">
        <v>26</v>
      </c>
      <c r="AC1542" s="24">
        <v>40179</v>
      </c>
      <c r="AD1542" s="25" t="s">
        <v>77</v>
      </c>
      <c r="AE1542" t="s">
        <v>26</v>
      </c>
      <c r="AF1542" t="s">
        <v>26</v>
      </c>
      <c r="AG1542" t="s">
        <v>26</v>
      </c>
      <c r="AH1542" t="s">
        <v>26</v>
      </c>
      <c r="AI1542" t="s">
        <v>26</v>
      </c>
      <c r="AJ1542" t="s">
        <v>26</v>
      </c>
      <c r="AK1542" t="s">
        <v>26</v>
      </c>
      <c r="AL1542" t="s">
        <v>26</v>
      </c>
      <c r="AM1542" t="s">
        <v>26</v>
      </c>
      <c r="AN1542" t="s">
        <v>26</v>
      </c>
      <c r="AO1542" s="25" t="s">
        <v>68</v>
      </c>
      <c r="AP1542" s="23" t="s">
        <v>69</v>
      </c>
      <c r="AQ1542" s="23" t="s">
        <v>30</v>
      </c>
      <c r="AR1542" s="23" t="s">
        <v>3942</v>
      </c>
      <c r="AS1542" s="25">
        <v>196215</v>
      </c>
      <c r="AT1542" t="s">
        <v>26</v>
      </c>
      <c r="AU1542" t="s">
        <v>24264</v>
      </c>
    </row>
    <row r="1543" spans="1:47" ht="26.25" x14ac:dyDescent="0.4">
      <c r="A1543" s="23" t="s">
        <v>3943</v>
      </c>
      <c r="B1543" t="s">
        <v>26</v>
      </c>
      <c r="C1543" s="23" t="s">
        <v>3944</v>
      </c>
      <c r="D1543" s="23" t="s">
        <v>24008</v>
      </c>
      <c r="E1543" s="23" t="s">
        <v>42</v>
      </c>
      <c r="F1543" s="25" t="s">
        <v>3945</v>
      </c>
      <c r="G1543" s="25" t="s">
        <v>3946</v>
      </c>
      <c r="H1543" t="s">
        <v>26</v>
      </c>
      <c r="I1543" t="s">
        <v>26</v>
      </c>
      <c r="J1543" t="s">
        <v>26</v>
      </c>
      <c r="K1543" t="s">
        <v>26</v>
      </c>
      <c r="L1543" s="25" t="s">
        <v>68</v>
      </c>
      <c r="M1543" t="s">
        <v>26</v>
      </c>
      <c r="N1543" t="s">
        <v>26</v>
      </c>
      <c r="O1543" t="s">
        <v>26</v>
      </c>
      <c r="P1543" t="s">
        <v>26</v>
      </c>
      <c r="Q1543" t="s">
        <v>26</v>
      </c>
      <c r="R1543" t="s">
        <v>26</v>
      </c>
      <c r="S1543" t="s">
        <v>26</v>
      </c>
      <c r="T1543" t="s">
        <v>26</v>
      </c>
      <c r="U1543" t="s">
        <v>26</v>
      </c>
      <c r="V1543" t="s">
        <v>26</v>
      </c>
      <c r="W1543" s="24">
        <v>42278</v>
      </c>
      <c r="X1543" s="25" t="s">
        <v>77</v>
      </c>
      <c r="Y1543" t="s">
        <v>26</v>
      </c>
      <c r="Z1543" s="24">
        <v>42278</v>
      </c>
      <c r="AA1543" s="25" t="s">
        <v>77</v>
      </c>
      <c r="AB1543" t="s">
        <v>26</v>
      </c>
      <c r="AC1543" s="24">
        <v>42278</v>
      </c>
      <c r="AD1543" s="25" t="s">
        <v>77</v>
      </c>
      <c r="AE1543" t="s">
        <v>26</v>
      </c>
      <c r="AF1543" t="s">
        <v>26</v>
      </c>
      <c r="AG1543" t="s">
        <v>26</v>
      </c>
      <c r="AH1543" t="s">
        <v>26</v>
      </c>
      <c r="AI1543" t="s">
        <v>26</v>
      </c>
      <c r="AJ1543" t="s">
        <v>26</v>
      </c>
      <c r="AK1543" t="s">
        <v>26</v>
      </c>
      <c r="AL1543" t="s">
        <v>26</v>
      </c>
      <c r="AM1543" t="s">
        <v>26</v>
      </c>
      <c r="AN1543" t="s">
        <v>26</v>
      </c>
      <c r="AO1543" s="25" t="s">
        <v>68</v>
      </c>
      <c r="AP1543" s="23" t="s">
        <v>69</v>
      </c>
      <c r="AQ1543" s="23" t="s">
        <v>30</v>
      </c>
      <c r="AR1543" s="23" t="s">
        <v>71</v>
      </c>
      <c r="AS1543" s="25">
        <v>2040038</v>
      </c>
      <c r="AT1543" t="s">
        <v>26</v>
      </c>
      <c r="AU1543" t="s">
        <v>24265</v>
      </c>
    </row>
    <row r="1544" spans="1:47" ht="26.25" x14ac:dyDescent="0.4">
      <c r="A1544" s="23" t="s">
        <v>3947</v>
      </c>
      <c r="B1544" t="s">
        <v>26</v>
      </c>
      <c r="C1544" s="23" t="s">
        <v>80</v>
      </c>
      <c r="D1544" s="23" t="s">
        <v>22184</v>
      </c>
      <c r="E1544" s="23" t="s">
        <v>60</v>
      </c>
      <c r="F1544" s="25" t="s">
        <v>3948</v>
      </c>
      <c r="G1544" s="25" t="s">
        <v>3949</v>
      </c>
      <c r="H1544" t="s">
        <v>26</v>
      </c>
      <c r="I1544" t="s">
        <v>26</v>
      </c>
      <c r="J1544" t="s">
        <v>26</v>
      </c>
      <c r="K1544" t="s">
        <v>26</v>
      </c>
      <c r="L1544" s="25" t="s">
        <v>68</v>
      </c>
      <c r="M1544" t="s">
        <v>26</v>
      </c>
      <c r="N1544" t="s">
        <v>26</v>
      </c>
      <c r="O1544" t="s">
        <v>26</v>
      </c>
      <c r="P1544" t="s">
        <v>26</v>
      </c>
      <c r="Q1544" t="s">
        <v>26</v>
      </c>
      <c r="R1544" t="s">
        <v>26</v>
      </c>
      <c r="S1544" t="s">
        <v>26</v>
      </c>
      <c r="T1544" t="s">
        <v>26</v>
      </c>
      <c r="U1544" t="s">
        <v>26</v>
      </c>
      <c r="V1544" t="s">
        <v>26</v>
      </c>
      <c r="W1544" s="24">
        <v>30317</v>
      </c>
      <c r="X1544" s="25" t="s">
        <v>77</v>
      </c>
      <c r="Y1544" s="25" t="s">
        <v>3950</v>
      </c>
      <c r="Z1544" s="24">
        <v>30317</v>
      </c>
      <c r="AA1544" s="25" t="s">
        <v>77</v>
      </c>
      <c r="AB1544" s="25" t="s">
        <v>3950</v>
      </c>
      <c r="AC1544" s="24">
        <v>35977</v>
      </c>
      <c r="AD1544" s="25" t="s">
        <v>77</v>
      </c>
      <c r="AE1544" t="s">
        <v>26</v>
      </c>
      <c r="AF1544" t="s">
        <v>26</v>
      </c>
      <c r="AG1544" t="s">
        <v>26</v>
      </c>
      <c r="AH1544" t="s">
        <v>26</v>
      </c>
      <c r="AI1544" t="s">
        <v>26</v>
      </c>
      <c r="AJ1544" t="s">
        <v>26</v>
      </c>
      <c r="AK1544" t="s">
        <v>26</v>
      </c>
      <c r="AL1544" t="s">
        <v>26</v>
      </c>
      <c r="AM1544" t="s">
        <v>26</v>
      </c>
      <c r="AN1544" t="s">
        <v>26</v>
      </c>
      <c r="AO1544" s="25" t="s">
        <v>68</v>
      </c>
      <c r="AP1544" s="23" t="s">
        <v>69</v>
      </c>
      <c r="AQ1544" s="23" t="s">
        <v>30</v>
      </c>
      <c r="AR1544" s="23" t="s">
        <v>433</v>
      </c>
      <c r="AS1544" s="25">
        <v>36088</v>
      </c>
      <c r="AT1544" t="s">
        <v>26</v>
      </c>
      <c r="AU1544" t="s">
        <v>24266</v>
      </c>
    </row>
    <row r="1545" spans="1:47" ht="26.25" x14ac:dyDescent="0.4">
      <c r="A1545" s="23" t="s">
        <v>3951</v>
      </c>
      <c r="B1545" t="s">
        <v>26</v>
      </c>
      <c r="C1545" s="23" t="s">
        <v>176</v>
      </c>
      <c r="D1545" s="23" t="s">
        <v>22179</v>
      </c>
      <c r="E1545" s="23" t="s">
        <v>60</v>
      </c>
      <c r="F1545" s="25" t="s">
        <v>3952</v>
      </c>
      <c r="G1545" s="25" t="s">
        <v>3953</v>
      </c>
      <c r="H1545" t="s">
        <v>26</v>
      </c>
      <c r="I1545" t="s">
        <v>26</v>
      </c>
      <c r="J1545" t="s">
        <v>26</v>
      </c>
      <c r="K1545" t="s">
        <v>26</v>
      </c>
      <c r="L1545" s="25" t="s">
        <v>68</v>
      </c>
      <c r="M1545" t="s">
        <v>26</v>
      </c>
      <c r="N1545" t="s">
        <v>26</v>
      </c>
      <c r="O1545" t="s">
        <v>26</v>
      </c>
      <c r="P1545" t="s">
        <v>26</v>
      </c>
      <c r="Q1545" t="s">
        <v>26</v>
      </c>
      <c r="R1545" t="s">
        <v>26</v>
      </c>
      <c r="S1545" t="s">
        <v>26</v>
      </c>
      <c r="T1545" t="s">
        <v>26</v>
      </c>
      <c r="U1545" t="s">
        <v>26</v>
      </c>
      <c r="V1545" t="s">
        <v>26</v>
      </c>
      <c r="W1545" s="24">
        <v>29707</v>
      </c>
      <c r="X1545" s="24">
        <v>44986</v>
      </c>
      <c r="Y1545" t="s">
        <v>26</v>
      </c>
      <c r="Z1545" s="24">
        <v>29707</v>
      </c>
      <c r="AA1545" s="24">
        <v>44986</v>
      </c>
      <c r="AB1545" t="s">
        <v>26</v>
      </c>
      <c r="AC1545" s="24">
        <v>32509</v>
      </c>
      <c r="AD1545" s="24">
        <v>44927</v>
      </c>
      <c r="AE1545" t="s">
        <v>26</v>
      </c>
      <c r="AF1545" t="s">
        <v>26</v>
      </c>
      <c r="AG1545" t="s">
        <v>26</v>
      </c>
      <c r="AH1545" t="s">
        <v>26</v>
      </c>
      <c r="AI1545" t="s">
        <v>26</v>
      </c>
      <c r="AJ1545" t="s">
        <v>26</v>
      </c>
      <c r="AK1545" t="s">
        <v>26</v>
      </c>
      <c r="AL1545" t="s">
        <v>26</v>
      </c>
      <c r="AM1545" t="s">
        <v>26</v>
      </c>
      <c r="AN1545" t="s">
        <v>26</v>
      </c>
      <c r="AO1545" s="25" t="s">
        <v>68</v>
      </c>
      <c r="AP1545" s="23" t="s">
        <v>69</v>
      </c>
      <c r="AQ1545" s="23" t="s">
        <v>30</v>
      </c>
      <c r="AR1545" s="23" t="s">
        <v>3954</v>
      </c>
      <c r="AS1545" s="25">
        <v>46459</v>
      </c>
      <c r="AT1545" t="s">
        <v>26</v>
      </c>
      <c r="AU1545" t="s">
        <v>24267</v>
      </c>
    </row>
    <row r="1546" spans="1:47" ht="26.25" x14ac:dyDescent="0.4">
      <c r="A1546" s="23" t="s">
        <v>3955</v>
      </c>
      <c r="B1546" t="s">
        <v>26</v>
      </c>
      <c r="C1546" s="23" t="s">
        <v>80</v>
      </c>
      <c r="D1546" s="23" t="s">
        <v>24268</v>
      </c>
      <c r="E1546" s="23" t="s">
        <v>60</v>
      </c>
      <c r="F1546" s="25" t="s">
        <v>3956</v>
      </c>
      <c r="G1546" s="25" t="s">
        <v>3957</v>
      </c>
      <c r="H1546" t="s">
        <v>26</v>
      </c>
      <c r="I1546" s="24">
        <v>35886</v>
      </c>
      <c r="J1546" s="24">
        <v>39142</v>
      </c>
      <c r="K1546" t="s">
        <v>26</v>
      </c>
      <c r="L1546" s="25" t="s">
        <v>68</v>
      </c>
      <c r="M1546" s="24">
        <v>35886</v>
      </c>
      <c r="N1546" s="24">
        <v>39142</v>
      </c>
      <c r="O1546" t="s">
        <v>26</v>
      </c>
      <c r="P1546" s="24">
        <v>36069</v>
      </c>
      <c r="Q1546" s="24">
        <v>39142</v>
      </c>
      <c r="R1546" t="s">
        <v>26</v>
      </c>
      <c r="S1546" t="s">
        <v>26</v>
      </c>
      <c r="T1546" t="s">
        <v>26</v>
      </c>
      <c r="U1546" t="s">
        <v>26</v>
      </c>
      <c r="V1546" t="s">
        <v>26</v>
      </c>
      <c r="W1546" s="24">
        <v>34243</v>
      </c>
      <c r="X1546" s="25" t="s">
        <v>77</v>
      </c>
      <c r="Y1546" t="s">
        <v>26</v>
      </c>
      <c r="Z1546" s="24">
        <v>34243</v>
      </c>
      <c r="AA1546" s="25" t="s">
        <v>77</v>
      </c>
      <c r="AB1546" t="s">
        <v>26</v>
      </c>
      <c r="AC1546" s="24">
        <v>35886</v>
      </c>
      <c r="AD1546" s="25" t="s">
        <v>77</v>
      </c>
      <c r="AE1546" t="s">
        <v>26</v>
      </c>
      <c r="AF1546" t="s">
        <v>26</v>
      </c>
      <c r="AG1546" t="s">
        <v>26</v>
      </c>
      <c r="AH1546" t="s">
        <v>26</v>
      </c>
      <c r="AI1546" t="s">
        <v>26</v>
      </c>
      <c r="AJ1546" t="s">
        <v>26</v>
      </c>
      <c r="AK1546" t="s">
        <v>26</v>
      </c>
      <c r="AL1546" t="s">
        <v>26</v>
      </c>
      <c r="AM1546" t="s">
        <v>26</v>
      </c>
      <c r="AN1546" t="s">
        <v>26</v>
      </c>
      <c r="AO1546" s="25" t="s">
        <v>68</v>
      </c>
      <c r="AP1546" s="23" t="s">
        <v>69</v>
      </c>
      <c r="AQ1546" s="23" t="s">
        <v>30</v>
      </c>
      <c r="AR1546" s="23" t="s">
        <v>3958</v>
      </c>
      <c r="AS1546" s="25">
        <v>13066</v>
      </c>
      <c r="AT1546" t="s">
        <v>26</v>
      </c>
      <c r="AU1546" t="s">
        <v>24269</v>
      </c>
    </row>
    <row r="1547" spans="1:47" ht="26.25" x14ac:dyDescent="0.4">
      <c r="A1547" s="23" t="s">
        <v>3959</v>
      </c>
      <c r="B1547" t="s">
        <v>26</v>
      </c>
      <c r="C1547" s="23" t="s">
        <v>264</v>
      </c>
      <c r="D1547" s="23" t="s">
        <v>22261</v>
      </c>
      <c r="E1547" s="23" t="s">
        <v>60</v>
      </c>
      <c r="F1547" s="25" t="s">
        <v>3960</v>
      </c>
      <c r="G1547" s="25" t="s">
        <v>3961</v>
      </c>
      <c r="H1547" t="s">
        <v>26</v>
      </c>
      <c r="I1547" s="24">
        <v>40544</v>
      </c>
      <c r="J1547" s="25" t="s">
        <v>77</v>
      </c>
      <c r="K1547" t="s">
        <v>26</v>
      </c>
      <c r="L1547" s="25" t="s">
        <v>68</v>
      </c>
      <c r="M1547" s="24">
        <v>40909</v>
      </c>
      <c r="N1547" s="25" t="s">
        <v>77</v>
      </c>
      <c r="O1547" t="s">
        <v>26</v>
      </c>
      <c r="P1547" s="24">
        <v>40544</v>
      </c>
      <c r="Q1547" s="25" t="s">
        <v>77</v>
      </c>
      <c r="R1547" t="s">
        <v>26</v>
      </c>
      <c r="S1547" t="s">
        <v>26</v>
      </c>
      <c r="T1547" t="s">
        <v>26</v>
      </c>
      <c r="U1547" t="s">
        <v>26</v>
      </c>
      <c r="V1547" s="25">
        <v>365</v>
      </c>
      <c r="W1547" s="24">
        <v>40544</v>
      </c>
      <c r="X1547" s="25" t="s">
        <v>77</v>
      </c>
      <c r="Y1547" t="s">
        <v>26</v>
      </c>
      <c r="Z1547" s="24">
        <v>40544</v>
      </c>
      <c r="AA1547" s="25" t="s">
        <v>77</v>
      </c>
      <c r="AB1547" t="s">
        <v>26</v>
      </c>
      <c r="AC1547" s="24">
        <v>40544</v>
      </c>
      <c r="AD1547" s="25" t="s">
        <v>77</v>
      </c>
      <c r="AE1547" t="s">
        <v>26</v>
      </c>
      <c r="AF1547" t="s">
        <v>26</v>
      </c>
      <c r="AG1547" t="s">
        <v>26</v>
      </c>
      <c r="AH1547" t="s">
        <v>26</v>
      </c>
      <c r="AI1547" t="s">
        <v>26</v>
      </c>
      <c r="AJ1547" t="s">
        <v>26</v>
      </c>
      <c r="AK1547" t="s">
        <v>26</v>
      </c>
      <c r="AL1547" t="s">
        <v>26</v>
      </c>
      <c r="AM1547" t="s">
        <v>26</v>
      </c>
      <c r="AN1547" t="s">
        <v>26</v>
      </c>
      <c r="AO1547" s="25" t="s">
        <v>68</v>
      </c>
      <c r="AP1547" s="23" t="s">
        <v>69</v>
      </c>
      <c r="AQ1547" s="23" t="s">
        <v>30</v>
      </c>
      <c r="AR1547" s="23" t="s">
        <v>1190</v>
      </c>
      <c r="AS1547" s="25">
        <v>1386339</v>
      </c>
      <c r="AT1547" t="s">
        <v>26</v>
      </c>
      <c r="AU1547" t="s">
        <v>24270</v>
      </c>
    </row>
    <row r="1548" spans="1:47" ht="26.25" x14ac:dyDescent="0.4">
      <c r="A1548" s="23" t="s">
        <v>3962</v>
      </c>
      <c r="B1548" t="s">
        <v>26</v>
      </c>
      <c r="C1548" s="23" t="s">
        <v>3963</v>
      </c>
      <c r="D1548" s="23" t="s">
        <v>24271</v>
      </c>
      <c r="E1548" s="23" t="s">
        <v>60</v>
      </c>
      <c r="F1548" s="25" t="s">
        <v>3964</v>
      </c>
      <c r="G1548" t="s">
        <v>26</v>
      </c>
      <c r="H1548" t="s">
        <v>26</v>
      </c>
      <c r="I1548" t="s">
        <v>26</v>
      </c>
      <c r="J1548" t="s">
        <v>26</v>
      </c>
      <c r="K1548" t="s">
        <v>26</v>
      </c>
      <c r="L1548" s="25" t="s">
        <v>68</v>
      </c>
      <c r="M1548" t="s">
        <v>26</v>
      </c>
      <c r="N1548" t="s">
        <v>26</v>
      </c>
      <c r="O1548" t="s">
        <v>26</v>
      </c>
      <c r="P1548" t="s">
        <v>26</v>
      </c>
      <c r="Q1548" t="s">
        <v>26</v>
      </c>
      <c r="R1548" t="s">
        <v>26</v>
      </c>
      <c r="S1548" t="s">
        <v>26</v>
      </c>
      <c r="T1548" t="s">
        <v>26</v>
      </c>
      <c r="U1548" t="s">
        <v>26</v>
      </c>
      <c r="V1548" t="s">
        <v>26</v>
      </c>
      <c r="W1548" s="24">
        <v>42339</v>
      </c>
      <c r="X1548" s="24">
        <v>42795</v>
      </c>
      <c r="Y1548" t="s">
        <v>26</v>
      </c>
      <c r="Z1548" s="24">
        <v>42339</v>
      </c>
      <c r="AA1548" s="24">
        <v>42795</v>
      </c>
      <c r="AB1548" t="s">
        <v>26</v>
      </c>
      <c r="AC1548" s="24">
        <v>42339</v>
      </c>
      <c r="AD1548" s="24">
        <v>42795</v>
      </c>
      <c r="AE1548" t="s">
        <v>26</v>
      </c>
      <c r="AF1548" t="s">
        <v>26</v>
      </c>
      <c r="AG1548" t="s">
        <v>26</v>
      </c>
      <c r="AH1548" t="s">
        <v>26</v>
      </c>
      <c r="AI1548" t="s">
        <v>26</v>
      </c>
      <c r="AJ1548" t="s">
        <v>26</v>
      </c>
      <c r="AK1548" t="s">
        <v>26</v>
      </c>
      <c r="AL1548" t="s">
        <v>26</v>
      </c>
      <c r="AM1548" t="s">
        <v>26</v>
      </c>
      <c r="AN1548" t="s">
        <v>26</v>
      </c>
      <c r="AO1548" s="25" t="s">
        <v>68</v>
      </c>
      <c r="AP1548" s="23" t="s">
        <v>69</v>
      </c>
      <c r="AQ1548" s="23" t="s">
        <v>30</v>
      </c>
      <c r="AR1548" s="23" t="s">
        <v>1046</v>
      </c>
      <c r="AS1548" s="25">
        <v>2033169</v>
      </c>
      <c r="AT1548" t="s">
        <v>26</v>
      </c>
      <c r="AU1548" t="s">
        <v>24272</v>
      </c>
    </row>
    <row r="1549" spans="1:47" ht="26.25" x14ac:dyDescent="0.4">
      <c r="A1549" s="23" t="s">
        <v>3965</v>
      </c>
      <c r="B1549" t="s">
        <v>26</v>
      </c>
      <c r="C1549" s="23" t="s">
        <v>107</v>
      </c>
      <c r="D1549" s="23" t="s">
        <v>22194</v>
      </c>
      <c r="E1549" s="23" t="s">
        <v>42</v>
      </c>
      <c r="F1549" s="25" t="s">
        <v>3966</v>
      </c>
      <c r="G1549" s="25" t="s">
        <v>3967</v>
      </c>
      <c r="H1549" t="s">
        <v>26</v>
      </c>
      <c r="I1549" t="s">
        <v>26</v>
      </c>
      <c r="J1549" t="s">
        <v>26</v>
      </c>
      <c r="K1549" t="s">
        <v>26</v>
      </c>
      <c r="L1549" s="25" t="s">
        <v>68</v>
      </c>
      <c r="M1549" t="s">
        <v>26</v>
      </c>
      <c r="N1549" t="s">
        <v>26</v>
      </c>
      <c r="O1549" t="s">
        <v>26</v>
      </c>
      <c r="P1549" t="s">
        <v>26</v>
      </c>
      <c r="Q1549" t="s">
        <v>26</v>
      </c>
      <c r="R1549" t="s">
        <v>26</v>
      </c>
      <c r="S1549" t="s">
        <v>26</v>
      </c>
      <c r="T1549" t="s">
        <v>26</v>
      </c>
      <c r="U1549" t="s">
        <v>26</v>
      </c>
      <c r="V1549" t="s">
        <v>26</v>
      </c>
      <c r="W1549" s="24">
        <v>33664</v>
      </c>
      <c r="X1549" s="25" t="s">
        <v>77</v>
      </c>
      <c r="Y1549" t="s">
        <v>26</v>
      </c>
      <c r="Z1549" s="24">
        <v>33664</v>
      </c>
      <c r="AA1549" s="25" t="s">
        <v>77</v>
      </c>
      <c r="AB1549" t="s">
        <v>26</v>
      </c>
      <c r="AC1549" s="24">
        <v>33664</v>
      </c>
      <c r="AD1549" s="25" t="s">
        <v>77</v>
      </c>
      <c r="AE1549" t="s">
        <v>26</v>
      </c>
      <c r="AF1549" t="s">
        <v>26</v>
      </c>
      <c r="AG1549" t="s">
        <v>26</v>
      </c>
      <c r="AH1549" t="s">
        <v>26</v>
      </c>
      <c r="AI1549" t="s">
        <v>26</v>
      </c>
      <c r="AJ1549" t="s">
        <v>26</v>
      </c>
      <c r="AK1549" t="s">
        <v>26</v>
      </c>
      <c r="AL1549" t="s">
        <v>26</v>
      </c>
      <c r="AM1549" t="s">
        <v>26</v>
      </c>
      <c r="AN1549" t="s">
        <v>26</v>
      </c>
      <c r="AO1549" s="25" t="s">
        <v>68</v>
      </c>
      <c r="AP1549" s="23" t="s">
        <v>69</v>
      </c>
      <c r="AQ1549" s="23" t="s">
        <v>30</v>
      </c>
      <c r="AR1549" s="23" t="s">
        <v>257</v>
      </c>
      <c r="AS1549" s="25">
        <v>48985</v>
      </c>
      <c r="AT1549" t="s">
        <v>26</v>
      </c>
      <c r="AU1549" t="s">
        <v>24273</v>
      </c>
    </row>
    <row r="1550" spans="1:47" ht="26.25" x14ac:dyDescent="0.4">
      <c r="A1550" s="23" t="s">
        <v>3968</v>
      </c>
      <c r="B1550" t="s">
        <v>26</v>
      </c>
      <c r="C1550" s="23" t="s">
        <v>73</v>
      </c>
      <c r="D1550" s="23" t="s">
        <v>22211</v>
      </c>
      <c r="E1550" s="23" t="s">
        <v>74</v>
      </c>
      <c r="F1550" s="25" t="s">
        <v>3969</v>
      </c>
      <c r="G1550" s="25" t="s">
        <v>3970</v>
      </c>
      <c r="H1550" t="s">
        <v>26</v>
      </c>
      <c r="I1550" s="24">
        <v>35490</v>
      </c>
      <c r="J1550" s="25" t="s">
        <v>77</v>
      </c>
      <c r="K1550" t="s">
        <v>26</v>
      </c>
      <c r="L1550" s="25" t="s">
        <v>68</v>
      </c>
      <c r="M1550" s="24">
        <v>38047</v>
      </c>
      <c r="N1550" s="24">
        <v>42795</v>
      </c>
      <c r="O1550" t="s">
        <v>26</v>
      </c>
      <c r="P1550" s="24">
        <v>35490</v>
      </c>
      <c r="Q1550" s="25" t="s">
        <v>77</v>
      </c>
      <c r="R1550" t="s">
        <v>26</v>
      </c>
      <c r="S1550" t="s">
        <v>26</v>
      </c>
      <c r="T1550" t="s">
        <v>26</v>
      </c>
      <c r="U1550" t="s">
        <v>26</v>
      </c>
      <c r="V1550" s="25">
        <v>365</v>
      </c>
      <c r="W1550" s="24">
        <v>35490</v>
      </c>
      <c r="X1550" s="25" t="s">
        <v>77</v>
      </c>
      <c r="Y1550" t="s">
        <v>26</v>
      </c>
      <c r="Z1550" s="24">
        <v>35490</v>
      </c>
      <c r="AA1550" s="25" t="s">
        <v>77</v>
      </c>
      <c r="AB1550" t="s">
        <v>26</v>
      </c>
      <c r="AC1550" s="24">
        <v>35490</v>
      </c>
      <c r="AD1550" s="25" t="s">
        <v>77</v>
      </c>
      <c r="AE1550" t="s">
        <v>26</v>
      </c>
      <c r="AF1550" t="s">
        <v>26</v>
      </c>
      <c r="AG1550" t="s">
        <v>26</v>
      </c>
      <c r="AH1550" t="s">
        <v>26</v>
      </c>
      <c r="AI1550" t="s">
        <v>26</v>
      </c>
      <c r="AJ1550" t="s">
        <v>26</v>
      </c>
      <c r="AK1550" t="s">
        <v>26</v>
      </c>
      <c r="AL1550" t="s">
        <v>26</v>
      </c>
      <c r="AM1550" t="s">
        <v>26</v>
      </c>
      <c r="AN1550" t="s">
        <v>26</v>
      </c>
      <c r="AO1550" s="25" t="s">
        <v>68</v>
      </c>
      <c r="AP1550" s="23" t="s">
        <v>69</v>
      </c>
      <c r="AQ1550" s="23" t="s">
        <v>30</v>
      </c>
      <c r="AR1550" s="23" t="s">
        <v>3971</v>
      </c>
      <c r="AS1550" s="25">
        <v>54159</v>
      </c>
      <c r="AT1550" t="s">
        <v>26</v>
      </c>
      <c r="AU1550" t="s">
        <v>24274</v>
      </c>
    </row>
    <row r="1551" spans="1:47" ht="26.25" x14ac:dyDescent="0.4">
      <c r="A1551" s="23" t="s">
        <v>3972</v>
      </c>
      <c r="B1551" t="s">
        <v>26</v>
      </c>
      <c r="C1551" s="23" t="s">
        <v>351</v>
      </c>
      <c r="D1551" s="23" t="s">
        <v>22703</v>
      </c>
      <c r="E1551" s="23" t="s">
        <v>60</v>
      </c>
      <c r="F1551" s="25" t="s">
        <v>3973</v>
      </c>
      <c r="G1551" s="25" t="s">
        <v>3974</v>
      </c>
      <c r="H1551" t="s">
        <v>26</v>
      </c>
      <c r="I1551" t="s">
        <v>26</v>
      </c>
      <c r="J1551" t="s">
        <v>26</v>
      </c>
      <c r="K1551" t="s">
        <v>26</v>
      </c>
      <c r="L1551" s="25" t="s">
        <v>68</v>
      </c>
      <c r="M1551" t="s">
        <v>26</v>
      </c>
      <c r="N1551" t="s">
        <v>26</v>
      </c>
      <c r="O1551" t="s">
        <v>26</v>
      </c>
      <c r="P1551" t="s">
        <v>26</v>
      </c>
      <c r="Q1551" t="s">
        <v>26</v>
      </c>
      <c r="R1551" t="s">
        <v>26</v>
      </c>
      <c r="S1551" t="s">
        <v>26</v>
      </c>
      <c r="T1551" t="s">
        <v>26</v>
      </c>
      <c r="U1551" t="s">
        <v>26</v>
      </c>
      <c r="V1551" t="s">
        <v>26</v>
      </c>
      <c r="W1551" s="24">
        <v>36161</v>
      </c>
      <c r="X1551" s="24">
        <v>42461</v>
      </c>
      <c r="Y1551" t="s">
        <v>26</v>
      </c>
      <c r="Z1551" s="24">
        <v>36161</v>
      </c>
      <c r="AA1551" s="24">
        <v>42461</v>
      </c>
      <c r="AB1551" t="s">
        <v>26</v>
      </c>
      <c r="AC1551" s="24">
        <v>36161</v>
      </c>
      <c r="AD1551" s="24">
        <v>42461</v>
      </c>
      <c r="AE1551" t="s">
        <v>26</v>
      </c>
      <c r="AF1551" t="s">
        <v>26</v>
      </c>
      <c r="AG1551" t="s">
        <v>26</v>
      </c>
      <c r="AH1551" t="s">
        <v>26</v>
      </c>
      <c r="AI1551" t="s">
        <v>26</v>
      </c>
      <c r="AJ1551" t="s">
        <v>26</v>
      </c>
      <c r="AK1551" t="s">
        <v>26</v>
      </c>
      <c r="AL1551" t="s">
        <v>26</v>
      </c>
      <c r="AM1551" t="s">
        <v>26</v>
      </c>
      <c r="AN1551" t="s">
        <v>26</v>
      </c>
      <c r="AO1551" s="25" t="s">
        <v>68</v>
      </c>
      <c r="AP1551" s="23" t="s">
        <v>69</v>
      </c>
      <c r="AQ1551" s="23" t="s">
        <v>30</v>
      </c>
      <c r="AR1551" s="23" t="s">
        <v>22327</v>
      </c>
      <c r="AS1551" s="25">
        <v>33804</v>
      </c>
      <c r="AT1551" t="s">
        <v>26</v>
      </c>
      <c r="AU1551" t="s">
        <v>24275</v>
      </c>
    </row>
    <row r="1552" spans="1:47" ht="26.25" x14ac:dyDescent="0.4">
      <c r="A1552" s="23" t="s">
        <v>3975</v>
      </c>
      <c r="B1552" t="s">
        <v>26</v>
      </c>
      <c r="C1552" s="23" t="s">
        <v>102</v>
      </c>
      <c r="D1552" s="23" t="s">
        <v>22192</v>
      </c>
      <c r="E1552" s="23" t="s">
        <v>42</v>
      </c>
      <c r="F1552" s="25" t="s">
        <v>3976</v>
      </c>
      <c r="G1552" s="25" t="s">
        <v>3977</v>
      </c>
      <c r="H1552" t="s">
        <v>26</v>
      </c>
      <c r="I1552" t="s">
        <v>26</v>
      </c>
      <c r="J1552" t="s">
        <v>26</v>
      </c>
      <c r="K1552" t="s">
        <v>26</v>
      </c>
      <c r="L1552" s="25" t="s">
        <v>68</v>
      </c>
      <c r="M1552" t="s">
        <v>26</v>
      </c>
      <c r="N1552" t="s">
        <v>26</v>
      </c>
      <c r="O1552" t="s">
        <v>26</v>
      </c>
      <c r="P1552" t="s">
        <v>26</v>
      </c>
      <c r="Q1552" t="s">
        <v>26</v>
      </c>
      <c r="R1552" t="s">
        <v>26</v>
      </c>
      <c r="S1552" t="s">
        <v>26</v>
      </c>
      <c r="T1552" t="s">
        <v>26</v>
      </c>
      <c r="U1552" t="s">
        <v>26</v>
      </c>
      <c r="V1552" t="s">
        <v>26</v>
      </c>
      <c r="W1552" s="24">
        <v>38139</v>
      </c>
      <c r="X1552" s="25" t="s">
        <v>77</v>
      </c>
      <c r="Y1552" t="s">
        <v>26</v>
      </c>
      <c r="Z1552" s="24">
        <v>38139</v>
      </c>
      <c r="AA1552" s="25" t="s">
        <v>77</v>
      </c>
      <c r="AB1552" t="s">
        <v>26</v>
      </c>
      <c r="AC1552" s="24">
        <v>38139</v>
      </c>
      <c r="AD1552" s="25" t="s">
        <v>77</v>
      </c>
      <c r="AE1552" t="s">
        <v>26</v>
      </c>
      <c r="AF1552" t="s">
        <v>26</v>
      </c>
      <c r="AG1552" t="s">
        <v>26</v>
      </c>
      <c r="AH1552" t="s">
        <v>26</v>
      </c>
      <c r="AI1552" t="s">
        <v>26</v>
      </c>
      <c r="AJ1552" t="s">
        <v>26</v>
      </c>
      <c r="AK1552" t="s">
        <v>26</v>
      </c>
      <c r="AL1552" t="s">
        <v>26</v>
      </c>
      <c r="AM1552" t="s">
        <v>26</v>
      </c>
      <c r="AN1552" t="s">
        <v>26</v>
      </c>
      <c r="AO1552" s="25" t="s">
        <v>68</v>
      </c>
      <c r="AP1552" s="23" t="s">
        <v>69</v>
      </c>
      <c r="AQ1552" s="23" t="s">
        <v>30</v>
      </c>
      <c r="AR1552" s="23" t="s">
        <v>3978</v>
      </c>
      <c r="AS1552" s="25">
        <v>34005</v>
      </c>
      <c r="AT1552" t="s">
        <v>26</v>
      </c>
      <c r="AU1552" t="s">
        <v>24276</v>
      </c>
    </row>
    <row r="1553" spans="1:47" ht="26.25" x14ac:dyDescent="0.4">
      <c r="A1553" s="23" t="s">
        <v>3979</v>
      </c>
      <c r="B1553" t="s">
        <v>26</v>
      </c>
      <c r="C1553" s="23" t="s">
        <v>80</v>
      </c>
      <c r="D1553" s="23" t="s">
        <v>22190</v>
      </c>
      <c r="E1553" s="23" t="s">
        <v>60</v>
      </c>
      <c r="F1553" s="25" t="s">
        <v>3980</v>
      </c>
      <c r="G1553" s="25" t="s">
        <v>3981</v>
      </c>
      <c r="H1553" t="s">
        <v>26</v>
      </c>
      <c r="I1553" t="s">
        <v>26</v>
      </c>
      <c r="J1553" t="s">
        <v>26</v>
      </c>
      <c r="K1553" t="s">
        <v>26</v>
      </c>
      <c r="L1553" s="25" t="s">
        <v>68</v>
      </c>
      <c r="M1553" t="s">
        <v>26</v>
      </c>
      <c r="N1553" t="s">
        <v>26</v>
      </c>
      <c r="O1553" t="s">
        <v>26</v>
      </c>
      <c r="P1553" t="s">
        <v>26</v>
      </c>
      <c r="Q1553" t="s">
        <v>26</v>
      </c>
      <c r="R1553" t="s">
        <v>26</v>
      </c>
      <c r="S1553" t="s">
        <v>26</v>
      </c>
      <c r="T1553" t="s">
        <v>26</v>
      </c>
      <c r="U1553" t="s">
        <v>26</v>
      </c>
      <c r="V1553" t="s">
        <v>26</v>
      </c>
      <c r="W1553" s="24">
        <v>42278</v>
      </c>
      <c r="X1553" s="25" t="s">
        <v>77</v>
      </c>
      <c r="Y1553" t="s">
        <v>26</v>
      </c>
      <c r="Z1553" s="24">
        <v>42278</v>
      </c>
      <c r="AA1553" s="25" t="s">
        <v>77</v>
      </c>
      <c r="AB1553" t="s">
        <v>26</v>
      </c>
      <c r="AC1553" s="24">
        <v>42278</v>
      </c>
      <c r="AD1553" s="25" t="s">
        <v>77</v>
      </c>
      <c r="AE1553" t="s">
        <v>26</v>
      </c>
      <c r="AF1553" t="s">
        <v>26</v>
      </c>
      <c r="AG1553" t="s">
        <v>26</v>
      </c>
      <c r="AH1553" t="s">
        <v>26</v>
      </c>
      <c r="AI1553" t="s">
        <v>26</v>
      </c>
      <c r="AJ1553" t="s">
        <v>26</v>
      </c>
      <c r="AK1553" t="s">
        <v>26</v>
      </c>
      <c r="AL1553" t="s">
        <v>26</v>
      </c>
      <c r="AM1553" t="s">
        <v>26</v>
      </c>
      <c r="AN1553" t="s">
        <v>26</v>
      </c>
      <c r="AO1553" s="25" t="s">
        <v>68</v>
      </c>
      <c r="AP1553" s="23" t="s">
        <v>69</v>
      </c>
      <c r="AQ1553" s="23" t="s">
        <v>30</v>
      </c>
      <c r="AR1553" s="23" t="s">
        <v>24277</v>
      </c>
      <c r="AS1553" s="25">
        <v>2040110</v>
      </c>
      <c r="AT1553" t="s">
        <v>26</v>
      </c>
      <c r="AU1553" t="s">
        <v>24278</v>
      </c>
    </row>
    <row r="1554" spans="1:47" ht="26.25" x14ac:dyDescent="0.4">
      <c r="A1554" s="23" t="s">
        <v>3982</v>
      </c>
      <c r="B1554" t="s">
        <v>26</v>
      </c>
      <c r="C1554" s="23" t="s">
        <v>107</v>
      </c>
      <c r="D1554" s="23" t="s">
        <v>22312</v>
      </c>
      <c r="E1554" s="23" t="s">
        <v>42</v>
      </c>
      <c r="F1554" s="25" t="s">
        <v>3983</v>
      </c>
      <c r="G1554" s="25" t="s">
        <v>3984</v>
      </c>
      <c r="H1554" t="s">
        <v>26</v>
      </c>
      <c r="I1554" s="24">
        <v>37073</v>
      </c>
      <c r="J1554" s="24">
        <v>40238</v>
      </c>
      <c r="K1554" t="s">
        <v>26</v>
      </c>
      <c r="L1554" s="25" t="s">
        <v>68</v>
      </c>
      <c r="M1554" s="24">
        <v>37073</v>
      </c>
      <c r="N1554" s="24">
        <v>39783</v>
      </c>
      <c r="O1554" t="s">
        <v>26</v>
      </c>
      <c r="P1554" s="24">
        <v>37073</v>
      </c>
      <c r="Q1554" s="24">
        <v>40238</v>
      </c>
      <c r="R1554" t="s">
        <v>26</v>
      </c>
      <c r="S1554" t="s">
        <v>26</v>
      </c>
      <c r="T1554" t="s">
        <v>26</v>
      </c>
      <c r="U1554" t="s">
        <v>26</v>
      </c>
      <c r="V1554" t="s">
        <v>26</v>
      </c>
      <c r="W1554" s="24">
        <v>32964</v>
      </c>
      <c r="X1554" s="25" t="s">
        <v>77</v>
      </c>
      <c r="Y1554" t="s">
        <v>26</v>
      </c>
      <c r="Z1554" s="24">
        <v>32964</v>
      </c>
      <c r="AA1554" s="25" t="s">
        <v>77</v>
      </c>
      <c r="AB1554" t="s">
        <v>26</v>
      </c>
      <c r="AC1554" s="24">
        <v>37347</v>
      </c>
      <c r="AD1554" s="25" t="s">
        <v>77</v>
      </c>
      <c r="AE1554" t="s">
        <v>26</v>
      </c>
      <c r="AF1554" t="s">
        <v>26</v>
      </c>
      <c r="AG1554" t="s">
        <v>26</v>
      </c>
      <c r="AH1554" t="s">
        <v>26</v>
      </c>
      <c r="AI1554" t="s">
        <v>26</v>
      </c>
      <c r="AJ1554" t="s">
        <v>26</v>
      </c>
      <c r="AK1554" t="s">
        <v>26</v>
      </c>
      <c r="AL1554" t="s">
        <v>26</v>
      </c>
      <c r="AM1554" t="s">
        <v>26</v>
      </c>
      <c r="AN1554" t="s">
        <v>26</v>
      </c>
      <c r="AO1554" s="25" t="s">
        <v>68</v>
      </c>
      <c r="AP1554" s="23" t="s">
        <v>69</v>
      </c>
      <c r="AQ1554" s="23" t="s">
        <v>30</v>
      </c>
      <c r="AR1554" s="23" t="s">
        <v>24279</v>
      </c>
      <c r="AS1554" s="25">
        <v>26334</v>
      </c>
      <c r="AT1554" t="s">
        <v>26</v>
      </c>
      <c r="AU1554" t="s">
        <v>24280</v>
      </c>
    </row>
    <row r="1555" spans="1:47" ht="26.25" x14ac:dyDescent="0.4">
      <c r="A1555" s="23" t="s">
        <v>3985</v>
      </c>
      <c r="B1555" t="s">
        <v>26</v>
      </c>
      <c r="C1555" s="23" t="s">
        <v>3986</v>
      </c>
      <c r="D1555" s="23" t="s">
        <v>22587</v>
      </c>
      <c r="E1555" s="23" t="s">
        <v>42</v>
      </c>
      <c r="F1555" t="s">
        <v>26</v>
      </c>
      <c r="G1555" s="25" t="s">
        <v>3987</v>
      </c>
      <c r="H1555" t="s">
        <v>26</v>
      </c>
      <c r="I1555" s="24">
        <v>40725</v>
      </c>
      <c r="J1555" s="24">
        <v>43831</v>
      </c>
      <c r="K1555" s="25" t="s">
        <v>859</v>
      </c>
      <c r="L1555" s="25" t="s">
        <v>68</v>
      </c>
      <c r="M1555" t="s">
        <v>26</v>
      </c>
      <c r="N1555" t="s">
        <v>26</v>
      </c>
      <c r="O1555" t="s">
        <v>26</v>
      </c>
      <c r="P1555" s="24">
        <v>40725</v>
      </c>
      <c r="Q1555" s="24">
        <v>43831</v>
      </c>
      <c r="R1555" s="25" t="s">
        <v>859</v>
      </c>
      <c r="S1555" t="s">
        <v>26</v>
      </c>
      <c r="T1555" t="s">
        <v>26</v>
      </c>
      <c r="U1555" t="s">
        <v>26</v>
      </c>
      <c r="V1555" t="s">
        <v>26</v>
      </c>
      <c r="W1555" s="24">
        <v>40725</v>
      </c>
      <c r="X1555" s="24">
        <v>43831</v>
      </c>
      <c r="Y1555" s="25" t="s">
        <v>859</v>
      </c>
      <c r="Z1555" s="24">
        <v>40725</v>
      </c>
      <c r="AA1555" s="24">
        <v>43831</v>
      </c>
      <c r="AB1555" s="25" t="s">
        <v>859</v>
      </c>
      <c r="AC1555" s="24">
        <v>40725</v>
      </c>
      <c r="AD1555" s="24">
        <v>43831</v>
      </c>
      <c r="AE1555" s="25" t="s">
        <v>859</v>
      </c>
      <c r="AF1555" t="s">
        <v>26</v>
      </c>
      <c r="AG1555" t="s">
        <v>26</v>
      </c>
      <c r="AH1555" t="s">
        <v>26</v>
      </c>
      <c r="AI1555" t="s">
        <v>26</v>
      </c>
      <c r="AJ1555" t="s">
        <v>26</v>
      </c>
      <c r="AK1555" t="s">
        <v>26</v>
      </c>
      <c r="AL1555" t="s">
        <v>26</v>
      </c>
      <c r="AM1555" t="s">
        <v>26</v>
      </c>
      <c r="AN1555" t="s">
        <v>26</v>
      </c>
      <c r="AO1555" s="25" t="s">
        <v>68</v>
      </c>
      <c r="AP1555" s="23" t="s">
        <v>69</v>
      </c>
      <c r="AQ1555" s="23" t="s">
        <v>30</v>
      </c>
      <c r="AR1555" s="23" t="s">
        <v>2966</v>
      </c>
      <c r="AS1555" s="25">
        <v>2026889</v>
      </c>
      <c r="AT1555" t="s">
        <v>26</v>
      </c>
      <c r="AU1555" t="s">
        <v>24281</v>
      </c>
    </row>
    <row r="1556" spans="1:47" ht="26.25" x14ac:dyDescent="0.4">
      <c r="A1556" s="23" t="s">
        <v>3988</v>
      </c>
      <c r="B1556" t="s">
        <v>26</v>
      </c>
      <c r="C1556" s="23" t="s">
        <v>1958</v>
      </c>
      <c r="D1556" s="23" t="s">
        <v>22179</v>
      </c>
      <c r="E1556" s="23" t="s">
        <v>60</v>
      </c>
      <c r="F1556" s="25" t="s">
        <v>3989</v>
      </c>
      <c r="G1556" s="25" t="s">
        <v>3990</v>
      </c>
      <c r="H1556" t="s">
        <v>26</v>
      </c>
      <c r="I1556" t="s">
        <v>26</v>
      </c>
      <c r="J1556" t="s">
        <v>26</v>
      </c>
      <c r="K1556" t="s">
        <v>26</v>
      </c>
      <c r="L1556" s="25" t="s">
        <v>68</v>
      </c>
      <c r="M1556" t="s">
        <v>26</v>
      </c>
      <c r="N1556" t="s">
        <v>26</v>
      </c>
      <c r="O1556" t="s">
        <v>26</v>
      </c>
      <c r="P1556" t="s">
        <v>26</v>
      </c>
      <c r="Q1556" t="s">
        <v>26</v>
      </c>
      <c r="R1556" t="s">
        <v>26</v>
      </c>
      <c r="S1556" t="s">
        <v>26</v>
      </c>
      <c r="T1556" t="s">
        <v>26</v>
      </c>
      <c r="U1556" t="s">
        <v>26</v>
      </c>
      <c r="V1556" t="s">
        <v>26</v>
      </c>
      <c r="W1556" s="24">
        <v>28398</v>
      </c>
      <c r="X1556" s="25" t="s">
        <v>77</v>
      </c>
      <c r="Y1556" t="s">
        <v>26</v>
      </c>
      <c r="Z1556" s="24">
        <v>28398</v>
      </c>
      <c r="AA1556" s="25" t="s">
        <v>77</v>
      </c>
      <c r="AB1556" t="s">
        <v>26</v>
      </c>
      <c r="AC1556" s="24">
        <v>28398</v>
      </c>
      <c r="AD1556" s="25" t="s">
        <v>77</v>
      </c>
      <c r="AE1556" t="s">
        <v>26</v>
      </c>
      <c r="AF1556" t="s">
        <v>26</v>
      </c>
      <c r="AG1556" t="s">
        <v>26</v>
      </c>
      <c r="AH1556" t="s">
        <v>26</v>
      </c>
      <c r="AI1556" t="s">
        <v>26</v>
      </c>
      <c r="AJ1556" t="s">
        <v>26</v>
      </c>
      <c r="AK1556" t="s">
        <v>26</v>
      </c>
      <c r="AL1556" t="s">
        <v>26</v>
      </c>
      <c r="AM1556" t="s">
        <v>26</v>
      </c>
      <c r="AN1556" t="s">
        <v>26</v>
      </c>
      <c r="AO1556" s="25" t="s">
        <v>68</v>
      </c>
      <c r="AP1556" s="23" t="s">
        <v>69</v>
      </c>
      <c r="AQ1556" s="23" t="s">
        <v>30</v>
      </c>
      <c r="AR1556" s="23" t="s">
        <v>3991</v>
      </c>
      <c r="AS1556" s="25">
        <v>11381</v>
      </c>
      <c r="AT1556" t="s">
        <v>26</v>
      </c>
      <c r="AU1556" t="s">
        <v>24282</v>
      </c>
    </row>
    <row r="1557" spans="1:47" ht="26.25" x14ac:dyDescent="0.4">
      <c r="A1557" s="23" t="s">
        <v>3992</v>
      </c>
      <c r="B1557" t="s">
        <v>26</v>
      </c>
      <c r="C1557" s="23" t="s">
        <v>789</v>
      </c>
      <c r="D1557" s="23" t="s">
        <v>22492</v>
      </c>
      <c r="E1557" s="23" t="s">
        <v>42</v>
      </c>
      <c r="F1557" t="s">
        <v>26</v>
      </c>
      <c r="G1557" t="s">
        <v>26</v>
      </c>
      <c r="H1557" t="s">
        <v>26</v>
      </c>
      <c r="I1557" s="24">
        <v>40544</v>
      </c>
      <c r="J1557" s="24">
        <v>42186</v>
      </c>
      <c r="K1557" t="s">
        <v>26</v>
      </c>
      <c r="L1557" s="25" t="s">
        <v>68</v>
      </c>
      <c r="M1557" s="24">
        <v>40544</v>
      </c>
      <c r="N1557" s="24">
        <v>42186</v>
      </c>
      <c r="O1557" t="s">
        <v>26</v>
      </c>
      <c r="P1557" s="24">
        <v>40544</v>
      </c>
      <c r="Q1557" s="24">
        <v>42186</v>
      </c>
      <c r="R1557" t="s">
        <v>26</v>
      </c>
      <c r="S1557" t="s">
        <v>26</v>
      </c>
      <c r="T1557" t="s">
        <v>26</v>
      </c>
      <c r="U1557" t="s">
        <v>26</v>
      </c>
      <c r="V1557" t="s">
        <v>26</v>
      </c>
      <c r="W1557" s="24">
        <v>40544</v>
      </c>
      <c r="X1557" s="24">
        <v>42186</v>
      </c>
      <c r="Y1557" t="s">
        <v>26</v>
      </c>
      <c r="Z1557" s="24">
        <v>40544</v>
      </c>
      <c r="AA1557" s="24">
        <v>42186</v>
      </c>
      <c r="AB1557" t="s">
        <v>26</v>
      </c>
      <c r="AC1557" s="24">
        <v>40544</v>
      </c>
      <c r="AD1557" s="24">
        <v>42186</v>
      </c>
      <c r="AE1557" t="s">
        <v>26</v>
      </c>
      <c r="AF1557" t="s">
        <v>26</v>
      </c>
      <c r="AG1557" t="s">
        <v>26</v>
      </c>
      <c r="AH1557" t="s">
        <v>26</v>
      </c>
      <c r="AI1557" t="s">
        <v>26</v>
      </c>
      <c r="AJ1557" t="s">
        <v>26</v>
      </c>
      <c r="AK1557" t="s">
        <v>26</v>
      </c>
      <c r="AL1557" t="s">
        <v>26</v>
      </c>
      <c r="AM1557" t="s">
        <v>26</v>
      </c>
      <c r="AN1557" t="s">
        <v>26</v>
      </c>
      <c r="AO1557" s="25" t="s">
        <v>68</v>
      </c>
      <c r="AP1557" s="23" t="s">
        <v>69</v>
      </c>
      <c r="AQ1557" s="23" t="s">
        <v>30</v>
      </c>
      <c r="AR1557" s="23" t="s">
        <v>3993</v>
      </c>
      <c r="AS1557" s="25">
        <v>2034843</v>
      </c>
      <c r="AT1557" t="s">
        <v>26</v>
      </c>
      <c r="AU1557" t="s">
        <v>24283</v>
      </c>
    </row>
    <row r="1558" spans="1:47" ht="26.25" x14ac:dyDescent="0.4">
      <c r="A1558" s="23" t="s">
        <v>3994</v>
      </c>
      <c r="B1558" t="s">
        <v>26</v>
      </c>
      <c r="C1558" s="23" t="s">
        <v>181</v>
      </c>
      <c r="D1558" s="23" t="s">
        <v>22174</v>
      </c>
      <c r="E1558" s="23" t="s">
        <v>60</v>
      </c>
      <c r="F1558" s="25" t="s">
        <v>3995</v>
      </c>
      <c r="G1558" s="25" t="s">
        <v>3996</v>
      </c>
      <c r="H1558" t="s">
        <v>26</v>
      </c>
      <c r="I1558" t="s">
        <v>26</v>
      </c>
      <c r="J1558" t="s">
        <v>26</v>
      </c>
      <c r="K1558" t="s">
        <v>26</v>
      </c>
      <c r="L1558" s="25" t="s">
        <v>68</v>
      </c>
      <c r="M1558" t="s">
        <v>26</v>
      </c>
      <c r="N1558" t="s">
        <v>26</v>
      </c>
      <c r="O1558" t="s">
        <v>26</v>
      </c>
      <c r="P1558" t="s">
        <v>26</v>
      </c>
      <c r="Q1558" t="s">
        <v>26</v>
      </c>
      <c r="R1558" t="s">
        <v>26</v>
      </c>
      <c r="S1558" t="s">
        <v>26</v>
      </c>
      <c r="T1558" t="s">
        <v>26</v>
      </c>
      <c r="U1558" t="s">
        <v>26</v>
      </c>
      <c r="V1558" t="s">
        <v>26</v>
      </c>
      <c r="W1558" s="24">
        <v>25993</v>
      </c>
      <c r="X1558" s="25" t="s">
        <v>77</v>
      </c>
      <c r="Y1558" s="25" t="s">
        <v>833</v>
      </c>
      <c r="Z1558" s="24">
        <v>25993</v>
      </c>
      <c r="AA1558" s="25" t="s">
        <v>77</v>
      </c>
      <c r="AB1558" s="25" t="s">
        <v>833</v>
      </c>
      <c r="AC1558" s="24">
        <v>25993</v>
      </c>
      <c r="AD1558" s="25" t="s">
        <v>77</v>
      </c>
      <c r="AE1558" s="25" t="s">
        <v>833</v>
      </c>
      <c r="AF1558" t="s">
        <v>26</v>
      </c>
      <c r="AG1558" t="s">
        <v>26</v>
      </c>
      <c r="AH1558" t="s">
        <v>26</v>
      </c>
      <c r="AI1558" t="s">
        <v>26</v>
      </c>
      <c r="AJ1558" t="s">
        <v>26</v>
      </c>
      <c r="AK1558" t="s">
        <v>26</v>
      </c>
      <c r="AL1558" t="s">
        <v>26</v>
      </c>
      <c r="AM1558" t="s">
        <v>26</v>
      </c>
      <c r="AN1558" t="s">
        <v>26</v>
      </c>
      <c r="AO1558" s="25" t="s">
        <v>68</v>
      </c>
      <c r="AP1558" s="23" t="s">
        <v>69</v>
      </c>
      <c r="AQ1558" s="23" t="s">
        <v>30</v>
      </c>
      <c r="AR1558" s="23" t="s">
        <v>2104</v>
      </c>
      <c r="AS1558" s="25">
        <v>105520</v>
      </c>
      <c r="AT1558" t="s">
        <v>26</v>
      </c>
      <c r="AU1558" t="s">
        <v>24284</v>
      </c>
    </row>
    <row r="1559" spans="1:47" ht="26.25" x14ac:dyDescent="0.4">
      <c r="A1559" s="23" t="s">
        <v>3997</v>
      </c>
      <c r="B1559" t="s">
        <v>26</v>
      </c>
      <c r="C1559" s="23" t="s">
        <v>107</v>
      </c>
      <c r="D1559" s="23" t="s">
        <v>22194</v>
      </c>
      <c r="E1559" s="23" t="s">
        <v>42</v>
      </c>
      <c r="F1559" s="25" t="s">
        <v>3998</v>
      </c>
      <c r="G1559" s="25" t="s">
        <v>3999</v>
      </c>
      <c r="H1559" t="s">
        <v>26</v>
      </c>
      <c r="I1559" s="24">
        <v>25934</v>
      </c>
      <c r="J1559" s="24">
        <v>43374</v>
      </c>
      <c r="K1559" s="25" t="s">
        <v>4000</v>
      </c>
      <c r="L1559" s="25" t="s">
        <v>68</v>
      </c>
      <c r="M1559" s="24">
        <v>25934</v>
      </c>
      <c r="N1559" s="24">
        <v>43374</v>
      </c>
      <c r="O1559" s="25" t="s">
        <v>24285</v>
      </c>
      <c r="P1559" s="24">
        <v>25934</v>
      </c>
      <c r="Q1559" s="24">
        <v>43374</v>
      </c>
      <c r="R1559" s="25" t="s">
        <v>24286</v>
      </c>
      <c r="S1559" t="s">
        <v>26</v>
      </c>
      <c r="T1559" t="s">
        <v>26</v>
      </c>
      <c r="U1559" t="s">
        <v>26</v>
      </c>
      <c r="V1559" t="s">
        <v>26</v>
      </c>
      <c r="W1559" s="24">
        <v>25934</v>
      </c>
      <c r="X1559" s="25" t="s">
        <v>77</v>
      </c>
      <c r="Y1559" t="s">
        <v>26</v>
      </c>
      <c r="Z1559" s="24">
        <v>25934</v>
      </c>
      <c r="AA1559" s="25" t="s">
        <v>77</v>
      </c>
      <c r="AB1559" t="s">
        <v>26</v>
      </c>
      <c r="AC1559" s="24">
        <v>25934</v>
      </c>
      <c r="AD1559" s="25" t="s">
        <v>77</v>
      </c>
      <c r="AE1559" t="s">
        <v>26</v>
      </c>
      <c r="AF1559" t="s">
        <v>26</v>
      </c>
      <c r="AG1559" t="s">
        <v>26</v>
      </c>
      <c r="AH1559" t="s">
        <v>26</v>
      </c>
      <c r="AI1559" t="s">
        <v>26</v>
      </c>
      <c r="AJ1559" t="s">
        <v>26</v>
      </c>
      <c r="AK1559" t="s">
        <v>26</v>
      </c>
      <c r="AL1559" t="s">
        <v>26</v>
      </c>
      <c r="AM1559" t="s">
        <v>26</v>
      </c>
      <c r="AN1559" t="s">
        <v>26</v>
      </c>
      <c r="AO1559" s="25" t="s">
        <v>68</v>
      </c>
      <c r="AP1559" s="23" t="s">
        <v>69</v>
      </c>
      <c r="AQ1559" s="23" t="s">
        <v>30</v>
      </c>
      <c r="AR1559" s="23" t="s">
        <v>718</v>
      </c>
      <c r="AS1559" s="25">
        <v>34918</v>
      </c>
      <c r="AT1559" t="s">
        <v>26</v>
      </c>
      <c r="AU1559" t="s">
        <v>24287</v>
      </c>
    </row>
    <row r="1560" spans="1:47" ht="26.25" x14ac:dyDescent="0.4">
      <c r="A1560" s="23" t="s">
        <v>4001</v>
      </c>
      <c r="B1560" t="s">
        <v>26</v>
      </c>
      <c r="C1560" s="23" t="s">
        <v>102</v>
      </c>
      <c r="D1560" s="23" t="s">
        <v>22179</v>
      </c>
      <c r="E1560" s="23" t="s">
        <v>42</v>
      </c>
      <c r="F1560" s="25" t="s">
        <v>4002</v>
      </c>
      <c r="G1560" s="25" t="s">
        <v>4003</v>
      </c>
      <c r="H1560" t="s">
        <v>26</v>
      </c>
      <c r="I1560" t="s">
        <v>26</v>
      </c>
      <c r="J1560" t="s">
        <v>26</v>
      </c>
      <c r="K1560" t="s">
        <v>26</v>
      </c>
      <c r="L1560" s="25" t="s">
        <v>68</v>
      </c>
      <c r="M1560" t="s">
        <v>26</v>
      </c>
      <c r="N1560" t="s">
        <v>26</v>
      </c>
      <c r="O1560" t="s">
        <v>26</v>
      </c>
      <c r="P1560" t="s">
        <v>26</v>
      </c>
      <c r="Q1560" t="s">
        <v>26</v>
      </c>
      <c r="R1560" t="s">
        <v>26</v>
      </c>
      <c r="S1560" t="s">
        <v>26</v>
      </c>
      <c r="T1560" t="s">
        <v>26</v>
      </c>
      <c r="U1560" t="s">
        <v>26</v>
      </c>
      <c r="V1560" t="s">
        <v>26</v>
      </c>
      <c r="W1560" s="24">
        <v>38047</v>
      </c>
      <c r="X1560" s="24">
        <v>44166</v>
      </c>
      <c r="Y1560" t="s">
        <v>26</v>
      </c>
      <c r="Z1560" s="24">
        <v>38047</v>
      </c>
      <c r="AA1560" s="24">
        <v>44166</v>
      </c>
      <c r="AB1560" t="s">
        <v>26</v>
      </c>
      <c r="AC1560" s="24">
        <v>38047</v>
      </c>
      <c r="AD1560" s="24">
        <v>44166</v>
      </c>
      <c r="AE1560" t="s">
        <v>26</v>
      </c>
      <c r="AF1560" t="s">
        <v>26</v>
      </c>
      <c r="AG1560" t="s">
        <v>26</v>
      </c>
      <c r="AH1560" t="s">
        <v>26</v>
      </c>
      <c r="AI1560" t="s">
        <v>26</v>
      </c>
      <c r="AJ1560" t="s">
        <v>26</v>
      </c>
      <c r="AK1560" t="s">
        <v>26</v>
      </c>
      <c r="AL1560" t="s">
        <v>26</v>
      </c>
      <c r="AM1560" t="s">
        <v>26</v>
      </c>
      <c r="AN1560" t="s">
        <v>26</v>
      </c>
      <c r="AO1560" s="25" t="s">
        <v>68</v>
      </c>
      <c r="AP1560" s="23" t="s">
        <v>69</v>
      </c>
      <c r="AQ1560" s="23" t="s">
        <v>30</v>
      </c>
      <c r="AR1560" s="23" t="s">
        <v>70</v>
      </c>
      <c r="AS1560" s="25">
        <v>43095</v>
      </c>
      <c r="AT1560" t="s">
        <v>26</v>
      </c>
      <c r="AU1560" t="s">
        <v>24288</v>
      </c>
    </row>
    <row r="1561" spans="1:47" ht="26.25" x14ac:dyDescent="0.4">
      <c r="A1561" s="23" t="s">
        <v>4004</v>
      </c>
      <c r="B1561" t="s">
        <v>26</v>
      </c>
      <c r="C1561" s="23" t="s">
        <v>1504</v>
      </c>
      <c r="D1561" s="23" t="s">
        <v>22179</v>
      </c>
      <c r="E1561" s="23" t="s">
        <v>42</v>
      </c>
      <c r="F1561" s="25" t="s">
        <v>4005</v>
      </c>
      <c r="G1561" s="25" t="s">
        <v>4006</v>
      </c>
      <c r="H1561" t="s">
        <v>26</v>
      </c>
      <c r="I1561" s="24">
        <v>39448</v>
      </c>
      <c r="J1561" s="24">
        <v>42552</v>
      </c>
      <c r="K1561" t="s">
        <v>26</v>
      </c>
      <c r="L1561" s="25" t="s">
        <v>68</v>
      </c>
      <c r="M1561" s="24">
        <v>39448</v>
      </c>
      <c r="N1561" s="24">
        <v>42552</v>
      </c>
      <c r="O1561" t="s">
        <v>26</v>
      </c>
      <c r="P1561" s="24">
        <v>39448</v>
      </c>
      <c r="Q1561" s="24">
        <v>42552</v>
      </c>
      <c r="R1561" t="s">
        <v>26</v>
      </c>
      <c r="S1561" t="s">
        <v>26</v>
      </c>
      <c r="T1561" t="s">
        <v>26</v>
      </c>
      <c r="U1561" t="s">
        <v>26</v>
      </c>
      <c r="V1561" t="s">
        <v>26</v>
      </c>
      <c r="W1561" s="24">
        <v>39448</v>
      </c>
      <c r="X1561" s="24">
        <v>42552</v>
      </c>
      <c r="Y1561" t="s">
        <v>26</v>
      </c>
      <c r="Z1561" s="24">
        <v>39448</v>
      </c>
      <c r="AA1561" s="24">
        <v>42552</v>
      </c>
      <c r="AB1561" t="s">
        <v>26</v>
      </c>
      <c r="AC1561" t="s">
        <v>26</v>
      </c>
      <c r="AD1561" t="s">
        <v>26</v>
      </c>
      <c r="AE1561" t="s">
        <v>26</v>
      </c>
      <c r="AF1561" t="s">
        <v>26</v>
      </c>
      <c r="AG1561" t="s">
        <v>26</v>
      </c>
      <c r="AH1561" t="s">
        <v>26</v>
      </c>
      <c r="AI1561" t="s">
        <v>26</v>
      </c>
      <c r="AJ1561" t="s">
        <v>26</v>
      </c>
      <c r="AK1561" t="s">
        <v>26</v>
      </c>
      <c r="AL1561" t="s">
        <v>26</v>
      </c>
      <c r="AM1561" t="s">
        <v>26</v>
      </c>
      <c r="AN1561" t="s">
        <v>26</v>
      </c>
      <c r="AO1561" s="25" t="s">
        <v>68</v>
      </c>
      <c r="AP1561" s="23" t="s">
        <v>69</v>
      </c>
      <c r="AQ1561" s="23" t="s">
        <v>30</v>
      </c>
      <c r="AR1561" s="23" t="s">
        <v>70</v>
      </c>
      <c r="AS1561" s="25">
        <v>40348</v>
      </c>
      <c r="AT1561" t="s">
        <v>26</v>
      </c>
      <c r="AU1561" t="s">
        <v>24289</v>
      </c>
    </row>
    <row r="1562" spans="1:47" ht="26.25" x14ac:dyDescent="0.4">
      <c r="A1562" s="23" t="s">
        <v>4007</v>
      </c>
      <c r="B1562" t="s">
        <v>26</v>
      </c>
      <c r="C1562" s="23" t="s">
        <v>107</v>
      </c>
      <c r="D1562" s="23" t="s">
        <v>22194</v>
      </c>
      <c r="E1562" s="23" t="s">
        <v>42</v>
      </c>
      <c r="F1562" s="25" t="s">
        <v>4008</v>
      </c>
      <c r="G1562" s="25" t="s">
        <v>4009</v>
      </c>
      <c r="H1562" t="s">
        <v>26</v>
      </c>
      <c r="I1562" t="s">
        <v>26</v>
      </c>
      <c r="J1562" t="s">
        <v>26</v>
      </c>
      <c r="K1562" t="s">
        <v>26</v>
      </c>
      <c r="L1562" s="25" t="s">
        <v>68</v>
      </c>
      <c r="M1562" t="s">
        <v>26</v>
      </c>
      <c r="N1562" t="s">
        <v>26</v>
      </c>
      <c r="O1562" t="s">
        <v>26</v>
      </c>
      <c r="P1562" t="s">
        <v>26</v>
      </c>
      <c r="Q1562" t="s">
        <v>26</v>
      </c>
      <c r="R1562" t="s">
        <v>26</v>
      </c>
      <c r="S1562" t="s">
        <v>26</v>
      </c>
      <c r="T1562" t="s">
        <v>26</v>
      </c>
      <c r="U1562" t="s">
        <v>26</v>
      </c>
      <c r="V1562" t="s">
        <v>26</v>
      </c>
      <c r="W1562" s="24">
        <v>35096</v>
      </c>
      <c r="X1562" s="25" t="s">
        <v>77</v>
      </c>
      <c r="Y1562" t="s">
        <v>26</v>
      </c>
      <c r="Z1562" s="24">
        <v>35096</v>
      </c>
      <c r="AA1562" s="25" t="s">
        <v>77</v>
      </c>
      <c r="AB1562" t="s">
        <v>26</v>
      </c>
      <c r="AC1562" s="24">
        <v>35096</v>
      </c>
      <c r="AD1562" s="25" t="s">
        <v>77</v>
      </c>
      <c r="AE1562" t="s">
        <v>26</v>
      </c>
      <c r="AF1562" t="s">
        <v>26</v>
      </c>
      <c r="AG1562" t="s">
        <v>26</v>
      </c>
      <c r="AH1562" t="s">
        <v>26</v>
      </c>
      <c r="AI1562" t="s">
        <v>26</v>
      </c>
      <c r="AJ1562" t="s">
        <v>26</v>
      </c>
      <c r="AK1562" t="s">
        <v>26</v>
      </c>
      <c r="AL1562" t="s">
        <v>26</v>
      </c>
      <c r="AM1562" t="s">
        <v>26</v>
      </c>
      <c r="AN1562" t="s">
        <v>26</v>
      </c>
      <c r="AO1562" s="25" t="s">
        <v>68</v>
      </c>
      <c r="AP1562" s="23" t="s">
        <v>69</v>
      </c>
      <c r="AQ1562" s="23" t="s">
        <v>30</v>
      </c>
      <c r="AR1562" s="23" t="s">
        <v>46</v>
      </c>
      <c r="AS1562" s="25">
        <v>38160</v>
      </c>
      <c r="AT1562" t="s">
        <v>26</v>
      </c>
      <c r="AU1562" t="s">
        <v>24290</v>
      </c>
    </row>
    <row r="1563" spans="1:47" ht="26.25" x14ac:dyDescent="0.4">
      <c r="A1563" s="23" t="s">
        <v>4010</v>
      </c>
      <c r="B1563" t="s">
        <v>26</v>
      </c>
      <c r="C1563" s="23" t="s">
        <v>4011</v>
      </c>
      <c r="D1563" s="23" t="s">
        <v>23578</v>
      </c>
      <c r="E1563" s="23" t="s">
        <v>917</v>
      </c>
      <c r="F1563" s="25" t="s">
        <v>4012</v>
      </c>
      <c r="G1563" s="25" t="s">
        <v>4013</v>
      </c>
      <c r="H1563" t="s">
        <v>26</v>
      </c>
      <c r="I1563" s="24">
        <v>42736</v>
      </c>
      <c r="J1563" s="25" t="s">
        <v>77</v>
      </c>
      <c r="K1563" t="s">
        <v>26</v>
      </c>
      <c r="L1563" s="25" t="s">
        <v>68</v>
      </c>
      <c r="M1563" t="s">
        <v>26</v>
      </c>
      <c r="N1563" t="s">
        <v>26</v>
      </c>
      <c r="O1563" t="s">
        <v>26</v>
      </c>
      <c r="P1563" s="24">
        <v>42736</v>
      </c>
      <c r="Q1563" s="25" t="s">
        <v>77</v>
      </c>
      <c r="R1563" t="s">
        <v>26</v>
      </c>
      <c r="S1563" t="s">
        <v>26</v>
      </c>
      <c r="T1563" t="s">
        <v>26</v>
      </c>
      <c r="U1563" t="s">
        <v>26</v>
      </c>
      <c r="V1563" t="s">
        <v>26</v>
      </c>
      <c r="W1563" s="24">
        <v>42736</v>
      </c>
      <c r="X1563" s="25" t="s">
        <v>77</v>
      </c>
      <c r="Y1563" t="s">
        <v>26</v>
      </c>
      <c r="Z1563" s="24">
        <v>42736</v>
      </c>
      <c r="AA1563" s="25" t="s">
        <v>77</v>
      </c>
      <c r="AB1563" t="s">
        <v>26</v>
      </c>
      <c r="AC1563" s="24">
        <v>42736</v>
      </c>
      <c r="AD1563" s="25" t="s">
        <v>77</v>
      </c>
      <c r="AE1563" t="s">
        <v>26</v>
      </c>
      <c r="AF1563" t="s">
        <v>26</v>
      </c>
      <c r="AG1563" t="s">
        <v>26</v>
      </c>
      <c r="AH1563" t="s">
        <v>26</v>
      </c>
      <c r="AI1563" t="s">
        <v>26</v>
      </c>
      <c r="AJ1563" t="s">
        <v>26</v>
      </c>
      <c r="AK1563" t="s">
        <v>26</v>
      </c>
      <c r="AL1563" t="s">
        <v>26</v>
      </c>
      <c r="AM1563" t="s">
        <v>26</v>
      </c>
      <c r="AN1563" t="s">
        <v>26</v>
      </c>
      <c r="AO1563" s="25" t="s">
        <v>68</v>
      </c>
      <c r="AP1563" s="23" t="s">
        <v>69</v>
      </c>
      <c r="AQ1563" s="23" t="s">
        <v>30</v>
      </c>
      <c r="AR1563" s="23" t="s">
        <v>337</v>
      </c>
      <c r="AS1563" s="25">
        <v>4543194</v>
      </c>
      <c r="AT1563" t="s">
        <v>26</v>
      </c>
      <c r="AU1563" t="s">
        <v>24291</v>
      </c>
    </row>
    <row r="1564" spans="1:47" ht="26.25" x14ac:dyDescent="0.4">
      <c r="A1564" s="23" t="s">
        <v>4014</v>
      </c>
      <c r="B1564" t="s">
        <v>26</v>
      </c>
      <c r="C1564" s="23" t="s">
        <v>4015</v>
      </c>
      <c r="D1564" s="23" t="s">
        <v>22179</v>
      </c>
      <c r="E1564" s="23" t="s">
        <v>42</v>
      </c>
      <c r="F1564" s="25" t="s">
        <v>4016</v>
      </c>
      <c r="G1564" t="s">
        <v>26</v>
      </c>
      <c r="H1564" t="s">
        <v>26</v>
      </c>
      <c r="I1564" s="24">
        <v>40179</v>
      </c>
      <c r="J1564" s="24">
        <v>40909</v>
      </c>
      <c r="K1564" t="s">
        <v>26</v>
      </c>
      <c r="L1564" s="25" t="s">
        <v>68</v>
      </c>
      <c r="M1564" s="24">
        <v>40179</v>
      </c>
      <c r="N1564" s="24">
        <v>40909</v>
      </c>
      <c r="O1564" t="s">
        <v>26</v>
      </c>
      <c r="P1564" s="24">
        <v>40179</v>
      </c>
      <c r="Q1564" s="24">
        <v>40909</v>
      </c>
      <c r="R1564" t="s">
        <v>26</v>
      </c>
      <c r="S1564" t="s">
        <v>26</v>
      </c>
      <c r="T1564" t="s">
        <v>26</v>
      </c>
      <c r="U1564" t="s">
        <v>26</v>
      </c>
      <c r="V1564" t="s">
        <v>26</v>
      </c>
      <c r="W1564" s="24">
        <v>40179</v>
      </c>
      <c r="X1564" s="24">
        <v>40909</v>
      </c>
      <c r="Y1564" t="s">
        <v>26</v>
      </c>
      <c r="Z1564" s="24">
        <v>40179</v>
      </c>
      <c r="AA1564" s="24">
        <v>40909</v>
      </c>
      <c r="AB1564" t="s">
        <v>26</v>
      </c>
      <c r="AC1564" t="s">
        <v>26</v>
      </c>
      <c r="AD1564" t="s">
        <v>26</v>
      </c>
      <c r="AE1564" t="s">
        <v>26</v>
      </c>
      <c r="AF1564" t="s">
        <v>26</v>
      </c>
      <c r="AG1564" t="s">
        <v>26</v>
      </c>
      <c r="AH1564" t="s">
        <v>26</v>
      </c>
      <c r="AI1564" t="s">
        <v>26</v>
      </c>
      <c r="AJ1564" t="s">
        <v>26</v>
      </c>
      <c r="AK1564" t="s">
        <v>26</v>
      </c>
      <c r="AL1564" t="s">
        <v>26</v>
      </c>
      <c r="AM1564" t="s">
        <v>26</v>
      </c>
      <c r="AN1564" t="s">
        <v>26</v>
      </c>
      <c r="AO1564" s="25" t="s">
        <v>68</v>
      </c>
      <c r="AP1564" s="23" t="s">
        <v>69</v>
      </c>
      <c r="AQ1564" s="23" t="s">
        <v>30</v>
      </c>
      <c r="AR1564" s="23" t="s">
        <v>1419</v>
      </c>
      <c r="AS1564" s="25">
        <v>1216398</v>
      </c>
      <c r="AT1564" t="s">
        <v>26</v>
      </c>
      <c r="AU1564" t="s">
        <v>24292</v>
      </c>
    </row>
    <row r="1565" spans="1:47" ht="39.4" x14ac:dyDescent="0.4">
      <c r="A1565" s="23" t="s">
        <v>4017</v>
      </c>
      <c r="B1565" t="s">
        <v>26</v>
      </c>
      <c r="C1565" s="23" t="s">
        <v>107</v>
      </c>
      <c r="D1565" s="23" t="s">
        <v>22194</v>
      </c>
      <c r="E1565" s="23" t="s">
        <v>42</v>
      </c>
      <c r="F1565" s="25" t="s">
        <v>4018</v>
      </c>
      <c r="G1565" s="25" t="s">
        <v>4019</v>
      </c>
      <c r="H1565" t="s">
        <v>26</v>
      </c>
      <c r="I1565" s="24">
        <v>36526</v>
      </c>
      <c r="J1565" s="24">
        <v>43070</v>
      </c>
      <c r="K1565" t="s">
        <v>26</v>
      </c>
      <c r="L1565" s="25" t="s">
        <v>68</v>
      </c>
      <c r="M1565" s="24">
        <v>36526</v>
      </c>
      <c r="N1565" s="24">
        <v>43070</v>
      </c>
      <c r="O1565" t="s">
        <v>26</v>
      </c>
      <c r="P1565" s="24">
        <v>36526</v>
      </c>
      <c r="Q1565" s="24">
        <v>43070</v>
      </c>
      <c r="R1565" t="s">
        <v>26</v>
      </c>
      <c r="S1565" t="s">
        <v>26</v>
      </c>
      <c r="T1565" t="s">
        <v>26</v>
      </c>
      <c r="U1565" t="s">
        <v>26</v>
      </c>
      <c r="V1565" t="s">
        <v>26</v>
      </c>
      <c r="W1565" s="24">
        <v>29768</v>
      </c>
      <c r="X1565" s="25" t="s">
        <v>77</v>
      </c>
      <c r="Y1565" t="s">
        <v>26</v>
      </c>
      <c r="Z1565" s="24">
        <v>29768</v>
      </c>
      <c r="AA1565" s="25" t="s">
        <v>77</v>
      </c>
      <c r="AB1565" t="s">
        <v>26</v>
      </c>
      <c r="AC1565" s="24">
        <v>39508</v>
      </c>
      <c r="AD1565" s="25" t="s">
        <v>77</v>
      </c>
      <c r="AE1565" t="s">
        <v>26</v>
      </c>
      <c r="AF1565" t="s">
        <v>26</v>
      </c>
      <c r="AG1565" t="s">
        <v>26</v>
      </c>
      <c r="AH1565" t="s">
        <v>26</v>
      </c>
      <c r="AI1565" t="s">
        <v>26</v>
      </c>
      <c r="AJ1565" t="s">
        <v>26</v>
      </c>
      <c r="AK1565" t="s">
        <v>26</v>
      </c>
      <c r="AL1565" t="s">
        <v>26</v>
      </c>
      <c r="AM1565" t="s">
        <v>26</v>
      </c>
      <c r="AN1565" t="s">
        <v>26</v>
      </c>
      <c r="AO1565" s="25" t="s">
        <v>68</v>
      </c>
      <c r="AP1565" s="23" t="s">
        <v>69</v>
      </c>
      <c r="AQ1565" s="23" t="s">
        <v>30</v>
      </c>
      <c r="AR1565" s="23" t="s">
        <v>4020</v>
      </c>
      <c r="AS1565" s="25">
        <v>32947</v>
      </c>
      <c r="AT1565" t="s">
        <v>26</v>
      </c>
      <c r="AU1565" t="s">
        <v>24293</v>
      </c>
    </row>
    <row r="1566" spans="1:47" ht="26.25" x14ac:dyDescent="0.4">
      <c r="A1566" s="23" t="s">
        <v>4021</v>
      </c>
      <c r="B1566" t="s">
        <v>26</v>
      </c>
      <c r="C1566" s="23" t="s">
        <v>213</v>
      </c>
      <c r="D1566" s="23" t="s">
        <v>22174</v>
      </c>
      <c r="E1566" s="23" t="s">
        <v>60</v>
      </c>
      <c r="F1566" t="s">
        <v>26</v>
      </c>
      <c r="G1566" s="25" t="s">
        <v>4022</v>
      </c>
      <c r="H1566" t="s">
        <v>26</v>
      </c>
      <c r="I1566" s="24">
        <v>42005</v>
      </c>
      <c r="J1566" s="25" t="s">
        <v>77</v>
      </c>
      <c r="K1566" t="s">
        <v>26</v>
      </c>
      <c r="L1566" s="25" t="s">
        <v>68</v>
      </c>
      <c r="M1566" t="s">
        <v>26</v>
      </c>
      <c r="N1566" t="s">
        <v>26</v>
      </c>
      <c r="O1566" t="s">
        <v>26</v>
      </c>
      <c r="P1566" s="24">
        <v>42005</v>
      </c>
      <c r="Q1566" s="25" t="s">
        <v>77</v>
      </c>
      <c r="R1566" t="s">
        <v>26</v>
      </c>
      <c r="S1566" t="s">
        <v>26</v>
      </c>
      <c r="T1566" t="s">
        <v>26</v>
      </c>
      <c r="U1566" t="s">
        <v>26</v>
      </c>
      <c r="V1566" t="s">
        <v>26</v>
      </c>
      <c r="W1566" s="24">
        <v>42005</v>
      </c>
      <c r="X1566" s="25" t="s">
        <v>77</v>
      </c>
      <c r="Y1566" t="s">
        <v>26</v>
      </c>
      <c r="Z1566" s="24">
        <v>42005</v>
      </c>
      <c r="AA1566" s="25" t="s">
        <v>77</v>
      </c>
      <c r="AB1566" t="s">
        <v>26</v>
      </c>
      <c r="AC1566" s="24">
        <v>42005</v>
      </c>
      <c r="AD1566" s="25" t="s">
        <v>77</v>
      </c>
      <c r="AE1566" t="s">
        <v>26</v>
      </c>
      <c r="AF1566" t="s">
        <v>26</v>
      </c>
      <c r="AG1566" t="s">
        <v>26</v>
      </c>
      <c r="AH1566" t="s">
        <v>26</v>
      </c>
      <c r="AI1566" t="s">
        <v>26</v>
      </c>
      <c r="AJ1566" t="s">
        <v>26</v>
      </c>
      <c r="AK1566" t="s">
        <v>26</v>
      </c>
      <c r="AL1566" t="s">
        <v>26</v>
      </c>
      <c r="AM1566" t="s">
        <v>26</v>
      </c>
      <c r="AN1566" t="s">
        <v>26</v>
      </c>
      <c r="AO1566" s="25" t="s">
        <v>68</v>
      </c>
      <c r="AP1566" s="23" t="s">
        <v>69</v>
      </c>
      <c r="AQ1566" s="23" t="s">
        <v>30</v>
      </c>
      <c r="AR1566" s="23" t="s">
        <v>46</v>
      </c>
      <c r="AS1566" s="25">
        <v>2040217</v>
      </c>
      <c r="AT1566" t="s">
        <v>26</v>
      </c>
      <c r="AU1566" t="s">
        <v>24294</v>
      </c>
    </row>
    <row r="1567" spans="1:47" ht="26.25" x14ac:dyDescent="0.4">
      <c r="A1567" s="23" t="s">
        <v>4023</v>
      </c>
      <c r="B1567" t="s">
        <v>26</v>
      </c>
      <c r="C1567" s="23" t="s">
        <v>1979</v>
      </c>
      <c r="D1567" s="23" t="s">
        <v>22222</v>
      </c>
      <c r="E1567" s="23" t="s">
        <v>711</v>
      </c>
      <c r="F1567" s="25" t="s">
        <v>4024</v>
      </c>
      <c r="G1567" s="25" t="s">
        <v>4025</v>
      </c>
      <c r="H1567" t="s">
        <v>26</v>
      </c>
      <c r="I1567" t="s">
        <v>26</v>
      </c>
      <c r="J1567" t="s">
        <v>26</v>
      </c>
      <c r="K1567" t="s">
        <v>26</v>
      </c>
      <c r="L1567" s="25" t="s">
        <v>68</v>
      </c>
      <c r="M1567" t="s">
        <v>26</v>
      </c>
      <c r="N1567" t="s">
        <v>26</v>
      </c>
      <c r="O1567" t="s">
        <v>26</v>
      </c>
      <c r="P1567" t="s">
        <v>26</v>
      </c>
      <c r="Q1567" t="s">
        <v>26</v>
      </c>
      <c r="R1567" t="s">
        <v>26</v>
      </c>
      <c r="S1567" t="s">
        <v>26</v>
      </c>
      <c r="T1567" t="s">
        <v>26</v>
      </c>
      <c r="U1567" t="s">
        <v>26</v>
      </c>
      <c r="V1567" t="s">
        <v>26</v>
      </c>
      <c r="W1567" s="24">
        <v>30926</v>
      </c>
      <c r="X1567" s="24">
        <v>42675</v>
      </c>
      <c r="Y1567" t="s">
        <v>26</v>
      </c>
      <c r="Z1567" s="24">
        <v>30926</v>
      </c>
      <c r="AA1567" s="24">
        <v>42675</v>
      </c>
      <c r="AB1567" t="s">
        <v>26</v>
      </c>
      <c r="AC1567" s="24">
        <v>30926</v>
      </c>
      <c r="AD1567" s="24">
        <v>42675</v>
      </c>
      <c r="AE1567" t="s">
        <v>26</v>
      </c>
      <c r="AF1567" t="s">
        <v>26</v>
      </c>
      <c r="AG1567" t="s">
        <v>26</v>
      </c>
      <c r="AH1567" t="s">
        <v>26</v>
      </c>
      <c r="AI1567" t="s">
        <v>26</v>
      </c>
      <c r="AJ1567" t="s">
        <v>26</v>
      </c>
      <c r="AK1567" t="s">
        <v>26</v>
      </c>
      <c r="AL1567" t="s">
        <v>26</v>
      </c>
      <c r="AM1567" t="s">
        <v>26</v>
      </c>
      <c r="AN1567" t="s">
        <v>26</v>
      </c>
      <c r="AO1567" s="25" t="s">
        <v>68</v>
      </c>
      <c r="AP1567" s="23" t="s">
        <v>69</v>
      </c>
      <c r="AQ1567" s="23" t="s">
        <v>30</v>
      </c>
      <c r="AR1567" s="23" t="s">
        <v>417</v>
      </c>
      <c r="AS1567" s="25">
        <v>45653</v>
      </c>
      <c r="AT1567" t="s">
        <v>26</v>
      </c>
      <c r="AU1567" t="s">
        <v>24295</v>
      </c>
    </row>
    <row r="1568" spans="1:47" ht="26.25" x14ac:dyDescent="0.4">
      <c r="A1568" s="23" t="s">
        <v>4026</v>
      </c>
      <c r="B1568" t="s">
        <v>26</v>
      </c>
      <c r="C1568" s="23" t="s">
        <v>1979</v>
      </c>
      <c r="D1568" s="23" t="s">
        <v>22222</v>
      </c>
      <c r="E1568" s="23" t="s">
        <v>711</v>
      </c>
      <c r="F1568" s="25" t="s">
        <v>4027</v>
      </c>
      <c r="G1568" s="25" t="s">
        <v>4028</v>
      </c>
      <c r="H1568" t="s">
        <v>26</v>
      </c>
      <c r="I1568" t="s">
        <v>26</v>
      </c>
      <c r="J1568" t="s">
        <v>26</v>
      </c>
      <c r="K1568" t="s">
        <v>26</v>
      </c>
      <c r="L1568" s="25" t="s">
        <v>68</v>
      </c>
      <c r="M1568" t="s">
        <v>26</v>
      </c>
      <c r="N1568" t="s">
        <v>26</v>
      </c>
      <c r="O1568" t="s">
        <v>26</v>
      </c>
      <c r="P1568" t="s">
        <v>26</v>
      </c>
      <c r="Q1568" t="s">
        <v>26</v>
      </c>
      <c r="R1568" t="s">
        <v>26</v>
      </c>
      <c r="S1568" t="s">
        <v>26</v>
      </c>
      <c r="T1568" t="s">
        <v>26</v>
      </c>
      <c r="U1568" t="s">
        <v>26</v>
      </c>
      <c r="V1568" t="s">
        <v>26</v>
      </c>
      <c r="W1568" s="24">
        <v>31017</v>
      </c>
      <c r="X1568" s="24">
        <v>42644</v>
      </c>
      <c r="Y1568" t="s">
        <v>26</v>
      </c>
      <c r="Z1568" s="24">
        <v>31017</v>
      </c>
      <c r="AA1568" s="24">
        <v>42644</v>
      </c>
      <c r="AB1568" t="s">
        <v>26</v>
      </c>
      <c r="AC1568" s="24">
        <v>31017</v>
      </c>
      <c r="AD1568" s="24">
        <v>42644</v>
      </c>
      <c r="AE1568" t="s">
        <v>26</v>
      </c>
      <c r="AF1568" t="s">
        <v>26</v>
      </c>
      <c r="AG1568" t="s">
        <v>26</v>
      </c>
      <c r="AH1568" t="s">
        <v>26</v>
      </c>
      <c r="AI1568" t="s">
        <v>26</v>
      </c>
      <c r="AJ1568" t="s">
        <v>26</v>
      </c>
      <c r="AK1568" t="s">
        <v>26</v>
      </c>
      <c r="AL1568" t="s">
        <v>26</v>
      </c>
      <c r="AM1568" t="s">
        <v>26</v>
      </c>
      <c r="AN1568" t="s">
        <v>26</v>
      </c>
      <c r="AO1568" s="25" t="s">
        <v>68</v>
      </c>
      <c r="AP1568" s="23" t="s">
        <v>69</v>
      </c>
      <c r="AQ1568" s="23" t="s">
        <v>30</v>
      </c>
      <c r="AR1568" s="23" t="s">
        <v>4029</v>
      </c>
      <c r="AS1568" s="25">
        <v>45654</v>
      </c>
      <c r="AT1568" t="s">
        <v>26</v>
      </c>
      <c r="AU1568" t="s">
        <v>24296</v>
      </c>
    </row>
    <row r="1569" spans="1:47" ht="26.25" x14ac:dyDescent="0.4">
      <c r="A1569" s="23" t="s">
        <v>4030</v>
      </c>
      <c r="B1569" t="s">
        <v>26</v>
      </c>
      <c r="C1569" s="23" t="s">
        <v>181</v>
      </c>
      <c r="D1569" s="23" t="s">
        <v>22231</v>
      </c>
      <c r="E1569" s="23" t="s">
        <v>60</v>
      </c>
      <c r="F1569" s="25" t="s">
        <v>4031</v>
      </c>
      <c r="G1569" s="25" t="s">
        <v>4032</v>
      </c>
      <c r="H1569" t="s">
        <v>26</v>
      </c>
      <c r="I1569" t="s">
        <v>26</v>
      </c>
      <c r="J1569" t="s">
        <v>26</v>
      </c>
      <c r="K1569" t="s">
        <v>26</v>
      </c>
      <c r="L1569" s="25" t="s">
        <v>68</v>
      </c>
      <c r="M1569" t="s">
        <v>26</v>
      </c>
      <c r="N1569" t="s">
        <v>26</v>
      </c>
      <c r="O1569" t="s">
        <v>26</v>
      </c>
      <c r="P1569" t="s">
        <v>26</v>
      </c>
      <c r="Q1569" t="s">
        <v>26</v>
      </c>
      <c r="R1569" t="s">
        <v>26</v>
      </c>
      <c r="S1569" t="s">
        <v>26</v>
      </c>
      <c r="T1569" t="s">
        <v>26</v>
      </c>
      <c r="U1569" t="s">
        <v>26</v>
      </c>
      <c r="V1569" t="s">
        <v>26</v>
      </c>
      <c r="W1569" s="24">
        <v>32509</v>
      </c>
      <c r="X1569" s="25" t="s">
        <v>77</v>
      </c>
      <c r="Y1569" t="s">
        <v>26</v>
      </c>
      <c r="Z1569" s="24">
        <v>32509</v>
      </c>
      <c r="AA1569" s="25" t="s">
        <v>77</v>
      </c>
      <c r="AB1569" t="s">
        <v>26</v>
      </c>
      <c r="AC1569" s="24">
        <v>32509</v>
      </c>
      <c r="AD1569" s="25" t="s">
        <v>77</v>
      </c>
      <c r="AE1569" t="s">
        <v>26</v>
      </c>
      <c r="AF1569" t="s">
        <v>26</v>
      </c>
      <c r="AG1569" t="s">
        <v>26</v>
      </c>
      <c r="AH1569" t="s">
        <v>26</v>
      </c>
      <c r="AI1569" t="s">
        <v>26</v>
      </c>
      <c r="AJ1569" t="s">
        <v>26</v>
      </c>
      <c r="AK1569" t="s">
        <v>26</v>
      </c>
      <c r="AL1569" t="s">
        <v>26</v>
      </c>
      <c r="AM1569" t="s">
        <v>26</v>
      </c>
      <c r="AN1569" t="s">
        <v>26</v>
      </c>
      <c r="AO1569" s="25" t="s">
        <v>68</v>
      </c>
      <c r="AP1569" s="23" t="s">
        <v>69</v>
      </c>
      <c r="AQ1569" s="23" t="s">
        <v>30</v>
      </c>
      <c r="AR1569" s="23" t="s">
        <v>337</v>
      </c>
      <c r="AS1569" s="25">
        <v>41432</v>
      </c>
      <c r="AT1569" t="s">
        <v>26</v>
      </c>
      <c r="AU1569" t="s">
        <v>24297</v>
      </c>
    </row>
    <row r="1570" spans="1:47" ht="39.4" x14ac:dyDescent="0.4">
      <c r="A1570" s="23" t="s">
        <v>4033</v>
      </c>
      <c r="B1570" t="s">
        <v>26</v>
      </c>
      <c r="C1570" s="23" t="s">
        <v>4034</v>
      </c>
      <c r="D1570" s="23" t="s">
        <v>24298</v>
      </c>
      <c r="E1570" s="23" t="s">
        <v>4035</v>
      </c>
      <c r="F1570" s="25" t="s">
        <v>4036</v>
      </c>
      <c r="G1570" t="s">
        <v>26</v>
      </c>
      <c r="H1570" t="s">
        <v>26</v>
      </c>
      <c r="I1570" s="24">
        <v>42083</v>
      </c>
      <c r="J1570" s="25" t="s">
        <v>77</v>
      </c>
      <c r="K1570" t="s">
        <v>26</v>
      </c>
      <c r="L1570" s="25" t="s">
        <v>68</v>
      </c>
      <c r="M1570" t="s">
        <v>26</v>
      </c>
      <c r="N1570" t="s">
        <v>26</v>
      </c>
      <c r="O1570" t="s">
        <v>26</v>
      </c>
      <c r="P1570" s="24">
        <v>42083</v>
      </c>
      <c r="Q1570" s="25" t="s">
        <v>77</v>
      </c>
      <c r="R1570" t="s">
        <v>26</v>
      </c>
      <c r="S1570" t="s">
        <v>26</v>
      </c>
      <c r="T1570" t="s">
        <v>26</v>
      </c>
      <c r="U1570" t="s">
        <v>26</v>
      </c>
      <c r="V1570" t="s">
        <v>26</v>
      </c>
      <c r="W1570" s="24">
        <v>42083</v>
      </c>
      <c r="X1570" s="25" t="s">
        <v>77</v>
      </c>
      <c r="Y1570" t="s">
        <v>26</v>
      </c>
      <c r="Z1570" s="24">
        <v>42083</v>
      </c>
      <c r="AA1570" s="25" t="s">
        <v>77</v>
      </c>
      <c r="AB1570" t="s">
        <v>26</v>
      </c>
      <c r="AC1570" s="24">
        <v>42083</v>
      </c>
      <c r="AD1570" s="25" t="s">
        <v>77</v>
      </c>
      <c r="AE1570" t="s">
        <v>26</v>
      </c>
      <c r="AF1570" t="s">
        <v>26</v>
      </c>
      <c r="AG1570" t="s">
        <v>26</v>
      </c>
      <c r="AH1570" t="s">
        <v>26</v>
      </c>
      <c r="AI1570" t="s">
        <v>26</v>
      </c>
      <c r="AJ1570" t="s">
        <v>26</v>
      </c>
      <c r="AK1570" t="s">
        <v>26</v>
      </c>
      <c r="AL1570" t="s">
        <v>26</v>
      </c>
      <c r="AM1570" t="s">
        <v>26</v>
      </c>
      <c r="AN1570" t="s">
        <v>26</v>
      </c>
      <c r="AO1570" s="25" t="s">
        <v>68</v>
      </c>
      <c r="AP1570" s="23" t="s">
        <v>69</v>
      </c>
      <c r="AQ1570" s="23" t="s">
        <v>4037</v>
      </c>
      <c r="AR1570" s="23" t="s">
        <v>337</v>
      </c>
      <c r="AS1570" s="25">
        <v>2043106</v>
      </c>
      <c r="AT1570" t="s">
        <v>26</v>
      </c>
      <c r="AU1570" t="s">
        <v>24299</v>
      </c>
    </row>
    <row r="1571" spans="1:47" ht="26.25" x14ac:dyDescent="0.4">
      <c r="A1571" s="23" t="s">
        <v>4038</v>
      </c>
      <c r="B1571" t="s">
        <v>26</v>
      </c>
      <c r="C1571" s="23" t="s">
        <v>80</v>
      </c>
      <c r="D1571" s="23" t="s">
        <v>22190</v>
      </c>
      <c r="E1571" s="23" t="s">
        <v>60</v>
      </c>
      <c r="F1571" s="25" t="s">
        <v>4039</v>
      </c>
      <c r="G1571" s="25" t="s">
        <v>4040</v>
      </c>
      <c r="H1571" t="s">
        <v>26</v>
      </c>
      <c r="I1571" t="s">
        <v>26</v>
      </c>
      <c r="J1571" t="s">
        <v>26</v>
      </c>
      <c r="K1571" t="s">
        <v>26</v>
      </c>
      <c r="L1571" s="25" t="s">
        <v>68</v>
      </c>
      <c r="M1571" t="s">
        <v>26</v>
      </c>
      <c r="N1571" t="s">
        <v>26</v>
      </c>
      <c r="O1571" t="s">
        <v>26</v>
      </c>
      <c r="P1571" t="s">
        <v>26</v>
      </c>
      <c r="Q1571" t="s">
        <v>26</v>
      </c>
      <c r="R1571" t="s">
        <v>26</v>
      </c>
      <c r="S1571" t="s">
        <v>26</v>
      </c>
      <c r="T1571" t="s">
        <v>26</v>
      </c>
      <c r="U1571" t="s">
        <v>26</v>
      </c>
      <c r="V1571" t="s">
        <v>26</v>
      </c>
      <c r="W1571" s="24">
        <v>37987</v>
      </c>
      <c r="X1571" s="25" t="s">
        <v>77</v>
      </c>
      <c r="Y1571" t="s">
        <v>26</v>
      </c>
      <c r="Z1571" s="24">
        <v>37987</v>
      </c>
      <c r="AA1571" s="25" t="s">
        <v>77</v>
      </c>
      <c r="AB1571" t="s">
        <v>26</v>
      </c>
      <c r="AC1571" s="24">
        <v>37987</v>
      </c>
      <c r="AD1571" s="25" t="s">
        <v>77</v>
      </c>
      <c r="AE1571" t="s">
        <v>26</v>
      </c>
      <c r="AF1571" t="s">
        <v>26</v>
      </c>
      <c r="AG1571" t="s">
        <v>26</v>
      </c>
      <c r="AH1571" t="s">
        <v>26</v>
      </c>
      <c r="AI1571" t="s">
        <v>26</v>
      </c>
      <c r="AJ1571" t="s">
        <v>26</v>
      </c>
      <c r="AK1571" t="s">
        <v>26</v>
      </c>
      <c r="AL1571" t="s">
        <v>26</v>
      </c>
      <c r="AM1571" t="s">
        <v>26</v>
      </c>
      <c r="AN1571" t="s">
        <v>26</v>
      </c>
      <c r="AO1571" s="25" t="s">
        <v>68</v>
      </c>
      <c r="AP1571" s="23" t="s">
        <v>69</v>
      </c>
      <c r="AQ1571" s="23" t="s">
        <v>30</v>
      </c>
      <c r="AR1571" s="23" t="s">
        <v>883</v>
      </c>
      <c r="AS1571" s="25">
        <v>46400</v>
      </c>
      <c r="AT1571" t="s">
        <v>26</v>
      </c>
      <c r="AU1571" t="s">
        <v>24300</v>
      </c>
    </row>
    <row r="1572" spans="1:47" ht="26.25" x14ac:dyDescent="0.4">
      <c r="A1572" s="23" t="s">
        <v>4041</v>
      </c>
      <c r="B1572" t="s">
        <v>26</v>
      </c>
      <c r="C1572" s="23" t="s">
        <v>1481</v>
      </c>
      <c r="D1572" s="23" t="s">
        <v>22190</v>
      </c>
      <c r="E1572" s="23" t="s">
        <v>60</v>
      </c>
      <c r="F1572" s="25" t="s">
        <v>4042</v>
      </c>
      <c r="G1572" s="25" t="s">
        <v>4043</v>
      </c>
      <c r="H1572" t="s">
        <v>26</v>
      </c>
      <c r="I1572" t="s">
        <v>26</v>
      </c>
      <c r="J1572" t="s">
        <v>26</v>
      </c>
      <c r="K1572" t="s">
        <v>26</v>
      </c>
      <c r="L1572" s="25" t="s">
        <v>68</v>
      </c>
      <c r="M1572" t="s">
        <v>26</v>
      </c>
      <c r="N1572" t="s">
        <v>26</v>
      </c>
      <c r="O1572" t="s">
        <v>26</v>
      </c>
      <c r="P1572" t="s">
        <v>26</v>
      </c>
      <c r="Q1572" t="s">
        <v>26</v>
      </c>
      <c r="R1572" t="s">
        <v>26</v>
      </c>
      <c r="S1572" t="s">
        <v>26</v>
      </c>
      <c r="T1572" t="s">
        <v>26</v>
      </c>
      <c r="U1572" t="s">
        <v>26</v>
      </c>
      <c r="V1572" t="s">
        <v>26</v>
      </c>
      <c r="W1572" s="24">
        <v>37622</v>
      </c>
      <c r="X1572" s="25" t="s">
        <v>77</v>
      </c>
      <c r="Y1572" t="s">
        <v>26</v>
      </c>
      <c r="Z1572" s="24">
        <v>37622</v>
      </c>
      <c r="AA1572" s="25" t="s">
        <v>77</v>
      </c>
      <c r="AB1572" t="s">
        <v>26</v>
      </c>
      <c r="AC1572" s="24">
        <v>37622</v>
      </c>
      <c r="AD1572" s="25" t="s">
        <v>77</v>
      </c>
      <c r="AE1572" t="s">
        <v>26</v>
      </c>
      <c r="AF1572" t="s">
        <v>26</v>
      </c>
      <c r="AG1572" t="s">
        <v>26</v>
      </c>
      <c r="AH1572" t="s">
        <v>26</v>
      </c>
      <c r="AI1572" t="s">
        <v>26</v>
      </c>
      <c r="AJ1572" t="s">
        <v>26</v>
      </c>
      <c r="AK1572" t="s">
        <v>26</v>
      </c>
      <c r="AL1572" t="s">
        <v>26</v>
      </c>
      <c r="AM1572" t="s">
        <v>26</v>
      </c>
      <c r="AN1572" t="s">
        <v>26</v>
      </c>
      <c r="AO1572" s="25" t="s">
        <v>68</v>
      </c>
      <c r="AP1572" s="23" t="s">
        <v>69</v>
      </c>
      <c r="AQ1572" s="23" t="s">
        <v>30</v>
      </c>
      <c r="AR1572" s="23" t="s">
        <v>123</v>
      </c>
      <c r="AS1572" s="25">
        <v>46263</v>
      </c>
      <c r="AT1572" t="s">
        <v>26</v>
      </c>
      <c r="AU1572" t="s">
        <v>24301</v>
      </c>
    </row>
    <row r="1573" spans="1:47" ht="26.25" x14ac:dyDescent="0.4">
      <c r="A1573" s="23" t="s">
        <v>4044</v>
      </c>
      <c r="B1573" t="s">
        <v>26</v>
      </c>
      <c r="C1573" s="23" t="s">
        <v>465</v>
      </c>
      <c r="D1573" s="23" t="s">
        <v>22254</v>
      </c>
      <c r="E1573" s="23" t="s">
        <v>42</v>
      </c>
      <c r="F1573" s="25" t="s">
        <v>4045</v>
      </c>
      <c r="G1573" s="25" t="s">
        <v>4046</v>
      </c>
      <c r="H1573" t="s">
        <v>26</v>
      </c>
      <c r="I1573" t="s">
        <v>26</v>
      </c>
      <c r="J1573" t="s">
        <v>26</v>
      </c>
      <c r="K1573" t="s">
        <v>26</v>
      </c>
      <c r="L1573" s="25" t="s">
        <v>68</v>
      </c>
      <c r="M1573" t="s">
        <v>26</v>
      </c>
      <c r="N1573" t="s">
        <v>26</v>
      </c>
      <c r="O1573" t="s">
        <v>26</v>
      </c>
      <c r="P1573" t="s">
        <v>26</v>
      </c>
      <c r="Q1573" t="s">
        <v>26</v>
      </c>
      <c r="R1573" t="s">
        <v>26</v>
      </c>
      <c r="S1573" t="s">
        <v>26</v>
      </c>
      <c r="T1573" t="s">
        <v>26</v>
      </c>
      <c r="U1573" t="s">
        <v>26</v>
      </c>
      <c r="V1573" t="s">
        <v>26</v>
      </c>
      <c r="W1573" s="24">
        <v>31444</v>
      </c>
      <c r="X1573" s="25" t="s">
        <v>77</v>
      </c>
      <c r="Y1573" t="s">
        <v>26</v>
      </c>
      <c r="Z1573" s="24">
        <v>31444</v>
      </c>
      <c r="AA1573" s="25" t="s">
        <v>77</v>
      </c>
      <c r="AB1573" t="s">
        <v>26</v>
      </c>
      <c r="AC1573" s="24">
        <v>31444</v>
      </c>
      <c r="AD1573" s="25" t="s">
        <v>77</v>
      </c>
      <c r="AE1573" t="s">
        <v>26</v>
      </c>
      <c r="AF1573" t="s">
        <v>26</v>
      </c>
      <c r="AG1573" t="s">
        <v>26</v>
      </c>
      <c r="AH1573" t="s">
        <v>26</v>
      </c>
      <c r="AI1573" t="s">
        <v>26</v>
      </c>
      <c r="AJ1573" t="s">
        <v>26</v>
      </c>
      <c r="AK1573" t="s">
        <v>26</v>
      </c>
      <c r="AL1573" t="s">
        <v>26</v>
      </c>
      <c r="AM1573" t="s">
        <v>26</v>
      </c>
      <c r="AN1573" t="s">
        <v>26</v>
      </c>
      <c r="AO1573" s="25" t="s">
        <v>68</v>
      </c>
      <c r="AP1573" s="23" t="s">
        <v>69</v>
      </c>
      <c r="AQ1573" s="23" t="s">
        <v>30</v>
      </c>
      <c r="AR1573" s="23" t="s">
        <v>123</v>
      </c>
      <c r="AS1573" s="25">
        <v>42319</v>
      </c>
      <c r="AT1573" t="s">
        <v>26</v>
      </c>
      <c r="AU1573" t="s">
        <v>24302</v>
      </c>
    </row>
    <row r="1574" spans="1:47" ht="26.25" x14ac:dyDescent="0.4">
      <c r="A1574" s="23" t="s">
        <v>4047</v>
      </c>
      <c r="B1574" t="s">
        <v>26</v>
      </c>
      <c r="C1574" s="23" t="s">
        <v>981</v>
      </c>
      <c r="D1574" s="23" t="s">
        <v>24303</v>
      </c>
      <c r="E1574" s="23" t="s">
        <v>42</v>
      </c>
      <c r="F1574" s="25" t="s">
        <v>4048</v>
      </c>
      <c r="G1574" s="25" t="s">
        <v>4049</v>
      </c>
      <c r="H1574" t="s">
        <v>26</v>
      </c>
      <c r="I1574" s="24">
        <v>35186</v>
      </c>
      <c r="J1574" s="24">
        <v>40483</v>
      </c>
      <c r="K1574" t="s">
        <v>26</v>
      </c>
      <c r="L1574" s="25" t="s">
        <v>68</v>
      </c>
      <c r="M1574" s="24">
        <v>35186</v>
      </c>
      <c r="N1574" s="24">
        <v>40483</v>
      </c>
      <c r="O1574" t="s">
        <v>26</v>
      </c>
      <c r="P1574" s="24">
        <v>35186</v>
      </c>
      <c r="Q1574" s="24">
        <v>40483</v>
      </c>
      <c r="R1574" t="s">
        <v>26</v>
      </c>
      <c r="S1574" t="s">
        <v>26</v>
      </c>
      <c r="T1574" t="s">
        <v>26</v>
      </c>
      <c r="U1574" t="s">
        <v>26</v>
      </c>
      <c r="V1574" t="s">
        <v>26</v>
      </c>
      <c r="W1574" s="24">
        <v>35186</v>
      </c>
      <c r="X1574" s="25" t="s">
        <v>77</v>
      </c>
      <c r="Y1574" t="s">
        <v>26</v>
      </c>
      <c r="Z1574" s="24">
        <v>35186</v>
      </c>
      <c r="AA1574" s="25" t="s">
        <v>77</v>
      </c>
      <c r="AB1574" t="s">
        <v>26</v>
      </c>
      <c r="AC1574" s="24">
        <v>35186</v>
      </c>
      <c r="AD1574" s="25" t="s">
        <v>77</v>
      </c>
      <c r="AE1574" t="s">
        <v>26</v>
      </c>
      <c r="AF1574" t="s">
        <v>26</v>
      </c>
      <c r="AG1574" t="s">
        <v>26</v>
      </c>
      <c r="AH1574" t="s">
        <v>26</v>
      </c>
      <c r="AI1574" t="s">
        <v>26</v>
      </c>
      <c r="AJ1574" t="s">
        <v>26</v>
      </c>
      <c r="AK1574" t="s">
        <v>26</v>
      </c>
      <c r="AL1574" t="s">
        <v>26</v>
      </c>
      <c r="AM1574" t="s">
        <v>26</v>
      </c>
      <c r="AN1574" t="s">
        <v>26</v>
      </c>
      <c r="AO1574" s="25" t="s">
        <v>68</v>
      </c>
      <c r="AP1574" s="23" t="s">
        <v>69</v>
      </c>
      <c r="AQ1574" s="23" t="s">
        <v>30</v>
      </c>
      <c r="AR1574" s="23" t="s">
        <v>123</v>
      </c>
      <c r="AS1574" s="25">
        <v>40761</v>
      </c>
      <c r="AT1574" t="s">
        <v>26</v>
      </c>
      <c r="AU1574" t="s">
        <v>24304</v>
      </c>
    </row>
    <row r="1575" spans="1:47" ht="26.25" x14ac:dyDescent="0.4">
      <c r="A1575" s="23" t="s">
        <v>4050</v>
      </c>
      <c r="B1575" t="s">
        <v>26</v>
      </c>
      <c r="C1575" s="23" t="s">
        <v>4051</v>
      </c>
      <c r="D1575" s="23" t="s">
        <v>24305</v>
      </c>
      <c r="E1575" s="23" t="s">
        <v>120</v>
      </c>
      <c r="F1575" s="25" t="s">
        <v>4052</v>
      </c>
      <c r="G1575" s="25" t="s">
        <v>4053</v>
      </c>
      <c r="H1575" t="s">
        <v>26</v>
      </c>
      <c r="I1575" s="24">
        <v>40544</v>
      </c>
      <c r="J1575" s="24">
        <v>43647</v>
      </c>
      <c r="K1575" t="s">
        <v>26</v>
      </c>
      <c r="L1575" s="25" t="s">
        <v>68</v>
      </c>
      <c r="M1575" t="s">
        <v>26</v>
      </c>
      <c r="N1575" t="s">
        <v>26</v>
      </c>
      <c r="O1575" t="s">
        <v>26</v>
      </c>
      <c r="P1575" s="24">
        <v>40544</v>
      </c>
      <c r="Q1575" s="24">
        <v>43647</v>
      </c>
      <c r="R1575" t="s">
        <v>26</v>
      </c>
      <c r="S1575" t="s">
        <v>26</v>
      </c>
      <c r="T1575" t="s">
        <v>26</v>
      </c>
      <c r="U1575" t="s">
        <v>26</v>
      </c>
      <c r="V1575" t="s">
        <v>26</v>
      </c>
      <c r="W1575" s="24">
        <v>40544</v>
      </c>
      <c r="X1575" s="24">
        <v>43647</v>
      </c>
      <c r="Y1575" t="s">
        <v>26</v>
      </c>
      <c r="Z1575" s="24">
        <v>40544</v>
      </c>
      <c r="AA1575" s="24">
        <v>43647</v>
      </c>
      <c r="AB1575" t="s">
        <v>26</v>
      </c>
      <c r="AC1575" s="24">
        <v>40544</v>
      </c>
      <c r="AD1575" s="24">
        <v>43647</v>
      </c>
      <c r="AE1575" t="s">
        <v>26</v>
      </c>
      <c r="AF1575" t="s">
        <v>26</v>
      </c>
      <c r="AG1575" t="s">
        <v>26</v>
      </c>
      <c r="AH1575" t="s">
        <v>26</v>
      </c>
      <c r="AI1575" t="s">
        <v>26</v>
      </c>
      <c r="AJ1575" t="s">
        <v>26</v>
      </c>
      <c r="AK1575" t="s">
        <v>26</v>
      </c>
      <c r="AL1575" t="s">
        <v>26</v>
      </c>
      <c r="AM1575" t="s">
        <v>26</v>
      </c>
      <c r="AN1575" t="s">
        <v>26</v>
      </c>
      <c r="AO1575" s="25" t="s">
        <v>68</v>
      </c>
      <c r="AP1575" s="23" t="s">
        <v>69</v>
      </c>
      <c r="AQ1575" s="23" t="s">
        <v>30</v>
      </c>
      <c r="AR1575" s="23" t="s">
        <v>883</v>
      </c>
      <c r="AS1575" s="25">
        <v>786381</v>
      </c>
      <c r="AT1575" t="s">
        <v>26</v>
      </c>
      <c r="AU1575" t="s">
        <v>24306</v>
      </c>
    </row>
    <row r="1576" spans="1:47" ht="26.25" x14ac:dyDescent="0.4">
      <c r="A1576" s="23" t="s">
        <v>4054</v>
      </c>
      <c r="B1576" t="s">
        <v>26</v>
      </c>
      <c r="C1576" s="23" t="s">
        <v>389</v>
      </c>
      <c r="D1576" s="23" t="s">
        <v>22254</v>
      </c>
      <c r="E1576" s="23" t="s">
        <v>42</v>
      </c>
      <c r="F1576" s="25" t="s">
        <v>4055</v>
      </c>
      <c r="G1576" s="25" t="s">
        <v>4056</v>
      </c>
      <c r="H1576" t="s">
        <v>26</v>
      </c>
      <c r="I1576" s="24">
        <v>37073</v>
      </c>
      <c r="J1576" s="24">
        <v>40148</v>
      </c>
      <c r="K1576" t="s">
        <v>26</v>
      </c>
      <c r="L1576" s="25" t="s">
        <v>68</v>
      </c>
      <c r="M1576" s="24">
        <v>37073</v>
      </c>
      <c r="N1576" s="24">
        <v>40148</v>
      </c>
      <c r="O1576" t="s">
        <v>26</v>
      </c>
      <c r="P1576" s="24">
        <v>37073</v>
      </c>
      <c r="Q1576" s="24">
        <v>40148</v>
      </c>
      <c r="R1576" t="s">
        <v>26</v>
      </c>
      <c r="S1576" t="s">
        <v>26</v>
      </c>
      <c r="T1576" t="s">
        <v>26</v>
      </c>
      <c r="U1576" t="s">
        <v>26</v>
      </c>
      <c r="V1576" t="s">
        <v>26</v>
      </c>
      <c r="W1576" s="24">
        <v>28185</v>
      </c>
      <c r="X1576" s="25" t="s">
        <v>77</v>
      </c>
      <c r="Y1576" t="s">
        <v>26</v>
      </c>
      <c r="Z1576" s="24">
        <v>28185</v>
      </c>
      <c r="AA1576" s="25" t="s">
        <v>77</v>
      </c>
      <c r="AB1576" t="s">
        <v>26</v>
      </c>
      <c r="AC1576" s="24">
        <v>28185</v>
      </c>
      <c r="AD1576" s="25" t="s">
        <v>77</v>
      </c>
      <c r="AE1576" s="25" t="s">
        <v>24307</v>
      </c>
      <c r="AF1576" t="s">
        <v>26</v>
      </c>
      <c r="AG1576" t="s">
        <v>26</v>
      </c>
      <c r="AH1576" t="s">
        <v>26</v>
      </c>
      <c r="AI1576" t="s">
        <v>26</v>
      </c>
      <c r="AJ1576" t="s">
        <v>26</v>
      </c>
      <c r="AK1576" t="s">
        <v>26</v>
      </c>
      <c r="AL1576" t="s">
        <v>26</v>
      </c>
      <c r="AM1576" t="s">
        <v>26</v>
      </c>
      <c r="AN1576" t="s">
        <v>26</v>
      </c>
      <c r="AO1576" s="25" t="s">
        <v>68</v>
      </c>
      <c r="AP1576" s="23" t="s">
        <v>69</v>
      </c>
      <c r="AQ1576" s="23" t="s">
        <v>30</v>
      </c>
      <c r="AR1576" s="23" t="s">
        <v>4057</v>
      </c>
      <c r="AS1576" s="25">
        <v>6204</v>
      </c>
      <c r="AT1576" t="s">
        <v>26</v>
      </c>
      <c r="AU1576" t="s">
        <v>24308</v>
      </c>
    </row>
    <row r="1577" spans="1:47" ht="26.25" x14ac:dyDescent="0.4">
      <c r="A1577" s="23" t="s">
        <v>4058</v>
      </c>
      <c r="B1577" t="s">
        <v>26</v>
      </c>
      <c r="C1577" s="23" t="s">
        <v>80</v>
      </c>
      <c r="D1577" s="23" t="s">
        <v>22174</v>
      </c>
      <c r="E1577" s="23" t="s">
        <v>60</v>
      </c>
      <c r="F1577" s="25" t="s">
        <v>4059</v>
      </c>
      <c r="G1577" s="25" t="s">
        <v>4060</v>
      </c>
      <c r="H1577" t="s">
        <v>26</v>
      </c>
      <c r="I1577" s="24">
        <v>34700</v>
      </c>
      <c r="J1577" s="24">
        <v>35796</v>
      </c>
      <c r="K1577" t="s">
        <v>26</v>
      </c>
      <c r="L1577" s="25" t="s">
        <v>68</v>
      </c>
      <c r="M1577" s="24">
        <v>34700</v>
      </c>
      <c r="N1577" s="24">
        <v>35796</v>
      </c>
      <c r="O1577" t="s">
        <v>26</v>
      </c>
      <c r="P1577" s="24">
        <v>34700</v>
      </c>
      <c r="Q1577" s="24">
        <v>35796</v>
      </c>
      <c r="R1577" t="s">
        <v>26</v>
      </c>
      <c r="S1577" t="s">
        <v>26</v>
      </c>
      <c r="T1577" t="s">
        <v>26</v>
      </c>
      <c r="U1577" t="s">
        <v>26</v>
      </c>
      <c r="V1577" t="s">
        <v>26</v>
      </c>
      <c r="W1577" s="24">
        <v>32874</v>
      </c>
      <c r="X1577" s="25" t="s">
        <v>77</v>
      </c>
      <c r="Y1577" t="s">
        <v>26</v>
      </c>
      <c r="Z1577" s="24">
        <v>32874</v>
      </c>
      <c r="AA1577" s="25" t="s">
        <v>77</v>
      </c>
      <c r="AB1577" t="s">
        <v>26</v>
      </c>
      <c r="AC1577" s="24">
        <v>34700</v>
      </c>
      <c r="AD1577" s="25" t="s">
        <v>77</v>
      </c>
      <c r="AE1577" t="s">
        <v>26</v>
      </c>
      <c r="AF1577" t="s">
        <v>26</v>
      </c>
      <c r="AG1577" t="s">
        <v>26</v>
      </c>
      <c r="AH1577" t="s">
        <v>26</v>
      </c>
      <c r="AI1577" t="s">
        <v>26</v>
      </c>
      <c r="AJ1577" t="s">
        <v>26</v>
      </c>
      <c r="AK1577" t="s">
        <v>26</v>
      </c>
      <c r="AL1577" t="s">
        <v>26</v>
      </c>
      <c r="AM1577" t="s">
        <v>26</v>
      </c>
      <c r="AN1577" t="s">
        <v>26</v>
      </c>
      <c r="AO1577" s="25" t="s">
        <v>68</v>
      </c>
      <c r="AP1577" s="23" t="s">
        <v>69</v>
      </c>
      <c r="AQ1577" s="23" t="s">
        <v>30</v>
      </c>
      <c r="AR1577" s="23" t="s">
        <v>1332</v>
      </c>
      <c r="AS1577" s="25">
        <v>45689</v>
      </c>
      <c r="AT1577" t="s">
        <v>26</v>
      </c>
      <c r="AU1577" t="s">
        <v>24309</v>
      </c>
    </row>
    <row r="1578" spans="1:47" ht="39.4" x14ac:dyDescent="0.4">
      <c r="A1578" s="23" t="s">
        <v>4061</v>
      </c>
      <c r="B1578" t="s">
        <v>26</v>
      </c>
      <c r="C1578" s="23" t="s">
        <v>107</v>
      </c>
      <c r="D1578" s="23" t="s">
        <v>22312</v>
      </c>
      <c r="E1578" s="23" t="s">
        <v>42</v>
      </c>
      <c r="F1578" s="25" t="s">
        <v>4062</v>
      </c>
      <c r="G1578" s="25" t="s">
        <v>4063</v>
      </c>
      <c r="H1578" t="s">
        <v>26</v>
      </c>
      <c r="I1578" s="24">
        <v>35886</v>
      </c>
      <c r="J1578" s="24">
        <v>40238</v>
      </c>
      <c r="K1578" t="s">
        <v>26</v>
      </c>
      <c r="L1578" s="25" t="s">
        <v>68</v>
      </c>
      <c r="M1578" s="24">
        <v>35886</v>
      </c>
      <c r="N1578" s="24">
        <v>39783</v>
      </c>
      <c r="O1578" t="s">
        <v>26</v>
      </c>
      <c r="P1578" s="24">
        <v>35886</v>
      </c>
      <c r="Q1578" s="24">
        <v>40238</v>
      </c>
      <c r="R1578" t="s">
        <v>26</v>
      </c>
      <c r="S1578" t="s">
        <v>26</v>
      </c>
      <c r="T1578" t="s">
        <v>26</v>
      </c>
      <c r="U1578" t="s">
        <v>26</v>
      </c>
      <c r="V1578" t="s">
        <v>26</v>
      </c>
      <c r="W1578" s="24">
        <v>33970</v>
      </c>
      <c r="X1578" s="25" t="s">
        <v>77</v>
      </c>
      <c r="Y1578" t="s">
        <v>26</v>
      </c>
      <c r="Z1578" s="24">
        <v>33970</v>
      </c>
      <c r="AA1578" s="25" t="s">
        <v>77</v>
      </c>
      <c r="AB1578" t="s">
        <v>26</v>
      </c>
      <c r="AC1578" s="24">
        <v>36800</v>
      </c>
      <c r="AD1578" s="25" t="s">
        <v>77</v>
      </c>
      <c r="AE1578" t="s">
        <v>26</v>
      </c>
      <c r="AF1578" t="s">
        <v>26</v>
      </c>
      <c r="AG1578" t="s">
        <v>26</v>
      </c>
      <c r="AH1578" t="s">
        <v>26</v>
      </c>
      <c r="AI1578" t="s">
        <v>26</v>
      </c>
      <c r="AJ1578" t="s">
        <v>26</v>
      </c>
      <c r="AK1578" t="s">
        <v>26</v>
      </c>
      <c r="AL1578" t="s">
        <v>26</v>
      </c>
      <c r="AM1578" t="s">
        <v>26</v>
      </c>
      <c r="AN1578" t="s">
        <v>26</v>
      </c>
      <c r="AO1578" s="25" t="s">
        <v>68</v>
      </c>
      <c r="AP1578" s="23" t="s">
        <v>69</v>
      </c>
      <c r="AQ1578" s="23" t="s">
        <v>30</v>
      </c>
      <c r="AR1578" s="23" t="s">
        <v>4064</v>
      </c>
      <c r="AS1578" s="25">
        <v>31756</v>
      </c>
      <c r="AT1578" t="s">
        <v>26</v>
      </c>
      <c r="AU1578" t="s">
        <v>24310</v>
      </c>
    </row>
    <row r="1579" spans="1:47" ht="26.25" x14ac:dyDescent="0.4">
      <c r="A1579" s="23" t="s">
        <v>4065</v>
      </c>
      <c r="B1579" t="s">
        <v>26</v>
      </c>
      <c r="C1579" s="23" t="s">
        <v>181</v>
      </c>
      <c r="D1579" s="23" t="s">
        <v>22174</v>
      </c>
      <c r="E1579" s="23" t="s">
        <v>60</v>
      </c>
      <c r="F1579" s="25" t="s">
        <v>4066</v>
      </c>
      <c r="G1579" s="25" t="s">
        <v>4067</v>
      </c>
      <c r="H1579" t="s">
        <v>26</v>
      </c>
      <c r="I1579" s="24">
        <v>38777</v>
      </c>
      <c r="J1579" s="24">
        <v>41244</v>
      </c>
      <c r="K1579" t="s">
        <v>26</v>
      </c>
      <c r="L1579" s="25" t="s">
        <v>68</v>
      </c>
      <c r="M1579" t="s">
        <v>26</v>
      </c>
      <c r="N1579" t="s">
        <v>26</v>
      </c>
      <c r="O1579" t="s">
        <v>26</v>
      </c>
      <c r="P1579" s="24">
        <v>38777</v>
      </c>
      <c r="Q1579" s="24">
        <v>41244</v>
      </c>
      <c r="R1579" t="s">
        <v>26</v>
      </c>
      <c r="S1579" t="s">
        <v>26</v>
      </c>
      <c r="T1579" t="s">
        <v>26</v>
      </c>
      <c r="U1579" t="s">
        <v>26</v>
      </c>
      <c r="V1579" t="s">
        <v>26</v>
      </c>
      <c r="W1579" s="24">
        <v>38777</v>
      </c>
      <c r="X1579" s="25" t="s">
        <v>77</v>
      </c>
      <c r="Y1579" t="s">
        <v>26</v>
      </c>
      <c r="Z1579" s="24">
        <v>38777</v>
      </c>
      <c r="AA1579" s="25" t="s">
        <v>77</v>
      </c>
      <c r="AB1579" t="s">
        <v>26</v>
      </c>
      <c r="AC1579" s="24">
        <v>38777</v>
      </c>
      <c r="AD1579" s="25" t="s">
        <v>77</v>
      </c>
      <c r="AE1579" t="s">
        <v>26</v>
      </c>
      <c r="AF1579" t="s">
        <v>26</v>
      </c>
      <c r="AG1579" t="s">
        <v>26</v>
      </c>
      <c r="AH1579" t="s">
        <v>26</v>
      </c>
      <c r="AI1579" t="s">
        <v>26</v>
      </c>
      <c r="AJ1579" t="s">
        <v>26</v>
      </c>
      <c r="AK1579" t="s">
        <v>26</v>
      </c>
      <c r="AL1579" t="s">
        <v>26</v>
      </c>
      <c r="AM1579" t="s">
        <v>26</v>
      </c>
      <c r="AN1579" t="s">
        <v>26</v>
      </c>
      <c r="AO1579" s="25" t="s">
        <v>68</v>
      </c>
      <c r="AP1579" s="23" t="s">
        <v>69</v>
      </c>
      <c r="AQ1579" s="23" t="s">
        <v>30</v>
      </c>
      <c r="AR1579" s="23" t="s">
        <v>152</v>
      </c>
      <c r="AS1579" s="25">
        <v>75959</v>
      </c>
      <c r="AT1579" t="s">
        <v>26</v>
      </c>
      <c r="AU1579" t="s">
        <v>24311</v>
      </c>
    </row>
    <row r="1580" spans="1:47" ht="26.25" x14ac:dyDescent="0.4">
      <c r="A1580" s="23" t="s">
        <v>4068</v>
      </c>
      <c r="B1580" t="s">
        <v>26</v>
      </c>
      <c r="C1580" s="23" t="s">
        <v>172</v>
      </c>
      <c r="D1580" s="23" t="s">
        <v>22256</v>
      </c>
      <c r="E1580" s="23" t="s">
        <v>60</v>
      </c>
      <c r="F1580" s="25" t="s">
        <v>4069</v>
      </c>
      <c r="G1580" s="25" t="s">
        <v>4070</v>
      </c>
      <c r="H1580" t="s">
        <v>26</v>
      </c>
      <c r="I1580" s="24">
        <v>35855</v>
      </c>
      <c r="J1580" s="24">
        <v>41609</v>
      </c>
      <c r="K1580" t="s">
        <v>26</v>
      </c>
      <c r="L1580" s="25" t="s">
        <v>68</v>
      </c>
      <c r="M1580" s="24">
        <v>35855</v>
      </c>
      <c r="N1580" s="24">
        <v>38869</v>
      </c>
      <c r="O1580" t="s">
        <v>26</v>
      </c>
      <c r="P1580" s="24">
        <v>35855</v>
      </c>
      <c r="Q1580" s="24">
        <v>41609</v>
      </c>
      <c r="R1580" t="s">
        <v>26</v>
      </c>
      <c r="S1580" t="s">
        <v>26</v>
      </c>
      <c r="T1580" t="s">
        <v>26</v>
      </c>
      <c r="U1580" t="s">
        <v>26</v>
      </c>
      <c r="V1580" t="s">
        <v>26</v>
      </c>
      <c r="W1580" s="24">
        <v>35855</v>
      </c>
      <c r="X1580" s="25" t="s">
        <v>77</v>
      </c>
      <c r="Y1580" t="s">
        <v>26</v>
      </c>
      <c r="Z1580" s="24">
        <v>35855</v>
      </c>
      <c r="AA1580" s="25" t="s">
        <v>77</v>
      </c>
      <c r="AB1580" t="s">
        <v>26</v>
      </c>
      <c r="AC1580" s="24">
        <v>35855</v>
      </c>
      <c r="AD1580" s="25" t="s">
        <v>77</v>
      </c>
      <c r="AE1580" t="s">
        <v>26</v>
      </c>
      <c r="AF1580" t="s">
        <v>26</v>
      </c>
      <c r="AG1580" t="s">
        <v>26</v>
      </c>
      <c r="AH1580" t="s">
        <v>26</v>
      </c>
      <c r="AI1580" t="s">
        <v>26</v>
      </c>
      <c r="AJ1580" t="s">
        <v>26</v>
      </c>
      <c r="AK1580" t="s">
        <v>26</v>
      </c>
      <c r="AL1580" t="s">
        <v>26</v>
      </c>
      <c r="AM1580" t="s">
        <v>26</v>
      </c>
      <c r="AN1580" t="s">
        <v>26</v>
      </c>
      <c r="AO1580" s="25" t="s">
        <v>68</v>
      </c>
      <c r="AP1580" s="23" t="s">
        <v>69</v>
      </c>
      <c r="AQ1580" s="23" t="s">
        <v>30</v>
      </c>
      <c r="AR1580" s="23" t="s">
        <v>3935</v>
      </c>
      <c r="AS1580" s="25">
        <v>2350</v>
      </c>
      <c r="AT1580" t="s">
        <v>26</v>
      </c>
      <c r="AU1580" t="s">
        <v>24312</v>
      </c>
    </row>
    <row r="1581" spans="1:47" ht="26.25" x14ac:dyDescent="0.4">
      <c r="A1581" s="23" t="s">
        <v>4071</v>
      </c>
      <c r="B1581" t="s">
        <v>26</v>
      </c>
      <c r="C1581" s="23" t="s">
        <v>981</v>
      </c>
      <c r="D1581" s="23" t="s">
        <v>22579</v>
      </c>
      <c r="E1581" s="23" t="s">
        <v>42</v>
      </c>
      <c r="F1581" s="25" t="s">
        <v>4072</v>
      </c>
      <c r="G1581" s="25" t="s">
        <v>4073</v>
      </c>
      <c r="H1581" t="s">
        <v>26</v>
      </c>
      <c r="I1581" s="24">
        <v>35521</v>
      </c>
      <c r="J1581" s="24">
        <v>40452</v>
      </c>
      <c r="K1581" t="s">
        <v>26</v>
      </c>
      <c r="L1581" s="25" t="s">
        <v>68</v>
      </c>
      <c r="M1581" s="24">
        <v>35521</v>
      </c>
      <c r="N1581" s="24">
        <v>40452</v>
      </c>
      <c r="O1581" t="s">
        <v>26</v>
      </c>
      <c r="P1581" s="24">
        <v>35521</v>
      </c>
      <c r="Q1581" s="24">
        <v>40452</v>
      </c>
      <c r="R1581" t="s">
        <v>26</v>
      </c>
      <c r="S1581" t="s">
        <v>26</v>
      </c>
      <c r="T1581" t="s">
        <v>26</v>
      </c>
      <c r="U1581" t="s">
        <v>26</v>
      </c>
      <c r="V1581" t="s">
        <v>26</v>
      </c>
      <c r="W1581" s="24">
        <v>35521</v>
      </c>
      <c r="X1581" s="25" t="s">
        <v>77</v>
      </c>
      <c r="Y1581" t="s">
        <v>26</v>
      </c>
      <c r="Z1581" s="24">
        <v>35521</v>
      </c>
      <c r="AA1581" s="25" t="s">
        <v>77</v>
      </c>
      <c r="AB1581" t="s">
        <v>26</v>
      </c>
      <c r="AC1581" s="24">
        <v>37987</v>
      </c>
      <c r="AD1581" s="25" t="s">
        <v>77</v>
      </c>
      <c r="AE1581" t="s">
        <v>26</v>
      </c>
      <c r="AF1581" t="s">
        <v>26</v>
      </c>
      <c r="AG1581" t="s">
        <v>26</v>
      </c>
      <c r="AH1581" t="s">
        <v>26</v>
      </c>
      <c r="AI1581" t="s">
        <v>26</v>
      </c>
      <c r="AJ1581" t="s">
        <v>26</v>
      </c>
      <c r="AK1581" t="s">
        <v>26</v>
      </c>
      <c r="AL1581" t="s">
        <v>26</v>
      </c>
      <c r="AM1581" t="s">
        <v>26</v>
      </c>
      <c r="AN1581" t="s">
        <v>26</v>
      </c>
      <c r="AO1581" s="25" t="s">
        <v>68</v>
      </c>
      <c r="AP1581" s="23" t="s">
        <v>69</v>
      </c>
      <c r="AQ1581" s="23" t="s">
        <v>30</v>
      </c>
      <c r="AR1581" s="23" t="s">
        <v>4074</v>
      </c>
      <c r="AS1581" s="25">
        <v>34493</v>
      </c>
      <c r="AT1581" t="s">
        <v>26</v>
      </c>
      <c r="AU1581" t="s">
        <v>24313</v>
      </c>
    </row>
    <row r="1582" spans="1:47" ht="26.25" x14ac:dyDescent="0.4">
      <c r="A1582" s="23" t="s">
        <v>4075</v>
      </c>
      <c r="B1582" t="s">
        <v>26</v>
      </c>
      <c r="C1582" s="23" t="s">
        <v>908</v>
      </c>
      <c r="D1582" s="23" t="s">
        <v>22174</v>
      </c>
      <c r="E1582" s="23" t="s">
        <v>60</v>
      </c>
      <c r="F1582" s="25" t="s">
        <v>4076</v>
      </c>
      <c r="G1582" s="25" t="s">
        <v>4077</v>
      </c>
      <c r="H1582" t="s">
        <v>26</v>
      </c>
      <c r="I1582" s="24">
        <v>29007</v>
      </c>
      <c r="J1582" s="25" t="s">
        <v>77</v>
      </c>
      <c r="K1582" t="s">
        <v>26</v>
      </c>
      <c r="L1582" s="25" t="s">
        <v>68</v>
      </c>
      <c r="M1582" s="24">
        <v>36526</v>
      </c>
      <c r="N1582" s="25" t="s">
        <v>77</v>
      </c>
      <c r="O1582" t="s">
        <v>26</v>
      </c>
      <c r="P1582" s="24">
        <v>29007</v>
      </c>
      <c r="Q1582" s="25" t="s">
        <v>77</v>
      </c>
      <c r="R1582" t="s">
        <v>26</v>
      </c>
      <c r="S1582" t="s">
        <v>26</v>
      </c>
      <c r="T1582" t="s">
        <v>26</v>
      </c>
      <c r="U1582" t="s">
        <v>26</v>
      </c>
      <c r="V1582" s="25">
        <v>180</v>
      </c>
      <c r="W1582" s="24">
        <v>29007</v>
      </c>
      <c r="X1582" s="25" t="s">
        <v>77</v>
      </c>
      <c r="Y1582" t="s">
        <v>26</v>
      </c>
      <c r="Z1582" s="24">
        <v>29007</v>
      </c>
      <c r="AA1582" s="25" t="s">
        <v>77</v>
      </c>
      <c r="AB1582" t="s">
        <v>26</v>
      </c>
      <c r="AC1582" s="24">
        <v>29007</v>
      </c>
      <c r="AD1582" s="25" t="s">
        <v>77</v>
      </c>
      <c r="AE1582" t="s">
        <v>26</v>
      </c>
      <c r="AF1582" t="s">
        <v>26</v>
      </c>
      <c r="AG1582" t="s">
        <v>26</v>
      </c>
      <c r="AH1582" t="s">
        <v>26</v>
      </c>
      <c r="AI1582" t="s">
        <v>26</v>
      </c>
      <c r="AJ1582" t="s">
        <v>26</v>
      </c>
      <c r="AK1582" t="s">
        <v>26</v>
      </c>
      <c r="AL1582" t="s">
        <v>26</v>
      </c>
      <c r="AM1582" t="s">
        <v>26</v>
      </c>
      <c r="AN1582" t="s">
        <v>26</v>
      </c>
      <c r="AO1582" s="25" t="s">
        <v>68</v>
      </c>
      <c r="AP1582" s="23" t="s">
        <v>69</v>
      </c>
      <c r="AQ1582" s="23" t="s">
        <v>30</v>
      </c>
      <c r="AR1582" s="23" t="s">
        <v>277</v>
      </c>
      <c r="AS1582" s="25">
        <v>2041065</v>
      </c>
      <c r="AT1582" t="s">
        <v>26</v>
      </c>
      <c r="AU1582" t="s">
        <v>24314</v>
      </c>
    </row>
    <row r="1583" spans="1:47" ht="26.25" x14ac:dyDescent="0.4">
      <c r="A1583" s="23" t="s">
        <v>4078</v>
      </c>
      <c r="B1583" t="s">
        <v>26</v>
      </c>
      <c r="C1583" s="23" t="s">
        <v>908</v>
      </c>
      <c r="D1583" t="s">
        <v>26</v>
      </c>
      <c r="E1583" s="23" t="s">
        <v>60</v>
      </c>
      <c r="F1583" s="25" t="s">
        <v>4079</v>
      </c>
      <c r="G1583" t="s">
        <v>26</v>
      </c>
      <c r="H1583" t="s">
        <v>26</v>
      </c>
      <c r="I1583" s="24">
        <v>28550</v>
      </c>
      <c r="J1583" s="24">
        <v>28825</v>
      </c>
      <c r="K1583" t="s">
        <v>26</v>
      </c>
      <c r="L1583" s="25" t="s">
        <v>68</v>
      </c>
      <c r="M1583" t="s">
        <v>26</v>
      </c>
      <c r="N1583" t="s">
        <v>26</v>
      </c>
      <c r="O1583" t="s">
        <v>26</v>
      </c>
      <c r="P1583" s="24">
        <v>28550</v>
      </c>
      <c r="Q1583" s="24">
        <v>28825</v>
      </c>
      <c r="R1583" t="s">
        <v>26</v>
      </c>
      <c r="S1583" t="s">
        <v>26</v>
      </c>
      <c r="T1583" t="s">
        <v>26</v>
      </c>
      <c r="U1583" t="s">
        <v>26</v>
      </c>
      <c r="V1583" t="s">
        <v>26</v>
      </c>
      <c r="W1583" s="24">
        <v>28550</v>
      </c>
      <c r="X1583" s="24">
        <v>28825</v>
      </c>
      <c r="Y1583" t="s">
        <v>26</v>
      </c>
      <c r="Z1583" s="24">
        <v>28550</v>
      </c>
      <c r="AA1583" s="24">
        <v>28825</v>
      </c>
      <c r="AB1583" t="s">
        <v>26</v>
      </c>
      <c r="AC1583" s="24">
        <v>28550</v>
      </c>
      <c r="AD1583" s="24">
        <v>28825</v>
      </c>
      <c r="AE1583" t="s">
        <v>26</v>
      </c>
      <c r="AF1583" t="s">
        <v>26</v>
      </c>
      <c r="AG1583" t="s">
        <v>26</v>
      </c>
      <c r="AH1583" t="s">
        <v>26</v>
      </c>
      <c r="AI1583" t="s">
        <v>26</v>
      </c>
      <c r="AJ1583" t="s">
        <v>26</v>
      </c>
      <c r="AK1583" t="s">
        <v>26</v>
      </c>
      <c r="AL1583" t="s">
        <v>26</v>
      </c>
      <c r="AM1583" t="s">
        <v>26</v>
      </c>
      <c r="AN1583" t="s">
        <v>26</v>
      </c>
      <c r="AO1583" s="25" t="s">
        <v>68</v>
      </c>
      <c r="AP1583" s="23" t="s">
        <v>69</v>
      </c>
      <c r="AQ1583" s="23" t="s">
        <v>30</v>
      </c>
      <c r="AR1583" s="23" t="s">
        <v>277</v>
      </c>
      <c r="AS1583" s="25">
        <v>2041062</v>
      </c>
      <c r="AT1583" t="s">
        <v>26</v>
      </c>
      <c r="AU1583" t="s">
        <v>24315</v>
      </c>
    </row>
    <row r="1584" spans="1:47" ht="26.25" x14ac:dyDescent="0.4">
      <c r="A1584" s="23" t="s">
        <v>4080</v>
      </c>
      <c r="B1584" t="s">
        <v>26</v>
      </c>
      <c r="C1584" s="23" t="s">
        <v>4080</v>
      </c>
      <c r="D1584" s="23" t="s">
        <v>24316</v>
      </c>
      <c r="E1584" s="23" t="s">
        <v>335</v>
      </c>
      <c r="F1584" t="s">
        <v>26</v>
      </c>
      <c r="G1584" s="25" t="s">
        <v>4081</v>
      </c>
      <c r="H1584" t="s">
        <v>26</v>
      </c>
      <c r="I1584" t="s">
        <v>26</v>
      </c>
      <c r="J1584" t="s">
        <v>26</v>
      </c>
      <c r="K1584" t="s">
        <v>26</v>
      </c>
      <c r="L1584" s="25" t="s">
        <v>68</v>
      </c>
      <c r="M1584" t="s">
        <v>26</v>
      </c>
      <c r="N1584" t="s">
        <v>26</v>
      </c>
      <c r="O1584" t="s">
        <v>26</v>
      </c>
      <c r="P1584" t="s">
        <v>26</v>
      </c>
      <c r="Q1584" t="s">
        <v>26</v>
      </c>
      <c r="R1584" t="s">
        <v>26</v>
      </c>
      <c r="S1584" t="s">
        <v>26</v>
      </c>
      <c r="T1584" t="s">
        <v>26</v>
      </c>
      <c r="U1584" t="s">
        <v>26</v>
      </c>
      <c r="V1584" t="s">
        <v>26</v>
      </c>
      <c r="W1584" s="24">
        <v>41640</v>
      </c>
      <c r="X1584" s="24">
        <v>43831</v>
      </c>
      <c r="Y1584" s="25" t="s">
        <v>2839</v>
      </c>
      <c r="Z1584" s="24">
        <v>41640</v>
      </c>
      <c r="AA1584" s="24">
        <v>43831</v>
      </c>
      <c r="AB1584" s="25" t="s">
        <v>2839</v>
      </c>
      <c r="AC1584" s="24">
        <v>41640</v>
      </c>
      <c r="AD1584" s="24">
        <v>43831</v>
      </c>
      <c r="AE1584" s="25" t="s">
        <v>2839</v>
      </c>
      <c r="AF1584" t="s">
        <v>26</v>
      </c>
      <c r="AG1584" t="s">
        <v>26</v>
      </c>
      <c r="AH1584" t="s">
        <v>26</v>
      </c>
      <c r="AI1584" t="s">
        <v>26</v>
      </c>
      <c r="AJ1584" t="s">
        <v>26</v>
      </c>
      <c r="AK1584" t="s">
        <v>26</v>
      </c>
      <c r="AL1584" t="s">
        <v>26</v>
      </c>
      <c r="AM1584" t="s">
        <v>26</v>
      </c>
      <c r="AN1584" t="s">
        <v>26</v>
      </c>
      <c r="AO1584" s="25" t="s">
        <v>28</v>
      </c>
      <c r="AP1584" s="23" t="s">
        <v>69</v>
      </c>
      <c r="AQ1584" s="23" t="s">
        <v>30</v>
      </c>
      <c r="AR1584" s="23" t="s">
        <v>277</v>
      </c>
      <c r="AS1584" s="25">
        <v>2033159</v>
      </c>
      <c r="AT1584" t="s">
        <v>26</v>
      </c>
      <c r="AU1584" t="s">
        <v>24317</v>
      </c>
    </row>
    <row r="1585" spans="1:47" ht="26.25" x14ac:dyDescent="0.4">
      <c r="A1585" s="23" t="s">
        <v>4082</v>
      </c>
      <c r="B1585" t="s">
        <v>26</v>
      </c>
      <c r="C1585" s="23" t="s">
        <v>80</v>
      </c>
      <c r="D1585" s="23" t="s">
        <v>22184</v>
      </c>
      <c r="E1585" s="23" t="s">
        <v>60</v>
      </c>
      <c r="F1585" s="25" t="s">
        <v>4083</v>
      </c>
      <c r="G1585" s="25" t="s">
        <v>4084</v>
      </c>
      <c r="H1585" t="s">
        <v>26</v>
      </c>
      <c r="I1585" t="s">
        <v>26</v>
      </c>
      <c r="J1585" t="s">
        <v>26</v>
      </c>
      <c r="K1585" t="s">
        <v>26</v>
      </c>
      <c r="L1585" s="25" t="s">
        <v>68</v>
      </c>
      <c r="M1585" t="s">
        <v>26</v>
      </c>
      <c r="N1585" t="s">
        <v>26</v>
      </c>
      <c r="O1585" t="s">
        <v>26</v>
      </c>
      <c r="P1585" t="s">
        <v>26</v>
      </c>
      <c r="Q1585" t="s">
        <v>26</v>
      </c>
      <c r="R1585" t="s">
        <v>26</v>
      </c>
      <c r="S1585" t="s">
        <v>26</v>
      </c>
      <c r="T1585" t="s">
        <v>26</v>
      </c>
      <c r="U1585" t="s">
        <v>26</v>
      </c>
      <c r="V1585" t="s">
        <v>26</v>
      </c>
      <c r="W1585" s="24">
        <v>40179</v>
      </c>
      <c r="X1585" s="25" t="s">
        <v>77</v>
      </c>
      <c r="Y1585" t="s">
        <v>26</v>
      </c>
      <c r="Z1585" s="24">
        <v>40179</v>
      </c>
      <c r="AA1585" s="25" t="s">
        <v>77</v>
      </c>
      <c r="AB1585" t="s">
        <v>26</v>
      </c>
      <c r="AC1585" s="24">
        <v>40179</v>
      </c>
      <c r="AD1585" s="25" t="s">
        <v>77</v>
      </c>
      <c r="AE1585" t="s">
        <v>26</v>
      </c>
      <c r="AF1585" t="s">
        <v>26</v>
      </c>
      <c r="AG1585" t="s">
        <v>26</v>
      </c>
      <c r="AH1585" t="s">
        <v>26</v>
      </c>
      <c r="AI1585" t="s">
        <v>26</v>
      </c>
      <c r="AJ1585" t="s">
        <v>26</v>
      </c>
      <c r="AK1585" t="s">
        <v>26</v>
      </c>
      <c r="AL1585" t="s">
        <v>26</v>
      </c>
      <c r="AM1585" t="s">
        <v>26</v>
      </c>
      <c r="AN1585" t="s">
        <v>26</v>
      </c>
      <c r="AO1585" s="25" t="s">
        <v>68</v>
      </c>
      <c r="AP1585" s="23" t="s">
        <v>69</v>
      </c>
      <c r="AQ1585" s="23" t="s">
        <v>30</v>
      </c>
      <c r="AR1585" s="23" t="s">
        <v>4085</v>
      </c>
      <c r="AS1585" s="25">
        <v>53152</v>
      </c>
      <c r="AT1585" t="s">
        <v>26</v>
      </c>
      <c r="AU1585" t="s">
        <v>24318</v>
      </c>
    </row>
    <row r="1586" spans="1:47" ht="26.25" x14ac:dyDescent="0.4">
      <c r="A1586" s="23" t="s">
        <v>4086</v>
      </c>
      <c r="B1586" t="s">
        <v>26</v>
      </c>
      <c r="C1586" s="23" t="s">
        <v>1958</v>
      </c>
      <c r="D1586" s="23" t="s">
        <v>24008</v>
      </c>
      <c r="E1586" s="23" t="s">
        <v>60</v>
      </c>
      <c r="F1586" s="25" t="s">
        <v>4087</v>
      </c>
      <c r="G1586" s="25" t="s">
        <v>4088</v>
      </c>
      <c r="H1586" t="s">
        <v>26</v>
      </c>
      <c r="I1586" t="s">
        <v>26</v>
      </c>
      <c r="J1586" t="s">
        <v>26</v>
      </c>
      <c r="K1586" t="s">
        <v>26</v>
      </c>
      <c r="L1586" s="25" t="s">
        <v>68</v>
      </c>
      <c r="M1586" t="s">
        <v>26</v>
      </c>
      <c r="N1586" t="s">
        <v>26</v>
      </c>
      <c r="O1586" t="s">
        <v>26</v>
      </c>
      <c r="P1586" t="s">
        <v>26</v>
      </c>
      <c r="Q1586" t="s">
        <v>26</v>
      </c>
      <c r="R1586" t="s">
        <v>26</v>
      </c>
      <c r="S1586" t="s">
        <v>26</v>
      </c>
      <c r="T1586" t="s">
        <v>26</v>
      </c>
      <c r="U1586" t="s">
        <v>26</v>
      </c>
      <c r="V1586" t="s">
        <v>26</v>
      </c>
      <c r="W1586" s="24">
        <v>37257</v>
      </c>
      <c r="X1586" s="25" t="s">
        <v>77</v>
      </c>
      <c r="Y1586" t="s">
        <v>26</v>
      </c>
      <c r="Z1586" s="24">
        <v>37257</v>
      </c>
      <c r="AA1586" s="25" t="s">
        <v>77</v>
      </c>
      <c r="AB1586" t="s">
        <v>26</v>
      </c>
      <c r="AC1586" s="24">
        <v>37257</v>
      </c>
      <c r="AD1586" s="25" t="s">
        <v>77</v>
      </c>
      <c r="AE1586" t="s">
        <v>26</v>
      </c>
      <c r="AF1586" t="s">
        <v>26</v>
      </c>
      <c r="AG1586" t="s">
        <v>26</v>
      </c>
      <c r="AH1586" t="s">
        <v>26</v>
      </c>
      <c r="AI1586" t="s">
        <v>26</v>
      </c>
      <c r="AJ1586" t="s">
        <v>26</v>
      </c>
      <c r="AK1586" t="s">
        <v>26</v>
      </c>
      <c r="AL1586" t="s">
        <v>26</v>
      </c>
      <c r="AM1586" t="s">
        <v>26</v>
      </c>
      <c r="AN1586" t="s">
        <v>26</v>
      </c>
      <c r="AO1586" s="25" t="s">
        <v>68</v>
      </c>
      <c r="AP1586" s="23" t="s">
        <v>69</v>
      </c>
      <c r="AQ1586" s="23" t="s">
        <v>30</v>
      </c>
      <c r="AR1586" s="23" t="s">
        <v>4089</v>
      </c>
      <c r="AS1586" s="25">
        <v>45946</v>
      </c>
      <c r="AT1586" t="s">
        <v>26</v>
      </c>
      <c r="AU1586" t="s">
        <v>24319</v>
      </c>
    </row>
    <row r="1587" spans="1:47" ht="26.25" x14ac:dyDescent="0.4">
      <c r="A1587" s="23" t="s">
        <v>4090</v>
      </c>
      <c r="B1587" t="s">
        <v>26</v>
      </c>
      <c r="C1587" s="23" t="s">
        <v>1576</v>
      </c>
      <c r="D1587" s="23" t="s">
        <v>23026</v>
      </c>
      <c r="E1587" s="23" t="s">
        <v>60</v>
      </c>
      <c r="F1587" s="25" t="s">
        <v>4091</v>
      </c>
      <c r="G1587" t="s">
        <v>26</v>
      </c>
      <c r="H1587" t="s">
        <v>26</v>
      </c>
      <c r="I1587" s="24">
        <v>38961</v>
      </c>
      <c r="J1587" s="25" t="s">
        <v>77</v>
      </c>
      <c r="K1587" t="s">
        <v>26</v>
      </c>
      <c r="L1587" s="25" t="s">
        <v>68</v>
      </c>
      <c r="M1587" s="24">
        <v>38961</v>
      </c>
      <c r="N1587" s="25" t="s">
        <v>77</v>
      </c>
      <c r="O1587" t="s">
        <v>26</v>
      </c>
      <c r="P1587" s="24">
        <v>38961</v>
      </c>
      <c r="Q1587" s="25" t="s">
        <v>77</v>
      </c>
      <c r="R1587" t="s">
        <v>26</v>
      </c>
      <c r="S1587" t="s">
        <v>26</v>
      </c>
      <c r="T1587" t="s">
        <v>26</v>
      </c>
      <c r="U1587" t="s">
        <v>26</v>
      </c>
      <c r="V1587" t="s">
        <v>26</v>
      </c>
      <c r="W1587" s="24">
        <v>38961</v>
      </c>
      <c r="X1587" s="25" t="s">
        <v>77</v>
      </c>
      <c r="Y1587" t="s">
        <v>26</v>
      </c>
      <c r="Z1587" s="24">
        <v>38961</v>
      </c>
      <c r="AA1587" s="25" t="s">
        <v>77</v>
      </c>
      <c r="AB1587" t="s">
        <v>26</v>
      </c>
      <c r="AC1587" s="24">
        <v>41699</v>
      </c>
      <c r="AD1587" s="25" t="s">
        <v>77</v>
      </c>
      <c r="AE1587" t="s">
        <v>26</v>
      </c>
      <c r="AF1587" t="s">
        <v>26</v>
      </c>
      <c r="AG1587" t="s">
        <v>26</v>
      </c>
      <c r="AH1587" t="s">
        <v>26</v>
      </c>
      <c r="AI1587" t="s">
        <v>26</v>
      </c>
      <c r="AJ1587" t="s">
        <v>26</v>
      </c>
      <c r="AK1587" t="s">
        <v>26</v>
      </c>
      <c r="AL1587" t="s">
        <v>26</v>
      </c>
      <c r="AM1587" t="s">
        <v>26</v>
      </c>
      <c r="AN1587" t="s">
        <v>26</v>
      </c>
      <c r="AO1587" s="25" t="s">
        <v>68</v>
      </c>
      <c r="AP1587" s="23" t="s">
        <v>69</v>
      </c>
      <c r="AQ1587" s="23" t="s">
        <v>30</v>
      </c>
      <c r="AR1587" s="23" t="s">
        <v>46</v>
      </c>
      <c r="AS1587" s="25">
        <v>28893</v>
      </c>
      <c r="AT1587" t="s">
        <v>26</v>
      </c>
      <c r="AU1587" t="s">
        <v>24320</v>
      </c>
    </row>
    <row r="1588" spans="1:47" ht="26.25" x14ac:dyDescent="0.4">
      <c r="A1588" s="23" t="s">
        <v>4092</v>
      </c>
      <c r="B1588" t="s">
        <v>26</v>
      </c>
      <c r="C1588" s="23" t="s">
        <v>80</v>
      </c>
      <c r="D1588" s="23" t="s">
        <v>22184</v>
      </c>
      <c r="E1588" s="23" t="s">
        <v>60</v>
      </c>
      <c r="F1588" s="25" t="s">
        <v>4093</v>
      </c>
      <c r="G1588" s="25" t="s">
        <v>4094</v>
      </c>
      <c r="H1588" t="s">
        <v>26</v>
      </c>
      <c r="I1588" t="s">
        <v>26</v>
      </c>
      <c r="J1588" t="s">
        <v>26</v>
      </c>
      <c r="K1588" t="s">
        <v>26</v>
      </c>
      <c r="L1588" s="25" t="s">
        <v>68</v>
      </c>
      <c r="M1588" t="s">
        <v>26</v>
      </c>
      <c r="N1588" t="s">
        <v>26</v>
      </c>
      <c r="O1588" t="s">
        <v>26</v>
      </c>
      <c r="P1588" t="s">
        <v>26</v>
      </c>
      <c r="Q1588" t="s">
        <v>26</v>
      </c>
      <c r="R1588" t="s">
        <v>26</v>
      </c>
      <c r="S1588" t="s">
        <v>26</v>
      </c>
      <c r="T1588" t="s">
        <v>26</v>
      </c>
      <c r="U1588" t="s">
        <v>26</v>
      </c>
      <c r="V1588" t="s">
        <v>26</v>
      </c>
      <c r="W1588" s="24">
        <v>42370</v>
      </c>
      <c r="X1588" s="25" t="s">
        <v>77</v>
      </c>
      <c r="Y1588" t="s">
        <v>26</v>
      </c>
      <c r="Z1588" s="24">
        <v>42370</v>
      </c>
      <c r="AA1588" s="25" t="s">
        <v>77</v>
      </c>
      <c r="AB1588" t="s">
        <v>26</v>
      </c>
      <c r="AC1588" s="24">
        <v>42370</v>
      </c>
      <c r="AD1588" s="25" t="s">
        <v>77</v>
      </c>
      <c r="AE1588" t="s">
        <v>26</v>
      </c>
      <c r="AF1588" t="s">
        <v>26</v>
      </c>
      <c r="AG1588" t="s">
        <v>26</v>
      </c>
      <c r="AH1588" t="s">
        <v>26</v>
      </c>
      <c r="AI1588" t="s">
        <v>26</v>
      </c>
      <c r="AJ1588" t="s">
        <v>26</v>
      </c>
      <c r="AK1588" t="s">
        <v>26</v>
      </c>
      <c r="AL1588" t="s">
        <v>26</v>
      </c>
      <c r="AM1588" t="s">
        <v>26</v>
      </c>
      <c r="AN1588" t="s">
        <v>26</v>
      </c>
      <c r="AO1588" s="25" t="s">
        <v>68</v>
      </c>
      <c r="AP1588" s="23" t="s">
        <v>69</v>
      </c>
      <c r="AQ1588" s="23" t="s">
        <v>30</v>
      </c>
      <c r="AR1588" s="23" t="s">
        <v>147</v>
      </c>
      <c r="AS1588" s="25">
        <v>2042089</v>
      </c>
      <c r="AT1588" t="s">
        <v>26</v>
      </c>
      <c r="AU1588" t="s">
        <v>24321</v>
      </c>
    </row>
    <row r="1589" spans="1:47" ht="26.25" x14ac:dyDescent="0.4">
      <c r="A1589" s="23" t="s">
        <v>4095</v>
      </c>
      <c r="B1589" t="s">
        <v>26</v>
      </c>
      <c r="C1589" s="23" t="s">
        <v>73</v>
      </c>
      <c r="D1589" s="23" t="s">
        <v>22215</v>
      </c>
      <c r="E1589" s="23" t="s">
        <v>74</v>
      </c>
      <c r="F1589" s="25" t="s">
        <v>4096</v>
      </c>
      <c r="G1589" s="25" t="s">
        <v>4097</v>
      </c>
      <c r="H1589" t="s">
        <v>26</v>
      </c>
      <c r="I1589" s="24">
        <v>37653</v>
      </c>
      <c r="J1589" s="25" t="s">
        <v>77</v>
      </c>
      <c r="K1589" s="25" t="s">
        <v>4098</v>
      </c>
      <c r="L1589" s="25" t="s">
        <v>68</v>
      </c>
      <c r="M1589" s="24">
        <v>37987</v>
      </c>
      <c r="N1589" s="24">
        <v>42826</v>
      </c>
      <c r="O1589" t="s">
        <v>26</v>
      </c>
      <c r="P1589" s="24">
        <v>37653</v>
      </c>
      <c r="Q1589" s="25" t="s">
        <v>77</v>
      </c>
      <c r="R1589" s="25" t="s">
        <v>4098</v>
      </c>
      <c r="S1589" t="s">
        <v>26</v>
      </c>
      <c r="T1589" t="s">
        <v>26</v>
      </c>
      <c r="U1589" t="s">
        <v>26</v>
      </c>
      <c r="V1589" s="25">
        <v>365</v>
      </c>
      <c r="W1589" s="24">
        <v>37316</v>
      </c>
      <c r="X1589" s="25" t="s">
        <v>77</v>
      </c>
      <c r="Y1589" s="25" t="s">
        <v>4098</v>
      </c>
      <c r="Z1589" s="24">
        <v>37653</v>
      </c>
      <c r="AA1589" s="25" t="s">
        <v>77</v>
      </c>
      <c r="AB1589" s="25" t="s">
        <v>4098</v>
      </c>
      <c r="AC1589" s="24">
        <v>37316</v>
      </c>
      <c r="AD1589" s="25" t="s">
        <v>77</v>
      </c>
      <c r="AE1589" t="s">
        <v>26</v>
      </c>
      <c r="AF1589" t="s">
        <v>26</v>
      </c>
      <c r="AG1589" t="s">
        <v>26</v>
      </c>
      <c r="AH1589" t="s">
        <v>26</v>
      </c>
      <c r="AI1589" t="s">
        <v>26</v>
      </c>
      <c r="AJ1589" t="s">
        <v>26</v>
      </c>
      <c r="AK1589" t="s">
        <v>26</v>
      </c>
      <c r="AL1589" t="s">
        <v>26</v>
      </c>
      <c r="AM1589" t="s">
        <v>26</v>
      </c>
      <c r="AN1589" t="s">
        <v>26</v>
      </c>
      <c r="AO1589" s="25" t="s">
        <v>68</v>
      </c>
      <c r="AP1589" s="23" t="s">
        <v>69</v>
      </c>
      <c r="AQ1589" s="23" t="s">
        <v>30</v>
      </c>
      <c r="AR1589" s="23" t="s">
        <v>417</v>
      </c>
      <c r="AS1589" s="25">
        <v>31401</v>
      </c>
      <c r="AT1589" t="s">
        <v>26</v>
      </c>
      <c r="AU1589" t="s">
        <v>24322</v>
      </c>
    </row>
    <row r="1590" spans="1:47" ht="26.25" x14ac:dyDescent="0.4">
      <c r="A1590" s="23" t="s">
        <v>4099</v>
      </c>
      <c r="B1590" t="s">
        <v>26</v>
      </c>
      <c r="C1590" s="23" t="s">
        <v>676</v>
      </c>
      <c r="D1590" s="23" t="s">
        <v>22179</v>
      </c>
      <c r="E1590" s="23" t="s">
        <v>74</v>
      </c>
      <c r="F1590" s="25" t="s">
        <v>4100</v>
      </c>
      <c r="G1590" s="25" t="s">
        <v>4101</v>
      </c>
      <c r="H1590" t="s">
        <v>26</v>
      </c>
      <c r="I1590" t="s">
        <v>26</v>
      </c>
      <c r="J1590" t="s">
        <v>26</v>
      </c>
      <c r="K1590" t="s">
        <v>26</v>
      </c>
      <c r="L1590" s="25" t="s">
        <v>68</v>
      </c>
      <c r="M1590" t="s">
        <v>26</v>
      </c>
      <c r="N1590" t="s">
        <v>26</v>
      </c>
      <c r="O1590" t="s">
        <v>26</v>
      </c>
      <c r="P1590" t="s">
        <v>26</v>
      </c>
      <c r="Q1590" t="s">
        <v>26</v>
      </c>
      <c r="R1590" t="s">
        <v>26</v>
      </c>
      <c r="S1590" t="s">
        <v>26</v>
      </c>
      <c r="T1590" t="s">
        <v>26</v>
      </c>
      <c r="U1590" t="s">
        <v>26</v>
      </c>
      <c r="V1590" t="s">
        <v>26</v>
      </c>
      <c r="W1590" s="24">
        <v>32540</v>
      </c>
      <c r="X1590" s="24">
        <v>42795</v>
      </c>
      <c r="Y1590" s="25" t="s">
        <v>4102</v>
      </c>
      <c r="Z1590" s="24">
        <v>32540</v>
      </c>
      <c r="AA1590" s="24">
        <v>42795</v>
      </c>
      <c r="AB1590" s="25" t="s">
        <v>4102</v>
      </c>
      <c r="AC1590" s="24">
        <v>32540</v>
      </c>
      <c r="AD1590" s="24">
        <v>42795</v>
      </c>
      <c r="AE1590" s="25" t="s">
        <v>4102</v>
      </c>
      <c r="AF1590" t="s">
        <v>26</v>
      </c>
      <c r="AG1590" t="s">
        <v>26</v>
      </c>
      <c r="AH1590" t="s">
        <v>26</v>
      </c>
      <c r="AI1590" t="s">
        <v>26</v>
      </c>
      <c r="AJ1590" t="s">
        <v>26</v>
      </c>
      <c r="AK1590" t="s">
        <v>26</v>
      </c>
      <c r="AL1590" t="s">
        <v>26</v>
      </c>
      <c r="AM1590" t="s">
        <v>26</v>
      </c>
      <c r="AN1590" t="s">
        <v>26</v>
      </c>
      <c r="AO1590" s="25" t="s">
        <v>68</v>
      </c>
      <c r="AP1590" s="23" t="s">
        <v>69</v>
      </c>
      <c r="AQ1590" s="23" t="s">
        <v>30</v>
      </c>
      <c r="AR1590" s="23" t="s">
        <v>1419</v>
      </c>
      <c r="AS1590" s="25">
        <v>29837</v>
      </c>
      <c r="AT1590" t="s">
        <v>26</v>
      </c>
      <c r="AU1590" t="s">
        <v>24323</v>
      </c>
    </row>
    <row r="1591" spans="1:47" ht="26.25" x14ac:dyDescent="0.4">
      <c r="A1591" s="23" t="s">
        <v>4103</v>
      </c>
      <c r="B1591" t="s">
        <v>26</v>
      </c>
      <c r="C1591" s="23" t="s">
        <v>73</v>
      </c>
      <c r="D1591" s="23" t="s">
        <v>22211</v>
      </c>
      <c r="E1591" s="23" t="s">
        <v>74</v>
      </c>
      <c r="F1591" s="25" t="s">
        <v>4104</v>
      </c>
      <c r="G1591" s="25" t="s">
        <v>4105</v>
      </c>
      <c r="H1591" t="s">
        <v>26</v>
      </c>
      <c r="I1591" s="24">
        <v>38443</v>
      </c>
      <c r="J1591" s="25" t="s">
        <v>77</v>
      </c>
      <c r="K1591" t="s">
        <v>26</v>
      </c>
      <c r="L1591" s="25" t="s">
        <v>68</v>
      </c>
      <c r="M1591" s="24">
        <v>38443</v>
      </c>
      <c r="N1591" s="24">
        <v>42795</v>
      </c>
      <c r="O1591" t="s">
        <v>26</v>
      </c>
      <c r="P1591" s="24">
        <v>38443</v>
      </c>
      <c r="Q1591" s="25" t="s">
        <v>77</v>
      </c>
      <c r="R1591" t="s">
        <v>26</v>
      </c>
      <c r="S1591" t="s">
        <v>26</v>
      </c>
      <c r="T1591" t="s">
        <v>26</v>
      </c>
      <c r="U1591" t="s">
        <v>26</v>
      </c>
      <c r="V1591" s="25">
        <v>365</v>
      </c>
      <c r="W1591" s="24">
        <v>38443</v>
      </c>
      <c r="X1591" s="25" t="s">
        <v>77</v>
      </c>
      <c r="Y1591" t="s">
        <v>26</v>
      </c>
      <c r="Z1591" s="24">
        <v>38443</v>
      </c>
      <c r="AA1591" s="25" t="s">
        <v>77</v>
      </c>
      <c r="AB1591" t="s">
        <v>26</v>
      </c>
      <c r="AC1591" s="24">
        <v>38443</v>
      </c>
      <c r="AD1591" s="25" t="s">
        <v>77</v>
      </c>
      <c r="AE1591" t="s">
        <v>26</v>
      </c>
      <c r="AF1591" t="s">
        <v>26</v>
      </c>
      <c r="AG1591" t="s">
        <v>26</v>
      </c>
      <c r="AH1591" t="s">
        <v>26</v>
      </c>
      <c r="AI1591" t="s">
        <v>26</v>
      </c>
      <c r="AJ1591" t="s">
        <v>26</v>
      </c>
      <c r="AK1591" t="s">
        <v>26</v>
      </c>
      <c r="AL1591" t="s">
        <v>26</v>
      </c>
      <c r="AM1591" t="s">
        <v>26</v>
      </c>
      <c r="AN1591" t="s">
        <v>26</v>
      </c>
      <c r="AO1591" s="25" t="s">
        <v>68</v>
      </c>
      <c r="AP1591" s="23" t="s">
        <v>69</v>
      </c>
      <c r="AQ1591" s="23" t="s">
        <v>30</v>
      </c>
      <c r="AR1591" s="23" t="s">
        <v>433</v>
      </c>
      <c r="AS1591" s="25">
        <v>54298</v>
      </c>
      <c r="AT1591" t="s">
        <v>26</v>
      </c>
      <c r="AU1591" t="s">
        <v>24324</v>
      </c>
    </row>
    <row r="1592" spans="1:47" ht="26.25" x14ac:dyDescent="0.4">
      <c r="A1592" s="23" t="s">
        <v>4106</v>
      </c>
      <c r="B1592" t="s">
        <v>26</v>
      </c>
      <c r="C1592" s="23" t="s">
        <v>981</v>
      </c>
      <c r="D1592" s="23" t="s">
        <v>22254</v>
      </c>
      <c r="E1592" s="23" t="s">
        <v>42</v>
      </c>
      <c r="F1592" s="25" t="s">
        <v>4107</v>
      </c>
      <c r="G1592" s="25" t="s">
        <v>4108</v>
      </c>
      <c r="H1592" t="s">
        <v>26</v>
      </c>
      <c r="I1592" s="24">
        <v>35431</v>
      </c>
      <c r="J1592" s="24">
        <v>40452</v>
      </c>
      <c r="K1592" t="s">
        <v>26</v>
      </c>
      <c r="L1592" s="25" t="s">
        <v>68</v>
      </c>
      <c r="M1592" s="24">
        <v>35431</v>
      </c>
      <c r="N1592" s="24">
        <v>40452</v>
      </c>
      <c r="O1592" t="s">
        <v>26</v>
      </c>
      <c r="P1592" s="24">
        <v>35431</v>
      </c>
      <c r="Q1592" s="24">
        <v>40452</v>
      </c>
      <c r="R1592" t="s">
        <v>26</v>
      </c>
      <c r="S1592" t="s">
        <v>26</v>
      </c>
      <c r="T1592" t="s">
        <v>26</v>
      </c>
      <c r="U1592" t="s">
        <v>26</v>
      </c>
      <c r="V1592" t="s">
        <v>26</v>
      </c>
      <c r="W1592" s="24">
        <v>35431</v>
      </c>
      <c r="X1592" s="25" t="s">
        <v>77</v>
      </c>
      <c r="Y1592" t="s">
        <v>26</v>
      </c>
      <c r="Z1592" s="24">
        <v>35431</v>
      </c>
      <c r="AA1592" s="25" t="s">
        <v>77</v>
      </c>
      <c r="AB1592" t="s">
        <v>26</v>
      </c>
      <c r="AC1592" s="24">
        <v>35431</v>
      </c>
      <c r="AD1592" s="25" t="s">
        <v>77</v>
      </c>
      <c r="AE1592" t="s">
        <v>26</v>
      </c>
      <c r="AF1592" t="s">
        <v>26</v>
      </c>
      <c r="AG1592" t="s">
        <v>26</v>
      </c>
      <c r="AH1592" t="s">
        <v>26</v>
      </c>
      <c r="AI1592" t="s">
        <v>26</v>
      </c>
      <c r="AJ1592" t="s">
        <v>26</v>
      </c>
      <c r="AK1592" t="s">
        <v>26</v>
      </c>
      <c r="AL1592" t="s">
        <v>26</v>
      </c>
      <c r="AM1592" t="s">
        <v>26</v>
      </c>
      <c r="AN1592" t="s">
        <v>26</v>
      </c>
      <c r="AO1592" s="25" t="s">
        <v>68</v>
      </c>
      <c r="AP1592" s="23" t="s">
        <v>69</v>
      </c>
      <c r="AQ1592" s="23" t="s">
        <v>30</v>
      </c>
      <c r="AR1592" s="23" t="s">
        <v>883</v>
      </c>
      <c r="AS1592" s="25">
        <v>40928</v>
      </c>
      <c r="AT1592" t="s">
        <v>26</v>
      </c>
      <c r="AU1592" t="s">
        <v>24325</v>
      </c>
    </row>
    <row r="1593" spans="1:47" ht="26.25" x14ac:dyDescent="0.4">
      <c r="A1593" s="23" t="s">
        <v>4109</v>
      </c>
      <c r="B1593" t="s">
        <v>26</v>
      </c>
      <c r="C1593" s="23" t="s">
        <v>465</v>
      </c>
      <c r="D1593" s="23" t="s">
        <v>22254</v>
      </c>
      <c r="E1593" s="23" t="s">
        <v>42</v>
      </c>
      <c r="F1593" s="25" t="s">
        <v>4110</v>
      </c>
      <c r="G1593" s="25" t="s">
        <v>4111</v>
      </c>
      <c r="H1593" t="s">
        <v>26</v>
      </c>
      <c r="I1593" t="s">
        <v>26</v>
      </c>
      <c r="J1593" t="s">
        <v>26</v>
      </c>
      <c r="K1593" t="s">
        <v>26</v>
      </c>
      <c r="L1593" s="25" t="s">
        <v>68</v>
      </c>
      <c r="M1593" t="s">
        <v>26</v>
      </c>
      <c r="N1593" t="s">
        <v>26</v>
      </c>
      <c r="O1593" t="s">
        <v>26</v>
      </c>
      <c r="P1593" t="s">
        <v>26</v>
      </c>
      <c r="Q1593" t="s">
        <v>26</v>
      </c>
      <c r="R1593" t="s">
        <v>26</v>
      </c>
      <c r="S1593" t="s">
        <v>26</v>
      </c>
      <c r="T1593" t="s">
        <v>26</v>
      </c>
      <c r="U1593" t="s">
        <v>26</v>
      </c>
      <c r="V1593" t="s">
        <v>26</v>
      </c>
      <c r="W1593" s="24">
        <v>32509</v>
      </c>
      <c r="X1593" s="25" t="s">
        <v>77</v>
      </c>
      <c r="Y1593" t="s">
        <v>26</v>
      </c>
      <c r="Z1593" s="24">
        <v>32509</v>
      </c>
      <c r="AA1593" s="25" t="s">
        <v>77</v>
      </c>
      <c r="AB1593" t="s">
        <v>26</v>
      </c>
      <c r="AC1593" s="24">
        <v>32509</v>
      </c>
      <c r="AD1593" s="25" t="s">
        <v>77</v>
      </c>
      <c r="AE1593" t="s">
        <v>26</v>
      </c>
      <c r="AF1593" t="s">
        <v>26</v>
      </c>
      <c r="AG1593" t="s">
        <v>26</v>
      </c>
      <c r="AH1593" t="s">
        <v>26</v>
      </c>
      <c r="AI1593" t="s">
        <v>26</v>
      </c>
      <c r="AJ1593" t="s">
        <v>26</v>
      </c>
      <c r="AK1593" t="s">
        <v>26</v>
      </c>
      <c r="AL1593" t="s">
        <v>26</v>
      </c>
      <c r="AM1593" t="s">
        <v>26</v>
      </c>
      <c r="AN1593" t="s">
        <v>26</v>
      </c>
      <c r="AO1593" s="25" t="s">
        <v>68</v>
      </c>
      <c r="AP1593" s="23" t="s">
        <v>69</v>
      </c>
      <c r="AQ1593" s="23" t="s">
        <v>30</v>
      </c>
      <c r="AR1593" s="23" t="s">
        <v>46</v>
      </c>
      <c r="AS1593" s="25">
        <v>7533</v>
      </c>
      <c r="AT1593" t="s">
        <v>26</v>
      </c>
      <c r="AU1593" t="s">
        <v>24326</v>
      </c>
    </row>
    <row r="1594" spans="1:47" ht="26.25" x14ac:dyDescent="0.4">
      <c r="A1594" s="23" t="s">
        <v>4109</v>
      </c>
      <c r="B1594" t="s">
        <v>26</v>
      </c>
      <c r="C1594" s="23" t="s">
        <v>465</v>
      </c>
      <c r="D1594" s="23" t="s">
        <v>22254</v>
      </c>
      <c r="E1594" s="23" t="s">
        <v>42</v>
      </c>
      <c r="F1594" s="25" t="s">
        <v>4112</v>
      </c>
      <c r="G1594" s="25" t="s">
        <v>4113</v>
      </c>
      <c r="H1594" t="s">
        <v>26</v>
      </c>
      <c r="I1594" t="s">
        <v>26</v>
      </c>
      <c r="J1594" t="s">
        <v>26</v>
      </c>
      <c r="K1594" t="s">
        <v>26</v>
      </c>
      <c r="L1594" s="25" t="s">
        <v>68</v>
      </c>
      <c r="M1594" t="s">
        <v>26</v>
      </c>
      <c r="N1594" t="s">
        <v>26</v>
      </c>
      <c r="O1594" t="s">
        <v>26</v>
      </c>
      <c r="P1594" t="s">
        <v>26</v>
      </c>
      <c r="Q1594" t="s">
        <v>26</v>
      </c>
      <c r="R1594" t="s">
        <v>26</v>
      </c>
      <c r="S1594" t="s">
        <v>26</v>
      </c>
      <c r="T1594" t="s">
        <v>26</v>
      </c>
      <c r="U1594" t="s">
        <v>26</v>
      </c>
      <c r="V1594" t="s">
        <v>26</v>
      </c>
      <c r="W1594" s="24">
        <v>32540</v>
      </c>
      <c r="X1594" s="25" t="s">
        <v>77</v>
      </c>
      <c r="Y1594" t="s">
        <v>26</v>
      </c>
      <c r="Z1594" s="24">
        <v>32540</v>
      </c>
      <c r="AA1594" s="25" t="s">
        <v>77</v>
      </c>
      <c r="AB1594" t="s">
        <v>26</v>
      </c>
      <c r="AC1594" s="24">
        <v>32540</v>
      </c>
      <c r="AD1594" s="25" t="s">
        <v>77</v>
      </c>
      <c r="AE1594" t="s">
        <v>26</v>
      </c>
      <c r="AF1594" t="s">
        <v>26</v>
      </c>
      <c r="AG1594" t="s">
        <v>26</v>
      </c>
      <c r="AH1594" t="s">
        <v>26</v>
      </c>
      <c r="AI1594" t="s">
        <v>26</v>
      </c>
      <c r="AJ1594" t="s">
        <v>26</v>
      </c>
      <c r="AK1594" t="s">
        <v>26</v>
      </c>
      <c r="AL1594" t="s">
        <v>26</v>
      </c>
      <c r="AM1594" t="s">
        <v>26</v>
      </c>
      <c r="AN1594" t="s">
        <v>26</v>
      </c>
      <c r="AO1594" s="25" t="s">
        <v>68</v>
      </c>
      <c r="AP1594" s="23" t="s">
        <v>69</v>
      </c>
      <c r="AQ1594" s="23" t="s">
        <v>30</v>
      </c>
      <c r="AR1594" s="23" t="s">
        <v>46</v>
      </c>
      <c r="AS1594" s="25">
        <v>37630</v>
      </c>
      <c r="AT1594" t="s">
        <v>26</v>
      </c>
      <c r="AU1594" t="s">
        <v>24327</v>
      </c>
    </row>
    <row r="1595" spans="1:47" ht="26.25" x14ac:dyDescent="0.4">
      <c r="A1595" s="23" t="s">
        <v>4109</v>
      </c>
      <c r="B1595" t="s">
        <v>26</v>
      </c>
      <c r="C1595" s="23" t="s">
        <v>465</v>
      </c>
      <c r="D1595" s="23" t="s">
        <v>22254</v>
      </c>
      <c r="E1595" s="23" t="s">
        <v>42</v>
      </c>
      <c r="F1595" s="25" t="s">
        <v>4114</v>
      </c>
      <c r="G1595" s="25" t="s">
        <v>4115</v>
      </c>
      <c r="H1595" t="s">
        <v>26</v>
      </c>
      <c r="I1595" t="s">
        <v>26</v>
      </c>
      <c r="J1595" t="s">
        <v>26</v>
      </c>
      <c r="K1595" t="s">
        <v>26</v>
      </c>
      <c r="L1595" s="25" t="s">
        <v>68</v>
      </c>
      <c r="M1595" t="s">
        <v>26</v>
      </c>
      <c r="N1595" t="s">
        <v>26</v>
      </c>
      <c r="O1595" t="s">
        <v>26</v>
      </c>
      <c r="P1595" t="s">
        <v>26</v>
      </c>
      <c r="Q1595" t="s">
        <v>26</v>
      </c>
      <c r="R1595" t="s">
        <v>26</v>
      </c>
      <c r="S1595" t="s">
        <v>26</v>
      </c>
      <c r="T1595" t="s">
        <v>26</v>
      </c>
      <c r="U1595" t="s">
        <v>26</v>
      </c>
      <c r="V1595" t="s">
        <v>26</v>
      </c>
      <c r="W1595" s="24">
        <v>32509</v>
      </c>
      <c r="X1595" s="25" t="s">
        <v>77</v>
      </c>
      <c r="Y1595" t="s">
        <v>26</v>
      </c>
      <c r="Z1595" s="24">
        <v>32509</v>
      </c>
      <c r="AA1595" s="25" t="s">
        <v>77</v>
      </c>
      <c r="AB1595" t="s">
        <v>26</v>
      </c>
      <c r="AC1595" s="24">
        <v>32509</v>
      </c>
      <c r="AD1595" s="25" t="s">
        <v>77</v>
      </c>
      <c r="AE1595" t="s">
        <v>26</v>
      </c>
      <c r="AF1595" t="s">
        <v>26</v>
      </c>
      <c r="AG1595" t="s">
        <v>26</v>
      </c>
      <c r="AH1595" t="s">
        <v>26</v>
      </c>
      <c r="AI1595" t="s">
        <v>26</v>
      </c>
      <c r="AJ1595" t="s">
        <v>26</v>
      </c>
      <c r="AK1595" t="s">
        <v>26</v>
      </c>
      <c r="AL1595" t="s">
        <v>26</v>
      </c>
      <c r="AM1595" t="s">
        <v>26</v>
      </c>
      <c r="AN1595" t="s">
        <v>26</v>
      </c>
      <c r="AO1595" s="25" t="s">
        <v>68</v>
      </c>
      <c r="AP1595" s="23" t="s">
        <v>69</v>
      </c>
      <c r="AQ1595" s="23" t="s">
        <v>30</v>
      </c>
      <c r="AR1595" s="23" t="s">
        <v>46</v>
      </c>
      <c r="AS1595" s="25">
        <v>37634</v>
      </c>
      <c r="AT1595" t="s">
        <v>26</v>
      </c>
      <c r="AU1595" t="s">
        <v>24328</v>
      </c>
    </row>
    <row r="1596" spans="1:47" ht="26.25" x14ac:dyDescent="0.4">
      <c r="A1596" s="23" t="s">
        <v>4109</v>
      </c>
      <c r="B1596" t="s">
        <v>26</v>
      </c>
      <c r="C1596" s="23" t="s">
        <v>465</v>
      </c>
      <c r="D1596" s="23" t="s">
        <v>22254</v>
      </c>
      <c r="E1596" s="23" t="s">
        <v>42</v>
      </c>
      <c r="F1596" s="25" t="s">
        <v>4116</v>
      </c>
      <c r="G1596" s="25" t="s">
        <v>4117</v>
      </c>
      <c r="H1596" t="s">
        <v>26</v>
      </c>
      <c r="I1596" t="s">
        <v>26</v>
      </c>
      <c r="J1596" t="s">
        <v>26</v>
      </c>
      <c r="K1596" t="s">
        <v>26</v>
      </c>
      <c r="L1596" s="25" t="s">
        <v>68</v>
      </c>
      <c r="M1596" t="s">
        <v>26</v>
      </c>
      <c r="N1596" t="s">
        <v>26</v>
      </c>
      <c r="O1596" t="s">
        <v>26</v>
      </c>
      <c r="P1596" t="s">
        <v>26</v>
      </c>
      <c r="Q1596" t="s">
        <v>26</v>
      </c>
      <c r="R1596" t="s">
        <v>26</v>
      </c>
      <c r="S1596" t="s">
        <v>26</v>
      </c>
      <c r="T1596" t="s">
        <v>26</v>
      </c>
      <c r="U1596" t="s">
        <v>26</v>
      </c>
      <c r="V1596" t="s">
        <v>26</v>
      </c>
      <c r="W1596" s="24">
        <v>32568</v>
      </c>
      <c r="X1596" s="25" t="s">
        <v>77</v>
      </c>
      <c r="Y1596" t="s">
        <v>26</v>
      </c>
      <c r="Z1596" s="24">
        <v>32568</v>
      </c>
      <c r="AA1596" s="25" t="s">
        <v>77</v>
      </c>
      <c r="AB1596" t="s">
        <v>26</v>
      </c>
      <c r="AC1596" s="24">
        <v>32568</v>
      </c>
      <c r="AD1596" s="25" t="s">
        <v>77</v>
      </c>
      <c r="AE1596" t="s">
        <v>26</v>
      </c>
      <c r="AF1596" t="s">
        <v>26</v>
      </c>
      <c r="AG1596" t="s">
        <v>26</v>
      </c>
      <c r="AH1596" t="s">
        <v>26</v>
      </c>
      <c r="AI1596" t="s">
        <v>26</v>
      </c>
      <c r="AJ1596" t="s">
        <v>26</v>
      </c>
      <c r="AK1596" t="s">
        <v>26</v>
      </c>
      <c r="AL1596" t="s">
        <v>26</v>
      </c>
      <c r="AM1596" t="s">
        <v>26</v>
      </c>
      <c r="AN1596" t="s">
        <v>26</v>
      </c>
      <c r="AO1596" s="25" t="s">
        <v>68</v>
      </c>
      <c r="AP1596" s="23" t="s">
        <v>69</v>
      </c>
      <c r="AQ1596" s="23" t="s">
        <v>30</v>
      </c>
      <c r="AR1596" s="23" t="s">
        <v>46</v>
      </c>
      <c r="AS1596" s="25">
        <v>41282</v>
      </c>
      <c r="AT1596" t="s">
        <v>26</v>
      </c>
      <c r="AU1596" t="s">
        <v>24329</v>
      </c>
    </row>
    <row r="1597" spans="1:47" ht="26.25" x14ac:dyDescent="0.4">
      <c r="A1597" s="23" t="s">
        <v>4118</v>
      </c>
      <c r="B1597" t="s">
        <v>26</v>
      </c>
      <c r="C1597" s="23" t="s">
        <v>181</v>
      </c>
      <c r="D1597" s="23" t="s">
        <v>22174</v>
      </c>
      <c r="E1597" s="23" t="s">
        <v>60</v>
      </c>
      <c r="F1597" t="s">
        <v>26</v>
      </c>
      <c r="G1597" s="25" t="s">
        <v>4119</v>
      </c>
      <c r="H1597" t="s">
        <v>26</v>
      </c>
      <c r="I1597" s="24">
        <v>42461</v>
      </c>
      <c r="J1597" s="25" t="s">
        <v>77</v>
      </c>
      <c r="K1597" t="s">
        <v>26</v>
      </c>
      <c r="L1597" s="25" t="s">
        <v>68</v>
      </c>
      <c r="M1597" t="s">
        <v>26</v>
      </c>
      <c r="N1597" t="s">
        <v>26</v>
      </c>
      <c r="O1597" t="s">
        <v>26</v>
      </c>
      <c r="P1597" t="s">
        <v>26</v>
      </c>
      <c r="Q1597" t="s">
        <v>26</v>
      </c>
      <c r="R1597" t="s">
        <v>26</v>
      </c>
      <c r="S1597" s="24">
        <v>42461</v>
      </c>
      <c r="T1597" s="25" t="s">
        <v>77</v>
      </c>
      <c r="U1597" t="s">
        <v>26</v>
      </c>
      <c r="V1597" t="s">
        <v>26</v>
      </c>
      <c r="W1597" s="24">
        <v>42461</v>
      </c>
      <c r="X1597" s="25" t="s">
        <v>77</v>
      </c>
      <c r="Y1597" t="s">
        <v>26</v>
      </c>
      <c r="Z1597" s="24">
        <v>42461</v>
      </c>
      <c r="AA1597" s="25" t="s">
        <v>77</v>
      </c>
      <c r="AB1597" t="s">
        <v>26</v>
      </c>
      <c r="AC1597" s="24">
        <v>42461</v>
      </c>
      <c r="AD1597" s="25" t="s">
        <v>77</v>
      </c>
      <c r="AE1597" t="s">
        <v>26</v>
      </c>
      <c r="AF1597" t="s">
        <v>26</v>
      </c>
      <c r="AG1597" t="s">
        <v>26</v>
      </c>
      <c r="AH1597" t="s">
        <v>26</v>
      </c>
      <c r="AI1597" t="s">
        <v>26</v>
      </c>
      <c r="AJ1597" t="s">
        <v>26</v>
      </c>
      <c r="AK1597" t="s">
        <v>26</v>
      </c>
      <c r="AL1597" t="s">
        <v>26</v>
      </c>
      <c r="AM1597" t="s">
        <v>26</v>
      </c>
      <c r="AN1597" t="s">
        <v>26</v>
      </c>
      <c r="AO1597" s="25" t="s">
        <v>68</v>
      </c>
      <c r="AP1597" s="23" t="s">
        <v>69</v>
      </c>
      <c r="AQ1597" s="23" t="s">
        <v>30</v>
      </c>
      <c r="AR1597" s="23" t="s">
        <v>1086</v>
      </c>
      <c r="AS1597" s="25">
        <v>4451110</v>
      </c>
      <c r="AT1597" t="s">
        <v>26</v>
      </c>
      <c r="AU1597" t="s">
        <v>24330</v>
      </c>
    </row>
    <row r="1598" spans="1:47" ht="26.25" x14ac:dyDescent="0.4">
      <c r="A1598" s="23" t="s">
        <v>4120</v>
      </c>
      <c r="B1598" t="s">
        <v>26</v>
      </c>
      <c r="C1598" s="23" t="s">
        <v>946</v>
      </c>
      <c r="D1598" s="23" t="s">
        <v>22689</v>
      </c>
      <c r="E1598" s="23" t="s">
        <v>42</v>
      </c>
      <c r="F1598" s="25" t="s">
        <v>4121</v>
      </c>
      <c r="G1598" s="25" t="s">
        <v>4122</v>
      </c>
      <c r="H1598" t="s">
        <v>26</v>
      </c>
      <c r="I1598" t="s">
        <v>26</v>
      </c>
      <c r="J1598" t="s">
        <v>26</v>
      </c>
      <c r="K1598" t="s">
        <v>26</v>
      </c>
      <c r="L1598" s="25" t="s">
        <v>68</v>
      </c>
      <c r="M1598" t="s">
        <v>26</v>
      </c>
      <c r="N1598" t="s">
        <v>26</v>
      </c>
      <c r="O1598" t="s">
        <v>26</v>
      </c>
      <c r="P1598" t="s">
        <v>26</v>
      </c>
      <c r="Q1598" t="s">
        <v>26</v>
      </c>
      <c r="R1598" t="s">
        <v>26</v>
      </c>
      <c r="S1598" t="s">
        <v>26</v>
      </c>
      <c r="T1598" t="s">
        <v>26</v>
      </c>
      <c r="U1598" t="s">
        <v>26</v>
      </c>
      <c r="V1598" t="s">
        <v>26</v>
      </c>
      <c r="W1598" s="24">
        <v>32509</v>
      </c>
      <c r="X1598" s="24">
        <v>42736</v>
      </c>
      <c r="Y1598" t="s">
        <v>26</v>
      </c>
      <c r="Z1598" s="24">
        <v>32509</v>
      </c>
      <c r="AA1598" s="24">
        <v>42736</v>
      </c>
      <c r="AB1598" t="s">
        <v>26</v>
      </c>
      <c r="AC1598" s="24">
        <v>32509</v>
      </c>
      <c r="AD1598" s="24">
        <v>42736</v>
      </c>
      <c r="AE1598" t="s">
        <v>26</v>
      </c>
      <c r="AF1598" t="s">
        <v>26</v>
      </c>
      <c r="AG1598" t="s">
        <v>26</v>
      </c>
      <c r="AH1598" t="s">
        <v>26</v>
      </c>
      <c r="AI1598" t="s">
        <v>26</v>
      </c>
      <c r="AJ1598" t="s">
        <v>26</v>
      </c>
      <c r="AK1598" t="s">
        <v>26</v>
      </c>
      <c r="AL1598" t="s">
        <v>26</v>
      </c>
      <c r="AM1598" t="s">
        <v>26</v>
      </c>
      <c r="AN1598" t="s">
        <v>26</v>
      </c>
      <c r="AO1598" s="25" t="s">
        <v>68</v>
      </c>
      <c r="AP1598" s="23" t="s">
        <v>69</v>
      </c>
      <c r="AQ1598" s="23" t="s">
        <v>30</v>
      </c>
      <c r="AR1598" s="23" t="s">
        <v>257</v>
      </c>
      <c r="AS1598" s="25">
        <v>5209</v>
      </c>
      <c r="AT1598" t="s">
        <v>26</v>
      </c>
      <c r="AU1598" t="s">
        <v>24331</v>
      </c>
    </row>
    <row r="1599" spans="1:47" ht="26.25" x14ac:dyDescent="0.4">
      <c r="A1599" s="23" t="s">
        <v>4123</v>
      </c>
      <c r="B1599" t="s">
        <v>26</v>
      </c>
      <c r="C1599" s="23" t="s">
        <v>80</v>
      </c>
      <c r="D1599" s="23" t="s">
        <v>22190</v>
      </c>
      <c r="E1599" s="23" t="s">
        <v>60</v>
      </c>
      <c r="F1599" s="25" t="s">
        <v>4124</v>
      </c>
      <c r="G1599" s="25" t="s">
        <v>4125</v>
      </c>
      <c r="H1599" t="s">
        <v>26</v>
      </c>
      <c r="I1599" t="s">
        <v>26</v>
      </c>
      <c r="J1599" t="s">
        <v>26</v>
      </c>
      <c r="K1599" t="s">
        <v>26</v>
      </c>
      <c r="L1599" s="25" t="s">
        <v>68</v>
      </c>
      <c r="M1599" t="s">
        <v>26</v>
      </c>
      <c r="N1599" t="s">
        <v>26</v>
      </c>
      <c r="O1599" t="s">
        <v>26</v>
      </c>
      <c r="P1599" t="s">
        <v>26</v>
      </c>
      <c r="Q1599" t="s">
        <v>26</v>
      </c>
      <c r="R1599" t="s">
        <v>26</v>
      </c>
      <c r="S1599" t="s">
        <v>26</v>
      </c>
      <c r="T1599" t="s">
        <v>26</v>
      </c>
      <c r="U1599" t="s">
        <v>26</v>
      </c>
      <c r="V1599" t="s">
        <v>26</v>
      </c>
      <c r="W1599" s="24">
        <v>40179</v>
      </c>
      <c r="X1599" s="25" t="s">
        <v>77</v>
      </c>
      <c r="Y1599" t="s">
        <v>26</v>
      </c>
      <c r="Z1599" s="24">
        <v>40179</v>
      </c>
      <c r="AA1599" s="25" t="s">
        <v>77</v>
      </c>
      <c r="AB1599" t="s">
        <v>26</v>
      </c>
      <c r="AC1599" s="24">
        <v>40179</v>
      </c>
      <c r="AD1599" s="25" t="s">
        <v>77</v>
      </c>
      <c r="AE1599" t="s">
        <v>26</v>
      </c>
      <c r="AF1599" t="s">
        <v>26</v>
      </c>
      <c r="AG1599" t="s">
        <v>26</v>
      </c>
      <c r="AH1599" t="s">
        <v>26</v>
      </c>
      <c r="AI1599" t="s">
        <v>26</v>
      </c>
      <c r="AJ1599" t="s">
        <v>26</v>
      </c>
      <c r="AK1599" t="s">
        <v>26</v>
      </c>
      <c r="AL1599" t="s">
        <v>26</v>
      </c>
      <c r="AM1599" t="s">
        <v>26</v>
      </c>
      <c r="AN1599" t="s">
        <v>26</v>
      </c>
      <c r="AO1599" s="25" t="s">
        <v>68</v>
      </c>
      <c r="AP1599" s="23" t="s">
        <v>69</v>
      </c>
      <c r="AQ1599" s="23" t="s">
        <v>30</v>
      </c>
      <c r="AR1599" s="23" t="s">
        <v>1639</v>
      </c>
      <c r="AS1599" s="25">
        <v>216140</v>
      </c>
      <c r="AT1599" t="s">
        <v>26</v>
      </c>
      <c r="AU1599" t="s">
        <v>24332</v>
      </c>
    </row>
    <row r="1600" spans="1:47" ht="26.25" x14ac:dyDescent="0.4">
      <c r="A1600" s="23" t="s">
        <v>4126</v>
      </c>
      <c r="B1600" t="s">
        <v>26</v>
      </c>
      <c r="C1600" s="23" t="s">
        <v>107</v>
      </c>
      <c r="D1600" s="23" t="s">
        <v>22194</v>
      </c>
      <c r="E1600" s="23" t="s">
        <v>42</v>
      </c>
      <c r="F1600" s="25" t="s">
        <v>4127</v>
      </c>
      <c r="G1600" s="25" t="s">
        <v>4128</v>
      </c>
      <c r="H1600" t="s">
        <v>26</v>
      </c>
      <c r="I1600" t="s">
        <v>26</v>
      </c>
      <c r="J1600" t="s">
        <v>26</v>
      </c>
      <c r="K1600" t="s">
        <v>26</v>
      </c>
      <c r="L1600" s="25" t="s">
        <v>68</v>
      </c>
      <c r="M1600" t="s">
        <v>26</v>
      </c>
      <c r="N1600" t="s">
        <v>26</v>
      </c>
      <c r="O1600" t="s">
        <v>26</v>
      </c>
      <c r="P1600" t="s">
        <v>26</v>
      </c>
      <c r="Q1600" t="s">
        <v>26</v>
      </c>
      <c r="R1600" t="s">
        <v>26</v>
      </c>
      <c r="S1600" t="s">
        <v>26</v>
      </c>
      <c r="T1600" t="s">
        <v>26</v>
      </c>
      <c r="U1600" t="s">
        <v>26</v>
      </c>
      <c r="V1600" t="s">
        <v>26</v>
      </c>
      <c r="W1600" s="24">
        <v>29281</v>
      </c>
      <c r="X1600" s="25" t="s">
        <v>77</v>
      </c>
      <c r="Y1600" t="s">
        <v>26</v>
      </c>
      <c r="Z1600" s="24">
        <v>29281</v>
      </c>
      <c r="AA1600" s="25" t="s">
        <v>77</v>
      </c>
      <c r="AB1600" t="s">
        <v>26</v>
      </c>
      <c r="AC1600" s="24">
        <v>29373</v>
      </c>
      <c r="AD1600" s="25" t="s">
        <v>77</v>
      </c>
      <c r="AE1600" t="s">
        <v>26</v>
      </c>
      <c r="AF1600" t="s">
        <v>26</v>
      </c>
      <c r="AG1600" t="s">
        <v>26</v>
      </c>
      <c r="AH1600" t="s">
        <v>26</v>
      </c>
      <c r="AI1600" t="s">
        <v>26</v>
      </c>
      <c r="AJ1600" t="s">
        <v>26</v>
      </c>
      <c r="AK1600" t="s">
        <v>26</v>
      </c>
      <c r="AL1600" t="s">
        <v>26</v>
      </c>
      <c r="AM1600" t="s">
        <v>26</v>
      </c>
      <c r="AN1600" t="s">
        <v>26</v>
      </c>
      <c r="AO1600" s="25" t="s">
        <v>68</v>
      </c>
      <c r="AP1600" s="23" t="s">
        <v>69</v>
      </c>
      <c r="AQ1600" s="23" t="s">
        <v>30</v>
      </c>
      <c r="AR1600" s="23" t="s">
        <v>184</v>
      </c>
      <c r="AS1600" s="25">
        <v>37704</v>
      </c>
      <c r="AT1600" t="s">
        <v>26</v>
      </c>
      <c r="AU1600" t="s">
        <v>24333</v>
      </c>
    </row>
    <row r="1601" spans="1:47" ht="26.25" x14ac:dyDescent="0.4">
      <c r="A1601" s="23" t="s">
        <v>4129</v>
      </c>
      <c r="B1601" t="s">
        <v>26</v>
      </c>
      <c r="C1601" s="23" t="s">
        <v>107</v>
      </c>
      <c r="D1601" s="23" t="s">
        <v>22194</v>
      </c>
      <c r="E1601" s="23" t="s">
        <v>42</v>
      </c>
      <c r="F1601" s="25" t="s">
        <v>4130</v>
      </c>
      <c r="G1601" s="25" t="s">
        <v>4131</v>
      </c>
      <c r="H1601" t="s">
        <v>26</v>
      </c>
      <c r="I1601" t="s">
        <v>26</v>
      </c>
      <c r="J1601" t="s">
        <v>26</v>
      </c>
      <c r="K1601" t="s">
        <v>26</v>
      </c>
      <c r="L1601" s="25" t="s">
        <v>68</v>
      </c>
      <c r="M1601" t="s">
        <v>26</v>
      </c>
      <c r="N1601" t="s">
        <v>26</v>
      </c>
      <c r="O1601" t="s">
        <v>26</v>
      </c>
      <c r="P1601" t="s">
        <v>26</v>
      </c>
      <c r="Q1601" t="s">
        <v>26</v>
      </c>
      <c r="R1601" t="s">
        <v>26</v>
      </c>
      <c r="S1601" t="s">
        <v>26</v>
      </c>
      <c r="T1601" t="s">
        <v>26</v>
      </c>
      <c r="U1601" t="s">
        <v>26</v>
      </c>
      <c r="V1601" t="s">
        <v>26</v>
      </c>
      <c r="W1601" s="24">
        <v>34820</v>
      </c>
      <c r="X1601" s="25" t="s">
        <v>77</v>
      </c>
      <c r="Y1601" t="s">
        <v>26</v>
      </c>
      <c r="Z1601" s="24">
        <v>34820</v>
      </c>
      <c r="AA1601" s="25" t="s">
        <v>77</v>
      </c>
      <c r="AB1601" t="s">
        <v>26</v>
      </c>
      <c r="AC1601" s="24">
        <v>34820</v>
      </c>
      <c r="AD1601" s="25" t="s">
        <v>77</v>
      </c>
      <c r="AE1601" t="s">
        <v>26</v>
      </c>
      <c r="AF1601" t="s">
        <v>26</v>
      </c>
      <c r="AG1601" t="s">
        <v>26</v>
      </c>
      <c r="AH1601" t="s">
        <v>26</v>
      </c>
      <c r="AI1601" t="s">
        <v>26</v>
      </c>
      <c r="AJ1601" t="s">
        <v>26</v>
      </c>
      <c r="AK1601" t="s">
        <v>26</v>
      </c>
      <c r="AL1601" t="s">
        <v>26</v>
      </c>
      <c r="AM1601" t="s">
        <v>26</v>
      </c>
      <c r="AN1601" t="s">
        <v>26</v>
      </c>
      <c r="AO1601" s="25" t="s">
        <v>68</v>
      </c>
      <c r="AP1601" s="23" t="s">
        <v>69</v>
      </c>
      <c r="AQ1601" s="23" t="s">
        <v>30</v>
      </c>
      <c r="AR1601" s="23" t="s">
        <v>105</v>
      </c>
      <c r="AS1601" s="25">
        <v>31052</v>
      </c>
      <c r="AT1601" t="s">
        <v>26</v>
      </c>
      <c r="AU1601" t="s">
        <v>24334</v>
      </c>
    </row>
    <row r="1602" spans="1:47" ht="26.25" x14ac:dyDescent="0.4">
      <c r="A1602" s="23" t="s">
        <v>4132</v>
      </c>
      <c r="B1602" t="s">
        <v>26</v>
      </c>
      <c r="C1602" s="23" t="s">
        <v>465</v>
      </c>
      <c r="D1602" s="23" t="s">
        <v>24335</v>
      </c>
      <c r="E1602" s="23" t="s">
        <v>42</v>
      </c>
      <c r="F1602" s="25" t="s">
        <v>4133</v>
      </c>
      <c r="G1602" s="25" t="s">
        <v>4134</v>
      </c>
      <c r="H1602" t="s">
        <v>26</v>
      </c>
      <c r="I1602" t="s">
        <v>26</v>
      </c>
      <c r="J1602" t="s">
        <v>26</v>
      </c>
      <c r="K1602" t="s">
        <v>26</v>
      </c>
      <c r="L1602" s="25" t="s">
        <v>68</v>
      </c>
      <c r="M1602" t="s">
        <v>26</v>
      </c>
      <c r="N1602" t="s">
        <v>26</v>
      </c>
      <c r="O1602" t="s">
        <v>26</v>
      </c>
      <c r="P1602" t="s">
        <v>26</v>
      </c>
      <c r="Q1602" t="s">
        <v>26</v>
      </c>
      <c r="R1602" t="s">
        <v>26</v>
      </c>
      <c r="S1602" t="s">
        <v>26</v>
      </c>
      <c r="T1602" t="s">
        <v>26</v>
      </c>
      <c r="U1602" t="s">
        <v>26</v>
      </c>
      <c r="V1602" t="s">
        <v>26</v>
      </c>
      <c r="W1602" s="24">
        <v>34759</v>
      </c>
      <c r="X1602" s="25" t="s">
        <v>77</v>
      </c>
      <c r="Y1602" t="s">
        <v>26</v>
      </c>
      <c r="Z1602" s="24">
        <v>34759</v>
      </c>
      <c r="AA1602" s="25" t="s">
        <v>77</v>
      </c>
      <c r="AB1602" t="s">
        <v>26</v>
      </c>
      <c r="AC1602" s="24">
        <v>34759</v>
      </c>
      <c r="AD1602" s="25" t="s">
        <v>77</v>
      </c>
      <c r="AE1602" t="s">
        <v>26</v>
      </c>
      <c r="AF1602" t="s">
        <v>26</v>
      </c>
      <c r="AG1602" t="s">
        <v>26</v>
      </c>
      <c r="AH1602" t="s">
        <v>26</v>
      </c>
      <c r="AI1602" t="s">
        <v>26</v>
      </c>
      <c r="AJ1602" t="s">
        <v>26</v>
      </c>
      <c r="AK1602" t="s">
        <v>26</v>
      </c>
      <c r="AL1602" t="s">
        <v>26</v>
      </c>
      <c r="AM1602" t="s">
        <v>26</v>
      </c>
      <c r="AN1602" t="s">
        <v>26</v>
      </c>
      <c r="AO1602" s="25" t="s">
        <v>68</v>
      </c>
      <c r="AP1602" s="23" t="s">
        <v>69</v>
      </c>
      <c r="AQ1602" s="23" t="s">
        <v>30</v>
      </c>
      <c r="AR1602" s="23" t="s">
        <v>46</v>
      </c>
      <c r="AS1602" s="25">
        <v>30144</v>
      </c>
      <c r="AT1602" t="s">
        <v>26</v>
      </c>
      <c r="AU1602" t="s">
        <v>24336</v>
      </c>
    </row>
    <row r="1603" spans="1:47" ht="26.25" x14ac:dyDescent="0.4">
      <c r="A1603" s="23" t="s">
        <v>4135</v>
      </c>
      <c r="B1603" t="s">
        <v>26</v>
      </c>
      <c r="C1603" s="23" t="s">
        <v>80</v>
      </c>
      <c r="D1603" s="23" t="s">
        <v>22184</v>
      </c>
      <c r="E1603" s="23" t="s">
        <v>60</v>
      </c>
      <c r="F1603" s="25" t="s">
        <v>4136</v>
      </c>
      <c r="G1603" s="25" t="s">
        <v>4137</v>
      </c>
      <c r="H1603" t="s">
        <v>26</v>
      </c>
      <c r="I1603" t="s">
        <v>26</v>
      </c>
      <c r="J1603" t="s">
        <v>26</v>
      </c>
      <c r="K1603" t="s">
        <v>26</v>
      </c>
      <c r="L1603" s="25" t="s">
        <v>68</v>
      </c>
      <c r="M1603" t="s">
        <v>26</v>
      </c>
      <c r="N1603" t="s">
        <v>26</v>
      </c>
      <c r="O1603" t="s">
        <v>26</v>
      </c>
      <c r="P1603" t="s">
        <v>26</v>
      </c>
      <c r="Q1603" t="s">
        <v>26</v>
      </c>
      <c r="R1603" t="s">
        <v>26</v>
      </c>
      <c r="S1603" t="s">
        <v>26</v>
      </c>
      <c r="T1603" t="s">
        <v>26</v>
      </c>
      <c r="U1603" t="s">
        <v>26</v>
      </c>
      <c r="V1603" t="s">
        <v>26</v>
      </c>
      <c r="W1603" s="24">
        <v>42186</v>
      </c>
      <c r="X1603" s="24">
        <v>44105</v>
      </c>
      <c r="Y1603" t="s">
        <v>26</v>
      </c>
      <c r="Z1603" s="24">
        <v>42186</v>
      </c>
      <c r="AA1603" s="24">
        <v>44105</v>
      </c>
      <c r="AB1603" t="s">
        <v>26</v>
      </c>
      <c r="AC1603" s="24">
        <v>42186</v>
      </c>
      <c r="AD1603" s="24">
        <v>44105</v>
      </c>
      <c r="AE1603" t="s">
        <v>26</v>
      </c>
      <c r="AF1603" t="s">
        <v>26</v>
      </c>
      <c r="AG1603" t="s">
        <v>26</v>
      </c>
      <c r="AH1603" t="s">
        <v>26</v>
      </c>
      <c r="AI1603" t="s">
        <v>26</v>
      </c>
      <c r="AJ1603" t="s">
        <v>26</v>
      </c>
      <c r="AK1603" t="s">
        <v>26</v>
      </c>
      <c r="AL1603" t="s">
        <v>26</v>
      </c>
      <c r="AM1603" t="s">
        <v>26</v>
      </c>
      <c r="AN1603" t="s">
        <v>26</v>
      </c>
      <c r="AO1603" s="25" t="s">
        <v>68</v>
      </c>
      <c r="AP1603" s="23" t="s">
        <v>69</v>
      </c>
      <c r="AQ1603" s="23" t="s">
        <v>30</v>
      </c>
      <c r="AR1603" s="23" t="s">
        <v>71</v>
      </c>
      <c r="AS1603" s="25">
        <v>2040027</v>
      </c>
      <c r="AT1603" t="s">
        <v>26</v>
      </c>
      <c r="AU1603" t="s">
        <v>24337</v>
      </c>
    </row>
    <row r="1604" spans="1:47" ht="26.25" x14ac:dyDescent="0.4">
      <c r="A1604" s="23" t="s">
        <v>4138</v>
      </c>
      <c r="B1604" t="s">
        <v>26</v>
      </c>
      <c r="C1604" s="23" t="s">
        <v>80</v>
      </c>
      <c r="D1604" s="23" t="s">
        <v>22190</v>
      </c>
      <c r="E1604" s="23" t="s">
        <v>60</v>
      </c>
      <c r="F1604" s="25" t="s">
        <v>4139</v>
      </c>
      <c r="G1604" t="s">
        <v>26</v>
      </c>
      <c r="H1604" t="s">
        <v>26</v>
      </c>
      <c r="I1604" t="s">
        <v>26</v>
      </c>
      <c r="J1604" t="s">
        <v>26</v>
      </c>
      <c r="K1604" t="s">
        <v>26</v>
      </c>
      <c r="L1604" s="25" t="s">
        <v>68</v>
      </c>
      <c r="M1604" t="s">
        <v>26</v>
      </c>
      <c r="N1604" t="s">
        <v>26</v>
      </c>
      <c r="O1604" t="s">
        <v>26</v>
      </c>
      <c r="P1604" t="s">
        <v>26</v>
      </c>
      <c r="Q1604" t="s">
        <v>26</v>
      </c>
      <c r="R1604" t="s">
        <v>26</v>
      </c>
      <c r="S1604" t="s">
        <v>26</v>
      </c>
      <c r="T1604" t="s">
        <v>26</v>
      </c>
      <c r="U1604" t="s">
        <v>26</v>
      </c>
      <c r="V1604" t="s">
        <v>26</v>
      </c>
      <c r="W1604" s="24">
        <v>43374</v>
      </c>
      <c r="X1604" s="24">
        <v>43831</v>
      </c>
      <c r="Y1604" t="s">
        <v>26</v>
      </c>
      <c r="Z1604" s="24">
        <v>43374</v>
      </c>
      <c r="AA1604" s="24">
        <v>43831</v>
      </c>
      <c r="AB1604" t="s">
        <v>26</v>
      </c>
      <c r="AC1604" s="24">
        <v>43374</v>
      </c>
      <c r="AD1604" s="24">
        <v>43831</v>
      </c>
      <c r="AE1604" t="s">
        <v>26</v>
      </c>
      <c r="AF1604" t="s">
        <v>26</v>
      </c>
      <c r="AG1604" t="s">
        <v>26</v>
      </c>
      <c r="AH1604" t="s">
        <v>26</v>
      </c>
      <c r="AI1604" t="s">
        <v>26</v>
      </c>
      <c r="AJ1604" t="s">
        <v>26</v>
      </c>
      <c r="AK1604" t="s">
        <v>26</v>
      </c>
      <c r="AL1604" t="s">
        <v>26</v>
      </c>
      <c r="AM1604" t="s">
        <v>26</v>
      </c>
      <c r="AN1604" t="s">
        <v>26</v>
      </c>
      <c r="AO1604" s="25" t="s">
        <v>68</v>
      </c>
      <c r="AP1604" s="23" t="s">
        <v>69</v>
      </c>
      <c r="AQ1604" s="23" t="s">
        <v>30</v>
      </c>
      <c r="AR1604" s="23" t="s">
        <v>147</v>
      </c>
      <c r="AS1604" s="25">
        <v>53093</v>
      </c>
      <c r="AT1604" t="s">
        <v>26</v>
      </c>
      <c r="AU1604" t="s">
        <v>24338</v>
      </c>
    </row>
    <row r="1605" spans="1:47" ht="26.25" x14ac:dyDescent="0.4">
      <c r="A1605" s="23" t="s">
        <v>4138</v>
      </c>
      <c r="B1605" t="s">
        <v>26</v>
      </c>
      <c r="C1605" s="23" t="s">
        <v>80</v>
      </c>
      <c r="D1605" s="23" t="s">
        <v>22179</v>
      </c>
      <c r="E1605" s="23" t="s">
        <v>60</v>
      </c>
      <c r="F1605" s="25" t="s">
        <v>4139</v>
      </c>
      <c r="G1605" t="s">
        <v>26</v>
      </c>
      <c r="H1605" t="s">
        <v>26</v>
      </c>
      <c r="I1605" t="s">
        <v>26</v>
      </c>
      <c r="J1605" t="s">
        <v>26</v>
      </c>
      <c r="K1605" t="s">
        <v>26</v>
      </c>
      <c r="L1605" s="25" t="s">
        <v>68</v>
      </c>
      <c r="M1605" t="s">
        <v>26</v>
      </c>
      <c r="N1605" t="s">
        <v>26</v>
      </c>
      <c r="O1605" t="s">
        <v>26</v>
      </c>
      <c r="P1605" t="s">
        <v>26</v>
      </c>
      <c r="Q1605" t="s">
        <v>26</v>
      </c>
      <c r="R1605" t="s">
        <v>26</v>
      </c>
      <c r="S1605" t="s">
        <v>26</v>
      </c>
      <c r="T1605" t="s">
        <v>26</v>
      </c>
      <c r="U1605" t="s">
        <v>26</v>
      </c>
      <c r="V1605" t="s">
        <v>26</v>
      </c>
      <c r="W1605" s="24">
        <v>42370</v>
      </c>
      <c r="X1605" s="25" t="s">
        <v>77</v>
      </c>
      <c r="Y1605" s="25" t="s">
        <v>833</v>
      </c>
      <c r="Z1605" s="24">
        <v>42370</v>
      </c>
      <c r="AA1605" s="25" t="s">
        <v>77</v>
      </c>
      <c r="AB1605" s="25" t="s">
        <v>833</v>
      </c>
      <c r="AC1605" s="24">
        <v>42370</v>
      </c>
      <c r="AD1605" s="25" t="s">
        <v>77</v>
      </c>
      <c r="AE1605" s="25" t="s">
        <v>833</v>
      </c>
      <c r="AF1605" t="s">
        <v>26</v>
      </c>
      <c r="AG1605" t="s">
        <v>26</v>
      </c>
      <c r="AH1605" t="s">
        <v>26</v>
      </c>
      <c r="AI1605" t="s">
        <v>26</v>
      </c>
      <c r="AJ1605" t="s">
        <v>26</v>
      </c>
      <c r="AK1605" t="s">
        <v>26</v>
      </c>
      <c r="AL1605" t="s">
        <v>26</v>
      </c>
      <c r="AM1605" t="s">
        <v>26</v>
      </c>
      <c r="AN1605" t="s">
        <v>26</v>
      </c>
      <c r="AO1605" s="25" t="s">
        <v>68</v>
      </c>
      <c r="AP1605" s="23" t="s">
        <v>69</v>
      </c>
      <c r="AQ1605" s="23" t="s">
        <v>30</v>
      </c>
      <c r="AR1605" s="23" t="s">
        <v>147</v>
      </c>
      <c r="AS1605" s="25">
        <v>2033151</v>
      </c>
      <c r="AT1605" t="s">
        <v>26</v>
      </c>
      <c r="AU1605" t="s">
        <v>24339</v>
      </c>
    </row>
    <row r="1606" spans="1:47" ht="26.25" x14ac:dyDescent="0.4">
      <c r="A1606" s="23" t="s">
        <v>4140</v>
      </c>
      <c r="B1606" t="s">
        <v>26</v>
      </c>
      <c r="C1606" s="23" t="s">
        <v>3642</v>
      </c>
      <c r="D1606" s="23" t="s">
        <v>24133</v>
      </c>
      <c r="E1606" s="23" t="s">
        <v>42</v>
      </c>
      <c r="F1606" s="25" t="s">
        <v>4141</v>
      </c>
      <c r="G1606" t="s">
        <v>26</v>
      </c>
      <c r="H1606" t="s">
        <v>26</v>
      </c>
      <c r="I1606" s="24">
        <v>37257</v>
      </c>
      <c r="J1606" s="25" t="s">
        <v>77</v>
      </c>
      <c r="K1606" s="25" t="s">
        <v>4142</v>
      </c>
      <c r="L1606" s="25" t="s">
        <v>68</v>
      </c>
      <c r="M1606" t="s">
        <v>26</v>
      </c>
      <c r="N1606" t="s">
        <v>26</v>
      </c>
      <c r="O1606" t="s">
        <v>26</v>
      </c>
      <c r="P1606" s="24">
        <v>37257</v>
      </c>
      <c r="Q1606" s="25" t="s">
        <v>77</v>
      </c>
      <c r="R1606" s="25" t="s">
        <v>4142</v>
      </c>
      <c r="S1606" t="s">
        <v>26</v>
      </c>
      <c r="T1606" t="s">
        <v>26</v>
      </c>
      <c r="U1606" t="s">
        <v>26</v>
      </c>
      <c r="V1606" t="s">
        <v>26</v>
      </c>
      <c r="W1606" s="24">
        <v>37257</v>
      </c>
      <c r="X1606" s="25" t="s">
        <v>77</v>
      </c>
      <c r="Y1606" s="25" t="s">
        <v>4142</v>
      </c>
      <c r="Z1606" s="24">
        <v>37257</v>
      </c>
      <c r="AA1606" s="25" t="s">
        <v>77</v>
      </c>
      <c r="AB1606" s="25" t="s">
        <v>4142</v>
      </c>
      <c r="AC1606" s="24">
        <v>37257</v>
      </c>
      <c r="AD1606" s="25" t="s">
        <v>77</v>
      </c>
      <c r="AE1606" s="25" t="s">
        <v>4142</v>
      </c>
      <c r="AF1606" t="s">
        <v>26</v>
      </c>
      <c r="AG1606" t="s">
        <v>26</v>
      </c>
      <c r="AH1606" t="s">
        <v>26</v>
      </c>
      <c r="AI1606" t="s">
        <v>26</v>
      </c>
      <c r="AJ1606" t="s">
        <v>26</v>
      </c>
      <c r="AK1606" t="s">
        <v>26</v>
      </c>
      <c r="AL1606" t="s">
        <v>26</v>
      </c>
      <c r="AM1606" t="s">
        <v>26</v>
      </c>
      <c r="AN1606" t="s">
        <v>26</v>
      </c>
      <c r="AO1606" s="25" t="s">
        <v>68</v>
      </c>
      <c r="AP1606" s="23" t="s">
        <v>69</v>
      </c>
      <c r="AQ1606" s="23" t="s">
        <v>30</v>
      </c>
      <c r="AR1606" s="23" t="s">
        <v>147</v>
      </c>
      <c r="AS1606" s="25">
        <v>5431407</v>
      </c>
      <c r="AT1606" t="s">
        <v>26</v>
      </c>
      <c r="AU1606" t="s">
        <v>24340</v>
      </c>
    </row>
    <row r="1607" spans="1:47" ht="26.25" x14ac:dyDescent="0.4">
      <c r="A1607" s="23" t="s">
        <v>4143</v>
      </c>
      <c r="B1607" t="s">
        <v>26</v>
      </c>
      <c r="C1607" s="23" t="s">
        <v>80</v>
      </c>
      <c r="D1607" s="23" t="s">
        <v>22273</v>
      </c>
      <c r="E1607" s="23" t="s">
        <v>60</v>
      </c>
      <c r="F1607" s="25" t="s">
        <v>4144</v>
      </c>
      <c r="G1607" s="25" t="s">
        <v>4145</v>
      </c>
      <c r="H1607" t="s">
        <v>26</v>
      </c>
      <c r="I1607" s="24">
        <v>38443</v>
      </c>
      <c r="J1607" s="24">
        <v>43040</v>
      </c>
      <c r="K1607" t="s">
        <v>26</v>
      </c>
      <c r="L1607" s="25" t="s">
        <v>68</v>
      </c>
      <c r="M1607" t="s">
        <v>26</v>
      </c>
      <c r="N1607" t="s">
        <v>26</v>
      </c>
      <c r="O1607" t="s">
        <v>26</v>
      </c>
      <c r="P1607" s="24">
        <v>38443</v>
      </c>
      <c r="Q1607" s="24">
        <v>43040</v>
      </c>
      <c r="R1607" t="s">
        <v>26</v>
      </c>
      <c r="S1607" t="s">
        <v>26</v>
      </c>
      <c r="T1607" t="s">
        <v>26</v>
      </c>
      <c r="U1607" t="s">
        <v>26</v>
      </c>
      <c r="V1607" t="s">
        <v>26</v>
      </c>
      <c r="W1607" s="24">
        <v>38443</v>
      </c>
      <c r="X1607" s="25" t="s">
        <v>77</v>
      </c>
      <c r="Y1607" t="s">
        <v>26</v>
      </c>
      <c r="Z1607" s="24">
        <v>38443</v>
      </c>
      <c r="AA1607" s="25" t="s">
        <v>77</v>
      </c>
      <c r="AB1607" t="s">
        <v>26</v>
      </c>
      <c r="AC1607" s="24">
        <v>41365</v>
      </c>
      <c r="AD1607" s="25" t="s">
        <v>77</v>
      </c>
      <c r="AE1607" t="s">
        <v>26</v>
      </c>
      <c r="AF1607" t="s">
        <v>26</v>
      </c>
      <c r="AG1607" t="s">
        <v>26</v>
      </c>
      <c r="AH1607" t="s">
        <v>26</v>
      </c>
      <c r="AI1607" t="s">
        <v>26</v>
      </c>
      <c r="AJ1607" t="s">
        <v>26</v>
      </c>
      <c r="AK1607" t="s">
        <v>26</v>
      </c>
      <c r="AL1607" t="s">
        <v>26</v>
      </c>
      <c r="AM1607" t="s">
        <v>26</v>
      </c>
      <c r="AN1607" t="s">
        <v>26</v>
      </c>
      <c r="AO1607" s="25" t="s">
        <v>68</v>
      </c>
      <c r="AP1607" s="23" t="s">
        <v>69</v>
      </c>
      <c r="AQ1607" s="23" t="s">
        <v>30</v>
      </c>
      <c r="AR1607" s="23" t="s">
        <v>4146</v>
      </c>
      <c r="AS1607" s="25">
        <v>28267</v>
      </c>
      <c r="AT1607" t="s">
        <v>26</v>
      </c>
      <c r="AU1607" t="s">
        <v>24341</v>
      </c>
    </row>
    <row r="1608" spans="1:47" ht="26.25" x14ac:dyDescent="0.4">
      <c r="A1608" s="23" t="s">
        <v>4147</v>
      </c>
      <c r="B1608" t="s">
        <v>26</v>
      </c>
      <c r="C1608" s="23" t="s">
        <v>320</v>
      </c>
      <c r="D1608" s="23" t="s">
        <v>24342</v>
      </c>
      <c r="E1608" s="23" t="s">
        <v>42</v>
      </c>
      <c r="F1608" s="25" t="s">
        <v>4148</v>
      </c>
      <c r="G1608" s="25" t="s">
        <v>4149</v>
      </c>
      <c r="H1608" t="s">
        <v>26</v>
      </c>
      <c r="I1608" t="s">
        <v>26</v>
      </c>
      <c r="J1608" t="s">
        <v>26</v>
      </c>
      <c r="K1608" t="s">
        <v>26</v>
      </c>
      <c r="L1608" s="25" t="s">
        <v>68</v>
      </c>
      <c r="M1608" t="s">
        <v>26</v>
      </c>
      <c r="N1608" t="s">
        <v>26</v>
      </c>
      <c r="O1608" t="s">
        <v>26</v>
      </c>
      <c r="P1608" t="s">
        <v>26</v>
      </c>
      <c r="Q1608" t="s">
        <v>26</v>
      </c>
      <c r="R1608" t="s">
        <v>26</v>
      </c>
      <c r="S1608" t="s">
        <v>26</v>
      </c>
      <c r="T1608" t="s">
        <v>26</v>
      </c>
      <c r="U1608" t="s">
        <v>26</v>
      </c>
      <c r="V1608" t="s">
        <v>26</v>
      </c>
      <c r="W1608" s="24">
        <v>42309</v>
      </c>
      <c r="X1608" s="25" t="s">
        <v>77</v>
      </c>
      <c r="Y1608" t="s">
        <v>26</v>
      </c>
      <c r="Z1608" s="24">
        <v>42309</v>
      </c>
      <c r="AA1608" s="25" t="s">
        <v>77</v>
      </c>
      <c r="AB1608" t="s">
        <v>26</v>
      </c>
      <c r="AC1608" s="24">
        <v>42309</v>
      </c>
      <c r="AD1608" s="25" t="s">
        <v>77</v>
      </c>
      <c r="AE1608" t="s">
        <v>26</v>
      </c>
      <c r="AF1608" t="s">
        <v>26</v>
      </c>
      <c r="AG1608" t="s">
        <v>26</v>
      </c>
      <c r="AH1608" t="s">
        <v>26</v>
      </c>
      <c r="AI1608" t="s">
        <v>26</v>
      </c>
      <c r="AJ1608" t="s">
        <v>26</v>
      </c>
      <c r="AK1608" t="s">
        <v>26</v>
      </c>
      <c r="AL1608" t="s">
        <v>26</v>
      </c>
      <c r="AM1608" t="s">
        <v>26</v>
      </c>
      <c r="AN1608" t="s">
        <v>26</v>
      </c>
      <c r="AO1608" s="25" t="s">
        <v>68</v>
      </c>
      <c r="AP1608" s="23" t="s">
        <v>69</v>
      </c>
      <c r="AQ1608" s="23" t="s">
        <v>30</v>
      </c>
      <c r="AR1608" s="23" t="s">
        <v>4150</v>
      </c>
      <c r="AS1608" s="25">
        <v>2033150</v>
      </c>
      <c r="AT1608" t="s">
        <v>26</v>
      </c>
      <c r="AU1608" t="s">
        <v>24343</v>
      </c>
    </row>
    <row r="1609" spans="1:47" ht="26.25" x14ac:dyDescent="0.4">
      <c r="A1609" s="23" t="s">
        <v>4151</v>
      </c>
      <c r="B1609" t="s">
        <v>26</v>
      </c>
      <c r="C1609" s="23" t="s">
        <v>80</v>
      </c>
      <c r="D1609" s="23" t="s">
        <v>22190</v>
      </c>
      <c r="E1609" s="23" t="s">
        <v>60</v>
      </c>
      <c r="F1609" s="25" t="s">
        <v>4152</v>
      </c>
      <c r="G1609" s="25" t="s">
        <v>4153</v>
      </c>
      <c r="H1609" t="s">
        <v>26</v>
      </c>
      <c r="I1609" t="s">
        <v>26</v>
      </c>
      <c r="J1609" t="s">
        <v>26</v>
      </c>
      <c r="K1609" t="s">
        <v>26</v>
      </c>
      <c r="L1609" s="25" t="s">
        <v>68</v>
      </c>
      <c r="M1609" t="s">
        <v>26</v>
      </c>
      <c r="N1609" t="s">
        <v>26</v>
      </c>
      <c r="O1609" t="s">
        <v>26</v>
      </c>
      <c r="P1609" t="s">
        <v>26</v>
      </c>
      <c r="Q1609" t="s">
        <v>26</v>
      </c>
      <c r="R1609" t="s">
        <v>26</v>
      </c>
      <c r="S1609" t="s">
        <v>26</v>
      </c>
      <c r="T1609" t="s">
        <v>26</v>
      </c>
      <c r="U1609" t="s">
        <v>26</v>
      </c>
      <c r="V1609" t="s">
        <v>26</v>
      </c>
      <c r="W1609" s="24">
        <v>40179</v>
      </c>
      <c r="X1609" s="25" t="s">
        <v>77</v>
      </c>
      <c r="Y1609" t="s">
        <v>26</v>
      </c>
      <c r="Z1609" s="24">
        <v>40179</v>
      </c>
      <c r="AA1609" s="25" t="s">
        <v>77</v>
      </c>
      <c r="AB1609" t="s">
        <v>26</v>
      </c>
      <c r="AC1609" s="24">
        <v>40179</v>
      </c>
      <c r="AD1609" s="25" t="s">
        <v>77</v>
      </c>
      <c r="AE1609" t="s">
        <v>26</v>
      </c>
      <c r="AF1609" t="s">
        <v>26</v>
      </c>
      <c r="AG1609" t="s">
        <v>26</v>
      </c>
      <c r="AH1609" t="s">
        <v>26</v>
      </c>
      <c r="AI1609" t="s">
        <v>26</v>
      </c>
      <c r="AJ1609" t="s">
        <v>26</v>
      </c>
      <c r="AK1609" t="s">
        <v>26</v>
      </c>
      <c r="AL1609" t="s">
        <v>26</v>
      </c>
      <c r="AM1609" t="s">
        <v>26</v>
      </c>
      <c r="AN1609" t="s">
        <v>26</v>
      </c>
      <c r="AO1609" s="25" t="s">
        <v>68</v>
      </c>
      <c r="AP1609" s="23" t="s">
        <v>69</v>
      </c>
      <c r="AQ1609" t="s">
        <v>26</v>
      </c>
      <c r="AR1609" s="23" t="s">
        <v>1464</v>
      </c>
      <c r="AS1609" s="25">
        <v>196222</v>
      </c>
      <c r="AT1609" t="s">
        <v>26</v>
      </c>
      <c r="AU1609" t="s">
        <v>24344</v>
      </c>
    </row>
    <row r="1610" spans="1:47" ht="26.25" x14ac:dyDescent="0.4">
      <c r="A1610" s="23" t="s">
        <v>4154</v>
      </c>
      <c r="B1610" t="s">
        <v>26</v>
      </c>
      <c r="C1610" s="23" t="s">
        <v>73</v>
      </c>
      <c r="D1610" s="23" t="s">
        <v>22179</v>
      </c>
      <c r="E1610" s="23" t="s">
        <v>74</v>
      </c>
      <c r="F1610" s="25" t="s">
        <v>4155</v>
      </c>
      <c r="G1610" s="25" t="s">
        <v>4156</v>
      </c>
      <c r="H1610" t="s">
        <v>26</v>
      </c>
      <c r="I1610" s="24">
        <v>38384</v>
      </c>
      <c r="J1610" s="25" t="s">
        <v>77</v>
      </c>
      <c r="K1610" t="s">
        <v>26</v>
      </c>
      <c r="L1610" s="25" t="s">
        <v>68</v>
      </c>
      <c r="M1610" s="24">
        <v>38384</v>
      </c>
      <c r="N1610" s="24">
        <v>42826</v>
      </c>
      <c r="O1610" t="s">
        <v>26</v>
      </c>
      <c r="P1610" s="24">
        <v>38384</v>
      </c>
      <c r="Q1610" s="25" t="s">
        <v>77</v>
      </c>
      <c r="R1610" t="s">
        <v>26</v>
      </c>
      <c r="S1610" t="s">
        <v>26</v>
      </c>
      <c r="T1610" t="s">
        <v>26</v>
      </c>
      <c r="U1610" t="s">
        <v>26</v>
      </c>
      <c r="V1610" s="25">
        <v>365</v>
      </c>
      <c r="W1610" s="24">
        <v>33664</v>
      </c>
      <c r="X1610" s="25" t="s">
        <v>77</v>
      </c>
      <c r="Y1610" t="s">
        <v>26</v>
      </c>
      <c r="Z1610" s="24">
        <v>33664</v>
      </c>
      <c r="AA1610" s="25" t="s">
        <v>77</v>
      </c>
      <c r="AB1610" t="s">
        <v>26</v>
      </c>
      <c r="AC1610" s="24">
        <v>33664</v>
      </c>
      <c r="AD1610" s="25" t="s">
        <v>77</v>
      </c>
      <c r="AE1610" t="s">
        <v>26</v>
      </c>
      <c r="AF1610" t="s">
        <v>26</v>
      </c>
      <c r="AG1610" t="s">
        <v>26</v>
      </c>
      <c r="AH1610" t="s">
        <v>26</v>
      </c>
      <c r="AI1610" t="s">
        <v>26</v>
      </c>
      <c r="AJ1610" t="s">
        <v>26</v>
      </c>
      <c r="AK1610" t="s">
        <v>26</v>
      </c>
      <c r="AL1610" t="s">
        <v>26</v>
      </c>
      <c r="AM1610" t="s">
        <v>26</v>
      </c>
      <c r="AN1610" t="s">
        <v>26</v>
      </c>
      <c r="AO1610" s="25" t="s">
        <v>68</v>
      </c>
      <c r="AP1610" s="23" t="s">
        <v>69</v>
      </c>
      <c r="AQ1610" s="23" t="s">
        <v>30</v>
      </c>
      <c r="AR1610" s="23" t="s">
        <v>4157</v>
      </c>
      <c r="AS1610" s="25">
        <v>37715</v>
      </c>
      <c r="AT1610" t="s">
        <v>26</v>
      </c>
      <c r="AU1610" t="s">
        <v>24345</v>
      </c>
    </row>
    <row r="1611" spans="1:47" ht="26.25" x14ac:dyDescent="0.4">
      <c r="A1611" s="23" t="s">
        <v>4158</v>
      </c>
      <c r="B1611" t="s">
        <v>26</v>
      </c>
      <c r="C1611" s="23" t="s">
        <v>73</v>
      </c>
      <c r="D1611" s="23" t="s">
        <v>22179</v>
      </c>
      <c r="E1611" s="23" t="s">
        <v>74</v>
      </c>
      <c r="F1611" s="25" t="s">
        <v>4159</v>
      </c>
      <c r="G1611" s="25" t="s">
        <v>4160</v>
      </c>
      <c r="H1611" t="s">
        <v>26</v>
      </c>
      <c r="I1611" s="24">
        <v>35886</v>
      </c>
      <c r="J1611" s="25" t="s">
        <v>77</v>
      </c>
      <c r="K1611" t="s">
        <v>26</v>
      </c>
      <c r="L1611" s="25" t="s">
        <v>68</v>
      </c>
      <c r="M1611" s="24">
        <v>38078</v>
      </c>
      <c r="N1611" s="24">
        <v>42887</v>
      </c>
      <c r="O1611" t="s">
        <v>26</v>
      </c>
      <c r="P1611" s="24">
        <v>35886</v>
      </c>
      <c r="Q1611" s="25" t="s">
        <v>77</v>
      </c>
      <c r="R1611" t="s">
        <v>26</v>
      </c>
      <c r="S1611" t="s">
        <v>26</v>
      </c>
      <c r="T1611" t="s">
        <v>26</v>
      </c>
      <c r="U1611" t="s">
        <v>26</v>
      </c>
      <c r="V1611" s="25">
        <v>365</v>
      </c>
      <c r="W1611" s="24">
        <v>35886</v>
      </c>
      <c r="X1611" s="25" t="s">
        <v>77</v>
      </c>
      <c r="Y1611" t="s">
        <v>26</v>
      </c>
      <c r="Z1611" s="24">
        <v>35886</v>
      </c>
      <c r="AA1611" s="25" t="s">
        <v>77</v>
      </c>
      <c r="AB1611" t="s">
        <v>26</v>
      </c>
      <c r="AC1611" s="24">
        <v>35886</v>
      </c>
      <c r="AD1611" s="25" t="s">
        <v>77</v>
      </c>
      <c r="AE1611" t="s">
        <v>26</v>
      </c>
      <c r="AF1611" t="s">
        <v>26</v>
      </c>
      <c r="AG1611" t="s">
        <v>26</v>
      </c>
      <c r="AH1611" t="s">
        <v>26</v>
      </c>
      <c r="AI1611" t="s">
        <v>26</v>
      </c>
      <c r="AJ1611" t="s">
        <v>26</v>
      </c>
      <c r="AK1611" t="s">
        <v>26</v>
      </c>
      <c r="AL1611" t="s">
        <v>26</v>
      </c>
      <c r="AM1611" t="s">
        <v>26</v>
      </c>
      <c r="AN1611" t="s">
        <v>26</v>
      </c>
      <c r="AO1611" s="25" t="s">
        <v>68</v>
      </c>
      <c r="AP1611" s="23" t="s">
        <v>69</v>
      </c>
      <c r="AQ1611" s="23" t="s">
        <v>30</v>
      </c>
      <c r="AR1611" s="23" t="s">
        <v>46</v>
      </c>
      <c r="AS1611" s="25">
        <v>37909</v>
      </c>
      <c r="AT1611" t="s">
        <v>26</v>
      </c>
      <c r="AU1611" t="s">
        <v>24346</v>
      </c>
    </row>
    <row r="1612" spans="1:47" ht="26.25" x14ac:dyDescent="0.4">
      <c r="A1612" s="23" t="s">
        <v>4161</v>
      </c>
      <c r="B1612" t="s">
        <v>26</v>
      </c>
      <c r="C1612" s="23" t="s">
        <v>1958</v>
      </c>
      <c r="D1612" s="23" t="s">
        <v>24008</v>
      </c>
      <c r="E1612" s="23" t="s">
        <v>60</v>
      </c>
      <c r="F1612" s="25" t="s">
        <v>4162</v>
      </c>
      <c r="G1612" s="25" t="s">
        <v>4163</v>
      </c>
      <c r="H1612" t="s">
        <v>26</v>
      </c>
      <c r="I1612" t="s">
        <v>26</v>
      </c>
      <c r="J1612" t="s">
        <v>26</v>
      </c>
      <c r="K1612" t="s">
        <v>26</v>
      </c>
      <c r="L1612" s="25" t="s">
        <v>68</v>
      </c>
      <c r="M1612" t="s">
        <v>26</v>
      </c>
      <c r="N1612" t="s">
        <v>26</v>
      </c>
      <c r="O1612" t="s">
        <v>26</v>
      </c>
      <c r="P1612" t="s">
        <v>26</v>
      </c>
      <c r="Q1612" t="s">
        <v>26</v>
      </c>
      <c r="R1612" t="s">
        <v>26</v>
      </c>
      <c r="S1612" t="s">
        <v>26</v>
      </c>
      <c r="T1612" t="s">
        <v>26</v>
      </c>
      <c r="U1612" t="s">
        <v>26</v>
      </c>
      <c r="V1612" t="s">
        <v>26</v>
      </c>
      <c r="W1612" s="24">
        <v>32598</v>
      </c>
      <c r="X1612" s="25" t="s">
        <v>77</v>
      </c>
      <c r="Y1612" t="s">
        <v>26</v>
      </c>
      <c r="Z1612" s="24">
        <v>32598</v>
      </c>
      <c r="AA1612" s="25" t="s">
        <v>77</v>
      </c>
      <c r="AB1612" t="s">
        <v>26</v>
      </c>
      <c r="AC1612" s="24">
        <v>32598</v>
      </c>
      <c r="AD1612" s="25" t="s">
        <v>77</v>
      </c>
      <c r="AE1612" t="s">
        <v>26</v>
      </c>
      <c r="AF1612" t="s">
        <v>26</v>
      </c>
      <c r="AG1612" t="s">
        <v>26</v>
      </c>
      <c r="AH1612" t="s">
        <v>26</v>
      </c>
      <c r="AI1612" t="s">
        <v>26</v>
      </c>
      <c r="AJ1612" t="s">
        <v>26</v>
      </c>
      <c r="AK1612" t="s">
        <v>26</v>
      </c>
      <c r="AL1612" t="s">
        <v>26</v>
      </c>
      <c r="AM1612" t="s">
        <v>26</v>
      </c>
      <c r="AN1612" t="s">
        <v>26</v>
      </c>
      <c r="AO1612" s="25" t="s">
        <v>68</v>
      </c>
      <c r="AP1612" s="23" t="s">
        <v>69</v>
      </c>
      <c r="AQ1612" s="23" t="s">
        <v>30</v>
      </c>
      <c r="AR1612" s="23" t="s">
        <v>2549</v>
      </c>
      <c r="AS1612" s="25">
        <v>47141</v>
      </c>
      <c r="AT1612" t="s">
        <v>26</v>
      </c>
      <c r="AU1612" t="s">
        <v>24347</v>
      </c>
    </row>
    <row r="1613" spans="1:47" ht="26.25" x14ac:dyDescent="0.4">
      <c r="A1613" s="23" t="s">
        <v>4164</v>
      </c>
      <c r="B1613" t="s">
        <v>26</v>
      </c>
      <c r="C1613" s="23" t="s">
        <v>4165</v>
      </c>
      <c r="D1613" s="23" t="s">
        <v>23175</v>
      </c>
      <c r="E1613" s="23" t="s">
        <v>42</v>
      </c>
      <c r="F1613" s="25" t="s">
        <v>4166</v>
      </c>
      <c r="G1613" t="s">
        <v>26</v>
      </c>
      <c r="H1613" t="s">
        <v>26</v>
      </c>
      <c r="I1613" s="24">
        <v>34700</v>
      </c>
      <c r="J1613" s="25" t="s">
        <v>77</v>
      </c>
      <c r="K1613" t="s">
        <v>26</v>
      </c>
      <c r="L1613" s="25" t="s">
        <v>68</v>
      </c>
      <c r="M1613" s="24">
        <v>34700</v>
      </c>
      <c r="N1613" s="25" t="s">
        <v>77</v>
      </c>
      <c r="O1613" t="s">
        <v>26</v>
      </c>
      <c r="P1613" s="24">
        <v>34700</v>
      </c>
      <c r="Q1613" s="25" t="s">
        <v>77</v>
      </c>
      <c r="R1613" t="s">
        <v>26</v>
      </c>
      <c r="S1613" t="s">
        <v>26</v>
      </c>
      <c r="T1613" t="s">
        <v>26</v>
      </c>
      <c r="U1613" t="s">
        <v>26</v>
      </c>
      <c r="V1613" t="s">
        <v>26</v>
      </c>
      <c r="W1613" s="24">
        <v>34700</v>
      </c>
      <c r="X1613" s="25" t="s">
        <v>77</v>
      </c>
      <c r="Y1613" t="s">
        <v>26</v>
      </c>
      <c r="Z1613" s="24">
        <v>34700</v>
      </c>
      <c r="AA1613" s="25" t="s">
        <v>77</v>
      </c>
      <c r="AB1613" t="s">
        <v>26</v>
      </c>
      <c r="AC1613" s="24">
        <v>34700</v>
      </c>
      <c r="AD1613" s="25" t="s">
        <v>77</v>
      </c>
      <c r="AE1613" t="s">
        <v>26</v>
      </c>
      <c r="AF1613" t="s">
        <v>26</v>
      </c>
      <c r="AG1613" t="s">
        <v>26</v>
      </c>
      <c r="AH1613" t="s">
        <v>26</v>
      </c>
      <c r="AI1613" t="s">
        <v>26</v>
      </c>
      <c r="AJ1613" t="s">
        <v>26</v>
      </c>
      <c r="AK1613" t="s">
        <v>26</v>
      </c>
      <c r="AL1613" t="s">
        <v>26</v>
      </c>
      <c r="AM1613" t="s">
        <v>26</v>
      </c>
      <c r="AN1613" t="s">
        <v>26</v>
      </c>
      <c r="AO1613" s="25" t="s">
        <v>68</v>
      </c>
      <c r="AP1613" s="23" t="s">
        <v>69</v>
      </c>
      <c r="AQ1613" s="23" t="s">
        <v>30</v>
      </c>
      <c r="AR1613" s="23" t="s">
        <v>4167</v>
      </c>
      <c r="AS1613" s="25">
        <v>38873</v>
      </c>
      <c r="AT1613" t="s">
        <v>26</v>
      </c>
      <c r="AU1613" t="s">
        <v>24348</v>
      </c>
    </row>
    <row r="1614" spans="1:47" ht="26.25" x14ac:dyDescent="0.4">
      <c r="A1614" s="23" t="s">
        <v>4168</v>
      </c>
      <c r="B1614" t="s">
        <v>26</v>
      </c>
      <c r="C1614" s="23" t="s">
        <v>176</v>
      </c>
      <c r="D1614" s="23" t="s">
        <v>22179</v>
      </c>
      <c r="E1614" s="23" t="s">
        <v>60</v>
      </c>
      <c r="F1614" s="25" t="s">
        <v>4169</v>
      </c>
      <c r="G1614" s="25" t="s">
        <v>4170</v>
      </c>
      <c r="H1614" t="s">
        <v>26</v>
      </c>
      <c r="I1614" t="s">
        <v>26</v>
      </c>
      <c r="J1614" t="s">
        <v>26</v>
      </c>
      <c r="K1614" t="s">
        <v>26</v>
      </c>
      <c r="L1614" s="25" t="s">
        <v>68</v>
      </c>
      <c r="M1614" t="s">
        <v>26</v>
      </c>
      <c r="N1614" t="s">
        <v>26</v>
      </c>
      <c r="O1614" t="s">
        <v>26</v>
      </c>
      <c r="P1614" t="s">
        <v>26</v>
      </c>
      <c r="Q1614" t="s">
        <v>26</v>
      </c>
      <c r="R1614" t="s">
        <v>26</v>
      </c>
      <c r="S1614" t="s">
        <v>26</v>
      </c>
      <c r="T1614" t="s">
        <v>26</v>
      </c>
      <c r="U1614" t="s">
        <v>26</v>
      </c>
      <c r="V1614" t="s">
        <v>26</v>
      </c>
      <c r="W1614" s="24">
        <v>42430</v>
      </c>
      <c r="X1614" s="24">
        <v>44621</v>
      </c>
      <c r="Y1614" t="s">
        <v>26</v>
      </c>
      <c r="Z1614" s="24">
        <v>42430</v>
      </c>
      <c r="AA1614" s="24">
        <v>44621</v>
      </c>
      <c r="AB1614" t="s">
        <v>26</v>
      </c>
      <c r="AC1614" s="24">
        <v>42430</v>
      </c>
      <c r="AD1614" s="24">
        <v>44621</v>
      </c>
      <c r="AE1614" t="s">
        <v>26</v>
      </c>
      <c r="AF1614" t="s">
        <v>26</v>
      </c>
      <c r="AG1614" t="s">
        <v>26</v>
      </c>
      <c r="AH1614" t="s">
        <v>26</v>
      </c>
      <c r="AI1614" t="s">
        <v>26</v>
      </c>
      <c r="AJ1614" t="s">
        <v>26</v>
      </c>
      <c r="AK1614" t="s">
        <v>26</v>
      </c>
      <c r="AL1614" t="s">
        <v>26</v>
      </c>
      <c r="AM1614" t="s">
        <v>26</v>
      </c>
      <c r="AN1614" t="s">
        <v>26</v>
      </c>
      <c r="AO1614" s="25" t="s">
        <v>68</v>
      </c>
      <c r="AP1614" s="23" t="s">
        <v>69</v>
      </c>
      <c r="AQ1614" s="23" t="s">
        <v>30</v>
      </c>
      <c r="AR1614" s="23" t="s">
        <v>257</v>
      </c>
      <c r="AS1614" s="25">
        <v>2038293</v>
      </c>
      <c r="AT1614" t="s">
        <v>26</v>
      </c>
      <c r="AU1614" t="s">
        <v>24349</v>
      </c>
    </row>
    <row r="1615" spans="1:47" ht="26.25" x14ac:dyDescent="0.4">
      <c r="A1615" s="23" t="s">
        <v>4171</v>
      </c>
      <c r="B1615" t="s">
        <v>26</v>
      </c>
      <c r="C1615" s="23" t="s">
        <v>264</v>
      </c>
      <c r="D1615" s="23" t="s">
        <v>23336</v>
      </c>
      <c r="E1615" s="23" t="s">
        <v>60</v>
      </c>
      <c r="F1615" s="25" t="s">
        <v>4172</v>
      </c>
      <c r="G1615" s="25" t="s">
        <v>4173</v>
      </c>
      <c r="H1615" t="s">
        <v>26</v>
      </c>
      <c r="I1615" s="24">
        <v>37926</v>
      </c>
      <c r="J1615" s="25" t="s">
        <v>77</v>
      </c>
      <c r="K1615" t="s">
        <v>26</v>
      </c>
      <c r="L1615" s="25" t="s">
        <v>68</v>
      </c>
      <c r="M1615" s="24">
        <v>37926</v>
      </c>
      <c r="N1615" s="25" t="s">
        <v>77</v>
      </c>
      <c r="O1615" s="25" t="s">
        <v>2112</v>
      </c>
      <c r="P1615" s="24">
        <v>37926</v>
      </c>
      <c r="Q1615" s="25" t="s">
        <v>77</v>
      </c>
      <c r="R1615" t="s">
        <v>26</v>
      </c>
      <c r="S1615" t="s">
        <v>26</v>
      </c>
      <c r="T1615" t="s">
        <v>26</v>
      </c>
      <c r="U1615" t="s">
        <v>26</v>
      </c>
      <c r="V1615" s="25">
        <v>365</v>
      </c>
      <c r="W1615" s="24">
        <v>37926</v>
      </c>
      <c r="X1615" s="25" t="s">
        <v>77</v>
      </c>
      <c r="Y1615" t="s">
        <v>26</v>
      </c>
      <c r="Z1615" s="24">
        <v>37926</v>
      </c>
      <c r="AA1615" s="25" t="s">
        <v>77</v>
      </c>
      <c r="AB1615" t="s">
        <v>26</v>
      </c>
      <c r="AC1615" s="24">
        <v>38657</v>
      </c>
      <c r="AD1615" s="25" t="s">
        <v>77</v>
      </c>
      <c r="AE1615" t="s">
        <v>26</v>
      </c>
      <c r="AF1615" t="s">
        <v>26</v>
      </c>
      <c r="AG1615" t="s">
        <v>26</v>
      </c>
      <c r="AH1615" t="s">
        <v>26</v>
      </c>
      <c r="AI1615" t="s">
        <v>26</v>
      </c>
      <c r="AJ1615" t="s">
        <v>26</v>
      </c>
      <c r="AK1615" t="s">
        <v>26</v>
      </c>
      <c r="AL1615" t="s">
        <v>26</v>
      </c>
      <c r="AM1615" t="s">
        <v>26</v>
      </c>
      <c r="AN1615" t="s">
        <v>26</v>
      </c>
      <c r="AO1615" s="25" t="s">
        <v>68</v>
      </c>
      <c r="AP1615" s="23" t="s">
        <v>69</v>
      </c>
      <c r="AQ1615" s="23" t="s">
        <v>30</v>
      </c>
      <c r="AR1615" s="23" t="s">
        <v>2579</v>
      </c>
      <c r="AS1615" s="25">
        <v>44508</v>
      </c>
      <c r="AT1615" t="s">
        <v>26</v>
      </c>
      <c r="AU1615" t="s">
        <v>24350</v>
      </c>
    </row>
    <row r="1616" spans="1:47" ht="26.25" x14ac:dyDescent="0.4">
      <c r="A1616" s="23" t="s">
        <v>4174</v>
      </c>
      <c r="B1616" t="s">
        <v>26</v>
      </c>
      <c r="C1616" s="23" t="s">
        <v>80</v>
      </c>
      <c r="D1616" s="23" t="s">
        <v>22184</v>
      </c>
      <c r="E1616" s="23" t="s">
        <v>60</v>
      </c>
      <c r="F1616" s="25" t="s">
        <v>4175</v>
      </c>
      <c r="G1616" s="25" t="s">
        <v>4176</v>
      </c>
      <c r="H1616" t="s">
        <v>26</v>
      </c>
      <c r="I1616" t="s">
        <v>26</v>
      </c>
      <c r="J1616" t="s">
        <v>26</v>
      </c>
      <c r="K1616" t="s">
        <v>26</v>
      </c>
      <c r="L1616" s="25" t="s">
        <v>68</v>
      </c>
      <c r="M1616" t="s">
        <v>26</v>
      </c>
      <c r="N1616" t="s">
        <v>26</v>
      </c>
      <c r="O1616" t="s">
        <v>26</v>
      </c>
      <c r="P1616" t="s">
        <v>26</v>
      </c>
      <c r="Q1616" t="s">
        <v>26</v>
      </c>
      <c r="R1616" t="s">
        <v>26</v>
      </c>
      <c r="S1616" t="s">
        <v>26</v>
      </c>
      <c r="T1616" t="s">
        <v>26</v>
      </c>
      <c r="U1616" t="s">
        <v>26</v>
      </c>
      <c r="V1616" t="s">
        <v>26</v>
      </c>
      <c r="W1616" s="24">
        <v>40210</v>
      </c>
      <c r="X1616" s="25" t="s">
        <v>77</v>
      </c>
      <c r="Y1616" s="25" t="s">
        <v>1185</v>
      </c>
      <c r="Z1616" s="24">
        <v>40210</v>
      </c>
      <c r="AA1616" s="25" t="s">
        <v>77</v>
      </c>
      <c r="AB1616" s="25" t="s">
        <v>1185</v>
      </c>
      <c r="AC1616" s="24">
        <v>40210</v>
      </c>
      <c r="AD1616" s="25" t="s">
        <v>77</v>
      </c>
      <c r="AE1616" s="25" t="s">
        <v>1185</v>
      </c>
      <c r="AF1616" t="s">
        <v>26</v>
      </c>
      <c r="AG1616" t="s">
        <v>26</v>
      </c>
      <c r="AH1616" t="s">
        <v>26</v>
      </c>
      <c r="AI1616" t="s">
        <v>26</v>
      </c>
      <c r="AJ1616" t="s">
        <v>26</v>
      </c>
      <c r="AK1616" t="s">
        <v>26</v>
      </c>
      <c r="AL1616" t="s">
        <v>26</v>
      </c>
      <c r="AM1616" t="s">
        <v>26</v>
      </c>
      <c r="AN1616" t="s">
        <v>26</v>
      </c>
      <c r="AO1616" s="25" t="s">
        <v>68</v>
      </c>
      <c r="AP1616" s="23" t="s">
        <v>69</v>
      </c>
      <c r="AQ1616" s="23" t="s">
        <v>30</v>
      </c>
      <c r="AR1616" s="23" t="s">
        <v>4177</v>
      </c>
      <c r="AS1616" s="25">
        <v>186234</v>
      </c>
      <c r="AT1616" t="s">
        <v>26</v>
      </c>
      <c r="AU1616" t="s">
        <v>24351</v>
      </c>
    </row>
    <row r="1617" spans="1:47" ht="26.25" x14ac:dyDescent="0.4">
      <c r="A1617" s="23" t="s">
        <v>4178</v>
      </c>
      <c r="B1617" t="s">
        <v>26</v>
      </c>
      <c r="C1617" s="23" t="s">
        <v>80</v>
      </c>
      <c r="D1617" s="23" t="s">
        <v>22184</v>
      </c>
      <c r="E1617" s="23" t="s">
        <v>60</v>
      </c>
      <c r="F1617" s="25" t="s">
        <v>4179</v>
      </c>
      <c r="G1617" s="25" t="s">
        <v>4180</v>
      </c>
      <c r="H1617" t="s">
        <v>26</v>
      </c>
      <c r="I1617" t="s">
        <v>26</v>
      </c>
      <c r="J1617" t="s">
        <v>26</v>
      </c>
      <c r="K1617" t="s">
        <v>26</v>
      </c>
      <c r="L1617" s="25" t="s">
        <v>68</v>
      </c>
      <c r="M1617" t="s">
        <v>26</v>
      </c>
      <c r="N1617" t="s">
        <v>26</v>
      </c>
      <c r="O1617" t="s">
        <v>26</v>
      </c>
      <c r="P1617" t="s">
        <v>26</v>
      </c>
      <c r="Q1617" t="s">
        <v>26</v>
      </c>
      <c r="R1617" t="s">
        <v>26</v>
      </c>
      <c r="S1617" t="s">
        <v>26</v>
      </c>
      <c r="T1617" t="s">
        <v>26</v>
      </c>
      <c r="U1617" t="s">
        <v>26</v>
      </c>
      <c r="V1617" t="s">
        <v>26</v>
      </c>
      <c r="W1617" s="24">
        <v>40179</v>
      </c>
      <c r="X1617" s="25" t="s">
        <v>77</v>
      </c>
      <c r="Y1617" t="s">
        <v>26</v>
      </c>
      <c r="Z1617" s="24">
        <v>40179</v>
      </c>
      <c r="AA1617" s="25" t="s">
        <v>77</v>
      </c>
      <c r="AB1617" t="s">
        <v>26</v>
      </c>
      <c r="AC1617" s="24">
        <v>40179</v>
      </c>
      <c r="AD1617" s="25" t="s">
        <v>77</v>
      </c>
      <c r="AE1617" t="s">
        <v>26</v>
      </c>
      <c r="AF1617" t="s">
        <v>26</v>
      </c>
      <c r="AG1617" t="s">
        <v>26</v>
      </c>
      <c r="AH1617" t="s">
        <v>26</v>
      </c>
      <c r="AI1617" t="s">
        <v>26</v>
      </c>
      <c r="AJ1617" t="s">
        <v>26</v>
      </c>
      <c r="AK1617" t="s">
        <v>26</v>
      </c>
      <c r="AL1617" t="s">
        <v>26</v>
      </c>
      <c r="AM1617" t="s">
        <v>26</v>
      </c>
      <c r="AN1617" t="s">
        <v>26</v>
      </c>
      <c r="AO1617" s="25" t="s">
        <v>68</v>
      </c>
      <c r="AP1617" s="23" t="s">
        <v>69</v>
      </c>
      <c r="AQ1617" t="s">
        <v>26</v>
      </c>
      <c r="AR1617" s="23" t="s">
        <v>697</v>
      </c>
      <c r="AS1617" s="25">
        <v>196197</v>
      </c>
      <c r="AT1617" t="s">
        <v>26</v>
      </c>
      <c r="AU1617" t="s">
        <v>24352</v>
      </c>
    </row>
    <row r="1618" spans="1:47" ht="26.25" x14ac:dyDescent="0.4">
      <c r="A1618" s="23" t="s">
        <v>4181</v>
      </c>
      <c r="B1618" t="s">
        <v>26</v>
      </c>
      <c r="C1618" s="23" t="s">
        <v>73</v>
      </c>
      <c r="D1618" s="23" t="s">
        <v>22179</v>
      </c>
      <c r="E1618" s="23" t="s">
        <v>74</v>
      </c>
      <c r="F1618" s="25" t="s">
        <v>4182</v>
      </c>
      <c r="G1618" s="25" t="s">
        <v>4183</v>
      </c>
      <c r="H1618" t="s">
        <v>26</v>
      </c>
      <c r="I1618" s="24">
        <v>35886</v>
      </c>
      <c r="J1618" s="24">
        <v>38261</v>
      </c>
      <c r="K1618" t="s">
        <v>26</v>
      </c>
      <c r="L1618" s="25" t="s">
        <v>68</v>
      </c>
      <c r="M1618" t="s">
        <v>26</v>
      </c>
      <c r="N1618" t="s">
        <v>26</v>
      </c>
      <c r="O1618" t="s">
        <v>26</v>
      </c>
      <c r="P1618" s="24">
        <v>35886</v>
      </c>
      <c r="Q1618" s="24">
        <v>38261</v>
      </c>
      <c r="R1618" t="s">
        <v>26</v>
      </c>
      <c r="S1618" t="s">
        <v>26</v>
      </c>
      <c r="T1618" t="s">
        <v>26</v>
      </c>
      <c r="U1618" t="s">
        <v>26</v>
      </c>
      <c r="V1618" t="s">
        <v>26</v>
      </c>
      <c r="W1618" s="24">
        <v>35886</v>
      </c>
      <c r="X1618" s="24">
        <v>38261</v>
      </c>
      <c r="Y1618" t="s">
        <v>26</v>
      </c>
      <c r="Z1618" s="24">
        <v>35886</v>
      </c>
      <c r="AA1618" s="24">
        <v>38261</v>
      </c>
      <c r="AB1618" t="s">
        <v>26</v>
      </c>
      <c r="AC1618" s="24">
        <v>35886</v>
      </c>
      <c r="AD1618" s="24">
        <v>38261</v>
      </c>
      <c r="AE1618" t="s">
        <v>26</v>
      </c>
      <c r="AF1618" t="s">
        <v>26</v>
      </c>
      <c r="AG1618" t="s">
        <v>26</v>
      </c>
      <c r="AH1618" t="s">
        <v>26</v>
      </c>
      <c r="AI1618" t="s">
        <v>26</v>
      </c>
      <c r="AJ1618" t="s">
        <v>26</v>
      </c>
      <c r="AK1618" t="s">
        <v>26</v>
      </c>
      <c r="AL1618" t="s">
        <v>26</v>
      </c>
      <c r="AM1618" t="s">
        <v>26</v>
      </c>
      <c r="AN1618" t="s">
        <v>26</v>
      </c>
      <c r="AO1618" s="25" t="s">
        <v>68</v>
      </c>
      <c r="AP1618" s="23" t="s">
        <v>69</v>
      </c>
      <c r="AQ1618" s="23" t="s">
        <v>30</v>
      </c>
      <c r="AR1618" s="23" t="s">
        <v>4184</v>
      </c>
      <c r="AS1618" s="25">
        <v>37471</v>
      </c>
      <c r="AT1618" t="s">
        <v>26</v>
      </c>
      <c r="AU1618" t="s">
        <v>24353</v>
      </c>
    </row>
    <row r="1619" spans="1:47" ht="26.25" x14ac:dyDescent="0.4">
      <c r="A1619" s="23" t="s">
        <v>4185</v>
      </c>
      <c r="B1619" t="s">
        <v>26</v>
      </c>
      <c r="C1619" s="23" t="s">
        <v>73</v>
      </c>
      <c r="D1619" s="23" t="s">
        <v>22179</v>
      </c>
      <c r="E1619" s="23" t="s">
        <v>74</v>
      </c>
      <c r="F1619" t="s">
        <v>26</v>
      </c>
      <c r="G1619" s="25" t="s">
        <v>4183</v>
      </c>
      <c r="H1619" t="s">
        <v>26</v>
      </c>
      <c r="I1619" t="s">
        <v>26</v>
      </c>
      <c r="J1619" t="s">
        <v>26</v>
      </c>
      <c r="K1619" t="s">
        <v>26</v>
      </c>
      <c r="L1619" s="25" t="s">
        <v>68</v>
      </c>
      <c r="M1619" t="s">
        <v>26</v>
      </c>
      <c r="N1619" t="s">
        <v>26</v>
      </c>
      <c r="O1619" t="s">
        <v>26</v>
      </c>
      <c r="P1619" t="s">
        <v>26</v>
      </c>
      <c r="Q1619" t="s">
        <v>26</v>
      </c>
      <c r="R1619" t="s">
        <v>26</v>
      </c>
      <c r="S1619" t="s">
        <v>26</v>
      </c>
      <c r="T1619" t="s">
        <v>26</v>
      </c>
      <c r="U1619" t="s">
        <v>26</v>
      </c>
      <c r="V1619" t="s">
        <v>26</v>
      </c>
      <c r="W1619" s="24">
        <v>36161</v>
      </c>
      <c r="X1619" s="25" t="s">
        <v>77</v>
      </c>
      <c r="Y1619" t="s">
        <v>26</v>
      </c>
      <c r="Z1619" s="24">
        <v>36161</v>
      </c>
      <c r="AA1619" s="25" t="s">
        <v>77</v>
      </c>
      <c r="AB1619" t="s">
        <v>26</v>
      </c>
      <c r="AC1619" s="24">
        <v>38322</v>
      </c>
      <c r="AD1619" s="25" t="s">
        <v>77</v>
      </c>
      <c r="AE1619" t="s">
        <v>26</v>
      </c>
      <c r="AF1619" t="s">
        <v>26</v>
      </c>
      <c r="AG1619" t="s">
        <v>26</v>
      </c>
      <c r="AH1619" t="s">
        <v>26</v>
      </c>
      <c r="AI1619" t="s">
        <v>26</v>
      </c>
      <c r="AJ1619" t="s">
        <v>26</v>
      </c>
      <c r="AK1619" t="s">
        <v>26</v>
      </c>
      <c r="AL1619" t="s">
        <v>26</v>
      </c>
      <c r="AM1619" t="s">
        <v>26</v>
      </c>
      <c r="AN1619" t="s">
        <v>26</v>
      </c>
      <c r="AO1619" s="25" t="s">
        <v>68</v>
      </c>
      <c r="AP1619" s="23" t="s">
        <v>69</v>
      </c>
      <c r="AQ1619" s="23" t="s">
        <v>30</v>
      </c>
      <c r="AR1619" s="23" t="s">
        <v>4186</v>
      </c>
      <c r="AS1619" s="25">
        <v>2034451</v>
      </c>
      <c r="AT1619" t="s">
        <v>26</v>
      </c>
      <c r="AU1619" t="s">
        <v>24354</v>
      </c>
    </row>
    <row r="1620" spans="1:47" ht="26.25" x14ac:dyDescent="0.4">
      <c r="A1620" s="23" t="s">
        <v>4187</v>
      </c>
      <c r="B1620" t="s">
        <v>26</v>
      </c>
      <c r="C1620" s="23" t="s">
        <v>1958</v>
      </c>
      <c r="D1620" s="23" t="s">
        <v>24008</v>
      </c>
      <c r="E1620" s="23" t="s">
        <v>60</v>
      </c>
      <c r="F1620" s="25" t="s">
        <v>4188</v>
      </c>
      <c r="G1620" s="25" t="s">
        <v>4189</v>
      </c>
      <c r="H1620" t="s">
        <v>26</v>
      </c>
      <c r="I1620" t="s">
        <v>26</v>
      </c>
      <c r="J1620" t="s">
        <v>26</v>
      </c>
      <c r="K1620" t="s">
        <v>26</v>
      </c>
      <c r="L1620" s="25" t="s">
        <v>68</v>
      </c>
      <c r="M1620" t="s">
        <v>26</v>
      </c>
      <c r="N1620" t="s">
        <v>26</v>
      </c>
      <c r="O1620" t="s">
        <v>26</v>
      </c>
      <c r="P1620" t="s">
        <v>26</v>
      </c>
      <c r="Q1620" t="s">
        <v>26</v>
      </c>
      <c r="R1620" t="s">
        <v>26</v>
      </c>
      <c r="S1620" t="s">
        <v>26</v>
      </c>
      <c r="T1620" t="s">
        <v>26</v>
      </c>
      <c r="U1620" t="s">
        <v>26</v>
      </c>
      <c r="V1620" t="s">
        <v>26</v>
      </c>
      <c r="W1620" s="24">
        <v>32598</v>
      </c>
      <c r="X1620" s="25" t="s">
        <v>77</v>
      </c>
      <c r="Y1620" s="25" t="s">
        <v>2134</v>
      </c>
      <c r="Z1620" s="24">
        <v>32598</v>
      </c>
      <c r="AA1620" s="25" t="s">
        <v>77</v>
      </c>
      <c r="AB1620" s="25" t="s">
        <v>2134</v>
      </c>
      <c r="AC1620" s="24">
        <v>32598</v>
      </c>
      <c r="AD1620" s="25" t="s">
        <v>77</v>
      </c>
      <c r="AE1620" s="25" t="s">
        <v>2134</v>
      </c>
      <c r="AF1620" t="s">
        <v>26</v>
      </c>
      <c r="AG1620" t="s">
        <v>26</v>
      </c>
      <c r="AH1620" t="s">
        <v>26</v>
      </c>
      <c r="AI1620" t="s">
        <v>26</v>
      </c>
      <c r="AJ1620" t="s">
        <v>26</v>
      </c>
      <c r="AK1620" t="s">
        <v>26</v>
      </c>
      <c r="AL1620" t="s">
        <v>26</v>
      </c>
      <c r="AM1620" t="s">
        <v>26</v>
      </c>
      <c r="AN1620" t="s">
        <v>26</v>
      </c>
      <c r="AO1620" s="25" t="s">
        <v>68</v>
      </c>
      <c r="AP1620" s="23" t="s">
        <v>69</v>
      </c>
      <c r="AQ1620" s="23" t="s">
        <v>30</v>
      </c>
      <c r="AR1620" s="23" t="s">
        <v>24355</v>
      </c>
      <c r="AS1620" s="25">
        <v>18781</v>
      </c>
      <c r="AT1620" t="s">
        <v>26</v>
      </c>
      <c r="AU1620" t="s">
        <v>24356</v>
      </c>
    </row>
    <row r="1621" spans="1:47" ht="26.25" x14ac:dyDescent="0.4">
      <c r="A1621" s="23" t="s">
        <v>4190</v>
      </c>
      <c r="B1621" t="s">
        <v>26</v>
      </c>
      <c r="C1621" s="23" t="s">
        <v>1958</v>
      </c>
      <c r="D1621" s="23" t="s">
        <v>24008</v>
      </c>
      <c r="E1621" s="23" t="s">
        <v>60</v>
      </c>
      <c r="F1621" s="25" t="s">
        <v>4191</v>
      </c>
      <c r="G1621" s="25" t="s">
        <v>4192</v>
      </c>
      <c r="H1621" t="s">
        <v>26</v>
      </c>
      <c r="I1621" t="s">
        <v>26</v>
      </c>
      <c r="J1621" t="s">
        <v>26</v>
      </c>
      <c r="K1621" t="s">
        <v>26</v>
      </c>
      <c r="L1621" s="25" t="s">
        <v>68</v>
      </c>
      <c r="M1621" t="s">
        <v>26</v>
      </c>
      <c r="N1621" t="s">
        <v>26</v>
      </c>
      <c r="O1621" t="s">
        <v>26</v>
      </c>
      <c r="P1621" t="s">
        <v>26</v>
      </c>
      <c r="Q1621" t="s">
        <v>26</v>
      </c>
      <c r="R1621" t="s">
        <v>26</v>
      </c>
      <c r="S1621" t="s">
        <v>26</v>
      </c>
      <c r="T1621" t="s">
        <v>26</v>
      </c>
      <c r="U1621" t="s">
        <v>26</v>
      </c>
      <c r="V1621" t="s">
        <v>26</v>
      </c>
      <c r="W1621" s="24">
        <v>34424</v>
      </c>
      <c r="X1621" s="25" t="s">
        <v>77</v>
      </c>
      <c r="Y1621" t="s">
        <v>26</v>
      </c>
      <c r="Z1621" s="24">
        <v>34424</v>
      </c>
      <c r="AA1621" s="25" t="s">
        <v>77</v>
      </c>
      <c r="AB1621" t="s">
        <v>26</v>
      </c>
      <c r="AC1621" s="24">
        <v>34424</v>
      </c>
      <c r="AD1621" s="25" t="s">
        <v>77</v>
      </c>
      <c r="AE1621" t="s">
        <v>26</v>
      </c>
      <c r="AF1621" t="s">
        <v>26</v>
      </c>
      <c r="AG1621" t="s">
        <v>26</v>
      </c>
      <c r="AH1621" t="s">
        <v>26</v>
      </c>
      <c r="AI1621" t="s">
        <v>26</v>
      </c>
      <c r="AJ1621" t="s">
        <v>26</v>
      </c>
      <c r="AK1621" t="s">
        <v>26</v>
      </c>
      <c r="AL1621" t="s">
        <v>26</v>
      </c>
      <c r="AM1621" t="s">
        <v>26</v>
      </c>
      <c r="AN1621" t="s">
        <v>26</v>
      </c>
      <c r="AO1621" s="25" t="s">
        <v>68</v>
      </c>
      <c r="AP1621" s="23" t="s">
        <v>69</v>
      </c>
      <c r="AQ1621" s="23" t="s">
        <v>30</v>
      </c>
      <c r="AR1621" s="23" t="s">
        <v>24357</v>
      </c>
      <c r="AS1621" s="25">
        <v>45252</v>
      </c>
      <c r="AT1621" t="s">
        <v>26</v>
      </c>
      <c r="AU1621" t="s">
        <v>24358</v>
      </c>
    </row>
    <row r="1622" spans="1:47" ht="26.25" x14ac:dyDescent="0.4">
      <c r="A1622" s="23" t="s">
        <v>4193</v>
      </c>
      <c r="B1622" t="s">
        <v>26</v>
      </c>
      <c r="C1622" s="23" t="s">
        <v>80</v>
      </c>
      <c r="D1622" s="23" t="s">
        <v>22184</v>
      </c>
      <c r="E1622" s="23" t="s">
        <v>60</v>
      </c>
      <c r="F1622" s="25" t="s">
        <v>4194</v>
      </c>
      <c r="G1622" s="25" t="s">
        <v>4195</v>
      </c>
      <c r="H1622" t="s">
        <v>26</v>
      </c>
      <c r="I1622" s="24">
        <v>35612</v>
      </c>
      <c r="J1622" s="24">
        <v>36831</v>
      </c>
      <c r="K1622" t="s">
        <v>26</v>
      </c>
      <c r="L1622" s="25" t="s">
        <v>68</v>
      </c>
      <c r="M1622" s="24">
        <v>35612</v>
      </c>
      <c r="N1622" s="24">
        <v>36831</v>
      </c>
      <c r="O1622" t="s">
        <v>26</v>
      </c>
      <c r="P1622" s="24">
        <v>35612</v>
      </c>
      <c r="Q1622" s="24">
        <v>36831</v>
      </c>
      <c r="R1622" t="s">
        <v>26</v>
      </c>
      <c r="S1622" t="s">
        <v>26</v>
      </c>
      <c r="T1622" t="s">
        <v>26</v>
      </c>
      <c r="U1622" t="s">
        <v>26</v>
      </c>
      <c r="V1622" t="s">
        <v>26</v>
      </c>
      <c r="W1622" s="24">
        <v>35612</v>
      </c>
      <c r="X1622" s="25" t="s">
        <v>77</v>
      </c>
      <c r="Y1622" t="s">
        <v>26</v>
      </c>
      <c r="Z1622" s="24">
        <v>35612</v>
      </c>
      <c r="AA1622" s="25" t="s">
        <v>77</v>
      </c>
      <c r="AB1622" t="s">
        <v>26</v>
      </c>
      <c r="AC1622" s="24">
        <v>35612</v>
      </c>
      <c r="AD1622" s="25" t="s">
        <v>77</v>
      </c>
      <c r="AE1622" t="s">
        <v>26</v>
      </c>
      <c r="AF1622" t="s">
        <v>26</v>
      </c>
      <c r="AG1622" t="s">
        <v>26</v>
      </c>
      <c r="AH1622" t="s">
        <v>26</v>
      </c>
      <c r="AI1622" t="s">
        <v>26</v>
      </c>
      <c r="AJ1622" t="s">
        <v>26</v>
      </c>
      <c r="AK1622" t="s">
        <v>26</v>
      </c>
      <c r="AL1622" t="s">
        <v>26</v>
      </c>
      <c r="AM1622" t="s">
        <v>26</v>
      </c>
      <c r="AN1622" t="s">
        <v>26</v>
      </c>
      <c r="AO1622" s="25" t="s">
        <v>68</v>
      </c>
      <c r="AP1622" s="23" t="s">
        <v>69</v>
      </c>
      <c r="AQ1622" s="23" t="s">
        <v>30</v>
      </c>
      <c r="AR1622" s="23" t="s">
        <v>4196</v>
      </c>
      <c r="AS1622" s="25">
        <v>33228</v>
      </c>
      <c r="AT1622" t="s">
        <v>26</v>
      </c>
      <c r="AU1622" t="s">
        <v>24359</v>
      </c>
    </row>
    <row r="1623" spans="1:47" ht="26.25" x14ac:dyDescent="0.4">
      <c r="A1623" s="23" t="s">
        <v>4197</v>
      </c>
      <c r="B1623" t="s">
        <v>26</v>
      </c>
      <c r="C1623" s="23" t="s">
        <v>981</v>
      </c>
      <c r="D1623" s="23" t="s">
        <v>22190</v>
      </c>
      <c r="E1623" s="23" t="s">
        <v>42</v>
      </c>
      <c r="F1623" s="25" t="s">
        <v>4198</v>
      </c>
      <c r="G1623" s="25" t="s">
        <v>4199</v>
      </c>
      <c r="H1623" t="s">
        <v>26</v>
      </c>
      <c r="I1623" s="24">
        <v>34335</v>
      </c>
      <c r="J1623" s="24">
        <v>40452</v>
      </c>
      <c r="K1623" t="s">
        <v>26</v>
      </c>
      <c r="L1623" s="25" t="s">
        <v>68</v>
      </c>
      <c r="M1623" s="24">
        <v>34335</v>
      </c>
      <c r="N1623" s="24">
        <v>40452</v>
      </c>
      <c r="O1623" t="s">
        <v>26</v>
      </c>
      <c r="P1623" s="24">
        <v>35065</v>
      </c>
      <c r="Q1623" s="24">
        <v>40452</v>
      </c>
      <c r="R1623" t="s">
        <v>26</v>
      </c>
      <c r="S1623" t="s">
        <v>26</v>
      </c>
      <c r="T1623" t="s">
        <v>26</v>
      </c>
      <c r="U1623" t="s">
        <v>26</v>
      </c>
      <c r="V1623" t="s">
        <v>26</v>
      </c>
      <c r="W1623" s="24">
        <v>32509</v>
      </c>
      <c r="X1623" s="25" t="s">
        <v>77</v>
      </c>
      <c r="Y1623" t="s">
        <v>26</v>
      </c>
      <c r="Z1623" s="24">
        <v>32509</v>
      </c>
      <c r="AA1623" s="25" t="s">
        <v>77</v>
      </c>
      <c r="AB1623" t="s">
        <v>26</v>
      </c>
      <c r="AC1623" s="24">
        <v>32509</v>
      </c>
      <c r="AD1623" s="25" t="s">
        <v>77</v>
      </c>
      <c r="AE1623" t="s">
        <v>26</v>
      </c>
      <c r="AF1623" t="s">
        <v>26</v>
      </c>
      <c r="AG1623" t="s">
        <v>26</v>
      </c>
      <c r="AH1623" t="s">
        <v>26</v>
      </c>
      <c r="AI1623" t="s">
        <v>26</v>
      </c>
      <c r="AJ1623" t="s">
        <v>26</v>
      </c>
      <c r="AK1623" t="s">
        <v>26</v>
      </c>
      <c r="AL1623" t="s">
        <v>26</v>
      </c>
      <c r="AM1623" t="s">
        <v>26</v>
      </c>
      <c r="AN1623" t="s">
        <v>26</v>
      </c>
      <c r="AO1623" s="25" t="s">
        <v>68</v>
      </c>
      <c r="AP1623" s="23" t="s">
        <v>69</v>
      </c>
      <c r="AQ1623" s="23" t="s">
        <v>30</v>
      </c>
      <c r="AR1623" s="23" t="s">
        <v>46</v>
      </c>
      <c r="AS1623" s="25">
        <v>36277</v>
      </c>
      <c r="AT1623" t="s">
        <v>26</v>
      </c>
      <c r="AU1623" t="s">
        <v>24360</v>
      </c>
    </row>
    <row r="1624" spans="1:47" ht="26.25" x14ac:dyDescent="0.4">
      <c r="A1624" s="23" t="s">
        <v>4200</v>
      </c>
      <c r="B1624" t="s">
        <v>26</v>
      </c>
      <c r="C1624" s="23" t="s">
        <v>172</v>
      </c>
      <c r="D1624" s="23" t="s">
        <v>22179</v>
      </c>
      <c r="E1624" s="23" t="s">
        <v>60</v>
      </c>
      <c r="F1624" s="25" t="s">
        <v>4201</v>
      </c>
      <c r="G1624" s="25" t="s">
        <v>4202</v>
      </c>
      <c r="H1624" t="s">
        <v>26</v>
      </c>
      <c r="I1624" s="24">
        <v>35827</v>
      </c>
      <c r="J1624" s="24">
        <v>43435</v>
      </c>
      <c r="K1624" t="s">
        <v>26</v>
      </c>
      <c r="L1624" s="25" t="s">
        <v>68</v>
      </c>
      <c r="M1624" t="s">
        <v>26</v>
      </c>
      <c r="N1624" t="s">
        <v>26</v>
      </c>
      <c r="O1624" t="s">
        <v>26</v>
      </c>
      <c r="P1624" s="24">
        <v>35827</v>
      </c>
      <c r="Q1624" s="24">
        <v>43435</v>
      </c>
      <c r="R1624" t="s">
        <v>26</v>
      </c>
      <c r="S1624" t="s">
        <v>26</v>
      </c>
      <c r="T1624" t="s">
        <v>26</v>
      </c>
      <c r="U1624" t="s">
        <v>26</v>
      </c>
      <c r="V1624" t="s">
        <v>26</v>
      </c>
      <c r="W1624" s="24">
        <v>35827</v>
      </c>
      <c r="X1624" s="25" t="s">
        <v>77</v>
      </c>
      <c r="Y1624" t="s">
        <v>26</v>
      </c>
      <c r="Z1624" s="24">
        <v>35827</v>
      </c>
      <c r="AA1624" s="25" t="s">
        <v>77</v>
      </c>
      <c r="AB1624" t="s">
        <v>26</v>
      </c>
      <c r="AC1624" s="24">
        <v>35827</v>
      </c>
      <c r="AD1624" s="25" t="s">
        <v>77</v>
      </c>
      <c r="AE1624" t="s">
        <v>26</v>
      </c>
      <c r="AF1624" t="s">
        <v>26</v>
      </c>
      <c r="AG1624" t="s">
        <v>26</v>
      </c>
      <c r="AH1624" t="s">
        <v>26</v>
      </c>
      <c r="AI1624" t="s">
        <v>26</v>
      </c>
      <c r="AJ1624" t="s">
        <v>26</v>
      </c>
      <c r="AK1624" t="s">
        <v>26</v>
      </c>
      <c r="AL1624" t="s">
        <v>26</v>
      </c>
      <c r="AM1624" t="s">
        <v>26</v>
      </c>
      <c r="AN1624" t="s">
        <v>26</v>
      </c>
      <c r="AO1624" s="25" t="s">
        <v>68</v>
      </c>
      <c r="AP1624" s="23" t="s">
        <v>69</v>
      </c>
      <c r="AQ1624" s="23" t="s">
        <v>30</v>
      </c>
      <c r="AR1624" s="23" t="s">
        <v>46</v>
      </c>
      <c r="AS1624" s="25">
        <v>31322</v>
      </c>
      <c r="AT1624" t="s">
        <v>26</v>
      </c>
      <c r="AU1624" t="s">
        <v>24361</v>
      </c>
    </row>
    <row r="1625" spans="1:47" ht="26.25" x14ac:dyDescent="0.4">
      <c r="A1625" s="23" t="s">
        <v>4203</v>
      </c>
      <c r="B1625" t="s">
        <v>26</v>
      </c>
      <c r="C1625" s="23" t="s">
        <v>981</v>
      </c>
      <c r="D1625" s="23" t="s">
        <v>22179</v>
      </c>
      <c r="E1625" s="23" t="s">
        <v>42</v>
      </c>
      <c r="F1625" s="25" t="s">
        <v>4204</v>
      </c>
      <c r="G1625" s="25" t="s">
        <v>4205</v>
      </c>
      <c r="H1625" t="s">
        <v>26</v>
      </c>
      <c r="I1625" s="24">
        <v>34394</v>
      </c>
      <c r="J1625" s="24">
        <v>40452</v>
      </c>
      <c r="K1625" t="s">
        <v>26</v>
      </c>
      <c r="L1625" s="25" t="s">
        <v>68</v>
      </c>
      <c r="M1625" s="24">
        <v>34394</v>
      </c>
      <c r="N1625" s="24">
        <v>40452</v>
      </c>
      <c r="O1625" t="s">
        <v>26</v>
      </c>
      <c r="P1625" s="24">
        <v>35309</v>
      </c>
      <c r="Q1625" s="24">
        <v>40452</v>
      </c>
      <c r="R1625" t="s">
        <v>26</v>
      </c>
      <c r="S1625" t="s">
        <v>26</v>
      </c>
      <c r="T1625" t="s">
        <v>26</v>
      </c>
      <c r="U1625" t="s">
        <v>26</v>
      </c>
      <c r="V1625" t="s">
        <v>26</v>
      </c>
      <c r="W1625" s="24">
        <v>32568</v>
      </c>
      <c r="X1625" s="25" t="s">
        <v>77</v>
      </c>
      <c r="Y1625" t="s">
        <v>26</v>
      </c>
      <c r="Z1625" s="24">
        <v>32568</v>
      </c>
      <c r="AA1625" s="25" t="s">
        <v>77</v>
      </c>
      <c r="AB1625" t="s">
        <v>26</v>
      </c>
      <c r="AC1625" s="24">
        <v>32568</v>
      </c>
      <c r="AD1625" s="25" t="s">
        <v>77</v>
      </c>
      <c r="AE1625" t="s">
        <v>26</v>
      </c>
      <c r="AF1625" t="s">
        <v>26</v>
      </c>
      <c r="AG1625" t="s">
        <v>26</v>
      </c>
      <c r="AH1625" t="s">
        <v>26</v>
      </c>
      <c r="AI1625" t="s">
        <v>26</v>
      </c>
      <c r="AJ1625" t="s">
        <v>26</v>
      </c>
      <c r="AK1625" t="s">
        <v>26</v>
      </c>
      <c r="AL1625" t="s">
        <v>26</v>
      </c>
      <c r="AM1625" t="s">
        <v>26</v>
      </c>
      <c r="AN1625" t="s">
        <v>26</v>
      </c>
      <c r="AO1625" s="25" t="s">
        <v>68</v>
      </c>
      <c r="AP1625" s="23" t="s">
        <v>69</v>
      </c>
      <c r="AQ1625" s="23" t="s">
        <v>30</v>
      </c>
      <c r="AR1625" s="23" t="s">
        <v>4206</v>
      </c>
      <c r="AS1625" s="25">
        <v>34448</v>
      </c>
      <c r="AT1625" t="s">
        <v>26</v>
      </c>
      <c r="AU1625" t="s">
        <v>24362</v>
      </c>
    </row>
    <row r="1626" spans="1:47" ht="26.25" x14ac:dyDescent="0.4">
      <c r="A1626" s="23" t="s">
        <v>4207</v>
      </c>
      <c r="B1626" t="s">
        <v>26</v>
      </c>
      <c r="C1626" s="23" t="s">
        <v>2404</v>
      </c>
      <c r="D1626" s="23" t="s">
        <v>23395</v>
      </c>
      <c r="E1626" t="s">
        <v>26</v>
      </c>
      <c r="F1626" s="25" t="s">
        <v>4208</v>
      </c>
      <c r="G1626" s="25" t="s">
        <v>4209</v>
      </c>
      <c r="H1626" t="s">
        <v>26</v>
      </c>
      <c r="I1626" s="24">
        <v>41640</v>
      </c>
      <c r="J1626" s="25" t="s">
        <v>77</v>
      </c>
      <c r="K1626" t="s">
        <v>26</v>
      </c>
      <c r="L1626" s="25" t="s">
        <v>68</v>
      </c>
      <c r="M1626" s="24">
        <v>41640</v>
      </c>
      <c r="N1626" s="24">
        <v>43647</v>
      </c>
      <c r="O1626" t="s">
        <v>26</v>
      </c>
      <c r="P1626" s="24">
        <v>41640</v>
      </c>
      <c r="Q1626" s="24">
        <v>43647</v>
      </c>
      <c r="R1626" t="s">
        <v>26</v>
      </c>
      <c r="S1626" s="24">
        <v>43831</v>
      </c>
      <c r="T1626" s="25" t="s">
        <v>77</v>
      </c>
      <c r="U1626" t="s">
        <v>26</v>
      </c>
      <c r="V1626" t="s">
        <v>26</v>
      </c>
      <c r="W1626" s="24">
        <v>41640</v>
      </c>
      <c r="X1626" s="25" t="s">
        <v>77</v>
      </c>
      <c r="Y1626" t="s">
        <v>26</v>
      </c>
      <c r="Z1626" s="24">
        <v>41640</v>
      </c>
      <c r="AA1626" s="25" t="s">
        <v>77</v>
      </c>
      <c r="AB1626" t="s">
        <v>26</v>
      </c>
      <c r="AC1626" s="24">
        <v>41640</v>
      </c>
      <c r="AD1626" s="25" t="s">
        <v>77</v>
      </c>
      <c r="AE1626" t="s">
        <v>26</v>
      </c>
      <c r="AF1626" t="s">
        <v>26</v>
      </c>
      <c r="AG1626" t="s">
        <v>26</v>
      </c>
      <c r="AH1626" t="s">
        <v>26</v>
      </c>
      <c r="AI1626" t="s">
        <v>26</v>
      </c>
      <c r="AJ1626" t="s">
        <v>26</v>
      </c>
      <c r="AK1626" t="s">
        <v>26</v>
      </c>
      <c r="AL1626" t="s">
        <v>26</v>
      </c>
      <c r="AM1626" t="s">
        <v>26</v>
      </c>
      <c r="AN1626" t="s">
        <v>26</v>
      </c>
      <c r="AO1626" s="25" t="s">
        <v>28</v>
      </c>
      <c r="AP1626" s="23" t="s">
        <v>69</v>
      </c>
      <c r="AQ1626" s="23" t="s">
        <v>30</v>
      </c>
      <c r="AR1626" s="23" t="s">
        <v>458</v>
      </c>
      <c r="AS1626" s="25">
        <v>4170339</v>
      </c>
      <c r="AT1626" t="s">
        <v>26</v>
      </c>
      <c r="AU1626" t="s">
        <v>24363</v>
      </c>
    </row>
    <row r="1627" spans="1:47" ht="26.25" x14ac:dyDescent="0.4">
      <c r="A1627" s="23" t="s">
        <v>4210</v>
      </c>
      <c r="B1627" t="s">
        <v>26</v>
      </c>
      <c r="C1627" s="23" t="s">
        <v>107</v>
      </c>
      <c r="D1627" s="23" t="s">
        <v>22497</v>
      </c>
      <c r="E1627" s="23" t="s">
        <v>42</v>
      </c>
      <c r="F1627" s="25" t="s">
        <v>4211</v>
      </c>
      <c r="G1627" t="s">
        <v>26</v>
      </c>
      <c r="H1627" t="s">
        <v>26</v>
      </c>
      <c r="I1627" t="s">
        <v>26</v>
      </c>
      <c r="J1627" t="s">
        <v>26</v>
      </c>
      <c r="K1627" t="s">
        <v>26</v>
      </c>
      <c r="L1627" s="25" t="s">
        <v>68</v>
      </c>
      <c r="M1627" t="s">
        <v>26</v>
      </c>
      <c r="N1627" t="s">
        <v>26</v>
      </c>
      <c r="O1627" t="s">
        <v>26</v>
      </c>
      <c r="P1627" t="s">
        <v>26</v>
      </c>
      <c r="Q1627" t="s">
        <v>26</v>
      </c>
      <c r="R1627" t="s">
        <v>26</v>
      </c>
      <c r="S1627" t="s">
        <v>26</v>
      </c>
      <c r="T1627" t="s">
        <v>26</v>
      </c>
      <c r="U1627" t="s">
        <v>26</v>
      </c>
      <c r="V1627" t="s">
        <v>26</v>
      </c>
      <c r="W1627" s="24">
        <v>35796</v>
      </c>
      <c r="X1627" s="24">
        <v>37165</v>
      </c>
      <c r="Y1627" t="s">
        <v>26</v>
      </c>
      <c r="Z1627" s="24">
        <v>35796</v>
      </c>
      <c r="AA1627" s="24">
        <v>37165</v>
      </c>
      <c r="AB1627" t="s">
        <v>26</v>
      </c>
      <c r="AC1627" s="24">
        <v>36161</v>
      </c>
      <c r="AD1627" s="24">
        <v>37165</v>
      </c>
      <c r="AE1627" t="s">
        <v>26</v>
      </c>
      <c r="AF1627" t="s">
        <v>26</v>
      </c>
      <c r="AG1627" t="s">
        <v>26</v>
      </c>
      <c r="AH1627" t="s">
        <v>26</v>
      </c>
      <c r="AI1627" t="s">
        <v>26</v>
      </c>
      <c r="AJ1627" t="s">
        <v>26</v>
      </c>
      <c r="AK1627" t="s">
        <v>26</v>
      </c>
      <c r="AL1627" t="s">
        <v>26</v>
      </c>
      <c r="AM1627" t="s">
        <v>26</v>
      </c>
      <c r="AN1627" t="s">
        <v>26</v>
      </c>
      <c r="AO1627" s="25" t="s">
        <v>68</v>
      </c>
      <c r="AP1627" s="23" t="s">
        <v>69</v>
      </c>
      <c r="AQ1627" s="23" t="s">
        <v>30</v>
      </c>
      <c r="AR1627" s="23" t="s">
        <v>70</v>
      </c>
      <c r="AS1627" s="25">
        <v>29863</v>
      </c>
      <c r="AT1627" t="s">
        <v>26</v>
      </c>
      <c r="AU1627" t="s">
        <v>24364</v>
      </c>
    </row>
    <row r="1628" spans="1:47" ht="26.25" x14ac:dyDescent="0.4">
      <c r="A1628" s="23" t="s">
        <v>4212</v>
      </c>
      <c r="B1628" t="s">
        <v>26</v>
      </c>
      <c r="C1628" s="23" t="s">
        <v>1958</v>
      </c>
      <c r="D1628" s="23" t="s">
        <v>22174</v>
      </c>
      <c r="E1628" s="23" t="s">
        <v>60</v>
      </c>
      <c r="F1628" s="25" t="s">
        <v>4213</v>
      </c>
      <c r="G1628" s="25" t="s">
        <v>4214</v>
      </c>
      <c r="H1628" t="s">
        <v>26</v>
      </c>
      <c r="I1628" t="s">
        <v>26</v>
      </c>
      <c r="J1628" t="s">
        <v>26</v>
      </c>
      <c r="K1628" t="s">
        <v>26</v>
      </c>
      <c r="L1628" s="25" t="s">
        <v>68</v>
      </c>
      <c r="M1628" t="s">
        <v>26</v>
      </c>
      <c r="N1628" t="s">
        <v>26</v>
      </c>
      <c r="O1628" t="s">
        <v>26</v>
      </c>
      <c r="P1628" t="s">
        <v>26</v>
      </c>
      <c r="Q1628" t="s">
        <v>26</v>
      </c>
      <c r="R1628" t="s">
        <v>26</v>
      </c>
      <c r="S1628" t="s">
        <v>26</v>
      </c>
      <c r="T1628" t="s">
        <v>26</v>
      </c>
      <c r="U1628" t="s">
        <v>26</v>
      </c>
      <c r="V1628" t="s">
        <v>26</v>
      </c>
      <c r="W1628" s="24">
        <v>33970</v>
      </c>
      <c r="X1628" s="25" t="s">
        <v>77</v>
      </c>
      <c r="Y1628" t="s">
        <v>26</v>
      </c>
      <c r="Z1628" s="24">
        <v>33970</v>
      </c>
      <c r="AA1628" s="25" t="s">
        <v>77</v>
      </c>
      <c r="AB1628" t="s">
        <v>26</v>
      </c>
      <c r="AC1628" s="24">
        <v>33970</v>
      </c>
      <c r="AD1628" s="25" t="s">
        <v>77</v>
      </c>
      <c r="AE1628" t="s">
        <v>26</v>
      </c>
      <c r="AF1628" t="s">
        <v>26</v>
      </c>
      <c r="AG1628" t="s">
        <v>26</v>
      </c>
      <c r="AH1628" t="s">
        <v>26</v>
      </c>
      <c r="AI1628" t="s">
        <v>26</v>
      </c>
      <c r="AJ1628" t="s">
        <v>26</v>
      </c>
      <c r="AK1628" t="s">
        <v>26</v>
      </c>
      <c r="AL1628" t="s">
        <v>26</v>
      </c>
      <c r="AM1628" t="s">
        <v>26</v>
      </c>
      <c r="AN1628" t="s">
        <v>26</v>
      </c>
      <c r="AO1628" s="25" t="s">
        <v>68</v>
      </c>
      <c r="AP1628" s="23" t="s">
        <v>69</v>
      </c>
      <c r="AQ1628" s="23" t="s">
        <v>30</v>
      </c>
      <c r="AR1628" s="23" t="s">
        <v>1332</v>
      </c>
      <c r="AS1628" s="25">
        <v>11387</v>
      </c>
      <c r="AT1628" t="s">
        <v>26</v>
      </c>
      <c r="AU1628" t="s">
        <v>24365</v>
      </c>
    </row>
    <row r="1629" spans="1:47" ht="26.25" x14ac:dyDescent="0.4">
      <c r="A1629" s="23" t="s">
        <v>4215</v>
      </c>
      <c r="B1629" t="s">
        <v>26</v>
      </c>
      <c r="C1629" s="23" t="s">
        <v>80</v>
      </c>
      <c r="D1629" s="23" t="s">
        <v>22184</v>
      </c>
      <c r="E1629" s="23" t="s">
        <v>60</v>
      </c>
      <c r="F1629" s="25" t="s">
        <v>4216</v>
      </c>
      <c r="G1629" s="25" t="s">
        <v>4217</v>
      </c>
      <c r="H1629" t="s">
        <v>26</v>
      </c>
      <c r="I1629" t="s">
        <v>26</v>
      </c>
      <c r="J1629" t="s">
        <v>26</v>
      </c>
      <c r="K1629" t="s">
        <v>26</v>
      </c>
      <c r="L1629" s="25" t="s">
        <v>68</v>
      </c>
      <c r="M1629" t="s">
        <v>26</v>
      </c>
      <c r="N1629" t="s">
        <v>26</v>
      </c>
      <c r="O1629" t="s">
        <v>26</v>
      </c>
      <c r="P1629" t="s">
        <v>26</v>
      </c>
      <c r="Q1629" t="s">
        <v>26</v>
      </c>
      <c r="R1629" t="s">
        <v>26</v>
      </c>
      <c r="S1629" t="s">
        <v>26</v>
      </c>
      <c r="T1629" t="s">
        <v>26</v>
      </c>
      <c r="U1629" t="s">
        <v>26</v>
      </c>
      <c r="V1629" t="s">
        <v>26</v>
      </c>
      <c r="W1629" s="24">
        <v>40179</v>
      </c>
      <c r="X1629" s="24">
        <v>43009</v>
      </c>
      <c r="Y1629" t="s">
        <v>26</v>
      </c>
      <c r="Z1629" s="24">
        <v>40179</v>
      </c>
      <c r="AA1629" s="24">
        <v>43009</v>
      </c>
      <c r="AB1629" t="s">
        <v>26</v>
      </c>
      <c r="AC1629" s="24">
        <v>40179</v>
      </c>
      <c r="AD1629" s="24">
        <v>43009</v>
      </c>
      <c r="AE1629" t="s">
        <v>26</v>
      </c>
      <c r="AF1629" t="s">
        <v>26</v>
      </c>
      <c r="AG1629" t="s">
        <v>26</v>
      </c>
      <c r="AH1629" t="s">
        <v>26</v>
      </c>
      <c r="AI1629" t="s">
        <v>26</v>
      </c>
      <c r="AJ1629" t="s">
        <v>26</v>
      </c>
      <c r="AK1629" t="s">
        <v>26</v>
      </c>
      <c r="AL1629" t="s">
        <v>26</v>
      </c>
      <c r="AM1629" t="s">
        <v>26</v>
      </c>
      <c r="AN1629" t="s">
        <v>26</v>
      </c>
      <c r="AO1629" s="25" t="s">
        <v>68</v>
      </c>
      <c r="AP1629" s="23" t="s">
        <v>69</v>
      </c>
      <c r="AQ1629" s="23" t="s">
        <v>30</v>
      </c>
      <c r="AR1629" s="23" t="s">
        <v>4218</v>
      </c>
      <c r="AS1629" s="25">
        <v>186233</v>
      </c>
      <c r="AT1629" t="s">
        <v>26</v>
      </c>
      <c r="AU1629" t="s">
        <v>24366</v>
      </c>
    </row>
    <row r="1630" spans="1:47" ht="26.25" x14ac:dyDescent="0.4">
      <c r="A1630" s="23" t="s">
        <v>4219</v>
      </c>
      <c r="B1630" t="s">
        <v>26</v>
      </c>
      <c r="C1630" s="23" t="s">
        <v>80</v>
      </c>
      <c r="D1630" s="23" t="s">
        <v>24008</v>
      </c>
      <c r="E1630" s="23" t="s">
        <v>60</v>
      </c>
      <c r="F1630" s="25" t="s">
        <v>4220</v>
      </c>
      <c r="G1630" s="25" t="s">
        <v>4221</v>
      </c>
      <c r="H1630" t="s">
        <v>26</v>
      </c>
      <c r="I1630" t="s">
        <v>26</v>
      </c>
      <c r="J1630" t="s">
        <v>26</v>
      </c>
      <c r="K1630" t="s">
        <v>26</v>
      </c>
      <c r="L1630" s="25" t="s">
        <v>68</v>
      </c>
      <c r="M1630" t="s">
        <v>26</v>
      </c>
      <c r="N1630" t="s">
        <v>26</v>
      </c>
      <c r="O1630" t="s">
        <v>26</v>
      </c>
      <c r="P1630" t="s">
        <v>26</v>
      </c>
      <c r="Q1630" t="s">
        <v>26</v>
      </c>
      <c r="R1630" t="s">
        <v>26</v>
      </c>
      <c r="S1630" t="s">
        <v>26</v>
      </c>
      <c r="T1630" t="s">
        <v>26</v>
      </c>
      <c r="U1630" t="s">
        <v>26</v>
      </c>
      <c r="V1630" t="s">
        <v>26</v>
      </c>
      <c r="W1630" s="24">
        <v>42005</v>
      </c>
      <c r="X1630" s="25" t="s">
        <v>77</v>
      </c>
      <c r="Y1630" t="s">
        <v>26</v>
      </c>
      <c r="Z1630" s="24">
        <v>42005</v>
      </c>
      <c r="AA1630" s="25" t="s">
        <v>77</v>
      </c>
      <c r="AB1630" t="s">
        <v>26</v>
      </c>
      <c r="AC1630" s="24">
        <v>42005</v>
      </c>
      <c r="AD1630" s="25" t="s">
        <v>77</v>
      </c>
      <c r="AE1630" t="s">
        <v>26</v>
      </c>
      <c r="AF1630" t="s">
        <v>26</v>
      </c>
      <c r="AG1630" t="s">
        <v>26</v>
      </c>
      <c r="AH1630" t="s">
        <v>26</v>
      </c>
      <c r="AI1630" t="s">
        <v>26</v>
      </c>
      <c r="AJ1630" t="s">
        <v>26</v>
      </c>
      <c r="AK1630" t="s">
        <v>26</v>
      </c>
      <c r="AL1630" t="s">
        <v>26</v>
      </c>
      <c r="AM1630" t="s">
        <v>26</v>
      </c>
      <c r="AN1630" t="s">
        <v>26</v>
      </c>
      <c r="AO1630" s="25" t="s">
        <v>68</v>
      </c>
      <c r="AP1630" s="23" t="s">
        <v>69</v>
      </c>
      <c r="AQ1630" s="23" t="s">
        <v>30</v>
      </c>
      <c r="AR1630" s="23" t="s">
        <v>4222</v>
      </c>
      <c r="AS1630" s="25">
        <v>2036551</v>
      </c>
      <c r="AT1630" t="s">
        <v>26</v>
      </c>
      <c r="AU1630" t="s">
        <v>24367</v>
      </c>
    </row>
    <row r="1631" spans="1:47" ht="26.25" x14ac:dyDescent="0.4">
      <c r="A1631" s="23" t="s">
        <v>4223</v>
      </c>
      <c r="B1631" t="s">
        <v>26</v>
      </c>
      <c r="C1631" s="23" t="s">
        <v>73</v>
      </c>
      <c r="D1631" s="23" t="s">
        <v>22211</v>
      </c>
      <c r="E1631" s="23" t="s">
        <v>74</v>
      </c>
      <c r="F1631" s="25" t="s">
        <v>4224</v>
      </c>
      <c r="G1631" s="25" t="s">
        <v>4225</v>
      </c>
      <c r="H1631" t="s">
        <v>26</v>
      </c>
      <c r="I1631" s="24">
        <v>36586</v>
      </c>
      <c r="J1631" s="25" t="s">
        <v>77</v>
      </c>
      <c r="K1631" t="s">
        <v>26</v>
      </c>
      <c r="L1631" s="25" t="s">
        <v>68</v>
      </c>
      <c r="M1631" s="24">
        <v>38047</v>
      </c>
      <c r="N1631" s="24">
        <v>42826</v>
      </c>
      <c r="O1631" t="s">
        <v>26</v>
      </c>
      <c r="P1631" s="24">
        <v>36586</v>
      </c>
      <c r="Q1631" s="25" t="s">
        <v>77</v>
      </c>
      <c r="R1631" t="s">
        <v>26</v>
      </c>
      <c r="S1631" t="s">
        <v>26</v>
      </c>
      <c r="T1631" t="s">
        <v>26</v>
      </c>
      <c r="U1631" t="s">
        <v>26</v>
      </c>
      <c r="V1631" s="25">
        <v>365</v>
      </c>
      <c r="W1631" s="24">
        <v>36586</v>
      </c>
      <c r="X1631" s="25" t="s">
        <v>77</v>
      </c>
      <c r="Y1631" t="s">
        <v>26</v>
      </c>
      <c r="Z1631" s="24">
        <v>36586</v>
      </c>
      <c r="AA1631" s="25" t="s">
        <v>77</v>
      </c>
      <c r="AB1631" t="s">
        <v>26</v>
      </c>
      <c r="AC1631" s="24">
        <v>36586</v>
      </c>
      <c r="AD1631" s="25" t="s">
        <v>77</v>
      </c>
      <c r="AE1631" t="s">
        <v>26</v>
      </c>
      <c r="AF1631" t="s">
        <v>26</v>
      </c>
      <c r="AG1631" t="s">
        <v>26</v>
      </c>
      <c r="AH1631" t="s">
        <v>26</v>
      </c>
      <c r="AI1631" t="s">
        <v>26</v>
      </c>
      <c r="AJ1631" t="s">
        <v>26</v>
      </c>
      <c r="AK1631" t="s">
        <v>26</v>
      </c>
      <c r="AL1631" t="s">
        <v>26</v>
      </c>
      <c r="AM1631" t="s">
        <v>26</v>
      </c>
      <c r="AN1631" t="s">
        <v>26</v>
      </c>
      <c r="AO1631" s="25" t="s">
        <v>68</v>
      </c>
      <c r="AP1631" s="23" t="s">
        <v>69</v>
      </c>
      <c r="AQ1631" s="23" t="s">
        <v>30</v>
      </c>
      <c r="AR1631" s="23" t="s">
        <v>257</v>
      </c>
      <c r="AS1631" s="25">
        <v>55390</v>
      </c>
      <c r="AT1631" t="s">
        <v>26</v>
      </c>
      <c r="AU1631" t="s">
        <v>24368</v>
      </c>
    </row>
    <row r="1632" spans="1:47" ht="26.25" x14ac:dyDescent="0.4">
      <c r="A1632" s="23" t="s">
        <v>4226</v>
      </c>
      <c r="B1632" t="s">
        <v>26</v>
      </c>
      <c r="C1632" s="23" t="s">
        <v>102</v>
      </c>
      <c r="D1632" s="23" t="s">
        <v>24369</v>
      </c>
      <c r="E1632" s="23" t="s">
        <v>42</v>
      </c>
      <c r="F1632" s="25" t="s">
        <v>4227</v>
      </c>
      <c r="G1632" s="25" t="s">
        <v>4228</v>
      </c>
      <c r="H1632" t="s">
        <v>26</v>
      </c>
      <c r="I1632" t="s">
        <v>26</v>
      </c>
      <c r="J1632" t="s">
        <v>26</v>
      </c>
      <c r="K1632" t="s">
        <v>26</v>
      </c>
      <c r="L1632" s="25" t="s">
        <v>68</v>
      </c>
      <c r="M1632" t="s">
        <v>26</v>
      </c>
      <c r="N1632" t="s">
        <v>26</v>
      </c>
      <c r="O1632" t="s">
        <v>26</v>
      </c>
      <c r="P1632" t="s">
        <v>26</v>
      </c>
      <c r="Q1632" t="s">
        <v>26</v>
      </c>
      <c r="R1632" t="s">
        <v>26</v>
      </c>
      <c r="S1632" t="s">
        <v>26</v>
      </c>
      <c r="T1632" t="s">
        <v>26</v>
      </c>
      <c r="U1632" t="s">
        <v>26</v>
      </c>
      <c r="V1632" t="s">
        <v>26</v>
      </c>
      <c r="W1632" s="24">
        <v>35827</v>
      </c>
      <c r="X1632" s="24">
        <v>38169</v>
      </c>
      <c r="Y1632" t="s">
        <v>26</v>
      </c>
      <c r="Z1632" s="24">
        <v>35827</v>
      </c>
      <c r="AA1632" s="24">
        <v>38169</v>
      </c>
      <c r="AB1632" t="s">
        <v>26</v>
      </c>
      <c r="AC1632" s="24">
        <v>36069</v>
      </c>
      <c r="AD1632" s="24">
        <v>38169</v>
      </c>
      <c r="AE1632" t="s">
        <v>26</v>
      </c>
      <c r="AF1632" t="s">
        <v>26</v>
      </c>
      <c r="AG1632" t="s">
        <v>26</v>
      </c>
      <c r="AH1632" t="s">
        <v>26</v>
      </c>
      <c r="AI1632" t="s">
        <v>26</v>
      </c>
      <c r="AJ1632" t="s">
        <v>26</v>
      </c>
      <c r="AK1632" t="s">
        <v>26</v>
      </c>
      <c r="AL1632" t="s">
        <v>26</v>
      </c>
      <c r="AM1632" t="s">
        <v>26</v>
      </c>
      <c r="AN1632" t="s">
        <v>26</v>
      </c>
      <c r="AO1632" s="25" t="s">
        <v>68</v>
      </c>
      <c r="AP1632" s="23" t="s">
        <v>69</v>
      </c>
      <c r="AQ1632" s="23" t="s">
        <v>30</v>
      </c>
      <c r="AR1632" s="23" t="s">
        <v>814</v>
      </c>
      <c r="AS1632" s="25">
        <v>38109</v>
      </c>
      <c r="AT1632" t="s">
        <v>26</v>
      </c>
      <c r="AU1632" t="s">
        <v>24370</v>
      </c>
    </row>
    <row r="1633" spans="1:47" ht="26.25" x14ac:dyDescent="0.4">
      <c r="A1633" s="23" t="s">
        <v>4229</v>
      </c>
      <c r="B1633" t="s">
        <v>26</v>
      </c>
      <c r="C1633" s="23" t="s">
        <v>73</v>
      </c>
      <c r="D1633" s="23" t="s">
        <v>24371</v>
      </c>
      <c r="E1633" s="23" t="s">
        <v>74</v>
      </c>
      <c r="F1633" s="25" t="s">
        <v>4230</v>
      </c>
      <c r="G1633" s="25" t="s">
        <v>4231</v>
      </c>
      <c r="H1633" t="s">
        <v>26</v>
      </c>
      <c r="I1633" s="24">
        <v>36708</v>
      </c>
      <c r="J1633" s="25" t="s">
        <v>77</v>
      </c>
      <c r="K1633" t="s">
        <v>26</v>
      </c>
      <c r="L1633" s="25" t="s">
        <v>68</v>
      </c>
      <c r="M1633" s="24">
        <v>38078</v>
      </c>
      <c r="N1633" s="24">
        <v>42826</v>
      </c>
      <c r="O1633" t="s">
        <v>26</v>
      </c>
      <c r="P1633" s="24">
        <v>36708</v>
      </c>
      <c r="Q1633" s="25" t="s">
        <v>77</v>
      </c>
      <c r="R1633" t="s">
        <v>26</v>
      </c>
      <c r="S1633" t="s">
        <v>26</v>
      </c>
      <c r="T1633" t="s">
        <v>26</v>
      </c>
      <c r="U1633" t="s">
        <v>26</v>
      </c>
      <c r="V1633" t="s">
        <v>26</v>
      </c>
      <c r="W1633" s="24">
        <v>36708</v>
      </c>
      <c r="X1633" s="25" t="s">
        <v>77</v>
      </c>
      <c r="Y1633" t="s">
        <v>26</v>
      </c>
      <c r="Z1633" s="24">
        <v>36708</v>
      </c>
      <c r="AA1633" s="25" t="s">
        <v>77</v>
      </c>
      <c r="AB1633" t="s">
        <v>26</v>
      </c>
      <c r="AC1633" s="24">
        <v>36708</v>
      </c>
      <c r="AD1633" s="25" t="s">
        <v>77</v>
      </c>
      <c r="AE1633" t="s">
        <v>26</v>
      </c>
      <c r="AF1633" t="s">
        <v>26</v>
      </c>
      <c r="AG1633" t="s">
        <v>26</v>
      </c>
      <c r="AH1633" t="s">
        <v>26</v>
      </c>
      <c r="AI1633" t="s">
        <v>26</v>
      </c>
      <c r="AJ1633" t="s">
        <v>26</v>
      </c>
      <c r="AK1633" t="s">
        <v>26</v>
      </c>
      <c r="AL1633" t="s">
        <v>26</v>
      </c>
      <c r="AM1633" t="s">
        <v>26</v>
      </c>
      <c r="AN1633" t="s">
        <v>26</v>
      </c>
      <c r="AO1633" s="25" t="s">
        <v>68</v>
      </c>
      <c r="AP1633" s="23" t="s">
        <v>69</v>
      </c>
      <c r="AQ1633" s="23" t="s">
        <v>30</v>
      </c>
      <c r="AR1633" s="23" t="s">
        <v>70</v>
      </c>
      <c r="AS1633" s="25">
        <v>43392</v>
      </c>
      <c r="AT1633" t="s">
        <v>26</v>
      </c>
      <c r="AU1633" t="s">
        <v>24372</v>
      </c>
    </row>
    <row r="1634" spans="1:47" ht="26.25" x14ac:dyDescent="0.4">
      <c r="A1634" s="23" t="s">
        <v>4232</v>
      </c>
      <c r="B1634" t="s">
        <v>26</v>
      </c>
      <c r="C1634" s="23" t="s">
        <v>80</v>
      </c>
      <c r="D1634" s="23" t="s">
        <v>22184</v>
      </c>
      <c r="E1634" s="23" t="s">
        <v>60</v>
      </c>
      <c r="F1634" s="25" t="s">
        <v>4233</v>
      </c>
      <c r="G1634" s="25" t="s">
        <v>4234</v>
      </c>
      <c r="H1634" t="s">
        <v>26</v>
      </c>
      <c r="I1634" t="s">
        <v>26</v>
      </c>
      <c r="J1634" t="s">
        <v>26</v>
      </c>
      <c r="K1634" t="s">
        <v>26</v>
      </c>
      <c r="L1634" s="25" t="s">
        <v>68</v>
      </c>
      <c r="M1634" t="s">
        <v>26</v>
      </c>
      <c r="N1634" t="s">
        <v>26</v>
      </c>
      <c r="O1634" t="s">
        <v>26</v>
      </c>
      <c r="P1634" t="s">
        <v>26</v>
      </c>
      <c r="Q1634" t="s">
        <v>26</v>
      </c>
      <c r="R1634" t="s">
        <v>26</v>
      </c>
      <c r="S1634" t="s">
        <v>26</v>
      </c>
      <c r="T1634" t="s">
        <v>26</v>
      </c>
      <c r="U1634" t="s">
        <v>26</v>
      </c>
      <c r="V1634" t="s">
        <v>26</v>
      </c>
      <c r="W1634" s="24">
        <v>40179</v>
      </c>
      <c r="X1634" s="25" t="s">
        <v>77</v>
      </c>
      <c r="Y1634" t="s">
        <v>26</v>
      </c>
      <c r="Z1634" s="24">
        <v>40179</v>
      </c>
      <c r="AA1634" s="25" t="s">
        <v>77</v>
      </c>
      <c r="AB1634" t="s">
        <v>26</v>
      </c>
      <c r="AC1634" s="24">
        <v>40179</v>
      </c>
      <c r="AD1634" s="25" t="s">
        <v>77</v>
      </c>
      <c r="AE1634" t="s">
        <v>26</v>
      </c>
      <c r="AF1634" t="s">
        <v>26</v>
      </c>
      <c r="AG1634" t="s">
        <v>26</v>
      </c>
      <c r="AH1634" t="s">
        <v>26</v>
      </c>
      <c r="AI1634" t="s">
        <v>26</v>
      </c>
      <c r="AJ1634" t="s">
        <v>26</v>
      </c>
      <c r="AK1634" t="s">
        <v>26</v>
      </c>
      <c r="AL1634" t="s">
        <v>26</v>
      </c>
      <c r="AM1634" t="s">
        <v>26</v>
      </c>
      <c r="AN1634" t="s">
        <v>26</v>
      </c>
      <c r="AO1634" s="25" t="s">
        <v>68</v>
      </c>
      <c r="AP1634" s="23" t="s">
        <v>69</v>
      </c>
      <c r="AQ1634" s="23" t="s">
        <v>30</v>
      </c>
      <c r="AR1634" s="23" t="s">
        <v>4235</v>
      </c>
      <c r="AS1634" s="25">
        <v>196173</v>
      </c>
      <c r="AT1634" t="s">
        <v>26</v>
      </c>
      <c r="AU1634" t="s">
        <v>24373</v>
      </c>
    </row>
    <row r="1635" spans="1:47" ht="26.25" x14ac:dyDescent="0.4">
      <c r="A1635" s="23" t="s">
        <v>4236</v>
      </c>
      <c r="B1635" t="s">
        <v>26</v>
      </c>
      <c r="C1635" s="23" t="s">
        <v>404</v>
      </c>
      <c r="D1635" s="23" t="s">
        <v>22192</v>
      </c>
      <c r="E1635" s="23" t="s">
        <v>42</v>
      </c>
      <c r="F1635" s="25" t="s">
        <v>4237</v>
      </c>
      <c r="G1635" s="25" t="s">
        <v>4238</v>
      </c>
      <c r="H1635" t="s">
        <v>26</v>
      </c>
      <c r="I1635" s="24">
        <v>35065</v>
      </c>
      <c r="J1635" s="25" t="s">
        <v>77</v>
      </c>
      <c r="K1635" t="s">
        <v>26</v>
      </c>
      <c r="L1635" s="25" t="s">
        <v>68</v>
      </c>
      <c r="M1635" s="24">
        <v>35065</v>
      </c>
      <c r="N1635" s="25" t="s">
        <v>77</v>
      </c>
      <c r="O1635" t="s">
        <v>26</v>
      </c>
      <c r="P1635" s="24">
        <v>35186</v>
      </c>
      <c r="Q1635" s="25" t="s">
        <v>77</v>
      </c>
      <c r="R1635" t="s">
        <v>26</v>
      </c>
      <c r="S1635" t="s">
        <v>26</v>
      </c>
      <c r="T1635" t="s">
        <v>26</v>
      </c>
      <c r="U1635" t="s">
        <v>26</v>
      </c>
      <c r="V1635" s="25">
        <v>365</v>
      </c>
      <c r="W1635" s="24">
        <v>35065</v>
      </c>
      <c r="X1635" s="25" t="s">
        <v>77</v>
      </c>
      <c r="Y1635" t="s">
        <v>26</v>
      </c>
      <c r="Z1635" s="24">
        <v>35065</v>
      </c>
      <c r="AA1635" s="25" t="s">
        <v>77</v>
      </c>
      <c r="AB1635" t="s">
        <v>26</v>
      </c>
      <c r="AC1635" s="24">
        <v>35065</v>
      </c>
      <c r="AD1635" s="25" t="s">
        <v>77</v>
      </c>
      <c r="AE1635" t="s">
        <v>26</v>
      </c>
      <c r="AF1635" t="s">
        <v>26</v>
      </c>
      <c r="AG1635" t="s">
        <v>26</v>
      </c>
      <c r="AH1635" t="s">
        <v>26</v>
      </c>
      <c r="AI1635" t="s">
        <v>26</v>
      </c>
      <c r="AJ1635" t="s">
        <v>26</v>
      </c>
      <c r="AK1635" t="s">
        <v>26</v>
      </c>
      <c r="AL1635" t="s">
        <v>26</v>
      </c>
      <c r="AM1635" t="s">
        <v>26</v>
      </c>
      <c r="AN1635" t="s">
        <v>26</v>
      </c>
      <c r="AO1635" s="25" t="s">
        <v>68</v>
      </c>
      <c r="AP1635" s="23" t="s">
        <v>69</v>
      </c>
      <c r="AQ1635" s="23" t="s">
        <v>30</v>
      </c>
      <c r="AR1635" s="23" t="s">
        <v>4239</v>
      </c>
      <c r="AS1635" s="25">
        <v>30234</v>
      </c>
      <c r="AT1635" t="s">
        <v>26</v>
      </c>
      <c r="AU1635" t="s">
        <v>24374</v>
      </c>
    </row>
    <row r="1636" spans="1:47" ht="26.25" x14ac:dyDescent="0.4">
      <c r="A1636" s="23" t="s">
        <v>4240</v>
      </c>
      <c r="B1636" t="s">
        <v>26</v>
      </c>
      <c r="C1636" s="23" t="s">
        <v>80</v>
      </c>
      <c r="D1636" s="23" t="s">
        <v>22190</v>
      </c>
      <c r="E1636" s="23" t="s">
        <v>60</v>
      </c>
      <c r="F1636" s="25" t="s">
        <v>4241</v>
      </c>
      <c r="G1636" s="25" t="s">
        <v>4242</v>
      </c>
      <c r="H1636" t="s">
        <v>26</v>
      </c>
      <c r="I1636" t="s">
        <v>26</v>
      </c>
      <c r="J1636" t="s">
        <v>26</v>
      </c>
      <c r="K1636" t="s">
        <v>26</v>
      </c>
      <c r="L1636" s="25" t="s">
        <v>68</v>
      </c>
      <c r="M1636" t="s">
        <v>26</v>
      </c>
      <c r="N1636" t="s">
        <v>26</v>
      </c>
      <c r="O1636" t="s">
        <v>26</v>
      </c>
      <c r="P1636" t="s">
        <v>26</v>
      </c>
      <c r="Q1636" t="s">
        <v>26</v>
      </c>
      <c r="R1636" t="s">
        <v>26</v>
      </c>
      <c r="S1636" t="s">
        <v>26</v>
      </c>
      <c r="T1636" t="s">
        <v>26</v>
      </c>
      <c r="U1636" t="s">
        <v>26</v>
      </c>
      <c r="V1636" t="s">
        <v>26</v>
      </c>
      <c r="W1636" s="24">
        <v>40179</v>
      </c>
      <c r="X1636" s="25" t="s">
        <v>77</v>
      </c>
      <c r="Y1636" t="s">
        <v>26</v>
      </c>
      <c r="Z1636" s="24">
        <v>40179</v>
      </c>
      <c r="AA1636" s="25" t="s">
        <v>77</v>
      </c>
      <c r="AB1636" t="s">
        <v>26</v>
      </c>
      <c r="AC1636" s="24">
        <v>40179</v>
      </c>
      <c r="AD1636" s="25" t="s">
        <v>77</v>
      </c>
      <c r="AE1636" t="s">
        <v>26</v>
      </c>
      <c r="AF1636" t="s">
        <v>26</v>
      </c>
      <c r="AG1636" t="s">
        <v>26</v>
      </c>
      <c r="AH1636" t="s">
        <v>26</v>
      </c>
      <c r="AI1636" t="s">
        <v>26</v>
      </c>
      <c r="AJ1636" t="s">
        <v>26</v>
      </c>
      <c r="AK1636" t="s">
        <v>26</v>
      </c>
      <c r="AL1636" t="s">
        <v>26</v>
      </c>
      <c r="AM1636" t="s">
        <v>26</v>
      </c>
      <c r="AN1636" t="s">
        <v>26</v>
      </c>
      <c r="AO1636" s="25" t="s">
        <v>68</v>
      </c>
      <c r="AP1636" s="23" t="s">
        <v>69</v>
      </c>
      <c r="AQ1636" s="23" t="s">
        <v>30</v>
      </c>
      <c r="AR1636" s="23" t="s">
        <v>4243</v>
      </c>
      <c r="AS1636" s="25">
        <v>105614</v>
      </c>
      <c r="AT1636" t="s">
        <v>26</v>
      </c>
      <c r="AU1636" t="s">
        <v>24375</v>
      </c>
    </row>
    <row r="1637" spans="1:47" ht="26.25" x14ac:dyDescent="0.4">
      <c r="A1637" s="23" t="s">
        <v>4244</v>
      </c>
      <c r="B1637" t="s">
        <v>26</v>
      </c>
      <c r="C1637" s="23" t="s">
        <v>107</v>
      </c>
      <c r="D1637" s="23" t="s">
        <v>22174</v>
      </c>
      <c r="E1637" s="23" t="s">
        <v>42</v>
      </c>
      <c r="F1637" s="25" t="s">
        <v>4245</v>
      </c>
      <c r="G1637" t="s">
        <v>26</v>
      </c>
      <c r="H1637" t="s">
        <v>26</v>
      </c>
      <c r="I1637" t="s">
        <v>26</v>
      </c>
      <c r="J1637" t="s">
        <v>26</v>
      </c>
      <c r="K1637" t="s">
        <v>26</v>
      </c>
      <c r="L1637" s="25" t="s">
        <v>68</v>
      </c>
      <c r="M1637" t="s">
        <v>26</v>
      </c>
      <c r="N1637" t="s">
        <v>26</v>
      </c>
      <c r="O1637" t="s">
        <v>26</v>
      </c>
      <c r="P1637" t="s">
        <v>26</v>
      </c>
      <c r="Q1637" t="s">
        <v>26</v>
      </c>
      <c r="R1637" t="s">
        <v>26</v>
      </c>
      <c r="S1637" t="s">
        <v>26</v>
      </c>
      <c r="T1637" t="s">
        <v>26</v>
      </c>
      <c r="U1637" t="s">
        <v>26</v>
      </c>
      <c r="V1637" t="s">
        <v>26</v>
      </c>
      <c r="W1637" s="24">
        <v>39142</v>
      </c>
      <c r="X1637" s="25" t="s">
        <v>77</v>
      </c>
      <c r="Y1637" t="s">
        <v>26</v>
      </c>
      <c r="Z1637" s="24">
        <v>39142</v>
      </c>
      <c r="AA1637" s="25" t="s">
        <v>77</v>
      </c>
      <c r="AB1637" t="s">
        <v>26</v>
      </c>
      <c r="AC1637" s="24">
        <v>39142</v>
      </c>
      <c r="AD1637" s="25" t="s">
        <v>77</v>
      </c>
      <c r="AE1637" t="s">
        <v>26</v>
      </c>
      <c r="AF1637" t="s">
        <v>26</v>
      </c>
      <c r="AG1637" t="s">
        <v>26</v>
      </c>
      <c r="AH1637" t="s">
        <v>26</v>
      </c>
      <c r="AI1637" t="s">
        <v>26</v>
      </c>
      <c r="AJ1637" t="s">
        <v>26</v>
      </c>
      <c r="AK1637" t="s">
        <v>26</v>
      </c>
      <c r="AL1637" t="s">
        <v>26</v>
      </c>
      <c r="AM1637" t="s">
        <v>26</v>
      </c>
      <c r="AN1637" t="s">
        <v>26</v>
      </c>
      <c r="AO1637" s="25" t="s">
        <v>68</v>
      </c>
      <c r="AP1637" s="23" t="s">
        <v>69</v>
      </c>
      <c r="AQ1637" s="23" t="s">
        <v>30</v>
      </c>
      <c r="AR1637" s="23" t="s">
        <v>44</v>
      </c>
      <c r="AS1637" s="25">
        <v>2033140</v>
      </c>
      <c r="AT1637" t="s">
        <v>26</v>
      </c>
      <c r="AU1637" t="s">
        <v>24376</v>
      </c>
    </row>
    <row r="1638" spans="1:47" ht="26.25" x14ac:dyDescent="0.4">
      <c r="A1638" s="23" t="s">
        <v>4246</v>
      </c>
      <c r="B1638" t="s">
        <v>26</v>
      </c>
      <c r="C1638" s="23" t="s">
        <v>4247</v>
      </c>
      <c r="D1638" s="23" t="s">
        <v>24377</v>
      </c>
      <c r="E1638" s="23" t="s">
        <v>4248</v>
      </c>
      <c r="F1638" s="25" t="s">
        <v>4249</v>
      </c>
      <c r="G1638" s="25" t="s">
        <v>4250</v>
      </c>
      <c r="H1638" t="s">
        <v>26</v>
      </c>
      <c r="I1638" s="24">
        <v>40544</v>
      </c>
      <c r="J1638" s="25" t="s">
        <v>77</v>
      </c>
      <c r="K1638" t="s">
        <v>26</v>
      </c>
      <c r="L1638" s="25" t="s">
        <v>68</v>
      </c>
      <c r="M1638" t="s">
        <v>26</v>
      </c>
      <c r="N1638" t="s">
        <v>26</v>
      </c>
      <c r="O1638" t="s">
        <v>26</v>
      </c>
      <c r="P1638" s="24">
        <v>40544</v>
      </c>
      <c r="Q1638" s="25" t="s">
        <v>77</v>
      </c>
      <c r="R1638" t="s">
        <v>26</v>
      </c>
      <c r="S1638" t="s">
        <v>26</v>
      </c>
      <c r="T1638" t="s">
        <v>26</v>
      </c>
      <c r="U1638" t="s">
        <v>26</v>
      </c>
      <c r="V1638" t="s">
        <v>26</v>
      </c>
      <c r="W1638" s="24">
        <v>40544</v>
      </c>
      <c r="X1638" s="25" t="s">
        <v>77</v>
      </c>
      <c r="Y1638" t="s">
        <v>26</v>
      </c>
      <c r="Z1638" s="24">
        <v>40544</v>
      </c>
      <c r="AA1638" s="25" t="s">
        <v>77</v>
      </c>
      <c r="AB1638" t="s">
        <v>26</v>
      </c>
      <c r="AC1638" s="24">
        <v>40544</v>
      </c>
      <c r="AD1638" s="25" t="s">
        <v>77</v>
      </c>
      <c r="AE1638" t="s">
        <v>26</v>
      </c>
      <c r="AF1638" t="s">
        <v>26</v>
      </c>
      <c r="AG1638" t="s">
        <v>26</v>
      </c>
      <c r="AH1638" t="s">
        <v>26</v>
      </c>
      <c r="AI1638" t="s">
        <v>26</v>
      </c>
      <c r="AJ1638" t="s">
        <v>26</v>
      </c>
      <c r="AK1638" t="s">
        <v>26</v>
      </c>
      <c r="AL1638" t="s">
        <v>26</v>
      </c>
      <c r="AM1638" t="s">
        <v>26</v>
      </c>
      <c r="AN1638" t="s">
        <v>26</v>
      </c>
      <c r="AO1638" s="25" t="s">
        <v>68</v>
      </c>
      <c r="AP1638" s="23" t="s">
        <v>69</v>
      </c>
      <c r="AQ1638" s="23" t="s">
        <v>30</v>
      </c>
      <c r="AR1638" s="23" t="s">
        <v>277</v>
      </c>
      <c r="AS1638" s="25">
        <v>2035071</v>
      </c>
      <c r="AT1638" t="s">
        <v>26</v>
      </c>
      <c r="AU1638" t="s">
        <v>24378</v>
      </c>
    </row>
    <row r="1639" spans="1:47" ht="26.25" x14ac:dyDescent="0.4">
      <c r="A1639" s="23" t="s">
        <v>4251</v>
      </c>
      <c r="B1639" t="s">
        <v>26</v>
      </c>
      <c r="C1639" s="23" t="s">
        <v>520</v>
      </c>
      <c r="D1639" s="23" t="s">
        <v>22254</v>
      </c>
      <c r="E1639" s="23" t="s">
        <v>42</v>
      </c>
      <c r="F1639" s="25" t="s">
        <v>4252</v>
      </c>
      <c r="G1639" s="25" t="s">
        <v>4253</v>
      </c>
      <c r="H1639" t="s">
        <v>26</v>
      </c>
      <c r="I1639" s="24">
        <v>33664</v>
      </c>
      <c r="J1639" s="24">
        <v>41426</v>
      </c>
      <c r="K1639" t="s">
        <v>26</v>
      </c>
      <c r="L1639" s="25" t="s">
        <v>68</v>
      </c>
      <c r="M1639" s="24">
        <v>34394</v>
      </c>
      <c r="N1639" s="24">
        <v>41426</v>
      </c>
      <c r="O1639" t="s">
        <v>26</v>
      </c>
      <c r="P1639" s="24">
        <v>33664</v>
      </c>
      <c r="Q1639" s="24">
        <v>41426</v>
      </c>
      <c r="R1639" t="s">
        <v>26</v>
      </c>
      <c r="S1639" t="s">
        <v>26</v>
      </c>
      <c r="T1639" t="s">
        <v>26</v>
      </c>
      <c r="U1639" t="s">
        <v>26</v>
      </c>
      <c r="V1639" t="s">
        <v>26</v>
      </c>
      <c r="W1639" s="24">
        <v>32568</v>
      </c>
      <c r="X1639" s="25" t="s">
        <v>77</v>
      </c>
      <c r="Y1639" t="s">
        <v>26</v>
      </c>
      <c r="Z1639" s="24">
        <v>32568</v>
      </c>
      <c r="AA1639" s="25" t="s">
        <v>77</v>
      </c>
      <c r="AB1639" t="s">
        <v>26</v>
      </c>
      <c r="AC1639" s="24">
        <v>32568</v>
      </c>
      <c r="AD1639" s="25" t="s">
        <v>77</v>
      </c>
      <c r="AE1639" t="s">
        <v>26</v>
      </c>
      <c r="AF1639" t="s">
        <v>26</v>
      </c>
      <c r="AG1639" t="s">
        <v>26</v>
      </c>
      <c r="AH1639" t="s">
        <v>26</v>
      </c>
      <c r="AI1639" t="s">
        <v>26</v>
      </c>
      <c r="AJ1639" t="s">
        <v>26</v>
      </c>
      <c r="AK1639" t="s">
        <v>26</v>
      </c>
      <c r="AL1639" t="s">
        <v>26</v>
      </c>
      <c r="AM1639" t="s">
        <v>26</v>
      </c>
      <c r="AN1639" t="s">
        <v>26</v>
      </c>
      <c r="AO1639" s="25" t="s">
        <v>68</v>
      </c>
      <c r="AP1639" s="23" t="s">
        <v>69</v>
      </c>
      <c r="AQ1639" s="23" t="s">
        <v>30</v>
      </c>
      <c r="AR1639" s="23" t="s">
        <v>184</v>
      </c>
      <c r="AS1639" s="25">
        <v>25061</v>
      </c>
      <c r="AT1639" t="s">
        <v>26</v>
      </c>
      <c r="AU1639" t="s">
        <v>24379</v>
      </c>
    </row>
    <row r="1640" spans="1:47" ht="26.25" x14ac:dyDescent="0.4">
      <c r="A1640" s="23" t="s">
        <v>4254</v>
      </c>
      <c r="B1640" t="s">
        <v>26</v>
      </c>
      <c r="C1640" s="23" t="s">
        <v>80</v>
      </c>
      <c r="D1640" s="23" t="s">
        <v>23175</v>
      </c>
      <c r="E1640" s="23" t="s">
        <v>60</v>
      </c>
      <c r="F1640" s="25" t="s">
        <v>4255</v>
      </c>
      <c r="G1640" s="25" t="s">
        <v>4256</v>
      </c>
      <c r="H1640" t="s">
        <v>26</v>
      </c>
      <c r="I1640" s="24">
        <v>32509</v>
      </c>
      <c r="J1640" s="24">
        <v>37926</v>
      </c>
      <c r="K1640" t="s">
        <v>26</v>
      </c>
      <c r="L1640" s="25" t="s">
        <v>68</v>
      </c>
      <c r="M1640" s="24">
        <v>34335</v>
      </c>
      <c r="N1640" s="24">
        <v>37926</v>
      </c>
      <c r="O1640" t="s">
        <v>26</v>
      </c>
      <c r="P1640" s="24">
        <v>32509</v>
      </c>
      <c r="Q1640" s="24">
        <v>37926</v>
      </c>
      <c r="R1640" t="s">
        <v>26</v>
      </c>
      <c r="S1640" t="s">
        <v>26</v>
      </c>
      <c r="T1640" t="s">
        <v>26</v>
      </c>
      <c r="U1640" t="s">
        <v>26</v>
      </c>
      <c r="V1640" t="s">
        <v>26</v>
      </c>
      <c r="W1640" s="24">
        <v>32509</v>
      </c>
      <c r="X1640" s="25" t="s">
        <v>77</v>
      </c>
      <c r="Y1640" t="s">
        <v>26</v>
      </c>
      <c r="Z1640" s="24">
        <v>32509</v>
      </c>
      <c r="AA1640" s="25" t="s">
        <v>77</v>
      </c>
      <c r="AB1640" t="s">
        <v>26</v>
      </c>
      <c r="AC1640" s="24">
        <v>32509</v>
      </c>
      <c r="AD1640" s="25" t="s">
        <v>77</v>
      </c>
      <c r="AE1640" t="s">
        <v>26</v>
      </c>
      <c r="AF1640" t="s">
        <v>26</v>
      </c>
      <c r="AG1640" t="s">
        <v>26</v>
      </c>
      <c r="AH1640" t="s">
        <v>26</v>
      </c>
      <c r="AI1640" t="s">
        <v>26</v>
      </c>
      <c r="AJ1640" t="s">
        <v>26</v>
      </c>
      <c r="AK1640" t="s">
        <v>26</v>
      </c>
      <c r="AL1640" t="s">
        <v>26</v>
      </c>
      <c r="AM1640" t="s">
        <v>26</v>
      </c>
      <c r="AN1640" t="s">
        <v>26</v>
      </c>
      <c r="AO1640" s="25" t="s">
        <v>68</v>
      </c>
      <c r="AP1640" s="23" t="s">
        <v>69</v>
      </c>
      <c r="AQ1640" s="23" t="s">
        <v>30</v>
      </c>
      <c r="AR1640" s="23" t="s">
        <v>1269</v>
      </c>
      <c r="AS1640" s="25">
        <v>41328</v>
      </c>
      <c r="AT1640" t="s">
        <v>26</v>
      </c>
      <c r="AU1640" t="s">
        <v>24380</v>
      </c>
    </row>
    <row r="1641" spans="1:47" ht="26.25" x14ac:dyDescent="0.4">
      <c r="A1641" s="23" t="s">
        <v>4257</v>
      </c>
      <c r="B1641" t="s">
        <v>26</v>
      </c>
      <c r="C1641" s="23" t="s">
        <v>1958</v>
      </c>
      <c r="D1641" s="23" t="s">
        <v>22179</v>
      </c>
      <c r="E1641" s="23" t="s">
        <v>60</v>
      </c>
      <c r="F1641" s="25" t="s">
        <v>4258</v>
      </c>
      <c r="G1641" s="25" t="s">
        <v>4259</v>
      </c>
      <c r="H1641" t="s">
        <v>26</v>
      </c>
      <c r="I1641" t="s">
        <v>26</v>
      </c>
      <c r="J1641" t="s">
        <v>26</v>
      </c>
      <c r="K1641" t="s">
        <v>26</v>
      </c>
      <c r="L1641" s="25" t="s">
        <v>68</v>
      </c>
      <c r="M1641" t="s">
        <v>26</v>
      </c>
      <c r="N1641" t="s">
        <v>26</v>
      </c>
      <c r="O1641" t="s">
        <v>26</v>
      </c>
      <c r="P1641" t="s">
        <v>26</v>
      </c>
      <c r="Q1641" t="s">
        <v>26</v>
      </c>
      <c r="R1641" t="s">
        <v>26</v>
      </c>
      <c r="S1641" t="s">
        <v>26</v>
      </c>
      <c r="T1641" t="s">
        <v>26</v>
      </c>
      <c r="U1641" t="s">
        <v>26</v>
      </c>
      <c r="V1641" t="s">
        <v>26</v>
      </c>
      <c r="W1641" s="24">
        <v>27333</v>
      </c>
      <c r="X1641" s="25" t="s">
        <v>77</v>
      </c>
      <c r="Y1641" t="s">
        <v>26</v>
      </c>
      <c r="Z1641" s="24">
        <v>27333</v>
      </c>
      <c r="AA1641" s="25" t="s">
        <v>77</v>
      </c>
      <c r="AB1641" t="s">
        <v>26</v>
      </c>
      <c r="AC1641" s="24">
        <v>27333</v>
      </c>
      <c r="AD1641" s="25" t="s">
        <v>77</v>
      </c>
      <c r="AE1641" t="s">
        <v>26</v>
      </c>
      <c r="AF1641" t="s">
        <v>26</v>
      </c>
      <c r="AG1641" t="s">
        <v>26</v>
      </c>
      <c r="AH1641" t="s">
        <v>26</v>
      </c>
      <c r="AI1641" t="s">
        <v>26</v>
      </c>
      <c r="AJ1641" t="s">
        <v>26</v>
      </c>
      <c r="AK1641" t="s">
        <v>26</v>
      </c>
      <c r="AL1641" t="s">
        <v>26</v>
      </c>
      <c r="AM1641" t="s">
        <v>26</v>
      </c>
      <c r="AN1641" t="s">
        <v>26</v>
      </c>
      <c r="AO1641" s="25" t="s">
        <v>68</v>
      </c>
      <c r="AP1641" s="23" t="s">
        <v>69</v>
      </c>
      <c r="AQ1641" s="23" t="s">
        <v>30</v>
      </c>
      <c r="AR1641" s="23" t="s">
        <v>24381</v>
      </c>
      <c r="AS1641" s="25">
        <v>46991</v>
      </c>
      <c r="AT1641" t="s">
        <v>26</v>
      </c>
      <c r="AU1641" t="s">
        <v>24382</v>
      </c>
    </row>
    <row r="1642" spans="1:47" ht="26.25" x14ac:dyDescent="0.4">
      <c r="A1642" s="23" t="s">
        <v>4260</v>
      </c>
      <c r="B1642" t="s">
        <v>26</v>
      </c>
      <c r="C1642" s="23" t="s">
        <v>80</v>
      </c>
      <c r="D1642" s="23" t="s">
        <v>22184</v>
      </c>
      <c r="E1642" s="23" t="s">
        <v>60</v>
      </c>
      <c r="F1642" s="25" t="s">
        <v>4261</v>
      </c>
      <c r="G1642" s="25" t="s">
        <v>4262</v>
      </c>
      <c r="H1642" t="s">
        <v>26</v>
      </c>
      <c r="I1642" t="s">
        <v>26</v>
      </c>
      <c r="J1642" t="s">
        <v>26</v>
      </c>
      <c r="K1642" t="s">
        <v>26</v>
      </c>
      <c r="L1642" s="25" t="s">
        <v>68</v>
      </c>
      <c r="M1642" t="s">
        <v>26</v>
      </c>
      <c r="N1642" t="s">
        <v>26</v>
      </c>
      <c r="O1642" t="s">
        <v>26</v>
      </c>
      <c r="P1642" t="s">
        <v>26</v>
      </c>
      <c r="Q1642" t="s">
        <v>26</v>
      </c>
      <c r="R1642" t="s">
        <v>26</v>
      </c>
      <c r="S1642" t="s">
        <v>26</v>
      </c>
      <c r="T1642" t="s">
        <v>26</v>
      </c>
      <c r="U1642" t="s">
        <v>26</v>
      </c>
      <c r="V1642" t="s">
        <v>26</v>
      </c>
      <c r="W1642" s="24">
        <v>40179</v>
      </c>
      <c r="X1642" s="25" t="s">
        <v>77</v>
      </c>
      <c r="Y1642" t="s">
        <v>26</v>
      </c>
      <c r="Z1642" s="24">
        <v>40179</v>
      </c>
      <c r="AA1642" s="25" t="s">
        <v>77</v>
      </c>
      <c r="AB1642" t="s">
        <v>26</v>
      </c>
      <c r="AC1642" s="24">
        <v>40179</v>
      </c>
      <c r="AD1642" s="25" t="s">
        <v>77</v>
      </c>
      <c r="AE1642" t="s">
        <v>26</v>
      </c>
      <c r="AF1642" t="s">
        <v>26</v>
      </c>
      <c r="AG1642" t="s">
        <v>26</v>
      </c>
      <c r="AH1642" t="s">
        <v>26</v>
      </c>
      <c r="AI1642" t="s">
        <v>26</v>
      </c>
      <c r="AJ1642" t="s">
        <v>26</v>
      </c>
      <c r="AK1642" t="s">
        <v>26</v>
      </c>
      <c r="AL1642" t="s">
        <v>26</v>
      </c>
      <c r="AM1642" t="s">
        <v>26</v>
      </c>
      <c r="AN1642" t="s">
        <v>26</v>
      </c>
      <c r="AO1642" s="25" t="s">
        <v>68</v>
      </c>
      <c r="AP1642" s="23" t="s">
        <v>69</v>
      </c>
      <c r="AQ1642" s="23" t="s">
        <v>30</v>
      </c>
      <c r="AR1642" s="23" t="s">
        <v>2507</v>
      </c>
      <c r="AS1642" s="25">
        <v>52912</v>
      </c>
      <c r="AT1642" t="s">
        <v>26</v>
      </c>
      <c r="AU1642" t="s">
        <v>24383</v>
      </c>
    </row>
    <row r="1643" spans="1:47" ht="26.25" x14ac:dyDescent="0.4">
      <c r="A1643" s="23" t="s">
        <v>4263</v>
      </c>
      <c r="B1643" t="s">
        <v>26</v>
      </c>
      <c r="C1643" s="23" t="s">
        <v>80</v>
      </c>
      <c r="D1643" s="23" t="s">
        <v>22231</v>
      </c>
      <c r="E1643" s="23" t="s">
        <v>60</v>
      </c>
      <c r="F1643" s="25" t="s">
        <v>4264</v>
      </c>
      <c r="G1643" s="25" t="s">
        <v>4265</v>
      </c>
      <c r="H1643" t="s">
        <v>26</v>
      </c>
      <c r="I1643" t="s">
        <v>26</v>
      </c>
      <c r="J1643" t="s">
        <v>26</v>
      </c>
      <c r="K1643" t="s">
        <v>26</v>
      </c>
      <c r="L1643" s="25" t="s">
        <v>68</v>
      </c>
      <c r="M1643" t="s">
        <v>26</v>
      </c>
      <c r="N1643" t="s">
        <v>26</v>
      </c>
      <c r="O1643" t="s">
        <v>26</v>
      </c>
      <c r="P1643" t="s">
        <v>26</v>
      </c>
      <c r="Q1643" t="s">
        <v>26</v>
      </c>
      <c r="R1643" t="s">
        <v>26</v>
      </c>
      <c r="S1643" t="s">
        <v>26</v>
      </c>
      <c r="T1643" t="s">
        <v>26</v>
      </c>
      <c r="U1643" t="s">
        <v>26</v>
      </c>
      <c r="V1643" t="s">
        <v>26</v>
      </c>
      <c r="W1643" s="24">
        <v>42767</v>
      </c>
      <c r="X1643" s="25" t="s">
        <v>77</v>
      </c>
      <c r="Y1643" t="s">
        <v>26</v>
      </c>
      <c r="Z1643" s="24">
        <v>42767</v>
      </c>
      <c r="AA1643" s="25" t="s">
        <v>77</v>
      </c>
      <c r="AB1643" t="s">
        <v>26</v>
      </c>
      <c r="AC1643" s="24">
        <v>42767</v>
      </c>
      <c r="AD1643" s="25" t="s">
        <v>77</v>
      </c>
      <c r="AE1643" t="s">
        <v>26</v>
      </c>
      <c r="AF1643" t="s">
        <v>26</v>
      </c>
      <c r="AG1643" t="s">
        <v>26</v>
      </c>
      <c r="AH1643" t="s">
        <v>26</v>
      </c>
      <c r="AI1643" t="s">
        <v>26</v>
      </c>
      <c r="AJ1643" t="s">
        <v>26</v>
      </c>
      <c r="AK1643" t="s">
        <v>26</v>
      </c>
      <c r="AL1643" t="s">
        <v>26</v>
      </c>
      <c r="AM1643" t="s">
        <v>26</v>
      </c>
      <c r="AN1643" t="s">
        <v>26</v>
      </c>
      <c r="AO1643" s="25" t="s">
        <v>68</v>
      </c>
      <c r="AP1643" s="23" t="s">
        <v>69</v>
      </c>
      <c r="AQ1643" s="23" t="s">
        <v>30</v>
      </c>
      <c r="AR1643" s="23" t="s">
        <v>381</v>
      </c>
      <c r="AS1643" s="25">
        <v>2036684</v>
      </c>
      <c r="AT1643" t="s">
        <v>26</v>
      </c>
      <c r="AU1643" t="s">
        <v>24384</v>
      </c>
    </row>
    <row r="1644" spans="1:47" ht="26.25" x14ac:dyDescent="0.4">
      <c r="A1644" s="23" t="s">
        <v>4266</v>
      </c>
      <c r="B1644" t="s">
        <v>26</v>
      </c>
      <c r="C1644" s="23" t="s">
        <v>4267</v>
      </c>
      <c r="D1644" s="23" t="s">
        <v>23056</v>
      </c>
      <c r="E1644" s="23" t="s">
        <v>42</v>
      </c>
      <c r="F1644" s="25" t="s">
        <v>4268</v>
      </c>
      <c r="G1644" t="s">
        <v>26</v>
      </c>
      <c r="H1644" t="s">
        <v>26</v>
      </c>
      <c r="I1644" s="24">
        <v>39814</v>
      </c>
      <c r="J1644" s="24">
        <v>42005</v>
      </c>
      <c r="K1644" t="s">
        <v>26</v>
      </c>
      <c r="L1644" s="25" t="s">
        <v>68</v>
      </c>
      <c r="M1644" s="24">
        <v>39814</v>
      </c>
      <c r="N1644" s="24">
        <v>42005</v>
      </c>
      <c r="O1644" t="s">
        <v>26</v>
      </c>
      <c r="P1644" s="24">
        <v>39814</v>
      </c>
      <c r="Q1644" s="24">
        <v>42005</v>
      </c>
      <c r="R1644" t="s">
        <v>26</v>
      </c>
      <c r="S1644" t="s">
        <v>26</v>
      </c>
      <c r="T1644" t="s">
        <v>26</v>
      </c>
      <c r="U1644" t="s">
        <v>26</v>
      </c>
      <c r="V1644" t="s">
        <v>26</v>
      </c>
      <c r="W1644" s="24">
        <v>39814</v>
      </c>
      <c r="X1644" s="24">
        <v>42005</v>
      </c>
      <c r="Y1644" t="s">
        <v>26</v>
      </c>
      <c r="Z1644" s="24">
        <v>39814</v>
      </c>
      <c r="AA1644" s="24">
        <v>42005</v>
      </c>
      <c r="AB1644" t="s">
        <v>26</v>
      </c>
      <c r="AC1644" s="24">
        <v>39814</v>
      </c>
      <c r="AD1644" s="24">
        <v>42005</v>
      </c>
      <c r="AE1644" t="s">
        <v>26</v>
      </c>
      <c r="AF1644" t="s">
        <v>26</v>
      </c>
      <c r="AG1644" t="s">
        <v>26</v>
      </c>
      <c r="AH1644" t="s">
        <v>26</v>
      </c>
      <c r="AI1644" t="s">
        <v>26</v>
      </c>
      <c r="AJ1644" t="s">
        <v>26</v>
      </c>
      <c r="AK1644" t="s">
        <v>26</v>
      </c>
      <c r="AL1644" t="s">
        <v>26</v>
      </c>
      <c r="AM1644" t="s">
        <v>26</v>
      </c>
      <c r="AN1644" t="s">
        <v>26</v>
      </c>
      <c r="AO1644" s="25" t="s">
        <v>68</v>
      </c>
      <c r="AP1644" s="23" t="s">
        <v>69</v>
      </c>
      <c r="AQ1644" s="23" t="s">
        <v>30</v>
      </c>
      <c r="AR1644" s="23" t="s">
        <v>23596</v>
      </c>
      <c r="AS1644" s="25">
        <v>2030885</v>
      </c>
      <c r="AT1644" t="s">
        <v>26</v>
      </c>
      <c r="AU1644" t="s">
        <v>24385</v>
      </c>
    </row>
    <row r="1645" spans="1:47" ht="26.25" x14ac:dyDescent="0.4">
      <c r="A1645" s="23" t="s">
        <v>4269</v>
      </c>
      <c r="B1645" t="s">
        <v>26</v>
      </c>
      <c r="C1645" s="23" t="s">
        <v>172</v>
      </c>
      <c r="D1645" s="23" t="s">
        <v>22256</v>
      </c>
      <c r="E1645" s="23" t="s">
        <v>60</v>
      </c>
      <c r="F1645" s="25" t="s">
        <v>4270</v>
      </c>
      <c r="G1645" s="25" t="s">
        <v>4271</v>
      </c>
      <c r="H1645" t="s">
        <v>26</v>
      </c>
      <c r="I1645" s="24">
        <v>35855</v>
      </c>
      <c r="J1645" s="24">
        <v>41548</v>
      </c>
      <c r="K1645" t="s">
        <v>26</v>
      </c>
      <c r="L1645" s="25" t="s">
        <v>68</v>
      </c>
      <c r="M1645" s="24">
        <v>35855</v>
      </c>
      <c r="N1645" s="24">
        <v>41548</v>
      </c>
      <c r="O1645" t="s">
        <v>26</v>
      </c>
      <c r="P1645" s="24">
        <v>35855</v>
      </c>
      <c r="Q1645" s="24">
        <v>41548</v>
      </c>
      <c r="R1645" t="s">
        <v>26</v>
      </c>
      <c r="S1645" t="s">
        <v>26</v>
      </c>
      <c r="T1645" t="s">
        <v>26</v>
      </c>
      <c r="U1645" t="s">
        <v>26</v>
      </c>
      <c r="V1645" t="s">
        <v>26</v>
      </c>
      <c r="W1645" s="24">
        <v>35855</v>
      </c>
      <c r="X1645" s="25" t="s">
        <v>77</v>
      </c>
      <c r="Y1645" t="s">
        <v>26</v>
      </c>
      <c r="Z1645" s="24">
        <v>35855</v>
      </c>
      <c r="AA1645" s="25" t="s">
        <v>77</v>
      </c>
      <c r="AB1645" t="s">
        <v>26</v>
      </c>
      <c r="AC1645" s="24">
        <v>35947</v>
      </c>
      <c r="AD1645" s="25" t="s">
        <v>77</v>
      </c>
      <c r="AE1645" s="25" t="s">
        <v>24386</v>
      </c>
      <c r="AF1645" t="s">
        <v>26</v>
      </c>
      <c r="AG1645" t="s">
        <v>26</v>
      </c>
      <c r="AH1645" t="s">
        <v>26</v>
      </c>
      <c r="AI1645" t="s">
        <v>26</v>
      </c>
      <c r="AJ1645" t="s">
        <v>26</v>
      </c>
      <c r="AK1645" t="s">
        <v>26</v>
      </c>
      <c r="AL1645" t="s">
        <v>26</v>
      </c>
      <c r="AM1645" t="s">
        <v>26</v>
      </c>
      <c r="AN1645" t="s">
        <v>26</v>
      </c>
      <c r="AO1645" s="25" t="s">
        <v>68</v>
      </c>
      <c r="AP1645" s="23" t="s">
        <v>69</v>
      </c>
      <c r="AQ1645" s="23" t="s">
        <v>30</v>
      </c>
      <c r="AR1645" s="23" t="s">
        <v>123</v>
      </c>
      <c r="AS1645" s="25">
        <v>46224</v>
      </c>
      <c r="AT1645" t="s">
        <v>26</v>
      </c>
      <c r="AU1645" t="s">
        <v>24387</v>
      </c>
    </row>
    <row r="1646" spans="1:47" ht="26.25" x14ac:dyDescent="0.4">
      <c r="A1646" s="23" t="s">
        <v>4272</v>
      </c>
      <c r="B1646" t="s">
        <v>26</v>
      </c>
      <c r="C1646" s="23" t="s">
        <v>107</v>
      </c>
      <c r="D1646" s="23" t="s">
        <v>23058</v>
      </c>
      <c r="E1646" s="23" t="s">
        <v>42</v>
      </c>
      <c r="F1646" s="25" t="s">
        <v>4273</v>
      </c>
      <c r="G1646" s="25" t="s">
        <v>4274</v>
      </c>
      <c r="H1646" t="s">
        <v>26</v>
      </c>
      <c r="I1646" t="s">
        <v>26</v>
      </c>
      <c r="J1646" t="s">
        <v>26</v>
      </c>
      <c r="K1646" t="s">
        <v>26</v>
      </c>
      <c r="L1646" s="25" t="s">
        <v>68</v>
      </c>
      <c r="M1646" t="s">
        <v>26</v>
      </c>
      <c r="N1646" t="s">
        <v>26</v>
      </c>
      <c r="O1646" t="s">
        <v>26</v>
      </c>
      <c r="P1646" t="s">
        <v>26</v>
      </c>
      <c r="Q1646" t="s">
        <v>26</v>
      </c>
      <c r="R1646" t="s">
        <v>26</v>
      </c>
      <c r="S1646" t="s">
        <v>26</v>
      </c>
      <c r="T1646" t="s">
        <v>26</v>
      </c>
      <c r="U1646" t="s">
        <v>26</v>
      </c>
      <c r="V1646" t="s">
        <v>26</v>
      </c>
      <c r="W1646" s="24">
        <v>34700</v>
      </c>
      <c r="X1646" s="25" t="s">
        <v>77</v>
      </c>
      <c r="Y1646" t="s">
        <v>26</v>
      </c>
      <c r="Z1646" s="24">
        <v>34700</v>
      </c>
      <c r="AA1646" s="25" t="s">
        <v>77</v>
      </c>
      <c r="AB1646" t="s">
        <v>26</v>
      </c>
      <c r="AC1646" s="24">
        <v>34700</v>
      </c>
      <c r="AD1646" s="25" t="s">
        <v>77</v>
      </c>
      <c r="AE1646" t="s">
        <v>26</v>
      </c>
      <c r="AF1646" t="s">
        <v>26</v>
      </c>
      <c r="AG1646" t="s">
        <v>26</v>
      </c>
      <c r="AH1646" t="s">
        <v>26</v>
      </c>
      <c r="AI1646" t="s">
        <v>26</v>
      </c>
      <c r="AJ1646" t="s">
        <v>26</v>
      </c>
      <c r="AK1646" t="s">
        <v>26</v>
      </c>
      <c r="AL1646" t="s">
        <v>26</v>
      </c>
      <c r="AM1646" t="s">
        <v>26</v>
      </c>
      <c r="AN1646" t="s">
        <v>26</v>
      </c>
      <c r="AO1646" s="25" t="s">
        <v>68</v>
      </c>
      <c r="AP1646" s="23" t="s">
        <v>69</v>
      </c>
      <c r="AQ1646" s="23" t="s">
        <v>30</v>
      </c>
      <c r="AR1646" s="23" t="s">
        <v>46</v>
      </c>
      <c r="AS1646" s="25">
        <v>35078</v>
      </c>
      <c r="AT1646" t="s">
        <v>26</v>
      </c>
      <c r="AU1646" t="s">
        <v>24388</v>
      </c>
    </row>
    <row r="1647" spans="1:47" ht="26.25" x14ac:dyDescent="0.4">
      <c r="A1647" s="23" t="s">
        <v>4275</v>
      </c>
      <c r="B1647" t="s">
        <v>26</v>
      </c>
      <c r="C1647" s="23" t="s">
        <v>73</v>
      </c>
      <c r="D1647" s="23" t="s">
        <v>22179</v>
      </c>
      <c r="E1647" s="23" t="s">
        <v>74</v>
      </c>
      <c r="F1647" s="25" t="s">
        <v>4276</v>
      </c>
      <c r="G1647" s="25" t="s">
        <v>4277</v>
      </c>
      <c r="H1647" t="s">
        <v>26</v>
      </c>
      <c r="I1647" s="24">
        <v>36161</v>
      </c>
      <c r="J1647" s="25" t="s">
        <v>77</v>
      </c>
      <c r="K1647" t="s">
        <v>26</v>
      </c>
      <c r="L1647" s="25" t="s">
        <v>68</v>
      </c>
      <c r="M1647" s="24">
        <v>37987</v>
      </c>
      <c r="N1647" s="24">
        <v>42887</v>
      </c>
      <c r="O1647" t="s">
        <v>26</v>
      </c>
      <c r="P1647" s="24">
        <v>36161</v>
      </c>
      <c r="Q1647" s="25" t="s">
        <v>77</v>
      </c>
      <c r="R1647" t="s">
        <v>26</v>
      </c>
      <c r="S1647" t="s">
        <v>26</v>
      </c>
      <c r="T1647" t="s">
        <v>26</v>
      </c>
      <c r="U1647" t="s">
        <v>26</v>
      </c>
      <c r="V1647" s="25">
        <v>365</v>
      </c>
      <c r="W1647" s="24">
        <v>36161</v>
      </c>
      <c r="X1647" s="25" t="s">
        <v>77</v>
      </c>
      <c r="Y1647" t="s">
        <v>26</v>
      </c>
      <c r="Z1647" s="24">
        <v>36161</v>
      </c>
      <c r="AA1647" s="25" t="s">
        <v>77</v>
      </c>
      <c r="AB1647" t="s">
        <v>26</v>
      </c>
      <c r="AC1647" s="24">
        <v>36161</v>
      </c>
      <c r="AD1647" s="24">
        <v>38078</v>
      </c>
      <c r="AE1647" t="s">
        <v>26</v>
      </c>
      <c r="AF1647" t="s">
        <v>26</v>
      </c>
      <c r="AG1647" t="s">
        <v>26</v>
      </c>
      <c r="AH1647" t="s">
        <v>26</v>
      </c>
      <c r="AI1647" t="s">
        <v>26</v>
      </c>
      <c r="AJ1647" t="s">
        <v>26</v>
      </c>
      <c r="AK1647" t="s">
        <v>26</v>
      </c>
      <c r="AL1647" t="s">
        <v>26</v>
      </c>
      <c r="AM1647" t="s">
        <v>26</v>
      </c>
      <c r="AN1647" t="s">
        <v>26</v>
      </c>
      <c r="AO1647" s="25" t="s">
        <v>68</v>
      </c>
      <c r="AP1647" s="23" t="s">
        <v>69</v>
      </c>
      <c r="AQ1647" s="23" t="s">
        <v>30</v>
      </c>
      <c r="AR1647" s="23" t="s">
        <v>4278</v>
      </c>
      <c r="AS1647" s="25">
        <v>39812</v>
      </c>
      <c r="AT1647" t="s">
        <v>26</v>
      </c>
      <c r="AU1647" t="s">
        <v>24389</v>
      </c>
    </row>
    <row r="1648" spans="1:47" ht="26.25" x14ac:dyDescent="0.4">
      <c r="A1648" s="23" t="s">
        <v>4279</v>
      </c>
      <c r="B1648" t="s">
        <v>26</v>
      </c>
      <c r="C1648" s="23" t="s">
        <v>4280</v>
      </c>
      <c r="D1648" s="23" t="s">
        <v>22312</v>
      </c>
      <c r="E1648" s="23" t="s">
        <v>42</v>
      </c>
      <c r="F1648" s="25" t="s">
        <v>4281</v>
      </c>
      <c r="G1648" s="25" t="s">
        <v>4282</v>
      </c>
      <c r="H1648" t="s">
        <v>26</v>
      </c>
      <c r="I1648" t="s">
        <v>26</v>
      </c>
      <c r="J1648" t="s">
        <v>26</v>
      </c>
      <c r="K1648" t="s">
        <v>26</v>
      </c>
      <c r="L1648" s="25" t="s">
        <v>68</v>
      </c>
      <c r="M1648" t="s">
        <v>26</v>
      </c>
      <c r="N1648" t="s">
        <v>26</v>
      </c>
      <c r="O1648" t="s">
        <v>26</v>
      </c>
      <c r="P1648" t="s">
        <v>26</v>
      </c>
      <c r="Q1648" t="s">
        <v>26</v>
      </c>
      <c r="R1648" t="s">
        <v>26</v>
      </c>
      <c r="S1648" t="s">
        <v>26</v>
      </c>
      <c r="T1648" t="s">
        <v>26</v>
      </c>
      <c r="U1648" t="s">
        <v>26</v>
      </c>
      <c r="V1648" t="s">
        <v>26</v>
      </c>
      <c r="W1648" s="24">
        <v>36892</v>
      </c>
      <c r="X1648" s="24">
        <v>37530</v>
      </c>
      <c r="Y1648" t="s">
        <v>26</v>
      </c>
      <c r="Z1648" s="24">
        <v>36892</v>
      </c>
      <c r="AA1648" s="24">
        <v>37530</v>
      </c>
      <c r="AB1648" t="s">
        <v>26</v>
      </c>
      <c r="AC1648" t="s">
        <v>26</v>
      </c>
      <c r="AD1648" t="s">
        <v>26</v>
      </c>
      <c r="AE1648" t="s">
        <v>26</v>
      </c>
      <c r="AF1648" t="s">
        <v>26</v>
      </c>
      <c r="AG1648" t="s">
        <v>26</v>
      </c>
      <c r="AH1648" t="s">
        <v>26</v>
      </c>
      <c r="AI1648" t="s">
        <v>26</v>
      </c>
      <c r="AJ1648" t="s">
        <v>26</v>
      </c>
      <c r="AK1648" t="s">
        <v>26</v>
      </c>
      <c r="AL1648" t="s">
        <v>26</v>
      </c>
      <c r="AM1648" t="s">
        <v>26</v>
      </c>
      <c r="AN1648" t="s">
        <v>26</v>
      </c>
      <c r="AO1648" s="25" t="s">
        <v>68</v>
      </c>
      <c r="AP1648" s="23" t="s">
        <v>69</v>
      </c>
      <c r="AQ1648" s="23" t="s">
        <v>30</v>
      </c>
      <c r="AR1648" s="23" t="s">
        <v>46</v>
      </c>
      <c r="AS1648" s="25">
        <v>35661</v>
      </c>
      <c r="AT1648" t="s">
        <v>26</v>
      </c>
      <c r="AU1648" t="s">
        <v>24390</v>
      </c>
    </row>
    <row r="1649" spans="1:47" ht="26.25" x14ac:dyDescent="0.4">
      <c r="A1649" s="23" t="s">
        <v>4283</v>
      </c>
      <c r="B1649" t="s">
        <v>26</v>
      </c>
      <c r="C1649" s="23" t="s">
        <v>981</v>
      </c>
      <c r="D1649" s="23" t="s">
        <v>22179</v>
      </c>
      <c r="E1649" s="23" t="s">
        <v>42</v>
      </c>
      <c r="F1649" s="25" t="s">
        <v>4284</v>
      </c>
      <c r="G1649" s="25" t="s">
        <v>4285</v>
      </c>
      <c r="H1649" t="s">
        <v>26</v>
      </c>
      <c r="I1649" s="24">
        <v>37987</v>
      </c>
      <c r="J1649" s="24">
        <v>39904</v>
      </c>
      <c r="K1649" t="s">
        <v>26</v>
      </c>
      <c r="L1649" s="25" t="s">
        <v>68</v>
      </c>
      <c r="M1649" s="24">
        <v>37987</v>
      </c>
      <c r="N1649" s="24">
        <v>39904</v>
      </c>
      <c r="O1649" t="s">
        <v>26</v>
      </c>
      <c r="P1649" s="24">
        <v>37987</v>
      </c>
      <c r="Q1649" s="24">
        <v>39904</v>
      </c>
      <c r="R1649" t="s">
        <v>26</v>
      </c>
      <c r="S1649" t="s">
        <v>26</v>
      </c>
      <c r="T1649" t="s">
        <v>26</v>
      </c>
      <c r="U1649" t="s">
        <v>26</v>
      </c>
      <c r="V1649" t="s">
        <v>26</v>
      </c>
      <c r="W1649" s="24">
        <v>37987</v>
      </c>
      <c r="X1649" s="24">
        <v>39904</v>
      </c>
      <c r="Y1649" t="s">
        <v>26</v>
      </c>
      <c r="Z1649" s="24">
        <v>37987</v>
      </c>
      <c r="AA1649" s="24">
        <v>39904</v>
      </c>
      <c r="AB1649" t="s">
        <v>26</v>
      </c>
      <c r="AC1649" t="s">
        <v>26</v>
      </c>
      <c r="AD1649" t="s">
        <v>26</v>
      </c>
      <c r="AE1649" t="s">
        <v>26</v>
      </c>
      <c r="AF1649" t="s">
        <v>26</v>
      </c>
      <c r="AG1649" t="s">
        <v>26</v>
      </c>
      <c r="AH1649" t="s">
        <v>26</v>
      </c>
      <c r="AI1649" t="s">
        <v>26</v>
      </c>
      <c r="AJ1649" t="s">
        <v>26</v>
      </c>
      <c r="AK1649" t="s">
        <v>26</v>
      </c>
      <c r="AL1649" t="s">
        <v>26</v>
      </c>
      <c r="AM1649" t="s">
        <v>26</v>
      </c>
      <c r="AN1649" t="s">
        <v>26</v>
      </c>
      <c r="AO1649" s="25" t="s">
        <v>68</v>
      </c>
      <c r="AP1649" s="23" t="s">
        <v>69</v>
      </c>
      <c r="AQ1649" s="23" t="s">
        <v>30</v>
      </c>
      <c r="AR1649" s="23" t="s">
        <v>46</v>
      </c>
      <c r="AS1649" s="25">
        <v>29582</v>
      </c>
      <c r="AT1649" t="s">
        <v>26</v>
      </c>
      <c r="AU1649" t="s">
        <v>24391</v>
      </c>
    </row>
    <row r="1650" spans="1:47" ht="26.25" x14ac:dyDescent="0.4">
      <c r="A1650" s="23" t="s">
        <v>4286</v>
      </c>
      <c r="B1650" t="s">
        <v>26</v>
      </c>
      <c r="C1650" s="23" t="s">
        <v>4287</v>
      </c>
      <c r="D1650" s="23" t="s">
        <v>24392</v>
      </c>
      <c r="E1650" s="23" t="s">
        <v>3461</v>
      </c>
      <c r="F1650" s="25" t="s">
        <v>4288</v>
      </c>
      <c r="G1650" s="25" t="s">
        <v>4289</v>
      </c>
      <c r="H1650" t="s">
        <v>26</v>
      </c>
      <c r="I1650" s="24">
        <v>40179</v>
      </c>
      <c r="J1650" s="25" t="s">
        <v>77</v>
      </c>
      <c r="K1650" t="s">
        <v>26</v>
      </c>
      <c r="L1650" s="25" t="s">
        <v>68</v>
      </c>
      <c r="M1650" s="24">
        <v>40179</v>
      </c>
      <c r="N1650" s="25" t="s">
        <v>77</v>
      </c>
      <c r="O1650" t="s">
        <v>26</v>
      </c>
      <c r="P1650" s="24">
        <v>40179</v>
      </c>
      <c r="Q1650" s="25" t="s">
        <v>77</v>
      </c>
      <c r="R1650" t="s">
        <v>26</v>
      </c>
      <c r="S1650" t="s">
        <v>26</v>
      </c>
      <c r="T1650" t="s">
        <v>26</v>
      </c>
      <c r="U1650" t="s">
        <v>26</v>
      </c>
      <c r="V1650" t="s">
        <v>26</v>
      </c>
      <c r="W1650" s="24">
        <v>40179</v>
      </c>
      <c r="X1650" s="25" t="s">
        <v>77</v>
      </c>
      <c r="Y1650" t="s">
        <v>26</v>
      </c>
      <c r="Z1650" s="24">
        <v>40179</v>
      </c>
      <c r="AA1650" s="25" t="s">
        <v>77</v>
      </c>
      <c r="AB1650" t="s">
        <v>26</v>
      </c>
      <c r="AC1650" s="24">
        <v>40179</v>
      </c>
      <c r="AD1650" s="25" t="s">
        <v>77</v>
      </c>
      <c r="AE1650" t="s">
        <v>26</v>
      </c>
      <c r="AF1650" t="s">
        <v>26</v>
      </c>
      <c r="AG1650" t="s">
        <v>26</v>
      </c>
      <c r="AH1650" t="s">
        <v>26</v>
      </c>
      <c r="AI1650" t="s">
        <v>26</v>
      </c>
      <c r="AJ1650" t="s">
        <v>26</v>
      </c>
      <c r="AK1650" t="s">
        <v>26</v>
      </c>
      <c r="AL1650" t="s">
        <v>26</v>
      </c>
      <c r="AM1650" t="s">
        <v>26</v>
      </c>
      <c r="AN1650" t="s">
        <v>26</v>
      </c>
      <c r="AO1650" s="25" t="s">
        <v>68</v>
      </c>
      <c r="AP1650" s="23" t="s">
        <v>69</v>
      </c>
      <c r="AQ1650" s="23" t="s">
        <v>30</v>
      </c>
      <c r="AR1650" s="23" t="s">
        <v>1170</v>
      </c>
      <c r="AS1650" s="25">
        <v>266698</v>
      </c>
      <c r="AT1650" t="s">
        <v>26</v>
      </c>
      <c r="AU1650" t="s">
        <v>24393</v>
      </c>
    </row>
    <row r="1651" spans="1:47" ht="39.4" x14ac:dyDescent="0.4">
      <c r="A1651" s="23" t="s">
        <v>4290</v>
      </c>
      <c r="B1651" t="s">
        <v>26</v>
      </c>
      <c r="C1651" s="23" t="s">
        <v>4291</v>
      </c>
      <c r="D1651" s="23" t="s">
        <v>24394</v>
      </c>
      <c r="E1651" s="23" t="s">
        <v>120</v>
      </c>
      <c r="F1651" s="25" t="s">
        <v>4292</v>
      </c>
      <c r="G1651" s="25" t="s">
        <v>4293</v>
      </c>
      <c r="H1651" t="s">
        <v>26</v>
      </c>
      <c r="I1651" s="24">
        <v>40544</v>
      </c>
      <c r="J1651" s="25" t="s">
        <v>77</v>
      </c>
      <c r="K1651" t="s">
        <v>26</v>
      </c>
      <c r="L1651" s="25" t="s">
        <v>68</v>
      </c>
      <c r="M1651" s="24">
        <v>40544</v>
      </c>
      <c r="N1651" s="25" t="s">
        <v>77</v>
      </c>
      <c r="O1651" t="s">
        <v>26</v>
      </c>
      <c r="P1651" s="24">
        <v>40544</v>
      </c>
      <c r="Q1651" s="25" t="s">
        <v>77</v>
      </c>
      <c r="R1651" t="s">
        <v>26</v>
      </c>
      <c r="S1651" t="s">
        <v>26</v>
      </c>
      <c r="T1651" t="s">
        <v>26</v>
      </c>
      <c r="U1651" t="s">
        <v>26</v>
      </c>
      <c r="V1651" t="s">
        <v>26</v>
      </c>
      <c r="W1651" s="24">
        <v>40544</v>
      </c>
      <c r="X1651" s="25" t="s">
        <v>77</v>
      </c>
      <c r="Y1651" t="s">
        <v>26</v>
      </c>
      <c r="Z1651" s="24">
        <v>40544</v>
      </c>
      <c r="AA1651" s="25" t="s">
        <v>77</v>
      </c>
      <c r="AB1651" t="s">
        <v>26</v>
      </c>
      <c r="AC1651" s="24">
        <v>40544</v>
      </c>
      <c r="AD1651" s="25" t="s">
        <v>77</v>
      </c>
      <c r="AE1651" t="s">
        <v>26</v>
      </c>
      <c r="AF1651" t="s">
        <v>26</v>
      </c>
      <c r="AG1651" t="s">
        <v>26</v>
      </c>
      <c r="AH1651" t="s">
        <v>26</v>
      </c>
      <c r="AI1651" t="s">
        <v>26</v>
      </c>
      <c r="AJ1651" t="s">
        <v>26</v>
      </c>
      <c r="AK1651" t="s">
        <v>26</v>
      </c>
      <c r="AL1651" t="s">
        <v>26</v>
      </c>
      <c r="AM1651" t="s">
        <v>26</v>
      </c>
      <c r="AN1651" t="s">
        <v>26</v>
      </c>
      <c r="AO1651" s="25" t="s">
        <v>68</v>
      </c>
      <c r="AP1651" s="23" t="s">
        <v>69</v>
      </c>
      <c r="AQ1651" s="23" t="s">
        <v>30</v>
      </c>
      <c r="AR1651" s="23" t="s">
        <v>123</v>
      </c>
      <c r="AS1651" s="25">
        <v>2055403</v>
      </c>
      <c r="AT1651" t="s">
        <v>26</v>
      </c>
      <c r="AU1651" t="s">
        <v>24395</v>
      </c>
    </row>
    <row r="1652" spans="1:47" ht="26.25" x14ac:dyDescent="0.4">
      <c r="A1652" s="23" t="s">
        <v>4294</v>
      </c>
      <c r="B1652" t="s">
        <v>26</v>
      </c>
      <c r="C1652" s="23" t="s">
        <v>4294</v>
      </c>
      <c r="D1652" s="23" t="s">
        <v>24396</v>
      </c>
      <c r="E1652" s="23" t="s">
        <v>42</v>
      </c>
      <c r="F1652" s="25" t="s">
        <v>4295</v>
      </c>
      <c r="G1652" t="s">
        <v>26</v>
      </c>
      <c r="H1652" t="s">
        <v>26</v>
      </c>
      <c r="I1652" s="24">
        <v>37681</v>
      </c>
      <c r="J1652" s="24">
        <v>41609</v>
      </c>
      <c r="K1652" t="s">
        <v>26</v>
      </c>
      <c r="L1652" s="25" t="s">
        <v>68</v>
      </c>
      <c r="M1652" s="24">
        <v>37681</v>
      </c>
      <c r="N1652" s="24">
        <v>41609</v>
      </c>
      <c r="O1652" t="s">
        <v>26</v>
      </c>
      <c r="P1652" s="24">
        <v>37681</v>
      </c>
      <c r="Q1652" s="24">
        <v>41609</v>
      </c>
      <c r="R1652" t="s">
        <v>26</v>
      </c>
      <c r="S1652" t="s">
        <v>26</v>
      </c>
      <c r="T1652" t="s">
        <v>26</v>
      </c>
      <c r="U1652" t="s">
        <v>26</v>
      </c>
      <c r="V1652" t="s">
        <v>26</v>
      </c>
      <c r="W1652" s="24">
        <v>37681</v>
      </c>
      <c r="X1652" s="24">
        <v>41609</v>
      </c>
      <c r="Y1652" t="s">
        <v>26</v>
      </c>
      <c r="Z1652" s="24">
        <v>37681</v>
      </c>
      <c r="AA1652" s="24">
        <v>41609</v>
      </c>
      <c r="AB1652" t="s">
        <v>26</v>
      </c>
      <c r="AC1652" s="24">
        <v>40969</v>
      </c>
      <c r="AD1652" s="24">
        <v>41609</v>
      </c>
      <c r="AE1652" t="s">
        <v>26</v>
      </c>
      <c r="AF1652" t="s">
        <v>26</v>
      </c>
      <c r="AG1652" t="s">
        <v>26</v>
      </c>
      <c r="AH1652" t="s">
        <v>26</v>
      </c>
      <c r="AI1652" t="s">
        <v>26</v>
      </c>
      <c r="AJ1652" t="s">
        <v>26</v>
      </c>
      <c r="AK1652" t="s">
        <v>26</v>
      </c>
      <c r="AL1652" t="s">
        <v>26</v>
      </c>
      <c r="AM1652" t="s">
        <v>26</v>
      </c>
      <c r="AN1652" t="s">
        <v>26</v>
      </c>
      <c r="AO1652" s="25" t="s">
        <v>68</v>
      </c>
      <c r="AP1652" s="23" t="s">
        <v>69</v>
      </c>
      <c r="AQ1652" s="23" t="s">
        <v>30</v>
      </c>
      <c r="AR1652" s="23" t="s">
        <v>123</v>
      </c>
      <c r="AS1652" s="25">
        <v>48173</v>
      </c>
      <c r="AT1652" t="s">
        <v>26</v>
      </c>
      <c r="AU1652" t="s">
        <v>24397</v>
      </c>
    </row>
    <row r="1653" spans="1:47" ht="26.25" x14ac:dyDescent="0.4">
      <c r="A1653" s="23" t="s">
        <v>4296</v>
      </c>
      <c r="B1653" t="s">
        <v>26</v>
      </c>
      <c r="C1653" s="23" t="s">
        <v>80</v>
      </c>
      <c r="D1653" s="23" t="s">
        <v>22184</v>
      </c>
      <c r="E1653" s="23" t="s">
        <v>60</v>
      </c>
      <c r="F1653" s="25" t="s">
        <v>4297</v>
      </c>
      <c r="G1653" s="25" t="s">
        <v>4298</v>
      </c>
      <c r="H1653" t="s">
        <v>26</v>
      </c>
      <c r="I1653" s="24">
        <v>35674</v>
      </c>
      <c r="J1653" s="24">
        <v>36770</v>
      </c>
      <c r="K1653" t="s">
        <v>26</v>
      </c>
      <c r="L1653" s="25" t="s">
        <v>68</v>
      </c>
      <c r="M1653" s="24">
        <v>35674</v>
      </c>
      <c r="N1653" s="24">
        <v>36770</v>
      </c>
      <c r="O1653" t="s">
        <v>26</v>
      </c>
      <c r="P1653" s="24">
        <v>35674</v>
      </c>
      <c r="Q1653" s="24">
        <v>36770</v>
      </c>
      <c r="R1653" t="s">
        <v>26</v>
      </c>
      <c r="S1653" t="s">
        <v>26</v>
      </c>
      <c r="T1653" t="s">
        <v>26</v>
      </c>
      <c r="U1653" t="s">
        <v>26</v>
      </c>
      <c r="V1653" t="s">
        <v>26</v>
      </c>
      <c r="W1653" s="24">
        <v>35674</v>
      </c>
      <c r="X1653" s="25" t="s">
        <v>77</v>
      </c>
      <c r="Y1653" t="s">
        <v>26</v>
      </c>
      <c r="Z1653" s="24">
        <v>35674</v>
      </c>
      <c r="AA1653" s="25" t="s">
        <v>77</v>
      </c>
      <c r="AB1653" t="s">
        <v>26</v>
      </c>
      <c r="AC1653" s="24">
        <v>35674</v>
      </c>
      <c r="AD1653" s="25" t="s">
        <v>77</v>
      </c>
      <c r="AE1653" t="s">
        <v>26</v>
      </c>
      <c r="AF1653" t="s">
        <v>26</v>
      </c>
      <c r="AG1653" t="s">
        <v>26</v>
      </c>
      <c r="AH1653" t="s">
        <v>26</v>
      </c>
      <c r="AI1653" t="s">
        <v>26</v>
      </c>
      <c r="AJ1653" t="s">
        <v>26</v>
      </c>
      <c r="AK1653" t="s">
        <v>26</v>
      </c>
      <c r="AL1653" t="s">
        <v>26</v>
      </c>
      <c r="AM1653" t="s">
        <v>26</v>
      </c>
      <c r="AN1653" t="s">
        <v>26</v>
      </c>
      <c r="AO1653" s="25" t="s">
        <v>68</v>
      </c>
      <c r="AP1653" s="23" t="s">
        <v>69</v>
      </c>
      <c r="AQ1653" s="23" t="s">
        <v>30</v>
      </c>
      <c r="AR1653" s="23" t="s">
        <v>71</v>
      </c>
      <c r="AS1653" s="25">
        <v>48383</v>
      </c>
      <c r="AT1653" t="s">
        <v>26</v>
      </c>
      <c r="AU1653" t="s">
        <v>24398</v>
      </c>
    </row>
    <row r="1654" spans="1:47" ht="26.25" x14ac:dyDescent="0.4">
      <c r="A1654" s="23" t="s">
        <v>4299</v>
      </c>
      <c r="B1654" t="s">
        <v>26</v>
      </c>
      <c r="C1654" s="23" t="s">
        <v>264</v>
      </c>
      <c r="D1654" s="23" t="s">
        <v>22261</v>
      </c>
      <c r="E1654" s="23" t="s">
        <v>60</v>
      </c>
      <c r="F1654" s="25" t="s">
        <v>4300</v>
      </c>
      <c r="G1654" s="25" t="s">
        <v>4301</v>
      </c>
      <c r="H1654" t="s">
        <v>26</v>
      </c>
      <c r="I1654" s="24">
        <v>40179</v>
      </c>
      <c r="J1654" s="25" t="s">
        <v>77</v>
      </c>
      <c r="K1654" t="s">
        <v>26</v>
      </c>
      <c r="L1654" s="25" t="s">
        <v>68</v>
      </c>
      <c r="M1654" s="24">
        <v>40634</v>
      </c>
      <c r="N1654" s="25" t="s">
        <v>77</v>
      </c>
      <c r="O1654" t="s">
        <v>26</v>
      </c>
      <c r="P1654" s="24">
        <v>40179</v>
      </c>
      <c r="Q1654" s="25" t="s">
        <v>77</v>
      </c>
      <c r="R1654" t="s">
        <v>26</v>
      </c>
      <c r="S1654" t="s">
        <v>26</v>
      </c>
      <c r="T1654" t="s">
        <v>26</v>
      </c>
      <c r="U1654" t="s">
        <v>26</v>
      </c>
      <c r="V1654" s="25">
        <v>365</v>
      </c>
      <c r="W1654" s="24">
        <v>40179</v>
      </c>
      <c r="X1654" s="25" t="s">
        <v>77</v>
      </c>
      <c r="Y1654" t="s">
        <v>26</v>
      </c>
      <c r="Z1654" s="24">
        <v>40179</v>
      </c>
      <c r="AA1654" s="25" t="s">
        <v>77</v>
      </c>
      <c r="AB1654" t="s">
        <v>26</v>
      </c>
      <c r="AC1654" s="24">
        <v>40179</v>
      </c>
      <c r="AD1654" s="25" t="s">
        <v>77</v>
      </c>
      <c r="AE1654" t="s">
        <v>26</v>
      </c>
      <c r="AF1654" t="s">
        <v>26</v>
      </c>
      <c r="AG1654" t="s">
        <v>26</v>
      </c>
      <c r="AH1654" t="s">
        <v>26</v>
      </c>
      <c r="AI1654" t="s">
        <v>26</v>
      </c>
      <c r="AJ1654" t="s">
        <v>26</v>
      </c>
      <c r="AK1654" t="s">
        <v>26</v>
      </c>
      <c r="AL1654" t="s">
        <v>26</v>
      </c>
      <c r="AM1654" t="s">
        <v>26</v>
      </c>
      <c r="AN1654" t="s">
        <v>26</v>
      </c>
      <c r="AO1654" s="25" t="s">
        <v>68</v>
      </c>
      <c r="AP1654" s="23" t="s">
        <v>69</v>
      </c>
      <c r="AQ1654" s="23" t="s">
        <v>30</v>
      </c>
      <c r="AR1654" s="23" t="s">
        <v>4302</v>
      </c>
      <c r="AS1654" s="25">
        <v>1006505</v>
      </c>
      <c r="AT1654" t="s">
        <v>26</v>
      </c>
      <c r="AU1654" t="s">
        <v>24399</v>
      </c>
    </row>
    <row r="1655" spans="1:47" ht="26.25" x14ac:dyDescent="0.4">
      <c r="A1655" s="23" t="s">
        <v>4303</v>
      </c>
      <c r="B1655" t="s">
        <v>26</v>
      </c>
      <c r="C1655" s="23" t="s">
        <v>320</v>
      </c>
      <c r="D1655" s="23" t="s">
        <v>22242</v>
      </c>
      <c r="E1655" s="23" t="s">
        <v>42</v>
      </c>
      <c r="F1655" s="25" t="s">
        <v>4304</v>
      </c>
      <c r="G1655" s="25" t="s">
        <v>4305</v>
      </c>
      <c r="H1655" t="s">
        <v>26</v>
      </c>
      <c r="I1655" t="s">
        <v>26</v>
      </c>
      <c r="J1655" t="s">
        <v>26</v>
      </c>
      <c r="K1655" t="s">
        <v>26</v>
      </c>
      <c r="L1655" s="25" t="s">
        <v>68</v>
      </c>
      <c r="M1655" t="s">
        <v>26</v>
      </c>
      <c r="N1655" t="s">
        <v>26</v>
      </c>
      <c r="O1655" t="s">
        <v>26</v>
      </c>
      <c r="P1655" t="s">
        <v>26</v>
      </c>
      <c r="Q1655" t="s">
        <v>26</v>
      </c>
      <c r="R1655" t="s">
        <v>26</v>
      </c>
      <c r="S1655" t="s">
        <v>26</v>
      </c>
      <c r="T1655" t="s">
        <v>26</v>
      </c>
      <c r="U1655" t="s">
        <v>26</v>
      </c>
      <c r="V1655" t="s">
        <v>26</v>
      </c>
      <c r="W1655" s="24">
        <v>36130</v>
      </c>
      <c r="X1655" s="25" t="s">
        <v>77</v>
      </c>
      <c r="Y1655" t="s">
        <v>26</v>
      </c>
      <c r="Z1655" s="24">
        <v>36130</v>
      </c>
      <c r="AA1655" s="25" t="s">
        <v>77</v>
      </c>
      <c r="AB1655" t="s">
        <v>26</v>
      </c>
      <c r="AC1655" s="24">
        <v>38353</v>
      </c>
      <c r="AD1655" s="25" t="s">
        <v>77</v>
      </c>
      <c r="AE1655" t="s">
        <v>26</v>
      </c>
      <c r="AF1655" t="s">
        <v>26</v>
      </c>
      <c r="AG1655" t="s">
        <v>26</v>
      </c>
      <c r="AH1655" t="s">
        <v>26</v>
      </c>
      <c r="AI1655" t="s">
        <v>26</v>
      </c>
      <c r="AJ1655" t="s">
        <v>26</v>
      </c>
      <c r="AK1655" t="s">
        <v>26</v>
      </c>
      <c r="AL1655" t="s">
        <v>26</v>
      </c>
      <c r="AM1655" t="s">
        <v>26</v>
      </c>
      <c r="AN1655" t="s">
        <v>26</v>
      </c>
      <c r="AO1655" s="25" t="s">
        <v>68</v>
      </c>
      <c r="AP1655" s="23" t="s">
        <v>69</v>
      </c>
      <c r="AQ1655" s="23" t="s">
        <v>30</v>
      </c>
      <c r="AR1655" s="23" t="s">
        <v>2332</v>
      </c>
      <c r="AS1655" s="25">
        <v>48635</v>
      </c>
      <c r="AT1655" t="s">
        <v>26</v>
      </c>
      <c r="AU1655" t="s">
        <v>24400</v>
      </c>
    </row>
    <row r="1656" spans="1:47" ht="26.25" x14ac:dyDescent="0.4">
      <c r="A1656" s="23" t="s">
        <v>4306</v>
      </c>
      <c r="B1656" t="s">
        <v>26</v>
      </c>
      <c r="C1656" s="23" t="s">
        <v>998</v>
      </c>
      <c r="D1656" s="23" t="s">
        <v>22499</v>
      </c>
      <c r="E1656" s="23" t="s">
        <v>711</v>
      </c>
      <c r="F1656" t="s">
        <v>26</v>
      </c>
      <c r="G1656" s="25" t="s">
        <v>4307</v>
      </c>
      <c r="H1656" t="s">
        <v>26</v>
      </c>
      <c r="I1656" s="24">
        <v>41275</v>
      </c>
      <c r="J1656" s="25" t="s">
        <v>77</v>
      </c>
      <c r="K1656" s="25" t="s">
        <v>833</v>
      </c>
      <c r="L1656" s="25" t="s">
        <v>68</v>
      </c>
      <c r="M1656" s="24">
        <v>43252</v>
      </c>
      <c r="N1656" s="25" t="s">
        <v>77</v>
      </c>
      <c r="O1656" s="25" t="s">
        <v>833</v>
      </c>
      <c r="P1656" s="24">
        <v>41275</v>
      </c>
      <c r="Q1656" s="25" t="s">
        <v>77</v>
      </c>
      <c r="R1656" s="25" t="s">
        <v>833</v>
      </c>
      <c r="S1656" t="s">
        <v>26</v>
      </c>
      <c r="T1656" t="s">
        <v>26</v>
      </c>
      <c r="U1656" t="s">
        <v>26</v>
      </c>
      <c r="V1656" t="s">
        <v>26</v>
      </c>
      <c r="W1656" s="24">
        <v>41275</v>
      </c>
      <c r="X1656" s="25" t="s">
        <v>77</v>
      </c>
      <c r="Y1656" s="25" t="s">
        <v>833</v>
      </c>
      <c r="Z1656" s="24">
        <v>41275</v>
      </c>
      <c r="AA1656" s="25" t="s">
        <v>77</v>
      </c>
      <c r="AB1656" s="25" t="s">
        <v>833</v>
      </c>
      <c r="AC1656" s="24">
        <v>41275</v>
      </c>
      <c r="AD1656" s="25" t="s">
        <v>77</v>
      </c>
      <c r="AE1656" s="25" t="s">
        <v>833</v>
      </c>
      <c r="AF1656" t="s">
        <v>26</v>
      </c>
      <c r="AG1656" t="s">
        <v>26</v>
      </c>
      <c r="AH1656" t="s">
        <v>26</v>
      </c>
      <c r="AI1656" t="s">
        <v>26</v>
      </c>
      <c r="AJ1656" t="s">
        <v>26</v>
      </c>
      <c r="AK1656" t="s">
        <v>26</v>
      </c>
      <c r="AL1656" t="s">
        <v>26</v>
      </c>
      <c r="AM1656" t="s">
        <v>26</v>
      </c>
      <c r="AN1656" t="s">
        <v>26</v>
      </c>
      <c r="AO1656" s="25" t="s">
        <v>68</v>
      </c>
      <c r="AP1656" s="23" t="s">
        <v>69</v>
      </c>
      <c r="AQ1656" s="23" t="s">
        <v>30</v>
      </c>
      <c r="AR1656" s="23" t="s">
        <v>46</v>
      </c>
      <c r="AS1656" s="25">
        <v>2032379</v>
      </c>
      <c r="AT1656" t="s">
        <v>26</v>
      </c>
      <c r="AU1656" t="s">
        <v>24401</v>
      </c>
    </row>
    <row r="1657" spans="1:47" ht="26.25" x14ac:dyDescent="0.4">
      <c r="A1657" s="23" t="s">
        <v>4308</v>
      </c>
      <c r="B1657" t="s">
        <v>26</v>
      </c>
      <c r="C1657" s="23" t="s">
        <v>2844</v>
      </c>
      <c r="D1657" s="23" t="s">
        <v>24402</v>
      </c>
      <c r="E1657" s="23" t="s">
        <v>60</v>
      </c>
      <c r="F1657" s="25" t="s">
        <v>4309</v>
      </c>
      <c r="G1657" s="25" t="s">
        <v>4310</v>
      </c>
      <c r="H1657" t="s">
        <v>26</v>
      </c>
      <c r="I1657" s="24">
        <v>40909</v>
      </c>
      <c r="J1657" s="24">
        <v>42370</v>
      </c>
      <c r="K1657" t="s">
        <v>26</v>
      </c>
      <c r="L1657" s="25" t="s">
        <v>68</v>
      </c>
      <c r="M1657" s="24">
        <v>40909</v>
      </c>
      <c r="N1657" s="24">
        <v>42370</v>
      </c>
      <c r="O1657" t="s">
        <v>26</v>
      </c>
      <c r="P1657" s="24">
        <v>40909</v>
      </c>
      <c r="Q1657" s="24">
        <v>42370</v>
      </c>
      <c r="R1657" t="s">
        <v>26</v>
      </c>
      <c r="S1657" t="s">
        <v>26</v>
      </c>
      <c r="T1657" t="s">
        <v>26</v>
      </c>
      <c r="U1657" t="s">
        <v>26</v>
      </c>
      <c r="V1657" t="s">
        <v>26</v>
      </c>
      <c r="W1657" s="24">
        <v>40909</v>
      </c>
      <c r="X1657" s="24">
        <v>42370</v>
      </c>
      <c r="Y1657" t="s">
        <v>26</v>
      </c>
      <c r="Z1657" s="24">
        <v>40909</v>
      </c>
      <c r="AA1657" s="24">
        <v>42370</v>
      </c>
      <c r="AB1657" t="s">
        <v>26</v>
      </c>
      <c r="AC1657" s="24">
        <v>40909</v>
      </c>
      <c r="AD1657" s="24">
        <v>42370</v>
      </c>
      <c r="AE1657" t="s">
        <v>26</v>
      </c>
      <c r="AF1657" t="s">
        <v>26</v>
      </c>
      <c r="AG1657" t="s">
        <v>26</v>
      </c>
      <c r="AH1657" t="s">
        <v>26</v>
      </c>
      <c r="AI1657" t="s">
        <v>26</v>
      </c>
      <c r="AJ1657" t="s">
        <v>26</v>
      </c>
      <c r="AK1657" t="s">
        <v>26</v>
      </c>
      <c r="AL1657" t="s">
        <v>26</v>
      </c>
      <c r="AM1657" t="s">
        <v>26</v>
      </c>
      <c r="AN1657" t="s">
        <v>26</v>
      </c>
      <c r="AO1657" s="25" t="s">
        <v>68</v>
      </c>
      <c r="AP1657" s="23" t="s">
        <v>69</v>
      </c>
      <c r="AQ1657" s="23" t="s">
        <v>30</v>
      </c>
      <c r="AR1657" s="23" t="s">
        <v>4311</v>
      </c>
      <c r="AS1657" s="25">
        <v>1036400</v>
      </c>
      <c r="AT1657" t="s">
        <v>26</v>
      </c>
      <c r="AU1657" t="s">
        <v>24403</v>
      </c>
    </row>
    <row r="1658" spans="1:47" ht="26.25" x14ac:dyDescent="0.4">
      <c r="A1658" s="23" t="s">
        <v>4312</v>
      </c>
      <c r="B1658" t="s">
        <v>26</v>
      </c>
      <c r="C1658" s="23" t="s">
        <v>80</v>
      </c>
      <c r="D1658" s="23" t="s">
        <v>22184</v>
      </c>
      <c r="E1658" s="23" t="s">
        <v>60</v>
      </c>
      <c r="F1658" s="25" t="s">
        <v>4313</v>
      </c>
      <c r="G1658" s="25" t="s">
        <v>4314</v>
      </c>
      <c r="H1658" t="s">
        <v>26</v>
      </c>
      <c r="I1658" t="s">
        <v>26</v>
      </c>
      <c r="J1658" t="s">
        <v>26</v>
      </c>
      <c r="K1658" t="s">
        <v>26</v>
      </c>
      <c r="L1658" s="25" t="s">
        <v>68</v>
      </c>
      <c r="M1658" t="s">
        <v>26</v>
      </c>
      <c r="N1658" t="s">
        <v>26</v>
      </c>
      <c r="O1658" t="s">
        <v>26</v>
      </c>
      <c r="P1658" t="s">
        <v>26</v>
      </c>
      <c r="Q1658" t="s">
        <v>26</v>
      </c>
      <c r="R1658" t="s">
        <v>26</v>
      </c>
      <c r="S1658" t="s">
        <v>26</v>
      </c>
      <c r="T1658" t="s">
        <v>26</v>
      </c>
      <c r="U1658" t="s">
        <v>26</v>
      </c>
      <c r="V1658" t="s">
        <v>26</v>
      </c>
      <c r="W1658" s="24">
        <v>42278</v>
      </c>
      <c r="X1658" s="25" t="s">
        <v>77</v>
      </c>
      <c r="Y1658" t="s">
        <v>26</v>
      </c>
      <c r="Z1658" s="24">
        <v>42278</v>
      </c>
      <c r="AA1658" s="25" t="s">
        <v>77</v>
      </c>
      <c r="AB1658" t="s">
        <v>26</v>
      </c>
      <c r="AC1658" s="24">
        <v>42278</v>
      </c>
      <c r="AD1658" s="25" t="s">
        <v>77</v>
      </c>
      <c r="AE1658" t="s">
        <v>26</v>
      </c>
      <c r="AF1658" t="s">
        <v>26</v>
      </c>
      <c r="AG1658" t="s">
        <v>26</v>
      </c>
      <c r="AH1658" t="s">
        <v>26</v>
      </c>
      <c r="AI1658" t="s">
        <v>26</v>
      </c>
      <c r="AJ1658" t="s">
        <v>26</v>
      </c>
      <c r="AK1658" t="s">
        <v>26</v>
      </c>
      <c r="AL1658" t="s">
        <v>26</v>
      </c>
      <c r="AM1658" t="s">
        <v>26</v>
      </c>
      <c r="AN1658" t="s">
        <v>26</v>
      </c>
      <c r="AO1658" s="25" t="s">
        <v>68</v>
      </c>
      <c r="AP1658" s="23" t="s">
        <v>69</v>
      </c>
      <c r="AQ1658" s="23" t="s">
        <v>30</v>
      </c>
      <c r="AR1658" s="23" t="s">
        <v>2507</v>
      </c>
      <c r="AS1658" s="25">
        <v>2040037</v>
      </c>
      <c r="AT1658" t="s">
        <v>26</v>
      </c>
      <c r="AU1658" t="s">
        <v>24404</v>
      </c>
    </row>
    <row r="1659" spans="1:47" ht="39.4" x14ac:dyDescent="0.4">
      <c r="A1659" s="23" t="s">
        <v>4315</v>
      </c>
      <c r="B1659" t="s">
        <v>26</v>
      </c>
      <c r="C1659" s="23" t="s">
        <v>80</v>
      </c>
      <c r="D1659" s="23" t="s">
        <v>22179</v>
      </c>
      <c r="E1659" s="23" t="s">
        <v>60</v>
      </c>
      <c r="F1659" s="25" t="s">
        <v>4316</v>
      </c>
      <c r="G1659" s="25" t="s">
        <v>4317</v>
      </c>
      <c r="H1659" t="s">
        <v>26</v>
      </c>
      <c r="I1659" s="24">
        <v>34881</v>
      </c>
      <c r="J1659" s="24">
        <v>35521</v>
      </c>
      <c r="K1659" t="s">
        <v>26</v>
      </c>
      <c r="L1659" s="25" t="s">
        <v>68</v>
      </c>
      <c r="M1659" s="24">
        <v>34881</v>
      </c>
      <c r="N1659" s="24">
        <v>35521</v>
      </c>
      <c r="O1659" t="s">
        <v>26</v>
      </c>
      <c r="P1659" s="24">
        <v>34881</v>
      </c>
      <c r="Q1659" s="24">
        <v>35521</v>
      </c>
      <c r="R1659" t="s">
        <v>26</v>
      </c>
      <c r="S1659" t="s">
        <v>26</v>
      </c>
      <c r="T1659" t="s">
        <v>26</v>
      </c>
      <c r="U1659" t="s">
        <v>26</v>
      </c>
      <c r="V1659" t="s">
        <v>26</v>
      </c>
      <c r="W1659" s="24">
        <v>33970</v>
      </c>
      <c r="X1659" s="25" t="s">
        <v>77</v>
      </c>
      <c r="Y1659" t="s">
        <v>26</v>
      </c>
      <c r="Z1659" s="24">
        <v>33970</v>
      </c>
      <c r="AA1659" s="25" t="s">
        <v>77</v>
      </c>
      <c r="AB1659" t="s">
        <v>26</v>
      </c>
      <c r="AC1659" s="24">
        <v>33970</v>
      </c>
      <c r="AD1659" s="25" t="s">
        <v>77</v>
      </c>
      <c r="AE1659" t="s">
        <v>26</v>
      </c>
      <c r="AF1659" t="s">
        <v>26</v>
      </c>
      <c r="AG1659" t="s">
        <v>26</v>
      </c>
      <c r="AH1659" t="s">
        <v>26</v>
      </c>
      <c r="AI1659" t="s">
        <v>26</v>
      </c>
      <c r="AJ1659" t="s">
        <v>26</v>
      </c>
      <c r="AK1659" t="s">
        <v>26</v>
      </c>
      <c r="AL1659" t="s">
        <v>26</v>
      </c>
      <c r="AM1659" t="s">
        <v>26</v>
      </c>
      <c r="AN1659" t="s">
        <v>26</v>
      </c>
      <c r="AO1659" s="25" t="s">
        <v>68</v>
      </c>
      <c r="AP1659" s="23" t="s">
        <v>69</v>
      </c>
      <c r="AQ1659" s="23" t="s">
        <v>30</v>
      </c>
      <c r="AR1659" s="23" t="s">
        <v>4318</v>
      </c>
      <c r="AS1659" s="25">
        <v>46994</v>
      </c>
      <c r="AT1659" t="s">
        <v>26</v>
      </c>
      <c r="AU1659" t="s">
        <v>24405</v>
      </c>
    </row>
    <row r="1660" spans="1:47" ht="26.25" x14ac:dyDescent="0.4">
      <c r="A1660" s="23" t="s">
        <v>24406</v>
      </c>
      <c r="B1660" t="s">
        <v>26</v>
      </c>
      <c r="C1660" s="23" t="s">
        <v>24407</v>
      </c>
      <c r="D1660" s="23" t="s">
        <v>22582</v>
      </c>
      <c r="E1660" s="23" t="s">
        <v>42</v>
      </c>
      <c r="F1660" s="25" t="s">
        <v>24408</v>
      </c>
      <c r="G1660" t="s">
        <v>26</v>
      </c>
      <c r="H1660" t="s">
        <v>26</v>
      </c>
      <c r="I1660" s="24">
        <v>44562</v>
      </c>
      <c r="J1660" s="25" t="s">
        <v>77</v>
      </c>
      <c r="K1660" t="s">
        <v>26</v>
      </c>
      <c r="L1660" s="25" t="s">
        <v>68</v>
      </c>
      <c r="M1660" t="s">
        <v>26</v>
      </c>
      <c r="N1660" t="s">
        <v>26</v>
      </c>
      <c r="O1660" t="s">
        <v>26</v>
      </c>
      <c r="P1660" s="24">
        <v>44562</v>
      </c>
      <c r="Q1660" s="25" t="s">
        <v>77</v>
      </c>
      <c r="R1660" t="s">
        <v>26</v>
      </c>
      <c r="S1660" t="s">
        <v>26</v>
      </c>
      <c r="T1660" t="s">
        <v>26</v>
      </c>
      <c r="U1660" t="s">
        <v>26</v>
      </c>
      <c r="V1660" t="s">
        <v>26</v>
      </c>
      <c r="W1660" s="24">
        <v>44562</v>
      </c>
      <c r="X1660" s="25" t="s">
        <v>77</v>
      </c>
      <c r="Y1660" t="s">
        <v>26</v>
      </c>
      <c r="Z1660" s="24">
        <v>44562</v>
      </c>
      <c r="AA1660" s="25" t="s">
        <v>77</v>
      </c>
      <c r="AB1660" t="s">
        <v>26</v>
      </c>
      <c r="AC1660" s="24">
        <v>44562</v>
      </c>
      <c r="AD1660" s="25" t="s">
        <v>77</v>
      </c>
      <c r="AE1660" t="s">
        <v>26</v>
      </c>
      <c r="AF1660" t="s">
        <v>26</v>
      </c>
      <c r="AG1660" t="s">
        <v>26</v>
      </c>
      <c r="AH1660" t="s">
        <v>26</v>
      </c>
      <c r="AI1660" t="s">
        <v>26</v>
      </c>
      <c r="AJ1660" t="s">
        <v>26</v>
      </c>
      <c r="AK1660" t="s">
        <v>26</v>
      </c>
      <c r="AL1660" t="s">
        <v>26</v>
      </c>
      <c r="AM1660" t="s">
        <v>26</v>
      </c>
      <c r="AN1660" t="s">
        <v>26</v>
      </c>
      <c r="AO1660" s="25" t="s">
        <v>68</v>
      </c>
      <c r="AP1660" s="23" t="s">
        <v>69</v>
      </c>
      <c r="AQ1660" s="23" t="s">
        <v>30</v>
      </c>
      <c r="AR1660" s="23" t="s">
        <v>3626</v>
      </c>
      <c r="AS1660" s="25">
        <v>6480378</v>
      </c>
      <c r="AT1660" t="s">
        <v>26</v>
      </c>
      <c r="AU1660" t="s">
        <v>24409</v>
      </c>
    </row>
    <row r="1661" spans="1:47" ht="26.25" x14ac:dyDescent="0.4">
      <c r="A1661" s="23" t="s">
        <v>4319</v>
      </c>
      <c r="B1661" t="s">
        <v>26</v>
      </c>
      <c r="C1661" s="23" t="s">
        <v>107</v>
      </c>
      <c r="D1661" s="23" t="s">
        <v>22194</v>
      </c>
      <c r="E1661" s="23" t="s">
        <v>42</v>
      </c>
      <c r="F1661" s="25" t="s">
        <v>4320</v>
      </c>
      <c r="G1661" s="25" t="s">
        <v>4321</v>
      </c>
      <c r="H1661" t="s">
        <v>26</v>
      </c>
      <c r="I1661" t="s">
        <v>26</v>
      </c>
      <c r="J1661" t="s">
        <v>26</v>
      </c>
      <c r="K1661" t="s">
        <v>26</v>
      </c>
      <c r="L1661" s="25" t="s">
        <v>68</v>
      </c>
      <c r="M1661" t="s">
        <v>26</v>
      </c>
      <c r="N1661" t="s">
        <v>26</v>
      </c>
      <c r="O1661" t="s">
        <v>26</v>
      </c>
      <c r="P1661" t="s">
        <v>26</v>
      </c>
      <c r="Q1661" t="s">
        <v>26</v>
      </c>
      <c r="R1661" t="s">
        <v>26</v>
      </c>
      <c r="S1661" t="s">
        <v>26</v>
      </c>
      <c r="T1661" t="s">
        <v>26</v>
      </c>
      <c r="U1661" t="s">
        <v>26</v>
      </c>
      <c r="V1661" t="s">
        <v>26</v>
      </c>
      <c r="W1661" s="24">
        <v>32933</v>
      </c>
      <c r="X1661" s="25" t="s">
        <v>77</v>
      </c>
      <c r="Y1661" t="s">
        <v>26</v>
      </c>
      <c r="Z1661" s="24">
        <v>32933</v>
      </c>
      <c r="AA1661" s="25" t="s">
        <v>77</v>
      </c>
      <c r="AB1661" t="s">
        <v>26</v>
      </c>
      <c r="AC1661" s="24">
        <v>33664</v>
      </c>
      <c r="AD1661" s="25" t="s">
        <v>77</v>
      </c>
      <c r="AE1661" t="s">
        <v>26</v>
      </c>
      <c r="AF1661" t="s">
        <v>26</v>
      </c>
      <c r="AG1661" t="s">
        <v>26</v>
      </c>
      <c r="AH1661" t="s">
        <v>26</v>
      </c>
      <c r="AI1661" t="s">
        <v>26</v>
      </c>
      <c r="AJ1661" t="s">
        <v>26</v>
      </c>
      <c r="AK1661" t="s">
        <v>26</v>
      </c>
      <c r="AL1661" t="s">
        <v>26</v>
      </c>
      <c r="AM1661" t="s">
        <v>26</v>
      </c>
      <c r="AN1661" t="s">
        <v>26</v>
      </c>
      <c r="AO1661" s="25" t="s">
        <v>68</v>
      </c>
      <c r="AP1661" s="23" t="s">
        <v>69</v>
      </c>
      <c r="AQ1661" s="23" t="s">
        <v>30</v>
      </c>
      <c r="AR1661" s="23" t="s">
        <v>4157</v>
      </c>
      <c r="AS1661" s="25">
        <v>30963</v>
      </c>
      <c r="AT1661" t="s">
        <v>26</v>
      </c>
      <c r="AU1661" t="s">
        <v>24410</v>
      </c>
    </row>
    <row r="1662" spans="1:47" ht="39.4" x14ac:dyDescent="0.4">
      <c r="A1662" s="23" t="s">
        <v>4322</v>
      </c>
      <c r="B1662" t="s">
        <v>26</v>
      </c>
      <c r="C1662" s="23" t="s">
        <v>80</v>
      </c>
      <c r="D1662" s="23" t="s">
        <v>22184</v>
      </c>
      <c r="E1662" s="23" t="s">
        <v>60</v>
      </c>
      <c r="F1662" s="25" t="s">
        <v>4323</v>
      </c>
      <c r="G1662" s="25" t="s">
        <v>4324</v>
      </c>
      <c r="H1662" t="s">
        <v>26</v>
      </c>
      <c r="I1662" s="24">
        <v>35916</v>
      </c>
      <c r="J1662" s="24">
        <v>36831</v>
      </c>
      <c r="K1662" t="s">
        <v>26</v>
      </c>
      <c r="L1662" s="25" t="s">
        <v>68</v>
      </c>
      <c r="M1662" s="24">
        <v>35916</v>
      </c>
      <c r="N1662" s="24">
        <v>36831</v>
      </c>
      <c r="O1662" t="s">
        <v>26</v>
      </c>
      <c r="P1662" s="24">
        <v>35916</v>
      </c>
      <c r="Q1662" s="24">
        <v>36831</v>
      </c>
      <c r="R1662" t="s">
        <v>26</v>
      </c>
      <c r="S1662" t="s">
        <v>26</v>
      </c>
      <c r="T1662" t="s">
        <v>26</v>
      </c>
      <c r="U1662" t="s">
        <v>26</v>
      </c>
      <c r="V1662" t="s">
        <v>26</v>
      </c>
      <c r="W1662" s="24">
        <v>35916</v>
      </c>
      <c r="X1662" s="24">
        <v>36831</v>
      </c>
      <c r="Y1662" t="s">
        <v>26</v>
      </c>
      <c r="Z1662" s="24">
        <v>35916</v>
      </c>
      <c r="AA1662" s="24">
        <v>36831</v>
      </c>
      <c r="AB1662" t="s">
        <v>26</v>
      </c>
      <c r="AC1662" t="s">
        <v>26</v>
      </c>
      <c r="AD1662" t="s">
        <v>26</v>
      </c>
      <c r="AE1662" t="s">
        <v>26</v>
      </c>
      <c r="AF1662" t="s">
        <v>26</v>
      </c>
      <c r="AG1662" t="s">
        <v>26</v>
      </c>
      <c r="AH1662" t="s">
        <v>26</v>
      </c>
      <c r="AI1662" t="s">
        <v>26</v>
      </c>
      <c r="AJ1662" t="s">
        <v>26</v>
      </c>
      <c r="AK1662" t="s">
        <v>26</v>
      </c>
      <c r="AL1662" t="s">
        <v>26</v>
      </c>
      <c r="AM1662" t="s">
        <v>26</v>
      </c>
      <c r="AN1662" t="s">
        <v>26</v>
      </c>
      <c r="AO1662" s="25" t="s">
        <v>68</v>
      </c>
      <c r="AP1662" s="23" t="s">
        <v>69</v>
      </c>
      <c r="AQ1662" s="23" t="s">
        <v>30</v>
      </c>
      <c r="AR1662" s="23" t="s">
        <v>4325</v>
      </c>
      <c r="AS1662" s="25">
        <v>37368</v>
      </c>
      <c r="AT1662" t="s">
        <v>26</v>
      </c>
      <c r="AU1662" t="s">
        <v>24411</v>
      </c>
    </row>
    <row r="1663" spans="1:47" ht="26.25" x14ac:dyDescent="0.4">
      <c r="A1663" s="23" t="s">
        <v>4326</v>
      </c>
      <c r="B1663" t="s">
        <v>26</v>
      </c>
      <c r="C1663" s="23" t="s">
        <v>320</v>
      </c>
      <c r="D1663" s="23" t="s">
        <v>22599</v>
      </c>
      <c r="E1663" s="23" t="s">
        <v>42</v>
      </c>
      <c r="F1663" s="25" t="s">
        <v>4327</v>
      </c>
      <c r="G1663" t="s">
        <v>26</v>
      </c>
      <c r="H1663" t="s">
        <v>26</v>
      </c>
      <c r="I1663" t="s">
        <v>26</v>
      </c>
      <c r="J1663" t="s">
        <v>26</v>
      </c>
      <c r="K1663" t="s">
        <v>26</v>
      </c>
      <c r="L1663" s="25" t="s">
        <v>68</v>
      </c>
      <c r="M1663" t="s">
        <v>26</v>
      </c>
      <c r="N1663" t="s">
        <v>26</v>
      </c>
      <c r="O1663" t="s">
        <v>26</v>
      </c>
      <c r="P1663" t="s">
        <v>26</v>
      </c>
      <c r="Q1663" t="s">
        <v>26</v>
      </c>
      <c r="R1663" t="s">
        <v>26</v>
      </c>
      <c r="S1663" t="s">
        <v>26</v>
      </c>
      <c r="T1663" t="s">
        <v>26</v>
      </c>
      <c r="U1663" t="s">
        <v>26</v>
      </c>
      <c r="V1663" t="s">
        <v>26</v>
      </c>
      <c r="W1663" s="24">
        <v>40179</v>
      </c>
      <c r="X1663" s="24">
        <v>40452</v>
      </c>
      <c r="Y1663" t="s">
        <v>26</v>
      </c>
      <c r="Z1663" s="24">
        <v>40179</v>
      </c>
      <c r="AA1663" s="24">
        <v>40452</v>
      </c>
      <c r="AB1663" t="s">
        <v>26</v>
      </c>
      <c r="AC1663" s="24">
        <v>40179</v>
      </c>
      <c r="AD1663" s="24">
        <v>40452</v>
      </c>
      <c r="AE1663" t="s">
        <v>26</v>
      </c>
      <c r="AF1663" t="s">
        <v>26</v>
      </c>
      <c r="AG1663" t="s">
        <v>26</v>
      </c>
      <c r="AH1663" t="s">
        <v>26</v>
      </c>
      <c r="AI1663" t="s">
        <v>26</v>
      </c>
      <c r="AJ1663" t="s">
        <v>26</v>
      </c>
      <c r="AK1663" t="s">
        <v>26</v>
      </c>
      <c r="AL1663" t="s">
        <v>26</v>
      </c>
      <c r="AM1663" t="s">
        <v>26</v>
      </c>
      <c r="AN1663" t="s">
        <v>26</v>
      </c>
      <c r="AO1663" s="25" t="s">
        <v>68</v>
      </c>
      <c r="AP1663" s="23" t="s">
        <v>69</v>
      </c>
      <c r="AQ1663" s="23" t="s">
        <v>30</v>
      </c>
      <c r="AR1663" s="23" t="s">
        <v>1190</v>
      </c>
      <c r="AS1663" s="25">
        <v>196250</v>
      </c>
      <c r="AT1663" t="s">
        <v>26</v>
      </c>
      <c r="AU1663" t="s">
        <v>24412</v>
      </c>
    </row>
    <row r="1664" spans="1:47" ht="26.25" x14ac:dyDescent="0.4">
      <c r="A1664" s="23" t="s">
        <v>4328</v>
      </c>
      <c r="B1664" t="s">
        <v>26</v>
      </c>
      <c r="C1664" s="23" t="s">
        <v>320</v>
      </c>
      <c r="D1664" s="23" t="s">
        <v>22599</v>
      </c>
      <c r="E1664" s="23" t="s">
        <v>42</v>
      </c>
      <c r="F1664" t="s">
        <v>26</v>
      </c>
      <c r="G1664" s="25" t="s">
        <v>4329</v>
      </c>
      <c r="H1664" t="s">
        <v>26</v>
      </c>
      <c r="I1664" t="s">
        <v>26</v>
      </c>
      <c r="J1664" t="s">
        <v>26</v>
      </c>
      <c r="K1664" t="s">
        <v>26</v>
      </c>
      <c r="L1664" s="25" t="s">
        <v>68</v>
      </c>
      <c r="M1664" t="s">
        <v>26</v>
      </c>
      <c r="N1664" t="s">
        <v>26</v>
      </c>
      <c r="O1664" t="s">
        <v>26</v>
      </c>
      <c r="P1664" t="s">
        <v>26</v>
      </c>
      <c r="Q1664" t="s">
        <v>26</v>
      </c>
      <c r="R1664" t="s">
        <v>26</v>
      </c>
      <c r="S1664" t="s">
        <v>26</v>
      </c>
      <c r="T1664" t="s">
        <v>26</v>
      </c>
      <c r="U1664" t="s">
        <v>26</v>
      </c>
      <c r="V1664" t="s">
        <v>26</v>
      </c>
      <c r="W1664" s="24">
        <v>40544</v>
      </c>
      <c r="X1664" s="25" t="s">
        <v>77</v>
      </c>
      <c r="Y1664" t="s">
        <v>26</v>
      </c>
      <c r="Z1664" s="24">
        <v>40544</v>
      </c>
      <c r="AA1664" s="25" t="s">
        <v>77</v>
      </c>
      <c r="AB1664" t="s">
        <v>26</v>
      </c>
      <c r="AC1664" s="24">
        <v>40544</v>
      </c>
      <c r="AD1664" s="25" t="s">
        <v>77</v>
      </c>
      <c r="AE1664" t="s">
        <v>26</v>
      </c>
      <c r="AF1664" t="s">
        <v>26</v>
      </c>
      <c r="AG1664" t="s">
        <v>26</v>
      </c>
      <c r="AH1664" t="s">
        <v>26</v>
      </c>
      <c r="AI1664" t="s">
        <v>26</v>
      </c>
      <c r="AJ1664" t="s">
        <v>26</v>
      </c>
      <c r="AK1664" t="s">
        <v>26</v>
      </c>
      <c r="AL1664" t="s">
        <v>26</v>
      </c>
      <c r="AM1664" t="s">
        <v>26</v>
      </c>
      <c r="AN1664" t="s">
        <v>26</v>
      </c>
      <c r="AO1664" s="25" t="s">
        <v>68</v>
      </c>
      <c r="AP1664" s="23" t="s">
        <v>69</v>
      </c>
      <c r="AQ1664" s="23" t="s">
        <v>30</v>
      </c>
      <c r="AR1664" s="23" t="s">
        <v>1190</v>
      </c>
      <c r="AS1664" s="25">
        <v>2034148</v>
      </c>
      <c r="AT1664" t="s">
        <v>26</v>
      </c>
      <c r="AU1664" t="s">
        <v>24413</v>
      </c>
    </row>
    <row r="1665" spans="1:47" ht="26.25" x14ac:dyDescent="0.4">
      <c r="A1665" s="23" t="s">
        <v>4330</v>
      </c>
      <c r="B1665" t="s">
        <v>26</v>
      </c>
      <c r="C1665" s="23" t="s">
        <v>4331</v>
      </c>
      <c r="D1665" s="23" t="s">
        <v>22334</v>
      </c>
      <c r="E1665" s="23" t="s">
        <v>42</v>
      </c>
      <c r="F1665" s="25" t="s">
        <v>4332</v>
      </c>
      <c r="G1665" t="s">
        <v>26</v>
      </c>
      <c r="H1665" t="s">
        <v>26</v>
      </c>
      <c r="I1665" s="24">
        <v>41365</v>
      </c>
      <c r="J1665" s="24">
        <v>42826</v>
      </c>
      <c r="K1665" t="s">
        <v>26</v>
      </c>
      <c r="L1665" s="25" t="s">
        <v>68</v>
      </c>
      <c r="M1665" s="24">
        <v>41365</v>
      </c>
      <c r="N1665" s="24">
        <v>42826</v>
      </c>
      <c r="O1665" t="s">
        <v>26</v>
      </c>
      <c r="P1665" s="24">
        <v>41365</v>
      </c>
      <c r="Q1665" s="24">
        <v>42826</v>
      </c>
      <c r="R1665" t="s">
        <v>26</v>
      </c>
      <c r="S1665" t="s">
        <v>26</v>
      </c>
      <c r="T1665" t="s">
        <v>26</v>
      </c>
      <c r="U1665" t="s">
        <v>26</v>
      </c>
      <c r="V1665" t="s">
        <v>26</v>
      </c>
      <c r="W1665" s="24">
        <v>41365</v>
      </c>
      <c r="X1665" s="24">
        <v>42826</v>
      </c>
      <c r="Y1665" t="s">
        <v>26</v>
      </c>
      <c r="Z1665" s="24">
        <v>41365</v>
      </c>
      <c r="AA1665" s="24">
        <v>42826</v>
      </c>
      <c r="AB1665" t="s">
        <v>26</v>
      </c>
      <c r="AC1665" s="24">
        <v>41365</v>
      </c>
      <c r="AD1665" s="24">
        <v>42826</v>
      </c>
      <c r="AE1665" t="s">
        <v>26</v>
      </c>
      <c r="AF1665" t="s">
        <v>26</v>
      </c>
      <c r="AG1665" t="s">
        <v>26</v>
      </c>
      <c r="AH1665" t="s">
        <v>26</v>
      </c>
      <c r="AI1665" t="s">
        <v>26</v>
      </c>
      <c r="AJ1665" t="s">
        <v>26</v>
      </c>
      <c r="AK1665" t="s">
        <v>26</v>
      </c>
      <c r="AL1665" t="s">
        <v>26</v>
      </c>
      <c r="AM1665" t="s">
        <v>26</v>
      </c>
      <c r="AN1665" t="s">
        <v>26</v>
      </c>
      <c r="AO1665" s="25" t="s">
        <v>68</v>
      </c>
      <c r="AP1665" s="23" t="s">
        <v>69</v>
      </c>
      <c r="AQ1665" s="23" t="s">
        <v>30</v>
      </c>
      <c r="AR1665" s="23" t="s">
        <v>4333</v>
      </c>
      <c r="AS1665" s="25">
        <v>2031010</v>
      </c>
      <c r="AT1665" t="s">
        <v>26</v>
      </c>
      <c r="AU1665" t="s">
        <v>24414</v>
      </c>
    </row>
    <row r="1666" spans="1:47" ht="26.25" x14ac:dyDescent="0.4">
      <c r="A1666" s="23" t="s">
        <v>4334</v>
      </c>
      <c r="B1666" t="s">
        <v>26</v>
      </c>
      <c r="C1666" s="23" t="s">
        <v>264</v>
      </c>
      <c r="D1666" s="23" t="s">
        <v>24415</v>
      </c>
      <c r="E1666" s="23" t="s">
        <v>60</v>
      </c>
      <c r="F1666" s="25" t="s">
        <v>4335</v>
      </c>
      <c r="G1666" s="25" t="s">
        <v>4336</v>
      </c>
      <c r="H1666" t="s">
        <v>26</v>
      </c>
      <c r="I1666" s="24">
        <v>35796</v>
      </c>
      <c r="J1666" s="25" t="s">
        <v>77</v>
      </c>
      <c r="K1666" t="s">
        <v>26</v>
      </c>
      <c r="L1666" s="25" t="s">
        <v>68</v>
      </c>
      <c r="M1666" s="24">
        <v>35796</v>
      </c>
      <c r="N1666" s="25" t="s">
        <v>77</v>
      </c>
      <c r="O1666" t="s">
        <v>26</v>
      </c>
      <c r="P1666" s="24">
        <v>35796</v>
      </c>
      <c r="Q1666" s="25" t="s">
        <v>77</v>
      </c>
      <c r="R1666" s="25" t="s">
        <v>23126</v>
      </c>
      <c r="S1666" t="s">
        <v>26</v>
      </c>
      <c r="T1666" t="s">
        <v>26</v>
      </c>
      <c r="U1666" t="s">
        <v>26</v>
      </c>
      <c r="V1666" s="25">
        <v>365</v>
      </c>
      <c r="W1666" s="24">
        <v>35796</v>
      </c>
      <c r="X1666" s="25" t="s">
        <v>77</v>
      </c>
      <c r="Y1666" t="s">
        <v>26</v>
      </c>
      <c r="Z1666" s="24">
        <v>35796</v>
      </c>
      <c r="AA1666" s="25" t="s">
        <v>77</v>
      </c>
      <c r="AB1666" t="s">
        <v>26</v>
      </c>
      <c r="AC1666" s="24">
        <v>35796</v>
      </c>
      <c r="AD1666" s="25" t="s">
        <v>77</v>
      </c>
      <c r="AE1666" t="s">
        <v>26</v>
      </c>
      <c r="AF1666" t="s">
        <v>26</v>
      </c>
      <c r="AG1666" t="s">
        <v>26</v>
      </c>
      <c r="AH1666" t="s">
        <v>26</v>
      </c>
      <c r="AI1666" t="s">
        <v>26</v>
      </c>
      <c r="AJ1666" t="s">
        <v>26</v>
      </c>
      <c r="AK1666" t="s">
        <v>26</v>
      </c>
      <c r="AL1666" t="s">
        <v>26</v>
      </c>
      <c r="AM1666" t="s">
        <v>26</v>
      </c>
      <c r="AN1666" t="s">
        <v>26</v>
      </c>
      <c r="AO1666" s="25" t="s">
        <v>68</v>
      </c>
      <c r="AP1666" s="23" t="s">
        <v>69</v>
      </c>
      <c r="AQ1666" s="23" t="s">
        <v>30</v>
      </c>
      <c r="AR1666" s="23" t="s">
        <v>4337</v>
      </c>
      <c r="AS1666" s="25">
        <v>46957</v>
      </c>
      <c r="AT1666" t="s">
        <v>26</v>
      </c>
      <c r="AU1666" t="s">
        <v>24416</v>
      </c>
    </row>
    <row r="1667" spans="1:47" ht="26.25" x14ac:dyDescent="0.4">
      <c r="A1667" s="23" t="s">
        <v>24417</v>
      </c>
      <c r="B1667" t="s">
        <v>26</v>
      </c>
      <c r="C1667" s="23" t="s">
        <v>80</v>
      </c>
      <c r="D1667" s="23" t="s">
        <v>22190</v>
      </c>
      <c r="E1667" s="23" t="s">
        <v>60</v>
      </c>
      <c r="F1667" s="25" t="s">
        <v>24418</v>
      </c>
      <c r="G1667" s="25" t="s">
        <v>24419</v>
      </c>
      <c r="H1667" t="s">
        <v>26</v>
      </c>
      <c r="I1667" t="s">
        <v>26</v>
      </c>
      <c r="J1667" t="s">
        <v>26</v>
      </c>
      <c r="K1667" t="s">
        <v>26</v>
      </c>
      <c r="L1667" s="25" t="s">
        <v>68</v>
      </c>
      <c r="M1667" t="s">
        <v>26</v>
      </c>
      <c r="N1667" t="s">
        <v>26</v>
      </c>
      <c r="O1667" t="s">
        <v>26</v>
      </c>
      <c r="P1667" t="s">
        <v>26</v>
      </c>
      <c r="Q1667" t="s">
        <v>26</v>
      </c>
      <c r="R1667" t="s">
        <v>26</v>
      </c>
      <c r="S1667" t="s">
        <v>26</v>
      </c>
      <c r="T1667" t="s">
        <v>26</v>
      </c>
      <c r="U1667" t="s">
        <v>26</v>
      </c>
      <c r="V1667" t="s">
        <v>26</v>
      </c>
      <c r="W1667" s="24">
        <v>40179</v>
      </c>
      <c r="X1667" s="25" t="s">
        <v>77</v>
      </c>
      <c r="Y1667" t="s">
        <v>26</v>
      </c>
      <c r="Z1667" s="24">
        <v>40179</v>
      </c>
      <c r="AA1667" s="25" t="s">
        <v>77</v>
      </c>
      <c r="AB1667" t="s">
        <v>26</v>
      </c>
      <c r="AC1667" s="24">
        <v>40179</v>
      </c>
      <c r="AD1667" s="25" t="s">
        <v>77</v>
      </c>
      <c r="AE1667" t="s">
        <v>26</v>
      </c>
      <c r="AF1667" t="s">
        <v>26</v>
      </c>
      <c r="AG1667" t="s">
        <v>26</v>
      </c>
      <c r="AH1667" t="s">
        <v>26</v>
      </c>
      <c r="AI1667" t="s">
        <v>26</v>
      </c>
      <c r="AJ1667" t="s">
        <v>26</v>
      </c>
      <c r="AK1667" t="s">
        <v>26</v>
      </c>
      <c r="AL1667" t="s">
        <v>26</v>
      </c>
      <c r="AM1667" t="s">
        <v>26</v>
      </c>
      <c r="AN1667" t="s">
        <v>26</v>
      </c>
      <c r="AO1667" s="25" t="s">
        <v>68</v>
      </c>
      <c r="AP1667" s="23" t="s">
        <v>69</v>
      </c>
      <c r="AQ1667" t="s">
        <v>26</v>
      </c>
      <c r="AR1667" s="23" t="s">
        <v>23596</v>
      </c>
      <c r="AS1667" s="25">
        <v>186333</v>
      </c>
      <c r="AT1667" t="s">
        <v>26</v>
      </c>
      <c r="AU1667" t="s">
        <v>24420</v>
      </c>
    </row>
    <row r="1668" spans="1:47" ht="26.25" x14ac:dyDescent="0.4">
      <c r="A1668" s="23" t="s">
        <v>4338</v>
      </c>
      <c r="B1668" t="s">
        <v>26</v>
      </c>
      <c r="C1668" s="23" t="s">
        <v>107</v>
      </c>
      <c r="D1668" s="23" t="s">
        <v>22194</v>
      </c>
      <c r="E1668" s="23" t="s">
        <v>42</v>
      </c>
      <c r="F1668" s="25" t="s">
        <v>4339</v>
      </c>
      <c r="G1668" s="25" t="s">
        <v>4340</v>
      </c>
      <c r="H1668" t="s">
        <v>26</v>
      </c>
      <c r="I1668" t="s">
        <v>26</v>
      </c>
      <c r="J1668" t="s">
        <v>26</v>
      </c>
      <c r="K1668" t="s">
        <v>26</v>
      </c>
      <c r="L1668" s="25" t="s">
        <v>68</v>
      </c>
      <c r="M1668" t="s">
        <v>26</v>
      </c>
      <c r="N1668" t="s">
        <v>26</v>
      </c>
      <c r="O1668" t="s">
        <v>26</v>
      </c>
      <c r="P1668" t="s">
        <v>26</v>
      </c>
      <c r="Q1668" t="s">
        <v>26</v>
      </c>
      <c r="R1668" t="s">
        <v>26</v>
      </c>
      <c r="S1668" t="s">
        <v>26</v>
      </c>
      <c r="T1668" t="s">
        <v>26</v>
      </c>
      <c r="U1668" t="s">
        <v>26</v>
      </c>
      <c r="V1668" t="s">
        <v>26</v>
      </c>
      <c r="W1668" s="24">
        <v>35125</v>
      </c>
      <c r="X1668" s="25" t="s">
        <v>77</v>
      </c>
      <c r="Y1668" s="25" t="s">
        <v>4341</v>
      </c>
      <c r="Z1668" s="24">
        <v>35125</v>
      </c>
      <c r="AA1668" s="25" t="s">
        <v>77</v>
      </c>
      <c r="AB1668" s="25" t="s">
        <v>24421</v>
      </c>
      <c r="AC1668" s="24">
        <v>35125</v>
      </c>
      <c r="AD1668" s="25" t="s">
        <v>77</v>
      </c>
      <c r="AE1668" s="25" t="s">
        <v>4341</v>
      </c>
      <c r="AF1668" t="s">
        <v>26</v>
      </c>
      <c r="AG1668" t="s">
        <v>26</v>
      </c>
      <c r="AH1668" t="s">
        <v>26</v>
      </c>
      <c r="AI1668" t="s">
        <v>26</v>
      </c>
      <c r="AJ1668" t="s">
        <v>26</v>
      </c>
      <c r="AK1668" t="s">
        <v>26</v>
      </c>
      <c r="AL1668" t="s">
        <v>26</v>
      </c>
      <c r="AM1668" t="s">
        <v>26</v>
      </c>
      <c r="AN1668" t="s">
        <v>26</v>
      </c>
      <c r="AO1668" s="25" t="s">
        <v>68</v>
      </c>
      <c r="AP1668" s="23" t="s">
        <v>69</v>
      </c>
      <c r="AQ1668" s="23" t="s">
        <v>30</v>
      </c>
      <c r="AR1668" s="23" t="s">
        <v>257</v>
      </c>
      <c r="AS1668" s="25">
        <v>31929</v>
      </c>
      <c r="AT1668" t="s">
        <v>26</v>
      </c>
      <c r="AU1668" t="s">
        <v>24422</v>
      </c>
    </row>
    <row r="1669" spans="1:47" ht="26.25" x14ac:dyDescent="0.4">
      <c r="A1669" s="23" t="s">
        <v>4342</v>
      </c>
      <c r="B1669" t="s">
        <v>26</v>
      </c>
      <c r="C1669" s="23" t="s">
        <v>181</v>
      </c>
      <c r="D1669" s="23" t="s">
        <v>24423</v>
      </c>
      <c r="E1669" s="23" t="s">
        <v>60</v>
      </c>
      <c r="F1669" s="25" t="s">
        <v>4343</v>
      </c>
      <c r="G1669" s="25" t="s">
        <v>4344</v>
      </c>
      <c r="H1669" t="s">
        <v>26</v>
      </c>
      <c r="I1669" s="24">
        <v>35796</v>
      </c>
      <c r="J1669" s="24">
        <v>39173</v>
      </c>
      <c r="K1669" t="s">
        <v>26</v>
      </c>
      <c r="L1669" s="25" t="s">
        <v>68</v>
      </c>
      <c r="M1669" s="24">
        <v>37257</v>
      </c>
      <c r="N1669" s="24">
        <v>39173</v>
      </c>
      <c r="O1669" t="s">
        <v>26</v>
      </c>
      <c r="P1669" s="24">
        <v>35796</v>
      </c>
      <c r="Q1669" s="24">
        <v>39173</v>
      </c>
      <c r="R1669" t="s">
        <v>26</v>
      </c>
      <c r="S1669" t="s">
        <v>26</v>
      </c>
      <c r="T1669" t="s">
        <v>26</v>
      </c>
      <c r="U1669" t="s">
        <v>26</v>
      </c>
      <c r="V1669" t="s">
        <v>26</v>
      </c>
      <c r="W1669" s="24">
        <v>34394</v>
      </c>
      <c r="X1669" s="25" t="s">
        <v>77</v>
      </c>
      <c r="Y1669" t="s">
        <v>26</v>
      </c>
      <c r="Z1669" s="24">
        <v>34394</v>
      </c>
      <c r="AA1669" s="25" t="s">
        <v>77</v>
      </c>
      <c r="AB1669" t="s">
        <v>26</v>
      </c>
      <c r="AC1669" s="24">
        <v>34394</v>
      </c>
      <c r="AD1669" s="25" t="s">
        <v>77</v>
      </c>
      <c r="AE1669" t="s">
        <v>26</v>
      </c>
      <c r="AF1669" t="s">
        <v>26</v>
      </c>
      <c r="AG1669" t="s">
        <v>26</v>
      </c>
      <c r="AH1669" t="s">
        <v>26</v>
      </c>
      <c r="AI1669" t="s">
        <v>26</v>
      </c>
      <c r="AJ1669" t="s">
        <v>26</v>
      </c>
      <c r="AK1669" t="s">
        <v>26</v>
      </c>
      <c r="AL1669" t="s">
        <v>26</v>
      </c>
      <c r="AM1669" t="s">
        <v>26</v>
      </c>
      <c r="AN1669" t="s">
        <v>26</v>
      </c>
      <c r="AO1669" s="25" t="s">
        <v>68</v>
      </c>
      <c r="AP1669" s="23" t="s">
        <v>69</v>
      </c>
      <c r="AQ1669" s="23" t="s">
        <v>30</v>
      </c>
      <c r="AR1669" s="23" t="s">
        <v>128</v>
      </c>
      <c r="AS1669" s="25">
        <v>27332</v>
      </c>
      <c r="AT1669" t="s">
        <v>26</v>
      </c>
      <c r="AU1669" t="s">
        <v>24424</v>
      </c>
    </row>
    <row r="1670" spans="1:47" ht="26.25" x14ac:dyDescent="0.4">
      <c r="A1670" s="23" t="s">
        <v>4345</v>
      </c>
      <c r="B1670" t="s">
        <v>26</v>
      </c>
      <c r="C1670" s="23" t="s">
        <v>4346</v>
      </c>
      <c r="D1670" s="23" t="s">
        <v>24425</v>
      </c>
      <c r="E1670" s="23" t="s">
        <v>42</v>
      </c>
      <c r="F1670" t="s">
        <v>26</v>
      </c>
      <c r="G1670" s="25" t="s">
        <v>4347</v>
      </c>
      <c r="H1670" t="s">
        <v>26</v>
      </c>
      <c r="I1670" s="24">
        <v>39722</v>
      </c>
      <c r="J1670" s="25" t="s">
        <v>77</v>
      </c>
      <c r="K1670" t="s">
        <v>26</v>
      </c>
      <c r="L1670" s="25" t="s">
        <v>68</v>
      </c>
      <c r="M1670" s="24">
        <v>39722</v>
      </c>
      <c r="N1670" s="25" t="s">
        <v>77</v>
      </c>
      <c r="O1670" t="s">
        <v>26</v>
      </c>
      <c r="P1670" s="24">
        <v>39722</v>
      </c>
      <c r="Q1670" s="25" t="s">
        <v>77</v>
      </c>
      <c r="R1670" t="s">
        <v>26</v>
      </c>
      <c r="S1670" t="s">
        <v>26</v>
      </c>
      <c r="T1670" t="s">
        <v>26</v>
      </c>
      <c r="U1670" t="s">
        <v>26</v>
      </c>
      <c r="V1670" t="s">
        <v>26</v>
      </c>
      <c r="W1670" s="24">
        <v>39722</v>
      </c>
      <c r="X1670" s="25" t="s">
        <v>77</v>
      </c>
      <c r="Y1670" t="s">
        <v>26</v>
      </c>
      <c r="Z1670" s="24">
        <v>39722</v>
      </c>
      <c r="AA1670" s="25" t="s">
        <v>77</v>
      </c>
      <c r="AB1670" t="s">
        <v>26</v>
      </c>
      <c r="AC1670" s="24">
        <v>39722</v>
      </c>
      <c r="AD1670" s="25" t="s">
        <v>77</v>
      </c>
      <c r="AE1670" t="s">
        <v>26</v>
      </c>
      <c r="AF1670" t="s">
        <v>26</v>
      </c>
      <c r="AG1670" t="s">
        <v>26</v>
      </c>
      <c r="AH1670" t="s">
        <v>26</v>
      </c>
      <c r="AI1670" t="s">
        <v>26</v>
      </c>
      <c r="AJ1670" t="s">
        <v>26</v>
      </c>
      <c r="AK1670" t="s">
        <v>26</v>
      </c>
      <c r="AL1670" t="s">
        <v>26</v>
      </c>
      <c r="AM1670" t="s">
        <v>26</v>
      </c>
      <c r="AN1670" t="s">
        <v>26</v>
      </c>
      <c r="AO1670" s="25" t="s">
        <v>68</v>
      </c>
      <c r="AP1670" s="23" t="s">
        <v>69</v>
      </c>
      <c r="AQ1670" s="23" t="s">
        <v>30</v>
      </c>
      <c r="AR1670" s="23" t="s">
        <v>128</v>
      </c>
      <c r="AS1670" s="25">
        <v>39006</v>
      </c>
      <c r="AT1670" t="s">
        <v>26</v>
      </c>
      <c r="AU1670" t="s">
        <v>24426</v>
      </c>
    </row>
    <row r="1671" spans="1:47" ht="26.25" x14ac:dyDescent="0.4">
      <c r="A1671" s="23" t="s">
        <v>4348</v>
      </c>
      <c r="B1671" t="s">
        <v>26</v>
      </c>
      <c r="C1671" s="23" t="s">
        <v>107</v>
      </c>
      <c r="D1671" s="23" t="s">
        <v>22312</v>
      </c>
      <c r="E1671" s="23" t="s">
        <v>42</v>
      </c>
      <c r="F1671" s="25" t="s">
        <v>4349</v>
      </c>
      <c r="G1671" s="25" t="s">
        <v>4350</v>
      </c>
      <c r="H1671" t="s">
        <v>26</v>
      </c>
      <c r="I1671" s="24">
        <v>35551</v>
      </c>
      <c r="J1671" s="24">
        <v>40299</v>
      </c>
      <c r="K1671" t="s">
        <v>26</v>
      </c>
      <c r="L1671" s="25" t="s">
        <v>68</v>
      </c>
      <c r="M1671" s="24">
        <v>35551</v>
      </c>
      <c r="N1671" s="24">
        <v>39753</v>
      </c>
      <c r="O1671" t="s">
        <v>26</v>
      </c>
      <c r="P1671" s="24">
        <v>35551</v>
      </c>
      <c r="Q1671" s="24">
        <v>40299</v>
      </c>
      <c r="R1671" t="s">
        <v>26</v>
      </c>
      <c r="S1671" t="s">
        <v>26</v>
      </c>
      <c r="T1671" t="s">
        <v>26</v>
      </c>
      <c r="U1671" t="s">
        <v>26</v>
      </c>
      <c r="V1671" t="s">
        <v>26</v>
      </c>
      <c r="W1671" s="24">
        <v>27791</v>
      </c>
      <c r="X1671" s="25" t="s">
        <v>77</v>
      </c>
      <c r="Y1671" t="s">
        <v>26</v>
      </c>
      <c r="Z1671" s="24">
        <v>27791</v>
      </c>
      <c r="AA1671" s="25" t="s">
        <v>77</v>
      </c>
      <c r="AB1671" t="s">
        <v>26</v>
      </c>
      <c r="AC1671" s="24">
        <v>35551</v>
      </c>
      <c r="AD1671" s="25" t="s">
        <v>77</v>
      </c>
      <c r="AE1671" t="s">
        <v>26</v>
      </c>
      <c r="AF1671" t="s">
        <v>26</v>
      </c>
      <c r="AG1671" t="s">
        <v>26</v>
      </c>
      <c r="AH1671" t="s">
        <v>26</v>
      </c>
      <c r="AI1671" t="s">
        <v>26</v>
      </c>
      <c r="AJ1671" t="s">
        <v>26</v>
      </c>
      <c r="AK1671" t="s">
        <v>26</v>
      </c>
      <c r="AL1671" t="s">
        <v>26</v>
      </c>
      <c r="AM1671" t="s">
        <v>26</v>
      </c>
      <c r="AN1671" t="s">
        <v>26</v>
      </c>
      <c r="AO1671" s="25" t="s">
        <v>68</v>
      </c>
      <c r="AP1671" s="23" t="s">
        <v>69</v>
      </c>
      <c r="AQ1671" s="23" t="s">
        <v>30</v>
      </c>
      <c r="AR1671" s="23" t="s">
        <v>4351</v>
      </c>
      <c r="AS1671" s="25">
        <v>36290</v>
      </c>
      <c r="AT1671" t="s">
        <v>26</v>
      </c>
      <c r="AU1671" t="s">
        <v>24427</v>
      </c>
    </row>
    <row r="1672" spans="1:47" ht="26.25" x14ac:dyDescent="0.4">
      <c r="A1672" s="23" t="s">
        <v>4352</v>
      </c>
      <c r="B1672" t="s">
        <v>26</v>
      </c>
      <c r="C1672" s="23" t="s">
        <v>80</v>
      </c>
      <c r="D1672" s="23" t="s">
        <v>22265</v>
      </c>
      <c r="E1672" s="23" t="s">
        <v>60</v>
      </c>
      <c r="F1672" s="25" t="s">
        <v>4353</v>
      </c>
      <c r="G1672" s="25" t="s">
        <v>4354</v>
      </c>
      <c r="H1672" t="s">
        <v>26</v>
      </c>
      <c r="I1672" s="24">
        <v>34335</v>
      </c>
      <c r="J1672" s="24">
        <v>44124</v>
      </c>
      <c r="K1672" s="25" t="s">
        <v>859</v>
      </c>
      <c r="L1672" s="25" t="s">
        <v>68</v>
      </c>
      <c r="M1672" s="24">
        <v>34335</v>
      </c>
      <c r="N1672" s="24">
        <v>44124</v>
      </c>
      <c r="O1672" s="25" t="s">
        <v>859</v>
      </c>
      <c r="P1672" s="24">
        <v>35065</v>
      </c>
      <c r="Q1672" s="24">
        <v>44124</v>
      </c>
      <c r="R1672" s="25" t="s">
        <v>859</v>
      </c>
      <c r="S1672" t="s">
        <v>26</v>
      </c>
      <c r="T1672" t="s">
        <v>26</v>
      </c>
      <c r="U1672" t="s">
        <v>26</v>
      </c>
      <c r="V1672" t="s">
        <v>26</v>
      </c>
      <c r="W1672" s="24">
        <v>32509</v>
      </c>
      <c r="X1672" s="25" t="s">
        <v>77</v>
      </c>
      <c r="Y1672" s="25" t="s">
        <v>859</v>
      </c>
      <c r="Z1672" s="24">
        <v>32509</v>
      </c>
      <c r="AA1672" s="25" t="s">
        <v>77</v>
      </c>
      <c r="AB1672" s="25" t="s">
        <v>859</v>
      </c>
      <c r="AC1672" s="24">
        <v>32509</v>
      </c>
      <c r="AD1672" s="25" t="s">
        <v>77</v>
      </c>
      <c r="AE1672" s="25" t="s">
        <v>859</v>
      </c>
      <c r="AF1672" t="s">
        <v>26</v>
      </c>
      <c r="AG1672" t="s">
        <v>26</v>
      </c>
      <c r="AH1672" t="s">
        <v>26</v>
      </c>
      <c r="AI1672" t="s">
        <v>26</v>
      </c>
      <c r="AJ1672" t="s">
        <v>26</v>
      </c>
      <c r="AK1672" t="s">
        <v>26</v>
      </c>
      <c r="AL1672" t="s">
        <v>26</v>
      </c>
      <c r="AM1672" t="s">
        <v>26</v>
      </c>
      <c r="AN1672" t="s">
        <v>26</v>
      </c>
      <c r="AO1672" s="25" t="s">
        <v>68</v>
      </c>
      <c r="AP1672" s="23" t="s">
        <v>69</v>
      </c>
      <c r="AQ1672" s="23" t="s">
        <v>30</v>
      </c>
      <c r="AR1672" s="23" t="s">
        <v>4355</v>
      </c>
      <c r="AS1672" s="25">
        <v>34631</v>
      </c>
      <c r="AT1672" t="s">
        <v>26</v>
      </c>
      <c r="AU1672" t="s">
        <v>24428</v>
      </c>
    </row>
    <row r="1673" spans="1:47" ht="26.25" x14ac:dyDescent="0.4">
      <c r="A1673" s="23" t="s">
        <v>4356</v>
      </c>
      <c r="B1673" t="s">
        <v>26</v>
      </c>
      <c r="C1673" s="23" t="s">
        <v>1958</v>
      </c>
      <c r="D1673" s="23" t="s">
        <v>22184</v>
      </c>
      <c r="E1673" s="23" t="s">
        <v>60</v>
      </c>
      <c r="F1673" s="25" t="s">
        <v>4357</v>
      </c>
      <c r="G1673" s="25" t="s">
        <v>4358</v>
      </c>
      <c r="H1673" t="s">
        <v>26</v>
      </c>
      <c r="I1673" t="s">
        <v>26</v>
      </c>
      <c r="J1673" t="s">
        <v>26</v>
      </c>
      <c r="K1673" t="s">
        <v>26</v>
      </c>
      <c r="L1673" s="25" t="s">
        <v>68</v>
      </c>
      <c r="M1673" t="s">
        <v>26</v>
      </c>
      <c r="N1673" t="s">
        <v>26</v>
      </c>
      <c r="O1673" t="s">
        <v>26</v>
      </c>
      <c r="P1673" t="s">
        <v>26</v>
      </c>
      <c r="Q1673" t="s">
        <v>26</v>
      </c>
      <c r="R1673" t="s">
        <v>26</v>
      </c>
      <c r="S1673" t="s">
        <v>26</v>
      </c>
      <c r="T1673" t="s">
        <v>26</v>
      </c>
      <c r="U1673" t="s">
        <v>26</v>
      </c>
      <c r="V1673" t="s">
        <v>26</v>
      </c>
      <c r="W1673" s="24">
        <v>35520</v>
      </c>
      <c r="X1673" s="25" t="s">
        <v>77</v>
      </c>
      <c r="Y1673" t="s">
        <v>26</v>
      </c>
      <c r="Z1673" s="24">
        <v>35520</v>
      </c>
      <c r="AA1673" s="25" t="s">
        <v>77</v>
      </c>
      <c r="AB1673" t="s">
        <v>26</v>
      </c>
      <c r="AC1673" s="24">
        <v>35520</v>
      </c>
      <c r="AD1673" s="25" t="s">
        <v>77</v>
      </c>
      <c r="AE1673" t="s">
        <v>26</v>
      </c>
      <c r="AF1673" t="s">
        <v>26</v>
      </c>
      <c r="AG1673" t="s">
        <v>26</v>
      </c>
      <c r="AH1673" t="s">
        <v>26</v>
      </c>
      <c r="AI1673" t="s">
        <v>26</v>
      </c>
      <c r="AJ1673" t="s">
        <v>26</v>
      </c>
      <c r="AK1673" t="s">
        <v>26</v>
      </c>
      <c r="AL1673" t="s">
        <v>26</v>
      </c>
      <c r="AM1673" t="s">
        <v>26</v>
      </c>
      <c r="AN1673" t="s">
        <v>26</v>
      </c>
      <c r="AO1673" s="25" t="s">
        <v>68</v>
      </c>
      <c r="AP1673" s="23" t="s">
        <v>69</v>
      </c>
      <c r="AQ1673" s="23" t="s">
        <v>30</v>
      </c>
      <c r="AR1673" s="23" t="s">
        <v>23596</v>
      </c>
      <c r="AS1673" s="25">
        <v>45427</v>
      </c>
      <c r="AT1673" t="s">
        <v>26</v>
      </c>
      <c r="AU1673" t="s">
        <v>24429</v>
      </c>
    </row>
    <row r="1674" spans="1:47" ht="26.25" x14ac:dyDescent="0.4">
      <c r="A1674" s="23" t="s">
        <v>4359</v>
      </c>
      <c r="B1674" t="s">
        <v>26</v>
      </c>
      <c r="C1674" s="23" t="s">
        <v>107</v>
      </c>
      <c r="D1674" s="23" t="s">
        <v>22194</v>
      </c>
      <c r="E1674" s="23" t="s">
        <v>42</v>
      </c>
      <c r="F1674" s="25" t="s">
        <v>4360</v>
      </c>
      <c r="G1674" s="25" t="s">
        <v>4361</v>
      </c>
      <c r="H1674" t="s">
        <v>26</v>
      </c>
      <c r="I1674" t="s">
        <v>26</v>
      </c>
      <c r="J1674" t="s">
        <v>26</v>
      </c>
      <c r="K1674" t="s">
        <v>26</v>
      </c>
      <c r="L1674" s="25" t="s">
        <v>68</v>
      </c>
      <c r="M1674" t="s">
        <v>26</v>
      </c>
      <c r="N1674" t="s">
        <v>26</v>
      </c>
      <c r="O1674" t="s">
        <v>26</v>
      </c>
      <c r="P1674" t="s">
        <v>26</v>
      </c>
      <c r="Q1674" t="s">
        <v>26</v>
      </c>
      <c r="R1674" t="s">
        <v>26</v>
      </c>
      <c r="S1674" t="s">
        <v>26</v>
      </c>
      <c r="T1674" t="s">
        <v>26</v>
      </c>
      <c r="U1674" t="s">
        <v>26</v>
      </c>
      <c r="V1674" t="s">
        <v>26</v>
      </c>
      <c r="W1674" s="24">
        <v>35855</v>
      </c>
      <c r="X1674" s="25" t="s">
        <v>77</v>
      </c>
      <c r="Y1674" t="s">
        <v>26</v>
      </c>
      <c r="Z1674" s="24">
        <v>35855</v>
      </c>
      <c r="AA1674" s="25" t="s">
        <v>77</v>
      </c>
      <c r="AB1674" t="s">
        <v>26</v>
      </c>
      <c r="AC1674" s="24">
        <v>35855</v>
      </c>
      <c r="AD1674" s="25" t="s">
        <v>77</v>
      </c>
      <c r="AE1674" t="s">
        <v>26</v>
      </c>
      <c r="AF1674" t="s">
        <v>26</v>
      </c>
      <c r="AG1674" t="s">
        <v>26</v>
      </c>
      <c r="AH1674" t="s">
        <v>26</v>
      </c>
      <c r="AI1674" t="s">
        <v>26</v>
      </c>
      <c r="AJ1674" t="s">
        <v>26</v>
      </c>
      <c r="AK1674" t="s">
        <v>26</v>
      </c>
      <c r="AL1674" t="s">
        <v>26</v>
      </c>
      <c r="AM1674" t="s">
        <v>26</v>
      </c>
      <c r="AN1674" t="s">
        <v>26</v>
      </c>
      <c r="AO1674" s="25" t="s">
        <v>68</v>
      </c>
      <c r="AP1674" s="23" t="s">
        <v>69</v>
      </c>
      <c r="AQ1674" s="23" t="s">
        <v>30</v>
      </c>
      <c r="AR1674" s="23" t="s">
        <v>3231</v>
      </c>
      <c r="AS1674" s="25">
        <v>6034</v>
      </c>
      <c r="AT1674" t="s">
        <v>26</v>
      </c>
      <c r="AU1674" t="s">
        <v>24430</v>
      </c>
    </row>
    <row r="1675" spans="1:47" ht="26.25" x14ac:dyDescent="0.4">
      <c r="A1675" s="23" t="s">
        <v>4362</v>
      </c>
      <c r="B1675" t="s">
        <v>26</v>
      </c>
      <c r="C1675" s="23" t="s">
        <v>4363</v>
      </c>
      <c r="D1675" s="23" t="s">
        <v>24431</v>
      </c>
      <c r="E1675" s="23" t="s">
        <v>60</v>
      </c>
      <c r="F1675" s="25" t="s">
        <v>4364</v>
      </c>
      <c r="G1675" s="25" t="s">
        <v>4365</v>
      </c>
      <c r="H1675" t="s">
        <v>26</v>
      </c>
      <c r="I1675" t="s">
        <v>26</v>
      </c>
      <c r="J1675" t="s">
        <v>26</v>
      </c>
      <c r="K1675" t="s">
        <v>26</v>
      </c>
      <c r="L1675" s="25" t="s">
        <v>68</v>
      </c>
      <c r="M1675" t="s">
        <v>26</v>
      </c>
      <c r="N1675" t="s">
        <v>26</v>
      </c>
      <c r="O1675" t="s">
        <v>26</v>
      </c>
      <c r="P1675" t="s">
        <v>26</v>
      </c>
      <c r="Q1675" t="s">
        <v>26</v>
      </c>
      <c r="R1675" t="s">
        <v>26</v>
      </c>
      <c r="S1675" t="s">
        <v>26</v>
      </c>
      <c r="T1675" t="s">
        <v>26</v>
      </c>
      <c r="U1675" t="s">
        <v>26</v>
      </c>
      <c r="V1675" t="s">
        <v>26</v>
      </c>
      <c r="W1675" s="24">
        <v>39203</v>
      </c>
      <c r="X1675" s="25" t="s">
        <v>77</v>
      </c>
      <c r="Y1675" t="s">
        <v>26</v>
      </c>
      <c r="Z1675" s="24">
        <v>39203</v>
      </c>
      <c r="AA1675" s="25" t="s">
        <v>77</v>
      </c>
      <c r="AB1675" t="s">
        <v>26</v>
      </c>
      <c r="AC1675" s="24">
        <v>39203</v>
      </c>
      <c r="AD1675" s="25" t="s">
        <v>77</v>
      </c>
      <c r="AE1675" t="s">
        <v>26</v>
      </c>
      <c r="AF1675" t="s">
        <v>26</v>
      </c>
      <c r="AG1675" t="s">
        <v>26</v>
      </c>
      <c r="AH1675" t="s">
        <v>26</v>
      </c>
      <c r="AI1675" t="s">
        <v>26</v>
      </c>
      <c r="AJ1675" t="s">
        <v>26</v>
      </c>
      <c r="AK1675" t="s">
        <v>26</v>
      </c>
      <c r="AL1675" t="s">
        <v>26</v>
      </c>
      <c r="AM1675" t="s">
        <v>26</v>
      </c>
      <c r="AN1675" t="s">
        <v>26</v>
      </c>
      <c r="AO1675" s="25" t="s">
        <v>68</v>
      </c>
      <c r="AP1675" s="23" t="s">
        <v>69</v>
      </c>
      <c r="AQ1675" s="23" t="s">
        <v>30</v>
      </c>
      <c r="AR1675" s="23" t="s">
        <v>569</v>
      </c>
      <c r="AS1675" s="25">
        <v>76074</v>
      </c>
      <c r="AT1675" t="s">
        <v>26</v>
      </c>
      <c r="AU1675" t="s">
        <v>24432</v>
      </c>
    </row>
    <row r="1676" spans="1:47" ht="26.25" x14ac:dyDescent="0.4">
      <c r="A1676" s="23" t="s">
        <v>4366</v>
      </c>
      <c r="B1676" t="s">
        <v>26</v>
      </c>
      <c r="C1676" s="23" t="s">
        <v>80</v>
      </c>
      <c r="D1676" s="23" t="s">
        <v>22184</v>
      </c>
      <c r="E1676" s="23" t="s">
        <v>60</v>
      </c>
      <c r="F1676" s="25" t="s">
        <v>4367</v>
      </c>
      <c r="G1676" s="25" t="s">
        <v>4368</v>
      </c>
      <c r="H1676" t="s">
        <v>26</v>
      </c>
      <c r="I1676" t="s">
        <v>26</v>
      </c>
      <c r="J1676" t="s">
        <v>26</v>
      </c>
      <c r="K1676" t="s">
        <v>26</v>
      </c>
      <c r="L1676" s="25" t="s">
        <v>68</v>
      </c>
      <c r="M1676" t="s">
        <v>26</v>
      </c>
      <c r="N1676" t="s">
        <v>26</v>
      </c>
      <c r="O1676" t="s">
        <v>26</v>
      </c>
      <c r="P1676" t="s">
        <v>26</v>
      </c>
      <c r="Q1676" t="s">
        <v>26</v>
      </c>
      <c r="R1676" t="s">
        <v>26</v>
      </c>
      <c r="S1676" t="s">
        <v>26</v>
      </c>
      <c r="T1676" t="s">
        <v>26</v>
      </c>
      <c r="U1676" t="s">
        <v>26</v>
      </c>
      <c r="V1676" t="s">
        <v>26</v>
      </c>
      <c r="W1676" s="24">
        <v>40179</v>
      </c>
      <c r="X1676" s="25" t="s">
        <v>77</v>
      </c>
      <c r="Y1676" t="s">
        <v>26</v>
      </c>
      <c r="Z1676" s="24">
        <v>40179</v>
      </c>
      <c r="AA1676" s="25" t="s">
        <v>77</v>
      </c>
      <c r="AB1676" t="s">
        <v>26</v>
      </c>
      <c r="AC1676" s="24">
        <v>40179</v>
      </c>
      <c r="AD1676" s="25" t="s">
        <v>77</v>
      </c>
      <c r="AE1676" t="s">
        <v>26</v>
      </c>
      <c r="AF1676" t="s">
        <v>26</v>
      </c>
      <c r="AG1676" t="s">
        <v>26</v>
      </c>
      <c r="AH1676" t="s">
        <v>26</v>
      </c>
      <c r="AI1676" t="s">
        <v>26</v>
      </c>
      <c r="AJ1676" t="s">
        <v>26</v>
      </c>
      <c r="AK1676" t="s">
        <v>26</v>
      </c>
      <c r="AL1676" t="s">
        <v>26</v>
      </c>
      <c r="AM1676" t="s">
        <v>26</v>
      </c>
      <c r="AN1676" t="s">
        <v>26</v>
      </c>
      <c r="AO1676" s="25" t="s">
        <v>68</v>
      </c>
      <c r="AP1676" s="23" t="s">
        <v>69</v>
      </c>
      <c r="AQ1676" s="23" t="s">
        <v>30</v>
      </c>
      <c r="AR1676" s="23" t="s">
        <v>46</v>
      </c>
      <c r="AS1676" s="25">
        <v>186330</v>
      </c>
      <c r="AT1676" t="s">
        <v>26</v>
      </c>
      <c r="AU1676" t="s">
        <v>24433</v>
      </c>
    </row>
    <row r="1677" spans="1:47" ht="26.25" x14ac:dyDescent="0.4">
      <c r="A1677" s="23" t="s">
        <v>4369</v>
      </c>
      <c r="B1677" t="s">
        <v>26</v>
      </c>
      <c r="C1677" s="23" t="s">
        <v>264</v>
      </c>
      <c r="D1677" s="23" t="s">
        <v>23125</v>
      </c>
      <c r="E1677" s="23" t="s">
        <v>60</v>
      </c>
      <c r="F1677" s="25" t="s">
        <v>4370</v>
      </c>
      <c r="G1677" s="25" t="s">
        <v>4371</v>
      </c>
      <c r="H1677" t="s">
        <v>26</v>
      </c>
      <c r="I1677" s="24">
        <v>33604</v>
      </c>
      <c r="J1677" s="25" t="s">
        <v>77</v>
      </c>
      <c r="K1677" t="s">
        <v>26</v>
      </c>
      <c r="L1677" s="25" t="s">
        <v>68</v>
      </c>
      <c r="M1677" s="24">
        <v>33604</v>
      </c>
      <c r="N1677" s="25" t="s">
        <v>77</v>
      </c>
      <c r="O1677" t="s">
        <v>26</v>
      </c>
      <c r="P1677" s="24">
        <v>36526</v>
      </c>
      <c r="Q1677" s="25" t="s">
        <v>77</v>
      </c>
      <c r="R1677" t="s">
        <v>26</v>
      </c>
      <c r="S1677" t="s">
        <v>26</v>
      </c>
      <c r="T1677" t="s">
        <v>26</v>
      </c>
      <c r="U1677" t="s">
        <v>26</v>
      </c>
      <c r="V1677" s="25">
        <v>365</v>
      </c>
      <c r="W1677" s="24">
        <v>30317</v>
      </c>
      <c r="X1677" s="25" t="s">
        <v>77</v>
      </c>
      <c r="Y1677" t="s">
        <v>26</v>
      </c>
      <c r="Z1677" s="24">
        <v>30317</v>
      </c>
      <c r="AA1677" s="25" t="s">
        <v>77</v>
      </c>
      <c r="AB1677" t="s">
        <v>26</v>
      </c>
      <c r="AC1677" s="24">
        <v>30317</v>
      </c>
      <c r="AD1677" s="25" t="s">
        <v>77</v>
      </c>
      <c r="AE1677" t="s">
        <v>26</v>
      </c>
      <c r="AF1677" t="s">
        <v>26</v>
      </c>
      <c r="AG1677" t="s">
        <v>26</v>
      </c>
      <c r="AH1677" t="s">
        <v>26</v>
      </c>
      <c r="AI1677" t="s">
        <v>26</v>
      </c>
      <c r="AJ1677" t="s">
        <v>26</v>
      </c>
      <c r="AK1677" t="s">
        <v>26</v>
      </c>
      <c r="AL1677" t="s">
        <v>26</v>
      </c>
      <c r="AM1677" t="s">
        <v>26</v>
      </c>
      <c r="AN1677" t="s">
        <v>26</v>
      </c>
      <c r="AO1677" s="25" t="s">
        <v>68</v>
      </c>
      <c r="AP1677" s="23" t="s">
        <v>69</v>
      </c>
      <c r="AQ1677" s="23" t="s">
        <v>30</v>
      </c>
      <c r="AR1677" s="23" t="s">
        <v>128</v>
      </c>
      <c r="AS1677" s="25">
        <v>37225</v>
      </c>
      <c r="AT1677" t="s">
        <v>26</v>
      </c>
      <c r="AU1677" t="s">
        <v>24434</v>
      </c>
    </row>
    <row r="1678" spans="1:47" ht="26.25" x14ac:dyDescent="0.4">
      <c r="A1678" s="23" t="s">
        <v>4372</v>
      </c>
      <c r="B1678" t="s">
        <v>26</v>
      </c>
      <c r="C1678" s="23" t="s">
        <v>4373</v>
      </c>
      <c r="D1678" s="23" t="s">
        <v>24435</v>
      </c>
      <c r="E1678" s="23" t="s">
        <v>822</v>
      </c>
      <c r="F1678" s="25" t="s">
        <v>4374</v>
      </c>
      <c r="G1678" s="25" t="s">
        <v>4375</v>
      </c>
      <c r="H1678" t="s">
        <v>26</v>
      </c>
      <c r="I1678" s="24">
        <v>37622</v>
      </c>
      <c r="J1678" s="25" t="s">
        <v>77</v>
      </c>
      <c r="K1678" t="s">
        <v>26</v>
      </c>
      <c r="L1678" s="25" t="s">
        <v>68</v>
      </c>
      <c r="M1678" s="24">
        <v>37622</v>
      </c>
      <c r="N1678" s="25" t="s">
        <v>77</v>
      </c>
      <c r="O1678" t="s">
        <v>26</v>
      </c>
      <c r="P1678" s="24">
        <v>37622</v>
      </c>
      <c r="Q1678" s="25" t="s">
        <v>77</v>
      </c>
      <c r="R1678" t="s">
        <v>26</v>
      </c>
      <c r="S1678" t="s">
        <v>26</v>
      </c>
      <c r="T1678" t="s">
        <v>26</v>
      </c>
      <c r="U1678" t="s">
        <v>26</v>
      </c>
      <c r="V1678" t="s">
        <v>26</v>
      </c>
      <c r="W1678" s="24">
        <v>37622</v>
      </c>
      <c r="X1678" s="25" t="s">
        <v>77</v>
      </c>
      <c r="Y1678" t="s">
        <v>26</v>
      </c>
      <c r="Z1678" s="24">
        <v>37622</v>
      </c>
      <c r="AA1678" s="25" t="s">
        <v>77</v>
      </c>
      <c r="AB1678" t="s">
        <v>26</v>
      </c>
      <c r="AC1678" s="24">
        <v>37622</v>
      </c>
      <c r="AD1678" s="24">
        <v>41214</v>
      </c>
      <c r="AE1678" t="s">
        <v>26</v>
      </c>
      <c r="AF1678" t="s">
        <v>26</v>
      </c>
      <c r="AG1678" t="s">
        <v>26</v>
      </c>
      <c r="AH1678" t="s">
        <v>26</v>
      </c>
      <c r="AI1678" t="s">
        <v>26</v>
      </c>
      <c r="AJ1678" t="s">
        <v>26</v>
      </c>
      <c r="AK1678" t="s">
        <v>26</v>
      </c>
      <c r="AL1678" t="s">
        <v>26</v>
      </c>
      <c r="AM1678" t="s">
        <v>26</v>
      </c>
      <c r="AN1678" t="s">
        <v>26</v>
      </c>
      <c r="AO1678" s="25" t="s">
        <v>68</v>
      </c>
      <c r="AP1678" s="23" t="s">
        <v>69</v>
      </c>
      <c r="AQ1678" s="23" t="s">
        <v>30</v>
      </c>
      <c r="AR1678" s="23" t="s">
        <v>128</v>
      </c>
      <c r="AS1678" s="25">
        <v>38879</v>
      </c>
      <c r="AT1678" t="s">
        <v>26</v>
      </c>
      <c r="AU1678" t="s">
        <v>24436</v>
      </c>
    </row>
    <row r="1679" spans="1:47" ht="52.5" x14ac:dyDescent="0.4">
      <c r="A1679" s="23" t="s">
        <v>4376</v>
      </c>
      <c r="B1679" t="s">
        <v>26</v>
      </c>
      <c r="C1679" s="23" t="s">
        <v>4377</v>
      </c>
      <c r="D1679" s="23" t="s">
        <v>24437</v>
      </c>
      <c r="E1679" s="23" t="s">
        <v>42</v>
      </c>
      <c r="F1679" s="25" t="s">
        <v>4378</v>
      </c>
      <c r="G1679" s="25" t="s">
        <v>4379</v>
      </c>
      <c r="H1679" t="s">
        <v>26</v>
      </c>
      <c r="I1679" s="24">
        <v>35704</v>
      </c>
      <c r="J1679" s="25" t="s">
        <v>77</v>
      </c>
      <c r="K1679" t="s">
        <v>26</v>
      </c>
      <c r="L1679" s="25" t="s">
        <v>68</v>
      </c>
      <c r="M1679" s="24">
        <v>35704</v>
      </c>
      <c r="N1679" s="25" t="s">
        <v>77</v>
      </c>
      <c r="O1679" t="s">
        <v>26</v>
      </c>
      <c r="P1679" s="24">
        <v>35704</v>
      </c>
      <c r="Q1679" s="25" t="s">
        <v>77</v>
      </c>
      <c r="R1679" t="s">
        <v>26</v>
      </c>
      <c r="S1679" t="s">
        <v>26</v>
      </c>
      <c r="T1679" t="s">
        <v>26</v>
      </c>
      <c r="U1679" t="s">
        <v>26</v>
      </c>
      <c r="V1679" t="s">
        <v>26</v>
      </c>
      <c r="W1679" s="24">
        <v>34425</v>
      </c>
      <c r="X1679" s="25" t="s">
        <v>77</v>
      </c>
      <c r="Y1679" t="s">
        <v>26</v>
      </c>
      <c r="Z1679" s="24">
        <v>34425</v>
      </c>
      <c r="AA1679" s="25" t="s">
        <v>77</v>
      </c>
      <c r="AB1679" t="s">
        <v>26</v>
      </c>
      <c r="AC1679" s="24">
        <v>34425</v>
      </c>
      <c r="AD1679" s="25" t="s">
        <v>77</v>
      </c>
      <c r="AE1679" t="s">
        <v>26</v>
      </c>
      <c r="AF1679" t="s">
        <v>26</v>
      </c>
      <c r="AG1679" t="s">
        <v>26</v>
      </c>
      <c r="AH1679" t="s">
        <v>26</v>
      </c>
      <c r="AI1679" t="s">
        <v>26</v>
      </c>
      <c r="AJ1679" t="s">
        <v>26</v>
      </c>
      <c r="AK1679" t="s">
        <v>26</v>
      </c>
      <c r="AL1679" t="s">
        <v>26</v>
      </c>
      <c r="AM1679" t="s">
        <v>26</v>
      </c>
      <c r="AN1679" t="s">
        <v>26</v>
      </c>
      <c r="AO1679" s="25" t="s">
        <v>68</v>
      </c>
      <c r="AP1679" s="23" t="s">
        <v>69</v>
      </c>
      <c r="AQ1679" s="23" t="s">
        <v>30</v>
      </c>
      <c r="AR1679" s="23" t="s">
        <v>4380</v>
      </c>
      <c r="AS1679" s="25">
        <v>32030</v>
      </c>
      <c r="AT1679" t="s">
        <v>26</v>
      </c>
      <c r="AU1679" t="s">
        <v>24438</v>
      </c>
    </row>
    <row r="1680" spans="1:47" ht="26.25" x14ac:dyDescent="0.4">
      <c r="A1680" s="23" t="s">
        <v>4381</v>
      </c>
      <c r="B1680" t="s">
        <v>26</v>
      </c>
      <c r="C1680" s="23" t="s">
        <v>264</v>
      </c>
      <c r="D1680" s="23" t="s">
        <v>23125</v>
      </c>
      <c r="E1680" s="23" t="s">
        <v>60</v>
      </c>
      <c r="F1680" s="25" t="s">
        <v>4382</v>
      </c>
      <c r="G1680" s="25" t="s">
        <v>4383</v>
      </c>
      <c r="H1680" t="s">
        <v>26</v>
      </c>
      <c r="I1680" s="24">
        <v>33604</v>
      </c>
      <c r="J1680" s="25" t="s">
        <v>77</v>
      </c>
      <c r="K1680" t="s">
        <v>26</v>
      </c>
      <c r="L1680" s="25" t="s">
        <v>68</v>
      </c>
      <c r="M1680" s="24">
        <v>33604</v>
      </c>
      <c r="N1680" s="25" t="s">
        <v>77</v>
      </c>
      <c r="O1680" t="s">
        <v>26</v>
      </c>
      <c r="P1680" s="24">
        <v>37031</v>
      </c>
      <c r="Q1680" s="25" t="s">
        <v>77</v>
      </c>
      <c r="R1680" t="s">
        <v>26</v>
      </c>
      <c r="S1680" t="s">
        <v>26</v>
      </c>
      <c r="T1680" t="s">
        <v>26</v>
      </c>
      <c r="U1680" t="s">
        <v>26</v>
      </c>
      <c r="V1680" s="25">
        <v>365</v>
      </c>
      <c r="W1680" s="24">
        <v>31413</v>
      </c>
      <c r="X1680" s="25" t="s">
        <v>77</v>
      </c>
      <c r="Y1680" t="s">
        <v>26</v>
      </c>
      <c r="Z1680" s="24">
        <v>31413</v>
      </c>
      <c r="AA1680" s="25" t="s">
        <v>77</v>
      </c>
      <c r="AB1680" t="s">
        <v>26</v>
      </c>
      <c r="AC1680" s="24">
        <v>31413</v>
      </c>
      <c r="AD1680" s="25" t="s">
        <v>77</v>
      </c>
      <c r="AE1680" t="s">
        <v>26</v>
      </c>
      <c r="AF1680" t="s">
        <v>26</v>
      </c>
      <c r="AG1680" t="s">
        <v>26</v>
      </c>
      <c r="AH1680" t="s">
        <v>26</v>
      </c>
      <c r="AI1680" t="s">
        <v>26</v>
      </c>
      <c r="AJ1680" t="s">
        <v>26</v>
      </c>
      <c r="AK1680" t="s">
        <v>26</v>
      </c>
      <c r="AL1680" t="s">
        <v>26</v>
      </c>
      <c r="AM1680" t="s">
        <v>26</v>
      </c>
      <c r="AN1680" t="s">
        <v>26</v>
      </c>
      <c r="AO1680" s="25" t="s">
        <v>68</v>
      </c>
      <c r="AP1680" s="23" t="s">
        <v>69</v>
      </c>
      <c r="AQ1680" s="23" t="s">
        <v>30</v>
      </c>
      <c r="AR1680" s="23" t="s">
        <v>666</v>
      </c>
      <c r="AS1680" s="25">
        <v>3488</v>
      </c>
      <c r="AT1680" t="s">
        <v>26</v>
      </c>
      <c r="AU1680" t="s">
        <v>24439</v>
      </c>
    </row>
    <row r="1681" spans="1:47" ht="26.25" x14ac:dyDescent="0.4">
      <c r="A1681" s="23" t="s">
        <v>4384</v>
      </c>
      <c r="B1681" t="s">
        <v>26</v>
      </c>
      <c r="C1681" s="23" t="s">
        <v>172</v>
      </c>
      <c r="D1681" s="23" t="s">
        <v>22294</v>
      </c>
      <c r="E1681" s="23" t="s">
        <v>60</v>
      </c>
      <c r="F1681" s="25" t="s">
        <v>4385</v>
      </c>
      <c r="G1681" s="25" t="s">
        <v>4386</v>
      </c>
      <c r="H1681" t="s">
        <v>26</v>
      </c>
      <c r="I1681" s="24">
        <v>34335</v>
      </c>
      <c r="J1681" s="25" t="s">
        <v>77</v>
      </c>
      <c r="K1681" t="s">
        <v>26</v>
      </c>
      <c r="L1681" s="25" t="s">
        <v>68</v>
      </c>
      <c r="M1681" s="24">
        <v>34335</v>
      </c>
      <c r="N1681" s="25" t="s">
        <v>77</v>
      </c>
      <c r="O1681" t="s">
        <v>26</v>
      </c>
      <c r="P1681" s="24">
        <v>35247</v>
      </c>
      <c r="Q1681" s="25" t="s">
        <v>77</v>
      </c>
      <c r="R1681" t="s">
        <v>26</v>
      </c>
      <c r="S1681" t="s">
        <v>26</v>
      </c>
      <c r="T1681" t="s">
        <v>26</v>
      </c>
      <c r="U1681" t="s">
        <v>26</v>
      </c>
      <c r="V1681" t="s">
        <v>26</v>
      </c>
      <c r="W1681" s="24">
        <v>32509</v>
      </c>
      <c r="X1681" s="25" t="s">
        <v>77</v>
      </c>
      <c r="Y1681" t="s">
        <v>26</v>
      </c>
      <c r="Z1681" s="24">
        <v>32509</v>
      </c>
      <c r="AA1681" s="25" t="s">
        <v>77</v>
      </c>
      <c r="AB1681" t="s">
        <v>26</v>
      </c>
      <c r="AC1681" s="24">
        <v>32509</v>
      </c>
      <c r="AD1681" s="25" t="s">
        <v>77</v>
      </c>
      <c r="AE1681" t="s">
        <v>26</v>
      </c>
      <c r="AF1681" t="s">
        <v>26</v>
      </c>
      <c r="AG1681" t="s">
        <v>26</v>
      </c>
      <c r="AH1681" t="s">
        <v>26</v>
      </c>
      <c r="AI1681" t="s">
        <v>26</v>
      </c>
      <c r="AJ1681" t="s">
        <v>26</v>
      </c>
      <c r="AK1681" t="s">
        <v>26</v>
      </c>
      <c r="AL1681" t="s">
        <v>26</v>
      </c>
      <c r="AM1681" t="s">
        <v>26</v>
      </c>
      <c r="AN1681" t="s">
        <v>26</v>
      </c>
      <c r="AO1681" s="25" t="s">
        <v>68</v>
      </c>
      <c r="AP1681" s="23" t="s">
        <v>69</v>
      </c>
      <c r="AQ1681" s="23" t="s">
        <v>30</v>
      </c>
      <c r="AR1681" s="23" t="s">
        <v>2519</v>
      </c>
      <c r="AS1681" s="25">
        <v>47664</v>
      </c>
      <c r="AT1681" t="s">
        <v>26</v>
      </c>
      <c r="AU1681" t="s">
        <v>24440</v>
      </c>
    </row>
    <row r="1682" spans="1:47" ht="39.4" x14ac:dyDescent="0.4">
      <c r="A1682" s="23" t="s">
        <v>4387</v>
      </c>
      <c r="B1682" t="s">
        <v>26</v>
      </c>
      <c r="C1682" s="23" t="s">
        <v>107</v>
      </c>
      <c r="D1682" s="23" t="s">
        <v>22352</v>
      </c>
      <c r="E1682" s="23" t="s">
        <v>42</v>
      </c>
      <c r="F1682" s="25" t="s">
        <v>4388</v>
      </c>
      <c r="G1682" s="25" t="s">
        <v>4389</v>
      </c>
      <c r="H1682" t="s">
        <v>26</v>
      </c>
      <c r="I1682" s="24">
        <v>31413</v>
      </c>
      <c r="J1682" s="24">
        <v>37530</v>
      </c>
      <c r="K1682" t="s">
        <v>26</v>
      </c>
      <c r="L1682" s="25" t="s">
        <v>68</v>
      </c>
      <c r="M1682" s="24">
        <v>33604</v>
      </c>
      <c r="N1682" s="24">
        <v>37530</v>
      </c>
      <c r="O1682" t="s">
        <v>26</v>
      </c>
      <c r="P1682" s="24">
        <v>31413</v>
      </c>
      <c r="Q1682" s="24">
        <v>37530</v>
      </c>
      <c r="R1682" t="s">
        <v>26</v>
      </c>
      <c r="S1682" t="s">
        <v>26</v>
      </c>
      <c r="T1682" t="s">
        <v>26</v>
      </c>
      <c r="U1682" t="s">
        <v>26</v>
      </c>
      <c r="V1682" t="s">
        <v>26</v>
      </c>
      <c r="W1682" s="24">
        <v>26207</v>
      </c>
      <c r="X1682" s="25" t="s">
        <v>77</v>
      </c>
      <c r="Y1682" t="s">
        <v>26</v>
      </c>
      <c r="Z1682" s="24">
        <v>26207</v>
      </c>
      <c r="AA1682" s="25" t="s">
        <v>77</v>
      </c>
      <c r="AB1682" t="s">
        <v>26</v>
      </c>
      <c r="AC1682" s="24">
        <v>26207</v>
      </c>
      <c r="AD1682" s="25" t="s">
        <v>77</v>
      </c>
      <c r="AE1682" t="s">
        <v>26</v>
      </c>
      <c r="AF1682" t="s">
        <v>26</v>
      </c>
      <c r="AG1682" t="s">
        <v>26</v>
      </c>
      <c r="AH1682" t="s">
        <v>26</v>
      </c>
      <c r="AI1682" t="s">
        <v>26</v>
      </c>
      <c r="AJ1682" t="s">
        <v>26</v>
      </c>
      <c r="AK1682" t="s">
        <v>26</v>
      </c>
      <c r="AL1682" t="s">
        <v>26</v>
      </c>
      <c r="AM1682" t="s">
        <v>26</v>
      </c>
      <c r="AN1682" t="s">
        <v>26</v>
      </c>
      <c r="AO1682" s="25" t="s">
        <v>68</v>
      </c>
      <c r="AP1682" s="23" t="s">
        <v>69</v>
      </c>
      <c r="AQ1682" s="23" t="s">
        <v>30</v>
      </c>
      <c r="AR1682" s="23" t="s">
        <v>4390</v>
      </c>
      <c r="AS1682" s="25">
        <v>617</v>
      </c>
      <c r="AT1682" t="s">
        <v>26</v>
      </c>
      <c r="AU1682" t="s">
        <v>24441</v>
      </c>
    </row>
    <row r="1683" spans="1:47" ht="39.4" x14ac:dyDescent="0.4">
      <c r="A1683" s="23" t="s">
        <v>4391</v>
      </c>
      <c r="B1683" t="s">
        <v>26</v>
      </c>
      <c r="C1683" s="23" t="s">
        <v>107</v>
      </c>
      <c r="D1683" s="23" t="s">
        <v>22179</v>
      </c>
      <c r="E1683" s="23" t="s">
        <v>42</v>
      </c>
      <c r="F1683" s="25" t="s">
        <v>4388</v>
      </c>
      <c r="G1683" s="25" t="s">
        <v>4389</v>
      </c>
      <c r="H1683" t="s">
        <v>26</v>
      </c>
      <c r="I1683" s="24">
        <v>13332</v>
      </c>
      <c r="J1683" s="24">
        <v>31321</v>
      </c>
      <c r="K1683" s="25" t="s">
        <v>4392</v>
      </c>
      <c r="L1683" s="25" t="s">
        <v>68</v>
      </c>
      <c r="M1683" t="s">
        <v>26</v>
      </c>
      <c r="N1683" t="s">
        <v>26</v>
      </c>
      <c r="O1683" t="s">
        <v>26</v>
      </c>
      <c r="P1683" s="24">
        <v>13332</v>
      </c>
      <c r="Q1683" s="24">
        <v>31321</v>
      </c>
      <c r="R1683" s="25" t="s">
        <v>4392</v>
      </c>
      <c r="S1683" t="s">
        <v>26</v>
      </c>
      <c r="T1683" t="s">
        <v>26</v>
      </c>
      <c r="U1683" t="s">
        <v>26</v>
      </c>
      <c r="V1683" t="s">
        <v>26</v>
      </c>
      <c r="W1683" s="24">
        <v>13332</v>
      </c>
      <c r="X1683" s="24">
        <v>31321</v>
      </c>
      <c r="Y1683" t="s">
        <v>26</v>
      </c>
      <c r="Z1683" s="24">
        <v>13332</v>
      </c>
      <c r="AA1683" s="24">
        <v>31321</v>
      </c>
      <c r="AB1683" s="25" t="s">
        <v>4392</v>
      </c>
      <c r="AC1683" t="s">
        <v>26</v>
      </c>
      <c r="AD1683" t="s">
        <v>26</v>
      </c>
      <c r="AE1683" t="s">
        <v>26</v>
      </c>
      <c r="AF1683" t="s">
        <v>26</v>
      </c>
      <c r="AG1683" t="s">
        <v>26</v>
      </c>
      <c r="AH1683" t="s">
        <v>26</v>
      </c>
      <c r="AI1683" t="s">
        <v>26</v>
      </c>
      <c r="AJ1683" t="s">
        <v>26</v>
      </c>
      <c r="AK1683" t="s">
        <v>26</v>
      </c>
      <c r="AL1683" t="s">
        <v>26</v>
      </c>
      <c r="AM1683" t="s">
        <v>26</v>
      </c>
      <c r="AN1683" t="s">
        <v>26</v>
      </c>
      <c r="AO1683" s="25" t="s">
        <v>68</v>
      </c>
      <c r="AP1683" s="23" t="s">
        <v>69</v>
      </c>
      <c r="AQ1683" s="23" t="s">
        <v>30</v>
      </c>
      <c r="AR1683" s="23" t="s">
        <v>4390</v>
      </c>
      <c r="AS1683" s="25">
        <v>41809</v>
      </c>
      <c r="AT1683" t="s">
        <v>26</v>
      </c>
      <c r="AU1683" t="s">
        <v>24442</v>
      </c>
    </row>
    <row r="1684" spans="1:47" ht="26.25" x14ac:dyDescent="0.4">
      <c r="A1684" s="23" t="s">
        <v>4393</v>
      </c>
      <c r="B1684" t="s">
        <v>26</v>
      </c>
      <c r="C1684" s="23" t="s">
        <v>172</v>
      </c>
      <c r="D1684" s="23" t="s">
        <v>23536</v>
      </c>
      <c r="E1684" s="23" t="s">
        <v>60</v>
      </c>
      <c r="F1684" s="25" t="s">
        <v>4394</v>
      </c>
      <c r="G1684" s="25" t="s">
        <v>4395</v>
      </c>
      <c r="H1684" t="s">
        <v>26</v>
      </c>
      <c r="I1684" s="24">
        <v>32174</v>
      </c>
      <c r="J1684" s="25" t="s">
        <v>77</v>
      </c>
      <c r="K1684" t="s">
        <v>26</v>
      </c>
      <c r="L1684" s="25" t="s">
        <v>68</v>
      </c>
      <c r="M1684" s="24">
        <v>34366</v>
      </c>
      <c r="N1684" s="25" t="s">
        <v>77</v>
      </c>
      <c r="O1684" t="s">
        <v>26</v>
      </c>
      <c r="P1684" s="24">
        <v>32174</v>
      </c>
      <c r="Q1684" s="25" t="s">
        <v>77</v>
      </c>
      <c r="R1684" t="s">
        <v>26</v>
      </c>
      <c r="S1684" t="s">
        <v>26</v>
      </c>
      <c r="T1684" t="s">
        <v>26</v>
      </c>
      <c r="U1684" t="s">
        <v>26</v>
      </c>
      <c r="V1684" s="25">
        <v>365</v>
      </c>
      <c r="W1684" s="24">
        <v>31444</v>
      </c>
      <c r="X1684" s="25" t="s">
        <v>77</v>
      </c>
      <c r="Y1684" t="s">
        <v>26</v>
      </c>
      <c r="Z1684" s="24">
        <v>31444</v>
      </c>
      <c r="AA1684" s="25" t="s">
        <v>77</v>
      </c>
      <c r="AB1684" t="s">
        <v>26</v>
      </c>
      <c r="AC1684" s="24">
        <v>31444</v>
      </c>
      <c r="AD1684" s="25" t="s">
        <v>77</v>
      </c>
      <c r="AE1684" t="s">
        <v>26</v>
      </c>
      <c r="AF1684" t="s">
        <v>26</v>
      </c>
      <c r="AG1684" t="s">
        <v>26</v>
      </c>
      <c r="AH1684" t="s">
        <v>26</v>
      </c>
      <c r="AI1684" t="s">
        <v>26</v>
      </c>
      <c r="AJ1684" t="s">
        <v>26</v>
      </c>
      <c r="AK1684" t="s">
        <v>26</v>
      </c>
      <c r="AL1684" t="s">
        <v>26</v>
      </c>
      <c r="AM1684" t="s">
        <v>26</v>
      </c>
      <c r="AN1684" t="s">
        <v>26</v>
      </c>
      <c r="AO1684" s="25" t="s">
        <v>68</v>
      </c>
      <c r="AP1684" s="23" t="s">
        <v>69</v>
      </c>
      <c r="AQ1684" s="23" t="s">
        <v>30</v>
      </c>
      <c r="AR1684" s="23" t="s">
        <v>4396</v>
      </c>
      <c r="AS1684" s="25">
        <v>25922</v>
      </c>
      <c r="AT1684" t="s">
        <v>26</v>
      </c>
      <c r="AU1684" t="s">
        <v>24443</v>
      </c>
    </row>
    <row r="1685" spans="1:47" ht="26.25" x14ac:dyDescent="0.4">
      <c r="A1685" s="23" t="s">
        <v>4397</v>
      </c>
      <c r="B1685" t="s">
        <v>26</v>
      </c>
      <c r="C1685" s="23" t="s">
        <v>80</v>
      </c>
      <c r="D1685" s="23" t="s">
        <v>22190</v>
      </c>
      <c r="E1685" s="23" t="s">
        <v>60</v>
      </c>
      <c r="F1685" s="25" t="s">
        <v>4398</v>
      </c>
      <c r="G1685" s="25" t="s">
        <v>4399</v>
      </c>
      <c r="H1685" t="s">
        <v>26</v>
      </c>
      <c r="I1685" t="s">
        <v>26</v>
      </c>
      <c r="J1685" t="s">
        <v>26</v>
      </c>
      <c r="K1685" t="s">
        <v>26</v>
      </c>
      <c r="L1685" s="25" t="s">
        <v>68</v>
      </c>
      <c r="M1685" t="s">
        <v>26</v>
      </c>
      <c r="N1685" t="s">
        <v>26</v>
      </c>
      <c r="O1685" t="s">
        <v>26</v>
      </c>
      <c r="P1685" t="s">
        <v>26</v>
      </c>
      <c r="Q1685" t="s">
        <v>26</v>
      </c>
      <c r="R1685" t="s">
        <v>26</v>
      </c>
      <c r="S1685" t="s">
        <v>26</v>
      </c>
      <c r="T1685" t="s">
        <v>26</v>
      </c>
      <c r="U1685" t="s">
        <v>26</v>
      </c>
      <c r="V1685" t="s">
        <v>26</v>
      </c>
      <c r="W1685" s="24">
        <v>33604</v>
      </c>
      <c r="X1685" s="25" t="s">
        <v>77</v>
      </c>
      <c r="Y1685" t="s">
        <v>26</v>
      </c>
      <c r="Z1685" s="24">
        <v>33604</v>
      </c>
      <c r="AA1685" s="25" t="s">
        <v>77</v>
      </c>
      <c r="AB1685" t="s">
        <v>26</v>
      </c>
      <c r="AC1685" s="24">
        <v>33604</v>
      </c>
      <c r="AD1685" s="25" t="s">
        <v>77</v>
      </c>
      <c r="AE1685" t="s">
        <v>26</v>
      </c>
      <c r="AF1685" t="s">
        <v>26</v>
      </c>
      <c r="AG1685" t="s">
        <v>26</v>
      </c>
      <c r="AH1685" t="s">
        <v>26</v>
      </c>
      <c r="AI1685" t="s">
        <v>26</v>
      </c>
      <c r="AJ1685" t="s">
        <v>26</v>
      </c>
      <c r="AK1685" t="s">
        <v>26</v>
      </c>
      <c r="AL1685" t="s">
        <v>26</v>
      </c>
      <c r="AM1685" t="s">
        <v>26</v>
      </c>
      <c r="AN1685" t="s">
        <v>26</v>
      </c>
      <c r="AO1685" s="25" t="s">
        <v>68</v>
      </c>
      <c r="AP1685" s="23" t="s">
        <v>69</v>
      </c>
      <c r="AQ1685" s="23" t="s">
        <v>30</v>
      </c>
      <c r="AR1685" s="23" t="s">
        <v>4400</v>
      </c>
      <c r="AS1685" s="25">
        <v>30597</v>
      </c>
      <c r="AT1685" t="s">
        <v>26</v>
      </c>
      <c r="AU1685" t="s">
        <v>24444</v>
      </c>
    </row>
    <row r="1686" spans="1:47" ht="26.25" x14ac:dyDescent="0.4">
      <c r="A1686" s="23" t="s">
        <v>4401</v>
      </c>
      <c r="B1686" t="s">
        <v>26</v>
      </c>
      <c r="C1686" s="23" t="s">
        <v>80</v>
      </c>
      <c r="D1686" s="23" t="s">
        <v>22190</v>
      </c>
      <c r="E1686" s="23" t="s">
        <v>60</v>
      </c>
      <c r="F1686" s="25" t="s">
        <v>4402</v>
      </c>
      <c r="G1686" s="25" t="s">
        <v>4403</v>
      </c>
      <c r="H1686" t="s">
        <v>26</v>
      </c>
      <c r="I1686" t="s">
        <v>26</v>
      </c>
      <c r="J1686" t="s">
        <v>26</v>
      </c>
      <c r="K1686" t="s">
        <v>26</v>
      </c>
      <c r="L1686" s="25" t="s">
        <v>68</v>
      </c>
      <c r="M1686" t="s">
        <v>26</v>
      </c>
      <c r="N1686" t="s">
        <v>26</v>
      </c>
      <c r="O1686" t="s">
        <v>26</v>
      </c>
      <c r="P1686" t="s">
        <v>26</v>
      </c>
      <c r="Q1686" t="s">
        <v>26</v>
      </c>
      <c r="R1686" t="s">
        <v>26</v>
      </c>
      <c r="S1686" t="s">
        <v>26</v>
      </c>
      <c r="T1686" t="s">
        <v>26</v>
      </c>
      <c r="U1686" t="s">
        <v>26</v>
      </c>
      <c r="V1686" t="s">
        <v>26</v>
      </c>
      <c r="W1686" s="24">
        <v>37987</v>
      </c>
      <c r="X1686" s="25" t="s">
        <v>77</v>
      </c>
      <c r="Y1686" t="s">
        <v>26</v>
      </c>
      <c r="Z1686" s="24">
        <v>37987</v>
      </c>
      <c r="AA1686" s="25" t="s">
        <v>77</v>
      </c>
      <c r="AB1686" t="s">
        <v>26</v>
      </c>
      <c r="AC1686" s="24">
        <v>37987</v>
      </c>
      <c r="AD1686" s="25" t="s">
        <v>77</v>
      </c>
      <c r="AE1686" t="s">
        <v>26</v>
      </c>
      <c r="AF1686" t="s">
        <v>26</v>
      </c>
      <c r="AG1686" t="s">
        <v>26</v>
      </c>
      <c r="AH1686" t="s">
        <v>26</v>
      </c>
      <c r="AI1686" t="s">
        <v>26</v>
      </c>
      <c r="AJ1686" t="s">
        <v>26</v>
      </c>
      <c r="AK1686" t="s">
        <v>26</v>
      </c>
      <c r="AL1686" t="s">
        <v>26</v>
      </c>
      <c r="AM1686" t="s">
        <v>26</v>
      </c>
      <c r="AN1686" t="s">
        <v>26</v>
      </c>
      <c r="AO1686" s="25" t="s">
        <v>68</v>
      </c>
      <c r="AP1686" s="23" t="s">
        <v>69</v>
      </c>
      <c r="AQ1686" s="23" t="s">
        <v>30</v>
      </c>
      <c r="AR1686" s="23" t="s">
        <v>4404</v>
      </c>
      <c r="AS1686" s="25">
        <v>27039</v>
      </c>
      <c r="AT1686" t="s">
        <v>26</v>
      </c>
      <c r="AU1686" t="s">
        <v>24445</v>
      </c>
    </row>
    <row r="1687" spans="1:47" ht="26.25" x14ac:dyDescent="0.4">
      <c r="A1687" s="23" t="s">
        <v>4405</v>
      </c>
      <c r="B1687" t="s">
        <v>26</v>
      </c>
      <c r="C1687" s="23" t="s">
        <v>676</v>
      </c>
      <c r="D1687" s="23" t="s">
        <v>22179</v>
      </c>
      <c r="E1687" s="23" t="s">
        <v>74</v>
      </c>
      <c r="F1687" s="25" t="s">
        <v>4406</v>
      </c>
      <c r="G1687" s="25" t="s">
        <v>4407</v>
      </c>
      <c r="H1687" t="s">
        <v>26</v>
      </c>
      <c r="I1687" t="s">
        <v>26</v>
      </c>
      <c r="J1687" t="s">
        <v>26</v>
      </c>
      <c r="K1687" t="s">
        <v>26</v>
      </c>
      <c r="L1687" s="25" t="s">
        <v>68</v>
      </c>
      <c r="M1687" t="s">
        <v>26</v>
      </c>
      <c r="N1687" t="s">
        <v>26</v>
      </c>
      <c r="O1687" t="s">
        <v>26</v>
      </c>
      <c r="P1687" t="s">
        <v>26</v>
      </c>
      <c r="Q1687" t="s">
        <v>26</v>
      </c>
      <c r="R1687" t="s">
        <v>26</v>
      </c>
      <c r="S1687" t="s">
        <v>26</v>
      </c>
      <c r="T1687" t="s">
        <v>26</v>
      </c>
      <c r="U1687" t="s">
        <v>26</v>
      </c>
      <c r="V1687" t="s">
        <v>26</v>
      </c>
      <c r="W1687" s="24">
        <v>33635</v>
      </c>
      <c r="X1687" s="24">
        <v>42826</v>
      </c>
      <c r="Y1687" s="25" t="s">
        <v>4408</v>
      </c>
      <c r="Z1687" s="24">
        <v>33635</v>
      </c>
      <c r="AA1687" s="24">
        <v>42826</v>
      </c>
      <c r="AB1687" s="25" t="s">
        <v>4408</v>
      </c>
      <c r="AC1687" s="24">
        <v>33635</v>
      </c>
      <c r="AD1687" s="24">
        <v>42767</v>
      </c>
      <c r="AE1687" s="25" t="s">
        <v>4408</v>
      </c>
      <c r="AF1687" t="s">
        <v>26</v>
      </c>
      <c r="AG1687" t="s">
        <v>26</v>
      </c>
      <c r="AH1687" t="s">
        <v>26</v>
      </c>
      <c r="AI1687" t="s">
        <v>26</v>
      </c>
      <c r="AJ1687" t="s">
        <v>26</v>
      </c>
      <c r="AK1687" t="s">
        <v>26</v>
      </c>
      <c r="AL1687" t="s">
        <v>26</v>
      </c>
      <c r="AM1687" t="s">
        <v>26</v>
      </c>
      <c r="AN1687" t="s">
        <v>26</v>
      </c>
      <c r="AO1687" s="25" t="s">
        <v>68</v>
      </c>
      <c r="AP1687" s="23" t="s">
        <v>69</v>
      </c>
      <c r="AQ1687" s="23" t="s">
        <v>30</v>
      </c>
      <c r="AR1687" s="23" t="s">
        <v>4409</v>
      </c>
      <c r="AS1687" s="25">
        <v>29955</v>
      </c>
      <c r="AT1687" t="s">
        <v>26</v>
      </c>
      <c r="AU1687" t="s">
        <v>24446</v>
      </c>
    </row>
    <row r="1688" spans="1:47" ht="26.25" x14ac:dyDescent="0.4">
      <c r="A1688" s="23" t="s">
        <v>4410</v>
      </c>
      <c r="B1688" t="s">
        <v>26</v>
      </c>
      <c r="C1688" s="23" t="s">
        <v>107</v>
      </c>
      <c r="D1688" s="23" t="s">
        <v>22194</v>
      </c>
      <c r="E1688" s="23" t="s">
        <v>42</v>
      </c>
      <c r="F1688" s="25" t="s">
        <v>4411</v>
      </c>
      <c r="G1688" s="25" t="s">
        <v>4412</v>
      </c>
      <c r="H1688" t="s">
        <v>26</v>
      </c>
      <c r="I1688" s="24">
        <v>33847</v>
      </c>
      <c r="J1688" s="24">
        <v>41913</v>
      </c>
      <c r="K1688" t="s">
        <v>26</v>
      </c>
      <c r="L1688" s="25" t="s">
        <v>68</v>
      </c>
      <c r="M1688" s="24">
        <v>33847</v>
      </c>
      <c r="N1688" s="24">
        <v>41913</v>
      </c>
      <c r="O1688" t="s">
        <v>26</v>
      </c>
      <c r="P1688" s="24">
        <v>38808</v>
      </c>
      <c r="Q1688" s="24">
        <v>41913</v>
      </c>
      <c r="R1688" t="s">
        <v>26</v>
      </c>
      <c r="S1688" t="s">
        <v>26</v>
      </c>
      <c r="T1688" t="s">
        <v>26</v>
      </c>
      <c r="U1688" t="s">
        <v>26</v>
      </c>
      <c r="V1688" t="s">
        <v>26</v>
      </c>
      <c r="W1688" s="24">
        <v>33847</v>
      </c>
      <c r="X1688" s="25" t="s">
        <v>77</v>
      </c>
      <c r="Y1688" t="s">
        <v>26</v>
      </c>
      <c r="Z1688" s="24">
        <v>33847</v>
      </c>
      <c r="AA1688" s="25" t="s">
        <v>77</v>
      </c>
      <c r="AB1688" t="s">
        <v>26</v>
      </c>
      <c r="AC1688" s="24">
        <v>33847</v>
      </c>
      <c r="AD1688" s="25" t="s">
        <v>77</v>
      </c>
      <c r="AE1688" t="s">
        <v>26</v>
      </c>
      <c r="AF1688" t="s">
        <v>26</v>
      </c>
      <c r="AG1688" t="s">
        <v>26</v>
      </c>
      <c r="AH1688" t="s">
        <v>26</v>
      </c>
      <c r="AI1688" t="s">
        <v>26</v>
      </c>
      <c r="AJ1688" t="s">
        <v>26</v>
      </c>
      <c r="AK1688" t="s">
        <v>26</v>
      </c>
      <c r="AL1688" t="s">
        <v>26</v>
      </c>
      <c r="AM1688" t="s">
        <v>26</v>
      </c>
      <c r="AN1688" t="s">
        <v>26</v>
      </c>
      <c r="AO1688" s="25" t="s">
        <v>68</v>
      </c>
      <c r="AP1688" s="23" t="s">
        <v>69</v>
      </c>
      <c r="AQ1688" s="23" t="s">
        <v>30</v>
      </c>
      <c r="AR1688" s="23" t="s">
        <v>4413</v>
      </c>
      <c r="AS1688" s="25">
        <v>32658</v>
      </c>
      <c r="AT1688" t="s">
        <v>26</v>
      </c>
      <c r="AU1688" t="s">
        <v>24447</v>
      </c>
    </row>
    <row r="1689" spans="1:47" ht="26.25" x14ac:dyDescent="0.4">
      <c r="A1689" s="23" t="s">
        <v>4414</v>
      </c>
      <c r="B1689" t="s">
        <v>26</v>
      </c>
      <c r="C1689" s="23" t="s">
        <v>80</v>
      </c>
      <c r="D1689" s="23" t="s">
        <v>22184</v>
      </c>
      <c r="E1689" s="23" t="s">
        <v>60</v>
      </c>
      <c r="F1689" s="25" t="s">
        <v>4415</v>
      </c>
      <c r="G1689" s="25" t="s">
        <v>4416</v>
      </c>
      <c r="H1689" t="s">
        <v>26</v>
      </c>
      <c r="I1689" s="24">
        <v>35704</v>
      </c>
      <c r="J1689" s="24">
        <v>36800</v>
      </c>
      <c r="K1689" t="s">
        <v>26</v>
      </c>
      <c r="L1689" s="25" t="s">
        <v>68</v>
      </c>
      <c r="M1689" s="24">
        <v>35704</v>
      </c>
      <c r="N1689" s="24">
        <v>36800</v>
      </c>
      <c r="O1689" t="s">
        <v>26</v>
      </c>
      <c r="P1689" s="24">
        <v>35704</v>
      </c>
      <c r="Q1689" s="24">
        <v>36800</v>
      </c>
      <c r="R1689" t="s">
        <v>26</v>
      </c>
      <c r="S1689" t="s">
        <v>26</v>
      </c>
      <c r="T1689" t="s">
        <v>26</v>
      </c>
      <c r="U1689" t="s">
        <v>26</v>
      </c>
      <c r="V1689" t="s">
        <v>26</v>
      </c>
      <c r="W1689" s="24">
        <v>35704</v>
      </c>
      <c r="X1689" s="25" t="s">
        <v>77</v>
      </c>
      <c r="Y1689" t="s">
        <v>26</v>
      </c>
      <c r="Z1689" s="24">
        <v>35704</v>
      </c>
      <c r="AA1689" s="25" t="s">
        <v>77</v>
      </c>
      <c r="AB1689" t="s">
        <v>26</v>
      </c>
      <c r="AC1689" s="24">
        <v>35704</v>
      </c>
      <c r="AD1689" s="25" t="s">
        <v>77</v>
      </c>
      <c r="AE1689" t="s">
        <v>26</v>
      </c>
      <c r="AF1689" t="s">
        <v>26</v>
      </c>
      <c r="AG1689" t="s">
        <v>26</v>
      </c>
      <c r="AH1689" t="s">
        <v>26</v>
      </c>
      <c r="AI1689" t="s">
        <v>26</v>
      </c>
      <c r="AJ1689" t="s">
        <v>26</v>
      </c>
      <c r="AK1689" t="s">
        <v>26</v>
      </c>
      <c r="AL1689" t="s">
        <v>26</v>
      </c>
      <c r="AM1689" t="s">
        <v>26</v>
      </c>
      <c r="AN1689" t="s">
        <v>26</v>
      </c>
      <c r="AO1689" s="25" t="s">
        <v>68</v>
      </c>
      <c r="AP1689" s="23" t="s">
        <v>69</v>
      </c>
      <c r="AQ1689" s="23" t="s">
        <v>30</v>
      </c>
      <c r="AR1689" s="23" t="s">
        <v>70</v>
      </c>
      <c r="AS1689" s="25">
        <v>33358</v>
      </c>
      <c r="AT1689" t="s">
        <v>26</v>
      </c>
      <c r="AU1689" t="s">
        <v>24448</v>
      </c>
    </row>
    <row r="1690" spans="1:47" ht="26.25" x14ac:dyDescent="0.4">
      <c r="A1690" s="23" t="s">
        <v>4417</v>
      </c>
      <c r="B1690" t="s">
        <v>26</v>
      </c>
      <c r="C1690" s="23" t="s">
        <v>4418</v>
      </c>
      <c r="D1690" s="23" t="s">
        <v>22256</v>
      </c>
      <c r="E1690" s="23" t="s">
        <v>42</v>
      </c>
      <c r="F1690" s="25" t="s">
        <v>4419</v>
      </c>
      <c r="G1690" s="25" t="s">
        <v>4420</v>
      </c>
      <c r="H1690" t="s">
        <v>26</v>
      </c>
      <c r="I1690" s="24">
        <v>35704</v>
      </c>
      <c r="J1690" s="25" t="s">
        <v>77</v>
      </c>
      <c r="K1690" t="s">
        <v>26</v>
      </c>
      <c r="L1690" s="25" t="s">
        <v>68</v>
      </c>
      <c r="M1690" s="24">
        <v>35704</v>
      </c>
      <c r="N1690" s="25" t="s">
        <v>77</v>
      </c>
      <c r="O1690" s="25" t="s">
        <v>111</v>
      </c>
      <c r="P1690" s="24">
        <v>35704</v>
      </c>
      <c r="Q1690" s="25" t="s">
        <v>77</v>
      </c>
      <c r="R1690" t="s">
        <v>26</v>
      </c>
      <c r="S1690" t="s">
        <v>26</v>
      </c>
      <c r="T1690" t="s">
        <v>26</v>
      </c>
      <c r="U1690" t="s">
        <v>26</v>
      </c>
      <c r="V1690" t="s">
        <v>26</v>
      </c>
      <c r="W1690" s="24">
        <v>35704</v>
      </c>
      <c r="X1690" s="25" t="s">
        <v>77</v>
      </c>
      <c r="Y1690" t="s">
        <v>26</v>
      </c>
      <c r="Z1690" s="24">
        <v>35704</v>
      </c>
      <c r="AA1690" s="25" t="s">
        <v>77</v>
      </c>
      <c r="AB1690" t="s">
        <v>26</v>
      </c>
      <c r="AC1690" s="24">
        <v>35704</v>
      </c>
      <c r="AD1690" s="25" t="s">
        <v>77</v>
      </c>
      <c r="AE1690" t="s">
        <v>26</v>
      </c>
      <c r="AF1690" t="s">
        <v>26</v>
      </c>
      <c r="AG1690" t="s">
        <v>26</v>
      </c>
      <c r="AH1690" t="s">
        <v>26</v>
      </c>
      <c r="AI1690" t="s">
        <v>26</v>
      </c>
      <c r="AJ1690" t="s">
        <v>26</v>
      </c>
      <c r="AK1690" t="s">
        <v>26</v>
      </c>
      <c r="AL1690" t="s">
        <v>26</v>
      </c>
      <c r="AM1690" t="s">
        <v>26</v>
      </c>
      <c r="AN1690" t="s">
        <v>26</v>
      </c>
      <c r="AO1690" s="25" t="s">
        <v>68</v>
      </c>
      <c r="AP1690" s="23" t="s">
        <v>69</v>
      </c>
      <c r="AQ1690" s="23" t="s">
        <v>30</v>
      </c>
      <c r="AR1690" s="23" t="s">
        <v>123</v>
      </c>
      <c r="AS1690" s="25">
        <v>47399</v>
      </c>
      <c r="AT1690" t="s">
        <v>26</v>
      </c>
      <c r="AU1690" t="s">
        <v>24449</v>
      </c>
    </row>
    <row r="1691" spans="1:47" ht="26.25" x14ac:dyDescent="0.4">
      <c r="A1691" s="23" t="s">
        <v>4421</v>
      </c>
      <c r="B1691" t="s">
        <v>26</v>
      </c>
      <c r="C1691" s="23" t="s">
        <v>80</v>
      </c>
      <c r="D1691" s="23" t="s">
        <v>22190</v>
      </c>
      <c r="E1691" s="23" t="s">
        <v>60</v>
      </c>
      <c r="F1691" s="25" t="s">
        <v>4422</v>
      </c>
      <c r="G1691" s="25" t="s">
        <v>4423</v>
      </c>
      <c r="H1691" t="s">
        <v>26</v>
      </c>
      <c r="I1691" t="s">
        <v>26</v>
      </c>
      <c r="J1691" t="s">
        <v>26</v>
      </c>
      <c r="K1691" t="s">
        <v>26</v>
      </c>
      <c r="L1691" s="25" t="s">
        <v>68</v>
      </c>
      <c r="M1691" t="s">
        <v>26</v>
      </c>
      <c r="N1691" t="s">
        <v>26</v>
      </c>
      <c r="O1691" t="s">
        <v>26</v>
      </c>
      <c r="P1691" t="s">
        <v>26</v>
      </c>
      <c r="Q1691" t="s">
        <v>26</v>
      </c>
      <c r="R1691" t="s">
        <v>26</v>
      </c>
      <c r="S1691" t="s">
        <v>26</v>
      </c>
      <c r="T1691" t="s">
        <v>26</v>
      </c>
      <c r="U1691" t="s">
        <v>26</v>
      </c>
      <c r="V1691" t="s">
        <v>26</v>
      </c>
      <c r="W1691" s="24">
        <v>40179</v>
      </c>
      <c r="X1691" s="25" t="s">
        <v>77</v>
      </c>
      <c r="Y1691" t="s">
        <v>26</v>
      </c>
      <c r="Z1691" s="24">
        <v>40179</v>
      </c>
      <c r="AA1691" s="25" t="s">
        <v>77</v>
      </c>
      <c r="AB1691" t="s">
        <v>26</v>
      </c>
      <c r="AC1691" s="24">
        <v>40179</v>
      </c>
      <c r="AD1691" s="25" t="s">
        <v>77</v>
      </c>
      <c r="AE1691" t="s">
        <v>26</v>
      </c>
      <c r="AF1691" t="s">
        <v>26</v>
      </c>
      <c r="AG1691" t="s">
        <v>26</v>
      </c>
      <c r="AH1691" t="s">
        <v>26</v>
      </c>
      <c r="AI1691" t="s">
        <v>26</v>
      </c>
      <c r="AJ1691" t="s">
        <v>26</v>
      </c>
      <c r="AK1691" t="s">
        <v>26</v>
      </c>
      <c r="AL1691" t="s">
        <v>26</v>
      </c>
      <c r="AM1691" t="s">
        <v>26</v>
      </c>
      <c r="AN1691" t="s">
        <v>26</v>
      </c>
      <c r="AO1691" s="25" t="s">
        <v>68</v>
      </c>
      <c r="AP1691" s="23" t="s">
        <v>69</v>
      </c>
      <c r="AQ1691" s="23" t="s">
        <v>30</v>
      </c>
      <c r="AR1691" s="23" t="s">
        <v>70</v>
      </c>
      <c r="AS1691" s="25">
        <v>196165</v>
      </c>
      <c r="AT1691" t="s">
        <v>26</v>
      </c>
      <c r="AU1691" t="s">
        <v>24450</v>
      </c>
    </row>
    <row r="1692" spans="1:47" ht="26.25" x14ac:dyDescent="0.4">
      <c r="A1692" s="23" t="s">
        <v>4424</v>
      </c>
      <c r="B1692" t="s">
        <v>26</v>
      </c>
      <c r="C1692" s="23" t="s">
        <v>264</v>
      </c>
      <c r="D1692" s="23" t="s">
        <v>23336</v>
      </c>
      <c r="E1692" s="23" t="s">
        <v>60</v>
      </c>
      <c r="F1692" s="25" t="s">
        <v>4425</v>
      </c>
      <c r="G1692" s="25" t="s">
        <v>4426</v>
      </c>
      <c r="H1692" t="s">
        <v>26</v>
      </c>
      <c r="I1692" s="24">
        <v>38718</v>
      </c>
      <c r="J1692" s="25" t="s">
        <v>77</v>
      </c>
      <c r="K1692" t="s">
        <v>26</v>
      </c>
      <c r="L1692" s="25" t="s">
        <v>68</v>
      </c>
      <c r="M1692" s="24">
        <v>40544</v>
      </c>
      <c r="N1692" s="25" t="s">
        <v>77</v>
      </c>
      <c r="O1692" t="s">
        <v>26</v>
      </c>
      <c r="P1692" s="24">
        <v>38718</v>
      </c>
      <c r="Q1692" s="25" t="s">
        <v>77</v>
      </c>
      <c r="R1692" t="s">
        <v>26</v>
      </c>
      <c r="S1692" t="s">
        <v>26</v>
      </c>
      <c r="T1692" t="s">
        <v>26</v>
      </c>
      <c r="U1692" t="s">
        <v>26</v>
      </c>
      <c r="V1692" s="25">
        <v>365</v>
      </c>
      <c r="W1692" s="24">
        <v>38718</v>
      </c>
      <c r="X1692" s="25" t="s">
        <v>77</v>
      </c>
      <c r="Y1692" t="s">
        <v>26</v>
      </c>
      <c r="Z1692" s="24">
        <v>38718</v>
      </c>
      <c r="AA1692" s="25" t="s">
        <v>77</v>
      </c>
      <c r="AB1692" t="s">
        <v>26</v>
      </c>
      <c r="AC1692" s="24">
        <v>38718</v>
      </c>
      <c r="AD1692" s="25" t="s">
        <v>77</v>
      </c>
      <c r="AE1692" t="s">
        <v>26</v>
      </c>
      <c r="AF1692" t="s">
        <v>26</v>
      </c>
      <c r="AG1692" t="s">
        <v>26</v>
      </c>
      <c r="AH1692" t="s">
        <v>26</v>
      </c>
      <c r="AI1692" t="s">
        <v>26</v>
      </c>
      <c r="AJ1692" t="s">
        <v>26</v>
      </c>
      <c r="AK1692" t="s">
        <v>26</v>
      </c>
      <c r="AL1692" t="s">
        <v>26</v>
      </c>
      <c r="AM1692" t="s">
        <v>26</v>
      </c>
      <c r="AN1692" t="s">
        <v>26</v>
      </c>
      <c r="AO1692" s="25" t="s">
        <v>68</v>
      </c>
      <c r="AP1692" s="23" t="s">
        <v>69</v>
      </c>
      <c r="AQ1692" s="23" t="s">
        <v>30</v>
      </c>
      <c r="AR1692" s="23" t="s">
        <v>4427</v>
      </c>
      <c r="AS1692" s="25">
        <v>1006506</v>
      </c>
      <c r="AT1692" t="s">
        <v>26</v>
      </c>
      <c r="AU1692" t="s">
        <v>24451</v>
      </c>
    </row>
    <row r="1693" spans="1:47" ht="26.25" x14ac:dyDescent="0.4">
      <c r="A1693" s="23" t="s">
        <v>24452</v>
      </c>
      <c r="B1693" t="s">
        <v>26</v>
      </c>
      <c r="C1693" s="23" t="s">
        <v>1054</v>
      </c>
      <c r="D1693" s="23" t="s">
        <v>22634</v>
      </c>
      <c r="E1693" s="23" t="s">
        <v>335</v>
      </c>
      <c r="F1693" t="s">
        <v>26</v>
      </c>
      <c r="G1693" s="25" t="s">
        <v>24453</v>
      </c>
      <c r="H1693" t="s">
        <v>26</v>
      </c>
      <c r="I1693" t="s">
        <v>26</v>
      </c>
      <c r="J1693" t="s">
        <v>26</v>
      </c>
      <c r="K1693" t="s">
        <v>26</v>
      </c>
      <c r="L1693" s="25" t="s">
        <v>68</v>
      </c>
      <c r="M1693" t="s">
        <v>26</v>
      </c>
      <c r="N1693" t="s">
        <v>26</v>
      </c>
      <c r="O1693" t="s">
        <v>26</v>
      </c>
      <c r="P1693" t="s">
        <v>26</v>
      </c>
      <c r="Q1693" t="s">
        <v>26</v>
      </c>
      <c r="R1693" t="s">
        <v>26</v>
      </c>
      <c r="S1693" t="s">
        <v>26</v>
      </c>
      <c r="T1693" t="s">
        <v>26</v>
      </c>
      <c r="U1693" t="s">
        <v>26</v>
      </c>
      <c r="V1693" t="s">
        <v>26</v>
      </c>
      <c r="W1693" s="24">
        <v>42036</v>
      </c>
      <c r="X1693" s="25" t="s">
        <v>77</v>
      </c>
      <c r="Y1693" t="s">
        <v>26</v>
      </c>
      <c r="Z1693" s="24">
        <v>42036</v>
      </c>
      <c r="AA1693" s="25" t="s">
        <v>77</v>
      </c>
      <c r="AB1693" t="s">
        <v>26</v>
      </c>
      <c r="AC1693" s="24">
        <v>42036</v>
      </c>
      <c r="AD1693" s="25" t="s">
        <v>77</v>
      </c>
      <c r="AE1693" t="s">
        <v>26</v>
      </c>
      <c r="AF1693" t="s">
        <v>26</v>
      </c>
      <c r="AG1693" t="s">
        <v>26</v>
      </c>
      <c r="AH1693" t="s">
        <v>26</v>
      </c>
      <c r="AI1693" t="s">
        <v>26</v>
      </c>
      <c r="AJ1693" t="s">
        <v>26</v>
      </c>
      <c r="AK1693" t="s">
        <v>26</v>
      </c>
      <c r="AL1693" t="s">
        <v>26</v>
      </c>
      <c r="AM1693" t="s">
        <v>26</v>
      </c>
      <c r="AN1693" t="s">
        <v>26</v>
      </c>
      <c r="AO1693" s="25" t="s">
        <v>28</v>
      </c>
      <c r="AP1693" s="23" t="s">
        <v>69</v>
      </c>
      <c r="AQ1693" s="23" t="s">
        <v>30</v>
      </c>
      <c r="AR1693" s="23" t="s">
        <v>24454</v>
      </c>
      <c r="AS1693" s="25">
        <v>4431319</v>
      </c>
      <c r="AT1693" t="s">
        <v>26</v>
      </c>
      <c r="AU1693" t="s">
        <v>24455</v>
      </c>
    </row>
    <row r="1694" spans="1:47" ht="26.25" x14ac:dyDescent="0.4">
      <c r="A1694" s="23" t="s">
        <v>4428</v>
      </c>
      <c r="B1694" t="s">
        <v>26</v>
      </c>
      <c r="C1694" s="23" t="s">
        <v>4429</v>
      </c>
      <c r="D1694" s="23" t="s">
        <v>22179</v>
      </c>
      <c r="E1694" s="23" t="s">
        <v>42</v>
      </c>
      <c r="F1694" s="25" t="s">
        <v>4430</v>
      </c>
      <c r="G1694" t="s">
        <v>26</v>
      </c>
      <c r="H1694" t="s">
        <v>26</v>
      </c>
      <c r="I1694" s="24">
        <v>41821</v>
      </c>
      <c r="J1694" s="25" t="s">
        <v>77</v>
      </c>
      <c r="K1694" t="s">
        <v>26</v>
      </c>
      <c r="L1694" s="25" t="s">
        <v>68</v>
      </c>
      <c r="M1694" s="24">
        <v>41821</v>
      </c>
      <c r="N1694" s="25" t="s">
        <v>77</v>
      </c>
      <c r="O1694" t="s">
        <v>26</v>
      </c>
      <c r="P1694" s="24">
        <v>41821</v>
      </c>
      <c r="Q1694" s="25" t="s">
        <v>77</v>
      </c>
      <c r="R1694" t="s">
        <v>26</v>
      </c>
      <c r="S1694" t="s">
        <v>26</v>
      </c>
      <c r="T1694" t="s">
        <v>26</v>
      </c>
      <c r="U1694" t="s">
        <v>26</v>
      </c>
      <c r="V1694" t="s">
        <v>26</v>
      </c>
      <c r="W1694" s="24">
        <v>41821</v>
      </c>
      <c r="X1694" s="25" t="s">
        <v>77</v>
      </c>
      <c r="Y1694" t="s">
        <v>26</v>
      </c>
      <c r="Z1694" s="24">
        <v>41821</v>
      </c>
      <c r="AA1694" s="25" t="s">
        <v>77</v>
      </c>
      <c r="AB1694" t="s">
        <v>26</v>
      </c>
      <c r="AC1694" s="24">
        <v>41821</v>
      </c>
      <c r="AD1694" s="25" t="s">
        <v>77</v>
      </c>
      <c r="AE1694" t="s">
        <v>26</v>
      </c>
      <c r="AF1694" t="s">
        <v>26</v>
      </c>
      <c r="AG1694" t="s">
        <v>26</v>
      </c>
      <c r="AH1694" t="s">
        <v>26</v>
      </c>
      <c r="AI1694" t="s">
        <v>26</v>
      </c>
      <c r="AJ1694" t="s">
        <v>26</v>
      </c>
      <c r="AK1694" t="s">
        <v>26</v>
      </c>
      <c r="AL1694" t="s">
        <v>26</v>
      </c>
      <c r="AM1694" t="s">
        <v>26</v>
      </c>
      <c r="AN1694" t="s">
        <v>26</v>
      </c>
      <c r="AO1694" s="25" t="s">
        <v>68</v>
      </c>
      <c r="AP1694" s="23" t="s">
        <v>69</v>
      </c>
      <c r="AQ1694" s="23" t="s">
        <v>30</v>
      </c>
      <c r="AR1694" s="23" t="s">
        <v>257</v>
      </c>
      <c r="AS1694" s="25">
        <v>2036060</v>
      </c>
      <c r="AT1694" t="s">
        <v>26</v>
      </c>
      <c r="AU1694" t="s">
        <v>24456</v>
      </c>
    </row>
    <row r="1695" spans="1:47" ht="26.25" x14ac:dyDescent="0.4">
      <c r="A1695" s="23" t="s">
        <v>4431</v>
      </c>
      <c r="B1695" t="s">
        <v>26</v>
      </c>
      <c r="C1695" s="23" t="s">
        <v>73</v>
      </c>
      <c r="D1695" s="23" t="s">
        <v>24457</v>
      </c>
      <c r="E1695" s="23" t="s">
        <v>74</v>
      </c>
      <c r="F1695" s="25" t="s">
        <v>4432</v>
      </c>
      <c r="G1695" s="25" t="s">
        <v>4433</v>
      </c>
      <c r="H1695" t="s">
        <v>26</v>
      </c>
      <c r="I1695" s="24">
        <v>35462</v>
      </c>
      <c r="J1695" s="25" t="s">
        <v>77</v>
      </c>
      <c r="K1695" t="s">
        <v>26</v>
      </c>
      <c r="L1695" s="25" t="s">
        <v>68</v>
      </c>
      <c r="M1695" s="24">
        <v>38018</v>
      </c>
      <c r="N1695" s="24">
        <v>42826</v>
      </c>
      <c r="O1695" t="s">
        <v>26</v>
      </c>
      <c r="P1695" s="24">
        <v>35462</v>
      </c>
      <c r="Q1695" s="25" t="s">
        <v>77</v>
      </c>
      <c r="R1695" t="s">
        <v>26</v>
      </c>
      <c r="S1695" t="s">
        <v>26</v>
      </c>
      <c r="T1695" t="s">
        <v>26</v>
      </c>
      <c r="U1695" t="s">
        <v>26</v>
      </c>
      <c r="V1695" s="25">
        <v>365</v>
      </c>
      <c r="W1695" s="24">
        <v>35462</v>
      </c>
      <c r="X1695" s="25" t="s">
        <v>77</v>
      </c>
      <c r="Y1695" t="s">
        <v>26</v>
      </c>
      <c r="Z1695" s="24">
        <v>35462</v>
      </c>
      <c r="AA1695" s="25" t="s">
        <v>77</v>
      </c>
      <c r="AB1695" t="s">
        <v>26</v>
      </c>
      <c r="AC1695" s="24">
        <v>35462</v>
      </c>
      <c r="AD1695" s="25" t="s">
        <v>77</v>
      </c>
      <c r="AE1695" t="s">
        <v>26</v>
      </c>
      <c r="AF1695" t="s">
        <v>26</v>
      </c>
      <c r="AG1695" t="s">
        <v>26</v>
      </c>
      <c r="AH1695" t="s">
        <v>26</v>
      </c>
      <c r="AI1695" t="s">
        <v>26</v>
      </c>
      <c r="AJ1695" t="s">
        <v>26</v>
      </c>
      <c r="AK1695" t="s">
        <v>26</v>
      </c>
      <c r="AL1695" t="s">
        <v>26</v>
      </c>
      <c r="AM1695" t="s">
        <v>26</v>
      </c>
      <c r="AN1695" t="s">
        <v>26</v>
      </c>
      <c r="AO1695" s="25" t="s">
        <v>68</v>
      </c>
      <c r="AP1695" s="23" t="s">
        <v>69</v>
      </c>
      <c r="AQ1695" s="23" t="s">
        <v>30</v>
      </c>
      <c r="AR1695" s="23" t="s">
        <v>4434</v>
      </c>
      <c r="AS1695" s="25">
        <v>326248</v>
      </c>
      <c r="AT1695" t="s">
        <v>26</v>
      </c>
      <c r="AU1695" t="s">
        <v>24458</v>
      </c>
    </row>
    <row r="1696" spans="1:47" ht="26.25" x14ac:dyDescent="0.4">
      <c r="A1696" s="23" t="s">
        <v>4435</v>
      </c>
      <c r="B1696" t="s">
        <v>26</v>
      </c>
      <c r="C1696" s="23" t="s">
        <v>213</v>
      </c>
      <c r="D1696" s="23" t="s">
        <v>22174</v>
      </c>
      <c r="E1696" s="23" t="s">
        <v>60</v>
      </c>
      <c r="F1696" t="s">
        <v>26</v>
      </c>
      <c r="G1696" s="25" t="s">
        <v>4436</v>
      </c>
      <c r="H1696" t="s">
        <v>26</v>
      </c>
      <c r="I1696" s="24">
        <v>42005</v>
      </c>
      <c r="J1696" s="24">
        <v>42370</v>
      </c>
      <c r="K1696" t="s">
        <v>26</v>
      </c>
      <c r="L1696" s="25" t="s">
        <v>68</v>
      </c>
      <c r="M1696" t="s">
        <v>26</v>
      </c>
      <c r="N1696" t="s">
        <v>26</v>
      </c>
      <c r="O1696" t="s">
        <v>26</v>
      </c>
      <c r="P1696" s="24">
        <v>42005</v>
      </c>
      <c r="Q1696" s="24">
        <v>42370</v>
      </c>
      <c r="R1696" t="s">
        <v>26</v>
      </c>
      <c r="S1696" t="s">
        <v>26</v>
      </c>
      <c r="T1696" t="s">
        <v>26</v>
      </c>
      <c r="U1696" t="s">
        <v>26</v>
      </c>
      <c r="V1696" t="s">
        <v>26</v>
      </c>
      <c r="W1696" s="24">
        <v>42005</v>
      </c>
      <c r="X1696" s="24">
        <v>42370</v>
      </c>
      <c r="Y1696" t="s">
        <v>26</v>
      </c>
      <c r="Z1696" s="24">
        <v>42005</v>
      </c>
      <c r="AA1696" s="24">
        <v>42370</v>
      </c>
      <c r="AB1696" t="s">
        <v>26</v>
      </c>
      <c r="AC1696" s="24">
        <v>42370</v>
      </c>
      <c r="AD1696" s="24">
        <v>42370</v>
      </c>
      <c r="AE1696" t="s">
        <v>26</v>
      </c>
      <c r="AF1696" t="s">
        <v>26</v>
      </c>
      <c r="AG1696" t="s">
        <v>26</v>
      </c>
      <c r="AH1696" t="s">
        <v>26</v>
      </c>
      <c r="AI1696" t="s">
        <v>26</v>
      </c>
      <c r="AJ1696" t="s">
        <v>26</v>
      </c>
      <c r="AK1696" t="s">
        <v>26</v>
      </c>
      <c r="AL1696" t="s">
        <v>26</v>
      </c>
      <c r="AM1696" t="s">
        <v>26</v>
      </c>
      <c r="AN1696" t="s">
        <v>26</v>
      </c>
      <c r="AO1696" s="25" t="s">
        <v>68</v>
      </c>
      <c r="AP1696" s="23" t="s">
        <v>69</v>
      </c>
      <c r="AQ1696" s="23" t="s">
        <v>30</v>
      </c>
      <c r="AR1696" s="23" t="s">
        <v>4437</v>
      </c>
      <c r="AS1696" s="25">
        <v>2040214</v>
      </c>
      <c r="AT1696" t="s">
        <v>26</v>
      </c>
      <c r="AU1696" t="s">
        <v>24459</v>
      </c>
    </row>
    <row r="1697" spans="1:47" ht="26.25" x14ac:dyDescent="0.4">
      <c r="A1697" s="23" t="s">
        <v>4438</v>
      </c>
      <c r="B1697" t="s">
        <v>26</v>
      </c>
      <c r="C1697" s="23" t="s">
        <v>981</v>
      </c>
      <c r="D1697" s="23" t="s">
        <v>22254</v>
      </c>
      <c r="E1697" s="23" t="s">
        <v>42</v>
      </c>
      <c r="F1697" s="25" t="s">
        <v>4439</v>
      </c>
      <c r="G1697" s="25" t="s">
        <v>4440</v>
      </c>
      <c r="H1697" t="s">
        <v>26</v>
      </c>
      <c r="I1697" s="24">
        <v>35855</v>
      </c>
      <c r="J1697" s="24">
        <v>40483</v>
      </c>
      <c r="K1697" t="s">
        <v>26</v>
      </c>
      <c r="L1697" s="25" t="s">
        <v>68</v>
      </c>
      <c r="M1697" s="24">
        <v>35855</v>
      </c>
      <c r="N1697" s="24">
        <v>40483</v>
      </c>
      <c r="O1697" t="s">
        <v>26</v>
      </c>
      <c r="P1697" s="24">
        <v>35855</v>
      </c>
      <c r="Q1697" s="24">
        <v>40483</v>
      </c>
      <c r="R1697" t="s">
        <v>26</v>
      </c>
      <c r="S1697" t="s">
        <v>26</v>
      </c>
      <c r="T1697" t="s">
        <v>26</v>
      </c>
      <c r="U1697" t="s">
        <v>26</v>
      </c>
      <c r="V1697" t="s">
        <v>26</v>
      </c>
      <c r="W1697" s="24">
        <v>35855</v>
      </c>
      <c r="X1697" s="25" t="s">
        <v>77</v>
      </c>
      <c r="Y1697" t="s">
        <v>26</v>
      </c>
      <c r="Z1697" s="24">
        <v>35855</v>
      </c>
      <c r="AA1697" s="25" t="s">
        <v>77</v>
      </c>
      <c r="AB1697" t="s">
        <v>26</v>
      </c>
      <c r="AC1697" s="24">
        <v>35855</v>
      </c>
      <c r="AD1697" s="25" t="s">
        <v>77</v>
      </c>
      <c r="AE1697" t="s">
        <v>26</v>
      </c>
      <c r="AF1697" t="s">
        <v>26</v>
      </c>
      <c r="AG1697" t="s">
        <v>26</v>
      </c>
      <c r="AH1697" t="s">
        <v>26</v>
      </c>
      <c r="AI1697" t="s">
        <v>26</v>
      </c>
      <c r="AJ1697" t="s">
        <v>26</v>
      </c>
      <c r="AK1697" t="s">
        <v>26</v>
      </c>
      <c r="AL1697" t="s">
        <v>26</v>
      </c>
      <c r="AM1697" t="s">
        <v>26</v>
      </c>
      <c r="AN1697" t="s">
        <v>26</v>
      </c>
      <c r="AO1697" s="25" t="s">
        <v>68</v>
      </c>
      <c r="AP1697" s="23" t="s">
        <v>69</v>
      </c>
      <c r="AQ1697" s="23" t="s">
        <v>30</v>
      </c>
      <c r="AR1697" s="23" t="s">
        <v>123</v>
      </c>
      <c r="AS1697" s="25">
        <v>35941</v>
      </c>
      <c r="AT1697" t="s">
        <v>26</v>
      </c>
      <c r="AU1697" t="s">
        <v>24460</v>
      </c>
    </row>
    <row r="1698" spans="1:47" ht="26.25" x14ac:dyDescent="0.4">
      <c r="A1698" s="23" t="s">
        <v>4441</v>
      </c>
      <c r="B1698" t="s">
        <v>26</v>
      </c>
      <c r="C1698" s="23" t="s">
        <v>1365</v>
      </c>
      <c r="D1698" s="23" t="s">
        <v>22795</v>
      </c>
      <c r="E1698" s="23" t="s">
        <v>335</v>
      </c>
      <c r="F1698" s="25" t="s">
        <v>4442</v>
      </c>
      <c r="G1698" s="25" t="s">
        <v>4443</v>
      </c>
      <c r="H1698" t="s">
        <v>26</v>
      </c>
      <c r="I1698" t="s">
        <v>26</v>
      </c>
      <c r="J1698" t="s">
        <v>26</v>
      </c>
      <c r="K1698" t="s">
        <v>26</v>
      </c>
      <c r="L1698" s="25" t="s">
        <v>68</v>
      </c>
      <c r="M1698" t="s">
        <v>26</v>
      </c>
      <c r="N1698" t="s">
        <v>26</v>
      </c>
      <c r="O1698" t="s">
        <v>26</v>
      </c>
      <c r="P1698" t="s">
        <v>26</v>
      </c>
      <c r="Q1698" t="s">
        <v>26</v>
      </c>
      <c r="R1698" t="s">
        <v>26</v>
      </c>
      <c r="S1698" t="s">
        <v>26</v>
      </c>
      <c r="T1698" t="s">
        <v>26</v>
      </c>
      <c r="U1698" t="s">
        <v>26</v>
      </c>
      <c r="V1698" t="s">
        <v>26</v>
      </c>
      <c r="W1698" s="24">
        <v>43191</v>
      </c>
      <c r="X1698" s="25" t="s">
        <v>77</v>
      </c>
      <c r="Y1698" t="s">
        <v>26</v>
      </c>
      <c r="Z1698" s="24">
        <v>43191</v>
      </c>
      <c r="AA1698" s="25" t="s">
        <v>77</v>
      </c>
      <c r="AB1698" t="s">
        <v>26</v>
      </c>
      <c r="AC1698" s="24">
        <v>43191</v>
      </c>
      <c r="AD1698" s="25" t="s">
        <v>77</v>
      </c>
      <c r="AE1698" t="s">
        <v>26</v>
      </c>
      <c r="AF1698" t="s">
        <v>26</v>
      </c>
      <c r="AG1698" t="s">
        <v>26</v>
      </c>
      <c r="AH1698" t="s">
        <v>26</v>
      </c>
      <c r="AI1698" t="s">
        <v>26</v>
      </c>
      <c r="AJ1698" t="s">
        <v>26</v>
      </c>
      <c r="AK1698" t="s">
        <v>26</v>
      </c>
      <c r="AL1698" t="s">
        <v>26</v>
      </c>
      <c r="AM1698" t="s">
        <v>26</v>
      </c>
      <c r="AN1698" t="s">
        <v>26</v>
      </c>
      <c r="AO1698" s="25" t="s">
        <v>28</v>
      </c>
      <c r="AP1698" s="23" t="s">
        <v>69</v>
      </c>
      <c r="AQ1698" s="23" t="s">
        <v>30</v>
      </c>
      <c r="AR1698" s="23" t="s">
        <v>4444</v>
      </c>
      <c r="AS1698" s="25">
        <v>3748007</v>
      </c>
      <c r="AT1698" t="s">
        <v>26</v>
      </c>
      <c r="AU1698" t="s">
        <v>24461</v>
      </c>
    </row>
    <row r="1699" spans="1:47" ht="26.25" x14ac:dyDescent="0.4">
      <c r="A1699" s="23" t="s">
        <v>4445</v>
      </c>
      <c r="B1699" t="s">
        <v>26</v>
      </c>
      <c r="C1699" s="23" t="s">
        <v>172</v>
      </c>
      <c r="D1699" s="23" t="s">
        <v>22254</v>
      </c>
      <c r="E1699" s="23" t="s">
        <v>60</v>
      </c>
      <c r="F1699" s="25" t="s">
        <v>4446</v>
      </c>
      <c r="G1699" s="25" t="s">
        <v>4447</v>
      </c>
      <c r="H1699" t="s">
        <v>26</v>
      </c>
      <c r="I1699" s="24">
        <v>35431</v>
      </c>
      <c r="J1699" s="24">
        <v>41548</v>
      </c>
      <c r="K1699" t="s">
        <v>26</v>
      </c>
      <c r="L1699" s="25" t="s">
        <v>68</v>
      </c>
      <c r="M1699" s="24">
        <v>35431</v>
      </c>
      <c r="N1699" s="24">
        <v>41548</v>
      </c>
      <c r="O1699" t="s">
        <v>26</v>
      </c>
      <c r="P1699" s="24">
        <v>35431</v>
      </c>
      <c r="Q1699" s="24">
        <v>41548</v>
      </c>
      <c r="R1699" t="s">
        <v>26</v>
      </c>
      <c r="S1699" t="s">
        <v>26</v>
      </c>
      <c r="T1699" t="s">
        <v>26</v>
      </c>
      <c r="U1699" t="s">
        <v>26</v>
      </c>
      <c r="V1699" t="s">
        <v>26</v>
      </c>
      <c r="W1699" s="24">
        <v>35431</v>
      </c>
      <c r="X1699" s="25" t="s">
        <v>77</v>
      </c>
      <c r="Y1699" t="s">
        <v>26</v>
      </c>
      <c r="Z1699" s="24">
        <v>35431</v>
      </c>
      <c r="AA1699" s="25" t="s">
        <v>77</v>
      </c>
      <c r="AB1699" t="s">
        <v>26</v>
      </c>
      <c r="AC1699" s="24">
        <v>37987</v>
      </c>
      <c r="AD1699" s="25" t="s">
        <v>77</v>
      </c>
      <c r="AE1699" t="s">
        <v>26</v>
      </c>
      <c r="AF1699" t="s">
        <v>26</v>
      </c>
      <c r="AG1699" t="s">
        <v>26</v>
      </c>
      <c r="AH1699" t="s">
        <v>26</v>
      </c>
      <c r="AI1699" t="s">
        <v>26</v>
      </c>
      <c r="AJ1699" t="s">
        <v>26</v>
      </c>
      <c r="AK1699" t="s">
        <v>26</v>
      </c>
      <c r="AL1699" t="s">
        <v>26</v>
      </c>
      <c r="AM1699" t="s">
        <v>26</v>
      </c>
      <c r="AN1699" t="s">
        <v>26</v>
      </c>
      <c r="AO1699" s="25" t="s">
        <v>68</v>
      </c>
      <c r="AP1699" s="23" t="s">
        <v>69</v>
      </c>
      <c r="AQ1699" s="23" t="s">
        <v>30</v>
      </c>
      <c r="AR1699" s="23" t="s">
        <v>4448</v>
      </c>
      <c r="AS1699" s="25">
        <v>35948</v>
      </c>
      <c r="AT1699" t="s">
        <v>26</v>
      </c>
      <c r="AU1699" t="s">
        <v>24462</v>
      </c>
    </row>
    <row r="1700" spans="1:47" ht="26.25" x14ac:dyDescent="0.4">
      <c r="A1700" s="23" t="s">
        <v>4449</v>
      </c>
      <c r="B1700" t="s">
        <v>26</v>
      </c>
      <c r="C1700" s="23" t="s">
        <v>399</v>
      </c>
      <c r="D1700" s="23" t="s">
        <v>24463</v>
      </c>
      <c r="E1700" s="23" t="s">
        <v>60</v>
      </c>
      <c r="F1700" s="25" t="s">
        <v>4450</v>
      </c>
      <c r="G1700" s="25" t="s">
        <v>4451</v>
      </c>
      <c r="H1700" t="s">
        <v>26</v>
      </c>
      <c r="I1700" s="24">
        <v>37591</v>
      </c>
      <c r="J1700" s="24">
        <v>42705</v>
      </c>
      <c r="K1700" t="s">
        <v>26</v>
      </c>
      <c r="L1700" s="25" t="s">
        <v>68</v>
      </c>
      <c r="M1700" s="24">
        <v>37591</v>
      </c>
      <c r="N1700" s="24">
        <v>42705</v>
      </c>
      <c r="O1700" t="s">
        <v>26</v>
      </c>
      <c r="P1700" s="24">
        <v>37591</v>
      </c>
      <c r="Q1700" s="24">
        <v>42705</v>
      </c>
      <c r="R1700" t="s">
        <v>26</v>
      </c>
      <c r="S1700" t="s">
        <v>26</v>
      </c>
      <c r="T1700" t="s">
        <v>26</v>
      </c>
      <c r="U1700" t="s">
        <v>26</v>
      </c>
      <c r="V1700" t="s">
        <v>26</v>
      </c>
      <c r="W1700" s="24">
        <v>32874</v>
      </c>
      <c r="X1700" s="25" t="s">
        <v>77</v>
      </c>
      <c r="Y1700" s="25" t="s">
        <v>4452</v>
      </c>
      <c r="Z1700" s="24">
        <v>32874</v>
      </c>
      <c r="AA1700" s="25" t="s">
        <v>77</v>
      </c>
      <c r="AB1700" s="25" t="s">
        <v>4452</v>
      </c>
      <c r="AC1700" s="24">
        <v>35065</v>
      </c>
      <c r="AD1700" s="25" t="s">
        <v>77</v>
      </c>
      <c r="AE1700" s="25" t="s">
        <v>4452</v>
      </c>
      <c r="AF1700" t="s">
        <v>26</v>
      </c>
      <c r="AG1700" t="s">
        <v>26</v>
      </c>
      <c r="AH1700" t="s">
        <v>26</v>
      </c>
      <c r="AI1700" t="s">
        <v>26</v>
      </c>
      <c r="AJ1700" t="s">
        <v>26</v>
      </c>
      <c r="AK1700" t="s">
        <v>26</v>
      </c>
      <c r="AL1700" t="s">
        <v>26</v>
      </c>
      <c r="AM1700" t="s">
        <v>26</v>
      </c>
      <c r="AN1700" t="s">
        <v>26</v>
      </c>
      <c r="AO1700" s="25" t="s">
        <v>68</v>
      </c>
      <c r="AP1700" s="23" t="s">
        <v>69</v>
      </c>
      <c r="AQ1700" s="23" t="s">
        <v>30</v>
      </c>
      <c r="AR1700" s="23" t="s">
        <v>4453</v>
      </c>
      <c r="AS1700" s="25">
        <v>47718</v>
      </c>
      <c r="AT1700" t="s">
        <v>26</v>
      </c>
      <c r="AU1700" t="s">
        <v>24464</v>
      </c>
    </row>
    <row r="1701" spans="1:47" ht="26.25" x14ac:dyDescent="0.4">
      <c r="A1701" s="23" t="s">
        <v>4454</v>
      </c>
      <c r="B1701" t="s">
        <v>26</v>
      </c>
      <c r="C1701" s="23" t="s">
        <v>4455</v>
      </c>
      <c r="D1701" s="23" t="s">
        <v>22832</v>
      </c>
      <c r="E1701" s="23" t="s">
        <v>42</v>
      </c>
      <c r="F1701" s="25" t="s">
        <v>4456</v>
      </c>
      <c r="G1701" s="25" t="s">
        <v>4457</v>
      </c>
      <c r="H1701" t="s">
        <v>26</v>
      </c>
      <c r="I1701" t="s">
        <v>26</v>
      </c>
      <c r="J1701" t="s">
        <v>26</v>
      </c>
      <c r="K1701" t="s">
        <v>26</v>
      </c>
      <c r="L1701" s="25" t="s">
        <v>68</v>
      </c>
      <c r="M1701" t="s">
        <v>26</v>
      </c>
      <c r="N1701" t="s">
        <v>26</v>
      </c>
      <c r="O1701" t="s">
        <v>26</v>
      </c>
      <c r="P1701" t="s">
        <v>26</v>
      </c>
      <c r="Q1701" t="s">
        <v>26</v>
      </c>
      <c r="R1701" t="s">
        <v>26</v>
      </c>
      <c r="S1701" t="s">
        <v>26</v>
      </c>
      <c r="T1701" t="s">
        <v>26</v>
      </c>
      <c r="U1701" t="s">
        <v>26</v>
      </c>
      <c r="V1701" t="s">
        <v>26</v>
      </c>
      <c r="W1701" s="24">
        <v>42005</v>
      </c>
      <c r="X1701" s="25" t="s">
        <v>77</v>
      </c>
      <c r="Y1701" t="s">
        <v>26</v>
      </c>
      <c r="Z1701" s="24">
        <v>42005</v>
      </c>
      <c r="AA1701" s="25" t="s">
        <v>77</v>
      </c>
      <c r="AB1701" t="s">
        <v>26</v>
      </c>
      <c r="AC1701" s="24">
        <v>42005</v>
      </c>
      <c r="AD1701" s="25" t="s">
        <v>77</v>
      </c>
      <c r="AE1701" t="s">
        <v>26</v>
      </c>
      <c r="AF1701" t="s">
        <v>26</v>
      </c>
      <c r="AG1701" t="s">
        <v>26</v>
      </c>
      <c r="AH1701" t="s">
        <v>26</v>
      </c>
      <c r="AI1701" t="s">
        <v>26</v>
      </c>
      <c r="AJ1701" t="s">
        <v>26</v>
      </c>
      <c r="AK1701" t="s">
        <v>26</v>
      </c>
      <c r="AL1701" t="s">
        <v>26</v>
      </c>
      <c r="AM1701" t="s">
        <v>26</v>
      </c>
      <c r="AN1701" t="s">
        <v>26</v>
      </c>
      <c r="AO1701" s="25" t="s">
        <v>68</v>
      </c>
      <c r="AP1701" s="23" t="s">
        <v>69</v>
      </c>
      <c r="AQ1701" s="23" t="s">
        <v>30</v>
      </c>
      <c r="AR1701" s="23" t="s">
        <v>4458</v>
      </c>
      <c r="AS1701" s="25">
        <v>2033117</v>
      </c>
      <c r="AT1701" t="s">
        <v>26</v>
      </c>
      <c r="AU1701" t="s">
        <v>24465</v>
      </c>
    </row>
    <row r="1702" spans="1:47" ht="26.25" x14ac:dyDescent="0.4">
      <c r="A1702" s="23" t="s">
        <v>4459</v>
      </c>
      <c r="B1702" t="s">
        <v>26</v>
      </c>
      <c r="C1702" s="23" t="s">
        <v>4460</v>
      </c>
      <c r="D1702" s="23" t="s">
        <v>22254</v>
      </c>
      <c r="E1702" s="23" t="s">
        <v>42</v>
      </c>
      <c r="F1702" s="25" t="s">
        <v>4461</v>
      </c>
      <c r="G1702" s="25" t="s">
        <v>4462</v>
      </c>
      <c r="H1702" t="s">
        <v>26</v>
      </c>
      <c r="I1702" s="24">
        <v>34335</v>
      </c>
      <c r="J1702" s="25" t="s">
        <v>77</v>
      </c>
      <c r="K1702" t="s">
        <v>26</v>
      </c>
      <c r="L1702" s="25" t="s">
        <v>68</v>
      </c>
      <c r="M1702" s="24">
        <v>34335</v>
      </c>
      <c r="N1702" s="25" t="s">
        <v>77</v>
      </c>
      <c r="O1702" t="s">
        <v>26</v>
      </c>
      <c r="P1702" s="24">
        <v>34881</v>
      </c>
      <c r="Q1702" s="25" t="s">
        <v>77</v>
      </c>
      <c r="R1702" t="s">
        <v>26</v>
      </c>
      <c r="S1702" t="s">
        <v>26</v>
      </c>
      <c r="T1702" t="s">
        <v>26</v>
      </c>
      <c r="U1702" t="s">
        <v>26</v>
      </c>
      <c r="V1702" t="s">
        <v>26</v>
      </c>
      <c r="W1702" s="24">
        <v>33604</v>
      </c>
      <c r="X1702" s="25" t="s">
        <v>77</v>
      </c>
      <c r="Y1702" t="s">
        <v>26</v>
      </c>
      <c r="Z1702" s="24">
        <v>33604</v>
      </c>
      <c r="AA1702" s="25" t="s">
        <v>77</v>
      </c>
      <c r="AB1702" t="s">
        <v>26</v>
      </c>
      <c r="AC1702" s="24">
        <v>33604</v>
      </c>
      <c r="AD1702" s="25" t="s">
        <v>77</v>
      </c>
      <c r="AE1702" t="s">
        <v>26</v>
      </c>
      <c r="AF1702" t="s">
        <v>26</v>
      </c>
      <c r="AG1702" t="s">
        <v>26</v>
      </c>
      <c r="AH1702" t="s">
        <v>26</v>
      </c>
      <c r="AI1702" t="s">
        <v>26</v>
      </c>
      <c r="AJ1702" t="s">
        <v>26</v>
      </c>
      <c r="AK1702" t="s">
        <v>26</v>
      </c>
      <c r="AL1702" t="s">
        <v>26</v>
      </c>
      <c r="AM1702" t="s">
        <v>26</v>
      </c>
      <c r="AN1702" t="s">
        <v>26</v>
      </c>
      <c r="AO1702" s="25" t="s">
        <v>68</v>
      </c>
      <c r="AP1702" s="23" t="s">
        <v>69</v>
      </c>
      <c r="AQ1702" s="23" t="s">
        <v>30</v>
      </c>
      <c r="AR1702" s="23" t="s">
        <v>4463</v>
      </c>
      <c r="AS1702" s="25">
        <v>47655</v>
      </c>
      <c r="AT1702" t="s">
        <v>26</v>
      </c>
      <c r="AU1702" t="s">
        <v>24466</v>
      </c>
    </row>
    <row r="1703" spans="1:47" ht="26.25" x14ac:dyDescent="0.4">
      <c r="A1703" s="23" t="s">
        <v>4464</v>
      </c>
      <c r="B1703" t="s">
        <v>26</v>
      </c>
      <c r="C1703" s="23" t="s">
        <v>102</v>
      </c>
      <c r="D1703" s="23" t="s">
        <v>22192</v>
      </c>
      <c r="E1703" s="23" t="s">
        <v>42</v>
      </c>
      <c r="F1703" s="25" t="s">
        <v>4465</v>
      </c>
      <c r="G1703" s="25" t="s">
        <v>4466</v>
      </c>
      <c r="H1703" t="s">
        <v>26</v>
      </c>
      <c r="I1703" t="s">
        <v>26</v>
      </c>
      <c r="J1703" t="s">
        <v>26</v>
      </c>
      <c r="K1703" t="s">
        <v>26</v>
      </c>
      <c r="L1703" s="25" t="s">
        <v>68</v>
      </c>
      <c r="M1703" t="s">
        <v>26</v>
      </c>
      <c r="N1703" t="s">
        <v>26</v>
      </c>
      <c r="O1703" t="s">
        <v>26</v>
      </c>
      <c r="P1703" t="s">
        <v>26</v>
      </c>
      <c r="Q1703" t="s">
        <v>26</v>
      </c>
      <c r="R1703" t="s">
        <v>26</v>
      </c>
      <c r="S1703" t="s">
        <v>26</v>
      </c>
      <c r="T1703" t="s">
        <v>26</v>
      </c>
      <c r="U1703" t="s">
        <v>26</v>
      </c>
      <c r="V1703" t="s">
        <v>26</v>
      </c>
      <c r="W1703" s="24">
        <v>38078</v>
      </c>
      <c r="X1703" s="25" t="s">
        <v>77</v>
      </c>
      <c r="Y1703" t="s">
        <v>26</v>
      </c>
      <c r="Z1703" s="24">
        <v>38078</v>
      </c>
      <c r="AA1703" s="25" t="s">
        <v>77</v>
      </c>
      <c r="AB1703" t="s">
        <v>26</v>
      </c>
      <c r="AC1703" s="24">
        <v>38078</v>
      </c>
      <c r="AD1703" s="25" t="s">
        <v>77</v>
      </c>
      <c r="AE1703" t="s">
        <v>26</v>
      </c>
      <c r="AF1703" t="s">
        <v>26</v>
      </c>
      <c r="AG1703" t="s">
        <v>26</v>
      </c>
      <c r="AH1703" t="s">
        <v>26</v>
      </c>
      <c r="AI1703" t="s">
        <v>26</v>
      </c>
      <c r="AJ1703" t="s">
        <v>26</v>
      </c>
      <c r="AK1703" t="s">
        <v>26</v>
      </c>
      <c r="AL1703" t="s">
        <v>26</v>
      </c>
      <c r="AM1703" t="s">
        <v>26</v>
      </c>
      <c r="AN1703" t="s">
        <v>26</v>
      </c>
      <c r="AO1703" s="25" t="s">
        <v>68</v>
      </c>
      <c r="AP1703" s="23" t="s">
        <v>69</v>
      </c>
      <c r="AQ1703" s="23" t="s">
        <v>30</v>
      </c>
      <c r="AR1703" s="23" t="s">
        <v>70</v>
      </c>
      <c r="AS1703" s="25">
        <v>25199</v>
      </c>
      <c r="AT1703" t="s">
        <v>26</v>
      </c>
      <c r="AU1703" t="s">
        <v>24467</v>
      </c>
    </row>
    <row r="1704" spans="1:47" ht="26.25" x14ac:dyDescent="0.4">
      <c r="A1704" s="23" t="s">
        <v>4467</v>
      </c>
      <c r="B1704" t="s">
        <v>26</v>
      </c>
      <c r="C1704" s="23" t="s">
        <v>73</v>
      </c>
      <c r="D1704" s="23" t="s">
        <v>24468</v>
      </c>
      <c r="E1704" s="23" t="s">
        <v>74</v>
      </c>
      <c r="F1704" s="25" t="s">
        <v>4468</v>
      </c>
      <c r="G1704" s="25" t="s">
        <v>4469</v>
      </c>
      <c r="H1704" t="s">
        <v>26</v>
      </c>
      <c r="I1704" t="s">
        <v>26</v>
      </c>
      <c r="J1704" t="s">
        <v>26</v>
      </c>
      <c r="K1704" t="s">
        <v>26</v>
      </c>
      <c r="L1704" s="25" t="s">
        <v>68</v>
      </c>
      <c r="M1704" t="s">
        <v>26</v>
      </c>
      <c r="N1704" t="s">
        <v>26</v>
      </c>
      <c r="O1704" t="s">
        <v>26</v>
      </c>
      <c r="P1704" t="s">
        <v>26</v>
      </c>
      <c r="Q1704" t="s">
        <v>26</v>
      </c>
      <c r="R1704" t="s">
        <v>26</v>
      </c>
      <c r="S1704" t="s">
        <v>26</v>
      </c>
      <c r="T1704" t="s">
        <v>26</v>
      </c>
      <c r="U1704" t="s">
        <v>26</v>
      </c>
      <c r="V1704" t="s">
        <v>26</v>
      </c>
      <c r="W1704" s="24">
        <v>37257</v>
      </c>
      <c r="X1704" s="24">
        <v>42156</v>
      </c>
      <c r="Y1704" t="s">
        <v>26</v>
      </c>
      <c r="Z1704" s="24">
        <v>37257</v>
      </c>
      <c r="AA1704" s="24">
        <v>42156</v>
      </c>
      <c r="AB1704" t="s">
        <v>26</v>
      </c>
      <c r="AC1704" s="24">
        <v>37257</v>
      </c>
      <c r="AD1704" s="24">
        <v>42156</v>
      </c>
      <c r="AE1704" t="s">
        <v>26</v>
      </c>
      <c r="AF1704" t="s">
        <v>26</v>
      </c>
      <c r="AG1704" t="s">
        <v>26</v>
      </c>
      <c r="AH1704" t="s">
        <v>26</v>
      </c>
      <c r="AI1704" t="s">
        <v>26</v>
      </c>
      <c r="AJ1704" t="s">
        <v>26</v>
      </c>
      <c r="AK1704" t="s">
        <v>26</v>
      </c>
      <c r="AL1704" t="s">
        <v>26</v>
      </c>
      <c r="AM1704" t="s">
        <v>26</v>
      </c>
      <c r="AN1704" t="s">
        <v>26</v>
      </c>
      <c r="AO1704" s="25" t="s">
        <v>68</v>
      </c>
      <c r="AP1704" s="23" t="s">
        <v>69</v>
      </c>
      <c r="AQ1704" s="23" t="s">
        <v>30</v>
      </c>
      <c r="AR1704" s="23" t="s">
        <v>70</v>
      </c>
      <c r="AS1704" s="25">
        <v>51646</v>
      </c>
      <c r="AT1704" t="s">
        <v>26</v>
      </c>
      <c r="AU1704" t="s">
        <v>24469</v>
      </c>
    </row>
    <row r="1705" spans="1:47" ht="26.25" x14ac:dyDescent="0.4">
      <c r="A1705" s="23" t="s">
        <v>4470</v>
      </c>
      <c r="B1705" t="s">
        <v>26</v>
      </c>
      <c r="C1705" s="23" t="s">
        <v>172</v>
      </c>
      <c r="D1705" s="23" t="s">
        <v>22179</v>
      </c>
      <c r="E1705" s="23" t="s">
        <v>60</v>
      </c>
      <c r="F1705" s="25" t="s">
        <v>4471</v>
      </c>
      <c r="G1705" s="25" t="s">
        <v>4472</v>
      </c>
      <c r="H1705" t="s">
        <v>26</v>
      </c>
      <c r="I1705" t="s">
        <v>26</v>
      </c>
      <c r="J1705" t="s">
        <v>26</v>
      </c>
      <c r="K1705" t="s">
        <v>26</v>
      </c>
      <c r="L1705" s="25" t="s">
        <v>68</v>
      </c>
      <c r="M1705" t="s">
        <v>26</v>
      </c>
      <c r="N1705" t="s">
        <v>26</v>
      </c>
      <c r="O1705" t="s">
        <v>26</v>
      </c>
      <c r="P1705" t="s">
        <v>26</v>
      </c>
      <c r="Q1705" t="s">
        <v>26</v>
      </c>
      <c r="R1705" t="s">
        <v>26</v>
      </c>
      <c r="S1705" t="s">
        <v>26</v>
      </c>
      <c r="T1705" t="s">
        <v>26</v>
      </c>
      <c r="U1705" t="s">
        <v>26</v>
      </c>
      <c r="V1705" t="s">
        <v>26</v>
      </c>
      <c r="W1705" s="24">
        <v>38504</v>
      </c>
      <c r="X1705" s="25" t="s">
        <v>77</v>
      </c>
      <c r="Y1705" t="s">
        <v>26</v>
      </c>
      <c r="Z1705" s="24">
        <v>38504</v>
      </c>
      <c r="AA1705" s="25" t="s">
        <v>77</v>
      </c>
      <c r="AB1705" t="s">
        <v>26</v>
      </c>
      <c r="AC1705" s="24">
        <v>38504</v>
      </c>
      <c r="AD1705" s="25" t="s">
        <v>77</v>
      </c>
      <c r="AE1705" t="s">
        <v>26</v>
      </c>
      <c r="AF1705" t="s">
        <v>26</v>
      </c>
      <c r="AG1705" t="s">
        <v>26</v>
      </c>
      <c r="AH1705" t="s">
        <v>26</v>
      </c>
      <c r="AI1705" t="s">
        <v>26</v>
      </c>
      <c r="AJ1705" t="s">
        <v>26</v>
      </c>
      <c r="AK1705" t="s">
        <v>26</v>
      </c>
      <c r="AL1705" t="s">
        <v>26</v>
      </c>
      <c r="AM1705" t="s">
        <v>26</v>
      </c>
      <c r="AN1705" t="s">
        <v>26</v>
      </c>
      <c r="AO1705" s="25" t="s">
        <v>68</v>
      </c>
      <c r="AP1705" s="23" t="s">
        <v>69</v>
      </c>
      <c r="AQ1705" s="23" t="s">
        <v>30</v>
      </c>
      <c r="AR1705" s="23" t="s">
        <v>4473</v>
      </c>
      <c r="AS1705" s="25">
        <v>31528</v>
      </c>
      <c r="AT1705" t="s">
        <v>26</v>
      </c>
      <c r="AU1705" t="s">
        <v>24470</v>
      </c>
    </row>
    <row r="1706" spans="1:47" ht="26.25" x14ac:dyDescent="0.4">
      <c r="A1706" s="23" t="s">
        <v>4474</v>
      </c>
      <c r="B1706" t="s">
        <v>26</v>
      </c>
      <c r="C1706" s="23" t="s">
        <v>213</v>
      </c>
      <c r="D1706" s="23" t="s">
        <v>22174</v>
      </c>
      <c r="E1706" s="23" t="s">
        <v>60</v>
      </c>
      <c r="F1706" s="25" t="s">
        <v>4475</v>
      </c>
      <c r="G1706" s="25" t="s">
        <v>4476</v>
      </c>
      <c r="H1706" t="s">
        <v>26</v>
      </c>
      <c r="I1706" s="24">
        <v>41640</v>
      </c>
      <c r="J1706" s="25" t="s">
        <v>77</v>
      </c>
      <c r="K1706" t="s">
        <v>26</v>
      </c>
      <c r="L1706" s="25" t="s">
        <v>68</v>
      </c>
      <c r="M1706" t="s">
        <v>26</v>
      </c>
      <c r="N1706" t="s">
        <v>26</v>
      </c>
      <c r="O1706" t="s">
        <v>26</v>
      </c>
      <c r="P1706" s="24">
        <v>41640</v>
      </c>
      <c r="Q1706" s="25" t="s">
        <v>77</v>
      </c>
      <c r="R1706" t="s">
        <v>26</v>
      </c>
      <c r="S1706" t="s">
        <v>26</v>
      </c>
      <c r="T1706" t="s">
        <v>26</v>
      </c>
      <c r="U1706" t="s">
        <v>26</v>
      </c>
      <c r="V1706" t="s">
        <v>26</v>
      </c>
      <c r="W1706" s="24">
        <v>41640</v>
      </c>
      <c r="X1706" s="25" t="s">
        <v>77</v>
      </c>
      <c r="Y1706" t="s">
        <v>26</v>
      </c>
      <c r="Z1706" s="24">
        <v>41640</v>
      </c>
      <c r="AA1706" s="25" t="s">
        <v>77</v>
      </c>
      <c r="AB1706" t="s">
        <v>26</v>
      </c>
      <c r="AC1706" s="24">
        <v>41640</v>
      </c>
      <c r="AD1706" s="25" t="s">
        <v>77</v>
      </c>
      <c r="AE1706" t="s">
        <v>26</v>
      </c>
      <c r="AF1706" t="s">
        <v>26</v>
      </c>
      <c r="AG1706" t="s">
        <v>26</v>
      </c>
      <c r="AH1706" t="s">
        <v>26</v>
      </c>
      <c r="AI1706" t="s">
        <v>26</v>
      </c>
      <c r="AJ1706" t="s">
        <v>26</v>
      </c>
      <c r="AK1706" t="s">
        <v>26</v>
      </c>
      <c r="AL1706" t="s">
        <v>26</v>
      </c>
      <c r="AM1706" t="s">
        <v>26</v>
      </c>
      <c r="AN1706" t="s">
        <v>26</v>
      </c>
      <c r="AO1706" s="25" t="s">
        <v>68</v>
      </c>
      <c r="AP1706" s="23" t="s">
        <v>69</v>
      </c>
      <c r="AQ1706" s="23" t="s">
        <v>30</v>
      </c>
      <c r="AR1706" s="23" t="s">
        <v>70</v>
      </c>
      <c r="AS1706" s="25">
        <v>2040182</v>
      </c>
      <c r="AT1706" t="s">
        <v>26</v>
      </c>
      <c r="AU1706" t="s">
        <v>24471</v>
      </c>
    </row>
    <row r="1707" spans="1:47" ht="26.25" x14ac:dyDescent="0.4">
      <c r="A1707" s="23" t="s">
        <v>4477</v>
      </c>
      <c r="B1707" t="s">
        <v>26</v>
      </c>
      <c r="C1707" s="23" t="s">
        <v>908</v>
      </c>
      <c r="D1707" t="s">
        <v>26</v>
      </c>
      <c r="E1707" s="23" t="s">
        <v>60</v>
      </c>
      <c r="F1707" s="25" t="s">
        <v>4478</v>
      </c>
      <c r="G1707" t="s">
        <v>26</v>
      </c>
      <c r="H1707" t="s">
        <v>26</v>
      </c>
      <c r="I1707" s="24">
        <v>13881</v>
      </c>
      <c r="J1707" s="24">
        <v>15707</v>
      </c>
      <c r="K1707" t="s">
        <v>26</v>
      </c>
      <c r="L1707" s="25" t="s">
        <v>68</v>
      </c>
      <c r="M1707" t="s">
        <v>26</v>
      </c>
      <c r="N1707" t="s">
        <v>26</v>
      </c>
      <c r="O1707" t="s">
        <v>26</v>
      </c>
      <c r="P1707" s="24">
        <v>13881</v>
      </c>
      <c r="Q1707" s="24">
        <v>15707</v>
      </c>
      <c r="R1707" t="s">
        <v>26</v>
      </c>
      <c r="S1707" t="s">
        <v>26</v>
      </c>
      <c r="T1707" t="s">
        <v>26</v>
      </c>
      <c r="U1707" t="s">
        <v>26</v>
      </c>
      <c r="V1707" t="s">
        <v>26</v>
      </c>
      <c r="W1707" s="24">
        <v>13881</v>
      </c>
      <c r="X1707" s="24">
        <v>16072</v>
      </c>
      <c r="Y1707" t="s">
        <v>26</v>
      </c>
      <c r="Z1707" s="24">
        <v>13881</v>
      </c>
      <c r="AA1707" s="24">
        <v>16072</v>
      </c>
      <c r="AB1707" t="s">
        <v>26</v>
      </c>
      <c r="AC1707" t="s">
        <v>26</v>
      </c>
      <c r="AD1707" t="s">
        <v>26</v>
      </c>
      <c r="AE1707" t="s">
        <v>26</v>
      </c>
      <c r="AF1707" t="s">
        <v>26</v>
      </c>
      <c r="AG1707" t="s">
        <v>26</v>
      </c>
      <c r="AH1707" t="s">
        <v>26</v>
      </c>
      <c r="AI1707" t="s">
        <v>26</v>
      </c>
      <c r="AJ1707" t="s">
        <v>26</v>
      </c>
      <c r="AK1707" t="s">
        <v>26</v>
      </c>
      <c r="AL1707" t="s">
        <v>26</v>
      </c>
      <c r="AM1707" t="s">
        <v>26</v>
      </c>
      <c r="AN1707" t="s">
        <v>26</v>
      </c>
      <c r="AO1707" s="25" t="s">
        <v>68</v>
      </c>
      <c r="AP1707" s="23" t="s">
        <v>69</v>
      </c>
      <c r="AQ1707" s="23" t="s">
        <v>30</v>
      </c>
      <c r="AR1707" s="23" t="s">
        <v>1514</v>
      </c>
      <c r="AS1707" s="25">
        <v>2041057</v>
      </c>
      <c r="AT1707" t="s">
        <v>26</v>
      </c>
      <c r="AU1707" t="s">
        <v>24472</v>
      </c>
    </row>
    <row r="1708" spans="1:47" ht="26.25" x14ac:dyDescent="0.4">
      <c r="A1708" s="23" t="s">
        <v>4479</v>
      </c>
      <c r="B1708" t="s">
        <v>26</v>
      </c>
      <c r="C1708" s="23" t="s">
        <v>908</v>
      </c>
      <c r="D1708" t="s">
        <v>26</v>
      </c>
      <c r="E1708" s="23" t="s">
        <v>60</v>
      </c>
      <c r="F1708" t="s">
        <v>26</v>
      </c>
      <c r="G1708" t="s">
        <v>26</v>
      </c>
      <c r="H1708" t="s">
        <v>26</v>
      </c>
      <c r="I1708" s="24">
        <v>7427</v>
      </c>
      <c r="J1708" s="24">
        <v>13606</v>
      </c>
      <c r="K1708" t="s">
        <v>26</v>
      </c>
      <c r="L1708" s="25" t="s">
        <v>68</v>
      </c>
      <c r="M1708" t="s">
        <v>26</v>
      </c>
      <c r="N1708" t="s">
        <v>26</v>
      </c>
      <c r="O1708" t="s">
        <v>26</v>
      </c>
      <c r="P1708" s="24">
        <v>7427</v>
      </c>
      <c r="Q1708" s="24">
        <v>13606</v>
      </c>
      <c r="R1708" t="s">
        <v>26</v>
      </c>
      <c r="S1708" t="s">
        <v>26</v>
      </c>
      <c r="T1708" t="s">
        <v>26</v>
      </c>
      <c r="U1708" t="s">
        <v>26</v>
      </c>
      <c r="V1708" t="s">
        <v>26</v>
      </c>
      <c r="W1708" s="24">
        <v>7427</v>
      </c>
      <c r="X1708" s="24">
        <v>13606</v>
      </c>
      <c r="Y1708" t="s">
        <v>26</v>
      </c>
      <c r="Z1708" s="24">
        <v>7427</v>
      </c>
      <c r="AA1708" s="24">
        <v>13606</v>
      </c>
      <c r="AB1708" t="s">
        <v>26</v>
      </c>
      <c r="AC1708" s="24">
        <v>9953</v>
      </c>
      <c r="AD1708" s="24">
        <v>10136</v>
      </c>
      <c r="AE1708" t="s">
        <v>26</v>
      </c>
      <c r="AF1708" t="s">
        <v>26</v>
      </c>
      <c r="AG1708" t="s">
        <v>26</v>
      </c>
      <c r="AH1708" t="s">
        <v>26</v>
      </c>
      <c r="AI1708" t="s">
        <v>26</v>
      </c>
      <c r="AJ1708" t="s">
        <v>26</v>
      </c>
      <c r="AK1708" t="s">
        <v>26</v>
      </c>
      <c r="AL1708" t="s">
        <v>26</v>
      </c>
      <c r="AM1708" t="s">
        <v>26</v>
      </c>
      <c r="AN1708" t="s">
        <v>26</v>
      </c>
      <c r="AO1708" s="25" t="s">
        <v>28</v>
      </c>
      <c r="AP1708" s="23" t="s">
        <v>69</v>
      </c>
      <c r="AQ1708" s="23" t="s">
        <v>30</v>
      </c>
      <c r="AR1708" s="23" t="s">
        <v>1514</v>
      </c>
      <c r="AS1708" s="25">
        <v>2041058</v>
      </c>
      <c r="AT1708" t="s">
        <v>26</v>
      </c>
      <c r="AU1708" t="s">
        <v>24473</v>
      </c>
    </row>
    <row r="1709" spans="1:47" ht="26.25" x14ac:dyDescent="0.4">
      <c r="A1709" s="23" t="s">
        <v>4480</v>
      </c>
      <c r="B1709" t="s">
        <v>26</v>
      </c>
      <c r="C1709" s="23" t="s">
        <v>908</v>
      </c>
      <c r="D1709" s="23" t="s">
        <v>22174</v>
      </c>
      <c r="E1709" s="23" t="s">
        <v>60</v>
      </c>
      <c r="F1709" s="25" t="s">
        <v>4481</v>
      </c>
      <c r="G1709" s="25" t="s">
        <v>4482</v>
      </c>
      <c r="H1709" t="s">
        <v>26</v>
      </c>
      <c r="I1709" s="24">
        <v>16254</v>
      </c>
      <c r="J1709" s="25" t="s">
        <v>77</v>
      </c>
      <c r="K1709" t="s">
        <v>26</v>
      </c>
      <c r="L1709" s="25" t="s">
        <v>68</v>
      </c>
      <c r="M1709" s="24">
        <v>35612</v>
      </c>
      <c r="N1709" s="25" t="s">
        <v>77</v>
      </c>
      <c r="O1709" t="s">
        <v>26</v>
      </c>
      <c r="P1709" s="24">
        <v>16254</v>
      </c>
      <c r="Q1709" s="25" t="s">
        <v>77</v>
      </c>
      <c r="R1709" t="s">
        <v>26</v>
      </c>
      <c r="S1709" t="s">
        <v>26</v>
      </c>
      <c r="T1709" t="s">
        <v>26</v>
      </c>
      <c r="U1709" t="s">
        <v>26</v>
      </c>
      <c r="V1709" s="25">
        <v>180</v>
      </c>
      <c r="W1709" s="24">
        <v>16254</v>
      </c>
      <c r="X1709" s="25" t="s">
        <v>77</v>
      </c>
      <c r="Y1709" t="s">
        <v>26</v>
      </c>
      <c r="Z1709" s="24">
        <v>16254</v>
      </c>
      <c r="AA1709" s="25" t="s">
        <v>77</v>
      </c>
      <c r="AB1709" t="s">
        <v>26</v>
      </c>
      <c r="AC1709" s="24">
        <v>20852</v>
      </c>
      <c r="AD1709" s="25" t="s">
        <v>77</v>
      </c>
      <c r="AE1709" t="s">
        <v>26</v>
      </c>
      <c r="AF1709" t="s">
        <v>26</v>
      </c>
      <c r="AG1709" t="s">
        <v>26</v>
      </c>
      <c r="AH1709" t="s">
        <v>26</v>
      </c>
      <c r="AI1709" t="s">
        <v>26</v>
      </c>
      <c r="AJ1709" t="s">
        <v>26</v>
      </c>
      <c r="AK1709" t="s">
        <v>26</v>
      </c>
      <c r="AL1709" t="s">
        <v>26</v>
      </c>
      <c r="AM1709" t="s">
        <v>26</v>
      </c>
      <c r="AN1709" t="s">
        <v>26</v>
      </c>
      <c r="AO1709" s="25" t="s">
        <v>68</v>
      </c>
      <c r="AP1709" s="23" t="s">
        <v>69</v>
      </c>
      <c r="AQ1709" s="23" t="s">
        <v>30</v>
      </c>
      <c r="AR1709" s="23" t="s">
        <v>1514</v>
      </c>
      <c r="AS1709" s="25">
        <v>2041879</v>
      </c>
      <c r="AT1709" t="s">
        <v>26</v>
      </c>
      <c r="AU1709" t="s">
        <v>24474</v>
      </c>
    </row>
    <row r="1710" spans="1:47" ht="26.25" x14ac:dyDescent="0.4">
      <c r="A1710" s="23" t="s">
        <v>4483</v>
      </c>
      <c r="B1710" t="s">
        <v>26</v>
      </c>
      <c r="C1710" s="23" t="s">
        <v>114</v>
      </c>
      <c r="D1710" s="23" t="s">
        <v>22254</v>
      </c>
      <c r="E1710" s="23" t="s">
        <v>42</v>
      </c>
      <c r="F1710" s="25" t="s">
        <v>4484</v>
      </c>
      <c r="G1710" s="25" t="s">
        <v>4485</v>
      </c>
      <c r="H1710" t="s">
        <v>26</v>
      </c>
      <c r="I1710" t="s">
        <v>26</v>
      </c>
      <c r="J1710" t="s">
        <v>26</v>
      </c>
      <c r="K1710" t="s">
        <v>26</v>
      </c>
      <c r="L1710" s="25" t="s">
        <v>68</v>
      </c>
      <c r="M1710" t="s">
        <v>26</v>
      </c>
      <c r="N1710" t="s">
        <v>26</v>
      </c>
      <c r="O1710" t="s">
        <v>26</v>
      </c>
      <c r="P1710" t="s">
        <v>26</v>
      </c>
      <c r="Q1710" t="s">
        <v>26</v>
      </c>
      <c r="R1710" t="s">
        <v>26</v>
      </c>
      <c r="S1710" t="s">
        <v>26</v>
      </c>
      <c r="T1710" t="s">
        <v>26</v>
      </c>
      <c r="U1710" t="s">
        <v>26</v>
      </c>
      <c r="V1710" t="s">
        <v>26</v>
      </c>
      <c r="W1710" s="24">
        <v>35796</v>
      </c>
      <c r="X1710" s="24">
        <v>41548</v>
      </c>
      <c r="Y1710" t="s">
        <v>26</v>
      </c>
      <c r="Z1710" s="24">
        <v>35796</v>
      </c>
      <c r="AA1710" s="24">
        <v>41548</v>
      </c>
      <c r="AB1710" t="s">
        <v>26</v>
      </c>
      <c r="AC1710" s="24">
        <v>35796</v>
      </c>
      <c r="AD1710" s="24">
        <v>41548</v>
      </c>
      <c r="AE1710" t="s">
        <v>26</v>
      </c>
      <c r="AF1710" t="s">
        <v>26</v>
      </c>
      <c r="AG1710" t="s">
        <v>26</v>
      </c>
      <c r="AH1710" t="s">
        <v>26</v>
      </c>
      <c r="AI1710" t="s">
        <v>26</v>
      </c>
      <c r="AJ1710" t="s">
        <v>26</v>
      </c>
      <c r="AK1710" t="s">
        <v>26</v>
      </c>
      <c r="AL1710" t="s">
        <v>26</v>
      </c>
      <c r="AM1710" t="s">
        <v>26</v>
      </c>
      <c r="AN1710" t="s">
        <v>26</v>
      </c>
      <c r="AO1710" s="25" t="s">
        <v>68</v>
      </c>
      <c r="AP1710" s="23" t="s">
        <v>69</v>
      </c>
      <c r="AQ1710" s="23" t="s">
        <v>30</v>
      </c>
      <c r="AR1710" s="23" t="s">
        <v>70</v>
      </c>
      <c r="AS1710" s="25">
        <v>34343</v>
      </c>
      <c r="AT1710" t="s">
        <v>26</v>
      </c>
      <c r="AU1710" t="s">
        <v>24475</v>
      </c>
    </row>
    <row r="1711" spans="1:47" ht="26.25" x14ac:dyDescent="0.4">
      <c r="A1711" s="23" t="s">
        <v>4486</v>
      </c>
      <c r="B1711" t="s">
        <v>26</v>
      </c>
      <c r="C1711" s="23" t="s">
        <v>4487</v>
      </c>
      <c r="D1711" s="23" t="s">
        <v>22179</v>
      </c>
      <c r="E1711" s="23" t="s">
        <v>42</v>
      </c>
      <c r="F1711" s="25" t="s">
        <v>4488</v>
      </c>
      <c r="G1711" s="25" t="s">
        <v>4489</v>
      </c>
      <c r="H1711" t="s">
        <v>26</v>
      </c>
      <c r="I1711" s="24">
        <v>40179</v>
      </c>
      <c r="J1711" s="24">
        <v>43556</v>
      </c>
      <c r="K1711" t="s">
        <v>26</v>
      </c>
      <c r="L1711" s="25" t="s">
        <v>68</v>
      </c>
      <c r="M1711" s="24">
        <v>40179</v>
      </c>
      <c r="N1711" s="24">
        <v>43556</v>
      </c>
      <c r="O1711" t="s">
        <v>26</v>
      </c>
      <c r="P1711" s="24">
        <v>40179</v>
      </c>
      <c r="Q1711" s="24">
        <v>43556</v>
      </c>
      <c r="R1711" t="s">
        <v>26</v>
      </c>
      <c r="S1711" t="s">
        <v>26</v>
      </c>
      <c r="T1711" t="s">
        <v>26</v>
      </c>
      <c r="U1711" t="s">
        <v>26</v>
      </c>
      <c r="V1711" t="s">
        <v>26</v>
      </c>
      <c r="W1711" s="24">
        <v>40179</v>
      </c>
      <c r="X1711" s="24">
        <v>43556</v>
      </c>
      <c r="Y1711" t="s">
        <v>26</v>
      </c>
      <c r="Z1711" s="24">
        <v>40179</v>
      </c>
      <c r="AA1711" s="24">
        <v>43556</v>
      </c>
      <c r="AB1711" t="s">
        <v>26</v>
      </c>
      <c r="AC1711" s="24">
        <v>40179</v>
      </c>
      <c r="AD1711" s="24">
        <v>43556</v>
      </c>
      <c r="AE1711" t="s">
        <v>26</v>
      </c>
      <c r="AF1711" t="s">
        <v>26</v>
      </c>
      <c r="AG1711" t="s">
        <v>26</v>
      </c>
      <c r="AH1711" t="s">
        <v>26</v>
      </c>
      <c r="AI1711" t="s">
        <v>26</v>
      </c>
      <c r="AJ1711" t="s">
        <v>26</v>
      </c>
      <c r="AK1711" t="s">
        <v>26</v>
      </c>
      <c r="AL1711" t="s">
        <v>26</v>
      </c>
      <c r="AM1711" t="s">
        <v>26</v>
      </c>
      <c r="AN1711" t="s">
        <v>26</v>
      </c>
      <c r="AO1711" s="25" t="s">
        <v>68</v>
      </c>
      <c r="AP1711" s="23" t="s">
        <v>69</v>
      </c>
      <c r="AQ1711" s="23" t="s">
        <v>30</v>
      </c>
      <c r="AR1711" s="23" t="s">
        <v>70</v>
      </c>
      <c r="AS1711" s="25">
        <v>226476</v>
      </c>
      <c r="AT1711" t="s">
        <v>26</v>
      </c>
      <c r="AU1711" t="s">
        <v>24476</v>
      </c>
    </row>
    <row r="1712" spans="1:47" ht="26.25" x14ac:dyDescent="0.4">
      <c r="A1712" s="23" t="s">
        <v>4490</v>
      </c>
      <c r="B1712" t="s">
        <v>26</v>
      </c>
      <c r="C1712" s="23" t="s">
        <v>80</v>
      </c>
      <c r="D1712" s="23" t="s">
        <v>24477</v>
      </c>
      <c r="E1712" s="23" t="s">
        <v>60</v>
      </c>
      <c r="F1712" s="25" t="s">
        <v>4491</v>
      </c>
      <c r="G1712" s="25" t="s">
        <v>4492</v>
      </c>
      <c r="H1712" t="s">
        <v>26</v>
      </c>
      <c r="I1712" t="s">
        <v>26</v>
      </c>
      <c r="J1712" t="s">
        <v>26</v>
      </c>
      <c r="K1712" t="s">
        <v>26</v>
      </c>
      <c r="L1712" s="25" t="s">
        <v>68</v>
      </c>
      <c r="M1712" t="s">
        <v>26</v>
      </c>
      <c r="N1712" t="s">
        <v>26</v>
      </c>
      <c r="O1712" t="s">
        <v>26</v>
      </c>
      <c r="P1712" t="s">
        <v>26</v>
      </c>
      <c r="Q1712" t="s">
        <v>26</v>
      </c>
      <c r="R1712" t="s">
        <v>26</v>
      </c>
      <c r="S1712" t="s">
        <v>26</v>
      </c>
      <c r="T1712" t="s">
        <v>26</v>
      </c>
      <c r="U1712" t="s">
        <v>26</v>
      </c>
      <c r="V1712" t="s">
        <v>26</v>
      </c>
      <c r="W1712" s="24">
        <v>40544</v>
      </c>
      <c r="X1712" s="24">
        <v>41548</v>
      </c>
      <c r="Y1712" t="s">
        <v>26</v>
      </c>
      <c r="Z1712" s="24">
        <v>40544</v>
      </c>
      <c r="AA1712" s="24">
        <v>41548</v>
      </c>
      <c r="AB1712" t="s">
        <v>26</v>
      </c>
      <c r="AC1712" s="24">
        <v>40544</v>
      </c>
      <c r="AD1712" s="24">
        <v>41548</v>
      </c>
      <c r="AE1712" t="s">
        <v>26</v>
      </c>
      <c r="AF1712" t="s">
        <v>26</v>
      </c>
      <c r="AG1712" t="s">
        <v>26</v>
      </c>
      <c r="AH1712" t="s">
        <v>26</v>
      </c>
      <c r="AI1712" t="s">
        <v>26</v>
      </c>
      <c r="AJ1712" t="s">
        <v>26</v>
      </c>
      <c r="AK1712" t="s">
        <v>26</v>
      </c>
      <c r="AL1712" t="s">
        <v>26</v>
      </c>
      <c r="AM1712" t="s">
        <v>26</v>
      </c>
      <c r="AN1712" t="s">
        <v>26</v>
      </c>
      <c r="AO1712" s="25" t="s">
        <v>28</v>
      </c>
      <c r="AP1712" s="23" t="s">
        <v>69</v>
      </c>
      <c r="AQ1712" s="23" t="s">
        <v>30</v>
      </c>
      <c r="AR1712" s="23" t="s">
        <v>70</v>
      </c>
      <c r="AS1712" s="25">
        <v>436394</v>
      </c>
      <c r="AT1712" t="s">
        <v>26</v>
      </c>
      <c r="AU1712" t="s">
        <v>24478</v>
      </c>
    </row>
    <row r="1713" spans="1:47" ht="26.25" x14ac:dyDescent="0.4">
      <c r="A1713" s="23" t="s">
        <v>4493</v>
      </c>
      <c r="B1713" t="s">
        <v>26</v>
      </c>
      <c r="C1713" s="23" t="s">
        <v>1127</v>
      </c>
      <c r="D1713" s="23" t="s">
        <v>22179</v>
      </c>
      <c r="E1713" s="23" t="s">
        <v>42</v>
      </c>
      <c r="F1713" s="25" t="s">
        <v>4494</v>
      </c>
      <c r="G1713" s="25" t="s">
        <v>4495</v>
      </c>
      <c r="H1713" t="s">
        <v>26</v>
      </c>
      <c r="I1713" s="24">
        <v>36739</v>
      </c>
      <c r="J1713" s="24">
        <v>44242</v>
      </c>
      <c r="K1713" t="s">
        <v>26</v>
      </c>
      <c r="L1713" s="25" t="s">
        <v>68</v>
      </c>
      <c r="M1713" s="24">
        <v>41640</v>
      </c>
      <c r="N1713" s="24">
        <v>44242</v>
      </c>
      <c r="O1713" t="s">
        <v>26</v>
      </c>
      <c r="P1713" s="24">
        <v>36739</v>
      </c>
      <c r="Q1713" s="24">
        <v>44242</v>
      </c>
      <c r="R1713" t="s">
        <v>26</v>
      </c>
      <c r="S1713" t="s">
        <v>26</v>
      </c>
      <c r="T1713" t="s">
        <v>26</v>
      </c>
      <c r="U1713" t="s">
        <v>26</v>
      </c>
      <c r="V1713" t="s">
        <v>26</v>
      </c>
      <c r="W1713" s="24">
        <v>36739</v>
      </c>
      <c r="X1713" s="25" t="s">
        <v>77</v>
      </c>
      <c r="Y1713" t="s">
        <v>26</v>
      </c>
      <c r="Z1713" s="24">
        <v>36739</v>
      </c>
      <c r="AA1713" s="25" t="s">
        <v>77</v>
      </c>
      <c r="AB1713" t="s">
        <v>26</v>
      </c>
      <c r="AC1713" s="24">
        <v>36739</v>
      </c>
      <c r="AD1713" s="25" t="s">
        <v>77</v>
      </c>
      <c r="AE1713" t="s">
        <v>26</v>
      </c>
      <c r="AF1713" t="s">
        <v>26</v>
      </c>
      <c r="AG1713" t="s">
        <v>26</v>
      </c>
      <c r="AH1713" t="s">
        <v>26</v>
      </c>
      <c r="AI1713" t="s">
        <v>26</v>
      </c>
      <c r="AJ1713" t="s">
        <v>26</v>
      </c>
      <c r="AK1713" t="s">
        <v>26</v>
      </c>
      <c r="AL1713" t="s">
        <v>26</v>
      </c>
      <c r="AM1713" t="s">
        <v>26</v>
      </c>
      <c r="AN1713" t="s">
        <v>26</v>
      </c>
      <c r="AO1713" s="25" t="s">
        <v>68</v>
      </c>
      <c r="AP1713" s="23" t="s">
        <v>69</v>
      </c>
      <c r="AQ1713" s="23" t="s">
        <v>30</v>
      </c>
      <c r="AR1713" s="23" t="s">
        <v>4496</v>
      </c>
      <c r="AS1713" s="25">
        <v>33649</v>
      </c>
      <c r="AT1713" t="s">
        <v>26</v>
      </c>
      <c r="AU1713" t="s">
        <v>24479</v>
      </c>
    </row>
    <row r="1714" spans="1:47" ht="26.25" x14ac:dyDescent="0.4">
      <c r="A1714" s="23" t="s">
        <v>4497</v>
      </c>
      <c r="B1714" t="s">
        <v>26</v>
      </c>
      <c r="C1714" s="23" t="s">
        <v>73</v>
      </c>
      <c r="D1714" s="23" t="s">
        <v>22179</v>
      </c>
      <c r="E1714" s="23" t="s">
        <v>74</v>
      </c>
      <c r="F1714" s="25" t="s">
        <v>4498</v>
      </c>
      <c r="G1714" s="25" t="s">
        <v>4499</v>
      </c>
      <c r="H1714" t="s">
        <v>26</v>
      </c>
      <c r="I1714" s="24">
        <v>35339</v>
      </c>
      <c r="J1714" s="25" t="s">
        <v>77</v>
      </c>
      <c r="K1714" t="s">
        <v>26</v>
      </c>
      <c r="L1714" s="25" t="s">
        <v>68</v>
      </c>
      <c r="M1714" s="24">
        <v>35339</v>
      </c>
      <c r="N1714" s="24">
        <v>42887</v>
      </c>
      <c r="O1714" t="s">
        <v>26</v>
      </c>
      <c r="P1714" s="24">
        <v>35339</v>
      </c>
      <c r="Q1714" s="25" t="s">
        <v>77</v>
      </c>
      <c r="R1714" t="s">
        <v>26</v>
      </c>
      <c r="S1714" t="s">
        <v>26</v>
      </c>
      <c r="T1714" t="s">
        <v>26</v>
      </c>
      <c r="U1714" t="s">
        <v>26</v>
      </c>
      <c r="V1714" s="25">
        <v>365</v>
      </c>
      <c r="W1714" s="24">
        <v>32599</v>
      </c>
      <c r="X1714" s="25" t="s">
        <v>77</v>
      </c>
      <c r="Y1714" t="s">
        <v>26</v>
      </c>
      <c r="Z1714" s="24">
        <v>32599</v>
      </c>
      <c r="AA1714" s="25" t="s">
        <v>77</v>
      </c>
      <c r="AB1714" t="s">
        <v>26</v>
      </c>
      <c r="AC1714" s="24">
        <v>32599</v>
      </c>
      <c r="AD1714" s="25" t="s">
        <v>77</v>
      </c>
      <c r="AE1714" t="s">
        <v>26</v>
      </c>
      <c r="AF1714" t="s">
        <v>26</v>
      </c>
      <c r="AG1714" t="s">
        <v>26</v>
      </c>
      <c r="AH1714" t="s">
        <v>26</v>
      </c>
      <c r="AI1714" t="s">
        <v>26</v>
      </c>
      <c r="AJ1714" t="s">
        <v>26</v>
      </c>
      <c r="AK1714" t="s">
        <v>26</v>
      </c>
      <c r="AL1714" t="s">
        <v>26</v>
      </c>
      <c r="AM1714" t="s">
        <v>26</v>
      </c>
      <c r="AN1714" t="s">
        <v>26</v>
      </c>
      <c r="AO1714" s="25" t="s">
        <v>68</v>
      </c>
      <c r="AP1714" s="23" t="s">
        <v>69</v>
      </c>
      <c r="AQ1714" s="23" t="s">
        <v>30</v>
      </c>
      <c r="AR1714" s="23" t="s">
        <v>46</v>
      </c>
      <c r="AS1714" s="25">
        <v>48527</v>
      </c>
      <c r="AT1714" t="s">
        <v>26</v>
      </c>
      <c r="AU1714" t="s">
        <v>24480</v>
      </c>
    </row>
    <row r="1715" spans="1:47" ht="26.25" x14ac:dyDescent="0.4">
      <c r="A1715" s="23" t="s">
        <v>4500</v>
      </c>
      <c r="B1715" t="s">
        <v>26</v>
      </c>
      <c r="C1715" s="23" t="s">
        <v>1504</v>
      </c>
      <c r="D1715" s="23" t="s">
        <v>22179</v>
      </c>
      <c r="E1715" s="23" t="s">
        <v>42</v>
      </c>
      <c r="F1715" s="25" t="s">
        <v>4501</v>
      </c>
      <c r="G1715" s="25" t="s">
        <v>4502</v>
      </c>
      <c r="H1715" t="s">
        <v>26</v>
      </c>
      <c r="I1715" s="24">
        <v>38443</v>
      </c>
      <c r="J1715" s="24">
        <v>42583</v>
      </c>
      <c r="K1715" t="s">
        <v>26</v>
      </c>
      <c r="L1715" s="25" t="s">
        <v>68</v>
      </c>
      <c r="M1715" s="24">
        <v>38443</v>
      </c>
      <c r="N1715" s="24">
        <v>42583</v>
      </c>
      <c r="O1715" t="s">
        <v>26</v>
      </c>
      <c r="P1715" s="24">
        <v>38443</v>
      </c>
      <c r="Q1715" s="24">
        <v>42583</v>
      </c>
      <c r="R1715" t="s">
        <v>26</v>
      </c>
      <c r="S1715" t="s">
        <v>26</v>
      </c>
      <c r="T1715" t="s">
        <v>26</v>
      </c>
      <c r="U1715" t="s">
        <v>26</v>
      </c>
      <c r="V1715" t="s">
        <v>26</v>
      </c>
      <c r="W1715" s="24">
        <v>38443</v>
      </c>
      <c r="X1715" s="24">
        <v>42583</v>
      </c>
      <c r="Y1715" t="s">
        <v>26</v>
      </c>
      <c r="Z1715" s="24">
        <v>38443</v>
      </c>
      <c r="AA1715" s="24">
        <v>42583</v>
      </c>
      <c r="AB1715" t="s">
        <v>26</v>
      </c>
      <c r="AC1715" s="24">
        <v>38443</v>
      </c>
      <c r="AD1715" s="24">
        <v>42583</v>
      </c>
      <c r="AE1715" t="s">
        <v>26</v>
      </c>
      <c r="AF1715" t="s">
        <v>26</v>
      </c>
      <c r="AG1715" t="s">
        <v>26</v>
      </c>
      <c r="AH1715" t="s">
        <v>26</v>
      </c>
      <c r="AI1715" t="s">
        <v>26</v>
      </c>
      <c r="AJ1715" t="s">
        <v>26</v>
      </c>
      <c r="AK1715" t="s">
        <v>26</v>
      </c>
      <c r="AL1715" t="s">
        <v>26</v>
      </c>
      <c r="AM1715" t="s">
        <v>26</v>
      </c>
      <c r="AN1715" t="s">
        <v>26</v>
      </c>
      <c r="AO1715" s="25" t="s">
        <v>68</v>
      </c>
      <c r="AP1715" s="23" t="s">
        <v>69</v>
      </c>
      <c r="AQ1715" s="23" t="s">
        <v>30</v>
      </c>
      <c r="AR1715" s="23" t="s">
        <v>105</v>
      </c>
      <c r="AS1715" s="25">
        <v>46673</v>
      </c>
      <c r="AT1715" t="s">
        <v>26</v>
      </c>
      <c r="AU1715" t="s">
        <v>24481</v>
      </c>
    </row>
    <row r="1716" spans="1:47" ht="26.25" x14ac:dyDescent="0.4">
      <c r="A1716" s="23" t="s">
        <v>4503</v>
      </c>
      <c r="B1716" t="s">
        <v>26</v>
      </c>
      <c r="C1716" s="23" t="s">
        <v>172</v>
      </c>
      <c r="D1716" s="23" t="s">
        <v>22676</v>
      </c>
      <c r="E1716" s="23" t="s">
        <v>60</v>
      </c>
      <c r="F1716" s="25" t="s">
        <v>4504</v>
      </c>
      <c r="G1716" s="25" t="s">
        <v>4505</v>
      </c>
      <c r="H1716" t="s">
        <v>26</v>
      </c>
      <c r="I1716" s="24">
        <v>35796</v>
      </c>
      <c r="J1716" s="25" t="s">
        <v>77</v>
      </c>
      <c r="K1716" t="s">
        <v>26</v>
      </c>
      <c r="L1716" s="25" t="s">
        <v>68</v>
      </c>
      <c r="M1716" s="24">
        <v>35796</v>
      </c>
      <c r="N1716" s="25" t="s">
        <v>77</v>
      </c>
      <c r="O1716" t="s">
        <v>26</v>
      </c>
      <c r="P1716" s="24">
        <v>35796</v>
      </c>
      <c r="Q1716" s="25" t="s">
        <v>77</v>
      </c>
      <c r="R1716" t="s">
        <v>26</v>
      </c>
      <c r="S1716" t="s">
        <v>26</v>
      </c>
      <c r="T1716" t="s">
        <v>26</v>
      </c>
      <c r="U1716" t="s">
        <v>26</v>
      </c>
      <c r="V1716" t="s">
        <v>26</v>
      </c>
      <c r="W1716" s="24">
        <v>35796</v>
      </c>
      <c r="X1716" s="25" t="s">
        <v>77</v>
      </c>
      <c r="Y1716" t="s">
        <v>26</v>
      </c>
      <c r="Z1716" s="24">
        <v>35796</v>
      </c>
      <c r="AA1716" s="25" t="s">
        <v>77</v>
      </c>
      <c r="AB1716" t="s">
        <v>26</v>
      </c>
      <c r="AC1716" s="24">
        <v>36526</v>
      </c>
      <c r="AD1716" s="25" t="s">
        <v>77</v>
      </c>
      <c r="AE1716" t="s">
        <v>26</v>
      </c>
      <c r="AF1716" t="s">
        <v>26</v>
      </c>
      <c r="AG1716" t="s">
        <v>26</v>
      </c>
      <c r="AH1716" t="s">
        <v>26</v>
      </c>
      <c r="AI1716" t="s">
        <v>26</v>
      </c>
      <c r="AJ1716" t="s">
        <v>26</v>
      </c>
      <c r="AK1716" t="s">
        <v>26</v>
      </c>
      <c r="AL1716" t="s">
        <v>26</v>
      </c>
      <c r="AM1716" t="s">
        <v>26</v>
      </c>
      <c r="AN1716" t="s">
        <v>26</v>
      </c>
      <c r="AO1716" s="25" t="s">
        <v>68</v>
      </c>
      <c r="AP1716" s="23" t="s">
        <v>69</v>
      </c>
      <c r="AQ1716" s="23" t="s">
        <v>30</v>
      </c>
      <c r="AR1716" s="23" t="s">
        <v>4506</v>
      </c>
      <c r="AS1716" s="25">
        <v>46765</v>
      </c>
      <c r="AT1716" t="s">
        <v>26</v>
      </c>
      <c r="AU1716" t="s">
        <v>24482</v>
      </c>
    </row>
    <row r="1717" spans="1:47" ht="26.25" x14ac:dyDescent="0.4">
      <c r="A1717" s="23" t="s">
        <v>4507</v>
      </c>
      <c r="B1717" t="s">
        <v>26</v>
      </c>
      <c r="C1717" s="23" t="s">
        <v>341</v>
      </c>
      <c r="D1717" s="23" t="s">
        <v>22190</v>
      </c>
      <c r="E1717" s="23" t="s">
        <v>60</v>
      </c>
      <c r="F1717" s="25" t="s">
        <v>4508</v>
      </c>
      <c r="G1717" s="25" t="s">
        <v>4509</v>
      </c>
      <c r="H1717" t="s">
        <v>26</v>
      </c>
      <c r="I1717" s="24">
        <v>35490</v>
      </c>
      <c r="J1717" s="24">
        <v>37196</v>
      </c>
      <c r="K1717" t="s">
        <v>26</v>
      </c>
      <c r="L1717" s="25" t="s">
        <v>68</v>
      </c>
      <c r="M1717" s="24">
        <v>35490</v>
      </c>
      <c r="N1717" s="24">
        <v>37196</v>
      </c>
      <c r="O1717" t="s">
        <v>26</v>
      </c>
      <c r="P1717" s="24">
        <v>35490</v>
      </c>
      <c r="Q1717" s="24">
        <v>37196</v>
      </c>
      <c r="R1717" t="s">
        <v>26</v>
      </c>
      <c r="S1717" t="s">
        <v>26</v>
      </c>
      <c r="T1717" t="s">
        <v>26</v>
      </c>
      <c r="U1717" t="s">
        <v>26</v>
      </c>
      <c r="V1717" t="s">
        <v>26</v>
      </c>
      <c r="W1717" s="24">
        <v>32509</v>
      </c>
      <c r="X1717" s="24">
        <v>42675</v>
      </c>
      <c r="Y1717" t="s">
        <v>26</v>
      </c>
      <c r="Z1717" s="24">
        <v>32509</v>
      </c>
      <c r="AA1717" s="24">
        <v>42675</v>
      </c>
      <c r="AB1717" t="s">
        <v>26</v>
      </c>
      <c r="AC1717" s="24">
        <v>32509</v>
      </c>
      <c r="AD1717" s="24">
        <v>42675</v>
      </c>
      <c r="AE1717" t="s">
        <v>26</v>
      </c>
      <c r="AF1717" t="s">
        <v>26</v>
      </c>
      <c r="AG1717" t="s">
        <v>26</v>
      </c>
      <c r="AH1717" t="s">
        <v>26</v>
      </c>
      <c r="AI1717" t="s">
        <v>26</v>
      </c>
      <c r="AJ1717" t="s">
        <v>26</v>
      </c>
      <c r="AK1717" t="s">
        <v>26</v>
      </c>
      <c r="AL1717" t="s">
        <v>26</v>
      </c>
      <c r="AM1717" t="s">
        <v>26</v>
      </c>
      <c r="AN1717" t="s">
        <v>26</v>
      </c>
      <c r="AO1717" s="25" t="s">
        <v>68</v>
      </c>
      <c r="AP1717" s="23" t="s">
        <v>69</v>
      </c>
      <c r="AQ1717" s="23" t="s">
        <v>30</v>
      </c>
      <c r="AR1717" s="23" t="s">
        <v>4510</v>
      </c>
      <c r="AS1717" s="25">
        <v>8794</v>
      </c>
      <c r="AT1717" t="s">
        <v>26</v>
      </c>
      <c r="AU1717" t="s">
        <v>24483</v>
      </c>
    </row>
    <row r="1718" spans="1:47" ht="26.25" x14ac:dyDescent="0.4">
      <c r="A1718" s="23" t="s">
        <v>4511</v>
      </c>
      <c r="B1718" t="s">
        <v>26</v>
      </c>
      <c r="C1718" s="23" t="s">
        <v>73</v>
      </c>
      <c r="D1718" s="23" t="s">
        <v>23493</v>
      </c>
      <c r="E1718" s="23" t="s">
        <v>74</v>
      </c>
      <c r="F1718" s="25" t="s">
        <v>4512</v>
      </c>
      <c r="G1718" s="25" t="s">
        <v>4513</v>
      </c>
      <c r="H1718" t="s">
        <v>26</v>
      </c>
      <c r="I1718" s="24">
        <v>38718</v>
      </c>
      <c r="J1718" s="25" t="s">
        <v>77</v>
      </c>
      <c r="K1718" t="s">
        <v>26</v>
      </c>
      <c r="L1718" s="25" t="s">
        <v>68</v>
      </c>
      <c r="M1718" s="24">
        <v>38718</v>
      </c>
      <c r="N1718" s="24">
        <v>42856</v>
      </c>
      <c r="O1718" s="25" t="s">
        <v>431</v>
      </c>
      <c r="P1718" s="24">
        <v>38718</v>
      </c>
      <c r="Q1718" s="25" t="s">
        <v>77</v>
      </c>
      <c r="R1718" t="s">
        <v>26</v>
      </c>
      <c r="S1718" t="s">
        <v>26</v>
      </c>
      <c r="T1718" t="s">
        <v>26</v>
      </c>
      <c r="U1718" t="s">
        <v>26</v>
      </c>
      <c r="V1718" s="25">
        <v>365</v>
      </c>
      <c r="W1718" s="24">
        <v>38718</v>
      </c>
      <c r="X1718" s="25" t="s">
        <v>77</v>
      </c>
      <c r="Y1718" t="s">
        <v>26</v>
      </c>
      <c r="Z1718" s="24">
        <v>38718</v>
      </c>
      <c r="AA1718" s="25" t="s">
        <v>77</v>
      </c>
      <c r="AB1718" t="s">
        <v>26</v>
      </c>
      <c r="AC1718" s="24">
        <v>38961</v>
      </c>
      <c r="AD1718" s="25" t="s">
        <v>77</v>
      </c>
      <c r="AE1718" t="s">
        <v>26</v>
      </c>
      <c r="AF1718" t="s">
        <v>26</v>
      </c>
      <c r="AG1718" t="s">
        <v>26</v>
      </c>
      <c r="AH1718" t="s">
        <v>26</v>
      </c>
      <c r="AI1718" t="s">
        <v>26</v>
      </c>
      <c r="AJ1718" t="s">
        <v>26</v>
      </c>
      <c r="AK1718" t="s">
        <v>26</v>
      </c>
      <c r="AL1718" t="s">
        <v>26</v>
      </c>
      <c r="AM1718" t="s">
        <v>26</v>
      </c>
      <c r="AN1718" t="s">
        <v>26</v>
      </c>
      <c r="AO1718" s="25" t="s">
        <v>68</v>
      </c>
      <c r="AP1718" s="23" t="s">
        <v>69</v>
      </c>
      <c r="AQ1718" s="23" t="s">
        <v>30</v>
      </c>
      <c r="AR1718" s="23" t="s">
        <v>4514</v>
      </c>
      <c r="AS1718" s="25">
        <v>28850</v>
      </c>
      <c r="AT1718" t="s">
        <v>26</v>
      </c>
      <c r="AU1718" t="s">
        <v>24484</v>
      </c>
    </row>
    <row r="1719" spans="1:47" ht="26.25" x14ac:dyDescent="0.4">
      <c r="A1719" s="23" t="s">
        <v>4515</v>
      </c>
      <c r="B1719" t="s">
        <v>26</v>
      </c>
      <c r="C1719" s="23" t="s">
        <v>1691</v>
      </c>
      <c r="D1719" s="23" t="s">
        <v>22599</v>
      </c>
      <c r="E1719" s="23" t="s">
        <v>42</v>
      </c>
      <c r="F1719" s="25" t="s">
        <v>4516</v>
      </c>
      <c r="G1719" s="25" t="s">
        <v>4517</v>
      </c>
      <c r="H1719" t="s">
        <v>26</v>
      </c>
      <c r="I1719" s="24">
        <v>31413</v>
      </c>
      <c r="J1719" s="24">
        <v>32051</v>
      </c>
      <c r="K1719" t="s">
        <v>26</v>
      </c>
      <c r="L1719" s="25" t="s">
        <v>68</v>
      </c>
      <c r="M1719" t="s">
        <v>26</v>
      </c>
      <c r="N1719" t="s">
        <v>26</v>
      </c>
      <c r="O1719" t="s">
        <v>26</v>
      </c>
      <c r="P1719" s="24">
        <v>31413</v>
      </c>
      <c r="Q1719" s="24">
        <v>32051</v>
      </c>
      <c r="R1719" t="s">
        <v>26</v>
      </c>
      <c r="S1719" t="s">
        <v>26</v>
      </c>
      <c r="T1719" t="s">
        <v>26</v>
      </c>
      <c r="U1719" t="s">
        <v>26</v>
      </c>
      <c r="V1719" t="s">
        <v>26</v>
      </c>
      <c r="W1719" s="24">
        <v>31413</v>
      </c>
      <c r="X1719" s="24">
        <v>32051</v>
      </c>
      <c r="Y1719" t="s">
        <v>26</v>
      </c>
      <c r="Z1719" s="24">
        <v>31413</v>
      </c>
      <c r="AA1719" s="24">
        <v>32051</v>
      </c>
      <c r="AB1719" t="s">
        <v>26</v>
      </c>
      <c r="AC1719" s="24">
        <v>31413</v>
      </c>
      <c r="AD1719" s="24">
        <v>32051</v>
      </c>
      <c r="AE1719" t="s">
        <v>26</v>
      </c>
      <c r="AF1719" t="s">
        <v>26</v>
      </c>
      <c r="AG1719" t="s">
        <v>26</v>
      </c>
      <c r="AH1719" t="s">
        <v>26</v>
      </c>
      <c r="AI1719" t="s">
        <v>26</v>
      </c>
      <c r="AJ1719" t="s">
        <v>26</v>
      </c>
      <c r="AK1719" t="s">
        <v>26</v>
      </c>
      <c r="AL1719" t="s">
        <v>26</v>
      </c>
      <c r="AM1719" t="s">
        <v>26</v>
      </c>
      <c r="AN1719" t="s">
        <v>26</v>
      </c>
      <c r="AO1719" s="25" t="s">
        <v>68</v>
      </c>
      <c r="AP1719" s="23" t="s">
        <v>69</v>
      </c>
      <c r="AQ1719" s="23" t="s">
        <v>30</v>
      </c>
      <c r="AR1719" s="23" t="s">
        <v>4518</v>
      </c>
      <c r="AS1719" s="25">
        <v>47891</v>
      </c>
      <c r="AT1719" t="s">
        <v>26</v>
      </c>
      <c r="AU1719" t="s">
        <v>24485</v>
      </c>
    </row>
    <row r="1720" spans="1:47" ht="26.25" x14ac:dyDescent="0.4">
      <c r="A1720" s="23" t="s">
        <v>4519</v>
      </c>
      <c r="B1720" t="s">
        <v>26</v>
      </c>
      <c r="C1720" s="23" t="s">
        <v>1691</v>
      </c>
      <c r="D1720" s="23" t="s">
        <v>22599</v>
      </c>
      <c r="E1720" s="23" t="s">
        <v>42</v>
      </c>
      <c r="F1720" s="25" t="s">
        <v>4516</v>
      </c>
      <c r="G1720" s="25" t="s">
        <v>4517</v>
      </c>
      <c r="H1720" t="s">
        <v>26</v>
      </c>
      <c r="I1720" s="24">
        <v>29221</v>
      </c>
      <c r="J1720" s="24">
        <v>31321</v>
      </c>
      <c r="K1720" t="s">
        <v>26</v>
      </c>
      <c r="L1720" s="25" t="s">
        <v>68</v>
      </c>
      <c r="M1720" t="s">
        <v>26</v>
      </c>
      <c r="N1720" t="s">
        <v>26</v>
      </c>
      <c r="O1720" t="s">
        <v>26</v>
      </c>
      <c r="P1720" s="24">
        <v>29221</v>
      </c>
      <c r="Q1720" s="24">
        <v>31321</v>
      </c>
      <c r="R1720" t="s">
        <v>26</v>
      </c>
      <c r="S1720" t="s">
        <v>26</v>
      </c>
      <c r="T1720" t="s">
        <v>26</v>
      </c>
      <c r="U1720" t="s">
        <v>26</v>
      </c>
      <c r="V1720" t="s">
        <v>26</v>
      </c>
      <c r="W1720" s="24">
        <v>29221</v>
      </c>
      <c r="X1720" s="24">
        <v>31321</v>
      </c>
      <c r="Y1720" t="s">
        <v>26</v>
      </c>
      <c r="Z1720" s="24">
        <v>29221</v>
      </c>
      <c r="AA1720" s="24">
        <v>31321</v>
      </c>
      <c r="AB1720" t="s">
        <v>26</v>
      </c>
      <c r="AC1720" s="24">
        <v>29221</v>
      </c>
      <c r="AD1720" s="24">
        <v>31321</v>
      </c>
      <c r="AE1720" t="s">
        <v>26</v>
      </c>
      <c r="AF1720" t="s">
        <v>26</v>
      </c>
      <c r="AG1720" t="s">
        <v>26</v>
      </c>
      <c r="AH1720" t="s">
        <v>26</v>
      </c>
      <c r="AI1720" t="s">
        <v>26</v>
      </c>
      <c r="AJ1720" t="s">
        <v>26</v>
      </c>
      <c r="AK1720" t="s">
        <v>26</v>
      </c>
      <c r="AL1720" t="s">
        <v>26</v>
      </c>
      <c r="AM1720" t="s">
        <v>26</v>
      </c>
      <c r="AN1720" t="s">
        <v>26</v>
      </c>
      <c r="AO1720" s="25" t="s">
        <v>68</v>
      </c>
      <c r="AP1720" s="23" t="s">
        <v>69</v>
      </c>
      <c r="AQ1720" s="23" t="s">
        <v>30</v>
      </c>
      <c r="AR1720" s="23" t="s">
        <v>4518</v>
      </c>
      <c r="AS1720" s="25">
        <v>47890</v>
      </c>
      <c r="AT1720" t="s">
        <v>26</v>
      </c>
      <c r="AU1720" t="s">
        <v>24486</v>
      </c>
    </row>
    <row r="1721" spans="1:47" ht="26.25" x14ac:dyDescent="0.4">
      <c r="A1721" s="23" t="s">
        <v>4520</v>
      </c>
      <c r="B1721" t="s">
        <v>26</v>
      </c>
      <c r="C1721" s="23" t="s">
        <v>73</v>
      </c>
      <c r="D1721" s="23" t="s">
        <v>22179</v>
      </c>
      <c r="E1721" s="23" t="s">
        <v>74</v>
      </c>
      <c r="F1721" s="25" t="s">
        <v>4521</v>
      </c>
      <c r="G1721" s="25" t="s">
        <v>4522</v>
      </c>
      <c r="H1721" t="s">
        <v>26</v>
      </c>
      <c r="I1721" s="24">
        <v>35490</v>
      </c>
      <c r="J1721" s="25" t="s">
        <v>77</v>
      </c>
      <c r="K1721" t="s">
        <v>26</v>
      </c>
      <c r="L1721" s="25" t="s">
        <v>68</v>
      </c>
      <c r="M1721" s="24">
        <v>38047</v>
      </c>
      <c r="N1721" s="24">
        <v>42887</v>
      </c>
      <c r="O1721" t="s">
        <v>26</v>
      </c>
      <c r="P1721" s="24">
        <v>35490</v>
      </c>
      <c r="Q1721" s="25" t="s">
        <v>77</v>
      </c>
      <c r="R1721" t="s">
        <v>26</v>
      </c>
      <c r="S1721" t="s">
        <v>26</v>
      </c>
      <c r="T1721" t="s">
        <v>26</v>
      </c>
      <c r="U1721" t="s">
        <v>26</v>
      </c>
      <c r="V1721" s="25">
        <v>365</v>
      </c>
      <c r="W1721" s="24">
        <v>35490</v>
      </c>
      <c r="X1721" s="25" t="s">
        <v>77</v>
      </c>
      <c r="Y1721" t="s">
        <v>26</v>
      </c>
      <c r="Z1721" s="24">
        <v>35490</v>
      </c>
      <c r="AA1721" s="25" t="s">
        <v>77</v>
      </c>
      <c r="AB1721" t="s">
        <v>26</v>
      </c>
      <c r="AC1721" s="24">
        <v>35490</v>
      </c>
      <c r="AD1721" s="25" t="s">
        <v>77</v>
      </c>
      <c r="AE1721" t="s">
        <v>26</v>
      </c>
      <c r="AF1721" t="s">
        <v>26</v>
      </c>
      <c r="AG1721" t="s">
        <v>26</v>
      </c>
      <c r="AH1721" t="s">
        <v>26</v>
      </c>
      <c r="AI1721" t="s">
        <v>26</v>
      </c>
      <c r="AJ1721" t="s">
        <v>26</v>
      </c>
      <c r="AK1721" t="s">
        <v>26</v>
      </c>
      <c r="AL1721" t="s">
        <v>26</v>
      </c>
      <c r="AM1721" t="s">
        <v>26</v>
      </c>
      <c r="AN1721" t="s">
        <v>26</v>
      </c>
      <c r="AO1721" s="25" t="s">
        <v>68</v>
      </c>
      <c r="AP1721" s="23" t="s">
        <v>69</v>
      </c>
      <c r="AQ1721" s="23" t="s">
        <v>30</v>
      </c>
      <c r="AR1721" s="23" t="s">
        <v>4523</v>
      </c>
      <c r="AS1721" s="25">
        <v>33258</v>
      </c>
      <c r="AT1721" t="s">
        <v>26</v>
      </c>
      <c r="AU1721" t="s">
        <v>24487</v>
      </c>
    </row>
    <row r="1722" spans="1:47" ht="26.25" x14ac:dyDescent="0.4">
      <c r="A1722" s="23" t="s">
        <v>4524</v>
      </c>
      <c r="B1722" t="s">
        <v>26</v>
      </c>
      <c r="C1722" s="23" t="s">
        <v>1180</v>
      </c>
      <c r="D1722" s="23" t="s">
        <v>22706</v>
      </c>
      <c r="E1722" s="23" t="s">
        <v>60</v>
      </c>
      <c r="F1722" s="25" t="s">
        <v>4525</v>
      </c>
      <c r="G1722" s="25" t="s">
        <v>4526</v>
      </c>
      <c r="H1722" t="s">
        <v>26</v>
      </c>
      <c r="I1722" s="24">
        <v>35309</v>
      </c>
      <c r="J1722" s="24">
        <v>38777</v>
      </c>
      <c r="K1722" t="s">
        <v>26</v>
      </c>
      <c r="L1722" s="25" t="s">
        <v>68</v>
      </c>
      <c r="M1722" s="24">
        <v>35309</v>
      </c>
      <c r="N1722" s="24">
        <v>38777</v>
      </c>
      <c r="O1722" t="s">
        <v>26</v>
      </c>
      <c r="P1722" s="24">
        <v>35309</v>
      </c>
      <c r="Q1722" s="24">
        <v>38777</v>
      </c>
      <c r="R1722" t="s">
        <v>26</v>
      </c>
      <c r="S1722" t="s">
        <v>26</v>
      </c>
      <c r="T1722" t="s">
        <v>26</v>
      </c>
      <c r="U1722" t="s">
        <v>26</v>
      </c>
      <c r="V1722" t="s">
        <v>26</v>
      </c>
      <c r="W1722" s="24">
        <v>28550</v>
      </c>
      <c r="X1722" s="25" t="s">
        <v>77</v>
      </c>
      <c r="Y1722" t="s">
        <v>26</v>
      </c>
      <c r="Z1722" s="24">
        <v>28550</v>
      </c>
      <c r="AA1722" s="25" t="s">
        <v>77</v>
      </c>
      <c r="AB1722" t="s">
        <v>26</v>
      </c>
      <c r="AC1722" s="24">
        <v>28550</v>
      </c>
      <c r="AD1722" s="25" t="s">
        <v>77</v>
      </c>
      <c r="AE1722" t="s">
        <v>26</v>
      </c>
      <c r="AF1722" t="s">
        <v>26</v>
      </c>
      <c r="AG1722" t="s">
        <v>26</v>
      </c>
      <c r="AH1722" t="s">
        <v>26</v>
      </c>
      <c r="AI1722" t="s">
        <v>26</v>
      </c>
      <c r="AJ1722" t="s">
        <v>26</v>
      </c>
      <c r="AK1722" t="s">
        <v>26</v>
      </c>
      <c r="AL1722" t="s">
        <v>26</v>
      </c>
      <c r="AM1722" t="s">
        <v>26</v>
      </c>
      <c r="AN1722" t="s">
        <v>26</v>
      </c>
      <c r="AO1722" s="25" t="s">
        <v>68</v>
      </c>
      <c r="AP1722" s="23" t="s">
        <v>69</v>
      </c>
      <c r="AQ1722" s="23" t="s">
        <v>30</v>
      </c>
      <c r="AR1722" s="23" t="s">
        <v>46</v>
      </c>
      <c r="AS1722" s="25">
        <v>38177</v>
      </c>
      <c r="AT1722" t="s">
        <v>26</v>
      </c>
      <c r="AU1722" t="s">
        <v>24488</v>
      </c>
    </row>
    <row r="1723" spans="1:47" ht="26.25" x14ac:dyDescent="0.4">
      <c r="A1723" s="23" t="s">
        <v>4527</v>
      </c>
      <c r="B1723" t="s">
        <v>26</v>
      </c>
      <c r="C1723" s="23" t="s">
        <v>1958</v>
      </c>
      <c r="D1723" s="23" t="s">
        <v>22174</v>
      </c>
      <c r="E1723" s="23" t="s">
        <v>60</v>
      </c>
      <c r="F1723" s="25" t="s">
        <v>4528</v>
      </c>
      <c r="G1723" s="25" t="s">
        <v>4529</v>
      </c>
      <c r="H1723" t="s">
        <v>26</v>
      </c>
      <c r="I1723" t="s">
        <v>26</v>
      </c>
      <c r="J1723" t="s">
        <v>26</v>
      </c>
      <c r="K1723" t="s">
        <v>26</v>
      </c>
      <c r="L1723" s="25" t="s">
        <v>68</v>
      </c>
      <c r="M1723" t="s">
        <v>26</v>
      </c>
      <c r="N1723" t="s">
        <v>26</v>
      </c>
      <c r="O1723" t="s">
        <v>26</v>
      </c>
      <c r="P1723" t="s">
        <v>26</v>
      </c>
      <c r="Q1723" t="s">
        <v>26</v>
      </c>
      <c r="R1723" t="s">
        <v>26</v>
      </c>
      <c r="S1723" t="s">
        <v>26</v>
      </c>
      <c r="T1723" t="s">
        <v>26</v>
      </c>
      <c r="U1723" t="s">
        <v>26</v>
      </c>
      <c r="V1723" t="s">
        <v>26</v>
      </c>
      <c r="W1723" s="24">
        <v>29221</v>
      </c>
      <c r="X1723" s="25" t="s">
        <v>77</v>
      </c>
      <c r="Y1723" s="25" t="s">
        <v>4530</v>
      </c>
      <c r="Z1723" s="24">
        <v>29221</v>
      </c>
      <c r="AA1723" s="25" t="s">
        <v>77</v>
      </c>
      <c r="AB1723" s="25" t="s">
        <v>4530</v>
      </c>
      <c r="AC1723" s="24">
        <v>36161</v>
      </c>
      <c r="AD1723" s="25" t="s">
        <v>77</v>
      </c>
      <c r="AE1723" t="s">
        <v>26</v>
      </c>
      <c r="AF1723" t="s">
        <v>26</v>
      </c>
      <c r="AG1723" t="s">
        <v>26</v>
      </c>
      <c r="AH1723" t="s">
        <v>26</v>
      </c>
      <c r="AI1723" t="s">
        <v>26</v>
      </c>
      <c r="AJ1723" t="s">
        <v>26</v>
      </c>
      <c r="AK1723" t="s">
        <v>26</v>
      </c>
      <c r="AL1723" t="s">
        <v>26</v>
      </c>
      <c r="AM1723" t="s">
        <v>26</v>
      </c>
      <c r="AN1723" t="s">
        <v>26</v>
      </c>
      <c r="AO1723" s="25" t="s">
        <v>68</v>
      </c>
      <c r="AP1723" s="23" t="s">
        <v>69</v>
      </c>
      <c r="AQ1723" s="23" t="s">
        <v>30</v>
      </c>
      <c r="AR1723" s="23" t="s">
        <v>4531</v>
      </c>
      <c r="AS1723" s="25">
        <v>47163</v>
      </c>
      <c r="AT1723" t="s">
        <v>26</v>
      </c>
      <c r="AU1723" t="s">
        <v>24489</v>
      </c>
    </row>
    <row r="1724" spans="1:47" ht="26.25" x14ac:dyDescent="0.4">
      <c r="A1724" s="23" t="s">
        <v>4532</v>
      </c>
      <c r="B1724" t="s">
        <v>26</v>
      </c>
      <c r="C1724" s="23" t="s">
        <v>4533</v>
      </c>
      <c r="D1724" s="23" t="s">
        <v>24490</v>
      </c>
      <c r="E1724" s="23" t="s">
        <v>574</v>
      </c>
      <c r="F1724" s="25" t="s">
        <v>4534</v>
      </c>
      <c r="G1724" s="25" t="s">
        <v>4535</v>
      </c>
      <c r="H1724" t="s">
        <v>26</v>
      </c>
      <c r="I1724" s="24">
        <v>40909</v>
      </c>
      <c r="J1724" s="25" t="s">
        <v>77</v>
      </c>
      <c r="K1724" t="s">
        <v>26</v>
      </c>
      <c r="L1724" s="25" t="s">
        <v>68</v>
      </c>
      <c r="M1724" t="s">
        <v>26</v>
      </c>
      <c r="N1724" t="s">
        <v>26</v>
      </c>
      <c r="O1724" t="s">
        <v>26</v>
      </c>
      <c r="P1724" s="24">
        <v>40909</v>
      </c>
      <c r="Q1724" s="25" t="s">
        <v>77</v>
      </c>
      <c r="R1724" t="s">
        <v>26</v>
      </c>
      <c r="S1724" t="s">
        <v>26</v>
      </c>
      <c r="T1724" t="s">
        <v>26</v>
      </c>
      <c r="U1724" t="s">
        <v>26</v>
      </c>
      <c r="V1724" s="25">
        <v>365</v>
      </c>
      <c r="W1724" s="24">
        <v>40909</v>
      </c>
      <c r="X1724" s="25" t="s">
        <v>77</v>
      </c>
      <c r="Y1724" t="s">
        <v>26</v>
      </c>
      <c r="Z1724" s="24">
        <v>40909</v>
      </c>
      <c r="AA1724" s="25" t="s">
        <v>77</v>
      </c>
      <c r="AB1724" t="s">
        <v>26</v>
      </c>
      <c r="AC1724" s="24">
        <v>40909</v>
      </c>
      <c r="AD1724" s="25" t="s">
        <v>77</v>
      </c>
      <c r="AE1724" t="s">
        <v>26</v>
      </c>
      <c r="AF1724" t="s">
        <v>26</v>
      </c>
      <c r="AG1724" t="s">
        <v>26</v>
      </c>
      <c r="AH1724" t="s">
        <v>26</v>
      </c>
      <c r="AI1724" t="s">
        <v>26</v>
      </c>
      <c r="AJ1724" t="s">
        <v>26</v>
      </c>
      <c r="AK1724" t="s">
        <v>26</v>
      </c>
      <c r="AL1724" t="s">
        <v>26</v>
      </c>
      <c r="AM1724" t="s">
        <v>26</v>
      </c>
      <c r="AN1724" t="s">
        <v>26</v>
      </c>
      <c r="AO1724" s="25" t="s">
        <v>68</v>
      </c>
      <c r="AP1724" s="23" t="s">
        <v>69</v>
      </c>
      <c r="AQ1724" s="23" t="s">
        <v>30</v>
      </c>
      <c r="AR1724" s="23" t="s">
        <v>666</v>
      </c>
      <c r="AS1724" s="25">
        <v>2030932</v>
      </c>
      <c r="AT1724" t="s">
        <v>26</v>
      </c>
      <c r="AU1724" t="s">
        <v>24491</v>
      </c>
    </row>
    <row r="1725" spans="1:47" ht="26.25" x14ac:dyDescent="0.4">
      <c r="A1725" s="23" t="s">
        <v>4536</v>
      </c>
      <c r="B1725" t="s">
        <v>26</v>
      </c>
      <c r="C1725" s="23" t="s">
        <v>1691</v>
      </c>
      <c r="D1725" s="23" t="s">
        <v>22599</v>
      </c>
      <c r="E1725" s="23" t="s">
        <v>42</v>
      </c>
      <c r="F1725" s="25" t="s">
        <v>4537</v>
      </c>
      <c r="G1725" s="25" t="s">
        <v>4538</v>
      </c>
      <c r="H1725" t="s">
        <v>26</v>
      </c>
      <c r="I1725" s="24">
        <v>36161</v>
      </c>
      <c r="J1725" s="24">
        <v>38565</v>
      </c>
      <c r="K1725" t="s">
        <v>26</v>
      </c>
      <c r="L1725" s="25" t="s">
        <v>68</v>
      </c>
      <c r="M1725" s="24">
        <v>36161</v>
      </c>
      <c r="N1725" s="24">
        <v>38139</v>
      </c>
      <c r="O1725" t="s">
        <v>26</v>
      </c>
      <c r="P1725" s="24">
        <v>36161</v>
      </c>
      <c r="Q1725" s="24">
        <v>38565</v>
      </c>
      <c r="R1725" t="s">
        <v>26</v>
      </c>
      <c r="S1725" t="s">
        <v>26</v>
      </c>
      <c r="T1725" t="s">
        <v>26</v>
      </c>
      <c r="U1725" t="s">
        <v>26</v>
      </c>
      <c r="V1725" t="s">
        <v>26</v>
      </c>
      <c r="W1725" s="24">
        <v>32143</v>
      </c>
      <c r="X1725" s="25" t="s">
        <v>77</v>
      </c>
      <c r="Y1725" t="s">
        <v>26</v>
      </c>
      <c r="Z1725" s="24">
        <v>32143</v>
      </c>
      <c r="AA1725" s="25" t="s">
        <v>77</v>
      </c>
      <c r="AB1725" t="s">
        <v>26</v>
      </c>
      <c r="AC1725" s="24">
        <v>32143</v>
      </c>
      <c r="AD1725" s="25" t="s">
        <v>77</v>
      </c>
      <c r="AE1725" t="s">
        <v>26</v>
      </c>
      <c r="AF1725" t="s">
        <v>26</v>
      </c>
      <c r="AG1725" t="s">
        <v>26</v>
      </c>
      <c r="AH1725" t="s">
        <v>26</v>
      </c>
      <c r="AI1725" t="s">
        <v>26</v>
      </c>
      <c r="AJ1725" t="s">
        <v>26</v>
      </c>
      <c r="AK1725" t="s">
        <v>26</v>
      </c>
      <c r="AL1725" t="s">
        <v>26</v>
      </c>
      <c r="AM1725" t="s">
        <v>26</v>
      </c>
      <c r="AN1725" t="s">
        <v>26</v>
      </c>
      <c r="AO1725" s="25" t="s">
        <v>68</v>
      </c>
      <c r="AP1725" s="23" t="s">
        <v>69</v>
      </c>
      <c r="AQ1725" s="23" t="s">
        <v>30</v>
      </c>
      <c r="AR1725" s="23" t="s">
        <v>4518</v>
      </c>
      <c r="AS1725" s="25">
        <v>47892</v>
      </c>
      <c r="AT1725" t="s">
        <v>26</v>
      </c>
      <c r="AU1725" t="s">
        <v>24492</v>
      </c>
    </row>
    <row r="1726" spans="1:47" ht="26.25" x14ac:dyDescent="0.4">
      <c r="A1726" s="23" t="s">
        <v>4539</v>
      </c>
      <c r="B1726" t="s">
        <v>26</v>
      </c>
      <c r="C1726" s="23" t="s">
        <v>1691</v>
      </c>
      <c r="D1726" s="23" t="s">
        <v>22599</v>
      </c>
      <c r="E1726" s="23" t="s">
        <v>42</v>
      </c>
      <c r="F1726" s="25" t="s">
        <v>4537</v>
      </c>
      <c r="G1726" s="25" t="s">
        <v>4538</v>
      </c>
      <c r="H1726" t="s">
        <v>26</v>
      </c>
      <c r="I1726" s="24">
        <v>32143</v>
      </c>
      <c r="J1726" s="24">
        <v>36100</v>
      </c>
      <c r="K1726" t="s">
        <v>26</v>
      </c>
      <c r="L1726" s="25" t="s">
        <v>68</v>
      </c>
      <c r="M1726" t="s">
        <v>26</v>
      </c>
      <c r="N1726" t="s">
        <v>26</v>
      </c>
      <c r="O1726" t="s">
        <v>26</v>
      </c>
      <c r="P1726" s="24">
        <v>32143</v>
      </c>
      <c r="Q1726" s="24">
        <v>36100</v>
      </c>
      <c r="R1726" t="s">
        <v>26</v>
      </c>
      <c r="S1726" t="s">
        <v>26</v>
      </c>
      <c r="T1726" t="s">
        <v>26</v>
      </c>
      <c r="U1726" t="s">
        <v>26</v>
      </c>
      <c r="V1726" t="s">
        <v>26</v>
      </c>
      <c r="W1726" s="24">
        <v>32143</v>
      </c>
      <c r="X1726" s="24">
        <v>36100</v>
      </c>
      <c r="Y1726" t="s">
        <v>26</v>
      </c>
      <c r="Z1726" s="24">
        <v>32143</v>
      </c>
      <c r="AA1726" s="24">
        <v>36100</v>
      </c>
      <c r="AB1726" t="s">
        <v>26</v>
      </c>
      <c r="AC1726" s="24">
        <v>32143</v>
      </c>
      <c r="AD1726" s="24">
        <v>36100</v>
      </c>
      <c r="AE1726" t="s">
        <v>26</v>
      </c>
      <c r="AF1726" t="s">
        <v>26</v>
      </c>
      <c r="AG1726" t="s">
        <v>26</v>
      </c>
      <c r="AH1726" t="s">
        <v>26</v>
      </c>
      <c r="AI1726" t="s">
        <v>26</v>
      </c>
      <c r="AJ1726" t="s">
        <v>26</v>
      </c>
      <c r="AK1726" t="s">
        <v>26</v>
      </c>
      <c r="AL1726" t="s">
        <v>26</v>
      </c>
      <c r="AM1726" t="s">
        <v>26</v>
      </c>
      <c r="AN1726" t="s">
        <v>26</v>
      </c>
      <c r="AO1726" s="25" t="s">
        <v>68</v>
      </c>
      <c r="AP1726" s="23" t="s">
        <v>69</v>
      </c>
      <c r="AQ1726" s="23" t="s">
        <v>30</v>
      </c>
      <c r="AR1726" s="23" t="s">
        <v>4518</v>
      </c>
      <c r="AS1726" s="25">
        <v>47893</v>
      </c>
      <c r="AT1726" t="s">
        <v>26</v>
      </c>
      <c r="AU1726" t="s">
        <v>24493</v>
      </c>
    </row>
    <row r="1727" spans="1:47" ht="26.25" x14ac:dyDescent="0.4">
      <c r="A1727" s="23" t="s">
        <v>4540</v>
      </c>
      <c r="B1727" t="s">
        <v>26</v>
      </c>
      <c r="C1727" s="23" t="s">
        <v>4541</v>
      </c>
      <c r="D1727" s="23" t="s">
        <v>24494</v>
      </c>
      <c r="E1727" s="23" t="s">
        <v>60</v>
      </c>
      <c r="F1727" s="25" t="s">
        <v>4542</v>
      </c>
      <c r="G1727" s="25" t="s">
        <v>4543</v>
      </c>
      <c r="H1727" t="s">
        <v>26</v>
      </c>
      <c r="I1727" s="24">
        <v>39814</v>
      </c>
      <c r="J1727" s="24">
        <v>40544</v>
      </c>
      <c r="K1727" t="s">
        <v>26</v>
      </c>
      <c r="L1727" s="25" t="s">
        <v>68</v>
      </c>
      <c r="M1727" s="24">
        <v>39814</v>
      </c>
      <c r="N1727" s="24">
        <v>40544</v>
      </c>
      <c r="O1727" t="s">
        <v>26</v>
      </c>
      <c r="P1727" s="24">
        <v>39814</v>
      </c>
      <c r="Q1727" s="24">
        <v>40544</v>
      </c>
      <c r="R1727" t="s">
        <v>26</v>
      </c>
      <c r="S1727" t="s">
        <v>26</v>
      </c>
      <c r="T1727" t="s">
        <v>26</v>
      </c>
      <c r="U1727" t="s">
        <v>26</v>
      </c>
      <c r="V1727" t="s">
        <v>26</v>
      </c>
      <c r="W1727" s="24">
        <v>39814</v>
      </c>
      <c r="X1727" s="24">
        <v>40544</v>
      </c>
      <c r="Y1727" t="s">
        <v>26</v>
      </c>
      <c r="Z1727" s="24">
        <v>39814</v>
      </c>
      <c r="AA1727" s="24">
        <v>40544</v>
      </c>
      <c r="AB1727" t="s">
        <v>26</v>
      </c>
      <c r="AC1727" s="24">
        <v>39814</v>
      </c>
      <c r="AD1727" s="24">
        <v>40544</v>
      </c>
      <c r="AE1727" t="s">
        <v>26</v>
      </c>
      <c r="AF1727" t="s">
        <v>26</v>
      </c>
      <c r="AG1727" t="s">
        <v>26</v>
      </c>
      <c r="AH1727" t="s">
        <v>26</v>
      </c>
      <c r="AI1727" t="s">
        <v>26</v>
      </c>
      <c r="AJ1727" t="s">
        <v>26</v>
      </c>
      <c r="AK1727" t="s">
        <v>26</v>
      </c>
      <c r="AL1727" t="s">
        <v>26</v>
      </c>
      <c r="AM1727" t="s">
        <v>26</v>
      </c>
      <c r="AN1727" t="s">
        <v>26</v>
      </c>
      <c r="AO1727" s="25" t="s">
        <v>68</v>
      </c>
      <c r="AP1727" s="23" t="s">
        <v>69</v>
      </c>
      <c r="AQ1727" s="23" t="s">
        <v>30</v>
      </c>
      <c r="AR1727" s="23" t="s">
        <v>184</v>
      </c>
      <c r="AS1727" s="25">
        <v>307107</v>
      </c>
      <c r="AT1727" t="s">
        <v>26</v>
      </c>
      <c r="AU1727" t="s">
        <v>24495</v>
      </c>
    </row>
    <row r="1728" spans="1:47" ht="26.25" x14ac:dyDescent="0.4">
      <c r="A1728" s="23" t="s">
        <v>4544</v>
      </c>
      <c r="B1728" t="s">
        <v>26</v>
      </c>
      <c r="C1728" s="23" t="s">
        <v>80</v>
      </c>
      <c r="D1728" s="23" t="s">
        <v>22179</v>
      </c>
      <c r="E1728" s="23" t="s">
        <v>60</v>
      </c>
      <c r="F1728" s="25" t="s">
        <v>4545</v>
      </c>
      <c r="G1728" s="25" t="s">
        <v>4546</v>
      </c>
      <c r="H1728" t="s">
        <v>26</v>
      </c>
      <c r="I1728" s="24">
        <v>34700</v>
      </c>
      <c r="J1728" s="24">
        <v>35431</v>
      </c>
      <c r="K1728" t="s">
        <v>26</v>
      </c>
      <c r="L1728" s="25" t="s">
        <v>68</v>
      </c>
      <c r="M1728" s="24">
        <v>34700</v>
      </c>
      <c r="N1728" s="24">
        <v>35431</v>
      </c>
      <c r="O1728" t="s">
        <v>26</v>
      </c>
      <c r="P1728" s="24">
        <v>34700</v>
      </c>
      <c r="Q1728" s="24">
        <v>35431</v>
      </c>
      <c r="R1728" t="s">
        <v>26</v>
      </c>
      <c r="S1728" t="s">
        <v>26</v>
      </c>
      <c r="T1728" t="s">
        <v>26</v>
      </c>
      <c r="U1728" t="s">
        <v>26</v>
      </c>
      <c r="V1728" t="s">
        <v>26</v>
      </c>
      <c r="W1728" s="24">
        <v>29587</v>
      </c>
      <c r="X1728" s="25" t="s">
        <v>77</v>
      </c>
      <c r="Y1728" s="25" t="s">
        <v>3564</v>
      </c>
      <c r="Z1728" s="24">
        <v>29587</v>
      </c>
      <c r="AA1728" s="25" t="s">
        <v>77</v>
      </c>
      <c r="AB1728" s="25" t="s">
        <v>3564</v>
      </c>
      <c r="AC1728" s="24">
        <v>29587</v>
      </c>
      <c r="AD1728" s="25" t="s">
        <v>77</v>
      </c>
      <c r="AE1728" s="25" t="s">
        <v>3564</v>
      </c>
      <c r="AF1728" t="s">
        <v>26</v>
      </c>
      <c r="AG1728" t="s">
        <v>26</v>
      </c>
      <c r="AH1728" t="s">
        <v>26</v>
      </c>
      <c r="AI1728" t="s">
        <v>26</v>
      </c>
      <c r="AJ1728" t="s">
        <v>26</v>
      </c>
      <c r="AK1728" t="s">
        <v>26</v>
      </c>
      <c r="AL1728" t="s">
        <v>26</v>
      </c>
      <c r="AM1728" t="s">
        <v>26</v>
      </c>
      <c r="AN1728" t="s">
        <v>26</v>
      </c>
      <c r="AO1728" s="25" t="s">
        <v>68</v>
      </c>
      <c r="AP1728" s="23" t="s">
        <v>69</v>
      </c>
      <c r="AQ1728" s="23" t="s">
        <v>30</v>
      </c>
      <c r="AR1728" s="23" t="s">
        <v>46</v>
      </c>
      <c r="AS1728" s="25">
        <v>47142</v>
      </c>
      <c r="AT1728" t="s">
        <v>26</v>
      </c>
      <c r="AU1728" t="s">
        <v>24496</v>
      </c>
    </row>
    <row r="1729" spans="1:47" ht="26.25" x14ac:dyDescent="0.4">
      <c r="A1729" s="23" t="s">
        <v>4547</v>
      </c>
      <c r="B1729" t="s">
        <v>26</v>
      </c>
      <c r="C1729" s="23" t="s">
        <v>264</v>
      </c>
      <c r="D1729" s="23" t="s">
        <v>23125</v>
      </c>
      <c r="E1729" s="23" t="s">
        <v>60</v>
      </c>
      <c r="F1729" s="25" t="s">
        <v>4548</v>
      </c>
      <c r="G1729" s="25" t="s">
        <v>4549</v>
      </c>
      <c r="H1729" t="s">
        <v>26</v>
      </c>
      <c r="I1729" s="24">
        <v>33604</v>
      </c>
      <c r="J1729" s="25" t="s">
        <v>77</v>
      </c>
      <c r="K1729" t="s">
        <v>26</v>
      </c>
      <c r="L1729" s="25" t="s">
        <v>68</v>
      </c>
      <c r="M1729" s="24">
        <v>33604</v>
      </c>
      <c r="N1729" s="25" t="s">
        <v>77</v>
      </c>
      <c r="O1729" t="s">
        <v>26</v>
      </c>
      <c r="P1729" s="24">
        <v>33604</v>
      </c>
      <c r="Q1729" s="25" t="s">
        <v>77</v>
      </c>
      <c r="R1729" s="25" t="s">
        <v>22757</v>
      </c>
      <c r="S1729" t="s">
        <v>26</v>
      </c>
      <c r="T1729" t="s">
        <v>26</v>
      </c>
      <c r="U1729" t="s">
        <v>26</v>
      </c>
      <c r="V1729" s="25">
        <v>365</v>
      </c>
      <c r="W1729" s="24">
        <v>33604</v>
      </c>
      <c r="X1729" s="25" t="s">
        <v>77</v>
      </c>
      <c r="Y1729" t="s">
        <v>26</v>
      </c>
      <c r="Z1729" s="24">
        <v>33604</v>
      </c>
      <c r="AA1729" s="25" t="s">
        <v>77</v>
      </c>
      <c r="AB1729" t="s">
        <v>26</v>
      </c>
      <c r="AC1729" s="24">
        <v>33604</v>
      </c>
      <c r="AD1729" s="25" t="s">
        <v>77</v>
      </c>
      <c r="AE1729" t="s">
        <v>26</v>
      </c>
      <c r="AF1729" t="s">
        <v>26</v>
      </c>
      <c r="AG1729" t="s">
        <v>26</v>
      </c>
      <c r="AH1729" t="s">
        <v>26</v>
      </c>
      <c r="AI1729" t="s">
        <v>26</v>
      </c>
      <c r="AJ1729" t="s">
        <v>26</v>
      </c>
      <c r="AK1729" t="s">
        <v>26</v>
      </c>
      <c r="AL1729" t="s">
        <v>26</v>
      </c>
      <c r="AM1729" t="s">
        <v>26</v>
      </c>
      <c r="AN1729" t="s">
        <v>26</v>
      </c>
      <c r="AO1729" s="25" t="s">
        <v>68</v>
      </c>
      <c r="AP1729" s="23" t="s">
        <v>69</v>
      </c>
      <c r="AQ1729" s="23" t="s">
        <v>30</v>
      </c>
      <c r="AR1729" s="23" t="s">
        <v>128</v>
      </c>
      <c r="AS1729" s="25">
        <v>30228</v>
      </c>
      <c r="AT1729" t="s">
        <v>26</v>
      </c>
      <c r="AU1729" t="s">
        <v>24497</v>
      </c>
    </row>
    <row r="1730" spans="1:47" ht="26.25" x14ac:dyDescent="0.4">
      <c r="A1730" s="23" t="s">
        <v>4550</v>
      </c>
      <c r="B1730" t="s">
        <v>26</v>
      </c>
      <c r="C1730" s="23" t="s">
        <v>264</v>
      </c>
      <c r="D1730" s="23" t="s">
        <v>22261</v>
      </c>
      <c r="E1730" s="23" t="s">
        <v>60</v>
      </c>
      <c r="F1730" s="25" t="s">
        <v>4551</v>
      </c>
      <c r="G1730" s="25" t="s">
        <v>4552</v>
      </c>
      <c r="H1730" t="s">
        <v>26</v>
      </c>
      <c r="I1730" s="24">
        <v>41640</v>
      </c>
      <c r="J1730" s="25" t="s">
        <v>77</v>
      </c>
      <c r="K1730" t="s">
        <v>26</v>
      </c>
      <c r="L1730" s="25" t="s">
        <v>68</v>
      </c>
      <c r="M1730" s="24">
        <v>41640</v>
      </c>
      <c r="N1730" s="25" t="s">
        <v>77</v>
      </c>
      <c r="O1730" t="s">
        <v>26</v>
      </c>
      <c r="P1730" s="24">
        <v>41640</v>
      </c>
      <c r="Q1730" s="25" t="s">
        <v>77</v>
      </c>
      <c r="R1730" t="s">
        <v>26</v>
      </c>
      <c r="S1730" t="s">
        <v>26</v>
      </c>
      <c r="T1730" t="s">
        <v>26</v>
      </c>
      <c r="U1730" t="s">
        <v>26</v>
      </c>
      <c r="V1730" s="25">
        <v>365</v>
      </c>
      <c r="W1730" s="24">
        <v>41640</v>
      </c>
      <c r="X1730" s="25" t="s">
        <v>77</v>
      </c>
      <c r="Y1730" t="s">
        <v>26</v>
      </c>
      <c r="Z1730" s="24">
        <v>41640</v>
      </c>
      <c r="AA1730" s="25" t="s">
        <v>77</v>
      </c>
      <c r="AB1730" t="s">
        <v>26</v>
      </c>
      <c r="AC1730" s="24">
        <v>41640</v>
      </c>
      <c r="AD1730" s="25" t="s">
        <v>77</v>
      </c>
      <c r="AE1730" t="s">
        <v>26</v>
      </c>
      <c r="AF1730" t="s">
        <v>26</v>
      </c>
      <c r="AG1730" t="s">
        <v>26</v>
      </c>
      <c r="AH1730" t="s">
        <v>26</v>
      </c>
      <c r="AI1730" t="s">
        <v>26</v>
      </c>
      <c r="AJ1730" t="s">
        <v>26</v>
      </c>
      <c r="AK1730" t="s">
        <v>26</v>
      </c>
      <c r="AL1730" t="s">
        <v>26</v>
      </c>
      <c r="AM1730" t="s">
        <v>26</v>
      </c>
      <c r="AN1730" t="s">
        <v>26</v>
      </c>
      <c r="AO1730" s="25" t="s">
        <v>28</v>
      </c>
      <c r="AP1730" s="23" t="s">
        <v>69</v>
      </c>
      <c r="AQ1730" s="23" t="s">
        <v>30</v>
      </c>
      <c r="AR1730" s="23" t="s">
        <v>1688</v>
      </c>
      <c r="AS1730" s="25">
        <v>2061782</v>
      </c>
      <c r="AT1730" t="s">
        <v>26</v>
      </c>
      <c r="AU1730" t="s">
        <v>24498</v>
      </c>
    </row>
    <row r="1731" spans="1:47" ht="26.25" x14ac:dyDescent="0.4">
      <c r="A1731" s="23" t="s">
        <v>4553</v>
      </c>
      <c r="B1731" t="s">
        <v>26</v>
      </c>
      <c r="C1731" s="23" t="s">
        <v>789</v>
      </c>
      <c r="D1731" s="23" t="s">
        <v>22492</v>
      </c>
      <c r="E1731" s="23" t="s">
        <v>42</v>
      </c>
      <c r="F1731" s="25" t="s">
        <v>4554</v>
      </c>
      <c r="G1731" t="s">
        <v>26</v>
      </c>
      <c r="H1731" t="s">
        <v>26</v>
      </c>
      <c r="I1731" s="24">
        <v>40544</v>
      </c>
      <c r="J1731" s="24">
        <v>40787</v>
      </c>
      <c r="K1731" t="s">
        <v>26</v>
      </c>
      <c r="L1731" s="25" t="s">
        <v>68</v>
      </c>
      <c r="M1731" s="24">
        <v>40544</v>
      </c>
      <c r="N1731" s="24">
        <v>40787</v>
      </c>
      <c r="O1731" t="s">
        <v>26</v>
      </c>
      <c r="P1731" s="24">
        <v>40544</v>
      </c>
      <c r="Q1731" s="24">
        <v>40787</v>
      </c>
      <c r="R1731" t="s">
        <v>26</v>
      </c>
      <c r="S1731" t="s">
        <v>26</v>
      </c>
      <c r="T1731" t="s">
        <v>26</v>
      </c>
      <c r="U1731" t="s">
        <v>26</v>
      </c>
      <c r="V1731" t="s">
        <v>26</v>
      </c>
      <c r="W1731" s="24">
        <v>40544</v>
      </c>
      <c r="X1731" s="24">
        <v>40787</v>
      </c>
      <c r="Y1731" t="s">
        <v>26</v>
      </c>
      <c r="Z1731" s="24">
        <v>40544</v>
      </c>
      <c r="AA1731" s="24">
        <v>40787</v>
      </c>
      <c r="AB1731" t="s">
        <v>26</v>
      </c>
      <c r="AC1731" s="24">
        <v>40544</v>
      </c>
      <c r="AD1731" s="24">
        <v>40787</v>
      </c>
      <c r="AE1731" t="s">
        <v>26</v>
      </c>
      <c r="AF1731" t="s">
        <v>26</v>
      </c>
      <c r="AG1731" t="s">
        <v>26</v>
      </c>
      <c r="AH1731" t="s">
        <v>26</v>
      </c>
      <c r="AI1731" t="s">
        <v>26</v>
      </c>
      <c r="AJ1731" t="s">
        <v>26</v>
      </c>
      <c r="AK1731" t="s">
        <v>26</v>
      </c>
      <c r="AL1731" t="s">
        <v>26</v>
      </c>
      <c r="AM1731" t="s">
        <v>26</v>
      </c>
      <c r="AN1731" t="s">
        <v>26</v>
      </c>
      <c r="AO1731" s="25" t="s">
        <v>68</v>
      </c>
      <c r="AP1731" s="23" t="s">
        <v>69</v>
      </c>
      <c r="AQ1731" s="23" t="s">
        <v>30</v>
      </c>
      <c r="AR1731" s="23" t="s">
        <v>46</v>
      </c>
      <c r="AS1731" s="25">
        <v>2034830</v>
      </c>
      <c r="AT1731" t="s">
        <v>26</v>
      </c>
      <c r="AU1731" t="s">
        <v>24499</v>
      </c>
    </row>
    <row r="1732" spans="1:47" ht="26.25" x14ac:dyDescent="0.4">
      <c r="A1732" s="23" t="s">
        <v>4555</v>
      </c>
      <c r="B1732" t="s">
        <v>26</v>
      </c>
      <c r="C1732" s="23" t="s">
        <v>4346</v>
      </c>
      <c r="D1732" s="23" t="s">
        <v>24500</v>
      </c>
      <c r="E1732" s="23" t="s">
        <v>42</v>
      </c>
      <c r="F1732" s="25" t="s">
        <v>4556</v>
      </c>
      <c r="G1732" t="s">
        <v>26</v>
      </c>
      <c r="H1732" t="s">
        <v>26</v>
      </c>
      <c r="I1732" s="24">
        <v>40787</v>
      </c>
      <c r="J1732" s="25" t="s">
        <v>77</v>
      </c>
      <c r="K1732" t="s">
        <v>26</v>
      </c>
      <c r="L1732" s="25" t="s">
        <v>68</v>
      </c>
      <c r="M1732" s="24">
        <v>40787</v>
      </c>
      <c r="N1732" s="25" t="s">
        <v>77</v>
      </c>
      <c r="O1732" t="s">
        <v>26</v>
      </c>
      <c r="P1732" s="24">
        <v>40787</v>
      </c>
      <c r="Q1732" s="25" t="s">
        <v>77</v>
      </c>
      <c r="R1732" t="s">
        <v>26</v>
      </c>
      <c r="S1732" t="s">
        <v>26</v>
      </c>
      <c r="T1732" t="s">
        <v>26</v>
      </c>
      <c r="U1732" t="s">
        <v>26</v>
      </c>
      <c r="V1732" t="s">
        <v>26</v>
      </c>
      <c r="W1732" s="24">
        <v>40787</v>
      </c>
      <c r="X1732" s="25" t="s">
        <v>77</v>
      </c>
      <c r="Y1732" t="s">
        <v>26</v>
      </c>
      <c r="Z1732" s="24">
        <v>40787</v>
      </c>
      <c r="AA1732" s="25" t="s">
        <v>77</v>
      </c>
      <c r="AB1732" t="s">
        <v>26</v>
      </c>
      <c r="AC1732" s="24">
        <v>40787</v>
      </c>
      <c r="AD1732" s="25" t="s">
        <v>77</v>
      </c>
      <c r="AE1732" t="s">
        <v>26</v>
      </c>
      <c r="AF1732" t="s">
        <v>26</v>
      </c>
      <c r="AG1732" t="s">
        <v>26</v>
      </c>
      <c r="AH1732" t="s">
        <v>26</v>
      </c>
      <c r="AI1732" t="s">
        <v>26</v>
      </c>
      <c r="AJ1732" t="s">
        <v>26</v>
      </c>
      <c r="AK1732" t="s">
        <v>26</v>
      </c>
      <c r="AL1732" t="s">
        <v>26</v>
      </c>
      <c r="AM1732" t="s">
        <v>26</v>
      </c>
      <c r="AN1732" t="s">
        <v>26</v>
      </c>
      <c r="AO1732" s="25" t="s">
        <v>68</v>
      </c>
      <c r="AP1732" s="23" t="s">
        <v>69</v>
      </c>
      <c r="AQ1732" s="23" t="s">
        <v>30</v>
      </c>
      <c r="AR1732" s="23" t="s">
        <v>46</v>
      </c>
      <c r="AS1732" s="25">
        <v>1576346</v>
      </c>
      <c r="AT1732" t="s">
        <v>26</v>
      </c>
      <c r="AU1732" t="s">
        <v>24501</v>
      </c>
    </row>
    <row r="1733" spans="1:47" ht="26.25" x14ac:dyDescent="0.4">
      <c r="A1733" s="23" t="s">
        <v>24502</v>
      </c>
      <c r="B1733" t="s">
        <v>26</v>
      </c>
      <c r="C1733" s="23" t="s">
        <v>181</v>
      </c>
      <c r="D1733" s="23" t="s">
        <v>22617</v>
      </c>
      <c r="E1733" s="23" t="s">
        <v>60</v>
      </c>
      <c r="F1733" s="25" t="s">
        <v>24503</v>
      </c>
      <c r="G1733" t="s">
        <v>26</v>
      </c>
      <c r="H1733" t="s">
        <v>26</v>
      </c>
      <c r="I1733" s="24">
        <v>39173</v>
      </c>
      <c r="J1733" s="25" t="s">
        <v>77</v>
      </c>
      <c r="K1733" s="25" t="s">
        <v>833</v>
      </c>
      <c r="L1733" s="25" t="s">
        <v>68</v>
      </c>
      <c r="M1733" s="24">
        <v>41061</v>
      </c>
      <c r="N1733" s="25" t="s">
        <v>77</v>
      </c>
      <c r="O1733" s="25" t="s">
        <v>833</v>
      </c>
      <c r="P1733" s="24">
        <v>39173</v>
      </c>
      <c r="Q1733" s="25" t="s">
        <v>77</v>
      </c>
      <c r="R1733" s="25" t="s">
        <v>833</v>
      </c>
      <c r="S1733" t="s">
        <v>26</v>
      </c>
      <c r="T1733" t="s">
        <v>26</v>
      </c>
      <c r="U1733" t="s">
        <v>26</v>
      </c>
      <c r="V1733" t="s">
        <v>26</v>
      </c>
      <c r="W1733" s="24">
        <v>39173</v>
      </c>
      <c r="X1733" s="25" t="s">
        <v>77</v>
      </c>
      <c r="Y1733" s="25" t="s">
        <v>833</v>
      </c>
      <c r="Z1733" s="24">
        <v>39173</v>
      </c>
      <c r="AA1733" s="25" t="s">
        <v>77</v>
      </c>
      <c r="AB1733" s="25" t="s">
        <v>833</v>
      </c>
      <c r="AC1733" s="24">
        <v>39173</v>
      </c>
      <c r="AD1733" s="25" t="s">
        <v>77</v>
      </c>
      <c r="AE1733" s="25" t="s">
        <v>833</v>
      </c>
      <c r="AF1733" t="s">
        <v>26</v>
      </c>
      <c r="AG1733" t="s">
        <v>26</v>
      </c>
      <c r="AH1733" t="s">
        <v>26</v>
      </c>
      <c r="AI1733" t="s">
        <v>26</v>
      </c>
      <c r="AJ1733" t="s">
        <v>26</v>
      </c>
      <c r="AK1733" t="s">
        <v>26</v>
      </c>
      <c r="AL1733" t="s">
        <v>26</v>
      </c>
      <c r="AM1733" t="s">
        <v>26</v>
      </c>
      <c r="AN1733" t="s">
        <v>26</v>
      </c>
      <c r="AO1733" s="25" t="s">
        <v>68</v>
      </c>
      <c r="AP1733" s="23" t="s">
        <v>69</v>
      </c>
      <c r="AQ1733" s="23" t="s">
        <v>30</v>
      </c>
      <c r="AR1733" s="23" t="s">
        <v>257</v>
      </c>
      <c r="AS1733" s="25">
        <v>6458214</v>
      </c>
      <c r="AT1733" t="s">
        <v>26</v>
      </c>
      <c r="AU1733" t="s">
        <v>24504</v>
      </c>
    </row>
    <row r="1734" spans="1:47" ht="26.25" x14ac:dyDescent="0.4">
      <c r="A1734" s="23" t="s">
        <v>4557</v>
      </c>
      <c r="B1734" t="s">
        <v>26</v>
      </c>
      <c r="C1734" s="23" t="s">
        <v>789</v>
      </c>
      <c r="D1734" s="23" t="s">
        <v>22492</v>
      </c>
      <c r="E1734" s="23" t="s">
        <v>42</v>
      </c>
      <c r="F1734" s="25" t="s">
        <v>4558</v>
      </c>
      <c r="G1734" t="s">
        <v>26</v>
      </c>
      <c r="H1734" t="s">
        <v>26</v>
      </c>
      <c r="I1734" s="24">
        <v>40544</v>
      </c>
      <c r="J1734" s="25" t="s">
        <v>77</v>
      </c>
      <c r="K1734" t="s">
        <v>26</v>
      </c>
      <c r="L1734" s="25" t="s">
        <v>68</v>
      </c>
      <c r="M1734" s="24">
        <v>40544</v>
      </c>
      <c r="N1734" s="25" t="s">
        <v>77</v>
      </c>
      <c r="O1734" t="s">
        <v>26</v>
      </c>
      <c r="P1734" s="24">
        <v>40544</v>
      </c>
      <c r="Q1734" s="25" t="s">
        <v>77</v>
      </c>
      <c r="R1734" t="s">
        <v>26</v>
      </c>
      <c r="S1734" t="s">
        <v>26</v>
      </c>
      <c r="T1734" t="s">
        <v>26</v>
      </c>
      <c r="U1734" t="s">
        <v>26</v>
      </c>
      <c r="V1734" t="s">
        <v>26</v>
      </c>
      <c r="W1734" s="24">
        <v>40544</v>
      </c>
      <c r="X1734" s="25" t="s">
        <v>77</v>
      </c>
      <c r="Y1734" t="s">
        <v>26</v>
      </c>
      <c r="Z1734" s="24">
        <v>40544</v>
      </c>
      <c r="AA1734" s="25" t="s">
        <v>77</v>
      </c>
      <c r="AB1734" t="s">
        <v>26</v>
      </c>
      <c r="AC1734" s="24">
        <v>40544</v>
      </c>
      <c r="AD1734" s="25" t="s">
        <v>77</v>
      </c>
      <c r="AE1734" t="s">
        <v>26</v>
      </c>
      <c r="AF1734" t="s">
        <v>26</v>
      </c>
      <c r="AG1734" t="s">
        <v>26</v>
      </c>
      <c r="AH1734" t="s">
        <v>26</v>
      </c>
      <c r="AI1734" t="s">
        <v>26</v>
      </c>
      <c r="AJ1734" t="s">
        <v>26</v>
      </c>
      <c r="AK1734" t="s">
        <v>26</v>
      </c>
      <c r="AL1734" t="s">
        <v>26</v>
      </c>
      <c r="AM1734" t="s">
        <v>26</v>
      </c>
      <c r="AN1734" t="s">
        <v>26</v>
      </c>
      <c r="AO1734" s="25" t="s">
        <v>28</v>
      </c>
      <c r="AP1734" s="23" t="s">
        <v>69</v>
      </c>
      <c r="AQ1734" s="23" t="s">
        <v>30</v>
      </c>
      <c r="AR1734" s="23" t="s">
        <v>277</v>
      </c>
      <c r="AS1734" s="25">
        <v>2034829</v>
      </c>
      <c r="AT1734" t="s">
        <v>26</v>
      </c>
      <c r="AU1734" t="s">
        <v>24505</v>
      </c>
    </row>
    <row r="1735" spans="1:47" ht="26.25" x14ac:dyDescent="0.4">
      <c r="A1735" s="23" t="s">
        <v>4559</v>
      </c>
      <c r="B1735" t="s">
        <v>26</v>
      </c>
      <c r="C1735" s="23" t="s">
        <v>107</v>
      </c>
      <c r="D1735" s="23" t="s">
        <v>22451</v>
      </c>
      <c r="E1735" s="23" t="s">
        <v>42</v>
      </c>
      <c r="F1735" s="25" t="s">
        <v>4560</v>
      </c>
      <c r="G1735" s="25" t="s">
        <v>4561</v>
      </c>
      <c r="H1735" t="s">
        <v>26</v>
      </c>
      <c r="I1735" s="24">
        <v>35886</v>
      </c>
      <c r="J1735" s="24">
        <v>42917</v>
      </c>
      <c r="K1735" s="25" t="s">
        <v>4562</v>
      </c>
      <c r="L1735" s="25" t="s">
        <v>68</v>
      </c>
      <c r="M1735" s="24">
        <v>35886</v>
      </c>
      <c r="N1735" s="24">
        <v>42917</v>
      </c>
      <c r="O1735" s="25" t="s">
        <v>4562</v>
      </c>
      <c r="P1735" s="24">
        <v>35886</v>
      </c>
      <c r="Q1735" s="24">
        <v>42917</v>
      </c>
      <c r="R1735" s="25" t="s">
        <v>4562</v>
      </c>
      <c r="S1735" t="s">
        <v>26</v>
      </c>
      <c r="T1735" t="s">
        <v>26</v>
      </c>
      <c r="U1735" t="s">
        <v>26</v>
      </c>
      <c r="V1735" t="s">
        <v>26</v>
      </c>
      <c r="W1735" s="24">
        <v>32478</v>
      </c>
      <c r="X1735" s="25" t="s">
        <v>77</v>
      </c>
      <c r="Y1735" s="25" t="s">
        <v>4562</v>
      </c>
      <c r="Z1735" s="24">
        <v>32478</v>
      </c>
      <c r="AA1735" s="25" t="s">
        <v>77</v>
      </c>
      <c r="AB1735" s="25" t="s">
        <v>4562</v>
      </c>
      <c r="AC1735" s="24">
        <v>32568</v>
      </c>
      <c r="AD1735" s="25" t="s">
        <v>77</v>
      </c>
      <c r="AE1735" s="25" t="s">
        <v>4562</v>
      </c>
      <c r="AF1735" t="s">
        <v>26</v>
      </c>
      <c r="AG1735" t="s">
        <v>26</v>
      </c>
      <c r="AH1735" t="s">
        <v>26</v>
      </c>
      <c r="AI1735" t="s">
        <v>26</v>
      </c>
      <c r="AJ1735" t="s">
        <v>26</v>
      </c>
      <c r="AK1735" t="s">
        <v>26</v>
      </c>
      <c r="AL1735" t="s">
        <v>26</v>
      </c>
      <c r="AM1735" t="s">
        <v>26</v>
      </c>
      <c r="AN1735" t="s">
        <v>26</v>
      </c>
      <c r="AO1735" s="25" t="s">
        <v>68</v>
      </c>
      <c r="AP1735" s="23" t="s">
        <v>69</v>
      </c>
      <c r="AQ1735" s="23" t="s">
        <v>30</v>
      </c>
      <c r="AR1735" s="23" t="s">
        <v>277</v>
      </c>
      <c r="AS1735" s="25">
        <v>31334</v>
      </c>
      <c r="AT1735" t="s">
        <v>26</v>
      </c>
      <c r="AU1735" t="s">
        <v>24506</v>
      </c>
    </row>
    <row r="1736" spans="1:47" ht="26.25" x14ac:dyDescent="0.4">
      <c r="A1736" s="23" t="s">
        <v>4563</v>
      </c>
      <c r="B1736" t="s">
        <v>26</v>
      </c>
      <c r="C1736" s="23" t="s">
        <v>4564</v>
      </c>
      <c r="D1736" s="23" t="s">
        <v>23393</v>
      </c>
      <c r="E1736" s="23" t="s">
        <v>42</v>
      </c>
      <c r="F1736" s="25" t="s">
        <v>4565</v>
      </c>
      <c r="G1736" t="s">
        <v>26</v>
      </c>
      <c r="H1736" t="s">
        <v>26</v>
      </c>
      <c r="I1736" s="24">
        <v>34759</v>
      </c>
      <c r="J1736" s="25" t="s">
        <v>77</v>
      </c>
      <c r="K1736" t="s">
        <v>26</v>
      </c>
      <c r="L1736" s="25" t="s">
        <v>68</v>
      </c>
      <c r="M1736" s="24">
        <v>34759</v>
      </c>
      <c r="N1736" s="25" t="s">
        <v>77</v>
      </c>
      <c r="O1736" t="s">
        <v>26</v>
      </c>
      <c r="P1736" s="24">
        <v>34943</v>
      </c>
      <c r="Q1736" s="25" t="s">
        <v>77</v>
      </c>
      <c r="R1736" t="s">
        <v>26</v>
      </c>
      <c r="S1736" t="s">
        <v>26</v>
      </c>
      <c r="T1736" t="s">
        <v>26</v>
      </c>
      <c r="U1736" t="s">
        <v>26</v>
      </c>
      <c r="V1736" t="s">
        <v>26</v>
      </c>
      <c r="W1736" s="24">
        <v>32568</v>
      </c>
      <c r="X1736" s="25" t="s">
        <v>77</v>
      </c>
      <c r="Y1736" t="s">
        <v>26</v>
      </c>
      <c r="Z1736" s="24">
        <v>32568</v>
      </c>
      <c r="AA1736" s="25" t="s">
        <v>77</v>
      </c>
      <c r="AB1736" t="s">
        <v>26</v>
      </c>
      <c r="AC1736" s="24">
        <v>32568</v>
      </c>
      <c r="AD1736" s="25" t="s">
        <v>77</v>
      </c>
      <c r="AE1736" t="s">
        <v>26</v>
      </c>
      <c r="AF1736" t="s">
        <v>26</v>
      </c>
      <c r="AG1736" t="s">
        <v>26</v>
      </c>
      <c r="AH1736" t="s">
        <v>26</v>
      </c>
      <c r="AI1736" t="s">
        <v>26</v>
      </c>
      <c r="AJ1736" t="s">
        <v>26</v>
      </c>
      <c r="AK1736" t="s">
        <v>26</v>
      </c>
      <c r="AL1736" t="s">
        <v>26</v>
      </c>
      <c r="AM1736" t="s">
        <v>26</v>
      </c>
      <c r="AN1736" t="s">
        <v>26</v>
      </c>
      <c r="AO1736" s="25" t="s">
        <v>68</v>
      </c>
      <c r="AP1736" s="23" t="s">
        <v>69</v>
      </c>
      <c r="AQ1736" s="23" t="s">
        <v>30</v>
      </c>
      <c r="AR1736" s="23" t="s">
        <v>3022</v>
      </c>
      <c r="AS1736" s="25">
        <v>42308</v>
      </c>
      <c r="AT1736" t="s">
        <v>26</v>
      </c>
      <c r="AU1736" t="s">
        <v>24507</v>
      </c>
    </row>
    <row r="1737" spans="1:47" ht="26.25" x14ac:dyDescent="0.4">
      <c r="A1737" s="23" t="s">
        <v>4566</v>
      </c>
      <c r="B1737" t="s">
        <v>26</v>
      </c>
      <c r="C1737" s="23" t="s">
        <v>80</v>
      </c>
      <c r="D1737" s="23" t="s">
        <v>23269</v>
      </c>
      <c r="E1737" s="23" t="s">
        <v>60</v>
      </c>
      <c r="F1737" t="s">
        <v>26</v>
      </c>
      <c r="G1737" s="25" t="s">
        <v>4567</v>
      </c>
      <c r="H1737" t="s">
        <v>26</v>
      </c>
      <c r="I1737" s="24">
        <v>40544</v>
      </c>
      <c r="J1737" s="25" t="s">
        <v>77</v>
      </c>
      <c r="K1737" t="s">
        <v>26</v>
      </c>
      <c r="L1737" s="25" t="s">
        <v>68</v>
      </c>
      <c r="M1737" s="24">
        <v>41640</v>
      </c>
      <c r="N1737" s="25" t="s">
        <v>77</v>
      </c>
      <c r="O1737" t="s">
        <v>26</v>
      </c>
      <c r="P1737" s="24">
        <v>40544</v>
      </c>
      <c r="Q1737" s="25" t="s">
        <v>77</v>
      </c>
      <c r="R1737" t="s">
        <v>26</v>
      </c>
      <c r="S1737" t="s">
        <v>26</v>
      </c>
      <c r="T1737" t="s">
        <v>26</v>
      </c>
      <c r="U1737" t="s">
        <v>26</v>
      </c>
      <c r="V1737" t="s">
        <v>26</v>
      </c>
      <c r="W1737" s="24">
        <v>40544</v>
      </c>
      <c r="X1737" s="25" t="s">
        <v>77</v>
      </c>
      <c r="Y1737" t="s">
        <v>26</v>
      </c>
      <c r="Z1737" s="24">
        <v>40544</v>
      </c>
      <c r="AA1737" s="25" t="s">
        <v>77</v>
      </c>
      <c r="AB1737" t="s">
        <v>26</v>
      </c>
      <c r="AC1737" s="24">
        <v>40544</v>
      </c>
      <c r="AD1737" s="25" t="s">
        <v>77</v>
      </c>
      <c r="AE1737" t="s">
        <v>26</v>
      </c>
      <c r="AF1737" t="s">
        <v>26</v>
      </c>
      <c r="AG1737" t="s">
        <v>26</v>
      </c>
      <c r="AH1737" t="s">
        <v>26</v>
      </c>
      <c r="AI1737" t="s">
        <v>26</v>
      </c>
      <c r="AJ1737" t="s">
        <v>26</v>
      </c>
      <c r="AK1737" t="s">
        <v>26</v>
      </c>
      <c r="AL1737" t="s">
        <v>26</v>
      </c>
      <c r="AM1737" t="s">
        <v>26</v>
      </c>
      <c r="AN1737" t="s">
        <v>26</v>
      </c>
      <c r="AO1737" s="25" t="s">
        <v>68</v>
      </c>
      <c r="AP1737" s="23" t="s">
        <v>69</v>
      </c>
      <c r="AQ1737" s="23" t="s">
        <v>30</v>
      </c>
      <c r="AR1737" s="23" t="s">
        <v>70</v>
      </c>
      <c r="AS1737" s="25">
        <v>3933404</v>
      </c>
      <c r="AT1737" t="s">
        <v>26</v>
      </c>
      <c r="AU1737" t="s">
        <v>24508</v>
      </c>
    </row>
    <row r="1738" spans="1:47" ht="26.25" x14ac:dyDescent="0.4">
      <c r="A1738" s="23" t="s">
        <v>4568</v>
      </c>
      <c r="B1738" t="s">
        <v>26</v>
      </c>
      <c r="C1738" s="23" t="s">
        <v>264</v>
      </c>
      <c r="D1738" s="23" t="s">
        <v>22261</v>
      </c>
      <c r="E1738" s="23" t="s">
        <v>60</v>
      </c>
      <c r="F1738" s="25" t="s">
        <v>4569</v>
      </c>
      <c r="G1738" s="25" t="s">
        <v>4570</v>
      </c>
      <c r="H1738" t="s">
        <v>26</v>
      </c>
      <c r="I1738" s="24">
        <v>43101</v>
      </c>
      <c r="J1738" s="25" t="s">
        <v>77</v>
      </c>
      <c r="K1738" t="s">
        <v>26</v>
      </c>
      <c r="L1738" s="25" t="s">
        <v>68</v>
      </c>
      <c r="M1738" s="24">
        <v>43101</v>
      </c>
      <c r="N1738" s="25" t="s">
        <v>77</v>
      </c>
      <c r="O1738" t="s">
        <v>26</v>
      </c>
      <c r="P1738" s="24">
        <v>43101</v>
      </c>
      <c r="Q1738" s="25" t="s">
        <v>77</v>
      </c>
      <c r="R1738" t="s">
        <v>26</v>
      </c>
      <c r="S1738" t="s">
        <v>26</v>
      </c>
      <c r="T1738" t="s">
        <v>26</v>
      </c>
      <c r="U1738" t="s">
        <v>26</v>
      </c>
      <c r="V1738" s="25">
        <v>365</v>
      </c>
      <c r="W1738" s="24">
        <v>43101</v>
      </c>
      <c r="X1738" s="25" t="s">
        <v>77</v>
      </c>
      <c r="Y1738" t="s">
        <v>26</v>
      </c>
      <c r="Z1738" s="24">
        <v>43101</v>
      </c>
      <c r="AA1738" s="25" t="s">
        <v>77</v>
      </c>
      <c r="AB1738" t="s">
        <v>26</v>
      </c>
      <c r="AC1738" s="24">
        <v>43101</v>
      </c>
      <c r="AD1738" s="25" t="s">
        <v>77</v>
      </c>
      <c r="AE1738" t="s">
        <v>26</v>
      </c>
      <c r="AF1738" t="s">
        <v>26</v>
      </c>
      <c r="AG1738" t="s">
        <v>26</v>
      </c>
      <c r="AH1738" t="s">
        <v>26</v>
      </c>
      <c r="AI1738" t="s">
        <v>26</v>
      </c>
      <c r="AJ1738" t="s">
        <v>26</v>
      </c>
      <c r="AK1738" t="s">
        <v>26</v>
      </c>
      <c r="AL1738" t="s">
        <v>26</v>
      </c>
      <c r="AM1738" t="s">
        <v>26</v>
      </c>
      <c r="AN1738" t="s">
        <v>26</v>
      </c>
      <c r="AO1738" s="25" t="s">
        <v>68</v>
      </c>
      <c r="AP1738" s="23" t="s">
        <v>69</v>
      </c>
      <c r="AQ1738" s="23" t="s">
        <v>30</v>
      </c>
      <c r="AR1738" s="23" t="s">
        <v>1688</v>
      </c>
      <c r="AS1738" s="25">
        <v>4882999</v>
      </c>
      <c r="AT1738" t="s">
        <v>26</v>
      </c>
      <c r="AU1738" t="s">
        <v>24509</v>
      </c>
    </row>
    <row r="1739" spans="1:47" ht="26.25" x14ac:dyDescent="0.4">
      <c r="A1739" s="23" t="s">
        <v>4571</v>
      </c>
      <c r="B1739" t="s">
        <v>26</v>
      </c>
      <c r="C1739" s="23" t="s">
        <v>181</v>
      </c>
      <c r="D1739" s="23" t="s">
        <v>22174</v>
      </c>
      <c r="E1739" s="23" t="s">
        <v>60</v>
      </c>
      <c r="F1739" s="25" t="s">
        <v>4572</v>
      </c>
      <c r="G1739" t="s">
        <v>26</v>
      </c>
      <c r="H1739" t="s">
        <v>26</v>
      </c>
      <c r="I1739" t="s">
        <v>26</v>
      </c>
      <c r="J1739" t="s">
        <v>26</v>
      </c>
      <c r="K1739" t="s">
        <v>26</v>
      </c>
      <c r="L1739" s="25" t="s">
        <v>68</v>
      </c>
      <c r="M1739" t="s">
        <v>26</v>
      </c>
      <c r="N1739" t="s">
        <v>26</v>
      </c>
      <c r="O1739" t="s">
        <v>26</v>
      </c>
      <c r="P1739" t="s">
        <v>26</v>
      </c>
      <c r="Q1739" t="s">
        <v>26</v>
      </c>
      <c r="R1739" t="s">
        <v>26</v>
      </c>
      <c r="S1739" t="s">
        <v>26</v>
      </c>
      <c r="T1739" t="s">
        <v>26</v>
      </c>
      <c r="U1739" t="s">
        <v>26</v>
      </c>
      <c r="V1739" t="s">
        <v>26</v>
      </c>
      <c r="W1739" s="24">
        <v>37316</v>
      </c>
      <c r="X1739" s="25" t="s">
        <v>77</v>
      </c>
      <c r="Y1739" t="s">
        <v>26</v>
      </c>
      <c r="Z1739" s="24">
        <v>37316</v>
      </c>
      <c r="AA1739" s="25" t="s">
        <v>77</v>
      </c>
      <c r="AB1739" t="s">
        <v>26</v>
      </c>
      <c r="AC1739" s="24">
        <v>37316</v>
      </c>
      <c r="AD1739" s="25" t="s">
        <v>77</v>
      </c>
      <c r="AE1739" t="s">
        <v>26</v>
      </c>
      <c r="AF1739" t="s">
        <v>26</v>
      </c>
      <c r="AG1739" t="s">
        <v>26</v>
      </c>
      <c r="AH1739" t="s">
        <v>26</v>
      </c>
      <c r="AI1739" t="s">
        <v>26</v>
      </c>
      <c r="AJ1739" t="s">
        <v>26</v>
      </c>
      <c r="AK1739" t="s">
        <v>26</v>
      </c>
      <c r="AL1739" t="s">
        <v>26</v>
      </c>
      <c r="AM1739" t="s">
        <v>26</v>
      </c>
      <c r="AN1739" t="s">
        <v>26</v>
      </c>
      <c r="AO1739" s="25" t="s">
        <v>68</v>
      </c>
      <c r="AP1739" s="23" t="s">
        <v>69</v>
      </c>
      <c r="AQ1739" s="23" t="s">
        <v>30</v>
      </c>
      <c r="AR1739" s="23" t="s">
        <v>3141</v>
      </c>
      <c r="AS1739" s="25">
        <v>2032918</v>
      </c>
      <c r="AT1739" t="s">
        <v>26</v>
      </c>
      <c r="AU1739" t="s">
        <v>24510</v>
      </c>
    </row>
    <row r="1740" spans="1:47" ht="26.25" x14ac:dyDescent="0.4">
      <c r="A1740" s="23" t="s">
        <v>4573</v>
      </c>
      <c r="B1740" t="s">
        <v>26</v>
      </c>
      <c r="C1740" s="23" t="s">
        <v>4574</v>
      </c>
      <c r="D1740" s="23" t="s">
        <v>22674</v>
      </c>
      <c r="E1740" s="23" t="s">
        <v>42</v>
      </c>
      <c r="F1740" s="25" t="s">
        <v>4575</v>
      </c>
      <c r="G1740" t="s">
        <v>26</v>
      </c>
      <c r="H1740" t="s">
        <v>26</v>
      </c>
      <c r="I1740" s="24">
        <v>36161</v>
      </c>
      <c r="J1740" s="24">
        <v>37987</v>
      </c>
      <c r="K1740" t="s">
        <v>26</v>
      </c>
      <c r="L1740" s="25" t="s">
        <v>68</v>
      </c>
      <c r="M1740" s="24">
        <v>36161</v>
      </c>
      <c r="N1740" s="24">
        <v>37987</v>
      </c>
      <c r="O1740" t="s">
        <v>26</v>
      </c>
      <c r="P1740" s="24">
        <v>36161</v>
      </c>
      <c r="Q1740" s="24">
        <v>37987</v>
      </c>
      <c r="R1740" t="s">
        <v>26</v>
      </c>
      <c r="S1740" t="s">
        <v>26</v>
      </c>
      <c r="T1740" t="s">
        <v>26</v>
      </c>
      <c r="U1740" t="s">
        <v>26</v>
      </c>
      <c r="V1740" t="s">
        <v>26</v>
      </c>
      <c r="W1740" s="24">
        <v>36161</v>
      </c>
      <c r="X1740" s="24">
        <v>37987</v>
      </c>
      <c r="Y1740" t="s">
        <v>26</v>
      </c>
      <c r="Z1740" s="24">
        <v>36161</v>
      </c>
      <c r="AA1740" s="24">
        <v>37987</v>
      </c>
      <c r="AB1740" t="s">
        <v>26</v>
      </c>
      <c r="AC1740" t="s">
        <v>26</v>
      </c>
      <c r="AD1740" t="s">
        <v>26</v>
      </c>
      <c r="AE1740" t="s">
        <v>26</v>
      </c>
      <c r="AF1740" t="s">
        <v>26</v>
      </c>
      <c r="AG1740" t="s">
        <v>26</v>
      </c>
      <c r="AH1740" t="s">
        <v>26</v>
      </c>
      <c r="AI1740" t="s">
        <v>26</v>
      </c>
      <c r="AJ1740" t="s">
        <v>26</v>
      </c>
      <c r="AK1740" t="s">
        <v>26</v>
      </c>
      <c r="AL1740" t="s">
        <v>26</v>
      </c>
      <c r="AM1740" t="s">
        <v>26</v>
      </c>
      <c r="AN1740" t="s">
        <v>26</v>
      </c>
      <c r="AO1740" s="25" t="s">
        <v>68</v>
      </c>
      <c r="AP1740" s="23" t="s">
        <v>69</v>
      </c>
      <c r="AQ1740" s="23" t="s">
        <v>30</v>
      </c>
      <c r="AR1740" s="23" t="s">
        <v>2262</v>
      </c>
      <c r="AS1740" s="25">
        <v>38101</v>
      </c>
      <c r="AT1740" t="s">
        <v>26</v>
      </c>
      <c r="AU1740" t="s">
        <v>24511</v>
      </c>
    </row>
    <row r="1741" spans="1:47" ht="26.25" x14ac:dyDescent="0.4">
      <c r="A1741" s="23" t="s">
        <v>4576</v>
      </c>
      <c r="B1741" t="s">
        <v>26</v>
      </c>
      <c r="C1741" s="23" t="s">
        <v>4487</v>
      </c>
      <c r="D1741" s="23" t="s">
        <v>22179</v>
      </c>
      <c r="E1741" s="23" t="s">
        <v>42</v>
      </c>
      <c r="F1741" s="25" t="s">
        <v>4577</v>
      </c>
      <c r="G1741" s="25" t="s">
        <v>4578</v>
      </c>
      <c r="H1741" t="s">
        <v>26</v>
      </c>
      <c r="I1741" s="24">
        <v>38261</v>
      </c>
      <c r="J1741" s="24">
        <v>43101</v>
      </c>
      <c r="K1741" t="s">
        <v>26</v>
      </c>
      <c r="L1741" s="25" t="s">
        <v>68</v>
      </c>
      <c r="M1741" s="24">
        <v>38261</v>
      </c>
      <c r="N1741" s="24">
        <v>43101</v>
      </c>
      <c r="O1741" t="s">
        <v>26</v>
      </c>
      <c r="P1741" s="24">
        <v>38261</v>
      </c>
      <c r="Q1741" s="24">
        <v>43101</v>
      </c>
      <c r="R1741" t="s">
        <v>26</v>
      </c>
      <c r="S1741" t="s">
        <v>26</v>
      </c>
      <c r="T1741" t="s">
        <v>26</v>
      </c>
      <c r="U1741" t="s">
        <v>26</v>
      </c>
      <c r="V1741" t="s">
        <v>26</v>
      </c>
      <c r="W1741" s="24">
        <v>38261</v>
      </c>
      <c r="X1741" s="24">
        <v>43101</v>
      </c>
      <c r="Y1741" t="s">
        <v>26</v>
      </c>
      <c r="Z1741" s="24">
        <v>38261</v>
      </c>
      <c r="AA1741" s="24">
        <v>43101</v>
      </c>
      <c r="AB1741" t="s">
        <v>26</v>
      </c>
      <c r="AC1741" s="24">
        <v>38261</v>
      </c>
      <c r="AD1741" s="24">
        <v>43101</v>
      </c>
      <c r="AE1741" t="s">
        <v>26</v>
      </c>
      <c r="AF1741" t="s">
        <v>26</v>
      </c>
      <c r="AG1741" t="s">
        <v>26</v>
      </c>
      <c r="AH1741" t="s">
        <v>26</v>
      </c>
      <c r="AI1741" t="s">
        <v>26</v>
      </c>
      <c r="AJ1741" t="s">
        <v>26</v>
      </c>
      <c r="AK1741" t="s">
        <v>26</v>
      </c>
      <c r="AL1741" t="s">
        <v>26</v>
      </c>
      <c r="AM1741" t="s">
        <v>26</v>
      </c>
      <c r="AN1741" t="s">
        <v>26</v>
      </c>
      <c r="AO1741" s="25" t="s">
        <v>68</v>
      </c>
      <c r="AP1741" s="23" t="s">
        <v>69</v>
      </c>
      <c r="AQ1741" s="23" t="s">
        <v>30</v>
      </c>
      <c r="AR1741" s="23" t="s">
        <v>3771</v>
      </c>
      <c r="AS1741" s="25">
        <v>43404</v>
      </c>
      <c r="AT1741" t="s">
        <v>26</v>
      </c>
      <c r="AU1741" t="s">
        <v>24512</v>
      </c>
    </row>
    <row r="1742" spans="1:47" ht="26.25" x14ac:dyDescent="0.4">
      <c r="A1742" s="23" t="s">
        <v>4579</v>
      </c>
      <c r="B1742" t="s">
        <v>26</v>
      </c>
      <c r="C1742" s="23" t="s">
        <v>2404</v>
      </c>
      <c r="D1742" s="23" t="s">
        <v>23395</v>
      </c>
      <c r="E1742" t="s">
        <v>26</v>
      </c>
      <c r="F1742" s="25" t="s">
        <v>4580</v>
      </c>
      <c r="G1742" s="25" t="s">
        <v>4581</v>
      </c>
      <c r="H1742" t="s">
        <v>26</v>
      </c>
      <c r="I1742" s="24">
        <v>39448</v>
      </c>
      <c r="J1742" s="25" t="s">
        <v>77</v>
      </c>
      <c r="K1742" t="s">
        <v>26</v>
      </c>
      <c r="L1742" s="25" t="s">
        <v>68</v>
      </c>
      <c r="M1742" s="24">
        <v>39448</v>
      </c>
      <c r="N1742" s="24">
        <v>43831</v>
      </c>
      <c r="O1742" t="s">
        <v>26</v>
      </c>
      <c r="P1742" s="24">
        <v>39448</v>
      </c>
      <c r="Q1742" s="24">
        <v>43831</v>
      </c>
      <c r="R1742" t="s">
        <v>26</v>
      </c>
      <c r="S1742" s="24">
        <v>43922</v>
      </c>
      <c r="T1742" s="25" t="s">
        <v>77</v>
      </c>
      <c r="U1742" t="s">
        <v>26</v>
      </c>
      <c r="V1742" t="s">
        <v>26</v>
      </c>
      <c r="W1742" s="24">
        <v>39448</v>
      </c>
      <c r="X1742" s="25" t="s">
        <v>77</v>
      </c>
      <c r="Y1742" t="s">
        <v>26</v>
      </c>
      <c r="Z1742" s="24">
        <v>39448</v>
      </c>
      <c r="AA1742" s="25" t="s">
        <v>77</v>
      </c>
      <c r="AB1742" t="s">
        <v>26</v>
      </c>
      <c r="AC1742" s="24">
        <v>39448</v>
      </c>
      <c r="AD1742" s="25" t="s">
        <v>77</v>
      </c>
      <c r="AE1742" t="s">
        <v>26</v>
      </c>
      <c r="AF1742" t="s">
        <v>26</v>
      </c>
      <c r="AG1742" t="s">
        <v>26</v>
      </c>
      <c r="AH1742" t="s">
        <v>26</v>
      </c>
      <c r="AI1742" t="s">
        <v>26</v>
      </c>
      <c r="AJ1742" t="s">
        <v>26</v>
      </c>
      <c r="AK1742" t="s">
        <v>26</v>
      </c>
      <c r="AL1742" t="s">
        <v>26</v>
      </c>
      <c r="AM1742" t="s">
        <v>26</v>
      </c>
      <c r="AN1742" t="s">
        <v>26</v>
      </c>
      <c r="AO1742" s="25" t="s">
        <v>68</v>
      </c>
      <c r="AP1742" s="23" t="s">
        <v>69</v>
      </c>
      <c r="AQ1742" s="23" t="s">
        <v>30</v>
      </c>
      <c r="AR1742" s="23" t="s">
        <v>3771</v>
      </c>
      <c r="AS1742" s="25">
        <v>226474</v>
      </c>
      <c r="AT1742" t="s">
        <v>26</v>
      </c>
      <c r="AU1742" t="s">
        <v>24513</v>
      </c>
    </row>
    <row r="1743" spans="1:47" ht="26.25" x14ac:dyDescent="0.4">
      <c r="A1743" s="23" t="s">
        <v>4582</v>
      </c>
      <c r="B1743" t="s">
        <v>26</v>
      </c>
      <c r="C1743" s="23" t="s">
        <v>80</v>
      </c>
      <c r="D1743" s="23" t="s">
        <v>22184</v>
      </c>
      <c r="E1743" s="23" t="s">
        <v>60</v>
      </c>
      <c r="F1743" s="25" t="s">
        <v>4583</v>
      </c>
      <c r="G1743" s="25" t="s">
        <v>4584</v>
      </c>
      <c r="H1743" t="s">
        <v>26</v>
      </c>
      <c r="I1743" s="24">
        <v>32082</v>
      </c>
      <c r="J1743" s="24">
        <v>37347</v>
      </c>
      <c r="K1743" t="s">
        <v>26</v>
      </c>
      <c r="L1743" s="25" t="s">
        <v>68</v>
      </c>
      <c r="M1743" s="24">
        <v>33604</v>
      </c>
      <c r="N1743" s="24">
        <v>37347</v>
      </c>
      <c r="O1743" t="s">
        <v>26</v>
      </c>
      <c r="P1743" s="24">
        <v>32082</v>
      </c>
      <c r="Q1743" s="24">
        <v>37347</v>
      </c>
      <c r="R1743" t="s">
        <v>26</v>
      </c>
      <c r="S1743" t="s">
        <v>26</v>
      </c>
      <c r="T1743" t="s">
        <v>26</v>
      </c>
      <c r="U1743" t="s">
        <v>26</v>
      </c>
      <c r="V1743" t="s">
        <v>26</v>
      </c>
      <c r="W1743" s="24">
        <v>30437</v>
      </c>
      <c r="X1743" s="25" t="s">
        <v>77</v>
      </c>
      <c r="Y1743" t="s">
        <v>26</v>
      </c>
      <c r="Z1743" s="24">
        <v>30437</v>
      </c>
      <c r="AA1743" s="25" t="s">
        <v>77</v>
      </c>
      <c r="AB1743" t="s">
        <v>26</v>
      </c>
      <c r="AC1743" s="24">
        <v>30437</v>
      </c>
      <c r="AD1743" s="25" t="s">
        <v>77</v>
      </c>
      <c r="AE1743" t="s">
        <v>26</v>
      </c>
      <c r="AF1743" t="s">
        <v>26</v>
      </c>
      <c r="AG1743" t="s">
        <v>26</v>
      </c>
      <c r="AH1743" t="s">
        <v>26</v>
      </c>
      <c r="AI1743" t="s">
        <v>26</v>
      </c>
      <c r="AJ1743" t="s">
        <v>26</v>
      </c>
      <c r="AK1743" t="s">
        <v>26</v>
      </c>
      <c r="AL1743" t="s">
        <v>26</v>
      </c>
      <c r="AM1743" t="s">
        <v>26</v>
      </c>
      <c r="AN1743" t="s">
        <v>26</v>
      </c>
      <c r="AO1743" s="25" t="s">
        <v>68</v>
      </c>
      <c r="AP1743" s="23" t="s">
        <v>69</v>
      </c>
      <c r="AQ1743" s="23" t="s">
        <v>30</v>
      </c>
      <c r="AR1743" s="23" t="s">
        <v>4585</v>
      </c>
      <c r="AS1743" s="25">
        <v>37227</v>
      </c>
      <c r="AT1743" t="s">
        <v>26</v>
      </c>
      <c r="AU1743" t="s">
        <v>24514</v>
      </c>
    </row>
    <row r="1744" spans="1:47" ht="26.25" x14ac:dyDescent="0.4">
      <c r="A1744" s="23" t="s">
        <v>4586</v>
      </c>
      <c r="B1744" t="s">
        <v>26</v>
      </c>
      <c r="C1744" s="23" t="s">
        <v>172</v>
      </c>
      <c r="D1744" s="23" t="s">
        <v>23393</v>
      </c>
      <c r="E1744" s="23" t="s">
        <v>60</v>
      </c>
      <c r="F1744" s="25" t="s">
        <v>4587</v>
      </c>
      <c r="G1744" s="25" t="s">
        <v>4588</v>
      </c>
      <c r="H1744" t="s">
        <v>26</v>
      </c>
      <c r="I1744" t="s">
        <v>26</v>
      </c>
      <c r="J1744" t="s">
        <v>26</v>
      </c>
      <c r="K1744" t="s">
        <v>26</v>
      </c>
      <c r="L1744" s="25" t="s">
        <v>68</v>
      </c>
      <c r="M1744" t="s">
        <v>26</v>
      </c>
      <c r="N1744" t="s">
        <v>26</v>
      </c>
      <c r="O1744" t="s">
        <v>26</v>
      </c>
      <c r="P1744" t="s">
        <v>26</v>
      </c>
      <c r="Q1744" t="s">
        <v>26</v>
      </c>
      <c r="R1744" t="s">
        <v>26</v>
      </c>
      <c r="S1744" t="s">
        <v>26</v>
      </c>
      <c r="T1744" t="s">
        <v>26</v>
      </c>
      <c r="U1744" t="s">
        <v>26</v>
      </c>
      <c r="V1744" t="s">
        <v>26</v>
      </c>
      <c r="W1744" s="24">
        <v>32568</v>
      </c>
      <c r="X1744" s="25" t="s">
        <v>77</v>
      </c>
      <c r="Y1744" t="s">
        <v>26</v>
      </c>
      <c r="Z1744" s="24">
        <v>32568</v>
      </c>
      <c r="AA1744" s="25" t="s">
        <v>77</v>
      </c>
      <c r="AB1744" t="s">
        <v>26</v>
      </c>
      <c r="AC1744" s="24">
        <v>32568</v>
      </c>
      <c r="AD1744" s="25" t="s">
        <v>77</v>
      </c>
      <c r="AE1744" t="s">
        <v>26</v>
      </c>
      <c r="AF1744" t="s">
        <v>26</v>
      </c>
      <c r="AG1744" t="s">
        <v>26</v>
      </c>
      <c r="AH1744" t="s">
        <v>26</v>
      </c>
      <c r="AI1744" t="s">
        <v>26</v>
      </c>
      <c r="AJ1744" t="s">
        <v>26</v>
      </c>
      <c r="AK1744" t="s">
        <v>26</v>
      </c>
      <c r="AL1744" t="s">
        <v>26</v>
      </c>
      <c r="AM1744" t="s">
        <v>26</v>
      </c>
      <c r="AN1744" t="s">
        <v>26</v>
      </c>
      <c r="AO1744" s="25" t="s">
        <v>68</v>
      </c>
      <c r="AP1744" s="23" t="s">
        <v>69</v>
      </c>
      <c r="AQ1744" s="23" t="s">
        <v>30</v>
      </c>
      <c r="AR1744" s="23" t="s">
        <v>46</v>
      </c>
      <c r="AS1744" s="25">
        <v>41698</v>
      </c>
      <c r="AT1744" t="s">
        <v>26</v>
      </c>
      <c r="AU1744" t="s">
        <v>24515</v>
      </c>
    </row>
    <row r="1745" spans="1:47" ht="26.25" x14ac:dyDescent="0.4">
      <c r="A1745" s="23" t="s">
        <v>4589</v>
      </c>
      <c r="B1745" t="s">
        <v>26</v>
      </c>
      <c r="C1745" s="23" t="s">
        <v>1481</v>
      </c>
      <c r="D1745" s="23" t="s">
        <v>22190</v>
      </c>
      <c r="E1745" s="23" t="s">
        <v>60</v>
      </c>
      <c r="F1745" s="25" t="s">
        <v>4590</v>
      </c>
      <c r="G1745" s="25" t="s">
        <v>4591</v>
      </c>
      <c r="H1745" t="s">
        <v>26</v>
      </c>
      <c r="I1745" t="s">
        <v>26</v>
      </c>
      <c r="J1745" t="s">
        <v>26</v>
      </c>
      <c r="K1745" t="s">
        <v>26</v>
      </c>
      <c r="L1745" s="25" t="s">
        <v>68</v>
      </c>
      <c r="M1745" t="s">
        <v>26</v>
      </c>
      <c r="N1745" t="s">
        <v>26</v>
      </c>
      <c r="O1745" t="s">
        <v>26</v>
      </c>
      <c r="P1745" t="s">
        <v>26</v>
      </c>
      <c r="Q1745" t="s">
        <v>26</v>
      </c>
      <c r="R1745" t="s">
        <v>26</v>
      </c>
      <c r="S1745" t="s">
        <v>26</v>
      </c>
      <c r="T1745" t="s">
        <v>26</v>
      </c>
      <c r="U1745" t="s">
        <v>26</v>
      </c>
      <c r="V1745" t="s">
        <v>26</v>
      </c>
      <c r="W1745" s="24">
        <v>38018</v>
      </c>
      <c r="X1745" s="25" t="s">
        <v>77</v>
      </c>
      <c r="Y1745" t="s">
        <v>26</v>
      </c>
      <c r="Z1745" s="24">
        <v>38018</v>
      </c>
      <c r="AA1745" s="25" t="s">
        <v>77</v>
      </c>
      <c r="AB1745" t="s">
        <v>26</v>
      </c>
      <c r="AC1745" s="24">
        <v>38018</v>
      </c>
      <c r="AD1745" s="25" t="s">
        <v>77</v>
      </c>
      <c r="AE1745" t="s">
        <v>26</v>
      </c>
      <c r="AF1745" t="s">
        <v>26</v>
      </c>
      <c r="AG1745" t="s">
        <v>26</v>
      </c>
      <c r="AH1745" t="s">
        <v>26</v>
      </c>
      <c r="AI1745" t="s">
        <v>26</v>
      </c>
      <c r="AJ1745" t="s">
        <v>26</v>
      </c>
      <c r="AK1745" t="s">
        <v>26</v>
      </c>
      <c r="AL1745" t="s">
        <v>26</v>
      </c>
      <c r="AM1745" t="s">
        <v>26</v>
      </c>
      <c r="AN1745" t="s">
        <v>26</v>
      </c>
      <c r="AO1745" s="25" t="s">
        <v>68</v>
      </c>
      <c r="AP1745" s="23" t="s">
        <v>69</v>
      </c>
      <c r="AQ1745" s="23" t="s">
        <v>30</v>
      </c>
      <c r="AR1745" s="23" t="s">
        <v>46</v>
      </c>
      <c r="AS1745" s="25">
        <v>35405</v>
      </c>
      <c r="AT1745" t="s">
        <v>26</v>
      </c>
      <c r="AU1745" t="s">
        <v>24516</v>
      </c>
    </row>
    <row r="1746" spans="1:47" ht="26.25" x14ac:dyDescent="0.4">
      <c r="A1746" s="23" t="s">
        <v>4592</v>
      </c>
      <c r="B1746" t="s">
        <v>26</v>
      </c>
      <c r="C1746" s="23" t="s">
        <v>65</v>
      </c>
      <c r="D1746" s="23" t="s">
        <v>22179</v>
      </c>
      <c r="E1746" s="23" t="s">
        <v>42</v>
      </c>
      <c r="F1746" s="25" t="s">
        <v>4593</v>
      </c>
      <c r="G1746" s="25" t="s">
        <v>4594</v>
      </c>
      <c r="H1746" t="s">
        <v>26</v>
      </c>
      <c r="I1746" s="24">
        <v>31837</v>
      </c>
      <c r="J1746" s="24">
        <v>43070</v>
      </c>
      <c r="K1746" t="s">
        <v>26</v>
      </c>
      <c r="L1746" s="25" t="s">
        <v>68</v>
      </c>
      <c r="M1746" s="24">
        <v>31837</v>
      </c>
      <c r="N1746" s="24">
        <v>40269</v>
      </c>
      <c r="O1746" t="s">
        <v>26</v>
      </c>
      <c r="P1746" s="24">
        <v>31837</v>
      </c>
      <c r="Q1746" s="24">
        <v>43070</v>
      </c>
      <c r="R1746" t="s">
        <v>26</v>
      </c>
      <c r="S1746" t="s">
        <v>26</v>
      </c>
      <c r="T1746" t="s">
        <v>26</v>
      </c>
      <c r="U1746" t="s">
        <v>26</v>
      </c>
      <c r="V1746" t="s">
        <v>26</v>
      </c>
      <c r="W1746" s="24">
        <v>31837</v>
      </c>
      <c r="X1746" s="25" t="s">
        <v>77</v>
      </c>
      <c r="Y1746" t="s">
        <v>26</v>
      </c>
      <c r="Z1746" s="24">
        <v>31837</v>
      </c>
      <c r="AA1746" s="25" t="s">
        <v>77</v>
      </c>
      <c r="AB1746" t="s">
        <v>26</v>
      </c>
      <c r="AC1746" s="24">
        <v>31837</v>
      </c>
      <c r="AD1746" s="25" t="s">
        <v>77</v>
      </c>
      <c r="AE1746" t="s">
        <v>26</v>
      </c>
      <c r="AF1746" t="s">
        <v>26</v>
      </c>
      <c r="AG1746" t="s">
        <v>26</v>
      </c>
      <c r="AH1746" t="s">
        <v>26</v>
      </c>
      <c r="AI1746" t="s">
        <v>26</v>
      </c>
      <c r="AJ1746" t="s">
        <v>26</v>
      </c>
      <c r="AK1746" t="s">
        <v>26</v>
      </c>
      <c r="AL1746" t="s">
        <v>26</v>
      </c>
      <c r="AM1746" t="s">
        <v>26</v>
      </c>
      <c r="AN1746" t="s">
        <v>26</v>
      </c>
      <c r="AO1746" s="25" t="s">
        <v>68</v>
      </c>
      <c r="AP1746" s="23" t="s">
        <v>69</v>
      </c>
      <c r="AQ1746" s="23" t="s">
        <v>30</v>
      </c>
      <c r="AR1746" s="23" t="s">
        <v>46</v>
      </c>
      <c r="AS1746" s="25">
        <v>32723</v>
      </c>
      <c r="AT1746" t="s">
        <v>26</v>
      </c>
      <c r="AU1746" t="s">
        <v>24517</v>
      </c>
    </row>
    <row r="1747" spans="1:47" ht="26.25" x14ac:dyDescent="0.4">
      <c r="A1747" s="23" t="s">
        <v>4595</v>
      </c>
      <c r="B1747" t="s">
        <v>26</v>
      </c>
      <c r="C1747" s="23" t="s">
        <v>465</v>
      </c>
      <c r="D1747" s="23" t="s">
        <v>22254</v>
      </c>
      <c r="E1747" s="23" t="s">
        <v>42</v>
      </c>
      <c r="F1747" s="25" t="s">
        <v>4596</v>
      </c>
      <c r="G1747" s="25" t="s">
        <v>4597</v>
      </c>
      <c r="H1747" t="s">
        <v>26</v>
      </c>
      <c r="I1747" t="s">
        <v>26</v>
      </c>
      <c r="J1747" t="s">
        <v>26</v>
      </c>
      <c r="K1747" t="s">
        <v>26</v>
      </c>
      <c r="L1747" s="25" t="s">
        <v>68</v>
      </c>
      <c r="M1747" t="s">
        <v>26</v>
      </c>
      <c r="N1747" t="s">
        <v>26</v>
      </c>
      <c r="O1747" t="s">
        <v>26</v>
      </c>
      <c r="P1747" t="s">
        <v>26</v>
      </c>
      <c r="Q1747" t="s">
        <v>26</v>
      </c>
      <c r="R1747" t="s">
        <v>26</v>
      </c>
      <c r="S1747" t="s">
        <v>26</v>
      </c>
      <c r="T1747" t="s">
        <v>26</v>
      </c>
      <c r="U1747" t="s">
        <v>26</v>
      </c>
      <c r="V1747" t="s">
        <v>26</v>
      </c>
      <c r="W1747" s="24">
        <v>31413</v>
      </c>
      <c r="X1747" s="25" t="s">
        <v>77</v>
      </c>
      <c r="Y1747" t="s">
        <v>26</v>
      </c>
      <c r="Z1747" s="24">
        <v>31413</v>
      </c>
      <c r="AA1747" s="25" t="s">
        <v>77</v>
      </c>
      <c r="AB1747" t="s">
        <v>26</v>
      </c>
      <c r="AC1747" s="24">
        <v>31413</v>
      </c>
      <c r="AD1747" s="25" t="s">
        <v>77</v>
      </c>
      <c r="AE1747" t="s">
        <v>26</v>
      </c>
      <c r="AF1747" t="s">
        <v>26</v>
      </c>
      <c r="AG1747" t="s">
        <v>26</v>
      </c>
      <c r="AH1747" t="s">
        <v>26</v>
      </c>
      <c r="AI1747" t="s">
        <v>26</v>
      </c>
      <c r="AJ1747" t="s">
        <v>26</v>
      </c>
      <c r="AK1747" t="s">
        <v>26</v>
      </c>
      <c r="AL1747" t="s">
        <v>26</v>
      </c>
      <c r="AM1747" t="s">
        <v>26</v>
      </c>
      <c r="AN1747" t="s">
        <v>26</v>
      </c>
      <c r="AO1747" s="25" t="s">
        <v>68</v>
      </c>
      <c r="AP1747" s="23" t="s">
        <v>69</v>
      </c>
      <c r="AQ1747" s="23" t="s">
        <v>30</v>
      </c>
      <c r="AR1747" s="23" t="s">
        <v>46</v>
      </c>
      <c r="AS1747" s="25">
        <v>41847</v>
      </c>
      <c r="AT1747" t="s">
        <v>26</v>
      </c>
      <c r="AU1747" t="s">
        <v>24518</v>
      </c>
    </row>
    <row r="1748" spans="1:47" ht="26.25" x14ac:dyDescent="0.4">
      <c r="A1748" s="23" t="s">
        <v>4598</v>
      </c>
      <c r="B1748" t="s">
        <v>26</v>
      </c>
      <c r="C1748" s="23" t="s">
        <v>1017</v>
      </c>
      <c r="D1748" s="23" t="s">
        <v>24519</v>
      </c>
      <c r="E1748" s="23" t="s">
        <v>1018</v>
      </c>
      <c r="F1748" s="25" t="s">
        <v>4599</v>
      </c>
      <c r="G1748" s="25" t="s">
        <v>4600</v>
      </c>
      <c r="H1748" t="s">
        <v>26</v>
      </c>
      <c r="I1748" s="24">
        <v>35704</v>
      </c>
      <c r="J1748" s="24">
        <v>43831</v>
      </c>
      <c r="K1748" s="25" t="s">
        <v>4601</v>
      </c>
      <c r="L1748" s="25" t="s">
        <v>68</v>
      </c>
      <c r="M1748" s="24">
        <v>35704</v>
      </c>
      <c r="N1748" s="24">
        <v>43831</v>
      </c>
      <c r="O1748" s="25" t="s">
        <v>4601</v>
      </c>
      <c r="P1748" s="24">
        <v>35704</v>
      </c>
      <c r="Q1748" s="24">
        <v>43831</v>
      </c>
      <c r="R1748" s="25" t="s">
        <v>4601</v>
      </c>
      <c r="S1748" t="s">
        <v>26</v>
      </c>
      <c r="T1748" t="s">
        <v>26</v>
      </c>
      <c r="U1748" t="s">
        <v>26</v>
      </c>
      <c r="V1748" s="25">
        <v>1825</v>
      </c>
      <c r="W1748" s="24">
        <v>35704</v>
      </c>
      <c r="X1748" s="24">
        <v>43831</v>
      </c>
      <c r="Y1748" s="25" t="s">
        <v>4601</v>
      </c>
      <c r="Z1748" s="24">
        <v>35704</v>
      </c>
      <c r="AA1748" s="24">
        <v>43831</v>
      </c>
      <c r="AB1748" s="25" t="s">
        <v>4601</v>
      </c>
      <c r="AC1748" s="24">
        <v>42736</v>
      </c>
      <c r="AD1748" s="24">
        <v>43831</v>
      </c>
      <c r="AE1748" t="s">
        <v>26</v>
      </c>
      <c r="AF1748" t="s">
        <v>26</v>
      </c>
      <c r="AG1748" t="s">
        <v>26</v>
      </c>
      <c r="AH1748" t="s">
        <v>26</v>
      </c>
      <c r="AI1748" t="s">
        <v>26</v>
      </c>
      <c r="AJ1748" t="s">
        <v>26</v>
      </c>
      <c r="AK1748" t="s">
        <v>26</v>
      </c>
      <c r="AL1748" t="s">
        <v>26</v>
      </c>
      <c r="AM1748" t="s">
        <v>26</v>
      </c>
      <c r="AN1748" t="s">
        <v>26</v>
      </c>
      <c r="AO1748" s="25" t="s">
        <v>68</v>
      </c>
      <c r="AP1748" s="23" t="s">
        <v>69</v>
      </c>
      <c r="AQ1748" s="23" t="s">
        <v>30</v>
      </c>
      <c r="AR1748" s="23" t="s">
        <v>46</v>
      </c>
      <c r="AS1748" s="25">
        <v>48369</v>
      </c>
      <c r="AT1748" t="s">
        <v>26</v>
      </c>
      <c r="AU1748" t="s">
        <v>24520</v>
      </c>
    </row>
    <row r="1749" spans="1:47" ht="39.4" x14ac:dyDescent="0.4">
      <c r="A1749" s="23" t="s">
        <v>4598</v>
      </c>
      <c r="B1749" t="s">
        <v>26</v>
      </c>
      <c r="C1749" s="23" t="s">
        <v>4602</v>
      </c>
      <c r="D1749" s="23" t="s">
        <v>22614</v>
      </c>
      <c r="E1749" s="23" t="s">
        <v>74</v>
      </c>
      <c r="F1749" s="25" t="s">
        <v>4599</v>
      </c>
      <c r="G1749" s="25" t="s">
        <v>4600</v>
      </c>
      <c r="H1749" t="s">
        <v>26</v>
      </c>
      <c r="I1749" s="24">
        <v>25842</v>
      </c>
      <c r="J1749" s="24">
        <v>36800</v>
      </c>
      <c r="K1749" t="s">
        <v>26</v>
      </c>
      <c r="L1749" s="25" t="s">
        <v>68</v>
      </c>
      <c r="M1749" t="s">
        <v>26</v>
      </c>
      <c r="N1749" t="s">
        <v>26</v>
      </c>
      <c r="O1749" t="s">
        <v>26</v>
      </c>
      <c r="P1749" s="24">
        <v>25842</v>
      </c>
      <c r="Q1749" s="24">
        <v>36800</v>
      </c>
      <c r="R1749" t="s">
        <v>26</v>
      </c>
      <c r="S1749" t="s">
        <v>26</v>
      </c>
      <c r="T1749" t="s">
        <v>26</v>
      </c>
      <c r="U1749" t="s">
        <v>26</v>
      </c>
      <c r="V1749" t="s">
        <v>26</v>
      </c>
      <c r="W1749" s="24">
        <v>25842</v>
      </c>
      <c r="X1749" s="24">
        <v>36800</v>
      </c>
      <c r="Y1749" t="s">
        <v>26</v>
      </c>
      <c r="Z1749" s="24">
        <v>25842</v>
      </c>
      <c r="AA1749" s="24">
        <v>36800</v>
      </c>
      <c r="AB1749" t="s">
        <v>26</v>
      </c>
      <c r="AC1749" t="s">
        <v>26</v>
      </c>
      <c r="AD1749" t="s">
        <v>26</v>
      </c>
      <c r="AE1749" t="s">
        <v>26</v>
      </c>
      <c r="AF1749" t="s">
        <v>26</v>
      </c>
      <c r="AG1749" t="s">
        <v>26</v>
      </c>
      <c r="AH1749" t="s">
        <v>26</v>
      </c>
      <c r="AI1749" t="s">
        <v>26</v>
      </c>
      <c r="AJ1749" t="s">
        <v>26</v>
      </c>
      <c r="AK1749" t="s">
        <v>26</v>
      </c>
      <c r="AL1749" t="s">
        <v>26</v>
      </c>
      <c r="AM1749" t="s">
        <v>26</v>
      </c>
      <c r="AN1749" t="s">
        <v>26</v>
      </c>
      <c r="AO1749" s="25" t="s">
        <v>68</v>
      </c>
      <c r="AP1749" s="23" t="s">
        <v>69</v>
      </c>
      <c r="AQ1749" s="23" t="s">
        <v>179</v>
      </c>
      <c r="AR1749" s="23" t="s">
        <v>152</v>
      </c>
      <c r="AS1749" s="25">
        <v>1821473</v>
      </c>
      <c r="AT1749" t="s">
        <v>26</v>
      </c>
      <c r="AU1749" t="s">
        <v>24521</v>
      </c>
    </row>
    <row r="1750" spans="1:47" ht="26.25" x14ac:dyDescent="0.4">
      <c r="A1750" s="23" t="s">
        <v>4603</v>
      </c>
      <c r="B1750" t="s">
        <v>26</v>
      </c>
      <c r="C1750" s="23" t="s">
        <v>80</v>
      </c>
      <c r="D1750" s="23" t="s">
        <v>24522</v>
      </c>
      <c r="E1750" s="23" t="s">
        <v>60</v>
      </c>
      <c r="F1750" s="25" t="s">
        <v>4604</v>
      </c>
      <c r="G1750" s="25" t="s">
        <v>4605</v>
      </c>
      <c r="H1750" t="s">
        <v>26</v>
      </c>
      <c r="I1750" t="s">
        <v>26</v>
      </c>
      <c r="J1750" t="s">
        <v>26</v>
      </c>
      <c r="K1750" t="s">
        <v>26</v>
      </c>
      <c r="L1750" s="25" t="s">
        <v>68</v>
      </c>
      <c r="M1750" t="s">
        <v>26</v>
      </c>
      <c r="N1750" t="s">
        <v>26</v>
      </c>
      <c r="O1750" t="s">
        <v>26</v>
      </c>
      <c r="P1750" t="s">
        <v>26</v>
      </c>
      <c r="Q1750" t="s">
        <v>26</v>
      </c>
      <c r="R1750" t="s">
        <v>26</v>
      </c>
      <c r="S1750" t="s">
        <v>26</v>
      </c>
      <c r="T1750" t="s">
        <v>26</v>
      </c>
      <c r="U1750" t="s">
        <v>26</v>
      </c>
      <c r="V1750" t="s">
        <v>26</v>
      </c>
      <c r="W1750" s="24">
        <v>40603</v>
      </c>
      <c r="X1750" s="25" t="s">
        <v>77</v>
      </c>
      <c r="Y1750" t="s">
        <v>26</v>
      </c>
      <c r="Z1750" s="24">
        <v>40603</v>
      </c>
      <c r="AA1750" s="25" t="s">
        <v>77</v>
      </c>
      <c r="AB1750" t="s">
        <v>26</v>
      </c>
      <c r="AC1750" s="24">
        <v>40603</v>
      </c>
      <c r="AD1750" s="25" t="s">
        <v>77</v>
      </c>
      <c r="AE1750" t="s">
        <v>26</v>
      </c>
      <c r="AF1750" t="s">
        <v>26</v>
      </c>
      <c r="AG1750" t="s">
        <v>26</v>
      </c>
      <c r="AH1750" t="s">
        <v>26</v>
      </c>
      <c r="AI1750" t="s">
        <v>26</v>
      </c>
      <c r="AJ1750" t="s">
        <v>26</v>
      </c>
      <c r="AK1750" t="s">
        <v>26</v>
      </c>
      <c r="AL1750" t="s">
        <v>26</v>
      </c>
      <c r="AM1750" t="s">
        <v>26</v>
      </c>
      <c r="AN1750" t="s">
        <v>26</v>
      </c>
      <c r="AO1750" s="25" t="s">
        <v>68</v>
      </c>
      <c r="AP1750" s="23" t="s">
        <v>69</v>
      </c>
      <c r="AQ1750" s="23" t="s">
        <v>708</v>
      </c>
      <c r="AR1750" s="23" t="s">
        <v>4606</v>
      </c>
      <c r="AS1750" s="25">
        <v>436391</v>
      </c>
      <c r="AT1750" t="s">
        <v>26</v>
      </c>
      <c r="AU1750" t="s">
        <v>24523</v>
      </c>
    </row>
    <row r="1751" spans="1:47" ht="26.25" x14ac:dyDescent="0.4">
      <c r="A1751" s="23" t="s">
        <v>4607</v>
      </c>
      <c r="B1751" t="s">
        <v>26</v>
      </c>
      <c r="C1751" s="23" t="s">
        <v>4608</v>
      </c>
      <c r="D1751" s="23" t="s">
        <v>23539</v>
      </c>
      <c r="E1751" s="23" t="s">
        <v>42</v>
      </c>
      <c r="F1751" s="25" t="s">
        <v>4609</v>
      </c>
      <c r="G1751" t="s">
        <v>26</v>
      </c>
      <c r="H1751" t="s">
        <v>26</v>
      </c>
      <c r="I1751" t="s">
        <v>26</v>
      </c>
      <c r="J1751" t="s">
        <v>26</v>
      </c>
      <c r="K1751" t="s">
        <v>26</v>
      </c>
      <c r="L1751" s="25" t="s">
        <v>28</v>
      </c>
      <c r="M1751" t="s">
        <v>26</v>
      </c>
      <c r="N1751" t="s">
        <v>26</v>
      </c>
      <c r="O1751" t="s">
        <v>26</v>
      </c>
      <c r="P1751" t="s">
        <v>26</v>
      </c>
      <c r="Q1751" t="s">
        <v>26</v>
      </c>
      <c r="R1751" t="s">
        <v>26</v>
      </c>
      <c r="S1751" t="s">
        <v>26</v>
      </c>
      <c r="T1751" t="s">
        <v>26</v>
      </c>
      <c r="U1751" t="s">
        <v>26</v>
      </c>
      <c r="V1751" t="s">
        <v>26</v>
      </c>
      <c r="W1751" s="24">
        <v>29738</v>
      </c>
      <c r="X1751" s="24">
        <v>32933</v>
      </c>
      <c r="Y1751" s="25" t="s">
        <v>4610</v>
      </c>
      <c r="Z1751" s="24">
        <v>29738</v>
      </c>
      <c r="AA1751" s="24">
        <v>32933</v>
      </c>
      <c r="AB1751" s="25" t="s">
        <v>4610</v>
      </c>
      <c r="AC1751" t="s">
        <v>26</v>
      </c>
      <c r="AD1751" t="s">
        <v>26</v>
      </c>
      <c r="AE1751" t="s">
        <v>26</v>
      </c>
      <c r="AF1751" t="s">
        <v>26</v>
      </c>
      <c r="AG1751" t="s">
        <v>26</v>
      </c>
      <c r="AH1751" t="s">
        <v>26</v>
      </c>
      <c r="AI1751" t="s">
        <v>26</v>
      </c>
      <c r="AJ1751" t="s">
        <v>26</v>
      </c>
      <c r="AK1751" t="s">
        <v>26</v>
      </c>
      <c r="AL1751" t="s">
        <v>26</v>
      </c>
      <c r="AM1751" t="s">
        <v>26</v>
      </c>
      <c r="AN1751" t="s">
        <v>26</v>
      </c>
      <c r="AO1751" s="25" t="s">
        <v>28</v>
      </c>
      <c r="AP1751" s="23" t="s">
        <v>211</v>
      </c>
      <c r="AQ1751" s="23" t="s">
        <v>30</v>
      </c>
      <c r="AR1751" s="23" t="s">
        <v>433</v>
      </c>
      <c r="AS1751" s="25">
        <v>48978</v>
      </c>
      <c r="AT1751" t="s">
        <v>26</v>
      </c>
      <c r="AU1751" t="s">
        <v>24524</v>
      </c>
    </row>
    <row r="1752" spans="1:47" ht="26.25" x14ac:dyDescent="0.4">
      <c r="A1752" s="23" t="s">
        <v>4611</v>
      </c>
      <c r="B1752" t="s">
        <v>26</v>
      </c>
      <c r="C1752" s="23" t="s">
        <v>73</v>
      </c>
      <c r="D1752" s="23" t="s">
        <v>22492</v>
      </c>
      <c r="E1752" s="23" t="s">
        <v>74</v>
      </c>
      <c r="F1752" s="25" t="s">
        <v>4612</v>
      </c>
      <c r="G1752" s="25" t="s">
        <v>4613</v>
      </c>
      <c r="H1752" t="s">
        <v>26</v>
      </c>
      <c r="I1752" s="24">
        <v>42705</v>
      </c>
      <c r="J1752" s="24">
        <v>43709</v>
      </c>
      <c r="K1752" t="s">
        <v>26</v>
      </c>
      <c r="L1752" s="25" t="s">
        <v>68</v>
      </c>
      <c r="M1752" t="s">
        <v>26</v>
      </c>
      <c r="N1752" t="s">
        <v>26</v>
      </c>
      <c r="O1752" t="s">
        <v>26</v>
      </c>
      <c r="P1752" s="24">
        <v>42705</v>
      </c>
      <c r="Q1752" s="24">
        <v>43709</v>
      </c>
      <c r="R1752" t="s">
        <v>26</v>
      </c>
      <c r="S1752" t="s">
        <v>26</v>
      </c>
      <c r="T1752" t="s">
        <v>26</v>
      </c>
      <c r="U1752" t="s">
        <v>26</v>
      </c>
      <c r="V1752" t="s">
        <v>26</v>
      </c>
      <c r="W1752" s="24">
        <v>31107</v>
      </c>
      <c r="X1752" s="25" t="s">
        <v>77</v>
      </c>
      <c r="Y1752" s="25" t="s">
        <v>4614</v>
      </c>
      <c r="Z1752" s="24">
        <v>31107</v>
      </c>
      <c r="AA1752" s="25" t="s">
        <v>77</v>
      </c>
      <c r="AB1752" s="25" t="s">
        <v>4614</v>
      </c>
      <c r="AC1752" s="24">
        <v>35431</v>
      </c>
      <c r="AD1752" s="25" t="s">
        <v>77</v>
      </c>
      <c r="AE1752" t="s">
        <v>26</v>
      </c>
      <c r="AF1752" t="s">
        <v>26</v>
      </c>
      <c r="AG1752" t="s">
        <v>26</v>
      </c>
      <c r="AH1752" t="s">
        <v>26</v>
      </c>
      <c r="AI1752" t="s">
        <v>26</v>
      </c>
      <c r="AJ1752" t="s">
        <v>26</v>
      </c>
      <c r="AK1752" t="s">
        <v>26</v>
      </c>
      <c r="AL1752" t="s">
        <v>26</v>
      </c>
      <c r="AM1752" t="s">
        <v>26</v>
      </c>
      <c r="AN1752" t="s">
        <v>26</v>
      </c>
      <c r="AO1752" s="25" t="s">
        <v>68</v>
      </c>
      <c r="AP1752" s="23" t="s">
        <v>69</v>
      </c>
      <c r="AQ1752" s="23" t="s">
        <v>30</v>
      </c>
      <c r="AR1752" s="23" t="s">
        <v>1190</v>
      </c>
      <c r="AS1752" s="25">
        <v>30694</v>
      </c>
      <c r="AT1752" t="s">
        <v>26</v>
      </c>
      <c r="AU1752" t="s">
        <v>24525</v>
      </c>
    </row>
    <row r="1753" spans="1:47" ht="26.25" x14ac:dyDescent="0.4">
      <c r="A1753" s="23" t="s">
        <v>4615</v>
      </c>
      <c r="B1753" t="s">
        <v>26</v>
      </c>
      <c r="C1753" s="23" t="s">
        <v>172</v>
      </c>
      <c r="D1753" s="23" t="s">
        <v>22242</v>
      </c>
      <c r="E1753" s="23" t="s">
        <v>60</v>
      </c>
      <c r="F1753" s="25" t="s">
        <v>4616</v>
      </c>
      <c r="G1753" s="25" t="s">
        <v>4617</v>
      </c>
      <c r="H1753" t="s">
        <v>26</v>
      </c>
      <c r="I1753" s="24">
        <v>32234</v>
      </c>
      <c r="J1753" s="24">
        <v>38657</v>
      </c>
      <c r="K1753" t="s">
        <v>26</v>
      </c>
      <c r="L1753" s="25" t="s">
        <v>68</v>
      </c>
      <c r="M1753" s="24">
        <v>34790</v>
      </c>
      <c r="N1753" s="24">
        <v>38657</v>
      </c>
      <c r="O1753" t="s">
        <v>26</v>
      </c>
      <c r="P1753" s="24">
        <v>32234</v>
      </c>
      <c r="Q1753" s="24">
        <v>38657</v>
      </c>
      <c r="R1753" t="s">
        <v>26</v>
      </c>
      <c r="S1753" t="s">
        <v>26</v>
      </c>
      <c r="T1753" t="s">
        <v>26</v>
      </c>
      <c r="U1753" t="s">
        <v>26</v>
      </c>
      <c r="V1753" t="s">
        <v>26</v>
      </c>
      <c r="W1753" s="24">
        <v>31594</v>
      </c>
      <c r="X1753" s="25" t="s">
        <v>77</v>
      </c>
      <c r="Y1753" t="s">
        <v>26</v>
      </c>
      <c r="Z1753" s="24">
        <v>31594</v>
      </c>
      <c r="AA1753" s="25" t="s">
        <v>77</v>
      </c>
      <c r="AB1753" t="s">
        <v>26</v>
      </c>
      <c r="AC1753" s="24">
        <v>31594</v>
      </c>
      <c r="AD1753" s="25" t="s">
        <v>77</v>
      </c>
      <c r="AE1753" t="s">
        <v>26</v>
      </c>
      <c r="AF1753" t="s">
        <v>26</v>
      </c>
      <c r="AG1753" t="s">
        <v>26</v>
      </c>
      <c r="AH1753" t="s">
        <v>26</v>
      </c>
      <c r="AI1753" t="s">
        <v>26</v>
      </c>
      <c r="AJ1753" t="s">
        <v>26</v>
      </c>
      <c r="AK1753" t="s">
        <v>26</v>
      </c>
      <c r="AL1753" t="s">
        <v>26</v>
      </c>
      <c r="AM1753" t="s">
        <v>26</v>
      </c>
      <c r="AN1753" t="s">
        <v>26</v>
      </c>
      <c r="AO1753" s="25" t="s">
        <v>68</v>
      </c>
      <c r="AP1753" s="23" t="s">
        <v>69</v>
      </c>
      <c r="AQ1753" s="23" t="s">
        <v>30</v>
      </c>
      <c r="AR1753" s="23" t="s">
        <v>4618</v>
      </c>
      <c r="AS1753" s="25">
        <v>34704</v>
      </c>
      <c r="AT1753" t="s">
        <v>26</v>
      </c>
      <c r="AU1753" t="s">
        <v>24526</v>
      </c>
    </row>
    <row r="1754" spans="1:47" ht="26.25" x14ac:dyDescent="0.4">
      <c r="A1754" s="23" t="s">
        <v>4619</v>
      </c>
      <c r="B1754" t="s">
        <v>26</v>
      </c>
      <c r="C1754" s="23" t="s">
        <v>107</v>
      </c>
      <c r="D1754" s="23" t="s">
        <v>22312</v>
      </c>
      <c r="E1754" s="23" t="s">
        <v>42</v>
      </c>
      <c r="F1754" s="25" t="s">
        <v>4620</v>
      </c>
      <c r="G1754" s="25" t="s">
        <v>4621</v>
      </c>
      <c r="H1754" t="s">
        <v>26</v>
      </c>
      <c r="I1754" s="24">
        <v>36161</v>
      </c>
      <c r="J1754" s="24">
        <v>40269</v>
      </c>
      <c r="K1754" t="s">
        <v>26</v>
      </c>
      <c r="L1754" s="25" t="s">
        <v>68</v>
      </c>
      <c r="M1754" s="24">
        <v>36161</v>
      </c>
      <c r="N1754" s="24">
        <v>39722</v>
      </c>
      <c r="O1754" t="s">
        <v>26</v>
      </c>
      <c r="P1754" s="24">
        <v>36161</v>
      </c>
      <c r="Q1754" s="24">
        <v>40269</v>
      </c>
      <c r="R1754" t="s">
        <v>26</v>
      </c>
      <c r="S1754" t="s">
        <v>26</v>
      </c>
      <c r="T1754" t="s">
        <v>26</v>
      </c>
      <c r="U1754" t="s">
        <v>26</v>
      </c>
      <c r="V1754" t="s">
        <v>26</v>
      </c>
      <c r="W1754" s="24">
        <v>36161</v>
      </c>
      <c r="X1754" s="25" t="s">
        <v>77</v>
      </c>
      <c r="Y1754" t="s">
        <v>26</v>
      </c>
      <c r="Z1754" s="24">
        <v>36161</v>
      </c>
      <c r="AA1754" s="25" t="s">
        <v>77</v>
      </c>
      <c r="AB1754" t="s">
        <v>26</v>
      </c>
      <c r="AC1754" s="24">
        <v>37987</v>
      </c>
      <c r="AD1754" s="25" t="s">
        <v>77</v>
      </c>
      <c r="AE1754" t="s">
        <v>26</v>
      </c>
      <c r="AF1754" t="s">
        <v>26</v>
      </c>
      <c r="AG1754" t="s">
        <v>26</v>
      </c>
      <c r="AH1754" t="s">
        <v>26</v>
      </c>
      <c r="AI1754" t="s">
        <v>26</v>
      </c>
      <c r="AJ1754" t="s">
        <v>26</v>
      </c>
      <c r="AK1754" t="s">
        <v>26</v>
      </c>
      <c r="AL1754" t="s">
        <v>26</v>
      </c>
      <c r="AM1754" t="s">
        <v>26</v>
      </c>
      <c r="AN1754" t="s">
        <v>26</v>
      </c>
      <c r="AO1754" s="25" t="s">
        <v>68</v>
      </c>
      <c r="AP1754" s="23" t="s">
        <v>69</v>
      </c>
      <c r="AQ1754" s="23" t="s">
        <v>30</v>
      </c>
      <c r="AR1754" s="23" t="s">
        <v>46</v>
      </c>
      <c r="AS1754" s="25">
        <v>46877</v>
      </c>
      <c r="AT1754" t="s">
        <v>26</v>
      </c>
      <c r="AU1754" t="s">
        <v>24527</v>
      </c>
    </row>
    <row r="1755" spans="1:47" ht="26.25" x14ac:dyDescent="0.4">
      <c r="A1755" s="23" t="s">
        <v>4622</v>
      </c>
      <c r="B1755" t="s">
        <v>26</v>
      </c>
      <c r="C1755" s="23" t="s">
        <v>4623</v>
      </c>
      <c r="D1755" s="23" t="s">
        <v>24528</v>
      </c>
      <c r="E1755" s="23" t="s">
        <v>187</v>
      </c>
      <c r="F1755" s="25" t="s">
        <v>4624</v>
      </c>
      <c r="G1755" t="s">
        <v>26</v>
      </c>
      <c r="H1755" t="s">
        <v>26</v>
      </c>
      <c r="I1755" s="24">
        <v>40179</v>
      </c>
      <c r="J1755" s="24">
        <v>43739</v>
      </c>
      <c r="K1755" t="s">
        <v>26</v>
      </c>
      <c r="L1755" s="25" t="s">
        <v>68</v>
      </c>
      <c r="M1755" s="24">
        <v>40179</v>
      </c>
      <c r="N1755" s="24">
        <v>43647</v>
      </c>
      <c r="O1755" t="s">
        <v>26</v>
      </c>
      <c r="P1755" s="24">
        <v>40179</v>
      </c>
      <c r="Q1755" s="24">
        <v>43739</v>
      </c>
      <c r="R1755" t="s">
        <v>26</v>
      </c>
      <c r="S1755" t="s">
        <v>26</v>
      </c>
      <c r="T1755" t="s">
        <v>26</v>
      </c>
      <c r="U1755" t="s">
        <v>26</v>
      </c>
      <c r="V1755" t="s">
        <v>26</v>
      </c>
      <c r="W1755" s="24">
        <v>40179</v>
      </c>
      <c r="X1755" s="24">
        <v>43739</v>
      </c>
      <c r="Y1755" t="s">
        <v>26</v>
      </c>
      <c r="Z1755" s="24">
        <v>40179</v>
      </c>
      <c r="AA1755" s="24">
        <v>43739</v>
      </c>
      <c r="AB1755" t="s">
        <v>26</v>
      </c>
      <c r="AC1755" s="24">
        <v>40179</v>
      </c>
      <c r="AD1755" s="24">
        <v>43739</v>
      </c>
      <c r="AE1755" t="s">
        <v>26</v>
      </c>
      <c r="AF1755" t="s">
        <v>26</v>
      </c>
      <c r="AG1755" t="s">
        <v>26</v>
      </c>
      <c r="AH1755" t="s">
        <v>26</v>
      </c>
      <c r="AI1755" t="s">
        <v>26</v>
      </c>
      <c r="AJ1755" t="s">
        <v>26</v>
      </c>
      <c r="AK1755" t="s">
        <v>26</v>
      </c>
      <c r="AL1755" t="s">
        <v>26</v>
      </c>
      <c r="AM1755" t="s">
        <v>26</v>
      </c>
      <c r="AN1755" t="s">
        <v>26</v>
      </c>
      <c r="AO1755" s="25" t="s">
        <v>28</v>
      </c>
      <c r="AP1755" s="23" t="s">
        <v>69</v>
      </c>
      <c r="AQ1755" s="23" t="s">
        <v>30</v>
      </c>
      <c r="AR1755" s="23" t="s">
        <v>128</v>
      </c>
      <c r="AS1755" s="25">
        <v>1846341</v>
      </c>
      <c r="AT1755" t="s">
        <v>26</v>
      </c>
      <c r="AU1755" t="s">
        <v>24529</v>
      </c>
    </row>
    <row r="1756" spans="1:47" ht="26.25" x14ac:dyDescent="0.4">
      <c r="A1756" s="23" t="s">
        <v>4625</v>
      </c>
      <c r="B1756" t="s">
        <v>26</v>
      </c>
      <c r="C1756" s="23" t="s">
        <v>80</v>
      </c>
      <c r="D1756" s="23" t="s">
        <v>22184</v>
      </c>
      <c r="E1756" s="23" t="s">
        <v>60</v>
      </c>
      <c r="F1756" s="25" t="s">
        <v>4626</v>
      </c>
      <c r="G1756" s="25" t="s">
        <v>4627</v>
      </c>
      <c r="H1756" t="s">
        <v>26</v>
      </c>
      <c r="I1756" t="s">
        <v>26</v>
      </c>
      <c r="J1756" t="s">
        <v>26</v>
      </c>
      <c r="K1756" t="s">
        <v>26</v>
      </c>
      <c r="L1756" s="25" t="s">
        <v>68</v>
      </c>
      <c r="M1756" t="s">
        <v>26</v>
      </c>
      <c r="N1756" t="s">
        <v>26</v>
      </c>
      <c r="O1756" t="s">
        <v>26</v>
      </c>
      <c r="P1756" t="s">
        <v>26</v>
      </c>
      <c r="Q1756" t="s">
        <v>26</v>
      </c>
      <c r="R1756" t="s">
        <v>26</v>
      </c>
      <c r="S1756" t="s">
        <v>26</v>
      </c>
      <c r="T1756" t="s">
        <v>26</v>
      </c>
      <c r="U1756" t="s">
        <v>26</v>
      </c>
      <c r="V1756" t="s">
        <v>26</v>
      </c>
      <c r="W1756" s="24">
        <v>43101</v>
      </c>
      <c r="X1756" s="25" t="s">
        <v>77</v>
      </c>
      <c r="Y1756" t="s">
        <v>26</v>
      </c>
      <c r="Z1756" s="24">
        <v>43101</v>
      </c>
      <c r="AA1756" s="25" t="s">
        <v>77</v>
      </c>
      <c r="AB1756" t="s">
        <v>26</v>
      </c>
      <c r="AC1756" s="24">
        <v>43101</v>
      </c>
      <c r="AD1756" s="25" t="s">
        <v>77</v>
      </c>
      <c r="AE1756" t="s">
        <v>26</v>
      </c>
      <c r="AF1756" t="s">
        <v>26</v>
      </c>
      <c r="AG1756" t="s">
        <v>26</v>
      </c>
      <c r="AH1756" t="s">
        <v>26</v>
      </c>
      <c r="AI1756" t="s">
        <v>26</v>
      </c>
      <c r="AJ1756" t="s">
        <v>26</v>
      </c>
      <c r="AK1756" t="s">
        <v>26</v>
      </c>
      <c r="AL1756" t="s">
        <v>26</v>
      </c>
      <c r="AM1756" t="s">
        <v>26</v>
      </c>
      <c r="AN1756" t="s">
        <v>26</v>
      </c>
      <c r="AO1756" s="25" t="s">
        <v>68</v>
      </c>
      <c r="AP1756" s="23" t="s">
        <v>69</v>
      </c>
      <c r="AQ1756" s="23" t="s">
        <v>30</v>
      </c>
      <c r="AR1756" s="23" t="s">
        <v>46</v>
      </c>
      <c r="AS1756" s="25">
        <v>2032917</v>
      </c>
      <c r="AT1756" t="s">
        <v>26</v>
      </c>
      <c r="AU1756" t="s">
        <v>24530</v>
      </c>
    </row>
    <row r="1757" spans="1:47" ht="26.25" x14ac:dyDescent="0.4">
      <c r="A1757" s="23" t="s">
        <v>4628</v>
      </c>
      <c r="B1757" t="s">
        <v>26</v>
      </c>
      <c r="C1757" s="23" t="s">
        <v>2404</v>
      </c>
      <c r="D1757" s="23" t="s">
        <v>23395</v>
      </c>
      <c r="E1757" t="s">
        <v>26</v>
      </c>
      <c r="F1757" s="25" t="s">
        <v>4629</v>
      </c>
      <c r="G1757" s="25" t="s">
        <v>4630</v>
      </c>
      <c r="H1757" t="s">
        <v>26</v>
      </c>
      <c r="I1757" s="24">
        <v>37987</v>
      </c>
      <c r="J1757" s="25" t="s">
        <v>77</v>
      </c>
      <c r="K1757" t="s">
        <v>26</v>
      </c>
      <c r="L1757" s="25" t="s">
        <v>68</v>
      </c>
      <c r="M1757" s="24">
        <v>37987</v>
      </c>
      <c r="N1757" s="24">
        <v>43922</v>
      </c>
      <c r="O1757" t="s">
        <v>26</v>
      </c>
      <c r="P1757" s="24">
        <v>40269</v>
      </c>
      <c r="Q1757" s="24">
        <v>43922</v>
      </c>
      <c r="R1757" t="s">
        <v>26</v>
      </c>
      <c r="S1757" s="24">
        <v>44013</v>
      </c>
      <c r="T1757" s="25" t="s">
        <v>77</v>
      </c>
      <c r="U1757" t="s">
        <v>26</v>
      </c>
      <c r="V1757" t="s">
        <v>26</v>
      </c>
      <c r="W1757" s="24">
        <v>37987</v>
      </c>
      <c r="X1757" s="25" t="s">
        <v>77</v>
      </c>
      <c r="Y1757" t="s">
        <v>26</v>
      </c>
      <c r="Z1757" s="24">
        <v>37987</v>
      </c>
      <c r="AA1757" s="25" t="s">
        <v>77</v>
      </c>
      <c r="AB1757" t="s">
        <v>26</v>
      </c>
      <c r="AC1757" s="24">
        <v>37987</v>
      </c>
      <c r="AD1757" s="25" t="s">
        <v>77</v>
      </c>
      <c r="AE1757" t="s">
        <v>26</v>
      </c>
      <c r="AF1757" t="s">
        <v>26</v>
      </c>
      <c r="AG1757" t="s">
        <v>26</v>
      </c>
      <c r="AH1757" t="s">
        <v>26</v>
      </c>
      <c r="AI1757" t="s">
        <v>26</v>
      </c>
      <c r="AJ1757" t="s">
        <v>26</v>
      </c>
      <c r="AK1757" t="s">
        <v>26</v>
      </c>
      <c r="AL1757" t="s">
        <v>26</v>
      </c>
      <c r="AM1757" t="s">
        <v>26</v>
      </c>
      <c r="AN1757" t="s">
        <v>26</v>
      </c>
      <c r="AO1757" s="25" t="s">
        <v>68</v>
      </c>
      <c r="AP1757" s="23" t="s">
        <v>69</v>
      </c>
      <c r="AQ1757" s="23" t="s">
        <v>30</v>
      </c>
      <c r="AR1757" s="23" t="s">
        <v>277</v>
      </c>
      <c r="AS1757" s="25">
        <v>32217</v>
      </c>
      <c r="AT1757" t="s">
        <v>26</v>
      </c>
      <c r="AU1757" t="s">
        <v>24531</v>
      </c>
    </row>
    <row r="1758" spans="1:47" ht="26.25" x14ac:dyDescent="0.4">
      <c r="A1758" s="23" t="s">
        <v>4631</v>
      </c>
      <c r="B1758" t="s">
        <v>26</v>
      </c>
      <c r="C1758" s="23" t="s">
        <v>4632</v>
      </c>
      <c r="D1758" s="23" t="s">
        <v>24532</v>
      </c>
      <c r="E1758" s="23" t="s">
        <v>60</v>
      </c>
      <c r="F1758" s="25" t="s">
        <v>4633</v>
      </c>
      <c r="G1758" s="25" t="s">
        <v>4634</v>
      </c>
      <c r="H1758" t="s">
        <v>26</v>
      </c>
      <c r="I1758" s="24">
        <v>37288</v>
      </c>
      <c r="J1758" s="25" t="s">
        <v>77</v>
      </c>
      <c r="K1758" t="s">
        <v>26</v>
      </c>
      <c r="L1758" s="25" t="s">
        <v>68</v>
      </c>
      <c r="M1758" t="s">
        <v>26</v>
      </c>
      <c r="N1758" t="s">
        <v>26</v>
      </c>
      <c r="O1758" t="s">
        <v>26</v>
      </c>
      <c r="P1758" s="24">
        <v>37288</v>
      </c>
      <c r="Q1758" s="25" t="s">
        <v>77</v>
      </c>
      <c r="R1758" t="s">
        <v>26</v>
      </c>
      <c r="S1758" t="s">
        <v>26</v>
      </c>
      <c r="T1758" t="s">
        <v>26</v>
      </c>
      <c r="U1758" t="s">
        <v>26</v>
      </c>
      <c r="V1758" s="25">
        <v>365</v>
      </c>
      <c r="W1758" s="24">
        <v>37288</v>
      </c>
      <c r="X1758" s="25" t="s">
        <v>77</v>
      </c>
      <c r="Y1758" t="s">
        <v>26</v>
      </c>
      <c r="Z1758" s="24">
        <v>37288</v>
      </c>
      <c r="AA1758" s="25" t="s">
        <v>77</v>
      </c>
      <c r="AB1758" t="s">
        <v>26</v>
      </c>
      <c r="AC1758" s="24">
        <v>37288</v>
      </c>
      <c r="AD1758" s="25" t="s">
        <v>77</v>
      </c>
      <c r="AE1758" t="s">
        <v>26</v>
      </c>
      <c r="AF1758" t="s">
        <v>26</v>
      </c>
      <c r="AG1758" t="s">
        <v>26</v>
      </c>
      <c r="AH1758" t="s">
        <v>26</v>
      </c>
      <c r="AI1758" t="s">
        <v>26</v>
      </c>
      <c r="AJ1758" t="s">
        <v>26</v>
      </c>
      <c r="AK1758" t="s">
        <v>26</v>
      </c>
      <c r="AL1758" t="s">
        <v>26</v>
      </c>
      <c r="AM1758" t="s">
        <v>26</v>
      </c>
      <c r="AN1758" t="s">
        <v>26</v>
      </c>
      <c r="AO1758" s="25" t="s">
        <v>68</v>
      </c>
      <c r="AP1758" s="23" t="s">
        <v>69</v>
      </c>
      <c r="AQ1758" s="23" t="s">
        <v>30</v>
      </c>
      <c r="AR1758" s="23" t="s">
        <v>147</v>
      </c>
      <c r="AS1758" s="25">
        <v>2036372</v>
      </c>
      <c r="AT1758" t="s">
        <v>26</v>
      </c>
      <c r="AU1758" t="s">
        <v>24533</v>
      </c>
    </row>
    <row r="1759" spans="1:47" ht="26.25" x14ac:dyDescent="0.4">
      <c r="A1759" s="23" t="s">
        <v>4635</v>
      </c>
      <c r="B1759" t="s">
        <v>26</v>
      </c>
      <c r="C1759" s="23" t="s">
        <v>4636</v>
      </c>
      <c r="D1759" s="23" t="s">
        <v>24534</v>
      </c>
      <c r="E1759" s="23" t="s">
        <v>42</v>
      </c>
      <c r="F1759" s="25" t="s">
        <v>4637</v>
      </c>
      <c r="G1759" t="s">
        <v>26</v>
      </c>
      <c r="H1759" t="s">
        <v>26</v>
      </c>
      <c r="I1759" s="24">
        <v>31686</v>
      </c>
      <c r="J1759" s="25" t="s">
        <v>77</v>
      </c>
      <c r="K1759" t="s">
        <v>26</v>
      </c>
      <c r="L1759" s="25" t="s">
        <v>68</v>
      </c>
      <c r="M1759" s="24">
        <v>31686</v>
      </c>
      <c r="N1759" s="25" t="s">
        <v>77</v>
      </c>
      <c r="O1759" t="s">
        <v>26</v>
      </c>
      <c r="P1759" s="24">
        <v>31686</v>
      </c>
      <c r="Q1759" s="25" t="s">
        <v>77</v>
      </c>
      <c r="R1759" t="s">
        <v>26</v>
      </c>
      <c r="S1759" t="s">
        <v>26</v>
      </c>
      <c r="T1759" t="s">
        <v>26</v>
      </c>
      <c r="U1759" t="s">
        <v>26</v>
      </c>
      <c r="V1759" s="25">
        <v>180</v>
      </c>
      <c r="W1759" s="24">
        <v>31686</v>
      </c>
      <c r="X1759" s="25" t="s">
        <v>77</v>
      </c>
      <c r="Y1759" t="s">
        <v>26</v>
      </c>
      <c r="Z1759" s="24">
        <v>31686</v>
      </c>
      <c r="AA1759" s="25" t="s">
        <v>77</v>
      </c>
      <c r="AB1759" t="s">
        <v>26</v>
      </c>
      <c r="AC1759" s="24">
        <v>35612</v>
      </c>
      <c r="AD1759" s="25" t="s">
        <v>77</v>
      </c>
      <c r="AE1759" s="25" t="s">
        <v>24535</v>
      </c>
      <c r="AF1759" t="s">
        <v>26</v>
      </c>
      <c r="AG1759" t="s">
        <v>26</v>
      </c>
      <c r="AH1759" t="s">
        <v>26</v>
      </c>
      <c r="AI1759" t="s">
        <v>26</v>
      </c>
      <c r="AJ1759" t="s">
        <v>26</v>
      </c>
      <c r="AK1759" t="s">
        <v>26</v>
      </c>
      <c r="AL1759" t="s">
        <v>26</v>
      </c>
      <c r="AM1759" t="s">
        <v>26</v>
      </c>
      <c r="AN1759" t="s">
        <v>26</v>
      </c>
      <c r="AO1759" s="25" t="s">
        <v>68</v>
      </c>
      <c r="AP1759" s="23" t="s">
        <v>69</v>
      </c>
      <c r="AQ1759" s="23" t="s">
        <v>30</v>
      </c>
      <c r="AR1759" s="23" t="s">
        <v>4638</v>
      </c>
      <c r="AS1759" s="25">
        <v>28214</v>
      </c>
      <c r="AT1759" t="s">
        <v>26</v>
      </c>
      <c r="AU1759" t="s">
        <v>24536</v>
      </c>
    </row>
    <row r="1760" spans="1:47" ht="26.25" x14ac:dyDescent="0.4">
      <c r="A1760" s="23" t="s">
        <v>4639</v>
      </c>
      <c r="B1760" t="s">
        <v>26</v>
      </c>
      <c r="C1760" s="23" t="s">
        <v>80</v>
      </c>
      <c r="D1760" s="23" t="s">
        <v>22184</v>
      </c>
      <c r="E1760" s="23" t="s">
        <v>60</v>
      </c>
      <c r="F1760" s="25" t="s">
        <v>4640</v>
      </c>
      <c r="G1760" s="25" t="s">
        <v>4641</v>
      </c>
      <c r="H1760" t="s">
        <v>26</v>
      </c>
      <c r="I1760" t="s">
        <v>26</v>
      </c>
      <c r="J1760" t="s">
        <v>26</v>
      </c>
      <c r="K1760" t="s">
        <v>26</v>
      </c>
      <c r="L1760" s="25" t="s">
        <v>68</v>
      </c>
      <c r="M1760" t="s">
        <v>26</v>
      </c>
      <c r="N1760" t="s">
        <v>26</v>
      </c>
      <c r="O1760" t="s">
        <v>26</v>
      </c>
      <c r="P1760" t="s">
        <v>26</v>
      </c>
      <c r="Q1760" t="s">
        <v>26</v>
      </c>
      <c r="R1760" t="s">
        <v>26</v>
      </c>
      <c r="S1760" t="s">
        <v>26</v>
      </c>
      <c r="T1760" t="s">
        <v>26</v>
      </c>
      <c r="U1760" t="s">
        <v>26</v>
      </c>
      <c r="V1760" t="s">
        <v>26</v>
      </c>
      <c r="W1760" s="24">
        <v>40909</v>
      </c>
      <c r="X1760" s="24">
        <v>43739</v>
      </c>
      <c r="Y1760" t="s">
        <v>26</v>
      </c>
      <c r="Z1760" s="24">
        <v>40909</v>
      </c>
      <c r="AA1760" s="24">
        <v>43739</v>
      </c>
      <c r="AB1760" t="s">
        <v>26</v>
      </c>
      <c r="AC1760" s="24">
        <v>40909</v>
      </c>
      <c r="AD1760" s="24">
        <v>43739</v>
      </c>
      <c r="AE1760" t="s">
        <v>26</v>
      </c>
      <c r="AF1760" t="s">
        <v>26</v>
      </c>
      <c r="AG1760" t="s">
        <v>26</v>
      </c>
      <c r="AH1760" t="s">
        <v>26</v>
      </c>
      <c r="AI1760" t="s">
        <v>26</v>
      </c>
      <c r="AJ1760" t="s">
        <v>26</v>
      </c>
      <c r="AK1760" t="s">
        <v>26</v>
      </c>
      <c r="AL1760" t="s">
        <v>26</v>
      </c>
      <c r="AM1760" t="s">
        <v>26</v>
      </c>
      <c r="AN1760" t="s">
        <v>26</v>
      </c>
      <c r="AO1760" s="25" t="s">
        <v>68</v>
      </c>
      <c r="AP1760" s="23" t="s">
        <v>69</v>
      </c>
      <c r="AQ1760" s="23" t="s">
        <v>30</v>
      </c>
      <c r="AR1760" s="23" t="s">
        <v>1284</v>
      </c>
      <c r="AS1760" s="25">
        <v>53083</v>
      </c>
      <c r="AT1760" t="s">
        <v>26</v>
      </c>
      <c r="AU1760" t="s">
        <v>24537</v>
      </c>
    </row>
    <row r="1761" spans="1:47" ht="26.25" x14ac:dyDescent="0.4">
      <c r="A1761" s="23" t="s">
        <v>4639</v>
      </c>
      <c r="B1761" t="s">
        <v>26</v>
      </c>
      <c r="C1761" s="23" t="s">
        <v>80</v>
      </c>
      <c r="D1761" s="23" t="s">
        <v>22184</v>
      </c>
      <c r="E1761" s="23" t="s">
        <v>60</v>
      </c>
      <c r="F1761" s="25" t="s">
        <v>4640</v>
      </c>
      <c r="G1761" s="25" t="s">
        <v>4641</v>
      </c>
      <c r="H1761" t="s">
        <v>26</v>
      </c>
      <c r="I1761" t="s">
        <v>26</v>
      </c>
      <c r="J1761" t="s">
        <v>26</v>
      </c>
      <c r="K1761" t="s">
        <v>26</v>
      </c>
      <c r="L1761" s="25" t="s">
        <v>68</v>
      </c>
      <c r="M1761" t="s">
        <v>26</v>
      </c>
      <c r="N1761" t="s">
        <v>26</v>
      </c>
      <c r="O1761" t="s">
        <v>26</v>
      </c>
      <c r="P1761" t="s">
        <v>26</v>
      </c>
      <c r="Q1761" t="s">
        <v>26</v>
      </c>
      <c r="R1761" t="s">
        <v>26</v>
      </c>
      <c r="S1761" t="s">
        <v>26</v>
      </c>
      <c r="T1761" t="s">
        <v>26</v>
      </c>
      <c r="U1761" t="s">
        <v>26</v>
      </c>
      <c r="V1761" t="s">
        <v>26</v>
      </c>
      <c r="W1761" s="24">
        <v>42278</v>
      </c>
      <c r="X1761" s="25" t="s">
        <v>77</v>
      </c>
      <c r="Y1761" s="25" t="s">
        <v>2839</v>
      </c>
      <c r="Z1761" s="24">
        <v>42278</v>
      </c>
      <c r="AA1761" s="25" t="s">
        <v>77</v>
      </c>
      <c r="AB1761" s="25" t="s">
        <v>2839</v>
      </c>
      <c r="AC1761" s="24">
        <v>42278</v>
      </c>
      <c r="AD1761" s="25" t="s">
        <v>77</v>
      </c>
      <c r="AE1761" s="25" t="s">
        <v>2839</v>
      </c>
      <c r="AF1761" t="s">
        <v>26</v>
      </c>
      <c r="AG1761" t="s">
        <v>26</v>
      </c>
      <c r="AH1761" t="s">
        <v>26</v>
      </c>
      <c r="AI1761" t="s">
        <v>26</v>
      </c>
      <c r="AJ1761" t="s">
        <v>26</v>
      </c>
      <c r="AK1761" t="s">
        <v>26</v>
      </c>
      <c r="AL1761" t="s">
        <v>26</v>
      </c>
      <c r="AM1761" t="s">
        <v>26</v>
      </c>
      <c r="AN1761" t="s">
        <v>26</v>
      </c>
      <c r="AO1761" s="25" t="s">
        <v>68</v>
      </c>
      <c r="AP1761" s="23" t="s">
        <v>69</v>
      </c>
      <c r="AQ1761" s="23" t="s">
        <v>30</v>
      </c>
      <c r="AR1761" s="23" t="s">
        <v>1284</v>
      </c>
      <c r="AS1761" s="25">
        <v>2040018</v>
      </c>
      <c r="AT1761" t="s">
        <v>26</v>
      </c>
      <c r="AU1761" t="s">
        <v>24538</v>
      </c>
    </row>
    <row r="1762" spans="1:47" ht="26.25" x14ac:dyDescent="0.4">
      <c r="A1762" s="23" t="s">
        <v>4642</v>
      </c>
      <c r="B1762" t="s">
        <v>26</v>
      </c>
      <c r="C1762" s="23" t="s">
        <v>73</v>
      </c>
      <c r="D1762" s="23" t="s">
        <v>22179</v>
      </c>
      <c r="E1762" s="23" t="s">
        <v>74</v>
      </c>
      <c r="F1762" s="25" t="s">
        <v>4643</v>
      </c>
      <c r="G1762" s="25" t="s">
        <v>4644</v>
      </c>
      <c r="H1762" t="s">
        <v>26</v>
      </c>
      <c r="I1762" s="24">
        <v>35582</v>
      </c>
      <c r="J1762" s="25" t="s">
        <v>77</v>
      </c>
      <c r="K1762" t="s">
        <v>26</v>
      </c>
      <c r="L1762" s="25" t="s">
        <v>68</v>
      </c>
      <c r="M1762" s="24">
        <v>38078</v>
      </c>
      <c r="N1762" s="24">
        <v>42826</v>
      </c>
      <c r="O1762" t="s">
        <v>26</v>
      </c>
      <c r="P1762" s="24">
        <v>35582</v>
      </c>
      <c r="Q1762" s="25" t="s">
        <v>77</v>
      </c>
      <c r="R1762" t="s">
        <v>26</v>
      </c>
      <c r="S1762" t="s">
        <v>26</v>
      </c>
      <c r="T1762" t="s">
        <v>26</v>
      </c>
      <c r="U1762" t="s">
        <v>26</v>
      </c>
      <c r="V1762" s="25">
        <v>365</v>
      </c>
      <c r="W1762" s="24">
        <v>35582</v>
      </c>
      <c r="X1762" s="25" t="s">
        <v>77</v>
      </c>
      <c r="Y1762" t="s">
        <v>26</v>
      </c>
      <c r="Z1762" s="24">
        <v>35582</v>
      </c>
      <c r="AA1762" s="25" t="s">
        <v>77</v>
      </c>
      <c r="AB1762" t="s">
        <v>26</v>
      </c>
      <c r="AC1762" s="24">
        <v>35582</v>
      </c>
      <c r="AD1762" s="24">
        <v>38169</v>
      </c>
      <c r="AE1762" t="s">
        <v>26</v>
      </c>
      <c r="AF1762" t="s">
        <v>26</v>
      </c>
      <c r="AG1762" t="s">
        <v>26</v>
      </c>
      <c r="AH1762" t="s">
        <v>26</v>
      </c>
      <c r="AI1762" t="s">
        <v>26</v>
      </c>
      <c r="AJ1762" t="s">
        <v>26</v>
      </c>
      <c r="AK1762" t="s">
        <v>26</v>
      </c>
      <c r="AL1762" t="s">
        <v>26</v>
      </c>
      <c r="AM1762" t="s">
        <v>26</v>
      </c>
      <c r="AN1762" t="s">
        <v>26</v>
      </c>
      <c r="AO1762" s="25" t="s">
        <v>68</v>
      </c>
      <c r="AP1762" s="23" t="s">
        <v>69</v>
      </c>
      <c r="AQ1762" s="23" t="s">
        <v>30</v>
      </c>
      <c r="AR1762" s="23" t="s">
        <v>4645</v>
      </c>
      <c r="AS1762" s="25">
        <v>48283</v>
      </c>
      <c r="AT1762" t="s">
        <v>26</v>
      </c>
      <c r="AU1762" t="s">
        <v>24539</v>
      </c>
    </row>
    <row r="1763" spans="1:47" ht="26.25" x14ac:dyDescent="0.4">
      <c r="A1763" s="23" t="s">
        <v>4646</v>
      </c>
      <c r="B1763" t="s">
        <v>26</v>
      </c>
      <c r="C1763" s="23" t="s">
        <v>80</v>
      </c>
      <c r="D1763" s="23" t="s">
        <v>22312</v>
      </c>
      <c r="E1763" s="23" t="s">
        <v>60</v>
      </c>
      <c r="F1763" s="25" t="s">
        <v>4647</v>
      </c>
      <c r="G1763" s="25" t="s">
        <v>4648</v>
      </c>
      <c r="H1763" t="s">
        <v>26</v>
      </c>
      <c r="I1763" s="24">
        <v>35886</v>
      </c>
      <c r="J1763" s="24">
        <v>42552</v>
      </c>
      <c r="K1763" t="s">
        <v>26</v>
      </c>
      <c r="L1763" s="25" t="s">
        <v>68</v>
      </c>
      <c r="M1763" s="24">
        <v>35886</v>
      </c>
      <c r="N1763" s="24">
        <v>42552</v>
      </c>
      <c r="O1763" t="s">
        <v>26</v>
      </c>
      <c r="P1763" s="24">
        <v>35886</v>
      </c>
      <c r="Q1763" s="24">
        <v>42552</v>
      </c>
      <c r="R1763" t="s">
        <v>26</v>
      </c>
      <c r="S1763" t="s">
        <v>26</v>
      </c>
      <c r="T1763" t="s">
        <v>26</v>
      </c>
      <c r="U1763" t="s">
        <v>26</v>
      </c>
      <c r="V1763" t="s">
        <v>26</v>
      </c>
      <c r="W1763" s="24">
        <v>35886</v>
      </c>
      <c r="X1763" s="25" t="s">
        <v>77</v>
      </c>
      <c r="Y1763" t="s">
        <v>26</v>
      </c>
      <c r="Z1763" s="24">
        <v>35886</v>
      </c>
      <c r="AA1763" s="25" t="s">
        <v>77</v>
      </c>
      <c r="AB1763" t="s">
        <v>26</v>
      </c>
      <c r="AC1763" s="24">
        <v>36982</v>
      </c>
      <c r="AD1763" s="25" t="s">
        <v>77</v>
      </c>
      <c r="AE1763" t="s">
        <v>26</v>
      </c>
      <c r="AF1763" t="s">
        <v>26</v>
      </c>
      <c r="AG1763" t="s">
        <v>26</v>
      </c>
      <c r="AH1763" t="s">
        <v>26</v>
      </c>
      <c r="AI1763" t="s">
        <v>26</v>
      </c>
      <c r="AJ1763" t="s">
        <v>26</v>
      </c>
      <c r="AK1763" t="s">
        <v>26</v>
      </c>
      <c r="AL1763" t="s">
        <v>26</v>
      </c>
      <c r="AM1763" t="s">
        <v>26</v>
      </c>
      <c r="AN1763" t="s">
        <v>26</v>
      </c>
      <c r="AO1763" s="25" t="s">
        <v>68</v>
      </c>
      <c r="AP1763" s="23" t="s">
        <v>69</v>
      </c>
      <c r="AQ1763" s="23" t="s">
        <v>30</v>
      </c>
      <c r="AR1763" s="23" t="s">
        <v>337</v>
      </c>
      <c r="AS1763" s="25">
        <v>21999</v>
      </c>
      <c r="AT1763" t="s">
        <v>26</v>
      </c>
      <c r="AU1763" t="s">
        <v>24540</v>
      </c>
    </row>
    <row r="1764" spans="1:47" ht="26.25" x14ac:dyDescent="0.4">
      <c r="A1764" s="23" t="s">
        <v>4649</v>
      </c>
      <c r="B1764" t="s">
        <v>26</v>
      </c>
      <c r="C1764" s="23" t="s">
        <v>80</v>
      </c>
      <c r="D1764" s="23" t="s">
        <v>24008</v>
      </c>
      <c r="E1764" s="23" t="s">
        <v>60</v>
      </c>
      <c r="F1764" s="25" t="s">
        <v>4650</v>
      </c>
      <c r="G1764" s="25" t="s">
        <v>4651</v>
      </c>
      <c r="H1764" t="s">
        <v>26</v>
      </c>
      <c r="I1764" t="s">
        <v>26</v>
      </c>
      <c r="J1764" t="s">
        <v>26</v>
      </c>
      <c r="K1764" t="s">
        <v>26</v>
      </c>
      <c r="L1764" s="25" t="s">
        <v>68</v>
      </c>
      <c r="M1764" t="s">
        <v>26</v>
      </c>
      <c r="N1764" t="s">
        <v>26</v>
      </c>
      <c r="O1764" t="s">
        <v>26</v>
      </c>
      <c r="P1764" t="s">
        <v>26</v>
      </c>
      <c r="Q1764" t="s">
        <v>26</v>
      </c>
      <c r="R1764" t="s">
        <v>26</v>
      </c>
      <c r="S1764" t="s">
        <v>26</v>
      </c>
      <c r="T1764" t="s">
        <v>26</v>
      </c>
      <c r="U1764" t="s">
        <v>26</v>
      </c>
      <c r="V1764" t="s">
        <v>26</v>
      </c>
      <c r="W1764" s="24">
        <v>42248</v>
      </c>
      <c r="X1764" s="25" t="s">
        <v>77</v>
      </c>
      <c r="Y1764" s="25" t="s">
        <v>833</v>
      </c>
      <c r="Z1764" s="24">
        <v>42248</v>
      </c>
      <c r="AA1764" s="25" t="s">
        <v>77</v>
      </c>
      <c r="AB1764" s="25" t="s">
        <v>833</v>
      </c>
      <c r="AC1764" s="24">
        <v>42248</v>
      </c>
      <c r="AD1764" s="25" t="s">
        <v>77</v>
      </c>
      <c r="AE1764" s="25" t="s">
        <v>833</v>
      </c>
      <c r="AF1764" t="s">
        <v>26</v>
      </c>
      <c r="AG1764" t="s">
        <v>26</v>
      </c>
      <c r="AH1764" t="s">
        <v>26</v>
      </c>
      <c r="AI1764" t="s">
        <v>26</v>
      </c>
      <c r="AJ1764" t="s">
        <v>26</v>
      </c>
      <c r="AK1764" t="s">
        <v>26</v>
      </c>
      <c r="AL1764" t="s">
        <v>26</v>
      </c>
      <c r="AM1764" t="s">
        <v>26</v>
      </c>
      <c r="AN1764" t="s">
        <v>26</v>
      </c>
      <c r="AO1764" s="25" t="s">
        <v>68</v>
      </c>
      <c r="AP1764" s="23" t="s">
        <v>69</v>
      </c>
      <c r="AQ1764" s="23" t="s">
        <v>30</v>
      </c>
      <c r="AR1764" s="23" t="s">
        <v>4652</v>
      </c>
      <c r="AS1764" s="25">
        <v>2036560</v>
      </c>
      <c r="AT1764" t="s">
        <v>26</v>
      </c>
      <c r="AU1764" t="s">
        <v>24541</v>
      </c>
    </row>
    <row r="1765" spans="1:47" ht="26.25" x14ac:dyDescent="0.4">
      <c r="A1765" s="23" t="s">
        <v>4653</v>
      </c>
      <c r="B1765" t="s">
        <v>26</v>
      </c>
      <c r="C1765" s="23" t="s">
        <v>789</v>
      </c>
      <c r="D1765" s="23" t="s">
        <v>22492</v>
      </c>
      <c r="E1765" s="23" t="s">
        <v>42</v>
      </c>
      <c r="F1765" s="25" t="s">
        <v>4654</v>
      </c>
      <c r="G1765" t="s">
        <v>26</v>
      </c>
      <c r="H1765" t="s">
        <v>26</v>
      </c>
      <c r="I1765" s="24">
        <v>40909</v>
      </c>
      <c r="J1765" s="24">
        <v>42917</v>
      </c>
      <c r="K1765" t="s">
        <v>26</v>
      </c>
      <c r="L1765" s="25" t="s">
        <v>68</v>
      </c>
      <c r="M1765" s="24">
        <v>40909</v>
      </c>
      <c r="N1765" s="24">
        <v>42917</v>
      </c>
      <c r="O1765" t="s">
        <v>26</v>
      </c>
      <c r="P1765" s="24">
        <v>40909</v>
      </c>
      <c r="Q1765" s="24">
        <v>42917</v>
      </c>
      <c r="R1765" t="s">
        <v>26</v>
      </c>
      <c r="S1765" t="s">
        <v>26</v>
      </c>
      <c r="T1765" t="s">
        <v>26</v>
      </c>
      <c r="U1765" t="s">
        <v>26</v>
      </c>
      <c r="V1765" t="s">
        <v>26</v>
      </c>
      <c r="W1765" s="24">
        <v>40909</v>
      </c>
      <c r="X1765" s="24">
        <v>42917</v>
      </c>
      <c r="Y1765" t="s">
        <v>26</v>
      </c>
      <c r="Z1765" s="24">
        <v>40909</v>
      </c>
      <c r="AA1765" s="24">
        <v>42917</v>
      </c>
      <c r="AB1765" t="s">
        <v>26</v>
      </c>
      <c r="AC1765" s="24">
        <v>40909</v>
      </c>
      <c r="AD1765" s="24">
        <v>42917</v>
      </c>
      <c r="AE1765" t="s">
        <v>26</v>
      </c>
      <c r="AF1765" t="s">
        <v>26</v>
      </c>
      <c r="AG1765" t="s">
        <v>26</v>
      </c>
      <c r="AH1765" t="s">
        <v>26</v>
      </c>
      <c r="AI1765" t="s">
        <v>26</v>
      </c>
      <c r="AJ1765" t="s">
        <v>26</v>
      </c>
      <c r="AK1765" t="s">
        <v>26</v>
      </c>
      <c r="AL1765" t="s">
        <v>26</v>
      </c>
      <c r="AM1765" t="s">
        <v>26</v>
      </c>
      <c r="AN1765" t="s">
        <v>26</v>
      </c>
      <c r="AO1765" s="25" t="s">
        <v>28</v>
      </c>
      <c r="AP1765" s="23" t="s">
        <v>69</v>
      </c>
      <c r="AQ1765" s="23" t="s">
        <v>30</v>
      </c>
      <c r="AR1765" s="23" t="s">
        <v>572</v>
      </c>
      <c r="AS1765" s="25">
        <v>2034828</v>
      </c>
      <c r="AT1765" t="s">
        <v>26</v>
      </c>
      <c r="AU1765" t="s">
        <v>24542</v>
      </c>
    </row>
    <row r="1766" spans="1:47" ht="26.25" x14ac:dyDescent="0.4">
      <c r="A1766" s="23" t="s">
        <v>4655</v>
      </c>
      <c r="B1766" t="s">
        <v>26</v>
      </c>
      <c r="C1766" s="23" t="s">
        <v>167</v>
      </c>
      <c r="D1766" s="23" t="s">
        <v>22218</v>
      </c>
      <c r="E1766" s="23" t="s">
        <v>60</v>
      </c>
      <c r="F1766" s="25" t="s">
        <v>4656</v>
      </c>
      <c r="G1766" s="25" t="s">
        <v>4657</v>
      </c>
      <c r="H1766" t="s">
        <v>26</v>
      </c>
      <c r="I1766" s="24">
        <v>38596</v>
      </c>
      <c r="J1766" s="24">
        <v>42339</v>
      </c>
      <c r="K1766" t="s">
        <v>26</v>
      </c>
      <c r="L1766" s="25" t="s">
        <v>68</v>
      </c>
      <c r="M1766" s="24">
        <v>39264</v>
      </c>
      <c r="N1766" s="24">
        <v>42339</v>
      </c>
      <c r="O1766" t="s">
        <v>26</v>
      </c>
      <c r="P1766" s="24">
        <v>38596</v>
      </c>
      <c r="Q1766" s="24">
        <v>42339</v>
      </c>
      <c r="R1766" t="s">
        <v>26</v>
      </c>
      <c r="S1766" t="s">
        <v>26</v>
      </c>
      <c r="T1766" t="s">
        <v>26</v>
      </c>
      <c r="U1766" t="s">
        <v>26</v>
      </c>
      <c r="V1766" t="s">
        <v>26</v>
      </c>
      <c r="W1766" s="24">
        <v>38596</v>
      </c>
      <c r="X1766" s="24">
        <v>42339</v>
      </c>
      <c r="Y1766" t="s">
        <v>26</v>
      </c>
      <c r="Z1766" s="24">
        <v>38596</v>
      </c>
      <c r="AA1766" s="24">
        <v>42339</v>
      </c>
      <c r="AB1766" t="s">
        <v>26</v>
      </c>
      <c r="AC1766" s="24">
        <v>38596</v>
      </c>
      <c r="AD1766" s="24">
        <v>42339</v>
      </c>
      <c r="AE1766" t="s">
        <v>26</v>
      </c>
      <c r="AF1766" t="s">
        <v>26</v>
      </c>
      <c r="AG1766" t="s">
        <v>26</v>
      </c>
      <c r="AH1766" t="s">
        <v>26</v>
      </c>
      <c r="AI1766" t="s">
        <v>26</v>
      </c>
      <c r="AJ1766" t="s">
        <v>26</v>
      </c>
      <c r="AK1766" t="s">
        <v>26</v>
      </c>
      <c r="AL1766" t="s">
        <v>26</v>
      </c>
      <c r="AM1766" t="s">
        <v>26</v>
      </c>
      <c r="AN1766" t="s">
        <v>26</v>
      </c>
      <c r="AO1766" s="25" t="s">
        <v>68</v>
      </c>
      <c r="AP1766" s="23" t="s">
        <v>69</v>
      </c>
      <c r="AQ1766" s="23" t="s">
        <v>30</v>
      </c>
      <c r="AR1766" s="23" t="s">
        <v>70</v>
      </c>
      <c r="AS1766" s="25">
        <v>39121</v>
      </c>
      <c r="AT1766" t="s">
        <v>26</v>
      </c>
      <c r="AU1766" t="s">
        <v>24543</v>
      </c>
    </row>
    <row r="1767" spans="1:47" ht="39.4" x14ac:dyDescent="0.4">
      <c r="A1767" s="23" t="s">
        <v>4655</v>
      </c>
      <c r="B1767" t="s">
        <v>26</v>
      </c>
      <c r="C1767" s="23" t="s">
        <v>4658</v>
      </c>
      <c r="D1767" s="23" t="s">
        <v>24544</v>
      </c>
      <c r="E1767" s="23" t="s">
        <v>60</v>
      </c>
      <c r="F1767" s="25" t="s">
        <v>4656</v>
      </c>
      <c r="G1767" s="25" t="s">
        <v>4657</v>
      </c>
      <c r="H1767" t="s">
        <v>26</v>
      </c>
      <c r="I1767" s="24">
        <v>42461</v>
      </c>
      <c r="J1767" s="24">
        <v>44562</v>
      </c>
      <c r="K1767" t="s">
        <v>26</v>
      </c>
      <c r="L1767" s="25" t="s">
        <v>68</v>
      </c>
      <c r="M1767" s="24">
        <v>42461</v>
      </c>
      <c r="N1767" s="24">
        <v>44562</v>
      </c>
      <c r="O1767" t="s">
        <v>26</v>
      </c>
      <c r="P1767" s="24">
        <v>42461</v>
      </c>
      <c r="Q1767" s="24">
        <v>44562</v>
      </c>
      <c r="R1767" t="s">
        <v>26</v>
      </c>
      <c r="S1767" t="s">
        <v>26</v>
      </c>
      <c r="T1767" t="s">
        <v>26</v>
      </c>
      <c r="U1767" t="s">
        <v>26</v>
      </c>
      <c r="V1767" t="s">
        <v>26</v>
      </c>
      <c r="W1767" s="24">
        <v>42461</v>
      </c>
      <c r="X1767" s="24">
        <v>44927</v>
      </c>
      <c r="Y1767" t="s">
        <v>26</v>
      </c>
      <c r="Z1767" s="24">
        <v>42461</v>
      </c>
      <c r="AA1767" s="24">
        <v>44927</v>
      </c>
      <c r="AB1767" t="s">
        <v>26</v>
      </c>
      <c r="AC1767" s="24">
        <v>42461</v>
      </c>
      <c r="AD1767" s="24">
        <v>44562</v>
      </c>
      <c r="AE1767" t="s">
        <v>26</v>
      </c>
      <c r="AF1767" t="s">
        <v>26</v>
      </c>
      <c r="AG1767" t="s">
        <v>26</v>
      </c>
      <c r="AH1767" t="s">
        <v>26</v>
      </c>
      <c r="AI1767" t="s">
        <v>26</v>
      </c>
      <c r="AJ1767" t="s">
        <v>26</v>
      </c>
      <c r="AK1767" t="s">
        <v>26</v>
      </c>
      <c r="AL1767" t="s">
        <v>26</v>
      </c>
      <c r="AM1767" t="s">
        <v>26</v>
      </c>
      <c r="AN1767" t="s">
        <v>26</v>
      </c>
      <c r="AO1767" s="25" t="s">
        <v>68</v>
      </c>
      <c r="AP1767" s="23" t="s">
        <v>69</v>
      </c>
      <c r="AQ1767" s="23" t="s">
        <v>30</v>
      </c>
      <c r="AR1767" s="23" t="s">
        <v>70</v>
      </c>
      <c r="AS1767" s="25">
        <v>2046196</v>
      </c>
      <c r="AT1767" t="s">
        <v>26</v>
      </c>
      <c r="AU1767" t="s">
        <v>24545</v>
      </c>
    </row>
    <row r="1768" spans="1:47" ht="26.25" x14ac:dyDescent="0.4">
      <c r="A1768" s="23" t="s">
        <v>4659</v>
      </c>
      <c r="B1768" t="s">
        <v>26</v>
      </c>
      <c r="C1768" s="23" t="s">
        <v>4660</v>
      </c>
      <c r="D1768" s="23" t="s">
        <v>23339</v>
      </c>
      <c r="E1768" s="23" t="s">
        <v>526</v>
      </c>
      <c r="F1768" s="25" t="s">
        <v>4661</v>
      </c>
      <c r="G1768" s="25" t="s">
        <v>4662</v>
      </c>
      <c r="H1768" t="s">
        <v>26</v>
      </c>
      <c r="I1768" s="24">
        <v>43831</v>
      </c>
      <c r="J1768" s="25" t="s">
        <v>77</v>
      </c>
      <c r="K1768" t="s">
        <v>26</v>
      </c>
      <c r="L1768" s="25" t="s">
        <v>68</v>
      </c>
      <c r="M1768" t="s">
        <v>26</v>
      </c>
      <c r="N1768" t="s">
        <v>26</v>
      </c>
      <c r="O1768" t="s">
        <v>26</v>
      </c>
      <c r="P1768" s="24">
        <v>43831</v>
      </c>
      <c r="Q1768" s="25" t="s">
        <v>77</v>
      </c>
      <c r="R1768" t="s">
        <v>26</v>
      </c>
      <c r="S1768" t="s">
        <v>26</v>
      </c>
      <c r="T1768" t="s">
        <v>26</v>
      </c>
      <c r="U1768" t="s">
        <v>26</v>
      </c>
      <c r="V1768" t="s">
        <v>26</v>
      </c>
      <c r="W1768" s="24">
        <v>43831</v>
      </c>
      <c r="X1768" s="25" t="s">
        <v>77</v>
      </c>
      <c r="Y1768" t="s">
        <v>26</v>
      </c>
      <c r="Z1768" s="24">
        <v>43831</v>
      </c>
      <c r="AA1768" s="25" t="s">
        <v>77</v>
      </c>
      <c r="AB1768" t="s">
        <v>26</v>
      </c>
      <c r="AC1768" s="24">
        <v>43831</v>
      </c>
      <c r="AD1768" s="25" t="s">
        <v>77</v>
      </c>
      <c r="AE1768" t="s">
        <v>26</v>
      </c>
      <c r="AF1768" t="s">
        <v>26</v>
      </c>
      <c r="AG1768" t="s">
        <v>26</v>
      </c>
      <c r="AH1768" t="s">
        <v>26</v>
      </c>
      <c r="AI1768" t="s">
        <v>26</v>
      </c>
      <c r="AJ1768" t="s">
        <v>26</v>
      </c>
      <c r="AK1768" t="s">
        <v>26</v>
      </c>
      <c r="AL1768" t="s">
        <v>26</v>
      </c>
      <c r="AM1768" t="s">
        <v>26</v>
      </c>
      <c r="AN1768" t="s">
        <v>26</v>
      </c>
      <c r="AO1768" s="25" t="s">
        <v>68</v>
      </c>
      <c r="AP1768" s="23" t="s">
        <v>69</v>
      </c>
      <c r="AQ1768" s="23" t="s">
        <v>528</v>
      </c>
      <c r="AR1768" s="23" t="s">
        <v>277</v>
      </c>
      <c r="AS1768" s="25">
        <v>5083810</v>
      </c>
      <c r="AT1768" t="s">
        <v>26</v>
      </c>
      <c r="AU1768" t="s">
        <v>24546</v>
      </c>
    </row>
    <row r="1769" spans="1:47" ht="26.25" x14ac:dyDescent="0.4">
      <c r="A1769" s="23" t="s">
        <v>4663</v>
      </c>
      <c r="B1769" t="s">
        <v>26</v>
      </c>
      <c r="C1769" s="23" t="s">
        <v>320</v>
      </c>
      <c r="D1769" s="23" t="s">
        <v>22242</v>
      </c>
      <c r="E1769" s="23" t="s">
        <v>42</v>
      </c>
      <c r="F1769" s="25" t="s">
        <v>4664</v>
      </c>
      <c r="G1769" s="25" t="s">
        <v>4665</v>
      </c>
      <c r="H1769" t="s">
        <v>26</v>
      </c>
      <c r="I1769" t="s">
        <v>26</v>
      </c>
      <c r="J1769" t="s">
        <v>26</v>
      </c>
      <c r="K1769" t="s">
        <v>26</v>
      </c>
      <c r="L1769" s="25" t="s">
        <v>68</v>
      </c>
      <c r="M1769" t="s">
        <v>26</v>
      </c>
      <c r="N1769" t="s">
        <v>26</v>
      </c>
      <c r="O1769" t="s">
        <v>26</v>
      </c>
      <c r="P1769" t="s">
        <v>26</v>
      </c>
      <c r="Q1769" t="s">
        <v>26</v>
      </c>
      <c r="R1769" t="s">
        <v>26</v>
      </c>
      <c r="S1769" t="s">
        <v>26</v>
      </c>
      <c r="T1769" t="s">
        <v>26</v>
      </c>
      <c r="U1769" t="s">
        <v>26</v>
      </c>
      <c r="V1769" t="s">
        <v>26</v>
      </c>
      <c r="W1769" s="24">
        <v>36130</v>
      </c>
      <c r="X1769" s="25" t="s">
        <v>77</v>
      </c>
      <c r="Y1769" s="25" t="s">
        <v>4666</v>
      </c>
      <c r="Z1769" s="24">
        <v>36130</v>
      </c>
      <c r="AA1769" s="25" t="s">
        <v>77</v>
      </c>
      <c r="AB1769" s="25" t="s">
        <v>4666</v>
      </c>
      <c r="AC1769" s="24">
        <v>41122</v>
      </c>
      <c r="AD1769" s="25" t="s">
        <v>77</v>
      </c>
      <c r="AE1769" t="s">
        <v>26</v>
      </c>
      <c r="AF1769" t="s">
        <v>26</v>
      </c>
      <c r="AG1769" t="s">
        <v>26</v>
      </c>
      <c r="AH1769" t="s">
        <v>26</v>
      </c>
      <c r="AI1769" t="s">
        <v>26</v>
      </c>
      <c r="AJ1769" t="s">
        <v>26</v>
      </c>
      <c r="AK1769" t="s">
        <v>26</v>
      </c>
      <c r="AL1769" t="s">
        <v>26</v>
      </c>
      <c r="AM1769" t="s">
        <v>26</v>
      </c>
      <c r="AN1769" t="s">
        <v>26</v>
      </c>
      <c r="AO1769" s="25" t="s">
        <v>68</v>
      </c>
      <c r="AP1769" s="23" t="s">
        <v>69</v>
      </c>
      <c r="AQ1769" s="23" t="s">
        <v>30</v>
      </c>
      <c r="AR1769" s="23" t="s">
        <v>3294</v>
      </c>
      <c r="AS1769" s="25">
        <v>29913</v>
      </c>
      <c r="AT1769" t="s">
        <v>26</v>
      </c>
      <c r="AU1769" t="s">
        <v>24547</v>
      </c>
    </row>
    <row r="1770" spans="1:47" ht="26.25" x14ac:dyDescent="0.4">
      <c r="A1770" s="23" t="s">
        <v>4667</v>
      </c>
      <c r="B1770" t="s">
        <v>26</v>
      </c>
      <c r="C1770" s="23" t="s">
        <v>181</v>
      </c>
      <c r="D1770" s="23" t="s">
        <v>22174</v>
      </c>
      <c r="E1770" s="23" t="s">
        <v>60</v>
      </c>
      <c r="F1770" s="25" t="s">
        <v>4668</v>
      </c>
      <c r="G1770" s="25" t="s">
        <v>4669</v>
      </c>
      <c r="H1770" t="s">
        <v>26</v>
      </c>
      <c r="I1770" s="24">
        <v>38808</v>
      </c>
      <c r="J1770" s="24">
        <v>41091</v>
      </c>
      <c r="K1770" t="s">
        <v>26</v>
      </c>
      <c r="L1770" s="25" t="s">
        <v>68</v>
      </c>
      <c r="M1770" s="24">
        <v>38808</v>
      </c>
      <c r="N1770" s="24">
        <v>41091</v>
      </c>
      <c r="O1770" t="s">
        <v>26</v>
      </c>
      <c r="P1770" s="24">
        <v>38808</v>
      </c>
      <c r="Q1770" s="24">
        <v>41091</v>
      </c>
      <c r="R1770" t="s">
        <v>26</v>
      </c>
      <c r="S1770" t="s">
        <v>26</v>
      </c>
      <c r="T1770" t="s">
        <v>26</v>
      </c>
      <c r="U1770" t="s">
        <v>26</v>
      </c>
      <c r="V1770" t="s">
        <v>26</v>
      </c>
      <c r="W1770" s="24">
        <v>38808</v>
      </c>
      <c r="X1770" s="24">
        <v>41091</v>
      </c>
      <c r="Y1770" t="s">
        <v>26</v>
      </c>
      <c r="Z1770" s="24">
        <v>38808</v>
      </c>
      <c r="AA1770" s="24">
        <v>41091</v>
      </c>
      <c r="AB1770" t="s">
        <v>26</v>
      </c>
      <c r="AC1770" s="24">
        <v>39904</v>
      </c>
      <c r="AD1770" s="24">
        <v>41091</v>
      </c>
      <c r="AE1770" t="s">
        <v>26</v>
      </c>
      <c r="AF1770" t="s">
        <v>26</v>
      </c>
      <c r="AG1770" t="s">
        <v>26</v>
      </c>
      <c r="AH1770" t="s">
        <v>26</v>
      </c>
      <c r="AI1770" t="s">
        <v>26</v>
      </c>
      <c r="AJ1770" t="s">
        <v>26</v>
      </c>
      <c r="AK1770" t="s">
        <v>26</v>
      </c>
      <c r="AL1770" t="s">
        <v>26</v>
      </c>
      <c r="AM1770" t="s">
        <v>26</v>
      </c>
      <c r="AN1770" t="s">
        <v>26</v>
      </c>
      <c r="AO1770" s="25" t="s">
        <v>68</v>
      </c>
      <c r="AP1770" s="23" t="s">
        <v>69</v>
      </c>
      <c r="AQ1770" s="23" t="s">
        <v>30</v>
      </c>
      <c r="AR1770" s="23" t="s">
        <v>4670</v>
      </c>
      <c r="AS1770" s="25">
        <v>48123</v>
      </c>
      <c r="AT1770" t="s">
        <v>26</v>
      </c>
      <c r="AU1770" t="s">
        <v>24548</v>
      </c>
    </row>
    <row r="1771" spans="1:47" ht="26.25" x14ac:dyDescent="0.4">
      <c r="A1771" s="23" t="s">
        <v>4671</v>
      </c>
      <c r="B1771" t="s">
        <v>26</v>
      </c>
      <c r="C1771" s="23" t="s">
        <v>1334</v>
      </c>
      <c r="D1771" s="23" t="s">
        <v>22756</v>
      </c>
      <c r="E1771" s="23" t="s">
        <v>335</v>
      </c>
      <c r="F1771" s="25" t="s">
        <v>4672</v>
      </c>
      <c r="G1771" s="25" t="s">
        <v>4673</v>
      </c>
      <c r="H1771" t="s">
        <v>26</v>
      </c>
      <c r="I1771" s="24">
        <v>36220</v>
      </c>
      <c r="J1771" s="25" t="s">
        <v>77</v>
      </c>
      <c r="K1771" t="s">
        <v>26</v>
      </c>
      <c r="L1771" s="25" t="s">
        <v>68</v>
      </c>
      <c r="M1771" s="24">
        <v>36220</v>
      </c>
      <c r="N1771" s="25" t="s">
        <v>77</v>
      </c>
      <c r="O1771" t="s">
        <v>26</v>
      </c>
      <c r="P1771" s="24">
        <v>36220</v>
      </c>
      <c r="Q1771" s="25" t="s">
        <v>77</v>
      </c>
      <c r="R1771" t="s">
        <v>26</v>
      </c>
      <c r="S1771" t="s">
        <v>26</v>
      </c>
      <c r="T1771" t="s">
        <v>26</v>
      </c>
      <c r="U1771" t="s">
        <v>26</v>
      </c>
      <c r="V1771" t="s">
        <v>26</v>
      </c>
      <c r="W1771" s="24">
        <v>36161</v>
      </c>
      <c r="X1771" s="25" t="s">
        <v>77</v>
      </c>
      <c r="Y1771" t="s">
        <v>26</v>
      </c>
      <c r="Z1771" s="24">
        <v>36161</v>
      </c>
      <c r="AA1771" s="25" t="s">
        <v>77</v>
      </c>
      <c r="AB1771" t="s">
        <v>26</v>
      </c>
      <c r="AC1771" s="24">
        <v>36161</v>
      </c>
      <c r="AD1771" s="25" t="s">
        <v>77</v>
      </c>
      <c r="AE1771" t="s">
        <v>26</v>
      </c>
      <c r="AF1771" t="s">
        <v>26</v>
      </c>
      <c r="AG1771" t="s">
        <v>26</v>
      </c>
      <c r="AH1771" t="s">
        <v>26</v>
      </c>
      <c r="AI1771" t="s">
        <v>26</v>
      </c>
      <c r="AJ1771" t="s">
        <v>26</v>
      </c>
      <c r="AK1771" t="s">
        <v>26</v>
      </c>
      <c r="AL1771" t="s">
        <v>26</v>
      </c>
      <c r="AM1771" t="s">
        <v>26</v>
      </c>
      <c r="AN1771" t="s">
        <v>26</v>
      </c>
      <c r="AO1771" s="25" t="s">
        <v>68</v>
      </c>
      <c r="AP1771" s="23" t="s">
        <v>69</v>
      </c>
      <c r="AQ1771" s="23" t="s">
        <v>30</v>
      </c>
      <c r="AR1771" s="23" t="s">
        <v>70</v>
      </c>
      <c r="AS1771" s="25">
        <v>30201</v>
      </c>
      <c r="AT1771" t="s">
        <v>26</v>
      </c>
      <c r="AU1771" t="s">
        <v>24549</v>
      </c>
    </row>
    <row r="1772" spans="1:47" ht="26.25" x14ac:dyDescent="0.4">
      <c r="A1772" s="23" t="s">
        <v>4674</v>
      </c>
      <c r="B1772" t="s">
        <v>26</v>
      </c>
      <c r="C1772" s="23" t="s">
        <v>1910</v>
      </c>
      <c r="D1772" s="23" t="s">
        <v>22263</v>
      </c>
      <c r="E1772" s="23" t="s">
        <v>187</v>
      </c>
      <c r="F1772" s="25" t="s">
        <v>4675</v>
      </c>
      <c r="G1772" t="s">
        <v>26</v>
      </c>
      <c r="H1772" t="s">
        <v>26</v>
      </c>
      <c r="I1772" s="24">
        <v>38353</v>
      </c>
      <c r="J1772" s="25" t="s">
        <v>77</v>
      </c>
      <c r="K1772" t="s">
        <v>26</v>
      </c>
      <c r="L1772" s="25" t="s">
        <v>68</v>
      </c>
      <c r="M1772" t="s">
        <v>26</v>
      </c>
      <c r="N1772" t="s">
        <v>26</v>
      </c>
      <c r="O1772" t="s">
        <v>26</v>
      </c>
      <c r="P1772" s="24">
        <v>38353</v>
      </c>
      <c r="Q1772" s="25" t="s">
        <v>77</v>
      </c>
      <c r="R1772" t="s">
        <v>26</v>
      </c>
      <c r="S1772" t="s">
        <v>26</v>
      </c>
      <c r="T1772" t="s">
        <v>26</v>
      </c>
      <c r="U1772" t="s">
        <v>26</v>
      </c>
      <c r="V1772" t="s">
        <v>26</v>
      </c>
      <c r="W1772" s="24">
        <v>38353</v>
      </c>
      <c r="X1772" s="25" t="s">
        <v>77</v>
      </c>
      <c r="Y1772" t="s">
        <v>26</v>
      </c>
      <c r="Z1772" s="24">
        <v>38353</v>
      </c>
      <c r="AA1772" s="25" t="s">
        <v>77</v>
      </c>
      <c r="AB1772" t="s">
        <v>26</v>
      </c>
      <c r="AC1772" s="24">
        <v>38353</v>
      </c>
      <c r="AD1772" s="25" t="s">
        <v>77</v>
      </c>
      <c r="AE1772" s="25" t="s">
        <v>24550</v>
      </c>
      <c r="AF1772" t="s">
        <v>26</v>
      </c>
      <c r="AG1772" t="s">
        <v>26</v>
      </c>
      <c r="AH1772" t="s">
        <v>26</v>
      </c>
      <c r="AI1772" t="s">
        <v>26</v>
      </c>
      <c r="AJ1772" t="s">
        <v>26</v>
      </c>
      <c r="AK1772" t="s">
        <v>26</v>
      </c>
      <c r="AL1772" t="s">
        <v>26</v>
      </c>
      <c r="AM1772" t="s">
        <v>26</v>
      </c>
      <c r="AN1772" t="s">
        <v>26</v>
      </c>
      <c r="AO1772" s="25" t="s">
        <v>68</v>
      </c>
      <c r="AP1772" s="23" t="s">
        <v>69</v>
      </c>
      <c r="AQ1772" s="23" t="s">
        <v>1913</v>
      </c>
      <c r="AR1772" s="23" t="s">
        <v>70</v>
      </c>
      <c r="AS1772" s="25">
        <v>5540454</v>
      </c>
      <c r="AT1772" t="s">
        <v>26</v>
      </c>
      <c r="AU1772" t="s">
        <v>24551</v>
      </c>
    </row>
    <row r="1773" spans="1:47" ht="26.25" x14ac:dyDescent="0.4">
      <c r="A1773" s="23" t="s">
        <v>4676</v>
      </c>
      <c r="B1773" t="s">
        <v>26</v>
      </c>
      <c r="C1773" s="23" t="s">
        <v>4677</v>
      </c>
      <c r="D1773" s="23" t="s">
        <v>22242</v>
      </c>
      <c r="E1773" s="23" t="s">
        <v>42</v>
      </c>
      <c r="F1773" s="25" t="s">
        <v>4678</v>
      </c>
      <c r="G1773" s="25" t="s">
        <v>4679</v>
      </c>
      <c r="H1773" t="s">
        <v>26</v>
      </c>
      <c r="I1773" s="24">
        <v>35977</v>
      </c>
      <c r="J1773" s="24">
        <v>40513</v>
      </c>
      <c r="K1773" t="s">
        <v>26</v>
      </c>
      <c r="L1773" s="25" t="s">
        <v>68</v>
      </c>
      <c r="M1773" s="24">
        <v>35977</v>
      </c>
      <c r="N1773" s="24">
        <v>40513</v>
      </c>
      <c r="O1773" t="s">
        <v>26</v>
      </c>
      <c r="P1773" s="24">
        <v>35977</v>
      </c>
      <c r="Q1773" s="24">
        <v>40513</v>
      </c>
      <c r="R1773" t="s">
        <v>26</v>
      </c>
      <c r="S1773" t="s">
        <v>26</v>
      </c>
      <c r="T1773" t="s">
        <v>26</v>
      </c>
      <c r="U1773" t="s">
        <v>26</v>
      </c>
      <c r="V1773" t="s">
        <v>26</v>
      </c>
      <c r="W1773" s="24">
        <v>35977</v>
      </c>
      <c r="X1773" s="25" t="s">
        <v>77</v>
      </c>
      <c r="Y1773" t="s">
        <v>26</v>
      </c>
      <c r="Z1773" s="24">
        <v>35977</v>
      </c>
      <c r="AA1773" s="25" t="s">
        <v>77</v>
      </c>
      <c r="AB1773" t="s">
        <v>26</v>
      </c>
      <c r="AC1773" s="24">
        <v>35977</v>
      </c>
      <c r="AD1773" s="25" t="s">
        <v>77</v>
      </c>
      <c r="AE1773" t="s">
        <v>26</v>
      </c>
      <c r="AF1773" t="s">
        <v>26</v>
      </c>
      <c r="AG1773" t="s">
        <v>26</v>
      </c>
      <c r="AH1773" t="s">
        <v>26</v>
      </c>
      <c r="AI1773" t="s">
        <v>26</v>
      </c>
      <c r="AJ1773" t="s">
        <v>26</v>
      </c>
      <c r="AK1773" t="s">
        <v>26</v>
      </c>
      <c r="AL1773" t="s">
        <v>26</v>
      </c>
      <c r="AM1773" t="s">
        <v>26</v>
      </c>
      <c r="AN1773" t="s">
        <v>26</v>
      </c>
      <c r="AO1773" s="25" t="s">
        <v>68</v>
      </c>
      <c r="AP1773" s="23" t="s">
        <v>69</v>
      </c>
      <c r="AQ1773" s="23" t="s">
        <v>30</v>
      </c>
      <c r="AR1773" s="23" t="s">
        <v>4680</v>
      </c>
      <c r="AS1773" s="25">
        <v>41415</v>
      </c>
      <c r="AT1773" t="s">
        <v>26</v>
      </c>
      <c r="AU1773" t="s">
        <v>24552</v>
      </c>
    </row>
    <row r="1774" spans="1:47" ht="26.25" x14ac:dyDescent="0.4">
      <c r="A1774" s="23" t="s">
        <v>4681</v>
      </c>
      <c r="B1774" t="s">
        <v>26</v>
      </c>
      <c r="C1774" s="23" t="s">
        <v>4682</v>
      </c>
      <c r="D1774" s="23" t="s">
        <v>23175</v>
      </c>
      <c r="E1774" s="23" t="s">
        <v>42</v>
      </c>
      <c r="F1774" s="25" t="s">
        <v>4683</v>
      </c>
      <c r="G1774" t="s">
        <v>26</v>
      </c>
      <c r="H1774" t="s">
        <v>26</v>
      </c>
      <c r="I1774" s="24">
        <v>35796</v>
      </c>
      <c r="J1774" s="24">
        <v>43831</v>
      </c>
      <c r="K1774" s="25" t="s">
        <v>4684</v>
      </c>
      <c r="L1774" s="25" t="s">
        <v>68</v>
      </c>
      <c r="M1774" s="24">
        <v>35796</v>
      </c>
      <c r="N1774" s="24">
        <v>43831</v>
      </c>
      <c r="O1774" s="25" t="s">
        <v>4684</v>
      </c>
      <c r="P1774" s="24">
        <v>35796</v>
      </c>
      <c r="Q1774" s="24">
        <v>43831</v>
      </c>
      <c r="R1774" s="25" t="s">
        <v>4684</v>
      </c>
      <c r="S1774" t="s">
        <v>26</v>
      </c>
      <c r="T1774" t="s">
        <v>26</v>
      </c>
      <c r="U1774" t="s">
        <v>26</v>
      </c>
      <c r="V1774" t="s">
        <v>26</v>
      </c>
      <c r="W1774" s="24">
        <v>35796</v>
      </c>
      <c r="X1774" s="24">
        <v>43831</v>
      </c>
      <c r="Y1774" s="25" t="s">
        <v>4684</v>
      </c>
      <c r="Z1774" s="24">
        <v>35796</v>
      </c>
      <c r="AA1774" s="24">
        <v>43831</v>
      </c>
      <c r="AB1774" s="25" t="s">
        <v>4684</v>
      </c>
      <c r="AC1774" s="24">
        <v>40544</v>
      </c>
      <c r="AD1774" s="24">
        <v>43831</v>
      </c>
      <c r="AE1774" s="25" t="s">
        <v>24553</v>
      </c>
      <c r="AF1774" t="s">
        <v>26</v>
      </c>
      <c r="AG1774" t="s">
        <v>26</v>
      </c>
      <c r="AH1774" t="s">
        <v>26</v>
      </c>
      <c r="AI1774" t="s">
        <v>26</v>
      </c>
      <c r="AJ1774" t="s">
        <v>26</v>
      </c>
      <c r="AK1774" t="s">
        <v>26</v>
      </c>
      <c r="AL1774" t="s">
        <v>26</v>
      </c>
      <c r="AM1774" t="s">
        <v>26</v>
      </c>
      <c r="AN1774" t="s">
        <v>26</v>
      </c>
      <c r="AO1774" s="25" t="s">
        <v>68</v>
      </c>
      <c r="AP1774" s="23" t="s">
        <v>69</v>
      </c>
      <c r="AQ1774" t="s">
        <v>26</v>
      </c>
      <c r="AR1774" s="23" t="s">
        <v>257</v>
      </c>
      <c r="AS1774" s="25">
        <v>29096</v>
      </c>
      <c r="AT1774" t="s">
        <v>26</v>
      </c>
      <c r="AU1774" t="s">
        <v>24554</v>
      </c>
    </row>
    <row r="1775" spans="1:47" ht="26.25" x14ac:dyDescent="0.4">
      <c r="A1775" s="23" t="s">
        <v>4685</v>
      </c>
      <c r="B1775" t="s">
        <v>26</v>
      </c>
      <c r="C1775" s="23" t="s">
        <v>4686</v>
      </c>
      <c r="D1775" s="23" t="s">
        <v>22179</v>
      </c>
      <c r="E1775" s="23" t="s">
        <v>42</v>
      </c>
      <c r="F1775" s="25" t="s">
        <v>4687</v>
      </c>
      <c r="G1775" t="s">
        <v>26</v>
      </c>
      <c r="H1775" t="s">
        <v>26</v>
      </c>
      <c r="I1775" s="24">
        <v>38534</v>
      </c>
      <c r="J1775" s="25" t="s">
        <v>77</v>
      </c>
      <c r="K1775" t="s">
        <v>26</v>
      </c>
      <c r="L1775" s="25" t="s">
        <v>68</v>
      </c>
      <c r="M1775" s="24">
        <v>38534</v>
      </c>
      <c r="N1775" s="25" t="s">
        <v>77</v>
      </c>
      <c r="O1775" t="s">
        <v>26</v>
      </c>
      <c r="P1775" s="24">
        <v>38534</v>
      </c>
      <c r="Q1775" s="25" t="s">
        <v>77</v>
      </c>
      <c r="R1775" t="s">
        <v>26</v>
      </c>
      <c r="S1775" t="s">
        <v>26</v>
      </c>
      <c r="T1775" t="s">
        <v>26</v>
      </c>
      <c r="U1775" t="s">
        <v>26</v>
      </c>
      <c r="V1775" t="s">
        <v>26</v>
      </c>
      <c r="W1775" s="24">
        <v>38534</v>
      </c>
      <c r="X1775" s="25" t="s">
        <v>77</v>
      </c>
      <c r="Y1775" t="s">
        <v>26</v>
      </c>
      <c r="Z1775" s="24">
        <v>38534</v>
      </c>
      <c r="AA1775" s="25" t="s">
        <v>77</v>
      </c>
      <c r="AB1775" t="s">
        <v>26</v>
      </c>
      <c r="AC1775" s="24">
        <v>38534</v>
      </c>
      <c r="AD1775" s="25" t="s">
        <v>77</v>
      </c>
      <c r="AE1775" t="s">
        <v>26</v>
      </c>
      <c r="AF1775" t="s">
        <v>26</v>
      </c>
      <c r="AG1775" t="s">
        <v>26</v>
      </c>
      <c r="AH1775" t="s">
        <v>26</v>
      </c>
      <c r="AI1775" t="s">
        <v>26</v>
      </c>
      <c r="AJ1775" t="s">
        <v>26</v>
      </c>
      <c r="AK1775" t="s">
        <v>26</v>
      </c>
      <c r="AL1775" t="s">
        <v>26</v>
      </c>
      <c r="AM1775" t="s">
        <v>26</v>
      </c>
      <c r="AN1775" t="s">
        <v>26</v>
      </c>
      <c r="AO1775" s="25" t="s">
        <v>68</v>
      </c>
      <c r="AP1775" s="23" t="s">
        <v>69</v>
      </c>
      <c r="AQ1775" s="23" t="s">
        <v>30</v>
      </c>
      <c r="AR1775" s="23" t="s">
        <v>4688</v>
      </c>
      <c r="AS1775" s="25">
        <v>35407</v>
      </c>
      <c r="AT1775" t="s">
        <v>26</v>
      </c>
      <c r="AU1775" t="s">
        <v>24555</v>
      </c>
    </row>
    <row r="1776" spans="1:47" ht="26.25" x14ac:dyDescent="0.4">
      <c r="A1776" s="23" t="s">
        <v>4689</v>
      </c>
      <c r="B1776" t="s">
        <v>26</v>
      </c>
      <c r="C1776" s="23" t="s">
        <v>73</v>
      </c>
      <c r="D1776" s="23" t="s">
        <v>22179</v>
      </c>
      <c r="E1776" s="23" t="s">
        <v>74</v>
      </c>
      <c r="F1776" s="25" t="s">
        <v>4690</v>
      </c>
      <c r="G1776" s="25" t="s">
        <v>4691</v>
      </c>
      <c r="H1776" t="s">
        <v>26</v>
      </c>
      <c r="I1776" s="24">
        <v>35431</v>
      </c>
      <c r="J1776" s="25" t="s">
        <v>77</v>
      </c>
      <c r="K1776" t="s">
        <v>26</v>
      </c>
      <c r="L1776" s="25" t="s">
        <v>68</v>
      </c>
      <c r="M1776" s="24">
        <v>38108</v>
      </c>
      <c r="N1776" s="24">
        <v>42826</v>
      </c>
      <c r="O1776" t="s">
        <v>26</v>
      </c>
      <c r="P1776" s="24">
        <v>35431</v>
      </c>
      <c r="Q1776" s="25" t="s">
        <v>77</v>
      </c>
      <c r="R1776" t="s">
        <v>26</v>
      </c>
      <c r="S1776" t="s">
        <v>26</v>
      </c>
      <c r="T1776" t="s">
        <v>26</v>
      </c>
      <c r="U1776" t="s">
        <v>26</v>
      </c>
      <c r="V1776" s="25">
        <v>365</v>
      </c>
      <c r="W1776" s="24">
        <v>35431</v>
      </c>
      <c r="X1776" s="25" t="s">
        <v>77</v>
      </c>
      <c r="Y1776" t="s">
        <v>26</v>
      </c>
      <c r="Z1776" s="24">
        <v>35431</v>
      </c>
      <c r="AA1776" s="25" t="s">
        <v>77</v>
      </c>
      <c r="AB1776" t="s">
        <v>26</v>
      </c>
      <c r="AC1776" s="24">
        <v>35431</v>
      </c>
      <c r="AD1776" s="25" t="s">
        <v>77</v>
      </c>
      <c r="AE1776" t="s">
        <v>26</v>
      </c>
      <c r="AF1776" t="s">
        <v>26</v>
      </c>
      <c r="AG1776" t="s">
        <v>26</v>
      </c>
      <c r="AH1776" t="s">
        <v>26</v>
      </c>
      <c r="AI1776" t="s">
        <v>26</v>
      </c>
      <c r="AJ1776" t="s">
        <v>26</v>
      </c>
      <c r="AK1776" t="s">
        <v>26</v>
      </c>
      <c r="AL1776" t="s">
        <v>26</v>
      </c>
      <c r="AM1776" t="s">
        <v>26</v>
      </c>
      <c r="AN1776" t="s">
        <v>26</v>
      </c>
      <c r="AO1776" s="25" t="s">
        <v>68</v>
      </c>
      <c r="AP1776" s="23" t="s">
        <v>69</v>
      </c>
      <c r="AQ1776" s="23" t="s">
        <v>30</v>
      </c>
      <c r="AR1776" s="23" t="s">
        <v>1160</v>
      </c>
      <c r="AS1776" s="25">
        <v>48386</v>
      </c>
      <c r="AT1776" t="s">
        <v>26</v>
      </c>
      <c r="AU1776" t="s">
        <v>24556</v>
      </c>
    </row>
    <row r="1777" spans="1:47" ht="26.25" x14ac:dyDescent="0.4">
      <c r="A1777" s="23" t="s">
        <v>4692</v>
      </c>
      <c r="B1777" t="s">
        <v>26</v>
      </c>
      <c r="C1777" s="23" t="s">
        <v>4693</v>
      </c>
      <c r="D1777" s="23" t="s">
        <v>23941</v>
      </c>
      <c r="E1777" s="23" t="s">
        <v>120</v>
      </c>
      <c r="F1777" s="25" t="s">
        <v>4694</v>
      </c>
      <c r="G1777" t="s">
        <v>26</v>
      </c>
      <c r="H1777" t="s">
        <v>26</v>
      </c>
      <c r="I1777" s="24">
        <v>40664</v>
      </c>
      <c r="J1777" s="25" t="s">
        <v>77</v>
      </c>
      <c r="K1777" t="s">
        <v>26</v>
      </c>
      <c r="L1777" s="25" t="s">
        <v>68</v>
      </c>
      <c r="M1777" s="24">
        <v>40664</v>
      </c>
      <c r="N1777" s="25" t="s">
        <v>77</v>
      </c>
      <c r="O1777" t="s">
        <v>26</v>
      </c>
      <c r="P1777" s="24">
        <v>40664</v>
      </c>
      <c r="Q1777" s="25" t="s">
        <v>77</v>
      </c>
      <c r="R1777" t="s">
        <v>26</v>
      </c>
      <c r="S1777" t="s">
        <v>26</v>
      </c>
      <c r="T1777" t="s">
        <v>26</v>
      </c>
      <c r="U1777" t="s">
        <v>26</v>
      </c>
      <c r="V1777" t="s">
        <v>26</v>
      </c>
      <c r="W1777" s="24">
        <v>40664</v>
      </c>
      <c r="X1777" s="25" t="s">
        <v>77</v>
      </c>
      <c r="Y1777" t="s">
        <v>26</v>
      </c>
      <c r="Z1777" s="24">
        <v>40664</v>
      </c>
      <c r="AA1777" s="25" t="s">
        <v>77</v>
      </c>
      <c r="AB1777" t="s">
        <v>26</v>
      </c>
      <c r="AC1777" s="24">
        <v>40664</v>
      </c>
      <c r="AD1777" s="25" t="s">
        <v>77</v>
      </c>
      <c r="AE1777" t="s">
        <v>26</v>
      </c>
      <c r="AF1777" t="s">
        <v>26</v>
      </c>
      <c r="AG1777" t="s">
        <v>26</v>
      </c>
      <c r="AH1777" t="s">
        <v>26</v>
      </c>
      <c r="AI1777" t="s">
        <v>26</v>
      </c>
      <c r="AJ1777" t="s">
        <v>26</v>
      </c>
      <c r="AK1777" t="s">
        <v>26</v>
      </c>
      <c r="AL1777" t="s">
        <v>26</v>
      </c>
      <c r="AM1777" t="s">
        <v>26</v>
      </c>
      <c r="AN1777" t="s">
        <v>26</v>
      </c>
      <c r="AO1777" s="25" t="s">
        <v>68</v>
      </c>
      <c r="AP1777" s="23" t="s">
        <v>69</v>
      </c>
      <c r="AQ1777" s="23" t="s">
        <v>30</v>
      </c>
      <c r="AR1777" s="23" t="s">
        <v>46</v>
      </c>
      <c r="AS1777" s="25">
        <v>736344</v>
      </c>
      <c r="AT1777" t="s">
        <v>26</v>
      </c>
      <c r="AU1777" t="s">
        <v>24557</v>
      </c>
    </row>
    <row r="1778" spans="1:47" ht="26.25" x14ac:dyDescent="0.4">
      <c r="A1778" s="23" t="s">
        <v>4695</v>
      </c>
      <c r="B1778" t="s">
        <v>26</v>
      </c>
      <c r="C1778" s="23" t="s">
        <v>167</v>
      </c>
      <c r="D1778" s="23" t="s">
        <v>24558</v>
      </c>
      <c r="E1778" s="23" t="s">
        <v>60</v>
      </c>
      <c r="F1778" s="25" t="s">
        <v>4696</v>
      </c>
      <c r="G1778" s="25" t="s">
        <v>4697</v>
      </c>
      <c r="H1778" t="s">
        <v>26</v>
      </c>
      <c r="I1778" s="24">
        <v>42522</v>
      </c>
      <c r="J1778" s="25" t="s">
        <v>77</v>
      </c>
      <c r="K1778" t="s">
        <v>26</v>
      </c>
      <c r="L1778" s="25" t="s">
        <v>68</v>
      </c>
      <c r="M1778" s="24">
        <v>42522</v>
      </c>
      <c r="N1778" s="25" t="s">
        <v>77</v>
      </c>
      <c r="O1778" t="s">
        <v>26</v>
      </c>
      <c r="P1778" s="24">
        <v>42522</v>
      </c>
      <c r="Q1778" s="25" t="s">
        <v>77</v>
      </c>
      <c r="R1778" t="s">
        <v>26</v>
      </c>
      <c r="S1778" t="s">
        <v>26</v>
      </c>
      <c r="T1778" t="s">
        <v>26</v>
      </c>
      <c r="U1778" t="s">
        <v>26</v>
      </c>
      <c r="V1778" s="25">
        <v>365</v>
      </c>
      <c r="W1778" s="24">
        <v>42522</v>
      </c>
      <c r="X1778" s="25" t="s">
        <v>77</v>
      </c>
      <c r="Y1778" t="s">
        <v>26</v>
      </c>
      <c r="Z1778" s="24">
        <v>42522</v>
      </c>
      <c r="AA1778" s="25" t="s">
        <v>77</v>
      </c>
      <c r="AB1778" t="s">
        <v>26</v>
      </c>
      <c r="AC1778" s="24">
        <v>42522</v>
      </c>
      <c r="AD1778" s="25" t="s">
        <v>77</v>
      </c>
      <c r="AE1778" t="s">
        <v>26</v>
      </c>
      <c r="AF1778" t="s">
        <v>26</v>
      </c>
      <c r="AG1778" t="s">
        <v>26</v>
      </c>
      <c r="AH1778" t="s">
        <v>26</v>
      </c>
      <c r="AI1778" t="s">
        <v>26</v>
      </c>
      <c r="AJ1778" t="s">
        <v>26</v>
      </c>
      <c r="AK1778" t="s">
        <v>26</v>
      </c>
      <c r="AL1778" t="s">
        <v>26</v>
      </c>
      <c r="AM1778" t="s">
        <v>26</v>
      </c>
      <c r="AN1778" t="s">
        <v>26</v>
      </c>
      <c r="AO1778" s="25" t="s">
        <v>68</v>
      </c>
      <c r="AP1778" s="23" t="s">
        <v>69</v>
      </c>
      <c r="AQ1778" s="23" t="s">
        <v>30</v>
      </c>
      <c r="AR1778" s="23" t="s">
        <v>123</v>
      </c>
      <c r="AS1778" s="25">
        <v>2046273</v>
      </c>
      <c r="AT1778" t="s">
        <v>26</v>
      </c>
      <c r="AU1778" t="s">
        <v>24559</v>
      </c>
    </row>
    <row r="1779" spans="1:47" ht="26.25" x14ac:dyDescent="0.4">
      <c r="A1779" s="23" t="s">
        <v>4698</v>
      </c>
      <c r="B1779" t="s">
        <v>26</v>
      </c>
      <c r="C1779" s="23" t="s">
        <v>981</v>
      </c>
      <c r="D1779" s="23" t="s">
        <v>24560</v>
      </c>
      <c r="E1779" s="23" t="s">
        <v>42</v>
      </c>
      <c r="F1779" s="25" t="s">
        <v>4699</v>
      </c>
      <c r="G1779" s="25" t="s">
        <v>4700</v>
      </c>
      <c r="H1779" t="s">
        <v>26</v>
      </c>
      <c r="I1779" s="24">
        <v>34335</v>
      </c>
      <c r="J1779" s="24">
        <v>40179</v>
      </c>
      <c r="K1779" t="s">
        <v>26</v>
      </c>
      <c r="L1779" s="25" t="s">
        <v>68</v>
      </c>
      <c r="M1779" s="24">
        <v>34335</v>
      </c>
      <c r="N1779" s="24">
        <v>40179</v>
      </c>
      <c r="O1779" t="s">
        <v>26</v>
      </c>
      <c r="P1779" s="24">
        <v>34943</v>
      </c>
      <c r="Q1779" s="24">
        <v>40179</v>
      </c>
      <c r="R1779" t="s">
        <v>26</v>
      </c>
      <c r="S1779" t="s">
        <v>26</v>
      </c>
      <c r="T1779" t="s">
        <v>26</v>
      </c>
      <c r="U1779" t="s">
        <v>26</v>
      </c>
      <c r="V1779" t="s">
        <v>26</v>
      </c>
      <c r="W1779" s="24">
        <v>32509</v>
      </c>
      <c r="X1779" s="25" t="s">
        <v>77</v>
      </c>
      <c r="Y1779" t="s">
        <v>26</v>
      </c>
      <c r="Z1779" s="24">
        <v>32509</v>
      </c>
      <c r="AA1779" s="25" t="s">
        <v>77</v>
      </c>
      <c r="AB1779" t="s">
        <v>26</v>
      </c>
      <c r="AC1779" s="24">
        <v>32509</v>
      </c>
      <c r="AD1779" s="25" t="s">
        <v>77</v>
      </c>
      <c r="AE1779" t="s">
        <v>26</v>
      </c>
      <c r="AF1779" t="s">
        <v>26</v>
      </c>
      <c r="AG1779" t="s">
        <v>26</v>
      </c>
      <c r="AH1779" t="s">
        <v>26</v>
      </c>
      <c r="AI1779" t="s">
        <v>26</v>
      </c>
      <c r="AJ1779" t="s">
        <v>26</v>
      </c>
      <c r="AK1779" t="s">
        <v>26</v>
      </c>
      <c r="AL1779" t="s">
        <v>26</v>
      </c>
      <c r="AM1779" t="s">
        <v>26</v>
      </c>
      <c r="AN1779" t="s">
        <v>26</v>
      </c>
      <c r="AO1779" s="25" t="s">
        <v>68</v>
      </c>
      <c r="AP1779" s="23" t="s">
        <v>69</v>
      </c>
      <c r="AQ1779" s="23" t="s">
        <v>30</v>
      </c>
      <c r="AR1779" s="23" t="s">
        <v>46</v>
      </c>
      <c r="AS1779" s="25">
        <v>36278</v>
      </c>
      <c r="AT1779" t="s">
        <v>26</v>
      </c>
      <c r="AU1779" t="s">
        <v>24561</v>
      </c>
    </row>
    <row r="1780" spans="1:47" ht="26.25" x14ac:dyDescent="0.4">
      <c r="A1780" s="23" t="s">
        <v>4701</v>
      </c>
      <c r="B1780" t="s">
        <v>26</v>
      </c>
      <c r="C1780" s="23" t="s">
        <v>4702</v>
      </c>
      <c r="D1780" s="23" t="s">
        <v>24562</v>
      </c>
      <c r="E1780" s="23" t="s">
        <v>42</v>
      </c>
      <c r="F1780" s="25" t="s">
        <v>4703</v>
      </c>
      <c r="G1780" t="s">
        <v>26</v>
      </c>
      <c r="H1780" t="s">
        <v>26</v>
      </c>
      <c r="I1780" s="24">
        <v>39052</v>
      </c>
      <c r="J1780" s="25" t="s">
        <v>77</v>
      </c>
      <c r="K1780" t="s">
        <v>26</v>
      </c>
      <c r="L1780" s="25" t="s">
        <v>68</v>
      </c>
      <c r="M1780" s="24">
        <v>39052</v>
      </c>
      <c r="N1780" s="25" t="s">
        <v>77</v>
      </c>
      <c r="O1780" t="s">
        <v>26</v>
      </c>
      <c r="P1780" s="24">
        <v>39052</v>
      </c>
      <c r="Q1780" s="25" t="s">
        <v>77</v>
      </c>
      <c r="R1780" t="s">
        <v>26</v>
      </c>
      <c r="S1780" t="s">
        <v>26</v>
      </c>
      <c r="T1780" t="s">
        <v>26</v>
      </c>
      <c r="U1780" t="s">
        <v>26</v>
      </c>
      <c r="V1780" t="s">
        <v>26</v>
      </c>
      <c r="W1780" s="24">
        <v>39052</v>
      </c>
      <c r="X1780" s="25" t="s">
        <v>77</v>
      </c>
      <c r="Y1780" t="s">
        <v>26</v>
      </c>
      <c r="Z1780" s="24">
        <v>39052</v>
      </c>
      <c r="AA1780" s="25" t="s">
        <v>77</v>
      </c>
      <c r="AB1780" t="s">
        <v>26</v>
      </c>
      <c r="AC1780" s="24">
        <v>42826</v>
      </c>
      <c r="AD1780" s="25" t="s">
        <v>77</v>
      </c>
      <c r="AE1780" t="s">
        <v>26</v>
      </c>
      <c r="AF1780" t="s">
        <v>26</v>
      </c>
      <c r="AG1780" t="s">
        <v>26</v>
      </c>
      <c r="AH1780" t="s">
        <v>26</v>
      </c>
      <c r="AI1780" t="s">
        <v>26</v>
      </c>
      <c r="AJ1780" t="s">
        <v>26</v>
      </c>
      <c r="AK1780" t="s">
        <v>26</v>
      </c>
      <c r="AL1780" t="s">
        <v>26</v>
      </c>
      <c r="AM1780" t="s">
        <v>26</v>
      </c>
      <c r="AN1780" t="s">
        <v>26</v>
      </c>
      <c r="AO1780" s="25" t="s">
        <v>68</v>
      </c>
      <c r="AP1780" s="23" t="s">
        <v>69</v>
      </c>
      <c r="AQ1780" s="23" t="s">
        <v>30</v>
      </c>
      <c r="AR1780" s="23" t="s">
        <v>3141</v>
      </c>
      <c r="AS1780" s="25">
        <v>38088</v>
      </c>
      <c r="AT1780" t="s">
        <v>26</v>
      </c>
      <c r="AU1780" t="s">
        <v>24563</v>
      </c>
    </row>
    <row r="1781" spans="1:47" ht="26.25" x14ac:dyDescent="0.4">
      <c r="A1781" s="23" t="s">
        <v>4704</v>
      </c>
      <c r="B1781" t="s">
        <v>26</v>
      </c>
      <c r="C1781" s="23" t="s">
        <v>181</v>
      </c>
      <c r="D1781" s="23" t="s">
        <v>24564</v>
      </c>
      <c r="E1781" s="23" t="s">
        <v>60</v>
      </c>
      <c r="F1781" s="25" t="s">
        <v>4705</v>
      </c>
      <c r="G1781" s="25" t="s">
        <v>4706</v>
      </c>
      <c r="H1781" t="s">
        <v>26</v>
      </c>
      <c r="I1781" s="24">
        <v>36251</v>
      </c>
      <c r="J1781" s="24">
        <v>43800</v>
      </c>
      <c r="K1781" t="s">
        <v>26</v>
      </c>
      <c r="L1781" s="25" t="s">
        <v>68</v>
      </c>
      <c r="M1781" s="24">
        <v>36251</v>
      </c>
      <c r="N1781" s="24">
        <v>43800</v>
      </c>
      <c r="O1781" t="s">
        <v>26</v>
      </c>
      <c r="P1781" s="24">
        <v>36251</v>
      </c>
      <c r="Q1781" s="24">
        <v>43800</v>
      </c>
      <c r="R1781" t="s">
        <v>26</v>
      </c>
      <c r="S1781" t="s">
        <v>26</v>
      </c>
      <c r="T1781" t="s">
        <v>26</v>
      </c>
      <c r="U1781" t="s">
        <v>26</v>
      </c>
      <c r="V1781" t="s">
        <v>26</v>
      </c>
      <c r="W1781" s="24">
        <v>36251</v>
      </c>
      <c r="X1781" s="25" t="s">
        <v>77</v>
      </c>
      <c r="Y1781" t="s">
        <v>26</v>
      </c>
      <c r="Z1781" s="24">
        <v>36251</v>
      </c>
      <c r="AA1781" s="25" t="s">
        <v>77</v>
      </c>
      <c r="AB1781" t="s">
        <v>26</v>
      </c>
      <c r="AC1781" s="24">
        <v>42705</v>
      </c>
      <c r="AD1781" s="25" t="s">
        <v>77</v>
      </c>
      <c r="AE1781" t="s">
        <v>26</v>
      </c>
      <c r="AF1781" t="s">
        <v>26</v>
      </c>
      <c r="AG1781" t="s">
        <v>26</v>
      </c>
      <c r="AH1781" t="s">
        <v>26</v>
      </c>
      <c r="AI1781" t="s">
        <v>26</v>
      </c>
      <c r="AJ1781" t="s">
        <v>26</v>
      </c>
      <c r="AK1781" t="s">
        <v>26</v>
      </c>
      <c r="AL1781" t="s">
        <v>26</v>
      </c>
      <c r="AM1781" t="s">
        <v>26</v>
      </c>
      <c r="AN1781" t="s">
        <v>26</v>
      </c>
      <c r="AO1781" s="25" t="s">
        <v>68</v>
      </c>
      <c r="AP1781" s="23" t="s">
        <v>69</v>
      </c>
      <c r="AQ1781" s="23" t="s">
        <v>30</v>
      </c>
      <c r="AR1781" s="23" t="s">
        <v>3141</v>
      </c>
      <c r="AS1781" s="25">
        <v>47846</v>
      </c>
      <c r="AT1781" t="s">
        <v>26</v>
      </c>
      <c r="AU1781" t="s">
        <v>24565</v>
      </c>
    </row>
    <row r="1782" spans="1:47" ht="39.4" x14ac:dyDescent="0.4">
      <c r="A1782" s="23" t="s">
        <v>4707</v>
      </c>
      <c r="B1782" t="s">
        <v>26</v>
      </c>
      <c r="C1782" s="23" t="s">
        <v>80</v>
      </c>
      <c r="D1782" s="23" t="s">
        <v>22190</v>
      </c>
      <c r="E1782" s="23" t="s">
        <v>60</v>
      </c>
      <c r="F1782" s="25" t="s">
        <v>4708</v>
      </c>
      <c r="G1782" s="25" t="s">
        <v>4709</v>
      </c>
      <c r="H1782" t="s">
        <v>26</v>
      </c>
      <c r="I1782" t="s">
        <v>26</v>
      </c>
      <c r="J1782" t="s">
        <v>26</v>
      </c>
      <c r="K1782" t="s">
        <v>26</v>
      </c>
      <c r="L1782" s="25" t="s">
        <v>68</v>
      </c>
      <c r="M1782" t="s">
        <v>26</v>
      </c>
      <c r="N1782" t="s">
        <v>26</v>
      </c>
      <c r="O1782" t="s">
        <v>26</v>
      </c>
      <c r="P1782" t="s">
        <v>26</v>
      </c>
      <c r="Q1782" t="s">
        <v>26</v>
      </c>
      <c r="R1782" t="s">
        <v>26</v>
      </c>
      <c r="S1782" t="s">
        <v>26</v>
      </c>
      <c r="T1782" t="s">
        <v>26</v>
      </c>
      <c r="U1782" t="s">
        <v>26</v>
      </c>
      <c r="V1782" t="s">
        <v>26</v>
      </c>
      <c r="W1782" s="24">
        <v>40544</v>
      </c>
      <c r="X1782" s="25" t="s">
        <v>77</v>
      </c>
      <c r="Y1782" t="s">
        <v>26</v>
      </c>
      <c r="Z1782" s="24">
        <v>40544</v>
      </c>
      <c r="AA1782" s="25" t="s">
        <v>77</v>
      </c>
      <c r="AB1782" t="s">
        <v>26</v>
      </c>
      <c r="AC1782" s="24">
        <v>40544</v>
      </c>
      <c r="AD1782" s="25" t="s">
        <v>77</v>
      </c>
      <c r="AE1782" t="s">
        <v>26</v>
      </c>
      <c r="AF1782" t="s">
        <v>26</v>
      </c>
      <c r="AG1782" t="s">
        <v>26</v>
      </c>
      <c r="AH1782" t="s">
        <v>26</v>
      </c>
      <c r="AI1782" t="s">
        <v>26</v>
      </c>
      <c r="AJ1782" t="s">
        <v>26</v>
      </c>
      <c r="AK1782" t="s">
        <v>26</v>
      </c>
      <c r="AL1782" t="s">
        <v>26</v>
      </c>
      <c r="AM1782" t="s">
        <v>26</v>
      </c>
      <c r="AN1782" t="s">
        <v>26</v>
      </c>
      <c r="AO1782" s="25" t="s">
        <v>28</v>
      </c>
      <c r="AP1782" s="23" t="s">
        <v>69</v>
      </c>
      <c r="AQ1782" s="23" t="s">
        <v>4710</v>
      </c>
      <c r="AR1782" s="23" t="s">
        <v>46</v>
      </c>
      <c r="AS1782" s="25">
        <v>2042535</v>
      </c>
      <c r="AT1782" t="s">
        <v>26</v>
      </c>
      <c r="AU1782" t="s">
        <v>24566</v>
      </c>
    </row>
    <row r="1783" spans="1:47" ht="26.25" x14ac:dyDescent="0.4">
      <c r="A1783" s="23" t="s">
        <v>4711</v>
      </c>
      <c r="B1783" t="s">
        <v>26</v>
      </c>
      <c r="C1783" s="23" t="s">
        <v>4712</v>
      </c>
      <c r="D1783" s="23" t="s">
        <v>24567</v>
      </c>
      <c r="E1783" s="23" t="s">
        <v>2151</v>
      </c>
      <c r="F1783" s="25" t="s">
        <v>4713</v>
      </c>
      <c r="G1783" s="25" t="s">
        <v>4714</v>
      </c>
      <c r="H1783" t="s">
        <v>26</v>
      </c>
      <c r="I1783" s="24">
        <v>39630</v>
      </c>
      <c r="J1783" s="24">
        <v>40360</v>
      </c>
      <c r="K1783" t="s">
        <v>26</v>
      </c>
      <c r="L1783" s="25" t="s">
        <v>68</v>
      </c>
      <c r="M1783" s="24">
        <v>39630</v>
      </c>
      <c r="N1783" s="24">
        <v>40360</v>
      </c>
      <c r="O1783" t="s">
        <v>26</v>
      </c>
      <c r="P1783" s="24">
        <v>39630</v>
      </c>
      <c r="Q1783" s="24">
        <v>40360</v>
      </c>
      <c r="R1783" t="s">
        <v>26</v>
      </c>
      <c r="S1783" t="s">
        <v>26</v>
      </c>
      <c r="T1783" t="s">
        <v>26</v>
      </c>
      <c r="U1783" t="s">
        <v>26</v>
      </c>
      <c r="V1783" t="s">
        <v>26</v>
      </c>
      <c r="W1783" s="24">
        <v>39630</v>
      </c>
      <c r="X1783" s="24">
        <v>40360</v>
      </c>
      <c r="Y1783" t="s">
        <v>26</v>
      </c>
      <c r="Z1783" s="24">
        <v>39630</v>
      </c>
      <c r="AA1783" s="24">
        <v>40360</v>
      </c>
      <c r="AB1783" t="s">
        <v>26</v>
      </c>
      <c r="AC1783" t="s">
        <v>26</v>
      </c>
      <c r="AD1783" t="s">
        <v>26</v>
      </c>
      <c r="AE1783" t="s">
        <v>26</v>
      </c>
      <c r="AF1783" t="s">
        <v>26</v>
      </c>
      <c r="AG1783" t="s">
        <v>26</v>
      </c>
      <c r="AH1783" t="s">
        <v>26</v>
      </c>
      <c r="AI1783" t="s">
        <v>26</v>
      </c>
      <c r="AJ1783" t="s">
        <v>26</v>
      </c>
      <c r="AK1783" t="s">
        <v>26</v>
      </c>
      <c r="AL1783" t="s">
        <v>26</v>
      </c>
      <c r="AM1783" t="s">
        <v>26</v>
      </c>
      <c r="AN1783" t="s">
        <v>26</v>
      </c>
      <c r="AO1783" s="25" t="s">
        <v>68</v>
      </c>
      <c r="AP1783" s="23" t="s">
        <v>69</v>
      </c>
      <c r="AQ1783" s="23" t="s">
        <v>4715</v>
      </c>
      <c r="AR1783" s="23" t="s">
        <v>46</v>
      </c>
      <c r="AS1783" s="25">
        <v>54620</v>
      </c>
      <c r="AT1783" t="s">
        <v>26</v>
      </c>
      <c r="AU1783" t="s">
        <v>24568</v>
      </c>
    </row>
    <row r="1784" spans="1:47" ht="26.25" x14ac:dyDescent="0.4">
      <c r="A1784" s="23" t="s">
        <v>4716</v>
      </c>
      <c r="B1784" t="s">
        <v>26</v>
      </c>
      <c r="C1784" s="23" t="s">
        <v>73</v>
      </c>
      <c r="D1784" s="23" t="s">
        <v>22179</v>
      </c>
      <c r="E1784" s="23" t="s">
        <v>74</v>
      </c>
      <c r="F1784" s="25" t="s">
        <v>4717</v>
      </c>
      <c r="G1784" s="25" t="s">
        <v>4718</v>
      </c>
      <c r="H1784" t="s">
        <v>26</v>
      </c>
      <c r="I1784" s="24">
        <v>35490</v>
      </c>
      <c r="J1784" s="25" t="s">
        <v>77</v>
      </c>
      <c r="K1784" t="s">
        <v>26</v>
      </c>
      <c r="L1784" s="25" t="s">
        <v>68</v>
      </c>
      <c r="M1784" s="24">
        <v>38047</v>
      </c>
      <c r="N1784" s="24">
        <v>42795</v>
      </c>
      <c r="O1784" t="s">
        <v>26</v>
      </c>
      <c r="P1784" s="24">
        <v>35490</v>
      </c>
      <c r="Q1784" s="25" t="s">
        <v>77</v>
      </c>
      <c r="R1784" t="s">
        <v>26</v>
      </c>
      <c r="S1784" t="s">
        <v>26</v>
      </c>
      <c r="T1784" t="s">
        <v>26</v>
      </c>
      <c r="U1784" t="s">
        <v>26</v>
      </c>
      <c r="V1784" s="25">
        <v>365</v>
      </c>
      <c r="W1784" s="24">
        <v>35490</v>
      </c>
      <c r="X1784" s="25" t="s">
        <v>77</v>
      </c>
      <c r="Y1784" t="s">
        <v>26</v>
      </c>
      <c r="Z1784" s="24">
        <v>35490</v>
      </c>
      <c r="AA1784" s="25" t="s">
        <v>77</v>
      </c>
      <c r="AB1784" t="s">
        <v>26</v>
      </c>
      <c r="AC1784" s="24">
        <v>35490</v>
      </c>
      <c r="AD1784" s="25" t="s">
        <v>77</v>
      </c>
      <c r="AE1784" t="s">
        <v>26</v>
      </c>
      <c r="AF1784" t="s">
        <v>26</v>
      </c>
      <c r="AG1784" t="s">
        <v>26</v>
      </c>
      <c r="AH1784" t="s">
        <v>26</v>
      </c>
      <c r="AI1784" t="s">
        <v>26</v>
      </c>
      <c r="AJ1784" t="s">
        <v>26</v>
      </c>
      <c r="AK1784" t="s">
        <v>26</v>
      </c>
      <c r="AL1784" t="s">
        <v>26</v>
      </c>
      <c r="AM1784" t="s">
        <v>26</v>
      </c>
      <c r="AN1784" t="s">
        <v>26</v>
      </c>
      <c r="AO1784" s="25" t="s">
        <v>68</v>
      </c>
      <c r="AP1784" s="23" t="s">
        <v>69</v>
      </c>
      <c r="AQ1784" s="23" t="s">
        <v>30</v>
      </c>
      <c r="AR1784" s="23" t="s">
        <v>46</v>
      </c>
      <c r="AS1784" s="25">
        <v>54079</v>
      </c>
      <c r="AT1784" t="s">
        <v>26</v>
      </c>
      <c r="AU1784" t="s">
        <v>24569</v>
      </c>
    </row>
    <row r="1785" spans="1:47" ht="26.25" x14ac:dyDescent="0.4">
      <c r="A1785" s="23" t="s">
        <v>4719</v>
      </c>
      <c r="B1785" t="s">
        <v>26</v>
      </c>
      <c r="C1785" s="23" t="s">
        <v>465</v>
      </c>
      <c r="D1785" s="23" t="s">
        <v>22254</v>
      </c>
      <c r="E1785" s="23" t="s">
        <v>42</v>
      </c>
      <c r="F1785" s="25" t="s">
        <v>4720</v>
      </c>
      <c r="G1785" s="25" t="s">
        <v>4721</v>
      </c>
      <c r="H1785" t="s">
        <v>26</v>
      </c>
      <c r="I1785" t="s">
        <v>26</v>
      </c>
      <c r="J1785" t="s">
        <v>26</v>
      </c>
      <c r="K1785" t="s">
        <v>26</v>
      </c>
      <c r="L1785" s="25" t="s">
        <v>68</v>
      </c>
      <c r="M1785" t="s">
        <v>26</v>
      </c>
      <c r="N1785" t="s">
        <v>26</v>
      </c>
      <c r="O1785" t="s">
        <v>26</v>
      </c>
      <c r="P1785" t="s">
        <v>26</v>
      </c>
      <c r="Q1785" t="s">
        <v>26</v>
      </c>
      <c r="R1785" t="s">
        <v>26</v>
      </c>
      <c r="S1785" t="s">
        <v>26</v>
      </c>
      <c r="T1785" t="s">
        <v>26</v>
      </c>
      <c r="U1785" t="s">
        <v>26</v>
      </c>
      <c r="V1785" t="s">
        <v>26</v>
      </c>
      <c r="W1785" s="24">
        <v>31444</v>
      </c>
      <c r="X1785" s="25" t="s">
        <v>77</v>
      </c>
      <c r="Y1785" t="s">
        <v>26</v>
      </c>
      <c r="Z1785" s="24">
        <v>31444</v>
      </c>
      <c r="AA1785" s="25" t="s">
        <v>77</v>
      </c>
      <c r="AB1785" t="s">
        <v>26</v>
      </c>
      <c r="AC1785" s="24">
        <v>31444</v>
      </c>
      <c r="AD1785" s="25" t="s">
        <v>77</v>
      </c>
      <c r="AE1785" t="s">
        <v>26</v>
      </c>
      <c r="AF1785" t="s">
        <v>26</v>
      </c>
      <c r="AG1785" t="s">
        <v>26</v>
      </c>
      <c r="AH1785" t="s">
        <v>26</v>
      </c>
      <c r="AI1785" t="s">
        <v>26</v>
      </c>
      <c r="AJ1785" t="s">
        <v>26</v>
      </c>
      <c r="AK1785" t="s">
        <v>26</v>
      </c>
      <c r="AL1785" t="s">
        <v>26</v>
      </c>
      <c r="AM1785" t="s">
        <v>26</v>
      </c>
      <c r="AN1785" t="s">
        <v>26</v>
      </c>
      <c r="AO1785" s="25" t="s">
        <v>68</v>
      </c>
      <c r="AP1785" s="23" t="s">
        <v>69</v>
      </c>
      <c r="AQ1785" s="23" t="s">
        <v>30</v>
      </c>
      <c r="AR1785" s="23" t="s">
        <v>46</v>
      </c>
      <c r="AS1785" s="25">
        <v>41287</v>
      </c>
      <c r="AT1785" t="s">
        <v>26</v>
      </c>
      <c r="AU1785" t="s">
        <v>24570</v>
      </c>
    </row>
    <row r="1786" spans="1:47" ht="26.25" x14ac:dyDescent="0.4">
      <c r="A1786" s="23" t="s">
        <v>4722</v>
      </c>
      <c r="B1786" t="s">
        <v>26</v>
      </c>
      <c r="C1786" s="23" t="s">
        <v>181</v>
      </c>
      <c r="D1786" s="23" t="s">
        <v>22174</v>
      </c>
      <c r="E1786" s="23" t="s">
        <v>60</v>
      </c>
      <c r="F1786" s="25" t="s">
        <v>4723</v>
      </c>
      <c r="G1786" s="25" t="s">
        <v>4724</v>
      </c>
      <c r="H1786" t="s">
        <v>26</v>
      </c>
      <c r="I1786" t="s">
        <v>26</v>
      </c>
      <c r="J1786" t="s">
        <v>26</v>
      </c>
      <c r="K1786" t="s">
        <v>26</v>
      </c>
      <c r="L1786" s="25" t="s">
        <v>68</v>
      </c>
      <c r="M1786" t="s">
        <v>26</v>
      </c>
      <c r="N1786" t="s">
        <v>26</v>
      </c>
      <c r="O1786" t="s">
        <v>26</v>
      </c>
      <c r="P1786" t="s">
        <v>26</v>
      </c>
      <c r="Q1786" t="s">
        <v>26</v>
      </c>
      <c r="R1786" t="s">
        <v>26</v>
      </c>
      <c r="S1786" t="s">
        <v>26</v>
      </c>
      <c r="T1786" t="s">
        <v>26</v>
      </c>
      <c r="U1786" t="s">
        <v>26</v>
      </c>
      <c r="V1786" t="s">
        <v>26</v>
      </c>
      <c r="W1786" s="24">
        <v>37226</v>
      </c>
      <c r="X1786" s="25" t="s">
        <v>77</v>
      </c>
      <c r="Y1786" t="s">
        <v>26</v>
      </c>
      <c r="Z1786" s="24">
        <v>37226</v>
      </c>
      <c r="AA1786" s="25" t="s">
        <v>77</v>
      </c>
      <c r="AB1786" t="s">
        <v>26</v>
      </c>
      <c r="AC1786" s="24">
        <v>37226</v>
      </c>
      <c r="AD1786" s="25" t="s">
        <v>77</v>
      </c>
      <c r="AE1786" t="s">
        <v>26</v>
      </c>
      <c r="AF1786" t="s">
        <v>26</v>
      </c>
      <c r="AG1786" t="s">
        <v>26</v>
      </c>
      <c r="AH1786" t="s">
        <v>26</v>
      </c>
      <c r="AI1786" t="s">
        <v>26</v>
      </c>
      <c r="AJ1786" t="s">
        <v>26</v>
      </c>
      <c r="AK1786" t="s">
        <v>26</v>
      </c>
      <c r="AL1786" t="s">
        <v>26</v>
      </c>
      <c r="AM1786" t="s">
        <v>26</v>
      </c>
      <c r="AN1786" t="s">
        <v>26</v>
      </c>
      <c r="AO1786" s="25" t="s">
        <v>68</v>
      </c>
      <c r="AP1786" s="23" t="s">
        <v>69</v>
      </c>
      <c r="AQ1786" s="23" t="s">
        <v>30</v>
      </c>
      <c r="AR1786" s="23" t="s">
        <v>44</v>
      </c>
      <c r="AS1786" s="25">
        <v>37179</v>
      </c>
      <c r="AT1786" t="s">
        <v>26</v>
      </c>
      <c r="AU1786" t="s">
        <v>24571</v>
      </c>
    </row>
    <row r="1787" spans="1:47" ht="26.25" x14ac:dyDescent="0.4">
      <c r="A1787" s="23" t="s">
        <v>4725</v>
      </c>
      <c r="B1787" t="s">
        <v>26</v>
      </c>
      <c r="C1787" s="23" t="s">
        <v>1891</v>
      </c>
      <c r="D1787" s="23" t="s">
        <v>23203</v>
      </c>
      <c r="E1787" s="23" t="s">
        <v>42</v>
      </c>
      <c r="F1787" s="25" t="s">
        <v>4726</v>
      </c>
      <c r="G1787" s="25" t="s">
        <v>4727</v>
      </c>
      <c r="H1787" t="s">
        <v>26</v>
      </c>
      <c r="I1787" s="24">
        <v>23012</v>
      </c>
      <c r="J1787" s="25" t="s">
        <v>77</v>
      </c>
      <c r="K1787" s="25" t="s">
        <v>4728</v>
      </c>
      <c r="L1787" s="25" t="s">
        <v>68</v>
      </c>
      <c r="M1787" s="24">
        <v>23012</v>
      </c>
      <c r="N1787" s="25" t="s">
        <v>77</v>
      </c>
      <c r="O1787" s="25" t="s">
        <v>4728</v>
      </c>
      <c r="P1787" s="24">
        <v>23012</v>
      </c>
      <c r="Q1787" s="25" t="s">
        <v>77</v>
      </c>
      <c r="R1787" s="25" t="s">
        <v>4728</v>
      </c>
      <c r="S1787" t="s">
        <v>26</v>
      </c>
      <c r="T1787" t="s">
        <v>26</v>
      </c>
      <c r="U1787" t="s">
        <v>26</v>
      </c>
      <c r="V1787" t="s">
        <v>26</v>
      </c>
      <c r="W1787" s="24">
        <v>23012</v>
      </c>
      <c r="X1787" s="25" t="s">
        <v>77</v>
      </c>
      <c r="Y1787" s="25" t="s">
        <v>4728</v>
      </c>
      <c r="Z1787" s="24">
        <v>23012</v>
      </c>
      <c r="AA1787" s="25" t="s">
        <v>77</v>
      </c>
      <c r="AB1787" s="25" t="s">
        <v>4728</v>
      </c>
      <c r="AC1787" s="24">
        <v>34731</v>
      </c>
      <c r="AD1787" s="25" t="s">
        <v>77</v>
      </c>
      <c r="AE1787" t="s">
        <v>26</v>
      </c>
      <c r="AF1787" t="s">
        <v>26</v>
      </c>
      <c r="AG1787" t="s">
        <v>26</v>
      </c>
      <c r="AH1787" t="s">
        <v>26</v>
      </c>
      <c r="AI1787" t="s">
        <v>26</v>
      </c>
      <c r="AJ1787" t="s">
        <v>26</v>
      </c>
      <c r="AK1787" t="s">
        <v>26</v>
      </c>
      <c r="AL1787" t="s">
        <v>26</v>
      </c>
      <c r="AM1787" t="s">
        <v>26</v>
      </c>
      <c r="AN1787" t="s">
        <v>26</v>
      </c>
      <c r="AO1787" s="25" t="s">
        <v>68</v>
      </c>
      <c r="AP1787" s="23" t="s">
        <v>69</v>
      </c>
      <c r="AQ1787" s="23" t="s">
        <v>30</v>
      </c>
      <c r="AR1787" s="23" t="s">
        <v>4729</v>
      </c>
      <c r="AS1787" s="25">
        <v>35532</v>
      </c>
      <c r="AT1787" t="s">
        <v>26</v>
      </c>
      <c r="AU1787" t="s">
        <v>24572</v>
      </c>
    </row>
    <row r="1788" spans="1:47" ht="26.25" x14ac:dyDescent="0.4">
      <c r="A1788" s="23" t="s">
        <v>4730</v>
      </c>
      <c r="B1788" t="s">
        <v>26</v>
      </c>
      <c r="C1788" s="23" t="s">
        <v>1958</v>
      </c>
      <c r="D1788" s="23" t="s">
        <v>22174</v>
      </c>
      <c r="E1788" s="23" t="s">
        <v>60</v>
      </c>
      <c r="F1788" s="25" t="s">
        <v>4731</v>
      </c>
      <c r="G1788" s="25" t="s">
        <v>4732</v>
      </c>
      <c r="H1788" t="s">
        <v>26</v>
      </c>
      <c r="I1788" t="s">
        <v>26</v>
      </c>
      <c r="J1788" t="s">
        <v>26</v>
      </c>
      <c r="K1788" t="s">
        <v>26</v>
      </c>
      <c r="L1788" s="25" t="s">
        <v>68</v>
      </c>
      <c r="M1788" t="s">
        <v>26</v>
      </c>
      <c r="N1788" t="s">
        <v>26</v>
      </c>
      <c r="O1788" t="s">
        <v>26</v>
      </c>
      <c r="P1788" t="s">
        <v>26</v>
      </c>
      <c r="Q1788" t="s">
        <v>26</v>
      </c>
      <c r="R1788" t="s">
        <v>26</v>
      </c>
      <c r="S1788" t="s">
        <v>26</v>
      </c>
      <c r="T1788" t="s">
        <v>26</v>
      </c>
      <c r="U1788" t="s">
        <v>26</v>
      </c>
      <c r="V1788" t="s">
        <v>26</v>
      </c>
      <c r="W1788" s="24">
        <v>37803</v>
      </c>
      <c r="X1788" s="25" t="s">
        <v>77</v>
      </c>
      <c r="Y1788" t="s">
        <v>26</v>
      </c>
      <c r="Z1788" s="24">
        <v>37803</v>
      </c>
      <c r="AA1788" s="25" t="s">
        <v>77</v>
      </c>
      <c r="AB1788" t="s">
        <v>26</v>
      </c>
      <c r="AC1788" s="24">
        <v>37803</v>
      </c>
      <c r="AD1788" s="25" t="s">
        <v>77</v>
      </c>
      <c r="AE1788" t="s">
        <v>26</v>
      </c>
      <c r="AF1788" t="s">
        <v>26</v>
      </c>
      <c r="AG1788" t="s">
        <v>26</v>
      </c>
      <c r="AH1788" t="s">
        <v>26</v>
      </c>
      <c r="AI1788" t="s">
        <v>26</v>
      </c>
      <c r="AJ1788" t="s">
        <v>26</v>
      </c>
      <c r="AK1788" t="s">
        <v>26</v>
      </c>
      <c r="AL1788" t="s">
        <v>26</v>
      </c>
      <c r="AM1788" t="s">
        <v>26</v>
      </c>
      <c r="AN1788" t="s">
        <v>26</v>
      </c>
      <c r="AO1788" s="25" t="s">
        <v>68</v>
      </c>
      <c r="AP1788" s="23" t="s">
        <v>69</v>
      </c>
      <c r="AQ1788" s="23" t="s">
        <v>30</v>
      </c>
      <c r="AR1788" s="23" t="s">
        <v>1350</v>
      </c>
      <c r="AS1788" s="25">
        <v>47164</v>
      </c>
      <c r="AT1788" t="s">
        <v>26</v>
      </c>
      <c r="AU1788" t="s">
        <v>24573</v>
      </c>
    </row>
    <row r="1789" spans="1:47" ht="26.25" x14ac:dyDescent="0.4">
      <c r="A1789" s="23" t="s">
        <v>4733</v>
      </c>
      <c r="B1789" t="s">
        <v>26</v>
      </c>
      <c r="C1789" s="23" t="s">
        <v>4734</v>
      </c>
      <c r="D1789" s="23" t="s">
        <v>24490</v>
      </c>
      <c r="E1789" s="23" t="s">
        <v>574</v>
      </c>
      <c r="F1789" s="25" t="s">
        <v>4735</v>
      </c>
      <c r="G1789" s="25" t="s">
        <v>4736</v>
      </c>
      <c r="H1789" t="s">
        <v>26</v>
      </c>
      <c r="I1789" s="24">
        <v>40360</v>
      </c>
      <c r="J1789" s="25" t="s">
        <v>77</v>
      </c>
      <c r="K1789" t="s">
        <v>26</v>
      </c>
      <c r="L1789" s="25" t="s">
        <v>68</v>
      </c>
      <c r="M1789" s="24">
        <v>40360</v>
      </c>
      <c r="N1789" s="25" t="s">
        <v>77</v>
      </c>
      <c r="O1789" t="s">
        <v>26</v>
      </c>
      <c r="P1789" s="24">
        <v>40360</v>
      </c>
      <c r="Q1789" s="25" t="s">
        <v>77</v>
      </c>
      <c r="R1789" t="s">
        <v>26</v>
      </c>
      <c r="S1789" t="s">
        <v>26</v>
      </c>
      <c r="T1789" t="s">
        <v>26</v>
      </c>
      <c r="U1789" t="s">
        <v>26</v>
      </c>
      <c r="V1789" t="s">
        <v>26</v>
      </c>
      <c r="W1789" s="24">
        <v>40360</v>
      </c>
      <c r="X1789" s="25" t="s">
        <v>77</v>
      </c>
      <c r="Y1789" t="s">
        <v>26</v>
      </c>
      <c r="Z1789" s="24">
        <v>40360</v>
      </c>
      <c r="AA1789" s="25" t="s">
        <v>77</v>
      </c>
      <c r="AB1789" t="s">
        <v>26</v>
      </c>
      <c r="AC1789" s="24">
        <v>40360</v>
      </c>
      <c r="AD1789" s="25" t="s">
        <v>77</v>
      </c>
      <c r="AE1789" t="s">
        <v>26</v>
      </c>
      <c r="AF1789" t="s">
        <v>26</v>
      </c>
      <c r="AG1789" t="s">
        <v>26</v>
      </c>
      <c r="AH1789" t="s">
        <v>26</v>
      </c>
      <c r="AI1789" t="s">
        <v>26</v>
      </c>
      <c r="AJ1789" t="s">
        <v>26</v>
      </c>
      <c r="AK1789" t="s">
        <v>26</v>
      </c>
      <c r="AL1789" t="s">
        <v>26</v>
      </c>
      <c r="AM1789" t="s">
        <v>26</v>
      </c>
      <c r="AN1789" t="s">
        <v>26</v>
      </c>
      <c r="AO1789" s="25" t="s">
        <v>68</v>
      </c>
      <c r="AP1789" s="23" t="s">
        <v>69</v>
      </c>
      <c r="AQ1789" s="23" t="s">
        <v>30</v>
      </c>
      <c r="AR1789" s="23" t="s">
        <v>257</v>
      </c>
      <c r="AS1789" s="25">
        <v>506336</v>
      </c>
      <c r="AT1789" t="s">
        <v>26</v>
      </c>
      <c r="AU1789" t="s">
        <v>24574</v>
      </c>
    </row>
    <row r="1790" spans="1:47" ht="26.25" x14ac:dyDescent="0.4">
      <c r="A1790" s="23" t="s">
        <v>4737</v>
      </c>
      <c r="B1790" t="s">
        <v>26</v>
      </c>
      <c r="C1790" s="23" t="s">
        <v>80</v>
      </c>
      <c r="D1790" s="23" t="s">
        <v>24575</v>
      </c>
      <c r="E1790" s="23" t="s">
        <v>60</v>
      </c>
      <c r="F1790" s="25" t="s">
        <v>4738</v>
      </c>
      <c r="G1790" s="25" t="s">
        <v>4739</v>
      </c>
      <c r="H1790" t="s">
        <v>26</v>
      </c>
      <c r="I1790" s="24">
        <v>37681</v>
      </c>
      <c r="J1790" s="24">
        <v>39417</v>
      </c>
      <c r="K1790" t="s">
        <v>26</v>
      </c>
      <c r="L1790" s="25" t="s">
        <v>68</v>
      </c>
      <c r="M1790" s="24">
        <v>37681</v>
      </c>
      <c r="N1790" s="24">
        <v>39417</v>
      </c>
      <c r="O1790" t="s">
        <v>26</v>
      </c>
      <c r="P1790" s="24">
        <v>37681</v>
      </c>
      <c r="Q1790" s="24">
        <v>39417</v>
      </c>
      <c r="R1790" t="s">
        <v>26</v>
      </c>
      <c r="S1790" t="s">
        <v>26</v>
      </c>
      <c r="T1790" t="s">
        <v>26</v>
      </c>
      <c r="U1790" t="s">
        <v>26</v>
      </c>
      <c r="V1790" t="s">
        <v>26</v>
      </c>
      <c r="W1790" s="24">
        <v>37316</v>
      </c>
      <c r="X1790" s="24">
        <v>39417</v>
      </c>
      <c r="Y1790" t="s">
        <v>26</v>
      </c>
      <c r="Z1790" s="24">
        <v>37316</v>
      </c>
      <c r="AA1790" s="24">
        <v>39417</v>
      </c>
      <c r="AB1790" t="s">
        <v>26</v>
      </c>
      <c r="AC1790" s="24">
        <v>37316</v>
      </c>
      <c r="AD1790" s="24">
        <v>39417</v>
      </c>
      <c r="AE1790" t="s">
        <v>26</v>
      </c>
      <c r="AF1790" t="s">
        <v>26</v>
      </c>
      <c r="AG1790" t="s">
        <v>26</v>
      </c>
      <c r="AH1790" t="s">
        <v>26</v>
      </c>
      <c r="AI1790" t="s">
        <v>26</v>
      </c>
      <c r="AJ1790" t="s">
        <v>26</v>
      </c>
      <c r="AK1790" t="s">
        <v>26</v>
      </c>
      <c r="AL1790" t="s">
        <v>26</v>
      </c>
      <c r="AM1790" t="s">
        <v>26</v>
      </c>
      <c r="AN1790" t="s">
        <v>26</v>
      </c>
      <c r="AO1790" s="25" t="s">
        <v>68</v>
      </c>
      <c r="AP1790" s="23" t="s">
        <v>69</v>
      </c>
      <c r="AQ1790" s="23" t="s">
        <v>30</v>
      </c>
      <c r="AR1790" s="23" t="s">
        <v>4740</v>
      </c>
      <c r="AS1790" s="25">
        <v>34267</v>
      </c>
      <c r="AT1790" t="s">
        <v>26</v>
      </c>
      <c r="AU1790" t="s">
        <v>24576</v>
      </c>
    </row>
    <row r="1791" spans="1:47" ht="26.25" x14ac:dyDescent="0.4">
      <c r="A1791" s="23" t="s">
        <v>4741</v>
      </c>
      <c r="B1791" t="s">
        <v>26</v>
      </c>
      <c r="C1791" s="23" t="s">
        <v>176</v>
      </c>
      <c r="D1791" s="23" t="s">
        <v>22174</v>
      </c>
      <c r="E1791" s="23" t="s">
        <v>60</v>
      </c>
      <c r="F1791" s="25" t="s">
        <v>4742</v>
      </c>
      <c r="G1791" s="25" t="s">
        <v>4743</v>
      </c>
      <c r="H1791" t="s">
        <v>26</v>
      </c>
      <c r="I1791" t="s">
        <v>26</v>
      </c>
      <c r="J1791" t="s">
        <v>26</v>
      </c>
      <c r="K1791" t="s">
        <v>26</v>
      </c>
      <c r="L1791" s="25" t="s">
        <v>68</v>
      </c>
      <c r="M1791" t="s">
        <v>26</v>
      </c>
      <c r="N1791" t="s">
        <v>26</v>
      </c>
      <c r="O1791" t="s">
        <v>26</v>
      </c>
      <c r="P1791" t="s">
        <v>26</v>
      </c>
      <c r="Q1791" t="s">
        <v>26</v>
      </c>
      <c r="R1791" t="s">
        <v>26</v>
      </c>
      <c r="S1791" t="s">
        <v>26</v>
      </c>
      <c r="T1791" t="s">
        <v>26</v>
      </c>
      <c r="U1791" t="s">
        <v>26</v>
      </c>
      <c r="V1791" t="s">
        <v>26</v>
      </c>
      <c r="W1791" s="24">
        <v>42705</v>
      </c>
      <c r="X1791" s="24">
        <v>44743</v>
      </c>
      <c r="Y1791" t="s">
        <v>26</v>
      </c>
      <c r="Z1791" s="24">
        <v>42705</v>
      </c>
      <c r="AA1791" s="24">
        <v>44743</v>
      </c>
      <c r="AB1791" t="s">
        <v>26</v>
      </c>
      <c r="AC1791" s="24">
        <v>42705</v>
      </c>
      <c r="AD1791" s="24">
        <v>44743</v>
      </c>
      <c r="AE1791" t="s">
        <v>26</v>
      </c>
      <c r="AF1791" t="s">
        <v>26</v>
      </c>
      <c r="AG1791" t="s">
        <v>26</v>
      </c>
      <c r="AH1791" t="s">
        <v>26</v>
      </c>
      <c r="AI1791" t="s">
        <v>26</v>
      </c>
      <c r="AJ1791" t="s">
        <v>26</v>
      </c>
      <c r="AK1791" t="s">
        <v>26</v>
      </c>
      <c r="AL1791" t="s">
        <v>26</v>
      </c>
      <c r="AM1791" t="s">
        <v>26</v>
      </c>
      <c r="AN1791" t="s">
        <v>26</v>
      </c>
      <c r="AO1791" s="25" t="s">
        <v>68</v>
      </c>
      <c r="AP1791" s="23" t="s">
        <v>69</v>
      </c>
      <c r="AQ1791" s="23" t="s">
        <v>30</v>
      </c>
      <c r="AR1791" s="23" t="s">
        <v>70</v>
      </c>
      <c r="AS1791" s="25">
        <v>2033101</v>
      </c>
      <c r="AT1791" t="s">
        <v>26</v>
      </c>
      <c r="AU1791" t="s">
        <v>24577</v>
      </c>
    </row>
    <row r="1792" spans="1:47" ht="26.25" x14ac:dyDescent="0.4">
      <c r="A1792" s="23" t="s">
        <v>4744</v>
      </c>
      <c r="B1792" t="s">
        <v>26</v>
      </c>
      <c r="C1792" s="23" t="s">
        <v>114</v>
      </c>
      <c r="D1792" s="23" t="s">
        <v>22254</v>
      </c>
      <c r="E1792" s="23" t="s">
        <v>42</v>
      </c>
      <c r="F1792" s="25" t="s">
        <v>4745</v>
      </c>
      <c r="G1792" s="25" t="s">
        <v>4746</v>
      </c>
      <c r="H1792" t="s">
        <v>26</v>
      </c>
      <c r="I1792" t="s">
        <v>26</v>
      </c>
      <c r="J1792" t="s">
        <v>26</v>
      </c>
      <c r="K1792" t="s">
        <v>26</v>
      </c>
      <c r="L1792" s="25" t="s">
        <v>68</v>
      </c>
      <c r="M1792" t="s">
        <v>26</v>
      </c>
      <c r="N1792" t="s">
        <v>26</v>
      </c>
      <c r="O1792" t="s">
        <v>26</v>
      </c>
      <c r="P1792" t="s">
        <v>26</v>
      </c>
      <c r="Q1792" t="s">
        <v>26</v>
      </c>
      <c r="R1792" t="s">
        <v>26</v>
      </c>
      <c r="S1792" t="s">
        <v>26</v>
      </c>
      <c r="T1792" t="s">
        <v>26</v>
      </c>
      <c r="U1792" t="s">
        <v>26</v>
      </c>
      <c r="V1792" t="s">
        <v>26</v>
      </c>
      <c r="W1792" s="24">
        <v>36069</v>
      </c>
      <c r="X1792" s="24">
        <v>37165</v>
      </c>
      <c r="Y1792" t="s">
        <v>26</v>
      </c>
      <c r="Z1792" s="24">
        <v>36069</v>
      </c>
      <c r="AA1792" s="24">
        <v>37165</v>
      </c>
      <c r="AB1792" t="s">
        <v>26</v>
      </c>
      <c r="AC1792" t="s">
        <v>26</v>
      </c>
      <c r="AD1792" t="s">
        <v>26</v>
      </c>
      <c r="AE1792" t="s">
        <v>26</v>
      </c>
      <c r="AF1792" t="s">
        <v>26</v>
      </c>
      <c r="AG1792" t="s">
        <v>26</v>
      </c>
      <c r="AH1792" t="s">
        <v>26</v>
      </c>
      <c r="AI1792" t="s">
        <v>26</v>
      </c>
      <c r="AJ1792" t="s">
        <v>26</v>
      </c>
      <c r="AK1792" t="s">
        <v>26</v>
      </c>
      <c r="AL1792" t="s">
        <v>26</v>
      </c>
      <c r="AM1792" t="s">
        <v>26</v>
      </c>
      <c r="AN1792" t="s">
        <v>26</v>
      </c>
      <c r="AO1792" s="25" t="s">
        <v>68</v>
      </c>
      <c r="AP1792" s="23" t="s">
        <v>69</v>
      </c>
      <c r="AQ1792" s="23" t="s">
        <v>30</v>
      </c>
      <c r="AR1792" s="23" t="s">
        <v>70</v>
      </c>
      <c r="AS1792" s="25">
        <v>30842</v>
      </c>
      <c r="AT1792" t="s">
        <v>26</v>
      </c>
      <c r="AU1792" t="s">
        <v>24578</v>
      </c>
    </row>
    <row r="1793" spans="1:47" ht="26.25" x14ac:dyDescent="0.4">
      <c r="A1793" s="23" t="s">
        <v>4747</v>
      </c>
      <c r="B1793" t="s">
        <v>26</v>
      </c>
      <c r="C1793" s="23" t="s">
        <v>80</v>
      </c>
      <c r="D1793" s="23" t="s">
        <v>22184</v>
      </c>
      <c r="E1793" s="23" t="s">
        <v>60</v>
      </c>
      <c r="F1793" s="25" t="s">
        <v>4748</v>
      </c>
      <c r="G1793" s="25" t="s">
        <v>4749</v>
      </c>
      <c r="H1793" t="s">
        <v>26</v>
      </c>
      <c r="I1793" t="s">
        <v>26</v>
      </c>
      <c r="J1793" t="s">
        <v>26</v>
      </c>
      <c r="K1793" t="s">
        <v>26</v>
      </c>
      <c r="L1793" s="25" t="s">
        <v>68</v>
      </c>
      <c r="M1793" t="s">
        <v>26</v>
      </c>
      <c r="N1793" t="s">
        <v>26</v>
      </c>
      <c r="O1793" t="s">
        <v>26</v>
      </c>
      <c r="P1793" t="s">
        <v>26</v>
      </c>
      <c r="Q1793" t="s">
        <v>26</v>
      </c>
      <c r="R1793" t="s">
        <v>26</v>
      </c>
      <c r="S1793" t="s">
        <v>26</v>
      </c>
      <c r="T1793" t="s">
        <v>26</v>
      </c>
      <c r="U1793" t="s">
        <v>26</v>
      </c>
      <c r="V1793" t="s">
        <v>26</v>
      </c>
      <c r="W1793" s="24">
        <v>40179</v>
      </c>
      <c r="X1793" s="25" t="s">
        <v>77</v>
      </c>
      <c r="Y1793" t="s">
        <v>26</v>
      </c>
      <c r="Z1793" s="24">
        <v>40179</v>
      </c>
      <c r="AA1793" s="25" t="s">
        <v>77</v>
      </c>
      <c r="AB1793" t="s">
        <v>26</v>
      </c>
      <c r="AC1793" s="24">
        <v>40179</v>
      </c>
      <c r="AD1793" s="25" t="s">
        <v>77</v>
      </c>
      <c r="AE1793" t="s">
        <v>26</v>
      </c>
      <c r="AF1793" t="s">
        <v>26</v>
      </c>
      <c r="AG1793" t="s">
        <v>26</v>
      </c>
      <c r="AH1793" t="s">
        <v>26</v>
      </c>
      <c r="AI1793" t="s">
        <v>26</v>
      </c>
      <c r="AJ1793" t="s">
        <v>26</v>
      </c>
      <c r="AK1793" t="s">
        <v>26</v>
      </c>
      <c r="AL1793" t="s">
        <v>26</v>
      </c>
      <c r="AM1793" t="s">
        <v>26</v>
      </c>
      <c r="AN1793" t="s">
        <v>26</v>
      </c>
      <c r="AO1793" s="25" t="s">
        <v>68</v>
      </c>
      <c r="AP1793" s="23" t="s">
        <v>69</v>
      </c>
      <c r="AQ1793" s="23" t="s">
        <v>30</v>
      </c>
      <c r="AR1793" s="23" t="s">
        <v>1415</v>
      </c>
      <c r="AS1793" s="25">
        <v>196156</v>
      </c>
      <c r="AT1793" t="s">
        <v>26</v>
      </c>
      <c r="AU1793" t="s">
        <v>24579</v>
      </c>
    </row>
    <row r="1794" spans="1:47" ht="39.4" x14ac:dyDescent="0.4">
      <c r="A1794" s="23" t="s">
        <v>4750</v>
      </c>
      <c r="B1794" t="s">
        <v>26</v>
      </c>
      <c r="C1794" s="23" t="s">
        <v>264</v>
      </c>
      <c r="D1794" s="23" t="s">
        <v>23336</v>
      </c>
      <c r="E1794" s="23" t="s">
        <v>60</v>
      </c>
      <c r="F1794" s="25" t="s">
        <v>4751</v>
      </c>
      <c r="G1794" s="25" t="s">
        <v>4752</v>
      </c>
      <c r="H1794" t="s">
        <v>26</v>
      </c>
      <c r="I1794" s="24">
        <v>37956</v>
      </c>
      <c r="J1794" s="25" t="s">
        <v>77</v>
      </c>
      <c r="K1794" t="s">
        <v>26</v>
      </c>
      <c r="L1794" s="25" t="s">
        <v>68</v>
      </c>
      <c r="M1794" s="24">
        <v>37956</v>
      </c>
      <c r="N1794" s="25" t="s">
        <v>77</v>
      </c>
      <c r="O1794" s="25" t="s">
        <v>2112</v>
      </c>
      <c r="P1794" s="24">
        <v>37956</v>
      </c>
      <c r="Q1794" s="25" t="s">
        <v>77</v>
      </c>
      <c r="R1794" t="s">
        <v>26</v>
      </c>
      <c r="S1794" t="s">
        <v>26</v>
      </c>
      <c r="T1794" t="s">
        <v>26</v>
      </c>
      <c r="U1794" t="s">
        <v>26</v>
      </c>
      <c r="V1794" s="25">
        <v>365</v>
      </c>
      <c r="W1794" s="24">
        <v>37956</v>
      </c>
      <c r="X1794" s="25" t="s">
        <v>77</v>
      </c>
      <c r="Y1794" t="s">
        <v>26</v>
      </c>
      <c r="Z1794" s="24">
        <v>37956</v>
      </c>
      <c r="AA1794" s="25" t="s">
        <v>77</v>
      </c>
      <c r="AB1794" t="s">
        <v>26</v>
      </c>
      <c r="AC1794" s="24">
        <v>38687</v>
      </c>
      <c r="AD1794" s="25" t="s">
        <v>77</v>
      </c>
      <c r="AE1794" t="s">
        <v>26</v>
      </c>
      <c r="AF1794" t="s">
        <v>26</v>
      </c>
      <c r="AG1794" t="s">
        <v>26</v>
      </c>
      <c r="AH1794" t="s">
        <v>26</v>
      </c>
      <c r="AI1794" t="s">
        <v>26</v>
      </c>
      <c r="AJ1794" t="s">
        <v>26</v>
      </c>
      <c r="AK1794" t="s">
        <v>26</v>
      </c>
      <c r="AL1794" t="s">
        <v>26</v>
      </c>
      <c r="AM1794" t="s">
        <v>26</v>
      </c>
      <c r="AN1794" t="s">
        <v>26</v>
      </c>
      <c r="AO1794" s="25" t="s">
        <v>68</v>
      </c>
      <c r="AP1794" s="23" t="s">
        <v>69</v>
      </c>
      <c r="AQ1794" s="23" t="s">
        <v>30</v>
      </c>
      <c r="AR1794" s="23" t="s">
        <v>4753</v>
      </c>
      <c r="AS1794" s="25">
        <v>28745</v>
      </c>
      <c r="AT1794" t="s">
        <v>26</v>
      </c>
      <c r="AU1794" t="s">
        <v>24580</v>
      </c>
    </row>
    <row r="1795" spans="1:47" ht="26.25" x14ac:dyDescent="0.4">
      <c r="A1795" s="23" t="s">
        <v>4754</v>
      </c>
      <c r="B1795" t="s">
        <v>26</v>
      </c>
      <c r="C1795" s="23" t="s">
        <v>73</v>
      </c>
      <c r="D1795" s="23" t="s">
        <v>22179</v>
      </c>
      <c r="E1795" s="23" t="s">
        <v>74</v>
      </c>
      <c r="F1795" s="25" t="s">
        <v>4755</v>
      </c>
      <c r="G1795" s="25" t="s">
        <v>4756</v>
      </c>
      <c r="H1795" t="s">
        <v>26</v>
      </c>
      <c r="I1795" s="24">
        <v>35855</v>
      </c>
      <c r="J1795" s="25" t="s">
        <v>77</v>
      </c>
      <c r="K1795" t="s">
        <v>26</v>
      </c>
      <c r="L1795" s="25" t="s">
        <v>68</v>
      </c>
      <c r="M1795" s="24">
        <v>38047</v>
      </c>
      <c r="N1795" s="24">
        <v>42795</v>
      </c>
      <c r="O1795" t="s">
        <v>26</v>
      </c>
      <c r="P1795" s="24">
        <v>35855</v>
      </c>
      <c r="Q1795" s="25" t="s">
        <v>77</v>
      </c>
      <c r="R1795" t="s">
        <v>26</v>
      </c>
      <c r="S1795" t="s">
        <v>26</v>
      </c>
      <c r="T1795" t="s">
        <v>26</v>
      </c>
      <c r="U1795" t="s">
        <v>26</v>
      </c>
      <c r="V1795" s="25">
        <v>365</v>
      </c>
      <c r="W1795" s="24">
        <v>31107</v>
      </c>
      <c r="X1795" s="25" t="s">
        <v>77</v>
      </c>
      <c r="Y1795" t="s">
        <v>26</v>
      </c>
      <c r="Z1795" s="24">
        <v>31107</v>
      </c>
      <c r="AA1795" s="25" t="s">
        <v>77</v>
      </c>
      <c r="AB1795" t="s">
        <v>26</v>
      </c>
      <c r="AC1795" s="24">
        <v>35855</v>
      </c>
      <c r="AD1795" s="25" t="s">
        <v>77</v>
      </c>
      <c r="AE1795" t="s">
        <v>26</v>
      </c>
      <c r="AF1795" t="s">
        <v>26</v>
      </c>
      <c r="AG1795" t="s">
        <v>26</v>
      </c>
      <c r="AH1795" t="s">
        <v>26</v>
      </c>
      <c r="AI1795" t="s">
        <v>26</v>
      </c>
      <c r="AJ1795" t="s">
        <v>26</v>
      </c>
      <c r="AK1795" t="s">
        <v>26</v>
      </c>
      <c r="AL1795" t="s">
        <v>26</v>
      </c>
      <c r="AM1795" t="s">
        <v>26</v>
      </c>
      <c r="AN1795" t="s">
        <v>26</v>
      </c>
      <c r="AO1795" s="25" t="s">
        <v>68</v>
      </c>
      <c r="AP1795" s="23" t="s">
        <v>69</v>
      </c>
      <c r="AQ1795" s="23" t="s">
        <v>30</v>
      </c>
      <c r="AR1795" s="23" t="s">
        <v>433</v>
      </c>
      <c r="AS1795" s="25">
        <v>37857</v>
      </c>
      <c r="AT1795" t="s">
        <v>26</v>
      </c>
      <c r="AU1795" t="s">
        <v>24581</v>
      </c>
    </row>
    <row r="1796" spans="1:47" ht="26.25" x14ac:dyDescent="0.4">
      <c r="A1796" s="23" t="s">
        <v>4757</v>
      </c>
      <c r="B1796" t="s">
        <v>26</v>
      </c>
      <c r="C1796" s="23" t="s">
        <v>73</v>
      </c>
      <c r="D1796" s="23" t="s">
        <v>22179</v>
      </c>
      <c r="E1796" s="23" t="s">
        <v>74</v>
      </c>
      <c r="F1796" s="25" t="s">
        <v>4758</v>
      </c>
      <c r="G1796" s="25" t="s">
        <v>4759</v>
      </c>
      <c r="H1796" t="s">
        <v>26</v>
      </c>
      <c r="I1796" s="24">
        <v>36251</v>
      </c>
      <c r="J1796" s="25" t="s">
        <v>77</v>
      </c>
      <c r="K1796" t="s">
        <v>26</v>
      </c>
      <c r="L1796" s="25" t="s">
        <v>68</v>
      </c>
      <c r="M1796" s="24">
        <v>38078</v>
      </c>
      <c r="N1796" s="24">
        <v>42887</v>
      </c>
      <c r="O1796" t="s">
        <v>26</v>
      </c>
      <c r="P1796" s="24">
        <v>36251</v>
      </c>
      <c r="Q1796" s="25" t="s">
        <v>77</v>
      </c>
      <c r="R1796" t="s">
        <v>26</v>
      </c>
      <c r="S1796" t="s">
        <v>26</v>
      </c>
      <c r="T1796" t="s">
        <v>26</v>
      </c>
      <c r="U1796" t="s">
        <v>26</v>
      </c>
      <c r="V1796" s="25">
        <v>365</v>
      </c>
      <c r="W1796" s="24">
        <v>36251</v>
      </c>
      <c r="X1796" s="25" t="s">
        <v>77</v>
      </c>
      <c r="Y1796" t="s">
        <v>26</v>
      </c>
      <c r="Z1796" s="24">
        <v>36251</v>
      </c>
      <c r="AA1796" s="25" t="s">
        <v>77</v>
      </c>
      <c r="AB1796" t="s">
        <v>26</v>
      </c>
      <c r="AC1796" s="24">
        <v>36251</v>
      </c>
      <c r="AD1796" s="25" t="s">
        <v>77</v>
      </c>
      <c r="AE1796" t="s">
        <v>26</v>
      </c>
      <c r="AF1796" t="s">
        <v>26</v>
      </c>
      <c r="AG1796" t="s">
        <v>26</v>
      </c>
      <c r="AH1796" t="s">
        <v>26</v>
      </c>
      <c r="AI1796" t="s">
        <v>26</v>
      </c>
      <c r="AJ1796" t="s">
        <v>26</v>
      </c>
      <c r="AK1796" t="s">
        <v>26</v>
      </c>
      <c r="AL1796" t="s">
        <v>26</v>
      </c>
      <c r="AM1796" t="s">
        <v>26</v>
      </c>
      <c r="AN1796" t="s">
        <v>26</v>
      </c>
      <c r="AO1796" s="25" t="s">
        <v>68</v>
      </c>
      <c r="AP1796" s="23" t="s">
        <v>69</v>
      </c>
      <c r="AQ1796" s="23" t="s">
        <v>30</v>
      </c>
      <c r="AR1796" s="23" t="s">
        <v>257</v>
      </c>
      <c r="AS1796" s="25">
        <v>37558</v>
      </c>
      <c r="AT1796" t="s">
        <v>26</v>
      </c>
      <c r="AU1796" t="s">
        <v>24582</v>
      </c>
    </row>
    <row r="1797" spans="1:47" ht="26.25" x14ac:dyDescent="0.4">
      <c r="A1797" s="23" t="s">
        <v>4760</v>
      </c>
      <c r="B1797" t="s">
        <v>26</v>
      </c>
      <c r="C1797" s="23" t="s">
        <v>24583</v>
      </c>
      <c r="D1797" s="23" t="s">
        <v>22256</v>
      </c>
      <c r="E1797" s="23" t="s">
        <v>42</v>
      </c>
      <c r="F1797" s="25" t="s">
        <v>4761</v>
      </c>
      <c r="G1797" t="s">
        <v>26</v>
      </c>
      <c r="H1797" t="s">
        <v>26</v>
      </c>
      <c r="I1797" s="24">
        <v>34973</v>
      </c>
      <c r="J1797" s="25" t="s">
        <v>77</v>
      </c>
      <c r="K1797" s="25" t="s">
        <v>23586</v>
      </c>
      <c r="L1797" s="25" t="s">
        <v>68</v>
      </c>
      <c r="M1797" s="24">
        <v>34973</v>
      </c>
      <c r="N1797" s="24">
        <v>43739</v>
      </c>
      <c r="O1797" t="s">
        <v>26</v>
      </c>
      <c r="P1797" s="24">
        <v>34973</v>
      </c>
      <c r="Q1797" s="25" t="s">
        <v>77</v>
      </c>
      <c r="R1797" s="25" t="s">
        <v>23586</v>
      </c>
      <c r="S1797" t="s">
        <v>26</v>
      </c>
      <c r="T1797" t="s">
        <v>26</v>
      </c>
      <c r="U1797" t="s">
        <v>26</v>
      </c>
      <c r="V1797" t="s">
        <v>26</v>
      </c>
      <c r="W1797" s="24">
        <v>32509</v>
      </c>
      <c r="X1797" s="25" t="s">
        <v>77</v>
      </c>
      <c r="Y1797" s="25" t="s">
        <v>23586</v>
      </c>
      <c r="Z1797" s="24">
        <v>32509</v>
      </c>
      <c r="AA1797" s="25" t="s">
        <v>77</v>
      </c>
      <c r="AB1797" s="25" t="s">
        <v>23586</v>
      </c>
      <c r="AC1797" s="24">
        <v>32509</v>
      </c>
      <c r="AD1797" s="25" t="s">
        <v>77</v>
      </c>
      <c r="AE1797" s="25" t="s">
        <v>24584</v>
      </c>
      <c r="AF1797" t="s">
        <v>26</v>
      </c>
      <c r="AG1797" t="s">
        <v>26</v>
      </c>
      <c r="AH1797" t="s">
        <v>26</v>
      </c>
      <c r="AI1797" t="s">
        <v>26</v>
      </c>
      <c r="AJ1797" t="s">
        <v>26</v>
      </c>
      <c r="AK1797" t="s">
        <v>26</v>
      </c>
      <c r="AL1797" t="s">
        <v>26</v>
      </c>
      <c r="AM1797" t="s">
        <v>26</v>
      </c>
      <c r="AN1797" t="s">
        <v>26</v>
      </c>
      <c r="AO1797" s="25" t="s">
        <v>68</v>
      </c>
      <c r="AP1797" s="23" t="s">
        <v>69</v>
      </c>
      <c r="AQ1797" s="23" t="s">
        <v>30</v>
      </c>
      <c r="AR1797" s="23" t="s">
        <v>1170</v>
      </c>
      <c r="AS1797" s="25">
        <v>37110</v>
      </c>
      <c r="AT1797" t="s">
        <v>26</v>
      </c>
      <c r="AU1797" t="s">
        <v>24585</v>
      </c>
    </row>
    <row r="1798" spans="1:47" ht="26.25" x14ac:dyDescent="0.4">
      <c r="A1798" s="23" t="s">
        <v>4762</v>
      </c>
      <c r="B1798" t="s">
        <v>26</v>
      </c>
      <c r="C1798" s="23" t="s">
        <v>167</v>
      </c>
      <c r="D1798" s="23" t="s">
        <v>22519</v>
      </c>
      <c r="E1798" s="23" t="s">
        <v>60</v>
      </c>
      <c r="F1798" t="s">
        <v>26</v>
      </c>
      <c r="G1798" s="25" t="s">
        <v>4763</v>
      </c>
      <c r="H1798" t="s">
        <v>26</v>
      </c>
      <c r="I1798" s="24">
        <v>40817</v>
      </c>
      <c r="J1798" s="24">
        <v>43831</v>
      </c>
      <c r="K1798" t="s">
        <v>26</v>
      </c>
      <c r="L1798" s="25" t="s">
        <v>68</v>
      </c>
      <c r="M1798" s="24">
        <v>40909</v>
      </c>
      <c r="N1798" s="24">
        <v>43831</v>
      </c>
      <c r="O1798" t="s">
        <v>26</v>
      </c>
      <c r="P1798" s="24">
        <v>40817</v>
      </c>
      <c r="Q1798" s="24">
        <v>43831</v>
      </c>
      <c r="R1798" t="s">
        <v>26</v>
      </c>
      <c r="S1798" t="s">
        <v>26</v>
      </c>
      <c r="T1798" t="s">
        <v>26</v>
      </c>
      <c r="U1798" t="s">
        <v>26</v>
      </c>
      <c r="V1798" t="s">
        <v>26</v>
      </c>
      <c r="W1798" s="24">
        <v>40817</v>
      </c>
      <c r="X1798" s="24">
        <v>43831</v>
      </c>
      <c r="Y1798" t="s">
        <v>26</v>
      </c>
      <c r="Z1798" s="24">
        <v>40817</v>
      </c>
      <c r="AA1798" s="24">
        <v>43831</v>
      </c>
      <c r="AB1798" t="s">
        <v>26</v>
      </c>
      <c r="AC1798" s="24">
        <v>40817</v>
      </c>
      <c r="AD1798" s="24">
        <v>43831</v>
      </c>
      <c r="AE1798" t="s">
        <v>26</v>
      </c>
      <c r="AF1798" t="s">
        <v>26</v>
      </c>
      <c r="AG1798" t="s">
        <v>26</v>
      </c>
      <c r="AH1798" t="s">
        <v>26</v>
      </c>
      <c r="AI1798" t="s">
        <v>26</v>
      </c>
      <c r="AJ1798" t="s">
        <v>26</v>
      </c>
      <c r="AK1798" t="s">
        <v>26</v>
      </c>
      <c r="AL1798" t="s">
        <v>26</v>
      </c>
      <c r="AM1798" t="s">
        <v>26</v>
      </c>
      <c r="AN1798" t="s">
        <v>26</v>
      </c>
      <c r="AO1798" s="25" t="s">
        <v>68</v>
      </c>
      <c r="AP1798" s="23" t="s">
        <v>69</v>
      </c>
      <c r="AQ1798" s="23" t="s">
        <v>30</v>
      </c>
      <c r="AR1798" s="23" t="s">
        <v>46</v>
      </c>
      <c r="AS1798" s="25">
        <v>1586356</v>
      </c>
      <c r="AT1798" t="s">
        <v>26</v>
      </c>
      <c r="AU1798" t="s">
        <v>24586</v>
      </c>
    </row>
    <row r="1799" spans="1:47" ht="26.25" x14ac:dyDescent="0.4">
      <c r="A1799" s="23" t="s">
        <v>4764</v>
      </c>
      <c r="B1799" t="s">
        <v>26</v>
      </c>
      <c r="C1799" s="23" t="s">
        <v>80</v>
      </c>
      <c r="D1799" s="23" t="s">
        <v>22184</v>
      </c>
      <c r="E1799" s="23" t="s">
        <v>60</v>
      </c>
      <c r="F1799" s="25" t="s">
        <v>4765</v>
      </c>
      <c r="G1799" s="25" t="s">
        <v>4766</v>
      </c>
      <c r="H1799" t="s">
        <v>26</v>
      </c>
      <c r="I1799" t="s">
        <v>26</v>
      </c>
      <c r="J1799" t="s">
        <v>26</v>
      </c>
      <c r="K1799" t="s">
        <v>26</v>
      </c>
      <c r="L1799" s="25" t="s">
        <v>68</v>
      </c>
      <c r="M1799" t="s">
        <v>26</v>
      </c>
      <c r="N1799" t="s">
        <v>26</v>
      </c>
      <c r="O1799" t="s">
        <v>26</v>
      </c>
      <c r="P1799" t="s">
        <v>26</v>
      </c>
      <c r="Q1799" t="s">
        <v>26</v>
      </c>
      <c r="R1799" t="s">
        <v>26</v>
      </c>
      <c r="S1799" t="s">
        <v>26</v>
      </c>
      <c r="T1799" t="s">
        <v>26</v>
      </c>
      <c r="U1799" t="s">
        <v>26</v>
      </c>
      <c r="V1799" t="s">
        <v>26</v>
      </c>
      <c r="W1799" s="24">
        <v>43101</v>
      </c>
      <c r="X1799" s="25" t="s">
        <v>77</v>
      </c>
      <c r="Y1799" t="s">
        <v>26</v>
      </c>
      <c r="Z1799" s="24">
        <v>43101</v>
      </c>
      <c r="AA1799" s="25" t="s">
        <v>77</v>
      </c>
      <c r="AB1799" t="s">
        <v>26</v>
      </c>
      <c r="AC1799" s="24">
        <v>43101</v>
      </c>
      <c r="AD1799" s="25" t="s">
        <v>77</v>
      </c>
      <c r="AE1799" t="s">
        <v>26</v>
      </c>
      <c r="AF1799" t="s">
        <v>26</v>
      </c>
      <c r="AG1799" t="s">
        <v>26</v>
      </c>
      <c r="AH1799" t="s">
        <v>26</v>
      </c>
      <c r="AI1799" t="s">
        <v>26</v>
      </c>
      <c r="AJ1799" t="s">
        <v>26</v>
      </c>
      <c r="AK1799" t="s">
        <v>26</v>
      </c>
      <c r="AL1799" t="s">
        <v>26</v>
      </c>
      <c r="AM1799" t="s">
        <v>26</v>
      </c>
      <c r="AN1799" t="s">
        <v>26</v>
      </c>
      <c r="AO1799" s="25" t="s">
        <v>68</v>
      </c>
      <c r="AP1799" s="23" t="s">
        <v>69</v>
      </c>
      <c r="AQ1799" s="23" t="s">
        <v>30</v>
      </c>
      <c r="AR1799" s="23" t="s">
        <v>4767</v>
      </c>
      <c r="AS1799" s="25">
        <v>52990</v>
      </c>
      <c r="AT1799" t="s">
        <v>26</v>
      </c>
      <c r="AU1799" t="s">
        <v>24587</v>
      </c>
    </row>
    <row r="1800" spans="1:47" ht="26.25" x14ac:dyDescent="0.4">
      <c r="A1800" s="23" t="s">
        <v>4768</v>
      </c>
      <c r="B1800" t="s">
        <v>26</v>
      </c>
      <c r="C1800" s="23" t="s">
        <v>73</v>
      </c>
      <c r="D1800" s="23" t="s">
        <v>22179</v>
      </c>
      <c r="E1800" s="23" t="s">
        <v>74</v>
      </c>
      <c r="F1800" s="25" t="s">
        <v>4769</v>
      </c>
      <c r="G1800" s="25" t="s">
        <v>4770</v>
      </c>
      <c r="H1800" t="s">
        <v>26</v>
      </c>
      <c r="I1800" s="24">
        <v>35490</v>
      </c>
      <c r="J1800" s="25" t="s">
        <v>77</v>
      </c>
      <c r="K1800" t="s">
        <v>26</v>
      </c>
      <c r="L1800" s="25" t="s">
        <v>68</v>
      </c>
      <c r="M1800" s="24">
        <v>38047</v>
      </c>
      <c r="N1800" s="24">
        <v>42887</v>
      </c>
      <c r="O1800" t="s">
        <v>26</v>
      </c>
      <c r="P1800" s="24">
        <v>35490</v>
      </c>
      <c r="Q1800" s="25" t="s">
        <v>77</v>
      </c>
      <c r="R1800" t="s">
        <v>26</v>
      </c>
      <c r="S1800" t="s">
        <v>26</v>
      </c>
      <c r="T1800" t="s">
        <v>26</v>
      </c>
      <c r="U1800" t="s">
        <v>26</v>
      </c>
      <c r="V1800" s="25">
        <v>365</v>
      </c>
      <c r="W1800" s="24">
        <v>35490</v>
      </c>
      <c r="X1800" s="25" t="s">
        <v>77</v>
      </c>
      <c r="Y1800" t="s">
        <v>26</v>
      </c>
      <c r="Z1800" s="24">
        <v>35490</v>
      </c>
      <c r="AA1800" s="25" t="s">
        <v>77</v>
      </c>
      <c r="AB1800" t="s">
        <v>26</v>
      </c>
      <c r="AC1800" s="24">
        <v>35490</v>
      </c>
      <c r="AD1800" s="25" t="s">
        <v>77</v>
      </c>
      <c r="AE1800" t="s">
        <v>26</v>
      </c>
      <c r="AF1800" t="s">
        <v>26</v>
      </c>
      <c r="AG1800" t="s">
        <v>26</v>
      </c>
      <c r="AH1800" t="s">
        <v>26</v>
      </c>
      <c r="AI1800" t="s">
        <v>26</v>
      </c>
      <c r="AJ1800" t="s">
        <v>26</v>
      </c>
      <c r="AK1800" t="s">
        <v>26</v>
      </c>
      <c r="AL1800" t="s">
        <v>26</v>
      </c>
      <c r="AM1800" t="s">
        <v>26</v>
      </c>
      <c r="AN1800" t="s">
        <v>26</v>
      </c>
      <c r="AO1800" s="25" t="s">
        <v>68</v>
      </c>
      <c r="AP1800" s="23" t="s">
        <v>69</v>
      </c>
      <c r="AQ1800" s="23" t="s">
        <v>30</v>
      </c>
      <c r="AR1800" s="23" t="s">
        <v>2262</v>
      </c>
      <c r="AS1800" s="25">
        <v>54044</v>
      </c>
      <c r="AT1800" t="s">
        <v>26</v>
      </c>
      <c r="AU1800" t="s">
        <v>24588</v>
      </c>
    </row>
    <row r="1801" spans="1:47" ht="26.25" x14ac:dyDescent="0.4">
      <c r="A1801" s="23" t="s">
        <v>4771</v>
      </c>
      <c r="B1801" t="s">
        <v>26</v>
      </c>
      <c r="C1801" s="23" t="s">
        <v>80</v>
      </c>
      <c r="D1801" s="23" t="s">
        <v>22184</v>
      </c>
      <c r="E1801" s="23" t="s">
        <v>60</v>
      </c>
      <c r="F1801" s="25" t="s">
        <v>4772</v>
      </c>
      <c r="G1801" s="25" t="s">
        <v>4773</v>
      </c>
      <c r="H1801" t="s">
        <v>26</v>
      </c>
      <c r="I1801" t="s">
        <v>26</v>
      </c>
      <c r="J1801" t="s">
        <v>26</v>
      </c>
      <c r="K1801" t="s">
        <v>26</v>
      </c>
      <c r="L1801" s="25" t="s">
        <v>68</v>
      </c>
      <c r="M1801" t="s">
        <v>26</v>
      </c>
      <c r="N1801" t="s">
        <v>26</v>
      </c>
      <c r="O1801" t="s">
        <v>26</v>
      </c>
      <c r="P1801" t="s">
        <v>26</v>
      </c>
      <c r="Q1801" t="s">
        <v>26</v>
      </c>
      <c r="R1801" t="s">
        <v>26</v>
      </c>
      <c r="S1801" t="s">
        <v>26</v>
      </c>
      <c r="T1801" t="s">
        <v>26</v>
      </c>
      <c r="U1801" t="s">
        <v>26</v>
      </c>
      <c r="V1801" t="s">
        <v>26</v>
      </c>
      <c r="W1801" s="24">
        <v>42370</v>
      </c>
      <c r="X1801" s="25" t="s">
        <v>77</v>
      </c>
      <c r="Y1801" t="s">
        <v>26</v>
      </c>
      <c r="Z1801" s="24">
        <v>42370</v>
      </c>
      <c r="AA1801" s="25" t="s">
        <v>77</v>
      </c>
      <c r="AB1801" t="s">
        <v>26</v>
      </c>
      <c r="AC1801" s="24">
        <v>42370</v>
      </c>
      <c r="AD1801" s="25" t="s">
        <v>77</v>
      </c>
      <c r="AE1801" t="s">
        <v>26</v>
      </c>
      <c r="AF1801" t="s">
        <v>26</v>
      </c>
      <c r="AG1801" t="s">
        <v>26</v>
      </c>
      <c r="AH1801" t="s">
        <v>26</v>
      </c>
      <c r="AI1801" t="s">
        <v>26</v>
      </c>
      <c r="AJ1801" t="s">
        <v>26</v>
      </c>
      <c r="AK1801" t="s">
        <v>26</v>
      </c>
      <c r="AL1801" t="s">
        <v>26</v>
      </c>
      <c r="AM1801" t="s">
        <v>26</v>
      </c>
      <c r="AN1801" t="s">
        <v>26</v>
      </c>
      <c r="AO1801" s="25" t="s">
        <v>68</v>
      </c>
      <c r="AP1801" s="23" t="s">
        <v>69</v>
      </c>
      <c r="AQ1801" s="23" t="s">
        <v>30</v>
      </c>
      <c r="AR1801" s="23" t="s">
        <v>4774</v>
      </c>
      <c r="AS1801" s="25">
        <v>2033091</v>
      </c>
      <c r="AT1801" t="s">
        <v>26</v>
      </c>
      <c r="AU1801" t="s">
        <v>24589</v>
      </c>
    </row>
    <row r="1802" spans="1:47" ht="26.25" x14ac:dyDescent="0.4">
      <c r="A1802" s="23" t="s">
        <v>4775</v>
      </c>
      <c r="B1802" t="s">
        <v>26</v>
      </c>
      <c r="C1802" s="23" t="s">
        <v>80</v>
      </c>
      <c r="D1802" s="23" t="s">
        <v>22599</v>
      </c>
      <c r="E1802" s="23" t="s">
        <v>60</v>
      </c>
      <c r="F1802" s="25" t="s">
        <v>4776</v>
      </c>
      <c r="G1802" s="25" t="s">
        <v>4777</v>
      </c>
      <c r="H1802" t="s">
        <v>26</v>
      </c>
      <c r="I1802" s="24">
        <v>35551</v>
      </c>
      <c r="J1802" s="24">
        <v>36831</v>
      </c>
      <c r="K1802" t="s">
        <v>26</v>
      </c>
      <c r="L1802" s="25" t="s">
        <v>68</v>
      </c>
      <c r="M1802" s="24">
        <v>35551</v>
      </c>
      <c r="N1802" s="24">
        <v>36831</v>
      </c>
      <c r="O1802" t="s">
        <v>26</v>
      </c>
      <c r="P1802" s="24">
        <v>35551</v>
      </c>
      <c r="Q1802" s="24">
        <v>36831</v>
      </c>
      <c r="R1802" t="s">
        <v>26</v>
      </c>
      <c r="S1802" t="s">
        <v>26</v>
      </c>
      <c r="T1802" t="s">
        <v>26</v>
      </c>
      <c r="U1802" t="s">
        <v>26</v>
      </c>
      <c r="V1802" t="s">
        <v>26</v>
      </c>
      <c r="W1802" s="24">
        <v>35551</v>
      </c>
      <c r="X1802" s="25" t="s">
        <v>77</v>
      </c>
      <c r="Y1802" t="s">
        <v>26</v>
      </c>
      <c r="Z1802" s="24">
        <v>35551</v>
      </c>
      <c r="AA1802" s="25" t="s">
        <v>77</v>
      </c>
      <c r="AB1802" t="s">
        <v>26</v>
      </c>
      <c r="AC1802" s="24">
        <v>35551</v>
      </c>
      <c r="AD1802" s="25" t="s">
        <v>77</v>
      </c>
      <c r="AE1802" t="s">
        <v>26</v>
      </c>
      <c r="AF1802" t="s">
        <v>26</v>
      </c>
      <c r="AG1802" t="s">
        <v>26</v>
      </c>
      <c r="AH1802" t="s">
        <v>26</v>
      </c>
      <c r="AI1802" t="s">
        <v>26</v>
      </c>
      <c r="AJ1802" t="s">
        <v>26</v>
      </c>
      <c r="AK1802" t="s">
        <v>26</v>
      </c>
      <c r="AL1802" t="s">
        <v>26</v>
      </c>
      <c r="AM1802" t="s">
        <v>26</v>
      </c>
      <c r="AN1802" t="s">
        <v>26</v>
      </c>
      <c r="AO1802" s="25" t="s">
        <v>68</v>
      </c>
      <c r="AP1802" s="23" t="s">
        <v>69</v>
      </c>
      <c r="AQ1802" s="23" t="s">
        <v>30</v>
      </c>
      <c r="AR1802" s="23" t="s">
        <v>46</v>
      </c>
      <c r="AS1802" s="25">
        <v>37376</v>
      </c>
      <c r="AT1802" t="s">
        <v>26</v>
      </c>
      <c r="AU1802" t="s">
        <v>24590</v>
      </c>
    </row>
    <row r="1803" spans="1:47" ht="26.25" x14ac:dyDescent="0.4">
      <c r="A1803" s="23" t="s">
        <v>4778</v>
      </c>
      <c r="B1803" t="s">
        <v>26</v>
      </c>
      <c r="C1803" s="23" t="s">
        <v>981</v>
      </c>
      <c r="D1803" s="23" t="s">
        <v>24591</v>
      </c>
      <c r="E1803" s="23" t="s">
        <v>42</v>
      </c>
      <c r="F1803" s="25" t="s">
        <v>4779</v>
      </c>
      <c r="G1803" s="25" t="s">
        <v>4780</v>
      </c>
      <c r="H1803" t="s">
        <v>26</v>
      </c>
      <c r="I1803" s="24">
        <v>35521</v>
      </c>
      <c r="J1803" s="24">
        <v>39995</v>
      </c>
      <c r="K1803" t="s">
        <v>26</v>
      </c>
      <c r="L1803" s="25" t="s">
        <v>68</v>
      </c>
      <c r="M1803" s="24">
        <v>35521</v>
      </c>
      <c r="N1803" s="24">
        <v>39995</v>
      </c>
      <c r="O1803" t="s">
        <v>26</v>
      </c>
      <c r="P1803" s="24">
        <v>35521</v>
      </c>
      <c r="Q1803" s="24">
        <v>39995</v>
      </c>
      <c r="R1803" t="s">
        <v>26</v>
      </c>
      <c r="S1803" t="s">
        <v>26</v>
      </c>
      <c r="T1803" t="s">
        <v>26</v>
      </c>
      <c r="U1803" t="s">
        <v>26</v>
      </c>
      <c r="V1803" t="s">
        <v>26</v>
      </c>
      <c r="W1803" s="24">
        <v>35521</v>
      </c>
      <c r="X1803" s="25" t="s">
        <v>77</v>
      </c>
      <c r="Y1803" s="25" t="s">
        <v>1185</v>
      </c>
      <c r="Z1803" s="24">
        <v>35521</v>
      </c>
      <c r="AA1803" s="25" t="s">
        <v>77</v>
      </c>
      <c r="AB1803" s="25" t="s">
        <v>1185</v>
      </c>
      <c r="AC1803" s="24">
        <v>36617</v>
      </c>
      <c r="AD1803" s="25" t="s">
        <v>77</v>
      </c>
      <c r="AE1803" s="25" t="s">
        <v>1185</v>
      </c>
      <c r="AF1803" t="s">
        <v>26</v>
      </c>
      <c r="AG1803" t="s">
        <v>26</v>
      </c>
      <c r="AH1803" t="s">
        <v>26</v>
      </c>
      <c r="AI1803" t="s">
        <v>26</v>
      </c>
      <c r="AJ1803" t="s">
        <v>26</v>
      </c>
      <c r="AK1803" t="s">
        <v>26</v>
      </c>
      <c r="AL1803" t="s">
        <v>26</v>
      </c>
      <c r="AM1803" t="s">
        <v>26</v>
      </c>
      <c r="AN1803" t="s">
        <v>26</v>
      </c>
      <c r="AO1803" s="25" t="s">
        <v>68</v>
      </c>
      <c r="AP1803" s="23" t="s">
        <v>69</v>
      </c>
      <c r="AQ1803" s="23" t="s">
        <v>30</v>
      </c>
      <c r="AR1803" s="23" t="s">
        <v>337</v>
      </c>
      <c r="AS1803" s="25">
        <v>15507</v>
      </c>
      <c r="AT1803" t="s">
        <v>26</v>
      </c>
      <c r="AU1803" t="s">
        <v>24592</v>
      </c>
    </row>
    <row r="1804" spans="1:47" ht="26.25" x14ac:dyDescent="0.4">
      <c r="A1804" s="23" t="s">
        <v>4781</v>
      </c>
      <c r="B1804" t="s">
        <v>26</v>
      </c>
      <c r="C1804" s="23" t="s">
        <v>107</v>
      </c>
      <c r="D1804" s="23" t="s">
        <v>22194</v>
      </c>
      <c r="E1804" s="23" t="s">
        <v>42</v>
      </c>
      <c r="F1804" s="25" t="s">
        <v>4782</v>
      </c>
      <c r="G1804" s="25" t="s">
        <v>4783</v>
      </c>
      <c r="H1804" t="s">
        <v>26</v>
      </c>
      <c r="I1804" t="s">
        <v>26</v>
      </c>
      <c r="J1804" t="s">
        <v>26</v>
      </c>
      <c r="K1804" t="s">
        <v>26</v>
      </c>
      <c r="L1804" s="25" t="s">
        <v>68</v>
      </c>
      <c r="M1804" t="s">
        <v>26</v>
      </c>
      <c r="N1804" t="s">
        <v>26</v>
      </c>
      <c r="O1804" t="s">
        <v>26</v>
      </c>
      <c r="P1804" t="s">
        <v>26</v>
      </c>
      <c r="Q1804" t="s">
        <v>26</v>
      </c>
      <c r="R1804" t="s">
        <v>26</v>
      </c>
      <c r="S1804" t="s">
        <v>26</v>
      </c>
      <c r="T1804" t="s">
        <v>26</v>
      </c>
      <c r="U1804" t="s">
        <v>26</v>
      </c>
      <c r="V1804" t="s">
        <v>26</v>
      </c>
      <c r="W1804" s="24">
        <v>23408</v>
      </c>
      <c r="X1804" s="25" t="s">
        <v>77</v>
      </c>
      <c r="Y1804" s="25" t="s">
        <v>3896</v>
      </c>
      <c r="Z1804" s="24">
        <v>23408</v>
      </c>
      <c r="AA1804" s="25" t="s">
        <v>77</v>
      </c>
      <c r="AB1804" s="25" t="s">
        <v>3896</v>
      </c>
      <c r="AC1804" s="24">
        <v>23408</v>
      </c>
      <c r="AD1804" s="25" t="s">
        <v>77</v>
      </c>
      <c r="AE1804" s="25" t="s">
        <v>3896</v>
      </c>
      <c r="AF1804" t="s">
        <v>26</v>
      </c>
      <c r="AG1804" t="s">
        <v>26</v>
      </c>
      <c r="AH1804" t="s">
        <v>26</v>
      </c>
      <c r="AI1804" t="s">
        <v>26</v>
      </c>
      <c r="AJ1804" t="s">
        <v>26</v>
      </c>
      <c r="AK1804" t="s">
        <v>26</v>
      </c>
      <c r="AL1804" t="s">
        <v>26</v>
      </c>
      <c r="AM1804" t="s">
        <v>26</v>
      </c>
      <c r="AN1804" t="s">
        <v>26</v>
      </c>
      <c r="AO1804" s="25" t="s">
        <v>68</v>
      </c>
      <c r="AP1804" s="23" t="s">
        <v>69</v>
      </c>
      <c r="AQ1804" s="23" t="s">
        <v>30</v>
      </c>
      <c r="AR1804" s="23" t="s">
        <v>433</v>
      </c>
      <c r="AS1804" s="25">
        <v>40963</v>
      </c>
      <c r="AT1804" t="s">
        <v>26</v>
      </c>
      <c r="AU1804" t="s">
        <v>24593</v>
      </c>
    </row>
    <row r="1805" spans="1:47" ht="26.25" x14ac:dyDescent="0.4">
      <c r="A1805" s="23" t="s">
        <v>4784</v>
      </c>
      <c r="B1805" t="s">
        <v>26</v>
      </c>
      <c r="C1805" s="23" t="s">
        <v>4785</v>
      </c>
      <c r="D1805" s="23" t="s">
        <v>23508</v>
      </c>
      <c r="E1805" s="23" t="s">
        <v>42</v>
      </c>
      <c r="F1805" s="25" t="s">
        <v>4786</v>
      </c>
      <c r="G1805" s="25" t="s">
        <v>4787</v>
      </c>
      <c r="H1805" t="s">
        <v>26</v>
      </c>
      <c r="I1805" s="24">
        <v>36251</v>
      </c>
      <c r="J1805" s="24">
        <v>40360</v>
      </c>
      <c r="K1805" t="s">
        <v>26</v>
      </c>
      <c r="L1805" s="25" t="s">
        <v>68</v>
      </c>
      <c r="M1805" s="24">
        <v>36251</v>
      </c>
      <c r="N1805" s="24">
        <v>40360</v>
      </c>
      <c r="O1805" t="s">
        <v>26</v>
      </c>
      <c r="P1805" s="24">
        <v>36251</v>
      </c>
      <c r="Q1805" s="24">
        <v>40360</v>
      </c>
      <c r="R1805" t="s">
        <v>26</v>
      </c>
      <c r="S1805" t="s">
        <v>26</v>
      </c>
      <c r="T1805" t="s">
        <v>26</v>
      </c>
      <c r="U1805" t="s">
        <v>26</v>
      </c>
      <c r="V1805" t="s">
        <v>26</v>
      </c>
      <c r="W1805" s="24">
        <v>19450</v>
      </c>
      <c r="X1805" s="25" t="s">
        <v>77</v>
      </c>
      <c r="Y1805" t="s">
        <v>26</v>
      </c>
      <c r="Z1805" s="24">
        <v>19450</v>
      </c>
      <c r="AA1805" s="25" t="s">
        <v>77</v>
      </c>
      <c r="AB1805" t="s">
        <v>26</v>
      </c>
      <c r="AC1805" s="24">
        <v>36251</v>
      </c>
      <c r="AD1805" s="25" t="s">
        <v>77</v>
      </c>
      <c r="AE1805" t="s">
        <v>26</v>
      </c>
      <c r="AF1805" t="s">
        <v>26</v>
      </c>
      <c r="AG1805" t="s">
        <v>26</v>
      </c>
      <c r="AH1805" t="s">
        <v>26</v>
      </c>
      <c r="AI1805" t="s">
        <v>26</v>
      </c>
      <c r="AJ1805" t="s">
        <v>26</v>
      </c>
      <c r="AK1805" t="s">
        <v>26</v>
      </c>
      <c r="AL1805" t="s">
        <v>26</v>
      </c>
      <c r="AM1805" t="s">
        <v>26</v>
      </c>
      <c r="AN1805" t="s">
        <v>26</v>
      </c>
      <c r="AO1805" s="25" t="s">
        <v>68</v>
      </c>
      <c r="AP1805" s="23" t="s">
        <v>69</v>
      </c>
      <c r="AQ1805" s="23" t="s">
        <v>30</v>
      </c>
      <c r="AR1805" s="23" t="s">
        <v>4788</v>
      </c>
      <c r="AS1805" s="25">
        <v>42361</v>
      </c>
      <c r="AT1805" t="s">
        <v>26</v>
      </c>
      <c r="AU1805" t="s">
        <v>24594</v>
      </c>
    </row>
    <row r="1806" spans="1:47" ht="26.25" x14ac:dyDescent="0.4">
      <c r="A1806" s="23" t="s">
        <v>4789</v>
      </c>
      <c r="B1806" t="s">
        <v>26</v>
      </c>
      <c r="C1806" s="23" t="s">
        <v>320</v>
      </c>
      <c r="D1806" s="23" t="s">
        <v>22242</v>
      </c>
      <c r="E1806" s="23" t="s">
        <v>42</v>
      </c>
      <c r="F1806" s="25" t="s">
        <v>4790</v>
      </c>
      <c r="G1806" s="25" t="s">
        <v>4791</v>
      </c>
      <c r="H1806" t="s">
        <v>26</v>
      </c>
      <c r="I1806" t="s">
        <v>26</v>
      </c>
      <c r="J1806" t="s">
        <v>26</v>
      </c>
      <c r="K1806" t="s">
        <v>26</v>
      </c>
      <c r="L1806" s="25" t="s">
        <v>68</v>
      </c>
      <c r="M1806" t="s">
        <v>26</v>
      </c>
      <c r="N1806" t="s">
        <v>26</v>
      </c>
      <c r="O1806" t="s">
        <v>26</v>
      </c>
      <c r="P1806" t="s">
        <v>26</v>
      </c>
      <c r="Q1806" t="s">
        <v>26</v>
      </c>
      <c r="R1806" t="s">
        <v>26</v>
      </c>
      <c r="S1806" t="s">
        <v>26</v>
      </c>
      <c r="T1806" t="s">
        <v>26</v>
      </c>
      <c r="U1806" t="s">
        <v>26</v>
      </c>
      <c r="V1806" t="s">
        <v>26</v>
      </c>
      <c r="W1806" s="24">
        <v>42036</v>
      </c>
      <c r="X1806" s="25" t="s">
        <v>77</v>
      </c>
      <c r="Y1806" t="s">
        <v>26</v>
      </c>
      <c r="Z1806" s="24">
        <v>42036</v>
      </c>
      <c r="AA1806" s="25" t="s">
        <v>77</v>
      </c>
      <c r="AB1806" t="s">
        <v>26</v>
      </c>
      <c r="AC1806" s="24">
        <v>42036</v>
      </c>
      <c r="AD1806" s="25" t="s">
        <v>77</v>
      </c>
      <c r="AE1806" t="s">
        <v>26</v>
      </c>
      <c r="AF1806" t="s">
        <v>26</v>
      </c>
      <c r="AG1806" t="s">
        <v>26</v>
      </c>
      <c r="AH1806" t="s">
        <v>26</v>
      </c>
      <c r="AI1806" t="s">
        <v>26</v>
      </c>
      <c r="AJ1806" t="s">
        <v>26</v>
      </c>
      <c r="AK1806" t="s">
        <v>26</v>
      </c>
      <c r="AL1806" t="s">
        <v>26</v>
      </c>
      <c r="AM1806" t="s">
        <v>26</v>
      </c>
      <c r="AN1806" t="s">
        <v>26</v>
      </c>
      <c r="AO1806" s="25" t="s">
        <v>68</v>
      </c>
      <c r="AP1806" s="23" t="s">
        <v>69</v>
      </c>
      <c r="AQ1806" s="23" t="s">
        <v>620</v>
      </c>
      <c r="AR1806" s="23" t="s">
        <v>337</v>
      </c>
      <c r="AS1806" s="25">
        <v>2037979</v>
      </c>
      <c r="AT1806" t="s">
        <v>26</v>
      </c>
      <c r="AU1806" t="s">
        <v>24595</v>
      </c>
    </row>
    <row r="1807" spans="1:47" ht="26.25" x14ac:dyDescent="0.4">
      <c r="A1807" s="23" t="s">
        <v>4792</v>
      </c>
      <c r="B1807" t="s">
        <v>26</v>
      </c>
      <c r="C1807" s="23" t="s">
        <v>320</v>
      </c>
      <c r="D1807" s="23" t="s">
        <v>22294</v>
      </c>
      <c r="E1807" s="23" t="s">
        <v>42</v>
      </c>
      <c r="F1807" s="25" t="s">
        <v>4793</v>
      </c>
      <c r="G1807" s="25" t="s">
        <v>4794</v>
      </c>
      <c r="H1807" t="s">
        <v>26</v>
      </c>
      <c r="I1807" t="s">
        <v>26</v>
      </c>
      <c r="J1807" t="s">
        <v>26</v>
      </c>
      <c r="K1807" t="s">
        <v>26</v>
      </c>
      <c r="L1807" s="25" t="s">
        <v>68</v>
      </c>
      <c r="M1807" t="s">
        <v>26</v>
      </c>
      <c r="N1807" t="s">
        <v>26</v>
      </c>
      <c r="O1807" t="s">
        <v>26</v>
      </c>
      <c r="P1807" t="s">
        <v>26</v>
      </c>
      <c r="Q1807" t="s">
        <v>26</v>
      </c>
      <c r="R1807" t="s">
        <v>26</v>
      </c>
      <c r="S1807" t="s">
        <v>26</v>
      </c>
      <c r="T1807" t="s">
        <v>26</v>
      </c>
      <c r="U1807" t="s">
        <v>26</v>
      </c>
      <c r="V1807" t="s">
        <v>26</v>
      </c>
      <c r="W1807" s="24">
        <v>42430</v>
      </c>
      <c r="X1807" s="25" t="s">
        <v>77</v>
      </c>
      <c r="Y1807" t="s">
        <v>26</v>
      </c>
      <c r="Z1807" s="24">
        <v>42430</v>
      </c>
      <c r="AA1807" s="25" t="s">
        <v>77</v>
      </c>
      <c r="AB1807" t="s">
        <v>26</v>
      </c>
      <c r="AC1807" s="24">
        <v>42430</v>
      </c>
      <c r="AD1807" s="25" t="s">
        <v>77</v>
      </c>
      <c r="AE1807" t="s">
        <v>26</v>
      </c>
      <c r="AF1807" t="s">
        <v>26</v>
      </c>
      <c r="AG1807" t="s">
        <v>26</v>
      </c>
      <c r="AH1807" t="s">
        <v>26</v>
      </c>
      <c r="AI1807" t="s">
        <v>26</v>
      </c>
      <c r="AJ1807" t="s">
        <v>26</v>
      </c>
      <c r="AK1807" t="s">
        <v>26</v>
      </c>
      <c r="AL1807" t="s">
        <v>26</v>
      </c>
      <c r="AM1807" t="s">
        <v>26</v>
      </c>
      <c r="AN1807" t="s">
        <v>26</v>
      </c>
      <c r="AO1807" s="25" t="s">
        <v>68</v>
      </c>
      <c r="AP1807" s="23" t="s">
        <v>69</v>
      </c>
      <c r="AQ1807" s="23" t="s">
        <v>30</v>
      </c>
      <c r="AR1807" s="23" t="s">
        <v>1419</v>
      </c>
      <c r="AS1807" s="25">
        <v>2033088</v>
      </c>
      <c r="AT1807" t="s">
        <v>26</v>
      </c>
      <c r="AU1807" t="s">
        <v>24596</v>
      </c>
    </row>
    <row r="1808" spans="1:47" ht="26.25" x14ac:dyDescent="0.4">
      <c r="A1808" s="23" t="s">
        <v>4795</v>
      </c>
      <c r="B1808" t="s">
        <v>26</v>
      </c>
      <c r="C1808" s="23" t="s">
        <v>341</v>
      </c>
      <c r="D1808" s="23" t="s">
        <v>24180</v>
      </c>
      <c r="E1808" s="23" t="s">
        <v>60</v>
      </c>
      <c r="F1808" s="25" t="s">
        <v>4796</v>
      </c>
      <c r="G1808" s="25" t="s">
        <v>4797</v>
      </c>
      <c r="H1808" t="s">
        <v>26</v>
      </c>
      <c r="I1808" s="24">
        <v>32112</v>
      </c>
      <c r="J1808" s="25" t="s">
        <v>77</v>
      </c>
      <c r="K1808" s="25" t="s">
        <v>4798</v>
      </c>
      <c r="L1808" s="25" t="s">
        <v>68</v>
      </c>
      <c r="M1808" t="s">
        <v>26</v>
      </c>
      <c r="N1808" t="s">
        <v>26</v>
      </c>
      <c r="O1808" t="s">
        <v>26</v>
      </c>
      <c r="P1808" s="24">
        <v>32112</v>
      </c>
      <c r="Q1808" s="25" t="s">
        <v>77</v>
      </c>
      <c r="R1808" s="25" t="s">
        <v>4798</v>
      </c>
      <c r="S1808" t="s">
        <v>26</v>
      </c>
      <c r="T1808" t="s">
        <v>26</v>
      </c>
      <c r="U1808" t="s">
        <v>26</v>
      </c>
      <c r="V1808" t="s">
        <v>26</v>
      </c>
      <c r="W1808" s="24">
        <v>26207</v>
      </c>
      <c r="X1808" s="25" t="s">
        <v>77</v>
      </c>
      <c r="Y1808" t="s">
        <v>26</v>
      </c>
      <c r="Z1808" s="24">
        <v>26207</v>
      </c>
      <c r="AA1808" s="25" t="s">
        <v>77</v>
      </c>
      <c r="AB1808" t="s">
        <v>26</v>
      </c>
      <c r="AC1808" s="24">
        <v>26207</v>
      </c>
      <c r="AD1808" s="25" t="s">
        <v>77</v>
      </c>
      <c r="AE1808" t="s">
        <v>26</v>
      </c>
      <c r="AF1808" t="s">
        <v>26</v>
      </c>
      <c r="AG1808" t="s">
        <v>26</v>
      </c>
      <c r="AH1808" t="s">
        <v>26</v>
      </c>
      <c r="AI1808" t="s">
        <v>26</v>
      </c>
      <c r="AJ1808" t="s">
        <v>26</v>
      </c>
      <c r="AK1808" t="s">
        <v>26</v>
      </c>
      <c r="AL1808" t="s">
        <v>26</v>
      </c>
      <c r="AM1808" t="s">
        <v>26</v>
      </c>
      <c r="AN1808" t="s">
        <v>26</v>
      </c>
      <c r="AO1808" s="25" t="s">
        <v>68</v>
      </c>
      <c r="AP1808" s="23" t="s">
        <v>69</v>
      </c>
      <c r="AQ1808" s="23" t="s">
        <v>30</v>
      </c>
      <c r="AR1808" s="23" t="s">
        <v>2389</v>
      </c>
      <c r="AS1808" s="25">
        <v>41988</v>
      </c>
      <c r="AT1808" t="s">
        <v>26</v>
      </c>
      <c r="AU1808" t="s">
        <v>24597</v>
      </c>
    </row>
    <row r="1809" spans="1:47" ht="26.25" x14ac:dyDescent="0.4">
      <c r="A1809" s="23" t="s">
        <v>4799</v>
      </c>
      <c r="B1809" t="s">
        <v>26</v>
      </c>
      <c r="C1809" s="23" t="s">
        <v>73</v>
      </c>
      <c r="D1809" s="23" t="s">
        <v>22179</v>
      </c>
      <c r="E1809" s="23" t="s">
        <v>74</v>
      </c>
      <c r="F1809" s="25" t="s">
        <v>4800</v>
      </c>
      <c r="G1809" s="25" t="s">
        <v>4801</v>
      </c>
      <c r="H1809" t="s">
        <v>26</v>
      </c>
      <c r="I1809" s="24">
        <v>35735</v>
      </c>
      <c r="J1809" s="25" t="s">
        <v>77</v>
      </c>
      <c r="K1809" s="25" t="s">
        <v>91</v>
      </c>
      <c r="L1809" s="25" t="s">
        <v>68</v>
      </c>
      <c r="M1809" s="24">
        <v>36251</v>
      </c>
      <c r="N1809" s="24">
        <v>42705</v>
      </c>
      <c r="O1809" t="s">
        <v>26</v>
      </c>
      <c r="P1809" s="24">
        <v>35735</v>
      </c>
      <c r="Q1809" s="25" t="s">
        <v>77</v>
      </c>
      <c r="R1809" s="25" t="s">
        <v>91</v>
      </c>
      <c r="S1809" t="s">
        <v>26</v>
      </c>
      <c r="T1809" t="s">
        <v>26</v>
      </c>
      <c r="U1809" t="s">
        <v>26</v>
      </c>
      <c r="V1809" s="25">
        <v>365</v>
      </c>
      <c r="W1809" s="24">
        <v>35735</v>
      </c>
      <c r="X1809" s="25" t="s">
        <v>77</v>
      </c>
      <c r="Y1809" s="25" t="s">
        <v>91</v>
      </c>
      <c r="Z1809" s="24">
        <v>35735</v>
      </c>
      <c r="AA1809" s="25" t="s">
        <v>77</v>
      </c>
      <c r="AB1809" s="25" t="s">
        <v>91</v>
      </c>
      <c r="AC1809" s="24">
        <v>35735</v>
      </c>
      <c r="AD1809" s="25" t="s">
        <v>77</v>
      </c>
      <c r="AE1809" s="25" t="s">
        <v>24598</v>
      </c>
      <c r="AF1809" t="s">
        <v>26</v>
      </c>
      <c r="AG1809" t="s">
        <v>26</v>
      </c>
      <c r="AH1809" t="s">
        <v>26</v>
      </c>
      <c r="AI1809" t="s">
        <v>26</v>
      </c>
      <c r="AJ1809" t="s">
        <v>26</v>
      </c>
      <c r="AK1809" t="s">
        <v>26</v>
      </c>
      <c r="AL1809" t="s">
        <v>26</v>
      </c>
      <c r="AM1809" t="s">
        <v>26</v>
      </c>
      <c r="AN1809" t="s">
        <v>26</v>
      </c>
      <c r="AO1809" s="25" t="s">
        <v>68</v>
      </c>
      <c r="AP1809" s="23" t="s">
        <v>69</v>
      </c>
      <c r="AQ1809" s="23" t="s">
        <v>30</v>
      </c>
      <c r="AR1809" s="23" t="s">
        <v>4802</v>
      </c>
      <c r="AS1809" s="25">
        <v>37545</v>
      </c>
      <c r="AT1809" t="s">
        <v>26</v>
      </c>
      <c r="AU1809" t="s">
        <v>24599</v>
      </c>
    </row>
    <row r="1810" spans="1:47" ht="26.25" x14ac:dyDescent="0.4">
      <c r="A1810" s="23" t="s">
        <v>4803</v>
      </c>
      <c r="B1810" t="s">
        <v>26</v>
      </c>
      <c r="C1810" s="23" t="s">
        <v>24600</v>
      </c>
      <c r="D1810" s="23" t="s">
        <v>22224</v>
      </c>
      <c r="E1810" s="23" t="s">
        <v>24601</v>
      </c>
      <c r="F1810" s="25" t="s">
        <v>4804</v>
      </c>
      <c r="G1810" s="25" t="s">
        <v>4805</v>
      </c>
      <c r="H1810" t="s">
        <v>26</v>
      </c>
      <c r="I1810" t="s">
        <v>26</v>
      </c>
      <c r="J1810" t="s">
        <v>26</v>
      </c>
      <c r="K1810" t="s">
        <v>26</v>
      </c>
      <c r="L1810" s="25" t="s">
        <v>68</v>
      </c>
      <c r="M1810" t="s">
        <v>26</v>
      </c>
      <c r="N1810" t="s">
        <v>26</v>
      </c>
      <c r="O1810" t="s">
        <v>26</v>
      </c>
      <c r="P1810" t="s">
        <v>26</v>
      </c>
      <c r="Q1810" t="s">
        <v>26</v>
      </c>
      <c r="R1810" t="s">
        <v>26</v>
      </c>
      <c r="S1810" t="s">
        <v>26</v>
      </c>
      <c r="T1810" t="s">
        <v>26</v>
      </c>
      <c r="U1810" t="s">
        <v>26</v>
      </c>
      <c r="V1810" t="s">
        <v>26</v>
      </c>
      <c r="W1810" s="24">
        <v>36526</v>
      </c>
      <c r="X1810" s="24">
        <v>43435</v>
      </c>
      <c r="Y1810" t="s">
        <v>26</v>
      </c>
      <c r="Z1810" s="24">
        <v>36526</v>
      </c>
      <c r="AA1810" s="24">
        <v>43435</v>
      </c>
      <c r="AB1810" t="s">
        <v>26</v>
      </c>
      <c r="AC1810" s="24">
        <v>36526</v>
      </c>
      <c r="AD1810" s="24">
        <v>43435</v>
      </c>
      <c r="AE1810" t="s">
        <v>26</v>
      </c>
      <c r="AF1810" t="s">
        <v>26</v>
      </c>
      <c r="AG1810" t="s">
        <v>26</v>
      </c>
      <c r="AH1810" t="s">
        <v>26</v>
      </c>
      <c r="AI1810" t="s">
        <v>26</v>
      </c>
      <c r="AJ1810" t="s">
        <v>26</v>
      </c>
      <c r="AK1810" t="s">
        <v>26</v>
      </c>
      <c r="AL1810" t="s">
        <v>26</v>
      </c>
      <c r="AM1810" t="s">
        <v>26</v>
      </c>
      <c r="AN1810" t="s">
        <v>26</v>
      </c>
      <c r="AO1810" s="25" t="s">
        <v>68</v>
      </c>
      <c r="AP1810" s="23" t="s">
        <v>69</v>
      </c>
      <c r="AQ1810" s="23" t="s">
        <v>30</v>
      </c>
      <c r="AR1810" s="23" t="s">
        <v>3203</v>
      </c>
      <c r="AS1810" s="25">
        <v>45052</v>
      </c>
      <c r="AT1810" t="s">
        <v>26</v>
      </c>
      <c r="AU1810" t="s">
        <v>24602</v>
      </c>
    </row>
    <row r="1811" spans="1:47" ht="26.25" x14ac:dyDescent="0.4">
      <c r="A1811" s="23" t="s">
        <v>4806</v>
      </c>
      <c r="B1811" t="s">
        <v>26</v>
      </c>
      <c r="C1811" s="23" t="s">
        <v>176</v>
      </c>
      <c r="D1811" s="23" t="s">
        <v>22179</v>
      </c>
      <c r="E1811" s="23" t="s">
        <v>60</v>
      </c>
      <c r="F1811" s="25" t="s">
        <v>4807</v>
      </c>
      <c r="G1811" s="25" t="s">
        <v>4808</v>
      </c>
      <c r="H1811" t="s">
        <v>26</v>
      </c>
      <c r="I1811" t="s">
        <v>26</v>
      </c>
      <c r="J1811" t="s">
        <v>26</v>
      </c>
      <c r="K1811" t="s">
        <v>26</v>
      </c>
      <c r="L1811" s="25" t="s">
        <v>68</v>
      </c>
      <c r="M1811" t="s">
        <v>26</v>
      </c>
      <c r="N1811" t="s">
        <v>26</v>
      </c>
      <c r="O1811" t="s">
        <v>26</v>
      </c>
      <c r="P1811" t="s">
        <v>26</v>
      </c>
      <c r="Q1811" t="s">
        <v>26</v>
      </c>
      <c r="R1811" t="s">
        <v>26</v>
      </c>
      <c r="S1811" t="s">
        <v>26</v>
      </c>
      <c r="T1811" t="s">
        <v>26</v>
      </c>
      <c r="U1811" t="s">
        <v>26</v>
      </c>
      <c r="V1811" t="s">
        <v>26</v>
      </c>
      <c r="W1811" s="24">
        <v>42705</v>
      </c>
      <c r="X1811" s="24">
        <v>44896</v>
      </c>
      <c r="Y1811" t="s">
        <v>26</v>
      </c>
      <c r="Z1811" s="24">
        <v>42705</v>
      </c>
      <c r="AA1811" s="24">
        <v>44896</v>
      </c>
      <c r="AB1811" t="s">
        <v>26</v>
      </c>
      <c r="AC1811" s="24">
        <v>42705</v>
      </c>
      <c r="AD1811" s="24">
        <v>44896</v>
      </c>
      <c r="AE1811" t="s">
        <v>26</v>
      </c>
      <c r="AF1811" t="s">
        <v>26</v>
      </c>
      <c r="AG1811" t="s">
        <v>26</v>
      </c>
      <c r="AH1811" t="s">
        <v>26</v>
      </c>
      <c r="AI1811" t="s">
        <v>26</v>
      </c>
      <c r="AJ1811" t="s">
        <v>26</v>
      </c>
      <c r="AK1811" t="s">
        <v>26</v>
      </c>
      <c r="AL1811" t="s">
        <v>26</v>
      </c>
      <c r="AM1811" t="s">
        <v>26</v>
      </c>
      <c r="AN1811" t="s">
        <v>26</v>
      </c>
      <c r="AO1811" s="25" t="s">
        <v>68</v>
      </c>
      <c r="AP1811" s="23" t="s">
        <v>69</v>
      </c>
      <c r="AQ1811" s="23" t="s">
        <v>30</v>
      </c>
      <c r="AR1811" s="23" t="s">
        <v>123</v>
      </c>
      <c r="AS1811" s="25">
        <v>2033084</v>
      </c>
      <c r="AT1811" t="s">
        <v>26</v>
      </c>
      <c r="AU1811" t="s">
        <v>24603</v>
      </c>
    </row>
    <row r="1812" spans="1:47" ht="26.25" x14ac:dyDescent="0.4">
      <c r="A1812" s="23" t="s">
        <v>4809</v>
      </c>
      <c r="B1812" t="s">
        <v>26</v>
      </c>
      <c r="C1812" s="23" t="s">
        <v>1958</v>
      </c>
      <c r="D1812" s="23" t="s">
        <v>22174</v>
      </c>
      <c r="E1812" s="23" t="s">
        <v>60</v>
      </c>
      <c r="F1812" s="25" t="s">
        <v>4810</v>
      </c>
      <c r="G1812" s="25" t="s">
        <v>4811</v>
      </c>
      <c r="H1812" t="s">
        <v>26</v>
      </c>
      <c r="I1812" t="s">
        <v>26</v>
      </c>
      <c r="J1812" t="s">
        <v>26</v>
      </c>
      <c r="K1812" t="s">
        <v>26</v>
      </c>
      <c r="L1812" s="25" t="s">
        <v>68</v>
      </c>
      <c r="M1812" t="s">
        <v>26</v>
      </c>
      <c r="N1812" t="s">
        <v>26</v>
      </c>
      <c r="O1812" t="s">
        <v>26</v>
      </c>
      <c r="P1812" t="s">
        <v>26</v>
      </c>
      <c r="Q1812" t="s">
        <v>26</v>
      </c>
      <c r="R1812" t="s">
        <v>26</v>
      </c>
      <c r="S1812" t="s">
        <v>26</v>
      </c>
      <c r="T1812" t="s">
        <v>26</v>
      </c>
      <c r="U1812" t="s">
        <v>26</v>
      </c>
      <c r="V1812" t="s">
        <v>26</v>
      </c>
      <c r="W1812" s="24">
        <v>37987</v>
      </c>
      <c r="X1812" s="25" t="s">
        <v>77</v>
      </c>
      <c r="Y1812" t="s">
        <v>26</v>
      </c>
      <c r="Z1812" s="24">
        <v>37987</v>
      </c>
      <c r="AA1812" s="25" t="s">
        <v>77</v>
      </c>
      <c r="AB1812" t="s">
        <v>26</v>
      </c>
      <c r="AC1812" s="24">
        <v>37987</v>
      </c>
      <c r="AD1812" s="25" t="s">
        <v>77</v>
      </c>
      <c r="AE1812" t="s">
        <v>26</v>
      </c>
      <c r="AF1812" t="s">
        <v>26</v>
      </c>
      <c r="AG1812" t="s">
        <v>26</v>
      </c>
      <c r="AH1812" t="s">
        <v>26</v>
      </c>
      <c r="AI1812" t="s">
        <v>26</v>
      </c>
      <c r="AJ1812" t="s">
        <v>26</v>
      </c>
      <c r="AK1812" t="s">
        <v>26</v>
      </c>
      <c r="AL1812" t="s">
        <v>26</v>
      </c>
      <c r="AM1812" t="s">
        <v>26</v>
      </c>
      <c r="AN1812" t="s">
        <v>26</v>
      </c>
      <c r="AO1812" s="25" t="s">
        <v>68</v>
      </c>
      <c r="AP1812" s="23" t="s">
        <v>69</v>
      </c>
      <c r="AQ1812" s="23" t="s">
        <v>30</v>
      </c>
      <c r="AR1812" s="23" t="s">
        <v>337</v>
      </c>
      <c r="AS1812" s="25">
        <v>26633</v>
      </c>
      <c r="AT1812" t="s">
        <v>26</v>
      </c>
      <c r="AU1812" t="s">
        <v>24604</v>
      </c>
    </row>
    <row r="1813" spans="1:47" ht="26.25" x14ac:dyDescent="0.4">
      <c r="A1813" s="23" t="s">
        <v>4812</v>
      </c>
      <c r="B1813" t="s">
        <v>26</v>
      </c>
      <c r="C1813" s="23" t="s">
        <v>607</v>
      </c>
      <c r="D1813" s="23" t="s">
        <v>22179</v>
      </c>
      <c r="E1813" s="23" t="s">
        <v>42</v>
      </c>
      <c r="F1813" s="25" t="s">
        <v>4813</v>
      </c>
      <c r="G1813" s="25" t="s">
        <v>4814</v>
      </c>
      <c r="H1813" t="s">
        <v>26</v>
      </c>
      <c r="I1813" s="24">
        <v>34335</v>
      </c>
      <c r="J1813" s="24">
        <v>39022</v>
      </c>
      <c r="K1813" t="s">
        <v>26</v>
      </c>
      <c r="L1813" s="25" t="s">
        <v>68</v>
      </c>
      <c r="M1813" s="24">
        <v>34335</v>
      </c>
      <c r="N1813" s="24">
        <v>39022</v>
      </c>
      <c r="O1813" t="s">
        <v>26</v>
      </c>
      <c r="P1813" s="24">
        <v>35065</v>
      </c>
      <c r="Q1813" s="24">
        <v>39022</v>
      </c>
      <c r="R1813" t="s">
        <v>26</v>
      </c>
      <c r="S1813" t="s">
        <v>26</v>
      </c>
      <c r="T1813" t="s">
        <v>26</v>
      </c>
      <c r="U1813" t="s">
        <v>26</v>
      </c>
      <c r="V1813" t="s">
        <v>26</v>
      </c>
      <c r="W1813" s="24">
        <v>32540</v>
      </c>
      <c r="X1813" s="25" t="s">
        <v>77</v>
      </c>
      <c r="Y1813" t="s">
        <v>26</v>
      </c>
      <c r="Z1813" s="24">
        <v>32540</v>
      </c>
      <c r="AA1813" s="25" t="s">
        <v>77</v>
      </c>
      <c r="AB1813" t="s">
        <v>26</v>
      </c>
      <c r="AC1813" s="24">
        <v>32540</v>
      </c>
      <c r="AD1813" s="25" t="s">
        <v>77</v>
      </c>
      <c r="AE1813" t="s">
        <v>26</v>
      </c>
      <c r="AF1813" t="s">
        <v>26</v>
      </c>
      <c r="AG1813" t="s">
        <v>26</v>
      </c>
      <c r="AH1813" t="s">
        <v>26</v>
      </c>
      <c r="AI1813" t="s">
        <v>26</v>
      </c>
      <c r="AJ1813" t="s">
        <v>26</v>
      </c>
      <c r="AK1813" t="s">
        <v>26</v>
      </c>
      <c r="AL1813" t="s">
        <v>26</v>
      </c>
      <c r="AM1813" t="s">
        <v>26</v>
      </c>
      <c r="AN1813" t="s">
        <v>26</v>
      </c>
      <c r="AO1813" s="25" t="s">
        <v>68</v>
      </c>
      <c r="AP1813" s="23" t="s">
        <v>69</v>
      </c>
      <c r="AQ1813" s="23" t="s">
        <v>30</v>
      </c>
      <c r="AR1813" s="23" t="s">
        <v>4815</v>
      </c>
      <c r="AS1813" s="25">
        <v>6821</v>
      </c>
      <c r="AT1813" t="s">
        <v>26</v>
      </c>
      <c r="AU1813" t="s">
        <v>24605</v>
      </c>
    </row>
    <row r="1814" spans="1:47" ht="26.25" x14ac:dyDescent="0.4">
      <c r="A1814" s="23" t="s">
        <v>4816</v>
      </c>
      <c r="B1814" t="s">
        <v>26</v>
      </c>
      <c r="C1814" s="23" t="s">
        <v>80</v>
      </c>
      <c r="D1814" s="23" t="s">
        <v>22190</v>
      </c>
      <c r="E1814" s="23" t="s">
        <v>60</v>
      </c>
      <c r="F1814" s="25" t="s">
        <v>4817</v>
      </c>
      <c r="G1814" s="25" t="s">
        <v>4818</v>
      </c>
      <c r="H1814" t="s">
        <v>26</v>
      </c>
      <c r="I1814" t="s">
        <v>26</v>
      </c>
      <c r="J1814" t="s">
        <v>26</v>
      </c>
      <c r="K1814" t="s">
        <v>26</v>
      </c>
      <c r="L1814" s="25" t="s">
        <v>68</v>
      </c>
      <c r="M1814" t="s">
        <v>26</v>
      </c>
      <c r="N1814" t="s">
        <v>26</v>
      </c>
      <c r="O1814" t="s">
        <v>26</v>
      </c>
      <c r="P1814" t="s">
        <v>26</v>
      </c>
      <c r="Q1814" t="s">
        <v>26</v>
      </c>
      <c r="R1814" t="s">
        <v>26</v>
      </c>
      <c r="S1814" t="s">
        <v>26</v>
      </c>
      <c r="T1814" t="s">
        <v>26</v>
      </c>
      <c r="U1814" t="s">
        <v>26</v>
      </c>
      <c r="V1814" t="s">
        <v>26</v>
      </c>
      <c r="W1814" s="24">
        <v>40179</v>
      </c>
      <c r="X1814" s="25" t="s">
        <v>77</v>
      </c>
      <c r="Y1814" t="s">
        <v>26</v>
      </c>
      <c r="Z1814" s="24">
        <v>40179</v>
      </c>
      <c r="AA1814" s="25" t="s">
        <v>77</v>
      </c>
      <c r="AB1814" t="s">
        <v>26</v>
      </c>
      <c r="AC1814" s="24">
        <v>40179</v>
      </c>
      <c r="AD1814" s="25" t="s">
        <v>77</v>
      </c>
      <c r="AE1814" t="s">
        <v>26</v>
      </c>
      <c r="AF1814" t="s">
        <v>26</v>
      </c>
      <c r="AG1814" t="s">
        <v>26</v>
      </c>
      <c r="AH1814" t="s">
        <v>26</v>
      </c>
      <c r="AI1814" t="s">
        <v>26</v>
      </c>
      <c r="AJ1814" t="s">
        <v>26</v>
      </c>
      <c r="AK1814" t="s">
        <v>26</v>
      </c>
      <c r="AL1814" t="s">
        <v>26</v>
      </c>
      <c r="AM1814" t="s">
        <v>26</v>
      </c>
      <c r="AN1814" t="s">
        <v>26</v>
      </c>
      <c r="AO1814" s="25" t="s">
        <v>68</v>
      </c>
      <c r="AP1814" s="23" t="s">
        <v>69</v>
      </c>
      <c r="AQ1814" s="23" t="s">
        <v>30</v>
      </c>
      <c r="AR1814" s="23" t="s">
        <v>46</v>
      </c>
      <c r="AS1814" s="25">
        <v>196155</v>
      </c>
      <c r="AT1814" t="s">
        <v>26</v>
      </c>
      <c r="AU1814" t="s">
        <v>24606</v>
      </c>
    </row>
    <row r="1815" spans="1:47" ht="26.25" x14ac:dyDescent="0.4">
      <c r="A1815" s="23" t="s">
        <v>4819</v>
      </c>
      <c r="B1815" t="s">
        <v>26</v>
      </c>
      <c r="C1815" s="23" t="s">
        <v>80</v>
      </c>
      <c r="D1815" s="23" t="s">
        <v>22184</v>
      </c>
      <c r="E1815" s="23" t="s">
        <v>60</v>
      </c>
      <c r="F1815" s="25" t="s">
        <v>4820</v>
      </c>
      <c r="G1815" s="25" t="s">
        <v>4821</v>
      </c>
      <c r="H1815" t="s">
        <v>26</v>
      </c>
      <c r="I1815" t="s">
        <v>26</v>
      </c>
      <c r="J1815" t="s">
        <v>26</v>
      </c>
      <c r="K1815" t="s">
        <v>26</v>
      </c>
      <c r="L1815" s="25" t="s">
        <v>68</v>
      </c>
      <c r="M1815" t="s">
        <v>26</v>
      </c>
      <c r="N1815" t="s">
        <v>26</v>
      </c>
      <c r="O1815" t="s">
        <v>26</v>
      </c>
      <c r="P1815" t="s">
        <v>26</v>
      </c>
      <c r="Q1815" t="s">
        <v>26</v>
      </c>
      <c r="R1815" t="s">
        <v>26</v>
      </c>
      <c r="S1815" t="s">
        <v>26</v>
      </c>
      <c r="T1815" t="s">
        <v>26</v>
      </c>
      <c r="U1815" t="s">
        <v>26</v>
      </c>
      <c r="V1815" t="s">
        <v>26</v>
      </c>
      <c r="W1815" s="24">
        <v>40238</v>
      </c>
      <c r="X1815" s="25" t="s">
        <v>77</v>
      </c>
      <c r="Y1815" t="s">
        <v>26</v>
      </c>
      <c r="Z1815" s="24">
        <v>40238</v>
      </c>
      <c r="AA1815" s="25" t="s">
        <v>77</v>
      </c>
      <c r="AB1815" t="s">
        <v>26</v>
      </c>
      <c r="AC1815" s="24">
        <v>40238</v>
      </c>
      <c r="AD1815" s="25" t="s">
        <v>77</v>
      </c>
      <c r="AE1815" t="s">
        <v>26</v>
      </c>
      <c r="AF1815" t="s">
        <v>26</v>
      </c>
      <c r="AG1815" t="s">
        <v>26</v>
      </c>
      <c r="AH1815" t="s">
        <v>26</v>
      </c>
      <c r="AI1815" t="s">
        <v>26</v>
      </c>
      <c r="AJ1815" t="s">
        <v>26</v>
      </c>
      <c r="AK1815" t="s">
        <v>26</v>
      </c>
      <c r="AL1815" t="s">
        <v>26</v>
      </c>
      <c r="AM1815" t="s">
        <v>26</v>
      </c>
      <c r="AN1815" t="s">
        <v>26</v>
      </c>
      <c r="AO1815" s="25" t="s">
        <v>68</v>
      </c>
      <c r="AP1815" s="23" t="s">
        <v>69</v>
      </c>
      <c r="AQ1815" s="23" t="s">
        <v>30</v>
      </c>
      <c r="AR1815" s="23" t="s">
        <v>1190</v>
      </c>
      <c r="AS1815" s="25">
        <v>53094</v>
      </c>
      <c r="AT1815" t="s">
        <v>26</v>
      </c>
      <c r="AU1815" t="s">
        <v>24607</v>
      </c>
    </row>
    <row r="1816" spans="1:47" ht="26.25" x14ac:dyDescent="0.4">
      <c r="A1816" s="23" t="s">
        <v>4822</v>
      </c>
      <c r="B1816" t="s">
        <v>26</v>
      </c>
      <c r="C1816" s="23" t="s">
        <v>167</v>
      </c>
      <c r="D1816" s="23" t="s">
        <v>22522</v>
      </c>
      <c r="E1816" s="23" t="s">
        <v>60</v>
      </c>
      <c r="F1816" t="s">
        <v>26</v>
      </c>
      <c r="G1816" s="25" t="s">
        <v>4823</v>
      </c>
      <c r="H1816" t="s">
        <v>26</v>
      </c>
      <c r="I1816" s="24">
        <v>40695</v>
      </c>
      <c r="J1816" s="24">
        <v>44166</v>
      </c>
      <c r="K1816" t="s">
        <v>26</v>
      </c>
      <c r="L1816" s="25" t="s">
        <v>68</v>
      </c>
      <c r="M1816" s="24">
        <v>41061</v>
      </c>
      <c r="N1816" s="24">
        <v>44166</v>
      </c>
      <c r="O1816" t="s">
        <v>26</v>
      </c>
      <c r="P1816" s="24">
        <v>40695</v>
      </c>
      <c r="Q1816" s="24">
        <v>44166</v>
      </c>
      <c r="R1816" t="s">
        <v>26</v>
      </c>
      <c r="S1816" t="s">
        <v>26</v>
      </c>
      <c r="T1816" t="s">
        <v>26</v>
      </c>
      <c r="U1816" t="s">
        <v>26</v>
      </c>
      <c r="V1816" t="s">
        <v>26</v>
      </c>
      <c r="W1816" s="24">
        <v>40695</v>
      </c>
      <c r="X1816" s="24">
        <v>44166</v>
      </c>
      <c r="Y1816" t="s">
        <v>26</v>
      </c>
      <c r="Z1816" s="24">
        <v>40695</v>
      </c>
      <c r="AA1816" s="24">
        <v>44166</v>
      </c>
      <c r="AB1816" t="s">
        <v>26</v>
      </c>
      <c r="AC1816" s="24">
        <v>40695</v>
      </c>
      <c r="AD1816" s="24">
        <v>44166</v>
      </c>
      <c r="AE1816" t="s">
        <v>26</v>
      </c>
      <c r="AF1816" t="s">
        <v>26</v>
      </c>
      <c r="AG1816" t="s">
        <v>26</v>
      </c>
      <c r="AH1816" t="s">
        <v>26</v>
      </c>
      <c r="AI1816" t="s">
        <v>26</v>
      </c>
      <c r="AJ1816" t="s">
        <v>26</v>
      </c>
      <c r="AK1816" t="s">
        <v>26</v>
      </c>
      <c r="AL1816" t="s">
        <v>26</v>
      </c>
      <c r="AM1816" t="s">
        <v>26</v>
      </c>
      <c r="AN1816" t="s">
        <v>26</v>
      </c>
      <c r="AO1816" s="25" t="s">
        <v>68</v>
      </c>
      <c r="AP1816" s="23" t="s">
        <v>69</v>
      </c>
      <c r="AQ1816" s="23" t="s">
        <v>30</v>
      </c>
      <c r="AR1816" s="23" t="s">
        <v>4824</v>
      </c>
      <c r="AS1816" s="25">
        <v>1586355</v>
      </c>
      <c r="AT1816" t="s">
        <v>26</v>
      </c>
      <c r="AU1816" t="s">
        <v>24608</v>
      </c>
    </row>
    <row r="1817" spans="1:47" ht="26.25" x14ac:dyDescent="0.4">
      <c r="A1817" s="23" t="s">
        <v>4822</v>
      </c>
      <c r="B1817" t="s">
        <v>26</v>
      </c>
      <c r="C1817" s="23" t="s">
        <v>259</v>
      </c>
      <c r="D1817" s="23" t="s">
        <v>22174</v>
      </c>
      <c r="E1817" s="23" t="s">
        <v>60</v>
      </c>
      <c r="F1817" t="s">
        <v>26</v>
      </c>
      <c r="G1817" s="25" t="s">
        <v>4823</v>
      </c>
      <c r="H1817" t="s">
        <v>26</v>
      </c>
      <c r="I1817" s="24">
        <v>44197</v>
      </c>
      <c r="J1817" s="25" t="s">
        <v>77</v>
      </c>
      <c r="K1817" t="s">
        <v>26</v>
      </c>
      <c r="L1817" s="25" t="s">
        <v>68</v>
      </c>
      <c r="M1817" s="24">
        <v>44197</v>
      </c>
      <c r="N1817" s="25" t="s">
        <v>77</v>
      </c>
      <c r="O1817" t="s">
        <v>26</v>
      </c>
      <c r="P1817" s="24">
        <v>44197</v>
      </c>
      <c r="Q1817" s="25" t="s">
        <v>77</v>
      </c>
      <c r="R1817" t="s">
        <v>26</v>
      </c>
      <c r="S1817" t="s">
        <v>26</v>
      </c>
      <c r="T1817" t="s">
        <v>26</v>
      </c>
      <c r="U1817" t="s">
        <v>26</v>
      </c>
      <c r="V1817" t="s">
        <v>26</v>
      </c>
      <c r="W1817" s="24">
        <v>44197</v>
      </c>
      <c r="X1817" s="25" t="s">
        <v>77</v>
      </c>
      <c r="Y1817" t="s">
        <v>26</v>
      </c>
      <c r="Z1817" s="24">
        <v>44197</v>
      </c>
      <c r="AA1817" s="25" t="s">
        <v>77</v>
      </c>
      <c r="AB1817" t="s">
        <v>26</v>
      </c>
      <c r="AC1817" s="24">
        <v>44197</v>
      </c>
      <c r="AD1817" s="25" t="s">
        <v>77</v>
      </c>
      <c r="AE1817" t="s">
        <v>26</v>
      </c>
      <c r="AF1817" t="s">
        <v>26</v>
      </c>
      <c r="AG1817" t="s">
        <v>26</v>
      </c>
      <c r="AH1817" t="s">
        <v>26</v>
      </c>
      <c r="AI1817" t="s">
        <v>26</v>
      </c>
      <c r="AJ1817" t="s">
        <v>26</v>
      </c>
      <c r="AK1817" t="s">
        <v>26</v>
      </c>
      <c r="AL1817" t="s">
        <v>26</v>
      </c>
      <c r="AM1817" t="s">
        <v>26</v>
      </c>
      <c r="AN1817" t="s">
        <v>26</v>
      </c>
      <c r="AO1817" s="25" t="s">
        <v>68</v>
      </c>
      <c r="AP1817" s="23" t="s">
        <v>69</v>
      </c>
      <c r="AQ1817" s="23" t="s">
        <v>30</v>
      </c>
      <c r="AR1817" s="23" t="s">
        <v>4824</v>
      </c>
      <c r="AS1817" s="25">
        <v>5453645</v>
      </c>
      <c r="AT1817" t="s">
        <v>26</v>
      </c>
      <c r="AU1817" t="s">
        <v>24609</v>
      </c>
    </row>
    <row r="1818" spans="1:47" ht="26.25" x14ac:dyDescent="0.4">
      <c r="A1818" s="23" t="s">
        <v>4825</v>
      </c>
      <c r="B1818" t="s">
        <v>26</v>
      </c>
      <c r="C1818" s="23" t="s">
        <v>4826</v>
      </c>
      <c r="D1818" s="23" t="s">
        <v>22502</v>
      </c>
      <c r="E1818" s="23" t="s">
        <v>42</v>
      </c>
      <c r="F1818" s="25" t="s">
        <v>4827</v>
      </c>
      <c r="G1818" s="25" t="s">
        <v>4828</v>
      </c>
      <c r="H1818" t="s">
        <v>26</v>
      </c>
      <c r="I1818" s="24">
        <v>38353</v>
      </c>
      <c r="J1818" s="24">
        <v>38353</v>
      </c>
      <c r="K1818" t="s">
        <v>26</v>
      </c>
      <c r="L1818" s="25" t="s">
        <v>68</v>
      </c>
      <c r="M1818" s="24">
        <v>38353</v>
      </c>
      <c r="N1818" s="24">
        <v>38353</v>
      </c>
      <c r="O1818" t="s">
        <v>26</v>
      </c>
      <c r="P1818" s="24">
        <v>38353</v>
      </c>
      <c r="Q1818" s="24">
        <v>38353</v>
      </c>
      <c r="R1818" t="s">
        <v>26</v>
      </c>
      <c r="S1818" t="s">
        <v>26</v>
      </c>
      <c r="T1818" t="s">
        <v>26</v>
      </c>
      <c r="U1818" t="s">
        <v>26</v>
      </c>
      <c r="V1818" t="s">
        <v>26</v>
      </c>
      <c r="W1818" s="24">
        <v>38353</v>
      </c>
      <c r="X1818" s="24">
        <v>38353</v>
      </c>
      <c r="Y1818" t="s">
        <v>26</v>
      </c>
      <c r="Z1818" s="24">
        <v>38353</v>
      </c>
      <c r="AA1818" s="24">
        <v>38353</v>
      </c>
      <c r="AB1818" t="s">
        <v>26</v>
      </c>
      <c r="AC1818" t="s">
        <v>26</v>
      </c>
      <c r="AD1818" t="s">
        <v>26</v>
      </c>
      <c r="AE1818" t="s">
        <v>26</v>
      </c>
      <c r="AF1818" t="s">
        <v>26</v>
      </c>
      <c r="AG1818" t="s">
        <v>26</v>
      </c>
      <c r="AH1818" t="s">
        <v>26</v>
      </c>
      <c r="AI1818" t="s">
        <v>26</v>
      </c>
      <c r="AJ1818" t="s">
        <v>26</v>
      </c>
      <c r="AK1818" t="s">
        <v>26</v>
      </c>
      <c r="AL1818" t="s">
        <v>26</v>
      </c>
      <c r="AM1818" t="s">
        <v>26</v>
      </c>
      <c r="AN1818" t="s">
        <v>26</v>
      </c>
      <c r="AO1818" s="25" t="s">
        <v>68</v>
      </c>
      <c r="AP1818" s="23" t="s">
        <v>69</v>
      </c>
      <c r="AQ1818" s="23" t="s">
        <v>30</v>
      </c>
      <c r="AR1818" s="23" t="s">
        <v>385</v>
      </c>
      <c r="AS1818" s="25">
        <v>34113</v>
      </c>
      <c r="AT1818" t="s">
        <v>26</v>
      </c>
      <c r="AU1818" t="s">
        <v>24610</v>
      </c>
    </row>
    <row r="1819" spans="1:47" ht="26.25" x14ac:dyDescent="0.4">
      <c r="A1819" s="23" t="s">
        <v>4829</v>
      </c>
      <c r="B1819" t="s">
        <v>26</v>
      </c>
      <c r="C1819" s="23" t="s">
        <v>981</v>
      </c>
      <c r="D1819" s="23" t="s">
        <v>22190</v>
      </c>
      <c r="E1819" s="23" t="s">
        <v>42</v>
      </c>
      <c r="F1819" s="25" t="s">
        <v>4830</v>
      </c>
      <c r="G1819" s="25" t="s">
        <v>4831</v>
      </c>
      <c r="H1819" t="s">
        <v>26</v>
      </c>
      <c r="I1819" s="24">
        <v>34366</v>
      </c>
      <c r="J1819" s="24">
        <v>40483</v>
      </c>
      <c r="K1819" t="s">
        <v>26</v>
      </c>
      <c r="L1819" s="25" t="s">
        <v>68</v>
      </c>
      <c r="M1819" s="24">
        <v>34366</v>
      </c>
      <c r="N1819" s="24">
        <v>40483</v>
      </c>
      <c r="O1819" t="s">
        <v>26</v>
      </c>
      <c r="P1819" s="24">
        <v>34973</v>
      </c>
      <c r="Q1819" s="24">
        <v>40483</v>
      </c>
      <c r="R1819" t="s">
        <v>26</v>
      </c>
      <c r="S1819" t="s">
        <v>26</v>
      </c>
      <c r="T1819" t="s">
        <v>26</v>
      </c>
      <c r="U1819" t="s">
        <v>26</v>
      </c>
      <c r="V1819" t="s">
        <v>26</v>
      </c>
      <c r="W1819" s="24">
        <v>32540</v>
      </c>
      <c r="X1819" s="25" t="s">
        <v>77</v>
      </c>
      <c r="Y1819" t="s">
        <v>26</v>
      </c>
      <c r="Z1819" s="24">
        <v>32540</v>
      </c>
      <c r="AA1819" s="25" t="s">
        <v>77</v>
      </c>
      <c r="AB1819" t="s">
        <v>26</v>
      </c>
      <c r="AC1819" s="24">
        <v>32540</v>
      </c>
      <c r="AD1819" s="25" t="s">
        <v>77</v>
      </c>
      <c r="AE1819" t="s">
        <v>26</v>
      </c>
      <c r="AF1819" t="s">
        <v>26</v>
      </c>
      <c r="AG1819" t="s">
        <v>26</v>
      </c>
      <c r="AH1819" t="s">
        <v>26</v>
      </c>
      <c r="AI1819" t="s">
        <v>26</v>
      </c>
      <c r="AJ1819" t="s">
        <v>26</v>
      </c>
      <c r="AK1819" t="s">
        <v>26</v>
      </c>
      <c r="AL1819" t="s">
        <v>26</v>
      </c>
      <c r="AM1819" t="s">
        <v>26</v>
      </c>
      <c r="AN1819" t="s">
        <v>26</v>
      </c>
      <c r="AO1819" s="25" t="s">
        <v>68</v>
      </c>
      <c r="AP1819" s="23" t="s">
        <v>69</v>
      </c>
      <c r="AQ1819" s="23" t="s">
        <v>30</v>
      </c>
      <c r="AR1819" s="23" t="s">
        <v>46</v>
      </c>
      <c r="AS1819" s="25">
        <v>36145</v>
      </c>
      <c r="AT1819" t="s">
        <v>26</v>
      </c>
      <c r="AU1819" t="s">
        <v>24611</v>
      </c>
    </row>
    <row r="1820" spans="1:47" ht="26.25" x14ac:dyDescent="0.4">
      <c r="A1820" s="23" t="s">
        <v>4832</v>
      </c>
      <c r="B1820" t="s">
        <v>26</v>
      </c>
      <c r="C1820" s="23" t="s">
        <v>1958</v>
      </c>
      <c r="D1820" s="23" t="s">
        <v>22174</v>
      </c>
      <c r="E1820" s="23" t="s">
        <v>60</v>
      </c>
      <c r="F1820" s="25" t="s">
        <v>4833</v>
      </c>
      <c r="G1820" s="25" t="s">
        <v>4834</v>
      </c>
      <c r="H1820" t="s">
        <v>26</v>
      </c>
      <c r="I1820" t="s">
        <v>26</v>
      </c>
      <c r="J1820" t="s">
        <v>26</v>
      </c>
      <c r="K1820" t="s">
        <v>26</v>
      </c>
      <c r="L1820" s="25" t="s">
        <v>68</v>
      </c>
      <c r="M1820" t="s">
        <v>26</v>
      </c>
      <c r="N1820" t="s">
        <v>26</v>
      </c>
      <c r="O1820" t="s">
        <v>26</v>
      </c>
      <c r="P1820" t="s">
        <v>26</v>
      </c>
      <c r="Q1820" t="s">
        <v>26</v>
      </c>
      <c r="R1820" t="s">
        <v>26</v>
      </c>
      <c r="S1820" t="s">
        <v>26</v>
      </c>
      <c r="T1820" t="s">
        <v>26</v>
      </c>
      <c r="U1820" t="s">
        <v>26</v>
      </c>
      <c r="V1820" t="s">
        <v>26</v>
      </c>
      <c r="W1820" s="24">
        <v>37895</v>
      </c>
      <c r="X1820" s="25" t="s">
        <v>77</v>
      </c>
      <c r="Y1820" t="s">
        <v>26</v>
      </c>
      <c r="Z1820" s="24">
        <v>37895</v>
      </c>
      <c r="AA1820" s="25" t="s">
        <v>77</v>
      </c>
      <c r="AB1820" t="s">
        <v>26</v>
      </c>
      <c r="AC1820" s="24">
        <v>37895</v>
      </c>
      <c r="AD1820" s="25" t="s">
        <v>77</v>
      </c>
      <c r="AE1820" t="s">
        <v>26</v>
      </c>
      <c r="AF1820" t="s">
        <v>26</v>
      </c>
      <c r="AG1820" t="s">
        <v>26</v>
      </c>
      <c r="AH1820" t="s">
        <v>26</v>
      </c>
      <c r="AI1820" t="s">
        <v>26</v>
      </c>
      <c r="AJ1820" t="s">
        <v>26</v>
      </c>
      <c r="AK1820" t="s">
        <v>26</v>
      </c>
      <c r="AL1820" t="s">
        <v>26</v>
      </c>
      <c r="AM1820" t="s">
        <v>26</v>
      </c>
      <c r="AN1820" t="s">
        <v>26</v>
      </c>
      <c r="AO1820" s="25" t="s">
        <v>68</v>
      </c>
      <c r="AP1820" s="23" t="s">
        <v>69</v>
      </c>
      <c r="AQ1820" s="23" t="s">
        <v>30</v>
      </c>
      <c r="AR1820" s="23" t="s">
        <v>147</v>
      </c>
      <c r="AS1820" s="25">
        <v>47165</v>
      </c>
      <c r="AT1820" t="s">
        <v>26</v>
      </c>
      <c r="AU1820" t="s">
        <v>24612</v>
      </c>
    </row>
    <row r="1821" spans="1:47" ht="26.25" x14ac:dyDescent="0.4">
      <c r="A1821" s="23" t="s">
        <v>4835</v>
      </c>
      <c r="B1821" t="s">
        <v>26</v>
      </c>
      <c r="C1821" s="23" t="s">
        <v>80</v>
      </c>
      <c r="D1821" s="23" t="s">
        <v>22254</v>
      </c>
      <c r="E1821" s="23" t="s">
        <v>60</v>
      </c>
      <c r="F1821" s="25" t="s">
        <v>4836</v>
      </c>
      <c r="G1821" s="25" t="s">
        <v>4837</v>
      </c>
      <c r="H1821" t="s">
        <v>26</v>
      </c>
      <c r="I1821" s="24">
        <v>35431</v>
      </c>
      <c r="J1821" s="24">
        <v>41183</v>
      </c>
      <c r="K1821" t="s">
        <v>26</v>
      </c>
      <c r="L1821" s="25" t="s">
        <v>68</v>
      </c>
      <c r="M1821" s="24">
        <v>35431</v>
      </c>
      <c r="N1821" s="24">
        <v>41183</v>
      </c>
      <c r="O1821" t="s">
        <v>26</v>
      </c>
      <c r="P1821" s="24">
        <v>35431</v>
      </c>
      <c r="Q1821" s="24">
        <v>41183</v>
      </c>
      <c r="R1821" t="s">
        <v>26</v>
      </c>
      <c r="S1821" t="s">
        <v>26</v>
      </c>
      <c r="T1821" t="s">
        <v>26</v>
      </c>
      <c r="U1821" t="s">
        <v>26</v>
      </c>
      <c r="V1821" t="s">
        <v>26</v>
      </c>
      <c r="W1821" s="24">
        <v>35431</v>
      </c>
      <c r="X1821" s="25" t="s">
        <v>77</v>
      </c>
      <c r="Y1821" t="s">
        <v>26</v>
      </c>
      <c r="Z1821" s="24">
        <v>35431</v>
      </c>
      <c r="AA1821" s="25" t="s">
        <v>77</v>
      </c>
      <c r="AB1821" t="s">
        <v>26</v>
      </c>
      <c r="AC1821" s="24">
        <v>37987</v>
      </c>
      <c r="AD1821" s="25" t="s">
        <v>77</v>
      </c>
      <c r="AE1821" t="s">
        <v>26</v>
      </c>
      <c r="AF1821" t="s">
        <v>26</v>
      </c>
      <c r="AG1821" t="s">
        <v>26</v>
      </c>
      <c r="AH1821" t="s">
        <v>26</v>
      </c>
      <c r="AI1821" t="s">
        <v>26</v>
      </c>
      <c r="AJ1821" t="s">
        <v>26</v>
      </c>
      <c r="AK1821" t="s">
        <v>26</v>
      </c>
      <c r="AL1821" t="s">
        <v>26</v>
      </c>
      <c r="AM1821" t="s">
        <v>26</v>
      </c>
      <c r="AN1821" t="s">
        <v>26</v>
      </c>
      <c r="AO1821" s="25" t="s">
        <v>68</v>
      </c>
      <c r="AP1821" s="23" t="s">
        <v>69</v>
      </c>
      <c r="AQ1821" s="23" t="s">
        <v>30</v>
      </c>
      <c r="AR1821" s="23" t="s">
        <v>1468</v>
      </c>
      <c r="AS1821" s="25">
        <v>48631</v>
      </c>
      <c r="AT1821" t="s">
        <v>26</v>
      </c>
      <c r="AU1821" t="s">
        <v>24613</v>
      </c>
    </row>
    <row r="1822" spans="1:47" ht="26.25" x14ac:dyDescent="0.4">
      <c r="A1822" s="23" t="s">
        <v>4838</v>
      </c>
      <c r="B1822" t="s">
        <v>26</v>
      </c>
      <c r="C1822" s="23" t="s">
        <v>1504</v>
      </c>
      <c r="D1822" s="23" t="s">
        <v>22179</v>
      </c>
      <c r="E1822" s="23" t="s">
        <v>42</v>
      </c>
      <c r="F1822" s="25" t="s">
        <v>4839</v>
      </c>
      <c r="G1822" t="s">
        <v>26</v>
      </c>
      <c r="H1822" t="s">
        <v>26</v>
      </c>
      <c r="I1822" s="24">
        <v>38443</v>
      </c>
      <c r="J1822" s="24">
        <v>38626</v>
      </c>
      <c r="K1822" t="s">
        <v>26</v>
      </c>
      <c r="L1822" s="25" t="s">
        <v>68</v>
      </c>
      <c r="M1822" s="24">
        <v>38443</v>
      </c>
      <c r="N1822" s="24">
        <v>38626</v>
      </c>
      <c r="O1822" t="s">
        <v>26</v>
      </c>
      <c r="P1822" s="24">
        <v>38443</v>
      </c>
      <c r="Q1822" s="24">
        <v>38626</v>
      </c>
      <c r="R1822" t="s">
        <v>26</v>
      </c>
      <c r="S1822" t="s">
        <v>26</v>
      </c>
      <c r="T1822" t="s">
        <v>26</v>
      </c>
      <c r="U1822" t="s">
        <v>26</v>
      </c>
      <c r="V1822" t="s">
        <v>26</v>
      </c>
      <c r="W1822" s="24">
        <v>38443</v>
      </c>
      <c r="X1822" s="24">
        <v>38626</v>
      </c>
      <c r="Y1822" t="s">
        <v>26</v>
      </c>
      <c r="Z1822" s="24">
        <v>38443</v>
      </c>
      <c r="AA1822" s="24">
        <v>38626</v>
      </c>
      <c r="AB1822" t="s">
        <v>26</v>
      </c>
      <c r="AC1822" t="s">
        <v>26</v>
      </c>
      <c r="AD1822" t="s">
        <v>26</v>
      </c>
      <c r="AE1822" t="s">
        <v>26</v>
      </c>
      <c r="AF1822" t="s">
        <v>26</v>
      </c>
      <c r="AG1822" t="s">
        <v>26</v>
      </c>
      <c r="AH1822" t="s">
        <v>26</v>
      </c>
      <c r="AI1822" t="s">
        <v>26</v>
      </c>
      <c r="AJ1822" t="s">
        <v>26</v>
      </c>
      <c r="AK1822" t="s">
        <v>26</v>
      </c>
      <c r="AL1822" t="s">
        <v>26</v>
      </c>
      <c r="AM1822" t="s">
        <v>26</v>
      </c>
      <c r="AN1822" t="s">
        <v>26</v>
      </c>
      <c r="AO1822" s="25" t="s">
        <v>68</v>
      </c>
      <c r="AP1822" s="23" t="s">
        <v>69</v>
      </c>
      <c r="AQ1822" s="23" t="s">
        <v>30</v>
      </c>
      <c r="AR1822" s="23" t="s">
        <v>147</v>
      </c>
      <c r="AS1822" s="25">
        <v>28851</v>
      </c>
      <c r="AT1822" t="s">
        <v>26</v>
      </c>
      <c r="AU1822" t="s">
        <v>24614</v>
      </c>
    </row>
    <row r="1823" spans="1:47" ht="26.25" x14ac:dyDescent="0.4">
      <c r="A1823" s="23" t="s">
        <v>4840</v>
      </c>
      <c r="B1823" t="s">
        <v>26</v>
      </c>
      <c r="C1823" s="23" t="s">
        <v>80</v>
      </c>
      <c r="D1823" s="23" t="s">
        <v>24008</v>
      </c>
      <c r="E1823" s="23" t="s">
        <v>60</v>
      </c>
      <c r="F1823" s="25" t="s">
        <v>4841</v>
      </c>
      <c r="G1823" t="s">
        <v>26</v>
      </c>
      <c r="H1823" t="s">
        <v>26</v>
      </c>
      <c r="I1823" t="s">
        <v>26</v>
      </c>
      <c r="J1823" t="s">
        <v>26</v>
      </c>
      <c r="K1823" t="s">
        <v>26</v>
      </c>
      <c r="L1823" s="25" t="s">
        <v>68</v>
      </c>
      <c r="M1823" t="s">
        <v>26</v>
      </c>
      <c r="N1823" t="s">
        <v>26</v>
      </c>
      <c r="O1823" t="s">
        <v>26</v>
      </c>
      <c r="P1823" t="s">
        <v>26</v>
      </c>
      <c r="Q1823" t="s">
        <v>26</v>
      </c>
      <c r="R1823" t="s">
        <v>26</v>
      </c>
      <c r="S1823" t="s">
        <v>26</v>
      </c>
      <c r="T1823" t="s">
        <v>26</v>
      </c>
      <c r="U1823" t="s">
        <v>26</v>
      </c>
      <c r="V1823" t="s">
        <v>26</v>
      </c>
      <c r="W1823" s="24">
        <v>43101</v>
      </c>
      <c r="X1823" s="25" t="s">
        <v>77</v>
      </c>
      <c r="Y1823" t="s">
        <v>26</v>
      </c>
      <c r="Z1823" s="24">
        <v>43101</v>
      </c>
      <c r="AA1823" s="25" t="s">
        <v>77</v>
      </c>
      <c r="AB1823" t="s">
        <v>26</v>
      </c>
      <c r="AC1823" s="24">
        <v>43101</v>
      </c>
      <c r="AD1823" s="25" t="s">
        <v>77</v>
      </c>
      <c r="AE1823" t="s">
        <v>26</v>
      </c>
      <c r="AF1823" t="s">
        <v>26</v>
      </c>
      <c r="AG1823" t="s">
        <v>26</v>
      </c>
      <c r="AH1823" t="s">
        <v>26</v>
      </c>
      <c r="AI1823" t="s">
        <v>26</v>
      </c>
      <c r="AJ1823" t="s">
        <v>26</v>
      </c>
      <c r="AK1823" t="s">
        <v>26</v>
      </c>
      <c r="AL1823" t="s">
        <v>26</v>
      </c>
      <c r="AM1823" t="s">
        <v>26</v>
      </c>
      <c r="AN1823" t="s">
        <v>26</v>
      </c>
      <c r="AO1823" s="25" t="s">
        <v>68</v>
      </c>
      <c r="AP1823" s="23" t="s">
        <v>69</v>
      </c>
      <c r="AQ1823" s="23" t="s">
        <v>30</v>
      </c>
      <c r="AR1823" s="23" t="s">
        <v>46</v>
      </c>
      <c r="AS1823" s="25">
        <v>2033079</v>
      </c>
      <c r="AT1823" t="s">
        <v>26</v>
      </c>
      <c r="AU1823" t="s">
        <v>24615</v>
      </c>
    </row>
    <row r="1824" spans="1:47" ht="26.25" x14ac:dyDescent="0.4">
      <c r="A1824" s="23" t="s">
        <v>24616</v>
      </c>
      <c r="B1824" t="s">
        <v>26</v>
      </c>
      <c r="C1824" s="23" t="s">
        <v>24617</v>
      </c>
      <c r="D1824" s="23" t="s">
        <v>23536</v>
      </c>
      <c r="E1824" s="23" t="s">
        <v>42</v>
      </c>
      <c r="F1824" s="25" t="s">
        <v>24618</v>
      </c>
      <c r="G1824" t="s">
        <v>26</v>
      </c>
      <c r="H1824" t="s">
        <v>26</v>
      </c>
      <c r="I1824" s="24">
        <v>42005</v>
      </c>
      <c r="J1824" s="25" t="s">
        <v>77</v>
      </c>
      <c r="K1824" s="25" t="s">
        <v>24619</v>
      </c>
      <c r="L1824" s="25" t="s">
        <v>68</v>
      </c>
      <c r="M1824" t="s">
        <v>26</v>
      </c>
      <c r="N1824" t="s">
        <v>26</v>
      </c>
      <c r="O1824" t="s">
        <v>26</v>
      </c>
      <c r="P1824" s="24">
        <v>42005</v>
      </c>
      <c r="Q1824" s="25" t="s">
        <v>77</v>
      </c>
      <c r="R1824" s="25" t="s">
        <v>24619</v>
      </c>
      <c r="S1824" t="s">
        <v>26</v>
      </c>
      <c r="T1824" t="s">
        <v>26</v>
      </c>
      <c r="U1824" t="s">
        <v>26</v>
      </c>
      <c r="V1824" t="s">
        <v>26</v>
      </c>
      <c r="W1824" s="24">
        <v>42005</v>
      </c>
      <c r="X1824" s="25" t="s">
        <v>77</v>
      </c>
      <c r="Y1824" s="25" t="s">
        <v>24619</v>
      </c>
      <c r="Z1824" s="24">
        <v>42005</v>
      </c>
      <c r="AA1824" s="25" t="s">
        <v>77</v>
      </c>
      <c r="AB1824" s="25" t="s">
        <v>24619</v>
      </c>
      <c r="AC1824" s="24">
        <v>42005</v>
      </c>
      <c r="AD1824" s="25" t="s">
        <v>77</v>
      </c>
      <c r="AE1824" s="25" t="s">
        <v>24619</v>
      </c>
      <c r="AF1824" t="s">
        <v>26</v>
      </c>
      <c r="AG1824" t="s">
        <v>26</v>
      </c>
      <c r="AH1824" t="s">
        <v>26</v>
      </c>
      <c r="AI1824" t="s">
        <v>26</v>
      </c>
      <c r="AJ1824" t="s">
        <v>26</v>
      </c>
      <c r="AK1824" t="s">
        <v>26</v>
      </c>
      <c r="AL1824" t="s">
        <v>26</v>
      </c>
      <c r="AM1824" t="s">
        <v>26</v>
      </c>
      <c r="AN1824" t="s">
        <v>26</v>
      </c>
      <c r="AO1824" s="25" t="s">
        <v>68</v>
      </c>
      <c r="AP1824" s="23" t="s">
        <v>69</v>
      </c>
      <c r="AQ1824" s="23" t="s">
        <v>30</v>
      </c>
      <c r="AR1824" s="23" t="s">
        <v>147</v>
      </c>
      <c r="AS1824" s="25">
        <v>6422117</v>
      </c>
      <c r="AT1824" t="s">
        <v>26</v>
      </c>
      <c r="AU1824" t="s">
        <v>24620</v>
      </c>
    </row>
    <row r="1825" spans="1:47" ht="26.25" x14ac:dyDescent="0.4">
      <c r="A1825" s="23" t="s">
        <v>4842</v>
      </c>
      <c r="B1825" t="s">
        <v>26</v>
      </c>
      <c r="C1825" s="23" t="s">
        <v>65</v>
      </c>
      <c r="D1825" s="23" t="s">
        <v>22179</v>
      </c>
      <c r="E1825" s="23" t="s">
        <v>42</v>
      </c>
      <c r="F1825" s="25" t="s">
        <v>4843</v>
      </c>
      <c r="G1825" s="25" t="s">
        <v>4844</v>
      </c>
      <c r="H1825" t="s">
        <v>26</v>
      </c>
      <c r="I1825" s="24">
        <v>30376</v>
      </c>
      <c r="J1825" s="24">
        <v>43070</v>
      </c>
      <c r="K1825" t="s">
        <v>26</v>
      </c>
      <c r="L1825" s="25" t="s">
        <v>68</v>
      </c>
      <c r="M1825" s="24">
        <v>30376</v>
      </c>
      <c r="N1825" s="24">
        <v>40269</v>
      </c>
      <c r="O1825" t="s">
        <v>26</v>
      </c>
      <c r="P1825" s="24">
        <v>30376</v>
      </c>
      <c r="Q1825" s="24">
        <v>43070</v>
      </c>
      <c r="R1825" t="s">
        <v>26</v>
      </c>
      <c r="S1825" t="s">
        <v>26</v>
      </c>
      <c r="T1825" t="s">
        <v>26</v>
      </c>
      <c r="U1825" t="s">
        <v>26</v>
      </c>
      <c r="V1825" t="s">
        <v>26</v>
      </c>
      <c r="W1825" s="24">
        <v>30376</v>
      </c>
      <c r="X1825" s="25" t="s">
        <v>77</v>
      </c>
      <c r="Y1825" t="s">
        <v>26</v>
      </c>
      <c r="Z1825" s="24">
        <v>30376</v>
      </c>
      <c r="AA1825" s="25" t="s">
        <v>77</v>
      </c>
      <c r="AB1825" t="s">
        <v>26</v>
      </c>
      <c r="AC1825" s="24">
        <v>30376</v>
      </c>
      <c r="AD1825" s="25" t="s">
        <v>77</v>
      </c>
      <c r="AE1825" s="25" t="s">
        <v>24621</v>
      </c>
      <c r="AF1825" t="s">
        <v>26</v>
      </c>
      <c r="AG1825" t="s">
        <v>26</v>
      </c>
      <c r="AH1825" t="s">
        <v>26</v>
      </c>
      <c r="AI1825" t="s">
        <v>26</v>
      </c>
      <c r="AJ1825" t="s">
        <v>26</v>
      </c>
      <c r="AK1825" t="s">
        <v>26</v>
      </c>
      <c r="AL1825" t="s">
        <v>26</v>
      </c>
      <c r="AM1825" t="s">
        <v>26</v>
      </c>
      <c r="AN1825" t="s">
        <v>26</v>
      </c>
      <c r="AO1825" s="25" t="s">
        <v>68</v>
      </c>
      <c r="AP1825" s="23" t="s">
        <v>69</v>
      </c>
      <c r="AQ1825" s="23" t="s">
        <v>30</v>
      </c>
      <c r="AR1825" s="23" t="s">
        <v>46</v>
      </c>
      <c r="AS1825" s="25">
        <v>37398</v>
      </c>
      <c r="AT1825" t="s">
        <v>26</v>
      </c>
      <c r="AU1825" t="s">
        <v>24622</v>
      </c>
    </row>
    <row r="1826" spans="1:47" ht="26.25" x14ac:dyDescent="0.4">
      <c r="A1826" s="23" t="s">
        <v>4845</v>
      </c>
      <c r="B1826" t="s">
        <v>26</v>
      </c>
      <c r="C1826" s="23" t="s">
        <v>181</v>
      </c>
      <c r="D1826" s="23" t="s">
        <v>22174</v>
      </c>
      <c r="E1826" s="23" t="s">
        <v>60</v>
      </c>
      <c r="F1826" s="25" t="s">
        <v>4846</v>
      </c>
      <c r="G1826" s="25" t="s">
        <v>4847</v>
      </c>
      <c r="H1826" t="s">
        <v>26</v>
      </c>
      <c r="I1826" t="s">
        <v>26</v>
      </c>
      <c r="J1826" t="s">
        <v>26</v>
      </c>
      <c r="K1826" t="s">
        <v>26</v>
      </c>
      <c r="L1826" s="25" t="s">
        <v>68</v>
      </c>
      <c r="M1826" t="s">
        <v>26</v>
      </c>
      <c r="N1826" t="s">
        <v>26</v>
      </c>
      <c r="O1826" t="s">
        <v>26</v>
      </c>
      <c r="P1826" t="s">
        <v>26</v>
      </c>
      <c r="Q1826" t="s">
        <v>26</v>
      </c>
      <c r="R1826" t="s">
        <v>26</v>
      </c>
      <c r="S1826" t="s">
        <v>26</v>
      </c>
      <c r="T1826" t="s">
        <v>26</v>
      </c>
      <c r="U1826" t="s">
        <v>26</v>
      </c>
      <c r="V1826" t="s">
        <v>26</v>
      </c>
      <c r="W1826" s="24">
        <v>37712</v>
      </c>
      <c r="X1826" s="25" t="s">
        <v>77</v>
      </c>
      <c r="Y1826" t="s">
        <v>26</v>
      </c>
      <c r="Z1826" s="24">
        <v>37712</v>
      </c>
      <c r="AA1826" s="25" t="s">
        <v>77</v>
      </c>
      <c r="AB1826" t="s">
        <v>26</v>
      </c>
      <c r="AC1826" s="24">
        <v>37712</v>
      </c>
      <c r="AD1826" s="25" t="s">
        <v>77</v>
      </c>
      <c r="AE1826" t="s">
        <v>26</v>
      </c>
      <c r="AF1826" t="s">
        <v>26</v>
      </c>
      <c r="AG1826" t="s">
        <v>26</v>
      </c>
      <c r="AH1826" t="s">
        <v>26</v>
      </c>
      <c r="AI1826" t="s">
        <v>26</v>
      </c>
      <c r="AJ1826" t="s">
        <v>26</v>
      </c>
      <c r="AK1826" t="s">
        <v>26</v>
      </c>
      <c r="AL1826" t="s">
        <v>26</v>
      </c>
      <c r="AM1826" t="s">
        <v>26</v>
      </c>
      <c r="AN1826" t="s">
        <v>26</v>
      </c>
      <c r="AO1826" s="25" t="s">
        <v>68</v>
      </c>
      <c r="AP1826" s="23" t="s">
        <v>69</v>
      </c>
      <c r="AQ1826" s="23" t="s">
        <v>30</v>
      </c>
      <c r="AR1826" s="23" t="s">
        <v>46</v>
      </c>
      <c r="AS1826" s="25">
        <v>34119</v>
      </c>
      <c r="AT1826" t="s">
        <v>26</v>
      </c>
      <c r="AU1826" t="s">
        <v>24623</v>
      </c>
    </row>
    <row r="1827" spans="1:47" ht="26.25" x14ac:dyDescent="0.4">
      <c r="A1827" s="23" t="s">
        <v>24624</v>
      </c>
      <c r="B1827" t="s">
        <v>26</v>
      </c>
      <c r="C1827" s="23" t="s">
        <v>24617</v>
      </c>
      <c r="D1827" s="23" t="s">
        <v>23536</v>
      </c>
      <c r="E1827" s="23" t="s">
        <v>42</v>
      </c>
      <c r="F1827" s="25" t="s">
        <v>24625</v>
      </c>
      <c r="G1827" t="s">
        <v>26</v>
      </c>
      <c r="H1827" t="s">
        <v>26</v>
      </c>
      <c r="I1827" s="24">
        <v>39083</v>
      </c>
      <c r="J1827" s="25" t="s">
        <v>77</v>
      </c>
      <c r="K1827" t="s">
        <v>26</v>
      </c>
      <c r="L1827" s="25" t="s">
        <v>68</v>
      </c>
      <c r="M1827" t="s">
        <v>26</v>
      </c>
      <c r="N1827" t="s">
        <v>26</v>
      </c>
      <c r="O1827" t="s">
        <v>26</v>
      </c>
      <c r="P1827" s="24">
        <v>39083</v>
      </c>
      <c r="Q1827" s="25" t="s">
        <v>77</v>
      </c>
      <c r="R1827" t="s">
        <v>26</v>
      </c>
      <c r="S1827" t="s">
        <v>26</v>
      </c>
      <c r="T1827" t="s">
        <v>26</v>
      </c>
      <c r="U1827" t="s">
        <v>26</v>
      </c>
      <c r="V1827" t="s">
        <v>26</v>
      </c>
      <c r="W1827" s="24">
        <v>39083</v>
      </c>
      <c r="X1827" s="25" t="s">
        <v>77</v>
      </c>
      <c r="Y1827" t="s">
        <v>26</v>
      </c>
      <c r="Z1827" s="24">
        <v>39083</v>
      </c>
      <c r="AA1827" s="25" t="s">
        <v>77</v>
      </c>
      <c r="AB1827" t="s">
        <v>26</v>
      </c>
      <c r="AC1827" s="24">
        <v>39083</v>
      </c>
      <c r="AD1827" s="25" t="s">
        <v>77</v>
      </c>
      <c r="AE1827" t="s">
        <v>26</v>
      </c>
      <c r="AF1827" t="s">
        <v>26</v>
      </c>
      <c r="AG1827" t="s">
        <v>26</v>
      </c>
      <c r="AH1827" t="s">
        <v>26</v>
      </c>
      <c r="AI1827" t="s">
        <v>26</v>
      </c>
      <c r="AJ1827" t="s">
        <v>26</v>
      </c>
      <c r="AK1827" t="s">
        <v>26</v>
      </c>
      <c r="AL1827" t="s">
        <v>26</v>
      </c>
      <c r="AM1827" t="s">
        <v>26</v>
      </c>
      <c r="AN1827" t="s">
        <v>26</v>
      </c>
      <c r="AO1827" s="25" t="s">
        <v>68</v>
      </c>
      <c r="AP1827" s="23" t="s">
        <v>69</v>
      </c>
      <c r="AQ1827" s="23" t="s">
        <v>30</v>
      </c>
      <c r="AR1827" s="23" t="s">
        <v>996</v>
      </c>
      <c r="AS1827" s="25">
        <v>6422118</v>
      </c>
      <c r="AT1827" t="s">
        <v>26</v>
      </c>
      <c r="AU1827" t="s">
        <v>24626</v>
      </c>
    </row>
    <row r="1828" spans="1:47" ht="26.25" x14ac:dyDescent="0.4">
      <c r="A1828" s="23" t="s">
        <v>4848</v>
      </c>
      <c r="B1828" t="s">
        <v>26</v>
      </c>
      <c r="C1828" s="23" t="s">
        <v>4849</v>
      </c>
      <c r="D1828" s="23" t="s">
        <v>24490</v>
      </c>
      <c r="E1828" s="23" t="s">
        <v>574</v>
      </c>
      <c r="F1828" s="25" t="s">
        <v>4850</v>
      </c>
      <c r="G1828" t="s">
        <v>26</v>
      </c>
      <c r="H1828" t="s">
        <v>26</v>
      </c>
      <c r="I1828" t="s">
        <v>26</v>
      </c>
      <c r="J1828" t="s">
        <v>26</v>
      </c>
      <c r="K1828" t="s">
        <v>26</v>
      </c>
      <c r="L1828" s="25" t="s">
        <v>68</v>
      </c>
      <c r="M1828" t="s">
        <v>26</v>
      </c>
      <c r="N1828" t="s">
        <v>26</v>
      </c>
      <c r="O1828" t="s">
        <v>26</v>
      </c>
      <c r="P1828" t="s">
        <v>26</v>
      </c>
      <c r="Q1828" t="s">
        <v>26</v>
      </c>
      <c r="R1828" t="s">
        <v>26</v>
      </c>
      <c r="S1828" t="s">
        <v>26</v>
      </c>
      <c r="T1828" t="s">
        <v>26</v>
      </c>
      <c r="U1828" t="s">
        <v>26</v>
      </c>
      <c r="V1828" t="s">
        <v>26</v>
      </c>
      <c r="W1828" s="24">
        <v>42370</v>
      </c>
      <c r="X1828" s="25" t="s">
        <v>77</v>
      </c>
      <c r="Y1828" t="s">
        <v>26</v>
      </c>
      <c r="Z1828" s="24">
        <v>42370</v>
      </c>
      <c r="AA1828" s="25" t="s">
        <v>77</v>
      </c>
      <c r="AB1828" t="s">
        <v>26</v>
      </c>
      <c r="AC1828" s="24">
        <v>42370</v>
      </c>
      <c r="AD1828" s="25" t="s">
        <v>77</v>
      </c>
      <c r="AE1828" t="s">
        <v>26</v>
      </c>
      <c r="AF1828" t="s">
        <v>26</v>
      </c>
      <c r="AG1828" t="s">
        <v>26</v>
      </c>
      <c r="AH1828" t="s">
        <v>26</v>
      </c>
      <c r="AI1828" t="s">
        <v>26</v>
      </c>
      <c r="AJ1828" t="s">
        <v>26</v>
      </c>
      <c r="AK1828" t="s">
        <v>26</v>
      </c>
      <c r="AL1828" t="s">
        <v>26</v>
      </c>
      <c r="AM1828" t="s">
        <v>26</v>
      </c>
      <c r="AN1828" t="s">
        <v>26</v>
      </c>
      <c r="AO1828" s="25" t="s">
        <v>68</v>
      </c>
      <c r="AP1828" s="23" t="s">
        <v>69</v>
      </c>
      <c r="AQ1828" s="23" t="s">
        <v>30</v>
      </c>
      <c r="AR1828" s="23" t="s">
        <v>1344</v>
      </c>
      <c r="AS1828" s="25">
        <v>2042041</v>
      </c>
      <c r="AT1828" t="s">
        <v>26</v>
      </c>
      <c r="AU1828" t="s">
        <v>24627</v>
      </c>
    </row>
    <row r="1829" spans="1:47" ht="26.25" x14ac:dyDescent="0.4">
      <c r="A1829" s="23" t="s">
        <v>4851</v>
      </c>
      <c r="B1829" t="s">
        <v>26</v>
      </c>
      <c r="C1829" s="23" t="s">
        <v>107</v>
      </c>
      <c r="D1829" s="23" t="s">
        <v>24628</v>
      </c>
      <c r="E1829" s="23" t="s">
        <v>42</v>
      </c>
      <c r="F1829" s="25" t="s">
        <v>4852</v>
      </c>
      <c r="G1829" s="25" t="s">
        <v>4853</v>
      </c>
      <c r="H1829" t="s">
        <v>26</v>
      </c>
      <c r="I1829" s="24">
        <v>35521</v>
      </c>
      <c r="J1829" s="24">
        <v>40299</v>
      </c>
      <c r="K1829" t="s">
        <v>26</v>
      </c>
      <c r="L1829" s="25" t="s">
        <v>68</v>
      </c>
      <c r="M1829" s="24">
        <v>35521</v>
      </c>
      <c r="N1829" s="24">
        <v>39753</v>
      </c>
      <c r="O1829" t="s">
        <v>26</v>
      </c>
      <c r="P1829" s="24">
        <v>35521</v>
      </c>
      <c r="Q1829" s="24">
        <v>40299</v>
      </c>
      <c r="R1829" t="s">
        <v>26</v>
      </c>
      <c r="S1829" t="s">
        <v>26</v>
      </c>
      <c r="T1829" t="s">
        <v>26</v>
      </c>
      <c r="U1829" t="s">
        <v>26</v>
      </c>
      <c r="V1829" t="s">
        <v>26</v>
      </c>
      <c r="W1829" s="24">
        <v>26451</v>
      </c>
      <c r="X1829" s="25" t="s">
        <v>77</v>
      </c>
      <c r="Y1829" t="s">
        <v>26</v>
      </c>
      <c r="Z1829" s="24">
        <v>26451</v>
      </c>
      <c r="AA1829" s="25" t="s">
        <v>77</v>
      </c>
      <c r="AB1829" t="s">
        <v>26</v>
      </c>
      <c r="AC1829" s="24">
        <v>36708</v>
      </c>
      <c r="AD1829" s="25" t="s">
        <v>77</v>
      </c>
      <c r="AE1829" t="s">
        <v>26</v>
      </c>
      <c r="AF1829" t="s">
        <v>26</v>
      </c>
      <c r="AG1829" t="s">
        <v>26</v>
      </c>
      <c r="AH1829" t="s">
        <v>26</v>
      </c>
      <c r="AI1829" t="s">
        <v>26</v>
      </c>
      <c r="AJ1829" t="s">
        <v>26</v>
      </c>
      <c r="AK1829" t="s">
        <v>26</v>
      </c>
      <c r="AL1829" t="s">
        <v>26</v>
      </c>
      <c r="AM1829" t="s">
        <v>26</v>
      </c>
      <c r="AN1829" t="s">
        <v>26</v>
      </c>
      <c r="AO1829" s="25" t="s">
        <v>68</v>
      </c>
      <c r="AP1829" s="23" t="s">
        <v>69</v>
      </c>
      <c r="AQ1829" s="23" t="s">
        <v>30</v>
      </c>
      <c r="AR1829" s="23" t="s">
        <v>569</v>
      </c>
      <c r="AS1829" s="25">
        <v>3223</v>
      </c>
      <c r="AT1829" t="s">
        <v>26</v>
      </c>
      <c r="AU1829" t="s">
        <v>24629</v>
      </c>
    </row>
    <row r="1830" spans="1:47" ht="26.25" x14ac:dyDescent="0.4">
      <c r="A1830" s="23" t="s">
        <v>4854</v>
      </c>
      <c r="B1830" t="s">
        <v>26</v>
      </c>
      <c r="C1830" s="23" t="s">
        <v>4855</v>
      </c>
      <c r="D1830" s="23" t="s">
        <v>24630</v>
      </c>
      <c r="E1830" s="23" t="s">
        <v>4856</v>
      </c>
      <c r="F1830" s="25" t="s">
        <v>4857</v>
      </c>
      <c r="G1830" s="25" t="s">
        <v>4858</v>
      </c>
      <c r="H1830" t="s">
        <v>26</v>
      </c>
      <c r="I1830" s="24">
        <v>39448</v>
      </c>
      <c r="J1830" s="24">
        <v>43466</v>
      </c>
      <c r="K1830" t="s">
        <v>26</v>
      </c>
      <c r="L1830" s="25" t="s">
        <v>68</v>
      </c>
      <c r="M1830" s="24">
        <v>39448</v>
      </c>
      <c r="N1830" s="24">
        <v>43466</v>
      </c>
      <c r="O1830" t="s">
        <v>26</v>
      </c>
      <c r="P1830" s="24">
        <v>39448</v>
      </c>
      <c r="Q1830" s="24">
        <v>43466</v>
      </c>
      <c r="R1830" t="s">
        <v>26</v>
      </c>
      <c r="S1830" t="s">
        <v>26</v>
      </c>
      <c r="T1830" t="s">
        <v>26</v>
      </c>
      <c r="U1830" t="s">
        <v>26</v>
      </c>
      <c r="V1830" t="s">
        <v>26</v>
      </c>
      <c r="W1830" s="24">
        <v>39448</v>
      </c>
      <c r="X1830" s="24">
        <v>43466</v>
      </c>
      <c r="Y1830" t="s">
        <v>26</v>
      </c>
      <c r="Z1830" s="24">
        <v>39448</v>
      </c>
      <c r="AA1830" s="24">
        <v>43466</v>
      </c>
      <c r="AB1830" t="s">
        <v>26</v>
      </c>
      <c r="AC1830" s="24">
        <v>39448</v>
      </c>
      <c r="AD1830" s="24">
        <v>43466</v>
      </c>
      <c r="AE1830" t="s">
        <v>26</v>
      </c>
      <c r="AF1830" t="s">
        <v>26</v>
      </c>
      <c r="AG1830" t="s">
        <v>26</v>
      </c>
      <c r="AH1830" t="s">
        <v>26</v>
      </c>
      <c r="AI1830" t="s">
        <v>26</v>
      </c>
      <c r="AJ1830" t="s">
        <v>26</v>
      </c>
      <c r="AK1830" t="s">
        <v>26</v>
      </c>
      <c r="AL1830" t="s">
        <v>26</v>
      </c>
      <c r="AM1830" t="s">
        <v>26</v>
      </c>
      <c r="AN1830" t="s">
        <v>26</v>
      </c>
      <c r="AO1830" s="25" t="s">
        <v>68</v>
      </c>
      <c r="AP1830" s="23" t="s">
        <v>69</v>
      </c>
      <c r="AQ1830" s="23" t="s">
        <v>4859</v>
      </c>
      <c r="AR1830" s="23" t="s">
        <v>4860</v>
      </c>
      <c r="AS1830" s="25">
        <v>52199</v>
      </c>
      <c r="AT1830" t="s">
        <v>26</v>
      </c>
      <c r="AU1830" t="s">
        <v>24631</v>
      </c>
    </row>
    <row r="1831" spans="1:47" ht="26.25" x14ac:dyDescent="0.4">
      <c r="A1831" s="23" t="s">
        <v>4861</v>
      </c>
      <c r="B1831" t="s">
        <v>26</v>
      </c>
      <c r="C1831" s="23" t="s">
        <v>504</v>
      </c>
      <c r="D1831" s="23" t="s">
        <v>22372</v>
      </c>
      <c r="E1831" s="23" t="s">
        <v>42</v>
      </c>
      <c r="F1831" t="s">
        <v>26</v>
      </c>
      <c r="G1831" s="25" t="s">
        <v>4862</v>
      </c>
      <c r="H1831" t="s">
        <v>26</v>
      </c>
      <c r="I1831" s="24">
        <v>40210</v>
      </c>
      <c r="J1831" s="24">
        <v>44805</v>
      </c>
      <c r="K1831" t="s">
        <v>26</v>
      </c>
      <c r="L1831" s="25" t="s">
        <v>68</v>
      </c>
      <c r="M1831" s="24">
        <v>40210</v>
      </c>
      <c r="N1831" s="24">
        <v>44805</v>
      </c>
      <c r="O1831" t="s">
        <v>26</v>
      </c>
      <c r="P1831" s="24">
        <v>40210</v>
      </c>
      <c r="Q1831" s="24">
        <v>44805</v>
      </c>
      <c r="R1831" t="s">
        <v>26</v>
      </c>
      <c r="S1831" t="s">
        <v>26</v>
      </c>
      <c r="T1831" t="s">
        <v>26</v>
      </c>
      <c r="U1831" t="s">
        <v>26</v>
      </c>
      <c r="V1831" t="s">
        <v>26</v>
      </c>
      <c r="W1831" s="24">
        <v>40210</v>
      </c>
      <c r="X1831" s="24">
        <v>44805</v>
      </c>
      <c r="Y1831" t="s">
        <v>26</v>
      </c>
      <c r="Z1831" s="24">
        <v>40210</v>
      </c>
      <c r="AA1831" s="24">
        <v>44805</v>
      </c>
      <c r="AB1831" t="s">
        <v>26</v>
      </c>
      <c r="AC1831" s="24">
        <v>40210</v>
      </c>
      <c r="AD1831" s="24">
        <v>44805</v>
      </c>
      <c r="AE1831" t="s">
        <v>26</v>
      </c>
      <c r="AF1831" t="s">
        <v>26</v>
      </c>
      <c r="AG1831" t="s">
        <v>26</v>
      </c>
      <c r="AH1831" t="s">
        <v>26</v>
      </c>
      <c r="AI1831" t="s">
        <v>26</v>
      </c>
      <c r="AJ1831" t="s">
        <v>26</v>
      </c>
      <c r="AK1831" t="s">
        <v>26</v>
      </c>
      <c r="AL1831" t="s">
        <v>26</v>
      </c>
      <c r="AM1831" t="s">
        <v>26</v>
      </c>
      <c r="AN1831" t="s">
        <v>26</v>
      </c>
      <c r="AO1831" s="25" t="s">
        <v>28</v>
      </c>
      <c r="AP1831" s="23" t="s">
        <v>69</v>
      </c>
      <c r="AQ1831" s="23" t="s">
        <v>30</v>
      </c>
      <c r="AR1831" s="23" t="s">
        <v>24632</v>
      </c>
      <c r="AS1831" s="25">
        <v>135351</v>
      </c>
      <c r="AT1831" t="s">
        <v>26</v>
      </c>
      <c r="AU1831" t="s">
        <v>24633</v>
      </c>
    </row>
    <row r="1832" spans="1:47" ht="26.25" x14ac:dyDescent="0.4">
      <c r="A1832" s="23" t="s">
        <v>4863</v>
      </c>
      <c r="B1832" t="s">
        <v>26</v>
      </c>
      <c r="C1832" s="23" t="s">
        <v>504</v>
      </c>
      <c r="D1832" s="23" t="s">
        <v>22372</v>
      </c>
      <c r="E1832" s="23" t="s">
        <v>42</v>
      </c>
      <c r="F1832" s="25" t="s">
        <v>4864</v>
      </c>
      <c r="G1832" s="25" t="s">
        <v>4862</v>
      </c>
      <c r="H1832" t="s">
        <v>26</v>
      </c>
      <c r="I1832" s="24">
        <v>35521</v>
      </c>
      <c r="J1832" s="24">
        <v>40148</v>
      </c>
      <c r="K1832" t="s">
        <v>26</v>
      </c>
      <c r="L1832" s="25" t="s">
        <v>68</v>
      </c>
      <c r="M1832" s="24">
        <v>35521</v>
      </c>
      <c r="N1832" s="24">
        <v>40148</v>
      </c>
      <c r="O1832" t="s">
        <v>26</v>
      </c>
      <c r="P1832" s="24">
        <v>35521</v>
      </c>
      <c r="Q1832" s="24">
        <v>40148</v>
      </c>
      <c r="R1832" t="s">
        <v>26</v>
      </c>
      <c r="S1832" t="s">
        <v>26</v>
      </c>
      <c r="T1832" t="s">
        <v>26</v>
      </c>
      <c r="U1832" t="s">
        <v>26</v>
      </c>
      <c r="V1832" t="s">
        <v>26</v>
      </c>
      <c r="W1832" s="24">
        <v>33635</v>
      </c>
      <c r="X1832" s="24">
        <v>40148</v>
      </c>
      <c r="Y1832" t="s">
        <v>26</v>
      </c>
      <c r="Z1832" s="24">
        <v>33635</v>
      </c>
      <c r="AA1832" s="24">
        <v>40148</v>
      </c>
      <c r="AB1832" t="s">
        <v>26</v>
      </c>
      <c r="AC1832" s="24">
        <v>33635</v>
      </c>
      <c r="AD1832" s="24">
        <v>40148</v>
      </c>
      <c r="AE1832" t="s">
        <v>26</v>
      </c>
      <c r="AF1832" t="s">
        <v>26</v>
      </c>
      <c r="AG1832" t="s">
        <v>26</v>
      </c>
      <c r="AH1832" t="s">
        <v>26</v>
      </c>
      <c r="AI1832" t="s">
        <v>26</v>
      </c>
      <c r="AJ1832" t="s">
        <v>26</v>
      </c>
      <c r="AK1832" t="s">
        <v>26</v>
      </c>
      <c r="AL1832" t="s">
        <v>26</v>
      </c>
      <c r="AM1832" t="s">
        <v>26</v>
      </c>
      <c r="AN1832" t="s">
        <v>26</v>
      </c>
      <c r="AO1832" s="25" t="s">
        <v>68</v>
      </c>
      <c r="AP1832" s="23" t="s">
        <v>69</v>
      </c>
      <c r="AQ1832" s="23" t="s">
        <v>30</v>
      </c>
      <c r="AR1832" s="23" t="s">
        <v>24634</v>
      </c>
      <c r="AS1832" s="25">
        <v>7051</v>
      </c>
      <c r="AT1832" t="s">
        <v>26</v>
      </c>
      <c r="AU1832" t="s">
        <v>24635</v>
      </c>
    </row>
    <row r="1833" spans="1:47" ht="26.25" x14ac:dyDescent="0.4">
      <c r="A1833" s="23" t="s">
        <v>4865</v>
      </c>
      <c r="B1833" t="s">
        <v>26</v>
      </c>
      <c r="C1833" s="23" t="s">
        <v>80</v>
      </c>
      <c r="D1833" s="23" t="s">
        <v>22184</v>
      </c>
      <c r="E1833" s="23" t="s">
        <v>60</v>
      </c>
      <c r="F1833" s="25" t="s">
        <v>4866</v>
      </c>
      <c r="G1833" s="25" t="s">
        <v>4867</v>
      </c>
      <c r="H1833" t="s">
        <v>26</v>
      </c>
      <c r="I1833" t="s">
        <v>26</v>
      </c>
      <c r="J1833" t="s">
        <v>26</v>
      </c>
      <c r="K1833" t="s">
        <v>26</v>
      </c>
      <c r="L1833" s="25" t="s">
        <v>68</v>
      </c>
      <c r="M1833" t="s">
        <v>26</v>
      </c>
      <c r="N1833" t="s">
        <v>26</v>
      </c>
      <c r="O1833" t="s">
        <v>26</v>
      </c>
      <c r="P1833" t="s">
        <v>26</v>
      </c>
      <c r="Q1833" t="s">
        <v>26</v>
      </c>
      <c r="R1833" t="s">
        <v>26</v>
      </c>
      <c r="S1833" t="s">
        <v>26</v>
      </c>
      <c r="T1833" t="s">
        <v>26</v>
      </c>
      <c r="U1833" t="s">
        <v>26</v>
      </c>
      <c r="V1833" t="s">
        <v>26</v>
      </c>
      <c r="W1833" s="24">
        <v>40179</v>
      </c>
      <c r="X1833" s="25" t="s">
        <v>77</v>
      </c>
      <c r="Y1833" t="s">
        <v>26</v>
      </c>
      <c r="Z1833" s="24">
        <v>40179</v>
      </c>
      <c r="AA1833" s="25" t="s">
        <v>77</v>
      </c>
      <c r="AB1833" t="s">
        <v>26</v>
      </c>
      <c r="AC1833" s="24">
        <v>40179</v>
      </c>
      <c r="AD1833" s="25" t="s">
        <v>77</v>
      </c>
      <c r="AE1833" t="s">
        <v>26</v>
      </c>
      <c r="AF1833" t="s">
        <v>26</v>
      </c>
      <c r="AG1833" t="s">
        <v>26</v>
      </c>
      <c r="AH1833" t="s">
        <v>26</v>
      </c>
      <c r="AI1833" t="s">
        <v>26</v>
      </c>
      <c r="AJ1833" t="s">
        <v>26</v>
      </c>
      <c r="AK1833" t="s">
        <v>26</v>
      </c>
      <c r="AL1833" t="s">
        <v>26</v>
      </c>
      <c r="AM1833" t="s">
        <v>26</v>
      </c>
      <c r="AN1833" t="s">
        <v>26</v>
      </c>
      <c r="AO1833" s="25" t="s">
        <v>68</v>
      </c>
      <c r="AP1833" s="23" t="s">
        <v>69</v>
      </c>
      <c r="AQ1833" s="23" t="s">
        <v>30</v>
      </c>
      <c r="AR1833" s="23" t="s">
        <v>3141</v>
      </c>
      <c r="AS1833" s="25">
        <v>196152</v>
      </c>
      <c r="AT1833" t="s">
        <v>26</v>
      </c>
      <c r="AU1833" t="s">
        <v>24636</v>
      </c>
    </row>
    <row r="1834" spans="1:47" ht="26.25" x14ac:dyDescent="0.4">
      <c r="A1834" s="23" t="s">
        <v>4868</v>
      </c>
      <c r="B1834" t="s">
        <v>26</v>
      </c>
      <c r="C1834" s="23" t="s">
        <v>4869</v>
      </c>
      <c r="D1834" s="23" t="s">
        <v>22795</v>
      </c>
      <c r="E1834" s="23" t="s">
        <v>42</v>
      </c>
      <c r="F1834" s="25" t="s">
        <v>4870</v>
      </c>
      <c r="G1834" s="25" t="s">
        <v>4871</v>
      </c>
      <c r="H1834" t="s">
        <v>26</v>
      </c>
      <c r="I1834" t="s">
        <v>26</v>
      </c>
      <c r="J1834" t="s">
        <v>26</v>
      </c>
      <c r="K1834" t="s">
        <v>26</v>
      </c>
      <c r="L1834" s="25" t="s">
        <v>68</v>
      </c>
      <c r="M1834" t="s">
        <v>26</v>
      </c>
      <c r="N1834" t="s">
        <v>26</v>
      </c>
      <c r="O1834" t="s">
        <v>26</v>
      </c>
      <c r="P1834" t="s">
        <v>26</v>
      </c>
      <c r="Q1834" t="s">
        <v>26</v>
      </c>
      <c r="R1834" t="s">
        <v>26</v>
      </c>
      <c r="S1834" t="s">
        <v>26</v>
      </c>
      <c r="T1834" t="s">
        <v>26</v>
      </c>
      <c r="U1834" t="s">
        <v>26</v>
      </c>
      <c r="V1834" t="s">
        <v>26</v>
      </c>
      <c r="W1834" s="24">
        <v>33604</v>
      </c>
      <c r="X1834" s="25" t="s">
        <v>77</v>
      </c>
      <c r="Y1834" t="s">
        <v>26</v>
      </c>
      <c r="Z1834" s="24">
        <v>33604</v>
      </c>
      <c r="AA1834" s="25" t="s">
        <v>77</v>
      </c>
      <c r="AB1834" t="s">
        <v>26</v>
      </c>
      <c r="AC1834" s="24">
        <v>33604</v>
      </c>
      <c r="AD1834" s="25" t="s">
        <v>77</v>
      </c>
      <c r="AE1834" t="s">
        <v>26</v>
      </c>
      <c r="AF1834" t="s">
        <v>26</v>
      </c>
      <c r="AG1834" t="s">
        <v>26</v>
      </c>
      <c r="AH1834" t="s">
        <v>26</v>
      </c>
      <c r="AI1834" t="s">
        <v>26</v>
      </c>
      <c r="AJ1834" t="s">
        <v>26</v>
      </c>
      <c r="AK1834" t="s">
        <v>26</v>
      </c>
      <c r="AL1834" t="s">
        <v>26</v>
      </c>
      <c r="AM1834" t="s">
        <v>26</v>
      </c>
      <c r="AN1834" t="s">
        <v>26</v>
      </c>
      <c r="AO1834" s="25" t="s">
        <v>68</v>
      </c>
      <c r="AP1834" s="23" t="s">
        <v>69</v>
      </c>
      <c r="AQ1834" s="23" t="s">
        <v>30</v>
      </c>
      <c r="AR1834" s="23" t="s">
        <v>1368</v>
      </c>
      <c r="AS1834" s="25">
        <v>15077</v>
      </c>
      <c r="AT1834" t="s">
        <v>26</v>
      </c>
      <c r="AU1834" t="s">
        <v>24637</v>
      </c>
    </row>
    <row r="1835" spans="1:47" ht="26.25" x14ac:dyDescent="0.4">
      <c r="A1835" s="23" t="s">
        <v>4872</v>
      </c>
      <c r="B1835" t="s">
        <v>26</v>
      </c>
      <c r="C1835" s="23" t="s">
        <v>4872</v>
      </c>
      <c r="D1835" s="23" t="s">
        <v>24396</v>
      </c>
      <c r="E1835" s="23" t="s">
        <v>42</v>
      </c>
      <c r="F1835" s="25" t="s">
        <v>4873</v>
      </c>
      <c r="G1835" s="25" t="s">
        <v>4874</v>
      </c>
      <c r="H1835" t="s">
        <v>26</v>
      </c>
      <c r="I1835" s="24">
        <v>34394</v>
      </c>
      <c r="J1835" s="25" t="s">
        <v>77</v>
      </c>
      <c r="K1835" t="s">
        <v>26</v>
      </c>
      <c r="L1835" s="25" t="s">
        <v>68</v>
      </c>
      <c r="M1835" s="24">
        <v>34394</v>
      </c>
      <c r="N1835" s="25" t="s">
        <v>77</v>
      </c>
      <c r="O1835" t="s">
        <v>26</v>
      </c>
      <c r="P1835" s="24">
        <v>35217</v>
      </c>
      <c r="Q1835" s="25" t="s">
        <v>77</v>
      </c>
      <c r="R1835" t="s">
        <v>26</v>
      </c>
      <c r="S1835" t="s">
        <v>26</v>
      </c>
      <c r="T1835" t="s">
        <v>26</v>
      </c>
      <c r="U1835" t="s">
        <v>26</v>
      </c>
      <c r="V1835" t="s">
        <v>26</v>
      </c>
      <c r="W1835" s="24">
        <v>33664</v>
      </c>
      <c r="X1835" s="25" t="s">
        <v>77</v>
      </c>
      <c r="Y1835" t="s">
        <v>26</v>
      </c>
      <c r="Z1835" s="24">
        <v>33664</v>
      </c>
      <c r="AA1835" s="25" t="s">
        <v>77</v>
      </c>
      <c r="AB1835" t="s">
        <v>26</v>
      </c>
      <c r="AC1835" s="24">
        <v>33664</v>
      </c>
      <c r="AD1835" s="25" t="s">
        <v>77</v>
      </c>
      <c r="AE1835" t="s">
        <v>26</v>
      </c>
      <c r="AF1835" t="s">
        <v>26</v>
      </c>
      <c r="AG1835" t="s">
        <v>26</v>
      </c>
      <c r="AH1835" t="s">
        <v>26</v>
      </c>
      <c r="AI1835" t="s">
        <v>26</v>
      </c>
      <c r="AJ1835" t="s">
        <v>26</v>
      </c>
      <c r="AK1835" t="s">
        <v>26</v>
      </c>
      <c r="AL1835" t="s">
        <v>26</v>
      </c>
      <c r="AM1835" t="s">
        <v>26</v>
      </c>
      <c r="AN1835" t="s">
        <v>26</v>
      </c>
      <c r="AO1835" s="25" t="s">
        <v>68</v>
      </c>
      <c r="AP1835" s="23" t="s">
        <v>69</v>
      </c>
      <c r="AQ1835" s="23" t="s">
        <v>30</v>
      </c>
      <c r="AR1835" s="23" t="s">
        <v>1368</v>
      </c>
      <c r="AS1835" s="25">
        <v>30153</v>
      </c>
      <c r="AT1835" t="s">
        <v>26</v>
      </c>
      <c r="AU1835" t="s">
        <v>24638</v>
      </c>
    </row>
    <row r="1836" spans="1:47" ht="26.25" x14ac:dyDescent="0.4">
      <c r="A1836" s="23" t="s">
        <v>4875</v>
      </c>
      <c r="B1836" t="s">
        <v>26</v>
      </c>
      <c r="C1836" s="23" t="s">
        <v>4876</v>
      </c>
      <c r="D1836" s="23" t="s">
        <v>23807</v>
      </c>
      <c r="E1836" s="23" t="s">
        <v>42</v>
      </c>
      <c r="F1836" s="25" t="s">
        <v>4877</v>
      </c>
      <c r="G1836" s="25" t="s">
        <v>4878</v>
      </c>
      <c r="H1836" t="s">
        <v>26</v>
      </c>
      <c r="I1836" t="s">
        <v>26</v>
      </c>
      <c r="J1836" t="s">
        <v>26</v>
      </c>
      <c r="K1836" t="s">
        <v>26</v>
      </c>
      <c r="L1836" s="25" t="s">
        <v>68</v>
      </c>
      <c r="M1836" t="s">
        <v>26</v>
      </c>
      <c r="N1836" t="s">
        <v>26</v>
      </c>
      <c r="O1836" t="s">
        <v>26</v>
      </c>
      <c r="P1836" t="s">
        <v>26</v>
      </c>
      <c r="Q1836" t="s">
        <v>26</v>
      </c>
      <c r="R1836" t="s">
        <v>26</v>
      </c>
      <c r="S1836" t="s">
        <v>26</v>
      </c>
      <c r="T1836" t="s">
        <v>26</v>
      </c>
      <c r="U1836" t="s">
        <v>26</v>
      </c>
      <c r="V1836" t="s">
        <v>26</v>
      </c>
      <c r="W1836" s="24">
        <v>32509</v>
      </c>
      <c r="X1836" s="25" t="s">
        <v>77</v>
      </c>
      <c r="Y1836" t="s">
        <v>26</v>
      </c>
      <c r="Z1836" s="24">
        <v>32509</v>
      </c>
      <c r="AA1836" s="25" t="s">
        <v>77</v>
      </c>
      <c r="AB1836" t="s">
        <v>26</v>
      </c>
      <c r="AC1836" s="24">
        <v>32509</v>
      </c>
      <c r="AD1836" s="25" t="s">
        <v>77</v>
      </c>
      <c r="AE1836" t="s">
        <v>26</v>
      </c>
      <c r="AF1836" t="s">
        <v>26</v>
      </c>
      <c r="AG1836" t="s">
        <v>26</v>
      </c>
      <c r="AH1836" t="s">
        <v>26</v>
      </c>
      <c r="AI1836" t="s">
        <v>26</v>
      </c>
      <c r="AJ1836" t="s">
        <v>26</v>
      </c>
      <c r="AK1836" t="s">
        <v>26</v>
      </c>
      <c r="AL1836" t="s">
        <v>26</v>
      </c>
      <c r="AM1836" t="s">
        <v>26</v>
      </c>
      <c r="AN1836" t="s">
        <v>26</v>
      </c>
      <c r="AO1836" s="25" t="s">
        <v>68</v>
      </c>
      <c r="AP1836" s="23" t="s">
        <v>69</v>
      </c>
      <c r="AQ1836" s="23" t="s">
        <v>30</v>
      </c>
      <c r="AR1836" s="23" t="s">
        <v>718</v>
      </c>
      <c r="AS1836" s="25">
        <v>38866</v>
      </c>
      <c r="AT1836" t="s">
        <v>26</v>
      </c>
      <c r="AU1836" t="s">
        <v>24639</v>
      </c>
    </row>
    <row r="1837" spans="1:47" ht="26.25" x14ac:dyDescent="0.4">
      <c r="A1837" s="23" t="s">
        <v>4879</v>
      </c>
      <c r="B1837" t="s">
        <v>26</v>
      </c>
      <c r="C1837" s="23" t="s">
        <v>341</v>
      </c>
      <c r="D1837" s="23" t="s">
        <v>23078</v>
      </c>
      <c r="E1837" s="23" t="s">
        <v>60</v>
      </c>
      <c r="F1837" s="25" t="s">
        <v>4880</v>
      </c>
      <c r="G1837" s="25" t="s">
        <v>4881</v>
      </c>
      <c r="H1837" t="s">
        <v>26</v>
      </c>
      <c r="I1837" t="s">
        <v>26</v>
      </c>
      <c r="J1837" t="s">
        <v>26</v>
      </c>
      <c r="K1837" t="s">
        <v>26</v>
      </c>
      <c r="L1837" s="25" t="s">
        <v>68</v>
      </c>
      <c r="M1837" t="s">
        <v>26</v>
      </c>
      <c r="N1837" t="s">
        <v>26</v>
      </c>
      <c r="O1837" t="s">
        <v>26</v>
      </c>
      <c r="P1837" t="s">
        <v>26</v>
      </c>
      <c r="Q1837" t="s">
        <v>26</v>
      </c>
      <c r="R1837" t="s">
        <v>26</v>
      </c>
      <c r="S1837" t="s">
        <v>26</v>
      </c>
      <c r="T1837" t="s">
        <v>26</v>
      </c>
      <c r="U1837" t="s">
        <v>26</v>
      </c>
      <c r="V1837" t="s">
        <v>26</v>
      </c>
      <c r="W1837" s="24">
        <v>33604</v>
      </c>
      <c r="X1837" s="24">
        <v>44927</v>
      </c>
      <c r="Y1837" t="s">
        <v>26</v>
      </c>
      <c r="Z1837" s="24">
        <v>33604</v>
      </c>
      <c r="AA1837" s="24">
        <v>44927</v>
      </c>
      <c r="AB1837" t="s">
        <v>26</v>
      </c>
      <c r="AC1837" s="24">
        <v>33604</v>
      </c>
      <c r="AD1837" s="24">
        <v>44927</v>
      </c>
      <c r="AE1837" t="s">
        <v>26</v>
      </c>
      <c r="AF1837" t="s">
        <v>26</v>
      </c>
      <c r="AG1837" t="s">
        <v>26</v>
      </c>
      <c r="AH1837" t="s">
        <v>26</v>
      </c>
      <c r="AI1837" t="s">
        <v>26</v>
      </c>
      <c r="AJ1837" t="s">
        <v>26</v>
      </c>
      <c r="AK1837" t="s">
        <v>26</v>
      </c>
      <c r="AL1837" t="s">
        <v>26</v>
      </c>
      <c r="AM1837" t="s">
        <v>26</v>
      </c>
      <c r="AN1837" t="s">
        <v>26</v>
      </c>
      <c r="AO1837" s="25" t="s">
        <v>68</v>
      </c>
      <c r="AP1837" s="23" t="s">
        <v>69</v>
      </c>
      <c r="AQ1837" s="23" t="s">
        <v>30</v>
      </c>
      <c r="AR1837" s="23" t="s">
        <v>203</v>
      </c>
      <c r="AS1837" s="25">
        <v>45277</v>
      </c>
      <c r="AT1837" t="s">
        <v>26</v>
      </c>
      <c r="AU1837" t="s">
        <v>24640</v>
      </c>
    </row>
    <row r="1838" spans="1:47" ht="26.25" x14ac:dyDescent="0.4">
      <c r="A1838" s="23" t="s">
        <v>4882</v>
      </c>
      <c r="B1838" t="s">
        <v>26</v>
      </c>
      <c r="C1838" s="23" t="s">
        <v>65</v>
      </c>
      <c r="D1838" s="23" t="s">
        <v>22179</v>
      </c>
      <c r="E1838" s="23" t="s">
        <v>42</v>
      </c>
      <c r="F1838" s="25" t="s">
        <v>4883</v>
      </c>
      <c r="G1838" s="25" t="s">
        <v>4884</v>
      </c>
      <c r="H1838" t="s">
        <v>26</v>
      </c>
      <c r="I1838" s="24">
        <v>29738</v>
      </c>
      <c r="J1838" s="24">
        <v>43070</v>
      </c>
      <c r="K1838" t="s">
        <v>26</v>
      </c>
      <c r="L1838" s="25" t="s">
        <v>68</v>
      </c>
      <c r="M1838" s="24">
        <v>29738</v>
      </c>
      <c r="N1838" s="24">
        <v>40148</v>
      </c>
      <c r="O1838" t="s">
        <v>26</v>
      </c>
      <c r="P1838" s="24">
        <v>29738</v>
      </c>
      <c r="Q1838" s="24">
        <v>43070</v>
      </c>
      <c r="R1838" t="s">
        <v>26</v>
      </c>
      <c r="S1838" t="s">
        <v>26</v>
      </c>
      <c r="T1838" t="s">
        <v>26</v>
      </c>
      <c r="U1838" t="s">
        <v>26</v>
      </c>
      <c r="V1838" t="s">
        <v>26</v>
      </c>
      <c r="W1838" s="24">
        <v>29738</v>
      </c>
      <c r="X1838" s="25" t="s">
        <v>77</v>
      </c>
      <c r="Y1838" t="s">
        <v>26</v>
      </c>
      <c r="Z1838" s="24">
        <v>29738</v>
      </c>
      <c r="AA1838" s="25" t="s">
        <v>77</v>
      </c>
      <c r="AB1838" t="s">
        <v>26</v>
      </c>
      <c r="AC1838" s="24">
        <v>40238</v>
      </c>
      <c r="AD1838" s="25" t="s">
        <v>77</v>
      </c>
      <c r="AE1838" t="s">
        <v>26</v>
      </c>
      <c r="AF1838" t="s">
        <v>26</v>
      </c>
      <c r="AG1838" t="s">
        <v>26</v>
      </c>
      <c r="AH1838" t="s">
        <v>26</v>
      </c>
      <c r="AI1838" t="s">
        <v>26</v>
      </c>
      <c r="AJ1838" t="s">
        <v>26</v>
      </c>
      <c r="AK1838" t="s">
        <v>26</v>
      </c>
      <c r="AL1838" t="s">
        <v>26</v>
      </c>
      <c r="AM1838" t="s">
        <v>26</v>
      </c>
      <c r="AN1838" t="s">
        <v>26</v>
      </c>
      <c r="AO1838" s="25" t="s">
        <v>68</v>
      </c>
      <c r="AP1838" s="23" t="s">
        <v>69</v>
      </c>
      <c r="AQ1838" s="23" t="s">
        <v>30</v>
      </c>
      <c r="AR1838" s="23" t="s">
        <v>71</v>
      </c>
      <c r="AS1838" s="25">
        <v>46517</v>
      </c>
      <c r="AT1838" t="s">
        <v>26</v>
      </c>
      <c r="AU1838" t="s">
        <v>24641</v>
      </c>
    </row>
    <row r="1839" spans="1:47" ht="26.25" x14ac:dyDescent="0.4">
      <c r="A1839" s="23" t="s">
        <v>4885</v>
      </c>
      <c r="B1839" t="s">
        <v>26</v>
      </c>
      <c r="C1839" s="23" t="s">
        <v>181</v>
      </c>
      <c r="D1839" s="23" t="s">
        <v>22174</v>
      </c>
      <c r="E1839" s="23" t="s">
        <v>60</v>
      </c>
      <c r="F1839" s="25" t="s">
        <v>4886</v>
      </c>
      <c r="G1839" s="25" t="s">
        <v>4887</v>
      </c>
      <c r="H1839" t="s">
        <v>26</v>
      </c>
      <c r="I1839" s="24">
        <v>37622</v>
      </c>
      <c r="J1839" s="24">
        <v>38899</v>
      </c>
      <c r="K1839" t="s">
        <v>26</v>
      </c>
      <c r="L1839" s="25" t="s">
        <v>68</v>
      </c>
      <c r="M1839" s="24">
        <v>37622</v>
      </c>
      <c r="N1839" s="24">
        <v>38899</v>
      </c>
      <c r="O1839" t="s">
        <v>26</v>
      </c>
      <c r="P1839" s="24">
        <v>37622</v>
      </c>
      <c r="Q1839" s="24">
        <v>38899</v>
      </c>
      <c r="R1839" t="s">
        <v>26</v>
      </c>
      <c r="S1839" t="s">
        <v>26</v>
      </c>
      <c r="T1839" t="s">
        <v>26</v>
      </c>
      <c r="U1839" t="s">
        <v>26</v>
      </c>
      <c r="V1839" t="s">
        <v>26</v>
      </c>
      <c r="W1839" s="24">
        <v>37622</v>
      </c>
      <c r="X1839" s="25" t="s">
        <v>77</v>
      </c>
      <c r="Y1839" s="25" t="s">
        <v>5939</v>
      </c>
      <c r="Z1839" s="24">
        <v>37622</v>
      </c>
      <c r="AA1839" s="25" t="s">
        <v>77</v>
      </c>
      <c r="AB1839" s="25" t="s">
        <v>5939</v>
      </c>
      <c r="AC1839" s="24">
        <v>37956</v>
      </c>
      <c r="AD1839" s="24">
        <v>43952</v>
      </c>
      <c r="AE1839" s="25" t="s">
        <v>5939</v>
      </c>
      <c r="AF1839" t="s">
        <v>26</v>
      </c>
      <c r="AG1839" t="s">
        <v>26</v>
      </c>
      <c r="AH1839" t="s">
        <v>26</v>
      </c>
      <c r="AI1839" t="s">
        <v>26</v>
      </c>
      <c r="AJ1839" t="s">
        <v>26</v>
      </c>
      <c r="AK1839" t="s">
        <v>26</v>
      </c>
      <c r="AL1839" t="s">
        <v>26</v>
      </c>
      <c r="AM1839" t="s">
        <v>26</v>
      </c>
      <c r="AN1839" t="s">
        <v>26</v>
      </c>
      <c r="AO1839" s="25" t="s">
        <v>68</v>
      </c>
      <c r="AP1839" s="23" t="s">
        <v>69</v>
      </c>
      <c r="AQ1839" s="23" t="s">
        <v>30</v>
      </c>
      <c r="AR1839" s="23" t="s">
        <v>277</v>
      </c>
      <c r="AS1839" s="25">
        <v>45058</v>
      </c>
      <c r="AT1839" t="s">
        <v>26</v>
      </c>
      <c r="AU1839" t="s">
        <v>24642</v>
      </c>
    </row>
    <row r="1840" spans="1:47" ht="26.25" x14ac:dyDescent="0.4">
      <c r="A1840" s="23" t="s">
        <v>4888</v>
      </c>
      <c r="B1840" t="s">
        <v>26</v>
      </c>
      <c r="C1840" s="23" t="s">
        <v>4889</v>
      </c>
      <c r="D1840" s="23" t="s">
        <v>24643</v>
      </c>
      <c r="E1840" s="23" t="s">
        <v>42</v>
      </c>
      <c r="F1840" s="25" t="s">
        <v>4890</v>
      </c>
      <c r="G1840" s="25" t="s">
        <v>4891</v>
      </c>
      <c r="H1840" t="s">
        <v>26</v>
      </c>
      <c r="I1840" s="24">
        <v>34335</v>
      </c>
      <c r="J1840" s="25" t="s">
        <v>77</v>
      </c>
      <c r="K1840" s="25" t="s">
        <v>4892</v>
      </c>
      <c r="L1840" s="25" t="s">
        <v>68</v>
      </c>
      <c r="M1840" s="24">
        <v>34335</v>
      </c>
      <c r="N1840" s="25" t="s">
        <v>77</v>
      </c>
      <c r="O1840" s="25" t="s">
        <v>4892</v>
      </c>
      <c r="P1840" s="24">
        <v>35065</v>
      </c>
      <c r="Q1840" s="25" t="s">
        <v>77</v>
      </c>
      <c r="R1840" s="25" t="s">
        <v>4892</v>
      </c>
      <c r="S1840" t="s">
        <v>26</v>
      </c>
      <c r="T1840" t="s">
        <v>26</v>
      </c>
      <c r="U1840" t="s">
        <v>26</v>
      </c>
      <c r="V1840" t="s">
        <v>26</v>
      </c>
      <c r="W1840" s="24">
        <v>33604</v>
      </c>
      <c r="X1840" s="25" t="s">
        <v>77</v>
      </c>
      <c r="Y1840" s="25" t="s">
        <v>4893</v>
      </c>
      <c r="Z1840" s="24">
        <v>33604</v>
      </c>
      <c r="AA1840" s="25" t="s">
        <v>77</v>
      </c>
      <c r="AB1840" s="25" t="s">
        <v>4893</v>
      </c>
      <c r="AC1840" s="24">
        <v>33604</v>
      </c>
      <c r="AD1840" s="25" t="s">
        <v>77</v>
      </c>
      <c r="AE1840" s="25" t="s">
        <v>4893</v>
      </c>
      <c r="AF1840" t="s">
        <v>26</v>
      </c>
      <c r="AG1840" t="s">
        <v>26</v>
      </c>
      <c r="AH1840" t="s">
        <v>26</v>
      </c>
      <c r="AI1840" t="s">
        <v>26</v>
      </c>
      <c r="AJ1840" t="s">
        <v>26</v>
      </c>
      <c r="AK1840" t="s">
        <v>26</v>
      </c>
      <c r="AL1840" t="s">
        <v>26</v>
      </c>
      <c r="AM1840" t="s">
        <v>26</v>
      </c>
      <c r="AN1840" t="s">
        <v>26</v>
      </c>
      <c r="AO1840" s="25" t="s">
        <v>68</v>
      </c>
      <c r="AP1840" s="23" t="s">
        <v>69</v>
      </c>
      <c r="AQ1840" t="s">
        <v>26</v>
      </c>
      <c r="AR1840" s="23" t="s">
        <v>4894</v>
      </c>
      <c r="AS1840" s="25">
        <v>46379</v>
      </c>
      <c r="AT1840" t="s">
        <v>26</v>
      </c>
      <c r="AU1840" t="s">
        <v>24644</v>
      </c>
    </row>
    <row r="1841" spans="1:47" ht="26.25" x14ac:dyDescent="0.4">
      <c r="A1841" s="23" t="s">
        <v>4895</v>
      </c>
      <c r="B1841" t="s">
        <v>26</v>
      </c>
      <c r="C1841" s="23" t="s">
        <v>107</v>
      </c>
      <c r="D1841" s="23" t="s">
        <v>24195</v>
      </c>
      <c r="E1841" s="23" t="s">
        <v>42</v>
      </c>
      <c r="F1841" s="25" t="s">
        <v>4896</v>
      </c>
      <c r="G1841" s="25" t="s">
        <v>4897</v>
      </c>
      <c r="H1841" t="s">
        <v>26</v>
      </c>
      <c r="I1841" t="s">
        <v>26</v>
      </c>
      <c r="J1841" t="s">
        <v>26</v>
      </c>
      <c r="K1841" t="s">
        <v>26</v>
      </c>
      <c r="L1841" s="25" t="s">
        <v>68</v>
      </c>
      <c r="M1841" t="s">
        <v>26</v>
      </c>
      <c r="N1841" t="s">
        <v>26</v>
      </c>
      <c r="O1841" t="s">
        <v>26</v>
      </c>
      <c r="P1841" t="s">
        <v>26</v>
      </c>
      <c r="Q1841" t="s">
        <v>26</v>
      </c>
      <c r="R1841" t="s">
        <v>26</v>
      </c>
      <c r="S1841" t="s">
        <v>26</v>
      </c>
      <c r="T1841" t="s">
        <v>26</v>
      </c>
      <c r="U1841" t="s">
        <v>26</v>
      </c>
      <c r="V1841" t="s">
        <v>26</v>
      </c>
      <c r="W1841" s="24">
        <v>32509</v>
      </c>
      <c r="X1841" s="25" t="s">
        <v>77</v>
      </c>
      <c r="Y1841" s="25" t="s">
        <v>4898</v>
      </c>
      <c r="Z1841" s="24">
        <v>32509</v>
      </c>
      <c r="AA1841" s="25" t="s">
        <v>77</v>
      </c>
      <c r="AB1841" s="25" t="s">
        <v>4898</v>
      </c>
      <c r="AC1841" s="24">
        <v>32509</v>
      </c>
      <c r="AD1841" s="25" t="s">
        <v>77</v>
      </c>
      <c r="AE1841" s="25" t="s">
        <v>4898</v>
      </c>
      <c r="AF1841" t="s">
        <v>26</v>
      </c>
      <c r="AG1841" t="s">
        <v>26</v>
      </c>
      <c r="AH1841" t="s">
        <v>26</v>
      </c>
      <c r="AI1841" t="s">
        <v>26</v>
      </c>
      <c r="AJ1841" t="s">
        <v>26</v>
      </c>
      <c r="AK1841" t="s">
        <v>26</v>
      </c>
      <c r="AL1841" t="s">
        <v>26</v>
      </c>
      <c r="AM1841" t="s">
        <v>26</v>
      </c>
      <c r="AN1841" t="s">
        <v>26</v>
      </c>
      <c r="AO1841" s="25" t="s">
        <v>28</v>
      </c>
      <c r="AP1841" s="23" t="s">
        <v>69</v>
      </c>
      <c r="AQ1841" s="23" t="s">
        <v>30</v>
      </c>
      <c r="AR1841" s="23" t="s">
        <v>105</v>
      </c>
      <c r="AS1841" s="25">
        <v>34103</v>
      </c>
      <c r="AT1841" t="s">
        <v>26</v>
      </c>
      <c r="AU1841" t="s">
        <v>24645</v>
      </c>
    </row>
    <row r="1842" spans="1:47" ht="26.25" x14ac:dyDescent="0.4">
      <c r="A1842" s="23" t="s">
        <v>4899</v>
      </c>
      <c r="B1842" t="s">
        <v>26</v>
      </c>
      <c r="C1842" s="23" t="s">
        <v>4899</v>
      </c>
      <c r="D1842" s="23" t="s">
        <v>24646</v>
      </c>
      <c r="E1842" s="23" t="s">
        <v>42</v>
      </c>
      <c r="F1842" s="25" t="s">
        <v>4900</v>
      </c>
      <c r="G1842" t="s">
        <v>26</v>
      </c>
      <c r="H1842" t="s">
        <v>26</v>
      </c>
      <c r="I1842" s="24">
        <v>37987</v>
      </c>
      <c r="J1842" s="25" t="s">
        <v>77</v>
      </c>
      <c r="K1842" t="s">
        <v>26</v>
      </c>
      <c r="L1842" s="25" t="s">
        <v>68</v>
      </c>
      <c r="M1842" s="24">
        <v>37987</v>
      </c>
      <c r="N1842" s="25" t="s">
        <v>77</v>
      </c>
      <c r="O1842" t="s">
        <v>26</v>
      </c>
      <c r="P1842" s="24">
        <v>37987</v>
      </c>
      <c r="Q1842" s="25" t="s">
        <v>77</v>
      </c>
      <c r="R1842" t="s">
        <v>26</v>
      </c>
      <c r="S1842" t="s">
        <v>26</v>
      </c>
      <c r="T1842" t="s">
        <v>26</v>
      </c>
      <c r="U1842" t="s">
        <v>26</v>
      </c>
      <c r="V1842" t="s">
        <v>26</v>
      </c>
      <c r="W1842" s="24">
        <v>37987</v>
      </c>
      <c r="X1842" s="25" t="s">
        <v>77</v>
      </c>
      <c r="Y1842" t="s">
        <v>26</v>
      </c>
      <c r="Z1842" s="24">
        <v>37987</v>
      </c>
      <c r="AA1842" s="25" t="s">
        <v>77</v>
      </c>
      <c r="AB1842" t="s">
        <v>26</v>
      </c>
      <c r="AC1842" s="24">
        <v>42552</v>
      </c>
      <c r="AD1842" s="25" t="s">
        <v>77</v>
      </c>
      <c r="AE1842" t="s">
        <v>26</v>
      </c>
      <c r="AF1842" t="s">
        <v>26</v>
      </c>
      <c r="AG1842" t="s">
        <v>26</v>
      </c>
      <c r="AH1842" t="s">
        <v>26</v>
      </c>
      <c r="AI1842" t="s">
        <v>26</v>
      </c>
      <c r="AJ1842" t="s">
        <v>26</v>
      </c>
      <c r="AK1842" t="s">
        <v>26</v>
      </c>
      <c r="AL1842" t="s">
        <v>26</v>
      </c>
      <c r="AM1842" t="s">
        <v>26</v>
      </c>
      <c r="AN1842" t="s">
        <v>26</v>
      </c>
      <c r="AO1842" s="25" t="s">
        <v>28</v>
      </c>
      <c r="AP1842" s="23" t="s">
        <v>69</v>
      </c>
      <c r="AQ1842" s="23" t="s">
        <v>30</v>
      </c>
      <c r="AR1842" s="23" t="s">
        <v>46</v>
      </c>
      <c r="AS1842" s="25">
        <v>49061</v>
      </c>
      <c r="AT1842" t="s">
        <v>26</v>
      </c>
      <c r="AU1842" t="s">
        <v>24647</v>
      </c>
    </row>
    <row r="1843" spans="1:47" ht="26.25" x14ac:dyDescent="0.4">
      <c r="A1843" s="23" t="s">
        <v>4901</v>
      </c>
      <c r="B1843" t="s">
        <v>26</v>
      </c>
      <c r="C1843" s="23" t="s">
        <v>80</v>
      </c>
      <c r="D1843" s="23" t="s">
        <v>22184</v>
      </c>
      <c r="E1843" s="23" t="s">
        <v>60</v>
      </c>
      <c r="F1843" s="25" t="s">
        <v>4902</v>
      </c>
      <c r="G1843" s="25" t="s">
        <v>4903</v>
      </c>
      <c r="H1843" t="s">
        <v>26</v>
      </c>
      <c r="I1843" t="s">
        <v>26</v>
      </c>
      <c r="J1843" t="s">
        <v>26</v>
      </c>
      <c r="K1843" t="s">
        <v>26</v>
      </c>
      <c r="L1843" s="25" t="s">
        <v>68</v>
      </c>
      <c r="M1843" t="s">
        <v>26</v>
      </c>
      <c r="N1843" t="s">
        <v>26</v>
      </c>
      <c r="O1843" t="s">
        <v>26</v>
      </c>
      <c r="P1843" t="s">
        <v>26</v>
      </c>
      <c r="Q1843" t="s">
        <v>26</v>
      </c>
      <c r="R1843" t="s">
        <v>26</v>
      </c>
      <c r="S1843" t="s">
        <v>26</v>
      </c>
      <c r="T1843" t="s">
        <v>26</v>
      </c>
      <c r="U1843" t="s">
        <v>26</v>
      </c>
      <c r="V1843" t="s">
        <v>26</v>
      </c>
      <c r="W1843" s="24">
        <v>40179</v>
      </c>
      <c r="X1843" s="25" t="s">
        <v>77</v>
      </c>
      <c r="Y1843" t="s">
        <v>26</v>
      </c>
      <c r="Z1843" s="24">
        <v>40179</v>
      </c>
      <c r="AA1843" s="25" t="s">
        <v>77</v>
      </c>
      <c r="AB1843" t="s">
        <v>26</v>
      </c>
      <c r="AC1843" s="24">
        <v>40179</v>
      </c>
      <c r="AD1843" s="25" t="s">
        <v>77</v>
      </c>
      <c r="AE1843" t="s">
        <v>26</v>
      </c>
      <c r="AF1843" t="s">
        <v>26</v>
      </c>
      <c r="AG1843" t="s">
        <v>26</v>
      </c>
      <c r="AH1843" t="s">
        <v>26</v>
      </c>
      <c r="AI1843" t="s">
        <v>26</v>
      </c>
      <c r="AJ1843" t="s">
        <v>26</v>
      </c>
      <c r="AK1843" t="s">
        <v>26</v>
      </c>
      <c r="AL1843" t="s">
        <v>26</v>
      </c>
      <c r="AM1843" t="s">
        <v>26</v>
      </c>
      <c r="AN1843" t="s">
        <v>26</v>
      </c>
      <c r="AO1843" s="25" t="s">
        <v>68</v>
      </c>
      <c r="AP1843" s="23" t="s">
        <v>69</v>
      </c>
      <c r="AQ1843" s="23" t="s">
        <v>30</v>
      </c>
      <c r="AR1843" s="23" t="s">
        <v>814</v>
      </c>
      <c r="AS1843" s="25">
        <v>186227</v>
      </c>
      <c r="AT1843" t="s">
        <v>26</v>
      </c>
      <c r="AU1843" t="s">
        <v>24648</v>
      </c>
    </row>
    <row r="1844" spans="1:47" ht="26.25" x14ac:dyDescent="0.4">
      <c r="A1844" s="23" t="s">
        <v>4904</v>
      </c>
      <c r="B1844" t="s">
        <v>26</v>
      </c>
      <c r="C1844" s="23" t="s">
        <v>320</v>
      </c>
      <c r="D1844" s="23" t="s">
        <v>22660</v>
      </c>
      <c r="E1844" s="23" t="s">
        <v>42</v>
      </c>
      <c r="F1844" s="25" t="s">
        <v>4905</v>
      </c>
      <c r="G1844" s="25" t="s">
        <v>4906</v>
      </c>
      <c r="H1844" t="s">
        <v>26</v>
      </c>
      <c r="I1844" t="s">
        <v>26</v>
      </c>
      <c r="J1844" t="s">
        <v>26</v>
      </c>
      <c r="K1844" t="s">
        <v>26</v>
      </c>
      <c r="L1844" s="25" t="s">
        <v>68</v>
      </c>
      <c r="M1844" t="s">
        <v>26</v>
      </c>
      <c r="N1844" t="s">
        <v>26</v>
      </c>
      <c r="O1844" t="s">
        <v>26</v>
      </c>
      <c r="P1844" t="s">
        <v>26</v>
      </c>
      <c r="Q1844" t="s">
        <v>26</v>
      </c>
      <c r="R1844" t="s">
        <v>26</v>
      </c>
      <c r="S1844" t="s">
        <v>26</v>
      </c>
      <c r="T1844" t="s">
        <v>26</v>
      </c>
      <c r="U1844" t="s">
        <v>26</v>
      </c>
      <c r="V1844" t="s">
        <v>26</v>
      </c>
      <c r="W1844" s="24">
        <v>35431</v>
      </c>
      <c r="X1844" s="25" t="s">
        <v>77</v>
      </c>
      <c r="Y1844" s="25" t="s">
        <v>4907</v>
      </c>
      <c r="Z1844" s="24">
        <v>35431</v>
      </c>
      <c r="AA1844" s="25" t="s">
        <v>77</v>
      </c>
      <c r="AB1844" s="25" t="s">
        <v>4907</v>
      </c>
      <c r="AC1844" s="24">
        <v>35431</v>
      </c>
      <c r="AD1844" s="25" t="s">
        <v>77</v>
      </c>
      <c r="AE1844" s="25" t="s">
        <v>4907</v>
      </c>
      <c r="AF1844" t="s">
        <v>26</v>
      </c>
      <c r="AG1844" t="s">
        <v>26</v>
      </c>
      <c r="AH1844" t="s">
        <v>26</v>
      </c>
      <c r="AI1844" t="s">
        <v>26</v>
      </c>
      <c r="AJ1844" t="s">
        <v>26</v>
      </c>
      <c r="AK1844" t="s">
        <v>26</v>
      </c>
      <c r="AL1844" t="s">
        <v>26</v>
      </c>
      <c r="AM1844" t="s">
        <v>26</v>
      </c>
      <c r="AN1844" t="s">
        <v>26</v>
      </c>
      <c r="AO1844" s="25" t="s">
        <v>68</v>
      </c>
      <c r="AP1844" s="23" t="s">
        <v>69</v>
      </c>
      <c r="AQ1844" s="23" t="s">
        <v>30</v>
      </c>
      <c r="AR1844" s="23" t="s">
        <v>46</v>
      </c>
      <c r="AS1844" s="25">
        <v>37971</v>
      </c>
      <c r="AT1844" t="s">
        <v>26</v>
      </c>
      <c r="AU1844" t="s">
        <v>24649</v>
      </c>
    </row>
    <row r="1845" spans="1:47" ht="26.25" x14ac:dyDescent="0.4">
      <c r="A1845" s="23" t="s">
        <v>4908</v>
      </c>
      <c r="B1845" t="s">
        <v>26</v>
      </c>
      <c r="C1845" s="23" t="s">
        <v>167</v>
      </c>
      <c r="D1845" s="23" t="s">
        <v>22218</v>
      </c>
      <c r="E1845" s="23" t="s">
        <v>60</v>
      </c>
      <c r="F1845" t="s">
        <v>26</v>
      </c>
      <c r="G1845" s="25" t="s">
        <v>4909</v>
      </c>
      <c r="H1845" t="s">
        <v>26</v>
      </c>
      <c r="I1845" s="24">
        <v>40603</v>
      </c>
      <c r="J1845" s="24">
        <v>42736</v>
      </c>
      <c r="K1845" t="s">
        <v>26</v>
      </c>
      <c r="L1845" s="25" t="s">
        <v>68</v>
      </c>
      <c r="M1845" s="24">
        <v>40909</v>
      </c>
      <c r="N1845" s="24">
        <v>42736</v>
      </c>
      <c r="O1845" t="s">
        <v>26</v>
      </c>
      <c r="P1845" s="24">
        <v>40603</v>
      </c>
      <c r="Q1845" s="24">
        <v>42736</v>
      </c>
      <c r="R1845" t="s">
        <v>26</v>
      </c>
      <c r="S1845" t="s">
        <v>26</v>
      </c>
      <c r="T1845" t="s">
        <v>26</v>
      </c>
      <c r="U1845" t="s">
        <v>26</v>
      </c>
      <c r="V1845" t="s">
        <v>26</v>
      </c>
      <c r="W1845" s="24">
        <v>40603</v>
      </c>
      <c r="X1845" s="24">
        <v>42736</v>
      </c>
      <c r="Y1845" t="s">
        <v>26</v>
      </c>
      <c r="Z1845" s="24">
        <v>40603</v>
      </c>
      <c r="AA1845" s="24">
        <v>42736</v>
      </c>
      <c r="AB1845" t="s">
        <v>26</v>
      </c>
      <c r="AC1845" s="24">
        <v>40603</v>
      </c>
      <c r="AD1845" s="24">
        <v>42736</v>
      </c>
      <c r="AE1845" t="s">
        <v>26</v>
      </c>
      <c r="AF1845" t="s">
        <v>26</v>
      </c>
      <c r="AG1845" t="s">
        <v>26</v>
      </c>
      <c r="AH1845" t="s">
        <v>26</v>
      </c>
      <c r="AI1845" t="s">
        <v>26</v>
      </c>
      <c r="AJ1845" t="s">
        <v>26</v>
      </c>
      <c r="AK1845" t="s">
        <v>26</v>
      </c>
      <c r="AL1845" t="s">
        <v>26</v>
      </c>
      <c r="AM1845" t="s">
        <v>26</v>
      </c>
      <c r="AN1845" t="s">
        <v>26</v>
      </c>
      <c r="AO1845" s="25" t="s">
        <v>68</v>
      </c>
      <c r="AP1845" s="23" t="s">
        <v>69</v>
      </c>
      <c r="AQ1845" s="23" t="s">
        <v>30</v>
      </c>
      <c r="AR1845" s="23" t="s">
        <v>46</v>
      </c>
      <c r="AS1845" s="25">
        <v>1586354</v>
      </c>
      <c r="AT1845" t="s">
        <v>26</v>
      </c>
      <c r="AU1845" t="s">
        <v>24650</v>
      </c>
    </row>
    <row r="1846" spans="1:47" ht="26.25" x14ac:dyDescent="0.4">
      <c r="A1846" s="23" t="s">
        <v>4910</v>
      </c>
      <c r="B1846" t="s">
        <v>26</v>
      </c>
      <c r="C1846" s="23" t="s">
        <v>4911</v>
      </c>
      <c r="D1846" s="23" t="s">
        <v>22630</v>
      </c>
      <c r="E1846" s="23" t="s">
        <v>42</v>
      </c>
      <c r="F1846" s="25" t="s">
        <v>4912</v>
      </c>
      <c r="G1846" s="25" t="s">
        <v>4913</v>
      </c>
      <c r="H1846" t="s">
        <v>26</v>
      </c>
      <c r="I1846" s="24">
        <v>38749</v>
      </c>
      <c r="J1846" s="24">
        <v>41183</v>
      </c>
      <c r="K1846" t="s">
        <v>26</v>
      </c>
      <c r="L1846" s="25" t="s">
        <v>68</v>
      </c>
      <c r="M1846" t="s">
        <v>26</v>
      </c>
      <c r="N1846" t="s">
        <v>26</v>
      </c>
      <c r="O1846" t="s">
        <v>26</v>
      </c>
      <c r="P1846" s="24">
        <v>38749</v>
      </c>
      <c r="Q1846" s="24">
        <v>41183</v>
      </c>
      <c r="R1846" t="s">
        <v>26</v>
      </c>
      <c r="S1846" t="s">
        <v>26</v>
      </c>
      <c r="T1846" t="s">
        <v>26</v>
      </c>
      <c r="U1846" t="s">
        <v>26</v>
      </c>
      <c r="V1846" t="s">
        <v>26</v>
      </c>
      <c r="W1846" s="24">
        <v>38749</v>
      </c>
      <c r="X1846" s="25" t="s">
        <v>77</v>
      </c>
      <c r="Y1846" t="s">
        <v>26</v>
      </c>
      <c r="Z1846" s="24">
        <v>38749</v>
      </c>
      <c r="AA1846" s="25" t="s">
        <v>77</v>
      </c>
      <c r="AB1846" t="s">
        <v>26</v>
      </c>
      <c r="AC1846" s="24">
        <v>38749</v>
      </c>
      <c r="AD1846" s="25" t="s">
        <v>77</v>
      </c>
      <c r="AE1846" t="s">
        <v>26</v>
      </c>
      <c r="AF1846" t="s">
        <v>26</v>
      </c>
      <c r="AG1846" t="s">
        <v>26</v>
      </c>
      <c r="AH1846" t="s">
        <v>26</v>
      </c>
      <c r="AI1846" t="s">
        <v>26</v>
      </c>
      <c r="AJ1846" t="s">
        <v>26</v>
      </c>
      <c r="AK1846" t="s">
        <v>26</v>
      </c>
      <c r="AL1846" t="s">
        <v>26</v>
      </c>
      <c r="AM1846" t="s">
        <v>26</v>
      </c>
      <c r="AN1846" t="s">
        <v>26</v>
      </c>
      <c r="AO1846" s="25" t="s">
        <v>68</v>
      </c>
      <c r="AP1846" s="23" t="s">
        <v>69</v>
      </c>
      <c r="AQ1846" s="23" t="s">
        <v>30</v>
      </c>
      <c r="AR1846" s="23" t="s">
        <v>4914</v>
      </c>
      <c r="AS1846" s="25">
        <v>75957</v>
      </c>
      <c r="AT1846" t="s">
        <v>26</v>
      </c>
      <c r="AU1846" t="s">
        <v>24651</v>
      </c>
    </row>
    <row r="1847" spans="1:47" ht="26.25" x14ac:dyDescent="0.4">
      <c r="A1847" s="23" t="s">
        <v>4915</v>
      </c>
      <c r="B1847" t="s">
        <v>26</v>
      </c>
      <c r="C1847" s="23" t="s">
        <v>107</v>
      </c>
      <c r="D1847" s="23" t="s">
        <v>22179</v>
      </c>
      <c r="E1847" s="23" t="s">
        <v>42</v>
      </c>
      <c r="F1847" s="25" t="s">
        <v>4916</v>
      </c>
      <c r="G1847" t="s">
        <v>26</v>
      </c>
      <c r="H1847" t="s">
        <v>26</v>
      </c>
      <c r="I1847" s="24">
        <v>38353</v>
      </c>
      <c r="J1847" s="24">
        <v>41244</v>
      </c>
      <c r="K1847" t="s">
        <v>26</v>
      </c>
      <c r="L1847" s="25" t="s">
        <v>68</v>
      </c>
      <c r="M1847" s="24">
        <v>38353</v>
      </c>
      <c r="N1847" s="24">
        <v>41244</v>
      </c>
      <c r="O1847" t="s">
        <v>26</v>
      </c>
      <c r="P1847" s="24">
        <v>38353</v>
      </c>
      <c r="Q1847" s="24">
        <v>41244</v>
      </c>
      <c r="R1847" t="s">
        <v>26</v>
      </c>
      <c r="S1847" t="s">
        <v>26</v>
      </c>
      <c r="T1847" t="s">
        <v>26</v>
      </c>
      <c r="U1847" t="s">
        <v>26</v>
      </c>
      <c r="V1847" t="s">
        <v>26</v>
      </c>
      <c r="W1847" s="24">
        <v>38353</v>
      </c>
      <c r="X1847" s="24">
        <v>41244</v>
      </c>
      <c r="Y1847" t="s">
        <v>26</v>
      </c>
      <c r="Z1847" s="24">
        <v>38353</v>
      </c>
      <c r="AA1847" s="24">
        <v>41244</v>
      </c>
      <c r="AB1847" t="s">
        <v>26</v>
      </c>
      <c r="AC1847" s="24">
        <v>38353</v>
      </c>
      <c r="AD1847" s="24">
        <v>41244</v>
      </c>
      <c r="AE1847" t="s">
        <v>26</v>
      </c>
      <c r="AF1847" t="s">
        <v>26</v>
      </c>
      <c r="AG1847" t="s">
        <v>26</v>
      </c>
      <c r="AH1847" t="s">
        <v>26</v>
      </c>
      <c r="AI1847" t="s">
        <v>26</v>
      </c>
      <c r="AJ1847" t="s">
        <v>26</v>
      </c>
      <c r="AK1847" t="s">
        <v>26</v>
      </c>
      <c r="AL1847" t="s">
        <v>26</v>
      </c>
      <c r="AM1847" t="s">
        <v>26</v>
      </c>
      <c r="AN1847" t="s">
        <v>26</v>
      </c>
      <c r="AO1847" s="25" t="s">
        <v>68</v>
      </c>
      <c r="AP1847" s="23" t="s">
        <v>69</v>
      </c>
      <c r="AQ1847" s="23" t="s">
        <v>30</v>
      </c>
      <c r="AR1847" s="23" t="s">
        <v>24652</v>
      </c>
      <c r="AS1847" s="25">
        <v>48011</v>
      </c>
      <c r="AT1847" t="s">
        <v>26</v>
      </c>
      <c r="AU1847" t="s">
        <v>24653</v>
      </c>
    </row>
    <row r="1848" spans="1:47" ht="26.25" x14ac:dyDescent="0.4">
      <c r="A1848" s="23" t="s">
        <v>4917</v>
      </c>
      <c r="B1848" t="s">
        <v>26</v>
      </c>
      <c r="C1848" s="23" t="s">
        <v>107</v>
      </c>
      <c r="D1848" s="23" t="s">
        <v>24654</v>
      </c>
      <c r="E1848" s="23" t="s">
        <v>42</v>
      </c>
      <c r="F1848" t="s">
        <v>26</v>
      </c>
      <c r="G1848" s="25" t="s">
        <v>4918</v>
      </c>
      <c r="H1848" t="s">
        <v>26</v>
      </c>
      <c r="I1848" s="24">
        <v>41275</v>
      </c>
      <c r="J1848" s="24">
        <v>43770</v>
      </c>
      <c r="K1848" t="s">
        <v>26</v>
      </c>
      <c r="L1848" s="25" t="s">
        <v>68</v>
      </c>
      <c r="M1848" s="24">
        <v>41275</v>
      </c>
      <c r="N1848" s="24">
        <v>43770</v>
      </c>
      <c r="O1848" t="s">
        <v>26</v>
      </c>
      <c r="P1848" s="24">
        <v>42064</v>
      </c>
      <c r="Q1848" s="24">
        <v>43770</v>
      </c>
      <c r="R1848" s="25" t="s">
        <v>4562</v>
      </c>
      <c r="S1848" t="s">
        <v>26</v>
      </c>
      <c r="T1848" t="s">
        <v>26</v>
      </c>
      <c r="U1848" t="s">
        <v>26</v>
      </c>
      <c r="V1848" t="s">
        <v>26</v>
      </c>
      <c r="W1848" s="24">
        <v>2648</v>
      </c>
      <c r="X1848" s="25" t="s">
        <v>77</v>
      </c>
      <c r="Y1848" s="25" t="s">
        <v>4919</v>
      </c>
      <c r="Z1848" s="24">
        <v>2648</v>
      </c>
      <c r="AA1848" s="25" t="s">
        <v>77</v>
      </c>
      <c r="AB1848" s="25" t="s">
        <v>4919</v>
      </c>
      <c r="AC1848" s="24">
        <v>3197</v>
      </c>
      <c r="AD1848" s="25" t="s">
        <v>77</v>
      </c>
      <c r="AE1848" s="25" t="s">
        <v>24655</v>
      </c>
      <c r="AF1848" t="s">
        <v>26</v>
      </c>
      <c r="AG1848" t="s">
        <v>26</v>
      </c>
      <c r="AH1848" t="s">
        <v>26</v>
      </c>
      <c r="AI1848" t="s">
        <v>26</v>
      </c>
      <c r="AJ1848" t="s">
        <v>26</v>
      </c>
      <c r="AK1848" t="s">
        <v>26</v>
      </c>
      <c r="AL1848" t="s">
        <v>26</v>
      </c>
      <c r="AM1848" t="s">
        <v>26</v>
      </c>
      <c r="AN1848" t="s">
        <v>26</v>
      </c>
      <c r="AO1848" s="25" t="s">
        <v>68</v>
      </c>
      <c r="AP1848" s="23" t="s">
        <v>69</v>
      </c>
      <c r="AQ1848" s="23" t="s">
        <v>30</v>
      </c>
      <c r="AR1848" s="23" t="s">
        <v>24656</v>
      </c>
      <c r="AS1848" s="25">
        <v>2027465</v>
      </c>
      <c r="AT1848" t="s">
        <v>26</v>
      </c>
      <c r="AU1848" t="s">
        <v>24657</v>
      </c>
    </row>
    <row r="1849" spans="1:47" ht="26.25" x14ac:dyDescent="0.4">
      <c r="A1849" s="23" t="s">
        <v>4920</v>
      </c>
      <c r="B1849" t="s">
        <v>26</v>
      </c>
      <c r="C1849" s="23" t="s">
        <v>341</v>
      </c>
      <c r="D1849" s="23" t="s">
        <v>22190</v>
      </c>
      <c r="E1849" s="23" t="s">
        <v>60</v>
      </c>
      <c r="F1849" s="25" t="s">
        <v>4921</v>
      </c>
      <c r="G1849" s="25" t="s">
        <v>4922</v>
      </c>
      <c r="H1849" t="s">
        <v>26</v>
      </c>
      <c r="I1849" t="s">
        <v>26</v>
      </c>
      <c r="J1849" t="s">
        <v>26</v>
      </c>
      <c r="K1849" t="s">
        <v>26</v>
      </c>
      <c r="L1849" s="25" t="s">
        <v>68</v>
      </c>
      <c r="M1849" t="s">
        <v>26</v>
      </c>
      <c r="N1849" t="s">
        <v>26</v>
      </c>
      <c r="O1849" t="s">
        <v>26</v>
      </c>
      <c r="P1849" t="s">
        <v>26</v>
      </c>
      <c r="Q1849" t="s">
        <v>26</v>
      </c>
      <c r="R1849" t="s">
        <v>26</v>
      </c>
      <c r="S1849" t="s">
        <v>26</v>
      </c>
      <c r="T1849" t="s">
        <v>26</v>
      </c>
      <c r="U1849" t="s">
        <v>26</v>
      </c>
      <c r="V1849" t="s">
        <v>26</v>
      </c>
      <c r="W1849" s="24">
        <v>38018</v>
      </c>
      <c r="X1849" s="24">
        <v>44652</v>
      </c>
      <c r="Y1849" t="s">
        <v>26</v>
      </c>
      <c r="Z1849" s="24">
        <v>38018</v>
      </c>
      <c r="AA1849" s="24">
        <v>44652</v>
      </c>
      <c r="AB1849" t="s">
        <v>26</v>
      </c>
      <c r="AC1849" s="24">
        <v>38018</v>
      </c>
      <c r="AD1849" s="24">
        <v>44652</v>
      </c>
      <c r="AE1849" t="s">
        <v>26</v>
      </c>
      <c r="AF1849" t="s">
        <v>26</v>
      </c>
      <c r="AG1849" t="s">
        <v>26</v>
      </c>
      <c r="AH1849" t="s">
        <v>26</v>
      </c>
      <c r="AI1849" t="s">
        <v>26</v>
      </c>
      <c r="AJ1849" t="s">
        <v>26</v>
      </c>
      <c r="AK1849" t="s">
        <v>26</v>
      </c>
      <c r="AL1849" t="s">
        <v>26</v>
      </c>
      <c r="AM1849" t="s">
        <v>26</v>
      </c>
      <c r="AN1849" t="s">
        <v>26</v>
      </c>
      <c r="AO1849" s="25" t="s">
        <v>68</v>
      </c>
      <c r="AP1849" s="23" t="s">
        <v>69</v>
      </c>
      <c r="AQ1849" s="23" t="s">
        <v>30</v>
      </c>
      <c r="AR1849" s="23" t="s">
        <v>46</v>
      </c>
      <c r="AS1849" s="25">
        <v>32793</v>
      </c>
      <c r="AT1849" t="s">
        <v>26</v>
      </c>
      <c r="AU1849" t="s">
        <v>24658</v>
      </c>
    </row>
    <row r="1850" spans="1:47" ht="26.25" x14ac:dyDescent="0.4">
      <c r="A1850" s="23" t="s">
        <v>4923</v>
      </c>
      <c r="B1850" t="s">
        <v>26</v>
      </c>
      <c r="C1850" s="23" t="s">
        <v>80</v>
      </c>
      <c r="D1850" s="23" t="s">
        <v>22174</v>
      </c>
      <c r="E1850" s="23" t="s">
        <v>60</v>
      </c>
      <c r="F1850" s="25" t="s">
        <v>4924</v>
      </c>
      <c r="G1850" s="25" t="s">
        <v>4925</v>
      </c>
      <c r="H1850" t="s">
        <v>26</v>
      </c>
      <c r="I1850" s="24">
        <v>34759</v>
      </c>
      <c r="J1850" s="24">
        <v>36130</v>
      </c>
      <c r="K1850" t="s">
        <v>26</v>
      </c>
      <c r="L1850" s="25" t="s">
        <v>68</v>
      </c>
      <c r="M1850" s="24">
        <v>34759</v>
      </c>
      <c r="N1850" s="24">
        <v>36130</v>
      </c>
      <c r="O1850" t="s">
        <v>26</v>
      </c>
      <c r="P1850" s="24">
        <v>34759</v>
      </c>
      <c r="Q1850" s="24">
        <v>36130</v>
      </c>
      <c r="R1850" t="s">
        <v>26</v>
      </c>
      <c r="S1850" t="s">
        <v>26</v>
      </c>
      <c r="T1850" t="s">
        <v>26</v>
      </c>
      <c r="U1850" t="s">
        <v>26</v>
      </c>
      <c r="V1850" t="s">
        <v>26</v>
      </c>
      <c r="W1850" s="24">
        <v>32781</v>
      </c>
      <c r="X1850" s="25" t="s">
        <v>77</v>
      </c>
      <c r="Y1850" t="s">
        <v>26</v>
      </c>
      <c r="Z1850" s="24">
        <v>32781</v>
      </c>
      <c r="AA1850" s="25" t="s">
        <v>77</v>
      </c>
      <c r="AB1850" t="s">
        <v>26</v>
      </c>
      <c r="AC1850" s="24">
        <v>32781</v>
      </c>
      <c r="AD1850" s="25" t="s">
        <v>77</v>
      </c>
      <c r="AE1850" t="s">
        <v>26</v>
      </c>
      <c r="AF1850" t="s">
        <v>26</v>
      </c>
      <c r="AG1850" t="s">
        <v>26</v>
      </c>
      <c r="AH1850" t="s">
        <v>26</v>
      </c>
      <c r="AI1850" t="s">
        <v>26</v>
      </c>
      <c r="AJ1850" t="s">
        <v>26</v>
      </c>
      <c r="AK1850" t="s">
        <v>26</v>
      </c>
      <c r="AL1850" t="s">
        <v>26</v>
      </c>
      <c r="AM1850" t="s">
        <v>26</v>
      </c>
      <c r="AN1850" t="s">
        <v>26</v>
      </c>
      <c r="AO1850" s="25" t="s">
        <v>68</v>
      </c>
      <c r="AP1850" s="23" t="s">
        <v>69</v>
      </c>
      <c r="AQ1850" s="23" t="s">
        <v>30</v>
      </c>
      <c r="AR1850" s="23" t="s">
        <v>4926</v>
      </c>
      <c r="AS1850" s="25">
        <v>44954</v>
      </c>
      <c r="AT1850" t="s">
        <v>26</v>
      </c>
      <c r="AU1850" t="s">
        <v>24659</v>
      </c>
    </row>
    <row r="1851" spans="1:47" ht="26.25" x14ac:dyDescent="0.4">
      <c r="A1851" s="23" t="s">
        <v>4927</v>
      </c>
      <c r="B1851" t="s">
        <v>26</v>
      </c>
      <c r="C1851" s="23" t="s">
        <v>264</v>
      </c>
      <c r="D1851" s="23" t="s">
        <v>22261</v>
      </c>
      <c r="E1851" s="23" t="s">
        <v>60</v>
      </c>
      <c r="F1851" s="25" t="s">
        <v>4928</v>
      </c>
      <c r="G1851" s="25" t="s">
        <v>4929</v>
      </c>
      <c r="H1851" t="s">
        <v>26</v>
      </c>
      <c r="I1851" s="24">
        <v>42005</v>
      </c>
      <c r="J1851" s="25" t="s">
        <v>77</v>
      </c>
      <c r="K1851" t="s">
        <v>26</v>
      </c>
      <c r="L1851" s="25" t="s">
        <v>68</v>
      </c>
      <c r="M1851" s="24">
        <v>42005</v>
      </c>
      <c r="N1851" s="25" t="s">
        <v>77</v>
      </c>
      <c r="O1851" t="s">
        <v>26</v>
      </c>
      <c r="P1851" s="24">
        <v>42005</v>
      </c>
      <c r="Q1851" s="25" t="s">
        <v>77</v>
      </c>
      <c r="R1851" t="s">
        <v>26</v>
      </c>
      <c r="S1851" t="s">
        <v>26</v>
      </c>
      <c r="T1851" t="s">
        <v>26</v>
      </c>
      <c r="U1851" t="s">
        <v>26</v>
      </c>
      <c r="V1851" t="s">
        <v>26</v>
      </c>
      <c r="W1851" s="24">
        <v>42005</v>
      </c>
      <c r="X1851" s="25" t="s">
        <v>77</v>
      </c>
      <c r="Y1851" t="s">
        <v>26</v>
      </c>
      <c r="Z1851" s="24">
        <v>42005</v>
      </c>
      <c r="AA1851" s="25" t="s">
        <v>77</v>
      </c>
      <c r="AB1851" t="s">
        <v>26</v>
      </c>
      <c r="AC1851" s="24">
        <v>42005</v>
      </c>
      <c r="AD1851" s="25" t="s">
        <v>77</v>
      </c>
      <c r="AE1851" t="s">
        <v>26</v>
      </c>
      <c r="AF1851" t="s">
        <v>26</v>
      </c>
      <c r="AG1851" t="s">
        <v>26</v>
      </c>
      <c r="AH1851" t="s">
        <v>26</v>
      </c>
      <c r="AI1851" t="s">
        <v>26</v>
      </c>
      <c r="AJ1851" t="s">
        <v>26</v>
      </c>
      <c r="AK1851" t="s">
        <v>26</v>
      </c>
      <c r="AL1851" t="s">
        <v>26</v>
      </c>
      <c r="AM1851" t="s">
        <v>26</v>
      </c>
      <c r="AN1851" t="s">
        <v>26</v>
      </c>
      <c r="AO1851" s="25" t="s">
        <v>68</v>
      </c>
      <c r="AP1851" s="23" t="s">
        <v>69</v>
      </c>
      <c r="AQ1851" s="23" t="s">
        <v>30</v>
      </c>
      <c r="AR1851" s="23" t="s">
        <v>128</v>
      </c>
      <c r="AS1851" s="25">
        <v>4931662</v>
      </c>
      <c r="AT1851" t="s">
        <v>26</v>
      </c>
      <c r="AU1851" t="s">
        <v>24660</v>
      </c>
    </row>
    <row r="1852" spans="1:47" ht="39.4" x14ac:dyDescent="0.4">
      <c r="A1852" s="23" t="s">
        <v>4930</v>
      </c>
      <c r="B1852" t="s">
        <v>26</v>
      </c>
      <c r="C1852" s="23" t="s">
        <v>80</v>
      </c>
      <c r="D1852" s="23" t="s">
        <v>22184</v>
      </c>
      <c r="E1852" s="23" t="s">
        <v>60</v>
      </c>
      <c r="F1852" s="25" t="s">
        <v>4931</v>
      </c>
      <c r="G1852" s="25" t="s">
        <v>4932</v>
      </c>
      <c r="H1852" t="s">
        <v>26</v>
      </c>
      <c r="I1852" t="s">
        <v>26</v>
      </c>
      <c r="J1852" t="s">
        <v>26</v>
      </c>
      <c r="K1852" t="s">
        <v>26</v>
      </c>
      <c r="L1852" s="25" t="s">
        <v>68</v>
      </c>
      <c r="M1852" t="s">
        <v>26</v>
      </c>
      <c r="N1852" t="s">
        <v>26</v>
      </c>
      <c r="O1852" t="s">
        <v>26</v>
      </c>
      <c r="P1852" t="s">
        <v>26</v>
      </c>
      <c r="Q1852" t="s">
        <v>26</v>
      </c>
      <c r="R1852" t="s">
        <v>26</v>
      </c>
      <c r="S1852" t="s">
        <v>26</v>
      </c>
      <c r="T1852" t="s">
        <v>26</v>
      </c>
      <c r="U1852" t="s">
        <v>26</v>
      </c>
      <c r="V1852" t="s">
        <v>26</v>
      </c>
      <c r="W1852" s="24">
        <v>42278</v>
      </c>
      <c r="X1852" s="25" t="s">
        <v>77</v>
      </c>
      <c r="Y1852" t="s">
        <v>26</v>
      </c>
      <c r="Z1852" s="24">
        <v>42278</v>
      </c>
      <c r="AA1852" s="25" t="s">
        <v>77</v>
      </c>
      <c r="AB1852" t="s">
        <v>26</v>
      </c>
      <c r="AC1852" s="24">
        <v>42278</v>
      </c>
      <c r="AD1852" s="25" t="s">
        <v>77</v>
      </c>
      <c r="AE1852" t="s">
        <v>26</v>
      </c>
      <c r="AF1852" t="s">
        <v>26</v>
      </c>
      <c r="AG1852" t="s">
        <v>26</v>
      </c>
      <c r="AH1852" t="s">
        <v>26</v>
      </c>
      <c r="AI1852" t="s">
        <v>26</v>
      </c>
      <c r="AJ1852" t="s">
        <v>26</v>
      </c>
      <c r="AK1852" t="s">
        <v>26</v>
      </c>
      <c r="AL1852" t="s">
        <v>26</v>
      </c>
      <c r="AM1852" t="s">
        <v>26</v>
      </c>
      <c r="AN1852" t="s">
        <v>26</v>
      </c>
      <c r="AO1852" s="25" t="s">
        <v>68</v>
      </c>
      <c r="AP1852" s="23" t="s">
        <v>69</v>
      </c>
      <c r="AQ1852" s="23" t="s">
        <v>30</v>
      </c>
      <c r="AR1852" s="23" t="s">
        <v>4933</v>
      </c>
      <c r="AS1852" s="25">
        <v>2040013</v>
      </c>
      <c r="AT1852" t="s">
        <v>26</v>
      </c>
      <c r="AU1852" t="s">
        <v>24661</v>
      </c>
    </row>
    <row r="1853" spans="1:47" ht="26.25" x14ac:dyDescent="0.4">
      <c r="A1853" s="23" t="s">
        <v>4934</v>
      </c>
      <c r="B1853" t="s">
        <v>26</v>
      </c>
      <c r="C1853" s="23" t="s">
        <v>264</v>
      </c>
      <c r="D1853" s="23" t="s">
        <v>23125</v>
      </c>
      <c r="E1853" s="23" t="s">
        <v>60</v>
      </c>
      <c r="F1853" s="25" t="s">
        <v>4935</v>
      </c>
      <c r="G1853" s="25" t="s">
        <v>4936</v>
      </c>
      <c r="H1853" t="s">
        <v>26</v>
      </c>
      <c r="I1853" s="24">
        <v>33604</v>
      </c>
      <c r="J1853" s="25" t="s">
        <v>77</v>
      </c>
      <c r="K1853" t="s">
        <v>26</v>
      </c>
      <c r="L1853" s="25" t="s">
        <v>68</v>
      </c>
      <c r="M1853" s="24">
        <v>33604</v>
      </c>
      <c r="N1853" s="25" t="s">
        <v>77</v>
      </c>
      <c r="O1853" t="s">
        <v>26</v>
      </c>
      <c r="P1853" s="24">
        <v>34700</v>
      </c>
      <c r="Q1853" s="25" t="s">
        <v>77</v>
      </c>
      <c r="R1853" s="25" t="s">
        <v>24026</v>
      </c>
      <c r="S1853" t="s">
        <v>26</v>
      </c>
      <c r="T1853" t="s">
        <v>26</v>
      </c>
      <c r="U1853" t="s">
        <v>26</v>
      </c>
      <c r="V1853" s="25">
        <v>365</v>
      </c>
      <c r="W1853" s="24">
        <v>33604</v>
      </c>
      <c r="X1853" s="25" t="s">
        <v>77</v>
      </c>
      <c r="Y1853" t="s">
        <v>26</v>
      </c>
      <c r="Z1853" s="24">
        <v>33604</v>
      </c>
      <c r="AA1853" s="25" t="s">
        <v>77</v>
      </c>
      <c r="AB1853" t="s">
        <v>26</v>
      </c>
      <c r="AC1853" s="24">
        <v>33604</v>
      </c>
      <c r="AD1853" s="25" t="s">
        <v>77</v>
      </c>
      <c r="AE1853" t="s">
        <v>26</v>
      </c>
      <c r="AF1853" t="s">
        <v>26</v>
      </c>
      <c r="AG1853" t="s">
        <v>26</v>
      </c>
      <c r="AH1853" t="s">
        <v>26</v>
      </c>
      <c r="AI1853" t="s">
        <v>26</v>
      </c>
      <c r="AJ1853" t="s">
        <v>26</v>
      </c>
      <c r="AK1853" t="s">
        <v>26</v>
      </c>
      <c r="AL1853" t="s">
        <v>26</v>
      </c>
      <c r="AM1853" t="s">
        <v>26</v>
      </c>
      <c r="AN1853" t="s">
        <v>26</v>
      </c>
      <c r="AO1853" s="25" t="s">
        <v>68</v>
      </c>
      <c r="AP1853" s="23" t="s">
        <v>69</v>
      </c>
      <c r="AQ1853" s="23" t="s">
        <v>30</v>
      </c>
      <c r="AR1853" s="23" t="s">
        <v>4894</v>
      </c>
      <c r="AS1853" s="25">
        <v>25612</v>
      </c>
      <c r="AT1853" t="s">
        <v>26</v>
      </c>
      <c r="AU1853" t="s">
        <v>24662</v>
      </c>
    </row>
    <row r="1854" spans="1:47" ht="26.25" x14ac:dyDescent="0.4">
      <c r="A1854" s="23" t="s">
        <v>4937</v>
      </c>
      <c r="B1854" t="s">
        <v>26</v>
      </c>
      <c r="C1854" s="23" t="s">
        <v>4938</v>
      </c>
      <c r="D1854" s="23" t="s">
        <v>23520</v>
      </c>
      <c r="E1854" s="23" t="s">
        <v>42</v>
      </c>
      <c r="F1854" s="25" t="s">
        <v>4939</v>
      </c>
      <c r="G1854" s="25" t="s">
        <v>4940</v>
      </c>
      <c r="H1854" t="s">
        <v>26</v>
      </c>
      <c r="I1854" s="24">
        <v>42736</v>
      </c>
      <c r="J1854" s="25" t="s">
        <v>77</v>
      </c>
      <c r="K1854" t="s">
        <v>26</v>
      </c>
      <c r="L1854" s="25" t="s">
        <v>68</v>
      </c>
      <c r="M1854" t="s">
        <v>26</v>
      </c>
      <c r="N1854" t="s">
        <v>26</v>
      </c>
      <c r="O1854" t="s">
        <v>26</v>
      </c>
      <c r="P1854" s="24">
        <v>42736</v>
      </c>
      <c r="Q1854" s="25" t="s">
        <v>77</v>
      </c>
      <c r="R1854" t="s">
        <v>26</v>
      </c>
      <c r="S1854" t="s">
        <v>26</v>
      </c>
      <c r="T1854" t="s">
        <v>26</v>
      </c>
      <c r="U1854" t="s">
        <v>26</v>
      </c>
      <c r="V1854" t="s">
        <v>26</v>
      </c>
      <c r="W1854" s="24">
        <v>42736</v>
      </c>
      <c r="X1854" s="25" t="s">
        <v>77</v>
      </c>
      <c r="Y1854" t="s">
        <v>26</v>
      </c>
      <c r="Z1854" s="24">
        <v>42736</v>
      </c>
      <c r="AA1854" s="25" t="s">
        <v>77</v>
      </c>
      <c r="AB1854" t="s">
        <v>26</v>
      </c>
      <c r="AC1854" s="24">
        <v>42736</v>
      </c>
      <c r="AD1854" s="25" t="s">
        <v>77</v>
      </c>
      <c r="AE1854" t="s">
        <v>26</v>
      </c>
      <c r="AF1854" t="s">
        <v>26</v>
      </c>
      <c r="AG1854" t="s">
        <v>26</v>
      </c>
      <c r="AH1854" t="s">
        <v>26</v>
      </c>
      <c r="AI1854" t="s">
        <v>26</v>
      </c>
      <c r="AJ1854" t="s">
        <v>26</v>
      </c>
      <c r="AK1854" t="s">
        <v>26</v>
      </c>
      <c r="AL1854" t="s">
        <v>26</v>
      </c>
      <c r="AM1854" t="s">
        <v>26</v>
      </c>
      <c r="AN1854" t="s">
        <v>26</v>
      </c>
      <c r="AO1854" s="25" t="s">
        <v>68</v>
      </c>
      <c r="AP1854" s="23" t="s">
        <v>69</v>
      </c>
      <c r="AQ1854" s="23" t="s">
        <v>30</v>
      </c>
      <c r="AR1854" s="23" t="s">
        <v>1464</v>
      </c>
      <c r="AS1854" s="25">
        <v>2045003</v>
      </c>
      <c r="AT1854" t="s">
        <v>26</v>
      </c>
      <c r="AU1854" t="s">
        <v>24663</v>
      </c>
    </row>
    <row r="1855" spans="1:47" ht="26.25" x14ac:dyDescent="0.4">
      <c r="A1855" s="23" t="s">
        <v>4941</v>
      </c>
      <c r="B1855" t="s">
        <v>26</v>
      </c>
      <c r="C1855" s="23" t="s">
        <v>73</v>
      </c>
      <c r="D1855" s="23" t="s">
        <v>22179</v>
      </c>
      <c r="E1855" s="23" t="s">
        <v>74</v>
      </c>
      <c r="F1855" s="25" t="s">
        <v>4942</v>
      </c>
      <c r="G1855" s="25" t="s">
        <v>4943</v>
      </c>
      <c r="H1855" t="s">
        <v>26</v>
      </c>
      <c r="I1855" s="24">
        <v>33635</v>
      </c>
      <c r="J1855" s="25" t="s">
        <v>77</v>
      </c>
      <c r="K1855" t="s">
        <v>26</v>
      </c>
      <c r="L1855" s="25" t="s">
        <v>68</v>
      </c>
      <c r="M1855" s="24">
        <v>34973</v>
      </c>
      <c r="N1855" s="24">
        <v>42856</v>
      </c>
      <c r="O1855" t="s">
        <v>26</v>
      </c>
      <c r="P1855" s="24">
        <v>33635</v>
      </c>
      <c r="Q1855" s="25" t="s">
        <v>77</v>
      </c>
      <c r="R1855" t="s">
        <v>26</v>
      </c>
      <c r="S1855" t="s">
        <v>26</v>
      </c>
      <c r="T1855" t="s">
        <v>26</v>
      </c>
      <c r="U1855" t="s">
        <v>26</v>
      </c>
      <c r="V1855" s="25">
        <v>365</v>
      </c>
      <c r="W1855" s="24">
        <v>32540</v>
      </c>
      <c r="X1855" s="25" t="s">
        <v>77</v>
      </c>
      <c r="Y1855" t="s">
        <v>26</v>
      </c>
      <c r="Z1855" s="24">
        <v>32540</v>
      </c>
      <c r="AA1855" s="25" t="s">
        <v>77</v>
      </c>
      <c r="AB1855" t="s">
        <v>26</v>
      </c>
      <c r="AC1855" s="24">
        <v>32540</v>
      </c>
      <c r="AD1855" s="25" t="s">
        <v>77</v>
      </c>
      <c r="AE1855" t="s">
        <v>26</v>
      </c>
      <c r="AF1855" t="s">
        <v>26</v>
      </c>
      <c r="AG1855" t="s">
        <v>26</v>
      </c>
      <c r="AH1855" t="s">
        <v>26</v>
      </c>
      <c r="AI1855" t="s">
        <v>26</v>
      </c>
      <c r="AJ1855" t="s">
        <v>26</v>
      </c>
      <c r="AK1855" t="s">
        <v>26</v>
      </c>
      <c r="AL1855" t="s">
        <v>26</v>
      </c>
      <c r="AM1855" t="s">
        <v>26</v>
      </c>
      <c r="AN1855" t="s">
        <v>26</v>
      </c>
      <c r="AO1855" s="25" t="s">
        <v>68</v>
      </c>
      <c r="AP1855" s="23" t="s">
        <v>69</v>
      </c>
      <c r="AQ1855" s="23" t="s">
        <v>30</v>
      </c>
      <c r="AR1855" s="23" t="s">
        <v>1419</v>
      </c>
      <c r="AS1855" s="25">
        <v>48391</v>
      </c>
      <c r="AT1855" t="s">
        <v>26</v>
      </c>
      <c r="AU1855" t="s">
        <v>24664</v>
      </c>
    </row>
    <row r="1856" spans="1:47" ht="26.25" x14ac:dyDescent="0.4">
      <c r="A1856" s="23" t="s">
        <v>4944</v>
      </c>
      <c r="B1856" t="s">
        <v>26</v>
      </c>
      <c r="C1856" s="23" t="s">
        <v>73</v>
      </c>
      <c r="D1856" s="23" t="s">
        <v>22179</v>
      </c>
      <c r="E1856" s="23" t="s">
        <v>74</v>
      </c>
      <c r="F1856" s="25" t="s">
        <v>4945</v>
      </c>
      <c r="G1856" s="25" t="s">
        <v>4946</v>
      </c>
      <c r="H1856" t="s">
        <v>26</v>
      </c>
      <c r="I1856" s="24">
        <v>35065</v>
      </c>
      <c r="J1856" s="25" t="s">
        <v>77</v>
      </c>
      <c r="K1856" t="s">
        <v>26</v>
      </c>
      <c r="L1856" s="25" t="s">
        <v>68</v>
      </c>
      <c r="M1856" s="24">
        <v>37987</v>
      </c>
      <c r="N1856" s="24">
        <v>42856</v>
      </c>
      <c r="O1856" t="s">
        <v>26</v>
      </c>
      <c r="P1856" s="24">
        <v>35065</v>
      </c>
      <c r="Q1856" s="25" t="s">
        <v>77</v>
      </c>
      <c r="R1856" t="s">
        <v>26</v>
      </c>
      <c r="S1856" t="s">
        <v>26</v>
      </c>
      <c r="T1856" t="s">
        <v>26</v>
      </c>
      <c r="U1856" t="s">
        <v>26</v>
      </c>
      <c r="V1856" s="25">
        <v>365</v>
      </c>
      <c r="W1856" s="24">
        <v>28856</v>
      </c>
      <c r="X1856" s="25" t="s">
        <v>77</v>
      </c>
      <c r="Y1856" t="s">
        <v>26</v>
      </c>
      <c r="Z1856" s="24">
        <v>28856</v>
      </c>
      <c r="AA1856" s="25" t="s">
        <v>77</v>
      </c>
      <c r="AB1856" t="s">
        <v>26</v>
      </c>
      <c r="AC1856" s="24">
        <v>29037</v>
      </c>
      <c r="AD1856" s="25" t="s">
        <v>77</v>
      </c>
      <c r="AE1856" t="s">
        <v>26</v>
      </c>
      <c r="AF1856" t="s">
        <v>26</v>
      </c>
      <c r="AG1856" t="s">
        <v>26</v>
      </c>
      <c r="AH1856" t="s">
        <v>26</v>
      </c>
      <c r="AI1856" t="s">
        <v>26</v>
      </c>
      <c r="AJ1856" t="s">
        <v>26</v>
      </c>
      <c r="AK1856" t="s">
        <v>26</v>
      </c>
      <c r="AL1856" t="s">
        <v>26</v>
      </c>
      <c r="AM1856" t="s">
        <v>26</v>
      </c>
      <c r="AN1856" t="s">
        <v>26</v>
      </c>
      <c r="AO1856" s="25" t="s">
        <v>68</v>
      </c>
      <c r="AP1856" s="23" t="s">
        <v>69</v>
      </c>
      <c r="AQ1856" s="23" t="s">
        <v>30</v>
      </c>
      <c r="AR1856" s="23" t="s">
        <v>2389</v>
      </c>
      <c r="AS1856" s="25">
        <v>7397</v>
      </c>
      <c r="AT1856" t="s">
        <v>26</v>
      </c>
      <c r="AU1856" t="s">
        <v>24665</v>
      </c>
    </row>
    <row r="1857" spans="1:47" ht="26.25" x14ac:dyDescent="0.4">
      <c r="A1857" s="23" t="s">
        <v>4947</v>
      </c>
      <c r="B1857" t="s">
        <v>26</v>
      </c>
      <c r="C1857" s="23" t="s">
        <v>4948</v>
      </c>
      <c r="D1857" s="23" t="s">
        <v>24666</v>
      </c>
      <c r="E1857" s="23" t="s">
        <v>42</v>
      </c>
      <c r="F1857" s="25" t="s">
        <v>4949</v>
      </c>
      <c r="G1857" s="25" t="s">
        <v>4950</v>
      </c>
      <c r="H1857" t="s">
        <v>26</v>
      </c>
      <c r="I1857" t="s">
        <v>26</v>
      </c>
      <c r="J1857" t="s">
        <v>26</v>
      </c>
      <c r="K1857" t="s">
        <v>26</v>
      </c>
      <c r="L1857" s="25" t="s">
        <v>68</v>
      </c>
      <c r="M1857" t="s">
        <v>26</v>
      </c>
      <c r="N1857" t="s">
        <v>26</v>
      </c>
      <c r="O1857" t="s">
        <v>26</v>
      </c>
      <c r="P1857" t="s">
        <v>26</v>
      </c>
      <c r="Q1857" t="s">
        <v>26</v>
      </c>
      <c r="R1857" t="s">
        <v>26</v>
      </c>
      <c r="S1857" t="s">
        <v>26</v>
      </c>
      <c r="T1857" t="s">
        <v>26</v>
      </c>
      <c r="U1857" t="s">
        <v>26</v>
      </c>
      <c r="V1857" t="s">
        <v>26</v>
      </c>
      <c r="W1857" s="24">
        <v>35886</v>
      </c>
      <c r="X1857" s="24">
        <v>43891</v>
      </c>
      <c r="Y1857" s="25" t="s">
        <v>202</v>
      </c>
      <c r="Z1857" s="24">
        <v>35886</v>
      </c>
      <c r="AA1857" s="24">
        <v>43891</v>
      </c>
      <c r="AB1857" s="25" t="s">
        <v>202</v>
      </c>
      <c r="AC1857" s="24">
        <v>35886</v>
      </c>
      <c r="AD1857" s="24">
        <v>43891</v>
      </c>
      <c r="AE1857" s="25" t="s">
        <v>202</v>
      </c>
      <c r="AF1857" t="s">
        <v>26</v>
      </c>
      <c r="AG1857" t="s">
        <v>26</v>
      </c>
      <c r="AH1857" t="s">
        <v>26</v>
      </c>
      <c r="AI1857" t="s">
        <v>26</v>
      </c>
      <c r="AJ1857" t="s">
        <v>26</v>
      </c>
      <c r="AK1857" t="s">
        <v>26</v>
      </c>
      <c r="AL1857" t="s">
        <v>26</v>
      </c>
      <c r="AM1857" t="s">
        <v>26</v>
      </c>
      <c r="AN1857" t="s">
        <v>26</v>
      </c>
      <c r="AO1857" s="25" t="s">
        <v>68</v>
      </c>
      <c r="AP1857" s="23" t="s">
        <v>69</v>
      </c>
      <c r="AQ1857" s="23" t="s">
        <v>30</v>
      </c>
      <c r="AR1857" s="23" t="s">
        <v>806</v>
      </c>
      <c r="AS1857" s="25">
        <v>31782</v>
      </c>
      <c r="AT1857" t="s">
        <v>26</v>
      </c>
      <c r="AU1857" t="s">
        <v>24667</v>
      </c>
    </row>
    <row r="1858" spans="1:47" ht="26.25" x14ac:dyDescent="0.4">
      <c r="A1858" s="23" t="s">
        <v>4951</v>
      </c>
      <c r="B1858" t="s">
        <v>26</v>
      </c>
      <c r="C1858" s="23" t="s">
        <v>676</v>
      </c>
      <c r="D1858" s="23" t="s">
        <v>22192</v>
      </c>
      <c r="E1858" s="23" t="s">
        <v>74</v>
      </c>
      <c r="F1858" s="25" t="s">
        <v>4952</v>
      </c>
      <c r="G1858" s="25" t="s">
        <v>4953</v>
      </c>
      <c r="H1858" t="s">
        <v>26</v>
      </c>
      <c r="I1858" t="s">
        <v>26</v>
      </c>
      <c r="J1858" t="s">
        <v>26</v>
      </c>
      <c r="K1858" t="s">
        <v>26</v>
      </c>
      <c r="L1858" s="25" t="s">
        <v>68</v>
      </c>
      <c r="M1858" t="s">
        <v>26</v>
      </c>
      <c r="N1858" t="s">
        <v>26</v>
      </c>
      <c r="O1858" t="s">
        <v>26</v>
      </c>
      <c r="P1858" t="s">
        <v>26</v>
      </c>
      <c r="Q1858" t="s">
        <v>26</v>
      </c>
      <c r="R1858" t="s">
        <v>26</v>
      </c>
      <c r="S1858" t="s">
        <v>26</v>
      </c>
      <c r="T1858" t="s">
        <v>26</v>
      </c>
      <c r="U1858" t="s">
        <v>26</v>
      </c>
      <c r="V1858" t="s">
        <v>26</v>
      </c>
      <c r="W1858" s="24">
        <v>32509</v>
      </c>
      <c r="X1858" s="25" t="s">
        <v>77</v>
      </c>
      <c r="Y1858" s="25" t="s">
        <v>3564</v>
      </c>
      <c r="Z1858" s="24">
        <v>32509</v>
      </c>
      <c r="AA1858" s="25" t="s">
        <v>77</v>
      </c>
      <c r="AB1858" s="25" t="s">
        <v>3564</v>
      </c>
      <c r="AC1858" s="24">
        <v>32509</v>
      </c>
      <c r="AD1858" s="25" t="s">
        <v>77</v>
      </c>
      <c r="AE1858" s="25" t="s">
        <v>3564</v>
      </c>
      <c r="AF1858" t="s">
        <v>26</v>
      </c>
      <c r="AG1858" t="s">
        <v>26</v>
      </c>
      <c r="AH1858" t="s">
        <v>26</v>
      </c>
      <c r="AI1858" t="s">
        <v>26</v>
      </c>
      <c r="AJ1858" t="s">
        <v>26</v>
      </c>
      <c r="AK1858" t="s">
        <v>26</v>
      </c>
      <c r="AL1858" t="s">
        <v>26</v>
      </c>
      <c r="AM1858" t="s">
        <v>26</v>
      </c>
      <c r="AN1858" t="s">
        <v>26</v>
      </c>
      <c r="AO1858" s="25" t="s">
        <v>68</v>
      </c>
      <c r="AP1858" s="23" t="s">
        <v>69</v>
      </c>
      <c r="AQ1858" s="23" t="s">
        <v>30</v>
      </c>
      <c r="AR1858" s="23" t="s">
        <v>4954</v>
      </c>
      <c r="AS1858" s="25">
        <v>32006</v>
      </c>
      <c r="AT1858" t="s">
        <v>26</v>
      </c>
      <c r="AU1858" t="s">
        <v>24668</v>
      </c>
    </row>
    <row r="1859" spans="1:47" ht="26.25" x14ac:dyDescent="0.4">
      <c r="A1859" s="23" t="s">
        <v>4955</v>
      </c>
      <c r="B1859" t="s">
        <v>26</v>
      </c>
      <c r="C1859" s="23" t="s">
        <v>550</v>
      </c>
      <c r="D1859" s="23" t="s">
        <v>22352</v>
      </c>
      <c r="E1859" s="23" t="s">
        <v>42</v>
      </c>
      <c r="F1859" s="25" t="s">
        <v>4956</v>
      </c>
      <c r="G1859" s="25" t="s">
        <v>4957</v>
      </c>
      <c r="H1859" t="s">
        <v>26</v>
      </c>
      <c r="I1859" t="s">
        <v>26</v>
      </c>
      <c r="J1859" t="s">
        <v>26</v>
      </c>
      <c r="K1859" t="s">
        <v>26</v>
      </c>
      <c r="L1859" s="25" t="s">
        <v>68</v>
      </c>
      <c r="M1859" t="s">
        <v>26</v>
      </c>
      <c r="N1859" t="s">
        <v>26</v>
      </c>
      <c r="O1859" t="s">
        <v>26</v>
      </c>
      <c r="P1859" t="s">
        <v>26</v>
      </c>
      <c r="Q1859" t="s">
        <v>26</v>
      </c>
      <c r="R1859" t="s">
        <v>26</v>
      </c>
      <c r="S1859" t="s">
        <v>26</v>
      </c>
      <c r="T1859" t="s">
        <v>26</v>
      </c>
      <c r="U1859" t="s">
        <v>26</v>
      </c>
      <c r="V1859" t="s">
        <v>26</v>
      </c>
      <c r="W1859" s="24">
        <v>42644</v>
      </c>
      <c r="X1859" s="25" t="s">
        <v>77</v>
      </c>
      <c r="Y1859" t="s">
        <v>26</v>
      </c>
      <c r="Z1859" s="24">
        <v>42644</v>
      </c>
      <c r="AA1859" s="25" t="s">
        <v>77</v>
      </c>
      <c r="AB1859" t="s">
        <v>26</v>
      </c>
      <c r="AC1859" s="24">
        <v>42644</v>
      </c>
      <c r="AD1859" s="25" t="s">
        <v>77</v>
      </c>
      <c r="AE1859" t="s">
        <v>26</v>
      </c>
      <c r="AF1859" t="s">
        <v>26</v>
      </c>
      <c r="AG1859" t="s">
        <v>26</v>
      </c>
      <c r="AH1859" t="s">
        <v>26</v>
      </c>
      <c r="AI1859" t="s">
        <v>26</v>
      </c>
      <c r="AJ1859" t="s">
        <v>26</v>
      </c>
      <c r="AK1859" t="s">
        <v>26</v>
      </c>
      <c r="AL1859" t="s">
        <v>26</v>
      </c>
      <c r="AM1859" t="s">
        <v>26</v>
      </c>
      <c r="AN1859" t="s">
        <v>26</v>
      </c>
      <c r="AO1859" s="25" t="s">
        <v>68</v>
      </c>
      <c r="AP1859" s="23" t="s">
        <v>69</v>
      </c>
      <c r="AQ1859" s="23" t="s">
        <v>30</v>
      </c>
      <c r="AR1859" s="23" t="s">
        <v>3210</v>
      </c>
      <c r="AS1859" s="25">
        <v>4507598</v>
      </c>
      <c r="AT1859" t="s">
        <v>26</v>
      </c>
      <c r="AU1859" t="s">
        <v>24669</v>
      </c>
    </row>
    <row r="1860" spans="1:47" ht="39.4" x14ac:dyDescent="0.4">
      <c r="A1860" s="23" t="s">
        <v>4958</v>
      </c>
      <c r="B1860" t="s">
        <v>26</v>
      </c>
      <c r="C1860" s="23" t="s">
        <v>102</v>
      </c>
      <c r="D1860" s="23" t="s">
        <v>22166</v>
      </c>
      <c r="E1860" s="23" t="s">
        <v>42</v>
      </c>
      <c r="F1860" s="25" t="s">
        <v>4959</v>
      </c>
      <c r="G1860" s="25" t="s">
        <v>4960</v>
      </c>
      <c r="H1860" t="s">
        <v>26</v>
      </c>
      <c r="I1860" t="s">
        <v>26</v>
      </c>
      <c r="J1860" t="s">
        <v>26</v>
      </c>
      <c r="K1860" t="s">
        <v>26</v>
      </c>
      <c r="L1860" s="25" t="s">
        <v>68</v>
      </c>
      <c r="M1860" t="s">
        <v>26</v>
      </c>
      <c r="N1860" t="s">
        <v>26</v>
      </c>
      <c r="O1860" t="s">
        <v>26</v>
      </c>
      <c r="P1860" t="s">
        <v>26</v>
      </c>
      <c r="Q1860" t="s">
        <v>26</v>
      </c>
      <c r="R1860" t="s">
        <v>26</v>
      </c>
      <c r="S1860" t="s">
        <v>26</v>
      </c>
      <c r="T1860" t="s">
        <v>26</v>
      </c>
      <c r="U1860" t="s">
        <v>26</v>
      </c>
      <c r="V1860" t="s">
        <v>26</v>
      </c>
      <c r="W1860" s="24">
        <v>35916</v>
      </c>
      <c r="X1860" s="25" t="s">
        <v>77</v>
      </c>
      <c r="Y1860" s="25" t="s">
        <v>1185</v>
      </c>
      <c r="Z1860" s="24">
        <v>35916</v>
      </c>
      <c r="AA1860" s="25" t="s">
        <v>77</v>
      </c>
      <c r="AB1860" s="25" t="s">
        <v>1185</v>
      </c>
      <c r="AC1860" s="24">
        <v>35916</v>
      </c>
      <c r="AD1860" s="25" t="s">
        <v>77</v>
      </c>
      <c r="AE1860" s="25" t="s">
        <v>1185</v>
      </c>
      <c r="AF1860" t="s">
        <v>26</v>
      </c>
      <c r="AG1860" t="s">
        <v>26</v>
      </c>
      <c r="AH1860" t="s">
        <v>26</v>
      </c>
      <c r="AI1860" t="s">
        <v>26</v>
      </c>
      <c r="AJ1860" t="s">
        <v>26</v>
      </c>
      <c r="AK1860" t="s">
        <v>26</v>
      </c>
      <c r="AL1860" t="s">
        <v>26</v>
      </c>
      <c r="AM1860" t="s">
        <v>26</v>
      </c>
      <c r="AN1860" t="s">
        <v>26</v>
      </c>
      <c r="AO1860" s="25" t="s">
        <v>68</v>
      </c>
      <c r="AP1860" s="23" t="s">
        <v>69</v>
      </c>
      <c r="AQ1860" s="23" t="s">
        <v>30</v>
      </c>
      <c r="AR1860" s="23" t="s">
        <v>4961</v>
      </c>
      <c r="AS1860" s="25">
        <v>29840</v>
      </c>
      <c r="AT1860" t="s">
        <v>26</v>
      </c>
      <c r="AU1860" t="s">
        <v>24670</v>
      </c>
    </row>
    <row r="1861" spans="1:47" ht="26.25" x14ac:dyDescent="0.4">
      <c r="A1861" s="23" t="s">
        <v>4962</v>
      </c>
      <c r="B1861" t="s">
        <v>26</v>
      </c>
      <c r="C1861" s="23" t="s">
        <v>172</v>
      </c>
      <c r="D1861" s="23" t="s">
        <v>23616</v>
      </c>
      <c r="E1861" s="23" t="s">
        <v>60</v>
      </c>
      <c r="F1861" s="25" t="s">
        <v>4963</v>
      </c>
      <c r="G1861" s="25" t="s">
        <v>4964</v>
      </c>
      <c r="H1861" t="s">
        <v>26</v>
      </c>
      <c r="I1861" s="24">
        <v>38534</v>
      </c>
      <c r="J1861" s="24">
        <v>41699</v>
      </c>
      <c r="K1861" t="s">
        <v>26</v>
      </c>
      <c r="L1861" s="25" t="s">
        <v>68</v>
      </c>
      <c r="M1861" s="24">
        <v>38534</v>
      </c>
      <c r="N1861" s="24">
        <v>41699</v>
      </c>
      <c r="O1861" t="s">
        <v>26</v>
      </c>
      <c r="P1861" s="24">
        <v>38534</v>
      </c>
      <c r="Q1861" s="24">
        <v>41699</v>
      </c>
      <c r="R1861" t="s">
        <v>26</v>
      </c>
      <c r="S1861" t="s">
        <v>26</v>
      </c>
      <c r="T1861" t="s">
        <v>26</v>
      </c>
      <c r="U1861" t="s">
        <v>26</v>
      </c>
      <c r="V1861" t="s">
        <v>26</v>
      </c>
      <c r="W1861" s="24">
        <v>32509</v>
      </c>
      <c r="X1861" s="25" t="s">
        <v>77</v>
      </c>
      <c r="Y1861" t="s">
        <v>26</v>
      </c>
      <c r="Z1861" s="24">
        <v>32509</v>
      </c>
      <c r="AA1861" s="25" t="s">
        <v>77</v>
      </c>
      <c r="AB1861" t="s">
        <v>26</v>
      </c>
      <c r="AC1861" s="24">
        <v>32509</v>
      </c>
      <c r="AD1861" s="25" t="s">
        <v>77</v>
      </c>
      <c r="AE1861" t="s">
        <v>26</v>
      </c>
      <c r="AF1861" t="s">
        <v>26</v>
      </c>
      <c r="AG1861" t="s">
        <v>26</v>
      </c>
      <c r="AH1861" t="s">
        <v>26</v>
      </c>
      <c r="AI1861" t="s">
        <v>26</v>
      </c>
      <c r="AJ1861" t="s">
        <v>26</v>
      </c>
      <c r="AK1861" t="s">
        <v>26</v>
      </c>
      <c r="AL1861" t="s">
        <v>26</v>
      </c>
      <c r="AM1861" t="s">
        <v>26</v>
      </c>
      <c r="AN1861" t="s">
        <v>26</v>
      </c>
      <c r="AO1861" s="25" t="s">
        <v>68</v>
      </c>
      <c r="AP1861" s="23" t="s">
        <v>69</v>
      </c>
      <c r="AQ1861" s="23" t="s">
        <v>30</v>
      </c>
      <c r="AR1861" s="23" t="s">
        <v>46</v>
      </c>
      <c r="AS1861" s="25">
        <v>29953</v>
      </c>
      <c r="AT1861" t="s">
        <v>26</v>
      </c>
      <c r="AU1861" t="s">
        <v>24671</v>
      </c>
    </row>
    <row r="1862" spans="1:47" ht="26.25" x14ac:dyDescent="0.4">
      <c r="A1862" s="23" t="s">
        <v>4965</v>
      </c>
      <c r="B1862" t="s">
        <v>26</v>
      </c>
      <c r="C1862" s="23" t="s">
        <v>4280</v>
      </c>
      <c r="D1862" s="23" t="s">
        <v>22312</v>
      </c>
      <c r="E1862" s="23" t="s">
        <v>42</v>
      </c>
      <c r="F1862" s="25" t="s">
        <v>4966</v>
      </c>
      <c r="G1862" s="25" t="s">
        <v>4967</v>
      </c>
      <c r="H1862" t="s">
        <v>26</v>
      </c>
      <c r="I1862" s="24">
        <v>37073</v>
      </c>
      <c r="J1862" s="25" t="s">
        <v>77</v>
      </c>
      <c r="K1862" t="s">
        <v>26</v>
      </c>
      <c r="L1862" s="25" t="s">
        <v>68</v>
      </c>
      <c r="M1862" s="24">
        <v>37073</v>
      </c>
      <c r="N1862" s="25" t="s">
        <v>77</v>
      </c>
      <c r="O1862" t="s">
        <v>26</v>
      </c>
      <c r="P1862" s="24">
        <v>37073</v>
      </c>
      <c r="Q1862" s="25" t="s">
        <v>77</v>
      </c>
      <c r="R1862" t="s">
        <v>26</v>
      </c>
      <c r="S1862" t="s">
        <v>26</v>
      </c>
      <c r="T1862" t="s">
        <v>26</v>
      </c>
      <c r="U1862" t="s">
        <v>26</v>
      </c>
      <c r="V1862" s="25">
        <v>365</v>
      </c>
      <c r="W1862" s="24">
        <v>37073</v>
      </c>
      <c r="X1862" s="25" t="s">
        <v>77</v>
      </c>
      <c r="Y1862" t="s">
        <v>26</v>
      </c>
      <c r="Z1862" s="24">
        <v>37073</v>
      </c>
      <c r="AA1862" s="25" t="s">
        <v>77</v>
      </c>
      <c r="AB1862" t="s">
        <v>26</v>
      </c>
      <c r="AC1862" s="24">
        <v>37073</v>
      </c>
      <c r="AD1862" s="25" t="s">
        <v>77</v>
      </c>
      <c r="AE1862" t="s">
        <v>26</v>
      </c>
      <c r="AF1862" t="s">
        <v>26</v>
      </c>
      <c r="AG1862" t="s">
        <v>26</v>
      </c>
      <c r="AH1862" t="s">
        <v>26</v>
      </c>
      <c r="AI1862" t="s">
        <v>26</v>
      </c>
      <c r="AJ1862" t="s">
        <v>26</v>
      </c>
      <c r="AK1862" t="s">
        <v>26</v>
      </c>
      <c r="AL1862" t="s">
        <v>26</v>
      </c>
      <c r="AM1862" t="s">
        <v>26</v>
      </c>
      <c r="AN1862" t="s">
        <v>26</v>
      </c>
      <c r="AO1862" s="25" t="s">
        <v>68</v>
      </c>
      <c r="AP1862" s="23" t="s">
        <v>69</v>
      </c>
      <c r="AQ1862" s="23" t="s">
        <v>30</v>
      </c>
      <c r="AR1862" s="23" t="s">
        <v>46</v>
      </c>
      <c r="AS1862" s="25">
        <v>31488</v>
      </c>
      <c r="AT1862" t="s">
        <v>26</v>
      </c>
      <c r="AU1862" t="s">
        <v>24672</v>
      </c>
    </row>
    <row r="1863" spans="1:47" ht="26.25" x14ac:dyDescent="0.4">
      <c r="A1863" s="23" t="s">
        <v>4968</v>
      </c>
      <c r="B1863" t="s">
        <v>26</v>
      </c>
      <c r="C1863" s="23" t="s">
        <v>320</v>
      </c>
      <c r="D1863" s="23" t="s">
        <v>22294</v>
      </c>
      <c r="E1863" s="23" t="s">
        <v>42</v>
      </c>
      <c r="F1863" s="25" t="s">
        <v>4969</v>
      </c>
      <c r="G1863" s="25" t="s">
        <v>4970</v>
      </c>
      <c r="H1863" t="s">
        <v>26</v>
      </c>
      <c r="I1863" t="s">
        <v>26</v>
      </c>
      <c r="J1863" t="s">
        <v>26</v>
      </c>
      <c r="K1863" t="s">
        <v>26</v>
      </c>
      <c r="L1863" s="25" t="s">
        <v>68</v>
      </c>
      <c r="M1863" t="s">
        <v>26</v>
      </c>
      <c r="N1863" t="s">
        <v>26</v>
      </c>
      <c r="O1863" t="s">
        <v>26</v>
      </c>
      <c r="P1863" t="s">
        <v>26</v>
      </c>
      <c r="Q1863" t="s">
        <v>26</v>
      </c>
      <c r="R1863" t="s">
        <v>26</v>
      </c>
      <c r="S1863" t="s">
        <v>26</v>
      </c>
      <c r="T1863" t="s">
        <v>26</v>
      </c>
      <c r="U1863" t="s">
        <v>26</v>
      </c>
      <c r="V1863" t="s">
        <v>26</v>
      </c>
      <c r="W1863" s="24">
        <v>38078</v>
      </c>
      <c r="X1863" s="25" t="s">
        <v>77</v>
      </c>
      <c r="Y1863" t="s">
        <v>26</v>
      </c>
      <c r="Z1863" s="24">
        <v>38078</v>
      </c>
      <c r="AA1863" s="25" t="s">
        <v>77</v>
      </c>
      <c r="AB1863" t="s">
        <v>26</v>
      </c>
      <c r="AC1863" s="24">
        <v>38078</v>
      </c>
      <c r="AD1863" s="25" t="s">
        <v>77</v>
      </c>
      <c r="AE1863" t="s">
        <v>26</v>
      </c>
      <c r="AF1863" t="s">
        <v>26</v>
      </c>
      <c r="AG1863" t="s">
        <v>26</v>
      </c>
      <c r="AH1863" t="s">
        <v>26</v>
      </c>
      <c r="AI1863" t="s">
        <v>26</v>
      </c>
      <c r="AJ1863" t="s">
        <v>26</v>
      </c>
      <c r="AK1863" t="s">
        <v>26</v>
      </c>
      <c r="AL1863" t="s">
        <v>26</v>
      </c>
      <c r="AM1863" t="s">
        <v>26</v>
      </c>
      <c r="AN1863" t="s">
        <v>26</v>
      </c>
      <c r="AO1863" s="25" t="s">
        <v>68</v>
      </c>
      <c r="AP1863" s="23" t="s">
        <v>69</v>
      </c>
      <c r="AQ1863" s="23" t="s">
        <v>30</v>
      </c>
      <c r="AR1863" s="23" t="s">
        <v>4688</v>
      </c>
      <c r="AS1863" s="25">
        <v>47864</v>
      </c>
      <c r="AT1863" t="s">
        <v>26</v>
      </c>
      <c r="AU1863" t="s">
        <v>24673</v>
      </c>
    </row>
    <row r="1864" spans="1:47" ht="26.25" x14ac:dyDescent="0.4">
      <c r="A1864" s="23" t="s">
        <v>4971</v>
      </c>
      <c r="B1864" t="s">
        <v>26</v>
      </c>
      <c r="C1864" s="23" t="s">
        <v>80</v>
      </c>
      <c r="D1864" s="23" t="s">
        <v>22174</v>
      </c>
      <c r="E1864" s="23" t="s">
        <v>60</v>
      </c>
      <c r="F1864" s="25" t="s">
        <v>4972</v>
      </c>
      <c r="G1864" s="25" t="s">
        <v>4973</v>
      </c>
      <c r="H1864" t="s">
        <v>26</v>
      </c>
      <c r="I1864" t="s">
        <v>26</v>
      </c>
      <c r="J1864" t="s">
        <v>26</v>
      </c>
      <c r="K1864" t="s">
        <v>26</v>
      </c>
      <c r="L1864" s="25" t="s">
        <v>68</v>
      </c>
      <c r="M1864" t="s">
        <v>26</v>
      </c>
      <c r="N1864" t="s">
        <v>26</v>
      </c>
      <c r="O1864" t="s">
        <v>26</v>
      </c>
      <c r="P1864" t="s">
        <v>26</v>
      </c>
      <c r="Q1864" t="s">
        <v>26</v>
      </c>
      <c r="R1864" t="s">
        <v>26</v>
      </c>
      <c r="S1864" t="s">
        <v>26</v>
      </c>
      <c r="T1864" t="s">
        <v>26</v>
      </c>
      <c r="U1864" t="s">
        <v>26</v>
      </c>
      <c r="V1864" t="s">
        <v>26</v>
      </c>
      <c r="W1864" s="24">
        <v>40544</v>
      </c>
      <c r="X1864" s="25" t="s">
        <v>77</v>
      </c>
      <c r="Y1864" t="s">
        <v>26</v>
      </c>
      <c r="Z1864" s="24">
        <v>40544</v>
      </c>
      <c r="AA1864" s="25" t="s">
        <v>77</v>
      </c>
      <c r="AB1864" t="s">
        <v>26</v>
      </c>
      <c r="AC1864" s="24">
        <v>40544</v>
      </c>
      <c r="AD1864" s="25" t="s">
        <v>77</v>
      </c>
      <c r="AE1864" t="s">
        <v>26</v>
      </c>
      <c r="AF1864" t="s">
        <v>26</v>
      </c>
      <c r="AG1864" t="s">
        <v>26</v>
      </c>
      <c r="AH1864" t="s">
        <v>26</v>
      </c>
      <c r="AI1864" t="s">
        <v>26</v>
      </c>
      <c r="AJ1864" t="s">
        <v>26</v>
      </c>
      <c r="AK1864" t="s">
        <v>26</v>
      </c>
      <c r="AL1864" t="s">
        <v>26</v>
      </c>
      <c r="AM1864" t="s">
        <v>26</v>
      </c>
      <c r="AN1864" t="s">
        <v>26</v>
      </c>
      <c r="AO1864" s="25" t="s">
        <v>68</v>
      </c>
      <c r="AP1864" s="23" t="s">
        <v>69</v>
      </c>
      <c r="AQ1864" s="23" t="s">
        <v>30</v>
      </c>
      <c r="AR1864" s="23" t="s">
        <v>70</v>
      </c>
      <c r="AS1864" s="25">
        <v>436411</v>
      </c>
      <c r="AT1864" t="s">
        <v>26</v>
      </c>
      <c r="AU1864" t="s">
        <v>24674</v>
      </c>
    </row>
    <row r="1865" spans="1:47" ht="26.25" x14ac:dyDescent="0.4">
      <c r="A1865" s="23" t="s">
        <v>4974</v>
      </c>
      <c r="B1865" t="s">
        <v>26</v>
      </c>
      <c r="C1865" s="23" t="s">
        <v>4975</v>
      </c>
      <c r="D1865" s="23" t="s">
        <v>24675</v>
      </c>
      <c r="E1865" s="23" t="s">
        <v>574</v>
      </c>
      <c r="F1865" s="25" t="s">
        <v>4976</v>
      </c>
      <c r="G1865" t="s">
        <v>26</v>
      </c>
      <c r="H1865" t="s">
        <v>26</v>
      </c>
      <c r="I1865" s="24">
        <v>41456</v>
      </c>
      <c r="J1865" s="24">
        <v>42917</v>
      </c>
      <c r="K1865" t="s">
        <v>26</v>
      </c>
      <c r="L1865" s="25" t="s">
        <v>68</v>
      </c>
      <c r="M1865" s="24">
        <v>41456</v>
      </c>
      <c r="N1865" s="24">
        <v>42917</v>
      </c>
      <c r="O1865" t="s">
        <v>26</v>
      </c>
      <c r="P1865" s="24">
        <v>41456</v>
      </c>
      <c r="Q1865" s="24">
        <v>42917</v>
      </c>
      <c r="R1865" t="s">
        <v>26</v>
      </c>
      <c r="S1865" t="s">
        <v>26</v>
      </c>
      <c r="T1865" t="s">
        <v>26</v>
      </c>
      <c r="U1865" t="s">
        <v>26</v>
      </c>
      <c r="V1865" t="s">
        <v>26</v>
      </c>
      <c r="W1865" s="24">
        <v>41456</v>
      </c>
      <c r="X1865" s="24">
        <v>42917</v>
      </c>
      <c r="Y1865" t="s">
        <v>26</v>
      </c>
      <c r="Z1865" s="24">
        <v>41456</v>
      </c>
      <c r="AA1865" s="24">
        <v>42917</v>
      </c>
      <c r="AB1865" t="s">
        <v>26</v>
      </c>
      <c r="AC1865" s="24">
        <v>41456</v>
      </c>
      <c r="AD1865" s="24">
        <v>42917</v>
      </c>
      <c r="AE1865" t="s">
        <v>26</v>
      </c>
      <c r="AF1865" t="s">
        <v>26</v>
      </c>
      <c r="AG1865" t="s">
        <v>26</v>
      </c>
      <c r="AH1865" t="s">
        <v>26</v>
      </c>
      <c r="AI1865" t="s">
        <v>26</v>
      </c>
      <c r="AJ1865" t="s">
        <v>26</v>
      </c>
      <c r="AK1865" t="s">
        <v>26</v>
      </c>
      <c r="AL1865" t="s">
        <v>26</v>
      </c>
      <c r="AM1865" t="s">
        <v>26</v>
      </c>
      <c r="AN1865" t="s">
        <v>26</v>
      </c>
      <c r="AO1865" s="25" t="s">
        <v>68</v>
      </c>
      <c r="AP1865" s="23" t="s">
        <v>69</v>
      </c>
      <c r="AQ1865" s="23" t="s">
        <v>30</v>
      </c>
      <c r="AR1865" s="23" t="s">
        <v>46</v>
      </c>
      <c r="AS1865" s="25">
        <v>2032058</v>
      </c>
      <c r="AT1865" t="s">
        <v>26</v>
      </c>
      <c r="AU1865" t="s">
        <v>24676</v>
      </c>
    </row>
    <row r="1866" spans="1:47" ht="26.25" x14ac:dyDescent="0.4">
      <c r="A1866" s="23" t="s">
        <v>4977</v>
      </c>
      <c r="B1866" t="s">
        <v>26</v>
      </c>
      <c r="C1866" s="23" t="s">
        <v>167</v>
      </c>
      <c r="D1866" s="23" t="s">
        <v>22218</v>
      </c>
      <c r="E1866" s="23" t="s">
        <v>60</v>
      </c>
      <c r="F1866" s="25" t="s">
        <v>4978</v>
      </c>
      <c r="G1866" s="25" t="s">
        <v>4979</v>
      </c>
      <c r="H1866" t="s">
        <v>26</v>
      </c>
      <c r="I1866" s="24">
        <v>36892</v>
      </c>
      <c r="J1866" s="25" t="s">
        <v>77</v>
      </c>
      <c r="K1866" t="s">
        <v>26</v>
      </c>
      <c r="L1866" s="25" t="s">
        <v>68</v>
      </c>
      <c r="M1866" s="24">
        <v>37926</v>
      </c>
      <c r="N1866" s="25" t="s">
        <v>77</v>
      </c>
      <c r="O1866" t="s">
        <v>26</v>
      </c>
      <c r="P1866" s="24">
        <v>36892</v>
      </c>
      <c r="Q1866" s="25" t="s">
        <v>77</v>
      </c>
      <c r="R1866" t="s">
        <v>26</v>
      </c>
      <c r="S1866" t="s">
        <v>26</v>
      </c>
      <c r="T1866" t="s">
        <v>26</v>
      </c>
      <c r="U1866" t="s">
        <v>26</v>
      </c>
      <c r="V1866" s="25">
        <v>365</v>
      </c>
      <c r="W1866" s="24">
        <v>36892</v>
      </c>
      <c r="X1866" s="25" t="s">
        <v>77</v>
      </c>
      <c r="Y1866" t="s">
        <v>26</v>
      </c>
      <c r="Z1866" s="24">
        <v>36892</v>
      </c>
      <c r="AA1866" s="25" t="s">
        <v>77</v>
      </c>
      <c r="AB1866" t="s">
        <v>26</v>
      </c>
      <c r="AC1866" s="24">
        <v>36892</v>
      </c>
      <c r="AD1866" s="25" t="s">
        <v>77</v>
      </c>
      <c r="AE1866" t="s">
        <v>26</v>
      </c>
      <c r="AF1866" t="s">
        <v>26</v>
      </c>
      <c r="AG1866" t="s">
        <v>26</v>
      </c>
      <c r="AH1866" t="s">
        <v>26</v>
      </c>
      <c r="AI1866" t="s">
        <v>26</v>
      </c>
      <c r="AJ1866" t="s">
        <v>26</v>
      </c>
      <c r="AK1866" t="s">
        <v>26</v>
      </c>
      <c r="AL1866" t="s">
        <v>26</v>
      </c>
      <c r="AM1866" t="s">
        <v>26</v>
      </c>
      <c r="AN1866" t="s">
        <v>26</v>
      </c>
      <c r="AO1866" s="25" t="s">
        <v>68</v>
      </c>
      <c r="AP1866" s="23" t="s">
        <v>69</v>
      </c>
      <c r="AQ1866" s="23" t="s">
        <v>30</v>
      </c>
      <c r="AR1866" s="23" t="s">
        <v>70</v>
      </c>
      <c r="AS1866" s="25">
        <v>30332</v>
      </c>
      <c r="AT1866" t="s">
        <v>26</v>
      </c>
      <c r="AU1866" t="s">
        <v>24677</v>
      </c>
    </row>
    <row r="1867" spans="1:47" ht="26.25" x14ac:dyDescent="0.4">
      <c r="A1867" s="23" t="s">
        <v>4980</v>
      </c>
      <c r="B1867" t="s">
        <v>26</v>
      </c>
      <c r="C1867" s="23" t="s">
        <v>341</v>
      </c>
      <c r="D1867" s="23" t="s">
        <v>22254</v>
      </c>
      <c r="E1867" s="23" t="s">
        <v>60</v>
      </c>
      <c r="F1867" s="25" t="s">
        <v>4981</v>
      </c>
      <c r="G1867" s="25" t="s">
        <v>4982</v>
      </c>
      <c r="H1867" t="s">
        <v>26</v>
      </c>
      <c r="I1867" s="24">
        <v>35796</v>
      </c>
      <c r="J1867" s="24">
        <v>43800</v>
      </c>
      <c r="K1867" t="s">
        <v>26</v>
      </c>
      <c r="L1867" s="25" t="s">
        <v>68</v>
      </c>
      <c r="M1867" s="24">
        <v>35796</v>
      </c>
      <c r="N1867" s="24">
        <v>43800</v>
      </c>
      <c r="O1867" t="s">
        <v>26</v>
      </c>
      <c r="P1867" s="24">
        <v>35796</v>
      </c>
      <c r="Q1867" s="24">
        <v>43800</v>
      </c>
      <c r="R1867" t="s">
        <v>26</v>
      </c>
      <c r="S1867" t="s">
        <v>26</v>
      </c>
      <c r="T1867" t="s">
        <v>26</v>
      </c>
      <c r="U1867" t="s">
        <v>26</v>
      </c>
      <c r="V1867" t="s">
        <v>26</v>
      </c>
      <c r="W1867" s="24">
        <v>35796</v>
      </c>
      <c r="X1867" s="25" t="s">
        <v>77</v>
      </c>
      <c r="Y1867" t="s">
        <v>26</v>
      </c>
      <c r="Z1867" s="24">
        <v>35796</v>
      </c>
      <c r="AA1867" s="25" t="s">
        <v>77</v>
      </c>
      <c r="AB1867" t="s">
        <v>26</v>
      </c>
      <c r="AC1867" s="24">
        <v>35796</v>
      </c>
      <c r="AD1867" s="25" t="s">
        <v>77</v>
      </c>
      <c r="AE1867" s="25" t="s">
        <v>24678</v>
      </c>
      <c r="AF1867" t="s">
        <v>26</v>
      </c>
      <c r="AG1867" t="s">
        <v>26</v>
      </c>
      <c r="AH1867" t="s">
        <v>26</v>
      </c>
      <c r="AI1867" t="s">
        <v>26</v>
      </c>
      <c r="AJ1867" t="s">
        <v>26</v>
      </c>
      <c r="AK1867" t="s">
        <v>26</v>
      </c>
      <c r="AL1867" t="s">
        <v>26</v>
      </c>
      <c r="AM1867" t="s">
        <v>26</v>
      </c>
      <c r="AN1867" t="s">
        <v>26</v>
      </c>
      <c r="AO1867" s="25" t="s">
        <v>68</v>
      </c>
      <c r="AP1867" s="23" t="s">
        <v>69</v>
      </c>
      <c r="AQ1867" s="23" t="s">
        <v>30</v>
      </c>
      <c r="AR1867" s="23" t="s">
        <v>277</v>
      </c>
      <c r="AS1867" s="25">
        <v>36588</v>
      </c>
      <c r="AT1867" t="s">
        <v>26</v>
      </c>
      <c r="AU1867" t="s">
        <v>24679</v>
      </c>
    </row>
    <row r="1868" spans="1:47" ht="26.25" x14ac:dyDescent="0.4">
      <c r="A1868" s="23" t="s">
        <v>4983</v>
      </c>
      <c r="B1868" t="s">
        <v>26</v>
      </c>
      <c r="C1868" s="23" t="s">
        <v>4984</v>
      </c>
      <c r="D1868" s="23" t="s">
        <v>22634</v>
      </c>
      <c r="E1868" s="23" t="s">
        <v>335</v>
      </c>
      <c r="F1868" s="25" t="s">
        <v>4985</v>
      </c>
      <c r="G1868" s="25" t="s">
        <v>4986</v>
      </c>
      <c r="H1868" t="s">
        <v>26</v>
      </c>
      <c r="I1868" s="24">
        <v>39569</v>
      </c>
      <c r="J1868" s="25" t="s">
        <v>77</v>
      </c>
      <c r="K1868" t="s">
        <v>26</v>
      </c>
      <c r="L1868" s="25" t="s">
        <v>68</v>
      </c>
      <c r="M1868" s="24">
        <v>39569</v>
      </c>
      <c r="N1868" s="25" t="s">
        <v>77</v>
      </c>
      <c r="O1868" t="s">
        <v>26</v>
      </c>
      <c r="P1868" s="24">
        <v>39569</v>
      </c>
      <c r="Q1868" s="25" t="s">
        <v>77</v>
      </c>
      <c r="R1868" t="s">
        <v>26</v>
      </c>
      <c r="S1868" t="s">
        <v>26</v>
      </c>
      <c r="T1868" t="s">
        <v>26</v>
      </c>
      <c r="U1868" t="s">
        <v>26</v>
      </c>
      <c r="V1868" t="s">
        <v>26</v>
      </c>
      <c r="W1868" s="24">
        <v>39569</v>
      </c>
      <c r="X1868" s="25" t="s">
        <v>77</v>
      </c>
      <c r="Y1868" t="s">
        <v>26</v>
      </c>
      <c r="Z1868" s="24">
        <v>39569</v>
      </c>
      <c r="AA1868" s="25" t="s">
        <v>77</v>
      </c>
      <c r="AB1868" t="s">
        <v>26</v>
      </c>
      <c r="AC1868" s="24">
        <v>39814</v>
      </c>
      <c r="AD1868" s="25" t="s">
        <v>77</v>
      </c>
      <c r="AE1868" s="25" t="s">
        <v>24680</v>
      </c>
      <c r="AF1868" t="s">
        <v>26</v>
      </c>
      <c r="AG1868" t="s">
        <v>26</v>
      </c>
      <c r="AH1868" t="s">
        <v>26</v>
      </c>
      <c r="AI1868" t="s">
        <v>26</v>
      </c>
      <c r="AJ1868" t="s">
        <v>26</v>
      </c>
      <c r="AK1868" t="s">
        <v>26</v>
      </c>
      <c r="AL1868" t="s">
        <v>26</v>
      </c>
      <c r="AM1868" t="s">
        <v>26</v>
      </c>
      <c r="AN1868" t="s">
        <v>26</v>
      </c>
      <c r="AO1868" s="25" t="s">
        <v>68</v>
      </c>
      <c r="AP1868" s="23" t="s">
        <v>69</v>
      </c>
      <c r="AQ1868" s="23" t="s">
        <v>30</v>
      </c>
      <c r="AR1868" s="23" t="s">
        <v>46</v>
      </c>
      <c r="AS1868" s="25">
        <v>28903</v>
      </c>
      <c r="AT1868" t="s">
        <v>26</v>
      </c>
      <c r="AU1868" t="s">
        <v>24681</v>
      </c>
    </row>
    <row r="1869" spans="1:47" ht="26.25" x14ac:dyDescent="0.4">
      <c r="A1869" s="23" t="s">
        <v>4987</v>
      </c>
      <c r="B1869" t="s">
        <v>26</v>
      </c>
      <c r="C1869" s="23" t="s">
        <v>399</v>
      </c>
      <c r="D1869" s="23" t="s">
        <v>22242</v>
      </c>
      <c r="E1869" s="23" t="s">
        <v>60</v>
      </c>
      <c r="F1869" s="25" t="s">
        <v>4988</v>
      </c>
      <c r="G1869" s="25" t="s">
        <v>4989</v>
      </c>
      <c r="H1869" t="s">
        <v>26</v>
      </c>
      <c r="I1869" t="s">
        <v>26</v>
      </c>
      <c r="J1869" t="s">
        <v>26</v>
      </c>
      <c r="K1869" t="s">
        <v>26</v>
      </c>
      <c r="L1869" s="25" t="s">
        <v>68</v>
      </c>
      <c r="M1869" t="s">
        <v>26</v>
      </c>
      <c r="N1869" t="s">
        <v>26</v>
      </c>
      <c r="O1869" t="s">
        <v>26</v>
      </c>
      <c r="P1869" t="s">
        <v>26</v>
      </c>
      <c r="Q1869" t="s">
        <v>26</v>
      </c>
      <c r="R1869" t="s">
        <v>26</v>
      </c>
      <c r="S1869" t="s">
        <v>26</v>
      </c>
      <c r="T1869" t="s">
        <v>26</v>
      </c>
      <c r="U1869" t="s">
        <v>26</v>
      </c>
      <c r="V1869" t="s">
        <v>26</v>
      </c>
      <c r="W1869" s="24">
        <v>34820</v>
      </c>
      <c r="X1869" s="25" t="s">
        <v>77</v>
      </c>
      <c r="Y1869" t="s">
        <v>26</v>
      </c>
      <c r="Z1869" s="24">
        <v>34820</v>
      </c>
      <c r="AA1869" s="25" t="s">
        <v>77</v>
      </c>
      <c r="AB1869" t="s">
        <v>26</v>
      </c>
      <c r="AC1869" s="24">
        <v>34820</v>
      </c>
      <c r="AD1869" s="25" t="s">
        <v>77</v>
      </c>
      <c r="AE1869" t="s">
        <v>26</v>
      </c>
      <c r="AF1869" t="s">
        <v>26</v>
      </c>
      <c r="AG1869" t="s">
        <v>26</v>
      </c>
      <c r="AH1869" t="s">
        <v>26</v>
      </c>
      <c r="AI1869" t="s">
        <v>26</v>
      </c>
      <c r="AJ1869" t="s">
        <v>26</v>
      </c>
      <c r="AK1869" t="s">
        <v>26</v>
      </c>
      <c r="AL1869" t="s">
        <v>26</v>
      </c>
      <c r="AM1869" t="s">
        <v>26</v>
      </c>
      <c r="AN1869" t="s">
        <v>26</v>
      </c>
      <c r="AO1869" s="25" t="s">
        <v>68</v>
      </c>
      <c r="AP1869" s="23" t="s">
        <v>69</v>
      </c>
      <c r="AQ1869" s="23" t="s">
        <v>30</v>
      </c>
      <c r="AR1869" s="23" t="s">
        <v>4990</v>
      </c>
      <c r="AS1869" s="25">
        <v>34243</v>
      </c>
      <c r="AT1869" t="s">
        <v>26</v>
      </c>
      <c r="AU1869" t="s">
        <v>24682</v>
      </c>
    </row>
    <row r="1870" spans="1:47" ht="26.25" x14ac:dyDescent="0.4">
      <c r="A1870" s="23" t="s">
        <v>4987</v>
      </c>
      <c r="B1870" t="s">
        <v>26</v>
      </c>
      <c r="C1870" s="23" t="s">
        <v>399</v>
      </c>
      <c r="D1870" s="23" t="s">
        <v>22242</v>
      </c>
      <c r="E1870" s="23" t="s">
        <v>60</v>
      </c>
      <c r="F1870" s="25" t="s">
        <v>4991</v>
      </c>
      <c r="G1870" s="25" t="s">
        <v>4992</v>
      </c>
      <c r="H1870" t="s">
        <v>26</v>
      </c>
      <c r="I1870" t="s">
        <v>26</v>
      </c>
      <c r="J1870" t="s">
        <v>26</v>
      </c>
      <c r="K1870" t="s">
        <v>26</v>
      </c>
      <c r="L1870" s="25" t="s">
        <v>68</v>
      </c>
      <c r="M1870" t="s">
        <v>26</v>
      </c>
      <c r="N1870" t="s">
        <v>26</v>
      </c>
      <c r="O1870" t="s">
        <v>26</v>
      </c>
      <c r="P1870" t="s">
        <v>26</v>
      </c>
      <c r="Q1870" t="s">
        <v>26</v>
      </c>
      <c r="R1870" t="s">
        <v>26</v>
      </c>
      <c r="S1870" t="s">
        <v>26</v>
      </c>
      <c r="T1870" t="s">
        <v>26</v>
      </c>
      <c r="U1870" t="s">
        <v>26</v>
      </c>
      <c r="V1870" t="s">
        <v>26</v>
      </c>
      <c r="W1870" s="24">
        <v>34700</v>
      </c>
      <c r="X1870" s="24">
        <v>43160</v>
      </c>
      <c r="Y1870" t="s">
        <v>26</v>
      </c>
      <c r="Z1870" s="24">
        <v>34700</v>
      </c>
      <c r="AA1870" s="24">
        <v>43160</v>
      </c>
      <c r="AB1870" t="s">
        <v>26</v>
      </c>
      <c r="AC1870" s="24">
        <v>34820</v>
      </c>
      <c r="AD1870" s="24">
        <v>43160</v>
      </c>
      <c r="AE1870" t="s">
        <v>26</v>
      </c>
      <c r="AF1870" t="s">
        <v>26</v>
      </c>
      <c r="AG1870" t="s">
        <v>26</v>
      </c>
      <c r="AH1870" t="s">
        <v>26</v>
      </c>
      <c r="AI1870" t="s">
        <v>26</v>
      </c>
      <c r="AJ1870" t="s">
        <v>26</v>
      </c>
      <c r="AK1870" t="s">
        <v>26</v>
      </c>
      <c r="AL1870" t="s">
        <v>26</v>
      </c>
      <c r="AM1870" t="s">
        <v>26</v>
      </c>
      <c r="AN1870" t="s">
        <v>26</v>
      </c>
      <c r="AO1870" s="25" t="s">
        <v>68</v>
      </c>
      <c r="AP1870" s="23" t="s">
        <v>69</v>
      </c>
      <c r="AQ1870" s="23" t="s">
        <v>30</v>
      </c>
      <c r="AR1870" s="23" t="s">
        <v>325</v>
      </c>
      <c r="AS1870" s="25">
        <v>34357</v>
      </c>
      <c r="AT1870" t="s">
        <v>26</v>
      </c>
      <c r="AU1870" t="s">
        <v>24683</v>
      </c>
    </row>
    <row r="1871" spans="1:47" ht="13.15" x14ac:dyDescent="0.4">
      <c r="A1871" s="23" t="s">
        <v>4993</v>
      </c>
      <c r="B1871" t="s">
        <v>26</v>
      </c>
      <c r="C1871" s="23" t="s">
        <v>371</v>
      </c>
      <c r="D1871" s="23" t="s">
        <v>22179</v>
      </c>
      <c r="E1871" s="23" t="s">
        <v>42</v>
      </c>
      <c r="F1871" t="s">
        <v>26</v>
      </c>
      <c r="G1871" t="s">
        <v>26</v>
      </c>
      <c r="H1871" t="s">
        <v>26</v>
      </c>
      <c r="I1871" t="s">
        <v>26</v>
      </c>
      <c r="J1871" t="s">
        <v>26</v>
      </c>
      <c r="K1871" t="s">
        <v>26</v>
      </c>
      <c r="L1871" s="25" t="s">
        <v>28</v>
      </c>
      <c r="M1871" t="s">
        <v>26</v>
      </c>
      <c r="N1871" t="s">
        <v>26</v>
      </c>
      <c r="O1871" t="s">
        <v>26</v>
      </c>
      <c r="P1871" t="s">
        <v>26</v>
      </c>
      <c r="Q1871" t="s">
        <v>26</v>
      </c>
      <c r="R1871" t="s">
        <v>26</v>
      </c>
      <c r="S1871" t="s">
        <v>26</v>
      </c>
      <c r="T1871" t="s">
        <v>26</v>
      </c>
      <c r="U1871" t="s">
        <v>26</v>
      </c>
      <c r="V1871" t="s">
        <v>26</v>
      </c>
      <c r="W1871" s="24">
        <v>36526</v>
      </c>
      <c r="X1871" s="24">
        <v>36526</v>
      </c>
      <c r="Y1871" t="s">
        <v>26</v>
      </c>
      <c r="Z1871" s="24">
        <v>36526</v>
      </c>
      <c r="AA1871" s="24">
        <v>36526</v>
      </c>
      <c r="AB1871" t="s">
        <v>26</v>
      </c>
      <c r="AC1871" t="s">
        <v>26</v>
      </c>
      <c r="AD1871" t="s">
        <v>26</v>
      </c>
      <c r="AE1871" t="s">
        <v>26</v>
      </c>
      <c r="AF1871" t="s">
        <v>26</v>
      </c>
      <c r="AG1871" t="s">
        <v>26</v>
      </c>
      <c r="AH1871" t="s">
        <v>26</v>
      </c>
      <c r="AI1871" t="s">
        <v>26</v>
      </c>
      <c r="AJ1871" t="s">
        <v>26</v>
      </c>
      <c r="AK1871" t="s">
        <v>26</v>
      </c>
      <c r="AL1871" t="s">
        <v>26</v>
      </c>
      <c r="AM1871" t="s">
        <v>26</v>
      </c>
      <c r="AN1871" t="s">
        <v>26</v>
      </c>
      <c r="AO1871" s="25" t="s">
        <v>28</v>
      </c>
      <c r="AP1871" s="23" t="s">
        <v>29</v>
      </c>
      <c r="AQ1871" s="23" t="s">
        <v>30</v>
      </c>
      <c r="AR1871" s="23" t="s">
        <v>44</v>
      </c>
      <c r="AS1871" s="25">
        <v>5483574</v>
      </c>
      <c r="AT1871" s="23" t="s">
        <v>22181</v>
      </c>
      <c r="AU1871" t="s">
        <v>24684</v>
      </c>
    </row>
    <row r="1872" spans="1:47" ht="26.25" x14ac:dyDescent="0.4">
      <c r="A1872" s="23" t="s">
        <v>4994</v>
      </c>
      <c r="B1872" t="s">
        <v>26</v>
      </c>
      <c r="C1872" s="23" t="s">
        <v>24685</v>
      </c>
      <c r="D1872" s="23" t="s">
        <v>22174</v>
      </c>
      <c r="E1872" s="23" t="s">
        <v>42</v>
      </c>
      <c r="F1872" t="s">
        <v>26</v>
      </c>
      <c r="G1872" t="s">
        <v>26</v>
      </c>
      <c r="H1872" t="s">
        <v>26</v>
      </c>
      <c r="I1872" s="24">
        <v>39448</v>
      </c>
      <c r="J1872" s="24">
        <v>40909</v>
      </c>
      <c r="K1872" t="s">
        <v>26</v>
      </c>
      <c r="L1872" s="25" t="s">
        <v>28</v>
      </c>
      <c r="M1872" s="24">
        <v>39448</v>
      </c>
      <c r="N1872" s="24">
        <v>40909</v>
      </c>
      <c r="O1872" t="s">
        <v>26</v>
      </c>
      <c r="P1872" t="s">
        <v>26</v>
      </c>
      <c r="Q1872" t="s">
        <v>26</v>
      </c>
      <c r="R1872" t="s">
        <v>26</v>
      </c>
      <c r="S1872" s="24">
        <v>39448</v>
      </c>
      <c r="T1872" s="24">
        <v>40909</v>
      </c>
      <c r="U1872" t="s">
        <v>26</v>
      </c>
      <c r="V1872" t="s">
        <v>26</v>
      </c>
      <c r="W1872" s="24">
        <v>39448</v>
      </c>
      <c r="X1872" s="24">
        <v>40909</v>
      </c>
      <c r="Y1872" t="s">
        <v>26</v>
      </c>
      <c r="Z1872" s="24">
        <v>39448</v>
      </c>
      <c r="AA1872" s="24">
        <v>40909</v>
      </c>
      <c r="AB1872" t="s">
        <v>26</v>
      </c>
      <c r="AC1872" s="24">
        <v>39448</v>
      </c>
      <c r="AD1872" s="24">
        <v>40909</v>
      </c>
      <c r="AE1872" t="s">
        <v>26</v>
      </c>
      <c r="AF1872" s="24">
        <v>39448</v>
      </c>
      <c r="AG1872" s="24">
        <v>40909</v>
      </c>
      <c r="AH1872" t="s">
        <v>26</v>
      </c>
      <c r="AI1872" s="24">
        <v>39448</v>
      </c>
      <c r="AJ1872" s="24">
        <v>40909</v>
      </c>
      <c r="AK1872" t="s">
        <v>26</v>
      </c>
      <c r="AL1872" t="s">
        <v>26</v>
      </c>
      <c r="AM1872" t="s">
        <v>26</v>
      </c>
      <c r="AN1872" t="s">
        <v>26</v>
      </c>
      <c r="AO1872" s="25" t="s">
        <v>28</v>
      </c>
      <c r="AP1872" s="23" t="s">
        <v>43</v>
      </c>
      <c r="AQ1872" s="23" t="s">
        <v>30</v>
      </c>
      <c r="AR1872" s="23" t="s">
        <v>46</v>
      </c>
      <c r="AS1872" s="25">
        <v>6362728</v>
      </c>
      <c r="AT1872" t="s">
        <v>26</v>
      </c>
      <c r="AU1872" t="s">
        <v>24686</v>
      </c>
    </row>
    <row r="1873" spans="1:47" ht="26.25" x14ac:dyDescent="0.4">
      <c r="A1873" s="23" t="s">
        <v>4995</v>
      </c>
      <c r="B1873" t="s">
        <v>26</v>
      </c>
      <c r="C1873" s="23" t="s">
        <v>80</v>
      </c>
      <c r="D1873" s="23" t="s">
        <v>22660</v>
      </c>
      <c r="E1873" s="23" t="s">
        <v>60</v>
      </c>
      <c r="F1873" s="25" t="s">
        <v>4996</v>
      </c>
      <c r="G1873" s="25" t="s">
        <v>4997</v>
      </c>
      <c r="H1873" t="s">
        <v>26</v>
      </c>
      <c r="I1873" s="24">
        <v>39083</v>
      </c>
      <c r="J1873" s="24">
        <v>41183</v>
      </c>
      <c r="K1873" t="s">
        <v>26</v>
      </c>
      <c r="L1873" s="25" t="s">
        <v>68</v>
      </c>
      <c r="M1873" t="s">
        <v>26</v>
      </c>
      <c r="N1873" t="s">
        <v>26</v>
      </c>
      <c r="O1873" t="s">
        <v>26</v>
      </c>
      <c r="P1873" s="24">
        <v>39083</v>
      </c>
      <c r="Q1873" s="24">
        <v>41183</v>
      </c>
      <c r="R1873" t="s">
        <v>26</v>
      </c>
      <c r="S1873" t="s">
        <v>26</v>
      </c>
      <c r="T1873" t="s">
        <v>26</v>
      </c>
      <c r="U1873" t="s">
        <v>26</v>
      </c>
      <c r="V1873" t="s">
        <v>26</v>
      </c>
      <c r="W1873" s="24">
        <v>39083</v>
      </c>
      <c r="X1873" s="25" t="s">
        <v>77</v>
      </c>
      <c r="Y1873" s="25" t="s">
        <v>1185</v>
      </c>
      <c r="Z1873" s="24">
        <v>39083</v>
      </c>
      <c r="AA1873" s="25" t="s">
        <v>77</v>
      </c>
      <c r="AB1873" s="25" t="s">
        <v>1185</v>
      </c>
      <c r="AC1873" s="24">
        <v>39083</v>
      </c>
      <c r="AD1873" s="25" t="s">
        <v>77</v>
      </c>
      <c r="AE1873" s="25" t="s">
        <v>1185</v>
      </c>
      <c r="AF1873" t="s">
        <v>26</v>
      </c>
      <c r="AG1873" t="s">
        <v>26</v>
      </c>
      <c r="AH1873" t="s">
        <v>26</v>
      </c>
      <c r="AI1873" t="s">
        <v>26</v>
      </c>
      <c r="AJ1873" t="s">
        <v>26</v>
      </c>
      <c r="AK1873" t="s">
        <v>26</v>
      </c>
      <c r="AL1873" t="s">
        <v>26</v>
      </c>
      <c r="AM1873" t="s">
        <v>26</v>
      </c>
      <c r="AN1873" t="s">
        <v>26</v>
      </c>
      <c r="AO1873" s="25" t="s">
        <v>68</v>
      </c>
      <c r="AP1873" s="23" t="s">
        <v>69</v>
      </c>
      <c r="AQ1873" s="23" t="s">
        <v>30</v>
      </c>
      <c r="AR1873" s="23" t="s">
        <v>46</v>
      </c>
      <c r="AS1873" s="25">
        <v>75956</v>
      </c>
      <c r="AT1873" t="s">
        <v>26</v>
      </c>
      <c r="AU1873" t="s">
        <v>24687</v>
      </c>
    </row>
    <row r="1874" spans="1:47" ht="26.25" x14ac:dyDescent="0.4">
      <c r="A1874" s="23" t="s">
        <v>4998</v>
      </c>
      <c r="B1874" t="s">
        <v>26</v>
      </c>
      <c r="C1874" s="23" t="s">
        <v>22663</v>
      </c>
      <c r="D1874" t="s">
        <v>26</v>
      </c>
      <c r="E1874" s="23" t="s">
        <v>42</v>
      </c>
      <c r="F1874" t="s">
        <v>26</v>
      </c>
      <c r="G1874" t="s">
        <v>26</v>
      </c>
      <c r="H1874" t="s">
        <v>26</v>
      </c>
      <c r="I1874" s="24">
        <v>36526</v>
      </c>
      <c r="J1874" s="24">
        <v>39448</v>
      </c>
      <c r="K1874" t="s">
        <v>26</v>
      </c>
      <c r="L1874" s="25" t="s">
        <v>28</v>
      </c>
      <c r="M1874" s="24">
        <v>36526</v>
      </c>
      <c r="N1874" s="24">
        <v>39448</v>
      </c>
      <c r="O1874" t="s">
        <v>26</v>
      </c>
      <c r="P1874" t="s">
        <v>26</v>
      </c>
      <c r="Q1874" t="s">
        <v>26</v>
      </c>
      <c r="R1874" t="s">
        <v>26</v>
      </c>
      <c r="S1874" s="24">
        <v>36526</v>
      </c>
      <c r="T1874" s="24">
        <v>39448</v>
      </c>
      <c r="U1874" t="s">
        <v>26</v>
      </c>
      <c r="V1874" t="s">
        <v>26</v>
      </c>
      <c r="W1874" s="24">
        <v>36526</v>
      </c>
      <c r="X1874" s="24">
        <v>39448</v>
      </c>
      <c r="Y1874" t="s">
        <v>26</v>
      </c>
      <c r="Z1874" s="24">
        <v>36526</v>
      </c>
      <c r="AA1874" s="24">
        <v>39448</v>
      </c>
      <c r="AB1874" t="s">
        <v>26</v>
      </c>
      <c r="AC1874" s="24">
        <v>36526</v>
      </c>
      <c r="AD1874" s="24">
        <v>39448</v>
      </c>
      <c r="AE1874" t="s">
        <v>26</v>
      </c>
      <c r="AF1874" s="24">
        <v>36526</v>
      </c>
      <c r="AG1874" s="24">
        <v>39448</v>
      </c>
      <c r="AH1874" t="s">
        <v>26</v>
      </c>
      <c r="AI1874" s="24">
        <v>36526</v>
      </c>
      <c r="AJ1874" s="24">
        <v>39448</v>
      </c>
      <c r="AK1874" t="s">
        <v>26</v>
      </c>
      <c r="AL1874" t="s">
        <v>26</v>
      </c>
      <c r="AM1874" t="s">
        <v>26</v>
      </c>
      <c r="AN1874" t="s">
        <v>26</v>
      </c>
      <c r="AO1874" s="25" t="s">
        <v>28</v>
      </c>
      <c r="AP1874" s="23" t="s">
        <v>43</v>
      </c>
      <c r="AQ1874" s="23" t="s">
        <v>30</v>
      </c>
      <c r="AR1874" s="23" t="s">
        <v>44</v>
      </c>
      <c r="AS1874" s="25">
        <v>5256699</v>
      </c>
      <c r="AT1874" t="s">
        <v>26</v>
      </c>
      <c r="AU1874" t="s">
        <v>24688</v>
      </c>
    </row>
    <row r="1875" spans="1:47" ht="26.25" x14ac:dyDescent="0.4">
      <c r="A1875" s="23" t="s">
        <v>4999</v>
      </c>
      <c r="B1875" t="s">
        <v>26</v>
      </c>
      <c r="C1875" s="23" t="s">
        <v>146</v>
      </c>
      <c r="D1875" s="23" t="s">
        <v>22174</v>
      </c>
      <c r="E1875" s="23" t="s">
        <v>60</v>
      </c>
      <c r="F1875" t="s">
        <v>26</v>
      </c>
      <c r="G1875" t="s">
        <v>26</v>
      </c>
      <c r="H1875" t="s">
        <v>26</v>
      </c>
      <c r="I1875" t="s">
        <v>26</v>
      </c>
      <c r="J1875" t="s">
        <v>26</v>
      </c>
      <c r="K1875" t="s">
        <v>26</v>
      </c>
      <c r="L1875" s="25" t="s">
        <v>28</v>
      </c>
      <c r="M1875" t="s">
        <v>26</v>
      </c>
      <c r="N1875" t="s">
        <v>26</v>
      </c>
      <c r="O1875" t="s">
        <v>26</v>
      </c>
      <c r="P1875" t="s">
        <v>26</v>
      </c>
      <c r="Q1875" t="s">
        <v>26</v>
      </c>
      <c r="R1875" t="s">
        <v>26</v>
      </c>
      <c r="S1875" t="s">
        <v>26</v>
      </c>
      <c r="T1875" t="s">
        <v>26</v>
      </c>
      <c r="U1875" t="s">
        <v>26</v>
      </c>
      <c r="V1875" t="s">
        <v>26</v>
      </c>
      <c r="W1875" s="24">
        <v>42005</v>
      </c>
      <c r="X1875" s="24">
        <v>42005</v>
      </c>
      <c r="Y1875" t="s">
        <v>26</v>
      </c>
      <c r="Z1875" s="24">
        <v>42005</v>
      </c>
      <c r="AA1875" s="24">
        <v>42005</v>
      </c>
      <c r="AB1875" t="s">
        <v>26</v>
      </c>
      <c r="AC1875" t="s">
        <v>26</v>
      </c>
      <c r="AD1875" t="s">
        <v>26</v>
      </c>
      <c r="AE1875" t="s">
        <v>26</v>
      </c>
      <c r="AF1875" t="s">
        <v>26</v>
      </c>
      <c r="AG1875" t="s">
        <v>26</v>
      </c>
      <c r="AH1875" t="s">
        <v>26</v>
      </c>
      <c r="AI1875" t="s">
        <v>26</v>
      </c>
      <c r="AJ1875" t="s">
        <v>26</v>
      </c>
      <c r="AK1875" t="s">
        <v>26</v>
      </c>
      <c r="AL1875" t="s">
        <v>26</v>
      </c>
      <c r="AM1875" t="s">
        <v>26</v>
      </c>
      <c r="AN1875" t="s">
        <v>26</v>
      </c>
      <c r="AO1875" s="25" t="s">
        <v>28</v>
      </c>
      <c r="AP1875" s="23" t="s">
        <v>29</v>
      </c>
      <c r="AQ1875" s="23" t="s">
        <v>30</v>
      </c>
      <c r="AR1875" s="23" t="s">
        <v>147</v>
      </c>
      <c r="AS1875" s="25">
        <v>5483602</v>
      </c>
      <c r="AT1875" s="23" t="s">
        <v>22181</v>
      </c>
      <c r="AU1875" t="s">
        <v>24689</v>
      </c>
    </row>
    <row r="1876" spans="1:47" ht="26.25" x14ac:dyDescent="0.4">
      <c r="A1876" s="23" t="s">
        <v>5000</v>
      </c>
      <c r="B1876" t="s">
        <v>26</v>
      </c>
      <c r="C1876" s="23" t="s">
        <v>22238</v>
      </c>
      <c r="D1876" s="23" t="s">
        <v>22307</v>
      </c>
      <c r="E1876" s="23" t="s">
        <v>42</v>
      </c>
      <c r="F1876" t="s">
        <v>26</v>
      </c>
      <c r="G1876" t="s">
        <v>26</v>
      </c>
      <c r="H1876" t="s">
        <v>26</v>
      </c>
      <c r="I1876" s="24">
        <v>40909</v>
      </c>
      <c r="J1876" s="24">
        <v>40909</v>
      </c>
      <c r="K1876" t="s">
        <v>26</v>
      </c>
      <c r="L1876" s="25" t="s">
        <v>28</v>
      </c>
      <c r="M1876" s="24">
        <v>40909</v>
      </c>
      <c r="N1876" s="24">
        <v>40909</v>
      </c>
      <c r="O1876" t="s">
        <v>26</v>
      </c>
      <c r="P1876" t="s">
        <v>26</v>
      </c>
      <c r="Q1876" t="s">
        <v>26</v>
      </c>
      <c r="R1876" t="s">
        <v>26</v>
      </c>
      <c r="S1876" s="24">
        <v>40909</v>
      </c>
      <c r="T1876" s="24">
        <v>40909</v>
      </c>
      <c r="U1876" t="s">
        <v>26</v>
      </c>
      <c r="V1876" t="s">
        <v>26</v>
      </c>
      <c r="W1876" s="24">
        <v>40909</v>
      </c>
      <c r="X1876" s="24">
        <v>40909</v>
      </c>
      <c r="Y1876" t="s">
        <v>26</v>
      </c>
      <c r="Z1876" s="24">
        <v>40909</v>
      </c>
      <c r="AA1876" s="24">
        <v>40909</v>
      </c>
      <c r="AB1876" t="s">
        <v>26</v>
      </c>
      <c r="AC1876" s="24">
        <v>40909</v>
      </c>
      <c r="AD1876" s="24">
        <v>40909</v>
      </c>
      <c r="AE1876" t="s">
        <v>26</v>
      </c>
      <c r="AF1876" s="24">
        <v>40909</v>
      </c>
      <c r="AG1876" s="24">
        <v>40909</v>
      </c>
      <c r="AH1876" t="s">
        <v>26</v>
      </c>
      <c r="AI1876" s="24">
        <v>40909</v>
      </c>
      <c r="AJ1876" s="24">
        <v>40909</v>
      </c>
      <c r="AK1876" t="s">
        <v>26</v>
      </c>
      <c r="AL1876" t="s">
        <v>26</v>
      </c>
      <c r="AM1876" t="s">
        <v>26</v>
      </c>
      <c r="AN1876" t="s">
        <v>26</v>
      </c>
      <c r="AO1876" s="25" t="s">
        <v>28</v>
      </c>
      <c r="AP1876" s="23" t="s">
        <v>43</v>
      </c>
      <c r="AQ1876" s="23" t="s">
        <v>30</v>
      </c>
      <c r="AR1876" s="23" t="s">
        <v>46</v>
      </c>
      <c r="AS1876" s="25">
        <v>6447807</v>
      </c>
      <c r="AT1876" t="s">
        <v>26</v>
      </c>
      <c r="AU1876" t="s">
        <v>24690</v>
      </c>
    </row>
    <row r="1877" spans="1:47" ht="26.25" x14ac:dyDescent="0.4">
      <c r="A1877" s="23" t="s">
        <v>5001</v>
      </c>
      <c r="B1877" t="s">
        <v>26</v>
      </c>
      <c r="C1877" s="23" t="s">
        <v>22238</v>
      </c>
      <c r="D1877" s="23" t="s">
        <v>22307</v>
      </c>
      <c r="E1877" s="23" t="s">
        <v>42</v>
      </c>
      <c r="F1877" t="s">
        <v>26</v>
      </c>
      <c r="G1877" t="s">
        <v>26</v>
      </c>
      <c r="H1877" t="s">
        <v>26</v>
      </c>
      <c r="I1877" s="24">
        <v>40909</v>
      </c>
      <c r="J1877" s="24">
        <v>40909</v>
      </c>
      <c r="K1877" t="s">
        <v>26</v>
      </c>
      <c r="L1877" s="25" t="s">
        <v>28</v>
      </c>
      <c r="M1877" s="24">
        <v>40909</v>
      </c>
      <c r="N1877" s="24">
        <v>40909</v>
      </c>
      <c r="O1877" t="s">
        <v>26</v>
      </c>
      <c r="P1877" t="s">
        <v>26</v>
      </c>
      <c r="Q1877" t="s">
        <v>26</v>
      </c>
      <c r="R1877" t="s">
        <v>26</v>
      </c>
      <c r="S1877" s="24">
        <v>40909</v>
      </c>
      <c r="T1877" s="24">
        <v>40909</v>
      </c>
      <c r="U1877" t="s">
        <v>26</v>
      </c>
      <c r="V1877" t="s">
        <v>26</v>
      </c>
      <c r="W1877" s="24">
        <v>40909</v>
      </c>
      <c r="X1877" s="24">
        <v>40909</v>
      </c>
      <c r="Y1877" t="s">
        <v>26</v>
      </c>
      <c r="Z1877" s="24">
        <v>40909</v>
      </c>
      <c r="AA1877" s="24">
        <v>40909</v>
      </c>
      <c r="AB1877" t="s">
        <v>26</v>
      </c>
      <c r="AC1877" s="24">
        <v>40909</v>
      </c>
      <c r="AD1877" s="24">
        <v>40909</v>
      </c>
      <c r="AE1877" t="s">
        <v>26</v>
      </c>
      <c r="AF1877" s="24">
        <v>40909</v>
      </c>
      <c r="AG1877" s="24">
        <v>40909</v>
      </c>
      <c r="AH1877" t="s">
        <v>26</v>
      </c>
      <c r="AI1877" s="24">
        <v>40909</v>
      </c>
      <c r="AJ1877" s="24">
        <v>40909</v>
      </c>
      <c r="AK1877" t="s">
        <v>26</v>
      </c>
      <c r="AL1877" t="s">
        <v>26</v>
      </c>
      <c r="AM1877" t="s">
        <v>26</v>
      </c>
      <c r="AN1877" t="s">
        <v>26</v>
      </c>
      <c r="AO1877" s="25" t="s">
        <v>28</v>
      </c>
      <c r="AP1877" s="23" t="s">
        <v>43</v>
      </c>
      <c r="AQ1877" s="23" t="s">
        <v>30</v>
      </c>
      <c r="AR1877" s="23" t="s">
        <v>46</v>
      </c>
      <c r="AS1877" s="25">
        <v>6447806</v>
      </c>
      <c r="AT1877" t="s">
        <v>26</v>
      </c>
      <c r="AU1877" t="s">
        <v>24691</v>
      </c>
    </row>
    <row r="1878" spans="1:47" ht="26.25" x14ac:dyDescent="0.4">
      <c r="A1878" s="23" t="s">
        <v>5002</v>
      </c>
      <c r="B1878" t="s">
        <v>26</v>
      </c>
      <c r="C1878" s="23" t="s">
        <v>22238</v>
      </c>
      <c r="D1878" s="23" t="s">
        <v>22307</v>
      </c>
      <c r="E1878" s="23" t="s">
        <v>42</v>
      </c>
      <c r="F1878" t="s">
        <v>26</v>
      </c>
      <c r="G1878" t="s">
        <v>26</v>
      </c>
      <c r="H1878" t="s">
        <v>26</v>
      </c>
      <c r="I1878" s="24">
        <v>40909</v>
      </c>
      <c r="J1878" s="24">
        <v>40909</v>
      </c>
      <c r="K1878" t="s">
        <v>26</v>
      </c>
      <c r="L1878" s="25" t="s">
        <v>28</v>
      </c>
      <c r="M1878" s="24">
        <v>40909</v>
      </c>
      <c r="N1878" s="24">
        <v>40909</v>
      </c>
      <c r="O1878" t="s">
        <v>26</v>
      </c>
      <c r="P1878" t="s">
        <v>26</v>
      </c>
      <c r="Q1878" t="s">
        <v>26</v>
      </c>
      <c r="R1878" t="s">
        <v>26</v>
      </c>
      <c r="S1878" s="24">
        <v>40909</v>
      </c>
      <c r="T1878" s="24">
        <v>40909</v>
      </c>
      <c r="U1878" t="s">
        <v>26</v>
      </c>
      <c r="V1878" t="s">
        <v>26</v>
      </c>
      <c r="W1878" s="24">
        <v>40909</v>
      </c>
      <c r="X1878" s="24">
        <v>40909</v>
      </c>
      <c r="Y1878" t="s">
        <v>26</v>
      </c>
      <c r="Z1878" s="24">
        <v>40909</v>
      </c>
      <c r="AA1878" s="24">
        <v>40909</v>
      </c>
      <c r="AB1878" t="s">
        <v>26</v>
      </c>
      <c r="AC1878" s="24">
        <v>40909</v>
      </c>
      <c r="AD1878" s="24">
        <v>40909</v>
      </c>
      <c r="AE1878" t="s">
        <v>26</v>
      </c>
      <c r="AF1878" s="24">
        <v>40909</v>
      </c>
      <c r="AG1878" s="24">
        <v>40909</v>
      </c>
      <c r="AH1878" t="s">
        <v>26</v>
      </c>
      <c r="AI1878" s="24">
        <v>40909</v>
      </c>
      <c r="AJ1878" s="24">
        <v>40909</v>
      </c>
      <c r="AK1878" t="s">
        <v>26</v>
      </c>
      <c r="AL1878" t="s">
        <v>26</v>
      </c>
      <c r="AM1878" t="s">
        <v>26</v>
      </c>
      <c r="AN1878" t="s">
        <v>26</v>
      </c>
      <c r="AO1878" s="25" t="s">
        <v>28</v>
      </c>
      <c r="AP1878" s="23" t="s">
        <v>43</v>
      </c>
      <c r="AQ1878" s="23" t="s">
        <v>30</v>
      </c>
      <c r="AR1878" s="23" t="s">
        <v>46</v>
      </c>
      <c r="AS1878" s="25">
        <v>6447805</v>
      </c>
      <c r="AT1878" t="s">
        <v>26</v>
      </c>
      <c r="AU1878" t="s">
        <v>24692</v>
      </c>
    </row>
    <row r="1879" spans="1:47" ht="26.25" x14ac:dyDescent="0.4">
      <c r="A1879" s="23" t="s">
        <v>5003</v>
      </c>
      <c r="B1879" t="s">
        <v>26</v>
      </c>
      <c r="C1879" s="23" t="s">
        <v>73</v>
      </c>
      <c r="D1879" s="23" t="s">
        <v>24693</v>
      </c>
      <c r="E1879" s="23" t="s">
        <v>74</v>
      </c>
      <c r="F1879" s="25" t="s">
        <v>5004</v>
      </c>
      <c r="G1879" s="25" t="s">
        <v>5005</v>
      </c>
      <c r="H1879" t="s">
        <v>26</v>
      </c>
      <c r="I1879" s="24">
        <v>36586</v>
      </c>
      <c r="J1879" s="25" t="s">
        <v>77</v>
      </c>
      <c r="K1879" t="s">
        <v>26</v>
      </c>
      <c r="L1879" s="25" t="s">
        <v>68</v>
      </c>
      <c r="M1879" s="24">
        <v>38047</v>
      </c>
      <c r="N1879" s="24">
        <v>42705</v>
      </c>
      <c r="O1879" t="s">
        <v>26</v>
      </c>
      <c r="P1879" s="24">
        <v>36586</v>
      </c>
      <c r="Q1879" s="25" t="s">
        <v>77</v>
      </c>
      <c r="R1879" t="s">
        <v>26</v>
      </c>
      <c r="S1879" t="s">
        <v>26</v>
      </c>
      <c r="T1879" t="s">
        <v>26</v>
      </c>
      <c r="U1879" t="s">
        <v>26</v>
      </c>
      <c r="V1879" s="25">
        <v>365</v>
      </c>
      <c r="W1879" s="24">
        <v>36586</v>
      </c>
      <c r="X1879" s="25" t="s">
        <v>77</v>
      </c>
      <c r="Y1879" t="s">
        <v>26</v>
      </c>
      <c r="Z1879" s="24">
        <v>36586</v>
      </c>
      <c r="AA1879" s="25" t="s">
        <v>77</v>
      </c>
      <c r="AB1879" t="s">
        <v>26</v>
      </c>
      <c r="AC1879" s="24">
        <v>36586</v>
      </c>
      <c r="AD1879" s="25" t="s">
        <v>77</v>
      </c>
      <c r="AE1879" t="s">
        <v>26</v>
      </c>
      <c r="AF1879" t="s">
        <v>26</v>
      </c>
      <c r="AG1879" t="s">
        <v>26</v>
      </c>
      <c r="AH1879" t="s">
        <v>26</v>
      </c>
      <c r="AI1879" t="s">
        <v>26</v>
      </c>
      <c r="AJ1879" t="s">
        <v>26</v>
      </c>
      <c r="AK1879" t="s">
        <v>26</v>
      </c>
      <c r="AL1879" t="s">
        <v>26</v>
      </c>
      <c r="AM1879" t="s">
        <v>26</v>
      </c>
      <c r="AN1879" t="s">
        <v>26</v>
      </c>
      <c r="AO1879" s="25" t="s">
        <v>68</v>
      </c>
      <c r="AP1879" s="23" t="s">
        <v>69</v>
      </c>
      <c r="AQ1879" s="23" t="s">
        <v>2583</v>
      </c>
      <c r="AR1879" s="23" t="s">
        <v>257</v>
      </c>
      <c r="AS1879" s="25">
        <v>54574</v>
      </c>
      <c r="AT1879" t="s">
        <v>26</v>
      </c>
      <c r="AU1879" t="s">
        <v>24694</v>
      </c>
    </row>
    <row r="1880" spans="1:47" ht="39.4" x14ac:dyDescent="0.4">
      <c r="A1880" s="23" t="s">
        <v>5006</v>
      </c>
      <c r="B1880" t="s">
        <v>26</v>
      </c>
      <c r="C1880" s="23" t="s">
        <v>5007</v>
      </c>
      <c r="D1880" s="23" t="s">
        <v>22455</v>
      </c>
      <c r="E1880" s="23" t="s">
        <v>715</v>
      </c>
      <c r="F1880" s="25" t="s">
        <v>5008</v>
      </c>
      <c r="G1880" s="25" t="s">
        <v>5009</v>
      </c>
      <c r="H1880" t="s">
        <v>26</v>
      </c>
      <c r="I1880" s="24">
        <v>37408</v>
      </c>
      <c r="J1880" s="25" t="s">
        <v>77</v>
      </c>
      <c r="K1880" t="s">
        <v>26</v>
      </c>
      <c r="L1880" s="25" t="s">
        <v>68</v>
      </c>
      <c r="M1880" t="s">
        <v>26</v>
      </c>
      <c r="N1880" t="s">
        <v>26</v>
      </c>
      <c r="O1880" t="s">
        <v>26</v>
      </c>
      <c r="P1880" s="24">
        <v>37408</v>
      </c>
      <c r="Q1880" s="25" t="s">
        <v>77</v>
      </c>
      <c r="R1880" t="s">
        <v>26</v>
      </c>
      <c r="S1880" t="s">
        <v>26</v>
      </c>
      <c r="T1880" t="s">
        <v>26</v>
      </c>
      <c r="U1880" t="s">
        <v>26</v>
      </c>
      <c r="V1880" t="s">
        <v>26</v>
      </c>
      <c r="W1880" s="24">
        <v>37408</v>
      </c>
      <c r="X1880" s="25" t="s">
        <v>77</v>
      </c>
      <c r="Y1880" t="s">
        <v>26</v>
      </c>
      <c r="Z1880" s="24">
        <v>37408</v>
      </c>
      <c r="AA1880" s="25" t="s">
        <v>77</v>
      </c>
      <c r="AB1880" t="s">
        <v>26</v>
      </c>
      <c r="AC1880" s="24">
        <v>40057</v>
      </c>
      <c r="AD1880" s="25" t="s">
        <v>77</v>
      </c>
      <c r="AE1880" t="s">
        <v>26</v>
      </c>
      <c r="AF1880" t="s">
        <v>26</v>
      </c>
      <c r="AG1880" t="s">
        <v>26</v>
      </c>
      <c r="AH1880" t="s">
        <v>26</v>
      </c>
      <c r="AI1880" t="s">
        <v>26</v>
      </c>
      <c r="AJ1880" t="s">
        <v>26</v>
      </c>
      <c r="AK1880" t="s">
        <v>26</v>
      </c>
      <c r="AL1880" t="s">
        <v>26</v>
      </c>
      <c r="AM1880" t="s">
        <v>26</v>
      </c>
      <c r="AN1880" t="s">
        <v>26</v>
      </c>
      <c r="AO1880" s="25" t="s">
        <v>28</v>
      </c>
      <c r="AP1880" s="23" t="s">
        <v>69</v>
      </c>
      <c r="AQ1880" s="23" t="s">
        <v>5010</v>
      </c>
      <c r="AR1880" s="23" t="s">
        <v>433</v>
      </c>
      <c r="AS1880" s="25">
        <v>2028731</v>
      </c>
      <c r="AT1880" t="s">
        <v>26</v>
      </c>
      <c r="AU1880" t="s">
        <v>24695</v>
      </c>
    </row>
    <row r="1881" spans="1:47" ht="26.25" x14ac:dyDescent="0.4">
      <c r="A1881" s="23" t="s">
        <v>5011</v>
      </c>
      <c r="B1881" t="s">
        <v>26</v>
      </c>
      <c r="C1881" s="23" t="s">
        <v>5012</v>
      </c>
      <c r="D1881" s="23" t="s">
        <v>23339</v>
      </c>
      <c r="E1881" s="23" t="s">
        <v>526</v>
      </c>
      <c r="F1881" s="25" t="s">
        <v>5013</v>
      </c>
      <c r="G1881" t="s">
        <v>26</v>
      </c>
      <c r="H1881" t="s">
        <v>26</v>
      </c>
      <c r="I1881" s="24">
        <v>38108</v>
      </c>
      <c r="J1881" s="25" t="s">
        <v>77</v>
      </c>
      <c r="K1881" t="s">
        <v>26</v>
      </c>
      <c r="L1881" s="25" t="s">
        <v>68</v>
      </c>
      <c r="M1881" s="24">
        <v>38473</v>
      </c>
      <c r="N1881" s="25" t="s">
        <v>77</v>
      </c>
      <c r="O1881" t="s">
        <v>26</v>
      </c>
      <c r="P1881" s="24">
        <v>38108</v>
      </c>
      <c r="Q1881" s="25" t="s">
        <v>77</v>
      </c>
      <c r="R1881" t="s">
        <v>26</v>
      </c>
      <c r="S1881" t="s">
        <v>26</v>
      </c>
      <c r="T1881" t="s">
        <v>26</v>
      </c>
      <c r="U1881" t="s">
        <v>26</v>
      </c>
      <c r="V1881" t="s">
        <v>26</v>
      </c>
      <c r="W1881" s="24">
        <v>38108</v>
      </c>
      <c r="X1881" s="25" t="s">
        <v>77</v>
      </c>
      <c r="Y1881" t="s">
        <v>26</v>
      </c>
      <c r="Z1881" s="24">
        <v>38108</v>
      </c>
      <c r="AA1881" s="25" t="s">
        <v>77</v>
      </c>
      <c r="AB1881" t="s">
        <v>26</v>
      </c>
      <c r="AC1881" s="24">
        <v>42887</v>
      </c>
      <c r="AD1881" s="25" t="s">
        <v>77</v>
      </c>
      <c r="AE1881" t="s">
        <v>26</v>
      </c>
      <c r="AF1881" t="s">
        <v>26</v>
      </c>
      <c r="AG1881" t="s">
        <v>26</v>
      </c>
      <c r="AH1881" t="s">
        <v>26</v>
      </c>
      <c r="AI1881" t="s">
        <v>26</v>
      </c>
      <c r="AJ1881" t="s">
        <v>26</v>
      </c>
      <c r="AK1881" t="s">
        <v>26</v>
      </c>
      <c r="AL1881" t="s">
        <v>26</v>
      </c>
      <c r="AM1881" t="s">
        <v>26</v>
      </c>
      <c r="AN1881" t="s">
        <v>26</v>
      </c>
      <c r="AO1881" s="25" t="s">
        <v>68</v>
      </c>
      <c r="AP1881" s="23" t="s">
        <v>69</v>
      </c>
      <c r="AQ1881" s="23" t="s">
        <v>30</v>
      </c>
      <c r="AR1881" s="23" t="s">
        <v>337</v>
      </c>
      <c r="AS1881" s="25">
        <v>28575</v>
      </c>
      <c r="AT1881" t="s">
        <v>26</v>
      </c>
      <c r="AU1881" t="s">
        <v>24696</v>
      </c>
    </row>
    <row r="1882" spans="1:47" ht="26.25" x14ac:dyDescent="0.4">
      <c r="A1882" s="23" t="s">
        <v>5014</v>
      </c>
      <c r="B1882" t="s">
        <v>26</v>
      </c>
      <c r="C1882" s="23" t="s">
        <v>341</v>
      </c>
      <c r="D1882" s="23" t="s">
        <v>22174</v>
      </c>
      <c r="E1882" s="23" t="s">
        <v>60</v>
      </c>
      <c r="F1882" s="25" t="s">
        <v>5015</v>
      </c>
      <c r="G1882" s="25" t="s">
        <v>5016</v>
      </c>
      <c r="H1882" t="s">
        <v>26</v>
      </c>
      <c r="I1882" s="24">
        <v>37377</v>
      </c>
      <c r="J1882" s="25" t="s">
        <v>77</v>
      </c>
      <c r="K1882" t="s">
        <v>26</v>
      </c>
      <c r="L1882" s="25" t="s">
        <v>68</v>
      </c>
      <c r="M1882" s="24">
        <v>37377</v>
      </c>
      <c r="N1882" s="25" t="s">
        <v>77</v>
      </c>
      <c r="O1882" t="s">
        <v>26</v>
      </c>
      <c r="P1882" s="24">
        <v>37377</v>
      </c>
      <c r="Q1882" s="25" t="s">
        <v>77</v>
      </c>
      <c r="R1882" t="s">
        <v>26</v>
      </c>
      <c r="S1882" t="s">
        <v>26</v>
      </c>
      <c r="T1882" t="s">
        <v>26</v>
      </c>
      <c r="U1882" t="s">
        <v>26</v>
      </c>
      <c r="V1882" s="25">
        <v>60</v>
      </c>
      <c r="W1882" s="24">
        <v>37377</v>
      </c>
      <c r="X1882" s="25" t="s">
        <v>77</v>
      </c>
      <c r="Y1882" t="s">
        <v>26</v>
      </c>
      <c r="Z1882" s="24">
        <v>37377</v>
      </c>
      <c r="AA1882" s="25" t="s">
        <v>77</v>
      </c>
      <c r="AB1882" t="s">
        <v>26</v>
      </c>
      <c r="AC1882" s="24">
        <v>37377</v>
      </c>
      <c r="AD1882" s="25" t="s">
        <v>77</v>
      </c>
      <c r="AE1882" t="s">
        <v>26</v>
      </c>
      <c r="AF1882" t="s">
        <v>26</v>
      </c>
      <c r="AG1882" t="s">
        <v>26</v>
      </c>
      <c r="AH1882" t="s">
        <v>26</v>
      </c>
      <c r="AI1882" t="s">
        <v>26</v>
      </c>
      <c r="AJ1882" t="s">
        <v>26</v>
      </c>
      <c r="AK1882" t="s">
        <v>26</v>
      </c>
      <c r="AL1882" t="s">
        <v>26</v>
      </c>
      <c r="AM1882" t="s">
        <v>26</v>
      </c>
      <c r="AN1882" t="s">
        <v>26</v>
      </c>
      <c r="AO1882" s="25" t="s">
        <v>68</v>
      </c>
      <c r="AP1882" s="23" t="s">
        <v>69</v>
      </c>
      <c r="AQ1882" s="23" t="s">
        <v>30</v>
      </c>
      <c r="AR1882" s="23" t="s">
        <v>70</v>
      </c>
      <c r="AS1882" s="25">
        <v>26255</v>
      </c>
      <c r="AT1882" t="s">
        <v>26</v>
      </c>
      <c r="AU1882" t="s">
        <v>24697</v>
      </c>
    </row>
    <row r="1883" spans="1:47" ht="26.25" x14ac:dyDescent="0.4">
      <c r="A1883" s="23" t="s">
        <v>5017</v>
      </c>
      <c r="B1883" t="s">
        <v>26</v>
      </c>
      <c r="C1883" s="23" t="s">
        <v>341</v>
      </c>
      <c r="D1883" s="23" t="s">
        <v>22174</v>
      </c>
      <c r="E1883" s="23" t="s">
        <v>60</v>
      </c>
      <c r="F1883" s="25" t="s">
        <v>5018</v>
      </c>
      <c r="G1883" s="25" t="s">
        <v>5019</v>
      </c>
      <c r="H1883" t="s">
        <v>26</v>
      </c>
      <c r="I1883" s="24">
        <v>33607</v>
      </c>
      <c r="J1883" s="25" t="s">
        <v>77</v>
      </c>
      <c r="K1883" t="s">
        <v>26</v>
      </c>
      <c r="L1883" s="25" t="s">
        <v>68</v>
      </c>
      <c r="M1883" s="24">
        <v>34832</v>
      </c>
      <c r="N1883" s="25" t="s">
        <v>77</v>
      </c>
      <c r="O1883" t="s">
        <v>26</v>
      </c>
      <c r="P1883" s="24">
        <v>33607</v>
      </c>
      <c r="Q1883" s="25" t="s">
        <v>77</v>
      </c>
      <c r="R1883" t="s">
        <v>26</v>
      </c>
      <c r="S1883" t="s">
        <v>26</v>
      </c>
      <c r="T1883" t="s">
        <v>26</v>
      </c>
      <c r="U1883" t="s">
        <v>26</v>
      </c>
      <c r="V1883" s="25">
        <v>90</v>
      </c>
      <c r="W1883" s="24">
        <v>12775</v>
      </c>
      <c r="X1883" s="25" t="s">
        <v>77</v>
      </c>
      <c r="Y1883" s="25" t="s">
        <v>5020</v>
      </c>
      <c r="Z1883" s="24">
        <v>12775</v>
      </c>
      <c r="AA1883" s="25" t="s">
        <v>77</v>
      </c>
      <c r="AB1883" s="25" t="s">
        <v>5020</v>
      </c>
      <c r="AC1883" s="24">
        <v>22050</v>
      </c>
      <c r="AD1883" s="25" t="s">
        <v>77</v>
      </c>
      <c r="AE1883" s="25" t="s">
        <v>24698</v>
      </c>
      <c r="AF1883" t="s">
        <v>26</v>
      </c>
      <c r="AG1883" t="s">
        <v>26</v>
      </c>
      <c r="AH1883" t="s">
        <v>26</v>
      </c>
      <c r="AI1883" t="s">
        <v>26</v>
      </c>
      <c r="AJ1883" t="s">
        <v>26</v>
      </c>
      <c r="AK1883" t="s">
        <v>26</v>
      </c>
      <c r="AL1883" t="s">
        <v>26</v>
      </c>
      <c r="AM1883" t="s">
        <v>26</v>
      </c>
      <c r="AN1883" t="s">
        <v>26</v>
      </c>
      <c r="AO1883" s="25" t="s">
        <v>68</v>
      </c>
      <c r="AP1883" s="23" t="s">
        <v>69</v>
      </c>
      <c r="AQ1883" s="23" t="s">
        <v>30</v>
      </c>
      <c r="AR1883" s="23" t="s">
        <v>277</v>
      </c>
      <c r="AS1883" s="25">
        <v>40246</v>
      </c>
      <c r="AT1883" t="s">
        <v>26</v>
      </c>
      <c r="AU1883" t="s">
        <v>24699</v>
      </c>
    </row>
    <row r="1884" spans="1:47" ht="26.25" x14ac:dyDescent="0.4">
      <c r="A1884" s="23" t="s">
        <v>24700</v>
      </c>
      <c r="B1884" t="s">
        <v>26</v>
      </c>
      <c r="C1884" s="23" t="s">
        <v>24701</v>
      </c>
      <c r="D1884" s="23" t="s">
        <v>24702</v>
      </c>
      <c r="E1884" s="23" t="s">
        <v>42</v>
      </c>
      <c r="F1884" t="s">
        <v>26</v>
      </c>
      <c r="G1884" t="s">
        <v>26</v>
      </c>
      <c r="H1884" t="s">
        <v>26</v>
      </c>
      <c r="I1884" s="24">
        <v>40179</v>
      </c>
      <c r="J1884" s="24">
        <v>40179</v>
      </c>
      <c r="K1884" t="s">
        <v>26</v>
      </c>
      <c r="L1884" s="25" t="s">
        <v>28</v>
      </c>
      <c r="M1884" s="24">
        <v>40179</v>
      </c>
      <c r="N1884" s="24">
        <v>40179</v>
      </c>
      <c r="O1884" t="s">
        <v>26</v>
      </c>
      <c r="P1884" t="s">
        <v>26</v>
      </c>
      <c r="Q1884" t="s">
        <v>26</v>
      </c>
      <c r="R1884" t="s">
        <v>26</v>
      </c>
      <c r="S1884" s="24">
        <v>40179</v>
      </c>
      <c r="T1884" s="24">
        <v>40179</v>
      </c>
      <c r="U1884" t="s">
        <v>26</v>
      </c>
      <c r="V1884" t="s">
        <v>26</v>
      </c>
      <c r="W1884" s="24">
        <v>40179</v>
      </c>
      <c r="X1884" s="24">
        <v>40179</v>
      </c>
      <c r="Y1884" t="s">
        <v>26</v>
      </c>
      <c r="Z1884" s="24">
        <v>40179</v>
      </c>
      <c r="AA1884" s="24">
        <v>40179</v>
      </c>
      <c r="AB1884" t="s">
        <v>26</v>
      </c>
      <c r="AC1884" s="24">
        <v>40179</v>
      </c>
      <c r="AD1884" s="24">
        <v>40179</v>
      </c>
      <c r="AE1884" t="s">
        <v>26</v>
      </c>
      <c r="AF1884" s="24">
        <v>40179</v>
      </c>
      <c r="AG1884" s="24">
        <v>40179</v>
      </c>
      <c r="AH1884" t="s">
        <v>26</v>
      </c>
      <c r="AI1884" s="24">
        <v>40179</v>
      </c>
      <c r="AJ1884" s="24">
        <v>40179</v>
      </c>
      <c r="AK1884" t="s">
        <v>26</v>
      </c>
      <c r="AL1884" t="s">
        <v>26</v>
      </c>
      <c r="AM1884" t="s">
        <v>26</v>
      </c>
      <c r="AN1884" t="s">
        <v>26</v>
      </c>
      <c r="AO1884" s="25" t="s">
        <v>28</v>
      </c>
      <c r="AP1884" s="23" t="s">
        <v>43</v>
      </c>
      <c r="AQ1884" s="23" t="s">
        <v>30</v>
      </c>
      <c r="AR1884" s="23" t="s">
        <v>46</v>
      </c>
      <c r="AS1884" s="25">
        <v>6362726</v>
      </c>
      <c r="AT1884" t="s">
        <v>26</v>
      </c>
      <c r="AU1884" t="s">
        <v>24703</v>
      </c>
    </row>
    <row r="1885" spans="1:47" ht="26.25" x14ac:dyDescent="0.4">
      <c r="A1885" s="23" t="s">
        <v>5021</v>
      </c>
      <c r="B1885" t="s">
        <v>26</v>
      </c>
      <c r="C1885" s="23" t="s">
        <v>5022</v>
      </c>
      <c r="D1885" s="23" t="s">
        <v>22242</v>
      </c>
      <c r="E1885" s="23" t="s">
        <v>42</v>
      </c>
      <c r="F1885" s="25" t="s">
        <v>5023</v>
      </c>
      <c r="G1885" s="25" t="s">
        <v>5024</v>
      </c>
      <c r="H1885" t="s">
        <v>26</v>
      </c>
      <c r="I1885" t="s">
        <v>26</v>
      </c>
      <c r="J1885" t="s">
        <v>26</v>
      </c>
      <c r="K1885" t="s">
        <v>26</v>
      </c>
      <c r="L1885" s="25" t="s">
        <v>68</v>
      </c>
      <c r="M1885" t="s">
        <v>26</v>
      </c>
      <c r="N1885" t="s">
        <v>26</v>
      </c>
      <c r="O1885" t="s">
        <v>26</v>
      </c>
      <c r="P1885" t="s">
        <v>26</v>
      </c>
      <c r="Q1885" t="s">
        <v>26</v>
      </c>
      <c r="R1885" t="s">
        <v>26</v>
      </c>
      <c r="S1885" t="s">
        <v>26</v>
      </c>
      <c r="T1885" t="s">
        <v>26</v>
      </c>
      <c r="U1885" t="s">
        <v>26</v>
      </c>
      <c r="V1885" t="s">
        <v>26</v>
      </c>
      <c r="W1885" s="24">
        <v>33604</v>
      </c>
      <c r="X1885" s="24">
        <v>44682</v>
      </c>
      <c r="Y1885" t="s">
        <v>26</v>
      </c>
      <c r="Z1885" s="24">
        <v>33604</v>
      </c>
      <c r="AA1885" s="24">
        <v>44682</v>
      </c>
      <c r="AB1885" t="s">
        <v>26</v>
      </c>
      <c r="AC1885" s="24">
        <v>33604</v>
      </c>
      <c r="AD1885" s="24">
        <v>44682</v>
      </c>
      <c r="AE1885" t="s">
        <v>26</v>
      </c>
      <c r="AF1885" t="s">
        <v>26</v>
      </c>
      <c r="AG1885" t="s">
        <v>26</v>
      </c>
      <c r="AH1885" t="s">
        <v>26</v>
      </c>
      <c r="AI1885" t="s">
        <v>26</v>
      </c>
      <c r="AJ1885" t="s">
        <v>26</v>
      </c>
      <c r="AK1885" t="s">
        <v>26</v>
      </c>
      <c r="AL1885" t="s">
        <v>26</v>
      </c>
      <c r="AM1885" t="s">
        <v>26</v>
      </c>
      <c r="AN1885" t="s">
        <v>26</v>
      </c>
      <c r="AO1885" s="25" t="s">
        <v>68</v>
      </c>
      <c r="AP1885" s="23" t="s">
        <v>69</v>
      </c>
      <c r="AQ1885" s="23" t="s">
        <v>30</v>
      </c>
      <c r="AR1885" s="23" t="s">
        <v>5025</v>
      </c>
      <c r="AS1885" s="25">
        <v>9368</v>
      </c>
      <c r="AT1885" t="s">
        <v>26</v>
      </c>
      <c r="AU1885" t="s">
        <v>24704</v>
      </c>
    </row>
    <row r="1886" spans="1:47" ht="26.25" x14ac:dyDescent="0.4">
      <c r="A1886" s="23" t="s">
        <v>5026</v>
      </c>
      <c r="B1886" t="s">
        <v>26</v>
      </c>
      <c r="C1886" s="23" t="s">
        <v>660</v>
      </c>
      <c r="D1886" s="23" t="s">
        <v>22436</v>
      </c>
      <c r="E1886" s="23" t="s">
        <v>60</v>
      </c>
      <c r="F1886" s="25" t="s">
        <v>5027</v>
      </c>
      <c r="G1886" s="25" t="s">
        <v>5028</v>
      </c>
      <c r="H1886" t="s">
        <v>26</v>
      </c>
      <c r="I1886" t="s">
        <v>26</v>
      </c>
      <c r="J1886" t="s">
        <v>26</v>
      </c>
      <c r="K1886" t="s">
        <v>26</v>
      </c>
      <c r="L1886" s="25" t="s">
        <v>68</v>
      </c>
      <c r="M1886" t="s">
        <v>26</v>
      </c>
      <c r="N1886" t="s">
        <v>26</v>
      </c>
      <c r="O1886" t="s">
        <v>26</v>
      </c>
      <c r="P1886" t="s">
        <v>26</v>
      </c>
      <c r="Q1886" t="s">
        <v>26</v>
      </c>
      <c r="R1886" t="s">
        <v>26</v>
      </c>
      <c r="S1886" t="s">
        <v>26</v>
      </c>
      <c r="T1886" t="s">
        <v>26</v>
      </c>
      <c r="U1886" t="s">
        <v>26</v>
      </c>
      <c r="V1886" t="s">
        <v>26</v>
      </c>
      <c r="W1886" s="24">
        <v>36526</v>
      </c>
      <c r="X1886" s="25" t="s">
        <v>77</v>
      </c>
      <c r="Y1886" t="s">
        <v>26</v>
      </c>
      <c r="Z1886" s="24">
        <v>36526</v>
      </c>
      <c r="AA1886" s="25" t="s">
        <v>77</v>
      </c>
      <c r="AB1886" t="s">
        <v>26</v>
      </c>
      <c r="AC1886" s="24">
        <v>36526</v>
      </c>
      <c r="AD1886" s="25" t="s">
        <v>77</v>
      </c>
      <c r="AE1886" t="s">
        <v>26</v>
      </c>
      <c r="AF1886" t="s">
        <v>26</v>
      </c>
      <c r="AG1886" t="s">
        <v>26</v>
      </c>
      <c r="AH1886" t="s">
        <v>26</v>
      </c>
      <c r="AI1886" t="s">
        <v>26</v>
      </c>
      <c r="AJ1886" t="s">
        <v>26</v>
      </c>
      <c r="AK1886" t="s">
        <v>26</v>
      </c>
      <c r="AL1886" t="s">
        <v>26</v>
      </c>
      <c r="AM1886" t="s">
        <v>26</v>
      </c>
      <c r="AN1886" t="s">
        <v>26</v>
      </c>
      <c r="AO1886" s="25" t="s">
        <v>68</v>
      </c>
      <c r="AP1886" s="23" t="s">
        <v>69</v>
      </c>
      <c r="AQ1886" s="23" t="s">
        <v>30</v>
      </c>
      <c r="AR1886" s="23" t="s">
        <v>1160</v>
      </c>
      <c r="AS1886" s="25">
        <v>46556</v>
      </c>
      <c r="AT1886" t="s">
        <v>26</v>
      </c>
      <c r="AU1886" t="s">
        <v>24705</v>
      </c>
    </row>
    <row r="1887" spans="1:47" ht="26.25" x14ac:dyDescent="0.4">
      <c r="A1887" s="23" t="s">
        <v>5029</v>
      </c>
      <c r="B1887" t="s">
        <v>26</v>
      </c>
      <c r="C1887" s="23" t="s">
        <v>1481</v>
      </c>
      <c r="D1887" s="23" t="s">
        <v>22190</v>
      </c>
      <c r="E1887" s="23" t="s">
        <v>60</v>
      </c>
      <c r="F1887" s="25" t="s">
        <v>5030</v>
      </c>
      <c r="G1887" s="25" t="s">
        <v>5031</v>
      </c>
      <c r="H1887" t="s">
        <v>26</v>
      </c>
      <c r="I1887" t="s">
        <v>26</v>
      </c>
      <c r="J1887" t="s">
        <v>26</v>
      </c>
      <c r="K1887" t="s">
        <v>26</v>
      </c>
      <c r="L1887" s="25" t="s">
        <v>68</v>
      </c>
      <c r="M1887" t="s">
        <v>26</v>
      </c>
      <c r="N1887" t="s">
        <v>26</v>
      </c>
      <c r="O1887" t="s">
        <v>26</v>
      </c>
      <c r="P1887" t="s">
        <v>26</v>
      </c>
      <c r="Q1887" t="s">
        <v>26</v>
      </c>
      <c r="R1887" t="s">
        <v>26</v>
      </c>
      <c r="S1887" t="s">
        <v>26</v>
      </c>
      <c r="T1887" t="s">
        <v>26</v>
      </c>
      <c r="U1887" t="s">
        <v>26</v>
      </c>
      <c r="V1887" t="s">
        <v>26</v>
      </c>
      <c r="W1887" s="24">
        <v>37987</v>
      </c>
      <c r="X1887" s="25" t="s">
        <v>77</v>
      </c>
      <c r="Y1887" t="s">
        <v>26</v>
      </c>
      <c r="Z1887" s="24">
        <v>37987</v>
      </c>
      <c r="AA1887" s="25" t="s">
        <v>77</v>
      </c>
      <c r="AB1887" t="s">
        <v>26</v>
      </c>
      <c r="AC1887" s="24">
        <v>37987</v>
      </c>
      <c r="AD1887" s="25" t="s">
        <v>77</v>
      </c>
      <c r="AE1887" t="s">
        <v>26</v>
      </c>
      <c r="AF1887" t="s">
        <v>26</v>
      </c>
      <c r="AG1887" t="s">
        <v>26</v>
      </c>
      <c r="AH1887" t="s">
        <v>26</v>
      </c>
      <c r="AI1887" t="s">
        <v>26</v>
      </c>
      <c r="AJ1887" t="s">
        <v>26</v>
      </c>
      <c r="AK1887" t="s">
        <v>26</v>
      </c>
      <c r="AL1887" t="s">
        <v>26</v>
      </c>
      <c r="AM1887" t="s">
        <v>26</v>
      </c>
      <c r="AN1887" t="s">
        <v>26</v>
      </c>
      <c r="AO1887" s="25" t="s">
        <v>68</v>
      </c>
      <c r="AP1887" s="23" t="s">
        <v>69</v>
      </c>
      <c r="AQ1887" s="23" t="s">
        <v>30</v>
      </c>
      <c r="AR1887" s="23" t="s">
        <v>674</v>
      </c>
      <c r="AS1887" s="25">
        <v>44519</v>
      </c>
      <c r="AT1887" t="s">
        <v>26</v>
      </c>
      <c r="AU1887" t="s">
        <v>24706</v>
      </c>
    </row>
    <row r="1888" spans="1:47" ht="26.25" x14ac:dyDescent="0.4">
      <c r="A1888" s="23" t="s">
        <v>5032</v>
      </c>
      <c r="B1888" t="s">
        <v>26</v>
      </c>
      <c r="C1888" s="23" t="s">
        <v>660</v>
      </c>
      <c r="D1888" s="23" t="s">
        <v>22436</v>
      </c>
      <c r="E1888" s="23" t="s">
        <v>60</v>
      </c>
      <c r="F1888" s="25" t="s">
        <v>5033</v>
      </c>
      <c r="G1888" s="25" t="s">
        <v>5034</v>
      </c>
      <c r="H1888" t="s">
        <v>26</v>
      </c>
      <c r="I1888" t="s">
        <v>26</v>
      </c>
      <c r="J1888" t="s">
        <v>26</v>
      </c>
      <c r="K1888" t="s">
        <v>26</v>
      </c>
      <c r="L1888" s="25" t="s">
        <v>68</v>
      </c>
      <c r="M1888" t="s">
        <v>26</v>
      </c>
      <c r="N1888" t="s">
        <v>26</v>
      </c>
      <c r="O1888" t="s">
        <v>26</v>
      </c>
      <c r="P1888" t="s">
        <v>26</v>
      </c>
      <c r="Q1888" t="s">
        <v>26</v>
      </c>
      <c r="R1888" t="s">
        <v>26</v>
      </c>
      <c r="S1888" t="s">
        <v>26</v>
      </c>
      <c r="T1888" t="s">
        <v>26</v>
      </c>
      <c r="U1888" t="s">
        <v>26</v>
      </c>
      <c r="V1888" t="s">
        <v>26</v>
      </c>
      <c r="W1888" s="24">
        <v>38353</v>
      </c>
      <c r="X1888" s="25" t="s">
        <v>77</v>
      </c>
      <c r="Y1888" t="s">
        <v>26</v>
      </c>
      <c r="Z1888" s="24">
        <v>38353</v>
      </c>
      <c r="AA1888" s="25" t="s">
        <v>77</v>
      </c>
      <c r="AB1888" t="s">
        <v>26</v>
      </c>
      <c r="AC1888" s="24">
        <v>38353</v>
      </c>
      <c r="AD1888" s="25" t="s">
        <v>77</v>
      </c>
      <c r="AE1888" t="s">
        <v>26</v>
      </c>
      <c r="AF1888" t="s">
        <v>26</v>
      </c>
      <c r="AG1888" t="s">
        <v>26</v>
      </c>
      <c r="AH1888" t="s">
        <v>26</v>
      </c>
      <c r="AI1888" t="s">
        <v>26</v>
      </c>
      <c r="AJ1888" t="s">
        <v>26</v>
      </c>
      <c r="AK1888" t="s">
        <v>26</v>
      </c>
      <c r="AL1888" t="s">
        <v>26</v>
      </c>
      <c r="AM1888" t="s">
        <v>26</v>
      </c>
      <c r="AN1888" t="s">
        <v>26</v>
      </c>
      <c r="AO1888" s="25" t="s">
        <v>68</v>
      </c>
      <c r="AP1888" s="23" t="s">
        <v>69</v>
      </c>
      <c r="AQ1888" s="23" t="s">
        <v>30</v>
      </c>
      <c r="AR1888" s="23" t="s">
        <v>674</v>
      </c>
      <c r="AS1888" s="25">
        <v>27867</v>
      </c>
      <c r="AT1888" t="s">
        <v>26</v>
      </c>
      <c r="AU1888" t="s">
        <v>24707</v>
      </c>
    </row>
    <row r="1889" spans="1:47" ht="26.25" x14ac:dyDescent="0.4">
      <c r="A1889" s="23" t="s">
        <v>5035</v>
      </c>
      <c r="B1889" t="s">
        <v>26</v>
      </c>
      <c r="C1889" s="23" t="s">
        <v>181</v>
      </c>
      <c r="D1889" s="23" t="s">
        <v>22174</v>
      </c>
      <c r="E1889" s="23" t="s">
        <v>60</v>
      </c>
      <c r="F1889" s="25" t="s">
        <v>5036</v>
      </c>
      <c r="G1889" s="25" t="s">
        <v>5037</v>
      </c>
      <c r="H1889" t="s">
        <v>26</v>
      </c>
      <c r="I1889" s="24">
        <v>35855</v>
      </c>
      <c r="J1889" s="24">
        <v>42278</v>
      </c>
      <c r="K1889" t="s">
        <v>26</v>
      </c>
      <c r="L1889" s="25" t="s">
        <v>68</v>
      </c>
      <c r="M1889" t="s">
        <v>26</v>
      </c>
      <c r="N1889" t="s">
        <v>26</v>
      </c>
      <c r="O1889" t="s">
        <v>26</v>
      </c>
      <c r="P1889" s="24">
        <v>35855</v>
      </c>
      <c r="Q1889" s="24">
        <v>42278</v>
      </c>
      <c r="R1889" t="s">
        <v>26</v>
      </c>
      <c r="S1889" t="s">
        <v>26</v>
      </c>
      <c r="T1889" t="s">
        <v>26</v>
      </c>
      <c r="U1889" t="s">
        <v>26</v>
      </c>
      <c r="V1889" t="s">
        <v>26</v>
      </c>
      <c r="W1889" s="24">
        <v>31017</v>
      </c>
      <c r="X1889" s="25" t="s">
        <v>77</v>
      </c>
      <c r="Y1889" t="s">
        <v>26</v>
      </c>
      <c r="Z1889" s="24">
        <v>31017</v>
      </c>
      <c r="AA1889" s="25" t="s">
        <v>77</v>
      </c>
      <c r="AB1889" t="s">
        <v>26</v>
      </c>
      <c r="AC1889" s="24">
        <v>31017</v>
      </c>
      <c r="AD1889" s="25" t="s">
        <v>77</v>
      </c>
      <c r="AE1889" t="s">
        <v>26</v>
      </c>
      <c r="AF1889" t="s">
        <v>26</v>
      </c>
      <c r="AG1889" t="s">
        <v>26</v>
      </c>
      <c r="AH1889" t="s">
        <v>26</v>
      </c>
      <c r="AI1889" t="s">
        <v>26</v>
      </c>
      <c r="AJ1889" t="s">
        <v>26</v>
      </c>
      <c r="AK1889" t="s">
        <v>26</v>
      </c>
      <c r="AL1889" t="s">
        <v>26</v>
      </c>
      <c r="AM1889" t="s">
        <v>26</v>
      </c>
      <c r="AN1889" t="s">
        <v>26</v>
      </c>
      <c r="AO1889" s="25" t="s">
        <v>68</v>
      </c>
      <c r="AP1889" s="23" t="s">
        <v>69</v>
      </c>
      <c r="AQ1889" s="23" t="s">
        <v>30</v>
      </c>
      <c r="AR1889" s="23" t="s">
        <v>674</v>
      </c>
      <c r="AS1889" s="25">
        <v>37135</v>
      </c>
      <c r="AT1889" t="s">
        <v>26</v>
      </c>
      <c r="AU1889" t="s">
        <v>24708</v>
      </c>
    </row>
    <row r="1890" spans="1:47" ht="26.25" x14ac:dyDescent="0.4">
      <c r="A1890" s="23" t="s">
        <v>5038</v>
      </c>
      <c r="B1890" t="s">
        <v>26</v>
      </c>
      <c r="C1890" s="23" t="s">
        <v>181</v>
      </c>
      <c r="D1890" s="23" t="s">
        <v>22174</v>
      </c>
      <c r="E1890" s="23" t="s">
        <v>60</v>
      </c>
      <c r="F1890" s="25" t="s">
        <v>5039</v>
      </c>
      <c r="G1890" s="25" t="s">
        <v>5040</v>
      </c>
      <c r="H1890" t="s">
        <v>26</v>
      </c>
      <c r="I1890" s="24">
        <v>35886</v>
      </c>
      <c r="J1890" s="24">
        <v>42614</v>
      </c>
      <c r="K1890" t="s">
        <v>26</v>
      </c>
      <c r="L1890" s="25" t="s">
        <v>68</v>
      </c>
      <c r="M1890" s="24">
        <v>35886</v>
      </c>
      <c r="N1890" s="24">
        <v>42614</v>
      </c>
      <c r="O1890" t="s">
        <v>26</v>
      </c>
      <c r="P1890" s="24">
        <v>36617</v>
      </c>
      <c r="Q1890" s="24">
        <v>42614</v>
      </c>
      <c r="R1890" t="s">
        <v>26</v>
      </c>
      <c r="S1890" t="s">
        <v>26</v>
      </c>
      <c r="T1890" t="s">
        <v>26</v>
      </c>
      <c r="U1890" t="s">
        <v>26</v>
      </c>
      <c r="V1890" t="s">
        <v>26</v>
      </c>
      <c r="W1890" s="24">
        <v>22463</v>
      </c>
      <c r="X1890" s="25" t="s">
        <v>77</v>
      </c>
      <c r="Y1890" t="s">
        <v>26</v>
      </c>
      <c r="Z1890" s="24">
        <v>22463</v>
      </c>
      <c r="AA1890" s="25" t="s">
        <v>77</v>
      </c>
      <c r="AB1890" t="s">
        <v>26</v>
      </c>
      <c r="AC1890" s="24">
        <v>35886</v>
      </c>
      <c r="AD1890" s="25" t="s">
        <v>77</v>
      </c>
      <c r="AE1890" t="s">
        <v>26</v>
      </c>
      <c r="AF1890" t="s">
        <v>26</v>
      </c>
      <c r="AG1890" t="s">
        <v>26</v>
      </c>
      <c r="AH1890" t="s">
        <v>26</v>
      </c>
      <c r="AI1890" t="s">
        <v>26</v>
      </c>
      <c r="AJ1890" t="s">
        <v>26</v>
      </c>
      <c r="AK1890" t="s">
        <v>26</v>
      </c>
      <c r="AL1890" t="s">
        <v>26</v>
      </c>
      <c r="AM1890" t="s">
        <v>26</v>
      </c>
      <c r="AN1890" t="s">
        <v>26</v>
      </c>
      <c r="AO1890" s="25" t="s">
        <v>68</v>
      </c>
      <c r="AP1890" s="23" t="s">
        <v>69</v>
      </c>
      <c r="AQ1890" s="23" t="s">
        <v>30</v>
      </c>
      <c r="AR1890" s="23" t="s">
        <v>5041</v>
      </c>
      <c r="AS1890" s="25">
        <v>2000</v>
      </c>
      <c r="AT1890" t="s">
        <v>26</v>
      </c>
      <c r="AU1890" t="s">
        <v>24709</v>
      </c>
    </row>
    <row r="1891" spans="1:47" ht="26.25" x14ac:dyDescent="0.4">
      <c r="A1891" s="23" t="s">
        <v>5042</v>
      </c>
      <c r="B1891" t="s">
        <v>26</v>
      </c>
      <c r="C1891" s="23" t="s">
        <v>167</v>
      </c>
      <c r="D1891" s="23" t="s">
        <v>22179</v>
      </c>
      <c r="E1891" s="23" t="s">
        <v>60</v>
      </c>
      <c r="F1891" s="25" t="s">
        <v>5043</v>
      </c>
      <c r="G1891" s="25" t="s">
        <v>5044</v>
      </c>
      <c r="H1891" t="s">
        <v>26</v>
      </c>
      <c r="I1891" s="24">
        <v>36892</v>
      </c>
      <c r="J1891" s="25" t="s">
        <v>77</v>
      </c>
      <c r="K1891" t="s">
        <v>26</v>
      </c>
      <c r="L1891" s="25" t="s">
        <v>68</v>
      </c>
      <c r="M1891" s="24">
        <v>37987</v>
      </c>
      <c r="N1891" s="25" t="s">
        <v>77</v>
      </c>
      <c r="O1891" t="s">
        <v>26</v>
      </c>
      <c r="P1891" s="24">
        <v>36892</v>
      </c>
      <c r="Q1891" s="25" t="s">
        <v>77</v>
      </c>
      <c r="R1891" t="s">
        <v>26</v>
      </c>
      <c r="S1891" t="s">
        <v>26</v>
      </c>
      <c r="T1891" t="s">
        <v>26</v>
      </c>
      <c r="U1891" t="s">
        <v>26</v>
      </c>
      <c r="V1891" s="25">
        <v>365</v>
      </c>
      <c r="W1891" s="24">
        <v>36892</v>
      </c>
      <c r="X1891" s="25" t="s">
        <v>77</v>
      </c>
      <c r="Y1891" t="s">
        <v>26</v>
      </c>
      <c r="Z1891" s="24">
        <v>36892</v>
      </c>
      <c r="AA1891" s="25" t="s">
        <v>77</v>
      </c>
      <c r="AB1891" t="s">
        <v>26</v>
      </c>
      <c r="AC1891" s="24">
        <v>36892</v>
      </c>
      <c r="AD1891" s="25" t="s">
        <v>77</v>
      </c>
      <c r="AE1891" t="s">
        <v>26</v>
      </c>
      <c r="AF1891" t="s">
        <v>26</v>
      </c>
      <c r="AG1891" t="s">
        <v>26</v>
      </c>
      <c r="AH1891" t="s">
        <v>26</v>
      </c>
      <c r="AI1891" t="s">
        <v>26</v>
      </c>
      <c r="AJ1891" t="s">
        <v>26</v>
      </c>
      <c r="AK1891" t="s">
        <v>26</v>
      </c>
      <c r="AL1891" t="s">
        <v>26</v>
      </c>
      <c r="AM1891" t="s">
        <v>26</v>
      </c>
      <c r="AN1891" t="s">
        <v>26</v>
      </c>
      <c r="AO1891" s="25" t="s">
        <v>68</v>
      </c>
      <c r="AP1891" s="23" t="s">
        <v>69</v>
      </c>
      <c r="AQ1891" s="23" t="s">
        <v>30</v>
      </c>
      <c r="AR1891" s="23" t="s">
        <v>674</v>
      </c>
      <c r="AS1891" s="25">
        <v>47833</v>
      </c>
      <c r="AT1891" t="s">
        <v>26</v>
      </c>
      <c r="AU1891" t="s">
        <v>24710</v>
      </c>
    </row>
    <row r="1892" spans="1:47" ht="26.25" x14ac:dyDescent="0.4">
      <c r="A1892" s="23" t="s">
        <v>5045</v>
      </c>
      <c r="B1892" s="23" t="s">
        <v>5046</v>
      </c>
      <c r="C1892" s="23" t="s">
        <v>59</v>
      </c>
      <c r="D1892" s="23" t="s">
        <v>22174</v>
      </c>
      <c r="E1892" s="23" t="s">
        <v>60</v>
      </c>
      <c r="F1892" t="s">
        <v>26</v>
      </c>
      <c r="G1892" t="s">
        <v>26</v>
      </c>
      <c r="H1892" s="25" t="s">
        <v>5047</v>
      </c>
      <c r="I1892" s="24">
        <v>41275</v>
      </c>
      <c r="J1892" s="24">
        <v>41275</v>
      </c>
      <c r="K1892" t="s">
        <v>26</v>
      </c>
      <c r="L1892" s="25" t="s">
        <v>28</v>
      </c>
      <c r="M1892" s="24">
        <v>41275</v>
      </c>
      <c r="N1892" s="24">
        <v>41275</v>
      </c>
      <c r="O1892" t="s">
        <v>26</v>
      </c>
      <c r="P1892" s="24">
        <v>41275</v>
      </c>
      <c r="Q1892" s="24">
        <v>41275</v>
      </c>
      <c r="R1892" t="s">
        <v>26</v>
      </c>
      <c r="S1892" t="s">
        <v>26</v>
      </c>
      <c r="T1892" t="s">
        <v>26</v>
      </c>
      <c r="U1892" t="s">
        <v>26</v>
      </c>
      <c r="V1892" t="s">
        <v>26</v>
      </c>
      <c r="W1892" s="24">
        <v>41275</v>
      </c>
      <c r="X1892" s="24">
        <v>41275</v>
      </c>
      <c r="Y1892" t="s">
        <v>26</v>
      </c>
      <c r="Z1892" s="24">
        <v>41275</v>
      </c>
      <c r="AA1892" s="24">
        <v>41275</v>
      </c>
      <c r="AB1892" t="s">
        <v>26</v>
      </c>
      <c r="AC1892" s="24">
        <v>41275</v>
      </c>
      <c r="AD1892" s="24">
        <v>41275</v>
      </c>
      <c r="AE1892" t="s">
        <v>26</v>
      </c>
      <c r="AF1892" t="s">
        <v>26</v>
      </c>
      <c r="AG1892" t="s">
        <v>26</v>
      </c>
      <c r="AH1892" t="s">
        <v>26</v>
      </c>
      <c r="AI1892" t="s">
        <v>26</v>
      </c>
      <c r="AJ1892" t="s">
        <v>26</v>
      </c>
      <c r="AK1892" t="s">
        <v>26</v>
      </c>
      <c r="AL1892" t="s">
        <v>26</v>
      </c>
      <c r="AM1892" t="s">
        <v>26</v>
      </c>
      <c r="AN1892" t="s">
        <v>26</v>
      </c>
      <c r="AO1892" s="25" t="s">
        <v>28</v>
      </c>
      <c r="AP1892" s="23" t="s">
        <v>29</v>
      </c>
      <c r="AQ1892" s="23" t="s">
        <v>30</v>
      </c>
      <c r="AR1892" s="23" t="s">
        <v>1688</v>
      </c>
      <c r="AS1892" s="25">
        <v>2043073</v>
      </c>
      <c r="AT1892" t="s">
        <v>26</v>
      </c>
      <c r="AU1892" t="s">
        <v>24711</v>
      </c>
    </row>
    <row r="1893" spans="1:47" ht="39.4" x14ac:dyDescent="0.4">
      <c r="A1893" s="23" t="s">
        <v>5048</v>
      </c>
      <c r="B1893" t="s">
        <v>26</v>
      </c>
      <c r="C1893" s="23" t="s">
        <v>504</v>
      </c>
      <c r="D1893" s="23" t="s">
        <v>22372</v>
      </c>
      <c r="E1893" s="23" t="s">
        <v>42</v>
      </c>
      <c r="F1893" s="25" t="s">
        <v>5049</v>
      </c>
      <c r="G1893" s="25" t="s">
        <v>5050</v>
      </c>
      <c r="H1893" t="s">
        <v>26</v>
      </c>
      <c r="I1893" s="24">
        <v>35521</v>
      </c>
      <c r="J1893" s="24">
        <v>40087</v>
      </c>
      <c r="K1893" t="s">
        <v>26</v>
      </c>
      <c r="L1893" s="25" t="s">
        <v>68</v>
      </c>
      <c r="M1893" s="24">
        <v>35521</v>
      </c>
      <c r="N1893" s="24">
        <v>40087</v>
      </c>
      <c r="O1893" t="s">
        <v>26</v>
      </c>
      <c r="P1893" s="24">
        <v>35521</v>
      </c>
      <c r="Q1893" s="24">
        <v>40087</v>
      </c>
      <c r="R1893" t="s">
        <v>26</v>
      </c>
      <c r="S1893" t="s">
        <v>26</v>
      </c>
      <c r="T1893" t="s">
        <v>26</v>
      </c>
      <c r="U1893" t="s">
        <v>26</v>
      </c>
      <c r="V1893" t="s">
        <v>26</v>
      </c>
      <c r="W1893" s="24">
        <v>35521</v>
      </c>
      <c r="X1893" s="24">
        <v>40087</v>
      </c>
      <c r="Y1893" t="s">
        <v>26</v>
      </c>
      <c r="Z1893" s="24">
        <v>35521</v>
      </c>
      <c r="AA1893" s="24">
        <v>40087</v>
      </c>
      <c r="AB1893" t="s">
        <v>26</v>
      </c>
      <c r="AC1893" s="24">
        <v>35521</v>
      </c>
      <c r="AD1893" s="24">
        <v>40087</v>
      </c>
      <c r="AE1893" t="s">
        <v>26</v>
      </c>
      <c r="AF1893" t="s">
        <v>26</v>
      </c>
      <c r="AG1893" t="s">
        <v>26</v>
      </c>
      <c r="AH1893" t="s">
        <v>26</v>
      </c>
      <c r="AI1893" t="s">
        <v>26</v>
      </c>
      <c r="AJ1893" t="s">
        <v>26</v>
      </c>
      <c r="AK1893" t="s">
        <v>26</v>
      </c>
      <c r="AL1893" t="s">
        <v>26</v>
      </c>
      <c r="AM1893" t="s">
        <v>26</v>
      </c>
      <c r="AN1893" t="s">
        <v>26</v>
      </c>
      <c r="AO1893" s="25" t="s">
        <v>68</v>
      </c>
      <c r="AP1893" s="23" t="s">
        <v>69</v>
      </c>
      <c r="AQ1893" s="23" t="s">
        <v>30</v>
      </c>
      <c r="AR1893" s="23" t="s">
        <v>24712</v>
      </c>
      <c r="AS1893" s="25">
        <v>37587</v>
      </c>
      <c r="AT1893" t="s">
        <v>26</v>
      </c>
      <c r="AU1893" t="s">
        <v>24713</v>
      </c>
    </row>
    <row r="1894" spans="1:47" ht="26.25" x14ac:dyDescent="0.4">
      <c r="A1894" s="23" t="s">
        <v>5051</v>
      </c>
      <c r="B1894" t="s">
        <v>26</v>
      </c>
      <c r="C1894" s="23" t="s">
        <v>504</v>
      </c>
      <c r="D1894" s="23" t="s">
        <v>22254</v>
      </c>
      <c r="E1894" s="23" t="s">
        <v>42</v>
      </c>
      <c r="F1894" t="s">
        <v>26</v>
      </c>
      <c r="G1894" s="25" t="s">
        <v>5050</v>
      </c>
      <c r="H1894" t="s">
        <v>26</v>
      </c>
      <c r="I1894" s="24">
        <v>40179</v>
      </c>
      <c r="J1894" s="24">
        <v>44743</v>
      </c>
      <c r="K1894" t="s">
        <v>26</v>
      </c>
      <c r="L1894" s="25" t="s">
        <v>68</v>
      </c>
      <c r="M1894" s="24">
        <v>40179</v>
      </c>
      <c r="N1894" s="24">
        <v>44743</v>
      </c>
      <c r="O1894" t="s">
        <v>26</v>
      </c>
      <c r="P1894" s="24">
        <v>40179</v>
      </c>
      <c r="Q1894" s="24">
        <v>44743</v>
      </c>
      <c r="R1894" t="s">
        <v>26</v>
      </c>
      <c r="S1894" t="s">
        <v>26</v>
      </c>
      <c r="T1894" t="s">
        <v>26</v>
      </c>
      <c r="U1894" t="s">
        <v>26</v>
      </c>
      <c r="V1894" t="s">
        <v>26</v>
      </c>
      <c r="W1894" s="24">
        <v>40179</v>
      </c>
      <c r="X1894" s="24">
        <v>44743</v>
      </c>
      <c r="Y1894" t="s">
        <v>26</v>
      </c>
      <c r="Z1894" s="24">
        <v>40179</v>
      </c>
      <c r="AA1894" s="24">
        <v>44743</v>
      </c>
      <c r="AB1894" t="s">
        <v>26</v>
      </c>
      <c r="AC1894" s="24">
        <v>40179</v>
      </c>
      <c r="AD1894" s="24">
        <v>44743</v>
      </c>
      <c r="AE1894" t="s">
        <v>26</v>
      </c>
      <c r="AF1894" t="s">
        <v>26</v>
      </c>
      <c r="AG1894" t="s">
        <v>26</v>
      </c>
      <c r="AH1894" t="s">
        <v>26</v>
      </c>
      <c r="AI1894" t="s">
        <v>26</v>
      </c>
      <c r="AJ1894" t="s">
        <v>26</v>
      </c>
      <c r="AK1894" t="s">
        <v>26</v>
      </c>
      <c r="AL1894" t="s">
        <v>26</v>
      </c>
      <c r="AM1894" t="s">
        <v>26</v>
      </c>
      <c r="AN1894" t="s">
        <v>26</v>
      </c>
      <c r="AO1894" s="25" t="s">
        <v>68</v>
      </c>
      <c r="AP1894" s="23" t="s">
        <v>69</v>
      </c>
      <c r="AQ1894" s="23" t="s">
        <v>30</v>
      </c>
      <c r="AR1894" s="23" t="s">
        <v>22375</v>
      </c>
      <c r="AS1894" s="25">
        <v>135350</v>
      </c>
      <c r="AT1894" t="s">
        <v>26</v>
      </c>
      <c r="AU1894" t="s">
        <v>24714</v>
      </c>
    </row>
    <row r="1895" spans="1:47" ht="26.25" x14ac:dyDescent="0.4">
      <c r="A1895" s="23" t="s">
        <v>5052</v>
      </c>
      <c r="B1895" t="s">
        <v>26</v>
      </c>
      <c r="C1895" s="23" t="s">
        <v>80</v>
      </c>
      <c r="D1895" s="23" t="s">
        <v>22267</v>
      </c>
      <c r="E1895" s="23" t="s">
        <v>60</v>
      </c>
      <c r="F1895" s="25" t="s">
        <v>5053</v>
      </c>
      <c r="G1895" t="s">
        <v>26</v>
      </c>
      <c r="H1895" t="s">
        <v>26</v>
      </c>
      <c r="I1895" t="s">
        <v>26</v>
      </c>
      <c r="J1895" t="s">
        <v>26</v>
      </c>
      <c r="K1895" t="s">
        <v>26</v>
      </c>
      <c r="L1895" s="25" t="s">
        <v>68</v>
      </c>
      <c r="M1895" t="s">
        <v>26</v>
      </c>
      <c r="N1895" t="s">
        <v>26</v>
      </c>
      <c r="O1895" t="s">
        <v>26</v>
      </c>
      <c r="P1895" t="s">
        <v>26</v>
      </c>
      <c r="Q1895" t="s">
        <v>26</v>
      </c>
      <c r="R1895" t="s">
        <v>26</v>
      </c>
      <c r="S1895" t="s">
        <v>26</v>
      </c>
      <c r="T1895" t="s">
        <v>26</v>
      </c>
      <c r="U1895" t="s">
        <v>26</v>
      </c>
      <c r="V1895" t="s">
        <v>26</v>
      </c>
      <c r="W1895" s="24">
        <v>42370</v>
      </c>
      <c r="X1895" s="25" t="s">
        <v>77</v>
      </c>
      <c r="Y1895" t="s">
        <v>26</v>
      </c>
      <c r="Z1895" s="24">
        <v>42370</v>
      </c>
      <c r="AA1895" s="25" t="s">
        <v>77</v>
      </c>
      <c r="AB1895" t="s">
        <v>26</v>
      </c>
      <c r="AC1895" s="24">
        <v>42370</v>
      </c>
      <c r="AD1895" s="25" t="s">
        <v>77</v>
      </c>
      <c r="AE1895" t="s">
        <v>26</v>
      </c>
      <c r="AF1895" t="s">
        <v>26</v>
      </c>
      <c r="AG1895" t="s">
        <v>26</v>
      </c>
      <c r="AH1895" t="s">
        <v>26</v>
      </c>
      <c r="AI1895" t="s">
        <v>26</v>
      </c>
      <c r="AJ1895" t="s">
        <v>26</v>
      </c>
      <c r="AK1895" t="s">
        <v>26</v>
      </c>
      <c r="AL1895" t="s">
        <v>26</v>
      </c>
      <c r="AM1895" t="s">
        <v>26</v>
      </c>
      <c r="AN1895" t="s">
        <v>26</v>
      </c>
      <c r="AO1895" s="25" t="s">
        <v>28</v>
      </c>
      <c r="AP1895" s="23" t="s">
        <v>69</v>
      </c>
      <c r="AQ1895" s="23" t="s">
        <v>30</v>
      </c>
      <c r="AR1895" s="23" t="s">
        <v>71</v>
      </c>
      <c r="AS1895" s="25">
        <v>2033065</v>
      </c>
      <c r="AT1895" t="s">
        <v>26</v>
      </c>
      <c r="AU1895" t="s">
        <v>24715</v>
      </c>
    </row>
    <row r="1896" spans="1:47" ht="26.25" x14ac:dyDescent="0.4">
      <c r="A1896" s="23" t="s">
        <v>5054</v>
      </c>
      <c r="B1896" t="s">
        <v>26</v>
      </c>
      <c r="C1896" s="23" t="s">
        <v>5055</v>
      </c>
      <c r="D1896" s="23" t="s">
        <v>24716</v>
      </c>
      <c r="E1896" s="23" t="s">
        <v>42</v>
      </c>
      <c r="F1896" s="25" t="s">
        <v>5056</v>
      </c>
      <c r="G1896" t="s">
        <v>26</v>
      </c>
      <c r="H1896" t="s">
        <v>26</v>
      </c>
      <c r="I1896" s="24">
        <v>38443</v>
      </c>
      <c r="J1896" s="24">
        <v>43101</v>
      </c>
      <c r="K1896" t="s">
        <v>26</v>
      </c>
      <c r="L1896" s="25" t="s">
        <v>68</v>
      </c>
      <c r="M1896" s="24">
        <v>38443</v>
      </c>
      <c r="N1896" s="24">
        <v>43101</v>
      </c>
      <c r="O1896" t="s">
        <v>26</v>
      </c>
      <c r="P1896" s="24">
        <v>38443</v>
      </c>
      <c r="Q1896" s="24">
        <v>43101</v>
      </c>
      <c r="R1896" t="s">
        <v>26</v>
      </c>
      <c r="S1896" t="s">
        <v>26</v>
      </c>
      <c r="T1896" t="s">
        <v>26</v>
      </c>
      <c r="U1896" t="s">
        <v>26</v>
      </c>
      <c r="V1896" t="s">
        <v>26</v>
      </c>
      <c r="W1896" s="24">
        <v>38443</v>
      </c>
      <c r="X1896" s="24">
        <v>43101</v>
      </c>
      <c r="Y1896" t="s">
        <v>26</v>
      </c>
      <c r="Z1896" s="24">
        <v>38443</v>
      </c>
      <c r="AA1896" s="24">
        <v>43101</v>
      </c>
      <c r="AB1896" t="s">
        <v>26</v>
      </c>
      <c r="AC1896" s="24">
        <v>42370</v>
      </c>
      <c r="AD1896" s="24">
        <v>43101</v>
      </c>
      <c r="AE1896" t="s">
        <v>26</v>
      </c>
      <c r="AF1896" t="s">
        <v>26</v>
      </c>
      <c r="AG1896" t="s">
        <v>26</v>
      </c>
      <c r="AH1896" t="s">
        <v>26</v>
      </c>
      <c r="AI1896" t="s">
        <v>26</v>
      </c>
      <c r="AJ1896" t="s">
        <v>26</v>
      </c>
      <c r="AK1896" t="s">
        <v>26</v>
      </c>
      <c r="AL1896" t="s">
        <v>26</v>
      </c>
      <c r="AM1896" t="s">
        <v>26</v>
      </c>
      <c r="AN1896" t="s">
        <v>26</v>
      </c>
      <c r="AO1896" s="25" t="s">
        <v>68</v>
      </c>
      <c r="AP1896" s="23" t="s">
        <v>69</v>
      </c>
      <c r="AQ1896" s="23" t="s">
        <v>30</v>
      </c>
      <c r="AR1896" s="23" t="s">
        <v>650</v>
      </c>
      <c r="AS1896" s="25">
        <v>47111</v>
      </c>
      <c r="AT1896" t="s">
        <v>26</v>
      </c>
      <c r="AU1896" t="s">
        <v>24717</v>
      </c>
    </row>
    <row r="1897" spans="1:47" ht="26.25" x14ac:dyDescent="0.4">
      <c r="A1897" s="23" t="s">
        <v>5057</v>
      </c>
      <c r="B1897" t="s">
        <v>26</v>
      </c>
      <c r="C1897" s="23" t="s">
        <v>5058</v>
      </c>
      <c r="D1897" s="23" t="s">
        <v>24718</v>
      </c>
      <c r="E1897" s="23" t="s">
        <v>42</v>
      </c>
      <c r="F1897" s="25" t="s">
        <v>5059</v>
      </c>
      <c r="G1897" s="25" t="s">
        <v>5060</v>
      </c>
      <c r="H1897" t="s">
        <v>26</v>
      </c>
      <c r="I1897" s="24">
        <v>35431</v>
      </c>
      <c r="J1897" s="25" t="s">
        <v>77</v>
      </c>
      <c r="K1897" t="s">
        <v>26</v>
      </c>
      <c r="L1897" s="25" t="s">
        <v>68</v>
      </c>
      <c r="M1897" s="24">
        <v>35431</v>
      </c>
      <c r="N1897" s="25" t="s">
        <v>77</v>
      </c>
      <c r="O1897" t="s">
        <v>26</v>
      </c>
      <c r="P1897" s="24">
        <v>35431</v>
      </c>
      <c r="Q1897" s="25" t="s">
        <v>77</v>
      </c>
      <c r="R1897" t="s">
        <v>26</v>
      </c>
      <c r="S1897" t="s">
        <v>26</v>
      </c>
      <c r="T1897" t="s">
        <v>26</v>
      </c>
      <c r="U1897" t="s">
        <v>26</v>
      </c>
      <c r="V1897" t="s">
        <v>26</v>
      </c>
      <c r="W1897" s="24">
        <v>32509</v>
      </c>
      <c r="X1897" s="25" t="s">
        <v>77</v>
      </c>
      <c r="Y1897" t="s">
        <v>26</v>
      </c>
      <c r="Z1897" s="24">
        <v>32509</v>
      </c>
      <c r="AA1897" s="25" t="s">
        <v>77</v>
      </c>
      <c r="AB1897" t="s">
        <v>26</v>
      </c>
      <c r="AC1897" s="24">
        <v>32509</v>
      </c>
      <c r="AD1897" s="25" t="s">
        <v>77</v>
      </c>
      <c r="AE1897" t="s">
        <v>26</v>
      </c>
      <c r="AF1897" t="s">
        <v>26</v>
      </c>
      <c r="AG1897" t="s">
        <v>26</v>
      </c>
      <c r="AH1897" t="s">
        <v>26</v>
      </c>
      <c r="AI1897" t="s">
        <v>26</v>
      </c>
      <c r="AJ1897" t="s">
        <v>26</v>
      </c>
      <c r="AK1897" t="s">
        <v>26</v>
      </c>
      <c r="AL1897" t="s">
        <v>26</v>
      </c>
      <c r="AM1897" t="s">
        <v>26</v>
      </c>
      <c r="AN1897" t="s">
        <v>26</v>
      </c>
      <c r="AO1897" s="25" t="s">
        <v>68</v>
      </c>
      <c r="AP1897" s="23" t="s">
        <v>69</v>
      </c>
      <c r="AQ1897" s="23" t="s">
        <v>30</v>
      </c>
      <c r="AR1897" s="23" t="s">
        <v>5061</v>
      </c>
      <c r="AS1897" s="25">
        <v>37836</v>
      </c>
      <c r="AT1897" t="s">
        <v>26</v>
      </c>
      <c r="AU1897" t="s">
        <v>24719</v>
      </c>
    </row>
    <row r="1898" spans="1:47" ht="26.25" x14ac:dyDescent="0.4">
      <c r="A1898" s="23" t="s">
        <v>5062</v>
      </c>
      <c r="B1898" t="s">
        <v>26</v>
      </c>
      <c r="C1898" s="23" t="s">
        <v>5063</v>
      </c>
      <c r="D1898" s="23" t="s">
        <v>24720</v>
      </c>
      <c r="E1898" s="23" t="s">
        <v>42</v>
      </c>
      <c r="F1898" s="25" t="s">
        <v>5064</v>
      </c>
      <c r="G1898" s="25" t="s">
        <v>5065</v>
      </c>
      <c r="H1898" t="s">
        <v>26</v>
      </c>
      <c r="I1898" s="24">
        <v>36192</v>
      </c>
      <c r="J1898" s="24">
        <v>40878</v>
      </c>
      <c r="K1898" t="s">
        <v>26</v>
      </c>
      <c r="L1898" s="25" t="s">
        <v>68</v>
      </c>
      <c r="M1898" t="s">
        <v>26</v>
      </c>
      <c r="N1898" t="s">
        <v>26</v>
      </c>
      <c r="O1898" t="s">
        <v>26</v>
      </c>
      <c r="P1898" s="24">
        <v>36192</v>
      </c>
      <c r="Q1898" s="24">
        <v>40878</v>
      </c>
      <c r="R1898" t="s">
        <v>26</v>
      </c>
      <c r="S1898" t="s">
        <v>26</v>
      </c>
      <c r="T1898" t="s">
        <v>26</v>
      </c>
      <c r="U1898" t="s">
        <v>26</v>
      </c>
      <c r="V1898" t="s">
        <v>26</v>
      </c>
      <c r="W1898" s="24">
        <v>36192</v>
      </c>
      <c r="X1898" s="24">
        <v>40878</v>
      </c>
      <c r="Y1898" t="s">
        <v>26</v>
      </c>
      <c r="Z1898" s="24">
        <v>36192</v>
      </c>
      <c r="AA1898" s="24">
        <v>40878</v>
      </c>
      <c r="AB1898" t="s">
        <v>26</v>
      </c>
      <c r="AC1898" s="24">
        <v>36192</v>
      </c>
      <c r="AD1898" s="24">
        <v>40878</v>
      </c>
      <c r="AE1898" t="s">
        <v>26</v>
      </c>
      <c r="AF1898" t="s">
        <v>26</v>
      </c>
      <c r="AG1898" t="s">
        <v>26</v>
      </c>
      <c r="AH1898" t="s">
        <v>26</v>
      </c>
      <c r="AI1898" t="s">
        <v>26</v>
      </c>
      <c r="AJ1898" t="s">
        <v>26</v>
      </c>
      <c r="AK1898" t="s">
        <v>26</v>
      </c>
      <c r="AL1898" t="s">
        <v>26</v>
      </c>
      <c r="AM1898" t="s">
        <v>26</v>
      </c>
      <c r="AN1898" t="s">
        <v>26</v>
      </c>
      <c r="AO1898" s="25" t="s">
        <v>68</v>
      </c>
      <c r="AP1898" s="23" t="s">
        <v>69</v>
      </c>
      <c r="AQ1898" s="23" t="s">
        <v>30</v>
      </c>
      <c r="AR1898" s="23" t="s">
        <v>650</v>
      </c>
      <c r="AS1898" s="25">
        <v>48067</v>
      </c>
      <c r="AT1898" t="s">
        <v>26</v>
      </c>
      <c r="AU1898" t="s">
        <v>24721</v>
      </c>
    </row>
    <row r="1899" spans="1:47" ht="26.25" x14ac:dyDescent="0.4">
      <c r="A1899" s="23" t="s">
        <v>5066</v>
      </c>
      <c r="B1899" t="s">
        <v>26</v>
      </c>
      <c r="C1899" s="23" t="s">
        <v>264</v>
      </c>
      <c r="D1899" s="23" t="s">
        <v>23125</v>
      </c>
      <c r="E1899" s="23" t="s">
        <v>60</v>
      </c>
      <c r="F1899" s="25" t="s">
        <v>5067</v>
      </c>
      <c r="G1899" s="25" t="s">
        <v>5068</v>
      </c>
      <c r="H1899" t="s">
        <v>26</v>
      </c>
      <c r="I1899" s="24">
        <v>33604</v>
      </c>
      <c r="J1899" s="25" t="s">
        <v>77</v>
      </c>
      <c r="K1899" t="s">
        <v>26</v>
      </c>
      <c r="L1899" s="25" t="s">
        <v>68</v>
      </c>
      <c r="M1899" s="24">
        <v>33604</v>
      </c>
      <c r="N1899" s="25" t="s">
        <v>77</v>
      </c>
      <c r="O1899" t="s">
        <v>26</v>
      </c>
      <c r="P1899" s="24">
        <v>33604</v>
      </c>
      <c r="Q1899" s="25" t="s">
        <v>77</v>
      </c>
      <c r="R1899" s="25" t="s">
        <v>24722</v>
      </c>
      <c r="S1899" t="s">
        <v>26</v>
      </c>
      <c r="T1899" t="s">
        <v>26</v>
      </c>
      <c r="U1899" t="s">
        <v>26</v>
      </c>
      <c r="V1899" s="25">
        <v>365</v>
      </c>
      <c r="W1899" s="24">
        <v>30317</v>
      </c>
      <c r="X1899" s="25" t="s">
        <v>77</v>
      </c>
      <c r="Y1899" t="s">
        <v>26</v>
      </c>
      <c r="Z1899" s="24">
        <v>30317</v>
      </c>
      <c r="AA1899" s="25" t="s">
        <v>77</v>
      </c>
      <c r="AB1899" t="s">
        <v>26</v>
      </c>
      <c r="AC1899" s="24">
        <v>30317</v>
      </c>
      <c r="AD1899" s="25" t="s">
        <v>77</v>
      </c>
      <c r="AE1899" t="s">
        <v>26</v>
      </c>
      <c r="AF1899" t="s">
        <v>26</v>
      </c>
      <c r="AG1899" t="s">
        <v>26</v>
      </c>
      <c r="AH1899" t="s">
        <v>26</v>
      </c>
      <c r="AI1899" t="s">
        <v>26</v>
      </c>
      <c r="AJ1899" t="s">
        <v>26</v>
      </c>
      <c r="AK1899" t="s">
        <v>26</v>
      </c>
      <c r="AL1899" t="s">
        <v>26</v>
      </c>
      <c r="AM1899" t="s">
        <v>26</v>
      </c>
      <c r="AN1899" t="s">
        <v>26</v>
      </c>
      <c r="AO1899" s="25" t="s">
        <v>68</v>
      </c>
      <c r="AP1899" s="23" t="s">
        <v>69</v>
      </c>
      <c r="AQ1899" s="23" t="s">
        <v>30</v>
      </c>
      <c r="AR1899" s="23" t="s">
        <v>128</v>
      </c>
      <c r="AS1899" s="25">
        <v>37097</v>
      </c>
      <c r="AT1899" t="s">
        <v>26</v>
      </c>
      <c r="AU1899" t="s">
        <v>24723</v>
      </c>
    </row>
    <row r="1900" spans="1:47" ht="13.15" x14ac:dyDescent="0.4">
      <c r="A1900" s="23" t="s">
        <v>5069</v>
      </c>
      <c r="B1900" t="s">
        <v>26</v>
      </c>
      <c r="C1900" s="23" t="s">
        <v>2249</v>
      </c>
      <c r="D1900" s="23" t="s">
        <v>22339</v>
      </c>
      <c r="E1900" s="23" t="s">
        <v>335</v>
      </c>
      <c r="F1900" s="25" t="s">
        <v>5070</v>
      </c>
      <c r="G1900" t="s">
        <v>26</v>
      </c>
      <c r="H1900" t="s">
        <v>26</v>
      </c>
      <c r="I1900" s="24">
        <v>32082</v>
      </c>
      <c r="J1900" s="25" t="s">
        <v>77</v>
      </c>
      <c r="K1900" t="s">
        <v>26</v>
      </c>
      <c r="L1900" s="25" t="s">
        <v>28</v>
      </c>
      <c r="M1900" s="24">
        <v>33239</v>
      </c>
      <c r="N1900" s="25" t="s">
        <v>77</v>
      </c>
      <c r="O1900" t="s">
        <v>26</v>
      </c>
      <c r="P1900" s="24">
        <v>32082</v>
      </c>
      <c r="Q1900" s="25" t="s">
        <v>77</v>
      </c>
      <c r="R1900" t="s">
        <v>26</v>
      </c>
      <c r="S1900" t="s">
        <v>26</v>
      </c>
      <c r="T1900" t="s">
        <v>26</v>
      </c>
      <c r="U1900" t="s">
        <v>26</v>
      </c>
      <c r="V1900" t="s">
        <v>26</v>
      </c>
      <c r="W1900" s="24">
        <v>32082</v>
      </c>
      <c r="X1900" s="25" t="s">
        <v>77</v>
      </c>
      <c r="Y1900" t="s">
        <v>26</v>
      </c>
      <c r="Z1900" s="24">
        <v>32082</v>
      </c>
      <c r="AA1900" s="25" t="s">
        <v>77</v>
      </c>
      <c r="AB1900" t="s">
        <v>26</v>
      </c>
      <c r="AC1900" s="24">
        <v>32082</v>
      </c>
      <c r="AD1900" s="25" t="s">
        <v>77</v>
      </c>
      <c r="AE1900" t="s">
        <v>26</v>
      </c>
      <c r="AF1900" t="s">
        <v>26</v>
      </c>
      <c r="AG1900" t="s">
        <v>26</v>
      </c>
      <c r="AH1900" t="s">
        <v>26</v>
      </c>
      <c r="AI1900" t="s">
        <v>26</v>
      </c>
      <c r="AJ1900" t="s">
        <v>26</v>
      </c>
      <c r="AK1900" t="s">
        <v>26</v>
      </c>
      <c r="AL1900" t="s">
        <v>26</v>
      </c>
      <c r="AM1900" t="s">
        <v>26</v>
      </c>
      <c r="AN1900" t="s">
        <v>26</v>
      </c>
      <c r="AO1900" s="25" t="s">
        <v>28</v>
      </c>
      <c r="AP1900" s="23" t="s">
        <v>211</v>
      </c>
      <c r="AQ1900" t="s">
        <v>26</v>
      </c>
      <c r="AR1900" s="23" t="s">
        <v>5071</v>
      </c>
      <c r="AS1900" s="25">
        <v>29523</v>
      </c>
      <c r="AT1900" t="s">
        <v>26</v>
      </c>
      <c r="AU1900" t="s">
        <v>24724</v>
      </c>
    </row>
    <row r="1901" spans="1:47" ht="26.25" x14ac:dyDescent="0.4">
      <c r="A1901" s="23" t="s">
        <v>5072</v>
      </c>
      <c r="B1901" t="s">
        <v>26</v>
      </c>
      <c r="C1901" s="23" t="s">
        <v>59</v>
      </c>
      <c r="D1901" s="23" t="s">
        <v>22174</v>
      </c>
      <c r="E1901" s="23" t="s">
        <v>60</v>
      </c>
      <c r="F1901" t="s">
        <v>26</v>
      </c>
      <c r="G1901" t="s">
        <v>26</v>
      </c>
      <c r="H1901" s="25" t="s">
        <v>5073</v>
      </c>
      <c r="I1901" s="24">
        <v>41640</v>
      </c>
      <c r="J1901" s="24">
        <v>41640</v>
      </c>
      <c r="K1901" t="s">
        <v>26</v>
      </c>
      <c r="L1901" s="25" t="s">
        <v>28</v>
      </c>
      <c r="M1901" s="24">
        <v>41640</v>
      </c>
      <c r="N1901" s="24">
        <v>41640</v>
      </c>
      <c r="O1901" t="s">
        <v>26</v>
      </c>
      <c r="P1901" s="24">
        <v>41640</v>
      </c>
      <c r="Q1901" s="24">
        <v>41640</v>
      </c>
      <c r="R1901" t="s">
        <v>26</v>
      </c>
      <c r="S1901" t="s">
        <v>26</v>
      </c>
      <c r="T1901" t="s">
        <v>26</v>
      </c>
      <c r="U1901" t="s">
        <v>26</v>
      </c>
      <c r="V1901" t="s">
        <v>26</v>
      </c>
      <c r="W1901" s="24">
        <v>41640</v>
      </c>
      <c r="X1901" s="24">
        <v>41640</v>
      </c>
      <c r="Y1901" t="s">
        <v>26</v>
      </c>
      <c r="Z1901" s="24">
        <v>41640</v>
      </c>
      <c r="AA1901" s="24">
        <v>41640</v>
      </c>
      <c r="AB1901" t="s">
        <v>26</v>
      </c>
      <c r="AC1901" s="24">
        <v>41640</v>
      </c>
      <c r="AD1901" s="24">
        <v>41640</v>
      </c>
      <c r="AE1901" t="s">
        <v>26</v>
      </c>
      <c r="AF1901" t="s">
        <v>26</v>
      </c>
      <c r="AG1901" t="s">
        <v>26</v>
      </c>
      <c r="AH1901" t="s">
        <v>26</v>
      </c>
      <c r="AI1901" t="s">
        <v>26</v>
      </c>
      <c r="AJ1901" t="s">
        <v>26</v>
      </c>
      <c r="AK1901" t="s">
        <v>26</v>
      </c>
      <c r="AL1901" t="s">
        <v>26</v>
      </c>
      <c r="AM1901" t="s">
        <v>26</v>
      </c>
      <c r="AN1901" t="s">
        <v>26</v>
      </c>
      <c r="AO1901" s="25" t="s">
        <v>28</v>
      </c>
      <c r="AP1901" s="23" t="s">
        <v>29</v>
      </c>
      <c r="AQ1901" s="23" t="s">
        <v>30</v>
      </c>
      <c r="AR1901" t="s">
        <v>26</v>
      </c>
      <c r="AS1901" s="25">
        <v>2043180</v>
      </c>
      <c r="AT1901" t="s">
        <v>26</v>
      </c>
      <c r="AU1901" t="s">
        <v>24725</v>
      </c>
    </row>
    <row r="1902" spans="1:47" ht="26.25" x14ac:dyDescent="0.4">
      <c r="A1902" s="23" t="s">
        <v>5074</v>
      </c>
      <c r="B1902" t="s">
        <v>26</v>
      </c>
      <c r="C1902" s="23" t="s">
        <v>176</v>
      </c>
      <c r="D1902" s="23" t="s">
        <v>22242</v>
      </c>
      <c r="E1902" s="23" t="s">
        <v>60</v>
      </c>
      <c r="F1902" s="25" t="s">
        <v>5075</v>
      </c>
      <c r="G1902" s="25" t="s">
        <v>5076</v>
      </c>
      <c r="H1902" t="s">
        <v>26</v>
      </c>
      <c r="I1902" t="s">
        <v>26</v>
      </c>
      <c r="J1902" t="s">
        <v>26</v>
      </c>
      <c r="K1902" t="s">
        <v>26</v>
      </c>
      <c r="L1902" s="25" t="s">
        <v>68</v>
      </c>
      <c r="M1902" t="s">
        <v>26</v>
      </c>
      <c r="N1902" t="s">
        <v>26</v>
      </c>
      <c r="O1902" t="s">
        <v>26</v>
      </c>
      <c r="P1902" t="s">
        <v>26</v>
      </c>
      <c r="Q1902" t="s">
        <v>26</v>
      </c>
      <c r="R1902" t="s">
        <v>26</v>
      </c>
      <c r="S1902" t="s">
        <v>26</v>
      </c>
      <c r="T1902" t="s">
        <v>26</v>
      </c>
      <c r="U1902" t="s">
        <v>26</v>
      </c>
      <c r="V1902" t="s">
        <v>26</v>
      </c>
      <c r="W1902" s="24">
        <v>35431</v>
      </c>
      <c r="X1902" s="24">
        <v>44652</v>
      </c>
      <c r="Y1902" t="s">
        <v>26</v>
      </c>
      <c r="Z1902" s="24">
        <v>35431</v>
      </c>
      <c r="AA1902" s="24">
        <v>44652</v>
      </c>
      <c r="AB1902" t="s">
        <v>26</v>
      </c>
      <c r="AC1902" s="24">
        <v>35431</v>
      </c>
      <c r="AD1902" s="24">
        <v>44652</v>
      </c>
      <c r="AE1902" t="s">
        <v>26</v>
      </c>
      <c r="AF1902" t="s">
        <v>26</v>
      </c>
      <c r="AG1902" t="s">
        <v>26</v>
      </c>
      <c r="AH1902" t="s">
        <v>26</v>
      </c>
      <c r="AI1902" t="s">
        <v>26</v>
      </c>
      <c r="AJ1902" t="s">
        <v>26</v>
      </c>
      <c r="AK1902" t="s">
        <v>26</v>
      </c>
      <c r="AL1902" t="s">
        <v>26</v>
      </c>
      <c r="AM1902" t="s">
        <v>26</v>
      </c>
      <c r="AN1902" t="s">
        <v>26</v>
      </c>
      <c r="AO1902" s="25" t="s">
        <v>68</v>
      </c>
      <c r="AP1902" s="23" t="s">
        <v>69</v>
      </c>
      <c r="AQ1902" s="23" t="s">
        <v>30</v>
      </c>
      <c r="AR1902" s="23" t="s">
        <v>5077</v>
      </c>
      <c r="AS1902" s="25">
        <v>31730</v>
      </c>
      <c r="AT1902" t="s">
        <v>26</v>
      </c>
      <c r="AU1902" t="s">
        <v>24726</v>
      </c>
    </row>
    <row r="1903" spans="1:47" ht="26.25" x14ac:dyDescent="0.4">
      <c r="A1903" s="23" t="s">
        <v>5078</v>
      </c>
      <c r="B1903" t="s">
        <v>26</v>
      </c>
      <c r="C1903" s="23" t="s">
        <v>59</v>
      </c>
      <c r="D1903" s="23" t="s">
        <v>22174</v>
      </c>
      <c r="E1903" s="23" t="s">
        <v>60</v>
      </c>
      <c r="F1903" t="s">
        <v>26</v>
      </c>
      <c r="G1903" t="s">
        <v>26</v>
      </c>
      <c r="H1903" s="25" t="s">
        <v>5079</v>
      </c>
      <c r="I1903" s="24">
        <v>38718</v>
      </c>
      <c r="J1903" s="24">
        <v>38718</v>
      </c>
      <c r="K1903" t="s">
        <v>26</v>
      </c>
      <c r="L1903" s="25" t="s">
        <v>28</v>
      </c>
      <c r="M1903" s="24">
        <v>38718</v>
      </c>
      <c r="N1903" s="24">
        <v>38718</v>
      </c>
      <c r="O1903" t="s">
        <v>26</v>
      </c>
      <c r="P1903" s="24">
        <v>38718</v>
      </c>
      <c r="Q1903" s="24">
        <v>38718</v>
      </c>
      <c r="R1903" t="s">
        <v>26</v>
      </c>
      <c r="S1903" t="s">
        <v>26</v>
      </c>
      <c r="T1903" t="s">
        <v>26</v>
      </c>
      <c r="U1903" t="s">
        <v>26</v>
      </c>
      <c r="V1903" t="s">
        <v>26</v>
      </c>
      <c r="W1903" s="24">
        <v>38718</v>
      </c>
      <c r="X1903" s="24">
        <v>38718</v>
      </c>
      <c r="Y1903" t="s">
        <v>26</v>
      </c>
      <c r="Z1903" s="24">
        <v>38718</v>
      </c>
      <c r="AA1903" s="24">
        <v>38718</v>
      </c>
      <c r="AB1903" t="s">
        <v>26</v>
      </c>
      <c r="AC1903" s="24">
        <v>38718</v>
      </c>
      <c r="AD1903" s="24">
        <v>38718</v>
      </c>
      <c r="AE1903" t="s">
        <v>26</v>
      </c>
      <c r="AF1903" t="s">
        <v>26</v>
      </c>
      <c r="AG1903" t="s">
        <v>26</v>
      </c>
      <c r="AH1903" t="s">
        <v>26</v>
      </c>
      <c r="AI1903" t="s">
        <v>26</v>
      </c>
      <c r="AJ1903" t="s">
        <v>26</v>
      </c>
      <c r="AK1903" t="s">
        <v>26</v>
      </c>
      <c r="AL1903" t="s">
        <v>26</v>
      </c>
      <c r="AM1903" t="s">
        <v>26</v>
      </c>
      <c r="AN1903" t="s">
        <v>26</v>
      </c>
      <c r="AO1903" s="25" t="s">
        <v>28</v>
      </c>
      <c r="AP1903" s="23" t="s">
        <v>29</v>
      </c>
      <c r="AQ1903" s="23" t="s">
        <v>30</v>
      </c>
      <c r="AR1903" s="23" t="s">
        <v>5080</v>
      </c>
      <c r="AS1903" s="25">
        <v>105921</v>
      </c>
      <c r="AT1903" t="s">
        <v>26</v>
      </c>
      <c r="AU1903" t="s">
        <v>24727</v>
      </c>
    </row>
    <row r="1904" spans="1:47" ht="26.25" x14ac:dyDescent="0.4">
      <c r="A1904" s="23" t="s">
        <v>5081</v>
      </c>
      <c r="B1904" t="s">
        <v>26</v>
      </c>
      <c r="C1904" s="23" t="s">
        <v>146</v>
      </c>
      <c r="D1904" s="23" t="s">
        <v>22174</v>
      </c>
      <c r="E1904" s="23" t="s">
        <v>60</v>
      </c>
      <c r="F1904" t="s">
        <v>26</v>
      </c>
      <c r="G1904" t="s">
        <v>26</v>
      </c>
      <c r="H1904" t="s">
        <v>26</v>
      </c>
      <c r="I1904" t="s">
        <v>26</v>
      </c>
      <c r="J1904" t="s">
        <v>26</v>
      </c>
      <c r="K1904" t="s">
        <v>26</v>
      </c>
      <c r="L1904" s="25" t="s">
        <v>28</v>
      </c>
      <c r="M1904" t="s">
        <v>26</v>
      </c>
      <c r="N1904" t="s">
        <v>26</v>
      </c>
      <c r="O1904" t="s">
        <v>26</v>
      </c>
      <c r="P1904" t="s">
        <v>26</v>
      </c>
      <c r="Q1904" t="s">
        <v>26</v>
      </c>
      <c r="R1904" t="s">
        <v>26</v>
      </c>
      <c r="S1904" t="s">
        <v>26</v>
      </c>
      <c r="T1904" t="s">
        <v>26</v>
      </c>
      <c r="U1904" t="s">
        <v>26</v>
      </c>
      <c r="V1904" t="s">
        <v>26</v>
      </c>
      <c r="W1904" s="24">
        <v>42005</v>
      </c>
      <c r="X1904" s="24">
        <v>42005</v>
      </c>
      <c r="Y1904" t="s">
        <v>26</v>
      </c>
      <c r="Z1904" s="24">
        <v>42005</v>
      </c>
      <c r="AA1904" s="24">
        <v>42005</v>
      </c>
      <c r="AB1904" t="s">
        <v>26</v>
      </c>
      <c r="AC1904" t="s">
        <v>26</v>
      </c>
      <c r="AD1904" t="s">
        <v>26</v>
      </c>
      <c r="AE1904" t="s">
        <v>26</v>
      </c>
      <c r="AF1904" t="s">
        <v>26</v>
      </c>
      <c r="AG1904" t="s">
        <v>26</v>
      </c>
      <c r="AH1904" t="s">
        <v>26</v>
      </c>
      <c r="AI1904" t="s">
        <v>26</v>
      </c>
      <c r="AJ1904" t="s">
        <v>26</v>
      </c>
      <c r="AK1904" t="s">
        <v>26</v>
      </c>
      <c r="AL1904" t="s">
        <v>26</v>
      </c>
      <c r="AM1904" t="s">
        <v>26</v>
      </c>
      <c r="AN1904" t="s">
        <v>26</v>
      </c>
      <c r="AO1904" s="25" t="s">
        <v>28</v>
      </c>
      <c r="AP1904" s="23" t="s">
        <v>29</v>
      </c>
      <c r="AQ1904" s="23" t="s">
        <v>30</v>
      </c>
      <c r="AR1904" s="23" t="s">
        <v>147</v>
      </c>
      <c r="AS1904" s="25">
        <v>5483609</v>
      </c>
      <c r="AT1904" s="23" t="s">
        <v>22181</v>
      </c>
      <c r="AU1904" t="s">
        <v>24728</v>
      </c>
    </row>
    <row r="1905" spans="1:47" ht="26.25" x14ac:dyDescent="0.4">
      <c r="A1905" s="23" t="s">
        <v>5082</v>
      </c>
      <c r="B1905" t="s">
        <v>26</v>
      </c>
      <c r="C1905" t="s">
        <v>26</v>
      </c>
      <c r="D1905" s="23" t="s">
        <v>24729</v>
      </c>
      <c r="E1905" t="s">
        <v>26</v>
      </c>
      <c r="F1905" t="s">
        <v>26</v>
      </c>
      <c r="G1905" t="s">
        <v>26</v>
      </c>
      <c r="H1905" t="s">
        <v>26</v>
      </c>
      <c r="I1905" s="24">
        <v>39448</v>
      </c>
      <c r="J1905" s="24">
        <v>39448</v>
      </c>
      <c r="K1905" t="s">
        <v>26</v>
      </c>
      <c r="L1905" s="25" t="s">
        <v>28</v>
      </c>
      <c r="M1905" s="24">
        <v>39448</v>
      </c>
      <c r="N1905" s="24">
        <v>39448</v>
      </c>
      <c r="O1905" t="s">
        <v>26</v>
      </c>
      <c r="P1905" t="s">
        <v>26</v>
      </c>
      <c r="Q1905" t="s">
        <v>26</v>
      </c>
      <c r="R1905" t="s">
        <v>26</v>
      </c>
      <c r="S1905" s="24">
        <v>39448</v>
      </c>
      <c r="T1905" s="24">
        <v>39448</v>
      </c>
      <c r="U1905" t="s">
        <v>26</v>
      </c>
      <c r="V1905" t="s">
        <v>26</v>
      </c>
      <c r="W1905" s="24">
        <v>39448</v>
      </c>
      <c r="X1905" s="24">
        <v>39448</v>
      </c>
      <c r="Y1905" t="s">
        <v>26</v>
      </c>
      <c r="Z1905" s="24">
        <v>39448</v>
      </c>
      <c r="AA1905" s="24">
        <v>39448</v>
      </c>
      <c r="AB1905" t="s">
        <v>26</v>
      </c>
      <c r="AC1905" s="24">
        <v>39448</v>
      </c>
      <c r="AD1905" s="24">
        <v>39448</v>
      </c>
      <c r="AE1905" t="s">
        <v>26</v>
      </c>
      <c r="AF1905" s="24">
        <v>39448</v>
      </c>
      <c r="AG1905" s="24">
        <v>39448</v>
      </c>
      <c r="AH1905" t="s">
        <v>26</v>
      </c>
      <c r="AI1905" s="24">
        <v>39448</v>
      </c>
      <c r="AJ1905" s="24">
        <v>39448</v>
      </c>
      <c r="AK1905" t="s">
        <v>26</v>
      </c>
      <c r="AL1905" t="s">
        <v>26</v>
      </c>
      <c r="AM1905" t="s">
        <v>26</v>
      </c>
      <c r="AN1905" t="s">
        <v>26</v>
      </c>
      <c r="AO1905" s="25" t="s">
        <v>28</v>
      </c>
      <c r="AP1905" s="23" t="s">
        <v>43</v>
      </c>
      <c r="AQ1905" s="23" t="s">
        <v>30</v>
      </c>
      <c r="AR1905" s="23" t="s">
        <v>46</v>
      </c>
      <c r="AS1905" s="25">
        <v>6362725</v>
      </c>
      <c r="AT1905" t="s">
        <v>26</v>
      </c>
      <c r="AU1905" t="s">
        <v>24730</v>
      </c>
    </row>
    <row r="1906" spans="1:47" ht="26.25" x14ac:dyDescent="0.4">
      <c r="A1906" s="23" t="s">
        <v>5083</v>
      </c>
      <c r="B1906" t="s">
        <v>26</v>
      </c>
      <c r="C1906" s="23" t="s">
        <v>73</v>
      </c>
      <c r="D1906" s="23" t="s">
        <v>22179</v>
      </c>
      <c r="E1906" s="23" t="s">
        <v>74</v>
      </c>
      <c r="F1906" s="25" t="s">
        <v>5084</v>
      </c>
      <c r="G1906" s="25" t="s">
        <v>5085</v>
      </c>
      <c r="H1906" t="s">
        <v>26</v>
      </c>
      <c r="I1906" s="24">
        <v>40603</v>
      </c>
      <c r="J1906" s="25" t="s">
        <v>77</v>
      </c>
      <c r="K1906" s="25" t="s">
        <v>5086</v>
      </c>
      <c r="L1906" s="25" t="s">
        <v>68</v>
      </c>
      <c r="M1906" s="24">
        <v>40603</v>
      </c>
      <c r="N1906" s="24">
        <v>41791</v>
      </c>
      <c r="O1906" t="s">
        <v>26</v>
      </c>
      <c r="P1906" s="24">
        <v>40603</v>
      </c>
      <c r="Q1906" s="25" t="s">
        <v>77</v>
      </c>
      <c r="R1906" s="25" t="s">
        <v>5086</v>
      </c>
      <c r="S1906" t="s">
        <v>26</v>
      </c>
      <c r="T1906" t="s">
        <v>26</v>
      </c>
      <c r="U1906" t="s">
        <v>26</v>
      </c>
      <c r="V1906" s="25">
        <v>365</v>
      </c>
      <c r="W1906" s="24">
        <v>40391</v>
      </c>
      <c r="X1906" s="25" t="s">
        <v>77</v>
      </c>
      <c r="Y1906" t="s">
        <v>26</v>
      </c>
      <c r="Z1906" s="24">
        <v>40391</v>
      </c>
      <c r="AA1906" s="25" t="s">
        <v>77</v>
      </c>
      <c r="AB1906" t="s">
        <v>26</v>
      </c>
      <c r="AC1906" s="24">
        <v>40603</v>
      </c>
      <c r="AD1906" s="25" t="s">
        <v>77</v>
      </c>
      <c r="AE1906" t="s">
        <v>26</v>
      </c>
      <c r="AF1906" t="s">
        <v>26</v>
      </c>
      <c r="AG1906" t="s">
        <v>26</v>
      </c>
      <c r="AH1906" t="s">
        <v>26</v>
      </c>
      <c r="AI1906" t="s">
        <v>26</v>
      </c>
      <c r="AJ1906" t="s">
        <v>26</v>
      </c>
      <c r="AK1906" t="s">
        <v>26</v>
      </c>
      <c r="AL1906" t="s">
        <v>26</v>
      </c>
      <c r="AM1906" t="s">
        <v>26</v>
      </c>
      <c r="AN1906" t="s">
        <v>26</v>
      </c>
      <c r="AO1906" s="25" t="s">
        <v>68</v>
      </c>
      <c r="AP1906" s="23" t="s">
        <v>69</v>
      </c>
      <c r="AQ1906" s="23" t="s">
        <v>30</v>
      </c>
      <c r="AR1906" s="23" t="s">
        <v>46</v>
      </c>
      <c r="AS1906" s="25">
        <v>976353</v>
      </c>
      <c r="AT1906" t="s">
        <v>26</v>
      </c>
      <c r="AU1906" t="s">
        <v>24731</v>
      </c>
    </row>
    <row r="1907" spans="1:47" ht="26.25" x14ac:dyDescent="0.4">
      <c r="A1907" s="23" t="s">
        <v>5087</v>
      </c>
      <c r="B1907" t="s">
        <v>26</v>
      </c>
      <c r="C1907" s="23" t="s">
        <v>941</v>
      </c>
      <c r="D1907" s="23" t="s">
        <v>22579</v>
      </c>
      <c r="E1907" s="23" t="s">
        <v>42</v>
      </c>
      <c r="F1907" s="25" t="s">
        <v>5084</v>
      </c>
      <c r="G1907" s="25" t="s">
        <v>5085</v>
      </c>
      <c r="H1907" t="s">
        <v>26</v>
      </c>
      <c r="I1907" s="24">
        <v>38292</v>
      </c>
      <c r="J1907" s="24">
        <v>40483</v>
      </c>
      <c r="K1907" t="s">
        <v>26</v>
      </c>
      <c r="L1907" s="25" t="s">
        <v>68</v>
      </c>
      <c r="M1907" s="24">
        <v>38292</v>
      </c>
      <c r="N1907" s="24">
        <v>40483</v>
      </c>
      <c r="O1907" t="s">
        <v>26</v>
      </c>
      <c r="P1907" s="24">
        <v>38292</v>
      </c>
      <c r="Q1907" s="24">
        <v>40483</v>
      </c>
      <c r="R1907" t="s">
        <v>26</v>
      </c>
      <c r="S1907" t="s">
        <v>26</v>
      </c>
      <c r="T1907" t="s">
        <v>26</v>
      </c>
      <c r="U1907" t="s">
        <v>26</v>
      </c>
      <c r="V1907" t="s">
        <v>26</v>
      </c>
      <c r="W1907" s="24">
        <v>32540</v>
      </c>
      <c r="X1907" s="24">
        <v>40483</v>
      </c>
      <c r="Y1907" t="s">
        <v>26</v>
      </c>
      <c r="Z1907" s="24">
        <v>32540</v>
      </c>
      <c r="AA1907" s="24">
        <v>40483</v>
      </c>
      <c r="AB1907" t="s">
        <v>26</v>
      </c>
      <c r="AC1907" s="24">
        <v>32540</v>
      </c>
      <c r="AD1907" s="24">
        <v>40483</v>
      </c>
      <c r="AE1907" t="s">
        <v>26</v>
      </c>
      <c r="AF1907" t="s">
        <v>26</v>
      </c>
      <c r="AG1907" t="s">
        <v>26</v>
      </c>
      <c r="AH1907" t="s">
        <v>26</v>
      </c>
      <c r="AI1907" t="s">
        <v>26</v>
      </c>
      <c r="AJ1907" t="s">
        <v>26</v>
      </c>
      <c r="AK1907" t="s">
        <v>26</v>
      </c>
      <c r="AL1907" t="s">
        <v>26</v>
      </c>
      <c r="AM1907" t="s">
        <v>26</v>
      </c>
      <c r="AN1907" t="s">
        <v>26</v>
      </c>
      <c r="AO1907" s="25" t="s">
        <v>68</v>
      </c>
      <c r="AP1907" s="23" t="s">
        <v>69</v>
      </c>
      <c r="AQ1907" s="23" t="s">
        <v>30</v>
      </c>
      <c r="AR1907" s="23" t="s">
        <v>46</v>
      </c>
      <c r="AS1907" s="25">
        <v>44122</v>
      </c>
      <c r="AT1907" t="s">
        <v>26</v>
      </c>
      <c r="AU1907" t="s">
        <v>24732</v>
      </c>
    </row>
    <row r="1908" spans="1:47" ht="26.25" x14ac:dyDescent="0.4">
      <c r="A1908" s="23" t="s">
        <v>5088</v>
      </c>
      <c r="B1908" t="s">
        <v>26</v>
      </c>
      <c r="C1908" s="23" t="s">
        <v>5089</v>
      </c>
      <c r="D1908" s="23" t="s">
        <v>22174</v>
      </c>
      <c r="E1908" s="23" t="s">
        <v>60</v>
      </c>
      <c r="F1908" s="25" t="s">
        <v>5090</v>
      </c>
      <c r="G1908" s="25" t="s">
        <v>5091</v>
      </c>
      <c r="H1908" t="s">
        <v>26</v>
      </c>
      <c r="I1908" s="24">
        <v>41671</v>
      </c>
      <c r="J1908" s="24">
        <v>44287</v>
      </c>
      <c r="K1908" t="s">
        <v>26</v>
      </c>
      <c r="L1908" s="25" t="s">
        <v>68</v>
      </c>
      <c r="M1908" s="24">
        <v>41671</v>
      </c>
      <c r="N1908" s="24">
        <v>44287</v>
      </c>
      <c r="O1908" t="s">
        <v>26</v>
      </c>
      <c r="P1908" s="24">
        <v>41671</v>
      </c>
      <c r="Q1908" s="24">
        <v>44287</v>
      </c>
      <c r="R1908" t="s">
        <v>26</v>
      </c>
      <c r="S1908" t="s">
        <v>26</v>
      </c>
      <c r="T1908" t="s">
        <v>26</v>
      </c>
      <c r="U1908" t="s">
        <v>26</v>
      </c>
      <c r="V1908" t="s">
        <v>26</v>
      </c>
      <c r="W1908" s="24">
        <v>41579</v>
      </c>
      <c r="X1908" s="25" t="s">
        <v>77</v>
      </c>
      <c r="Y1908" t="s">
        <v>26</v>
      </c>
      <c r="Z1908" s="24">
        <v>41579</v>
      </c>
      <c r="AA1908" s="25" t="s">
        <v>77</v>
      </c>
      <c r="AB1908" t="s">
        <v>26</v>
      </c>
      <c r="AC1908" s="24">
        <v>41671</v>
      </c>
      <c r="AD1908" s="25" t="s">
        <v>77</v>
      </c>
      <c r="AE1908" t="s">
        <v>26</v>
      </c>
      <c r="AF1908" t="s">
        <v>26</v>
      </c>
      <c r="AG1908" t="s">
        <v>26</v>
      </c>
      <c r="AH1908" t="s">
        <v>26</v>
      </c>
      <c r="AI1908" t="s">
        <v>26</v>
      </c>
      <c r="AJ1908" t="s">
        <v>26</v>
      </c>
      <c r="AK1908" t="s">
        <v>26</v>
      </c>
      <c r="AL1908" t="s">
        <v>26</v>
      </c>
      <c r="AM1908" t="s">
        <v>26</v>
      </c>
      <c r="AN1908" t="s">
        <v>26</v>
      </c>
      <c r="AO1908" s="25" t="s">
        <v>68</v>
      </c>
      <c r="AP1908" s="23" t="s">
        <v>69</v>
      </c>
      <c r="AQ1908" s="23" t="s">
        <v>30</v>
      </c>
      <c r="AR1908" s="23" t="s">
        <v>3451</v>
      </c>
      <c r="AS1908" s="25">
        <v>2042235</v>
      </c>
      <c r="AT1908" t="s">
        <v>26</v>
      </c>
      <c r="AU1908" t="s">
        <v>24733</v>
      </c>
    </row>
    <row r="1909" spans="1:47" ht="26.25" x14ac:dyDescent="0.4">
      <c r="A1909" s="23" t="s">
        <v>5092</v>
      </c>
      <c r="B1909" t="s">
        <v>26</v>
      </c>
      <c r="C1909" s="23" t="s">
        <v>5089</v>
      </c>
      <c r="D1909" s="23" t="s">
        <v>22174</v>
      </c>
      <c r="E1909" s="23" t="s">
        <v>60</v>
      </c>
      <c r="F1909" s="25" t="s">
        <v>5090</v>
      </c>
      <c r="G1909" s="25" t="s">
        <v>5091</v>
      </c>
      <c r="H1909" t="s">
        <v>26</v>
      </c>
      <c r="I1909" s="24">
        <v>39052</v>
      </c>
      <c r="J1909" s="24">
        <v>41579</v>
      </c>
      <c r="K1909" t="s">
        <v>26</v>
      </c>
      <c r="L1909" s="25" t="s">
        <v>68</v>
      </c>
      <c r="M1909" s="24">
        <v>39052</v>
      </c>
      <c r="N1909" s="24">
        <v>41579</v>
      </c>
      <c r="O1909" t="s">
        <v>26</v>
      </c>
      <c r="P1909" s="24">
        <v>39052</v>
      </c>
      <c r="Q1909" s="24">
        <v>41579</v>
      </c>
      <c r="R1909" t="s">
        <v>26</v>
      </c>
      <c r="S1909" t="s">
        <v>26</v>
      </c>
      <c r="T1909" t="s">
        <v>26</v>
      </c>
      <c r="U1909" t="s">
        <v>26</v>
      </c>
      <c r="V1909" t="s">
        <v>26</v>
      </c>
      <c r="W1909" s="24">
        <v>35886</v>
      </c>
      <c r="X1909" s="24">
        <v>41579</v>
      </c>
      <c r="Y1909" t="s">
        <v>26</v>
      </c>
      <c r="Z1909" s="24">
        <v>35886</v>
      </c>
      <c r="AA1909" s="24">
        <v>41579</v>
      </c>
      <c r="AB1909" t="s">
        <v>26</v>
      </c>
      <c r="AC1909" s="24">
        <v>41548</v>
      </c>
      <c r="AD1909" s="24">
        <v>41579</v>
      </c>
      <c r="AE1909" t="s">
        <v>26</v>
      </c>
      <c r="AF1909" t="s">
        <v>26</v>
      </c>
      <c r="AG1909" t="s">
        <v>26</v>
      </c>
      <c r="AH1909" t="s">
        <v>26</v>
      </c>
      <c r="AI1909" t="s">
        <v>26</v>
      </c>
      <c r="AJ1909" t="s">
        <v>26</v>
      </c>
      <c r="AK1909" t="s">
        <v>26</v>
      </c>
      <c r="AL1909" t="s">
        <v>26</v>
      </c>
      <c r="AM1909" t="s">
        <v>26</v>
      </c>
      <c r="AN1909" t="s">
        <v>26</v>
      </c>
      <c r="AO1909" s="25" t="s">
        <v>68</v>
      </c>
      <c r="AP1909" s="23" t="s">
        <v>69</v>
      </c>
      <c r="AQ1909" s="23" t="s">
        <v>30</v>
      </c>
      <c r="AR1909" s="23" t="s">
        <v>3451</v>
      </c>
      <c r="AS1909" s="25">
        <v>44392</v>
      </c>
      <c r="AT1909" t="s">
        <v>26</v>
      </c>
      <c r="AU1909" t="s">
        <v>24734</v>
      </c>
    </row>
    <row r="1910" spans="1:47" ht="26.25" x14ac:dyDescent="0.4">
      <c r="A1910" s="23" t="s">
        <v>5093</v>
      </c>
      <c r="B1910" t="s">
        <v>26</v>
      </c>
      <c r="C1910" s="23" t="s">
        <v>107</v>
      </c>
      <c r="D1910" s="23" t="s">
        <v>24735</v>
      </c>
      <c r="E1910" s="23" t="s">
        <v>42</v>
      </c>
      <c r="F1910" s="25" t="s">
        <v>5094</v>
      </c>
      <c r="G1910" s="25" t="s">
        <v>5095</v>
      </c>
      <c r="H1910" t="s">
        <v>26</v>
      </c>
      <c r="I1910" s="24">
        <v>37622</v>
      </c>
      <c r="J1910" s="24">
        <v>40452</v>
      </c>
      <c r="K1910" t="s">
        <v>26</v>
      </c>
      <c r="L1910" s="25" t="s">
        <v>68</v>
      </c>
      <c r="M1910" s="24">
        <v>37622</v>
      </c>
      <c r="N1910" s="24">
        <v>40452</v>
      </c>
      <c r="O1910" t="s">
        <v>26</v>
      </c>
      <c r="P1910" s="24">
        <v>37622</v>
      </c>
      <c r="Q1910" s="24">
        <v>40452</v>
      </c>
      <c r="R1910" t="s">
        <v>26</v>
      </c>
      <c r="S1910" t="s">
        <v>26</v>
      </c>
      <c r="T1910" t="s">
        <v>26</v>
      </c>
      <c r="U1910" t="s">
        <v>26</v>
      </c>
      <c r="V1910" t="s">
        <v>26</v>
      </c>
      <c r="W1910" s="24">
        <v>28887</v>
      </c>
      <c r="X1910" s="25" t="s">
        <v>77</v>
      </c>
      <c r="Y1910" t="s">
        <v>26</v>
      </c>
      <c r="Z1910" s="24">
        <v>28887</v>
      </c>
      <c r="AA1910" s="25" t="s">
        <v>77</v>
      </c>
      <c r="AB1910" t="s">
        <v>26</v>
      </c>
      <c r="AC1910" s="24">
        <v>37622</v>
      </c>
      <c r="AD1910" s="25" t="s">
        <v>77</v>
      </c>
      <c r="AE1910" t="s">
        <v>26</v>
      </c>
      <c r="AF1910" t="s">
        <v>26</v>
      </c>
      <c r="AG1910" t="s">
        <v>26</v>
      </c>
      <c r="AH1910" t="s">
        <v>26</v>
      </c>
      <c r="AI1910" t="s">
        <v>26</v>
      </c>
      <c r="AJ1910" t="s">
        <v>26</v>
      </c>
      <c r="AK1910" t="s">
        <v>26</v>
      </c>
      <c r="AL1910" t="s">
        <v>26</v>
      </c>
      <c r="AM1910" t="s">
        <v>26</v>
      </c>
      <c r="AN1910" t="s">
        <v>26</v>
      </c>
      <c r="AO1910" s="25" t="s">
        <v>68</v>
      </c>
      <c r="AP1910" s="23" t="s">
        <v>69</v>
      </c>
      <c r="AQ1910" s="23" t="s">
        <v>30</v>
      </c>
      <c r="AR1910" s="23" t="s">
        <v>569</v>
      </c>
      <c r="AS1910" s="25">
        <v>47969</v>
      </c>
      <c r="AT1910" t="s">
        <v>26</v>
      </c>
      <c r="AU1910" t="s">
        <v>24736</v>
      </c>
    </row>
    <row r="1911" spans="1:47" ht="26.25" x14ac:dyDescent="0.4">
      <c r="A1911" s="23" t="s">
        <v>5096</v>
      </c>
      <c r="B1911" t="s">
        <v>26</v>
      </c>
      <c r="C1911" s="23" t="s">
        <v>73</v>
      </c>
      <c r="D1911" s="23" t="s">
        <v>22211</v>
      </c>
      <c r="E1911" s="23" t="s">
        <v>74</v>
      </c>
      <c r="F1911" s="25" t="s">
        <v>5097</v>
      </c>
      <c r="G1911" s="25" t="s">
        <v>5098</v>
      </c>
      <c r="H1911" t="s">
        <v>26</v>
      </c>
      <c r="I1911" s="24">
        <v>35796</v>
      </c>
      <c r="J1911" s="25" t="s">
        <v>77</v>
      </c>
      <c r="K1911" t="s">
        <v>26</v>
      </c>
      <c r="L1911" s="25" t="s">
        <v>68</v>
      </c>
      <c r="M1911" s="24">
        <v>37987</v>
      </c>
      <c r="N1911" s="24">
        <v>42826</v>
      </c>
      <c r="O1911" t="s">
        <v>26</v>
      </c>
      <c r="P1911" s="24">
        <v>35796</v>
      </c>
      <c r="Q1911" s="25" t="s">
        <v>77</v>
      </c>
      <c r="R1911" t="s">
        <v>26</v>
      </c>
      <c r="S1911" t="s">
        <v>26</v>
      </c>
      <c r="T1911" t="s">
        <v>26</v>
      </c>
      <c r="U1911" t="s">
        <v>26</v>
      </c>
      <c r="V1911" s="25">
        <v>365</v>
      </c>
      <c r="W1911" s="24">
        <v>35796</v>
      </c>
      <c r="X1911" s="25" t="s">
        <v>77</v>
      </c>
      <c r="Y1911" t="s">
        <v>26</v>
      </c>
      <c r="Z1911" s="24">
        <v>35796</v>
      </c>
      <c r="AA1911" s="25" t="s">
        <v>77</v>
      </c>
      <c r="AB1911" t="s">
        <v>26</v>
      </c>
      <c r="AC1911" s="24">
        <v>35796</v>
      </c>
      <c r="AD1911" s="25" t="s">
        <v>77</v>
      </c>
      <c r="AE1911" t="s">
        <v>26</v>
      </c>
      <c r="AF1911" t="s">
        <v>26</v>
      </c>
      <c r="AG1911" t="s">
        <v>26</v>
      </c>
      <c r="AH1911" t="s">
        <v>26</v>
      </c>
      <c r="AI1911" t="s">
        <v>26</v>
      </c>
      <c r="AJ1911" t="s">
        <v>26</v>
      </c>
      <c r="AK1911" t="s">
        <v>26</v>
      </c>
      <c r="AL1911" t="s">
        <v>26</v>
      </c>
      <c r="AM1911" t="s">
        <v>26</v>
      </c>
      <c r="AN1911" t="s">
        <v>26</v>
      </c>
      <c r="AO1911" s="25" t="s">
        <v>68</v>
      </c>
      <c r="AP1911" s="23" t="s">
        <v>69</v>
      </c>
      <c r="AQ1911" s="23" t="s">
        <v>30</v>
      </c>
      <c r="AR1911" s="23" t="s">
        <v>337</v>
      </c>
      <c r="AS1911" s="25">
        <v>54618</v>
      </c>
      <c r="AT1911" t="s">
        <v>26</v>
      </c>
      <c r="AU1911" t="s">
        <v>24737</v>
      </c>
    </row>
    <row r="1912" spans="1:47" ht="13.15" x14ac:dyDescent="0.4">
      <c r="A1912" s="23" t="s">
        <v>5099</v>
      </c>
      <c r="B1912" t="s">
        <v>26</v>
      </c>
      <c r="C1912" s="23" t="s">
        <v>146</v>
      </c>
      <c r="D1912" s="23" t="s">
        <v>22174</v>
      </c>
      <c r="E1912" s="23" t="s">
        <v>60</v>
      </c>
      <c r="F1912" t="s">
        <v>26</v>
      </c>
      <c r="G1912" t="s">
        <v>26</v>
      </c>
      <c r="H1912" t="s">
        <v>26</v>
      </c>
      <c r="I1912" t="s">
        <v>26</v>
      </c>
      <c r="J1912" t="s">
        <v>26</v>
      </c>
      <c r="K1912" t="s">
        <v>26</v>
      </c>
      <c r="L1912" s="25" t="s">
        <v>28</v>
      </c>
      <c r="M1912" t="s">
        <v>26</v>
      </c>
      <c r="N1912" t="s">
        <v>26</v>
      </c>
      <c r="O1912" t="s">
        <v>26</v>
      </c>
      <c r="P1912" t="s">
        <v>26</v>
      </c>
      <c r="Q1912" t="s">
        <v>26</v>
      </c>
      <c r="R1912" t="s">
        <v>26</v>
      </c>
      <c r="S1912" t="s">
        <v>26</v>
      </c>
      <c r="T1912" t="s">
        <v>26</v>
      </c>
      <c r="U1912" t="s">
        <v>26</v>
      </c>
      <c r="V1912" t="s">
        <v>26</v>
      </c>
      <c r="W1912" s="24">
        <v>42370</v>
      </c>
      <c r="X1912" s="24">
        <v>42370</v>
      </c>
      <c r="Y1912" t="s">
        <v>26</v>
      </c>
      <c r="Z1912" s="24">
        <v>42370</v>
      </c>
      <c r="AA1912" s="24">
        <v>42370</v>
      </c>
      <c r="AB1912" t="s">
        <v>26</v>
      </c>
      <c r="AC1912" t="s">
        <v>26</v>
      </c>
      <c r="AD1912" t="s">
        <v>26</v>
      </c>
      <c r="AE1912" t="s">
        <v>26</v>
      </c>
      <c r="AF1912" t="s">
        <v>26</v>
      </c>
      <c r="AG1912" t="s">
        <v>26</v>
      </c>
      <c r="AH1912" t="s">
        <v>26</v>
      </c>
      <c r="AI1912" t="s">
        <v>26</v>
      </c>
      <c r="AJ1912" t="s">
        <v>26</v>
      </c>
      <c r="AK1912" t="s">
        <v>26</v>
      </c>
      <c r="AL1912" t="s">
        <v>26</v>
      </c>
      <c r="AM1912" t="s">
        <v>26</v>
      </c>
      <c r="AN1912" t="s">
        <v>26</v>
      </c>
      <c r="AO1912" s="25" t="s">
        <v>28</v>
      </c>
      <c r="AP1912" s="23" t="s">
        <v>29</v>
      </c>
      <c r="AQ1912" s="23" t="s">
        <v>30</v>
      </c>
      <c r="AR1912" s="23" t="s">
        <v>147</v>
      </c>
      <c r="AS1912" s="25">
        <v>5483599</v>
      </c>
      <c r="AT1912" s="23" t="s">
        <v>22181</v>
      </c>
      <c r="AU1912" t="s">
        <v>24738</v>
      </c>
    </row>
    <row r="1913" spans="1:47" ht="26.25" x14ac:dyDescent="0.4">
      <c r="A1913" s="23" t="s">
        <v>5100</v>
      </c>
      <c r="B1913" t="s">
        <v>26</v>
      </c>
      <c r="C1913" s="23" t="s">
        <v>176</v>
      </c>
      <c r="D1913" s="23" t="s">
        <v>24180</v>
      </c>
      <c r="E1913" s="23" t="s">
        <v>60</v>
      </c>
      <c r="F1913" s="25" t="s">
        <v>5101</v>
      </c>
      <c r="G1913" s="25" t="s">
        <v>5102</v>
      </c>
      <c r="H1913" t="s">
        <v>26</v>
      </c>
      <c r="I1913" t="s">
        <v>26</v>
      </c>
      <c r="J1913" t="s">
        <v>26</v>
      </c>
      <c r="K1913" t="s">
        <v>26</v>
      </c>
      <c r="L1913" s="25" t="s">
        <v>68</v>
      </c>
      <c r="M1913" t="s">
        <v>26</v>
      </c>
      <c r="N1913" t="s">
        <v>26</v>
      </c>
      <c r="O1913" t="s">
        <v>26</v>
      </c>
      <c r="P1913" t="s">
        <v>26</v>
      </c>
      <c r="Q1913" t="s">
        <v>26</v>
      </c>
      <c r="R1913" t="s">
        <v>26</v>
      </c>
      <c r="S1913" t="s">
        <v>26</v>
      </c>
      <c r="T1913" t="s">
        <v>26</v>
      </c>
      <c r="U1913" t="s">
        <v>26</v>
      </c>
      <c r="V1913" t="s">
        <v>26</v>
      </c>
      <c r="W1913" s="24">
        <v>35796</v>
      </c>
      <c r="X1913" s="24">
        <v>35796</v>
      </c>
      <c r="Y1913" t="s">
        <v>26</v>
      </c>
      <c r="Z1913" s="24">
        <v>35796</v>
      </c>
      <c r="AA1913" s="24">
        <v>35796</v>
      </c>
      <c r="AB1913" t="s">
        <v>26</v>
      </c>
      <c r="AC1913" t="s">
        <v>26</v>
      </c>
      <c r="AD1913" t="s">
        <v>26</v>
      </c>
      <c r="AE1913" t="s">
        <v>26</v>
      </c>
      <c r="AF1913" t="s">
        <v>26</v>
      </c>
      <c r="AG1913" t="s">
        <v>26</v>
      </c>
      <c r="AH1913" t="s">
        <v>26</v>
      </c>
      <c r="AI1913" t="s">
        <v>26</v>
      </c>
      <c r="AJ1913" t="s">
        <v>26</v>
      </c>
      <c r="AK1913" t="s">
        <v>26</v>
      </c>
      <c r="AL1913" t="s">
        <v>26</v>
      </c>
      <c r="AM1913" t="s">
        <v>26</v>
      </c>
      <c r="AN1913" t="s">
        <v>26</v>
      </c>
      <c r="AO1913" s="25" t="s">
        <v>68</v>
      </c>
      <c r="AP1913" s="23" t="s">
        <v>69</v>
      </c>
      <c r="AQ1913" s="23" t="s">
        <v>30</v>
      </c>
      <c r="AR1913" s="23" t="s">
        <v>123</v>
      </c>
      <c r="AS1913" s="25">
        <v>31733</v>
      </c>
      <c r="AT1913" t="s">
        <v>26</v>
      </c>
      <c r="AU1913" t="s">
        <v>24739</v>
      </c>
    </row>
    <row r="1914" spans="1:47" ht="26.25" x14ac:dyDescent="0.4">
      <c r="A1914" s="23" t="s">
        <v>5103</v>
      </c>
      <c r="B1914" t="s">
        <v>26</v>
      </c>
      <c r="C1914" s="23" t="s">
        <v>341</v>
      </c>
      <c r="D1914" s="23" t="s">
        <v>22190</v>
      </c>
      <c r="E1914" s="23" t="s">
        <v>60</v>
      </c>
      <c r="F1914" s="25" t="s">
        <v>5104</v>
      </c>
      <c r="G1914" s="25" t="s">
        <v>5105</v>
      </c>
      <c r="H1914" t="s">
        <v>26</v>
      </c>
      <c r="I1914" t="s">
        <v>26</v>
      </c>
      <c r="J1914" t="s">
        <v>26</v>
      </c>
      <c r="K1914" t="s">
        <v>26</v>
      </c>
      <c r="L1914" s="25" t="s">
        <v>68</v>
      </c>
      <c r="M1914" t="s">
        <v>26</v>
      </c>
      <c r="N1914" t="s">
        <v>26</v>
      </c>
      <c r="O1914" t="s">
        <v>26</v>
      </c>
      <c r="P1914" t="s">
        <v>26</v>
      </c>
      <c r="Q1914" t="s">
        <v>26</v>
      </c>
      <c r="R1914" t="s">
        <v>26</v>
      </c>
      <c r="S1914" t="s">
        <v>26</v>
      </c>
      <c r="T1914" t="s">
        <v>26</v>
      </c>
      <c r="U1914" t="s">
        <v>26</v>
      </c>
      <c r="V1914" t="s">
        <v>26</v>
      </c>
      <c r="W1914" s="24">
        <v>32540</v>
      </c>
      <c r="X1914" s="24">
        <v>44682</v>
      </c>
      <c r="Y1914" t="s">
        <v>26</v>
      </c>
      <c r="Z1914" s="24">
        <v>32540</v>
      </c>
      <c r="AA1914" s="24">
        <v>44682</v>
      </c>
      <c r="AB1914" t="s">
        <v>26</v>
      </c>
      <c r="AC1914" s="24">
        <v>32540</v>
      </c>
      <c r="AD1914" s="24">
        <v>44682</v>
      </c>
      <c r="AE1914" t="s">
        <v>26</v>
      </c>
      <c r="AF1914" t="s">
        <v>26</v>
      </c>
      <c r="AG1914" t="s">
        <v>26</v>
      </c>
      <c r="AH1914" t="s">
        <v>26</v>
      </c>
      <c r="AI1914" t="s">
        <v>26</v>
      </c>
      <c r="AJ1914" t="s">
        <v>26</v>
      </c>
      <c r="AK1914" t="s">
        <v>26</v>
      </c>
      <c r="AL1914" t="s">
        <v>26</v>
      </c>
      <c r="AM1914" t="s">
        <v>26</v>
      </c>
      <c r="AN1914" t="s">
        <v>26</v>
      </c>
      <c r="AO1914" s="25" t="s">
        <v>68</v>
      </c>
      <c r="AP1914" s="23" t="s">
        <v>69</v>
      </c>
      <c r="AQ1914" s="23" t="s">
        <v>30</v>
      </c>
      <c r="AR1914" s="23" t="s">
        <v>123</v>
      </c>
      <c r="AS1914" s="25">
        <v>29957</v>
      </c>
      <c r="AT1914" t="s">
        <v>26</v>
      </c>
      <c r="AU1914" t="s">
        <v>24740</v>
      </c>
    </row>
    <row r="1915" spans="1:47" ht="26.25" x14ac:dyDescent="0.4">
      <c r="A1915" s="23" t="s">
        <v>5106</v>
      </c>
      <c r="B1915" t="s">
        <v>26</v>
      </c>
      <c r="C1915" t="s">
        <v>26</v>
      </c>
      <c r="D1915" t="s">
        <v>26</v>
      </c>
      <c r="E1915" t="s">
        <v>26</v>
      </c>
      <c r="F1915" t="s">
        <v>26</v>
      </c>
      <c r="G1915" t="s">
        <v>26</v>
      </c>
      <c r="H1915" t="s">
        <v>26</v>
      </c>
      <c r="I1915" s="24">
        <v>35796</v>
      </c>
      <c r="J1915" s="24">
        <v>37257</v>
      </c>
      <c r="K1915" t="s">
        <v>26</v>
      </c>
      <c r="L1915" s="25" t="s">
        <v>28</v>
      </c>
      <c r="M1915" s="24">
        <v>35796</v>
      </c>
      <c r="N1915" s="24">
        <v>37257</v>
      </c>
      <c r="O1915" t="s">
        <v>26</v>
      </c>
      <c r="P1915" t="s">
        <v>26</v>
      </c>
      <c r="Q1915" t="s">
        <v>26</v>
      </c>
      <c r="R1915" t="s">
        <v>26</v>
      </c>
      <c r="S1915" s="24">
        <v>35796</v>
      </c>
      <c r="T1915" s="24">
        <v>37257</v>
      </c>
      <c r="U1915" t="s">
        <v>26</v>
      </c>
      <c r="V1915" t="s">
        <v>26</v>
      </c>
      <c r="W1915" s="24">
        <v>35796</v>
      </c>
      <c r="X1915" s="24">
        <v>37257</v>
      </c>
      <c r="Y1915" t="s">
        <v>26</v>
      </c>
      <c r="Z1915" s="24">
        <v>35796</v>
      </c>
      <c r="AA1915" s="24">
        <v>37257</v>
      </c>
      <c r="AB1915" t="s">
        <v>26</v>
      </c>
      <c r="AC1915" s="24">
        <v>35796</v>
      </c>
      <c r="AD1915" s="24">
        <v>37257</v>
      </c>
      <c r="AE1915" t="s">
        <v>26</v>
      </c>
      <c r="AF1915" s="24">
        <v>35796</v>
      </c>
      <c r="AG1915" s="24">
        <v>37257</v>
      </c>
      <c r="AH1915" t="s">
        <v>26</v>
      </c>
      <c r="AI1915" s="24">
        <v>35796</v>
      </c>
      <c r="AJ1915" s="24">
        <v>37257</v>
      </c>
      <c r="AK1915" t="s">
        <v>26</v>
      </c>
      <c r="AL1915" t="s">
        <v>26</v>
      </c>
      <c r="AM1915" t="s">
        <v>26</v>
      </c>
      <c r="AN1915" t="s">
        <v>26</v>
      </c>
      <c r="AO1915" s="25" t="s">
        <v>28</v>
      </c>
      <c r="AP1915" s="23" t="s">
        <v>43</v>
      </c>
      <c r="AQ1915" s="23" t="s">
        <v>30</v>
      </c>
      <c r="AR1915" s="23" t="s">
        <v>44</v>
      </c>
      <c r="AS1915" s="25">
        <v>5263186</v>
      </c>
      <c r="AT1915" t="s">
        <v>26</v>
      </c>
      <c r="AU1915" t="s">
        <v>24741</v>
      </c>
    </row>
    <row r="1916" spans="1:47" ht="26.25" x14ac:dyDescent="0.4">
      <c r="A1916" s="23" t="s">
        <v>5107</v>
      </c>
      <c r="B1916" t="s">
        <v>26</v>
      </c>
      <c r="C1916" s="23" t="s">
        <v>292</v>
      </c>
      <c r="D1916" s="23" t="s">
        <v>22256</v>
      </c>
      <c r="E1916" s="23" t="s">
        <v>42</v>
      </c>
      <c r="F1916" t="s">
        <v>26</v>
      </c>
      <c r="G1916" t="s">
        <v>26</v>
      </c>
      <c r="H1916" t="s">
        <v>26</v>
      </c>
      <c r="I1916" s="24">
        <v>41275</v>
      </c>
      <c r="J1916" s="24">
        <v>41275</v>
      </c>
      <c r="K1916" t="s">
        <v>26</v>
      </c>
      <c r="L1916" s="25" t="s">
        <v>28</v>
      </c>
      <c r="M1916" t="s">
        <v>26</v>
      </c>
      <c r="N1916" t="s">
        <v>26</v>
      </c>
      <c r="O1916" t="s">
        <v>26</v>
      </c>
      <c r="P1916" s="24">
        <v>41275</v>
      </c>
      <c r="Q1916" s="24">
        <v>41275</v>
      </c>
      <c r="R1916" t="s">
        <v>26</v>
      </c>
      <c r="S1916" t="s">
        <v>26</v>
      </c>
      <c r="T1916" t="s">
        <v>26</v>
      </c>
      <c r="U1916" t="s">
        <v>26</v>
      </c>
      <c r="V1916" t="s">
        <v>26</v>
      </c>
      <c r="W1916" s="24">
        <v>41275</v>
      </c>
      <c r="X1916" s="24">
        <v>41275</v>
      </c>
      <c r="Y1916" t="s">
        <v>26</v>
      </c>
      <c r="Z1916" s="24">
        <v>41275</v>
      </c>
      <c r="AA1916" s="24">
        <v>41275</v>
      </c>
      <c r="AB1916" t="s">
        <v>26</v>
      </c>
      <c r="AC1916" s="24">
        <v>41275</v>
      </c>
      <c r="AD1916" s="24">
        <v>41275</v>
      </c>
      <c r="AE1916" t="s">
        <v>26</v>
      </c>
      <c r="AF1916" t="s">
        <v>26</v>
      </c>
      <c r="AG1916" t="s">
        <v>26</v>
      </c>
      <c r="AH1916" t="s">
        <v>26</v>
      </c>
      <c r="AI1916" t="s">
        <v>26</v>
      </c>
      <c r="AJ1916" t="s">
        <v>26</v>
      </c>
      <c r="AK1916" t="s">
        <v>26</v>
      </c>
      <c r="AL1916" t="s">
        <v>26</v>
      </c>
      <c r="AM1916" t="s">
        <v>26</v>
      </c>
      <c r="AN1916" t="s">
        <v>26</v>
      </c>
      <c r="AO1916" s="25" t="s">
        <v>28</v>
      </c>
      <c r="AP1916" s="23" t="s">
        <v>29</v>
      </c>
      <c r="AQ1916" s="23" t="s">
        <v>30</v>
      </c>
      <c r="AR1916" s="23" t="s">
        <v>147</v>
      </c>
      <c r="AS1916" s="25">
        <v>5325181</v>
      </c>
      <c r="AT1916" s="23" t="s">
        <v>22181</v>
      </c>
      <c r="AU1916" t="s">
        <v>24742</v>
      </c>
    </row>
    <row r="1917" spans="1:47" ht="26.25" x14ac:dyDescent="0.4">
      <c r="A1917" s="23" t="s">
        <v>5108</v>
      </c>
      <c r="B1917" t="s">
        <v>26</v>
      </c>
      <c r="C1917" s="23" t="s">
        <v>80</v>
      </c>
      <c r="D1917" s="23" t="s">
        <v>22364</v>
      </c>
      <c r="E1917" s="23" t="s">
        <v>60</v>
      </c>
      <c r="F1917" s="25" t="s">
        <v>5109</v>
      </c>
      <c r="G1917" s="25" t="s">
        <v>5110</v>
      </c>
      <c r="H1917" t="s">
        <v>26</v>
      </c>
      <c r="I1917" s="24">
        <v>35339</v>
      </c>
      <c r="J1917" s="24">
        <v>36708</v>
      </c>
      <c r="K1917" t="s">
        <v>26</v>
      </c>
      <c r="L1917" s="25" t="s">
        <v>68</v>
      </c>
      <c r="M1917" s="24">
        <v>35339</v>
      </c>
      <c r="N1917" s="24">
        <v>36708</v>
      </c>
      <c r="O1917" t="s">
        <v>26</v>
      </c>
      <c r="P1917" s="24">
        <v>35339</v>
      </c>
      <c r="Q1917" s="24">
        <v>36708</v>
      </c>
      <c r="R1917" t="s">
        <v>26</v>
      </c>
      <c r="S1917" t="s">
        <v>26</v>
      </c>
      <c r="T1917" t="s">
        <v>26</v>
      </c>
      <c r="U1917" t="s">
        <v>26</v>
      </c>
      <c r="V1917" t="s">
        <v>26</v>
      </c>
      <c r="W1917" s="24">
        <v>35339</v>
      </c>
      <c r="X1917" s="25" t="s">
        <v>77</v>
      </c>
      <c r="Y1917" t="s">
        <v>26</v>
      </c>
      <c r="Z1917" s="24">
        <v>35339</v>
      </c>
      <c r="AA1917" s="25" t="s">
        <v>77</v>
      </c>
      <c r="AB1917" t="s">
        <v>26</v>
      </c>
      <c r="AC1917" s="24">
        <v>35339</v>
      </c>
      <c r="AD1917" s="25" t="s">
        <v>77</v>
      </c>
      <c r="AE1917" t="s">
        <v>26</v>
      </c>
      <c r="AF1917" t="s">
        <v>26</v>
      </c>
      <c r="AG1917" t="s">
        <v>26</v>
      </c>
      <c r="AH1917" t="s">
        <v>26</v>
      </c>
      <c r="AI1917" t="s">
        <v>26</v>
      </c>
      <c r="AJ1917" t="s">
        <v>26</v>
      </c>
      <c r="AK1917" t="s">
        <v>26</v>
      </c>
      <c r="AL1917" t="s">
        <v>26</v>
      </c>
      <c r="AM1917" t="s">
        <v>26</v>
      </c>
      <c r="AN1917" t="s">
        <v>26</v>
      </c>
      <c r="AO1917" s="25" t="s">
        <v>68</v>
      </c>
      <c r="AP1917" s="23" t="s">
        <v>69</v>
      </c>
      <c r="AQ1917" s="23" t="s">
        <v>30</v>
      </c>
      <c r="AR1917" s="23" t="s">
        <v>883</v>
      </c>
      <c r="AS1917" s="25">
        <v>28738</v>
      </c>
      <c r="AT1917" t="s">
        <v>26</v>
      </c>
      <c r="AU1917" t="s">
        <v>24743</v>
      </c>
    </row>
    <row r="1918" spans="1:47" ht="26.25" x14ac:dyDescent="0.4">
      <c r="A1918" s="23" t="s">
        <v>5111</v>
      </c>
      <c r="B1918" t="s">
        <v>26</v>
      </c>
      <c r="C1918" s="23" t="s">
        <v>1180</v>
      </c>
      <c r="D1918" s="23" t="s">
        <v>22706</v>
      </c>
      <c r="E1918" s="23" t="s">
        <v>60</v>
      </c>
      <c r="F1918" s="25" t="s">
        <v>5112</v>
      </c>
      <c r="G1918" s="25" t="s">
        <v>5113</v>
      </c>
      <c r="H1918" t="s">
        <v>26</v>
      </c>
      <c r="I1918" s="24">
        <v>38018</v>
      </c>
      <c r="J1918" s="24">
        <v>38749</v>
      </c>
      <c r="K1918" t="s">
        <v>26</v>
      </c>
      <c r="L1918" s="25" t="s">
        <v>68</v>
      </c>
      <c r="M1918" s="24">
        <v>38018</v>
      </c>
      <c r="N1918" s="24">
        <v>38749</v>
      </c>
      <c r="O1918" t="s">
        <v>26</v>
      </c>
      <c r="P1918" s="24">
        <v>38018</v>
      </c>
      <c r="Q1918" s="24">
        <v>38749</v>
      </c>
      <c r="R1918" t="s">
        <v>26</v>
      </c>
      <c r="S1918" t="s">
        <v>26</v>
      </c>
      <c r="T1918" t="s">
        <v>26</v>
      </c>
      <c r="U1918" t="s">
        <v>26</v>
      </c>
      <c r="V1918" t="s">
        <v>26</v>
      </c>
      <c r="W1918" s="24">
        <v>38018</v>
      </c>
      <c r="X1918" s="25" t="s">
        <v>77</v>
      </c>
      <c r="Y1918" t="s">
        <v>26</v>
      </c>
      <c r="Z1918" s="24">
        <v>38018</v>
      </c>
      <c r="AA1918" s="25" t="s">
        <v>77</v>
      </c>
      <c r="AB1918" t="s">
        <v>26</v>
      </c>
      <c r="AC1918" s="24">
        <v>38961</v>
      </c>
      <c r="AD1918" s="25" t="s">
        <v>77</v>
      </c>
      <c r="AE1918" t="s">
        <v>26</v>
      </c>
      <c r="AF1918" t="s">
        <v>26</v>
      </c>
      <c r="AG1918" t="s">
        <v>26</v>
      </c>
      <c r="AH1918" t="s">
        <v>26</v>
      </c>
      <c r="AI1918" t="s">
        <v>26</v>
      </c>
      <c r="AJ1918" t="s">
        <v>26</v>
      </c>
      <c r="AK1918" t="s">
        <v>26</v>
      </c>
      <c r="AL1918" t="s">
        <v>26</v>
      </c>
      <c r="AM1918" t="s">
        <v>26</v>
      </c>
      <c r="AN1918" t="s">
        <v>26</v>
      </c>
      <c r="AO1918" s="25" t="s">
        <v>68</v>
      </c>
      <c r="AP1918" s="23" t="s">
        <v>69</v>
      </c>
      <c r="AQ1918" s="23" t="s">
        <v>30</v>
      </c>
      <c r="AR1918" s="23" t="s">
        <v>5114</v>
      </c>
      <c r="AS1918" s="25">
        <v>46503</v>
      </c>
      <c r="AT1918" t="s">
        <v>26</v>
      </c>
      <c r="AU1918" t="s">
        <v>24744</v>
      </c>
    </row>
    <row r="1919" spans="1:47" ht="26.25" x14ac:dyDescent="0.4">
      <c r="A1919" s="23" t="s">
        <v>5115</v>
      </c>
      <c r="B1919" t="s">
        <v>26</v>
      </c>
      <c r="C1919" s="23" t="s">
        <v>23142</v>
      </c>
      <c r="D1919" s="23" t="s">
        <v>22256</v>
      </c>
      <c r="E1919" s="23" t="s">
        <v>60</v>
      </c>
      <c r="F1919" t="s">
        <v>26</v>
      </c>
      <c r="G1919" t="s">
        <v>26</v>
      </c>
      <c r="H1919" t="s">
        <v>26</v>
      </c>
      <c r="I1919" s="24">
        <v>43466</v>
      </c>
      <c r="J1919" s="24">
        <v>43466</v>
      </c>
      <c r="K1919" t="s">
        <v>26</v>
      </c>
      <c r="L1919" s="25" t="s">
        <v>28</v>
      </c>
      <c r="M1919" s="24">
        <v>43466</v>
      </c>
      <c r="N1919" s="24">
        <v>43466</v>
      </c>
      <c r="O1919" t="s">
        <v>26</v>
      </c>
      <c r="P1919" t="s">
        <v>26</v>
      </c>
      <c r="Q1919" t="s">
        <v>26</v>
      </c>
      <c r="R1919" t="s">
        <v>26</v>
      </c>
      <c r="S1919" s="24">
        <v>43466</v>
      </c>
      <c r="T1919" s="24">
        <v>43466</v>
      </c>
      <c r="U1919" t="s">
        <v>26</v>
      </c>
      <c r="V1919" t="s">
        <v>26</v>
      </c>
      <c r="W1919" s="24">
        <v>43466</v>
      </c>
      <c r="X1919" s="24">
        <v>43466</v>
      </c>
      <c r="Y1919" t="s">
        <v>26</v>
      </c>
      <c r="Z1919" s="24">
        <v>43466</v>
      </c>
      <c r="AA1919" s="24">
        <v>43466</v>
      </c>
      <c r="AB1919" t="s">
        <v>26</v>
      </c>
      <c r="AC1919" s="24">
        <v>43466</v>
      </c>
      <c r="AD1919" s="24">
        <v>43466</v>
      </c>
      <c r="AE1919" t="s">
        <v>26</v>
      </c>
      <c r="AF1919" s="24">
        <v>43466</v>
      </c>
      <c r="AG1919" s="24">
        <v>43466</v>
      </c>
      <c r="AH1919" t="s">
        <v>26</v>
      </c>
      <c r="AI1919" s="24">
        <v>43466</v>
      </c>
      <c r="AJ1919" s="24">
        <v>43466</v>
      </c>
      <c r="AK1919" t="s">
        <v>26</v>
      </c>
      <c r="AL1919" t="s">
        <v>26</v>
      </c>
      <c r="AM1919" t="s">
        <v>26</v>
      </c>
      <c r="AN1919" t="s">
        <v>26</v>
      </c>
      <c r="AO1919" s="25" t="s">
        <v>28</v>
      </c>
      <c r="AP1919" s="23" t="s">
        <v>43</v>
      </c>
      <c r="AQ1919" s="23" t="s">
        <v>30</v>
      </c>
      <c r="AR1919" s="23" t="s">
        <v>46</v>
      </c>
      <c r="AS1919" s="25">
        <v>6362724</v>
      </c>
      <c r="AT1919" t="s">
        <v>26</v>
      </c>
      <c r="AU1919" t="s">
        <v>24745</v>
      </c>
    </row>
    <row r="1920" spans="1:47" ht="26.25" x14ac:dyDescent="0.4">
      <c r="A1920" s="23" t="s">
        <v>5116</v>
      </c>
      <c r="B1920" t="s">
        <v>26</v>
      </c>
      <c r="C1920" t="s">
        <v>26</v>
      </c>
      <c r="D1920" t="s">
        <v>26</v>
      </c>
      <c r="E1920" t="s">
        <v>26</v>
      </c>
      <c r="F1920" t="s">
        <v>26</v>
      </c>
      <c r="G1920" t="s">
        <v>26</v>
      </c>
      <c r="H1920" t="s">
        <v>26</v>
      </c>
      <c r="I1920" s="25" t="s">
        <v>5117</v>
      </c>
      <c r="J1920" s="25" t="s">
        <v>5117</v>
      </c>
      <c r="K1920" t="s">
        <v>26</v>
      </c>
      <c r="L1920" s="25" t="s">
        <v>28</v>
      </c>
      <c r="M1920" s="25" t="s">
        <v>5117</v>
      </c>
      <c r="N1920" s="25" t="s">
        <v>5117</v>
      </c>
      <c r="O1920" t="s">
        <v>26</v>
      </c>
      <c r="P1920" t="s">
        <v>26</v>
      </c>
      <c r="Q1920" t="s">
        <v>26</v>
      </c>
      <c r="R1920" t="s">
        <v>26</v>
      </c>
      <c r="S1920" t="s">
        <v>26</v>
      </c>
      <c r="T1920" t="s">
        <v>26</v>
      </c>
      <c r="U1920" t="s">
        <v>26</v>
      </c>
      <c r="V1920" t="s">
        <v>26</v>
      </c>
      <c r="W1920" s="25" t="s">
        <v>5117</v>
      </c>
      <c r="X1920" s="25" t="s">
        <v>5117</v>
      </c>
      <c r="Y1920" t="s">
        <v>26</v>
      </c>
      <c r="Z1920" s="25" t="s">
        <v>5117</v>
      </c>
      <c r="AA1920" s="25" t="s">
        <v>5117</v>
      </c>
      <c r="AB1920" t="s">
        <v>26</v>
      </c>
      <c r="AC1920" s="25" t="s">
        <v>5117</v>
      </c>
      <c r="AD1920" s="25" t="s">
        <v>5117</v>
      </c>
      <c r="AE1920" t="s">
        <v>26</v>
      </c>
      <c r="AF1920" t="s">
        <v>26</v>
      </c>
      <c r="AG1920" t="s">
        <v>26</v>
      </c>
      <c r="AH1920" t="s">
        <v>26</v>
      </c>
      <c r="AI1920" t="s">
        <v>26</v>
      </c>
      <c r="AJ1920" t="s">
        <v>26</v>
      </c>
      <c r="AK1920" t="s">
        <v>26</v>
      </c>
      <c r="AL1920" t="s">
        <v>26</v>
      </c>
      <c r="AM1920" t="s">
        <v>26</v>
      </c>
      <c r="AN1920" t="s">
        <v>26</v>
      </c>
      <c r="AO1920" s="25" t="s">
        <v>28</v>
      </c>
      <c r="AP1920" s="23" t="s">
        <v>29</v>
      </c>
      <c r="AQ1920" s="23" t="s">
        <v>30</v>
      </c>
      <c r="AR1920" s="23" t="s">
        <v>46</v>
      </c>
      <c r="AS1920" s="25">
        <v>6059479</v>
      </c>
      <c r="AT1920" t="s">
        <v>26</v>
      </c>
      <c r="AU1920" t="s">
        <v>24746</v>
      </c>
    </row>
    <row r="1921" spans="1:47" ht="13.15" x14ac:dyDescent="0.4">
      <c r="A1921" s="23" t="s">
        <v>5118</v>
      </c>
      <c r="B1921" t="s">
        <v>26</v>
      </c>
      <c r="C1921" s="23" t="s">
        <v>552</v>
      </c>
      <c r="D1921" s="23" t="s">
        <v>22231</v>
      </c>
      <c r="E1921" s="23" t="s">
        <v>42</v>
      </c>
      <c r="F1921" t="s">
        <v>26</v>
      </c>
      <c r="G1921" t="s">
        <v>26</v>
      </c>
      <c r="H1921" t="s">
        <v>26</v>
      </c>
      <c r="I1921" s="24">
        <v>38353</v>
      </c>
      <c r="J1921" s="24">
        <v>38353</v>
      </c>
      <c r="K1921" t="s">
        <v>26</v>
      </c>
      <c r="L1921" s="25" t="s">
        <v>28</v>
      </c>
      <c r="M1921" s="24">
        <v>38353</v>
      </c>
      <c r="N1921" s="24">
        <v>38353</v>
      </c>
      <c r="O1921" t="s">
        <v>26</v>
      </c>
      <c r="P1921" t="s">
        <v>26</v>
      </c>
      <c r="Q1921" t="s">
        <v>26</v>
      </c>
      <c r="R1921" t="s">
        <v>26</v>
      </c>
      <c r="S1921" t="s">
        <v>26</v>
      </c>
      <c r="T1921" t="s">
        <v>26</v>
      </c>
      <c r="U1921" t="s">
        <v>26</v>
      </c>
      <c r="V1921" t="s">
        <v>26</v>
      </c>
      <c r="W1921" s="24">
        <v>38353</v>
      </c>
      <c r="X1921" s="24">
        <v>38353</v>
      </c>
      <c r="Y1921" t="s">
        <v>26</v>
      </c>
      <c r="Z1921" s="24">
        <v>38353</v>
      </c>
      <c r="AA1921" s="24">
        <v>38353</v>
      </c>
      <c r="AB1921" t="s">
        <v>26</v>
      </c>
      <c r="AC1921" s="24">
        <v>38353</v>
      </c>
      <c r="AD1921" s="24">
        <v>38353</v>
      </c>
      <c r="AE1921" t="s">
        <v>26</v>
      </c>
      <c r="AF1921" t="s">
        <v>26</v>
      </c>
      <c r="AG1921" t="s">
        <v>26</v>
      </c>
      <c r="AH1921" t="s">
        <v>26</v>
      </c>
      <c r="AI1921" t="s">
        <v>26</v>
      </c>
      <c r="AJ1921" t="s">
        <v>26</v>
      </c>
      <c r="AK1921" t="s">
        <v>26</v>
      </c>
      <c r="AL1921" t="s">
        <v>26</v>
      </c>
      <c r="AM1921" t="s">
        <v>26</v>
      </c>
      <c r="AN1921" t="s">
        <v>26</v>
      </c>
      <c r="AO1921" s="25" t="s">
        <v>28</v>
      </c>
      <c r="AP1921" s="23" t="s">
        <v>29</v>
      </c>
      <c r="AQ1921" s="23" t="s">
        <v>30</v>
      </c>
      <c r="AR1921" s="23" t="s">
        <v>46</v>
      </c>
      <c r="AS1921" s="25">
        <v>6059478</v>
      </c>
      <c r="AT1921" t="s">
        <v>26</v>
      </c>
      <c r="AU1921" t="s">
        <v>24747</v>
      </c>
    </row>
    <row r="1922" spans="1:47" ht="26.25" x14ac:dyDescent="0.4">
      <c r="A1922" s="23" t="s">
        <v>5119</v>
      </c>
      <c r="B1922" t="s">
        <v>26</v>
      </c>
      <c r="C1922" s="23" t="s">
        <v>5120</v>
      </c>
      <c r="D1922" s="23" t="s">
        <v>23493</v>
      </c>
      <c r="E1922" s="23" t="s">
        <v>3513</v>
      </c>
      <c r="F1922" s="25" t="s">
        <v>5121</v>
      </c>
      <c r="G1922" t="s">
        <v>26</v>
      </c>
      <c r="H1922" t="s">
        <v>26</v>
      </c>
      <c r="I1922" s="24">
        <v>39845</v>
      </c>
      <c r="J1922" s="24">
        <v>40179</v>
      </c>
      <c r="K1922" t="s">
        <v>26</v>
      </c>
      <c r="L1922" s="25" t="s">
        <v>68</v>
      </c>
      <c r="M1922" s="24">
        <v>39845</v>
      </c>
      <c r="N1922" s="24">
        <v>40179</v>
      </c>
      <c r="O1922" t="s">
        <v>26</v>
      </c>
      <c r="P1922" s="24">
        <v>39845</v>
      </c>
      <c r="Q1922" s="24">
        <v>40179</v>
      </c>
      <c r="R1922" t="s">
        <v>26</v>
      </c>
      <c r="S1922" t="s">
        <v>26</v>
      </c>
      <c r="T1922" t="s">
        <v>26</v>
      </c>
      <c r="U1922" t="s">
        <v>26</v>
      </c>
      <c r="V1922" t="s">
        <v>26</v>
      </c>
      <c r="W1922" s="24">
        <v>39845</v>
      </c>
      <c r="X1922" s="24">
        <v>40179</v>
      </c>
      <c r="Y1922" t="s">
        <v>26</v>
      </c>
      <c r="Z1922" s="24">
        <v>39845</v>
      </c>
      <c r="AA1922" s="24">
        <v>40179</v>
      </c>
      <c r="AB1922" t="s">
        <v>26</v>
      </c>
      <c r="AC1922" t="s">
        <v>26</v>
      </c>
      <c r="AD1922" t="s">
        <v>26</v>
      </c>
      <c r="AE1922" t="s">
        <v>26</v>
      </c>
      <c r="AF1922" t="s">
        <v>26</v>
      </c>
      <c r="AG1922" t="s">
        <v>26</v>
      </c>
      <c r="AH1922" t="s">
        <v>26</v>
      </c>
      <c r="AI1922" t="s">
        <v>26</v>
      </c>
      <c r="AJ1922" t="s">
        <v>26</v>
      </c>
      <c r="AK1922" t="s">
        <v>26</v>
      </c>
      <c r="AL1922" t="s">
        <v>26</v>
      </c>
      <c r="AM1922" t="s">
        <v>26</v>
      </c>
      <c r="AN1922" t="s">
        <v>26</v>
      </c>
      <c r="AO1922" s="25" t="s">
        <v>28</v>
      </c>
      <c r="AP1922" s="23" t="s">
        <v>69</v>
      </c>
      <c r="AQ1922" s="23" t="s">
        <v>30</v>
      </c>
      <c r="AR1922" s="23" t="s">
        <v>46</v>
      </c>
      <c r="AS1922" s="25">
        <v>51672</v>
      </c>
      <c r="AT1922" t="s">
        <v>26</v>
      </c>
      <c r="AU1922" t="s">
        <v>24748</v>
      </c>
    </row>
    <row r="1923" spans="1:47" ht="39.4" x14ac:dyDescent="0.4">
      <c r="A1923" s="23" t="s">
        <v>5122</v>
      </c>
      <c r="B1923" t="s">
        <v>26</v>
      </c>
      <c r="C1923" s="23" t="s">
        <v>5123</v>
      </c>
      <c r="D1923" s="23" t="s">
        <v>24749</v>
      </c>
      <c r="E1923" s="23" t="s">
        <v>5124</v>
      </c>
      <c r="F1923" s="25" t="s">
        <v>5125</v>
      </c>
      <c r="G1923" s="25" t="s">
        <v>5126</v>
      </c>
      <c r="H1923" t="s">
        <v>26</v>
      </c>
      <c r="I1923" s="24">
        <v>37987</v>
      </c>
      <c r="J1923" s="25" t="s">
        <v>77</v>
      </c>
      <c r="K1923" t="s">
        <v>26</v>
      </c>
      <c r="L1923" s="25" t="s">
        <v>68</v>
      </c>
      <c r="M1923" s="24">
        <v>37987</v>
      </c>
      <c r="N1923" s="25" t="s">
        <v>77</v>
      </c>
      <c r="O1923" t="s">
        <v>26</v>
      </c>
      <c r="P1923" s="24">
        <v>37987</v>
      </c>
      <c r="Q1923" s="25" t="s">
        <v>77</v>
      </c>
      <c r="R1923" t="s">
        <v>26</v>
      </c>
      <c r="S1923" t="s">
        <v>26</v>
      </c>
      <c r="T1923" t="s">
        <v>26</v>
      </c>
      <c r="U1923" t="s">
        <v>26</v>
      </c>
      <c r="V1923" t="s">
        <v>26</v>
      </c>
      <c r="W1923" s="24">
        <v>37987</v>
      </c>
      <c r="X1923" s="25" t="s">
        <v>77</v>
      </c>
      <c r="Y1923" t="s">
        <v>26</v>
      </c>
      <c r="Z1923" s="24">
        <v>37987</v>
      </c>
      <c r="AA1923" s="25" t="s">
        <v>77</v>
      </c>
      <c r="AB1923" t="s">
        <v>26</v>
      </c>
      <c r="AC1923" s="24">
        <v>37987</v>
      </c>
      <c r="AD1923" s="25" t="s">
        <v>77</v>
      </c>
      <c r="AE1923" t="s">
        <v>26</v>
      </c>
      <c r="AF1923" t="s">
        <v>26</v>
      </c>
      <c r="AG1923" t="s">
        <v>26</v>
      </c>
      <c r="AH1923" t="s">
        <v>26</v>
      </c>
      <c r="AI1923" t="s">
        <v>26</v>
      </c>
      <c r="AJ1923" t="s">
        <v>26</v>
      </c>
      <c r="AK1923" t="s">
        <v>26</v>
      </c>
      <c r="AL1923" t="s">
        <v>26</v>
      </c>
      <c r="AM1923" t="s">
        <v>26</v>
      </c>
      <c r="AN1923" t="s">
        <v>26</v>
      </c>
      <c r="AO1923" s="25" t="s">
        <v>68</v>
      </c>
      <c r="AP1923" s="23" t="s">
        <v>69</v>
      </c>
      <c r="AQ1923" s="23" t="s">
        <v>142</v>
      </c>
      <c r="AR1923" s="23" t="s">
        <v>46</v>
      </c>
      <c r="AS1923" s="25">
        <v>2046078</v>
      </c>
      <c r="AT1923" t="s">
        <v>26</v>
      </c>
      <c r="AU1923" t="s">
        <v>24750</v>
      </c>
    </row>
    <row r="1924" spans="1:47" ht="13.15" x14ac:dyDescent="0.4">
      <c r="A1924" s="23" t="s">
        <v>5127</v>
      </c>
      <c r="B1924" t="s">
        <v>26</v>
      </c>
      <c r="C1924" s="23" t="s">
        <v>5128</v>
      </c>
      <c r="D1924" t="s">
        <v>26</v>
      </c>
      <c r="E1924" s="23" t="s">
        <v>42</v>
      </c>
      <c r="F1924" t="s">
        <v>26</v>
      </c>
      <c r="G1924" t="s">
        <v>26</v>
      </c>
      <c r="H1924" t="s">
        <v>26</v>
      </c>
      <c r="I1924" s="25" t="s">
        <v>5129</v>
      </c>
      <c r="J1924" s="25" t="s">
        <v>5129</v>
      </c>
      <c r="K1924" t="s">
        <v>26</v>
      </c>
      <c r="L1924" s="25" t="s">
        <v>28</v>
      </c>
      <c r="M1924" s="25" t="s">
        <v>5129</v>
      </c>
      <c r="N1924" s="25" t="s">
        <v>5129</v>
      </c>
      <c r="O1924" t="s">
        <v>26</v>
      </c>
      <c r="P1924" t="s">
        <v>26</v>
      </c>
      <c r="Q1924" t="s">
        <v>26</v>
      </c>
      <c r="R1924" t="s">
        <v>26</v>
      </c>
      <c r="S1924" t="s">
        <v>26</v>
      </c>
      <c r="T1924" t="s">
        <v>26</v>
      </c>
      <c r="U1924" t="s">
        <v>26</v>
      </c>
      <c r="V1924" t="s">
        <v>26</v>
      </c>
      <c r="W1924" s="25" t="s">
        <v>5129</v>
      </c>
      <c r="X1924" s="25" t="s">
        <v>5129</v>
      </c>
      <c r="Y1924" t="s">
        <v>26</v>
      </c>
      <c r="Z1924" s="25" t="s">
        <v>5129</v>
      </c>
      <c r="AA1924" s="25" t="s">
        <v>5129</v>
      </c>
      <c r="AB1924" t="s">
        <v>26</v>
      </c>
      <c r="AC1924" s="25" t="s">
        <v>5129</v>
      </c>
      <c r="AD1924" s="25" t="s">
        <v>5129</v>
      </c>
      <c r="AE1924" t="s">
        <v>26</v>
      </c>
      <c r="AF1924" t="s">
        <v>26</v>
      </c>
      <c r="AG1924" t="s">
        <v>26</v>
      </c>
      <c r="AH1924" t="s">
        <v>26</v>
      </c>
      <c r="AI1924" t="s">
        <v>26</v>
      </c>
      <c r="AJ1924" t="s">
        <v>26</v>
      </c>
      <c r="AK1924" t="s">
        <v>26</v>
      </c>
      <c r="AL1924" t="s">
        <v>26</v>
      </c>
      <c r="AM1924" t="s">
        <v>26</v>
      </c>
      <c r="AN1924" t="s">
        <v>26</v>
      </c>
      <c r="AO1924" s="25" t="s">
        <v>28</v>
      </c>
      <c r="AP1924" s="23" t="s">
        <v>29</v>
      </c>
      <c r="AQ1924" s="23" t="s">
        <v>30</v>
      </c>
      <c r="AR1924" s="23" t="s">
        <v>46</v>
      </c>
      <c r="AS1924" s="25">
        <v>6059477</v>
      </c>
      <c r="AT1924" t="s">
        <v>26</v>
      </c>
      <c r="AU1924" t="s">
        <v>24751</v>
      </c>
    </row>
    <row r="1925" spans="1:47" ht="39.4" x14ac:dyDescent="0.4">
      <c r="A1925" s="23" t="s">
        <v>5130</v>
      </c>
      <c r="B1925" t="s">
        <v>26</v>
      </c>
      <c r="C1925" s="23" t="s">
        <v>146</v>
      </c>
      <c r="D1925" s="23" t="s">
        <v>22174</v>
      </c>
      <c r="E1925" s="23" t="s">
        <v>60</v>
      </c>
      <c r="F1925" t="s">
        <v>26</v>
      </c>
      <c r="G1925" t="s">
        <v>26</v>
      </c>
      <c r="H1925" t="s">
        <v>26</v>
      </c>
      <c r="I1925" t="s">
        <v>26</v>
      </c>
      <c r="J1925" t="s">
        <v>26</v>
      </c>
      <c r="K1925" t="s">
        <v>26</v>
      </c>
      <c r="L1925" s="25" t="s">
        <v>28</v>
      </c>
      <c r="M1925" t="s">
        <v>26</v>
      </c>
      <c r="N1925" t="s">
        <v>26</v>
      </c>
      <c r="O1925" t="s">
        <v>26</v>
      </c>
      <c r="P1925" t="s">
        <v>26</v>
      </c>
      <c r="Q1925" t="s">
        <v>26</v>
      </c>
      <c r="R1925" t="s">
        <v>26</v>
      </c>
      <c r="S1925" t="s">
        <v>26</v>
      </c>
      <c r="T1925" t="s">
        <v>26</v>
      </c>
      <c r="U1925" t="s">
        <v>26</v>
      </c>
      <c r="V1925" t="s">
        <v>26</v>
      </c>
      <c r="W1925" s="24">
        <v>41640</v>
      </c>
      <c r="X1925" s="24">
        <v>41640</v>
      </c>
      <c r="Y1925" t="s">
        <v>26</v>
      </c>
      <c r="Z1925" s="24">
        <v>41640</v>
      </c>
      <c r="AA1925" s="24">
        <v>41640</v>
      </c>
      <c r="AB1925" t="s">
        <v>26</v>
      </c>
      <c r="AC1925" t="s">
        <v>26</v>
      </c>
      <c r="AD1925" t="s">
        <v>26</v>
      </c>
      <c r="AE1925" t="s">
        <v>26</v>
      </c>
      <c r="AF1925" t="s">
        <v>26</v>
      </c>
      <c r="AG1925" t="s">
        <v>26</v>
      </c>
      <c r="AH1925" t="s">
        <v>26</v>
      </c>
      <c r="AI1925" t="s">
        <v>26</v>
      </c>
      <c r="AJ1925" t="s">
        <v>26</v>
      </c>
      <c r="AK1925" t="s">
        <v>26</v>
      </c>
      <c r="AL1925" t="s">
        <v>26</v>
      </c>
      <c r="AM1925" t="s">
        <v>26</v>
      </c>
      <c r="AN1925" t="s">
        <v>26</v>
      </c>
      <c r="AO1925" s="25" t="s">
        <v>28</v>
      </c>
      <c r="AP1925" s="23" t="s">
        <v>29</v>
      </c>
      <c r="AQ1925" s="23" t="s">
        <v>30</v>
      </c>
      <c r="AR1925" s="23" t="s">
        <v>44</v>
      </c>
      <c r="AS1925" s="25">
        <v>5483620</v>
      </c>
      <c r="AT1925" s="23" t="s">
        <v>22181</v>
      </c>
      <c r="AU1925" t="s">
        <v>24752</v>
      </c>
    </row>
    <row r="1926" spans="1:47" ht="26.25" x14ac:dyDescent="0.4">
      <c r="A1926" s="23" t="s">
        <v>5131</v>
      </c>
      <c r="B1926" t="s">
        <v>26</v>
      </c>
      <c r="C1926" s="23" t="s">
        <v>48</v>
      </c>
      <c r="D1926" s="23" t="s">
        <v>22168</v>
      </c>
      <c r="E1926" s="23" t="s">
        <v>42</v>
      </c>
      <c r="F1926" t="s">
        <v>26</v>
      </c>
      <c r="G1926" t="s">
        <v>26</v>
      </c>
      <c r="H1926" t="s">
        <v>26</v>
      </c>
      <c r="I1926" t="s">
        <v>26</v>
      </c>
      <c r="J1926" t="s">
        <v>26</v>
      </c>
      <c r="K1926" t="s">
        <v>26</v>
      </c>
      <c r="L1926" s="25" t="s">
        <v>28</v>
      </c>
      <c r="M1926" t="s">
        <v>26</v>
      </c>
      <c r="N1926" t="s">
        <v>26</v>
      </c>
      <c r="O1926" t="s">
        <v>26</v>
      </c>
      <c r="P1926" t="s">
        <v>26</v>
      </c>
      <c r="Q1926" t="s">
        <v>26</v>
      </c>
      <c r="R1926" t="s">
        <v>26</v>
      </c>
      <c r="S1926" t="s">
        <v>26</v>
      </c>
      <c r="T1926" t="s">
        <v>26</v>
      </c>
      <c r="U1926" t="s">
        <v>26</v>
      </c>
      <c r="V1926" t="s">
        <v>26</v>
      </c>
      <c r="W1926" s="24">
        <v>42005</v>
      </c>
      <c r="X1926" s="24">
        <v>42005</v>
      </c>
      <c r="Y1926" t="s">
        <v>26</v>
      </c>
      <c r="Z1926" s="24">
        <v>42005</v>
      </c>
      <c r="AA1926" s="24">
        <v>42005</v>
      </c>
      <c r="AB1926" t="s">
        <v>26</v>
      </c>
      <c r="AC1926" t="s">
        <v>26</v>
      </c>
      <c r="AD1926" t="s">
        <v>26</v>
      </c>
      <c r="AE1926" t="s">
        <v>26</v>
      </c>
      <c r="AF1926" t="s">
        <v>26</v>
      </c>
      <c r="AG1926" t="s">
        <v>26</v>
      </c>
      <c r="AH1926" t="s">
        <v>26</v>
      </c>
      <c r="AI1926" t="s">
        <v>26</v>
      </c>
      <c r="AJ1926" t="s">
        <v>26</v>
      </c>
      <c r="AK1926" t="s">
        <v>26</v>
      </c>
      <c r="AL1926" t="s">
        <v>26</v>
      </c>
      <c r="AM1926" t="s">
        <v>26</v>
      </c>
      <c r="AN1926" t="s">
        <v>26</v>
      </c>
      <c r="AO1926" s="25" t="s">
        <v>28</v>
      </c>
      <c r="AP1926" s="23" t="s">
        <v>29</v>
      </c>
      <c r="AQ1926" s="23" t="s">
        <v>30</v>
      </c>
      <c r="AR1926" s="23" t="s">
        <v>44</v>
      </c>
      <c r="AS1926" s="25">
        <v>5483524</v>
      </c>
      <c r="AT1926" s="23" t="s">
        <v>22181</v>
      </c>
      <c r="AU1926" t="s">
        <v>24753</v>
      </c>
    </row>
    <row r="1927" spans="1:47" ht="26.25" x14ac:dyDescent="0.4">
      <c r="A1927" s="23" t="s">
        <v>5132</v>
      </c>
      <c r="B1927" t="s">
        <v>26</v>
      </c>
      <c r="C1927" s="23" t="s">
        <v>24754</v>
      </c>
      <c r="D1927" s="23" t="s">
        <v>24755</v>
      </c>
      <c r="E1927" s="23" t="s">
        <v>42</v>
      </c>
      <c r="F1927" t="s">
        <v>26</v>
      </c>
      <c r="G1927" t="s">
        <v>26</v>
      </c>
      <c r="H1927" t="s">
        <v>26</v>
      </c>
      <c r="I1927" s="24">
        <v>40179</v>
      </c>
      <c r="J1927" s="24">
        <v>42370</v>
      </c>
      <c r="K1927" t="s">
        <v>26</v>
      </c>
      <c r="L1927" s="25" t="s">
        <v>28</v>
      </c>
      <c r="M1927" s="24">
        <v>40179</v>
      </c>
      <c r="N1927" s="24">
        <v>42370</v>
      </c>
      <c r="O1927" t="s">
        <v>26</v>
      </c>
      <c r="P1927" t="s">
        <v>26</v>
      </c>
      <c r="Q1927" t="s">
        <v>26</v>
      </c>
      <c r="R1927" t="s">
        <v>26</v>
      </c>
      <c r="S1927" s="24">
        <v>40179</v>
      </c>
      <c r="T1927" s="24">
        <v>42370</v>
      </c>
      <c r="U1927" t="s">
        <v>26</v>
      </c>
      <c r="V1927" t="s">
        <v>26</v>
      </c>
      <c r="W1927" s="24">
        <v>40179</v>
      </c>
      <c r="X1927" s="24">
        <v>42370</v>
      </c>
      <c r="Y1927" t="s">
        <v>26</v>
      </c>
      <c r="Z1927" s="24">
        <v>40179</v>
      </c>
      <c r="AA1927" s="24">
        <v>42370</v>
      </c>
      <c r="AB1927" t="s">
        <v>26</v>
      </c>
      <c r="AC1927" s="24">
        <v>40179</v>
      </c>
      <c r="AD1927" s="24">
        <v>42370</v>
      </c>
      <c r="AE1927" t="s">
        <v>26</v>
      </c>
      <c r="AF1927" s="24">
        <v>40179</v>
      </c>
      <c r="AG1927" s="24">
        <v>42370</v>
      </c>
      <c r="AH1927" t="s">
        <v>26</v>
      </c>
      <c r="AI1927" s="24">
        <v>40179</v>
      </c>
      <c r="AJ1927" s="24">
        <v>42370</v>
      </c>
      <c r="AK1927" t="s">
        <v>26</v>
      </c>
      <c r="AL1927" t="s">
        <v>26</v>
      </c>
      <c r="AM1927" t="s">
        <v>26</v>
      </c>
      <c r="AN1927" t="s">
        <v>26</v>
      </c>
      <c r="AO1927" s="25" t="s">
        <v>28</v>
      </c>
      <c r="AP1927" s="23" t="s">
        <v>43</v>
      </c>
      <c r="AQ1927" s="23" t="s">
        <v>30</v>
      </c>
      <c r="AR1927" s="23" t="s">
        <v>46</v>
      </c>
      <c r="AS1927" s="25">
        <v>6362722</v>
      </c>
      <c r="AT1927" t="s">
        <v>26</v>
      </c>
      <c r="AU1927" t="s">
        <v>24756</v>
      </c>
    </row>
    <row r="1928" spans="1:47" ht="26.25" x14ac:dyDescent="0.4">
      <c r="A1928" s="23" t="s">
        <v>5133</v>
      </c>
      <c r="B1928" t="s">
        <v>26</v>
      </c>
      <c r="C1928" s="23" t="s">
        <v>80</v>
      </c>
      <c r="D1928" s="23" t="s">
        <v>24757</v>
      </c>
      <c r="E1928" s="23" t="s">
        <v>60</v>
      </c>
      <c r="F1928" s="25" t="s">
        <v>5134</v>
      </c>
      <c r="G1928" s="25" t="s">
        <v>5135</v>
      </c>
      <c r="H1928" t="s">
        <v>26</v>
      </c>
      <c r="I1928" s="24">
        <v>37165</v>
      </c>
      <c r="J1928" s="24">
        <v>41183</v>
      </c>
      <c r="K1928" t="s">
        <v>26</v>
      </c>
      <c r="L1928" s="25" t="s">
        <v>68</v>
      </c>
      <c r="M1928" s="24">
        <v>37165</v>
      </c>
      <c r="N1928" s="24">
        <v>41183</v>
      </c>
      <c r="O1928" t="s">
        <v>26</v>
      </c>
      <c r="P1928" s="24">
        <v>37165</v>
      </c>
      <c r="Q1928" s="24">
        <v>41183</v>
      </c>
      <c r="R1928" t="s">
        <v>26</v>
      </c>
      <c r="S1928" t="s">
        <v>26</v>
      </c>
      <c r="T1928" t="s">
        <v>26</v>
      </c>
      <c r="U1928" t="s">
        <v>26</v>
      </c>
      <c r="V1928" t="s">
        <v>26</v>
      </c>
      <c r="W1928" s="24">
        <v>37073</v>
      </c>
      <c r="X1928" s="25" t="s">
        <v>77</v>
      </c>
      <c r="Y1928" s="25" t="s">
        <v>2134</v>
      </c>
      <c r="Z1928" s="24">
        <v>37073</v>
      </c>
      <c r="AA1928" s="25" t="s">
        <v>77</v>
      </c>
      <c r="AB1928" s="25" t="s">
        <v>2134</v>
      </c>
      <c r="AC1928" s="24">
        <v>37073</v>
      </c>
      <c r="AD1928" s="25" t="s">
        <v>77</v>
      </c>
      <c r="AE1928" s="25" t="s">
        <v>2134</v>
      </c>
      <c r="AF1928" t="s">
        <v>26</v>
      </c>
      <c r="AG1928" t="s">
        <v>26</v>
      </c>
      <c r="AH1928" t="s">
        <v>26</v>
      </c>
      <c r="AI1928" t="s">
        <v>26</v>
      </c>
      <c r="AJ1928" t="s">
        <v>26</v>
      </c>
      <c r="AK1928" t="s">
        <v>26</v>
      </c>
      <c r="AL1928" t="s">
        <v>26</v>
      </c>
      <c r="AM1928" t="s">
        <v>26</v>
      </c>
      <c r="AN1928" t="s">
        <v>26</v>
      </c>
      <c r="AO1928" s="25" t="s">
        <v>68</v>
      </c>
      <c r="AP1928" s="23" t="s">
        <v>69</v>
      </c>
      <c r="AQ1928" s="23" t="s">
        <v>30</v>
      </c>
      <c r="AR1928" s="23" t="s">
        <v>883</v>
      </c>
      <c r="AS1928" s="25">
        <v>40338</v>
      </c>
      <c r="AT1928" t="s">
        <v>26</v>
      </c>
      <c r="AU1928" t="s">
        <v>24758</v>
      </c>
    </row>
    <row r="1929" spans="1:47" ht="26.25" x14ac:dyDescent="0.4">
      <c r="A1929" s="23" t="s">
        <v>5136</v>
      </c>
      <c r="B1929" t="s">
        <v>26</v>
      </c>
      <c r="C1929" s="23" t="s">
        <v>5137</v>
      </c>
      <c r="D1929" s="23" t="s">
        <v>22733</v>
      </c>
      <c r="E1929" s="23" t="s">
        <v>42</v>
      </c>
      <c r="F1929" s="25" t="s">
        <v>5138</v>
      </c>
      <c r="G1929" t="s">
        <v>26</v>
      </c>
      <c r="H1929" t="s">
        <v>26</v>
      </c>
      <c r="I1929" s="24">
        <v>35796</v>
      </c>
      <c r="J1929" s="24">
        <v>37987</v>
      </c>
      <c r="K1929" t="s">
        <v>26</v>
      </c>
      <c r="L1929" s="25" t="s">
        <v>68</v>
      </c>
      <c r="M1929" s="24">
        <v>35796</v>
      </c>
      <c r="N1929" s="24">
        <v>37987</v>
      </c>
      <c r="O1929" t="s">
        <v>26</v>
      </c>
      <c r="P1929" s="24">
        <v>35796</v>
      </c>
      <c r="Q1929" s="24">
        <v>37987</v>
      </c>
      <c r="R1929" t="s">
        <v>26</v>
      </c>
      <c r="S1929" t="s">
        <v>26</v>
      </c>
      <c r="T1929" t="s">
        <v>26</v>
      </c>
      <c r="U1929" t="s">
        <v>26</v>
      </c>
      <c r="V1929" t="s">
        <v>26</v>
      </c>
      <c r="W1929" s="24">
        <v>32509</v>
      </c>
      <c r="X1929" s="24">
        <v>37987</v>
      </c>
      <c r="Y1929" t="s">
        <v>26</v>
      </c>
      <c r="Z1929" s="24">
        <v>32509</v>
      </c>
      <c r="AA1929" s="24">
        <v>37987</v>
      </c>
      <c r="AB1929" t="s">
        <v>26</v>
      </c>
      <c r="AC1929" s="24">
        <v>32509</v>
      </c>
      <c r="AD1929" s="24">
        <v>37987</v>
      </c>
      <c r="AE1929" t="s">
        <v>26</v>
      </c>
      <c r="AF1929" t="s">
        <v>26</v>
      </c>
      <c r="AG1929" t="s">
        <v>26</v>
      </c>
      <c r="AH1929" t="s">
        <v>26</v>
      </c>
      <c r="AI1929" t="s">
        <v>26</v>
      </c>
      <c r="AJ1929" t="s">
        <v>26</v>
      </c>
      <c r="AK1929" t="s">
        <v>26</v>
      </c>
      <c r="AL1929" t="s">
        <v>26</v>
      </c>
      <c r="AM1929" t="s">
        <v>26</v>
      </c>
      <c r="AN1929" t="s">
        <v>26</v>
      </c>
      <c r="AO1929" s="25" t="s">
        <v>28</v>
      </c>
      <c r="AP1929" s="23" t="s">
        <v>69</v>
      </c>
      <c r="AQ1929" s="23" t="s">
        <v>30</v>
      </c>
      <c r="AR1929" s="23" t="s">
        <v>366</v>
      </c>
      <c r="AS1929" s="25">
        <v>41003</v>
      </c>
      <c r="AT1929" t="s">
        <v>26</v>
      </c>
      <c r="AU1929" t="s">
        <v>24759</v>
      </c>
    </row>
    <row r="1930" spans="1:47" ht="26.25" x14ac:dyDescent="0.4">
      <c r="A1930" s="23" t="s">
        <v>5139</v>
      </c>
      <c r="B1930" t="s">
        <v>26</v>
      </c>
      <c r="C1930" s="23" t="s">
        <v>146</v>
      </c>
      <c r="D1930" s="23" t="s">
        <v>22174</v>
      </c>
      <c r="E1930" s="23" t="s">
        <v>60</v>
      </c>
      <c r="F1930" t="s">
        <v>26</v>
      </c>
      <c r="G1930" t="s">
        <v>26</v>
      </c>
      <c r="H1930" t="s">
        <v>26</v>
      </c>
      <c r="I1930" t="s">
        <v>26</v>
      </c>
      <c r="J1930" t="s">
        <v>26</v>
      </c>
      <c r="K1930" t="s">
        <v>26</v>
      </c>
      <c r="L1930" s="25" t="s">
        <v>28</v>
      </c>
      <c r="M1930" t="s">
        <v>26</v>
      </c>
      <c r="N1930" t="s">
        <v>26</v>
      </c>
      <c r="O1930" t="s">
        <v>26</v>
      </c>
      <c r="P1930" t="s">
        <v>26</v>
      </c>
      <c r="Q1930" t="s">
        <v>26</v>
      </c>
      <c r="R1930" t="s">
        <v>26</v>
      </c>
      <c r="S1930" t="s">
        <v>26</v>
      </c>
      <c r="T1930" t="s">
        <v>26</v>
      </c>
      <c r="U1930" t="s">
        <v>26</v>
      </c>
      <c r="V1930" t="s">
        <v>26</v>
      </c>
      <c r="W1930" s="24">
        <v>42005</v>
      </c>
      <c r="X1930" s="24">
        <v>42005</v>
      </c>
      <c r="Y1930" t="s">
        <v>26</v>
      </c>
      <c r="Z1930" s="24">
        <v>42005</v>
      </c>
      <c r="AA1930" s="24">
        <v>42005</v>
      </c>
      <c r="AB1930" t="s">
        <v>26</v>
      </c>
      <c r="AC1930" t="s">
        <v>26</v>
      </c>
      <c r="AD1930" t="s">
        <v>26</v>
      </c>
      <c r="AE1930" t="s">
        <v>26</v>
      </c>
      <c r="AF1930" t="s">
        <v>26</v>
      </c>
      <c r="AG1930" t="s">
        <v>26</v>
      </c>
      <c r="AH1930" t="s">
        <v>26</v>
      </c>
      <c r="AI1930" t="s">
        <v>26</v>
      </c>
      <c r="AJ1930" t="s">
        <v>26</v>
      </c>
      <c r="AK1930" t="s">
        <v>26</v>
      </c>
      <c r="AL1930" t="s">
        <v>26</v>
      </c>
      <c r="AM1930" t="s">
        <v>26</v>
      </c>
      <c r="AN1930" t="s">
        <v>26</v>
      </c>
      <c r="AO1930" s="25" t="s">
        <v>28</v>
      </c>
      <c r="AP1930" s="23" t="s">
        <v>29</v>
      </c>
      <c r="AQ1930" s="23" t="s">
        <v>30</v>
      </c>
      <c r="AR1930" s="23" t="s">
        <v>147</v>
      </c>
      <c r="AS1930" s="25">
        <v>5483603</v>
      </c>
      <c r="AT1930" s="23" t="s">
        <v>22181</v>
      </c>
      <c r="AU1930" t="s">
        <v>24760</v>
      </c>
    </row>
    <row r="1931" spans="1:47" ht="13.15" x14ac:dyDescent="0.4">
      <c r="A1931" s="23" t="s">
        <v>5140</v>
      </c>
      <c r="B1931" t="s">
        <v>26</v>
      </c>
      <c r="C1931" s="23" t="s">
        <v>1141</v>
      </c>
      <c r="D1931" s="23" t="s">
        <v>22174</v>
      </c>
      <c r="E1931" s="23" t="s">
        <v>60</v>
      </c>
      <c r="F1931" t="s">
        <v>26</v>
      </c>
      <c r="G1931" t="s">
        <v>26</v>
      </c>
      <c r="H1931" t="s">
        <v>26</v>
      </c>
      <c r="I1931" t="s">
        <v>26</v>
      </c>
      <c r="J1931" t="s">
        <v>26</v>
      </c>
      <c r="K1931" t="s">
        <v>26</v>
      </c>
      <c r="L1931" s="25" t="s">
        <v>28</v>
      </c>
      <c r="M1931" t="s">
        <v>26</v>
      </c>
      <c r="N1931" t="s">
        <v>26</v>
      </c>
      <c r="O1931" t="s">
        <v>26</v>
      </c>
      <c r="P1931" t="s">
        <v>26</v>
      </c>
      <c r="Q1931" t="s">
        <v>26</v>
      </c>
      <c r="R1931" t="s">
        <v>26</v>
      </c>
      <c r="S1931" t="s">
        <v>26</v>
      </c>
      <c r="T1931" t="s">
        <v>26</v>
      </c>
      <c r="U1931" t="s">
        <v>26</v>
      </c>
      <c r="V1931" t="s">
        <v>26</v>
      </c>
      <c r="W1931" s="24">
        <v>41640</v>
      </c>
      <c r="X1931" s="24">
        <v>41640</v>
      </c>
      <c r="Y1931" t="s">
        <v>26</v>
      </c>
      <c r="Z1931" s="24">
        <v>41640</v>
      </c>
      <c r="AA1931" s="24">
        <v>41640</v>
      </c>
      <c r="AB1931" t="s">
        <v>26</v>
      </c>
      <c r="AC1931" t="s">
        <v>26</v>
      </c>
      <c r="AD1931" t="s">
        <v>26</v>
      </c>
      <c r="AE1931" t="s">
        <v>26</v>
      </c>
      <c r="AF1931" t="s">
        <v>26</v>
      </c>
      <c r="AG1931" t="s">
        <v>26</v>
      </c>
      <c r="AH1931" t="s">
        <v>26</v>
      </c>
      <c r="AI1931" t="s">
        <v>26</v>
      </c>
      <c r="AJ1931" t="s">
        <v>26</v>
      </c>
      <c r="AK1931" t="s">
        <v>26</v>
      </c>
      <c r="AL1931" t="s">
        <v>26</v>
      </c>
      <c r="AM1931" t="s">
        <v>26</v>
      </c>
      <c r="AN1931" t="s">
        <v>26</v>
      </c>
      <c r="AO1931" s="25" t="s">
        <v>28</v>
      </c>
      <c r="AP1931" s="23" t="s">
        <v>29</v>
      </c>
      <c r="AQ1931" s="23" t="s">
        <v>30</v>
      </c>
      <c r="AR1931" s="23" t="s">
        <v>44</v>
      </c>
      <c r="AS1931" s="25">
        <v>5483556</v>
      </c>
      <c r="AT1931" s="23" t="s">
        <v>22181</v>
      </c>
      <c r="AU1931" t="s">
        <v>24761</v>
      </c>
    </row>
    <row r="1932" spans="1:47" ht="26.25" x14ac:dyDescent="0.4">
      <c r="A1932" s="23" t="s">
        <v>5141</v>
      </c>
      <c r="B1932" t="s">
        <v>26</v>
      </c>
      <c r="C1932" s="23" t="s">
        <v>22699</v>
      </c>
      <c r="D1932" t="s">
        <v>26</v>
      </c>
      <c r="E1932" s="23" t="s">
        <v>42</v>
      </c>
      <c r="F1932" t="s">
        <v>26</v>
      </c>
      <c r="G1932" t="s">
        <v>26</v>
      </c>
      <c r="H1932" t="s">
        <v>26</v>
      </c>
      <c r="I1932" s="24">
        <v>36526</v>
      </c>
      <c r="J1932" s="24">
        <v>36526</v>
      </c>
      <c r="K1932" t="s">
        <v>26</v>
      </c>
      <c r="L1932" s="25" t="s">
        <v>28</v>
      </c>
      <c r="M1932" s="24">
        <v>36526</v>
      </c>
      <c r="N1932" s="24">
        <v>36526</v>
      </c>
      <c r="O1932" t="s">
        <v>26</v>
      </c>
      <c r="P1932" t="s">
        <v>26</v>
      </c>
      <c r="Q1932" t="s">
        <v>26</v>
      </c>
      <c r="R1932" t="s">
        <v>26</v>
      </c>
      <c r="S1932" s="24">
        <v>36526</v>
      </c>
      <c r="T1932" s="24">
        <v>36526</v>
      </c>
      <c r="U1932" t="s">
        <v>26</v>
      </c>
      <c r="V1932" t="s">
        <v>26</v>
      </c>
      <c r="W1932" s="24">
        <v>36526</v>
      </c>
      <c r="X1932" s="24">
        <v>36526</v>
      </c>
      <c r="Y1932" t="s">
        <v>26</v>
      </c>
      <c r="Z1932" s="24">
        <v>36526</v>
      </c>
      <c r="AA1932" s="24">
        <v>36526</v>
      </c>
      <c r="AB1932" t="s">
        <v>26</v>
      </c>
      <c r="AC1932" s="24">
        <v>36526</v>
      </c>
      <c r="AD1932" s="24">
        <v>36526</v>
      </c>
      <c r="AE1932" t="s">
        <v>26</v>
      </c>
      <c r="AF1932" s="24">
        <v>36526</v>
      </c>
      <c r="AG1932" s="24">
        <v>36526</v>
      </c>
      <c r="AH1932" t="s">
        <v>26</v>
      </c>
      <c r="AI1932" s="24">
        <v>36526</v>
      </c>
      <c r="AJ1932" s="24">
        <v>36526</v>
      </c>
      <c r="AK1932" t="s">
        <v>26</v>
      </c>
      <c r="AL1932" t="s">
        <v>26</v>
      </c>
      <c r="AM1932" t="s">
        <v>26</v>
      </c>
      <c r="AN1932" t="s">
        <v>26</v>
      </c>
      <c r="AO1932" s="25" t="s">
        <v>28</v>
      </c>
      <c r="AP1932" s="23" t="s">
        <v>43</v>
      </c>
      <c r="AQ1932" s="23" t="s">
        <v>30</v>
      </c>
      <c r="AR1932" s="23" t="s">
        <v>44</v>
      </c>
      <c r="AS1932" s="25">
        <v>5263181</v>
      </c>
      <c r="AT1932" t="s">
        <v>26</v>
      </c>
      <c r="AU1932" t="s">
        <v>24762</v>
      </c>
    </row>
    <row r="1933" spans="1:47" ht="13.15" x14ac:dyDescent="0.4">
      <c r="A1933" s="23" t="s">
        <v>5142</v>
      </c>
      <c r="B1933" t="s">
        <v>26</v>
      </c>
      <c r="C1933" t="s">
        <v>26</v>
      </c>
      <c r="D1933" s="23" t="s">
        <v>22231</v>
      </c>
      <c r="E1933" t="s">
        <v>26</v>
      </c>
      <c r="F1933" t="s">
        <v>26</v>
      </c>
      <c r="G1933" t="s">
        <v>26</v>
      </c>
      <c r="H1933" t="s">
        <v>26</v>
      </c>
      <c r="I1933" s="24">
        <v>39083</v>
      </c>
      <c r="J1933" s="24">
        <v>39083</v>
      </c>
      <c r="K1933" t="s">
        <v>26</v>
      </c>
      <c r="L1933" s="25" t="s">
        <v>28</v>
      </c>
      <c r="M1933" s="24">
        <v>39083</v>
      </c>
      <c r="N1933" s="24">
        <v>39083</v>
      </c>
      <c r="O1933" t="s">
        <v>26</v>
      </c>
      <c r="P1933" t="s">
        <v>26</v>
      </c>
      <c r="Q1933" t="s">
        <v>26</v>
      </c>
      <c r="R1933" t="s">
        <v>26</v>
      </c>
      <c r="S1933" t="s">
        <v>26</v>
      </c>
      <c r="T1933" t="s">
        <v>26</v>
      </c>
      <c r="U1933" t="s">
        <v>26</v>
      </c>
      <c r="V1933" t="s">
        <v>26</v>
      </c>
      <c r="W1933" s="24">
        <v>39083</v>
      </c>
      <c r="X1933" s="24">
        <v>39083</v>
      </c>
      <c r="Y1933" t="s">
        <v>26</v>
      </c>
      <c r="Z1933" s="24">
        <v>39083</v>
      </c>
      <c r="AA1933" s="24">
        <v>39083</v>
      </c>
      <c r="AB1933" t="s">
        <v>26</v>
      </c>
      <c r="AC1933" s="24">
        <v>39083</v>
      </c>
      <c r="AD1933" s="24">
        <v>39083</v>
      </c>
      <c r="AE1933" t="s">
        <v>26</v>
      </c>
      <c r="AF1933" t="s">
        <v>26</v>
      </c>
      <c r="AG1933" t="s">
        <v>26</v>
      </c>
      <c r="AH1933" t="s">
        <v>26</v>
      </c>
      <c r="AI1933" t="s">
        <v>26</v>
      </c>
      <c r="AJ1933" t="s">
        <v>26</v>
      </c>
      <c r="AK1933" t="s">
        <v>26</v>
      </c>
      <c r="AL1933" t="s">
        <v>26</v>
      </c>
      <c r="AM1933" t="s">
        <v>26</v>
      </c>
      <c r="AN1933" t="s">
        <v>26</v>
      </c>
      <c r="AO1933" s="25" t="s">
        <v>28</v>
      </c>
      <c r="AP1933" s="23" t="s">
        <v>29</v>
      </c>
      <c r="AQ1933" s="23" t="s">
        <v>30</v>
      </c>
      <c r="AR1933" s="23" t="s">
        <v>46</v>
      </c>
      <c r="AS1933" s="25">
        <v>6059476</v>
      </c>
      <c r="AT1933" t="s">
        <v>26</v>
      </c>
      <c r="AU1933" t="s">
        <v>24763</v>
      </c>
    </row>
    <row r="1934" spans="1:47" ht="78.75" x14ac:dyDescent="0.4">
      <c r="A1934" s="23" t="s">
        <v>5143</v>
      </c>
      <c r="B1934" t="s">
        <v>26</v>
      </c>
      <c r="C1934" t="s">
        <v>26</v>
      </c>
      <c r="D1934" t="s">
        <v>26</v>
      </c>
      <c r="E1934" t="s">
        <v>26</v>
      </c>
      <c r="F1934" t="s">
        <v>26</v>
      </c>
      <c r="G1934" t="s">
        <v>26</v>
      </c>
      <c r="H1934" t="s">
        <v>26</v>
      </c>
      <c r="I1934" s="25" t="s">
        <v>24764</v>
      </c>
      <c r="J1934" s="25" t="s">
        <v>24764</v>
      </c>
      <c r="K1934" t="s">
        <v>26</v>
      </c>
      <c r="L1934" s="25" t="s">
        <v>28</v>
      </c>
      <c r="M1934" s="25" t="s">
        <v>24764</v>
      </c>
      <c r="N1934" s="25" t="s">
        <v>24764</v>
      </c>
      <c r="O1934" t="s">
        <v>26</v>
      </c>
      <c r="P1934" t="s">
        <v>26</v>
      </c>
      <c r="Q1934" t="s">
        <v>26</v>
      </c>
      <c r="R1934" t="s">
        <v>26</v>
      </c>
      <c r="S1934" t="s">
        <v>26</v>
      </c>
      <c r="T1934" t="s">
        <v>26</v>
      </c>
      <c r="U1934" t="s">
        <v>26</v>
      </c>
      <c r="V1934" t="s">
        <v>26</v>
      </c>
      <c r="W1934" s="25" t="s">
        <v>24764</v>
      </c>
      <c r="X1934" s="25" t="s">
        <v>24764</v>
      </c>
      <c r="Y1934" t="s">
        <v>26</v>
      </c>
      <c r="Z1934" s="25" t="s">
        <v>24764</v>
      </c>
      <c r="AA1934" s="25" t="s">
        <v>24764</v>
      </c>
      <c r="AB1934" t="s">
        <v>26</v>
      </c>
      <c r="AC1934" s="25" t="s">
        <v>24764</v>
      </c>
      <c r="AD1934" s="25" t="s">
        <v>24764</v>
      </c>
      <c r="AE1934" t="s">
        <v>26</v>
      </c>
      <c r="AF1934" t="s">
        <v>26</v>
      </c>
      <c r="AG1934" t="s">
        <v>26</v>
      </c>
      <c r="AH1934" t="s">
        <v>26</v>
      </c>
      <c r="AI1934" t="s">
        <v>26</v>
      </c>
      <c r="AJ1934" t="s">
        <v>26</v>
      </c>
      <c r="AK1934" t="s">
        <v>26</v>
      </c>
      <c r="AL1934" t="s">
        <v>26</v>
      </c>
      <c r="AM1934" t="s">
        <v>26</v>
      </c>
      <c r="AN1934" t="s">
        <v>26</v>
      </c>
      <c r="AO1934" s="25" t="s">
        <v>28</v>
      </c>
      <c r="AP1934" s="23" t="s">
        <v>45</v>
      </c>
      <c r="AQ1934" s="23" t="s">
        <v>30</v>
      </c>
      <c r="AR1934" s="23" t="s">
        <v>46</v>
      </c>
      <c r="AS1934" s="25">
        <v>5983386</v>
      </c>
      <c r="AT1934" t="s">
        <v>26</v>
      </c>
      <c r="AU1934" t="s">
        <v>24765</v>
      </c>
    </row>
    <row r="1935" spans="1:47" ht="26.25" x14ac:dyDescent="0.4">
      <c r="A1935" s="23" t="s">
        <v>5144</v>
      </c>
      <c r="B1935" t="s">
        <v>26</v>
      </c>
      <c r="C1935" s="23" t="s">
        <v>3440</v>
      </c>
      <c r="D1935" s="23" t="s">
        <v>22179</v>
      </c>
      <c r="E1935" s="23" t="s">
        <v>42</v>
      </c>
      <c r="F1935" t="s">
        <v>26</v>
      </c>
      <c r="G1935" t="s">
        <v>26</v>
      </c>
      <c r="H1935" t="s">
        <v>26</v>
      </c>
      <c r="I1935" t="s">
        <v>26</v>
      </c>
      <c r="J1935" t="s">
        <v>26</v>
      </c>
      <c r="K1935" t="s">
        <v>26</v>
      </c>
      <c r="L1935" s="25" t="s">
        <v>28</v>
      </c>
      <c r="M1935" t="s">
        <v>26</v>
      </c>
      <c r="N1935" t="s">
        <v>26</v>
      </c>
      <c r="O1935" t="s">
        <v>26</v>
      </c>
      <c r="P1935" t="s">
        <v>26</v>
      </c>
      <c r="Q1935" t="s">
        <v>26</v>
      </c>
      <c r="R1935" t="s">
        <v>26</v>
      </c>
      <c r="S1935" t="s">
        <v>26</v>
      </c>
      <c r="T1935" t="s">
        <v>26</v>
      </c>
      <c r="U1935" t="s">
        <v>26</v>
      </c>
      <c r="V1935" t="s">
        <v>26</v>
      </c>
      <c r="W1935" s="24">
        <v>40544</v>
      </c>
      <c r="X1935" s="24">
        <v>40544</v>
      </c>
      <c r="Y1935" t="s">
        <v>26</v>
      </c>
      <c r="Z1935" s="24">
        <v>40544</v>
      </c>
      <c r="AA1935" s="24">
        <v>40544</v>
      </c>
      <c r="AB1935" t="s">
        <v>26</v>
      </c>
      <c r="AC1935" t="s">
        <v>26</v>
      </c>
      <c r="AD1935" t="s">
        <v>26</v>
      </c>
      <c r="AE1935" t="s">
        <v>26</v>
      </c>
      <c r="AF1935" t="s">
        <v>26</v>
      </c>
      <c r="AG1935" t="s">
        <v>26</v>
      </c>
      <c r="AH1935" t="s">
        <v>26</v>
      </c>
      <c r="AI1935" t="s">
        <v>26</v>
      </c>
      <c r="AJ1935" t="s">
        <v>26</v>
      </c>
      <c r="AK1935" t="s">
        <v>26</v>
      </c>
      <c r="AL1935" t="s">
        <v>26</v>
      </c>
      <c r="AM1935" t="s">
        <v>26</v>
      </c>
      <c r="AN1935" t="s">
        <v>26</v>
      </c>
      <c r="AO1935" s="25" t="s">
        <v>28</v>
      </c>
      <c r="AP1935" s="23" t="s">
        <v>29</v>
      </c>
      <c r="AQ1935" s="23" t="s">
        <v>30</v>
      </c>
      <c r="AR1935" s="23" t="s">
        <v>44</v>
      </c>
      <c r="AS1935" s="25">
        <v>5483571</v>
      </c>
      <c r="AT1935" s="23" t="s">
        <v>22181</v>
      </c>
      <c r="AU1935" t="s">
        <v>24766</v>
      </c>
    </row>
    <row r="1936" spans="1:47" ht="78.75" x14ac:dyDescent="0.4">
      <c r="A1936" s="23" t="s">
        <v>24767</v>
      </c>
      <c r="B1936" t="s">
        <v>26</v>
      </c>
      <c r="C1936" t="s">
        <v>26</v>
      </c>
      <c r="D1936" t="s">
        <v>26</v>
      </c>
      <c r="E1936" t="s">
        <v>26</v>
      </c>
      <c r="F1936" t="s">
        <v>26</v>
      </c>
      <c r="G1936" t="s">
        <v>26</v>
      </c>
      <c r="H1936" t="s">
        <v>26</v>
      </c>
      <c r="I1936" s="24">
        <v>2193</v>
      </c>
      <c r="J1936" s="24">
        <v>2193</v>
      </c>
      <c r="K1936" t="s">
        <v>26</v>
      </c>
      <c r="L1936" s="25" t="s">
        <v>28</v>
      </c>
      <c r="M1936" s="24">
        <v>2193</v>
      </c>
      <c r="N1936" s="24">
        <v>2193</v>
      </c>
      <c r="O1936" t="s">
        <v>26</v>
      </c>
      <c r="P1936" t="s">
        <v>26</v>
      </c>
      <c r="Q1936" t="s">
        <v>26</v>
      </c>
      <c r="R1936" t="s">
        <v>26</v>
      </c>
      <c r="S1936" t="s">
        <v>26</v>
      </c>
      <c r="T1936" t="s">
        <v>26</v>
      </c>
      <c r="U1936" t="s">
        <v>26</v>
      </c>
      <c r="V1936" t="s">
        <v>26</v>
      </c>
      <c r="W1936" s="24">
        <v>2193</v>
      </c>
      <c r="X1936" s="24">
        <v>2193</v>
      </c>
      <c r="Y1936" t="s">
        <v>26</v>
      </c>
      <c r="Z1936" s="24">
        <v>2193</v>
      </c>
      <c r="AA1936" s="24">
        <v>2193</v>
      </c>
      <c r="AB1936" t="s">
        <v>26</v>
      </c>
      <c r="AC1936" s="24">
        <v>2193</v>
      </c>
      <c r="AD1936" s="24">
        <v>2193</v>
      </c>
      <c r="AE1936" t="s">
        <v>26</v>
      </c>
      <c r="AF1936" t="s">
        <v>26</v>
      </c>
      <c r="AG1936" t="s">
        <v>26</v>
      </c>
      <c r="AH1936" t="s">
        <v>26</v>
      </c>
      <c r="AI1936" t="s">
        <v>26</v>
      </c>
      <c r="AJ1936" t="s">
        <v>26</v>
      </c>
      <c r="AK1936" t="s">
        <v>26</v>
      </c>
      <c r="AL1936" t="s">
        <v>26</v>
      </c>
      <c r="AM1936" t="s">
        <v>26</v>
      </c>
      <c r="AN1936" t="s">
        <v>26</v>
      </c>
      <c r="AO1936" s="25" t="s">
        <v>28</v>
      </c>
      <c r="AP1936" s="23" t="s">
        <v>45</v>
      </c>
      <c r="AQ1936" s="23" t="s">
        <v>30</v>
      </c>
      <c r="AR1936" s="23" t="s">
        <v>46</v>
      </c>
      <c r="AS1936" s="25">
        <v>5983383</v>
      </c>
      <c r="AT1936" t="s">
        <v>26</v>
      </c>
      <c r="AU1936" t="s">
        <v>24768</v>
      </c>
    </row>
    <row r="1937" spans="1:47" ht="26.25" x14ac:dyDescent="0.4">
      <c r="A1937" s="23" t="s">
        <v>5145</v>
      </c>
      <c r="B1937" t="s">
        <v>26</v>
      </c>
      <c r="C1937" s="23" t="s">
        <v>24769</v>
      </c>
      <c r="D1937" t="s">
        <v>26</v>
      </c>
      <c r="E1937" s="23" t="s">
        <v>42</v>
      </c>
      <c r="F1937" t="s">
        <v>26</v>
      </c>
      <c r="G1937" t="s">
        <v>26</v>
      </c>
      <c r="H1937" t="s">
        <v>26</v>
      </c>
      <c r="I1937" s="24">
        <v>39083</v>
      </c>
      <c r="J1937" s="24">
        <v>39448</v>
      </c>
      <c r="K1937" t="s">
        <v>26</v>
      </c>
      <c r="L1937" s="25" t="s">
        <v>28</v>
      </c>
      <c r="M1937" s="24">
        <v>39083</v>
      </c>
      <c r="N1937" s="24">
        <v>39448</v>
      </c>
      <c r="O1937" t="s">
        <v>26</v>
      </c>
      <c r="P1937" t="s">
        <v>26</v>
      </c>
      <c r="Q1937" t="s">
        <v>26</v>
      </c>
      <c r="R1937" t="s">
        <v>26</v>
      </c>
      <c r="S1937" s="24">
        <v>39083</v>
      </c>
      <c r="T1937" s="24">
        <v>39448</v>
      </c>
      <c r="U1937" t="s">
        <v>26</v>
      </c>
      <c r="V1937" t="s">
        <v>26</v>
      </c>
      <c r="W1937" s="24">
        <v>39083</v>
      </c>
      <c r="X1937" s="24">
        <v>39448</v>
      </c>
      <c r="Y1937" t="s">
        <v>26</v>
      </c>
      <c r="Z1937" s="24">
        <v>39083</v>
      </c>
      <c r="AA1937" s="24">
        <v>39448</v>
      </c>
      <c r="AB1937" t="s">
        <v>26</v>
      </c>
      <c r="AC1937" s="24">
        <v>39083</v>
      </c>
      <c r="AD1937" s="24">
        <v>39448</v>
      </c>
      <c r="AE1937" t="s">
        <v>26</v>
      </c>
      <c r="AF1937" s="24">
        <v>39083</v>
      </c>
      <c r="AG1937" s="24">
        <v>39448</v>
      </c>
      <c r="AH1937" t="s">
        <v>26</v>
      </c>
      <c r="AI1937" s="24">
        <v>39083</v>
      </c>
      <c r="AJ1937" s="24">
        <v>39448</v>
      </c>
      <c r="AK1937" t="s">
        <v>26</v>
      </c>
      <c r="AL1937" t="s">
        <v>26</v>
      </c>
      <c r="AM1937" t="s">
        <v>26</v>
      </c>
      <c r="AN1937" t="s">
        <v>26</v>
      </c>
      <c r="AO1937" s="25" t="s">
        <v>28</v>
      </c>
      <c r="AP1937" s="23" t="s">
        <v>43</v>
      </c>
      <c r="AQ1937" s="23" t="s">
        <v>30</v>
      </c>
      <c r="AR1937" s="23" t="s">
        <v>44</v>
      </c>
      <c r="AS1937" s="25">
        <v>5263191</v>
      </c>
      <c r="AT1937" t="s">
        <v>26</v>
      </c>
      <c r="AU1937" t="s">
        <v>24770</v>
      </c>
    </row>
    <row r="1938" spans="1:47" ht="13.15" x14ac:dyDescent="0.4">
      <c r="A1938" s="23" t="s">
        <v>5146</v>
      </c>
      <c r="B1938" t="s">
        <v>26</v>
      </c>
      <c r="C1938" s="23" t="s">
        <v>5147</v>
      </c>
      <c r="D1938" t="s">
        <v>26</v>
      </c>
      <c r="E1938" s="23" t="s">
        <v>60</v>
      </c>
      <c r="F1938" t="s">
        <v>26</v>
      </c>
      <c r="G1938" t="s">
        <v>26</v>
      </c>
      <c r="H1938" t="s">
        <v>26</v>
      </c>
      <c r="I1938" s="25" t="s">
        <v>5148</v>
      </c>
      <c r="J1938" s="25" t="s">
        <v>5148</v>
      </c>
      <c r="K1938" t="s">
        <v>26</v>
      </c>
      <c r="L1938" s="25" t="s">
        <v>28</v>
      </c>
      <c r="M1938" s="25" t="s">
        <v>5148</v>
      </c>
      <c r="N1938" s="25" t="s">
        <v>5148</v>
      </c>
      <c r="O1938" t="s">
        <v>26</v>
      </c>
      <c r="P1938" t="s">
        <v>26</v>
      </c>
      <c r="Q1938" t="s">
        <v>26</v>
      </c>
      <c r="R1938" t="s">
        <v>26</v>
      </c>
      <c r="S1938" t="s">
        <v>26</v>
      </c>
      <c r="T1938" t="s">
        <v>26</v>
      </c>
      <c r="U1938" t="s">
        <v>26</v>
      </c>
      <c r="V1938" t="s">
        <v>26</v>
      </c>
      <c r="W1938" s="25" t="s">
        <v>5148</v>
      </c>
      <c r="X1938" s="25" t="s">
        <v>5148</v>
      </c>
      <c r="Y1938" t="s">
        <v>26</v>
      </c>
      <c r="Z1938" s="25" t="s">
        <v>5148</v>
      </c>
      <c r="AA1938" s="25" t="s">
        <v>5148</v>
      </c>
      <c r="AB1938" t="s">
        <v>26</v>
      </c>
      <c r="AC1938" s="25" t="s">
        <v>5148</v>
      </c>
      <c r="AD1938" s="25" t="s">
        <v>5148</v>
      </c>
      <c r="AE1938" t="s">
        <v>26</v>
      </c>
      <c r="AF1938" t="s">
        <v>26</v>
      </c>
      <c r="AG1938" t="s">
        <v>26</v>
      </c>
      <c r="AH1938" t="s">
        <v>26</v>
      </c>
      <c r="AI1938" t="s">
        <v>26</v>
      </c>
      <c r="AJ1938" t="s">
        <v>26</v>
      </c>
      <c r="AK1938" t="s">
        <v>26</v>
      </c>
      <c r="AL1938" t="s">
        <v>26</v>
      </c>
      <c r="AM1938" t="s">
        <v>26</v>
      </c>
      <c r="AN1938" t="s">
        <v>26</v>
      </c>
      <c r="AO1938" s="25" t="s">
        <v>28</v>
      </c>
      <c r="AP1938" s="23" t="s">
        <v>29</v>
      </c>
      <c r="AQ1938" s="23" t="s">
        <v>30</v>
      </c>
      <c r="AR1938" s="23" t="s">
        <v>46</v>
      </c>
      <c r="AS1938" s="25">
        <v>6059475</v>
      </c>
      <c r="AT1938" t="s">
        <v>26</v>
      </c>
      <c r="AU1938" t="s">
        <v>24771</v>
      </c>
    </row>
    <row r="1939" spans="1:47" ht="13.15" x14ac:dyDescent="0.4">
      <c r="A1939" s="23" t="s">
        <v>5149</v>
      </c>
      <c r="B1939" t="s">
        <v>26</v>
      </c>
      <c r="C1939" t="s">
        <v>26</v>
      </c>
      <c r="D1939" t="s">
        <v>26</v>
      </c>
      <c r="E1939" t="s">
        <v>26</v>
      </c>
      <c r="F1939" t="s">
        <v>26</v>
      </c>
      <c r="G1939" t="s">
        <v>26</v>
      </c>
      <c r="H1939" t="s">
        <v>26</v>
      </c>
      <c r="I1939" s="25" t="s">
        <v>373</v>
      </c>
      <c r="J1939" s="25" t="s">
        <v>373</v>
      </c>
      <c r="K1939" t="s">
        <v>26</v>
      </c>
      <c r="L1939" s="25" t="s">
        <v>28</v>
      </c>
      <c r="M1939" s="25" t="s">
        <v>373</v>
      </c>
      <c r="N1939" s="25" t="s">
        <v>373</v>
      </c>
      <c r="O1939" t="s">
        <v>26</v>
      </c>
      <c r="P1939" t="s">
        <v>26</v>
      </c>
      <c r="Q1939" t="s">
        <v>26</v>
      </c>
      <c r="R1939" t="s">
        <v>26</v>
      </c>
      <c r="S1939" t="s">
        <v>26</v>
      </c>
      <c r="T1939" t="s">
        <v>26</v>
      </c>
      <c r="U1939" t="s">
        <v>26</v>
      </c>
      <c r="V1939" t="s">
        <v>26</v>
      </c>
      <c r="W1939" s="25" t="s">
        <v>373</v>
      </c>
      <c r="X1939" s="25" t="s">
        <v>373</v>
      </c>
      <c r="Y1939" t="s">
        <v>26</v>
      </c>
      <c r="Z1939" s="25" t="s">
        <v>373</v>
      </c>
      <c r="AA1939" s="25" t="s">
        <v>373</v>
      </c>
      <c r="AB1939" t="s">
        <v>26</v>
      </c>
      <c r="AC1939" s="25" t="s">
        <v>373</v>
      </c>
      <c r="AD1939" s="25" t="s">
        <v>373</v>
      </c>
      <c r="AE1939" t="s">
        <v>26</v>
      </c>
      <c r="AF1939" t="s">
        <v>26</v>
      </c>
      <c r="AG1939" t="s">
        <v>26</v>
      </c>
      <c r="AH1939" t="s">
        <v>26</v>
      </c>
      <c r="AI1939" t="s">
        <v>26</v>
      </c>
      <c r="AJ1939" t="s">
        <v>26</v>
      </c>
      <c r="AK1939" t="s">
        <v>26</v>
      </c>
      <c r="AL1939" t="s">
        <v>26</v>
      </c>
      <c r="AM1939" t="s">
        <v>26</v>
      </c>
      <c r="AN1939" t="s">
        <v>26</v>
      </c>
      <c r="AO1939" s="25" t="s">
        <v>28</v>
      </c>
      <c r="AP1939" s="23" t="s">
        <v>29</v>
      </c>
      <c r="AQ1939" s="23" t="s">
        <v>30</v>
      </c>
      <c r="AR1939" s="23" t="s">
        <v>46</v>
      </c>
      <c r="AS1939" s="25">
        <v>5983416</v>
      </c>
      <c r="AT1939" t="s">
        <v>26</v>
      </c>
      <c r="AU1939" t="s">
        <v>24772</v>
      </c>
    </row>
    <row r="1940" spans="1:47" ht="13.15" x14ac:dyDescent="0.4">
      <c r="A1940" s="23" t="s">
        <v>5150</v>
      </c>
      <c r="B1940" t="s">
        <v>26</v>
      </c>
      <c r="C1940" s="23" t="s">
        <v>5151</v>
      </c>
      <c r="D1940" t="s">
        <v>26</v>
      </c>
      <c r="E1940" s="23" t="s">
        <v>42</v>
      </c>
      <c r="F1940" t="s">
        <v>26</v>
      </c>
      <c r="G1940" t="s">
        <v>26</v>
      </c>
      <c r="H1940" t="s">
        <v>26</v>
      </c>
      <c r="I1940" s="24">
        <v>27030</v>
      </c>
      <c r="J1940" s="24">
        <v>27030</v>
      </c>
      <c r="K1940" t="s">
        <v>26</v>
      </c>
      <c r="L1940" s="25" t="s">
        <v>28</v>
      </c>
      <c r="M1940" s="24">
        <v>27030</v>
      </c>
      <c r="N1940" s="24">
        <v>27030</v>
      </c>
      <c r="O1940" t="s">
        <v>26</v>
      </c>
      <c r="P1940" t="s">
        <v>26</v>
      </c>
      <c r="Q1940" t="s">
        <v>26</v>
      </c>
      <c r="R1940" t="s">
        <v>26</v>
      </c>
      <c r="S1940" t="s">
        <v>26</v>
      </c>
      <c r="T1940" t="s">
        <v>26</v>
      </c>
      <c r="U1940" t="s">
        <v>26</v>
      </c>
      <c r="V1940" t="s">
        <v>26</v>
      </c>
      <c r="W1940" s="24">
        <v>27030</v>
      </c>
      <c r="X1940" s="24">
        <v>27030</v>
      </c>
      <c r="Y1940" t="s">
        <v>26</v>
      </c>
      <c r="Z1940" s="24">
        <v>27030</v>
      </c>
      <c r="AA1940" s="24">
        <v>27030</v>
      </c>
      <c r="AB1940" t="s">
        <v>26</v>
      </c>
      <c r="AC1940" s="24">
        <v>27030</v>
      </c>
      <c r="AD1940" s="24">
        <v>27030</v>
      </c>
      <c r="AE1940" t="s">
        <v>26</v>
      </c>
      <c r="AF1940" t="s">
        <v>26</v>
      </c>
      <c r="AG1940" t="s">
        <v>26</v>
      </c>
      <c r="AH1940" t="s">
        <v>26</v>
      </c>
      <c r="AI1940" t="s">
        <v>26</v>
      </c>
      <c r="AJ1940" t="s">
        <v>26</v>
      </c>
      <c r="AK1940" t="s">
        <v>26</v>
      </c>
      <c r="AL1940" t="s">
        <v>26</v>
      </c>
      <c r="AM1940" t="s">
        <v>26</v>
      </c>
      <c r="AN1940" t="s">
        <v>26</v>
      </c>
      <c r="AO1940" s="25" t="s">
        <v>28</v>
      </c>
      <c r="AP1940" s="23" t="s">
        <v>29</v>
      </c>
      <c r="AQ1940" s="23" t="s">
        <v>30</v>
      </c>
      <c r="AR1940" s="23" t="s">
        <v>46</v>
      </c>
      <c r="AS1940" s="25">
        <v>6059474</v>
      </c>
      <c r="AT1940" t="s">
        <v>26</v>
      </c>
      <c r="AU1940" t="s">
        <v>24773</v>
      </c>
    </row>
    <row r="1941" spans="1:47" ht="26.25" x14ac:dyDescent="0.4">
      <c r="A1941" s="23" t="s">
        <v>5152</v>
      </c>
      <c r="B1941" t="s">
        <v>26</v>
      </c>
      <c r="C1941" s="23" t="s">
        <v>2404</v>
      </c>
      <c r="D1941" s="23" t="s">
        <v>24774</v>
      </c>
      <c r="E1941" s="23" t="s">
        <v>574</v>
      </c>
      <c r="F1941" s="25" t="s">
        <v>5153</v>
      </c>
      <c r="G1941" t="s">
        <v>26</v>
      </c>
      <c r="H1941" t="s">
        <v>26</v>
      </c>
      <c r="I1941" t="s">
        <v>26</v>
      </c>
      <c r="J1941" t="s">
        <v>26</v>
      </c>
      <c r="K1941" t="s">
        <v>26</v>
      </c>
      <c r="L1941" s="25" t="s">
        <v>68</v>
      </c>
      <c r="M1941" t="s">
        <v>26</v>
      </c>
      <c r="N1941" t="s">
        <v>26</v>
      </c>
      <c r="O1941" t="s">
        <v>26</v>
      </c>
      <c r="P1941" t="s">
        <v>26</v>
      </c>
      <c r="Q1941" t="s">
        <v>26</v>
      </c>
      <c r="R1941" t="s">
        <v>26</v>
      </c>
      <c r="S1941" t="s">
        <v>26</v>
      </c>
      <c r="T1941" t="s">
        <v>26</v>
      </c>
      <c r="U1941" t="s">
        <v>26</v>
      </c>
      <c r="V1941" t="s">
        <v>26</v>
      </c>
      <c r="W1941" s="24">
        <v>44562</v>
      </c>
      <c r="X1941" s="25" t="s">
        <v>77</v>
      </c>
      <c r="Y1941" t="s">
        <v>26</v>
      </c>
      <c r="Z1941" s="24">
        <v>44562</v>
      </c>
      <c r="AA1941" s="25" t="s">
        <v>77</v>
      </c>
      <c r="AB1941" t="s">
        <v>26</v>
      </c>
      <c r="AC1941" s="24">
        <v>44562</v>
      </c>
      <c r="AD1941" s="25" t="s">
        <v>77</v>
      </c>
      <c r="AE1941" t="s">
        <v>26</v>
      </c>
      <c r="AF1941" t="s">
        <v>26</v>
      </c>
      <c r="AG1941" t="s">
        <v>26</v>
      </c>
      <c r="AH1941" t="s">
        <v>26</v>
      </c>
      <c r="AI1941" t="s">
        <v>26</v>
      </c>
      <c r="AJ1941" t="s">
        <v>26</v>
      </c>
      <c r="AK1941" t="s">
        <v>26</v>
      </c>
      <c r="AL1941" t="s">
        <v>26</v>
      </c>
      <c r="AM1941" t="s">
        <v>26</v>
      </c>
      <c r="AN1941" t="s">
        <v>26</v>
      </c>
      <c r="AO1941" s="25" t="s">
        <v>68</v>
      </c>
      <c r="AP1941" s="23" t="s">
        <v>69</v>
      </c>
      <c r="AQ1941" s="23" t="s">
        <v>30</v>
      </c>
      <c r="AR1941" s="23" t="s">
        <v>70</v>
      </c>
      <c r="AS1941" s="25">
        <v>6334260</v>
      </c>
      <c r="AT1941" t="s">
        <v>26</v>
      </c>
      <c r="AU1941" t="s">
        <v>24775</v>
      </c>
    </row>
    <row r="1942" spans="1:47" ht="13.15" x14ac:dyDescent="0.4">
      <c r="A1942" s="23" t="s">
        <v>5154</v>
      </c>
      <c r="B1942" t="s">
        <v>26</v>
      </c>
      <c r="C1942" t="s">
        <v>26</v>
      </c>
      <c r="D1942" t="s">
        <v>26</v>
      </c>
      <c r="E1942" t="s">
        <v>26</v>
      </c>
      <c r="F1942" t="s">
        <v>26</v>
      </c>
      <c r="G1942" t="s">
        <v>26</v>
      </c>
      <c r="H1942" t="s">
        <v>26</v>
      </c>
      <c r="I1942" s="24">
        <v>3289</v>
      </c>
      <c r="J1942" s="24">
        <v>3289</v>
      </c>
      <c r="K1942" t="s">
        <v>26</v>
      </c>
      <c r="L1942" s="25" t="s">
        <v>28</v>
      </c>
      <c r="M1942" s="24">
        <v>3289</v>
      </c>
      <c r="N1942" s="24">
        <v>3289</v>
      </c>
      <c r="O1942" t="s">
        <v>26</v>
      </c>
      <c r="P1942" t="s">
        <v>26</v>
      </c>
      <c r="Q1942" t="s">
        <v>26</v>
      </c>
      <c r="R1942" t="s">
        <v>26</v>
      </c>
      <c r="S1942" t="s">
        <v>26</v>
      </c>
      <c r="T1942" t="s">
        <v>26</v>
      </c>
      <c r="U1942" t="s">
        <v>26</v>
      </c>
      <c r="V1942" t="s">
        <v>26</v>
      </c>
      <c r="W1942" s="24">
        <v>3289</v>
      </c>
      <c r="X1942" s="24">
        <v>3289</v>
      </c>
      <c r="Y1942" t="s">
        <v>26</v>
      </c>
      <c r="Z1942" s="24">
        <v>3289</v>
      </c>
      <c r="AA1942" s="24">
        <v>3289</v>
      </c>
      <c r="AB1942" t="s">
        <v>26</v>
      </c>
      <c r="AC1942" s="24">
        <v>3289</v>
      </c>
      <c r="AD1942" s="24">
        <v>3289</v>
      </c>
      <c r="AE1942" t="s">
        <v>26</v>
      </c>
      <c r="AF1942" t="s">
        <v>26</v>
      </c>
      <c r="AG1942" t="s">
        <v>26</v>
      </c>
      <c r="AH1942" t="s">
        <v>26</v>
      </c>
      <c r="AI1942" t="s">
        <v>26</v>
      </c>
      <c r="AJ1942" t="s">
        <v>26</v>
      </c>
      <c r="AK1942" t="s">
        <v>26</v>
      </c>
      <c r="AL1942" t="s">
        <v>26</v>
      </c>
      <c r="AM1942" t="s">
        <v>26</v>
      </c>
      <c r="AN1942" t="s">
        <v>26</v>
      </c>
      <c r="AO1942" s="25" t="s">
        <v>28</v>
      </c>
      <c r="AP1942" s="23" t="s">
        <v>29</v>
      </c>
      <c r="AQ1942" s="23" t="s">
        <v>30</v>
      </c>
      <c r="AR1942" s="23" t="s">
        <v>46</v>
      </c>
      <c r="AS1942" s="25">
        <v>5983414</v>
      </c>
      <c r="AT1942" t="s">
        <v>26</v>
      </c>
      <c r="AU1942" t="s">
        <v>24776</v>
      </c>
    </row>
    <row r="1943" spans="1:47" ht="26.25" x14ac:dyDescent="0.4">
      <c r="A1943" s="23" t="s">
        <v>5155</v>
      </c>
      <c r="B1943" t="s">
        <v>26</v>
      </c>
      <c r="C1943" s="23" t="s">
        <v>3440</v>
      </c>
      <c r="D1943" s="23" t="s">
        <v>22179</v>
      </c>
      <c r="E1943" s="23" t="s">
        <v>42</v>
      </c>
      <c r="F1943" t="s">
        <v>26</v>
      </c>
      <c r="G1943" t="s">
        <v>26</v>
      </c>
      <c r="H1943" t="s">
        <v>26</v>
      </c>
      <c r="I1943" s="24">
        <v>37987</v>
      </c>
      <c r="J1943" s="24">
        <v>37987</v>
      </c>
      <c r="K1943" t="s">
        <v>26</v>
      </c>
      <c r="L1943" s="25" t="s">
        <v>28</v>
      </c>
      <c r="M1943" t="s">
        <v>26</v>
      </c>
      <c r="N1943" t="s">
        <v>26</v>
      </c>
      <c r="O1943" t="s">
        <v>26</v>
      </c>
      <c r="P1943" s="24">
        <v>37987</v>
      </c>
      <c r="Q1943" s="24">
        <v>37987</v>
      </c>
      <c r="R1943" t="s">
        <v>26</v>
      </c>
      <c r="S1943" t="s">
        <v>26</v>
      </c>
      <c r="T1943" t="s">
        <v>26</v>
      </c>
      <c r="U1943" t="s">
        <v>26</v>
      </c>
      <c r="V1943" t="s">
        <v>26</v>
      </c>
      <c r="W1943" s="24">
        <v>37987</v>
      </c>
      <c r="X1943" s="24">
        <v>37987</v>
      </c>
      <c r="Y1943" t="s">
        <v>26</v>
      </c>
      <c r="Z1943" s="24">
        <v>37987</v>
      </c>
      <c r="AA1943" s="24">
        <v>37987</v>
      </c>
      <c r="AB1943" t="s">
        <v>26</v>
      </c>
      <c r="AC1943" t="s">
        <v>26</v>
      </c>
      <c r="AD1943" t="s">
        <v>26</v>
      </c>
      <c r="AE1943" t="s">
        <v>26</v>
      </c>
      <c r="AF1943" t="s">
        <v>26</v>
      </c>
      <c r="AG1943" t="s">
        <v>26</v>
      </c>
      <c r="AH1943" t="s">
        <v>26</v>
      </c>
      <c r="AI1943" t="s">
        <v>26</v>
      </c>
      <c r="AJ1943" t="s">
        <v>26</v>
      </c>
      <c r="AK1943" t="s">
        <v>26</v>
      </c>
      <c r="AL1943" t="s">
        <v>26</v>
      </c>
      <c r="AM1943" t="s">
        <v>26</v>
      </c>
      <c r="AN1943" t="s">
        <v>26</v>
      </c>
      <c r="AO1943" s="25" t="s">
        <v>28</v>
      </c>
      <c r="AP1943" s="23" t="s">
        <v>29</v>
      </c>
      <c r="AQ1943" s="23" t="s">
        <v>30</v>
      </c>
      <c r="AR1943" s="23" t="s">
        <v>44</v>
      </c>
      <c r="AS1943" s="25">
        <v>5488558</v>
      </c>
      <c r="AT1943" s="23" t="s">
        <v>22181</v>
      </c>
      <c r="AU1943" t="s">
        <v>24777</v>
      </c>
    </row>
    <row r="1944" spans="1:47" ht="65.650000000000006" x14ac:dyDescent="0.4">
      <c r="A1944" s="23" t="s">
        <v>5156</v>
      </c>
      <c r="B1944" t="s">
        <v>26</v>
      </c>
      <c r="C1944" s="23" t="s">
        <v>5157</v>
      </c>
      <c r="D1944" s="23" t="s">
        <v>24778</v>
      </c>
      <c r="E1944" s="23" t="s">
        <v>3513</v>
      </c>
      <c r="F1944" s="25" t="s">
        <v>5158</v>
      </c>
      <c r="G1944" t="s">
        <v>26</v>
      </c>
      <c r="H1944" t="s">
        <v>26</v>
      </c>
      <c r="I1944" s="24">
        <v>35796</v>
      </c>
      <c r="J1944" s="25" t="s">
        <v>77</v>
      </c>
      <c r="K1944" t="s">
        <v>26</v>
      </c>
      <c r="L1944" s="25" t="s">
        <v>68</v>
      </c>
      <c r="M1944" s="24">
        <v>35796</v>
      </c>
      <c r="N1944" s="25" t="s">
        <v>77</v>
      </c>
      <c r="O1944" t="s">
        <v>26</v>
      </c>
      <c r="P1944" s="24">
        <v>35796</v>
      </c>
      <c r="Q1944" s="25" t="s">
        <v>77</v>
      </c>
      <c r="R1944" t="s">
        <v>26</v>
      </c>
      <c r="S1944" t="s">
        <v>26</v>
      </c>
      <c r="T1944" t="s">
        <v>26</v>
      </c>
      <c r="U1944" t="s">
        <v>26</v>
      </c>
      <c r="V1944" t="s">
        <v>26</v>
      </c>
      <c r="W1944" s="24">
        <v>35796</v>
      </c>
      <c r="X1944" s="25" t="s">
        <v>77</v>
      </c>
      <c r="Y1944" t="s">
        <v>26</v>
      </c>
      <c r="Z1944" s="24">
        <v>35796</v>
      </c>
      <c r="AA1944" s="25" t="s">
        <v>77</v>
      </c>
      <c r="AB1944" t="s">
        <v>26</v>
      </c>
      <c r="AC1944" s="24">
        <v>35796</v>
      </c>
      <c r="AD1944" s="25" t="s">
        <v>77</v>
      </c>
      <c r="AE1944" s="25" t="s">
        <v>194</v>
      </c>
      <c r="AF1944" t="s">
        <v>26</v>
      </c>
      <c r="AG1944" t="s">
        <v>26</v>
      </c>
      <c r="AH1944" t="s">
        <v>26</v>
      </c>
      <c r="AI1944" t="s">
        <v>26</v>
      </c>
      <c r="AJ1944" t="s">
        <v>26</v>
      </c>
      <c r="AK1944" t="s">
        <v>26</v>
      </c>
      <c r="AL1944" t="s">
        <v>26</v>
      </c>
      <c r="AM1944" t="s">
        <v>26</v>
      </c>
      <c r="AN1944" t="s">
        <v>26</v>
      </c>
      <c r="AO1944" s="25" t="s">
        <v>68</v>
      </c>
      <c r="AP1944" s="23" t="s">
        <v>69</v>
      </c>
      <c r="AQ1944" s="23" t="s">
        <v>5159</v>
      </c>
      <c r="AR1944" s="23" t="s">
        <v>128</v>
      </c>
      <c r="AS1944" s="25">
        <v>286201</v>
      </c>
      <c r="AT1944" t="s">
        <v>26</v>
      </c>
      <c r="AU1944" t="s">
        <v>24779</v>
      </c>
    </row>
    <row r="1945" spans="1:47" ht="26.25" x14ac:dyDescent="0.4">
      <c r="A1945" s="23" t="s">
        <v>5160</v>
      </c>
      <c r="B1945" t="s">
        <v>26</v>
      </c>
      <c r="C1945" s="23" t="s">
        <v>1968</v>
      </c>
      <c r="D1945" s="23" t="s">
        <v>23263</v>
      </c>
      <c r="E1945" s="23" t="s">
        <v>42</v>
      </c>
      <c r="F1945" s="25" t="s">
        <v>5161</v>
      </c>
      <c r="G1945" s="25" t="s">
        <v>5162</v>
      </c>
      <c r="H1945" t="s">
        <v>26</v>
      </c>
      <c r="I1945" s="24">
        <v>31778</v>
      </c>
      <c r="J1945" s="24">
        <v>40148</v>
      </c>
      <c r="K1945" t="s">
        <v>26</v>
      </c>
      <c r="L1945" s="25" t="s">
        <v>68</v>
      </c>
      <c r="M1945" s="24">
        <v>35186</v>
      </c>
      <c r="N1945" s="24">
        <v>40148</v>
      </c>
      <c r="O1945" s="25" t="s">
        <v>24780</v>
      </c>
      <c r="P1945" s="24">
        <v>31778</v>
      </c>
      <c r="Q1945" s="24">
        <v>40148</v>
      </c>
      <c r="R1945" t="s">
        <v>26</v>
      </c>
      <c r="S1945" t="s">
        <v>26</v>
      </c>
      <c r="T1945" t="s">
        <v>26</v>
      </c>
      <c r="U1945" t="s">
        <v>26</v>
      </c>
      <c r="V1945" t="s">
        <v>26</v>
      </c>
      <c r="W1945" s="24">
        <v>26268</v>
      </c>
      <c r="X1945" s="25" t="s">
        <v>77</v>
      </c>
      <c r="Y1945" t="s">
        <v>26</v>
      </c>
      <c r="Z1945" s="24">
        <v>26268</v>
      </c>
      <c r="AA1945" s="25" t="s">
        <v>77</v>
      </c>
      <c r="AB1945" t="s">
        <v>26</v>
      </c>
      <c r="AC1945" s="24">
        <v>26268</v>
      </c>
      <c r="AD1945" s="25" t="s">
        <v>77</v>
      </c>
      <c r="AE1945" t="s">
        <v>26</v>
      </c>
      <c r="AF1945" t="s">
        <v>26</v>
      </c>
      <c r="AG1945" t="s">
        <v>26</v>
      </c>
      <c r="AH1945" t="s">
        <v>26</v>
      </c>
      <c r="AI1945" t="s">
        <v>26</v>
      </c>
      <c r="AJ1945" t="s">
        <v>26</v>
      </c>
      <c r="AK1945" t="s">
        <v>26</v>
      </c>
      <c r="AL1945" t="s">
        <v>26</v>
      </c>
      <c r="AM1945" t="s">
        <v>26</v>
      </c>
      <c r="AN1945" t="s">
        <v>26</v>
      </c>
      <c r="AO1945" s="25" t="s">
        <v>68</v>
      </c>
      <c r="AP1945" s="23" t="s">
        <v>69</v>
      </c>
      <c r="AQ1945" s="23" t="s">
        <v>30</v>
      </c>
      <c r="AR1945" s="23" t="s">
        <v>2082</v>
      </c>
      <c r="AS1945" s="25">
        <v>40737</v>
      </c>
      <c r="AT1945" t="s">
        <v>26</v>
      </c>
      <c r="AU1945" t="s">
        <v>24781</v>
      </c>
    </row>
    <row r="1946" spans="1:47" ht="26.25" x14ac:dyDescent="0.4">
      <c r="A1946" s="23" t="s">
        <v>5163</v>
      </c>
      <c r="B1946" t="s">
        <v>26</v>
      </c>
      <c r="C1946" s="23" t="s">
        <v>292</v>
      </c>
      <c r="D1946" s="23" t="s">
        <v>22256</v>
      </c>
      <c r="E1946" s="23" t="s">
        <v>42</v>
      </c>
      <c r="F1946" t="s">
        <v>26</v>
      </c>
      <c r="G1946" t="s">
        <v>26</v>
      </c>
      <c r="H1946" t="s">
        <v>26</v>
      </c>
      <c r="I1946" s="24">
        <v>39448</v>
      </c>
      <c r="J1946" s="24">
        <v>39448</v>
      </c>
      <c r="K1946" t="s">
        <v>26</v>
      </c>
      <c r="L1946" s="25" t="s">
        <v>28</v>
      </c>
      <c r="M1946" t="s">
        <v>26</v>
      </c>
      <c r="N1946" t="s">
        <v>26</v>
      </c>
      <c r="O1946" t="s">
        <v>26</v>
      </c>
      <c r="P1946" s="24">
        <v>39448</v>
      </c>
      <c r="Q1946" s="24">
        <v>39448</v>
      </c>
      <c r="R1946" t="s">
        <v>26</v>
      </c>
      <c r="S1946" t="s">
        <v>26</v>
      </c>
      <c r="T1946" t="s">
        <v>26</v>
      </c>
      <c r="U1946" t="s">
        <v>26</v>
      </c>
      <c r="V1946" t="s">
        <v>26</v>
      </c>
      <c r="W1946" s="24">
        <v>39448</v>
      </c>
      <c r="X1946" s="24">
        <v>39448</v>
      </c>
      <c r="Y1946" t="s">
        <v>26</v>
      </c>
      <c r="Z1946" s="24">
        <v>39448</v>
      </c>
      <c r="AA1946" s="24">
        <v>39448</v>
      </c>
      <c r="AB1946" t="s">
        <v>26</v>
      </c>
      <c r="AC1946" s="24">
        <v>39448</v>
      </c>
      <c r="AD1946" s="24">
        <v>39448</v>
      </c>
      <c r="AE1946" t="s">
        <v>26</v>
      </c>
      <c r="AF1946" t="s">
        <v>26</v>
      </c>
      <c r="AG1946" t="s">
        <v>26</v>
      </c>
      <c r="AH1946" t="s">
        <v>26</v>
      </c>
      <c r="AI1946" t="s">
        <v>26</v>
      </c>
      <c r="AJ1946" t="s">
        <v>26</v>
      </c>
      <c r="AK1946" t="s">
        <v>26</v>
      </c>
      <c r="AL1946" t="s">
        <v>26</v>
      </c>
      <c r="AM1946" t="s">
        <v>26</v>
      </c>
      <c r="AN1946" t="s">
        <v>26</v>
      </c>
      <c r="AO1946" s="25" t="s">
        <v>28</v>
      </c>
      <c r="AP1946" s="23" t="s">
        <v>29</v>
      </c>
      <c r="AQ1946" s="23" t="s">
        <v>30</v>
      </c>
      <c r="AR1946" s="23" t="s">
        <v>147</v>
      </c>
      <c r="AS1946" s="25">
        <v>5325187</v>
      </c>
      <c r="AT1946" s="23" t="s">
        <v>22181</v>
      </c>
      <c r="AU1946" t="s">
        <v>24782</v>
      </c>
    </row>
    <row r="1947" spans="1:47" ht="26.25" x14ac:dyDescent="0.4">
      <c r="A1947" s="23" t="s">
        <v>24783</v>
      </c>
      <c r="B1947" t="s">
        <v>26</v>
      </c>
      <c r="C1947" t="s">
        <v>26</v>
      </c>
      <c r="D1947" t="s">
        <v>26</v>
      </c>
      <c r="E1947" t="s">
        <v>26</v>
      </c>
      <c r="F1947" t="s">
        <v>26</v>
      </c>
      <c r="G1947" t="s">
        <v>26</v>
      </c>
      <c r="H1947" t="s">
        <v>26</v>
      </c>
      <c r="I1947" s="24">
        <v>3289</v>
      </c>
      <c r="J1947" s="24">
        <v>3289</v>
      </c>
      <c r="K1947" t="s">
        <v>26</v>
      </c>
      <c r="L1947" s="25" t="s">
        <v>28</v>
      </c>
      <c r="M1947" s="24">
        <v>3289</v>
      </c>
      <c r="N1947" s="24">
        <v>3289</v>
      </c>
      <c r="O1947" t="s">
        <v>26</v>
      </c>
      <c r="P1947" t="s">
        <v>26</v>
      </c>
      <c r="Q1947" t="s">
        <v>26</v>
      </c>
      <c r="R1947" t="s">
        <v>26</v>
      </c>
      <c r="S1947" t="s">
        <v>26</v>
      </c>
      <c r="T1947" t="s">
        <v>26</v>
      </c>
      <c r="U1947" t="s">
        <v>26</v>
      </c>
      <c r="V1947" t="s">
        <v>26</v>
      </c>
      <c r="W1947" s="24">
        <v>3289</v>
      </c>
      <c r="X1947" s="24">
        <v>3289</v>
      </c>
      <c r="Y1947" t="s">
        <v>26</v>
      </c>
      <c r="Z1947" s="24">
        <v>3289</v>
      </c>
      <c r="AA1947" s="24">
        <v>3289</v>
      </c>
      <c r="AB1947" t="s">
        <v>26</v>
      </c>
      <c r="AC1947" s="24">
        <v>3289</v>
      </c>
      <c r="AD1947" s="24">
        <v>3289</v>
      </c>
      <c r="AE1947" t="s">
        <v>26</v>
      </c>
      <c r="AF1947" t="s">
        <v>26</v>
      </c>
      <c r="AG1947" t="s">
        <v>26</v>
      </c>
      <c r="AH1947" t="s">
        <v>26</v>
      </c>
      <c r="AI1947" t="s">
        <v>26</v>
      </c>
      <c r="AJ1947" t="s">
        <v>26</v>
      </c>
      <c r="AK1947" t="s">
        <v>26</v>
      </c>
      <c r="AL1947" t="s">
        <v>26</v>
      </c>
      <c r="AM1947" t="s">
        <v>26</v>
      </c>
      <c r="AN1947" t="s">
        <v>26</v>
      </c>
      <c r="AO1947" s="25" t="s">
        <v>28</v>
      </c>
      <c r="AP1947" s="23" t="s">
        <v>45</v>
      </c>
      <c r="AQ1947" s="23" t="s">
        <v>30</v>
      </c>
      <c r="AR1947" s="23" t="s">
        <v>46</v>
      </c>
      <c r="AS1947" s="25">
        <v>5983380</v>
      </c>
      <c r="AT1947" t="s">
        <v>26</v>
      </c>
      <c r="AU1947" t="s">
        <v>24784</v>
      </c>
    </row>
    <row r="1948" spans="1:47" ht="13.15" x14ac:dyDescent="0.4">
      <c r="A1948" s="23" t="s">
        <v>5164</v>
      </c>
      <c r="B1948" t="s">
        <v>26</v>
      </c>
      <c r="C1948" s="23" t="s">
        <v>5165</v>
      </c>
      <c r="D1948" s="23" t="s">
        <v>24785</v>
      </c>
      <c r="E1948" s="23" t="s">
        <v>335</v>
      </c>
      <c r="F1948" s="25" t="s">
        <v>5166</v>
      </c>
      <c r="G1948" t="s">
        <v>26</v>
      </c>
      <c r="H1948" t="s">
        <v>26</v>
      </c>
      <c r="I1948" t="s">
        <v>26</v>
      </c>
      <c r="J1948" t="s">
        <v>26</v>
      </c>
      <c r="K1948" t="s">
        <v>26</v>
      </c>
      <c r="L1948" s="25" t="s">
        <v>28</v>
      </c>
      <c r="M1948" t="s">
        <v>26</v>
      </c>
      <c r="N1948" t="s">
        <v>26</v>
      </c>
      <c r="O1948" t="s">
        <v>26</v>
      </c>
      <c r="P1948" t="s">
        <v>26</v>
      </c>
      <c r="Q1948" t="s">
        <v>26</v>
      </c>
      <c r="R1948" t="s">
        <v>26</v>
      </c>
      <c r="S1948" t="s">
        <v>26</v>
      </c>
      <c r="T1948" t="s">
        <v>26</v>
      </c>
      <c r="U1948" t="s">
        <v>26</v>
      </c>
      <c r="V1948" t="s">
        <v>26</v>
      </c>
      <c r="W1948" s="24">
        <v>33756</v>
      </c>
      <c r="X1948" s="24">
        <v>41000</v>
      </c>
      <c r="Y1948" t="s">
        <v>26</v>
      </c>
      <c r="Z1948" s="24">
        <v>33756</v>
      </c>
      <c r="AA1948" s="24">
        <v>41000</v>
      </c>
      <c r="AB1948" t="s">
        <v>26</v>
      </c>
      <c r="AC1948" t="s">
        <v>26</v>
      </c>
      <c r="AD1948" t="s">
        <v>26</v>
      </c>
      <c r="AE1948" t="s">
        <v>26</v>
      </c>
      <c r="AF1948" t="s">
        <v>26</v>
      </c>
      <c r="AG1948" t="s">
        <v>26</v>
      </c>
      <c r="AH1948" t="s">
        <v>26</v>
      </c>
      <c r="AI1948" t="s">
        <v>26</v>
      </c>
      <c r="AJ1948" t="s">
        <v>26</v>
      </c>
      <c r="AK1948" t="s">
        <v>26</v>
      </c>
      <c r="AL1948" t="s">
        <v>26</v>
      </c>
      <c r="AM1948" t="s">
        <v>26</v>
      </c>
      <c r="AN1948" t="s">
        <v>26</v>
      </c>
      <c r="AO1948" s="25" t="s">
        <v>28</v>
      </c>
      <c r="AP1948" s="23" t="s">
        <v>211</v>
      </c>
      <c r="AQ1948" s="23" t="s">
        <v>30</v>
      </c>
      <c r="AR1948" s="23" t="s">
        <v>337</v>
      </c>
      <c r="AS1948" s="25">
        <v>29413</v>
      </c>
      <c r="AT1948" t="s">
        <v>26</v>
      </c>
      <c r="AU1948" t="s">
        <v>24786</v>
      </c>
    </row>
    <row r="1949" spans="1:47" ht="26.25" x14ac:dyDescent="0.4">
      <c r="A1949" s="23" t="s">
        <v>5167</v>
      </c>
      <c r="B1949" t="s">
        <v>26</v>
      </c>
      <c r="C1949" s="23" t="s">
        <v>80</v>
      </c>
      <c r="D1949" s="23" t="s">
        <v>22184</v>
      </c>
      <c r="E1949" s="23" t="s">
        <v>60</v>
      </c>
      <c r="F1949" s="25" t="s">
        <v>5168</v>
      </c>
      <c r="G1949" s="25" t="s">
        <v>5169</v>
      </c>
      <c r="H1949" t="s">
        <v>26</v>
      </c>
      <c r="I1949" t="s">
        <v>26</v>
      </c>
      <c r="J1949" t="s">
        <v>26</v>
      </c>
      <c r="K1949" t="s">
        <v>26</v>
      </c>
      <c r="L1949" s="25" t="s">
        <v>68</v>
      </c>
      <c r="M1949" t="s">
        <v>26</v>
      </c>
      <c r="N1949" t="s">
        <v>26</v>
      </c>
      <c r="O1949" t="s">
        <v>26</v>
      </c>
      <c r="P1949" t="s">
        <v>26</v>
      </c>
      <c r="Q1949" t="s">
        <v>26</v>
      </c>
      <c r="R1949" t="s">
        <v>26</v>
      </c>
      <c r="S1949" t="s">
        <v>26</v>
      </c>
      <c r="T1949" t="s">
        <v>26</v>
      </c>
      <c r="U1949" t="s">
        <v>26</v>
      </c>
      <c r="V1949" t="s">
        <v>26</v>
      </c>
      <c r="W1949" s="24">
        <v>42736</v>
      </c>
      <c r="X1949" s="25" t="s">
        <v>77</v>
      </c>
      <c r="Y1949" t="s">
        <v>26</v>
      </c>
      <c r="Z1949" s="24">
        <v>42736</v>
      </c>
      <c r="AA1949" s="25" t="s">
        <v>77</v>
      </c>
      <c r="AB1949" t="s">
        <v>26</v>
      </c>
      <c r="AC1949" s="24">
        <v>42736</v>
      </c>
      <c r="AD1949" s="25" t="s">
        <v>77</v>
      </c>
      <c r="AE1949" t="s">
        <v>26</v>
      </c>
      <c r="AF1949" t="s">
        <v>26</v>
      </c>
      <c r="AG1949" t="s">
        <v>26</v>
      </c>
      <c r="AH1949" t="s">
        <v>26</v>
      </c>
      <c r="AI1949" t="s">
        <v>26</v>
      </c>
      <c r="AJ1949" t="s">
        <v>26</v>
      </c>
      <c r="AK1949" t="s">
        <v>26</v>
      </c>
      <c r="AL1949" t="s">
        <v>26</v>
      </c>
      <c r="AM1949" t="s">
        <v>26</v>
      </c>
      <c r="AN1949" t="s">
        <v>26</v>
      </c>
      <c r="AO1949" s="25" t="s">
        <v>68</v>
      </c>
      <c r="AP1949" s="23" t="s">
        <v>69</v>
      </c>
      <c r="AQ1949" s="23" t="s">
        <v>30</v>
      </c>
      <c r="AR1949" s="23" t="s">
        <v>5170</v>
      </c>
      <c r="AS1949" s="25">
        <v>2045304</v>
      </c>
      <c r="AT1949" t="s">
        <v>26</v>
      </c>
      <c r="AU1949" t="s">
        <v>24787</v>
      </c>
    </row>
    <row r="1950" spans="1:47" ht="26.25" x14ac:dyDescent="0.4">
      <c r="A1950" s="23" t="s">
        <v>5171</v>
      </c>
      <c r="B1950" t="s">
        <v>26</v>
      </c>
      <c r="C1950" s="23" t="s">
        <v>264</v>
      </c>
      <c r="D1950" s="23" t="s">
        <v>23125</v>
      </c>
      <c r="E1950" s="23" t="s">
        <v>60</v>
      </c>
      <c r="F1950" s="25" t="s">
        <v>5172</v>
      </c>
      <c r="G1950" s="25" t="s">
        <v>5173</v>
      </c>
      <c r="H1950" t="s">
        <v>26</v>
      </c>
      <c r="I1950" s="24">
        <v>33604</v>
      </c>
      <c r="J1950" s="25" t="s">
        <v>77</v>
      </c>
      <c r="K1950" t="s">
        <v>26</v>
      </c>
      <c r="L1950" s="25" t="s">
        <v>68</v>
      </c>
      <c r="M1950" s="24">
        <v>33604</v>
      </c>
      <c r="N1950" s="25" t="s">
        <v>77</v>
      </c>
      <c r="O1950" t="s">
        <v>26</v>
      </c>
      <c r="P1950" s="24">
        <v>33604</v>
      </c>
      <c r="Q1950" s="25" t="s">
        <v>77</v>
      </c>
      <c r="R1950" s="25" t="s">
        <v>22757</v>
      </c>
      <c r="S1950" t="s">
        <v>26</v>
      </c>
      <c r="T1950" t="s">
        <v>26</v>
      </c>
      <c r="U1950" t="s">
        <v>26</v>
      </c>
      <c r="V1950" s="25">
        <v>365</v>
      </c>
      <c r="W1950" s="24">
        <v>30317</v>
      </c>
      <c r="X1950" s="25" t="s">
        <v>77</v>
      </c>
      <c r="Y1950" t="s">
        <v>26</v>
      </c>
      <c r="Z1950" s="24">
        <v>30317</v>
      </c>
      <c r="AA1950" s="25" t="s">
        <v>77</v>
      </c>
      <c r="AB1950" t="s">
        <v>26</v>
      </c>
      <c r="AC1950" s="24">
        <v>30317</v>
      </c>
      <c r="AD1950" s="25" t="s">
        <v>77</v>
      </c>
      <c r="AE1950" t="s">
        <v>26</v>
      </c>
      <c r="AF1950" t="s">
        <v>26</v>
      </c>
      <c r="AG1950" t="s">
        <v>26</v>
      </c>
      <c r="AH1950" t="s">
        <v>26</v>
      </c>
      <c r="AI1950" t="s">
        <v>26</v>
      </c>
      <c r="AJ1950" t="s">
        <v>26</v>
      </c>
      <c r="AK1950" t="s">
        <v>26</v>
      </c>
      <c r="AL1950" t="s">
        <v>26</v>
      </c>
      <c r="AM1950" t="s">
        <v>26</v>
      </c>
      <c r="AN1950" t="s">
        <v>26</v>
      </c>
      <c r="AO1950" s="25" t="s">
        <v>68</v>
      </c>
      <c r="AP1950" s="23" t="s">
        <v>69</v>
      </c>
      <c r="AQ1950" s="23" t="s">
        <v>30</v>
      </c>
      <c r="AR1950" s="23" t="s">
        <v>2389</v>
      </c>
      <c r="AS1950" s="25">
        <v>37391</v>
      </c>
      <c r="AT1950" t="s">
        <v>26</v>
      </c>
      <c r="AU1950" t="s">
        <v>24788</v>
      </c>
    </row>
    <row r="1951" spans="1:47" ht="26.25" x14ac:dyDescent="0.4">
      <c r="A1951" s="23" t="s">
        <v>5174</v>
      </c>
      <c r="B1951" t="s">
        <v>26</v>
      </c>
      <c r="C1951" s="23" t="s">
        <v>1968</v>
      </c>
      <c r="D1951" s="23" t="s">
        <v>23263</v>
      </c>
      <c r="E1951" s="23" t="s">
        <v>42</v>
      </c>
      <c r="F1951" s="25" t="s">
        <v>5175</v>
      </c>
      <c r="G1951" s="25" t="s">
        <v>5176</v>
      </c>
      <c r="H1951" t="s">
        <v>26</v>
      </c>
      <c r="I1951" s="24">
        <v>36161</v>
      </c>
      <c r="J1951" s="24">
        <v>40118</v>
      </c>
      <c r="K1951" t="s">
        <v>26</v>
      </c>
      <c r="L1951" s="25" t="s">
        <v>68</v>
      </c>
      <c r="M1951" s="24">
        <v>36161</v>
      </c>
      <c r="N1951" s="24">
        <v>40118</v>
      </c>
      <c r="O1951" t="s">
        <v>26</v>
      </c>
      <c r="P1951" s="24">
        <v>36161</v>
      </c>
      <c r="Q1951" s="24">
        <v>40118</v>
      </c>
      <c r="R1951" t="s">
        <v>26</v>
      </c>
      <c r="S1951" t="s">
        <v>26</v>
      </c>
      <c r="T1951" t="s">
        <v>26</v>
      </c>
      <c r="U1951" t="s">
        <v>26</v>
      </c>
      <c r="V1951" t="s">
        <v>26</v>
      </c>
      <c r="W1951" s="24">
        <v>30682</v>
      </c>
      <c r="X1951" s="25" t="s">
        <v>77</v>
      </c>
      <c r="Y1951" t="s">
        <v>26</v>
      </c>
      <c r="Z1951" s="24">
        <v>30682</v>
      </c>
      <c r="AA1951" s="25" t="s">
        <v>77</v>
      </c>
      <c r="AB1951" t="s">
        <v>26</v>
      </c>
      <c r="AC1951" s="24">
        <v>30682</v>
      </c>
      <c r="AD1951" s="25" t="s">
        <v>77</v>
      </c>
      <c r="AE1951" t="s">
        <v>26</v>
      </c>
      <c r="AF1951" t="s">
        <v>26</v>
      </c>
      <c r="AG1951" t="s">
        <v>26</v>
      </c>
      <c r="AH1951" t="s">
        <v>26</v>
      </c>
      <c r="AI1951" t="s">
        <v>26</v>
      </c>
      <c r="AJ1951" t="s">
        <v>26</v>
      </c>
      <c r="AK1951" t="s">
        <v>26</v>
      </c>
      <c r="AL1951" t="s">
        <v>26</v>
      </c>
      <c r="AM1951" t="s">
        <v>26</v>
      </c>
      <c r="AN1951" t="s">
        <v>26</v>
      </c>
      <c r="AO1951" s="25" t="s">
        <v>68</v>
      </c>
      <c r="AP1951" s="23" t="s">
        <v>69</v>
      </c>
      <c r="AQ1951" s="23" t="s">
        <v>30</v>
      </c>
      <c r="AR1951" s="23" t="s">
        <v>2389</v>
      </c>
      <c r="AS1951" s="25">
        <v>4802</v>
      </c>
      <c r="AT1951" t="s">
        <v>26</v>
      </c>
      <c r="AU1951" t="s">
        <v>24789</v>
      </c>
    </row>
    <row r="1952" spans="1:47" ht="26.25" x14ac:dyDescent="0.4">
      <c r="A1952" s="23" t="s">
        <v>5177</v>
      </c>
      <c r="B1952" t="s">
        <v>26</v>
      </c>
      <c r="C1952" s="23" t="s">
        <v>80</v>
      </c>
      <c r="D1952" s="23" t="s">
        <v>22179</v>
      </c>
      <c r="E1952" s="23" t="s">
        <v>60</v>
      </c>
      <c r="F1952" s="25" t="s">
        <v>5178</v>
      </c>
      <c r="G1952" s="25" t="s">
        <v>5179</v>
      </c>
      <c r="H1952" t="s">
        <v>26</v>
      </c>
      <c r="I1952" s="24">
        <v>34700</v>
      </c>
      <c r="J1952" s="24">
        <v>35796</v>
      </c>
      <c r="K1952" t="s">
        <v>26</v>
      </c>
      <c r="L1952" s="25" t="s">
        <v>68</v>
      </c>
      <c r="M1952" s="24">
        <v>34700</v>
      </c>
      <c r="N1952" s="24">
        <v>35796</v>
      </c>
      <c r="O1952" t="s">
        <v>26</v>
      </c>
      <c r="P1952" s="24">
        <v>34700</v>
      </c>
      <c r="Q1952" s="24">
        <v>35796</v>
      </c>
      <c r="R1952" t="s">
        <v>26</v>
      </c>
      <c r="S1952" t="s">
        <v>26</v>
      </c>
      <c r="T1952" t="s">
        <v>26</v>
      </c>
      <c r="U1952" t="s">
        <v>26</v>
      </c>
      <c r="V1952" t="s">
        <v>26</v>
      </c>
      <c r="W1952" s="24">
        <v>28549</v>
      </c>
      <c r="X1952" s="25" t="s">
        <v>77</v>
      </c>
      <c r="Y1952" t="s">
        <v>26</v>
      </c>
      <c r="Z1952" s="24">
        <v>28549</v>
      </c>
      <c r="AA1952" s="25" t="s">
        <v>77</v>
      </c>
      <c r="AB1952" t="s">
        <v>26</v>
      </c>
      <c r="AC1952" s="24">
        <v>28549</v>
      </c>
      <c r="AD1952" s="25" t="s">
        <v>77</v>
      </c>
      <c r="AE1952" t="s">
        <v>26</v>
      </c>
      <c r="AF1952" t="s">
        <v>26</v>
      </c>
      <c r="AG1952" t="s">
        <v>26</v>
      </c>
      <c r="AH1952" t="s">
        <v>26</v>
      </c>
      <c r="AI1952" t="s">
        <v>26</v>
      </c>
      <c r="AJ1952" t="s">
        <v>26</v>
      </c>
      <c r="AK1952" t="s">
        <v>26</v>
      </c>
      <c r="AL1952" t="s">
        <v>26</v>
      </c>
      <c r="AM1952" t="s">
        <v>26</v>
      </c>
      <c r="AN1952" t="s">
        <v>26</v>
      </c>
      <c r="AO1952" s="25" t="s">
        <v>68</v>
      </c>
      <c r="AP1952" s="23" t="s">
        <v>69</v>
      </c>
      <c r="AQ1952" s="23" t="s">
        <v>30</v>
      </c>
      <c r="AR1952" s="23" t="s">
        <v>5180</v>
      </c>
      <c r="AS1952" s="25">
        <v>47143</v>
      </c>
      <c r="AT1952" t="s">
        <v>26</v>
      </c>
      <c r="AU1952" t="s">
        <v>24790</v>
      </c>
    </row>
    <row r="1953" spans="1:47" ht="26.25" x14ac:dyDescent="0.4">
      <c r="A1953" s="23" t="s">
        <v>5181</v>
      </c>
      <c r="B1953" t="s">
        <v>26</v>
      </c>
      <c r="C1953" s="23" t="s">
        <v>80</v>
      </c>
      <c r="D1953" s="23" t="s">
        <v>22190</v>
      </c>
      <c r="E1953" s="23" t="s">
        <v>60</v>
      </c>
      <c r="F1953" s="25" t="s">
        <v>5182</v>
      </c>
      <c r="G1953" s="25" t="s">
        <v>5183</v>
      </c>
      <c r="H1953" t="s">
        <v>26</v>
      </c>
      <c r="I1953" t="s">
        <v>26</v>
      </c>
      <c r="J1953" t="s">
        <v>26</v>
      </c>
      <c r="K1953" t="s">
        <v>26</v>
      </c>
      <c r="L1953" s="25" t="s">
        <v>68</v>
      </c>
      <c r="M1953" t="s">
        <v>26</v>
      </c>
      <c r="N1953" t="s">
        <v>26</v>
      </c>
      <c r="O1953" t="s">
        <v>26</v>
      </c>
      <c r="P1953" t="s">
        <v>26</v>
      </c>
      <c r="Q1953" t="s">
        <v>26</v>
      </c>
      <c r="R1953" t="s">
        <v>26</v>
      </c>
      <c r="S1953" t="s">
        <v>26</v>
      </c>
      <c r="T1953" t="s">
        <v>26</v>
      </c>
      <c r="U1953" t="s">
        <v>26</v>
      </c>
      <c r="V1953" t="s">
        <v>26</v>
      </c>
      <c r="W1953" s="24">
        <v>37987</v>
      </c>
      <c r="X1953" s="25" t="s">
        <v>77</v>
      </c>
      <c r="Y1953" t="s">
        <v>26</v>
      </c>
      <c r="Z1953" s="24">
        <v>37987</v>
      </c>
      <c r="AA1953" s="25" t="s">
        <v>77</v>
      </c>
      <c r="AB1953" t="s">
        <v>26</v>
      </c>
      <c r="AC1953" s="24">
        <v>37987</v>
      </c>
      <c r="AD1953" s="25" t="s">
        <v>77</v>
      </c>
      <c r="AE1953" t="s">
        <v>26</v>
      </c>
      <c r="AF1953" t="s">
        <v>26</v>
      </c>
      <c r="AG1953" t="s">
        <v>26</v>
      </c>
      <c r="AH1953" t="s">
        <v>26</v>
      </c>
      <c r="AI1953" t="s">
        <v>26</v>
      </c>
      <c r="AJ1953" t="s">
        <v>26</v>
      </c>
      <c r="AK1953" t="s">
        <v>26</v>
      </c>
      <c r="AL1953" t="s">
        <v>26</v>
      </c>
      <c r="AM1953" t="s">
        <v>26</v>
      </c>
      <c r="AN1953" t="s">
        <v>26</v>
      </c>
      <c r="AO1953" s="25" t="s">
        <v>68</v>
      </c>
      <c r="AP1953" s="23" t="s">
        <v>69</v>
      </c>
      <c r="AQ1953" s="23" t="s">
        <v>30</v>
      </c>
      <c r="AR1953" s="23" t="s">
        <v>1639</v>
      </c>
      <c r="AS1953" s="25">
        <v>32558</v>
      </c>
      <c r="AT1953" t="s">
        <v>26</v>
      </c>
      <c r="AU1953" t="s">
        <v>24791</v>
      </c>
    </row>
    <row r="1954" spans="1:47" ht="26.25" x14ac:dyDescent="0.4">
      <c r="A1954" s="23" t="s">
        <v>5184</v>
      </c>
      <c r="B1954" t="s">
        <v>26</v>
      </c>
      <c r="C1954" s="23" t="s">
        <v>24792</v>
      </c>
      <c r="D1954" s="23" t="s">
        <v>22179</v>
      </c>
      <c r="E1954" s="23" t="s">
        <v>42</v>
      </c>
      <c r="F1954" t="s">
        <v>26</v>
      </c>
      <c r="G1954" t="s">
        <v>26</v>
      </c>
      <c r="H1954" t="s">
        <v>26</v>
      </c>
      <c r="I1954" s="24">
        <v>35796</v>
      </c>
      <c r="J1954" s="24">
        <v>39083</v>
      </c>
      <c r="K1954" t="s">
        <v>26</v>
      </c>
      <c r="L1954" s="25" t="s">
        <v>28</v>
      </c>
      <c r="M1954" s="24">
        <v>35796</v>
      </c>
      <c r="N1954" s="24">
        <v>39083</v>
      </c>
      <c r="O1954" t="s">
        <v>26</v>
      </c>
      <c r="P1954" t="s">
        <v>26</v>
      </c>
      <c r="Q1954" t="s">
        <v>26</v>
      </c>
      <c r="R1954" t="s">
        <v>26</v>
      </c>
      <c r="S1954" s="24">
        <v>35796</v>
      </c>
      <c r="T1954" s="24">
        <v>39083</v>
      </c>
      <c r="U1954" t="s">
        <v>26</v>
      </c>
      <c r="V1954" t="s">
        <v>26</v>
      </c>
      <c r="W1954" s="24">
        <v>35796</v>
      </c>
      <c r="X1954" s="24">
        <v>39083</v>
      </c>
      <c r="Y1954" t="s">
        <v>26</v>
      </c>
      <c r="Z1954" s="24">
        <v>35796</v>
      </c>
      <c r="AA1954" s="24">
        <v>39083</v>
      </c>
      <c r="AB1954" t="s">
        <v>26</v>
      </c>
      <c r="AC1954" s="24">
        <v>35796</v>
      </c>
      <c r="AD1954" s="24">
        <v>39083</v>
      </c>
      <c r="AE1954" t="s">
        <v>26</v>
      </c>
      <c r="AF1954" s="24">
        <v>35796</v>
      </c>
      <c r="AG1954" s="24">
        <v>39083</v>
      </c>
      <c r="AH1954" t="s">
        <v>26</v>
      </c>
      <c r="AI1954" s="24">
        <v>35796</v>
      </c>
      <c r="AJ1954" s="24">
        <v>39083</v>
      </c>
      <c r="AK1954" t="s">
        <v>26</v>
      </c>
      <c r="AL1954" t="s">
        <v>26</v>
      </c>
      <c r="AM1954" t="s">
        <v>26</v>
      </c>
      <c r="AN1954" t="s">
        <v>26</v>
      </c>
      <c r="AO1954" s="25" t="s">
        <v>28</v>
      </c>
      <c r="AP1954" s="23" t="s">
        <v>43</v>
      </c>
      <c r="AQ1954" s="23" t="s">
        <v>30</v>
      </c>
      <c r="AR1954" s="23" t="s">
        <v>46</v>
      </c>
      <c r="AS1954" s="25">
        <v>6362720</v>
      </c>
      <c r="AT1954" t="s">
        <v>26</v>
      </c>
      <c r="AU1954" t="s">
        <v>24793</v>
      </c>
    </row>
    <row r="1955" spans="1:47" ht="26.25" x14ac:dyDescent="0.4">
      <c r="A1955" s="23" t="s">
        <v>5185</v>
      </c>
      <c r="B1955" t="s">
        <v>26</v>
      </c>
      <c r="C1955" s="23" t="s">
        <v>59</v>
      </c>
      <c r="D1955" s="23" t="s">
        <v>22174</v>
      </c>
      <c r="E1955" s="23" t="s">
        <v>60</v>
      </c>
      <c r="F1955" t="s">
        <v>26</v>
      </c>
      <c r="G1955" t="s">
        <v>26</v>
      </c>
      <c r="H1955" s="25" t="s">
        <v>5186</v>
      </c>
      <c r="I1955" s="24">
        <v>41640</v>
      </c>
      <c r="J1955" s="24">
        <v>41640</v>
      </c>
      <c r="K1955" t="s">
        <v>26</v>
      </c>
      <c r="L1955" s="25" t="s">
        <v>28</v>
      </c>
      <c r="M1955" s="24">
        <v>41640</v>
      </c>
      <c r="N1955" s="24">
        <v>41640</v>
      </c>
      <c r="O1955" t="s">
        <v>26</v>
      </c>
      <c r="P1955" s="24">
        <v>41640</v>
      </c>
      <c r="Q1955" s="24">
        <v>41640</v>
      </c>
      <c r="R1955" t="s">
        <v>26</v>
      </c>
      <c r="S1955" t="s">
        <v>26</v>
      </c>
      <c r="T1955" t="s">
        <v>26</v>
      </c>
      <c r="U1955" t="s">
        <v>26</v>
      </c>
      <c r="V1955" t="s">
        <v>26</v>
      </c>
      <c r="W1955" s="24">
        <v>41640</v>
      </c>
      <c r="X1955" s="24">
        <v>41640</v>
      </c>
      <c r="Y1955" t="s">
        <v>26</v>
      </c>
      <c r="Z1955" s="24">
        <v>41640</v>
      </c>
      <c r="AA1955" s="24">
        <v>41640</v>
      </c>
      <c r="AB1955" t="s">
        <v>26</v>
      </c>
      <c r="AC1955" s="24">
        <v>41640</v>
      </c>
      <c r="AD1955" s="24">
        <v>41640</v>
      </c>
      <c r="AE1955" t="s">
        <v>26</v>
      </c>
      <c r="AF1955" t="s">
        <v>26</v>
      </c>
      <c r="AG1955" t="s">
        <v>26</v>
      </c>
      <c r="AH1955" t="s">
        <v>26</v>
      </c>
      <c r="AI1955" t="s">
        <v>26</v>
      </c>
      <c r="AJ1955" t="s">
        <v>26</v>
      </c>
      <c r="AK1955" t="s">
        <v>26</v>
      </c>
      <c r="AL1955" t="s">
        <v>26</v>
      </c>
      <c r="AM1955" t="s">
        <v>26</v>
      </c>
      <c r="AN1955" t="s">
        <v>26</v>
      </c>
      <c r="AO1955" s="25" t="s">
        <v>28</v>
      </c>
      <c r="AP1955" s="23" t="s">
        <v>29</v>
      </c>
      <c r="AQ1955" s="23" t="s">
        <v>30</v>
      </c>
      <c r="AR1955" s="23" t="s">
        <v>2282</v>
      </c>
      <c r="AS1955" s="25">
        <v>2043166</v>
      </c>
      <c r="AT1955" t="s">
        <v>26</v>
      </c>
      <c r="AU1955" t="s">
        <v>24794</v>
      </c>
    </row>
    <row r="1956" spans="1:47" ht="26.25" x14ac:dyDescent="0.4">
      <c r="A1956" s="23" t="s">
        <v>5187</v>
      </c>
      <c r="B1956" t="s">
        <v>26</v>
      </c>
      <c r="C1956" s="23" t="s">
        <v>213</v>
      </c>
      <c r="D1956" s="23" t="s">
        <v>22174</v>
      </c>
      <c r="E1956" s="23" t="s">
        <v>60</v>
      </c>
      <c r="F1956" t="s">
        <v>26</v>
      </c>
      <c r="G1956" s="25" t="s">
        <v>5188</v>
      </c>
      <c r="H1956" t="s">
        <v>26</v>
      </c>
      <c r="I1956" s="24">
        <v>43466</v>
      </c>
      <c r="J1956" s="25" t="s">
        <v>77</v>
      </c>
      <c r="K1956" t="s">
        <v>26</v>
      </c>
      <c r="L1956" s="25" t="s">
        <v>68</v>
      </c>
      <c r="M1956" s="24">
        <v>43466</v>
      </c>
      <c r="N1956" s="25" t="s">
        <v>77</v>
      </c>
      <c r="O1956" t="s">
        <v>26</v>
      </c>
      <c r="P1956" s="24">
        <v>43466</v>
      </c>
      <c r="Q1956" s="25" t="s">
        <v>77</v>
      </c>
      <c r="R1956" t="s">
        <v>26</v>
      </c>
      <c r="S1956" t="s">
        <v>26</v>
      </c>
      <c r="T1956" t="s">
        <v>26</v>
      </c>
      <c r="U1956" t="s">
        <v>26</v>
      </c>
      <c r="V1956" t="s">
        <v>26</v>
      </c>
      <c r="W1956" s="24">
        <v>43466</v>
      </c>
      <c r="X1956" s="25" t="s">
        <v>77</v>
      </c>
      <c r="Y1956" t="s">
        <v>26</v>
      </c>
      <c r="Z1956" s="24">
        <v>43466</v>
      </c>
      <c r="AA1956" s="25" t="s">
        <v>77</v>
      </c>
      <c r="AB1956" t="s">
        <v>26</v>
      </c>
      <c r="AC1956" s="24">
        <v>43466</v>
      </c>
      <c r="AD1956" s="25" t="s">
        <v>77</v>
      </c>
      <c r="AE1956" t="s">
        <v>26</v>
      </c>
      <c r="AF1956" t="s">
        <v>26</v>
      </c>
      <c r="AG1956" t="s">
        <v>26</v>
      </c>
      <c r="AH1956" t="s">
        <v>26</v>
      </c>
      <c r="AI1956" t="s">
        <v>26</v>
      </c>
      <c r="AJ1956" t="s">
        <v>26</v>
      </c>
      <c r="AK1956" t="s">
        <v>26</v>
      </c>
      <c r="AL1956" t="s">
        <v>26</v>
      </c>
      <c r="AM1956" t="s">
        <v>26</v>
      </c>
      <c r="AN1956" t="s">
        <v>26</v>
      </c>
      <c r="AO1956" s="25" t="s">
        <v>68</v>
      </c>
      <c r="AP1956" s="23" t="s">
        <v>69</v>
      </c>
      <c r="AQ1956" s="23" t="s">
        <v>30</v>
      </c>
      <c r="AR1956" s="23" t="s">
        <v>996</v>
      </c>
      <c r="AS1956" s="25">
        <v>5068520</v>
      </c>
      <c r="AT1956" t="s">
        <v>26</v>
      </c>
      <c r="AU1956" t="s">
        <v>24795</v>
      </c>
    </row>
    <row r="1957" spans="1:47" ht="26.25" x14ac:dyDescent="0.4">
      <c r="A1957" s="23" t="s">
        <v>5189</v>
      </c>
      <c r="B1957" t="s">
        <v>26</v>
      </c>
      <c r="C1957" s="23" t="s">
        <v>80</v>
      </c>
      <c r="D1957" s="23" t="s">
        <v>22256</v>
      </c>
      <c r="E1957" s="23" t="s">
        <v>60</v>
      </c>
      <c r="F1957" s="25" t="s">
        <v>5190</v>
      </c>
      <c r="G1957" s="25" t="s">
        <v>5191</v>
      </c>
      <c r="H1957" t="s">
        <v>26</v>
      </c>
      <c r="I1957" s="24">
        <v>35521</v>
      </c>
      <c r="J1957" s="24">
        <v>39814</v>
      </c>
      <c r="K1957" t="s">
        <v>26</v>
      </c>
      <c r="L1957" s="25" t="s">
        <v>68</v>
      </c>
      <c r="M1957" s="24">
        <v>35521</v>
      </c>
      <c r="N1957" s="24">
        <v>39814</v>
      </c>
      <c r="O1957" t="s">
        <v>26</v>
      </c>
      <c r="P1957" s="24">
        <v>35521</v>
      </c>
      <c r="Q1957" s="24">
        <v>39814</v>
      </c>
      <c r="R1957" t="s">
        <v>26</v>
      </c>
      <c r="S1957" t="s">
        <v>26</v>
      </c>
      <c r="T1957" t="s">
        <v>26</v>
      </c>
      <c r="U1957" t="s">
        <v>26</v>
      </c>
      <c r="V1957" t="s">
        <v>26</v>
      </c>
      <c r="W1957" s="24">
        <v>35521</v>
      </c>
      <c r="X1957" s="25" t="s">
        <v>77</v>
      </c>
      <c r="Y1957" t="s">
        <v>26</v>
      </c>
      <c r="Z1957" s="24">
        <v>35521</v>
      </c>
      <c r="AA1957" s="25" t="s">
        <v>77</v>
      </c>
      <c r="AB1957" t="s">
        <v>26</v>
      </c>
      <c r="AC1957" s="24">
        <v>37987</v>
      </c>
      <c r="AD1957" s="25" t="s">
        <v>77</v>
      </c>
      <c r="AE1957" t="s">
        <v>26</v>
      </c>
      <c r="AF1957" t="s">
        <v>26</v>
      </c>
      <c r="AG1957" t="s">
        <v>26</v>
      </c>
      <c r="AH1957" t="s">
        <v>26</v>
      </c>
      <c r="AI1957" t="s">
        <v>26</v>
      </c>
      <c r="AJ1957" t="s">
        <v>26</v>
      </c>
      <c r="AK1957" t="s">
        <v>26</v>
      </c>
      <c r="AL1957" t="s">
        <v>26</v>
      </c>
      <c r="AM1957" t="s">
        <v>26</v>
      </c>
      <c r="AN1957" t="s">
        <v>26</v>
      </c>
      <c r="AO1957" s="25" t="s">
        <v>68</v>
      </c>
      <c r="AP1957" s="23" t="s">
        <v>69</v>
      </c>
      <c r="AQ1957" s="23" t="s">
        <v>30</v>
      </c>
      <c r="AR1957" s="23" t="s">
        <v>123</v>
      </c>
      <c r="AS1957" s="25">
        <v>34423</v>
      </c>
      <c r="AT1957" t="s">
        <v>26</v>
      </c>
      <c r="AU1957" t="s">
        <v>24796</v>
      </c>
    </row>
    <row r="1958" spans="1:47" ht="26.25" x14ac:dyDescent="0.4">
      <c r="A1958" s="23" t="s">
        <v>5192</v>
      </c>
      <c r="B1958" t="s">
        <v>26</v>
      </c>
      <c r="C1958" s="23" t="s">
        <v>80</v>
      </c>
      <c r="D1958" s="23" t="s">
        <v>22190</v>
      </c>
      <c r="E1958" s="23" t="s">
        <v>60</v>
      </c>
      <c r="F1958" s="25" t="s">
        <v>5193</v>
      </c>
      <c r="G1958" s="25" t="s">
        <v>5194</v>
      </c>
      <c r="H1958" t="s">
        <v>26</v>
      </c>
      <c r="I1958" t="s">
        <v>26</v>
      </c>
      <c r="J1958" t="s">
        <v>26</v>
      </c>
      <c r="K1958" t="s">
        <v>26</v>
      </c>
      <c r="L1958" s="25" t="s">
        <v>68</v>
      </c>
      <c r="M1958" t="s">
        <v>26</v>
      </c>
      <c r="N1958" t="s">
        <v>26</v>
      </c>
      <c r="O1958" t="s">
        <v>26</v>
      </c>
      <c r="P1958" t="s">
        <v>26</v>
      </c>
      <c r="Q1958" t="s">
        <v>26</v>
      </c>
      <c r="R1958" t="s">
        <v>26</v>
      </c>
      <c r="S1958" t="s">
        <v>26</v>
      </c>
      <c r="T1958" t="s">
        <v>26</v>
      </c>
      <c r="U1958" t="s">
        <v>26</v>
      </c>
      <c r="V1958" t="s">
        <v>26</v>
      </c>
      <c r="W1958" s="24">
        <v>37987</v>
      </c>
      <c r="X1958" s="25" t="s">
        <v>77</v>
      </c>
      <c r="Y1958" t="s">
        <v>26</v>
      </c>
      <c r="Z1958" s="24">
        <v>37987</v>
      </c>
      <c r="AA1958" s="25" t="s">
        <v>77</v>
      </c>
      <c r="AB1958" t="s">
        <v>26</v>
      </c>
      <c r="AC1958" s="24">
        <v>37987</v>
      </c>
      <c r="AD1958" s="25" t="s">
        <v>77</v>
      </c>
      <c r="AE1958" t="s">
        <v>26</v>
      </c>
      <c r="AF1958" t="s">
        <v>26</v>
      </c>
      <c r="AG1958" t="s">
        <v>26</v>
      </c>
      <c r="AH1958" t="s">
        <v>26</v>
      </c>
      <c r="AI1958" t="s">
        <v>26</v>
      </c>
      <c r="AJ1958" t="s">
        <v>26</v>
      </c>
      <c r="AK1958" t="s">
        <v>26</v>
      </c>
      <c r="AL1958" t="s">
        <v>26</v>
      </c>
      <c r="AM1958" t="s">
        <v>26</v>
      </c>
      <c r="AN1958" t="s">
        <v>26</v>
      </c>
      <c r="AO1958" s="25" t="s">
        <v>68</v>
      </c>
      <c r="AP1958" s="23" t="s">
        <v>69</v>
      </c>
      <c r="AQ1958" s="23" t="s">
        <v>30</v>
      </c>
      <c r="AR1958" s="23" t="s">
        <v>257</v>
      </c>
      <c r="AS1958" s="25">
        <v>25478</v>
      </c>
      <c r="AT1958" t="s">
        <v>26</v>
      </c>
      <c r="AU1958" t="s">
        <v>24797</v>
      </c>
    </row>
    <row r="1959" spans="1:47" ht="52.5" x14ac:dyDescent="0.4">
      <c r="A1959" s="23" t="s">
        <v>5195</v>
      </c>
      <c r="B1959" t="s">
        <v>26</v>
      </c>
      <c r="C1959" s="23" t="s">
        <v>107</v>
      </c>
      <c r="D1959" s="23" t="s">
        <v>22194</v>
      </c>
      <c r="E1959" s="23" t="s">
        <v>42</v>
      </c>
      <c r="F1959" s="25" t="s">
        <v>5196</v>
      </c>
      <c r="G1959" s="25" t="s">
        <v>5197</v>
      </c>
      <c r="H1959" t="s">
        <v>26</v>
      </c>
      <c r="I1959" t="s">
        <v>26</v>
      </c>
      <c r="J1959" t="s">
        <v>26</v>
      </c>
      <c r="K1959" t="s">
        <v>26</v>
      </c>
      <c r="L1959" s="25" t="s">
        <v>68</v>
      </c>
      <c r="M1959" t="s">
        <v>26</v>
      </c>
      <c r="N1959" t="s">
        <v>26</v>
      </c>
      <c r="O1959" t="s">
        <v>26</v>
      </c>
      <c r="P1959" t="s">
        <v>26</v>
      </c>
      <c r="Q1959" t="s">
        <v>26</v>
      </c>
      <c r="R1959" t="s">
        <v>26</v>
      </c>
      <c r="S1959" t="s">
        <v>26</v>
      </c>
      <c r="T1959" t="s">
        <v>26</v>
      </c>
      <c r="U1959" t="s">
        <v>26</v>
      </c>
      <c r="V1959" t="s">
        <v>26</v>
      </c>
      <c r="W1959" s="24">
        <v>35125</v>
      </c>
      <c r="X1959" s="25" t="s">
        <v>77</v>
      </c>
      <c r="Y1959" t="s">
        <v>26</v>
      </c>
      <c r="Z1959" s="24">
        <v>35125</v>
      </c>
      <c r="AA1959" s="25" t="s">
        <v>77</v>
      </c>
      <c r="AB1959" t="s">
        <v>26</v>
      </c>
      <c r="AC1959" s="24">
        <v>35125</v>
      </c>
      <c r="AD1959" s="25" t="s">
        <v>77</v>
      </c>
      <c r="AE1959" t="s">
        <v>26</v>
      </c>
      <c r="AF1959" t="s">
        <v>26</v>
      </c>
      <c r="AG1959" t="s">
        <v>26</v>
      </c>
      <c r="AH1959" t="s">
        <v>26</v>
      </c>
      <c r="AI1959" t="s">
        <v>26</v>
      </c>
      <c r="AJ1959" t="s">
        <v>26</v>
      </c>
      <c r="AK1959" t="s">
        <v>26</v>
      </c>
      <c r="AL1959" t="s">
        <v>26</v>
      </c>
      <c r="AM1959" t="s">
        <v>26</v>
      </c>
      <c r="AN1959" t="s">
        <v>26</v>
      </c>
      <c r="AO1959" s="25" t="s">
        <v>68</v>
      </c>
      <c r="AP1959" s="23" t="s">
        <v>69</v>
      </c>
      <c r="AQ1959" s="23" t="s">
        <v>30</v>
      </c>
      <c r="AR1959" s="23" t="s">
        <v>5198</v>
      </c>
      <c r="AS1959" s="25">
        <v>36294</v>
      </c>
      <c r="AT1959" t="s">
        <v>26</v>
      </c>
      <c r="AU1959" t="s">
        <v>24798</v>
      </c>
    </row>
    <row r="1960" spans="1:47" ht="26.25" x14ac:dyDescent="0.4">
      <c r="A1960" s="23" t="s">
        <v>5199</v>
      </c>
      <c r="B1960" t="s">
        <v>26</v>
      </c>
      <c r="C1960" s="23" t="s">
        <v>107</v>
      </c>
      <c r="D1960" s="23" t="s">
        <v>22218</v>
      </c>
      <c r="E1960" s="23" t="s">
        <v>42</v>
      </c>
      <c r="F1960" s="25" t="s">
        <v>5200</v>
      </c>
      <c r="G1960" s="25" t="s">
        <v>5201</v>
      </c>
      <c r="H1960" t="s">
        <v>26</v>
      </c>
      <c r="I1960" t="s">
        <v>26</v>
      </c>
      <c r="J1960" t="s">
        <v>26</v>
      </c>
      <c r="K1960" t="s">
        <v>26</v>
      </c>
      <c r="L1960" s="25" t="s">
        <v>68</v>
      </c>
      <c r="M1960" t="s">
        <v>26</v>
      </c>
      <c r="N1960" t="s">
        <v>26</v>
      </c>
      <c r="O1960" t="s">
        <v>26</v>
      </c>
      <c r="P1960" t="s">
        <v>26</v>
      </c>
      <c r="Q1960" t="s">
        <v>26</v>
      </c>
      <c r="R1960" t="s">
        <v>26</v>
      </c>
      <c r="S1960" t="s">
        <v>26</v>
      </c>
      <c r="T1960" t="s">
        <v>26</v>
      </c>
      <c r="U1960" t="s">
        <v>26</v>
      </c>
      <c r="V1960" t="s">
        <v>26</v>
      </c>
      <c r="W1960" s="24">
        <v>35065</v>
      </c>
      <c r="X1960" s="24">
        <v>38108</v>
      </c>
      <c r="Y1960" t="s">
        <v>26</v>
      </c>
      <c r="Z1960" s="24">
        <v>35065</v>
      </c>
      <c r="AA1960" s="24">
        <v>38108</v>
      </c>
      <c r="AB1960" t="s">
        <v>26</v>
      </c>
      <c r="AC1960" s="24">
        <v>35431</v>
      </c>
      <c r="AD1960" s="24">
        <v>38108</v>
      </c>
      <c r="AE1960" t="s">
        <v>26</v>
      </c>
      <c r="AF1960" t="s">
        <v>26</v>
      </c>
      <c r="AG1960" t="s">
        <v>26</v>
      </c>
      <c r="AH1960" t="s">
        <v>26</v>
      </c>
      <c r="AI1960" t="s">
        <v>26</v>
      </c>
      <c r="AJ1960" t="s">
        <v>26</v>
      </c>
      <c r="AK1960" t="s">
        <v>26</v>
      </c>
      <c r="AL1960" t="s">
        <v>26</v>
      </c>
      <c r="AM1960" t="s">
        <v>26</v>
      </c>
      <c r="AN1960" t="s">
        <v>26</v>
      </c>
      <c r="AO1960" s="25" t="s">
        <v>68</v>
      </c>
      <c r="AP1960" s="23" t="s">
        <v>69</v>
      </c>
      <c r="AQ1960" s="23" t="s">
        <v>30</v>
      </c>
      <c r="AR1960" s="23" t="s">
        <v>277</v>
      </c>
      <c r="AS1960" s="25">
        <v>22065</v>
      </c>
      <c r="AT1960" t="s">
        <v>26</v>
      </c>
      <c r="AU1960" t="s">
        <v>24799</v>
      </c>
    </row>
    <row r="1961" spans="1:47" ht="26.25" x14ac:dyDescent="0.4">
      <c r="A1961" s="23" t="s">
        <v>5202</v>
      </c>
      <c r="B1961" t="s">
        <v>26</v>
      </c>
      <c r="C1961" s="23" t="s">
        <v>3321</v>
      </c>
      <c r="D1961" s="23" t="s">
        <v>22226</v>
      </c>
      <c r="E1961" s="23" t="s">
        <v>187</v>
      </c>
      <c r="F1961" s="25" t="s">
        <v>5203</v>
      </c>
      <c r="G1961" s="25" t="s">
        <v>5204</v>
      </c>
      <c r="H1961" t="s">
        <v>26</v>
      </c>
      <c r="I1961" s="24">
        <v>38718</v>
      </c>
      <c r="J1961" s="25" t="s">
        <v>77</v>
      </c>
      <c r="K1961" t="s">
        <v>26</v>
      </c>
      <c r="L1961" s="25" t="s">
        <v>68</v>
      </c>
      <c r="M1961" s="24">
        <v>38718</v>
      </c>
      <c r="N1961" s="25" t="s">
        <v>77</v>
      </c>
      <c r="O1961" t="s">
        <v>26</v>
      </c>
      <c r="P1961" s="24">
        <v>38718</v>
      </c>
      <c r="Q1961" s="25" t="s">
        <v>77</v>
      </c>
      <c r="R1961" t="s">
        <v>26</v>
      </c>
      <c r="S1961" t="s">
        <v>26</v>
      </c>
      <c r="T1961" t="s">
        <v>26</v>
      </c>
      <c r="U1961" t="s">
        <v>26</v>
      </c>
      <c r="V1961" t="s">
        <v>26</v>
      </c>
      <c r="W1961" s="24">
        <v>38718</v>
      </c>
      <c r="X1961" s="25" t="s">
        <v>77</v>
      </c>
      <c r="Y1961" t="s">
        <v>26</v>
      </c>
      <c r="Z1961" s="24">
        <v>38718</v>
      </c>
      <c r="AA1961" s="25" t="s">
        <v>77</v>
      </c>
      <c r="AB1961" t="s">
        <v>26</v>
      </c>
      <c r="AC1961" s="24">
        <v>38718</v>
      </c>
      <c r="AD1961" s="25" t="s">
        <v>77</v>
      </c>
      <c r="AE1961" s="25" t="s">
        <v>24800</v>
      </c>
      <c r="AF1961" t="s">
        <v>26</v>
      </c>
      <c r="AG1961" t="s">
        <v>26</v>
      </c>
      <c r="AH1961" t="s">
        <v>26</v>
      </c>
      <c r="AI1961" t="s">
        <v>26</v>
      </c>
      <c r="AJ1961" t="s">
        <v>26</v>
      </c>
      <c r="AK1961" t="s">
        <v>26</v>
      </c>
      <c r="AL1961" t="s">
        <v>26</v>
      </c>
      <c r="AM1961" t="s">
        <v>26</v>
      </c>
      <c r="AN1961" t="s">
        <v>26</v>
      </c>
      <c r="AO1961" s="25" t="s">
        <v>68</v>
      </c>
      <c r="AP1961" s="23" t="s">
        <v>69</v>
      </c>
      <c r="AQ1961" s="23" t="s">
        <v>1913</v>
      </c>
      <c r="AR1961" s="23" t="s">
        <v>5205</v>
      </c>
      <c r="AS1961" s="25">
        <v>45820</v>
      </c>
      <c r="AT1961" t="s">
        <v>26</v>
      </c>
      <c r="AU1961" t="s">
        <v>24801</v>
      </c>
    </row>
    <row r="1962" spans="1:47" ht="13.15" x14ac:dyDescent="0.4">
      <c r="A1962" s="23" t="s">
        <v>5206</v>
      </c>
      <c r="B1962" t="s">
        <v>26</v>
      </c>
      <c r="C1962" t="s">
        <v>26</v>
      </c>
      <c r="D1962" t="s">
        <v>26</v>
      </c>
      <c r="E1962" t="s">
        <v>26</v>
      </c>
      <c r="F1962" t="s">
        <v>26</v>
      </c>
      <c r="G1962" t="s">
        <v>26</v>
      </c>
      <c r="H1962" t="s">
        <v>26</v>
      </c>
      <c r="I1962" s="25" t="s">
        <v>5207</v>
      </c>
      <c r="J1962" s="25" t="s">
        <v>5207</v>
      </c>
      <c r="K1962" t="s">
        <v>26</v>
      </c>
      <c r="L1962" s="25" t="s">
        <v>28</v>
      </c>
      <c r="M1962" s="25" t="s">
        <v>5207</v>
      </c>
      <c r="N1962" s="25" t="s">
        <v>5207</v>
      </c>
      <c r="O1962" t="s">
        <v>26</v>
      </c>
      <c r="P1962" t="s">
        <v>26</v>
      </c>
      <c r="Q1962" t="s">
        <v>26</v>
      </c>
      <c r="R1962" t="s">
        <v>26</v>
      </c>
      <c r="S1962" t="s">
        <v>26</v>
      </c>
      <c r="T1962" t="s">
        <v>26</v>
      </c>
      <c r="U1962" t="s">
        <v>26</v>
      </c>
      <c r="V1962" t="s">
        <v>26</v>
      </c>
      <c r="W1962" s="25" t="s">
        <v>5207</v>
      </c>
      <c r="X1962" s="25" t="s">
        <v>5207</v>
      </c>
      <c r="Y1962" t="s">
        <v>26</v>
      </c>
      <c r="Z1962" s="25" t="s">
        <v>5207</v>
      </c>
      <c r="AA1962" s="25" t="s">
        <v>5207</v>
      </c>
      <c r="AB1962" t="s">
        <v>26</v>
      </c>
      <c r="AC1962" s="25" t="s">
        <v>5207</v>
      </c>
      <c r="AD1962" s="25" t="s">
        <v>5207</v>
      </c>
      <c r="AE1962" t="s">
        <v>26</v>
      </c>
      <c r="AF1962" t="s">
        <v>26</v>
      </c>
      <c r="AG1962" t="s">
        <v>26</v>
      </c>
      <c r="AH1962" t="s">
        <v>26</v>
      </c>
      <c r="AI1962" t="s">
        <v>26</v>
      </c>
      <c r="AJ1962" t="s">
        <v>26</v>
      </c>
      <c r="AK1962" t="s">
        <v>26</v>
      </c>
      <c r="AL1962" t="s">
        <v>26</v>
      </c>
      <c r="AM1962" t="s">
        <v>26</v>
      </c>
      <c r="AN1962" t="s">
        <v>26</v>
      </c>
      <c r="AO1962" s="25" t="s">
        <v>28</v>
      </c>
      <c r="AP1962" s="23" t="s">
        <v>29</v>
      </c>
      <c r="AQ1962" s="23" t="s">
        <v>30</v>
      </c>
      <c r="AR1962" s="23" t="s">
        <v>46</v>
      </c>
      <c r="AS1962" s="25">
        <v>6059473</v>
      </c>
      <c r="AT1962" t="s">
        <v>26</v>
      </c>
      <c r="AU1962" t="s">
        <v>24802</v>
      </c>
    </row>
    <row r="1963" spans="1:47" ht="26.25" x14ac:dyDescent="0.4">
      <c r="A1963" s="23" t="s">
        <v>5208</v>
      </c>
      <c r="B1963" t="s">
        <v>26</v>
      </c>
      <c r="C1963" s="23" t="s">
        <v>80</v>
      </c>
      <c r="D1963" s="23" t="s">
        <v>22267</v>
      </c>
      <c r="E1963" s="23" t="s">
        <v>60</v>
      </c>
      <c r="F1963" s="25" t="s">
        <v>5209</v>
      </c>
      <c r="G1963" s="25" t="s">
        <v>5210</v>
      </c>
      <c r="H1963" t="s">
        <v>26</v>
      </c>
      <c r="I1963" t="s">
        <v>26</v>
      </c>
      <c r="J1963" t="s">
        <v>26</v>
      </c>
      <c r="K1963" t="s">
        <v>26</v>
      </c>
      <c r="L1963" s="25" t="s">
        <v>68</v>
      </c>
      <c r="M1963" t="s">
        <v>26</v>
      </c>
      <c r="N1963" t="s">
        <v>26</v>
      </c>
      <c r="O1963" t="s">
        <v>26</v>
      </c>
      <c r="P1963" t="s">
        <v>26</v>
      </c>
      <c r="Q1963" t="s">
        <v>26</v>
      </c>
      <c r="R1963" t="s">
        <v>26</v>
      </c>
      <c r="S1963" t="s">
        <v>26</v>
      </c>
      <c r="T1963" t="s">
        <v>26</v>
      </c>
      <c r="U1963" t="s">
        <v>26</v>
      </c>
      <c r="V1963" t="s">
        <v>26</v>
      </c>
      <c r="W1963" s="24">
        <v>42736</v>
      </c>
      <c r="X1963" s="25" t="s">
        <v>77</v>
      </c>
      <c r="Y1963" t="s">
        <v>26</v>
      </c>
      <c r="Z1963" s="24">
        <v>42736</v>
      </c>
      <c r="AA1963" s="25" t="s">
        <v>77</v>
      </c>
      <c r="AB1963" t="s">
        <v>26</v>
      </c>
      <c r="AC1963" s="24">
        <v>42736</v>
      </c>
      <c r="AD1963" s="25" t="s">
        <v>77</v>
      </c>
      <c r="AE1963" t="s">
        <v>26</v>
      </c>
      <c r="AF1963" t="s">
        <v>26</v>
      </c>
      <c r="AG1963" t="s">
        <v>26</v>
      </c>
      <c r="AH1963" t="s">
        <v>26</v>
      </c>
      <c r="AI1963" t="s">
        <v>26</v>
      </c>
      <c r="AJ1963" t="s">
        <v>26</v>
      </c>
      <c r="AK1963" t="s">
        <v>26</v>
      </c>
      <c r="AL1963" t="s">
        <v>26</v>
      </c>
      <c r="AM1963" t="s">
        <v>26</v>
      </c>
      <c r="AN1963" t="s">
        <v>26</v>
      </c>
      <c r="AO1963" s="25" t="s">
        <v>68</v>
      </c>
      <c r="AP1963" s="23" t="s">
        <v>69</v>
      </c>
      <c r="AQ1963" s="23" t="s">
        <v>30</v>
      </c>
      <c r="AR1963" s="23" t="s">
        <v>46</v>
      </c>
      <c r="AS1963" s="25">
        <v>53106</v>
      </c>
      <c r="AT1963" t="s">
        <v>26</v>
      </c>
      <c r="AU1963" t="s">
        <v>24803</v>
      </c>
    </row>
    <row r="1964" spans="1:47" ht="26.25" x14ac:dyDescent="0.4">
      <c r="A1964" s="23" t="s">
        <v>5211</v>
      </c>
      <c r="B1964" t="s">
        <v>26</v>
      </c>
      <c r="C1964" s="23" t="s">
        <v>73</v>
      </c>
      <c r="D1964" s="23" t="s">
        <v>22179</v>
      </c>
      <c r="E1964" s="23" t="s">
        <v>74</v>
      </c>
      <c r="F1964" s="25" t="s">
        <v>5212</v>
      </c>
      <c r="G1964" s="25" t="s">
        <v>5213</v>
      </c>
      <c r="H1964" t="s">
        <v>26</v>
      </c>
      <c r="I1964" s="24">
        <v>40544</v>
      </c>
      <c r="J1964" s="25" t="s">
        <v>77</v>
      </c>
      <c r="K1964" t="s">
        <v>26</v>
      </c>
      <c r="L1964" s="25" t="s">
        <v>68</v>
      </c>
      <c r="M1964" s="24">
        <v>40544</v>
      </c>
      <c r="N1964" s="25" t="s">
        <v>77</v>
      </c>
      <c r="O1964" t="s">
        <v>26</v>
      </c>
      <c r="P1964" s="24">
        <v>40544</v>
      </c>
      <c r="Q1964" s="25" t="s">
        <v>77</v>
      </c>
      <c r="R1964" t="s">
        <v>26</v>
      </c>
      <c r="S1964" t="s">
        <v>26</v>
      </c>
      <c r="T1964" t="s">
        <v>26</v>
      </c>
      <c r="U1964" t="s">
        <v>26</v>
      </c>
      <c r="V1964" t="s">
        <v>26</v>
      </c>
      <c r="W1964" s="24">
        <v>32509</v>
      </c>
      <c r="X1964" s="25" t="s">
        <v>77</v>
      </c>
      <c r="Y1964" t="s">
        <v>26</v>
      </c>
      <c r="Z1964" s="24">
        <v>32509</v>
      </c>
      <c r="AA1964" s="25" t="s">
        <v>77</v>
      </c>
      <c r="AB1964" t="s">
        <v>26</v>
      </c>
      <c r="AC1964" s="24">
        <v>40544</v>
      </c>
      <c r="AD1964" s="25" t="s">
        <v>77</v>
      </c>
      <c r="AE1964" t="s">
        <v>26</v>
      </c>
      <c r="AF1964" t="s">
        <v>26</v>
      </c>
      <c r="AG1964" t="s">
        <v>26</v>
      </c>
      <c r="AH1964" t="s">
        <v>26</v>
      </c>
      <c r="AI1964" t="s">
        <v>26</v>
      </c>
      <c r="AJ1964" t="s">
        <v>26</v>
      </c>
      <c r="AK1964" t="s">
        <v>26</v>
      </c>
      <c r="AL1964" t="s">
        <v>26</v>
      </c>
      <c r="AM1964" t="s">
        <v>26</v>
      </c>
      <c r="AN1964" t="s">
        <v>26</v>
      </c>
      <c r="AO1964" s="25" t="s">
        <v>68</v>
      </c>
      <c r="AP1964" s="23" t="s">
        <v>69</v>
      </c>
      <c r="AQ1964" s="23" t="s">
        <v>30</v>
      </c>
      <c r="AR1964" s="23" t="s">
        <v>46</v>
      </c>
      <c r="AS1964" s="25">
        <v>976351</v>
      </c>
      <c r="AT1964" t="s">
        <v>26</v>
      </c>
      <c r="AU1964" t="s">
        <v>24804</v>
      </c>
    </row>
    <row r="1965" spans="1:47" ht="26.25" x14ac:dyDescent="0.4">
      <c r="A1965" s="23" t="s">
        <v>24805</v>
      </c>
      <c r="B1965" t="s">
        <v>26</v>
      </c>
      <c r="C1965" s="23" t="s">
        <v>167</v>
      </c>
      <c r="D1965" s="23" t="s">
        <v>24806</v>
      </c>
      <c r="E1965" s="23" t="s">
        <v>60</v>
      </c>
      <c r="F1965" t="s">
        <v>26</v>
      </c>
      <c r="G1965" s="25" t="s">
        <v>24807</v>
      </c>
      <c r="H1965" t="s">
        <v>26</v>
      </c>
      <c r="I1965" s="24">
        <v>44562</v>
      </c>
      <c r="J1965" s="25" t="s">
        <v>77</v>
      </c>
      <c r="K1965" t="s">
        <v>26</v>
      </c>
      <c r="L1965" s="25" t="s">
        <v>68</v>
      </c>
      <c r="M1965" s="24">
        <v>44562</v>
      </c>
      <c r="N1965" s="25" t="s">
        <v>77</v>
      </c>
      <c r="O1965" t="s">
        <v>26</v>
      </c>
      <c r="P1965" s="24">
        <v>44562</v>
      </c>
      <c r="Q1965" s="25" t="s">
        <v>77</v>
      </c>
      <c r="R1965" t="s">
        <v>26</v>
      </c>
      <c r="S1965" t="s">
        <v>26</v>
      </c>
      <c r="T1965" t="s">
        <v>26</v>
      </c>
      <c r="U1965" t="s">
        <v>26</v>
      </c>
      <c r="V1965" t="s">
        <v>26</v>
      </c>
      <c r="W1965" s="24">
        <v>44562</v>
      </c>
      <c r="X1965" s="25" t="s">
        <v>77</v>
      </c>
      <c r="Y1965" t="s">
        <v>26</v>
      </c>
      <c r="Z1965" s="24">
        <v>44562</v>
      </c>
      <c r="AA1965" s="25" t="s">
        <v>77</v>
      </c>
      <c r="AB1965" t="s">
        <v>26</v>
      </c>
      <c r="AC1965" s="24">
        <v>44562</v>
      </c>
      <c r="AD1965" s="25" t="s">
        <v>77</v>
      </c>
      <c r="AE1965" t="s">
        <v>26</v>
      </c>
      <c r="AF1965" t="s">
        <v>26</v>
      </c>
      <c r="AG1965" t="s">
        <v>26</v>
      </c>
      <c r="AH1965" t="s">
        <v>26</v>
      </c>
      <c r="AI1965" t="s">
        <v>26</v>
      </c>
      <c r="AJ1965" t="s">
        <v>26</v>
      </c>
      <c r="AK1965" t="s">
        <v>26</v>
      </c>
      <c r="AL1965" t="s">
        <v>26</v>
      </c>
      <c r="AM1965" t="s">
        <v>26</v>
      </c>
      <c r="AN1965" t="s">
        <v>26</v>
      </c>
      <c r="AO1965" s="25" t="s">
        <v>68</v>
      </c>
      <c r="AP1965" s="23" t="s">
        <v>69</v>
      </c>
      <c r="AQ1965" s="23" t="s">
        <v>30</v>
      </c>
      <c r="AR1965" s="23" t="s">
        <v>184</v>
      </c>
      <c r="AS1965" s="25">
        <v>6422859</v>
      </c>
      <c r="AT1965" t="s">
        <v>26</v>
      </c>
      <c r="AU1965" t="s">
        <v>24808</v>
      </c>
    </row>
    <row r="1966" spans="1:47" ht="26.25" x14ac:dyDescent="0.4">
      <c r="A1966" s="23" t="s">
        <v>5214</v>
      </c>
      <c r="B1966" t="s">
        <v>26</v>
      </c>
      <c r="C1966" s="23" t="s">
        <v>107</v>
      </c>
      <c r="D1966" s="23" t="s">
        <v>22194</v>
      </c>
      <c r="E1966" s="23" t="s">
        <v>42</v>
      </c>
      <c r="F1966" s="25" t="s">
        <v>5215</v>
      </c>
      <c r="G1966" s="25" t="s">
        <v>5216</v>
      </c>
      <c r="H1966" t="s">
        <v>26</v>
      </c>
      <c r="I1966" t="s">
        <v>26</v>
      </c>
      <c r="J1966" t="s">
        <v>26</v>
      </c>
      <c r="K1966" t="s">
        <v>26</v>
      </c>
      <c r="L1966" s="25" t="s">
        <v>68</v>
      </c>
      <c r="M1966" t="s">
        <v>26</v>
      </c>
      <c r="N1966" t="s">
        <v>26</v>
      </c>
      <c r="O1966" t="s">
        <v>26</v>
      </c>
      <c r="P1966" t="s">
        <v>26</v>
      </c>
      <c r="Q1966" t="s">
        <v>26</v>
      </c>
      <c r="R1966" t="s">
        <v>26</v>
      </c>
      <c r="S1966" t="s">
        <v>26</v>
      </c>
      <c r="T1966" t="s">
        <v>26</v>
      </c>
      <c r="U1966" t="s">
        <v>26</v>
      </c>
      <c r="V1966" t="s">
        <v>26</v>
      </c>
      <c r="W1966" s="24">
        <v>36069</v>
      </c>
      <c r="X1966" s="25" t="s">
        <v>77</v>
      </c>
      <c r="Y1966" s="25" t="s">
        <v>5217</v>
      </c>
      <c r="Z1966" s="24">
        <v>36069</v>
      </c>
      <c r="AA1966" s="25" t="s">
        <v>77</v>
      </c>
      <c r="AB1966" s="25" t="s">
        <v>5217</v>
      </c>
      <c r="AC1966" s="24">
        <v>36069</v>
      </c>
      <c r="AD1966" s="25" t="s">
        <v>77</v>
      </c>
      <c r="AE1966" s="25" t="s">
        <v>5217</v>
      </c>
      <c r="AF1966" t="s">
        <v>26</v>
      </c>
      <c r="AG1966" t="s">
        <v>26</v>
      </c>
      <c r="AH1966" t="s">
        <v>26</v>
      </c>
      <c r="AI1966" t="s">
        <v>26</v>
      </c>
      <c r="AJ1966" t="s">
        <v>26</v>
      </c>
      <c r="AK1966" t="s">
        <v>26</v>
      </c>
      <c r="AL1966" t="s">
        <v>26</v>
      </c>
      <c r="AM1966" t="s">
        <v>26</v>
      </c>
      <c r="AN1966" t="s">
        <v>26</v>
      </c>
      <c r="AO1966" s="25" t="s">
        <v>68</v>
      </c>
      <c r="AP1966" s="23" t="s">
        <v>69</v>
      </c>
      <c r="AQ1966" s="23" t="s">
        <v>30</v>
      </c>
      <c r="AR1966" s="23" t="s">
        <v>4413</v>
      </c>
      <c r="AS1966" s="25">
        <v>2039156</v>
      </c>
      <c r="AT1966" t="s">
        <v>26</v>
      </c>
      <c r="AU1966" t="s">
        <v>24809</v>
      </c>
    </row>
    <row r="1967" spans="1:47" ht="26.25" x14ac:dyDescent="0.4">
      <c r="A1967" s="23" t="s">
        <v>5218</v>
      </c>
      <c r="B1967" t="s">
        <v>26</v>
      </c>
      <c r="C1967" s="23" t="s">
        <v>2241</v>
      </c>
      <c r="D1967" t="s">
        <v>26</v>
      </c>
      <c r="E1967" s="23" t="s">
        <v>42</v>
      </c>
      <c r="F1967" t="s">
        <v>26</v>
      </c>
      <c r="G1967" t="s">
        <v>26</v>
      </c>
      <c r="H1967" t="s">
        <v>26</v>
      </c>
      <c r="I1967" s="24">
        <v>40909</v>
      </c>
      <c r="J1967" s="24">
        <v>40909</v>
      </c>
      <c r="K1967" t="s">
        <v>26</v>
      </c>
      <c r="L1967" s="25" t="s">
        <v>28</v>
      </c>
      <c r="M1967" s="24">
        <v>40909</v>
      </c>
      <c r="N1967" s="24">
        <v>40909</v>
      </c>
      <c r="O1967" t="s">
        <v>26</v>
      </c>
      <c r="P1967" t="s">
        <v>26</v>
      </c>
      <c r="Q1967" t="s">
        <v>26</v>
      </c>
      <c r="R1967" t="s">
        <v>26</v>
      </c>
      <c r="S1967" s="24">
        <v>40909</v>
      </c>
      <c r="T1967" s="24">
        <v>40909</v>
      </c>
      <c r="U1967" t="s">
        <v>26</v>
      </c>
      <c r="V1967" t="s">
        <v>26</v>
      </c>
      <c r="W1967" s="24">
        <v>40909</v>
      </c>
      <c r="X1967" s="24">
        <v>40909</v>
      </c>
      <c r="Y1967" t="s">
        <v>26</v>
      </c>
      <c r="Z1967" s="24">
        <v>40909</v>
      </c>
      <c r="AA1967" s="24">
        <v>40909</v>
      </c>
      <c r="AB1967" t="s">
        <v>26</v>
      </c>
      <c r="AC1967" s="24">
        <v>40909</v>
      </c>
      <c r="AD1967" s="24">
        <v>40909</v>
      </c>
      <c r="AE1967" t="s">
        <v>26</v>
      </c>
      <c r="AF1967" s="24">
        <v>40909</v>
      </c>
      <c r="AG1967" s="24">
        <v>40909</v>
      </c>
      <c r="AH1967" t="s">
        <v>26</v>
      </c>
      <c r="AI1967" s="24">
        <v>40909</v>
      </c>
      <c r="AJ1967" s="24">
        <v>40909</v>
      </c>
      <c r="AK1967" t="s">
        <v>26</v>
      </c>
      <c r="AL1967" t="s">
        <v>26</v>
      </c>
      <c r="AM1967" t="s">
        <v>26</v>
      </c>
      <c r="AN1967" t="s">
        <v>26</v>
      </c>
      <c r="AO1967" s="25" t="s">
        <v>28</v>
      </c>
      <c r="AP1967" s="23" t="s">
        <v>43</v>
      </c>
      <c r="AQ1967" s="23" t="s">
        <v>30</v>
      </c>
      <c r="AR1967" s="23" t="s">
        <v>44</v>
      </c>
      <c r="AS1967" s="25">
        <v>5262116</v>
      </c>
      <c r="AT1967" t="s">
        <v>26</v>
      </c>
      <c r="AU1967" t="s">
        <v>24810</v>
      </c>
    </row>
    <row r="1968" spans="1:47" ht="26.25" x14ac:dyDescent="0.4">
      <c r="A1968" s="23" t="s">
        <v>5219</v>
      </c>
      <c r="B1968" t="s">
        <v>26</v>
      </c>
      <c r="C1968" s="23" t="s">
        <v>22238</v>
      </c>
      <c r="D1968" s="23" t="s">
        <v>22307</v>
      </c>
      <c r="E1968" s="23" t="s">
        <v>42</v>
      </c>
      <c r="F1968" t="s">
        <v>26</v>
      </c>
      <c r="G1968" t="s">
        <v>26</v>
      </c>
      <c r="H1968" t="s">
        <v>26</v>
      </c>
      <c r="I1968" s="24">
        <v>40909</v>
      </c>
      <c r="J1968" s="24">
        <v>40909</v>
      </c>
      <c r="K1968" t="s">
        <v>26</v>
      </c>
      <c r="L1968" s="25" t="s">
        <v>28</v>
      </c>
      <c r="M1968" s="24">
        <v>40909</v>
      </c>
      <c r="N1968" s="24">
        <v>40909</v>
      </c>
      <c r="O1968" t="s">
        <v>26</v>
      </c>
      <c r="P1968" t="s">
        <v>26</v>
      </c>
      <c r="Q1968" t="s">
        <v>26</v>
      </c>
      <c r="R1968" t="s">
        <v>26</v>
      </c>
      <c r="S1968" s="24">
        <v>40909</v>
      </c>
      <c r="T1968" s="24">
        <v>40909</v>
      </c>
      <c r="U1968" t="s">
        <v>26</v>
      </c>
      <c r="V1968" t="s">
        <v>26</v>
      </c>
      <c r="W1968" s="24">
        <v>40909</v>
      </c>
      <c r="X1968" s="24">
        <v>40909</v>
      </c>
      <c r="Y1968" t="s">
        <v>26</v>
      </c>
      <c r="Z1968" s="24">
        <v>40909</v>
      </c>
      <c r="AA1968" s="24">
        <v>40909</v>
      </c>
      <c r="AB1968" t="s">
        <v>26</v>
      </c>
      <c r="AC1968" s="24">
        <v>40909</v>
      </c>
      <c r="AD1968" s="24">
        <v>40909</v>
      </c>
      <c r="AE1968" t="s">
        <v>26</v>
      </c>
      <c r="AF1968" s="24">
        <v>40909</v>
      </c>
      <c r="AG1968" s="24">
        <v>40909</v>
      </c>
      <c r="AH1968" t="s">
        <v>26</v>
      </c>
      <c r="AI1968" s="24">
        <v>40909</v>
      </c>
      <c r="AJ1968" s="24">
        <v>40909</v>
      </c>
      <c r="AK1968" t="s">
        <v>26</v>
      </c>
      <c r="AL1968" t="s">
        <v>26</v>
      </c>
      <c r="AM1968" t="s">
        <v>26</v>
      </c>
      <c r="AN1968" t="s">
        <v>26</v>
      </c>
      <c r="AO1968" s="25" t="s">
        <v>28</v>
      </c>
      <c r="AP1968" s="23" t="s">
        <v>43</v>
      </c>
      <c r="AQ1968" s="23" t="s">
        <v>30</v>
      </c>
      <c r="AR1968" s="23" t="s">
        <v>46</v>
      </c>
      <c r="AS1968" s="25">
        <v>6447804</v>
      </c>
      <c r="AT1968" t="s">
        <v>26</v>
      </c>
      <c r="AU1968" t="s">
        <v>24811</v>
      </c>
    </row>
    <row r="1969" spans="1:47" ht="26.25" x14ac:dyDescent="0.4">
      <c r="A1969" s="23" t="s">
        <v>5220</v>
      </c>
      <c r="B1969" t="s">
        <v>26</v>
      </c>
      <c r="C1969" s="23" t="s">
        <v>24812</v>
      </c>
      <c r="D1969" t="s">
        <v>26</v>
      </c>
      <c r="E1969" s="23" t="s">
        <v>822</v>
      </c>
      <c r="F1969" t="s">
        <v>26</v>
      </c>
      <c r="G1969" t="s">
        <v>26</v>
      </c>
      <c r="H1969" t="s">
        <v>26</v>
      </c>
      <c r="I1969" s="24">
        <v>40179</v>
      </c>
      <c r="J1969" s="24">
        <v>41275</v>
      </c>
      <c r="K1969" t="s">
        <v>26</v>
      </c>
      <c r="L1969" s="25" t="s">
        <v>28</v>
      </c>
      <c r="M1969" s="24">
        <v>40179</v>
      </c>
      <c r="N1969" s="24">
        <v>41275</v>
      </c>
      <c r="O1969" t="s">
        <v>26</v>
      </c>
      <c r="P1969" t="s">
        <v>26</v>
      </c>
      <c r="Q1969" t="s">
        <v>26</v>
      </c>
      <c r="R1969" t="s">
        <v>26</v>
      </c>
      <c r="S1969" s="24">
        <v>40179</v>
      </c>
      <c r="T1969" s="24">
        <v>41275</v>
      </c>
      <c r="U1969" t="s">
        <v>26</v>
      </c>
      <c r="V1969" t="s">
        <v>26</v>
      </c>
      <c r="W1969" s="24">
        <v>40179</v>
      </c>
      <c r="X1969" s="24">
        <v>41275</v>
      </c>
      <c r="Y1969" t="s">
        <v>26</v>
      </c>
      <c r="Z1969" s="24">
        <v>40179</v>
      </c>
      <c r="AA1969" s="24">
        <v>41275</v>
      </c>
      <c r="AB1969" t="s">
        <v>26</v>
      </c>
      <c r="AC1969" s="24">
        <v>40179</v>
      </c>
      <c r="AD1969" s="24">
        <v>41275</v>
      </c>
      <c r="AE1969" t="s">
        <v>26</v>
      </c>
      <c r="AF1969" s="24">
        <v>40179</v>
      </c>
      <c r="AG1969" s="24">
        <v>41275</v>
      </c>
      <c r="AH1969" t="s">
        <v>26</v>
      </c>
      <c r="AI1969" s="24">
        <v>40179</v>
      </c>
      <c r="AJ1969" s="24">
        <v>41275</v>
      </c>
      <c r="AK1969" t="s">
        <v>26</v>
      </c>
      <c r="AL1969" t="s">
        <v>26</v>
      </c>
      <c r="AM1969" t="s">
        <v>26</v>
      </c>
      <c r="AN1969" t="s">
        <v>26</v>
      </c>
      <c r="AO1969" s="25" t="s">
        <v>28</v>
      </c>
      <c r="AP1969" s="23" t="s">
        <v>43</v>
      </c>
      <c r="AQ1969" s="23" t="s">
        <v>30</v>
      </c>
      <c r="AR1969" s="23" t="s">
        <v>46</v>
      </c>
      <c r="AS1969" s="25">
        <v>6362718</v>
      </c>
      <c r="AT1969" t="s">
        <v>26</v>
      </c>
      <c r="AU1969" t="s">
        <v>24813</v>
      </c>
    </row>
    <row r="1970" spans="1:47" ht="39.4" x14ac:dyDescent="0.4">
      <c r="A1970" s="23" t="s">
        <v>5221</v>
      </c>
      <c r="B1970" t="s">
        <v>26</v>
      </c>
      <c r="C1970" s="23" t="s">
        <v>364</v>
      </c>
      <c r="D1970" s="23" t="s">
        <v>22372</v>
      </c>
      <c r="E1970" s="23" t="s">
        <v>42</v>
      </c>
      <c r="F1970" t="s">
        <v>26</v>
      </c>
      <c r="G1970" t="s">
        <v>26</v>
      </c>
      <c r="H1970" t="s">
        <v>26</v>
      </c>
      <c r="I1970" s="24">
        <v>43305</v>
      </c>
      <c r="J1970" s="25" t="s">
        <v>77</v>
      </c>
      <c r="K1970" t="s">
        <v>26</v>
      </c>
      <c r="L1970" s="25" t="s">
        <v>28</v>
      </c>
      <c r="M1970" s="24">
        <v>43305</v>
      </c>
      <c r="N1970" s="25" t="s">
        <v>77</v>
      </c>
      <c r="O1970" t="s">
        <v>26</v>
      </c>
      <c r="P1970" t="s">
        <v>26</v>
      </c>
      <c r="Q1970" t="s">
        <v>26</v>
      </c>
      <c r="R1970" t="s">
        <v>26</v>
      </c>
      <c r="S1970" t="s">
        <v>26</v>
      </c>
      <c r="T1970" t="s">
        <v>26</v>
      </c>
      <c r="U1970" t="s">
        <v>26</v>
      </c>
      <c r="V1970" t="s">
        <v>26</v>
      </c>
      <c r="W1970" s="24">
        <v>43305</v>
      </c>
      <c r="X1970" s="25" t="s">
        <v>77</v>
      </c>
      <c r="Y1970" t="s">
        <v>26</v>
      </c>
      <c r="Z1970" s="24">
        <v>43305</v>
      </c>
      <c r="AA1970" s="25" t="s">
        <v>77</v>
      </c>
      <c r="AB1970" t="s">
        <v>26</v>
      </c>
      <c r="AC1970" t="s">
        <v>26</v>
      </c>
      <c r="AD1970" t="s">
        <v>26</v>
      </c>
      <c r="AE1970" t="s">
        <v>26</v>
      </c>
      <c r="AF1970" t="s">
        <v>26</v>
      </c>
      <c r="AG1970" t="s">
        <v>26</v>
      </c>
      <c r="AH1970" t="s">
        <v>26</v>
      </c>
      <c r="AI1970" t="s">
        <v>26</v>
      </c>
      <c r="AJ1970" t="s">
        <v>26</v>
      </c>
      <c r="AK1970" t="s">
        <v>26</v>
      </c>
      <c r="AL1970" t="s">
        <v>26</v>
      </c>
      <c r="AM1970" t="s">
        <v>26</v>
      </c>
      <c r="AN1970" t="s">
        <v>26</v>
      </c>
      <c r="AO1970" s="25" t="s">
        <v>28</v>
      </c>
      <c r="AP1970" s="23" t="s">
        <v>365</v>
      </c>
      <c r="AQ1970" t="s">
        <v>26</v>
      </c>
      <c r="AR1970" s="23" t="s">
        <v>5222</v>
      </c>
      <c r="AS1970" s="25">
        <v>4395972</v>
      </c>
      <c r="AT1970" t="s">
        <v>26</v>
      </c>
      <c r="AU1970" t="s">
        <v>24814</v>
      </c>
    </row>
    <row r="1971" spans="1:47" ht="26.25" x14ac:dyDescent="0.4">
      <c r="A1971" s="23" t="s">
        <v>5223</v>
      </c>
      <c r="B1971" t="s">
        <v>26</v>
      </c>
      <c r="C1971" s="23" t="s">
        <v>5224</v>
      </c>
      <c r="D1971" s="23" t="s">
        <v>22174</v>
      </c>
      <c r="E1971" s="23" t="s">
        <v>60</v>
      </c>
      <c r="F1971" s="25" t="s">
        <v>5225</v>
      </c>
      <c r="G1971" t="s">
        <v>26</v>
      </c>
      <c r="H1971" t="s">
        <v>26</v>
      </c>
      <c r="I1971" s="24">
        <v>36220</v>
      </c>
      <c r="J1971" s="24">
        <v>39508</v>
      </c>
      <c r="K1971" t="s">
        <v>26</v>
      </c>
      <c r="L1971" s="25" t="s">
        <v>68</v>
      </c>
      <c r="M1971" s="24">
        <v>36220</v>
      </c>
      <c r="N1971" s="24">
        <v>39508</v>
      </c>
      <c r="O1971" t="s">
        <v>26</v>
      </c>
      <c r="P1971" s="24">
        <v>36220</v>
      </c>
      <c r="Q1971" s="24">
        <v>39508</v>
      </c>
      <c r="R1971" t="s">
        <v>26</v>
      </c>
      <c r="S1971" t="s">
        <v>26</v>
      </c>
      <c r="T1971" t="s">
        <v>26</v>
      </c>
      <c r="U1971" t="s">
        <v>26</v>
      </c>
      <c r="V1971" t="s">
        <v>26</v>
      </c>
      <c r="W1971" s="24">
        <v>36220</v>
      </c>
      <c r="X1971" s="24">
        <v>39508</v>
      </c>
      <c r="Y1971" t="s">
        <v>26</v>
      </c>
      <c r="Z1971" s="24">
        <v>36220</v>
      </c>
      <c r="AA1971" s="24">
        <v>39508</v>
      </c>
      <c r="AB1971" t="s">
        <v>26</v>
      </c>
      <c r="AC1971" s="24">
        <v>38838</v>
      </c>
      <c r="AD1971" s="24">
        <v>39508</v>
      </c>
      <c r="AE1971" s="25" t="s">
        <v>3649</v>
      </c>
      <c r="AF1971" t="s">
        <v>26</v>
      </c>
      <c r="AG1971" t="s">
        <v>26</v>
      </c>
      <c r="AH1971" t="s">
        <v>26</v>
      </c>
      <c r="AI1971" t="s">
        <v>26</v>
      </c>
      <c r="AJ1971" t="s">
        <v>26</v>
      </c>
      <c r="AK1971" t="s">
        <v>26</v>
      </c>
      <c r="AL1971" t="s">
        <v>26</v>
      </c>
      <c r="AM1971" t="s">
        <v>26</v>
      </c>
      <c r="AN1971" t="s">
        <v>26</v>
      </c>
      <c r="AO1971" s="25" t="s">
        <v>68</v>
      </c>
      <c r="AP1971" s="23" t="s">
        <v>69</v>
      </c>
      <c r="AQ1971" s="23" t="s">
        <v>30</v>
      </c>
      <c r="AR1971" s="23" t="s">
        <v>3294</v>
      </c>
      <c r="AS1971" s="25">
        <v>32799</v>
      </c>
      <c r="AT1971" t="s">
        <v>26</v>
      </c>
      <c r="AU1971" t="s">
        <v>24815</v>
      </c>
    </row>
    <row r="1972" spans="1:47" ht="26.25" x14ac:dyDescent="0.4">
      <c r="A1972" s="23" t="s">
        <v>5226</v>
      </c>
      <c r="B1972" t="s">
        <v>26</v>
      </c>
      <c r="C1972" s="23" t="s">
        <v>5224</v>
      </c>
      <c r="D1972" s="23" t="s">
        <v>22174</v>
      </c>
      <c r="E1972" s="23" t="s">
        <v>60</v>
      </c>
      <c r="F1972" t="s">
        <v>26</v>
      </c>
      <c r="G1972" s="25" t="s">
        <v>5227</v>
      </c>
      <c r="H1972" t="s">
        <v>26</v>
      </c>
      <c r="I1972" s="24">
        <v>39569</v>
      </c>
      <c r="J1972" s="24">
        <v>42339</v>
      </c>
      <c r="K1972" t="s">
        <v>26</v>
      </c>
      <c r="L1972" s="25" t="s">
        <v>68</v>
      </c>
      <c r="M1972" s="24">
        <v>39569</v>
      </c>
      <c r="N1972" s="24">
        <v>42339</v>
      </c>
      <c r="O1972" t="s">
        <v>26</v>
      </c>
      <c r="P1972" s="24">
        <v>39569</v>
      </c>
      <c r="Q1972" s="24">
        <v>42339</v>
      </c>
      <c r="R1972" t="s">
        <v>26</v>
      </c>
      <c r="S1972" t="s">
        <v>26</v>
      </c>
      <c r="T1972" t="s">
        <v>26</v>
      </c>
      <c r="U1972" t="s">
        <v>26</v>
      </c>
      <c r="V1972" t="s">
        <v>26</v>
      </c>
      <c r="W1972" s="24">
        <v>39569</v>
      </c>
      <c r="X1972" s="24">
        <v>42339</v>
      </c>
      <c r="Y1972" t="s">
        <v>26</v>
      </c>
      <c r="Z1972" s="24">
        <v>39569</v>
      </c>
      <c r="AA1972" s="24">
        <v>42339</v>
      </c>
      <c r="AB1972" t="s">
        <v>26</v>
      </c>
      <c r="AC1972" s="24">
        <v>39569</v>
      </c>
      <c r="AD1972" s="24">
        <v>42339</v>
      </c>
      <c r="AE1972" t="s">
        <v>26</v>
      </c>
      <c r="AF1972" t="s">
        <v>26</v>
      </c>
      <c r="AG1972" t="s">
        <v>26</v>
      </c>
      <c r="AH1972" t="s">
        <v>26</v>
      </c>
      <c r="AI1972" t="s">
        <v>26</v>
      </c>
      <c r="AJ1972" t="s">
        <v>26</v>
      </c>
      <c r="AK1972" t="s">
        <v>26</v>
      </c>
      <c r="AL1972" t="s">
        <v>26</v>
      </c>
      <c r="AM1972" t="s">
        <v>26</v>
      </c>
      <c r="AN1972" t="s">
        <v>26</v>
      </c>
      <c r="AO1972" s="25" t="s">
        <v>68</v>
      </c>
      <c r="AP1972" s="23" t="s">
        <v>69</v>
      </c>
      <c r="AQ1972" s="23" t="s">
        <v>30</v>
      </c>
      <c r="AR1972" s="23" t="s">
        <v>277</v>
      </c>
      <c r="AS1972" s="25">
        <v>135348</v>
      </c>
      <c r="AT1972" t="s">
        <v>26</v>
      </c>
      <c r="AU1972" t="s">
        <v>24816</v>
      </c>
    </row>
    <row r="1973" spans="1:47" ht="26.25" x14ac:dyDescent="0.4">
      <c r="A1973" s="23" t="s">
        <v>5228</v>
      </c>
      <c r="B1973" t="s">
        <v>26</v>
      </c>
      <c r="C1973" s="23" t="s">
        <v>5089</v>
      </c>
      <c r="D1973" s="23" t="s">
        <v>22174</v>
      </c>
      <c r="E1973" s="23" t="s">
        <v>60</v>
      </c>
      <c r="F1973" s="25" t="s">
        <v>5229</v>
      </c>
      <c r="G1973" s="25" t="s">
        <v>5230</v>
      </c>
      <c r="H1973" t="s">
        <v>26</v>
      </c>
      <c r="I1973" s="24">
        <v>41671</v>
      </c>
      <c r="J1973" s="24">
        <v>44256</v>
      </c>
      <c r="K1973" t="s">
        <v>26</v>
      </c>
      <c r="L1973" s="25" t="s">
        <v>68</v>
      </c>
      <c r="M1973" s="24">
        <v>41671</v>
      </c>
      <c r="N1973" s="24">
        <v>44256</v>
      </c>
      <c r="O1973" t="s">
        <v>26</v>
      </c>
      <c r="P1973" s="24">
        <v>41671</v>
      </c>
      <c r="Q1973" s="24">
        <v>44256</v>
      </c>
      <c r="R1973" t="s">
        <v>26</v>
      </c>
      <c r="S1973" t="s">
        <v>26</v>
      </c>
      <c r="T1973" t="s">
        <v>26</v>
      </c>
      <c r="U1973" t="s">
        <v>26</v>
      </c>
      <c r="V1973" t="s">
        <v>26</v>
      </c>
      <c r="W1973" s="24">
        <v>41671</v>
      </c>
      <c r="X1973" s="25" t="s">
        <v>77</v>
      </c>
      <c r="Y1973" t="s">
        <v>26</v>
      </c>
      <c r="Z1973" s="24">
        <v>41671</v>
      </c>
      <c r="AA1973" s="25" t="s">
        <v>77</v>
      </c>
      <c r="AB1973" t="s">
        <v>26</v>
      </c>
      <c r="AC1973" s="24">
        <v>41671</v>
      </c>
      <c r="AD1973" s="25" t="s">
        <v>77</v>
      </c>
      <c r="AE1973" t="s">
        <v>26</v>
      </c>
      <c r="AF1973" t="s">
        <v>26</v>
      </c>
      <c r="AG1973" t="s">
        <v>26</v>
      </c>
      <c r="AH1973" t="s">
        <v>26</v>
      </c>
      <c r="AI1973" t="s">
        <v>26</v>
      </c>
      <c r="AJ1973" t="s">
        <v>26</v>
      </c>
      <c r="AK1973" t="s">
        <v>26</v>
      </c>
      <c r="AL1973" t="s">
        <v>26</v>
      </c>
      <c r="AM1973" t="s">
        <v>26</v>
      </c>
      <c r="AN1973" t="s">
        <v>26</v>
      </c>
      <c r="AO1973" s="25" t="s">
        <v>68</v>
      </c>
      <c r="AP1973" s="23" t="s">
        <v>69</v>
      </c>
      <c r="AQ1973" s="23" t="s">
        <v>30</v>
      </c>
      <c r="AR1973" s="23" t="s">
        <v>3294</v>
      </c>
      <c r="AS1973" s="25">
        <v>2042234</v>
      </c>
      <c r="AT1973" t="s">
        <v>26</v>
      </c>
      <c r="AU1973" t="s">
        <v>24817</v>
      </c>
    </row>
    <row r="1974" spans="1:47" ht="26.25" x14ac:dyDescent="0.4">
      <c r="A1974" s="23" t="s">
        <v>5231</v>
      </c>
      <c r="B1974" t="s">
        <v>26</v>
      </c>
      <c r="C1974" s="23" t="s">
        <v>5089</v>
      </c>
      <c r="D1974" s="23" t="s">
        <v>22174</v>
      </c>
      <c r="E1974" s="23" t="s">
        <v>60</v>
      </c>
      <c r="F1974" s="25" t="s">
        <v>5229</v>
      </c>
      <c r="G1974" s="25" t="s">
        <v>5230</v>
      </c>
      <c r="H1974" t="s">
        <v>26</v>
      </c>
      <c r="I1974" s="24">
        <v>39052</v>
      </c>
      <c r="J1974" s="24">
        <v>41609</v>
      </c>
      <c r="K1974" t="s">
        <v>26</v>
      </c>
      <c r="L1974" s="25" t="s">
        <v>68</v>
      </c>
      <c r="M1974" s="24">
        <v>39052</v>
      </c>
      <c r="N1974" s="24">
        <v>41609</v>
      </c>
      <c r="O1974" t="s">
        <v>26</v>
      </c>
      <c r="P1974" s="24">
        <v>39052</v>
      </c>
      <c r="Q1974" s="24">
        <v>41609</v>
      </c>
      <c r="R1974" s="25" t="s">
        <v>24818</v>
      </c>
      <c r="S1974" t="s">
        <v>26</v>
      </c>
      <c r="T1974" t="s">
        <v>26</v>
      </c>
      <c r="U1974" t="s">
        <v>26</v>
      </c>
      <c r="V1974" t="s">
        <v>26</v>
      </c>
      <c r="W1974" s="24">
        <v>35674</v>
      </c>
      <c r="X1974" s="24">
        <v>41609</v>
      </c>
      <c r="Y1974" t="s">
        <v>26</v>
      </c>
      <c r="Z1974" s="24">
        <v>35674</v>
      </c>
      <c r="AA1974" s="24">
        <v>41609</v>
      </c>
      <c r="AB1974" t="s">
        <v>26</v>
      </c>
      <c r="AC1974" s="24">
        <v>41548</v>
      </c>
      <c r="AD1974" s="24">
        <v>41609</v>
      </c>
      <c r="AE1974" t="s">
        <v>26</v>
      </c>
      <c r="AF1974" t="s">
        <v>26</v>
      </c>
      <c r="AG1974" t="s">
        <v>26</v>
      </c>
      <c r="AH1974" t="s">
        <v>26</v>
      </c>
      <c r="AI1974" t="s">
        <v>26</v>
      </c>
      <c r="AJ1974" t="s">
        <v>26</v>
      </c>
      <c r="AK1974" t="s">
        <v>26</v>
      </c>
      <c r="AL1974" t="s">
        <v>26</v>
      </c>
      <c r="AM1974" t="s">
        <v>26</v>
      </c>
      <c r="AN1974" t="s">
        <v>26</v>
      </c>
      <c r="AO1974" s="25" t="s">
        <v>68</v>
      </c>
      <c r="AP1974" s="23" t="s">
        <v>69</v>
      </c>
      <c r="AQ1974" s="23" t="s">
        <v>30</v>
      </c>
      <c r="AR1974" s="23" t="s">
        <v>3294</v>
      </c>
      <c r="AS1974" s="25">
        <v>44845</v>
      </c>
      <c r="AT1974" t="s">
        <v>26</v>
      </c>
      <c r="AU1974" t="s">
        <v>24819</v>
      </c>
    </row>
    <row r="1975" spans="1:47" ht="26.25" x14ac:dyDescent="0.4">
      <c r="A1975" s="23" t="s">
        <v>5232</v>
      </c>
      <c r="B1975" t="s">
        <v>26</v>
      </c>
      <c r="C1975" s="23" t="s">
        <v>264</v>
      </c>
      <c r="D1975" s="23" t="s">
        <v>23336</v>
      </c>
      <c r="E1975" s="23" t="s">
        <v>60</v>
      </c>
      <c r="F1975" s="25" t="s">
        <v>5233</v>
      </c>
      <c r="G1975" s="25" t="s">
        <v>5234</v>
      </c>
      <c r="H1975" t="s">
        <v>26</v>
      </c>
      <c r="I1975" s="24">
        <v>37956</v>
      </c>
      <c r="J1975" s="25" t="s">
        <v>77</v>
      </c>
      <c r="K1975" t="s">
        <v>26</v>
      </c>
      <c r="L1975" s="25" t="s">
        <v>68</v>
      </c>
      <c r="M1975" s="24">
        <v>37956</v>
      </c>
      <c r="N1975" s="25" t="s">
        <v>77</v>
      </c>
      <c r="O1975" s="25" t="s">
        <v>2112</v>
      </c>
      <c r="P1975" s="24">
        <v>37956</v>
      </c>
      <c r="Q1975" s="25" t="s">
        <v>77</v>
      </c>
      <c r="R1975" t="s">
        <v>26</v>
      </c>
      <c r="S1975" t="s">
        <v>26</v>
      </c>
      <c r="T1975" t="s">
        <v>26</v>
      </c>
      <c r="U1975" t="s">
        <v>26</v>
      </c>
      <c r="V1975" s="25">
        <v>365</v>
      </c>
      <c r="W1975" s="24">
        <v>37956</v>
      </c>
      <c r="X1975" s="25" t="s">
        <v>77</v>
      </c>
      <c r="Y1975" t="s">
        <v>26</v>
      </c>
      <c r="Z1975" s="24">
        <v>37956</v>
      </c>
      <c r="AA1975" s="25" t="s">
        <v>77</v>
      </c>
      <c r="AB1975" t="s">
        <v>26</v>
      </c>
      <c r="AC1975" s="24">
        <v>37956</v>
      </c>
      <c r="AD1975" s="25" t="s">
        <v>77</v>
      </c>
      <c r="AE1975" t="s">
        <v>26</v>
      </c>
      <c r="AF1975" t="s">
        <v>26</v>
      </c>
      <c r="AG1975" t="s">
        <v>26</v>
      </c>
      <c r="AH1975" t="s">
        <v>26</v>
      </c>
      <c r="AI1975" t="s">
        <v>26</v>
      </c>
      <c r="AJ1975" t="s">
        <v>26</v>
      </c>
      <c r="AK1975" t="s">
        <v>26</v>
      </c>
      <c r="AL1975" t="s">
        <v>26</v>
      </c>
      <c r="AM1975" t="s">
        <v>26</v>
      </c>
      <c r="AN1975" t="s">
        <v>26</v>
      </c>
      <c r="AO1975" s="25" t="s">
        <v>28</v>
      </c>
      <c r="AP1975" s="23" t="s">
        <v>69</v>
      </c>
      <c r="AQ1975" s="23" t="s">
        <v>30</v>
      </c>
      <c r="AR1975" s="23" t="s">
        <v>1654</v>
      </c>
      <c r="AS1975" s="25">
        <v>44504</v>
      </c>
      <c r="AT1975" t="s">
        <v>26</v>
      </c>
      <c r="AU1975" t="s">
        <v>24820</v>
      </c>
    </row>
    <row r="1976" spans="1:47" ht="26.25" x14ac:dyDescent="0.4">
      <c r="A1976" s="23" t="s">
        <v>5235</v>
      </c>
      <c r="B1976" t="s">
        <v>26</v>
      </c>
      <c r="C1976" s="23" t="s">
        <v>73</v>
      </c>
      <c r="D1976" s="23" t="s">
        <v>22179</v>
      </c>
      <c r="E1976" s="23" t="s">
        <v>74</v>
      </c>
      <c r="F1976" s="25" t="s">
        <v>5236</v>
      </c>
      <c r="G1976" s="25" t="s">
        <v>5237</v>
      </c>
      <c r="H1976" t="s">
        <v>26</v>
      </c>
      <c r="I1976" s="24">
        <v>36220</v>
      </c>
      <c r="J1976" s="24">
        <v>38687</v>
      </c>
      <c r="K1976" t="s">
        <v>26</v>
      </c>
      <c r="L1976" s="25" t="s">
        <v>68</v>
      </c>
      <c r="M1976" t="s">
        <v>26</v>
      </c>
      <c r="N1976" t="s">
        <v>26</v>
      </c>
      <c r="O1976" t="s">
        <v>26</v>
      </c>
      <c r="P1976" s="24">
        <v>36220</v>
      </c>
      <c r="Q1976" s="24">
        <v>38687</v>
      </c>
      <c r="R1976" t="s">
        <v>26</v>
      </c>
      <c r="S1976" t="s">
        <v>26</v>
      </c>
      <c r="T1976" t="s">
        <v>26</v>
      </c>
      <c r="U1976" t="s">
        <v>26</v>
      </c>
      <c r="V1976" t="s">
        <v>26</v>
      </c>
      <c r="W1976" s="24">
        <v>36220</v>
      </c>
      <c r="X1976" s="24">
        <v>38687</v>
      </c>
      <c r="Y1976" t="s">
        <v>26</v>
      </c>
      <c r="Z1976" s="24">
        <v>36220</v>
      </c>
      <c r="AA1976" s="24">
        <v>38687</v>
      </c>
      <c r="AB1976" t="s">
        <v>26</v>
      </c>
      <c r="AC1976" s="24">
        <v>36220</v>
      </c>
      <c r="AD1976" s="24">
        <v>38687</v>
      </c>
      <c r="AE1976" t="s">
        <v>26</v>
      </c>
      <c r="AF1976" t="s">
        <v>26</v>
      </c>
      <c r="AG1976" t="s">
        <v>26</v>
      </c>
      <c r="AH1976" t="s">
        <v>26</v>
      </c>
      <c r="AI1976" t="s">
        <v>26</v>
      </c>
      <c r="AJ1976" t="s">
        <v>26</v>
      </c>
      <c r="AK1976" t="s">
        <v>26</v>
      </c>
      <c r="AL1976" t="s">
        <v>26</v>
      </c>
      <c r="AM1976" t="s">
        <v>26</v>
      </c>
      <c r="AN1976" t="s">
        <v>26</v>
      </c>
      <c r="AO1976" s="25" t="s">
        <v>68</v>
      </c>
      <c r="AP1976" s="23" t="s">
        <v>69</v>
      </c>
      <c r="AQ1976" s="23" t="s">
        <v>30</v>
      </c>
      <c r="AR1976" s="23" t="s">
        <v>1046</v>
      </c>
      <c r="AS1976" s="25">
        <v>44570</v>
      </c>
      <c r="AT1976" t="s">
        <v>26</v>
      </c>
      <c r="AU1976" t="s">
        <v>24821</v>
      </c>
    </row>
    <row r="1977" spans="1:47" ht="26.25" x14ac:dyDescent="0.4">
      <c r="A1977" s="23" t="s">
        <v>5238</v>
      </c>
      <c r="B1977" t="s">
        <v>26</v>
      </c>
      <c r="C1977" s="23" t="s">
        <v>2028</v>
      </c>
      <c r="D1977" s="23" t="s">
        <v>22309</v>
      </c>
      <c r="E1977" s="23" t="s">
        <v>42</v>
      </c>
      <c r="F1977" s="25" t="s">
        <v>5239</v>
      </c>
      <c r="G1977" t="s">
        <v>26</v>
      </c>
      <c r="H1977" t="s">
        <v>26</v>
      </c>
      <c r="I1977" s="24">
        <v>38961</v>
      </c>
      <c r="J1977" s="24">
        <v>42339</v>
      </c>
      <c r="K1977" t="s">
        <v>26</v>
      </c>
      <c r="L1977" s="25" t="s">
        <v>28</v>
      </c>
      <c r="M1977" s="24">
        <v>38961</v>
      </c>
      <c r="N1977" s="24">
        <v>42339</v>
      </c>
      <c r="O1977" t="s">
        <v>26</v>
      </c>
      <c r="P1977" s="24">
        <v>38961</v>
      </c>
      <c r="Q1977" s="24">
        <v>42339</v>
      </c>
      <c r="R1977" t="s">
        <v>26</v>
      </c>
      <c r="S1977" t="s">
        <v>26</v>
      </c>
      <c r="T1977" t="s">
        <v>26</v>
      </c>
      <c r="U1977" t="s">
        <v>26</v>
      </c>
      <c r="V1977" t="s">
        <v>26</v>
      </c>
      <c r="W1977" s="24">
        <v>38961</v>
      </c>
      <c r="X1977" s="24">
        <v>42339</v>
      </c>
      <c r="Y1977" t="s">
        <v>26</v>
      </c>
      <c r="Z1977" s="24">
        <v>38961</v>
      </c>
      <c r="AA1977" s="24">
        <v>42339</v>
      </c>
      <c r="AB1977" t="s">
        <v>26</v>
      </c>
      <c r="AC1977" t="s">
        <v>26</v>
      </c>
      <c r="AD1977" t="s">
        <v>26</v>
      </c>
      <c r="AE1977" t="s">
        <v>26</v>
      </c>
      <c r="AF1977" t="s">
        <v>26</v>
      </c>
      <c r="AG1977" t="s">
        <v>26</v>
      </c>
      <c r="AH1977" t="s">
        <v>26</v>
      </c>
      <c r="AI1977" t="s">
        <v>26</v>
      </c>
      <c r="AJ1977" t="s">
        <v>26</v>
      </c>
      <c r="AK1977" t="s">
        <v>26</v>
      </c>
      <c r="AL1977" t="s">
        <v>26</v>
      </c>
      <c r="AM1977" t="s">
        <v>26</v>
      </c>
      <c r="AN1977" t="s">
        <v>26</v>
      </c>
      <c r="AO1977" s="25" t="s">
        <v>28</v>
      </c>
      <c r="AP1977" s="23" t="s">
        <v>211</v>
      </c>
      <c r="AQ1977" s="23" t="s">
        <v>30</v>
      </c>
      <c r="AR1977" s="23" t="s">
        <v>5240</v>
      </c>
      <c r="AS1977" s="25">
        <v>27572</v>
      </c>
      <c r="AT1977" t="s">
        <v>26</v>
      </c>
      <c r="AU1977" t="s">
        <v>24822</v>
      </c>
    </row>
    <row r="1978" spans="1:47" ht="13.15" x14ac:dyDescent="0.4">
      <c r="A1978" s="23" t="s">
        <v>5241</v>
      </c>
      <c r="B1978" t="s">
        <v>26</v>
      </c>
      <c r="C1978" s="23" t="s">
        <v>5242</v>
      </c>
      <c r="D1978" s="23" t="s">
        <v>23336</v>
      </c>
      <c r="E1978" s="23" t="s">
        <v>60</v>
      </c>
      <c r="F1978" s="25" t="s">
        <v>5243</v>
      </c>
      <c r="G1978" t="s">
        <v>26</v>
      </c>
      <c r="H1978" t="s">
        <v>26</v>
      </c>
      <c r="I1978" s="24">
        <v>38047</v>
      </c>
      <c r="J1978" s="24">
        <v>39783</v>
      </c>
      <c r="K1978" t="s">
        <v>26</v>
      </c>
      <c r="L1978" s="25" t="s">
        <v>28</v>
      </c>
      <c r="M1978" s="24">
        <v>38047</v>
      </c>
      <c r="N1978" s="24">
        <v>39783</v>
      </c>
      <c r="O1978" t="s">
        <v>26</v>
      </c>
      <c r="P1978" s="24">
        <v>38047</v>
      </c>
      <c r="Q1978" s="24">
        <v>39783</v>
      </c>
      <c r="R1978" t="s">
        <v>26</v>
      </c>
      <c r="S1978" t="s">
        <v>26</v>
      </c>
      <c r="T1978" t="s">
        <v>26</v>
      </c>
      <c r="U1978" t="s">
        <v>26</v>
      </c>
      <c r="V1978" t="s">
        <v>26</v>
      </c>
      <c r="W1978" s="24">
        <v>38047</v>
      </c>
      <c r="X1978" s="24">
        <v>39783</v>
      </c>
      <c r="Y1978" t="s">
        <v>26</v>
      </c>
      <c r="Z1978" s="24">
        <v>38047</v>
      </c>
      <c r="AA1978" s="24">
        <v>39783</v>
      </c>
      <c r="AB1978" t="s">
        <v>26</v>
      </c>
      <c r="AC1978" s="24">
        <v>38657</v>
      </c>
      <c r="AD1978" s="24">
        <v>39783</v>
      </c>
      <c r="AE1978" t="s">
        <v>26</v>
      </c>
      <c r="AF1978" t="s">
        <v>26</v>
      </c>
      <c r="AG1978" t="s">
        <v>26</v>
      </c>
      <c r="AH1978" t="s">
        <v>26</v>
      </c>
      <c r="AI1978" t="s">
        <v>26</v>
      </c>
      <c r="AJ1978" t="s">
        <v>26</v>
      </c>
      <c r="AK1978" t="s">
        <v>26</v>
      </c>
      <c r="AL1978" t="s">
        <v>26</v>
      </c>
      <c r="AM1978" t="s">
        <v>26</v>
      </c>
      <c r="AN1978" t="s">
        <v>26</v>
      </c>
      <c r="AO1978" s="25" t="s">
        <v>28</v>
      </c>
      <c r="AP1978" s="23" t="s">
        <v>211</v>
      </c>
      <c r="AQ1978" s="23" t="s">
        <v>30</v>
      </c>
      <c r="AR1978" s="23" t="s">
        <v>71</v>
      </c>
      <c r="AS1978" s="25">
        <v>44509</v>
      </c>
      <c r="AT1978" t="s">
        <v>26</v>
      </c>
      <c r="AU1978" t="s">
        <v>24823</v>
      </c>
    </row>
    <row r="1979" spans="1:47" ht="13.15" x14ac:dyDescent="0.4">
      <c r="A1979" s="23" t="s">
        <v>5244</v>
      </c>
      <c r="B1979" t="s">
        <v>26</v>
      </c>
      <c r="C1979" s="23" t="s">
        <v>320</v>
      </c>
      <c r="D1979" s="23" t="s">
        <v>22294</v>
      </c>
      <c r="E1979" s="23" t="s">
        <v>42</v>
      </c>
      <c r="F1979" s="25" t="s">
        <v>5245</v>
      </c>
      <c r="G1979" s="25" t="s">
        <v>5246</v>
      </c>
      <c r="H1979" t="s">
        <v>26</v>
      </c>
      <c r="I1979" t="s">
        <v>26</v>
      </c>
      <c r="J1979" t="s">
        <v>26</v>
      </c>
      <c r="K1979" t="s">
        <v>26</v>
      </c>
      <c r="L1979" s="25" t="s">
        <v>28</v>
      </c>
      <c r="M1979" t="s">
        <v>26</v>
      </c>
      <c r="N1979" t="s">
        <v>26</v>
      </c>
      <c r="O1979" t="s">
        <v>26</v>
      </c>
      <c r="P1979" t="s">
        <v>26</v>
      </c>
      <c r="Q1979" t="s">
        <v>26</v>
      </c>
      <c r="R1979" t="s">
        <v>26</v>
      </c>
      <c r="S1979" t="s">
        <v>26</v>
      </c>
      <c r="T1979" t="s">
        <v>26</v>
      </c>
      <c r="U1979" t="s">
        <v>26</v>
      </c>
      <c r="V1979" t="s">
        <v>26</v>
      </c>
      <c r="W1979" s="24">
        <v>41211</v>
      </c>
      <c r="X1979" s="25" t="s">
        <v>77</v>
      </c>
      <c r="Y1979" t="s">
        <v>26</v>
      </c>
      <c r="Z1979" s="24">
        <v>41211</v>
      </c>
      <c r="AA1979" s="25" t="s">
        <v>77</v>
      </c>
      <c r="AB1979" t="s">
        <v>26</v>
      </c>
      <c r="AC1979" s="24">
        <v>41211</v>
      </c>
      <c r="AD1979" s="25" t="s">
        <v>77</v>
      </c>
      <c r="AE1979" s="25" t="s">
        <v>24824</v>
      </c>
      <c r="AF1979" t="s">
        <v>26</v>
      </c>
      <c r="AG1979" t="s">
        <v>26</v>
      </c>
      <c r="AH1979" t="s">
        <v>26</v>
      </c>
      <c r="AI1979" t="s">
        <v>26</v>
      </c>
      <c r="AJ1979" t="s">
        <v>26</v>
      </c>
      <c r="AK1979" t="s">
        <v>26</v>
      </c>
      <c r="AL1979" t="s">
        <v>26</v>
      </c>
      <c r="AM1979" t="s">
        <v>26</v>
      </c>
      <c r="AN1979" t="s">
        <v>26</v>
      </c>
      <c r="AO1979" s="25" t="s">
        <v>28</v>
      </c>
      <c r="AP1979" s="23" t="s">
        <v>211</v>
      </c>
      <c r="AQ1979" s="23" t="s">
        <v>30</v>
      </c>
      <c r="AR1979" s="23" t="s">
        <v>5247</v>
      </c>
      <c r="AS1979" s="25">
        <v>1016382</v>
      </c>
      <c r="AT1979" t="s">
        <v>26</v>
      </c>
      <c r="AU1979" t="s">
        <v>24825</v>
      </c>
    </row>
    <row r="1980" spans="1:47" ht="26.25" x14ac:dyDescent="0.4">
      <c r="A1980" s="23" t="s">
        <v>5248</v>
      </c>
      <c r="B1980" t="s">
        <v>26</v>
      </c>
      <c r="C1980" s="23" t="s">
        <v>264</v>
      </c>
      <c r="D1980" s="23" t="s">
        <v>23336</v>
      </c>
      <c r="E1980" s="23" t="s">
        <v>60</v>
      </c>
      <c r="F1980" s="25" t="s">
        <v>5249</v>
      </c>
      <c r="G1980" s="25" t="s">
        <v>5250</v>
      </c>
      <c r="H1980" t="s">
        <v>26</v>
      </c>
      <c r="I1980" s="24">
        <v>37926</v>
      </c>
      <c r="J1980" s="25" t="s">
        <v>77</v>
      </c>
      <c r="K1980" t="s">
        <v>26</v>
      </c>
      <c r="L1980" s="25" t="s">
        <v>68</v>
      </c>
      <c r="M1980" s="24">
        <v>37926</v>
      </c>
      <c r="N1980" s="25" t="s">
        <v>77</v>
      </c>
      <c r="O1980" s="25" t="s">
        <v>2112</v>
      </c>
      <c r="P1980" s="24">
        <v>37926</v>
      </c>
      <c r="Q1980" s="25" t="s">
        <v>77</v>
      </c>
      <c r="R1980" t="s">
        <v>26</v>
      </c>
      <c r="S1980" t="s">
        <v>26</v>
      </c>
      <c r="T1980" t="s">
        <v>26</v>
      </c>
      <c r="U1980" t="s">
        <v>26</v>
      </c>
      <c r="V1980" s="25">
        <v>365</v>
      </c>
      <c r="W1980" s="24">
        <v>37926</v>
      </c>
      <c r="X1980" s="25" t="s">
        <v>77</v>
      </c>
      <c r="Y1980" t="s">
        <v>26</v>
      </c>
      <c r="Z1980" s="24">
        <v>37926</v>
      </c>
      <c r="AA1980" s="25" t="s">
        <v>77</v>
      </c>
      <c r="AB1980" t="s">
        <v>26</v>
      </c>
      <c r="AC1980" s="24">
        <v>38749</v>
      </c>
      <c r="AD1980" s="25" t="s">
        <v>77</v>
      </c>
      <c r="AE1980" t="s">
        <v>26</v>
      </c>
      <c r="AF1980" t="s">
        <v>26</v>
      </c>
      <c r="AG1980" t="s">
        <v>26</v>
      </c>
      <c r="AH1980" t="s">
        <v>26</v>
      </c>
      <c r="AI1980" t="s">
        <v>26</v>
      </c>
      <c r="AJ1980" t="s">
        <v>26</v>
      </c>
      <c r="AK1980" t="s">
        <v>26</v>
      </c>
      <c r="AL1980" t="s">
        <v>26</v>
      </c>
      <c r="AM1980" t="s">
        <v>26</v>
      </c>
      <c r="AN1980" t="s">
        <v>26</v>
      </c>
      <c r="AO1980" s="25" t="s">
        <v>68</v>
      </c>
      <c r="AP1980" s="23" t="s">
        <v>69</v>
      </c>
      <c r="AQ1980" s="23" t="s">
        <v>30</v>
      </c>
      <c r="AR1980" s="23" t="s">
        <v>147</v>
      </c>
      <c r="AS1980" s="25">
        <v>44685</v>
      </c>
      <c r="AT1980" t="s">
        <v>26</v>
      </c>
      <c r="AU1980" t="s">
        <v>24826</v>
      </c>
    </row>
    <row r="1981" spans="1:47" ht="26.25" x14ac:dyDescent="0.4">
      <c r="A1981" s="23" t="s">
        <v>5251</v>
      </c>
      <c r="B1981" t="s">
        <v>26</v>
      </c>
      <c r="C1981" s="23" t="s">
        <v>80</v>
      </c>
      <c r="D1981" s="23" t="s">
        <v>22184</v>
      </c>
      <c r="E1981" s="23" t="s">
        <v>60</v>
      </c>
      <c r="F1981" s="25" t="s">
        <v>5252</v>
      </c>
      <c r="G1981" s="25" t="s">
        <v>5253</v>
      </c>
      <c r="H1981" t="s">
        <v>26</v>
      </c>
      <c r="I1981" t="s">
        <v>26</v>
      </c>
      <c r="J1981" t="s">
        <v>26</v>
      </c>
      <c r="K1981" t="s">
        <v>26</v>
      </c>
      <c r="L1981" s="25" t="s">
        <v>68</v>
      </c>
      <c r="M1981" t="s">
        <v>26</v>
      </c>
      <c r="N1981" t="s">
        <v>26</v>
      </c>
      <c r="O1981" t="s">
        <v>26</v>
      </c>
      <c r="P1981" t="s">
        <v>26</v>
      </c>
      <c r="Q1981" t="s">
        <v>26</v>
      </c>
      <c r="R1981" t="s">
        <v>26</v>
      </c>
      <c r="S1981" t="s">
        <v>26</v>
      </c>
      <c r="T1981" t="s">
        <v>26</v>
      </c>
      <c r="U1981" t="s">
        <v>26</v>
      </c>
      <c r="V1981" t="s">
        <v>26</v>
      </c>
      <c r="W1981" s="24">
        <v>40179</v>
      </c>
      <c r="X1981" s="24">
        <v>41913</v>
      </c>
      <c r="Y1981" t="s">
        <v>26</v>
      </c>
      <c r="Z1981" s="24">
        <v>40179</v>
      </c>
      <c r="AA1981" s="24">
        <v>41913</v>
      </c>
      <c r="AB1981" t="s">
        <v>26</v>
      </c>
      <c r="AC1981" s="24">
        <v>40179</v>
      </c>
      <c r="AD1981" s="24">
        <v>41913</v>
      </c>
      <c r="AE1981" t="s">
        <v>26</v>
      </c>
      <c r="AF1981" t="s">
        <v>26</v>
      </c>
      <c r="AG1981" t="s">
        <v>26</v>
      </c>
      <c r="AH1981" t="s">
        <v>26</v>
      </c>
      <c r="AI1981" t="s">
        <v>26</v>
      </c>
      <c r="AJ1981" t="s">
        <v>26</v>
      </c>
      <c r="AK1981" t="s">
        <v>26</v>
      </c>
      <c r="AL1981" t="s">
        <v>26</v>
      </c>
      <c r="AM1981" t="s">
        <v>26</v>
      </c>
      <c r="AN1981" t="s">
        <v>26</v>
      </c>
      <c r="AO1981" s="25" t="s">
        <v>68</v>
      </c>
      <c r="AP1981" s="23" t="s">
        <v>69</v>
      </c>
      <c r="AQ1981" s="23" t="s">
        <v>30</v>
      </c>
      <c r="AR1981" s="23" t="s">
        <v>511</v>
      </c>
      <c r="AS1981" s="25">
        <v>196151</v>
      </c>
      <c r="AT1981" t="s">
        <v>26</v>
      </c>
      <c r="AU1981" t="s">
        <v>24827</v>
      </c>
    </row>
    <row r="1982" spans="1:47" ht="26.25" x14ac:dyDescent="0.4">
      <c r="A1982" s="23" t="s">
        <v>5254</v>
      </c>
      <c r="B1982" t="s">
        <v>26</v>
      </c>
      <c r="C1982" s="23" t="s">
        <v>80</v>
      </c>
      <c r="D1982" s="23" t="s">
        <v>22184</v>
      </c>
      <c r="E1982" s="23" t="s">
        <v>60</v>
      </c>
      <c r="F1982" s="25" t="s">
        <v>5255</v>
      </c>
      <c r="G1982" s="25" t="s">
        <v>5256</v>
      </c>
      <c r="H1982" t="s">
        <v>26</v>
      </c>
      <c r="I1982" t="s">
        <v>26</v>
      </c>
      <c r="J1982" t="s">
        <v>26</v>
      </c>
      <c r="K1982" t="s">
        <v>26</v>
      </c>
      <c r="L1982" s="25" t="s">
        <v>68</v>
      </c>
      <c r="M1982" t="s">
        <v>26</v>
      </c>
      <c r="N1982" t="s">
        <v>26</v>
      </c>
      <c r="O1982" t="s">
        <v>26</v>
      </c>
      <c r="P1982" t="s">
        <v>26</v>
      </c>
      <c r="Q1982" t="s">
        <v>26</v>
      </c>
      <c r="R1982" t="s">
        <v>26</v>
      </c>
      <c r="S1982" t="s">
        <v>26</v>
      </c>
      <c r="T1982" t="s">
        <v>26</v>
      </c>
      <c r="U1982" t="s">
        <v>26</v>
      </c>
      <c r="V1982" t="s">
        <v>26</v>
      </c>
      <c r="W1982" s="24">
        <v>40179</v>
      </c>
      <c r="X1982" s="25" t="s">
        <v>77</v>
      </c>
      <c r="Y1982" t="s">
        <v>26</v>
      </c>
      <c r="Z1982" s="24">
        <v>40179</v>
      </c>
      <c r="AA1982" s="25" t="s">
        <v>77</v>
      </c>
      <c r="AB1982" t="s">
        <v>26</v>
      </c>
      <c r="AC1982" s="24">
        <v>40179</v>
      </c>
      <c r="AD1982" s="25" t="s">
        <v>77</v>
      </c>
      <c r="AE1982" t="s">
        <v>26</v>
      </c>
      <c r="AF1982" t="s">
        <v>26</v>
      </c>
      <c r="AG1982" t="s">
        <v>26</v>
      </c>
      <c r="AH1982" t="s">
        <v>26</v>
      </c>
      <c r="AI1982" t="s">
        <v>26</v>
      </c>
      <c r="AJ1982" t="s">
        <v>26</v>
      </c>
      <c r="AK1982" t="s">
        <v>26</v>
      </c>
      <c r="AL1982" t="s">
        <v>26</v>
      </c>
      <c r="AM1982" t="s">
        <v>26</v>
      </c>
      <c r="AN1982" t="s">
        <v>26</v>
      </c>
      <c r="AO1982" s="25" t="s">
        <v>68</v>
      </c>
      <c r="AP1982" s="23" t="s">
        <v>69</v>
      </c>
      <c r="AQ1982" s="23" t="s">
        <v>30</v>
      </c>
      <c r="AR1982" s="23" t="s">
        <v>5257</v>
      </c>
      <c r="AS1982" s="25">
        <v>196150</v>
      </c>
      <c r="AT1982" t="s">
        <v>26</v>
      </c>
      <c r="AU1982" t="s">
        <v>24828</v>
      </c>
    </row>
    <row r="1983" spans="1:47" ht="26.25" x14ac:dyDescent="0.4">
      <c r="A1983" s="23" t="s">
        <v>5258</v>
      </c>
      <c r="B1983" t="s">
        <v>26</v>
      </c>
      <c r="C1983" s="23" t="s">
        <v>259</v>
      </c>
      <c r="D1983" s="23" t="s">
        <v>22261</v>
      </c>
      <c r="E1983" s="23" t="s">
        <v>60</v>
      </c>
      <c r="F1983" s="25" t="s">
        <v>5259</v>
      </c>
      <c r="G1983" t="s">
        <v>26</v>
      </c>
      <c r="H1983" t="s">
        <v>26</v>
      </c>
      <c r="I1983" s="24">
        <v>39814</v>
      </c>
      <c r="J1983" s="25" t="s">
        <v>77</v>
      </c>
      <c r="K1983" t="s">
        <v>26</v>
      </c>
      <c r="L1983" s="25" t="s">
        <v>68</v>
      </c>
      <c r="M1983" s="24">
        <v>43466</v>
      </c>
      <c r="N1983" s="25" t="s">
        <v>77</v>
      </c>
      <c r="O1983" t="s">
        <v>26</v>
      </c>
      <c r="P1983" s="24">
        <v>39814</v>
      </c>
      <c r="Q1983" s="25" t="s">
        <v>77</v>
      </c>
      <c r="R1983" t="s">
        <v>26</v>
      </c>
      <c r="S1983" t="s">
        <v>26</v>
      </c>
      <c r="T1983" t="s">
        <v>26</v>
      </c>
      <c r="U1983" t="s">
        <v>26</v>
      </c>
      <c r="V1983" t="s">
        <v>26</v>
      </c>
      <c r="W1983" s="24">
        <v>39814</v>
      </c>
      <c r="X1983" s="25" t="s">
        <v>77</v>
      </c>
      <c r="Y1983" t="s">
        <v>26</v>
      </c>
      <c r="Z1983" s="24">
        <v>39814</v>
      </c>
      <c r="AA1983" s="25" t="s">
        <v>77</v>
      </c>
      <c r="AB1983" t="s">
        <v>26</v>
      </c>
      <c r="AC1983" s="24">
        <v>39814</v>
      </c>
      <c r="AD1983" s="25" t="s">
        <v>77</v>
      </c>
      <c r="AE1983" t="s">
        <v>26</v>
      </c>
      <c r="AF1983" t="s">
        <v>26</v>
      </c>
      <c r="AG1983" t="s">
        <v>26</v>
      </c>
      <c r="AH1983" t="s">
        <v>26</v>
      </c>
      <c r="AI1983" t="s">
        <v>26</v>
      </c>
      <c r="AJ1983" t="s">
        <v>26</v>
      </c>
      <c r="AK1983" t="s">
        <v>26</v>
      </c>
      <c r="AL1983" t="s">
        <v>26</v>
      </c>
      <c r="AM1983" t="s">
        <v>26</v>
      </c>
      <c r="AN1983" t="s">
        <v>26</v>
      </c>
      <c r="AO1983" s="25" t="s">
        <v>68</v>
      </c>
      <c r="AP1983" s="23" t="s">
        <v>69</v>
      </c>
      <c r="AQ1983" s="23" t="s">
        <v>30</v>
      </c>
      <c r="AR1983" s="23" t="s">
        <v>70</v>
      </c>
      <c r="AS1983" s="25">
        <v>4931659</v>
      </c>
      <c r="AT1983" t="s">
        <v>26</v>
      </c>
      <c r="AU1983" t="s">
        <v>24829</v>
      </c>
    </row>
    <row r="1984" spans="1:47" ht="26.25" x14ac:dyDescent="0.4">
      <c r="A1984" s="23" t="s">
        <v>5260</v>
      </c>
      <c r="B1984" t="s">
        <v>26</v>
      </c>
      <c r="C1984" s="23" t="s">
        <v>5261</v>
      </c>
      <c r="D1984" s="23" t="s">
        <v>22254</v>
      </c>
      <c r="E1984" s="23" t="s">
        <v>42</v>
      </c>
      <c r="F1984" s="25" t="s">
        <v>5262</v>
      </c>
      <c r="G1984" s="25" t="s">
        <v>5263</v>
      </c>
      <c r="H1984" t="s">
        <v>26</v>
      </c>
      <c r="I1984" s="24">
        <v>39326</v>
      </c>
      <c r="J1984" s="24">
        <v>40848</v>
      </c>
      <c r="K1984" t="s">
        <v>26</v>
      </c>
      <c r="L1984" s="25" t="s">
        <v>68</v>
      </c>
      <c r="M1984" s="24">
        <v>39326</v>
      </c>
      <c r="N1984" s="24">
        <v>40848</v>
      </c>
      <c r="O1984" t="s">
        <v>26</v>
      </c>
      <c r="P1984" t="s">
        <v>26</v>
      </c>
      <c r="Q1984" t="s">
        <v>26</v>
      </c>
      <c r="R1984" t="s">
        <v>26</v>
      </c>
      <c r="S1984" t="s">
        <v>26</v>
      </c>
      <c r="T1984" t="s">
        <v>26</v>
      </c>
      <c r="U1984" t="s">
        <v>26</v>
      </c>
      <c r="V1984" t="s">
        <v>26</v>
      </c>
      <c r="W1984" s="24">
        <v>39326</v>
      </c>
      <c r="X1984" s="24">
        <v>40848</v>
      </c>
      <c r="Y1984" t="s">
        <v>26</v>
      </c>
      <c r="Z1984" s="24">
        <v>39326</v>
      </c>
      <c r="AA1984" s="24">
        <v>40848</v>
      </c>
      <c r="AB1984" t="s">
        <v>26</v>
      </c>
      <c r="AC1984" s="24">
        <v>40299</v>
      </c>
      <c r="AD1984" s="24">
        <v>40848</v>
      </c>
      <c r="AE1984" s="25" t="s">
        <v>24830</v>
      </c>
      <c r="AF1984" t="s">
        <v>26</v>
      </c>
      <c r="AG1984" t="s">
        <v>26</v>
      </c>
      <c r="AH1984" t="s">
        <v>26</v>
      </c>
      <c r="AI1984" t="s">
        <v>26</v>
      </c>
      <c r="AJ1984" t="s">
        <v>26</v>
      </c>
      <c r="AK1984" t="s">
        <v>26</v>
      </c>
      <c r="AL1984" t="s">
        <v>26</v>
      </c>
      <c r="AM1984" t="s">
        <v>26</v>
      </c>
      <c r="AN1984" t="s">
        <v>26</v>
      </c>
      <c r="AO1984" s="25" t="s">
        <v>28</v>
      </c>
      <c r="AP1984" s="23" t="s">
        <v>69</v>
      </c>
      <c r="AQ1984" s="23" t="s">
        <v>30</v>
      </c>
      <c r="AR1984" s="23" t="s">
        <v>4670</v>
      </c>
      <c r="AS1984" s="25">
        <v>36000</v>
      </c>
      <c r="AT1984" t="s">
        <v>26</v>
      </c>
      <c r="AU1984" t="s">
        <v>24831</v>
      </c>
    </row>
    <row r="1985" spans="1:47" ht="26.25" x14ac:dyDescent="0.4">
      <c r="A1985" s="23" t="s">
        <v>5264</v>
      </c>
      <c r="B1985" t="s">
        <v>26</v>
      </c>
      <c r="C1985" s="23" t="s">
        <v>5265</v>
      </c>
      <c r="D1985" s="23" t="s">
        <v>24832</v>
      </c>
      <c r="E1985" s="23" t="s">
        <v>42</v>
      </c>
      <c r="F1985" s="25" t="s">
        <v>5266</v>
      </c>
      <c r="G1985" s="25" t="s">
        <v>5267</v>
      </c>
      <c r="H1985" t="s">
        <v>26</v>
      </c>
      <c r="I1985" s="24">
        <v>35431</v>
      </c>
      <c r="J1985" s="25" t="s">
        <v>77</v>
      </c>
      <c r="K1985" t="s">
        <v>26</v>
      </c>
      <c r="L1985" s="25" t="s">
        <v>68</v>
      </c>
      <c r="M1985" s="24">
        <v>35431</v>
      </c>
      <c r="N1985" s="25" t="s">
        <v>77</v>
      </c>
      <c r="O1985" t="s">
        <v>26</v>
      </c>
      <c r="P1985" s="24">
        <v>35431</v>
      </c>
      <c r="Q1985" s="25" t="s">
        <v>77</v>
      </c>
      <c r="R1985" t="s">
        <v>26</v>
      </c>
      <c r="S1985" t="s">
        <v>26</v>
      </c>
      <c r="T1985" t="s">
        <v>26</v>
      </c>
      <c r="U1985" t="s">
        <v>26</v>
      </c>
      <c r="V1985" t="s">
        <v>26</v>
      </c>
      <c r="W1985" s="24">
        <v>35431</v>
      </c>
      <c r="X1985" s="25" t="s">
        <v>77</v>
      </c>
      <c r="Y1985" t="s">
        <v>26</v>
      </c>
      <c r="Z1985" s="24">
        <v>35431</v>
      </c>
      <c r="AA1985" s="25" t="s">
        <v>77</v>
      </c>
      <c r="AB1985" t="s">
        <v>26</v>
      </c>
      <c r="AC1985" s="24">
        <v>35431</v>
      </c>
      <c r="AD1985" s="25" t="s">
        <v>77</v>
      </c>
      <c r="AE1985" t="s">
        <v>26</v>
      </c>
      <c r="AF1985" t="s">
        <v>26</v>
      </c>
      <c r="AG1985" t="s">
        <v>26</v>
      </c>
      <c r="AH1985" t="s">
        <v>26</v>
      </c>
      <c r="AI1985" t="s">
        <v>26</v>
      </c>
      <c r="AJ1985" t="s">
        <v>26</v>
      </c>
      <c r="AK1985" t="s">
        <v>26</v>
      </c>
      <c r="AL1985" t="s">
        <v>26</v>
      </c>
      <c r="AM1985" t="s">
        <v>26</v>
      </c>
      <c r="AN1985" t="s">
        <v>26</v>
      </c>
      <c r="AO1985" s="25" t="s">
        <v>68</v>
      </c>
      <c r="AP1985" s="23" t="s">
        <v>69</v>
      </c>
      <c r="AQ1985" s="23" t="s">
        <v>30</v>
      </c>
      <c r="AR1985" s="23" t="s">
        <v>2139</v>
      </c>
      <c r="AS1985" s="25">
        <v>48851</v>
      </c>
      <c r="AT1985" t="s">
        <v>26</v>
      </c>
      <c r="AU1985" t="s">
        <v>24833</v>
      </c>
    </row>
    <row r="1986" spans="1:47" ht="26.25" x14ac:dyDescent="0.4">
      <c r="A1986" s="23" t="s">
        <v>24834</v>
      </c>
      <c r="B1986" t="s">
        <v>26</v>
      </c>
      <c r="C1986" t="s">
        <v>26</v>
      </c>
      <c r="D1986" s="23" t="s">
        <v>24835</v>
      </c>
      <c r="E1986" t="s">
        <v>26</v>
      </c>
      <c r="F1986" s="25" t="s">
        <v>24836</v>
      </c>
      <c r="G1986" t="s">
        <v>26</v>
      </c>
      <c r="H1986" t="s">
        <v>26</v>
      </c>
      <c r="I1986" s="24">
        <v>42736</v>
      </c>
      <c r="J1986" s="25" t="s">
        <v>77</v>
      </c>
      <c r="K1986" t="s">
        <v>26</v>
      </c>
      <c r="L1986" s="25" t="s">
        <v>68</v>
      </c>
      <c r="M1986" t="s">
        <v>26</v>
      </c>
      <c r="N1986" t="s">
        <v>26</v>
      </c>
      <c r="O1986" t="s">
        <v>26</v>
      </c>
      <c r="P1986" s="24">
        <v>42736</v>
      </c>
      <c r="Q1986" s="25" t="s">
        <v>77</v>
      </c>
      <c r="R1986" t="s">
        <v>26</v>
      </c>
      <c r="S1986" t="s">
        <v>26</v>
      </c>
      <c r="T1986" t="s">
        <v>26</v>
      </c>
      <c r="U1986" t="s">
        <v>26</v>
      </c>
      <c r="V1986" t="s">
        <v>26</v>
      </c>
      <c r="W1986" s="24">
        <v>42736</v>
      </c>
      <c r="X1986" s="25" t="s">
        <v>77</v>
      </c>
      <c r="Y1986" t="s">
        <v>26</v>
      </c>
      <c r="Z1986" s="24">
        <v>42736</v>
      </c>
      <c r="AA1986" s="25" t="s">
        <v>77</v>
      </c>
      <c r="AB1986" t="s">
        <v>26</v>
      </c>
      <c r="AC1986" s="24">
        <v>43101</v>
      </c>
      <c r="AD1986" s="25" t="s">
        <v>77</v>
      </c>
      <c r="AE1986" t="s">
        <v>26</v>
      </c>
      <c r="AF1986" t="s">
        <v>26</v>
      </c>
      <c r="AG1986" t="s">
        <v>26</v>
      </c>
      <c r="AH1986" t="s">
        <v>26</v>
      </c>
      <c r="AI1986" t="s">
        <v>26</v>
      </c>
      <c r="AJ1986" t="s">
        <v>26</v>
      </c>
      <c r="AK1986" t="s">
        <v>26</v>
      </c>
      <c r="AL1986" t="s">
        <v>26</v>
      </c>
      <c r="AM1986" t="s">
        <v>26</v>
      </c>
      <c r="AN1986" t="s">
        <v>26</v>
      </c>
      <c r="AO1986" s="25" t="s">
        <v>68</v>
      </c>
      <c r="AP1986" s="23" t="s">
        <v>69</v>
      </c>
      <c r="AQ1986" s="23" t="s">
        <v>30</v>
      </c>
      <c r="AR1986" s="23" t="s">
        <v>46</v>
      </c>
      <c r="AS1986" s="25">
        <v>6517114</v>
      </c>
      <c r="AT1986" t="s">
        <v>26</v>
      </c>
      <c r="AU1986" t="s">
        <v>24837</v>
      </c>
    </row>
    <row r="1987" spans="1:47" ht="26.25" x14ac:dyDescent="0.4">
      <c r="A1987" s="23" t="s">
        <v>5268</v>
      </c>
      <c r="B1987" t="s">
        <v>26</v>
      </c>
      <c r="C1987" s="23" t="s">
        <v>73</v>
      </c>
      <c r="D1987" s="23" t="s">
        <v>22179</v>
      </c>
      <c r="E1987" s="23" t="s">
        <v>74</v>
      </c>
      <c r="F1987" s="25" t="s">
        <v>5269</v>
      </c>
      <c r="G1987" s="25" t="s">
        <v>5270</v>
      </c>
      <c r="H1987" t="s">
        <v>26</v>
      </c>
      <c r="I1987" s="24">
        <v>35582</v>
      </c>
      <c r="J1987" s="25" t="s">
        <v>77</v>
      </c>
      <c r="K1987" s="25" t="s">
        <v>5271</v>
      </c>
      <c r="L1987" s="25" t="s">
        <v>68</v>
      </c>
      <c r="M1987" s="24">
        <v>35582</v>
      </c>
      <c r="N1987" s="24">
        <v>42826</v>
      </c>
      <c r="O1987" s="25" t="s">
        <v>5271</v>
      </c>
      <c r="P1987" s="24">
        <v>35582</v>
      </c>
      <c r="Q1987" s="25" t="s">
        <v>77</v>
      </c>
      <c r="R1987" s="25" t="s">
        <v>5271</v>
      </c>
      <c r="S1987" t="s">
        <v>26</v>
      </c>
      <c r="T1987" t="s">
        <v>26</v>
      </c>
      <c r="U1987" t="s">
        <v>26</v>
      </c>
      <c r="V1987" s="25">
        <v>365</v>
      </c>
      <c r="W1987" s="24">
        <v>35582</v>
      </c>
      <c r="X1987" s="25" t="s">
        <v>77</v>
      </c>
      <c r="Y1987" s="25" t="s">
        <v>5271</v>
      </c>
      <c r="Z1987" s="24">
        <v>35582</v>
      </c>
      <c r="AA1987" s="25" t="s">
        <v>77</v>
      </c>
      <c r="AB1987" s="25" t="s">
        <v>5271</v>
      </c>
      <c r="AC1987" s="24">
        <v>35582</v>
      </c>
      <c r="AD1987" s="25" t="s">
        <v>77</v>
      </c>
      <c r="AE1987" s="25" t="s">
        <v>5271</v>
      </c>
      <c r="AF1987" t="s">
        <v>26</v>
      </c>
      <c r="AG1987" t="s">
        <v>26</v>
      </c>
      <c r="AH1987" t="s">
        <v>26</v>
      </c>
      <c r="AI1987" t="s">
        <v>26</v>
      </c>
      <c r="AJ1987" t="s">
        <v>26</v>
      </c>
      <c r="AK1987" t="s">
        <v>26</v>
      </c>
      <c r="AL1987" t="s">
        <v>26</v>
      </c>
      <c r="AM1987" t="s">
        <v>26</v>
      </c>
      <c r="AN1987" t="s">
        <v>26</v>
      </c>
      <c r="AO1987" s="25" t="s">
        <v>68</v>
      </c>
      <c r="AP1987" s="23" t="s">
        <v>69</v>
      </c>
      <c r="AQ1987" s="23" t="s">
        <v>30</v>
      </c>
      <c r="AR1987" s="23" t="s">
        <v>277</v>
      </c>
      <c r="AS1987" s="25">
        <v>37975</v>
      </c>
      <c r="AT1987" t="s">
        <v>26</v>
      </c>
      <c r="AU1987" t="s">
        <v>24838</v>
      </c>
    </row>
    <row r="1988" spans="1:47" ht="26.25" x14ac:dyDescent="0.4">
      <c r="A1988" s="23" t="s">
        <v>5272</v>
      </c>
      <c r="B1988" t="s">
        <v>26</v>
      </c>
      <c r="C1988" s="23" t="s">
        <v>73</v>
      </c>
      <c r="D1988" s="23" t="s">
        <v>22179</v>
      </c>
      <c r="E1988" s="23" t="s">
        <v>74</v>
      </c>
      <c r="F1988" s="25" t="s">
        <v>5273</v>
      </c>
      <c r="G1988" s="25" t="s">
        <v>5274</v>
      </c>
      <c r="H1988" t="s">
        <v>26</v>
      </c>
      <c r="I1988" s="24">
        <v>38808</v>
      </c>
      <c r="J1988" s="25" t="s">
        <v>77</v>
      </c>
      <c r="K1988" t="s">
        <v>26</v>
      </c>
      <c r="L1988" s="25" t="s">
        <v>68</v>
      </c>
      <c r="M1988" s="24">
        <v>38808</v>
      </c>
      <c r="N1988" s="24">
        <v>42826</v>
      </c>
      <c r="O1988" t="s">
        <v>26</v>
      </c>
      <c r="P1988" s="24">
        <v>38808</v>
      </c>
      <c r="Q1988" s="25" t="s">
        <v>77</v>
      </c>
      <c r="R1988" t="s">
        <v>26</v>
      </c>
      <c r="S1988" t="s">
        <v>26</v>
      </c>
      <c r="T1988" t="s">
        <v>26</v>
      </c>
      <c r="U1988" t="s">
        <v>26</v>
      </c>
      <c r="V1988" s="25">
        <v>365</v>
      </c>
      <c r="W1988" s="24">
        <v>38808</v>
      </c>
      <c r="X1988" s="25" t="s">
        <v>77</v>
      </c>
      <c r="Y1988" t="s">
        <v>26</v>
      </c>
      <c r="Z1988" s="24">
        <v>38808</v>
      </c>
      <c r="AA1988" s="25" t="s">
        <v>77</v>
      </c>
      <c r="AB1988" t="s">
        <v>26</v>
      </c>
      <c r="AC1988" s="24">
        <v>38808</v>
      </c>
      <c r="AD1988" s="25" t="s">
        <v>77</v>
      </c>
      <c r="AE1988" t="s">
        <v>26</v>
      </c>
      <c r="AF1988" t="s">
        <v>26</v>
      </c>
      <c r="AG1988" t="s">
        <v>26</v>
      </c>
      <c r="AH1988" t="s">
        <v>26</v>
      </c>
      <c r="AI1988" t="s">
        <v>26</v>
      </c>
      <c r="AJ1988" t="s">
        <v>26</v>
      </c>
      <c r="AK1988" t="s">
        <v>26</v>
      </c>
      <c r="AL1988" t="s">
        <v>26</v>
      </c>
      <c r="AM1988" t="s">
        <v>26</v>
      </c>
      <c r="AN1988" t="s">
        <v>26</v>
      </c>
      <c r="AO1988" s="25" t="s">
        <v>68</v>
      </c>
      <c r="AP1988" s="23" t="s">
        <v>69</v>
      </c>
      <c r="AQ1988" s="23" t="s">
        <v>30</v>
      </c>
      <c r="AR1988" s="23" t="s">
        <v>337</v>
      </c>
      <c r="AS1988" s="25">
        <v>54207</v>
      </c>
      <c r="AT1988" t="s">
        <v>26</v>
      </c>
      <c r="AU1988" t="s">
        <v>24839</v>
      </c>
    </row>
    <row r="1989" spans="1:47" ht="26.25" x14ac:dyDescent="0.4">
      <c r="A1989" s="23" t="s">
        <v>5275</v>
      </c>
      <c r="B1989" t="s">
        <v>26</v>
      </c>
      <c r="C1989" s="23" t="s">
        <v>80</v>
      </c>
      <c r="D1989" s="23" t="s">
        <v>22436</v>
      </c>
      <c r="E1989" s="23" t="s">
        <v>60</v>
      </c>
      <c r="F1989" s="25" t="s">
        <v>5276</v>
      </c>
      <c r="G1989" s="25" t="s">
        <v>5277</v>
      </c>
      <c r="H1989" t="s">
        <v>26</v>
      </c>
      <c r="I1989" t="s">
        <v>26</v>
      </c>
      <c r="J1989" t="s">
        <v>26</v>
      </c>
      <c r="K1989" t="s">
        <v>26</v>
      </c>
      <c r="L1989" s="25" t="s">
        <v>68</v>
      </c>
      <c r="M1989" t="s">
        <v>26</v>
      </c>
      <c r="N1989" t="s">
        <v>26</v>
      </c>
      <c r="O1989" t="s">
        <v>26</v>
      </c>
      <c r="P1989" t="s">
        <v>26</v>
      </c>
      <c r="Q1989" t="s">
        <v>26</v>
      </c>
      <c r="R1989" t="s">
        <v>26</v>
      </c>
      <c r="S1989" t="s">
        <v>26</v>
      </c>
      <c r="T1989" t="s">
        <v>26</v>
      </c>
      <c r="U1989" t="s">
        <v>26</v>
      </c>
      <c r="V1989" t="s">
        <v>26</v>
      </c>
      <c r="W1989" s="24">
        <v>37987</v>
      </c>
      <c r="X1989" s="25" t="s">
        <v>77</v>
      </c>
      <c r="Y1989" s="25" t="s">
        <v>859</v>
      </c>
      <c r="Z1989" s="24">
        <v>37987</v>
      </c>
      <c r="AA1989" s="25" t="s">
        <v>77</v>
      </c>
      <c r="AB1989" s="25" t="s">
        <v>859</v>
      </c>
      <c r="AC1989" s="24">
        <v>37987</v>
      </c>
      <c r="AD1989" s="25" t="s">
        <v>77</v>
      </c>
      <c r="AE1989" s="25" t="s">
        <v>859</v>
      </c>
      <c r="AF1989" t="s">
        <v>26</v>
      </c>
      <c r="AG1989" t="s">
        <v>26</v>
      </c>
      <c r="AH1989" t="s">
        <v>26</v>
      </c>
      <c r="AI1989" t="s">
        <v>26</v>
      </c>
      <c r="AJ1989" t="s">
        <v>26</v>
      </c>
      <c r="AK1989" t="s">
        <v>26</v>
      </c>
      <c r="AL1989" t="s">
        <v>26</v>
      </c>
      <c r="AM1989" t="s">
        <v>26</v>
      </c>
      <c r="AN1989" t="s">
        <v>26</v>
      </c>
      <c r="AO1989" s="25" t="s">
        <v>68</v>
      </c>
      <c r="AP1989" s="23" t="s">
        <v>69</v>
      </c>
      <c r="AQ1989" s="23" t="s">
        <v>30</v>
      </c>
      <c r="AR1989" s="23" t="s">
        <v>2070</v>
      </c>
      <c r="AS1989" s="25">
        <v>46538</v>
      </c>
      <c r="AT1989" t="s">
        <v>26</v>
      </c>
      <c r="AU1989" t="s">
        <v>24840</v>
      </c>
    </row>
    <row r="1990" spans="1:47" ht="13.15" x14ac:dyDescent="0.4">
      <c r="A1990" s="23" t="s">
        <v>5278</v>
      </c>
      <c r="B1990" t="s">
        <v>26</v>
      </c>
      <c r="C1990" s="23" t="s">
        <v>1612</v>
      </c>
      <c r="D1990" s="23" t="s">
        <v>23047</v>
      </c>
      <c r="E1990" s="23" t="s">
        <v>42</v>
      </c>
      <c r="F1990" t="s">
        <v>26</v>
      </c>
      <c r="G1990" t="s">
        <v>26</v>
      </c>
      <c r="H1990" t="s">
        <v>26</v>
      </c>
      <c r="I1990" t="s">
        <v>26</v>
      </c>
      <c r="J1990" t="s">
        <v>26</v>
      </c>
      <c r="K1990" t="s">
        <v>26</v>
      </c>
      <c r="L1990" s="25" t="s">
        <v>28</v>
      </c>
      <c r="M1990" t="s">
        <v>26</v>
      </c>
      <c r="N1990" t="s">
        <v>26</v>
      </c>
      <c r="O1990" t="s">
        <v>26</v>
      </c>
      <c r="P1990" t="s">
        <v>26</v>
      </c>
      <c r="Q1990" t="s">
        <v>26</v>
      </c>
      <c r="R1990" t="s">
        <v>26</v>
      </c>
      <c r="S1990" t="s">
        <v>26</v>
      </c>
      <c r="T1990" t="s">
        <v>26</v>
      </c>
      <c r="U1990" t="s">
        <v>26</v>
      </c>
      <c r="V1990" t="s">
        <v>26</v>
      </c>
      <c r="W1990" s="24">
        <v>42370</v>
      </c>
      <c r="X1990" s="24">
        <v>42370</v>
      </c>
      <c r="Y1990" t="s">
        <v>26</v>
      </c>
      <c r="Z1990" s="24">
        <v>42370</v>
      </c>
      <c r="AA1990" s="24">
        <v>42370</v>
      </c>
      <c r="AB1990" t="s">
        <v>26</v>
      </c>
      <c r="AC1990" t="s">
        <v>26</v>
      </c>
      <c r="AD1990" t="s">
        <v>26</v>
      </c>
      <c r="AE1990" t="s">
        <v>26</v>
      </c>
      <c r="AF1990" t="s">
        <v>26</v>
      </c>
      <c r="AG1990" t="s">
        <v>26</v>
      </c>
      <c r="AH1990" t="s">
        <v>26</v>
      </c>
      <c r="AI1990" t="s">
        <v>26</v>
      </c>
      <c r="AJ1990" t="s">
        <v>26</v>
      </c>
      <c r="AK1990" t="s">
        <v>26</v>
      </c>
      <c r="AL1990" t="s">
        <v>26</v>
      </c>
      <c r="AM1990" t="s">
        <v>26</v>
      </c>
      <c r="AN1990" t="s">
        <v>26</v>
      </c>
      <c r="AO1990" s="25" t="s">
        <v>28</v>
      </c>
      <c r="AP1990" s="23" t="s">
        <v>29</v>
      </c>
      <c r="AQ1990" s="23" t="s">
        <v>30</v>
      </c>
      <c r="AR1990" s="23" t="s">
        <v>147</v>
      </c>
      <c r="AS1990" s="25">
        <v>5483547</v>
      </c>
      <c r="AT1990" s="23" t="s">
        <v>22181</v>
      </c>
      <c r="AU1990" t="s">
        <v>24841</v>
      </c>
    </row>
    <row r="1991" spans="1:47" ht="26.25" x14ac:dyDescent="0.4">
      <c r="A1991" s="23" t="s">
        <v>5279</v>
      </c>
      <c r="B1991" t="s">
        <v>26</v>
      </c>
      <c r="C1991" t="s">
        <v>26</v>
      </c>
      <c r="D1991" t="s">
        <v>26</v>
      </c>
      <c r="E1991" t="s">
        <v>26</v>
      </c>
      <c r="F1991" t="s">
        <v>26</v>
      </c>
      <c r="G1991" t="s">
        <v>26</v>
      </c>
      <c r="H1991" t="s">
        <v>26</v>
      </c>
      <c r="I1991" s="24">
        <v>3289</v>
      </c>
      <c r="J1991" s="24">
        <v>3289</v>
      </c>
      <c r="K1991" t="s">
        <v>26</v>
      </c>
      <c r="L1991" s="25" t="s">
        <v>28</v>
      </c>
      <c r="M1991" t="s">
        <v>26</v>
      </c>
      <c r="N1991" t="s">
        <v>26</v>
      </c>
      <c r="O1991" t="s">
        <v>26</v>
      </c>
      <c r="P1991" s="24">
        <v>3289</v>
      </c>
      <c r="Q1991" s="24">
        <v>3289</v>
      </c>
      <c r="R1991" t="s">
        <v>26</v>
      </c>
      <c r="S1991" t="s">
        <v>26</v>
      </c>
      <c r="T1991" t="s">
        <v>26</v>
      </c>
      <c r="U1991" t="s">
        <v>26</v>
      </c>
      <c r="V1991" t="s">
        <v>26</v>
      </c>
      <c r="W1991" s="24">
        <v>3289</v>
      </c>
      <c r="X1991" s="24">
        <v>3289</v>
      </c>
      <c r="Y1991" t="s">
        <v>26</v>
      </c>
      <c r="Z1991" s="24">
        <v>3289</v>
      </c>
      <c r="AA1991" s="24">
        <v>3289</v>
      </c>
      <c r="AB1991" t="s">
        <v>26</v>
      </c>
      <c r="AC1991" t="s">
        <v>26</v>
      </c>
      <c r="AD1991" t="s">
        <v>26</v>
      </c>
      <c r="AE1991" t="s">
        <v>26</v>
      </c>
      <c r="AF1991" t="s">
        <v>26</v>
      </c>
      <c r="AG1991" t="s">
        <v>26</v>
      </c>
      <c r="AH1991" t="s">
        <v>26</v>
      </c>
      <c r="AI1991" t="s">
        <v>26</v>
      </c>
      <c r="AJ1991" t="s">
        <v>26</v>
      </c>
      <c r="AK1991" t="s">
        <v>26</v>
      </c>
      <c r="AL1991" t="s">
        <v>26</v>
      </c>
      <c r="AM1991" t="s">
        <v>26</v>
      </c>
      <c r="AN1991" t="s">
        <v>26</v>
      </c>
      <c r="AO1991" s="25" t="s">
        <v>28</v>
      </c>
      <c r="AP1991" s="23" t="s">
        <v>45</v>
      </c>
      <c r="AQ1991" s="23" t="s">
        <v>30</v>
      </c>
      <c r="AR1991" s="23" t="s">
        <v>46</v>
      </c>
      <c r="AS1991" s="25">
        <v>5983379</v>
      </c>
      <c r="AT1991" t="s">
        <v>26</v>
      </c>
      <c r="AU1991" t="s">
        <v>24842</v>
      </c>
    </row>
    <row r="1992" spans="1:47" ht="26.25" x14ac:dyDescent="0.4">
      <c r="A1992" s="23" t="s">
        <v>5280</v>
      </c>
      <c r="B1992" t="s">
        <v>26</v>
      </c>
      <c r="C1992" s="23" t="s">
        <v>24843</v>
      </c>
      <c r="D1992" s="23" t="s">
        <v>24844</v>
      </c>
      <c r="E1992" s="23" t="s">
        <v>42</v>
      </c>
      <c r="F1992" t="s">
        <v>26</v>
      </c>
      <c r="G1992" t="s">
        <v>26</v>
      </c>
      <c r="H1992" t="s">
        <v>26</v>
      </c>
      <c r="I1992" s="24">
        <v>41640</v>
      </c>
      <c r="J1992" s="24">
        <v>41640</v>
      </c>
      <c r="K1992" t="s">
        <v>26</v>
      </c>
      <c r="L1992" s="25" t="s">
        <v>28</v>
      </c>
      <c r="M1992" s="24">
        <v>41640</v>
      </c>
      <c r="N1992" s="24">
        <v>41640</v>
      </c>
      <c r="O1992" t="s">
        <v>26</v>
      </c>
      <c r="P1992" t="s">
        <v>26</v>
      </c>
      <c r="Q1992" t="s">
        <v>26</v>
      </c>
      <c r="R1992" t="s">
        <v>26</v>
      </c>
      <c r="S1992" s="24">
        <v>41640</v>
      </c>
      <c r="T1992" s="24">
        <v>41640</v>
      </c>
      <c r="U1992" t="s">
        <v>26</v>
      </c>
      <c r="V1992" t="s">
        <v>26</v>
      </c>
      <c r="W1992" s="24">
        <v>41640</v>
      </c>
      <c r="X1992" s="24">
        <v>41640</v>
      </c>
      <c r="Y1992" t="s">
        <v>26</v>
      </c>
      <c r="Z1992" s="24">
        <v>41640</v>
      </c>
      <c r="AA1992" s="24">
        <v>41640</v>
      </c>
      <c r="AB1992" t="s">
        <v>26</v>
      </c>
      <c r="AC1992" s="24">
        <v>41640</v>
      </c>
      <c r="AD1992" s="24">
        <v>41640</v>
      </c>
      <c r="AE1992" t="s">
        <v>26</v>
      </c>
      <c r="AF1992" s="24">
        <v>41640</v>
      </c>
      <c r="AG1992" s="24">
        <v>41640</v>
      </c>
      <c r="AH1992" t="s">
        <v>26</v>
      </c>
      <c r="AI1992" s="24">
        <v>41640</v>
      </c>
      <c r="AJ1992" s="24">
        <v>41640</v>
      </c>
      <c r="AK1992" t="s">
        <v>26</v>
      </c>
      <c r="AL1992" t="s">
        <v>26</v>
      </c>
      <c r="AM1992" t="s">
        <v>26</v>
      </c>
      <c r="AN1992" t="s">
        <v>26</v>
      </c>
      <c r="AO1992" s="25" t="s">
        <v>28</v>
      </c>
      <c r="AP1992" s="23" t="s">
        <v>43</v>
      </c>
      <c r="AQ1992" s="23" t="s">
        <v>30</v>
      </c>
      <c r="AR1992" s="23" t="s">
        <v>46</v>
      </c>
      <c r="AS1992" s="25">
        <v>6362717</v>
      </c>
      <c r="AT1992" t="s">
        <v>26</v>
      </c>
      <c r="AU1992" t="s">
        <v>24845</v>
      </c>
    </row>
    <row r="1993" spans="1:47" ht="26.25" x14ac:dyDescent="0.4">
      <c r="A1993" s="23" t="s">
        <v>5281</v>
      </c>
      <c r="B1993" t="s">
        <v>26</v>
      </c>
      <c r="C1993" s="23" t="s">
        <v>73</v>
      </c>
      <c r="D1993" s="23" t="s">
        <v>22620</v>
      </c>
      <c r="E1993" s="23" t="s">
        <v>74</v>
      </c>
      <c r="F1993" s="25" t="s">
        <v>5282</v>
      </c>
      <c r="G1993" s="25" t="s">
        <v>5283</v>
      </c>
      <c r="H1993" t="s">
        <v>26</v>
      </c>
      <c r="I1993" s="24">
        <v>43800</v>
      </c>
      <c r="J1993" s="25" t="s">
        <v>77</v>
      </c>
      <c r="K1993" t="s">
        <v>26</v>
      </c>
      <c r="L1993" s="25" t="s">
        <v>68</v>
      </c>
      <c r="M1993" s="24">
        <v>43800</v>
      </c>
      <c r="N1993" s="25" t="s">
        <v>77</v>
      </c>
      <c r="O1993" t="s">
        <v>26</v>
      </c>
      <c r="P1993" s="24">
        <v>43800</v>
      </c>
      <c r="Q1993" s="25" t="s">
        <v>77</v>
      </c>
      <c r="R1993" t="s">
        <v>26</v>
      </c>
      <c r="S1993" t="s">
        <v>26</v>
      </c>
      <c r="T1993" t="s">
        <v>26</v>
      </c>
      <c r="U1993" t="s">
        <v>26</v>
      </c>
      <c r="V1993" t="s">
        <v>26</v>
      </c>
      <c r="W1993" s="24">
        <v>43800</v>
      </c>
      <c r="X1993" s="25" t="s">
        <v>77</v>
      </c>
      <c r="Y1993" t="s">
        <v>26</v>
      </c>
      <c r="Z1993" s="24">
        <v>43800</v>
      </c>
      <c r="AA1993" s="25" t="s">
        <v>77</v>
      </c>
      <c r="AB1993" t="s">
        <v>26</v>
      </c>
      <c r="AC1993" s="24">
        <v>43800</v>
      </c>
      <c r="AD1993" s="25" t="s">
        <v>77</v>
      </c>
      <c r="AE1993" t="s">
        <v>26</v>
      </c>
      <c r="AF1993" t="s">
        <v>26</v>
      </c>
      <c r="AG1993" t="s">
        <v>26</v>
      </c>
      <c r="AH1993" t="s">
        <v>26</v>
      </c>
      <c r="AI1993" t="s">
        <v>26</v>
      </c>
      <c r="AJ1993" t="s">
        <v>26</v>
      </c>
      <c r="AK1993" t="s">
        <v>26</v>
      </c>
      <c r="AL1993" t="s">
        <v>26</v>
      </c>
      <c r="AM1993" t="s">
        <v>26</v>
      </c>
      <c r="AN1993" t="s">
        <v>26</v>
      </c>
      <c r="AO1993" s="25" t="s">
        <v>68</v>
      </c>
      <c r="AP1993" s="23" t="s">
        <v>69</v>
      </c>
      <c r="AQ1993" s="23" t="s">
        <v>30</v>
      </c>
      <c r="AR1993" s="23" t="s">
        <v>70</v>
      </c>
      <c r="AS1993" s="25">
        <v>5642877</v>
      </c>
      <c r="AT1993" t="s">
        <v>26</v>
      </c>
      <c r="AU1993" t="s">
        <v>24846</v>
      </c>
    </row>
    <row r="1994" spans="1:47" ht="26.25" x14ac:dyDescent="0.4">
      <c r="A1994" s="23" t="s">
        <v>5284</v>
      </c>
      <c r="B1994" t="s">
        <v>26</v>
      </c>
      <c r="C1994" s="23" t="s">
        <v>399</v>
      </c>
      <c r="D1994" s="23" t="s">
        <v>22242</v>
      </c>
      <c r="E1994" s="23" t="s">
        <v>42</v>
      </c>
      <c r="F1994" s="25" t="s">
        <v>5285</v>
      </c>
      <c r="G1994" s="25" t="s">
        <v>5286</v>
      </c>
      <c r="H1994" t="s">
        <v>26</v>
      </c>
      <c r="I1994" s="24">
        <v>36039</v>
      </c>
      <c r="J1994" s="24">
        <v>43282</v>
      </c>
      <c r="K1994" t="s">
        <v>26</v>
      </c>
      <c r="L1994" s="25" t="s">
        <v>68</v>
      </c>
      <c r="M1994" s="24">
        <v>36039</v>
      </c>
      <c r="N1994" s="24">
        <v>43282</v>
      </c>
      <c r="O1994" t="s">
        <v>26</v>
      </c>
      <c r="P1994" s="24">
        <v>36039</v>
      </c>
      <c r="Q1994" s="24">
        <v>43282</v>
      </c>
      <c r="R1994" t="s">
        <v>26</v>
      </c>
      <c r="S1994" t="s">
        <v>26</v>
      </c>
      <c r="T1994" t="s">
        <v>26</v>
      </c>
      <c r="U1994" t="s">
        <v>26</v>
      </c>
      <c r="V1994" t="s">
        <v>26</v>
      </c>
      <c r="W1994" s="24">
        <v>36039</v>
      </c>
      <c r="X1994" s="25" t="s">
        <v>77</v>
      </c>
      <c r="Y1994" t="s">
        <v>26</v>
      </c>
      <c r="Z1994" s="24">
        <v>36039</v>
      </c>
      <c r="AA1994" s="25" t="s">
        <v>77</v>
      </c>
      <c r="AB1994" t="s">
        <v>26</v>
      </c>
      <c r="AC1994" s="24">
        <v>36039</v>
      </c>
      <c r="AD1994" s="25" t="s">
        <v>77</v>
      </c>
      <c r="AE1994" s="25" t="s">
        <v>24847</v>
      </c>
      <c r="AF1994" t="s">
        <v>26</v>
      </c>
      <c r="AG1994" t="s">
        <v>26</v>
      </c>
      <c r="AH1994" t="s">
        <v>26</v>
      </c>
      <c r="AI1994" t="s">
        <v>26</v>
      </c>
      <c r="AJ1994" t="s">
        <v>26</v>
      </c>
      <c r="AK1994" t="s">
        <v>26</v>
      </c>
      <c r="AL1994" t="s">
        <v>26</v>
      </c>
      <c r="AM1994" t="s">
        <v>26</v>
      </c>
      <c r="AN1994" t="s">
        <v>26</v>
      </c>
      <c r="AO1994" s="25" t="s">
        <v>68</v>
      </c>
      <c r="AP1994" s="23" t="s">
        <v>69</v>
      </c>
      <c r="AQ1994" s="23" t="s">
        <v>30</v>
      </c>
      <c r="AR1994" s="23" t="s">
        <v>277</v>
      </c>
      <c r="AS1994" s="25">
        <v>7561</v>
      </c>
      <c r="AT1994" t="s">
        <v>26</v>
      </c>
      <c r="AU1994" t="s">
        <v>24848</v>
      </c>
    </row>
    <row r="1995" spans="1:47" ht="26.25" x14ac:dyDescent="0.4">
      <c r="A1995" s="23" t="s">
        <v>5287</v>
      </c>
      <c r="B1995" t="s">
        <v>26</v>
      </c>
      <c r="C1995" s="23" t="s">
        <v>80</v>
      </c>
      <c r="D1995" s="23" t="s">
        <v>22254</v>
      </c>
      <c r="E1995" s="23" t="s">
        <v>60</v>
      </c>
      <c r="F1995" s="25" t="s">
        <v>5288</v>
      </c>
      <c r="G1995" s="25" t="s">
        <v>5289</v>
      </c>
      <c r="H1995" t="s">
        <v>26</v>
      </c>
      <c r="I1995" t="s">
        <v>26</v>
      </c>
      <c r="J1995" t="s">
        <v>26</v>
      </c>
      <c r="K1995" t="s">
        <v>26</v>
      </c>
      <c r="L1995" s="25" t="s">
        <v>68</v>
      </c>
      <c r="M1995" t="s">
        <v>26</v>
      </c>
      <c r="N1995" t="s">
        <v>26</v>
      </c>
      <c r="O1995" t="s">
        <v>26</v>
      </c>
      <c r="P1995" t="s">
        <v>26</v>
      </c>
      <c r="Q1995" t="s">
        <v>26</v>
      </c>
      <c r="R1995" t="s">
        <v>26</v>
      </c>
      <c r="S1995" t="s">
        <v>26</v>
      </c>
      <c r="T1995" t="s">
        <v>26</v>
      </c>
      <c r="U1995" t="s">
        <v>26</v>
      </c>
      <c r="V1995" t="s">
        <v>26</v>
      </c>
      <c r="W1995" s="24">
        <v>37987</v>
      </c>
      <c r="X1995" s="25" t="s">
        <v>77</v>
      </c>
      <c r="Y1995" t="s">
        <v>26</v>
      </c>
      <c r="Z1995" s="24">
        <v>37987</v>
      </c>
      <c r="AA1995" s="25" t="s">
        <v>77</v>
      </c>
      <c r="AB1995" t="s">
        <v>26</v>
      </c>
      <c r="AC1995" s="24">
        <v>37987</v>
      </c>
      <c r="AD1995" s="25" t="s">
        <v>77</v>
      </c>
      <c r="AE1995" t="s">
        <v>26</v>
      </c>
      <c r="AF1995" t="s">
        <v>26</v>
      </c>
      <c r="AG1995" t="s">
        <v>26</v>
      </c>
      <c r="AH1995" t="s">
        <v>26</v>
      </c>
      <c r="AI1995" t="s">
        <v>26</v>
      </c>
      <c r="AJ1995" t="s">
        <v>26</v>
      </c>
      <c r="AK1995" t="s">
        <v>26</v>
      </c>
      <c r="AL1995" t="s">
        <v>26</v>
      </c>
      <c r="AM1995" t="s">
        <v>26</v>
      </c>
      <c r="AN1995" t="s">
        <v>26</v>
      </c>
      <c r="AO1995" s="25" t="s">
        <v>68</v>
      </c>
      <c r="AP1995" s="23" t="s">
        <v>69</v>
      </c>
      <c r="AQ1995" s="23" t="s">
        <v>30</v>
      </c>
      <c r="AR1995" s="23" t="s">
        <v>5290</v>
      </c>
      <c r="AS1995" s="25">
        <v>46558</v>
      </c>
      <c r="AT1995" t="s">
        <v>26</v>
      </c>
      <c r="AU1995" t="s">
        <v>24849</v>
      </c>
    </row>
    <row r="1996" spans="1:47" ht="13.15" x14ac:dyDescent="0.4">
      <c r="A1996" s="23" t="s">
        <v>5291</v>
      </c>
      <c r="B1996" t="s">
        <v>26</v>
      </c>
      <c r="C1996" s="23" t="s">
        <v>5292</v>
      </c>
      <c r="D1996" s="23" t="s">
        <v>24850</v>
      </c>
      <c r="E1996" s="23" t="s">
        <v>42</v>
      </c>
      <c r="F1996" s="25" t="s">
        <v>5293</v>
      </c>
      <c r="G1996" s="25" t="s">
        <v>5294</v>
      </c>
      <c r="H1996" t="s">
        <v>26</v>
      </c>
      <c r="I1996" s="24">
        <v>35125</v>
      </c>
      <c r="J1996" s="25" t="s">
        <v>77</v>
      </c>
      <c r="K1996" t="s">
        <v>26</v>
      </c>
      <c r="L1996" s="25" t="s">
        <v>28</v>
      </c>
      <c r="M1996" s="24">
        <v>35125</v>
      </c>
      <c r="N1996" s="25" t="s">
        <v>77</v>
      </c>
      <c r="O1996" t="s">
        <v>26</v>
      </c>
      <c r="P1996" s="24">
        <v>35125</v>
      </c>
      <c r="Q1996" s="25" t="s">
        <v>77</v>
      </c>
      <c r="R1996" t="s">
        <v>26</v>
      </c>
      <c r="S1996" t="s">
        <v>26</v>
      </c>
      <c r="T1996" t="s">
        <v>26</v>
      </c>
      <c r="U1996" t="s">
        <v>26</v>
      </c>
      <c r="V1996" t="s">
        <v>26</v>
      </c>
      <c r="W1996" s="24">
        <v>35125</v>
      </c>
      <c r="X1996" s="25" t="s">
        <v>77</v>
      </c>
      <c r="Y1996" t="s">
        <v>26</v>
      </c>
      <c r="Z1996" s="24">
        <v>35125</v>
      </c>
      <c r="AA1996" s="25" t="s">
        <v>77</v>
      </c>
      <c r="AB1996" t="s">
        <v>26</v>
      </c>
      <c r="AC1996" s="24">
        <v>35431</v>
      </c>
      <c r="AD1996" s="25" t="s">
        <v>77</v>
      </c>
      <c r="AE1996" t="s">
        <v>26</v>
      </c>
      <c r="AF1996" t="s">
        <v>26</v>
      </c>
      <c r="AG1996" t="s">
        <v>26</v>
      </c>
      <c r="AH1996" t="s">
        <v>26</v>
      </c>
      <c r="AI1996" t="s">
        <v>26</v>
      </c>
      <c r="AJ1996" t="s">
        <v>26</v>
      </c>
      <c r="AK1996" t="s">
        <v>26</v>
      </c>
      <c r="AL1996" t="s">
        <v>26</v>
      </c>
      <c r="AM1996" t="s">
        <v>26</v>
      </c>
      <c r="AN1996" t="s">
        <v>26</v>
      </c>
      <c r="AO1996" s="25" t="s">
        <v>28</v>
      </c>
      <c r="AP1996" s="23" t="s">
        <v>211</v>
      </c>
      <c r="AQ1996" s="23" t="s">
        <v>30</v>
      </c>
      <c r="AR1996" s="23" t="s">
        <v>5295</v>
      </c>
      <c r="AS1996" s="25">
        <v>40805</v>
      </c>
      <c r="AT1996" t="s">
        <v>26</v>
      </c>
      <c r="AU1996" t="s">
        <v>24851</v>
      </c>
    </row>
    <row r="1997" spans="1:47" ht="13.15" x14ac:dyDescent="0.4">
      <c r="A1997" s="23" t="s">
        <v>5296</v>
      </c>
      <c r="B1997" t="s">
        <v>26</v>
      </c>
      <c r="C1997" s="23" t="s">
        <v>5297</v>
      </c>
      <c r="D1997" s="23" t="s">
        <v>24852</v>
      </c>
      <c r="E1997" s="23" t="s">
        <v>2636</v>
      </c>
      <c r="F1997" s="25" t="s">
        <v>5298</v>
      </c>
      <c r="G1997" t="s">
        <v>26</v>
      </c>
      <c r="H1997" t="s">
        <v>26</v>
      </c>
      <c r="I1997" s="24">
        <v>35735</v>
      </c>
      <c r="J1997" s="24">
        <v>39356</v>
      </c>
      <c r="K1997" t="s">
        <v>26</v>
      </c>
      <c r="L1997" s="25" t="s">
        <v>28</v>
      </c>
      <c r="M1997" s="24">
        <v>35735</v>
      </c>
      <c r="N1997" s="24">
        <v>39356</v>
      </c>
      <c r="O1997" t="s">
        <v>26</v>
      </c>
      <c r="P1997" s="24">
        <v>35735</v>
      </c>
      <c r="Q1997" s="24">
        <v>39356</v>
      </c>
      <c r="R1997" t="s">
        <v>26</v>
      </c>
      <c r="S1997" t="s">
        <v>26</v>
      </c>
      <c r="T1997" t="s">
        <v>26</v>
      </c>
      <c r="U1997" t="s">
        <v>26</v>
      </c>
      <c r="V1997" t="s">
        <v>26</v>
      </c>
      <c r="W1997" s="24">
        <v>35735</v>
      </c>
      <c r="X1997" s="25" t="s">
        <v>77</v>
      </c>
      <c r="Y1997" t="s">
        <v>26</v>
      </c>
      <c r="Z1997" s="24">
        <v>35735</v>
      </c>
      <c r="AA1997" s="25" t="s">
        <v>77</v>
      </c>
      <c r="AB1997" t="s">
        <v>26</v>
      </c>
      <c r="AC1997" s="24">
        <v>35735</v>
      </c>
      <c r="AD1997" s="25" t="s">
        <v>77</v>
      </c>
      <c r="AE1997" t="s">
        <v>26</v>
      </c>
      <c r="AF1997" t="s">
        <v>26</v>
      </c>
      <c r="AG1997" t="s">
        <v>26</v>
      </c>
      <c r="AH1997" t="s">
        <v>26</v>
      </c>
      <c r="AI1997" t="s">
        <v>26</v>
      </c>
      <c r="AJ1997" t="s">
        <v>26</v>
      </c>
      <c r="AK1997" t="s">
        <v>26</v>
      </c>
      <c r="AL1997" t="s">
        <v>26</v>
      </c>
      <c r="AM1997" t="s">
        <v>26</v>
      </c>
      <c r="AN1997" t="s">
        <v>26</v>
      </c>
      <c r="AO1997" s="25" t="s">
        <v>28</v>
      </c>
      <c r="AP1997" s="23" t="s">
        <v>211</v>
      </c>
      <c r="AQ1997" s="23" t="s">
        <v>30</v>
      </c>
      <c r="AR1997" s="23" t="s">
        <v>5299</v>
      </c>
      <c r="AS1997" s="25">
        <v>33329</v>
      </c>
      <c r="AT1997" t="s">
        <v>26</v>
      </c>
      <c r="AU1997" t="s">
        <v>24853</v>
      </c>
    </row>
    <row r="1998" spans="1:47" ht="26.25" x14ac:dyDescent="0.4">
      <c r="A1998" s="23" t="s">
        <v>5300</v>
      </c>
      <c r="B1998" t="s">
        <v>26</v>
      </c>
      <c r="C1998" s="23" t="s">
        <v>22163</v>
      </c>
      <c r="D1998" s="23" t="s">
        <v>24532</v>
      </c>
      <c r="E1998" s="23" t="s">
        <v>42</v>
      </c>
      <c r="F1998" t="s">
        <v>26</v>
      </c>
      <c r="G1998" t="s">
        <v>26</v>
      </c>
      <c r="H1998" t="s">
        <v>26</v>
      </c>
      <c r="I1998" s="24">
        <v>30682</v>
      </c>
      <c r="J1998" s="24">
        <v>43831</v>
      </c>
      <c r="K1998" t="s">
        <v>26</v>
      </c>
      <c r="L1998" s="25" t="s">
        <v>28</v>
      </c>
      <c r="M1998" s="24">
        <v>30682</v>
      </c>
      <c r="N1998" s="24">
        <v>43831</v>
      </c>
      <c r="O1998" t="s">
        <v>26</v>
      </c>
      <c r="P1998" t="s">
        <v>26</v>
      </c>
      <c r="Q1998" t="s">
        <v>26</v>
      </c>
      <c r="R1998" t="s">
        <v>26</v>
      </c>
      <c r="S1998" s="24">
        <v>30682</v>
      </c>
      <c r="T1998" s="24">
        <v>43831</v>
      </c>
      <c r="U1998" t="s">
        <v>26</v>
      </c>
      <c r="V1998" t="s">
        <v>26</v>
      </c>
      <c r="W1998" s="24">
        <v>30682</v>
      </c>
      <c r="X1998" s="24">
        <v>43831</v>
      </c>
      <c r="Y1998" t="s">
        <v>26</v>
      </c>
      <c r="Z1998" s="24">
        <v>30682</v>
      </c>
      <c r="AA1998" s="24">
        <v>43831</v>
      </c>
      <c r="AB1998" t="s">
        <v>26</v>
      </c>
      <c r="AC1998" s="24">
        <v>30682</v>
      </c>
      <c r="AD1998" s="24">
        <v>43831</v>
      </c>
      <c r="AE1998" t="s">
        <v>26</v>
      </c>
      <c r="AF1998" s="24">
        <v>30682</v>
      </c>
      <c r="AG1998" s="24">
        <v>43831</v>
      </c>
      <c r="AH1998" t="s">
        <v>26</v>
      </c>
      <c r="AI1998" s="24">
        <v>30682</v>
      </c>
      <c r="AJ1998" s="24">
        <v>43831</v>
      </c>
      <c r="AK1998" t="s">
        <v>26</v>
      </c>
      <c r="AL1998" t="s">
        <v>26</v>
      </c>
      <c r="AM1998" t="s">
        <v>26</v>
      </c>
      <c r="AN1998" t="s">
        <v>26</v>
      </c>
      <c r="AO1998" s="25" t="s">
        <v>28</v>
      </c>
      <c r="AP1998" s="23" t="s">
        <v>43</v>
      </c>
      <c r="AQ1998" s="23" t="s">
        <v>30</v>
      </c>
      <c r="AR1998" s="23" t="s">
        <v>46</v>
      </c>
      <c r="AS1998" s="25">
        <v>6364587</v>
      </c>
      <c r="AT1998" t="s">
        <v>26</v>
      </c>
      <c r="AU1998" t="s">
        <v>24854</v>
      </c>
    </row>
    <row r="1999" spans="1:47" ht="26.25" x14ac:dyDescent="0.4">
      <c r="A1999" s="23" t="s">
        <v>5301</v>
      </c>
      <c r="B1999" t="s">
        <v>26</v>
      </c>
      <c r="C1999" s="23" t="s">
        <v>5302</v>
      </c>
      <c r="D1999" s="23" t="s">
        <v>24855</v>
      </c>
      <c r="E1999" s="23" t="s">
        <v>60</v>
      </c>
      <c r="F1999" t="s">
        <v>26</v>
      </c>
      <c r="G1999" s="25" t="s">
        <v>5303</v>
      </c>
      <c r="H1999" t="s">
        <v>26</v>
      </c>
      <c r="I1999" s="24">
        <v>40179</v>
      </c>
      <c r="J1999" s="24">
        <v>40909</v>
      </c>
      <c r="K1999" t="s">
        <v>26</v>
      </c>
      <c r="L1999" s="25" t="s">
        <v>68</v>
      </c>
      <c r="M1999" s="24">
        <v>40179</v>
      </c>
      <c r="N1999" s="24">
        <v>40909</v>
      </c>
      <c r="O1999" t="s">
        <v>26</v>
      </c>
      <c r="P1999" s="24">
        <v>40179</v>
      </c>
      <c r="Q1999" s="24">
        <v>40909</v>
      </c>
      <c r="R1999" t="s">
        <v>26</v>
      </c>
      <c r="S1999" t="s">
        <v>26</v>
      </c>
      <c r="T1999" t="s">
        <v>26</v>
      </c>
      <c r="U1999" t="s">
        <v>26</v>
      </c>
      <c r="V1999" t="s">
        <v>26</v>
      </c>
      <c r="W1999" s="24">
        <v>40179</v>
      </c>
      <c r="X1999" s="24">
        <v>40909</v>
      </c>
      <c r="Y1999" t="s">
        <v>26</v>
      </c>
      <c r="Z1999" s="24">
        <v>40179</v>
      </c>
      <c r="AA1999" s="24">
        <v>40909</v>
      </c>
      <c r="AB1999" t="s">
        <v>26</v>
      </c>
      <c r="AC1999" s="24">
        <v>40179</v>
      </c>
      <c r="AD1999" s="24">
        <v>40909</v>
      </c>
      <c r="AE1999" t="s">
        <v>26</v>
      </c>
      <c r="AF1999" t="s">
        <v>26</v>
      </c>
      <c r="AG1999" t="s">
        <v>26</v>
      </c>
      <c r="AH1999" t="s">
        <v>26</v>
      </c>
      <c r="AI1999" t="s">
        <v>26</v>
      </c>
      <c r="AJ1999" t="s">
        <v>26</v>
      </c>
      <c r="AK1999" t="s">
        <v>26</v>
      </c>
      <c r="AL1999" t="s">
        <v>26</v>
      </c>
      <c r="AM1999" t="s">
        <v>26</v>
      </c>
      <c r="AN1999" t="s">
        <v>26</v>
      </c>
      <c r="AO1999" s="25" t="s">
        <v>68</v>
      </c>
      <c r="AP1999" s="23" t="s">
        <v>69</v>
      </c>
      <c r="AQ1999" s="23" t="s">
        <v>30</v>
      </c>
      <c r="AR1999" s="23" t="s">
        <v>70</v>
      </c>
      <c r="AS1999" s="25">
        <v>237762</v>
      </c>
      <c r="AT1999" t="s">
        <v>26</v>
      </c>
      <c r="AU1999" t="s">
        <v>24856</v>
      </c>
    </row>
    <row r="2000" spans="1:47" ht="26.25" x14ac:dyDescent="0.4">
      <c r="A2000" s="23" t="s">
        <v>5304</v>
      </c>
      <c r="B2000" t="s">
        <v>26</v>
      </c>
      <c r="C2000" s="23" t="s">
        <v>73</v>
      </c>
      <c r="D2000" s="23" t="s">
        <v>22215</v>
      </c>
      <c r="E2000" s="23" t="s">
        <v>74</v>
      </c>
      <c r="F2000" s="25" t="s">
        <v>5305</v>
      </c>
      <c r="G2000" s="25" t="s">
        <v>5306</v>
      </c>
      <c r="H2000" t="s">
        <v>26</v>
      </c>
      <c r="I2000" s="24">
        <v>36586</v>
      </c>
      <c r="J2000" s="25" t="s">
        <v>77</v>
      </c>
      <c r="K2000" t="s">
        <v>26</v>
      </c>
      <c r="L2000" s="25" t="s">
        <v>68</v>
      </c>
      <c r="M2000" s="24">
        <v>38504</v>
      </c>
      <c r="N2000" s="24">
        <v>42675</v>
      </c>
      <c r="O2000" t="s">
        <v>26</v>
      </c>
      <c r="P2000" s="24">
        <v>36586</v>
      </c>
      <c r="Q2000" s="25" t="s">
        <v>77</v>
      </c>
      <c r="R2000" t="s">
        <v>26</v>
      </c>
      <c r="S2000" t="s">
        <v>26</v>
      </c>
      <c r="T2000" t="s">
        <v>26</v>
      </c>
      <c r="U2000" t="s">
        <v>26</v>
      </c>
      <c r="V2000" s="25">
        <v>365</v>
      </c>
      <c r="W2000" s="24">
        <v>36586</v>
      </c>
      <c r="X2000" s="25" t="s">
        <v>77</v>
      </c>
      <c r="Y2000" t="s">
        <v>26</v>
      </c>
      <c r="Z2000" s="24">
        <v>36586</v>
      </c>
      <c r="AA2000" s="25" t="s">
        <v>77</v>
      </c>
      <c r="AB2000" t="s">
        <v>26</v>
      </c>
      <c r="AC2000" s="24">
        <v>36586</v>
      </c>
      <c r="AD2000" s="25" t="s">
        <v>77</v>
      </c>
      <c r="AE2000" t="s">
        <v>26</v>
      </c>
      <c r="AF2000" t="s">
        <v>26</v>
      </c>
      <c r="AG2000" t="s">
        <v>26</v>
      </c>
      <c r="AH2000" t="s">
        <v>26</v>
      </c>
      <c r="AI2000" t="s">
        <v>26</v>
      </c>
      <c r="AJ2000" t="s">
        <v>26</v>
      </c>
      <c r="AK2000" t="s">
        <v>26</v>
      </c>
      <c r="AL2000" t="s">
        <v>26</v>
      </c>
      <c r="AM2000" t="s">
        <v>26</v>
      </c>
      <c r="AN2000" t="s">
        <v>26</v>
      </c>
      <c r="AO2000" s="25" t="s">
        <v>68</v>
      </c>
      <c r="AP2000" s="23" t="s">
        <v>69</v>
      </c>
      <c r="AQ2000" s="23" t="s">
        <v>30</v>
      </c>
      <c r="AR2000" s="23" t="s">
        <v>996</v>
      </c>
      <c r="AS2000" s="25">
        <v>326272</v>
      </c>
      <c r="AT2000" t="s">
        <v>26</v>
      </c>
      <c r="AU2000" t="s">
        <v>24857</v>
      </c>
    </row>
    <row r="2001" spans="1:47" ht="26.25" x14ac:dyDescent="0.4">
      <c r="A2001" s="23" t="s">
        <v>5307</v>
      </c>
      <c r="B2001" t="s">
        <v>26</v>
      </c>
      <c r="C2001" s="23" t="s">
        <v>3440</v>
      </c>
      <c r="D2001" s="23" t="s">
        <v>22179</v>
      </c>
      <c r="E2001" s="23" t="s">
        <v>42</v>
      </c>
      <c r="F2001" t="s">
        <v>26</v>
      </c>
      <c r="G2001" t="s">
        <v>26</v>
      </c>
      <c r="H2001" t="s">
        <v>26</v>
      </c>
      <c r="I2001" t="s">
        <v>26</v>
      </c>
      <c r="J2001" t="s">
        <v>26</v>
      </c>
      <c r="K2001" t="s">
        <v>26</v>
      </c>
      <c r="L2001" s="25" t="s">
        <v>28</v>
      </c>
      <c r="M2001" t="s">
        <v>26</v>
      </c>
      <c r="N2001" t="s">
        <v>26</v>
      </c>
      <c r="O2001" t="s">
        <v>26</v>
      </c>
      <c r="P2001" t="s">
        <v>26</v>
      </c>
      <c r="Q2001" t="s">
        <v>26</v>
      </c>
      <c r="R2001" t="s">
        <v>26</v>
      </c>
      <c r="S2001" t="s">
        <v>26</v>
      </c>
      <c r="T2001" t="s">
        <v>26</v>
      </c>
      <c r="U2001" t="s">
        <v>26</v>
      </c>
      <c r="V2001" t="s">
        <v>26</v>
      </c>
      <c r="W2001" s="24">
        <v>37987</v>
      </c>
      <c r="X2001" s="24">
        <v>37987</v>
      </c>
      <c r="Y2001" t="s">
        <v>26</v>
      </c>
      <c r="Z2001" s="24">
        <v>37987</v>
      </c>
      <c r="AA2001" s="24">
        <v>37987</v>
      </c>
      <c r="AB2001" t="s">
        <v>26</v>
      </c>
      <c r="AC2001" t="s">
        <v>26</v>
      </c>
      <c r="AD2001" t="s">
        <v>26</v>
      </c>
      <c r="AE2001" t="s">
        <v>26</v>
      </c>
      <c r="AF2001" t="s">
        <v>26</v>
      </c>
      <c r="AG2001" t="s">
        <v>26</v>
      </c>
      <c r="AH2001" t="s">
        <v>26</v>
      </c>
      <c r="AI2001" t="s">
        <v>26</v>
      </c>
      <c r="AJ2001" t="s">
        <v>26</v>
      </c>
      <c r="AK2001" t="s">
        <v>26</v>
      </c>
      <c r="AL2001" t="s">
        <v>26</v>
      </c>
      <c r="AM2001" t="s">
        <v>26</v>
      </c>
      <c r="AN2001" t="s">
        <v>26</v>
      </c>
      <c r="AO2001" s="25" t="s">
        <v>28</v>
      </c>
      <c r="AP2001" s="23" t="s">
        <v>29</v>
      </c>
      <c r="AQ2001" s="23" t="s">
        <v>30</v>
      </c>
      <c r="AR2001" s="23" t="s">
        <v>44</v>
      </c>
      <c r="AS2001" s="25">
        <v>5483569</v>
      </c>
      <c r="AT2001" s="23" t="s">
        <v>22181</v>
      </c>
      <c r="AU2001" t="s">
        <v>24858</v>
      </c>
    </row>
    <row r="2002" spans="1:47" ht="26.25" x14ac:dyDescent="0.4">
      <c r="A2002" s="23" t="s">
        <v>5308</v>
      </c>
      <c r="B2002" t="s">
        <v>26</v>
      </c>
      <c r="C2002" s="23" t="s">
        <v>80</v>
      </c>
      <c r="D2002" s="23" t="s">
        <v>22190</v>
      </c>
      <c r="E2002" s="23" t="s">
        <v>60</v>
      </c>
      <c r="F2002" s="25" t="s">
        <v>5309</v>
      </c>
      <c r="G2002" s="25" t="s">
        <v>5310</v>
      </c>
      <c r="H2002" t="s">
        <v>26</v>
      </c>
      <c r="I2002" t="s">
        <v>26</v>
      </c>
      <c r="J2002" t="s">
        <v>26</v>
      </c>
      <c r="K2002" t="s">
        <v>26</v>
      </c>
      <c r="L2002" s="25" t="s">
        <v>68</v>
      </c>
      <c r="M2002" t="s">
        <v>26</v>
      </c>
      <c r="N2002" t="s">
        <v>26</v>
      </c>
      <c r="O2002" t="s">
        <v>26</v>
      </c>
      <c r="P2002" t="s">
        <v>26</v>
      </c>
      <c r="Q2002" t="s">
        <v>26</v>
      </c>
      <c r="R2002" t="s">
        <v>26</v>
      </c>
      <c r="S2002" t="s">
        <v>26</v>
      </c>
      <c r="T2002" t="s">
        <v>26</v>
      </c>
      <c r="U2002" t="s">
        <v>26</v>
      </c>
      <c r="V2002" t="s">
        <v>26</v>
      </c>
      <c r="W2002" s="24">
        <v>37987</v>
      </c>
      <c r="X2002" s="25" t="s">
        <v>77</v>
      </c>
      <c r="Y2002" t="s">
        <v>26</v>
      </c>
      <c r="Z2002" s="24">
        <v>37987</v>
      </c>
      <c r="AA2002" s="25" t="s">
        <v>77</v>
      </c>
      <c r="AB2002" t="s">
        <v>26</v>
      </c>
      <c r="AC2002" s="24">
        <v>37987</v>
      </c>
      <c r="AD2002" s="25" t="s">
        <v>77</v>
      </c>
      <c r="AE2002" t="s">
        <v>26</v>
      </c>
      <c r="AF2002" t="s">
        <v>26</v>
      </c>
      <c r="AG2002" t="s">
        <v>26</v>
      </c>
      <c r="AH2002" t="s">
        <v>26</v>
      </c>
      <c r="AI2002" t="s">
        <v>26</v>
      </c>
      <c r="AJ2002" t="s">
        <v>26</v>
      </c>
      <c r="AK2002" t="s">
        <v>26</v>
      </c>
      <c r="AL2002" t="s">
        <v>26</v>
      </c>
      <c r="AM2002" t="s">
        <v>26</v>
      </c>
      <c r="AN2002" t="s">
        <v>26</v>
      </c>
      <c r="AO2002" s="25" t="s">
        <v>68</v>
      </c>
      <c r="AP2002" s="23" t="s">
        <v>69</v>
      </c>
      <c r="AQ2002" s="23" t="s">
        <v>30</v>
      </c>
      <c r="AR2002" s="23" t="s">
        <v>996</v>
      </c>
      <c r="AS2002" s="25">
        <v>46564</v>
      </c>
      <c r="AT2002" t="s">
        <v>26</v>
      </c>
      <c r="AU2002" t="s">
        <v>24859</v>
      </c>
    </row>
    <row r="2003" spans="1:47" ht="13.15" x14ac:dyDescent="0.4">
      <c r="A2003" s="23" t="s">
        <v>5311</v>
      </c>
      <c r="B2003" t="s">
        <v>26</v>
      </c>
      <c r="C2003" s="23" t="s">
        <v>48</v>
      </c>
      <c r="D2003" s="23" t="s">
        <v>22168</v>
      </c>
      <c r="E2003" s="23" t="s">
        <v>42</v>
      </c>
      <c r="F2003" t="s">
        <v>26</v>
      </c>
      <c r="G2003" t="s">
        <v>26</v>
      </c>
      <c r="H2003" t="s">
        <v>26</v>
      </c>
      <c r="I2003" s="24">
        <v>41640</v>
      </c>
      <c r="J2003" s="24">
        <v>42370</v>
      </c>
      <c r="K2003" t="s">
        <v>26</v>
      </c>
      <c r="L2003" s="25" t="s">
        <v>28</v>
      </c>
      <c r="M2003" t="s">
        <v>26</v>
      </c>
      <c r="N2003" t="s">
        <v>26</v>
      </c>
      <c r="O2003" t="s">
        <v>26</v>
      </c>
      <c r="P2003" s="24">
        <v>41640</v>
      </c>
      <c r="Q2003" s="24">
        <v>42370</v>
      </c>
      <c r="R2003" t="s">
        <v>26</v>
      </c>
      <c r="S2003" t="s">
        <v>26</v>
      </c>
      <c r="T2003" t="s">
        <v>26</v>
      </c>
      <c r="U2003" t="s">
        <v>26</v>
      </c>
      <c r="V2003" t="s">
        <v>26</v>
      </c>
      <c r="W2003" s="24">
        <v>41640</v>
      </c>
      <c r="X2003" s="24">
        <v>42370</v>
      </c>
      <c r="Y2003" t="s">
        <v>26</v>
      </c>
      <c r="Z2003" s="24">
        <v>41640</v>
      </c>
      <c r="AA2003" s="24">
        <v>42370</v>
      </c>
      <c r="AB2003" t="s">
        <v>26</v>
      </c>
      <c r="AC2003" s="24">
        <v>41640</v>
      </c>
      <c r="AD2003" s="24">
        <v>42370</v>
      </c>
      <c r="AE2003" t="s">
        <v>26</v>
      </c>
      <c r="AF2003" t="s">
        <v>26</v>
      </c>
      <c r="AG2003" t="s">
        <v>26</v>
      </c>
      <c r="AH2003" t="s">
        <v>26</v>
      </c>
      <c r="AI2003" t="s">
        <v>26</v>
      </c>
      <c r="AJ2003" t="s">
        <v>26</v>
      </c>
      <c r="AK2003" t="s">
        <v>26</v>
      </c>
      <c r="AL2003" t="s">
        <v>26</v>
      </c>
      <c r="AM2003" t="s">
        <v>26</v>
      </c>
      <c r="AN2003" t="s">
        <v>26</v>
      </c>
      <c r="AO2003" s="25" t="s">
        <v>28</v>
      </c>
      <c r="AP2003" s="23" t="s">
        <v>29</v>
      </c>
      <c r="AQ2003" s="23" t="s">
        <v>30</v>
      </c>
      <c r="AR2003" s="23" t="s">
        <v>46</v>
      </c>
      <c r="AS2003" s="25">
        <v>6275759</v>
      </c>
      <c r="AT2003" t="s">
        <v>26</v>
      </c>
      <c r="AU2003" t="s">
        <v>24860</v>
      </c>
    </row>
    <row r="2004" spans="1:47" ht="13.15" x14ac:dyDescent="0.4">
      <c r="A2004" s="23" t="s">
        <v>5312</v>
      </c>
      <c r="B2004" t="s">
        <v>26</v>
      </c>
      <c r="C2004" s="23" t="s">
        <v>146</v>
      </c>
      <c r="D2004" s="23" t="s">
        <v>22174</v>
      </c>
      <c r="E2004" s="23" t="s">
        <v>60</v>
      </c>
      <c r="F2004" t="s">
        <v>26</v>
      </c>
      <c r="G2004" t="s">
        <v>26</v>
      </c>
      <c r="H2004" t="s">
        <v>26</v>
      </c>
      <c r="I2004" t="s">
        <v>26</v>
      </c>
      <c r="J2004" t="s">
        <v>26</v>
      </c>
      <c r="K2004" t="s">
        <v>26</v>
      </c>
      <c r="L2004" s="25" t="s">
        <v>28</v>
      </c>
      <c r="M2004" t="s">
        <v>26</v>
      </c>
      <c r="N2004" t="s">
        <v>26</v>
      </c>
      <c r="O2004" t="s">
        <v>26</v>
      </c>
      <c r="P2004" t="s">
        <v>26</v>
      </c>
      <c r="Q2004" t="s">
        <v>26</v>
      </c>
      <c r="R2004" t="s">
        <v>26</v>
      </c>
      <c r="S2004" t="s">
        <v>26</v>
      </c>
      <c r="T2004" t="s">
        <v>26</v>
      </c>
      <c r="U2004" t="s">
        <v>26</v>
      </c>
      <c r="V2004" t="s">
        <v>26</v>
      </c>
      <c r="W2004" s="24">
        <v>42005</v>
      </c>
      <c r="X2004" s="24">
        <v>42005</v>
      </c>
      <c r="Y2004" t="s">
        <v>26</v>
      </c>
      <c r="Z2004" s="24">
        <v>42005</v>
      </c>
      <c r="AA2004" s="24">
        <v>42005</v>
      </c>
      <c r="AB2004" t="s">
        <v>26</v>
      </c>
      <c r="AC2004" t="s">
        <v>26</v>
      </c>
      <c r="AD2004" t="s">
        <v>26</v>
      </c>
      <c r="AE2004" t="s">
        <v>26</v>
      </c>
      <c r="AF2004" t="s">
        <v>26</v>
      </c>
      <c r="AG2004" t="s">
        <v>26</v>
      </c>
      <c r="AH2004" t="s">
        <v>26</v>
      </c>
      <c r="AI2004" t="s">
        <v>26</v>
      </c>
      <c r="AJ2004" t="s">
        <v>26</v>
      </c>
      <c r="AK2004" t="s">
        <v>26</v>
      </c>
      <c r="AL2004" t="s">
        <v>26</v>
      </c>
      <c r="AM2004" t="s">
        <v>26</v>
      </c>
      <c r="AN2004" t="s">
        <v>26</v>
      </c>
      <c r="AO2004" s="25" t="s">
        <v>28</v>
      </c>
      <c r="AP2004" s="23" t="s">
        <v>29</v>
      </c>
      <c r="AQ2004" s="23" t="s">
        <v>30</v>
      </c>
      <c r="AR2004" s="23" t="s">
        <v>44</v>
      </c>
      <c r="AS2004" s="25">
        <v>5485118</v>
      </c>
      <c r="AT2004" s="23" t="s">
        <v>22181</v>
      </c>
      <c r="AU2004" t="s">
        <v>24861</v>
      </c>
    </row>
    <row r="2005" spans="1:47" ht="26.25" x14ac:dyDescent="0.4">
      <c r="A2005" s="23" t="s">
        <v>5313</v>
      </c>
      <c r="B2005" t="s">
        <v>26</v>
      </c>
      <c r="C2005" s="23" t="s">
        <v>59</v>
      </c>
      <c r="D2005" s="23" t="s">
        <v>22174</v>
      </c>
      <c r="E2005" s="23" t="s">
        <v>60</v>
      </c>
      <c r="F2005" t="s">
        <v>26</v>
      </c>
      <c r="G2005" t="s">
        <v>26</v>
      </c>
      <c r="H2005" s="25" t="s">
        <v>5314</v>
      </c>
      <c r="I2005" s="24">
        <v>41275</v>
      </c>
      <c r="J2005" s="24">
        <v>41275</v>
      </c>
      <c r="K2005" t="s">
        <v>26</v>
      </c>
      <c r="L2005" s="25" t="s">
        <v>28</v>
      </c>
      <c r="M2005" s="24">
        <v>41275</v>
      </c>
      <c r="N2005" s="24">
        <v>41275</v>
      </c>
      <c r="O2005" t="s">
        <v>26</v>
      </c>
      <c r="P2005" s="24">
        <v>41275</v>
      </c>
      <c r="Q2005" s="24">
        <v>41275</v>
      </c>
      <c r="R2005" t="s">
        <v>26</v>
      </c>
      <c r="S2005" t="s">
        <v>26</v>
      </c>
      <c r="T2005" t="s">
        <v>26</v>
      </c>
      <c r="U2005" t="s">
        <v>26</v>
      </c>
      <c r="V2005" t="s">
        <v>26</v>
      </c>
      <c r="W2005" s="24">
        <v>41275</v>
      </c>
      <c r="X2005" s="24">
        <v>41275</v>
      </c>
      <c r="Y2005" t="s">
        <v>26</v>
      </c>
      <c r="Z2005" s="24">
        <v>41275</v>
      </c>
      <c r="AA2005" s="24">
        <v>41275</v>
      </c>
      <c r="AB2005" t="s">
        <v>26</v>
      </c>
      <c r="AC2005" s="24">
        <v>41275</v>
      </c>
      <c r="AD2005" s="24">
        <v>41275</v>
      </c>
      <c r="AE2005" t="s">
        <v>26</v>
      </c>
      <c r="AF2005" t="s">
        <v>26</v>
      </c>
      <c r="AG2005" t="s">
        <v>26</v>
      </c>
      <c r="AH2005" t="s">
        <v>26</v>
      </c>
      <c r="AI2005" t="s">
        <v>26</v>
      </c>
      <c r="AJ2005" t="s">
        <v>26</v>
      </c>
      <c r="AK2005" t="s">
        <v>26</v>
      </c>
      <c r="AL2005" t="s">
        <v>26</v>
      </c>
      <c r="AM2005" t="s">
        <v>26</v>
      </c>
      <c r="AN2005" t="s">
        <v>26</v>
      </c>
      <c r="AO2005" s="25" t="s">
        <v>28</v>
      </c>
      <c r="AP2005" s="23" t="s">
        <v>29</v>
      </c>
      <c r="AQ2005" s="23" t="s">
        <v>30</v>
      </c>
      <c r="AR2005" s="23" t="s">
        <v>46</v>
      </c>
      <c r="AS2005" s="25">
        <v>2043165</v>
      </c>
      <c r="AT2005" t="s">
        <v>26</v>
      </c>
      <c r="AU2005" t="s">
        <v>24862</v>
      </c>
    </row>
    <row r="2006" spans="1:47" ht="26.25" x14ac:dyDescent="0.4">
      <c r="A2006" s="23" t="s">
        <v>5315</v>
      </c>
      <c r="B2006" s="23" t="s">
        <v>5316</v>
      </c>
      <c r="C2006" s="23" t="s">
        <v>59</v>
      </c>
      <c r="D2006" s="23" t="s">
        <v>22174</v>
      </c>
      <c r="E2006" s="23" t="s">
        <v>60</v>
      </c>
      <c r="F2006" t="s">
        <v>26</v>
      </c>
      <c r="G2006" t="s">
        <v>26</v>
      </c>
      <c r="H2006" s="25" t="s">
        <v>5317</v>
      </c>
      <c r="I2006" s="24">
        <v>41640</v>
      </c>
      <c r="J2006" s="24">
        <v>41640</v>
      </c>
      <c r="K2006" t="s">
        <v>26</v>
      </c>
      <c r="L2006" s="25" t="s">
        <v>28</v>
      </c>
      <c r="M2006" s="24">
        <v>41640</v>
      </c>
      <c r="N2006" s="24">
        <v>41640</v>
      </c>
      <c r="O2006" t="s">
        <v>26</v>
      </c>
      <c r="P2006" s="24">
        <v>41640</v>
      </c>
      <c r="Q2006" s="24">
        <v>41640</v>
      </c>
      <c r="R2006" t="s">
        <v>26</v>
      </c>
      <c r="S2006" t="s">
        <v>26</v>
      </c>
      <c r="T2006" t="s">
        <v>26</v>
      </c>
      <c r="U2006" t="s">
        <v>26</v>
      </c>
      <c r="V2006" t="s">
        <v>26</v>
      </c>
      <c r="W2006" s="24">
        <v>41640</v>
      </c>
      <c r="X2006" s="24">
        <v>41640</v>
      </c>
      <c r="Y2006" t="s">
        <v>26</v>
      </c>
      <c r="Z2006" s="24">
        <v>41640</v>
      </c>
      <c r="AA2006" s="24">
        <v>41640</v>
      </c>
      <c r="AB2006" t="s">
        <v>26</v>
      </c>
      <c r="AC2006" s="24">
        <v>41640</v>
      </c>
      <c r="AD2006" s="24">
        <v>41640</v>
      </c>
      <c r="AE2006" t="s">
        <v>26</v>
      </c>
      <c r="AF2006" t="s">
        <v>26</v>
      </c>
      <c r="AG2006" t="s">
        <v>26</v>
      </c>
      <c r="AH2006" t="s">
        <v>26</v>
      </c>
      <c r="AI2006" t="s">
        <v>26</v>
      </c>
      <c r="AJ2006" t="s">
        <v>26</v>
      </c>
      <c r="AK2006" t="s">
        <v>26</v>
      </c>
      <c r="AL2006" t="s">
        <v>26</v>
      </c>
      <c r="AM2006" t="s">
        <v>26</v>
      </c>
      <c r="AN2006" t="s">
        <v>26</v>
      </c>
      <c r="AO2006" s="25" t="s">
        <v>28</v>
      </c>
      <c r="AP2006" s="23" t="s">
        <v>29</v>
      </c>
      <c r="AQ2006" s="23" t="s">
        <v>30</v>
      </c>
      <c r="AR2006" s="23" t="s">
        <v>128</v>
      </c>
      <c r="AS2006" s="25">
        <v>2043082</v>
      </c>
      <c r="AT2006" t="s">
        <v>26</v>
      </c>
      <c r="AU2006" t="s">
        <v>24863</v>
      </c>
    </row>
    <row r="2007" spans="1:47" ht="26.25" x14ac:dyDescent="0.4">
      <c r="A2007" s="23" t="s">
        <v>24864</v>
      </c>
      <c r="B2007" t="s">
        <v>26</v>
      </c>
      <c r="C2007" s="23" t="s">
        <v>73</v>
      </c>
      <c r="D2007" s="23" t="s">
        <v>22179</v>
      </c>
      <c r="E2007" s="23" t="s">
        <v>74</v>
      </c>
      <c r="F2007" s="25" t="s">
        <v>24865</v>
      </c>
      <c r="G2007" s="25" t="s">
        <v>24866</v>
      </c>
      <c r="H2007" t="s">
        <v>26</v>
      </c>
      <c r="I2007" t="s">
        <v>26</v>
      </c>
      <c r="J2007" t="s">
        <v>26</v>
      </c>
      <c r="K2007" t="s">
        <v>26</v>
      </c>
      <c r="L2007" s="25" t="s">
        <v>68</v>
      </c>
      <c r="M2007" t="s">
        <v>26</v>
      </c>
      <c r="N2007" t="s">
        <v>26</v>
      </c>
      <c r="O2007" t="s">
        <v>26</v>
      </c>
      <c r="P2007" t="s">
        <v>26</v>
      </c>
      <c r="Q2007" t="s">
        <v>26</v>
      </c>
      <c r="R2007" t="s">
        <v>26</v>
      </c>
      <c r="S2007" t="s">
        <v>26</v>
      </c>
      <c r="T2007" t="s">
        <v>26</v>
      </c>
      <c r="U2007" t="s">
        <v>26</v>
      </c>
      <c r="V2007" t="s">
        <v>26</v>
      </c>
      <c r="W2007" s="24">
        <v>40179</v>
      </c>
      <c r="X2007" s="25" t="s">
        <v>77</v>
      </c>
      <c r="Y2007" s="25" t="s">
        <v>262</v>
      </c>
      <c r="Z2007" s="24">
        <v>40179</v>
      </c>
      <c r="AA2007" s="25" t="s">
        <v>77</v>
      </c>
      <c r="AB2007" s="25" t="s">
        <v>262</v>
      </c>
      <c r="AC2007" s="24">
        <v>40909</v>
      </c>
      <c r="AD2007" s="25" t="s">
        <v>77</v>
      </c>
      <c r="AE2007" t="s">
        <v>26</v>
      </c>
      <c r="AF2007" t="s">
        <v>26</v>
      </c>
      <c r="AG2007" t="s">
        <v>26</v>
      </c>
      <c r="AH2007" t="s">
        <v>26</v>
      </c>
      <c r="AI2007" t="s">
        <v>26</v>
      </c>
      <c r="AJ2007" t="s">
        <v>26</v>
      </c>
      <c r="AK2007" t="s">
        <v>26</v>
      </c>
      <c r="AL2007" t="s">
        <v>26</v>
      </c>
      <c r="AM2007" t="s">
        <v>26</v>
      </c>
      <c r="AN2007" t="s">
        <v>26</v>
      </c>
      <c r="AO2007" s="25" t="s">
        <v>68</v>
      </c>
      <c r="AP2007" s="23" t="s">
        <v>69</v>
      </c>
      <c r="AQ2007" s="23" t="s">
        <v>30</v>
      </c>
      <c r="AR2007" s="23" t="s">
        <v>71</v>
      </c>
      <c r="AS2007" s="25">
        <v>2044124</v>
      </c>
      <c r="AT2007" t="s">
        <v>26</v>
      </c>
      <c r="AU2007" t="s">
        <v>24867</v>
      </c>
    </row>
    <row r="2008" spans="1:47" ht="26.25" x14ac:dyDescent="0.4">
      <c r="A2008" s="23" t="s">
        <v>5318</v>
      </c>
      <c r="B2008" t="s">
        <v>26</v>
      </c>
      <c r="C2008" s="23" t="s">
        <v>22490</v>
      </c>
      <c r="D2008" t="s">
        <v>26</v>
      </c>
      <c r="E2008" s="23" t="s">
        <v>42</v>
      </c>
      <c r="F2008" t="s">
        <v>26</v>
      </c>
      <c r="G2008" t="s">
        <v>26</v>
      </c>
      <c r="H2008" t="s">
        <v>26</v>
      </c>
      <c r="I2008" s="24">
        <v>42736</v>
      </c>
      <c r="J2008" s="24">
        <v>42736</v>
      </c>
      <c r="K2008" t="s">
        <v>26</v>
      </c>
      <c r="L2008" s="25" t="s">
        <v>28</v>
      </c>
      <c r="M2008" s="24">
        <v>42736</v>
      </c>
      <c r="N2008" s="24">
        <v>42736</v>
      </c>
      <c r="O2008" t="s">
        <v>26</v>
      </c>
      <c r="P2008" t="s">
        <v>26</v>
      </c>
      <c r="Q2008" t="s">
        <v>26</v>
      </c>
      <c r="R2008" t="s">
        <v>26</v>
      </c>
      <c r="S2008" s="24">
        <v>42736</v>
      </c>
      <c r="T2008" s="24">
        <v>42736</v>
      </c>
      <c r="U2008" t="s">
        <v>26</v>
      </c>
      <c r="V2008" t="s">
        <v>26</v>
      </c>
      <c r="W2008" s="24">
        <v>42736</v>
      </c>
      <c r="X2008" s="24">
        <v>42736</v>
      </c>
      <c r="Y2008" t="s">
        <v>26</v>
      </c>
      <c r="Z2008" s="24">
        <v>42736</v>
      </c>
      <c r="AA2008" s="24">
        <v>42736</v>
      </c>
      <c r="AB2008" t="s">
        <v>26</v>
      </c>
      <c r="AC2008" s="24">
        <v>42736</v>
      </c>
      <c r="AD2008" s="24">
        <v>42736</v>
      </c>
      <c r="AE2008" t="s">
        <v>26</v>
      </c>
      <c r="AF2008" s="24">
        <v>42736</v>
      </c>
      <c r="AG2008" s="24">
        <v>42736</v>
      </c>
      <c r="AH2008" t="s">
        <v>26</v>
      </c>
      <c r="AI2008" s="24">
        <v>42736</v>
      </c>
      <c r="AJ2008" s="24">
        <v>42736</v>
      </c>
      <c r="AK2008" t="s">
        <v>26</v>
      </c>
      <c r="AL2008" t="s">
        <v>26</v>
      </c>
      <c r="AM2008" t="s">
        <v>26</v>
      </c>
      <c r="AN2008" t="s">
        <v>26</v>
      </c>
      <c r="AO2008" s="25" t="s">
        <v>28</v>
      </c>
      <c r="AP2008" s="23" t="s">
        <v>43</v>
      </c>
      <c r="AQ2008" s="23" t="s">
        <v>30</v>
      </c>
      <c r="AR2008" s="23" t="s">
        <v>44</v>
      </c>
      <c r="AS2008" s="25">
        <v>5256696</v>
      </c>
      <c r="AT2008" t="s">
        <v>26</v>
      </c>
      <c r="AU2008" t="s">
        <v>24868</v>
      </c>
    </row>
    <row r="2009" spans="1:47" ht="13.15" x14ac:dyDescent="0.4">
      <c r="A2009" s="23" t="s">
        <v>5319</v>
      </c>
      <c r="B2009" t="s">
        <v>26</v>
      </c>
      <c r="C2009" s="23" t="s">
        <v>146</v>
      </c>
      <c r="D2009" s="23" t="s">
        <v>22174</v>
      </c>
      <c r="E2009" s="23" t="s">
        <v>60</v>
      </c>
      <c r="F2009" t="s">
        <v>26</v>
      </c>
      <c r="G2009" t="s">
        <v>26</v>
      </c>
      <c r="H2009" t="s">
        <v>26</v>
      </c>
      <c r="I2009" t="s">
        <v>26</v>
      </c>
      <c r="J2009" t="s">
        <v>26</v>
      </c>
      <c r="K2009" t="s">
        <v>26</v>
      </c>
      <c r="L2009" s="25" t="s">
        <v>28</v>
      </c>
      <c r="M2009" t="s">
        <v>26</v>
      </c>
      <c r="N2009" t="s">
        <v>26</v>
      </c>
      <c r="O2009" t="s">
        <v>26</v>
      </c>
      <c r="P2009" t="s">
        <v>26</v>
      </c>
      <c r="Q2009" t="s">
        <v>26</v>
      </c>
      <c r="R2009" t="s">
        <v>26</v>
      </c>
      <c r="S2009" t="s">
        <v>26</v>
      </c>
      <c r="T2009" t="s">
        <v>26</v>
      </c>
      <c r="U2009" t="s">
        <v>26</v>
      </c>
      <c r="V2009" t="s">
        <v>26</v>
      </c>
      <c r="W2009" s="25" t="s">
        <v>295</v>
      </c>
      <c r="X2009" s="25" t="s">
        <v>295</v>
      </c>
      <c r="Y2009" t="s">
        <v>26</v>
      </c>
      <c r="Z2009" s="25" t="s">
        <v>295</v>
      </c>
      <c r="AA2009" s="25" t="s">
        <v>295</v>
      </c>
      <c r="AB2009" t="s">
        <v>26</v>
      </c>
      <c r="AC2009" t="s">
        <v>26</v>
      </c>
      <c r="AD2009" t="s">
        <v>26</v>
      </c>
      <c r="AE2009" t="s">
        <v>26</v>
      </c>
      <c r="AF2009" t="s">
        <v>26</v>
      </c>
      <c r="AG2009" t="s">
        <v>26</v>
      </c>
      <c r="AH2009" t="s">
        <v>26</v>
      </c>
      <c r="AI2009" t="s">
        <v>26</v>
      </c>
      <c r="AJ2009" t="s">
        <v>26</v>
      </c>
      <c r="AK2009" t="s">
        <v>26</v>
      </c>
      <c r="AL2009" t="s">
        <v>26</v>
      </c>
      <c r="AM2009" t="s">
        <v>26</v>
      </c>
      <c r="AN2009" t="s">
        <v>26</v>
      </c>
      <c r="AO2009" s="25" t="s">
        <v>28</v>
      </c>
      <c r="AP2009" s="23" t="s">
        <v>29</v>
      </c>
      <c r="AQ2009" s="23" t="s">
        <v>30</v>
      </c>
      <c r="AR2009" s="23" t="s">
        <v>147</v>
      </c>
      <c r="AS2009" s="25">
        <v>5485092</v>
      </c>
      <c r="AT2009" s="23" t="s">
        <v>22181</v>
      </c>
      <c r="AU2009" t="s">
        <v>24869</v>
      </c>
    </row>
    <row r="2010" spans="1:47" ht="26.25" x14ac:dyDescent="0.4">
      <c r="A2010" s="23" t="s">
        <v>5320</v>
      </c>
      <c r="B2010" t="s">
        <v>26</v>
      </c>
      <c r="C2010" s="23" t="s">
        <v>146</v>
      </c>
      <c r="D2010" s="23" t="s">
        <v>22174</v>
      </c>
      <c r="E2010" s="23" t="s">
        <v>60</v>
      </c>
      <c r="F2010" t="s">
        <v>26</v>
      </c>
      <c r="G2010" t="s">
        <v>26</v>
      </c>
      <c r="H2010" t="s">
        <v>26</v>
      </c>
      <c r="I2010" t="s">
        <v>26</v>
      </c>
      <c r="J2010" t="s">
        <v>26</v>
      </c>
      <c r="K2010" t="s">
        <v>26</v>
      </c>
      <c r="L2010" s="25" t="s">
        <v>28</v>
      </c>
      <c r="M2010" t="s">
        <v>26</v>
      </c>
      <c r="N2010" t="s">
        <v>26</v>
      </c>
      <c r="O2010" t="s">
        <v>26</v>
      </c>
      <c r="P2010" t="s">
        <v>26</v>
      </c>
      <c r="Q2010" t="s">
        <v>26</v>
      </c>
      <c r="R2010" t="s">
        <v>26</v>
      </c>
      <c r="S2010" t="s">
        <v>26</v>
      </c>
      <c r="T2010" t="s">
        <v>26</v>
      </c>
      <c r="U2010" t="s">
        <v>26</v>
      </c>
      <c r="V2010" t="s">
        <v>26</v>
      </c>
      <c r="W2010" s="24">
        <v>41640</v>
      </c>
      <c r="X2010" s="24">
        <v>41640</v>
      </c>
      <c r="Y2010" t="s">
        <v>26</v>
      </c>
      <c r="Z2010" s="24">
        <v>41640</v>
      </c>
      <c r="AA2010" s="24">
        <v>41640</v>
      </c>
      <c r="AB2010" t="s">
        <v>26</v>
      </c>
      <c r="AC2010" t="s">
        <v>26</v>
      </c>
      <c r="AD2010" t="s">
        <v>26</v>
      </c>
      <c r="AE2010" t="s">
        <v>26</v>
      </c>
      <c r="AF2010" t="s">
        <v>26</v>
      </c>
      <c r="AG2010" t="s">
        <v>26</v>
      </c>
      <c r="AH2010" t="s">
        <v>26</v>
      </c>
      <c r="AI2010" t="s">
        <v>26</v>
      </c>
      <c r="AJ2010" t="s">
        <v>26</v>
      </c>
      <c r="AK2010" t="s">
        <v>26</v>
      </c>
      <c r="AL2010" t="s">
        <v>26</v>
      </c>
      <c r="AM2010" t="s">
        <v>26</v>
      </c>
      <c r="AN2010" t="s">
        <v>26</v>
      </c>
      <c r="AO2010" s="25" t="s">
        <v>28</v>
      </c>
      <c r="AP2010" s="23" t="s">
        <v>29</v>
      </c>
      <c r="AQ2010" s="23" t="s">
        <v>30</v>
      </c>
      <c r="AR2010" s="23" t="s">
        <v>44</v>
      </c>
      <c r="AS2010" s="25">
        <v>5485117</v>
      </c>
      <c r="AT2010" s="23" t="s">
        <v>22181</v>
      </c>
      <c r="AU2010" t="s">
        <v>24870</v>
      </c>
    </row>
    <row r="2011" spans="1:47" ht="26.25" x14ac:dyDescent="0.4">
      <c r="A2011" s="23" t="s">
        <v>5321</v>
      </c>
      <c r="B2011" t="s">
        <v>26</v>
      </c>
      <c r="C2011" s="23" t="s">
        <v>73</v>
      </c>
      <c r="D2011" s="23" t="s">
        <v>22211</v>
      </c>
      <c r="E2011" s="23" t="s">
        <v>74</v>
      </c>
      <c r="F2011" s="25" t="s">
        <v>5322</v>
      </c>
      <c r="G2011" s="25" t="s">
        <v>5323</v>
      </c>
      <c r="H2011" t="s">
        <v>26</v>
      </c>
      <c r="I2011" t="s">
        <v>26</v>
      </c>
      <c r="J2011" t="s">
        <v>26</v>
      </c>
      <c r="K2011" t="s">
        <v>26</v>
      </c>
      <c r="L2011" s="25" t="s">
        <v>68</v>
      </c>
      <c r="M2011" t="s">
        <v>26</v>
      </c>
      <c r="N2011" t="s">
        <v>26</v>
      </c>
      <c r="O2011" t="s">
        <v>26</v>
      </c>
      <c r="P2011" t="s">
        <v>26</v>
      </c>
      <c r="Q2011" t="s">
        <v>26</v>
      </c>
      <c r="R2011" t="s">
        <v>26</v>
      </c>
      <c r="S2011" t="s">
        <v>26</v>
      </c>
      <c r="T2011" t="s">
        <v>26</v>
      </c>
      <c r="U2011" t="s">
        <v>26</v>
      </c>
      <c r="V2011" t="s">
        <v>26</v>
      </c>
      <c r="W2011" s="24">
        <v>39083</v>
      </c>
      <c r="X2011" s="25" t="s">
        <v>77</v>
      </c>
      <c r="Y2011" s="25" t="s">
        <v>5324</v>
      </c>
      <c r="Z2011" s="24">
        <v>39083</v>
      </c>
      <c r="AA2011" s="25" t="s">
        <v>77</v>
      </c>
      <c r="AB2011" s="25" t="s">
        <v>5324</v>
      </c>
      <c r="AC2011" s="24">
        <v>39083</v>
      </c>
      <c r="AD2011" s="25" t="s">
        <v>77</v>
      </c>
      <c r="AE2011" s="25" t="s">
        <v>5324</v>
      </c>
      <c r="AF2011" t="s">
        <v>26</v>
      </c>
      <c r="AG2011" t="s">
        <v>26</v>
      </c>
      <c r="AH2011" t="s">
        <v>26</v>
      </c>
      <c r="AI2011" t="s">
        <v>26</v>
      </c>
      <c r="AJ2011" t="s">
        <v>26</v>
      </c>
      <c r="AK2011" t="s">
        <v>26</v>
      </c>
      <c r="AL2011" t="s">
        <v>26</v>
      </c>
      <c r="AM2011" t="s">
        <v>26</v>
      </c>
      <c r="AN2011" t="s">
        <v>26</v>
      </c>
      <c r="AO2011" s="25" t="s">
        <v>68</v>
      </c>
      <c r="AP2011" s="23" t="s">
        <v>69</v>
      </c>
      <c r="AQ2011" s="23" t="s">
        <v>30</v>
      </c>
      <c r="AR2011" s="23" t="s">
        <v>78</v>
      </c>
      <c r="AS2011" s="25">
        <v>2043748</v>
      </c>
      <c r="AT2011" t="s">
        <v>26</v>
      </c>
      <c r="AU2011" t="s">
        <v>24871</v>
      </c>
    </row>
    <row r="2012" spans="1:47" ht="26.25" x14ac:dyDescent="0.4">
      <c r="A2012" s="23" t="s">
        <v>5325</v>
      </c>
      <c r="B2012" t="s">
        <v>26</v>
      </c>
      <c r="C2012" s="23" t="s">
        <v>24769</v>
      </c>
      <c r="D2012" s="23" t="s">
        <v>23303</v>
      </c>
      <c r="E2012" s="23" t="s">
        <v>42</v>
      </c>
      <c r="F2012" t="s">
        <v>26</v>
      </c>
      <c r="G2012" t="s">
        <v>26</v>
      </c>
      <c r="H2012" t="s">
        <v>26</v>
      </c>
      <c r="I2012" s="24">
        <v>37987</v>
      </c>
      <c r="J2012" s="24">
        <v>41640</v>
      </c>
      <c r="K2012" t="s">
        <v>26</v>
      </c>
      <c r="L2012" s="25" t="s">
        <v>28</v>
      </c>
      <c r="M2012" s="24">
        <v>37987</v>
      </c>
      <c r="N2012" s="24">
        <v>41640</v>
      </c>
      <c r="O2012" t="s">
        <v>26</v>
      </c>
      <c r="P2012" t="s">
        <v>26</v>
      </c>
      <c r="Q2012" t="s">
        <v>26</v>
      </c>
      <c r="R2012" t="s">
        <v>26</v>
      </c>
      <c r="S2012" s="24">
        <v>37987</v>
      </c>
      <c r="T2012" s="24">
        <v>41640</v>
      </c>
      <c r="U2012" t="s">
        <v>26</v>
      </c>
      <c r="V2012" t="s">
        <v>26</v>
      </c>
      <c r="W2012" s="24">
        <v>37987</v>
      </c>
      <c r="X2012" s="24">
        <v>41640</v>
      </c>
      <c r="Y2012" t="s">
        <v>26</v>
      </c>
      <c r="Z2012" s="24">
        <v>37987</v>
      </c>
      <c r="AA2012" s="24">
        <v>41640</v>
      </c>
      <c r="AB2012" t="s">
        <v>26</v>
      </c>
      <c r="AC2012" s="24">
        <v>37987</v>
      </c>
      <c r="AD2012" s="24">
        <v>41640</v>
      </c>
      <c r="AE2012" t="s">
        <v>26</v>
      </c>
      <c r="AF2012" s="24">
        <v>37987</v>
      </c>
      <c r="AG2012" s="24">
        <v>41640</v>
      </c>
      <c r="AH2012" t="s">
        <v>26</v>
      </c>
      <c r="AI2012" s="24">
        <v>37987</v>
      </c>
      <c r="AJ2012" s="24">
        <v>41640</v>
      </c>
      <c r="AK2012" t="s">
        <v>26</v>
      </c>
      <c r="AL2012" t="s">
        <v>26</v>
      </c>
      <c r="AM2012" t="s">
        <v>26</v>
      </c>
      <c r="AN2012" t="s">
        <v>26</v>
      </c>
      <c r="AO2012" s="25" t="s">
        <v>28</v>
      </c>
      <c r="AP2012" s="23" t="s">
        <v>43</v>
      </c>
      <c r="AQ2012" s="23" t="s">
        <v>30</v>
      </c>
      <c r="AR2012" s="23" t="s">
        <v>46</v>
      </c>
      <c r="AS2012" s="25">
        <v>6364624</v>
      </c>
      <c r="AT2012" t="s">
        <v>26</v>
      </c>
      <c r="AU2012" t="s">
        <v>24872</v>
      </c>
    </row>
    <row r="2013" spans="1:47" ht="26.25" x14ac:dyDescent="0.4">
      <c r="A2013" s="23" t="s">
        <v>5326</v>
      </c>
      <c r="B2013" t="s">
        <v>26</v>
      </c>
      <c r="C2013" s="23" t="s">
        <v>146</v>
      </c>
      <c r="D2013" s="23" t="s">
        <v>22174</v>
      </c>
      <c r="E2013" s="23" t="s">
        <v>60</v>
      </c>
      <c r="F2013" t="s">
        <v>26</v>
      </c>
      <c r="G2013" t="s">
        <v>26</v>
      </c>
      <c r="H2013" t="s">
        <v>26</v>
      </c>
      <c r="I2013" s="24">
        <v>41640</v>
      </c>
      <c r="J2013" s="24">
        <v>41640</v>
      </c>
      <c r="K2013" t="s">
        <v>26</v>
      </c>
      <c r="L2013" s="25" t="s">
        <v>28</v>
      </c>
      <c r="M2013" t="s">
        <v>26</v>
      </c>
      <c r="N2013" t="s">
        <v>26</v>
      </c>
      <c r="O2013" t="s">
        <v>26</v>
      </c>
      <c r="P2013" s="24">
        <v>41640</v>
      </c>
      <c r="Q2013" s="24">
        <v>41640</v>
      </c>
      <c r="R2013" t="s">
        <v>26</v>
      </c>
      <c r="S2013" t="s">
        <v>26</v>
      </c>
      <c r="T2013" t="s">
        <v>26</v>
      </c>
      <c r="U2013" t="s">
        <v>26</v>
      </c>
      <c r="V2013" t="s">
        <v>26</v>
      </c>
      <c r="W2013" s="24">
        <v>41640</v>
      </c>
      <c r="X2013" s="24">
        <v>41640</v>
      </c>
      <c r="Y2013" t="s">
        <v>26</v>
      </c>
      <c r="Z2013" s="24">
        <v>41640</v>
      </c>
      <c r="AA2013" s="24">
        <v>41640</v>
      </c>
      <c r="AB2013" t="s">
        <v>26</v>
      </c>
      <c r="AC2013" s="24">
        <v>41640</v>
      </c>
      <c r="AD2013" s="24">
        <v>41640</v>
      </c>
      <c r="AE2013" t="s">
        <v>26</v>
      </c>
      <c r="AF2013" t="s">
        <v>26</v>
      </c>
      <c r="AG2013" t="s">
        <v>26</v>
      </c>
      <c r="AH2013" t="s">
        <v>26</v>
      </c>
      <c r="AI2013" t="s">
        <v>26</v>
      </c>
      <c r="AJ2013" t="s">
        <v>26</v>
      </c>
      <c r="AK2013" t="s">
        <v>26</v>
      </c>
      <c r="AL2013" t="s">
        <v>26</v>
      </c>
      <c r="AM2013" t="s">
        <v>26</v>
      </c>
      <c r="AN2013" t="s">
        <v>26</v>
      </c>
      <c r="AO2013" s="25" t="s">
        <v>28</v>
      </c>
      <c r="AP2013" s="23" t="s">
        <v>29</v>
      </c>
      <c r="AQ2013" s="23" t="s">
        <v>30</v>
      </c>
      <c r="AR2013" s="23" t="s">
        <v>44</v>
      </c>
      <c r="AS2013" s="25">
        <v>5485080</v>
      </c>
      <c r="AT2013" s="23" t="s">
        <v>22181</v>
      </c>
      <c r="AU2013" t="s">
        <v>24873</v>
      </c>
    </row>
    <row r="2014" spans="1:47" ht="13.15" x14ac:dyDescent="0.4">
      <c r="A2014" s="23" t="s">
        <v>5327</v>
      </c>
      <c r="B2014" t="s">
        <v>26</v>
      </c>
      <c r="C2014" s="23" t="s">
        <v>5328</v>
      </c>
      <c r="D2014" s="23" t="s">
        <v>22179</v>
      </c>
      <c r="E2014" s="23" t="s">
        <v>42</v>
      </c>
      <c r="F2014" t="s">
        <v>26</v>
      </c>
      <c r="G2014" t="s">
        <v>26</v>
      </c>
      <c r="H2014" t="s">
        <v>26</v>
      </c>
      <c r="I2014" s="24">
        <v>36892</v>
      </c>
      <c r="J2014" s="24">
        <v>36892</v>
      </c>
      <c r="K2014" t="s">
        <v>26</v>
      </c>
      <c r="L2014" s="25" t="s">
        <v>28</v>
      </c>
      <c r="M2014" s="24">
        <v>36892</v>
      </c>
      <c r="N2014" s="24">
        <v>36892</v>
      </c>
      <c r="O2014" t="s">
        <v>26</v>
      </c>
      <c r="P2014" t="s">
        <v>26</v>
      </c>
      <c r="Q2014" t="s">
        <v>26</v>
      </c>
      <c r="R2014" t="s">
        <v>26</v>
      </c>
      <c r="S2014" t="s">
        <v>26</v>
      </c>
      <c r="T2014" t="s">
        <v>26</v>
      </c>
      <c r="U2014" t="s">
        <v>26</v>
      </c>
      <c r="V2014" t="s">
        <v>26</v>
      </c>
      <c r="W2014" s="24">
        <v>36892</v>
      </c>
      <c r="X2014" s="24">
        <v>36892</v>
      </c>
      <c r="Y2014" t="s">
        <v>26</v>
      </c>
      <c r="Z2014" s="24">
        <v>36892</v>
      </c>
      <c r="AA2014" s="24">
        <v>36892</v>
      </c>
      <c r="AB2014" t="s">
        <v>26</v>
      </c>
      <c r="AC2014" s="24">
        <v>36892</v>
      </c>
      <c r="AD2014" s="24">
        <v>36892</v>
      </c>
      <c r="AE2014" t="s">
        <v>26</v>
      </c>
      <c r="AF2014" t="s">
        <v>26</v>
      </c>
      <c r="AG2014" t="s">
        <v>26</v>
      </c>
      <c r="AH2014" t="s">
        <v>26</v>
      </c>
      <c r="AI2014" t="s">
        <v>26</v>
      </c>
      <c r="AJ2014" t="s">
        <v>26</v>
      </c>
      <c r="AK2014" t="s">
        <v>26</v>
      </c>
      <c r="AL2014" t="s">
        <v>26</v>
      </c>
      <c r="AM2014" t="s">
        <v>26</v>
      </c>
      <c r="AN2014" t="s">
        <v>26</v>
      </c>
      <c r="AO2014" s="25" t="s">
        <v>28</v>
      </c>
      <c r="AP2014" s="23" t="s">
        <v>29</v>
      </c>
      <c r="AQ2014" s="23" t="s">
        <v>30</v>
      </c>
      <c r="AR2014" s="23" t="s">
        <v>46</v>
      </c>
      <c r="AS2014" s="25">
        <v>6059472</v>
      </c>
      <c r="AT2014" t="s">
        <v>26</v>
      </c>
      <c r="AU2014" t="s">
        <v>24874</v>
      </c>
    </row>
    <row r="2015" spans="1:47" ht="26.25" x14ac:dyDescent="0.4">
      <c r="A2015" s="23" t="s">
        <v>5329</v>
      </c>
      <c r="B2015" t="s">
        <v>26</v>
      </c>
      <c r="C2015" s="23" t="s">
        <v>5330</v>
      </c>
      <c r="D2015" s="23" t="s">
        <v>22179</v>
      </c>
      <c r="E2015" s="23" t="s">
        <v>42</v>
      </c>
      <c r="F2015" s="25" t="s">
        <v>5331</v>
      </c>
      <c r="G2015" t="s">
        <v>26</v>
      </c>
      <c r="H2015" t="s">
        <v>26</v>
      </c>
      <c r="I2015" s="24">
        <v>35796</v>
      </c>
      <c r="J2015" s="24">
        <v>42186</v>
      </c>
      <c r="K2015" t="s">
        <v>26</v>
      </c>
      <c r="L2015" s="25" t="s">
        <v>68</v>
      </c>
      <c r="M2015" s="24">
        <v>35796</v>
      </c>
      <c r="N2015" s="24">
        <v>38353</v>
      </c>
      <c r="O2015" t="s">
        <v>26</v>
      </c>
      <c r="P2015" s="24">
        <v>35796</v>
      </c>
      <c r="Q2015" s="24">
        <v>42186</v>
      </c>
      <c r="R2015" t="s">
        <v>26</v>
      </c>
      <c r="S2015" t="s">
        <v>26</v>
      </c>
      <c r="T2015" t="s">
        <v>26</v>
      </c>
      <c r="U2015" t="s">
        <v>26</v>
      </c>
      <c r="V2015" t="s">
        <v>26</v>
      </c>
      <c r="W2015" s="24">
        <v>35796</v>
      </c>
      <c r="X2015" s="24">
        <v>42186</v>
      </c>
      <c r="Y2015" t="s">
        <v>26</v>
      </c>
      <c r="Z2015" s="24">
        <v>35796</v>
      </c>
      <c r="AA2015" s="24">
        <v>42186</v>
      </c>
      <c r="AB2015" t="s">
        <v>26</v>
      </c>
      <c r="AC2015" t="s">
        <v>26</v>
      </c>
      <c r="AD2015" t="s">
        <v>26</v>
      </c>
      <c r="AE2015" t="s">
        <v>26</v>
      </c>
      <c r="AF2015" t="s">
        <v>26</v>
      </c>
      <c r="AG2015" t="s">
        <v>26</v>
      </c>
      <c r="AH2015" t="s">
        <v>26</v>
      </c>
      <c r="AI2015" t="s">
        <v>26</v>
      </c>
      <c r="AJ2015" t="s">
        <v>26</v>
      </c>
      <c r="AK2015" t="s">
        <v>26</v>
      </c>
      <c r="AL2015" t="s">
        <v>26</v>
      </c>
      <c r="AM2015" t="s">
        <v>26</v>
      </c>
      <c r="AN2015" t="s">
        <v>26</v>
      </c>
      <c r="AO2015" s="25" t="s">
        <v>68</v>
      </c>
      <c r="AP2015" s="23" t="s">
        <v>69</v>
      </c>
      <c r="AQ2015" s="23" t="s">
        <v>30</v>
      </c>
      <c r="AR2015" s="23" t="s">
        <v>46</v>
      </c>
      <c r="AS2015" s="25">
        <v>36244</v>
      </c>
      <c r="AT2015" t="s">
        <v>26</v>
      </c>
      <c r="AU2015" t="s">
        <v>24875</v>
      </c>
    </row>
    <row r="2016" spans="1:47" ht="26.25" x14ac:dyDescent="0.4">
      <c r="A2016" s="23" t="s">
        <v>5332</v>
      </c>
      <c r="B2016" t="s">
        <v>26</v>
      </c>
      <c r="C2016" s="23" t="s">
        <v>213</v>
      </c>
      <c r="D2016" s="23" t="s">
        <v>22174</v>
      </c>
      <c r="E2016" s="23" t="s">
        <v>60</v>
      </c>
      <c r="F2016" t="s">
        <v>26</v>
      </c>
      <c r="G2016" s="25" t="s">
        <v>5333</v>
      </c>
      <c r="H2016" t="s">
        <v>26</v>
      </c>
      <c r="I2016" s="24">
        <v>42005</v>
      </c>
      <c r="J2016" s="25" t="s">
        <v>77</v>
      </c>
      <c r="K2016" t="s">
        <v>26</v>
      </c>
      <c r="L2016" s="25" t="s">
        <v>68</v>
      </c>
      <c r="M2016" t="s">
        <v>26</v>
      </c>
      <c r="N2016" t="s">
        <v>26</v>
      </c>
      <c r="O2016" t="s">
        <v>26</v>
      </c>
      <c r="P2016" s="24">
        <v>42005</v>
      </c>
      <c r="Q2016" s="25" t="s">
        <v>77</v>
      </c>
      <c r="R2016" t="s">
        <v>26</v>
      </c>
      <c r="S2016" t="s">
        <v>26</v>
      </c>
      <c r="T2016" t="s">
        <v>26</v>
      </c>
      <c r="U2016" t="s">
        <v>26</v>
      </c>
      <c r="V2016" t="s">
        <v>26</v>
      </c>
      <c r="W2016" s="24">
        <v>42005</v>
      </c>
      <c r="X2016" s="25" t="s">
        <v>77</v>
      </c>
      <c r="Y2016" t="s">
        <v>26</v>
      </c>
      <c r="Z2016" s="24">
        <v>42005</v>
      </c>
      <c r="AA2016" s="25" t="s">
        <v>77</v>
      </c>
      <c r="AB2016" t="s">
        <v>26</v>
      </c>
      <c r="AC2016" s="24">
        <v>42005</v>
      </c>
      <c r="AD2016" s="25" t="s">
        <v>77</v>
      </c>
      <c r="AE2016" t="s">
        <v>26</v>
      </c>
      <c r="AF2016" t="s">
        <v>26</v>
      </c>
      <c r="AG2016" t="s">
        <v>26</v>
      </c>
      <c r="AH2016" t="s">
        <v>26</v>
      </c>
      <c r="AI2016" t="s">
        <v>26</v>
      </c>
      <c r="AJ2016" t="s">
        <v>26</v>
      </c>
      <c r="AK2016" t="s">
        <v>26</v>
      </c>
      <c r="AL2016" t="s">
        <v>26</v>
      </c>
      <c r="AM2016" t="s">
        <v>26</v>
      </c>
      <c r="AN2016" t="s">
        <v>26</v>
      </c>
      <c r="AO2016" s="25" t="s">
        <v>68</v>
      </c>
      <c r="AP2016" s="23" t="s">
        <v>69</v>
      </c>
      <c r="AQ2016" s="23" t="s">
        <v>30</v>
      </c>
      <c r="AR2016" s="23" t="s">
        <v>70</v>
      </c>
      <c r="AS2016" s="25">
        <v>2040202</v>
      </c>
      <c r="AT2016" t="s">
        <v>26</v>
      </c>
      <c r="AU2016" t="s">
        <v>24876</v>
      </c>
    </row>
    <row r="2017" spans="1:47" ht="26.25" x14ac:dyDescent="0.4">
      <c r="A2017" s="23" t="s">
        <v>5334</v>
      </c>
      <c r="B2017" t="s">
        <v>26</v>
      </c>
      <c r="C2017" s="23" t="s">
        <v>73</v>
      </c>
      <c r="D2017" s="23" t="s">
        <v>24457</v>
      </c>
      <c r="E2017" s="23" t="s">
        <v>74</v>
      </c>
      <c r="F2017" s="25" t="s">
        <v>5335</v>
      </c>
      <c r="G2017" s="25" t="s">
        <v>5336</v>
      </c>
      <c r="H2017" t="s">
        <v>26</v>
      </c>
      <c r="I2017" s="24">
        <v>35462</v>
      </c>
      <c r="J2017" s="25" t="s">
        <v>77</v>
      </c>
      <c r="K2017" t="s">
        <v>26</v>
      </c>
      <c r="L2017" s="25" t="s">
        <v>68</v>
      </c>
      <c r="M2017" s="24">
        <v>38018</v>
      </c>
      <c r="N2017" s="24">
        <v>42856</v>
      </c>
      <c r="O2017" t="s">
        <v>26</v>
      </c>
      <c r="P2017" s="24">
        <v>35462</v>
      </c>
      <c r="Q2017" s="25" t="s">
        <v>77</v>
      </c>
      <c r="R2017" t="s">
        <v>26</v>
      </c>
      <c r="S2017" t="s">
        <v>26</v>
      </c>
      <c r="T2017" t="s">
        <v>26</v>
      </c>
      <c r="U2017" t="s">
        <v>26</v>
      </c>
      <c r="V2017" s="25">
        <v>365</v>
      </c>
      <c r="W2017" s="24">
        <v>35462</v>
      </c>
      <c r="X2017" s="25" t="s">
        <v>77</v>
      </c>
      <c r="Y2017" t="s">
        <v>26</v>
      </c>
      <c r="Z2017" s="24">
        <v>35462</v>
      </c>
      <c r="AA2017" s="25" t="s">
        <v>77</v>
      </c>
      <c r="AB2017" t="s">
        <v>26</v>
      </c>
      <c r="AC2017" s="24">
        <v>35462</v>
      </c>
      <c r="AD2017" s="25" t="s">
        <v>77</v>
      </c>
      <c r="AE2017" t="s">
        <v>26</v>
      </c>
      <c r="AF2017" t="s">
        <v>26</v>
      </c>
      <c r="AG2017" t="s">
        <v>26</v>
      </c>
      <c r="AH2017" t="s">
        <v>26</v>
      </c>
      <c r="AI2017" t="s">
        <v>26</v>
      </c>
      <c r="AJ2017" t="s">
        <v>26</v>
      </c>
      <c r="AK2017" t="s">
        <v>26</v>
      </c>
      <c r="AL2017" t="s">
        <v>26</v>
      </c>
      <c r="AM2017" t="s">
        <v>26</v>
      </c>
      <c r="AN2017" t="s">
        <v>26</v>
      </c>
      <c r="AO2017" s="25" t="s">
        <v>68</v>
      </c>
      <c r="AP2017" s="23" t="s">
        <v>69</v>
      </c>
      <c r="AQ2017" s="23" t="s">
        <v>30</v>
      </c>
      <c r="AR2017" s="23" t="s">
        <v>5337</v>
      </c>
      <c r="AS2017" s="25">
        <v>55365</v>
      </c>
      <c r="AT2017" t="s">
        <v>26</v>
      </c>
      <c r="AU2017" t="s">
        <v>24877</v>
      </c>
    </row>
    <row r="2018" spans="1:47" ht="26.25" x14ac:dyDescent="0.4">
      <c r="A2018" s="23" t="s">
        <v>5338</v>
      </c>
      <c r="B2018" t="s">
        <v>26</v>
      </c>
      <c r="C2018" s="23" t="s">
        <v>3316</v>
      </c>
      <c r="D2018" s="23" t="s">
        <v>22179</v>
      </c>
      <c r="E2018" s="23" t="s">
        <v>42</v>
      </c>
      <c r="F2018" s="25" t="s">
        <v>5339</v>
      </c>
      <c r="G2018" s="25" t="s">
        <v>5340</v>
      </c>
      <c r="H2018" t="s">
        <v>26</v>
      </c>
      <c r="I2018" s="24">
        <v>36526</v>
      </c>
      <c r="J2018" s="25" t="s">
        <v>77</v>
      </c>
      <c r="K2018" t="s">
        <v>26</v>
      </c>
      <c r="L2018" s="25" t="s">
        <v>68</v>
      </c>
      <c r="M2018" s="24">
        <v>37987</v>
      </c>
      <c r="N2018" s="24">
        <v>42887</v>
      </c>
      <c r="O2018" t="s">
        <v>26</v>
      </c>
      <c r="P2018" s="24">
        <v>36526</v>
      </c>
      <c r="Q2018" s="25" t="s">
        <v>77</v>
      </c>
      <c r="R2018" t="s">
        <v>26</v>
      </c>
      <c r="S2018" t="s">
        <v>26</v>
      </c>
      <c r="T2018" t="s">
        <v>26</v>
      </c>
      <c r="U2018" t="s">
        <v>26</v>
      </c>
      <c r="V2018" s="25">
        <v>365</v>
      </c>
      <c r="W2018" s="24">
        <v>35431</v>
      </c>
      <c r="X2018" s="25" t="s">
        <v>77</v>
      </c>
      <c r="Y2018" t="s">
        <v>26</v>
      </c>
      <c r="Z2018" s="24">
        <v>35431</v>
      </c>
      <c r="AA2018" s="25" t="s">
        <v>77</v>
      </c>
      <c r="AB2018" t="s">
        <v>26</v>
      </c>
      <c r="AC2018" s="24">
        <v>36526</v>
      </c>
      <c r="AD2018" s="25" t="s">
        <v>77</v>
      </c>
      <c r="AE2018" t="s">
        <v>26</v>
      </c>
      <c r="AF2018" t="s">
        <v>26</v>
      </c>
      <c r="AG2018" t="s">
        <v>26</v>
      </c>
      <c r="AH2018" t="s">
        <v>26</v>
      </c>
      <c r="AI2018" t="s">
        <v>26</v>
      </c>
      <c r="AJ2018" t="s">
        <v>26</v>
      </c>
      <c r="AK2018" t="s">
        <v>26</v>
      </c>
      <c r="AL2018" t="s">
        <v>26</v>
      </c>
      <c r="AM2018" t="s">
        <v>26</v>
      </c>
      <c r="AN2018" t="s">
        <v>26</v>
      </c>
      <c r="AO2018" s="25" t="s">
        <v>68</v>
      </c>
      <c r="AP2018" s="23" t="s">
        <v>69</v>
      </c>
      <c r="AQ2018" s="23" t="s">
        <v>30</v>
      </c>
      <c r="AR2018" s="23" t="s">
        <v>4437</v>
      </c>
      <c r="AS2018" s="25">
        <v>44096</v>
      </c>
      <c r="AT2018" t="s">
        <v>26</v>
      </c>
      <c r="AU2018" t="s">
        <v>24878</v>
      </c>
    </row>
    <row r="2019" spans="1:47" ht="26.25" x14ac:dyDescent="0.4">
      <c r="A2019" s="23" t="s">
        <v>5341</v>
      </c>
      <c r="B2019" t="s">
        <v>26</v>
      </c>
      <c r="C2019" s="23" t="s">
        <v>172</v>
      </c>
      <c r="D2019" s="23" t="s">
        <v>22242</v>
      </c>
      <c r="E2019" s="23" t="s">
        <v>60</v>
      </c>
      <c r="F2019" s="25" t="s">
        <v>5342</v>
      </c>
      <c r="G2019" s="25" t="s">
        <v>5343</v>
      </c>
      <c r="H2019" t="s">
        <v>26</v>
      </c>
      <c r="I2019" t="s">
        <v>26</v>
      </c>
      <c r="J2019" t="s">
        <v>26</v>
      </c>
      <c r="K2019" t="s">
        <v>26</v>
      </c>
      <c r="L2019" s="25" t="s">
        <v>68</v>
      </c>
      <c r="M2019" t="s">
        <v>26</v>
      </c>
      <c r="N2019" t="s">
        <v>26</v>
      </c>
      <c r="O2019" t="s">
        <v>26</v>
      </c>
      <c r="P2019" t="s">
        <v>26</v>
      </c>
      <c r="Q2019" t="s">
        <v>26</v>
      </c>
      <c r="R2019" t="s">
        <v>26</v>
      </c>
      <c r="S2019" t="s">
        <v>26</v>
      </c>
      <c r="T2019" t="s">
        <v>26</v>
      </c>
      <c r="U2019" t="s">
        <v>26</v>
      </c>
      <c r="V2019" t="s">
        <v>26</v>
      </c>
      <c r="W2019" s="24">
        <v>38108</v>
      </c>
      <c r="X2019" s="25" t="s">
        <v>77</v>
      </c>
      <c r="Y2019" t="s">
        <v>26</v>
      </c>
      <c r="Z2019" s="24">
        <v>38108</v>
      </c>
      <c r="AA2019" s="25" t="s">
        <v>77</v>
      </c>
      <c r="AB2019" t="s">
        <v>26</v>
      </c>
      <c r="AC2019" s="24">
        <v>38596</v>
      </c>
      <c r="AD2019" s="25" t="s">
        <v>77</v>
      </c>
      <c r="AE2019" t="s">
        <v>26</v>
      </c>
      <c r="AF2019" t="s">
        <v>26</v>
      </c>
      <c r="AG2019" t="s">
        <v>26</v>
      </c>
      <c r="AH2019" t="s">
        <v>26</v>
      </c>
      <c r="AI2019" t="s">
        <v>26</v>
      </c>
      <c r="AJ2019" t="s">
        <v>26</v>
      </c>
      <c r="AK2019" t="s">
        <v>26</v>
      </c>
      <c r="AL2019" t="s">
        <v>26</v>
      </c>
      <c r="AM2019" t="s">
        <v>26</v>
      </c>
      <c r="AN2019" t="s">
        <v>26</v>
      </c>
      <c r="AO2019" s="25" t="s">
        <v>68</v>
      </c>
      <c r="AP2019" s="23" t="s">
        <v>69</v>
      </c>
      <c r="AQ2019" s="23" t="s">
        <v>30</v>
      </c>
      <c r="AR2019" s="23" t="s">
        <v>2139</v>
      </c>
      <c r="AS2019" s="25">
        <v>35187</v>
      </c>
      <c r="AT2019" t="s">
        <v>26</v>
      </c>
      <c r="AU2019" t="s">
        <v>24879</v>
      </c>
    </row>
    <row r="2020" spans="1:47" ht="26.25" x14ac:dyDescent="0.4">
      <c r="A2020" s="23" t="s">
        <v>24880</v>
      </c>
      <c r="B2020" t="s">
        <v>26</v>
      </c>
      <c r="C2020" t="s">
        <v>26</v>
      </c>
      <c r="D2020" t="s">
        <v>26</v>
      </c>
      <c r="E2020" t="s">
        <v>26</v>
      </c>
      <c r="F2020" t="s">
        <v>26</v>
      </c>
      <c r="G2020" t="s">
        <v>26</v>
      </c>
      <c r="H2020" t="s">
        <v>26</v>
      </c>
      <c r="I2020" s="25" t="s">
        <v>24881</v>
      </c>
      <c r="J2020" s="25" t="s">
        <v>24881</v>
      </c>
      <c r="K2020" t="s">
        <v>26</v>
      </c>
      <c r="L2020" s="25" t="s">
        <v>28</v>
      </c>
      <c r="M2020" s="25" t="s">
        <v>24881</v>
      </c>
      <c r="N2020" s="25" t="s">
        <v>24881</v>
      </c>
      <c r="O2020" t="s">
        <v>26</v>
      </c>
      <c r="P2020" t="s">
        <v>26</v>
      </c>
      <c r="Q2020" t="s">
        <v>26</v>
      </c>
      <c r="R2020" t="s">
        <v>26</v>
      </c>
      <c r="S2020" t="s">
        <v>26</v>
      </c>
      <c r="T2020" t="s">
        <v>26</v>
      </c>
      <c r="U2020" t="s">
        <v>26</v>
      </c>
      <c r="V2020" t="s">
        <v>26</v>
      </c>
      <c r="W2020" s="25" t="s">
        <v>24881</v>
      </c>
      <c r="X2020" s="25" t="s">
        <v>24881</v>
      </c>
      <c r="Y2020" t="s">
        <v>26</v>
      </c>
      <c r="Z2020" s="25" t="s">
        <v>24881</v>
      </c>
      <c r="AA2020" s="25" t="s">
        <v>24881</v>
      </c>
      <c r="AB2020" t="s">
        <v>26</v>
      </c>
      <c r="AC2020" s="25" t="s">
        <v>24881</v>
      </c>
      <c r="AD2020" s="25" t="s">
        <v>24881</v>
      </c>
      <c r="AE2020" t="s">
        <v>26</v>
      </c>
      <c r="AF2020" t="s">
        <v>26</v>
      </c>
      <c r="AG2020" t="s">
        <v>26</v>
      </c>
      <c r="AH2020" t="s">
        <v>26</v>
      </c>
      <c r="AI2020" t="s">
        <v>26</v>
      </c>
      <c r="AJ2020" t="s">
        <v>26</v>
      </c>
      <c r="AK2020" t="s">
        <v>26</v>
      </c>
      <c r="AL2020" t="s">
        <v>26</v>
      </c>
      <c r="AM2020" t="s">
        <v>26</v>
      </c>
      <c r="AN2020" t="s">
        <v>26</v>
      </c>
      <c r="AO2020" s="25" t="s">
        <v>28</v>
      </c>
      <c r="AP2020" s="23" t="s">
        <v>45</v>
      </c>
      <c r="AQ2020" s="23" t="s">
        <v>30</v>
      </c>
      <c r="AR2020" s="23" t="s">
        <v>46</v>
      </c>
      <c r="AS2020" s="25">
        <v>5983376</v>
      </c>
      <c r="AT2020" t="s">
        <v>26</v>
      </c>
      <c r="AU2020" t="s">
        <v>24882</v>
      </c>
    </row>
    <row r="2021" spans="1:47" ht="26.25" x14ac:dyDescent="0.4">
      <c r="A2021" s="23" t="s">
        <v>5344</v>
      </c>
      <c r="B2021" t="s">
        <v>26</v>
      </c>
      <c r="C2021" s="23" t="s">
        <v>80</v>
      </c>
      <c r="D2021" s="23" t="s">
        <v>22184</v>
      </c>
      <c r="E2021" s="23" t="s">
        <v>60</v>
      </c>
      <c r="F2021" s="25" t="s">
        <v>5345</v>
      </c>
      <c r="G2021" s="25" t="s">
        <v>5346</v>
      </c>
      <c r="H2021" t="s">
        <v>26</v>
      </c>
      <c r="I2021" s="24">
        <v>36342</v>
      </c>
      <c r="J2021" s="24">
        <v>36831</v>
      </c>
      <c r="K2021" t="s">
        <v>26</v>
      </c>
      <c r="L2021" s="25" t="s">
        <v>68</v>
      </c>
      <c r="M2021" s="24">
        <v>36342</v>
      </c>
      <c r="N2021" s="24">
        <v>36831</v>
      </c>
      <c r="O2021" t="s">
        <v>26</v>
      </c>
      <c r="P2021" s="24">
        <v>36342</v>
      </c>
      <c r="Q2021" s="24">
        <v>36831</v>
      </c>
      <c r="R2021" t="s">
        <v>26</v>
      </c>
      <c r="S2021" t="s">
        <v>26</v>
      </c>
      <c r="T2021" t="s">
        <v>26</v>
      </c>
      <c r="U2021" t="s">
        <v>26</v>
      </c>
      <c r="V2021" t="s">
        <v>26</v>
      </c>
      <c r="W2021" s="24">
        <v>36342</v>
      </c>
      <c r="X2021" s="24">
        <v>36831</v>
      </c>
      <c r="Y2021" t="s">
        <v>26</v>
      </c>
      <c r="Z2021" s="24">
        <v>36342</v>
      </c>
      <c r="AA2021" s="24">
        <v>36831</v>
      </c>
      <c r="AB2021" t="s">
        <v>26</v>
      </c>
      <c r="AC2021" t="s">
        <v>26</v>
      </c>
      <c r="AD2021" t="s">
        <v>26</v>
      </c>
      <c r="AE2021" t="s">
        <v>26</v>
      </c>
      <c r="AF2021" t="s">
        <v>26</v>
      </c>
      <c r="AG2021" t="s">
        <v>26</v>
      </c>
      <c r="AH2021" t="s">
        <v>26</v>
      </c>
      <c r="AI2021" t="s">
        <v>26</v>
      </c>
      <c r="AJ2021" t="s">
        <v>26</v>
      </c>
      <c r="AK2021" t="s">
        <v>26</v>
      </c>
      <c r="AL2021" t="s">
        <v>26</v>
      </c>
      <c r="AM2021" t="s">
        <v>26</v>
      </c>
      <c r="AN2021" t="s">
        <v>26</v>
      </c>
      <c r="AO2021" s="25" t="s">
        <v>68</v>
      </c>
      <c r="AP2021" s="23" t="s">
        <v>69</v>
      </c>
      <c r="AQ2021" s="23" t="s">
        <v>30</v>
      </c>
      <c r="AR2021" s="23" t="s">
        <v>232</v>
      </c>
      <c r="AS2021" s="25">
        <v>11348</v>
      </c>
      <c r="AT2021" t="s">
        <v>26</v>
      </c>
      <c r="AU2021" t="s">
        <v>24883</v>
      </c>
    </row>
    <row r="2022" spans="1:47" ht="13.15" x14ac:dyDescent="0.4">
      <c r="A2022" s="23" t="s">
        <v>5347</v>
      </c>
      <c r="B2022" t="s">
        <v>26</v>
      </c>
      <c r="C2022" s="23" t="s">
        <v>48</v>
      </c>
      <c r="D2022" s="23" t="s">
        <v>22168</v>
      </c>
      <c r="E2022" s="23" t="s">
        <v>42</v>
      </c>
      <c r="F2022" t="s">
        <v>26</v>
      </c>
      <c r="G2022" t="s">
        <v>26</v>
      </c>
      <c r="H2022" t="s">
        <v>26</v>
      </c>
      <c r="I2022" t="s">
        <v>26</v>
      </c>
      <c r="J2022" t="s">
        <v>26</v>
      </c>
      <c r="K2022" t="s">
        <v>26</v>
      </c>
      <c r="L2022" s="25" t="s">
        <v>28</v>
      </c>
      <c r="M2022" t="s">
        <v>26</v>
      </c>
      <c r="N2022" t="s">
        <v>26</v>
      </c>
      <c r="O2022" t="s">
        <v>26</v>
      </c>
      <c r="P2022" t="s">
        <v>26</v>
      </c>
      <c r="Q2022" t="s">
        <v>26</v>
      </c>
      <c r="R2022" t="s">
        <v>26</v>
      </c>
      <c r="S2022" t="s">
        <v>26</v>
      </c>
      <c r="T2022" t="s">
        <v>26</v>
      </c>
      <c r="U2022" t="s">
        <v>26</v>
      </c>
      <c r="V2022" t="s">
        <v>26</v>
      </c>
      <c r="W2022" s="24">
        <v>40909</v>
      </c>
      <c r="X2022" s="24">
        <v>40909</v>
      </c>
      <c r="Y2022" t="s">
        <v>26</v>
      </c>
      <c r="Z2022" s="24">
        <v>40909</v>
      </c>
      <c r="AA2022" s="24">
        <v>40909</v>
      </c>
      <c r="AB2022" t="s">
        <v>26</v>
      </c>
      <c r="AC2022" t="s">
        <v>26</v>
      </c>
      <c r="AD2022" t="s">
        <v>26</v>
      </c>
      <c r="AE2022" t="s">
        <v>26</v>
      </c>
      <c r="AF2022" t="s">
        <v>26</v>
      </c>
      <c r="AG2022" t="s">
        <v>26</v>
      </c>
      <c r="AH2022" t="s">
        <v>26</v>
      </c>
      <c r="AI2022" t="s">
        <v>26</v>
      </c>
      <c r="AJ2022" t="s">
        <v>26</v>
      </c>
      <c r="AK2022" t="s">
        <v>26</v>
      </c>
      <c r="AL2022" t="s">
        <v>26</v>
      </c>
      <c r="AM2022" t="s">
        <v>26</v>
      </c>
      <c r="AN2022" t="s">
        <v>26</v>
      </c>
      <c r="AO2022" s="25" t="s">
        <v>28</v>
      </c>
      <c r="AP2022" s="23" t="s">
        <v>29</v>
      </c>
      <c r="AQ2022" s="23" t="s">
        <v>30</v>
      </c>
      <c r="AR2022" s="23" t="s">
        <v>44</v>
      </c>
      <c r="AS2022" s="25">
        <v>5485063</v>
      </c>
      <c r="AT2022" s="23" t="s">
        <v>22181</v>
      </c>
      <c r="AU2022" t="s">
        <v>24884</v>
      </c>
    </row>
    <row r="2023" spans="1:47" ht="26.25" x14ac:dyDescent="0.4">
      <c r="A2023" s="23" t="s">
        <v>5348</v>
      </c>
      <c r="B2023" t="s">
        <v>26</v>
      </c>
      <c r="C2023" s="23" t="s">
        <v>73</v>
      </c>
      <c r="D2023" s="23" t="s">
        <v>22179</v>
      </c>
      <c r="E2023" s="23" t="s">
        <v>74</v>
      </c>
      <c r="F2023" s="25" t="s">
        <v>5349</v>
      </c>
      <c r="G2023" s="25" t="s">
        <v>5350</v>
      </c>
      <c r="H2023" t="s">
        <v>26</v>
      </c>
      <c r="I2023" s="24">
        <v>35490</v>
      </c>
      <c r="J2023" s="25" t="s">
        <v>77</v>
      </c>
      <c r="K2023" t="s">
        <v>26</v>
      </c>
      <c r="L2023" s="25" t="s">
        <v>68</v>
      </c>
      <c r="M2023" s="24">
        <v>38047</v>
      </c>
      <c r="N2023" s="24">
        <v>42826</v>
      </c>
      <c r="O2023" t="s">
        <v>26</v>
      </c>
      <c r="P2023" s="24">
        <v>35490</v>
      </c>
      <c r="Q2023" s="25" t="s">
        <v>77</v>
      </c>
      <c r="R2023" t="s">
        <v>26</v>
      </c>
      <c r="S2023" t="s">
        <v>26</v>
      </c>
      <c r="T2023" t="s">
        <v>26</v>
      </c>
      <c r="U2023" t="s">
        <v>26</v>
      </c>
      <c r="V2023" s="25">
        <v>365</v>
      </c>
      <c r="W2023" s="24">
        <v>35490</v>
      </c>
      <c r="X2023" s="25" t="s">
        <v>77</v>
      </c>
      <c r="Y2023" t="s">
        <v>26</v>
      </c>
      <c r="Z2023" s="24">
        <v>35490</v>
      </c>
      <c r="AA2023" s="25" t="s">
        <v>77</v>
      </c>
      <c r="AB2023" t="s">
        <v>26</v>
      </c>
      <c r="AC2023" s="24">
        <v>35490</v>
      </c>
      <c r="AD2023" s="25" t="s">
        <v>77</v>
      </c>
      <c r="AE2023" t="s">
        <v>26</v>
      </c>
      <c r="AF2023" t="s">
        <v>26</v>
      </c>
      <c r="AG2023" t="s">
        <v>26</v>
      </c>
      <c r="AH2023" t="s">
        <v>26</v>
      </c>
      <c r="AI2023" t="s">
        <v>26</v>
      </c>
      <c r="AJ2023" t="s">
        <v>26</v>
      </c>
      <c r="AK2023" t="s">
        <v>26</v>
      </c>
      <c r="AL2023" t="s">
        <v>26</v>
      </c>
      <c r="AM2023" t="s">
        <v>26</v>
      </c>
      <c r="AN2023" t="s">
        <v>26</v>
      </c>
      <c r="AO2023" s="25" t="s">
        <v>68</v>
      </c>
      <c r="AP2023" s="23" t="s">
        <v>69</v>
      </c>
      <c r="AQ2023" s="23" t="s">
        <v>30</v>
      </c>
      <c r="AR2023" s="23" t="s">
        <v>46</v>
      </c>
      <c r="AS2023" s="25">
        <v>54051</v>
      </c>
      <c r="AT2023" t="s">
        <v>26</v>
      </c>
      <c r="AU2023" t="s">
        <v>24885</v>
      </c>
    </row>
    <row r="2024" spans="1:47" ht="13.15" x14ac:dyDescent="0.4">
      <c r="A2024" s="23" t="s">
        <v>24886</v>
      </c>
      <c r="B2024" t="s">
        <v>26</v>
      </c>
      <c r="C2024" s="23" t="s">
        <v>24055</v>
      </c>
      <c r="D2024" s="23" t="s">
        <v>22772</v>
      </c>
      <c r="E2024" s="23" t="s">
        <v>335</v>
      </c>
      <c r="F2024" t="s">
        <v>26</v>
      </c>
      <c r="G2024" t="s">
        <v>26</v>
      </c>
      <c r="H2024" t="s">
        <v>26</v>
      </c>
      <c r="I2024" s="24">
        <v>42036</v>
      </c>
      <c r="J2024" s="24">
        <v>42036</v>
      </c>
      <c r="K2024" t="s">
        <v>26</v>
      </c>
      <c r="L2024" s="25" t="s">
        <v>28</v>
      </c>
      <c r="M2024" t="s">
        <v>26</v>
      </c>
      <c r="N2024" t="s">
        <v>26</v>
      </c>
      <c r="O2024" t="s">
        <v>26</v>
      </c>
      <c r="P2024" s="24">
        <v>42036</v>
      </c>
      <c r="Q2024" s="24">
        <v>42036</v>
      </c>
      <c r="R2024" t="s">
        <v>26</v>
      </c>
      <c r="S2024" t="s">
        <v>26</v>
      </c>
      <c r="T2024" t="s">
        <v>26</v>
      </c>
      <c r="U2024" t="s">
        <v>26</v>
      </c>
      <c r="V2024" t="s">
        <v>26</v>
      </c>
      <c r="W2024" s="24">
        <v>42036</v>
      </c>
      <c r="X2024" s="24">
        <v>42036</v>
      </c>
      <c r="Y2024" t="s">
        <v>26</v>
      </c>
      <c r="Z2024" s="24">
        <v>42036</v>
      </c>
      <c r="AA2024" s="24">
        <v>42036</v>
      </c>
      <c r="AB2024" t="s">
        <v>26</v>
      </c>
      <c r="AC2024" t="s">
        <v>26</v>
      </c>
      <c r="AD2024" t="s">
        <v>26</v>
      </c>
      <c r="AE2024" t="s">
        <v>26</v>
      </c>
      <c r="AF2024" t="s">
        <v>26</v>
      </c>
      <c r="AG2024" t="s">
        <v>26</v>
      </c>
      <c r="AH2024" t="s">
        <v>26</v>
      </c>
      <c r="AI2024" t="s">
        <v>26</v>
      </c>
      <c r="AJ2024" t="s">
        <v>26</v>
      </c>
      <c r="AK2024" t="s">
        <v>26</v>
      </c>
      <c r="AL2024" t="s">
        <v>26</v>
      </c>
      <c r="AM2024" t="s">
        <v>26</v>
      </c>
      <c r="AN2024" t="s">
        <v>26</v>
      </c>
      <c r="AO2024" s="25" t="s">
        <v>28</v>
      </c>
      <c r="AP2024" s="23" t="s">
        <v>279</v>
      </c>
      <c r="AQ2024" s="23" t="s">
        <v>30</v>
      </c>
      <c r="AR2024" s="23" t="s">
        <v>46</v>
      </c>
      <c r="AS2024" s="25">
        <v>6508385</v>
      </c>
      <c r="AT2024" t="s">
        <v>26</v>
      </c>
      <c r="AU2024" t="s">
        <v>24887</v>
      </c>
    </row>
    <row r="2025" spans="1:47" ht="13.15" x14ac:dyDescent="0.4">
      <c r="A2025" s="23" t="s">
        <v>24888</v>
      </c>
      <c r="B2025" t="s">
        <v>26</v>
      </c>
      <c r="C2025" s="23" t="s">
        <v>332</v>
      </c>
      <c r="D2025" s="23" t="s">
        <v>22256</v>
      </c>
      <c r="E2025" s="23" t="s">
        <v>42</v>
      </c>
      <c r="F2025" t="s">
        <v>26</v>
      </c>
      <c r="G2025" t="s">
        <v>26</v>
      </c>
      <c r="H2025" t="s">
        <v>26</v>
      </c>
      <c r="I2025" s="24">
        <v>40179</v>
      </c>
      <c r="J2025" s="24">
        <v>40179</v>
      </c>
      <c r="K2025" t="s">
        <v>26</v>
      </c>
      <c r="L2025" s="25" t="s">
        <v>28</v>
      </c>
      <c r="M2025" s="24">
        <v>40179</v>
      </c>
      <c r="N2025" s="24">
        <v>40179</v>
      </c>
      <c r="O2025" t="s">
        <v>26</v>
      </c>
      <c r="P2025" t="s">
        <v>26</v>
      </c>
      <c r="Q2025" t="s">
        <v>26</v>
      </c>
      <c r="R2025" t="s">
        <v>26</v>
      </c>
      <c r="S2025" t="s">
        <v>26</v>
      </c>
      <c r="T2025" t="s">
        <v>26</v>
      </c>
      <c r="U2025" t="s">
        <v>26</v>
      </c>
      <c r="V2025" t="s">
        <v>26</v>
      </c>
      <c r="W2025" s="24">
        <v>40179</v>
      </c>
      <c r="X2025" s="24">
        <v>40179</v>
      </c>
      <c r="Y2025" t="s">
        <v>26</v>
      </c>
      <c r="Z2025" s="24">
        <v>40179</v>
      </c>
      <c r="AA2025" s="24">
        <v>40179</v>
      </c>
      <c r="AB2025" t="s">
        <v>26</v>
      </c>
      <c r="AC2025" s="24">
        <v>40179</v>
      </c>
      <c r="AD2025" s="24">
        <v>40179</v>
      </c>
      <c r="AE2025" t="s">
        <v>26</v>
      </c>
      <c r="AF2025" t="s">
        <v>26</v>
      </c>
      <c r="AG2025" t="s">
        <v>26</v>
      </c>
      <c r="AH2025" t="s">
        <v>26</v>
      </c>
      <c r="AI2025" t="s">
        <v>26</v>
      </c>
      <c r="AJ2025" t="s">
        <v>26</v>
      </c>
      <c r="AK2025" t="s">
        <v>26</v>
      </c>
      <c r="AL2025" t="s">
        <v>26</v>
      </c>
      <c r="AM2025" t="s">
        <v>26</v>
      </c>
      <c r="AN2025" t="s">
        <v>26</v>
      </c>
      <c r="AO2025" s="25" t="s">
        <v>28</v>
      </c>
      <c r="AP2025" s="23" t="s">
        <v>279</v>
      </c>
      <c r="AQ2025" s="23" t="s">
        <v>30</v>
      </c>
      <c r="AR2025" s="23" t="s">
        <v>46</v>
      </c>
      <c r="AS2025" s="25">
        <v>6275758</v>
      </c>
      <c r="AT2025" t="s">
        <v>26</v>
      </c>
      <c r="AU2025" t="s">
        <v>24889</v>
      </c>
    </row>
    <row r="2026" spans="1:47" ht="52.5" x14ac:dyDescent="0.4">
      <c r="A2026" s="23" t="s">
        <v>5351</v>
      </c>
      <c r="B2026" t="s">
        <v>26</v>
      </c>
      <c r="C2026" s="23" t="s">
        <v>5352</v>
      </c>
      <c r="D2026" s="23" t="s">
        <v>24890</v>
      </c>
      <c r="E2026" s="23" t="s">
        <v>5353</v>
      </c>
      <c r="F2026" s="25" t="s">
        <v>5354</v>
      </c>
      <c r="G2026" s="25" t="s">
        <v>5355</v>
      </c>
      <c r="H2026" t="s">
        <v>26</v>
      </c>
      <c r="I2026" s="24">
        <v>40544</v>
      </c>
      <c r="J2026" s="25" t="s">
        <v>77</v>
      </c>
      <c r="K2026" t="s">
        <v>26</v>
      </c>
      <c r="L2026" s="25" t="s">
        <v>68</v>
      </c>
      <c r="M2026" s="24">
        <v>40544</v>
      </c>
      <c r="N2026" s="25" t="s">
        <v>77</v>
      </c>
      <c r="O2026" t="s">
        <v>26</v>
      </c>
      <c r="P2026" s="24">
        <v>40544</v>
      </c>
      <c r="Q2026" s="25" t="s">
        <v>77</v>
      </c>
      <c r="R2026" t="s">
        <v>26</v>
      </c>
      <c r="S2026" t="s">
        <v>26</v>
      </c>
      <c r="T2026" t="s">
        <v>26</v>
      </c>
      <c r="U2026" t="s">
        <v>26</v>
      </c>
      <c r="V2026" t="s">
        <v>26</v>
      </c>
      <c r="W2026" s="24">
        <v>40544</v>
      </c>
      <c r="X2026" s="25" t="s">
        <v>77</v>
      </c>
      <c r="Y2026" t="s">
        <v>26</v>
      </c>
      <c r="Z2026" s="24">
        <v>40544</v>
      </c>
      <c r="AA2026" s="25" t="s">
        <v>77</v>
      </c>
      <c r="AB2026" t="s">
        <v>26</v>
      </c>
      <c r="AC2026" s="24">
        <v>40544</v>
      </c>
      <c r="AD2026" s="25" t="s">
        <v>77</v>
      </c>
      <c r="AE2026" t="s">
        <v>26</v>
      </c>
      <c r="AF2026" t="s">
        <v>26</v>
      </c>
      <c r="AG2026" t="s">
        <v>26</v>
      </c>
      <c r="AH2026" t="s">
        <v>26</v>
      </c>
      <c r="AI2026" t="s">
        <v>26</v>
      </c>
      <c r="AJ2026" t="s">
        <v>26</v>
      </c>
      <c r="AK2026" t="s">
        <v>26</v>
      </c>
      <c r="AL2026" t="s">
        <v>26</v>
      </c>
      <c r="AM2026" t="s">
        <v>26</v>
      </c>
      <c r="AN2026" t="s">
        <v>26</v>
      </c>
      <c r="AO2026" s="25" t="s">
        <v>68</v>
      </c>
      <c r="AP2026" s="23" t="s">
        <v>69</v>
      </c>
      <c r="AQ2026" s="23" t="s">
        <v>158</v>
      </c>
      <c r="AR2026" s="23" t="s">
        <v>5356</v>
      </c>
      <c r="AS2026" s="25">
        <v>616555</v>
      </c>
      <c r="AT2026" t="s">
        <v>26</v>
      </c>
      <c r="AU2026" t="s">
        <v>24891</v>
      </c>
    </row>
    <row r="2027" spans="1:47" ht="26.25" x14ac:dyDescent="0.4">
      <c r="A2027" s="23" t="s">
        <v>5357</v>
      </c>
      <c r="B2027" t="s">
        <v>26</v>
      </c>
      <c r="C2027" s="23" t="s">
        <v>24892</v>
      </c>
      <c r="D2027" t="s">
        <v>26</v>
      </c>
      <c r="E2027" s="23" t="s">
        <v>335</v>
      </c>
      <c r="F2027" t="s">
        <v>26</v>
      </c>
      <c r="G2027" t="s">
        <v>26</v>
      </c>
      <c r="H2027" t="s">
        <v>26</v>
      </c>
      <c r="I2027" s="24">
        <v>42736</v>
      </c>
      <c r="J2027" s="24">
        <v>42736</v>
      </c>
      <c r="K2027" t="s">
        <v>26</v>
      </c>
      <c r="L2027" s="25" t="s">
        <v>28</v>
      </c>
      <c r="M2027" s="24">
        <v>42736</v>
      </c>
      <c r="N2027" s="24">
        <v>42736</v>
      </c>
      <c r="O2027" t="s">
        <v>26</v>
      </c>
      <c r="P2027" t="s">
        <v>26</v>
      </c>
      <c r="Q2027" t="s">
        <v>26</v>
      </c>
      <c r="R2027" t="s">
        <v>26</v>
      </c>
      <c r="S2027" s="24">
        <v>42736</v>
      </c>
      <c r="T2027" s="24">
        <v>42736</v>
      </c>
      <c r="U2027" t="s">
        <v>26</v>
      </c>
      <c r="V2027" t="s">
        <v>26</v>
      </c>
      <c r="W2027" s="24">
        <v>42736</v>
      </c>
      <c r="X2027" s="24">
        <v>42736</v>
      </c>
      <c r="Y2027" t="s">
        <v>26</v>
      </c>
      <c r="Z2027" s="24">
        <v>42736</v>
      </c>
      <c r="AA2027" s="24">
        <v>42736</v>
      </c>
      <c r="AB2027" t="s">
        <v>26</v>
      </c>
      <c r="AC2027" s="24">
        <v>42736</v>
      </c>
      <c r="AD2027" s="24">
        <v>42736</v>
      </c>
      <c r="AE2027" t="s">
        <v>26</v>
      </c>
      <c r="AF2027" s="24">
        <v>42736</v>
      </c>
      <c r="AG2027" s="24">
        <v>42736</v>
      </c>
      <c r="AH2027" t="s">
        <v>26</v>
      </c>
      <c r="AI2027" s="24">
        <v>42736</v>
      </c>
      <c r="AJ2027" s="24">
        <v>42736</v>
      </c>
      <c r="AK2027" t="s">
        <v>26</v>
      </c>
      <c r="AL2027" t="s">
        <v>26</v>
      </c>
      <c r="AM2027" t="s">
        <v>26</v>
      </c>
      <c r="AN2027" t="s">
        <v>26</v>
      </c>
      <c r="AO2027" s="25" t="s">
        <v>28</v>
      </c>
      <c r="AP2027" s="23" t="s">
        <v>43</v>
      </c>
      <c r="AQ2027" s="23" t="s">
        <v>30</v>
      </c>
      <c r="AR2027" s="23" t="s">
        <v>105</v>
      </c>
      <c r="AS2027" s="25">
        <v>6426279</v>
      </c>
      <c r="AT2027" t="s">
        <v>26</v>
      </c>
      <c r="AU2027" t="s">
        <v>24893</v>
      </c>
    </row>
    <row r="2028" spans="1:47" ht="26.25" x14ac:dyDescent="0.4">
      <c r="A2028" s="23" t="s">
        <v>5358</v>
      </c>
      <c r="B2028" t="s">
        <v>26</v>
      </c>
      <c r="C2028" t="s">
        <v>26</v>
      </c>
      <c r="D2028" t="s">
        <v>26</v>
      </c>
      <c r="E2028" t="s">
        <v>26</v>
      </c>
      <c r="F2028" t="s">
        <v>26</v>
      </c>
      <c r="G2028" t="s">
        <v>26</v>
      </c>
      <c r="H2028" t="s">
        <v>26</v>
      </c>
      <c r="I2028" s="25" t="s">
        <v>5359</v>
      </c>
      <c r="J2028" s="25" t="s">
        <v>5359</v>
      </c>
      <c r="K2028" t="s">
        <v>26</v>
      </c>
      <c r="L2028" s="25" t="s">
        <v>28</v>
      </c>
      <c r="M2028" s="25" t="s">
        <v>5359</v>
      </c>
      <c r="N2028" s="25" t="s">
        <v>5359</v>
      </c>
      <c r="O2028" t="s">
        <v>26</v>
      </c>
      <c r="P2028" t="s">
        <v>26</v>
      </c>
      <c r="Q2028" t="s">
        <v>26</v>
      </c>
      <c r="R2028" t="s">
        <v>26</v>
      </c>
      <c r="S2028" t="s">
        <v>26</v>
      </c>
      <c r="T2028" t="s">
        <v>26</v>
      </c>
      <c r="U2028" t="s">
        <v>26</v>
      </c>
      <c r="V2028" t="s">
        <v>26</v>
      </c>
      <c r="W2028" s="25" t="s">
        <v>5359</v>
      </c>
      <c r="X2028" s="25" t="s">
        <v>5359</v>
      </c>
      <c r="Y2028" t="s">
        <v>26</v>
      </c>
      <c r="Z2028" s="25" t="s">
        <v>5359</v>
      </c>
      <c r="AA2028" s="25" t="s">
        <v>5359</v>
      </c>
      <c r="AB2028" t="s">
        <v>26</v>
      </c>
      <c r="AC2028" s="25" t="s">
        <v>5359</v>
      </c>
      <c r="AD2028" s="25" t="s">
        <v>5359</v>
      </c>
      <c r="AE2028" t="s">
        <v>26</v>
      </c>
      <c r="AF2028" t="s">
        <v>26</v>
      </c>
      <c r="AG2028" t="s">
        <v>26</v>
      </c>
      <c r="AH2028" t="s">
        <v>26</v>
      </c>
      <c r="AI2028" t="s">
        <v>26</v>
      </c>
      <c r="AJ2028" t="s">
        <v>26</v>
      </c>
      <c r="AK2028" t="s">
        <v>26</v>
      </c>
      <c r="AL2028" t="s">
        <v>26</v>
      </c>
      <c r="AM2028" t="s">
        <v>26</v>
      </c>
      <c r="AN2028" t="s">
        <v>26</v>
      </c>
      <c r="AO2028" s="25" t="s">
        <v>28</v>
      </c>
      <c r="AP2028" s="23" t="s">
        <v>29</v>
      </c>
      <c r="AQ2028" s="23" t="s">
        <v>30</v>
      </c>
      <c r="AR2028" s="23" t="s">
        <v>46</v>
      </c>
      <c r="AS2028" s="25">
        <v>6059471</v>
      </c>
      <c r="AT2028" t="s">
        <v>26</v>
      </c>
      <c r="AU2028" t="s">
        <v>24894</v>
      </c>
    </row>
    <row r="2029" spans="1:47" ht="26.25" x14ac:dyDescent="0.4">
      <c r="A2029" s="23" t="s">
        <v>5360</v>
      </c>
      <c r="B2029" t="s">
        <v>26</v>
      </c>
      <c r="C2029" s="23" t="s">
        <v>22238</v>
      </c>
      <c r="D2029" t="s">
        <v>26</v>
      </c>
      <c r="E2029" s="23" t="s">
        <v>42</v>
      </c>
      <c r="F2029" t="s">
        <v>26</v>
      </c>
      <c r="G2029" t="s">
        <v>26</v>
      </c>
      <c r="H2029" t="s">
        <v>26</v>
      </c>
      <c r="I2029" s="24">
        <v>43101</v>
      </c>
      <c r="J2029" s="24">
        <v>43101</v>
      </c>
      <c r="K2029" t="s">
        <v>26</v>
      </c>
      <c r="L2029" s="25" t="s">
        <v>28</v>
      </c>
      <c r="M2029" s="24">
        <v>43101</v>
      </c>
      <c r="N2029" s="24">
        <v>43101</v>
      </c>
      <c r="O2029" t="s">
        <v>26</v>
      </c>
      <c r="P2029" t="s">
        <v>26</v>
      </c>
      <c r="Q2029" t="s">
        <v>26</v>
      </c>
      <c r="R2029" t="s">
        <v>26</v>
      </c>
      <c r="S2029" s="24">
        <v>43101</v>
      </c>
      <c r="T2029" s="24">
        <v>43101</v>
      </c>
      <c r="U2029" t="s">
        <v>26</v>
      </c>
      <c r="V2029" t="s">
        <v>26</v>
      </c>
      <c r="W2029" s="24">
        <v>43101</v>
      </c>
      <c r="X2029" s="24">
        <v>43101</v>
      </c>
      <c r="Y2029" t="s">
        <v>26</v>
      </c>
      <c r="Z2029" s="24">
        <v>43101</v>
      </c>
      <c r="AA2029" s="24">
        <v>43101</v>
      </c>
      <c r="AB2029" t="s">
        <v>26</v>
      </c>
      <c r="AC2029" s="24">
        <v>43101</v>
      </c>
      <c r="AD2029" s="24">
        <v>43101</v>
      </c>
      <c r="AE2029" t="s">
        <v>26</v>
      </c>
      <c r="AF2029" s="24">
        <v>43101</v>
      </c>
      <c r="AG2029" s="24">
        <v>43101</v>
      </c>
      <c r="AH2029" t="s">
        <v>26</v>
      </c>
      <c r="AI2029" s="24">
        <v>43101</v>
      </c>
      <c r="AJ2029" s="24">
        <v>43101</v>
      </c>
      <c r="AK2029" t="s">
        <v>26</v>
      </c>
      <c r="AL2029" t="s">
        <v>26</v>
      </c>
      <c r="AM2029" t="s">
        <v>26</v>
      </c>
      <c r="AN2029" t="s">
        <v>26</v>
      </c>
      <c r="AO2029" s="25" t="s">
        <v>28</v>
      </c>
      <c r="AP2029" s="23" t="s">
        <v>43</v>
      </c>
      <c r="AQ2029" s="23" t="s">
        <v>30</v>
      </c>
      <c r="AR2029" s="23" t="s">
        <v>44</v>
      </c>
      <c r="AS2029" s="25">
        <v>5263204</v>
      </c>
      <c r="AT2029" t="s">
        <v>26</v>
      </c>
      <c r="AU2029" t="s">
        <v>24895</v>
      </c>
    </row>
    <row r="2030" spans="1:47" ht="26.25" x14ac:dyDescent="0.4">
      <c r="A2030" s="23" t="s">
        <v>5361</v>
      </c>
      <c r="B2030" t="s">
        <v>26</v>
      </c>
      <c r="C2030" t="s">
        <v>26</v>
      </c>
      <c r="D2030" t="s">
        <v>26</v>
      </c>
      <c r="E2030" t="s">
        <v>26</v>
      </c>
      <c r="F2030" t="s">
        <v>26</v>
      </c>
      <c r="G2030" t="s">
        <v>26</v>
      </c>
      <c r="H2030" t="s">
        <v>26</v>
      </c>
      <c r="I2030" s="25" t="s">
        <v>5362</v>
      </c>
      <c r="J2030" s="25" t="s">
        <v>5362</v>
      </c>
      <c r="K2030" t="s">
        <v>26</v>
      </c>
      <c r="L2030" s="25" t="s">
        <v>28</v>
      </c>
      <c r="M2030" s="25" t="s">
        <v>5362</v>
      </c>
      <c r="N2030" s="25" t="s">
        <v>5362</v>
      </c>
      <c r="O2030" t="s">
        <v>26</v>
      </c>
      <c r="P2030" t="s">
        <v>26</v>
      </c>
      <c r="Q2030" t="s">
        <v>26</v>
      </c>
      <c r="R2030" t="s">
        <v>26</v>
      </c>
      <c r="S2030" t="s">
        <v>26</v>
      </c>
      <c r="T2030" t="s">
        <v>26</v>
      </c>
      <c r="U2030" t="s">
        <v>26</v>
      </c>
      <c r="V2030" t="s">
        <v>26</v>
      </c>
      <c r="W2030" s="25" t="s">
        <v>5362</v>
      </c>
      <c r="X2030" s="25" t="s">
        <v>5362</v>
      </c>
      <c r="Y2030" t="s">
        <v>26</v>
      </c>
      <c r="Z2030" s="25" t="s">
        <v>5362</v>
      </c>
      <c r="AA2030" s="25" t="s">
        <v>5362</v>
      </c>
      <c r="AB2030" t="s">
        <v>26</v>
      </c>
      <c r="AC2030" s="25" t="s">
        <v>5362</v>
      </c>
      <c r="AD2030" s="25" t="s">
        <v>5362</v>
      </c>
      <c r="AE2030" t="s">
        <v>26</v>
      </c>
      <c r="AF2030" t="s">
        <v>26</v>
      </c>
      <c r="AG2030" t="s">
        <v>26</v>
      </c>
      <c r="AH2030" t="s">
        <v>26</v>
      </c>
      <c r="AI2030" t="s">
        <v>26</v>
      </c>
      <c r="AJ2030" t="s">
        <v>26</v>
      </c>
      <c r="AK2030" t="s">
        <v>26</v>
      </c>
      <c r="AL2030" t="s">
        <v>26</v>
      </c>
      <c r="AM2030" t="s">
        <v>26</v>
      </c>
      <c r="AN2030" t="s">
        <v>26</v>
      </c>
      <c r="AO2030" s="25" t="s">
        <v>28</v>
      </c>
      <c r="AP2030" s="23" t="s">
        <v>29</v>
      </c>
      <c r="AQ2030" s="23" t="s">
        <v>30</v>
      </c>
      <c r="AR2030" s="23" t="s">
        <v>46</v>
      </c>
      <c r="AS2030" s="25">
        <v>6059470</v>
      </c>
      <c r="AT2030" t="s">
        <v>26</v>
      </c>
      <c r="AU2030" t="s">
        <v>24896</v>
      </c>
    </row>
    <row r="2031" spans="1:47" ht="26.25" x14ac:dyDescent="0.4">
      <c r="A2031" s="23" t="s">
        <v>5363</v>
      </c>
      <c r="B2031" t="s">
        <v>26</v>
      </c>
      <c r="C2031" s="23" t="s">
        <v>22238</v>
      </c>
      <c r="D2031" t="s">
        <v>26</v>
      </c>
      <c r="E2031" s="23" t="s">
        <v>42</v>
      </c>
      <c r="F2031" t="s">
        <v>26</v>
      </c>
      <c r="G2031" t="s">
        <v>26</v>
      </c>
      <c r="H2031" t="s">
        <v>26</v>
      </c>
      <c r="I2031" s="24">
        <v>43101</v>
      </c>
      <c r="J2031" s="24">
        <v>43101</v>
      </c>
      <c r="K2031" t="s">
        <v>26</v>
      </c>
      <c r="L2031" s="25" t="s">
        <v>28</v>
      </c>
      <c r="M2031" s="24">
        <v>43101</v>
      </c>
      <c r="N2031" s="24">
        <v>43101</v>
      </c>
      <c r="O2031" t="s">
        <v>26</v>
      </c>
      <c r="P2031" t="s">
        <v>26</v>
      </c>
      <c r="Q2031" t="s">
        <v>26</v>
      </c>
      <c r="R2031" t="s">
        <v>26</v>
      </c>
      <c r="S2031" s="24">
        <v>43101</v>
      </c>
      <c r="T2031" s="24">
        <v>43101</v>
      </c>
      <c r="U2031" t="s">
        <v>26</v>
      </c>
      <c r="V2031" t="s">
        <v>26</v>
      </c>
      <c r="W2031" s="24">
        <v>43101</v>
      </c>
      <c r="X2031" s="24">
        <v>43101</v>
      </c>
      <c r="Y2031" t="s">
        <v>26</v>
      </c>
      <c r="Z2031" s="24">
        <v>43101</v>
      </c>
      <c r="AA2031" s="24">
        <v>43101</v>
      </c>
      <c r="AB2031" t="s">
        <v>26</v>
      </c>
      <c r="AC2031" s="24">
        <v>43101</v>
      </c>
      <c r="AD2031" s="24">
        <v>43101</v>
      </c>
      <c r="AE2031" t="s">
        <v>26</v>
      </c>
      <c r="AF2031" s="24">
        <v>43101</v>
      </c>
      <c r="AG2031" s="24">
        <v>43101</v>
      </c>
      <c r="AH2031" t="s">
        <v>26</v>
      </c>
      <c r="AI2031" s="24">
        <v>43101</v>
      </c>
      <c r="AJ2031" s="24">
        <v>43101</v>
      </c>
      <c r="AK2031" t="s">
        <v>26</v>
      </c>
      <c r="AL2031" t="s">
        <v>26</v>
      </c>
      <c r="AM2031" t="s">
        <v>26</v>
      </c>
      <c r="AN2031" t="s">
        <v>26</v>
      </c>
      <c r="AO2031" s="25" t="s">
        <v>28</v>
      </c>
      <c r="AP2031" s="23" t="s">
        <v>43</v>
      </c>
      <c r="AQ2031" s="23" t="s">
        <v>30</v>
      </c>
      <c r="AR2031" s="23" t="s">
        <v>44</v>
      </c>
      <c r="AS2031" s="25">
        <v>5263203</v>
      </c>
      <c r="AT2031" t="s">
        <v>26</v>
      </c>
      <c r="AU2031" t="s">
        <v>24897</v>
      </c>
    </row>
    <row r="2032" spans="1:47" ht="26.25" x14ac:dyDescent="0.4">
      <c r="A2032" s="23" t="s">
        <v>5364</v>
      </c>
      <c r="B2032" t="s">
        <v>26</v>
      </c>
      <c r="C2032" s="23" t="s">
        <v>302</v>
      </c>
      <c r="D2032" s="23" t="s">
        <v>22286</v>
      </c>
      <c r="E2032" s="23" t="s">
        <v>42</v>
      </c>
      <c r="F2032" t="s">
        <v>26</v>
      </c>
      <c r="G2032" t="s">
        <v>26</v>
      </c>
      <c r="H2032" t="s">
        <v>26</v>
      </c>
      <c r="I2032" s="24">
        <v>42370</v>
      </c>
      <c r="J2032" s="24">
        <v>42370</v>
      </c>
      <c r="K2032" t="s">
        <v>26</v>
      </c>
      <c r="L2032" s="25" t="s">
        <v>28</v>
      </c>
      <c r="M2032" t="s">
        <v>26</v>
      </c>
      <c r="N2032" t="s">
        <v>26</v>
      </c>
      <c r="O2032" t="s">
        <v>26</v>
      </c>
      <c r="P2032" s="24">
        <v>42370</v>
      </c>
      <c r="Q2032" s="24">
        <v>42370</v>
      </c>
      <c r="R2032" t="s">
        <v>26</v>
      </c>
      <c r="S2032" t="s">
        <v>26</v>
      </c>
      <c r="T2032" t="s">
        <v>26</v>
      </c>
      <c r="U2032" t="s">
        <v>26</v>
      </c>
      <c r="V2032" t="s">
        <v>26</v>
      </c>
      <c r="W2032" s="24">
        <v>42370</v>
      </c>
      <c r="X2032" s="24">
        <v>42370</v>
      </c>
      <c r="Y2032" t="s">
        <v>26</v>
      </c>
      <c r="Z2032" s="24">
        <v>42370</v>
      </c>
      <c r="AA2032" s="24">
        <v>42370</v>
      </c>
      <c r="AB2032" t="s">
        <v>26</v>
      </c>
      <c r="AC2032" s="24">
        <v>42370</v>
      </c>
      <c r="AD2032" s="24">
        <v>42370</v>
      </c>
      <c r="AE2032" t="s">
        <v>26</v>
      </c>
      <c r="AF2032" t="s">
        <v>26</v>
      </c>
      <c r="AG2032" t="s">
        <v>26</v>
      </c>
      <c r="AH2032" t="s">
        <v>26</v>
      </c>
      <c r="AI2032" t="s">
        <v>26</v>
      </c>
      <c r="AJ2032" t="s">
        <v>26</v>
      </c>
      <c r="AK2032" t="s">
        <v>26</v>
      </c>
      <c r="AL2032" t="s">
        <v>26</v>
      </c>
      <c r="AM2032" t="s">
        <v>26</v>
      </c>
      <c r="AN2032" t="s">
        <v>26</v>
      </c>
      <c r="AO2032" s="25" t="s">
        <v>28</v>
      </c>
      <c r="AP2032" s="23" t="s">
        <v>29</v>
      </c>
      <c r="AQ2032" s="23" t="s">
        <v>30</v>
      </c>
      <c r="AR2032" s="23" t="s">
        <v>46</v>
      </c>
      <c r="AS2032" s="25">
        <v>6059469</v>
      </c>
      <c r="AT2032" t="s">
        <v>26</v>
      </c>
      <c r="AU2032" t="s">
        <v>24898</v>
      </c>
    </row>
    <row r="2033" spans="1:47" ht="26.25" x14ac:dyDescent="0.4">
      <c r="A2033" s="23" t="s">
        <v>5365</v>
      </c>
      <c r="B2033" t="s">
        <v>26</v>
      </c>
      <c r="C2033" s="23" t="s">
        <v>146</v>
      </c>
      <c r="D2033" s="23" t="s">
        <v>22174</v>
      </c>
      <c r="E2033" s="23" t="s">
        <v>60</v>
      </c>
      <c r="F2033" t="s">
        <v>26</v>
      </c>
      <c r="G2033" t="s">
        <v>26</v>
      </c>
      <c r="H2033" t="s">
        <v>26</v>
      </c>
      <c r="I2033" t="s">
        <v>26</v>
      </c>
      <c r="J2033" t="s">
        <v>26</v>
      </c>
      <c r="K2033" t="s">
        <v>26</v>
      </c>
      <c r="L2033" s="25" t="s">
        <v>28</v>
      </c>
      <c r="M2033" t="s">
        <v>26</v>
      </c>
      <c r="N2033" t="s">
        <v>26</v>
      </c>
      <c r="O2033" t="s">
        <v>26</v>
      </c>
      <c r="P2033" t="s">
        <v>26</v>
      </c>
      <c r="Q2033" t="s">
        <v>26</v>
      </c>
      <c r="R2033" t="s">
        <v>26</v>
      </c>
      <c r="S2033" t="s">
        <v>26</v>
      </c>
      <c r="T2033" t="s">
        <v>26</v>
      </c>
      <c r="U2033" t="s">
        <v>26</v>
      </c>
      <c r="V2033" t="s">
        <v>26</v>
      </c>
      <c r="W2033" s="24">
        <v>42005</v>
      </c>
      <c r="X2033" s="24">
        <v>42005</v>
      </c>
      <c r="Y2033" t="s">
        <v>26</v>
      </c>
      <c r="Z2033" s="24">
        <v>42005</v>
      </c>
      <c r="AA2033" s="24">
        <v>42005</v>
      </c>
      <c r="AB2033" t="s">
        <v>26</v>
      </c>
      <c r="AC2033" t="s">
        <v>26</v>
      </c>
      <c r="AD2033" t="s">
        <v>26</v>
      </c>
      <c r="AE2033" t="s">
        <v>26</v>
      </c>
      <c r="AF2033" t="s">
        <v>26</v>
      </c>
      <c r="AG2033" t="s">
        <v>26</v>
      </c>
      <c r="AH2033" t="s">
        <v>26</v>
      </c>
      <c r="AI2033" t="s">
        <v>26</v>
      </c>
      <c r="AJ2033" t="s">
        <v>26</v>
      </c>
      <c r="AK2033" t="s">
        <v>26</v>
      </c>
      <c r="AL2033" t="s">
        <v>26</v>
      </c>
      <c r="AM2033" t="s">
        <v>26</v>
      </c>
      <c r="AN2033" t="s">
        <v>26</v>
      </c>
      <c r="AO2033" s="25" t="s">
        <v>28</v>
      </c>
      <c r="AP2033" s="23" t="s">
        <v>29</v>
      </c>
      <c r="AQ2033" s="23" t="s">
        <v>30</v>
      </c>
      <c r="AR2033" s="23" t="s">
        <v>147</v>
      </c>
      <c r="AS2033" s="25">
        <v>5485096</v>
      </c>
      <c r="AT2033" s="23" t="s">
        <v>22181</v>
      </c>
      <c r="AU2033" t="s">
        <v>24899</v>
      </c>
    </row>
    <row r="2034" spans="1:47" ht="26.25" x14ac:dyDescent="0.4">
      <c r="A2034" s="23" t="s">
        <v>5366</v>
      </c>
      <c r="B2034" t="s">
        <v>26</v>
      </c>
      <c r="C2034" s="23" t="s">
        <v>51</v>
      </c>
      <c r="D2034" t="s">
        <v>26</v>
      </c>
      <c r="E2034" s="23" t="s">
        <v>42</v>
      </c>
      <c r="F2034" t="s">
        <v>26</v>
      </c>
      <c r="G2034" t="s">
        <v>26</v>
      </c>
      <c r="H2034" t="s">
        <v>26</v>
      </c>
      <c r="I2034" s="24">
        <v>36892</v>
      </c>
      <c r="J2034" s="24">
        <v>37987</v>
      </c>
      <c r="K2034" t="s">
        <v>26</v>
      </c>
      <c r="L2034" s="25" t="s">
        <v>28</v>
      </c>
      <c r="M2034" s="24">
        <v>36892</v>
      </c>
      <c r="N2034" s="24">
        <v>37987</v>
      </c>
      <c r="O2034" t="s">
        <v>26</v>
      </c>
      <c r="P2034" t="s">
        <v>26</v>
      </c>
      <c r="Q2034" t="s">
        <v>26</v>
      </c>
      <c r="R2034" t="s">
        <v>26</v>
      </c>
      <c r="S2034" s="24">
        <v>36892</v>
      </c>
      <c r="T2034" s="24">
        <v>37987</v>
      </c>
      <c r="U2034" t="s">
        <v>26</v>
      </c>
      <c r="V2034" t="s">
        <v>26</v>
      </c>
      <c r="W2034" s="24">
        <v>36892</v>
      </c>
      <c r="X2034" s="24">
        <v>37987</v>
      </c>
      <c r="Y2034" t="s">
        <v>26</v>
      </c>
      <c r="Z2034" s="24">
        <v>36892</v>
      </c>
      <c r="AA2034" s="24">
        <v>37987</v>
      </c>
      <c r="AB2034" t="s">
        <v>26</v>
      </c>
      <c r="AC2034" s="24">
        <v>36892</v>
      </c>
      <c r="AD2034" s="24">
        <v>37987</v>
      </c>
      <c r="AE2034" t="s">
        <v>26</v>
      </c>
      <c r="AF2034" s="24">
        <v>36892</v>
      </c>
      <c r="AG2034" s="24">
        <v>37987</v>
      </c>
      <c r="AH2034" t="s">
        <v>26</v>
      </c>
      <c r="AI2034" s="24">
        <v>36892</v>
      </c>
      <c r="AJ2034" s="24">
        <v>37987</v>
      </c>
      <c r="AK2034" t="s">
        <v>26</v>
      </c>
      <c r="AL2034" t="s">
        <v>26</v>
      </c>
      <c r="AM2034" t="s">
        <v>26</v>
      </c>
      <c r="AN2034" t="s">
        <v>26</v>
      </c>
      <c r="AO2034" s="25" t="s">
        <v>28</v>
      </c>
      <c r="AP2034" s="23" t="s">
        <v>43</v>
      </c>
      <c r="AQ2034" s="23" t="s">
        <v>30</v>
      </c>
      <c r="AR2034" s="23" t="s">
        <v>44</v>
      </c>
      <c r="AS2034" s="25">
        <v>5256668</v>
      </c>
      <c r="AT2034" t="s">
        <v>26</v>
      </c>
      <c r="AU2034" t="s">
        <v>24900</v>
      </c>
    </row>
    <row r="2035" spans="1:47" ht="26.25" x14ac:dyDescent="0.4">
      <c r="A2035" s="23" t="s">
        <v>5367</v>
      </c>
      <c r="B2035" t="s">
        <v>26</v>
      </c>
      <c r="C2035" s="23" t="s">
        <v>80</v>
      </c>
      <c r="D2035" s="23" t="s">
        <v>22436</v>
      </c>
      <c r="E2035" s="23" t="s">
        <v>60</v>
      </c>
      <c r="F2035" s="25" t="s">
        <v>5368</v>
      </c>
      <c r="G2035" s="25" t="s">
        <v>5369</v>
      </c>
      <c r="H2035" t="s">
        <v>26</v>
      </c>
      <c r="I2035" t="s">
        <v>26</v>
      </c>
      <c r="J2035" t="s">
        <v>26</v>
      </c>
      <c r="K2035" t="s">
        <v>26</v>
      </c>
      <c r="L2035" s="25" t="s">
        <v>68</v>
      </c>
      <c r="M2035" t="s">
        <v>26</v>
      </c>
      <c r="N2035" t="s">
        <v>26</v>
      </c>
      <c r="O2035" t="s">
        <v>26</v>
      </c>
      <c r="P2035" t="s">
        <v>26</v>
      </c>
      <c r="Q2035" t="s">
        <v>26</v>
      </c>
      <c r="R2035" t="s">
        <v>26</v>
      </c>
      <c r="S2035" t="s">
        <v>26</v>
      </c>
      <c r="T2035" t="s">
        <v>26</v>
      </c>
      <c r="U2035" t="s">
        <v>26</v>
      </c>
      <c r="V2035" t="s">
        <v>26</v>
      </c>
      <c r="W2035" s="24">
        <v>37895</v>
      </c>
      <c r="X2035" s="25" t="s">
        <v>77</v>
      </c>
      <c r="Y2035" t="s">
        <v>26</v>
      </c>
      <c r="Z2035" s="24">
        <v>37895</v>
      </c>
      <c r="AA2035" s="25" t="s">
        <v>77</v>
      </c>
      <c r="AB2035" t="s">
        <v>26</v>
      </c>
      <c r="AC2035" s="24">
        <v>37895</v>
      </c>
      <c r="AD2035" s="25" t="s">
        <v>77</v>
      </c>
      <c r="AE2035" t="s">
        <v>26</v>
      </c>
      <c r="AF2035" t="s">
        <v>26</v>
      </c>
      <c r="AG2035" t="s">
        <v>26</v>
      </c>
      <c r="AH2035" t="s">
        <v>26</v>
      </c>
      <c r="AI2035" t="s">
        <v>26</v>
      </c>
      <c r="AJ2035" t="s">
        <v>26</v>
      </c>
      <c r="AK2035" t="s">
        <v>26</v>
      </c>
      <c r="AL2035" t="s">
        <v>26</v>
      </c>
      <c r="AM2035" t="s">
        <v>26</v>
      </c>
      <c r="AN2035" t="s">
        <v>26</v>
      </c>
      <c r="AO2035" s="25" t="s">
        <v>68</v>
      </c>
      <c r="AP2035" s="23" t="s">
        <v>69</v>
      </c>
      <c r="AQ2035" s="23" t="s">
        <v>30</v>
      </c>
      <c r="AR2035" s="23" t="s">
        <v>46</v>
      </c>
      <c r="AS2035" s="25">
        <v>47318</v>
      </c>
      <c r="AT2035" t="s">
        <v>26</v>
      </c>
      <c r="AU2035" t="s">
        <v>24901</v>
      </c>
    </row>
    <row r="2036" spans="1:47" ht="26.25" x14ac:dyDescent="0.4">
      <c r="A2036" s="23" t="s">
        <v>5370</v>
      </c>
      <c r="B2036" t="s">
        <v>26</v>
      </c>
      <c r="C2036" s="23" t="s">
        <v>4911</v>
      </c>
      <c r="D2036" s="23" t="s">
        <v>22630</v>
      </c>
      <c r="E2036" s="23" t="s">
        <v>42</v>
      </c>
      <c r="F2036" s="25" t="s">
        <v>5371</v>
      </c>
      <c r="G2036" s="25" t="s">
        <v>5372</v>
      </c>
      <c r="H2036" t="s">
        <v>26</v>
      </c>
      <c r="I2036" s="24">
        <v>37347</v>
      </c>
      <c r="J2036" s="24">
        <v>41244</v>
      </c>
      <c r="K2036" t="s">
        <v>26</v>
      </c>
      <c r="L2036" s="25" t="s">
        <v>68</v>
      </c>
      <c r="M2036" s="24">
        <v>38078</v>
      </c>
      <c r="N2036" s="24">
        <v>41244</v>
      </c>
      <c r="O2036" t="s">
        <v>26</v>
      </c>
      <c r="P2036" s="24">
        <v>37347</v>
      </c>
      <c r="Q2036" s="24">
        <v>41244</v>
      </c>
      <c r="R2036" t="s">
        <v>26</v>
      </c>
      <c r="S2036" t="s">
        <v>26</v>
      </c>
      <c r="T2036" t="s">
        <v>26</v>
      </c>
      <c r="U2036" t="s">
        <v>26</v>
      </c>
      <c r="V2036" t="s">
        <v>26</v>
      </c>
      <c r="W2036" s="24">
        <v>30317</v>
      </c>
      <c r="X2036" s="25" t="s">
        <v>77</v>
      </c>
      <c r="Y2036" t="s">
        <v>26</v>
      </c>
      <c r="Z2036" s="24">
        <v>30317</v>
      </c>
      <c r="AA2036" s="25" t="s">
        <v>77</v>
      </c>
      <c r="AB2036" t="s">
        <v>26</v>
      </c>
      <c r="AC2036" s="24">
        <v>37347</v>
      </c>
      <c r="AD2036" s="25" t="s">
        <v>77</v>
      </c>
      <c r="AE2036" t="s">
        <v>26</v>
      </c>
      <c r="AF2036" t="s">
        <v>26</v>
      </c>
      <c r="AG2036" t="s">
        <v>26</v>
      </c>
      <c r="AH2036" t="s">
        <v>26</v>
      </c>
      <c r="AI2036" t="s">
        <v>26</v>
      </c>
      <c r="AJ2036" t="s">
        <v>26</v>
      </c>
      <c r="AK2036" t="s">
        <v>26</v>
      </c>
      <c r="AL2036" t="s">
        <v>26</v>
      </c>
      <c r="AM2036" t="s">
        <v>26</v>
      </c>
      <c r="AN2036" t="s">
        <v>26</v>
      </c>
      <c r="AO2036" s="25" t="s">
        <v>68</v>
      </c>
      <c r="AP2036" s="23" t="s">
        <v>69</v>
      </c>
      <c r="AQ2036" s="23" t="s">
        <v>30</v>
      </c>
      <c r="AR2036" s="23" t="s">
        <v>844</v>
      </c>
      <c r="AS2036" s="25">
        <v>38056</v>
      </c>
      <c r="AT2036" t="s">
        <v>26</v>
      </c>
      <c r="AU2036" t="s">
        <v>24902</v>
      </c>
    </row>
    <row r="2037" spans="1:47" ht="26.25" x14ac:dyDescent="0.4">
      <c r="A2037" s="23" t="s">
        <v>5373</v>
      </c>
      <c r="B2037" t="s">
        <v>26</v>
      </c>
      <c r="C2037" s="23" t="s">
        <v>399</v>
      </c>
      <c r="D2037" s="23" t="s">
        <v>22242</v>
      </c>
      <c r="E2037" s="23" t="s">
        <v>60</v>
      </c>
      <c r="F2037" s="25" t="s">
        <v>5374</v>
      </c>
      <c r="G2037" s="25" t="s">
        <v>5375</v>
      </c>
      <c r="H2037" t="s">
        <v>26</v>
      </c>
      <c r="I2037" s="24">
        <v>37987</v>
      </c>
      <c r="J2037" s="24">
        <v>42370</v>
      </c>
      <c r="K2037" t="s">
        <v>26</v>
      </c>
      <c r="L2037" s="25" t="s">
        <v>68</v>
      </c>
      <c r="M2037" s="24">
        <v>37987</v>
      </c>
      <c r="N2037" s="24">
        <v>42370</v>
      </c>
      <c r="O2037" t="s">
        <v>26</v>
      </c>
      <c r="P2037" s="24">
        <v>37987</v>
      </c>
      <c r="Q2037" s="24">
        <v>42370</v>
      </c>
      <c r="R2037" t="s">
        <v>26</v>
      </c>
      <c r="S2037" t="s">
        <v>26</v>
      </c>
      <c r="T2037" t="s">
        <v>26</v>
      </c>
      <c r="U2037" t="s">
        <v>26</v>
      </c>
      <c r="V2037" t="s">
        <v>26</v>
      </c>
      <c r="W2037" s="24">
        <v>34700</v>
      </c>
      <c r="X2037" s="24">
        <v>42370</v>
      </c>
      <c r="Y2037" t="s">
        <v>26</v>
      </c>
      <c r="Z2037" s="24">
        <v>34700</v>
      </c>
      <c r="AA2037" s="24">
        <v>42370</v>
      </c>
      <c r="AB2037" t="s">
        <v>26</v>
      </c>
      <c r="AC2037" s="24">
        <v>34700</v>
      </c>
      <c r="AD2037" s="24">
        <v>41821</v>
      </c>
      <c r="AE2037" s="25" t="s">
        <v>24903</v>
      </c>
      <c r="AF2037" t="s">
        <v>26</v>
      </c>
      <c r="AG2037" t="s">
        <v>26</v>
      </c>
      <c r="AH2037" t="s">
        <v>26</v>
      </c>
      <c r="AI2037" t="s">
        <v>26</v>
      </c>
      <c r="AJ2037" t="s">
        <v>26</v>
      </c>
      <c r="AK2037" t="s">
        <v>26</v>
      </c>
      <c r="AL2037" t="s">
        <v>26</v>
      </c>
      <c r="AM2037" t="s">
        <v>26</v>
      </c>
      <c r="AN2037" t="s">
        <v>26</v>
      </c>
      <c r="AO2037" s="25" t="s">
        <v>68</v>
      </c>
      <c r="AP2037" s="23" t="s">
        <v>69</v>
      </c>
      <c r="AQ2037" s="23" t="s">
        <v>30</v>
      </c>
      <c r="AR2037" s="23" t="s">
        <v>5376</v>
      </c>
      <c r="AS2037" s="25">
        <v>43570</v>
      </c>
      <c r="AT2037" t="s">
        <v>26</v>
      </c>
      <c r="AU2037" t="s">
        <v>24904</v>
      </c>
    </row>
    <row r="2038" spans="1:47" ht="26.25" x14ac:dyDescent="0.4">
      <c r="A2038" s="23" t="s">
        <v>5377</v>
      </c>
      <c r="B2038" t="s">
        <v>26</v>
      </c>
      <c r="C2038" t="s">
        <v>26</v>
      </c>
      <c r="D2038" s="23" t="s">
        <v>22166</v>
      </c>
      <c r="E2038" t="s">
        <v>26</v>
      </c>
      <c r="F2038" t="s">
        <v>26</v>
      </c>
      <c r="G2038" t="s">
        <v>26</v>
      </c>
      <c r="H2038" t="s">
        <v>26</v>
      </c>
      <c r="I2038" s="24">
        <v>16803</v>
      </c>
      <c r="J2038" s="24">
        <v>27395</v>
      </c>
      <c r="K2038" t="s">
        <v>26</v>
      </c>
      <c r="L2038" s="25" t="s">
        <v>28</v>
      </c>
      <c r="M2038" s="24">
        <v>16803</v>
      </c>
      <c r="N2038" s="24">
        <v>27395</v>
      </c>
      <c r="O2038" t="s">
        <v>26</v>
      </c>
      <c r="P2038" s="24">
        <v>16803</v>
      </c>
      <c r="Q2038" s="24">
        <v>27395</v>
      </c>
      <c r="R2038" t="s">
        <v>26</v>
      </c>
      <c r="S2038" t="s">
        <v>26</v>
      </c>
      <c r="T2038" t="s">
        <v>26</v>
      </c>
      <c r="U2038" t="s">
        <v>26</v>
      </c>
      <c r="V2038" t="s">
        <v>26</v>
      </c>
      <c r="W2038" s="24">
        <v>16803</v>
      </c>
      <c r="X2038" s="24">
        <v>27395</v>
      </c>
      <c r="Y2038" t="s">
        <v>26</v>
      </c>
      <c r="Z2038" s="24">
        <v>16803</v>
      </c>
      <c r="AA2038" s="24">
        <v>27395</v>
      </c>
      <c r="AB2038" t="s">
        <v>26</v>
      </c>
      <c r="AC2038" t="s">
        <v>26</v>
      </c>
      <c r="AD2038" t="s">
        <v>26</v>
      </c>
      <c r="AE2038" t="s">
        <v>26</v>
      </c>
      <c r="AF2038" t="s">
        <v>26</v>
      </c>
      <c r="AG2038" t="s">
        <v>26</v>
      </c>
      <c r="AH2038" t="s">
        <v>26</v>
      </c>
      <c r="AI2038" t="s">
        <v>26</v>
      </c>
      <c r="AJ2038" t="s">
        <v>26</v>
      </c>
      <c r="AK2038" t="s">
        <v>26</v>
      </c>
      <c r="AL2038" t="s">
        <v>26</v>
      </c>
      <c r="AM2038" t="s">
        <v>26</v>
      </c>
      <c r="AN2038" t="s">
        <v>26</v>
      </c>
      <c r="AO2038" s="25" t="s">
        <v>28</v>
      </c>
      <c r="AP2038" s="23" t="s">
        <v>45</v>
      </c>
      <c r="AQ2038" s="23" t="s">
        <v>30</v>
      </c>
      <c r="AR2038" s="23" t="s">
        <v>46</v>
      </c>
      <c r="AS2038" s="25">
        <v>6112824</v>
      </c>
      <c r="AT2038" t="s">
        <v>26</v>
      </c>
      <c r="AU2038" t="s">
        <v>24905</v>
      </c>
    </row>
    <row r="2039" spans="1:47" ht="26.25" x14ac:dyDescent="0.4">
      <c r="A2039" s="23" t="s">
        <v>5378</v>
      </c>
      <c r="B2039" t="s">
        <v>26</v>
      </c>
      <c r="C2039" t="s">
        <v>26</v>
      </c>
      <c r="D2039" s="23" t="s">
        <v>22231</v>
      </c>
      <c r="E2039" t="s">
        <v>26</v>
      </c>
      <c r="F2039" t="s">
        <v>26</v>
      </c>
      <c r="G2039" t="s">
        <v>26</v>
      </c>
      <c r="H2039" t="s">
        <v>26</v>
      </c>
      <c r="I2039" s="24">
        <v>37622</v>
      </c>
      <c r="J2039" s="24">
        <v>37622</v>
      </c>
      <c r="K2039" t="s">
        <v>26</v>
      </c>
      <c r="L2039" s="25" t="s">
        <v>28</v>
      </c>
      <c r="M2039" s="24">
        <v>37622</v>
      </c>
      <c r="N2039" s="24">
        <v>37622</v>
      </c>
      <c r="O2039" t="s">
        <v>26</v>
      </c>
      <c r="P2039" t="s">
        <v>26</v>
      </c>
      <c r="Q2039" t="s">
        <v>26</v>
      </c>
      <c r="R2039" t="s">
        <v>26</v>
      </c>
      <c r="S2039" t="s">
        <v>26</v>
      </c>
      <c r="T2039" t="s">
        <v>26</v>
      </c>
      <c r="U2039" t="s">
        <v>26</v>
      </c>
      <c r="V2039" t="s">
        <v>26</v>
      </c>
      <c r="W2039" s="24">
        <v>37622</v>
      </c>
      <c r="X2039" s="24">
        <v>37622</v>
      </c>
      <c r="Y2039" t="s">
        <v>26</v>
      </c>
      <c r="Z2039" s="24">
        <v>37622</v>
      </c>
      <c r="AA2039" s="24">
        <v>37622</v>
      </c>
      <c r="AB2039" t="s">
        <v>26</v>
      </c>
      <c r="AC2039" s="24">
        <v>37622</v>
      </c>
      <c r="AD2039" s="24">
        <v>37622</v>
      </c>
      <c r="AE2039" t="s">
        <v>26</v>
      </c>
      <c r="AF2039" t="s">
        <v>26</v>
      </c>
      <c r="AG2039" t="s">
        <v>26</v>
      </c>
      <c r="AH2039" t="s">
        <v>26</v>
      </c>
      <c r="AI2039" t="s">
        <v>26</v>
      </c>
      <c r="AJ2039" t="s">
        <v>26</v>
      </c>
      <c r="AK2039" t="s">
        <v>26</v>
      </c>
      <c r="AL2039" t="s">
        <v>26</v>
      </c>
      <c r="AM2039" t="s">
        <v>26</v>
      </c>
      <c r="AN2039" t="s">
        <v>26</v>
      </c>
      <c r="AO2039" s="25" t="s">
        <v>28</v>
      </c>
      <c r="AP2039" s="23" t="s">
        <v>29</v>
      </c>
      <c r="AQ2039" s="23" t="s">
        <v>30</v>
      </c>
      <c r="AR2039" s="23" t="s">
        <v>46</v>
      </c>
      <c r="AS2039" s="25">
        <v>6059468</v>
      </c>
      <c r="AT2039" t="s">
        <v>26</v>
      </c>
      <c r="AU2039" t="s">
        <v>24906</v>
      </c>
    </row>
    <row r="2040" spans="1:47" ht="26.25" x14ac:dyDescent="0.4">
      <c r="A2040" s="23" t="s">
        <v>24907</v>
      </c>
      <c r="B2040" t="s">
        <v>26</v>
      </c>
      <c r="C2040" t="s">
        <v>26</v>
      </c>
      <c r="D2040" t="s">
        <v>26</v>
      </c>
      <c r="E2040" t="s">
        <v>26</v>
      </c>
      <c r="F2040" t="s">
        <v>26</v>
      </c>
      <c r="G2040" t="s">
        <v>26</v>
      </c>
      <c r="H2040" t="s">
        <v>26</v>
      </c>
      <c r="I2040" s="25" t="s">
        <v>24908</v>
      </c>
      <c r="J2040" s="25" t="s">
        <v>24908</v>
      </c>
      <c r="K2040" t="s">
        <v>26</v>
      </c>
      <c r="L2040" s="25" t="s">
        <v>28</v>
      </c>
      <c r="M2040" s="25" t="s">
        <v>24908</v>
      </c>
      <c r="N2040" s="25" t="s">
        <v>24908</v>
      </c>
      <c r="O2040" t="s">
        <v>26</v>
      </c>
      <c r="P2040" t="s">
        <v>26</v>
      </c>
      <c r="Q2040" t="s">
        <v>26</v>
      </c>
      <c r="R2040" t="s">
        <v>26</v>
      </c>
      <c r="S2040" t="s">
        <v>26</v>
      </c>
      <c r="T2040" t="s">
        <v>26</v>
      </c>
      <c r="U2040" t="s">
        <v>26</v>
      </c>
      <c r="V2040" t="s">
        <v>26</v>
      </c>
      <c r="W2040" s="25" t="s">
        <v>24908</v>
      </c>
      <c r="X2040" s="25" t="s">
        <v>24908</v>
      </c>
      <c r="Y2040" t="s">
        <v>26</v>
      </c>
      <c r="Z2040" s="25" t="s">
        <v>24908</v>
      </c>
      <c r="AA2040" s="25" t="s">
        <v>24908</v>
      </c>
      <c r="AB2040" t="s">
        <v>26</v>
      </c>
      <c r="AC2040" s="25" t="s">
        <v>24908</v>
      </c>
      <c r="AD2040" s="25" t="s">
        <v>24908</v>
      </c>
      <c r="AE2040" t="s">
        <v>26</v>
      </c>
      <c r="AF2040" t="s">
        <v>26</v>
      </c>
      <c r="AG2040" t="s">
        <v>26</v>
      </c>
      <c r="AH2040" t="s">
        <v>26</v>
      </c>
      <c r="AI2040" t="s">
        <v>26</v>
      </c>
      <c r="AJ2040" t="s">
        <v>26</v>
      </c>
      <c r="AK2040" t="s">
        <v>26</v>
      </c>
      <c r="AL2040" t="s">
        <v>26</v>
      </c>
      <c r="AM2040" t="s">
        <v>26</v>
      </c>
      <c r="AN2040" t="s">
        <v>26</v>
      </c>
      <c r="AO2040" s="25" t="s">
        <v>28</v>
      </c>
      <c r="AP2040" s="23" t="s">
        <v>45</v>
      </c>
      <c r="AQ2040" s="23" t="s">
        <v>30</v>
      </c>
      <c r="AR2040" s="23" t="s">
        <v>46</v>
      </c>
      <c r="AS2040" s="25">
        <v>5983373</v>
      </c>
      <c r="AT2040" t="s">
        <v>26</v>
      </c>
      <c r="AU2040" t="s">
        <v>24909</v>
      </c>
    </row>
    <row r="2041" spans="1:47" ht="13.15" x14ac:dyDescent="0.4">
      <c r="A2041" s="23" t="s">
        <v>5379</v>
      </c>
      <c r="B2041" t="s">
        <v>26</v>
      </c>
      <c r="C2041" s="23" t="s">
        <v>294</v>
      </c>
      <c r="D2041" s="23" t="s">
        <v>22179</v>
      </c>
      <c r="E2041" s="23" t="s">
        <v>42</v>
      </c>
      <c r="F2041" t="s">
        <v>26</v>
      </c>
      <c r="G2041" t="s">
        <v>26</v>
      </c>
      <c r="H2041" t="s">
        <v>26</v>
      </c>
      <c r="I2041" s="25" t="s">
        <v>295</v>
      </c>
      <c r="J2041" s="25" t="s">
        <v>295</v>
      </c>
      <c r="K2041" t="s">
        <v>26</v>
      </c>
      <c r="L2041" s="25" t="s">
        <v>28</v>
      </c>
      <c r="M2041" t="s">
        <v>26</v>
      </c>
      <c r="N2041" t="s">
        <v>26</v>
      </c>
      <c r="O2041" t="s">
        <v>26</v>
      </c>
      <c r="P2041" s="25" t="s">
        <v>295</v>
      </c>
      <c r="Q2041" s="25" t="s">
        <v>295</v>
      </c>
      <c r="R2041" t="s">
        <v>26</v>
      </c>
      <c r="S2041" t="s">
        <v>26</v>
      </c>
      <c r="T2041" t="s">
        <v>26</v>
      </c>
      <c r="U2041" t="s">
        <v>26</v>
      </c>
      <c r="V2041" t="s">
        <v>26</v>
      </c>
      <c r="W2041" s="25" t="s">
        <v>295</v>
      </c>
      <c r="X2041" s="25" t="s">
        <v>295</v>
      </c>
      <c r="Y2041" t="s">
        <v>26</v>
      </c>
      <c r="Z2041" s="25" t="s">
        <v>295</v>
      </c>
      <c r="AA2041" s="25" t="s">
        <v>295</v>
      </c>
      <c r="AB2041" t="s">
        <v>26</v>
      </c>
      <c r="AC2041" s="25" t="s">
        <v>295</v>
      </c>
      <c r="AD2041" s="25" t="s">
        <v>295</v>
      </c>
      <c r="AE2041" t="s">
        <v>26</v>
      </c>
      <c r="AF2041" t="s">
        <v>26</v>
      </c>
      <c r="AG2041" t="s">
        <v>26</v>
      </c>
      <c r="AH2041" t="s">
        <v>26</v>
      </c>
      <c r="AI2041" t="s">
        <v>26</v>
      </c>
      <c r="AJ2041" t="s">
        <v>26</v>
      </c>
      <c r="AK2041" t="s">
        <v>26</v>
      </c>
      <c r="AL2041" t="s">
        <v>26</v>
      </c>
      <c r="AM2041" t="s">
        <v>26</v>
      </c>
      <c r="AN2041" t="s">
        <v>26</v>
      </c>
      <c r="AO2041" s="25" t="s">
        <v>28</v>
      </c>
      <c r="AP2041" s="23" t="s">
        <v>29</v>
      </c>
      <c r="AQ2041" s="23" t="s">
        <v>30</v>
      </c>
      <c r="AR2041" s="23" t="s">
        <v>147</v>
      </c>
      <c r="AS2041" s="25">
        <v>5325206</v>
      </c>
      <c r="AT2041" s="23" t="s">
        <v>22181</v>
      </c>
      <c r="AU2041" t="s">
        <v>24910</v>
      </c>
    </row>
    <row r="2042" spans="1:47" ht="26.25" x14ac:dyDescent="0.4">
      <c r="A2042" s="23" t="s">
        <v>5380</v>
      </c>
      <c r="B2042" t="s">
        <v>26</v>
      </c>
      <c r="C2042" s="23" t="s">
        <v>5381</v>
      </c>
      <c r="D2042" s="23" t="s">
        <v>24911</v>
      </c>
      <c r="E2042" s="23" t="s">
        <v>42</v>
      </c>
      <c r="F2042" s="25" t="s">
        <v>5382</v>
      </c>
      <c r="G2042" t="s">
        <v>26</v>
      </c>
      <c r="H2042" t="s">
        <v>26</v>
      </c>
      <c r="I2042" s="24">
        <v>36526</v>
      </c>
      <c r="J2042" s="25" t="s">
        <v>77</v>
      </c>
      <c r="K2042" t="s">
        <v>26</v>
      </c>
      <c r="L2042" s="25" t="s">
        <v>68</v>
      </c>
      <c r="M2042" s="24">
        <v>36526</v>
      </c>
      <c r="N2042" s="25" t="s">
        <v>77</v>
      </c>
      <c r="O2042" t="s">
        <v>26</v>
      </c>
      <c r="P2042" t="s">
        <v>26</v>
      </c>
      <c r="Q2042" t="s">
        <v>26</v>
      </c>
      <c r="R2042" t="s">
        <v>26</v>
      </c>
      <c r="S2042" t="s">
        <v>26</v>
      </c>
      <c r="T2042" t="s">
        <v>26</v>
      </c>
      <c r="U2042" t="s">
        <v>26</v>
      </c>
      <c r="V2042" s="25">
        <v>90</v>
      </c>
      <c r="W2042" s="24">
        <v>36526</v>
      </c>
      <c r="X2042" s="25" t="s">
        <v>77</v>
      </c>
      <c r="Y2042" t="s">
        <v>26</v>
      </c>
      <c r="Z2042" s="24">
        <v>36526</v>
      </c>
      <c r="AA2042" s="25" t="s">
        <v>77</v>
      </c>
      <c r="AB2042" t="s">
        <v>26</v>
      </c>
      <c r="AC2042" s="24">
        <v>36526</v>
      </c>
      <c r="AD2042" s="25" t="s">
        <v>77</v>
      </c>
      <c r="AE2042" t="s">
        <v>26</v>
      </c>
      <c r="AF2042" t="s">
        <v>26</v>
      </c>
      <c r="AG2042" t="s">
        <v>26</v>
      </c>
      <c r="AH2042" t="s">
        <v>26</v>
      </c>
      <c r="AI2042" t="s">
        <v>26</v>
      </c>
      <c r="AJ2042" t="s">
        <v>26</v>
      </c>
      <c r="AK2042" t="s">
        <v>26</v>
      </c>
      <c r="AL2042" t="s">
        <v>26</v>
      </c>
      <c r="AM2042" t="s">
        <v>26</v>
      </c>
      <c r="AN2042" t="s">
        <v>26</v>
      </c>
      <c r="AO2042" s="25" t="s">
        <v>28</v>
      </c>
      <c r="AP2042" s="23" t="s">
        <v>69</v>
      </c>
      <c r="AQ2042" s="23" t="s">
        <v>30</v>
      </c>
      <c r="AR2042" s="23" t="s">
        <v>70</v>
      </c>
      <c r="AS2042" s="25">
        <v>1866342</v>
      </c>
      <c r="AT2042" t="s">
        <v>26</v>
      </c>
      <c r="AU2042" t="s">
        <v>24912</v>
      </c>
    </row>
    <row r="2043" spans="1:47" ht="26.25" x14ac:dyDescent="0.4">
      <c r="A2043" s="23" t="s">
        <v>5383</v>
      </c>
      <c r="B2043" t="s">
        <v>26</v>
      </c>
      <c r="C2043" s="23" t="s">
        <v>5381</v>
      </c>
      <c r="D2043" s="23" t="s">
        <v>24911</v>
      </c>
      <c r="E2043" s="23" t="s">
        <v>42</v>
      </c>
      <c r="F2043" s="25" t="s">
        <v>5384</v>
      </c>
      <c r="G2043" t="s">
        <v>26</v>
      </c>
      <c r="H2043" t="s">
        <v>26</v>
      </c>
      <c r="I2043" s="24">
        <v>36526</v>
      </c>
      <c r="J2043" s="24">
        <v>44193</v>
      </c>
      <c r="K2043" t="s">
        <v>26</v>
      </c>
      <c r="L2043" s="25" t="s">
        <v>68</v>
      </c>
      <c r="M2043" s="24">
        <v>36526</v>
      </c>
      <c r="N2043" s="24">
        <v>44193</v>
      </c>
      <c r="O2043" t="s">
        <v>26</v>
      </c>
      <c r="P2043" t="s">
        <v>26</v>
      </c>
      <c r="Q2043" t="s">
        <v>26</v>
      </c>
      <c r="R2043" t="s">
        <v>26</v>
      </c>
      <c r="S2043" t="s">
        <v>26</v>
      </c>
      <c r="T2043" t="s">
        <v>26</v>
      </c>
      <c r="U2043" t="s">
        <v>26</v>
      </c>
      <c r="V2043" t="s">
        <v>26</v>
      </c>
      <c r="W2043" s="24">
        <v>36526</v>
      </c>
      <c r="X2043" s="24">
        <v>44193</v>
      </c>
      <c r="Y2043" t="s">
        <v>26</v>
      </c>
      <c r="Z2043" s="24">
        <v>36526</v>
      </c>
      <c r="AA2043" s="24">
        <v>44193</v>
      </c>
      <c r="AB2043" t="s">
        <v>26</v>
      </c>
      <c r="AC2043" s="24">
        <v>36526</v>
      </c>
      <c r="AD2043" s="24">
        <v>44193</v>
      </c>
      <c r="AE2043" t="s">
        <v>26</v>
      </c>
      <c r="AF2043" t="s">
        <v>26</v>
      </c>
      <c r="AG2043" t="s">
        <v>26</v>
      </c>
      <c r="AH2043" t="s">
        <v>26</v>
      </c>
      <c r="AI2043" t="s">
        <v>26</v>
      </c>
      <c r="AJ2043" t="s">
        <v>26</v>
      </c>
      <c r="AK2043" t="s">
        <v>26</v>
      </c>
      <c r="AL2043" t="s">
        <v>26</v>
      </c>
      <c r="AM2043" t="s">
        <v>26</v>
      </c>
      <c r="AN2043" t="s">
        <v>26</v>
      </c>
      <c r="AO2043" s="25" t="s">
        <v>28</v>
      </c>
      <c r="AP2043" s="23" t="s">
        <v>69</v>
      </c>
      <c r="AQ2043" s="23" t="s">
        <v>30</v>
      </c>
      <c r="AR2043" s="23" t="s">
        <v>70</v>
      </c>
      <c r="AS2043" s="25">
        <v>1866338</v>
      </c>
      <c r="AT2043" t="s">
        <v>26</v>
      </c>
      <c r="AU2043" t="s">
        <v>24913</v>
      </c>
    </row>
    <row r="2044" spans="1:47" ht="39.4" x14ac:dyDescent="0.4">
      <c r="A2044" s="23" t="s">
        <v>24914</v>
      </c>
      <c r="B2044" t="s">
        <v>26</v>
      </c>
      <c r="C2044" s="23" t="s">
        <v>24915</v>
      </c>
      <c r="D2044" s="23" t="s">
        <v>22174</v>
      </c>
      <c r="E2044" s="23" t="s">
        <v>60</v>
      </c>
      <c r="F2044" t="s">
        <v>26</v>
      </c>
      <c r="G2044" t="s">
        <v>26</v>
      </c>
      <c r="H2044" t="s">
        <v>26</v>
      </c>
      <c r="I2044" t="s">
        <v>26</v>
      </c>
      <c r="J2044" t="s">
        <v>26</v>
      </c>
      <c r="K2044" t="s">
        <v>26</v>
      </c>
      <c r="L2044" s="25" t="s">
        <v>28</v>
      </c>
      <c r="M2044" t="s">
        <v>26</v>
      </c>
      <c r="N2044" t="s">
        <v>26</v>
      </c>
      <c r="O2044" t="s">
        <v>26</v>
      </c>
      <c r="P2044" t="s">
        <v>26</v>
      </c>
      <c r="Q2044" t="s">
        <v>26</v>
      </c>
      <c r="R2044" t="s">
        <v>26</v>
      </c>
      <c r="S2044" t="s">
        <v>26</v>
      </c>
      <c r="T2044" t="s">
        <v>26</v>
      </c>
      <c r="U2044" t="s">
        <v>26</v>
      </c>
      <c r="V2044" t="s">
        <v>26</v>
      </c>
      <c r="W2044" s="24">
        <v>42586</v>
      </c>
      <c r="X2044" s="25" t="s">
        <v>77</v>
      </c>
      <c r="Y2044" t="s">
        <v>26</v>
      </c>
      <c r="Z2044" s="24">
        <v>42586</v>
      </c>
      <c r="AA2044" s="25" t="s">
        <v>77</v>
      </c>
      <c r="AB2044" t="s">
        <v>26</v>
      </c>
      <c r="AC2044" s="24">
        <v>42586</v>
      </c>
      <c r="AD2044" s="25" t="s">
        <v>77</v>
      </c>
      <c r="AE2044" t="s">
        <v>26</v>
      </c>
      <c r="AF2044" t="s">
        <v>26</v>
      </c>
      <c r="AG2044" t="s">
        <v>26</v>
      </c>
      <c r="AH2044" t="s">
        <v>26</v>
      </c>
      <c r="AI2044" t="s">
        <v>26</v>
      </c>
      <c r="AJ2044" t="s">
        <v>26</v>
      </c>
      <c r="AK2044" t="s">
        <v>26</v>
      </c>
      <c r="AL2044" t="s">
        <v>26</v>
      </c>
      <c r="AM2044" t="s">
        <v>26</v>
      </c>
      <c r="AN2044" t="s">
        <v>26</v>
      </c>
      <c r="AO2044" s="25" t="s">
        <v>28</v>
      </c>
      <c r="AP2044" s="23" t="s">
        <v>24916</v>
      </c>
      <c r="AQ2044" s="23" t="s">
        <v>30</v>
      </c>
      <c r="AR2044" s="23" t="s">
        <v>232</v>
      </c>
      <c r="AS2044" s="25">
        <v>6307997</v>
      </c>
      <c r="AT2044" t="s">
        <v>26</v>
      </c>
      <c r="AU2044" t="s">
        <v>24917</v>
      </c>
    </row>
    <row r="2045" spans="1:47" ht="26.25" x14ac:dyDescent="0.4">
      <c r="A2045" s="23" t="s">
        <v>5385</v>
      </c>
      <c r="B2045" t="s">
        <v>26</v>
      </c>
      <c r="C2045" s="23" t="s">
        <v>3316</v>
      </c>
      <c r="D2045" s="23" t="s">
        <v>22174</v>
      </c>
      <c r="E2045" s="23" t="s">
        <v>42</v>
      </c>
      <c r="F2045" t="s">
        <v>26</v>
      </c>
      <c r="G2045" s="25" t="s">
        <v>5386</v>
      </c>
      <c r="H2045" t="s">
        <v>26</v>
      </c>
      <c r="I2045" s="24">
        <v>42064</v>
      </c>
      <c r="J2045" s="25" t="s">
        <v>77</v>
      </c>
      <c r="K2045" t="s">
        <v>26</v>
      </c>
      <c r="L2045" s="25" t="s">
        <v>68</v>
      </c>
      <c r="M2045" s="24">
        <v>42064</v>
      </c>
      <c r="N2045" s="24">
        <v>42736</v>
      </c>
      <c r="O2045" t="s">
        <v>26</v>
      </c>
      <c r="P2045" s="24">
        <v>42064</v>
      </c>
      <c r="Q2045" s="25" t="s">
        <v>77</v>
      </c>
      <c r="R2045" t="s">
        <v>26</v>
      </c>
      <c r="S2045" t="s">
        <v>26</v>
      </c>
      <c r="T2045" t="s">
        <v>26</v>
      </c>
      <c r="U2045" t="s">
        <v>26</v>
      </c>
      <c r="V2045" t="s">
        <v>26</v>
      </c>
      <c r="W2045" s="24">
        <v>42064</v>
      </c>
      <c r="X2045" s="25" t="s">
        <v>77</v>
      </c>
      <c r="Y2045" t="s">
        <v>26</v>
      </c>
      <c r="Z2045" s="24">
        <v>42064</v>
      </c>
      <c r="AA2045" s="25" t="s">
        <v>77</v>
      </c>
      <c r="AB2045" t="s">
        <v>26</v>
      </c>
      <c r="AC2045" s="24">
        <v>42064</v>
      </c>
      <c r="AD2045" s="25" t="s">
        <v>77</v>
      </c>
      <c r="AE2045" t="s">
        <v>26</v>
      </c>
      <c r="AF2045" t="s">
        <v>26</v>
      </c>
      <c r="AG2045" t="s">
        <v>26</v>
      </c>
      <c r="AH2045" t="s">
        <v>26</v>
      </c>
      <c r="AI2045" t="s">
        <v>26</v>
      </c>
      <c r="AJ2045" t="s">
        <v>26</v>
      </c>
      <c r="AK2045" t="s">
        <v>26</v>
      </c>
      <c r="AL2045" t="s">
        <v>26</v>
      </c>
      <c r="AM2045" t="s">
        <v>26</v>
      </c>
      <c r="AN2045" t="s">
        <v>26</v>
      </c>
      <c r="AO2045" s="25" t="s">
        <v>68</v>
      </c>
      <c r="AP2045" s="23" t="s">
        <v>69</v>
      </c>
      <c r="AQ2045" s="23" t="s">
        <v>30</v>
      </c>
      <c r="AR2045" s="23" t="s">
        <v>70</v>
      </c>
      <c r="AS2045" s="25">
        <v>2041917</v>
      </c>
      <c r="AT2045" t="s">
        <v>26</v>
      </c>
      <c r="AU2045" t="s">
        <v>24918</v>
      </c>
    </row>
    <row r="2046" spans="1:47" ht="26.25" x14ac:dyDescent="0.4">
      <c r="A2046" s="23" t="s">
        <v>5387</v>
      </c>
      <c r="B2046" t="s">
        <v>26</v>
      </c>
      <c r="C2046" s="23" t="s">
        <v>292</v>
      </c>
      <c r="D2046" s="23" t="s">
        <v>22256</v>
      </c>
      <c r="E2046" s="23" t="s">
        <v>42</v>
      </c>
      <c r="F2046" t="s">
        <v>26</v>
      </c>
      <c r="G2046" t="s">
        <v>26</v>
      </c>
      <c r="H2046" t="s">
        <v>26</v>
      </c>
      <c r="I2046" s="24">
        <v>41275</v>
      </c>
      <c r="J2046" s="24">
        <v>41275</v>
      </c>
      <c r="K2046" t="s">
        <v>26</v>
      </c>
      <c r="L2046" s="25" t="s">
        <v>28</v>
      </c>
      <c r="M2046" t="s">
        <v>26</v>
      </c>
      <c r="N2046" t="s">
        <v>26</v>
      </c>
      <c r="O2046" t="s">
        <v>26</v>
      </c>
      <c r="P2046" s="24">
        <v>41275</v>
      </c>
      <c r="Q2046" s="24">
        <v>41275</v>
      </c>
      <c r="R2046" t="s">
        <v>26</v>
      </c>
      <c r="S2046" t="s">
        <v>26</v>
      </c>
      <c r="T2046" t="s">
        <v>26</v>
      </c>
      <c r="U2046" t="s">
        <v>26</v>
      </c>
      <c r="V2046" t="s">
        <v>26</v>
      </c>
      <c r="W2046" s="24">
        <v>41275</v>
      </c>
      <c r="X2046" s="24">
        <v>41275</v>
      </c>
      <c r="Y2046" t="s">
        <v>26</v>
      </c>
      <c r="Z2046" s="24">
        <v>41275</v>
      </c>
      <c r="AA2046" s="24">
        <v>41275</v>
      </c>
      <c r="AB2046" t="s">
        <v>26</v>
      </c>
      <c r="AC2046" s="24">
        <v>41275</v>
      </c>
      <c r="AD2046" s="24">
        <v>41275</v>
      </c>
      <c r="AE2046" t="s">
        <v>26</v>
      </c>
      <c r="AF2046" t="s">
        <v>26</v>
      </c>
      <c r="AG2046" t="s">
        <v>26</v>
      </c>
      <c r="AH2046" t="s">
        <v>26</v>
      </c>
      <c r="AI2046" t="s">
        <v>26</v>
      </c>
      <c r="AJ2046" t="s">
        <v>26</v>
      </c>
      <c r="AK2046" t="s">
        <v>26</v>
      </c>
      <c r="AL2046" t="s">
        <v>26</v>
      </c>
      <c r="AM2046" t="s">
        <v>26</v>
      </c>
      <c r="AN2046" t="s">
        <v>26</v>
      </c>
      <c r="AO2046" s="25" t="s">
        <v>28</v>
      </c>
      <c r="AP2046" s="23" t="s">
        <v>29</v>
      </c>
      <c r="AQ2046" s="23" t="s">
        <v>30</v>
      </c>
      <c r="AR2046" s="23" t="s">
        <v>147</v>
      </c>
      <c r="AS2046" s="25">
        <v>5325190</v>
      </c>
      <c r="AT2046" s="23" t="s">
        <v>22181</v>
      </c>
      <c r="AU2046" t="s">
        <v>24919</v>
      </c>
    </row>
    <row r="2047" spans="1:47" ht="26.25" x14ac:dyDescent="0.4">
      <c r="A2047" s="23" t="s">
        <v>5388</v>
      </c>
      <c r="B2047" t="s">
        <v>26</v>
      </c>
      <c r="C2047" t="s">
        <v>26</v>
      </c>
      <c r="D2047" t="s">
        <v>26</v>
      </c>
      <c r="E2047" t="s">
        <v>26</v>
      </c>
      <c r="F2047" t="s">
        <v>26</v>
      </c>
      <c r="G2047" t="s">
        <v>26</v>
      </c>
      <c r="H2047" t="s">
        <v>26</v>
      </c>
      <c r="I2047" s="24">
        <v>40544</v>
      </c>
      <c r="J2047" s="24">
        <v>40544</v>
      </c>
      <c r="K2047" t="s">
        <v>26</v>
      </c>
      <c r="L2047" s="25" t="s">
        <v>28</v>
      </c>
      <c r="M2047" s="24">
        <v>40544</v>
      </c>
      <c r="N2047" s="24">
        <v>40544</v>
      </c>
      <c r="O2047" t="s">
        <v>26</v>
      </c>
      <c r="P2047" t="s">
        <v>26</v>
      </c>
      <c r="Q2047" t="s">
        <v>26</v>
      </c>
      <c r="R2047" t="s">
        <v>26</v>
      </c>
      <c r="S2047" s="24">
        <v>40544</v>
      </c>
      <c r="T2047" s="24">
        <v>40544</v>
      </c>
      <c r="U2047" t="s">
        <v>26</v>
      </c>
      <c r="V2047" t="s">
        <v>26</v>
      </c>
      <c r="W2047" s="24">
        <v>40544</v>
      </c>
      <c r="X2047" s="24">
        <v>40544</v>
      </c>
      <c r="Y2047" t="s">
        <v>26</v>
      </c>
      <c r="Z2047" s="24">
        <v>40544</v>
      </c>
      <c r="AA2047" s="24">
        <v>40544</v>
      </c>
      <c r="AB2047" t="s">
        <v>26</v>
      </c>
      <c r="AC2047" s="24">
        <v>40544</v>
      </c>
      <c r="AD2047" s="24">
        <v>40544</v>
      </c>
      <c r="AE2047" t="s">
        <v>26</v>
      </c>
      <c r="AF2047" s="24">
        <v>40544</v>
      </c>
      <c r="AG2047" s="24">
        <v>40544</v>
      </c>
      <c r="AH2047" t="s">
        <v>26</v>
      </c>
      <c r="AI2047" s="24">
        <v>40544</v>
      </c>
      <c r="AJ2047" s="24">
        <v>40544</v>
      </c>
      <c r="AK2047" t="s">
        <v>26</v>
      </c>
      <c r="AL2047" t="s">
        <v>26</v>
      </c>
      <c r="AM2047" t="s">
        <v>26</v>
      </c>
      <c r="AN2047" t="s">
        <v>26</v>
      </c>
      <c r="AO2047" s="25" t="s">
        <v>28</v>
      </c>
      <c r="AP2047" s="23" t="s">
        <v>43</v>
      </c>
      <c r="AQ2047" s="23" t="s">
        <v>30</v>
      </c>
      <c r="AR2047" s="23" t="s">
        <v>46</v>
      </c>
      <c r="AS2047" s="25">
        <v>6364620</v>
      </c>
      <c r="AT2047" t="s">
        <v>26</v>
      </c>
      <c r="AU2047" t="s">
        <v>24920</v>
      </c>
    </row>
    <row r="2048" spans="1:47" ht="26.25" x14ac:dyDescent="0.4">
      <c r="A2048" s="23" t="s">
        <v>5389</v>
      </c>
      <c r="B2048" t="s">
        <v>26</v>
      </c>
      <c r="C2048" s="23" t="s">
        <v>22238</v>
      </c>
      <c r="D2048" t="s">
        <v>26</v>
      </c>
      <c r="E2048" s="23" t="s">
        <v>42</v>
      </c>
      <c r="F2048" t="s">
        <v>26</v>
      </c>
      <c r="G2048" t="s">
        <v>26</v>
      </c>
      <c r="H2048" t="s">
        <v>26</v>
      </c>
      <c r="I2048" s="24">
        <v>43101</v>
      </c>
      <c r="J2048" s="24">
        <v>43101</v>
      </c>
      <c r="K2048" t="s">
        <v>26</v>
      </c>
      <c r="L2048" s="25" t="s">
        <v>28</v>
      </c>
      <c r="M2048" s="24">
        <v>43101</v>
      </c>
      <c r="N2048" s="24">
        <v>43101</v>
      </c>
      <c r="O2048" t="s">
        <v>26</v>
      </c>
      <c r="P2048" t="s">
        <v>26</v>
      </c>
      <c r="Q2048" t="s">
        <v>26</v>
      </c>
      <c r="R2048" t="s">
        <v>26</v>
      </c>
      <c r="S2048" s="24">
        <v>43101</v>
      </c>
      <c r="T2048" s="24">
        <v>43101</v>
      </c>
      <c r="U2048" t="s">
        <v>26</v>
      </c>
      <c r="V2048" t="s">
        <v>26</v>
      </c>
      <c r="W2048" s="24">
        <v>43101</v>
      </c>
      <c r="X2048" s="24">
        <v>43101</v>
      </c>
      <c r="Y2048" t="s">
        <v>26</v>
      </c>
      <c r="Z2048" s="24">
        <v>43101</v>
      </c>
      <c r="AA2048" s="24">
        <v>43101</v>
      </c>
      <c r="AB2048" t="s">
        <v>26</v>
      </c>
      <c r="AC2048" s="24">
        <v>43101</v>
      </c>
      <c r="AD2048" s="24">
        <v>43101</v>
      </c>
      <c r="AE2048" t="s">
        <v>26</v>
      </c>
      <c r="AF2048" s="24">
        <v>43101</v>
      </c>
      <c r="AG2048" s="24">
        <v>43101</v>
      </c>
      <c r="AH2048" t="s">
        <v>26</v>
      </c>
      <c r="AI2048" s="24">
        <v>43101</v>
      </c>
      <c r="AJ2048" s="24">
        <v>43101</v>
      </c>
      <c r="AK2048" t="s">
        <v>26</v>
      </c>
      <c r="AL2048" t="s">
        <v>26</v>
      </c>
      <c r="AM2048" t="s">
        <v>26</v>
      </c>
      <c r="AN2048" t="s">
        <v>26</v>
      </c>
      <c r="AO2048" s="25" t="s">
        <v>28</v>
      </c>
      <c r="AP2048" s="23" t="s">
        <v>43</v>
      </c>
      <c r="AQ2048" s="23" t="s">
        <v>30</v>
      </c>
      <c r="AR2048" s="23" t="s">
        <v>44</v>
      </c>
      <c r="AS2048" s="25">
        <v>5263202</v>
      </c>
      <c r="AT2048" t="s">
        <v>26</v>
      </c>
      <c r="AU2048" t="s">
        <v>24921</v>
      </c>
    </row>
    <row r="2049" spans="1:47" ht="13.15" x14ac:dyDescent="0.4">
      <c r="A2049" s="23" t="s">
        <v>5390</v>
      </c>
      <c r="B2049" t="s">
        <v>26</v>
      </c>
      <c r="C2049" s="23" t="s">
        <v>5391</v>
      </c>
      <c r="D2049" s="23" t="s">
        <v>22756</v>
      </c>
      <c r="E2049" s="23" t="s">
        <v>335</v>
      </c>
      <c r="F2049" s="25" t="s">
        <v>5392</v>
      </c>
      <c r="G2049" t="s">
        <v>26</v>
      </c>
      <c r="H2049" t="s">
        <v>26</v>
      </c>
      <c r="I2049" t="s">
        <v>26</v>
      </c>
      <c r="J2049" t="s">
        <v>26</v>
      </c>
      <c r="K2049" t="s">
        <v>26</v>
      </c>
      <c r="L2049" s="25" t="s">
        <v>28</v>
      </c>
      <c r="M2049" t="s">
        <v>26</v>
      </c>
      <c r="N2049" t="s">
        <v>26</v>
      </c>
      <c r="O2049" t="s">
        <v>26</v>
      </c>
      <c r="P2049" t="s">
        <v>26</v>
      </c>
      <c r="Q2049" t="s">
        <v>26</v>
      </c>
      <c r="R2049" t="s">
        <v>26</v>
      </c>
      <c r="S2049" t="s">
        <v>26</v>
      </c>
      <c r="T2049" t="s">
        <v>26</v>
      </c>
      <c r="U2049" t="s">
        <v>26</v>
      </c>
      <c r="V2049" t="s">
        <v>26</v>
      </c>
      <c r="W2049" s="24">
        <v>33604</v>
      </c>
      <c r="X2049" s="24">
        <v>40269</v>
      </c>
      <c r="Y2049" s="25" t="s">
        <v>5393</v>
      </c>
      <c r="Z2049" s="24">
        <v>33604</v>
      </c>
      <c r="AA2049" s="24">
        <v>40269</v>
      </c>
      <c r="AB2049" s="25" t="s">
        <v>5393</v>
      </c>
      <c r="AC2049" t="s">
        <v>26</v>
      </c>
      <c r="AD2049" t="s">
        <v>26</v>
      </c>
      <c r="AE2049" t="s">
        <v>26</v>
      </c>
      <c r="AF2049" t="s">
        <v>26</v>
      </c>
      <c r="AG2049" t="s">
        <v>26</v>
      </c>
      <c r="AH2049" t="s">
        <v>26</v>
      </c>
      <c r="AI2049" t="s">
        <v>26</v>
      </c>
      <c r="AJ2049" t="s">
        <v>26</v>
      </c>
      <c r="AK2049" t="s">
        <v>26</v>
      </c>
      <c r="AL2049" t="s">
        <v>26</v>
      </c>
      <c r="AM2049" t="s">
        <v>26</v>
      </c>
      <c r="AN2049" t="s">
        <v>26</v>
      </c>
      <c r="AO2049" s="25" t="s">
        <v>28</v>
      </c>
      <c r="AP2049" s="23" t="s">
        <v>211</v>
      </c>
      <c r="AQ2049" s="23" t="s">
        <v>30</v>
      </c>
      <c r="AR2049" s="23" t="s">
        <v>569</v>
      </c>
      <c r="AS2049" s="25">
        <v>43511</v>
      </c>
      <c r="AT2049" t="s">
        <v>26</v>
      </c>
      <c r="AU2049" t="s">
        <v>24922</v>
      </c>
    </row>
    <row r="2050" spans="1:47" ht="26.25" x14ac:dyDescent="0.4">
      <c r="A2050" s="23" t="s">
        <v>24923</v>
      </c>
      <c r="B2050" t="s">
        <v>26</v>
      </c>
      <c r="C2050" s="23" t="s">
        <v>5394</v>
      </c>
      <c r="D2050" s="23" t="s">
        <v>22309</v>
      </c>
      <c r="E2050" s="23" t="s">
        <v>42</v>
      </c>
      <c r="F2050" s="25" t="s">
        <v>24924</v>
      </c>
      <c r="G2050" t="s">
        <v>26</v>
      </c>
      <c r="H2050" t="s">
        <v>26</v>
      </c>
      <c r="I2050" s="24">
        <v>39692</v>
      </c>
      <c r="J2050" s="25" t="s">
        <v>77</v>
      </c>
      <c r="K2050" t="s">
        <v>26</v>
      </c>
      <c r="L2050" s="25" t="s">
        <v>28</v>
      </c>
      <c r="M2050" s="24">
        <v>39692</v>
      </c>
      <c r="N2050" s="25" t="s">
        <v>77</v>
      </c>
      <c r="O2050" t="s">
        <v>26</v>
      </c>
      <c r="P2050" s="24">
        <v>39692</v>
      </c>
      <c r="Q2050" s="25" t="s">
        <v>77</v>
      </c>
      <c r="R2050" t="s">
        <v>26</v>
      </c>
      <c r="S2050" t="s">
        <v>26</v>
      </c>
      <c r="T2050" t="s">
        <v>26</v>
      </c>
      <c r="U2050" t="s">
        <v>26</v>
      </c>
      <c r="V2050" t="s">
        <v>26</v>
      </c>
      <c r="W2050" s="24">
        <v>39692</v>
      </c>
      <c r="X2050" s="25" t="s">
        <v>77</v>
      </c>
      <c r="Y2050" t="s">
        <v>26</v>
      </c>
      <c r="Z2050" s="24">
        <v>39692</v>
      </c>
      <c r="AA2050" s="25" t="s">
        <v>77</v>
      </c>
      <c r="AB2050" t="s">
        <v>26</v>
      </c>
      <c r="AC2050" s="24">
        <v>39692</v>
      </c>
      <c r="AD2050" s="25" t="s">
        <v>77</v>
      </c>
      <c r="AE2050" t="s">
        <v>26</v>
      </c>
      <c r="AF2050" t="s">
        <v>26</v>
      </c>
      <c r="AG2050" t="s">
        <v>26</v>
      </c>
      <c r="AH2050" t="s">
        <v>26</v>
      </c>
      <c r="AI2050" t="s">
        <v>26</v>
      </c>
      <c r="AJ2050" t="s">
        <v>26</v>
      </c>
      <c r="AK2050" t="s">
        <v>26</v>
      </c>
      <c r="AL2050" t="s">
        <v>26</v>
      </c>
      <c r="AM2050" t="s">
        <v>26</v>
      </c>
      <c r="AN2050" t="s">
        <v>26</v>
      </c>
      <c r="AO2050" s="25" t="s">
        <v>28</v>
      </c>
      <c r="AP2050" s="23" t="s">
        <v>279</v>
      </c>
      <c r="AQ2050" s="23" t="s">
        <v>30</v>
      </c>
      <c r="AR2050" s="23" t="s">
        <v>46</v>
      </c>
      <c r="AS2050" s="25">
        <v>39884</v>
      </c>
      <c r="AT2050" t="s">
        <v>26</v>
      </c>
      <c r="AU2050" t="s">
        <v>24925</v>
      </c>
    </row>
    <row r="2051" spans="1:47" ht="26.25" x14ac:dyDescent="0.4">
      <c r="A2051" s="23" t="s">
        <v>5395</v>
      </c>
      <c r="B2051" t="s">
        <v>26</v>
      </c>
      <c r="C2051" s="23" t="s">
        <v>167</v>
      </c>
      <c r="D2051" s="23" t="s">
        <v>22218</v>
      </c>
      <c r="E2051" s="23" t="s">
        <v>60</v>
      </c>
      <c r="F2051" s="25" t="s">
        <v>5396</v>
      </c>
      <c r="G2051" s="25" t="s">
        <v>5397</v>
      </c>
      <c r="H2051" t="s">
        <v>26</v>
      </c>
      <c r="I2051" s="24">
        <v>36951</v>
      </c>
      <c r="J2051" s="25" t="s">
        <v>77</v>
      </c>
      <c r="K2051" t="s">
        <v>26</v>
      </c>
      <c r="L2051" s="25" t="s">
        <v>68</v>
      </c>
      <c r="M2051" s="24">
        <v>39814</v>
      </c>
      <c r="N2051" s="25" t="s">
        <v>77</v>
      </c>
      <c r="O2051" t="s">
        <v>26</v>
      </c>
      <c r="P2051" s="24">
        <v>36951</v>
      </c>
      <c r="Q2051" s="25" t="s">
        <v>77</v>
      </c>
      <c r="R2051" t="s">
        <v>26</v>
      </c>
      <c r="S2051" t="s">
        <v>26</v>
      </c>
      <c r="T2051" t="s">
        <v>26</v>
      </c>
      <c r="U2051" t="s">
        <v>26</v>
      </c>
      <c r="V2051" s="25">
        <v>365</v>
      </c>
      <c r="W2051" s="24">
        <v>36951</v>
      </c>
      <c r="X2051" s="25" t="s">
        <v>77</v>
      </c>
      <c r="Y2051" t="s">
        <v>26</v>
      </c>
      <c r="Z2051" s="24">
        <v>36951</v>
      </c>
      <c r="AA2051" s="25" t="s">
        <v>77</v>
      </c>
      <c r="AB2051" t="s">
        <v>26</v>
      </c>
      <c r="AC2051" s="24">
        <v>36951</v>
      </c>
      <c r="AD2051" s="25" t="s">
        <v>77</v>
      </c>
      <c r="AE2051" t="s">
        <v>26</v>
      </c>
      <c r="AF2051" t="s">
        <v>26</v>
      </c>
      <c r="AG2051" t="s">
        <v>26</v>
      </c>
      <c r="AH2051" t="s">
        <v>26</v>
      </c>
      <c r="AI2051" t="s">
        <v>26</v>
      </c>
      <c r="AJ2051" t="s">
        <v>26</v>
      </c>
      <c r="AK2051" t="s">
        <v>26</v>
      </c>
      <c r="AL2051" t="s">
        <v>26</v>
      </c>
      <c r="AM2051" t="s">
        <v>26</v>
      </c>
      <c r="AN2051" t="s">
        <v>26</v>
      </c>
      <c r="AO2051" s="25" t="s">
        <v>68</v>
      </c>
      <c r="AP2051" s="23" t="s">
        <v>69</v>
      </c>
      <c r="AQ2051" s="23" t="s">
        <v>30</v>
      </c>
      <c r="AR2051" s="23" t="s">
        <v>5398</v>
      </c>
      <c r="AS2051" s="25">
        <v>30339</v>
      </c>
      <c r="AT2051" t="s">
        <v>26</v>
      </c>
      <c r="AU2051" t="s">
        <v>24926</v>
      </c>
    </row>
    <row r="2052" spans="1:47" ht="26.25" x14ac:dyDescent="0.4">
      <c r="A2052" s="23" t="s">
        <v>5399</v>
      </c>
      <c r="B2052" t="s">
        <v>26</v>
      </c>
      <c r="C2052" s="23" t="s">
        <v>24927</v>
      </c>
      <c r="D2052" s="23" t="s">
        <v>22256</v>
      </c>
      <c r="E2052" s="23" t="s">
        <v>42</v>
      </c>
      <c r="F2052" t="s">
        <v>26</v>
      </c>
      <c r="G2052" t="s">
        <v>26</v>
      </c>
      <c r="H2052" t="s">
        <v>26</v>
      </c>
      <c r="I2052" s="24">
        <v>43101</v>
      </c>
      <c r="J2052" s="24">
        <v>43466</v>
      </c>
      <c r="K2052" t="s">
        <v>26</v>
      </c>
      <c r="L2052" s="25" t="s">
        <v>28</v>
      </c>
      <c r="M2052" s="24">
        <v>43101</v>
      </c>
      <c r="N2052" s="24">
        <v>43466</v>
      </c>
      <c r="O2052" t="s">
        <v>26</v>
      </c>
      <c r="P2052" t="s">
        <v>26</v>
      </c>
      <c r="Q2052" t="s">
        <v>26</v>
      </c>
      <c r="R2052" t="s">
        <v>26</v>
      </c>
      <c r="S2052" s="24">
        <v>43101</v>
      </c>
      <c r="T2052" s="24">
        <v>43466</v>
      </c>
      <c r="U2052" t="s">
        <v>26</v>
      </c>
      <c r="V2052" t="s">
        <v>26</v>
      </c>
      <c r="W2052" s="24">
        <v>43101</v>
      </c>
      <c r="X2052" s="24">
        <v>43466</v>
      </c>
      <c r="Y2052" t="s">
        <v>26</v>
      </c>
      <c r="Z2052" s="24">
        <v>43101</v>
      </c>
      <c r="AA2052" s="24">
        <v>43466</v>
      </c>
      <c r="AB2052" t="s">
        <v>26</v>
      </c>
      <c r="AC2052" s="24">
        <v>43101</v>
      </c>
      <c r="AD2052" s="24">
        <v>43466</v>
      </c>
      <c r="AE2052" t="s">
        <v>26</v>
      </c>
      <c r="AF2052" s="24">
        <v>43101</v>
      </c>
      <c r="AG2052" s="24">
        <v>43466</v>
      </c>
      <c r="AH2052" t="s">
        <v>26</v>
      </c>
      <c r="AI2052" s="24">
        <v>43101</v>
      </c>
      <c r="AJ2052" s="24">
        <v>43466</v>
      </c>
      <c r="AK2052" t="s">
        <v>26</v>
      </c>
      <c r="AL2052" t="s">
        <v>26</v>
      </c>
      <c r="AM2052" t="s">
        <v>26</v>
      </c>
      <c r="AN2052" t="s">
        <v>26</v>
      </c>
      <c r="AO2052" s="25" t="s">
        <v>28</v>
      </c>
      <c r="AP2052" s="23" t="s">
        <v>43</v>
      </c>
      <c r="AQ2052" s="23" t="s">
        <v>30</v>
      </c>
      <c r="AR2052" s="23" t="s">
        <v>46</v>
      </c>
      <c r="AS2052" s="25">
        <v>6364619</v>
      </c>
      <c r="AT2052" t="s">
        <v>26</v>
      </c>
      <c r="AU2052" t="s">
        <v>24928</v>
      </c>
    </row>
    <row r="2053" spans="1:47" ht="26.25" x14ac:dyDescent="0.4">
      <c r="A2053" s="23" t="s">
        <v>5400</v>
      </c>
      <c r="B2053" t="s">
        <v>26</v>
      </c>
      <c r="C2053" s="23" t="s">
        <v>3316</v>
      </c>
      <c r="D2053" s="23" t="s">
        <v>22174</v>
      </c>
      <c r="E2053" s="23" t="s">
        <v>42</v>
      </c>
      <c r="F2053" s="25" t="s">
        <v>5401</v>
      </c>
      <c r="G2053" s="25" t="s">
        <v>5402</v>
      </c>
      <c r="H2053" t="s">
        <v>26</v>
      </c>
      <c r="I2053" s="24">
        <v>32877</v>
      </c>
      <c r="J2053" s="25" t="s">
        <v>77</v>
      </c>
      <c r="K2053" t="s">
        <v>26</v>
      </c>
      <c r="L2053" s="25" t="s">
        <v>68</v>
      </c>
      <c r="M2053" s="24">
        <v>39562</v>
      </c>
      <c r="N2053" s="25" t="s">
        <v>77</v>
      </c>
      <c r="O2053" t="s">
        <v>26</v>
      </c>
      <c r="P2053" s="24">
        <v>32877</v>
      </c>
      <c r="Q2053" s="25" t="s">
        <v>77</v>
      </c>
      <c r="R2053" t="s">
        <v>26</v>
      </c>
      <c r="S2053" t="s">
        <v>26</v>
      </c>
      <c r="T2053" t="s">
        <v>26</v>
      </c>
      <c r="U2053" t="s">
        <v>26</v>
      </c>
      <c r="V2053" s="25">
        <v>365</v>
      </c>
      <c r="W2053" s="24">
        <v>31414</v>
      </c>
      <c r="X2053" s="25" t="s">
        <v>77</v>
      </c>
      <c r="Y2053" t="s">
        <v>26</v>
      </c>
      <c r="Z2053" s="24">
        <v>31414</v>
      </c>
      <c r="AA2053" s="25" t="s">
        <v>77</v>
      </c>
      <c r="AB2053" t="s">
        <v>26</v>
      </c>
      <c r="AC2053" s="24">
        <v>31414</v>
      </c>
      <c r="AD2053" s="25" t="s">
        <v>77</v>
      </c>
      <c r="AE2053" t="s">
        <v>26</v>
      </c>
      <c r="AF2053" t="s">
        <v>26</v>
      </c>
      <c r="AG2053" t="s">
        <v>26</v>
      </c>
      <c r="AH2053" t="s">
        <v>26</v>
      </c>
      <c r="AI2053" t="s">
        <v>26</v>
      </c>
      <c r="AJ2053" t="s">
        <v>26</v>
      </c>
      <c r="AK2053" t="s">
        <v>26</v>
      </c>
      <c r="AL2053" t="s">
        <v>26</v>
      </c>
      <c r="AM2053" t="s">
        <v>26</v>
      </c>
      <c r="AN2053" t="s">
        <v>26</v>
      </c>
      <c r="AO2053" s="25" t="s">
        <v>68</v>
      </c>
      <c r="AP2053" s="23" t="s">
        <v>69</v>
      </c>
      <c r="AQ2053" s="23" t="s">
        <v>30</v>
      </c>
      <c r="AR2053" s="23" t="s">
        <v>5403</v>
      </c>
      <c r="AS2053" s="25">
        <v>40569</v>
      </c>
      <c r="AT2053" t="s">
        <v>26</v>
      </c>
      <c r="AU2053" t="s">
        <v>24929</v>
      </c>
    </row>
    <row r="2054" spans="1:47" ht="26.25" x14ac:dyDescent="0.4">
      <c r="A2054" s="23" t="s">
        <v>5404</v>
      </c>
      <c r="B2054" t="s">
        <v>26</v>
      </c>
      <c r="C2054" s="23" t="s">
        <v>3316</v>
      </c>
      <c r="D2054" s="23" t="s">
        <v>22174</v>
      </c>
      <c r="E2054" s="23" t="s">
        <v>42</v>
      </c>
      <c r="F2054" t="s">
        <v>26</v>
      </c>
      <c r="G2054" s="25" t="s">
        <v>5405</v>
      </c>
      <c r="H2054" t="s">
        <v>26</v>
      </c>
      <c r="I2054" s="24">
        <v>42736</v>
      </c>
      <c r="J2054" s="25" t="s">
        <v>77</v>
      </c>
      <c r="K2054" t="s">
        <v>26</v>
      </c>
      <c r="L2054" s="25" t="s">
        <v>68</v>
      </c>
      <c r="M2054" t="s">
        <v>26</v>
      </c>
      <c r="N2054" t="s">
        <v>26</v>
      </c>
      <c r="O2054" t="s">
        <v>26</v>
      </c>
      <c r="P2054" s="24">
        <v>42736</v>
      </c>
      <c r="Q2054" s="25" t="s">
        <v>77</v>
      </c>
      <c r="R2054" t="s">
        <v>26</v>
      </c>
      <c r="S2054" t="s">
        <v>26</v>
      </c>
      <c r="T2054" t="s">
        <v>26</v>
      </c>
      <c r="U2054" t="s">
        <v>26</v>
      </c>
      <c r="V2054" s="25">
        <v>365</v>
      </c>
      <c r="W2054" s="24">
        <v>42736</v>
      </c>
      <c r="X2054" s="25" t="s">
        <v>77</v>
      </c>
      <c r="Y2054" t="s">
        <v>26</v>
      </c>
      <c r="Z2054" s="24">
        <v>42736</v>
      </c>
      <c r="AA2054" s="25" t="s">
        <v>77</v>
      </c>
      <c r="AB2054" t="s">
        <v>26</v>
      </c>
      <c r="AC2054" s="24">
        <v>42736</v>
      </c>
      <c r="AD2054" s="25" t="s">
        <v>77</v>
      </c>
      <c r="AE2054" t="s">
        <v>26</v>
      </c>
      <c r="AF2054" t="s">
        <v>26</v>
      </c>
      <c r="AG2054" t="s">
        <v>26</v>
      </c>
      <c r="AH2054" t="s">
        <v>26</v>
      </c>
      <c r="AI2054" t="s">
        <v>26</v>
      </c>
      <c r="AJ2054" t="s">
        <v>26</v>
      </c>
      <c r="AK2054" t="s">
        <v>26</v>
      </c>
      <c r="AL2054" t="s">
        <v>26</v>
      </c>
      <c r="AM2054" t="s">
        <v>26</v>
      </c>
      <c r="AN2054" t="s">
        <v>26</v>
      </c>
      <c r="AO2054" s="25" t="s">
        <v>68</v>
      </c>
      <c r="AP2054" s="23" t="s">
        <v>69</v>
      </c>
      <c r="AQ2054" s="23" t="s">
        <v>30</v>
      </c>
      <c r="AR2054" s="23" t="s">
        <v>46</v>
      </c>
      <c r="AS2054" s="25">
        <v>4560800</v>
      </c>
      <c r="AT2054" t="s">
        <v>26</v>
      </c>
      <c r="AU2054" t="s">
        <v>24930</v>
      </c>
    </row>
    <row r="2055" spans="1:47" ht="26.25" x14ac:dyDescent="0.4">
      <c r="A2055" s="23" t="s">
        <v>5406</v>
      </c>
      <c r="B2055" t="s">
        <v>26</v>
      </c>
      <c r="C2055" s="23" t="s">
        <v>3316</v>
      </c>
      <c r="D2055" s="23" t="s">
        <v>22179</v>
      </c>
      <c r="E2055" s="23" t="s">
        <v>42</v>
      </c>
      <c r="F2055" s="25" t="s">
        <v>5407</v>
      </c>
      <c r="G2055" s="25" t="s">
        <v>5408</v>
      </c>
      <c r="H2055" t="s">
        <v>26</v>
      </c>
      <c r="I2055" s="24">
        <v>36526</v>
      </c>
      <c r="J2055" s="25" t="s">
        <v>77</v>
      </c>
      <c r="K2055" t="s">
        <v>26</v>
      </c>
      <c r="L2055" s="25" t="s">
        <v>68</v>
      </c>
      <c r="M2055" s="24">
        <v>38018</v>
      </c>
      <c r="N2055" s="24">
        <v>42856</v>
      </c>
      <c r="O2055" t="s">
        <v>26</v>
      </c>
      <c r="P2055" s="24">
        <v>36526</v>
      </c>
      <c r="Q2055" s="25" t="s">
        <v>77</v>
      </c>
      <c r="R2055" t="s">
        <v>26</v>
      </c>
      <c r="S2055" t="s">
        <v>26</v>
      </c>
      <c r="T2055" t="s">
        <v>26</v>
      </c>
      <c r="U2055" t="s">
        <v>26</v>
      </c>
      <c r="V2055" s="25">
        <v>365</v>
      </c>
      <c r="W2055" s="24">
        <v>36281</v>
      </c>
      <c r="X2055" s="25" t="s">
        <v>77</v>
      </c>
      <c r="Y2055" t="s">
        <v>26</v>
      </c>
      <c r="Z2055" s="24">
        <v>36281</v>
      </c>
      <c r="AA2055" s="25" t="s">
        <v>77</v>
      </c>
      <c r="AB2055" t="s">
        <v>26</v>
      </c>
      <c r="AC2055" s="24">
        <v>36526</v>
      </c>
      <c r="AD2055" s="25" t="s">
        <v>77</v>
      </c>
      <c r="AE2055" t="s">
        <v>26</v>
      </c>
      <c r="AF2055" t="s">
        <v>26</v>
      </c>
      <c r="AG2055" t="s">
        <v>26</v>
      </c>
      <c r="AH2055" t="s">
        <v>26</v>
      </c>
      <c r="AI2055" t="s">
        <v>26</v>
      </c>
      <c r="AJ2055" t="s">
        <v>26</v>
      </c>
      <c r="AK2055" t="s">
        <v>26</v>
      </c>
      <c r="AL2055" t="s">
        <v>26</v>
      </c>
      <c r="AM2055" t="s">
        <v>26</v>
      </c>
      <c r="AN2055" t="s">
        <v>26</v>
      </c>
      <c r="AO2055" s="25" t="s">
        <v>68</v>
      </c>
      <c r="AP2055" s="23" t="s">
        <v>69</v>
      </c>
      <c r="AQ2055" s="23" t="s">
        <v>30</v>
      </c>
      <c r="AR2055" s="23" t="s">
        <v>70</v>
      </c>
      <c r="AS2055" s="25">
        <v>44706</v>
      </c>
      <c r="AT2055" t="s">
        <v>26</v>
      </c>
      <c r="AU2055" t="s">
        <v>24931</v>
      </c>
    </row>
    <row r="2056" spans="1:47" ht="26.25" x14ac:dyDescent="0.4">
      <c r="A2056" s="23" t="s">
        <v>5409</v>
      </c>
      <c r="B2056" t="s">
        <v>26</v>
      </c>
      <c r="C2056" s="23" t="s">
        <v>3316</v>
      </c>
      <c r="D2056" s="23" t="s">
        <v>22174</v>
      </c>
      <c r="E2056" s="23" t="s">
        <v>42</v>
      </c>
      <c r="F2056" s="25" t="s">
        <v>5410</v>
      </c>
      <c r="G2056" s="25" t="s">
        <v>5411</v>
      </c>
      <c r="H2056" t="s">
        <v>26</v>
      </c>
      <c r="I2056" s="24">
        <v>36800</v>
      </c>
      <c r="J2056" s="25" t="s">
        <v>77</v>
      </c>
      <c r="K2056" t="s">
        <v>26</v>
      </c>
      <c r="L2056" s="25" t="s">
        <v>68</v>
      </c>
      <c r="M2056" s="24">
        <v>37987</v>
      </c>
      <c r="N2056" s="24">
        <v>42856</v>
      </c>
      <c r="O2056" t="s">
        <v>26</v>
      </c>
      <c r="P2056" s="24">
        <v>36800</v>
      </c>
      <c r="Q2056" s="25" t="s">
        <v>77</v>
      </c>
      <c r="R2056" t="s">
        <v>26</v>
      </c>
      <c r="S2056" t="s">
        <v>26</v>
      </c>
      <c r="T2056" t="s">
        <v>26</v>
      </c>
      <c r="U2056" t="s">
        <v>26</v>
      </c>
      <c r="V2056" s="25">
        <v>365</v>
      </c>
      <c r="W2056" s="24">
        <v>36800</v>
      </c>
      <c r="X2056" s="25" t="s">
        <v>77</v>
      </c>
      <c r="Y2056" t="s">
        <v>26</v>
      </c>
      <c r="Z2056" s="24">
        <v>36800</v>
      </c>
      <c r="AA2056" s="25" t="s">
        <v>77</v>
      </c>
      <c r="AB2056" t="s">
        <v>26</v>
      </c>
      <c r="AC2056" s="24">
        <v>36800</v>
      </c>
      <c r="AD2056" s="25" t="s">
        <v>77</v>
      </c>
      <c r="AE2056" t="s">
        <v>26</v>
      </c>
      <c r="AF2056" t="s">
        <v>26</v>
      </c>
      <c r="AG2056" t="s">
        <v>26</v>
      </c>
      <c r="AH2056" t="s">
        <v>26</v>
      </c>
      <c r="AI2056" t="s">
        <v>26</v>
      </c>
      <c r="AJ2056" t="s">
        <v>26</v>
      </c>
      <c r="AK2056" t="s">
        <v>26</v>
      </c>
      <c r="AL2056" t="s">
        <v>26</v>
      </c>
      <c r="AM2056" t="s">
        <v>26</v>
      </c>
      <c r="AN2056" t="s">
        <v>26</v>
      </c>
      <c r="AO2056" s="25" t="s">
        <v>68</v>
      </c>
      <c r="AP2056" s="23" t="s">
        <v>69</v>
      </c>
      <c r="AQ2056" s="23" t="s">
        <v>30</v>
      </c>
      <c r="AR2056" s="23" t="s">
        <v>70</v>
      </c>
      <c r="AS2056" s="25">
        <v>44265</v>
      </c>
      <c r="AT2056" t="s">
        <v>26</v>
      </c>
      <c r="AU2056" t="s">
        <v>24932</v>
      </c>
    </row>
    <row r="2057" spans="1:47" ht="26.25" x14ac:dyDescent="0.4">
      <c r="A2057" s="23" t="s">
        <v>5412</v>
      </c>
      <c r="B2057" t="s">
        <v>26</v>
      </c>
      <c r="C2057" s="23" t="s">
        <v>80</v>
      </c>
      <c r="D2057" s="23" t="s">
        <v>23269</v>
      </c>
      <c r="E2057" s="23" t="s">
        <v>60</v>
      </c>
      <c r="F2057" t="s">
        <v>26</v>
      </c>
      <c r="G2057" s="25" t="s">
        <v>5413</v>
      </c>
      <c r="H2057" t="s">
        <v>26</v>
      </c>
      <c r="I2057" s="24">
        <v>39814</v>
      </c>
      <c r="J2057" s="25" t="s">
        <v>77</v>
      </c>
      <c r="K2057" t="s">
        <v>26</v>
      </c>
      <c r="L2057" s="25" t="s">
        <v>68</v>
      </c>
      <c r="M2057" s="24">
        <v>41640</v>
      </c>
      <c r="N2057" s="25" t="s">
        <v>77</v>
      </c>
      <c r="O2057" t="s">
        <v>26</v>
      </c>
      <c r="P2057" s="24">
        <v>39814</v>
      </c>
      <c r="Q2057" s="25" t="s">
        <v>77</v>
      </c>
      <c r="R2057" t="s">
        <v>26</v>
      </c>
      <c r="S2057" t="s">
        <v>26</v>
      </c>
      <c r="T2057" t="s">
        <v>26</v>
      </c>
      <c r="U2057" t="s">
        <v>26</v>
      </c>
      <c r="V2057" t="s">
        <v>26</v>
      </c>
      <c r="W2057" s="24">
        <v>39814</v>
      </c>
      <c r="X2057" s="25" t="s">
        <v>77</v>
      </c>
      <c r="Y2057" t="s">
        <v>26</v>
      </c>
      <c r="Z2057" s="24">
        <v>39814</v>
      </c>
      <c r="AA2057" s="25" t="s">
        <v>77</v>
      </c>
      <c r="AB2057" t="s">
        <v>26</v>
      </c>
      <c r="AC2057" s="24">
        <v>39814</v>
      </c>
      <c r="AD2057" s="25" t="s">
        <v>77</v>
      </c>
      <c r="AE2057" t="s">
        <v>26</v>
      </c>
      <c r="AF2057" t="s">
        <v>26</v>
      </c>
      <c r="AG2057" t="s">
        <v>26</v>
      </c>
      <c r="AH2057" t="s">
        <v>26</v>
      </c>
      <c r="AI2057" t="s">
        <v>26</v>
      </c>
      <c r="AJ2057" t="s">
        <v>26</v>
      </c>
      <c r="AK2057" t="s">
        <v>26</v>
      </c>
      <c r="AL2057" t="s">
        <v>26</v>
      </c>
      <c r="AM2057" t="s">
        <v>26</v>
      </c>
      <c r="AN2057" t="s">
        <v>26</v>
      </c>
      <c r="AO2057" s="25" t="s">
        <v>68</v>
      </c>
      <c r="AP2057" s="23" t="s">
        <v>69</v>
      </c>
      <c r="AQ2057" s="23" t="s">
        <v>30</v>
      </c>
      <c r="AR2057" s="23" t="s">
        <v>46</v>
      </c>
      <c r="AS2057" s="25">
        <v>3933388</v>
      </c>
      <c r="AT2057" t="s">
        <v>26</v>
      </c>
      <c r="AU2057" t="s">
        <v>24933</v>
      </c>
    </row>
    <row r="2058" spans="1:47" ht="26.25" x14ac:dyDescent="0.4">
      <c r="A2058" s="23" t="s">
        <v>5414</v>
      </c>
      <c r="B2058" t="s">
        <v>26</v>
      </c>
      <c r="C2058" s="23" t="s">
        <v>22744</v>
      </c>
      <c r="D2058" t="s">
        <v>26</v>
      </c>
      <c r="E2058" s="23" t="s">
        <v>335</v>
      </c>
      <c r="F2058" t="s">
        <v>26</v>
      </c>
      <c r="G2058" t="s">
        <v>26</v>
      </c>
      <c r="H2058" t="s">
        <v>26</v>
      </c>
      <c r="I2058" s="24">
        <v>32874</v>
      </c>
      <c r="J2058" s="24">
        <v>33970</v>
      </c>
      <c r="K2058" t="s">
        <v>26</v>
      </c>
      <c r="L2058" s="25" t="s">
        <v>28</v>
      </c>
      <c r="M2058" s="24">
        <v>32874</v>
      </c>
      <c r="N2058" s="24">
        <v>33970</v>
      </c>
      <c r="O2058" t="s">
        <v>26</v>
      </c>
      <c r="P2058" t="s">
        <v>26</v>
      </c>
      <c r="Q2058" t="s">
        <v>26</v>
      </c>
      <c r="R2058" t="s">
        <v>26</v>
      </c>
      <c r="S2058" s="24">
        <v>32874</v>
      </c>
      <c r="T2058" s="24">
        <v>33970</v>
      </c>
      <c r="U2058" t="s">
        <v>26</v>
      </c>
      <c r="V2058" t="s">
        <v>26</v>
      </c>
      <c r="W2058" s="24">
        <v>32874</v>
      </c>
      <c r="X2058" s="24">
        <v>33970</v>
      </c>
      <c r="Y2058" t="s">
        <v>26</v>
      </c>
      <c r="Z2058" s="24">
        <v>32874</v>
      </c>
      <c r="AA2058" s="24">
        <v>33970</v>
      </c>
      <c r="AB2058" t="s">
        <v>26</v>
      </c>
      <c r="AC2058" s="24">
        <v>32874</v>
      </c>
      <c r="AD2058" s="24">
        <v>33970</v>
      </c>
      <c r="AE2058" t="s">
        <v>26</v>
      </c>
      <c r="AF2058" s="24">
        <v>32874</v>
      </c>
      <c r="AG2058" s="24">
        <v>33970</v>
      </c>
      <c r="AH2058" t="s">
        <v>26</v>
      </c>
      <c r="AI2058" s="24">
        <v>32874</v>
      </c>
      <c r="AJ2058" s="24">
        <v>33970</v>
      </c>
      <c r="AK2058" t="s">
        <v>26</v>
      </c>
      <c r="AL2058" t="s">
        <v>26</v>
      </c>
      <c r="AM2058" t="s">
        <v>26</v>
      </c>
      <c r="AN2058" t="s">
        <v>26</v>
      </c>
      <c r="AO2058" s="25" t="s">
        <v>28</v>
      </c>
      <c r="AP2058" s="23" t="s">
        <v>43</v>
      </c>
      <c r="AQ2058" s="23" t="s">
        <v>30</v>
      </c>
      <c r="AR2058" s="23" t="s">
        <v>44</v>
      </c>
      <c r="AS2058" s="25">
        <v>5256693</v>
      </c>
      <c r="AT2058" t="s">
        <v>26</v>
      </c>
      <c r="AU2058" t="s">
        <v>24934</v>
      </c>
    </row>
    <row r="2059" spans="1:47" ht="26.25" x14ac:dyDescent="0.4">
      <c r="A2059" s="23" t="s">
        <v>5415</v>
      </c>
      <c r="B2059" t="s">
        <v>26</v>
      </c>
      <c r="C2059" s="23" t="s">
        <v>172</v>
      </c>
      <c r="D2059" s="23" t="s">
        <v>22242</v>
      </c>
      <c r="E2059" s="23" t="s">
        <v>60</v>
      </c>
      <c r="F2059" s="25" t="s">
        <v>5416</v>
      </c>
      <c r="G2059" s="25" t="s">
        <v>5417</v>
      </c>
      <c r="H2059" t="s">
        <v>26</v>
      </c>
      <c r="I2059" s="24">
        <v>36161</v>
      </c>
      <c r="J2059" s="25" t="s">
        <v>77</v>
      </c>
      <c r="K2059" t="s">
        <v>26</v>
      </c>
      <c r="L2059" s="25" t="s">
        <v>68</v>
      </c>
      <c r="M2059" s="24">
        <v>37987</v>
      </c>
      <c r="N2059" s="25" t="s">
        <v>77</v>
      </c>
      <c r="O2059" s="25" t="s">
        <v>24935</v>
      </c>
      <c r="P2059" s="24">
        <v>36161</v>
      </c>
      <c r="Q2059" s="25" t="s">
        <v>77</v>
      </c>
      <c r="R2059" t="s">
        <v>26</v>
      </c>
      <c r="S2059" t="s">
        <v>26</v>
      </c>
      <c r="T2059" t="s">
        <v>26</v>
      </c>
      <c r="U2059" t="s">
        <v>26</v>
      </c>
      <c r="V2059" s="25">
        <v>365</v>
      </c>
      <c r="W2059" s="24">
        <v>36161</v>
      </c>
      <c r="X2059" s="25" t="s">
        <v>77</v>
      </c>
      <c r="Y2059" t="s">
        <v>26</v>
      </c>
      <c r="Z2059" s="24">
        <v>36161</v>
      </c>
      <c r="AA2059" s="25" t="s">
        <v>77</v>
      </c>
      <c r="AB2059" t="s">
        <v>26</v>
      </c>
      <c r="AC2059" s="24">
        <v>36161</v>
      </c>
      <c r="AD2059" s="25" t="s">
        <v>77</v>
      </c>
      <c r="AE2059" t="s">
        <v>26</v>
      </c>
      <c r="AF2059" t="s">
        <v>26</v>
      </c>
      <c r="AG2059" t="s">
        <v>26</v>
      </c>
      <c r="AH2059" t="s">
        <v>26</v>
      </c>
      <c r="AI2059" t="s">
        <v>26</v>
      </c>
      <c r="AJ2059" t="s">
        <v>26</v>
      </c>
      <c r="AK2059" t="s">
        <v>26</v>
      </c>
      <c r="AL2059" t="s">
        <v>26</v>
      </c>
      <c r="AM2059" t="s">
        <v>26</v>
      </c>
      <c r="AN2059" t="s">
        <v>26</v>
      </c>
      <c r="AO2059" s="25" t="s">
        <v>68</v>
      </c>
      <c r="AP2059" s="23" t="s">
        <v>69</v>
      </c>
      <c r="AQ2059" s="23" t="s">
        <v>30</v>
      </c>
      <c r="AR2059" s="23" t="s">
        <v>1007</v>
      </c>
      <c r="AS2059" s="25">
        <v>37977</v>
      </c>
      <c r="AT2059" t="s">
        <v>26</v>
      </c>
      <c r="AU2059" t="s">
        <v>24936</v>
      </c>
    </row>
    <row r="2060" spans="1:47" ht="26.25" x14ac:dyDescent="0.4">
      <c r="A2060" s="23" t="s">
        <v>5418</v>
      </c>
      <c r="B2060" t="s">
        <v>26</v>
      </c>
      <c r="C2060" s="23" t="s">
        <v>332</v>
      </c>
      <c r="D2060" s="23" t="s">
        <v>22256</v>
      </c>
      <c r="E2060" s="23" t="s">
        <v>42</v>
      </c>
      <c r="F2060" t="s">
        <v>26</v>
      </c>
      <c r="G2060" t="s">
        <v>26</v>
      </c>
      <c r="H2060" t="s">
        <v>26</v>
      </c>
      <c r="I2060" s="24">
        <v>40909</v>
      </c>
      <c r="J2060" s="24">
        <v>41640</v>
      </c>
      <c r="K2060" t="s">
        <v>26</v>
      </c>
      <c r="L2060" s="25" t="s">
        <v>28</v>
      </c>
      <c r="M2060" s="24">
        <v>40909</v>
      </c>
      <c r="N2060" s="24">
        <v>41640</v>
      </c>
      <c r="O2060" t="s">
        <v>26</v>
      </c>
      <c r="P2060" t="s">
        <v>26</v>
      </c>
      <c r="Q2060" t="s">
        <v>26</v>
      </c>
      <c r="R2060" t="s">
        <v>26</v>
      </c>
      <c r="S2060" t="s">
        <v>26</v>
      </c>
      <c r="T2060" t="s">
        <v>26</v>
      </c>
      <c r="U2060" t="s">
        <v>26</v>
      </c>
      <c r="V2060" t="s">
        <v>26</v>
      </c>
      <c r="W2060" s="24">
        <v>40909</v>
      </c>
      <c r="X2060" s="24">
        <v>41640</v>
      </c>
      <c r="Y2060" t="s">
        <v>26</v>
      </c>
      <c r="Z2060" s="24">
        <v>40909</v>
      </c>
      <c r="AA2060" s="24">
        <v>41640</v>
      </c>
      <c r="AB2060" t="s">
        <v>26</v>
      </c>
      <c r="AC2060" s="24">
        <v>40909</v>
      </c>
      <c r="AD2060" s="24">
        <v>41640</v>
      </c>
      <c r="AE2060" t="s">
        <v>26</v>
      </c>
      <c r="AF2060" t="s">
        <v>26</v>
      </c>
      <c r="AG2060" t="s">
        <v>26</v>
      </c>
      <c r="AH2060" t="s">
        <v>26</v>
      </c>
      <c r="AI2060" t="s">
        <v>26</v>
      </c>
      <c r="AJ2060" t="s">
        <v>26</v>
      </c>
      <c r="AK2060" t="s">
        <v>26</v>
      </c>
      <c r="AL2060" t="s">
        <v>26</v>
      </c>
      <c r="AM2060" t="s">
        <v>26</v>
      </c>
      <c r="AN2060" t="s">
        <v>26</v>
      </c>
      <c r="AO2060" s="25" t="s">
        <v>28</v>
      </c>
      <c r="AP2060" s="23" t="s">
        <v>279</v>
      </c>
      <c r="AQ2060" s="23" t="s">
        <v>30</v>
      </c>
      <c r="AR2060" s="23" t="s">
        <v>46</v>
      </c>
      <c r="AS2060" s="25">
        <v>6275757</v>
      </c>
      <c r="AT2060" t="s">
        <v>26</v>
      </c>
      <c r="AU2060" t="s">
        <v>24937</v>
      </c>
    </row>
    <row r="2061" spans="1:47" ht="26.25" x14ac:dyDescent="0.4">
      <c r="A2061" s="23" t="s">
        <v>5419</v>
      </c>
      <c r="B2061" t="s">
        <v>26</v>
      </c>
      <c r="C2061" s="23" t="s">
        <v>73</v>
      </c>
      <c r="D2061" s="23" t="s">
        <v>22211</v>
      </c>
      <c r="E2061" s="23" t="s">
        <v>74</v>
      </c>
      <c r="F2061" s="25" t="s">
        <v>5420</v>
      </c>
      <c r="G2061" s="25" t="s">
        <v>5421</v>
      </c>
      <c r="H2061" t="s">
        <v>26</v>
      </c>
      <c r="I2061" s="24">
        <v>38018</v>
      </c>
      <c r="J2061" s="24">
        <v>40148</v>
      </c>
      <c r="K2061" t="s">
        <v>26</v>
      </c>
      <c r="L2061" s="25" t="s">
        <v>68</v>
      </c>
      <c r="M2061" t="s">
        <v>26</v>
      </c>
      <c r="N2061" t="s">
        <v>26</v>
      </c>
      <c r="O2061" t="s">
        <v>26</v>
      </c>
      <c r="P2061" s="24">
        <v>38018</v>
      </c>
      <c r="Q2061" s="24">
        <v>40148</v>
      </c>
      <c r="R2061" t="s">
        <v>26</v>
      </c>
      <c r="S2061" t="s">
        <v>26</v>
      </c>
      <c r="T2061" t="s">
        <v>26</v>
      </c>
      <c r="U2061" t="s">
        <v>26</v>
      </c>
      <c r="V2061" t="s">
        <v>26</v>
      </c>
      <c r="W2061" s="24">
        <v>38018</v>
      </c>
      <c r="X2061" s="24">
        <v>40148</v>
      </c>
      <c r="Y2061" t="s">
        <v>26</v>
      </c>
      <c r="Z2061" s="24">
        <v>38018</v>
      </c>
      <c r="AA2061" s="24">
        <v>40148</v>
      </c>
      <c r="AB2061" t="s">
        <v>26</v>
      </c>
      <c r="AC2061" s="24">
        <v>38018</v>
      </c>
      <c r="AD2061" s="24">
        <v>40148</v>
      </c>
      <c r="AE2061" t="s">
        <v>26</v>
      </c>
      <c r="AF2061" t="s">
        <v>26</v>
      </c>
      <c r="AG2061" t="s">
        <v>26</v>
      </c>
      <c r="AH2061" t="s">
        <v>26</v>
      </c>
      <c r="AI2061" t="s">
        <v>26</v>
      </c>
      <c r="AJ2061" t="s">
        <v>26</v>
      </c>
      <c r="AK2061" t="s">
        <v>26</v>
      </c>
      <c r="AL2061" t="s">
        <v>26</v>
      </c>
      <c r="AM2061" t="s">
        <v>26</v>
      </c>
      <c r="AN2061" t="s">
        <v>26</v>
      </c>
      <c r="AO2061" s="25" t="s">
        <v>28</v>
      </c>
      <c r="AP2061" s="23" t="s">
        <v>69</v>
      </c>
      <c r="AQ2061" s="23" t="s">
        <v>30</v>
      </c>
      <c r="AR2061" s="23" t="s">
        <v>71</v>
      </c>
      <c r="AS2061" s="25">
        <v>54512</v>
      </c>
      <c r="AT2061" t="s">
        <v>26</v>
      </c>
      <c r="AU2061" t="s">
        <v>24938</v>
      </c>
    </row>
    <row r="2062" spans="1:47" ht="26.25" x14ac:dyDescent="0.4">
      <c r="A2062" s="23" t="s">
        <v>5422</v>
      </c>
      <c r="B2062" t="s">
        <v>26</v>
      </c>
      <c r="C2062" s="23" t="s">
        <v>3818</v>
      </c>
      <c r="D2062" s="23" t="s">
        <v>22218</v>
      </c>
      <c r="E2062" s="23" t="s">
        <v>479</v>
      </c>
      <c r="F2062" s="25" t="s">
        <v>5423</v>
      </c>
      <c r="G2062" s="25" t="s">
        <v>5424</v>
      </c>
      <c r="H2062" t="s">
        <v>26</v>
      </c>
      <c r="I2062" t="s">
        <v>26</v>
      </c>
      <c r="J2062" t="s">
        <v>26</v>
      </c>
      <c r="K2062" t="s">
        <v>26</v>
      </c>
      <c r="L2062" s="25" t="s">
        <v>68</v>
      </c>
      <c r="M2062" t="s">
        <v>26</v>
      </c>
      <c r="N2062" t="s">
        <v>26</v>
      </c>
      <c r="O2062" t="s">
        <v>26</v>
      </c>
      <c r="P2062" t="s">
        <v>26</v>
      </c>
      <c r="Q2062" t="s">
        <v>26</v>
      </c>
      <c r="R2062" t="s">
        <v>26</v>
      </c>
      <c r="S2062" t="s">
        <v>26</v>
      </c>
      <c r="T2062" t="s">
        <v>26</v>
      </c>
      <c r="U2062" t="s">
        <v>26</v>
      </c>
      <c r="V2062" t="s">
        <v>26</v>
      </c>
      <c r="W2062" s="24">
        <v>38108</v>
      </c>
      <c r="X2062" s="25" t="s">
        <v>77</v>
      </c>
      <c r="Y2062" t="s">
        <v>26</v>
      </c>
      <c r="Z2062" s="24">
        <v>38108</v>
      </c>
      <c r="AA2062" s="25" t="s">
        <v>77</v>
      </c>
      <c r="AB2062" t="s">
        <v>26</v>
      </c>
      <c r="AC2062" s="24">
        <v>38108</v>
      </c>
      <c r="AD2062" s="25" t="s">
        <v>77</v>
      </c>
      <c r="AE2062" t="s">
        <v>26</v>
      </c>
      <c r="AF2062" t="s">
        <v>26</v>
      </c>
      <c r="AG2062" t="s">
        <v>26</v>
      </c>
      <c r="AH2062" t="s">
        <v>26</v>
      </c>
      <c r="AI2062" t="s">
        <v>26</v>
      </c>
      <c r="AJ2062" t="s">
        <v>26</v>
      </c>
      <c r="AK2062" t="s">
        <v>26</v>
      </c>
      <c r="AL2062" t="s">
        <v>26</v>
      </c>
      <c r="AM2062" t="s">
        <v>26</v>
      </c>
      <c r="AN2062" t="s">
        <v>26</v>
      </c>
      <c r="AO2062" s="25" t="s">
        <v>68</v>
      </c>
      <c r="AP2062" s="23" t="s">
        <v>69</v>
      </c>
      <c r="AQ2062" s="23" t="s">
        <v>30</v>
      </c>
      <c r="AR2062" s="23" t="s">
        <v>5425</v>
      </c>
      <c r="AS2062" s="25">
        <v>37252</v>
      </c>
      <c r="AT2062" s="23" t="s">
        <v>24207</v>
      </c>
      <c r="AU2062" t="s">
        <v>24939</v>
      </c>
    </row>
    <row r="2063" spans="1:47" ht="26.25" x14ac:dyDescent="0.4">
      <c r="A2063" s="23" t="s">
        <v>5426</v>
      </c>
      <c r="B2063" t="s">
        <v>26</v>
      </c>
      <c r="C2063" s="23" t="s">
        <v>213</v>
      </c>
      <c r="D2063" s="23" t="s">
        <v>22174</v>
      </c>
      <c r="E2063" s="23" t="s">
        <v>60</v>
      </c>
      <c r="F2063" t="s">
        <v>26</v>
      </c>
      <c r="G2063" s="25" t="s">
        <v>5427</v>
      </c>
      <c r="H2063" t="s">
        <v>26</v>
      </c>
      <c r="I2063" s="24">
        <v>39814</v>
      </c>
      <c r="J2063" s="25" t="s">
        <v>77</v>
      </c>
      <c r="K2063" t="s">
        <v>26</v>
      </c>
      <c r="L2063" s="25" t="s">
        <v>68</v>
      </c>
      <c r="M2063" t="s">
        <v>26</v>
      </c>
      <c r="N2063" t="s">
        <v>26</v>
      </c>
      <c r="O2063" t="s">
        <v>26</v>
      </c>
      <c r="P2063" s="24">
        <v>39814</v>
      </c>
      <c r="Q2063" s="25" t="s">
        <v>77</v>
      </c>
      <c r="R2063" t="s">
        <v>26</v>
      </c>
      <c r="S2063" t="s">
        <v>26</v>
      </c>
      <c r="T2063" t="s">
        <v>26</v>
      </c>
      <c r="U2063" t="s">
        <v>26</v>
      </c>
      <c r="V2063" t="s">
        <v>26</v>
      </c>
      <c r="W2063" s="24">
        <v>39814</v>
      </c>
      <c r="X2063" s="25" t="s">
        <v>77</v>
      </c>
      <c r="Y2063" t="s">
        <v>26</v>
      </c>
      <c r="Z2063" s="24">
        <v>39814</v>
      </c>
      <c r="AA2063" s="25" t="s">
        <v>77</v>
      </c>
      <c r="AB2063" t="s">
        <v>26</v>
      </c>
      <c r="AC2063" s="24">
        <v>39814</v>
      </c>
      <c r="AD2063" s="25" t="s">
        <v>77</v>
      </c>
      <c r="AE2063" t="s">
        <v>26</v>
      </c>
      <c r="AF2063" t="s">
        <v>26</v>
      </c>
      <c r="AG2063" t="s">
        <v>26</v>
      </c>
      <c r="AH2063" t="s">
        <v>26</v>
      </c>
      <c r="AI2063" t="s">
        <v>26</v>
      </c>
      <c r="AJ2063" t="s">
        <v>26</v>
      </c>
      <c r="AK2063" t="s">
        <v>26</v>
      </c>
      <c r="AL2063" t="s">
        <v>26</v>
      </c>
      <c r="AM2063" t="s">
        <v>26</v>
      </c>
      <c r="AN2063" t="s">
        <v>26</v>
      </c>
      <c r="AO2063" s="25" t="s">
        <v>68</v>
      </c>
      <c r="AP2063" s="23" t="s">
        <v>69</v>
      </c>
      <c r="AQ2063" s="23" t="s">
        <v>30</v>
      </c>
      <c r="AR2063" s="23" t="s">
        <v>70</v>
      </c>
      <c r="AS2063" s="25">
        <v>55043</v>
      </c>
      <c r="AT2063" t="s">
        <v>26</v>
      </c>
      <c r="AU2063" t="s">
        <v>24940</v>
      </c>
    </row>
    <row r="2064" spans="1:47" ht="26.25" x14ac:dyDescent="0.4">
      <c r="A2064" s="23" t="s">
        <v>5428</v>
      </c>
      <c r="B2064" t="s">
        <v>26</v>
      </c>
      <c r="C2064" s="23" t="s">
        <v>5429</v>
      </c>
      <c r="D2064" s="23" t="s">
        <v>22228</v>
      </c>
      <c r="E2064" s="23" t="s">
        <v>1383</v>
      </c>
      <c r="F2064" s="25" t="s">
        <v>5430</v>
      </c>
      <c r="G2064" s="25" t="s">
        <v>5431</v>
      </c>
      <c r="H2064" t="s">
        <v>26</v>
      </c>
      <c r="I2064" s="24">
        <v>38657</v>
      </c>
      <c r="J2064" s="24">
        <v>41395</v>
      </c>
      <c r="K2064" t="s">
        <v>26</v>
      </c>
      <c r="L2064" s="25" t="s">
        <v>68</v>
      </c>
      <c r="M2064" s="24">
        <v>38657</v>
      </c>
      <c r="N2064" s="24">
        <v>41395</v>
      </c>
      <c r="O2064" t="s">
        <v>26</v>
      </c>
      <c r="P2064" s="24">
        <v>38657</v>
      </c>
      <c r="Q2064" s="24">
        <v>41395</v>
      </c>
      <c r="R2064" t="s">
        <v>26</v>
      </c>
      <c r="S2064" t="s">
        <v>26</v>
      </c>
      <c r="T2064" t="s">
        <v>26</v>
      </c>
      <c r="U2064" t="s">
        <v>26</v>
      </c>
      <c r="V2064" t="s">
        <v>26</v>
      </c>
      <c r="W2064" s="24">
        <v>38657</v>
      </c>
      <c r="X2064" s="24">
        <v>41395</v>
      </c>
      <c r="Y2064" t="s">
        <v>26</v>
      </c>
      <c r="Z2064" s="24">
        <v>38657</v>
      </c>
      <c r="AA2064" s="24">
        <v>41395</v>
      </c>
      <c r="AB2064" t="s">
        <v>26</v>
      </c>
      <c r="AC2064" s="24">
        <v>38657</v>
      </c>
      <c r="AD2064" s="24">
        <v>41395</v>
      </c>
      <c r="AE2064" t="s">
        <v>26</v>
      </c>
      <c r="AF2064" t="s">
        <v>26</v>
      </c>
      <c r="AG2064" t="s">
        <v>26</v>
      </c>
      <c r="AH2064" t="s">
        <v>26</v>
      </c>
      <c r="AI2064" t="s">
        <v>26</v>
      </c>
      <c r="AJ2064" t="s">
        <v>26</v>
      </c>
      <c r="AK2064" t="s">
        <v>26</v>
      </c>
      <c r="AL2064" t="s">
        <v>26</v>
      </c>
      <c r="AM2064" t="s">
        <v>26</v>
      </c>
      <c r="AN2064" t="s">
        <v>26</v>
      </c>
      <c r="AO2064" s="25" t="s">
        <v>68</v>
      </c>
      <c r="AP2064" s="23" t="s">
        <v>69</v>
      </c>
      <c r="AQ2064" s="23" t="s">
        <v>30</v>
      </c>
      <c r="AR2064" s="23" t="s">
        <v>1139</v>
      </c>
      <c r="AS2064" s="25">
        <v>27998</v>
      </c>
      <c r="AT2064" t="s">
        <v>26</v>
      </c>
      <c r="AU2064" t="s">
        <v>24941</v>
      </c>
    </row>
    <row r="2065" spans="1:47" ht="26.25" x14ac:dyDescent="0.4">
      <c r="A2065" s="23" t="s">
        <v>5428</v>
      </c>
      <c r="B2065" t="s">
        <v>26</v>
      </c>
      <c r="C2065" s="23" t="s">
        <v>5432</v>
      </c>
      <c r="D2065" s="23" t="s">
        <v>22228</v>
      </c>
      <c r="E2065" s="23" t="s">
        <v>1383</v>
      </c>
      <c r="F2065" s="25" t="s">
        <v>5430</v>
      </c>
      <c r="G2065" s="25" t="s">
        <v>5431</v>
      </c>
      <c r="H2065" t="s">
        <v>26</v>
      </c>
      <c r="I2065" s="24">
        <v>41456</v>
      </c>
      <c r="J2065" s="25" t="s">
        <v>77</v>
      </c>
      <c r="K2065" t="s">
        <v>26</v>
      </c>
      <c r="L2065" s="25" t="s">
        <v>68</v>
      </c>
      <c r="M2065" s="24">
        <v>41456</v>
      </c>
      <c r="N2065" s="24">
        <v>43891</v>
      </c>
      <c r="O2065" t="s">
        <v>26</v>
      </c>
      <c r="P2065" s="24">
        <v>41456</v>
      </c>
      <c r="Q2065" s="25" t="s">
        <v>77</v>
      </c>
      <c r="R2065" t="s">
        <v>26</v>
      </c>
      <c r="S2065" t="s">
        <v>26</v>
      </c>
      <c r="T2065" t="s">
        <v>26</v>
      </c>
      <c r="U2065" t="s">
        <v>26</v>
      </c>
      <c r="V2065" t="s">
        <v>26</v>
      </c>
      <c r="W2065" s="24">
        <v>41456</v>
      </c>
      <c r="X2065" s="25" t="s">
        <v>77</v>
      </c>
      <c r="Y2065" t="s">
        <v>26</v>
      </c>
      <c r="Z2065" s="24">
        <v>41456</v>
      </c>
      <c r="AA2065" s="25" t="s">
        <v>77</v>
      </c>
      <c r="AB2065" t="s">
        <v>26</v>
      </c>
      <c r="AC2065" s="24">
        <v>41456</v>
      </c>
      <c r="AD2065" s="25" t="s">
        <v>77</v>
      </c>
      <c r="AE2065" t="s">
        <v>26</v>
      </c>
      <c r="AF2065" t="s">
        <v>26</v>
      </c>
      <c r="AG2065" t="s">
        <v>26</v>
      </c>
      <c r="AH2065" t="s">
        <v>26</v>
      </c>
      <c r="AI2065" t="s">
        <v>26</v>
      </c>
      <c r="AJ2065" t="s">
        <v>26</v>
      </c>
      <c r="AK2065" t="s">
        <v>26</v>
      </c>
      <c r="AL2065" t="s">
        <v>26</v>
      </c>
      <c r="AM2065" t="s">
        <v>26</v>
      </c>
      <c r="AN2065" t="s">
        <v>26</v>
      </c>
      <c r="AO2065" s="25" t="s">
        <v>68</v>
      </c>
      <c r="AP2065" s="23" t="s">
        <v>69</v>
      </c>
      <c r="AQ2065" s="23" t="s">
        <v>30</v>
      </c>
      <c r="AR2065" s="23" t="s">
        <v>1139</v>
      </c>
      <c r="AS2065" s="25">
        <v>2036027</v>
      </c>
      <c r="AT2065" t="s">
        <v>26</v>
      </c>
      <c r="AU2065" t="s">
        <v>24942</v>
      </c>
    </row>
    <row r="2066" spans="1:47" ht="26.25" x14ac:dyDescent="0.4">
      <c r="A2066" s="23" t="s">
        <v>5433</v>
      </c>
      <c r="B2066" t="s">
        <v>26</v>
      </c>
      <c r="C2066" s="23" t="s">
        <v>259</v>
      </c>
      <c r="D2066" s="23" t="s">
        <v>22179</v>
      </c>
      <c r="E2066" s="23" t="s">
        <v>60</v>
      </c>
      <c r="F2066" s="25" t="s">
        <v>5434</v>
      </c>
      <c r="G2066" s="25" t="s">
        <v>5435</v>
      </c>
      <c r="H2066" t="s">
        <v>26</v>
      </c>
      <c r="I2066" s="24">
        <v>41275</v>
      </c>
      <c r="J2066" s="25" t="s">
        <v>77</v>
      </c>
      <c r="K2066" t="s">
        <v>26</v>
      </c>
      <c r="L2066" s="25" t="s">
        <v>68</v>
      </c>
      <c r="M2066" s="24">
        <v>41275</v>
      </c>
      <c r="N2066" s="25" t="s">
        <v>77</v>
      </c>
      <c r="O2066" t="s">
        <v>26</v>
      </c>
      <c r="P2066" s="24">
        <v>41275</v>
      </c>
      <c r="Q2066" s="25" t="s">
        <v>77</v>
      </c>
      <c r="R2066" t="s">
        <v>26</v>
      </c>
      <c r="S2066" t="s">
        <v>26</v>
      </c>
      <c r="T2066" t="s">
        <v>26</v>
      </c>
      <c r="U2066" t="s">
        <v>26</v>
      </c>
      <c r="V2066" t="s">
        <v>26</v>
      </c>
      <c r="W2066" s="24">
        <v>41275</v>
      </c>
      <c r="X2066" s="25" t="s">
        <v>77</v>
      </c>
      <c r="Y2066" t="s">
        <v>26</v>
      </c>
      <c r="Z2066" s="24">
        <v>41275</v>
      </c>
      <c r="AA2066" s="25" t="s">
        <v>77</v>
      </c>
      <c r="AB2066" t="s">
        <v>26</v>
      </c>
      <c r="AC2066" s="24">
        <v>41275</v>
      </c>
      <c r="AD2066" s="25" t="s">
        <v>77</v>
      </c>
      <c r="AE2066" t="s">
        <v>26</v>
      </c>
      <c r="AF2066" t="s">
        <v>26</v>
      </c>
      <c r="AG2066" t="s">
        <v>26</v>
      </c>
      <c r="AH2066" t="s">
        <v>26</v>
      </c>
      <c r="AI2066" t="s">
        <v>26</v>
      </c>
      <c r="AJ2066" t="s">
        <v>26</v>
      </c>
      <c r="AK2066" t="s">
        <v>26</v>
      </c>
      <c r="AL2066" t="s">
        <v>26</v>
      </c>
      <c r="AM2066" t="s">
        <v>26</v>
      </c>
      <c r="AN2066" t="s">
        <v>26</v>
      </c>
      <c r="AO2066" s="25" t="s">
        <v>68</v>
      </c>
      <c r="AP2066" s="23" t="s">
        <v>69</v>
      </c>
      <c r="AQ2066" s="23" t="s">
        <v>30</v>
      </c>
      <c r="AR2066" s="23" t="s">
        <v>70</v>
      </c>
      <c r="AS2066" s="25">
        <v>4727250</v>
      </c>
      <c r="AT2066" t="s">
        <v>26</v>
      </c>
      <c r="AU2066" t="s">
        <v>24943</v>
      </c>
    </row>
    <row r="2067" spans="1:47" ht="26.25" x14ac:dyDescent="0.4">
      <c r="A2067" s="23" t="s">
        <v>5436</v>
      </c>
      <c r="B2067" t="s">
        <v>26</v>
      </c>
      <c r="C2067" s="23" t="s">
        <v>73</v>
      </c>
      <c r="D2067" s="23" t="s">
        <v>22211</v>
      </c>
      <c r="E2067" s="23" t="s">
        <v>74</v>
      </c>
      <c r="F2067" s="25" t="s">
        <v>5437</v>
      </c>
      <c r="G2067" s="25" t="s">
        <v>5438</v>
      </c>
      <c r="H2067" t="s">
        <v>26</v>
      </c>
      <c r="I2067" t="s">
        <v>26</v>
      </c>
      <c r="J2067" t="s">
        <v>26</v>
      </c>
      <c r="K2067" t="s">
        <v>26</v>
      </c>
      <c r="L2067" s="25" t="s">
        <v>68</v>
      </c>
      <c r="M2067" t="s">
        <v>26</v>
      </c>
      <c r="N2067" t="s">
        <v>26</v>
      </c>
      <c r="O2067" t="s">
        <v>26</v>
      </c>
      <c r="P2067" t="s">
        <v>26</v>
      </c>
      <c r="Q2067" t="s">
        <v>26</v>
      </c>
      <c r="R2067" t="s">
        <v>26</v>
      </c>
      <c r="S2067" t="s">
        <v>26</v>
      </c>
      <c r="T2067" t="s">
        <v>26</v>
      </c>
      <c r="U2067" t="s">
        <v>26</v>
      </c>
      <c r="V2067" t="s">
        <v>26</v>
      </c>
      <c r="W2067" s="24">
        <v>39083</v>
      </c>
      <c r="X2067" s="25" t="s">
        <v>77</v>
      </c>
      <c r="Y2067" s="25" t="s">
        <v>5439</v>
      </c>
      <c r="Z2067" s="24">
        <v>39083</v>
      </c>
      <c r="AA2067" s="25" t="s">
        <v>77</v>
      </c>
      <c r="AB2067" s="25" t="s">
        <v>5439</v>
      </c>
      <c r="AC2067" s="24">
        <v>39083</v>
      </c>
      <c r="AD2067" s="25" t="s">
        <v>77</v>
      </c>
      <c r="AE2067" s="25" t="s">
        <v>5439</v>
      </c>
      <c r="AF2067" t="s">
        <v>26</v>
      </c>
      <c r="AG2067" t="s">
        <v>26</v>
      </c>
      <c r="AH2067" t="s">
        <v>26</v>
      </c>
      <c r="AI2067" t="s">
        <v>26</v>
      </c>
      <c r="AJ2067" t="s">
        <v>26</v>
      </c>
      <c r="AK2067" t="s">
        <v>26</v>
      </c>
      <c r="AL2067" t="s">
        <v>26</v>
      </c>
      <c r="AM2067" t="s">
        <v>26</v>
      </c>
      <c r="AN2067" t="s">
        <v>26</v>
      </c>
      <c r="AO2067" s="25" t="s">
        <v>68</v>
      </c>
      <c r="AP2067" s="23" t="s">
        <v>69</v>
      </c>
      <c r="AQ2067" s="23" t="s">
        <v>30</v>
      </c>
      <c r="AR2067" s="23" t="s">
        <v>1139</v>
      </c>
      <c r="AS2067" s="25">
        <v>2043838</v>
      </c>
      <c r="AT2067" t="s">
        <v>26</v>
      </c>
      <c r="AU2067" t="s">
        <v>24944</v>
      </c>
    </row>
    <row r="2068" spans="1:47" ht="26.25" x14ac:dyDescent="0.4">
      <c r="A2068" s="23" t="s">
        <v>5440</v>
      </c>
      <c r="B2068" t="s">
        <v>26</v>
      </c>
      <c r="C2068" s="23" t="s">
        <v>2404</v>
      </c>
      <c r="D2068" s="23" t="s">
        <v>23395</v>
      </c>
      <c r="E2068" s="23" t="s">
        <v>574</v>
      </c>
      <c r="F2068" s="25" t="s">
        <v>5441</v>
      </c>
      <c r="G2068" s="25" t="s">
        <v>5442</v>
      </c>
      <c r="H2068" t="s">
        <v>26</v>
      </c>
      <c r="I2068" s="24">
        <v>40909</v>
      </c>
      <c r="J2068" s="24">
        <v>44166</v>
      </c>
      <c r="K2068" t="s">
        <v>26</v>
      </c>
      <c r="L2068" s="25" t="s">
        <v>68</v>
      </c>
      <c r="M2068" s="24">
        <v>40909</v>
      </c>
      <c r="N2068" s="24">
        <v>44166</v>
      </c>
      <c r="O2068" t="s">
        <v>26</v>
      </c>
      <c r="P2068" s="24">
        <v>40909</v>
      </c>
      <c r="Q2068" s="24">
        <v>44166</v>
      </c>
      <c r="R2068" t="s">
        <v>26</v>
      </c>
      <c r="S2068" t="s">
        <v>26</v>
      </c>
      <c r="T2068" t="s">
        <v>26</v>
      </c>
      <c r="U2068" t="s">
        <v>26</v>
      </c>
      <c r="V2068" t="s">
        <v>26</v>
      </c>
      <c r="W2068" s="24">
        <v>40909</v>
      </c>
      <c r="X2068" s="25" t="s">
        <v>77</v>
      </c>
      <c r="Y2068" t="s">
        <v>26</v>
      </c>
      <c r="Z2068" s="24">
        <v>40909</v>
      </c>
      <c r="AA2068" s="25" t="s">
        <v>77</v>
      </c>
      <c r="AB2068" t="s">
        <v>26</v>
      </c>
      <c r="AC2068" s="24">
        <v>40909</v>
      </c>
      <c r="AD2068" s="25" t="s">
        <v>77</v>
      </c>
      <c r="AE2068" t="s">
        <v>26</v>
      </c>
      <c r="AF2068" t="s">
        <v>26</v>
      </c>
      <c r="AG2068" t="s">
        <v>26</v>
      </c>
      <c r="AH2068" t="s">
        <v>26</v>
      </c>
      <c r="AI2068" t="s">
        <v>26</v>
      </c>
      <c r="AJ2068" t="s">
        <v>26</v>
      </c>
      <c r="AK2068" t="s">
        <v>26</v>
      </c>
      <c r="AL2068" t="s">
        <v>26</v>
      </c>
      <c r="AM2068" t="s">
        <v>26</v>
      </c>
      <c r="AN2068" t="s">
        <v>26</v>
      </c>
      <c r="AO2068" s="25" t="s">
        <v>68</v>
      </c>
      <c r="AP2068" s="23" t="s">
        <v>69</v>
      </c>
      <c r="AQ2068" s="23" t="s">
        <v>30</v>
      </c>
      <c r="AR2068" s="23" t="s">
        <v>70</v>
      </c>
      <c r="AS2068" s="25">
        <v>4671210</v>
      </c>
      <c r="AT2068" t="s">
        <v>26</v>
      </c>
      <c r="AU2068" t="s">
        <v>24945</v>
      </c>
    </row>
    <row r="2069" spans="1:47" ht="26.25" x14ac:dyDescent="0.4">
      <c r="A2069" s="23" t="s">
        <v>5443</v>
      </c>
      <c r="B2069" t="s">
        <v>26</v>
      </c>
      <c r="C2069" s="23" t="s">
        <v>803</v>
      </c>
      <c r="D2069" s="23" t="s">
        <v>22499</v>
      </c>
      <c r="E2069" s="23" t="s">
        <v>711</v>
      </c>
      <c r="F2069" s="25" t="s">
        <v>5444</v>
      </c>
      <c r="G2069" s="25" t="s">
        <v>5445</v>
      </c>
      <c r="H2069" t="s">
        <v>26</v>
      </c>
      <c r="I2069" s="24">
        <v>38078</v>
      </c>
      <c r="J2069" s="24">
        <v>42309</v>
      </c>
      <c r="K2069" t="s">
        <v>26</v>
      </c>
      <c r="L2069" s="25" t="s">
        <v>68</v>
      </c>
      <c r="M2069" t="s">
        <v>26</v>
      </c>
      <c r="N2069" t="s">
        <v>26</v>
      </c>
      <c r="O2069" t="s">
        <v>26</v>
      </c>
      <c r="P2069" s="24">
        <v>38078</v>
      </c>
      <c r="Q2069" s="24">
        <v>42309</v>
      </c>
      <c r="R2069" t="s">
        <v>26</v>
      </c>
      <c r="S2069" t="s">
        <v>26</v>
      </c>
      <c r="T2069" t="s">
        <v>26</v>
      </c>
      <c r="U2069" t="s">
        <v>26</v>
      </c>
      <c r="V2069" t="s">
        <v>26</v>
      </c>
      <c r="W2069" s="24">
        <v>38078</v>
      </c>
      <c r="X2069" s="24">
        <v>42461</v>
      </c>
      <c r="Y2069" t="s">
        <v>26</v>
      </c>
      <c r="Z2069" s="24">
        <v>38078</v>
      </c>
      <c r="AA2069" s="24">
        <v>42461</v>
      </c>
      <c r="AB2069" t="s">
        <v>26</v>
      </c>
      <c r="AC2069" s="24">
        <v>38078</v>
      </c>
      <c r="AD2069" s="24">
        <v>42461</v>
      </c>
      <c r="AE2069" t="s">
        <v>26</v>
      </c>
      <c r="AF2069" t="s">
        <v>26</v>
      </c>
      <c r="AG2069" t="s">
        <v>26</v>
      </c>
      <c r="AH2069" t="s">
        <v>26</v>
      </c>
      <c r="AI2069" t="s">
        <v>26</v>
      </c>
      <c r="AJ2069" t="s">
        <v>26</v>
      </c>
      <c r="AK2069" t="s">
        <v>26</v>
      </c>
      <c r="AL2069" t="s">
        <v>26</v>
      </c>
      <c r="AM2069" t="s">
        <v>26</v>
      </c>
      <c r="AN2069" t="s">
        <v>26</v>
      </c>
      <c r="AO2069" s="25" t="s">
        <v>68</v>
      </c>
      <c r="AP2069" s="23" t="s">
        <v>69</v>
      </c>
      <c r="AQ2069" s="23" t="s">
        <v>30</v>
      </c>
      <c r="AR2069" s="23" t="s">
        <v>5446</v>
      </c>
      <c r="AS2069" s="25">
        <v>1356336</v>
      </c>
      <c r="AT2069" t="s">
        <v>26</v>
      </c>
      <c r="AU2069" t="s">
        <v>24946</v>
      </c>
    </row>
    <row r="2070" spans="1:47" ht="26.25" x14ac:dyDescent="0.4">
      <c r="A2070" s="23" t="s">
        <v>5447</v>
      </c>
      <c r="B2070" t="s">
        <v>26</v>
      </c>
      <c r="C2070" s="23" t="s">
        <v>59</v>
      </c>
      <c r="D2070" s="23" t="s">
        <v>22174</v>
      </c>
      <c r="E2070" s="23" t="s">
        <v>60</v>
      </c>
      <c r="F2070" t="s">
        <v>26</v>
      </c>
      <c r="G2070" t="s">
        <v>26</v>
      </c>
      <c r="H2070" s="25" t="s">
        <v>5448</v>
      </c>
      <c r="I2070" s="24">
        <v>41640</v>
      </c>
      <c r="J2070" s="24">
        <v>41640</v>
      </c>
      <c r="K2070" t="s">
        <v>26</v>
      </c>
      <c r="L2070" s="25" t="s">
        <v>28</v>
      </c>
      <c r="M2070" s="24">
        <v>41640</v>
      </c>
      <c r="N2070" s="24">
        <v>41640</v>
      </c>
      <c r="O2070" t="s">
        <v>26</v>
      </c>
      <c r="P2070" s="24">
        <v>41640</v>
      </c>
      <c r="Q2070" s="24">
        <v>41640</v>
      </c>
      <c r="R2070" t="s">
        <v>26</v>
      </c>
      <c r="S2070" t="s">
        <v>26</v>
      </c>
      <c r="T2070" t="s">
        <v>26</v>
      </c>
      <c r="U2070" t="s">
        <v>26</v>
      </c>
      <c r="V2070" t="s">
        <v>26</v>
      </c>
      <c r="W2070" s="24">
        <v>41640</v>
      </c>
      <c r="X2070" s="24">
        <v>41640</v>
      </c>
      <c r="Y2070" t="s">
        <v>26</v>
      </c>
      <c r="Z2070" s="24">
        <v>41640</v>
      </c>
      <c r="AA2070" s="24">
        <v>41640</v>
      </c>
      <c r="AB2070" t="s">
        <v>26</v>
      </c>
      <c r="AC2070" s="24">
        <v>41640</v>
      </c>
      <c r="AD2070" s="24">
        <v>41640</v>
      </c>
      <c r="AE2070" t="s">
        <v>26</v>
      </c>
      <c r="AF2070" t="s">
        <v>26</v>
      </c>
      <c r="AG2070" t="s">
        <v>26</v>
      </c>
      <c r="AH2070" t="s">
        <v>26</v>
      </c>
      <c r="AI2070" t="s">
        <v>26</v>
      </c>
      <c r="AJ2070" t="s">
        <v>26</v>
      </c>
      <c r="AK2070" t="s">
        <v>26</v>
      </c>
      <c r="AL2070" t="s">
        <v>26</v>
      </c>
      <c r="AM2070" t="s">
        <v>26</v>
      </c>
      <c r="AN2070" t="s">
        <v>26</v>
      </c>
      <c r="AO2070" s="25" t="s">
        <v>28</v>
      </c>
      <c r="AP2070" s="23" t="s">
        <v>29</v>
      </c>
      <c r="AQ2070" s="23" t="s">
        <v>30</v>
      </c>
      <c r="AR2070" s="23" t="s">
        <v>46</v>
      </c>
      <c r="AS2070" s="25">
        <v>2043162</v>
      </c>
      <c r="AT2070" t="s">
        <v>26</v>
      </c>
      <c r="AU2070" t="s">
        <v>24947</v>
      </c>
    </row>
    <row r="2071" spans="1:47" ht="26.25" x14ac:dyDescent="0.4">
      <c r="A2071" s="23" t="s">
        <v>5449</v>
      </c>
      <c r="B2071" t="s">
        <v>26</v>
      </c>
      <c r="C2071" s="23" t="s">
        <v>341</v>
      </c>
      <c r="D2071" s="23" t="s">
        <v>22222</v>
      </c>
      <c r="E2071" s="23" t="s">
        <v>60</v>
      </c>
      <c r="F2071" s="25" t="s">
        <v>5450</v>
      </c>
      <c r="G2071" s="25" t="s">
        <v>5451</v>
      </c>
      <c r="H2071" t="s">
        <v>26</v>
      </c>
      <c r="I2071" s="24">
        <v>35916</v>
      </c>
      <c r="J2071" s="25" t="s">
        <v>77</v>
      </c>
      <c r="K2071" t="s">
        <v>26</v>
      </c>
      <c r="L2071" s="25" t="s">
        <v>68</v>
      </c>
      <c r="M2071" s="24">
        <v>37653</v>
      </c>
      <c r="N2071" s="25" t="s">
        <v>77</v>
      </c>
      <c r="O2071" t="s">
        <v>26</v>
      </c>
      <c r="P2071" s="24">
        <v>35916</v>
      </c>
      <c r="Q2071" s="25" t="s">
        <v>77</v>
      </c>
      <c r="R2071" t="s">
        <v>26</v>
      </c>
      <c r="S2071" t="s">
        <v>26</v>
      </c>
      <c r="T2071" t="s">
        <v>26</v>
      </c>
      <c r="U2071" t="s">
        <v>26</v>
      </c>
      <c r="V2071" s="25">
        <v>60</v>
      </c>
      <c r="W2071" s="24">
        <v>35916</v>
      </c>
      <c r="X2071" s="25" t="s">
        <v>77</v>
      </c>
      <c r="Y2071" t="s">
        <v>26</v>
      </c>
      <c r="Z2071" s="24">
        <v>35916</v>
      </c>
      <c r="AA2071" s="25" t="s">
        <v>77</v>
      </c>
      <c r="AB2071" t="s">
        <v>26</v>
      </c>
      <c r="AC2071" s="24">
        <v>35916</v>
      </c>
      <c r="AD2071" s="25" t="s">
        <v>77</v>
      </c>
      <c r="AE2071" t="s">
        <v>26</v>
      </c>
      <c r="AF2071" t="s">
        <v>26</v>
      </c>
      <c r="AG2071" t="s">
        <v>26</v>
      </c>
      <c r="AH2071" t="s">
        <v>26</v>
      </c>
      <c r="AI2071" t="s">
        <v>26</v>
      </c>
      <c r="AJ2071" t="s">
        <v>26</v>
      </c>
      <c r="AK2071" t="s">
        <v>26</v>
      </c>
      <c r="AL2071" t="s">
        <v>26</v>
      </c>
      <c r="AM2071" t="s">
        <v>26</v>
      </c>
      <c r="AN2071" t="s">
        <v>26</v>
      </c>
      <c r="AO2071" s="25" t="s">
        <v>68</v>
      </c>
      <c r="AP2071" s="23" t="s">
        <v>69</v>
      </c>
      <c r="AQ2071" s="23" t="s">
        <v>30</v>
      </c>
      <c r="AR2071" s="23" t="s">
        <v>70</v>
      </c>
      <c r="AS2071" s="25">
        <v>2031077</v>
      </c>
      <c r="AT2071" t="s">
        <v>26</v>
      </c>
      <c r="AU2071" t="s">
        <v>24948</v>
      </c>
    </row>
    <row r="2072" spans="1:47" ht="26.25" x14ac:dyDescent="0.4">
      <c r="A2072" s="23" t="s">
        <v>5452</v>
      </c>
      <c r="B2072" t="s">
        <v>26</v>
      </c>
      <c r="C2072" s="23" t="s">
        <v>5452</v>
      </c>
      <c r="D2072" s="23" t="s">
        <v>24949</v>
      </c>
      <c r="E2072" s="23" t="s">
        <v>526</v>
      </c>
      <c r="F2072" t="s">
        <v>26</v>
      </c>
      <c r="G2072" s="25" t="s">
        <v>5453</v>
      </c>
      <c r="H2072" t="s">
        <v>26</v>
      </c>
      <c r="I2072" s="24">
        <v>37622</v>
      </c>
      <c r="J2072" s="25" t="s">
        <v>77</v>
      </c>
      <c r="K2072" t="s">
        <v>26</v>
      </c>
      <c r="L2072" s="25" t="s">
        <v>68</v>
      </c>
      <c r="M2072" t="s">
        <v>26</v>
      </c>
      <c r="N2072" t="s">
        <v>26</v>
      </c>
      <c r="O2072" t="s">
        <v>26</v>
      </c>
      <c r="P2072" s="24">
        <v>37622</v>
      </c>
      <c r="Q2072" s="25" t="s">
        <v>77</v>
      </c>
      <c r="R2072" t="s">
        <v>26</v>
      </c>
      <c r="S2072" t="s">
        <v>26</v>
      </c>
      <c r="T2072" t="s">
        <v>26</v>
      </c>
      <c r="U2072" t="s">
        <v>26</v>
      </c>
      <c r="V2072" t="s">
        <v>26</v>
      </c>
      <c r="W2072" s="24">
        <v>37622</v>
      </c>
      <c r="X2072" s="25" t="s">
        <v>77</v>
      </c>
      <c r="Y2072" t="s">
        <v>26</v>
      </c>
      <c r="Z2072" s="24">
        <v>37622</v>
      </c>
      <c r="AA2072" s="25" t="s">
        <v>77</v>
      </c>
      <c r="AB2072" t="s">
        <v>26</v>
      </c>
      <c r="AC2072" s="24">
        <v>37622</v>
      </c>
      <c r="AD2072" s="25" t="s">
        <v>77</v>
      </c>
      <c r="AE2072" t="s">
        <v>26</v>
      </c>
      <c r="AF2072" t="s">
        <v>26</v>
      </c>
      <c r="AG2072" t="s">
        <v>26</v>
      </c>
      <c r="AH2072" t="s">
        <v>26</v>
      </c>
      <c r="AI2072" t="s">
        <v>26</v>
      </c>
      <c r="AJ2072" t="s">
        <v>26</v>
      </c>
      <c r="AK2072" t="s">
        <v>26</v>
      </c>
      <c r="AL2072" t="s">
        <v>26</v>
      </c>
      <c r="AM2072" t="s">
        <v>26</v>
      </c>
      <c r="AN2072" t="s">
        <v>26</v>
      </c>
      <c r="AO2072" s="25" t="s">
        <v>68</v>
      </c>
      <c r="AP2072" s="23" t="s">
        <v>69</v>
      </c>
      <c r="AQ2072" s="23" t="s">
        <v>528</v>
      </c>
      <c r="AR2072" s="23" t="s">
        <v>5454</v>
      </c>
      <c r="AS2072" s="25">
        <v>2035897</v>
      </c>
      <c r="AT2072" t="s">
        <v>26</v>
      </c>
      <c r="AU2072" t="s">
        <v>24950</v>
      </c>
    </row>
    <row r="2073" spans="1:47" ht="26.25" x14ac:dyDescent="0.4">
      <c r="A2073" s="23" t="s">
        <v>5455</v>
      </c>
      <c r="B2073" t="s">
        <v>26</v>
      </c>
      <c r="C2073" s="23" t="s">
        <v>5456</v>
      </c>
      <c r="D2073" s="23" t="s">
        <v>24951</v>
      </c>
      <c r="E2073" s="23" t="s">
        <v>42</v>
      </c>
      <c r="F2073" t="s">
        <v>26</v>
      </c>
      <c r="G2073" s="25" t="s">
        <v>5457</v>
      </c>
      <c r="H2073" t="s">
        <v>26</v>
      </c>
      <c r="I2073" s="24">
        <v>41640</v>
      </c>
      <c r="J2073" s="25" t="s">
        <v>77</v>
      </c>
      <c r="K2073" t="s">
        <v>26</v>
      </c>
      <c r="L2073" s="25" t="s">
        <v>68</v>
      </c>
      <c r="M2073" t="s">
        <v>26</v>
      </c>
      <c r="N2073" t="s">
        <v>26</v>
      </c>
      <c r="O2073" t="s">
        <v>26</v>
      </c>
      <c r="P2073" s="24">
        <v>41640</v>
      </c>
      <c r="Q2073" s="25" t="s">
        <v>77</v>
      </c>
      <c r="R2073" t="s">
        <v>26</v>
      </c>
      <c r="S2073" t="s">
        <v>26</v>
      </c>
      <c r="T2073" t="s">
        <v>26</v>
      </c>
      <c r="U2073" t="s">
        <v>26</v>
      </c>
      <c r="V2073" t="s">
        <v>26</v>
      </c>
      <c r="W2073" s="24">
        <v>41640</v>
      </c>
      <c r="X2073" s="25" t="s">
        <v>77</v>
      </c>
      <c r="Y2073" t="s">
        <v>26</v>
      </c>
      <c r="Z2073" s="24">
        <v>41640</v>
      </c>
      <c r="AA2073" s="25" t="s">
        <v>77</v>
      </c>
      <c r="AB2073" t="s">
        <v>26</v>
      </c>
      <c r="AC2073" s="24">
        <v>41640</v>
      </c>
      <c r="AD2073" s="25" t="s">
        <v>77</v>
      </c>
      <c r="AE2073" t="s">
        <v>26</v>
      </c>
      <c r="AF2073" t="s">
        <v>26</v>
      </c>
      <c r="AG2073" t="s">
        <v>26</v>
      </c>
      <c r="AH2073" t="s">
        <v>26</v>
      </c>
      <c r="AI2073" t="s">
        <v>26</v>
      </c>
      <c r="AJ2073" t="s">
        <v>26</v>
      </c>
      <c r="AK2073" t="s">
        <v>26</v>
      </c>
      <c r="AL2073" t="s">
        <v>26</v>
      </c>
      <c r="AM2073" t="s">
        <v>26</v>
      </c>
      <c r="AN2073" t="s">
        <v>26</v>
      </c>
      <c r="AO2073" s="25" t="s">
        <v>68</v>
      </c>
      <c r="AP2073" s="23" t="s">
        <v>69</v>
      </c>
      <c r="AQ2073" s="23" t="s">
        <v>30</v>
      </c>
      <c r="AR2073" s="23" t="s">
        <v>5458</v>
      </c>
      <c r="AS2073" s="25">
        <v>5538878</v>
      </c>
      <c r="AT2073" t="s">
        <v>26</v>
      </c>
      <c r="AU2073" t="s">
        <v>24952</v>
      </c>
    </row>
    <row r="2074" spans="1:47" ht="26.25" x14ac:dyDescent="0.4">
      <c r="A2074" s="23" t="s">
        <v>5459</v>
      </c>
      <c r="B2074" t="s">
        <v>26</v>
      </c>
      <c r="C2074" s="23" t="s">
        <v>676</v>
      </c>
      <c r="D2074" s="23" t="s">
        <v>22179</v>
      </c>
      <c r="E2074" s="23" t="s">
        <v>74</v>
      </c>
      <c r="F2074" s="25" t="s">
        <v>5460</v>
      </c>
      <c r="G2074" s="25" t="s">
        <v>5461</v>
      </c>
      <c r="H2074" t="s">
        <v>26</v>
      </c>
      <c r="I2074" t="s">
        <v>26</v>
      </c>
      <c r="J2074" t="s">
        <v>26</v>
      </c>
      <c r="K2074" t="s">
        <v>26</v>
      </c>
      <c r="L2074" s="25" t="s">
        <v>68</v>
      </c>
      <c r="M2074" t="s">
        <v>26</v>
      </c>
      <c r="N2074" t="s">
        <v>26</v>
      </c>
      <c r="O2074" t="s">
        <v>26</v>
      </c>
      <c r="P2074" t="s">
        <v>26</v>
      </c>
      <c r="Q2074" t="s">
        <v>26</v>
      </c>
      <c r="R2074" t="s">
        <v>26</v>
      </c>
      <c r="S2074" t="s">
        <v>26</v>
      </c>
      <c r="T2074" t="s">
        <v>26</v>
      </c>
      <c r="U2074" t="s">
        <v>26</v>
      </c>
      <c r="V2074" t="s">
        <v>26</v>
      </c>
      <c r="W2074" s="24">
        <v>38534</v>
      </c>
      <c r="X2074" s="24">
        <v>42736</v>
      </c>
      <c r="Y2074" t="s">
        <v>26</v>
      </c>
      <c r="Z2074" s="24">
        <v>38534</v>
      </c>
      <c r="AA2074" s="24">
        <v>42736</v>
      </c>
      <c r="AB2074" t="s">
        <v>26</v>
      </c>
      <c r="AC2074" s="24">
        <v>38534</v>
      </c>
      <c r="AD2074" s="24">
        <v>42736</v>
      </c>
      <c r="AE2074" t="s">
        <v>26</v>
      </c>
      <c r="AF2074" t="s">
        <v>26</v>
      </c>
      <c r="AG2074" t="s">
        <v>26</v>
      </c>
      <c r="AH2074" t="s">
        <v>26</v>
      </c>
      <c r="AI2074" t="s">
        <v>26</v>
      </c>
      <c r="AJ2074" t="s">
        <v>26</v>
      </c>
      <c r="AK2074" t="s">
        <v>26</v>
      </c>
      <c r="AL2074" t="s">
        <v>26</v>
      </c>
      <c r="AM2074" t="s">
        <v>26</v>
      </c>
      <c r="AN2074" t="s">
        <v>26</v>
      </c>
      <c r="AO2074" s="25" t="s">
        <v>68</v>
      </c>
      <c r="AP2074" s="23" t="s">
        <v>69</v>
      </c>
      <c r="AQ2074" s="23" t="s">
        <v>30</v>
      </c>
      <c r="AR2074" s="23" t="s">
        <v>605</v>
      </c>
      <c r="AS2074" s="25">
        <v>32945</v>
      </c>
      <c r="AT2074" t="s">
        <v>26</v>
      </c>
      <c r="AU2074" t="s">
        <v>24953</v>
      </c>
    </row>
    <row r="2075" spans="1:47" ht="26.25" x14ac:dyDescent="0.4">
      <c r="A2075" s="23" t="s">
        <v>5462</v>
      </c>
      <c r="B2075" t="s">
        <v>26</v>
      </c>
      <c r="C2075" s="23" t="s">
        <v>80</v>
      </c>
      <c r="D2075" s="23" t="s">
        <v>22242</v>
      </c>
      <c r="E2075" s="23" t="s">
        <v>60</v>
      </c>
      <c r="F2075" s="25" t="s">
        <v>5463</v>
      </c>
      <c r="G2075" s="25" t="s">
        <v>5464</v>
      </c>
      <c r="H2075" t="s">
        <v>26</v>
      </c>
      <c r="I2075" t="s">
        <v>26</v>
      </c>
      <c r="J2075" t="s">
        <v>26</v>
      </c>
      <c r="K2075" t="s">
        <v>26</v>
      </c>
      <c r="L2075" s="25" t="s">
        <v>68</v>
      </c>
      <c r="M2075" t="s">
        <v>26</v>
      </c>
      <c r="N2075" t="s">
        <v>26</v>
      </c>
      <c r="O2075" t="s">
        <v>26</v>
      </c>
      <c r="P2075" t="s">
        <v>26</v>
      </c>
      <c r="Q2075" t="s">
        <v>26</v>
      </c>
      <c r="R2075" t="s">
        <v>26</v>
      </c>
      <c r="S2075" t="s">
        <v>26</v>
      </c>
      <c r="T2075" t="s">
        <v>26</v>
      </c>
      <c r="U2075" t="s">
        <v>26</v>
      </c>
      <c r="V2075" t="s">
        <v>26</v>
      </c>
      <c r="W2075" s="24">
        <v>36161</v>
      </c>
      <c r="X2075" s="25" t="s">
        <v>77</v>
      </c>
      <c r="Y2075" s="25" t="s">
        <v>5465</v>
      </c>
      <c r="Z2075" s="24">
        <v>36161</v>
      </c>
      <c r="AA2075" s="25" t="s">
        <v>77</v>
      </c>
      <c r="AB2075" s="25" t="s">
        <v>5465</v>
      </c>
      <c r="AC2075" s="24">
        <v>36161</v>
      </c>
      <c r="AD2075" s="25" t="s">
        <v>77</v>
      </c>
      <c r="AE2075" s="25" t="s">
        <v>5465</v>
      </c>
      <c r="AF2075" t="s">
        <v>26</v>
      </c>
      <c r="AG2075" t="s">
        <v>26</v>
      </c>
      <c r="AH2075" t="s">
        <v>26</v>
      </c>
      <c r="AI2075" t="s">
        <v>26</v>
      </c>
      <c r="AJ2075" t="s">
        <v>26</v>
      </c>
      <c r="AK2075" t="s">
        <v>26</v>
      </c>
      <c r="AL2075" t="s">
        <v>26</v>
      </c>
      <c r="AM2075" t="s">
        <v>26</v>
      </c>
      <c r="AN2075" t="s">
        <v>26</v>
      </c>
      <c r="AO2075" s="25" t="s">
        <v>68</v>
      </c>
      <c r="AP2075" s="23" t="s">
        <v>69</v>
      </c>
      <c r="AQ2075" s="23" t="s">
        <v>30</v>
      </c>
      <c r="AR2075" s="23" t="s">
        <v>71</v>
      </c>
      <c r="AS2075" s="25">
        <v>30200</v>
      </c>
      <c r="AT2075" t="s">
        <v>26</v>
      </c>
      <c r="AU2075" t="s">
        <v>24954</v>
      </c>
    </row>
    <row r="2076" spans="1:47" ht="26.25" x14ac:dyDescent="0.4">
      <c r="A2076" s="23" t="s">
        <v>5466</v>
      </c>
      <c r="B2076" t="s">
        <v>26</v>
      </c>
      <c r="C2076" s="23" t="s">
        <v>22238</v>
      </c>
      <c r="D2076" t="s">
        <v>26</v>
      </c>
      <c r="E2076" s="23" t="s">
        <v>42</v>
      </c>
      <c r="F2076" t="s">
        <v>26</v>
      </c>
      <c r="G2076" t="s">
        <v>26</v>
      </c>
      <c r="H2076" t="s">
        <v>26</v>
      </c>
      <c r="I2076" s="24">
        <v>43101</v>
      </c>
      <c r="J2076" s="24">
        <v>43101</v>
      </c>
      <c r="K2076" t="s">
        <v>26</v>
      </c>
      <c r="L2076" s="25" t="s">
        <v>28</v>
      </c>
      <c r="M2076" s="24">
        <v>43101</v>
      </c>
      <c r="N2076" s="24">
        <v>43101</v>
      </c>
      <c r="O2076" t="s">
        <v>26</v>
      </c>
      <c r="P2076" t="s">
        <v>26</v>
      </c>
      <c r="Q2076" t="s">
        <v>26</v>
      </c>
      <c r="R2076" t="s">
        <v>26</v>
      </c>
      <c r="S2076" s="24">
        <v>43101</v>
      </c>
      <c r="T2076" s="24">
        <v>43101</v>
      </c>
      <c r="U2076" t="s">
        <v>26</v>
      </c>
      <c r="V2076" t="s">
        <v>26</v>
      </c>
      <c r="W2076" s="24">
        <v>43101</v>
      </c>
      <c r="X2076" s="24">
        <v>43101</v>
      </c>
      <c r="Y2076" t="s">
        <v>26</v>
      </c>
      <c r="Z2076" s="24">
        <v>43101</v>
      </c>
      <c r="AA2076" s="24">
        <v>43101</v>
      </c>
      <c r="AB2076" t="s">
        <v>26</v>
      </c>
      <c r="AC2076" s="24">
        <v>43101</v>
      </c>
      <c r="AD2076" s="24">
        <v>43101</v>
      </c>
      <c r="AE2076" t="s">
        <v>26</v>
      </c>
      <c r="AF2076" s="24">
        <v>43101</v>
      </c>
      <c r="AG2076" s="24">
        <v>43101</v>
      </c>
      <c r="AH2076" t="s">
        <v>26</v>
      </c>
      <c r="AI2076" s="24">
        <v>43101</v>
      </c>
      <c r="AJ2076" s="24">
        <v>43101</v>
      </c>
      <c r="AK2076" t="s">
        <v>26</v>
      </c>
      <c r="AL2076" t="s">
        <v>26</v>
      </c>
      <c r="AM2076" t="s">
        <v>26</v>
      </c>
      <c r="AN2076" t="s">
        <v>26</v>
      </c>
      <c r="AO2076" s="25" t="s">
        <v>28</v>
      </c>
      <c r="AP2076" s="23" t="s">
        <v>43</v>
      </c>
      <c r="AQ2076" s="23" t="s">
        <v>30</v>
      </c>
      <c r="AR2076" s="23" t="s">
        <v>44</v>
      </c>
      <c r="AS2076" s="25">
        <v>5263201</v>
      </c>
      <c r="AT2076" t="s">
        <v>26</v>
      </c>
      <c r="AU2076" t="s">
        <v>24955</v>
      </c>
    </row>
    <row r="2077" spans="1:47" ht="26.25" x14ac:dyDescent="0.4">
      <c r="A2077" s="23" t="s">
        <v>5467</v>
      </c>
      <c r="B2077" t="s">
        <v>26</v>
      </c>
      <c r="C2077" s="23" t="s">
        <v>22238</v>
      </c>
      <c r="D2077" t="s">
        <v>26</v>
      </c>
      <c r="E2077" s="23" t="s">
        <v>42</v>
      </c>
      <c r="F2077" t="s">
        <v>26</v>
      </c>
      <c r="G2077" t="s">
        <v>26</v>
      </c>
      <c r="H2077" t="s">
        <v>26</v>
      </c>
      <c r="I2077" s="24">
        <v>43101</v>
      </c>
      <c r="J2077" s="24">
        <v>43101</v>
      </c>
      <c r="K2077" t="s">
        <v>26</v>
      </c>
      <c r="L2077" s="25" t="s">
        <v>28</v>
      </c>
      <c r="M2077" s="24">
        <v>43101</v>
      </c>
      <c r="N2077" s="24">
        <v>43101</v>
      </c>
      <c r="O2077" t="s">
        <v>26</v>
      </c>
      <c r="P2077" t="s">
        <v>26</v>
      </c>
      <c r="Q2077" t="s">
        <v>26</v>
      </c>
      <c r="R2077" t="s">
        <v>26</v>
      </c>
      <c r="S2077" s="24">
        <v>43101</v>
      </c>
      <c r="T2077" s="24">
        <v>43101</v>
      </c>
      <c r="U2077" t="s">
        <v>26</v>
      </c>
      <c r="V2077" t="s">
        <v>26</v>
      </c>
      <c r="W2077" s="24">
        <v>43101</v>
      </c>
      <c r="X2077" s="24">
        <v>43101</v>
      </c>
      <c r="Y2077" t="s">
        <v>26</v>
      </c>
      <c r="Z2077" s="24">
        <v>43101</v>
      </c>
      <c r="AA2077" s="24">
        <v>43101</v>
      </c>
      <c r="AB2077" t="s">
        <v>26</v>
      </c>
      <c r="AC2077" s="24">
        <v>43101</v>
      </c>
      <c r="AD2077" s="24">
        <v>43101</v>
      </c>
      <c r="AE2077" t="s">
        <v>26</v>
      </c>
      <c r="AF2077" s="24">
        <v>43101</v>
      </c>
      <c r="AG2077" s="24">
        <v>43101</v>
      </c>
      <c r="AH2077" t="s">
        <v>26</v>
      </c>
      <c r="AI2077" s="24">
        <v>43101</v>
      </c>
      <c r="AJ2077" s="24">
        <v>43101</v>
      </c>
      <c r="AK2077" t="s">
        <v>26</v>
      </c>
      <c r="AL2077" t="s">
        <v>26</v>
      </c>
      <c r="AM2077" t="s">
        <v>26</v>
      </c>
      <c r="AN2077" t="s">
        <v>26</v>
      </c>
      <c r="AO2077" s="25" t="s">
        <v>28</v>
      </c>
      <c r="AP2077" s="23" t="s">
        <v>43</v>
      </c>
      <c r="AQ2077" s="23" t="s">
        <v>30</v>
      </c>
      <c r="AR2077" s="23" t="s">
        <v>44</v>
      </c>
      <c r="AS2077" s="25">
        <v>5263200</v>
      </c>
      <c r="AT2077" t="s">
        <v>26</v>
      </c>
      <c r="AU2077" t="s">
        <v>24956</v>
      </c>
    </row>
    <row r="2078" spans="1:47" ht="26.25" x14ac:dyDescent="0.4">
      <c r="A2078" s="23" t="s">
        <v>5468</v>
      </c>
      <c r="B2078" t="s">
        <v>26</v>
      </c>
      <c r="C2078" s="23" t="s">
        <v>22238</v>
      </c>
      <c r="D2078" t="s">
        <v>26</v>
      </c>
      <c r="E2078" s="23" t="s">
        <v>42</v>
      </c>
      <c r="F2078" t="s">
        <v>26</v>
      </c>
      <c r="G2078" t="s">
        <v>26</v>
      </c>
      <c r="H2078" t="s">
        <v>26</v>
      </c>
      <c r="I2078" s="24">
        <v>43101</v>
      </c>
      <c r="J2078" s="24">
        <v>43101</v>
      </c>
      <c r="K2078" t="s">
        <v>26</v>
      </c>
      <c r="L2078" s="25" t="s">
        <v>28</v>
      </c>
      <c r="M2078" s="24">
        <v>43101</v>
      </c>
      <c r="N2078" s="24">
        <v>43101</v>
      </c>
      <c r="O2078" t="s">
        <v>26</v>
      </c>
      <c r="P2078" t="s">
        <v>26</v>
      </c>
      <c r="Q2078" t="s">
        <v>26</v>
      </c>
      <c r="R2078" t="s">
        <v>26</v>
      </c>
      <c r="S2078" s="24">
        <v>43101</v>
      </c>
      <c r="T2078" s="24">
        <v>43101</v>
      </c>
      <c r="U2078" t="s">
        <v>26</v>
      </c>
      <c r="V2078" t="s">
        <v>26</v>
      </c>
      <c r="W2078" s="24">
        <v>43101</v>
      </c>
      <c r="X2078" s="24">
        <v>43101</v>
      </c>
      <c r="Y2078" t="s">
        <v>26</v>
      </c>
      <c r="Z2078" s="24">
        <v>43101</v>
      </c>
      <c r="AA2078" s="24">
        <v>43101</v>
      </c>
      <c r="AB2078" t="s">
        <v>26</v>
      </c>
      <c r="AC2078" s="24">
        <v>43101</v>
      </c>
      <c r="AD2078" s="24">
        <v>43101</v>
      </c>
      <c r="AE2078" t="s">
        <v>26</v>
      </c>
      <c r="AF2078" s="24">
        <v>43101</v>
      </c>
      <c r="AG2078" s="24">
        <v>43101</v>
      </c>
      <c r="AH2078" t="s">
        <v>26</v>
      </c>
      <c r="AI2078" s="24">
        <v>43101</v>
      </c>
      <c r="AJ2078" s="24">
        <v>43101</v>
      </c>
      <c r="AK2078" t="s">
        <v>26</v>
      </c>
      <c r="AL2078" t="s">
        <v>26</v>
      </c>
      <c r="AM2078" t="s">
        <v>26</v>
      </c>
      <c r="AN2078" t="s">
        <v>26</v>
      </c>
      <c r="AO2078" s="25" t="s">
        <v>28</v>
      </c>
      <c r="AP2078" s="23" t="s">
        <v>43</v>
      </c>
      <c r="AQ2078" s="23" t="s">
        <v>30</v>
      </c>
      <c r="AR2078" s="23" t="s">
        <v>44</v>
      </c>
      <c r="AS2078" s="25">
        <v>5263199</v>
      </c>
      <c r="AT2078" t="s">
        <v>26</v>
      </c>
      <c r="AU2078" t="s">
        <v>24957</v>
      </c>
    </row>
    <row r="2079" spans="1:47" ht="26.25" x14ac:dyDescent="0.4">
      <c r="A2079" s="23" t="s">
        <v>5469</v>
      </c>
      <c r="B2079" t="s">
        <v>26</v>
      </c>
      <c r="C2079" s="23" t="s">
        <v>22238</v>
      </c>
      <c r="D2079" t="s">
        <v>26</v>
      </c>
      <c r="E2079" s="23" t="s">
        <v>42</v>
      </c>
      <c r="F2079" t="s">
        <v>26</v>
      </c>
      <c r="G2079" t="s">
        <v>26</v>
      </c>
      <c r="H2079" t="s">
        <v>26</v>
      </c>
      <c r="I2079" s="24">
        <v>43101</v>
      </c>
      <c r="J2079" s="24">
        <v>43101</v>
      </c>
      <c r="K2079" t="s">
        <v>26</v>
      </c>
      <c r="L2079" s="25" t="s">
        <v>28</v>
      </c>
      <c r="M2079" s="24">
        <v>43101</v>
      </c>
      <c r="N2079" s="24">
        <v>43101</v>
      </c>
      <c r="O2079" t="s">
        <v>26</v>
      </c>
      <c r="P2079" t="s">
        <v>26</v>
      </c>
      <c r="Q2079" t="s">
        <v>26</v>
      </c>
      <c r="R2079" t="s">
        <v>26</v>
      </c>
      <c r="S2079" s="24">
        <v>43101</v>
      </c>
      <c r="T2079" s="24">
        <v>43101</v>
      </c>
      <c r="U2079" t="s">
        <v>26</v>
      </c>
      <c r="V2079" t="s">
        <v>26</v>
      </c>
      <c r="W2079" s="24">
        <v>43101</v>
      </c>
      <c r="X2079" s="24">
        <v>43101</v>
      </c>
      <c r="Y2079" t="s">
        <v>26</v>
      </c>
      <c r="Z2079" s="24">
        <v>43101</v>
      </c>
      <c r="AA2079" s="24">
        <v>43101</v>
      </c>
      <c r="AB2079" t="s">
        <v>26</v>
      </c>
      <c r="AC2079" s="24">
        <v>43101</v>
      </c>
      <c r="AD2079" s="24">
        <v>43101</v>
      </c>
      <c r="AE2079" t="s">
        <v>26</v>
      </c>
      <c r="AF2079" s="24">
        <v>43101</v>
      </c>
      <c r="AG2079" s="24">
        <v>43101</v>
      </c>
      <c r="AH2079" t="s">
        <v>26</v>
      </c>
      <c r="AI2079" s="24">
        <v>43101</v>
      </c>
      <c r="AJ2079" s="24">
        <v>43101</v>
      </c>
      <c r="AK2079" t="s">
        <v>26</v>
      </c>
      <c r="AL2079" t="s">
        <v>26</v>
      </c>
      <c r="AM2079" t="s">
        <v>26</v>
      </c>
      <c r="AN2079" t="s">
        <v>26</v>
      </c>
      <c r="AO2079" s="25" t="s">
        <v>28</v>
      </c>
      <c r="AP2079" s="23" t="s">
        <v>43</v>
      </c>
      <c r="AQ2079" s="23" t="s">
        <v>30</v>
      </c>
      <c r="AR2079" s="23" t="s">
        <v>44</v>
      </c>
      <c r="AS2079" s="25">
        <v>5263198</v>
      </c>
      <c r="AT2079" t="s">
        <v>26</v>
      </c>
      <c r="AU2079" t="s">
        <v>24958</v>
      </c>
    </row>
    <row r="2080" spans="1:47" ht="26.25" x14ac:dyDescent="0.4">
      <c r="A2080" s="23" t="s">
        <v>5470</v>
      </c>
      <c r="B2080" t="s">
        <v>26</v>
      </c>
      <c r="C2080" s="23" t="s">
        <v>22238</v>
      </c>
      <c r="D2080" t="s">
        <v>26</v>
      </c>
      <c r="E2080" s="23" t="s">
        <v>42</v>
      </c>
      <c r="F2080" t="s">
        <v>26</v>
      </c>
      <c r="G2080" t="s">
        <v>26</v>
      </c>
      <c r="H2080" t="s">
        <v>26</v>
      </c>
      <c r="I2080" s="24">
        <v>43101</v>
      </c>
      <c r="J2080" s="24">
        <v>43101</v>
      </c>
      <c r="K2080" t="s">
        <v>26</v>
      </c>
      <c r="L2080" s="25" t="s">
        <v>28</v>
      </c>
      <c r="M2080" s="24">
        <v>43101</v>
      </c>
      <c r="N2080" s="24">
        <v>43101</v>
      </c>
      <c r="O2080" t="s">
        <v>26</v>
      </c>
      <c r="P2080" t="s">
        <v>26</v>
      </c>
      <c r="Q2080" t="s">
        <v>26</v>
      </c>
      <c r="R2080" t="s">
        <v>26</v>
      </c>
      <c r="S2080" s="24">
        <v>43101</v>
      </c>
      <c r="T2080" s="24">
        <v>43101</v>
      </c>
      <c r="U2080" t="s">
        <v>26</v>
      </c>
      <c r="V2080" t="s">
        <v>26</v>
      </c>
      <c r="W2080" s="24">
        <v>43101</v>
      </c>
      <c r="X2080" s="24">
        <v>43101</v>
      </c>
      <c r="Y2080" t="s">
        <v>26</v>
      </c>
      <c r="Z2080" s="24">
        <v>43101</v>
      </c>
      <c r="AA2080" s="24">
        <v>43101</v>
      </c>
      <c r="AB2080" t="s">
        <v>26</v>
      </c>
      <c r="AC2080" s="24">
        <v>43101</v>
      </c>
      <c r="AD2080" s="24">
        <v>43101</v>
      </c>
      <c r="AE2080" t="s">
        <v>26</v>
      </c>
      <c r="AF2080" s="24">
        <v>43101</v>
      </c>
      <c r="AG2080" s="24">
        <v>43101</v>
      </c>
      <c r="AH2080" t="s">
        <v>26</v>
      </c>
      <c r="AI2080" s="24">
        <v>43101</v>
      </c>
      <c r="AJ2080" s="24">
        <v>43101</v>
      </c>
      <c r="AK2080" t="s">
        <v>26</v>
      </c>
      <c r="AL2080" t="s">
        <v>26</v>
      </c>
      <c r="AM2080" t="s">
        <v>26</v>
      </c>
      <c r="AN2080" t="s">
        <v>26</v>
      </c>
      <c r="AO2080" s="25" t="s">
        <v>28</v>
      </c>
      <c r="AP2080" s="23" t="s">
        <v>43</v>
      </c>
      <c r="AQ2080" s="23" t="s">
        <v>30</v>
      </c>
      <c r="AR2080" s="23" t="s">
        <v>44</v>
      </c>
      <c r="AS2080" s="25">
        <v>5263197</v>
      </c>
      <c r="AT2080" t="s">
        <v>26</v>
      </c>
      <c r="AU2080" t="s">
        <v>24959</v>
      </c>
    </row>
    <row r="2081" spans="1:47" ht="26.25" x14ac:dyDescent="0.4">
      <c r="A2081" s="23" t="s">
        <v>5471</v>
      </c>
      <c r="B2081" t="s">
        <v>26</v>
      </c>
      <c r="C2081" s="23" t="s">
        <v>5472</v>
      </c>
      <c r="D2081" s="23" t="s">
        <v>22174</v>
      </c>
      <c r="E2081" s="23" t="s">
        <v>60</v>
      </c>
      <c r="F2081" s="25" t="s">
        <v>5473</v>
      </c>
      <c r="G2081" s="25" t="s">
        <v>5474</v>
      </c>
      <c r="H2081" t="s">
        <v>26</v>
      </c>
      <c r="I2081" s="24">
        <v>40575</v>
      </c>
      <c r="J2081" s="24">
        <v>44228</v>
      </c>
      <c r="K2081" t="s">
        <v>26</v>
      </c>
      <c r="L2081" s="25" t="s">
        <v>68</v>
      </c>
      <c r="M2081" s="24">
        <v>42278</v>
      </c>
      <c r="N2081" s="24">
        <v>44228</v>
      </c>
      <c r="O2081" t="s">
        <v>26</v>
      </c>
      <c r="P2081" s="24">
        <v>40575</v>
      </c>
      <c r="Q2081" s="24">
        <v>44228</v>
      </c>
      <c r="R2081" t="s">
        <v>26</v>
      </c>
      <c r="S2081" t="s">
        <v>26</v>
      </c>
      <c r="T2081" t="s">
        <v>26</v>
      </c>
      <c r="U2081" t="s">
        <v>26</v>
      </c>
      <c r="V2081" t="s">
        <v>26</v>
      </c>
      <c r="W2081" s="24">
        <v>40575</v>
      </c>
      <c r="X2081" s="24">
        <v>44228</v>
      </c>
      <c r="Y2081" t="s">
        <v>26</v>
      </c>
      <c r="Z2081" s="24">
        <v>40575</v>
      </c>
      <c r="AA2081" s="24">
        <v>44228</v>
      </c>
      <c r="AB2081" t="s">
        <v>26</v>
      </c>
      <c r="AC2081" s="24">
        <v>40575</v>
      </c>
      <c r="AD2081" s="24">
        <v>44228</v>
      </c>
      <c r="AE2081" t="s">
        <v>26</v>
      </c>
      <c r="AF2081" t="s">
        <v>26</v>
      </c>
      <c r="AG2081" t="s">
        <v>26</v>
      </c>
      <c r="AH2081" t="s">
        <v>26</v>
      </c>
      <c r="AI2081" t="s">
        <v>26</v>
      </c>
      <c r="AJ2081" t="s">
        <v>26</v>
      </c>
      <c r="AK2081" t="s">
        <v>26</v>
      </c>
      <c r="AL2081" t="s">
        <v>26</v>
      </c>
      <c r="AM2081" t="s">
        <v>26</v>
      </c>
      <c r="AN2081" t="s">
        <v>26</v>
      </c>
      <c r="AO2081" s="25" t="s">
        <v>68</v>
      </c>
      <c r="AP2081" s="23" t="s">
        <v>69</v>
      </c>
      <c r="AQ2081" s="23" t="s">
        <v>30</v>
      </c>
      <c r="AR2081" s="23" t="s">
        <v>70</v>
      </c>
      <c r="AS2081" s="25">
        <v>636388</v>
      </c>
      <c r="AT2081" t="s">
        <v>26</v>
      </c>
      <c r="AU2081" t="s">
        <v>24960</v>
      </c>
    </row>
    <row r="2082" spans="1:47" ht="26.25" x14ac:dyDescent="0.4">
      <c r="A2082" s="23" t="s">
        <v>5475</v>
      </c>
      <c r="B2082" t="s">
        <v>26</v>
      </c>
      <c r="C2082" s="23" t="s">
        <v>80</v>
      </c>
      <c r="D2082" s="23" t="s">
        <v>24961</v>
      </c>
      <c r="E2082" s="23" t="s">
        <v>60</v>
      </c>
      <c r="F2082" s="25" t="s">
        <v>5476</v>
      </c>
      <c r="G2082" s="25" t="s">
        <v>5477</v>
      </c>
      <c r="H2082" t="s">
        <v>26</v>
      </c>
      <c r="I2082" s="24">
        <v>35947</v>
      </c>
      <c r="J2082" s="24">
        <v>42370</v>
      </c>
      <c r="K2082" t="s">
        <v>26</v>
      </c>
      <c r="L2082" s="25" t="s">
        <v>68</v>
      </c>
      <c r="M2082" s="24">
        <v>35947</v>
      </c>
      <c r="N2082" s="24">
        <v>42370</v>
      </c>
      <c r="O2082" t="s">
        <v>26</v>
      </c>
      <c r="P2082" s="24">
        <v>35947</v>
      </c>
      <c r="Q2082" s="24">
        <v>42370</v>
      </c>
      <c r="R2082" t="s">
        <v>26</v>
      </c>
      <c r="S2082" t="s">
        <v>26</v>
      </c>
      <c r="T2082" t="s">
        <v>26</v>
      </c>
      <c r="U2082" t="s">
        <v>26</v>
      </c>
      <c r="V2082" t="s">
        <v>26</v>
      </c>
      <c r="W2082" s="24">
        <v>35947</v>
      </c>
      <c r="X2082" s="24">
        <v>45170</v>
      </c>
      <c r="Y2082" t="s">
        <v>26</v>
      </c>
      <c r="Z2082" s="24">
        <v>35947</v>
      </c>
      <c r="AA2082" s="24">
        <v>45170</v>
      </c>
      <c r="AB2082" t="s">
        <v>26</v>
      </c>
      <c r="AC2082" s="24">
        <v>40969</v>
      </c>
      <c r="AD2082" s="24">
        <v>42005</v>
      </c>
      <c r="AE2082" t="s">
        <v>26</v>
      </c>
      <c r="AF2082" t="s">
        <v>26</v>
      </c>
      <c r="AG2082" t="s">
        <v>26</v>
      </c>
      <c r="AH2082" t="s">
        <v>26</v>
      </c>
      <c r="AI2082" t="s">
        <v>26</v>
      </c>
      <c r="AJ2082" t="s">
        <v>26</v>
      </c>
      <c r="AK2082" t="s">
        <v>26</v>
      </c>
      <c r="AL2082" t="s">
        <v>26</v>
      </c>
      <c r="AM2082" t="s">
        <v>26</v>
      </c>
      <c r="AN2082" t="s">
        <v>26</v>
      </c>
      <c r="AO2082" s="25" t="s">
        <v>68</v>
      </c>
      <c r="AP2082" s="23" t="s">
        <v>69</v>
      </c>
      <c r="AQ2082" s="23" t="s">
        <v>30</v>
      </c>
      <c r="AR2082" s="23" t="s">
        <v>70</v>
      </c>
      <c r="AS2082" s="25">
        <v>32666</v>
      </c>
      <c r="AT2082" t="s">
        <v>26</v>
      </c>
      <c r="AU2082" t="s">
        <v>24962</v>
      </c>
    </row>
    <row r="2083" spans="1:47" ht="26.25" x14ac:dyDescent="0.4">
      <c r="A2083" s="23" t="s">
        <v>5478</v>
      </c>
      <c r="B2083" t="s">
        <v>26</v>
      </c>
      <c r="C2083" s="23" t="s">
        <v>803</v>
      </c>
      <c r="D2083" s="23" t="s">
        <v>22499</v>
      </c>
      <c r="E2083" s="23" t="s">
        <v>711</v>
      </c>
      <c r="F2083" s="25" t="s">
        <v>5479</v>
      </c>
      <c r="G2083" s="25" t="s">
        <v>5480</v>
      </c>
      <c r="H2083" t="s">
        <v>26</v>
      </c>
      <c r="I2083" s="24">
        <v>35431</v>
      </c>
      <c r="J2083" s="24">
        <v>42339</v>
      </c>
      <c r="K2083" t="s">
        <v>26</v>
      </c>
      <c r="L2083" s="25" t="s">
        <v>68</v>
      </c>
      <c r="M2083" s="24">
        <v>35431</v>
      </c>
      <c r="N2083" s="24">
        <v>37834</v>
      </c>
      <c r="O2083" t="s">
        <v>26</v>
      </c>
      <c r="P2083" s="24">
        <v>35431</v>
      </c>
      <c r="Q2083" s="24">
        <v>42339</v>
      </c>
      <c r="R2083" t="s">
        <v>26</v>
      </c>
      <c r="S2083" t="s">
        <v>26</v>
      </c>
      <c r="T2083" t="s">
        <v>26</v>
      </c>
      <c r="U2083" t="s">
        <v>26</v>
      </c>
      <c r="V2083" t="s">
        <v>26</v>
      </c>
      <c r="W2083" s="24">
        <v>34394</v>
      </c>
      <c r="X2083" s="24">
        <v>42583</v>
      </c>
      <c r="Y2083" t="s">
        <v>26</v>
      </c>
      <c r="Z2083" s="24">
        <v>34394</v>
      </c>
      <c r="AA2083" s="24">
        <v>42583</v>
      </c>
      <c r="AB2083" t="s">
        <v>26</v>
      </c>
      <c r="AC2083" s="24">
        <v>35431</v>
      </c>
      <c r="AD2083" s="24">
        <v>42583</v>
      </c>
      <c r="AE2083" t="s">
        <v>26</v>
      </c>
      <c r="AF2083" t="s">
        <v>26</v>
      </c>
      <c r="AG2083" t="s">
        <v>26</v>
      </c>
      <c r="AH2083" t="s">
        <v>26</v>
      </c>
      <c r="AI2083" t="s">
        <v>26</v>
      </c>
      <c r="AJ2083" t="s">
        <v>26</v>
      </c>
      <c r="AK2083" t="s">
        <v>26</v>
      </c>
      <c r="AL2083" t="s">
        <v>26</v>
      </c>
      <c r="AM2083" t="s">
        <v>26</v>
      </c>
      <c r="AN2083" t="s">
        <v>26</v>
      </c>
      <c r="AO2083" s="25" t="s">
        <v>68</v>
      </c>
      <c r="AP2083" s="23" t="s">
        <v>69</v>
      </c>
      <c r="AQ2083" s="23" t="s">
        <v>30</v>
      </c>
      <c r="AR2083" s="23" t="s">
        <v>4437</v>
      </c>
      <c r="AS2083" s="25">
        <v>41201</v>
      </c>
      <c r="AT2083" t="s">
        <v>26</v>
      </c>
      <c r="AU2083" t="s">
        <v>24963</v>
      </c>
    </row>
    <row r="2084" spans="1:47" ht="26.25" x14ac:dyDescent="0.4">
      <c r="A2084" s="23" t="s">
        <v>5481</v>
      </c>
      <c r="B2084" t="s">
        <v>26</v>
      </c>
      <c r="C2084" s="23" t="s">
        <v>803</v>
      </c>
      <c r="D2084" s="23" t="s">
        <v>22499</v>
      </c>
      <c r="E2084" s="23" t="s">
        <v>711</v>
      </c>
      <c r="F2084" s="25" t="s">
        <v>5482</v>
      </c>
      <c r="G2084" s="25" t="s">
        <v>5483</v>
      </c>
      <c r="H2084" t="s">
        <v>26</v>
      </c>
      <c r="I2084" s="24">
        <v>35977</v>
      </c>
      <c r="J2084" s="24">
        <v>42339</v>
      </c>
      <c r="K2084" t="s">
        <v>26</v>
      </c>
      <c r="L2084" s="25" t="s">
        <v>68</v>
      </c>
      <c r="M2084" s="24">
        <v>35977</v>
      </c>
      <c r="N2084" s="24">
        <v>37865</v>
      </c>
      <c r="O2084" t="s">
        <v>26</v>
      </c>
      <c r="P2084" s="24">
        <v>35977</v>
      </c>
      <c r="Q2084" s="24">
        <v>42339</v>
      </c>
      <c r="R2084" t="s">
        <v>26</v>
      </c>
      <c r="S2084" t="s">
        <v>26</v>
      </c>
      <c r="T2084" t="s">
        <v>26</v>
      </c>
      <c r="U2084" t="s">
        <v>26</v>
      </c>
      <c r="V2084" t="s">
        <v>26</v>
      </c>
      <c r="W2084" s="24">
        <v>35977</v>
      </c>
      <c r="X2084" s="24">
        <v>42491</v>
      </c>
      <c r="Y2084" t="s">
        <v>26</v>
      </c>
      <c r="Z2084" s="24">
        <v>35977</v>
      </c>
      <c r="AA2084" s="24">
        <v>42491</v>
      </c>
      <c r="AB2084" t="s">
        <v>26</v>
      </c>
      <c r="AC2084" s="24">
        <v>35977</v>
      </c>
      <c r="AD2084" s="24">
        <v>42491</v>
      </c>
      <c r="AE2084" t="s">
        <v>26</v>
      </c>
      <c r="AF2084" t="s">
        <v>26</v>
      </c>
      <c r="AG2084" t="s">
        <v>26</v>
      </c>
      <c r="AH2084" t="s">
        <v>26</v>
      </c>
      <c r="AI2084" t="s">
        <v>26</v>
      </c>
      <c r="AJ2084" t="s">
        <v>26</v>
      </c>
      <c r="AK2084" t="s">
        <v>26</v>
      </c>
      <c r="AL2084" t="s">
        <v>26</v>
      </c>
      <c r="AM2084" t="s">
        <v>26</v>
      </c>
      <c r="AN2084" t="s">
        <v>26</v>
      </c>
      <c r="AO2084" s="25" t="s">
        <v>68</v>
      </c>
      <c r="AP2084" s="23" t="s">
        <v>69</v>
      </c>
      <c r="AQ2084" s="23" t="s">
        <v>30</v>
      </c>
      <c r="AR2084" s="23" t="s">
        <v>70</v>
      </c>
      <c r="AS2084" s="25">
        <v>32897</v>
      </c>
      <c r="AT2084" t="s">
        <v>26</v>
      </c>
      <c r="AU2084" t="s">
        <v>24964</v>
      </c>
    </row>
    <row r="2085" spans="1:47" ht="26.25" x14ac:dyDescent="0.4">
      <c r="A2085" s="23" t="s">
        <v>5484</v>
      </c>
      <c r="B2085" t="s">
        <v>26</v>
      </c>
      <c r="C2085" s="23" t="s">
        <v>73</v>
      </c>
      <c r="D2085" s="23" t="s">
        <v>22211</v>
      </c>
      <c r="E2085" s="23" t="s">
        <v>74</v>
      </c>
      <c r="F2085" s="25" t="s">
        <v>5485</v>
      </c>
      <c r="G2085" s="25" t="s">
        <v>5486</v>
      </c>
      <c r="H2085" t="s">
        <v>26</v>
      </c>
      <c r="I2085" s="24">
        <v>39508</v>
      </c>
      <c r="J2085" s="25" t="s">
        <v>77</v>
      </c>
      <c r="K2085" t="s">
        <v>26</v>
      </c>
      <c r="L2085" s="25" t="s">
        <v>68</v>
      </c>
      <c r="M2085" s="24">
        <v>39508</v>
      </c>
      <c r="N2085" s="24">
        <v>42705</v>
      </c>
      <c r="O2085" t="s">
        <v>26</v>
      </c>
      <c r="P2085" s="24">
        <v>39508</v>
      </c>
      <c r="Q2085" s="25" t="s">
        <v>77</v>
      </c>
      <c r="R2085" t="s">
        <v>26</v>
      </c>
      <c r="S2085" t="s">
        <v>26</v>
      </c>
      <c r="T2085" t="s">
        <v>26</v>
      </c>
      <c r="U2085" t="s">
        <v>26</v>
      </c>
      <c r="V2085" s="25">
        <v>365</v>
      </c>
      <c r="W2085" s="24">
        <v>39508</v>
      </c>
      <c r="X2085" s="25" t="s">
        <v>77</v>
      </c>
      <c r="Y2085" t="s">
        <v>26</v>
      </c>
      <c r="Z2085" s="24">
        <v>39508</v>
      </c>
      <c r="AA2085" s="25" t="s">
        <v>77</v>
      </c>
      <c r="AB2085" t="s">
        <v>26</v>
      </c>
      <c r="AC2085" s="24">
        <v>39508</v>
      </c>
      <c r="AD2085" s="25" t="s">
        <v>77</v>
      </c>
      <c r="AE2085" t="s">
        <v>26</v>
      </c>
      <c r="AF2085" t="s">
        <v>26</v>
      </c>
      <c r="AG2085" t="s">
        <v>26</v>
      </c>
      <c r="AH2085" t="s">
        <v>26</v>
      </c>
      <c r="AI2085" t="s">
        <v>26</v>
      </c>
      <c r="AJ2085" t="s">
        <v>26</v>
      </c>
      <c r="AK2085" t="s">
        <v>26</v>
      </c>
      <c r="AL2085" t="s">
        <v>26</v>
      </c>
      <c r="AM2085" t="s">
        <v>26</v>
      </c>
      <c r="AN2085" t="s">
        <v>26</v>
      </c>
      <c r="AO2085" s="25" t="s">
        <v>68</v>
      </c>
      <c r="AP2085" s="23" t="s">
        <v>69</v>
      </c>
      <c r="AQ2085" s="23" t="s">
        <v>30</v>
      </c>
      <c r="AR2085" s="23" t="s">
        <v>70</v>
      </c>
      <c r="AS2085" s="25">
        <v>1486335</v>
      </c>
      <c r="AT2085" t="s">
        <v>26</v>
      </c>
      <c r="AU2085" t="s">
        <v>24965</v>
      </c>
    </row>
    <row r="2086" spans="1:47" ht="26.25" x14ac:dyDescent="0.4">
      <c r="A2086" s="23" t="s">
        <v>5487</v>
      </c>
      <c r="B2086" t="s">
        <v>26</v>
      </c>
      <c r="C2086" s="23" t="s">
        <v>73</v>
      </c>
      <c r="D2086" s="23" t="s">
        <v>22215</v>
      </c>
      <c r="E2086" s="23" t="s">
        <v>74</v>
      </c>
      <c r="F2086" s="25" t="s">
        <v>5488</v>
      </c>
      <c r="G2086" s="25" t="s">
        <v>5489</v>
      </c>
      <c r="H2086" t="s">
        <v>26</v>
      </c>
      <c r="I2086" s="24">
        <v>35551</v>
      </c>
      <c r="J2086" s="25" t="s">
        <v>77</v>
      </c>
      <c r="K2086" t="s">
        <v>26</v>
      </c>
      <c r="L2086" s="25" t="s">
        <v>68</v>
      </c>
      <c r="M2086" s="24">
        <v>38018</v>
      </c>
      <c r="N2086" s="24">
        <v>42826</v>
      </c>
      <c r="O2086" t="s">
        <v>26</v>
      </c>
      <c r="P2086" s="24">
        <v>35551</v>
      </c>
      <c r="Q2086" s="25" t="s">
        <v>77</v>
      </c>
      <c r="R2086" t="s">
        <v>26</v>
      </c>
      <c r="S2086" t="s">
        <v>26</v>
      </c>
      <c r="T2086" t="s">
        <v>26</v>
      </c>
      <c r="U2086" t="s">
        <v>26</v>
      </c>
      <c r="V2086" s="25">
        <v>365</v>
      </c>
      <c r="W2086" s="24">
        <v>35551</v>
      </c>
      <c r="X2086" s="25" t="s">
        <v>77</v>
      </c>
      <c r="Y2086" t="s">
        <v>26</v>
      </c>
      <c r="Z2086" s="24">
        <v>35551</v>
      </c>
      <c r="AA2086" s="25" t="s">
        <v>77</v>
      </c>
      <c r="AB2086" t="s">
        <v>26</v>
      </c>
      <c r="AC2086" s="24">
        <v>35551</v>
      </c>
      <c r="AD2086" s="25" t="s">
        <v>77</v>
      </c>
      <c r="AE2086" t="s">
        <v>26</v>
      </c>
      <c r="AF2086" t="s">
        <v>26</v>
      </c>
      <c r="AG2086" t="s">
        <v>26</v>
      </c>
      <c r="AH2086" t="s">
        <v>26</v>
      </c>
      <c r="AI2086" t="s">
        <v>26</v>
      </c>
      <c r="AJ2086" t="s">
        <v>26</v>
      </c>
      <c r="AK2086" t="s">
        <v>26</v>
      </c>
      <c r="AL2086" t="s">
        <v>26</v>
      </c>
      <c r="AM2086" t="s">
        <v>26</v>
      </c>
      <c r="AN2086" t="s">
        <v>26</v>
      </c>
      <c r="AO2086" s="25" t="s">
        <v>68</v>
      </c>
      <c r="AP2086" s="23" t="s">
        <v>69</v>
      </c>
      <c r="AQ2086" s="23" t="s">
        <v>30</v>
      </c>
      <c r="AR2086" s="23" t="s">
        <v>5490</v>
      </c>
      <c r="AS2086" s="25">
        <v>32360</v>
      </c>
      <c r="AT2086" t="s">
        <v>26</v>
      </c>
      <c r="AU2086" t="s">
        <v>24966</v>
      </c>
    </row>
    <row r="2087" spans="1:47" ht="26.25" x14ac:dyDescent="0.4">
      <c r="A2087" s="23" t="s">
        <v>5491</v>
      </c>
      <c r="B2087" t="s">
        <v>26</v>
      </c>
      <c r="C2087" s="23" t="s">
        <v>73</v>
      </c>
      <c r="D2087" s="23" t="s">
        <v>24457</v>
      </c>
      <c r="E2087" s="23" t="s">
        <v>74</v>
      </c>
      <c r="F2087" s="25" t="s">
        <v>5492</v>
      </c>
      <c r="G2087" s="25" t="s">
        <v>5493</v>
      </c>
      <c r="H2087" t="s">
        <v>26</v>
      </c>
      <c r="I2087" s="24">
        <v>37681</v>
      </c>
      <c r="J2087" s="25" t="s">
        <v>77</v>
      </c>
      <c r="K2087" t="s">
        <v>26</v>
      </c>
      <c r="L2087" s="25" t="s">
        <v>68</v>
      </c>
      <c r="M2087" s="24">
        <v>37987</v>
      </c>
      <c r="N2087" s="24">
        <v>42736</v>
      </c>
      <c r="O2087" t="s">
        <v>26</v>
      </c>
      <c r="P2087" s="24">
        <v>37681</v>
      </c>
      <c r="Q2087" s="25" t="s">
        <v>77</v>
      </c>
      <c r="R2087" t="s">
        <v>26</v>
      </c>
      <c r="S2087" t="s">
        <v>26</v>
      </c>
      <c r="T2087" t="s">
        <v>26</v>
      </c>
      <c r="U2087" t="s">
        <v>26</v>
      </c>
      <c r="V2087" s="25">
        <v>365</v>
      </c>
      <c r="W2087" s="24">
        <v>37681</v>
      </c>
      <c r="X2087" s="25" t="s">
        <v>77</v>
      </c>
      <c r="Y2087" t="s">
        <v>26</v>
      </c>
      <c r="Z2087" s="24">
        <v>37681</v>
      </c>
      <c r="AA2087" s="25" t="s">
        <v>77</v>
      </c>
      <c r="AB2087" t="s">
        <v>26</v>
      </c>
      <c r="AC2087" s="24">
        <v>37681</v>
      </c>
      <c r="AD2087" s="25" t="s">
        <v>77</v>
      </c>
      <c r="AE2087" t="s">
        <v>26</v>
      </c>
      <c r="AF2087" t="s">
        <v>26</v>
      </c>
      <c r="AG2087" t="s">
        <v>26</v>
      </c>
      <c r="AH2087" t="s">
        <v>26</v>
      </c>
      <c r="AI2087" t="s">
        <v>26</v>
      </c>
      <c r="AJ2087" t="s">
        <v>26</v>
      </c>
      <c r="AK2087" t="s">
        <v>26</v>
      </c>
      <c r="AL2087" t="s">
        <v>26</v>
      </c>
      <c r="AM2087" t="s">
        <v>26</v>
      </c>
      <c r="AN2087" t="s">
        <v>26</v>
      </c>
      <c r="AO2087" s="25" t="s">
        <v>68</v>
      </c>
      <c r="AP2087" s="23" t="s">
        <v>69</v>
      </c>
      <c r="AQ2087" s="23" t="s">
        <v>30</v>
      </c>
      <c r="AR2087" s="23" t="s">
        <v>593</v>
      </c>
      <c r="AS2087" s="25">
        <v>54206</v>
      </c>
      <c r="AT2087" t="s">
        <v>26</v>
      </c>
      <c r="AU2087" t="s">
        <v>24967</v>
      </c>
    </row>
    <row r="2088" spans="1:47" ht="26.25" x14ac:dyDescent="0.4">
      <c r="A2088" s="23" t="s">
        <v>5494</v>
      </c>
      <c r="B2088" t="s">
        <v>26</v>
      </c>
      <c r="C2088" s="23" t="s">
        <v>5495</v>
      </c>
      <c r="D2088" s="23" t="s">
        <v>24968</v>
      </c>
      <c r="E2088" s="23" t="s">
        <v>187</v>
      </c>
      <c r="F2088" s="25" t="s">
        <v>5496</v>
      </c>
      <c r="G2088" s="25" t="s">
        <v>5497</v>
      </c>
      <c r="H2088" t="s">
        <v>26</v>
      </c>
      <c r="I2088" s="24">
        <v>40179</v>
      </c>
      <c r="J2088" s="25" t="s">
        <v>77</v>
      </c>
      <c r="K2088" t="s">
        <v>26</v>
      </c>
      <c r="L2088" s="25" t="s">
        <v>68</v>
      </c>
      <c r="M2088" t="s">
        <v>26</v>
      </c>
      <c r="N2088" t="s">
        <v>26</v>
      </c>
      <c r="O2088" t="s">
        <v>26</v>
      </c>
      <c r="P2088" s="24">
        <v>40179</v>
      </c>
      <c r="Q2088" s="25" t="s">
        <v>77</v>
      </c>
      <c r="R2088" t="s">
        <v>26</v>
      </c>
      <c r="S2088" t="s">
        <v>26</v>
      </c>
      <c r="T2088" t="s">
        <v>26</v>
      </c>
      <c r="U2088" t="s">
        <v>26</v>
      </c>
      <c r="V2088" t="s">
        <v>26</v>
      </c>
      <c r="W2088" s="24">
        <v>40179</v>
      </c>
      <c r="X2088" s="25" t="s">
        <v>77</v>
      </c>
      <c r="Y2088" t="s">
        <v>26</v>
      </c>
      <c r="Z2088" s="24">
        <v>40179</v>
      </c>
      <c r="AA2088" s="25" t="s">
        <v>77</v>
      </c>
      <c r="AB2088" t="s">
        <v>26</v>
      </c>
      <c r="AC2088" s="24">
        <v>40179</v>
      </c>
      <c r="AD2088" s="25" t="s">
        <v>77</v>
      </c>
      <c r="AE2088" t="s">
        <v>26</v>
      </c>
      <c r="AF2088" t="s">
        <v>26</v>
      </c>
      <c r="AG2088" t="s">
        <v>26</v>
      </c>
      <c r="AH2088" t="s">
        <v>26</v>
      </c>
      <c r="AI2088" t="s">
        <v>26</v>
      </c>
      <c r="AJ2088" t="s">
        <v>26</v>
      </c>
      <c r="AK2088" t="s">
        <v>26</v>
      </c>
      <c r="AL2088" t="s">
        <v>26</v>
      </c>
      <c r="AM2088" t="s">
        <v>26</v>
      </c>
      <c r="AN2088" t="s">
        <v>26</v>
      </c>
      <c r="AO2088" s="25" t="s">
        <v>68</v>
      </c>
      <c r="AP2088" s="23" t="s">
        <v>69</v>
      </c>
      <c r="AQ2088" s="23" t="s">
        <v>1913</v>
      </c>
      <c r="AR2088" s="23" t="s">
        <v>1514</v>
      </c>
      <c r="AS2088" s="25">
        <v>2028858</v>
      </c>
      <c r="AT2088" t="s">
        <v>26</v>
      </c>
      <c r="AU2088" t="s">
        <v>24969</v>
      </c>
    </row>
    <row r="2089" spans="1:47" ht="26.25" x14ac:dyDescent="0.4">
      <c r="A2089" s="23" t="s">
        <v>5498</v>
      </c>
      <c r="B2089" t="s">
        <v>26</v>
      </c>
      <c r="C2089" s="23" t="s">
        <v>73</v>
      </c>
      <c r="D2089" s="23" t="s">
        <v>23898</v>
      </c>
      <c r="E2089" s="23" t="s">
        <v>74</v>
      </c>
      <c r="F2089" t="s">
        <v>26</v>
      </c>
      <c r="G2089" s="25" t="s">
        <v>5499</v>
      </c>
      <c r="H2089" t="s">
        <v>26</v>
      </c>
      <c r="I2089" s="24">
        <v>43647</v>
      </c>
      <c r="J2089" s="25" t="s">
        <v>77</v>
      </c>
      <c r="K2089" t="s">
        <v>26</v>
      </c>
      <c r="L2089" s="25" t="s">
        <v>68</v>
      </c>
      <c r="M2089" t="s">
        <v>26</v>
      </c>
      <c r="N2089" t="s">
        <v>26</v>
      </c>
      <c r="O2089" t="s">
        <v>26</v>
      </c>
      <c r="P2089" s="24">
        <v>43647</v>
      </c>
      <c r="Q2089" s="25" t="s">
        <v>77</v>
      </c>
      <c r="R2089" t="s">
        <v>26</v>
      </c>
      <c r="S2089" t="s">
        <v>26</v>
      </c>
      <c r="T2089" t="s">
        <v>26</v>
      </c>
      <c r="U2089" t="s">
        <v>26</v>
      </c>
      <c r="V2089" t="s">
        <v>26</v>
      </c>
      <c r="W2089" s="24">
        <v>43647</v>
      </c>
      <c r="X2089" s="25" t="s">
        <v>77</v>
      </c>
      <c r="Y2089" t="s">
        <v>26</v>
      </c>
      <c r="Z2089" s="24">
        <v>43647</v>
      </c>
      <c r="AA2089" s="25" t="s">
        <v>77</v>
      </c>
      <c r="AB2089" t="s">
        <v>26</v>
      </c>
      <c r="AC2089" s="24">
        <v>43647</v>
      </c>
      <c r="AD2089" s="25" t="s">
        <v>77</v>
      </c>
      <c r="AE2089" t="s">
        <v>26</v>
      </c>
      <c r="AF2089" t="s">
        <v>26</v>
      </c>
      <c r="AG2089" t="s">
        <v>26</v>
      </c>
      <c r="AH2089" t="s">
        <v>26</v>
      </c>
      <c r="AI2089" t="s">
        <v>26</v>
      </c>
      <c r="AJ2089" t="s">
        <v>26</v>
      </c>
      <c r="AK2089" t="s">
        <v>26</v>
      </c>
      <c r="AL2089" t="s">
        <v>26</v>
      </c>
      <c r="AM2089" t="s">
        <v>26</v>
      </c>
      <c r="AN2089" t="s">
        <v>26</v>
      </c>
      <c r="AO2089" s="25" t="s">
        <v>68</v>
      </c>
      <c r="AP2089" s="23" t="s">
        <v>69</v>
      </c>
      <c r="AQ2089" s="23" t="s">
        <v>30</v>
      </c>
      <c r="AR2089" s="23" t="s">
        <v>70</v>
      </c>
      <c r="AS2089" s="25">
        <v>4406322</v>
      </c>
      <c r="AT2089" t="s">
        <v>26</v>
      </c>
      <c r="AU2089" t="s">
        <v>24970</v>
      </c>
    </row>
    <row r="2090" spans="1:47" ht="26.25" x14ac:dyDescent="0.4">
      <c r="A2090" s="23" t="s">
        <v>5500</v>
      </c>
      <c r="B2090" t="s">
        <v>26</v>
      </c>
      <c r="C2090" s="23" t="s">
        <v>73</v>
      </c>
      <c r="D2090" s="23" t="s">
        <v>24371</v>
      </c>
      <c r="E2090" s="23" t="s">
        <v>74</v>
      </c>
      <c r="F2090" s="25" t="s">
        <v>5501</v>
      </c>
      <c r="G2090" s="25" t="s">
        <v>5502</v>
      </c>
      <c r="H2090" t="s">
        <v>26</v>
      </c>
      <c r="I2090" s="24">
        <v>35521</v>
      </c>
      <c r="J2090" s="25" t="s">
        <v>77</v>
      </c>
      <c r="K2090" s="25" t="s">
        <v>111</v>
      </c>
      <c r="L2090" s="25" t="s">
        <v>68</v>
      </c>
      <c r="M2090" s="24">
        <v>38018</v>
      </c>
      <c r="N2090" s="24">
        <v>42826</v>
      </c>
      <c r="O2090" t="s">
        <v>26</v>
      </c>
      <c r="P2090" s="24">
        <v>35521</v>
      </c>
      <c r="Q2090" s="25" t="s">
        <v>77</v>
      </c>
      <c r="R2090" s="25" t="s">
        <v>111</v>
      </c>
      <c r="S2090" t="s">
        <v>26</v>
      </c>
      <c r="T2090" t="s">
        <v>26</v>
      </c>
      <c r="U2090" t="s">
        <v>26</v>
      </c>
      <c r="V2090" s="25">
        <v>365</v>
      </c>
      <c r="W2090" s="24">
        <v>35521</v>
      </c>
      <c r="X2090" s="25" t="s">
        <v>77</v>
      </c>
      <c r="Y2090" s="25" t="s">
        <v>111</v>
      </c>
      <c r="Z2090" s="24">
        <v>35521</v>
      </c>
      <c r="AA2090" s="25" t="s">
        <v>77</v>
      </c>
      <c r="AB2090" s="25" t="s">
        <v>111</v>
      </c>
      <c r="AC2090" s="24">
        <v>35521</v>
      </c>
      <c r="AD2090" s="25" t="s">
        <v>77</v>
      </c>
      <c r="AE2090" s="25" t="s">
        <v>111</v>
      </c>
      <c r="AF2090" t="s">
        <v>26</v>
      </c>
      <c r="AG2090" t="s">
        <v>26</v>
      </c>
      <c r="AH2090" t="s">
        <v>26</v>
      </c>
      <c r="AI2090" t="s">
        <v>26</v>
      </c>
      <c r="AJ2090" t="s">
        <v>26</v>
      </c>
      <c r="AK2090" t="s">
        <v>26</v>
      </c>
      <c r="AL2090" t="s">
        <v>26</v>
      </c>
      <c r="AM2090" t="s">
        <v>26</v>
      </c>
      <c r="AN2090" t="s">
        <v>26</v>
      </c>
      <c r="AO2090" s="25" t="s">
        <v>68</v>
      </c>
      <c r="AP2090" s="23" t="s">
        <v>69</v>
      </c>
      <c r="AQ2090" s="23" t="s">
        <v>30</v>
      </c>
      <c r="AR2090" s="23" t="s">
        <v>1514</v>
      </c>
      <c r="AS2090" s="25">
        <v>27321</v>
      </c>
      <c r="AT2090" t="s">
        <v>26</v>
      </c>
      <c r="AU2090" t="s">
        <v>24971</v>
      </c>
    </row>
    <row r="2091" spans="1:47" ht="13.15" x14ac:dyDescent="0.4">
      <c r="A2091" s="23" t="s">
        <v>5503</v>
      </c>
      <c r="B2091" t="s">
        <v>26</v>
      </c>
      <c r="C2091" s="23" t="s">
        <v>5504</v>
      </c>
      <c r="D2091" s="23" t="s">
        <v>22188</v>
      </c>
      <c r="E2091" s="23" t="s">
        <v>42</v>
      </c>
      <c r="F2091" s="25" t="s">
        <v>5505</v>
      </c>
      <c r="G2091" s="25" t="s">
        <v>5506</v>
      </c>
      <c r="H2091" t="s">
        <v>26</v>
      </c>
      <c r="I2091" s="24">
        <v>39448</v>
      </c>
      <c r="J2091" s="25" t="s">
        <v>77</v>
      </c>
      <c r="K2091" t="s">
        <v>26</v>
      </c>
      <c r="L2091" s="25" t="s">
        <v>28</v>
      </c>
      <c r="M2091" s="24">
        <v>39448</v>
      </c>
      <c r="N2091" s="25" t="s">
        <v>77</v>
      </c>
      <c r="O2091" t="s">
        <v>26</v>
      </c>
      <c r="P2091" t="s">
        <v>26</v>
      </c>
      <c r="Q2091" t="s">
        <v>26</v>
      </c>
      <c r="R2091" t="s">
        <v>26</v>
      </c>
      <c r="S2091" t="s">
        <v>26</v>
      </c>
      <c r="T2091" t="s">
        <v>26</v>
      </c>
      <c r="U2091" t="s">
        <v>26</v>
      </c>
      <c r="V2091" t="s">
        <v>26</v>
      </c>
      <c r="W2091" s="24">
        <v>39448</v>
      </c>
      <c r="X2091" s="25" t="s">
        <v>77</v>
      </c>
      <c r="Y2091" t="s">
        <v>26</v>
      </c>
      <c r="Z2091" s="24">
        <v>39448</v>
      </c>
      <c r="AA2091" s="25" t="s">
        <v>77</v>
      </c>
      <c r="AB2091" t="s">
        <v>26</v>
      </c>
      <c r="AC2091" s="24">
        <v>39448</v>
      </c>
      <c r="AD2091" s="25" t="s">
        <v>77</v>
      </c>
      <c r="AE2091" t="s">
        <v>26</v>
      </c>
      <c r="AF2091" t="s">
        <v>26</v>
      </c>
      <c r="AG2091" t="s">
        <v>26</v>
      </c>
      <c r="AH2091" t="s">
        <v>26</v>
      </c>
      <c r="AI2091" t="s">
        <v>26</v>
      </c>
      <c r="AJ2091" t="s">
        <v>26</v>
      </c>
      <c r="AK2091" t="s">
        <v>26</v>
      </c>
      <c r="AL2091" t="s">
        <v>26</v>
      </c>
      <c r="AM2091" t="s">
        <v>26</v>
      </c>
      <c r="AN2091" t="s">
        <v>26</v>
      </c>
      <c r="AO2091" s="25" t="s">
        <v>28</v>
      </c>
      <c r="AP2091" s="23" t="s">
        <v>211</v>
      </c>
      <c r="AQ2091" s="23" t="s">
        <v>30</v>
      </c>
      <c r="AR2091" s="23" t="s">
        <v>70</v>
      </c>
      <c r="AS2091" s="25">
        <v>136150</v>
      </c>
      <c r="AT2091" t="s">
        <v>26</v>
      </c>
      <c r="AU2091" t="s">
        <v>24972</v>
      </c>
    </row>
    <row r="2092" spans="1:47" ht="26.25" x14ac:dyDescent="0.4">
      <c r="A2092" s="23" t="s">
        <v>5507</v>
      </c>
      <c r="B2092" t="s">
        <v>26</v>
      </c>
      <c r="C2092" s="23" t="s">
        <v>998</v>
      </c>
      <c r="D2092" s="23" t="s">
        <v>22499</v>
      </c>
      <c r="E2092" s="23" t="s">
        <v>711</v>
      </c>
      <c r="F2092" s="25" t="s">
        <v>5508</v>
      </c>
      <c r="G2092" s="25" t="s">
        <v>5509</v>
      </c>
      <c r="H2092" t="s">
        <v>26</v>
      </c>
      <c r="I2092" s="24">
        <v>40118</v>
      </c>
      <c r="J2092" s="25" t="s">
        <v>77</v>
      </c>
      <c r="K2092" t="s">
        <v>26</v>
      </c>
      <c r="L2092" s="25" t="s">
        <v>68</v>
      </c>
      <c r="M2092" s="24">
        <v>44197</v>
      </c>
      <c r="N2092" s="25" t="s">
        <v>77</v>
      </c>
      <c r="O2092" t="s">
        <v>26</v>
      </c>
      <c r="P2092" s="24">
        <v>40118</v>
      </c>
      <c r="Q2092" s="25" t="s">
        <v>77</v>
      </c>
      <c r="R2092" t="s">
        <v>26</v>
      </c>
      <c r="S2092" t="s">
        <v>26</v>
      </c>
      <c r="T2092" t="s">
        <v>26</v>
      </c>
      <c r="U2092" t="s">
        <v>26</v>
      </c>
      <c r="V2092" t="s">
        <v>26</v>
      </c>
      <c r="W2092" s="24">
        <v>40118</v>
      </c>
      <c r="X2092" s="25" t="s">
        <v>77</v>
      </c>
      <c r="Y2092" t="s">
        <v>26</v>
      </c>
      <c r="Z2092" s="24">
        <v>40118</v>
      </c>
      <c r="AA2092" s="25" t="s">
        <v>77</v>
      </c>
      <c r="AB2092" t="s">
        <v>26</v>
      </c>
      <c r="AC2092" s="24">
        <v>40118</v>
      </c>
      <c r="AD2092" s="25" t="s">
        <v>77</v>
      </c>
      <c r="AE2092" t="s">
        <v>26</v>
      </c>
      <c r="AF2092" t="s">
        <v>26</v>
      </c>
      <c r="AG2092" t="s">
        <v>26</v>
      </c>
      <c r="AH2092" t="s">
        <v>26</v>
      </c>
      <c r="AI2092" t="s">
        <v>26</v>
      </c>
      <c r="AJ2092" t="s">
        <v>26</v>
      </c>
      <c r="AK2092" t="s">
        <v>26</v>
      </c>
      <c r="AL2092" t="s">
        <v>26</v>
      </c>
      <c r="AM2092" t="s">
        <v>26</v>
      </c>
      <c r="AN2092" t="s">
        <v>26</v>
      </c>
      <c r="AO2092" s="25" t="s">
        <v>68</v>
      </c>
      <c r="AP2092" s="23" t="s">
        <v>69</v>
      </c>
      <c r="AQ2092" s="23" t="s">
        <v>30</v>
      </c>
      <c r="AR2092" s="23" t="s">
        <v>70</v>
      </c>
      <c r="AS2092" s="25">
        <v>4770007</v>
      </c>
      <c r="AT2092" t="s">
        <v>26</v>
      </c>
      <c r="AU2092" t="s">
        <v>24973</v>
      </c>
    </row>
    <row r="2093" spans="1:47" ht="26.25" x14ac:dyDescent="0.4">
      <c r="A2093" s="23" t="s">
        <v>5510</v>
      </c>
      <c r="B2093" t="s">
        <v>26</v>
      </c>
      <c r="C2093" s="23" t="s">
        <v>73</v>
      </c>
      <c r="D2093" s="23" t="s">
        <v>22215</v>
      </c>
      <c r="E2093" s="23" t="s">
        <v>74</v>
      </c>
      <c r="F2093" s="25" t="s">
        <v>5511</v>
      </c>
      <c r="G2093" s="25" t="s">
        <v>5512</v>
      </c>
      <c r="H2093" t="s">
        <v>26</v>
      </c>
      <c r="I2093" s="24">
        <v>41061</v>
      </c>
      <c r="J2093" s="24">
        <v>43709</v>
      </c>
      <c r="K2093" t="s">
        <v>26</v>
      </c>
      <c r="L2093" s="25" t="s">
        <v>68</v>
      </c>
      <c r="M2093" s="24">
        <v>41061</v>
      </c>
      <c r="N2093" s="24">
        <v>42675</v>
      </c>
      <c r="O2093" t="s">
        <v>26</v>
      </c>
      <c r="P2093" s="24">
        <v>41061</v>
      </c>
      <c r="Q2093" s="24">
        <v>43709</v>
      </c>
      <c r="R2093" t="s">
        <v>26</v>
      </c>
      <c r="S2093" t="s">
        <v>26</v>
      </c>
      <c r="T2093" t="s">
        <v>26</v>
      </c>
      <c r="U2093" t="s">
        <v>26</v>
      </c>
      <c r="V2093" t="s">
        <v>26</v>
      </c>
      <c r="W2093" s="24">
        <v>41061</v>
      </c>
      <c r="X2093" s="24">
        <v>43709</v>
      </c>
      <c r="Y2093" t="s">
        <v>26</v>
      </c>
      <c r="Z2093" s="24">
        <v>41061</v>
      </c>
      <c r="AA2093" s="24">
        <v>43709</v>
      </c>
      <c r="AB2093" t="s">
        <v>26</v>
      </c>
      <c r="AC2093" s="24">
        <v>41061</v>
      </c>
      <c r="AD2093" s="24">
        <v>43709</v>
      </c>
      <c r="AE2093" t="s">
        <v>26</v>
      </c>
      <c r="AF2093" t="s">
        <v>26</v>
      </c>
      <c r="AG2093" t="s">
        <v>26</v>
      </c>
      <c r="AH2093" t="s">
        <v>26</v>
      </c>
      <c r="AI2093" t="s">
        <v>26</v>
      </c>
      <c r="AJ2093" t="s">
        <v>26</v>
      </c>
      <c r="AK2093" t="s">
        <v>26</v>
      </c>
      <c r="AL2093" t="s">
        <v>26</v>
      </c>
      <c r="AM2093" t="s">
        <v>26</v>
      </c>
      <c r="AN2093" t="s">
        <v>26</v>
      </c>
      <c r="AO2093" s="25" t="s">
        <v>68</v>
      </c>
      <c r="AP2093" s="23" t="s">
        <v>69</v>
      </c>
      <c r="AQ2093" s="23" t="s">
        <v>30</v>
      </c>
      <c r="AR2093" s="23" t="s">
        <v>70</v>
      </c>
      <c r="AS2093" s="25">
        <v>2034685</v>
      </c>
      <c r="AT2093" t="s">
        <v>26</v>
      </c>
      <c r="AU2093" t="s">
        <v>24974</v>
      </c>
    </row>
    <row r="2094" spans="1:47" ht="26.25" x14ac:dyDescent="0.4">
      <c r="A2094" s="23" t="s">
        <v>5513</v>
      </c>
      <c r="B2094" t="s">
        <v>26</v>
      </c>
      <c r="C2094" s="23" t="s">
        <v>59</v>
      </c>
      <c r="D2094" s="23" t="s">
        <v>22174</v>
      </c>
      <c r="E2094" s="23" t="s">
        <v>60</v>
      </c>
      <c r="F2094" t="s">
        <v>26</v>
      </c>
      <c r="G2094" t="s">
        <v>26</v>
      </c>
      <c r="H2094" s="25" t="s">
        <v>5514</v>
      </c>
      <c r="I2094" s="24">
        <v>41640</v>
      </c>
      <c r="J2094" s="24">
        <v>41640</v>
      </c>
      <c r="K2094" t="s">
        <v>26</v>
      </c>
      <c r="L2094" s="25" t="s">
        <v>28</v>
      </c>
      <c r="M2094" s="24">
        <v>41640</v>
      </c>
      <c r="N2094" s="24">
        <v>41640</v>
      </c>
      <c r="O2094" t="s">
        <v>26</v>
      </c>
      <c r="P2094" s="24">
        <v>41640</v>
      </c>
      <c r="Q2094" s="24">
        <v>41640</v>
      </c>
      <c r="R2094" t="s">
        <v>26</v>
      </c>
      <c r="S2094" t="s">
        <v>26</v>
      </c>
      <c r="T2094" t="s">
        <v>26</v>
      </c>
      <c r="U2094" t="s">
        <v>26</v>
      </c>
      <c r="V2094" t="s">
        <v>26</v>
      </c>
      <c r="W2094" s="24">
        <v>41640</v>
      </c>
      <c r="X2094" s="24">
        <v>41640</v>
      </c>
      <c r="Y2094" t="s">
        <v>26</v>
      </c>
      <c r="Z2094" s="24">
        <v>41640</v>
      </c>
      <c r="AA2094" s="24">
        <v>41640</v>
      </c>
      <c r="AB2094" t="s">
        <v>26</v>
      </c>
      <c r="AC2094" s="24">
        <v>41640</v>
      </c>
      <c r="AD2094" s="24">
        <v>41640</v>
      </c>
      <c r="AE2094" t="s">
        <v>26</v>
      </c>
      <c r="AF2094" t="s">
        <v>26</v>
      </c>
      <c r="AG2094" t="s">
        <v>26</v>
      </c>
      <c r="AH2094" t="s">
        <v>26</v>
      </c>
      <c r="AI2094" t="s">
        <v>26</v>
      </c>
      <c r="AJ2094" t="s">
        <v>26</v>
      </c>
      <c r="AK2094" t="s">
        <v>26</v>
      </c>
      <c r="AL2094" t="s">
        <v>26</v>
      </c>
      <c r="AM2094" t="s">
        <v>26</v>
      </c>
      <c r="AN2094" t="s">
        <v>26</v>
      </c>
      <c r="AO2094" s="25" t="s">
        <v>28</v>
      </c>
      <c r="AP2094" s="23" t="s">
        <v>29</v>
      </c>
      <c r="AQ2094" s="23" t="s">
        <v>30</v>
      </c>
      <c r="AR2094" s="23" t="s">
        <v>3732</v>
      </c>
      <c r="AS2094" s="25">
        <v>2043161</v>
      </c>
      <c r="AT2094" t="s">
        <v>26</v>
      </c>
      <c r="AU2094" t="s">
        <v>24975</v>
      </c>
    </row>
    <row r="2095" spans="1:47" ht="26.25" x14ac:dyDescent="0.4">
      <c r="A2095" s="23" t="s">
        <v>5515</v>
      </c>
      <c r="B2095" t="s">
        <v>26</v>
      </c>
      <c r="C2095" s="23" t="s">
        <v>73</v>
      </c>
      <c r="D2095" s="23" t="s">
        <v>24457</v>
      </c>
      <c r="E2095" s="23" t="s">
        <v>74</v>
      </c>
      <c r="F2095" s="25" t="s">
        <v>5516</v>
      </c>
      <c r="G2095" s="25" t="s">
        <v>5517</v>
      </c>
      <c r="H2095" t="s">
        <v>26</v>
      </c>
      <c r="I2095" s="24">
        <v>37288</v>
      </c>
      <c r="J2095" s="25" t="s">
        <v>77</v>
      </c>
      <c r="K2095" t="s">
        <v>26</v>
      </c>
      <c r="L2095" s="25" t="s">
        <v>68</v>
      </c>
      <c r="M2095" s="24">
        <v>38018</v>
      </c>
      <c r="N2095" s="24">
        <v>42795</v>
      </c>
      <c r="O2095" t="s">
        <v>26</v>
      </c>
      <c r="P2095" s="24">
        <v>37288</v>
      </c>
      <c r="Q2095" s="25" t="s">
        <v>77</v>
      </c>
      <c r="R2095" t="s">
        <v>26</v>
      </c>
      <c r="S2095" t="s">
        <v>26</v>
      </c>
      <c r="T2095" t="s">
        <v>26</v>
      </c>
      <c r="U2095" t="s">
        <v>26</v>
      </c>
      <c r="V2095" s="25">
        <v>365</v>
      </c>
      <c r="W2095" s="24">
        <v>37288</v>
      </c>
      <c r="X2095" s="25" t="s">
        <v>77</v>
      </c>
      <c r="Y2095" t="s">
        <v>26</v>
      </c>
      <c r="Z2095" s="24">
        <v>37288</v>
      </c>
      <c r="AA2095" s="25" t="s">
        <v>77</v>
      </c>
      <c r="AB2095" t="s">
        <v>26</v>
      </c>
      <c r="AC2095" s="24">
        <v>37288</v>
      </c>
      <c r="AD2095" s="25" t="s">
        <v>77</v>
      </c>
      <c r="AE2095" t="s">
        <v>26</v>
      </c>
      <c r="AF2095" t="s">
        <v>26</v>
      </c>
      <c r="AG2095" t="s">
        <v>26</v>
      </c>
      <c r="AH2095" t="s">
        <v>26</v>
      </c>
      <c r="AI2095" t="s">
        <v>26</v>
      </c>
      <c r="AJ2095" t="s">
        <v>26</v>
      </c>
      <c r="AK2095" t="s">
        <v>26</v>
      </c>
      <c r="AL2095" t="s">
        <v>26</v>
      </c>
      <c r="AM2095" t="s">
        <v>26</v>
      </c>
      <c r="AN2095" t="s">
        <v>26</v>
      </c>
      <c r="AO2095" s="25" t="s">
        <v>68</v>
      </c>
      <c r="AP2095" s="23" t="s">
        <v>69</v>
      </c>
      <c r="AQ2095" s="23" t="s">
        <v>30</v>
      </c>
      <c r="AR2095" s="23" t="s">
        <v>1261</v>
      </c>
      <c r="AS2095" s="25">
        <v>326269</v>
      </c>
      <c r="AT2095" t="s">
        <v>26</v>
      </c>
      <c r="AU2095" t="s">
        <v>24976</v>
      </c>
    </row>
    <row r="2096" spans="1:47" ht="26.25" x14ac:dyDescent="0.4">
      <c r="A2096" s="23" t="s">
        <v>5518</v>
      </c>
      <c r="B2096" t="s">
        <v>26</v>
      </c>
      <c r="C2096" s="23" t="s">
        <v>341</v>
      </c>
      <c r="D2096" s="23" t="s">
        <v>22218</v>
      </c>
      <c r="E2096" s="23" t="s">
        <v>60</v>
      </c>
      <c r="F2096" s="25" t="s">
        <v>5519</v>
      </c>
      <c r="G2096" s="25" t="s">
        <v>5520</v>
      </c>
      <c r="H2096" t="s">
        <v>26</v>
      </c>
      <c r="I2096" t="s">
        <v>26</v>
      </c>
      <c r="J2096" t="s">
        <v>26</v>
      </c>
      <c r="K2096" t="s">
        <v>26</v>
      </c>
      <c r="L2096" s="25" t="s">
        <v>68</v>
      </c>
      <c r="M2096" t="s">
        <v>26</v>
      </c>
      <c r="N2096" t="s">
        <v>26</v>
      </c>
      <c r="O2096" t="s">
        <v>26</v>
      </c>
      <c r="P2096" t="s">
        <v>26</v>
      </c>
      <c r="Q2096" t="s">
        <v>26</v>
      </c>
      <c r="R2096" t="s">
        <v>26</v>
      </c>
      <c r="S2096" t="s">
        <v>26</v>
      </c>
      <c r="T2096" t="s">
        <v>26</v>
      </c>
      <c r="U2096" t="s">
        <v>26</v>
      </c>
      <c r="V2096" t="s">
        <v>26</v>
      </c>
      <c r="W2096" s="24">
        <v>37259</v>
      </c>
      <c r="X2096" s="24">
        <v>44412</v>
      </c>
      <c r="Y2096" t="s">
        <v>26</v>
      </c>
      <c r="Z2096" s="24">
        <v>37259</v>
      </c>
      <c r="AA2096" s="24">
        <v>44412</v>
      </c>
      <c r="AB2096" t="s">
        <v>26</v>
      </c>
      <c r="AC2096" s="24">
        <v>37259</v>
      </c>
      <c r="AD2096" s="24">
        <v>43817</v>
      </c>
      <c r="AE2096" t="s">
        <v>26</v>
      </c>
      <c r="AF2096" t="s">
        <v>26</v>
      </c>
      <c r="AG2096" t="s">
        <v>26</v>
      </c>
      <c r="AH2096" t="s">
        <v>26</v>
      </c>
      <c r="AI2096" t="s">
        <v>26</v>
      </c>
      <c r="AJ2096" t="s">
        <v>26</v>
      </c>
      <c r="AK2096" t="s">
        <v>26</v>
      </c>
      <c r="AL2096" t="s">
        <v>26</v>
      </c>
      <c r="AM2096" t="s">
        <v>26</v>
      </c>
      <c r="AN2096" t="s">
        <v>26</v>
      </c>
      <c r="AO2096" s="25" t="s">
        <v>68</v>
      </c>
      <c r="AP2096" s="23" t="s">
        <v>69</v>
      </c>
      <c r="AQ2096" s="23" t="s">
        <v>30</v>
      </c>
      <c r="AR2096" s="23" t="s">
        <v>4437</v>
      </c>
      <c r="AS2096" s="25">
        <v>2031076</v>
      </c>
      <c r="AT2096" t="s">
        <v>26</v>
      </c>
      <c r="AU2096" t="s">
        <v>24977</v>
      </c>
    </row>
    <row r="2097" spans="1:47" ht="26.25" x14ac:dyDescent="0.4">
      <c r="A2097" s="23" t="s">
        <v>5521</v>
      </c>
      <c r="B2097" t="s">
        <v>26</v>
      </c>
      <c r="C2097" s="23" t="s">
        <v>167</v>
      </c>
      <c r="D2097" s="23" t="s">
        <v>22218</v>
      </c>
      <c r="E2097" s="23" t="s">
        <v>60</v>
      </c>
      <c r="F2097" s="25" t="s">
        <v>5522</v>
      </c>
      <c r="G2097" s="25" t="s">
        <v>5523</v>
      </c>
      <c r="H2097" t="s">
        <v>26</v>
      </c>
      <c r="I2097" s="24">
        <v>38018</v>
      </c>
      <c r="J2097" s="24">
        <v>40848</v>
      </c>
      <c r="K2097" t="s">
        <v>26</v>
      </c>
      <c r="L2097" s="25" t="s">
        <v>68</v>
      </c>
      <c r="M2097" s="24">
        <v>39479</v>
      </c>
      <c r="N2097" s="24">
        <v>40848</v>
      </c>
      <c r="O2097" t="s">
        <v>26</v>
      </c>
      <c r="P2097" s="24">
        <v>38018</v>
      </c>
      <c r="Q2097" s="24">
        <v>40848</v>
      </c>
      <c r="R2097" t="s">
        <v>26</v>
      </c>
      <c r="S2097" t="s">
        <v>26</v>
      </c>
      <c r="T2097" t="s">
        <v>26</v>
      </c>
      <c r="U2097" t="s">
        <v>26</v>
      </c>
      <c r="V2097" t="s">
        <v>26</v>
      </c>
      <c r="W2097" s="24">
        <v>38018</v>
      </c>
      <c r="X2097" s="24">
        <v>40848</v>
      </c>
      <c r="Y2097" t="s">
        <v>26</v>
      </c>
      <c r="Z2097" s="24">
        <v>38018</v>
      </c>
      <c r="AA2097" s="24">
        <v>40848</v>
      </c>
      <c r="AB2097" t="s">
        <v>26</v>
      </c>
      <c r="AC2097" s="24">
        <v>38018</v>
      </c>
      <c r="AD2097" s="24">
        <v>40848</v>
      </c>
      <c r="AE2097" t="s">
        <v>26</v>
      </c>
      <c r="AF2097" t="s">
        <v>26</v>
      </c>
      <c r="AG2097" t="s">
        <v>26</v>
      </c>
      <c r="AH2097" t="s">
        <v>26</v>
      </c>
      <c r="AI2097" t="s">
        <v>26</v>
      </c>
      <c r="AJ2097" t="s">
        <v>26</v>
      </c>
      <c r="AK2097" t="s">
        <v>26</v>
      </c>
      <c r="AL2097" t="s">
        <v>26</v>
      </c>
      <c r="AM2097" t="s">
        <v>26</v>
      </c>
      <c r="AN2097" t="s">
        <v>26</v>
      </c>
      <c r="AO2097" s="25" t="s">
        <v>68</v>
      </c>
      <c r="AP2097" s="23" t="s">
        <v>69</v>
      </c>
      <c r="AQ2097" s="23" t="s">
        <v>30</v>
      </c>
      <c r="AR2097" s="23" t="s">
        <v>4437</v>
      </c>
      <c r="AS2097" s="25">
        <v>39126</v>
      </c>
      <c r="AT2097" t="s">
        <v>26</v>
      </c>
      <c r="AU2097" t="s">
        <v>24978</v>
      </c>
    </row>
    <row r="2098" spans="1:47" ht="26.25" x14ac:dyDescent="0.4">
      <c r="A2098" s="23" t="s">
        <v>5524</v>
      </c>
      <c r="B2098" t="s">
        <v>26</v>
      </c>
      <c r="C2098" s="23" t="s">
        <v>320</v>
      </c>
      <c r="D2098" s="23" t="s">
        <v>24979</v>
      </c>
      <c r="E2098" s="23" t="s">
        <v>42</v>
      </c>
      <c r="F2098" s="25" t="s">
        <v>5525</v>
      </c>
      <c r="G2098" s="25" t="s">
        <v>5526</v>
      </c>
      <c r="H2098" t="s">
        <v>26</v>
      </c>
      <c r="I2098" t="s">
        <v>26</v>
      </c>
      <c r="J2098" t="s">
        <v>26</v>
      </c>
      <c r="K2098" t="s">
        <v>26</v>
      </c>
      <c r="L2098" s="25" t="s">
        <v>68</v>
      </c>
      <c r="M2098" t="s">
        <v>26</v>
      </c>
      <c r="N2098" t="s">
        <v>26</v>
      </c>
      <c r="O2098" t="s">
        <v>26</v>
      </c>
      <c r="P2098" t="s">
        <v>26</v>
      </c>
      <c r="Q2098" t="s">
        <v>26</v>
      </c>
      <c r="R2098" t="s">
        <v>26</v>
      </c>
      <c r="S2098" t="s">
        <v>26</v>
      </c>
      <c r="T2098" t="s">
        <v>26</v>
      </c>
      <c r="U2098" t="s">
        <v>26</v>
      </c>
      <c r="V2098" t="s">
        <v>26</v>
      </c>
      <c r="W2098" s="24">
        <v>41487</v>
      </c>
      <c r="X2098" s="25" t="s">
        <v>77</v>
      </c>
      <c r="Y2098" t="s">
        <v>26</v>
      </c>
      <c r="Z2098" s="24">
        <v>41487</v>
      </c>
      <c r="AA2098" s="25" t="s">
        <v>77</v>
      </c>
      <c r="AB2098" t="s">
        <v>26</v>
      </c>
      <c r="AC2098" s="24">
        <v>41487</v>
      </c>
      <c r="AD2098" s="25" t="s">
        <v>77</v>
      </c>
      <c r="AE2098" t="s">
        <v>26</v>
      </c>
      <c r="AF2098" t="s">
        <v>26</v>
      </c>
      <c r="AG2098" t="s">
        <v>26</v>
      </c>
      <c r="AH2098" t="s">
        <v>26</v>
      </c>
      <c r="AI2098" t="s">
        <v>26</v>
      </c>
      <c r="AJ2098" t="s">
        <v>26</v>
      </c>
      <c r="AK2098" t="s">
        <v>26</v>
      </c>
      <c r="AL2098" t="s">
        <v>26</v>
      </c>
      <c r="AM2098" t="s">
        <v>26</v>
      </c>
      <c r="AN2098" t="s">
        <v>26</v>
      </c>
      <c r="AO2098" s="25" t="s">
        <v>68</v>
      </c>
      <c r="AP2098" s="23" t="s">
        <v>69</v>
      </c>
      <c r="AQ2098" s="23" t="s">
        <v>30</v>
      </c>
      <c r="AR2098" s="23" t="s">
        <v>704</v>
      </c>
      <c r="AS2098" s="25">
        <v>2034570</v>
      </c>
      <c r="AT2098" t="s">
        <v>26</v>
      </c>
      <c r="AU2098" t="s">
        <v>24980</v>
      </c>
    </row>
    <row r="2099" spans="1:47" ht="26.25" x14ac:dyDescent="0.4">
      <c r="A2099" s="23" t="s">
        <v>5527</v>
      </c>
      <c r="B2099" t="s">
        <v>26</v>
      </c>
      <c r="C2099" s="23" t="s">
        <v>73</v>
      </c>
      <c r="D2099" s="23" t="s">
        <v>22179</v>
      </c>
      <c r="E2099" s="23" t="s">
        <v>74</v>
      </c>
      <c r="F2099" s="25" t="s">
        <v>5528</v>
      </c>
      <c r="G2099" s="25" t="s">
        <v>5529</v>
      </c>
      <c r="H2099" t="s">
        <v>26</v>
      </c>
      <c r="I2099" s="24">
        <v>36708</v>
      </c>
      <c r="J2099" s="24">
        <v>43374</v>
      </c>
      <c r="K2099" t="s">
        <v>26</v>
      </c>
      <c r="L2099" s="25" t="s">
        <v>68</v>
      </c>
      <c r="M2099" t="s">
        <v>26</v>
      </c>
      <c r="N2099" t="s">
        <v>26</v>
      </c>
      <c r="O2099" t="s">
        <v>26</v>
      </c>
      <c r="P2099" s="24">
        <v>36708</v>
      </c>
      <c r="Q2099" s="24">
        <v>43374</v>
      </c>
      <c r="R2099" t="s">
        <v>26</v>
      </c>
      <c r="S2099" t="s">
        <v>26</v>
      </c>
      <c r="T2099" t="s">
        <v>26</v>
      </c>
      <c r="U2099" t="s">
        <v>26</v>
      </c>
      <c r="V2099" t="s">
        <v>26</v>
      </c>
      <c r="W2099" s="24">
        <v>35796</v>
      </c>
      <c r="X2099" s="25" t="s">
        <v>77</v>
      </c>
      <c r="Y2099" t="s">
        <v>26</v>
      </c>
      <c r="Z2099" s="24">
        <v>35796</v>
      </c>
      <c r="AA2099" s="25" t="s">
        <v>77</v>
      </c>
      <c r="AB2099" t="s">
        <v>26</v>
      </c>
      <c r="AC2099" s="24">
        <v>36708</v>
      </c>
      <c r="AD2099" s="25" t="s">
        <v>77</v>
      </c>
      <c r="AE2099" t="s">
        <v>26</v>
      </c>
      <c r="AF2099" t="s">
        <v>26</v>
      </c>
      <c r="AG2099" t="s">
        <v>26</v>
      </c>
      <c r="AH2099" t="s">
        <v>26</v>
      </c>
      <c r="AI2099" t="s">
        <v>26</v>
      </c>
      <c r="AJ2099" t="s">
        <v>26</v>
      </c>
      <c r="AK2099" t="s">
        <v>26</v>
      </c>
      <c r="AL2099" t="s">
        <v>26</v>
      </c>
      <c r="AM2099" t="s">
        <v>26</v>
      </c>
      <c r="AN2099" t="s">
        <v>26</v>
      </c>
      <c r="AO2099" s="25" t="s">
        <v>68</v>
      </c>
      <c r="AP2099" s="23" t="s">
        <v>69</v>
      </c>
      <c r="AQ2099" s="23" t="s">
        <v>30</v>
      </c>
      <c r="AR2099" s="23" t="s">
        <v>593</v>
      </c>
      <c r="AS2099" s="25">
        <v>48806</v>
      </c>
      <c r="AT2099" t="s">
        <v>26</v>
      </c>
      <c r="AU2099" t="s">
        <v>24981</v>
      </c>
    </row>
    <row r="2100" spans="1:47" ht="26.25" x14ac:dyDescent="0.4">
      <c r="A2100" s="23" t="s">
        <v>5530</v>
      </c>
      <c r="B2100" t="s">
        <v>26</v>
      </c>
      <c r="C2100" s="23" t="s">
        <v>5531</v>
      </c>
      <c r="D2100" s="23" t="s">
        <v>22423</v>
      </c>
      <c r="E2100" s="23" t="s">
        <v>187</v>
      </c>
      <c r="F2100" s="25" t="s">
        <v>5532</v>
      </c>
      <c r="G2100" s="25" t="s">
        <v>5533</v>
      </c>
      <c r="H2100" t="s">
        <v>26</v>
      </c>
      <c r="I2100" s="24">
        <v>38718</v>
      </c>
      <c r="J2100" s="25" t="s">
        <v>77</v>
      </c>
      <c r="K2100" t="s">
        <v>26</v>
      </c>
      <c r="L2100" s="25" t="s">
        <v>68</v>
      </c>
      <c r="M2100" t="s">
        <v>26</v>
      </c>
      <c r="N2100" t="s">
        <v>26</v>
      </c>
      <c r="O2100" t="s">
        <v>26</v>
      </c>
      <c r="P2100" s="24">
        <v>38718</v>
      </c>
      <c r="Q2100" s="25" t="s">
        <v>77</v>
      </c>
      <c r="R2100" t="s">
        <v>26</v>
      </c>
      <c r="S2100" t="s">
        <v>26</v>
      </c>
      <c r="T2100" t="s">
        <v>26</v>
      </c>
      <c r="U2100" t="s">
        <v>26</v>
      </c>
      <c r="V2100" t="s">
        <v>26</v>
      </c>
      <c r="W2100" s="24">
        <v>38718</v>
      </c>
      <c r="X2100" s="25" t="s">
        <v>77</v>
      </c>
      <c r="Y2100" t="s">
        <v>26</v>
      </c>
      <c r="Z2100" s="24">
        <v>38718</v>
      </c>
      <c r="AA2100" s="25" t="s">
        <v>77</v>
      </c>
      <c r="AB2100" t="s">
        <v>26</v>
      </c>
      <c r="AC2100" s="24">
        <v>38718</v>
      </c>
      <c r="AD2100" s="25" t="s">
        <v>77</v>
      </c>
      <c r="AE2100" t="s">
        <v>26</v>
      </c>
      <c r="AF2100" t="s">
        <v>26</v>
      </c>
      <c r="AG2100" t="s">
        <v>26</v>
      </c>
      <c r="AH2100" t="s">
        <v>26</v>
      </c>
      <c r="AI2100" t="s">
        <v>26</v>
      </c>
      <c r="AJ2100" t="s">
        <v>26</v>
      </c>
      <c r="AK2100" t="s">
        <v>26</v>
      </c>
      <c r="AL2100" t="s">
        <v>26</v>
      </c>
      <c r="AM2100" t="s">
        <v>26</v>
      </c>
      <c r="AN2100" t="s">
        <v>26</v>
      </c>
      <c r="AO2100" s="25" t="s">
        <v>68</v>
      </c>
      <c r="AP2100" s="23" t="s">
        <v>69</v>
      </c>
      <c r="AQ2100" s="23" t="s">
        <v>1913</v>
      </c>
      <c r="AR2100" s="23" t="s">
        <v>70</v>
      </c>
      <c r="AS2100" s="25">
        <v>1286344</v>
      </c>
      <c r="AT2100" t="s">
        <v>26</v>
      </c>
      <c r="AU2100" t="s">
        <v>24982</v>
      </c>
    </row>
    <row r="2101" spans="1:47" ht="26.25" x14ac:dyDescent="0.4">
      <c r="A2101" s="23" t="s">
        <v>5534</v>
      </c>
      <c r="B2101" t="s">
        <v>26</v>
      </c>
      <c r="C2101" s="23" t="s">
        <v>80</v>
      </c>
      <c r="D2101" s="23" t="s">
        <v>22748</v>
      </c>
      <c r="E2101" s="23" t="s">
        <v>60</v>
      </c>
      <c r="F2101" s="25" t="s">
        <v>5535</v>
      </c>
      <c r="G2101" s="25" t="s">
        <v>5536</v>
      </c>
      <c r="H2101" t="s">
        <v>26</v>
      </c>
      <c r="I2101" s="24">
        <v>38353</v>
      </c>
      <c r="J2101" s="25" t="s">
        <v>77</v>
      </c>
      <c r="K2101" t="s">
        <v>26</v>
      </c>
      <c r="L2101" s="25" t="s">
        <v>68</v>
      </c>
      <c r="M2101" s="24">
        <v>41640</v>
      </c>
      <c r="N2101" s="25" t="s">
        <v>77</v>
      </c>
      <c r="O2101" t="s">
        <v>26</v>
      </c>
      <c r="P2101" s="24">
        <v>38353</v>
      </c>
      <c r="Q2101" s="25" t="s">
        <v>77</v>
      </c>
      <c r="R2101" t="s">
        <v>26</v>
      </c>
      <c r="S2101" t="s">
        <v>26</v>
      </c>
      <c r="T2101" t="s">
        <v>26</v>
      </c>
      <c r="U2101" t="s">
        <v>26</v>
      </c>
      <c r="V2101" t="s">
        <v>26</v>
      </c>
      <c r="W2101" s="24">
        <v>38353</v>
      </c>
      <c r="X2101" s="25" t="s">
        <v>77</v>
      </c>
      <c r="Y2101" t="s">
        <v>26</v>
      </c>
      <c r="Z2101" s="24">
        <v>38353</v>
      </c>
      <c r="AA2101" s="25" t="s">
        <v>77</v>
      </c>
      <c r="AB2101" t="s">
        <v>26</v>
      </c>
      <c r="AC2101" s="24">
        <v>38353</v>
      </c>
      <c r="AD2101" s="25" t="s">
        <v>77</v>
      </c>
      <c r="AE2101" t="s">
        <v>26</v>
      </c>
      <c r="AF2101" t="s">
        <v>26</v>
      </c>
      <c r="AG2101" t="s">
        <v>26</v>
      </c>
      <c r="AH2101" t="s">
        <v>26</v>
      </c>
      <c r="AI2101" t="s">
        <v>26</v>
      </c>
      <c r="AJ2101" t="s">
        <v>26</v>
      </c>
      <c r="AK2101" t="s">
        <v>26</v>
      </c>
      <c r="AL2101" t="s">
        <v>26</v>
      </c>
      <c r="AM2101" t="s">
        <v>26</v>
      </c>
      <c r="AN2101" t="s">
        <v>26</v>
      </c>
      <c r="AO2101" s="25" t="s">
        <v>28</v>
      </c>
      <c r="AP2101" s="23" t="s">
        <v>69</v>
      </c>
      <c r="AQ2101" s="23" t="s">
        <v>30</v>
      </c>
      <c r="AR2101" s="23" t="s">
        <v>70</v>
      </c>
      <c r="AS2101" s="25">
        <v>3933344</v>
      </c>
      <c r="AT2101" t="s">
        <v>26</v>
      </c>
      <c r="AU2101" t="s">
        <v>24983</v>
      </c>
    </row>
    <row r="2102" spans="1:47" ht="26.25" x14ac:dyDescent="0.4">
      <c r="A2102" s="23" t="s">
        <v>5537</v>
      </c>
      <c r="B2102" t="s">
        <v>26</v>
      </c>
      <c r="C2102" s="23" t="s">
        <v>213</v>
      </c>
      <c r="D2102" s="23" t="s">
        <v>22174</v>
      </c>
      <c r="E2102" s="23" t="s">
        <v>60</v>
      </c>
      <c r="F2102" t="s">
        <v>26</v>
      </c>
      <c r="G2102" s="25" t="s">
        <v>5538</v>
      </c>
      <c r="H2102" t="s">
        <v>26</v>
      </c>
      <c r="I2102" s="24">
        <v>42005</v>
      </c>
      <c r="J2102" s="24">
        <v>42736</v>
      </c>
      <c r="K2102" t="s">
        <v>26</v>
      </c>
      <c r="L2102" s="25" t="s">
        <v>68</v>
      </c>
      <c r="M2102" t="s">
        <v>26</v>
      </c>
      <c r="N2102" t="s">
        <v>26</v>
      </c>
      <c r="O2102" t="s">
        <v>26</v>
      </c>
      <c r="P2102" s="24">
        <v>42005</v>
      </c>
      <c r="Q2102" s="24">
        <v>42736</v>
      </c>
      <c r="R2102" t="s">
        <v>26</v>
      </c>
      <c r="S2102" t="s">
        <v>26</v>
      </c>
      <c r="T2102" t="s">
        <v>26</v>
      </c>
      <c r="U2102" t="s">
        <v>26</v>
      </c>
      <c r="V2102" t="s">
        <v>26</v>
      </c>
      <c r="W2102" s="24">
        <v>42005</v>
      </c>
      <c r="X2102" s="24">
        <v>42736</v>
      </c>
      <c r="Y2102" t="s">
        <v>26</v>
      </c>
      <c r="Z2102" s="24">
        <v>42005</v>
      </c>
      <c r="AA2102" s="24">
        <v>42736</v>
      </c>
      <c r="AB2102" t="s">
        <v>26</v>
      </c>
      <c r="AC2102" s="24">
        <v>42005</v>
      </c>
      <c r="AD2102" s="24">
        <v>42736</v>
      </c>
      <c r="AE2102" t="s">
        <v>26</v>
      </c>
      <c r="AF2102" t="s">
        <v>26</v>
      </c>
      <c r="AG2102" t="s">
        <v>26</v>
      </c>
      <c r="AH2102" t="s">
        <v>26</v>
      </c>
      <c r="AI2102" t="s">
        <v>26</v>
      </c>
      <c r="AJ2102" t="s">
        <v>26</v>
      </c>
      <c r="AK2102" t="s">
        <v>26</v>
      </c>
      <c r="AL2102" t="s">
        <v>26</v>
      </c>
      <c r="AM2102" t="s">
        <v>26</v>
      </c>
      <c r="AN2102" t="s">
        <v>26</v>
      </c>
      <c r="AO2102" s="25" t="s">
        <v>68</v>
      </c>
      <c r="AP2102" s="23" t="s">
        <v>69</v>
      </c>
      <c r="AQ2102" s="23" t="s">
        <v>30</v>
      </c>
      <c r="AR2102" s="23" t="s">
        <v>70</v>
      </c>
      <c r="AS2102" s="25">
        <v>2040199</v>
      </c>
      <c r="AT2102" t="s">
        <v>26</v>
      </c>
      <c r="AU2102" t="s">
        <v>24984</v>
      </c>
    </row>
    <row r="2103" spans="1:47" ht="26.25" x14ac:dyDescent="0.4">
      <c r="A2103" s="23" t="s">
        <v>5539</v>
      </c>
      <c r="B2103" t="s">
        <v>26</v>
      </c>
      <c r="C2103" s="23" t="s">
        <v>5472</v>
      </c>
      <c r="D2103" s="23" t="s">
        <v>22174</v>
      </c>
      <c r="E2103" s="23" t="s">
        <v>60</v>
      </c>
      <c r="F2103" s="25" t="s">
        <v>5540</v>
      </c>
      <c r="G2103" s="25" t="s">
        <v>5541</v>
      </c>
      <c r="H2103" t="s">
        <v>26</v>
      </c>
      <c r="I2103" s="24">
        <v>40575</v>
      </c>
      <c r="J2103" s="24">
        <v>41671</v>
      </c>
      <c r="K2103" t="s">
        <v>26</v>
      </c>
      <c r="L2103" s="25" t="s">
        <v>68</v>
      </c>
      <c r="M2103" t="s">
        <v>26</v>
      </c>
      <c r="N2103" t="s">
        <v>26</v>
      </c>
      <c r="O2103" t="s">
        <v>26</v>
      </c>
      <c r="P2103" s="24">
        <v>40575</v>
      </c>
      <c r="Q2103" s="24">
        <v>41671</v>
      </c>
      <c r="R2103" t="s">
        <v>26</v>
      </c>
      <c r="S2103" t="s">
        <v>26</v>
      </c>
      <c r="T2103" t="s">
        <v>26</v>
      </c>
      <c r="U2103" t="s">
        <v>26</v>
      </c>
      <c r="V2103" t="s">
        <v>26</v>
      </c>
      <c r="W2103" s="24">
        <v>40575</v>
      </c>
      <c r="X2103" s="24">
        <v>41671</v>
      </c>
      <c r="Y2103" t="s">
        <v>26</v>
      </c>
      <c r="Z2103" s="24">
        <v>40575</v>
      </c>
      <c r="AA2103" s="24">
        <v>41671</v>
      </c>
      <c r="AB2103" t="s">
        <v>26</v>
      </c>
      <c r="AC2103" s="24">
        <v>40575</v>
      </c>
      <c r="AD2103" s="24">
        <v>41671</v>
      </c>
      <c r="AE2103" t="s">
        <v>26</v>
      </c>
      <c r="AF2103" t="s">
        <v>26</v>
      </c>
      <c r="AG2103" t="s">
        <v>26</v>
      </c>
      <c r="AH2103" t="s">
        <v>26</v>
      </c>
      <c r="AI2103" t="s">
        <v>26</v>
      </c>
      <c r="AJ2103" t="s">
        <v>26</v>
      </c>
      <c r="AK2103" t="s">
        <v>26</v>
      </c>
      <c r="AL2103" t="s">
        <v>26</v>
      </c>
      <c r="AM2103" t="s">
        <v>26</v>
      </c>
      <c r="AN2103" t="s">
        <v>26</v>
      </c>
      <c r="AO2103" s="25" t="s">
        <v>68</v>
      </c>
      <c r="AP2103" s="23" t="s">
        <v>69</v>
      </c>
      <c r="AQ2103" s="23" t="s">
        <v>30</v>
      </c>
      <c r="AR2103" s="23" t="s">
        <v>70</v>
      </c>
      <c r="AS2103" s="25">
        <v>636387</v>
      </c>
      <c r="AT2103" t="s">
        <v>26</v>
      </c>
      <c r="AU2103" t="s">
        <v>24985</v>
      </c>
    </row>
    <row r="2104" spans="1:47" ht="26.25" x14ac:dyDescent="0.4">
      <c r="A2104" s="23" t="s">
        <v>5542</v>
      </c>
      <c r="B2104" t="s">
        <v>26</v>
      </c>
      <c r="C2104" s="23" t="s">
        <v>803</v>
      </c>
      <c r="D2104" s="23" t="s">
        <v>22499</v>
      </c>
      <c r="E2104" s="23" t="s">
        <v>711</v>
      </c>
      <c r="F2104" s="25" t="s">
        <v>5543</v>
      </c>
      <c r="G2104" s="25" t="s">
        <v>5544</v>
      </c>
      <c r="H2104" t="s">
        <v>26</v>
      </c>
      <c r="I2104" s="24">
        <v>36008</v>
      </c>
      <c r="J2104" s="24">
        <v>42339</v>
      </c>
      <c r="K2104" t="s">
        <v>26</v>
      </c>
      <c r="L2104" s="25" t="s">
        <v>68</v>
      </c>
      <c r="M2104" s="24">
        <v>36008</v>
      </c>
      <c r="N2104" s="24">
        <v>37803</v>
      </c>
      <c r="O2104" t="s">
        <v>26</v>
      </c>
      <c r="P2104" s="24">
        <v>36008</v>
      </c>
      <c r="Q2104" s="24">
        <v>42339</v>
      </c>
      <c r="R2104" t="s">
        <v>26</v>
      </c>
      <c r="S2104" t="s">
        <v>26</v>
      </c>
      <c r="T2104" t="s">
        <v>26</v>
      </c>
      <c r="U2104" t="s">
        <v>26</v>
      </c>
      <c r="V2104" t="s">
        <v>26</v>
      </c>
      <c r="W2104" s="24">
        <v>36008</v>
      </c>
      <c r="X2104" s="24">
        <v>42583</v>
      </c>
      <c r="Y2104" t="s">
        <v>26</v>
      </c>
      <c r="Z2104" s="24">
        <v>36008</v>
      </c>
      <c r="AA2104" s="24">
        <v>42583</v>
      </c>
      <c r="AB2104" t="s">
        <v>26</v>
      </c>
      <c r="AC2104" s="24">
        <v>36008</v>
      </c>
      <c r="AD2104" s="24">
        <v>42583</v>
      </c>
      <c r="AE2104" t="s">
        <v>26</v>
      </c>
      <c r="AF2104" t="s">
        <v>26</v>
      </c>
      <c r="AG2104" t="s">
        <v>26</v>
      </c>
      <c r="AH2104" t="s">
        <v>26</v>
      </c>
      <c r="AI2104" t="s">
        <v>26</v>
      </c>
      <c r="AJ2104" t="s">
        <v>26</v>
      </c>
      <c r="AK2104" t="s">
        <v>26</v>
      </c>
      <c r="AL2104" t="s">
        <v>26</v>
      </c>
      <c r="AM2104" t="s">
        <v>26</v>
      </c>
      <c r="AN2104" t="s">
        <v>26</v>
      </c>
      <c r="AO2104" s="25" t="s">
        <v>68</v>
      </c>
      <c r="AP2104" s="23" t="s">
        <v>69</v>
      </c>
      <c r="AQ2104" s="23" t="s">
        <v>30</v>
      </c>
      <c r="AR2104" s="23" t="s">
        <v>70</v>
      </c>
      <c r="AS2104" s="25">
        <v>32889</v>
      </c>
      <c r="AT2104" t="s">
        <v>26</v>
      </c>
      <c r="AU2104" t="s">
        <v>24986</v>
      </c>
    </row>
    <row r="2105" spans="1:47" ht="26.25" x14ac:dyDescent="0.4">
      <c r="A2105" s="23" t="s">
        <v>5545</v>
      </c>
      <c r="B2105" t="s">
        <v>26</v>
      </c>
      <c r="C2105" s="23" t="s">
        <v>80</v>
      </c>
      <c r="D2105" s="23" t="s">
        <v>22267</v>
      </c>
      <c r="E2105" s="23" t="s">
        <v>60</v>
      </c>
      <c r="F2105" s="25" t="s">
        <v>5546</v>
      </c>
      <c r="G2105" s="25" t="s">
        <v>5547</v>
      </c>
      <c r="H2105" t="s">
        <v>26</v>
      </c>
      <c r="I2105" t="s">
        <v>26</v>
      </c>
      <c r="J2105" t="s">
        <v>26</v>
      </c>
      <c r="K2105" t="s">
        <v>26</v>
      </c>
      <c r="L2105" s="25" t="s">
        <v>68</v>
      </c>
      <c r="M2105" t="s">
        <v>26</v>
      </c>
      <c r="N2105" t="s">
        <v>26</v>
      </c>
      <c r="O2105" t="s">
        <v>26</v>
      </c>
      <c r="P2105" t="s">
        <v>26</v>
      </c>
      <c r="Q2105" t="s">
        <v>26</v>
      </c>
      <c r="R2105" t="s">
        <v>26</v>
      </c>
      <c r="S2105" t="s">
        <v>26</v>
      </c>
      <c r="T2105" t="s">
        <v>26</v>
      </c>
      <c r="U2105" t="s">
        <v>26</v>
      </c>
      <c r="V2105" t="s">
        <v>26</v>
      </c>
      <c r="W2105" s="24">
        <v>40544</v>
      </c>
      <c r="X2105" s="25" t="s">
        <v>77</v>
      </c>
      <c r="Y2105" t="s">
        <v>26</v>
      </c>
      <c r="Z2105" s="24">
        <v>40544</v>
      </c>
      <c r="AA2105" s="25" t="s">
        <v>77</v>
      </c>
      <c r="AB2105" t="s">
        <v>26</v>
      </c>
      <c r="AC2105" s="24">
        <v>40544</v>
      </c>
      <c r="AD2105" s="25" t="s">
        <v>77</v>
      </c>
      <c r="AE2105" t="s">
        <v>26</v>
      </c>
      <c r="AF2105" t="s">
        <v>26</v>
      </c>
      <c r="AG2105" t="s">
        <v>26</v>
      </c>
      <c r="AH2105" t="s">
        <v>26</v>
      </c>
      <c r="AI2105" t="s">
        <v>26</v>
      </c>
      <c r="AJ2105" t="s">
        <v>26</v>
      </c>
      <c r="AK2105" t="s">
        <v>26</v>
      </c>
      <c r="AL2105" t="s">
        <v>26</v>
      </c>
      <c r="AM2105" t="s">
        <v>26</v>
      </c>
      <c r="AN2105" t="s">
        <v>26</v>
      </c>
      <c r="AO2105" s="25" t="s">
        <v>68</v>
      </c>
      <c r="AP2105" s="23" t="s">
        <v>69</v>
      </c>
      <c r="AQ2105" s="23" t="s">
        <v>30</v>
      </c>
      <c r="AR2105" s="23" t="s">
        <v>71</v>
      </c>
      <c r="AS2105" s="25">
        <v>436415</v>
      </c>
      <c r="AT2105" t="s">
        <v>26</v>
      </c>
      <c r="AU2105" t="s">
        <v>24987</v>
      </c>
    </row>
    <row r="2106" spans="1:47" ht="26.25" x14ac:dyDescent="0.4">
      <c r="A2106" s="23" t="s">
        <v>5548</v>
      </c>
      <c r="B2106" t="s">
        <v>26</v>
      </c>
      <c r="C2106" s="23" t="s">
        <v>73</v>
      </c>
      <c r="D2106" s="23" t="s">
        <v>22179</v>
      </c>
      <c r="E2106" s="23" t="s">
        <v>74</v>
      </c>
      <c r="F2106" s="25" t="s">
        <v>5549</v>
      </c>
      <c r="G2106" s="25" t="s">
        <v>5550</v>
      </c>
      <c r="H2106" t="s">
        <v>26</v>
      </c>
      <c r="I2106" s="24">
        <v>35490</v>
      </c>
      <c r="J2106" s="25" t="s">
        <v>77</v>
      </c>
      <c r="K2106" t="s">
        <v>26</v>
      </c>
      <c r="L2106" s="25" t="s">
        <v>68</v>
      </c>
      <c r="M2106" s="24">
        <v>38047</v>
      </c>
      <c r="N2106" s="24">
        <v>42795</v>
      </c>
      <c r="O2106" t="s">
        <v>26</v>
      </c>
      <c r="P2106" s="24">
        <v>35490</v>
      </c>
      <c r="Q2106" s="25" t="s">
        <v>77</v>
      </c>
      <c r="R2106" t="s">
        <v>26</v>
      </c>
      <c r="S2106" t="s">
        <v>26</v>
      </c>
      <c r="T2106" t="s">
        <v>26</v>
      </c>
      <c r="U2106" t="s">
        <v>26</v>
      </c>
      <c r="V2106" s="25">
        <v>365</v>
      </c>
      <c r="W2106" s="24">
        <v>35490</v>
      </c>
      <c r="X2106" s="25" t="s">
        <v>77</v>
      </c>
      <c r="Y2106" t="s">
        <v>26</v>
      </c>
      <c r="Z2106" s="24">
        <v>35490</v>
      </c>
      <c r="AA2106" s="25" t="s">
        <v>77</v>
      </c>
      <c r="AB2106" t="s">
        <v>26</v>
      </c>
      <c r="AC2106" s="24">
        <v>35490</v>
      </c>
      <c r="AD2106" s="25" t="s">
        <v>77</v>
      </c>
      <c r="AE2106" t="s">
        <v>26</v>
      </c>
      <c r="AF2106" t="s">
        <v>26</v>
      </c>
      <c r="AG2106" t="s">
        <v>26</v>
      </c>
      <c r="AH2106" t="s">
        <v>26</v>
      </c>
      <c r="AI2106" t="s">
        <v>26</v>
      </c>
      <c r="AJ2106" t="s">
        <v>26</v>
      </c>
      <c r="AK2106" t="s">
        <v>26</v>
      </c>
      <c r="AL2106" t="s">
        <v>26</v>
      </c>
      <c r="AM2106" t="s">
        <v>26</v>
      </c>
      <c r="AN2106" t="s">
        <v>26</v>
      </c>
      <c r="AO2106" s="25" t="s">
        <v>68</v>
      </c>
      <c r="AP2106" s="23" t="s">
        <v>69</v>
      </c>
      <c r="AQ2106" s="23" t="s">
        <v>30</v>
      </c>
      <c r="AR2106" s="23" t="s">
        <v>70</v>
      </c>
      <c r="AS2106" s="25">
        <v>37981</v>
      </c>
      <c r="AT2106" t="s">
        <v>26</v>
      </c>
      <c r="AU2106" t="s">
        <v>24988</v>
      </c>
    </row>
    <row r="2107" spans="1:47" ht="26.25" x14ac:dyDescent="0.4">
      <c r="A2107" s="23" t="s">
        <v>5551</v>
      </c>
      <c r="B2107" t="s">
        <v>26</v>
      </c>
      <c r="C2107" s="23" t="s">
        <v>3316</v>
      </c>
      <c r="D2107" s="23" t="s">
        <v>22179</v>
      </c>
      <c r="E2107" s="23" t="s">
        <v>42</v>
      </c>
      <c r="F2107" s="25" t="s">
        <v>5552</v>
      </c>
      <c r="G2107" s="25" t="s">
        <v>5553</v>
      </c>
      <c r="H2107" t="s">
        <v>26</v>
      </c>
      <c r="I2107" s="24">
        <v>36526</v>
      </c>
      <c r="J2107" s="25" t="s">
        <v>77</v>
      </c>
      <c r="K2107" t="s">
        <v>26</v>
      </c>
      <c r="L2107" s="25" t="s">
        <v>68</v>
      </c>
      <c r="M2107" s="24">
        <v>37987</v>
      </c>
      <c r="N2107" s="24">
        <v>42887</v>
      </c>
      <c r="O2107" t="s">
        <v>26</v>
      </c>
      <c r="P2107" s="24">
        <v>36526</v>
      </c>
      <c r="Q2107" s="25" t="s">
        <v>77</v>
      </c>
      <c r="R2107" t="s">
        <v>26</v>
      </c>
      <c r="S2107" t="s">
        <v>26</v>
      </c>
      <c r="T2107" t="s">
        <v>26</v>
      </c>
      <c r="U2107" t="s">
        <v>26</v>
      </c>
      <c r="V2107" s="25">
        <v>365</v>
      </c>
      <c r="W2107" s="24">
        <v>36526</v>
      </c>
      <c r="X2107" s="25" t="s">
        <v>77</v>
      </c>
      <c r="Y2107" t="s">
        <v>26</v>
      </c>
      <c r="Z2107" s="24">
        <v>36526</v>
      </c>
      <c r="AA2107" s="25" t="s">
        <v>77</v>
      </c>
      <c r="AB2107" t="s">
        <v>26</v>
      </c>
      <c r="AC2107" s="24">
        <v>36526</v>
      </c>
      <c r="AD2107" s="25" t="s">
        <v>77</v>
      </c>
      <c r="AE2107" t="s">
        <v>26</v>
      </c>
      <c r="AF2107" t="s">
        <v>26</v>
      </c>
      <c r="AG2107" t="s">
        <v>26</v>
      </c>
      <c r="AH2107" t="s">
        <v>26</v>
      </c>
      <c r="AI2107" t="s">
        <v>26</v>
      </c>
      <c r="AJ2107" t="s">
        <v>26</v>
      </c>
      <c r="AK2107" t="s">
        <v>26</v>
      </c>
      <c r="AL2107" t="s">
        <v>26</v>
      </c>
      <c r="AM2107" t="s">
        <v>26</v>
      </c>
      <c r="AN2107" t="s">
        <v>26</v>
      </c>
      <c r="AO2107" s="25" t="s">
        <v>68</v>
      </c>
      <c r="AP2107" s="23" t="s">
        <v>69</v>
      </c>
      <c r="AQ2107" s="23" t="s">
        <v>30</v>
      </c>
      <c r="AR2107" s="23" t="s">
        <v>1261</v>
      </c>
      <c r="AS2107" s="25">
        <v>33935</v>
      </c>
      <c r="AT2107" t="s">
        <v>26</v>
      </c>
      <c r="AU2107" t="s">
        <v>24989</v>
      </c>
    </row>
    <row r="2108" spans="1:47" ht="26.25" x14ac:dyDescent="0.4">
      <c r="A2108" s="23" t="s">
        <v>5554</v>
      </c>
      <c r="B2108" t="s">
        <v>26</v>
      </c>
      <c r="C2108" s="23" t="s">
        <v>564</v>
      </c>
      <c r="D2108" s="23" t="s">
        <v>22294</v>
      </c>
      <c r="E2108" s="23" t="s">
        <v>42</v>
      </c>
      <c r="F2108" t="s">
        <v>26</v>
      </c>
      <c r="G2108" s="25" t="s">
        <v>5555</v>
      </c>
      <c r="H2108" t="s">
        <v>26</v>
      </c>
      <c r="I2108" s="24">
        <v>43160</v>
      </c>
      <c r="J2108" s="25" t="s">
        <v>77</v>
      </c>
      <c r="K2108" t="s">
        <v>26</v>
      </c>
      <c r="L2108" s="25" t="s">
        <v>68</v>
      </c>
      <c r="M2108" s="24">
        <v>43160</v>
      </c>
      <c r="N2108" s="25" t="s">
        <v>77</v>
      </c>
      <c r="O2108" t="s">
        <v>26</v>
      </c>
      <c r="P2108" s="24">
        <v>43160</v>
      </c>
      <c r="Q2108" s="25" t="s">
        <v>77</v>
      </c>
      <c r="R2108" t="s">
        <v>26</v>
      </c>
      <c r="S2108" t="s">
        <v>26</v>
      </c>
      <c r="T2108" t="s">
        <v>26</v>
      </c>
      <c r="U2108" t="s">
        <v>26</v>
      </c>
      <c r="V2108" t="s">
        <v>26</v>
      </c>
      <c r="W2108" s="24">
        <v>43160</v>
      </c>
      <c r="X2108" s="25" t="s">
        <v>77</v>
      </c>
      <c r="Y2108" t="s">
        <v>26</v>
      </c>
      <c r="Z2108" s="24">
        <v>43160</v>
      </c>
      <c r="AA2108" s="25" t="s">
        <v>77</v>
      </c>
      <c r="AB2108" t="s">
        <v>26</v>
      </c>
      <c r="AC2108" s="24">
        <v>43160</v>
      </c>
      <c r="AD2108" s="25" t="s">
        <v>77</v>
      </c>
      <c r="AE2108" t="s">
        <v>26</v>
      </c>
      <c r="AF2108" t="s">
        <v>26</v>
      </c>
      <c r="AG2108" t="s">
        <v>26</v>
      </c>
      <c r="AH2108" t="s">
        <v>26</v>
      </c>
      <c r="AI2108" t="s">
        <v>26</v>
      </c>
      <c r="AJ2108" t="s">
        <v>26</v>
      </c>
      <c r="AK2108" t="s">
        <v>26</v>
      </c>
      <c r="AL2108" t="s">
        <v>26</v>
      </c>
      <c r="AM2108" t="s">
        <v>26</v>
      </c>
      <c r="AN2108" t="s">
        <v>26</v>
      </c>
      <c r="AO2108" s="25" t="s">
        <v>68</v>
      </c>
      <c r="AP2108" s="23" t="s">
        <v>69</v>
      </c>
      <c r="AQ2108" s="23" t="s">
        <v>30</v>
      </c>
      <c r="AR2108" s="23" t="s">
        <v>1261</v>
      </c>
      <c r="AS2108" s="25">
        <v>4378887</v>
      </c>
      <c r="AT2108" t="s">
        <v>26</v>
      </c>
      <c r="AU2108" t="s">
        <v>24990</v>
      </c>
    </row>
    <row r="2109" spans="1:47" ht="26.25" x14ac:dyDescent="0.4">
      <c r="A2109" s="23" t="s">
        <v>5556</v>
      </c>
      <c r="B2109" t="s">
        <v>26</v>
      </c>
      <c r="C2109" s="23" t="s">
        <v>73</v>
      </c>
      <c r="D2109" s="23" t="s">
        <v>22179</v>
      </c>
      <c r="E2109" s="23" t="s">
        <v>74</v>
      </c>
      <c r="F2109" s="25" t="s">
        <v>5557</v>
      </c>
      <c r="G2109" s="25" t="s">
        <v>5558</v>
      </c>
      <c r="H2109" t="s">
        <v>26</v>
      </c>
      <c r="I2109" s="24">
        <v>35431</v>
      </c>
      <c r="J2109" s="25" t="s">
        <v>77</v>
      </c>
      <c r="K2109" s="25" t="s">
        <v>91</v>
      </c>
      <c r="L2109" s="25" t="s">
        <v>68</v>
      </c>
      <c r="M2109" s="24">
        <v>37987</v>
      </c>
      <c r="N2109" s="24">
        <v>42248</v>
      </c>
      <c r="O2109" t="s">
        <v>26</v>
      </c>
      <c r="P2109" s="24">
        <v>35431</v>
      </c>
      <c r="Q2109" s="25" t="s">
        <v>77</v>
      </c>
      <c r="R2109" s="25" t="s">
        <v>91</v>
      </c>
      <c r="S2109" t="s">
        <v>26</v>
      </c>
      <c r="T2109" t="s">
        <v>26</v>
      </c>
      <c r="U2109" t="s">
        <v>26</v>
      </c>
      <c r="V2109" s="25">
        <v>365</v>
      </c>
      <c r="W2109" s="24">
        <v>35431</v>
      </c>
      <c r="X2109" s="25" t="s">
        <v>77</v>
      </c>
      <c r="Y2109" s="25" t="s">
        <v>91</v>
      </c>
      <c r="Z2109" s="24">
        <v>35431</v>
      </c>
      <c r="AA2109" s="25" t="s">
        <v>77</v>
      </c>
      <c r="AB2109" s="25" t="s">
        <v>91</v>
      </c>
      <c r="AC2109" s="24">
        <v>35431</v>
      </c>
      <c r="AD2109" s="25" t="s">
        <v>77</v>
      </c>
      <c r="AE2109" s="25" t="s">
        <v>91</v>
      </c>
      <c r="AF2109" t="s">
        <v>26</v>
      </c>
      <c r="AG2109" t="s">
        <v>26</v>
      </c>
      <c r="AH2109" t="s">
        <v>26</v>
      </c>
      <c r="AI2109" t="s">
        <v>26</v>
      </c>
      <c r="AJ2109" t="s">
        <v>26</v>
      </c>
      <c r="AK2109" t="s">
        <v>26</v>
      </c>
      <c r="AL2109" t="s">
        <v>26</v>
      </c>
      <c r="AM2109" t="s">
        <v>26</v>
      </c>
      <c r="AN2109" t="s">
        <v>26</v>
      </c>
      <c r="AO2109" s="25" t="s">
        <v>68</v>
      </c>
      <c r="AP2109" s="23" t="s">
        <v>69</v>
      </c>
      <c r="AQ2109" s="23" t="s">
        <v>30</v>
      </c>
      <c r="AR2109" s="23" t="s">
        <v>70</v>
      </c>
      <c r="AS2109" s="25">
        <v>38002</v>
      </c>
      <c r="AT2109" t="s">
        <v>26</v>
      </c>
      <c r="AU2109" t="s">
        <v>24991</v>
      </c>
    </row>
    <row r="2110" spans="1:47" ht="26.25" x14ac:dyDescent="0.4">
      <c r="A2110" s="23" t="s">
        <v>5559</v>
      </c>
      <c r="B2110" t="s">
        <v>26</v>
      </c>
      <c r="C2110" s="23" t="s">
        <v>80</v>
      </c>
      <c r="D2110" s="23" t="s">
        <v>23269</v>
      </c>
      <c r="E2110" s="23" t="s">
        <v>60</v>
      </c>
      <c r="F2110" t="s">
        <v>26</v>
      </c>
      <c r="G2110" s="25" t="s">
        <v>5560</v>
      </c>
      <c r="H2110" t="s">
        <v>26</v>
      </c>
      <c r="I2110" s="24">
        <v>40909</v>
      </c>
      <c r="J2110" s="24">
        <v>42736</v>
      </c>
      <c r="K2110" t="s">
        <v>26</v>
      </c>
      <c r="L2110" s="25" t="s">
        <v>68</v>
      </c>
      <c r="M2110" s="24">
        <v>41640</v>
      </c>
      <c r="N2110" s="24">
        <v>42736</v>
      </c>
      <c r="O2110" t="s">
        <v>26</v>
      </c>
      <c r="P2110" s="24">
        <v>40909</v>
      </c>
      <c r="Q2110" s="24">
        <v>42736</v>
      </c>
      <c r="R2110" t="s">
        <v>26</v>
      </c>
      <c r="S2110" t="s">
        <v>26</v>
      </c>
      <c r="T2110" t="s">
        <v>26</v>
      </c>
      <c r="U2110" t="s">
        <v>26</v>
      </c>
      <c r="V2110" t="s">
        <v>26</v>
      </c>
      <c r="W2110" s="24">
        <v>40909</v>
      </c>
      <c r="X2110" s="24">
        <v>42736</v>
      </c>
      <c r="Y2110" t="s">
        <v>26</v>
      </c>
      <c r="Z2110" s="24">
        <v>40909</v>
      </c>
      <c r="AA2110" s="24">
        <v>42736</v>
      </c>
      <c r="AB2110" t="s">
        <v>26</v>
      </c>
      <c r="AC2110" s="24">
        <v>40909</v>
      </c>
      <c r="AD2110" s="24">
        <v>42736</v>
      </c>
      <c r="AE2110" t="s">
        <v>26</v>
      </c>
      <c r="AF2110" t="s">
        <v>26</v>
      </c>
      <c r="AG2110" t="s">
        <v>26</v>
      </c>
      <c r="AH2110" t="s">
        <v>26</v>
      </c>
      <c r="AI2110" t="s">
        <v>26</v>
      </c>
      <c r="AJ2110" t="s">
        <v>26</v>
      </c>
      <c r="AK2110" t="s">
        <v>26</v>
      </c>
      <c r="AL2110" t="s">
        <v>26</v>
      </c>
      <c r="AM2110" t="s">
        <v>26</v>
      </c>
      <c r="AN2110" t="s">
        <v>26</v>
      </c>
      <c r="AO2110" s="25" t="s">
        <v>68</v>
      </c>
      <c r="AP2110" s="23" t="s">
        <v>69</v>
      </c>
      <c r="AQ2110" s="23" t="s">
        <v>30</v>
      </c>
      <c r="AR2110" s="23" t="s">
        <v>70</v>
      </c>
      <c r="AS2110" s="25">
        <v>3933342</v>
      </c>
      <c r="AT2110" t="s">
        <v>26</v>
      </c>
      <c r="AU2110" t="s">
        <v>24992</v>
      </c>
    </row>
    <row r="2111" spans="1:47" ht="26.25" x14ac:dyDescent="0.4">
      <c r="A2111" s="23" t="s">
        <v>5561</v>
      </c>
      <c r="B2111" t="s">
        <v>26</v>
      </c>
      <c r="C2111" s="23" t="s">
        <v>146</v>
      </c>
      <c r="D2111" s="23" t="s">
        <v>22174</v>
      </c>
      <c r="E2111" s="23" t="s">
        <v>60</v>
      </c>
      <c r="F2111" t="s">
        <v>26</v>
      </c>
      <c r="G2111" t="s">
        <v>26</v>
      </c>
      <c r="H2111" t="s">
        <v>26</v>
      </c>
      <c r="I2111" t="s">
        <v>26</v>
      </c>
      <c r="J2111" t="s">
        <v>26</v>
      </c>
      <c r="K2111" t="s">
        <v>26</v>
      </c>
      <c r="L2111" s="25" t="s">
        <v>28</v>
      </c>
      <c r="M2111" t="s">
        <v>26</v>
      </c>
      <c r="N2111" t="s">
        <v>26</v>
      </c>
      <c r="O2111" t="s">
        <v>26</v>
      </c>
      <c r="P2111" t="s">
        <v>26</v>
      </c>
      <c r="Q2111" t="s">
        <v>26</v>
      </c>
      <c r="R2111" t="s">
        <v>26</v>
      </c>
      <c r="S2111" t="s">
        <v>26</v>
      </c>
      <c r="T2111" t="s">
        <v>26</v>
      </c>
      <c r="U2111" t="s">
        <v>26</v>
      </c>
      <c r="V2111" t="s">
        <v>26</v>
      </c>
      <c r="W2111" s="24">
        <v>41640</v>
      </c>
      <c r="X2111" s="24">
        <v>41640</v>
      </c>
      <c r="Y2111" t="s">
        <v>26</v>
      </c>
      <c r="Z2111" s="24">
        <v>41640</v>
      </c>
      <c r="AA2111" s="24">
        <v>41640</v>
      </c>
      <c r="AB2111" t="s">
        <v>26</v>
      </c>
      <c r="AC2111" t="s">
        <v>26</v>
      </c>
      <c r="AD2111" t="s">
        <v>26</v>
      </c>
      <c r="AE2111" t="s">
        <v>26</v>
      </c>
      <c r="AF2111" t="s">
        <v>26</v>
      </c>
      <c r="AG2111" t="s">
        <v>26</v>
      </c>
      <c r="AH2111" t="s">
        <v>26</v>
      </c>
      <c r="AI2111" t="s">
        <v>26</v>
      </c>
      <c r="AJ2111" t="s">
        <v>26</v>
      </c>
      <c r="AK2111" t="s">
        <v>26</v>
      </c>
      <c r="AL2111" t="s">
        <v>26</v>
      </c>
      <c r="AM2111" t="s">
        <v>26</v>
      </c>
      <c r="AN2111" t="s">
        <v>26</v>
      </c>
      <c r="AO2111" s="25" t="s">
        <v>28</v>
      </c>
      <c r="AP2111" s="23" t="s">
        <v>29</v>
      </c>
      <c r="AQ2111" s="23" t="s">
        <v>30</v>
      </c>
      <c r="AR2111" s="23" t="s">
        <v>44</v>
      </c>
      <c r="AS2111" s="25">
        <v>5485116</v>
      </c>
      <c r="AT2111" s="23" t="s">
        <v>22181</v>
      </c>
      <c r="AU2111" t="s">
        <v>24993</v>
      </c>
    </row>
    <row r="2112" spans="1:47" ht="26.25" x14ac:dyDescent="0.4">
      <c r="A2112" s="23" t="s">
        <v>5562</v>
      </c>
      <c r="B2112" t="s">
        <v>26</v>
      </c>
      <c r="C2112" s="23" t="s">
        <v>73</v>
      </c>
      <c r="D2112" s="23" t="s">
        <v>22179</v>
      </c>
      <c r="E2112" s="23" t="s">
        <v>74</v>
      </c>
      <c r="F2112" s="25" t="s">
        <v>5563</v>
      </c>
      <c r="G2112" s="25" t="s">
        <v>5564</v>
      </c>
      <c r="H2112" t="s">
        <v>26</v>
      </c>
      <c r="I2112" s="24">
        <v>37987</v>
      </c>
      <c r="J2112" s="25" t="s">
        <v>77</v>
      </c>
      <c r="K2112" t="s">
        <v>26</v>
      </c>
      <c r="L2112" s="25" t="s">
        <v>68</v>
      </c>
      <c r="M2112" s="24">
        <v>37987</v>
      </c>
      <c r="N2112" s="24">
        <v>42826</v>
      </c>
      <c r="O2112" t="s">
        <v>26</v>
      </c>
      <c r="P2112" s="24">
        <v>37987</v>
      </c>
      <c r="Q2112" s="25" t="s">
        <v>77</v>
      </c>
      <c r="R2112" t="s">
        <v>26</v>
      </c>
      <c r="S2112" t="s">
        <v>26</v>
      </c>
      <c r="T2112" t="s">
        <v>26</v>
      </c>
      <c r="U2112" t="s">
        <v>26</v>
      </c>
      <c r="V2112" s="25">
        <v>365</v>
      </c>
      <c r="W2112" s="24">
        <v>37987</v>
      </c>
      <c r="X2112" s="25" t="s">
        <v>77</v>
      </c>
      <c r="Y2112" t="s">
        <v>26</v>
      </c>
      <c r="Z2112" s="24">
        <v>37987</v>
      </c>
      <c r="AA2112" s="25" t="s">
        <v>77</v>
      </c>
      <c r="AB2112" t="s">
        <v>26</v>
      </c>
      <c r="AC2112" s="24">
        <v>37987</v>
      </c>
      <c r="AD2112" s="25" t="s">
        <v>77</v>
      </c>
      <c r="AE2112" t="s">
        <v>26</v>
      </c>
      <c r="AF2112" t="s">
        <v>26</v>
      </c>
      <c r="AG2112" t="s">
        <v>26</v>
      </c>
      <c r="AH2112" t="s">
        <v>26</v>
      </c>
      <c r="AI2112" t="s">
        <v>26</v>
      </c>
      <c r="AJ2112" t="s">
        <v>26</v>
      </c>
      <c r="AK2112" t="s">
        <v>26</v>
      </c>
      <c r="AL2112" t="s">
        <v>26</v>
      </c>
      <c r="AM2112" t="s">
        <v>26</v>
      </c>
      <c r="AN2112" t="s">
        <v>26</v>
      </c>
      <c r="AO2112" s="25" t="s">
        <v>68</v>
      </c>
      <c r="AP2112" s="23" t="s">
        <v>69</v>
      </c>
      <c r="AQ2112" s="23" t="s">
        <v>30</v>
      </c>
      <c r="AR2112" s="23" t="s">
        <v>70</v>
      </c>
      <c r="AS2112" s="25">
        <v>1476362</v>
      </c>
      <c r="AT2112" t="s">
        <v>26</v>
      </c>
      <c r="AU2112" t="s">
        <v>24994</v>
      </c>
    </row>
    <row r="2113" spans="1:47" ht="26.25" x14ac:dyDescent="0.4">
      <c r="A2113" s="23" t="s">
        <v>5565</v>
      </c>
      <c r="B2113" t="s">
        <v>26</v>
      </c>
      <c r="C2113" s="23" t="s">
        <v>259</v>
      </c>
      <c r="D2113" s="23" t="s">
        <v>22660</v>
      </c>
      <c r="E2113" s="23" t="s">
        <v>60</v>
      </c>
      <c r="F2113" s="25" t="s">
        <v>5566</v>
      </c>
      <c r="G2113" s="25" t="s">
        <v>5567</v>
      </c>
      <c r="H2113" t="s">
        <v>26</v>
      </c>
      <c r="I2113" t="s">
        <v>26</v>
      </c>
      <c r="J2113" t="s">
        <v>26</v>
      </c>
      <c r="K2113" t="s">
        <v>26</v>
      </c>
      <c r="L2113" s="25" t="s">
        <v>68</v>
      </c>
      <c r="M2113" t="s">
        <v>26</v>
      </c>
      <c r="N2113" t="s">
        <v>26</v>
      </c>
      <c r="O2113" t="s">
        <v>26</v>
      </c>
      <c r="P2113" t="s">
        <v>26</v>
      </c>
      <c r="Q2113" t="s">
        <v>26</v>
      </c>
      <c r="R2113" t="s">
        <v>26</v>
      </c>
      <c r="S2113" t="s">
        <v>26</v>
      </c>
      <c r="T2113" t="s">
        <v>26</v>
      </c>
      <c r="U2113" t="s">
        <v>26</v>
      </c>
      <c r="V2113" t="s">
        <v>26</v>
      </c>
      <c r="W2113" s="24">
        <v>42370</v>
      </c>
      <c r="X2113" s="25" t="s">
        <v>77</v>
      </c>
      <c r="Y2113" t="s">
        <v>26</v>
      </c>
      <c r="Z2113" s="24">
        <v>42370</v>
      </c>
      <c r="AA2113" s="25" t="s">
        <v>77</v>
      </c>
      <c r="AB2113" t="s">
        <v>26</v>
      </c>
      <c r="AC2113" s="24">
        <v>42370</v>
      </c>
      <c r="AD2113" s="25" t="s">
        <v>77</v>
      </c>
      <c r="AE2113" t="s">
        <v>26</v>
      </c>
      <c r="AF2113" t="s">
        <v>26</v>
      </c>
      <c r="AG2113" t="s">
        <v>26</v>
      </c>
      <c r="AH2113" t="s">
        <v>26</v>
      </c>
      <c r="AI2113" t="s">
        <v>26</v>
      </c>
      <c r="AJ2113" t="s">
        <v>26</v>
      </c>
      <c r="AK2113" t="s">
        <v>26</v>
      </c>
      <c r="AL2113" t="s">
        <v>26</v>
      </c>
      <c r="AM2113" t="s">
        <v>26</v>
      </c>
      <c r="AN2113" t="s">
        <v>26</v>
      </c>
      <c r="AO2113" s="25" t="s">
        <v>68</v>
      </c>
      <c r="AP2113" s="23" t="s">
        <v>69</v>
      </c>
      <c r="AQ2113" s="23" t="s">
        <v>30</v>
      </c>
      <c r="AR2113" s="23" t="s">
        <v>46</v>
      </c>
      <c r="AS2113" s="25">
        <v>2033050</v>
      </c>
      <c r="AT2113" t="s">
        <v>26</v>
      </c>
      <c r="AU2113" t="s">
        <v>24995</v>
      </c>
    </row>
    <row r="2114" spans="1:47" ht="26.25" x14ac:dyDescent="0.4">
      <c r="A2114" s="23" t="s">
        <v>5568</v>
      </c>
      <c r="B2114" t="s">
        <v>26</v>
      </c>
      <c r="C2114" s="23" t="s">
        <v>320</v>
      </c>
      <c r="D2114" s="23" t="s">
        <v>22179</v>
      </c>
      <c r="E2114" s="23" t="s">
        <v>42</v>
      </c>
      <c r="F2114" s="25" t="s">
        <v>5569</v>
      </c>
      <c r="G2114" s="25" t="s">
        <v>5570</v>
      </c>
      <c r="H2114" t="s">
        <v>26</v>
      </c>
      <c r="I2114" t="s">
        <v>26</v>
      </c>
      <c r="J2114" t="s">
        <v>26</v>
      </c>
      <c r="K2114" t="s">
        <v>26</v>
      </c>
      <c r="L2114" s="25" t="s">
        <v>68</v>
      </c>
      <c r="M2114" t="s">
        <v>26</v>
      </c>
      <c r="N2114" t="s">
        <v>26</v>
      </c>
      <c r="O2114" t="s">
        <v>26</v>
      </c>
      <c r="P2114" t="s">
        <v>26</v>
      </c>
      <c r="Q2114" t="s">
        <v>26</v>
      </c>
      <c r="R2114" t="s">
        <v>26</v>
      </c>
      <c r="S2114" t="s">
        <v>26</v>
      </c>
      <c r="T2114" t="s">
        <v>26</v>
      </c>
      <c r="U2114" t="s">
        <v>26</v>
      </c>
      <c r="V2114" t="s">
        <v>26</v>
      </c>
      <c r="W2114" s="24">
        <v>40909</v>
      </c>
      <c r="X2114" s="25" t="s">
        <v>77</v>
      </c>
      <c r="Y2114" t="s">
        <v>26</v>
      </c>
      <c r="Z2114" s="24">
        <v>40909</v>
      </c>
      <c r="AA2114" s="25" t="s">
        <v>77</v>
      </c>
      <c r="AB2114" t="s">
        <v>26</v>
      </c>
      <c r="AC2114" s="24">
        <v>40909</v>
      </c>
      <c r="AD2114" s="25" t="s">
        <v>77</v>
      </c>
      <c r="AE2114" t="s">
        <v>26</v>
      </c>
      <c r="AF2114" t="s">
        <v>26</v>
      </c>
      <c r="AG2114" t="s">
        <v>26</v>
      </c>
      <c r="AH2114" t="s">
        <v>26</v>
      </c>
      <c r="AI2114" t="s">
        <v>26</v>
      </c>
      <c r="AJ2114" t="s">
        <v>26</v>
      </c>
      <c r="AK2114" t="s">
        <v>26</v>
      </c>
      <c r="AL2114" t="s">
        <v>26</v>
      </c>
      <c r="AM2114" t="s">
        <v>26</v>
      </c>
      <c r="AN2114" t="s">
        <v>26</v>
      </c>
      <c r="AO2114" s="25" t="s">
        <v>28</v>
      </c>
      <c r="AP2114" s="23" t="s">
        <v>69</v>
      </c>
      <c r="AQ2114" s="23" t="s">
        <v>30</v>
      </c>
      <c r="AR2114" s="23" t="s">
        <v>1269</v>
      </c>
      <c r="AS2114" s="25">
        <v>1016412</v>
      </c>
      <c r="AT2114" t="s">
        <v>26</v>
      </c>
      <c r="AU2114" t="s">
        <v>24996</v>
      </c>
    </row>
    <row r="2115" spans="1:47" ht="26.25" x14ac:dyDescent="0.4">
      <c r="A2115" s="23" t="s">
        <v>5571</v>
      </c>
      <c r="B2115" t="s">
        <v>26</v>
      </c>
      <c r="C2115" s="23" t="s">
        <v>320</v>
      </c>
      <c r="D2115" s="23" t="s">
        <v>22660</v>
      </c>
      <c r="E2115" s="23" t="s">
        <v>42</v>
      </c>
      <c r="F2115" s="25" t="s">
        <v>5572</v>
      </c>
      <c r="G2115" s="25" t="s">
        <v>5573</v>
      </c>
      <c r="H2115" t="s">
        <v>26</v>
      </c>
      <c r="I2115" t="s">
        <v>26</v>
      </c>
      <c r="J2115" t="s">
        <v>26</v>
      </c>
      <c r="K2115" t="s">
        <v>26</v>
      </c>
      <c r="L2115" s="25" t="s">
        <v>68</v>
      </c>
      <c r="M2115" t="s">
        <v>26</v>
      </c>
      <c r="N2115" t="s">
        <v>26</v>
      </c>
      <c r="O2115" t="s">
        <v>26</v>
      </c>
      <c r="P2115" t="s">
        <v>26</v>
      </c>
      <c r="Q2115" t="s">
        <v>26</v>
      </c>
      <c r="R2115" t="s">
        <v>26</v>
      </c>
      <c r="S2115" t="s">
        <v>26</v>
      </c>
      <c r="T2115" t="s">
        <v>26</v>
      </c>
      <c r="U2115" t="s">
        <v>26</v>
      </c>
      <c r="V2115" t="s">
        <v>26</v>
      </c>
      <c r="W2115" s="24">
        <v>41091</v>
      </c>
      <c r="X2115" s="25" t="s">
        <v>77</v>
      </c>
      <c r="Y2115" t="s">
        <v>26</v>
      </c>
      <c r="Z2115" s="24">
        <v>41091</v>
      </c>
      <c r="AA2115" s="25" t="s">
        <v>77</v>
      </c>
      <c r="AB2115" t="s">
        <v>26</v>
      </c>
      <c r="AC2115" s="24">
        <v>41091</v>
      </c>
      <c r="AD2115" s="25" t="s">
        <v>77</v>
      </c>
      <c r="AE2115" t="s">
        <v>26</v>
      </c>
      <c r="AF2115" t="s">
        <v>26</v>
      </c>
      <c r="AG2115" t="s">
        <v>26</v>
      </c>
      <c r="AH2115" t="s">
        <v>26</v>
      </c>
      <c r="AI2115" t="s">
        <v>26</v>
      </c>
      <c r="AJ2115" t="s">
        <v>26</v>
      </c>
      <c r="AK2115" t="s">
        <v>26</v>
      </c>
      <c r="AL2115" t="s">
        <v>26</v>
      </c>
      <c r="AM2115" t="s">
        <v>26</v>
      </c>
      <c r="AN2115" t="s">
        <v>26</v>
      </c>
      <c r="AO2115" s="25" t="s">
        <v>28</v>
      </c>
      <c r="AP2115" s="23" t="s">
        <v>69</v>
      </c>
      <c r="AQ2115" s="23" t="s">
        <v>30</v>
      </c>
      <c r="AR2115" s="23" t="s">
        <v>5574</v>
      </c>
      <c r="AS2115" s="25">
        <v>2026815</v>
      </c>
      <c r="AT2115" t="s">
        <v>26</v>
      </c>
      <c r="AU2115" t="s">
        <v>24997</v>
      </c>
    </row>
    <row r="2116" spans="1:47" ht="26.25" x14ac:dyDescent="0.4">
      <c r="A2116" s="23" t="s">
        <v>5575</v>
      </c>
      <c r="B2116" t="s">
        <v>26</v>
      </c>
      <c r="C2116" s="23" t="s">
        <v>5381</v>
      </c>
      <c r="D2116" s="23" t="s">
        <v>22231</v>
      </c>
      <c r="E2116" s="23" t="s">
        <v>42</v>
      </c>
      <c r="F2116" s="25" t="s">
        <v>5576</v>
      </c>
      <c r="G2116" s="25" t="s">
        <v>5577</v>
      </c>
      <c r="H2116" t="s">
        <v>26</v>
      </c>
      <c r="I2116" s="24">
        <v>29223</v>
      </c>
      <c r="J2116" s="25" t="s">
        <v>77</v>
      </c>
      <c r="K2116" t="s">
        <v>26</v>
      </c>
      <c r="L2116" s="25" t="s">
        <v>68</v>
      </c>
      <c r="M2116" s="24">
        <v>29223</v>
      </c>
      <c r="N2116" s="25" t="s">
        <v>77</v>
      </c>
      <c r="O2116" t="s">
        <v>26</v>
      </c>
      <c r="P2116" s="24">
        <v>29223</v>
      </c>
      <c r="Q2116" s="25" t="s">
        <v>77</v>
      </c>
      <c r="R2116" t="s">
        <v>26</v>
      </c>
      <c r="S2116" t="s">
        <v>26</v>
      </c>
      <c r="T2116" t="s">
        <v>26</v>
      </c>
      <c r="U2116" t="s">
        <v>26</v>
      </c>
      <c r="V2116" s="25">
        <v>90</v>
      </c>
      <c r="W2116" s="24">
        <v>29223</v>
      </c>
      <c r="X2116" s="25" t="s">
        <v>77</v>
      </c>
      <c r="Y2116" t="s">
        <v>26</v>
      </c>
      <c r="Z2116" s="24">
        <v>29223</v>
      </c>
      <c r="AA2116" s="25" t="s">
        <v>77</v>
      </c>
      <c r="AB2116" t="s">
        <v>26</v>
      </c>
      <c r="AC2116" s="24">
        <v>29223</v>
      </c>
      <c r="AD2116" s="25" t="s">
        <v>77</v>
      </c>
      <c r="AE2116" t="s">
        <v>26</v>
      </c>
      <c r="AF2116" t="s">
        <v>26</v>
      </c>
      <c r="AG2116" t="s">
        <v>26</v>
      </c>
      <c r="AH2116" t="s">
        <v>26</v>
      </c>
      <c r="AI2116" t="s">
        <v>26</v>
      </c>
      <c r="AJ2116" t="s">
        <v>26</v>
      </c>
      <c r="AK2116" t="s">
        <v>26</v>
      </c>
      <c r="AL2116" t="s">
        <v>26</v>
      </c>
      <c r="AM2116" t="s">
        <v>26</v>
      </c>
      <c r="AN2116" t="s">
        <v>26</v>
      </c>
      <c r="AO2116" s="25" t="s">
        <v>68</v>
      </c>
      <c r="AP2116" s="23" t="s">
        <v>69</v>
      </c>
      <c r="AQ2116" s="23" t="s">
        <v>30</v>
      </c>
      <c r="AR2116" s="23" t="s">
        <v>277</v>
      </c>
      <c r="AS2116" s="25">
        <v>40644</v>
      </c>
      <c r="AT2116" t="s">
        <v>26</v>
      </c>
      <c r="AU2116" t="s">
        <v>24998</v>
      </c>
    </row>
    <row r="2117" spans="1:47" ht="26.25" x14ac:dyDescent="0.4">
      <c r="A2117" s="23" t="s">
        <v>5578</v>
      </c>
      <c r="B2117" t="s">
        <v>26</v>
      </c>
      <c r="C2117" s="23" t="s">
        <v>2241</v>
      </c>
      <c r="D2117" t="s">
        <v>26</v>
      </c>
      <c r="E2117" s="23" t="s">
        <v>42</v>
      </c>
      <c r="F2117" t="s">
        <v>26</v>
      </c>
      <c r="G2117" t="s">
        <v>26</v>
      </c>
      <c r="H2117" t="s">
        <v>26</v>
      </c>
      <c r="I2117" s="24">
        <v>40909</v>
      </c>
      <c r="J2117" s="24">
        <v>40909</v>
      </c>
      <c r="K2117" t="s">
        <v>26</v>
      </c>
      <c r="L2117" s="25" t="s">
        <v>28</v>
      </c>
      <c r="M2117" s="24">
        <v>40909</v>
      </c>
      <c r="N2117" s="24">
        <v>40909</v>
      </c>
      <c r="O2117" t="s">
        <v>26</v>
      </c>
      <c r="P2117" t="s">
        <v>26</v>
      </c>
      <c r="Q2117" t="s">
        <v>26</v>
      </c>
      <c r="R2117" t="s">
        <v>26</v>
      </c>
      <c r="S2117" s="24">
        <v>40909</v>
      </c>
      <c r="T2117" s="24">
        <v>40909</v>
      </c>
      <c r="U2117" t="s">
        <v>26</v>
      </c>
      <c r="V2117" t="s">
        <v>26</v>
      </c>
      <c r="W2117" s="24">
        <v>40909</v>
      </c>
      <c r="X2117" s="24">
        <v>40909</v>
      </c>
      <c r="Y2117" t="s">
        <v>26</v>
      </c>
      <c r="Z2117" s="24">
        <v>40909</v>
      </c>
      <c r="AA2117" s="24">
        <v>40909</v>
      </c>
      <c r="AB2117" t="s">
        <v>26</v>
      </c>
      <c r="AC2117" s="24">
        <v>40909</v>
      </c>
      <c r="AD2117" s="24">
        <v>40909</v>
      </c>
      <c r="AE2117" t="s">
        <v>26</v>
      </c>
      <c r="AF2117" s="24">
        <v>40909</v>
      </c>
      <c r="AG2117" s="24">
        <v>40909</v>
      </c>
      <c r="AH2117" t="s">
        <v>26</v>
      </c>
      <c r="AI2117" s="24">
        <v>40909</v>
      </c>
      <c r="AJ2117" s="24">
        <v>40909</v>
      </c>
      <c r="AK2117" t="s">
        <v>26</v>
      </c>
      <c r="AL2117" t="s">
        <v>26</v>
      </c>
      <c r="AM2117" t="s">
        <v>26</v>
      </c>
      <c r="AN2117" t="s">
        <v>26</v>
      </c>
      <c r="AO2117" s="25" t="s">
        <v>28</v>
      </c>
      <c r="AP2117" s="23" t="s">
        <v>43</v>
      </c>
      <c r="AQ2117" s="23" t="s">
        <v>30</v>
      </c>
      <c r="AR2117" s="23" t="s">
        <v>44</v>
      </c>
      <c r="AS2117" s="25">
        <v>5262115</v>
      </c>
      <c r="AT2117" t="s">
        <v>26</v>
      </c>
      <c r="AU2117" t="s">
        <v>24999</v>
      </c>
    </row>
    <row r="2118" spans="1:47" ht="26.25" x14ac:dyDescent="0.4">
      <c r="A2118" s="23" t="s">
        <v>5579</v>
      </c>
      <c r="B2118" t="s">
        <v>26</v>
      </c>
      <c r="C2118" s="23" t="s">
        <v>2241</v>
      </c>
      <c r="D2118" t="s">
        <v>26</v>
      </c>
      <c r="E2118" s="23" t="s">
        <v>42</v>
      </c>
      <c r="F2118" t="s">
        <v>26</v>
      </c>
      <c r="G2118" t="s">
        <v>26</v>
      </c>
      <c r="H2118" t="s">
        <v>26</v>
      </c>
      <c r="I2118" s="24">
        <v>40909</v>
      </c>
      <c r="J2118" s="24">
        <v>40909</v>
      </c>
      <c r="K2118" t="s">
        <v>26</v>
      </c>
      <c r="L2118" s="25" t="s">
        <v>28</v>
      </c>
      <c r="M2118" s="24">
        <v>40909</v>
      </c>
      <c r="N2118" s="24">
        <v>40909</v>
      </c>
      <c r="O2118" t="s">
        <v>26</v>
      </c>
      <c r="P2118" t="s">
        <v>26</v>
      </c>
      <c r="Q2118" t="s">
        <v>26</v>
      </c>
      <c r="R2118" t="s">
        <v>26</v>
      </c>
      <c r="S2118" s="24">
        <v>40909</v>
      </c>
      <c r="T2118" s="24">
        <v>40909</v>
      </c>
      <c r="U2118" t="s">
        <v>26</v>
      </c>
      <c r="V2118" t="s">
        <v>26</v>
      </c>
      <c r="W2118" s="24">
        <v>40909</v>
      </c>
      <c r="X2118" s="24">
        <v>40909</v>
      </c>
      <c r="Y2118" t="s">
        <v>26</v>
      </c>
      <c r="Z2118" s="24">
        <v>40909</v>
      </c>
      <c r="AA2118" s="24">
        <v>40909</v>
      </c>
      <c r="AB2118" t="s">
        <v>26</v>
      </c>
      <c r="AC2118" s="24">
        <v>40909</v>
      </c>
      <c r="AD2118" s="24">
        <v>40909</v>
      </c>
      <c r="AE2118" t="s">
        <v>26</v>
      </c>
      <c r="AF2118" s="24">
        <v>40909</v>
      </c>
      <c r="AG2118" s="24">
        <v>40909</v>
      </c>
      <c r="AH2118" t="s">
        <v>26</v>
      </c>
      <c r="AI2118" s="24">
        <v>40909</v>
      </c>
      <c r="AJ2118" s="24">
        <v>40909</v>
      </c>
      <c r="AK2118" t="s">
        <v>26</v>
      </c>
      <c r="AL2118" t="s">
        <v>26</v>
      </c>
      <c r="AM2118" t="s">
        <v>26</v>
      </c>
      <c r="AN2118" t="s">
        <v>26</v>
      </c>
      <c r="AO2118" s="25" t="s">
        <v>28</v>
      </c>
      <c r="AP2118" s="23" t="s">
        <v>43</v>
      </c>
      <c r="AQ2118" s="23" t="s">
        <v>30</v>
      </c>
      <c r="AR2118" s="23" t="s">
        <v>44</v>
      </c>
      <c r="AS2118" s="25">
        <v>5262114</v>
      </c>
      <c r="AT2118" t="s">
        <v>26</v>
      </c>
      <c r="AU2118" t="s">
        <v>25000</v>
      </c>
    </row>
    <row r="2119" spans="1:47" ht="26.25" x14ac:dyDescent="0.4">
      <c r="A2119" s="23" t="s">
        <v>5580</v>
      </c>
      <c r="B2119" t="s">
        <v>26</v>
      </c>
      <c r="C2119" s="23" t="s">
        <v>5581</v>
      </c>
      <c r="D2119" s="23" t="s">
        <v>25001</v>
      </c>
      <c r="E2119" s="23" t="s">
        <v>120</v>
      </c>
      <c r="F2119" t="s">
        <v>26</v>
      </c>
      <c r="G2119" s="25" t="s">
        <v>5582</v>
      </c>
      <c r="H2119" t="s">
        <v>26</v>
      </c>
      <c r="I2119" s="24">
        <v>43466</v>
      </c>
      <c r="J2119" s="25" t="s">
        <v>77</v>
      </c>
      <c r="K2119" t="s">
        <v>26</v>
      </c>
      <c r="L2119" s="25" t="s">
        <v>68</v>
      </c>
      <c r="M2119" s="24">
        <v>43466</v>
      </c>
      <c r="N2119" s="25" t="s">
        <v>77</v>
      </c>
      <c r="O2119" t="s">
        <v>26</v>
      </c>
      <c r="P2119" s="24">
        <v>43466</v>
      </c>
      <c r="Q2119" s="25" t="s">
        <v>77</v>
      </c>
      <c r="R2119" t="s">
        <v>26</v>
      </c>
      <c r="S2119" t="s">
        <v>26</v>
      </c>
      <c r="T2119" t="s">
        <v>26</v>
      </c>
      <c r="U2119" t="s">
        <v>26</v>
      </c>
      <c r="V2119" t="s">
        <v>26</v>
      </c>
      <c r="W2119" s="24">
        <v>43466</v>
      </c>
      <c r="X2119" s="25" t="s">
        <v>77</v>
      </c>
      <c r="Y2119" t="s">
        <v>26</v>
      </c>
      <c r="Z2119" s="24">
        <v>43466</v>
      </c>
      <c r="AA2119" s="25" t="s">
        <v>77</v>
      </c>
      <c r="AB2119" t="s">
        <v>26</v>
      </c>
      <c r="AC2119" s="24">
        <v>43466</v>
      </c>
      <c r="AD2119" s="25" t="s">
        <v>77</v>
      </c>
      <c r="AE2119" t="s">
        <v>26</v>
      </c>
      <c r="AF2119" t="s">
        <v>26</v>
      </c>
      <c r="AG2119" t="s">
        <v>26</v>
      </c>
      <c r="AH2119" t="s">
        <v>26</v>
      </c>
      <c r="AI2119" t="s">
        <v>26</v>
      </c>
      <c r="AJ2119" t="s">
        <v>26</v>
      </c>
      <c r="AK2119" t="s">
        <v>26</v>
      </c>
      <c r="AL2119" t="s">
        <v>26</v>
      </c>
      <c r="AM2119" t="s">
        <v>26</v>
      </c>
      <c r="AN2119" t="s">
        <v>26</v>
      </c>
      <c r="AO2119" s="25" t="s">
        <v>68</v>
      </c>
      <c r="AP2119" s="23" t="s">
        <v>69</v>
      </c>
      <c r="AQ2119" s="23" t="s">
        <v>30</v>
      </c>
      <c r="AR2119" s="23" t="s">
        <v>46</v>
      </c>
      <c r="AS2119" s="25">
        <v>5262508</v>
      </c>
      <c r="AT2119" t="s">
        <v>26</v>
      </c>
      <c r="AU2119" t="s">
        <v>25002</v>
      </c>
    </row>
    <row r="2120" spans="1:47" ht="26.25" x14ac:dyDescent="0.4">
      <c r="A2120" s="23" t="s">
        <v>5583</v>
      </c>
      <c r="B2120" t="s">
        <v>26</v>
      </c>
      <c r="C2120" s="23" t="s">
        <v>5584</v>
      </c>
      <c r="D2120" s="23" t="s">
        <v>22215</v>
      </c>
      <c r="E2120" s="23" t="s">
        <v>812</v>
      </c>
      <c r="F2120" s="25" t="s">
        <v>5585</v>
      </c>
      <c r="G2120" s="25" t="s">
        <v>5586</v>
      </c>
      <c r="H2120" t="s">
        <v>26</v>
      </c>
      <c r="I2120" s="24">
        <v>39630</v>
      </c>
      <c r="J2120" s="24">
        <v>42917</v>
      </c>
      <c r="K2120" t="s">
        <v>26</v>
      </c>
      <c r="L2120" s="25" t="s">
        <v>68</v>
      </c>
      <c r="M2120" s="24">
        <v>39630</v>
      </c>
      <c r="N2120" s="24">
        <v>42917</v>
      </c>
      <c r="O2120" t="s">
        <v>26</v>
      </c>
      <c r="P2120" s="24">
        <v>39630</v>
      </c>
      <c r="Q2120" s="24">
        <v>42917</v>
      </c>
      <c r="R2120" t="s">
        <v>26</v>
      </c>
      <c r="S2120" t="s">
        <v>26</v>
      </c>
      <c r="T2120" t="s">
        <v>26</v>
      </c>
      <c r="U2120" t="s">
        <v>26</v>
      </c>
      <c r="V2120" t="s">
        <v>26</v>
      </c>
      <c r="W2120" s="24">
        <v>39630</v>
      </c>
      <c r="X2120" s="24">
        <v>42917</v>
      </c>
      <c r="Y2120" t="s">
        <v>26</v>
      </c>
      <c r="Z2120" s="24">
        <v>39630</v>
      </c>
      <c r="AA2120" s="24">
        <v>42917</v>
      </c>
      <c r="AB2120" t="s">
        <v>26</v>
      </c>
      <c r="AC2120" s="24">
        <v>39630</v>
      </c>
      <c r="AD2120" s="24">
        <v>42917</v>
      </c>
      <c r="AE2120" t="s">
        <v>26</v>
      </c>
      <c r="AF2120" t="s">
        <v>26</v>
      </c>
      <c r="AG2120" t="s">
        <v>26</v>
      </c>
      <c r="AH2120" t="s">
        <v>26</v>
      </c>
      <c r="AI2120" t="s">
        <v>26</v>
      </c>
      <c r="AJ2120" t="s">
        <v>26</v>
      </c>
      <c r="AK2120" t="s">
        <v>26</v>
      </c>
      <c r="AL2120" t="s">
        <v>26</v>
      </c>
      <c r="AM2120" t="s">
        <v>26</v>
      </c>
      <c r="AN2120" t="s">
        <v>26</v>
      </c>
      <c r="AO2120" s="25" t="s">
        <v>68</v>
      </c>
      <c r="AP2120" s="23" t="s">
        <v>69</v>
      </c>
      <c r="AQ2120" s="23" t="s">
        <v>5587</v>
      </c>
      <c r="AR2120" s="23" t="s">
        <v>337</v>
      </c>
      <c r="AS2120" s="25">
        <v>60365</v>
      </c>
      <c r="AT2120" t="s">
        <v>26</v>
      </c>
      <c r="AU2120" t="s">
        <v>25003</v>
      </c>
    </row>
    <row r="2121" spans="1:47" ht="26.25" x14ac:dyDescent="0.4">
      <c r="A2121" s="23" t="s">
        <v>5588</v>
      </c>
      <c r="B2121" t="s">
        <v>26</v>
      </c>
      <c r="C2121" s="23" t="s">
        <v>5589</v>
      </c>
      <c r="D2121" s="23" t="s">
        <v>25004</v>
      </c>
      <c r="E2121" s="23" t="s">
        <v>812</v>
      </c>
      <c r="F2121" s="25" t="s">
        <v>5590</v>
      </c>
      <c r="G2121" t="s">
        <v>26</v>
      </c>
      <c r="H2121" t="s">
        <v>26</v>
      </c>
      <c r="I2121" s="24">
        <v>35947</v>
      </c>
      <c r="J2121" s="24">
        <v>39753</v>
      </c>
      <c r="K2121" t="s">
        <v>26</v>
      </c>
      <c r="L2121" s="25" t="s">
        <v>68</v>
      </c>
      <c r="M2121" s="24">
        <v>35947</v>
      </c>
      <c r="N2121" s="24">
        <v>39753</v>
      </c>
      <c r="O2121" t="s">
        <v>26</v>
      </c>
      <c r="P2121" s="24">
        <v>35947</v>
      </c>
      <c r="Q2121" s="24">
        <v>39753</v>
      </c>
      <c r="R2121" t="s">
        <v>26</v>
      </c>
      <c r="S2121" t="s">
        <v>26</v>
      </c>
      <c r="T2121" t="s">
        <v>26</v>
      </c>
      <c r="U2121" t="s">
        <v>26</v>
      </c>
      <c r="V2121" t="s">
        <v>26</v>
      </c>
      <c r="W2121" s="24">
        <v>35947</v>
      </c>
      <c r="X2121" s="24">
        <v>39753</v>
      </c>
      <c r="Y2121" t="s">
        <v>26</v>
      </c>
      <c r="Z2121" s="24">
        <v>35947</v>
      </c>
      <c r="AA2121" s="24">
        <v>39753</v>
      </c>
      <c r="AB2121" t="s">
        <v>26</v>
      </c>
      <c r="AC2121" s="24">
        <v>38047</v>
      </c>
      <c r="AD2121" s="24">
        <v>38047</v>
      </c>
      <c r="AE2121" t="s">
        <v>26</v>
      </c>
      <c r="AF2121" t="s">
        <v>26</v>
      </c>
      <c r="AG2121" t="s">
        <v>26</v>
      </c>
      <c r="AH2121" t="s">
        <v>26</v>
      </c>
      <c r="AI2121" t="s">
        <v>26</v>
      </c>
      <c r="AJ2121" t="s">
        <v>26</v>
      </c>
      <c r="AK2121" t="s">
        <v>26</v>
      </c>
      <c r="AL2121" t="s">
        <v>26</v>
      </c>
      <c r="AM2121" t="s">
        <v>26</v>
      </c>
      <c r="AN2121" t="s">
        <v>26</v>
      </c>
      <c r="AO2121" s="25" t="s">
        <v>68</v>
      </c>
      <c r="AP2121" s="23" t="s">
        <v>69</v>
      </c>
      <c r="AQ2121" s="23" t="s">
        <v>30</v>
      </c>
      <c r="AR2121" s="23" t="s">
        <v>46</v>
      </c>
      <c r="AS2121" s="25">
        <v>32948</v>
      </c>
      <c r="AT2121" t="s">
        <v>26</v>
      </c>
      <c r="AU2121" t="s">
        <v>25005</v>
      </c>
    </row>
    <row r="2122" spans="1:47" ht="26.25" x14ac:dyDescent="0.4">
      <c r="A2122" s="23" t="s">
        <v>5591</v>
      </c>
      <c r="B2122" t="s">
        <v>26</v>
      </c>
      <c r="C2122" s="23" t="s">
        <v>5589</v>
      </c>
      <c r="D2122" s="23" t="s">
        <v>25004</v>
      </c>
      <c r="E2122" s="23" t="s">
        <v>812</v>
      </c>
      <c r="F2122" t="s">
        <v>26</v>
      </c>
      <c r="G2122" s="25" t="s">
        <v>5592</v>
      </c>
      <c r="H2122" t="s">
        <v>26</v>
      </c>
      <c r="I2122" s="24">
        <v>37987</v>
      </c>
      <c r="J2122" s="25" t="s">
        <v>77</v>
      </c>
      <c r="K2122" s="25" t="s">
        <v>5593</v>
      </c>
      <c r="L2122" s="25" t="s">
        <v>68</v>
      </c>
      <c r="M2122" s="24">
        <v>37987</v>
      </c>
      <c r="N2122" s="25" t="s">
        <v>77</v>
      </c>
      <c r="O2122" s="25" t="s">
        <v>5593</v>
      </c>
      <c r="P2122" s="24">
        <v>37987</v>
      </c>
      <c r="Q2122" s="25" t="s">
        <v>77</v>
      </c>
      <c r="R2122" s="25" t="s">
        <v>5593</v>
      </c>
      <c r="S2122" t="s">
        <v>26</v>
      </c>
      <c r="T2122" t="s">
        <v>26</v>
      </c>
      <c r="U2122" t="s">
        <v>26</v>
      </c>
      <c r="V2122" t="s">
        <v>26</v>
      </c>
      <c r="W2122" s="24">
        <v>37987</v>
      </c>
      <c r="X2122" s="25" t="s">
        <v>77</v>
      </c>
      <c r="Y2122" s="25" t="s">
        <v>5593</v>
      </c>
      <c r="Z2122" s="24">
        <v>37987</v>
      </c>
      <c r="AA2122" s="25" t="s">
        <v>77</v>
      </c>
      <c r="AB2122" s="25" t="s">
        <v>5593</v>
      </c>
      <c r="AC2122" s="24">
        <v>37987</v>
      </c>
      <c r="AD2122" s="25" t="s">
        <v>77</v>
      </c>
      <c r="AE2122" s="25" t="s">
        <v>25006</v>
      </c>
      <c r="AF2122" t="s">
        <v>26</v>
      </c>
      <c r="AG2122" t="s">
        <v>26</v>
      </c>
      <c r="AH2122" t="s">
        <v>26</v>
      </c>
      <c r="AI2122" t="s">
        <v>26</v>
      </c>
      <c r="AJ2122" t="s">
        <v>26</v>
      </c>
      <c r="AK2122" t="s">
        <v>26</v>
      </c>
      <c r="AL2122" t="s">
        <v>26</v>
      </c>
      <c r="AM2122" t="s">
        <v>26</v>
      </c>
      <c r="AN2122" t="s">
        <v>26</v>
      </c>
      <c r="AO2122" s="25" t="s">
        <v>68</v>
      </c>
      <c r="AP2122" s="23" t="s">
        <v>69</v>
      </c>
      <c r="AQ2122" s="23" t="s">
        <v>30</v>
      </c>
      <c r="AR2122" s="23" t="s">
        <v>46</v>
      </c>
      <c r="AS2122" s="25">
        <v>366337</v>
      </c>
      <c r="AT2122" t="s">
        <v>26</v>
      </c>
      <c r="AU2122" t="s">
        <v>25007</v>
      </c>
    </row>
    <row r="2123" spans="1:47" ht="26.25" x14ac:dyDescent="0.4">
      <c r="A2123" s="23" t="s">
        <v>5594</v>
      </c>
      <c r="B2123" t="s">
        <v>26</v>
      </c>
      <c r="C2123" s="23" t="s">
        <v>22238</v>
      </c>
      <c r="D2123" t="s">
        <v>26</v>
      </c>
      <c r="E2123" s="23" t="s">
        <v>42</v>
      </c>
      <c r="F2123" t="s">
        <v>26</v>
      </c>
      <c r="G2123" t="s">
        <v>26</v>
      </c>
      <c r="H2123" t="s">
        <v>26</v>
      </c>
      <c r="I2123" s="24">
        <v>43101</v>
      </c>
      <c r="J2123" s="24">
        <v>43101</v>
      </c>
      <c r="K2123" t="s">
        <v>26</v>
      </c>
      <c r="L2123" s="25" t="s">
        <v>28</v>
      </c>
      <c r="M2123" s="24">
        <v>43101</v>
      </c>
      <c r="N2123" s="24">
        <v>43101</v>
      </c>
      <c r="O2123" t="s">
        <v>26</v>
      </c>
      <c r="P2123" t="s">
        <v>26</v>
      </c>
      <c r="Q2123" t="s">
        <v>26</v>
      </c>
      <c r="R2123" t="s">
        <v>26</v>
      </c>
      <c r="S2123" s="24">
        <v>43101</v>
      </c>
      <c r="T2123" s="24">
        <v>43101</v>
      </c>
      <c r="U2123" t="s">
        <v>26</v>
      </c>
      <c r="V2123" t="s">
        <v>26</v>
      </c>
      <c r="W2123" s="24">
        <v>43101</v>
      </c>
      <c r="X2123" s="24">
        <v>43101</v>
      </c>
      <c r="Y2123" t="s">
        <v>26</v>
      </c>
      <c r="Z2123" s="24">
        <v>43101</v>
      </c>
      <c r="AA2123" s="24">
        <v>43101</v>
      </c>
      <c r="AB2123" t="s">
        <v>26</v>
      </c>
      <c r="AC2123" s="24">
        <v>43101</v>
      </c>
      <c r="AD2123" s="24">
        <v>43101</v>
      </c>
      <c r="AE2123" t="s">
        <v>26</v>
      </c>
      <c r="AF2123" s="24">
        <v>43101</v>
      </c>
      <c r="AG2123" s="24">
        <v>43101</v>
      </c>
      <c r="AH2123" t="s">
        <v>26</v>
      </c>
      <c r="AI2123" s="24">
        <v>43101</v>
      </c>
      <c r="AJ2123" s="24">
        <v>43101</v>
      </c>
      <c r="AK2123" t="s">
        <v>26</v>
      </c>
      <c r="AL2123" t="s">
        <v>26</v>
      </c>
      <c r="AM2123" t="s">
        <v>26</v>
      </c>
      <c r="AN2123" t="s">
        <v>26</v>
      </c>
      <c r="AO2123" s="25" t="s">
        <v>28</v>
      </c>
      <c r="AP2123" s="23" t="s">
        <v>43</v>
      </c>
      <c r="AQ2123" s="23" t="s">
        <v>30</v>
      </c>
      <c r="AR2123" s="23" t="s">
        <v>44</v>
      </c>
      <c r="AS2123" s="25">
        <v>5263196</v>
      </c>
      <c r="AT2123" t="s">
        <v>26</v>
      </c>
      <c r="AU2123" t="s">
        <v>25008</v>
      </c>
    </row>
    <row r="2124" spans="1:47" ht="26.25" x14ac:dyDescent="0.4">
      <c r="A2124" s="23" t="s">
        <v>5595</v>
      </c>
      <c r="B2124" t="s">
        <v>26</v>
      </c>
      <c r="C2124" s="23" t="s">
        <v>146</v>
      </c>
      <c r="D2124" s="23" t="s">
        <v>22174</v>
      </c>
      <c r="E2124" s="23" t="s">
        <v>60</v>
      </c>
      <c r="F2124" t="s">
        <v>26</v>
      </c>
      <c r="G2124" t="s">
        <v>26</v>
      </c>
      <c r="H2124" t="s">
        <v>26</v>
      </c>
      <c r="I2124" s="24">
        <v>33604</v>
      </c>
      <c r="J2124" s="24">
        <v>33604</v>
      </c>
      <c r="K2124" t="s">
        <v>26</v>
      </c>
      <c r="L2124" s="25" t="s">
        <v>28</v>
      </c>
      <c r="M2124" s="24">
        <v>33604</v>
      </c>
      <c r="N2124" s="24">
        <v>33604</v>
      </c>
      <c r="O2124" t="s">
        <v>26</v>
      </c>
      <c r="P2124" t="s">
        <v>26</v>
      </c>
      <c r="Q2124" t="s">
        <v>26</v>
      </c>
      <c r="R2124" t="s">
        <v>26</v>
      </c>
      <c r="S2124" t="s">
        <v>26</v>
      </c>
      <c r="T2124" t="s">
        <v>26</v>
      </c>
      <c r="U2124" t="s">
        <v>26</v>
      </c>
      <c r="V2124" t="s">
        <v>26</v>
      </c>
      <c r="W2124" s="24">
        <v>33604</v>
      </c>
      <c r="X2124" s="24">
        <v>33604</v>
      </c>
      <c r="Y2124" t="s">
        <v>26</v>
      </c>
      <c r="Z2124" s="24">
        <v>33604</v>
      </c>
      <c r="AA2124" s="24">
        <v>33604</v>
      </c>
      <c r="AB2124" t="s">
        <v>26</v>
      </c>
      <c r="AC2124" s="24">
        <v>33604</v>
      </c>
      <c r="AD2124" s="24">
        <v>33604</v>
      </c>
      <c r="AE2124" t="s">
        <v>26</v>
      </c>
      <c r="AF2124" t="s">
        <v>26</v>
      </c>
      <c r="AG2124" t="s">
        <v>26</v>
      </c>
      <c r="AH2124" t="s">
        <v>26</v>
      </c>
      <c r="AI2124" t="s">
        <v>26</v>
      </c>
      <c r="AJ2124" t="s">
        <v>26</v>
      </c>
      <c r="AK2124" t="s">
        <v>26</v>
      </c>
      <c r="AL2124" t="s">
        <v>26</v>
      </c>
      <c r="AM2124" t="s">
        <v>26</v>
      </c>
      <c r="AN2124" t="s">
        <v>26</v>
      </c>
      <c r="AO2124" s="25" t="s">
        <v>28</v>
      </c>
      <c r="AP2124" s="23" t="s">
        <v>29</v>
      </c>
      <c r="AQ2124" s="23" t="s">
        <v>30</v>
      </c>
      <c r="AR2124" s="23" t="s">
        <v>5596</v>
      </c>
      <c r="AS2124" s="25">
        <v>6059467</v>
      </c>
      <c r="AT2124" t="s">
        <v>26</v>
      </c>
      <c r="AU2124" t="s">
        <v>25009</v>
      </c>
    </row>
    <row r="2125" spans="1:47" ht="13.15" x14ac:dyDescent="0.4">
      <c r="A2125" s="23" t="s">
        <v>5597</v>
      </c>
      <c r="B2125" t="s">
        <v>26</v>
      </c>
      <c r="C2125" s="23" t="s">
        <v>552</v>
      </c>
      <c r="D2125" s="23" t="s">
        <v>22231</v>
      </c>
      <c r="E2125" s="23" t="s">
        <v>42</v>
      </c>
      <c r="F2125" t="s">
        <v>26</v>
      </c>
      <c r="G2125" t="s">
        <v>26</v>
      </c>
      <c r="H2125" t="s">
        <v>26</v>
      </c>
      <c r="I2125" s="24">
        <v>33604</v>
      </c>
      <c r="J2125" s="24">
        <v>33604</v>
      </c>
      <c r="K2125" t="s">
        <v>26</v>
      </c>
      <c r="L2125" s="25" t="s">
        <v>28</v>
      </c>
      <c r="M2125" s="24">
        <v>33604</v>
      </c>
      <c r="N2125" s="24">
        <v>33604</v>
      </c>
      <c r="O2125" t="s">
        <v>26</v>
      </c>
      <c r="P2125" t="s">
        <v>26</v>
      </c>
      <c r="Q2125" t="s">
        <v>26</v>
      </c>
      <c r="R2125" t="s">
        <v>26</v>
      </c>
      <c r="S2125" t="s">
        <v>26</v>
      </c>
      <c r="T2125" t="s">
        <v>26</v>
      </c>
      <c r="U2125" t="s">
        <v>26</v>
      </c>
      <c r="V2125" t="s">
        <v>26</v>
      </c>
      <c r="W2125" s="24">
        <v>33604</v>
      </c>
      <c r="X2125" s="24">
        <v>33604</v>
      </c>
      <c r="Y2125" t="s">
        <v>26</v>
      </c>
      <c r="Z2125" s="24">
        <v>33604</v>
      </c>
      <c r="AA2125" s="24">
        <v>33604</v>
      </c>
      <c r="AB2125" t="s">
        <v>26</v>
      </c>
      <c r="AC2125" s="24">
        <v>33604</v>
      </c>
      <c r="AD2125" s="24">
        <v>33604</v>
      </c>
      <c r="AE2125" t="s">
        <v>26</v>
      </c>
      <c r="AF2125" t="s">
        <v>26</v>
      </c>
      <c r="AG2125" t="s">
        <v>26</v>
      </c>
      <c r="AH2125" t="s">
        <v>26</v>
      </c>
      <c r="AI2125" t="s">
        <v>26</v>
      </c>
      <c r="AJ2125" t="s">
        <v>26</v>
      </c>
      <c r="AK2125" t="s">
        <v>26</v>
      </c>
      <c r="AL2125" t="s">
        <v>26</v>
      </c>
      <c r="AM2125" t="s">
        <v>26</v>
      </c>
      <c r="AN2125" t="s">
        <v>26</v>
      </c>
      <c r="AO2125" s="25" t="s">
        <v>28</v>
      </c>
      <c r="AP2125" s="23" t="s">
        <v>29</v>
      </c>
      <c r="AQ2125" s="23" t="s">
        <v>30</v>
      </c>
      <c r="AR2125" s="23" t="s">
        <v>46</v>
      </c>
      <c r="AS2125" s="25">
        <v>6059466</v>
      </c>
      <c r="AT2125" t="s">
        <v>26</v>
      </c>
      <c r="AU2125" t="s">
        <v>25010</v>
      </c>
    </row>
    <row r="2126" spans="1:47" ht="26.25" x14ac:dyDescent="0.4">
      <c r="A2126" s="23" t="s">
        <v>25011</v>
      </c>
      <c r="B2126" t="s">
        <v>26</v>
      </c>
      <c r="C2126" s="23" t="s">
        <v>25012</v>
      </c>
      <c r="D2126" s="23" t="s">
        <v>23776</v>
      </c>
      <c r="E2126" s="23" t="s">
        <v>42</v>
      </c>
      <c r="F2126" t="s">
        <v>26</v>
      </c>
      <c r="G2126" t="s">
        <v>26</v>
      </c>
      <c r="H2126" t="s">
        <v>26</v>
      </c>
      <c r="I2126" s="24">
        <v>41640</v>
      </c>
      <c r="J2126" s="24">
        <v>41640</v>
      </c>
      <c r="K2126" t="s">
        <v>26</v>
      </c>
      <c r="L2126" s="25" t="s">
        <v>28</v>
      </c>
      <c r="M2126" t="s">
        <v>26</v>
      </c>
      <c r="N2126" t="s">
        <v>26</v>
      </c>
      <c r="O2126" t="s">
        <v>26</v>
      </c>
      <c r="P2126" s="24">
        <v>41640</v>
      </c>
      <c r="Q2126" s="24">
        <v>41640</v>
      </c>
      <c r="R2126" t="s">
        <v>26</v>
      </c>
      <c r="S2126" t="s">
        <v>26</v>
      </c>
      <c r="T2126" t="s">
        <v>26</v>
      </c>
      <c r="U2126" t="s">
        <v>26</v>
      </c>
      <c r="V2126" t="s">
        <v>26</v>
      </c>
      <c r="W2126" s="24">
        <v>41640</v>
      </c>
      <c r="X2126" s="24">
        <v>41640</v>
      </c>
      <c r="Y2126" t="s">
        <v>26</v>
      </c>
      <c r="Z2126" s="24">
        <v>41640</v>
      </c>
      <c r="AA2126" s="24">
        <v>41640</v>
      </c>
      <c r="AB2126" t="s">
        <v>26</v>
      </c>
      <c r="AC2126" t="s">
        <v>26</v>
      </c>
      <c r="AD2126" t="s">
        <v>26</v>
      </c>
      <c r="AE2126" t="s">
        <v>26</v>
      </c>
      <c r="AF2126" t="s">
        <v>26</v>
      </c>
      <c r="AG2126" t="s">
        <v>26</v>
      </c>
      <c r="AH2126" t="s">
        <v>26</v>
      </c>
      <c r="AI2126" t="s">
        <v>26</v>
      </c>
      <c r="AJ2126" t="s">
        <v>26</v>
      </c>
      <c r="AK2126" t="s">
        <v>26</v>
      </c>
      <c r="AL2126" t="s">
        <v>26</v>
      </c>
      <c r="AM2126" t="s">
        <v>26</v>
      </c>
      <c r="AN2126" t="s">
        <v>26</v>
      </c>
      <c r="AO2126" s="25" t="s">
        <v>28</v>
      </c>
      <c r="AP2126" s="23" t="s">
        <v>279</v>
      </c>
      <c r="AQ2126" s="23" t="s">
        <v>30</v>
      </c>
      <c r="AR2126" s="23" t="s">
        <v>71</v>
      </c>
      <c r="AS2126" s="25">
        <v>6529838</v>
      </c>
      <c r="AT2126" t="s">
        <v>26</v>
      </c>
      <c r="AU2126" t="s">
        <v>25013</v>
      </c>
    </row>
    <row r="2127" spans="1:47" ht="26.25" x14ac:dyDescent="0.4">
      <c r="A2127" s="23" t="s">
        <v>5598</v>
      </c>
      <c r="B2127" t="s">
        <v>26</v>
      </c>
      <c r="C2127" s="23" t="s">
        <v>80</v>
      </c>
      <c r="D2127" s="23" t="s">
        <v>25014</v>
      </c>
      <c r="E2127" s="23" t="s">
        <v>60</v>
      </c>
      <c r="F2127" s="25" t="s">
        <v>5599</v>
      </c>
      <c r="G2127" s="25" t="s">
        <v>5600</v>
      </c>
      <c r="H2127" t="s">
        <v>26</v>
      </c>
      <c r="I2127" t="s">
        <v>26</v>
      </c>
      <c r="J2127" t="s">
        <v>26</v>
      </c>
      <c r="K2127" t="s">
        <v>26</v>
      </c>
      <c r="L2127" s="25" t="s">
        <v>68</v>
      </c>
      <c r="M2127" t="s">
        <v>26</v>
      </c>
      <c r="N2127" t="s">
        <v>26</v>
      </c>
      <c r="O2127" t="s">
        <v>26</v>
      </c>
      <c r="P2127" t="s">
        <v>26</v>
      </c>
      <c r="Q2127" t="s">
        <v>26</v>
      </c>
      <c r="R2127" t="s">
        <v>26</v>
      </c>
      <c r="S2127" t="s">
        <v>26</v>
      </c>
      <c r="T2127" t="s">
        <v>26</v>
      </c>
      <c r="U2127" t="s">
        <v>26</v>
      </c>
      <c r="V2127" t="s">
        <v>26</v>
      </c>
      <c r="W2127" s="24">
        <v>40575</v>
      </c>
      <c r="X2127" s="25" t="s">
        <v>77</v>
      </c>
      <c r="Y2127" s="25" t="s">
        <v>5601</v>
      </c>
      <c r="Z2127" s="24">
        <v>40575</v>
      </c>
      <c r="AA2127" s="25" t="s">
        <v>77</v>
      </c>
      <c r="AB2127" s="25" t="s">
        <v>5601</v>
      </c>
      <c r="AC2127" s="24">
        <v>40575</v>
      </c>
      <c r="AD2127" s="25" t="s">
        <v>77</v>
      </c>
      <c r="AE2127" s="25" t="s">
        <v>5601</v>
      </c>
      <c r="AF2127" t="s">
        <v>26</v>
      </c>
      <c r="AG2127" t="s">
        <v>26</v>
      </c>
      <c r="AH2127" t="s">
        <v>26</v>
      </c>
      <c r="AI2127" t="s">
        <v>26</v>
      </c>
      <c r="AJ2127" t="s">
        <v>26</v>
      </c>
      <c r="AK2127" t="s">
        <v>26</v>
      </c>
      <c r="AL2127" t="s">
        <v>26</v>
      </c>
      <c r="AM2127" t="s">
        <v>26</v>
      </c>
      <c r="AN2127" t="s">
        <v>26</v>
      </c>
      <c r="AO2127" s="25" t="s">
        <v>68</v>
      </c>
      <c r="AP2127" s="23" t="s">
        <v>69</v>
      </c>
      <c r="AQ2127" t="s">
        <v>26</v>
      </c>
      <c r="AR2127" s="23" t="s">
        <v>5602</v>
      </c>
      <c r="AS2127" s="25">
        <v>436416</v>
      </c>
      <c r="AT2127" t="s">
        <v>26</v>
      </c>
      <c r="AU2127" t="s">
        <v>25015</v>
      </c>
    </row>
    <row r="2128" spans="1:47" ht="26.25" x14ac:dyDescent="0.4">
      <c r="A2128" s="23" t="s">
        <v>5603</v>
      </c>
      <c r="B2128" t="s">
        <v>26</v>
      </c>
      <c r="C2128" s="23" t="s">
        <v>80</v>
      </c>
      <c r="D2128" s="23" t="s">
        <v>22184</v>
      </c>
      <c r="E2128" s="23" t="s">
        <v>60</v>
      </c>
      <c r="F2128" s="25" t="s">
        <v>5604</v>
      </c>
      <c r="G2128" t="s">
        <v>26</v>
      </c>
      <c r="H2128" t="s">
        <v>26</v>
      </c>
      <c r="I2128" t="s">
        <v>26</v>
      </c>
      <c r="J2128" t="s">
        <v>26</v>
      </c>
      <c r="K2128" t="s">
        <v>26</v>
      </c>
      <c r="L2128" s="25" t="s">
        <v>68</v>
      </c>
      <c r="M2128" t="s">
        <v>26</v>
      </c>
      <c r="N2128" t="s">
        <v>26</v>
      </c>
      <c r="O2128" t="s">
        <v>26</v>
      </c>
      <c r="P2128" t="s">
        <v>26</v>
      </c>
      <c r="Q2128" t="s">
        <v>26</v>
      </c>
      <c r="R2128" t="s">
        <v>26</v>
      </c>
      <c r="S2128" t="s">
        <v>26</v>
      </c>
      <c r="T2128" t="s">
        <v>26</v>
      </c>
      <c r="U2128" t="s">
        <v>26</v>
      </c>
      <c r="V2128" t="s">
        <v>26</v>
      </c>
      <c r="W2128" s="24">
        <v>43160</v>
      </c>
      <c r="X2128" s="25" t="s">
        <v>77</v>
      </c>
      <c r="Y2128" t="s">
        <v>26</v>
      </c>
      <c r="Z2128" s="24">
        <v>43160</v>
      </c>
      <c r="AA2128" s="25" t="s">
        <v>77</v>
      </c>
      <c r="AB2128" t="s">
        <v>26</v>
      </c>
      <c r="AC2128" s="24">
        <v>43160</v>
      </c>
      <c r="AD2128" s="25" t="s">
        <v>77</v>
      </c>
      <c r="AE2128" t="s">
        <v>26</v>
      </c>
      <c r="AF2128" t="s">
        <v>26</v>
      </c>
      <c r="AG2128" t="s">
        <v>26</v>
      </c>
      <c r="AH2128" t="s">
        <v>26</v>
      </c>
      <c r="AI2128" t="s">
        <v>26</v>
      </c>
      <c r="AJ2128" t="s">
        <v>26</v>
      </c>
      <c r="AK2128" t="s">
        <v>26</v>
      </c>
      <c r="AL2128" t="s">
        <v>26</v>
      </c>
      <c r="AM2128" t="s">
        <v>26</v>
      </c>
      <c r="AN2128" t="s">
        <v>26</v>
      </c>
      <c r="AO2128" s="25" t="s">
        <v>68</v>
      </c>
      <c r="AP2128" s="23" t="s">
        <v>69</v>
      </c>
      <c r="AQ2128" s="23" t="s">
        <v>30</v>
      </c>
      <c r="AR2128" s="23" t="s">
        <v>46</v>
      </c>
      <c r="AS2128" s="25">
        <v>2033044</v>
      </c>
      <c r="AT2128" t="s">
        <v>26</v>
      </c>
      <c r="AU2128" t="s">
        <v>25016</v>
      </c>
    </row>
    <row r="2129" spans="1:47" ht="52.5" x14ac:dyDescent="0.4">
      <c r="A2129" s="23" t="s">
        <v>5605</v>
      </c>
      <c r="B2129" t="s">
        <v>26</v>
      </c>
      <c r="C2129" s="23" t="s">
        <v>181</v>
      </c>
      <c r="D2129" s="23" t="s">
        <v>25017</v>
      </c>
      <c r="E2129" s="23" t="s">
        <v>60</v>
      </c>
      <c r="F2129" s="25" t="s">
        <v>5606</v>
      </c>
      <c r="G2129" s="25" t="s">
        <v>5607</v>
      </c>
      <c r="H2129" t="s">
        <v>26</v>
      </c>
      <c r="I2129" s="24">
        <v>40544</v>
      </c>
      <c r="J2129" s="25" t="s">
        <v>77</v>
      </c>
      <c r="K2129" t="s">
        <v>26</v>
      </c>
      <c r="L2129" s="25" t="s">
        <v>68</v>
      </c>
      <c r="M2129" t="s">
        <v>26</v>
      </c>
      <c r="N2129" t="s">
        <v>26</v>
      </c>
      <c r="O2129" t="s">
        <v>26</v>
      </c>
      <c r="P2129" s="24">
        <v>40544</v>
      </c>
      <c r="Q2129" s="24">
        <v>42614</v>
      </c>
      <c r="R2129" t="s">
        <v>26</v>
      </c>
      <c r="S2129" s="24">
        <v>42736</v>
      </c>
      <c r="T2129" s="25" t="s">
        <v>77</v>
      </c>
      <c r="U2129" t="s">
        <v>26</v>
      </c>
      <c r="V2129" t="s">
        <v>26</v>
      </c>
      <c r="W2129" s="24">
        <v>40544</v>
      </c>
      <c r="X2129" s="25" t="s">
        <v>77</v>
      </c>
      <c r="Y2129" t="s">
        <v>26</v>
      </c>
      <c r="Z2129" s="24">
        <v>40544</v>
      </c>
      <c r="AA2129" s="25" t="s">
        <v>77</v>
      </c>
      <c r="AB2129" t="s">
        <v>26</v>
      </c>
      <c r="AC2129" s="24">
        <v>40544</v>
      </c>
      <c r="AD2129" s="25" t="s">
        <v>77</v>
      </c>
      <c r="AE2129" t="s">
        <v>26</v>
      </c>
      <c r="AF2129" t="s">
        <v>26</v>
      </c>
      <c r="AG2129" t="s">
        <v>26</v>
      </c>
      <c r="AH2129" t="s">
        <v>26</v>
      </c>
      <c r="AI2129" t="s">
        <v>26</v>
      </c>
      <c r="AJ2129" t="s">
        <v>26</v>
      </c>
      <c r="AK2129" t="s">
        <v>26</v>
      </c>
      <c r="AL2129" t="s">
        <v>26</v>
      </c>
      <c r="AM2129" t="s">
        <v>26</v>
      </c>
      <c r="AN2129" t="s">
        <v>26</v>
      </c>
      <c r="AO2129" s="25" t="s">
        <v>68</v>
      </c>
      <c r="AP2129" s="23" t="s">
        <v>69</v>
      </c>
      <c r="AQ2129" s="23" t="s">
        <v>5608</v>
      </c>
      <c r="AR2129" s="23" t="s">
        <v>203</v>
      </c>
      <c r="AS2129" s="25">
        <v>2026587</v>
      </c>
      <c r="AT2129" t="s">
        <v>26</v>
      </c>
      <c r="AU2129" t="s">
        <v>25018</v>
      </c>
    </row>
    <row r="2130" spans="1:47" ht="26.25" x14ac:dyDescent="0.4">
      <c r="A2130" s="23" t="s">
        <v>5609</v>
      </c>
      <c r="B2130" t="s">
        <v>26</v>
      </c>
      <c r="C2130" s="23" t="s">
        <v>5610</v>
      </c>
      <c r="D2130" s="23" t="s">
        <v>25019</v>
      </c>
      <c r="E2130" s="23" t="s">
        <v>526</v>
      </c>
      <c r="F2130" s="25" t="s">
        <v>5611</v>
      </c>
      <c r="G2130" s="25" t="s">
        <v>5612</v>
      </c>
      <c r="H2130" t="s">
        <v>26</v>
      </c>
      <c r="I2130" s="24">
        <v>39814</v>
      </c>
      <c r="J2130" s="25" t="s">
        <v>77</v>
      </c>
      <c r="K2130" t="s">
        <v>26</v>
      </c>
      <c r="L2130" s="25" t="s">
        <v>68</v>
      </c>
      <c r="M2130" s="24">
        <v>39814</v>
      </c>
      <c r="N2130" s="25" t="s">
        <v>77</v>
      </c>
      <c r="O2130" t="s">
        <v>26</v>
      </c>
      <c r="P2130" s="24">
        <v>39814</v>
      </c>
      <c r="Q2130" s="25" t="s">
        <v>77</v>
      </c>
      <c r="R2130" t="s">
        <v>26</v>
      </c>
      <c r="S2130" t="s">
        <v>26</v>
      </c>
      <c r="T2130" t="s">
        <v>26</v>
      </c>
      <c r="U2130" t="s">
        <v>26</v>
      </c>
      <c r="V2130" t="s">
        <v>26</v>
      </c>
      <c r="W2130" s="24">
        <v>39814</v>
      </c>
      <c r="X2130" s="25" t="s">
        <v>77</v>
      </c>
      <c r="Y2130" t="s">
        <v>26</v>
      </c>
      <c r="Z2130" s="24">
        <v>39814</v>
      </c>
      <c r="AA2130" s="25" t="s">
        <v>77</v>
      </c>
      <c r="AB2130" t="s">
        <v>26</v>
      </c>
      <c r="AC2130" s="24">
        <v>42795</v>
      </c>
      <c r="AD2130" s="25" t="s">
        <v>77</v>
      </c>
      <c r="AE2130" t="s">
        <v>26</v>
      </c>
      <c r="AF2130" t="s">
        <v>26</v>
      </c>
      <c r="AG2130" t="s">
        <v>26</v>
      </c>
      <c r="AH2130" t="s">
        <v>26</v>
      </c>
      <c r="AI2130" t="s">
        <v>26</v>
      </c>
      <c r="AJ2130" t="s">
        <v>26</v>
      </c>
      <c r="AK2130" t="s">
        <v>26</v>
      </c>
      <c r="AL2130" t="s">
        <v>26</v>
      </c>
      <c r="AM2130" t="s">
        <v>26</v>
      </c>
      <c r="AN2130" t="s">
        <v>26</v>
      </c>
      <c r="AO2130" s="25" t="s">
        <v>68</v>
      </c>
      <c r="AP2130" s="23" t="s">
        <v>69</v>
      </c>
      <c r="AQ2130" s="23" t="s">
        <v>5613</v>
      </c>
      <c r="AR2130" s="23" t="s">
        <v>70</v>
      </c>
      <c r="AS2130" s="25">
        <v>54398</v>
      </c>
      <c r="AT2130" t="s">
        <v>26</v>
      </c>
      <c r="AU2130" t="s">
        <v>25020</v>
      </c>
    </row>
    <row r="2131" spans="1:47" ht="26.25" x14ac:dyDescent="0.4">
      <c r="A2131" s="23" t="s">
        <v>5614</v>
      </c>
      <c r="B2131" t="s">
        <v>26</v>
      </c>
      <c r="C2131" s="23" t="s">
        <v>5614</v>
      </c>
      <c r="D2131" s="23" t="s">
        <v>25021</v>
      </c>
      <c r="E2131" s="23" t="s">
        <v>42</v>
      </c>
      <c r="F2131" s="25" t="s">
        <v>5615</v>
      </c>
      <c r="G2131" t="s">
        <v>26</v>
      </c>
      <c r="H2131" t="s">
        <v>26</v>
      </c>
      <c r="I2131" s="24">
        <v>36161</v>
      </c>
      <c r="J2131" s="25" t="s">
        <v>77</v>
      </c>
      <c r="K2131" t="s">
        <v>26</v>
      </c>
      <c r="L2131" s="25" t="s">
        <v>68</v>
      </c>
      <c r="M2131" s="24">
        <v>36161</v>
      </c>
      <c r="N2131" s="25" t="s">
        <v>77</v>
      </c>
      <c r="O2131" t="s">
        <v>26</v>
      </c>
      <c r="P2131" s="24">
        <v>36161</v>
      </c>
      <c r="Q2131" s="25" t="s">
        <v>77</v>
      </c>
      <c r="R2131" s="25" t="s">
        <v>25022</v>
      </c>
      <c r="S2131" t="s">
        <v>26</v>
      </c>
      <c r="T2131" t="s">
        <v>26</v>
      </c>
      <c r="U2131" t="s">
        <v>26</v>
      </c>
      <c r="V2131" t="s">
        <v>26</v>
      </c>
      <c r="W2131" s="24">
        <v>36161</v>
      </c>
      <c r="X2131" s="25" t="s">
        <v>77</v>
      </c>
      <c r="Y2131" t="s">
        <v>26</v>
      </c>
      <c r="Z2131" s="24">
        <v>36161</v>
      </c>
      <c r="AA2131" s="25" t="s">
        <v>77</v>
      </c>
      <c r="AB2131" t="s">
        <v>26</v>
      </c>
      <c r="AC2131" s="24">
        <v>41244</v>
      </c>
      <c r="AD2131" s="25" t="s">
        <v>77</v>
      </c>
      <c r="AE2131" s="25" t="s">
        <v>25023</v>
      </c>
      <c r="AF2131" t="s">
        <v>26</v>
      </c>
      <c r="AG2131" t="s">
        <v>26</v>
      </c>
      <c r="AH2131" t="s">
        <v>26</v>
      </c>
      <c r="AI2131" t="s">
        <v>26</v>
      </c>
      <c r="AJ2131" t="s">
        <v>26</v>
      </c>
      <c r="AK2131" t="s">
        <v>26</v>
      </c>
      <c r="AL2131" t="s">
        <v>26</v>
      </c>
      <c r="AM2131" t="s">
        <v>26</v>
      </c>
      <c r="AN2131" t="s">
        <v>26</v>
      </c>
      <c r="AO2131" s="25" t="s">
        <v>68</v>
      </c>
      <c r="AP2131" s="23" t="s">
        <v>69</v>
      </c>
      <c r="AQ2131" s="23" t="s">
        <v>30</v>
      </c>
      <c r="AR2131" s="23" t="s">
        <v>5616</v>
      </c>
      <c r="AS2131" s="25">
        <v>28796</v>
      </c>
      <c r="AT2131" t="s">
        <v>26</v>
      </c>
      <c r="AU2131" t="s">
        <v>25024</v>
      </c>
    </row>
    <row r="2132" spans="1:47" ht="26.25" x14ac:dyDescent="0.4">
      <c r="A2132" s="23" t="s">
        <v>5617</v>
      </c>
      <c r="B2132" t="s">
        <v>26</v>
      </c>
      <c r="C2132" s="23" t="s">
        <v>302</v>
      </c>
      <c r="D2132" s="23" t="s">
        <v>22286</v>
      </c>
      <c r="E2132" s="23" t="s">
        <v>42</v>
      </c>
      <c r="F2132" t="s">
        <v>26</v>
      </c>
      <c r="G2132" t="s">
        <v>26</v>
      </c>
      <c r="H2132" t="s">
        <v>26</v>
      </c>
      <c r="I2132" t="s">
        <v>26</v>
      </c>
      <c r="J2132" t="s">
        <v>26</v>
      </c>
      <c r="K2132" t="s">
        <v>26</v>
      </c>
      <c r="L2132" s="25" t="s">
        <v>28</v>
      </c>
      <c r="M2132" t="s">
        <v>26</v>
      </c>
      <c r="N2132" t="s">
        <v>26</v>
      </c>
      <c r="O2132" t="s">
        <v>26</v>
      </c>
      <c r="P2132" t="s">
        <v>26</v>
      </c>
      <c r="Q2132" t="s">
        <v>26</v>
      </c>
      <c r="R2132" t="s">
        <v>26</v>
      </c>
      <c r="S2132" t="s">
        <v>26</v>
      </c>
      <c r="T2132" t="s">
        <v>26</v>
      </c>
      <c r="U2132" t="s">
        <v>26</v>
      </c>
      <c r="V2132" t="s">
        <v>26</v>
      </c>
      <c r="W2132" s="24">
        <v>40179</v>
      </c>
      <c r="X2132" s="24">
        <v>40179</v>
      </c>
      <c r="Y2132" t="s">
        <v>26</v>
      </c>
      <c r="Z2132" s="24">
        <v>40179</v>
      </c>
      <c r="AA2132" s="24">
        <v>40179</v>
      </c>
      <c r="AB2132" t="s">
        <v>26</v>
      </c>
      <c r="AC2132" t="s">
        <v>26</v>
      </c>
      <c r="AD2132" t="s">
        <v>26</v>
      </c>
      <c r="AE2132" t="s">
        <v>26</v>
      </c>
      <c r="AF2132" t="s">
        <v>26</v>
      </c>
      <c r="AG2132" t="s">
        <v>26</v>
      </c>
      <c r="AH2132" t="s">
        <v>26</v>
      </c>
      <c r="AI2132" t="s">
        <v>26</v>
      </c>
      <c r="AJ2132" t="s">
        <v>26</v>
      </c>
      <c r="AK2132" t="s">
        <v>26</v>
      </c>
      <c r="AL2132" t="s">
        <v>26</v>
      </c>
      <c r="AM2132" t="s">
        <v>26</v>
      </c>
      <c r="AN2132" t="s">
        <v>26</v>
      </c>
      <c r="AO2132" s="25" t="s">
        <v>28</v>
      </c>
      <c r="AP2132" s="23" t="s">
        <v>29</v>
      </c>
      <c r="AQ2132" s="23" t="s">
        <v>30</v>
      </c>
      <c r="AR2132" s="23" t="s">
        <v>245</v>
      </c>
      <c r="AS2132" s="25">
        <v>5485084</v>
      </c>
      <c r="AT2132" s="23" t="s">
        <v>22181</v>
      </c>
      <c r="AU2132" t="s">
        <v>25025</v>
      </c>
    </row>
    <row r="2133" spans="1:47" ht="26.25" x14ac:dyDescent="0.4">
      <c r="A2133" s="23" t="s">
        <v>5618</v>
      </c>
      <c r="B2133" t="s">
        <v>26</v>
      </c>
      <c r="C2133" s="23" t="s">
        <v>22803</v>
      </c>
      <c r="D2133" t="s">
        <v>26</v>
      </c>
      <c r="E2133" s="23" t="s">
        <v>42</v>
      </c>
      <c r="F2133" t="s">
        <v>26</v>
      </c>
      <c r="G2133" t="s">
        <v>26</v>
      </c>
      <c r="H2133" t="s">
        <v>26</v>
      </c>
      <c r="I2133" s="24">
        <v>25934</v>
      </c>
      <c r="J2133" s="24">
        <v>28491</v>
      </c>
      <c r="K2133" t="s">
        <v>26</v>
      </c>
      <c r="L2133" s="25" t="s">
        <v>28</v>
      </c>
      <c r="M2133" s="24">
        <v>25934</v>
      </c>
      <c r="N2133" s="24">
        <v>28491</v>
      </c>
      <c r="O2133" t="s">
        <v>26</v>
      </c>
      <c r="P2133" t="s">
        <v>26</v>
      </c>
      <c r="Q2133" t="s">
        <v>26</v>
      </c>
      <c r="R2133" t="s">
        <v>26</v>
      </c>
      <c r="S2133" s="24">
        <v>25934</v>
      </c>
      <c r="T2133" s="24">
        <v>28491</v>
      </c>
      <c r="U2133" t="s">
        <v>26</v>
      </c>
      <c r="V2133" t="s">
        <v>26</v>
      </c>
      <c r="W2133" s="24">
        <v>25934</v>
      </c>
      <c r="X2133" s="24">
        <v>28491</v>
      </c>
      <c r="Y2133" t="s">
        <v>26</v>
      </c>
      <c r="Z2133" s="24">
        <v>25934</v>
      </c>
      <c r="AA2133" s="24">
        <v>28491</v>
      </c>
      <c r="AB2133" t="s">
        <v>26</v>
      </c>
      <c r="AC2133" s="24">
        <v>25934</v>
      </c>
      <c r="AD2133" s="24">
        <v>28491</v>
      </c>
      <c r="AE2133" t="s">
        <v>26</v>
      </c>
      <c r="AF2133" s="24">
        <v>25934</v>
      </c>
      <c r="AG2133" s="24">
        <v>28491</v>
      </c>
      <c r="AH2133" t="s">
        <v>26</v>
      </c>
      <c r="AI2133" s="24">
        <v>25934</v>
      </c>
      <c r="AJ2133" s="24">
        <v>28491</v>
      </c>
      <c r="AK2133" t="s">
        <v>26</v>
      </c>
      <c r="AL2133" t="s">
        <v>26</v>
      </c>
      <c r="AM2133" t="s">
        <v>26</v>
      </c>
      <c r="AN2133" t="s">
        <v>26</v>
      </c>
      <c r="AO2133" s="25" t="s">
        <v>28</v>
      </c>
      <c r="AP2133" s="23" t="s">
        <v>43</v>
      </c>
      <c r="AQ2133" s="23" t="s">
        <v>30</v>
      </c>
      <c r="AR2133" s="23" t="s">
        <v>44</v>
      </c>
      <c r="AS2133" s="25">
        <v>5256691</v>
      </c>
      <c r="AT2133" t="s">
        <v>26</v>
      </c>
      <c r="AU2133" t="s">
        <v>25026</v>
      </c>
    </row>
    <row r="2134" spans="1:47" ht="26.25" x14ac:dyDescent="0.4">
      <c r="A2134" s="23" t="s">
        <v>5619</v>
      </c>
      <c r="B2134" t="s">
        <v>26</v>
      </c>
      <c r="C2134" s="23" t="s">
        <v>146</v>
      </c>
      <c r="D2134" s="23" t="s">
        <v>22174</v>
      </c>
      <c r="E2134" s="23" t="s">
        <v>60</v>
      </c>
      <c r="F2134" t="s">
        <v>26</v>
      </c>
      <c r="G2134" t="s">
        <v>26</v>
      </c>
      <c r="H2134" t="s">
        <v>26</v>
      </c>
      <c r="I2134" t="s">
        <v>26</v>
      </c>
      <c r="J2134" t="s">
        <v>26</v>
      </c>
      <c r="K2134" t="s">
        <v>26</v>
      </c>
      <c r="L2134" s="25" t="s">
        <v>28</v>
      </c>
      <c r="M2134" t="s">
        <v>26</v>
      </c>
      <c r="N2134" t="s">
        <v>26</v>
      </c>
      <c r="O2134" t="s">
        <v>26</v>
      </c>
      <c r="P2134" t="s">
        <v>26</v>
      </c>
      <c r="Q2134" t="s">
        <v>26</v>
      </c>
      <c r="R2134" t="s">
        <v>26</v>
      </c>
      <c r="S2134" t="s">
        <v>26</v>
      </c>
      <c r="T2134" t="s">
        <v>26</v>
      </c>
      <c r="U2134" t="s">
        <v>26</v>
      </c>
      <c r="V2134" t="s">
        <v>26</v>
      </c>
      <c r="W2134" s="24">
        <v>42370</v>
      </c>
      <c r="X2134" s="24">
        <v>42370</v>
      </c>
      <c r="Y2134" t="s">
        <v>26</v>
      </c>
      <c r="Z2134" s="24">
        <v>42370</v>
      </c>
      <c r="AA2134" s="24">
        <v>42370</v>
      </c>
      <c r="AB2134" t="s">
        <v>26</v>
      </c>
      <c r="AC2134" t="s">
        <v>26</v>
      </c>
      <c r="AD2134" t="s">
        <v>26</v>
      </c>
      <c r="AE2134" t="s">
        <v>26</v>
      </c>
      <c r="AF2134" t="s">
        <v>26</v>
      </c>
      <c r="AG2134" t="s">
        <v>26</v>
      </c>
      <c r="AH2134" t="s">
        <v>26</v>
      </c>
      <c r="AI2134" t="s">
        <v>26</v>
      </c>
      <c r="AJ2134" t="s">
        <v>26</v>
      </c>
      <c r="AK2134" t="s">
        <v>26</v>
      </c>
      <c r="AL2134" t="s">
        <v>26</v>
      </c>
      <c r="AM2134" t="s">
        <v>26</v>
      </c>
      <c r="AN2134" t="s">
        <v>26</v>
      </c>
      <c r="AO2134" s="25" t="s">
        <v>28</v>
      </c>
      <c r="AP2134" s="23" t="s">
        <v>29</v>
      </c>
      <c r="AQ2134" s="23" t="s">
        <v>30</v>
      </c>
      <c r="AR2134" s="23" t="s">
        <v>245</v>
      </c>
      <c r="AS2134" s="25">
        <v>5485089</v>
      </c>
      <c r="AT2134" s="23" t="s">
        <v>22181</v>
      </c>
      <c r="AU2134" t="s">
        <v>25027</v>
      </c>
    </row>
    <row r="2135" spans="1:47" ht="26.25" x14ac:dyDescent="0.4">
      <c r="A2135" s="23" t="s">
        <v>5620</v>
      </c>
      <c r="B2135" t="s">
        <v>26</v>
      </c>
      <c r="C2135" s="23" t="s">
        <v>107</v>
      </c>
      <c r="D2135" s="23" t="s">
        <v>22194</v>
      </c>
      <c r="E2135" s="23" t="s">
        <v>42</v>
      </c>
      <c r="F2135" s="25" t="s">
        <v>5621</v>
      </c>
      <c r="G2135" s="25" t="s">
        <v>5622</v>
      </c>
      <c r="H2135" t="s">
        <v>26</v>
      </c>
      <c r="I2135" s="24">
        <v>29677</v>
      </c>
      <c r="J2135" s="24">
        <v>41913</v>
      </c>
      <c r="K2135" t="s">
        <v>26</v>
      </c>
      <c r="L2135" s="25" t="s">
        <v>68</v>
      </c>
      <c r="M2135" s="24">
        <v>29677</v>
      </c>
      <c r="N2135" s="24">
        <v>41913</v>
      </c>
      <c r="O2135" t="s">
        <v>26</v>
      </c>
      <c r="P2135" s="24">
        <v>29677</v>
      </c>
      <c r="Q2135" s="24">
        <v>41913</v>
      </c>
      <c r="R2135" t="s">
        <v>26</v>
      </c>
      <c r="S2135" t="s">
        <v>26</v>
      </c>
      <c r="T2135" t="s">
        <v>26</v>
      </c>
      <c r="U2135" t="s">
        <v>26</v>
      </c>
      <c r="V2135" t="s">
        <v>26</v>
      </c>
      <c r="W2135" s="24">
        <v>29677</v>
      </c>
      <c r="X2135" s="25" t="s">
        <v>77</v>
      </c>
      <c r="Y2135" t="s">
        <v>26</v>
      </c>
      <c r="Z2135" s="24">
        <v>29677</v>
      </c>
      <c r="AA2135" s="25" t="s">
        <v>77</v>
      </c>
      <c r="AB2135" t="s">
        <v>26</v>
      </c>
      <c r="AC2135" s="24">
        <v>29677</v>
      </c>
      <c r="AD2135" s="25" t="s">
        <v>77</v>
      </c>
      <c r="AE2135" s="25" t="s">
        <v>25028</v>
      </c>
      <c r="AF2135" t="s">
        <v>26</v>
      </c>
      <c r="AG2135" t="s">
        <v>26</v>
      </c>
      <c r="AH2135" t="s">
        <v>26</v>
      </c>
      <c r="AI2135" t="s">
        <v>26</v>
      </c>
      <c r="AJ2135" t="s">
        <v>26</v>
      </c>
      <c r="AK2135" t="s">
        <v>26</v>
      </c>
      <c r="AL2135" t="s">
        <v>26</v>
      </c>
      <c r="AM2135" t="s">
        <v>26</v>
      </c>
      <c r="AN2135" t="s">
        <v>26</v>
      </c>
      <c r="AO2135" s="25" t="s">
        <v>68</v>
      </c>
      <c r="AP2135" s="23" t="s">
        <v>69</v>
      </c>
      <c r="AQ2135" s="23" t="s">
        <v>30</v>
      </c>
      <c r="AR2135" s="23" t="s">
        <v>277</v>
      </c>
      <c r="AS2135" s="25">
        <v>26540</v>
      </c>
      <c r="AT2135" t="s">
        <v>26</v>
      </c>
      <c r="AU2135" t="s">
        <v>25029</v>
      </c>
    </row>
    <row r="2136" spans="1:47" ht="26.25" x14ac:dyDescent="0.4">
      <c r="A2136" s="23" t="s">
        <v>5623</v>
      </c>
      <c r="B2136" t="s">
        <v>26</v>
      </c>
      <c r="C2136" s="23" t="s">
        <v>80</v>
      </c>
      <c r="D2136" s="23" t="s">
        <v>22184</v>
      </c>
      <c r="E2136" s="23" t="s">
        <v>60</v>
      </c>
      <c r="F2136" s="25" t="s">
        <v>5624</v>
      </c>
      <c r="G2136" s="25" t="s">
        <v>5625</v>
      </c>
      <c r="H2136" t="s">
        <v>26</v>
      </c>
      <c r="I2136" t="s">
        <v>26</v>
      </c>
      <c r="J2136" t="s">
        <v>26</v>
      </c>
      <c r="K2136" t="s">
        <v>26</v>
      </c>
      <c r="L2136" s="25" t="s">
        <v>68</v>
      </c>
      <c r="M2136" t="s">
        <v>26</v>
      </c>
      <c r="N2136" t="s">
        <v>26</v>
      </c>
      <c r="O2136" t="s">
        <v>26</v>
      </c>
      <c r="P2136" t="s">
        <v>26</v>
      </c>
      <c r="Q2136" t="s">
        <v>26</v>
      </c>
      <c r="R2136" t="s">
        <v>26</v>
      </c>
      <c r="S2136" t="s">
        <v>26</v>
      </c>
      <c r="T2136" t="s">
        <v>26</v>
      </c>
      <c r="U2136" t="s">
        <v>26</v>
      </c>
      <c r="V2136" t="s">
        <v>26</v>
      </c>
      <c r="W2136" s="24">
        <v>40179</v>
      </c>
      <c r="X2136" s="25" t="s">
        <v>77</v>
      </c>
      <c r="Y2136" t="s">
        <v>26</v>
      </c>
      <c r="Z2136" s="24">
        <v>40179</v>
      </c>
      <c r="AA2136" s="25" t="s">
        <v>77</v>
      </c>
      <c r="AB2136" t="s">
        <v>26</v>
      </c>
      <c r="AC2136" s="24">
        <v>40179</v>
      </c>
      <c r="AD2136" s="25" t="s">
        <v>77</v>
      </c>
      <c r="AE2136" t="s">
        <v>26</v>
      </c>
      <c r="AF2136" t="s">
        <v>26</v>
      </c>
      <c r="AG2136" t="s">
        <v>26</v>
      </c>
      <c r="AH2136" t="s">
        <v>26</v>
      </c>
      <c r="AI2136" t="s">
        <v>26</v>
      </c>
      <c r="AJ2136" t="s">
        <v>26</v>
      </c>
      <c r="AK2136" t="s">
        <v>26</v>
      </c>
      <c r="AL2136" t="s">
        <v>26</v>
      </c>
      <c r="AM2136" t="s">
        <v>26</v>
      </c>
      <c r="AN2136" t="s">
        <v>26</v>
      </c>
      <c r="AO2136" s="25" t="s">
        <v>68</v>
      </c>
      <c r="AP2136" s="23" t="s">
        <v>69</v>
      </c>
      <c r="AQ2136" s="23" t="s">
        <v>30</v>
      </c>
      <c r="AR2136" s="23" t="s">
        <v>5626</v>
      </c>
      <c r="AS2136" s="25">
        <v>186279</v>
      </c>
      <c r="AT2136" t="s">
        <v>26</v>
      </c>
      <c r="AU2136" t="s">
        <v>25030</v>
      </c>
    </row>
    <row r="2137" spans="1:47" ht="26.25" x14ac:dyDescent="0.4">
      <c r="A2137" s="23" t="s">
        <v>5627</v>
      </c>
      <c r="B2137" t="s">
        <v>26</v>
      </c>
      <c r="C2137" s="23" t="s">
        <v>146</v>
      </c>
      <c r="D2137" s="23" t="s">
        <v>22174</v>
      </c>
      <c r="E2137" s="23" t="s">
        <v>60</v>
      </c>
      <c r="F2137" t="s">
        <v>26</v>
      </c>
      <c r="G2137" t="s">
        <v>26</v>
      </c>
      <c r="H2137" t="s">
        <v>26</v>
      </c>
      <c r="I2137" t="s">
        <v>26</v>
      </c>
      <c r="J2137" t="s">
        <v>26</v>
      </c>
      <c r="K2137" t="s">
        <v>26</v>
      </c>
      <c r="L2137" s="25" t="s">
        <v>28</v>
      </c>
      <c r="M2137" t="s">
        <v>26</v>
      </c>
      <c r="N2137" t="s">
        <v>26</v>
      </c>
      <c r="O2137" t="s">
        <v>26</v>
      </c>
      <c r="P2137" t="s">
        <v>26</v>
      </c>
      <c r="Q2137" t="s">
        <v>26</v>
      </c>
      <c r="R2137" t="s">
        <v>26</v>
      </c>
      <c r="S2137" t="s">
        <v>26</v>
      </c>
      <c r="T2137" t="s">
        <v>26</v>
      </c>
      <c r="U2137" t="s">
        <v>26</v>
      </c>
      <c r="V2137" t="s">
        <v>26</v>
      </c>
      <c r="W2137" s="24">
        <v>42005</v>
      </c>
      <c r="X2137" s="24">
        <v>42005</v>
      </c>
      <c r="Y2137" t="s">
        <v>26</v>
      </c>
      <c r="Z2137" s="24">
        <v>42005</v>
      </c>
      <c r="AA2137" s="24">
        <v>42005</v>
      </c>
      <c r="AB2137" t="s">
        <v>26</v>
      </c>
      <c r="AC2137" t="s">
        <v>26</v>
      </c>
      <c r="AD2137" t="s">
        <v>26</v>
      </c>
      <c r="AE2137" t="s">
        <v>26</v>
      </c>
      <c r="AF2137" t="s">
        <v>26</v>
      </c>
      <c r="AG2137" t="s">
        <v>26</v>
      </c>
      <c r="AH2137" t="s">
        <v>26</v>
      </c>
      <c r="AI2137" t="s">
        <v>26</v>
      </c>
      <c r="AJ2137" t="s">
        <v>26</v>
      </c>
      <c r="AK2137" t="s">
        <v>26</v>
      </c>
      <c r="AL2137" t="s">
        <v>26</v>
      </c>
      <c r="AM2137" t="s">
        <v>26</v>
      </c>
      <c r="AN2137" t="s">
        <v>26</v>
      </c>
      <c r="AO2137" s="25" t="s">
        <v>28</v>
      </c>
      <c r="AP2137" s="23" t="s">
        <v>29</v>
      </c>
      <c r="AQ2137" s="23" t="s">
        <v>30</v>
      </c>
      <c r="AR2137" s="23" t="s">
        <v>245</v>
      </c>
      <c r="AS2137" s="25">
        <v>5485107</v>
      </c>
      <c r="AT2137" s="23" t="s">
        <v>22181</v>
      </c>
      <c r="AU2137" t="s">
        <v>25031</v>
      </c>
    </row>
    <row r="2138" spans="1:47" ht="26.25" x14ac:dyDescent="0.4">
      <c r="A2138" s="23" t="s">
        <v>5628</v>
      </c>
      <c r="B2138" t="s">
        <v>26</v>
      </c>
      <c r="C2138" s="23" t="s">
        <v>25032</v>
      </c>
      <c r="D2138" s="23" t="s">
        <v>25033</v>
      </c>
      <c r="E2138" s="23" t="s">
        <v>42</v>
      </c>
      <c r="F2138" t="s">
        <v>26</v>
      </c>
      <c r="G2138" t="s">
        <v>26</v>
      </c>
      <c r="H2138" t="s">
        <v>26</v>
      </c>
      <c r="I2138" s="24">
        <v>43466</v>
      </c>
      <c r="J2138" s="24">
        <v>43466</v>
      </c>
      <c r="K2138" t="s">
        <v>26</v>
      </c>
      <c r="L2138" s="25" t="s">
        <v>28</v>
      </c>
      <c r="M2138" s="24">
        <v>43466</v>
      </c>
      <c r="N2138" s="24">
        <v>43466</v>
      </c>
      <c r="O2138" t="s">
        <v>26</v>
      </c>
      <c r="P2138" t="s">
        <v>26</v>
      </c>
      <c r="Q2138" t="s">
        <v>26</v>
      </c>
      <c r="R2138" t="s">
        <v>26</v>
      </c>
      <c r="S2138" s="24">
        <v>43466</v>
      </c>
      <c r="T2138" s="24">
        <v>43466</v>
      </c>
      <c r="U2138" t="s">
        <v>26</v>
      </c>
      <c r="V2138" t="s">
        <v>26</v>
      </c>
      <c r="W2138" s="24">
        <v>43466</v>
      </c>
      <c r="X2138" s="24">
        <v>43466</v>
      </c>
      <c r="Y2138" t="s">
        <v>26</v>
      </c>
      <c r="Z2138" s="24">
        <v>43466</v>
      </c>
      <c r="AA2138" s="24">
        <v>43466</v>
      </c>
      <c r="AB2138" t="s">
        <v>26</v>
      </c>
      <c r="AC2138" s="24">
        <v>43466</v>
      </c>
      <c r="AD2138" s="24">
        <v>43466</v>
      </c>
      <c r="AE2138" t="s">
        <v>26</v>
      </c>
      <c r="AF2138" s="24">
        <v>43466</v>
      </c>
      <c r="AG2138" s="24">
        <v>43466</v>
      </c>
      <c r="AH2138" t="s">
        <v>26</v>
      </c>
      <c r="AI2138" s="24">
        <v>43466</v>
      </c>
      <c r="AJ2138" s="24">
        <v>43466</v>
      </c>
      <c r="AK2138" t="s">
        <v>26</v>
      </c>
      <c r="AL2138" t="s">
        <v>26</v>
      </c>
      <c r="AM2138" t="s">
        <v>26</v>
      </c>
      <c r="AN2138" t="s">
        <v>26</v>
      </c>
      <c r="AO2138" s="25" t="s">
        <v>28</v>
      </c>
      <c r="AP2138" s="23" t="s">
        <v>43</v>
      </c>
      <c r="AQ2138" s="23" t="s">
        <v>30</v>
      </c>
      <c r="AR2138" s="23" t="s">
        <v>46</v>
      </c>
      <c r="AS2138" s="25">
        <v>6364618</v>
      </c>
      <c r="AT2138" t="s">
        <v>26</v>
      </c>
      <c r="AU2138" t="s">
        <v>25034</v>
      </c>
    </row>
    <row r="2139" spans="1:47" ht="26.25" x14ac:dyDescent="0.4">
      <c r="A2139" s="23" t="s">
        <v>5629</v>
      </c>
      <c r="B2139" t="s">
        <v>26</v>
      </c>
      <c r="C2139" s="23" t="s">
        <v>181</v>
      </c>
      <c r="D2139" s="23" t="s">
        <v>22174</v>
      </c>
      <c r="E2139" s="23" t="s">
        <v>60</v>
      </c>
      <c r="F2139" s="25" t="s">
        <v>5630</v>
      </c>
      <c r="G2139" s="25" t="s">
        <v>5631</v>
      </c>
      <c r="H2139" t="s">
        <v>26</v>
      </c>
      <c r="I2139" t="s">
        <v>26</v>
      </c>
      <c r="J2139" t="s">
        <v>26</v>
      </c>
      <c r="K2139" t="s">
        <v>26</v>
      </c>
      <c r="L2139" s="25" t="s">
        <v>68</v>
      </c>
      <c r="M2139" t="s">
        <v>26</v>
      </c>
      <c r="N2139" t="s">
        <v>26</v>
      </c>
      <c r="O2139" t="s">
        <v>26</v>
      </c>
      <c r="P2139" t="s">
        <v>26</v>
      </c>
      <c r="Q2139" t="s">
        <v>26</v>
      </c>
      <c r="R2139" t="s">
        <v>26</v>
      </c>
      <c r="S2139" t="s">
        <v>26</v>
      </c>
      <c r="T2139" t="s">
        <v>26</v>
      </c>
      <c r="U2139" t="s">
        <v>26</v>
      </c>
      <c r="V2139" t="s">
        <v>26</v>
      </c>
      <c r="W2139" s="24">
        <v>25659</v>
      </c>
      <c r="X2139" s="25" t="s">
        <v>77</v>
      </c>
      <c r="Y2139" t="s">
        <v>26</v>
      </c>
      <c r="Z2139" s="24">
        <v>25659</v>
      </c>
      <c r="AA2139" s="25" t="s">
        <v>77</v>
      </c>
      <c r="AB2139" t="s">
        <v>26</v>
      </c>
      <c r="AC2139" s="24">
        <v>26024</v>
      </c>
      <c r="AD2139" s="25" t="s">
        <v>77</v>
      </c>
      <c r="AE2139" t="s">
        <v>26</v>
      </c>
      <c r="AF2139" t="s">
        <v>26</v>
      </c>
      <c r="AG2139" t="s">
        <v>26</v>
      </c>
      <c r="AH2139" t="s">
        <v>26</v>
      </c>
      <c r="AI2139" t="s">
        <v>26</v>
      </c>
      <c r="AJ2139" t="s">
        <v>26</v>
      </c>
      <c r="AK2139" t="s">
        <v>26</v>
      </c>
      <c r="AL2139" t="s">
        <v>26</v>
      </c>
      <c r="AM2139" t="s">
        <v>26</v>
      </c>
      <c r="AN2139" t="s">
        <v>26</v>
      </c>
      <c r="AO2139" s="25" t="s">
        <v>68</v>
      </c>
      <c r="AP2139" s="23" t="s">
        <v>69</v>
      </c>
      <c r="AQ2139" s="23" t="s">
        <v>30</v>
      </c>
      <c r="AR2139" s="23" t="s">
        <v>257</v>
      </c>
      <c r="AS2139" s="25">
        <v>29773</v>
      </c>
      <c r="AT2139" t="s">
        <v>26</v>
      </c>
      <c r="AU2139" t="s">
        <v>25035</v>
      </c>
    </row>
    <row r="2140" spans="1:47" ht="26.25" x14ac:dyDescent="0.4">
      <c r="A2140" s="23" t="s">
        <v>5632</v>
      </c>
      <c r="B2140" t="s">
        <v>26</v>
      </c>
      <c r="C2140" s="23" t="s">
        <v>1141</v>
      </c>
      <c r="D2140" s="23" t="s">
        <v>22174</v>
      </c>
      <c r="E2140" s="23" t="s">
        <v>60</v>
      </c>
      <c r="F2140" t="s">
        <v>26</v>
      </c>
      <c r="G2140" t="s">
        <v>26</v>
      </c>
      <c r="H2140" t="s">
        <v>26</v>
      </c>
      <c r="I2140" t="s">
        <v>26</v>
      </c>
      <c r="J2140" t="s">
        <v>26</v>
      </c>
      <c r="K2140" t="s">
        <v>26</v>
      </c>
      <c r="L2140" s="25" t="s">
        <v>28</v>
      </c>
      <c r="M2140" t="s">
        <v>26</v>
      </c>
      <c r="N2140" t="s">
        <v>26</v>
      </c>
      <c r="O2140" t="s">
        <v>26</v>
      </c>
      <c r="P2140" t="s">
        <v>26</v>
      </c>
      <c r="Q2140" t="s">
        <v>26</v>
      </c>
      <c r="R2140" t="s">
        <v>26</v>
      </c>
      <c r="S2140" t="s">
        <v>26</v>
      </c>
      <c r="T2140" t="s">
        <v>26</v>
      </c>
      <c r="U2140" t="s">
        <v>26</v>
      </c>
      <c r="V2140" t="s">
        <v>26</v>
      </c>
      <c r="W2140" s="24">
        <v>42370</v>
      </c>
      <c r="X2140" s="24">
        <v>42370</v>
      </c>
      <c r="Y2140" t="s">
        <v>26</v>
      </c>
      <c r="Z2140" s="24">
        <v>42370</v>
      </c>
      <c r="AA2140" s="24">
        <v>42370</v>
      </c>
      <c r="AB2140" t="s">
        <v>26</v>
      </c>
      <c r="AC2140" t="s">
        <v>26</v>
      </c>
      <c r="AD2140" t="s">
        <v>26</v>
      </c>
      <c r="AE2140" t="s">
        <v>26</v>
      </c>
      <c r="AF2140" t="s">
        <v>26</v>
      </c>
      <c r="AG2140" t="s">
        <v>26</v>
      </c>
      <c r="AH2140" t="s">
        <v>26</v>
      </c>
      <c r="AI2140" t="s">
        <v>26</v>
      </c>
      <c r="AJ2140" t="s">
        <v>26</v>
      </c>
      <c r="AK2140" t="s">
        <v>26</v>
      </c>
      <c r="AL2140" t="s">
        <v>26</v>
      </c>
      <c r="AM2140" t="s">
        <v>26</v>
      </c>
      <c r="AN2140" t="s">
        <v>26</v>
      </c>
      <c r="AO2140" s="25" t="s">
        <v>28</v>
      </c>
      <c r="AP2140" s="23" t="s">
        <v>29</v>
      </c>
      <c r="AQ2140" s="23" t="s">
        <v>30</v>
      </c>
      <c r="AR2140" s="23" t="s">
        <v>44</v>
      </c>
      <c r="AS2140" s="25">
        <v>5485072</v>
      </c>
      <c r="AT2140" s="23" t="s">
        <v>22181</v>
      </c>
      <c r="AU2140" t="s">
        <v>25036</v>
      </c>
    </row>
    <row r="2141" spans="1:47" ht="26.25" x14ac:dyDescent="0.4">
      <c r="A2141" s="23" t="s">
        <v>5633</v>
      </c>
      <c r="B2141" t="s">
        <v>26</v>
      </c>
      <c r="C2141" s="23" t="s">
        <v>5634</v>
      </c>
      <c r="D2141" s="23" t="s">
        <v>22179</v>
      </c>
      <c r="E2141" s="23" t="s">
        <v>42</v>
      </c>
      <c r="F2141" t="s">
        <v>26</v>
      </c>
      <c r="G2141" t="s">
        <v>26</v>
      </c>
      <c r="H2141" t="s">
        <v>26</v>
      </c>
      <c r="I2141" s="24">
        <v>38718</v>
      </c>
      <c r="J2141" s="24">
        <v>38718</v>
      </c>
      <c r="K2141" t="s">
        <v>26</v>
      </c>
      <c r="L2141" s="25" t="s">
        <v>28</v>
      </c>
      <c r="M2141" s="24">
        <v>38718</v>
      </c>
      <c r="N2141" s="24">
        <v>38718</v>
      </c>
      <c r="O2141" t="s">
        <v>26</v>
      </c>
      <c r="P2141" t="s">
        <v>26</v>
      </c>
      <c r="Q2141" t="s">
        <v>26</v>
      </c>
      <c r="R2141" t="s">
        <v>26</v>
      </c>
      <c r="S2141" t="s">
        <v>26</v>
      </c>
      <c r="T2141" t="s">
        <v>26</v>
      </c>
      <c r="U2141" t="s">
        <v>26</v>
      </c>
      <c r="V2141" t="s">
        <v>26</v>
      </c>
      <c r="W2141" s="24">
        <v>38718</v>
      </c>
      <c r="X2141" s="24">
        <v>38718</v>
      </c>
      <c r="Y2141" t="s">
        <v>26</v>
      </c>
      <c r="Z2141" s="24">
        <v>38718</v>
      </c>
      <c r="AA2141" s="24">
        <v>38718</v>
      </c>
      <c r="AB2141" t="s">
        <v>26</v>
      </c>
      <c r="AC2141" s="24">
        <v>38718</v>
      </c>
      <c r="AD2141" s="24">
        <v>38718</v>
      </c>
      <c r="AE2141" t="s">
        <v>26</v>
      </c>
      <c r="AF2141" t="s">
        <v>26</v>
      </c>
      <c r="AG2141" t="s">
        <v>26</v>
      </c>
      <c r="AH2141" t="s">
        <v>26</v>
      </c>
      <c r="AI2141" t="s">
        <v>26</v>
      </c>
      <c r="AJ2141" t="s">
        <v>26</v>
      </c>
      <c r="AK2141" t="s">
        <v>26</v>
      </c>
      <c r="AL2141" t="s">
        <v>26</v>
      </c>
      <c r="AM2141" t="s">
        <v>26</v>
      </c>
      <c r="AN2141" t="s">
        <v>26</v>
      </c>
      <c r="AO2141" s="25" t="s">
        <v>28</v>
      </c>
      <c r="AP2141" s="23" t="s">
        <v>29</v>
      </c>
      <c r="AQ2141" s="23" t="s">
        <v>30</v>
      </c>
      <c r="AR2141" s="23" t="s">
        <v>46</v>
      </c>
      <c r="AS2141" s="25">
        <v>6059428</v>
      </c>
      <c r="AT2141" t="s">
        <v>26</v>
      </c>
      <c r="AU2141" t="s">
        <v>25037</v>
      </c>
    </row>
    <row r="2142" spans="1:47" ht="26.25" x14ac:dyDescent="0.4">
      <c r="A2142" s="23" t="s">
        <v>5635</v>
      </c>
      <c r="B2142" t="s">
        <v>26</v>
      </c>
      <c r="C2142" s="23" t="s">
        <v>320</v>
      </c>
      <c r="D2142" s="23" t="s">
        <v>22174</v>
      </c>
      <c r="E2142" s="23" t="s">
        <v>42</v>
      </c>
      <c r="F2142" s="25" t="s">
        <v>5636</v>
      </c>
      <c r="G2142" s="25" t="s">
        <v>5637</v>
      </c>
      <c r="H2142" t="s">
        <v>26</v>
      </c>
      <c r="I2142" t="s">
        <v>26</v>
      </c>
      <c r="J2142" t="s">
        <v>26</v>
      </c>
      <c r="K2142" t="s">
        <v>26</v>
      </c>
      <c r="L2142" s="25" t="s">
        <v>68</v>
      </c>
      <c r="M2142" t="s">
        <v>26</v>
      </c>
      <c r="N2142" t="s">
        <v>26</v>
      </c>
      <c r="O2142" t="s">
        <v>26</v>
      </c>
      <c r="P2142" t="s">
        <v>26</v>
      </c>
      <c r="Q2142" t="s">
        <v>26</v>
      </c>
      <c r="R2142" t="s">
        <v>26</v>
      </c>
      <c r="S2142" t="s">
        <v>26</v>
      </c>
      <c r="T2142" t="s">
        <v>26</v>
      </c>
      <c r="U2142" t="s">
        <v>26</v>
      </c>
      <c r="V2142" t="s">
        <v>26</v>
      </c>
      <c r="W2142" s="24">
        <v>42675</v>
      </c>
      <c r="X2142" s="25" t="s">
        <v>77</v>
      </c>
      <c r="Y2142" t="s">
        <v>26</v>
      </c>
      <c r="Z2142" s="24">
        <v>42675</v>
      </c>
      <c r="AA2142" s="25" t="s">
        <v>77</v>
      </c>
      <c r="AB2142" t="s">
        <v>26</v>
      </c>
      <c r="AC2142" s="24">
        <v>42675</v>
      </c>
      <c r="AD2142" s="25" t="s">
        <v>77</v>
      </c>
      <c r="AE2142" t="s">
        <v>26</v>
      </c>
      <c r="AF2142" t="s">
        <v>26</v>
      </c>
      <c r="AG2142" t="s">
        <v>26</v>
      </c>
      <c r="AH2142" t="s">
        <v>26</v>
      </c>
      <c r="AI2142" t="s">
        <v>26</v>
      </c>
      <c r="AJ2142" t="s">
        <v>26</v>
      </c>
      <c r="AK2142" t="s">
        <v>26</v>
      </c>
      <c r="AL2142" t="s">
        <v>26</v>
      </c>
      <c r="AM2142" t="s">
        <v>26</v>
      </c>
      <c r="AN2142" t="s">
        <v>26</v>
      </c>
      <c r="AO2142" s="25" t="s">
        <v>68</v>
      </c>
      <c r="AP2142" s="23" t="s">
        <v>69</v>
      </c>
      <c r="AQ2142" s="23" t="s">
        <v>30</v>
      </c>
      <c r="AR2142" s="23" t="s">
        <v>5638</v>
      </c>
      <c r="AS2142" s="25">
        <v>2045120</v>
      </c>
      <c r="AT2142" t="s">
        <v>26</v>
      </c>
      <c r="AU2142" t="s">
        <v>25038</v>
      </c>
    </row>
    <row r="2143" spans="1:47" ht="13.15" x14ac:dyDescent="0.4">
      <c r="A2143" s="23" t="s">
        <v>5639</v>
      </c>
      <c r="B2143" t="s">
        <v>26</v>
      </c>
      <c r="C2143" s="23" t="s">
        <v>5640</v>
      </c>
      <c r="D2143" s="23" t="s">
        <v>22179</v>
      </c>
      <c r="E2143" s="23" t="s">
        <v>42</v>
      </c>
      <c r="F2143" t="s">
        <v>26</v>
      </c>
      <c r="G2143" t="s">
        <v>26</v>
      </c>
      <c r="H2143" t="s">
        <v>26</v>
      </c>
      <c r="I2143" t="s">
        <v>26</v>
      </c>
      <c r="J2143" t="s">
        <v>26</v>
      </c>
      <c r="K2143" t="s">
        <v>26</v>
      </c>
      <c r="L2143" s="25" t="s">
        <v>28</v>
      </c>
      <c r="M2143" t="s">
        <v>26</v>
      </c>
      <c r="N2143" t="s">
        <v>26</v>
      </c>
      <c r="O2143" t="s">
        <v>26</v>
      </c>
      <c r="P2143" t="s">
        <v>26</v>
      </c>
      <c r="Q2143" t="s">
        <v>26</v>
      </c>
      <c r="R2143" t="s">
        <v>26</v>
      </c>
      <c r="S2143" t="s">
        <v>26</v>
      </c>
      <c r="T2143" t="s">
        <v>26</v>
      </c>
      <c r="U2143" t="s">
        <v>26</v>
      </c>
      <c r="V2143" t="s">
        <v>26</v>
      </c>
      <c r="W2143" s="24">
        <v>20090</v>
      </c>
      <c r="X2143" s="24">
        <v>20090</v>
      </c>
      <c r="Y2143" t="s">
        <v>26</v>
      </c>
      <c r="Z2143" s="24">
        <v>20090</v>
      </c>
      <c r="AA2143" s="24">
        <v>20090</v>
      </c>
      <c r="AB2143" t="s">
        <v>26</v>
      </c>
      <c r="AC2143" t="s">
        <v>26</v>
      </c>
      <c r="AD2143" t="s">
        <v>26</v>
      </c>
      <c r="AE2143" t="s">
        <v>26</v>
      </c>
      <c r="AF2143" t="s">
        <v>26</v>
      </c>
      <c r="AG2143" t="s">
        <v>26</v>
      </c>
      <c r="AH2143" t="s">
        <v>26</v>
      </c>
      <c r="AI2143" t="s">
        <v>26</v>
      </c>
      <c r="AJ2143" t="s">
        <v>26</v>
      </c>
      <c r="AK2143" t="s">
        <v>26</v>
      </c>
      <c r="AL2143" t="s">
        <v>26</v>
      </c>
      <c r="AM2143" t="s">
        <v>26</v>
      </c>
      <c r="AN2143" t="s">
        <v>26</v>
      </c>
      <c r="AO2143" s="25" t="s">
        <v>28</v>
      </c>
      <c r="AP2143" s="23" t="s">
        <v>29</v>
      </c>
      <c r="AQ2143" s="23" t="s">
        <v>30</v>
      </c>
      <c r="AR2143" s="23" t="s">
        <v>44</v>
      </c>
      <c r="AS2143" s="25">
        <v>5485074</v>
      </c>
      <c r="AT2143" s="23" t="s">
        <v>22181</v>
      </c>
      <c r="AU2143" t="s">
        <v>25039</v>
      </c>
    </row>
    <row r="2144" spans="1:47" ht="26.25" x14ac:dyDescent="0.4">
      <c r="A2144" s="23" t="s">
        <v>5641</v>
      </c>
      <c r="B2144" t="s">
        <v>26</v>
      </c>
      <c r="C2144" s="23" t="s">
        <v>22238</v>
      </c>
      <c r="D2144" s="23" t="s">
        <v>22307</v>
      </c>
      <c r="E2144" s="23" t="s">
        <v>42</v>
      </c>
      <c r="F2144" t="s">
        <v>26</v>
      </c>
      <c r="G2144" t="s">
        <v>26</v>
      </c>
      <c r="H2144" t="s">
        <v>26</v>
      </c>
      <c r="I2144" s="24">
        <v>43101</v>
      </c>
      <c r="J2144" s="24">
        <v>43101</v>
      </c>
      <c r="K2144" t="s">
        <v>26</v>
      </c>
      <c r="L2144" s="25" t="s">
        <v>28</v>
      </c>
      <c r="M2144" s="24">
        <v>43101</v>
      </c>
      <c r="N2144" s="24">
        <v>43101</v>
      </c>
      <c r="O2144" t="s">
        <v>26</v>
      </c>
      <c r="P2144" t="s">
        <v>26</v>
      </c>
      <c r="Q2144" t="s">
        <v>26</v>
      </c>
      <c r="R2144" t="s">
        <v>26</v>
      </c>
      <c r="S2144" s="24">
        <v>43101</v>
      </c>
      <c r="T2144" s="24">
        <v>43101</v>
      </c>
      <c r="U2144" t="s">
        <v>26</v>
      </c>
      <c r="V2144" t="s">
        <v>26</v>
      </c>
      <c r="W2144" s="24">
        <v>43101</v>
      </c>
      <c r="X2144" s="24">
        <v>43101</v>
      </c>
      <c r="Y2144" t="s">
        <v>26</v>
      </c>
      <c r="Z2144" s="24">
        <v>43101</v>
      </c>
      <c r="AA2144" s="24">
        <v>43101</v>
      </c>
      <c r="AB2144" t="s">
        <v>26</v>
      </c>
      <c r="AC2144" s="24">
        <v>43101</v>
      </c>
      <c r="AD2144" s="24">
        <v>43101</v>
      </c>
      <c r="AE2144" t="s">
        <v>26</v>
      </c>
      <c r="AF2144" s="24">
        <v>43101</v>
      </c>
      <c r="AG2144" s="24">
        <v>43101</v>
      </c>
      <c r="AH2144" t="s">
        <v>26</v>
      </c>
      <c r="AI2144" s="24">
        <v>43101</v>
      </c>
      <c r="AJ2144" s="24">
        <v>43101</v>
      </c>
      <c r="AK2144" t="s">
        <v>26</v>
      </c>
      <c r="AL2144" t="s">
        <v>26</v>
      </c>
      <c r="AM2144" t="s">
        <v>26</v>
      </c>
      <c r="AN2144" t="s">
        <v>26</v>
      </c>
      <c r="AO2144" s="25" t="s">
        <v>28</v>
      </c>
      <c r="AP2144" s="23" t="s">
        <v>43</v>
      </c>
      <c r="AQ2144" s="23" t="s">
        <v>30</v>
      </c>
      <c r="AR2144" s="23" t="s">
        <v>46</v>
      </c>
      <c r="AS2144" s="25">
        <v>6447803</v>
      </c>
      <c r="AT2144" t="s">
        <v>26</v>
      </c>
      <c r="AU2144" t="s">
        <v>25040</v>
      </c>
    </row>
    <row r="2145" spans="1:47" ht="26.25" x14ac:dyDescent="0.4">
      <c r="A2145" s="23" t="s">
        <v>5642</v>
      </c>
      <c r="B2145" t="s">
        <v>26</v>
      </c>
      <c r="C2145" s="23" t="s">
        <v>5643</v>
      </c>
      <c r="D2145" s="23" t="s">
        <v>25041</v>
      </c>
      <c r="E2145" s="23" t="s">
        <v>60</v>
      </c>
      <c r="F2145" s="25" t="s">
        <v>5644</v>
      </c>
      <c r="G2145" s="25" t="s">
        <v>5645</v>
      </c>
      <c r="H2145" t="s">
        <v>26</v>
      </c>
      <c r="I2145" s="24">
        <v>40179</v>
      </c>
      <c r="J2145" s="24">
        <v>44197</v>
      </c>
      <c r="K2145" t="s">
        <v>26</v>
      </c>
      <c r="L2145" s="25" t="s">
        <v>68</v>
      </c>
      <c r="M2145" s="24">
        <v>40179</v>
      </c>
      <c r="N2145" s="24">
        <v>44197</v>
      </c>
      <c r="O2145" t="s">
        <v>26</v>
      </c>
      <c r="P2145" s="24">
        <v>40179</v>
      </c>
      <c r="Q2145" s="24">
        <v>44197</v>
      </c>
      <c r="R2145" t="s">
        <v>26</v>
      </c>
      <c r="S2145" t="s">
        <v>26</v>
      </c>
      <c r="T2145" t="s">
        <v>26</v>
      </c>
      <c r="U2145" t="s">
        <v>26</v>
      </c>
      <c r="V2145" t="s">
        <v>26</v>
      </c>
      <c r="W2145" s="24">
        <v>40179</v>
      </c>
      <c r="X2145" s="25" t="s">
        <v>77</v>
      </c>
      <c r="Y2145" t="s">
        <v>26</v>
      </c>
      <c r="Z2145" s="24">
        <v>40179</v>
      </c>
      <c r="AA2145" s="25" t="s">
        <v>77</v>
      </c>
      <c r="AB2145" t="s">
        <v>26</v>
      </c>
      <c r="AC2145" s="24">
        <v>40179</v>
      </c>
      <c r="AD2145" s="25" t="s">
        <v>77</v>
      </c>
      <c r="AE2145" t="s">
        <v>26</v>
      </c>
      <c r="AF2145" t="s">
        <v>26</v>
      </c>
      <c r="AG2145" t="s">
        <v>26</v>
      </c>
      <c r="AH2145" t="s">
        <v>26</v>
      </c>
      <c r="AI2145" t="s">
        <v>26</v>
      </c>
      <c r="AJ2145" t="s">
        <v>26</v>
      </c>
      <c r="AK2145" t="s">
        <v>26</v>
      </c>
      <c r="AL2145" t="s">
        <v>26</v>
      </c>
      <c r="AM2145" t="s">
        <v>26</v>
      </c>
      <c r="AN2145" t="s">
        <v>26</v>
      </c>
      <c r="AO2145" s="25" t="s">
        <v>28</v>
      </c>
      <c r="AP2145" s="23" t="s">
        <v>69</v>
      </c>
      <c r="AQ2145" s="23" t="s">
        <v>30</v>
      </c>
      <c r="AR2145" s="23" t="s">
        <v>257</v>
      </c>
      <c r="AS2145" s="25">
        <v>316204</v>
      </c>
      <c r="AT2145" t="s">
        <v>26</v>
      </c>
      <c r="AU2145" t="s">
        <v>25042</v>
      </c>
    </row>
    <row r="2146" spans="1:47" ht="26.25" x14ac:dyDescent="0.4">
      <c r="A2146" s="23" t="s">
        <v>5646</v>
      </c>
      <c r="B2146" t="s">
        <v>26</v>
      </c>
      <c r="C2146" s="23" t="s">
        <v>73</v>
      </c>
      <c r="D2146" s="23" t="s">
        <v>22215</v>
      </c>
      <c r="E2146" s="23" t="s">
        <v>74</v>
      </c>
      <c r="F2146" s="25" t="s">
        <v>5647</v>
      </c>
      <c r="G2146" s="25" t="s">
        <v>5648</v>
      </c>
      <c r="H2146" t="s">
        <v>26</v>
      </c>
      <c r="I2146" t="s">
        <v>26</v>
      </c>
      <c r="J2146" t="s">
        <v>26</v>
      </c>
      <c r="K2146" t="s">
        <v>26</v>
      </c>
      <c r="L2146" s="25" t="s">
        <v>68</v>
      </c>
      <c r="M2146" t="s">
        <v>26</v>
      </c>
      <c r="N2146" t="s">
        <v>26</v>
      </c>
      <c r="O2146" t="s">
        <v>26</v>
      </c>
      <c r="P2146" t="s">
        <v>26</v>
      </c>
      <c r="Q2146" t="s">
        <v>26</v>
      </c>
      <c r="R2146" t="s">
        <v>26</v>
      </c>
      <c r="S2146" t="s">
        <v>26</v>
      </c>
      <c r="T2146" t="s">
        <v>26</v>
      </c>
      <c r="U2146" t="s">
        <v>26</v>
      </c>
      <c r="V2146" t="s">
        <v>26</v>
      </c>
      <c r="W2146" s="24">
        <v>42370</v>
      </c>
      <c r="X2146" s="25" t="s">
        <v>77</v>
      </c>
      <c r="Y2146" t="s">
        <v>26</v>
      </c>
      <c r="Z2146" s="24">
        <v>42370</v>
      </c>
      <c r="AA2146" s="25" t="s">
        <v>77</v>
      </c>
      <c r="AB2146" t="s">
        <v>26</v>
      </c>
      <c r="AC2146" s="24">
        <v>42370</v>
      </c>
      <c r="AD2146" s="25" t="s">
        <v>77</v>
      </c>
      <c r="AE2146" t="s">
        <v>26</v>
      </c>
      <c r="AF2146" t="s">
        <v>26</v>
      </c>
      <c r="AG2146" t="s">
        <v>26</v>
      </c>
      <c r="AH2146" t="s">
        <v>26</v>
      </c>
      <c r="AI2146" t="s">
        <v>26</v>
      </c>
      <c r="AJ2146" t="s">
        <v>26</v>
      </c>
      <c r="AK2146" t="s">
        <v>26</v>
      </c>
      <c r="AL2146" t="s">
        <v>26</v>
      </c>
      <c r="AM2146" t="s">
        <v>26</v>
      </c>
      <c r="AN2146" t="s">
        <v>26</v>
      </c>
      <c r="AO2146" s="25" t="s">
        <v>28</v>
      </c>
      <c r="AP2146" s="23" t="s">
        <v>69</v>
      </c>
      <c r="AQ2146" s="23" t="s">
        <v>2583</v>
      </c>
      <c r="AR2146" s="23" t="s">
        <v>2282</v>
      </c>
      <c r="AS2146" s="25">
        <v>2044363</v>
      </c>
      <c r="AT2146" t="s">
        <v>26</v>
      </c>
      <c r="AU2146" t="s">
        <v>25043</v>
      </c>
    </row>
    <row r="2147" spans="1:47" ht="26.25" x14ac:dyDescent="0.4">
      <c r="A2147" s="23" t="s">
        <v>5649</v>
      </c>
      <c r="B2147" t="s">
        <v>26</v>
      </c>
      <c r="C2147" s="23" t="s">
        <v>5650</v>
      </c>
      <c r="D2147" s="23" t="s">
        <v>25044</v>
      </c>
      <c r="E2147" s="23" t="s">
        <v>42</v>
      </c>
      <c r="F2147" s="25" t="s">
        <v>5651</v>
      </c>
      <c r="G2147" t="s">
        <v>26</v>
      </c>
      <c r="H2147" t="s">
        <v>26</v>
      </c>
      <c r="I2147" s="24">
        <v>35886</v>
      </c>
      <c r="J2147" s="25" t="s">
        <v>77</v>
      </c>
      <c r="K2147" t="s">
        <v>26</v>
      </c>
      <c r="L2147" s="25" t="s">
        <v>68</v>
      </c>
      <c r="M2147" s="24">
        <v>35886</v>
      </c>
      <c r="N2147" s="25" t="s">
        <v>77</v>
      </c>
      <c r="O2147" t="s">
        <v>26</v>
      </c>
      <c r="P2147" s="24">
        <v>35886</v>
      </c>
      <c r="Q2147" s="25" t="s">
        <v>77</v>
      </c>
      <c r="R2147" t="s">
        <v>26</v>
      </c>
      <c r="S2147" t="s">
        <v>26</v>
      </c>
      <c r="T2147" t="s">
        <v>26</v>
      </c>
      <c r="U2147" t="s">
        <v>26</v>
      </c>
      <c r="V2147" t="s">
        <v>26</v>
      </c>
      <c r="W2147" s="24">
        <v>35886</v>
      </c>
      <c r="X2147" s="25" t="s">
        <v>77</v>
      </c>
      <c r="Y2147" t="s">
        <v>26</v>
      </c>
      <c r="Z2147" s="24">
        <v>35886</v>
      </c>
      <c r="AA2147" s="25" t="s">
        <v>77</v>
      </c>
      <c r="AB2147" t="s">
        <v>26</v>
      </c>
      <c r="AC2147" s="24">
        <v>36617</v>
      </c>
      <c r="AD2147" s="25" t="s">
        <v>77</v>
      </c>
      <c r="AE2147" t="s">
        <v>26</v>
      </c>
      <c r="AF2147" t="s">
        <v>26</v>
      </c>
      <c r="AG2147" t="s">
        <v>26</v>
      </c>
      <c r="AH2147" t="s">
        <v>26</v>
      </c>
      <c r="AI2147" t="s">
        <v>26</v>
      </c>
      <c r="AJ2147" t="s">
        <v>26</v>
      </c>
      <c r="AK2147" t="s">
        <v>26</v>
      </c>
      <c r="AL2147" t="s">
        <v>26</v>
      </c>
      <c r="AM2147" t="s">
        <v>26</v>
      </c>
      <c r="AN2147" t="s">
        <v>26</v>
      </c>
      <c r="AO2147" s="25" t="s">
        <v>68</v>
      </c>
      <c r="AP2147" s="23" t="s">
        <v>69</v>
      </c>
      <c r="AQ2147" s="23" t="s">
        <v>30</v>
      </c>
      <c r="AR2147" s="23" t="s">
        <v>2966</v>
      </c>
      <c r="AS2147" s="25">
        <v>36482</v>
      </c>
      <c r="AT2147" t="s">
        <v>26</v>
      </c>
      <c r="AU2147" t="s">
        <v>25045</v>
      </c>
    </row>
    <row r="2148" spans="1:47" ht="26.25" x14ac:dyDescent="0.4">
      <c r="A2148" s="23" t="s">
        <v>5652</v>
      </c>
      <c r="B2148" t="s">
        <v>26</v>
      </c>
      <c r="C2148" s="23" t="s">
        <v>264</v>
      </c>
      <c r="D2148" s="23" t="s">
        <v>22242</v>
      </c>
      <c r="E2148" s="23" t="s">
        <v>60</v>
      </c>
      <c r="F2148" s="25" t="s">
        <v>5653</v>
      </c>
      <c r="G2148" t="s">
        <v>26</v>
      </c>
      <c r="H2148" t="s">
        <v>26</v>
      </c>
      <c r="I2148" s="24">
        <v>39173</v>
      </c>
      <c r="J2148" s="25" t="s">
        <v>77</v>
      </c>
      <c r="K2148" s="25" t="s">
        <v>5654</v>
      </c>
      <c r="L2148" s="25" t="s">
        <v>68</v>
      </c>
      <c r="M2148" s="24">
        <v>39173</v>
      </c>
      <c r="N2148" s="25" t="s">
        <v>77</v>
      </c>
      <c r="O2148" s="25" t="s">
        <v>5654</v>
      </c>
      <c r="P2148" s="24">
        <v>39173</v>
      </c>
      <c r="Q2148" s="25" t="s">
        <v>77</v>
      </c>
      <c r="R2148" s="25" t="s">
        <v>5654</v>
      </c>
      <c r="S2148" t="s">
        <v>26</v>
      </c>
      <c r="T2148" t="s">
        <v>26</v>
      </c>
      <c r="U2148" t="s">
        <v>26</v>
      </c>
      <c r="V2148" t="s">
        <v>26</v>
      </c>
      <c r="W2148" s="24">
        <v>39173</v>
      </c>
      <c r="X2148" s="25" t="s">
        <v>77</v>
      </c>
      <c r="Y2148" s="25" t="s">
        <v>1264</v>
      </c>
      <c r="Z2148" s="24">
        <v>39173</v>
      </c>
      <c r="AA2148" s="25" t="s">
        <v>77</v>
      </c>
      <c r="AB2148" s="25" t="s">
        <v>1264</v>
      </c>
      <c r="AC2148" s="24">
        <v>39173</v>
      </c>
      <c r="AD2148" s="25" t="s">
        <v>77</v>
      </c>
      <c r="AE2148" s="25" t="s">
        <v>1264</v>
      </c>
      <c r="AF2148" t="s">
        <v>26</v>
      </c>
      <c r="AG2148" t="s">
        <v>26</v>
      </c>
      <c r="AH2148" t="s">
        <v>26</v>
      </c>
      <c r="AI2148" t="s">
        <v>26</v>
      </c>
      <c r="AJ2148" t="s">
        <v>26</v>
      </c>
      <c r="AK2148" t="s">
        <v>26</v>
      </c>
      <c r="AL2148" t="s">
        <v>26</v>
      </c>
      <c r="AM2148" t="s">
        <v>26</v>
      </c>
      <c r="AN2148" t="s">
        <v>26</v>
      </c>
      <c r="AO2148" s="25" t="s">
        <v>68</v>
      </c>
      <c r="AP2148" s="23" t="s">
        <v>69</v>
      </c>
      <c r="AQ2148" s="23" t="s">
        <v>30</v>
      </c>
      <c r="AR2148" s="23" t="s">
        <v>128</v>
      </c>
      <c r="AS2148" s="25">
        <v>39096</v>
      </c>
      <c r="AT2148" t="s">
        <v>26</v>
      </c>
      <c r="AU2148" t="s">
        <v>25046</v>
      </c>
    </row>
    <row r="2149" spans="1:47" ht="26.25" x14ac:dyDescent="0.4">
      <c r="A2149" s="23" t="s">
        <v>5655</v>
      </c>
      <c r="B2149" t="s">
        <v>26</v>
      </c>
      <c r="C2149" s="23" t="s">
        <v>1968</v>
      </c>
      <c r="D2149" s="23" t="s">
        <v>23263</v>
      </c>
      <c r="E2149" s="23" t="s">
        <v>42</v>
      </c>
      <c r="F2149" s="25" t="s">
        <v>5656</v>
      </c>
      <c r="G2149" s="25" t="s">
        <v>5657</v>
      </c>
      <c r="H2149" t="s">
        <v>26</v>
      </c>
      <c r="I2149" s="24">
        <v>36161</v>
      </c>
      <c r="J2149" s="24">
        <v>40118</v>
      </c>
      <c r="K2149" t="s">
        <v>26</v>
      </c>
      <c r="L2149" s="25" t="s">
        <v>68</v>
      </c>
      <c r="M2149" s="24">
        <v>36161</v>
      </c>
      <c r="N2149" s="24">
        <v>40118</v>
      </c>
      <c r="O2149" s="25" t="s">
        <v>23860</v>
      </c>
      <c r="P2149" s="24">
        <v>36161</v>
      </c>
      <c r="Q2149" s="24">
        <v>40118</v>
      </c>
      <c r="R2149" t="s">
        <v>26</v>
      </c>
      <c r="S2149" t="s">
        <v>26</v>
      </c>
      <c r="T2149" t="s">
        <v>26</v>
      </c>
      <c r="U2149" t="s">
        <v>26</v>
      </c>
      <c r="V2149" t="s">
        <v>26</v>
      </c>
      <c r="W2149" s="24">
        <v>34001</v>
      </c>
      <c r="X2149" s="25" t="s">
        <v>77</v>
      </c>
      <c r="Y2149" t="s">
        <v>26</v>
      </c>
      <c r="Z2149" s="24">
        <v>34001</v>
      </c>
      <c r="AA2149" s="25" t="s">
        <v>77</v>
      </c>
      <c r="AB2149" t="s">
        <v>26</v>
      </c>
      <c r="AC2149" s="24">
        <v>34001</v>
      </c>
      <c r="AD2149" s="25" t="s">
        <v>77</v>
      </c>
      <c r="AE2149" t="s">
        <v>26</v>
      </c>
      <c r="AF2149" t="s">
        <v>26</v>
      </c>
      <c r="AG2149" t="s">
        <v>26</v>
      </c>
      <c r="AH2149" t="s">
        <v>26</v>
      </c>
      <c r="AI2149" t="s">
        <v>26</v>
      </c>
      <c r="AJ2149" t="s">
        <v>26</v>
      </c>
      <c r="AK2149" t="s">
        <v>26</v>
      </c>
      <c r="AL2149" t="s">
        <v>26</v>
      </c>
      <c r="AM2149" t="s">
        <v>26</v>
      </c>
      <c r="AN2149" t="s">
        <v>26</v>
      </c>
      <c r="AO2149" s="25" t="s">
        <v>68</v>
      </c>
      <c r="AP2149" s="23" t="s">
        <v>69</v>
      </c>
      <c r="AQ2149" s="23" t="s">
        <v>30</v>
      </c>
      <c r="AR2149" s="23" t="s">
        <v>128</v>
      </c>
      <c r="AS2149" s="25">
        <v>11921</v>
      </c>
      <c r="AT2149" t="s">
        <v>26</v>
      </c>
      <c r="AU2149" t="s">
        <v>25047</v>
      </c>
    </row>
    <row r="2150" spans="1:47" ht="26.25" x14ac:dyDescent="0.4">
      <c r="A2150" s="23" t="s">
        <v>5658</v>
      </c>
      <c r="B2150" t="s">
        <v>26</v>
      </c>
      <c r="C2150" s="23" t="s">
        <v>181</v>
      </c>
      <c r="D2150" s="23" t="s">
        <v>23898</v>
      </c>
      <c r="E2150" s="23" t="s">
        <v>60</v>
      </c>
      <c r="F2150" s="25" t="s">
        <v>5659</v>
      </c>
      <c r="G2150" s="25" t="s">
        <v>5660</v>
      </c>
      <c r="H2150" t="s">
        <v>26</v>
      </c>
      <c r="I2150" t="s">
        <v>26</v>
      </c>
      <c r="J2150" t="s">
        <v>26</v>
      </c>
      <c r="K2150" t="s">
        <v>26</v>
      </c>
      <c r="L2150" s="25" t="s">
        <v>68</v>
      </c>
      <c r="M2150" t="s">
        <v>26</v>
      </c>
      <c r="N2150" t="s">
        <v>26</v>
      </c>
      <c r="O2150" t="s">
        <v>26</v>
      </c>
      <c r="P2150" t="s">
        <v>26</v>
      </c>
      <c r="Q2150" t="s">
        <v>26</v>
      </c>
      <c r="R2150" t="s">
        <v>26</v>
      </c>
      <c r="S2150" t="s">
        <v>26</v>
      </c>
      <c r="T2150" t="s">
        <v>26</v>
      </c>
      <c r="U2150" t="s">
        <v>26</v>
      </c>
      <c r="V2150" t="s">
        <v>26</v>
      </c>
      <c r="W2150" s="24">
        <v>29587</v>
      </c>
      <c r="X2150" s="25" t="s">
        <v>77</v>
      </c>
      <c r="Y2150" t="s">
        <v>26</v>
      </c>
      <c r="Z2150" s="24">
        <v>29587</v>
      </c>
      <c r="AA2150" s="25" t="s">
        <v>77</v>
      </c>
      <c r="AB2150" t="s">
        <v>26</v>
      </c>
      <c r="AC2150" s="24">
        <v>29587</v>
      </c>
      <c r="AD2150" s="25" t="s">
        <v>77</v>
      </c>
      <c r="AE2150" t="s">
        <v>26</v>
      </c>
      <c r="AF2150" t="s">
        <v>26</v>
      </c>
      <c r="AG2150" t="s">
        <v>26</v>
      </c>
      <c r="AH2150" t="s">
        <v>26</v>
      </c>
      <c r="AI2150" t="s">
        <v>26</v>
      </c>
      <c r="AJ2150" t="s">
        <v>26</v>
      </c>
      <c r="AK2150" t="s">
        <v>26</v>
      </c>
      <c r="AL2150" t="s">
        <v>26</v>
      </c>
      <c r="AM2150" t="s">
        <v>26</v>
      </c>
      <c r="AN2150" t="s">
        <v>26</v>
      </c>
      <c r="AO2150" s="25" t="s">
        <v>68</v>
      </c>
      <c r="AP2150" s="23" t="s">
        <v>69</v>
      </c>
      <c r="AQ2150" s="23" t="s">
        <v>30</v>
      </c>
      <c r="AR2150" s="23" t="s">
        <v>996</v>
      </c>
      <c r="AS2150" s="25">
        <v>36932</v>
      </c>
      <c r="AT2150" t="s">
        <v>26</v>
      </c>
      <c r="AU2150" t="s">
        <v>25048</v>
      </c>
    </row>
    <row r="2151" spans="1:47" ht="26.25" x14ac:dyDescent="0.4">
      <c r="A2151" s="23" t="s">
        <v>5661</v>
      </c>
      <c r="B2151" t="s">
        <v>26</v>
      </c>
      <c r="C2151" s="23" t="s">
        <v>5662</v>
      </c>
      <c r="D2151" s="23" t="s">
        <v>22179</v>
      </c>
      <c r="E2151" s="23" t="s">
        <v>42</v>
      </c>
      <c r="F2151" s="25" t="s">
        <v>5663</v>
      </c>
      <c r="G2151" s="25" t="s">
        <v>5664</v>
      </c>
      <c r="H2151" t="s">
        <v>26</v>
      </c>
      <c r="I2151" t="s">
        <v>26</v>
      </c>
      <c r="J2151" t="s">
        <v>26</v>
      </c>
      <c r="K2151" t="s">
        <v>26</v>
      </c>
      <c r="L2151" s="25" t="s">
        <v>68</v>
      </c>
      <c r="M2151" t="s">
        <v>26</v>
      </c>
      <c r="N2151" t="s">
        <v>26</v>
      </c>
      <c r="O2151" t="s">
        <v>26</v>
      </c>
      <c r="P2151" t="s">
        <v>26</v>
      </c>
      <c r="Q2151" t="s">
        <v>26</v>
      </c>
      <c r="R2151" t="s">
        <v>26</v>
      </c>
      <c r="S2151" t="s">
        <v>26</v>
      </c>
      <c r="T2151" t="s">
        <v>26</v>
      </c>
      <c r="U2151" t="s">
        <v>26</v>
      </c>
      <c r="V2151" t="s">
        <v>26</v>
      </c>
      <c r="W2151" s="24">
        <v>26177</v>
      </c>
      <c r="X2151" s="24">
        <v>42614</v>
      </c>
      <c r="Y2151" t="s">
        <v>26</v>
      </c>
      <c r="Z2151" s="24">
        <v>26177</v>
      </c>
      <c r="AA2151" s="24">
        <v>42614</v>
      </c>
      <c r="AB2151" t="s">
        <v>26</v>
      </c>
      <c r="AC2151" s="24">
        <v>26177</v>
      </c>
      <c r="AD2151" s="24">
        <v>42614</v>
      </c>
      <c r="AE2151" t="s">
        <v>26</v>
      </c>
      <c r="AF2151" t="s">
        <v>26</v>
      </c>
      <c r="AG2151" t="s">
        <v>26</v>
      </c>
      <c r="AH2151" t="s">
        <v>26</v>
      </c>
      <c r="AI2151" t="s">
        <v>26</v>
      </c>
      <c r="AJ2151" t="s">
        <v>26</v>
      </c>
      <c r="AK2151" t="s">
        <v>26</v>
      </c>
      <c r="AL2151" t="s">
        <v>26</v>
      </c>
      <c r="AM2151" t="s">
        <v>26</v>
      </c>
      <c r="AN2151" t="s">
        <v>26</v>
      </c>
      <c r="AO2151" s="25" t="s">
        <v>68</v>
      </c>
      <c r="AP2151" s="23" t="s">
        <v>69</v>
      </c>
      <c r="AQ2151" s="23" t="s">
        <v>30</v>
      </c>
      <c r="AR2151" s="23" t="s">
        <v>666</v>
      </c>
      <c r="AS2151" s="25">
        <v>36949</v>
      </c>
      <c r="AT2151" t="s">
        <v>26</v>
      </c>
      <c r="AU2151" t="s">
        <v>25049</v>
      </c>
    </row>
    <row r="2152" spans="1:47" ht="26.25" x14ac:dyDescent="0.4">
      <c r="A2152" s="23" t="s">
        <v>5665</v>
      </c>
      <c r="B2152" t="s">
        <v>26</v>
      </c>
      <c r="C2152" s="23" t="s">
        <v>59</v>
      </c>
      <c r="D2152" s="23" t="s">
        <v>22174</v>
      </c>
      <c r="E2152" s="23" t="s">
        <v>60</v>
      </c>
      <c r="F2152" t="s">
        <v>26</v>
      </c>
      <c r="G2152" t="s">
        <v>26</v>
      </c>
      <c r="H2152" s="25" t="s">
        <v>5666</v>
      </c>
      <c r="I2152" s="24">
        <v>41275</v>
      </c>
      <c r="J2152" s="24">
        <v>41275</v>
      </c>
      <c r="K2152" t="s">
        <v>26</v>
      </c>
      <c r="L2152" s="25" t="s">
        <v>28</v>
      </c>
      <c r="M2152" s="24">
        <v>41275</v>
      </c>
      <c r="N2152" s="24">
        <v>41275</v>
      </c>
      <c r="O2152" t="s">
        <v>26</v>
      </c>
      <c r="P2152" s="24">
        <v>41275</v>
      </c>
      <c r="Q2152" s="24">
        <v>41275</v>
      </c>
      <c r="R2152" t="s">
        <v>26</v>
      </c>
      <c r="S2152" t="s">
        <v>26</v>
      </c>
      <c r="T2152" t="s">
        <v>26</v>
      </c>
      <c r="U2152" t="s">
        <v>26</v>
      </c>
      <c r="V2152" t="s">
        <v>26</v>
      </c>
      <c r="W2152" s="24">
        <v>41275</v>
      </c>
      <c r="X2152" s="24">
        <v>41275</v>
      </c>
      <c r="Y2152" t="s">
        <v>26</v>
      </c>
      <c r="Z2152" s="24">
        <v>41275</v>
      </c>
      <c r="AA2152" s="24">
        <v>41275</v>
      </c>
      <c r="AB2152" t="s">
        <v>26</v>
      </c>
      <c r="AC2152" s="24">
        <v>41275</v>
      </c>
      <c r="AD2152" s="24">
        <v>41275</v>
      </c>
      <c r="AE2152" t="s">
        <v>26</v>
      </c>
      <c r="AF2152" t="s">
        <v>26</v>
      </c>
      <c r="AG2152" t="s">
        <v>26</v>
      </c>
      <c r="AH2152" t="s">
        <v>26</v>
      </c>
      <c r="AI2152" t="s">
        <v>26</v>
      </c>
      <c r="AJ2152" t="s">
        <v>26</v>
      </c>
      <c r="AK2152" t="s">
        <v>26</v>
      </c>
      <c r="AL2152" t="s">
        <v>26</v>
      </c>
      <c r="AM2152" t="s">
        <v>26</v>
      </c>
      <c r="AN2152" t="s">
        <v>26</v>
      </c>
      <c r="AO2152" s="25" t="s">
        <v>28</v>
      </c>
      <c r="AP2152" s="23" t="s">
        <v>29</v>
      </c>
      <c r="AQ2152" s="23" t="s">
        <v>30</v>
      </c>
      <c r="AR2152" s="23" t="s">
        <v>257</v>
      </c>
      <c r="AS2152" s="25">
        <v>2043200</v>
      </c>
      <c r="AT2152" t="s">
        <v>26</v>
      </c>
      <c r="AU2152" t="s">
        <v>25050</v>
      </c>
    </row>
    <row r="2153" spans="1:47" ht="26.25" x14ac:dyDescent="0.4">
      <c r="A2153" s="23" t="s">
        <v>5667</v>
      </c>
      <c r="B2153" t="s">
        <v>26</v>
      </c>
      <c r="C2153" s="23" t="s">
        <v>176</v>
      </c>
      <c r="D2153" s="23" t="s">
        <v>22179</v>
      </c>
      <c r="E2153" s="23" t="s">
        <v>60</v>
      </c>
      <c r="F2153" s="25" t="s">
        <v>5668</v>
      </c>
      <c r="G2153" s="25" t="s">
        <v>5669</v>
      </c>
      <c r="H2153" t="s">
        <v>26</v>
      </c>
      <c r="I2153" t="s">
        <v>26</v>
      </c>
      <c r="J2153" t="s">
        <v>26</v>
      </c>
      <c r="K2153" t="s">
        <v>26</v>
      </c>
      <c r="L2153" s="25" t="s">
        <v>68</v>
      </c>
      <c r="M2153" t="s">
        <v>26</v>
      </c>
      <c r="N2153" t="s">
        <v>26</v>
      </c>
      <c r="O2153" t="s">
        <v>26</v>
      </c>
      <c r="P2153" t="s">
        <v>26</v>
      </c>
      <c r="Q2153" t="s">
        <v>26</v>
      </c>
      <c r="R2153" t="s">
        <v>26</v>
      </c>
      <c r="S2153" t="s">
        <v>26</v>
      </c>
      <c r="T2153" t="s">
        <v>26</v>
      </c>
      <c r="U2153" t="s">
        <v>26</v>
      </c>
      <c r="V2153" t="s">
        <v>26</v>
      </c>
      <c r="W2153" s="24">
        <v>26938</v>
      </c>
      <c r="X2153" s="24">
        <v>43191</v>
      </c>
      <c r="Y2153" s="25" t="s">
        <v>4562</v>
      </c>
      <c r="Z2153" s="24">
        <v>26938</v>
      </c>
      <c r="AA2153" s="24">
        <v>43191</v>
      </c>
      <c r="AB2153" s="25" t="s">
        <v>4562</v>
      </c>
      <c r="AC2153" s="24">
        <v>27576</v>
      </c>
      <c r="AD2153" s="24">
        <v>43191</v>
      </c>
      <c r="AE2153" s="25" t="s">
        <v>4562</v>
      </c>
      <c r="AF2153" t="s">
        <v>26</v>
      </c>
      <c r="AG2153" t="s">
        <v>26</v>
      </c>
      <c r="AH2153" t="s">
        <v>26</v>
      </c>
      <c r="AI2153" t="s">
        <v>26</v>
      </c>
      <c r="AJ2153" t="s">
        <v>26</v>
      </c>
      <c r="AK2153" t="s">
        <v>26</v>
      </c>
      <c r="AL2153" t="s">
        <v>26</v>
      </c>
      <c r="AM2153" t="s">
        <v>26</v>
      </c>
      <c r="AN2153" t="s">
        <v>26</v>
      </c>
      <c r="AO2153" s="25" t="s">
        <v>68</v>
      </c>
      <c r="AP2153" s="23" t="s">
        <v>69</v>
      </c>
      <c r="AQ2153" s="23" t="s">
        <v>30</v>
      </c>
      <c r="AR2153" s="23" t="s">
        <v>128</v>
      </c>
      <c r="AS2153" s="25">
        <v>48642</v>
      </c>
      <c r="AT2153" t="s">
        <v>26</v>
      </c>
      <c r="AU2153" t="s">
        <v>25051</v>
      </c>
    </row>
    <row r="2154" spans="1:47" ht="26.25" x14ac:dyDescent="0.4">
      <c r="A2154" s="23" t="s">
        <v>5670</v>
      </c>
      <c r="B2154" t="s">
        <v>26</v>
      </c>
      <c r="C2154" s="23" t="s">
        <v>5671</v>
      </c>
      <c r="D2154" s="23" t="s">
        <v>22352</v>
      </c>
      <c r="E2154" s="23" t="s">
        <v>42</v>
      </c>
      <c r="F2154" t="s">
        <v>26</v>
      </c>
      <c r="G2154" s="25" t="s">
        <v>5672</v>
      </c>
      <c r="H2154" t="s">
        <v>26</v>
      </c>
      <c r="I2154" s="24">
        <v>35612</v>
      </c>
      <c r="J2154" s="24">
        <v>41183</v>
      </c>
      <c r="K2154" t="s">
        <v>26</v>
      </c>
      <c r="L2154" s="25" t="s">
        <v>68</v>
      </c>
      <c r="M2154" s="24">
        <v>35612</v>
      </c>
      <c r="N2154" s="24">
        <v>41183</v>
      </c>
      <c r="O2154" t="s">
        <v>26</v>
      </c>
      <c r="P2154" s="24">
        <v>35612</v>
      </c>
      <c r="Q2154" s="24">
        <v>41183</v>
      </c>
      <c r="R2154" t="s">
        <v>26</v>
      </c>
      <c r="S2154" t="s">
        <v>26</v>
      </c>
      <c r="T2154" t="s">
        <v>26</v>
      </c>
      <c r="U2154" t="s">
        <v>26</v>
      </c>
      <c r="V2154" t="s">
        <v>26</v>
      </c>
      <c r="W2154" s="24">
        <v>33604</v>
      </c>
      <c r="X2154" s="25" t="s">
        <v>77</v>
      </c>
      <c r="Y2154" t="s">
        <v>26</v>
      </c>
      <c r="Z2154" s="24">
        <v>33604</v>
      </c>
      <c r="AA2154" s="25" t="s">
        <v>77</v>
      </c>
      <c r="AB2154" t="s">
        <v>26</v>
      </c>
      <c r="AC2154" s="24">
        <v>33604</v>
      </c>
      <c r="AD2154" s="25" t="s">
        <v>77</v>
      </c>
      <c r="AE2154" t="s">
        <v>26</v>
      </c>
      <c r="AF2154" t="s">
        <v>26</v>
      </c>
      <c r="AG2154" t="s">
        <v>26</v>
      </c>
      <c r="AH2154" t="s">
        <v>26</v>
      </c>
      <c r="AI2154" t="s">
        <v>26</v>
      </c>
      <c r="AJ2154" t="s">
        <v>26</v>
      </c>
      <c r="AK2154" t="s">
        <v>26</v>
      </c>
      <c r="AL2154" t="s">
        <v>26</v>
      </c>
      <c r="AM2154" t="s">
        <v>26</v>
      </c>
      <c r="AN2154" t="s">
        <v>26</v>
      </c>
      <c r="AO2154" s="25" t="s">
        <v>68</v>
      </c>
      <c r="AP2154" s="23" t="s">
        <v>69</v>
      </c>
      <c r="AQ2154" t="s">
        <v>26</v>
      </c>
      <c r="AR2154" s="23" t="s">
        <v>5673</v>
      </c>
      <c r="AS2154" s="25">
        <v>42159</v>
      </c>
      <c r="AT2154" t="s">
        <v>26</v>
      </c>
      <c r="AU2154" t="s">
        <v>25052</v>
      </c>
    </row>
    <row r="2155" spans="1:47" ht="13.15" x14ac:dyDescent="0.4">
      <c r="A2155" s="23" t="s">
        <v>5674</v>
      </c>
      <c r="B2155" t="s">
        <v>26</v>
      </c>
      <c r="C2155" s="23" t="s">
        <v>2710</v>
      </c>
      <c r="D2155" s="23" t="s">
        <v>22179</v>
      </c>
      <c r="E2155" s="23" t="s">
        <v>42</v>
      </c>
      <c r="F2155" t="s">
        <v>26</v>
      </c>
      <c r="G2155" t="s">
        <v>26</v>
      </c>
      <c r="H2155" t="s">
        <v>26</v>
      </c>
      <c r="I2155" s="24">
        <v>39448</v>
      </c>
      <c r="J2155" s="24">
        <v>39448</v>
      </c>
      <c r="K2155" t="s">
        <v>26</v>
      </c>
      <c r="L2155" s="25" t="s">
        <v>28</v>
      </c>
      <c r="M2155" s="24">
        <v>39448</v>
      </c>
      <c r="N2155" s="24">
        <v>39448</v>
      </c>
      <c r="O2155" t="s">
        <v>26</v>
      </c>
      <c r="P2155" t="s">
        <v>26</v>
      </c>
      <c r="Q2155" t="s">
        <v>26</v>
      </c>
      <c r="R2155" t="s">
        <v>26</v>
      </c>
      <c r="S2155" t="s">
        <v>26</v>
      </c>
      <c r="T2155" t="s">
        <v>26</v>
      </c>
      <c r="U2155" t="s">
        <v>26</v>
      </c>
      <c r="V2155" t="s">
        <v>26</v>
      </c>
      <c r="W2155" s="24">
        <v>39448</v>
      </c>
      <c r="X2155" s="24">
        <v>39448</v>
      </c>
      <c r="Y2155" t="s">
        <v>26</v>
      </c>
      <c r="Z2155" s="24">
        <v>39448</v>
      </c>
      <c r="AA2155" s="24">
        <v>39448</v>
      </c>
      <c r="AB2155" t="s">
        <v>26</v>
      </c>
      <c r="AC2155" s="24">
        <v>39448</v>
      </c>
      <c r="AD2155" s="24">
        <v>39448</v>
      </c>
      <c r="AE2155" t="s">
        <v>26</v>
      </c>
      <c r="AF2155" t="s">
        <v>26</v>
      </c>
      <c r="AG2155" t="s">
        <v>26</v>
      </c>
      <c r="AH2155" t="s">
        <v>26</v>
      </c>
      <c r="AI2155" t="s">
        <v>26</v>
      </c>
      <c r="AJ2155" t="s">
        <v>26</v>
      </c>
      <c r="AK2155" t="s">
        <v>26</v>
      </c>
      <c r="AL2155" t="s">
        <v>26</v>
      </c>
      <c r="AM2155" t="s">
        <v>26</v>
      </c>
      <c r="AN2155" t="s">
        <v>26</v>
      </c>
      <c r="AO2155" s="25" t="s">
        <v>28</v>
      </c>
      <c r="AP2155" s="23" t="s">
        <v>29</v>
      </c>
      <c r="AQ2155" s="23" t="s">
        <v>30</v>
      </c>
      <c r="AR2155" s="23" t="s">
        <v>46</v>
      </c>
      <c r="AS2155" s="25">
        <v>6059427</v>
      </c>
      <c r="AT2155" t="s">
        <v>26</v>
      </c>
      <c r="AU2155" t="s">
        <v>25053</v>
      </c>
    </row>
    <row r="2156" spans="1:47" ht="26.25" x14ac:dyDescent="0.4">
      <c r="A2156" s="23" t="s">
        <v>5675</v>
      </c>
      <c r="B2156" t="s">
        <v>26</v>
      </c>
      <c r="C2156" s="23" t="s">
        <v>25054</v>
      </c>
      <c r="D2156" t="s">
        <v>26</v>
      </c>
      <c r="E2156" s="23" t="s">
        <v>42</v>
      </c>
      <c r="F2156" t="s">
        <v>26</v>
      </c>
      <c r="G2156" t="s">
        <v>26</v>
      </c>
      <c r="H2156" t="s">
        <v>26</v>
      </c>
      <c r="I2156" s="24">
        <v>42005</v>
      </c>
      <c r="J2156" s="24">
        <v>42005</v>
      </c>
      <c r="K2156" t="s">
        <v>26</v>
      </c>
      <c r="L2156" s="25" t="s">
        <v>28</v>
      </c>
      <c r="M2156" s="24">
        <v>42005</v>
      </c>
      <c r="N2156" s="24">
        <v>42005</v>
      </c>
      <c r="O2156" t="s">
        <v>26</v>
      </c>
      <c r="P2156" t="s">
        <v>26</v>
      </c>
      <c r="Q2156" t="s">
        <v>26</v>
      </c>
      <c r="R2156" t="s">
        <v>26</v>
      </c>
      <c r="S2156" s="24">
        <v>42005</v>
      </c>
      <c r="T2156" s="24">
        <v>42005</v>
      </c>
      <c r="U2156" t="s">
        <v>26</v>
      </c>
      <c r="V2156" t="s">
        <v>26</v>
      </c>
      <c r="W2156" s="24">
        <v>42005</v>
      </c>
      <c r="X2156" s="24">
        <v>42005</v>
      </c>
      <c r="Y2156" t="s">
        <v>26</v>
      </c>
      <c r="Z2156" s="24">
        <v>42005</v>
      </c>
      <c r="AA2156" s="24">
        <v>42005</v>
      </c>
      <c r="AB2156" t="s">
        <v>26</v>
      </c>
      <c r="AC2156" s="24">
        <v>42005</v>
      </c>
      <c r="AD2156" s="24">
        <v>42005</v>
      </c>
      <c r="AE2156" t="s">
        <v>26</v>
      </c>
      <c r="AF2156" s="24">
        <v>42005</v>
      </c>
      <c r="AG2156" s="24">
        <v>42005</v>
      </c>
      <c r="AH2156" t="s">
        <v>26</v>
      </c>
      <c r="AI2156" s="24">
        <v>42005</v>
      </c>
      <c r="AJ2156" s="24">
        <v>42005</v>
      </c>
      <c r="AK2156" t="s">
        <v>26</v>
      </c>
      <c r="AL2156" t="s">
        <v>26</v>
      </c>
      <c r="AM2156" t="s">
        <v>26</v>
      </c>
      <c r="AN2156" t="s">
        <v>26</v>
      </c>
      <c r="AO2156" s="25" t="s">
        <v>28</v>
      </c>
      <c r="AP2156" s="23" t="s">
        <v>43</v>
      </c>
      <c r="AQ2156" s="23" t="s">
        <v>30</v>
      </c>
      <c r="AR2156" s="23" t="s">
        <v>44</v>
      </c>
      <c r="AS2156" s="25">
        <v>5256685</v>
      </c>
      <c r="AT2156" t="s">
        <v>26</v>
      </c>
      <c r="AU2156" t="s">
        <v>25055</v>
      </c>
    </row>
    <row r="2157" spans="1:47" ht="26.25" x14ac:dyDescent="0.4">
      <c r="A2157" s="23" t="s">
        <v>5676</v>
      </c>
      <c r="B2157" t="s">
        <v>26</v>
      </c>
      <c r="C2157" s="23" t="s">
        <v>5677</v>
      </c>
      <c r="D2157" s="23" t="s">
        <v>25056</v>
      </c>
      <c r="E2157" s="23" t="s">
        <v>5678</v>
      </c>
      <c r="F2157" s="25" t="s">
        <v>5679</v>
      </c>
      <c r="G2157" s="25" t="s">
        <v>5680</v>
      </c>
      <c r="H2157" t="s">
        <v>26</v>
      </c>
      <c r="I2157" s="24">
        <v>40179</v>
      </c>
      <c r="J2157" s="25" t="s">
        <v>77</v>
      </c>
      <c r="K2157" t="s">
        <v>26</v>
      </c>
      <c r="L2157" s="25" t="s">
        <v>68</v>
      </c>
      <c r="M2157" s="24">
        <v>40179</v>
      </c>
      <c r="N2157" s="25" t="s">
        <v>77</v>
      </c>
      <c r="O2157" t="s">
        <v>26</v>
      </c>
      <c r="P2157" s="24">
        <v>40179</v>
      </c>
      <c r="Q2157" s="25" t="s">
        <v>77</v>
      </c>
      <c r="R2157" t="s">
        <v>26</v>
      </c>
      <c r="S2157" t="s">
        <v>26</v>
      </c>
      <c r="T2157" t="s">
        <v>26</v>
      </c>
      <c r="U2157" t="s">
        <v>26</v>
      </c>
      <c r="V2157" t="s">
        <v>26</v>
      </c>
      <c r="W2157" s="24">
        <v>40179</v>
      </c>
      <c r="X2157" s="25" t="s">
        <v>77</v>
      </c>
      <c r="Y2157" t="s">
        <v>26</v>
      </c>
      <c r="Z2157" s="24">
        <v>40179</v>
      </c>
      <c r="AA2157" s="25" t="s">
        <v>77</v>
      </c>
      <c r="AB2157" t="s">
        <v>26</v>
      </c>
      <c r="AC2157" s="24">
        <v>42736</v>
      </c>
      <c r="AD2157" s="25" t="s">
        <v>77</v>
      </c>
      <c r="AE2157" t="s">
        <v>26</v>
      </c>
      <c r="AF2157" t="s">
        <v>26</v>
      </c>
      <c r="AG2157" t="s">
        <v>26</v>
      </c>
      <c r="AH2157" t="s">
        <v>26</v>
      </c>
      <c r="AI2157" t="s">
        <v>26</v>
      </c>
      <c r="AJ2157" t="s">
        <v>26</v>
      </c>
      <c r="AK2157" t="s">
        <v>26</v>
      </c>
      <c r="AL2157" t="s">
        <v>26</v>
      </c>
      <c r="AM2157" t="s">
        <v>26</v>
      </c>
      <c r="AN2157" t="s">
        <v>26</v>
      </c>
      <c r="AO2157" s="25" t="s">
        <v>68</v>
      </c>
      <c r="AP2157" s="23" t="s">
        <v>69</v>
      </c>
      <c r="AQ2157" s="23" t="s">
        <v>30</v>
      </c>
      <c r="AR2157" s="23" t="s">
        <v>184</v>
      </c>
      <c r="AS2157" s="25">
        <v>136193</v>
      </c>
      <c r="AT2157" t="s">
        <v>26</v>
      </c>
      <c r="AU2157" t="s">
        <v>25057</v>
      </c>
    </row>
    <row r="2158" spans="1:47" ht="39.4" x14ac:dyDescent="0.4">
      <c r="A2158" s="23" t="s">
        <v>5681</v>
      </c>
      <c r="B2158" t="s">
        <v>26</v>
      </c>
      <c r="C2158" s="23" t="s">
        <v>5682</v>
      </c>
      <c r="D2158" s="23" t="s">
        <v>22286</v>
      </c>
      <c r="E2158" s="23" t="s">
        <v>42</v>
      </c>
      <c r="F2158" t="s">
        <v>26</v>
      </c>
      <c r="G2158" t="s">
        <v>26</v>
      </c>
      <c r="H2158" t="s">
        <v>26</v>
      </c>
      <c r="I2158" t="s">
        <v>26</v>
      </c>
      <c r="J2158" t="s">
        <v>26</v>
      </c>
      <c r="K2158" t="s">
        <v>26</v>
      </c>
      <c r="L2158" s="25" t="s">
        <v>28</v>
      </c>
      <c r="M2158" t="s">
        <v>26</v>
      </c>
      <c r="N2158" t="s">
        <v>26</v>
      </c>
      <c r="O2158" t="s">
        <v>26</v>
      </c>
      <c r="P2158" t="s">
        <v>26</v>
      </c>
      <c r="Q2158" t="s">
        <v>26</v>
      </c>
      <c r="R2158" t="s">
        <v>26</v>
      </c>
      <c r="S2158" t="s">
        <v>26</v>
      </c>
      <c r="T2158" t="s">
        <v>26</v>
      </c>
      <c r="U2158" t="s">
        <v>26</v>
      </c>
      <c r="V2158" t="s">
        <v>26</v>
      </c>
      <c r="W2158" s="24">
        <v>40544</v>
      </c>
      <c r="X2158" s="24">
        <v>40544</v>
      </c>
      <c r="Y2158" t="s">
        <v>26</v>
      </c>
      <c r="Z2158" s="24">
        <v>40544</v>
      </c>
      <c r="AA2158" s="24">
        <v>40544</v>
      </c>
      <c r="AB2158" t="s">
        <v>26</v>
      </c>
      <c r="AC2158" t="s">
        <v>26</v>
      </c>
      <c r="AD2158" t="s">
        <v>26</v>
      </c>
      <c r="AE2158" t="s">
        <v>26</v>
      </c>
      <c r="AF2158" t="s">
        <v>26</v>
      </c>
      <c r="AG2158" t="s">
        <v>26</v>
      </c>
      <c r="AH2158" t="s">
        <v>26</v>
      </c>
      <c r="AI2158" t="s">
        <v>26</v>
      </c>
      <c r="AJ2158" t="s">
        <v>26</v>
      </c>
      <c r="AK2158" t="s">
        <v>26</v>
      </c>
      <c r="AL2158" t="s">
        <v>26</v>
      </c>
      <c r="AM2158" t="s">
        <v>26</v>
      </c>
      <c r="AN2158" t="s">
        <v>26</v>
      </c>
      <c r="AO2158" s="25" t="s">
        <v>28</v>
      </c>
      <c r="AP2158" s="23" t="s">
        <v>29</v>
      </c>
      <c r="AQ2158" s="23" t="s">
        <v>30</v>
      </c>
      <c r="AR2158" s="23" t="s">
        <v>245</v>
      </c>
      <c r="AS2158" s="25">
        <v>5485082</v>
      </c>
      <c r="AT2158" s="23" t="s">
        <v>22181</v>
      </c>
      <c r="AU2158" t="s">
        <v>25058</v>
      </c>
    </row>
    <row r="2159" spans="1:47" ht="26.25" x14ac:dyDescent="0.4">
      <c r="A2159" s="23" t="s">
        <v>5683</v>
      </c>
      <c r="B2159" t="s">
        <v>26</v>
      </c>
      <c r="C2159" s="23" t="s">
        <v>80</v>
      </c>
      <c r="D2159" s="23" t="s">
        <v>22242</v>
      </c>
      <c r="E2159" s="23" t="s">
        <v>60</v>
      </c>
      <c r="F2159" s="25" t="s">
        <v>5684</v>
      </c>
      <c r="G2159" s="25" t="s">
        <v>5685</v>
      </c>
      <c r="H2159" t="s">
        <v>26</v>
      </c>
      <c r="I2159" s="24">
        <v>35674</v>
      </c>
      <c r="J2159" s="24">
        <v>36770</v>
      </c>
      <c r="K2159" t="s">
        <v>26</v>
      </c>
      <c r="L2159" s="25" t="s">
        <v>68</v>
      </c>
      <c r="M2159" s="24">
        <v>35674</v>
      </c>
      <c r="N2159" s="24">
        <v>36770</v>
      </c>
      <c r="O2159" t="s">
        <v>26</v>
      </c>
      <c r="P2159" s="24">
        <v>35674</v>
      </c>
      <c r="Q2159" s="24">
        <v>36770</v>
      </c>
      <c r="R2159" t="s">
        <v>26</v>
      </c>
      <c r="S2159" t="s">
        <v>26</v>
      </c>
      <c r="T2159" t="s">
        <v>26</v>
      </c>
      <c r="U2159" t="s">
        <v>26</v>
      </c>
      <c r="V2159" t="s">
        <v>26</v>
      </c>
      <c r="W2159" s="24">
        <v>35674</v>
      </c>
      <c r="X2159" s="25" t="s">
        <v>77</v>
      </c>
      <c r="Y2159" t="s">
        <v>26</v>
      </c>
      <c r="Z2159" s="24">
        <v>35674</v>
      </c>
      <c r="AA2159" s="25" t="s">
        <v>77</v>
      </c>
      <c r="AB2159" t="s">
        <v>26</v>
      </c>
      <c r="AC2159" s="24">
        <v>35674</v>
      </c>
      <c r="AD2159" s="25" t="s">
        <v>77</v>
      </c>
      <c r="AE2159" t="s">
        <v>26</v>
      </c>
      <c r="AF2159" t="s">
        <v>26</v>
      </c>
      <c r="AG2159" t="s">
        <v>26</v>
      </c>
      <c r="AH2159" t="s">
        <v>26</v>
      </c>
      <c r="AI2159" t="s">
        <v>26</v>
      </c>
      <c r="AJ2159" t="s">
        <v>26</v>
      </c>
      <c r="AK2159" t="s">
        <v>26</v>
      </c>
      <c r="AL2159" t="s">
        <v>26</v>
      </c>
      <c r="AM2159" t="s">
        <v>26</v>
      </c>
      <c r="AN2159" t="s">
        <v>26</v>
      </c>
      <c r="AO2159" s="25" t="s">
        <v>68</v>
      </c>
      <c r="AP2159" s="23" t="s">
        <v>69</v>
      </c>
      <c r="AQ2159" s="23" t="s">
        <v>30</v>
      </c>
      <c r="AR2159" s="23" t="s">
        <v>337</v>
      </c>
      <c r="AS2159" s="25">
        <v>31424</v>
      </c>
      <c r="AT2159" t="s">
        <v>26</v>
      </c>
      <c r="AU2159" t="s">
        <v>25059</v>
      </c>
    </row>
    <row r="2160" spans="1:47" ht="26.25" x14ac:dyDescent="0.4">
      <c r="A2160" s="23" t="s">
        <v>5686</v>
      </c>
      <c r="B2160" t="s">
        <v>26</v>
      </c>
      <c r="C2160" s="23" t="s">
        <v>73</v>
      </c>
      <c r="D2160" s="23" t="s">
        <v>22215</v>
      </c>
      <c r="E2160" s="23" t="s">
        <v>74</v>
      </c>
      <c r="F2160" s="25" t="s">
        <v>5687</v>
      </c>
      <c r="G2160" s="25" t="s">
        <v>5688</v>
      </c>
      <c r="H2160" t="s">
        <v>26</v>
      </c>
      <c r="I2160" t="s">
        <v>26</v>
      </c>
      <c r="J2160" t="s">
        <v>26</v>
      </c>
      <c r="K2160" t="s">
        <v>26</v>
      </c>
      <c r="L2160" s="25" t="s">
        <v>68</v>
      </c>
      <c r="M2160" t="s">
        <v>26</v>
      </c>
      <c r="N2160" t="s">
        <v>26</v>
      </c>
      <c r="O2160" t="s">
        <v>26</v>
      </c>
      <c r="P2160" t="s">
        <v>26</v>
      </c>
      <c r="Q2160" t="s">
        <v>26</v>
      </c>
      <c r="R2160" t="s">
        <v>26</v>
      </c>
      <c r="S2160" t="s">
        <v>26</v>
      </c>
      <c r="T2160" t="s">
        <v>26</v>
      </c>
      <c r="U2160" t="s">
        <v>26</v>
      </c>
      <c r="V2160" t="s">
        <v>26</v>
      </c>
      <c r="W2160" s="24">
        <v>39083</v>
      </c>
      <c r="X2160" s="25" t="s">
        <v>77</v>
      </c>
      <c r="Y2160" s="25" t="s">
        <v>5689</v>
      </c>
      <c r="Z2160" s="24">
        <v>39083</v>
      </c>
      <c r="AA2160" s="25" t="s">
        <v>77</v>
      </c>
      <c r="AB2160" s="25" t="s">
        <v>5689</v>
      </c>
      <c r="AC2160" s="24">
        <v>39083</v>
      </c>
      <c r="AD2160" s="25" t="s">
        <v>77</v>
      </c>
      <c r="AE2160" s="25" t="s">
        <v>5689</v>
      </c>
      <c r="AF2160" t="s">
        <v>26</v>
      </c>
      <c r="AG2160" t="s">
        <v>26</v>
      </c>
      <c r="AH2160" t="s">
        <v>26</v>
      </c>
      <c r="AI2160" t="s">
        <v>26</v>
      </c>
      <c r="AJ2160" t="s">
        <v>26</v>
      </c>
      <c r="AK2160" t="s">
        <v>26</v>
      </c>
      <c r="AL2160" t="s">
        <v>26</v>
      </c>
      <c r="AM2160" t="s">
        <v>26</v>
      </c>
      <c r="AN2160" t="s">
        <v>26</v>
      </c>
      <c r="AO2160" s="25" t="s">
        <v>68</v>
      </c>
      <c r="AP2160" s="23" t="s">
        <v>69</v>
      </c>
      <c r="AQ2160" s="23" t="s">
        <v>30</v>
      </c>
      <c r="AR2160" s="23" t="s">
        <v>78</v>
      </c>
      <c r="AS2160" s="25">
        <v>2043691</v>
      </c>
      <c r="AT2160" t="s">
        <v>26</v>
      </c>
      <c r="AU2160" t="s">
        <v>25060</v>
      </c>
    </row>
    <row r="2161" spans="1:47" ht="26.25" x14ac:dyDescent="0.4">
      <c r="A2161" s="23" t="s">
        <v>5690</v>
      </c>
      <c r="B2161" t="s">
        <v>26</v>
      </c>
      <c r="C2161" s="23" t="s">
        <v>25061</v>
      </c>
      <c r="D2161" t="s">
        <v>26</v>
      </c>
      <c r="E2161" s="23" t="s">
        <v>42</v>
      </c>
      <c r="F2161" t="s">
        <v>26</v>
      </c>
      <c r="G2161" t="s">
        <v>26</v>
      </c>
      <c r="H2161" t="s">
        <v>26</v>
      </c>
      <c r="I2161" s="24">
        <v>41275</v>
      </c>
      <c r="J2161" s="24">
        <v>43831</v>
      </c>
      <c r="K2161" t="s">
        <v>26</v>
      </c>
      <c r="L2161" s="25" t="s">
        <v>28</v>
      </c>
      <c r="M2161" s="24">
        <v>41275</v>
      </c>
      <c r="N2161" s="24">
        <v>43831</v>
      </c>
      <c r="O2161" t="s">
        <v>26</v>
      </c>
      <c r="P2161" t="s">
        <v>26</v>
      </c>
      <c r="Q2161" t="s">
        <v>26</v>
      </c>
      <c r="R2161" t="s">
        <v>26</v>
      </c>
      <c r="S2161" s="24">
        <v>41275</v>
      </c>
      <c r="T2161" s="24">
        <v>43831</v>
      </c>
      <c r="U2161" t="s">
        <v>26</v>
      </c>
      <c r="V2161" t="s">
        <v>26</v>
      </c>
      <c r="W2161" s="24">
        <v>41275</v>
      </c>
      <c r="X2161" s="24">
        <v>43831</v>
      </c>
      <c r="Y2161" t="s">
        <v>26</v>
      </c>
      <c r="Z2161" s="24">
        <v>41275</v>
      </c>
      <c r="AA2161" s="24">
        <v>43831</v>
      </c>
      <c r="AB2161" t="s">
        <v>26</v>
      </c>
      <c r="AC2161" s="24">
        <v>41275</v>
      </c>
      <c r="AD2161" s="24">
        <v>43831</v>
      </c>
      <c r="AE2161" t="s">
        <v>26</v>
      </c>
      <c r="AF2161" s="24">
        <v>41275</v>
      </c>
      <c r="AG2161" s="24">
        <v>43831</v>
      </c>
      <c r="AH2161" t="s">
        <v>26</v>
      </c>
      <c r="AI2161" s="24">
        <v>41275</v>
      </c>
      <c r="AJ2161" s="24">
        <v>43831</v>
      </c>
      <c r="AK2161" t="s">
        <v>26</v>
      </c>
      <c r="AL2161" t="s">
        <v>26</v>
      </c>
      <c r="AM2161" t="s">
        <v>26</v>
      </c>
      <c r="AN2161" t="s">
        <v>26</v>
      </c>
      <c r="AO2161" s="25" t="s">
        <v>28</v>
      </c>
      <c r="AP2161" s="23" t="s">
        <v>43</v>
      </c>
      <c r="AQ2161" t="s">
        <v>26</v>
      </c>
      <c r="AR2161" s="23" t="s">
        <v>46</v>
      </c>
      <c r="AS2161" s="25">
        <v>5618463</v>
      </c>
      <c r="AT2161" t="s">
        <v>26</v>
      </c>
      <c r="AU2161" t="s">
        <v>25062</v>
      </c>
    </row>
    <row r="2162" spans="1:47" ht="26.25" x14ac:dyDescent="0.4">
      <c r="A2162" s="23" t="s">
        <v>5691</v>
      </c>
      <c r="B2162" t="s">
        <v>26</v>
      </c>
      <c r="C2162" s="23" t="s">
        <v>146</v>
      </c>
      <c r="D2162" s="23" t="s">
        <v>22174</v>
      </c>
      <c r="E2162" s="23" t="s">
        <v>60</v>
      </c>
      <c r="F2162" t="s">
        <v>26</v>
      </c>
      <c r="G2162" t="s">
        <v>26</v>
      </c>
      <c r="H2162" t="s">
        <v>26</v>
      </c>
      <c r="I2162" t="s">
        <v>26</v>
      </c>
      <c r="J2162" t="s">
        <v>26</v>
      </c>
      <c r="K2162" t="s">
        <v>26</v>
      </c>
      <c r="L2162" s="25" t="s">
        <v>28</v>
      </c>
      <c r="M2162" t="s">
        <v>26</v>
      </c>
      <c r="N2162" t="s">
        <v>26</v>
      </c>
      <c r="O2162" t="s">
        <v>26</v>
      </c>
      <c r="P2162" t="s">
        <v>26</v>
      </c>
      <c r="Q2162" t="s">
        <v>26</v>
      </c>
      <c r="R2162" t="s">
        <v>26</v>
      </c>
      <c r="S2162" t="s">
        <v>26</v>
      </c>
      <c r="T2162" t="s">
        <v>26</v>
      </c>
      <c r="U2162" t="s">
        <v>26</v>
      </c>
      <c r="V2162" t="s">
        <v>26</v>
      </c>
      <c r="W2162" s="24">
        <v>42370</v>
      </c>
      <c r="X2162" s="24">
        <v>42370</v>
      </c>
      <c r="Y2162" t="s">
        <v>26</v>
      </c>
      <c r="Z2162" s="24">
        <v>42370</v>
      </c>
      <c r="AA2162" s="24">
        <v>42370</v>
      </c>
      <c r="AB2162" t="s">
        <v>26</v>
      </c>
      <c r="AC2162" t="s">
        <v>26</v>
      </c>
      <c r="AD2162" t="s">
        <v>26</v>
      </c>
      <c r="AE2162" t="s">
        <v>26</v>
      </c>
      <c r="AF2162" t="s">
        <v>26</v>
      </c>
      <c r="AG2162" t="s">
        <v>26</v>
      </c>
      <c r="AH2162" t="s">
        <v>26</v>
      </c>
      <c r="AI2162" t="s">
        <v>26</v>
      </c>
      <c r="AJ2162" t="s">
        <v>26</v>
      </c>
      <c r="AK2162" t="s">
        <v>26</v>
      </c>
      <c r="AL2162" t="s">
        <v>26</v>
      </c>
      <c r="AM2162" t="s">
        <v>26</v>
      </c>
      <c r="AN2162" t="s">
        <v>26</v>
      </c>
      <c r="AO2162" s="25" t="s">
        <v>28</v>
      </c>
      <c r="AP2162" s="23" t="s">
        <v>29</v>
      </c>
      <c r="AQ2162" s="23" t="s">
        <v>30</v>
      </c>
      <c r="AR2162" s="23" t="s">
        <v>245</v>
      </c>
      <c r="AS2162" s="25">
        <v>5485088</v>
      </c>
      <c r="AT2162" s="23" t="s">
        <v>22181</v>
      </c>
      <c r="AU2162" t="s">
        <v>25063</v>
      </c>
    </row>
    <row r="2163" spans="1:47" ht="26.25" x14ac:dyDescent="0.4">
      <c r="A2163" s="23" t="s">
        <v>5692</v>
      </c>
      <c r="B2163" t="s">
        <v>26</v>
      </c>
      <c r="C2163" s="23" t="s">
        <v>5693</v>
      </c>
      <c r="D2163" s="23" t="s">
        <v>25064</v>
      </c>
      <c r="E2163" s="23" t="s">
        <v>42</v>
      </c>
      <c r="F2163" s="25" t="s">
        <v>5694</v>
      </c>
      <c r="G2163" t="s">
        <v>26</v>
      </c>
      <c r="H2163" t="s">
        <v>26</v>
      </c>
      <c r="I2163" s="24">
        <v>38718</v>
      </c>
      <c r="J2163" s="25" t="s">
        <v>77</v>
      </c>
      <c r="K2163" t="s">
        <v>26</v>
      </c>
      <c r="L2163" s="25" t="s">
        <v>68</v>
      </c>
      <c r="M2163" s="24">
        <v>38718</v>
      </c>
      <c r="N2163" s="25" t="s">
        <v>77</v>
      </c>
      <c r="O2163" t="s">
        <v>26</v>
      </c>
      <c r="P2163" t="s">
        <v>26</v>
      </c>
      <c r="Q2163" t="s">
        <v>26</v>
      </c>
      <c r="R2163" t="s">
        <v>26</v>
      </c>
      <c r="S2163" t="s">
        <v>26</v>
      </c>
      <c r="T2163" t="s">
        <v>26</v>
      </c>
      <c r="U2163" t="s">
        <v>26</v>
      </c>
      <c r="V2163" t="s">
        <v>26</v>
      </c>
      <c r="W2163" s="24">
        <v>38718</v>
      </c>
      <c r="X2163" s="25" t="s">
        <v>77</v>
      </c>
      <c r="Y2163" t="s">
        <v>26</v>
      </c>
      <c r="Z2163" s="24">
        <v>38718</v>
      </c>
      <c r="AA2163" s="25" t="s">
        <v>77</v>
      </c>
      <c r="AB2163" t="s">
        <v>26</v>
      </c>
      <c r="AC2163" s="24">
        <v>42370</v>
      </c>
      <c r="AD2163" s="25" t="s">
        <v>77</v>
      </c>
      <c r="AE2163" s="25" t="s">
        <v>859</v>
      </c>
      <c r="AF2163" t="s">
        <v>26</v>
      </c>
      <c r="AG2163" t="s">
        <v>26</v>
      </c>
      <c r="AH2163" t="s">
        <v>26</v>
      </c>
      <c r="AI2163" t="s">
        <v>26</v>
      </c>
      <c r="AJ2163" t="s">
        <v>26</v>
      </c>
      <c r="AK2163" t="s">
        <v>26</v>
      </c>
      <c r="AL2163" t="s">
        <v>26</v>
      </c>
      <c r="AM2163" t="s">
        <v>26</v>
      </c>
      <c r="AN2163" t="s">
        <v>26</v>
      </c>
      <c r="AO2163" s="25" t="s">
        <v>68</v>
      </c>
      <c r="AP2163" s="23" t="s">
        <v>69</v>
      </c>
      <c r="AQ2163" s="23" t="s">
        <v>30</v>
      </c>
      <c r="AR2163" s="23" t="s">
        <v>46</v>
      </c>
      <c r="AS2163" s="25">
        <v>29224</v>
      </c>
      <c r="AT2163" t="s">
        <v>26</v>
      </c>
      <c r="AU2163" t="s">
        <v>25065</v>
      </c>
    </row>
    <row r="2164" spans="1:47" ht="52.5" x14ac:dyDescent="0.4">
      <c r="A2164" s="23" t="s">
        <v>5695</v>
      </c>
      <c r="B2164" t="s">
        <v>26</v>
      </c>
      <c r="C2164" s="23" t="s">
        <v>5696</v>
      </c>
      <c r="D2164" s="23" t="s">
        <v>25066</v>
      </c>
      <c r="E2164" s="23" t="s">
        <v>328</v>
      </c>
      <c r="F2164" s="25" t="s">
        <v>5697</v>
      </c>
      <c r="G2164" s="25" t="s">
        <v>5698</v>
      </c>
      <c r="H2164" t="s">
        <v>26</v>
      </c>
      <c r="I2164" s="24">
        <v>41275</v>
      </c>
      <c r="J2164" s="25" t="s">
        <v>77</v>
      </c>
      <c r="K2164" t="s">
        <v>26</v>
      </c>
      <c r="L2164" s="25" t="s">
        <v>68</v>
      </c>
      <c r="M2164" s="24">
        <v>41275</v>
      </c>
      <c r="N2164" s="25" t="s">
        <v>77</v>
      </c>
      <c r="O2164" t="s">
        <v>26</v>
      </c>
      <c r="P2164" s="24">
        <v>41275</v>
      </c>
      <c r="Q2164" s="25" t="s">
        <v>77</v>
      </c>
      <c r="R2164" t="s">
        <v>26</v>
      </c>
      <c r="S2164" t="s">
        <v>26</v>
      </c>
      <c r="T2164" t="s">
        <v>26</v>
      </c>
      <c r="U2164" t="s">
        <v>26</v>
      </c>
      <c r="V2164" t="s">
        <v>26</v>
      </c>
      <c r="W2164" s="24">
        <v>41275</v>
      </c>
      <c r="X2164" s="25" t="s">
        <v>77</v>
      </c>
      <c r="Y2164" t="s">
        <v>26</v>
      </c>
      <c r="Z2164" s="24">
        <v>41275</v>
      </c>
      <c r="AA2164" s="25" t="s">
        <v>77</v>
      </c>
      <c r="AB2164" t="s">
        <v>26</v>
      </c>
      <c r="AC2164" s="24">
        <v>41275</v>
      </c>
      <c r="AD2164" s="25" t="s">
        <v>77</v>
      </c>
      <c r="AE2164" t="s">
        <v>26</v>
      </c>
      <c r="AF2164" t="s">
        <v>26</v>
      </c>
      <c r="AG2164" t="s">
        <v>26</v>
      </c>
      <c r="AH2164" t="s">
        <v>26</v>
      </c>
      <c r="AI2164" t="s">
        <v>26</v>
      </c>
      <c r="AJ2164" t="s">
        <v>26</v>
      </c>
      <c r="AK2164" t="s">
        <v>26</v>
      </c>
      <c r="AL2164" t="s">
        <v>26</v>
      </c>
      <c r="AM2164" t="s">
        <v>26</v>
      </c>
      <c r="AN2164" t="s">
        <v>26</v>
      </c>
      <c r="AO2164" s="25" t="s">
        <v>68</v>
      </c>
      <c r="AP2164" s="23" t="s">
        <v>69</v>
      </c>
      <c r="AQ2164" s="23" t="s">
        <v>331</v>
      </c>
      <c r="AR2164" s="23" t="s">
        <v>123</v>
      </c>
      <c r="AS2164" s="25">
        <v>2032602</v>
      </c>
      <c r="AT2164" t="s">
        <v>26</v>
      </c>
      <c r="AU2164" t="s">
        <v>25067</v>
      </c>
    </row>
    <row r="2165" spans="1:47" ht="26.25" x14ac:dyDescent="0.4">
      <c r="A2165" s="23" t="s">
        <v>5699</v>
      </c>
      <c r="B2165" t="s">
        <v>26</v>
      </c>
      <c r="C2165" s="23" t="s">
        <v>399</v>
      </c>
      <c r="D2165" s="23" t="s">
        <v>22242</v>
      </c>
      <c r="E2165" s="23" t="s">
        <v>60</v>
      </c>
      <c r="F2165" s="25" t="s">
        <v>5700</v>
      </c>
      <c r="G2165" s="25" t="s">
        <v>5701</v>
      </c>
      <c r="H2165" t="s">
        <v>26</v>
      </c>
      <c r="I2165" s="24">
        <v>42370</v>
      </c>
      <c r="J2165" s="25" t="s">
        <v>77</v>
      </c>
      <c r="K2165" t="s">
        <v>26</v>
      </c>
      <c r="L2165" s="25" t="s">
        <v>68</v>
      </c>
      <c r="M2165" t="s">
        <v>26</v>
      </c>
      <c r="N2165" t="s">
        <v>26</v>
      </c>
      <c r="O2165" t="s">
        <v>26</v>
      </c>
      <c r="P2165" s="24">
        <v>42370</v>
      </c>
      <c r="Q2165" s="25" t="s">
        <v>77</v>
      </c>
      <c r="R2165" t="s">
        <v>26</v>
      </c>
      <c r="S2165" t="s">
        <v>26</v>
      </c>
      <c r="T2165" t="s">
        <v>26</v>
      </c>
      <c r="U2165" t="s">
        <v>26</v>
      </c>
      <c r="V2165" s="25">
        <v>365</v>
      </c>
      <c r="W2165" s="24">
        <v>40544</v>
      </c>
      <c r="X2165" s="25" t="s">
        <v>77</v>
      </c>
      <c r="Y2165" t="s">
        <v>26</v>
      </c>
      <c r="Z2165" s="24">
        <v>40544</v>
      </c>
      <c r="AA2165" s="25" t="s">
        <v>77</v>
      </c>
      <c r="AB2165" t="s">
        <v>26</v>
      </c>
      <c r="AC2165" s="24">
        <v>40544</v>
      </c>
      <c r="AD2165" s="25" t="s">
        <v>77</v>
      </c>
      <c r="AE2165" t="s">
        <v>26</v>
      </c>
      <c r="AF2165" t="s">
        <v>26</v>
      </c>
      <c r="AG2165" t="s">
        <v>26</v>
      </c>
      <c r="AH2165" t="s">
        <v>26</v>
      </c>
      <c r="AI2165" t="s">
        <v>26</v>
      </c>
      <c r="AJ2165" t="s">
        <v>26</v>
      </c>
      <c r="AK2165" t="s">
        <v>26</v>
      </c>
      <c r="AL2165" t="s">
        <v>26</v>
      </c>
      <c r="AM2165" t="s">
        <v>26</v>
      </c>
      <c r="AN2165" t="s">
        <v>26</v>
      </c>
      <c r="AO2165" s="25" t="s">
        <v>68</v>
      </c>
      <c r="AP2165" s="23" t="s">
        <v>69</v>
      </c>
      <c r="AQ2165" s="23" t="s">
        <v>30</v>
      </c>
      <c r="AR2165" s="23" t="s">
        <v>5702</v>
      </c>
      <c r="AS2165" s="25">
        <v>1096359</v>
      </c>
      <c r="AT2165" t="s">
        <v>26</v>
      </c>
      <c r="AU2165" t="s">
        <v>25068</v>
      </c>
    </row>
    <row r="2166" spans="1:47" ht="26.25" x14ac:dyDescent="0.4">
      <c r="A2166" s="23" t="s">
        <v>5703</v>
      </c>
      <c r="B2166" t="s">
        <v>26</v>
      </c>
      <c r="C2166" s="23" t="s">
        <v>259</v>
      </c>
      <c r="D2166" s="23" t="s">
        <v>25069</v>
      </c>
      <c r="E2166" s="23" t="s">
        <v>60</v>
      </c>
      <c r="F2166" s="25" t="s">
        <v>5704</v>
      </c>
      <c r="G2166" s="25" t="s">
        <v>5705</v>
      </c>
      <c r="H2166" t="s">
        <v>26</v>
      </c>
      <c r="I2166" s="24">
        <v>39052</v>
      </c>
      <c r="J2166" s="25" t="s">
        <v>77</v>
      </c>
      <c r="K2166" t="s">
        <v>26</v>
      </c>
      <c r="L2166" s="25" t="s">
        <v>68</v>
      </c>
      <c r="M2166" s="24">
        <v>39052</v>
      </c>
      <c r="N2166" s="25" t="s">
        <v>77</v>
      </c>
      <c r="O2166" t="s">
        <v>26</v>
      </c>
      <c r="P2166" s="24">
        <v>39052</v>
      </c>
      <c r="Q2166" s="25" t="s">
        <v>77</v>
      </c>
      <c r="R2166" t="s">
        <v>26</v>
      </c>
      <c r="S2166" t="s">
        <v>26</v>
      </c>
      <c r="T2166" t="s">
        <v>26</v>
      </c>
      <c r="U2166" t="s">
        <v>26</v>
      </c>
      <c r="V2166" t="s">
        <v>26</v>
      </c>
      <c r="W2166" s="24">
        <v>35521</v>
      </c>
      <c r="X2166" s="25" t="s">
        <v>77</v>
      </c>
      <c r="Y2166" t="s">
        <v>26</v>
      </c>
      <c r="Z2166" s="24">
        <v>35521</v>
      </c>
      <c r="AA2166" s="25" t="s">
        <v>77</v>
      </c>
      <c r="AB2166" t="s">
        <v>26</v>
      </c>
      <c r="AC2166" s="24">
        <v>36982</v>
      </c>
      <c r="AD2166" s="25" t="s">
        <v>77</v>
      </c>
      <c r="AE2166" t="s">
        <v>26</v>
      </c>
      <c r="AF2166" t="s">
        <v>26</v>
      </c>
      <c r="AG2166" t="s">
        <v>26</v>
      </c>
      <c r="AH2166" t="s">
        <v>26</v>
      </c>
      <c r="AI2166" t="s">
        <v>26</v>
      </c>
      <c r="AJ2166" t="s">
        <v>26</v>
      </c>
      <c r="AK2166" t="s">
        <v>26</v>
      </c>
      <c r="AL2166" t="s">
        <v>26</v>
      </c>
      <c r="AM2166" t="s">
        <v>26</v>
      </c>
      <c r="AN2166" t="s">
        <v>26</v>
      </c>
      <c r="AO2166" s="25" t="s">
        <v>68</v>
      </c>
      <c r="AP2166" s="23" t="s">
        <v>69</v>
      </c>
      <c r="AQ2166" s="23" t="s">
        <v>30</v>
      </c>
      <c r="AR2166" s="23" t="s">
        <v>704</v>
      </c>
      <c r="AS2166" s="25">
        <v>32832</v>
      </c>
      <c r="AT2166" t="s">
        <v>26</v>
      </c>
      <c r="AU2166" t="s">
        <v>25070</v>
      </c>
    </row>
    <row r="2167" spans="1:47" ht="26.25" x14ac:dyDescent="0.4">
      <c r="A2167" s="23" t="s">
        <v>5706</v>
      </c>
      <c r="B2167" t="s">
        <v>26</v>
      </c>
      <c r="C2167" s="23" t="s">
        <v>181</v>
      </c>
      <c r="D2167" s="23" t="s">
        <v>22174</v>
      </c>
      <c r="E2167" s="23" t="s">
        <v>60</v>
      </c>
      <c r="F2167" s="25" t="s">
        <v>5707</v>
      </c>
      <c r="G2167" s="25" t="s">
        <v>5708</v>
      </c>
      <c r="H2167" t="s">
        <v>26</v>
      </c>
      <c r="I2167" s="24">
        <v>35886</v>
      </c>
      <c r="J2167" s="24">
        <v>37530</v>
      </c>
      <c r="K2167" t="s">
        <v>26</v>
      </c>
      <c r="L2167" s="25" t="s">
        <v>68</v>
      </c>
      <c r="M2167" t="s">
        <v>26</v>
      </c>
      <c r="N2167" t="s">
        <v>26</v>
      </c>
      <c r="O2167" t="s">
        <v>26</v>
      </c>
      <c r="P2167" s="24">
        <v>35886</v>
      </c>
      <c r="Q2167" s="24">
        <v>37530</v>
      </c>
      <c r="R2167" t="s">
        <v>26</v>
      </c>
      <c r="S2167" t="s">
        <v>26</v>
      </c>
      <c r="T2167" t="s">
        <v>26</v>
      </c>
      <c r="U2167" t="s">
        <v>26</v>
      </c>
      <c r="V2167" t="s">
        <v>26</v>
      </c>
      <c r="W2167" s="24">
        <v>35886</v>
      </c>
      <c r="X2167" s="24">
        <v>37530</v>
      </c>
      <c r="Y2167" t="s">
        <v>26</v>
      </c>
      <c r="Z2167" s="24">
        <v>35886</v>
      </c>
      <c r="AA2167" s="24">
        <v>37530</v>
      </c>
      <c r="AB2167" t="s">
        <v>26</v>
      </c>
      <c r="AC2167" s="24">
        <v>35886</v>
      </c>
      <c r="AD2167" s="24">
        <v>37530</v>
      </c>
      <c r="AE2167" t="s">
        <v>26</v>
      </c>
      <c r="AF2167" t="s">
        <v>26</v>
      </c>
      <c r="AG2167" t="s">
        <v>26</v>
      </c>
      <c r="AH2167" t="s">
        <v>26</v>
      </c>
      <c r="AI2167" t="s">
        <v>26</v>
      </c>
      <c r="AJ2167" t="s">
        <v>26</v>
      </c>
      <c r="AK2167" t="s">
        <v>26</v>
      </c>
      <c r="AL2167" t="s">
        <v>26</v>
      </c>
      <c r="AM2167" t="s">
        <v>26</v>
      </c>
      <c r="AN2167" t="s">
        <v>26</v>
      </c>
      <c r="AO2167" s="25" t="s">
        <v>68</v>
      </c>
      <c r="AP2167" s="23" t="s">
        <v>69</v>
      </c>
      <c r="AQ2167" s="23" t="s">
        <v>30</v>
      </c>
      <c r="AR2167" s="23" t="s">
        <v>277</v>
      </c>
      <c r="AS2167" s="25">
        <v>33105</v>
      </c>
      <c r="AT2167" t="s">
        <v>26</v>
      </c>
      <c r="AU2167" t="s">
        <v>25071</v>
      </c>
    </row>
    <row r="2168" spans="1:47" ht="26.25" x14ac:dyDescent="0.4">
      <c r="A2168" s="23" t="s">
        <v>5709</v>
      </c>
      <c r="B2168" t="s">
        <v>26</v>
      </c>
      <c r="C2168" s="23" t="s">
        <v>73</v>
      </c>
      <c r="D2168" s="23" t="s">
        <v>22215</v>
      </c>
      <c r="E2168" s="23" t="s">
        <v>74</v>
      </c>
      <c r="F2168" s="25" t="s">
        <v>5710</v>
      </c>
      <c r="G2168" s="25" t="s">
        <v>5711</v>
      </c>
      <c r="H2168" t="s">
        <v>26</v>
      </c>
      <c r="I2168" s="24">
        <v>41153</v>
      </c>
      <c r="J2168" s="24">
        <v>43678</v>
      </c>
      <c r="K2168" t="s">
        <v>26</v>
      </c>
      <c r="L2168" s="25" t="s">
        <v>68</v>
      </c>
      <c r="M2168" s="24">
        <v>41153</v>
      </c>
      <c r="N2168" s="24">
        <v>42675</v>
      </c>
      <c r="O2168" t="s">
        <v>26</v>
      </c>
      <c r="P2168" s="24">
        <v>41153</v>
      </c>
      <c r="Q2168" s="24">
        <v>43678</v>
      </c>
      <c r="R2168" t="s">
        <v>26</v>
      </c>
      <c r="S2168" t="s">
        <v>26</v>
      </c>
      <c r="T2168" t="s">
        <v>26</v>
      </c>
      <c r="U2168" t="s">
        <v>26</v>
      </c>
      <c r="V2168" t="s">
        <v>26</v>
      </c>
      <c r="W2168" s="24">
        <v>41153</v>
      </c>
      <c r="X2168" s="24">
        <v>43678</v>
      </c>
      <c r="Y2168" t="s">
        <v>26</v>
      </c>
      <c r="Z2168" s="24">
        <v>41153</v>
      </c>
      <c r="AA2168" s="24">
        <v>43678</v>
      </c>
      <c r="AB2168" t="s">
        <v>26</v>
      </c>
      <c r="AC2168" s="24">
        <v>41153</v>
      </c>
      <c r="AD2168" s="24">
        <v>43678</v>
      </c>
      <c r="AE2168" t="s">
        <v>26</v>
      </c>
      <c r="AF2168" t="s">
        <v>26</v>
      </c>
      <c r="AG2168" t="s">
        <v>26</v>
      </c>
      <c r="AH2168" t="s">
        <v>26</v>
      </c>
      <c r="AI2168" t="s">
        <v>26</v>
      </c>
      <c r="AJ2168" t="s">
        <v>26</v>
      </c>
      <c r="AK2168" t="s">
        <v>26</v>
      </c>
      <c r="AL2168" t="s">
        <v>26</v>
      </c>
      <c r="AM2168" t="s">
        <v>26</v>
      </c>
      <c r="AN2168" t="s">
        <v>26</v>
      </c>
      <c r="AO2168" s="25" t="s">
        <v>68</v>
      </c>
      <c r="AP2168" s="23" t="s">
        <v>69</v>
      </c>
      <c r="AQ2168" s="23" t="s">
        <v>30</v>
      </c>
      <c r="AR2168" s="23" t="s">
        <v>70</v>
      </c>
      <c r="AS2168" s="25">
        <v>2034679</v>
      </c>
      <c r="AT2168" t="s">
        <v>26</v>
      </c>
      <c r="AU2168" t="s">
        <v>25072</v>
      </c>
    </row>
    <row r="2169" spans="1:47" ht="26.25" x14ac:dyDescent="0.4">
      <c r="A2169" s="23" t="s">
        <v>5712</v>
      </c>
      <c r="B2169" t="s">
        <v>26</v>
      </c>
      <c r="C2169" s="23" t="s">
        <v>3690</v>
      </c>
      <c r="D2169" s="23" t="s">
        <v>22561</v>
      </c>
      <c r="E2169" s="23" t="s">
        <v>917</v>
      </c>
      <c r="F2169" s="25" t="s">
        <v>5713</v>
      </c>
      <c r="G2169" t="s">
        <v>26</v>
      </c>
      <c r="H2169" t="s">
        <v>26</v>
      </c>
      <c r="I2169" s="24">
        <v>40330</v>
      </c>
      <c r="J2169" s="25" t="s">
        <v>77</v>
      </c>
      <c r="K2169" t="s">
        <v>26</v>
      </c>
      <c r="L2169" s="25" t="s">
        <v>68</v>
      </c>
      <c r="M2169" s="24">
        <v>40330</v>
      </c>
      <c r="N2169" s="25" t="s">
        <v>77</v>
      </c>
      <c r="O2169" t="s">
        <v>26</v>
      </c>
      <c r="P2169" s="24">
        <v>40330</v>
      </c>
      <c r="Q2169" s="25" t="s">
        <v>77</v>
      </c>
      <c r="R2169" s="25" t="s">
        <v>1185</v>
      </c>
      <c r="S2169" t="s">
        <v>26</v>
      </c>
      <c r="T2169" t="s">
        <v>26</v>
      </c>
      <c r="U2169" t="s">
        <v>26</v>
      </c>
      <c r="V2169" t="s">
        <v>26</v>
      </c>
      <c r="W2169" s="24">
        <v>40330</v>
      </c>
      <c r="X2169" s="25" t="s">
        <v>77</v>
      </c>
      <c r="Y2169" t="s">
        <v>26</v>
      </c>
      <c r="Z2169" s="24">
        <v>40330</v>
      </c>
      <c r="AA2169" s="25" t="s">
        <v>77</v>
      </c>
      <c r="AB2169" t="s">
        <v>26</v>
      </c>
      <c r="AC2169" s="24">
        <v>40513</v>
      </c>
      <c r="AD2169" s="25" t="s">
        <v>77</v>
      </c>
      <c r="AE2169" t="s">
        <v>26</v>
      </c>
      <c r="AF2169" t="s">
        <v>26</v>
      </c>
      <c r="AG2169" t="s">
        <v>26</v>
      </c>
      <c r="AH2169" t="s">
        <v>26</v>
      </c>
      <c r="AI2169" t="s">
        <v>26</v>
      </c>
      <c r="AJ2169" t="s">
        <v>26</v>
      </c>
      <c r="AK2169" t="s">
        <v>26</v>
      </c>
      <c r="AL2169" t="s">
        <v>26</v>
      </c>
      <c r="AM2169" t="s">
        <v>26</v>
      </c>
      <c r="AN2169" t="s">
        <v>26</v>
      </c>
      <c r="AO2169" s="25" t="s">
        <v>68</v>
      </c>
      <c r="AP2169" s="23" t="s">
        <v>69</v>
      </c>
      <c r="AQ2169" s="23" t="s">
        <v>30</v>
      </c>
      <c r="AR2169" s="23" t="s">
        <v>46</v>
      </c>
      <c r="AS2169" s="25">
        <v>616522</v>
      </c>
      <c r="AT2169" t="s">
        <v>26</v>
      </c>
      <c r="AU2169" t="s">
        <v>25073</v>
      </c>
    </row>
    <row r="2170" spans="1:47" ht="26.25" x14ac:dyDescent="0.4">
      <c r="A2170" s="23" t="s">
        <v>5714</v>
      </c>
      <c r="B2170" t="s">
        <v>26</v>
      </c>
      <c r="C2170" s="23" t="s">
        <v>5714</v>
      </c>
      <c r="D2170" s="23" t="s">
        <v>23578</v>
      </c>
      <c r="E2170" s="23" t="s">
        <v>917</v>
      </c>
      <c r="F2170" s="25" t="s">
        <v>5715</v>
      </c>
      <c r="G2170" s="25" t="s">
        <v>5716</v>
      </c>
      <c r="H2170" t="s">
        <v>26</v>
      </c>
      <c r="I2170" s="24">
        <v>37073</v>
      </c>
      <c r="J2170" s="25" t="s">
        <v>77</v>
      </c>
      <c r="K2170" t="s">
        <v>26</v>
      </c>
      <c r="L2170" s="25" t="s">
        <v>68</v>
      </c>
      <c r="M2170" s="24">
        <v>37073</v>
      </c>
      <c r="N2170" s="25" t="s">
        <v>77</v>
      </c>
      <c r="O2170" t="s">
        <v>26</v>
      </c>
      <c r="P2170" s="24">
        <v>37073</v>
      </c>
      <c r="Q2170" s="25" t="s">
        <v>77</v>
      </c>
      <c r="R2170" t="s">
        <v>26</v>
      </c>
      <c r="S2170" t="s">
        <v>26</v>
      </c>
      <c r="T2170" t="s">
        <v>26</v>
      </c>
      <c r="U2170" t="s">
        <v>26</v>
      </c>
      <c r="V2170" t="s">
        <v>26</v>
      </c>
      <c r="W2170" s="24">
        <v>37073</v>
      </c>
      <c r="X2170" s="25" t="s">
        <v>77</v>
      </c>
      <c r="Y2170" t="s">
        <v>26</v>
      </c>
      <c r="Z2170" s="24">
        <v>37073</v>
      </c>
      <c r="AA2170" s="25" t="s">
        <v>77</v>
      </c>
      <c r="AB2170" t="s">
        <v>26</v>
      </c>
      <c r="AC2170" s="24">
        <v>37956</v>
      </c>
      <c r="AD2170" s="25" t="s">
        <v>77</v>
      </c>
      <c r="AE2170" t="s">
        <v>26</v>
      </c>
      <c r="AF2170" t="s">
        <v>26</v>
      </c>
      <c r="AG2170" t="s">
        <v>26</v>
      </c>
      <c r="AH2170" t="s">
        <v>26</v>
      </c>
      <c r="AI2170" t="s">
        <v>26</v>
      </c>
      <c r="AJ2170" t="s">
        <v>26</v>
      </c>
      <c r="AK2170" t="s">
        <v>26</v>
      </c>
      <c r="AL2170" t="s">
        <v>26</v>
      </c>
      <c r="AM2170" t="s">
        <v>26</v>
      </c>
      <c r="AN2170" t="s">
        <v>26</v>
      </c>
      <c r="AO2170" s="25" t="s">
        <v>68</v>
      </c>
      <c r="AP2170" s="23" t="s">
        <v>69</v>
      </c>
      <c r="AQ2170" s="23" t="s">
        <v>30</v>
      </c>
      <c r="AR2170" s="23" t="s">
        <v>46</v>
      </c>
      <c r="AS2170" s="25">
        <v>25757</v>
      </c>
      <c r="AT2170" t="s">
        <v>26</v>
      </c>
      <c r="AU2170" t="s">
        <v>25074</v>
      </c>
    </row>
    <row r="2171" spans="1:47" ht="26.25" x14ac:dyDescent="0.4">
      <c r="A2171" s="23" t="s">
        <v>5717</v>
      </c>
      <c r="B2171" t="s">
        <v>26</v>
      </c>
      <c r="C2171" s="23" t="s">
        <v>3690</v>
      </c>
      <c r="D2171" s="23" t="s">
        <v>22561</v>
      </c>
      <c r="E2171" s="23" t="s">
        <v>917</v>
      </c>
      <c r="F2171" s="25" t="s">
        <v>5718</v>
      </c>
      <c r="G2171" t="s">
        <v>26</v>
      </c>
      <c r="H2171" t="s">
        <v>26</v>
      </c>
      <c r="I2171" s="24">
        <v>39965</v>
      </c>
      <c r="J2171" s="25" t="s">
        <v>77</v>
      </c>
      <c r="K2171" t="s">
        <v>26</v>
      </c>
      <c r="L2171" s="25" t="s">
        <v>68</v>
      </c>
      <c r="M2171" s="24">
        <v>39965</v>
      </c>
      <c r="N2171" s="25" t="s">
        <v>77</v>
      </c>
      <c r="O2171" t="s">
        <v>26</v>
      </c>
      <c r="P2171" s="24">
        <v>39965</v>
      </c>
      <c r="Q2171" s="25" t="s">
        <v>77</v>
      </c>
      <c r="R2171" t="s">
        <v>26</v>
      </c>
      <c r="S2171" t="s">
        <v>26</v>
      </c>
      <c r="T2171" t="s">
        <v>26</v>
      </c>
      <c r="U2171" t="s">
        <v>26</v>
      </c>
      <c r="V2171" t="s">
        <v>26</v>
      </c>
      <c r="W2171" s="24">
        <v>39965</v>
      </c>
      <c r="X2171" s="25" t="s">
        <v>77</v>
      </c>
      <c r="Y2171" t="s">
        <v>26</v>
      </c>
      <c r="Z2171" s="24">
        <v>39965</v>
      </c>
      <c r="AA2171" s="25" t="s">
        <v>77</v>
      </c>
      <c r="AB2171" t="s">
        <v>26</v>
      </c>
      <c r="AC2171" s="24">
        <v>39965</v>
      </c>
      <c r="AD2171" s="25" t="s">
        <v>77</v>
      </c>
      <c r="AE2171" t="s">
        <v>26</v>
      </c>
      <c r="AF2171" t="s">
        <v>26</v>
      </c>
      <c r="AG2171" t="s">
        <v>26</v>
      </c>
      <c r="AH2171" t="s">
        <v>26</v>
      </c>
      <c r="AI2171" t="s">
        <v>26</v>
      </c>
      <c r="AJ2171" t="s">
        <v>26</v>
      </c>
      <c r="AK2171" t="s">
        <v>26</v>
      </c>
      <c r="AL2171" t="s">
        <v>26</v>
      </c>
      <c r="AM2171" t="s">
        <v>26</v>
      </c>
      <c r="AN2171" t="s">
        <v>26</v>
      </c>
      <c r="AO2171" s="25" t="s">
        <v>68</v>
      </c>
      <c r="AP2171" s="23" t="s">
        <v>69</v>
      </c>
      <c r="AQ2171" s="23" t="s">
        <v>30</v>
      </c>
      <c r="AR2171" s="23" t="s">
        <v>46</v>
      </c>
      <c r="AS2171" s="25">
        <v>616540</v>
      </c>
      <c r="AT2171" t="s">
        <v>26</v>
      </c>
      <c r="AU2171" t="s">
        <v>25075</v>
      </c>
    </row>
    <row r="2172" spans="1:47" ht="26.25" x14ac:dyDescent="0.4">
      <c r="A2172" s="23" t="s">
        <v>5719</v>
      </c>
      <c r="B2172" t="s">
        <v>26</v>
      </c>
      <c r="C2172" s="23" t="s">
        <v>5720</v>
      </c>
      <c r="D2172" s="23" t="s">
        <v>24154</v>
      </c>
      <c r="E2172" s="23" t="s">
        <v>917</v>
      </c>
      <c r="F2172" s="25" t="s">
        <v>5721</v>
      </c>
      <c r="G2172" t="s">
        <v>26</v>
      </c>
      <c r="H2172" t="s">
        <v>26</v>
      </c>
      <c r="I2172" s="24">
        <v>39600</v>
      </c>
      <c r="J2172" s="25" t="s">
        <v>77</v>
      </c>
      <c r="K2172" t="s">
        <v>26</v>
      </c>
      <c r="L2172" s="25" t="s">
        <v>68</v>
      </c>
      <c r="M2172" s="24">
        <v>39600</v>
      </c>
      <c r="N2172" s="25" t="s">
        <v>77</v>
      </c>
      <c r="O2172" t="s">
        <v>26</v>
      </c>
      <c r="P2172" s="24">
        <v>39600</v>
      </c>
      <c r="Q2172" s="25" t="s">
        <v>77</v>
      </c>
      <c r="R2172" t="s">
        <v>26</v>
      </c>
      <c r="S2172" t="s">
        <v>26</v>
      </c>
      <c r="T2172" t="s">
        <v>26</v>
      </c>
      <c r="U2172" t="s">
        <v>26</v>
      </c>
      <c r="V2172" t="s">
        <v>26</v>
      </c>
      <c r="W2172" s="24">
        <v>39600</v>
      </c>
      <c r="X2172" s="25" t="s">
        <v>77</v>
      </c>
      <c r="Y2172" t="s">
        <v>26</v>
      </c>
      <c r="Z2172" s="24">
        <v>39600</v>
      </c>
      <c r="AA2172" s="25" t="s">
        <v>77</v>
      </c>
      <c r="AB2172" t="s">
        <v>26</v>
      </c>
      <c r="AC2172" s="24">
        <v>42370</v>
      </c>
      <c r="AD2172" s="25" t="s">
        <v>77</v>
      </c>
      <c r="AE2172" t="s">
        <v>26</v>
      </c>
      <c r="AF2172" t="s">
        <v>26</v>
      </c>
      <c r="AG2172" t="s">
        <v>26</v>
      </c>
      <c r="AH2172" t="s">
        <v>26</v>
      </c>
      <c r="AI2172" t="s">
        <v>26</v>
      </c>
      <c r="AJ2172" t="s">
        <v>26</v>
      </c>
      <c r="AK2172" t="s">
        <v>26</v>
      </c>
      <c r="AL2172" t="s">
        <v>26</v>
      </c>
      <c r="AM2172" t="s">
        <v>26</v>
      </c>
      <c r="AN2172" t="s">
        <v>26</v>
      </c>
      <c r="AO2172" s="25" t="s">
        <v>68</v>
      </c>
      <c r="AP2172" s="23" t="s">
        <v>69</v>
      </c>
      <c r="AQ2172" s="23" t="s">
        <v>30</v>
      </c>
      <c r="AR2172" s="23" t="s">
        <v>46</v>
      </c>
      <c r="AS2172" s="25">
        <v>276272</v>
      </c>
      <c r="AT2172" t="s">
        <v>26</v>
      </c>
      <c r="AU2172" t="s">
        <v>25076</v>
      </c>
    </row>
    <row r="2173" spans="1:47" ht="26.25" x14ac:dyDescent="0.4">
      <c r="A2173" s="23" t="s">
        <v>5722</v>
      </c>
      <c r="B2173" t="s">
        <v>26</v>
      </c>
      <c r="C2173" s="23" t="s">
        <v>181</v>
      </c>
      <c r="D2173" s="23" t="s">
        <v>22174</v>
      </c>
      <c r="E2173" s="23" t="s">
        <v>60</v>
      </c>
      <c r="F2173" s="25" t="s">
        <v>5723</v>
      </c>
      <c r="G2173" s="25" t="s">
        <v>5724</v>
      </c>
      <c r="H2173" t="s">
        <v>26</v>
      </c>
      <c r="I2173" s="24">
        <v>35796</v>
      </c>
      <c r="J2173" s="24">
        <v>42339</v>
      </c>
      <c r="K2173" t="s">
        <v>26</v>
      </c>
      <c r="L2173" s="25" t="s">
        <v>68</v>
      </c>
      <c r="M2173" t="s">
        <v>26</v>
      </c>
      <c r="N2173" t="s">
        <v>26</v>
      </c>
      <c r="O2173" t="s">
        <v>26</v>
      </c>
      <c r="P2173" s="24">
        <v>35796</v>
      </c>
      <c r="Q2173" s="24">
        <v>42339</v>
      </c>
      <c r="R2173" t="s">
        <v>26</v>
      </c>
      <c r="S2173" t="s">
        <v>26</v>
      </c>
      <c r="T2173" t="s">
        <v>26</v>
      </c>
      <c r="U2173" t="s">
        <v>26</v>
      </c>
      <c r="V2173" t="s">
        <v>26</v>
      </c>
      <c r="W2173" s="24">
        <v>35796</v>
      </c>
      <c r="X2173" s="25" t="s">
        <v>77</v>
      </c>
      <c r="Y2173" t="s">
        <v>26</v>
      </c>
      <c r="Z2173" s="24">
        <v>35796</v>
      </c>
      <c r="AA2173" s="25" t="s">
        <v>77</v>
      </c>
      <c r="AB2173" t="s">
        <v>26</v>
      </c>
      <c r="AC2173" s="24">
        <v>35796</v>
      </c>
      <c r="AD2173" s="25" t="s">
        <v>77</v>
      </c>
      <c r="AE2173" t="s">
        <v>26</v>
      </c>
      <c r="AF2173" t="s">
        <v>26</v>
      </c>
      <c r="AG2173" t="s">
        <v>26</v>
      </c>
      <c r="AH2173" t="s">
        <v>26</v>
      </c>
      <c r="AI2173" t="s">
        <v>26</v>
      </c>
      <c r="AJ2173" t="s">
        <v>26</v>
      </c>
      <c r="AK2173" t="s">
        <v>26</v>
      </c>
      <c r="AL2173" t="s">
        <v>26</v>
      </c>
      <c r="AM2173" t="s">
        <v>26</v>
      </c>
      <c r="AN2173" t="s">
        <v>26</v>
      </c>
      <c r="AO2173" s="25" t="s">
        <v>68</v>
      </c>
      <c r="AP2173" s="23" t="s">
        <v>69</v>
      </c>
      <c r="AQ2173" s="23" t="s">
        <v>30</v>
      </c>
      <c r="AR2173" s="23" t="s">
        <v>277</v>
      </c>
      <c r="AS2173" s="25">
        <v>33103</v>
      </c>
      <c r="AT2173" t="s">
        <v>26</v>
      </c>
      <c r="AU2173" t="s">
        <v>25077</v>
      </c>
    </row>
    <row r="2174" spans="1:47" ht="26.25" x14ac:dyDescent="0.4">
      <c r="A2174" s="23" t="s">
        <v>5725</v>
      </c>
      <c r="B2174" t="s">
        <v>26</v>
      </c>
      <c r="C2174" s="23" t="s">
        <v>25078</v>
      </c>
      <c r="D2174" s="23" t="s">
        <v>25079</v>
      </c>
      <c r="E2174" s="23" t="s">
        <v>42</v>
      </c>
      <c r="F2174" t="s">
        <v>26</v>
      </c>
      <c r="G2174" t="s">
        <v>26</v>
      </c>
      <c r="H2174" t="s">
        <v>26</v>
      </c>
      <c r="I2174" s="24">
        <v>36892</v>
      </c>
      <c r="J2174" s="24">
        <v>42005</v>
      </c>
      <c r="K2174" t="s">
        <v>26</v>
      </c>
      <c r="L2174" s="25" t="s">
        <v>28</v>
      </c>
      <c r="M2174" s="24">
        <v>36892</v>
      </c>
      <c r="N2174" s="24">
        <v>42005</v>
      </c>
      <c r="O2174" t="s">
        <v>26</v>
      </c>
      <c r="P2174" t="s">
        <v>26</v>
      </c>
      <c r="Q2174" t="s">
        <v>26</v>
      </c>
      <c r="R2174" t="s">
        <v>26</v>
      </c>
      <c r="S2174" s="24">
        <v>36892</v>
      </c>
      <c r="T2174" s="24">
        <v>42005</v>
      </c>
      <c r="U2174" t="s">
        <v>26</v>
      </c>
      <c r="V2174" t="s">
        <v>26</v>
      </c>
      <c r="W2174" s="24">
        <v>36892</v>
      </c>
      <c r="X2174" s="24">
        <v>42005</v>
      </c>
      <c r="Y2174" t="s">
        <v>26</v>
      </c>
      <c r="Z2174" s="24">
        <v>36892</v>
      </c>
      <c r="AA2174" s="24">
        <v>42005</v>
      </c>
      <c r="AB2174" t="s">
        <v>26</v>
      </c>
      <c r="AC2174" s="24">
        <v>36892</v>
      </c>
      <c r="AD2174" s="24">
        <v>42005</v>
      </c>
      <c r="AE2174" t="s">
        <v>26</v>
      </c>
      <c r="AF2174" s="24">
        <v>36892</v>
      </c>
      <c r="AG2174" s="24">
        <v>42005</v>
      </c>
      <c r="AH2174" t="s">
        <v>26</v>
      </c>
      <c r="AI2174" s="24">
        <v>36892</v>
      </c>
      <c r="AJ2174" s="24">
        <v>42005</v>
      </c>
      <c r="AK2174" t="s">
        <v>26</v>
      </c>
      <c r="AL2174" t="s">
        <v>26</v>
      </c>
      <c r="AM2174" t="s">
        <v>26</v>
      </c>
      <c r="AN2174" t="s">
        <v>26</v>
      </c>
      <c r="AO2174" s="25" t="s">
        <v>28</v>
      </c>
      <c r="AP2174" s="23" t="s">
        <v>43</v>
      </c>
      <c r="AQ2174" s="23" t="s">
        <v>30</v>
      </c>
      <c r="AR2174" s="23" t="s">
        <v>46</v>
      </c>
      <c r="AS2174" s="25">
        <v>6364617</v>
      </c>
      <c r="AT2174" t="s">
        <v>26</v>
      </c>
      <c r="AU2174" t="s">
        <v>25080</v>
      </c>
    </row>
    <row r="2175" spans="1:47" ht="26.25" x14ac:dyDescent="0.4">
      <c r="A2175" s="23" t="s">
        <v>5726</v>
      </c>
      <c r="B2175" t="s">
        <v>26</v>
      </c>
      <c r="C2175" s="23" t="s">
        <v>25081</v>
      </c>
      <c r="D2175" s="23" t="s">
        <v>25082</v>
      </c>
      <c r="E2175" s="23" t="s">
        <v>42</v>
      </c>
      <c r="F2175" t="s">
        <v>26</v>
      </c>
      <c r="G2175" t="s">
        <v>26</v>
      </c>
      <c r="H2175" t="s">
        <v>26</v>
      </c>
      <c r="I2175" s="24">
        <v>36892</v>
      </c>
      <c r="J2175" s="24">
        <v>42005</v>
      </c>
      <c r="K2175" t="s">
        <v>26</v>
      </c>
      <c r="L2175" s="25" t="s">
        <v>28</v>
      </c>
      <c r="M2175" s="24">
        <v>36892</v>
      </c>
      <c r="N2175" s="24">
        <v>42005</v>
      </c>
      <c r="O2175" t="s">
        <v>26</v>
      </c>
      <c r="P2175" t="s">
        <v>26</v>
      </c>
      <c r="Q2175" t="s">
        <v>26</v>
      </c>
      <c r="R2175" t="s">
        <v>26</v>
      </c>
      <c r="S2175" s="24">
        <v>36892</v>
      </c>
      <c r="T2175" s="24">
        <v>42005</v>
      </c>
      <c r="U2175" t="s">
        <v>26</v>
      </c>
      <c r="V2175" t="s">
        <v>26</v>
      </c>
      <c r="W2175" s="24">
        <v>36892</v>
      </c>
      <c r="X2175" s="24">
        <v>42005</v>
      </c>
      <c r="Y2175" t="s">
        <v>26</v>
      </c>
      <c r="Z2175" s="24">
        <v>36892</v>
      </c>
      <c r="AA2175" s="24">
        <v>42005</v>
      </c>
      <c r="AB2175" t="s">
        <v>26</v>
      </c>
      <c r="AC2175" s="24">
        <v>36892</v>
      </c>
      <c r="AD2175" s="24">
        <v>42005</v>
      </c>
      <c r="AE2175" t="s">
        <v>26</v>
      </c>
      <c r="AF2175" s="24">
        <v>36892</v>
      </c>
      <c r="AG2175" s="24">
        <v>42005</v>
      </c>
      <c r="AH2175" t="s">
        <v>26</v>
      </c>
      <c r="AI2175" s="24">
        <v>36892</v>
      </c>
      <c r="AJ2175" s="24">
        <v>42005</v>
      </c>
      <c r="AK2175" t="s">
        <v>26</v>
      </c>
      <c r="AL2175" t="s">
        <v>26</v>
      </c>
      <c r="AM2175" t="s">
        <v>26</v>
      </c>
      <c r="AN2175" t="s">
        <v>26</v>
      </c>
      <c r="AO2175" s="25" t="s">
        <v>28</v>
      </c>
      <c r="AP2175" s="23" t="s">
        <v>43</v>
      </c>
      <c r="AQ2175" s="23" t="s">
        <v>30</v>
      </c>
      <c r="AR2175" s="23" t="s">
        <v>46</v>
      </c>
      <c r="AS2175" s="25">
        <v>6364616</v>
      </c>
      <c r="AT2175" t="s">
        <v>26</v>
      </c>
      <c r="AU2175" t="s">
        <v>25083</v>
      </c>
    </row>
    <row r="2176" spans="1:47" ht="26.25" x14ac:dyDescent="0.4">
      <c r="A2176" s="23" t="s">
        <v>5727</v>
      </c>
      <c r="B2176" t="s">
        <v>26</v>
      </c>
      <c r="C2176" s="23" t="s">
        <v>660</v>
      </c>
      <c r="D2176" s="23" t="s">
        <v>22436</v>
      </c>
      <c r="E2176" s="23" t="s">
        <v>60</v>
      </c>
      <c r="F2176" s="25" t="s">
        <v>5728</v>
      </c>
      <c r="G2176" s="25" t="s">
        <v>5729</v>
      </c>
      <c r="H2176" t="s">
        <v>26</v>
      </c>
      <c r="I2176" t="s">
        <v>26</v>
      </c>
      <c r="J2176" t="s">
        <v>26</v>
      </c>
      <c r="K2176" t="s">
        <v>26</v>
      </c>
      <c r="L2176" s="25" t="s">
        <v>68</v>
      </c>
      <c r="M2176" t="s">
        <v>26</v>
      </c>
      <c r="N2176" t="s">
        <v>26</v>
      </c>
      <c r="O2176" t="s">
        <v>26</v>
      </c>
      <c r="P2176" t="s">
        <v>26</v>
      </c>
      <c r="Q2176" t="s">
        <v>26</v>
      </c>
      <c r="R2176" t="s">
        <v>26</v>
      </c>
      <c r="S2176" t="s">
        <v>26</v>
      </c>
      <c r="T2176" t="s">
        <v>26</v>
      </c>
      <c r="U2176" t="s">
        <v>26</v>
      </c>
      <c r="V2176" t="s">
        <v>26</v>
      </c>
      <c r="W2176" s="24">
        <v>37987</v>
      </c>
      <c r="X2176" s="25" t="s">
        <v>77</v>
      </c>
      <c r="Y2176" t="s">
        <v>26</v>
      </c>
      <c r="Z2176" s="24">
        <v>37987</v>
      </c>
      <c r="AA2176" s="25" t="s">
        <v>77</v>
      </c>
      <c r="AB2176" t="s">
        <v>26</v>
      </c>
      <c r="AC2176" s="24">
        <v>37987</v>
      </c>
      <c r="AD2176" s="25" t="s">
        <v>77</v>
      </c>
      <c r="AE2176" t="s">
        <v>26</v>
      </c>
      <c r="AF2176" t="s">
        <v>26</v>
      </c>
      <c r="AG2176" t="s">
        <v>26</v>
      </c>
      <c r="AH2176" t="s">
        <v>26</v>
      </c>
      <c r="AI2176" t="s">
        <v>26</v>
      </c>
      <c r="AJ2176" t="s">
        <v>26</v>
      </c>
      <c r="AK2176" t="s">
        <v>26</v>
      </c>
      <c r="AL2176" t="s">
        <v>26</v>
      </c>
      <c r="AM2176" t="s">
        <v>26</v>
      </c>
      <c r="AN2176" t="s">
        <v>26</v>
      </c>
      <c r="AO2176" s="25" t="s">
        <v>68</v>
      </c>
      <c r="AP2176" s="23" t="s">
        <v>69</v>
      </c>
      <c r="AQ2176" s="23" t="s">
        <v>30</v>
      </c>
      <c r="AR2176" s="23" t="s">
        <v>2541</v>
      </c>
      <c r="AS2176" s="25">
        <v>27038</v>
      </c>
      <c r="AT2176" t="s">
        <v>26</v>
      </c>
      <c r="AU2176" t="s">
        <v>25084</v>
      </c>
    </row>
    <row r="2177" spans="1:47" ht="26.25" x14ac:dyDescent="0.4">
      <c r="A2177" s="23" t="s">
        <v>5730</v>
      </c>
      <c r="B2177" t="s">
        <v>26</v>
      </c>
      <c r="C2177" s="23" t="s">
        <v>22177</v>
      </c>
      <c r="D2177" t="s">
        <v>26</v>
      </c>
      <c r="E2177" s="23" t="s">
        <v>42</v>
      </c>
      <c r="F2177" t="s">
        <v>26</v>
      </c>
      <c r="G2177" t="s">
        <v>26</v>
      </c>
      <c r="H2177" t="s">
        <v>26</v>
      </c>
      <c r="I2177" s="24">
        <v>37987</v>
      </c>
      <c r="J2177" s="24">
        <v>37987</v>
      </c>
      <c r="K2177" t="s">
        <v>26</v>
      </c>
      <c r="L2177" s="25" t="s">
        <v>28</v>
      </c>
      <c r="M2177" s="24">
        <v>37987</v>
      </c>
      <c r="N2177" s="24">
        <v>37987</v>
      </c>
      <c r="O2177" t="s">
        <v>26</v>
      </c>
      <c r="P2177" t="s">
        <v>26</v>
      </c>
      <c r="Q2177" t="s">
        <v>26</v>
      </c>
      <c r="R2177" t="s">
        <v>26</v>
      </c>
      <c r="S2177" s="24">
        <v>37987</v>
      </c>
      <c r="T2177" s="24">
        <v>37987</v>
      </c>
      <c r="U2177" t="s">
        <v>26</v>
      </c>
      <c r="V2177" t="s">
        <v>26</v>
      </c>
      <c r="W2177" s="24">
        <v>37987</v>
      </c>
      <c r="X2177" s="24">
        <v>37987</v>
      </c>
      <c r="Y2177" t="s">
        <v>26</v>
      </c>
      <c r="Z2177" s="24">
        <v>37987</v>
      </c>
      <c r="AA2177" s="24">
        <v>37987</v>
      </c>
      <c r="AB2177" t="s">
        <v>26</v>
      </c>
      <c r="AC2177" s="24">
        <v>37987</v>
      </c>
      <c r="AD2177" s="24">
        <v>37987</v>
      </c>
      <c r="AE2177" t="s">
        <v>26</v>
      </c>
      <c r="AF2177" s="24">
        <v>37987</v>
      </c>
      <c r="AG2177" s="24">
        <v>37987</v>
      </c>
      <c r="AH2177" t="s">
        <v>26</v>
      </c>
      <c r="AI2177" s="24">
        <v>37987</v>
      </c>
      <c r="AJ2177" s="24">
        <v>37987</v>
      </c>
      <c r="AK2177" t="s">
        <v>26</v>
      </c>
      <c r="AL2177" t="s">
        <v>26</v>
      </c>
      <c r="AM2177" t="s">
        <v>26</v>
      </c>
      <c r="AN2177" t="s">
        <v>26</v>
      </c>
      <c r="AO2177" s="25" t="s">
        <v>28</v>
      </c>
      <c r="AP2177" s="23" t="s">
        <v>43</v>
      </c>
      <c r="AQ2177" s="23" t="s">
        <v>30</v>
      </c>
      <c r="AR2177" s="23" t="s">
        <v>44</v>
      </c>
      <c r="AS2177" s="25">
        <v>5262103</v>
      </c>
      <c r="AT2177" t="s">
        <v>26</v>
      </c>
      <c r="AU2177" t="s">
        <v>25085</v>
      </c>
    </row>
    <row r="2178" spans="1:47" ht="26.25" x14ac:dyDescent="0.4">
      <c r="A2178" s="23" t="s">
        <v>5731</v>
      </c>
      <c r="B2178" t="s">
        <v>26</v>
      </c>
      <c r="C2178" s="23" t="s">
        <v>259</v>
      </c>
      <c r="D2178" s="23" t="s">
        <v>22179</v>
      </c>
      <c r="E2178" s="23" t="s">
        <v>60</v>
      </c>
      <c r="F2178" s="25" t="s">
        <v>5732</v>
      </c>
      <c r="G2178" s="25" t="s">
        <v>5733</v>
      </c>
      <c r="H2178" t="s">
        <v>26</v>
      </c>
      <c r="I2178" s="24">
        <v>41640</v>
      </c>
      <c r="J2178" s="25" t="s">
        <v>77</v>
      </c>
      <c r="K2178" t="s">
        <v>26</v>
      </c>
      <c r="L2178" s="25" t="s">
        <v>68</v>
      </c>
      <c r="M2178" s="24">
        <v>41640</v>
      </c>
      <c r="N2178" s="25" t="s">
        <v>77</v>
      </c>
      <c r="O2178" t="s">
        <v>26</v>
      </c>
      <c r="P2178" s="24">
        <v>41640</v>
      </c>
      <c r="Q2178" s="25" t="s">
        <v>77</v>
      </c>
      <c r="R2178" t="s">
        <v>26</v>
      </c>
      <c r="S2178" t="s">
        <v>26</v>
      </c>
      <c r="T2178" t="s">
        <v>26</v>
      </c>
      <c r="U2178" t="s">
        <v>26</v>
      </c>
      <c r="V2178" t="s">
        <v>26</v>
      </c>
      <c r="W2178" s="24">
        <v>41640</v>
      </c>
      <c r="X2178" s="25" t="s">
        <v>77</v>
      </c>
      <c r="Y2178" t="s">
        <v>26</v>
      </c>
      <c r="Z2178" s="24">
        <v>41640</v>
      </c>
      <c r="AA2178" s="25" t="s">
        <v>77</v>
      </c>
      <c r="AB2178" t="s">
        <v>26</v>
      </c>
      <c r="AC2178" s="24">
        <v>41640</v>
      </c>
      <c r="AD2178" s="25" t="s">
        <v>77</v>
      </c>
      <c r="AE2178" t="s">
        <v>26</v>
      </c>
      <c r="AF2178" t="s">
        <v>26</v>
      </c>
      <c r="AG2178" t="s">
        <v>26</v>
      </c>
      <c r="AH2178" t="s">
        <v>26</v>
      </c>
      <c r="AI2178" t="s">
        <v>26</v>
      </c>
      <c r="AJ2178" t="s">
        <v>26</v>
      </c>
      <c r="AK2178" t="s">
        <v>26</v>
      </c>
      <c r="AL2178" t="s">
        <v>26</v>
      </c>
      <c r="AM2178" t="s">
        <v>26</v>
      </c>
      <c r="AN2178" t="s">
        <v>26</v>
      </c>
      <c r="AO2178" s="25" t="s">
        <v>68</v>
      </c>
      <c r="AP2178" s="23" t="s">
        <v>69</v>
      </c>
      <c r="AQ2178" s="23" t="s">
        <v>30</v>
      </c>
      <c r="AR2178" s="23" t="s">
        <v>70</v>
      </c>
      <c r="AS2178" s="25">
        <v>2037491</v>
      </c>
      <c r="AT2178" t="s">
        <v>26</v>
      </c>
      <c r="AU2178" t="s">
        <v>25086</v>
      </c>
    </row>
    <row r="2179" spans="1:47" ht="26.25" x14ac:dyDescent="0.4">
      <c r="A2179" s="23" t="s">
        <v>5734</v>
      </c>
      <c r="B2179" t="s">
        <v>26</v>
      </c>
      <c r="C2179" s="23" t="s">
        <v>1504</v>
      </c>
      <c r="D2179" s="23" t="s">
        <v>22179</v>
      </c>
      <c r="E2179" s="23" t="s">
        <v>42</v>
      </c>
      <c r="F2179" s="25" t="s">
        <v>5735</v>
      </c>
      <c r="G2179" s="25" t="s">
        <v>5736</v>
      </c>
      <c r="H2179" t="s">
        <v>26</v>
      </c>
      <c r="I2179" s="24">
        <v>40179</v>
      </c>
      <c r="J2179" s="24">
        <v>42552</v>
      </c>
      <c r="K2179" t="s">
        <v>26</v>
      </c>
      <c r="L2179" s="25" t="s">
        <v>68</v>
      </c>
      <c r="M2179" s="24">
        <v>40179</v>
      </c>
      <c r="N2179" s="24">
        <v>42552</v>
      </c>
      <c r="O2179" t="s">
        <v>26</v>
      </c>
      <c r="P2179" s="24">
        <v>40179</v>
      </c>
      <c r="Q2179" s="24">
        <v>42552</v>
      </c>
      <c r="R2179" t="s">
        <v>26</v>
      </c>
      <c r="S2179" t="s">
        <v>26</v>
      </c>
      <c r="T2179" t="s">
        <v>26</v>
      </c>
      <c r="U2179" t="s">
        <v>26</v>
      </c>
      <c r="V2179" t="s">
        <v>26</v>
      </c>
      <c r="W2179" s="24">
        <v>40179</v>
      </c>
      <c r="X2179" s="24">
        <v>42552</v>
      </c>
      <c r="Y2179" t="s">
        <v>26</v>
      </c>
      <c r="Z2179" s="24">
        <v>40179</v>
      </c>
      <c r="AA2179" s="24">
        <v>42552</v>
      </c>
      <c r="AB2179" t="s">
        <v>26</v>
      </c>
      <c r="AC2179" s="24">
        <v>41913</v>
      </c>
      <c r="AD2179" s="24">
        <v>42552</v>
      </c>
      <c r="AE2179" t="s">
        <v>26</v>
      </c>
      <c r="AF2179" t="s">
        <v>26</v>
      </c>
      <c r="AG2179" t="s">
        <v>26</v>
      </c>
      <c r="AH2179" t="s">
        <v>26</v>
      </c>
      <c r="AI2179" t="s">
        <v>26</v>
      </c>
      <c r="AJ2179" t="s">
        <v>26</v>
      </c>
      <c r="AK2179" t="s">
        <v>26</v>
      </c>
      <c r="AL2179" t="s">
        <v>26</v>
      </c>
      <c r="AM2179" t="s">
        <v>26</v>
      </c>
      <c r="AN2179" t="s">
        <v>26</v>
      </c>
      <c r="AO2179" s="25" t="s">
        <v>68</v>
      </c>
      <c r="AP2179" s="23" t="s">
        <v>69</v>
      </c>
      <c r="AQ2179" s="23" t="s">
        <v>30</v>
      </c>
      <c r="AR2179" s="23" t="s">
        <v>1046</v>
      </c>
      <c r="AS2179" s="25">
        <v>646495</v>
      </c>
      <c r="AT2179" t="s">
        <v>26</v>
      </c>
      <c r="AU2179" t="s">
        <v>25087</v>
      </c>
    </row>
    <row r="2180" spans="1:47" ht="26.25" x14ac:dyDescent="0.4">
      <c r="A2180" s="23" t="s">
        <v>5737</v>
      </c>
      <c r="B2180" t="s">
        <v>26</v>
      </c>
      <c r="C2180" s="23" t="s">
        <v>1054</v>
      </c>
      <c r="D2180" s="23" t="s">
        <v>22634</v>
      </c>
      <c r="E2180" s="23" t="s">
        <v>335</v>
      </c>
      <c r="F2180" t="s">
        <v>26</v>
      </c>
      <c r="G2180" t="s">
        <v>26</v>
      </c>
      <c r="H2180" t="s">
        <v>26</v>
      </c>
      <c r="I2180" t="s">
        <v>26</v>
      </c>
      <c r="J2180" t="s">
        <v>26</v>
      </c>
      <c r="K2180" t="s">
        <v>26</v>
      </c>
      <c r="L2180" s="25" t="s">
        <v>28</v>
      </c>
      <c r="M2180" t="s">
        <v>26</v>
      </c>
      <c r="N2180" t="s">
        <v>26</v>
      </c>
      <c r="O2180" t="s">
        <v>26</v>
      </c>
      <c r="P2180" t="s">
        <v>26</v>
      </c>
      <c r="Q2180" t="s">
        <v>26</v>
      </c>
      <c r="R2180" t="s">
        <v>26</v>
      </c>
      <c r="S2180" t="s">
        <v>26</v>
      </c>
      <c r="T2180" t="s">
        <v>26</v>
      </c>
      <c r="U2180" t="s">
        <v>26</v>
      </c>
      <c r="V2180" t="s">
        <v>26</v>
      </c>
      <c r="W2180" s="24">
        <v>41275</v>
      </c>
      <c r="X2180" s="24">
        <v>41275</v>
      </c>
      <c r="Y2180" t="s">
        <v>26</v>
      </c>
      <c r="Z2180" s="24">
        <v>41275</v>
      </c>
      <c r="AA2180" s="24">
        <v>41275</v>
      </c>
      <c r="AB2180" t="s">
        <v>26</v>
      </c>
      <c r="AC2180" t="s">
        <v>26</v>
      </c>
      <c r="AD2180" t="s">
        <v>26</v>
      </c>
      <c r="AE2180" t="s">
        <v>26</v>
      </c>
      <c r="AF2180" t="s">
        <v>26</v>
      </c>
      <c r="AG2180" t="s">
        <v>26</v>
      </c>
      <c r="AH2180" t="s">
        <v>26</v>
      </c>
      <c r="AI2180" t="s">
        <v>26</v>
      </c>
      <c r="AJ2180" t="s">
        <v>26</v>
      </c>
      <c r="AK2180" t="s">
        <v>26</v>
      </c>
      <c r="AL2180" t="s">
        <v>26</v>
      </c>
      <c r="AM2180" t="s">
        <v>26</v>
      </c>
      <c r="AN2180" t="s">
        <v>26</v>
      </c>
      <c r="AO2180" s="25" t="s">
        <v>28</v>
      </c>
      <c r="AP2180" s="23" t="s">
        <v>29</v>
      </c>
      <c r="AQ2180" s="23" t="s">
        <v>30</v>
      </c>
      <c r="AR2180" s="23" t="s">
        <v>5738</v>
      </c>
      <c r="AS2180" s="25">
        <v>5485066</v>
      </c>
      <c r="AT2180" s="23" t="s">
        <v>22181</v>
      </c>
      <c r="AU2180" t="s">
        <v>25088</v>
      </c>
    </row>
    <row r="2181" spans="1:47" ht="13.15" x14ac:dyDescent="0.4">
      <c r="A2181" s="23" t="s">
        <v>5739</v>
      </c>
      <c r="B2181" t="s">
        <v>26</v>
      </c>
      <c r="C2181" t="s">
        <v>26</v>
      </c>
      <c r="D2181" t="s">
        <v>26</v>
      </c>
      <c r="E2181" t="s">
        <v>26</v>
      </c>
      <c r="F2181" t="s">
        <v>26</v>
      </c>
      <c r="G2181" t="s">
        <v>26</v>
      </c>
      <c r="H2181" t="s">
        <v>26</v>
      </c>
      <c r="I2181" s="25" t="s">
        <v>5740</v>
      </c>
      <c r="J2181" s="25" t="s">
        <v>5740</v>
      </c>
      <c r="K2181" t="s">
        <v>26</v>
      </c>
      <c r="L2181" s="25" t="s">
        <v>28</v>
      </c>
      <c r="M2181" s="25" t="s">
        <v>5740</v>
      </c>
      <c r="N2181" s="25" t="s">
        <v>5740</v>
      </c>
      <c r="O2181" t="s">
        <v>26</v>
      </c>
      <c r="P2181" t="s">
        <v>26</v>
      </c>
      <c r="Q2181" t="s">
        <v>26</v>
      </c>
      <c r="R2181" t="s">
        <v>26</v>
      </c>
      <c r="S2181" t="s">
        <v>26</v>
      </c>
      <c r="T2181" t="s">
        <v>26</v>
      </c>
      <c r="U2181" t="s">
        <v>26</v>
      </c>
      <c r="V2181" t="s">
        <v>26</v>
      </c>
      <c r="W2181" s="25" t="s">
        <v>5740</v>
      </c>
      <c r="X2181" s="25" t="s">
        <v>5740</v>
      </c>
      <c r="Y2181" t="s">
        <v>26</v>
      </c>
      <c r="Z2181" s="25" t="s">
        <v>5740</v>
      </c>
      <c r="AA2181" s="25" t="s">
        <v>5740</v>
      </c>
      <c r="AB2181" t="s">
        <v>26</v>
      </c>
      <c r="AC2181" s="25" t="s">
        <v>5740</v>
      </c>
      <c r="AD2181" s="25" t="s">
        <v>5740</v>
      </c>
      <c r="AE2181" t="s">
        <v>26</v>
      </c>
      <c r="AF2181" t="s">
        <v>26</v>
      </c>
      <c r="AG2181" t="s">
        <v>26</v>
      </c>
      <c r="AH2181" t="s">
        <v>26</v>
      </c>
      <c r="AI2181" t="s">
        <v>26</v>
      </c>
      <c r="AJ2181" t="s">
        <v>26</v>
      </c>
      <c r="AK2181" t="s">
        <v>26</v>
      </c>
      <c r="AL2181" t="s">
        <v>26</v>
      </c>
      <c r="AM2181" t="s">
        <v>26</v>
      </c>
      <c r="AN2181" t="s">
        <v>26</v>
      </c>
      <c r="AO2181" s="25" t="s">
        <v>28</v>
      </c>
      <c r="AP2181" s="23" t="s">
        <v>29</v>
      </c>
      <c r="AQ2181" s="23" t="s">
        <v>30</v>
      </c>
      <c r="AR2181" s="23" t="s">
        <v>46</v>
      </c>
      <c r="AS2181" s="25">
        <v>6438234</v>
      </c>
      <c r="AT2181" t="s">
        <v>26</v>
      </c>
      <c r="AU2181" t="s">
        <v>25089</v>
      </c>
    </row>
    <row r="2182" spans="1:47" ht="26.25" x14ac:dyDescent="0.4">
      <c r="A2182" s="23" t="s">
        <v>5741</v>
      </c>
      <c r="B2182" t="s">
        <v>26</v>
      </c>
      <c r="C2182" s="23" t="s">
        <v>73</v>
      </c>
      <c r="D2182" s="23" t="s">
        <v>22179</v>
      </c>
      <c r="E2182" s="23" t="s">
        <v>74</v>
      </c>
      <c r="F2182" s="25" t="s">
        <v>5742</v>
      </c>
      <c r="G2182" s="25" t="s">
        <v>5743</v>
      </c>
      <c r="H2182" t="s">
        <v>26</v>
      </c>
      <c r="I2182" s="24">
        <v>35431</v>
      </c>
      <c r="J2182" s="25" t="s">
        <v>77</v>
      </c>
      <c r="K2182" t="s">
        <v>26</v>
      </c>
      <c r="L2182" s="25" t="s">
        <v>68</v>
      </c>
      <c r="M2182" s="24">
        <v>37987</v>
      </c>
      <c r="N2182" s="24">
        <v>42887</v>
      </c>
      <c r="O2182" t="s">
        <v>26</v>
      </c>
      <c r="P2182" s="24">
        <v>35431</v>
      </c>
      <c r="Q2182" s="25" t="s">
        <v>77</v>
      </c>
      <c r="R2182" t="s">
        <v>26</v>
      </c>
      <c r="S2182" t="s">
        <v>26</v>
      </c>
      <c r="T2182" t="s">
        <v>26</v>
      </c>
      <c r="U2182" t="s">
        <v>26</v>
      </c>
      <c r="V2182" s="25">
        <v>365</v>
      </c>
      <c r="W2182" s="24">
        <v>35431</v>
      </c>
      <c r="X2182" s="25" t="s">
        <v>77</v>
      </c>
      <c r="Y2182" t="s">
        <v>26</v>
      </c>
      <c r="Z2182" s="24">
        <v>35431</v>
      </c>
      <c r="AA2182" s="25" t="s">
        <v>77</v>
      </c>
      <c r="AB2182" t="s">
        <v>26</v>
      </c>
      <c r="AC2182" s="24">
        <v>35431</v>
      </c>
      <c r="AD2182" s="25" t="s">
        <v>77</v>
      </c>
      <c r="AE2182" t="s">
        <v>26</v>
      </c>
      <c r="AF2182" t="s">
        <v>26</v>
      </c>
      <c r="AG2182" t="s">
        <v>26</v>
      </c>
      <c r="AH2182" t="s">
        <v>26</v>
      </c>
      <c r="AI2182" t="s">
        <v>26</v>
      </c>
      <c r="AJ2182" t="s">
        <v>26</v>
      </c>
      <c r="AK2182" t="s">
        <v>26</v>
      </c>
      <c r="AL2182" t="s">
        <v>26</v>
      </c>
      <c r="AM2182" t="s">
        <v>26</v>
      </c>
      <c r="AN2182" t="s">
        <v>26</v>
      </c>
      <c r="AO2182" s="25" t="s">
        <v>68</v>
      </c>
      <c r="AP2182" s="23" t="s">
        <v>69</v>
      </c>
      <c r="AQ2182" s="23" t="s">
        <v>30</v>
      </c>
      <c r="AR2182" s="23" t="s">
        <v>3141</v>
      </c>
      <c r="AS2182" s="25">
        <v>54029</v>
      </c>
      <c r="AT2182" t="s">
        <v>26</v>
      </c>
      <c r="AU2182" t="s">
        <v>25090</v>
      </c>
    </row>
    <row r="2183" spans="1:47" ht="26.25" x14ac:dyDescent="0.4">
      <c r="A2183" s="23" t="s">
        <v>25091</v>
      </c>
      <c r="B2183" t="s">
        <v>26</v>
      </c>
      <c r="C2183" s="23" t="s">
        <v>399</v>
      </c>
      <c r="D2183" s="23" t="s">
        <v>22242</v>
      </c>
      <c r="E2183" s="23" t="s">
        <v>60</v>
      </c>
      <c r="F2183" t="s">
        <v>26</v>
      </c>
      <c r="G2183" t="s">
        <v>26</v>
      </c>
      <c r="H2183" t="s">
        <v>26</v>
      </c>
      <c r="I2183" t="s">
        <v>26</v>
      </c>
      <c r="J2183" t="s">
        <v>26</v>
      </c>
      <c r="K2183" t="s">
        <v>26</v>
      </c>
      <c r="L2183" s="25" t="s">
        <v>28</v>
      </c>
      <c r="M2183" t="s">
        <v>26</v>
      </c>
      <c r="N2183" t="s">
        <v>26</v>
      </c>
      <c r="O2183" t="s">
        <v>26</v>
      </c>
      <c r="P2183" t="s">
        <v>26</v>
      </c>
      <c r="Q2183" t="s">
        <v>26</v>
      </c>
      <c r="R2183" t="s">
        <v>26</v>
      </c>
      <c r="S2183" t="s">
        <v>26</v>
      </c>
      <c r="T2183" t="s">
        <v>26</v>
      </c>
      <c r="U2183" t="s">
        <v>26</v>
      </c>
      <c r="V2183" t="s">
        <v>26</v>
      </c>
      <c r="W2183" s="24">
        <v>39814</v>
      </c>
      <c r="X2183" s="24">
        <v>39814</v>
      </c>
      <c r="Y2183" t="s">
        <v>26</v>
      </c>
      <c r="Z2183" s="24">
        <v>39814</v>
      </c>
      <c r="AA2183" s="24">
        <v>39814</v>
      </c>
      <c r="AB2183" t="s">
        <v>26</v>
      </c>
      <c r="AC2183" t="s">
        <v>26</v>
      </c>
      <c r="AD2183" t="s">
        <v>26</v>
      </c>
      <c r="AE2183" t="s">
        <v>26</v>
      </c>
      <c r="AF2183" t="s">
        <v>26</v>
      </c>
      <c r="AG2183" t="s">
        <v>26</v>
      </c>
      <c r="AH2183" t="s">
        <v>26</v>
      </c>
      <c r="AI2183" t="s">
        <v>26</v>
      </c>
      <c r="AJ2183" t="s">
        <v>26</v>
      </c>
      <c r="AK2183" t="s">
        <v>26</v>
      </c>
      <c r="AL2183" t="s">
        <v>26</v>
      </c>
      <c r="AM2183" t="s">
        <v>26</v>
      </c>
      <c r="AN2183" t="s">
        <v>26</v>
      </c>
      <c r="AO2183" s="25" t="s">
        <v>28</v>
      </c>
      <c r="AP2183" s="23" t="s">
        <v>29</v>
      </c>
      <c r="AQ2183" s="23" t="s">
        <v>30</v>
      </c>
      <c r="AR2183" s="23" t="s">
        <v>25092</v>
      </c>
      <c r="AS2183" s="25">
        <v>6394497</v>
      </c>
      <c r="AT2183" t="s">
        <v>26</v>
      </c>
      <c r="AU2183" t="s">
        <v>25093</v>
      </c>
    </row>
    <row r="2184" spans="1:47" ht="39.4" x14ac:dyDescent="0.4">
      <c r="A2184" s="23" t="s">
        <v>5744</v>
      </c>
      <c r="B2184" t="s">
        <v>26</v>
      </c>
      <c r="C2184" t="s">
        <v>26</v>
      </c>
      <c r="D2184" t="s">
        <v>26</v>
      </c>
      <c r="E2184" t="s">
        <v>26</v>
      </c>
      <c r="F2184" t="s">
        <v>26</v>
      </c>
      <c r="G2184" t="s">
        <v>26</v>
      </c>
      <c r="H2184" t="s">
        <v>26</v>
      </c>
      <c r="I2184" s="24">
        <v>5115</v>
      </c>
      <c r="J2184" s="24">
        <v>5115</v>
      </c>
      <c r="K2184" t="s">
        <v>26</v>
      </c>
      <c r="L2184" s="25" t="s">
        <v>28</v>
      </c>
      <c r="M2184" t="s">
        <v>26</v>
      </c>
      <c r="N2184" t="s">
        <v>26</v>
      </c>
      <c r="O2184" t="s">
        <v>26</v>
      </c>
      <c r="P2184" s="24">
        <v>5115</v>
      </c>
      <c r="Q2184" s="24">
        <v>5115</v>
      </c>
      <c r="R2184" t="s">
        <v>26</v>
      </c>
      <c r="S2184" t="s">
        <v>26</v>
      </c>
      <c r="T2184" t="s">
        <v>26</v>
      </c>
      <c r="U2184" t="s">
        <v>26</v>
      </c>
      <c r="V2184" t="s">
        <v>26</v>
      </c>
      <c r="W2184" s="24">
        <v>5115</v>
      </c>
      <c r="X2184" s="24">
        <v>5115</v>
      </c>
      <c r="Y2184" t="s">
        <v>26</v>
      </c>
      <c r="Z2184" s="24">
        <v>5115</v>
      </c>
      <c r="AA2184" s="24">
        <v>5115</v>
      </c>
      <c r="AB2184" t="s">
        <v>26</v>
      </c>
      <c r="AC2184" t="s">
        <v>26</v>
      </c>
      <c r="AD2184" t="s">
        <v>26</v>
      </c>
      <c r="AE2184" t="s">
        <v>26</v>
      </c>
      <c r="AF2184" t="s">
        <v>26</v>
      </c>
      <c r="AG2184" t="s">
        <v>26</v>
      </c>
      <c r="AH2184" t="s">
        <v>26</v>
      </c>
      <c r="AI2184" t="s">
        <v>26</v>
      </c>
      <c r="AJ2184" t="s">
        <v>26</v>
      </c>
      <c r="AK2184" t="s">
        <v>26</v>
      </c>
      <c r="AL2184" t="s">
        <v>26</v>
      </c>
      <c r="AM2184" t="s">
        <v>26</v>
      </c>
      <c r="AN2184" t="s">
        <v>26</v>
      </c>
      <c r="AO2184" s="25" t="s">
        <v>28</v>
      </c>
      <c r="AP2184" s="23" t="s">
        <v>45</v>
      </c>
      <c r="AQ2184" s="23" t="s">
        <v>30</v>
      </c>
      <c r="AR2184" s="23" t="s">
        <v>46</v>
      </c>
      <c r="AS2184" s="25">
        <v>5983399</v>
      </c>
      <c r="AT2184" t="s">
        <v>26</v>
      </c>
      <c r="AU2184" t="s">
        <v>25094</v>
      </c>
    </row>
    <row r="2185" spans="1:47" ht="26.25" x14ac:dyDescent="0.4">
      <c r="A2185" s="23" t="s">
        <v>5745</v>
      </c>
      <c r="B2185" t="s">
        <v>26</v>
      </c>
      <c r="C2185" s="23" t="s">
        <v>465</v>
      </c>
      <c r="D2185" s="23" t="s">
        <v>23565</v>
      </c>
      <c r="E2185" s="23" t="s">
        <v>42</v>
      </c>
      <c r="F2185" s="25" t="s">
        <v>5746</v>
      </c>
      <c r="G2185" s="25" t="s">
        <v>5747</v>
      </c>
      <c r="H2185" t="s">
        <v>26</v>
      </c>
      <c r="I2185" t="s">
        <v>26</v>
      </c>
      <c r="J2185" t="s">
        <v>26</v>
      </c>
      <c r="K2185" t="s">
        <v>26</v>
      </c>
      <c r="L2185" s="25" t="s">
        <v>68</v>
      </c>
      <c r="M2185" t="s">
        <v>26</v>
      </c>
      <c r="N2185" t="s">
        <v>26</v>
      </c>
      <c r="O2185" t="s">
        <v>26</v>
      </c>
      <c r="P2185" t="s">
        <v>26</v>
      </c>
      <c r="Q2185" t="s">
        <v>26</v>
      </c>
      <c r="R2185" t="s">
        <v>26</v>
      </c>
      <c r="S2185" t="s">
        <v>26</v>
      </c>
      <c r="T2185" t="s">
        <v>26</v>
      </c>
      <c r="U2185" t="s">
        <v>26</v>
      </c>
      <c r="V2185" t="s">
        <v>26</v>
      </c>
      <c r="W2185" s="24">
        <v>37895</v>
      </c>
      <c r="X2185" s="25" t="s">
        <v>77</v>
      </c>
      <c r="Y2185" t="s">
        <v>26</v>
      </c>
      <c r="Z2185" s="24">
        <v>37895</v>
      </c>
      <c r="AA2185" s="25" t="s">
        <v>77</v>
      </c>
      <c r="AB2185" t="s">
        <v>26</v>
      </c>
      <c r="AC2185" s="24">
        <v>37895</v>
      </c>
      <c r="AD2185" s="25" t="s">
        <v>77</v>
      </c>
      <c r="AE2185" t="s">
        <v>26</v>
      </c>
      <c r="AF2185" t="s">
        <v>26</v>
      </c>
      <c r="AG2185" t="s">
        <v>26</v>
      </c>
      <c r="AH2185" t="s">
        <v>26</v>
      </c>
      <c r="AI2185" t="s">
        <v>26</v>
      </c>
      <c r="AJ2185" t="s">
        <v>26</v>
      </c>
      <c r="AK2185" t="s">
        <v>26</v>
      </c>
      <c r="AL2185" t="s">
        <v>26</v>
      </c>
      <c r="AM2185" t="s">
        <v>26</v>
      </c>
      <c r="AN2185" t="s">
        <v>26</v>
      </c>
      <c r="AO2185" s="25" t="s">
        <v>68</v>
      </c>
      <c r="AP2185" s="23" t="s">
        <v>69</v>
      </c>
      <c r="AQ2185" s="23" t="s">
        <v>30</v>
      </c>
      <c r="AR2185" s="23" t="s">
        <v>46</v>
      </c>
      <c r="AS2185" s="25">
        <v>46562</v>
      </c>
      <c r="AT2185" t="s">
        <v>26</v>
      </c>
      <c r="AU2185" t="s">
        <v>25095</v>
      </c>
    </row>
    <row r="2186" spans="1:47" ht="26.25" x14ac:dyDescent="0.4">
      <c r="A2186" s="23" t="s">
        <v>5748</v>
      </c>
      <c r="B2186" t="s">
        <v>26</v>
      </c>
      <c r="C2186" s="23" t="s">
        <v>5749</v>
      </c>
      <c r="D2186" s="23" t="s">
        <v>25096</v>
      </c>
      <c r="E2186" s="23" t="s">
        <v>155</v>
      </c>
      <c r="F2186" s="25" t="s">
        <v>5750</v>
      </c>
      <c r="G2186" t="s">
        <v>26</v>
      </c>
      <c r="H2186" t="s">
        <v>26</v>
      </c>
      <c r="I2186" s="24">
        <v>38534</v>
      </c>
      <c r="J2186" s="25" t="s">
        <v>77</v>
      </c>
      <c r="K2186" t="s">
        <v>26</v>
      </c>
      <c r="L2186" s="25" t="s">
        <v>68</v>
      </c>
      <c r="M2186" s="24">
        <v>38534</v>
      </c>
      <c r="N2186" s="25" t="s">
        <v>77</v>
      </c>
      <c r="O2186" t="s">
        <v>26</v>
      </c>
      <c r="P2186" s="24">
        <v>38534</v>
      </c>
      <c r="Q2186" s="25" t="s">
        <v>77</v>
      </c>
      <c r="R2186" t="s">
        <v>26</v>
      </c>
      <c r="S2186" t="s">
        <v>26</v>
      </c>
      <c r="T2186" t="s">
        <v>26</v>
      </c>
      <c r="U2186" t="s">
        <v>26</v>
      </c>
      <c r="V2186" t="s">
        <v>26</v>
      </c>
      <c r="W2186" s="24">
        <v>38534</v>
      </c>
      <c r="X2186" s="25" t="s">
        <v>77</v>
      </c>
      <c r="Y2186" t="s">
        <v>26</v>
      </c>
      <c r="Z2186" s="24">
        <v>38534</v>
      </c>
      <c r="AA2186" s="25" t="s">
        <v>77</v>
      </c>
      <c r="AB2186" t="s">
        <v>26</v>
      </c>
      <c r="AC2186" s="24">
        <v>42917</v>
      </c>
      <c r="AD2186" s="25" t="s">
        <v>77</v>
      </c>
      <c r="AE2186" t="s">
        <v>26</v>
      </c>
      <c r="AF2186" t="s">
        <v>26</v>
      </c>
      <c r="AG2186" t="s">
        <v>26</v>
      </c>
      <c r="AH2186" t="s">
        <v>26</v>
      </c>
      <c r="AI2186" t="s">
        <v>26</v>
      </c>
      <c r="AJ2186" t="s">
        <v>26</v>
      </c>
      <c r="AK2186" t="s">
        <v>26</v>
      </c>
      <c r="AL2186" t="s">
        <v>26</v>
      </c>
      <c r="AM2186" t="s">
        <v>26</v>
      </c>
      <c r="AN2186" t="s">
        <v>26</v>
      </c>
      <c r="AO2186" s="25" t="s">
        <v>68</v>
      </c>
      <c r="AP2186" s="23" t="s">
        <v>69</v>
      </c>
      <c r="AQ2186" s="23" t="s">
        <v>142</v>
      </c>
      <c r="AR2186" s="23" t="s">
        <v>46</v>
      </c>
      <c r="AS2186" s="25">
        <v>55415</v>
      </c>
      <c r="AT2186" t="s">
        <v>26</v>
      </c>
      <c r="AU2186" t="s">
        <v>25097</v>
      </c>
    </row>
    <row r="2187" spans="1:47" ht="13.15" x14ac:dyDescent="0.4">
      <c r="A2187" s="23" t="s">
        <v>5751</v>
      </c>
      <c r="B2187" t="s">
        <v>26</v>
      </c>
      <c r="C2187" s="23" t="s">
        <v>146</v>
      </c>
      <c r="D2187" s="23" t="s">
        <v>22174</v>
      </c>
      <c r="E2187" s="23" t="s">
        <v>60</v>
      </c>
      <c r="F2187" t="s">
        <v>26</v>
      </c>
      <c r="G2187" t="s">
        <v>26</v>
      </c>
      <c r="H2187" t="s">
        <v>26</v>
      </c>
      <c r="I2187" t="s">
        <v>26</v>
      </c>
      <c r="J2187" t="s">
        <v>26</v>
      </c>
      <c r="K2187" t="s">
        <v>26</v>
      </c>
      <c r="L2187" s="25" t="s">
        <v>28</v>
      </c>
      <c r="M2187" t="s">
        <v>26</v>
      </c>
      <c r="N2187" t="s">
        <v>26</v>
      </c>
      <c r="O2187" t="s">
        <v>26</v>
      </c>
      <c r="P2187" t="s">
        <v>26</v>
      </c>
      <c r="Q2187" t="s">
        <v>26</v>
      </c>
      <c r="R2187" t="s">
        <v>26</v>
      </c>
      <c r="S2187" t="s">
        <v>26</v>
      </c>
      <c r="T2187" t="s">
        <v>26</v>
      </c>
      <c r="U2187" t="s">
        <v>26</v>
      </c>
      <c r="V2187" t="s">
        <v>26</v>
      </c>
      <c r="W2187" s="24">
        <v>42370</v>
      </c>
      <c r="X2187" s="24">
        <v>42370</v>
      </c>
      <c r="Y2187" t="s">
        <v>26</v>
      </c>
      <c r="Z2187" s="24">
        <v>42370</v>
      </c>
      <c r="AA2187" s="24">
        <v>42370</v>
      </c>
      <c r="AB2187" t="s">
        <v>26</v>
      </c>
      <c r="AC2187" t="s">
        <v>26</v>
      </c>
      <c r="AD2187" t="s">
        <v>26</v>
      </c>
      <c r="AE2187" t="s">
        <v>26</v>
      </c>
      <c r="AF2187" t="s">
        <v>26</v>
      </c>
      <c r="AG2187" t="s">
        <v>26</v>
      </c>
      <c r="AH2187" t="s">
        <v>26</v>
      </c>
      <c r="AI2187" t="s">
        <v>26</v>
      </c>
      <c r="AJ2187" t="s">
        <v>26</v>
      </c>
      <c r="AK2187" t="s">
        <v>26</v>
      </c>
      <c r="AL2187" t="s">
        <v>26</v>
      </c>
      <c r="AM2187" t="s">
        <v>26</v>
      </c>
      <c r="AN2187" t="s">
        <v>26</v>
      </c>
      <c r="AO2187" s="25" t="s">
        <v>28</v>
      </c>
      <c r="AP2187" s="23" t="s">
        <v>29</v>
      </c>
      <c r="AQ2187" s="23" t="s">
        <v>30</v>
      </c>
      <c r="AR2187" s="23" t="s">
        <v>245</v>
      </c>
      <c r="AS2187" s="25">
        <v>5485108</v>
      </c>
      <c r="AT2187" s="23" t="s">
        <v>22181</v>
      </c>
      <c r="AU2187" t="s">
        <v>25098</v>
      </c>
    </row>
    <row r="2188" spans="1:47" ht="26.25" x14ac:dyDescent="0.4">
      <c r="A2188" s="23" t="s">
        <v>5752</v>
      </c>
      <c r="B2188" t="s">
        <v>26</v>
      </c>
      <c r="C2188" s="23" t="s">
        <v>107</v>
      </c>
      <c r="D2188" s="23" t="s">
        <v>25099</v>
      </c>
      <c r="E2188" s="23" t="s">
        <v>42</v>
      </c>
      <c r="F2188" s="25" t="s">
        <v>5753</v>
      </c>
      <c r="G2188" s="25" t="s">
        <v>5754</v>
      </c>
      <c r="H2188" t="s">
        <v>26</v>
      </c>
      <c r="I2188" t="s">
        <v>26</v>
      </c>
      <c r="J2188" t="s">
        <v>26</v>
      </c>
      <c r="K2188" t="s">
        <v>26</v>
      </c>
      <c r="L2188" s="25" t="s">
        <v>68</v>
      </c>
      <c r="M2188" t="s">
        <v>26</v>
      </c>
      <c r="N2188" t="s">
        <v>26</v>
      </c>
      <c r="O2188" t="s">
        <v>26</v>
      </c>
      <c r="P2188" t="s">
        <v>26</v>
      </c>
      <c r="Q2188" t="s">
        <v>26</v>
      </c>
      <c r="R2188" t="s">
        <v>26</v>
      </c>
      <c r="S2188" t="s">
        <v>26</v>
      </c>
      <c r="T2188" t="s">
        <v>26</v>
      </c>
      <c r="U2188" t="s">
        <v>26</v>
      </c>
      <c r="V2188" t="s">
        <v>26</v>
      </c>
      <c r="W2188" s="24">
        <v>34366</v>
      </c>
      <c r="X2188" s="25" t="s">
        <v>77</v>
      </c>
      <c r="Y2188" t="s">
        <v>26</v>
      </c>
      <c r="Z2188" s="24">
        <v>34366</v>
      </c>
      <c r="AA2188" s="25" t="s">
        <v>77</v>
      </c>
      <c r="AB2188" t="s">
        <v>26</v>
      </c>
      <c r="AC2188" s="24">
        <v>34366</v>
      </c>
      <c r="AD2188" s="25" t="s">
        <v>77</v>
      </c>
      <c r="AE2188" t="s">
        <v>26</v>
      </c>
      <c r="AF2188" t="s">
        <v>26</v>
      </c>
      <c r="AG2188" t="s">
        <v>26</v>
      </c>
      <c r="AH2188" t="s">
        <v>26</v>
      </c>
      <c r="AI2188" t="s">
        <v>26</v>
      </c>
      <c r="AJ2188" t="s">
        <v>26</v>
      </c>
      <c r="AK2188" t="s">
        <v>26</v>
      </c>
      <c r="AL2188" t="s">
        <v>26</v>
      </c>
      <c r="AM2188" t="s">
        <v>26</v>
      </c>
      <c r="AN2188" t="s">
        <v>26</v>
      </c>
      <c r="AO2188" s="25" t="s">
        <v>68</v>
      </c>
      <c r="AP2188" s="23" t="s">
        <v>69</v>
      </c>
      <c r="AQ2188" s="23" t="s">
        <v>30</v>
      </c>
      <c r="AR2188" s="23" t="s">
        <v>46</v>
      </c>
      <c r="AS2188" s="25">
        <v>29959</v>
      </c>
      <c r="AT2188" t="s">
        <v>26</v>
      </c>
      <c r="AU2188" t="s">
        <v>25100</v>
      </c>
    </row>
    <row r="2189" spans="1:47" ht="26.25" x14ac:dyDescent="0.4">
      <c r="A2189" s="23" t="s">
        <v>5755</v>
      </c>
      <c r="B2189" s="23" t="s">
        <v>5756</v>
      </c>
      <c r="C2189" s="23" t="s">
        <v>59</v>
      </c>
      <c r="D2189" s="23" t="s">
        <v>22174</v>
      </c>
      <c r="E2189" s="23" t="s">
        <v>60</v>
      </c>
      <c r="F2189" t="s">
        <v>26</v>
      </c>
      <c r="G2189" t="s">
        <v>26</v>
      </c>
      <c r="H2189" s="25" t="s">
        <v>5757</v>
      </c>
      <c r="I2189" s="24">
        <v>41640</v>
      </c>
      <c r="J2189" s="24">
        <v>41640</v>
      </c>
      <c r="K2189" t="s">
        <v>26</v>
      </c>
      <c r="L2189" s="25" t="s">
        <v>28</v>
      </c>
      <c r="M2189" s="24">
        <v>41640</v>
      </c>
      <c r="N2189" s="24">
        <v>41640</v>
      </c>
      <c r="O2189" t="s">
        <v>26</v>
      </c>
      <c r="P2189" s="24">
        <v>41640</v>
      </c>
      <c r="Q2189" s="24">
        <v>41640</v>
      </c>
      <c r="R2189" t="s">
        <v>26</v>
      </c>
      <c r="S2189" t="s">
        <v>26</v>
      </c>
      <c r="T2189" t="s">
        <v>26</v>
      </c>
      <c r="U2189" t="s">
        <v>26</v>
      </c>
      <c r="V2189" t="s">
        <v>26</v>
      </c>
      <c r="W2189" s="24">
        <v>41640</v>
      </c>
      <c r="X2189" s="24">
        <v>41640</v>
      </c>
      <c r="Y2189" t="s">
        <v>26</v>
      </c>
      <c r="Z2189" s="24">
        <v>41640</v>
      </c>
      <c r="AA2189" s="24">
        <v>41640</v>
      </c>
      <c r="AB2189" t="s">
        <v>26</v>
      </c>
      <c r="AC2189" s="24">
        <v>41640</v>
      </c>
      <c r="AD2189" s="24">
        <v>41640</v>
      </c>
      <c r="AE2189" t="s">
        <v>26</v>
      </c>
      <c r="AF2189" t="s">
        <v>26</v>
      </c>
      <c r="AG2189" t="s">
        <v>26</v>
      </c>
      <c r="AH2189" t="s">
        <v>26</v>
      </c>
      <c r="AI2189" t="s">
        <v>26</v>
      </c>
      <c r="AJ2189" t="s">
        <v>26</v>
      </c>
      <c r="AK2189" t="s">
        <v>26</v>
      </c>
      <c r="AL2189" t="s">
        <v>26</v>
      </c>
      <c r="AM2189" t="s">
        <v>26</v>
      </c>
      <c r="AN2189" t="s">
        <v>26</v>
      </c>
      <c r="AO2189" s="25" t="s">
        <v>28</v>
      </c>
      <c r="AP2189" s="23" t="s">
        <v>29</v>
      </c>
      <c r="AQ2189" s="23" t="s">
        <v>30</v>
      </c>
      <c r="AR2189" s="23" t="s">
        <v>1688</v>
      </c>
      <c r="AS2189" s="25">
        <v>2043203</v>
      </c>
      <c r="AT2189" t="s">
        <v>26</v>
      </c>
      <c r="AU2189" t="s">
        <v>25101</v>
      </c>
    </row>
    <row r="2190" spans="1:47" ht="26.25" x14ac:dyDescent="0.4">
      <c r="A2190" s="23" t="s">
        <v>5758</v>
      </c>
      <c r="B2190" t="s">
        <v>26</v>
      </c>
      <c r="C2190" s="23" t="s">
        <v>1784</v>
      </c>
      <c r="D2190" t="s">
        <v>26</v>
      </c>
      <c r="E2190" s="23" t="s">
        <v>60</v>
      </c>
      <c r="F2190" t="s">
        <v>26</v>
      </c>
      <c r="G2190" t="s">
        <v>26</v>
      </c>
      <c r="H2190" t="s">
        <v>26</v>
      </c>
      <c r="I2190" s="24">
        <v>41640</v>
      </c>
      <c r="J2190" s="24">
        <v>41640</v>
      </c>
      <c r="K2190" t="s">
        <v>26</v>
      </c>
      <c r="L2190" s="25" t="s">
        <v>28</v>
      </c>
      <c r="M2190" s="24">
        <v>41640</v>
      </c>
      <c r="N2190" s="24">
        <v>41640</v>
      </c>
      <c r="O2190" t="s">
        <v>26</v>
      </c>
      <c r="P2190" t="s">
        <v>26</v>
      </c>
      <c r="Q2190" t="s">
        <v>26</v>
      </c>
      <c r="R2190" t="s">
        <v>26</v>
      </c>
      <c r="S2190" s="24">
        <v>41640</v>
      </c>
      <c r="T2190" s="24">
        <v>41640</v>
      </c>
      <c r="U2190" t="s">
        <v>26</v>
      </c>
      <c r="V2190" t="s">
        <v>26</v>
      </c>
      <c r="W2190" s="24">
        <v>41640</v>
      </c>
      <c r="X2190" s="24">
        <v>41640</v>
      </c>
      <c r="Y2190" t="s">
        <v>26</v>
      </c>
      <c r="Z2190" s="24">
        <v>41640</v>
      </c>
      <c r="AA2190" s="24">
        <v>41640</v>
      </c>
      <c r="AB2190" t="s">
        <v>26</v>
      </c>
      <c r="AC2190" s="24">
        <v>41640</v>
      </c>
      <c r="AD2190" s="24">
        <v>41640</v>
      </c>
      <c r="AE2190" t="s">
        <v>26</v>
      </c>
      <c r="AF2190" s="24">
        <v>41640</v>
      </c>
      <c r="AG2190" s="24">
        <v>41640</v>
      </c>
      <c r="AH2190" t="s">
        <v>26</v>
      </c>
      <c r="AI2190" s="24">
        <v>41640</v>
      </c>
      <c r="AJ2190" s="24">
        <v>41640</v>
      </c>
      <c r="AK2190" t="s">
        <v>26</v>
      </c>
      <c r="AL2190" t="s">
        <v>26</v>
      </c>
      <c r="AM2190" t="s">
        <v>26</v>
      </c>
      <c r="AN2190" t="s">
        <v>26</v>
      </c>
      <c r="AO2190" s="25" t="s">
        <v>28</v>
      </c>
      <c r="AP2190" s="23" t="s">
        <v>43</v>
      </c>
      <c r="AQ2190" s="23" t="s">
        <v>30</v>
      </c>
      <c r="AR2190" s="23" t="s">
        <v>44</v>
      </c>
      <c r="AS2190" s="25">
        <v>5263180</v>
      </c>
      <c r="AT2190" t="s">
        <v>26</v>
      </c>
      <c r="AU2190" t="s">
        <v>25102</v>
      </c>
    </row>
    <row r="2191" spans="1:47" ht="26.25" x14ac:dyDescent="0.4">
      <c r="A2191" s="23" t="s">
        <v>5759</v>
      </c>
      <c r="B2191" t="s">
        <v>26</v>
      </c>
      <c r="C2191" s="23" t="s">
        <v>146</v>
      </c>
      <c r="D2191" s="23" t="s">
        <v>22174</v>
      </c>
      <c r="E2191" s="23" t="s">
        <v>60</v>
      </c>
      <c r="F2191" t="s">
        <v>26</v>
      </c>
      <c r="G2191" t="s">
        <v>26</v>
      </c>
      <c r="H2191" t="s">
        <v>26</v>
      </c>
      <c r="I2191" t="s">
        <v>26</v>
      </c>
      <c r="J2191" t="s">
        <v>26</v>
      </c>
      <c r="K2191" t="s">
        <v>26</v>
      </c>
      <c r="L2191" s="25" t="s">
        <v>28</v>
      </c>
      <c r="M2191" t="s">
        <v>26</v>
      </c>
      <c r="N2191" t="s">
        <v>26</v>
      </c>
      <c r="O2191" t="s">
        <v>26</v>
      </c>
      <c r="P2191" t="s">
        <v>26</v>
      </c>
      <c r="Q2191" t="s">
        <v>26</v>
      </c>
      <c r="R2191" t="s">
        <v>26</v>
      </c>
      <c r="S2191" t="s">
        <v>26</v>
      </c>
      <c r="T2191" t="s">
        <v>26</v>
      </c>
      <c r="U2191" t="s">
        <v>26</v>
      </c>
      <c r="V2191" t="s">
        <v>26</v>
      </c>
      <c r="W2191" s="24">
        <v>42370</v>
      </c>
      <c r="X2191" s="24">
        <v>42370</v>
      </c>
      <c r="Y2191" t="s">
        <v>26</v>
      </c>
      <c r="Z2191" s="24">
        <v>42370</v>
      </c>
      <c r="AA2191" s="24">
        <v>42370</v>
      </c>
      <c r="AB2191" t="s">
        <v>26</v>
      </c>
      <c r="AC2191" t="s">
        <v>26</v>
      </c>
      <c r="AD2191" t="s">
        <v>26</v>
      </c>
      <c r="AE2191" t="s">
        <v>26</v>
      </c>
      <c r="AF2191" t="s">
        <v>26</v>
      </c>
      <c r="AG2191" t="s">
        <v>26</v>
      </c>
      <c r="AH2191" t="s">
        <v>26</v>
      </c>
      <c r="AI2191" t="s">
        <v>26</v>
      </c>
      <c r="AJ2191" t="s">
        <v>26</v>
      </c>
      <c r="AK2191" t="s">
        <v>26</v>
      </c>
      <c r="AL2191" t="s">
        <v>26</v>
      </c>
      <c r="AM2191" t="s">
        <v>26</v>
      </c>
      <c r="AN2191" t="s">
        <v>26</v>
      </c>
      <c r="AO2191" s="25" t="s">
        <v>28</v>
      </c>
      <c r="AP2191" s="23" t="s">
        <v>29</v>
      </c>
      <c r="AQ2191" s="23" t="s">
        <v>30</v>
      </c>
      <c r="AR2191" s="23" t="s">
        <v>245</v>
      </c>
      <c r="AS2191" s="25">
        <v>5485090</v>
      </c>
      <c r="AT2191" s="23" t="s">
        <v>22181</v>
      </c>
      <c r="AU2191" t="s">
        <v>25103</v>
      </c>
    </row>
    <row r="2192" spans="1:47" ht="26.25" x14ac:dyDescent="0.4">
      <c r="A2192" s="23" t="s">
        <v>5760</v>
      </c>
      <c r="B2192" t="s">
        <v>26</v>
      </c>
      <c r="C2192" s="23" t="s">
        <v>146</v>
      </c>
      <c r="D2192" s="23" t="s">
        <v>22174</v>
      </c>
      <c r="E2192" s="23" t="s">
        <v>60</v>
      </c>
      <c r="F2192" t="s">
        <v>26</v>
      </c>
      <c r="G2192" t="s">
        <v>26</v>
      </c>
      <c r="H2192" t="s">
        <v>26</v>
      </c>
      <c r="I2192" t="s">
        <v>26</v>
      </c>
      <c r="J2192" t="s">
        <v>26</v>
      </c>
      <c r="K2192" t="s">
        <v>26</v>
      </c>
      <c r="L2192" s="25" t="s">
        <v>28</v>
      </c>
      <c r="M2192" t="s">
        <v>26</v>
      </c>
      <c r="N2192" t="s">
        <v>26</v>
      </c>
      <c r="O2192" t="s">
        <v>26</v>
      </c>
      <c r="P2192" t="s">
        <v>26</v>
      </c>
      <c r="Q2192" t="s">
        <v>26</v>
      </c>
      <c r="R2192" t="s">
        <v>26</v>
      </c>
      <c r="S2192" t="s">
        <v>26</v>
      </c>
      <c r="T2192" t="s">
        <v>26</v>
      </c>
      <c r="U2192" t="s">
        <v>26</v>
      </c>
      <c r="V2192" t="s">
        <v>26</v>
      </c>
      <c r="W2192" s="24">
        <v>42005</v>
      </c>
      <c r="X2192" s="24">
        <v>42005</v>
      </c>
      <c r="Y2192" t="s">
        <v>26</v>
      </c>
      <c r="Z2192" s="24">
        <v>42005</v>
      </c>
      <c r="AA2192" s="24">
        <v>42005</v>
      </c>
      <c r="AB2192" t="s">
        <v>26</v>
      </c>
      <c r="AC2192" t="s">
        <v>26</v>
      </c>
      <c r="AD2192" t="s">
        <v>26</v>
      </c>
      <c r="AE2192" t="s">
        <v>26</v>
      </c>
      <c r="AF2192" t="s">
        <v>26</v>
      </c>
      <c r="AG2192" t="s">
        <v>26</v>
      </c>
      <c r="AH2192" t="s">
        <v>26</v>
      </c>
      <c r="AI2192" t="s">
        <v>26</v>
      </c>
      <c r="AJ2192" t="s">
        <v>26</v>
      </c>
      <c r="AK2192" t="s">
        <v>26</v>
      </c>
      <c r="AL2192" t="s">
        <v>26</v>
      </c>
      <c r="AM2192" t="s">
        <v>26</v>
      </c>
      <c r="AN2192" t="s">
        <v>26</v>
      </c>
      <c r="AO2192" s="25" t="s">
        <v>28</v>
      </c>
      <c r="AP2192" s="23" t="s">
        <v>29</v>
      </c>
      <c r="AQ2192" s="23" t="s">
        <v>30</v>
      </c>
      <c r="AR2192" s="23" t="s">
        <v>147</v>
      </c>
      <c r="AS2192" s="25">
        <v>5485095</v>
      </c>
      <c r="AT2192" s="23" t="s">
        <v>22181</v>
      </c>
      <c r="AU2192" t="s">
        <v>25104</v>
      </c>
    </row>
    <row r="2193" spans="1:47" ht="26.25" x14ac:dyDescent="0.4">
      <c r="A2193" s="23" t="s">
        <v>5761</v>
      </c>
      <c r="B2193" t="s">
        <v>26</v>
      </c>
      <c r="C2193" s="23" t="s">
        <v>48</v>
      </c>
      <c r="D2193" s="23" t="s">
        <v>22168</v>
      </c>
      <c r="E2193" s="23" t="s">
        <v>42</v>
      </c>
      <c r="F2193" t="s">
        <v>26</v>
      </c>
      <c r="G2193" t="s">
        <v>26</v>
      </c>
      <c r="H2193" t="s">
        <v>26</v>
      </c>
      <c r="I2193" t="s">
        <v>26</v>
      </c>
      <c r="J2193" t="s">
        <v>26</v>
      </c>
      <c r="K2193" t="s">
        <v>26</v>
      </c>
      <c r="L2193" s="25" t="s">
        <v>28</v>
      </c>
      <c r="M2193" t="s">
        <v>26</v>
      </c>
      <c r="N2193" t="s">
        <v>26</v>
      </c>
      <c r="O2193" t="s">
        <v>26</v>
      </c>
      <c r="P2193" t="s">
        <v>26</v>
      </c>
      <c r="Q2193" t="s">
        <v>26</v>
      </c>
      <c r="R2193" t="s">
        <v>26</v>
      </c>
      <c r="S2193" t="s">
        <v>26</v>
      </c>
      <c r="T2193" t="s">
        <v>26</v>
      </c>
      <c r="U2193" t="s">
        <v>26</v>
      </c>
      <c r="V2193" t="s">
        <v>26</v>
      </c>
      <c r="W2193" s="24">
        <v>40179</v>
      </c>
      <c r="X2193" s="24">
        <v>40179</v>
      </c>
      <c r="Y2193" t="s">
        <v>26</v>
      </c>
      <c r="Z2193" s="24">
        <v>40179</v>
      </c>
      <c r="AA2193" s="24">
        <v>40179</v>
      </c>
      <c r="AB2193" t="s">
        <v>26</v>
      </c>
      <c r="AC2193" t="s">
        <v>26</v>
      </c>
      <c r="AD2193" t="s">
        <v>26</v>
      </c>
      <c r="AE2193" t="s">
        <v>26</v>
      </c>
      <c r="AF2193" t="s">
        <v>26</v>
      </c>
      <c r="AG2193" t="s">
        <v>26</v>
      </c>
      <c r="AH2193" t="s">
        <v>26</v>
      </c>
      <c r="AI2193" t="s">
        <v>26</v>
      </c>
      <c r="AJ2193" t="s">
        <v>26</v>
      </c>
      <c r="AK2193" t="s">
        <v>26</v>
      </c>
      <c r="AL2193" t="s">
        <v>26</v>
      </c>
      <c r="AM2193" t="s">
        <v>26</v>
      </c>
      <c r="AN2193" t="s">
        <v>26</v>
      </c>
      <c r="AO2193" s="25" t="s">
        <v>28</v>
      </c>
      <c r="AP2193" s="23" t="s">
        <v>29</v>
      </c>
      <c r="AQ2193" s="23" t="s">
        <v>30</v>
      </c>
      <c r="AR2193" s="23" t="s">
        <v>1170</v>
      </c>
      <c r="AS2193" s="25">
        <v>5488535</v>
      </c>
      <c r="AT2193" s="23" t="s">
        <v>22181</v>
      </c>
      <c r="AU2193" t="s">
        <v>25105</v>
      </c>
    </row>
    <row r="2194" spans="1:47" ht="26.25" x14ac:dyDescent="0.4">
      <c r="A2194" s="23" t="s">
        <v>5762</v>
      </c>
      <c r="B2194" t="s">
        <v>26</v>
      </c>
      <c r="C2194" s="23" t="s">
        <v>320</v>
      </c>
      <c r="D2194" s="23" t="s">
        <v>23616</v>
      </c>
      <c r="E2194" s="23" t="s">
        <v>42</v>
      </c>
      <c r="F2194" s="25" t="s">
        <v>5763</v>
      </c>
      <c r="G2194" s="25" t="s">
        <v>5764</v>
      </c>
      <c r="H2194" t="s">
        <v>26</v>
      </c>
      <c r="I2194" t="s">
        <v>26</v>
      </c>
      <c r="J2194" t="s">
        <v>26</v>
      </c>
      <c r="K2194" t="s">
        <v>26</v>
      </c>
      <c r="L2194" s="25" t="s">
        <v>68</v>
      </c>
      <c r="M2194" t="s">
        <v>26</v>
      </c>
      <c r="N2194" t="s">
        <v>26</v>
      </c>
      <c r="O2194" t="s">
        <v>26</v>
      </c>
      <c r="P2194" t="s">
        <v>26</v>
      </c>
      <c r="Q2194" t="s">
        <v>26</v>
      </c>
      <c r="R2194" t="s">
        <v>26</v>
      </c>
      <c r="S2194" t="s">
        <v>26</v>
      </c>
      <c r="T2194" t="s">
        <v>26</v>
      </c>
      <c r="U2194" t="s">
        <v>26</v>
      </c>
      <c r="V2194" t="s">
        <v>26</v>
      </c>
      <c r="W2194" s="24">
        <v>41244</v>
      </c>
      <c r="X2194" s="25" t="s">
        <v>77</v>
      </c>
      <c r="Y2194" t="s">
        <v>26</v>
      </c>
      <c r="Z2194" s="24">
        <v>41244</v>
      </c>
      <c r="AA2194" s="25" t="s">
        <v>77</v>
      </c>
      <c r="AB2194" t="s">
        <v>26</v>
      </c>
      <c r="AC2194" s="24">
        <v>41244</v>
      </c>
      <c r="AD2194" s="25" t="s">
        <v>77</v>
      </c>
      <c r="AE2194" t="s">
        <v>26</v>
      </c>
      <c r="AF2194" t="s">
        <v>26</v>
      </c>
      <c r="AG2194" t="s">
        <v>26</v>
      </c>
      <c r="AH2194" t="s">
        <v>26</v>
      </c>
      <c r="AI2194" t="s">
        <v>26</v>
      </c>
      <c r="AJ2194" t="s">
        <v>26</v>
      </c>
      <c r="AK2194" t="s">
        <v>26</v>
      </c>
      <c r="AL2194" t="s">
        <v>26</v>
      </c>
      <c r="AM2194" t="s">
        <v>26</v>
      </c>
      <c r="AN2194" t="s">
        <v>26</v>
      </c>
      <c r="AO2194" s="25" t="s">
        <v>68</v>
      </c>
      <c r="AP2194" s="23" t="s">
        <v>69</v>
      </c>
      <c r="AQ2194" s="23" t="s">
        <v>30</v>
      </c>
      <c r="AR2194" s="23" t="s">
        <v>5765</v>
      </c>
      <c r="AS2194" s="25">
        <v>1096358</v>
      </c>
      <c r="AT2194" t="s">
        <v>26</v>
      </c>
      <c r="AU2194" t="s">
        <v>25106</v>
      </c>
    </row>
    <row r="2195" spans="1:47" ht="26.25" x14ac:dyDescent="0.4">
      <c r="A2195" s="23" t="s">
        <v>5766</v>
      </c>
      <c r="B2195" t="s">
        <v>26</v>
      </c>
      <c r="C2195" s="23" t="s">
        <v>167</v>
      </c>
      <c r="D2195" s="23" t="s">
        <v>22218</v>
      </c>
      <c r="E2195" s="23" t="s">
        <v>60</v>
      </c>
      <c r="F2195" t="s">
        <v>26</v>
      </c>
      <c r="G2195" s="25" t="s">
        <v>5767</v>
      </c>
      <c r="H2195" t="s">
        <v>26</v>
      </c>
      <c r="I2195" s="24">
        <v>43101</v>
      </c>
      <c r="J2195" s="25" t="s">
        <v>77</v>
      </c>
      <c r="K2195" t="s">
        <v>26</v>
      </c>
      <c r="L2195" s="25" t="s">
        <v>68</v>
      </c>
      <c r="M2195" s="24">
        <v>43101</v>
      </c>
      <c r="N2195" s="25" t="s">
        <v>77</v>
      </c>
      <c r="O2195" t="s">
        <v>26</v>
      </c>
      <c r="P2195" s="24">
        <v>43101</v>
      </c>
      <c r="Q2195" s="25" t="s">
        <v>77</v>
      </c>
      <c r="R2195" t="s">
        <v>26</v>
      </c>
      <c r="S2195" t="s">
        <v>26</v>
      </c>
      <c r="T2195" t="s">
        <v>26</v>
      </c>
      <c r="U2195" t="s">
        <v>26</v>
      </c>
      <c r="V2195" t="s">
        <v>26</v>
      </c>
      <c r="W2195" s="24">
        <v>43101</v>
      </c>
      <c r="X2195" s="25" t="s">
        <v>77</v>
      </c>
      <c r="Y2195" t="s">
        <v>26</v>
      </c>
      <c r="Z2195" s="24">
        <v>43101</v>
      </c>
      <c r="AA2195" s="25" t="s">
        <v>77</v>
      </c>
      <c r="AB2195" t="s">
        <v>26</v>
      </c>
      <c r="AC2195" s="24">
        <v>43101</v>
      </c>
      <c r="AD2195" s="25" t="s">
        <v>77</v>
      </c>
      <c r="AE2195" t="s">
        <v>26</v>
      </c>
      <c r="AF2195" t="s">
        <v>26</v>
      </c>
      <c r="AG2195" t="s">
        <v>26</v>
      </c>
      <c r="AH2195" t="s">
        <v>26</v>
      </c>
      <c r="AI2195" t="s">
        <v>26</v>
      </c>
      <c r="AJ2195" t="s">
        <v>26</v>
      </c>
      <c r="AK2195" t="s">
        <v>26</v>
      </c>
      <c r="AL2195" t="s">
        <v>26</v>
      </c>
      <c r="AM2195" t="s">
        <v>26</v>
      </c>
      <c r="AN2195" t="s">
        <v>26</v>
      </c>
      <c r="AO2195" s="25" t="s">
        <v>68</v>
      </c>
      <c r="AP2195" s="23" t="s">
        <v>69</v>
      </c>
      <c r="AQ2195" s="23" t="s">
        <v>30</v>
      </c>
      <c r="AR2195" s="23" t="s">
        <v>70</v>
      </c>
      <c r="AS2195" s="25">
        <v>5516377</v>
      </c>
      <c r="AT2195" t="s">
        <v>26</v>
      </c>
      <c r="AU2195" t="s">
        <v>25107</v>
      </c>
    </row>
    <row r="2196" spans="1:47" ht="13.15" x14ac:dyDescent="0.4">
      <c r="A2196" s="23" t="s">
        <v>5768</v>
      </c>
      <c r="B2196" t="s">
        <v>26</v>
      </c>
      <c r="C2196" s="23" t="s">
        <v>5769</v>
      </c>
      <c r="D2196" s="23" t="s">
        <v>24774</v>
      </c>
      <c r="E2196" s="23" t="s">
        <v>5770</v>
      </c>
      <c r="F2196" t="s">
        <v>26</v>
      </c>
      <c r="G2196" t="s">
        <v>26</v>
      </c>
      <c r="H2196" t="s">
        <v>26</v>
      </c>
      <c r="I2196" s="24">
        <v>38292</v>
      </c>
      <c r="J2196" s="24">
        <v>38292</v>
      </c>
      <c r="K2196" t="s">
        <v>26</v>
      </c>
      <c r="L2196" s="25" t="s">
        <v>28</v>
      </c>
      <c r="M2196" s="24">
        <v>38292</v>
      </c>
      <c r="N2196" s="24">
        <v>38292</v>
      </c>
      <c r="O2196" t="s">
        <v>26</v>
      </c>
      <c r="P2196" t="s">
        <v>26</v>
      </c>
      <c r="Q2196" t="s">
        <v>26</v>
      </c>
      <c r="R2196" t="s">
        <v>26</v>
      </c>
      <c r="S2196" t="s">
        <v>26</v>
      </c>
      <c r="T2196" t="s">
        <v>26</v>
      </c>
      <c r="U2196" t="s">
        <v>26</v>
      </c>
      <c r="V2196" t="s">
        <v>26</v>
      </c>
      <c r="W2196" s="24">
        <v>38292</v>
      </c>
      <c r="X2196" s="24">
        <v>38292</v>
      </c>
      <c r="Y2196" t="s">
        <v>26</v>
      </c>
      <c r="Z2196" s="24">
        <v>38292</v>
      </c>
      <c r="AA2196" s="24">
        <v>38292</v>
      </c>
      <c r="AB2196" t="s">
        <v>26</v>
      </c>
      <c r="AC2196" t="s">
        <v>26</v>
      </c>
      <c r="AD2196" t="s">
        <v>26</v>
      </c>
      <c r="AE2196" t="s">
        <v>26</v>
      </c>
      <c r="AF2196" t="s">
        <v>26</v>
      </c>
      <c r="AG2196" t="s">
        <v>26</v>
      </c>
      <c r="AH2196" t="s">
        <v>26</v>
      </c>
      <c r="AI2196" t="s">
        <v>26</v>
      </c>
      <c r="AJ2196" t="s">
        <v>26</v>
      </c>
      <c r="AK2196" t="s">
        <v>26</v>
      </c>
      <c r="AL2196" t="s">
        <v>26</v>
      </c>
      <c r="AM2196" t="s">
        <v>26</v>
      </c>
      <c r="AN2196" t="s">
        <v>26</v>
      </c>
      <c r="AO2196" s="25" t="s">
        <v>28</v>
      </c>
      <c r="AP2196" s="23" t="s">
        <v>135</v>
      </c>
      <c r="AQ2196" s="23" t="s">
        <v>30</v>
      </c>
      <c r="AR2196" s="23" t="s">
        <v>46</v>
      </c>
      <c r="AS2196" s="25">
        <v>28591</v>
      </c>
      <c r="AT2196" t="s">
        <v>26</v>
      </c>
      <c r="AU2196" t="s">
        <v>25108</v>
      </c>
    </row>
    <row r="2197" spans="1:47" ht="26.25" x14ac:dyDescent="0.4">
      <c r="A2197" s="23" t="s">
        <v>5771</v>
      </c>
      <c r="B2197" t="s">
        <v>26</v>
      </c>
      <c r="C2197" s="23" t="s">
        <v>176</v>
      </c>
      <c r="D2197" s="23" t="s">
        <v>22242</v>
      </c>
      <c r="E2197" s="23" t="s">
        <v>60</v>
      </c>
      <c r="F2197" s="25" t="s">
        <v>5772</v>
      </c>
      <c r="G2197" t="s">
        <v>26</v>
      </c>
      <c r="H2197" t="s">
        <v>26</v>
      </c>
      <c r="I2197" t="s">
        <v>26</v>
      </c>
      <c r="J2197" t="s">
        <v>26</v>
      </c>
      <c r="K2197" t="s">
        <v>26</v>
      </c>
      <c r="L2197" s="25" t="s">
        <v>68</v>
      </c>
      <c r="M2197" t="s">
        <v>26</v>
      </c>
      <c r="N2197" t="s">
        <v>26</v>
      </c>
      <c r="O2197" t="s">
        <v>26</v>
      </c>
      <c r="P2197" t="s">
        <v>26</v>
      </c>
      <c r="Q2197" t="s">
        <v>26</v>
      </c>
      <c r="R2197" t="s">
        <v>26</v>
      </c>
      <c r="S2197" t="s">
        <v>26</v>
      </c>
      <c r="T2197" t="s">
        <v>26</v>
      </c>
      <c r="U2197" t="s">
        <v>26</v>
      </c>
      <c r="V2197" t="s">
        <v>26</v>
      </c>
      <c r="W2197" s="24">
        <v>42750</v>
      </c>
      <c r="X2197" s="24">
        <v>44805</v>
      </c>
      <c r="Y2197" t="s">
        <v>26</v>
      </c>
      <c r="Z2197" s="24">
        <v>42750</v>
      </c>
      <c r="AA2197" s="24">
        <v>44805</v>
      </c>
      <c r="AB2197" t="s">
        <v>26</v>
      </c>
      <c r="AC2197" s="24">
        <v>42750</v>
      </c>
      <c r="AD2197" s="24">
        <v>44805</v>
      </c>
      <c r="AE2197" t="s">
        <v>26</v>
      </c>
      <c r="AF2197" t="s">
        <v>26</v>
      </c>
      <c r="AG2197" t="s">
        <v>26</v>
      </c>
      <c r="AH2197" t="s">
        <v>26</v>
      </c>
      <c r="AI2197" t="s">
        <v>26</v>
      </c>
      <c r="AJ2197" t="s">
        <v>26</v>
      </c>
      <c r="AK2197" t="s">
        <v>26</v>
      </c>
      <c r="AL2197" t="s">
        <v>26</v>
      </c>
      <c r="AM2197" t="s">
        <v>26</v>
      </c>
      <c r="AN2197" t="s">
        <v>26</v>
      </c>
      <c r="AO2197" s="25" t="s">
        <v>68</v>
      </c>
      <c r="AP2197" s="23" t="s">
        <v>69</v>
      </c>
      <c r="AQ2197" s="23" t="s">
        <v>30</v>
      </c>
      <c r="AR2197" s="23" t="s">
        <v>46</v>
      </c>
      <c r="AS2197" s="25">
        <v>2033023</v>
      </c>
      <c r="AT2197" t="s">
        <v>26</v>
      </c>
      <c r="AU2197" t="s">
        <v>25109</v>
      </c>
    </row>
    <row r="2198" spans="1:47" ht="26.25" x14ac:dyDescent="0.4">
      <c r="A2198" s="23" t="s">
        <v>5773</v>
      </c>
      <c r="B2198" t="s">
        <v>26</v>
      </c>
      <c r="C2198" s="23" t="s">
        <v>320</v>
      </c>
      <c r="D2198" s="23" t="s">
        <v>25110</v>
      </c>
      <c r="E2198" s="23" t="s">
        <v>42</v>
      </c>
      <c r="F2198" s="25" t="s">
        <v>5774</v>
      </c>
      <c r="G2198" s="25" t="s">
        <v>5775</v>
      </c>
      <c r="H2198" t="s">
        <v>26</v>
      </c>
      <c r="I2198" t="s">
        <v>26</v>
      </c>
      <c r="J2198" t="s">
        <v>26</v>
      </c>
      <c r="K2198" t="s">
        <v>26</v>
      </c>
      <c r="L2198" s="25" t="s">
        <v>68</v>
      </c>
      <c r="M2198" t="s">
        <v>26</v>
      </c>
      <c r="N2198" t="s">
        <v>26</v>
      </c>
      <c r="O2198" t="s">
        <v>26</v>
      </c>
      <c r="P2198" t="s">
        <v>26</v>
      </c>
      <c r="Q2198" t="s">
        <v>26</v>
      </c>
      <c r="R2198" t="s">
        <v>26</v>
      </c>
      <c r="S2198" t="s">
        <v>26</v>
      </c>
      <c r="T2198" t="s">
        <v>26</v>
      </c>
      <c r="U2198" t="s">
        <v>26</v>
      </c>
      <c r="V2198" t="s">
        <v>26</v>
      </c>
      <c r="W2198" s="24">
        <v>42401</v>
      </c>
      <c r="X2198" s="25" t="s">
        <v>77</v>
      </c>
      <c r="Y2198" t="s">
        <v>26</v>
      </c>
      <c r="Z2198" s="24">
        <v>42401</v>
      </c>
      <c r="AA2198" s="25" t="s">
        <v>77</v>
      </c>
      <c r="AB2198" t="s">
        <v>26</v>
      </c>
      <c r="AC2198" s="24">
        <v>42401</v>
      </c>
      <c r="AD2198" s="25" t="s">
        <v>77</v>
      </c>
      <c r="AE2198" t="s">
        <v>26</v>
      </c>
      <c r="AF2198" t="s">
        <v>26</v>
      </c>
      <c r="AG2198" t="s">
        <v>26</v>
      </c>
      <c r="AH2198" t="s">
        <v>26</v>
      </c>
      <c r="AI2198" t="s">
        <v>26</v>
      </c>
      <c r="AJ2198" t="s">
        <v>26</v>
      </c>
      <c r="AK2198" t="s">
        <v>26</v>
      </c>
      <c r="AL2198" t="s">
        <v>26</v>
      </c>
      <c r="AM2198" t="s">
        <v>26</v>
      </c>
      <c r="AN2198" t="s">
        <v>26</v>
      </c>
      <c r="AO2198" s="25" t="s">
        <v>28</v>
      </c>
      <c r="AP2198" s="23" t="s">
        <v>69</v>
      </c>
      <c r="AQ2198" s="23" t="s">
        <v>30</v>
      </c>
      <c r="AR2198" s="23" t="s">
        <v>70</v>
      </c>
      <c r="AS2198" s="25">
        <v>2033022</v>
      </c>
      <c r="AT2198" t="s">
        <v>26</v>
      </c>
      <c r="AU2198" t="s">
        <v>25111</v>
      </c>
    </row>
    <row r="2199" spans="1:47" ht="26.25" x14ac:dyDescent="0.4">
      <c r="A2199" s="23" t="s">
        <v>5776</v>
      </c>
      <c r="B2199" t="s">
        <v>26</v>
      </c>
      <c r="C2199" s="23" t="s">
        <v>107</v>
      </c>
      <c r="D2199" s="23" t="s">
        <v>22194</v>
      </c>
      <c r="E2199" s="23" t="s">
        <v>42</v>
      </c>
      <c r="F2199" s="25" t="s">
        <v>5777</v>
      </c>
      <c r="G2199" s="25" t="s">
        <v>5778</v>
      </c>
      <c r="H2199" t="s">
        <v>26</v>
      </c>
      <c r="I2199" t="s">
        <v>26</v>
      </c>
      <c r="J2199" t="s">
        <v>26</v>
      </c>
      <c r="K2199" t="s">
        <v>26</v>
      </c>
      <c r="L2199" s="25" t="s">
        <v>68</v>
      </c>
      <c r="M2199" t="s">
        <v>26</v>
      </c>
      <c r="N2199" t="s">
        <v>26</v>
      </c>
      <c r="O2199" t="s">
        <v>26</v>
      </c>
      <c r="P2199" t="s">
        <v>26</v>
      </c>
      <c r="Q2199" t="s">
        <v>26</v>
      </c>
      <c r="R2199" t="s">
        <v>26</v>
      </c>
      <c r="S2199" t="s">
        <v>26</v>
      </c>
      <c r="T2199" t="s">
        <v>26</v>
      </c>
      <c r="U2199" t="s">
        <v>26</v>
      </c>
      <c r="V2199" t="s">
        <v>26</v>
      </c>
      <c r="W2199" s="24">
        <v>32568</v>
      </c>
      <c r="X2199" s="25" t="s">
        <v>77</v>
      </c>
      <c r="Y2199" t="s">
        <v>26</v>
      </c>
      <c r="Z2199" s="24">
        <v>32568</v>
      </c>
      <c r="AA2199" s="25" t="s">
        <v>77</v>
      </c>
      <c r="AB2199" t="s">
        <v>26</v>
      </c>
      <c r="AC2199" s="24">
        <v>32568</v>
      </c>
      <c r="AD2199" s="25" t="s">
        <v>77</v>
      </c>
      <c r="AE2199" t="s">
        <v>26</v>
      </c>
      <c r="AF2199" t="s">
        <v>26</v>
      </c>
      <c r="AG2199" t="s">
        <v>26</v>
      </c>
      <c r="AH2199" t="s">
        <v>26</v>
      </c>
      <c r="AI2199" t="s">
        <v>26</v>
      </c>
      <c r="AJ2199" t="s">
        <v>26</v>
      </c>
      <c r="AK2199" t="s">
        <v>26</v>
      </c>
      <c r="AL2199" t="s">
        <v>26</v>
      </c>
      <c r="AM2199" t="s">
        <v>26</v>
      </c>
      <c r="AN2199" t="s">
        <v>26</v>
      </c>
      <c r="AO2199" s="25" t="s">
        <v>68</v>
      </c>
      <c r="AP2199" s="23" t="s">
        <v>69</v>
      </c>
      <c r="AQ2199" s="23" t="s">
        <v>30</v>
      </c>
      <c r="AR2199" s="23" t="s">
        <v>46</v>
      </c>
      <c r="AS2199" s="25">
        <v>37907</v>
      </c>
      <c r="AT2199" t="s">
        <v>26</v>
      </c>
      <c r="AU2199" t="s">
        <v>25112</v>
      </c>
    </row>
    <row r="2200" spans="1:47" ht="26.25" x14ac:dyDescent="0.4">
      <c r="A2200" s="23" t="s">
        <v>5779</v>
      </c>
      <c r="B2200" t="s">
        <v>26</v>
      </c>
      <c r="C2200" s="23" t="s">
        <v>107</v>
      </c>
      <c r="D2200" s="23" t="s">
        <v>22194</v>
      </c>
      <c r="E2200" s="23" t="s">
        <v>42</v>
      </c>
      <c r="F2200" s="25" t="s">
        <v>5780</v>
      </c>
      <c r="G2200" s="25" t="s">
        <v>5781</v>
      </c>
      <c r="H2200" t="s">
        <v>26</v>
      </c>
      <c r="I2200" t="s">
        <v>26</v>
      </c>
      <c r="J2200" t="s">
        <v>26</v>
      </c>
      <c r="K2200" t="s">
        <v>26</v>
      </c>
      <c r="L2200" s="25" t="s">
        <v>68</v>
      </c>
      <c r="M2200" t="s">
        <v>26</v>
      </c>
      <c r="N2200" t="s">
        <v>26</v>
      </c>
      <c r="O2200" t="s">
        <v>26</v>
      </c>
      <c r="P2200" t="s">
        <v>26</v>
      </c>
      <c r="Q2200" t="s">
        <v>26</v>
      </c>
      <c r="R2200" t="s">
        <v>26</v>
      </c>
      <c r="S2200" t="s">
        <v>26</v>
      </c>
      <c r="T2200" t="s">
        <v>26</v>
      </c>
      <c r="U2200" t="s">
        <v>26</v>
      </c>
      <c r="V2200" t="s">
        <v>26</v>
      </c>
      <c r="W2200" s="24">
        <v>37987</v>
      </c>
      <c r="X2200" s="25" t="s">
        <v>77</v>
      </c>
      <c r="Y2200" t="s">
        <v>26</v>
      </c>
      <c r="Z2200" s="24">
        <v>37987</v>
      </c>
      <c r="AA2200" s="25" t="s">
        <v>77</v>
      </c>
      <c r="AB2200" t="s">
        <v>26</v>
      </c>
      <c r="AC2200" s="24">
        <v>37987</v>
      </c>
      <c r="AD2200" s="25" t="s">
        <v>77</v>
      </c>
      <c r="AE2200" t="s">
        <v>26</v>
      </c>
      <c r="AF2200" t="s">
        <v>26</v>
      </c>
      <c r="AG2200" t="s">
        <v>26</v>
      </c>
      <c r="AH2200" t="s">
        <v>26</v>
      </c>
      <c r="AI2200" t="s">
        <v>26</v>
      </c>
      <c r="AJ2200" t="s">
        <v>26</v>
      </c>
      <c r="AK2200" t="s">
        <v>26</v>
      </c>
      <c r="AL2200" t="s">
        <v>26</v>
      </c>
      <c r="AM2200" t="s">
        <v>26</v>
      </c>
      <c r="AN2200" t="s">
        <v>26</v>
      </c>
      <c r="AO2200" s="25" t="s">
        <v>68</v>
      </c>
      <c r="AP2200" s="23" t="s">
        <v>69</v>
      </c>
      <c r="AQ2200" s="23" t="s">
        <v>30</v>
      </c>
      <c r="AR2200" s="23" t="s">
        <v>46</v>
      </c>
      <c r="AS2200" s="25">
        <v>46274</v>
      </c>
      <c r="AT2200" t="s">
        <v>26</v>
      </c>
      <c r="AU2200" t="s">
        <v>25113</v>
      </c>
    </row>
    <row r="2201" spans="1:47" ht="26.25" x14ac:dyDescent="0.4">
      <c r="A2201" s="23" t="s">
        <v>5782</v>
      </c>
      <c r="B2201" t="s">
        <v>26</v>
      </c>
      <c r="C2201" s="23" t="s">
        <v>172</v>
      </c>
      <c r="D2201" s="23" t="s">
        <v>23393</v>
      </c>
      <c r="E2201" s="23" t="s">
        <v>60</v>
      </c>
      <c r="F2201" s="25" t="s">
        <v>5783</v>
      </c>
      <c r="G2201" s="25" t="s">
        <v>5784</v>
      </c>
      <c r="H2201" t="s">
        <v>26</v>
      </c>
      <c r="I2201" s="24">
        <v>32112</v>
      </c>
      <c r="J2201" s="24">
        <v>40513</v>
      </c>
      <c r="K2201" t="s">
        <v>26</v>
      </c>
      <c r="L2201" s="25" t="s">
        <v>68</v>
      </c>
      <c r="M2201" s="24">
        <v>34060</v>
      </c>
      <c r="N2201" s="24">
        <v>40513</v>
      </c>
      <c r="O2201" t="s">
        <v>26</v>
      </c>
      <c r="P2201" s="24">
        <v>32112</v>
      </c>
      <c r="Q2201" s="24">
        <v>40513</v>
      </c>
      <c r="R2201" t="s">
        <v>26</v>
      </c>
      <c r="S2201" t="s">
        <v>26</v>
      </c>
      <c r="T2201" t="s">
        <v>26</v>
      </c>
      <c r="U2201" t="s">
        <v>26</v>
      </c>
      <c r="V2201" t="s">
        <v>26</v>
      </c>
      <c r="W2201" s="24">
        <v>26207</v>
      </c>
      <c r="X2201" s="25" t="s">
        <v>77</v>
      </c>
      <c r="Y2201" t="s">
        <v>26</v>
      </c>
      <c r="Z2201" s="24">
        <v>26207</v>
      </c>
      <c r="AA2201" s="25" t="s">
        <v>77</v>
      </c>
      <c r="AB2201" t="s">
        <v>26</v>
      </c>
      <c r="AC2201" s="24">
        <v>26207</v>
      </c>
      <c r="AD2201" s="25" t="s">
        <v>77</v>
      </c>
      <c r="AE2201" t="s">
        <v>26</v>
      </c>
      <c r="AF2201" t="s">
        <v>26</v>
      </c>
      <c r="AG2201" t="s">
        <v>26</v>
      </c>
      <c r="AH2201" t="s">
        <v>26</v>
      </c>
      <c r="AI2201" t="s">
        <v>26</v>
      </c>
      <c r="AJ2201" t="s">
        <v>26</v>
      </c>
      <c r="AK2201" t="s">
        <v>26</v>
      </c>
      <c r="AL2201" t="s">
        <v>26</v>
      </c>
      <c r="AM2201" t="s">
        <v>26</v>
      </c>
      <c r="AN2201" t="s">
        <v>26</v>
      </c>
      <c r="AO2201" s="25" t="s">
        <v>68</v>
      </c>
      <c r="AP2201" s="23" t="s">
        <v>69</v>
      </c>
      <c r="AQ2201" s="23" t="s">
        <v>30</v>
      </c>
      <c r="AR2201" s="23" t="s">
        <v>3383</v>
      </c>
      <c r="AS2201" s="25">
        <v>36693</v>
      </c>
      <c r="AT2201" t="s">
        <v>26</v>
      </c>
      <c r="AU2201" t="s">
        <v>25114</v>
      </c>
    </row>
    <row r="2202" spans="1:47" ht="26.25" x14ac:dyDescent="0.4">
      <c r="A2202" s="23" t="s">
        <v>5785</v>
      </c>
      <c r="B2202" t="s">
        <v>26</v>
      </c>
      <c r="C2202" s="23" t="s">
        <v>264</v>
      </c>
      <c r="D2202" s="23" t="s">
        <v>25115</v>
      </c>
      <c r="E2202" s="23" t="s">
        <v>60</v>
      </c>
      <c r="F2202" s="25" t="s">
        <v>5786</v>
      </c>
      <c r="G2202" s="25" t="s">
        <v>5787</v>
      </c>
      <c r="H2202" t="s">
        <v>26</v>
      </c>
      <c r="I2202" s="24">
        <v>33604</v>
      </c>
      <c r="J2202" s="25" t="s">
        <v>77</v>
      </c>
      <c r="K2202" t="s">
        <v>26</v>
      </c>
      <c r="L2202" s="25" t="s">
        <v>68</v>
      </c>
      <c r="M2202" s="24">
        <v>33604</v>
      </c>
      <c r="N2202" s="25" t="s">
        <v>77</v>
      </c>
      <c r="O2202" t="s">
        <v>26</v>
      </c>
      <c r="P2202" s="24">
        <v>33604</v>
      </c>
      <c r="Q2202" s="25" t="s">
        <v>77</v>
      </c>
      <c r="R2202" s="25" t="s">
        <v>22757</v>
      </c>
      <c r="S2202" t="s">
        <v>26</v>
      </c>
      <c r="T2202" t="s">
        <v>26</v>
      </c>
      <c r="U2202" t="s">
        <v>26</v>
      </c>
      <c r="V2202" s="25">
        <v>365</v>
      </c>
      <c r="W2202" s="24">
        <v>28856</v>
      </c>
      <c r="X2202" s="25" t="s">
        <v>77</v>
      </c>
      <c r="Y2202" t="s">
        <v>26</v>
      </c>
      <c r="Z2202" s="24">
        <v>28856</v>
      </c>
      <c r="AA2202" s="25" t="s">
        <v>77</v>
      </c>
      <c r="AB2202" t="s">
        <v>26</v>
      </c>
      <c r="AC2202" s="24">
        <v>28856</v>
      </c>
      <c r="AD2202" s="25" t="s">
        <v>77</v>
      </c>
      <c r="AE2202" t="s">
        <v>26</v>
      </c>
      <c r="AF2202" t="s">
        <v>26</v>
      </c>
      <c r="AG2202" t="s">
        <v>26</v>
      </c>
      <c r="AH2202" t="s">
        <v>26</v>
      </c>
      <c r="AI2202" t="s">
        <v>26</v>
      </c>
      <c r="AJ2202" t="s">
        <v>26</v>
      </c>
      <c r="AK2202" t="s">
        <v>26</v>
      </c>
      <c r="AL2202" t="s">
        <v>26</v>
      </c>
      <c r="AM2202" t="s">
        <v>26</v>
      </c>
      <c r="AN2202" t="s">
        <v>26</v>
      </c>
      <c r="AO2202" s="25" t="s">
        <v>68</v>
      </c>
      <c r="AP2202" s="23" t="s">
        <v>69</v>
      </c>
      <c r="AQ2202" s="23" t="s">
        <v>30</v>
      </c>
      <c r="AR2202" s="23" t="s">
        <v>128</v>
      </c>
      <c r="AS2202" s="25">
        <v>47588</v>
      </c>
      <c r="AT2202" t="s">
        <v>26</v>
      </c>
      <c r="AU2202" t="s">
        <v>25116</v>
      </c>
    </row>
    <row r="2203" spans="1:47" ht="26.25" x14ac:dyDescent="0.4">
      <c r="A2203" s="23" t="s">
        <v>5788</v>
      </c>
      <c r="B2203" t="s">
        <v>26</v>
      </c>
      <c r="C2203" s="23" t="s">
        <v>51</v>
      </c>
      <c r="D2203" t="s">
        <v>26</v>
      </c>
      <c r="E2203" s="23" t="s">
        <v>42</v>
      </c>
      <c r="F2203" t="s">
        <v>26</v>
      </c>
      <c r="G2203" t="s">
        <v>26</v>
      </c>
      <c r="H2203" t="s">
        <v>26</v>
      </c>
      <c r="I2203" s="24">
        <v>40179</v>
      </c>
      <c r="J2203" s="24">
        <v>40179</v>
      </c>
      <c r="K2203" t="s">
        <v>26</v>
      </c>
      <c r="L2203" s="25" t="s">
        <v>28</v>
      </c>
      <c r="M2203" s="24">
        <v>40179</v>
      </c>
      <c r="N2203" s="24">
        <v>40179</v>
      </c>
      <c r="O2203" t="s">
        <v>26</v>
      </c>
      <c r="P2203" t="s">
        <v>26</v>
      </c>
      <c r="Q2203" t="s">
        <v>26</v>
      </c>
      <c r="R2203" t="s">
        <v>26</v>
      </c>
      <c r="S2203" s="24">
        <v>40179</v>
      </c>
      <c r="T2203" s="24">
        <v>40179</v>
      </c>
      <c r="U2203" t="s">
        <v>26</v>
      </c>
      <c r="V2203" t="s">
        <v>26</v>
      </c>
      <c r="W2203" s="24">
        <v>40179</v>
      </c>
      <c r="X2203" s="24">
        <v>40179</v>
      </c>
      <c r="Y2203" t="s">
        <v>26</v>
      </c>
      <c r="Z2203" s="24">
        <v>40179</v>
      </c>
      <c r="AA2203" s="24">
        <v>40179</v>
      </c>
      <c r="AB2203" t="s">
        <v>26</v>
      </c>
      <c r="AC2203" s="24">
        <v>40179</v>
      </c>
      <c r="AD2203" s="24">
        <v>40179</v>
      </c>
      <c r="AE2203" t="s">
        <v>26</v>
      </c>
      <c r="AF2203" s="24">
        <v>40179</v>
      </c>
      <c r="AG2203" s="24">
        <v>40179</v>
      </c>
      <c r="AH2203" t="s">
        <v>26</v>
      </c>
      <c r="AI2203" s="24">
        <v>40179</v>
      </c>
      <c r="AJ2203" s="24">
        <v>40179</v>
      </c>
      <c r="AK2203" t="s">
        <v>26</v>
      </c>
      <c r="AL2203" t="s">
        <v>26</v>
      </c>
      <c r="AM2203" t="s">
        <v>26</v>
      </c>
      <c r="AN2203" t="s">
        <v>26</v>
      </c>
      <c r="AO2203" s="25" t="s">
        <v>28</v>
      </c>
      <c r="AP2203" s="23" t="s">
        <v>43</v>
      </c>
      <c r="AQ2203" s="23" t="s">
        <v>30</v>
      </c>
      <c r="AR2203" s="23" t="s">
        <v>44</v>
      </c>
      <c r="AS2203" s="25">
        <v>5256667</v>
      </c>
      <c r="AT2203" t="s">
        <v>26</v>
      </c>
      <c r="AU2203" t="s">
        <v>25117</v>
      </c>
    </row>
    <row r="2204" spans="1:47" ht="26.25" x14ac:dyDescent="0.4">
      <c r="A2204" s="23" t="s">
        <v>5789</v>
      </c>
      <c r="B2204" t="s">
        <v>26</v>
      </c>
      <c r="C2204" s="23" t="s">
        <v>371</v>
      </c>
      <c r="D2204" s="23" t="s">
        <v>22179</v>
      </c>
      <c r="E2204" s="23" t="s">
        <v>42</v>
      </c>
      <c r="F2204" t="s">
        <v>26</v>
      </c>
      <c r="G2204" t="s">
        <v>26</v>
      </c>
      <c r="H2204" t="s">
        <v>26</v>
      </c>
      <c r="I2204" s="24">
        <v>36892</v>
      </c>
      <c r="J2204" s="24">
        <v>36892</v>
      </c>
      <c r="K2204" t="s">
        <v>26</v>
      </c>
      <c r="L2204" s="25" t="s">
        <v>28</v>
      </c>
      <c r="M2204" t="s">
        <v>26</v>
      </c>
      <c r="N2204" t="s">
        <v>26</v>
      </c>
      <c r="O2204" t="s">
        <v>26</v>
      </c>
      <c r="P2204" s="24">
        <v>36892</v>
      </c>
      <c r="Q2204" s="24">
        <v>36892</v>
      </c>
      <c r="R2204" t="s">
        <v>26</v>
      </c>
      <c r="S2204" t="s">
        <v>26</v>
      </c>
      <c r="T2204" t="s">
        <v>26</v>
      </c>
      <c r="U2204" t="s">
        <v>26</v>
      </c>
      <c r="V2204" t="s">
        <v>26</v>
      </c>
      <c r="W2204" s="24">
        <v>36892</v>
      </c>
      <c r="X2204" s="24">
        <v>36892</v>
      </c>
      <c r="Y2204" t="s">
        <v>26</v>
      </c>
      <c r="Z2204" s="24">
        <v>36892</v>
      </c>
      <c r="AA2204" s="24">
        <v>36892</v>
      </c>
      <c r="AB2204" t="s">
        <v>26</v>
      </c>
      <c r="AC2204" t="s">
        <v>26</v>
      </c>
      <c r="AD2204" t="s">
        <v>26</v>
      </c>
      <c r="AE2204" t="s">
        <v>26</v>
      </c>
      <c r="AF2204" t="s">
        <v>26</v>
      </c>
      <c r="AG2204" t="s">
        <v>26</v>
      </c>
      <c r="AH2204" t="s">
        <v>26</v>
      </c>
      <c r="AI2204" t="s">
        <v>26</v>
      </c>
      <c r="AJ2204" t="s">
        <v>26</v>
      </c>
      <c r="AK2204" t="s">
        <v>26</v>
      </c>
      <c r="AL2204" t="s">
        <v>26</v>
      </c>
      <c r="AM2204" t="s">
        <v>26</v>
      </c>
      <c r="AN2204" t="s">
        <v>26</v>
      </c>
      <c r="AO2204" s="25" t="s">
        <v>28</v>
      </c>
      <c r="AP2204" s="23" t="s">
        <v>29</v>
      </c>
      <c r="AQ2204" s="23" t="s">
        <v>30</v>
      </c>
      <c r="AR2204" s="23" t="s">
        <v>1170</v>
      </c>
      <c r="AS2204" s="25">
        <v>5324468</v>
      </c>
      <c r="AT2204" s="23" t="s">
        <v>22181</v>
      </c>
      <c r="AU2204" t="s">
        <v>25118</v>
      </c>
    </row>
    <row r="2205" spans="1:47" ht="26.25" x14ac:dyDescent="0.4">
      <c r="A2205" s="23" t="s">
        <v>5790</v>
      </c>
      <c r="B2205" t="s">
        <v>26</v>
      </c>
      <c r="C2205" s="23" t="s">
        <v>259</v>
      </c>
      <c r="D2205" s="23" t="s">
        <v>22579</v>
      </c>
      <c r="E2205" s="23" t="s">
        <v>60</v>
      </c>
      <c r="F2205" s="25" t="s">
        <v>5791</v>
      </c>
      <c r="G2205" s="25" t="s">
        <v>5792</v>
      </c>
      <c r="H2205" t="s">
        <v>26</v>
      </c>
      <c r="I2205" s="24">
        <v>35704</v>
      </c>
      <c r="J2205" s="25" t="s">
        <v>77</v>
      </c>
      <c r="K2205" s="25" t="s">
        <v>25119</v>
      </c>
      <c r="L2205" s="25" t="s">
        <v>68</v>
      </c>
      <c r="M2205" s="24">
        <v>35704</v>
      </c>
      <c r="N2205" s="25" t="s">
        <v>77</v>
      </c>
      <c r="O2205" s="25" t="s">
        <v>25119</v>
      </c>
      <c r="P2205" s="24">
        <v>35704</v>
      </c>
      <c r="Q2205" s="25" t="s">
        <v>77</v>
      </c>
      <c r="R2205" s="25" t="s">
        <v>25119</v>
      </c>
      <c r="S2205" t="s">
        <v>26</v>
      </c>
      <c r="T2205" t="s">
        <v>26</v>
      </c>
      <c r="U2205" t="s">
        <v>26</v>
      </c>
      <c r="V2205" t="s">
        <v>26</v>
      </c>
      <c r="W2205" s="24">
        <v>35704</v>
      </c>
      <c r="X2205" s="25" t="s">
        <v>77</v>
      </c>
      <c r="Y2205" t="s">
        <v>26</v>
      </c>
      <c r="Z2205" s="24">
        <v>35704</v>
      </c>
      <c r="AA2205" s="25" t="s">
        <v>77</v>
      </c>
      <c r="AB2205" t="s">
        <v>26</v>
      </c>
      <c r="AC2205" s="24">
        <v>35704</v>
      </c>
      <c r="AD2205" s="25" t="s">
        <v>77</v>
      </c>
      <c r="AE2205" t="s">
        <v>26</v>
      </c>
      <c r="AF2205" t="s">
        <v>26</v>
      </c>
      <c r="AG2205" t="s">
        <v>26</v>
      </c>
      <c r="AH2205" t="s">
        <v>26</v>
      </c>
      <c r="AI2205" t="s">
        <v>26</v>
      </c>
      <c r="AJ2205" t="s">
        <v>26</v>
      </c>
      <c r="AK2205" t="s">
        <v>26</v>
      </c>
      <c r="AL2205" t="s">
        <v>26</v>
      </c>
      <c r="AM2205" t="s">
        <v>26</v>
      </c>
      <c r="AN2205" t="s">
        <v>26</v>
      </c>
      <c r="AO2205" s="25" t="s">
        <v>68</v>
      </c>
      <c r="AP2205" s="23" t="s">
        <v>69</v>
      </c>
      <c r="AQ2205" s="23" t="s">
        <v>30</v>
      </c>
      <c r="AR2205" s="23" t="s">
        <v>3294</v>
      </c>
      <c r="AS2205" s="25">
        <v>48941</v>
      </c>
      <c r="AT2205" t="s">
        <v>26</v>
      </c>
      <c r="AU2205" t="s">
        <v>25120</v>
      </c>
    </row>
    <row r="2206" spans="1:47" ht="26.25" x14ac:dyDescent="0.4">
      <c r="A2206" s="23" t="s">
        <v>25121</v>
      </c>
      <c r="B2206" t="s">
        <v>26</v>
      </c>
      <c r="C2206" s="23" t="s">
        <v>73</v>
      </c>
      <c r="D2206" s="23" t="s">
        <v>25122</v>
      </c>
      <c r="E2206" s="23" t="s">
        <v>74</v>
      </c>
      <c r="F2206" s="25" t="s">
        <v>25123</v>
      </c>
      <c r="G2206" s="25" t="s">
        <v>25124</v>
      </c>
      <c r="H2206" t="s">
        <v>26</v>
      </c>
      <c r="I2206" s="24">
        <v>35521</v>
      </c>
      <c r="J2206" s="25" t="s">
        <v>77</v>
      </c>
      <c r="K2206" t="s">
        <v>26</v>
      </c>
      <c r="L2206" s="25" t="s">
        <v>68</v>
      </c>
      <c r="M2206" s="24">
        <v>41760</v>
      </c>
      <c r="N2206" s="25" t="s">
        <v>77</v>
      </c>
      <c r="O2206" t="s">
        <v>26</v>
      </c>
      <c r="P2206" s="24">
        <v>35521</v>
      </c>
      <c r="Q2206" s="25" t="s">
        <v>77</v>
      </c>
      <c r="R2206" t="s">
        <v>26</v>
      </c>
      <c r="S2206" t="s">
        <v>26</v>
      </c>
      <c r="T2206" t="s">
        <v>26</v>
      </c>
      <c r="U2206" t="s">
        <v>26</v>
      </c>
      <c r="V2206" s="25">
        <v>365</v>
      </c>
      <c r="W2206" s="24">
        <v>35521</v>
      </c>
      <c r="X2206" s="25" t="s">
        <v>77</v>
      </c>
      <c r="Y2206" t="s">
        <v>26</v>
      </c>
      <c r="Z2206" s="24">
        <v>35521</v>
      </c>
      <c r="AA2206" s="25" t="s">
        <v>77</v>
      </c>
      <c r="AB2206" t="s">
        <v>26</v>
      </c>
      <c r="AC2206" s="24">
        <v>35521</v>
      </c>
      <c r="AD2206" s="25" t="s">
        <v>77</v>
      </c>
      <c r="AE2206" t="s">
        <v>26</v>
      </c>
      <c r="AF2206" t="s">
        <v>26</v>
      </c>
      <c r="AG2206" t="s">
        <v>26</v>
      </c>
      <c r="AH2206" t="s">
        <v>26</v>
      </c>
      <c r="AI2206" t="s">
        <v>26</v>
      </c>
      <c r="AJ2206" t="s">
        <v>26</v>
      </c>
      <c r="AK2206" t="s">
        <v>26</v>
      </c>
      <c r="AL2206" t="s">
        <v>26</v>
      </c>
      <c r="AM2206" t="s">
        <v>26</v>
      </c>
      <c r="AN2206" t="s">
        <v>26</v>
      </c>
      <c r="AO2206" s="25" t="s">
        <v>68</v>
      </c>
      <c r="AP2206" s="23" t="s">
        <v>69</v>
      </c>
      <c r="AQ2206" s="23" t="s">
        <v>30</v>
      </c>
      <c r="AR2206" s="23" t="s">
        <v>46</v>
      </c>
      <c r="AS2206" s="25">
        <v>6420648</v>
      </c>
      <c r="AT2206" t="s">
        <v>26</v>
      </c>
      <c r="AU2206" t="s">
        <v>25125</v>
      </c>
    </row>
    <row r="2207" spans="1:47" ht="26.25" x14ac:dyDescent="0.4">
      <c r="A2207" s="23" t="s">
        <v>5793</v>
      </c>
      <c r="B2207" t="s">
        <v>26</v>
      </c>
      <c r="C2207" s="23" t="s">
        <v>107</v>
      </c>
      <c r="D2207" s="23" t="s">
        <v>22242</v>
      </c>
      <c r="E2207" s="23" t="s">
        <v>42</v>
      </c>
      <c r="F2207" s="25" t="s">
        <v>5794</v>
      </c>
      <c r="G2207" t="s">
        <v>26</v>
      </c>
      <c r="H2207" t="s">
        <v>26</v>
      </c>
      <c r="I2207" t="s">
        <v>26</v>
      </c>
      <c r="J2207" t="s">
        <v>26</v>
      </c>
      <c r="K2207" t="s">
        <v>26</v>
      </c>
      <c r="L2207" s="25" t="s">
        <v>68</v>
      </c>
      <c r="M2207" t="s">
        <v>26</v>
      </c>
      <c r="N2207" t="s">
        <v>26</v>
      </c>
      <c r="O2207" t="s">
        <v>26</v>
      </c>
      <c r="P2207" t="s">
        <v>26</v>
      </c>
      <c r="Q2207" t="s">
        <v>26</v>
      </c>
      <c r="R2207" t="s">
        <v>26</v>
      </c>
      <c r="S2207" t="s">
        <v>26</v>
      </c>
      <c r="T2207" t="s">
        <v>26</v>
      </c>
      <c r="U2207" t="s">
        <v>26</v>
      </c>
      <c r="V2207" t="s">
        <v>26</v>
      </c>
      <c r="W2207" s="24">
        <v>40483</v>
      </c>
      <c r="X2207" s="25" t="s">
        <v>77</v>
      </c>
      <c r="Y2207" t="s">
        <v>26</v>
      </c>
      <c r="Z2207" s="24">
        <v>40483</v>
      </c>
      <c r="AA2207" s="25" t="s">
        <v>77</v>
      </c>
      <c r="AB2207" t="s">
        <v>26</v>
      </c>
      <c r="AC2207" s="24">
        <v>40483</v>
      </c>
      <c r="AD2207" s="25" t="s">
        <v>77</v>
      </c>
      <c r="AE2207" t="s">
        <v>26</v>
      </c>
      <c r="AF2207" t="s">
        <v>26</v>
      </c>
      <c r="AG2207" t="s">
        <v>26</v>
      </c>
      <c r="AH2207" t="s">
        <v>26</v>
      </c>
      <c r="AI2207" t="s">
        <v>26</v>
      </c>
      <c r="AJ2207" t="s">
        <v>26</v>
      </c>
      <c r="AK2207" t="s">
        <v>26</v>
      </c>
      <c r="AL2207" t="s">
        <v>26</v>
      </c>
      <c r="AM2207" t="s">
        <v>26</v>
      </c>
      <c r="AN2207" t="s">
        <v>26</v>
      </c>
      <c r="AO2207" s="25" t="s">
        <v>28</v>
      </c>
      <c r="AP2207" s="23" t="s">
        <v>69</v>
      </c>
      <c r="AQ2207" s="23" t="s">
        <v>30</v>
      </c>
      <c r="AR2207" s="23" t="s">
        <v>46</v>
      </c>
      <c r="AS2207" s="25">
        <v>2033018</v>
      </c>
      <c r="AT2207" t="s">
        <v>26</v>
      </c>
      <c r="AU2207" t="s">
        <v>25126</v>
      </c>
    </row>
    <row r="2208" spans="1:47" ht="26.25" x14ac:dyDescent="0.4">
      <c r="A2208" s="23" t="s">
        <v>5795</v>
      </c>
      <c r="B2208" t="s">
        <v>26</v>
      </c>
      <c r="C2208" s="23" t="s">
        <v>5796</v>
      </c>
      <c r="D2208" s="23" t="s">
        <v>25127</v>
      </c>
      <c r="E2208" s="23" t="s">
        <v>917</v>
      </c>
      <c r="F2208" s="25" t="s">
        <v>5797</v>
      </c>
      <c r="G2208" s="25" t="s">
        <v>5798</v>
      </c>
      <c r="H2208" t="s">
        <v>26</v>
      </c>
      <c r="I2208" s="24">
        <v>42005</v>
      </c>
      <c r="J2208" s="24">
        <v>43101</v>
      </c>
      <c r="K2208" t="s">
        <v>26</v>
      </c>
      <c r="L2208" s="25" t="s">
        <v>68</v>
      </c>
      <c r="M2208" t="s">
        <v>26</v>
      </c>
      <c r="N2208" t="s">
        <v>26</v>
      </c>
      <c r="O2208" t="s">
        <v>26</v>
      </c>
      <c r="P2208" s="24">
        <v>42005</v>
      </c>
      <c r="Q2208" s="24">
        <v>43101</v>
      </c>
      <c r="R2208" t="s">
        <v>26</v>
      </c>
      <c r="S2208" t="s">
        <v>26</v>
      </c>
      <c r="T2208" t="s">
        <v>26</v>
      </c>
      <c r="U2208" t="s">
        <v>26</v>
      </c>
      <c r="V2208" t="s">
        <v>26</v>
      </c>
      <c r="W2208" s="24">
        <v>42005</v>
      </c>
      <c r="X2208" s="24">
        <v>43101</v>
      </c>
      <c r="Y2208" t="s">
        <v>26</v>
      </c>
      <c r="Z2208" s="24">
        <v>42005</v>
      </c>
      <c r="AA2208" s="24">
        <v>43101</v>
      </c>
      <c r="AB2208" t="s">
        <v>26</v>
      </c>
      <c r="AC2208" s="24">
        <v>42005</v>
      </c>
      <c r="AD2208" s="24">
        <v>43101</v>
      </c>
      <c r="AE2208" t="s">
        <v>26</v>
      </c>
      <c r="AF2208" t="s">
        <v>26</v>
      </c>
      <c r="AG2208" t="s">
        <v>26</v>
      </c>
      <c r="AH2208" t="s">
        <v>26</v>
      </c>
      <c r="AI2208" t="s">
        <v>26</v>
      </c>
      <c r="AJ2208" t="s">
        <v>26</v>
      </c>
      <c r="AK2208" t="s">
        <v>26</v>
      </c>
      <c r="AL2208" t="s">
        <v>26</v>
      </c>
      <c r="AM2208" t="s">
        <v>26</v>
      </c>
      <c r="AN2208" t="s">
        <v>26</v>
      </c>
      <c r="AO2208" s="25" t="s">
        <v>28</v>
      </c>
      <c r="AP2208" s="23" t="s">
        <v>69</v>
      </c>
      <c r="AQ2208" s="23" t="s">
        <v>30</v>
      </c>
      <c r="AR2208" s="23" t="s">
        <v>46</v>
      </c>
      <c r="AS2208" s="25">
        <v>4402077</v>
      </c>
      <c r="AT2208" t="s">
        <v>26</v>
      </c>
      <c r="AU2208" t="s">
        <v>25128</v>
      </c>
    </row>
    <row r="2209" spans="1:47" ht="26.25" x14ac:dyDescent="0.4">
      <c r="A2209" s="23" t="s">
        <v>5799</v>
      </c>
      <c r="B2209" t="s">
        <v>26</v>
      </c>
      <c r="C2209" s="23" t="s">
        <v>73</v>
      </c>
      <c r="D2209" s="23" t="s">
        <v>22748</v>
      </c>
      <c r="E2209" s="23" t="s">
        <v>74</v>
      </c>
      <c r="F2209" s="25" t="s">
        <v>5800</v>
      </c>
      <c r="G2209" s="25" t="s">
        <v>5801</v>
      </c>
      <c r="H2209" t="s">
        <v>26</v>
      </c>
      <c r="I2209" s="24">
        <v>39448</v>
      </c>
      <c r="J2209" s="25" t="s">
        <v>77</v>
      </c>
      <c r="K2209" t="s">
        <v>26</v>
      </c>
      <c r="L2209" s="25" t="s">
        <v>68</v>
      </c>
      <c r="M2209" s="24">
        <v>39448</v>
      </c>
      <c r="N2209" s="25" t="s">
        <v>77</v>
      </c>
      <c r="O2209" t="s">
        <v>26</v>
      </c>
      <c r="P2209" s="24">
        <v>39448</v>
      </c>
      <c r="Q2209" s="25" t="s">
        <v>77</v>
      </c>
      <c r="R2209" t="s">
        <v>26</v>
      </c>
      <c r="S2209" t="s">
        <v>26</v>
      </c>
      <c r="T2209" t="s">
        <v>26</v>
      </c>
      <c r="U2209" t="s">
        <v>26</v>
      </c>
      <c r="V2209" s="25">
        <v>365</v>
      </c>
      <c r="W2209" s="24">
        <v>39448</v>
      </c>
      <c r="X2209" s="25" t="s">
        <v>77</v>
      </c>
      <c r="Y2209" t="s">
        <v>26</v>
      </c>
      <c r="Z2209" s="24">
        <v>39448</v>
      </c>
      <c r="AA2209" s="25" t="s">
        <v>77</v>
      </c>
      <c r="AB2209" t="s">
        <v>26</v>
      </c>
      <c r="AC2209" s="24">
        <v>39448</v>
      </c>
      <c r="AD2209" s="25" t="s">
        <v>77</v>
      </c>
      <c r="AE2209" t="s">
        <v>26</v>
      </c>
      <c r="AF2209" t="s">
        <v>26</v>
      </c>
      <c r="AG2209" t="s">
        <v>26</v>
      </c>
      <c r="AH2209" t="s">
        <v>26</v>
      </c>
      <c r="AI2209" t="s">
        <v>26</v>
      </c>
      <c r="AJ2209" t="s">
        <v>26</v>
      </c>
      <c r="AK2209" t="s">
        <v>26</v>
      </c>
      <c r="AL2209" t="s">
        <v>26</v>
      </c>
      <c r="AM2209" t="s">
        <v>26</v>
      </c>
      <c r="AN2209" t="s">
        <v>26</v>
      </c>
      <c r="AO2209" s="25" t="s">
        <v>68</v>
      </c>
      <c r="AP2209" s="23" t="s">
        <v>69</v>
      </c>
      <c r="AQ2209" s="23" t="s">
        <v>30</v>
      </c>
      <c r="AR2209" s="23" t="s">
        <v>5802</v>
      </c>
      <c r="AS2209" s="25">
        <v>43702</v>
      </c>
      <c r="AT2209" t="s">
        <v>26</v>
      </c>
      <c r="AU2209" t="s">
        <v>25129</v>
      </c>
    </row>
    <row r="2210" spans="1:47" ht="26.25" x14ac:dyDescent="0.4">
      <c r="A2210" s="23" t="s">
        <v>5803</v>
      </c>
      <c r="B2210" t="s">
        <v>26</v>
      </c>
      <c r="C2210" t="s">
        <v>26</v>
      </c>
      <c r="D2210" s="23" t="s">
        <v>22256</v>
      </c>
      <c r="E2210" t="s">
        <v>26</v>
      </c>
      <c r="F2210" t="s">
        <v>26</v>
      </c>
      <c r="G2210" t="s">
        <v>26</v>
      </c>
      <c r="H2210" t="s">
        <v>26</v>
      </c>
      <c r="I2210" s="24">
        <v>12055</v>
      </c>
      <c r="J2210" s="24">
        <v>38353</v>
      </c>
      <c r="K2210" t="s">
        <v>26</v>
      </c>
      <c r="L2210" s="25" t="s">
        <v>28</v>
      </c>
      <c r="M2210" s="24">
        <v>12055</v>
      </c>
      <c r="N2210" s="24">
        <v>38353</v>
      </c>
      <c r="O2210" t="s">
        <v>26</v>
      </c>
      <c r="P2210" s="24">
        <v>12055</v>
      </c>
      <c r="Q2210" s="24">
        <v>38353</v>
      </c>
      <c r="R2210" t="s">
        <v>26</v>
      </c>
      <c r="S2210" t="s">
        <v>26</v>
      </c>
      <c r="T2210" t="s">
        <v>26</v>
      </c>
      <c r="U2210" t="s">
        <v>26</v>
      </c>
      <c r="V2210" t="s">
        <v>26</v>
      </c>
      <c r="W2210" s="24">
        <v>12055</v>
      </c>
      <c r="X2210" s="24">
        <v>38353</v>
      </c>
      <c r="Y2210" t="s">
        <v>26</v>
      </c>
      <c r="Z2210" s="24">
        <v>12055</v>
      </c>
      <c r="AA2210" s="24">
        <v>38353</v>
      </c>
      <c r="AB2210" t="s">
        <v>26</v>
      </c>
      <c r="AC2210" t="s">
        <v>26</v>
      </c>
      <c r="AD2210" t="s">
        <v>26</v>
      </c>
      <c r="AE2210" t="s">
        <v>26</v>
      </c>
      <c r="AF2210" t="s">
        <v>26</v>
      </c>
      <c r="AG2210" t="s">
        <v>26</v>
      </c>
      <c r="AH2210" t="s">
        <v>26</v>
      </c>
      <c r="AI2210" t="s">
        <v>26</v>
      </c>
      <c r="AJ2210" t="s">
        <v>26</v>
      </c>
      <c r="AK2210" t="s">
        <v>26</v>
      </c>
      <c r="AL2210" t="s">
        <v>26</v>
      </c>
      <c r="AM2210" t="s">
        <v>26</v>
      </c>
      <c r="AN2210" t="s">
        <v>26</v>
      </c>
      <c r="AO2210" s="25" t="s">
        <v>28</v>
      </c>
      <c r="AP2210" s="23" t="s">
        <v>45</v>
      </c>
      <c r="AQ2210" s="23" t="s">
        <v>30</v>
      </c>
      <c r="AR2210" s="23" t="s">
        <v>46</v>
      </c>
      <c r="AS2210" s="25">
        <v>6112823</v>
      </c>
      <c r="AT2210" t="s">
        <v>26</v>
      </c>
      <c r="AU2210" t="s">
        <v>25130</v>
      </c>
    </row>
    <row r="2211" spans="1:47" ht="26.25" x14ac:dyDescent="0.4">
      <c r="A2211" s="23" t="s">
        <v>5804</v>
      </c>
      <c r="B2211" t="s">
        <v>26</v>
      </c>
      <c r="C2211" s="23" t="s">
        <v>80</v>
      </c>
      <c r="D2211" s="23" t="s">
        <v>22184</v>
      </c>
      <c r="E2211" s="23" t="s">
        <v>60</v>
      </c>
      <c r="F2211" s="25" t="s">
        <v>5805</v>
      </c>
      <c r="G2211" s="25" t="s">
        <v>5806</v>
      </c>
      <c r="H2211" t="s">
        <v>26</v>
      </c>
      <c r="I2211" s="24">
        <v>35674</v>
      </c>
      <c r="J2211" s="24">
        <v>36770</v>
      </c>
      <c r="K2211" t="s">
        <v>26</v>
      </c>
      <c r="L2211" s="25" t="s">
        <v>68</v>
      </c>
      <c r="M2211" s="24">
        <v>35674</v>
      </c>
      <c r="N2211" s="24">
        <v>36678</v>
      </c>
      <c r="O2211" t="s">
        <v>26</v>
      </c>
      <c r="P2211" s="24">
        <v>35674</v>
      </c>
      <c r="Q2211" s="24">
        <v>36770</v>
      </c>
      <c r="R2211" t="s">
        <v>26</v>
      </c>
      <c r="S2211" t="s">
        <v>26</v>
      </c>
      <c r="T2211" t="s">
        <v>26</v>
      </c>
      <c r="U2211" t="s">
        <v>26</v>
      </c>
      <c r="V2211" t="s">
        <v>26</v>
      </c>
      <c r="W2211" s="24">
        <v>35674</v>
      </c>
      <c r="X2211" s="25" t="s">
        <v>77</v>
      </c>
      <c r="Y2211" t="s">
        <v>26</v>
      </c>
      <c r="Z2211" s="24">
        <v>35674</v>
      </c>
      <c r="AA2211" s="25" t="s">
        <v>77</v>
      </c>
      <c r="AB2211" t="s">
        <v>26</v>
      </c>
      <c r="AC2211" s="24">
        <v>35674</v>
      </c>
      <c r="AD2211" s="25" t="s">
        <v>77</v>
      </c>
      <c r="AE2211" t="s">
        <v>26</v>
      </c>
      <c r="AF2211" t="s">
        <v>26</v>
      </c>
      <c r="AG2211" t="s">
        <v>26</v>
      </c>
      <c r="AH2211" t="s">
        <v>26</v>
      </c>
      <c r="AI2211" t="s">
        <v>26</v>
      </c>
      <c r="AJ2211" t="s">
        <v>26</v>
      </c>
      <c r="AK2211" t="s">
        <v>26</v>
      </c>
      <c r="AL2211" t="s">
        <v>26</v>
      </c>
      <c r="AM2211" t="s">
        <v>26</v>
      </c>
      <c r="AN2211" t="s">
        <v>26</v>
      </c>
      <c r="AO2211" s="25" t="s">
        <v>68</v>
      </c>
      <c r="AP2211" s="23" t="s">
        <v>69</v>
      </c>
      <c r="AQ2211" s="23" t="s">
        <v>30</v>
      </c>
      <c r="AR2211" s="23" t="s">
        <v>952</v>
      </c>
      <c r="AS2211" s="25">
        <v>33951</v>
      </c>
      <c r="AT2211" t="s">
        <v>26</v>
      </c>
      <c r="AU2211" t="s">
        <v>25131</v>
      </c>
    </row>
    <row r="2212" spans="1:47" ht="26.25" x14ac:dyDescent="0.4">
      <c r="A2212" s="23" t="s">
        <v>5807</v>
      </c>
      <c r="B2212" t="s">
        <v>26</v>
      </c>
      <c r="C2212" s="23" t="s">
        <v>404</v>
      </c>
      <c r="D2212" s="23" t="s">
        <v>22192</v>
      </c>
      <c r="E2212" s="23" t="s">
        <v>42</v>
      </c>
      <c r="F2212" s="25" t="s">
        <v>5808</v>
      </c>
      <c r="G2212" s="25" t="s">
        <v>5809</v>
      </c>
      <c r="H2212" t="s">
        <v>26</v>
      </c>
      <c r="I2212" s="24">
        <v>37226</v>
      </c>
      <c r="J2212" s="25" t="s">
        <v>77</v>
      </c>
      <c r="K2212" t="s">
        <v>26</v>
      </c>
      <c r="L2212" s="25" t="s">
        <v>68</v>
      </c>
      <c r="M2212" s="24">
        <v>37226</v>
      </c>
      <c r="N2212" s="25" t="s">
        <v>77</v>
      </c>
      <c r="O2212" t="s">
        <v>26</v>
      </c>
      <c r="P2212" s="24">
        <v>37226</v>
      </c>
      <c r="Q2212" s="25" t="s">
        <v>77</v>
      </c>
      <c r="R2212" t="s">
        <v>26</v>
      </c>
      <c r="S2212" t="s">
        <v>26</v>
      </c>
      <c r="T2212" t="s">
        <v>26</v>
      </c>
      <c r="U2212" t="s">
        <v>26</v>
      </c>
      <c r="V2212" s="25">
        <v>365</v>
      </c>
      <c r="W2212" s="24">
        <v>37226</v>
      </c>
      <c r="X2212" s="25" t="s">
        <v>77</v>
      </c>
      <c r="Y2212" t="s">
        <v>26</v>
      </c>
      <c r="Z2212" s="24">
        <v>37226</v>
      </c>
      <c r="AA2212" s="25" t="s">
        <v>77</v>
      </c>
      <c r="AB2212" t="s">
        <v>26</v>
      </c>
      <c r="AC2212" s="24">
        <v>38869</v>
      </c>
      <c r="AD2212" s="25" t="s">
        <v>77</v>
      </c>
      <c r="AE2212" t="s">
        <v>26</v>
      </c>
      <c r="AF2212" t="s">
        <v>26</v>
      </c>
      <c r="AG2212" t="s">
        <v>26</v>
      </c>
      <c r="AH2212" t="s">
        <v>26</v>
      </c>
      <c r="AI2212" t="s">
        <v>26</v>
      </c>
      <c r="AJ2212" t="s">
        <v>26</v>
      </c>
      <c r="AK2212" t="s">
        <v>26</v>
      </c>
      <c r="AL2212" t="s">
        <v>26</v>
      </c>
      <c r="AM2212" t="s">
        <v>26</v>
      </c>
      <c r="AN2212" t="s">
        <v>26</v>
      </c>
      <c r="AO2212" s="25" t="s">
        <v>68</v>
      </c>
      <c r="AP2212" s="23" t="s">
        <v>69</v>
      </c>
      <c r="AQ2212" s="23" t="s">
        <v>30</v>
      </c>
      <c r="AR2212" s="23" t="s">
        <v>5810</v>
      </c>
      <c r="AS2212" s="25">
        <v>32993</v>
      </c>
      <c r="AT2212" t="s">
        <v>26</v>
      </c>
      <c r="AU2212" t="s">
        <v>25132</v>
      </c>
    </row>
    <row r="2213" spans="1:47" ht="26.25" x14ac:dyDescent="0.4">
      <c r="A2213" s="23" t="s">
        <v>5811</v>
      </c>
      <c r="B2213" t="s">
        <v>26</v>
      </c>
      <c r="C2213" s="23" t="s">
        <v>25133</v>
      </c>
      <c r="D2213" s="23" t="s">
        <v>25134</v>
      </c>
      <c r="E2213" s="23" t="s">
        <v>42</v>
      </c>
      <c r="F2213" t="s">
        <v>26</v>
      </c>
      <c r="G2213" t="s">
        <v>26</v>
      </c>
      <c r="H2213" t="s">
        <v>26</v>
      </c>
      <c r="I2213" s="24">
        <v>37987</v>
      </c>
      <c r="J2213" s="24">
        <v>40179</v>
      </c>
      <c r="K2213" t="s">
        <v>26</v>
      </c>
      <c r="L2213" s="25" t="s">
        <v>28</v>
      </c>
      <c r="M2213" s="24">
        <v>37987</v>
      </c>
      <c r="N2213" s="24">
        <v>40179</v>
      </c>
      <c r="O2213" t="s">
        <v>26</v>
      </c>
      <c r="P2213" t="s">
        <v>26</v>
      </c>
      <c r="Q2213" t="s">
        <v>26</v>
      </c>
      <c r="R2213" t="s">
        <v>26</v>
      </c>
      <c r="S2213" s="24">
        <v>37987</v>
      </c>
      <c r="T2213" s="24">
        <v>40179</v>
      </c>
      <c r="U2213" t="s">
        <v>26</v>
      </c>
      <c r="V2213" t="s">
        <v>26</v>
      </c>
      <c r="W2213" s="24">
        <v>37987</v>
      </c>
      <c r="X2213" s="24">
        <v>40179</v>
      </c>
      <c r="Y2213" t="s">
        <v>26</v>
      </c>
      <c r="Z2213" s="24">
        <v>37987</v>
      </c>
      <c r="AA2213" s="24">
        <v>40179</v>
      </c>
      <c r="AB2213" t="s">
        <v>26</v>
      </c>
      <c r="AC2213" s="24">
        <v>37987</v>
      </c>
      <c r="AD2213" s="24">
        <v>40179</v>
      </c>
      <c r="AE2213" t="s">
        <v>26</v>
      </c>
      <c r="AF2213" s="24">
        <v>37987</v>
      </c>
      <c r="AG2213" s="24">
        <v>40179</v>
      </c>
      <c r="AH2213" t="s">
        <v>26</v>
      </c>
      <c r="AI2213" s="24">
        <v>37987</v>
      </c>
      <c r="AJ2213" s="24">
        <v>40179</v>
      </c>
      <c r="AK2213" t="s">
        <v>26</v>
      </c>
      <c r="AL2213" t="s">
        <v>26</v>
      </c>
      <c r="AM2213" t="s">
        <v>26</v>
      </c>
      <c r="AN2213" t="s">
        <v>26</v>
      </c>
      <c r="AO2213" s="25" t="s">
        <v>28</v>
      </c>
      <c r="AP2213" s="23" t="s">
        <v>43</v>
      </c>
      <c r="AQ2213" s="23" t="s">
        <v>30</v>
      </c>
      <c r="AR2213" s="23" t="s">
        <v>46</v>
      </c>
      <c r="AS2213" s="25">
        <v>6364614</v>
      </c>
      <c r="AT2213" t="s">
        <v>26</v>
      </c>
      <c r="AU2213" t="s">
        <v>25135</v>
      </c>
    </row>
    <row r="2214" spans="1:47" ht="26.25" x14ac:dyDescent="0.4">
      <c r="A2214" s="23" t="s">
        <v>5812</v>
      </c>
      <c r="B2214" t="s">
        <v>26</v>
      </c>
      <c r="C2214" s="23" t="s">
        <v>5682</v>
      </c>
      <c r="D2214" s="23" t="s">
        <v>22286</v>
      </c>
      <c r="E2214" s="23" t="s">
        <v>42</v>
      </c>
      <c r="F2214" t="s">
        <v>26</v>
      </c>
      <c r="G2214" t="s">
        <v>26</v>
      </c>
      <c r="H2214" t="s">
        <v>26</v>
      </c>
      <c r="I2214" t="s">
        <v>26</v>
      </c>
      <c r="J2214" t="s">
        <v>26</v>
      </c>
      <c r="K2214" t="s">
        <v>26</v>
      </c>
      <c r="L2214" s="25" t="s">
        <v>28</v>
      </c>
      <c r="M2214" t="s">
        <v>26</v>
      </c>
      <c r="N2214" t="s">
        <v>26</v>
      </c>
      <c r="O2214" t="s">
        <v>26</v>
      </c>
      <c r="P2214" t="s">
        <v>26</v>
      </c>
      <c r="Q2214" t="s">
        <v>26</v>
      </c>
      <c r="R2214" t="s">
        <v>26</v>
      </c>
      <c r="S2214" t="s">
        <v>26</v>
      </c>
      <c r="T2214" t="s">
        <v>26</v>
      </c>
      <c r="U2214" t="s">
        <v>26</v>
      </c>
      <c r="V2214" t="s">
        <v>26</v>
      </c>
      <c r="W2214" s="24">
        <v>41275</v>
      </c>
      <c r="X2214" s="24">
        <v>41275</v>
      </c>
      <c r="Y2214" t="s">
        <v>26</v>
      </c>
      <c r="Z2214" s="24">
        <v>41275</v>
      </c>
      <c r="AA2214" s="24">
        <v>41275</v>
      </c>
      <c r="AB2214" t="s">
        <v>26</v>
      </c>
      <c r="AC2214" t="s">
        <v>26</v>
      </c>
      <c r="AD2214" t="s">
        <v>26</v>
      </c>
      <c r="AE2214" t="s">
        <v>26</v>
      </c>
      <c r="AF2214" t="s">
        <v>26</v>
      </c>
      <c r="AG2214" t="s">
        <v>26</v>
      </c>
      <c r="AH2214" t="s">
        <v>26</v>
      </c>
      <c r="AI2214" t="s">
        <v>26</v>
      </c>
      <c r="AJ2214" t="s">
        <v>26</v>
      </c>
      <c r="AK2214" t="s">
        <v>26</v>
      </c>
      <c r="AL2214" t="s">
        <v>26</v>
      </c>
      <c r="AM2214" t="s">
        <v>26</v>
      </c>
      <c r="AN2214" t="s">
        <v>26</v>
      </c>
      <c r="AO2214" s="25" t="s">
        <v>28</v>
      </c>
      <c r="AP2214" s="23" t="s">
        <v>29</v>
      </c>
      <c r="AQ2214" s="23" t="s">
        <v>30</v>
      </c>
      <c r="AR2214" s="23" t="s">
        <v>245</v>
      </c>
      <c r="AS2214" s="25">
        <v>5485085</v>
      </c>
      <c r="AT2214" s="23" t="s">
        <v>22181</v>
      </c>
      <c r="AU2214" t="s">
        <v>25136</v>
      </c>
    </row>
    <row r="2215" spans="1:47" ht="13.15" x14ac:dyDescent="0.4">
      <c r="A2215" s="23" t="s">
        <v>5813</v>
      </c>
      <c r="B2215" t="s">
        <v>26</v>
      </c>
      <c r="C2215" s="23" t="s">
        <v>146</v>
      </c>
      <c r="D2215" s="23" t="s">
        <v>22174</v>
      </c>
      <c r="E2215" s="23" t="s">
        <v>60</v>
      </c>
      <c r="F2215" t="s">
        <v>26</v>
      </c>
      <c r="G2215" t="s">
        <v>26</v>
      </c>
      <c r="H2215" t="s">
        <v>26</v>
      </c>
      <c r="I2215" s="24">
        <v>37622</v>
      </c>
      <c r="J2215" s="24">
        <v>37622</v>
      </c>
      <c r="K2215" t="s">
        <v>26</v>
      </c>
      <c r="L2215" s="25" t="s">
        <v>28</v>
      </c>
      <c r="M2215" s="24">
        <v>37622</v>
      </c>
      <c r="N2215" s="24">
        <v>37622</v>
      </c>
      <c r="O2215" t="s">
        <v>26</v>
      </c>
      <c r="P2215" t="s">
        <v>26</v>
      </c>
      <c r="Q2215" t="s">
        <v>26</v>
      </c>
      <c r="R2215" t="s">
        <v>26</v>
      </c>
      <c r="S2215" t="s">
        <v>26</v>
      </c>
      <c r="T2215" t="s">
        <v>26</v>
      </c>
      <c r="U2215" t="s">
        <v>26</v>
      </c>
      <c r="V2215" t="s">
        <v>26</v>
      </c>
      <c r="W2215" s="24">
        <v>37622</v>
      </c>
      <c r="X2215" s="24">
        <v>37622</v>
      </c>
      <c r="Y2215" t="s">
        <v>26</v>
      </c>
      <c r="Z2215" s="24">
        <v>37622</v>
      </c>
      <c r="AA2215" s="24">
        <v>37622</v>
      </c>
      <c r="AB2215" t="s">
        <v>26</v>
      </c>
      <c r="AC2215" s="24">
        <v>37622</v>
      </c>
      <c r="AD2215" s="24">
        <v>37622</v>
      </c>
      <c r="AE2215" t="s">
        <v>26</v>
      </c>
      <c r="AF2215" t="s">
        <v>26</v>
      </c>
      <c r="AG2215" t="s">
        <v>26</v>
      </c>
      <c r="AH2215" t="s">
        <v>26</v>
      </c>
      <c r="AI2215" t="s">
        <v>26</v>
      </c>
      <c r="AJ2215" t="s">
        <v>26</v>
      </c>
      <c r="AK2215" t="s">
        <v>26</v>
      </c>
      <c r="AL2215" t="s">
        <v>26</v>
      </c>
      <c r="AM2215" t="s">
        <v>26</v>
      </c>
      <c r="AN2215" t="s">
        <v>26</v>
      </c>
      <c r="AO2215" s="25" t="s">
        <v>28</v>
      </c>
      <c r="AP2215" s="23" t="s">
        <v>29</v>
      </c>
      <c r="AQ2215" s="23" t="s">
        <v>30</v>
      </c>
      <c r="AR2215" s="23" t="s">
        <v>5596</v>
      </c>
      <c r="AS2215" s="25">
        <v>6059426</v>
      </c>
      <c r="AT2215" t="s">
        <v>26</v>
      </c>
      <c r="AU2215" t="s">
        <v>25137</v>
      </c>
    </row>
    <row r="2216" spans="1:47" ht="26.25" x14ac:dyDescent="0.4">
      <c r="A2216" s="23" t="s">
        <v>5814</v>
      </c>
      <c r="B2216" t="s">
        <v>26</v>
      </c>
      <c r="C2216" s="23" t="s">
        <v>1141</v>
      </c>
      <c r="D2216" s="23" t="s">
        <v>22174</v>
      </c>
      <c r="E2216" s="23" t="s">
        <v>60</v>
      </c>
      <c r="F2216" t="s">
        <v>26</v>
      </c>
      <c r="G2216" t="s">
        <v>26</v>
      </c>
      <c r="H2216" t="s">
        <v>26</v>
      </c>
      <c r="I2216" t="s">
        <v>26</v>
      </c>
      <c r="J2216" t="s">
        <v>26</v>
      </c>
      <c r="K2216" t="s">
        <v>26</v>
      </c>
      <c r="L2216" s="25" t="s">
        <v>28</v>
      </c>
      <c r="M2216" t="s">
        <v>26</v>
      </c>
      <c r="N2216" t="s">
        <v>26</v>
      </c>
      <c r="O2216" t="s">
        <v>26</v>
      </c>
      <c r="P2216" t="s">
        <v>26</v>
      </c>
      <c r="Q2216" t="s">
        <v>26</v>
      </c>
      <c r="R2216" t="s">
        <v>26</v>
      </c>
      <c r="S2216" t="s">
        <v>26</v>
      </c>
      <c r="T2216" t="s">
        <v>26</v>
      </c>
      <c r="U2216" t="s">
        <v>26</v>
      </c>
      <c r="V2216" t="s">
        <v>26</v>
      </c>
      <c r="W2216" s="24">
        <v>42005</v>
      </c>
      <c r="X2216" s="24">
        <v>42005</v>
      </c>
      <c r="Y2216" t="s">
        <v>26</v>
      </c>
      <c r="Z2216" s="24">
        <v>42005</v>
      </c>
      <c r="AA2216" s="24">
        <v>42005</v>
      </c>
      <c r="AB2216" t="s">
        <v>26</v>
      </c>
      <c r="AC2216" t="s">
        <v>26</v>
      </c>
      <c r="AD2216" t="s">
        <v>26</v>
      </c>
      <c r="AE2216" t="s">
        <v>26</v>
      </c>
      <c r="AF2216" t="s">
        <v>26</v>
      </c>
      <c r="AG2216" t="s">
        <v>26</v>
      </c>
      <c r="AH2216" t="s">
        <v>26</v>
      </c>
      <c r="AI2216" t="s">
        <v>26</v>
      </c>
      <c r="AJ2216" t="s">
        <v>26</v>
      </c>
      <c r="AK2216" t="s">
        <v>26</v>
      </c>
      <c r="AL2216" t="s">
        <v>26</v>
      </c>
      <c r="AM2216" t="s">
        <v>26</v>
      </c>
      <c r="AN2216" t="s">
        <v>26</v>
      </c>
      <c r="AO2216" s="25" t="s">
        <v>28</v>
      </c>
      <c r="AP2216" s="23" t="s">
        <v>29</v>
      </c>
      <c r="AQ2216" s="23" t="s">
        <v>30</v>
      </c>
      <c r="AR2216" s="23" t="s">
        <v>44</v>
      </c>
      <c r="AS2216" s="25">
        <v>5485071</v>
      </c>
      <c r="AT2216" s="23" t="s">
        <v>22181</v>
      </c>
      <c r="AU2216" t="s">
        <v>25138</v>
      </c>
    </row>
    <row r="2217" spans="1:47" ht="26.25" x14ac:dyDescent="0.4">
      <c r="A2217" s="23" t="s">
        <v>5815</v>
      </c>
      <c r="B2217" t="s">
        <v>26</v>
      </c>
      <c r="C2217" t="s">
        <v>26</v>
      </c>
      <c r="D2217" s="23" t="s">
        <v>22231</v>
      </c>
      <c r="E2217" t="s">
        <v>26</v>
      </c>
      <c r="F2217" t="s">
        <v>26</v>
      </c>
      <c r="G2217" t="s">
        <v>26</v>
      </c>
      <c r="H2217" t="s">
        <v>26</v>
      </c>
      <c r="I2217" s="24">
        <v>38718</v>
      </c>
      <c r="J2217" s="24">
        <v>38718</v>
      </c>
      <c r="K2217" t="s">
        <v>26</v>
      </c>
      <c r="L2217" s="25" t="s">
        <v>28</v>
      </c>
      <c r="M2217" s="24">
        <v>38718</v>
      </c>
      <c r="N2217" s="24">
        <v>38718</v>
      </c>
      <c r="O2217" t="s">
        <v>26</v>
      </c>
      <c r="P2217" t="s">
        <v>26</v>
      </c>
      <c r="Q2217" t="s">
        <v>26</v>
      </c>
      <c r="R2217" t="s">
        <v>26</v>
      </c>
      <c r="S2217" t="s">
        <v>26</v>
      </c>
      <c r="T2217" t="s">
        <v>26</v>
      </c>
      <c r="U2217" t="s">
        <v>26</v>
      </c>
      <c r="V2217" t="s">
        <v>26</v>
      </c>
      <c r="W2217" s="24">
        <v>38718</v>
      </c>
      <c r="X2217" s="24">
        <v>38718</v>
      </c>
      <c r="Y2217" t="s">
        <v>26</v>
      </c>
      <c r="Z2217" s="24">
        <v>38718</v>
      </c>
      <c r="AA2217" s="24">
        <v>38718</v>
      </c>
      <c r="AB2217" t="s">
        <v>26</v>
      </c>
      <c r="AC2217" s="24">
        <v>38718</v>
      </c>
      <c r="AD2217" s="24">
        <v>38718</v>
      </c>
      <c r="AE2217" t="s">
        <v>26</v>
      </c>
      <c r="AF2217" t="s">
        <v>26</v>
      </c>
      <c r="AG2217" t="s">
        <v>26</v>
      </c>
      <c r="AH2217" t="s">
        <v>26</v>
      </c>
      <c r="AI2217" t="s">
        <v>26</v>
      </c>
      <c r="AJ2217" t="s">
        <v>26</v>
      </c>
      <c r="AK2217" t="s">
        <v>26</v>
      </c>
      <c r="AL2217" t="s">
        <v>26</v>
      </c>
      <c r="AM2217" t="s">
        <v>26</v>
      </c>
      <c r="AN2217" t="s">
        <v>26</v>
      </c>
      <c r="AO2217" s="25" t="s">
        <v>28</v>
      </c>
      <c r="AP2217" s="23" t="s">
        <v>29</v>
      </c>
      <c r="AQ2217" s="23" t="s">
        <v>30</v>
      </c>
      <c r="AR2217" s="23" t="s">
        <v>46</v>
      </c>
      <c r="AS2217" s="25">
        <v>6059464</v>
      </c>
      <c r="AT2217" t="s">
        <v>26</v>
      </c>
      <c r="AU2217" t="s">
        <v>25139</v>
      </c>
    </row>
    <row r="2218" spans="1:47" ht="13.15" x14ac:dyDescent="0.4">
      <c r="A2218" s="23" t="s">
        <v>5816</v>
      </c>
      <c r="B2218" t="s">
        <v>26</v>
      </c>
      <c r="C2218" s="23" t="s">
        <v>146</v>
      </c>
      <c r="D2218" s="23" t="s">
        <v>22174</v>
      </c>
      <c r="E2218" s="23" t="s">
        <v>60</v>
      </c>
      <c r="F2218" t="s">
        <v>26</v>
      </c>
      <c r="G2218" t="s">
        <v>26</v>
      </c>
      <c r="H2218" t="s">
        <v>26</v>
      </c>
      <c r="I2218" t="s">
        <v>26</v>
      </c>
      <c r="J2218" t="s">
        <v>26</v>
      </c>
      <c r="K2218" t="s">
        <v>26</v>
      </c>
      <c r="L2218" s="25" t="s">
        <v>28</v>
      </c>
      <c r="M2218" t="s">
        <v>26</v>
      </c>
      <c r="N2218" t="s">
        <v>26</v>
      </c>
      <c r="O2218" t="s">
        <v>26</v>
      </c>
      <c r="P2218" t="s">
        <v>26</v>
      </c>
      <c r="Q2218" t="s">
        <v>26</v>
      </c>
      <c r="R2218" t="s">
        <v>26</v>
      </c>
      <c r="S2218" t="s">
        <v>26</v>
      </c>
      <c r="T2218" t="s">
        <v>26</v>
      </c>
      <c r="U2218" t="s">
        <v>26</v>
      </c>
      <c r="V2218" t="s">
        <v>26</v>
      </c>
      <c r="W2218" s="24">
        <v>41640</v>
      </c>
      <c r="X2218" s="24">
        <v>41640</v>
      </c>
      <c r="Y2218" t="s">
        <v>26</v>
      </c>
      <c r="Z2218" s="24">
        <v>41640</v>
      </c>
      <c r="AA2218" s="24">
        <v>41640</v>
      </c>
      <c r="AB2218" t="s">
        <v>26</v>
      </c>
      <c r="AC2218" t="s">
        <v>26</v>
      </c>
      <c r="AD2218" t="s">
        <v>26</v>
      </c>
      <c r="AE2218" t="s">
        <v>26</v>
      </c>
      <c r="AF2218" t="s">
        <v>26</v>
      </c>
      <c r="AG2218" t="s">
        <v>26</v>
      </c>
      <c r="AH2218" t="s">
        <v>26</v>
      </c>
      <c r="AI2218" t="s">
        <v>26</v>
      </c>
      <c r="AJ2218" t="s">
        <v>26</v>
      </c>
      <c r="AK2218" t="s">
        <v>26</v>
      </c>
      <c r="AL2218" t="s">
        <v>26</v>
      </c>
      <c r="AM2218" t="s">
        <v>26</v>
      </c>
      <c r="AN2218" t="s">
        <v>26</v>
      </c>
      <c r="AO2218" s="25" t="s">
        <v>28</v>
      </c>
      <c r="AP2218" s="23" t="s">
        <v>29</v>
      </c>
      <c r="AQ2218" s="23" t="s">
        <v>30</v>
      </c>
      <c r="AR2218" s="23" t="s">
        <v>44</v>
      </c>
      <c r="AS2218" s="25">
        <v>5485114</v>
      </c>
      <c r="AT2218" s="23" t="s">
        <v>22181</v>
      </c>
      <c r="AU2218" t="s">
        <v>25140</v>
      </c>
    </row>
    <row r="2219" spans="1:47" ht="13.15" x14ac:dyDescent="0.4">
      <c r="A2219" s="23" t="s">
        <v>5817</v>
      </c>
      <c r="B2219" t="s">
        <v>26</v>
      </c>
      <c r="C2219" s="23" t="s">
        <v>146</v>
      </c>
      <c r="D2219" s="23" t="s">
        <v>22174</v>
      </c>
      <c r="E2219" s="23" t="s">
        <v>60</v>
      </c>
      <c r="F2219" t="s">
        <v>26</v>
      </c>
      <c r="G2219" t="s">
        <v>26</v>
      </c>
      <c r="H2219" t="s">
        <v>26</v>
      </c>
      <c r="I2219" t="s">
        <v>26</v>
      </c>
      <c r="J2219" t="s">
        <v>26</v>
      </c>
      <c r="K2219" t="s">
        <v>26</v>
      </c>
      <c r="L2219" s="25" t="s">
        <v>28</v>
      </c>
      <c r="M2219" t="s">
        <v>26</v>
      </c>
      <c r="N2219" t="s">
        <v>26</v>
      </c>
      <c r="O2219" t="s">
        <v>26</v>
      </c>
      <c r="P2219" t="s">
        <v>26</v>
      </c>
      <c r="Q2219" t="s">
        <v>26</v>
      </c>
      <c r="R2219" t="s">
        <v>26</v>
      </c>
      <c r="S2219" t="s">
        <v>26</v>
      </c>
      <c r="T2219" t="s">
        <v>26</v>
      </c>
      <c r="U2219" t="s">
        <v>26</v>
      </c>
      <c r="V2219" t="s">
        <v>26</v>
      </c>
      <c r="W2219" s="24">
        <v>42005</v>
      </c>
      <c r="X2219" s="24">
        <v>42005</v>
      </c>
      <c r="Y2219" t="s">
        <v>26</v>
      </c>
      <c r="Z2219" s="24">
        <v>42005</v>
      </c>
      <c r="AA2219" s="24">
        <v>42005</v>
      </c>
      <c r="AB2219" t="s">
        <v>26</v>
      </c>
      <c r="AC2219" t="s">
        <v>26</v>
      </c>
      <c r="AD2219" t="s">
        <v>26</v>
      </c>
      <c r="AE2219" t="s">
        <v>26</v>
      </c>
      <c r="AF2219" t="s">
        <v>26</v>
      </c>
      <c r="AG2219" t="s">
        <v>26</v>
      </c>
      <c r="AH2219" t="s">
        <v>26</v>
      </c>
      <c r="AI2219" t="s">
        <v>26</v>
      </c>
      <c r="AJ2219" t="s">
        <v>26</v>
      </c>
      <c r="AK2219" t="s">
        <v>26</v>
      </c>
      <c r="AL2219" t="s">
        <v>26</v>
      </c>
      <c r="AM2219" t="s">
        <v>26</v>
      </c>
      <c r="AN2219" t="s">
        <v>26</v>
      </c>
      <c r="AO2219" s="25" t="s">
        <v>28</v>
      </c>
      <c r="AP2219" s="23" t="s">
        <v>29</v>
      </c>
      <c r="AQ2219" s="23" t="s">
        <v>30</v>
      </c>
      <c r="AR2219" s="23" t="s">
        <v>44</v>
      </c>
      <c r="AS2219" s="25">
        <v>5485115</v>
      </c>
      <c r="AT2219" s="23" t="s">
        <v>22181</v>
      </c>
      <c r="AU2219" t="s">
        <v>25141</v>
      </c>
    </row>
    <row r="2220" spans="1:47" ht="26.25" x14ac:dyDescent="0.4">
      <c r="A2220" s="23" t="s">
        <v>5818</v>
      </c>
      <c r="B2220" t="s">
        <v>26</v>
      </c>
      <c r="C2220" t="s">
        <v>26</v>
      </c>
      <c r="D2220" s="23" t="s">
        <v>22231</v>
      </c>
      <c r="E2220" t="s">
        <v>26</v>
      </c>
      <c r="F2220" t="s">
        <v>26</v>
      </c>
      <c r="G2220" t="s">
        <v>26</v>
      </c>
      <c r="H2220" t="s">
        <v>26</v>
      </c>
      <c r="I2220" s="24">
        <v>38718</v>
      </c>
      <c r="J2220" s="24">
        <v>38718</v>
      </c>
      <c r="K2220" t="s">
        <v>26</v>
      </c>
      <c r="L2220" s="25" t="s">
        <v>28</v>
      </c>
      <c r="M2220" s="24">
        <v>38718</v>
      </c>
      <c r="N2220" s="24">
        <v>38718</v>
      </c>
      <c r="O2220" t="s">
        <v>26</v>
      </c>
      <c r="P2220" t="s">
        <v>26</v>
      </c>
      <c r="Q2220" t="s">
        <v>26</v>
      </c>
      <c r="R2220" t="s">
        <v>26</v>
      </c>
      <c r="S2220" t="s">
        <v>26</v>
      </c>
      <c r="T2220" t="s">
        <v>26</v>
      </c>
      <c r="U2220" t="s">
        <v>26</v>
      </c>
      <c r="V2220" t="s">
        <v>26</v>
      </c>
      <c r="W2220" s="24">
        <v>38718</v>
      </c>
      <c r="X2220" s="24">
        <v>38718</v>
      </c>
      <c r="Y2220" t="s">
        <v>26</v>
      </c>
      <c r="Z2220" s="24">
        <v>38718</v>
      </c>
      <c r="AA2220" s="24">
        <v>38718</v>
      </c>
      <c r="AB2220" t="s">
        <v>26</v>
      </c>
      <c r="AC2220" s="24">
        <v>38718</v>
      </c>
      <c r="AD2220" s="24">
        <v>38718</v>
      </c>
      <c r="AE2220" t="s">
        <v>26</v>
      </c>
      <c r="AF2220" t="s">
        <v>26</v>
      </c>
      <c r="AG2220" t="s">
        <v>26</v>
      </c>
      <c r="AH2220" t="s">
        <v>26</v>
      </c>
      <c r="AI2220" t="s">
        <v>26</v>
      </c>
      <c r="AJ2220" t="s">
        <v>26</v>
      </c>
      <c r="AK2220" t="s">
        <v>26</v>
      </c>
      <c r="AL2220" t="s">
        <v>26</v>
      </c>
      <c r="AM2220" t="s">
        <v>26</v>
      </c>
      <c r="AN2220" t="s">
        <v>26</v>
      </c>
      <c r="AO2220" s="25" t="s">
        <v>28</v>
      </c>
      <c r="AP2220" s="23" t="s">
        <v>29</v>
      </c>
      <c r="AQ2220" s="23" t="s">
        <v>30</v>
      </c>
      <c r="AR2220" s="23" t="s">
        <v>46</v>
      </c>
      <c r="AS2220" s="25">
        <v>6059425</v>
      </c>
      <c r="AT2220" t="s">
        <v>26</v>
      </c>
      <c r="AU2220" t="s">
        <v>25142</v>
      </c>
    </row>
    <row r="2221" spans="1:47" ht="26.25" x14ac:dyDescent="0.4">
      <c r="A2221" s="23" t="s">
        <v>5819</v>
      </c>
      <c r="B2221" t="s">
        <v>26</v>
      </c>
      <c r="C2221" s="23" t="s">
        <v>4608</v>
      </c>
      <c r="D2221" s="23" t="s">
        <v>22256</v>
      </c>
      <c r="E2221" s="23" t="s">
        <v>42</v>
      </c>
      <c r="F2221" s="25" t="s">
        <v>5820</v>
      </c>
      <c r="G2221" s="25" t="s">
        <v>5821</v>
      </c>
      <c r="H2221" t="s">
        <v>26</v>
      </c>
      <c r="I2221" t="s">
        <v>26</v>
      </c>
      <c r="J2221" t="s">
        <v>26</v>
      </c>
      <c r="K2221" t="s">
        <v>26</v>
      </c>
      <c r="L2221" s="25" t="s">
        <v>28</v>
      </c>
      <c r="M2221" t="s">
        <v>26</v>
      </c>
      <c r="N2221" t="s">
        <v>26</v>
      </c>
      <c r="O2221" t="s">
        <v>26</v>
      </c>
      <c r="P2221" t="s">
        <v>26</v>
      </c>
      <c r="Q2221" t="s">
        <v>26</v>
      </c>
      <c r="R2221" t="s">
        <v>26</v>
      </c>
      <c r="S2221" t="s">
        <v>26</v>
      </c>
      <c r="T2221" t="s">
        <v>26</v>
      </c>
      <c r="U2221" t="s">
        <v>26</v>
      </c>
      <c r="V2221" t="s">
        <v>26</v>
      </c>
      <c r="W2221" s="24">
        <v>29860</v>
      </c>
      <c r="X2221" s="25" t="s">
        <v>77</v>
      </c>
      <c r="Y2221" s="25" t="s">
        <v>3950</v>
      </c>
      <c r="Z2221" s="24">
        <v>29860</v>
      </c>
      <c r="AA2221" s="25" t="s">
        <v>77</v>
      </c>
      <c r="AB2221" s="25" t="s">
        <v>3950</v>
      </c>
      <c r="AC2221" s="24">
        <v>32509</v>
      </c>
      <c r="AD2221" s="25" t="s">
        <v>77</v>
      </c>
      <c r="AE2221" s="25" t="s">
        <v>3950</v>
      </c>
      <c r="AF2221" t="s">
        <v>26</v>
      </c>
      <c r="AG2221" t="s">
        <v>26</v>
      </c>
      <c r="AH2221" t="s">
        <v>26</v>
      </c>
      <c r="AI2221" t="s">
        <v>26</v>
      </c>
      <c r="AJ2221" t="s">
        <v>26</v>
      </c>
      <c r="AK2221" t="s">
        <v>26</v>
      </c>
      <c r="AL2221" t="s">
        <v>26</v>
      </c>
      <c r="AM2221" t="s">
        <v>26</v>
      </c>
      <c r="AN2221" t="s">
        <v>26</v>
      </c>
      <c r="AO2221" s="25" t="s">
        <v>28</v>
      </c>
      <c r="AP2221" s="23" t="s">
        <v>211</v>
      </c>
      <c r="AQ2221" s="23" t="s">
        <v>30</v>
      </c>
      <c r="AR2221" s="23" t="s">
        <v>433</v>
      </c>
      <c r="AS2221" s="25">
        <v>47780</v>
      </c>
      <c r="AT2221" t="s">
        <v>26</v>
      </c>
      <c r="AU2221" t="s">
        <v>25143</v>
      </c>
    </row>
    <row r="2222" spans="1:47" ht="26.25" x14ac:dyDescent="0.4">
      <c r="A2222" s="23" t="s">
        <v>5822</v>
      </c>
      <c r="B2222" t="s">
        <v>26</v>
      </c>
      <c r="C2222" s="23" t="s">
        <v>80</v>
      </c>
      <c r="D2222" s="23" t="s">
        <v>22184</v>
      </c>
      <c r="E2222" s="23" t="s">
        <v>60</v>
      </c>
      <c r="F2222" s="25" t="s">
        <v>5823</v>
      </c>
      <c r="G2222" s="25" t="s">
        <v>5824</v>
      </c>
      <c r="H2222" t="s">
        <v>26</v>
      </c>
      <c r="I2222" t="s">
        <v>26</v>
      </c>
      <c r="J2222" t="s">
        <v>26</v>
      </c>
      <c r="K2222" t="s">
        <v>26</v>
      </c>
      <c r="L2222" s="25" t="s">
        <v>68</v>
      </c>
      <c r="M2222" t="s">
        <v>26</v>
      </c>
      <c r="N2222" t="s">
        <v>26</v>
      </c>
      <c r="O2222" t="s">
        <v>26</v>
      </c>
      <c r="P2222" t="s">
        <v>26</v>
      </c>
      <c r="Q2222" t="s">
        <v>26</v>
      </c>
      <c r="R2222" t="s">
        <v>26</v>
      </c>
      <c r="S2222" t="s">
        <v>26</v>
      </c>
      <c r="T2222" t="s">
        <v>26</v>
      </c>
      <c r="U2222" t="s">
        <v>26</v>
      </c>
      <c r="V2222" t="s">
        <v>26</v>
      </c>
      <c r="W2222" s="24">
        <v>40330</v>
      </c>
      <c r="X2222" s="25" t="s">
        <v>77</v>
      </c>
      <c r="Y2222" t="s">
        <v>26</v>
      </c>
      <c r="Z2222" s="24">
        <v>40330</v>
      </c>
      <c r="AA2222" s="25" t="s">
        <v>77</v>
      </c>
      <c r="AB2222" t="s">
        <v>26</v>
      </c>
      <c r="AC2222" s="24">
        <v>40330</v>
      </c>
      <c r="AD2222" s="25" t="s">
        <v>77</v>
      </c>
      <c r="AE2222" t="s">
        <v>26</v>
      </c>
      <c r="AF2222" t="s">
        <v>26</v>
      </c>
      <c r="AG2222" t="s">
        <v>26</v>
      </c>
      <c r="AH2222" t="s">
        <v>26</v>
      </c>
      <c r="AI2222" t="s">
        <v>26</v>
      </c>
      <c r="AJ2222" t="s">
        <v>26</v>
      </c>
      <c r="AK2222" t="s">
        <v>26</v>
      </c>
      <c r="AL2222" t="s">
        <v>26</v>
      </c>
      <c r="AM2222" t="s">
        <v>26</v>
      </c>
      <c r="AN2222" t="s">
        <v>26</v>
      </c>
      <c r="AO2222" s="25" t="s">
        <v>68</v>
      </c>
      <c r="AP2222" s="23" t="s">
        <v>69</v>
      </c>
      <c r="AQ2222" s="23" t="s">
        <v>30</v>
      </c>
      <c r="AR2222" s="23" t="s">
        <v>433</v>
      </c>
      <c r="AS2222" s="25">
        <v>52968</v>
      </c>
      <c r="AT2222" t="s">
        <v>26</v>
      </c>
      <c r="AU2222" t="s">
        <v>25144</v>
      </c>
    </row>
    <row r="2223" spans="1:47" ht="26.25" x14ac:dyDescent="0.4">
      <c r="A2223" s="23" t="s">
        <v>5825</v>
      </c>
      <c r="B2223" t="s">
        <v>26</v>
      </c>
      <c r="C2223" s="23" t="s">
        <v>80</v>
      </c>
      <c r="D2223" s="23" t="s">
        <v>22184</v>
      </c>
      <c r="E2223" s="23" t="s">
        <v>60</v>
      </c>
      <c r="F2223" s="25" t="s">
        <v>5826</v>
      </c>
      <c r="G2223" s="25" t="s">
        <v>5827</v>
      </c>
      <c r="H2223" t="s">
        <v>26</v>
      </c>
      <c r="I2223" t="s">
        <v>26</v>
      </c>
      <c r="J2223" t="s">
        <v>26</v>
      </c>
      <c r="K2223" t="s">
        <v>26</v>
      </c>
      <c r="L2223" s="25" t="s">
        <v>68</v>
      </c>
      <c r="M2223" t="s">
        <v>26</v>
      </c>
      <c r="N2223" t="s">
        <v>26</v>
      </c>
      <c r="O2223" t="s">
        <v>26</v>
      </c>
      <c r="P2223" t="s">
        <v>26</v>
      </c>
      <c r="Q2223" t="s">
        <v>26</v>
      </c>
      <c r="R2223" t="s">
        <v>26</v>
      </c>
      <c r="S2223" t="s">
        <v>26</v>
      </c>
      <c r="T2223" t="s">
        <v>26</v>
      </c>
      <c r="U2223" t="s">
        <v>26</v>
      </c>
      <c r="V2223" t="s">
        <v>26</v>
      </c>
      <c r="W2223" s="24">
        <v>40238</v>
      </c>
      <c r="X2223" s="25" t="s">
        <v>77</v>
      </c>
      <c r="Y2223" t="s">
        <v>26</v>
      </c>
      <c r="Z2223" s="24">
        <v>40238</v>
      </c>
      <c r="AA2223" s="25" t="s">
        <v>77</v>
      </c>
      <c r="AB2223" t="s">
        <v>26</v>
      </c>
      <c r="AC2223" s="24">
        <v>40238</v>
      </c>
      <c r="AD2223" s="25" t="s">
        <v>77</v>
      </c>
      <c r="AE2223" t="s">
        <v>26</v>
      </c>
      <c r="AF2223" t="s">
        <v>26</v>
      </c>
      <c r="AG2223" t="s">
        <v>26</v>
      </c>
      <c r="AH2223" t="s">
        <v>26</v>
      </c>
      <c r="AI2223" t="s">
        <v>26</v>
      </c>
      <c r="AJ2223" t="s">
        <v>26</v>
      </c>
      <c r="AK2223" t="s">
        <v>26</v>
      </c>
      <c r="AL2223" t="s">
        <v>26</v>
      </c>
      <c r="AM2223" t="s">
        <v>26</v>
      </c>
      <c r="AN2223" t="s">
        <v>26</v>
      </c>
      <c r="AO2223" s="25" t="s">
        <v>68</v>
      </c>
      <c r="AP2223" s="23" t="s">
        <v>69</v>
      </c>
      <c r="AQ2223" s="23" t="s">
        <v>30</v>
      </c>
      <c r="AR2223" s="23" t="s">
        <v>3557</v>
      </c>
      <c r="AS2223" s="25">
        <v>52921</v>
      </c>
      <c r="AT2223" t="s">
        <v>26</v>
      </c>
      <c r="AU2223" t="s">
        <v>25145</v>
      </c>
    </row>
    <row r="2224" spans="1:47" ht="26.25" x14ac:dyDescent="0.4">
      <c r="A2224" s="23" t="s">
        <v>5828</v>
      </c>
      <c r="B2224" t="s">
        <v>26</v>
      </c>
      <c r="C2224" s="23" t="s">
        <v>5829</v>
      </c>
      <c r="D2224" s="23" t="s">
        <v>22263</v>
      </c>
      <c r="E2224" s="23" t="s">
        <v>187</v>
      </c>
      <c r="F2224" s="25" t="s">
        <v>5830</v>
      </c>
      <c r="G2224" s="25" t="s">
        <v>5831</v>
      </c>
      <c r="H2224" t="s">
        <v>26</v>
      </c>
      <c r="I2224" s="24">
        <v>39448</v>
      </c>
      <c r="J2224" s="25" t="s">
        <v>77</v>
      </c>
      <c r="K2224" t="s">
        <v>26</v>
      </c>
      <c r="L2224" s="25" t="s">
        <v>68</v>
      </c>
      <c r="M2224" t="s">
        <v>26</v>
      </c>
      <c r="N2224" t="s">
        <v>26</v>
      </c>
      <c r="O2224" t="s">
        <v>26</v>
      </c>
      <c r="P2224" s="24">
        <v>39448</v>
      </c>
      <c r="Q2224" s="25" t="s">
        <v>77</v>
      </c>
      <c r="R2224" t="s">
        <v>26</v>
      </c>
      <c r="S2224" t="s">
        <v>26</v>
      </c>
      <c r="T2224" t="s">
        <v>26</v>
      </c>
      <c r="U2224" t="s">
        <v>26</v>
      </c>
      <c r="V2224" t="s">
        <v>26</v>
      </c>
      <c r="W2224" s="24">
        <v>39448</v>
      </c>
      <c r="X2224" s="25" t="s">
        <v>77</v>
      </c>
      <c r="Y2224" t="s">
        <v>26</v>
      </c>
      <c r="Z2224" s="24">
        <v>39448</v>
      </c>
      <c r="AA2224" s="25" t="s">
        <v>77</v>
      </c>
      <c r="AB2224" t="s">
        <v>26</v>
      </c>
      <c r="AC2224" s="24">
        <v>39448</v>
      </c>
      <c r="AD2224" s="25" t="s">
        <v>77</v>
      </c>
      <c r="AE2224" t="s">
        <v>26</v>
      </c>
      <c r="AF2224" t="s">
        <v>26</v>
      </c>
      <c r="AG2224" t="s">
        <v>26</v>
      </c>
      <c r="AH2224" t="s">
        <v>26</v>
      </c>
      <c r="AI2224" t="s">
        <v>26</v>
      </c>
      <c r="AJ2224" t="s">
        <v>26</v>
      </c>
      <c r="AK2224" t="s">
        <v>26</v>
      </c>
      <c r="AL2224" t="s">
        <v>26</v>
      </c>
      <c r="AM2224" t="s">
        <v>26</v>
      </c>
      <c r="AN2224" t="s">
        <v>26</v>
      </c>
      <c r="AO2224" s="25" t="s">
        <v>68</v>
      </c>
      <c r="AP2224" s="23" t="s">
        <v>69</v>
      </c>
      <c r="AQ2224" s="23" t="s">
        <v>30</v>
      </c>
      <c r="AR2224" s="23" t="s">
        <v>46</v>
      </c>
      <c r="AS2224" s="25">
        <v>2026623</v>
      </c>
      <c r="AT2224" t="s">
        <v>26</v>
      </c>
      <c r="AU2224" t="s">
        <v>25146</v>
      </c>
    </row>
    <row r="2225" spans="1:47" ht="26.25" x14ac:dyDescent="0.4">
      <c r="A2225" s="23" t="s">
        <v>5832</v>
      </c>
      <c r="B2225" t="s">
        <v>26</v>
      </c>
      <c r="C2225" s="23" t="s">
        <v>73</v>
      </c>
      <c r="D2225" s="23" t="s">
        <v>22179</v>
      </c>
      <c r="E2225" s="23" t="s">
        <v>74</v>
      </c>
      <c r="F2225" s="25" t="s">
        <v>5833</v>
      </c>
      <c r="G2225" s="25" t="s">
        <v>5834</v>
      </c>
      <c r="H2225" t="s">
        <v>26</v>
      </c>
      <c r="I2225" s="24">
        <v>35490</v>
      </c>
      <c r="J2225" s="25" t="s">
        <v>77</v>
      </c>
      <c r="K2225" t="s">
        <v>26</v>
      </c>
      <c r="L2225" s="25" t="s">
        <v>68</v>
      </c>
      <c r="M2225" s="24">
        <v>38047</v>
      </c>
      <c r="N2225" s="24">
        <v>42795</v>
      </c>
      <c r="O2225" t="s">
        <v>26</v>
      </c>
      <c r="P2225" s="24">
        <v>35490</v>
      </c>
      <c r="Q2225" s="25" t="s">
        <v>77</v>
      </c>
      <c r="R2225" t="s">
        <v>26</v>
      </c>
      <c r="S2225" t="s">
        <v>26</v>
      </c>
      <c r="T2225" t="s">
        <v>26</v>
      </c>
      <c r="U2225" t="s">
        <v>26</v>
      </c>
      <c r="V2225" s="25">
        <v>365</v>
      </c>
      <c r="W2225" s="24">
        <v>35490</v>
      </c>
      <c r="X2225" s="25" t="s">
        <v>77</v>
      </c>
      <c r="Y2225" t="s">
        <v>26</v>
      </c>
      <c r="Z2225" s="24">
        <v>35490</v>
      </c>
      <c r="AA2225" s="25" t="s">
        <v>77</v>
      </c>
      <c r="AB2225" t="s">
        <v>26</v>
      </c>
      <c r="AC2225" s="24">
        <v>35490</v>
      </c>
      <c r="AD2225" s="25" t="s">
        <v>77</v>
      </c>
      <c r="AE2225" t="s">
        <v>26</v>
      </c>
      <c r="AF2225" t="s">
        <v>26</v>
      </c>
      <c r="AG2225" t="s">
        <v>26</v>
      </c>
      <c r="AH2225" t="s">
        <v>26</v>
      </c>
      <c r="AI2225" t="s">
        <v>26</v>
      </c>
      <c r="AJ2225" t="s">
        <v>26</v>
      </c>
      <c r="AK2225" t="s">
        <v>26</v>
      </c>
      <c r="AL2225" t="s">
        <v>26</v>
      </c>
      <c r="AM2225" t="s">
        <v>26</v>
      </c>
      <c r="AN2225" t="s">
        <v>26</v>
      </c>
      <c r="AO2225" s="25" t="s">
        <v>68</v>
      </c>
      <c r="AP2225" s="23" t="s">
        <v>69</v>
      </c>
      <c r="AQ2225" s="23" t="s">
        <v>30</v>
      </c>
      <c r="AR2225" s="23" t="s">
        <v>5222</v>
      </c>
      <c r="AS2225" s="25">
        <v>54052</v>
      </c>
      <c r="AT2225" t="s">
        <v>26</v>
      </c>
      <c r="AU2225" t="s">
        <v>25147</v>
      </c>
    </row>
    <row r="2226" spans="1:47" ht="26.25" x14ac:dyDescent="0.4">
      <c r="A2226" s="23" t="s">
        <v>5835</v>
      </c>
      <c r="B2226" t="s">
        <v>26</v>
      </c>
      <c r="C2226" s="23" t="s">
        <v>172</v>
      </c>
      <c r="D2226" s="23" t="s">
        <v>22242</v>
      </c>
      <c r="E2226" s="23" t="s">
        <v>60</v>
      </c>
      <c r="F2226" s="25" t="s">
        <v>5836</v>
      </c>
      <c r="G2226" s="25" t="s">
        <v>5837</v>
      </c>
      <c r="H2226" t="s">
        <v>26</v>
      </c>
      <c r="I2226" t="s">
        <v>26</v>
      </c>
      <c r="J2226" t="s">
        <v>26</v>
      </c>
      <c r="K2226" t="s">
        <v>26</v>
      </c>
      <c r="L2226" s="25" t="s">
        <v>68</v>
      </c>
      <c r="M2226" t="s">
        <v>26</v>
      </c>
      <c r="N2226" t="s">
        <v>26</v>
      </c>
      <c r="O2226" t="s">
        <v>26</v>
      </c>
      <c r="P2226" t="s">
        <v>26</v>
      </c>
      <c r="Q2226" t="s">
        <v>26</v>
      </c>
      <c r="R2226" t="s">
        <v>26</v>
      </c>
      <c r="S2226" t="s">
        <v>26</v>
      </c>
      <c r="T2226" t="s">
        <v>26</v>
      </c>
      <c r="U2226" t="s">
        <v>26</v>
      </c>
      <c r="V2226" t="s">
        <v>26</v>
      </c>
      <c r="W2226" s="24">
        <v>38261</v>
      </c>
      <c r="X2226" s="25" t="s">
        <v>77</v>
      </c>
      <c r="Y2226" t="s">
        <v>26</v>
      </c>
      <c r="Z2226" s="24">
        <v>38261</v>
      </c>
      <c r="AA2226" s="25" t="s">
        <v>77</v>
      </c>
      <c r="AB2226" t="s">
        <v>26</v>
      </c>
      <c r="AC2226" s="24">
        <v>38261</v>
      </c>
      <c r="AD2226" s="25" t="s">
        <v>77</v>
      </c>
      <c r="AE2226" t="s">
        <v>26</v>
      </c>
      <c r="AF2226" t="s">
        <v>26</v>
      </c>
      <c r="AG2226" t="s">
        <v>26</v>
      </c>
      <c r="AH2226" t="s">
        <v>26</v>
      </c>
      <c r="AI2226" t="s">
        <v>26</v>
      </c>
      <c r="AJ2226" t="s">
        <v>26</v>
      </c>
      <c r="AK2226" t="s">
        <v>26</v>
      </c>
      <c r="AL2226" t="s">
        <v>26</v>
      </c>
      <c r="AM2226" t="s">
        <v>26</v>
      </c>
      <c r="AN2226" t="s">
        <v>26</v>
      </c>
      <c r="AO2226" s="25" t="s">
        <v>68</v>
      </c>
      <c r="AP2226" s="23" t="s">
        <v>69</v>
      </c>
      <c r="AQ2226" s="23" t="s">
        <v>30</v>
      </c>
      <c r="AR2226" s="23" t="s">
        <v>5838</v>
      </c>
      <c r="AS2226" s="25">
        <v>48572</v>
      </c>
      <c r="AT2226" t="s">
        <v>26</v>
      </c>
      <c r="AU2226" t="s">
        <v>25148</v>
      </c>
    </row>
    <row r="2227" spans="1:47" ht="26.25" x14ac:dyDescent="0.4">
      <c r="A2227" s="23" t="s">
        <v>5839</v>
      </c>
      <c r="B2227" t="s">
        <v>26</v>
      </c>
      <c r="C2227" s="23" t="s">
        <v>1076</v>
      </c>
      <c r="D2227" s="23" t="s">
        <v>22647</v>
      </c>
      <c r="E2227" s="23" t="s">
        <v>42</v>
      </c>
      <c r="F2227" t="s">
        <v>26</v>
      </c>
      <c r="G2227" t="s">
        <v>26</v>
      </c>
      <c r="H2227" t="s">
        <v>26</v>
      </c>
      <c r="I2227" t="s">
        <v>26</v>
      </c>
      <c r="J2227" t="s">
        <v>26</v>
      </c>
      <c r="K2227" t="s">
        <v>26</v>
      </c>
      <c r="L2227" s="25" t="s">
        <v>28</v>
      </c>
      <c r="M2227" t="s">
        <v>26</v>
      </c>
      <c r="N2227" t="s">
        <v>26</v>
      </c>
      <c r="O2227" t="s">
        <v>26</v>
      </c>
      <c r="P2227" t="s">
        <v>26</v>
      </c>
      <c r="Q2227" t="s">
        <v>26</v>
      </c>
      <c r="R2227" t="s">
        <v>26</v>
      </c>
      <c r="S2227" t="s">
        <v>26</v>
      </c>
      <c r="T2227" t="s">
        <v>26</v>
      </c>
      <c r="U2227" t="s">
        <v>26</v>
      </c>
      <c r="V2227" t="s">
        <v>26</v>
      </c>
      <c r="W2227" s="24">
        <v>38353</v>
      </c>
      <c r="X2227" s="24">
        <v>38353</v>
      </c>
      <c r="Y2227" t="s">
        <v>26</v>
      </c>
      <c r="Z2227" s="24">
        <v>38353</v>
      </c>
      <c r="AA2227" s="24">
        <v>38353</v>
      </c>
      <c r="AB2227" t="s">
        <v>26</v>
      </c>
      <c r="AC2227" t="s">
        <v>26</v>
      </c>
      <c r="AD2227" t="s">
        <v>26</v>
      </c>
      <c r="AE2227" t="s">
        <v>26</v>
      </c>
      <c r="AF2227" t="s">
        <v>26</v>
      </c>
      <c r="AG2227" t="s">
        <v>26</v>
      </c>
      <c r="AH2227" t="s">
        <v>26</v>
      </c>
      <c r="AI2227" t="s">
        <v>26</v>
      </c>
      <c r="AJ2227" t="s">
        <v>26</v>
      </c>
      <c r="AK2227" t="s">
        <v>26</v>
      </c>
      <c r="AL2227" t="s">
        <v>26</v>
      </c>
      <c r="AM2227" t="s">
        <v>26</v>
      </c>
      <c r="AN2227" t="s">
        <v>26</v>
      </c>
      <c r="AO2227" s="25" t="s">
        <v>28</v>
      </c>
      <c r="AP2227" s="23" t="s">
        <v>29</v>
      </c>
      <c r="AQ2227" s="23" t="s">
        <v>30</v>
      </c>
      <c r="AR2227" s="23" t="s">
        <v>1077</v>
      </c>
      <c r="AS2227" s="25">
        <v>5485121</v>
      </c>
      <c r="AT2227" s="23" t="s">
        <v>22181</v>
      </c>
      <c r="AU2227" t="s">
        <v>25149</v>
      </c>
    </row>
    <row r="2228" spans="1:47" ht="26.25" x14ac:dyDescent="0.4">
      <c r="A2228" s="23" t="s">
        <v>5840</v>
      </c>
      <c r="B2228" t="s">
        <v>26</v>
      </c>
      <c r="C2228" s="23" t="s">
        <v>73</v>
      </c>
      <c r="D2228" s="23" t="s">
        <v>22179</v>
      </c>
      <c r="E2228" s="23" t="s">
        <v>74</v>
      </c>
      <c r="F2228" s="25" t="s">
        <v>5841</v>
      </c>
      <c r="G2228" s="25" t="s">
        <v>5842</v>
      </c>
      <c r="H2228" t="s">
        <v>26</v>
      </c>
      <c r="I2228" s="24">
        <v>36161</v>
      </c>
      <c r="J2228" s="25" t="s">
        <v>77</v>
      </c>
      <c r="K2228" t="s">
        <v>26</v>
      </c>
      <c r="L2228" s="25" t="s">
        <v>68</v>
      </c>
      <c r="M2228" s="24">
        <v>36161</v>
      </c>
      <c r="N2228" s="24">
        <v>42795</v>
      </c>
      <c r="O2228" t="s">
        <v>26</v>
      </c>
      <c r="P2228" s="24">
        <v>36161</v>
      </c>
      <c r="Q2228" s="25" t="s">
        <v>77</v>
      </c>
      <c r="R2228" t="s">
        <v>26</v>
      </c>
      <c r="S2228" t="s">
        <v>26</v>
      </c>
      <c r="T2228" t="s">
        <v>26</v>
      </c>
      <c r="U2228" t="s">
        <v>26</v>
      </c>
      <c r="V2228" s="25">
        <v>365</v>
      </c>
      <c r="W2228" s="24">
        <v>33695</v>
      </c>
      <c r="X2228" s="25" t="s">
        <v>77</v>
      </c>
      <c r="Y2228" t="s">
        <v>26</v>
      </c>
      <c r="Z2228" s="24">
        <v>33695</v>
      </c>
      <c r="AA2228" s="25" t="s">
        <v>77</v>
      </c>
      <c r="AB2228" t="s">
        <v>26</v>
      </c>
      <c r="AC2228" s="24">
        <v>33695</v>
      </c>
      <c r="AD2228" s="25" t="s">
        <v>77</v>
      </c>
      <c r="AE2228" t="s">
        <v>26</v>
      </c>
      <c r="AF2228" t="s">
        <v>26</v>
      </c>
      <c r="AG2228" t="s">
        <v>26</v>
      </c>
      <c r="AH2228" t="s">
        <v>26</v>
      </c>
      <c r="AI2228" t="s">
        <v>26</v>
      </c>
      <c r="AJ2228" t="s">
        <v>26</v>
      </c>
      <c r="AK2228" t="s">
        <v>26</v>
      </c>
      <c r="AL2228" t="s">
        <v>26</v>
      </c>
      <c r="AM2228" t="s">
        <v>26</v>
      </c>
      <c r="AN2228" t="s">
        <v>26</v>
      </c>
      <c r="AO2228" s="25" t="s">
        <v>68</v>
      </c>
      <c r="AP2228" s="23" t="s">
        <v>69</v>
      </c>
      <c r="AQ2228" s="23" t="s">
        <v>30</v>
      </c>
      <c r="AR2228" s="23" t="s">
        <v>5843</v>
      </c>
      <c r="AS2228" s="25">
        <v>47952</v>
      </c>
      <c r="AT2228" t="s">
        <v>26</v>
      </c>
      <c r="AU2228" t="s">
        <v>25150</v>
      </c>
    </row>
    <row r="2229" spans="1:47" ht="13.15" x14ac:dyDescent="0.4">
      <c r="A2229" s="23" t="s">
        <v>5844</v>
      </c>
      <c r="B2229" t="s">
        <v>26</v>
      </c>
      <c r="C2229" s="23" t="s">
        <v>1141</v>
      </c>
      <c r="D2229" s="23" t="s">
        <v>22680</v>
      </c>
      <c r="E2229" s="23" t="s">
        <v>60</v>
      </c>
      <c r="F2229" t="s">
        <v>26</v>
      </c>
      <c r="G2229" t="s">
        <v>26</v>
      </c>
      <c r="H2229" t="s">
        <v>26</v>
      </c>
      <c r="I2229" t="s">
        <v>26</v>
      </c>
      <c r="J2229" t="s">
        <v>26</v>
      </c>
      <c r="K2229" t="s">
        <v>26</v>
      </c>
      <c r="L2229" s="25" t="s">
        <v>28</v>
      </c>
      <c r="M2229" t="s">
        <v>26</v>
      </c>
      <c r="N2229" t="s">
        <v>26</v>
      </c>
      <c r="O2229" t="s">
        <v>26</v>
      </c>
      <c r="P2229" t="s">
        <v>26</v>
      </c>
      <c r="Q2229" t="s">
        <v>26</v>
      </c>
      <c r="R2229" t="s">
        <v>26</v>
      </c>
      <c r="S2229" t="s">
        <v>26</v>
      </c>
      <c r="T2229" t="s">
        <v>26</v>
      </c>
      <c r="U2229" t="s">
        <v>26</v>
      </c>
      <c r="V2229" t="s">
        <v>26</v>
      </c>
      <c r="W2229" s="24">
        <v>42370</v>
      </c>
      <c r="X2229" s="24">
        <v>42370</v>
      </c>
      <c r="Y2229" t="s">
        <v>26</v>
      </c>
      <c r="Z2229" s="24">
        <v>42370</v>
      </c>
      <c r="AA2229" s="24">
        <v>42370</v>
      </c>
      <c r="AB2229" t="s">
        <v>26</v>
      </c>
      <c r="AC2229" t="s">
        <v>26</v>
      </c>
      <c r="AD2229" t="s">
        <v>26</v>
      </c>
      <c r="AE2229" t="s">
        <v>26</v>
      </c>
      <c r="AF2229" t="s">
        <v>26</v>
      </c>
      <c r="AG2229" t="s">
        <v>26</v>
      </c>
      <c r="AH2229" t="s">
        <v>26</v>
      </c>
      <c r="AI2229" t="s">
        <v>26</v>
      </c>
      <c r="AJ2229" t="s">
        <v>26</v>
      </c>
      <c r="AK2229" t="s">
        <v>26</v>
      </c>
      <c r="AL2229" t="s">
        <v>26</v>
      </c>
      <c r="AM2229" t="s">
        <v>26</v>
      </c>
      <c r="AN2229" t="s">
        <v>26</v>
      </c>
      <c r="AO2229" s="25" t="s">
        <v>28</v>
      </c>
      <c r="AP2229" s="23" t="s">
        <v>29</v>
      </c>
      <c r="AQ2229" s="23" t="s">
        <v>30</v>
      </c>
      <c r="AR2229" s="23" t="s">
        <v>44</v>
      </c>
      <c r="AS2229" s="25">
        <v>5485070</v>
      </c>
      <c r="AT2229" s="23" t="s">
        <v>22181</v>
      </c>
      <c r="AU2229" t="s">
        <v>25151</v>
      </c>
    </row>
    <row r="2230" spans="1:47" ht="26.25" x14ac:dyDescent="0.4">
      <c r="A2230" s="23" t="s">
        <v>5845</v>
      </c>
      <c r="B2230" t="s">
        <v>26</v>
      </c>
      <c r="C2230" s="23" t="s">
        <v>5531</v>
      </c>
      <c r="D2230" s="23" t="s">
        <v>22423</v>
      </c>
      <c r="E2230" s="23" t="s">
        <v>187</v>
      </c>
      <c r="F2230" s="25" t="s">
        <v>5846</v>
      </c>
      <c r="G2230" s="25" t="s">
        <v>5847</v>
      </c>
      <c r="H2230" t="s">
        <v>26</v>
      </c>
      <c r="I2230" s="24">
        <v>40179</v>
      </c>
      <c r="J2230" s="25" t="s">
        <v>77</v>
      </c>
      <c r="K2230" t="s">
        <v>26</v>
      </c>
      <c r="L2230" s="25" t="s">
        <v>68</v>
      </c>
      <c r="M2230" t="s">
        <v>26</v>
      </c>
      <c r="N2230" t="s">
        <v>26</v>
      </c>
      <c r="O2230" t="s">
        <v>26</v>
      </c>
      <c r="P2230" s="24">
        <v>40179</v>
      </c>
      <c r="Q2230" s="25" t="s">
        <v>77</v>
      </c>
      <c r="R2230" t="s">
        <v>26</v>
      </c>
      <c r="S2230" t="s">
        <v>26</v>
      </c>
      <c r="T2230" t="s">
        <v>26</v>
      </c>
      <c r="U2230" t="s">
        <v>26</v>
      </c>
      <c r="V2230" t="s">
        <v>26</v>
      </c>
      <c r="W2230" s="24">
        <v>40179</v>
      </c>
      <c r="X2230" s="25" t="s">
        <v>77</v>
      </c>
      <c r="Y2230" t="s">
        <v>26</v>
      </c>
      <c r="Z2230" s="24">
        <v>40179</v>
      </c>
      <c r="AA2230" s="25" t="s">
        <v>77</v>
      </c>
      <c r="AB2230" t="s">
        <v>26</v>
      </c>
      <c r="AC2230" s="24">
        <v>40179</v>
      </c>
      <c r="AD2230" s="25" t="s">
        <v>77</v>
      </c>
      <c r="AE2230" t="s">
        <v>26</v>
      </c>
      <c r="AF2230" t="s">
        <v>26</v>
      </c>
      <c r="AG2230" t="s">
        <v>26</v>
      </c>
      <c r="AH2230" t="s">
        <v>26</v>
      </c>
      <c r="AI2230" t="s">
        <v>26</v>
      </c>
      <c r="AJ2230" t="s">
        <v>26</v>
      </c>
      <c r="AK2230" t="s">
        <v>26</v>
      </c>
      <c r="AL2230" t="s">
        <v>26</v>
      </c>
      <c r="AM2230" t="s">
        <v>26</v>
      </c>
      <c r="AN2230" t="s">
        <v>26</v>
      </c>
      <c r="AO2230" s="25" t="s">
        <v>68</v>
      </c>
      <c r="AP2230" s="23" t="s">
        <v>69</v>
      </c>
      <c r="AQ2230" s="23" t="s">
        <v>1913</v>
      </c>
      <c r="AR2230" s="23" t="s">
        <v>4824</v>
      </c>
      <c r="AS2230" s="25">
        <v>2026621</v>
      </c>
      <c r="AT2230" t="s">
        <v>26</v>
      </c>
      <c r="AU2230" t="s">
        <v>25152</v>
      </c>
    </row>
    <row r="2231" spans="1:47" ht="13.15" x14ac:dyDescent="0.4">
      <c r="A2231" s="23" t="s">
        <v>5848</v>
      </c>
      <c r="B2231" t="s">
        <v>26</v>
      </c>
      <c r="C2231" s="23" t="s">
        <v>302</v>
      </c>
      <c r="D2231" s="23" t="s">
        <v>22286</v>
      </c>
      <c r="E2231" s="23" t="s">
        <v>42</v>
      </c>
      <c r="F2231" t="s">
        <v>26</v>
      </c>
      <c r="G2231" t="s">
        <v>26</v>
      </c>
      <c r="H2231" t="s">
        <v>26</v>
      </c>
      <c r="I2231" t="s">
        <v>26</v>
      </c>
      <c r="J2231" t="s">
        <v>26</v>
      </c>
      <c r="K2231" t="s">
        <v>26</v>
      </c>
      <c r="L2231" s="25" t="s">
        <v>28</v>
      </c>
      <c r="M2231" t="s">
        <v>26</v>
      </c>
      <c r="N2231" t="s">
        <v>26</v>
      </c>
      <c r="O2231" t="s">
        <v>26</v>
      </c>
      <c r="P2231" t="s">
        <v>26</v>
      </c>
      <c r="Q2231" t="s">
        <v>26</v>
      </c>
      <c r="R2231" t="s">
        <v>26</v>
      </c>
      <c r="S2231" t="s">
        <v>26</v>
      </c>
      <c r="T2231" t="s">
        <v>26</v>
      </c>
      <c r="U2231" t="s">
        <v>26</v>
      </c>
      <c r="V2231" t="s">
        <v>26</v>
      </c>
      <c r="W2231" s="24">
        <v>42005</v>
      </c>
      <c r="X2231" s="24">
        <v>42005</v>
      </c>
      <c r="Y2231" t="s">
        <v>26</v>
      </c>
      <c r="Z2231" s="24">
        <v>42005</v>
      </c>
      <c r="AA2231" s="24">
        <v>42005</v>
      </c>
      <c r="AB2231" t="s">
        <v>26</v>
      </c>
      <c r="AC2231" t="s">
        <v>26</v>
      </c>
      <c r="AD2231" t="s">
        <v>26</v>
      </c>
      <c r="AE2231" t="s">
        <v>26</v>
      </c>
      <c r="AF2231" t="s">
        <v>26</v>
      </c>
      <c r="AG2231" t="s">
        <v>26</v>
      </c>
      <c r="AH2231" t="s">
        <v>26</v>
      </c>
      <c r="AI2231" t="s">
        <v>26</v>
      </c>
      <c r="AJ2231" t="s">
        <v>26</v>
      </c>
      <c r="AK2231" t="s">
        <v>26</v>
      </c>
      <c r="AL2231" t="s">
        <v>26</v>
      </c>
      <c r="AM2231" t="s">
        <v>26</v>
      </c>
      <c r="AN2231" t="s">
        <v>26</v>
      </c>
      <c r="AO2231" s="25" t="s">
        <v>28</v>
      </c>
      <c r="AP2231" s="23" t="s">
        <v>29</v>
      </c>
      <c r="AQ2231" s="23" t="s">
        <v>30</v>
      </c>
      <c r="AR2231" s="23" t="s">
        <v>245</v>
      </c>
      <c r="AS2231" s="25">
        <v>5485075</v>
      </c>
      <c r="AT2231" s="23" t="s">
        <v>22181</v>
      </c>
      <c r="AU2231" t="s">
        <v>25153</v>
      </c>
    </row>
    <row r="2232" spans="1:47" ht="13.15" x14ac:dyDescent="0.4">
      <c r="A2232" s="23" t="s">
        <v>5849</v>
      </c>
      <c r="B2232" t="s">
        <v>26</v>
      </c>
      <c r="C2232" s="23" t="s">
        <v>1612</v>
      </c>
      <c r="D2232" s="23" t="s">
        <v>23047</v>
      </c>
      <c r="E2232" s="23" t="s">
        <v>42</v>
      </c>
      <c r="F2232" t="s">
        <v>26</v>
      </c>
      <c r="G2232" t="s">
        <v>26</v>
      </c>
      <c r="H2232" t="s">
        <v>26</v>
      </c>
      <c r="I2232" s="24">
        <v>42370</v>
      </c>
      <c r="J2232" s="24">
        <v>42370</v>
      </c>
      <c r="K2232" t="s">
        <v>26</v>
      </c>
      <c r="L2232" s="25" t="s">
        <v>28</v>
      </c>
      <c r="M2232" t="s">
        <v>26</v>
      </c>
      <c r="N2232" t="s">
        <v>26</v>
      </c>
      <c r="O2232" t="s">
        <v>26</v>
      </c>
      <c r="P2232" s="24">
        <v>42370</v>
      </c>
      <c r="Q2232" s="24">
        <v>42370</v>
      </c>
      <c r="R2232" t="s">
        <v>26</v>
      </c>
      <c r="S2232" t="s">
        <v>26</v>
      </c>
      <c r="T2232" t="s">
        <v>26</v>
      </c>
      <c r="U2232" t="s">
        <v>26</v>
      </c>
      <c r="V2232" t="s">
        <v>26</v>
      </c>
      <c r="W2232" s="24">
        <v>42370</v>
      </c>
      <c r="X2232" s="24">
        <v>42370</v>
      </c>
      <c r="Y2232" t="s">
        <v>26</v>
      </c>
      <c r="Z2232" s="24">
        <v>42370</v>
      </c>
      <c r="AA2232" s="24">
        <v>42370</v>
      </c>
      <c r="AB2232" t="s">
        <v>26</v>
      </c>
      <c r="AC2232" t="s">
        <v>26</v>
      </c>
      <c r="AD2232" t="s">
        <v>26</v>
      </c>
      <c r="AE2232" t="s">
        <v>26</v>
      </c>
      <c r="AF2232" t="s">
        <v>26</v>
      </c>
      <c r="AG2232" t="s">
        <v>26</v>
      </c>
      <c r="AH2232" t="s">
        <v>26</v>
      </c>
      <c r="AI2232" t="s">
        <v>26</v>
      </c>
      <c r="AJ2232" t="s">
        <v>26</v>
      </c>
      <c r="AK2232" t="s">
        <v>26</v>
      </c>
      <c r="AL2232" t="s">
        <v>26</v>
      </c>
      <c r="AM2232" t="s">
        <v>26</v>
      </c>
      <c r="AN2232" t="s">
        <v>26</v>
      </c>
      <c r="AO2232" s="25" t="s">
        <v>28</v>
      </c>
      <c r="AP2232" s="23" t="s">
        <v>29</v>
      </c>
      <c r="AQ2232" s="23" t="s">
        <v>30</v>
      </c>
      <c r="AR2232" s="23" t="s">
        <v>46</v>
      </c>
      <c r="AS2232" s="25">
        <v>6275756</v>
      </c>
      <c r="AT2232" t="s">
        <v>26</v>
      </c>
      <c r="AU2232" t="s">
        <v>25154</v>
      </c>
    </row>
    <row r="2233" spans="1:47" ht="78.75" x14ac:dyDescent="0.4">
      <c r="A2233" s="23" t="s">
        <v>5850</v>
      </c>
      <c r="B2233" t="s">
        <v>26</v>
      </c>
      <c r="C2233" s="23" t="s">
        <v>2607</v>
      </c>
      <c r="D2233" s="23" t="s">
        <v>23583</v>
      </c>
      <c r="E2233" s="23" t="s">
        <v>42</v>
      </c>
      <c r="F2233" t="s">
        <v>26</v>
      </c>
      <c r="G2233" t="s">
        <v>26</v>
      </c>
      <c r="H2233" t="s">
        <v>26</v>
      </c>
      <c r="I2233" s="24">
        <v>25934</v>
      </c>
      <c r="J2233" s="24">
        <v>25934</v>
      </c>
      <c r="K2233" t="s">
        <v>26</v>
      </c>
      <c r="L2233" s="25" t="s">
        <v>28</v>
      </c>
      <c r="M2233" t="s">
        <v>26</v>
      </c>
      <c r="N2233" t="s">
        <v>26</v>
      </c>
      <c r="O2233" t="s">
        <v>26</v>
      </c>
      <c r="P2233" s="24">
        <v>25934</v>
      </c>
      <c r="Q2233" s="24">
        <v>25934</v>
      </c>
      <c r="R2233" t="s">
        <v>26</v>
      </c>
      <c r="S2233" t="s">
        <v>26</v>
      </c>
      <c r="T2233" t="s">
        <v>26</v>
      </c>
      <c r="U2233" t="s">
        <v>26</v>
      </c>
      <c r="V2233" t="s">
        <v>26</v>
      </c>
      <c r="W2233" s="24">
        <v>25934</v>
      </c>
      <c r="X2233" s="24">
        <v>25934</v>
      </c>
      <c r="Y2233" t="s">
        <v>26</v>
      </c>
      <c r="Z2233" s="24">
        <v>25934</v>
      </c>
      <c r="AA2233" s="24">
        <v>25934</v>
      </c>
      <c r="AB2233" t="s">
        <v>26</v>
      </c>
      <c r="AC2233" t="s">
        <v>26</v>
      </c>
      <c r="AD2233" t="s">
        <v>26</v>
      </c>
      <c r="AE2233" t="s">
        <v>26</v>
      </c>
      <c r="AF2233" t="s">
        <v>26</v>
      </c>
      <c r="AG2233" t="s">
        <v>26</v>
      </c>
      <c r="AH2233" t="s">
        <v>26</v>
      </c>
      <c r="AI2233" t="s">
        <v>26</v>
      </c>
      <c r="AJ2233" t="s">
        <v>26</v>
      </c>
      <c r="AK2233" t="s">
        <v>26</v>
      </c>
      <c r="AL2233" t="s">
        <v>26</v>
      </c>
      <c r="AM2233" t="s">
        <v>26</v>
      </c>
      <c r="AN2233" t="s">
        <v>26</v>
      </c>
      <c r="AO2233" s="25" t="s">
        <v>28</v>
      </c>
      <c r="AP2233" s="23" t="s">
        <v>5851</v>
      </c>
      <c r="AQ2233" s="23" t="s">
        <v>30</v>
      </c>
      <c r="AR2233" s="23" t="s">
        <v>46</v>
      </c>
      <c r="AS2233" s="25">
        <v>6059424</v>
      </c>
      <c r="AT2233" t="s">
        <v>26</v>
      </c>
      <c r="AU2233" t="s">
        <v>25155</v>
      </c>
    </row>
    <row r="2234" spans="1:47" ht="26.25" x14ac:dyDescent="0.4">
      <c r="A2234" s="23" t="s">
        <v>5852</v>
      </c>
      <c r="B2234" t="s">
        <v>26</v>
      </c>
      <c r="C2234" s="23" t="s">
        <v>146</v>
      </c>
      <c r="D2234" s="23" t="s">
        <v>22174</v>
      </c>
      <c r="E2234" s="23" t="s">
        <v>60</v>
      </c>
      <c r="F2234" t="s">
        <v>26</v>
      </c>
      <c r="G2234" t="s">
        <v>26</v>
      </c>
      <c r="H2234" t="s">
        <v>26</v>
      </c>
      <c r="I2234" t="s">
        <v>26</v>
      </c>
      <c r="J2234" t="s">
        <v>26</v>
      </c>
      <c r="K2234" t="s">
        <v>26</v>
      </c>
      <c r="L2234" s="25" t="s">
        <v>28</v>
      </c>
      <c r="M2234" t="s">
        <v>26</v>
      </c>
      <c r="N2234" t="s">
        <v>26</v>
      </c>
      <c r="O2234" t="s">
        <v>26</v>
      </c>
      <c r="P2234" t="s">
        <v>26</v>
      </c>
      <c r="Q2234" t="s">
        <v>26</v>
      </c>
      <c r="R2234" t="s">
        <v>26</v>
      </c>
      <c r="S2234" t="s">
        <v>26</v>
      </c>
      <c r="T2234" t="s">
        <v>26</v>
      </c>
      <c r="U2234" t="s">
        <v>26</v>
      </c>
      <c r="V2234" t="s">
        <v>26</v>
      </c>
      <c r="W2234" s="24">
        <v>42005</v>
      </c>
      <c r="X2234" s="24">
        <v>42005</v>
      </c>
      <c r="Y2234" t="s">
        <v>26</v>
      </c>
      <c r="Z2234" s="24">
        <v>42005</v>
      </c>
      <c r="AA2234" s="24">
        <v>42005</v>
      </c>
      <c r="AB2234" t="s">
        <v>26</v>
      </c>
      <c r="AC2234" t="s">
        <v>26</v>
      </c>
      <c r="AD2234" t="s">
        <v>26</v>
      </c>
      <c r="AE2234" t="s">
        <v>26</v>
      </c>
      <c r="AF2234" t="s">
        <v>26</v>
      </c>
      <c r="AG2234" t="s">
        <v>26</v>
      </c>
      <c r="AH2234" t="s">
        <v>26</v>
      </c>
      <c r="AI2234" t="s">
        <v>26</v>
      </c>
      <c r="AJ2234" t="s">
        <v>26</v>
      </c>
      <c r="AK2234" t="s">
        <v>26</v>
      </c>
      <c r="AL2234" t="s">
        <v>26</v>
      </c>
      <c r="AM2234" t="s">
        <v>26</v>
      </c>
      <c r="AN2234" t="s">
        <v>26</v>
      </c>
      <c r="AO2234" s="25" t="s">
        <v>28</v>
      </c>
      <c r="AP2234" s="23" t="s">
        <v>29</v>
      </c>
      <c r="AQ2234" s="23" t="s">
        <v>30</v>
      </c>
      <c r="AR2234" s="23" t="s">
        <v>147</v>
      </c>
      <c r="AS2234" s="25">
        <v>5485098</v>
      </c>
      <c r="AT2234" s="23" t="s">
        <v>22181</v>
      </c>
      <c r="AU2234" t="s">
        <v>25156</v>
      </c>
    </row>
    <row r="2235" spans="1:47" ht="13.15" x14ac:dyDescent="0.4">
      <c r="A2235" s="23" t="s">
        <v>5853</v>
      </c>
      <c r="B2235" t="s">
        <v>26</v>
      </c>
      <c r="C2235" s="23" t="s">
        <v>146</v>
      </c>
      <c r="D2235" s="23" t="s">
        <v>22174</v>
      </c>
      <c r="E2235" s="23" t="s">
        <v>60</v>
      </c>
      <c r="F2235" t="s">
        <v>26</v>
      </c>
      <c r="G2235" t="s">
        <v>26</v>
      </c>
      <c r="H2235" t="s">
        <v>26</v>
      </c>
      <c r="I2235" t="s">
        <v>26</v>
      </c>
      <c r="J2235" t="s">
        <v>26</v>
      </c>
      <c r="K2235" t="s">
        <v>26</v>
      </c>
      <c r="L2235" s="25" t="s">
        <v>28</v>
      </c>
      <c r="M2235" t="s">
        <v>26</v>
      </c>
      <c r="N2235" t="s">
        <v>26</v>
      </c>
      <c r="O2235" t="s">
        <v>26</v>
      </c>
      <c r="P2235" t="s">
        <v>26</v>
      </c>
      <c r="Q2235" t="s">
        <v>26</v>
      </c>
      <c r="R2235" t="s">
        <v>26</v>
      </c>
      <c r="S2235" t="s">
        <v>26</v>
      </c>
      <c r="T2235" t="s">
        <v>26</v>
      </c>
      <c r="U2235" t="s">
        <v>26</v>
      </c>
      <c r="V2235" t="s">
        <v>26</v>
      </c>
      <c r="W2235" s="24">
        <v>42370</v>
      </c>
      <c r="X2235" s="24">
        <v>42370</v>
      </c>
      <c r="Y2235" t="s">
        <v>26</v>
      </c>
      <c r="Z2235" s="24">
        <v>42370</v>
      </c>
      <c r="AA2235" s="24">
        <v>42370</v>
      </c>
      <c r="AB2235" t="s">
        <v>26</v>
      </c>
      <c r="AC2235" t="s">
        <v>26</v>
      </c>
      <c r="AD2235" t="s">
        <v>26</v>
      </c>
      <c r="AE2235" t="s">
        <v>26</v>
      </c>
      <c r="AF2235" t="s">
        <v>26</v>
      </c>
      <c r="AG2235" t="s">
        <v>26</v>
      </c>
      <c r="AH2235" t="s">
        <v>26</v>
      </c>
      <c r="AI2235" t="s">
        <v>26</v>
      </c>
      <c r="AJ2235" t="s">
        <v>26</v>
      </c>
      <c r="AK2235" t="s">
        <v>26</v>
      </c>
      <c r="AL2235" t="s">
        <v>26</v>
      </c>
      <c r="AM2235" t="s">
        <v>26</v>
      </c>
      <c r="AN2235" t="s">
        <v>26</v>
      </c>
      <c r="AO2235" s="25" t="s">
        <v>28</v>
      </c>
      <c r="AP2235" s="23" t="s">
        <v>29</v>
      </c>
      <c r="AQ2235" s="23" t="s">
        <v>30</v>
      </c>
      <c r="AR2235" s="23" t="s">
        <v>245</v>
      </c>
      <c r="AS2235" s="25">
        <v>5483587</v>
      </c>
      <c r="AT2235" s="23" t="s">
        <v>22181</v>
      </c>
      <c r="AU2235" t="s">
        <v>25157</v>
      </c>
    </row>
    <row r="2236" spans="1:47" ht="26.25" x14ac:dyDescent="0.4">
      <c r="A2236" s="23" t="s">
        <v>5854</v>
      </c>
      <c r="B2236" t="s">
        <v>26</v>
      </c>
      <c r="C2236" s="23" t="s">
        <v>1141</v>
      </c>
      <c r="D2236" s="23" t="s">
        <v>22174</v>
      </c>
      <c r="E2236" s="23" t="s">
        <v>60</v>
      </c>
      <c r="F2236" t="s">
        <v>26</v>
      </c>
      <c r="G2236" t="s">
        <v>26</v>
      </c>
      <c r="H2236" t="s">
        <v>26</v>
      </c>
      <c r="I2236" t="s">
        <v>26</v>
      </c>
      <c r="J2236" t="s">
        <v>26</v>
      </c>
      <c r="K2236" t="s">
        <v>26</v>
      </c>
      <c r="L2236" s="25" t="s">
        <v>28</v>
      </c>
      <c r="M2236" t="s">
        <v>26</v>
      </c>
      <c r="N2236" t="s">
        <v>26</v>
      </c>
      <c r="O2236" t="s">
        <v>26</v>
      </c>
      <c r="P2236" t="s">
        <v>26</v>
      </c>
      <c r="Q2236" t="s">
        <v>26</v>
      </c>
      <c r="R2236" t="s">
        <v>26</v>
      </c>
      <c r="S2236" t="s">
        <v>26</v>
      </c>
      <c r="T2236" t="s">
        <v>26</v>
      </c>
      <c r="U2236" t="s">
        <v>26</v>
      </c>
      <c r="V2236" t="s">
        <v>26</v>
      </c>
      <c r="W2236" s="24">
        <v>42370</v>
      </c>
      <c r="X2236" s="24">
        <v>42370</v>
      </c>
      <c r="Y2236" t="s">
        <v>26</v>
      </c>
      <c r="Z2236" s="24">
        <v>42370</v>
      </c>
      <c r="AA2236" s="24">
        <v>42370</v>
      </c>
      <c r="AB2236" t="s">
        <v>26</v>
      </c>
      <c r="AC2236" t="s">
        <v>26</v>
      </c>
      <c r="AD2236" t="s">
        <v>26</v>
      </c>
      <c r="AE2236" t="s">
        <v>26</v>
      </c>
      <c r="AF2236" t="s">
        <v>26</v>
      </c>
      <c r="AG2236" t="s">
        <v>26</v>
      </c>
      <c r="AH2236" t="s">
        <v>26</v>
      </c>
      <c r="AI2236" t="s">
        <v>26</v>
      </c>
      <c r="AJ2236" t="s">
        <v>26</v>
      </c>
      <c r="AK2236" t="s">
        <v>26</v>
      </c>
      <c r="AL2236" t="s">
        <v>26</v>
      </c>
      <c r="AM2236" t="s">
        <v>26</v>
      </c>
      <c r="AN2236" t="s">
        <v>26</v>
      </c>
      <c r="AO2236" s="25" t="s">
        <v>28</v>
      </c>
      <c r="AP2236" s="23" t="s">
        <v>29</v>
      </c>
      <c r="AQ2236" s="23" t="s">
        <v>30</v>
      </c>
      <c r="AR2236" s="23" t="s">
        <v>44</v>
      </c>
      <c r="AS2236" s="25">
        <v>5483560</v>
      </c>
      <c r="AT2236" s="23" t="s">
        <v>25158</v>
      </c>
      <c r="AU2236" t="s">
        <v>25159</v>
      </c>
    </row>
    <row r="2237" spans="1:47" ht="26.25" x14ac:dyDescent="0.4">
      <c r="A2237" s="23" t="s">
        <v>5855</v>
      </c>
      <c r="B2237" t="s">
        <v>26</v>
      </c>
      <c r="C2237" s="23" t="s">
        <v>146</v>
      </c>
      <c r="D2237" s="23" t="s">
        <v>22174</v>
      </c>
      <c r="E2237" s="23" t="s">
        <v>60</v>
      </c>
      <c r="F2237" t="s">
        <v>26</v>
      </c>
      <c r="G2237" t="s">
        <v>26</v>
      </c>
      <c r="H2237" t="s">
        <v>26</v>
      </c>
      <c r="I2237" t="s">
        <v>26</v>
      </c>
      <c r="J2237" t="s">
        <v>26</v>
      </c>
      <c r="K2237" t="s">
        <v>26</v>
      </c>
      <c r="L2237" s="25" t="s">
        <v>28</v>
      </c>
      <c r="M2237" t="s">
        <v>26</v>
      </c>
      <c r="N2237" t="s">
        <v>26</v>
      </c>
      <c r="O2237" t="s">
        <v>26</v>
      </c>
      <c r="P2237" t="s">
        <v>26</v>
      </c>
      <c r="Q2237" t="s">
        <v>26</v>
      </c>
      <c r="R2237" t="s">
        <v>26</v>
      </c>
      <c r="S2237" t="s">
        <v>26</v>
      </c>
      <c r="T2237" t="s">
        <v>26</v>
      </c>
      <c r="U2237" t="s">
        <v>26</v>
      </c>
      <c r="V2237" t="s">
        <v>26</v>
      </c>
      <c r="W2237" s="24">
        <v>42005</v>
      </c>
      <c r="X2237" s="24">
        <v>42005</v>
      </c>
      <c r="Y2237" t="s">
        <v>26</v>
      </c>
      <c r="Z2237" s="24">
        <v>42005</v>
      </c>
      <c r="AA2237" s="24">
        <v>42005</v>
      </c>
      <c r="AB2237" t="s">
        <v>26</v>
      </c>
      <c r="AC2237" t="s">
        <v>26</v>
      </c>
      <c r="AD2237" t="s">
        <v>26</v>
      </c>
      <c r="AE2237" t="s">
        <v>26</v>
      </c>
      <c r="AF2237" t="s">
        <v>26</v>
      </c>
      <c r="AG2237" t="s">
        <v>26</v>
      </c>
      <c r="AH2237" t="s">
        <v>26</v>
      </c>
      <c r="AI2237" t="s">
        <v>26</v>
      </c>
      <c r="AJ2237" t="s">
        <v>26</v>
      </c>
      <c r="AK2237" t="s">
        <v>26</v>
      </c>
      <c r="AL2237" t="s">
        <v>26</v>
      </c>
      <c r="AM2237" t="s">
        <v>26</v>
      </c>
      <c r="AN2237" t="s">
        <v>26</v>
      </c>
      <c r="AO2237" s="25" t="s">
        <v>28</v>
      </c>
      <c r="AP2237" s="23" t="s">
        <v>29</v>
      </c>
      <c r="AQ2237" s="23" t="s">
        <v>30</v>
      </c>
      <c r="AR2237" s="23" t="s">
        <v>245</v>
      </c>
      <c r="AS2237" s="25">
        <v>5483610</v>
      </c>
      <c r="AT2237" s="23" t="s">
        <v>22181</v>
      </c>
      <c r="AU2237" t="s">
        <v>25160</v>
      </c>
    </row>
    <row r="2238" spans="1:47" ht="13.15" x14ac:dyDescent="0.4">
      <c r="A2238" s="23" t="s">
        <v>5856</v>
      </c>
      <c r="B2238" t="s">
        <v>26</v>
      </c>
      <c r="C2238" s="23" t="s">
        <v>107</v>
      </c>
      <c r="D2238" s="23" t="s">
        <v>22194</v>
      </c>
      <c r="E2238" s="23" t="s">
        <v>42</v>
      </c>
      <c r="F2238" t="s">
        <v>26</v>
      </c>
      <c r="G2238" t="s">
        <v>26</v>
      </c>
      <c r="H2238" t="s">
        <v>26</v>
      </c>
      <c r="I2238" s="24">
        <v>35065</v>
      </c>
      <c r="J2238" s="24">
        <v>35065</v>
      </c>
      <c r="K2238" t="s">
        <v>26</v>
      </c>
      <c r="L2238" s="25" t="s">
        <v>28</v>
      </c>
      <c r="M2238" s="24">
        <v>35065</v>
      </c>
      <c r="N2238" s="24">
        <v>35065</v>
      </c>
      <c r="O2238" t="s">
        <v>26</v>
      </c>
      <c r="P2238" t="s">
        <v>26</v>
      </c>
      <c r="Q2238" t="s">
        <v>26</v>
      </c>
      <c r="R2238" t="s">
        <v>26</v>
      </c>
      <c r="S2238" t="s">
        <v>26</v>
      </c>
      <c r="T2238" t="s">
        <v>26</v>
      </c>
      <c r="U2238" t="s">
        <v>26</v>
      </c>
      <c r="V2238" t="s">
        <v>26</v>
      </c>
      <c r="W2238" s="24">
        <v>35065</v>
      </c>
      <c r="X2238" s="24">
        <v>35065</v>
      </c>
      <c r="Y2238" t="s">
        <v>26</v>
      </c>
      <c r="Z2238" s="24">
        <v>35065</v>
      </c>
      <c r="AA2238" s="24">
        <v>35065</v>
      </c>
      <c r="AB2238" t="s">
        <v>26</v>
      </c>
      <c r="AC2238" s="24">
        <v>35065</v>
      </c>
      <c r="AD2238" s="24">
        <v>35065</v>
      </c>
      <c r="AE2238" t="s">
        <v>26</v>
      </c>
      <c r="AF2238" t="s">
        <v>26</v>
      </c>
      <c r="AG2238" t="s">
        <v>26</v>
      </c>
      <c r="AH2238" t="s">
        <v>26</v>
      </c>
      <c r="AI2238" t="s">
        <v>26</v>
      </c>
      <c r="AJ2238" t="s">
        <v>26</v>
      </c>
      <c r="AK2238" t="s">
        <v>26</v>
      </c>
      <c r="AL2238" t="s">
        <v>26</v>
      </c>
      <c r="AM2238" t="s">
        <v>26</v>
      </c>
      <c r="AN2238" t="s">
        <v>26</v>
      </c>
      <c r="AO2238" s="25" t="s">
        <v>28</v>
      </c>
      <c r="AP2238" s="23" t="s">
        <v>29</v>
      </c>
      <c r="AQ2238" s="23" t="s">
        <v>30</v>
      </c>
      <c r="AR2238" s="23" t="s">
        <v>46</v>
      </c>
      <c r="AS2238" s="25">
        <v>6059423</v>
      </c>
      <c r="AT2238" t="s">
        <v>26</v>
      </c>
      <c r="AU2238" t="s">
        <v>25161</v>
      </c>
    </row>
    <row r="2239" spans="1:47" ht="26.25" x14ac:dyDescent="0.4">
      <c r="A2239" s="23" t="s">
        <v>5857</v>
      </c>
      <c r="B2239" t="s">
        <v>26</v>
      </c>
      <c r="C2239" s="23" t="s">
        <v>908</v>
      </c>
      <c r="D2239" s="23" t="s">
        <v>22174</v>
      </c>
      <c r="E2239" s="23" t="s">
        <v>60</v>
      </c>
      <c r="F2239" s="25" t="s">
        <v>5858</v>
      </c>
      <c r="G2239" s="25" t="s">
        <v>5859</v>
      </c>
      <c r="H2239" t="s">
        <v>26</v>
      </c>
      <c r="I2239" s="24">
        <v>37165</v>
      </c>
      <c r="J2239" s="25" t="s">
        <v>77</v>
      </c>
      <c r="K2239" t="s">
        <v>26</v>
      </c>
      <c r="L2239" s="25" t="s">
        <v>68</v>
      </c>
      <c r="M2239" s="24">
        <v>38749</v>
      </c>
      <c r="N2239" s="25" t="s">
        <v>77</v>
      </c>
      <c r="O2239" t="s">
        <v>26</v>
      </c>
      <c r="P2239" s="24">
        <v>37165</v>
      </c>
      <c r="Q2239" s="25" t="s">
        <v>77</v>
      </c>
      <c r="R2239" t="s">
        <v>26</v>
      </c>
      <c r="S2239" t="s">
        <v>26</v>
      </c>
      <c r="T2239" t="s">
        <v>26</v>
      </c>
      <c r="U2239" t="s">
        <v>26</v>
      </c>
      <c r="V2239" s="25">
        <v>180</v>
      </c>
      <c r="W2239" s="24">
        <v>37165</v>
      </c>
      <c r="X2239" s="25" t="s">
        <v>77</v>
      </c>
      <c r="Y2239" t="s">
        <v>26</v>
      </c>
      <c r="Z2239" s="24">
        <v>37165</v>
      </c>
      <c r="AA2239" s="25" t="s">
        <v>77</v>
      </c>
      <c r="AB2239" t="s">
        <v>26</v>
      </c>
      <c r="AC2239" s="24">
        <v>37165</v>
      </c>
      <c r="AD2239" s="25" t="s">
        <v>77</v>
      </c>
      <c r="AE2239" t="s">
        <v>26</v>
      </c>
      <c r="AF2239" t="s">
        <v>26</v>
      </c>
      <c r="AG2239" t="s">
        <v>26</v>
      </c>
      <c r="AH2239" t="s">
        <v>26</v>
      </c>
      <c r="AI2239" t="s">
        <v>26</v>
      </c>
      <c r="AJ2239" t="s">
        <v>26</v>
      </c>
      <c r="AK2239" t="s">
        <v>26</v>
      </c>
      <c r="AL2239" t="s">
        <v>26</v>
      </c>
      <c r="AM2239" t="s">
        <v>26</v>
      </c>
      <c r="AN2239" t="s">
        <v>26</v>
      </c>
      <c r="AO2239" s="25" t="s">
        <v>68</v>
      </c>
      <c r="AP2239" s="23" t="s">
        <v>69</v>
      </c>
      <c r="AQ2239" s="23" t="s">
        <v>30</v>
      </c>
      <c r="AR2239" s="23" t="s">
        <v>70</v>
      </c>
      <c r="AS2239" s="25">
        <v>2041030</v>
      </c>
      <c r="AT2239" t="s">
        <v>26</v>
      </c>
      <c r="AU2239" t="s">
        <v>25162</v>
      </c>
    </row>
    <row r="2240" spans="1:47" ht="26.25" x14ac:dyDescent="0.4">
      <c r="A2240" s="23" t="s">
        <v>5860</v>
      </c>
      <c r="B2240" t="s">
        <v>26</v>
      </c>
      <c r="C2240" s="23" t="s">
        <v>146</v>
      </c>
      <c r="D2240" s="23" t="s">
        <v>22174</v>
      </c>
      <c r="E2240" s="23" t="s">
        <v>60</v>
      </c>
      <c r="F2240" t="s">
        <v>26</v>
      </c>
      <c r="G2240" t="s">
        <v>26</v>
      </c>
      <c r="H2240" t="s">
        <v>26</v>
      </c>
      <c r="I2240" t="s">
        <v>26</v>
      </c>
      <c r="J2240" t="s">
        <v>26</v>
      </c>
      <c r="K2240" t="s">
        <v>26</v>
      </c>
      <c r="L2240" s="25" t="s">
        <v>28</v>
      </c>
      <c r="M2240" t="s">
        <v>26</v>
      </c>
      <c r="N2240" t="s">
        <v>26</v>
      </c>
      <c r="O2240" t="s">
        <v>26</v>
      </c>
      <c r="P2240" t="s">
        <v>26</v>
      </c>
      <c r="Q2240" t="s">
        <v>26</v>
      </c>
      <c r="R2240" t="s">
        <v>26</v>
      </c>
      <c r="S2240" t="s">
        <v>26</v>
      </c>
      <c r="T2240" t="s">
        <v>26</v>
      </c>
      <c r="U2240" t="s">
        <v>26</v>
      </c>
      <c r="V2240" t="s">
        <v>26</v>
      </c>
      <c r="W2240" s="24">
        <v>41640</v>
      </c>
      <c r="X2240" s="24">
        <v>41640</v>
      </c>
      <c r="Y2240" t="s">
        <v>26</v>
      </c>
      <c r="Z2240" s="24">
        <v>41640</v>
      </c>
      <c r="AA2240" s="24">
        <v>41640</v>
      </c>
      <c r="AB2240" t="s">
        <v>26</v>
      </c>
      <c r="AC2240" t="s">
        <v>26</v>
      </c>
      <c r="AD2240" t="s">
        <v>26</v>
      </c>
      <c r="AE2240" t="s">
        <v>26</v>
      </c>
      <c r="AF2240" t="s">
        <v>26</v>
      </c>
      <c r="AG2240" t="s">
        <v>26</v>
      </c>
      <c r="AH2240" t="s">
        <v>26</v>
      </c>
      <c r="AI2240" t="s">
        <v>26</v>
      </c>
      <c r="AJ2240" t="s">
        <v>26</v>
      </c>
      <c r="AK2240" t="s">
        <v>26</v>
      </c>
      <c r="AL2240" t="s">
        <v>26</v>
      </c>
      <c r="AM2240" t="s">
        <v>26</v>
      </c>
      <c r="AN2240" t="s">
        <v>26</v>
      </c>
      <c r="AO2240" s="25" t="s">
        <v>28</v>
      </c>
      <c r="AP2240" s="23" t="s">
        <v>29</v>
      </c>
      <c r="AQ2240" s="23" t="s">
        <v>30</v>
      </c>
      <c r="AR2240" s="23" t="s">
        <v>44</v>
      </c>
      <c r="AS2240" s="25">
        <v>5486058</v>
      </c>
      <c r="AT2240" s="23" t="s">
        <v>22181</v>
      </c>
      <c r="AU2240" t="s">
        <v>25163</v>
      </c>
    </row>
    <row r="2241" spans="1:47" ht="26.25" x14ac:dyDescent="0.4">
      <c r="A2241" s="23" t="s">
        <v>5861</v>
      </c>
      <c r="B2241" t="s">
        <v>26</v>
      </c>
      <c r="C2241" s="23" t="s">
        <v>146</v>
      </c>
      <c r="D2241" s="23" t="s">
        <v>22174</v>
      </c>
      <c r="E2241" s="23" t="s">
        <v>60</v>
      </c>
      <c r="F2241" t="s">
        <v>26</v>
      </c>
      <c r="G2241" t="s">
        <v>26</v>
      </c>
      <c r="H2241" t="s">
        <v>26</v>
      </c>
      <c r="I2241" t="s">
        <v>26</v>
      </c>
      <c r="J2241" t="s">
        <v>26</v>
      </c>
      <c r="K2241" t="s">
        <v>26</v>
      </c>
      <c r="L2241" s="25" t="s">
        <v>28</v>
      </c>
      <c r="M2241" t="s">
        <v>26</v>
      </c>
      <c r="N2241" t="s">
        <v>26</v>
      </c>
      <c r="O2241" t="s">
        <v>26</v>
      </c>
      <c r="P2241" t="s">
        <v>26</v>
      </c>
      <c r="Q2241" t="s">
        <v>26</v>
      </c>
      <c r="R2241" t="s">
        <v>26</v>
      </c>
      <c r="S2241" t="s">
        <v>26</v>
      </c>
      <c r="T2241" t="s">
        <v>26</v>
      </c>
      <c r="U2241" t="s">
        <v>26</v>
      </c>
      <c r="V2241" t="s">
        <v>26</v>
      </c>
      <c r="W2241" s="24">
        <v>42005</v>
      </c>
      <c r="X2241" s="24">
        <v>42005</v>
      </c>
      <c r="Y2241" t="s">
        <v>26</v>
      </c>
      <c r="Z2241" s="24">
        <v>42005</v>
      </c>
      <c r="AA2241" s="24">
        <v>42005</v>
      </c>
      <c r="AB2241" t="s">
        <v>26</v>
      </c>
      <c r="AC2241" t="s">
        <v>26</v>
      </c>
      <c r="AD2241" t="s">
        <v>26</v>
      </c>
      <c r="AE2241" t="s">
        <v>26</v>
      </c>
      <c r="AF2241" t="s">
        <v>26</v>
      </c>
      <c r="AG2241" t="s">
        <v>26</v>
      </c>
      <c r="AH2241" t="s">
        <v>26</v>
      </c>
      <c r="AI2241" t="s">
        <v>26</v>
      </c>
      <c r="AJ2241" t="s">
        <v>26</v>
      </c>
      <c r="AK2241" t="s">
        <v>26</v>
      </c>
      <c r="AL2241" t="s">
        <v>26</v>
      </c>
      <c r="AM2241" t="s">
        <v>26</v>
      </c>
      <c r="AN2241" t="s">
        <v>26</v>
      </c>
      <c r="AO2241" s="25" t="s">
        <v>28</v>
      </c>
      <c r="AP2241" s="23" t="s">
        <v>29</v>
      </c>
      <c r="AQ2241" s="23" t="s">
        <v>30</v>
      </c>
      <c r="AR2241" s="23" t="s">
        <v>147</v>
      </c>
      <c r="AS2241" s="25">
        <v>5485093</v>
      </c>
      <c r="AT2241" s="23" t="s">
        <v>22181</v>
      </c>
      <c r="AU2241" t="s">
        <v>25164</v>
      </c>
    </row>
    <row r="2242" spans="1:47" ht="26.25" x14ac:dyDescent="0.4">
      <c r="A2242" s="23" t="s">
        <v>5862</v>
      </c>
      <c r="B2242" t="s">
        <v>26</v>
      </c>
      <c r="C2242" s="23" t="s">
        <v>73</v>
      </c>
      <c r="D2242" s="23" t="s">
        <v>22179</v>
      </c>
      <c r="E2242" s="23" t="s">
        <v>74</v>
      </c>
      <c r="F2242" s="25" t="s">
        <v>5863</v>
      </c>
      <c r="G2242" s="25" t="s">
        <v>5864</v>
      </c>
      <c r="H2242" t="s">
        <v>26</v>
      </c>
      <c r="I2242" s="24">
        <v>36586</v>
      </c>
      <c r="J2242" s="25" t="s">
        <v>77</v>
      </c>
      <c r="K2242" t="s">
        <v>26</v>
      </c>
      <c r="L2242" s="25" t="s">
        <v>68</v>
      </c>
      <c r="M2242" s="24">
        <v>38047</v>
      </c>
      <c r="N2242" s="24">
        <v>42856</v>
      </c>
      <c r="O2242" t="s">
        <v>26</v>
      </c>
      <c r="P2242" s="24">
        <v>36586</v>
      </c>
      <c r="Q2242" s="25" t="s">
        <v>77</v>
      </c>
      <c r="R2242" t="s">
        <v>26</v>
      </c>
      <c r="S2242" t="s">
        <v>26</v>
      </c>
      <c r="T2242" t="s">
        <v>26</v>
      </c>
      <c r="U2242" t="s">
        <v>26</v>
      </c>
      <c r="V2242" s="25">
        <v>365</v>
      </c>
      <c r="W2242" s="24">
        <v>36586</v>
      </c>
      <c r="X2242" s="25" t="s">
        <v>77</v>
      </c>
      <c r="Y2242" t="s">
        <v>26</v>
      </c>
      <c r="Z2242" s="24">
        <v>36586</v>
      </c>
      <c r="AA2242" s="25" t="s">
        <v>77</v>
      </c>
      <c r="AB2242" t="s">
        <v>26</v>
      </c>
      <c r="AC2242" s="24">
        <v>36586</v>
      </c>
      <c r="AD2242" s="25" t="s">
        <v>77</v>
      </c>
      <c r="AE2242" t="s">
        <v>26</v>
      </c>
      <c r="AF2242" t="s">
        <v>26</v>
      </c>
      <c r="AG2242" t="s">
        <v>26</v>
      </c>
      <c r="AH2242" t="s">
        <v>26</v>
      </c>
      <c r="AI2242" t="s">
        <v>26</v>
      </c>
      <c r="AJ2242" t="s">
        <v>26</v>
      </c>
      <c r="AK2242" t="s">
        <v>26</v>
      </c>
      <c r="AL2242" t="s">
        <v>26</v>
      </c>
      <c r="AM2242" t="s">
        <v>26</v>
      </c>
      <c r="AN2242" t="s">
        <v>26</v>
      </c>
      <c r="AO2242" s="25" t="s">
        <v>68</v>
      </c>
      <c r="AP2242" s="23" t="s">
        <v>69</v>
      </c>
      <c r="AQ2242" s="23" t="s">
        <v>30</v>
      </c>
      <c r="AR2242" s="23" t="s">
        <v>3379</v>
      </c>
      <c r="AS2242" s="25">
        <v>44709</v>
      </c>
      <c r="AT2242" t="s">
        <v>26</v>
      </c>
      <c r="AU2242" t="s">
        <v>25165</v>
      </c>
    </row>
    <row r="2243" spans="1:47" ht="26.25" x14ac:dyDescent="0.4">
      <c r="A2243" s="23" t="s">
        <v>5865</v>
      </c>
      <c r="B2243" t="s">
        <v>26</v>
      </c>
      <c r="C2243" s="23" t="s">
        <v>22663</v>
      </c>
      <c r="D2243" t="s">
        <v>26</v>
      </c>
      <c r="E2243" s="23" t="s">
        <v>42</v>
      </c>
      <c r="F2243" t="s">
        <v>26</v>
      </c>
      <c r="G2243" t="s">
        <v>26</v>
      </c>
      <c r="H2243" t="s">
        <v>26</v>
      </c>
      <c r="I2243" s="24">
        <v>37987</v>
      </c>
      <c r="J2243" s="24">
        <v>38353</v>
      </c>
      <c r="K2243" t="s">
        <v>26</v>
      </c>
      <c r="L2243" s="25" t="s">
        <v>28</v>
      </c>
      <c r="M2243" s="24">
        <v>37987</v>
      </c>
      <c r="N2243" s="24">
        <v>38353</v>
      </c>
      <c r="O2243" t="s">
        <v>26</v>
      </c>
      <c r="P2243" t="s">
        <v>26</v>
      </c>
      <c r="Q2243" t="s">
        <v>26</v>
      </c>
      <c r="R2243" t="s">
        <v>26</v>
      </c>
      <c r="S2243" s="24">
        <v>37987</v>
      </c>
      <c r="T2243" s="24">
        <v>38353</v>
      </c>
      <c r="U2243" t="s">
        <v>26</v>
      </c>
      <c r="V2243" t="s">
        <v>26</v>
      </c>
      <c r="W2243" s="24">
        <v>37987</v>
      </c>
      <c r="X2243" s="24">
        <v>38353</v>
      </c>
      <c r="Y2243" t="s">
        <v>26</v>
      </c>
      <c r="Z2243" s="24">
        <v>37987</v>
      </c>
      <c r="AA2243" s="24">
        <v>38353</v>
      </c>
      <c r="AB2243" t="s">
        <v>26</v>
      </c>
      <c r="AC2243" s="24">
        <v>37987</v>
      </c>
      <c r="AD2243" s="24">
        <v>38353</v>
      </c>
      <c r="AE2243" t="s">
        <v>26</v>
      </c>
      <c r="AF2243" s="24">
        <v>37987</v>
      </c>
      <c r="AG2243" s="24">
        <v>38353</v>
      </c>
      <c r="AH2243" t="s">
        <v>26</v>
      </c>
      <c r="AI2243" s="24">
        <v>37987</v>
      </c>
      <c r="AJ2243" s="24">
        <v>38353</v>
      </c>
      <c r="AK2243" t="s">
        <v>26</v>
      </c>
      <c r="AL2243" t="s">
        <v>26</v>
      </c>
      <c r="AM2243" t="s">
        <v>26</v>
      </c>
      <c r="AN2243" t="s">
        <v>26</v>
      </c>
      <c r="AO2243" s="25" t="s">
        <v>28</v>
      </c>
      <c r="AP2243" s="23" t="s">
        <v>43</v>
      </c>
      <c r="AQ2243" s="23" t="s">
        <v>30</v>
      </c>
      <c r="AR2243" s="23" t="s">
        <v>44</v>
      </c>
      <c r="AS2243" s="25">
        <v>5256698</v>
      </c>
      <c r="AT2243" t="s">
        <v>26</v>
      </c>
      <c r="AU2243" t="s">
        <v>25166</v>
      </c>
    </row>
    <row r="2244" spans="1:47" ht="26.25" x14ac:dyDescent="0.4">
      <c r="A2244" s="23" t="s">
        <v>5866</v>
      </c>
      <c r="B2244" t="s">
        <v>26</v>
      </c>
      <c r="C2244" s="23" t="s">
        <v>73</v>
      </c>
      <c r="D2244" s="23" t="s">
        <v>24979</v>
      </c>
      <c r="E2244" s="23" t="s">
        <v>74</v>
      </c>
      <c r="F2244" s="25" t="s">
        <v>5867</v>
      </c>
      <c r="G2244" s="25" t="s">
        <v>5868</v>
      </c>
      <c r="H2244" t="s">
        <v>26</v>
      </c>
      <c r="I2244" s="24">
        <v>35431</v>
      </c>
      <c r="J2244" s="25" t="s">
        <v>77</v>
      </c>
      <c r="K2244" t="s">
        <v>26</v>
      </c>
      <c r="L2244" s="25" t="s">
        <v>68</v>
      </c>
      <c r="M2244" s="24">
        <v>37987</v>
      </c>
      <c r="N2244" s="24">
        <v>42826</v>
      </c>
      <c r="O2244" t="s">
        <v>26</v>
      </c>
      <c r="P2244" s="24">
        <v>35431</v>
      </c>
      <c r="Q2244" s="25" t="s">
        <v>77</v>
      </c>
      <c r="R2244" t="s">
        <v>26</v>
      </c>
      <c r="S2244" t="s">
        <v>26</v>
      </c>
      <c r="T2244" t="s">
        <v>26</v>
      </c>
      <c r="U2244" t="s">
        <v>26</v>
      </c>
      <c r="V2244" s="25">
        <v>365</v>
      </c>
      <c r="W2244" s="24">
        <v>35431</v>
      </c>
      <c r="X2244" s="25" t="s">
        <v>77</v>
      </c>
      <c r="Y2244" t="s">
        <v>26</v>
      </c>
      <c r="Z2244" s="24">
        <v>35431</v>
      </c>
      <c r="AA2244" s="25" t="s">
        <v>77</v>
      </c>
      <c r="AB2244" t="s">
        <v>26</v>
      </c>
      <c r="AC2244" s="24">
        <v>35431</v>
      </c>
      <c r="AD2244" s="25" t="s">
        <v>77</v>
      </c>
      <c r="AE2244" t="s">
        <v>26</v>
      </c>
      <c r="AF2244" t="s">
        <v>26</v>
      </c>
      <c r="AG2244" t="s">
        <v>26</v>
      </c>
      <c r="AH2244" t="s">
        <v>26</v>
      </c>
      <c r="AI2244" t="s">
        <v>26</v>
      </c>
      <c r="AJ2244" t="s">
        <v>26</v>
      </c>
      <c r="AK2244" t="s">
        <v>26</v>
      </c>
      <c r="AL2244" t="s">
        <v>26</v>
      </c>
      <c r="AM2244" t="s">
        <v>26</v>
      </c>
      <c r="AN2244" t="s">
        <v>26</v>
      </c>
      <c r="AO2244" s="25" t="s">
        <v>68</v>
      </c>
      <c r="AP2244" s="23" t="s">
        <v>69</v>
      </c>
      <c r="AQ2244" s="23" t="s">
        <v>30</v>
      </c>
      <c r="AR2244" s="23" t="s">
        <v>5869</v>
      </c>
      <c r="AS2244" s="25">
        <v>33253</v>
      </c>
      <c r="AT2244" t="s">
        <v>26</v>
      </c>
      <c r="AU2244" t="s">
        <v>25167</v>
      </c>
    </row>
    <row r="2245" spans="1:47" ht="26.25" x14ac:dyDescent="0.4">
      <c r="A2245" s="23" t="s">
        <v>5870</v>
      </c>
      <c r="B2245" t="s">
        <v>26</v>
      </c>
      <c r="C2245" s="23" t="s">
        <v>22663</v>
      </c>
      <c r="D2245" t="s">
        <v>26</v>
      </c>
      <c r="E2245" s="23" t="s">
        <v>42</v>
      </c>
      <c r="F2245" t="s">
        <v>26</v>
      </c>
      <c r="G2245" t="s">
        <v>26</v>
      </c>
      <c r="H2245" t="s">
        <v>26</v>
      </c>
      <c r="I2245" s="24">
        <v>38353</v>
      </c>
      <c r="J2245" s="24">
        <v>38718</v>
      </c>
      <c r="K2245" t="s">
        <v>26</v>
      </c>
      <c r="L2245" s="25" t="s">
        <v>28</v>
      </c>
      <c r="M2245" s="24">
        <v>38353</v>
      </c>
      <c r="N2245" s="24">
        <v>38718</v>
      </c>
      <c r="O2245" t="s">
        <v>26</v>
      </c>
      <c r="P2245" t="s">
        <v>26</v>
      </c>
      <c r="Q2245" t="s">
        <v>26</v>
      </c>
      <c r="R2245" t="s">
        <v>26</v>
      </c>
      <c r="S2245" s="24">
        <v>38353</v>
      </c>
      <c r="T2245" s="24">
        <v>38718</v>
      </c>
      <c r="U2245" t="s">
        <v>26</v>
      </c>
      <c r="V2245" t="s">
        <v>26</v>
      </c>
      <c r="W2245" s="24">
        <v>38353</v>
      </c>
      <c r="X2245" s="24">
        <v>38718</v>
      </c>
      <c r="Y2245" t="s">
        <v>26</v>
      </c>
      <c r="Z2245" s="24">
        <v>38353</v>
      </c>
      <c r="AA2245" s="24">
        <v>38718</v>
      </c>
      <c r="AB2245" t="s">
        <v>26</v>
      </c>
      <c r="AC2245" s="24">
        <v>38353</v>
      </c>
      <c r="AD2245" s="24">
        <v>38718</v>
      </c>
      <c r="AE2245" t="s">
        <v>26</v>
      </c>
      <c r="AF2245" s="24">
        <v>38353</v>
      </c>
      <c r="AG2245" s="24">
        <v>38718</v>
      </c>
      <c r="AH2245" t="s">
        <v>26</v>
      </c>
      <c r="AI2245" s="24">
        <v>38353</v>
      </c>
      <c r="AJ2245" s="24">
        <v>38718</v>
      </c>
      <c r="AK2245" t="s">
        <v>26</v>
      </c>
      <c r="AL2245" t="s">
        <v>26</v>
      </c>
      <c r="AM2245" t="s">
        <v>26</v>
      </c>
      <c r="AN2245" t="s">
        <v>26</v>
      </c>
      <c r="AO2245" s="25" t="s">
        <v>28</v>
      </c>
      <c r="AP2245" s="23" t="s">
        <v>43</v>
      </c>
      <c r="AQ2245" s="23" t="s">
        <v>30</v>
      </c>
      <c r="AR2245" s="23" t="s">
        <v>44</v>
      </c>
      <c r="AS2245" s="25">
        <v>5256697</v>
      </c>
      <c r="AT2245" t="s">
        <v>26</v>
      </c>
      <c r="AU2245" t="s">
        <v>25168</v>
      </c>
    </row>
    <row r="2246" spans="1:47" ht="26.25" x14ac:dyDescent="0.4">
      <c r="A2246" s="23" t="s">
        <v>5871</v>
      </c>
      <c r="B2246" t="s">
        <v>26</v>
      </c>
      <c r="C2246" s="23" t="s">
        <v>107</v>
      </c>
      <c r="D2246" s="23" t="s">
        <v>22194</v>
      </c>
      <c r="E2246" s="23" t="s">
        <v>42</v>
      </c>
      <c r="F2246" s="25" t="s">
        <v>5872</v>
      </c>
      <c r="G2246" s="25" t="s">
        <v>5873</v>
      </c>
      <c r="H2246" t="s">
        <v>26</v>
      </c>
      <c r="I2246" t="s">
        <v>26</v>
      </c>
      <c r="J2246" t="s">
        <v>26</v>
      </c>
      <c r="K2246" t="s">
        <v>26</v>
      </c>
      <c r="L2246" s="25" t="s">
        <v>68</v>
      </c>
      <c r="M2246" t="s">
        <v>26</v>
      </c>
      <c r="N2246" t="s">
        <v>26</v>
      </c>
      <c r="O2246" t="s">
        <v>26</v>
      </c>
      <c r="P2246" t="s">
        <v>26</v>
      </c>
      <c r="Q2246" t="s">
        <v>26</v>
      </c>
      <c r="R2246" t="s">
        <v>26</v>
      </c>
      <c r="S2246" t="s">
        <v>26</v>
      </c>
      <c r="T2246" t="s">
        <v>26</v>
      </c>
      <c r="U2246" t="s">
        <v>26</v>
      </c>
      <c r="V2246" t="s">
        <v>26</v>
      </c>
      <c r="W2246" s="24">
        <v>34029</v>
      </c>
      <c r="X2246" s="25" t="s">
        <v>77</v>
      </c>
      <c r="Y2246" t="s">
        <v>26</v>
      </c>
      <c r="Z2246" s="24">
        <v>35125</v>
      </c>
      <c r="AA2246" s="25" t="s">
        <v>77</v>
      </c>
      <c r="AB2246" t="s">
        <v>26</v>
      </c>
      <c r="AC2246" s="24">
        <v>34029</v>
      </c>
      <c r="AD2246" s="25" t="s">
        <v>77</v>
      </c>
      <c r="AE2246" t="s">
        <v>26</v>
      </c>
      <c r="AF2246" t="s">
        <v>26</v>
      </c>
      <c r="AG2246" t="s">
        <v>26</v>
      </c>
      <c r="AH2246" t="s">
        <v>26</v>
      </c>
      <c r="AI2246" t="s">
        <v>26</v>
      </c>
      <c r="AJ2246" t="s">
        <v>26</v>
      </c>
      <c r="AK2246" t="s">
        <v>26</v>
      </c>
      <c r="AL2246" t="s">
        <v>26</v>
      </c>
      <c r="AM2246" t="s">
        <v>26</v>
      </c>
      <c r="AN2246" t="s">
        <v>26</v>
      </c>
      <c r="AO2246" s="25" t="s">
        <v>68</v>
      </c>
      <c r="AP2246" s="23" t="s">
        <v>69</v>
      </c>
      <c r="AQ2246" s="23" t="s">
        <v>30</v>
      </c>
      <c r="AR2246" s="23" t="s">
        <v>433</v>
      </c>
      <c r="AS2246" s="25">
        <v>37125</v>
      </c>
      <c r="AT2246" t="s">
        <v>26</v>
      </c>
      <c r="AU2246" t="s">
        <v>25169</v>
      </c>
    </row>
    <row r="2247" spans="1:47" ht="13.15" x14ac:dyDescent="0.4">
      <c r="A2247" s="23" t="s">
        <v>5874</v>
      </c>
      <c r="B2247" t="s">
        <v>26</v>
      </c>
      <c r="C2247" t="s">
        <v>26</v>
      </c>
      <c r="D2247" t="s">
        <v>26</v>
      </c>
      <c r="E2247" t="s">
        <v>26</v>
      </c>
      <c r="F2247" t="s">
        <v>26</v>
      </c>
      <c r="G2247" t="s">
        <v>26</v>
      </c>
      <c r="H2247" t="s">
        <v>26</v>
      </c>
      <c r="I2247" s="25" t="s">
        <v>5362</v>
      </c>
      <c r="J2247" s="25" t="s">
        <v>5362</v>
      </c>
      <c r="K2247" t="s">
        <v>26</v>
      </c>
      <c r="L2247" s="25" t="s">
        <v>28</v>
      </c>
      <c r="M2247" s="25" t="s">
        <v>5362</v>
      </c>
      <c r="N2247" s="25" t="s">
        <v>5362</v>
      </c>
      <c r="O2247" t="s">
        <v>26</v>
      </c>
      <c r="P2247" t="s">
        <v>26</v>
      </c>
      <c r="Q2247" t="s">
        <v>26</v>
      </c>
      <c r="R2247" t="s">
        <v>26</v>
      </c>
      <c r="S2247" t="s">
        <v>26</v>
      </c>
      <c r="T2247" t="s">
        <v>26</v>
      </c>
      <c r="U2247" t="s">
        <v>26</v>
      </c>
      <c r="V2247" t="s">
        <v>26</v>
      </c>
      <c r="W2247" s="25" t="s">
        <v>5362</v>
      </c>
      <c r="X2247" s="25" t="s">
        <v>5362</v>
      </c>
      <c r="Y2247" t="s">
        <v>26</v>
      </c>
      <c r="Z2247" s="25" t="s">
        <v>5362</v>
      </c>
      <c r="AA2247" s="25" t="s">
        <v>5362</v>
      </c>
      <c r="AB2247" t="s">
        <v>26</v>
      </c>
      <c r="AC2247" s="25" t="s">
        <v>5362</v>
      </c>
      <c r="AD2247" s="25" t="s">
        <v>5362</v>
      </c>
      <c r="AE2247" t="s">
        <v>26</v>
      </c>
      <c r="AF2247" t="s">
        <v>26</v>
      </c>
      <c r="AG2247" t="s">
        <v>26</v>
      </c>
      <c r="AH2247" t="s">
        <v>26</v>
      </c>
      <c r="AI2247" t="s">
        <v>26</v>
      </c>
      <c r="AJ2247" t="s">
        <v>26</v>
      </c>
      <c r="AK2247" t="s">
        <v>26</v>
      </c>
      <c r="AL2247" t="s">
        <v>26</v>
      </c>
      <c r="AM2247" t="s">
        <v>26</v>
      </c>
      <c r="AN2247" t="s">
        <v>26</v>
      </c>
      <c r="AO2247" s="25" t="s">
        <v>28</v>
      </c>
      <c r="AP2247" s="23" t="s">
        <v>29</v>
      </c>
      <c r="AQ2247" s="23" t="s">
        <v>30</v>
      </c>
      <c r="AR2247" s="23" t="s">
        <v>46</v>
      </c>
      <c r="AS2247" s="25">
        <v>6438233</v>
      </c>
      <c r="AT2247" t="s">
        <v>26</v>
      </c>
      <c r="AU2247" t="s">
        <v>25170</v>
      </c>
    </row>
    <row r="2248" spans="1:47" ht="26.25" x14ac:dyDescent="0.4">
      <c r="A2248" s="23" t="s">
        <v>5875</v>
      </c>
      <c r="B2248" t="s">
        <v>26</v>
      </c>
      <c r="C2248" s="23" t="s">
        <v>51</v>
      </c>
      <c r="D2248" t="s">
        <v>26</v>
      </c>
      <c r="E2248" s="23" t="s">
        <v>42</v>
      </c>
      <c r="F2248" t="s">
        <v>26</v>
      </c>
      <c r="G2248" t="s">
        <v>26</v>
      </c>
      <c r="H2248" t="s">
        <v>26</v>
      </c>
      <c r="I2248" s="24">
        <v>40544</v>
      </c>
      <c r="J2248" s="24">
        <v>40544</v>
      </c>
      <c r="K2248" t="s">
        <v>26</v>
      </c>
      <c r="L2248" s="25" t="s">
        <v>28</v>
      </c>
      <c r="M2248" s="24">
        <v>40544</v>
      </c>
      <c r="N2248" s="24">
        <v>40544</v>
      </c>
      <c r="O2248" t="s">
        <v>26</v>
      </c>
      <c r="P2248" t="s">
        <v>26</v>
      </c>
      <c r="Q2248" t="s">
        <v>26</v>
      </c>
      <c r="R2248" t="s">
        <v>26</v>
      </c>
      <c r="S2248" s="24">
        <v>40544</v>
      </c>
      <c r="T2248" s="24">
        <v>40544</v>
      </c>
      <c r="U2248" t="s">
        <v>26</v>
      </c>
      <c r="V2248" t="s">
        <v>26</v>
      </c>
      <c r="W2248" s="24">
        <v>40544</v>
      </c>
      <c r="X2248" s="24">
        <v>40544</v>
      </c>
      <c r="Y2248" t="s">
        <v>26</v>
      </c>
      <c r="Z2248" s="24">
        <v>40544</v>
      </c>
      <c r="AA2248" s="24">
        <v>40544</v>
      </c>
      <c r="AB2248" t="s">
        <v>26</v>
      </c>
      <c r="AC2248" s="24">
        <v>40544</v>
      </c>
      <c r="AD2248" s="24">
        <v>40544</v>
      </c>
      <c r="AE2248" t="s">
        <v>26</v>
      </c>
      <c r="AF2248" s="24">
        <v>40544</v>
      </c>
      <c r="AG2248" s="24">
        <v>40544</v>
      </c>
      <c r="AH2248" t="s">
        <v>26</v>
      </c>
      <c r="AI2248" s="24">
        <v>40544</v>
      </c>
      <c r="AJ2248" s="24">
        <v>40544</v>
      </c>
      <c r="AK2248" t="s">
        <v>26</v>
      </c>
      <c r="AL2248" t="s">
        <v>26</v>
      </c>
      <c r="AM2248" t="s">
        <v>26</v>
      </c>
      <c r="AN2248" t="s">
        <v>26</v>
      </c>
      <c r="AO2248" s="25" t="s">
        <v>28</v>
      </c>
      <c r="AP2248" s="23" t="s">
        <v>43</v>
      </c>
      <c r="AQ2248" s="23" t="s">
        <v>30</v>
      </c>
      <c r="AR2248" s="23" t="s">
        <v>44</v>
      </c>
      <c r="AS2248" s="25">
        <v>5256666</v>
      </c>
      <c r="AT2248" t="s">
        <v>26</v>
      </c>
      <c r="AU2248" t="s">
        <v>25171</v>
      </c>
    </row>
    <row r="2249" spans="1:47" ht="26.25" x14ac:dyDescent="0.4">
      <c r="A2249" s="23" t="s">
        <v>5876</v>
      </c>
      <c r="B2249" t="s">
        <v>26</v>
      </c>
      <c r="C2249" s="23" t="s">
        <v>332</v>
      </c>
      <c r="D2249" s="23" t="s">
        <v>22256</v>
      </c>
      <c r="E2249" s="23" t="s">
        <v>42</v>
      </c>
      <c r="F2249" t="s">
        <v>26</v>
      </c>
      <c r="G2249" t="s">
        <v>26</v>
      </c>
      <c r="H2249" t="s">
        <v>26</v>
      </c>
      <c r="I2249" s="24">
        <v>22647</v>
      </c>
      <c r="J2249" s="24">
        <v>42370</v>
      </c>
      <c r="K2249" t="s">
        <v>26</v>
      </c>
      <c r="L2249" s="25" t="s">
        <v>28</v>
      </c>
      <c r="M2249" s="24">
        <v>22647</v>
      </c>
      <c r="N2249" s="24">
        <v>42370</v>
      </c>
      <c r="O2249" t="s">
        <v>26</v>
      </c>
      <c r="P2249" t="s">
        <v>26</v>
      </c>
      <c r="Q2249" t="s">
        <v>26</v>
      </c>
      <c r="R2249" t="s">
        <v>26</v>
      </c>
      <c r="S2249" s="24">
        <v>22647</v>
      </c>
      <c r="T2249" s="24">
        <v>42370</v>
      </c>
      <c r="U2249" t="s">
        <v>26</v>
      </c>
      <c r="V2249" t="s">
        <v>26</v>
      </c>
      <c r="W2249" s="24">
        <v>22647</v>
      </c>
      <c r="X2249" s="24">
        <v>42370</v>
      </c>
      <c r="Y2249" t="s">
        <v>26</v>
      </c>
      <c r="Z2249" s="24">
        <v>22647</v>
      </c>
      <c r="AA2249" s="24">
        <v>42370</v>
      </c>
      <c r="AB2249" t="s">
        <v>26</v>
      </c>
      <c r="AC2249" s="24">
        <v>22647</v>
      </c>
      <c r="AD2249" s="24">
        <v>42370</v>
      </c>
      <c r="AE2249" t="s">
        <v>26</v>
      </c>
      <c r="AF2249" s="24">
        <v>22647</v>
      </c>
      <c r="AG2249" s="24">
        <v>42370</v>
      </c>
      <c r="AH2249" t="s">
        <v>26</v>
      </c>
      <c r="AI2249" s="24">
        <v>22647</v>
      </c>
      <c r="AJ2249" s="24">
        <v>42370</v>
      </c>
      <c r="AK2249" t="s">
        <v>26</v>
      </c>
      <c r="AL2249" t="s">
        <v>26</v>
      </c>
      <c r="AM2249" t="s">
        <v>26</v>
      </c>
      <c r="AN2249" t="s">
        <v>26</v>
      </c>
      <c r="AO2249" s="25" t="s">
        <v>28</v>
      </c>
      <c r="AP2249" s="23" t="s">
        <v>43</v>
      </c>
      <c r="AQ2249" s="23" t="s">
        <v>30</v>
      </c>
      <c r="AR2249" s="23" t="s">
        <v>46</v>
      </c>
      <c r="AS2249" s="25">
        <v>6394499</v>
      </c>
      <c r="AT2249" t="s">
        <v>26</v>
      </c>
      <c r="AU2249" t="s">
        <v>25172</v>
      </c>
    </row>
    <row r="2250" spans="1:47" ht="26.25" x14ac:dyDescent="0.4">
      <c r="A2250" s="23" t="s">
        <v>5877</v>
      </c>
      <c r="B2250" t="s">
        <v>26</v>
      </c>
      <c r="C2250" s="23" t="s">
        <v>51</v>
      </c>
      <c r="D2250" s="23" t="s">
        <v>22256</v>
      </c>
      <c r="E2250" s="23" t="s">
        <v>42</v>
      </c>
      <c r="F2250" t="s">
        <v>26</v>
      </c>
      <c r="G2250" t="s">
        <v>26</v>
      </c>
      <c r="H2250" t="s">
        <v>26</v>
      </c>
      <c r="I2250" s="24">
        <v>27760</v>
      </c>
      <c r="J2250" s="24">
        <v>43466</v>
      </c>
      <c r="K2250" t="s">
        <v>26</v>
      </c>
      <c r="L2250" s="25" t="s">
        <v>28</v>
      </c>
      <c r="M2250" s="24">
        <v>27760</v>
      </c>
      <c r="N2250" s="24">
        <v>43466</v>
      </c>
      <c r="O2250" t="s">
        <v>26</v>
      </c>
      <c r="P2250" t="s">
        <v>26</v>
      </c>
      <c r="Q2250" t="s">
        <v>26</v>
      </c>
      <c r="R2250" t="s">
        <v>26</v>
      </c>
      <c r="S2250" s="24">
        <v>27760</v>
      </c>
      <c r="T2250" s="24">
        <v>43466</v>
      </c>
      <c r="U2250" t="s">
        <v>26</v>
      </c>
      <c r="V2250" t="s">
        <v>26</v>
      </c>
      <c r="W2250" s="24">
        <v>27760</v>
      </c>
      <c r="X2250" s="24">
        <v>43466</v>
      </c>
      <c r="Y2250" t="s">
        <v>26</v>
      </c>
      <c r="Z2250" s="24">
        <v>27760</v>
      </c>
      <c r="AA2250" s="24">
        <v>43466</v>
      </c>
      <c r="AB2250" t="s">
        <v>26</v>
      </c>
      <c r="AC2250" s="24">
        <v>27760</v>
      </c>
      <c r="AD2250" s="24">
        <v>43466</v>
      </c>
      <c r="AE2250" t="s">
        <v>26</v>
      </c>
      <c r="AF2250" s="24">
        <v>27760</v>
      </c>
      <c r="AG2250" s="24">
        <v>43466</v>
      </c>
      <c r="AH2250" t="s">
        <v>26</v>
      </c>
      <c r="AI2250" s="24">
        <v>27760</v>
      </c>
      <c r="AJ2250" s="24">
        <v>43466</v>
      </c>
      <c r="AK2250" t="s">
        <v>26</v>
      </c>
      <c r="AL2250" t="s">
        <v>26</v>
      </c>
      <c r="AM2250" t="s">
        <v>26</v>
      </c>
      <c r="AN2250" t="s">
        <v>26</v>
      </c>
      <c r="AO2250" s="25" t="s">
        <v>28</v>
      </c>
      <c r="AP2250" s="23" t="s">
        <v>43</v>
      </c>
      <c r="AQ2250" s="23" t="s">
        <v>30</v>
      </c>
      <c r="AR2250" s="23" t="s">
        <v>46</v>
      </c>
      <c r="AS2250" s="25">
        <v>6394500</v>
      </c>
      <c r="AT2250" t="s">
        <v>26</v>
      </c>
      <c r="AU2250" t="s">
        <v>25173</v>
      </c>
    </row>
    <row r="2251" spans="1:47" ht="13.15" x14ac:dyDescent="0.4">
      <c r="A2251" s="23" t="s">
        <v>5878</v>
      </c>
      <c r="B2251" t="s">
        <v>26</v>
      </c>
      <c r="C2251" s="23" t="s">
        <v>5879</v>
      </c>
      <c r="D2251" s="23" t="s">
        <v>22832</v>
      </c>
      <c r="E2251" s="23" t="s">
        <v>42</v>
      </c>
      <c r="F2251" t="s">
        <v>26</v>
      </c>
      <c r="G2251" t="s">
        <v>26</v>
      </c>
      <c r="H2251" t="s">
        <v>26</v>
      </c>
      <c r="I2251" s="24">
        <v>44927</v>
      </c>
      <c r="J2251" s="25" t="s">
        <v>77</v>
      </c>
      <c r="K2251" t="s">
        <v>26</v>
      </c>
      <c r="L2251" s="25" t="s">
        <v>28</v>
      </c>
      <c r="M2251" s="24">
        <v>44927</v>
      </c>
      <c r="N2251" s="25" t="s">
        <v>77</v>
      </c>
      <c r="O2251" t="s">
        <v>26</v>
      </c>
      <c r="P2251" t="s">
        <v>26</v>
      </c>
      <c r="Q2251" t="s">
        <v>26</v>
      </c>
      <c r="R2251" t="s">
        <v>26</v>
      </c>
      <c r="S2251" t="s">
        <v>26</v>
      </c>
      <c r="T2251" t="s">
        <v>26</v>
      </c>
      <c r="U2251" t="s">
        <v>26</v>
      </c>
      <c r="V2251" t="s">
        <v>26</v>
      </c>
      <c r="W2251" s="24">
        <v>44927</v>
      </c>
      <c r="X2251" s="25" t="s">
        <v>77</v>
      </c>
      <c r="Y2251" t="s">
        <v>26</v>
      </c>
      <c r="Z2251" s="24">
        <v>44927</v>
      </c>
      <c r="AA2251" s="25" t="s">
        <v>77</v>
      </c>
      <c r="AB2251" t="s">
        <v>26</v>
      </c>
      <c r="AC2251" s="24">
        <v>44927</v>
      </c>
      <c r="AD2251" s="25" t="s">
        <v>77</v>
      </c>
      <c r="AE2251" t="s">
        <v>26</v>
      </c>
      <c r="AF2251" t="s">
        <v>26</v>
      </c>
      <c r="AG2251" t="s">
        <v>26</v>
      </c>
      <c r="AH2251" t="s">
        <v>26</v>
      </c>
      <c r="AI2251" t="s">
        <v>26</v>
      </c>
      <c r="AJ2251" t="s">
        <v>26</v>
      </c>
      <c r="AK2251" t="s">
        <v>26</v>
      </c>
      <c r="AL2251" t="s">
        <v>26</v>
      </c>
      <c r="AM2251" t="s">
        <v>26</v>
      </c>
      <c r="AN2251" t="s">
        <v>26</v>
      </c>
      <c r="AO2251" s="25" t="s">
        <v>28</v>
      </c>
      <c r="AP2251" s="23" t="s">
        <v>25174</v>
      </c>
      <c r="AQ2251" s="23" t="s">
        <v>30</v>
      </c>
      <c r="AR2251" t="s">
        <v>26</v>
      </c>
      <c r="AS2251" s="25">
        <v>5229088</v>
      </c>
      <c r="AT2251" t="s">
        <v>26</v>
      </c>
      <c r="AU2251" t="s">
        <v>25175</v>
      </c>
    </row>
    <row r="2252" spans="1:47" ht="13.15" x14ac:dyDescent="0.4">
      <c r="A2252" s="23" t="s">
        <v>5880</v>
      </c>
      <c r="B2252" t="s">
        <v>26</v>
      </c>
      <c r="C2252" s="23" t="s">
        <v>5879</v>
      </c>
      <c r="D2252" t="s">
        <v>26</v>
      </c>
      <c r="E2252" s="23" t="s">
        <v>42</v>
      </c>
      <c r="F2252" t="s">
        <v>26</v>
      </c>
      <c r="G2252" t="s">
        <v>26</v>
      </c>
      <c r="H2252" t="s">
        <v>26</v>
      </c>
      <c r="I2252" s="24">
        <v>44927</v>
      </c>
      <c r="J2252" s="25" t="s">
        <v>77</v>
      </c>
      <c r="K2252" t="s">
        <v>26</v>
      </c>
      <c r="L2252" s="25" t="s">
        <v>28</v>
      </c>
      <c r="M2252" s="24">
        <v>44927</v>
      </c>
      <c r="N2252" s="25" t="s">
        <v>77</v>
      </c>
      <c r="O2252" t="s">
        <v>26</v>
      </c>
      <c r="P2252" t="s">
        <v>26</v>
      </c>
      <c r="Q2252" t="s">
        <v>26</v>
      </c>
      <c r="R2252" t="s">
        <v>26</v>
      </c>
      <c r="S2252" t="s">
        <v>26</v>
      </c>
      <c r="T2252" t="s">
        <v>26</v>
      </c>
      <c r="U2252" t="s">
        <v>26</v>
      </c>
      <c r="V2252" t="s">
        <v>26</v>
      </c>
      <c r="W2252" s="24">
        <v>44927</v>
      </c>
      <c r="X2252" s="25" t="s">
        <v>77</v>
      </c>
      <c r="Y2252" t="s">
        <v>26</v>
      </c>
      <c r="Z2252" s="24">
        <v>44927</v>
      </c>
      <c r="AA2252" s="25" t="s">
        <v>77</v>
      </c>
      <c r="AB2252" t="s">
        <v>26</v>
      </c>
      <c r="AC2252" s="24">
        <v>44927</v>
      </c>
      <c r="AD2252" s="25" t="s">
        <v>77</v>
      </c>
      <c r="AE2252" t="s">
        <v>26</v>
      </c>
      <c r="AF2252" t="s">
        <v>26</v>
      </c>
      <c r="AG2252" t="s">
        <v>26</v>
      </c>
      <c r="AH2252" t="s">
        <v>26</v>
      </c>
      <c r="AI2252" t="s">
        <v>26</v>
      </c>
      <c r="AJ2252" t="s">
        <v>26</v>
      </c>
      <c r="AK2252" t="s">
        <v>26</v>
      </c>
      <c r="AL2252" t="s">
        <v>26</v>
      </c>
      <c r="AM2252" t="s">
        <v>26</v>
      </c>
      <c r="AN2252" t="s">
        <v>26</v>
      </c>
      <c r="AO2252" s="25" t="s">
        <v>28</v>
      </c>
      <c r="AP2252" s="23" t="s">
        <v>25174</v>
      </c>
      <c r="AQ2252" s="23" t="s">
        <v>30</v>
      </c>
      <c r="AR2252" t="s">
        <v>26</v>
      </c>
      <c r="AS2252" s="25">
        <v>5508140</v>
      </c>
      <c r="AT2252" t="s">
        <v>26</v>
      </c>
      <c r="AU2252" t="s">
        <v>25176</v>
      </c>
    </row>
    <row r="2253" spans="1:47" ht="13.15" x14ac:dyDescent="0.4">
      <c r="A2253" s="23" t="s">
        <v>5881</v>
      </c>
      <c r="B2253" t="s">
        <v>26</v>
      </c>
      <c r="C2253" t="s">
        <v>26</v>
      </c>
      <c r="D2253" t="s">
        <v>26</v>
      </c>
      <c r="E2253" t="s">
        <v>26</v>
      </c>
      <c r="F2253" t="s">
        <v>26</v>
      </c>
      <c r="G2253" t="s">
        <v>26</v>
      </c>
      <c r="H2253" t="s">
        <v>26</v>
      </c>
      <c r="I2253" s="24">
        <v>44927</v>
      </c>
      <c r="J2253" s="25" t="s">
        <v>77</v>
      </c>
      <c r="K2253" t="s">
        <v>26</v>
      </c>
      <c r="L2253" s="25" t="s">
        <v>28</v>
      </c>
      <c r="M2253" s="24">
        <v>44927</v>
      </c>
      <c r="N2253" s="25" t="s">
        <v>77</v>
      </c>
      <c r="O2253" t="s">
        <v>26</v>
      </c>
      <c r="P2253" t="s">
        <v>26</v>
      </c>
      <c r="Q2253" t="s">
        <v>26</v>
      </c>
      <c r="R2253" t="s">
        <v>26</v>
      </c>
      <c r="S2253" t="s">
        <v>26</v>
      </c>
      <c r="T2253" t="s">
        <v>26</v>
      </c>
      <c r="U2253" t="s">
        <v>26</v>
      </c>
      <c r="V2253" t="s">
        <v>26</v>
      </c>
      <c r="W2253" s="24">
        <v>44927</v>
      </c>
      <c r="X2253" s="25" t="s">
        <v>77</v>
      </c>
      <c r="Y2253" t="s">
        <v>26</v>
      </c>
      <c r="Z2253" s="24">
        <v>44927</v>
      </c>
      <c r="AA2253" s="25" t="s">
        <v>77</v>
      </c>
      <c r="AB2253" t="s">
        <v>26</v>
      </c>
      <c r="AC2253" s="24">
        <v>44927</v>
      </c>
      <c r="AD2253" s="25" t="s">
        <v>77</v>
      </c>
      <c r="AE2253" t="s">
        <v>26</v>
      </c>
      <c r="AF2253" t="s">
        <v>26</v>
      </c>
      <c r="AG2253" t="s">
        <v>26</v>
      </c>
      <c r="AH2253" t="s">
        <v>26</v>
      </c>
      <c r="AI2253" t="s">
        <v>26</v>
      </c>
      <c r="AJ2253" t="s">
        <v>26</v>
      </c>
      <c r="AK2253" t="s">
        <v>26</v>
      </c>
      <c r="AL2253" t="s">
        <v>26</v>
      </c>
      <c r="AM2253" t="s">
        <v>26</v>
      </c>
      <c r="AN2253" t="s">
        <v>26</v>
      </c>
      <c r="AO2253" s="25" t="s">
        <v>28</v>
      </c>
      <c r="AP2253" s="23" t="s">
        <v>25174</v>
      </c>
      <c r="AQ2253" s="23" t="s">
        <v>30</v>
      </c>
      <c r="AR2253" t="s">
        <v>26</v>
      </c>
      <c r="AS2253" s="25">
        <v>5508141</v>
      </c>
      <c r="AT2253" t="s">
        <v>26</v>
      </c>
      <c r="AU2253" t="s">
        <v>25177</v>
      </c>
    </row>
    <row r="2254" spans="1:47" ht="13.15" x14ac:dyDescent="0.4">
      <c r="A2254" s="23" t="s">
        <v>5882</v>
      </c>
      <c r="B2254" t="s">
        <v>26</v>
      </c>
      <c r="C2254" s="23" t="s">
        <v>5879</v>
      </c>
      <c r="D2254" t="s">
        <v>26</v>
      </c>
      <c r="E2254" s="23" t="s">
        <v>42</v>
      </c>
      <c r="F2254" t="s">
        <v>26</v>
      </c>
      <c r="G2254" t="s">
        <v>26</v>
      </c>
      <c r="H2254" t="s">
        <v>26</v>
      </c>
      <c r="I2254" s="24">
        <v>44927</v>
      </c>
      <c r="J2254" s="25" t="s">
        <v>77</v>
      </c>
      <c r="K2254" t="s">
        <v>26</v>
      </c>
      <c r="L2254" s="25" t="s">
        <v>28</v>
      </c>
      <c r="M2254" s="24">
        <v>44927</v>
      </c>
      <c r="N2254" s="25" t="s">
        <v>77</v>
      </c>
      <c r="O2254" t="s">
        <v>26</v>
      </c>
      <c r="P2254" t="s">
        <v>26</v>
      </c>
      <c r="Q2254" t="s">
        <v>26</v>
      </c>
      <c r="R2254" t="s">
        <v>26</v>
      </c>
      <c r="S2254" t="s">
        <v>26</v>
      </c>
      <c r="T2254" t="s">
        <v>26</v>
      </c>
      <c r="U2254" t="s">
        <v>26</v>
      </c>
      <c r="V2254" t="s">
        <v>26</v>
      </c>
      <c r="W2254" s="24">
        <v>44927</v>
      </c>
      <c r="X2254" s="25" t="s">
        <v>77</v>
      </c>
      <c r="Y2254" t="s">
        <v>26</v>
      </c>
      <c r="Z2254" s="24">
        <v>44927</v>
      </c>
      <c r="AA2254" s="25" t="s">
        <v>77</v>
      </c>
      <c r="AB2254" t="s">
        <v>26</v>
      </c>
      <c r="AC2254" s="24">
        <v>44927</v>
      </c>
      <c r="AD2254" s="25" t="s">
        <v>77</v>
      </c>
      <c r="AE2254" t="s">
        <v>26</v>
      </c>
      <c r="AF2254" t="s">
        <v>26</v>
      </c>
      <c r="AG2254" t="s">
        <v>26</v>
      </c>
      <c r="AH2254" t="s">
        <v>26</v>
      </c>
      <c r="AI2254" t="s">
        <v>26</v>
      </c>
      <c r="AJ2254" t="s">
        <v>26</v>
      </c>
      <c r="AK2254" t="s">
        <v>26</v>
      </c>
      <c r="AL2254" t="s">
        <v>26</v>
      </c>
      <c r="AM2254" t="s">
        <v>26</v>
      </c>
      <c r="AN2254" t="s">
        <v>26</v>
      </c>
      <c r="AO2254" s="25" t="s">
        <v>28</v>
      </c>
      <c r="AP2254" s="23" t="s">
        <v>25174</v>
      </c>
      <c r="AQ2254" s="23" t="s">
        <v>30</v>
      </c>
      <c r="AR2254" t="s">
        <v>26</v>
      </c>
      <c r="AS2254" s="25">
        <v>5508142</v>
      </c>
      <c r="AT2254" t="s">
        <v>26</v>
      </c>
      <c r="AU2254" t="s">
        <v>25178</v>
      </c>
    </row>
    <row r="2255" spans="1:47" ht="26.25" x14ac:dyDescent="0.4">
      <c r="A2255" s="23" t="s">
        <v>5883</v>
      </c>
      <c r="B2255" t="s">
        <v>26</v>
      </c>
      <c r="C2255" s="23" t="s">
        <v>5879</v>
      </c>
      <c r="D2255" t="s">
        <v>26</v>
      </c>
      <c r="E2255" s="23" t="s">
        <v>42</v>
      </c>
      <c r="F2255" t="s">
        <v>26</v>
      </c>
      <c r="G2255" t="s">
        <v>26</v>
      </c>
      <c r="H2255" t="s">
        <v>26</v>
      </c>
      <c r="I2255" s="24">
        <v>44927</v>
      </c>
      <c r="J2255" s="25" t="s">
        <v>77</v>
      </c>
      <c r="K2255" t="s">
        <v>26</v>
      </c>
      <c r="L2255" s="25" t="s">
        <v>28</v>
      </c>
      <c r="M2255" s="24">
        <v>44927</v>
      </c>
      <c r="N2255" s="25" t="s">
        <v>77</v>
      </c>
      <c r="O2255" t="s">
        <v>26</v>
      </c>
      <c r="P2255" t="s">
        <v>26</v>
      </c>
      <c r="Q2255" t="s">
        <v>26</v>
      </c>
      <c r="R2255" t="s">
        <v>26</v>
      </c>
      <c r="S2255" t="s">
        <v>26</v>
      </c>
      <c r="T2255" t="s">
        <v>26</v>
      </c>
      <c r="U2255" t="s">
        <v>26</v>
      </c>
      <c r="V2255" t="s">
        <v>26</v>
      </c>
      <c r="W2255" s="24">
        <v>44927</v>
      </c>
      <c r="X2255" s="25" t="s">
        <v>77</v>
      </c>
      <c r="Y2255" t="s">
        <v>26</v>
      </c>
      <c r="Z2255" s="24">
        <v>44927</v>
      </c>
      <c r="AA2255" s="25" t="s">
        <v>77</v>
      </c>
      <c r="AB2255" t="s">
        <v>26</v>
      </c>
      <c r="AC2255" s="24">
        <v>44927</v>
      </c>
      <c r="AD2255" s="25" t="s">
        <v>77</v>
      </c>
      <c r="AE2255" t="s">
        <v>26</v>
      </c>
      <c r="AF2255" t="s">
        <v>26</v>
      </c>
      <c r="AG2255" t="s">
        <v>26</v>
      </c>
      <c r="AH2255" t="s">
        <v>26</v>
      </c>
      <c r="AI2255" t="s">
        <v>26</v>
      </c>
      <c r="AJ2255" t="s">
        <v>26</v>
      </c>
      <c r="AK2255" t="s">
        <v>26</v>
      </c>
      <c r="AL2255" t="s">
        <v>26</v>
      </c>
      <c r="AM2255" t="s">
        <v>26</v>
      </c>
      <c r="AN2255" t="s">
        <v>26</v>
      </c>
      <c r="AO2255" s="25" t="s">
        <v>28</v>
      </c>
      <c r="AP2255" s="23" t="s">
        <v>25174</v>
      </c>
      <c r="AQ2255" s="23" t="s">
        <v>30</v>
      </c>
      <c r="AR2255" t="s">
        <v>26</v>
      </c>
      <c r="AS2255" s="25">
        <v>5508139</v>
      </c>
      <c r="AT2255" t="s">
        <v>26</v>
      </c>
      <c r="AU2255" t="s">
        <v>25179</v>
      </c>
    </row>
    <row r="2256" spans="1:47" ht="13.15" x14ac:dyDescent="0.4">
      <c r="A2256" s="23" t="s">
        <v>5884</v>
      </c>
      <c r="B2256" t="s">
        <v>26</v>
      </c>
      <c r="C2256" s="23" t="s">
        <v>5879</v>
      </c>
      <c r="D2256" s="23" t="s">
        <v>22832</v>
      </c>
      <c r="E2256" s="23" t="s">
        <v>42</v>
      </c>
      <c r="F2256" t="s">
        <v>26</v>
      </c>
      <c r="G2256" t="s">
        <v>26</v>
      </c>
      <c r="H2256" t="s">
        <v>26</v>
      </c>
      <c r="I2256" s="24">
        <v>44927</v>
      </c>
      <c r="J2256" s="25" t="s">
        <v>77</v>
      </c>
      <c r="K2256" t="s">
        <v>26</v>
      </c>
      <c r="L2256" s="25" t="s">
        <v>28</v>
      </c>
      <c r="M2256" s="24">
        <v>44927</v>
      </c>
      <c r="N2256" s="25" t="s">
        <v>77</v>
      </c>
      <c r="O2256" t="s">
        <v>26</v>
      </c>
      <c r="P2256" t="s">
        <v>26</v>
      </c>
      <c r="Q2256" t="s">
        <v>26</v>
      </c>
      <c r="R2256" t="s">
        <v>26</v>
      </c>
      <c r="S2256" t="s">
        <v>26</v>
      </c>
      <c r="T2256" t="s">
        <v>26</v>
      </c>
      <c r="U2256" t="s">
        <v>26</v>
      </c>
      <c r="V2256" t="s">
        <v>26</v>
      </c>
      <c r="W2256" s="24">
        <v>44927</v>
      </c>
      <c r="X2256" s="25" t="s">
        <v>77</v>
      </c>
      <c r="Y2256" t="s">
        <v>26</v>
      </c>
      <c r="Z2256" s="24">
        <v>44927</v>
      </c>
      <c r="AA2256" s="25" t="s">
        <v>77</v>
      </c>
      <c r="AB2256" t="s">
        <v>26</v>
      </c>
      <c r="AC2256" s="24">
        <v>44927</v>
      </c>
      <c r="AD2256" s="25" t="s">
        <v>77</v>
      </c>
      <c r="AE2256" t="s">
        <v>26</v>
      </c>
      <c r="AF2256" t="s">
        <v>26</v>
      </c>
      <c r="AG2256" t="s">
        <v>26</v>
      </c>
      <c r="AH2256" t="s">
        <v>26</v>
      </c>
      <c r="AI2256" t="s">
        <v>26</v>
      </c>
      <c r="AJ2256" t="s">
        <v>26</v>
      </c>
      <c r="AK2256" t="s">
        <v>26</v>
      </c>
      <c r="AL2256" t="s">
        <v>26</v>
      </c>
      <c r="AM2256" t="s">
        <v>26</v>
      </c>
      <c r="AN2256" t="s">
        <v>26</v>
      </c>
      <c r="AO2256" s="25" t="s">
        <v>28</v>
      </c>
      <c r="AP2256" s="23" t="s">
        <v>25174</v>
      </c>
      <c r="AQ2256" s="23" t="s">
        <v>30</v>
      </c>
      <c r="AR2256" t="s">
        <v>26</v>
      </c>
      <c r="AS2256" s="25">
        <v>6270739</v>
      </c>
      <c r="AT2256" t="s">
        <v>26</v>
      </c>
      <c r="AU2256" t="s">
        <v>25180</v>
      </c>
    </row>
    <row r="2257" spans="1:47" ht="13.15" x14ac:dyDescent="0.4">
      <c r="A2257" s="23" t="s">
        <v>5885</v>
      </c>
      <c r="B2257" t="s">
        <v>26</v>
      </c>
      <c r="C2257" s="23" t="s">
        <v>5879</v>
      </c>
      <c r="D2257" t="s">
        <v>26</v>
      </c>
      <c r="E2257" s="23" t="s">
        <v>42</v>
      </c>
      <c r="F2257" t="s">
        <v>26</v>
      </c>
      <c r="G2257" t="s">
        <v>26</v>
      </c>
      <c r="H2257" t="s">
        <v>26</v>
      </c>
      <c r="I2257" s="24">
        <v>44927</v>
      </c>
      <c r="J2257" s="25" t="s">
        <v>77</v>
      </c>
      <c r="K2257" t="s">
        <v>26</v>
      </c>
      <c r="L2257" s="25" t="s">
        <v>28</v>
      </c>
      <c r="M2257" s="24">
        <v>44927</v>
      </c>
      <c r="N2257" s="25" t="s">
        <v>77</v>
      </c>
      <c r="O2257" t="s">
        <v>26</v>
      </c>
      <c r="P2257" t="s">
        <v>26</v>
      </c>
      <c r="Q2257" t="s">
        <v>26</v>
      </c>
      <c r="R2257" t="s">
        <v>26</v>
      </c>
      <c r="S2257" t="s">
        <v>26</v>
      </c>
      <c r="T2257" t="s">
        <v>26</v>
      </c>
      <c r="U2257" t="s">
        <v>26</v>
      </c>
      <c r="V2257" t="s">
        <v>26</v>
      </c>
      <c r="W2257" s="24">
        <v>44927</v>
      </c>
      <c r="X2257" s="25" t="s">
        <v>77</v>
      </c>
      <c r="Y2257" t="s">
        <v>26</v>
      </c>
      <c r="Z2257" s="24">
        <v>44927</v>
      </c>
      <c r="AA2257" s="25" t="s">
        <v>77</v>
      </c>
      <c r="AB2257" t="s">
        <v>26</v>
      </c>
      <c r="AC2257" s="24">
        <v>44927</v>
      </c>
      <c r="AD2257" s="25" t="s">
        <v>77</v>
      </c>
      <c r="AE2257" t="s">
        <v>26</v>
      </c>
      <c r="AF2257" t="s">
        <v>26</v>
      </c>
      <c r="AG2257" t="s">
        <v>26</v>
      </c>
      <c r="AH2257" t="s">
        <v>26</v>
      </c>
      <c r="AI2257" t="s">
        <v>26</v>
      </c>
      <c r="AJ2257" t="s">
        <v>26</v>
      </c>
      <c r="AK2257" t="s">
        <v>26</v>
      </c>
      <c r="AL2257" t="s">
        <v>26</v>
      </c>
      <c r="AM2257" t="s">
        <v>26</v>
      </c>
      <c r="AN2257" t="s">
        <v>26</v>
      </c>
      <c r="AO2257" s="25" t="s">
        <v>28</v>
      </c>
      <c r="AP2257" s="23" t="s">
        <v>25174</v>
      </c>
      <c r="AQ2257" s="23" t="s">
        <v>30</v>
      </c>
      <c r="AR2257" t="s">
        <v>26</v>
      </c>
      <c r="AS2257" s="25">
        <v>5508138</v>
      </c>
      <c r="AT2257" t="s">
        <v>26</v>
      </c>
      <c r="AU2257" t="s">
        <v>25181</v>
      </c>
    </row>
    <row r="2258" spans="1:47" ht="26.25" x14ac:dyDescent="0.4">
      <c r="A2258" s="23" t="s">
        <v>5886</v>
      </c>
      <c r="B2258" t="s">
        <v>26</v>
      </c>
      <c r="C2258" s="23" t="s">
        <v>181</v>
      </c>
      <c r="D2258" s="23" t="s">
        <v>22307</v>
      </c>
      <c r="E2258" s="23" t="s">
        <v>60</v>
      </c>
      <c r="F2258" s="25" t="s">
        <v>5887</v>
      </c>
      <c r="G2258" s="25" t="s">
        <v>5888</v>
      </c>
      <c r="H2258" t="s">
        <v>26</v>
      </c>
      <c r="I2258" s="24">
        <v>35431</v>
      </c>
      <c r="J2258" s="24">
        <v>36892</v>
      </c>
      <c r="K2258" t="s">
        <v>26</v>
      </c>
      <c r="L2258" s="25" t="s">
        <v>68</v>
      </c>
      <c r="M2258" s="24">
        <v>35431</v>
      </c>
      <c r="N2258" s="24">
        <v>36892</v>
      </c>
      <c r="O2258" t="s">
        <v>26</v>
      </c>
      <c r="P2258" s="24">
        <v>35431</v>
      </c>
      <c r="Q2258" s="24">
        <v>36892</v>
      </c>
      <c r="R2258" t="s">
        <v>26</v>
      </c>
      <c r="S2258" t="s">
        <v>26</v>
      </c>
      <c r="T2258" t="s">
        <v>26</v>
      </c>
      <c r="U2258" t="s">
        <v>26</v>
      </c>
      <c r="V2258" t="s">
        <v>26</v>
      </c>
      <c r="W2258" s="24">
        <v>35431</v>
      </c>
      <c r="X2258" s="24">
        <v>36892</v>
      </c>
      <c r="Y2258" t="s">
        <v>26</v>
      </c>
      <c r="Z2258" s="24">
        <v>35431</v>
      </c>
      <c r="AA2258" s="24">
        <v>36892</v>
      </c>
      <c r="AB2258" t="s">
        <v>26</v>
      </c>
      <c r="AC2258" t="s">
        <v>26</v>
      </c>
      <c r="AD2258" t="s">
        <v>26</v>
      </c>
      <c r="AE2258" t="s">
        <v>26</v>
      </c>
      <c r="AF2258" t="s">
        <v>26</v>
      </c>
      <c r="AG2258" t="s">
        <v>26</v>
      </c>
      <c r="AH2258" t="s">
        <v>26</v>
      </c>
      <c r="AI2258" t="s">
        <v>26</v>
      </c>
      <c r="AJ2258" t="s">
        <v>26</v>
      </c>
      <c r="AK2258" t="s">
        <v>26</v>
      </c>
      <c r="AL2258" t="s">
        <v>26</v>
      </c>
      <c r="AM2258" t="s">
        <v>26</v>
      </c>
      <c r="AN2258" t="s">
        <v>26</v>
      </c>
      <c r="AO2258" s="25" t="s">
        <v>68</v>
      </c>
      <c r="AP2258" s="23" t="s">
        <v>69</v>
      </c>
      <c r="AQ2258" s="23" t="s">
        <v>30</v>
      </c>
      <c r="AR2258" s="23" t="s">
        <v>257</v>
      </c>
      <c r="AS2258" s="25">
        <v>47901</v>
      </c>
      <c r="AT2258" t="s">
        <v>26</v>
      </c>
      <c r="AU2258" t="s">
        <v>25182</v>
      </c>
    </row>
    <row r="2259" spans="1:47" ht="39.4" x14ac:dyDescent="0.4">
      <c r="A2259" s="23" t="s">
        <v>5889</v>
      </c>
      <c r="B2259" t="s">
        <v>26</v>
      </c>
      <c r="C2259" s="23" t="s">
        <v>5890</v>
      </c>
      <c r="D2259" s="23" t="s">
        <v>25183</v>
      </c>
      <c r="E2259" s="23" t="s">
        <v>42</v>
      </c>
      <c r="F2259" t="s">
        <v>26</v>
      </c>
      <c r="G2259" s="25" t="s">
        <v>5891</v>
      </c>
      <c r="H2259" t="s">
        <v>26</v>
      </c>
      <c r="I2259" s="24">
        <v>40544</v>
      </c>
      <c r="J2259" s="25" t="s">
        <v>77</v>
      </c>
      <c r="K2259" t="s">
        <v>26</v>
      </c>
      <c r="L2259" s="25" t="s">
        <v>68</v>
      </c>
      <c r="M2259" s="24">
        <v>40544</v>
      </c>
      <c r="N2259" s="25" t="s">
        <v>77</v>
      </c>
      <c r="O2259" t="s">
        <v>26</v>
      </c>
      <c r="P2259" s="24">
        <v>40544</v>
      </c>
      <c r="Q2259" s="25" t="s">
        <v>77</v>
      </c>
      <c r="R2259" t="s">
        <v>26</v>
      </c>
      <c r="S2259" t="s">
        <v>26</v>
      </c>
      <c r="T2259" t="s">
        <v>26</v>
      </c>
      <c r="U2259" t="s">
        <v>26</v>
      </c>
      <c r="V2259" t="s">
        <v>26</v>
      </c>
      <c r="W2259" s="24">
        <v>40544</v>
      </c>
      <c r="X2259" s="25" t="s">
        <v>77</v>
      </c>
      <c r="Y2259" t="s">
        <v>26</v>
      </c>
      <c r="Z2259" s="24">
        <v>40544</v>
      </c>
      <c r="AA2259" s="25" t="s">
        <v>77</v>
      </c>
      <c r="AB2259" t="s">
        <v>26</v>
      </c>
      <c r="AC2259" s="24">
        <v>40544</v>
      </c>
      <c r="AD2259" s="25" t="s">
        <v>77</v>
      </c>
      <c r="AE2259" t="s">
        <v>26</v>
      </c>
      <c r="AF2259" t="s">
        <v>26</v>
      </c>
      <c r="AG2259" t="s">
        <v>26</v>
      </c>
      <c r="AH2259" t="s">
        <v>26</v>
      </c>
      <c r="AI2259" t="s">
        <v>26</v>
      </c>
      <c r="AJ2259" t="s">
        <v>26</v>
      </c>
      <c r="AK2259" t="s">
        <v>26</v>
      </c>
      <c r="AL2259" t="s">
        <v>26</v>
      </c>
      <c r="AM2259" t="s">
        <v>26</v>
      </c>
      <c r="AN2259" t="s">
        <v>26</v>
      </c>
      <c r="AO2259" s="25" t="s">
        <v>68</v>
      </c>
      <c r="AP2259" s="23" t="s">
        <v>69</v>
      </c>
      <c r="AQ2259" s="23" t="s">
        <v>226</v>
      </c>
      <c r="AR2259" s="23" t="s">
        <v>46</v>
      </c>
      <c r="AS2259" s="25">
        <v>2029674</v>
      </c>
      <c r="AT2259" t="s">
        <v>26</v>
      </c>
      <c r="AU2259" t="s">
        <v>25184</v>
      </c>
    </row>
    <row r="2260" spans="1:47" ht="26.25" x14ac:dyDescent="0.4">
      <c r="A2260" s="23" t="s">
        <v>5892</v>
      </c>
      <c r="B2260" t="s">
        <v>26</v>
      </c>
      <c r="C2260" s="23" t="s">
        <v>465</v>
      </c>
      <c r="D2260" s="23" t="s">
        <v>22254</v>
      </c>
      <c r="E2260" s="23" t="s">
        <v>42</v>
      </c>
      <c r="F2260" s="25" t="s">
        <v>5893</v>
      </c>
      <c r="G2260" s="25" t="s">
        <v>5894</v>
      </c>
      <c r="H2260" t="s">
        <v>26</v>
      </c>
      <c r="I2260" t="s">
        <v>26</v>
      </c>
      <c r="J2260" t="s">
        <v>26</v>
      </c>
      <c r="K2260" t="s">
        <v>26</v>
      </c>
      <c r="L2260" s="25" t="s">
        <v>68</v>
      </c>
      <c r="M2260" t="s">
        <v>26</v>
      </c>
      <c r="N2260" t="s">
        <v>26</v>
      </c>
      <c r="O2260" t="s">
        <v>26</v>
      </c>
      <c r="P2260" t="s">
        <v>26</v>
      </c>
      <c r="Q2260" t="s">
        <v>26</v>
      </c>
      <c r="R2260" t="s">
        <v>26</v>
      </c>
      <c r="S2260" t="s">
        <v>26</v>
      </c>
      <c r="T2260" t="s">
        <v>26</v>
      </c>
      <c r="U2260" t="s">
        <v>26</v>
      </c>
      <c r="V2260" t="s">
        <v>26</v>
      </c>
      <c r="W2260" s="24">
        <v>34731</v>
      </c>
      <c r="X2260" s="25" t="s">
        <v>77</v>
      </c>
      <c r="Y2260" t="s">
        <v>26</v>
      </c>
      <c r="Z2260" s="24">
        <v>34731</v>
      </c>
      <c r="AA2260" s="25" t="s">
        <v>77</v>
      </c>
      <c r="AB2260" t="s">
        <v>26</v>
      </c>
      <c r="AC2260" s="24">
        <v>34731</v>
      </c>
      <c r="AD2260" s="25" t="s">
        <v>77</v>
      </c>
      <c r="AE2260" t="s">
        <v>26</v>
      </c>
      <c r="AF2260" t="s">
        <v>26</v>
      </c>
      <c r="AG2260" t="s">
        <v>26</v>
      </c>
      <c r="AH2260" t="s">
        <v>26</v>
      </c>
      <c r="AI2260" t="s">
        <v>26</v>
      </c>
      <c r="AJ2260" t="s">
        <v>26</v>
      </c>
      <c r="AK2260" t="s">
        <v>26</v>
      </c>
      <c r="AL2260" t="s">
        <v>26</v>
      </c>
      <c r="AM2260" t="s">
        <v>26</v>
      </c>
      <c r="AN2260" t="s">
        <v>26</v>
      </c>
      <c r="AO2260" s="25" t="s">
        <v>68</v>
      </c>
      <c r="AP2260" s="23" t="s">
        <v>69</v>
      </c>
      <c r="AQ2260" s="23" t="s">
        <v>30</v>
      </c>
      <c r="AR2260" s="23" t="s">
        <v>46</v>
      </c>
      <c r="AS2260" s="25">
        <v>2270</v>
      </c>
      <c r="AT2260" t="s">
        <v>26</v>
      </c>
      <c r="AU2260" t="s">
        <v>25185</v>
      </c>
    </row>
    <row r="2261" spans="1:47" ht="26.25" x14ac:dyDescent="0.4">
      <c r="A2261" s="23" t="s">
        <v>5895</v>
      </c>
      <c r="B2261" t="s">
        <v>26</v>
      </c>
      <c r="C2261" s="23" t="s">
        <v>107</v>
      </c>
      <c r="D2261" s="23" t="s">
        <v>22256</v>
      </c>
      <c r="E2261" s="23" t="s">
        <v>42</v>
      </c>
      <c r="F2261" s="25" t="s">
        <v>5896</v>
      </c>
      <c r="G2261" s="25" t="s">
        <v>5897</v>
      </c>
      <c r="H2261" t="s">
        <v>26</v>
      </c>
      <c r="I2261" s="24">
        <v>35765</v>
      </c>
      <c r="J2261" s="24">
        <v>43525</v>
      </c>
      <c r="K2261" t="s">
        <v>26</v>
      </c>
      <c r="L2261" s="25" t="s">
        <v>68</v>
      </c>
      <c r="M2261" s="24">
        <v>35765</v>
      </c>
      <c r="N2261" s="24">
        <v>43525</v>
      </c>
      <c r="O2261" t="s">
        <v>26</v>
      </c>
      <c r="P2261" s="24">
        <v>35765</v>
      </c>
      <c r="Q2261" s="24">
        <v>43525</v>
      </c>
      <c r="R2261" t="s">
        <v>26</v>
      </c>
      <c r="S2261" t="s">
        <v>26</v>
      </c>
      <c r="T2261" t="s">
        <v>26</v>
      </c>
      <c r="U2261" t="s">
        <v>26</v>
      </c>
      <c r="V2261" t="s">
        <v>26</v>
      </c>
      <c r="W2261" s="24">
        <v>35765</v>
      </c>
      <c r="X2261" s="25" t="s">
        <v>77</v>
      </c>
      <c r="Y2261" t="s">
        <v>26</v>
      </c>
      <c r="Z2261" s="24">
        <v>35765</v>
      </c>
      <c r="AA2261" s="25" t="s">
        <v>77</v>
      </c>
      <c r="AB2261" t="s">
        <v>26</v>
      </c>
      <c r="AC2261" s="24">
        <v>38018</v>
      </c>
      <c r="AD2261" s="25" t="s">
        <v>77</v>
      </c>
      <c r="AE2261" t="s">
        <v>26</v>
      </c>
      <c r="AF2261" t="s">
        <v>26</v>
      </c>
      <c r="AG2261" t="s">
        <v>26</v>
      </c>
      <c r="AH2261" t="s">
        <v>26</v>
      </c>
      <c r="AI2261" t="s">
        <v>26</v>
      </c>
      <c r="AJ2261" t="s">
        <v>26</v>
      </c>
      <c r="AK2261" t="s">
        <v>26</v>
      </c>
      <c r="AL2261" t="s">
        <v>26</v>
      </c>
      <c r="AM2261" t="s">
        <v>26</v>
      </c>
      <c r="AN2261" t="s">
        <v>26</v>
      </c>
      <c r="AO2261" s="25" t="s">
        <v>68</v>
      </c>
      <c r="AP2261" s="23" t="s">
        <v>69</v>
      </c>
      <c r="AQ2261" s="23" t="s">
        <v>30</v>
      </c>
      <c r="AR2261" s="23" t="s">
        <v>2139</v>
      </c>
      <c r="AS2261" s="25">
        <v>11185</v>
      </c>
      <c r="AT2261" t="s">
        <v>26</v>
      </c>
      <c r="AU2261" t="s">
        <v>25186</v>
      </c>
    </row>
    <row r="2262" spans="1:47" ht="26.25" x14ac:dyDescent="0.4">
      <c r="A2262" s="23" t="s">
        <v>5898</v>
      </c>
      <c r="B2262" t="s">
        <v>26</v>
      </c>
      <c r="C2262" s="23" t="s">
        <v>25187</v>
      </c>
      <c r="D2262" s="23" t="s">
        <v>25188</v>
      </c>
      <c r="E2262" s="23" t="s">
        <v>42</v>
      </c>
      <c r="F2262" t="s">
        <v>26</v>
      </c>
      <c r="G2262" t="s">
        <v>26</v>
      </c>
      <c r="H2262" t="s">
        <v>26</v>
      </c>
      <c r="I2262" s="24">
        <v>40909</v>
      </c>
      <c r="J2262" s="24">
        <v>41640</v>
      </c>
      <c r="K2262" t="s">
        <v>26</v>
      </c>
      <c r="L2262" s="25" t="s">
        <v>28</v>
      </c>
      <c r="M2262" s="24">
        <v>40909</v>
      </c>
      <c r="N2262" s="24">
        <v>41640</v>
      </c>
      <c r="O2262" t="s">
        <v>26</v>
      </c>
      <c r="P2262" t="s">
        <v>26</v>
      </c>
      <c r="Q2262" t="s">
        <v>26</v>
      </c>
      <c r="R2262" t="s">
        <v>26</v>
      </c>
      <c r="S2262" s="24">
        <v>40909</v>
      </c>
      <c r="T2262" s="24">
        <v>41640</v>
      </c>
      <c r="U2262" t="s">
        <v>26</v>
      </c>
      <c r="V2262" t="s">
        <v>26</v>
      </c>
      <c r="W2262" s="24">
        <v>40909</v>
      </c>
      <c r="X2262" s="24">
        <v>41640</v>
      </c>
      <c r="Y2262" t="s">
        <v>26</v>
      </c>
      <c r="Z2262" s="24">
        <v>40909</v>
      </c>
      <c r="AA2262" s="24">
        <v>41640</v>
      </c>
      <c r="AB2262" t="s">
        <v>26</v>
      </c>
      <c r="AC2262" s="24">
        <v>40909</v>
      </c>
      <c r="AD2262" s="24">
        <v>41640</v>
      </c>
      <c r="AE2262" t="s">
        <v>26</v>
      </c>
      <c r="AF2262" s="24">
        <v>40909</v>
      </c>
      <c r="AG2262" s="24">
        <v>41640</v>
      </c>
      <c r="AH2262" t="s">
        <v>26</v>
      </c>
      <c r="AI2262" s="24">
        <v>40909</v>
      </c>
      <c r="AJ2262" s="24">
        <v>41640</v>
      </c>
      <c r="AK2262" t="s">
        <v>26</v>
      </c>
      <c r="AL2262" t="s">
        <v>26</v>
      </c>
      <c r="AM2262" t="s">
        <v>26</v>
      </c>
      <c r="AN2262" t="s">
        <v>26</v>
      </c>
      <c r="AO2262" s="25" t="s">
        <v>28</v>
      </c>
      <c r="AP2262" s="23" t="s">
        <v>43</v>
      </c>
      <c r="AQ2262" s="23" t="s">
        <v>30</v>
      </c>
      <c r="AR2262" s="23" t="s">
        <v>46</v>
      </c>
      <c r="AS2262" s="25">
        <v>6364612</v>
      </c>
      <c r="AT2262" t="s">
        <v>26</v>
      </c>
      <c r="AU2262" t="s">
        <v>25189</v>
      </c>
    </row>
    <row r="2263" spans="1:47" ht="39.4" x14ac:dyDescent="0.4">
      <c r="A2263" s="23" t="s">
        <v>5899</v>
      </c>
      <c r="B2263" t="s">
        <v>26</v>
      </c>
      <c r="C2263" s="23" t="s">
        <v>181</v>
      </c>
      <c r="D2263" s="23" t="s">
        <v>22174</v>
      </c>
      <c r="E2263" s="23" t="s">
        <v>60</v>
      </c>
      <c r="F2263" s="25" t="s">
        <v>5900</v>
      </c>
      <c r="G2263" s="25" t="s">
        <v>5901</v>
      </c>
      <c r="H2263" t="s">
        <v>26</v>
      </c>
      <c r="I2263" s="24">
        <v>36892</v>
      </c>
      <c r="J2263" s="24">
        <v>42278</v>
      </c>
      <c r="K2263" t="s">
        <v>26</v>
      </c>
      <c r="L2263" s="25" t="s">
        <v>68</v>
      </c>
      <c r="M2263" t="s">
        <v>26</v>
      </c>
      <c r="N2263" t="s">
        <v>26</v>
      </c>
      <c r="O2263" t="s">
        <v>26</v>
      </c>
      <c r="P2263" s="24">
        <v>36892</v>
      </c>
      <c r="Q2263" s="24">
        <v>42278</v>
      </c>
      <c r="R2263" t="s">
        <v>26</v>
      </c>
      <c r="S2263" t="s">
        <v>26</v>
      </c>
      <c r="T2263" t="s">
        <v>26</v>
      </c>
      <c r="U2263" t="s">
        <v>26</v>
      </c>
      <c r="V2263" t="s">
        <v>26</v>
      </c>
      <c r="W2263" s="24">
        <v>36892</v>
      </c>
      <c r="X2263" s="24">
        <v>42278</v>
      </c>
      <c r="Y2263" t="s">
        <v>26</v>
      </c>
      <c r="Z2263" s="24">
        <v>36892</v>
      </c>
      <c r="AA2263" s="24">
        <v>42278</v>
      </c>
      <c r="AB2263" t="s">
        <v>26</v>
      </c>
      <c r="AC2263" s="24">
        <v>36892</v>
      </c>
      <c r="AD2263" s="24">
        <v>42278</v>
      </c>
      <c r="AE2263" t="s">
        <v>26</v>
      </c>
      <c r="AF2263" t="s">
        <v>26</v>
      </c>
      <c r="AG2263" t="s">
        <v>26</v>
      </c>
      <c r="AH2263" t="s">
        <v>26</v>
      </c>
      <c r="AI2263" t="s">
        <v>26</v>
      </c>
      <c r="AJ2263" t="s">
        <v>26</v>
      </c>
      <c r="AK2263" t="s">
        <v>26</v>
      </c>
      <c r="AL2263" t="s">
        <v>26</v>
      </c>
      <c r="AM2263" t="s">
        <v>26</v>
      </c>
      <c r="AN2263" t="s">
        <v>26</v>
      </c>
      <c r="AO2263" s="25" t="s">
        <v>68</v>
      </c>
      <c r="AP2263" s="23" t="s">
        <v>69</v>
      </c>
      <c r="AQ2263" s="23" t="s">
        <v>30</v>
      </c>
      <c r="AR2263" s="23" t="s">
        <v>5902</v>
      </c>
      <c r="AS2263" s="25">
        <v>38447</v>
      </c>
      <c r="AT2263" t="s">
        <v>26</v>
      </c>
      <c r="AU2263" t="s">
        <v>25190</v>
      </c>
    </row>
    <row r="2264" spans="1:47" ht="26.25" x14ac:dyDescent="0.4">
      <c r="A2264" s="23" t="s">
        <v>5903</v>
      </c>
      <c r="B2264" t="s">
        <v>26</v>
      </c>
      <c r="C2264" s="23" t="s">
        <v>320</v>
      </c>
      <c r="D2264" s="23" t="s">
        <v>22599</v>
      </c>
      <c r="E2264" s="23" t="s">
        <v>42</v>
      </c>
      <c r="F2264" s="25" t="s">
        <v>5904</v>
      </c>
      <c r="G2264" s="25" t="s">
        <v>5905</v>
      </c>
      <c r="H2264" t="s">
        <v>26</v>
      </c>
      <c r="I2264" t="s">
        <v>26</v>
      </c>
      <c r="J2264" t="s">
        <v>26</v>
      </c>
      <c r="K2264" t="s">
        <v>26</v>
      </c>
      <c r="L2264" s="25" t="s">
        <v>68</v>
      </c>
      <c r="M2264" t="s">
        <v>26</v>
      </c>
      <c r="N2264" t="s">
        <v>26</v>
      </c>
      <c r="O2264" t="s">
        <v>26</v>
      </c>
      <c r="P2264" t="s">
        <v>26</v>
      </c>
      <c r="Q2264" t="s">
        <v>26</v>
      </c>
      <c r="R2264" t="s">
        <v>26</v>
      </c>
      <c r="S2264" t="s">
        <v>26</v>
      </c>
      <c r="T2264" t="s">
        <v>26</v>
      </c>
      <c r="U2264" t="s">
        <v>26</v>
      </c>
      <c r="V2264" t="s">
        <v>26</v>
      </c>
      <c r="W2264" s="24">
        <v>41214</v>
      </c>
      <c r="X2264" s="25" t="s">
        <v>77</v>
      </c>
      <c r="Y2264" t="s">
        <v>26</v>
      </c>
      <c r="Z2264" s="24">
        <v>41214</v>
      </c>
      <c r="AA2264" s="25" t="s">
        <v>77</v>
      </c>
      <c r="AB2264" t="s">
        <v>26</v>
      </c>
      <c r="AC2264" s="24">
        <v>41214</v>
      </c>
      <c r="AD2264" s="25" t="s">
        <v>77</v>
      </c>
      <c r="AE2264" t="s">
        <v>26</v>
      </c>
      <c r="AF2264" t="s">
        <v>26</v>
      </c>
      <c r="AG2264" t="s">
        <v>26</v>
      </c>
      <c r="AH2264" t="s">
        <v>26</v>
      </c>
      <c r="AI2264" t="s">
        <v>26</v>
      </c>
      <c r="AJ2264" t="s">
        <v>26</v>
      </c>
      <c r="AK2264" t="s">
        <v>26</v>
      </c>
      <c r="AL2264" t="s">
        <v>26</v>
      </c>
      <c r="AM2264" t="s">
        <v>26</v>
      </c>
      <c r="AN2264" t="s">
        <v>26</v>
      </c>
      <c r="AO2264" s="25" t="s">
        <v>68</v>
      </c>
      <c r="AP2264" s="23" t="s">
        <v>69</v>
      </c>
      <c r="AQ2264" s="23" t="s">
        <v>30</v>
      </c>
      <c r="AR2264" s="23" t="s">
        <v>70</v>
      </c>
      <c r="AS2264" s="25">
        <v>1016446</v>
      </c>
      <c r="AT2264" t="s">
        <v>26</v>
      </c>
      <c r="AU2264" t="s">
        <v>25191</v>
      </c>
    </row>
    <row r="2265" spans="1:47" ht="26.25" x14ac:dyDescent="0.4">
      <c r="A2265" s="23" t="s">
        <v>5906</v>
      </c>
      <c r="B2265" t="s">
        <v>26</v>
      </c>
      <c r="C2265" s="23" t="s">
        <v>167</v>
      </c>
      <c r="D2265" s="23" t="s">
        <v>22218</v>
      </c>
      <c r="E2265" s="23" t="s">
        <v>60</v>
      </c>
      <c r="F2265" s="25" t="s">
        <v>5907</v>
      </c>
      <c r="G2265" s="25" t="s">
        <v>5908</v>
      </c>
      <c r="H2265" t="s">
        <v>26</v>
      </c>
      <c r="I2265" s="24">
        <v>39448</v>
      </c>
      <c r="J2265" s="24">
        <v>39448</v>
      </c>
      <c r="K2265" t="s">
        <v>26</v>
      </c>
      <c r="L2265" s="25" t="s">
        <v>68</v>
      </c>
      <c r="M2265" s="24">
        <v>39448</v>
      </c>
      <c r="N2265" s="24">
        <v>39448</v>
      </c>
      <c r="O2265" t="s">
        <v>26</v>
      </c>
      <c r="P2265" s="24">
        <v>39448</v>
      </c>
      <c r="Q2265" s="24">
        <v>39448</v>
      </c>
      <c r="R2265" t="s">
        <v>26</v>
      </c>
      <c r="S2265" t="s">
        <v>26</v>
      </c>
      <c r="T2265" t="s">
        <v>26</v>
      </c>
      <c r="U2265" t="s">
        <v>26</v>
      </c>
      <c r="V2265" t="s">
        <v>26</v>
      </c>
      <c r="W2265" s="24">
        <v>39448</v>
      </c>
      <c r="X2265" s="24">
        <v>39448</v>
      </c>
      <c r="Y2265" t="s">
        <v>26</v>
      </c>
      <c r="Z2265" s="24">
        <v>39448</v>
      </c>
      <c r="AA2265" s="24">
        <v>39448</v>
      </c>
      <c r="AB2265" t="s">
        <v>26</v>
      </c>
      <c r="AC2265" s="24">
        <v>39448</v>
      </c>
      <c r="AD2265" s="24">
        <v>39448</v>
      </c>
      <c r="AE2265" t="s">
        <v>26</v>
      </c>
      <c r="AF2265" t="s">
        <v>26</v>
      </c>
      <c r="AG2265" t="s">
        <v>26</v>
      </c>
      <c r="AH2265" t="s">
        <v>26</v>
      </c>
      <c r="AI2265" t="s">
        <v>26</v>
      </c>
      <c r="AJ2265" t="s">
        <v>26</v>
      </c>
      <c r="AK2265" t="s">
        <v>26</v>
      </c>
      <c r="AL2265" t="s">
        <v>26</v>
      </c>
      <c r="AM2265" t="s">
        <v>26</v>
      </c>
      <c r="AN2265" t="s">
        <v>26</v>
      </c>
      <c r="AO2265" s="25" t="s">
        <v>68</v>
      </c>
      <c r="AP2265" s="23" t="s">
        <v>69</v>
      </c>
      <c r="AQ2265" s="23" t="s">
        <v>30</v>
      </c>
      <c r="AR2265" s="23" t="s">
        <v>1261</v>
      </c>
      <c r="AS2265" s="25">
        <v>39248</v>
      </c>
      <c r="AT2265" t="s">
        <v>26</v>
      </c>
      <c r="AU2265" t="s">
        <v>25192</v>
      </c>
    </row>
    <row r="2266" spans="1:47" ht="26.25" x14ac:dyDescent="0.4">
      <c r="A2266" s="23" t="s">
        <v>5909</v>
      </c>
      <c r="B2266" t="s">
        <v>26</v>
      </c>
      <c r="C2266" s="23" t="s">
        <v>242</v>
      </c>
      <c r="D2266" s="23" t="s">
        <v>22179</v>
      </c>
      <c r="E2266" s="23" t="s">
        <v>42</v>
      </c>
      <c r="F2266" s="25" t="s">
        <v>5910</v>
      </c>
      <c r="G2266" s="25" t="s">
        <v>5911</v>
      </c>
      <c r="H2266" t="s">
        <v>26</v>
      </c>
      <c r="I2266" s="24">
        <v>37622</v>
      </c>
      <c r="J2266" s="24">
        <v>37987</v>
      </c>
      <c r="K2266" t="s">
        <v>26</v>
      </c>
      <c r="L2266" s="25" t="s">
        <v>68</v>
      </c>
      <c r="M2266" s="24">
        <v>37622</v>
      </c>
      <c r="N2266" s="24">
        <v>37987</v>
      </c>
      <c r="O2266" t="s">
        <v>26</v>
      </c>
      <c r="P2266" s="24">
        <v>37622</v>
      </c>
      <c r="Q2266" s="24">
        <v>37987</v>
      </c>
      <c r="R2266" t="s">
        <v>26</v>
      </c>
      <c r="S2266" t="s">
        <v>26</v>
      </c>
      <c r="T2266" t="s">
        <v>26</v>
      </c>
      <c r="U2266" t="s">
        <v>26</v>
      </c>
      <c r="V2266" t="s">
        <v>26</v>
      </c>
      <c r="W2266" s="24">
        <v>37622</v>
      </c>
      <c r="X2266" s="24">
        <v>37987</v>
      </c>
      <c r="Y2266" t="s">
        <v>26</v>
      </c>
      <c r="Z2266" s="24">
        <v>37622</v>
      </c>
      <c r="AA2266" s="24">
        <v>37987</v>
      </c>
      <c r="AB2266" t="s">
        <v>26</v>
      </c>
      <c r="AC2266" s="24">
        <v>37622</v>
      </c>
      <c r="AD2266" s="24">
        <v>37987</v>
      </c>
      <c r="AE2266" t="s">
        <v>26</v>
      </c>
      <c r="AF2266" t="s">
        <v>26</v>
      </c>
      <c r="AG2266" t="s">
        <v>26</v>
      </c>
      <c r="AH2266" t="s">
        <v>26</v>
      </c>
      <c r="AI2266" t="s">
        <v>26</v>
      </c>
      <c r="AJ2266" t="s">
        <v>26</v>
      </c>
      <c r="AK2266" t="s">
        <v>26</v>
      </c>
      <c r="AL2266" t="s">
        <v>26</v>
      </c>
      <c r="AM2266" t="s">
        <v>26</v>
      </c>
      <c r="AN2266" t="s">
        <v>26</v>
      </c>
      <c r="AO2266" s="25" t="s">
        <v>68</v>
      </c>
      <c r="AP2266" s="23" t="s">
        <v>69</v>
      </c>
      <c r="AQ2266" s="23" t="s">
        <v>30</v>
      </c>
      <c r="AR2266" s="23" t="s">
        <v>71</v>
      </c>
      <c r="AS2266" s="25">
        <v>29583</v>
      </c>
      <c r="AT2266" t="s">
        <v>26</v>
      </c>
      <c r="AU2266" t="s">
        <v>25193</v>
      </c>
    </row>
    <row r="2267" spans="1:47" ht="26.25" x14ac:dyDescent="0.4">
      <c r="A2267" s="23" t="s">
        <v>5912</v>
      </c>
      <c r="B2267" t="s">
        <v>26</v>
      </c>
      <c r="C2267" s="23" t="s">
        <v>23745</v>
      </c>
      <c r="D2267" s="23" t="s">
        <v>25194</v>
      </c>
      <c r="E2267" s="23" t="s">
        <v>42</v>
      </c>
      <c r="F2267" t="s">
        <v>26</v>
      </c>
      <c r="G2267" t="s">
        <v>26</v>
      </c>
      <c r="H2267" t="s">
        <v>26</v>
      </c>
      <c r="I2267" s="24">
        <v>37987</v>
      </c>
      <c r="J2267" s="24">
        <v>42005</v>
      </c>
      <c r="K2267" t="s">
        <v>26</v>
      </c>
      <c r="L2267" s="25" t="s">
        <v>28</v>
      </c>
      <c r="M2267" s="24">
        <v>37987</v>
      </c>
      <c r="N2267" s="24">
        <v>42005</v>
      </c>
      <c r="O2267" t="s">
        <v>26</v>
      </c>
      <c r="P2267" t="s">
        <v>26</v>
      </c>
      <c r="Q2267" t="s">
        <v>26</v>
      </c>
      <c r="R2267" t="s">
        <v>26</v>
      </c>
      <c r="S2267" s="24">
        <v>37987</v>
      </c>
      <c r="T2267" s="24">
        <v>42005</v>
      </c>
      <c r="U2267" t="s">
        <v>26</v>
      </c>
      <c r="V2267" t="s">
        <v>26</v>
      </c>
      <c r="W2267" s="24">
        <v>37987</v>
      </c>
      <c r="X2267" s="24">
        <v>42005</v>
      </c>
      <c r="Y2267" t="s">
        <v>26</v>
      </c>
      <c r="Z2267" s="24">
        <v>37987</v>
      </c>
      <c r="AA2267" s="24">
        <v>42005</v>
      </c>
      <c r="AB2267" t="s">
        <v>26</v>
      </c>
      <c r="AC2267" s="24">
        <v>37987</v>
      </c>
      <c r="AD2267" s="24">
        <v>42005</v>
      </c>
      <c r="AE2267" t="s">
        <v>26</v>
      </c>
      <c r="AF2267" s="24">
        <v>37987</v>
      </c>
      <c r="AG2267" s="24">
        <v>42005</v>
      </c>
      <c r="AH2267" t="s">
        <v>26</v>
      </c>
      <c r="AI2267" s="24">
        <v>37987</v>
      </c>
      <c r="AJ2267" s="24">
        <v>42005</v>
      </c>
      <c r="AK2267" t="s">
        <v>26</v>
      </c>
      <c r="AL2267" t="s">
        <v>26</v>
      </c>
      <c r="AM2267" t="s">
        <v>26</v>
      </c>
      <c r="AN2267" t="s">
        <v>26</v>
      </c>
      <c r="AO2267" s="25" t="s">
        <v>28</v>
      </c>
      <c r="AP2267" s="23" t="s">
        <v>43</v>
      </c>
      <c r="AQ2267" s="23" t="s">
        <v>30</v>
      </c>
      <c r="AR2267" s="23" t="s">
        <v>46</v>
      </c>
      <c r="AS2267" s="25">
        <v>6364611</v>
      </c>
      <c r="AT2267" t="s">
        <v>26</v>
      </c>
      <c r="AU2267" t="s">
        <v>25195</v>
      </c>
    </row>
    <row r="2268" spans="1:47" ht="26.25" x14ac:dyDescent="0.4">
      <c r="A2268" s="23" t="s">
        <v>5913</v>
      </c>
      <c r="B2268" t="s">
        <v>26</v>
      </c>
      <c r="C2268" s="23" t="s">
        <v>146</v>
      </c>
      <c r="D2268" s="23" t="s">
        <v>22174</v>
      </c>
      <c r="E2268" s="23" t="s">
        <v>60</v>
      </c>
      <c r="F2268" t="s">
        <v>26</v>
      </c>
      <c r="G2268" t="s">
        <v>26</v>
      </c>
      <c r="H2268" t="s">
        <v>26</v>
      </c>
      <c r="I2268" t="s">
        <v>26</v>
      </c>
      <c r="J2268" t="s">
        <v>26</v>
      </c>
      <c r="K2268" t="s">
        <v>26</v>
      </c>
      <c r="L2268" s="25" t="s">
        <v>28</v>
      </c>
      <c r="M2268" t="s">
        <v>26</v>
      </c>
      <c r="N2268" t="s">
        <v>26</v>
      </c>
      <c r="O2268" t="s">
        <v>26</v>
      </c>
      <c r="P2268" t="s">
        <v>26</v>
      </c>
      <c r="Q2268" t="s">
        <v>26</v>
      </c>
      <c r="R2268" t="s">
        <v>26</v>
      </c>
      <c r="S2268" t="s">
        <v>26</v>
      </c>
      <c r="T2268" t="s">
        <v>26</v>
      </c>
      <c r="U2268" t="s">
        <v>26</v>
      </c>
      <c r="V2268" t="s">
        <v>26</v>
      </c>
      <c r="W2268" s="25" t="s">
        <v>295</v>
      </c>
      <c r="X2268" s="25" t="s">
        <v>295</v>
      </c>
      <c r="Y2268" t="s">
        <v>26</v>
      </c>
      <c r="Z2268" s="25" t="s">
        <v>295</v>
      </c>
      <c r="AA2268" s="25" t="s">
        <v>295</v>
      </c>
      <c r="AB2268" t="s">
        <v>26</v>
      </c>
      <c r="AC2268" t="s">
        <v>26</v>
      </c>
      <c r="AD2268" t="s">
        <v>26</v>
      </c>
      <c r="AE2268" t="s">
        <v>26</v>
      </c>
      <c r="AF2268" t="s">
        <v>26</v>
      </c>
      <c r="AG2268" t="s">
        <v>26</v>
      </c>
      <c r="AH2268" t="s">
        <v>26</v>
      </c>
      <c r="AI2268" t="s">
        <v>26</v>
      </c>
      <c r="AJ2268" t="s">
        <v>26</v>
      </c>
      <c r="AK2268" t="s">
        <v>26</v>
      </c>
      <c r="AL2268" t="s">
        <v>26</v>
      </c>
      <c r="AM2268" t="s">
        <v>26</v>
      </c>
      <c r="AN2268" t="s">
        <v>26</v>
      </c>
      <c r="AO2268" s="25" t="s">
        <v>28</v>
      </c>
      <c r="AP2268" s="23" t="s">
        <v>29</v>
      </c>
      <c r="AQ2268" s="23" t="s">
        <v>30</v>
      </c>
      <c r="AR2268" s="23" t="s">
        <v>245</v>
      </c>
      <c r="AS2268" s="25">
        <v>5485091</v>
      </c>
      <c r="AT2268" s="23" t="s">
        <v>22181</v>
      </c>
      <c r="AU2268" t="s">
        <v>25196</v>
      </c>
    </row>
    <row r="2269" spans="1:47" ht="26.25" x14ac:dyDescent="0.4">
      <c r="A2269" s="23" t="s">
        <v>5914</v>
      </c>
      <c r="B2269" t="s">
        <v>26</v>
      </c>
      <c r="C2269" s="23" t="s">
        <v>146</v>
      </c>
      <c r="D2269" s="23" t="s">
        <v>22174</v>
      </c>
      <c r="E2269" s="23" t="s">
        <v>60</v>
      </c>
      <c r="F2269" t="s">
        <v>26</v>
      </c>
      <c r="G2269" t="s">
        <v>26</v>
      </c>
      <c r="H2269" t="s">
        <v>26</v>
      </c>
      <c r="I2269" t="s">
        <v>26</v>
      </c>
      <c r="J2269" t="s">
        <v>26</v>
      </c>
      <c r="K2269" t="s">
        <v>26</v>
      </c>
      <c r="L2269" s="25" t="s">
        <v>28</v>
      </c>
      <c r="M2269" t="s">
        <v>26</v>
      </c>
      <c r="N2269" t="s">
        <v>26</v>
      </c>
      <c r="O2269" t="s">
        <v>26</v>
      </c>
      <c r="P2269" t="s">
        <v>26</v>
      </c>
      <c r="Q2269" t="s">
        <v>26</v>
      </c>
      <c r="R2269" t="s">
        <v>26</v>
      </c>
      <c r="S2269" t="s">
        <v>26</v>
      </c>
      <c r="T2269" t="s">
        <v>26</v>
      </c>
      <c r="U2269" t="s">
        <v>26</v>
      </c>
      <c r="V2269" t="s">
        <v>26</v>
      </c>
      <c r="W2269" s="24">
        <v>42370</v>
      </c>
      <c r="X2269" s="24">
        <v>42370</v>
      </c>
      <c r="Y2269" t="s">
        <v>26</v>
      </c>
      <c r="Z2269" s="24">
        <v>42370</v>
      </c>
      <c r="AA2269" s="24">
        <v>42370</v>
      </c>
      <c r="AB2269" t="s">
        <v>26</v>
      </c>
      <c r="AC2269" t="s">
        <v>26</v>
      </c>
      <c r="AD2269" t="s">
        <v>26</v>
      </c>
      <c r="AE2269" t="s">
        <v>26</v>
      </c>
      <c r="AF2269" t="s">
        <v>26</v>
      </c>
      <c r="AG2269" t="s">
        <v>26</v>
      </c>
      <c r="AH2269" t="s">
        <v>26</v>
      </c>
      <c r="AI2269" t="s">
        <v>26</v>
      </c>
      <c r="AJ2269" t="s">
        <v>26</v>
      </c>
      <c r="AK2269" t="s">
        <v>26</v>
      </c>
      <c r="AL2269" t="s">
        <v>26</v>
      </c>
      <c r="AM2269" t="s">
        <v>26</v>
      </c>
      <c r="AN2269" t="s">
        <v>26</v>
      </c>
      <c r="AO2269" s="25" t="s">
        <v>28</v>
      </c>
      <c r="AP2269" s="23" t="s">
        <v>29</v>
      </c>
      <c r="AQ2269" s="23" t="s">
        <v>30</v>
      </c>
      <c r="AR2269" s="23" t="s">
        <v>147</v>
      </c>
      <c r="AS2269" s="25">
        <v>5485099</v>
      </c>
      <c r="AT2269" s="23" t="s">
        <v>22181</v>
      </c>
      <c r="AU2269" t="s">
        <v>25197</v>
      </c>
    </row>
    <row r="2270" spans="1:47" ht="26.25" x14ac:dyDescent="0.4">
      <c r="A2270" s="23" t="s">
        <v>5915</v>
      </c>
      <c r="B2270" t="s">
        <v>26</v>
      </c>
      <c r="C2270" s="23" t="s">
        <v>146</v>
      </c>
      <c r="D2270" s="23" t="s">
        <v>22174</v>
      </c>
      <c r="E2270" s="23" t="s">
        <v>60</v>
      </c>
      <c r="F2270" t="s">
        <v>26</v>
      </c>
      <c r="G2270" t="s">
        <v>26</v>
      </c>
      <c r="H2270" t="s">
        <v>26</v>
      </c>
      <c r="I2270" t="s">
        <v>26</v>
      </c>
      <c r="J2270" t="s">
        <v>26</v>
      </c>
      <c r="K2270" t="s">
        <v>26</v>
      </c>
      <c r="L2270" s="25" t="s">
        <v>28</v>
      </c>
      <c r="M2270" t="s">
        <v>26</v>
      </c>
      <c r="N2270" t="s">
        <v>26</v>
      </c>
      <c r="O2270" t="s">
        <v>26</v>
      </c>
      <c r="P2270" t="s">
        <v>26</v>
      </c>
      <c r="Q2270" t="s">
        <v>26</v>
      </c>
      <c r="R2270" t="s">
        <v>26</v>
      </c>
      <c r="S2270" t="s">
        <v>26</v>
      </c>
      <c r="T2270" t="s">
        <v>26</v>
      </c>
      <c r="U2270" t="s">
        <v>26</v>
      </c>
      <c r="V2270" t="s">
        <v>26</v>
      </c>
      <c r="W2270" s="24">
        <v>42005</v>
      </c>
      <c r="X2270" s="24">
        <v>42005</v>
      </c>
      <c r="Y2270" t="s">
        <v>26</v>
      </c>
      <c r="Z2270" s="24">
        <v>42005</v>
      </c>
      <c r="AA2270" s="24">
        <v>42005</v>
      </c>
      <c r="AB2270" t="s">
        <v>26</v>
      </c>
      <c r="AC2270" t="s">
        <v>26</v>
      </c>
      <c r="AD2270" t="s">
        <v>26</v>
      </c>
      <c r="AE2270" t="s">
        <v>26</v>
      </c>
      <c r="AF2270" t="s">
        <v>26</v>
      </c>
      <c r="AG2270" t="s">
        <v>26</v>
      </c>
      <c r="AH2270" t="s">
        <v>26</v>
      </c>
      <c r="AI2270" t="s">
        <v>26</v>
      </c>
      <c r="AJ2270" t="s">
        <v>26</v>
      </c>
      <c r="AK2270" t="s">
        <v>26</v>
      </c>
      <c r="AL2270" t="s">
        <v>26</v>
      </c>
      <c r="AM2270" t="s">
        <v>26</v>
      </c>
      <c r="AN2270" t="s">
        <v>26</v>
      </c>
      <c r="AO2270" s="25" t="s">
        <v>28</v>
      </c>
      <c r="AP2270" s="23" t="s">
        <v>29</v>
      </c>
      <c r="AQ2270" s="23" t="s">
        <v>30</v>
      </c>
      <c r="AR2270" s="23" t="s">
        <v>147</v>
      </c>
      <c r="AS2270" s="25">
        <v>5485101</v>
      </c>
      <c r="AT2270" s="23" t="s">
        <v>22181</v>
      </c>
      <c r="AU2270" t="s">
        <v>25198</v>
      </c>
    </row>
    <row r="2271" spans="1:47" ht="26.25" x14ac:dyDescent="0.4">
      <c r="A2271" s="23" t="s">
        <v>5916</v>
      </c>
      <c r="B2271" t="s">
        <v>26</v>
      </c>
      <c r="C2271" s="23" t="s">
        <v>5917</v>
      </c>
      <c r="D2271" s="23" t="s">
        <v>24749</v>
      </c>
      <c r="E2271" s="23" t="s">
        <v>5124</v>
      </c>
      <c r="F2271" s="25" t="s">
        <v>5918</v>
      </c>
      <c r="G2271" s="25" t="s">
        <v>5919</v>
      </c>
      <c r="H2271" t="s">
        <v>26</v>
      </c>
      <c r="I2271" s="24">
        <v>42370</v>
      </c>
      <c r="J2271" s="25" t="s">
        <v>77</v>
      </c>
      <c r="K2271" t="s">
        <v>26</v>
      </c>
      <c r="L2271" s="25" t="s">
        <v>68</v>
      </c>
      <c r="M2271" s="24">
        <v>42370</v>
      </c>
      <c r="N2271" s="25" t="s">
        <v>77</v>
      </c>
      <c r="O2271" t="s">
        <v>26</v>
      </c>
      <c r="P2271" s="24">
        <v>42370</v>
      </c>
      <c r="Q2271" s="25" t="s">
        <v>77</v>
      </c>
      <c r="R2271" t="s">
        <v>26</v>
      </c>
      <c r="S2271" t="s">
        <v>26</v>
      </c>
      <c r="T2271" t="s">
        <v>26</v>
      </c>
      <c r="U2271" t="s">
        <v>26</v>
      </c>
      <c r="V2271" t="s">
        <v>26</v>
      </c>
      <c r="W2271" s="24">
        <v>42370</v>
      </c>
      <c r="X2271" s="25" t="s">
        <v>77</v>
      </c>
      <c r="Y2271" t="s">
        <v>26</v>
      </c>
      <c r="Z2271" s="24">
        <v>42370</v>
      </c>
      <c r="AA2271" s="25" t="s">
        <v>77</v>
      </c>
      <c r="AB2271" t="s">
        <v>26</v>
      </c>
      <c r="AC2271" s="24">
        <v>42370</v>
      </c>
      <c r="AD2271" s="25" t="s">
        <v>77</v>
      </c>
      <c r="AE2271" t="s">
        <v>26</v>
      </c>
      <c r="AF2271" t="s">
        <v>26</v>
      </c>
      <c r="AG2271" t="s">
        <v>26</v>
      </c>
      <c r="AH2271" t="s">
        <v>26</v>
      </c>
      <c r="AI2271" t="s">
        <v>26</v>
      </c>
      <c r="AJ2271" t="s">
        <v>26</v>
      </c>
      <c r="AK2271" t="s">
        <v>26</v>
      </c>
      <c r="AL2271" t="s">
        <v>26</v>
      </c>
      <c r="AM2271" t="s">
        <v>26</v>
      </c>
      <c r="AN2271" t="s">
        <v>26</v>
      </c>
      <c r="AO2271" s="25" t="s">
        <v>68</v>
      </c>
      <c r="AP2271" s="23" t="s">
        <v>69</v>
      </c>
      <c r="AQ2271" s="23" t="s">
        <v>142</v>
      </c>
      <c r="AR2271" s="23" t="s">
        <v>952</v>
      </c>
      <c r="AS2271" s="25">
        <v>2044970</v>
      </c>
      <c r="AT2271" t="s">
        <v>26</v>
      </c>
      <c r="AU2271" t="s">
        <v>25199</v>
      </c>
    </row>
    <row r="2272" spans="1:47" ht="26.25" x14ac:dyDescent="0.4">
      <c r="A2272" s="23" t="s">
        <v>5920</v>
      </c>
      <c r="B2272" t="s">
        <v>26</v>
      </c>
      <c r="C2272" s="23" t="s">
        <v>73</v>
      </c>
      <c r="D2272" s="23" t="s">
        <v>23011</v>
      </c>
      <c r="E2272" s="23" t="s">
        <v>74</v>
      </c>
      <c r="F2272" s="25" t="s">
        <v>5921</v>
      </c>
      <c r="G2272" s="25" t="s">
        <v>5922</v>
      </c>
      <c r="H2272" t="s">
        <v>26</v>
      </c>
      <c r="I2272" s="24">
        <v>35490</v>
      </c>
      <c r="J2272" s="25" t="s">
        <v>77</v>
      </c>
      <c r="K2272" s="25" t="s">
        <v>5923</v>
      </c>
      <c r="L2272" s="25" t="s">
        <v>68</v>
      </c>
      <c r="M2272" s="24">
        <v>38261</v>
      </c>
      <c r="N2272" s="24">
        <v>42856</v>
      </c>
      <c r="O2272" t="s">
        <v>26</v>
      </c>
      <c r="P2272" s="24">
        <v>35490</v>
      </c>
      <c r="Q2272" s="25" t="s">
        <v>77</v>
      </c>
      <c r="R2272" s="25" t="s">
        <v>5923</v>
      </c>
      <c r="S2272" t="s">
        <v>26</v>
      </c>
      <c r="T2272" t="s">
        <v>26</v>
      </c>
      <c r="U2272" t="s">
        <v>26</v>
      </c>
      <c r="V2272" s="25">
        <v>365</v>
      </c>
      <c r="W2272" s="24">
        <v>35490</v>
      </c>
      <c r="X2272" s="25" t="s">
        <v>77</v>
      </c>
      <c r="Y2272" s="25" t="s">
        <v>5923</v>
      </c>
      <c r="Z2272" s="24">
        <v>35490</v>
      </c>
      <c r="AA2272" s="25" t="s">
        <v>77</v>
      </c>
      <c r="AB2272" s="25" t="s">
        <v>5923</v>
      </c>
      <c r="AC2272" s="24">
        <v>35490</v>
      </c>
      <c r="AD2272" s="25" t="s">
        <v>77</v>
      </c>
      <c r="AE2272" s="25" t="s">
        <v>5923</v>
      </c>
      <c r="AF2272" t="s">
        <v>26</v>
      </c>
      <c r="AG2272" t="s">
        <v>26</v>
      </c>
      <c r="AH2272" t="s">
        <v>26</v>
      </c>
      <c r="AI2272" t="s">
        <v>26</v>
      </c>
      <c r="AJ2272" t="s">
        <v>26</v>
      </c>
      <c r="AK2272" t="s">
        <v>26</v>
      </c>
      <c r="AL2272" t="s">
        <v>26</v>
      </c>
      <c r="AM2272" t="s">
        <v>26</v>
      </c>
      <c r="AN2272" t="s">
        <v>26</v>
      </c>
      <c r="AO2272" s="25" t="s">
        <v>68</v>
      </c>
      <c r="AP2272" s="23" t="s">
        <v>69</v>
      </c>
      <c r="AQ2272" s="23" t="s">
        <v>30</v>
      </c>
      <c r="AR2272" s="23" t="s">
        <v>5924</v>
      </c>
      <c r="AS2272" s="25">
        <v>1456343</v>
      </c>
      <c r="AT2272" t="s">
        <v>26</v>
      </c>
      <c r="AU2272" t="s">
        <v>25200</v>
      </c>
    </row>
    <row r="2273" spans="1:47" ht="39.4" x14ac:dyDescent="0.4">
      <c r="A2273" s="23" t="s">
        <v>5925</v>
      </c>
      <c r="B2273" t="s">
        <v>26</v>
      </c>
      <c r="C2273" s="23" t="s">
        <v>364</v>
      </c>
      <c r="D2273" s="23" t="s">
        <v>22634</v>
      </c>
      <c r="E2273" s="23" t="s">
        <v>42</v>
      </c>
      <c r="F2273" t="s">
        <v>26</v>
      </c>
      <c r="G2273" t="s">
        <v>26</v>
      </c>
      <c r="H2273" t="s">
        <v>26</v>
      </c>
      <c r="I2273" s="24">
        <v>43303</v>
      </c>
      <c r="J2273" s="25" t="s">
        <v>77</v>
      </c>
      <c r="K2273" t="s">
        <v>26</v>
      </c>
      <c r="L2273" s="25" t="s">
        <v>28</v>
      </c>
      <c r="M2273" s="24">
        <v>43303</v>
      </c>
      <c r="N2273" s="25" t="s">
        <v>77</v>
      </c>
      <c r="O2273" t="s">
        <v>26</v>
      </c>
      <c r="P2273" t="s">
        <v>26</v>
      </c>
      <c r="Q2273" t="s">
        <v>26</v>
      </c>
      <c r="R2273" t="s">
        <v>26</v>
      </c>
      <c r="S2273" t="s">
        <v>26</v>
      </c>
      <c r="T2273" t="s">
        <v>26</v>
      </c>
      <c r="U2273" t="s">
        <v>26</v>
      </c>
      <c r="V2273" t="s">
        <v>26</v>
      </c>
      <c r="W2273" s="24">
        <v>43303</v>
      </c>
      <c r="X2273" s="25" t="s">
        <v>77</v>
      </c>
      <c r="Y2273" t="s">
        <v>26</v>
      </c>
      <c r="Z2273" s="24">
        <v>43303</v>
      </c>
      <c r="AA2273" s="25" t="s">
        <v>77</v>
      </c>
      <c r="AB2273" t="s">
        <v>26</v>
      </c>
      <c r="AC2273" t="s">
        <v>26</v>
      </c>
      <c r="AD2273" t="s">
        <v>26</v>
      </c>
      <c r="AE2273" t="s">
        <v>26</v>
      </c>
      <c r="AF2273" t="s">
        <v>26</v>
      </c>
      <c r="AG2273" t="s">
        <v>26</v>
      </c>
      <c r="AH2273" t="s">
        <v>26</v>
      </c>
      <c r="AI2273" t="s">
        <v>26</v>
      </c>
      <c r="AJ2273" t="s">
        <v>26</v>
      </c>
      <c r="AK2273" t="s">
        <v>26</v>
      </c>
      <c r="AL2273" t="s">
        <v>26</v>
      </c>
      <c r="AM2273" t="s">
        <v>26</v>
      </c>
      <c r="AN2273" t="s">
        <v>26</v>
      </c>
      <c r="AO2273" s="25" t="s">
        <v>28</v>
      </c>
      <c r="AP2273" s="23" t="s">
        <v>365</v>
      </c>
      <c r="AQ2273" s="23" t="s">
        <v>30</v>
      </c>
      <c r="AR2273" s="23" t="s">
        <v>46</v>
      </c>
      <c r="AS2273" s="25">
        <v>4395892</v>
      </c>
      <c r="AT2273" t="s">
        <v>26</v>
      </c>
      <c r="AU2273" t="s">
        <v>25201</v>
      </c>
    </row>
    <row r="2274" spans="1:47" ht="13.15" x14ac:dyDescent="0.4">
      <c r="A2274" s="23" t="s">
        <v>5926</v>
      </c>
      <c r="B2274" t="s">
        <v>26</v>
      </c>
      <c r="C2274" s="23" t="s">
        <v>2703</v>
      </c>
      <c r="D2274" s="23" t="s">
        <v>22179</v>
      </c>
      <c r="E2274" s="23" t="s">
        <v>42</v>
      </c>
      <c r="F2274" t="s">
        <v>26</v>
      </c>
      <c r="G2274" t="s">
        <v>26</v>
      </c>
      <c r="H2274" t="s">
        <v>26</v>
      </c>
      <c r="I2274" s="24">
        <v>35796</v>
      </c>
      <c r="J2274" s="24">
        <v>35796</v>
      </c>
      <c r="K2274" t="s">
        <v>26</v>
      </c>
      <c r="L2274" s="25" t="s">
        <v>28</v>
      </c>
      <c r="M2274" s="24">
        <v>35796</v>
      </c>
      <c r="N2274" s="24">
        <v>35796</v>
      </c>
      <c r="O2274" t="s">
        <v>26</v>
      </c>
      <c r="P2274" t="s">
        <v>26</v>
      </c>
      <c r="Q2274" t="s">
        <v>26</v>
      </c>
      <c r="R2274" t="s">
        <v>26</v>
      </c>
      <c r="S2274" t="s">
        <v>26</v>
      </c>
      <c r="T2274" t="s">
        <v>26</v>
      </c>
      <c r="U2274" t="s">
        <v>26</v>
      </c>
      <c r="V2274" t="s">
        <v>26</v>
      </c>
      <c r="W2274" s="24">
        <v>35796</v>
      </c>
      <c r="X2274" s="24">
        <v>35796</v>
      </c>
      <c r="Y2274" t="s">
        <v>26</v>
      </c>
      <c r="Z2274" s="24">
        <v>35796</v>
      </c>
      <c r="AA2274" s="24">
        <v>35796</v>
      </c>
      <c r="AB2274" t="s">
        <v>26</v>
      </c>
      <c r="AC2274" s="24">
        <v>35796</v>
      </c>
      <c r="AD2274" s="24">
        <v>35796</v>
      </c>
      <c r="AE2274" t="s">
        <v>26</v>
      </c>
      <c r="AF2274" t="s">
        <v>26</v>
      </c>
      <c r="AG2274" t="s">
        <v>26</v>
      </c>
      <c r="AH2274" t="s">
        <v>26</v>
      </c>
      <c r="AI2274" t="s">
        <v>26</v>
      </c>
      <c r="AJ2274" t="s">
        <v>26</v>
      </c>
      <c r="AK2274" t="s">
        <v>26</v>
      </c>
      <c r="AL2274" t="s">
        <v>26</v>
      </c>
      <c r="AM2274" t="s">
        <v>26</v>
      </c>
      <c r="AN2274" t="s">
        <v>26</v>
      </c>
      <c r="AO2274" s="25" t="s">
        <v>28</v>
      </c>
      <c r="AP2274" s="23" t="s">
        <v>29</v>
      </c>
      <c r="AQ2274" s="23" t="s">
        <v>30</v>
      </c>
      <c r="AR2274" s="23" t="s">
        <v>46</v>
      </c>
      <c r="AS2274" s="25">
        <v>6059463</v>
      </c>
      <c r="AT2274" t="s">
        <v>26</v>
      </c>
      <c r="AU2274" t="s">
        <v>25202</v>
      </c>
    </row>
    <row r="2275" spans="1:47" ht="39.4" x14ac:dyDescent="0.4">
      <c r="A2275" s="23" t="s">
        <v>25203</v>
      </c>
      <c r="B2275" t="s">
        <v>26</v>
      </c>
      <c r="C2275" t="s">
        <v>26</v>
      </c>
      <c r="D2275" s="23" t="s">
        <v>25204</v>
      </c>
      <c r="E2275" t="s">
        <v>26</v>
      </c>
      <c r="F2275" s="25" t="s">
        <v>25205</v>
      </c>
      <c r="G2275" s="25" t="s">
        <v>25205</v>
      </c>
      <c r="H2275" t="s">
        <v>26</v>
      </c>
      <c r="I2275" s="24">
        <v>22647</v>
      </c>
      <c r="J2275" s="25" t="s">
        <v>77</v>
      </c>
      <c r="K2275" s="25" t="s">
        <v>25206</v>
      </c>
      <c r="L2275" s="25" t="s">
        <v>68</v>
      </c>
      <c r="M2275" s="24">
        <v>43466</v>
      </c>
      <c r="N2275" s="25" t="s">
        <v>77</v>
      </c>
      <c r="O2275" t="s">
        <v>26</v>
      </c>
      <c r="P2275" s="24">
        <v>22647</v>
      </c>
      <c r="Q2275" s="25" t="s">
        <v>77</v>
      </c>
      <c r="R2275" s="25" t="s">
        <v>25206</v>
      </c>
      <c r="S2275" t="s">
        <v>26</v>
      </c>
      <c r="T2275" t="s">
        <v>26</v>
      </c>
      <c r="U2275" t="s">
        <v>26</v>
      </c>
      <c r="V2275" t="s">
        <v>26</v>
      </c>
      <c r="W2275" s="24">
        <v>22647</v>
      </c>
      <c r="X2275" s="25" t="s">
        <v>77</v>
      </c>
      <c r="Y2275" s="25" t="s">
        <v>25206</v>
      </c>
      <c r="Z2275" s="24">
        <v>22647</v>
      </c>
      <c r="AA2275" s="25" t="s">
        <v>77</v>
      </c>
      <c r="AB2275" s="25" t="s">
        <v>25206</v>
      </c>
      <c r="AC2275" s="24">
        <v>22647</v>
      </c>
      <c r="AD2275" s="25" t="s">
        <v>77</v>
      </c>
      <c r="AE2275" s="25" t="s">
        <v>25206</v>
      </c>
      <c r="AF2275" t="s">
        <v>26</v>
      </c>
      <c r="AG2275" t="s">
        <v>26</v>
      </c>
      <c r="AH2275" t="s">
        <v>26</v>
      </c>
      <c r="AI2275" t="s">
        <v>26</v>
      </c>
      <c r="AJ2275" t="s">
        <v>26</v>
      </c>
      <c r="AK2275" t="s">
        <v>26</v>
      </c>
      <c r="AL2275" t="s">
        <v>26</v>
      </c>
      <c r="AM2275" t="s">
        <v>26</v>
      </c>
      <c r="AN2275" t="s">
        <v>26</v>
      </c>
      <c r="AO2275" s="25" t="s">
        <v>28</v>
      </c>
      <c r="AP2275" s="23" t="s">
        <v>69</v>
      </c>
      <c r="AQ2275" s="23" t="s">
        <v>25207</v>
      </c>
      <c r="AR2275" s="23" t="s">
        <v>46</v>
      </c>
      <c r="AS2275" s="25">
        <v>6517113</v>
      </c>
      <c r="AT2275" t="s">
        <v>26</v>
      </c>
      <c r="AU2275" t="s">
        <v>25208</v>
      </c>
    </row>
    <row r="2276" spans="1:47" ht="52.5" x14ac:dyDescent="0.4">
      <c r="A2276" s="23" t="s">
        <v>5927</v>
      </c>
      <c r="B2276" t="s">
        <v>26</v>
      </c>
      <c r="C2276" s="23" t="s">
        <v>5928</v>
      </c>
      <c r="D2276" s="23" t="s">
        <v>25209</v>
      </c>
      <c r="E2276" s="23" t="s">
        <v>328</v>
      </c>
      <c r="F2276" s="25" t="s">
        <v>5929</v>
      </c>
      <c r="G2276" s="25" t="s">
        <v>5930</v>
      </c>
      <c r="H2276" t="s">
        <v>26</v>
      </c>
      <c r="I2276" s="24">
        <v>36892</v>
      </c>
      <c r="J2276" s="25" t="s">
        <v>77</v>
      </c>
      <c r="K2276" t="s">
        <v>26</v>
      </c>
      <c r="L2276" s="25" t="s">
        <v>68</v>
      </c>
      <c r="M2276" t="s">
        <v>26</v>
      </c>
      <c r="N2276" t="s">
        <v>26</v>
      </c>
      <c r="O2276" t="s">
        <v>26</v>
      </c>
      <c r="P2276" s="24">
        <v>36892</v>
      </c>
      <c r="Q2276" s="25" t="s">
        <v>77</v>
      </c>
      <c r="R2276" t="s">
        <v>26</v>
      </c>
      <c r="S2276" t="s">
        <v>26</v>
      </c>
      <c r="T2276" t="s">
        <v>26</v>
      </c>
      <c r="U2276" t="s">
        <v>26</v>
      </c>
      <c r="V2276" t="s">
        <v>26</v>
      </c>
      <c r="W2276" s="24">
        <v>36892</v>
      </c>
      <c r="X2276" s="25" t="s">
        <v>77</v>
      </c>
      <c r="Y2276" t="s">
        <v>26</v>
      </c>
      <c r="Z2276" s="24">
        <v>36892</v>
      </c>
      <c r="AA2276" s="25" t="s">
        <v>77</v>
      </c>
      <c r="AB2276" t="s">
        <v>26</v>
      </c>
      <c r="AC2276" s="24">
        <v>36892</v>
      </c>
      <c r="AD2276" s="25" t="s">
        <v>77</v>
      </c>
      <c r="AE2276" t="s">
        <v>26</v>
      </c>
      <c r="AF2276" t="s">
        <v>26</v>
      </c>
      <c r="AG2276" t="s">
        <v>26</v>
      </c>
      <c r="AH2276" t="s">
        <v>26</v>
      </c>
      <c r="AI2276" t="s">
        <v>26</v>
      </c>
      <c r="AJ2276" t="s">
        <v>26</v>
      </c>
      <c r="AK2276" t="s">
        <v>26</v>
      </c>
      <c r="AL2276" t="s">
        <v>26</v>
      </c>
      <c r="AM2276" t="s">
        <v>26</v>
      </c>
      <c r="AN2276" t="s">
        <v>26</v>
      </c>
      <c r="AO2276" s="25" t="s">
        <v>68</v>
      </c>
      <c r="AP2276" s="23" t="s">
        <v>69</v>
      </c>
      <c r="AQ2276" s="23" t="s">
        <v>158</v>
      </c>
      <c r="AR2276" s="23" t="s">
        <v>46</v>
      </c>
      <c r="AS2276" s="25">
        <v>5452617</v>
      </c>
      <c r="AT2276" t="s">
        <v>26</v>
      </c>
      <c r="AU2276" t="s">
        <v>25210</v>
      </c>
    </row>
    <row r="2277" spans="1:47" ht="26.25" x14ac:dyDescent="0.4">
      <c r="A2277" s="23" t="s">
        <v>5931</v>
      </c>
      <c r="B2277" t="s">
        <v>26</v>
      </c>
      <c r="C2277" s="23" t="s">
        <v>5932</v>
      </c>
      <c r="D2277" s="23" t="s">
        <v>25211</v>
      </c>
      <c r="E2277" s="23" t="s">
        <v>1657</v>
      </c>
      <c r="F2277" t="s">
        <v>26</v>
      </c>
      <c r="G2277" s="25" t="s">
        <v>5933</v>
      </c>
      <c r="H2277" t="s">
        <v>26</v>
      </c>
      <c r="I2277" t="s">
        <v>26</v>
      </c>
      <c r="J2277" t="s">
        <v>26</v>
      </c>
      <c r="K2277" t="s">
        <v>26</v>
      </c>
      <c r="L2277" s="25" t="s">
        <v>68</v>
      </c>
      <c r="M2277" t="s">
        <v>26</v>
      </c>
      <c r="N2277" t="s">
        <v>26</v>
      </c>
      <c r="O2277" t="s">
        <v>26</v>
      </c>
      <c r="P2277" t="s">
        <v>26</v>
      </c>
      <c r="Q2277" t="s">
        <v>26</v>
      </c>
      <c r="R2277" t="s">
        <v>26</v>
      </c>
      <c r="S2277" t="s">
        <v>26</v>
      </c>
      <c r="T2277" t="s">
        <v>26</v>
      </c>
      <c r="U2277" t="s">
        <v>26</v>
      </c>
      <c r="V2277" t="s">
        <v>26</v>
      </c>
      <c r="W2277" s="24">
        <v>42736</v>
      </c>
      <c r="X2277" s="24">
        <v>43831</v>
      </c>
      <c r="Y2277" t="s">
        <v>26</v>
      </c>
      <c r="Z2277" s="24">
        <v>42736</v>
      </c>
      <c r="AA2277" s="24">
        <v>43831</v>
      </c>
      <c r="AB2277" t="s">
        <v>26</v>
      </c>
      <c r="AC2277" s="24">
        <v>42736</v>
      </c>
      <c r="AD2277" s="24">
        <v>43831</v>
      </c>
      <c r="AE2277" t="s">
        <v>26</v>
      </c>
      <c r="AF2277" t="s">
        <v>26</v>
      </c>
      <c r="AG2277" t="s">
        <v>26</v>
      </c>
      <c r="AH2277" t="s">
        <v>26</v>
      </c>
      <c r="AI2277" t="s">
        <v>26</v>
      </c>
      <c r="AJ2277" t="s">
        <v>26</v>
      </c>
      <c r="AK2277" t="s">
        <v>26</v>
      </c>
      <c r="AL2277" t="s">
        <v>26</v>
      </c>
      <c r="AM2277" t="s">
        <v>26</v>
      </c>
      <c r="AN2277" t="s">
        <v>26</v>
      </c>
      <c r="AO2277" s="25" t="s">
        <v>68</v>
      </c>
      <c r="AP2277" s="23" t="s">
        <v>69</v>
      </c>
      <c r="AQ2277" s="23" t="s">
        <v>2297</v>
      </c>
      <c r="AR2277" s="23" t="s">
        <v>5934</v>
      </c>
      <c r="AS2277" s="25">
        <v>2046170</v>
      </c>
      <c r="AT2277" t="s">
        <v>26</v>
      </c>
      <c r="AU2277" t="s">
        <v>25212</v>
      </c>
    </row>
    <row r="2278" spans="1:47" ht="26.25" x14ac:dyDescent="0.4">
      <c r="A2278" s="23" t="s">
        <v>5935</v>
      </c>
      <c r="B2278" t="s">
        <v>26</v>
      </c>
      <c r="C2278" s="23" t="s">
        <v>5936</v>
      </c>
      <c r="D2278" s="23" t="s">
        <v>25213</v>
      </c>
      <c r="E2278" s="23" t="s">
        <v>155</v>
      </c>
      <c r="F2278" s="25" t="s">
        <v>5937</v>
      </c>
      <c r="G2278" s="25" t="s">
        <v>5938</v>
      </c>
      <c r="H2278" t="s">
        <v>26</v>
      </c>
      <c r="I2278" s="24">
        <v>40544</v>
      </c>
      <c r="J2278" s="24">
        <v>43647</v>
      </c>
      <c r="K2278" s="25" t="s">
        <v>5939</v>
      </c>
      <c r="L2278" s="25" t="s">
        <v>68</v>
      </c>
      <c r="M2278" t="s">
        <v>26</v>
      </c>
      <c r="N2278" t="s">
        <v>26</v>
      </c>
      <c r="O2278" t="s">
        <v>26</v>
      </c>
      <c r="P2278" s="24">
        <v>40544</v>
      </c>
      <c r="Q2278" s="24">
        <v>43647</v>
      </c>
      <c r="R2278" s="25" t="s">
        <v>5939</v>
      </c>
      <c r="S2278" t="s">
        <v>26</v>
      </c>
      <c r="T2278" t="s">
        <v>26</v>
      </c>
      <c r="U2278" t="s">
        <v>26</v>
      </c>
      <c r="V2278" t="s">
        <v>26</v>
      </c>
      <c r="W2278" s="24">
        <v>40544</v>
      </c>
      <c r="X2278" s="24">
        <v>43647</v>
      </c>
      <c r="Y2278" s="25" t="s">
        <v>5939</v>
      </c>
      <c r="Z2278" s="24">
        <v>40544</v>
      </c>
      <c r="AA2278" s="24">
        <v>43647</v>
      </c>
      <c r="AB2278" s="25" t="s">
        <v>5939</v>
      </c>
      <c r="AC2278" s="24">
        <v>40544</v>
      </c>
      <c r="AD2278" s="24">
        <v>43647</v>
      </c>
      <c r="AE2278" s="25" t="s">
        <v>5939</v>
      </c>
      <c r="AF2278" t="s">
        <v>26</v>
      </c>
      <c r="AG2278" t="s">
        <v>26</v>
      </c>
      <c r="AH2278" t="s">
        <v>26</v>
      </c>
      <c r="AI2278" t="s">
        <v>26</v>
      </c>
      <c r="AJ2278" t="s">
        <v>26</v>
      </c>
      <c r="AK2278" t="s">
        <v>26</v>
      </c>
      <c r="AL2278" t="s">
        <v>26</v>
      </c>
      <c r="AM2278" t="s">
        <v>26</v>
      </c>
      <c r="AN2278" t="s">
        <v>26</v>
      </c>
      <c r="AO2278" s="25" t="s">
        <v>68</v>
      </c>
      <c r="AP2278" s="23" t="s">
        <v>69</v>
      </c>
      <c r="AQ2278" s="23" t="s">
        <v>142</v>
      </c>
      <c r="AR2278" s="23" t="s">
        <v>46</v>
      </c>
      <c r="AS2278" s="25">
        <v>2042894</v>
      </c>
      <c r="AT2278" t="s">
        <v>26</v>
      </c>
      <c r="AU2278" t="s">
        <v>25214</v>
      </c>
    </row>
    <row r="2279" spans="1:47" ht="26.25" x14ac:dyDescent="0.4">
      <c r="A2279" s="23" t="s">
        <v>5940</v>
      </c>
      <c r="B2279" t="s">
        <v>26</v>
      </c>
      <c r="C2279" s="23" t="s">
        <v>5941</v>
      </c>
      <c r="D2279" s="23" t="s">
        <v>25215</v>
      </c>
      <c r="E2279" s="23" t="s">
        <v>328</v>
      </c>
      <c r="F2279" s="25" t="s">
        <v>5942</v>
      </c>
      <c r="G2279" s="25" t="s">
        <v>5943</v>
      </c>
      <c r="H2279" t="s">
        <v>26</v>
      </c>
      <c r="I2279" t="s">
        <v>26</v>
      </c>
      <c r="J2279" t="s">
        <v>26</v>
      </c>
      <c r="K2279" t="s">
        <v>26</v>
      </c>
      <c r="L2279" s="25" t="s">
        <v>68</v>
      </c>
      <c r="M2279" t="s">
        <v>26</v>
      </c>
      <c r="N2279" t="s">
        <v>26</v>
      </c>
      <c r="O2279" t="s">
        <v>26</v>
      </c>
      <c r="P2279" t="s">
        <v>26</v>
      </c>
      <c r="Q2279" t="s">
        <v>26</v>
      </c>
      <c r="R2279" t="s">
        <v>26</v>
      </c>
      <c r="S2279" t="s">
        <v>26</v>
      </c>
      <c r="T2279" t="s">
        <v>26</v>
      </c>
      <c r="U2279" t="s">
        <v>26</v>
      </c>
      <c r="V2279" t="s">
        <v>26</v>
      </c>
      <c r="W2279" s="24">
        <v>42370</v>
      </c>
      <c r="X2279" s="25" t="s">
        <v>77</v>
      </c>
      <c r="Y2279" t="s">
        <v>26</v>
      </c>
      <c r="Z2279" s="24">
        <v>42370</v>
      </c>
      <c r="AA2279" s="25" t="s">
        <v>77</v>
      </c>
      <c r="AB2279" t="s">
        <v>26</v>
      </c>
      <c r="AC2279" s="24">
        <v>42370</v>
      </c>
      <c r="AD2279" s="25" t="s">
        <v>77</v>
      </c>
      <c r="AE2279" t="s">
        <v>26</v>
      </c>
      <c r="AF2279" t="s">
        <v>26</v>
      </c>
      <c r="AG2279" t="s">
        <v>26</v>
      </c>
      <c r="AH2279" t="s">
        <v>26</v>
      </c>
      <c r="AI2279" t="s">
        <v>26</v>
      </c>
      <c r="AJ2279" t="s">
        <v>26</v>
      </c>
      <c r="AK2279" t="s">
        <v>26</v>
      </c>
      <c r="AL2279" t="s">
        <v>26</v>
      </c>
      <c r="AM2279" t="s">
        <v>26</v>
      </c>
      <c r="AN2279" t="s">
        <v>26</v>
      </c>
      <c r="AO2279" s="25" t="s">
        <v>28</v>
      </c>
      <c r="AP2279" s="23" t="s">
        <v>69</v>
      </c>
      <c r="AQ2279" s="23" t="s">
        <v>331</v>
      </c>
      <c r="AR2279" s="23" t="s">
        <v>46</v>
      </c>
      <c r="AS2279" s="25">
        <v>2049640</v>
      </c>
      <c r="AT2279" t="s">
        <v>26</v>
      </c>
      <c r="AU2279" t="s">
        <v>25216</v>
      </c>
    </row>
    <row r="2280" spans="1:47" ht="39.4" x14ac:dyDescent="0.4">
      <c r="A2280" s="23" t="s">
        <v>5944</v>
      </c>
      <c r="B2280" t="s">
        <v>26</v>
      </c>
      <c r="C2280" s="23" t="s">
        <v>5945</v>
      </c>
      <c r="D2280" s="23" t="s">
        <v>25217</v>
      </c>
      <c r="E2280" s="23" t="s">
        <v>328</v>
      </c>
      <c r="F2280" s="25" t="s">
        <v>5946</v>
      </c>
      <c r="G2280" s="25" t="s">
        <v>5947</v>
      </c>
      <c r="H2280" t="s">
        <v>26</v>
      </c>
      <c r="I2280" s="24">
        <v>42370</v>
      </c>
      <c r="J2280" s="25" t="s">
        <v>77</v>
      </c>
      <c r="K2280" t="s">
        <v>26</v>
      </c>
      <c r="L2280" s="25" t="s">
        <v>68</v>
      </c>
      <c r="M2280" s="24">
        <v>42370</v>
      </c>
      <c r="N2280" s="25" t="s">
        <v>77</v>
      </c>
      <c r="O2280" t="s">
        <v>26</v>
      </c>
      <c r="P2280" s="24">
        <v>42370</v>
      </c>
      <c r="Q2280" s="25" t="s">
        <v>77</v>
      </c>
      <c r="R2280" t="s">
        <v>26</v>
      </c>
      <c r="S2280" t="s">
        <v>26</v>
      </c>
      <c r="T2280" t="s">
        <v>26</v>
      </c>
      <c r="U2280" t="s">
        <v>26</v>
      </c>
      <c r="V2280" t="s">
        <v>26</v>
      </c>
      <c r="W2280" s="24">
        <v>42370</v>
      </c>
      <c r="X2280" s="25" t="s">
        <v>77</v>
      </c>
      <c r="Y2280" t="s">
        <v>26</v>
      </c>
      <c r="Z2280" s="24">
        <v>42370</v>
      </c>
      <c r="AA2280" s="25" t="s">
        <v>77</v>
      </c>
      <c r="AB2280" t="s">
        <v>26</v>
      </c>
      <c r="AC2280" s="24">
        <v>42370</v>
      </c>
      <c r="AD2280" s="25" t="s">
        <v>77</v>
      </c>
      <c r="AE2280" t="s">
        <v>26</v>
      </c>
      <c r="AF2280" t="s">
        <v>26</v>
      </c>
      <c r="AG2280" t="s">
        <v>26</v>
      </c>
      <c r="AH2280" t="s">
        <v>26</v>
      </c>
      <c r="AI2280" t="s">
        <v>26</v>
      </c>
      <c r="AJ2280" t="s">
        <v>26</v>
      </c>
      <c r="AK2280" t="s">
        <v>26</v>
      </c>
      <c r="AL2280" t="s">
        <v>26</v>
      </c>
      <c r="AM2280" t="s">
        <v>26</v>
      </c>
      <c r="AN2280" t="s">
        <v>26</v>
      </c>
      <c r="AO2280" s="25" t="s">
        <v>68</v>
      </c>
      <c r="AP2280" s="23" t="s">
        <v>69</v>
      </c>
      <c r="AQ2280" s="23" t="s">
        <v>5948</v>
      </c>
      <c r="AR2280" s="23" t="s">
        <v>996</v>
      </c>
      <c r="AS2280" s="25">
        <v>2040060</v>
      </c>
      <c r="AT2280" t="s">
        <v>26</v>
      </c>
      <c r="AU2280" t="s">
        <v>25218</v>
      </c>
    </row>
    <row r="2281" spans="1:47" ht="26.25" x14ac:dyDescent="0.4">
      <c r="A2281" s="23" t="s">
        <v>5949</v>
      </c>
      <c r="B2281" t="s">
        <v>26</v>
      </c>
      <c r="C2281" s="23" t="s">
        <v>5950</v>
      </c>
      <c r="D2281" s="23" t="s">
        <v>25219</v>
      </c>
      <c r="E2281" s="23" t="s">
        <v>328</v>
      </c>
      <c r="F2281" s="25" t="s">
        <v>5951</v>
      </c>
      <c r="G2281" s="25" t="s">
        <v>5952</v>
      </c>
      <c r="H2281" t="s">
        <v>26</v>
      </c>
      <c r="I2281" s="24">
        <v>37591</v>
      </c>
      <c r="J2281" s="24">
        <v>43466</v>
      </c>
      <c r="K2281" t="s">
        <v>26</v>
      </c>
      <c r="L2281" s="25" t="s">
        <v>68</v>
      </c>
      <c r="M2281" s="24">
        <v>42005</v>
      </c>
      <c r="N2281" s="24">
        <v>43466</v>
      </c>
      <c r="O2281" t="s">
        <v>26</v>
      </c>
      <c r="P2281" s="24">
        <v>37591</v>
      </c>
      <c r="Q2281" s="24">
        <v>43466</v>
      </c>
      <c r="R2281" t="s">
        <v>26</v>
      </c>
      <c r="S2281" t="s">
        <v>26</v>
      </c>
      <c r="T2281" t="s">
        <v>26</v>
      </c>
      <c r="U2281" t="s">
        <v>26</v>
      </c>
      <c r="V2281" t="s">
        <v>26</v>
      </c>
      <c r="W2281" s="24">
        <v>29952</v>
      </c>
      <c r="X2281" s="24">
        <v>43466</v>
      </c>
      <c r="Y2281" t="s">
        <v>26</v>
      </c>
      <c r="Z2281" s="24">
        <v>29952</v>
      </c>
      <c r="AA2281" s="24">
        <v>43466</v>
      </c>
      <c r="AB2281" t="s">
        <v>26</v>
      </c>
      <c r="AC2281" s="24">
        <v>29952</v>
      </c>
      <c r="AD2281" s="24">
        <v>43466</v>
      </c>
      <c r="AE2281" s="25" t="s">
        <v>25220</v>
      </c>
      <c r="AF2281" t="s">
        <v>26</v>
      </c>
      <c r="AG2281" t="s">
        <v>26</v>
      </c>
      <c r="AH2281" t="s">
        <v>26</v>
      </c>
      <c r="AI2281" t="s">
        <v>26</v>
      </c>
      <c r="AJ2281" t="s">
        <v>26</v>
      </c>
      <c r="AK2281" t="s">
        <v>26</v>
      </c>
      <c r="AL2281" t="s">
        <v>26</v>
      </c>
      <c r="AM2281" t="s">
        <v>26</v>
      </c>
      <c r="AN2281" t="s">
        <v>26</v>
      </c>
      <c r="AO2281" s="25" t="s">
        <v>68</v>
      </c>
      <c r="AP2281" s="23" t="s">
        <v>69</v>
      </c>
      <c r="AQ2281" s="23" t="s">
        <v>331</v>
      </c>
      <c r="AR2281" s="23" t="s">
        <v>46</v>
      </c>
      <c r="AS2281" s="25">
        <v>2047533</v>
      </c>
      <c r="AT2281" t="s">
        <v>26</v>
      </c>
      <c r="AU2281" t="s">
        <v>25221</v>
      </c>
    </row>
    <row r="2282" spans="1:47" ht="26.25" x14ac:dyDescent="0.4">
      <c r="A2282" s="23" t="s">
        <v>5953</v>
      </c>
      <c r="B2282" t="s">
        <v>26</v>
      </c>
      <c r="C2282" s="23" t="s">
        <v>5954</v>
      </c>
      <c r="D2282" s="23" t="s">
        <v>25222</v>
      </c>
      <c r="E2282" s="23" t="s">
        <v>328</v>
      </c>
      <c r="F2282" s="25" t="s">
        <v>5955</v>
      </c>
      <c r="G2282" s="25" t="s">
        <v>5956</v>
      </c>
      <c r="H2282" t="s">
        <v>26</v>
      </c>
      <c r="I2282" s="24">
        <v>37257</v>
      </c>
      <c r="J2282" s="25" t="s">
        <v>77</v>
      </c>
      <c r="K2282" s="25" t="s">
        <v>5957</v>
      </c>
      <c r="L2282" s="25" t="s">
        <v>68</v>
      </c>
      <c r="M2282" t="s">
        <v>26</v>
      </c>
      <c r="N2282" t="s">
        <v>26</v>
      </c>
      <c r="O2282" t="s">
        <v>26</v>
      </c>
      <c r="P2282" s="24">
        <v>37257</v>
      </c>
      <c r="Q2282" s="25" t="s">
        <v>77</v>
      </c>
      <c r="R2282" s="25" t="s">
        <v>5957</v>
      </c>
      <c r="S2282" t="s">
        <v>26</v>
      </c>
      <c r="T2282" t="s">
        <v>26</v>
      </c>
      <c r="U2282" t="s">
        <v>26</v>
      </c>
      <c r="V2282" t="s">
        <v>26</v>
      </c>
      <c r="W2282" s="24">
        <v>37257</v>
      </c>
      <c r="X2282" s="25" t="s">
        <v>77</v>
      </c>
      <c r="Y2282" s="25" t="s">
        <v>5957</v>
      </c>
      <c r="Z2282" s="24">
        <v>37257</v>
      </c>
      <c r="AA2282" s="25" t="s">
        <v>77</v>
      </c>
      <c r="AB2282" s="25" t="s">
        <v>5957</v>
      </c>
      <c r="AC2282" s="24">
        <v>37257</v>
      </c>
      <c r="AD2282" s="25" t="s">
        <v>77</v>
      </c>
      <c r="AE2282" s="25" t="s">
        <v>5957</v>
      </c>
      <c r="AF2282" t="s">
        <v>26</v>
      </c>
      <c r="AG2282" t="s">
        <v>26</v>
      </c>
      <c r="AH2282" t="s">
        <v>26</v>
      </c>
      <c r="AI2282" t="s">
        <v>26</v>
      </c>
      <c r="AJ2282" t="s">
        <v>26</v>
      </c>
      <c r="AK2282" t="s">
        <v>26</v>
      </c>
      <c r="AL2282" t="s">
        <v>26</v>
      </c>
      <c r="AM2282" t="s">
        <v>26</v>
      </c>
      <c r="AN2282" t="s">
        <v>26</v>
      </c>
      <c r="AO2282" s="25" t="s">
        <v>68</v>
      </c>
      <c r="AP2282" s="23" t="s">
        <v>69</v>
      </c>
      <c r="AQ2282" s="23" t="s">
        <v>876</v>
      </c>
      <c r="AR2282" s="23" t="s">
        <v>46</v>
      </c>
      <c r="AS2282" s="25">
        <v>2038578</v>
      </c>
      <c r="AT2282" t="s">
        <v>26</v>
      </c>
      <c r="AU2282" t="s">
        <v>25223</v>
      </c>
    </row>
    <row r="2283" spans="1:47" ht="39.4" x14ac:dyDescent="0.4">
      <c r="A2283" s="23" t="s">
        <v>5960</v>
      </c>
      <c r="B2283" t="s">
        <v>26</v>
      </c>
      <c r="C2283" s="23" t="s">
        <v>5961</v>
      </c>
      <c r="D2283" s="23" t="s">
        <v>25224</v>
      </c>
      <c r="E2283" s="23" t="s">
        <v>328</v>
      </c>
      <c r="F2283" s="25" t="s">
        <v>5962</v>
      </c>
      <c r="G2283" s="25" t="s">
        <v>5963</v>
      </c>
      <c r="H2283" t="s">
        <v>26</v>
      </c>
      <c r="I2283" s="24">
        <v>37257</v>
      </c>
      <c r="J2283" s="25" t="s">
        <v>77</v>
      </c>
      <c r="K2283" t="s">
        <v>26</v>
      </c>
      <c r="L2283" s="25" t="s">
        <v>68</v>
      </c>
      <c r="M2283" t="s">
        <v>26</v>
      </c>
      <c r="N2283" t="s">
        <v>26</v>
      </c>
      <c r="O2283" t="s">
        <v>26</v>
      </c>
      <c r="P2283" s="24">
        <v>37257</v>
      </c>
      <c r="Q2283" s="25" t="s">
        <v>77</v>
      </c>
      <c r="R2283" t="s">
        <v>26</v>
      </c>
      <c r="S2283" t="s">
        <v>26</v>
      </c>
      <c r="T2283" t="s">
        <v>26</v>
      </c>
      <c r="U2283" t="s">
        <v>26</v>
      </c>
      <c r="V2283" t="s">
        <v>26</v>
      </c>
      <c r="W2283" s="24">
        <v>37257</v>
      </c>
      <c r="X2283" s="25" t="s">
        <v>77</v>
      </c>
      <c r="Y2283" t="s">
        <v>26</v>
      </c>
      <c r="Z2283" s="24">
        <v>37257</v>
      </c>
      <c r="AA2283" s="25" t="s">
        <v>77</v>
      </c>
      <c r="AB2283" t="s">
        <v>26</v>
      </c>
      <c r="AC2283" s="24">
        <v>37257</v>
      </c>
      <c r="AD2283" s="25" t="s">
        <v>77</v>
      </c>
      <c r="AE2283" t="s">
        <v>26</v>
      </c>
      <c r="AF2283" t="s">
        <v>26</v>
      </c>
      <c r="AG2283" t="s">
        <v>26</v>
      </c>
      <c r="AH2283" t="s">
        <v>26</v>
      </c>
      <c r="AI2283" t="s">
        <v>26</v>
      </c>
      <c r="AJ2283" t="s">
        <v>26</v>
      </c>
      <c r="AK2283" t="s">
        <v>26</v>
      </c>
      <c r="AL2283" t="s">
        <v>26</v>
      </c>
      <c r="AM2283" t="s">
        <v>26</v>
      </c>
      <c r="AN2283" t="s">
        <v>26</v>
      </c>
      <c r="AO2283" s="25" t="s">
        <v>68</v>
      </c>
      <c r="AP2283" s="23" t="s">
        <v>69</v>
      </c>
      <c r="AQ2283" s="23" t="s">
        <v>5948</v>
      </c>
      <c r="AR2283" s="23" t="s">
        <v>46</v>
      </c>
      <c r="AS2283" s="25">
        <v>6364555</v>
      </c>
      <c r="AT2283" t="s">
        <v>26</v>
      </c>
      <c r="AU2283" t="s">
        <v>25225</v>
      </c>
    </row>
    <row r="2284" spans="1:47" ht="52.5" x14ac:dyDescent="0.4">
      <c r="A2284" s="23" t="s">
        <v>5964</v>
      </c>
      <c r="B2284" t="s">
        <v>26</v>
      </c>
      <c r="C2284" s="23" t="s">
        <v>5965</v>
      </c>
      <c r="D2284" s="23" t="s">
        <v>25222</v>
      </c>
      <c r="E2284" s="23" t="s">
        <v>328</v>
      </c>
      <c r="F2284" s="25" t="s">
        <v>5966</v>
      </c>
      <c r="G2284" s="25" t="s">
        <v>5967</v>
      </c>
      <c r="H2284" t="s">
        <v>26</v>
      </c>
      <c r="I2284" s="24">
        <v>42461</v>
      </c>
      <c r="J2284" s="24">
        <v>43435</v>
      </c>
      <c r="K2284" t="s">
        <v>26</v>
      </c>
      <c r="L2284" s="25" t="s">
        <v>68</v>
      </c>
      <c r="M2284" s="24">
        <v>42461</v>
      </c>
      <c r="N2284" s="24">
        <v>43435</v>
      </c>
      <c r="O2284" t="s">
        <v>26</v>
      </c>
      <c r="P2284" s="24">
        <v>42461</v>
      </c>
      <c r="Q2284" s="24">
        <v>43435</v>
      </c>
      <c r="R2284" t="s">
        <v>26</v>
      </c>
      <c r="S2284" t="s">
        <v>26</v>
      </c>
      <c r="T2284" t="s">
        <v>26</v>
      </c>
      <c r="U2284" t="s">
        <v>26</v>
      </c>
      <c r="V2284" t="s">
        <v>26</v>
      </c>
      <c r="W2284" s="24">
        <v>42461</v>
      </c>
      <c r="X2284" s="24">
        <v>43435</v>
      </c>
      <c r="Y2284" t="s">
        <v>26</v>
      </c>
      <c r="Z2284" s="24">
        <v>42461</v>
      </c>
      <c r="AA2284" s="24">
        <v>43435</v>
      </c>
      <c r="AB2284" t="s">
        <v>26</v>
      </c>
      <c r="AC2284" s="24">
        <v>42461</v>
      </c>
      <c r="AD2284" s="24">
        <v>43435</v>
      </c>
      <c r="AE2284" t="s">
        <v>26</v>
      </c>
      <c r="AF2284" t="s">
        <v>26</v>
      </c>
      <c r="AG2284" t="s">
        <v>26</v>
      </c>
      <c r="AH2284" t="s">
        <v>26</v>
      </c>
      <c r="AI2284" t="s">
        <v>26</v>
      </c>
      <c r="AJ2284" t="s">
        <v>26</v>
      </c>
      <c r="AK2284" t="s">
        <v>26</v>
      </c>
      <c r="AL2284" t="s">
        <v>26</v>
      </c>
      <c r="AM2284" t="s">
        <v>26</v>
      </c>
      <c r="AN2284" t="s">
        <v>26</v>
      </c>
      <c r="AO2284" s="25" t="s">
        <v>68</v>
      </c>
      <c r="AP2284" s="23" t="s">
        <v>69</v>
      </c>
      <c r="AQ2284" s="23" t="s">
        <v>5968</v>
      </c>
      <c r="AR2284" s="23" t="s">
        <v>46</v>
      </c>
      <c r="AS2284" s="25">
        <v>2045970</v>
      </c>
      <c r="AT2284" t="s">
        <v>26</v>
      </c>
      <c r="AU2284" t="s">
        <v>25226</v>
      </c>
    </row>
    <row r="2285" spans="1:47" ht="26.25" x14ac:dyDescent="0.4">
      <c r="A2285" s="23" t="s">
        <v>5969</v>
      </c>
      <c r="B2285" t="s">
        <v>26</v>
      </c>
      <c r="C2285" s="23" t="s">
        <v>5970</v>
      </c>
      <c r="D2285" s="23" t="s">
        <v>25213</v>
      </c>
      <c r="E2285" s="23" t="s">
        <v>155</v>
      </c>
      <c r="F2285" s="25" t="s">
        <v>5971</v>
      </c>
      <c r="G2285" s="25" t="s">
        <v>5972</v>
      </c>
      <c r="H2285" t="s">
        <v>26</v>
      </c>
      <c r="I2285" s="24">
        <v>35977</v>
      </c>
      <c r="J2285" s="25" t="s">
        <v>77</v>
      </c>
      <c r="K2285" t="s">
        <v>26</v>
      </c>
      <c r="L2285" s="25" t="s">
        <v>68</v>
      </c>
      <c r="M2285" t="s">
        <v>26</v>
      </c>
      <c r="N2285" t="s">
        <v>26</v>
      </c>
      <c r="O2285" t="s">
        <v>26</v>
      </c>
      <c r="P2285" s="24">
        <v>35977</v>
      </c>
      <c r="Q2285" s="25" t="s">
        <v>77</v>
      </c>
      <c r="R2285" t="s">
        <v>26</v>
      </c>
      <c r="S2285" t="s">
        <v>26</v>
      </c>
      <c r="T2285" t="s">
        <v>26</v>
      </c>
      <c r="U2285" t="s">
        <v>26</v>
      </c>
      <c r="V2285" t="s">
        <v>26</v>
      </c>
      <c r="W2285" s="24">
        <v>35977</v>
      </c>
      <c r="X2285" s="25" t="s">
        <v>77</v>
      </c>
      <c r="Y2285" t="s">
        <v>26</v>
      </c>
      <c r="Z2285" s="24">
        <v>35977</v>
      </c>
      <c r="AA2285" s="25" t="s">
        <v>77</v>
      </c>
      <c r="AB2285" t="s">
        <v>26</v>
      </c>
      <c r="AC2285" s="24">
        <v>35977</v>
      </c>
      <c r="AD2285" s="25" t="s">
        <v>77</v>
      </c>
      <c r="AE2285" t="s">
        <v>26</v>
      </c>
      <c r="AF2285" t="s">
        <v>26</v>
      </c>
      <c r="AG2285" t="s">
        <v>26</v>
      </c>
      <c r="AH2285" t="s">
        <v>26</v>
      </c>
      <c r="AI2285" t="s">
        <v>26</v>
      </c>
      <c r="AJ2285" t="s">
        <v>26</v>
      </c>
      <c r="AK2285" t="s">
        <v>26</v>
      </c>
      <c r="AL2285" t="s">
        <v>26</v>
      </c>
      <c r="AM2285" t="s">
        <v>26</v>
      </c>
      <c r="AN2285" t="s">
        <v>26</v>
      </c>
      <c r="AO2285" s="25" t="s">
        <v>68</v>
      </c>
      <c r="AP2285" s="23" t="s">
        <v>69</v>
      </c>
      <c r="AQ2285" s="23" t="s">
        <v>142</v>
      </c>
      <c r="AR2285" s="23" t="s">
        <v>46</v>
      </c>
      <c r="AS2285" s="25">
        <v>2027439</v>
      </c>
      <c r="AT2285" t="s">
        <v>26</v>
      </c>
      <c r="AU2285" t="s">
        <v>25227</v>
      </c>
    </row>
    <row r="2286" spans="1:47" ht="26.25" x14ac:dyDescent="0.4">
      <c r="A2286" s="23" t="s">
        <v>5973</v>
      </c>
      <c r="B2286" t="s">
        <v>26</v>
      </c>
      <c r="C2286" s="23" t="s">
        <v>73</v>
      </c>
      <c r="D2286" s="23" t="s">
        <v>25217</v>
      </c>
      <c r="E2286" s="23" t="s">
        <v>74</v>
      </c>
      <c r="F2286" s="25" t="s">
        <v>5974</v>
      </c>
      <c r="G2286" s="25" t="s">
        <v>5975</v>
      </c>
      <c r="H2286" t="s">
        <v>26</v>
      </c>
      <c r="I2286" s="24">
        <v>36770</v>
      </c>
      <c r="J2286" s="25" t="s">
        <v>77</v>
      </c>
      <c r="K2286" t="s">
        <v>26</v>
      </c>
      <c r="L2286" s="25" t="s">
        <v>68</v>
      </c>
      <c r="M2286" s="24">
        <v>37987</v>
      </c>
      <c r="N2286" s="25" t="s">
        <v>77</v>
      </c>
      <c r="O2286" s="25" t="s">
        <v>4562</v>
      </c>
      <c r="P2286" s="24">
        <v>36770</v>
      </c>
      <c r="Q2286" s="25" t="s">
        <v>77</v>
      </c>
      <c r="R2286" t="s">
        <v>26</v>
      </c>
      <c r="S2286" t="s">
        <v>26</v>
      </c>
      <c r="T2286" t="s">
        <v>26</v>
      </c>
      <c r="U2286" t="s">
        <v>26</v>
      </c>
      <c r="V2286" t="s">
        <v>26</v>
      </c>
      <c r="W2286" s="24">
        <v>36770</v>
      </c>
      <c r="X2286" s="25" t="s">
        <v>77</v>
      </c>
      <c r="Y2286" t="s">
        <v>26</v>
      </c>
      <c r="Z2286" s="24">
        <v>36770</v>
      </c>
      <c r="AA2286" s="25" t="s">
        <v>77</v>
      </c>
      <c r="AB2286" t="s">
        <v>26</v>
      </c>
      <c r="AC2286" s="24">
        <v>36770</v>
      </c>
      <c r="AD2286" s="25" t="s">
        <v>77</v>
      </c>
      <c r="AE2286" t="s">
        <v>26</v>
      </c>
      <c r="AF2286" t="s">
        <v>26</v>
      </c>
      <c r="AG2286" t="s">
        <v>26</v>
      </c>
      <c r="AH2286" t="s">
        <v>26</v>
      </c>
      <c r="AI2286" t="s">
        <v>26</v>
      </c>
      <c r="AJ2286" t="s">
        <v>26</v>
      </c>
      <c r="AK2286" t="s">
        <v>26</v>
      </c>
      <c r="AL2286" t="s">
        <v>26</v>
      </c>
      <c r="AM2286" t="s">
        <v>26</v>
      </c>
      <c r="AN2286" t="s">
        <v>26</v>
      </c>
      <c r="AO2286" s="25" t="s">
        <v>68</v>
      </c>
      <c r="AP2286" s="23" t="s">
        <v>69</v>
      </c>
      <c r="AQ2286" s="23" t="s">
        <v>331</v>
      </c>
      <c r="AR2286" s="23" t="s">
        <v>46</v>
      </c>
      <c r="AS2286" s="25">
        <v>2035993</v>
      </c>
      <c r="AT2286" t="s">
        <v>26</v>
      </c>
      <c r="AU2286" t="s">
        <v>25228</v>
      </c>
    </row>
    <row r="2287" spans="1:47" ht="39.4" x14ac:dyDescent="0.4">
      <c r="A2287" s="23" t="s">
        <v>5976</v>
      </c>
      <c r="B2287" t="s">
        <v>26</v>
      </c>
      <c r="C2287" t="s">
        <v>26</v>
      </c>
      <c r="D2287" s="23" t="s">
        <v>22207</v>
      </c>
      <c r="E2287" t="s">
        <v>26</v>
      </c>
      <c r="F2287" s="25" t="s">
        <v>5977</v>
      </c>
      <c r="G2287" s="25" t="s">
        <v>5978</v>
      </c>
      <c r="H2287" t="s">
        <v>26</v>
      </c>
      <c r="I2287" s="24">
        <v>34700</v>
      </c>
      <c r="J2287" s="25" t="s">
        <v>77</v>
      </c>
      <c r="K2287" t="s">
        <v>26</v>
      </c>
      <c r="L2287" s="25" t="s">
        <v>68</v>
      </c>
      <c r="M2287" s="24">
        <v>34700</v>
      </c>
      <c r="N2287" s="25" t="s">
        <v>77</v>
      </c>
      <c r="O2287" s="25" t="s">
        <v>3444</v>
      </c>
      <c r="P2287" s="24">
        <v>35796</v>
      </c>
      <c r="Q2287" s="25" t="s">
        <v>77</v>
      </c>
      <c r="R2287" t="s">
        <v>26</v>
      </c>
      <c r="S2287" t="s">
        <v>26</v>
      </c>
      <c r="T2287" t="s">
        <v>26</v>
      </c>
      <c r="U2287" t="s">
        <v>26</v>
      </c>
      <c r="V2287" t="s">
        <v>26</v>
      </c>
      <c r="W2287" s="24">
        <v>34700</v>
      </c>
      <c r="X2287" s="25" t="s">
        <v>77</v>
      </c>
      <c r="Y2287" t="s">
        <v>26</v>
      </c>
      <c r="Z2287" s="24">
        <v>34700</v>
      </c>
      <c r="AA2287" s="25" t="s">
        <v>77</v>
      </c>
      <c r="AB2287" t="s">
        <v>26</v>
      </c>
      <c r="AC2287" s="24">
        <v>34700</v>
      </c>
      <c r="AD2287" s="25" t="s">
        <v>77</v>
      </c>
      <c r="AE2287" t="s">
        <v>26</v>
      </c>
      <c r="AF2287" t="s">
        <v>26</v>
      </c>
      <c r="AG2287" t="s">
        <v>26</v>
      </c>
      <c r="AH2287" t="s">
        <v>26</v>
      </c>
      <c r="AI2287" t="s">
        <v>26</v>
      </c>
      <c r="AJ2287" t="s">
        <v>26</v>
      </c>
      <c r="AK2287" t="s">
        <v>26</v>
      </c>
      <c r="AL2287" t="s">
        <v>26</v>
      </c>
      <c r="AM2287" t="s">
        <v>26</v>
      </c>
      <c r="AN2287" t="s">
        <v>26</v>
      </c>
      <c r="AO2287" s="25" t="s">
        <v>68</v>
      </c>
      <c r="AP2287" s="23" t="s">
        <v>69</v>
      </c>
      <c r="AQ2287" s="23" t="s">
        <v>226</v>
      </c>
      <c r="AR2287" s="23" t="s">
        <v>123</v>
      </c>
      <c r="AS2287" s="25">
        <v>4852147</v>
      </c>
      <c r="AT2287" t="s">
        <v>26</v>
      </c>
      <c r="AU2287" t="s">
        <v>25229</v>
      </c>
    </row>
    <row r="2288" spans="1:47" ht="39.4" x14ac:dyDescent="0.4">
      <c r="A2288" s="23" t="s">
        <v>5979</v>
      </c>
      <c r="B2288" t="s">
        <v>26</v>
      </c>
      <c r="C2288" s="23" t="s">
        <v>742</v>
      </c>
      <c r="D2288" s="23" t="s">
        <v>22207</v>
      </c>
      <c r="E2288" s="23" t="s">
        <v>139</v>
      </c>
      <c r="F2288" s="25" t="s">
        <v>5980</v>
      </c>
      <c r="G2288" s="25" t="s">
        <v>5981</v>
      </c>
      <c r="H2288" t="s">
        <v>26</v>
      </c>
      <c r="I2288" s="24">
        <v>38718</v>
      </c>
      <c r="J2288" s="25" t="s">
        <v>77</v>
      </c>
      <c r="K2288" t="s">
        <v>26</v>
      </c>
      <c r="L2288" s="25" t="s">
        <v>68</v>
      </c>
      <c r="M2288" s="24">
        <v>38718</v>
      </c>
      <c r="N2288" s="24">
        <v>42491</v>
      </c>
      <c r="O2288" t="s">
        <v>26</v>
      </c>
      <c r="P2288" s="24">
        <v>38718</v>
      </c>
      <c r="Q2288" s="25" t="s">
        <v>77</v>
      </c>
      <c r="R2288" t="s">
        <v>26</v>
      </c>
      <c r="S2288" t="s">
        <v>26</v>
      </c>
      <c r="T2288" t="s">
        <v>26</v>
      </c>
      <c r="U2288" t="s">
        <v>26</v>
      </c>
      <c r="V2288" t="s">
        <v>26</v>
      </c>
      <c r="W2288" s="24">
        <v>38718</v>
      </c>
      <c r="X2288" s="25" t="s">
        <v>77</v>
      </c>
      <c r="Y2288" t="s">
        <v>26</v>
      </c>
      <c r="Z2288" s="24">
        <v>38718</v>
      </c>
      <c r="AA2288" s="25" t="s">
        <v>77</v>
      </c>
      <c r="AB2288" t="s">
        <v>26</v>
      </c>
      <c r="AC2288" s="24">
        <v>38718</v>
      </c>
      <c r="AD2288" s="25" t="s">
        <v>77</v>
      </c>
      <c r="AE2288" t="s">
        <v>26</v>
      </c>
      <c r="AF2288" t="s">
        <v>26</v>
      </c>
      <c r="AG2288" t="s">
        <v>26</v>
      </c>
      <c r="AH2288" t="s">
        <v>26</v>
      </c>
      <c r="AI2288" t="s">
        <v>26</v>
      </c>
      <c r="AJ2288" t="s">
        <v>26</v>
      </c>
      <c r="AK2288" t="s">
        <v>26</v>
      </c>
      <c r="AL2288" t="s">
        <v>26</v>
      </c>
      <c r="AM2288" t="s">
        <v>26</v>
      </c>
      <c r="AN2288" t="s">
        <v>26</v>
      </c>
      <c r="AO2288" s="25" t="s">
        <v>28</v>
      </c>
      <c r="AP2288" s="23" t="s">
        <v>69</v>
      </c>
      <c r="AQ2288" s="23" t="s">
        <v>226</v>
      </c>
      <c r="AR2288" s="23" t="s">
        <v>5982</v>
      </c>
      <c r="AS2288" s="25">
        <v>54850</v>
      </c>
      <c r="AT2288" t="s">
        <v>26</v>
      </c>
      <c r="AU2288" t="s">
        <v>25230</v>
      </c>
    </row>
    <row r="2289" spans="1:47" ht="26.25" x14ac:dyDescent="0.4">
      <c r="A2289" s="23" t="s">
        <v>5983</v>
      </c>
      <c r="B2289" t="s">
        <v>26</v>
      </c>
      <c r="C2289" s="23" t="s">
        <v>5984</v>
      </c>
      <c r="D2289" s="23" t="s">
        <v>25231</v>
      </c>
      <c r="E2289" s="23" t="s">
        <v>5985</v>
      </c>
      <c r="F2289" s="25" t="s">
        <v>5986</v>
      </c>
      <c r="G2289" s="25" t="s">
        <v>5987</v>
      </c>
      <c r="H2289" t="s">
        <v>26</v>
      </c>
      <c r="I2289" s="24">
        <v>37257</v>
      </c>
      <c r="J2289" s="25" t="s">
        <v>77</v>
      </c>
      <c r="K2289" t="s">
        <v>26</v>
      </c>
      <c r="L2289" s="25" t="s">
        <v>68</v>
      </c>
      <c r="M2289" s="24">
        <v>37257</v>
      </c>
      <c r="N2289" s="25" t="s">
        <v>77</v>
      </c>
      <c r="O2289" t="s">
        <v>26</v>
      </c>
      <c r="P2289" s="24">
        <v>37257</v>
      </c>
      <c r="Q2289" s="25" t="s">
        <v>77</v>
      </c>
      <c r="R2289" t="s">
        <v>26</v>
      </c>
      <c r="S2289" t="s">
        <v>26</v>
      </c>
      <c r="T2289" t="s">
        <v>26</v>
      </c>
      <c r="U2289" t="s">
        <v>26</v>
      </c>
      <c r="V2289" t="s">
        <v>26</v>
      </c>
      <c r="W2289" s="24">
        <v>37257</v>
      </c>
      <c r="X2289" s="25" t="s">
        <v>77</v>
      </c>
      <c r="Y2289" t="s">
        <v>26</v>
      </c>
      <c r="Z2289" s="24">
        <v>37257</v>
      </c>
      <c r="AA2289" s="25" t="s">
        <v>77</v>
      </c>
      <c r="AB2289" t="s">
        <v>26</v>
      </c>
      <c r="AC2289" s="24">
        <v>42856</v>
      </c>
      <c r="AD2289" s="25" t="s">
        <v>77</v>
      </c>
      <c r="AE2289" t="s">
        <v>26</v>
      </c>
      <c r="AF2289" t="s">
        <v>26</v>
      </c>
      <c r="AG2289" t="s">
        <v>26</v>
      </c>
      <c r="AH2289" t="s">
        <v>26</v>
      </c>
      <c r="AI2289" t="s">
        <v>26</v>
      </c>
      <c r="AJ2289" t="s">
        <v>26</v>
      </c>
      <c r="AK2289" t="s">
        <v>26</v>
      </c>
      <c r="AL2289" t="s">
        <v>26</v>
      </c>
      <c r="AM2289" t="s">
        <v>26</v>
      </c>
      <c r="AN2289" t="s">
        <v>26</v>
      </c>
      <c r="AO2289" s="25" t="s">
        <v>68</v>
      </c>
      <c r="AP2289" s="23" t="s">
        <v>69</v>
      </c>
      <c r="AQ2289" s="23" t="s">
        <v>30</v>
      </c>
      <c r="AR2289" s="23" t="s">
        <v>46</v>
      </c>
      <c r="AS2289" s="25">
        <v>105527</v>
      </c>
      <c r="AT2289" t="s">
        <v>26</v>
      </c>
      <c r="AU2289" t="s">
        <v>25232</v>
      </c>
    </row>
    <row r="2290" spans="1:47" ht="39.4" x14ac:dyDescent="0.4">
      <c r="A2290" s="23" t="s">
        <v>25233</v>
      </c>
      <c r="B2290" t="s">
        <v>26</v>
      </c>
      <c r="C2290" s="23" t="s">
        <v>2410</v>
      </c>
      <c r="D2290" s="23" t="s">
        <v>25234</v>
      </c>
      <c r="E2290" s="23" t="s">
        <v>139</v>
      </c>
      <c r="F2290" s="25" t="s">
        <v>25235</v>
      </c>
      <c r="G2290" s="25" t="s">
        <v>25236</v>
      </c>
      <c r="H2290" t="s">
        <v>26</v>
      </c>
      <c r="I2290" s="24">
        <v>32509</v>
      </c>
      <c r="J2290" s="25" t="s">
        <v>77</v>
      </c>
      <c r="K2290" t="s">
        <v>26</v>
      </c>
      <c r="L2290" s="25" t="s">
        <v>68</v>
      </c>
      <c r="M2290" s="24">
        <v>32509</v>
      </c>
      <c r="N2290" s="24">
        <v>38718</v>
      </c>
      <c r="O2290" t="s">
        <v>26</v>
      </c>
      <c r="P2290" s="24">
        <v>32509</v>
      </c>
      <c r="Q2290" s="25" t="s">
        <v>77</v>
      </c>
      <c r="R2290" t="s">
        <v>26</v>
      </c>
      <c r="S2290" t="s">
        <v>26</v>
      </c>
      <c r="T2290" t="s">
        <v>26</v>
      </c>
      <c r="U2290" t="s">
        <v>26</v>
      </c>
      <c r="V2290" t="s">
        <v>26</v>
      </c>
      <c r="W2290" s="24">
        <v>32509</v>
      </c>
      <c r="X2290" s="25" t="s">
        <v>77</v>
      </c>
      <c r="Y2290" t="s">
        <v>26</v>
      </c>
      <c r="Z2290" s="24">
        <v>32509</v>
      </c>
      <c r="AA2290" s="25" t="s">
        <v>77</v>
      </c>
      <c r="AB2290" t="s">
        <v>26</v>
      </c>
      <c r="AC2290" s="24">
        <v>32509</v>
      </c>
      <c r="AD2290" s="25" t="s">
        <v>77</v>
      </c>
      <c r="AE2290" t="s">
        <v>26</v>
      </c>
      <c r="AF2290" t="s">
        <v>26</v>
      </c>
      <c r="AG2290" t="s">
        <v>26</v>
      </c>
      <c r="AH2290" t="s">
        <v>26</v>
      </c>
      <c r="AI2290" t="s">
        <v>26</v>
      </c>
      <c r="AJ2290" t="s">
        <v>26</v>
      </c>
      <c r="AK2290" t="s">
        <v>26</v>
      </c>
      <c r="AL2290" t="s">
        <v>26</v>
      </c>
      <c r="AM2290" t="s">
        <v>26</v>
      </c>
      <c r="AN2290" t="s">
        <v>26</v>
      </c>
      <c r="AO2290" s="25" t="s">
        <v>68</v>
      </c>
      <c r="AP2290" s="23" t="s">
        <v>69</v>
      </c>
      <c r="AQ2290" s="23" t="s">
        <v>226</v>
      </c>
      <c r="AR2290" s="23" t="s">
        <v>46</v>
      </c>
      <c r="AS2290" s="25">
        <v>6385226</v>
      </c>
      <c r="AT2290" t="s">
        <v>26</v>
      </c>
      <c r="AU2290" t="s">
        <v>25237</v>
      </c>
    </row>
    <row r="2291" spans="1:47" ht="52.5" x14ac:dyDescent="0.4">
      <c r="A2291" s="23" t="s">
        <v>5988</v>
      </c>
      <c r="B2291" t="s">
        <v>26</v>
      </c>
      <c r="C2291" s="23" t="s">
        <v>5989</v>
      </c>
      <c r="D2291" s="23" t="s">
        <v>23460</v>
      </c>
      <c r="E2291" s="23" t="s">
        <v>120</v>
      </c>
      <c r="F2291" s="25" t="s">
        <v>5990</v>
      </c>
      <c r="G2291" s="25" t="s">
        <v>5991</v>
      </c>
      <c r="H2291" t="s">
        <v>26</v>
      </c>
      <c r="I2291" s="24">
        <v>42005</v>
      </c>
      <c r="J2291" s="24">
        <v>43831</v>
      </c>
      <c r="K2291" t="s">
        <v>26</v>
      </c>
      <c r="L2291" s="25" t="s">
        <v>68</v>
      </c>
      <c r="M2291" s="24">
        <v>42005</v>
      </c>
      <c r="N2291" s="24">
        <v>43831</v>
      </c>
      <c r="O2291" t="s">
        <v>26</v>
      </c>
      <c r="P2291" s="24">
        <v>42005</v>
      </c>
      <c r="Q2291" s="24">
        <v>43831</v>
      </c>
      <c r="R2291" t="s">
        <v>26</v>
      </c>
      <c r="S2291" t="s">
        <v>26</v>
      </c>
      <c r="T2291" t="s">
        <v>26</v>
      </c>
      <c r="U2291" t="s">
        <v>26</v>
      </c>
      <c r="V2291" t="s">
        <v>26</v>
      </c>
      <c r="W2291" s="24">
        <v>42005</v>
      </c>
      <c r="X2291" s="24">
        <v>43831</v>
      </c>
      <c r="Y2291" t="s">
        <v>26</v>
      </c>
      <c r="Z2291" s="24">
        <v>42005</v>
      </c>
      <c r="AA2291" s="24">
        <v>43831</v>
      </c>
      <c r="AB2291" t="s">
        <v>26</v>
      </c>
      <c r="AC2291" s="24">
        <v>42736</v>
      </c>
      <c r="AD2291" s="24">
        <v>43831</v>
      </c>
      <c r="AE2291" t="s">
        <v>26</v>
      </c>
      <c r="AF2291" t="s">
        <v>26</v>
      </c>
      <c r="AG2291" t="s">
        <v>26</v>
      </c>
      <c r="AH2291" t="s">
        <v>26</v>
      </c>
      <c r="AI2291" t="s">
        <v>26</v>
      </c>
      <c r="AJ2291" t="s">
        <v>26</v>
      </c>
      <c r="AK2291" t="s">
        <v>26</v>
      </c>
      <c r="AL2291" t="s">
        <v>26</v>
      </c>
      <c r="AM2291" t="s">
        <v>26</v>
      </c>
      <c r="AN2291" t="s">
        <v>26</v>
      </c>
      <c r="AO2291" s="25" t="s">
        <v>68</v>
      </c>
      <c r="AP2291" s="23" t="s">
        <v>69</v>
      </c>
      <c r="AQ2291" s="23" t="s">
        <v>5992</v>
      </c>
      <c r="AR2291" s="23" t="s">
        <v>46</v>
      </c>
      <c r="AS2291" s="25">
        <v>2042243</v>
      </c>
      <c r="AT2291" t="s">
        <v>26</v>
      </c>
      <c r="AU2291" t="s">
        <v>25238</v>
      </c>
    </row>
    <row r="2292" spans="1:47" ht="39.4" x14ac:dyDescent="0.4">
      <c r="A2292" s="23" t="s">
        <v>5993</v>
      </c>
      <c r="B2292" t="s">
        <v>26</v>
      </c>
      <c r="C2292" s="23" t="s">
        <v>554</v>
      </c>
      <c r="D2292" s="23" t="s">
        <v>22393</v>
      </c>
      <c r="E2292" s="23" t="s">
        <v>120</v>
      </c>
      <c r="F2292" s="25" t="s">
        <v>5994</v>
      </c>
      <c r="G2292" t="s">
        <v>26</v>
      </c>
      <c r="H2292" t="s">
        <v>26</v>
      </c>
      <c r="I2292" s="24">
        <v>40909</v>
      </c>
      <c r="J2292" s="25" t="s">
        <v>77</v>
      </c>
      <c r="K2292" t="s">
        <v>26</v>
      </c>
      <c r="L2292" s="25" t="s">
        <v>68</v>
      </c>
      <c r="M2292" s="24">
        <v>40909</v>
      </c>
      <c r="N2292" s="25" t="s">
        <v>77</v>
      </c>
      <c r="O2292" t="s">
        <v>26</v>
      </c>
      <c r="P2292" s="24">
        <v>40909</v>
      </c>
      <c r="Q2292" s="25" t="s">
        <v>77</v>
      </c>
      <c r="R2292" t="s">
        <v>26</v>
      </c>
      <c r="S2292" t="s">
        <v>26</v>
      </c>
      <c r="T2292" t="s">
        <v>26</v>
      </c>
      <c r="U2292" t="s">
        <v>26</v>
      </c>
      <c r="V2292" t="s">
        <v>26</v>
      </c>
      <c r="W2292" s="24">
        <v>40909</v>
      </c>
      <c r="X2292" s="25" t="s">
        <v>77</v>
      </c>
      <c r="Y2292" t="s">
        <v>26</v>
      </c>
      <c r="Z2292" s="24">
        <v>40909</v>
      </c>
      <c r="AA2292" s="25" t="s">
        <v>77</v>
      </c>
      <c r="AB2292" t="s">
        <v>26</v>
      </c>
      <c r="AC2292" s="24">
        <v>40909</v>
      </c>
      <c r="AD2292" s="25" t="s">
        <v>77</v>
      </c>
      <c r="AE2292" t="s">
        <v>26</v>
      </c>
      <c r="AF2292" t="s">
        <v>26</v>
      </c>
      <c r="AG2292" t="s">
        <v>26</v>
      </c>
      <c r="AH2292" t="s">
        <v>26</v>
      </c>
      <c r="AI2292" t="s">
        <v>26</v>
      </c>
      <c r="AJ2292" t="s">
        <v>26</v>
      </c>
      <c r="AK2292" t="s">
        <v>26</v>
      </c>
      <c r="AL2292" t="s">
        <v>26</v>
      </c>
      <c r="AM2292" t="s">
        <v>26</v>
      </c>
      <c r="AN2292" t="s">
        <v>26</v>
      </c>
      <c r="AO2292" s="25" t="s">
        <v>68</v>
      </c>
      <c r="AP2292" s="23" t="s">
        <v>69</v>
      </c>
      <c r="AQ2292" s="23" t="s">
        <v>5995</v>
      </c>
      <c r="AR2292" s="23" t="s">
        <v>46</v>
      </c>
      <c r="AS2292" s="25">
        <v>1996356</v>
      </c>
      <c r="AT2292" t="s">
        <v>26</v>
      </c>
      <c r="AU2292" t="s">
        <v>25239</v>
      </c>
    </row>
    <row r="2293" spans="1:47" ht="26.25" x14ac:dyDescent="0.4">
      <c r="A2293" s="23" t="s">
        <v>5996</v>
      </c>
      <c r="B2293" t="s">
        <v>26</v>
      </c>
      <c r="C2293" s="23" t="s">
        <v>5997</v>
      </c>
      <c r="D2293" s="23" t="s">
        <v>25240</v>
      </c>
      <c r="E2293" s="23" t="s">
        <v>526</v>
      </c>
      <c r="F2293" s="25" t="s">
        <v>5998</v>
      </c>
      <c r="G2293" s="25" t="s">
        <v>5999</v>
      </c>
      <c r="H2293" t="s">
        <v>26</v>
      </c>
      <c r="I2293" s="24">
        <v>39814</v>
      </c>
      <c r="J2293" s="25" t="s">
        <v>77</v>
      </c>
      <c r="K2293" t="s">
        <v>26</v>
      </c>
      <c r="L2293" s="25" t="s">
        <v>68</v>
      </c>
      <c r="M2293" s="24">
        <v>39814</v>
      </c>
      <c r="N2293" s="25" t="s">
        <v>77</v>
      </c>
      <c r="O2293" t="s">
        <v>26</v>
      </c>
      <c r="P2293" s="24">
        <v>39814</v>
      </c>
      <c r="Q2293" s="25" t="s">
        <v>77</v>
      </c>
      <c r="R2293" t="s">
        <v>26</v>
      </c>
      <c r="S2293" t="s">
        <v>26</v>
      </c>
      <c r="T2293" t="s">
        <v>26</v>
      </c>
      <c r="U2293" t="s">
        <v>26</v>
      </c>
      <c r="V2293" t="s">
        <v>26</v>
      </c>
      <c r="W2293" s="24">
        <v>39814</v>
      </c>
      <c r="X2293" s="25" t="s">
        <v>77</v>
      </c>
      <c r="Y2293" t="s">
        <v>26</v>
      </c>
      <c r="Z2293" s="24">
        <v>39814</v>
      </c>
      <c r="AA2293" s="25" t="s">
        <v>77</v>
      </c>
      <c r="AB2293" t="s">
        <v>26</v>
      </c>
      <c r="AC2293" s="24">
        <v>43101</v>
      </c>
      <c r="AD2293" s="25" t="s">
        <v>77</v>
      </c>
      <c r="AE2293" t="s">
        <v>26</v>
      </c>
      <c r="AF2293" t="s">
        <v>26</v>
      </c>
      <c r="AG2293" t="s">
        <v>26</v>
      </c>
      <c r="AH2293" t="s">
        <v>26</v>
      </c>
      <c r="AI2293" t="s">
        <v>26</v>
      </c>
      <c r="AJ2293" t="s">
        <v>26</v>
      </c>
      <c r="AK2293" t="s">
        <v>26</v>
      </c>
      <c r="AL2293" t="s">
        <v>26</v>
      </c>
      <c r="AM2293" t="s">
        <v>26</v>
      </c>
      <c r="AN2293" t="s">
        <v>26</v>
      </c>
      <c r="AO2293" s="25" t="s">
        <v>68</v>
      </c>
      <c r="AP2293" s="23" t="s">
        <v>69</v>
      </c>
      <c r="AQ2293" s="23" t="s">
        <v>528</v>
      </c>
      <c r="AR2293" s="23" t="s">
        <v>70</v>
      </c>
      <c r="AS2293" s="25">
        <v>166138</v>
      </c>
      <c r="AT2293" t="s">
        <v>26</v>
      </c>
      <c r="AU2293" t="s">
        <v>25241</v>
      </c>
    </row>
    <row r="2294" spans="1:47" ht="26.25" x14ac:dyDescent="0.4">
      <c r="A2294" s="23" t="s">
        <v>6000</v>
      </c>
      <c r="B2294" t="s">
        <v>26</v>
      </c>
      <c r="C2294" s="23" t="s">
        <v>320</v>
      </c>
      <c r="D2294" s="23" t="s">
        <v>25242</v>
      </c>
      <c r="E2294" s="23" t="s">
        <v>42</v>
      </c>
      <c r="F2294" s="25" t="s">
        <v>6001</v>
      </c>
      <c r="G2294" s="25" t="s">
        <v>6002</v>
      </c>
      <c r="H2294" t="s">
        <v>26</v>
      </c>
      <c r="I2294" t="s">
        <v>26</v>
      </c>
      <c r="J2294" t="s">
        <v>26</v>
      </c>
      <c r="K2294" t="s">
        <v>26</v>
      </c>
      <c r="L2294" s="25" t="s">
        <v>68</v>
      </c>
      <c r="M2294" t="s">
        <v>26</v>
      </c>
      <c r="N2294" t="s">
        <v>26</v>
      </c>
      <c r="O2294" t="s">
        <v>26</v>
      </c>
      <c r="P2294" t="s">
        <v>26</v>
      </c>
      <c r="Q2294" t="s">
        <v>26</v>
      </c>
      <c r="R2294" t="s">
        <v>26</v>
      </c>
      <c r="S2294" t="s">
        <v>26</v>
      </c>
      <c r="T2294" t="s">
        <v>26</v>
      </c>
      <c r="U2294" t="s">
        <v>26</v>
      </c>
      <c r="V2294" t="s">
        <v>26</v>
      </c>
      <c r="W2294" s="24">
        <v>41061</v>
      </c>
      <c r="X2294" s="25" t="s">
        <v>77</v>
      </c>
      <c r="Y2294" t="s">
        <v>26</v>
      </c>
      <c r="Z2294" s="24">
        <v>41061</v>
      </c>
      <c r="AA2294" s="25" t="s">
        <v>77</v>
      </c>
      <c r="AB2294" t="s">
        <v>26</v>
      </c>
      <c r="AC2294" s="24">
        <v>41061</v>
      </c>
      <c r="AD2294" s="25" t="s">
        <v>77</v>
      </c>
      <c r="AE2294" t="s">
        <v>26</v>
      </c>
      <c r="AF2294" t="s">
        <v>26</v>
      </c>
      <c r="AG2294" t="s">
        <v>26</v>
      </c>
      <c r="AH2294" t="s">
        <v>26</v>
      </c>
      <c r="AI2294" t="s">
        <v>26</v>
      </c>
      <c r="AJ2294" t="s">
        <v>26</v>
      </c>
      <c r="AK2294" t="s">
        <v>26</v>
      </c>
      <c r="AL2294" t="s">
        <v>26</v>
      </c>
      <c r="AM2294" t="s">
        <v>26</v>
      </c>
      <c r="AN2294" t="s">
        <v>26</v>
      </c>
      <c r="AO2294" s="25" t="s">
        <v>68</v>
      </c>
      <c r="AP2294" s="23" t="s">
        <v>69</v>
      </c>
      <c r="AQ2294" s="23" t="s">
        <v>30</v>
      </c>
      <c r="AR2294" s="23" t="s">
        <v>46</v>
      </c>
      <c r="AS2294" s="25">
        <v>2032542</v>
      </c>
      <c r="AT2294" t="s">
        <v>26</v>
      </c>
      <c r="AU2294" t="s">
        <v>25243</v>
      </c>
    </row>
    <row r="2295" spans="1:47" ht="26.25" x14ac:dyDescent="0.4">
      <c r="A2295" s="23" t="s">
        <v>6003</v>
      </c>
      <c r="B2295" t="s">
        <v>26</v>
      </c>
      <c r="C2295" s="23" t="s">
        <v>998</v>
      </c>
      <c r="D2295" s="23" t="s">
        <v>22499</v>
      </c>
      <c r="E2295" s="23" t="s">
        <v>711</v>
      </c>
      <c r="F2295" t="s">
        <v>26</v>
      </c>
      <c r="G2295" s="25" t="s">
        <v>6004</v>
      </c>
      <c r="H2295" t="s">
        <v>26</v>
      </c>
      <c r="I2295" s="24">
        <v>44197</v>
      </c>
      <c r="J2295" s="25" t="s">
        <v>77</v>
      </c>
      <c r="K2295" t="s">
        <v>26</v>
      </c>
      <c r="L2295" s="25" t="s">
        <v>68</v>
      </c>
      <c r="M2295" s="24">
        <v>44197</v>
      </c>
      <c r="N2295" s="25" t="s">
        <v>77</v>
      </c>
      <c r="O2295" t="s">
        <v>26</v>
      </c>
      <c r="P2295" s="24">
        <v>44197</v>
      </c>
      <c r="Q2295" s="25" t="s">
        <v>77</v>
      </c>
      <c r="R2295" t="s">
        <v>26</v>
      </c>
      <c r="S2295" t="s">
        <v>26</v>
      </c>
      <c r="T2295" t="s">
        <v>26</v>
      </c>
      <c r="U2295" t="s">
        <v>26</v>
      </c>
      <c r="V2295" t="s">
        <v>26</v>
      </c>
      <c r="W2295" s="24">
        <v>44197</v>
      </c>
      <c r="X2295" s="25" t="s">
        <v>77</v>
      </c>
      <c r="Y2295" t="s">
        <v>26</v>
      </c>
      <c r="Z2295" s="24">
        <v>44197</v>
      </c>
      <c r="AA2295" s="25" t="s">
        <v>77</v>
      </c>
      <c r="AB2295" t="s">
        <v>26</v>
      </c>
      <c r="AC2295" s="24">
        <v>44197</v>
      </c>
      <c r="AD2295" s="25" t="s">
        <v>77</v>
      </c>
      <c r="AE2295" t="s">
        <v>26</v>
      </c>
      <c r="AF2295" t="s">
        <v>26</v>
      </c>
      <c r="AG2295" t="s">
        <v>26</v>
      </c>
      <c r="AH2295" t="s">
        <v>26</v>
      </c>
      <c r="AI2295" t="s">
        <v>26</v>
      </c>
      <c r="AJ2295" t="s">
        <v>26</v>
      </c>
      <c r="AK2295" t="s">
        <v>26</v>
      </c>
      <c r="AL2295" t="s">
        <v>26</v>
      </c>
      <c r="AM2295" t="s">
        <v>26</v>
      </c>
      <c r="AN2295" t="s">
        <v>26</v>
      </c>
      <c r="AO2295" s="25" t="s">
        <v>68</v>
      </c>
      <c r="AP2295" s="23" t="s">
        <v>69</v>
      </c>
      <c r="AQ2295" s="23" t="s">
        <v>30</v>
      </c>
      <c r="AR2295" s="23" t="s">
        <v>46</v>
      </c>
      <c r="AS2295" s="25">
        <v>5046868</v>
      </c>
      <c r="AT2295" t="s">
        <v>26</v>
      </c>
      <c r="AU2295" t="s">
        <v>25244</v>
      </c>
    </row>
    <row r="2296" spans="1:47" ht="26.25" x14ac:dyDescent="0.4">
      <c r="A2296" s="23" t="s">
        <v>6005</v>
      </c>
      <c r="B2296" t="s">
        <v>26</v>
      </c>
      <c r="C2296" s="23" t="s">
        <v>1891</v>
      </c>
      <c r="D2296" s="23" t="s">
        <v>23203</v>
      </c>
      <c r="E2296" s="23" t="s">
        <v>42</v>
      </c>
      <c r="F2296" s="25" t="s">
        <v>6006</v>
      </c>
      <c r="G2296" s="25" t="s">
        <v>6007</v>
      </c>
      <c r="H2296" t="s">
        <v>26</v>
      </c>
      <c r="I2296" s="24">
        <v>26177</v>
      </c>
      <c r="J2296" s="25" t="s">
        <v>77</v>
      </c>
      <c r="K2296" t="s">
        <v>26</v>
      </c>
      <c r="L2296" s="25" t="s">
        <v>68</v>
      </c>
      <c r="M2296" s="24">
        <v>26177</v>
      </c>
      <c r="N2296" s="25" t="s">
        <v>77</v>
      </c>
      <c r="O2296" t="s">
        <v>26</v>
      </c>
      <c r="P2296" s="24">
        <v>26177</v>
      </c>
      <c r="Q2296" s="25" t="s">
        <v>77</v>
      </c>
      <c r="R2296" t="s">
        <v>26</v>
      </c>
      <c r="S2296" t="s">
        <v>26</v>
      </c>
      <c r="T2296" t="s">
        <v>26</v>
      </c>
      <c r="U2296" t="s">
        <v>26</v>
      </c>
      <c r="V2296" t="s">
        <v>26</v>
      </c>
      <c r="W2296" s="24">
        <v>26177</v>
      </c>
      <c r="X2296" s="25" t="s">
        <v>77</v>
      </c>
      <c r="Y2296" t="s">
        <v>26</v>
      </c>
      <c r="Z2296" s="24">
        <v>26177</v>
      </c>
      <c r="AA2296" s="25" t="s">
        <v>77</v>
      </c>
      <c r="AB2296" t="s">
        <v>26</v>
      </c>
      <c r="AC2296" s="24">
        <v>34243</v>
      </c>
      <c r="AD2296" s="25" t="s">
        <v>77</v>
      </c>
      <c r="AE2296" s="25" t="s">
        <v>25245</v>
      </c>
      <c r="AF2296" t="s">
        <v>26</v>
      </c>
      <c r="AG2296" t="s">
        <v>26</v>
      </c>
      <c r="AH2296" t="s">
        <v>26</v>
      </c>
      <c r="AI2296" t="s">
        <v>26</v>
      </c>
      <c r="AJ2296" t="s">
        <v>26</v>
      </c>
      <c r="AK2296" t="s">
        <v>26</v>
      </c>
      <c r="AL2296" t="s">
        <v>26</v>
      </c>
      <c r="AM2296" t="s">
        <v>26</v>
      </c>
      <c r="AN2296" t="s">
        <v>26</v>
      </c>
      <c r="AO2296" s="25" t="s">
        <v>68</v>
      </c>
      <c r="AP2296" s="23" t="s">
        <v>69</v>
      </c>
      <c r="AQ2296" s="23" t="s">
        <v>30</v>
      </c>
      <c r="AR2296" s="23" t="s">
        <v>70</v>
      </c>
      <c r="AS2296" s="25">
        <v>34519</v>
      </c>
      <c r="AT2296" t="s">
        <v>26</v>
      </c>
      <c r="AU2296" t="s">
        <v>25246</v>
      </c>
    </row>
    <row r="2297" spans="1:47" ht="26.25" x14ac:dyDescent="0.4">
      <c r="A2297" s="23" t="s">
        <v>6008</v>
      </c>
      <c r="B2297" t="s">
        <v>26</v>
      </c>
      <c r="C2297" s="23" t="s">
        <v>6009</v>
      </c>
      <c r="D2297" s="23" t="s">
        <v>22174</v>
      </c>
      <c r="E2297" s="23" t="s">
        <v>60</v>
      </c>
      <c r="F2297" s="25" t="s">
        <v>890</v>
      </c>
      <c r="G2297" s="25" t="s">
        <v>6010</v>
      </c>
      <c r="H2297" t="s">
        <v>26</v>
      </c>
      <c r="I2297" t="s">
        <v>26</v>
      </c>
      <c r="J2297" t="s">
        <v>26</v>
      </c>
      <c r="K2297" t="s">
        <v>26</v>
      </c>
      <c r="L2297" s="25" t="s">
        <v>68</v>
      </c>
      <c r="M2297" t="s">
        <v>26</v>
      </c>
      <c r="N2297" t="s">
        <v>26</v>
      </c>
      <c r="O2297" t="s">
        <v>26</v>
      </c>
      <c r="P2297" t="s">
        <v>26</v>
      </c>
      <c r="Q2297" t="s">
        <v>26</v>
      </c>
      <c r="R2297" t="s">
        <v>26</v>
      </c>
      <c r="S2297" t="s">
        <v>26</v>
      </c>
      <c r="T2297" t="s">
        <v>26</v>
      </c>
      <c r="U2297" t="s">
        <v>26</v>
      </c>
      <c r="V2297" t="s">
        <v>26</v>
      </c>
      <c r="W2297" s="24">
        <v>42461</v>
      </c>
      <c r="X2297" s="24">
        <v>42461</v>
      </c>
      <c r="Y2297" t="s">
        <v>26</v>
      </c>
      <c r="Z2297" s="24">
        <v>42461</v>
      </c>
      <c r="AA2297" s="24">
        <v>42461</v>
      </c>
      <c r="AB2297" t="s">
        <v>26</v>
      </c>
      <c r="AC2297" s="24">
        <v>42461</v>
      </c>
      <c r="AD2297" s="24">
        <v>42461</v>
      </c>
      <c r="AE2297" t="s">
        <v>26</v>
      </c>
      <c r="AF2297" t="s">
        <v>26</v>
      </c>
      <c r="AG2297" t="s">
        <v>26</v>
      </c>
      <c r="AH2297" t="s">
        <v>26</v>
      </c>
      <c r="AI2297" t="s">
        <v>26</v>
      </c>
      <c r="AJ2297" t="s">
        <v>26</v>
      </c>
      <c r="AK2297" t="s">
        <v>26</v>
      </c>
      <c r="AL2297" t="s">
        <v>26</v>
      </c>
      <c r="AM2297" t="s">
        <v>26</v>
      </c>
      <c r="AN2297" t="s">
        <v>26</v>
      </c>
      <c r="AO2297" s="25" t="s">
        <v>68</v>
      </c>
      <c r="AP2297" s="23" t="s">
        <v>69</v>
      </c>
      <c r="AQ2297" s="23" t="s">
        <v>30</v>
      </c>
      <c r="AR2297" s="23" t="s">
        <v>70</v>
      </c>
      <c r="AS2297" s="25">
        <v>2032911</v>
      </c>
      <c r="AT2297" t="s">
        <v>26</v>
      </c>
      <c r="AU2297" t="s">
        <v>25247</v>
      </c>
    </row>
    <row r="2298" spans="1:47" ht="13.15" x14ac:dyDescent="0.4">
      <c r="A2298" s="23" t="s">
        <v>6011</v>
      </c>
      <c r="B2298" t="s">
        <v>26</v>
      </c>
      <c r="C2298" s="23" t="s">
        <v>114</v>
      </c>
      <c r="D2298" s="23" t="s">
        <v>22254</v>
      </c>
      <c r="E2298" s="23" t="s">
        <v>42</v>
      </c>
      <c r="F2298" s="25" t="s">
        <v>6012</v>
      </c>
      <c r="G2298" s="25" t="s">
        <v>6013</v>
      </c>
      <c r="H2298" t="s">
        <v>26</v>
      </c>
      <c r="I2298" t="s">
        <v>26</v>
      </c>
      <c r="J2298" t="s">
        <v>26</v>
      </c>
      <c r="K2298" t="s">
        <v>26</v>
      </c>
      <c r="L2298" s="25" t="s">
        <v>28</v>
      </c>
      <c r="M2298" t="s">
        <v>26</v>
      </c>
      <c r="N2298" t="s">
        <v>26</v>
      </c>
      <c r="O2298" t="s">
        <v>26</v>
      </c>
      <c r="P2298" t="s">
        <v>26</v>
      </c>
      <c r="Q2298" t="s">
        <v>26</v>
      </c>
      <c r="R2298" t="s">
        <v>26</v>
      </c>
      <c r="S2298" t="s">
        <v>26</v>
      </c>
      <c r="T2298" t="s">
        <v>26</v>
      </c>
      <c r="U2298" t="s">
        <v>26</v>
      </c>
      <c r="V2298" t="s">
        <v>26</v>
      </c>
      <c r="W2298" s="24">
        <v>40361</v>
      </c>
      <c r="X2298" s="24">
        <v>41866</v>
      </c>
      <c r="Y2298" t="s">
        <v>26</v>
      </c>
      <c r="Z2298" s="24">
        <v>40361</v>
      </c>
      <c r="AA2298" s="24">
        <v>41866</v>
      </c>
      <c r="AB2298" t="s">
        <v>26</v>
      </c>
      <c r="AC2298" t="s">
        <v>26</v>
      </c>
      <c r="AD2298" t="s">
        <v>26</v>
      </c>
      <c r="AE2298" t="s">
        <v>26</v>
      </c>
      <c r="AF2298" t="s">
        <v>26</v>
      </c>
      <c r="AG2298" t="s">
        <v>26</v>
      </c>
      <c r="AH2298" t="s">
        <v>26</v>
      </c>
      <c r="AI2298" t="s">
        <v>26</v>
      </c>
      <c r="AJ2298" t="s">
        <v>26</v>
      </c>
      <c r="AK2298" t="s">
        <v>26</v>
      </c>
      <c r="AL2298" t="s">
        <v>26</v>
      </c>
      <c r="AM2298" t="s">
        <v>26</v>
      </c>
      <c r="AN2298" t="s">
        <v>26</v>
      </c>
      <c r="AO2298" s="25" t="s">
        <v>28</v>
      </c>
      <c r="AP2298" s="23" t="s">
        <v>211</v>
      </c>
      <c r="AQ2298" s="23" t="s">
        <v>30</v>
      </c>
      <c r="AR2298" s="23" t="s">
        <v>70</v>
      </c>
      <c r="AS2298" s="25">
        <v>216157</v>
      </c>
      <c r="AT2298" t="s">
        <v>26</v>
      </c>
      <c r="AU2298" t="s">
        <v>25248</v>
      </c>
    </row>
    <row r="2299" spans="1:47" ht="26.25" x14ac:dyDescent="0.4">
      <c r="A2299" s="23" t="s">
        <v>6014</v>
      </c>
      <c r="B2299" t="s">
        <v>26</v>
      </c>
      <c r="C2299" s="23" t="s">
        <v>73</v>
      </c>
      <c r="D2299" s="23" t="s">
        <v>22179</v>
      </c>
      <c r="E2299" s="23" t="s">
        <v>74</v>
      </c>
      <c r="F2299" s="25" t="s">
        <v>6015</v>
      </c>
      <c r="G2299" s="25" t="s">
        <v>6016</v>
      </c>
      <c r="H2299" t="s">
        <v>26</v>
      </c>
      <c r="I2299" s="24">
        <v>35490</v>
      </c>
      <c r="J2299" s="25" t="s">
        <v>77</v>
      </c>
      <c r="K2299" t="s">
        <v>26</v>
      </c>
      <c r="L2299" s="25" t="s">
        <v>68</v>
      </c>
      <c r="M2299" s="24">
        <v>38047</v>
      </c>
      <c r="N2299" s="24">
        <v>42887</v>
      </c>
      <c r="O2299" t="s">
        <v>26</v>
      </c>
      <c r="P2299" s="24">
        <v>35490</v>
      </c>
      <c r="Q2299" s="25" t="s">
        <v>77</v>
      </c>
      <c r="R2299" t="s">
        <v>26</v>
      </c>
      <c r="S2299" t="s">
        <v>26</v>
      </c>
      <c r="T2299" t="s">
        <v>26</v>
      </c>
      <c r="U2299" t="s">
        <v>26</v>
      </c>
      <c r="V2299" s="25">
        <v>365</v>
      </c>
      <c r="W2299" s="24">
        <v>35490</v>
      </c>
      <c r="X2299" s="25" t="s">
        <v>77</v>
      </c>
      <c r="Y2299" t="s">
        <v>26</v>
      </c>
      <c r="Z2299" s="24">
        <v>35490</v>
      </c>
      <c r="AA2299" s="25" t="s">
        <v>77</v>
      </c>
      <c r="AB2299" t="s">
        <v>26</v>
      </c>
      <c r="AC2299" s="24">
        <v>35490</v>
      </c>
      <c r="AD2299" s="25" t="s">
        <v>77</v>
      </c>
      <c r="AE2299" t="s">
        <v>26</v>
      </c>
      <c r="AF2299" t="s">
        <v>26</v>
      </c>
      <c r="AG2299" t="s">
        <v>26</v>
      </c>
      <c r="AH2299" t="s">
        <v>26</v>
      </c>
      <c r="AI2299" t="s">
        <v>26</v>
      </c>
      <c r="AJ2299" t="s">
        <v>26</v>
      </c>
      <c r="AK2299" t="s">
        <v>26</v>
      </c>
      <c r="AL2299" t="s">
        <v>26</v>
      </c>
      <c r="AM2299" t="s">
        <v>26</v>
      </c>
      <c r="AN2299" t="s">
        <v>26</v>
      </c>
      <c r="AO2299" s="25" t="s">
        <v>68</v>
      </c>
      <c r="AP2299" s="23" t="s">
        <v>69</v>
      </c>
      <c r="AQ2299" s="23" t="s">
        <v>30</v>
      </c>
      <c r="AR2299" s="23" t="s">
        <v>70</v>
      </c>
      <c r="AS2299" s="25">
        <v>40774</v>
      </c>
      <c r="AT2299" t="s">
        <v>26</v>
      </c>
      <c r="AU2299" t="s">
        <v>25249</v>
      </c>
    </row>
    <row r="2300" spans="1:47" ht="26.25" x14ac:dyDescent="0.4">
      <c r="A2300" s="23" t="s">
        <v>6017</v>
      </c>
      <c r="B2300" t="s">
        <v>26</v>
      </c>
      <c r="C2300" s="23" t="s">
        <v>6017</v>
      </c>
      <c r="D2300" s="23" t="s">
        <v>22231</v>
      </c>
      <c r="E2300" s="23" t="s">
        <v>42</v>
      </c>
      <c r="F2300" s="25" t="s">
        <v>6018</v>
      </c>
      <c r="G2300" s="25" t="s">
        <v>6019</v>
      </c>
      <c r="H2300" t="s">
        <v>26</v>
      </c>
      <c r="I2300" s="24">
        <v>35796</v>
      </c>
      <c r="J2300" s="24">
        <v>38899</v>
      </c>
      <c r="K2300" t="s">
        <v>26</v>
      </c>
      <c r="L2300" s="25" t="s">
        <v>68</v>
      </c>
      <c r="M2300" s="24">
        <v>35796</v>
      </c>
      <c r="N2300" s="24">
        <v>38899</v>
      </c>
      <c r="O2300" t="s">
        <v>26</v>
      </c>
      <c r="P2300" s="24">
        <v>35796</v>
      </c>
      <c r="Q2300" s="24">
        <v>38899</v>
      </c>
      <c r="R2300" t="s">
        <v>26</v>
      </c>
      <c r="S2300" t="s">
        <v>26</v>
      </c>
      <c r="T2300" t="s">
        <v>26</v>
      </c>
      <c r="U2300" t="s">
        <v>26</v>
      </c>
      <c r="V2300" t="s">
        <v>26</v>
      </c>
      <c r="W2300" s="24">
        <v>35796</v>
      </c>
      <c r="X2300" s="25" t="s">
        <v>77</v>
      </c>
      <c r="Y2300" t="s">
        <v>26</v>
      </c>
      <c r="Z2300" s="24">
        <v>35796</v>
      </c>
      <c r="AA2300" s="25" t="s">
        <v>77</v>
      </c>
      <c r="AB2300" t="s">
        <v>26</v>
      </c>
      <c r="AC2300" s="24">
        <v>35796</v>
      </c>
      <c r="AD2300" s="25" t="s">
        <v>77</v>
      </c>
      <c r="AE2300" t="s">
        <v>26</v>
      </c>
      <c r="AF2300" t="s">
        <v>26</v>
      </c>
      <c r="AG2300" t="s">
        <v>26</v>
      </c>
      <c r="AH2300" t="s">
        <v>26</v>
      </c>
      <c r="AI2300" t="s">
        <v>26</v>
      </c>
      <c r="AJ2300" t="s">
        <v>26</v>
      </c>
      <c r="AK2300" t="s">
        <v>26</v>
      </c>
      <c r="AL2300" t="s">
        <v>26</v>
      </c>
      <c r="AM2300" t="s">
        <v>26</v>
      </c>
      <c r="AN2300" t="s">
        <v>26</v>
      </c>
      <c r="AO2300" s="25" t="s">
        <v>68</v>
      </c>
      <c r="AP2300" s="23" t="s">
        <v>69</v>
      </c>
      <c r="AQ2300" s="23" t="s">
        <v>30</v>
      </c>
      <c r="AR2300" s="23" t="s">
        <v>257</v>
      </c>
      <c r="AS2300" s="25">
        <v>31914</v>
      </c>
      <c r="AT2300" t="s">
        <v>26</v>
      </c>
      <c r="AU2300" t="s">
        <v>25250</v>
      </c>
    </row>
    <row r="2301" spans="1:47" ht="26.25" x14ac:dyDescent="0.4">
      <c r="A2301" s="23" t="s">
        <v>6020</v>
      </c>
      <c r="B2301" t="s">
        <v>26</v>
      </c>
      <c r="C2301" s="23" t="s">
        <v>114</v>
      </c>
      <c r="D2301" s="23" t="s">
        <v>22334</v>
      </c>
      <c r="E2301" s="23" t="s">
        <v>42</v>
      </c>
      <c r="F2301" s="25" t="s">
        <v>6021</v>
      </c>
      <c r="G2301" s="25" t="s">
        <v>6022</v>
      </c>
      <c r="H2301" t="s">
        <v>26</v>
      </c>
      <c r="I2301" t="s">
        <v>26</v>
      </c>
      <c r="J2301" t="s">
        <v>26</v>
      </c>
      <c r="K2301" t="s">
        <v>26</v>
      </c>
      <c r="L2301" s="25" t="s">
        <v>68</v>
      </c>
      <c r="M2301" t="s">
        <v>26</v>
      </c>
      <c r="N2301" t="s">
        <v>26</v>
      </c>
      <c r="O2301" t="s">
        <v>26</v>
      </c>
      <c r="P2301" t="s">
        <v>26</v>
      </c>
      <c r="Q2301" t="s">
        <v>26</v>
      </c>
      <c r="R2301" t="s">
        <v>26</v>
      </c>
      <c r="S2301" t="s">
        <v>26</v>
      </c>
      <c r="T2301" t="s">
        <v>26</v>
      </c>
      <c r="U2301" t="s">
        <v>26</v>
      </c>
      <c r="V2301" t="s">
        <v>26</v>
      </c>
      <c r="W2301" s="24">
        <v>38353</v>
      </c>
      <c r="X2301" s="24">
        <v>45231</v>
      </c>
      <c r="Y2301" t="s">
        <v>26</v>
      </c>
      <c r="Z2301" s="24">
        <v>38353</v>
      </c>
      <c r="AA2301" s="24">
        <v>45231</v>
      </c>
      <c r="AB2301" t="s">
        <v>26</v>
      </c>
      <c r="AC2301" s="24">
        <v>38353</v>
      </c>
      <c r="AD2301" s="24">
        <v>41609</v>
      </c>
      <c r="AE2301" t="s">
        <v>26</v>
      </c>
      <c r="AF2301" t="s">
        <v>26</v>
      </c>
      <c r="AG2301" t="s">
        <v>26</v>
      </c>
      <c r="AH2301" t="s">
        <v>26</v>
      </c>
      <c r="AI2301" t="s">
        <v>26</v>
      </c>
      <c r="AJ2301" t="s">
        <v>26</v>
      </c>
      <c r="AK2301" t="s">
        <v>26</v>
      </c>
      <c r="AL2301" t="s">
        <v>26</v>
      </c>
      <c r="AM2301" t="s">
        <v>26</v>
      </c>
      <c r="AN2301" t="s">
        <v>26</v>
      </c>
      <c r="AO2301" s="25" t="s">
        <v>68</v>
      </c>
      <c r="AP2301" s="23" t="s">
        <v>69</v>
      </c>
      <c r="AQ2301" s="23" t="s">
        <v>30</v>
      </c>
      <c r="AR2301" s="23" t="s">
        <v>572</v>
      </c>
      <c r="AS2301" s="25">
        <v>41485</v>
      </c>
      <c r="AT2301" t="s">
        <v>26</v>
      </c>
      <c r="AU2301" t="s">
        <v>25251</v>
      </c>
    </row>
    <row r="2302" spans="1:47" ht="13.15" x14ac:dyDescent="0.4">
      <c r="A2302" s="23" t="s">
        <v>6023</v>
      </c>
      <c r="B2302" t="s">
        <v>26</v>
      </c>
      <c r="C2302" s="23" t="s">
        <v>6024</v>
      </c>
      <c r="D2302" s="23" t="s">
        <v>25252</v>
      </c>
      <c r="E2302" s="23" t="s">
        <v>42</v>
      </c>
      <c r="F2302" s="25" t="s">
        <v>6025</v>
      </c>
      <c r="G2302" t="s">
        <v>26</v>
      </c>
      <c r="H2302" t="s">
        <v>26</v>
      </c>
      <c r="I2302" s="24">
        <v>37987</v>
      </c>
      <c r="J2302" s="24">
        <v>41518</v>
      </c>
      <c r="K2302" t="s">
        <v>26</v>
      </c>
      <c r="L2302" s="25" t="s">
        <v>28</v>
      </c>
      <c r="M2302" s="24">
        <v>37987</v>
      </c>
      <c r="N2302" s="24">
        <v>41518</v>
      </c>
      <c r="O2302" t="s">
        <v>26</v>
      </c>
      <c r="P2302" s="24">
        <v>37987</v>
      </c>
      <c r="Q2302" s="24">
        <v>41518</v>
      </c>
      <c r="R2302" s="25" t="s">
        <v>25253</v>
      </c>
      <c r="S2302" t="s">
        <v>26</v>
      </c>
      <c r="T2302" t="s">
        <v>26</v>
      </c>
      <c r="U2302" t="s">
        <v>26</v>
      </c>
      <c r="V2302" t="s">
        <v>26</v>
      </c>
      <c r="W2302" s="24">
        <v>37987</v>
      </c>
      <c r="X2302" s="24">
        <v>41518</v>
      </c>
      <c r="Y2302" t="s">
        <v>26</v>
      </c>
      <c r="Z2302" s="24">
        <v>37987</v>
      </c>
      <c r="AA2302" s="24">
        <v>41518</v>
      </c>
      <c r="AB2302" t="s">
        <v>26</v>
      </c>
      <c r="AC2302" s="24">
        <v>38777</v>
      </c>
      <c r="AD2302" s="24">
        <v>41518</v>
      </c>
      <c r="AE2302" t="s">
        <v>26</v>
      </c>
      <c r="AF2302" t="s">
        <v>26</v>
      </c>
      <c r="AG2302" t="s">
        <v>26</v>
      </c>
      <c r="AH2302" t="s">
        <v>26</v>
      </c>
      <c r="AI2302" t="s">
        <v>26</v>
      </c>
      <c r="AJ2302" t="s">
        <v>26</v>
      </c>
      <c r="AK2302" t="s">
        <v>26</v>
      </c>
      <c r="AL2302" t="s">
        <v>26</v>
      </c>
      <c r="AM2302" t="s">
        <v>26</v>
      </c>
      <c r="AN2302" t="s">
        <v>26</v>
      </c>
      <c r="AO2302" s="25" t="s">
        <v>28</v>
      </c>
      <c r="AP2302" s="23" t="s">
        <v>211</v>
      </c>
      <c r="AQ2302" s="23" t="s">
        <v>30</v>
      </c>
      <c r="AR2302" s="23" t="s">
        <v>70</v>
      </c>
      <c r="AS2302" s="25">
        <v>46535</v>
      </c>
      <c r="AT2302" t="s">
        <v>26</v>
      </c>
      <c r="AU2302" t="s">
        <v>25254</v>
      </c>
    </row>
    <row r="2303" spans="1:47" ht="39.4" x14ac:dyDescent="0.4">
      <c r="A2303" s="23" t="s">
        <v>6026</v>
      </c>
      <c r="B2303" t="s">
        <v>26</v>
      </c>
      <c r="C2303" s="23" t="s">
        <v>80</v>
      </c>
      <c r="D2303" s="23" t="s">
        <v>22254</v>
      </c>
      <c r="E2303" s="23" t="s">
        <v>60</v>
      </c>
      <c r="F2303" s="25" t="s">
        <v>6027</v>
      </c>
      <c r="G2303" s="25" t="s">
        <v>6028</v>
      </c>
      <c r="H2303" t="s">
        <v>26</v>
      </c>
      <c r="I2303" s="24">
        <v>34366</v>
      </c>
      <c r="J2303" s="24">
        <v>41974</v>
      </c>
      <c r="K2303" t="s">
        <v>26</v>
      </c>
      <c r="L2303" s="25" t="s">
        <v>68</v>
      </c>
      <c r="M2303" s="24">
        <v>34366</v>
      </c>
      <c r="N2303" s="24">
        <v>40269</v>
      </c>
      <c r="O2303" t="s">
        <v>26</v>
      </c>
      <c r="P2303" s="24">
        <v>35156</v>
      </c>
      <c r="Q2303" s="24">
        <v>41974</v>
      </c>
      <c r="R2303" t="s">
        <v>26</v>
      </c>
      <c r="S2303" t="s">
        <v>26</v>
      </c>
      <c r="T2303" t="s">
        <v>26</v>
      </c>
      <c r="U2303" t="s">
        <v>26</v>
      </c>
      <c r="V2303" t="s">
        <v>26</v>
      </c>
      <c r="W2303" s="24">
        <v>32540</v>
      </c>
      <c r="X2303" s="24">
        <v>41974</v>
      </c>
      <c r="Y2303" t="s">
        <v>26</v>
      </c>
      <c r="Z2303" s="24">
        <v>32540</v>
      </c>
      <c r="AA2303" s="24">
        <v>41974</v>
      </c>
      <c r="AB2303" t="s">
        <v>26</v>
      </c>
      <c r="AC2303" s="24">
        <v>32540</v>
      </c>
      <c r="AD2303" s="24">
        <v>41974</v>
      </c>
      <c r="AE2303" t="s">
        <v>26</v>
      </c>
      <c r="AF2303" t="s">
        <v>26</v>
      </c>
      <c r="AG2303" t="s">
        <v>26</v>
      </c>
      <c r="AH2303" t="s">
        <v>26</v>
      </c>
      <c r="AI2303" t="s">
        <v>26</v>
      </c>
      <c r="AJ2303" t="s">
        <v>26</v>
      </c>
      <c r="AK2303" t="s">
        <v>26</v>
      </c>
      <c r="AL2303" t="s">
        <v>26</v>
      </c>
      <c r="AM2303" t="s">
        <v>26</v>
      </c>
      <c r="AN2303" t="s">
        <v>26</v>
      </c>
      <c r="AO2303" s="25" t="s">
        <v>68</v>
      </c>
      <c r="AP2303" s="23" t="s">
        <v>69</v>
      </c>
      <c r="AQ2303" s="23" t="s">
        <v>30</v>
      </c>
      <c r="AR2303" s="23" t="s">
        <v>6029</v>
      </c>
      <c r="AS2303" s="25">
        <v>40665</v>
      </c>
      <c r="AT2303" t="s">
        <v>26</v>
      </c>
      <c r="AU2303" t="s">
        <v>25255</v>
      </c>
    </row>
    <row r="2304" spans="1:47" ht="26.25" x14ac:dyDescent="0.4">
      <c r="A2304" s="23" t="s">
        <v>6030</v>
      </c>
      <c r="B2304" t="s">
        <v>26</v>
      </c>
      <c r="C2304" s="23" t="s">
        <v>998</v>
      </c>
      <c r="D2304" s="23" t="s">
        <v>22499</v>
      </c>
      <c r="E2304" s="23" t="s">
        <v>711</v>
      </c>
      <c r="F2304" t="s">
        <v>26</v>
      </c>
      <c r="G2304" s="25" t="s">
        <v>6031</v>
      </c>
      <c r="H2304" t="s">
        <v>26</v>
      </c>
      <c r="I2304" s="24">
        <v>44197</v>
      </c>
      <c r="J2304" s="25" t="s">
        <v>77</v>
      </c>
      <c r="K2304" t="s">
        <v>26</v>
      </c>
      <c r="L2304" s="25" t="s">
        <v>68</v>
      </c>
      <c r="M2304" s="24">
        <v>44197</v>
      </c>
      <c r="N2304" s="25" t="s">
        <v>77</v>
      </c>
      <c r="O2304" t="s">
        <v>26</v>
      </c>
      <c r="P2304" s="24">
        <v>44197</v>
      </c>
      <c r="Q2304" s="25" t="s">
        <v>77</v>
      </c>
      <c r="R2304" t="s">
        <v>26</v>
      </c>
      <c r="S2304" t="s">
        <v>26</v>
      </c>
      <c r="T2304" t="s">
        <v>26</v>
      </c>
      <c r="U2304" t="s">
        <v>26</v>
      </c>
      <c r="V2304" t="s">
        <v>26</v>
      </c>
      <c r="W2304" s="24">
        <v>44197</v>
      </c>
      <c r="X2304" s="25" t="s">
        <v>77</v>
      </c>
      <c r="Y2304" t="s">
        <v>26</v>
      </c>
      <c r="Z2304" s="24">
        <v>44197</v>
      </c>
      <c r="AA2304" s="25" t="s">
        <v>77</v>
      </c>
      <c r="AB2304" t="s">
        <v>26</v>
      </c>
      <c r="AC2304" s="24">
        <v>44197</v>
      </c>
      <c r="AD2304" s="25" t="s">
        <v>77</v>
      </c>
      <c r="AE2304" t="s">
        <v>26</v>
      </c>
      <c r="AF2304" t="s">
        <v>26</v>
      </c>
      <c r="AG2304" t="s">
        <v>26</v>
      </c>
      <c r="AH2304" t="s">
        <v>26</v>
      </c>
      <c r="AI2304" t="s">
        <v>26</v>
      </c>
      <c r="AJ2304" t="s">
        <v>26</v>
      </c>
      <c r="AK2304" t="s">
        <v>26</v>
      </c>
      <c r="AL2304" t="s">
        <v>26</v>
      </c>
      <c r="AM2304" t="s">
        <v>26</v>
      </c>
      <c r="AN2304" t="s">
        <v>26</v>
      </c>
      <c r="AO2304" s="25" t="s">
        <v>68</v>
      </c>
      <c r="AP2304" s="23" t="s">
        <v>69</v>
      </c>
      <c r="AQ2304" s="23" t="s">
        <v>30</v>
      </c>
      <c r="AR2304" s="23" t="s">
        <v>70</v>
      </c>
      <c r="AS2304" s="25">
        <v>5046867</v>
      </c>
      <c r="AT2304" t="s">
        <v>26</v>
      </c>
      <c r="AU2304" t="s">
        <v>25256</v>
      </c>
    </row>
    <row r="2305" spans="1:47" ht="26.25" x14ac:dyDescent="0.4">
      <c r="A2305" s="23" t="s">
        <v>6032</v>
      </c>
      <c r="B2305" t="s">
        <v>26</v>
      </c>
      <c r="C2305" s="23" t="s">
        <v>2117</v>
      </c>
      <c r="D2305" s="23" t="s">
        <v>23339</v>
      </c>
      <c r="E2305" s="23" t="s">
        <v>2118</v>
      </c>
      <c r="F2305" t="s">
        <v>26</v>
      </c>
      <c r="G2305" s="25" t="s">
        <v>6033</v>
      </c>
      <c r="H2305" t="s">
        <v>26</v>
      </c>
      <c r="I2305" s="24">
        <v>40544</v>
      </c>
      <c r="J2305" s="25" t="s">
        <v>77</v>
      </c>
      <c r="K2305" t="s">
        <v>26</v>
      </c>
      <c r="L2305" s="25" t="s">
        <v>68</v>
      </c>
      <c r="M2305" t="s">
        <v>26</v>
      </c>
      <c r="N2305" t="s">
        <v>26</v>
      </c>
      <c r="O2305" t="s">
        <v>26</v>
      </c>
      <c r="P2305" s="24">
        <v>40544</v>
      </c>
      <c r="Q2305" s="25" t="s">
        <v>77</v>
      </c>
      <c r="R2305" t="s">
        <v>26</v>
      </c>
      <c r="S2305" t="s">
        <v>26</v>
      </c>
      <c r="T2305" t="s">
        <v>26</v>
      </c>
      <c r="U2305" t="s">
        <v>26</v>
      </c>
      <c r="V2305" t="s">
        <v>26</v>
      </c>
      <c r="W2305" s="24">
        <v>40544</v>
      </c>
      <c r="X2305" s="25" t="s">
        <v>77</v>
      </c>
      <c r="Y2305" t="s">
        <v>26</v>
      </c>
      <c r="Z2305" s="24">
        <v>40544</v>
      </c>
      <c r="AA2305" s="25" t="s">
        <v>77</v>
      </c>
      <c r="AB2305" t="s">
        <v>26</v>
      </c>
      <c r="AC2305" s="24">
        <v>40544</v>
      </c>
      <c r="AD2305" s="25" t="s">
        <v>77</v>
      </c>
      <c r="AE2305" t="s">
        <v>26</v>
      </c>
      <c r="AF2305" t="s">
        <v>26</v>
      </c>
      <c r="AG2305" t="s">
        <v>26</v>
      </c>
      <c r="AH2305" t="s">
        <v>26</v>
      </c>
      <c r="AI2305" t="s">
        <v>26</v>
      </c>
      <c r="AJ2305" t="s">
        <v>26</v>
      </c>
      <c r="AK2305" t="s">
        <v>26</v>
      </c>
      <c r="AL2305" t="s">
        <v>26</v>
      </c>
      <c r="AM2305" t="s">
        <v>26</v>
      </c>
      <c r="AN2305" t="s">
        <v>26</v>
      </c>
      <c r="AO2305" s="25" t="s">
        <v>68</v>
      </c>
      <c r="AP2305" s="23" t="s">
        <v>69</v>
      </c>
      <c r="AQ2305" t="s">
        <v>26</v>
      </c>
      <c r="AR2305" s="23" t="s">
        <v>71</v>
      </c>
      <c r="AS2305" s="25">
        <v>2026636</v>
      </c>
      <c r="AT2305" t="s">
        <v>26</v>
      </c>
      <c r="AU2305" t="s">
        <v>25257</v>
      </c>
    </row>
    <row r="2306" spans="1:47" ht="26.25" x14ac:dyDescent="0.4">
      <c r="A2306" s="23" t="s">
        <v>6034</v>
      </c>
      <c r="B2306" t="s">
        <v>26</v>
      </c>
      <c r="C2306" s="23" t="s">
        <v>320</v>
      </c>
      <c r="D2306" s="23" t="s">
        <v>24979</v>
      </c>
      <c r="E2306" s="23" t="s">
        <v>42</v>
      </c>
      <c r="F2306" s="25" t="s">
        <v>6035</v>
      </c>
      <c r="G2306" s="25" t="s">
        <v>6036</v>
      </c>
      <c r="H2306" t="s">
        <v>26</v>
      </c>
      <c r="I2306" t="s">
        <v>26</v>
      </c>
      <c r="J2306" t="s">
        <v>26</v>
      </c>
      <c r="K2306" t="s">
        <v>26</v>
      </c>
      <c r="L2306" s="25" t="s">
        <v>68</v>
      </c>
      <c r="M2306" t="s">
        <v>26</v>
      </c>
      <c r="N2306" t="s">
        <v>26</v>
      </c>
      <c r="O2306" t="s">
        <v>26</v>
      </c>
      <c r="P2306" t="s">
        <v>26</v>
      </c>
      <c r="Q2306" t="s">
        <v>26</v>
      </c>
      <c r="R2306" t="s">
        <v>26</v>
      </c>
      <c r="S2306" t="s">
        <v>26</v>
      </c>
      <c r="T2306" t="s">
        <v>26</v>
      </c>
      <c r="U2306" t="s">
        <v>26</v>
      </c>
      <c r="V2306" t="s">
        <v>26</v>
      </c>
      <c r="W2306" s="24">
        <v>41122</v>
      </c>
      <c r="X2306" s="25" t="s">
        <v>77</v>
      </c>
      <c r="Y2306" t="s">
        <v>26</v>
      </c>
      <c r="Z2306" s="24">
        <v>41122</v>
      </c>
      <c r="AA2306" s="25" t="s">
        <v>77</v>
      </c>
      <c r="AB2306" t="s">
        <v>26</v>
      </c>
      <c r="AC2306" s="24">
        <v>41122</v>
      </c>
      <c r="AD2306" s="25" t="s">
        <v>77</v>
      </c>
      <c r="AE2306" t="s">
        <v>26</v>
      </c>
      <c r="AF2306" t="s">
        <v>26</v>
      </c>
      <c r="AG2306" t="s">
        <v>26</v>
      </c>
      <c r="AH2306" t="s">
        <v>26</v>
      </c>
      <c r="AI2306" t="s">
        <v>26</v>
      </c>
      <c r="AJ2306" t="s">
        <v>26</v>
      </c>
      <c r="AK2306" t="s">
        <v>26</v>
      </c>
      <c r="AL2306" t="s">
        <v>26</v>
      </c>
      <c r="AM2306" t="s">
        <v>26</v>
      </c>
      <c r="AN2306" t="s">
        <v>26</v>
      </c>
      <c r="AO2306" s="25" t="s">
        <v>68</v>
      </c>
      <c r="AP2306" s="23" t="s">
        <v>69</v>
      </c>
      <c r="AQ2306" s="23" t="s">
        <v>30</v>
      </c>
      <c r="AR2306" s="23" t="s">
        <v>70</v>
      </c>
      <c r="AS2306" s="25">
        <v>1106347</v>
      </c>
      <c r="AT2306" t="s">
        <v>26</v>
      </c>
      <c r="AU2306" t="s">
        <v>25258</v>
      </c>
    </row>
    <row r="2307" spans="1:47" ht="26.25" x14ac:dyDescent="0.4">
      <c r="A2307" s="23" t="s">
        <v>6037</v>
      </c>
      <c r="B2307" t="s">
        <v>26</v>
      </c>
      <c r="C2307" s="23" t="s">
        <v>6038</v>
      </c>
      <c r="D2307" s="23" t="s">
        <v>23339</v>
      </c>
      <c r="E2307" s="23" t="s">
        <v>526</v>
      </c>
      <c r="F2307" s="25" t="s">
        <v>6039</v>
      </c>
      <c r="G2307" s="25" t="s">
        <v>6040</v>
      </c>
      <c r="H2307" t="s">
        <v>26</v>
      </c>
      <c r="I2307" s="24">
        <v>38412</v>
      </c>
      <c r="J2307" s="24">
        <v>43800</v>
      </c>
      <c r="K2307" t="s">
        <v>26</v>
      </c>
      <c r="L2307" s="25" t="s">
        <v>68</v>
      </c>
      <c r="M2307" s="24">
        <v>38412</v>
      </c>
      <c r="N2307" s="24">
        <v>38777</v>
      </c>
      <c r="O2307" t="s">
        <v>26</v>
      </c>
      <c r="P2307" s="24">
        <v>38412</v>
      </c>
      <c r="Q2307" s="24">
        <v>43800</v>
      </c>
      <c r="R2307" t="s">
        <v>26</v>
      </c>
      <c r="S2307" t="s">
        <v>26</v>
      </c>
      <c r="T2307" t="s">
        <v>26</v>
      </c>
      <c r="U2307" t="s">
        <v>26</v>
      </c>
      <c r="V2307" t="s">
        <v>26</v>
      </c>
      <c r="W2307" s="24">
        <v>38412</v>
      </c>
      <c r="X2307" s="24">
        <v>43800</v>
      </c>
      <c r="Y2307" t="s">
        <v>26</v>
      </c>
      <c r="Z2307" s="24">
        <v>38412</v>
      </c>
      <c r="AA2307" s="24">
        <v>43800</v>
      </c>
      <c r="AB2307" t="s">
        <v>26</v>
      </c>
      <c r="AC2307" s="24">
        <v>42795</v>
      </c>
      <c r="AD2307" s="24">
        <v>43800</v>
      </c>
      <c r="AE2307" t="s">
        <v>26</v>
      </c>
      <c r="AF2307" t="s">
        <v>26</v>
      </c>
      <c r="AG2307" t="s">
        <v>26</v>
      </c>
      <c r="AH2307" t="s">
        <v>26</v>
      </c>
      <c r="AI2307" t="s">
        <v>26</v>
      </c>
      <c r="AJ2307" t="s">
        <v>26</v>
      </c>
      <c r="AK2307" t="s">
        <v>26</v>
      </c>
      <c r="AL2307" t="s">
        <v>26</v>
      </c>
      <c r="AM2307" t="s">
        <v>26</v>
      </c>
      <c r="AN2307" t="s">
        <v>26</v>
      </c>
      <c r="AO2307" s="25" t="s">
        <v>68</v>
      </c>
      <c r="AP2307" s="23" t="s">
        <v>69</v>
      </c>
      <c r="AQ2307" t="s">
        <v>26</v>
      </c>
      <c r="AR2307" s="23" t="s">
        <v>70</v>
      </c>
      <c r="AS2307" s="25">
        <v>28708</v>
      </c>
      <c r="AT2307" t="s">
        <v>26</v>
      </c>
      <c r="AU2307" t="s">
        <v>25259</v>
      </c>
    </row>
    <row r="2308" spans="1:47" ht="39.4" x14ac:dyDescent="0.4">
      <c r="A2308" s="23" t="s">
        <v>6041</v>
      </c>
      <c r="B2308" t="s">
        <v>26</v>
      </c>
      <c r="C2308" s="23" t="s">
        <v>6042</v>
      </c>
      <c r="D2308" s="23" t="s">
        <v>22519</v>
      </c>
      <c r="E2308" s="23" t="s">
        <v>822</v>
      </c>
      <c r="F2308" s="25" t="s">
        <v>6043</v>
      </c>
      <c r="G2308" t="s">
        <v>26</v>
      </c>
      <c r="H2308" t="s">
        <v>26</v>
      </c>
      <c r="I2308" t="s">
        <v>26</v>
      </c>
      <c r="J2308" t="s">
        <v>26</v>
      </c>
      <c r="K2308" t="s">
        <v>26</v>
      </c>
      <c r="L2308" s="25" t="s">
        <v>68</v>
      </c>
      <c r="M2308" t="s">
        <v>26</v>
      </c>
      <c r="N2308" t="s">
        <v>26</v>
      </c>
      <c r="O2308" t="s">
        <v>26</v>
      </c>
      <c r="P2308" t="s">
        <v>26</v>
      </c>
      <c r="Q2308" t="s">
        <v>26</v>
      </c>
      <c r="R2308" t="s">
        <v>26</v>
      </c>
      <c r="S2308" t="s">
        <v>26</v>
      </c>
      <c r="T2308" t="s">
        <v>26</v>
      </c>
      <c r="U2308" t="s">
        <v>26</v>
      </c>
      <c r="V2308" t="s">
        <v>26</v>
      </c>
      <c r="W2308" s="24">
        <v>40575</v>
      </c>
      <c r="X2308" s="25" t="s">
        <v>77</v>
      </c>
      <c r="Y2308" t="s">
        <v>26</v>
      </c>
      <c r="Z2308" s="24">
        <v>40575</v>
      </c>
      <c r="AA2308" s="25" t="s">
        <v>77</v>
      </c>
      <c r="AB2308" t="s">
        <v>26</v>
      </c>
      <c r="AC2308" s="24">
        <v>40575</v>
      </c>
      <c r="AD2308" s="25" t="s">
        <v>77</v>
      </c>
      <c r="AE2308" t="s">
        <v>26</v>
      </c>
      <c r="AF2308" t="s">
        <v>26</v>
      </c>
      <c r="AG2308" t="s">
        <v>26</v>
      </c>
      <c r="AH2308" t="s">
        <v>26</v>
      </c>
      <c r="AI2308" t="s">
        <v>26</v>
      </c>
      <c r="AJ2308" t="s">
        <v>26</v>
      </c>
      <c r="AK2308" t="s">
        <v>26</v>
      </c>
      <c r="AL2308" t="s">
        <v>26</v>
      </c>
      <c r="AM2308" t="s">
        <v>26</v>
      </c>
      <c r="AN2308" t="s">
        <v>26</v>
      </c>
      <c r="AO2308" s="25" t="s">
        <v>68</v>
      </c>
      <c r="AP2308" s="23" t="s">
        <v>69</v>
      </c>
      <c r="AQ2308" s="23" t="s">
        <v>30</v>
      </c>
      <c r="AR2308" s="23" t="s">
        <v>71</v>
      </c>
      <c r="AS2308" s="25">
        <v>2033000</v>
      </c>
      <c r="AT2308" t="s">
        <v>26</v>
      </c>
      <c r="AU2308" t="s">
        <v>25260</v>
      </c>
    </row>
    <row r="2309" spans="1:47" ht="26.25" x14ac:dyDescent="0.4">
      <c r="A2309" s="23" t="s">
        <v>6044</v>
      </c>
      <c r="B2309" t="s">
        <v>26</v>
      </c>
      <c r="C2309" s="23" t="s">
        <v>320</v>
      </c>
      <c r="D2309" s="23" t="s">
        <v>22599</v>
      </c>
      <c r="E2309" s="23" t="s">
        <v>42</v>
      </c>
      <c r="F2309" s="25" t="s">
        <v>6045</v>
      </c>
      <c r="G2309" s="25" t="s">
        <v>6046</v>
      </c>
      <c r="H2309" t="s">
        <v>26</v>
      </c>
      <c r="I2309" t="s">
        <v>26</v>
      </c>
      <c r="J2309" t="s">
        <v>26</v>
      </c>
      <c r="K2309" t="s">
        <v>26</v>
      </c>
      <c r="L2309" s="25" t="s">
        <v>68</v>
      </c>
      <c r="M2309" t="s">
        <v>26</v>
      </c>
      <c r="N2309" t="s">
        <v>26</v>
      </c>
      <c r="O2309" t="s">
        <v>26</v>
      </c>
      <c r="P2309" t="s">
        <v>26</v>
      </c>
      <c r="Q2309" t="s">
        <v>26</v>
      </c>
      <c r="R2309" t="s">
        <v>26</v>
      </c>
      <c r="S2309" t="s">
        <v>26</v>
      </c>
      <c r="T2309" t="s">
        <v>26</v>
      </c>
      <c r="U2309" t="s">
        <v>26</v>
      </c>
      <c r="V2309" t="s">
        <v>26</v>
      </c>
      <c r="W2309" s="24">
        <v>38108</v>
      </c>
      <c r="X2309" s="25" t="s">
        <v>77</v>
      </c>
      <c r="Y2309" t="s">
        <v>26</v>
      </c>
      <c r="Z2309" s="24">
        <v>38108</v>
      </c>
      <c r="AA2309" s="25" t="s">
        <v>77</v>
      </c>
      <c r="AB2309" t="s">
        <v>26</v>
      </c>
      <c r="AC2309" s="24">
        <v>38108</v>
      </c>
      <c r="AD2309" s="25" t="s">
        <v>77</v>
      </c>
      <c r="AE2309" t="s">
        <v>26</v>
      </c>
      <c r="AF2309" t="s">
        <v>26</v>
      </c>
      <c r="AG2309" t="s">
        <v>26</v>
      </c>
      <c r="AH2309" t="s">
        <v>26</v>
      </c>
      <c r="AI2309" t="s">
        <v>26</v>
      </c>
      <c r="AJ2309" t="s">
        <v>26</v>
      </c>
      <c r="AK2309" t="s">
        <v>26</v>
      </c>
      <c r="AL2309" t="s">
        <v>26</v>
      </c>
      <c r="AM2309" t="s">
        <v>26</v>
      </c>
      <c r="AN2309" t="s">
        <v>26</v>
      </c>
      <c r="AO2309" s="25" t="s">
        <v>68</v>
      </c>
      <c r="AP2309" s="23" t="s">
        <v>69</v>
      </c>
      <c r="AQ2309" s="23" t="s">
        <v>30</v>
      </c>
      <c r="AR2309" s="23" t="s">
        <v>6047</v>
      </c>
      <c r="AS2309" s="25">
        <v>31336</v>
      </c>
      <c r="AT2309" t="s">
        <v>26</v>
      </c>
      <c r="AU2309" t="s">
        <v>25261</v>
      </c>
    </row>
    <row r="2310" spans="1:47" ht="26.25" x14ac:dyDescent="0.4">
      <c r="A2310" s="23" t="s">
        <v>6048</v>
      </c>
      <c r="B2310" t="s">
        <v>26</v>
      </c>
      <c r="C2310" s="23" t="s">
        <v>25262</v>
      </c>
      <c r="D2310" s="23" t="s">
        <v>25263</v>
      </c>
      <c r="E2310" s="23" t="s">
        <v>42</v>
      </c>
      <c r="F2310" s="25" t="s">
        <v>6049</v>
      </c>
      <c r="G2310" s="25" t="s">
        <v>6050</v>
      </c>
      <c r="H2310" t="s">
        <v>26</v>
      </c>
      <c r="I2310" s="24">
        <v>42005</v>
      </c>
      <c r="J2310" s="25" t="s">
        <v>77</v>
      </c>
      <c r="K2310" s="25" t="s">
        <v>4562</v>
      </c>
      <c r="L2310" s="25" t="s">
        <v>68</v>
      </c>
      <c r="M2310" t="s">
        <v>26</v>
      </c>
      <c r="N2310" t="s">
        <v>26</v>
      </c>
      <c r="O2310" t="s">
        <v>26</v>
      </c>
      <c r="P2310" s="24">
        <v>42005</v>
      </c>
      <c r="Q2310" s="25" t="s">
        <v>77</v>
      </c>
      <c r="R2310" s="25" t="s">
        <v>4562</v>
      </c>
      <c r="S2310" t="s">
        <v>26</v>
      </c>
      <c r="T2310" t="s">
        <v>26</v>
      </c>
      <c r="U2310" t="s">
        <v>26</v>
      </c>
      <c r="V2310" t="s">
        <v>26</v>
      </c>
      <c r="W2310" s="24">
        <v>42005</v>
      </c>
      <c r="X2310" s="25" t="s">
        <v>77</v>
      </c>
      <c r="Y2310" s="25" t="s">
        <v>4562</v>
      </c>
      <c r="Z2310" s="24">
        <v>42005</v>
      </c>
      <c r="AA2310" s="25" t="s">
        <v>77</v>
      </c>
      <c r="AB2310" s="25" t="s">
        <v>4562</v>
      </c>
      <c r="AC2310" s="24">
        <v>42005</v>
      </c>
      <c r="AD2310" s="25" t="s">
        <v>77</v>
      </c>
      <c r="AE2310" s="25" t="s">
        <v>4562</v>
      </c>
      <c r="AF2310" t="s">
        <v>26</v>
      </c>
      <c r="AG2310" t="s">
        <v>26</v>
      </c>
      <c r="AH2310" t="s">
        <v>26</v>
      </c>
      <c r="AI2310" t="s">
        <v>26</v>
      </c>
      <c r="AJ2310" t="s">
        <v>26</v>
      </c>
      <c r="AK2310" t="s">
        <v>26</v>
      </c>
      <c r="AL2310" t="s">
        <v>26</v>
      </c>
      <c r="AM2310" t="s">
        <v>26</v>
      </c>
      <c r="AN2310" t="s">
        <v>26</v>
      </c>
      <c r="AO2310" s="25" t="s">
        <v>68</v>
      </c>
      <c r="AP2310" s="23" t="s">
        <v>69</v>
      </c>
      <c r="AQ2310" s="23" t="s">
        <v>708</v>
      </c>
      <c r="AR2310" s="23" t="s">
        <v>5982</v>
      </c>
      <c r="AS2310" s="25">
        <v>2069450</v>
      </c>
      <c r="AT2310" t="s">
        <v>26</v>
      </c>
      <c r="AU2310" t="s">
        <v>25264</v>
      </c>
    </row>
    <row r="2311" spans="1:47" ht="26.25" x14ac:dyDescent="0.4">
      <c r="A2311" s="23" t="s">
        <v>6051</v>
      </c>
      <c r="B2311" t="s">
        <v>26</v>
      </c>
      <c r="C2311" s="23" t="s">
        <v>320</v>
      </c>
      <c r="D2311" s="23" t="s">
        <v>22599</v>
      </c>
      <c r="E2311" s="23" t="s">
        <v>42</v>
      </c>
      <c r="F2311" s="25" t="s">
        <v>6045</v>
      </c>
      <c r="G2311" s="25" t="s">
        <v>6046</v>
      </c>
      <c r="H2311" t="s">
        <v>26</v>
      </c>
      <c r="I2311" t="s">
        <v>26</v>
      </c>
      <c r="J2311" t="s">
        <v>26</v>
      </c>
      <c r="K2311" t="s">
        <v>26</v>
      </c>
      <c r="L2311" s="25" t="s">
        <v>68</v>
      </c>
      <c r="M2311" t="s">
        <v>26</v>
      </c>
      <c r="N2311" t="s">
        <v>26</v>
      </c>
      <c r="O2311" t="s">
        <v>26</v>
      </c>
      <c r="P2311" t="s">
        <v>26</v>
      </c>
      <c r="Q2311" t="s">
        <v>26</v>
      </c>
      <c r="R2311" t="s">
        <v>26</v>
      </c>
      <c r="S2311" t="s">
        <v>26</v>
      </c>
      <c r="T2311" t="s">
        <v>26</v>
      </c>
      <c r="U2311" t="s">
        <v>26</v>
      </c>
      <c r="V2311" t="s">
        <v>26</v>
      </c>
      <c r="W2311" s="24">
        <v>42644</v>
      </c>
      <c r="X2311" s="24">
        <v>42644</v>
      </c>
      <c r="Y2311" t="s">
        <v>26</v>
      </c>
      <c r="Z2311" s="24">
        <v>42644</v>
      </c>
      <c r="AA2311" s="24">
        <v>42644</v>
      </c>
      <c r="AB2311" t="s">
        <v>26</v>
      </c>
      <c r="AC2311" t="s">
        <v>26</v>
      </c>
      <c r="AD2311" t="s">
        <v>26</v>
      </c>
      <c r="AE2311" t="s">
        <v>26</v>
      </c>
      <c r="AF2311" t="s">
        <v>26</v>
      </c>
      <c r="AG2311" t="s">
        <v>26</v>
      </c>
      <c r="AH2311" t="s">
        <v>26</v>
      </c>
      <c r="AI2311" t="s">
        <v>26</v>
      </c>
      <c r="AJ2311" t="s">
        <v>26</v>
      </c>
      <c r="AK2311" t="s">
        <v>26</v>
      </c>
      <c r="AL2311" t="s">
        <v>26</v>
      </c>
      <c r="AM2311" t="s">
        <v>26</v>
      </c>
      <c r="AN2311" t="s">
        <v>26</v>
      </c>
      <c r="AO2311" s="25" t="s">
        <v>68</v>
      </c>
      <c r="AP2311" s="23" t="s">
        <v>69</v>
      </c>
      <c r="AQ2311" s="23" t="s">
        <v>30</v>
      </c>
      <c r="AR2311" s="23" t="s">
        <v>6047</v>
      </c>
      <c r="AS2311" s="25">
        <v>2032988</v>
      </c>
      <c r="AT2311" t="s">
        <v>26</v>
      </c>
      <c r="AU2311" t="s">
        <v>25265</v>
      </c>
    </row>
    <row r="2312" spans="1:47" ht="26.25" x14ac:dyDescent="0.4">
      <c r="A2312" s="23" t="s">
        <v>6052</v>
      </c>
      <c r="B2312" t="s">
        <v>26</v>
      </c>
      <c r="C2312" s="23" t="s">
        <v>483</v>
      </c>
      <c r="D2312" s="23" t="s">
        <v>22174</v>
      </c>
      <c r="E2312" s="23" t="s">
        <v>60</v>
      </c>
      <c r="F2312" s="25" t="s">
        <v>6053</v>
      </c>
      <c r="G2312" s="25" t="s">
        <v>6054</v>
      </c>
      <c r="H2312" t="s">
        <v>26</v>
      </c>
      <c r="I2312" s="24">
        <v>38078</v>
      </c>
      <c r="J2312" s="25" t="s">
        <v>77</v>
      </c>
      <c r="K2312" t="s">
        <v>26</v>
      </c>
      <c r="L2312" s="25" t="s">
        <v>68</v>
      </c>
      <c r="M2312" s="24">
        <v>38078</v>
      </c>
      <c r="N2312" s="24">
        <v>42522</v>
      </c>
      <c r="O2312" t="s">
        <v>26</v>
      </c>
      <c r="P2312" s="24">
        <v>38078</v>
      </c>
      <c r="Q2312" s="25" t="s">
        <v>77</v>
      </c>
      <c r="R2312" t="s">
        <v>26</v>
      </c>
      <c r="S2312" t="s">
        <v>26</v>
      </c>
      <c r="T2312" t="s">
        <v>26</v>
      </c>
      <c r="U2312" t="s">
        <v>26</v>
      </c>
      <c r="V2312" s="25">
        <v>365</v>
      </c>
      <c r="W2312" s="24">
        <v>38078</v>
      </c>
      <c r="X2312" s="25" t="s">
        <v>77</v>
      </c>
      <c r="Y2312" t="s">
        <v>26</v>
      </c>
      <c r="Z2312" s="24">
        <v>38078</v>
      </c>
      <c r="AA2312" s="25" t="s">
        <v>77</v>
      </c>
      <c r="AB2312" t="s">
        <v>26</v>
      </c>
      <c r="AC2312" s="24">
        <v>38078</v>
      </c>
      <c r="AD2312" s="25" t="s">
        <v>77</v>
      </c>
      <c r="AE2312" t="s">
        <v>26</v>
      </c>
      <c r="AF2312" t="s">
        <v>26</v>
      </c>
      <c r="AG2312" t="s">
        <v>26</v>
      </c>
      <c r="AH2312" t="s">
        <v>26</v>
      </c>
      <c r="AI2312" t="s">
        <v>26</v>
      </c>
      <c r="AJ2312" t="s">
        <v>26</v>
      </c>
      <c r="AK2312" t="s">
        <v>26</v>
      </c>
      <c r="AL2312" t="s">
        <v>26</v>
      </c>
      <c r="AM2312" t="s">
        <v>26</v>
      </c>
      <c r="AN2312" t="s">
        <v>26</v>
      </c>
      <c r="AO2312" s="25" t="s">
        <v>68</v>
      </c>
      <c r="AP2312" s="23" t="s">
        <v>69</v>
      </c>
      <c r="AQ2312" s="23" t="s">
        <v>30</v>
      </c>
      <c r="AR2312" s="23" t="s">
        <v>46</v>
      </c>
      <c r="AS2312" s="25">
        <v>29071</v>
      </c>
      <c r="AT2312" t="s">
        <v>26</v>
      </c>
      <c r="AU2312" t="s">
        <v>25266</v>
      </c>
    </row>
    <row r="2313" spans="1:47" ht="26.25" x14ac:dyDescent="0.4">
      <c r="A2313" s="23" t="s">
        <v>6055</v>
      </c>
      <c r="B2313" t="s">
        <v>26</v>
      </c>
      <c r="C2313" s="23" t="s">
        <v>80</v>
      </c>
      <c r="D2313" s="23" t="s">
        <v>22184</v>
      </c>
      <c r="E2313" s="23" t="s">
        <v>60</v>
      </c>
      <c r="F2313" s="25" t="s">
        <v>6056</v>
      </c>
      <c r="G2313" s="25" t="s">
        <v>6057</v>
      </c>
      <c r="H2313" t="s">
        <v>26</v>
      </c>
      <c r="I2313" t="s">
        <v>26</v>
      </c>
      <c r="J2313" t="s">
        <v>26</v>
      </c>
      <c r="K2313" t="s">
        <v>26</v>
      </c>
      <c r="L2313" s="25" t="s">
        <v>68</v>
      </c>
      <c r="M2313" t="s">
        <v>26</v>
      </c>
      <c r="N2313" t="s">
        <v>26</v>
      </c>
      <c r="O2313" t="s">
        <v>26</v>
      </c>
      <c r="P2313" t="s">
        <v>26</v>
      </c>
      <c r="Q2313" t="s">
        <v>26</v>
      </c>
      <c r="R2313" t="s">
        <v>26</v>
      </c>
      <c r="S2313" t="s">
        <v>26</v>
      </c>
      <c r="T2313" t="s">
        <v>26</v>
      </c>
      <c r="U2313" t="s">
        <v>26</v>
      </c>
      <c r="V2313" t="s">
        <v>26</v>
      </c>
      <c r="W2313" s="24">
        <v>40179</v>
      </c>
      <c r="X2313" s="25" t="s">
        <v>77</v>
      </c>
      <c r="Y2313" t="s">
        <v>26</v>
      </c>
      <c r="Z2313" s="24">
        <v>40179</v>
      </c>
      <c r="AA2313" s="25" t="s">
        <v>77</v>
      </c>
      <c r="AB2313" t="s">
        <v>26</v>
      </c>
      <c r="AC2313" s="24">
        <v>40179</v>
      </c>
      <c r="AD2313" s="25" t="s">
        <v>77</v>
      </c>
      <c r="AE2313" t="s">
        <v>26</v>
      </c>
      <c r="AF2313" t="s">
        <v>26</v>
      </c>
      <c r="AG2313" t="s">
        <v>26</v>
      </c>
      <c r="AH2313" t="s">
        <v>26</v>
      </c>
      <c r="AI2313" t="s">
        <v>26</v>
      </c>
      <c r="AJ2313" t="s">
        <v>26</v>
      </c>
      <c r="AK2313" t="s">
        <v>26</v>
      </c>
      <c r="AL2313" t="s">
        <v>26</v>
      </c>
      <c r="AM2313" t="s">
        <v>26</v>
      </c>
      <c r="AN2313" t="s">
        <v>26</v>
      </c>
      <c r="AO2313" s="25" t="s">
        <v>68</v>
      </c>
      <c r="AP2313" s="23" t="s">
        <v>69</v>
      </c>
      <c r="AQ2313" t="s">
        <v>26</v>
      </c>
      <c r="AR2313" s="23" t="s">
        <v>46</v>
      </c>
      <c r="AS2313" s="25">
        <v>186339</v>
      </c>
      <c r="AT2313" t="s">
        <v>26</v>
      </c>
      <c r="AU2313" t="s">
        <v>25267</v>
      </c>
    </row>
    <row r="2314" spans="1:47" ht="26.25" x14ac:dyDescent="0.4">
      <c r="A2314" s="23" t="s">
        <v>6058</v>
      </c>
      <c r="B2314" t="s">
        <v>26</v>
      </c>
      <c r="C2314" s="23" t="s">
        <v>981</v>
      </c>
      <c r="D2314" s="23" t="s">
        <v>22251</v>
      </c>
      <c r="E2314" s="23" t="s">
        <v>42</v>
      </c>
      <c r="F2314" s="25" t="s">
        <v>6059</v>
      </c>
      <c r="G2314" s="25" t="s">
        <v>6060</v>
      </c>
      <c r="H2314" t="s">
        <v>26</v>
      </c>
      <c r="I2314" s="24">
        <v>37987</v>
      </c>
      <c r="J2314" s="24">
        <v>39995</v>
      </c>
      <c r="K2314" t="s">
        <v>26</v>
      </c>
      <c r="L2314" s="25" t="s">
        <v>68</v>
      </c>
      <c r="M2314" s="24">
        <v>37987</v>
      </c>
      <c r="N2314" s="24">
        <v>39995</v>
      </c>
      <c r="O2314" t="s">
        <v>26</v>
      </c>
      <c r="P2314" s="24">
        <v>37987</v>
      </c>
      <c r="Q2314" s="24">
        <v>39995</v>
      </c>
      <c r="R2314" t="s">
        <v>26</v>
      </c>
      <c r="S2314" t="s">
        <v>26</v>
      </c>
      <c r="T2314" t="s">
        <v>26</v>
      </c>
      <c r="U2314" t="s">
        <v>26</v>
      </c>
      <c r="V2314" t="s">
        <v>26</v>
      </c>
      <c r="W2314" s="24">
        <v>37987</v>
      </c>
      <c r="X2314" s="25" t="s">
        <v>77</v>
      </c>
      <c r="Y2314" t="s">
        <v>26</v>
      </c>
      <c r="Z2314" s="24">
        <v>37987</v>
      </c>
      <c r="AA2314" s="25" t="s">
        <v>77</v>
      </c>
      <c r="AB2314" t="s">
        <v>26</v>
      </c>
      <c r="AC2314" s="24">
        <v>37987</v>
      </c>
      <c r="AD2314" s="25" t="s">
        <v>77</v>
      </c>
      <c r="AE2314" t="s">
        <v>26</v>
      </c>
      <c r="AF2314" t="s">
        <v>26</v>
      </c>
      <c r="AG2314" t="s">
        <v>26</v>
      </c>
      <c r="AH2314" t="s">
        <v>26</v>
      </c>
      <c r="AI2314" t="s">
        <v>26</v>
      </c>
      <c r="AJ2314" t="s">
        <v>26</v>
      </c>
      <c r="AK2314" t="s">
        <v>26</v>
      </c>
      <c r="AL2314" t="s">
        <v>26</v>
      </c>
      <c r="AM2314" t="s">
        <v>26</v>
      </c>
      <c r="AN2314" t="s">
        <v>26</v>
      </c>
      <c r="AO2314" s="25" t="s">
        <v>68</v>
      </c>
      <c r="AP2314" s="23" t="s">
        <v>69</v>
      </c>
      <c r="AQ2314" s="23" t="s">
        <v>30</v>
      </c>
      <c r="AR2314" s="23" t="s">
        <v>46</v>
      </c>
      <c r="AS2314" s="25">
        <v>46561</v>
      </c>
      <c r="AT2314" t="s">
        <v>26</v>
      </c>
      <c r="AU2314" t="s">
        <v>25268</v>
      </c>
    </row>
    <row r="2315" spans="1:47" ht="26.25" x14ac:dyDescent="0.4">
      <c r="A2315" s="23" t="s">
        <v>6061</v>
      </c>
      <c r="B2315" t="s">
        <v>26</v>
      </c>
      <c r="C2315" s="23" t="s">
        <v>981</v>
      </c>
      <c r="D2315" s="23" t="s">
        <v>22179</v>
      </c>
      <c r="E2315" s="23" t="s">
        <v>42</v>
      </c>
      <c r="F2315" s="25" t="s">
        <v>6062</v>
      </c>
      <c r="G2315" s="25" t="s">
        <v>6063</v>
      </c>
      <c r="H2315" t="s">
        <v>26</v>
      </c>
      <c r="I2315" s="24">
        <v>37987</v>
      </c>
      <c r="J2315" s="24">
        <v>39995</v>
      </c>
      <c r="K2315" t="s">
        <v>26</v>
      </c>
      <c r="L2315" s="25" t="s">
        <v>68</v>
      </c>
      <c r="M2315" s="24">
        <v>37987</v>
      </c>
      <c r="N2315" s="24">
        <v>39995</v>
      </c>
      <c r="O2315" t="s">
        <v>26</v>
      </c>
      <c r="P2315" s="24">
        <v>37987</v>
      </c>
      <c r="Q2315" s="24">
        <v>39995</v>
      </c>
      <c r="R2315" t="s">
        <v>26</v>
      </c>
      <c r="S2315" t="s">
        <v>26</v>
      </c>
      <c r="T2315" t="s">
        <v>26</v>
      </c>
      <c r="U2315" t="s">
        <v>26</v>
      </c>
      <c r="V2315" t="s">
        <v>26</v>
      </c>
      <c r="W2315" s="24">
        <v>37987</v>
      </c>
      <c r="X2315" s="25" t="s">
        <v>77</v>
      </c>
      <c r="Y2315" t="s">
        <v>26</v>
      </c>
      <c r="Z2315" s="24">
        <v>37987</v>
      </c>
      <c r="AA2315" s="25" t="s">
        <v>77</v>
      </c>
      <c r="AB2315" t="s">
        <v>26</v>
      </c>
      <c r="AC2315" s="24">
        <v>37987</v>
      </c>
      <c r="AD2315" s="25" t="s">
        <v>77</v>
      </c>
      <c r="AE2315" t="s">
        <v>26</v>
      </c>
      <c r="AF2315" t="s">
        <v>26</v>
      </c>
      <c r="AG2315" t="s">
        <v>26</v>
      </c>
      <c r="AH2315" t="s">
        <v>26</v>
      </c>
      <c r="AI2315" t="s">
        <v>26</v>
      </c>
      <c r="AJ2315" t="s">
        <v>26</v>
      </c>
      <c r="AK2315" t="s">
        <v>26</v>
      </c>
      <c r="AL2315" t="s">
        <v>26</v>
      </c>
      <c r="AM2315" t="s">
        <v>26</v>
      </c>
      <c r="AN2315" t="s">
        <v>26</v>
      </c>
      <c r="AO2315" s="25" t="s">
        <v>68</v>
      </c>
      <c r="AP2315" s="23" t="s">
        <v>69</v>
      </c>
      <c r="AQ2315" s="23" t="s">
        <v>30</v>
      </c>
      <c r="AR2315" s="23" t="s">
        <v>46</v>
      </c>
      <c r="AS2315" s="25">
        <v>36979</v>
      </c>
      <c r="AT2315" t="s">
        <v>26</v>
      </c>
      <c r="AU2315" t="s">
        <v>25269</v>
      </c>
    </row>
    <row r="2316" spans="1:47" ht="26.25" x14ac:dyDescent="0.4">
      <c r="A2316" s="23" t="s">
        <v>6064</v>
      </c>
      <c r="B2316" t="s">
        <v>26</v>
      </c>
      <c r="C2316" s="23" t="s">
        <v>6065</v>
      </c>
      <c r="D2316" s="23" t="s">
        <v>25270</v>
      </c>
      <c r="E2316" s="23" t="s">
        <v>3049</v>
      </c>
      <c r="F2316" s="25" t="s">
        <v>6066</v>
      </c>
      <c r="G2316" s="25" t="s">
        <v>6067</v>
      </c>
      <c r="H2316" t="s">
        <v>26</v>
      </c>
      <c r="I2316" s="24">
        <v>39814</v>
      </c>
      <c r="J2316" s="25" t="s">
        <v>77</v>
      </c>
      <c r="K2316" t="s">
        <v>26</v>
      </c>
      <c r="L2316" s="25" t="s">
        <v>68</v>
      </c>
      <c r="M2316" s="24">
        <v>39814</v>
      </c>
      <c r="N2316" s="25" t="s">
        <v>77</v>
      </c>
      <c r="O2316" t="s">
        <v>26</v>
      </c>
      <c r="P2316" s="24">
        <v>39814</v>
      </c>
      <c r="Q2316" s="25" t="s">
        <v>77</v>
      </c>
      <c r="R2316" t="s">
        <v>26</v>
      </c>
      <c r="S2316" t="s">
        <v>26</v>
      </c>
      <c r="T2316" t="s">
        <v>26</v>
      </c>
      <c r="U2316" t="s">
        <v>26</v>
      </c>
      <c r="V2316" t="s">
        <v>26</v>
      </c>
      <c r="W2316" s="24">
        <v>39814</v>
      </c>
      <c r="X2316" s="25" t="s">
        <v>77</v>
      </c>
      <c r="Y2316" t="s">
        <v>26</v>
      </c>
      <c r="Z2316" s="24">
        <v>39814</v>
      </c>
      <c r="AA2316" s="25" t="s">
        <v>77</v>
      </c>
      <c r="AB2316" t="s">
        <v>26</v>
      </c>
      <c r="AC2316" s="24">
        <v>42736</v>
      </c>
      <c r="AD2316" s="25" t="s">
        <v>77</v>
      </c>
      <c r="AE2316" t="s">
        <v>26</v>
      </c>
      <c r="AF2316" t="s">
        <v>26</v>
      </c>
      <c r="AG2316" t="s">
        <v>26</v>
      </c>
      <c r="AH2316" t="s">
        <v>26</v>
      </c>
      <c r="AI2316" t="s">
        <v>26</v>
      </c>
      <c r="AJ2316" t="s">
        <v>26</v>
      </c>
      <c r="AK2316" t="s">
        <v>26</v>
      </c>
      <c r="AL2316" t="s">
        <v>26</v>
      </c>
      <c r="AM2316" t="s">
        <v>26</v>
      </c>
      <c r="AN2316" t="s">
        <v>26</v>
      </c>
      <c r="AO2316" s="25" t="s">
        <v>68</v>
      </c>
      <c r="AP2316" s="23" t="s">
        <v>69</v>
      </c>
      <c r="AQ2316" t="s">
        <v>26</v>
      </c>
      <c r="AR2316" s="23" t="s">
        <v>46</v>
      </c>
      <c r="AS2316" s="25">
        <v>54610</v>
      </c>
      <c r="AT2316" t="s">
        <v>26</v>
      </c>
      <c r="AU2316" t="s">
        <v>25271</v>
      </c>
    </row>
    <row r="2317" spans="1:47" ht="26.25" x14ac:dyDescent="0.4">
      <c r="A2317" s="23" t="s">
        <v>6068</v>
      </c>
      <c r="B2317" t="s">
        <v>26</v>
      </c>
      <c r="C2317" s="23" t="s">
        <v>80</v>
      </c>
      <c r="D2317" s="23" t="s">
        <v>22174</v>
      </c>
      <c r="E2317" s="23" t="s">
        <v>60</v>
      </c>
      <c r="F2317" s="25" t="s">
        <v>6069</v>
      </c>
      <c r="G2317" s="25" t="s">
        <v>6070</v>
      </c>
      <c r="H2317" t="s">
        <v>26</v>
      </c>
      <c r="I2317" t="s">
        <v>26</v>
      </c>
      <c r="J2317" t="s">
        <v>26</v>
      </c>
      <c r="K2317" t="s">
        <v>26</v>
      </c>
      <c r="L2317" s="25" t="s">
        <v>68</v>
      </c>
      <c r="M2317" t="s">
        <v>26</v>
      </c>
      <c r="N2317" t="s">
        <v>26</v>
      </c>
      <c r="O2317" t="s">
        <v>26</v>
      </c>
      <c r="P2317" t="s">
        <v>26</v>
      </c>
      <c r="Q2317" t="s">
        <v>26</v>
      </c>
      <c r="R2317" t="s">
        <v>26</v>
      </c>
      <c r="S2317" t="s">
        <v>26</v>
      </c>
      <c r="T2317" t="s">
        <v>26</v>
      </c>
      <c r="U2317" t="s">
        <v>26</v>
      </c>
      <c r="V2317" t="s">
        <v>26</v>
      </c>
      <c r="W2317" s="24">
        <v>40603</v>
      </c>
      <c r="X2317" s="25" t="s">
        <v>77</v>
      </c>
      <c r="Y2317" t="s">
        <v>26</v>
      </c>
      <c r="Z2317" s="24">
        <v>40603</v>
      </c>
      <c r="AA2317" s="25" t="s">
        <v>77</v>
      </c>
      <c r="AB2317" t="s">
        <v>26</v>
      </c>
      <c r="AC2317" s="24">
        <v>40603</v>
      </c>
      <c r="AD2317" s="25" t="s">
        <v>77</v>
      </c>
      <c r="AE2317" t="s">
        <v>26</v>
      </c>
      <c r="AF2317" t="s">
        <v>26</v>
      </c>
      <c r="AG2317" t="s">
        <v>26</v>
      </c>
      <c r="AH2317" t="s">
        <v>26</v>
      </c>
      <c r="AI2317" t="s">
        <v>26</v>
      </c>
      <c r="AJ2317" t="s">
        <v>26</v>
      </c>
      <c r="AK2317" t="s">
        <v>26</v>
      </c>
      <c r="AL2317" t="s">
        <v>26</v>
      </c>
      <c r="AM2317" t="s">
        <v>26</v>
      </c>
      <c r="AN2317" t="s">
        <v>26</v>
      </c>
      <c r="AO2317" s="25" t="s">
        <v>68</v>
      </c>
      <c r="AP2317" s="23" t="s">
        <v>69</v>
      </c>
      <c r="AQ2317" s="23" t="s">
        <v>30</v>
      </c>
      <c r="AR2317" s="23" t="s">
        <v>46</v>
      </c>
      <c r="AS2317" s="25">
        <v>436419</v>
      </c>
      <c r="AT2317" t="s">
        <v>26</v>
      </c>
      <c r="AU2317" t="s">
        <v>25272</v>
      </c>
    </row>
    <row r="2318" spans="1:47" ht="26.25" x14ac:dyDescent="0.4">
      <c r="A2318" s="23" t="s">
        <v>6071</v>
      </c>
      <c r="B2318" t="s">
        <v>26</v>
      </c>
      <c r="C2318" s="23" t="s">
        <v>332</v>
      </c>
      <c r="D2318" s="23" t="s">
        <v>22256</v>
      </c>
      <c r="E2318" s="23" t="s">
        <v>42</v>
      </c>
      <c r="F2318" t="s">
        <v>26</v>
      </c>
      <c r="G2318" t="s">
        <v>26</v>
      </c>
      <c r="H2318" t="s">
        <v>26</v>
      </c>
      <c r="I2318" s="24">
        <v>40909</v>
      </c>
      <c r="J2318" s="24">
        <v>41640</v>
      </c>
      <c r="K2318" t="s">
        <v>26</v>
      </c>
      <c r="L2318" s="25" t="s">
        <v>28</v>
      </c>
      <c r="M2318" s="24">
        <v>40909</v>
      </c>
      <c r="N2318" s="24">
        <v>41640</v>
      </c>
      <c r="O2318" t="s">
        <v>26</v>
      </c>
      <c r="P2318" t="s">
        <v>26</v>
      </c>
      <c r="Q2318" t="s">
        <v>26</v>
      </c>
      <c r="R2318" t="s">
        <v>26</v>
      </c>
      <c r="S2318" t="s">
        <v>26</v>
      </c>
      <c r="T2318" t="s">
        <v>26</v>
      </c>
      <c r="U2318" t="s">
        <v>26</v>
      </c>
      <c r="V2318" t="s">
        <v>26</v>
      </c>
      <c r="W2318" s="24">
        <v>40909</v>
      </c>
      <c r="X2318" s="24">
        <v>41640</v>
      </c>
      <c r="Y2318" t="s">
        <v>26</v>
      </c>
      <c r="Z2318" s="24">
        <v>40909</v>
      </c>
      <c r="AA2318" s="24">
        <v>41640</v>
      </c>
      <c r="AB2318" t="s">
        <v>26</v>
      </c>
      <c r="AC2318" s="24">
        <v>40909</v>
      </c>
      <c r="AD2318" s="24">
        <v>41640</v>
      </c>
      <c r="AE2318" t="s">
        <v>26</v>
      </c>
      <c r="AF2318" t="s">
        <v>26</v>
      </c>
      <c r="AG2318" t="s">
        <v>26</v>
      </c>
      <c r="AH2318" t="s">
        <v>26</v>
      </c>
      <c r="AI2318" t="s">
        <v>26</v>
      </c>
      <c r="AJ2318" t="s">
        <v>26</v>
      </c>
      <c r="AK2318" t="s">
        <v>26</v>
      </c>
      <c r="AL2318" t="s">
        <v>26</v>
      </c>
      <c r="AM2318" t="s">
        <v>26</v>
      </c>
      <c r="AN2318" t="s">
        <v>26</v>
      </c>
      <c r="AO2318" s="25" t="s">
        <v>28</v>
      </c>
      <c r="AP2318" s="23" t="s">
        <v>279</v>
      </c>
      <c r="AQ2318" s="23" t="s">
        <v>30</v>
      </c>
      <c r="AR2318" s="23" t="s">
        <v>46</v>
      </c>
      <c r="AS2318" s="25">
        <v>6275755</v>
      </c>
      <c r="AT2318" t="s">
        <v>26</v>
      </c>
      <c r="AU2318" t="s">
        <v>25273</v>
      </c>
    </row>
    <row r="2319" spans="1:47" ht="26.25" x14ac:dyDescent="0.4">
      <c r="A2319" s="23" t="s">
        <v>6072</v>
      </c>
      <c r="B2319" t="s">
        <v>26</v>
      </c>
      <c r="C2319" s="23" t="s">
        <v>332</v>
      </c>
      <c r="D2319" s="23" t="s">
        <v>22256</v>
      </c>
      <c r="E2319" s="23" t="s">
        <v>42</v>
      </c>
      <c r="F2319" t="s">
        <v>26</v>
      </c>
      <c r="G2319" t="s">
        <v>26</v>
      </c>
      <c r="H2319" t="s">
        <v>26</v>
      </c>
      <c r="I2319" s="24">
        <v>40909</v>
      </c>
      <c r="J2319" s="24">
        <v>41640</v>
      </c>
      <c r="K2319" t="s">
        <v>26</v>
      </c>
      <c r="L2319" s="25" t="s">
        <v>28</v>
      </c>
      <c r="M2319" s="24">
        <v>40909</v>
      </c>
      <c r="N2319" s="24">
        <v>41640</v>
      </c>
      <c r="O2319" t="s">
        <v>26</v>
      </c>
      <c r="P2319" t="s">
        <v>26</v>
      </c>
      <c r="Q2319" t="s">
        <v>26</v>
      </c>
      <c r="R2319" t="s">
        <v>26</v>
      </c>
      <c r="S2319" t="s">
        <v>26</v>
      </c>
      <c r="T2319" t="s">
        <v>26</v>
      </c>
      <c r="U2319" t="s">
        <v>26</v>
      </c>
      <c r="V2319" t="s">
        <v>26</v>
      </c>
      <c r="W2319" s="24">
        <v>40909</v>
      </c>
      <c r="X2319" s="24">
        <v>41640</v>
      </c>
      <c r="Y2319" t="s">
        <v>26</v>
      </c>
      <c r="Z2319" s="24">
        <v>40909</v>
      </c>
      <c r="AA2319" s="24">
        <v>41640</v>
      </c>
      <c r="AB2319" t="s">
        <v>26</v>
      </c>
      <c r="AC2319" s="24">
        <v>40909</v>
      </c>
      <c r="AD2319" s="24">
        <v>41640</v>
      </c>
      <c r="AE2319" t="s">
        <v>26</v>
      </c>
      <c r="AF2319" t="s">
        <v>26</v>
      </c>
      <c r="AG2319" t="s">
        <v>26</v>
      </c>
      <c r="AH2319" t="s">
        <v>26</v>
      </c>
      <c r="AI2319" t="s">
        <v>26</v>
      </c>
      <c r="AJ2319" t="s">
        <v>26</v>
      </c>
      <c r="AK2319" t="s">
        <v>26</v>
      </c>
      <c r="AL2319" t="s">
        <v>26</v>
      </c>
      <c r="AM2319" t="s">
        <v>26</v>
      </c>
      <c r="AN2319" t="s">
        <v>26</v>
      </c>
      <c r="AO2319" s="25" t="s">
        <v>28</v>
      </c>
      <c r="AP2319" s="23" t="s">
        <v>279</v>
      </c>
      <c r="AQ2319" s="23" t="s">
        <v>30</v>
      </c>
      <c r="AR2319" s="23" t="s">
        <v>46</v>
      </c>
      <c r="AS2319" s="25">
        <v>6275754</v>
      </c>
      <c r="AT2319" t="s">
        <v>26</v>
      </c>
      <c r="AU2319" t="s">
        <v>25274</v>
      </c>
    </row>
    <row r="2320" spans="1:47" ht="26.25" x14ac:dyDescent="0.4">
      <c r="A2320" s="23" t="s">
        <v>6073</v>
      </c>
      <c r="B2320" t="s">
        <v>26</v>
      </c>
      <c r="C2320" s="23" t="s">
        <v>332</v>
      </c>
      <c r="D2320" s="23" t="s">
        <v>22256</v>
      </c>
      <c r="E2320" s="23" t="s">
        <v>42</v>
      </c>
      <c r="F2320" t="s">
        <v>26</v>
      </c>
      <c r="G2320" t="s">
        <v>26</v>
      </c>
      <c r="H2320" t="s">
        <v>26</v>
      </c>
      <c r="I2320" s="24">
        <v>40909</v>
      </c>
      <c r="J2320" s="24">
        <v>41640</v>
      </c>
      <c r="K2320" t="s">
        <v>26</v>
      </c>
      <c r="L2320" s="25" t="s">
        <v>28</v>
      </c>
      <c r="M2320" s="24">
        <v>40909</v>
      </c>
      <c r="N2320" s="24">
        <v>41640</v>
      </c>
      <c r="O2320" t="s">
        <v>26</v>
      </c>
      <c r="P2320" t="s">
        <v>26</v>
      </c>
      <c r="Q2320" t="s">
        <v>26</v>
      </c>
      <c r="R2320" t="s">
        <v>26</v>
      </c>
      <c r="S2320" t="s">
        <v>26</v>
      </c>
      <c r="T2320" t="s">
        <v>26</v>
      </c>
      <c r="U2320" t="s">
        <v>26</v>
      </c>
      <c r="V2320" t="s">
        <v>26</v>
      </c>
      <c r="W2320" s="24">
        <v>40909</v>
      </c>
      <c r="X2320" s="24">
        <v>41640</v>
      </c>
      <c r="Y2320" t="s">
        <v>26</v>
      </c>
      <c r="Z2320" s="24">
        <v>40909</v>
      </c>
      <c r="AA2320" s="24">
        <v>41640</v>
      </c>
      <c r="AB2320" t="s">
        <v>26</v>
      </c>
      <c r="AC2320" s="24">
        <v>40909</v>
      </c>
      <c r="AD2320" s="24">
        <v>41640</v>
      </c>
      <c r="AE2320" t="s">
        <v>26</v>
      </c>
      <c r="AF2320" t="s">
        <v>26</v>
      </c>
      <c r="AG2320" t="s">
        <v>26</v>
      </c>
      <c r="AH2320" t="s">
        <v>26</v>
      </c>
      <c r="AI2320" t="s">
        <v>26</v>
      </c>
      <c r="AJ2320" t="s">
        <v>26</v>
      </c>
      <c r="AK2320" t="s">
        <v>26</v>
      </c>
      <c r="AL2320" t="s">
        <v>26</v>
      </c>
      <c r="AM2320" t="s">
        <v>26</v>
      </c>
      <c r="AN2320" t="s">
        <v>26</v>
      </c>
      <c r="AO2320" s="25" t="s">
        <v>28</v>
      </c>
      <c r="AP2320" s="23" t="s">
        <v>279</v>
      </c>
      <c r="AQ2320" s="23" t="s">
        <v>30</v>
      </c>
      <c r="AR2320" s="23" t="s">
        <v>46</v>
      </c>
      <c r="AS2320" s="25">
        <v>6275753</v>
      </c>
      <c r="AT2320" t="s">
        <v>26</v>
      </c>
      <c r="AU2320" t="s">
        <v>25275</v>
      </c>
    </row>
    <row r="2321" spans="1:47" ht="26.25" x14ac:dyDescent="0.4">
      <c r="A2321" s="23" t="s">
        <v>6074</v>
      </c>
      <c r="B2321" t="s">
        <v>26</v>
      </c>
      <c r="C2321" s="23" t="s">
        <v>320</v>
      </c>
      <c r="D2321" s="23" t="s">
        <v>22294</v>
      </c>
      <c r="E2321" s="23" t="s">
        <v>42</v>
      </c>
      <c r="F2321" s="25" t="s">
        <v>6075</v>
      </c>
      <c r="G2321" s="25" t="s">
        <v>6076</v>
      </c>
      <c r="H2321" t="s">
        <v>26</v>
      </c>
      <c r="I2321" t="s">
        <v>26</v>
      </c>
      <c r="J2321" t="s">
        <v>26</v>
      </c>
      <c r="K2321" t="s">
        <v>26</v>
      </c>
      <c r="L2321" s="25" t="s">
        <v>68</v>
      </c>
      <c r="M2321" t="s">
        <v>26</v>
      </c>
      <c r="N2321" t="s">
        <v>26</v>
      </c>
      <c r="O2321" t="s">
        <v>26</v>
      </c>
      <c r="P2321" t="s">
        <v>26</v>
      </c>
      <c r="Q2321" t="s">
        <v>26</v>
      </c>
      <c r="R2321" t="s">
        <v>26</v>
      </c>
      <c r="S2321" t="s">
        <v>26</v>
      </c>
      <c r="T2321" t="s">
        <v>26</v>
      </c>
      <c r="U2321" t="s">
        <v>26</v>
      </c>
      <c r="V2321" t="s">
        <v>26</v>
      </c>
      <c r="W2321" s="24">
        <v>41275</v>
      </c>
      <c r="X2321" s="24">
        <v>43009</v>
      </c>
      <c r="Y2321" t="s">
        <v>26</v>
      </c>
      <c r="Z2321" s="24">
        <v>41275</v>
      </c>
      <c r="AA2321" s="24">
        <v>43009</v>
      </c>
      <c r="AB2321" t="s">
        <v>26</v>
      </c>
      <c r="AC2321" s="24">
        <v>41275</v>
      </c>
      <c r="AD2321" s="24">
        <v>43009</v>
      </c>
      <c r="AE2321" t="s">
        <v>26</v>
      </c>
      <c r="AF2321" t="s">
        <v>26</v>
      </c>
      <c r="AG2321" t="s">
        <v>26</v>
      </c>
      <c r="AH2321" t="s">
        <v>26</v>
      </c>
      <c r="AI2321" t="s">
        <v>26</v>
      </c>
      <c r="AJ2321" t="s">
        <v>26</v>
      </c>
      <c r="AK2321" t="s">
        <v>26</v>
      </c>
      <c r="AL2321" t="s">
        <v>26</v>
      </c>
      <c r="AM2321" t="s">
        <v>26</v>
      </c>
      <c r="AN2321" t="s">
        <v>26</v>
      </c>
      <c r="AO2321" s="25" t="s">
        <v>68</v>
      </c>
      <c r="AP2321" s="23" t="s">
        <v>69</v>
      </c>
      <c r="AQ2321" s="23" t="s">
        <v>30</v>
      </c>
      <c r="AR2321" s="23" t="s">
        <v>6077</v>
      </c>
      <c r="AS2321" s="25">
        <v>2034409</v>
      </c>
      <c r="AT2321" t="s">
        <v>26</v>
      </c>
      <c r="AU2321" t="s">
        <v>25276</v>
      </c>
    </row>
    <row r="2322" spans="1:47" ht="26.25" x14ac:dyDescent="0.4">
      <c r="A2322" s="23" t="s">
        <v>6078</v>
      </c>
      <c r="B2322" t="s">
        <v>26</v>
      </c>
      <c r="C2322" s="23" t="s">
        <v>65</v>
      </c>
      <c r="D2322" s="23" t="s">
        <v>22179</v>
      </c>
      <c r="E2322" s="23" t="s">
        <v>42</v>
      </c>
      <c r="F2322" s="25" t="s">
        <v>6079</v>
      </c>
      <c r="G2322" s="25" t="s">
        <v>6080</v>
      </c>
      <c r="H2322" t="s">
        <v>26</v>
      </c>
      <c r="I2322" s="24">
        <v>35947</v>
      </c>
      <c r="J2322" s="24">
        <v>43070</v>
      </c>
      <c r="K2322" t="s">
        <v>26</v>
      </c>
      <c r="L2322" s="25" t="s">
        <v>68</v>
      </c>
      <c r="M2322" s="24">
        <v>35947</v>
      </c>
      <c r="N2322" s="24">
        <v>40269</v>
      </c>
      <c r="O2322" t="s">
        <v>26</v>
      </c>
      <c r="P2322" s="24">
        <v>35947</v>
      </c>
      <c r="Q2322" s="24">
        <v>43070</v>
      </c>
      <c r="R2322" t="s">
        <v>26</v>
      </c>
      <c r="S2322" t="s">
        <v>26</v>
      </c>
      <c r="T2322" t="s">
        <v>26</v>
      </c>
      <c r="U2322" t="s">
        <v>26</v>
      </c>
      <c r="V2322" t="s">
        <v>26</v>
      </c>
      <c r="W2322" s="24">
        <v>35947</v>
      </c>
      <c r="X2322" s="25" t="s">
        <v>77</v>
      </c>
      <c r="Y2322" t="s">
        <v>26</v>
      </c>
      <c r="Z2322" s="24">
        <v>35947</v>
      </c>
      <c r="AA2322" s="25" t="s">
        <v>77</v>
      </c>
      <c r="AB2322" t="s">
        <v>26</v>
      </c>
      <c r="AC2322" s="24">
        <v>40756</v>
      </c>
      <c r="AD2322" s="25" t="s">
        <v>77</v>
      </c>
      <c r="AE2322" t="s">
        <v>26</v>
      </c>
      <c r="AF2322" t="s">
        <v>26</v>
      </c>
      <c r="AG2322" t="s">
        <v>26</v>
      </c>
      <c r="AH2322" t="s">
        <v>26</v>
      </c>
      <c r="AI2322" t="s">
        <v>26</v>
      </c>
      <c r="AJ2322" t="s">
        <v>26</v>
      </c>
      <c r="AK2322" t="s">
        <v>26</v>
      </c>
      <c r="AL2322" t="s">
        <v>26</v>
      </c>
      <c r="AM2322" t="s">
        <v>26</v>
      </c>
      <c r="AN2322" t="s">
        <v>26</v>
      </c>
      <c r="AO2322" s="25" t="s">
        <v>68</v>
      </c>
      <c r="AP2322" s="23" t="s">
        <v>69</v>
      </c>
      <c r="AQ2322" s="23" t="s">
        <v>30</v>
      </c>
      <c r="AR2322" s="23" t="s">
        <v>71</v>
      </c>
      <c r="AS2322" s="25">
        <v>533</v>
      </c>
      <c r="AT2322" t="s">
        <v>26</v>
      </c>
      <c r="AU2322" t="s">
        <v>25277</v>
      </c>
    </row>
    <row r="2323" spans="1:47" ht="26.25" x14ac:dyDescent="0.4">
      <c r="A2323" s="23" t="s">
        <v>6081</v>
      </c>
      <c r="B2323" t="s">
        <v>26</v>
      </c>
      <c r="C2323" s="23" t="s">
        <v>80</v>
      </c>
      <c r="D2323" s="23" t="s">
        <v>22184</v>
      </c>
      <c r="E2323" s="23" t="s">
        <v>60</v>
      </c>
      <c r="F2323" s="25" t="s">
        <v>6082</v>
      </c>
      <c r="G2323" s="25" t="s">
        <v>6083</v>
      </c>
      <c r="H2323" t="s">
        <v>26</v>
      </c>
      <c r="I2323" t="s">
        <v>26</v>
      </c>
      <c r="J2323" t="s">
        <v>26</v>
      </c>
      <c r="K2323" t="s">
        <v>26</v>
      </c>
      <c r="L2323" s="25" t="s">
        <v>68</v>
      </c>
      <c r="M2323" t="s">
        <v>26</v>
      </c>
      <c r="N2323" t="s">
        <v>26</v>
      </c>
      <c r="O2323" t="s">
        <v>26</v>
      </c>
      <c r="P2323" t="s">
        <v>26</v>
      </c>
      <c r="Q2323" t="s">
        <v>26</v>
      </c>
      <c r="R2323" t="s">
        <v>26</v>
      </c>
      <c r="S2323" t="s">
        <v>26</v>
      </c>
      <c r="T2323" t="s">
        <v>26</v>
      </c>
      <c r="U2323" t="s">
        <v>26</v>
      </c>
      <c r="V2323" t="s">
        <v>26</v>
      </c>
      <c r="W2323" s="24">
        <v>42370</v>
      </c>
      <c r="X2323" s="25" t="s">
        <v>77</v>
      </c>
      <c r="Y2323" t="s">
        <v>26</v>
      </c>
      <c r="Z2323" s="24">
        <v>42370</v>
      </c>
      <c r="AA2323" s="25" t="s">
        <v>77</v>
      </c>
      <c r="AB2323" t="s">
        <v>26</v>
      </c>
      <c r="AC2323" s="24">
        <v>42370</v>
      </c>
      <c r="AD2323" s="25" t="s">
        <v>77</v>
      </c>
      <c r="AE2323" t="s">
        <v>26</v>
      </c>
      <c r="AF2323" t="s">
        <v>26</v>
      </c>
      <c r="AG2323" t="s">
        <v>26</v>
      </c>
      <c r="AH2323" t="s">
        <v>26</v>
      </c>
      <c r="AI2323" t="s">
        <v>26</v>
      </c>
      <c r="AJ2323" t="s">
        <v>26</v>
      </c>
      <c r="AK2323" t="s">
        <v>26</v>
      </c>
      <c r="AL2323" t="s">
        <v>26</v>
      </c>
      <c r="AM2323" t="s">
        <v>26</v>
      </c>
      <c r="AN2323" t="s">
        <v>26</v>
      </c>
      <c r="AO2323" s="25" t="s">
        <v>68</v>
      </c>
      <c r="AP2323" s="23" t="s">
        <v>69</v>
      </c>
      <c r="AQ2323" s="23" t="s">
        <v>30</v>
      </c>
      <c r="AR2323" s="23" t="s">
        <v>1046</v>
      </c>
      <c r="AS2323" s="25">
        <v>2040028</v>
      </c>
      <c r="AT2323" t="s">
        <v>26</v>
      </c>
      <c r="AU2323" t="s">
        <v>25278</v>
      </c>
    </row>
    <row r="2324" spans="1:47" ht="26.25" x14ac:dyDescent="0.4">
      <c r="A2324" s="23" t="s">
        <v>6084</v>
      </c>
      <c r="B2324" t="s">
        <v>26</v>
      </c>
      <c r="C2324" s="23" t="s">
        <v>80</v>
      </c>
      <c r="D2324" s="23" t="s">
        <v>25279</v>
      </c>
      <c r="E2324" s="23" t="s">
        <v>60</v>
      </c>
      <c r="F2324" s="25" t="s">
        <v>6085</v>
      </c>
      <c r="G2324" s="25" t="s">
        <v>6086</v>
      </c>
      <c r="H2324" t="s">
        <v>26</v>
      </c>
      <c r="I2324" s="24">
        <v>39083</v>
      </c>
      <c r="J2324" s="24">
        <v>43466</v>
      </c>
      <c r="K2324" t="s">
        <v>26</v>
      </c>
      <c r="L2324" s="25" t="s">
        <v>68</v>
      </c>
      <c r="M2324" s="24">
        <v>39083</v>
      </c>
      <c r="N2324" s="24">
        <v>43466</v>
      </c>
      <c r="O2324" t="s">
        <v>26</v>
      </c>
      <c r="P2324" s="24">
        <v>39083</v>
      </c>
      <c r="Q2324" s="24">
        <v>43466</v>
      </c>
      <c r="R2324" t="s">
        <v>26</v>
      </c>
      <c r="S2324" t="s">
        <v>26</v>
      </c>
      <c r="T2324" t="s">
        <v>26</v>
      </c>
      <c r="U2324" t="s">
        <v>26</v>
      </c>
      <c r="V2324" t="s">
        <v>26</v>
      </c>
      <c r="W2324" s="24">
        <v>39083</v>
      </c>
      <c r="X2324" s="25" t="s">
        <v>77</v>
      </c>
      <c r="Y2324" t="s">
        <v>26</v>
      </c>
      <c r="Z2324" s="24">
        <v>39083</v>
      </c>
      <c r="AA2324" s="25" t="s">
        <v>77</v>
      </c>
      <c r="AB2324" t="s">
        <v>26</v>
      </c>
      <c r="AC2324" s="24">
        <v>39083</v>
      </c>
      <c r="AD2324" s="25" t="s">
        <v>77</v>
      </c>
      <c r="AE2324" t="s">
        <v>26</v>
      </c>
      <c r="AF2324" t="s">
        <v>26</v>
      </c>
      <c r="AG2324" t="s">
        <v>26</v>
      </c>
      <c r="AH2324" t="s">
        <v>26</v>
      </c>
      <c r="AI2324" t="s">
        <v>26</v>
      </c>
      <c r="AJ2324" t="s">
        <v>26</v>
      </c>
      <c r="AK2324" t="s">
        <v>26</v>
      </c>
      <c r="AL2324" t="s">
        <v>26</v>
      </c>
      <c r="AM2324" t="s">
        <v>26</v>
      </c>
      <c r="AN2324" t="s">
        <v>26</v>
      </c>
      <c r="AO2324" s="25" t="s">
        <v>68</v>
      </c>
      <c r="AP2324" s="23" t="s">
        <v>69</v>
      </c>
      <c r="AQ2324" s="23" t="s">
        <v>30</v>
      </c>
      <c r="AR2324" s="23" t="s">
        <v>46</v>
      </c>
      <c r="AS2324" s="25">
        <v>31426</v>
      </c>
      <c r="AT2324" t="s">
        <v>26</v>
      </c>
      <c r="AU2324" t="s">
        <v>25280</v>
      </c>
    </row>
    <row r="2325" spans="1:47" ht="26.25" x14ac:dyDescent="0.4">
      <c r="A2325" s="23" t="s">
        <v>6087</v>
      </c>
      <c r="B2325" t="s">
        <v>26</v>
      </c>
      <c r="C2325" s="23" t="s">
        <v>80</v>
      </c>
      <c r="D2325" s="23" t="s">
        <v>22174</v>
      </c>
      <c r="E2325" s="23" t="s">
        <v>60</v>
      </c>
      <c r="F2325" s="25" t="s">
        <v>6088</v>
      </c>
      <c r="G2325" t="s">
        <v>26</v>
      </c>
      <c r="H2325" t="s">
        <v>26</v>
      </c>
      <c r="I2325" t="s">
        <v>26</v>
      </c>
      <c r="J2325" t="s">
        <v>26</v>
      </c>
      <c r="K2325" t="s">
        <v>26</v>
      </c>
      <c r="L2325" s="25" t="s">
        <v>68</v>
      </c>
      <c r="M2325" t="s">
        <v>26</v>
      </c>
      <c r="N2325" t="s">
        <v>26</v>
      </c>
      <c r="O2325" t="s">
        <v>26</v>
      </c>
      <c r="P2325" t="s">
        <v>26</v>
      </c>
      <c r="Q2325" t="s">
        <v>26</v>
      </c>
      <c r="R2325" t="s">
        <v>26</v>
      </c>
      <c r="S2325" t="s">
        <v>26</v>
      </c>
      <c r="T2325" t="s">
        <v>26</v>
      </c>
      <c r="U2325" t="s">
        <v>26</v>
      </c>
      <c r="V2325" t="s">
        <v>26</v>
      </c>
      <c r="W2325" s="24">
        <v>43221</v>
      </c>
      <c r="X2325" s="24">
        <v>43770</v>
      </c>
      <c r="Y2325" t="s">
        <v>26</v>
      </c>
      <c r="Z2325" s="24">
        <v>43221</v>
      </c>
      <c r="AA2325" s="24">
        <v>43770</v>
      </c>
      <c r="AB2325" t="s">
        <v>26</v>
      </c>
      <c r="AC2325" s="24">
        <v>43221</v>
      </c>
      <c r="AD2325" s="24">
        <v>43770</v>
      </c>
      <c r="AE2325" t="s">
        <v>26</v>
      </c>
      <c r="AF2325" t="s">
        <v>26</v>
      </c>
      <c r="AG2325" t="s">
        <v>26</v>
      </c>
      <c r="AH2325" t="s">
        <v>26</v>
      </c>
      <c r="AI2325" t="s">
        <v>26</v>
      </c>
      <c r="AJ2325" t="s">
        <v>26</v>
      </c>
      <c r="AK2325" t="s">
        <v>26</v>
      </c>
      <c r="AL2325" t="s">
        <v>26</v>
      </c>
      <c r="AM2325" t="s">
        <v>26</v>
      </c>
      <c r="AN2325" t="s">
        <v>26</v>
      </c>
      <c r="AO2325" s="25" t="s">
        <v>68</v>
      </c>
      <c r="AP2325" s="23" t="s">
        <v>69</v>
      </c>
      <c r="AQ2325" s="23" t="s">
        <v>30</v>
      </c>
      <c r="AR2325" s="23" t="s">
        <v>70</v>
      </c>
      <c r="AS2325" s="25">
        <v>105387</v>
      </c>
      <c r="AT2325" t="s">
        <v>26</v>
      </c>
      <c r="AU2325" t="s">
        <v>25281</v>
      </c>
    </row>
    <row r="2326" spans="1:47" ht="26.25" x14ac:dyDescent="0.4">
      <c r="A2326" s="23" t="s">
        <v>6087</v>
      </c>
      <c r="B2326" t="s">
        <v>26</v>
      </c>
      <c r="C2326" s="23" t="s">
        <v>80</v>
      </c>
      <c r="D2326" s="23" t="s">
        <v>22174</v>
      </c>
      <c r="E2326" s="23" t="s">
        <v>60</v>
      </c>
      <c r="F2326" s="25" t="s">
        <v>6088</v>
      </c>
      <c r="G2326" t="s">
        <v>26</v>
      </c>
      <c r="H2326" t="s">
        <v>26</v>
      </c>
      <c r="I2326" t="s">
        <v>26</v>
      </c>
      <c r="J2326" t="s">
        <v>26</v>
      </c>
      <c r="K2326" t="s">
        <v>26</v>
      </c>
      <c r="L2326" s="25" t="s">
        <v>68</v>
      </c>
      <c r="M2326" t="s">
        <v>26</v>
      </c>
      <c r="N2326" t="s">
        <v>26</v>
      </c>
      <c r="O2326" t="s">
        <v>26</v>
      </c>
      <c r="P2326" t="s">
        <v>26</v>
      </c>
      <c r="Q2326" t="s">
        <v>26</v>
      </c>
      <c r="R2326" t="s">
        <v>26</v>
      </c>
      <c r="S2326" t="s">
        <v>26</v>
      </c>
      <c r="T2326" t="s">
        <v>26</v>
      </c>
      <c r="U2326" t="s">
        <v>26</v>
      </c>
      <c r="V2326" t="s">
        <v>26</v>
      </c>
      <c r="W2326" s="24">
        <v>42401</v>
      </c>
      <c r="X2326" s="25" t="s">
        <v>77</v>
      </c>
      <c r="Y2326" t="s">
        <v>26</v>
      </c>
      <c r="Z2326" s="24">
        <v>42401</v>
      </c>
      <c r="AA2326" s="25" t="s">
        <v>77</v>
      </c>
      <c r="AB2326" t="s">
        <v>26</v>
      </c>
      <c r="AC2326" s="24">
        <v>42401</v>
      </c>
      <c r="AD2326" s="25" t="s">
        <v>77</v>
      </c>
      <c r="AE2326" t="s">
        <v>26</v>
      </c>
      <c r="AF2326" t="s">
        <v>26</v>
      </c>
      <c r="AG2326" t="s">
        <v>26</v>
      </c>
      <c r="AH2326" t="s">
        <v>26</v>
      </c>
      <c r="AI2326" t="s">
        <v>26</v>
      </c>
      <c r="AJ2326" t="s">
        <v>26</v>
      </c>
      <c r="AK2326" t="s">
        <v>26</v>
      </c>
      <c r="AL2326" t="s">
        <v>26</v>
      </c>
      <c r="AM2326" t="s">
        <v>26</v>
      </c>
      <c r="AN2326" t="s">
        <v>26</v>
      </c>
      <c r="AO2326" s="25" t="s">
        <v>68</v>
      </c>
      <c r="AP2326" s="23" t="s">
        <v>69</v>
      </c>
      <c r="AQ2326" s="23" t="s">
        <v>30</v>
      </c>
      <c r="AR2326" s="23" t="s">
        <v>70</v>
      </c>
      <c r="AS2326" s="25">
        <v>2032998</v>
      </c>
      <c r="AT2326" t="s">
        <v>26</v>
      </c>
      <c r="AU2326" t="s">
        <v>25282</v>
      </c>
    </row>
    <row r="2327" spans="1:47" ht="26.25" x14ac:dyDescent="0.4">
      <c r="A2327" s="23" t="s">
        <v>6089</v>
      </c>
      <c r="B2327" t="s">
        <v>26</v>
      </c>
      <c r="C2327" s="23" t="s">
        <v>65</v>
      </c>
      <c r="D2327" s="23" t="s">
        <v>25283</v>
      </c>
      <c r="E2327" s="23" t="s">
        <v>42</v>
      </c>
      <c r="F2327" s="25" t="s">
        <v>6090</v>
      </c>
      <c r="G2327" s="25" t="s">
        <v>6091</v>
      </c>
      <c r="H2327" t="s">
        <v>26</v>
      </c>
      <c r="I2327" s="24">
        <v>26724</v>
      </c>
      <c r="J2327" s="24">
        <v>43070</v>
      </c>
      <c r="K2327" t="s">
        <v>26</v>
      </c>
      <c r="L2327" s="25" t="s">
        <v>68</v>
      </c>
      <c r="M2327" s="24">
        <v>26724</v>
      </c>
      <c r="N2327" s="24">
        <v>40238</v>
      </c>
      <c r="O2327" t="s">
        <v>26</v>
      </c>
      <c r="P2327" s="24">
        <v>26724</v>
      </c>
      <c r="Q2327" s="24">
        <v>43070</v>
      </c>
      <c r="R2327" t="s">
        <v>26</v>
      </c>
      <c r="S2327" t="s">
        <v>26</v>
      </c>
      <c r="T2327" t="s">
        <v>26</v>
      </c>
      <c r="U2327" t="s">
        <v>26</v>
      </c>
      <c r="V2327" t="s">
        <v>26</v>
      </c>
      <c r="W2327" s="24">
        <v>26724</v>
      </c>
      <c r="X2327" s="25" t="s">
        <v>77</v>
      </c>
      <c r="Y2327" t="s">
        <v>26</v>
      </c>
      <c r="Z2327" s="24">
        <v>26724</v>
      </c>
      <c r="AA2327" s="25" t="s">
        <v>77</v>
      </c>
      <c r="AB2327" t="s">
        <v>26</v>
      </c>
      <c r="AC2327" s="24">
        <v>26724</v>
      </c>
      <c r="AD2327" s="25" t="s">
        <v>77</v>
      </c>
      <c r="AE2327" s="25" t="s">
        <v>25284</v>
      </c>
      <c r="AF2327" t="s">
        <v>26</v>
      </c>
      <c r="AG2327" t="s">
        <v>26</v>
      </c>
      <c r="AH2327" t="s">
        <v>26</v>
      </c>
      <c r="AI2327" t="s">
        <v>26</v>
      </c>
      <c r="AJ2327" t="s">
        <v>26</v>
      </c>
      <c r="AK2327" t="s">
        <v>26</v>
      </c>
      <c r="AL2327" t="s">
        <v>26</v>
      </c>
      <c r="AM2327" t="s">
        <v>26</v>
      </c>
      <c r="AN2327" t="s">
        <v>26</v>
      </c>
      <c r="AO2327" s="25" t="s">
        <v>68</v>
      </c>
      <c r="AP2327" s="23" t="s">
        <v>69</v>
      </c>
      <c r="AQ2327" s="23" t="s">
        <v>30</v>
      </c>
      <c r="AR2327" s="23" t="s">
        <v>71</v>
      </c>
      <c r="AS2327" s="25">
        <v>27772</v>
      </c>
      <c r="AT2327" t="s">
        <v>26</v>
      </c>
      <c r="AU2327" t="s">
        <v>25285</v>
      </c>
    </row>
    <row r="2328" spans="1:47" ht="26.25" x14ac:dyDescent="0.4">
      <c r="A2328" s="23" t="s">
        <v>6092</v>
      </c>
      <c r="B2328" t="s">
        <v>26</v>
      </c>
      <c r="C2328" s="23" t="s">
        <v>332</v>
      </c>
      <c r="D2328" s="23" t="s">
        <v>22256</v>
      </c>
      <c r="E2328" s="23" t="s">
        <v>42</v>
      </c>
      <c r="F2328" t="s">
        <v>26</v>
      </c>
      <c r="G2328" t="s">
        <v>26</v>
      </c>
      <c r="H2328" t="s">
        <v>26</v>
      </c>
      <c r="I2328" s="24">
        <v>41275</v>
      </c>
      <c r="J2328" s="24">
        <v>41640</v>
      </c>
      <c r="K2328" t="s">
        <v>26</v>
      </c>
      <c r="L2328" s="25" t="s">
        <v>28</v>
      </c>
      <c r="M2328" s="24">
        <v>41275</v>
      </c>
      <c r="N2328" s="24">
        <v>41640</v>
      </c>
      <c r="O2328" t="s">
        <v>26</v>
      </c>
      <c r="P2328" t="s">
        <v>26</v>
      </c>
      <c r="Q2328" t="s">
        <v>26</v>
      </c>
      <c r="R2328" t="s">
        <v>26</v>
      </c>
      <c r="S2328" t="s">
        <v>26</v>
      </c>
      <c r="T2328" t="s">
        <v>26</v>
      </c>
      <c r="U2328" t="s">
        <v>26</v>
      </c>
      <c r="V2328" t="s">
        <v>26</v>
      </c>
      <c r="W2328" s="24">
        <v>41275</v>
      </c>
      <c r="X2328" s="24">
        <v>41640</v>
      </c>
      <c r="Y2328" t="s">
        <v>26</v>
      </c>
      <c r="Z2328" s="24">
        <v>41275</v>
      </c>
      <c r="AA2328" s="24">
        <v>41640</v>
      </c>
      <c r="AB2328" t="s">
        <v>26</v>
      </c>
      <c r="AC2328" s="24">
        <v>41275</v>
      </c>
      <c r="AD2328" s="24">
        <v>41640</v>
      </c>
      <c r="AE2328" t="s">
        <v>26</v>
      </c>
      <c r="AF2328" t="s">
        <v>26</v>
      </c>
      <c r="AG2328" t="s">
        <v>26</v>
      </c>
      <c r="AH2328" t="s">
        <v>26</v>
      </c>
      <c r="AI2328" t="s">
        <v>26</v>
      </c>
      <c r="AJ2328" t="s">
        <v>26</v>
      </c>
      <c r="AK2328" t="s">
        <v>26</v>
      </c>
      <c r="AL2328" t="s">
        <v>26</v>
      </c>
      <c r="AM2328" t="s">
        <v>26</v>
      </c>
      <c r="AN2328" t="s">
        <v>26</v>
      </c>
      <c r="AO2328" s="25" t="s">
        <v>28</v>
      </c>
      <c r="AP2328" s="23" t="s">
        <v>279</v>
      </c>
      <c r="AQ2328" s="23" t="s">
        <v>30</v>
      </c>
      <c r="AR2328" s="23" t="s">
        <v>46</v>
      </c>
      <c r="AS2328" s="25">
        <v>6275752</v>
      </c>
      <c r="AT2328" t="s">
        <v>26</v>
      </c>
      <c r="AU2328" t="s">
        <v>25286</v>
      </c>
    </row>
    <row r="2329" spans="1:47" ht="26.25" x14ac:dyDescent="0.4">
      <c r="A2329" s="23" t="s">
        <v>6093</v>
      </c>
      <c r="B2329" t="s">
        <v>26</v>
      </c>
      <c r="C2329" s="23" t="s">
        <v>172</v>
      </c>
      <c r="D2329" s="23" t="s">
        <v>24979</v>
      </c>
      <c r="E2329" s="23" t="s">
        <v>60</v>
      </c>
      <c r="F2329" s="25" t="s">
        <v>6094</v>
      </c>
      <c r="G2329" s="25" t="s">
        <v>6095</v>
      </c>
      <c r="H2329" t="s">
        <v>26</v>
      </c>
      <c r="I2329" t="s">
        <v>26</v>
      </c>
      <c r="J2329" t="s">
        <v>26</v>
      </c>
      <c r="K2329" t="s">
        <v>26</v>
      </c>
      <c r="L2329" s="25" t="s">
        <v>68</v>
      </c>
      <c r="M2329" t="s">
        <v>26</v>
      </c>
      <c r="N2329" t="s">
        <v>26</v>
      </c>
      <c r="O2329" t="s">
        <v>26</v>
      </c>
      <c r="P2329" t="s">
        <v>26</v>
      </c>
      <c r="Q2329" t="s">
        <v>26</v>
      </c>
      <c r="R2329" t="s">
        <v>26</v>
      </c>
      <c r="S2329" t="s">
        <v>26</v>
      </c>
      <c r="T2329" t="s">
        <v>26</v>
      </c>
      <c r="U2329" t="s">
        <v>26</v>
      </c>
      <c r="V2329" t="s">
        <v>26</v>
      </c>
      <c r="W2329" s="24">
        <v>38139</v>
      </c>
      <c r="X2329" s="25" t="s">
        <v>77</v>
      </c>
      <c r="Y2329" t="s">
        <v>26</v>
      </c>
      <c r="Z2329" s="24">
        <v>38139</v>
      </c>
      <c r="AA2329" s="25" t="s">
        <v>77</v>
      </c>
      <c r="AB2329" t="s">
        <v>26</v>
      </c>
      <c r="AC2329" s="24">
        <v>38139</v>
      </c>
      <c r="AD2329" s="25" t="s">
        <v>77</v>
      </c>
      <c r="AE2329" t="s">
        <v>26</v>
      </c>
      <c r="AF2329" t="s">
        <v>26</v>
      </c>
      <c r="AG2329" t="s">
        <v>26</v>
      </c>
      <c r="AH2329" t="s">
        <v>26</v>
      </c>
      <c r="AI2329" t="s">
        <v>26</v>
      </c>
      <c r="AJ2329" t="s">
        <v>26</v>
      </c>
      <c r="AK2329" t="s">
        <v>26</v>
      </c>
      <c r="AL2329" t="s">
        <v>26</v>
      </c>
      <c r="AM2329" t="s">
        <v>26</v>
      </c>
      <c r="AN2329" t="s">
        <v>26</v>
      </c>
      <c r="AO2329" s="25" t="s">
        <v>68</v>
      </c>
      <c r="AP2329" s="23" t="s">
        <v>69</v>
      </c>
      <c r="AQ2329" s="23" t="s">
        <v>30</v>
      </c>
      <c r="AR2329" s="23" t="s">
        <v>46</v>
      </c>
      <c r="AS2329" s="25">
        <v>29296</v>
      </c>
      <c r="AT2329" t="s">
        <v>26</v>
      </c>
      <c r="AU2329" t="s">
        <v>25287</v>
      </c>
    </row>
    <row r="2330" spans="1:47" ht="26.25" x14ac:dyDescent="0.4">
      <c r="A2330" s="23" t="s">
        <v>6096</v>
      </c>
      <c r="B2330" t="s">
        <v>26</v>
      </c>
      <c r="C2330" s="23" t="s">
        <v>6097</v>
      </c>
      <c r="D2330" s="23" t="s">
        <v>23565</v>
      </c>
      <c r="E2330" t="s">
        <v>26</v>
      </c>
      <c r="F2330" s="25" t="s">
        <v>6098</v>
      </c>
      <c r="G2330" t="s">
        <v>26</v>
      </c>
      <c r="H2330" t="s">
        <v>26</v>
      </c>
      <c r="I2330" s="24">
        <v>35886</v>
      </c>
      <c r="J2330" s="24">
        <v>36251</v>
      </c>
      <c r="K2330" t="s">
        <v>26</v>
      </c>
      <c r="L2330" s="25" t="s">
        <v>68</v>
      </c>
      <c r="M2330" s="24">
        <v>35886</v>
      </c>
      <c r="N2330" s="24">
        <v>36251</v>
      </c>
      <c r="O2330" t="s">
        <v>26</v>
      </c>
      <c r="P2330" s="24">
        <v>35886</v>
      </c>
      <c r="Q2330" s="24">
        <v>36251</v>
      </c>
      <c r="R2330" t="s">
        <v>26</v>
      </c>
      <c r="S2330" t="s">
        <v>26</v>
      </c>
      <c r="T2330" t="s">
        <v>26</v>
      </c>
      <c r="U2330" t="s">
        <v>26</v>
      </c>
      <c r="V2330" t="s">
        <v>26</v>
      </c>
      <c r="W2330" s="24">
        <v>35886</v>
      </c>
      <c r="X2330" s="24">
        <v>36251</v>
      </c>
      <c r="Y2330" t="s">
        <v>26</v>
      </c>
      <c r="Z2330" s="24">
        <v>35886</v>
      </c>
      <c r="AA2330" s="24">
        <v>36251</v>
      </c>
      <c r="AB2330" t="s">
        <v>26</v>
      </c>
      <c r="AC2330" t="s">
        <v>26</v>
      </c>
      <c r="AD2330" t="s">
        <v>26</v>
      </c>
      <c r="AE2330" t="s">
        <v>26</v>
      </c>
      <c r="AF2330" t="s">
        <v>26</v>
      </c>
      <c r="AG2330" t="s">
        <v>26</v>
      </c>
      <c r="AH2330" t="s">
        <v>26</v>
      </c>
      <c r="AI2330" t="s">
        <v>26</v>
      </c>
      <c r="AJ2330" t="s">
        <v>26</v>
      </c>
      <c r="AK2330" t="s">
        <v>26</v>
      </c>
      <c r="AL2330" t="s">
        <v>26</v>
      </c>
      <c r="AM2330" t="s">
        <v>26</v>
      </c>
      <c r="AN2330" t="s">
        <v>26</v>
      </c>
      <c r="AO2330" s="25" t="s">
        <v>28</v>
      </c>
      <c r="AP2330" s="23" t="s">
        <v>69</v>
      </c>
      <c r="AQ2330" s="23" t="s">
        <v>30</v>
      </c>
      <c r="AR2330" s="23" t="s">
        <v>46</v>
      </c>
      <c r="AS2330" s="25">
        <v>48297</v>
      </c>
      <c r="AT2330" t="s">
        <v>26</v>
      </c>
      <c r="AU2330" t="s">
        <v>25288</v>
      </c>
    </row>
    <row r="2331" spans="1:47" ht="26.25" x14ac:dyDescent="0.4">
      <c r="A2331" s="23" t="s">
        <v>6099</v>
      </c>
      <c r="B2331" t="s">
        <v>26</v>
      </c>
      <c r="C2331" s="23" t="s">
        <v>6100</v>
      </c>
      <c r="D2331" s="23" t="s">
        <v>23284</v>
      </c>
      <c r="E2331" s="23" t="s">
        <v>155</v>
      </c>
      <c r="F2331" s="25" t="s">
        <v>6101</v>
      </c>
      <c r="G2331" t="s">
        <v>26</v>
      </c>
      <c r="H2331" t="s">
        <v>26</v>
      </c>
      <c r="I2331" s="24">
        <v>40909</v>
      </c>
      <c r="J2331" s="24">
        <v>43101</v>
      </c>
      <c r="K2331" t="s">
        <v>26</v>
      </c>
      <c r="L2331" s="25" t="s">
        <v>68</v>
      </c>
      <c r="M2331" t="s">
        <v>26</v>
      </c>
      <c r="N2331" t="s">
        <v>26</v>
      </c>
      <c r="O2331" t="s">
        <v>26</v>
      </c>
      <c r="P2331" s="24">
        <v>40909</v>
      </c>
      <c r="Q2331" s="24">
        <v>43101</v>
      </c>
      <c r="R2331" t="s">
        <v>26</v>
      </c>
      <c r="S2331" t="s">
        <v>26</v>
      </c>
      <c r="T2331" t="s">
        <v>26</v>
      </c>
      <c r="U2331" t="s">
        <v>26</v>
      </c>
      <c r="V2331" t="s">
        <v>26</v>
      </c>
      <c r="W2331" s="24">
        <v>40909</v>
      </c>
      <c r="X2331" s="24">
        <v>43101</v>
      </c>
      <c r="Y2331" t="s">
        <v>26</v>
      </c>
      <c r="Z2331" s="24">
        <v>40909</v>
      </c>
      <c r="AA2331" s="24">
        <v>43101</v>
      </c>
      <c r="AB2331" t="s">
        <v>26</v>
      </c>
      <c r="AC2331" s="24">
        <v>40909</v>
      </c>
      <c r="AD2331" s="24">
        <v>43101</v>
      </c>
      <c r="AE2331" t="s">
        <v>26</v>
      </c>
      <c r="AF2331" t="s">
        <v>26</v>
      </c>
      <c r="AG2331" t="s">
        <v>26</v>
      </c>
      <c r="AH2331" t="s">
        <v>26</v>
      </c>
      <c r="AI2331" t="s">
        <v>26</v>
      </c>
      <c r="AJ2331" t="s">
        <v>26</v>
      </c>
      <c r="AK2331" t="s">
        <v>26</v>
      </c>
      <c r="AL2331" t="s">
        <v>26</v>
      </c>
      <c r="AM2331" t="s">
        <v>26</v>
      </c>
      <c r="AN2331" t="s">
        <v>26</v>
      </c>
      <c r="AO2331" s="25" t="s">
        <v>68</v>
      </c>
      <c r="AP2331" s="23" t="s">
        <v>69</v>
      </c>
      <c r="AQ2331" s="23" t="s">
        <v>142</v>
      </c>
      <c r="AR2331" s="23" t="s">
        <v>46</v>
      </c>
      <c r="AS2331" s="25">
        <v>2042729</v>
      </c>
      <c r="AT2331" t="s">
        <v>26</v>
      </c>
      <c r="AU2331" t="s">
        <v>25289</v>
      </c>
    </row>
    <row r="2332" spans="1:47" ht="26.25" x14ac:dyDescent="0.4">
      <c r="A2332" s="23" t="s">
        <v>6102</v>
      </c>
      <c r="B2332" t="s">
        <v>26</v>
      </c>
      <c r="C2332" s="23" t="s">
        <v>6103</v>
      </c>
      <c r="D2332" s="23" t="s">
        <v>24968</v>
      </c>
      <c r="E2332" s="23" t="s">
        <v>187</v>
      </c>
      <c r="F2332" s="25" t="s">
        <v>6104</v>
      </c>
      <c r="G2332" s="25" t="s">
        <v>6105</v>
      </c>
      <c r="H2332" t="s">
        <v>26</v>
      </c>
      <c r="I2332" s="24">
        <v>40817</v>
      </c>
      <c r="J2332" s="25" t="s">
        <v>77</v>
      </c>
      <c r="K2332" t="s">
        <v>26</v>
      </c>
      <c r="L2332" s="25" t="s">
        <v>68</v>
      </c>
      <c r="M2332" s="24">
        <v>40817</v>
      </c>
      <c r="N2332" s="24">
        <v>43922</v>
      </c>
      <c r="O2332" t="s">
        <v>26</v>
      </c>
      <c r="P2332" s="24">
        <v>40817</v>
      </c>
      <c r="Q2332" s="25" t="s">
        <v>77</v>
      </c>
      <c r="R2332" t="s">
        <v>26</v>
      </c>
      <c r="S2332" t="s">
        <v>26</v>
      </c>
      <c r="T2332" t="s">
        <v>26</v>
      </c>
      <c r="U2332" t="s">
        <v>26</v>
      </c>
      <c r="V2332" t="s">
        <v>26</v>
      </c>
      <c r="W2332" s="24">
        <v>40817</v>
      </c>
      <c r="X2332" s="25" t="s">
        <v>77</v>
      </c>
      <c r="Y2332" t="s">
        <v>26</v>
      </c>
      <c r="Z2332" s="24">
        <v>40817</v>
      </c>
      <c r="AA2332" s="25" t="s">
        <v>77</v>
      </c>
      <c r="AB2332" t="s">
        <v>26</v>
      </c>
      <c r="AC2332" s="24">
        <v>42370</v>
      </c>
      <c r="AD2332" s="25" t="s">
        <v>77</v>
      </c>
      <c r="AE2332" t="s">
        <v>26</v>
      </c>
      <c r="AF2332" t="s">
        <v>26</v>
      </c>
      <c r="AG2332" t="s">
        <v>26</v>
      </c>
      <c r="AH2332" t="s">
        <v>26</v>
      </c>
      <c r="AI2332" t="s">
        <v>26</v>
      </c>
      <c r="AJ2332" t="s">
        <v>26</v>
      </c>
      <c r="AK2332" t="s">
        <v>26</v>
      </c>
      <c r="AL2332" t="s">
        <v>26</v>
      </c>
      <c r="AM2332" t="s">
        <v>26</v>
      </c>
      <c r="AN2332" t="s">
        <v>26</v>
      </c>
      <c r="AO2332" s="25" t="s">
        <v>68</v>
      </c>
      <c r="AP2332" s="23" t="s">
        <v>69</v>
      </c>
      <c r="AQ2332" s="23" t="s">
        <v>190</v>
      </c>
      <c r="AR2332" s="23" t="s">
        <v>46</v>
      </c>
      <c r="AS2332" s="25">
        <v>1356362</v>
      </c>
      <c r="AT2332" s="23" t="s">
        <v>24207</v>
      </c>
      <c r="AU2332" t="s">
        <v>25290</v>
      </c>
    </row>
    <row r="2333" spans="1:47" ht="26.25" x14ac:dyDescent="0.4">
      <c r="A2333" s="23" t="s">
        <v>6106</v>
      </c>
      <c r="B2333" t="s">
        <v>26</v>
      </c>
      <c r="C2333" s="23" t="s">
        <v>465</v>
      </c>
      <c r="D2333" s="23" t="s">
        <v>22334</v>
      </c>
      <c r="E2333" s="23" t="s">
        <v>42</v>
      </c>
      <c r="F2333" s="25" t="s">
        <v>6107</v>
      </c>
      <c r="G2333" s="25" t="s">
        <v>6108</v>
      </c>
      <c r="H2333" t="s">
        <v>26</v>
      </c>
      <c r="I2333" t="s">
        <v>26</v>
      </c>
      <c r="J2333" t="s">
        <v>26</v>
      </c>
      <c r="K2333" t="s">
        <v>26</v>
      </c>
      <c r="L2333" s="25" t="s">
        <v>68</v>
      </c>
      <c r="M2333" t="s">
        <v>26</v>
      </c>
      <c r="N2333" t="s">
        <v>26</v>
      </c>
      <c r="O2333" t="s">
        <v>26</v>
      </c>
      <c r="P2333" t="s">
        <v>26</v>
      </c>
      <c r="Q2333" t="s">
        <v>26</v>
      </c>
      <c r="R2333" t="s">
        <v>26</v>
      </c>
      <c r="S2333" t="s">
        <v>26</v>
      </c>
      <c r="T2333" t="s">
        <v>26</v>
      </c>
      <c r="U2333" t="s">
        <v>26</v>
      </c>
      <c r="V2333" t="s">
        <v>26</v>
      </c>
      <c r="W2333" s="24">
        <v>34759</v>
      </c>
      <c r="X2333" s="25" t="s">
        <v>77</v>
      </c>
      <c r="Y2333" t="s">
        <v>26</v>
      </c>
      <c r="Z2333" s="24">
        <v>34759</v>
      </c>
      <c r="AA2333" s="25" t="s">
        <v>77</v>
      </c>
      <c r="AB2333" t="s">
        <v>26</v>
      </c>
      <c r="AC2333" s="24">
        <v>34759</v>
      </c>
      <c r="AD2333" s="25" t="s">
        <v>77</v>
      </c>
      <c r="AE2333" t="s">
        <v>26</v>
      </c>
      <c r="AF2333" t="s">
        <v>26</v>
      </c>
      <c r="AG2333" t="s">
        <v>26</v>
      </c>
      <c r="AH2333" t="s">
        <v>26</v>
      </c>
      <c r="AI2333" t="s">
        <v>26</v>
      </c>
      <c r="AJ2333" t="s">
        <v>26</v>
      </c>
      <c r="AK2333" t="s">
        <v>26</v>
      </c>
      <c r="AL2333" t="s">
        <v>26</v>
      </c>
      <c r="AM2333" t="s">
        <v>26</v>
      </c>
      <c r="AN2333" t="s">
        <v>26</v>
      </c>
      <c r="AO2333" s="25" t="s">
        <v>68</v>
      </c>
      <c r="AP2333" s="23" t="s">
        <v>69</v>
      </c>
      <c r="AQ2333" s="23" t="s">
        <v>30</v>
      </c>
      <c r="AR2333" s="23" t="s">
        <v>46</v>
      </c>
      <c r="AS2333" s="25">
        <v>34330</v>
      </c>
      <c r="AT2333" t="s">
        <v>26</v>
      </c>
      <c r="AU2333" t="s">
        <v>25291</v>
      </c>
    </row>
    <row r="2334" spans="1:47" ht="26.25" x14ac:dyDescent="0.4">
      <c r="A2334" s="23" t="s">
        <v>6109</v>
      </c>
      <c r="B2334" t="s">
        <v>26</v>
      </c>
      <c r="C2334" s="23" t="s">
        <v>465</v>
      </c>
      <c r="D2334" s="23" t="s">
        <v>22254</v>
      </c>
      <c r="E2334" s="23" t="s">
        <v>42</v>
      </c>
      <c r="F2334" s="25" t="s">
        <v>6110</v>
      </c>
      <c r="G2334" s="25" t="s">
        <v>6111</v>
      </c>
      <c r="H2334" t="s">
        <v>26</v>
      </c>
      <c r="I2334" t="s">
        <v>26</v>
      </c>
      <c r="J2334" t="s">
        <v>26</v>
      </c>
      <c r="K2334" t="s">
        <v>26</v>
      </c>
      <c r="L2334" s="25" t="s">
        <v>68</v>
      </c>
      <c r="M2334" t="s">
        <v>26</v>
      </c>
      <c r="N2334" t="s">
        <v>26</v>
      </c>
      <c r="O2334" t="s">
        <v>26</v>
      </c>
      <c r="P2334" t="s">
        <v>26</v>
      </c>
      <c r="Q2334" t="s">
        <v>26</v>
      </c>
      <c r="R2334" t="s">
        <v>26</v>
      </c>
      <c r="S2334" t="s">
        <v>26</v>
      </c>
      <c r="T2334" t="s">
        <v>26</v>
      </c>
      <c r="U2334" t="s">
        <v>26</v>
      </c>
      <c r="V2334" t="s">
        <v>26</v>
      </c>
      <c r="W2334" s="24">
        <v>31413</v>
      </c>
      <c r="X2334" s="25" t="s">
        <v>77</v>
      </c>
      <c r="Y2334" t="s">
        <v>26</v>
      </c>
      <c r="Z2334" s="24">
        <v>31413</v>
      </c>
      <c r="AA2334" s="25" t="s">
        <v>77</v>
      </c>
      <c r="AB2334" t="s">
        <v>26</v>
      </c>
      <c r="AC2334" s="24">
        <v>31413</v>
      </c>
      <c r="AD2334" s="25" t="s">
        <v>77</v>
      </c>
      <c r="AE2334" t="s">
        <v>26</v>
      </c>
      <c r="AF2334" t="s">
        <v>26</v>
      </c>
      <c r="AG2334" t="s">
        <v>26</v>
      </c>
      <c r="AH2334" t="s">
        <v>26</v>
      </c>
      <c r="AI2334" t="s">
        <v>26</v>
      </c>
      <c r="AJ2334" t="s">
        <v>26</v>
      </c>
      <c r="AK2334" t="s">
        <v>26</v>
      </c>
      <c r="AL2334" t="s">
        <v>26</v>
      </c>
      <c r="AM2334" t="s">
        <v>26</v>
      </c>
      <c r="AN2334" t="s">
        <v>26</v>
      </c>
      <c r="AO2334" s="25" t="s">
        <v>68</v>
      </c>
      <c r="AP2334" s="23" t="s">
        <v>69</v>
      </c>
      <c r="AQ2334" s="23" t="s">
        <v>30</v>
      </c>
      <c r="AR2334" s="23" t="s">
        <v>46</v>
      </c>
      <c r="AS2334" s="25">
        <v>41311</v>
      </c>
      <c r="AT2334" t="s">
        <v>26</v>
      </c>
      <c r="AU2334" t="s">
        <v>25292</v>
      </c>
    </row>
    <row r="2335" spans="1:47" ht="26.25" x14ac:dyDescent="0.4">
      <c r="A2335" s="23" t="s">
        <v>6112</v>
      </c>
      <c r="B2335" t="s">
        <v>26</v>
      </c>
      <c r="C2335" s="23" t="s">
        <v>80</v>
      </c>
      <c r="D2335" s="23" t="s">
        <v>22436</v>
      </c>
      <c r="E2335" s="23" t="s">
        <v>60</v>
      </c>
      <c r="F2335" s="25" t="s">
        <v>6113</v>
      </c>
      <c r="G2335" s="25" t="s">
        <v>6114</v>
      </c>
      <c r="H2335" t="s">
        <v>26</v>
      </c>
      <c r="I2335" t="s">
        <v>26</v>
      </c>
      <c r="J2335" t="s">
        <v>26</v>
      </c>
      <c r="K2335" t="s">
        <v>26</v>
      </c>
      <c r="L2335" s="25" t="s">
        <v>68</v>
      </c>
      <c r="M2335" t="s">
        <v>26</v>
      </c>
      <c r="N2335" t="s">
        <v>26</v>
      </c>
      <c r="O2335" t="s">
        <v>26</v>
      </c>
      <c r="P2335" t="s">
        <v>26</v>
      </c>
      <c r="Q2335" t="s">
        <v>26</v>
      </c>
      <c r="R2335" t="s">
        <v>26</v>
      </c>
      <c r="S2335" t="s">
        <v>26</v>
      </c>
      <c r="T2335" t="s">
        <v>26</v>
      </c>
      <c r="U2335" t="s">
        <v>26</v>
      </c>
      <c r="V2335" t="s">
        <v>26</v>
      </c>
      <c r="W2335" s="24">
        <v>37987</v>
      </c>
      <c r="X2335" s="25" t="s">
        <v>77</v>
      </c>
      <c r="Y2335" t="s">
        <v>26</v>
      </c>
      <c r="Z2335" s="24">
        <v>37987</v>
      </c>
      <c r="AA2335" s="25" t="s">
        <v>77</v>
      </c>
      <c r="AB2335" t="s">
        <v>26</v>
      </c>
      <c r="AC2335" s="24">
        <v>37987</v>
      </c>
      <c r="AD2335" s="25" t="s">
        <v>77</v>
      </c>
      <c r="AE2335" t="s">
        <v>26</v>
      </c>
      <c r="AF2335" t="s">
        <v>26</v>
      </c>
      <c r="AG2335" t="s">
        <v>26</v>
      </c>
      <c r="AH2335" t="s">
        <v>26</v>
      </c>
      <c r="AI2335" t="s">
        <v>26</v>
      </c>
      <c r="AJ2335" t="s">
        <v>26</v>
      </c>
      <c r="AK2335" t="s">
        <v>26</v>
      </c>
      <c r="AL2335" t="s">
        <v>26</v>
      </c>
      <c r="AM2335" t="s">
        <v>26</v>
      </c>
      <c r="AN2335" t="s">
        <v>26</v>
      </c>
      <c r="AO2335" s="25" t="s">
        <v>68</v>
      </c>
      <c r="AP2335" s="23" t="s">
        <v>69</v>
      </c>
      <c r="AQ2335" s="23" t="s">
        <v>30</v>
      </c>
      <c r="AR2335" s="23" t="s">
        <v>46</v>
      </c>
      <c r="AS2335" s="25">
        <v>46560</v>
      </c>
      <c r="AT2335" t="s">
        <v>26</v>
      </c>
      <c r="AU2335" t="s">
        <v>25293</v>
      </c>
    </row>
    <row r="2336" spans="1:47" ht="26.25" x14ac:dyDescent="0.4">
      <c r="A2336" s="23" t="s">
        <v>6115</v>
      </c>
      <c r="B2336" t="s">
        <v>26</v>
      </c>
      <c r="C2336" s="23" t="s">
        <v>167</v>
      </c>
      <c r="D2336" s="23" t="s">
        <v>22218</v>
      </c>
      <c r="E2336" s="23" t="s">
        <v>60</v>
      </c>
      <c r="F2336" s="25" t="s">
        <v>6116</v>
      </c>
      <c r="G2336" s="25" t="s">
        <v>6117</v>
      </c>
      <c r="H2336" t="s">
        <v>26</v>
      </c>
      <c r="I2336" s="24">
        <v>36892</v>
      </c>
      <c r="J2336" s="25" t="s">
        <v>77</v>
      </c>
      <c r="K2336" t="s">
        <v>26</v>
      </c>
      <c r="L2336" s="25" t="s">
        <v>68</v>
      </c>
      <c r="M2336" s="24">
        <v>39295</v>
      </c>
      <c r="N2336" s="25" t="s">
        <v>77</v>
      </c>
      <c r="O2336" t="s">
        <v>26</v>
      </c>
      <c r="P2336" s="24">
        <v>36892</v>
      </c>
      <c r="Q2336" s="25" t="s">
        <v>77</v>
      </c>
      <c r="R2336" t="s">
        <v>26</v>
      </c>
      <c r="S2336" t="s">
        <v>26</v>
      </c>
      <c r="T2336" t="s">
        <v>26</v>
      </c>
      <c r="U2336" t="s">
        <v>26</v>
      </c>
      <c r="V2336" t="s">
        <v>26</v>
      </c>
      <c r="W2336" s="24">
        <v>36892</v>
      </c>
      <c r="X2336" s="25" t="s">
        <v>77</v>
      </c>
      <c r="Y2336" t="s">
        <v>26</v>
      </c>
      <c r="Z2336" s="24">
        <v>36892</v>
      </c>
      <c r="AA2336" s="25" t="s">
        <v>77</v>
      </c>
      <c r="AB2336" t="s">
        <v>26</v>
      </c>
      <c r="AC2336" s="24">
        <v>36892</v>
      </c>
      <c r="AD2336" s="25" t="s">
        <v>77</v>
      </c>
      <c r="AE2336" t="s">
        <v>26</v>
      </c>
      <c r="AF2336" t="s">
        <v>26</v>
      </c>
      <c r="AG2336" t="s">
        <v>26</v>
      </c>
      <c r="AH2336" t="s">
        <v>26</v>
      </c>
      <c r="AI2336" t="s">
        <v>26</v>
      </c>
      <c r="AJ2336" t="s">
        <v>26</v>
      </c>
      <c r="AK2336" t="s">
        <v>26</v>
      </c>
      <c r="AL2336" t="s">
        <v>26</v>
      </c>
      <c r="AM2336" t="s">
        <v>26</v>
      </c>
      <c r="AN2336" t="s">
        <v>26</v>
      </c>
      <c r="AO2336" s="25" t="s">
        <v>68</v>
      </c>
      <c r="AP2336" s="23" t="s">
        <v>69</v>
      </c>
      <c r="AQ2336" s="23" t="s">
        <v>30</v>
      </c>
      <c r="AR2336" s="23" t="s">
        <v>71</v>
      </c>
      <c r="AS2336" s="25">
        <v>35753</v>
      </c>
      <c r="AT2336" t="s">
        <v>26</v>
      </c>
      <c r="AU2336" t="s">
        <v>25294</v>
      </c>
    </row>
    <row r="2337" spans="1:47" ht="26.25" x14ac:dyDescent="0.4">
      <c r="A2337" s="23" t="s">
        <v>6118</v>
      </c>
      <c r="B2337" t="s">
        <v>26</v>
      </c>
      <c r="C2337" s="23" t="s">
        <v>80</v>
      </c>
      <c r="D2337" s="23" t="s">
        <v>22190</v>
      </c>
      <c r="E2337" s="23" t="s">
        <v>60</v>
      </c>
      <c r="F2337" s="25" t="s">
        <v>6119</v>
      </c>
      <c r="G2337" s="25" t="s">
        <v>6120</v>
      </c>
      <c r="H2337" t="s">
        <v>26</v>
      </c>
      <c r="I2337" t="s">
        <v>26</v>
      </c>
      <c r="J2337" t="s">
        <v>26</v>
      </c>
      <c r="K2337" t="s">
        <v>26</v>
      </c>
      <c r="L2337" s="25" t="s">
        <v>68</v>
      </c>
      <c r="M2337" t="s">
        <v>26</v>
      </c>
      <c r="N2337" t="s">
        <v>26</v>
      </c>
      <c r="O2337" t="s">
        <v>26</v>
      </c>
      <c r="P2337" t="s">
        <v>26</v>
      </c>
      <c r="Q2337" t="s">
        <v>26</v>
      </c>
      <c r="R2337" t="s">
        <v>26</v>
      </c>
      <c r="S2337" t="s">
        <v>26</v>
      </c>
      <c r="T2337" t="s">
        <v>26</v>
      </c>
      <c r="U2337" t="s">
        <v>26</v>
      </c>
      <c r="V2337" t="s">
        <v>26</v>
      </c>
      <c r="W2337" s="24">
        <v>40179</v>
      </c>
      <c r="X2337" s="25" t="s">
        <v>77</v>
      </c>
      <c r="Y2337" t="s">
        <v>26</v>
      </c>
      <c r="Z2337" s="24">
        <v>40179</v>
      </c>
      <c r="AA2337" s="25" t="s">
        <v>77</v>
      </c>
      <c r="AB2337" t="s">
        <v>26</v>
      </c>
      <c r="AC2337" s="24">
        <v>40179</v>
      </c>
      <c r="AD2337" s="25" t="s">
        <v>77</v>
      </c>
      <c r="AE2337" t="s">
        <v>26</v>
      </c>
      <c r="AF2337" t="s">
        <v>26</v>
      </c>
      <c r="AG2337" t="s">
        <v>26</v>
      </c>
      <c r="AH2337" t="s">
        <v>26</v>
      </c>
      <c r="AI2337" t="s">
        <v>26</v>
      </c>
      <c r="AJ2337" t="s">
        <v>26</v>
      </c>
      <c r="AK2337" t="s">
        <v>26</v>
      </c>
      <c r="AL2337" t="s">
        <v>26</v>
      </c>
      <c r="AM2337" t="s">
        <v>26</v>
      </c>
      <c r="AN2337" t="s">
        <v>26</v>
      </c>
      <c r="AO2337" s="25" t="s">
        <v>68</v>
      </c>
      <c r="AP2337" s="23" t="s">
        <v>69</v>
      </c>
      <c r="AQ2337" s="23" t="s">
        <v>30</v>
      </c>
      <c r="AR2337" s="23" t="s">
        <v>46</v>
      </c>
      <c r="AS2337" s="25">
        <v>196139</v>
      </c>
      <c r="AT2337" t="s">
        <v>26</v>
      </c>
      <c r="AU2337" t="s">
        <v>25295</v>
      </c>
    </row>
    <row r="2338" spans="1:47" ht="26.25" x14ac:dyDescent="0.4">
      <c r="A2338" s="23" t="s">
        <v>6121</v>
      </c>
      <c r="B2338" t="s">
        <v>26</v>
      </c>
      <c r="C2338" s="23" t="s">
        <v>73</v>
      </c>
      <c r="D2338" s="23" t="s">
        <v>22215</v>
      </c>
      <c r="E2338" s="23" t="s">
        <v>74</v>
      </c>
      <c r="F2338" s="25" t="s">
        <v>6122</v>
      </c>
      <c r="G2338" s="25" t="s">
        <v>6123</v>
      </c>
      <c r="H2338" t="s">
        <v>26</v>
      </c>
      <c r="I2338" s="24">
        <v>34335</v>
      </c>
      <c r="J2338" s="25" t="s">
        <v>77</v>
      </c>
      <c r="K2338" s="25" t="s">
        <v>6124</v>
      </c>
      <c r="L2338" s="25" t="s">
        <v>68</v>
      </c>
      <c r="M2338" s="24">
        <v>34335</v>
      </c>
      <c r="N2338" s="24">
        <v>41913</v>
      </c>
      <c r="O2338" t="s">
        <v>26</v>
      </c>
      <c r="P2338" s="24">
        <v>35065</v>
      </c>
      <c r="Q2338" s="25" t="s">
        <v>77</v>
      </c>
      <c r="R2338" s="25" t="s">
        <v>6124</v>
      </c>
      <c r="S2338" t="s">
        <v>26</v>
      </c>
      <c r="T2338" t="s">
        <v>26</v>
      </c>
      <c r="U2338" t="s">
        <v>26</v>
      </c>
      <c r="V2338" s="25">
        <v>365</v>
      </c>
      <c r="W2338" s="24">
        <v>32509</v>
      </c>
      <c r="X2338" s="25" t="s">
        <v>77</v>
      </c>
      <c r="Y2338" t="s">
        <v>26</v>
      </c>
      <c r="Z2338" s="24">
        <v>32509</v>
      </c>
      <c r="AA2338" s="25" t="s">
        <v>77</v>
      </c>
      <c r="AB2338" t="s">
        <v>26</v>
      </c>
      <c r="AC2338" s="24">
        <v>32509</v>
      </c>
      <c r="AD2338" s="25" t="s">
        <v>77</v>
      </c>
      <c r="AE2338" t="s">
        <v>26</v>
      </c>
      <c r="AF2338" t="s">
        <v>26</v>
      </c>
      <c r="AG2338" t="s">
        <v>26</v>
      </c>
      <c r="AH2338" t="s">
        <v>26</v>
      </c>
      <c r="AI2338" t="s">
        <v>26</v>
      </c>
      <c r="AJ2338" t="s">
        <v>26</v>
      </c>
      <c r="AK2338" t="s">
        <v>26</v>
      </c>
      <c r="AL2338" t="s">
        <v>26</v>
      </c>
      <c r="AM2338" t="s">
        <v>26</v>
      </c>
      <c r="AN2338" t="s">
        <v>26</v>
      </c>
      <c r="AO2338" s="25" t="s">
        <v>68</v>
      </c>
      <c r="AP2338" s="23" t="s">
        <v>69</v>
      </c>
      <c r="AQ2338" s="23" t="s">
        <v>30</v>
      </c>
      <c r="AR2338" s="23" t="s">
        <v>46</v>
      </c>
      <c r="AS2338" s="25">
        <v>41800</v>
      </c>
      <c r="AT2338" t="s">
        <v>26</v>
      </c>
      <c r="AU2338" t="s">
        <v>25296</v>
      </c>
    </row>
    <row r="2339" spans="1:47" ht="26.25" x14ac:dyDescent="0.4">
      <c r="A2339" s="23" t="s">
        <v>6125</v>
      </c>
      <c r="B2339" t="s">
        <v>26</v>
      </c>
      <c r="C2339" s="23" t="s">
        <v>6126</v>
      </c>
      <c r="D2339" s="23" t="s">
        <v>25099</v>
      </c>
      <c r="E2339" s="23" t="s">
        <v>42</v>
      </c>
      <c r="F2339" s="25" t="s">
        <v>6127</v>
      </c>
      <c r="G2339" s="25" t="s">
        <v>6128</v>
      </c>
      <c r="H2339" t="s">
        <v>26</v>
      </c>
      <c r="I2339" t="s">
        <v>26</v>
      </c>
      <c r="J2339" t="s">
        <v>26</v>
      </c>
      <c r="K2339" t="s">
        <v>26</v>
      </c>
      <c r="L2339" s="25" t="s">
        <v>68</v>
      </c>
      <c r="M2339" t="s">
        <v>26</v>
      </c>
      <c r="N2339" t="s">
        <v>26</v>
      </c>
      <c r="O2339" t="s">
        <v>26</v>
      </c>
      <c r="P2339" t="s">
        <v>26</v>
      </c>
      <c r="Q2339" t="s">
        <v>26</v>
      </c>
      <c r="R2339" t="s">
        <v>26</v>
      </c>
      <c r="S2339" t="s">
        <v>26</v>
      </c>
      <c r="T2339" t="s">
        <v>26</v>
      </c>
      <c r="U2339" t="s">
        <v>26</v>
      </c>
      <c r="V2339" t="s">
        <v>26</v>
      </c>
      <c r="W2339" s="24">
        <v>32540</v>
      </c>
      <c r="X2339" s="24">
        <v>34669</v>
      </c>
      <c r="Y2339" t="s">
        <v>26</v>
      </c>
      <c r="Z2339" s="24">
        <v>32540</v>
      </c>
      <c r="AA2339" s="24">
        <v>34669</v>
      </c>
      <c r="AB2339" t="s">
        <v>26</v>
      </c>
      <c r="AC2339" s="24">
        <v>32540</v>
      </c>
      <c r="AD2339" s="24">
        <v>34669</v>
      </c>
      <c r="AE2339" s="25" t="s">
        <v>25297</v>
      </c>
      <c r="AF2339" t="s">
        <v>26</v>
      </c>
      <c r="AG2339" t="s">
        <v>26</v>
      </c>
      <c r="AH2339" t="s">
        <v>26</v>
      </c>
      <c r="AI2339" t="s">
        <v>26</v>
      </c>
      <c r="AJ2339" t="s">
        <v>26</v>
      </c>
      <c r="AK2339" t="s">
        <v>26</v>
      </c>
      <c r="AL2339" t="s">
        <v>26</v>
      </c>
      <c r="AM2339" t="s">
        <v>26</v>
      </c>
      <c r="AN2339" t="s">
        <v>26</v>
      </c>
      <c r="AO2339" s="25" t="s">
        <v>68</v>
      </c>
      <c r="AP2339" s="23" t="s">
        <v>69</v>
      </c>
      <c r="AQ2339" s="23" t="s">
        <v>30</v>
      </c>
      <c r="AR2339" s="23" t="s">
        <v>46</v>
      </c>
      <c r="AS2339" s="25">
        <v>29961</v>
      </c>
      <c r="AT2339" t="s">
        <v>26</v>
      </c>
      <c r="AU2339" t="s">
        <v>25298</v>
      </c>
    </row>
    <row r="2340" spans="1:47" ht="26.25" x14ac:dyDescent="0.4">
      <c r="A2340" s="23" t="s">
        <v>6129</v>
      </c>
      <c r="B2340" t="s">
        <v>26</v>
      </c>
      <c r="C2340" s="23" t="s">
        <v>73</v>
      </c>
      <c r="D2340" s="23" t="s">
        <v>22215</v>
      </c>
      <c r="E2340" s="23" t="s">
        <v>74</v>
      </c>
      <c r="F2340" s="25" t="s">
        <v>6130</v>
      </c>
      <c r="G2340" s="25" t="s">
        <v>6131</v>
      </c>
      <c r="H2340" t="s">
        <v>26</v>
      </c>
      <c r="I2340" s="24">
        <v>35582</v>
      </c>
      <c r="J2340" s="25" t="s">
        <v>77</v>
      </c>
      <c r="K2340" t="s">
        <v>26</v>
      </c>
      <c r="L2340" s="25" t="s">
        <v>68</v>
      </c>
      <c r="M2340" s="24">
        <v>38018</v>
      </c>
      <c r="N2340" s="24">
        <v>42856</v>
      </c>
      <c r="O2340" t="s">
        <v>26</v>
      </c>
      <c r="P2340" s="24">
        <v>35582</v>
      </c>
      <c r="Q2340" s="25" t="s">
        <v>77</v>
      </c>
      <c r="R2340" t="s">
        <v>26</v>
      </c>
      <c r="S2340" t="s">
        <v>26</v>
      </c>
      <c r="T2340" t="s">
        <v>26</v>
      </c>
      <c r="U2340" t="s">
        <v>26</v>
      </c>
      <c r="V2340" s="25">
        <v>365</v>
      </c>
      <c r="W2340" s="24">
        <v>35582</v>
      </c>
      <c r="X2340" s="25" t="s">
        <v>77</v>
      </c>
      <c r="Y2340" t="s">
        <v>26</v>
      </c>
      <c r="Z2340" s="24">
        <v>35582</v>
      </c>
      <c r="AA2340" s="25" t="s">
        <v>77</v>
      </c>
      <c r="AB2340" t="s">
        <v>26</v>
      </c>
      <c r="AC2340" s="24">
        <v>35582</v>
      </c>
      <c r="AD2340" s="25" t="s">
        <v>77</v>
      </c>
      <c r="AE2340" t="s">
        <v>26</v>
      </c>
      <c r="AF2340" t="s">
        <v>26</v>
      </c>
      <c r="AG2340" t="s">
        <v>26</v>
      </c>
      <c r="AH2340" t="s">
        <v>26</v>
      </c>
      <c r="AI2340" t="s">
        <v>26</v>
      </c>
      <c r="AJ2340" t="s">
        <v>26</v>
      </c>
      <c r="AK2340" t="s">
        <v>26</v>
      </c>
      <c r="AL2340" t="s">
        <v>26</v>
      </c>
      <c r="AM2340" t="s">
        <v>26</v>
      </c>
      <c r="AN2340" t="s">
        <v>26</v>
      </c>
      <c r="AO2340" s="25" t="s">
        <v>68</v>
      </c>
      <c r="AP2340" s="23" t="s">
        <v>69</v>
      </c>
      <c r="AQ2340" s="23" t="s">
        <v>30</v>
      </c>
      <c r="AR2340" s="23" t="s">
        <v>46</v>
      </c>
      <c r="AS2340" s="25">
        <v>49159</v>
      </c>
      <c r="AT2340" t="s">
        <v>26</v>
      </c>
      <c r="AU2340" t="s">
        <v>25299</v>
      </c>
    </row>
    <row r="2341" spans="1:47" ht="26.25" x14ac:dyDescent="0.4">
      <c r="A2341" s="23" t="s">
        <v>6132</v>
      </c>
      <c r="B2341" t="s">
        <v>26</v>
      </c>
      <c r="C2341" s="23" t="s">
        <v>465</v>
      </c>
      <c r="D2341" s="23" t="s">
        <v>22254</v>
      </c>
      <c r="E2341" s="23" t="s">
        <v>42</v>
      </c>
      <c r="F2341" s="25" t="s">
        <v>6133</v>
      </c>
      <c r="G2341" s="25" t="s">
        <v>6134</v>
      </c>
      <c r="H2341" t="s">
        <v>26</v>
      </c>
      <c r="I2341" t="s">
        <v>26</v>
      </c>
      <c r="J2341" t="s">
        <v>26</v>
      </c>
      <c r="K2341" t="s">
        <v>26</v>
      </c>
      <c r="L2341" s="25" t="s">
        <v>68</v>
      </c>
      <c r="M2341" t="s">
        <v>26</v>
      </c>
      <c r="N2341" t="s">
        <v>26</v>
      </c>
      <c r="O2341" t="s">
        <v>26</v>
      </c>
      <c r="P2341" t="s">
        <v>26</v>
      </c>
      <c r="Q2341" t="s">
        <v>26</v>
      </c>
      <c r="R2341" t="s">
        <v>26</v>
      </c>
      <c r="S2341" t="s">
        <v>26</v>
      </c>
      <c r="T2341" t="s">
        <v>26</v>
      </c>
      <c r="U2341" t="s">
        <v>26</v>
      </c>
      <c r="V2341" t="s">
        <v>26</v>
      </c>
      <c r="W2341" s="24">
        <v>31413</v>
      </c>
      <c r="X2341" s="25" t="s">
        <v>77</v>
      </c>
      <c r="Y2341" t="s">
        <v>26</v>
      </c>
      <c r="Z2341" s="24">
        <v>31413</v>
      </c>
      <c r="AA2341" s="25" t="s">
        <v>77</v>
      </c>
      <c r="AB2341" t="s">
        <v>26</v>
      </c>
      <c r="AC2341" s="24">
        <v>31413</v>
      </c>
      <c r="AD2341" s="25" t="s">
        <v>77</v>
      </c>
      <c r="AE2341" t="s">
        <v>26</v>
      </c>
      <c r="AF2341" t="s">
        <v>26</v>
      </c>
      <c r="AG2341" t="s">
        <v>26</v>
      </c>
      <c r="AH2341" t="s">
        <v>26</v>
      </c>
      <c r="AI2341" t="s">
        <v>26</v>
      </c>
      <c r="AJ2341" t="s">
        <v>26</v>
      </c>
      <c r="AK2341" t="s">
        <v>26</v>
      </c>
      <c r="AL2341" t="s">
        <v>26</v>
      </c>
      <c r="AM2341" t="s">
        <v>26</v>
      </c>
      <c r="AN2341" t="s">
        <v>26</v>
      </c>
      <c r="AO2341" s="25" t="s">
        <v>68</v>
      </c>
      <c r="AP2341" s="23" t="s">
        <v>69</v>
      </c>
      <c r="AQ2341" s="23" t="s">
        <v>30</v>
      </c>
      <c r="AR2341" s="23" t="s">
        <v>46</v>
      </c>
      <c r="AS2341" s="25">
        <v>41291</v>
      </c>
      <c r="AT2341" t="s">
        <v>26</v>
      </c>
      <c r="AU2341" t="s">
        <v>25300</v>
      </c>
    </row>
    <row r="2342" spans="1:47" ht="26.25" x14ac:dyDescent="0.4">
      <c r="A2342" s="23" t="s">
        <v>6135</v>
      </c>
      <c r="B2342" t="s">
        <v>26</v>
      </c>
      <c r="C2342" s="23" t="s">
        <v>107</v>
      </c>
      <c r="D2342" s="23" t="s">
        <v>22194</v>
      </c>
      <c r="E2342" s="23" t="s">
        <v>42</v>
      </c>
      <c r="F2342" s="25" t="s">
        <v>6136</v>
      </c>
      <c r="G2342" s="25" t="s">
        <v>6137</v>
      </c>
      <c r="H2342" t="s">
        <v>26</v>
      </c>
      <c r="I2342" t="s">
        <v>26</v>
      </c>
      <c r="J2342" t="s">
        <v>26</v>
      </c>
      <c r="K2342" t="s">
        <v>26</v>
      </c>
      <c r="L2342" s="25" t="s">
        <v>68</v>
      </c>
      <c r="M2342" t="s">
        <v>26</v>
      </c>
      <c r="N2342" t="s">
        <v>26</v>
      </c>
      <c r="O2342" t="s">
        <v>26</v>
      </c>
      <c r="P2342" t="s">
        <v>26</v>
      </c>
      <c r="Q2342" t="s">
        <v>26</v>
      </c>
      <c r="R2342" t="s">
        <v>26</v>
      </c>
      <c r="S2342" t="s">
        <v>26</v>
      </c>
      <c r="T2342" t="s">
        <v>26</v>
      </c>
      <c r="U2342" t="s">
        <v>26</v>
      </c>
      <c r="V2342" t="s">
        <v>26</v>
      </c>
      <c r="W2342" s="24">
        <v>32874</v>
      </c>
      <c r="X2342" s="25" t="s">
        <v>77</v>
      </c>
      <c r="Y2342" t="s">
        <v>26</v>
      </c>
      <c r="Z2342" s="24">
        <v>32874</v>
      </c>
      <c r="AA2342" s="25" t="s">
        <v>77</v>
      </c>
      <c r="AB2342" t="s">
        <v>26</v>
      </c>
      <c r="AC2342" s="24">
        <v>32874</v>
      </c>
      <c r="AD2342" s="25" t="s">
        <v>77</v>
      </c>
      <c r="AE2342" t="s">
        <v>26</v>
      </c>
      <c r="AF2342" t="s">
        <v>26</v>
      </c>
      <c r="AG2342" t="s">
        <v>26</v>
      </c>
      <c r="AH2342" t="s">
        <v>26</v>
      </c>
      <c r="AI2342" t="s">
        <v>26</v>
      </c>
      <c r="AJ2342" t="s">
        <v>26</v>
      </c>
      <c r="AK2342" t="s">
        <v>26</v>
      </c>
      <c r="AL2342" t="s">
        <v>26</v>
      </c>
      <c r="AM2342" t="s">
        <v>26</v>
      </c>
      <c r="AN2342" t="s">
        <v>26</v>
      </c>
      <c r="AO2342" s="25" t="s">
        <v>68</v>
      </c>
      <c r="AP2342" s="23" t="s">
        <v>69</v>
      </c>
      <c r="AQ2342" s="23" t="s">
        <v>30</v>
      </c>
      <c r="AR2342" s="23" t="s">
        <v>46</v>
      </c>
      <c r="AS2342" s="25">
        <v>4004</v>
      </c>
      <c r="AT2342" t="s">
        <v>26</v>
      </c>
      <c r="AU2342" t="s">
        <v>25301</v>
      </c>
    </row>
    <row r="2343" spans="1:47" ht="26.25" x14ac:dyDescent="0.4">
      <c r="A2343" s="23" t="s">
        <v>6138</v>
      </c>
      <c r="B2343" t="s">
        <v>26</v>
      </c>
      <c r="C2343" s="23" t="s">
        <v>107</v>
      </c>
      <c r="D2343" s="23" t="s">
        <v>22254</v>
      </c>
      <c r="E2343" s="23" t="s">
        <v>42</v>
      </c>
      <c r="F2343" s="25" t="s">
        <v>6139</v>
      </c>
      <c r="G2343" s="25" t="s">
        <v>6140</v>
      </c>
      <c r="H2343" t="s">
        <v>26</v>
      </c>
      <c r="I2343" t="s">
        <v>26</v>
      </c>
      <c r="J2343" t="s">
        <v>26</v>
      </c>
      <c r="K2343" t="s">
        <v>26</v>
      </c>
      <c r="L2343" s="25" t="s">
        <v>68</v>
      </c>
      <c r="M2343" t="s">
        <v>26</v>
      </c>
      <c r="N2343" t="s">
        <v>26</v>
      </c>
      <c r="O2343" t="s">
        <v>26</v>
      </c>
      <c r="P2343" t="s">
        <v>26</v>
      </c>
      <c r="Q2343" t="s">
        <v>26</v>
      </c>
      <c r="R2343" t="s">
        <v>26</v>
      </c>
      <c r="S2343" t="s">
        <v>26</v>
      </c>
      <c r="T2343" t="s">
        <v>26</v>
      </c>
      <c r="U2343" t="s">
        <v>26</v>
      </c>
      <c r="V2343" t="s">
        <v>26</v>
      </c>
      <c r="W2343" s="24">
        <v>36647</v>
      </c>
      <c r="X2343" s="25" t="s">
        <v>77</v>
      </c>
      <c r="Y2343" t="s">
        <v>26</v>
      </c>
      <c r="Z2343" s="24">
        <v>36647</v>
      </c>
      <c r="AA2343" s="25" t="s">
        <v>77</v>
      </c>
      <c r="AB2343" t="s">
        <v>26</v>
      </c>
      <c r="AC2343" s="24">
        <v>36831</v>
      </c>
      <c r="AD2343" s="25" t="s">
        <v>77</v>
      </c>
      <c r="AE2343" t="s">
        <v>26</v>
      </c>
      <c r="AF2343" t="s">
        <v>26</v>
      </c>
      <c r="AG2343" t="s">
        <v>26</v>
      </c>
      <c r="AH2343" t="s">
        <v>26</v>
      </c>
      <c r="AI2343" t="s">
        <v>26</v>
      </c>
      <c r="AJ2343" t="s">
        <v>26</v>
      </c>
      <c r="AK2343" t="s">
        <v>26</v>
      </c>
      <c r="AL2343" t="s">
        <v>26</v>
      </c>
      <c r="AM2343" t="s">
        <v>26</v>
      </c>
      <c r="AN2343" t="s">
        <v>26</v>
      </c>
      <c r="AO2343" s="25" t="s">
        <v>68</v>
      </c>
      <c r="AP2343" s="23" t="s">
        <v>69</v>
      </c>
      <c r="AQ2343" s="23" t="s">
        <v>30</v>
      </c>
      <c r="AR2343" s="23" t="s">
        <v>46</v>
      </c>
      <c r="AS2343" s="25">
        <v>28559</v>
      </c>
      <c r="AT2343" t="s">
        <v>26</v>
      </c>
      <c r="AU2343" t="s">
        <v>25302</v>
      </c>
    </row>
    <row r="2344" spans="1:47" ht="26.25" x14ac:dyDescent="0.4">
      <c r="A2344" s="23" t="s">
        <v>6141</v>
      </c>
      <c r="B2344" t="s">
        <v>26</v>
      </c>
      <c r="C2344" s="23" t="s">
        <v>465</v>
      </c>
      <c r="D2344" s="23" t="s">
        <v>22254</v>
      </c>
      <c r="E2344" s="23" t="s">
        <v>42</v>
      </c>
      <c r="F2344" s="25" t="s">
        <v>6142</v>
      </c>
      <c r="G2344" s="25" t="s">
        <v>6143</v>
      </c>
      <c r="H2344" t="s">
        <v>26</v>
      </c>
      <c r="I2344" t="s">
        <v>26</v>
      </c>
      <c r="J2344" t="s">
        <v>26</v>
      </c>
      <c r="K2344" t="s">
        <v>26</v>
      </c>
      <c r="L2344" s="25" t="s">
        <v>68</v>
      </c>
      <c r="M2344" t="s">
        <v>26</v>
      </c>
      <c r="N2344" t="s">
        <v>26</v>
      </c>
      <c r="O2344" t="s">
        <v>26</v>
      </c>
      <c r="P2344" t="s">
        <v>26</v>
      </c>
      <c r="Q2344" t="s">
        <v>26</v>
      </c>
      <c r="R2344" t="s">
        <v>26</v>
      </c>
      <c r="S2344" t="s">
        <v>26</v>
      </c>
      <c r="T2344" t="s">
        <v>26</v>
      </c>
      <c r="U2344" t="s">
        <v>26</v>
      </c>
      <c r="V2344" t="s">
        <v>26</v>
      </c>
      <c r="W2344" s="24">
        <v>42036</v>
      </c>
      <c r="X2344" s="25" t="s">
        <v>77</v>
      </c>
      <c r="Y2344" t="s">
        <v>26</v>
      </c>
      <c r="Z2344" s="24">
        <v>42036</v>
      </c>
      <c r="AA2344" s="25" t="s">
        <v>77</v>
      </c>
      <c r="AB2344" t="s">
        <v>26</v>
      </c>
      <c r="AC2344" s="24">
        <v>42036</v>
      </c>
      <c r="AD2344" s="25" t="s">
        <v>77</v>
      </c>
      <c r="AE2344" t="s">
        <v>26</v>
      </c>
      <c r="AF2344" t="s">
        <v>26</v>
      </c>
      <c r="AG2344" t="s">
        <v>26</v>
      </c>
      <c r="AH2344" t="s">
        <v>26</v>
      </c>
      <c r="AI2344" t="s">
        <v>26</v>
      </c>
      <c r="AJ2344" t="s">
        <v>26</v>
      </c>
      <c r="AK2344" t="s">
        <v>26</v>
      </c>
      <c r="AL2344" t="s">
        <v>26</v>
      </c>
      <c r="AM2344" t="s">
        <v>26</v>
      </c>
      <c r="AN2344" t="s">
        <v>26</v>
      </c>
      <c r="AO2344" s="25" t="s">
        <v>28</v>
      </c>
      <c r="AP2344" s="23" t="s">
        <v>69</v>
      </c>
      <c r="AQ2344" s="23" t="s">
        <v>30</v>
      </c>
      <c r="AR2344" s="23" t="s">
        <v>46</v>
      </c>
      <c r="AS2344" s="25">
        <v>2032994</v>
      </c>
      <c r="AT2344" t="s">
        <v>26</v>
      </c>
      <c r="AU2344" t="s">
        <v>25303</v>
      </c>
    </row>
    <row r="2345" spans="1:47" ht="26.25" x14ac:dyDescent="0.4">
      <c r="A2345" s="23" t="s">
        <v>25304</v>
      </c>
      <c r="B2345" t="s">
        <v>26</v>
      </c>
      <c r="C2345" s="23" t="s">
        <v>73</v>
      </c>
      <c r="D2345" s="23" t="s">
        <v>22211</v>
      </c>
      <c r="E2345" s="23" t="s">
        <v>74</v>
      </c>
      <c r="F2345" s="25" t="s">
        <v>25305</v>
      </c>
      <c r="G2345" s="25" t="s">
        <v>25306</v>
      </c>
      <c r="H2345" t="s">
        <v>26</v>
      </c>
      <c r="I2345" s="24">
        <v>39873</v>
      </c>
      <c r="J2345" s="25" t="s">
        <v>77</v>
      </c>
      <c r="K2345" t="s">
        <v>26</v>
      </c>
      <c r="L2345" s="25" t="s">
        <v>68</v>
      </c>
      <c r="M2345" s="24">
        <v>40422</v>
      </c>
      <c r="N2345" s="25" t="s">
        <v>77</v>
      </c>
      <c r="O2345" t="s">
        <v>26</v>
      </c>
      <c r="P2345" s="24">
        <v>39873</v>
      </c>
      <c r="Q2345" s="25" t="s">
        <v>77</v>
      </c>
      <c r="R2345" t="s">
        <v>26</v>
      </c>
      <c r="S2345" t="s">
        <v>26</v>
      </c>
      <c r="T2345" t="s">
        <v>26</v>
      </c>
      <c r="U2345" t="s">
        <v>26</v>
      </c>
      <c r="V2345" s="25">
        <v>365</v>
      </c>
      <c r="W2345" s="24">
        <v>39873</v>
      </c>
      <c r="X2345" s="25" t="s">
        <v>77</v>
      </c>
      <c r="Y2345" t="s">
        <v>26</v>
      </c>
      <c r="Z2345" s="24">
        <v>39873</v>
      </c>
      <c r="AA2345" s="25" t="s">
        <v>77</v>
      </c>
      <c r="AB2345" t="s">
        <v>26</v>
      </c>
      <c r="AC2345" s="24">
        <v>39873</v>
      </c>
      <c r="AD2345" s="25" t="s">
        <v>77</v>
      </c>
      <c r="AE2345" t="s">
        <v>26</v>
      </c>
      <c r="AF2345" t="s">
        <v>26</v>
      </c>
      <c r="AG2345" t="s">
        <v>26</v>
      </c>
      <c r="AH2345" t="s">
        <v>26</v>
      </c>
      <c r="AI2345" t="s">
        <v>26</v>
      </c>
      <c r="AJ2345" t="s">
        <v>26</v>
      </c>
      <c r="AK2345" t="s">
        <v>26</v>
      </c>
      <c r="AL2345" t="s">
        <v>26</v>
      </c>
      <c r="AM2345" t="s">
        <v>26</v>
      </c>
      <c r="AN2345" t="s">
        <v>26</v>
      </c>
      <c r="AO2345" s="25" t="s">
        <v>68</v>
      </c>
      <c r="AP2345" s="23" t="s">
        <v>69</v>
      </c>
      <c r="AQ2345" s="23" t="s">
        <v>30</v>
      </c>
      <c r="AR2345" s="23" t="s">
        <v>46</v>
      </c>
      <c r="AS2345" s="25">
        <v>6420647</v>
      </c>
      <c r="AT2345" t="s">
        <v>26</v>
      </c>
      <c r="AU2345" t="s">
        <v>25307</v>
      </c>
    </row>
    <row r="2346" spans="1:47" ht="26.25" x14ac:dyDescent="0.4">
      <c r="A2346" s="23" t="s">
        <v>6144</v>
      </c>
      <c r="B2346" t="s">
        <v>26</v>
      </c>
      <c r="C2346" s="23" t="s">
        <v>6145</v>
      </c>
      <c r="D2346" s="23" t="s">
        <v>25308</v>
      </c>
      <c r="E2346" s="23" t="s">
        <v>2636</v>
      </c>
      <c r="F2346" s="25" t="s">
        <v>6146</v>
      </c>
      <c r="G2346" s="25" t="s">
        <v>6147</v>
      </c>
      <c r="H2346" t="s">
        <v>26</v>
      </c>
      <c r="I2346" s="24">
        <v>36161</v>
      </c>
      <c r="J2346" s="25" t="s">
        <v>77</v>
      </c>
      <c r="K2346" t="s">
        <v>26</v>
      </c>
      <c r="L2346" s="25" t="s">
        <v>68</v>
      </c>
      <c r="M2346" s="24">
        <v>36161</v>
      </c>
      <c r="N2346" s="25" t="s">
        <v>77</v>
      </c>
      <c r="O2346" t="s">
        <v>26</v>
      </c>
      <c r="P2346" s="24">
        <v>36161</v>
      </c>
      <c r="Q2346" s="25" t="s">
        <v>77</v>
      </c>
      <c r="R2346" t="s">
        <v>26</v>
      </c>
      <c r="S2346" t="s">
        <v>26</v>
      </c>
      <c r="T2346" t="s">
        <v>26</v>
      </c>
      <c r="U2346" t="s">
        <v>26</v>
      </c>
      <c r="V2346" t="s">
        <v>26</v>
      </c>
      <c r="W2346" s="24">
        <v>36161</v>
      </c>
      <c r="X2346" s="25" t="s">
        <v>77</v>
      </c>
      <c r="Y2346" t="s">
        <v>26</v>
      </c>
      <c r="Z2346" s="24">
        <v>36161</v>
      </c>
      <c r="AA2346" s="25" t="s">
        <v>77</v>
      </c>
      <c r="AB2346" t="s">
        <v>26</v>
      </c>
      <c r="AC2346" s="24">
        <v>42826</v>
      </c>
      <c r="AD2346" s="25" t="s">
        <v>77</v>
      </c>
      <c r="AE2346" t="s">
        <v>26</v>
      </c>
      <c r="AF2346" t="s">
        <v>26</v>
      </c>
      <c r="AG2346" t="s">
        <v>26</v>
      </c>
      <c r="AH2346" t="s">
        <v>26</v>
      </c>
      <c r="AI2346" t="s">
        <v>26</v>
      </c>
      <c r="AJ2346" t="s">
        <v>26</v>
      </c>
      <c r="AK2346" t="s">
        <v>26</v>
      </c>
      <c r="AL2346" t="s">
        <v>26</v>
      </c>
      <c r="AM2346" t="s">
        <v>26</v>
      </c>
      <c r="AN2346" t="s">
        <v>26</v>
      </c>
      <c r="AO2346" s="25" t="s">
        <v>68</v>
      </c>
      <c r="AP2346" s="23" t="s">
        <v>69</v>
      </c>
      <c r="AQ2346" s="23" t="s">
        <v>30</v>
      </c>
      <c r="AR2346" s="23" t="s">
        <v>46</v>
      </c>
      <c r="AS2346" s="25">
        <v>43472</v>
      </c>
      <c r="AT2346" t="s">
        <v>26</v>
      </c>
      <c r="AU2346" t="s">
        <v>25309</v>
      </c>
    </row>
    <row r="2347" spans="1:47" ht="26.25" x14ac:dyDescent="0.4">
      <c r="A2347" s="23" t="s">
        <v>6148</v>
      </c>
      <c r="B2347" t="s">
        <v>26</v>
      </c>
      <c r="C2347" s="23" t="s">
        <v>6149</v>
      </c>
      <c r="D2347" s="23" t="s">
        <v>25310</v>
      </c>
      <c r="E2347" s="23" t="s">
        <v>1532</v>
      </c>
      <c r="F2347" t="s">
        <v>26</v>
      </c>
      <c r="G2347" s="25" t="s">
        <v>6150</v>
      </c>
      <c r="H2347" t="s">
        <v>26</v>
      </c>
      <c r="I2347" s="24">
        <v>40909</v>
      </c>
      <c r="J2347" s="25" t="s">
        <v>77</v>
      </c>
      <c r="K2347" t="s">
        <v>26</v>
      </c>
      <c r="L2347" s="25" t="s">
        <v>68</v>
      </c>
      <c r="M2347" t="s">
        <v>26</v>
      </c>
      <c r="N2347" t="s">
        <v>26</v>
      </c>
      <c r="O2347" t="s">
        <v>26</v>
      </c>
      <c r="P2347" s="24">
        <v>40909</v>
      </c>
      <c r="Q2347" s="25" t="s">
        <v>77</v>
      </c>
      <c r="R2347" t="s">
        <v>26</v>
      </c>
      <c r="S2347" t="s">
        <v>26</v>
      </c>
      <c r="T2347" t="s">
        <v>26</v>
      </c>
      <c r="U2347" t="s">
        <v>26</v>
      </c>
      <c r="V2347" t="s">
        <v>26</v>
      </c>
      <c r="W2347" s="24">
        <v>40909</v>
      </c>
      <c r="X2347" s="25" t="s">
        <v>77</v>
      </c>
      <c r="Y2347" t="s">
        <v>26</v>
      </c>
      <c r="Z2347" s="24">
        <v>40909</v>
      </c>
      <c r="AA2347" s="25" t="s">
        <v>77</v>
      </c>
      <c r="AB2347" t="s">
        <v>26</v>
      </c>
      <c r="AC2347" s="24">
        <v>40909</v>
      </c>
      <c r="AD2347" s="25" t="s">
        <v>77</v>
      </c>
      <c r="AE2347" t="s">
        <v>26</v>
      </c>
      <c r="AF2347" t="s">
        <v>26</v>
      </c>
      <c r="AG2347" t="s">
        <v>26</v>
      </c>
      <c r="AH2347" t="s">
        <v>26</v>
      </c>
      <c r="AI2347" t="s">
        <v>26</v>
      </c>
      <c r="AJ2347" t="s">
        <v>26</v>
      </c>
      <c r="AK2347" t="s">
        <v>26</v>
      </c>
      <c r="AL2347" t="s">
        <v>26</v>
      </c>
      <c r="AM2347" t="s">
        <v>26</v>
      </c>
      <c r="AN2347" t="s">
        <v>26</v>
      </c>
      <c r="AO2347" s="25" t="s">
        <v>68</v>
      </c>
      <c r="AP2347" s="23" t="s">
        <v>69</v>
      </c>
      <c r="AQ2347" s="23" t="s">
        <v>6151</v>
      </c>
      <c r="AR2347" s="23" t="s">
        <v>46</v>
      </c>
      <c r="AS2347" s="25">
        <v>2028721</v>
      </c>
      <c r="AT2347" t="s">
        <v>26</v>
      </c>
      <c r="AU2347" t="s">
        <v>25311</v>
      </c>
    </row>
    <row r="2348" spans="1:47" ht="26.25" x14ac:dyDescent="0.4">
      <c r="A2348" s="23" t="s">
        <v>6152</v>
      </c>
      <c r="B2348" t="s">
        <v>26</v>
      </c>
      <c r="C2348" s="23" t="s">
        <v>6153</v>
      </c>
      <c r="D2348" s="23" t="s">
        <v>25312</v>
      </c>
      <c r="E2348" s="23" t="s">
        <v>715</v>
      </c>
      <c r="F2348" s="25" t="s">
        <v>6154</v>
      </c>
      <c r="G2348" s="25" t="s">
        <v>6155</v>
      </c>
      <c r="H2348" t="s">
        <v>26</v>
      </c>
      <c r="I2348" s="24">
        <v>39995</v>
      </c>
      <c r="J2348" s="25" t="s">
        <v>77</v>
      </c>
      <c r="K2348" t="s">
        <v>26</v>
      </c>
      <c r="L2348" s="25" t="s">
        <v>68</v>
      </c>
      <c r="M2348" s="24">
        <v>39995</v>
      </c>
      <c r="N2348" s="25" t="s">
        <v>77</v>
      </c>
      <c r="O2348" t="s">
        <v>26</v>
      </c>
      <c r="P2348" s="24">
        <v>39995</v>
      </c>
      <c r="Q2348" s="25" t="s">
        <v>77</v>
      </c>
      <c r="R2348" t="s">
        <v>26</v>
      </c>
      <c r="S2348" t="s">
        <v>26</v>
      </c>
      <c r="T2348" t="s">
        <v>26</v>
      </c>
      <c r="U2348" t="s">
        <v>26</v>
      </c>
      <c r="V2348" t="s">
        <v>26</v>
      </c>
      <c r="W2348" s="24">
        <v>39995</v>
      </c>
      <c r="X2348" s="25" t="s">
        <v>77</v>
      </c>
      <c r="Y2348" t="s">
        <v>26</v>
      </c>
      <c r="Z2348" s="24">
        <v>39995</v>
      </c>
      <c r="AA2348" s="25" t="s">
        <v>77</v>
      </c>
      <c r="AB2348" t="s">
        <v>26</v>
      </c>
      <c r="AC2348" s="24">
        <v>39995</v>
      </c>
      <c r="AD2348" s="25" t="s">
        <v>77</v>
      </c>
      <c r="AE2348" t="s">
        <v>26</v>
      </c>
      <c r="AF2348" t="s">
        <v>26</v>
      </c>
      <c r="AG2348" t="s">
        <v>26</v>
      </c>
      <c r="AH2348" t="s">
        <v>26</v>
      </c>
      <c r="AI2348" t="s">
        <v>26</v>
      </c>
      <c r="AJ2348" t="s">
        <v>26</v>
      </c>
      <c r="AK2348" t="s">
        <v>26</v>
      </c>
      <c r="AL2348" t="s">
        <v>26</v>
      </c>
      <c r="AM2348" t="s">
        <v>26</v>
      </c>
      <c r="AN2348" t="s">
        <v>26</v>
      </c>
      <c r="AO2348" s="25" t="s">
        <v>68</v>
      </c>
      <c r="AP2348" s="23" t="s">
        <v>69</v>
      </c>
      <c r="AQ2348" s="23" t="s">
        <v>6156</v>
      </c>
      <c r="AR2348" s="23" t="s">
        <v>46</v>
      </c>
      <c r="AS2348" s="25">
        <v>237825</v>
      </c>
      <c r="AT2348" t="s">
        <v>26</v>
      </c>
      <c r="AU2348" t="s">
        <v>25313</v>
      </c>
    </row>
    <row r="2349" spans="1:47" ht="26.25" x14ac:dyDescent="0.4">
      <c r="A2349" s="23" t="s">
        <v>6157</v>
      </c>
      <c r="B2349" t="s">
        <v>26</v>
      </c>
      <c r="C2349" s="23" t="s">
        <v>1180</v>
      </c>
      <c r="D2349" s="23" t="s">
        <v>22706</v>
      </c>
      <c r="E2349" s="23" t="s">
        <v>60</v>
      </c>
      <c r="F2349" s="25" t="s">
        <v>6158</v>
      </c>
      <c r="G2349" s="25" t="s">
        <v>6159</v>
      </c>
      <c r="H2349" t="s">
        <v>26</v>
      </c>
      <c r="I2349" s="24">
        <v>36008</v>
      </c>
      <c r="J2349" s="24">
        <v>38777</v>
      </c>
      <c r="K2349" t="s">
        <v>26</v>
      </c>
      <c r="L2349" s="25" t="s">
        <v>68</v>
      </c>
      <c r="M2349" s="24">
        <v>36008</v>
      </c>
      <c r="N2349" s="24">
        <v>38777</v>
      </c>
      <c r="O2349" t="s">
        <v>26</v>
      </c>
      <c r="P2349" s="24">
        <v>36008</v>
      </c>
      <c r="Q2349" s="24">
        <v>38777</v>
      </c>
      <c r="R2349" t="s">
        <v>26</v>
      </c>
      <c r="S2349" t="s">
        <v>26</v>
      </c>
      <c r="T2349" t="s">
        <v>26</v>
      </c>
      <c r="U2349" t="s">
        <v>26</v>
      </c>
      <c r="V2349" t="s">
        <v>26</v>
      </c>
      <c r="W2349" s="24">
        <v>36008</v>
      </c>
      <c r="X2349" s="24">
        <v>38777</v>
      </c>
      <c r="Y2349" t="s">
        <v>26</v>
      </c>
      <c r="Z2349" s="24">
        <v>36008</v>
      </c>
      <c r="AA2349" s="24">
        <v>38777</v>
      </c>
      <c r="AB2349" t="s">
        <v>26</v>
      </c>
      <c r="AC2349" t="s">
        <v>26</v>
      </c>
      <c r="AD2349" t="s">
        <v>26</v>
      </c>
      <c r="AE2349" t="s">
        <v>26</v>
      </c>
      <c r="AF2349" t="s">
        <v>26</v>
      </c>
      <c r="AG2349" t="s">
        <v>26</v>
      </c>
      <c r="AH2349" t="s">
        <v>26</v>
      </c>
      <c r="AI2349" t="s">
        <v>26</v>
      </c>
      <c r="AJ2349" t="s">
        <v>26</v>
      </c>
      <c r="AK2349" t="s">
        <v>26</v>
      </c>
      <c r="AL2349" t="s">
        <v>26</v>
      </c>
      <c r="AM2349" t="s">
        <v>26</v>
      </c>
      <c r="AN2349" t="s">
        <v>26</v>
      </c>
      <c r="AO2349" s="25" t="s">
        <v>68</v>
      </c>
      <c r="AP2349" s="23" t="s">
        <v>69</v>
      </c>
      <c r="AQ2349" s="23" t="s">
        <v>30</v>
      </c>
      <c r="AR2349" s="23" t="s">
        <v>46</v>
      </c>
      <c r="AS2349" s="25">
        <v>36133</v>
      </c>
      <c r="AT2349" t="s">
        <v>26</v>
      </c>
      <c r="AU2349" t="s">
        <v>25314</v>
      </c>
    </row>
    <row r="2350" spans="1:47" ht="26.25" x14ac:dyDescent="0.4">
      <c r="A2350" s="23" t="s">
        <v>6160</v>
      </c>
      <c r="B2350" t="s">
        <v>26</v>
      </c>
      <c r="C2350" s="23" t="s">
        <v>1691</v>
      </c>
      <c r="D2350" s="23" t="s">
        <v>22294</v>
      </c>
      <c r="E2350" s="23" t="s">
        <v>42</v>
      </c>
      <c r="F2350" s="25" t="s">
        <v>6161</v>
      </c>
      <c r="G2350" s="25" t="s">
        <v>6162</v>
      </c>
      <c r="H2350" t="s">
        <v>26</v>
      </c>
      <c r="I2350" s="24">
        <v>33604</v>
      </c>
      <c r="J2350" s="24">
        <v>38565</v>
      </c>
      <c r="K2350" t="s">
        <v>26</v>
      </c>
      <c r="L2350" s="25" t="s">
        <v>68</v>
      </c>
      <c r="M2350" s="24">
        <v>36161</v>
      </c>
      <c r="N2350" s="24">
        <v>38231</v>
      </c>
      <c r="O2350" t="s">
        <v>26</v>
      </c>
      <c r="P2350" s="24">
        <v>33604</v>
      </c>
      <c r="Q2350" s="24">
        <v>38565</v>
      </c>
      <c r="R2350" t="s">
        <v>26</v>
      </c>
      <c r="S2350" t="s">
        <v>26</v>
      </c>
      <c r="T2350" t="s">
        <v>26</v>
      </c>
      <c r="U2350" t="s">
        <v>26</v>
      </c>
      <c r="V2350" t="s">
        <v>26</v>
      </c>
      <c r="W2350" s="24">
        <v>33604</v>
      </c>
      <c r="X2350" s="25" t="s">
        <v>77</v>
      </c>
      <c r="Y2350" t="s">
        <v>26</v>
      </c>
      <c r="Z2350" s="24">
        <v>33604</v>
      </c>
      <c r="AA2350" s="25" t="s">
        <v>77</v>
      </c>
      <c r="AB2350" t="s">
        <v>26</v>
      </c>
      <c r="AC2350" s="24">
        <v>33604</v>
      </c>
      <c r="AD2350" s="25" t="s">
        <v>77</v>
      </c>
      <c r="AE2350" t="s">
        <v>26</v>
      </c>
      <c r="AF2350" t="s">
        <v>26</v>
      </c>
      <c r="AG2350" t="s">
        <v>26</v>
      </c>
      <c r="AH2350" t="s">
        <v>26</v>
      </c>
      <c r="AI2350" t="s">
        <v>26</v>
      </c>
      <c r="AJ2350" t="s">
        <v>26</v>
      </c>
      <c r="AK2350" t="s">
        <v>26</v>
      </c>
      <c r="AL2350" t="s">
        <v>26</v>
      </c>
      <c r="AM2350" t="s">
        <v>26</v>
      </c>
      <c r="AN2350" t="s">
        <v>26</v>
      </c>
      <c r="AO2350" s="25" t="s">
        <v>68</v>
      </c>
      <c r="AP2350" s="23" t="s">
        <v>69</v>
      </c>
      <c r="AQ2350" s="23" t="s">
        <v>30</v>
      </c>
      <c r="AR2350" s="23" t="s">
        <v>4029</v>
      </c>
      <c r="AS2350" s="25">
        <v>37550</v>
      </c>
      <c r="AT2350" t="s">
        <v>26</v>
      </c>
      <c r="AU2350" t="s">
        <v>25315</v>
      </c>
    </row>
    <row r="2351" spans="1:47" ht="26.25" x14ac:dyDescent="0.4">
      <c r="A2351" s="23" t="s">
        <v>6163</v>
      </c>
      <c r="B2351" t="s">
        <v>26</v>
      </c>
      <c r="C2351" s="23" t="s">
        <v>1691</v>
      </c>
      <c r="D2351" s="23" t="s">
        <v>22179</v>
      </c>
      <c r="E2351" s="23" t="s">
        <v>42</v>
      </c>
      <c r="F2351" s="25" t="s">
        <v>6161</v>
      </c>
      <c r="G2351" s="25" t="s">
        <v>6162</v>
      </c>
      <c r="H2351" t="s">
        <v>26</v>
      </c>
      <c r="I2351" s="24">
        <v>30773</v>
      </c>
      <c r="J2351" s="24">
        <v>31321</v>
      </c>
      <c r="K2351" t="s">
        <v>26</v>
      </c>
      <c r="L2351" s="25" t="s">
        <v>68</v>
      </c>
      <c r="M2351" t="s">
        <v>26</v>
      </c>
      <c r="N2351" t="s">
        <v>26</v>
      </c>
      <c r="O2351" t="s">
        <v>26</v>
      </c>
      <c r="P2351" s="24">
        <v>30773</v>
      </c>
      <c r="Q2351" s="24">
        <v>31321</v>
      </c>
      <c r="R2351" t="s">
        <v>26</v>
      </c>
      <c r="S2351" t="s">
        <v>26</v>
      </c>
      <c r="T2351" t="s">
        <v>26</v>
      </c>
      <c r="U2351" t="s">
        <v>26</v>
      </c>
      <c r="V2351" t="s">
        <v>26</v>
      </c>
      <c r="W2351" s="24">
        <v>30773</v>
      </c>
      <c r="X2351" s="24">
        <v>31321</v>
      </c>
      <c r="Y2351" t="s">
        <v>26</v>
      </c>
      <c r="Z2351" s="24">
        <v>30773</v>
      </c>
      <c r="AA2351" s="24">
        <v>31321</v>
      </c>
      <c r="AB2351" t="s">
        <v>26</v>
      </c>
      <c r="AC2351" s="24">
        <v>30773</v>
      </c>
      <c r="AD2351" s="24">
        <v>31321</v>
      </c>
      <c r="AE2351" t="s">
        <v>26</v>
      </c>
      <c r="AF2351" t="s">
        <v>26</v>
      </c>
      <c r="AG2351" t="s">
        <v>26</v>
      </c>
      <c r="AH2351" t="s">
        <v>26</v>
      </c>
      <c r="AI2351" t="s">
        <v>26</v>
      </c>
      <c r="AJ2351" t="s">
        <v>26</v>
      </c>
      <c r="AK2351" t="s">
        <v>26</v>
      </c>
      <c r="AL2351" t="s">
        <v>26</v>
      </c>
      <c r="AM2351" t="s">
        <v>26</v>
      </c>
      <c r="AN2351" t="s">
        <v>26</v>
      </c>
      <c r="AO2351" s="25" t="s">
        <v>68</v>
      </c>
      <c r="AP2351" s="23" t="s">
        <v>69</v>
      </c>
      <c r="AQ2351" s="23" t="s">
        <v>30</v>
      </c>
      <c r="AR2351" s="23" t="s">
        <v>4029</v>
      </c>
      <c r="AS2351" s="25">
        <v>37552</v>
      </c>
      <c r="AT2351" t="s">
        <v>26</v>
      </c>
      <c r="AU2351" t="s">
        <v>25316</v>
      </c>
    </row>
    <row r="2352" spans="1:47" ht="26.25" x14ac:dyDescent="0.4">
      <c r="A2352" s="23" t="s">
        <v>6164</v>
      </c>
      <c r="B2352" t="s">
        <v>26</v>
      </c>
      <c r="C2352" s="23" t="s">
        <v>1691</v>
      </c>
      <c r="D2352" s="23" t="s">
        <v>22179</v>
      </c>
      <c r="E2352" s="23" t="s">
        <v>42</v>
      </c>
      <c r="F2352" s="25" t="s">
        <v>6161</v>
      </c>
      <c r="G2352" s="25" t="s">
        <v>6162</v>
      </c>
      <c r="H2352" t="s">
        <v>26</v>
      </c>
      <c r="I2352" s="24">
        <v>31413</v>
      </c>
      <c r="J2352" s="24">
        <v>36130</v>
      </c>
      <c r="K2352" t="s">
        <v>26</v>
      </c>
      <c r="L2352" s="25" t="s">
        <v>68</v>
      </c>
      <c r="M2352" t="s">
        <v>26</v>
      </c>
      <c r="N2352" t="s">
        <v>26</v>
      </c>
      <c r="O2352" t="s">
        <v>26</v>
      </c>
      <c r="P2352" s="24">
        <v>31413</v>
      </c>
      <c r="Q2352" s="24">
        <v>36130</v>
      </c>
      <c r="R2352" t="s">
        <v>26</v>
      </c>
      <c r="S2352" t="s">
        <v>26</v>
      </c>
      <c r="T2352" t="s">
        <v>26</v>
      </c>
      <c r="U2352" t="s">
        <v>26</v>
      </c>
      <c r="V2352" t="s">
        <v>26</v>
      </c>
      <c r="W2352" s="24">
        <v>31413</v>
      </c>
      <c r="X2352" s="24">
        <v>36130</v>
      </c>
      <c r="Y2352" t="s">
        <v>26</v>
      </c>
      <c r="Z2352" s="24">
        <v>31413</v>
      </c>
      <c r="AA2352" s="24">
        <v>36130</v>
      </c>
      <c r="AB2352" t="s">
        <v>26</v>
      </c>
      <c r="AC2352" s="24">
        <v>31413</v>
      </c>
      <c r="AD2352" s="24">
        <v>36130</v>
      </c>
      <c r="AE2352" t="s">
        <v>26</v>
      </c>
      <c r="AF2352" t="s">
        <v>26</v>
      </c>
      <c r="AG2352" t="s">
        <v>26</v>
      </c>
      <c r="AH2352" t="s">
        <v>26</v>
      </c>
      <c r="AI2352" t="s">
        <v>26</v>
      </c>
      <c r="AJ2352" t="s">
        <v>26</v>
      </c>
      <c r="AK2352" t="s">
        <v>26</v>
      </c>
      <c r="AL2352" t="s">
        <v>26</v>
      </c>
      <c r="AM2352" t="s">
        <v>26</v>
      </c>
      <c r="AN2352" t="s">
        <v>26</v>
      </c>
      <c r="AO2352" s="25" t="s">
        <v>68</v>
      </c>
      <c r="AP2352" s="23" t="s">
        <v>69</v>
      </c>
      <c r="AQ2352" s="23" t="s">
        <v>30</v>
      </c>
      <c r="AR2352" s="23" t="s">
        <v>4029</v>
      </c>
      <c r="AS2352" s="25">
        <v>37551</v>
      </c>
      <c r="AT2352" t="s">
        <v>26</v>
      </c>
      <c r="AU2352" t="s">
        <v>25317</v>
      </c>
    </row>
    <row r="2353" spans="1:47" ht="13.15" x14ac:dyDescent="0.4">
      <c r="A2353" s="23" t="s">
        <v>6165</v>
      </c>
      <c r="B2353" t="s">
        <v>26</v>
      </c>
      <c r="C2353" s="23" t="s">
        <v>6166</v>
      </c>
      <c r="D2353" t="s">
        <v>26</v>
      </c>
      <c r="E2353" s="23" t="s">
        <v>42</v>
      </c>
      <c r="F2353" t="s">
        <v>26</v>
      </c>
      <c r="G2353" t="s">
        <v>26</v>
      </c>
      <c r="H2353" t="s">
        <v>26</v>
      </c>
      <c r="I2353" s="24">
        <v>8767</v>
      </c>
      <c r="J2353" s="24">
        <v>8767</v>
      </c>
      <c r="K2353" t="s">
        <v>26</v>
      </c>
      <c r="L2353" s="25" t="s">
        <v>28</v>
      </c>
      <c r="M2353" t="s">
        <v>26</v>
      </c>
      <c r="N2353" t="s">
        <v>26</v>
      </c>
      <c r="O2353" t="s">
        <v>26</v>
      </c>
      <c r="P2353" s="24">
        <v>8767</v>
      </c>
      <c r="Q2353" s="24">
        <v>8767</v>
      </c>
      <c r="R2353" t="s">
        <v>26</v>
      </c>
      <c r="S2353" t="s">
        <v>26</v>
      </c>
      <c r="T2353" t="s">
        <v>26</v>
      </c>
      <c r="U2353" t="s">
        <v>26</v>
      </c>
      <c r="V2353" t="s">
        <v>26</v>
      </c>
      <c r="W2353" s="24">
        <v>8767</v>
      </c>
      <c r="X2353" s="24">
        <v>8767</v>
      </c>
      <c r="Y2353" t="s">
        <v>26</v>
      </c>
      <c r="Z2353" s="24">
        <v>8767</v>
      </c>
      <c r="AA2353" s="24">
        <v>8767</v>
      </c>
      <c r="AB2353" t="s">
        <v>26</v>
      </c>
      <c r="AC2353" t="s">
        <v>26</v>
      </c>
      <c r="AD2353" t="s">
        <v>26</v>
      </c>
      <c r="AE2353" t="s">
        <v>26</v>
      </c>
      <c r="AF2353" t="s">
        <v>26</v>
      </c>
      <c r="AG2353" t="s">
        <v>26</v>
      </c>
      <c r="AH2353" t="s">
        <v>26</v>
      </c>
      <c r="AI2353" t="s">
        <v>26</v>
      </c>
      <c r="AJ2353" t="s">
        <v>26</v>
      </c>
      <c r="AK2353" t="s">
        <v>26</v>
      </c>
      <c r="AL2353" t="s">
        <v>26</v>
      </c>
      <c r="AM2353" t="s">
        <v>26</v>
      </c>
      <c r="AN2353" t="s">
        <v>26</v>
      </c>
      <c r="AO2353" s="25" t="s">
        <v>28</v>
      </c>
      <c r="AP2353" s="23" t="s">
        <v>29</v>
      </c>
      <c r="AQ2353" s="23" t="s">
        <v>30</v>
      </c>
      <c r="AR2353" s="23" t="s">
        <v>46</v>
      </c>
      <c r="AS2353" s="25">
        <v>6059462</v>
      </c>
      <c r="AT2353" t="s">
        <v>26</v>
      </c>
      <c r="AU2353" t="s">
        <v>25318</v>
      </c>
    </row>
    <row r="2354" spans="1:47" ht="13.15" x14ac:dyDescent="0.4">
      <c r="A2354" s="23" t="s">
        <v>6167</v>
      </c>
      <c r="B2354" t="s">
        <v>26</v>
      </c>
      <c r="C2354" s="23" t="s">
        <v>6168</v>
      </c>
      <c r="D2354" s="23" t="s">
        <v>25319</v>
      </c>
      <c r="E2354" s="23" t="s">
        <v>822</v>
      </c>
      <c r="F2354" s="25" t="s">
        <v>6169</v>
      </c>
      <c r="G2354" s="25" t="s">
        <v>6170</v>
      </c>
      <c r="H2354" t="s">
        <v>26</v>
      </c>
      <c r="I2354" s="24">
        <v>40513</v>
      </c>
      <c r="J2354" s="24">
        <v>41883</v>
      </c>
      <c r="K2354" t="s">
        <v>26</v>
      </c>
      <c r="L2354" s="25" t="s">
        <v>28</v>
      </c>
      <c r="M2354" s="24">
        <v>40513</v>
      </c>
      <c r="N2354" s="24">
        <v>41883</v>
      </c>
      <c r="O2354" t="s">
        <v>26</v>
      </c>
      <c r="P2354" s="24">
        <v>40513</v>
      </c>
      <c r="Q2354" s="24">
        <v>41883</v>
      </c>
      <c r="R2354" t="s">
        <v>26</v>
      </c>
      <c r="S2354" t="s">
        <v>26</v>
      </c>
      <c r="T2354" t="s">
        <v>26</v>
      </c>
      <c r="U2354" t="s">
        <v>26</v>
      </c>
      <c r="V2354" t="s">
        <v>26</v>
      </c>
      <c r="W2354" s="24">
        <v>40513</v>
      </c>
      <c r="X2354" s="24">
        <v>41883</v>
      </c>
      <c r="Y2354" t="s">
        <v>26</v>
      </c>
      <c r="Z2354" s="24">
        <v>40513</v>
      </c>
      <c r="AA2354" s="24">
        <v>41883</v>
      </c>
      <c r="AB2354" t="s">
        <v>26</v>
      </c>
      <c r="AC2354" t="s">
        <v>26</v>
      </c>
      <c r="AD2354" t="s">
        <v>26</v>
      </c>
      <c r="AE2354" t="s">
        <v>26</v>
      </c>
      <c r="AF2354" t="s">
        <v>26</v>
      </c>
      <c r="AG2354" t="s">
        <v>26</v>
      </c>
      <c r="AH2354" t="s">
        <v>26</v>
      </c>
      <c r="AI2354" t="s">
        <v>26</v>
      </c>
      <c r="AJ2354" t="s">
        <v>26</v>
      </c>
      <c r="AK2354" t="s">
        <v>26</v>
      </c>
      <c r="AL2354" t="s">
        <v>26</v>
      </c>
      <c r="AM2354" t="s">
        <v>26</v>
      </c>
      <c r="AN2354" t="s">
        <v>26</v>
      </c>
      <c r="AO2354" s="25" t="s">
        <v>28</v>
      </c>
      <c r="AP2354" s="23" t="s">
        <v>211</v>
      </c>
      <c r="AQ2354" s="23" t="s">
        <v>30</v>
      </c>
      <c r="AR2354" s="23" t="s">
        <v>46</v>
      </c>
      <c r="AS2354" s="25">
        <v>2028700</v>
      </c>
      <c r="AT2354" t="s">
        <v>26</v>
      </c>
      <c r="AU2354" t="s">
        <v>25320</v>
      </c>
    </row>
    <row r="2355" spans="1:47" ht="26.25" x14ac:dyDescent="0.4">
      <c r="A2355" s="23" t="s">
        <v>6171</v>
      </c>
      <c r="B2355" t="s">
        <v>26</v>
      </c>
      <c r="C2355" s="23" t="s">
        <v>80</v>
      </c>
      <c r="D2355" s="23" t="s">
        <v>23269</v>
      </c>
      <c r="E2355" s="23" t="s">
        <v>60</v>
      </c>
      <c r="F2355" t="s">
        <v>26</v>
      </c>
      <c r="G2355" s="25" t="s">
        <v>6172</v>
      </c>
      <c r="H2355" t="s">
        <v>26</v>
      </c>
      <c r="I2355" s="24">
        <v>39448</v>
      </c>
      <c r="J2355" s="25" t="s">
        <v>77</v>
      </c>
      <c r="K2355" t="s">
        <v>26</v>
      </c>
      <c r="L2355" s="25" t="s">
        <v>68</v>
      </c>
      <c r="M2355" s="24">
        <v>41640</v>
      </c>
      <c r="N2355" s="25" t="s">
        <v>77</v>
      </c>
      <c r="O2355" t="s">
        <v>26</v>
      </c>
      <c r="P2355" s="24">
        <v>39448</v>
      </c>
      <c r="Q2355" s="25" t="s">
        <v>77</v>
      </c>
      <c r="R2355" t="s">
        <v>26</v>
      </c>
      <c r="S2355" t="s">
        <v>26</v>
      </c>
      <c r="T2355" t="s">
        <v>26</v>
      </c>
      <c r="U2355" t="s">
        <v>26</v>
      </c>
      <c r="V2355" t="s">
        <v>26</v>
      </c>
      <c r="W2355" s="24">
        <v>39448</v>
      </c>
      <c r="X2355" s="25" t="s">
        <v>77</v>
      </c>
      <c r="Y2355" t="s">
        <v>26</v>
      </c>
      <c r="Z2355" s="24">
        <v>39448</v>
      </c>
      <c r="AA2355" s="25" t="s">
        <v>77</v>
      </c>
      <c r="AB2355" t="s">
        <v>26</v>
      </c>
      <c r="AC2355" s="24">
        <v>39448</v>
      </c>
      <c r="AD2355" s="25" t="s">
        <v>77</v>
      </c>
      <c r="AE2355" t="s">
        <v>26</v>
      </c>
      <c r="AF2355" t="s">
        <v>26</v>
      </c>
      <c r="AG2355" t="s">
        <v>26</v>
      </c>
      <c r="AH2355" t="s">
        <v>26</v>
      </c>
      <c r="AI2355" t="s">
        <v>26</v>
      </c>
      <c r="AJ2355" t="s">
        <v>26</v>
      </c>
      <c r="AK2355" t="s">
        <v>26</v>
      </c>
      <c r="AL2355" t="s">
        <v>26</v>
      </c>
      <c r="AM2355" t="s">
        <v>26</v>
      </c>
      <c r="AN2355" t="s">
        <v>26</v>
      </c>
      <c r="AO2355" s="25" t="s">
        <v>68</v>
      </c>
      <c r="AP2355" s="23" t="s">
        <v>69</v>
      </c>
      <c r="AQ2355" s="23" t="s">
        <v>30</v>
      </c>
      <c r="AR2355" s="23" t="s">
        <v>70</v>
      </c>
      <c r="AS2355" s="25">
        <v>3933299</v>
      </c>
      <c r="AT2355" t="s">
        <v>26</v>
      </c>
      <c r="AU2355" t="s">
        <v>25321</v>
      </c>
    </row>
    <row r="2356" spans="1:47" ht="13.15" x14ac:dyDescent="0.4">
      <c r="A2356" s="23" t="s">
        <v>6173</v>
      </c>
      <c r="B2356" t="s">
        <v>26</v>
      </c>
      <c r="C2356" s="23" t="s">
        <v>1105</v>
      </c>
      <c r="D2356" s="23" t="s">
        <v>22179</v>
      </c>
      <c r="E2356" s="23" t="s">
        <v>42</v>
      </c>
      <c r="F2356" s="25" t="s">
        <v>6174</v>
      </c>
      <c r="G2356" s="25" t="s">
        <v>6175</v>
      </c>
      <c r="H2356" t="s">
        <v>26</v>
      </c>
      <c r="I2356" s="24">
        <v>32143</v>
      </c>
      <c r="J2356" s="25" t="s">
        <v>77</v>
      </c>
      <c r="K2356" s="25" t="s">
        <v>6176</v>
      </c>
      <c r="L2356" s="25" t="s">
        <v>28</v>
      </c>
      <c r="M2356" s="24">
        <v>33604</v>
      </c>
      <c r="N2356" s="25" t="s">
        <v>77</v>
      </c>
      <c r="O2356" t="s">
        <v>26</v>
      </c>
      <c r="P2356" s="24">
        <v>32143</v>
      </c>
      <c r="Q2356" s="25" t="s">
        <v>77</v>
      </c>
      <c r="R2356" s="25" t="s">
        <v>6176</v>
      </c>
      <c r="S2356" t="s">
        <v>26</v>
      </c>
      <c r="T2356" t="s">
        <v>26</v>
      </c>
      <c r="U2356" t="s">
        <v>26</v>
      </c>
      <c r="V2356" t="s">
        <v>26</v>
      </c>
      <c r="W2356" s="24">
        <v>31413</v>
      </c>
      <c r="X2356" s="25" t="s">
        <v>77</v>
      </c>
      <c r="Y2356" s="25" t="s">
        <v>6176</v>
      </c>
      <c r="Z2356" s="24">
        <v>31413</v>
      </c>
      <c r="AA2356" s="25" t="s">
        <v>77</v>
      </c>
      <c r="AB2356" s="25" t="s">
        <v>6176</v>
      </c>
      <c r="AC2356" s="24">
        <v>31413</v>
      </c>
      <c r="AD2356" s="25" t="s">
        <v>77</v>
      </c>
      <c r="AE2356" s="25" t="s">
        <v>6176</v>
      </c>
      <c r="AF2356" t="s">
        <v>26</v>
      </c>
      <c r="AG2356" t="s">
        <v>26</v>
      </c>
      <c r="AH2356" t="s">
        <v>26</v>
      </c>
      <c r="AI2356" t="s">
        <v>26</v>
      </c>
      <c r="AJ2356" t="s">
        <v>26</v>
      </c>
      <c r="AK2356" t="s">
        <v>26</v>
      </c>
      <c r="AL2356" t="s">
        <v>26</v>
      </c>
      <c r="AM2356" t="s">
        <v>26</v>
      </c>
      <c r="AN2356" t="s">
        <v>26</v>
      </c>
      <c r="AO2356" s="25" t="s">
        <v>28</v>
      </c>
      <c r="AP2356" s="23" t="s">
        <v>112</v>
      </c>
      <c r="AQ2356" s="23" t="s">
        <v>30</v>
      </c>
      <c r="AR2356" s="23" t="s">
        <v>385</v>
      </c>
      <c r="AS2356" s="25">
        <v>1810</v>
      </c>
      <c r="AT2356" t="s">
        <v>26</v>
      </c>
      <c r="AU2356" t="s">
        <v>25322</v>
      </c>
    </row>
    <row r="2357" spans="1:47" ht="13.15" x14ac:dyDescent="0.4">
      <c r="A2357" s="23" t="s">
        <v>6177</v>
      </c>
      <c r="B2357" t="s">
        <v>26</v>
      </c>
      <c r="C2357" s="23" t="s">
        <v>6178</v>
      </c>
      <c r="D2357" s="23" t="s">
        <v>22545</v>
      </c>
      <c r="E2357" s="23" t="s">
        <v>60</v>
      </c>
      <c r="F2357" t="s">
        <v>26</v>
      </c>
      <c r="G2357" t="s">
        <v>26</v>
      </c>
      <c r="H2357" s="25" t="s">
        <v>6179</v>
      </c>
      <c r="I2357" s="24">
        <v>39814</v>
      </c>
      <c r="J2357" s="24">
        <v>39814</v>
      </c>
      <c r="K2357" t="s">
        <v>26</v>
      </c>
      <c r="L2357" s="25" t="s">
        <v>28</v>
      </c>
      <c r="M2357" s="24">
        <v>39814</v>
      </c>
      <c r="N2357" s="24">
        <v>39814</v>
      </c>
      <c r="O2357" t="s">
        <v>26</v>
      </c>
      <c r="P2357" s="24">
        <v>39814</v>
      </c>
      <c r="Q2357" s="24">
        <v>39814</v>
      </c>
      <c r="R2357" t="s">
        <v>26</v>
      </c>
      <c r="S2357" t="s">
        <v>26</v>
      </c>
      <c r="T2357" t="s">
        <v>26</v>
      </c>
      <c r="U2357" t="s">
        <v>26</v>
      </c>
      <c r="V2357" t="s">
        <v>26</v>
      </c>
      <c r="W2357" s="24">
        <v>39814</v>
      </c>
      <c r="X2357" s="24">
        <v>39814</v>
      </c>
      <c r="Y2357" t="s">
        <v>26</v>
      </c>
      <c r="Z2357" s="24">
        <v>39814</v>
      </c>
      <c r="AA2357" s="24">
        <v>39814</v>
      </c>
      <c r="AB2357" t="s">
        <v>26</v>
      </c>
      <c r="AC2357" s="24">
        <v>39814</v>
      </c>
      <c r="AD2357" s="24">
        <v>39814</v>
      </c>
      <c r="AE2357" t="s">
        <v>26</v>
      </c>
      <c r="AF2357" t="s">
        <v>26</v>
      </c>
      <c r="AG2357" t="s">
        <v>26</v>
      </c>
      <c r="AH2357" t="s">
        <v>26</v>
      </c>
      <c r="AI2357" t="s">
        <v>26</v>
      </c>
      <c r="AJ2357" t="s">
        <v>26</v>
      </c>
      <c r="AK2357" t="s">
        <v>26</v>
      </c>
      <c r="AL2357" t="s">
        <v>26</v>
      </c>
      <c r="AM2357" t="s">
        <v>26</v>
      </c>
      <c r="AN2357" t="s">
        <v>26</v>
      </c>
      <c r="AO2357" s="25" t="s">
        <v>28</v>
      </c>
      <c r="AP2357" s="23" t="s">
        <v>29</v>
      </c>
      <c r="AQ2357" s="23" t="s">
        <v>30</v>
      </c>
      <c r="AR2357" s="23" t="s">
        <v>46</v>
      </c>
      <c r="AS2357" s="25">
        <v>105960</v>
      </c>
      <c r="AT2357" t="s">
        <v>26</v>
      </c>
      <c r="AU2357" t="s">
        <v>25323</v>
      </c>
    </row>
    <row r="2358" spans="1:47" ht="26.25" x14ac:dyDescent="0.4">
      <c r="A2358" s="23" t="s">
        <v>6180</v>
      </c>
      <c r="B2358" t="s">
        <v>26</v>
      </c>
      <c r="C2358" s="23" t="s">
        <v>465</v>
      </c>
      <c r="D2358" s="23" t="s">
        <v>22334</v>
      </c>
      <c r="E2358" s="23" t="s">
        <v>42</v>
      </c>
      <c r="F2358" s="25" t="s">
        <v>6181</v>
      </c>
      <c r="G2358" s="25" t="s">
        <v>6182</v>
      </c>
      <c r="H2358" t="s">
        <v>26</v>
      </c>
      <c r="I2358" t="s">
        <v>26</v>
      </c>
      <c r="J2358" t="s">
        <v>26</v>
      </c>
      <c r="K2358" t="s">
        <v>26</v>
      </c>
      <c r="L2358" s="25" t="s">
        <v>68</v>
      </c>
      <c r="M2358" t="s">
        <v>26</v>
      </c>
      <c r="N2358" t="s">
        <v>26</v>
      </c>
      <c r="O2358" t="s">
        <v>26</v>
      </c>
      <c r="P2358" t="s">
        <v>26</v>
      </c>
      <c r="Q2358" t="s">
        <v>26</v>
      </c>
      <c r="R2358" t="s">
        <v>26</v>
      </c>
      <c r="S2358" t="s">
        <v>26</v>
      </c>
      <c r="T2358" t="s">
        <v>26</v>
      </c>
      <c r="U2358" t="s">
        <v>26</v>
      </c>
      <c r="V2358" t="s">
        <v>26</v>
      </c>
      <c r="W2358" s="24">
        <v>34759</v>
      </c>
      <c r="X2358" s="25" t="s">
        <v>77</v>
      </c>
      <c r="Y2358" t="s">
        <v>26</v>
      </c>
      <c r="Z2358" s="24">
        <v>34759</v>
      </c>
      <c r="AA2358" s="25" t="s">
        <v>77</v>
      </c>
      <c r="AB2358" t="s">
        <v>26</v>
      </c>
      <c r="AC2358" s="24">
        <v>34759</v>
      </c>
      <c r="AD2358" s="25" t="s">
        <v>77</v>
      </c>
      <c r="AE2358" t="s">
        <v>26</v>
      </c>
      <c r="AF2358" t="s">
        <v>26</v>
      </c>
      <c r="AG2358" t="s">
        <v>26</v>
      </c>
      <c r="AH2358" t="s">
        <v>26</v>
      </c>
      <c r="AI2358" t="s">
        <v>26</v>
      </c>
      <c r="AJ2358" t="s">
        <v>26</v>
      </c>
      <c r="AK2358" t="s">
        <v>26</v>
      </c>
      <c r="AL2358" t="s">
        <v>26</v>
      </c>
      <c r="AM2358" t="s">
        <v>26</v>
      </c>
      <c r="AN2358" t="s">
        <v>26</v>
      </c>
      <c r="AO2358" s="25" t="s">
        <v>68</v>
      </c>
      <c r="AP2358" s="23" t="s">
        <v>69</v>
      </c>
      <c r="AQ2358" s="23" t="s">
        <v>30</v>
      </c>
      <c r="AR2358" s="23" t="s">
        <v>253</v>
      </c>
      <c r="AS2358" s="25">
        <v>37316</v>
      </c>
      <c r="AT2358" t="s">
        <v>26</v>
      </c>
      <c r="AU2358" t="s">
        <v>25324</v>
      </c>
    </row>
    <row r="2359" spans="1:47" ht="26.25" x14ac:dyDescent="0.4">
      <c r="A2359" s="23" t="s">
        <v>6183</v>
      </c>
      <c r="B2359" t="s">
        <v>26</v>
      </c>
      <c r="C2359" s="23" t="s">
        <v>80</v>
      </c>
      <c r="D2359" s="23" t="s">
        <v>22174</v>
      </c>
      <c r="E2359" s="23" t="s">
        <v>60</v>
      </c>
      <c r="F2359" s="25" t="s">
        <v>6184</v>
      </c>
      <c r="G2359" s="25" t="s">
        <v>6185</v>
      </c>
      <c r="H2359" t="s">
        <v>26</v>
      </c>
      <c r="I2359" t="s">
        <v>26</v>
      </c>
      <c r="J2359" t="s">
        <v>26</v>
      </c>
      <c r="K2359" t="s">
        <v>26</v>
      </c>
      <c r="L2359" s="25" t="s">
        <v>68</v>
      </c>
      <c r="M2359" t="s">
        <v>26</v>
      </c>
      <c r="N2359" t="s">
        <v>26</v>
      </c>
      <c r="O2359" t="s">
        <v>26</v>
      </c>
      <c r="P2359" t="s">
        <v>26</v>
      </c>
      <c r="Q2359" t="s">
        <v>26</v>
      </c>
      <c r="R2359" t="s">
        <v>26</v>
      </c>
      <c r="S2359" t="s">
        <v>26</v>
      </c>
      <c r="T2359" t="s">
        <v>26</v>
      </c>
      <c r="U2359" t="s">
        <v>26</v>
      </c>
      <c r="V2359" t="s">
        <v>26</v>
      </c>
      <c r="W2359" s="24">
        <v>40664</v>
      </c>
      <c r="X2359" s="25" t="s">
        <v>77</v>
      </c>
      <c r="Y2359" t="s">
        <v>26</v>
      </c>
      <c r="Z2359" s="24">
        <v>40664</v>
      </c>
      <c r="AA2359" s="25" t="s">
        <v>77</v>
      </c>
      <c r="AB2359" t="s">
        <v>26</v>
      </c>
      <c r="AC2359" s="24">
        <v>40664</v>
      </c>
      <c r="AD2359" s="25" t="s">
        <v>77</v>
      </c>
      <c r="AE2359" t="s">
        <v>26</v>
      </c>
      <c r="AF2359" t="s">
        <v>26</v>
      </c>
      <c r="AG2359" t="s">
        <v>26</v>
      </c>
      <c r="AH2359" t="s">
        <v>26</v>
      </c>
      <c r="AI2359" t="s">
        <v>26</v>
      </c>
      <c r="AJ2359" t="s">
        <v>26</v>
      </c>
      <c r="AK2359" t="s">
        <v>26</v>
      </c>
      <c r="AL2359" t="s">
        <v>26</v>
      </c>
      <c r="AM2359" t="s">
        <v>26</v>
      </c>
      <c r="AN2359" t="s">
        <v>26</v>
      </c>
      <c r="AO2359" s="25" t="s">
        <v>68</v>
      </c>
      <c r="AP2359" s="23" t="s">
        <v>69</v>
      </c>
      <c r="AQ2359" s="23" t="s">
        <v>30</v>
      </c>
      <c r="AR2359" s="23" t="s">
        <v>70</v>
      </c>
      <c r="AS2359" s="25">
        <v>105361</v>
      </c>
      <c r="AT2359" t="s">
        <v>26</v>
      </c>
      <c r="AU2359" t="s">
        <v>25325</v>
      </c>
    </row>
    <row r="2360" spans="1:47" ht="26.25" x14ac:dyDescent="0.4">
      <c r="A2360" s="23" t="s">
        <v>6186</v>
      </c>
      <c r="B2360" t="s">
        <v>26</v>
      </c>
      <c r="C2360" s="23" t="s">
        <v>1180</v>
      </c>
      <c r="D2360" s="23" t="s">
        <v>22706</v>
      </c>
      <c r="E2360" s="23" t="s">
        <v>60</v>
      </c>
      <c r="F2360" s="25" t="s">
        <v>6187</v>
      </c>
      <c r="G2360" s="25" t="s">
        <v>6188</v>
      </c>
      <c r="H2360" t="s">
        <v>26</v>
      </c>
      <c r="I2360" s="24">
        <v>35855</v>
      </c>
      <c r="J2360" s="24">
        <v>38869</v>
      </c>
      <c r="K2360" t="s">
        <v>26</v>
      </c>
      <c r="L2360" s="25" t="s">
        <v>68</v>
      </c>
      <c r="M2360" s="24">
        <v>35855</v>
      </c>
      <c r="N2360" s="24">
        <v>38869</v>
      </c>
      <c r="O2360" t="s">
        <v>26</v>
      </c>
      <c r="P2360" s="24">
        <v>35855</v>
      </c>
      <c r="Q2360" s="24">
        <v>38869</v>
      </c>
      <c r="R2360" t="s">
        <v>26</v>
      </c>
      <c r="S2360" t="s">
        <v>26</v>
      </c>
      <c r="T2360" t="s">
        <v>26</v>
      </c>
      <c r="U2360" t="s">
        <v>26</v>
      </c>
      <c r="V2360" t="s">
        <v>26</v>
      </c>
      <c r="W2360" s="24">
        <v>35855</v>
      </c>
      <c r="X2360" s="24">
        <v>38869</v>
      </c>
      <c r="Y2360" t="s">
        <v>26</v>
      </c>
      <c r="Z2360" s="24">
        <v>35855</v>
      </c>
      <c r="AA2360" s="24">
        <v>38869</v>
      </c>
      <c r="AB2360" t="s">
        <v>26</v>
      </c>
      <c r="AC2360" s="24">
        <v>36130</v>
      </c>
      <c r="AD2360" s="24">
        <v>38869</v>
      </c>
      <c r="AE2360" t="s">
        <v>26</v>
      </c>
      <c r="AF2360" t="s">
        <v>26</v>
      </c>
      <c r="AG2360" t="s">
        <v>26</v>
      </c>
      <c r="AH2360" t="s">
        <v>26</v>
      </c>
      <c r="AI2360" t="s">
        <v>26</v>
      </c>
      <c r="AJ2360" t="s">
        <v>26</v>
      </c>
      <c r="AK2360" t="s">
        <v>26</v>
      </c>
      <c r="AL2360" t="s">
        <v>26</v>
      </c>
      <c r="AM2360" t="s">
        <v>26</v>
      </c>
      <c r="AN2360" t="s">
        <v>26</v>
      </c>
      <c r="AO2360" s="25" t="s">
        <v>68</v>
      </c>
      <c r="AP2360" s="23" t="s">
        <v>69</v>
      </c>
      <c r="AQ2360" s="23" t="s">
        <v>30</v>
      </c>
      <c r="AR2360" s="23" t="s">
        <v>71</v>
      </c>
      <c r="AS2360" s="25">
        <v>26543</v>
      </c>
      <c r="AT2360" t="s">
        <v>26</v>
      </c>
      <c r="AU2360" t="s">
        <v>25326</v>
      </c>
    </row>
    <row r="2361" spans="1:47" ht="26.25" x14ac:dyDescent="0.4">
      <c r="A2361" s="23" t="s">
        <v>6189</v>
      </c>
      <c r="B2361" t="s">
        <v>26</v>
      </c>
      <c r="C2361" s="23" t="s">
        <v>80</v>
      </c>
      <c r="D2361" s="23" t="s">
        <v>22184</v>
      </c>
      <c r="E2361" s="23" t="s">
        <v>60</v>
      </c>
      <c r="F2361" s="25" t="s">
        <v>6190</v>
      </c>
      <c r="G2361" s="25" t="s">
        <v>6191</v>
      </c>
      <c r="H2361" t="s">
        <v>26</v>
      </c>
      <c r="I2361" t="s">
        <v>26</v>
      </c>
      <c r="J2361" t="s">
        <v>26</v>
      </c>
      <c r="K2361" t="s">
        <v>26</v>
      </c>
      <c r="L2361" s="25" t="s">
        <v>68</v>
      </c>
      <c r="M2361" t="s">
        <v>26</v>
      </c>
      <c r="N2361" t="s">
        <v>26</v>
      </c>
      <c r="O2361" t="s">
        <v>26</v>
      </c>
      <c r="P2361" t="s">
        <v>26</v>
      </c>
      <c r="Q2361" t="s">
        <v>26</v>
      </c>
      <c r="R2361" t="s">
        <v>26</v>
      </c>
      <c r="S2361" t="s">
        <v>26</v>
      </c>
      <c r="T2361" t="s">
        <v>26</v>
      </c>
      <c r="U2361" t="s">
        <v>26</v>
      </c>
      <c r="V2361" t="s">
        <v>26</v>
      </c>
      <c r="W2361" s="24">
        <v>40544</v>
      </c>
      <c r="X2361" s="25" t="s">
        <v>77</v>
      </c>
      <c r="Y2361" t="s">
        <v>26</v>
      </c>
      <c r="Z2361" s="24">
        <v>40544</v>
      </c>
      <c r="AA2361" s="25" t="s">
        <v>77</v>
      </c>
      <c r="AB2361" t="s">
        <v>26</v>
      </c>
      <c r="AC2361" s="24">
        <v>40544</v>
      </c>
      <c r="AD2361" s="25" t="s">
        <v>77</v>
      </c>
      <c r="AE2361" t="s">
        <v>26</v>
      </c>
      <c r="AF2361" t="s">
        <v>26</v>
      </c>
      <c r="AG2361" t="s">
        <v>26</v>
      </c>
      <c r="AH2361" t="s">
        <v>26</v>
      </c>
      <c r="AI2361" t="s">
        <v>26</v>
      </c>
      <c r="AJ2361" t="s">
        <v>26</v>
      </c>
      <c r="AK2361" t="s">
        <v>26</v>
      </c>
      <c r="AL2361" t="s">
        <v>26</v>
      </c>
      <c r="AM2361" t="s">
        <v>26</v>
      </c>
      <c r="AN2361" t="s">
        <v>26</v>
      </c>
      <c r="AO2361" s="25" t="s">
        <v>68</v>
      </c>
      <c r="AP2361" s="23" t="s">
        <v>69</v>
      </c>
      <c r="AQ2361" s="23" t="s">
        <v>30</v>
      </c>
      <c r="AR2361" s="23" t="s">
        <v>46</v>
      </c>
      <c r="AS2361" s="25">
        <v>436420</v>
      </c>
      <c r="AT2361" t="s">
        <v>26</v>
      </c>
      <c r="AU2361" t="s">
        <v>25327</v>
      </c>
    </row>
    <row r="2362" spans="1:47" ht="26.25" x14ac:dyDescent="0.4">
      <c r="A2362" s="23" t="s">
        <v>6192</v>
      </c>
      <c r="B2362" t="s">
        <v>26</v>
      </c>
      <c r="C2362" s="23" t="s">
        <v>6193</v>
      </c>
      <c r="D2362" s="23" t="s">
        <v>25328</v>
      </c>
      <c r="E2362" s="23" t="s">
        <v>6194</v>
      </c>
      <c r="F2362" s="25" t="s">
        <v>6195</v>
      </c>
      <c r="G2362" s="25" t="s">
        <v>6196</v>
      </c>
      <c r="H2362" t="s">
        <v>26</v>
      </c>
      <c r="I2362" s="24">
        <v>39448</v>
      </c>
      <c r="J2362" s="24">
        <v>43466</v>
      </c>
      <c r="K2362" t="s">
        <v>26</v>
      </c>
      <c r="L2362" s="25" t="s">
        <v>68</v>
      </c>
      <c r="M2362" s="24">
        <v>39448</v>
      </c>
      <c r="N2362" s="24">
        <v>43466</v>
      </c>
      <c r="O2362" t="s">
        <v>26</v>
      </c>
      <c r="P2362" s="24">
        <v>39448</v>
      </c>
      <c r="Q2362" s="24">
        <v>43466</v>
      </c>
      <c r="R2362" t="s">
        <v>26</v>
      </c>
      <c r="S2362" t="s">
        <v>26</v>
      </c>
      <c r="T2362" t="s">
        <v>26</v>
      </c>
      <c r="U2362" t="s">
        <v>26</v>
      </c>
      <c r="V2362" t="s">
        <v>26</v>
      </c>
      <c r="W2362" s="24">
        <v>39448</v>
      </c>
      <c r="X2362" s="24">
        <v>43466</v>
      </c>
      <c r="Y2362" t="s">
        <v>26</v>
      </c>
      <c r="Z2362" s="24">
        <v>39448</v>
      </c>
      <c r="AA2362" s="24">
        <v>43466</v>
      </c>
      <c r="AB2362" t="s">
        <v>26</v>
      </c>
      <c r="AC2362" s="24">
        <v>39448</v>
      </c>
      <c r="AD2362" s="24">
        <v>43466</v>
      </c>
      <c r="AE2362" t="s">
        <v>26</v>
      </c>
      <c r="AF2362" t="s">
        <v>26</v>
      </c>
      <c r="AG2362" t="s">
        <v>26</v>
      </c>
      <c r="AH2362" t="s">
        <v>26</v>
      </c>
      <c r="AI2362" t="s">
        <v>26</v>
      </c>
      <c r="AJ2362" t="s">
        <v>26</v>
      </c>
      <c r="AK2362" t="s">
        <v>26</v>
      </c>
      <c r="AL2362" t="s">
        <v>26</v>
      </c>
      <c r="AM2362" t="s">
        <v>26</v>
      </c>
      <c r="AN2362" t="s">
        <v>26</v>
      </c>
      <c r="AO2362" s="25" t="s">
        <v>68</v>
      </c>
      <c r="AP2362" s="23" t="s">
        <v>69</v>
      </c>
      <c r="AQ2362" s="23" t="s">
        <v>30</v>
      </c>
      <c r="AR2362" s="23" t="s">
        <v>46</v>
      </c>
      <c r="AS2362" s="25">
        <v>2032446</v>
      </c>
      <c r="AT2362" t="s">
        <v>26</v>
      </c>
      <c r="AU2362" t="s">
        <v>25329</v>
      </c>
    </row>
    <row r="2363" spans="1:47" ht="26.25" x14ac:dyDescent="0.4">
      <c r="A2363" s="23" t="s">
        <v>6197</v>
      </c>
      <c r="B2363" t="s">
        <v>26</v>
      </c>
      <c r="C2363" s="23" t="s">
        <v>320</v>
      </c>
      <c r="D2363" s="23" t="s">
        <v>22294</v>
      </c>
      <c r="E2363" s="23" t="s">
        <v>42</v>
      </c>
      <c r="F2363" s="25" t="s">
        <v>6198</v>
      </c>
      <c r="G2363" s="25" t="s">
        <v>6199</v>
      </c>
      <c r="H2363" t="s">
        <v>26</v>
      </c>
      <c r="I2363" t="s">
        <v>26</v>
      </c>
      <c r="J2363" t="s">
        <v>26</v>
      </c>
      <c r="K2363" t="s">
        <v>26</v>
      </c>
      <c r="L2363" s="25" t="s">
        <v>68</v>
      </c>
      <c r="M2363" t="s">
        <v>26</v>
      </c>
      <c r="N2363" t="s">
        <v>26</v>
      </c>
      <c r="O2363" t="s">
        <v>26</v>
      </c>
      <c r="P2363" t="s">
        <v>26</v>
      </c>
      <c r="Q2363" t="s">
        <v>26</v>
      </c>
      <c r="R2363" t="s">
        <v>26</v>
      </c>
      <c r="S2363" t="s">
        <v>26</v>
      </c>
      <c r="T2363" t="s">
        <v>26</v>
      </c>
      <c r="U2363" t="s">
        <v>26</v>
      </c>
      <c r="V2363" t="s">
        <v>26</v>
      </c>
      <c r="W2363" s="24">
        <v>41275</v>
      </c>
      <c r="X2363" s="25" t="s">
        <v>77</v>
      </c>
      <c r="Y2363" t="s">
        <v>26</v>
      </c>
      <c r="Z2363" s="24">
        <v>41275</v>
      </c>
      <c r="AA2363" s="25" t="s">
        <v>77</v>
      </c>
      <c r="AB2363" t="s">
        <v>26</v>
      </c>
      <c r="AC2363" s="24">
        <v>41275</v>
      </c>
      <c r="AD2363" s="25" t="s">
        <v>77</v>
      </c>
      <c r="AE2363" t="s">
        <v>26</v>
      </c>
      <c r="AF2363" t="s">
        <v>26</v>
      </c>
      <c r="AG2363" t="s">
        <v>26</v>
      </c>
      <c r="AH2363" t="s">
        <v>26</v>
      </c>
      <c r="AI2363" t="s">
        <v>26</v>
      </c>
      <c r="AJ2363" t="s">
        <v>26</v>
      </c>
      <c r="AK2363" t="s">
        <v>26</v>
      </c>
      <c r="AL2363" t="s">
        <v>26</v>
      </c>
      <c r="AM2363" t="s">
        <v>26</v>
      </c>
      <c r="AN2363" t="s">
        <v>26</v>
      </c>
      <c r="AO2363" s="25" t="s">
        <v>68</v>
      </c>
      <c r="AP2363" s="23" t="s">
        <v>69</v>
      </c>
      <c r="AQ2363" s="23" t="s">
        <v>30</v>
      </c>
      <c r="AR2363" s="23" t="s">
        <v>123</v>
      </c>
      <c r="AS2363" s="25">
        <v>2032729</v>
      </c>
      <c r="AT2363" t="s">
        <v>26</v>
      </c>
      <c r="AU2363" t="s">
        <v>25330</v>
      </c>
    </row>
    <row r="2364" spans="1:47" ht="26.25" x14ac:dyDescent="0.4">
      <c r="A2364" s="23" t="s">
        <v>6200</v>
      </c>
      <c r="B2364" t="s">
        <v>26</v>
      </c>
      <c r="C2364" s="23" t="s">
        <v>465</v>
      </c>
      <c r="D2364" s="23" t="s">
        <v>22254</v>
      </c>
      <c r="E2364" s="23" t="s">
        <v>42</v>
      </c>
      <c r="F2364" s="25" t="s">
        <v>6201</v>
      </c>
      <c r="G2364" t="s">
        <v>26</v>
      </c>
      <c r="H2364" t="s">
        <v>26</v>
      </c>
      <c r="I2364" t="s">
        <v>26</v>
      </c>
      <c r="J2364" t="s">
        <v>26</v>
      </c>
      <c r="K2364" t="s">
        <v>26</v>
      </c>
      <c r="L2364" s="25" t="s">
        <v>68</v>
      </c>
      <c r="M2364" t="s">
        <v>26</v>
      </c>
      <c r="N2364" t="s">
        <v>26</v>
      </c>
      <c r="O2364" t="s">
        <v>26</v>
      </c>
      <c r="P2364" t="s">
        <v>26</v>
      </c>
      <c r="Q2364" t="s">
        <v>26</v>
      </c>
      <c r="R2364" t="s">
        <v>26</v>
      </c>
      <c r="S2364" t="s">
        <v>26</v>
      </c>
      <c r="T2364" t="s">
        <v>26</v>
      </c>
      <c r="U2364" t="s">
        <v>26</v>
      </c>
      <c r="V2364" t="s">
        <v>26</v>
      </c>
      <c r="W2364" s="24">
        <v>42064</v>
      </c>
      <c r="X2364" s="25" t="s">
        <v>77</v>
      </c>
      <c r="Y2364" t="s">
        <v>26</v>
      </c>
      <c r="Z2364" s="24">
        <v>42064</v>
      </c>
      <c r="AA2364" s="25" t="s">
        <v>77</v>
      </c>
      <c r="AB2364" t="s">
        <v>26</v>
      </c>
      <c r="AC2364" s="24">
        <v>42064</v>
      </c>
      <c r="AD2364" s="25" t="s">
        <v>77</v>
      </c>
      <c r="AE2364" t="s">
        <v>26</v>
      </c>
      <c r="AF2364" t="s">
        <v>26</v>
      </c>
      <c r="AG2364" t="s">
        <v>26</v>
      </c>
      <c r="AH2364" t="s">
        <v>26</v>
      </c>
      <c r="AI2364" t="s">
        <v>26</v>
      </c>
      <c r="AJ2364" t="s">
        <v>26</v>
      </c>
      <c r="AK2364" t="s">
        <v>26</v>
      </c>
      <c r="AL2364" t="s">
        <v>26</v>
      </c>
      <c r="AM2364" t="s">
        <v>26</v>
      </c>
      <c r="AN2364" t="s">
        <v>26</v>
      </c>
      <c r="AO2364" s="25" t="s">
        <v>68</v>
      </c>
      <c r="AP2364" s="23" t="s">
        <v>69</v>
      </c>
      <c r="AQ2364" s="23" t="s">
        <v>30</v>
      </c>
      <c r="AR2364" s="23" t="s">
        <v>4218</v>
      </c>
      <c r="AS2364" s="25">
        <v>2032992</v>
      </c>
      <c r="AT2364" t="s">
        <v>26</v>
      </c>
      <c r="AU2364" t="s">
        <v>25331</v>
      </c>
    </row>
    <row r="2365" spans="1:47" ht="26.25" x14ac:dyDescent="0.4">
      <c r="A2365" s="23" t="s">
        <v>6202</v>
      </c>
      <c r="B2365" t="s">
        <v>26</v>
      </c>
      <c r="C2365" s="23" t="s">
        <v>465</v>
      </c>
      <c r="D2365" s="23" t="s">
        <v>22254</v>
      </c>
      <c r="E2365" s="23" t="s">
        <v>42</v>
      </c>
      <c r="F2365" s="25" t="s">
        <v>6203</v>
      </c>
      <c r="G2365" s="25" t="s">
        <v>6204</v>
      </c>
      <c r="H2365" t="s">
        <v>26</v>
      </c>
      <c r="I2365" t="s">
        <v>26</v>
      </c>
      <c r="J2365" t="s">
        <v>26</v>
      </c>
      <c r="K2365" t="s">
        <v>26</v>
      </c>
      <c r="L2365" s="25" t="s">
        <v>68</v>
      </c>
      <c r="M2365" t="s">
        <v>26</v>
      </c>
      <c r="N2365" t="s">
        <v>26</v>
      </c>
      <c r="O2365" t="s">
        <v>26</v>
      </c>
      <c r="P2365" t="s">
        <v>26</v>
      </c>
      <c r="Q2365" t="s">
        <v>26</v>
      </c>
      <c r="R2365" t="s">
        <v>26</v>
      </c>
      <c r="S2365" t="s">
        <v>26</v>
      </c>
      <c r="T2365" t="s">
        <v>26</v>
      </c>
      <c r="U2365" t="s">
        <v>26</v>
      </c>
      <c r="V2365" t="s">
        <v>26</v>
      </c>
      <c r="W2365" s="24">
        <v>42767</v>
      </c>
      <c r="X2365" s="25" t="s">
        <v>77</v>
      </c>
      <c r="Y2365" t="s">
        <v>26</v>
      </c>
      <c r="Z2365" s="24">
        <v>42767</v>
      </c>
      <c r="AA2365" s="25" t="s">
        <v>77</v>
      </c>
      <c r="AB2365" t="s">
        <v>26</v>
      </c>
      <c r="AC2365" s="24">
        <v>42767</v>
      </c>
      <c r="AD2365" s="25" t="s">
        <v>77</v>
      </c>
      <c r="AE2365" t="s">
        <v>26</v>
      </c>
      <c r="AF2365" t="s">
        <v>26</v>
      </c>
      <c r="AG2365" t="s">
        <v>26</v>
      </c>
      <c r="AH2365" t="s">
        <v>26</v>
      </c>
      <c r="AI2365" t="s">
        <v>26</v>
      </c>
      <c r="AJ2365" t="s">
        <v>26</v>
      </c>
      <c r="AK2365" t="s">
        <v>26</v>
      </c>
      <c r="AL2365" t="s">
        <v>26</v>
      </c>
      <c r="AM2365" t="s">
        <v>26</v>
      </c>
      <c r="AN2365" t="s">
        <v>26</v>
      </c>
      <c r="AO2365" s="25" t="s">
        <v>68</v>
      </c>
      <c r="AP2365" s="23" t="s">
        <v>69</v>
      </c>
      <c r="AQ2365" s="23" t="s">
        <v>30</v>
      </c>
      <c r="AR2365" s="23" t="s">
        <v>46</v>
      </c>
      <c r="AS2365" s="25">
        <v>2048835</v>
      </c>
      <c r="AT2365" t="s">
        <v>26</v>
      </c>
      <c r="AU2365" t="s">
        <v>25332</v>
      </c>
    </row>
    <row r="2366" spans="1:47" ht="26.25" x14ac:dyDescent="0.4">
      <c r="A2366" s="23" t="s">
        <v>6205</v>
      </c>
      <c r="B2366" t="s">
        <v>26</v>
      </c>
      <c r="C2366" s="23" t="s">
        <v>371</v>
      </c>
      <c r="D2366" s="23" t="s">
        <v>22242</v>
      </c>
      <c r="E2366" s="23" t="s">
        <v>42</v>
      </c>
      <c r="F2366" t="s">
        <v>26</v>
      </c>
      <c r="G2366" t="s">
        <v>26</v>
      </c>
      <c r="H2366" t="s">
        <v>26</v>
      </c>
      <c r="I2366" t="s">
        <v>26</v>
      </c>
      <c r="J2366" t="s">
        <v>26</v>
      </c>
      <c r="K2366" t="s">
        <v>26</v>
      </c>
      <c r="L2366" s="25" t="s">
        <v>28</v>
      </c>
      <c r="M2366" t="s">
        <v>26</v>
      </c>
      <c r="N2366" t="s">
        <v>26</v>
      </c>
      <c r="O2366" t="s">
        <v>26</v>
      </c>
      <c r="P2366" t="s">
        <v>26</v>
      </c>
      <c r="Q2366" t="s">
        <v>26</v>
      </c>
      <c r="R2366" t="s">
        <v>26</v>
      </c>
      <c r="S2366" t="s">
        <v>26</v>
      </c>
      <c r="T2366" t="s">
        <v>26</v>
      </c>
      <c r="U2366" t="s">
        <v>26</v>
      </c>
      <c r="V2366" t="s">
        <v>26</v>
      </c>
      <c r="W2366" s="24">
        <v>37987</v>
      </c>
      <c r="X2366" s="24">
        <v>37987</v>
      </c>
      <c r="Y2366" t="s">
        <v>26</v>
      </c>
      <c r="Z2366" s="24">
        <v>37987</v>
      </c>
      <c r="AA2366" s="24">
        <v>37987</v>
      </c>
      <c r="AB2366" t="s">
        <v>26</v>
      </c>
      <c r="AC2366" t="s">
        <v>26</v>
      </c>
      <c r="AD2366" t="s">
        <v>26</v>
      </c>
      <c r="AE2366" t="s">
        <v>26</v>
      </c>
      <c r="AF2366" t="s">
        <v>26</v>
      </c>
      <c r="AG2366" t="s">
        <v>26</v>
      </c>
      <c r="AH2366" t="s">
        <v>26</v>
      </c>
      <c r="AI2366" t="s">
        <v>26</v>
      </c>
      <c r="AJ2366" t="s">
        <v>26</v>
      </c>
      <c r="AK2366" t="s">
        <v>26</v>
      </c>
      <c r="AL2366" t="s">
        <v>26</v>
      </c>
      <c r="AM2366" t="s">
        <v>26</v>
      </c>
      <c r="AN2366" t="s">
        <v>26</v>
      </c>
      <c r="AO2366" s="25" t="s">
        <v>28</v>
      </c>
      <c r="AP2366" s="23" t="s">
        <v>29</v>
      </c>
      <c r="AQ2366" s="23" t="s">
        <v>30</v>
      </c>
      <c r="AR2366" s="23" t="s">
        <v>44</v>
      </c>
      <c r="AS2366" s="25">
        <v>5488563</v>
      </c>
      <c r="AT2366" s="23" t="s">
        <v>22181</v>
      </c>
      <c r="AU2366" t="s">
        <v>25333</v>
      </c>
    </row>
    <row r="2367" spans="1:47" ht="26.25" x14ac:dyDescent="0.4">
      <c r="A2367" s="23" t="s">
        <v>6206</v>
      </c>
      <c r="B2367" t="s">
        <v>26</v>
      </c>
      <c r="C2367" s="23" t="s">
        <v>564</v>
      </c>
      <c r="D2367" t="s">
        <v>26</v>
      </c>
      <c r="E2367" s="23" t="s">
        <v>42</v>
      </c>
      <c r="F2367" t="s">
        <v>26</v>
      </c>
      <c r="G2367" t="s">
        <v>26</v>
      </c>
      <c r="H2367" t="s">
        <v>26</v>
      </c>
      <c r="I2367" s="24">
        <v>17168</v>
      </c>
      <c r="J2367" s="24">
        <v>17168</v>
      </c>
      <c r="K2367" t="s">
        <v>26</v>
      </c>
      <c r="L2367" s="25" t="s">
        <v>28</v>
      </c>
      <c r="M2367" t="s">
        <v>26</v>
      </c>
      <c r="N2367" t="s">
        <v>26</v>
      </c>
      <c r="O2367" t="s">
        <v>26</v>
      </c>
      <c r="P2367" s="24">
        <v>17168</v>
      </c>
      <c r="Q2367" s="24">
        <v>17168</v>
      </c>
      <c r="R2367" t="s">
        <v>26</v>
      </c>
      <c r="S2367" t="s">
        <v>26</v>
      </c>
      <c r="T2367" t="s">
        <v>26</v>
      </c>
      <c r="U2367" t="s">
        <v>26</v>
      </c>
      <c r="V2367" t="s">
        <v>26</v>
      </c>
      <c r="W2367" s="24">
        <v>17168</v>
      </c>
      <c r="X2367" s="24">
        <v>17168</v>
      </c>
      <c r="Y2367" t="s">
        <v>26</v>
      </c>
      <c r="Z2367" s="24">
        <v>17168</v>
      </c>
      <c r="AA2367" s="24">
        <v>17168</v>
      </c>
      <c r="AB2367" t="s">
        <v>26</v>
      </c>
      <c r="AC2367" t="s">
        <v>26</v>
      </c>
      <c r="AD2367" t="s">
        <v>26</v>
      </c>
      <c r="AE2367" t="s">
        <v>26</v>
      </c>
      <c r="AF2367" t="s">
        <v>26</v>
      </c>
      <c r="AG2367" t="s">
        <v>26</v>
      </c>
      <c r="AH2367" t="s">
        <v>26</v>
      </c>
      <c r="AI2367" t="s">
        <v>26</v>
      </c>
      <c r="AJ2367" t="s">
        <v>26</v>
      </c>
      <c r="AK2367" t="s">
        <v>26</v>
      </c>
      <c r="AL2367" t="s">
        <v>26</v>
      </c>
      <c r="AM2367" t="s">
        <v>26</v>
      </c>
      <c r="AN2367" t="s">
        <v>26</v>
      </c>
      <c r="AO2367" s="25" t="s">
        <v>28</v>
      </c>
      <c r="AP2367" s="23" t="s">
        <v>29</v>
      </c>
      <c r="AQ2367" s="23" t="s">
        <v>30</v>
      </c>
      <c r="AR2367" s="23" t="s">
        <v>46</v>
      </c>
      <c r="AS2367" s="25">
        <v>6059422</v>
      </c>
      <c r="AT2367" t="s">
        <v>26</v>
      </c>
      <c r="AU2367" t="s">
        <v>25334</v>
      </c>
    </row>
    <row r="2368" spans="1:47" ht="13.15" x14ac:dyDescent="0.4">
      <c r="A2368" s="23" t="s">
        <v>6207</v>
      </c>
      <c r="B2368" t="s">
        <v>26</v>
      </c>
      <c r="C2368" s="23" t="s">
        <v>146</v>
      </c>
      <c r="D2368" s="23" t="s">
        <v>22174</v>
      </c>
      <c r="E2368" s="23" t="s">
        <v>60</v>
      </c>
      <c r="F2368" t="s">
        <v>26</v>
      </c>
      <c r="G2368" t="s">
        <v>26</v>
      </c>
      <c r="H2368" t="s">
        <v>26</v>
      </c>
      <c r="I2368" t="s">
        <v>26</v>
      </c>
      <c r="J2368" t="s">
        <v>26</v>
      </c>
      <c r="K2368" t="s">
        <v>26</v>
      </c>
      <c r="L2368" s="25" t="s">
        <v>28</v>
      </c>
      <c r="M2368" t="s">
        <v>26</v>
      </c>
      <c r="N2368" t="s">
        <v>26</v>
      </c>
      <c r="O2368" t="s">
        <v>26</v>
      </c>
      <c r="P2368" t="s">
        <v>26</v>
      </c>
      <c r="Q2368" t="s">
        <v>26</v>
      </c>
      <c r="R2368" t="s">
        <v>26</v>
      </c>
      <c r="S2368" t="s">
        <v>26</v>
      </c>
      <c r="T2368" t="s">
        <v>26</v>
      </c>
      <c r="U2368" t="s">
        <v>26</v>
      </c>
      <c r="V2368" t="s">
        <v>26</v>
      </c>
      <c r="W2368" s="24">
        <v>41640</v>
      </c>
      <c r="X2368" s="24">
        <v>41640</v>
      </c>
      <c r="Y2368" t="s">
        <v>26</v>
      </c>
      <c r="Z2368" s="24">
        <v>41640</v>
      </c>
      <c r="AA2368" s="24">
        <v>41640</v>
      </c>
      <c r="AB2368" t="s">
        <v>26</v>
      </c>
      <c r="AC2368" t="s">
        <v>26</v>
      </c>
      <c r="AD2368" t="s">
        <v>26</v>
      </c>
      <c r="AE2368" t="s">
        <v>26</v>
      </c>
      <c r="AF2368" t="s">
        <v>26</v>
      </c>
      <c r="AG2368" t="s">
        <v>26</v>
      </c>
      <c r="AH2368" t="s">
        <v>26</v>
      </c>
      <c r="AI2368" t="s">
        <v>26</v>
      </c>
      <c r="AJ2368" t="s">
        <v>26</v>
      </c>
      <c r="AK2368" t="s">
        <v>26</v>
      </c>
      <c r="AL2368" t="s">
        <v>26</v>
      </c>
      <c r="AM2368" t="s">
        <v>26</v>
      </c>
      <c r="AN2368" t="s">
        <v>26</v>
      </c>
      <c r="AO2368" s="25" t="s">
        <v>28</v>
      </c>
      <c r="AP2368" s="23" t="s">
        <v>29</v>
      </c>
      <c r="AQ2368" s="23" t="s">
        <v>30</v>
      </c>
      <c r="AR2368" s="23" t="s">
        <v>44</v>
      </c>
      <c r="AS2368" s="25">
        <v>5488577</v>
      </c>
      <c r="AT2368" s="23" t="s">
        <v>22181</v>
      </c>
      <c r="AU2368" t="s">
        <v>25335</v>
      </c>
    </row>
    <row r="2369" spans="1:47" ht="26.25" x14ac:dyDescent="0.4">
      <c r="A2369" s="23" t="s">
        <v>6208</v>
      </c>
      <c r="B2369" t="s">
        <v>26</v>
      </c>
      <c r="C2369" s="23" t="s">
        <v>627</v>
      </c>
      <c r="D2369" s="23" t="s">
        <v>22263</v>
      </c>
      <c r="E2369" s="23" t="s">
        <v>187</v>
      </c>
      <c r="F2369" s="25" t="s">
        <v>6209</v>
      </c>
      <c r="G2369" s="25" t="s">
        <v>6210</v>
      </c>
      <c r="H2369" t="s">
        <v>26</v>
      </c>
      <c r="I2369" s="24">
        <v>39448</v>
      </c>
      <c r="J2369" s="25" t="s">
        <v>77</v>
      </c>
      <c r="K2369" t="s">
        <v>26</v>
      </c>
      <c r="L2369" s="25" t="s">
        <v>68</v>
      </c>
      <c r="M2369" t="s">
        <v>26</v>
      </c>
      <c r="N2369" t="s">
        <v>26</v>
      </c>
      <c r="O2369" t="s">
        <v>26</v>
      </c>
      <c r="P2369" s="24">
        <v>39448</v>
      </c>
      <c r="Q2369" s="25" t="s">
        <v>77</v>
      </c>
      <c r="R2369" t="s">
        <v>26</v>
      </c>
      <c r="S2369" t="s">
        <v>26</v>
      </c>
      <c r="T2369" t="s">
        <v>26</v>
      </c>
      <c r="U2369" t="s">
        <v>26</v>
      </c>
      <c r="V2369" t="s">
        <v>26</v>
      </c>
      <c r="W2369" s="24">
        <v>39448</v>
      </c>
      <c r="X2369" s="25" t="s">
        <v>77</v>
      </c>
      <c r="Y2369" t="s">
        <v>26</v>
      </c>
      <c r="Z2369" s="24">
        <v>39448</v>
      </c>
      <c r="AA2369" s="25" t="s">
        <v>77</v>
      </c>
      <c r="AB2369" t="s">
        <v>26</v>
      </c>
      <c r="AC2369" s="24">
        <v>39448</v>
      </c>
      <c r="AD2369" s="25" t="s">
        <v>77</v>
      </c>
      <c r="AE2369" t="s">
        <v>26</v>
      </c>
      <c r="AF2369" t="s">
        <v>26</v>
      </c>
      <c r="AG2369" t="s">
        <v>26</v>
      </c>
      <c r="AH2369" t="s">
        <v>26</v>
      </c>
      <c r="AI2369" t="s">
        <v>26</v>
      </c>
      <c r="AJ2369" t="s">
        <v>26</v>
      </c>
      <c r="AK2369" t="s">
        <v>26</v>
      </c>
      <c r="AL2369" t="s">
        <v>26</v>
      </c>
      <c r="AM2369" t="s">
        <v>26</v>
      </c>
      <c r="AN2369" t="s">
        <v>26</v>
      </c>
      <c r="AO2369" s="25" t="s">
        <v>68</v>
      </c>
      <c r="AP2369" s="23" t="s">
        <v>69</v>
      </c>
      <c r="AQ2369" s="23" t="s">
        <v>30</v>
      </c>
      <c r="AR2369" s="23" t="s">
        <v>46</v>
      </c>
      <c r="AS2369" s="25">
        <v>2026616</v>
      </c>
      <c r="AT2369" t="s">
        <v>26</v>
      </c>
      <c r="AU2369" t="s">
        <v>25336</v>
      </c>
    </row>
    <row r="2370" spans="1:47" ht="26.25" x14ac:dyDescent="0.4">
      <c r="A2370" s="23" t="s">
        <v>6211</v>
      </c>
      <c r="B2370" t="s">
        <v>26</v>
      </c>
      <c r="C2370" s="23" t="s">
        <v>465</v>
      </c>
      <c r="D2370" s="23" t="s">
        <v>22254</v>
      </c>
      <c r="E2370" s="23" t="s">
        <v>42</v>
      </c>
      <c r="F2370" s="25" t="s">
        <v>6212</v>
      </c>
      <c r="G2370" s="25" t="s">
        <v>6213</v>
      </c>
      <c r="H2370" t="s">
        <v>26</v>
      </c>
      <c r="I2370" t="s">
        <v>26</v>
      </c>
      <c r="J2370" t="s">
        <v>26</v>
      </c>
      <c r="K2370" t="s">
        <v>26</v>
      </c>
      <c r="L2370" s="25" t="s">
        <v>68</v>
      </c>
      <c r="M2370" t="s">
        <v>26</v>
      </c>
      <c r="N2370" t="s">
        <v>26</v>
      </c>
      <c r="O2370" t="s">
        <v>26</v>
      </c>
      <c r="P2370" t="s">
        <v>26</v>
      </c>
      <c r="Q2370" t="s">
        <v>26</v>
      </c>
      <c r="R2370" t="s">
        <v>26</v>
      </c>
      <c r="S2370" t="s">
        <v>26</v>
      </c>
      <c r="T2370" t="s">
        <v>26</v>
      </c>
      <c r="U2370" t="s">
        <v>26</v>
      </c>
      <c r="V2370" t="s">
        <v>26</v>
      </c>
      <c r="W2370" s="24">
        <v>38353</v>
      </c>
      <c r="X2370" s="25" t="s">
        <v>77</v>
      </c>
      <c r="Y2370" t="s">
        <v>26</v>
      </c>
      <c r="Z2370" s="24">
        <v>38353</v>
      </c>
      <c r="AA2370" s="25" t="s">
        <v>77</v>
      </c>
      <c r="AB2370" t="s">
        <v>26</v>
      </c>
      <c r="AC2370" s="24">
        <v>38353</v>
      </c>
      <c r="AD2370" s="25" t="s">
        <v>77</v>
      </c>
      <c r="AE2370" t="s">
        <v>26</v>
      </c>
      <c r="AF2370" t="s">
        <v>26</v>
      </c>
      <c r="AG2370" t="s">
        <v>26</v>
      </c>
      <c r="AH2370" t="s">
        <v>26</v>
      </c>
      <c r="AI2370" t="s">
        <v>26</v>
      </c>
      <c r="AJ2370" t="s">
        <v>26</v>
      </c>
      <c r="AK2370" t="s">
        <v>26</v>
      </c>
      <c r="AL2370" t="s">
        <v>26</v>
      </c>
      <c r="AM2370" t="s">
        <v>26</v>
      </c>
      <c r="AN2370" t="s">
        <v>26</v>
      </c>
      <c r="AO2370" s="25" t="s">
        <v>68</v>
      </c>
      <c r="AP2370" s="23" t="s">
        <v>69</v>
      </c>
      <c r="AQ2370" s="23" t="s">
        <v>30</v>
      </c>
      <c r="AR2370" s="23" t="s">
        <v>46</v>
      </c>
      <c r="AS2370" s="25">
        <v>27868</v>
      </c>
      <c r="AT2370" t="s">
        <v>26</v>
      </c>
      <c r="AU2370" t="s">
        <v>25337</v>
      </c>
    </row>
    <row r="2371" spans="1:47" ht="26.25" x14ac:dyDescent="0.4">
      <c r="A2371" s="23" t="s">
        <v>6214</v>
      </c>
      <c r="B2371" t="s">
        <v>26</v>
      </c>
      <c r="C2371" s="23" t="s">
        <v>465</v>
      </c>
      <c r="D2371" s="23" t="s">
        <v>22254</v>
      </c>
      <c r="E2371" s="23" t="s">
        <v>42</v>
      </c>
      <c r="F2371" s="25" t="s">
        <v>6215</v>
      </c>
      <c r="G2371" s="25" t="s">
        <v>6216</v>
      </c>
      <c r="H2371" t="s">
        <v>26</v>
      </c>
      <c r="I2371" t="s">
        <v>26</v>
      </c>
      <c r="J2371" t="s">
        <v>26</v>
      </c>
      <c r="K2371" t="s">
        <v>26</v>
      </c>
      <c r="L2371" s="25" t="s">
        <v>68</v>
      </c>
      <c r="M2371" t="s">
        <v>26</v>
      </c>
      <c r="N2371" t="s">
        <v>26</v>
      </c>
      <c r="O2371" t="s">
        <v>26</v>
      </c>
      <c r="P2371" t="s">
        <v>26</v>
      </c>
      <c r="Q2371" t="s">
        <v>26</v>
      </c>
      <c r="R2371" t="s">
        <v>26</v>
      </c>
      <c r="S2371" t="s">
        <v>26</v>
      </c>
      <c r="T2371" t="s">
        <v>26</v>
      </c>
      <c r="U2371" t="s">
        <v>26</v>
      </c>
      <c r="V2371" t="s">
        <v>26</v>
      </c>
      <c r="W2371" s="24">
        <v>41821</v>
      </c>
      <c r="X2371" s="25" t="s">
        <v>77</v>
      </c>
      <c r="Y2371" t="s">
        <v>26</v>
      </c>
      <c r="Z2371" s="24">
        <v>41821</v>
      </c>
      <c r="AA2371" s="25" t="s">
        <v>77</v>
      </c>
      <c r="AB2371" t="s">
        <v>26</v>
      </c>
      <c r="AC2371" s="24">
        <v>41821</v>
      </c>
      <c r="AD2371" s="25" t="s">
        <v>77</v>
      </c>
      <c r="AE2371" t="s">
        <v>26</v>
      </c>
      <c r="AF2371" t="s">
        <v>26</v>
      </c>
      <c r="AG2371" t="s">
        <v>26</v>
      </c>
      <c r="AH2371" t="s">
        <v>26</v>
      </c>
      <c r="AI2371" t="s">
        <v>26</v>
      </c>
      <c r="AJ2371" t="s">
        <v>26</v>
      </c>
      <c r="AK2371" t="s">
        <v>26</v>
      </c>
      <c r="AL2371" t="s">
        <v>26</v>
      </c>
      <c r="AM2371" t="s">
        <v>26</v>
      </c>
      <c r="AN2371" t="s">
        <v>26</v>
      </c>
      <c r="AO2371" s="25" t="s">
        <v>28</v>
      </c>
      <c r="AP2371" s="23" t="s">
        <v>69</v>
      </c>
      <c r="AQ2371" s="23" t="s">
        <v>30</v>
      </c>
      <c r="AR2371" s="23" t="s">
        <v>6217</v>
      </c>
      <c r="AS2371" s="25">
        <v>2032991</v>
      </c>
      <c r="AT2371" t="s">
        <v>26</v>
      </c>
      <c r="AU2371" t="s">
        <v>25338</v>
      </c>
    </row>
    <row r="2372" spans="1:47" ht="26.25" x14ac:dyDescent="0.4">
      <c r="A2372" s="23" t="s">
        <v>6218</v>
      </c>
      <c r="B2372" t="s">
        <v>26</v>
      </c>
      <c r="C2372" s="23" t="s">
        <v>181</v>
      </c>
      <c r="D2372" s="23" t="s">
        <v>25339</v>
      </c>
      <c r="E2372" s="23" t="s">
        <v>60</v>
      </c>
      <c r="F2372" s="25" t="s">
        <v>6219</v>
      </c>
      <c r="G2372" s="25" t="s">
        <v>6220</v>
      </c>
      <c r="H2372" t="s">
        <v>26</v>
      </c>
      <c r="I2372" s="24">
        <v>35065</v>
      </c>
      <c r="J2372" s="24">
        <v>38991</v>
      </c>
      <c r="K2372" t="s">
        <v>26</v>
      </c>
      <c r="L2372" s="25" t="s">
        <v>68</v>
      </c>
      <c r="M2372" s="24">
        <v>35065</v>
      </c>
      <c r="N2372" s="24">
        <v>38991</v>
      </c>
      <c r="O2372" t="s">
        <v>26</v>
      </c>
      <c r="P2372" t="s">
        <v>26</v>
      </c>
      <c r="Q2372" t="s">
        <v>26</v>
      </c>
      <c r="R2372" t="s">
        <v>26</v>
      </c>
      <c r="S2372" t="s">
        <v>26</v>
      </c>
      <c r="T2372" t="s">
        <v>26</v>
      </c>
      <c r="U2372" t="s">
        <v>26</v>
      </c>
      <c r="V2372" t="s">
        <v>26</v>
      </c>
      <c r="W2372" s="24">
        <v>32874</v>
      </c>
      <c r="X2372" s="24">
        <v>42979</v>
      </c>
      <c r="Y2372" t="s">
        <v>26</v>
      </c>
      <c r="Z2372" s="24">
        <v>32874</v>
      </c>
      <c r="AA2372" s="24">
        <v>42979</v>
      </c>
      <c r="AB2372" t="s">
        <v>26</v>
      </c>
      <c r="AC2372" s="24">
        <v>35065</v>
      </c>
      <c r="AD2372" s="24">
        <v>42979</v>
      </c>
      <c r="AE2372" t="s">
        <v>26</v>
      </c>
      <c r="AF2372" t="s">
        <v>26</v>
      </c>
      <c r="AG2372" t="s">
        <v>26</v>
      </c>
      <c r="AH2372" t="s">
        <v>26</v>
      </c>
      <c r="AI2372" t="s">
        <v>26</v>
      </c>
      <c r="AJ2372" t="s">
        <v>26</v>
      </c>
      <c r="AK2372" t="s">
        <v>26</v>
      </c>
      <c r="AL2372" t="s">
        <v>26</v>
      </c>
      <c r="AM2372" t="s">
        <v>26</v>
      </c>
      <c r="AN2372" t="s">
        <v>26</v>
      </c>
      <c r="AO2372" s="25" t="s">
        <v>68</v>
      </c>
      <c r="AP2372" s="23" t="s">
        <v>69</v>
      </c>
      <c r="AQ2372" s="23" t="s">
        <v>30</v>
      </c>
      <c r="AR2372" s="23" t="s">
        <v>6221</v>
      </c>
      <c r="AS2372" s="25">
        <v>10885</v>
      </c>
      <c r="AT2372" t="s">
        <v>26</v>
      </c>
      <c r="AU2372" t="s">
        <v>25340</v>
      </c>
    </row>
    <row r="2373" spans="1:47" ht="13.15" x14ac:dyDescent="0.4">
      <c r="A2373" s="23" t="s">
        <v>6222</v>
      </c>
      <c r="B2373" t="s">
        <v>26</v>
      </c>
      <c r="C2373" s="23" t="s">
        <v>1076</v>
      </c>
      <c r="D2373" s="23" t="s">
        <v>22605</v>
      </c>
      <c r="E2373" s="23" t="s">
        <v>42</v>
      </c>
      <c r="F2373" t="s">
        <v>26</v>
      </c>
      <c r="G2373" t="s">
        <v>26</v>
      </c>
      <c r="H2373" t="s">
        <v>26</v>
      </c>
      <c r="I2373" t="s">
        <v>26</v>
      </c>
      <c r="J2373" t="s">
        <v>26</v>
      </c>
      <c r="K2373" t="s">
        <v>26</v>
      </c>
      <c r="L2373" s="25" t="s">
        <v>28</v>
      </c>
      <c r="M2373" t="s">
        <v>26</v>
      </c>
      <c r="N2373" t="s">
        <v>26</v>
      </c>
      <c r="O2373" t="s">
        <v>26</v>
      </c>
      <c r="P2373" t="s">
        <v>26</v>
      </c>
      <c r="Q2373" t="s">
        <v>26</v>
      </c>
      <c r="R2373" t="s">
        <v>26</v>
      </c>
      <c r="S2373" t="s">
        <v>26</v>
      </c>
      <c r="T2373" t="s">
        <v>26</v>
      </c>
      <c r="U2373" t="s">
        <v>26</v>
      </c>
      <c r="V2373" t="s">
        <v>26</v>
      </c>
      <c r="W2373" s="24">
        <v>40179</v>
      </c>
      <c r="X2373" s="24">
        <v>40179</v>
      </c>
      <c r="Y2373" t="s">
        <v>26</v>
      </c>
      <c r="Z2373" s="24">
        <v>40179</v>
      </c>
      <c r="AA2373" s="24">
        <v>40179</v>
      </c>
      <c r="AB2373" t="s">
        <v>26</v>
      </c>
      <c r="AC2373" t="s">
        <v>26</v>
      </c>
      <c r="AD2373" t="s">
        <v>26</v>
      </c>
      <c r="AE2373" t="s">
        <v>26</v>
      </c>
      <c r="AF2373" t="s">
        <v>26</v>
      </c>
      <c r="AG2373" t="s">
        <v>26</v>
      </c>
      <c r="AH2373" t="s">
        <v>26</v>
      </c>
      <c r="AI2373" t="s">
        <v>26</v>
      </c>
      <c r="AJ2373" t="s">
        <v>26</v>
      </c>
      <c r="AK2373" t="s">
        <v>26</v>
      </c>
      <c r="AL2373" t="s">
        <v>26</v>
      </c>
      <c r="AM2373" t="s">
        <v>26</v>
      </c>
      <c r="AN2373" t="s">
        <v>26</v>
      </c>
      <c r="AO2373" s="25" t="s">
        <v>28</v>
      </c>
      <c r="AP2373" s="23" t="s">
        <v>29</v>
      </c>
      <c r="AQ2373" s="23" t="s">
        <v>30</v>
      </c>
      <c r="AR2373" s="23" t="s">
        <v>44</v>
      </c>
      <c r="AS2373" s="25">
        <v>5488579</v>
      </c>
      <c r="AT2373" s="23" t="s">
        <v>22181</v>
      </c>
      <c r="AU2373" t="s">
        <v>25341</v>
      </c>
    </row>
    <row r="2374" spans="1:47" ht="26.25" x14ac:dyDescent="0.4">
      <c r="A2374" s="23" t="s">
        <v>6223</v>
      </c>
      <c r="B2374" t="s">
        <v>26</v>
      </c>
      <c r="C2374" s="23" t="s">
        <v>465</v>
      </c>
      <c r="D2374" s="23" t="s">
        <v>22254</v>
      </c>
      <c r="E2374" s="23" t="s">
        <v>42</v>
      </c>
      <c r="F2374" s="25" t="s">
        <v>6224</v>
      </c>
      <c r="G2374" s="25" t="s">
        <v>6225</v>
      </c>
      <c r="H2374" t="s">
        <v>26</v>
      </c>
      <c r="I2374" t="s">
        <v>26</v>
      </c>
      <c r="J2374" t="s">
        <v>26</v>
      </c>
      <c r="K2374" t="s">
        <v>26</v>
      </c>
      <c r="L2374" s="25" t="s">
        <v>68</v>
      </c>
      <c r="M2374" t="s">
        <v>26</v>
      </c>
      <c r="N2374" t="s">
        <v>26</v>
      </c>
      <c r="O2374" t="s">
        <v>26</v>
      </c>
      <c r="P2374" t="s">
        <v>26</v>
      </c>
      <c r="Q2374" t="s">
        <v>26</v>
      </c>
      <c r="R2374" t="s">
        <v>26</v>
      </c>
      <c r="S2374" t="s">
        <v>26</v>
      </c>
      <c r="T2374" t="s">
        <v>26</v>
      </c>
      <c r="U2374" t="s">
        <v>26</v>
      </c>
      <c r="V2374" t="s">
        <v>26</v>
      </c>
      <c r="W2374" s="24">
        <v>42401</v>
      </c>
      <c r="X2374" s="25" t="s">
        <v>77</v>
      </c>
      <c r="Y2374" t="s">
        <v>26</v>
      </c>
      <c r="Z2374" s="24">
        <v>42401</v>
      </c>
      <c r="AA2374" s="25" t="s">
        <v>77</v>
      </c>
      <c r="AB2374" t="s">
        <v>26</v>
      </c>
      <c r="AC2374" s="24">
        <v>42401</v>
      </c>
      <c r="AD2374" s="25" t="s">
        <v>77</v>
      </c>
      <c r="AE2374" t="s">
        <v>26</v>
      </c>
      <c r="AF2374" t="s">
        <v>26</v>
      </c>
      <c r="AG2374" t="s">
        <v>26</v>
      </c>
      <c r="AH2374" t="s">
        <v>26</v>
      </c>
      <c r="AI2374" t="s">
        <v>26</v>
      </c>
      <c r="AJ2374" t="s">
        <v>26</v>
      </c>
      <c r="AK2374" t="s">
        <v>26</v>
      </c>
      <c r="AL2374" t="s">
        <v>26</v>
      </c>
      <c r="AM2374" t="s">
        <v>26</v>
      </c>
      <c r="AN2374" t="s">
        <v>26</v>
      </c>
      <c r="AO2374" s="25" t="s">
        <v>68</v>
      </c>
      <c r="AP2374" s="23" t="s">
        <v>69</v>
      </c>
      <c r="AQ2374" s="23" t="s">
        <v>30</v>
      </c>
      <c r="AR2374" s="23" t="s">
        <v>3141</v>
      </c>
      <c r="AS2374" s="25">
        <v>2042068</v>
      </c>
      <c r="AT2374" t="s">
        <v>26</v>
      </c>
      <c r="AU2374" t="s">
        <v>25342</v>
      </c>
    </row>
    <row r="2375" spans="1:47" ht="26.25" x14ac:dyDescent="0.4">
      <c r="A2375" s="23" t="s">
        <v>6226</v>
      </c>
      <c r="B2375" t="s">
        <v>26</v>
      </c>
      <c r="C2375" s="23" t="s">
        <v>73</v>
      </c>
      <c r="D2375" s="23" t="s">
        <v>22215</v>
      </c>
      <c r="E2375" s="23" t="s">
        <v>74</v>
      </c>
      <c r="F2375" t="s">
        <v>26</v>
      </c>
      <c r="G2375" s="25" t="s">
        <v>6227</v>
      </c>
      <c r="H2375" t="s">
        <v>26</v>
      </c>
      <c r="I2375" s="24">
        <v>40817</v>
      </c>
      <c r="J2375" s="24">
        <v>42675</v>
      </c>
      <c r="K2375" t="s">
        <v>26</v>
      </c>
      <c r="L2375" s="25" t="s">
        <v>68</v>
      </c>
      <c r="M2375" t="s">
        <v>26</v>
      </c>
      <c r="N2375" t="s">
        <v>26</v>
      </c>
      <c r="O2375" t="s">
        <v>26</v>
      </c>
      <c r="P2375" s="24">
        <v>40817</v>
      </c>
      <c r="Q2375" s="24">
        <v>42675</v>
      </c>
      <c r="R2375" t="s">
        <v>26</v>
      </c>
      <c r="S2375" t="s">
        <v>26</v>
      </c>
      <c r="T2375" t="s">
        <v>26</v>
      </c>
      <c r="U2375" t="s">
        <v>26</v>
      </c>
      <c r="V2375" t="s">
        <v>26</v>
      </c>
      <c r="W2375" s="24">
        <v>40817</v>
      </c>
      <c r="X2375" s="24">
        <v>42675</v>
      </c>
      <c r="Y2375" t="s">
        <v>26</v>
      </c>
      <c r="Z2375" s="24">
        <v>40817</v>
      </c>
      <c r="AA2375" s="24">
        <v>42675</v>
      </c>
      <c r="AB2375" t="s">
        <v>26</v>
      </c>
      <c r="AC2375" s="24">
        <v>40817</v>
      </c>
      <c r="AD2375" s="24">
        <v>42675</v>
      </c>
      <c r="AE2375" t="s">
        <v>26</v>
      </c>
      <c r="AF2375" t="s">
        <v>26</v>
      </c>
      <c r="AG2375" t="s">
        <v>26</v>
      </c>
      <c r="AH2375" t="s">
        <v>26</v>
      </c>
      <c r="AI2375" t="s">
        <v>26</v>
      </c>
      <c r="AJ2375" t="s">
        <v>26</v>
      </c>
      <c r="AK2375" t="s">
        <v>26</v>
      </c>
      <c r="AL2375" t="s">
        <v>26</v>
      </c>
      <c r="AM2375" t="s">
        <v>26</v>
      </c>
      <c r="AN2375" t="s">
        <v>26</v>
      </c>
      <c r="AO2375" s="25" t="s">
        <v>68</v>
      </c>
      <c r="AP2375" s="23" t="s">
        <v>69</v>
      </c>
      <c r="AQ2375" s="23" t="s">
        <v>30</v>
      </c>
      <c r="AR2375" s="23" t="s">
        <v>46</v>
      </c>
      <c r="AS2375" s="25">
        <v>2034671</v>
      </c>
      <c r="AT2375" t="s">
        <v>26</v>
      </c>
      <c r="AU2375" t="s">
        <v>25343</v>
      </c>
    </row>
    <row r="2376" spans="1:47" ht="26.25" x14ac:dyDescent="0.4">
      <c r="A2376" s="23" t="s">
        <v>6228</v>
      </c>
      <c r="B2376" t="s">
        <v>26</v>
      </c>
      <c r="C2376" s="23" t="s">
        <v>107</v>
      </c>
      <c r="D2376" s="23" t="s">
        <v>22218</v>
      </c>
      <c r="E2376" s="23" t="s">
        <v>42</v>
      </c>
      <c r="F2376" s="25" t="s">
        <v>6229</v>
      </c>
      <c r="G2376" s="25" t="s">
        <v>6230</v>
      </c>
      <c r="H2376" t="s">
        <v>26</v>
      </c>
      <c r="I2376" t="s">
        <v>26</v>
      </c>
      <c r="J2376" t="s">
        <v>26</v>
      </c>
      <c r="K2376" t="s">
        <v>26</v>
      </c>
      <c r="L2376" s="25" t="s">
        <v>68</v>
      </c>
      <c r="M2376" t="s">
        <v>26</v>
      </c>
      <c r="N2376" t="s">
        <v>26</v>
      </c>
      <c r="O2376" t="s">
        <v>26</v>
      </c>
      <c r="P2376" t="s">
        <v>26</v>
      </c>
      <c r="Q2376" t="s">
        <v>26</v>
      </c>
      <c r="R2376" t="s">
        <v>26</v>
      </c>
      <c r="S2376" t="s">
        <v>26</v>
      </c>
      <c r="T2376" t="s">
        <v>26</v>
      </c>
      <c r="U2376" t="s">
        <v>26</v>
      </c>
      <c r="V2376" t="s">
        <v>26</v>
      </c>
      <c r="W2376" s="24">
        <v>28004</v>
      </c>
      <c r="X2376" s="25" t="s">
        <v>77</v>
      </c>
      <c r="Y2376" s="25" t="s">
        <v>6231</v>
      </c>
      <c r="Z2376" s="24">
        <v>28004</v>
      </c>
      <c r="AA2376" s="25" t="s">
        <v>77</v>
      </c>
      <c r="AB2376" s="25" t="s">
        <v>6231</v>
      </c>
      <c r="AC2376" s="24">
        <v>28004</v>
      </c>
      <c r="AD2376" s="25" t="s">
        <v>77</v>
      </c>
      <c r="AE2376" s="25" t="s">
        <v>6231</v>
      </c>
      <c r="AF2376" t="s">
        <v>26</v>
      </c>
      <c r="AG2376" t="s">
        <v>26</v>
      </c>
      <c r="AH2376" t="s">
        <v>26</v>
      </c>
      <c r="AI2376" t="s">
        <v>26</v>
      </c>
      <c r="AJ2376" t="s">
        <v>26</v>
      </c>
      <c r="AK2376" t="s">
        <v>26</v>
      </c>
      <c r="AL2376" t="s">
        <v>26</v>
      </c>
      <c r="AM2376" t="s">
        <v>26</v>
      </c>
      <c r="AN2376" t="s">
        <v>26</v>
      </c>
      <c r="AO2376" s="25" t="s">
        <v>68</v>
      </c>
      <c r="AP2376" s="23" t="s">
        <v>69</v>
      </c>
      <c r="AQ2376" s="23" t="s">
        <v>30</v>
      </c>
      <c r="AR2376" s="23" t="s">
        <v>6232</v>
      </c>
      <c r="AS2376" s="25">
        <v>48686</v>
      </c>
      <c r="AT2376" t="s">
        <v>26</v>
      </c>
      <c r="AU2376" t="s">
        <v>25344</v>
      </c>
    </row>
    <row r="2377" spans="1:47" ht="26.25" x14ac:dyDescent="0.4">
      <c r="A2377" s="23" t="s">
        <v>6233</v>
      </c>
      <c r="B2377" t="s">
        <v>26</v>
      </c>
      <c r="C2377" s="23" t="s">
        <v>6234</v>
      </c>
      <c r="D2377" s="23" t="s">
        <v>25345</v>
      </c>
      <c r="E2377" s="23" t="s">
        <v>139</v>
      </c>
      <c r="F2377" t="s">
        <v>26</v>
      </c>
      <c r="G2377" s="25" t="s">
        <v>6235</v>
      </c>
      <c r="H2377" t="s">
        <v>26</v>
      </c>
      <c r="I2377" s="24">
        <v>41030</v>
      </c>
      <c r="J2377" s="24">
        <v>43466</v>
      </c>
      <c r="K2377" t="s">
        <v>26</v>
      </c>
      <c r="L2377" s="25" t="s">
        <v>68</v>
      </c>
      <c r="M2377" s="24">
        <v>41030</v>
      </c>
      <c r="N2377" s="24">
        <v>43466</v>
      </c>
      <c r="O2377" t="s">
        <v>26</v>
      </c>
      <c r="P2377" s="24">
        <v>41030</v>
      </c>
      <c r="Q2377" s="24">
        <v>43466</v>
      </c>
      <c r="R2377" t="s">
        <v>26</v>
      </c>
      <c r="S2377" t="s">
        <v>26</v>
      </c>
      <c r="T2377" t="s">
        <v>26</v>
      </c>
      <c r="U2377" t="s">
        <v>26</v>
      </c>
      <c r="V2377" t="s">
        <v>26</v>
      </c>
      <c r="W2377" s="24">
        <v>41030</v>
      </c>
      <c r="X2377" s="24">
        <v>43466</v>
      </c>
      <c r="Y2377" t="s">
        <v>26</v>
      </c>
      <c r="Z2377" s="24">
        <v>41030</v>
      </c>
      <c r="AA2377" s="24">
        <v>43466</v>
      </c>
      <c r="AB2377" t="s">
        <v>26</v>
      </c>
      <c r="AC2377" s="24">
        <v>41030</v>
      </c>
      <c r="AD2377" s="24">
        <v>43466</v>
      </c>
      <c r="AE2377" t="s">
        <v>26</v>
      </c>
      <c r="AF2377" t="s">
        <v>26</v>
      </c>
      <c r="AG2377" t="s">
        <v>26</v>
      </c>
      <c r="AH2377" t="s">
        <v>26</v>
      </c>
      <c r="AI2377" t="s">
        <v>26</v>
      </c>
      <c r="AJ2377" t="s">
        <v>26</v>
      </c>
      <c r="AK2377" t="s">
        <v>26</v>
      </c>
      <c r="AL2377" t="s">
        <v>26</v>
      </c>
      <c r="AM2377" t="s">
        <v>26</v>
      </c>
      <c r="AN2377" t="s">
        <v>26</v>
      </c>
      <c r="AO2377" s="25" t="s">
        <v>68</v>
      </c>
      <c r="AP2377" s="23" t="s">
        <v>69</v>
      </c>
      <c r="AQ2377" s="23" t="s">
        <v>876</v>
      </c>
      <c r="AR2377" s="23" t="s">
        <v>46</v>
      </c>
      <c r="AS2377" s="25">
        <v>2029826</v>
      </c>
      <c r="AT2377" t="s">
        <v>26</v>
      </c>
      <c r="AU2377" t="s">
        <v>25346</v>
      </c>
    </row>
    <row r="2378" spans="1:47" ht="26.25" x14ac:dyDescent="0.4">
      <c r="A2378" s="23" t="s">
        <v>6236</v>
      </c>
      <c r="B2378" t="s">
        <v>26</v>
      </c>
      <c r="C2378" s="23" t="s">
        <v>80</v>
      </c>
      <c r="D2378" s="23" t="s">
        <v>22184</v>
      </c>
      <c r="E2378" s="23" t="s">
        <v>60</v>
      </c>
      <c r="F2378" s="25" t="s">
        <v>6237</v>
      </c>
      <c r="G2378" s="25" t="s">
        <v>6238</v>
      </c>
      <c r="H2378" t="s">
        <v>26</v>
      </c>
      <c r="I2378" t="s">
        <v>26</v>
      </c>
      <c r="J2378" t="s">
        <v>26</v>
      </c>
      <c r="K2378" t="s">
        <v>26</v>
      </c>
      <c r="L2378" s="25" t="s">
        <v>68</v>
      </c>
      <c r="M2378" t="s">
        <v>26</v>
      </c>
      <c r="N2378" t="s">
        <v>26</v>
      </c>
      <c r="O2378" t="s">
        <v>26</v>
      </c>
      <c r="P2378" t="s">
        <v>26</v>
      </c>
      <c r="Q2378" t="s">
        <v>26</v>
      </c>
      <c r="R2378" t="s">
        <v>26</v>
      </c>
      <c r="S2378" t="s">
        <v>26</v>
      </c>
      <c r="T2378" t="s">
        <v>26</v>
      </c>
      <c r="U2378" t="s">
        <v>26</v>
      </c>
      <c r="V2378" t="s">
        <v>26</v>
      </c>
      <c r="W2378" s="24">
        <v>40179</v>
      </c>
      <c r="X2378" s="25" t="s">
        <v>77</v>
      </c>
      <c r="Y2378" t="s">
        <v>26</v>
      </c>
      <c r="Z2378" s="24">
        <v>40179</v>
      </c>
      <c r="AA2378" s="25" t="s">
        <v>77</v>
      </c>
      <c r="AB2378" t="s">
        <v>26</v>
      </c>
      <c r="AC2378" s="24">
        <v>40179</v>
      </c>
      <c r="AD2378" s="25" t="s">
        <v>77</v>
      </c>
      <c r="AE2378" t="s">
        <v>26</v>
      </c>
      <c r="AF2378" t="s">
        <v>26</v>
      </c>
      <c r="AG2378" t="s">
        <v>26</v>
      </c>
      <c r="AH2378" t="s">
        <v>26</v>
      </c>
      <c r="AI2378" t="s">
        <v>26</v>
      </c>
      <c r="AJ2378" t="s">
        <v>26</v>
      </c>
      <c r="AK2378" t="s">
        <v>26</v>
      </c>
      <c r="AL2378" t="s">
        <v>26</v>
      </c>
      <c r="AM2378" t="s">
        <v>26</v>
      </c>
      <c r="AN2378" t="s">
        <v>26</v>
      </c>
      <c r="AO2378" s="25" t="s">
        <v>68</v>
      </c>
      <c r="AP2378" s="23" t="s">
        <v>69</v>
      </c>
      <c r="AQ2378" s="23" t="s">
        <v>30</v>
      </c>
      <c r="AR2378" s="23" t="s">
        <v>6239</v>
      </c>
      <c r="AS2378" s="25">
        <v>196138</v>
      </c>
      <c r="AT2378" t="s">
        <v>26</v>
      </c>
      <c r="AU2378" t="s">
        <v>25347</v>
      </c>
    </row>
    <row r="2379" spans="1:47" ht="26.25" x14ac:dyDescent="0.4">
      <c r="A2379" s="23" t="s">
        <v>6240</v>
      </c>
      <c r="B2379" t="s">
        <v>26</v>
      </c>
      <c r="C2379" s="23" t="s">
        <v>80</v>
      </c>
      <c r="D2379" s="23" t="s">
        <v>22184</v>
      </c>
      <c r="E2379" s="23" t="s">
        <v>60</v>
      </c>
      <c r="F2379" s="25" t="s">
        <v>6241</v>
      </c>
      <c r="G2379" s="25" t="s">
        <v>6242</v>
      </c>
      <c r="H2379" t="s">
        <v>26</v>
      </c>
      <c r="I2379" s="24">
        <v>35916</v>
      </c>
      <c r="J2379" s="24">
        <v>36831</v>
      </c>
      <c r="K2379" t="s">
        <v>26</v>
      </c>
      <c r="L2379" s="25" t="s">
        <v>68</v>
      </c>
      <c r="M2379" s="24">
        <v>35916</v>
      </c>
      <c r="N2379" s="24">
        <v>36831</v>
      </c>
      <c r="O2379" t="s">
        <v>26</v>
      </c>
      <c r="P2379" s="24">
        <v>35916</v>
      </c>
      <c r="Q2379" s="24">
        <v>36831</v>
      </c>
      <c r="R2379" t="s">
        <v>26</v>
      </c>
      <c r="S2379" t="s">
        <v>26</v>
      </c>
      <c r="T2379" t="s">
        <v>26</v>
      </c>
      <c r="U2379" t="s">
        <v>26</v>
      </c>
      <c r="V2379" t="s">
        <v>26</v>
      </c>
      <c r="W2379" s="24">
        <v>35916</v>
      </c>
      <c r="X2379" s="24">
        <v>43862</v>
      </c>
      <c r="Y2379" s="25" t="s">
        <v>6243</v>
      </c>
      <c r="Z2379" s="24">
        <v>35916</v>
      </c>
      <c r="AA2379" s="24">
        <v>43862</v>
      </c>
      <c r="AB2379" s="25" t="s">
        <v>6243</v>
      </c>
      <c r="AC2379" s="24">
        <v>42278</v>
      </c>
      <c r="AD2379" s="24">
        <v>43862</v>
      </c>
      <c r="AE2379" s="25" t="s">
        <v>4562</v>
      </c>
      <c r="AF2379" t="s">
        <v>26</v>
      </c>
      <c r="AG2379" t="s">
        <v>26</v>
      </c>
      <c r="AH2379" t="s">
        <v>26</v>
      </c>
      <c r="AI2379" t="s">
        <v>26</v>
      </c>
      <c r="AJ2379" t="s">
        <v>26</v>
      </c>
      <c r="AK2379" t="s">
        <v>26</v>
      </c>
      <c r="AL2379" t="s">
        <v>26</v>
      </c>
      <c r="AM2379" t="s">
        <v>26</v>
      </c>
      <c r="AN2379" t="s">
        <v>26</v>
      </c>
      <c r="AO2379" s="25" t="s">
        <v>68</v>
      </c>
      <c r="AP2379" s="23" t="s">
        <v>69</v>
      </c>
      <c r="AQ2379" s="23" t="s">
        <v>30</v>
      </c>
      <c r="AR2379" s="23" t="s">
        <v>44</v>
      </c>
      <c r="AS2379" s="25">
        <v>33044</v>
      </c>
      <c r="AT2379" t="s">
        <v>26</v>
      </c>
      <c r="AU2379" t="s">
        <v>25348</v>
      </c>
    </row>
    <row r="2380" spans="1:47" ht="26.25" x14ac:dyDescent="0.4">
      <c r="A2380" s="23" t="s">
        <v>6240</v>
      </c>
      <c r="B2380" t="s">
        <v>26</v>
      </c>
      <c r="C2380" s="23" t="s">
        <v>80</v>
      </c>
      <c r="D2380" s="23" t="s">
        <v>22184</v>
      </c>
      <c r="E2380" s="23" t="s">
        <v>60</v>
      </c>
      <c r="F2380" s="25" t="s">
        <v>6241</v>
      </c>
      <c r="G2380" s="25" t="s">
        <v>6242</v>
      </c>
      <c r="H2380" t="s">
        <v>26</v>
      </c>
      <c r="I2380" t="s">
        <v>26</v>
      </c>
      <c r="J2380" t="s">
        <v>26</v>
      </c>
      <c r="K2380" t="s">
        <v>26</v>
      </c>
      <c r="L2380" s="25" t="s">
        <v>68</v>
      </c>
      <c r="M2380" t="s">
        <v>26</v>
      </c>
      <c r="N2380" t="s">
        <v>26</v>
      </c>
      <c r="O2380" t="s">
        <v>26</v>
      </c>
      <c r="P2380" t="s">
        <v>26</v>
      </c>
      <c r="Q2380" t="s">
        <v>26</v>
      </c>
      <c r="R2380" t="s">
        <v>26</v>
      </c>
      <c r="S2380" t="s">
        <v>26</v>
      </c>
      <c r="T2380" t="s">
        <v>26</v>
      </c>
      <c r="U2380" t="s">
        <v>26</v>
      </c>
      <c r="V2380" t="s">
        <v>26</v>
      </c>
      <c r="W2380" s="24">
        <v>42278</v>
      </c>
      <c r="X2380" s="25" t="s">
        <v>77</v>
      </c>
      <c r="Y2380" t="s">
        <v>26</v>
      </c>
      <c r="Z2380" s="24">
        <v>42278</v>
      </c>
      <c r="AA2380" s="25" t="s">
        <v>77</v>
      </c>
      <c r="AB2380" t="s">
        <v>26</v>
      </c>
      <c r="AC2380" s="24">
        <v>42278</v>
      </c>
      <c r="AD2380" s="25" t="s">
        <v>77</v>
      </c>
      <c r="AE2380" t="s">
        <v>26</v>
      </c>
      <c r="AF2380" t="s">
        <v>26</v>
      </c>
      <c r="AG2380" t="s">
        <v>26</v>
      </c>
      <c r="AH2380" t="s">
        <v>26</v>
      </c>
      <c r="AI2380" t="s">
        <v>26</v>
      </c>
      <c r="AJ2380" t="s">
        <v>26</v>
      </c>
      <c r="AK2380" t="s">
        <v>26</v>
      </c>
      <c r="AL2380" t="s">
        <v>26</v>
      </c>
      <c r="AM2380" t="s">
        <v>26</v>
      </c>
      <c r="AN2380" t="s">
        <v>26</v>
      </c>
      <c r="AO2380" s="25" t="s">
        <v>68</v>
      </c>
      <c r="AP2380" s="23" t="s">
        <v>69</v>
      </c>
      <c r="AQ2380" s="23" t="s">
        <v>30</v>
      </c>
      <c r="AR2380" s="23" t="s">
        <v>44</v>
      </c>
      <c r="AS2380" s="25">
        <v>2032989</v>
      </c>
      <c r="AT2380" t="s">
        <v>26</v>
      </c>
      <c r="AU2380" t="s">
        <v>25349</v>
      </c>
    </row>
    <row r="2381" spans="1:47" ht="26.25" x14ac:dyDescent="0.4">
      <c r="A2381" s="23" t="s">
        <v>6244</v>
      </c>
      <c r="B2381" t="s">
        <v>26</v>
      </c>
      <c r="C2381" s="23" t="s">
        <v>73</v>
      </c>
      <c r="D2381" s="23" t="s">
        <v>25350</v>
      </c>
      <c r="E2381" s="23" t="s">
        <v>74</v>
      </c>
      <c r="F2381" s="25" t="s">
        <v>6245</v>
      </c>
      <c r="G2381" s="25" t="s">
        <v>6246</v>
      </c>
      <c r="H2381" t="s">
        <v>26</v>
      </c>
      <c r="I2381" s="24">
        <v>36678</v>
      </c>
      <c r="J2381" s="25" t="s">
        <v>77</v>
      </c>
      <c r="K2381" s="25" t="s">
        <v>6247</v>
      </c>
      <c r="L2381" s="25" t="s">
        <v>68</v>
      </c>
      <c r="M2381" s="24">
        <v>38412</v>
      </c>
      <c r="N2381" s="24">
        <v>42795</v>
      </c>
      <c r="O2381" t="s">
        <v>26</v>
      </c>
      <c r="P2381" s="24">
        <v>36678</v>
      </c>
      <c r="Q2381" s="25" t="s">
        <v>77</v>
      </c>
      <c r="R2381" s="25" t="s">
        <v>6247</v>
      </c>
      <c r="S2381" t="s">
        <v>26</v>
      </c>
      <c r="T2381" t="s">
        <v>26</v>
      </c>
      <c r="U2381" t="s">
        <v>26</v>
      </c>
      <c r="V2381" s="25">
        <v>365</v>
      </c>
      <c r="W2381" s="24">
        <v>36678</v>
      </c>
      <c r="X2381" s="25" t="s">
        <v>77</v>
      </c>
      <c r="Y2381" s="25" t="s">
        <v>6247</v>
      </c>
      <c r="Z2381" s="24">
        <v>36678</v>
      </c>
      <c r="AA2381" s="25" t="s">
        <v>77</v>
      </c>
      <c r="AB2381" s="25" t="s">
        <v>6247</v>
      </c>
      <c r="AC2381" s="24">
        <v>38412</v>
      </c>
      <c r="AD2381" s="25" t="s">
        <v>77</v>
      </c>
      <c r="AE2381" t="s">
        <v>26</v>
      </c>
      <c r="AF2381" t="s">
        <v>26</v>
      </c>
      <c r="AG2381" t="s">
        <v>26</v>
      </c>
      <c r="AH2381" t="s">
        <v>26</v>
      </c>
      <c r="AI2381" t="s">
        <v>26</v>
      </c>
      <c r="AJ2381" t="s">
        <v>26</v>
      </c>
      <c r="AK2381" t="s">
        <v>26</v>
      </c>
      <c r="AL2381" t="s">
        <v>26</v>
      </c>
      <c r="AM2381" t="s">
        <v>26</v>
      </c>
      <c r="AN2381" t="s">
        <v>26</v>
      </c>
      <c r="AO2381" s="25" t="s">
        <v>68</v>
      </c>
      <c r="AP2381" s="23" t="s">
        <v>69</v>
      </c>
      <c r="AQ2381" s="23" t="s">
        <v>30</v>
      </c>
      <c r="AR2381" s="23" t="s">
        <v>46</v>
      </c>
      <c r="AS2381" s="25">
        <v>47416</v>
      </c>
      <c r="AT2381" t="s">
        <v>26</v>
      </c>
      <c r="AU2381" t="s">
        <v>25351</v>
      </c>
    </row>
    <row r="2382" spans="1:47" ht="26.25" x14ac:dyDescent="0.4">
      <c r="A2382" s="23" t="s">
        <v>6248</v>
      </c>
      <c r="B2382" t="s">
        <v>26</v>
      </c>
      <c r="C2382" s="23" t="s">
        <v>465</v>
      </c>
      <c r="D2382" s="23" t="s">
        <v>22254</v>
      </c>
      <c r="E2382" s="23" t="s">
        <v>42</v>
      </c>
      <c r="F2382" s="25" t="s">
        <v>6249</v>
      </c>
      <c r="G2382" s="25" t="s">
        <v>6250</v>
      </c>
      <c r="H2382" t="s">
        <v>26</v>
      </c>
      <c r="I2382" s="24">
        <v>37347</v>
      </c>
      <c r="J2382" s="25" t="s">
        <v>77</v>
      </c>
      <c r="K2382" t="s">
        <v>26</v>
      </c>
      <c r="L2382" s="25" t="s">
        <v>68</v>
      </c>
      <c r="M2382" s="24">
        <v>37347</v>
      </c>
      <c r="N2382" s="25" t="s">
        <v>77</v>
      </c>
      <c r="O2382" t="s">
        <v>26</v>
      </c>
      <c r="P2382" s="24">
        <v>37347</v>
      </c>
      <c r="Q2382" s="25" t="s">
        <v>77</v>
      </c>
      <c r="R2382" t="s">
        <v>26</v>
      </c>
      <c r="S2382" t="s">
        <v>26</v>
      </c>
      <c r="T2382" t="s">
        <v>26</v>
      </c>
      <c r="U2382" t="s">
        <v>26</v>
      </c>
      <c r="V2382" t="s">
        <v>26</v>
      </c>
      <c r="W2382" s="24">
        <v>32964</v>
      </c>
      <c r="X2382" s="25" t="s">
        <v>77</v>
      </c>
      <c r="Y2382" s="25" t="s">
        <v>4098</v>
      </c>
      <c r="Z2382" s="24">
        <v>32964</v>
      </c>
      <c r="AA2382" s="25" t="s">
        <v>77</v>
      </c>
      <c r="AB2382" s="25" t="s">
        <v>4098</v>
      </c>
      <c r="AC2382" s="24">
        <v>34425</v>
      </c>
      <c r="AD2382" s="25" t="s">
        <v>77</v>
      </c>
      <c r="AE2382" s="25" t="s">
        <v>25352</v>
      </c>
      <c r="AF2382" t="s">
        <v>26</v>
      </c>
      <c r="AG2382" t="s">
        <v>26</v>
      </c>
      <c r="AH2382" t="s">
        <v>26</v>
      </c>
      <c r="AI2382" t="s">
        <v>26</v>
      </c>
      <c r="AJ2382" t="s">
        <v>26</v>
      </c>
      <c r="AK2382" t="s">
        <v>26</v>
      </c>
      <c r="AL2382" t="s">
        <v>26</v>
      </c>
      <c r="AM2382" t="s">
        <v>26</v>
      </c>
      <c r="AN2382" t="s">
        <v>26</v>
      </c>
      <c r="AO2382" s="25" t="s">
        <v>68</v>
      </c>
      <c r="AP2382" s="23" t="s">
        <v>69</v>
      </c>
      <c r="AQ2382" s="23" t="s">
        <v>30</v>
      </c>
      <c r="AR2382" s="23" t="s">
        <v>5376</v>
      </c>
      <c r="AS2382" s="25">
        <v>26442</v>
      </c>
      <c r="AT2382" t="s">
        <v>26</v>
      </c>
      <c r="AU2382" t="s">
        <v>25353</v>
      </c>
    </row>
    <row r="2383" spans="1:47" ht="26.25" x14ac:dyDescent="0.4">
      <c r="A2383" s="23" t="s">
        <v>6251</v>
      </c>
      <c r="B2383" t="s">
        <v>26</v>
      </c>
      <c r="C2383" s="23" t="s">
        <v>73</v>
      </c>
      <c r="D2383" s="23" t="s">
        <v>22179</v>
      </c>
      <c r="E2383" s="23" t="s">
        <v>74</v>
      </c>
      <c r="F2383" s="25" t="s">
        <v>6252</v>
      </c>
      <c r="G2383" s="25" t="s">
        <v>6253</v>
      </c>
      <c r="H2383" t="s">
        <v>26</v>
      </c>
      <c r="I2383" s="24">
        <v>40575</v>
      </c>
      <c r="J2383" s="25" t="s">
        <v>77</v>
      </c>
      <c r="K2383" t="s">
        <v>26</v>
      </c>
      <c r="L2383" s="25" t="s">
        <v>68</v>
      </c>
      <c r="M2383" s="24">
        <v>40575</v>
      </c>
      <c r="N2383" s="25" t="s">
        <v>77</v>
      </c>
      <c r="O2383" t="s">
        <v>26</v>
      </c>
      <c r="P2383" s="24">
        <v>40575</v>
      </c>
      <c r="Q2383" s="25" t="s">
        <v>77</v>
      </c>
      <c r="R2383" t="s">
        <v>26</v>
      </c>
      <c r="S2383" t="s">
        <v>26</v>
      </c>
      <c r="T2383" t="s">
        <v>26</v>
      </c>
      <c r="U2383" t="s">
        <v>26</v>
      </c>
      <c r="V2383" s="25">
        <v>365</v>
      </c>
      <c r="W2383" s="24">
        <v>38018</v>
      </c>
      <c r="X2383" s="25" t="s">
        <v>77</v>
      </c>
      <c r="Y2383" t="s">
        <v>26</v>
      </c>
      <c r="Z2383" s="24">
        <v>38018</v>
      </c>
      <c r="AA2383" s="25" t="s">
        <v>77</v>
      </c>
      <c r="AB2383" t="s">
        <v>26</v>
      </c>
      <c r="AC2383" s="24">
        <v>40575</v>
      </c>
      <c r="AD2383" s="25" t="s">
        <v>77</v>
      </c>
      <c r="AE2383" t="s">
        <v>26</v>
      </c>
      <c r="AF2383" t="s">
        <v>26</v>
      </c>
      <c r="AG2383" t="s">
        <v>26</v>
      </c>
      <c r="AH2383" t="s">
        <v>26</v>
      </c>
      <c r="AI2383" t="s">
        <v>26</v>
      </c>
      <c r="AJ2383" t="s">
        <v>26</v>
      </c>
      <c r="AK2383" t="s">
        <v>26</v>
      </c>
      <c r="AL2383" t="s">
        <v>26</v>
      </c>
      <c r="AM2383" t="s">
        <v>26</v>
      </c>
      <c r="AN2383" t="s">
        <v>26</v>
      </c>
      <c r="AO2383" s="25" t="s">
        <v>68</v>
      </c>
      <c r="AP2383" s="23" t="s">
        <v>69</v>
      </c>
      <c r="AQ2383" s="23" t="s">
        <v>30</v>
      </c>
      <c r="AR2383" s="23" t="s">
        <v>46</v>
      </c>
      <c r="AS2383" s="25">
        <v>976349</v>
      </c>
      <c r="AT2383" t="s">
        <v>26</v>
      </c>
      <c r="AU2383" t="s">
        <v>25354</v>
      </c>
    </row>
    <row r="2384" spans="1:47" ht="26.25" x14ac:dyDescent="0.4">
      <c r="A2384" s="23" t="s">
        <v>6254</v>
      </c>
      <c r="B2384" t="s">
        <v>26</v>
      </c>
      <c r="C2384" s="23" t="s">
        <v>803</v>
      </c>
      <c r="D2384" s="23" t="s">
        <v>22499</v>
      </c>
      <c r="E2384" s="23" t="s">
        <v>711</v>
      </c>
      <c r="F2384" s="25" t="s">
        <v>6255</v>
      </c>
      <c r="G2384" s="25" t="s">
        <v>6256</v>
      </c>
      <c r="H2384" t="s">
        <v>26</v>
      </c>
      <c r="I2384" s="24">
        <v>35977</v>
      </c>
      <c r="J2384" s="24">
        <v>42339</v>
      </c>
      <c r="K2384" t="s">
        <v>26</v>
      </c>
      <c r="L2384" s="25" t="s">
        <v>68</v>
      </c>
      <c r="M2384" s="24">
        <v>35977</v>
      </c>
      <c r="N2384" s="24">
        <v>37803</v>
      </c>
      <c r="O2384" t="s">
        <v>26</v>
      </c>
      <c r="P2384" s="24">
        <v>35977</v>
      </c>
      <c r="Q2384" s="24">
        <v>42339</v>
      </c>
      <c r="R2384" t="s">
        <v>26</v>
      </c>
      <c r="S2384" t="s">
        <v>26</v>
      </c>
      <c r="T2384" t="s">
        <v>26</v>
      </c>
      <c r="U2384" t="s">
        <v>26</v>
      </c>
      <c r="V2384" t="s">
        <v>26</v>
      </c>
      <c r="W2384" s="24">
        <v>35977</v>
      </c>
      <c r="X2384" s="24">
        <v>42583</v>
      </c>
      <c r="Y2384" t="s">
        <v>26</v>
      </c>
      <c r="Z2384" s="24">
        <v>35977</v>
      </c>
      <c r="AA2384" s="24">
        <v>42583</v>
      </c>
      <c r="AB2384" t="s">
        <v>26</v>
      </c>
      <c r="AC2384" s="24">
        <v>35977</v>
      </c>
      <c r="AD2384" s="24">
        <v>42583</v>
      </c>
      <c r="AE2384" t="s">
        <v>26</v>
      </c>
      <c r="AF2384" t="s">
        <v>26</v>
      </c>
      <c r="AG2384" t="s">
        <v>26</v>
      </c>
      <c r="AH2384" t="s">
        <v>26</v>
      </c>
      <c r="AI2384" t="s">
        <v>26</v>
      </c>
      <c r="AJ2384" t="s">
        <v>26</v>
      </c>
      <c r="AK2384" t="s">
        <v>26</v>
      </c>
      <c r="AL2384" t="s">
        <v>26</v>
      </c>
      <c r="AM2384" t="s">
        <v>26</v>
      </c>
      <c r="AN2384" t="s">
        <v>26</v>
      </c>
      <c r="AO2384" s="25" t="s">
        <v>68</v>
      </c>
      <c r="AP2384" s="23" t="s">
        <v>69</v>
      </c>
      <c r="AQ2384" s="23" t="s">
        <v>30</v>
      </c>
      <c r="AR2384" s="23" t="s">
        <v>70</v>
      </c>
      <c r="AS2384" s="25">
        <v>24790</v>
      </c>
      <c r="AT2384" t="s">
        <v>26</v>
      </c>
      <c r="AU2384" t="s">
        <v>25355</v>
      </c>
    </row>
    <row r="2385" spans="1:47" ht="26.25" x14ac:dyDescent="0.4">
      <c r="A2385" s="23" t="s">
        <v>6257</v>
      </c>
      <c r="B2385" t="s">
        <v>26</v>
      </c>
      <c r="C2385" s="23" t="s">
        <v>73</v>
      </c>
      <c r="D2385" s="23" t="s">
        <v>22215</v>
      </c>
      <c r="E2385" s="23" t="s">
        <v>74</v>
      </c>
      <c r="F2385" s="25" t="s">
        <v>6258</v>
      </c>
      <c r="G2385" s="25" t="s">
        <v>6259</v>
      </c>
      <c r="H2385" t="s">
        <v>26</v>
      </c>
      <c r="I2385" s="24">
        <v>35674</v>
      </c>
      <c r="J2385" s="25" t="s">
        <v>77</v>
      </c>
      <c r="K2385" t="s">
        <v>26</v>
      </c>
      <c r="L2385" s="25" t="s">
        <v>68</v>
      </c>
      <c r="M2385" s="24">
        <v>37987</v>
      </c>
      <c r="N2385" s="24">
        <v>42826</v>
      </c>
      <c r="O2385" t="s">
        <v>26</v>
      </c>
      <c r="P2385" s="24">
        <v>35674</v>
      </c>
      <c r="Q2385" s="25" t="s">
        <v>77</v>
      </c>
      <c r="R2385" t="s">
        <v>26</v>
      </c>
      <c r="S2385" t="s">
        <v>26</v>
      </c>
      <c r="T2385" t="s">
        <v>26</v>
      </c>
      <c r="U2385" t="s">
        <v>26</v>
      </c>
      <c r="V2385" s="25">
        <v>365</v>
      </c>
      <c r="W2385" s="24">
        <v>35674</v>
      </c>
      <c r="X2385" s="25" t="s">
        <v>77</v>
      </c>
      <c r="Y2385" t="s">
        <v>26</v>
      </c>
      <c r="Z2385" s="24">
        <v>35674</v>
      </c>
      <c r="AA2385" s="25" t="s">
        <v>77</v>
      </c>
      <c r="AB2385" t="s">
        <v>26</v>
      </c>
      <c r="AC2385" s="24">
        <v>35674</v>
      </c>
      <c r="AD2385" s="25" t="s">
        <v>77</v>
      </c>
      <c r="AE2385" s="25" t="s">
        <v>25284</v>
      </c>
      <c r="AF2385" t="s">
        <v>26</v>
      </c>
      <c r="AG2385" t="s">
        <v>26</v>
      </c>
      <c r="AH2385" t="s">
        <v>26</v>
      </c>
      <c r="AI2385" t="s">
        <v>26</v>
      </c>
      <c r="AJ2385" t="s">
        <v>26</v>
      </c>
      <c r="AK2385" t="s">
        <v>26</v>
      </c>
      <c r="AL2385" t="s">
        <v>26</v>
      </c>
      <c r="AM2385" t="s">
        <v>26</v>
      </c>
      <c r="AN2385" t="s">
        <v>26</v>
      </c>
      <c r="AO2385" s="25" t="s">
        <v>68</v>
      </c>
      <c r="AP2385" s="23" t="s">
        <v>69</v>
      </c>
      <c r="AQ2385" s="23" t="s">
        <v>30</v>
      </c>
      <c r="AR2385" s="23" t="s">
        <v>2148</v>
      </c>
      <c r="AS2385" s="25">
        <v>47309</v>
      </c>
      <c r="AT2385" t="s">
        <v>26</v>
      </c>
      <c r="AU2385" t="s">
        <v>25356</v>
      </c>
    </row>
    <row r="2386" spans="1:47" ht="26.25" x14ac:dyDescent="0.4">
      <c r="A2386" s="23" t="s">
        <v>6260</v>
      </c>
      <c r="B2386" t="s">
        <v>26</v>
      </c>
      <c r="C2386" s="23" t="s">
        <v>320</v>
      </c>
      <c r="D2386" s="23" t="s">
        <v>22733</v>
      </c>
      <c r="E2386" s="23" t="s">
        <v>42</v>
      </c>
      <c r="F2386" s="25" t="s">
        <v>6261</v>
      </c>
      <c r="G2386" s="25" t="s">
        <v>6262</v>
      </c>
      <c r="H2386" t="s">
        <v>26</v>
      </c>
      <c r="I2386" t="s">
        <v>26</v>
      </c>
      <c r="J2386" t="s">
        <v>26</v>
      </c>
      <c r="K2386" t="s">
        <v>26</v>
      </c>
      <c r="L2386" s="25" t="s">
        <v>68</v>
      </c>
      <c r="M2386" t="s">
        <v>26</v>
      </c>
      <c r="N2386" t="s">
        <v>26</v>
      </c>
      <c r="O2386" t="s">
        <v>26</v>
      </c>
      <c r="P2386" t="s">
        <v>26</v>
      </c>
      <c r="Q2386" t="s">
        <v>26</v>
      </c>
      <c r="R2386" t="s">
        <v>26</v>
      </c>
      <c r="S2386" t="s">
        <v>26</v>
      </c>
      <c r="T2386" t="s">
        <v>26</v>
      </c>
      <c r="U2386" t="s">
        <v>26</v>
      </c>
      <c r="V2386" t="s">
        <v>26</v>
      </c>
      <c r="W2386" s="24">
        <v>41030</v>
      </c>
      <c r="X2386" s="25" t="s">
        <v>77</v>
      </c>
      <c r="Y2386" t="s">
        <v>26</v>
      </c>
      <c r="Z2386" s="24">
        <v>41030</v>
      </c>
      <c r="AA2386" s="25" t="s">
        <v>77</v>
      </c>
      <c r="AB2386" t="s">
        <v>26</v>
      </c>
      <c r="AC2386" s="24">
        <v>41030</v>
      </c>
      <c r="AD2386" s="25" t="s">
        <v>77</v>
      </c>
      <c r="AE2386" t="s">
        <v>26</v>
      </c>
      <c r="AF2386" t="s">
        <v>26</v>
      </c>
      <c r="AG2386" t="s">
        <v>26</v>
      </c>
      <c r="AH2386" t="s">
        <v>26</v>
      </c>
      <c r="AI2386" t="s">
        <v>26</v>
      </c>
      <c r="AJ2386" t="s">
        <v>26</v>
      </c>
      <c r="AK2386" t="s">
        <v>26</v>
      </c>
      <c r="AL2386" t="s">
        <v>26</v>
      </c>
      <c r="AM2386" t="s">
        <v>26</v>
      </c>
      <c r="AN2386" t="s">
        <v>26</v>
      </c>
      <c r="AO2386" s="25" t="s">
        <v>28</v>
      </c>
      <c r="AP2386" s="23" t="s">
        <v>69</v>
      </c>
      <c r="AQ2386" s="23" t="s">
        <v>30</v>
      </c>
      <c r="AR2386" s="23" t="s">
        <v>1261</v>
      </c>
      <c r="AS2386" s="25">
        <v>976333</v>
      </c>
      <c r="AT2386" t="s">
        <v>26</v>
      </c>
      <c r="AU2386" t="s">
        <v>25357</v>
      </c>
    </row>
    <row r="2387" spans="1:47" ht="26.25" x14ac:dyDescent="0.4">
      <c r="A2387" s="23" t="s">
        <v>6263</v>
      </c>
      <c r="B2387" t="s">
        <v>26</v>
      </c>
      <c r="C2387" s="23" t="s">
        <v>172</v>
      </c>
      <c r="D2387" s="23" t="s">
        <v>22242</v>
      </c>
      <c r="E2387" s="23" t="s">
        <v>60</v>
      </c>
      <c r="F2387" s="25" t="s">
        <v>6264</v>
      </c>
      <c r="G2387" s="25" t="s">
        <v>6265</v>
      </c>
      <c r="H2387" t="s">
        <v>26</v>
      </c>
      <c r="I2387" t="s">
        <v>26</v>
      </c>
      <c r="J2387" t="s">
        <v>26</v>
      </c>
      <c r="K2387" t="s">
        <v>26</v>
      </c>
      <c r="L2387" s="25" t="s">
        <v>68</v>
      </c>
      <c r="M2387" t="s">
        <v>26</v>
      </c>
      <c r="N2387" t="s">
        <v>26</v>
      </c>
      <c r="O2387" t="s">
        <v>26</v>
      </c>
      <c r="P2387" t="s">
        <v>26</v>
      </c>
      <c r="Q2387" t="s">
        <v>26</v>
      </c>
      <c r="R2387" t="s">
        <v>26</v>
      </c>
      <c r="S2387" t="s">
        <v>26</v>
      </c>
      <c r="T2387" t="s">
        <v>26</v>
      </c>
      <c r="U2387" t="s">
        <v>26</v>
      </c>
      <c r="V2387" t="s">
        <v>26</v>
      </c>
      <c r="W2387" s="24">
        <v>38473</v>
      </c>
      <c r="X2387" s="25" t="s">
        <v>77</v>
      </c>
      <c r="Y2387" t="s">
        <v>26</v>
      </c>
      <c r="Z2387" s="24">
        <v>38473</v>
      </c>
      <c r="AA2387" s="25" t="s">
        <v>77</v>
      </c>
      <c r="AB2387" t="s">
        <v>26</v>
      </c>
      <c r="AC2387" s="24">
        <v>38473</v>
      </c>
      <c r="AD2387" s="25" t="s">
        <v>77</v>
      </c>
      <c r="AE2387" t="s">
        <v>26</v>
      </c>
      <c r="AF2387" t="s">
        <v>26</v>
      </c>
      <c r="AG2387" t="s">
        <v>26</v>
      </c>
      <c r="AH2387" t="s">
        <v>26</v>
      </c>
      <c r="AI2387" t="s">
        <v>26</v>
      </c>
      <c r="AJ2387" t="s">
        <v>26</v>
      </c>
      <c r="AK2387" t="s">
        <v>26</v>
      </c>
      <c r="AL2387" t="s">
        <v>26</v>
      </c>
      <c r="AM2387" t="s">
        <v>26</v>
      </c>
      <c r="AN2387" t="s">
        <v>26</v>
      </c>
      <c r="AO2387" s="25" t="s">
        <v>68</v>
      </c>
      <c r="AP2387" s="23" t="s">
        <v>69</v>
      </c>
      <c r="AQ2387" s="23" t="s">
        <v>30</v>
      </c>
      <c r="AR2387" s="23" t="s">
        <v>3107</v>
      </c>
      <c r="AS2387" s="25">
        <v>41359</v>
      </c>
      <c r="AT2387" t="s">
        <v>26</v>
      </c>
      <c r="AU2387" t="s">
        <v>25358</v>
      </c>
    </row>
    <row r="2388" spans="1:47" ht="26.25" x14ac:dyDescent="0.4">
      <c r="A2388" s="23" t="s">
        <v>6266</v>
      </c>
      <c r="B2388" t="s">
        <v>26</v>
      </c>
      <c r="C2388" s="23" t="s">
        <v>80</v>
      </c>
      <c r="D2388" s="23" t="s">
        <v>25359</v>
      </c>
      <c r="E2388" s="23" t="s">
        <v>60</v>
      </c>
      <c r="F2388" s="25" t="s">
        <v>6267</v>
      </c>
      <c r="G2388" s="25" t="s">
        <v>6268</v>
      </c>
      <c r="H2388" t="s">
        <v>26</v>
      </c>
      <c r="I2388" t="s">
        <v>26</v>
      </c>
      <c r="J2388" t="s">
        <v>26</v>
      </c>
      <c r="K2388" t="s">
        <v>26</v>
      </c>
      <c r="L2388" s="25" t="s">
        <v>68</v>
      </c>
      <c r="M2388" t="s">
        <v>26</v>
      </c>
      <c r="N2388" t="s">
        <v>26</v>
      </c>
      <c r="O2388" t="s">
        <v>26</v>
      </c>
      <c r="P2388" t="s">
        <v>26</v>
      </c>
      <c r="Q2388" t="s">
        <v>26</v>
      </c>
      <c r="R2388" t="s">
        <v>26</v>
      </c>
      <c r="S2388" t="s">
        <v>26</v>
      </c>
      <c r="T2388" t="s">
        <v>26</v>
      </c>
      <c r="U2388" t="s">
        <v>26</v>
      </c>
      <c r="V2388" t="s">
        <v>26</v>
      </c>
      <c r="W2388" s="24">
        <v>40210</v>
      </c>
      <c r="X2388" s="25" t="s">
        <v>77</v>
      </c>
      <c r="Y2388" t="s">
        <v>26</v>
      </c>
      <c r="Z2388" s="24">
        <v>40210</v>
      </c>
      <c r="AA2388" s="25" t="s">
        <v>77</v>
      </c>
      <c r="AB2388" t="s">
        <v>26</v>
      </c>
      <c r="AC2388" s="24">
        <v>40210</v>
      </c>
      <c r="AD2388" s="25" t="s">
        <v>77</v>
      </c>
      <c r="AE2388" t="s">
        <v>26</v>
      </c>
      <c r="AF2388" t="s">
        <v>26</v>
      </c>
      <c r="AG2388" t="s">
        <v>26</v>
      </c>
      <c r="AH2388" t="s">
        <v>26</v>
      </c>
      <c r="AI2388" t="s">
        <v>26</v>
      </c>
      <c r="AJ2388" t="s">
        <v>26</v>
      </c>
      <c r="AK2388" t="s">
        <v>26</v>
      </c>
      <c r="AL2388" t="s">
        <v>26</v>
      </c>
      <c r="AM2388" t="s">
        <v>26</v>
      </c>
      <c r="AN2388" t="s">
        <v>26</v>
      </c>
      <c r="AO2388" s="25" t="s">
        <v>68</v>
      </c>
      <c r="AP2388" s="23" t="s">
        <v>69</v>
      </c>
      <c r="AQ2388" s="23" t="s">
        <v>30</v>
      </c>
      <c r="AR2388" s="23" t="s">
        <v>70</v>
      </c>
      <c r="AS2388" s="25">
        <v>216175</v>
      </c>
      <c r="AT2388" t="s">
        <v>26</v>
      </c>
      <c r="AU2388" t="s">
        <v>25360</v>
      </c>
    </row>
    <row r="2389" spans="1:47" ht="26.25" x14ac:dyDescent="0.4">
      <c r="A2389" s="23" t="s">
        <v>6269</v>
      </c>
      <c r="B2389" t="s">
        <v>26</v>
      </c>
      <c r="C2389" s="23" t="s">
        <v>6270</v>
      </c>
      <c r="D2389" s="23" t="s">
        <v>25361</v>
      </c>
      <c r="E2389" s="23" t="s">
        <v>42</v>
      </c>
      <c r="F2389" s="25" t="s">
        <v>6271</v>
      </c>
      <c r="G2389" s="25" t="s">
        <v>6272</v>
      </c>
      <c r="H2389" t="s">
        <v>26</v>
      </c>
      <c r="I2389" s="24">
        <v>42370</v>
      </c>
      <c r="J2389" s="25" t="s">
        <v>77</v>
      </c>
      <c r="K2389" t="s">
        <v>26</v>
      </c>
      <c r="L2389" s="25" t="s">
        <v>68</v>
      </c>
      <c r="M2389" s="24">
        <v>42370</v>
      </c>
      <c r="N2389" s="25" t="s">
        <v>77</v>
      </c>
      <c r="O2389" t="s">
        <v>26</v>
      </c>
      <c r="P2389" s="24">
        <v>42370</v>
      </c>
      <c r="Q2389" s="25" t="s">
        <v>77</v>
      </c>
      <c r="R2389" t="s">
        <v>26</v>
      </c>
      <c r="S2389" t="s">
        <v>26</v>
      </c>
      <c r="T2389" t="s">
        <v>26</v>
      </c>
      <c r="U2389" t="s">
        <v>26</v>
      </c>
      <c r="V2389" t="s">
        <v>26</v>
      </c>
      <c r="W2389" s="24">
        <v>42370</v>
      </c>
      <c r="X2389" s="25" t="s">
        <v>77</v>
      </c>
      <c r="Y2389" t="s">
        <v>26</v>
      </c>
      <c r="Z2389" s="24">
        <v>42370</v>
      </c>
      <c r="AA2389" s="25" t="s">
        <v>77</v>
      </c>
      <c r="AB2389" t="s">
        <v>26</v>
      </c>
      <c r="AC2389" s="24">
        <v>42370</v>
      </c>
      <c r="AD2389" s="25" t="s">
        <v>77</v>
      </c>
      <c r="AE2389" t="s">
        <v>26</v>
      </c>
      <c r="AF2389" t="s">
        <v>26</v>
      </c>
      <c r="AG2389" t="s">
        <v>26</v>
      </c>
      <c r="AH2389" t="s">
        <v>26</v>
      </c>
      <c r="AI2389" t="s">
        <v>26</v>
      </c>
      <c r="AJ2389" t="s">
        <v>26</v>
      </c>
      <c r="AK2389" t="s">
        <v>26</v>
      </c>
      <c r="AL2389" t="s">
        <v>26</v>
      </c>
      <c r="AM2389" t="s">
        <v>26</v>
      </c>
      <c r="AN2389" t="s">
        <v>26</v>
      </c>
      <c r="AO2389" s="25" t="s">
        <v>68</v>
      </c>
      <c r="AP2389" s="23" t="s">
        <v>69</v>
      </c>
      <c r="AQ2389" s="23" t="s">
        <v>30</v>
      </c>
      <c r="AR2389" s="23" t="s">
        <v>1688</v>
      </c>
      <c r="AS2389" s="25">
        <v>2045093</v>
      </c>
      <c r="AT2389" t="s">
        <v>26</v>
      </c>
      <c r="AU2389" t="s">
        <v>25362</v>
      </c>
    </row>
    <row r="2390" spans="1:47" ht="26.25" x14ac:dyDescent="0.4">
      <c r="A2390" s="23" t="s">
        <v>6273</v>
      </c>
      <c r="B2390" t="s">
        <v>26</v>
      </c>
      <c r="C2390" s="23" t="s">
        <v>102</v>
      </c>
      <c r="D2390" s="23" t="s">
        <v>22192</v>
      </c>
      <c r="E2390" s="23" t="s">
        <v>42</v>
      </c>
      <c r="F2390" s="25" t="s">
        <v>6274</v>
      </c>
      <c r="G2390" s="25" t="s">
        <v>6275</v>
      </c>
      <c r="H2390" t="s">
        <v>26</v>
      </c>
      <c r="I2390" t="s">
        <v>26</v>
      </c>
      <c r="J2390" t="s">
        <v>26</v>
      </c>
      <c r="K2390" t="s">
        <v>26</v>
      </c>
      <c r="L2390" s="25" t="s">
        <v>68</v>
      </c>
      <c r="M2390" t="s">
        <v>26</v>
      </c>
      <c r="N2390" t="s">
        <v>26</v>
      </c>
      <c r="O2390" t="s">
        <v>26</v>
      </c>
      <c r="P2390" t="s">
        <v>26</v>
      </c>
      <c r="Q2390" t="s">
        <v>26</v>
      </c>
      <c r="R2390" t="s">
        <v>26</v>
      </c>
      <c r="S2390" t="s">
        <v>26</v>
      </c>
      <c r="T2390" t="s">
        <v>26</v>
      </c>
      <c r="U2390" t="s">
        <v>26</v>
      </c>
      <c r="V2390" t="s">
        <v>26</v>
      </c>
      <c r="W2390" s="24">
        <v>38047</v>
      </c>
      <c r="X2390" s="24">
        <v>44105</v>
      </c>
      <c r="Y2390" t="s">
        <v>26</v>
      </c>
      <c r="Z2390" s="24">
        <v>38047</v>
      </c>
      <c r="AA2390" s="24">
        <v>44105</v>
      </c>
      <c r="AB2390" t="s">
        <v>26</v>
      </c>
      <c r="AC2390" s="24">
        <v>38047</v>
      </c>
      <c r="AD2390" s="24">
        <v>44105</v>
      </c>
      <c r="AE2390" t="s">
        <v>26</v>
      </c>
      <c r="AF2390" t="s">
        <v>26</v>
      </c>
      <c r="AG2390" t="s">
        <v>26</v>
      </c>
      <c r="AH2390" t="s">
        <v>26</v>
      </c>
      <c r="AI2390" t="s">
        <v>26</v>
      </c>
      <c r="AJ2390" t="s">
        <v>26</v>
      </c>
      <c r="AK2390" t="s">
        <v>26</v>
      </c>
      <c r="AL2390" t="s">
        <v>26</v>
      </c>
      <c r="AM2390" t="s">
        <v>26</v>
      </c>
      <c r="AN2390" t="s">
        <v>26</v>
      </c>
      <c r="AO2390" s="25" t="s">
        <v>68</v>
      </c>
      <c r="AP2390" s="23" t="s">
        <v>69</v>
      </c>
      <c r="AQ2390" s="23" t="s">
        <v>30</v>
      </c>
      <c r="AR2390" s="23" t="s">
        <v>71</v>
      </c>
      <c r="AS2390" s="25">
        <v>41458</v>
      </c>
      <c r="AT2390" t="s">
        <v>26</v>
      </c>
      <c r="AU2390" t="s">
        <v>25363</v>
      </c>
    </row>
    <row r="2391" spans="1:47" ht="39.4" x14ac:dyDescent="0.4">
      <c r="A2391" s="23" t="s">
        <v>6276</v>
      </c>
      <c r="B2391" t="s">
        <v>26</v>
      </c>
      <c r="C2391" s="23" t="s">
        <v>341</v>
      </c>
      <c r="D2391" s="23" t="s">
        <v>22254</v>
      </c>
      <c r="E2391" s="23" t="s">
        <v>60</v>
      </c>
      <c r="F2391" s="25" t="s">
        <v>6277</v>
      </c>
      <c r="G2391" s="25" t="s">
        <v>6278</v>
      </c>
      <c r="H2391" t="s">
        <v>26</v>
      </c>
      <c r="I2391" s="24">
        <v>35796</v>
      </c>
      <c r="J2391" s="24">
        <v>40664</v>
      </c>
      <c r="K2391" t="s">
        <v>26</v>
      </c>
      <c r="L2391" s="25" t="s">
        <v>68</v>
      </c>
      <c r="M2391" s="24">
        <v>35796</v>
      </c>
      <c r="N2391" s="24">
        <v>40664</v>
      </c>
      <c r="O2391" t="s">
        <v>26</v>
      </c>
      <c r="P2391" s="24">
        <v>35796</v>
      </c>
      <c r="Q2391" s="24">
        <v>40664</v>
      </c>
      <c r="R2391" t="s">
        <v>26</v>
      </c>
      <c r="S2391" t="s">
        <v>26</v>
      </c>
      <c r="T2391" t="s">
        <v>26</v>
      </c>
      <c r="U2391" t="s">
        <v>26</v>
      </c>
      <c r="V2391" t="s">
        <v>26</v>
      </c>
      <c r="W2391" s="24">
        <v>35796</v>
      </c>
      <c r="X2391" s="24">
        <v>40664</v>
      </c>
      <c r="Y2391" t="s">
        <v>26</v>
      </c>
      <c r="Z2391" s="24">
        <v>35796</v>
      </c>
      <c r="AA2391" s="24">
        <v>40664</v>
      </c>
      <c r="AB2391" t="s">
        <v>26</v>
      </c>
      <c r="AC2391" s="24">
        <v>35796</v>
      </c>
      <c r="AD2391" s="24">
        <v>40483</v>
      </c>
      <c r="AE2391" t="s">
        <v>26</v>
      </c>
      <c r="AF2391" t="s">
        <v>26</v>
      </c>
      <c r="AG2391" t="s">
        <v>26</v>
      </c>
      <c r="AH2391" t="s">
        <v>26</v>
      </c>
      <c r="AI2391" t="s">
        <v>26</v>
      </c>
      <c r="AJ2391" t="s">
        <v>26</v>
      </c>
      <c r="AK2391" t="s">
        <v>26</v>
      </c>
      <c r="AL2391" t="s">
        <v>26</v>
      </c>
      <c r="AM2391" t="s">
        <v>26</v>
      </c>
      <c r="AN2391" t="s">
        <v>26</v>
      </c>
      <c r="AO2391" s="25" t="s">
        <v>68</v>
      </c>
      <c r="AP2391" s="23" t="s">
        <v>69</v>
      </c>
      <c r="AQ2391" s="23" t="s">
        <v>30</v>
      </c>
      <c r="AR2391" s="23" t="s">
        <v>6279</v>
      </c>
      <c r="AS2391" s="25">
        <v>41272</v>
      </c>
      <c r="AT2391" t="s">
        <v>26</v>
      </c>
      <c r="AU2391" t="s">
        <v>25364</v>
      </c>
    </row>
    <row r="2392" spans="1:47" ht="26.25" x14ac:dyDescent="0.4">
      <c r="A2392" s="23" t="s">
        <v>6280</v>
      </c>
      <c r="B2392" t="s">
        <v>26</v>
      </c>
      <c r="C2392" s="23" t="s">
        <v>6281</v>
      </c>
      <c r="D2392" s="23" t="s">
        <v>25365</v>
      </c>
      <c r="E2392" s="23" t="s">
        <v>2636</v>
      </c>
      <c r="F2392" s="25" t="s">
        <v>6282</v>
      </c>
      <c r="G2392" t="s">
        <v>26</v>
      </c>
      <c r="H2392" t="s">
        <v>26</v>
      </c>
      <c r="I2392" t="s">
        <v>26</v>
      </c>
      <c r="J2392" t="s">
        <v>26</v>
      </c>
      <c r="K2392" t="s">
        <v>26</v>
      </c>
      <c r="L2392" s="25" t="s">
        <v>68</v>
      </c>
      <c r="M2392" t="s">
        <v>26</v>
      </c>
      <c r="N2392" t="s">
        <v>26</v>
      </c>
      <c r="O2392" t="s">
        <v>26</v>
      </c>
      <c r="P2392" t="s">
        <v>26</v>
      </c>
      <c r="Q2392" t="s">
        <v>26</v>
      </c>
      <c r="R2392" t="s">
        <v>26</v>
      </c>
      <c r="S2392" t="s">
        <v>26</v>
      </c>
      <c r="T2392" t="s">
        <v>26</v>
      </c>
      <c r="U2392" t="s">
        <v>26</v>
      </c>
      <c r="V2392" t="s">
        <v>26</v>
      </c>
      <c r="W2392" s="24">
        <v>42005</v>
      </c>
      <c r="X2392" s="25" t="s">
        <v>77</v>
      </c>
      <c r="Y2392" t="s">
        <v>26</v>
      </c>
      <c r="Z2392" s="24">
        <v>42005</v>
      </c>
      <c r="AA2392" s="25" t="s">
        <v>77</v>
      </c>
      <c r="AB2392" t="s">
        <v>26</v>
      </c>
      <c r="AC2392" s="24">
        <v>42005</v>
      </c>
      <c r="AD2392" s="25" t="s">
        <v>77</v>
      </c>
      <c r="AE2392" t="s">
        <v>26</v>
      </c>
      <c r="AF2392" t="s">
        <v>26</v>
      </c>
      <c r="AG2392" t="s">
        <v>26</v>
      </c>
      <c r="AH2392" t="s">
        <v>26</v>
      </c>
      <c r="AI2392" t="s">
        <v>26</v>
      </c>
      <c r="AJ2392" t="s">
        <v>26</v>
      </c>
      <c r="AK2392" t="s">
        <v>26</v>
      </c>
      <c r="AL2392" t="s">
        <v>26</v>
      </c>
      <c r="AM2392" t="s">
        <v>26</v>
      </c>
      <c r="AN2392" t="s">
        <v>26</v>
      </c>
      <c r="AO2392" s="25" t="s">
        <v>28</v>
      </c>
      <c r="AP2392" s="23" t="s">
        <v>69</v>
      </c>
      <c r="AQ2392" s="23" t="s">
        <v>2583</v>
      </c>
      <c r="AR2392" s="23" t="s">
        <v>46</v>
      </c>
      <c r="AS2392" s="25">
        <v>2050002</v>
      </c>
      <c r="AT2392" t="s">
        <v>26</v>
      </c>
      <c r="AU2392" t="s">
        <v>25366</v>
      </c>
    </row>
    <row r="2393" spans="1:47" ht="26.25" x14ac:dyDescent="0.4">
      <c r="A2393" s="23" t="s">
        <v>6283</v>
      </c>
      <c r="B2393" t="s">
        <v>26</v>
      </c>
      <c r="C2393" s="23" t="s">
        <v>710</v>
      </c>
      <c r="D2393" s="23" t="s">
        <v>22453</v>
      </c>
      <c r="E2393" s="23" t="s">
        <v>711</v>
      </c>
      <c r="F2393" s="25" t="s">
        <v>6284</v>
      </c>
      <c r="G2393" s="25" t="s">
        <v>6285</v>
      </c>
      <c r="H2393" t="s">
        <v>26</v>
      </c>
      <c r="I2393" s="24">
        <v>39083</v>
      </c>
      <c r="J2393" s="25" t="s">
        <v>77</v>
      </c>
      <c r="K2393" t="s">
        <v>26</v>
      </c>
      <c r="L2393" s="25" t="s">
        <v>68</v>
      </c>
      <c r="M2393" s="24">
        <v>39083</v>
      </c>
      <c r="N2393" s="25" t="s">
        <v>77</v>
      </c>
      <c r="O2393" t="s">
        <v>26</v>
      </c>
      <c r="P2393" s="24">
        <v>39083</v>
      </c>
      <c r="Q2393" s="25" t="s">
        <v>77</v>
      </c>
      <c r="R2393" t="s">
        <v>26</v>
      </c>
      <c r="S2393" t="s">
        <v>26</v>
      </c>
      <c r="T2393" t="s">
        <v>26</v>
      </c>
      <c r="U2393" t="s">
        <v>26</v>
      </c>
      <c r="V2393" s="25">
        <v>90</v>
      </c>
      <c r="W2393" s="24">
        <v>39083</v>
      </c>
      <c r="X2393" s="25" t="s">
        <v>77</v>
      </c>
      <c r="Y2393" t="s">
        <v>26</v>
      </c>
      <c r="Z2393" s="24">
        <v>39083</v>
      </c>
      <c r="AA2393" s="25" t="s">
        <v>77</v>
      </c>
      <c r="AB2393" t="s">
        <v>26</v>
      </c>
      <c r="AC2393" s="24">
        <v>42887</v>
      </c>
      <c r="AD2393" s="25" t="s">
        <v>77</v>
      </c>
      <c r="AE2393" t="s">
        <v>26</v>
      </c>
      <c r="AF2393" t="s">
        <v>26</v>
      </c>
      <c r="AG2393" t="s">
        <v>26</v>
      </c>
      <c r="AH2393" t="s">
        <v>26</v>
      </c>
      <c r="AI2393" t="s">
        <v>26</v>
      </c>
      <c r="AJ2393" t="s">
        <v>26</v>
      </c>
      <c r="AK2393" t="s">
        <v>26</v>
      </c>
      <c r="AL2393" t="s">
        <v>26</v>
      </c>
      <c r="AM2393" t="s">
        <v>26</v>
      </c>
      <c r="AN2393" t="s">
        <v>26</v>
      </c>
      <c r="AO2393" s="25" t="s">
        <v>28</v>
      </c>
      <c r="AP2393" s="23" t="s">
        <v>69</v>
      </c>
      <c r="AQ2393" s="23" t="s">
        <v>620</v>
      </c>
      <c r="AR2393" s="23" t="s">
        <v>46</v>
      </c>
      <c r="AS2393" s="25">
        <v>27550</v>
      </c>
      <c r="AT2393" t="s">
        <v>26</v>
      </c>
      <c r="AU2393" t="s">
        <v>25367</v>
      </c>
    </row>
    <row r="2394" spans="1:47" ht="26.25" x14ac:dyDescent="0.4">
      <c r="A2394" s="23" t="s">
        <v>6286</v>
      </c>
      <c r="B2394" t="s">
        <v>26</v>
      </c>
      <c r="C2394" s="23" t="s">
        <v>2241</v>
      </c>
      <c r="D2394" s="23" t="s">
        <v>22254</v>
      </c>
      <c r="E2394" s="23" t="s">
        <v>42</v>
      </c>
      <c r="F2394" s="25" t="s">
        <v>6287</v>
      </c>
      <c r="G2394" t="s">
        <v>26</v>
      </c>
      <c r="H2394" t="s">
        <v>26</v>
      </c>
      <c r="I2394" s="24">
        <v>34335</v>
      </c>
      <c r="J2394" s="25" t="s">
        <v>77</v>
      </c>
      <c r="K2394" t="s">
        <v>26</v>
      </c>
      <c r="L2394" s="25" t="s">
        <v>28</v>
      </c>
      <c r="M2394" s="24">
        <v>34335</v>
      </c>
      <c r="N2394" s="25" t="s">
        <v>77</v>
      </c>
      <c r="O2394" t="s">
        <v>26</v>
      </c>
      <c r="P2394" t="s">
        <v>26</v>
      </c>
      <c r="Q2394" t="s">
        <v>26</v>
      </c>
      <c r="R2394" t="s">
        <v>26</v>
      </c>
      <c r="S2394" t="s">
        <v>26</v>
      </c>
      <c r="T2394" t="s">
        <v>26</v>
      </c>
      <c r="U2394" t="s">
        <v>26</v>
      </c>
      <c r="V2394" t="s">
        <v>26</v>
      </c>
      <c r="W2394" s="24">
        <v>34335</v>
      </c>
      <c r="X2394" s="25" t="s">
        <v>77</v>
      </c>
      <c r="Y2394" t="s">
        <v>26</v>
      </c>
      <c r="Z2394" s="24">
        <v>34335</v>
      </c>
      <c r="AA2394" s="25" t="s">
        <v>77</v>
      </c>
      <c r="AB2394" t="s">
        <v>26</v>
      </c>
      <c r="AC2394" s="24">
        <v>34335</v>
      </c>
      <c r="AD2394" s="25" t="s">
        <v>77</v>
      </c>
      <c r="AE2394" t="s">
        <v>26</v>
      </c>
      <c r="AF2394" t="s">
        <v>26</v>
      </c>
      <c r="AG2394" t="s">
        <v>26</v>
      </c>
      <c r="AH2394" t="s">
        <v>26</v>
      </c>
      <c r="AI2394" t="s">
        <v>26</v>
      </c>
      <c r="AJ2394" t="s">
        <v>26</v>
      </c>
      <c r="AK2394" t="s">
        <v>26</v>
      </c>
      <c r="AL2394" t="s">
        <v>26</v>
      </c>
      <c r="AM2394" t="s">
        <v>26</v>
      </c>
      <c r="AN2394" t="s">
        <v>26</v>
      </c>
      <c r="AO2394" s="25" t="s">
        <v>28</v>
      </c>
      <c r="AP2394" s="23" t="s">
        <v>112</v>
      </c>
      <c r="AQ2394" s="23" t="s">
        <v>30</v>
      </c>
      <c r="AR2394" s="23" t="s">
        <v>6288</v>
      </c>
      <c r="AS2394" s="25">
        <v>29362</v>
      </c>
      <c r="AT2394" t="s">
        <v>26</v>
      </c>
      <c r="AU2394" t="s">
        <v>25368</v>
      </c>
    </row>
    <row r="2395" spans="1:47" ht="26.25" x14ac:dyDescent="0.4">
      <c r="A2395" s="23" t="s">
        <v>6289</v>
      </c>
      <c r="B2395" t="s">
        <v>26</v>
      </c>
      <c r="C2395" s="23" t="s">
        <v>2241</v>
      </c>
      <c r="D2395" t="s">
        <v>26</v>
      </c>
      <c r="E2395" s="23" t="s">
        <v>42</v>
      </c>
      <c r="F2395" t="s">
        <v>26</v>
      </c>
      <c r="G2395" t="s">
        <v>26</v>
      </c>
      <c r="H2395" t="s">
        <v>26</v>
      </c>
      <c r="I2395" s="24">
        <v>43466</v>
      </c>
      <c r="J2395" s="24">
        <v>43466</v>
      </c>
      <c r="K2395" t="s">
        <v>26</v>
      </c>
      <c r="L2395" s="25" t="s">
        <v>28</v>
      </c>
      <c r="M2395" s="24">
        <v>43466</v>
      </c>
      <c r="N2395" s="24">
        <v>43466</v>
      </c>
      <c r="O2395" t="s">
        <v>26</v>
      </c>
      <c r="P2395" t="s">
        <v>26</v>
      </c>
      <c r="Q2395" t="s">
        <v>26</v>
      </c>
      <c r="R2395" t="s">
        <v>26</v>
      </c>
      <c r="S2395" s="24">
        <v>43466</v>
      </c>
      <c r="T2395" s="24">
        <v>43466</v>
      </c>
      <c r="U2395" t="s">
        <v>26</v>
      </c>
      <c r="V2395" t="s">
        <v>26</v>
      </c>
      <c r="W2395" s="24">
        <v>43466</v>
      </c>
      <c r="X2395" s="24">
        <v>43466</v>
      </c>
      <c r="Y2395" t="s">
        <v>26</v>
      </c>
      <c r="Z2395" s="24">
        <v>43466</v>
      </c>
      <c r="AA2395" s="24">
        <v>43466</v>
      </c>
      <c r="AB2395" t="s">
        <v>26</v>
      </c>
      <c r="AC2395" s="24">
        <v>43466</v>
      </c>
      <c r="AD2395" s="24">
        <v>43466</v>
      </c>
      <c r="AE2395" t="s">
        <v>26</v>
      </c>
      <c r="AF2395" s="24">
        <v>43466</v>
      </c>
      <c r="AG2395" s="24">
        <v>43466</v>
      </c>
      <c r="AH2395" t="s">
        <v>26</v>
      </c>
      <c r="AI2395" s="24">
        <v>43466</v>
      </c>
      <c r="AJ2395" s="24">
        <v>43466</v>
      </c>
      <c r="AK2395" t="s">
        <v>26</v>
      </c>
      <c r="AL2395" t="s">
        <v>26</v>
      </c>
      <c r="AM2395" t="s">
        <v>26</v>
      </c>
      <c r="AN2395" t="s">
        <v>26</v>
      </c>
      <c r="AO2395" s="25" t="s">
        <v>28</v>
      </c>
      <c r="AP2395" s="23" t="s">
        <v>43</v>
      </c>
      <c r="AQ2395" t="s">
        <v>26</v>
      </c>
      <c r="AR2395" s="23" t="s">
        <v>46</v>
      </c>
      <c r="AS2395" s="25">
        <v>5758469</v>
      </c>
      <c r="AT2395" t="s">
        <v>26</v>
      </c>
      <c r="AU2395" t="s">
        <v>25369</v>
      </c>
    </row>
    <row r="2396" spans="1:47" ht="26.25" x14ac:dyDescent="0.4">
      <c r="A2396" s="23" t="s">
        <v>6290</v>
      </c>
      <c r="B2396" t="s">
        <v>26</v>
      </c>
      <c r="C2396" s="23" t="s">
        <v>80</v>
      </c>
      <c r="D2396" s="23" t="s">
        <v>22184</v>
      </c>
      <c r="E2396" s="23" t="s">
        <v>60</v>
      </c>
      <c r="F2396" s="25" t="s">
        <v>6291</v>
      </c>
      <c r="G2396" s="25" t="s">
        <v>6292</v>
      </c>
      <c r="H2396" t="s">
        <v>26</v>
      </c>
      <c r="I2396" t="s">
        <v>26</v>
      </c>
      <c r="J2396" t="s">
        <v>26</v>
      </c>
      <c r="K2396" t="s">
        <v>26</v>
      </c>
      <c r="L2396" s="25" t="s">
        <v>68</v>
      </c>
      <c r="M2396" t="s">
        <v>26</v>
      </c>
      <c r="N2396" t="s">
        <v>26</v>
      </c>
      <c r="O2396" t="s">
        <v>26</v>
      </c>
      <c r="P2396" t="s">
        <v>26</v>
      </c>
      <c r="Q2396" t="s">
        <v>26</v>
      </c>
      <c r="R2396" t="s">
        <v>26</v>
      </c>
      <c r="S2396" t="s">
        <v>26</v>
      </c>
      <c r="T2396" t="s">
        <v>26</v>
      </c>
      <c r="U2396" t="s">
        <v>26</v>
      </c>
      <c r="V2396" t="s">
        <v>26</v>
      </c>
      <c r="W2396" s="24">
        <v>35977</v>
      </c>
      <c r="X2396" s="25" t="s">
        <v>77</v>
      </c>
      <c r="Y2396" s="25" t="s">
        <v>6293</v>
      </c>
      <c r="Z2396" s="24">
        <v>35977</v>
      </c>
      <c r="AA2396" s="25" t="s">
        <v>77</v>
      </c>
      <c r="AB2396" s="25" t="s">
        <v>6293</v>
      </c>
      <c r="AC2396" s="24">
        <v>40179</v>
      </c>
      <c r="AD2396" s="25" t="s">
        <v>77</v>
      </c>
      <c r="AE2396" t="s">
        <v>26</v>
      </c>
      <c r="AF2396" t="s">
        <v>26</v>
      </c>
      <c r="AG2396" t="s">
        <v>26</v>
      </c>
      <c r="AH2396" t="s">
        <v>26</v>
      </c>
      <c r="AI2396" t="s">
        <v>26</v>
      </c>
      <c r="AJ2396" t="s">
        <v>26</v>
      </c>
      <c r="AK2396" t="s">
        <v>26</v>
      </c>
      <c r="AL2396" t="s">
        <v>26</v>
      </c>
      <c r="AM2396" t="s">
        <v>26</v>
      </c>
      <c r="AN2396" t="s">
        <v>26</v>
      </c>
      <c r="AO2396" s="25" t="s">
        <v>68</v>
      </c>
      <c r="AP2396" s="23" t="s">
        <v>69</v>
      </c>
      <c r="AQ2396" s="23" t="s">
        <v>30</v>
      </c>
      <c r="AR2396" s="23" t="s">
        <v>71</v>
      </c>
      <c r="AS2396" s="25">
        <v>31397</v>
      </c>
      <c r="AT2396" t="s">
        <v>26</v>
      </c>
      <c r="AU2396" t="s">
        <v>25370</v>
      </c>
    </row>
    <row r="2397" spans="1:47" ht="26.25" x14ac:dyDescent="0.4">
      <c r="A2397" s="23" t="s">
        <v>25371</v>
      </c>
      <c r="B2397" t="s">
        <v>26</v>
      </c>
      <c r="C2397" s="23" t="s">
        <v>22177</v>
      </c>
      <c r="D2397" t="s">
        <v>26</v>
      </c>
      <c r="E2397" s="23" t="s">
        <v>42</v>
      </c>
      <c r="F2397" t="s">
        <v>26</v>
      </c>
      <c r="G2397" t="s">
        <v>26</v>
      </c>
      <c r="H2397" t="s">
        <v>26</v>
      </c>
      <c r="I2397" s="24">
        <v>38353</v>
      </c>
      <c r="J2397" s="24">
        <v>38353</v>
      </c>
      <c r="K2397" t="s">
        <v>26</v>
      </c>
      <c r="L2397" s="25" t="s">
        <v>28</v>
      </c>
      <c r="M2397" s="24">
        <v>38353</v>
      </c>
      <c r="N2397" s="24">
        <v>38353</v>
      </c>
      <c r="O2397" t="s">
        <v>26</v>
      </c>
      <c r="P2397" t="s">
        <v>26</v>
      </c>
      <c r="Q2397" t="s">
        <v>26</v>
      </c>
      <c r="R2397" t="s">
        <v>26</v>
      </c>
      <c r="S2397" s="24">
        <v>38353</v>
      </c>
      <c r="T2397" s="24">
        <v>38353</v>
      </c>
      <c r="U2397" t="s">
        <v>26</v>
      </c>
      <c r="V2397" t="s">
        <v>26</v>
      </c>
      <c r="W2397" s="24">
        <v>38353</v>
      </c>
      <c r="X2397" s="24">
        <v>38353</v>
      </c>
      <c r="Y2397" t="s">
        <v>26</v>
      </c>
      <c r="Z2397" s="24">
        <v>38353</v>
      </c>
      <c r="AA2397" s="24">
        <v>38353</v>
      </c>
      <c r="AB2397" t="s">
        <v>26</v>
      </c>
      <c r="AC2397" s="24">
        <v>38353</v>
      </c>
      <c r="AD2397" s="24">
        <v>38353</v>
      </c>
      <c r="AE2397" t="s">
        <v>26</v>
      </c>
      <c r="AF2397" s="24">
        <v>38353</v>
      </c>
      <c r="AG2397" s="24">
        <v>38353</v>
      </c>
      <c r="AH2397" t="s">
        <v>26</v>
      </c>
      <c r="AI2397" s="24">
        <v>38353</v>
      </c>
      <c r="AJ2397" s="24">
        <v>38353</v>
      </c>
      <c r="AK2397" t="s">
        <v>26</v>
      </c>
      <c r="AL2397" t="s">
        <v>26</v>
      </c>
      <c r="AM2397" t="s">
        <v>26</v>
      </c>
      <c r="AN2397" t="s">
        <v>26</v>
      </c>
      <c r="AO2397" s="25" t="s">
        <v>28</v>
      </c>
      <c r="AP2397" s="23" t="s">
        <v>43</v>
      </c>
      <c r="AQ2397" s="23" t="s">
        <v>30</v>
      </c>
      <c r="AR2397" s="23" t="s">
        <v>44</v>
      </c>
      <c r="AS2397" s="25">
        <v>5262110</v>
      </c>
      <c r="AT2397" t="s">
        <v>26</v>
      </c>
      <c r="AU2397" t="s">
        <v>25372</v>
      </c>
    </row>
    <row r="2398" spans="1:47" ht="13.15" x14ac:dyDescent="0.4">
      <c r="A2398" s="23" t="s">
        <v>25373</v>
      </c>
      <c r="B2398" t="s">
        <v>26</v>
      </c>
      <c r="C2398" s="23" t="s">
        <v>332</v>
      </c>
      <c r="D2398" s="23" t="s">
        <v>22256</v>
      </c>
      <c r="E2398" s="23" t="s">
        <v>42</v>
      </c>
      <c r="F2398" t="s">
        <v>26</v>
      </c>
      <c r="G2398" t="s">
        <v>26</v>
      </c>
      <c r="H2398" t="s">
        <v>26</v>
      </c>
      <c r="I2398" s="24">
        <v>40179</v>
      </c>
      <c r="J2398" s="24">
        <v>40179</v>
      </c>
      <c r="K2398" t="s">
        <v>26</v>
      </c>
      <c r="L2398" s="25" t="s">
        <v>28</v>
      </c>
      <c r="M2398" s="24">
        <v>40179</v>
      </c>
      <c r="N2398" s="24">
        <v>40179</v>
      </c>
      <c r="O2398" t="s">
        <v>26</v>
      </c>
      <c r="P2398" t="s">
        <v>26</v>
      </c>
      <c r="Q2398" t="s">
        <v>26</v>
      </c>
      <c r="R2398" t="s">
        <v>26</v>
      </c>
      <c r="S2398" t="s">
        <v>26</v>
      </c>
      <c r="T2398" t="s">
        <v>26</v>
      </c>
      <c r="U2398" t="s">
        <v>26</v>
      </c>
      <c r="V2398" t="s">
        <v>26</v>
      </c>
      <c r="W2398" s="24">
        <v>40179</v>
      </c>
      <c r="X2398" s="24">
        <v>40179</v>
      </c>
      <c r="Y2398" t="s">
        <v>26</v>
      </c>
      <c r="Z2398" s="24">
        <v>40179</v>
      </c>
      <c r="AA2398" s="24">
        <v>40179</v>
      </c>
      <c r="AB2398" t="s">
        <v>26</v>
      </c>
      <c r="AC2398" s="24">
        <v>40179</v>
      </c>
      <c r="AD2398" s="24">
        <v>40179</v>
      </c>
      <c r="AE2398" t="s">
        <v>26</v>
      </c>
      <c r="AF2398" t="s">
        <v>26</v>
      </c>
      <c r="AG2398" t="s">
        <v>26</v>
      </c>
      <c r="AH2398" t="s">
        <v>26</v>
      </c>
      <c r="AI2398" t="s">
        <v>26</v>
      </c>
      <c r="AJ2398" t="s">
        <v>26</v>
      </c>
      <c r="AK2398" t="s">
        <v>26</v>
      </c>
      <c r="AL2398" t="s">
        <v>26</v>
      </c>
      <c r="AM2398" t="s">
        <v>26</v>
      </c>
      <c r="AN2398" t="s">
        <v>26</v>
      </c>
      <c r="AO2398" s="25" t="s">
        <v>28</v>
      </c>
      <c r="AP2398" s="23" t="s">
        <v>279</v>
      </c>
      <c r="AQ2398" s="23" t="s">
        <v>30</v>
      </c>
      <c r="AR2398" s="23" t="s">
        <v>46</v>
      </c>
      <c r="AS2398" s="25">
        <v>6275751</v>
      </c>
      <c r="AT2398" t="s">
        <v>26</v>
      </c>
      <c r="AU2398" t="s">
        <v>25374</v>
      </c>
    </row>
    <row r="2399" spans="1:47" ht="26.25" x14ac:dyDescent="0.4">
      <c r="A2399" s="23" t="s">
        <v>6294</v>
      </c>
      <c r="B2399" t="s">
        <v>26</v>
      </c>
      <c r="C2399" s="23" t="s">
        <v>803</v>
      </c>
      <c r="D2399" s="23" t="s">
        <v>22499</v>
      </c>
      <c r="E2399" s="23" t="s">
        <v>711</v>
      </c>
      <c r="F2399" s="25" t="s">
        <v>6295</v>
      </c>
      <c r="G2399" s="25" t="s">
        <v>6296</v>
      </c>
      <c r="H2399" t="s">
        <v>26</v>
      </c>
      <c r="I2399" s="24">
        <v>36100</v>
      </c>
      <c r="J2399" s="24">
        <v>42278</v>
      </c>
      <c r="K2399" t="s">
        <v>26</v>
      </c>
      <c r="L2399" s="25" t="s">
        <v>68</v>
      </c>
      <c r="M2399" s="24">
        <v>36100</v>
      </c>
      <c r="N2399" s="24">
        <v>37865</v>
      </c>
      <c r="O2399" t="s">
        <v>26</v>
      </c>
      <c r="P2399" s="24">
        <v>36100</v>
      </c>
      <c r="Q2399" s="24">
        <v>42278</v>
      </c>
      <c r="R2399" t="s">
        <v>26</v>
      </c>
      <c r="S2399" t="s">
        <v>26</v>
      </c>
      <c r="T2399" t="s">
        <v>26</v>
      </c>
      <c r="U2399" t="s">
        <v>26</v>
      </c>
      <c r="V2399" t="s">
        <v>26</v>
      </c>
      <c r="W2399" s="24">
        <v>36100</v>
      </c>
      <c r="X2399" s="24">
        <v>42583</v>
      </c>
      <c r="Y2399" t="s">
        <v>26</v>
      </c>
      <c r="Z2399" s="24">
        <v>36100</v>
      </c>
      <c r="AA2399" s="24">
        <v>42583</v>
      </c>
      <c r="AB2399" t="s">
        <v>26</v>
      </c>
      <c r="AC2399" s="24">
        <v>36100</v>
      </c>
      <c r="AD2399" s="24">
        <v>42583</v>
      </c>
      <c r="AE2399" t="s">
        <v>26</v>
      </c>
      <c r="AF2399" t="s">
        <v>26</v>
      </c>
      <c r="AG2399" t="s">
        <v>26</v>
      </c>
      <c r="AH2399" t="s">
        <v>26</v>
      </c>
      <c r="AI2399" t="s">
        <v>26</v>
      </c>
      <c r="AJ2399" t="s">
        <v>26</v>
      </c>
      <c r="AK2399" t="s">
        <v>26</v>
      </c>
      <c r="AL2399" t="s">
        <v>26</v>
      </c>
      <c r="AM2399" t="s">
        <v>26</v>
      </c>
      <c r="AN2399" t="s">
        <v>26</v>
      </c>
      <c r="AO2399" s="25" t="s">
        <v>68</v>
      </c>
      <c r="AP2399" s="23" t="s">
        <v>69</v>
      </c>
      <c r="AQ2399" s="23" t="s">
        <v>30</v>
      </c>
      <c r="AR2399" s="23" t="s">
        <v>71</v>
      </c>
      <c r="AS2399" s="25">
        <v>41216</v>
      </c>
      <c r="AT2399" t="s">
        <v>26</v>
      </c>
      <c r="AU2399" t="s">
        <v>25375</v>
      </c>
    </row>
    <row r="2400" spans="1:47" ht="26.25" x14ac:dyDescent="0.4">
      <c r="A2400" s="23" t="s">
        <v>6297</v>
      </c>
      <c r="B2400" t="s">
        <v>26</v>
      </c>
      <c r="C2400" s="23" t="s">
        <v>25376</v>
      </c>
      <c r="D2400" t="s">
        <v>26</v>
      </c>
      <c r="E2400" s="23" t="s">
        <v>42</v>
      </c>
      <c r="F2400" t="s">
        <v>26</v>
      </c>
      <c r="G2400" t="s">
        <v>26</v>
      </c>
      <c r="H2400" t="s">
        <v>26</v>
      </c>
      <c r="I2400" s="24">
        <v>42192</v>
      </c>
      <c r="J2400" s="24">
        <v>42192</v>
      </c>
      <c r="K2400" t="s">
        <v>26</v>
      </c>
      <c r="L2400" s="25" t="s">
        <v>28</v>
      </c>
      <c r="M2400" s="24">
        <v>42192</v>
      </c>
      <c r="N2400" s="24">
        <v>42192</v>
      </c>
      <c r="O2400" t="s">
        <v>26</v>
      </c>
      <c r="P2400" t="s">
        <v>26</v>
      </c>
      <c r="Q2400" t="s">
        <v>26</v>
      </c>
      <c r="R2400" t="s">
        <v>26</v>
      </c>
      <c r="S2400" s="24">
        <v>42192</v>
      </c>
      <c r="T2400" s="24">
        <v>42192</v>
      </c>
      <c r="U2400" t="s">
        <v>26</v>
      </c>
      <c r="V2400" t="s">
        <v>26</v>
      </c>
      <c r="W2400" s="24">
        <v>42192</v>
      </c>
      <c r="X2400" s="24">
        <v>42192</v>
      </c>
      <c r="Y2400" t="s">
        <v>26</v>
      </c>
      <c r="Z2400" s="24">
        <v>42192</v>
      </c>
      <c r="AA2400" s="24">
        <v>42192</v>
      </c>
      <c r="AB2400" t="s">
        <v>26</v>
      </c>
      <c r="AC2400" s="24">
        <v>42192</v>
      </c>
      <c r="AD2400" s="24">
        <v>42192</v>
      </c>
      <c r="AE2400" t="s">
        <v>26</v>
      </c>
      <c r="AF2400" s="24">
        <v>42192</v>
      </c>
      <c r="AG2400" s="24">
        <v>42192</v>
      </c>
      <c r="AH2400" t="s">
        <v>26</v>
      </c>
      <c r="AI2400" s="24">
        <v>42192</v>
      </c>
      <c r="AJ2400" s="24">
        <v>42192</v>
      </c>
      <c r="AK2400" t="s">
        <v>26</v>
      </c>
      <c r="AL2400" t="s">
        <v>26</v>
      </c>
      <c r="AM2400" t="s">
        <v>26</v>
      </c>
      <c r="AN2400" t="s">
        <v>26</v>
      </c>
      <c r="AO2400" s="25" t="s">
        <v>28</v>
      </c>
      <c r="AP2400" s="23" t="s">
        <v>43</v>
      </c>
      <c r="AQ2400" s="23" t="s">
        <v>30</v>
      </c>
      <c r="AR2400" s="23" t="s">
        <v>44</v>
      </c>
      <c r="AS2400" s="25">
        <v>5256688</v>
      </c>
      <c r="AT2400" t="s">
        <v>26</v>
      </c>
      <c r="AU2400" t="s">
        <v>25377</v>
      </c>
    </row>
    <row r="2401" spans="1:47" ht="39.4" x14ac:dyDescent="0.4">
      <c r="A2401" s="23" t="s">
        <v>6298</v>
      </c>
      <c r="B2401" t="s">
        <v>26</v>
      </c>
      <c r="C2401" s="23" t="s">
        <v>6299</v>
      </c>
      <c r="D2401" s="23" t="s">
        <v>25378</v>
      </c>
      <c r="E2401" s="23" t="s">
        <v>5985</v>
      </c>
      <c r="F2401" s="25" t="s">
        <v>6300</v>
      </c>
      <c r="G2401" s="25" t="s">
        <v>6301</v>
      </c>
      <c r="H2401" t="s">
        <v>26</v>
      </c>
      <c r="I2401" s="24">
        <v>37257</v>
      </c>
      <c r="J2401" s="25" t="s">
        <v>77</v>
      </c>
      <c r="K2401" t="s">
        <v>26</v>
      </c>
      <c r="L2401" s="25" t="s">
        <v>68</v>
      </c>
      <c r="M2401" t="s">
        <v>26</v>
      </c>
      <c r="N2401" t="s">
        <v>26</v>
      </c>
      <c r="O2401" t="s">
        <v>26</v>
      </c>
      <c r="P2401" s="24">
        <v>37257</v>
      </c>
      <c r="Q2401" s="25" t="s">
        <v>77</v>
      </c>
      <c r="R2401" t="s">
        <v>26</v>
      </c>
      <c r="S2401" t="s">
        <v>26</v>
      </c>
      <c r="T2401" t="s">
        <v>26</v>
      </c>
      <c r="U2401" t="s">
        <v>26</v>
      </c>
      <c r="V2401" t="s">
        <v>26</v>
      </c>
      <c r="W2401" s="24">
        <v>37257</v>
      </c>
      <c r="X2401" s="25" t="s">
        <v>77</v>
      </c>
      <c r="Y2401" t="s">
        <v>26</v>
      </c>
      <c r="Z2401" s="24">
        <v>37257</v>
      </c>
      <c r="AA2401" s="25" t="s">
        <v>77</v>
      </c>
      <c r="AB2401" t="s">
        <v>26</v>
      </c>
      <c r="AC2401" s="24">
        <v>37257</v>
      </c>
      <c r="AD2401" s="25" t="s">
        <v>77</v>
      </c>
      <c r="AE2401" t="s">
        <v>26</v>
      </c>
      <c r="AF2401" t="s">
        <v>26</v>
      </c>
      <c r="AG2401" t="s">
        <v>26</v>
      </c>
      <c r="AH2401" t="s">
        <v>26</v>
      </c>
      <c r="AI2401" t="s">
        <v>26</v>
      </c>
      <c r="AJ2401" t="s">
        <v>26</v>
      </c>
      <c r="AK2401" t="s">
        <v>26</v>
      </c>
      <c r="AL2401" t="s">
        <v>26</v>
      </c>
      <c r="AM2401" t="s">
        <v>26</v>
      </c>
      <c r="AN2401" t="s">
        <v>26</v>
      </c>
      <c r="AO2401" s="25" t="s">
        <v>68</v>
      </c>
      <c r="AP2401" s="23" t="s">
        <v>69</v>
      </c>
      <c r="AQ2401" s="23" t="s">
        <v>226</v>
      </c>
      <c r="AR2401" s="23" t="s">
        <v>46</v>
      </c>
      <c r="AS2401" s="25">
        <v>5615484</v>
      </c>
      <c r="AT2401" t="s">
        <v>26</v>
      </c>
      <c r="AU2401" t="s">
        <v>25379</v>
      </c>
    </row>
    <row r="2402" spans="1:47" ht="13.15" x14ac:dyDescent="0.4">
      <c r="A2402" s="23" t="s">
        <v>6302</v>
      </c>
      <c r="B2402" t="s">
        <v>26</v>
      </c>
      <c r="C2402" s="23" t="s">
        <v>1275</v>
      </c>
      <c r="D2402" s="23" t="s">
        <v>25380</v>
      </c>
      <c r="E2402" s="23" t="s">
        <v>335</v>
      </c>
      <c r="F2402" s="25" t="s">
        <v>6303</v>
      </c>
      <c r="G2402" t="s">
        <v>26</v>
      </c>
      <c r="H2402" t="s">
        <v>26</v>
      </c>
      <c r="I2402" t="s">
        <v>26</v>
      </c>
      <c r="J2402" t="s">
        <v>26</v>
      </c>
      <c r="K2402" t="s">
        <v>26</v>
      </c>
      <c r="L2402" s="25" t="s">
        <v>28</v>
      </c>
      <c r="M2402" t="s">
        <v>26</v>
      </c>
      <c r="N2402" t="s">
        <v>26</v>
      </c>
      <c r="O2402" t="s">
        <v>26</v>
      </c>
      <c r="P2402" t="s">
        <v>26</v>
      </c>
      <c r="Q2402" t="s">
        <v>26</v>
      </c>
      <c r="R2402" t="s">
        <v>26</v>
      </c>
      <c r="S2402" t="s">
        <v>26</v>
      </c>
      <c r="T2402" t="s">
        <v>26</v>
      </c>
      <c r="U2402" t="s">
        <v>26</v>
      </c>
      <c r="V2402" t="s">
        <v>26</v>
      </c>
      <c r="W2402" s="24">
        <v>37257</v>
      </c>
      <c r="X2402" s="24">
        <v>39356</v>
      </c>
      <c r="Y2402" t="s">
        <v>26</v>
      </c>
      <c r="Z2402" s="24">
        <v>37257</v>
      </c>
      <c r="AA2402" s="24">
        <v>39356</v>
      </c>
      <c r="AB2402" t="s">
        <v>26</v>
      </c>
      <c r="AC2402" t="s">
        <v>26</v>
      </c>
      <c r="AD2402" t="s">
        <v>26</v>
      </c>
      <c r="AE2402" t="s">
        <v>26</v>
      </c>
      <c r="AF2402" t="s">
        <v>26</v>
      </c>
      <c r="AG2402" t="s">
        <v>26</v>
      </c>
      <c r="AH2402" t="s">
        <v>26</v>
      </c>
      <c r="AI2402" t="s">
        <v>26</v>
      </c>
      <c r="AJ2402" t="s">
        <v>26</v>
      </c>
      <c r="AK2402" t="s">
        <v>26</v>
      </c>
      <c r="AL2402" t="s">
        <v>26</v>
      </c>
      <c r="AM2402" t="s">
        <v>26</v>
      </c>
      <c r="AN2402" t="s">
        <v>26</v>
      </c>
      <c r="AO2402" s="25" t="s">
        <v>28</v>
      </c>
      <c r="AP2402" s="23" t="s">
        <v>211</v>
      </c>
      <c r="AQ2402" s="23" t="s">
        <v>30</v>
      </c>
      <c r="AR2402" s="23" t="s">
        <v>46</v>
      </c>
      <c r="AS2402" s="25">
        <v>43420</v>
      </c>
      <c r="AT2402" t="s">
        <v>26</v>
      </c>
      <c r="AU2402" t="s">
        <v>25381</v>
      </c>
    </row>
    <row r="2403" spans="1:47" ht="26.25" x14ac:dyDescent="0.4">
      <c r="A2403" s="23" t="s">
        <v>6304</v>
      </c>
      <c r="B2403" t="s">
        <v>26</v>
      </c>
      <c r="C2403" s="23" t="s">
        <v>6305</v>
      </c>
      <c r="D2403" s="23" t="s">
        <v>22254</v>
      </c>
      <c r="E2403" s="23" t="s">
        <v>42</v>
      </c>
      <c r="F2403" s="25" t="s">
        <v>6306</v>
      </c>
      <c r="G2403" s="25" t="s">
        <v>6307</v>
      </c>
      <c r="H2403" t="s">
        <v>26</v>
      </c>
      <c r="I2403" s="24">
        <v>32143</v>
      </c>
      <c r="J2403" s="24">
        <v>40544</v>
      </c>
      <c r="K2403" t="s">
        <v>26</v>
      </c>
      <c r="L2403" s="25" t="s">
        <v>68</v>
      </c>
      <c r="M2403" s="24">
        <v>33239</v>
      </c>
      <c r="N2403" s="24">
        <v>40544</v>
      </c>
      <c r="O2403" t="s">
        <v>26</v>
      </c>
      <c r="P2403" s="24">
        <v>32143</v>
      </c>
      <c r="Q2403" s="24">
        <v>40544</v>
      </c>
      <c r="R2403" t="s">
        <v>26</v>
      </c>
      <c r="S2403" t="s">
        <v>26</v>
      </c>
      <c r="T2403" t="s">
        <v>26</v>
      </c>
      <c r="U2403" t="s">
        <v>26</v>
      </c>
      <c r="V2403" t="s">
        <v>26</v>
      </c>
      <c r="W2403" s="24">
        <v>26177</v>
      </c>
      <c r="X2403" s="25" t="s">
        <v>77</v>
      </c>
      <c r="Y2403" t="s">
        <v>26</v>
      </c>
      <c r="Z2403" s="24">
        <v>26177</v>
      </c>
      <c r="AA2403" s="25" t="s">
        <v>77</v>
      </c>
      <c r="AB2403" t="s">
        <v>26</v>
      </c>
      <c r="AC2403" s="24">
        <v>26177</v>
      </c>
      <c r="AD2403" s="25" t="s">
        <v>77</v>
      </c>
      <c r="AE2403" t="s">
        <v>26</v>
      </c>
      <c r="AF2403" t="s">
        <v>26</v>
      </c>
      <c r="AG2403" t="s">
        <v>26</v>
      </c>
      <c r="AH2403" t="s">
        <v>26</v>
      </c>
      <c r="AI2403" t="s">
        <v>26</v>
      </c>
      <c r="AJ2403" t="s">
        <v>26</v>
      </c>
      <c r="AK2403" t="s">
        <v>26</v>
      </c>
      <c r="AL2403" t="s">
        <v>26</v>
      </c>
      <c r="AM2403" t="s">
        <v>26</v>
      </c>
      <c r="AN2403" t="s">
        <v>26</v>
      </c>
      <c r="AO2403" s="25" t="s">
        <v>68</v>
      </c>
      <c r="AP2403" s="23" t="s">
        <v>69</v>
      </c>
      <c r="AQ2403" s="23" t="s">
        <v>30</v>
      </c>
      <c r="AR2403" s="23" t="s">
        <v>6308</v>
      </c>
      <c r="AS2403" s="25">
        <v>42034</v>
      </c>
      <c r="AT2403" t="s">
        <v>26</v>
      </c>
      <c r="AU2403" t="s">
        <v>25382</v>
      </c>
    </row>
    <row r="2404" spans="1:47" ht="26.25" x14ac:dyDescent="0.4">
      <c r="A2404" s="23" t="s">
        <v>6309</v>
      </c>
      <c r="B2404" t="s">
        <v>26</v>
      </c>
      <c r="C2404" s="23" t="s">
        <v>351</v>
      </c>
      <c r="D2404" s="23" t="s">
        <v>22242</v>
      </c>
      <c r="E2404" s="23" t="s">
        <v>60</v>
      </c>
      <c r="F2404" s="25" t="s">
        <v>6310</v>
      </c>
      <c r="G2404" s="25" t="s">
        <v>6311</v>
      </c>
      <c r="H2404" t="s">
        <v>26</v>
      </c>
      <c r="I2404" t="s">
        <v>26</v>
      </c>
      <c r="J2404" t="s">
        <v>26</v>
      </c>
      <c r="K2404" t="s">
        <v>26</v>
      </c>
      <c r="L2404" s="25" t="s">
        <v>68</v>
      </c>
      <c r="M2404" t="s">
        <v>26</v>
      </c>
      <c r="N2404" t="s">
        <v>26</v>
      </c>
      <c r="O2404" t="s">
        <v>26</v>
      </c>
      <c r="P2404" t="s">
        <v>26</v>
      </c>
      <c r="Q2404" t="s">
        <v>26</v>
      </c>
      <c r="R2404" t="s">
        <v>26</v>
      </c>
      <c r="S2404" t="s">
        <v>26</v>
      </c>
      <c r="T2404" t="s">
        <v>26</v>
      </c>
      <c r="U2404" t="s">
        <v>26</v>
      </c>
      <c r="V2404" t="s">
        <v>26</v>
      </c>
      <c r="W2404" s="24">
        <v>32112</v>
      </c>
      <c r="X2404" s="24">
        <v>42552</v>
      </c>
      <c r="Y2404" t="s">
        <v>26</v>
      </c>
      <c r="Z2404" s="24">
        <v>32112</v>
      </c>
      <c r="AA2404" s="24">
        <v>42552</v>
      </c>
      <c r="AB2404" t="s">
        <v>26</v>
      </c>
      <c r="AC2404" s="24">
        <v>32112</v>
      </c>
      <c r="AD2404" s="24">
        <v>42552</v>
      </c>
      <c r="AE2404" t="s">
        <v>26</v>
      </c>
      <c r="AF2404" t="s">
        <v>26</v>
      </c>
      <c r="AG2404" t="s">
        <v>26</v>
      </c>
      <c r="AH2404" t="s">
        <v>26</v>
      </c>
      <c r="AI2404" t="s">
        <v>26</v>
      </c>
      <c r="AJ2404" t="s">
        <v>26</v>
      </c>
      <c r="AK2404" t="s">
        <v>26</v>
      </c>
      <c r="AL2404" t="s">
        <v>26</v>
      </c>
      <c r="AM2404" t="s">
        <v>26</v>
      </c>
      <c r="AN2404" t="s">
        <v>26</v>
      </c>
      <c r="AO2404" s="25" t="s">
        <v>68</v>
      </c>
      <c r="AP2404" s="23" t="s">
        <v>69</v>
      </c>
      <c r="AQ2404" s="23" t="s">
        <v>30</v>
      </c>
      <c r="AR2404" s="23" t="s">
        <v>3370</v>
      </c>
      <c r="AS2404" s="25">
        <v>282</v>
      </c>
      <c r="AT2404" t="s">
        <v>26</v>
      </c>
      <c r="AU2404" t="s">
        <v>25383</v>
      </c>
    </row>
    <row r="2405" spans="1:47" ht="26.25" x14ac:dyDescent="0.4">
      <c r="A2405" s="23" t="s">
        <v>6312</v>
      </c>
      <c r="B2405" t="s">
        <v>26</v>
      </c>
      <c r="C2405" s="23" t="s">
        <v>107</v>
      </c>
      <c r="D2405" s="23" t="s">
        <v>22194</v>
      </c>
      <c r="E2405" s="23" t="s">
        <v>42</v>
      </c>
      <c r="F2405" s="25" t="s">
        <v>6313</v>
      </c>
      <c r="G2405" s="25" t="s">
        <v>6314</v>
      </c>
      <c r="H2405" t="s">
        <v>26</v>
      </c>
      <c r="I2405" s="24">
        <v>35339</v>
      </c>
      <c r="J2405" s="24">
        <v>42887</v>
      </c>
      <c r="K2405" t="s">
        <v>26</v>
      </c>
      <c r="L2405" s="25" t="s">
        <v>68</v>
      </c>
      <c r="M2405" s="24">
        <v>35339</v>
      </c>
      <c r="N2405" s="24">
        <v>42887</v>
      </c>
      <c r="O2405" t="s">
        <v>26</v>
      </c>
      <c r="P2405" s="24">
        <v>35339</v>
      </c>
      <c r="Q2405" s="24">
        <v>42887</v>
      </c>
      <c r="R2405" t="s">
        <v>26</v>
      </c>
      <c r="S2405" t="s">
        <v>26</v>
      </c>
      <c r="T2405" t="s">
        <v>26</v>
      </c>
      <c r="U2405" t="s">
        <v>26</v>
      </c>
      <c r="V2405" t="s">
        <v>26</v>
      </c>
      <c r="W2405" s="24">
        <v>26573</v>
      </c>
      <c r="X2405" s="25" t="s">
        <v>77</v>
      </c>
      <c r="Y2405" t="s">
        <v>26</v>
      </c>
      <c r="Z2405" s="24">
        <v>26573</v>
      </c>
      <c r="AA2405" s="25" t="s">
        <v>77</v>
      </c>
      <c r="AB2405" t="s">
        <v>26</v>
      </c>
      <c r="AC2405" s="24">
        <v>26785</v>
      </c>
      <c r="AD2405" s="25" t="s">
        <v>77</v>
      </c>
      <c r="AE2405" t="s">
        <v>26</v>
      </c>
      <c r="AF2405" t="s">
        <v>26</v>
      </c>
      <c r="AG2405" t="s">
        <v>26</v>
      </c>
      <c r="AH2405" t="s">
        <v>26</v>
      </c>
      <c r="AI2405" t="s">
        <v>26</v>
      </c>
      <c r="AJ2405" t="s">
        <v>26</v>
      </c>
      <c r="AK2405" t="s">
        <v>26</v>
      </c>
      <c r="AL2405" t="s">
        <v>26</v>
      </c>
      <c r="AM2405" t="s">
        <v>26</v>
      </c>
      <c r="AN2405" t="s">
        <v>26</v>
      </c>
      <c r="AO2405" s="25" t="s">
        <v>68</v>
      </c>
      <c r="AP2405" s="23" t="s">
        <v>69</v>
      </c>
      <c r="AQ2405" s="23" t="s">
        <v>30</v>
      </c>
      <c r="AR2405" s="23" t="s">
        <v>128</v>
      </c>
      <c r="AS2405" s="25">
        <v>35335</v>
      </c>
      <c r="AT2405" t="s">
        <v>26</v>
      </c>
      <c r="AU2405" t="s">
        <v>25384</v>
      </c>
    </row>
    <row r="2406" spans="1:47" ht="26.25" x14ac:dyDescent="0.4">
      <c r="A2406" s="23" t="s">
        <v>6315</v>
      </c>
      <c r="B2406" t="s">
        <v>26</v>
      </c>
      <c r="C2406" s="23" t="s">
        <v>181</v>
      </c>
      <c r="D2406" s="23" t="s">
        <v>22174</v>
      </c>
      <c r="E2406" s="23" t="s">
        <v>60</v>
      </c>
      <c r="F2406" s="25" t="s">
        <v>6316</v>
      </c>
      <c r="G2406" s="25" t="s">
        <v>6317</v>
      </c>
      <c r="H2406" t="s">
        <v>26</v>
      </c>
      <c r="I2406" t="s">
        <v>26</v>
      </c>
      <c r="J2406" t="s">
        <v>26</v>
      </c>
      <c r="K2406" t="s">
        <v>26</v>
      </c>
      <c r="L2406" s="25" t="s">
        <v>68</v>
      </c>
      <c r="M2406" t="s">
        <v>26</v>
      </c>
      <c r="N2406" t="s">
        <v>26</v>
      </c>
      <c r="O2406" t="s">
        <v>26</v>
      </c>
      <c r="P2406" t="s">
        <v>26</v>
      </c>
      <c r="Q2406" t="s">
        <v>26</v>
      </c>
      <c r="R2406" t="s">
        <v>26</v>
      </c>
      <c r="S2406" t="s">
        <v>26</v>
      </c>
      <c r="T2406" t="s">
        <v>26</v>
      </c>
      <c r="U2406" t="s">
        <v>26</v>
      </c>
      <c r="V2406" t="s">
        <v>26</v>
      </c>
      <c r="W2406" s="24">
        <v>39173</v>
      </c>
      <c r="X2406" s="25" t="s">
        <v>77</v>
      </c>
      <c r="Y2406" t="s">
        <v>26</v>
      </c>
      <c r="Z2406" s="24">
        <v>39173</v>
      </c>
      <c r="AA2406" s="25" t="s">
        <v>77</v>
      </c>
      <c r="AB2406" t="s">
        <v>26</v>
      </c>
      <c r="AC2406" s="24">
        <v>39173</v>
      </c>
      <c r="AD2406" s="25" t="s">
        <v>77</v>
      </c>
      <c r="AE2406" t="s">
        <v>26</v>
      </c>
      <c r="AF2406" t="s">
        <v>26</v>
      </c>
      <c r="AG2406" t="s">
        <v>26</v>
      </c>
      <c r="AH2406" t="s">
        <v>26</v>
      </c>
      <c r="AI2406" t="s">
        <v>26</v>
      </c>
      <c r="AJ2406" t="s">
        <v>26</v>
      </c>
      <c r="AK2406" t="s">
        <v>26</v>
      </c>
      <c r="AL2406" t="s">
        <v>26</v>
      </c>
      <c r="AM2406" t="s">
        <v>26</v>
      </c>
      <c r="AN2406" t="s">
        <v>26</v>
      </c>
      <c r="AO2406" s="25" t="s">
        <v>68</v>
      </c>
      <c r="AP2406" s="23" t="s">
        <v>69</v>
      </c>
      <c r="AQ2406" s="23" t="s">
        <v>30</v>
      </c>
      <c r="AR2406" s="23" t="s">
        <v>433</v>
      </c>
      <c r="AS2406" s="25">
        <v>186216</v>
      </c>
      <c r="AT2406" t="s">
        <v>26</v>
      </c>
      <c r="AU2406" t="s">
        <v>25385</v>
      </c>
    </row>
    <row r="2407" spans="1:47" ht="13.15" x14ac:dyDescent="0.4">
      <c r="A2407" s="23" t="s">
        <v>6318</v>
      </c>
      <c r="B2407" t="s">
        <v>26</v>
      </c>
      <c r="C2407" t="s">
        <v>26</v>
      </c>
      <c r="D2407" s="23" t="s">
        <v>22231</v>
      </c>
      <c r="E2407" t="s">
        <v>26</v>
      </c>
      <c r="F2407" t="s">
        <v>26</v>
      </c>
      <c r="G2407" t="s">
        <v>26</v>
      </c>
      <c r="H2407" t="s">
        <v>26</v>
      </c>
      <c r="I2407" s="24">
        <v>39814</v>
      </c>
      <c r="J2407" s="24">
        <v>39814</v>
      </c>
      <c r="K2407" t="s">
        <v>26</v>
      </c>
      <c r="L2407" s="25" t="s">
        <v>28</v>
      </c>
      <c r="M2407" s="24">
        <v>39814</v>
      </c>
      <c r="N2407" s="24">
        <v>39814</v>
      </c>
      <c r="O2407" t="s">
        <v>26</v>
      </c>
      <c r="P2407" t="s">
        <v>26</v>
      </c>
      <c r="Q2407" t="s">
        <v>26</v>
      </c>
      <c r="R2407" t="s">
        <v>26</v>
      </c>
      <c r="S2407" t="s">
        <v>26</v>
      </c>
      <c r="T2407" t="s">
        <v>26</v>
      </c>
      <c r="U2407" t="s">
        <v>26</v>
      </c>
      <c r="V2407" t="s">
        <v>26</v>
      </c>
      <c r="W2407" s="24">
        <v>39814</v>
      </c>
      <c r="X2407" s="24">
        <v>39814</v>
      </c>
      <c r="Y2407" t="s">
        <v>26</v>
      </c>
      <c r="Z2407" s="24">
        <v>39814</v>
      </c>
      <c r="AA2407" s="24">
        <v>39814</v>
      </c>
      <c r="AB2407" t="s">
        <v>26</v>
      </c>
      <c r="AC2407" s="24">
        <v>39814</v>
      </c>
      <c r="AD2407" s="24">
        <v>39814</v>
      </c>
      <c r="AE2407" t="s">
        <v>26</v>
      </c>
      <c r="AF2407" t="s">
        <v>26</v>
      </c>
      <c r="AG2407" t="s">
        <v>26</v>
      </c>
      <c r="AH2407" t="s">
        <v>26</v>
      </c>
      <c r="AI2407" t="s">
        <v>26</v>
      </c>
      <c r="AJ2407" t="s">
        <v>26</v>
      </c>
      <c r="AK2407" t="s">
        <v>26</v>
      </c>
      <c r="AL2407" t="s">
        <v>26</v>
      </c>
      <c r="AM2407" t="s">
        <v>26</v>
      </c>
      <c r="AN2407" t="s">
        <v>26</v>
      </c>
      <c r="AO2407" s="25" t="s">
        <v>28</v>
      </c>
      <c r="AP2407" s="23" t="s">
        <v>29</v>
      </c>
      <c r="AQ2407" s="23" t="s">
        <v>30</v>
      </c>
      <c r="AR2407" s="23" t="s">
        <v>46</v>
      </c>
      <c r="AS2407" s="25">
        <v>6059461</v>
      </c>
      <c r="AT2407" t="s">
        <v>26</v>
      </c>
      <c r="AU2407" t="s">
        <v>25386</v>
      </c>
    </row>
    <row r="2408" spans="1:47" ht="26.25" x14ac:dyDescent="0.4">
      <c r="A2408" s="23" t="s">
        <v>6319</v>
      </c>
      <c r="B2408" t="s">
        <v>26</v>
      </c>
      <c r="C2408" s="23" t="s">
        <v>6320</v>
      </c>
      <c r="D2408" s="23" t="s">
        <v>22256</v>
      </c>
      <c r="E2408" s="23" t="s">
        <v>42</v>
      </c>
      <c r="F2408" t="s">
        <v>26</v>
      </c>
      <c r="G2408" t="s">
        <v>26</v>
      </c>
      <c r="H2408" s="25" t="s">
        <v>6321</v>
      </c>
      <c r="I2408" s="24">
        <v>39083</v>
      </c>
      <c r="J2408" s="24">
        <v>39083</v>
      </c>
      <c r="K2408" t="s">
        <v>26</v>
      </c>
      <c r="L2408" s="25" t="s">
        <v>28</v>
      </c>
      <c r="M2408" s="24">
        <v>39083</v>
      </c>
      <c r="N2408" s="24">
        <v>39083</v>
      </c>
      <c r="O2408" t="s">
        <v>26</v>
      </c>
      <c r="P2408" s="24">
        <v>39083</v>
      </c>
      <c r="Q2408" s="24">
        <v>39083</v>
      </c>
      <c r="R2408" t="s">
        <v>26</v>
      </c>
      <c r="S2408" t="s">
        <v>26</v>
      </c>
      <c r="T2408" t="s">
        <v>26</v>
      </c>
      <c r="U2408" t="s">
        <v>26</v>
      </c>
      <c r="V2408" t="s">
        <v>26</v>
      </c>
      <c r="W2408" s="24">
        <v>39083</v>
      </c>
      <c r="X2408" s="24">
        <v>39083</v>
      </c>
      <c r="Y2408" t="s">
        <v>26</v>
      </c>
      <c r="Z2408" s="24">
        <v>39083</v>
      </c>
      <c r="AA2408" s="24">
        <v>39083</v>
      </c>
      <c r="AB2408" t="s">
        <v>26</v>
      </c>
      <c r="AC2408" s="24">
        <v>39083</v>
      </c>
      <c r="AD2408" s="24">
        <v>39083</v>
      </c>
      <c r="AE2408" t="s">
        <v>26</v>
      </c>
      <c r="AF2408" t="s">
        <v>26</v>
      </c>
      <c r="AG2408" t="s">
        <v>26</v>
      </c>
      <c r="AH2408" t="s">
        <v>26</v>
      </c>
      <c r="AI2408" t="s">
        <v>26</v>
      </c>
      <c r="AJ2408" t="s">
        <v>26</v>
      </c>
      <c r="AK2408" t="s">
        <v>26</v>
      </c>
      <c r="AL2408" t="s">
        <v>26</v>
      </c>
      <c r="AM2408" t="s">
        <v>26</v>
      </c>
      <c r="AN2408" t="s">
        <v>26</v>
      </c>
      <c r="AO2408" s="25" t="s">
        <v>28</v>
      </c>
      <c r="AP2408" s="23" t="s">
        <v>29</v>
      </c>
      <c r="AQ2408" s="23" t="s">
        <v>30</v>
      </c>
      <c r="AR2408" s="23" t="s">
        <v>1688</v>
      </c>
      <c r="AS2408" s="25">
        <v>686475</v>
      </c>
      <c r="AT2408" t="s">
        <v>26</v>
      </c>
      <c r="AU2408" t="s">
        <v>25387</v>
      </c>
    </row>
    <row r="2409" spans="1:47" ht="13.15" x14ac:dyDescent="0.4">
      <c r="A2409" s="23" t="s">
        <v>6322</v>
      </c>
      <c r="B2409" t="s">
        <v>26</v>
      </c>
      <c r="C2409" s="23" t="s">
        <v>146</v>
      </c>
      <c r="D2409" s="23" t="s">
        <v>22174</v>
      </c>
      <c r="E2409" s="23" t="s">
        <v>60</v>
      </c>
      <c r="F2409" t="s">
        <v>26</v>
      </c>
      <c r="G2409" t="s">
        <v>26</v>
      </c>
      <c r="H2409" t="s">
        <v>26</v>
      </c>
      <c r="I2409" t="s">
        <v>26</v>
      </c>
      <c r="J2409" t="s">
        <v>26</v>
      </c>
      <c r="K2409" t="s">
        <v>26</v>
      </c>
      <c r="L2409" s="25" t="s">
        <v>28</v>
      </c>
      <c r="M2409" t="s">
        <v>26</v>
      </c>
      <c r="N2409" t="s">
        <v>26</v>
      </c>
      <c r="O2409" t="s">
        <v>26</v>
      </c>
      <c r="P2409" t="s">
        <v>26</v>
      </c>
      <c r="Q2409" t="s">
        <v>26</v>
      </c>
      <c r="R2409" t="s">
        <v>26</v>
      </c>
      <c r="S2409" t="s">
        <v>26</v>
      </c>
      <c r="T2409" t="s">
        <v>26</v>
      </c>
      <c r="U2409" t="s">
        <v>26</v>
      </c>
      <c r="V2409" t="s">
        <v>26</v>
      </c>
      <c r="W2409" s="24">
        <v>42370</v>
      </c>
      <c r="X2409" s="24">
        <v>42370</v>
      </c>
      <c r="Y2409" t="s">
        <v>26</v>
      </c>
      <c r="Z2409" s="24">
        <v>42370</v>
      </c>
      <c r="AA2409" s="24">
        <v>42370</v>
      </c>
      <c r="AB2409" t="s">
        <v>26</v>
      </c>
      <c r="AC2409" t="s">
        <v>26</v>
      </c>
      <c r="AD2409" t="s">
        <v>26</v>
      </c>
      <c r="AE2409" t="s">
        <v>26</v>
      </c>
      <c r="AF2409" t="s">
        <v>26</v>
      </c>
      <c r="AG2409" t="s">
        <v>26</v>
      </c>
      <c r="AH2409" t="s">
        <v>26</v>
      </c>
      <c r="AI2409" t="s">
        <v>26</v>
      </c>
      <c r="AJ2409" t="s">
        <v>26</v>
      </c>
      <c r="AK2409" t="s">
        <v>26</v>
      </c>
      <c r="AL2409" t="s">
        <v>26</v>
      </c>
      <c r="AM2409" t="s">
        <v>26</v>
      </c>
      <c r="AN2409" t="s">
        <v>26</v>
      </c>
      <c r="AO2409" s="25" t="s">
        <v>28</v>
      </c>
      <c r="AP2409" s="23" t="s">
        <v>29</v>
      </c>
      <c r="AQ2409" s="23" t="s">
        <v>30</v>
      </c>
      <c r="AR2409" s="23" t="s">
        <v>245</v>
      </c>
      <c r="AS2409" s="25">
        <v>5485087</v>
      </c>
      <c r="AT2409" s="23" t="s">
        <v>22181</v>
      </c>
      <c r="AU2409" t="s">
        <v>25388</v>
      </c>
    </row>
    <row r="2410" spans="1:47" ht="13.15" x14ac:dyDescent="0.4">
      <c r="A2410" s="23" t="s">
        <v>6323</v>
      </c>
      <c r="B2410" t="s">
        <v>26</v>
      </c>
      <c r="C2410" s="23" t="s">
        <v>146</v>
      </c>
      <c r="D2410" s="23" t="s">
        <v>22174</v>
      </c>
      <c r="E2410" s="23" t="s">
        <v>60</v>
      </c>
      <c r="F2410" t="s">
        <v>26</v>
      </c>
      <c r="G2410" t="s">
        <v>26</v>
      </c>
      <c r="H2410" t="s">
        <v>26</v>
      </c>
      <c r="I2410" t="s">
        <v>26</v>
      </c>
      <c r="J2410" t="s">
        <v>26</v>
      </c>
      <c r="K2410" t="s">
        <v>26</v>
      </c>
      <c r="L2410" s="25" t="s">
        <v>28</v>
      </c>
      <c r="M2410" t="s">
        <v>26</v>
      </c>
      <c r="N2410" t="s">
        <v>26</v>
      </c>
      <c r="O2410" t="s">
        <v>26</v>
      </c>
      <c r="P2410" t="s">
        <v>26</v>
      </c>
      <c r="Q2410" t="s">
        <v>26</v>
      </c>
      <c r="R2410" t="s">
        <v>26</v>
      </c>
      <c r="S2410" t="s">
        <v>26</v>
      </c>
      <c r="T2410" t="s">
        <v>26</v>
      </c>
      <c r="U2410" t="s">
        <v>26</v>
      </c>
      <c r="V2410" t="s">
        <v>26</v>
      </c>
      <c r="W2410" s="24">
        <v>42370</v>
      </c>
      <c r="X2410" s="24">
        <v>42370</v>
      </c>
      <c r="Y2410" t="s">
        <v>26</v>
      </c>
      <c r="Z2410" s="24">
        <v>42370</v>
      </c>
      <c r="AA2410" s="24">
        <v>42370</v>
      </c>
      <c r="AB2410" t="s">
        <v>26</v>
      </c>
      <c r="AC2410" t="s">
        <v>26</v>
      </c>
      <c r="AD2410" t="s">
        <v>26</v>
      </c>
      <c r="AE2410" t="s">
        <v>26</v>
      </c>
      <c r="AF2410" t="s">
        <v>26</v>
      </c>
      <c r="AG2410" t="s">
        <v>26</v>
      </c>
      <c r="AH2410" t="s">
        <v>26</v>
      </c>
      <c r="AI2410" t="s">
        <v>26</v>
      </c>
      <c r="AJ2410" t="s">
        <v>26</v>
      </c>
      <c r="AK2410" t="s">
        <v>26</v>
      </c>
      <c r="AL2410" t="s">
        <v>26</v>
      </c>
      <c r="AM2410" t="s">
        <v>26</v>
      </c>
      <c r="AN2410" t="s">
        <v>26</v>
      </c>
      <c r="AO2410" s="25" t="s">
        <v>28</v>
      </c>
      <c r="AP2410" s="23" t="s">
        <v>29</v>
      </c>
      <c r="AQ2410" s="23" t="s">
        <v>30</v>
      </c>
      <c r="AR2410" s="23" t="s">
        <v>147</v>
      </c>
      <c r="AS2410" s="25">
        <v>5485102</v>
      </c>
      <c r="AT2410" s="23" t="s">
        <v>22181</v>
      </c>
      <c r="AU2410" t="s">
        <v>25389</v>
      </c>
    </row>
    <row r="2411" spans="1:47" ht="65.650000000000006" x14ac:dyDescent="0.4">
      <c r="A2411" s="23" t="s">
        <v>6324</v>
      </c>
      <c r="B2411" t="s">
        <v>26</v>
      </c>
      <c r="C2411" s="23" t="s">
        <v>6325</v>
      </c>
      <c r="D2411" s="23" t="s">
        <v>25390</v>
      </c>
      <c r="E2411" s="23" t="s">
        <v>139</v>
      </c>
      <c r="F2411" s="25" t="s">
        <v>6326</v>
      </c>
      <c r="G2411" s="25" t="s">
        <v>6327</v>
      </c>
      <c r="H2411" t="s">
        <v>26</v>
      </c>
      <c r="I2411" s="24">
        <v>42370</v>
      </c>
      <c r="J2411" s="24">
        <v>43466</v>
      </c>
      <c r="K2411" t="s">
        <v>26</v>
      </c>
      <c r="L2411" s="25" t="s">
        <v>68</v>
      </c>
      <c r="M2411" t="s">
        <v>26</v>
      </c>
      <c r="N2411" t="s">
        <v>26</v>
      </c>
      <c r="O2411" t="s">
        <v>26</v>
      </c>
      <c r="P2411" s="24">
        <v>42370</v>
      </c>
      <c r="Q2411" s="24">
        <v>43466</v>
      </c>
      <c r="R2411" t="s">
        <v>26</v>
      </c>
      <c r="S2411" t="s">
        <v>26</v>
      </c>
      <c r="T2411" t="s">
        <v>26</v>
      </c>
      <c r="U2411" t="s">
        <v>26</v>
      </c>
      <c r="V2411" t="s">
        <v>26</v>
      </c>
      <c r="W2411" s="24">
        <v>42370</v>
      </c>
      <c r="X2411" s="24">
        <v>43466</v>
      </c>
      <c r="Y2411" t="s">
        <v>26</v>
      </c>
      <c r="Z2411" s="24">
        <v>42370</v>
      </c>
      <c r="AA2411" s="24">
        <v>43466</v>
      </c>
      <c r="AB2411" t="s">
        <v>26</v>
      </c>
      <c r="AC2411" s="24">
        <v>42370</v>
      </c>
      <c r="AD2411" s="24">
        <v>43466</v>
      </c>
      <c r="AE2411" t="s">
        <v>26</v>
      </c>
      <c r="AF2411" t="s">
        <v>26</v>
      </c>
      <c r="AG2411" t="s">
        <v>26</v>
      </c>
      <c r="AH2411" t="s">
        <v>26</v>
      </c>
      <c r="AI2411" t="s">
        <v>26</v>
      </c>
      <c r="AJ2411" t="s">
        <v>26</v>
      </c>
      <c r="AK2411" t="s">
        <v>26</v>
      </c>
      <c r="AL2411" t="s">
        <v>26</v>
      </c>
      <c r="AM2411" t="s">
        <v>26</v>
      </c>
      <c r="AN2411" t="s">
        <v>26</v>
      </c>
      <c r="AO2411" s="25" t="s">
        <v>68</v>
      </c>
      <c r="AP2411" s="23" t="s">
        <v>69</v>
      </c>
      <c r="AQ2411" s="23" t="s">
        <v>6328</v>
      </c>
      <c r="AR2411" s="23" t="s">
        <v>46</v>
      </c>
      <c r="AS2411" s="25">
        <v>2045920</v>
      </c>
      <c r="AT2411" t="s">
        <v>26</v>
      </c>
      <c r="AU2411" t="s">
        <v>25391</v>
      </c>
    </row>
    <row r="2412" spans="1:47" ht="26.25" x14ac:dyDescent="0.4">
      <c r="A2412" s="23" t="s">
        <v>6329</v>
      </c>
      <c r="B2412" t="s">
        <v>26</v>
      </c>
      <c r="C2412" s="23" t="s">
        <v>107</v>
      </c>
      <c r="D2412" s="23" t="s">
        <v>22194</v>
      </c>
      <c r="E2412" s="23" t="s">
        <v>42</v>
      </c>
      <c r="F2412" s="25" t="s">
        <v>6330</v>
      </c>
      <c r="G2412" s="25" t="s">
        <v>6331</v>
      </c>
      <c r="H2412" t="s">
        <v>26</v>
      </c>
      <c r="I2412" t="s">
        <v>26</v>
      </c>
      <c r="J2412" t="s">
        <v>26</v>
      </c>
      <c r="K2412" t="s">
        <v>26</v>
      </c>
      <c r="L2412" s="25" t="s">
        <v>68</v>
      </c>
      <c r="M2412" t="s">
        <v>26</v>
      </c>
      <c r="N2412" t="s">
        <v>26</v>
      </c>
      <c r="O2412" t="s">
        <v>26</v>
      </c>
      <c r="P2412" t="s">
        <v>26</v>
      </c>
      <c r="Q2412" t="s">
        <v>26</v>
      </c>
      <c r="R2412" t="s">
        <v>26</v>
      </c>
      <c r="S2412" t="s">
        <v>26</v>
      </c>
      <c r="T2412" t="s">
        <v>26</v>
      </c>
      <c r="U2412" t="s">
        <v>26</v>
      </c>
      <c r="V2412" t="s">
        <v>26</v>
      </c>
      <c r="W2412" s="24">
        <v>35096</v>
      </c>
      <c r="X2412" s="25" t="s">
        <v>77</v>
      </c>
      <c r="Y2412" t="s">
        <v>26</v>
      </c>
      <c r="Z2412" s="24">
        <v>35096</v>
      </c>
      <c r="AA2412" s="25" t="s">
        <v>77</v>
      </c>
      <c r="AB2412" t="s">
        <v>26</v>
      </c>
      <c r="AC2412" s="24">
        <v>35096</v>
      </c>
      <c r="AD2412" s="25" t="s">
        <v>77</v>
      </c>
      <c r="AE2412" t="s">
        <v>26</v>
      </c>
      <c r="AF2412" t="s">
        <v>26</v>
      </c>
      <c r="AG2412" t="s">
        <v>26</v>
      </c>
      <c r="AH2412" t="s">
        <v>26</v>
      </c>
      <c r="AI2412" t="s">
        <v>26</v>
      </c>
      <c r="AJ2412" t="s">
        <v>26</v>
      </c>
      <c r="AK2412" t="s">
        <v>26</v>
      </c>
      <c r="AL2412" t="s">
        <v>26</v>
      </c>
      <c r="AM2412" t="s">
        <v>26</v>
      </c>
      <c r="AN2412" t="s">
        <v>26</v>
      </c>
      <c r="AO2412" s="25" t="s">
        <v>68</v>
      </c>
      <c r="AP2412" s="23" t="s">
        <v>69</v>
      </c>
      <c r="AQ2412" s="23" t="s">
        <v>30</v>
      </c>
      <c r="AR2412" s="23" t="s">
        <v>277</v>
      </c>
      <c r="AS2412" s="25">
        <v>30916</v>
      </c>
      <c r="AT2412" t="s">
        <v>26</v>
      </c>
      <c r="AU2412" t="s">
        <v>25392</v>
      </c>
    </row>
    <row r="2413" spans="1:47" ht="26.25" x14ac:dyDescent="0.4">
      <c r="A2413" s="23" t="s">
        <v>6332</v>
      </c>
      <c r="B2413" t="s">
        <v>26</v>
      </c>
      <c r="C2413" s="23" t="s">
        <v>264</v>
      </c>
      <c r="D2413" s="23" t="s">
        <v>23125</v>
      </c>
      <c r="E2413" s="23" t="s">
        <v>60</v>
      </c>
      <c r="F2413" s="25" t="s">
        <v>6333</v>
      </c>
      <c r="G2413" s="25" t="s">
        <v>6334</v>
      </c>
      <c r="H2413" t="s">
        <v>26</v>
      </c>
      <c r="I2413" s="24">
        <v>35796</v>
      </c>
      <c r="J2413" s="25" t="s">
        <v>77</v>
      </c>
      <c r="K2413" t="s">
        <v>26</v>
      </c>
      <c r="L2413" s="25" t="s">
        <v>68</v>
      </c>
      <c r="M2413" s="24">
        <v>35796</v>
      </c>
      <c r="N2413" s="25" t="s">
        <v>77</v>
      </c>
      <c r="O2413" t="s">
        <v>26</v>
      </c>
      <c r="P2413" s="24">
        <v>36982</v>
      </c>
      <c r="Q2413" s="25" t="s">
        <v>77</v>
      </c>
      <c r="R2413" t="s">
        <v>26</v>
      </c>
      <c r="S2413" t="s">
        <v>26</v>
      </c>
      <c r="T2413" t="s">
        <v>26</v>
      </c>
      <c r="U2413" t="s">
        <v>26</v>
      </c>
      <c r="V2413" s="25">
        <v>365</v>
      </c>
      <c r="W2413" s="24">
        <v>35796</v>
      </c>
      <c r="X2413" s="25" t="s">
        <v>77</v>
      </c>
      <c r="Y2413" t="s">
        <v>26</v>
      </c>
      <c r="Z2413" s="24">
        <v>35796</v>
      </c>
      <c r="AA2413" s="25" t="s">
        <v>77</v>
      </c>
      <c r="AB2413" t="s">
        <v>26</v>
      </c>
      <c r="AC2413" s="24">
        <v>35796</v>
      </c>
      <c r="AD2413" s="25" t="s">
        <v>77</v>
      </c>
      <c r="AE2413" t="s">
        <v>26</v>
      </c>
      <c r="AF2413" t="s">
        <v>26</v>
      </c>
      <c r="AG2413" t="s">
        <v>26</v>
      </c>
      <c r="AH2413" t="s">
        <v>26</v>
      </c>
      <c r="AI2413" t="s">
        <v>26</v>
      </c>
      <c r="AJ2413" t="s">
        <v>26</v>
      </c>
      <c r="AK2413" t="s">
        <v>26</v>
      </c>
      <c r="AL2413" t="s">
        <v>26</v>
      </c>
      <c r="AM2413" t="s">
        <v>26</v>
      </c>
      <c r="AN2413" t="s">
        <v>26</v>
      </c>
      <c r="AO2413" s="25" t="s">
        <v>68</v>
      </c>
      <c r="AP2413" s="23" t="s">
        <v>69</v>
      </c>
      <c r="AQ2413" s="23" t="s">
        <v>30</v>
      </c>
      <c r="AR2413" s="23" t="s">
        <v>2389</v>
      </c>
      <c r="AS2413" s="25">
        <v>25913</v>
      </c>
      <c r="AT2413" t="s">
        <v>26</v>
      </c>
      <c r="AU2413" t="s">
        <v>25393</v>
      </c>
    </row>
    <row r="2414" spans="1:47" ht="26.25" x14ac:dyDescent="0.4">
      <c r="A2414" s="23" t="s">
        <v>6335</v>
      </c>
      <c r="B2414" t="s">
        <v>26</v>
      </c>
      <c r="C2414" s="23" t="s">
        <v>264</v>
      </c>
      <c r="D2414" s="23" t="s">
        <v>23125</v>
      </c>
      <c r="E2414" s="23" t="s">
        <v>60</v>
      </c>
      <c r="F2414" s="25" t="s">
        <v>6336</v>
      </c>
      <c r="G2414" s="25" t="s">
        <v>6337</v>
      </c>
      <c r="H2414" t="s">
        <v>26</v>
      </c>
      <c r="I2414" s="24">
        <v>38718</v>
      </c>
      <c r="J2414" s="25" t="s">
        <v>77</v>
      </c>
      <c r="K2414" t="s">
        <v>26</v>
      </c>
      <c r="L2414" s="25" t="s">
        <v>68</v>
      </c>
      <c r="M2414" s="24">
        <v>38718</v>
      </c>
      <c r="N2414" s="25" t="s">
        <v>77</v>
      </c>
      <c r="O2414" t="s">
        <v>26</v>
      </c>
      <c r="P2414" s="24">
        <v>38718</v>
      </c>
      <c r="Q2414" s="25" t="s">
        <v>77</v>
      </c>
      <c r="R2414" t="s">
        <v>26</v>
      </c>
      <c r="S2414" t="s">
        <v>26</v>
      </c>
      <c r="T2414" t="s">
        <v>26</v>
      </c>
      <c r="U2414" t="s">
        <v>26</v>
      </c>
      <c r="V2414" s="25">
        <v>365</v>
      </c>
      <c r="W2414" s="24">
        <v>38718</v>
      </c>
      <c r="X2414" s="25" t="s">
        <v>77</v>
      </c>
      <c r="Y2414" t="s">
        <v>26</v>
      </c>
      <c r="Z2414" s="24">
        <v>38718</v>
      </c>
      <c r="AA2414" s="25" t="s">
        <v>77</v>
      </c>
      <c r="AB2414" t="s">
        <v>26</v>
      </c>
      <c r="AC2414" s="24">
        <v>38718</v>
      </c>
      <c r="AD2414" s="25" t="s">
        <v>77</v>
      </c>
      <c r="AE2414" t="s">
        <v>26</v>
      </c>
      <c r="AF2414" t="s">
        <v>26</v>
      </c>
      <c r="AG2414" t="s">
        <v>26</v>
      </c>
      <c r="AH2414" t="s">
        <v>26</v>
      </c>
      <c r="AI2414" t="s">
        <v>26</v>
      </c>
      <c r="AJ2414" t="s">
        <v>26</v>
      </c>
      <c r="AK2414" t="s">
        <v>26</v>
      </c>
      <c r="AL2414" t="s">
        <v>26</v>
      </c>
      <c r="AM2414" t="s">
        <v>26</v>
      </c>
      <c r="AN2414" t="s">
        <v>26</v>
      </c>
      <c r="AO2414" s="25" t="s">
        <v>68</v>
      </c>
      <c r="AP2414" s="23" t="s">
        <v>69</v>
      </c>
      <c r="AQ2414" s="23" t="s">
        <v>30</v>
      </c>
      <c r="AR2414" s="23" t="s">
        <v>128</v>
      </c>
      <c r="AS2414" s="25">
        <v>29072</v>
      </c>
      <c r="AT2414" t="s">
        <v>26</v>
      </c>
      <c r="AU2414" t="s">
        <v>25394</v>
      </c>
    </row>
    <row r="2415" spans="1:47" ht="26.25" x14ac:dyDescent="0.4">
      <c r="A2415" s="23" t="s">
        <v>6338</v>
      </c>
      <c r="B2415" t="s">
        <v>26</v>
      </c>
      <c r="C2415" s="23" t="s">
        <v>80</v>
      </c>
      <c r="D2415" s="23" t="s">
        <v>22174</v>
      </c>
      <c r="E2415" s="23" t="s">
        <v>60</v>
      </c>
      <c r="F2415" s="25" t="s">
        <v>6339</v>
      </c>
      <c r="G2415" s="25" t="s">
        <v>6340</v>
      </c>
      <c r="H2415" t="s">
        <v>26</v>
      </c>
      <c r="I2415" s="24">
        <v>38078</v>
      </c>
      <c r="J2415" s="24">
        <v>38991</v>
      </c>
      <c r="K2415" t="s">
        <v>26</v>
      </c>
      <c r="L2415" s="25" t="s">
        <v>68</v>
      </c>
      <c r="M2415" t="s">
        <v>26</v>
      </c>
      <c r="N2415" t="s">
        <v>26</v>
      </c>
      <c r="O2415" t="s">
        <v>26</v>
      </c>
      <c r="P2415" s="24">
        <v>38078</v>
      </c>
      <c r="Q2415" s="24">
        <v>38991</v>
      </c>
      <c r="R2415" t="s">
        <v>26</v>
      </c>
      <c r="S2415" t="s">
        <v>26</v>
      </c>
      <c r="T2415" t="s">
        <v>26</v>
      </c>
      <c r="U2415" t="s">
        <v>26</v>
      </c>
      <c r="V2415" t="s">
        <v>26</v>
      </c>
      <c r="W2415" s="24">
        <v>38078</v>
      </c>
      <c r="X2415" s="25" t="s">
        <v>77</v>
      </c>
      <c r="Y2415" s="25" t="s">
        <v>3166</v>
      </c>
      <c r="Z2415" s="24">
        <v>38078</v>
      </c>
      <c r="AA2415" s="25" t="s">
        <v>77</v>
      </c>
      <c r="AB2415" s="25" t="s">
        <v>3166</v>
      </c>
      <c r="AC2415" s="24">
        <v>38078</v>
      </c>
      <c r="AD2415" s="25" t="s">
        <v>77</v>
      </c>
      <c r="AE2415" s="25" t="s">
        <v>3166</v>
      </c>
      <c r="AF2415" t="s">
        <v>26</v>
      </c>
      <c r="AG2415" t="s">
        <v>26</v>
      </c>
      <c r="AH2415" t="s">
        <v>26</v>
      </c>
      <c r="AI2415" t="s">
        <v>26</v>
      </c>
      <c r="AJ2415" t="s">
        <v>26</v>
      </c>
      <c r="AK2415" t="s">
        <v>26</v>
      </c>
      <c r="AL2415" t="s">
        <v>26</v>
      </c>
      <c r="AM2415" t="s">
        <v>26</v>
      </c>
      <c r="AN2415" t="s">
        <v>26</v>
      </c>
      <c r="AO2415" s="25" t="s">
        <v>68</v>
      </c>
      <c r="AP2415" s="23" t="s">
        <v>69</v>
      </c>
      <c r="AQ2415" s="23" t="s">
        <v>30</v>
      </c>
      <c r="AR2415" s="23" t="s">
        <v>46</v>
      </c>
      <c r="AS2415" s="25">
        <v>38275</v>
      </c>
      <c r="AT2415" t="s">
        <v>26</v>
      </c>
      <c r="AU2415" t="s">
        <v>25395</v>
      </c>
    </row>
    <row r="2416" spans="1:47" ht="13.15" x14ac:dyDescent="0.4">
      <c r="A2416" s="23" t="s">
        <v>6341</v>
      </c>
      <c r="B2416" t="s">
        <v>26</v>
      </c>
      <c r="C2416" s="23" t="s">
        <v>294</v>
      </c>
      <c r="D2416" s="23" t="s">
        <v>22179</v>
      </c>
      <c r="E2416" s="23" t="s">
        <v>42</v>
      </c>
      <c r="F2416" t="s">
        <v>26</v>
      </c>
      <c r="G2416" t="s">
        <v>26</v>
      </c>
      <c r="H2416" t="s">
        <v>26</v>
      </c>
      <c r="I2416" s="25" t="s">
        <v>295</v>
      </c>
      <c r="J2416" s="25" t="s">
        <v>295</v>
      </c>
      <c r="K2416" t="s">
        <v>26</v>
      </c>
      <c r="L2416" s="25" t="s">
        <v>28</v>
      </c>
      <c r="M2416" t="s">
        <v>26</v>
      </c>
      <c r="N2416" t="s">
        <v>26</v>
      </c>
      <c r="O2416" t="s">
        <v>26</v>
      </c>
      <c r="P2416" s="25" t="s">
        <v>295</v>
      </c>
      <c r="Q2416" s="25" t="s">
        <v>295</v>
      </c>
      <c r="R2416" t="s">
        <v>26</v>
      </c>
      <c r="S2416" t="s">
        <v>26</v>
      </c>
      <c r="T2416" t="s">
        <v>26</v>
      </c>
      <c r="U2416" t="s">
        <v>26</v>
      </c>
      <c r="V2416" t="s">
        <v>26</v>
      </c>
      <c r="W2416" s="25" t="s">
        <v>295</v>
      </c>
      <c r="X2416" s="25" t="s">
        <v>295</v>
      </c>
      <c r="Y2416" t="s">
        <v>26</v>
      </c>
      <c r="Z2416" s="25" t="s">
        <v>295</v>
      </c>
      <c r="AA2416" s="25" t="s">
        <v>295</v>
      </c>
      <c r="AB2416" t="s">
        <v>26</v>
      </c>
      <c r="AC2416" s="25" t="s">
        <v>295</v>
      </c>
      <c r="AD2416" s="25" t="s">
        <v>295</v>
      </c>
      <c r="AE2416" t="s">
        <v>26</v>
      </c>
      <c r="AF2416" t="s">
        <v>26</v>
      </c>
      <c r="AG2416" t="s">
        <v>26</v>
      </c>
      <c r="AH2416" t="s">
        <v>26</v>
      </c>
      <c r="AI2416" t="s">
        <v>26</v>
      </c>
      <c r="AJ2416" t="s">
        <v>26</v>
      </c>
      <c r="AK2416" t="s">
        <v>26</v>
      </c>
      <c r="AL2416" t="s">
        <v>26</v>
      </c>
      <c r="AM2416" t="s">
        <v>26</v>
      </c>
      <c r="AN2416" t="s">
        <v>26</v>
      </c>
      <c r="AO2416" s="25" t="s">
        <v>28</v>
      </c>
      <c r="AP2416" s="23" t="s">
        <v>29</v>
      </c>
      <c r="AQ2416" s="23" t="s">
        <v>30</v>
      </c>
      <c r="AR2416" s="23" t="s">
        <v>147</v>
      </c>
      <c r="AS2416" s="25">
        <v>5325202</v>
      </c>
      <c r="AT2416" s="23" t="s">
        <v>22181</v>
      </c>
      <c r="AU2416" t="s">
        <v>25396</v>
      </c>
    </row>
    <row r="2417" spans="1:47" ht="26.25" x14ac:dyDescent="0.4">
      <c r="A2417" s="23" t="s">
        <v>6342</v>
      </c>
      <c r="B2417" t="s">
        <v>26</v>
      </c>
      <c r="C2417" s="23" t="s">
        <v>73</v>
      </c>
      <c r="D2417" s="23" t="s">
        <v>22211</v>
      </c>
      <c r="E2417" s="23" t="s">
        <v>74</v>
      </c>
      <c r="F2417" s="25" t="s">
        <v>6343</v>
      </c>
      <c r="G2417" s="25" t="s">
        <v>6344</v>
      </c>
      <c r="H2417" t="s">
        <v>26</v>
      </c>
      <c r="I2417" s="24">
        <v>35462</v>
      </c>
      <c r="J2417" s="25" t="s">
        <v>77</v>
      </c>
      <c r="K2417" t="s">
        <v>26</v>
      </c>
      <c r="L2417" s="25" t="s">
        <v>68</v>
      </c>
      <c r="M2417" s="24">
        <v>38018</v>
      </c>
      <c r="N2417" s="24">
        <v>42856</v>
      </c>
      <c r="O2417" t="s">
        <v>26</v>
      </c>
      <c r="P2417" s="24">
        <v>35462</v>
      </c>
      <c r="Q2417" s="25" t="s">
        <v>77</v>
      </c>
      <c r="R2417" t="s">
        <v>26</v>
      </c>
      <c r="S2417" t="s">
        <v>26</v>
      </c>
      <c r="T2417" t="s">
        <v>26</v>
      </c>
      <c r="U2417" t="s">
        <v>26</v>
      </c>
      <c r="V2417" s="25">
        <v>365</v>
      </c>
      <c r="W2417" s="24">
        <v>35462</v>
      </c>
      <c r="X2417" s="25" t="s">
        <v>77</v>
      </c>
      <c r="Y2417" t="s">
        <v>26</v>
      </c>
      <c r="Z2417" s="24">
        <v>35462</v>
      </c>
      <c r="AA2417" s="25" t="s">
        <v>77</v>
      </c>
      <c r="AB2417" t="s">
        <v>26</v>
      </c>
      <c r="AC2417" s="24">
        <v>35462</v>
      </c>
      <c r="AD2417" s="25" t="s">
        <v>77</v>
      </c>
      <c r="AE2417" t="s">
        <v>26</v>
      </c>
      <c r="AF2417" t="s">
        <v>26</v>
      </c>
      <c r="AG2417" t="s">
        <v>26</v>
      </c>
      <c r="AH2417" t="s">
        <v>26</v>
      </c>
      <c r="AI2417" t="s">
        <v>26</v>
      </c>
      <c r="AJ2417" t="s">
        <v>26</v>
      </c>
      <c r="AK2417" t="s">
        <v>26</v>
      </c>
      <c r="AL2417" t="s">
        <v>26</v>
      </c>
      <c r="AM2417" t="s">
        <v>26</v>
      </c>
      <c r="AN2417" t="s">
        <v>26</v>
      </c>
      <c r="AO2417" s="25" t="s">
        <v>68</v>
      </c>
      <c r="AP2417" s="23" t="s">
        <v>69</v>
      </c>
      <c r="AQ2417" s="23" t="s">
        <v>30</v>
      </c>
      <c r="AR2417" s="23" t="s">
        <v>6345</v>
      </c>
      <c r="AS2417" s="25">
        <v>54128</v>
      </c>
      <c r="AT2417" t="s">
        <v>26</v>
      </c>
      <c r="AU2417" t="s">
        <v>25397</v>
      </c>
    </row>
    <row r="2418" spans="1:47" ht="26.25" x14ac:dyDescent="0.4">
      <c r="A2418" s="23" t="s">
        <v>6346</v>
      </c>
      <c r="B2418" t="s">
        <v>26</v>
      </c>
      <c r="C2418" s="23" t="s">
        <v>73</v>
      </c>
      <c r="D2418" s="23" t="s">
        <v>22211</v>
      </c>
      <c r="E2418" s="23" t="s">
        <v>74</v>
      </c>
      <c r="F2418" s="25" t="s">
        <v>6347</v>
      </c>
      <c r="G2418" s="25" t="s">
        <v>6348</v>
      </c>
      <c r="H2418" t="s">
        <v>26</v>
      </c>
      <c r="I2418" s="24">
        <v>35431</v>
      </c>
      <c r="J2418" s="25" t="s">
        <v>77</v>
      </c>
      <c r="K2418" t="s">
        <v>26</v>
      </c>
      <c r="L2418" s="25" t="s">
        <v>68</v>
      </c>
      <c r="M2418" s="24">
        <v>38018</v>
      </c>
      <c r="N2418" s="24">
        <v>42856</v>
      </c>
      <c r="O2418" t="s">
        <v>26</v>
      </c>
      <c r="P2418" s="24">
        <v>35431</v>
      </c>
      <c r="Q2418" s="25" t="s">
        <v>77</v>
      </c>
      <c r="R2418" t="s">
        <v>26</v>
      </c>
      <c r="S2418" t="s">
        <v>26</v>
      </c>
      <c r="T2418" t="s">
        <v>26</v>
      </c>
      <c r="U2418" t="s">
        <v>26</v>
      </c>
      <c r="V2418" s="25">
        <v>365</v>
      </c>
      <c r="W2418" s="24">
        <v>35431</v>
      </c>
      <c r="X2418" s="25" t="s">
        <v>77</v>
      </c>
      <c r="Y2418" t="s">
        <v>26</v>
      </c>
      <c r="Z2418" s="24">
        <v>35431</v>
      </c>
      <c r="AA2418" s="25" t="s">
        <v>77</v>
      </c>
      <c r="AB2418" t="s">
        <v>26</v>
      </c>
      <c r="AC2418" s="24">
        <v>35431</v>
      </c>
      <c r="AD2418" s="25" t="s">
        <v>77</v>
      </c>
      <c r="AE2418" t="s">
        <v>26</v>
      </c>
      <c r="AF2418" t="s">
        <v>26</v>
      </c>
      <c r="AG2418" t="s">
        <v>26</v>
      </c>
      <c r="AH2418" t="s">
        <v>26</v>
      </c>
      <c r="AI2418" t="s">
        <v>26</v>
      </c>
      <c r="AJ2418" t="s">
        <v>26</v>
      </c>
      <c r="AK2418" t="s">
        <v>26</v>
      </c>
      <c r="AL2418" t="s">
        <v>26</v>
      </c>
      <c r="AM2418" t="s">
        <v>26</v>
      </c>
      <c r="AN2418" t="s">
        <v>26</v>
      </c>
      <c r="AO2418" s="25" t="s">
        <v>68</v>
      </c>
      <c r="AP2418" s="23" t="s">
        <v>69</v>
      </c>
      <c r="AQ2418" s="23" t="s">
        <v>30</v>
      </c>
      <c r="AR2418" s="23" t="s">
        <v>277</v>
      </c>
      <c r="AS2418" s="25">
        <v>326329</v>
      </c>
      <c r="AT2418" t="s">
        <v>26</v>
      </c>
      <c r="AU2418" t="s">
        <v>25398</v>
      </c>
    </row>
    <row r="2419" spans="1:47" ht="26.25" x14ac:dyDescent="0.4">
      <c r="A2419" s="23" t="s">
        <v>6349</v>
      </c>
      <c r="B2419" t="s">
        <v>26</v>
      </c>
      <c r="C2419" s="23" t="s">
        <v>181</v>
      </c>
      <c r="D2419" s="23" t="s">
        <v>25399</v>
      </c>
      <c r="E2419" s="23" t="s">
        <v>60</v>
      </c>
      <c r="F2419" s="25" t="s">
        <v>6350</v>
      </c>
      <c r="G2419" s="25" t="s">
        <v>6351</v>
      </c>
      <c r="H2419" t="s">
        <v>26</v>
      </c>
      <c r="I2419" t="s">
        <v>26</v>
      </c>
      <c r="J2419" t="s">
        <v>26</v>
      </c>
      <c r="K2419" t="s">
        <v>26</v>
      </c>
      <c r="L2419" s="25" t="s">
        <v>68</v>
      </c>
      <c r="M2419" t="s">
        <v>26</v>
      </c>
      <c r="N2419" t="s">
        <v>26</v>
      </c>
      <c r="O2419" t="s">
        <v>26</v>
      </c>
      <c r="P2419" t="s">
        <v>26</v>
      </c>
      <c r="Q2419" t="s">
        <v>26</v>
      </c>
      <c r="R2419" t="s">
        <v>26</v>
      </c>
      <c r="S2419" t="s">
        <v>26</v>
      </c>
      <c r="T2419" t="s">
        <v>26</v>
      </c>
      <c r="U2419" t="s">
        <v>26</v>
      </c>
      <c r="V2419" t="s">
        <v>26</v>
      </c>
      <c r="W2419" s="24">
        <v>42705</v>
      </c>
      <c r="X2419" s="25" t="s">
        <v>77</v>
      </c>
      <c r="Y2419" t="s">
        <v>26</v>
      </c>
      <c r="Z2419" s="24">
        <v>42705</v>
      </c>
      <c r="AA2419" s="25" t="s">
        <v>77</v>
      </c>
      <c r="AB2419" t="s">
        <v>26</v>
      </c>
      <c r="AC2419" s="24">
        <v>42705</v>
      </c>
      <c r="AD2419" s="25" t="s">
        <v>77</v>
      </c>
      <c r="AE2419" t="s">
        <v>26</v>
      </c>
      <c r="AF2419" t="s">
        <v>26</v>
      </c>
      <c r="AG2419" t="s">
        <v>26</v>
      </c>
      <c r="AH2419" t="s">
        <v>26</v>
      </c>
      <c r="AI2419" t="s">
        <v>26</v>
      </c>
      <c r="AJ2419" t="s">
        <v>26</v>
      </c>
      <c r="AK2419" t="s">
        <v>26</v>
      </c>
      <c r="AL2419" t="s">
        <v>26</v>
      </c>
      <c r="AM2419" t="s">
        <v>26</v>
      </c>
      <c r="AN2419" t="s">
        <v>26</v>
      </c>
      <c r="AO2419" s="25" t="s">
        <v>68</v>
      </c>
      <c r="AP2419" s="23" t="s">
        <v>69</v>
      </c>
      <c r="AQ2419" s="23" t="s">
        <v>30</v>
      </c>
      <c r="AR2419" s="23" t="s">
        <v>46</v>
      </c>
      <c r="AS2419" s="25">
        <v>2038276</v>
      </c>
      <c r="AT2419" t="s">
        <v>26</v>
      </c>
      <c r="AU2419" t="s">
        <v>25400</v>
      </c>
    </row>
    <row r="2420" spans="1:47" ht="26.25" x14ac:dyDescent="0.4">
      <c r="A2420" s="23" t="s">
        <v>6352</v>
      </c>
      <c r="B2420" t="s">
        <v>26</v>
      </c>
      <c r="C2420" s="23" t="s">
        <v>80</v>
      </c>
      <c r="D2420" s="23" t="s">
        <v>22190</v>
      </c>
      <c r="E2420" s="23" t="s">
        <v>60</v>
      </c>
      <c r="F2420" s="25" t="s">
        <v>6353</v>
      </c>
      <c r="G2420" s="25" t="s">
        <v>6354</v>
      </c>
      <c r="H2420" t="s">
        <v>26</v>
      </c>
      <c r="I2420" t="s">
        <v>26</v>
      </c>
      <c r="J2420" t="s">
        <v>26</v>
      </c>
      <c r="K2420" t="s">
        <v>26</v>
      </c>
      <c r="L2420" s="25" t="s">
        <v>68</v>
      </c>
      <c r="M2420" t="s">
        <v>26</v>
      </c>
      <c r="N2420" t="s">
        <v>26</v>
      </c>
      <c r="O2420" t="s">
        <v>26</v>
      </c>
      <c r="P2420" t="s">
        <v>26</v>
      </c>
      <c r="Q2420" t="s">
        <v>26</v>
      </c>
      <c r="R2420" t="s">
        <v>26</v>
      </c>
      <c r="S2420" t="s">
        <v>26</v>
      </c>
      <c r="T2420" t="s">
        <v>26</v>
      </c>
      <c r="U2420" t="s">
        <v>26</v>
      </c>
      <c r="V2420" t="s">
        <v>26</v>
      </c>
      <c r="W2420" s="24">
        <v>32174</v>
      </c>
      <c r="X2420" s="25" t="s">
        <v>77</v>
      </c>
      <c r="Y2420" t="s">
        <v>26</v>
      </c>
      <c r="Z2420" s="24">
        <v>32174</v>
      </c>
      <c r="AA2420" s="25" t="s">
        <v>77</v>
      </c>
      <c r="AB2420" t="s">
        <v>26</v>
      </c>
      <c r="AC2420" s="24">
        <v>32174</v>
      </c>
      <c r="AD2420" s="25" t="s">
        <v>77</v>
      </c>
      <c r="AE2420" t="s">
        <v>26</v>
      </c>
      <c r="AF2420" t="s">
        <v>26</v>
      </c>
      <c r="AG2420" t="s">
        <v>26</v>
      </c>
      <c r="AH2420" t="s">
        <v>26</v>
      </c>
      <c r="AI2420" t="s">
        <v>26</v>
      </c>
      <c r="AJ2420" t="s">
        <v>26</v>
      </c>
      <c r="AK2420" t="s">
        <v>26</v>
      </c>
      <c r="AL2420" t="s">
        <v>26</v>
      </c>
      <c r="AM2420" t="s">
        <v>26</v>
      </c>
      <c r="AN2420" t="s">
        <v>26</v>
      </c>
      <c r="AO2420" s="25" t="s">
        <v>68</v>
      </c>
      <c r="AP2420" s="23" t="s">
        <v>69</v>
      </c>
      <c r="AQ2420" s="23" t="s">
        <v>30</v>
      </c>
      <c r="AR2420" s="23" t="s">
        <v>1631</v>
      </c>
      <c r="AS2420" s="25">
        <v>42398</v>
      </c>
      <c r="AT2420" t="s">
        <v>26</v>
      </c>
      <c r="AU2420" t="s">
        <v>25401</v>
      </c>
    </row>
    <row r="2421" spans="1:47" ht="39.4" x14ac:dyDescent="0.4">
      <c r="A2421" s="23" t="s">
        <v>6355</v>
      </c>
      <c r="B2421" t="s">
        <v>26</v>
      </c>
      <c r="C2421" s="23" t="s">
        <v>6356</v>
      </c>
      <c r="D2421" s="23" t="s">
        <v>25402</v>
      </c>
      <c r="E2421" s="23" t="s">
        <v>328</v>
      </c>
      <c r="F2421" t="s">
        <v>26</v>
      </c>
      <c r="G2421" s="25" t="s">
        <v>6357</v>
      </c>
      <c r="H2421" t="s">
        <v>26</v>
      </c>
      <c r="I2421" t="s">
        <v>26</v>
      </c>
      <c r="J2421" t="s">
        <v>26</v>
      </c>
      <c r="K2421" t="s">
        <v>26</v>
      </c>
      <c r="L2421" s="25" t="s">
        <v>68</v>
      </c>
      <c r="M2421" t="s">
        <v>26</v>
      </c>
      <c r="N2421" t="s">
        <v>26</v>
      </c>
      <c r="O2421" t="s">
        <v>26</v>
      </c>
      <c r="P2421" t="s">
        <v>26</v>
      </c>
      <c r="Q2421" t="s">
        <v>26</v>
      </c>
      <c r="R2421" t="s">
        <v>26</v>
      </c>
      <c r="S2421" t="s">
        <v>26</v>
      </c>
      <c r="T2421" t="s">
        <v>26</v>
      </c>
      <c r="U2421" t="s">
        <v>26</v>
      </c>
      <c r="V2421" t="s">
        <v>26</v>
      </c>
      <c r="W2421" s="24">
        <v>42461</v>
      </c>
      <c r="X2421" s="24">
        <v>43922</v>
      </c>
      <c r="Y2421" t="s">
        <v>26</v>
      </c>
      <c r="Z2421" s="24">
        <v>42461</v>
      </c>
      <c r="AA2421" s="24">
        <v>43922</v>
      </c>
      <c r="AB2421" t="s">
        <v>26</v>
      </c>
      <c r="AC2421" s="24">
        <v>42461</v>
      </c>
      <c r="AD2421" s="24">
        <v>43922</v>
      </c>
      <c r="AE2421" t="s">
        <v>26</v>
      </c>
      <c r="AF2421" t="s">
        <v>26</v>
      </c>
      <c r="AG2421" t="s">
        <v>26</v>
      </c>
      <c r="AH2421" t="s">
        <v>26</v>
      </c>
      <c r="AI2421" t="s">
        <v>26</v>
      </c>
      <c r="AJ2421" t="s">
        <v>26</v>
      </c>
      <c r="AK2421" t="s">
        <v>26</v>
      </c>
      <c r="AL2421" t="s">
        <v>26</v>
      </c>
      <c r="AM2421" t="s">
        <v>26</v>
      </c>
      <c r="AN2421" t="s">
        <v>26</v>
      </c>
      <c r="AO2421" s="25" t="s">
        <v>28</v>
      </c>
      <c r="AP2421" s="23" t="s">
        <v>69</v>
      </c>
      <c r="AQ2421" s="23" t="s">
        <v>331</v>
      </c>
      <c r="AR2421" s="23" t="s">
        <v>46</v>
      </c>
      <c r="AS2421" s="25">
        <v>2042025</v>
      </c>
      <c r="AT2421" t="s">
        <v>26</v>
      </c>
      <c r="AU2421" t="s">
        <v>25403</v>
      </c>
    </row>
    <row r="2422" spans="1:47" ht="26.25" x14ac:dyDescent="0.4">
      <c r="A2422" s="23" t="s">
        <v>6358</v>
      </c>
      <c r="B2422" t="s">
        <v>26</v>
      </c>
      <c r="C2422" s="23" t="s">
        <v>2672</v>
      </c>
      <c r="D2422" s="23" t="s">
        <v>22254</v>
      </c>
      <c r="E2422" s="23" t="s">
        <v>42</v>
      </c>
      <c r="F2422" s="25" t="s">
        <v>6359</v>
      </c>
      <c r="G2422" s="25" t="s">
        <v>6360</v>
      </c>
      <c r="H2422" t="s">
        <v>26</v>
      </c>
      <c r="I2422" s="24">
        <v>35431</v>
      </c>
      <c r="J2422" s="24">
        <v>39448</v>
      </c>
      <c r="K2422" t="s">
        <v>26</v>
      </c>
      <c r="L2422" s="25" t="s">
        <v>68</v>
      </c>
      <c r="M2422" s="24">
        <v>35431</v>
      </c>
      <c r="N2422" s="24">
        <v>39448</v>
      </c>
      <c r="O2422" t="s">
        <v>26</v>
      </c>
      <c r="P2422" s="24">
        <v>35431</v>
      </c>
      <c r="Q2422" s="24">
        <v>39448</v>
      </c>
      <c r="R2422" t="s">
        <v>26</v>
      </c>
      <c r="S2422" t="s">
        <v>26</v>
      </c>
      <c r="T2422" t="s">
        <v>26</v>
      </c>
      <c r="U2422" t="s">
        <v>26</v>
      </c>
      <c r="V2422" t="s">
        <v>26</v>
      </c>
      <c r="W2422" s="24">
        <v>35431</v>
      </c>
      <c r="X2422" s="24">
        <v>39448</v>
      </c>
      <c r="Y2422" t="s">
        <v>26</v>
      </c>
      <c r="Z2422" s="24">
        <v>35431</v>
      </c>
      <c r="AA2422" s="24">
        <v>39448</v>
      </c>
      <c r="AB2422" t="s">
        <v>26</v>
      </c>
      <c r="AC2422" s="24">
        <v>36069</v>
      </c>
      <c r="AD2422" s="24">
        <v>39448</v>
      </c>
      <c r="AE2422" s="25" t="s">
        <v>4098</v>
      </c>
      <c r="AF2422" t="s">
        <v>26</v>
      </c>
      <c r="AG2422" t="s">
        <v>26</v>
      </c>
      <c r="AH2422" t="s">
        <v>26</v>
      </c>
      <c r="AI2422" t="s">
        <v>26</v>
      </c>
      <c r="AJ2422" t="s">
        <v>26</v>
      </c>
      <c r="AK2422" t="s">
        <v>26</v>
      </c>
      <c r="AL2422" t="s">
        <v>26</v>
      </c>
      <c r="AM2422" t="s">
        <v>26</v>
      </c>
      <c r="AN2422" t="s">
        <v>26</v>
      </c>
      <c r="AO2422" s="25" t="s">
        <v>68</v>
      </c>
      <c r="AP2422" s="23" t="s">
        <v>69</v>
      </c>
      <c r="AQ2422" s="23" t="s">
        <v>30</v>
      </c>
      <c r="AR2422" s="23" t="s">
        <v>25404</v>
      </c>
      <c r="AS2422" s="25">
        <v>48930</v>
      </c>
      <c r="AT2422" t="s">
        <v>26</v>
      </c>
      <c r="AU2422" t="s">
        <v>25405</v>
      </c>
    </row>
    <row r="2423" spans="1:47" ht="39.4" x14ac:dyDescent="0.4">
      <c r="A2423" s="23" t="s">
        <v>6361</v>
      </c>
      <c r="B2423" t="s">
        <v>26</v>
      </c>
      <c r="C2423" s="23" t="s">
        <v>3246</v>
      </c>
      <c r="D2423" s="23" t="s">
        <v>22428</v>
      </c>
      <c r="E2423" s="23" t="s">
        <v>139</v>
      </c>
      <c r="F2423" t="s">
        <v>26</v>
      </c>
      <c r="G2423" s="25" t="s">
        <v>6362</v>
      </c>
      <c r="H2423" t="s">
        <v>26</v>
      </c>
      <c r="I2423" t="s">
        <v>26</v>
      </c>
      <c r="J2423" t="s">
        <v>26</v>
      </c>
      <c r="K2423" t="s">
        <v>26</v>
      </c>
      <c r="L2423" s="25" t="s">
        <v>68</v>
      </c>
      <c r="M2423" t="s">
        <v>26</v>
      </c>
      <c r="N2423" t="s">
        <v>26</v>
      </c>
      <c r="O2423" t="s">
        <v>26</v>
      </c>
      <c r="P2423" t="s">
        <v>26</v>
      </c>
      <c r="Q2423" t="s">
        <v>26</v>
      </c>
      <c r="R2423" t="s">
        <v>26</v>
      </c>
      <c r="S2423" t="s">
        <v>26</v>
      </c>
      <c r="T2423" t="s">
        <v>26</v>
      </c>
      <c r="U2423" t="s">
        <v>26</v>
      </c>
      <c r="V2423" t="s">
        <v>26</v>
      </c>
      <c r="W2423" s="24">
        <v>42401</v>
      </c>
      <c r="X2423" s="25" t="s">
        <v>77</v>
      </c>
      <c r="Y2423" t="s">
        <v>26</v>
      </c>
      <c r="Z2423" s="24">
        <v>42401</v>
      </c>
      <c r="AA2423" s="25" t="s">
        <v>77</v>
      </c>
      <c r="AB2423" t="s">
        <v>26</v>
      </c>
      <c r="AC2423" s="24">
        <v>42401</v>
      </c>
      <c r="AD2423" s="25" t="s">
        <v>77</v>
      </c>
      <c r="AE2423" t="s">
        <v>26</v>
      </c>
      <c r="AF2423" t="s">
        <v>26</v>
      </c>
      <c r="AG2423" t="s">
        <v>26</v>
      </c>
      <c r="AH2423" t="s">
        <v>26</v>
      </c>
      <c r="AI2423" t="s">
        <v>26</v>
      </c>
      <c r="AJ2423" t="s">
        <v>26</v>
      </c>
      <c r="AK2423" t="s">
        <v>26</v>
      </c>
      <c r="AL2423" t="s">
        <v>26</v>
      </c>
      <c r="AM2423" t="s">
        <v>26</v>
      </c>
      <c r="AN2423" t="s">
        <v>26</v>
      </c>
      <c r="AO2423" s="25" t="s">
        <v>28</v>
      </c>
      <c r="AP2423" s="23" t="s">
        <v>69</v>
      </c>
      <c r="AQ2423" s="23" t="s">
        <v>226</v>
      </c>
      <c r="AR2423" s="23" t="s">
        <v>191</v>
      </c>
      <c r="AS2423" s="25">
        <v>2042028</v>
      </c>
      <c r="AT2423" t="s">
        <v>26</v>
      </c>
      <c r="AU2423" t="s">
        <v>25406</v>
      </c>
    </row>
    <row r="2424" spans="1:47" ht="13.15" x14ac:dyDescent="0.4">
      <c r="A2424" s="23" t="s">
        <v>6363</v>
      </c>
      <c r="B2424" t="s">
        <v>26</v>
      </c>
      <c r="C2424" s="23" t="s">
        <v>332</v>
      </c>
      <c r="D2424" s="23" t="s">
        <v>22256</v>
      </c>
      <c r="E2424" s="23" t="s">
        <v>42</v>
      </c>
      <c r="F2424" t="s">
        <v>26</v>
      </c>
      <c r="G2424" t="s">
        <v>26</v>
      </c>
      <c r="H2424" t="s">
        <v>26</v>
      </c>
      <c r="I2424" t="s">
        <v>26</v>
      </c>
      <c r="J2424" t="s">
        <v>26</v>
      </c>
      <c r="K2424" t="s">
        <v>26</v>
      </c>
      <c r="L2424" s="25" t="s">
        <v>28</v>
      </c>
      <c r="M2424" t="s">
        <v>26</v>
      </c>
      <c r="N2424" t="s">
        <v>26</v>
      </c>
      <c r="O2424" t="s">
        <v>26</v>
      </c>
      <c r="P2424" t="s">
        <v>26</v>
      </c>
      <c r="Q2424" t="s">
        <v>26</v>
      </c>
      <c r="R2424" t="s">
        <v>26</v>
      </c>
      <c r="S2424" t="s">
        <v>26</v>
      </c>
      <c r="T2424" t="s">
        <v>26</v>
      </c>
      <c r="U2424" t="s">
        <v>26</v>
      </c>
      <c r="V2424" t="s">
        <v>26</v>
      </c>
      <c r="W2424" s="24">
        <v>39448</v>
      </c>
      <c r="X2424" s="24">
        <v>39448</v>
      </c>
      <c r="Y2424" t="s">
        <v>26</v>
      </c>
      <c r="Z2424" s="24">
        <v>39448</v>
      </c>
      <c r="AA2424" s="24">
        <v>39448</v>
      </c>
      <c r="AB2424" t="s">
        <v>26</v>
      </c>
      <c r="AC2424" t="s">
        <v>26</v>
      </c>
      <c r="AD2424" t="s">
        <v>26</v>
      </c>
      <c r="AE2424" t="s">
        <v>26</v>
      </c>
      <c r="AF2424" t="s">
        <v>26</v>
      </c>
      <c r="AG2424" t="s">
        <v>26</v>
      </c>
      <c r="AH2424" t="s">
        <v>26</v>
      </c>
      <c r="AI2424" t="s">
        <v>26</v>
      </c>
      <c r="AJ2424" t="s">
        <v>26</v>
      </c>
      <c r="AK2424" t="s">
        <v>26</v>
      </c>
      <c r="AL2424" t="s">
        <v>26</v>
      </c>
      <c r="AM2424" t="s">
        <v>26</v>
      </c>
      <c r="AN2424" t="s">
        <v>26</v>
      </c>
      <c r="AO2424" s="25" t="s">
        <v>28</v>
      </c>
      <c r="AP2424" s="23" t="s">
        <v>29</v>
      </c>
      <c r="AQ2424" s="23" t="s">
        <v>30</v>
      </c>
      <c r="AR2424" s="23" t="s">
        <v>44</v>
      </c>
      <c r="AS2424" s="25">
        <v>5483581</v>
      </c>
      <c r="AT2424" s="23" t="s">
        <v>22181</v>
      </c>
      <c r="AU2424" t="s">
        <v>25407</v>
      </c>
    </row>
    <row r="2425" spans="1:47" ht="26.25" x14ac:dyDescent="0.4">
      <c r="A2425" s="23" t="s">
        <v>6364</v>
      </c>
      <c r="B2425" t="s">
        <v>26</v>
      </c>
      <c r="C2425" s="23" t="s">
        <v>73</v>
      </c>
      <c r="D2425" s="23" t="s">
        <v>22179</v>
      </c>
      <c r="E2425" s="23" t="s">
        <v>74</v>
      </c>
      <c r="F2425" s="25" t="s">
        <v>6365</v>
      </c>
      <c r="G2425" s="25" t="s">
        <v>6366</v>
      </c>
      <c r="H2425" t="s">
        <v>26</v>
      </c>
      <c r="I2425" s="24">
        <v>39873</v>
      </c>
      <c r="J2425" s="25" t="s">
        <v>77</v>
      </c>
      <c r="K2425" t="s">
        <v>26</v>
      </c>
      <c r="L2425" s="25" t="s">
        <v>68</v>
      </c>
      <c r="M2425" s="24">
        <v>39873</v>
      </c>
      <c r="N2425" s="24">
        <v>42795</v>
      </c>
      <c r="O2425" t="s">
        <v>26</v>
      </c>
      <c r="P2425" s="24">
        <v>39873</v>
      </c>
      <c r="Q2425" s="25" t="s">
        <v>77</v>
      </c>
      <c r="R2425" t="s">
        <v>26</v>
      </c>
      <c r="S2425" t="s">
        <v>26</v>
      </c>
      <c r="T2425" t="s">
        <v>26</v>
      </c>
      <c r="U2425" t="s">
        <v>26</v>
      </c>
      <c r="V2425" s="25">
        <v>365</v>
      </c>
      <c r="W2425" s="24">
        <v>39873</v>
      </c>
      <c r="X2425" s="25" t="s">
        <v>77</v>
      </c>
      <c r="Y2425" t="s">
        <v>26</v>
      </c>
      <c r="Z2425" s="24">
        <v>39873</v>
      </c>
      <c r="AA2425" s="25" t="s">
        <v>77</v>
      </c>
      <c r="AB2425" t="s">
        <v>26</v>
      </c>
      <c r="AC2425" s="24">
        <v>39873</v>
      </c>
      <c r="AD2425" s="25" t="s">
        <v>77</v>
      </c>
      <c r="AE2425" t="s">
        <v>26</v>
      </c>
      <c r="AF2425" t="s">
        <v>26</v>
      </c>
      <c r="AG2425" t="s">
        <v>26</v>
      </c>
      <c r="AH2425" t="s">
        <v>26</v>
      </c>
      <c r="AI2425" t="s">
        <v>26</v>
      </c>
      <c r="AJ2425" t="s">
        <v>26</v>
      </c>
      <c r="AK2425" t="s">
        <v>26</v>
      </c>
      <c r="AL2425" t="s">
        <v>26</v>
      </c>
      <c r="AM2425" t="s">
        <v>26</v>
      </c>
      <c r="AN2425" t="s">
        <v>26</v>
      </c>
      <c r="AO2425" s="25" t="s">
        <v>68</v>
      </c>
      <c r="AP2425" s="23" t="s">
        <v>69</v>
      </c>
      <c r="AQ2425" s="23" t="s">
        <v>30</v>
      </c>
      <c r="AR2425" s="23" t="s">
        <v>996</v>
      </c>
      <c r="AS2425" s="25">
        <v>326327</v>
      </c>
      <c r="AT2425" t="s">
        <v>26</v>
      </c>
      <c r="AU2425" t="s">
        <v>25408</v>
      </c>
    </row>
    <row r="2426" spans="1:47" ht="26.25" x14ac:dyDescent="0.4">
      <c r="A2426" s="23" t="s">
        <v>6367</v>
      </c>
      <c r="B2426" t="s">
        <v>26</v>
      </c>
      <c r="C2426" s="23" t="s">
        <v>80</v>
      </c>
      <c r="D2426" s="23" t="s">
        <v>22184</v>
      </c>
      <c r="E2426" s="23" t="s">
        <v>60</v>
      </c>
      <c r="F2426" s="25" t="s">
        <v>6368</v>
      </c>
      <c r="G2426" s="25" t="s">
        <v>6369</v>
      </c>
      <c r="H2426" t="s">
        <v>26</v>
      </c>
      <c r="I2426" t="s">
        <v>26</v>
      </c>
      <c r="J2426" t="s">
        <v>26</v>
      </c>
      <c r="K2426" t="s">
        <v>26</v>
      </c>
      <c r="L2426" s="25" t="s">
        <v>68</v>
      </c>
      <c r="M2426" t="s">
        <v>26</v>
      </c>
      <c r="N2426" t="s">
        <v>26</v>
      </c>
      <c r="O2426" t="s">
        <v>26</v>
      </c>
      <c r="P2426" t="s">
        <v>26</v>
      </c>
      <c r="Q2426" t="s">
        <v>26</v>
      </c>
      <c r="R2426" t="s">
        <v>26</v>
      </c>
      <c r="S2426" t="s">
        <v>26</v>
      </c>
      <c r="T2426" t="s">
        <v>26</v>
      </c>
      <c r="U2426" t="s">
        <v>26</v>
      </c>
      <c r="V2426" t="s">
        <v>26</v>
      </c>
      <c r="W2426" s="24">
        <v>43405</v>
      </c>
      <c r="X2426" s="24">
        <v>43891</v>
      </c>
      <c r="Y2426" t="s">
        <v>26</v>
      </c>
      <c r="Z2426" s="24">
        <v>43405</v>
      </c>
      <c r="AA2426" s="24">
        <v>43891</v>
      </c>
      <c r="AB2426" t="s">
        <v>26</v>
      </c>
      <c r="AC2426" s="24">
        <v>43405</v>
      </c>
      <c r="AD2426" s="24">
        <v>43891</v>
      </c>
      <c r="AE2426" t="s">
        <v>26</v>
      </c>
      <c r="AF2426" t="s">
        <v>26</v>
      </c>
      <c r="AG2426" t="s">
        <v>26</v>
      </c>
      <c r="AH2426" t="s">
        <v>26</v>
      </c>
      <c r="AI2426" t="s">
        <v>26</v>
      </c>
      <c r="AJ2426" t="s">
        <v>26</v>
      </c>
      <c r="AK2426" t="s">
        <v>26</v>
      </c>
      <c r="AL2426" t="s">
        <v>26</v>
      </c>
      <c r="AM2426" t="s">
        <v>26</v>
      </c>
      <c r="AN2426" t="s">
        <v>26</v>
      </c>
      <c r="AO2426" s="25" t="s">
        <v>68</v>
      </c>
      <c r="AP2426" s="23" t="s">
        <v>69</v>
      </c>
      <c r="AQ2426" s="23" t="s">
        <v>30</v>
      </c>
      <c r="AR2426" s="23" t="s">
        <v>4463</v>
      </c>
      <c r="AS2426" s="25">
        <v>52934</v>
      </c>
      <c r="AT2426" t="s">
        <v>26</v>
      </c>
      <c r="AU2426" t="s">
        <v>25409</v>
      </c>
    </row>
    <row r="2427" spans="1:47" ht="26.25" x14ac:dyDescent="0.4">
      <c r="A2427" s="23" t="s">
        <v>6367</v>
      </c>
      <c r="B2427" t="s">
        <v>26</v>
      </c>
      <c r="C2427" s="23" t="s">
        <v>80</v>
      </c>
      <c r="D2427" s="23" t="s">
        <v>22184</v>
      </c>
      <c r="E2427" s="23" t="s">
        <v>60</v>
      </c>
      <c r="F2427" s="25" t="s">
        <v>6368</v>
      </c>
      <c r="G2427" s="25" t="s">
        <v>6369</v>
      </c>
      <c r="H2427" t="s">
        <v>26</v>
      </c>
      <c r="I2427" t="s">
        <v>26</v>
      </c>
      <c r="J2427" t="s">
        <v>26</v>
      </c>
      <c r="K2427" t="s">
        <v>26</v>
      </c>
      <c r="L2427" s="25" t="s">
        <v>68</v>
      </c>
      <c r="M2427" t="s">
        <v>26</v>
      </c>
      <c r="N2427" t="s">
        <v>26</v>
      </c>
      <c r="O2427" t="s">
        <v>26</v>
      </c>
      <c r="P2427" t="s">
        <v>26</v>
      </c>
      <c r="Q2427" t="s">
        <v>26</v>
      </c>
      <c r="R2427" t="s">
        <v>26</v>
      </c>
      <c r="S2427" t="s">
        <v>26</v>
      </c>
      <c r="T2427" t="s">
        <v>26</v>
      </c>
      <c r="U2427" t="s">
        <v>26</v>
      </c>
      <c r="V2427" t="s">
        <v>26</v>
      </c>
      <c r="W2427" s="24">
        <v>42309</v>
      </c>
      <c r="X2427" s="25" t="s">
        <v>77</v>
      </c>
      <c r="Y2427" s="25" t="s">
        <v>833</v>
      </c>
      <c r="Z2427" s="24">
        <v>42309</v>
      </c>
      <c r="AA2427" s="25" t="s">
        <v>77</v>
      </c>
      <c r="AB2427" s="25" t="s">
        <v>833</v>
      </c>
      <c r="AC2427" s="24">
        <v>42309</v>
      </c>
      <c r="AD2427" s="25" t="s">
        <v>77</v>
      </c>
      <c r="AE2427" s="25" t="s">
        <v>833</v>
      </c>
      <c r="AF2427" t="s">
        <v>26</v>
      </c>
      <c r="AG2427" t="s">
        <v>26</v>
      </c>
      <c r="AH2427" t="s">
        <v>26</v>
      </c>
      <c r="AI2427" t="s">
        <v>26</v>
      </c>
      <c r="AJ2427" t="s">
        <v>26</v>
      </c>
      <c r="AK2427" t="s">
        <v>26</v>
      </c>
      <c r="AL2427" t="s">
        <v>26</v>
      </c>
      <c r="AM2427" t="s">
        <v>26</v>
      </c>
      <c r="AN2427" t="s">
        <v>26</v>
      </c>
      <c r="AO2427" s="25" t="s">
        <v>68</v>
      </c>
      <c r="AP2427" s="23" t="s">
        <v>69</v>
      </c>
      <c r="AQ2427" s="23" t="s">
        <v>30</v>
      </c>
      <c r="AR2427" s="23" t="s">
        <v>4463</v>
      </c>
      <c r="AS2427" s="25">
        <v>2038301</v>
      </c>
      <c r="AT2427" t="s">
        <v>26</v>
      </c>
      <c r="AU2427" t="s">
        <v>25410</v>
      </c>
    </row>
    <row r="2428" spans="1:47" ht="26.25" x14ac:dyDescent="0.4">
      <c r="A2428" s="23" t="s">
        <v>6370</v>
      </c>
      <c r="B2428" t="s">
        <v>26</v>
      </c>
      <c r="C2428" s="23" t="s">
        <v>25411</v>
      </c>
      <c r="D2428" s="23" t="s">
        <v>22660</v>
      </c>
      <c r="E2428" s="23" t="s">
        <v>42</v>
      </c>
      <c r="F2428" t="s">
        <v>26</v>
      </c>
      <c r="G2428" t="s">
        <v>26</v>
      </c>
      <c r="H2428" t="s">
        <v>26</v>
      </c>
      <c r="I2428" s="24">
        <v>38718</v>
      </c>
      <c r="J2428" s="24">
        <v>40179</v>
      </c>
      <c r="K2428" t="s">
        <v>26</v>
      </c>
      <c r="L2428" s="25" t="s">
        <v>28</v>
      </c>
      <c r="M2428" s="24">
        <v>38718</v>
      </c>
      <c r="N2428" s="24">
        <v>40179</v>
      </c>
      <c r="O2428" t="s">
        <v>26</v>
      </c>
      <c r="P2428" t="s">
        <v>26</v>
      </c>
      <c r="Q2428" t="s">
        <v>26</v>
      </c>
      <c r="R2428" t="s">
        <v>26</v>
      </c>
      <c r="S2428" s="24">
        <v>38718</v>
      </c>
      <c r="T2428" s="24">
        <v>40179</v>
      </c>
      <c r="U2428" t="s">
        <v>26</v>
      </c>
      <c r="V2428" t="s">
        <v>26</v>
      </c>
      <c r="W2428" s="24">
        <v>38718</v>
      </c>
      <c r="X2428" s="24">
        <v>40179</v>
      </c>
      <c r="Y2428" t="s">
        <v>26</v>
      </c>
      <c r="Z2428" s="24">
        <v>38718</v>
      </c>
      <c r="AA2428" s="24">
        <v>40179</v>
      </c>
      <c r="AB2428" t="s">
        <v>26</v>
      </c>
      <c r="AC2428" s="24">
        <v>38718</v>
      </c>
      <c r="AD2428" s="24">
        <v>40179</v>
      </c>
      <c r="AE2428" t="s">
        <v>26</v>
      </c>
      <c r="AF2428" s="24">
        <v>38718</v>
      </c>
      <c r="AG2428" s="24">
        <v>40179</v>
      </c>
      <c r="AH2428" t="s">
        <v>26</v>
      </c>
      <c r="AI2428" s="24">
        <v>38718</v>
      </c>
      <c r="AJ2428" s="24">
        <v>40179</v>
      </c>
      <c r="AK2428" t="s">
        <v>26</v>
      </c>
      <c r="AL2428" t="s">
        <v>26</v>
      </c>
      <c r="AM2428" t="s">
        <v>26</v>
      </c>
      <c r="AN2428" t="s">
        <v>26</v>
      </c>
      <c r="AO2428" s="25" t="s">
        <v>28</v>
      </c>
      <c r="AP2428" s="23" t="s">
        <v>43</v>
      </c>
      <c r="AQ2428" s="23" t="s">
        <v>30</v>
      </c>
      <c r="AR2428" s="23" t="s">
        <v>46</v>
      </c>
      <c r="AS2428" s="25">
        <v>6364607</v>
      </c>
      <c r="AT2428" t="s">
        <v>26</v>
      </c>
      <c r="AU2428" t="s">
        <v>25412</v>
      </c>
    </row>
    <row r="2429" spans="1:47" ht="13.15" x14ac:dyDescent="0.4">
      <c r="A2429" s="23" t="s">
        <v>6371</v>
      </c>
      <c r="B2429" t="s">
        <v>26</v>
      </c>
      <c r="C2429" s="23" t="s">
        <v>146</v>
      </c>
      <c r="D2429" s="23" t="s">
        <v>22174</v>
      </c>
      <c r="E2429" s="23" t="s">
        <v>60</v>
      </c>
      <c r="F2429" t="s">
        <v>26</v>
      </c>
      <c r="G2429" t="s">
        <v>26</v>
      </c>
      <c r="H2429" t="s">
        <v>26</v>
      </c>
      <c r="I2429" t="s">
        <v>26</v>
      </c>
      <c r="J2429" t="s">
        <v>26</v>
      </c>
      <c r="K2429" t="s">
        <v>26</v>
      </c>
      <c r="L2429" s="25" t="s">
        <v>28</v>
      </c>
      <c r="M2429" t="s">
        <v>26</v>
      </c>
      <c r="N2429" t="s">
        <v>26</v>
      </c>
      <c r="O2429" t="s">
        <v>26</v>
      </c>
      <c r="P2429" t="s">
        <v>26</v>
      </c>
      <c r="Q2429" t="s">
        <v>26</v>
      </c>
      <c r="R2429" t="s">
        <v>26</v>
      </c>
      <c r="S2429" t="s">
        <v>26</v>
      </c>
      <c r="T2429" t="s">
        <v>26</v>
      </c>
      <c r="U2429" t="s">
        <v>26</v>
      </c>
      <c r="V2429" t="s">
        <v>26</v>
      </c>
      <c r="W2429" s="24">
        <v>42005</v>
      </c>
      <c r="X2429" s="24">
        <v>42005</v>
      </c>
      <c r="Y2429" t="s">
        <v>26</v>
      </c>
      <c r="Z2429" s="24">
        <v>42005</v>
      </c>
      <c r="AA2429" s="24">
        <v>42005</v>
      </c>
      <c r="AB2429" t="s">
        <v>26</v>
      </c>
      <c r="AC2429" t="s">
        <v>26</v>
      </c>
      <c r="AD2429" t="s">
        <v>26</v>
      </c>
      <c r="AE2429" t="s">
        <v>26</v>
      </c>
      <c r="AF2429" t="s">
        <v>26</v>
      </c>
      <c r="AG2429" t="s">
        <v>26</v>
      </c>
      <c r="AH2429" t="s">
        <v>26</v>
      </c>
      <c r="AI2429" t="s">
        <v>26</v>
      </c>
      <c r="AJ2429" t="s">
        <v>26</v>
      </c>
      <c r="AK2429" t="s">
        <v>26</v>
      </c>
      <c r="AL2429" t="s">
        <v>26</v>
      </c>
      <c r="AM2429" t="s">
        <v>26</v>
      </c>
      <c r="AN2429" t="s">
        <v>26</v>
      </c>
      <c r="AO2429" s="25" t="s">
        <v>28</v>
      </c>
      <c r="AP2429" s="23" t="s">
        <v>29</v>
      </c>
      <c r="AQ2429" s="23" t="s">
        <v>30</v>
      </c>
      <c r="AR2429" s="23" t="s">
        <v>44</v>
      </c>
      <c r="AS2429" s="25">
        <v>5485113</v>
      </c>
      <c r="AT2429" s="23" t="s">
        <v>22181</v>
      </c>
      <c r="AU2429" t="s">
        <v>25413</v>
      </c>
    </row>
    <row r="2430" spans="1:47" ht="26.25" x14ac:dyDescent="0.4">
      <c r="A2430" s="23" t="s">
        <v>6372</v>
      </c>
      <c r="B2430" t="s">
        <v>26</v>
      </c>
      <c r="C2430" s="23" t="s">
        <v>332</v>
      </c>
      <c r="D2430" s="23" t="s">
        <v>22256</v>
      </c>
      <c r="E2430" s="23" t="s">
        <v>42</v>
      </c>
      <c r="F2430" t="s">
        <v>26</v>
      </c>
      <c r="G2430" t="s">
        <v>26</v>
      </c>
      <c r="H2430" t="s">
        <v>26</v>
      </c>
      <c r="I2430" s="24">
        <v>40179</v>
      </c>
      <c r="J2430" s="24">
        <v>41640</v>
      </c>
      <c r="K2430" t="s">
        <v>26</v>
      </c>
      <c r="L2430" s="25" t="s">
        <v>28</v>
      </c>
      <c r="M2430" s="24">
        <v>40179</v>
      </c>
      <c r="N2430" s="24">
        <v>41640</v>
      </c>
      <c r="O2430" t="s">
        <v>26</v>
      </c>
      <c r="P2430" t="s">
        <v>26</v>
      </c>
      <c r="Q2430" t="s">
        <v>26</v>
      </c>
      <c r="R2430" t="s">
        <v>26</v>
      </c>
      <c r="S2430" t="s">
        <v>26</v>
      </c>
      <c r="T2430" t="s">
        <v>26</v>
      </c>
      <c r="U2430" t="s">
        <v>26</v>
      </c>
      <c r="V2430" t="s">
        <v>26</v>
      </c>
      <c r="W2430" s="24">
        <v>40179</v>
      </c>
      <c r="X2430" s="24">
        <v>41640</v>
      </c>
      <c r="Y2430" t="s">
        <v>26</v>
      </c>
      <c r="Z2430" s="24">
        <v>40179</v>
      </c>
      <c r="AA2430" s="24">
        <v>41640</v>
      </c>
      <c r="AB2430" t="s">
        <v>26</v>
      </c>
      <c r="AC2430" s="24">
        <v>40179</v>
      </c>
      <c r="AD2430" s="24">
        <v>41640</v>
      </c>
      <c r="AE2430" t="s">
        <v>26</v>
      </c>
      <c r="AF2430" t="s">
        <v>26</v>
      </c>
      <c r="AG2430" t="s">
        <v>26</v>
      </c>
      <c r="AH2430" t="s">
        <v>26</v>
      </c>
      <c r="AI2430" t="s">
        <v>26</v>
      </c>
      <c r="AJ2430" t="s">
        <v>26</v>
      </c>
      <c r="AK2430" t="s">
        <v>26</v>
      </c>
      <c r="AL2430" t="s">
        <v>26</v>
      </c>
      <c r="AM2430" t="s">
        <v>26</v>
      </c>
      <c r="AN2430" t="s">
        <v>26</v>
      </c>
      <c r="AO2430" s="25" t="s">
        <v>28</v>
      </c>
      <c r="AP2430" s="23" t="s">
        <v>279</v>
      </c>
      <c r="AQ2430" s="23" t="s">
        <v>30</v>
      </c>
      <c r="AR2430" s="23" t="s">
        <v>46</v>
      </c>
      <c r="AS2430" s="25">
        <v>6275750</v>
      </c>
      <c r="AT2430" t="s">
        <v>26</v>
      </c>
      <c r="AU2430" t="s">
        <v>25414</v>
      </c>
    </row>
    <row r="2431" spans="1:47" ht="26.25" x14ac:dyDescent="0.4">
      <c r="A2431" s="23" t="s">
        <v>6373</v>
      </c>
      <c r="B2431" t="s">
        <v>26</v>
      </c>
      <c r="C2431" s="23" t="s">
        <v>181</v>
      </c>
      <c r="D2431" s="23" t="s">
        <v>22194</v>
      </c>
      <c r="E2431" s="23" t="s">
        <v>60</v>
      </c>
      <c r="F2431" s="25" t="s">
        <v>6374</v>
      </c>
      <c r="G2431" s="25" t="s">
        <v>6375</v>
      </c>
      <c r="H2431" t="s">
        <v>26</v>
      </c>
      <c r="I2431" t="s">
        <v>26</v>
      </c>
      <c r="J2431" t="s">
        <v>26</v>
      </c>
      <c r="K2431" t="s">
        <v>26</v>
      </c>
      <c r="L2431" s="25" t="s">
        <v>68</v>
      </c>
      <c r="M2431" t="s">
        <v>26</v>
      </c>
      <c r="N2431" t="s">
        <v>26</v>
      </c>
      <c r="O2431" t="s">
        <v>26</v>
      </c>
      <c r="P2431" t="s">
        <v>26</v>
      </c>
      <c r="Q2431" t="s">
        <v>26</v>
      </c>
      <c r="R2431" t="s">
        <v>26</v>
      </c>
      <c r="S2431" t="s">
        <v>26</v>
      </c>
      <c r="T2431" t="s">
        <v>26</v>
      </c>
      <c r="U2431" t="s">
        <v>26</v>
      </c>
      <c r="V2431" t="s">
        <v>26</v>
      </c>
      <c r="W2431" s="24">
        <v>32782</v>
      </c>
      <c r="X2431" s="25" t="s">
        <v>77</v>
      </c>
      <c r="Y2431" t="s">
        <v>26</v>
      </c>
      <c r="Z2431" s="24">
        <v>32782</v>
      </c>
      <c r="AA2431" s="25" t="s">
        <v>77</v>
      </c>
      <c r="AB2431" t="s">
        <v>26</v>
      </c>
      <c r="AC2431" s="24">
        <v>32782</v>
      </c>
      <c r="AD2431" s="25" t="s">
        <v>77</v>
      </c>
      <c r="AE2431" t="s">
        <v>26</v>
      </c>
      <c r="AF2431" t="s">
        <v>26</v>
      </c>
      <c r="AG2431" t="s">
        <v>26</v>
      </c>
      <c r="AH2431" t="s">
        <v>26</v>
      </c>
      <c r="AI2431" t="s">
        <v>26</v>
      </c>
      <c r="AJ2431" t="s">
        <v>26</v>
      </c>
      <c r="AK2431" t="s">
        <v>26</v>
      </c>
      <c r="AL2431" t="s">
        <v>26</v>
      </c>
      <c r="AM2431" t="s">
        <v>26</v>
      </c>
      <c r="AN2431" t="s">
        <v>26</v>
      </c>
      <c r="AO2431" s="25" t="s">
        <v>68</v>
      </c>
      <c r="AP2431" s="23" t="s">
        <v>69</v>
      </c>
      <c r="AQ2431" s="23" t="s">
        <v>30</v>
      </c>
      <c r="AR2431" s="23" t="s">
        <v>996</v>
      </c>
      <c r="AS2431" s="25">
        <v>29826</v>
      </c>
      <c r="AT2431" t="s">
        <v>26</v>
      </c>
      <c r="AU2431" t="s">
        <v>25415</v>
      </c>
    </row>
    <row r="2432" spans="1:47" ht="26.25" x14ac:dyDescent="0.4">
      <c r="A2432" s="23" t="s">
        <v>6376</v>
      </c>
      <c r="B2432" t="s">
        <v>26</v>
      </c>
      <c r="C2432" s="23" t="s">
        <v>167</v>
      </c>
      <c r="D2432" s="23" t="s">
        <v>22218</v>
      </c>
      <c r="E2432" s="23" t="s">
        <v>60</v>
      </c>
      <c r="F2432" s="25" t="s">
        <v>6377</v>
      </c>
      <c r="G2432" s="25" t="s">
        <v>6378</v>
      </c>
      <c r="H2432" t="s">
        <v>26</v>
      </c>
      <c r="I2432" s="24">
        <v>37012</v>
      </c>
      <c r="J2432" s="25" t="s">
        <v>77</v>
      </c>
      <c r="K2432" t="s">
        <v>26</v>
      </c>
      <c r="L2432" s="25" t="s">
        <v>68</v>
      </c>
      <c r="M2432" s="24">
        <v>39814</v>
      </c>
      <c r="N2432" s="25" t="s">
        <v>77</v>
      </c>
      <c r="O2432" t="s">
        <v>26</v>
      </c>
      <c r="P2432" s="24">
        <v>37012</v>
      </c>
      <c r="Q2432" s="25" t="s">
        <v>77</v>
      </c>
      <c r="R2432" t="s">
        <v>26</v>
      </c>
      <c r="S2432" t="s">
        <v>26</v>
      </c>
      <c r="T2432" t="s">
        <v>26</v>
      </c>
      <c r="U2432" t="s">
        <v>26</v>
      </c>
      <c r="V2432" s="25">
        <v>365</v>
      </c>
      <c r="W2432" s="24">
        <v>37012</v>
      </c>
      <c r="X2432" s="25" t="s">
        <v>77</v>
      </c>
      <c r="Y2432" t="s">
        <v>26</v>
      </c>
      <c r="Z2432" s="24">
        <v>37012</v>
      </c>
      <c r="AA2432" s="25" t="s">
        <v>77</v>
      </c>
      <c r="AB2432" t="s">
        <v>26</v>
      </c>
      <c r="AC2432" s="24">
        <v>37012</v>
      </c>
      <c r="AD2432" s="25" t="s">
        <v>77</v>
      </c>
      <c r="AE2432" t="s">
        <v>26</v>
      </c>
      <c r="AF2432" t="s">
        <v>26</v>
      </c>
      <c r="AG2432" t="s">
        <v>26</v>
      </c>
      <c r="AH2432" t="s">
        <v>26</v>
      </c>
      <c r="AI2432" t="s">
        <v>26</v>
      </c>
      <c r="AJ2432" t="s">
        <v>26</v>
      </c>
      <c r="AK2432" t="s">
        <v>26</v>
      </c>
      <c r="AL2432" t="s">
        <v>26</v>
      </c>
      <c r="AM2432" t="s">
        <v>26</v>
      </c>
      <c r="AN2432" t="s">
        <v>26</v>
      </c>
      <c r="AO2432" s="25" t="s">
        <v>68</v>
      </c>
      <c r="AP2432" s="23" t="s">
        <v>69</v>
      </c>
      <c r="AQ2432" s="23" t="s">
        <v>30</v>
      </c>
      <c r="AR2432" s="23" t="s">
        <v>6379</v>
      </c>
      <c r="AS2432" s="25">
        <v>43616</v>
      </c>
      <c r="AT2432" t="s">
        <v>26</v>
      </c>
      <c r="AU2432" t="s">
        <v>25416</v>
      </c>
    </row>
    <row r="2433" spans="1:47" ht="26.25" x14ac:dyDescent="0.4">
      <c r="A2433" s="23" t="s">
        <v>6380</v>
      </c>
      <c r="B2433" t="s">
        <v>26</v>
      </c>
      <c r="C2433" s="23" t="s">
        <v>80</v>
      </c>
      <c r="D2433" s="23" t="s">
        <v>22190</v>
      </c>
      <c r="E2433" s="23" t="s">
        <v>60</v>
      </c>
      <c r="F2433" s="25" t="s">
        <v>6381</v>
      </c>
      <c r="G2433" s="25" t="s">
        <v>6382</v>
      </c>
      <c r="H2433" t="s">
        <v>26</v>
      </c>
      <c r="I2433" t="s">
        <v>26</v>
      </c>
      <c r="J2433" t="s">
        <v>26</v>
      </c>
      <c r="K2433" t="s">
        <v>26</v>
      </c>
      <c r="L2433" s="25" t="s">
        <v>68</v>
      </c>
      <c r="M2433" t="s">
        <v>26</v>
      </c>
      <c r="N2433" t="s">
        <v>26</v>
      </c>
      <c r="O2433" t="s">
        <v>26</v>
      </c>
      <c r="P2433" t="s">
        <v>26</v>
      </c>
      <c r="Q2433" t="s">
        <v>26</v>
      </c>
      <c r="R2433" t="s">
        <v>26</v>
      </c>
      <c r="S2433" t="s">
        <v>26</v>
      </c>
      <c r="T2433" t="s">
        <v>26</v>
      </c>
      <c r="U2433" t="s">
        <v>26</v>
      </c>
      <c r="V2433" t="s">
        <v>26</v>
      </c>
      <c r="W2433" s="24">
        <v>43374</v>
      </c>
      <c r="X2433" s="24">
        <v>43831</v>
      </c>
      <c r="Y2433" t="s">
        <v>26</v>
      </c>
      <c r="Z2433" s="24">
        <v>43374</v>
      </c>
      <c r="AA2433" s="24">
        <v>43831</v>
      </c>
      <c r="AB2433" t="s">
        <v>26</v>
      </c>
      <c r="AC2433" s="24">
        <v>43374</v>
      </c>
      <c r="AD2433" s="24">
        <v>43831</v>
      </c>
      <c r="AE2433" t="s">
        <v>26</v>
      </c>
      <c r="AF2433" t="s">
        <v>26</v>
      </c>
      <c r="AG2433" t="s">
        <v>26</v>
      </c>
      <c r="AH2433" t="s">
        <v>26</v>
      </c>
      <c r="AI2433" t="s">
        <v>26</v>
      </c>
      <c r="AJ2433" t="s">
        <v>26</v>
      </c>
      <c r="AK2433" t="s">
        <v>26</v>
      </c>
      <c r="AL2433" t="s">
        <v>26</v>
      </c>
      <c r="AM2433" t="s">
        <v>26</v>
      </c>
      <c r="AN2433" t="s">
        <v>26</v>
      </c>
      <c r="AO2433" s="25" t="s">
        <v>68</v>
      </c>
      <c r="AP2433" s="23" t="s">
        <v>69</v>
      </c>
      <c r="AQ2433" s="23" t="s">
        <v>30</v>
      </c>
      <c r="AR2433" s="23" t="s">
        <v>123</v>
      </c>
      <c r="AS2433" s="25">
        <v>53010</v>
      </c>
      <c r="AT2433" t="s">
        <v>26</v>
      </c>
      <c r="AU2433" t="s">
        <v>25417</v>
      </c>
    </row>
    <row r="2434" spans="1:47" ht="26.25" x14ac:dyDescent="0.4">
      <c r="A2434" s="23" t="s">
        <v>6380</v>
      </c>
      <c r="B2434" t="s">
        <v>26</v>
      </c>
      <c r="C2434" s="23" t="s">
        <v>80</v>
      </c>
      <c r="D2434" s="23" t="s">
        <v>22190</v>
      </c>
      <c r="E2434" s="23" t="s">
        <v>60</v>
      </c>
      <c r="F2434" s="25" t="s">
        <v>6381</v>
      </c>
      <c r="G2434" s="25" t="s">
        <v>6382</v>
      </c>
      <c r="H2434" t="s">
        <v>26</v>
      </c>
      <c r="I2434" t="s">
        <v>26</v>
      </c>
      <c r="J2434" t="s">
        <v>26</v>
      </c>
      <c r="K2434" t="s">
        <v>26</v>
      </c>
      <c r="L2434" s="25" t="s">
        <v>68</v>
      </c>
      <c r="M2434" t="s">
        <v>26</v>
      </c>
      <c r="N2434" t="s">
        <v>26</v>
      </c>
      <c r="O2434" t="s">
        <v>26</v>
      </c>
      <c r="P2434" t="s">
        <v>26</v>
      </c>
      <c r="Q2434" t="s">
        <v>26</v>
      </c>
      <c r="R2434" t="s">
        <v>26</v>
      </c>
      <c r="S2434" t="s">
        <v>26</v>
      </c>
      <c r="T2434" t="s">
        <v>26</v>
      </c>
      <c r="U2434" t="s">
        <v>26</v>
      </c>
      <c r="V2434" t="s">
        <v>26</v>
      </c>
      <c r="W2434" s="24">
        <v>42370</v>
      </c>
      <c r="X2434" s="25" t="s">
        <v>77</v>
      </c>
      <c r="Y2434" s="25" t="s">
        <v>833</v>
      </c>
      <c r="Z2434" s="24">
        <v>42370</v>
      </c>
      <c r="AA2434" s="25" t="s">
        <v>77</v>
      </c>
      <c r="AB2434" s="25" t="s">
        <v>833</v>
      </c>
      <c r="AC2434" s="24">
        <v>42370</v>
      </c>
      <c r="AD2434" s="25" t="s">
        <v>77</v>
      </c>
      <c r="AE2434" s="25" t="s">
        <v>833</v>
      </c>
      <c r="AF2434" t="s">
        <v>26</v>
      </c>
      <c r="AG2434" t="s">
        <v>26</v>
      </c>
      <c r="AH2434" t="s">
        <v>26</v>
      </c>
      <c r="AI2434" t="s">
        <v>26</v>
      </c>
      <c r="AJ2434" t="s">
        <v>26</v>
      </c>
      <c r="AK2434" t="s">
        <v>26</v>
      </c>
      <c r="AL2434" t="s">
        <v>26</v>
      </c>
      <c r="AM2434" t="s">
        <v>26</v>
      </c>
      <c r="AN2434" t="s">
        <v>26</v>
      </c>
      <c r="AO2434" s="25" t="s">
        <v>68</v>
      </c>
      <c r="AP2434" s="23" t="s">
        <v>69</v>
      </c>
      <c r="AQ2434" s="23" t="s">
        <v>30</v>
      </c>
      <c r="AR2434" s="23" t="s">
        <v>123</v>
      </c>
      <c r="AS2434" s="25">
        <v>2037968</v>
      </c>
      <c r="AT2434" t="s">
        <v>26</v>
      </c>
      <c r="AU2434" t="s">
        <v>25418</v>
      </c>
    </row>
    <row r="2435" spans="1:47" ht="26.25" x14ac:dyDescent="0.4">
      <c r="A2435" s="23" t="s">
        <v>6383</v>
      </c>
      <c r="B2435" t="s">
        <v>26</v>
      </c>
      <c r="C2435" s="23" t="s">
        <v>172</v>
      </c>
      <c r="D2435" s="23" t="s">
        <v>25419</v>
      </c>
      <c r="E2435" s="23" t="s">
        <v>60</v>
      </c>
      <c r="F2435" s="25" t="s">
        <v>6384</v>
      </c>
      <c r="G2435" s="25" t="s">
        <v>6385</v>
      </c>
      <c r="H2435" t="s">
        <v>26</v>
      </c>
      <c r="I2435" s="24">
        <v>35431</v>
      </c>
      <c r="J2435" s="24">
        <v>40878</v>
      </c>
      <c r="K2435" t="s">
        <v>26</v>
      </c>
      <c r="L2435" s="25" t="s">
        <v>68</v>
      </c>
      <c r="M2435" s="24">
        <v>35431</v>
      </c>
      <c r="N2435" s="24">
        <v>40878</v>
      </c>
      <c r="O2435" t="s">
        <v>26</v>
      </c>
      <c r="P2435" s="24">
        <v>35431</v>
      </c>
      <c r="Q2435" s="24">
        <v>40878</v>
      </c>
      <c r="R2435" t="s">
        <v>26</v>
      </c>
      <c r="S2435" t="s">
        <v>26</v>
      </c>
      <c r="T2435" t="s">
        <v>26</v>
      </c>
      <c r="U2435" t="s">
        <v>26</v>
      </c>
      <c r="V2435" t="s">
        <v>26</v>
      </c>
      <c r="W2435" s="24">
        <v>35431</v>
      </c>
      <c r="X2435" s="25" t="s">
        <v>77</v>
      </c>
      <c r="Y2435" t="s">
        <v>26</v>
      </c>
      <c r="Z2435" s="24">
        <v>35431</v>
      </c>
      <c r="AA2435" s="25" t="s">
        <v>77</v>
      </c>
      <c r="AB2435" t="s">
        <v>26</v>
      </c>
      <c r="AC2435" s="24">
        <v>35431</v>
      </c>
      <c r="AD2435" s="25" t="s">
        <v>77</v>
      </c>
      <c r="AE2435" t="s">
        <v>26</v>
      </c>
      <c r="AF2435" t="s">
        <v>26</v>
      </c>
      <c r="AG2435" t="s">
        <v>26</v>
      </c>
      <c r="AH2435" t="s">
        <v>26</v>
      </c>
      <c r="AI2435" t="s">
        <v>26</v>
      </c>
      <c r="AJ2435" t="s">
        <v>26</v>
      </c>
      <c r="AK2435" t="s">
        <v>26</v>
      </c>
      <c r="AL2435" t="s">
        <v>26</v>
      </c>
      <c r="AM2435" t="s">
        <v>26</v>
      </c>
      <c r="AN2435" t="s">
        <v>26</v>
      </c>
      <c r="AO2435" s="25" t="s">
        <v>68</v>
      </c>
      <c r="AP2435" s="23" t="s">
        <v>69</v>
      </c>
      <c r="AQ2435" s="23" t="s">
        <v>30</v>
      </c>
      <c r="AR2435" s="23" t="s">
        <v>1635</v>
      </c>
      <c r="AS2435" s="25">
        <v>577</v>
      </c>
      <c r="AT2435" t="s">
        <v>26</v>
      </c>
      <c r="AU2435" t="s">
        <v>25420</v>
      </c>
    </row>
    <row r="2436" spans="1:47" ht="39.4" x14ac:dyDescent="0.4">
      <c r="A2436" s="23" t="s">
        <v>6386</v>
      </c>
      <c r="B2436" t="s">
        <v>26</v>
      </c>
      <c r="C2436" s="23" t="s">
        <v>146</v>
      </c>
      <c r="D2436" s="23" t="s">
        <v>22174</v>
      </c>
      <c r="E2436" s="23" t="s">
        <v>60</v>
      </c>
      <c r="F2436" t="s">
        <v>26</v>
      </c>
      <c r="G2436" t="s">
        <v>26</v>
      </c>
      <c r="H2436" t="s">
        <v>26</v>
      </c>
      <c r="I2436" s="24">
        <v>41640</v>
      </c>
      <c r="J2436" s="24">
        <v>41640</v>
      </c>
      <c r="K2436" t="s">
        <v>26</v>
      </c>
      <c r="L2436" s="25" t="s">
        <v>28</v>
      </c>
      <c r="M2436" t="s">
        <v>26</v>
      </c>
      <c r="N2436" t="s">
        <v>26</v>
      </c>
      <c r="O2436" t="s">
        <v>26</v>
      </c>
      <c r="P2436" s="24">
        <v>41640</v>
      </c>
      <c r="Q2436" s="24">
        <v>41640</v>
      </c>
      <c r="R2436" t="s">
        <v>26</v>
      </c>
      <c r="S2436" t="s">
        <v>26</v>
      </c>
      <c r="T2436" t="s">
        <v>26</v>
      </c>
      <c r="U2436" t="s">
        <v>26</v>
      </c>
      <c r="V2436" t="s">
        <v>26</v>
      </c>
      <c r="W2436" s="24">
        <v>41640</v>
      </c>
      <c r="X2436" s="24">
        <v>41640</v>
      </c>
      <c r="Y2436" t="s">
        <v>26</v>
      </c>
      <c r="Z2436" s="24">
        <v>41640</v>
      </c>
      <c r="AA2436" s="24">
        <v>41640</v>
      </c>
      <c r="AB2436" t="s">
        <v>26</v>
      </c>
      <c r="AC2436" s="24">
        <v>41640</v>
      </c>
      <c r="AD2436" s="24">
        <v>41640</v>
      </c>
      <c r="AE2436" t="s">
        <v>26</v>
      </c>
      <c r="AF2436" t="s">
        <v>26</v>
      </c>
      <c r="AG2436" t="s">
        <v>26</v>
      </c>
      <c r="AH2436" t="s">
        <v>26</v>
      </c>
      <c r="AI2436" t="s">
        <v>26</v>
      </c>
      <c r="AJ2436" t="s">
        <v>26</v>
      </c>
      <c r="AK2436" t="s">
        <v>26</v>
      </c>
      <c r="AL2436" t="s">
        <v>26</v>
      </c>
      <c r="AM2436" t="s">
        <v>26</v>
      </c>
      <c r="AN2436" t="s">
        <v>26</v>
      </c>
      <c r="AO2436" s="25" t="s">
        <v>28</v>
      </c>
      <c r="AP2436" s="23" t="s">
        <v>29</v>
      </c>
      <c r="AQ2436" s="23" t="s">
        <v>30</v>
      </c>
      <c r="AR2436" s="23" t="s">
        <v>46</v>
      </c>
      <c r="AS2436" s="25">
        <v>6059460</v>
      </c>
      <c r="AT2436" t="s">
        <v>26</v>
      </c>
      <c r="AU2436" t="s">
        <v>25421</v>
      </c>
    </row>
    <row r="2437" spans="1:47" ht="26.25" x14ac:dyDescent="0.4">
      <c r="A2437" s="23" t="s">
        <v>6387</v>
      </c>
      <c r="B2437" t="s">
        <v>26</v>
      </c>
      <c r="C2437" s="23" t="s">
        <v>1612</v>
      </c>
      <c r="D2437" s="23" t="s">
        <v>23047</v>
      </c>
      <c r="E2437" s="23" t="s">
        <v>42</v>
      </c>
      <c r="F2437" t="s">
        <v>26</v>
      </c>
      <c r="G2437" t="s">
        <v>26</v>
      </c>
      <c r="H2437" t="s">
        <v>26</v>
      </c>
      <c r="I2437" t="s">
        <v>26</v>
      </c>
      <c r="J2437" t="s">
        <v>26</v>
      </c>
      <c r="K2437" t="s">
        <v>26</v>
      </c>
      <c r="L2437" s="25" t="s">
        <v>28</v>
      </c>
      <c r="M2437" t="s">
        <v>26</v>
      </c>
      <c r="N2437" t="s">
        <v>26</v>
      </c>
      <c r="O2437" t="s">
        <v>26</v>
      </c>
      <c r="P2437" t="s">
        <v>26</v>
      </c>
      <c r="Q2437" t="s">
        <v>26</v>
      </c>
      <c r="R2437" t="s">
        <v>26</v>
      </c>
      <c r="S2437" t="s">
        <v>26</v>
      </c>
      <c r="T2437" t="s">
        <v>26</v>
      </c>
      <c r="U2437" t="s">
        <v>26</v>
      </c>
      <c r="V2437" t="s">
        <v>26</v>
      </c>
      <c r="W2437" s="24">
        <v>42370</v>
      </c>
      <c r="X2437" s="24">
        <v>42370</v>
      </c>
      <c r="Y2437" t="s">
        <v>26</v>
      </c>
      <c r="Z2437" s="24">
        <v>42370</v>
      </c>
      <c r="AA2437" s="24">
        <v>42370</v>
      </c>
      <c r="AB2437" t="s">
        <v>26</v>
      </c>
      <c r="AC2437" t="s">
        <v>26</v>
      </c>
      <c r="AD2437" t="s">
        <v>26</v>
      </c>
      <c r="AE2437" t="s">
        <v>26</v>
      </c>
      <c r="AF2437" t="s">
        <v>26</v>
      </c>
      <c r="AG2437" t="s">
        <v>26</v>
      </c>
      <c r="AH2437" t="s">
        <v>26</v>
      </c>
      <c r="AI2437" t="s">
        <v>26</v>
      </c>
      <c r="AJ2437" t="s">
        <v>26</v>
      </c>
      <c r="AK2437" t="s">
        <v>26</v>
      </c>
      <c r="AL2437" t="s">
        <v>26</v>
      </c>
      <c r="AM2437" t="s">
        <v>26</v>
      </c>
      <c r="AN2437" t="s">
        <v>26</v>
      </c>
      <c r="AO2437" s="25" t="s">
        <v>28</v>
      </c>
      <c r="AP2437" s="23" t="s">
        <v>29</v>
      </c>
      <c r="AQ2437" s="23" t="s">
        <v>30</v>
      </c>
      <c r="AR2437" s="23" t="s">
        <v>147</v>
      </c>
      <c r="AS2437" s="25">
        <v>5488551</v>
      </c>
      <c r="AT2437" s="23" t="s">
        <v>22181</v>
      </c>
      <c r="AU2437" t="s">
        <v>25422</v>
      </c>
    </row>
    <row r="2438" spans="1:47" ht="13.15" x14ac:dyDescent="0.4">
      <c r="A2438" s="23" t="s">
        <v>6388</v>
      </c>
      <c r="B2438" t="s">
        <v>26</v>
      </c>
      <c r="C2438" s="23" t="s">
        <v>146</v>
      </c>
      <c r="D2438" s="23" t="s">
        <v>22174</v>
      </c>
      <c r="E2438" s="23" t="s">
        <v>60</v>
      </c>
      <c r="F2438" t="s">
        <v>26</v>
      </c>
      <c r="G2438" t="s">
        <v>26</v>
      </c>
      <c r="H2438" t="s">
        <v>26</v>
      </c>
      <c r="I2438" t="s">
        <v>26</v>
      </c>
      <c r="J2438" t="s">
        <v>26</v>
      </c>
      <c r="K2438" t="s">
        <v>26</v>
      </c>
      <c r="L2438" s="25" t="s">
        <v>28</v>
      </c>
      <c r="M2438" t="s">
        <v>26</v>
      </c>
      <c r="N2438" t="s">
        <v>26</v>
      </c>
      <c r="O2438" t="s">
        <v>26</v>
      </c>
      <c r="P2438" t="s">
        <v>26</v>
      </c>
      <c r="Q2438" t="s">
        <v>26</v>
      </c>
      <c r="R2438" t="s">
        <v>26</v>
      </c>
      <c r="S2438" t="s">
        <v>26</v>
      </c>
      <c r="T2438" t="s">
        <v>26</v>
      </c>
      <c r="U2438" t="s">
        <v>26</v>
      </c>
      <c r="V2438" t="s">
        <v>26</v>
      </c>
      <c r="W2438" s="24">
        <v>42370</v>
      </c>
      <c r="X2438" s="24">
        <v>42370</v>
      </c>
      <c r="Y2438" t="s">
        <v>26</v>
      </c>
      <c r="Z2438" s="24">
        <v>42370</v>
      </c>
      <c r="AA2438" s="24">
        <v>42370</v>
      </c>
      <c r="AB2438" t="s">
        <v>26</v>
      </c>
      <c r="AC2438" t="s">
        <v>26</v>
      </c>
      <c r="AD2438" t="s">
        <v>26</v>
      </c>
      <c r="AE2438" t="s">
        <v>26</v>
      </c>
      <c r="AF2438" t="s">
        <v>26</v>
      </c>
      <c r="AG2438" t="s">
        <v>26</v>
      </c>
      <c r="AH2438" t="s">
        <v>26</v>
      </c>
      <c r="AI2438" t="s">
        <v>26</v>
      </c>
      <c r="AJ2438" t="s">
        <v>26</v>
      </c>
      <c r="AK2438" t="s">
        <v>26</v>
      </c>
      <c r="AL2438" t="s">
        <v>26</v>
      </c>
      <c r="AM2438" t="s">
        <v>26</v>
      </c>
      <c r="AN2438" t="s">
        <v>26</v>
      </c>
      <c r="AO2438" s="25" t="s">
        <v>28</v>
      </c>
      <c r="AP2438" s="23" t="s">
        <v>29</v>
      </c>
      <c r="AQ2438" s="23" t="s">
        <v>30</v>
      </c>
      <c r="AR2438" s="23" t="s">
        <v>44</v>
      </c>
      <c r="AS2438" s="25">
        <v>5488576</v>
      </c>
      <c r="AT2438" s="23" t="s">
        <v>22181</v>
      </c>
      <c r="AU2438" t="s">
        <v>25423</v>
      </c>
    </row>
    <row r="2439" spans="1:47" ht="26.25" x14ac:dyDescent="0.4">
      <c r="A2439" s="23" t="s">
        <v>6389</v>
      </c>
      <c r="B2439" t="s">
        <v>26</v>
      </c>
      <c r="C2439" s="23" t="s">
        <v>6390</v>
      </c>
      <c r="D2439" s="23" t="s">
        <v>24303</v>
      </c>
      <c r="E2439" s="23" t="s">
        <v>42</v>
      </c>
      <c r="F2439" s="25" t="s">
        <v>6391</v>
      </c>
      <c r="G2439" t="s">
        <v>26</v>
      </c>
      <c r="H2439" t="s">
        <v>26</v>
      </c>
      <c r="I2439" s="24">
        <v>35886</v>
      </c>
      <c r="J2439" s="24">
        <v>42186</v>
      </c>
      <c r="K2439" t="s">
        <v>26</v>
      </c>
      <c r="L2439" s="25" t="s">
        <v>68</v>
      </c>
      <c r="M2439" s="24">
        <v>35886</v>
      </c>
      <c r="N2439" s="24">
        <v>42186</v>
      </c>
      <c r="O2439" t="s">
        <v>26</v>
      </c>
      <c r="P2439" s="24">
        <v>35886</v>
      </c>
      <c r="Q2439" s="24">
        <v>42186</v>
      </c>
      <c r="R2439" t="s">
        <v>26</v>
      </c>
      <c r="S2439" t="s">
        <v>26</v>
      </c>
      <c r="T2439" t="s">
        <v>26</v>
      </c>
      <c r="U2439" t="s">
        <v>26</v>
      </c>
      <c r="V2439" t="s">
        <v>26</v>
      </c>
      <c r="W2439" s="24">
        <v>35886</v>
      </c>
      <c r="X2439" s="24">
        <v>42186</v>
      </c>
      <c r="Y2439" t="s">
        <v>26</v>
      </c>
      <c r="Z2439" s="24">
        <v>35886</v>
      </c>
      <c r="AA2439" s="24">
        <v>42186</v>
      </c>
      <c r="AB2439" t="s">
        <v>26</v>
      </c>
      <c r="AC2439" s="24">
        <v>36708</v>
      </c>
      <c r="AD2439" s="24">
        <v>42186</v>
      </c>
      <c r="AE2439" t="s">
        <v>26</v>
      </c>
      <c r="AF2439" t="s">
        <v>26</v>
      </c>
      <c r="AG2439" t="s">
        <v>26</v>
      </c>
      <c r="AH2439" t="s">
        <v>26</v>
      </c>
      <c r="AI2439" t="s">
        <v>26</v>
      </c>
      <c r="AJ2439" t="s">
        <v>26</v>
      </c>
      <c r="AK2439" t="s">
        <v>26</v>
      </c>
      <c r="AL2439" t="s">
        <v>26</v>
      </c>
      <c r="AM2439" t="s">
        <v>26</v>
      </c>
      <c r="AN2439" t="s">
        <v>26</v>
      </c>
      <c r="AO2439" s="25" t="s">
        <v>68</v>
      </c>
      <c r="AP2439" s="23" t="s">
        <v>69</v>
      </c>
      <c r="AQ2439" s="23" t="s">
        <v>30</v>
      </c>
      <c r="AR2439" s="23" t="s">
        <v>1419</v>
      </c>
      <c r="AS2439" s="25">
        <v>33810</v>
      </c>
      <c r="AT2439" t="s">
        <v>26</v>
      </c>
      <c r="AU2439" t="s">
        <v>25424</v>
      </c>
    </row>
    <row r="2440" spans="1:47" ht="13.15" x14ac:dyDescent="0.4">
      <c r="A2440" s="23" t="s">
        <v>6392</v>
      </c>
      <c r="B2440" t="s">
        <v>26</v>
      </c>
      <c r="C2440" s="23" t="s">
        <v>371</v>
      </c>
      <c r="D2440" s="23" t="s">
        <v>22242</v>
      </c>
      <c r="E2440" s="23" t="s">
        <v>42</v>
      </c>
      <c r="F2440" t="s">
        <v>26</v>
      </c>
      <c r="G2440" t="s">
        <v>26</v>
      </c>
      <c r="H2440" t="s">
        <v>26</v>
      </c>
      <c r="I2440" t="s">
        <v>26</v>
      </c>
      <c r="J2440" t="s">
        <v>26</v>
      </c>
      <c r="K2440" t="s">
        <v>26</v>
      </c>
      <c r="L2440" s="25" t="s">
        <v>28</v>
      </c>
      <c r="M2440" t="s">
        <v>26</v>
      </c>
      <c r="N2440" t="s">
        <v>26</v>
      </c>
      <c r="O2440" t="s">
        <v>26</v>
      </c>
      <c r="P2440" t="s">
        <v>26</v>
      </c>
      <c r="Q2440" t="s">
        <v>26</v>
      </c>
      <c r="R2440" t="s">
        <v>26</v>
      </c>
      <c r="S2440" t="s">
        <v>26</v>
      </c>
      <c r="T2440" t="s">
        <v>26</v>
      </c>
      <c r="U2440" t="s">
        <v>26</v>
      </c>
      <c r="V2440" t="s">
        <v>26</v>
      </c>
      <c r="W2440" s="24">
        <v>37987</v>
      </c>
      <c r="X2440" s="24">
        <v>37987</v>
      </c>
      <c r="Y2440" t="s">
        <v>26</v>
      </c>
      <c r="Z2440" s="24">
        <v>37987</v>
      </c>
      <c r="AA2440" s="24">
        <v>37987</v>
      </c>
      <c r="AB2440" t="s">
        <v>26</v>
      </c>
      <c r="AC2440" t="s">
        <v>26</v>
      </c>
      <c r="AD2440" t="s">
        <v>26</v>
      </c>
      <c r="AE2440" t="s">
        <v>26</v>
      </c>
      <c r="AF2440" t="s">
        <v>26</v>
      </c>
      <c r="AG2440" t="s">
        <v>26</v>
      </c>
      <c r="AH2440" t="s">
        <v>26</v>
      </c>
      <c r="AI2440" t="s">
        <v>26</v>
      </c>
      <c r="AJ2440" t="s">
        <v>26</v>
      </c>
      <c r="AK2440" t="s">
        <v>26</v>
      </c>
      <c r="AL2440" t="s">
        <v>26</v>
      </c>
      <c r="AM2440" t="s">
        <v>26</v>
      </c>
      <c r="AN2440" t="s">
        <v>26</v>
      </c>
      <c r="AO2440" s="25" t="s">
        <v>28</v>
      </c>
      <c r="AP2440" s="23" t="s">
        <v>29</v>
      </c>
      <c r="AQ2440" s="23" t="s">
        <v>30</v>
      </c>
      <c r="AR2440" s="23" t="s">
        <v>44</v>
      </c>
      <c r="AS2440" s="25">
        <v>5485081</v>
      </c>
      <c r="AT2440" s="23" t="s">
        <v>22181</v>
      </c>
      <c r="AU2440" t="s">
        <v>25425</v>
      </c>
    </row>
    <row r="2441" spans="1:47" ht="39.4" x14ac:dyDescent="0.4">
      <c r="A2441" s="23" t="s">
        <v>6393</v>
      </c>
      <c r="B2441" t="s">
        <v>26</v>
      </c>
      <c r="C2441" s="23" t="s">
        <v>364</v>
      </c>
      <c r="D2441" s="23" t="s">
        <v>25426</v>
      </c>
      <c r="E2441" s="23" t="s">
        <v>42</v>
      </c>
      <c r="F2441" t="s">
        <v>26</v>
      </c>
      <c r="G2441" t="s">
        <v>26</v>
      </c>
      <c r="H2441" t="s">
        <v>26</v>
      </c>
      <c r="I2441" s="24">
        <v>43303</v>
      </c>
      <c r="J2441" s="25" t="s">
        <v>77</v>
      </c>
      <c r="K2441" t="s">
        <v>26</v>
      </c>
      <c r="L2441" s="25" t="s">
        <v>28</v>
      </c>
      <c r="M2441" s="24">
        <v>43303</v>
      </c>
      <c r="N2441" s="25" t="s">
        <v>77</v>
      </c>
      <c r="O2441" t="s">
        <v>26</v>
      </c>
      <c r="P2441" t="s">
        <v>26</v>
      </c>
      <c r="Q2441" t="s">
        <v>26</v>
      </c>
      <c r="R2441" t="s">
        <v>26</v>
      </c>
      <c r="S2441" t="s">
        <v>26</v>
      </c>
      <c r="T2441" t="s">
        <v>26</v>
      </c>
      <c r="U2441" t="s">
        <v>26</v>
      </c>
      <c r="V2441" t="s">
        <v>26</v>
      </c>
      <c r="W2441" s="24">
        <v>43303</v>
      </c>
      <c r="X2441" s="25" t="s">
        <v>77</v>
      </c>
      <c r="Y2441" t="s">
        <v>26</v>
      </c>
      <c r="Z2441" s="24">
        <v>43303</v>
      </c>
      <c r="AA2441" s="25" t="s">
        <v>77</v>
      </c>
      <c r="AB2441" t="s">
        <v>26</v>
      </c>
      <c r="AC2441" t="s">
        <v>26</v>
      </c>
      <c r="AD2441" t="s">
        <v>26</v>
      </c>
      <c r="AE2441" t="s">
        <v>26</v>
      </c>
      <c r="AF2441" t="s">
        <v>26</v>
      </c>
      <c r="AG2441" t="s">
        <v>26</v>
      </c>
      <c r="AH2441" t="s">
        <v>26</v>
      </c>
      <c r="AI2441" t="s">
        <v>26</v>
      </c>
      <c r="AJ2441" t="s">
        <v>26</v>
      </c>
      <c r="AK2441" t="s">
        <v>26</v>
      </c>
      <c r="AL2441" t="s">
        <v>26</v>
      </c>
      <c r="AM2441" t="s">
        <v>26</v>
      </c>
      <c r="AN2441" t="s">
        <v>26</v>
      </c>
      <c r="AO2441" s="25" t="s">
        <v>28</v>
      </c>
      <c r="AP2441" s="23" t="s">
        <v>365</v>
      </c>
      <c r="AQ2441" s="23" t="s">
        <v>30</v>
      </c>
      <c r="AR2441" s="23" t="s">
        <v>46</v>
      </c>
      <c r="AS2441" s="25">
        <v>4395866</v>
      </c>
      <c r="AT2441" t="s">
        <v>26</v>
      </c>
      <c r="AU2441" t="s">
        <v>25427</v>
      </c>
    </row>
    <row r="2442" spans="1:47" ht="26.25" x14ac:dyDescent="0.4">
      <c r="A2442" s="23" t="s">
        <v>6394</v>
      </c>
      <c r="B2442" t="s">
        <v>26</v>
      </c>
      <c r="C2442" s="23" t="s">
        <v>6395</v>
      </c>
      <c r="D2442" s="23" t="s">
        <v>22352</v>
      </c>
      <c r="E2442" s="23" t="s">
        <v>42</v>
      </c>
      <c r="F2442" t="s">
        <v>26</v>
      </c>
      <c r="G2442" t="s">
        <v>26</v>
      </c>
      <c r="H2442" t="s">
        <v>26</v>
      </c>
      <c r="I2442" t="s">
        <v>26</v>
      </c>
      <c r="J2442" t="s">
        <v>26</v>
      </c>
      <c r="K2442" t="s">
        <v>26</v>
      </c>
      <c r="L2442" s="25" t="s">
        <v>28</v>
      </c>
      <c r="M2442" t="s">
        <v>26</v>
      </c>
      <c r="N2442" t="s">
        <v>26</v>
      </c>
      <c r="O2442" t="s">
        <v>26</v>
      </c>
      <c r="P2442" t="s">
        <v>26</v>
      </c>
      <c r="Q2442" t="s">
        <v>26</v>
      </c>
      <c r="R2442" t="s">
        <v>26</v>
      </c>
      <c r="S2442" t="s">
        <v>26</v>
      </c>
      <c r="T2442" t="s">
        <v>26</v>
      </c>
      <c r="U2442" t="s">
        <v>26</v>
      </c>
      <c r="V2442" t="s">
        <v>26</v>
      </c>
      <c r="W2442" s="24">
        <v>26299</v>
      </c>
      <c r="X2442" s="24">
        <v>26299</v>
      </c>
      <c r="Y2442" t="s">
        <v>26</v>
      </c>
      <c r="Z2442" s="24">
        <v>26299</v>
      </c>
      <c r="AA2442" s="24">
        <v>26299</v>
      </c>
      <c r="AB2442" t="s">
        <v>26</v>
      </c>
      <c r="AC2442" t="s">
        <v>26</v>
      </c>
      <c r="AD2442" t="s">
        <v>26</v>
      </c>
      <c r="AE2442" t="s">
        <v>26</v>
      </c>
      <c r="AF2442" t="s">
        <v>26</v>
      </c>
      <c r="AG2442" t="s">
        <v>26</v>
      </c>
      <c r="AH2442" t="s">
        <v>26</v>
      </c>
      <c r="AI2442" t="s">
        <v>26</v>
      </c>
      <c r="AJ2442" t="s">
        <v>26</v>
      </c>
      <c r="AK2442" t="s">
        <v>26</v>
      </c>
      <c r="AL2442" t="s">
        <v>26</v>
      </c>
      <c r="AM2442" t="s">
        <v>26</v>
      </c>
      <c r="AN2442" t="s">
        <v>26</v>
      </c>
      <c r="AO2442" s="25" t="s">
        <v>28</v>
      </c>
      <c r="AP2442" s="23" t="s">
        <v>29</v>
      </c>
      <c r="AQ2442" s="23" t="s">
        <v>30</v>
      </c>
      <c r="AR2442" s="23" t="s">
        <v>44</v>
      </c>
      <c r="AS2442" s="25">
        <v>5485119</v>
      </c>
      <c r="AT2442" s="23" t="s">
        <v>22181</v>
      </c>
      <c r="AU2442" t="s">
        <v>25428</v>
      </c>
    </row>
    <row r="2443" spans="1:47" ht="26.25" x14ac:dyDescent="0.4">
      <c r="A2443" s="23" t="s">
        <v>6396</v>
      </c>
      <c r="B2443" t="s">
        <v>26</v>
      </c>
      <c r="C2443" s="23" t="s">
        <v>107</v>
      </c>
      <c r="D2443" s="23" t="s">
        <v>22254</v>
      </c>
      <c r="E2443" s="23" t="s">
        <v>42</v>
      </c>
      <c r="F2443" s="25" t="s">
        <v>6397</v>
      </c>
      <c r="G2443" s="25" t="s">
        <v>6398</v>
      </c>
      <c r="H2443" t="s">
        <v>26</v>
      </c>
      <c r="I2443" s="24">
        <v>36526</v>
      </c>
      <c r="J2443" s="24">
        <v>40269</v>
      </c>
      <c r="K2443" t="s">
        <v>26</v>
      </c>
      <c r="L2443" s="25" t="s">
        <v>68</v>
      </c>
      <c r="M2443" s="24">
        <v>36526</v>
      </c>
      <c r="N2443" s="24">
        <v>39722</v>
      </c>
      <c r="O2443" t="s">
        <v>26</v>
      </c>
      <c r="P2443" s="24">
        <v>36526</v>
      </c>
      <c r="Q2443" s="24">
        <v>40269</v>
      </c>
      <c r="R2443" t="s">
        <v>26</v>
      </c>
      <c r="S2443" t="s">
        <v>26</v>
      </c>
      <c r="T2443" t="s">
        <v>26</v>
      </c>
      <c r="U2443" t="s">
        <v>26</v>
      </c>
      <c r="V2443" t="s">
        <v>26</v>
      </c>
      <c r="W2443" s="24">
        <v>35490</v>
      </c>
      <c r="X2443" s="25" t="s">
        <v>77</v>
      </c>
      <c r="Y2443" t="s">
        <v>26</v>
      </c>
      <c r="Z2443" s="24">
        <v>35490</v>
      </c>
      <c r="AA2443" s="25" t="s">
        <v>77</v>
      </c>
      <c r="AB2443" t="s">
        <v>26</v>
      </c>
      <c r="AC2443" s="24">
        <v>37987</v>
      </c>
      <c r="AD2443" s="25" t="s">
        <v>77</v>
      </c>
      <c r="AE2443" t="s">
        <v>26</v>
      </c>
      <c r="AF2443" t="s">
        <v>26</v>
      </c>
      <c r="AG2443" t="s">
        <v>26</v>
      </c>
      <c r="AH2443" t="s">
        <v>26</v>
      </c>
      <c r="AI2443" t="s">
        <v>26</v>
      </c>
      <c r="AJ2443" t="s">
        <v>26</v>
      </c>
      <c r="AK2443" t="s">
        <v>26</v>
      </c>
      <c r="AL2443" t="s">
        <v>26</v>
      </c>
      <c r="AM2443" t="s">
        <v>26</v>
      </c>
      <c r="AN2443" t="s">
        <v>26</v>
      </c>
      <c r="AO2443" s="25" t="s">
        <v>68</v>
      </c>
      <c r="AP2443" s="23" t="s">
        <v>69</v>
      </c>
      <c r="AQ2443" s="23" t="s">
        <v>30</v>
      </c>
      <c r="AR2443" s="23" t="s">
        <v>6399</v>
      </c>
      <c r="AS2443" s="25">
        <v>41494</v>
      </c>
      <c r="AT2443" t="s">
        <v>26</v>
      </c>
      <c r="AU2443" t="s">
        <v>25429</v>
      </c>
    </row>
    <row r="2444" spans="1:47" ht="26.25" x14ac:dyDescent="0.4">
      <c r="A2444" s="23" t="s">
        <v>6400</v>
      </c>
      <c r="B2444" t="s">
        <v>26</v>
      </c>
      <c r="C2444" s="23" t="s">
        <v>1504</v>
      </c>
      <c r="D2444" s="23" t="s">
        <v>25359</v>
      </c>
      <c r="E2444" s="23" t="s">
        <v>42</v>
      </c>
      <c r="F2444" s="25" t="s">
        <v>6401</v>
      </c>
      <c r="G2444" s="25" t="s">
        <v>6402</v>
      </c>
      <c r="H2444" t="s">
        <v>26</v>
      </c>
      <c r="I2444" s="24">
        <v>38718</v>
      </c>
      <c r="J2444" s="24">
        <v>42552</v>
      </c>
      <c r="K2444" t="s">
        <v>26</v>
      </c>
      <c r="L2444" s="25" t="s">
        <v>68</v>
      </c>
      <c r="M2444" s="24">
        <v>38718</v>
      </c>
      <c r="N2444" s="24">
        <v>39814</v>
      </c>
      <c r="O2444" t="s">
        <v>26</v>
      </c>
      <c r="P2444" s="24">
        <v>38718</v>
      </c>
      <c r="Q2444" s="24">
        <v>42552</v>
      </c>
      <c r="R2444" t="s">
        <v>26</v>
      </c>
      <c r="S2444" t="s">
        <v>26</v>
      </c>
      <c r="T2444" t="s">
        <v>26</v>
      </c>
      <c r="U2444" t="s">
        <v>26</v>
      </c>
      <c r="V2444" t="s">
        <v>26</v>
      </c>
      <c r="W2444" s="24">
        <v>38718</v>
      </c>
      <c r="X2444" s="24">
        <v>43191</v>
      </c>
      <c r="Y2444" t="s">
        <v>26</v>
      </c>
      <c r="Z2444" s="24">
        <v>38718</v>
      </c>
      <c r="AA2444" s="24">
        <v>43191</v>
      </c>
      <c r="AB2444" t="s">
        <v>26</v>
      </c>
      <c r="AC2444" s="24">
        <v>39814</v>
      </c>
      <c r="AD2444" s="24">
        <v>43191</v>
      </c>
      <c r="AE2444" t="s">
        <v>26</v>
      </c>
      <c r="AF2444" t="s">
        <v>26</v>
      </c>
      <c r="AG2444" t="s">
        <v>26</v>
      </c>
      <c r="AH2444" t="s">
        <v>26</v>
      </c>
      <c r="AI2444" t="s">
        <v>26</v>
      </c>
      <c r="AJ2444" t="s">
        <v>26</v>
      </c>
      <c r="AK2444" t="s">
        <v>26</v>
      </c>
      <c r="AL2444" t="s">
        <v>26</v>
      </c>
      <c r="AM2444" t="s">
        <v>26</v>
      </c>
      <c r="AN2444" t="s">
        <v>26</v>
      </c>
      <c r="AO2444" s="25" t="s">
        <v>68</v>
      </c>
      <c r="AP2444" s="23" t="s">
        <v>69</v>
      </c>
      <c r="AQ2444" s="23" t="s">
        <v>30</v>
      </c>
      <c r="AR2444" s="23" t="s">
        <v>6403</v>
      </c>
      <c r="AS2444" s="25">
        <v>47137</v>
      </c>
      <c r="AT2444" t="s">
        <v>26</v>
      </c>
      <c r="AU2444" t="s">
        <v>25430</v>
      </c>
    </row>
    <row r="2445" spans="1:47" ht="26.25" x14ac:dyDescent="0.4">
      <c r="A2445" s="23" t="s">
        <v>6404</v>
      </c>
      <c r="B2445" t="s">
        <v>26</v>
      </c>
      <c r="C2445" s="23" t="s">
        <v>146</v>
      </c>
      <c r="D2445" s="23" t="s">
        <v>22174</v>
      </c>
      <c r="E2445" s="23" t="s">
        <v>60</v>
      </c>
      <c r="F2445" t="s">
        <v>26</v>
      </c>
      <c r="G2445" t="s">
        <v>26</v>
      </c>
      <c r="H2445" t="s">
        <v>26</v>
      </c>
      <c r="I2445" t="s">
        <v>26</v>
      </c>
      <c r="J2445" t="s">
        <v>26</v>
      </c>
      <c r="K2445" t="s">
        <v>26</v>
      </c>
      <c r="L2445" s="25" t="s">
        <v>28</v>
      </c>
      <c r="M2445" t="s">
        <v>26</v>
      </c>
      <c r="N2445" t="s">
        <v>26</v>
      </c>
      <c r="O2445" t="s">
        <v>26</v>
      </c>
      <c r="P2445" t="s">
        <v>26</v>
      </c>
      <c r="Q2445" t="s">
        <v>26</v>
      </c>
      <c r="R2445" t="s">
        <v>26</v>
      </c>
      <c r="S2445" t="s">
        <v>26</v>
      </c>
      <c r="T2445" t="s">
        <v>26</v>
      </c>
      <c r="U2445" t="s">
        <v>26</v>
      </c>
      <c r="V2445" t="s">
        <v>26</v>
      </c>
      <c r="W2445" s="24">
        <v>42370</v>
      </c>
      <c r="X2445" s="24">
        <v>42370</v>
      </c>
      <c r="Y2445" t="s">
        <v>26</v>
      </c>
      <c r="Z2445" s="24">
        <v>42370</v>
      </c>
      <c r="AA2445" s="24">
        <v>42370</v>
      </c>
      <c r="AB2445" t="s">
        <v>26</v>
      </c>
      <c r="AC2445" t="s">
        <v>26</v>
      </c>
      <c r="AD2445" t="s">
        <v>26</v>
      </c>
      <c r="AE2445" t="s">
        <v>26</v>
      </c>
      <c r="AF2445" t="s">
        <v>26</v>
      </c>
      <c r="AG2445" t="s">
        <v>26</v>
      </c>
      <c r="AH2445" t="s">
        <v>26</v>
      </c>
      <c r="AI2445" t="s">
        <v>26</v>
      </c>
      <c r="AJ2445" t="s">
        <v>26</v>
      </c>
      <c r="AK2445" t="s">
        <v>26</v>
      </c>
      <c r="AL2445" t="s">
        <v>26</v>
      </c>
      <c r="AM2445" t="s">
        <v>26</v>
      </c>
      <c r="AN2445" t="s">
        <v>26</v>
      </c>
      <c r="AO2445" s="25" t="s">
        <v>28</v>
      </c>
      <c r="AP2445" s="23" t="s">
        <v>29</v>
      </c>
      <c r="AQ2445" s="23" t="s">
        <v>30</v>
      </c>
      <c r="AR2445" s="23" t="s">
        <v>147</v>
      </c>
      <c r="AS2445" s="25">
        <v>5485094</v>
      </c>
      <c r="AT2445" s="23" t="s">
        <v>22181</v>
      </c>
      <c r="AU2445" t="s">
        <v>25431</v>
      </c>
    </row>
    <row r="2446" spans="1:47" ht="26.25" x14ac:dyDescent="0.4">
      <c r="A2446" s="23" t="s">
        <v>6405</v>
      </c>
      <c r="B2446" t="s">
        <v>26</v>
      </c>
      <c r="C2446" s="23" t="s">
        <v>107</v>
      </c>
      <c r="D2446" s="23" t="s">
        <v>22312</v>
      </c>
      <c r="E2446" s="23" t="s">
        <v>42</v>
      </c>
      <c r="F2446" s="25" t="s">
        <v>6406</v>
      </c>
      <c r="G2446" s="25" t="s">
        <v>6407</v>
      </c>
      <c r="H2446" t="s">
        <v>26</v>
      </c>
      <c r="I2446" s="24">
        <v>35490</v>
      </c>
      <c r="J2446" s="24">
        <v>40299</v>
      </c>
      <c r="K2446" t="s">
        <v>26</v>
      </c>
      <c r="L2446" s="25" t="s">
        <v>68</v>
      </c>
      <c r="M2446" s="24">
        <v>35490</v>
      </c>
      <c r="N2446" s="24">
        <v>39692</v>
      </c>
      <c r="O2446" t="s">
        <v>26</v>
      </c>
      <c r="P2446" s="24">
        <v>35490</v>
      </c>
      <c r="Q2446" s="24">
        <v>40299</v>
      </c>
      <c r="R2446" t="s">
        <v>26</v>
      </c>
      <c r="S2446" t="s">
        <v>26</v>
      </c>
      <c r="T2446" t="s">
        <v>26</v>
      </c>
      <c r="U2446" t="s">
        <v>26</v>
      </c>
      <c r="V2446" t="s">
        <v>26</v>
      </c>
      <c r="W2446" s="24">
        <v>29342</v>
      </c>
      <c r="X2446" s="25" t="s">
        <v>77</v>
      </c>
      <c r="Y2446" t="s">
        <v>26</v>
      </c>
      <c r="Z2446" s="24">
        <v>29342</v>
      </c>
      <c r="AA2446" s="25" t="s">
        <v>77</v>
      </c>
      <c r="AB2446" t="s">
        <v>26</v>
      </c>
      <c r="AC2446" s="24">
        <v>35551</v>
      </c>
      <c r="AD2446" s="25" t="s">
        <v>77</v>
      </c>
      <c r="AE2446" s="25" t="s">
        <v>22592</v>
      </c>
      <c r="AF2446" t="s">
        <v>26</v>
      </c>
      <c r="AG2446" t="s">
        <v>26</v>
      </c>
      <c r="AH2446" t="s">
        <v>26</v>
      </c>
      <c r="AI2446" t="s">
        <v>26</v>
      </c>
      <c r="AJ2446" t="s">
        <v>26</v>
      </c>
      <c r="AK2446" t="s">
        <v>26</v>
      </c>
      <c r="AL2446" t="s">
        <v>26</v>
      </c>
      <c r="AM2446" t="s">
        <v>26</v>
      </c>
      <c r="AN2446" t="s">
        <v>26</v>
      </c>
      <c r="AO2446" s="25" t="s">
        <v>68</v>
      </c>
      <c r="AP2446" s="23" t="s">
        <v>69</v>
      </c>
      <c r="AQ2446" s="23" t="s">
        <v>30</v>
      </c>
      <c r="AR2446" s="23" t="s">
        <v>569</v>
      </c>
      <c r="AS2446" s="25">
        <v>48109</v>
      </c>
      <c r="AT2446" t="s">
        <v>26</v>
      </c>
      <c r="AU2446" t="s">
        <v>25432</v>
      </c>
    </row>
    <row r="2447" spans="1:47" ht="26.25" x14ac:dyDescent="0.4">
      <c r="A2447" s="23" t="s">
        <v>6408</v>
      </c>
      <c r="B2447" t="s">
        <v>26</v>
      </c>
      <c r="C2447" s="23" t="s">
        <v>6408</v>
      </c>
      <c r="D2447" s="23" t="s">
        <v>25433</v>
      </c>
      <c r="E2447" s="23" t="s">
        <v>42</v>
      </c>
      <c r="F2447" t="s">
        <v>26</v>
      </c>
      <c r="G2447" s="25" t="s">
        <v>6409</v>
      </c>
      <c r="H2447" t="s">
        <v>26</v>
      </c>
      <c r="I2447" s="24">
        <v>38718</v>
      </c>
      <c r="J2447" s="25" t="s">
        <v>77</v>
      </c>
      <c r="K2447" t="s">
        <v>26</v>
      </c>
      <c r="L2447" s="25" t="s">
        <v>68</v>
      </c>
      <c r="M2447" t="s">
        <v>26</v>
      </c>
      <c r="N2447" t="s">
        <v>26</v>
      </c>
      <c r="O2447" t="s">
        <v>26</v>
      </c>
      <c r="P2447" s="24">
        <v>38718</v>
      </c>
      <c r="Q2447" s="25" t="s">
        <v>77</v>
      </c>
      <c r="R2447" t="s">
        <v>26</v>
      </c>
      <c r="S2447" t="s">
        <v>26</v>
      </c>
      <c r="T2447" t="s">
        <v>26</v>
      </c>
      <c r="U2447" t="s">
        <v>26</v>
      </c>
      <c r="V2447" t="s">
        <v>26</v>
      </c>
      <c r="W2447" s="24">
        <v>38718</v>
      </c>
      <c r="X2447" s="25" t="s">
        <v>77</v>
      </c>
      <c r="Y2447" t="s">
        <v>26</v>
      </c>
      <c r="Z2447" s="24">
        <v>38718</v>
      </c>
      <c r="AA2447" s="25" t="s">
        <v>77</v>
      </c>
      <c r="AB2447" t="s">
        <v>26</v>
      </c>
      <c r="AC2447" s="24">
        <v>38718</v>
      </c>
      <c r="AD2447" s="25" t="s">
        <v>77</v>
      </c>
      <c r="AE2447" t="s">
        <v>26</v>
      </c>
      <c r="AF2447" t="s">
        <v>26</v>
      </c>
      <c r="AG2447" t="s">
        <v>26</v>
      </c>
      <c r="AH2447" t="s">
        <v>26</v>
      </c>
      <c r="AI2447" t="s">
        <v>26</v>
      </c>
      <c r="AJ2447" t="s">
        <v>26</v>
      </c>
      <c r="AK2447" t="s">
        <v>26</v>
      </c>
      <c r="AL2447" t="s">
        <v>26</v>
      </c>
      <c r="AM2447" t="s">
        <v>26</v>
      </c>
      <c r="AN2447" t="s">
        <v>26</v>
      </c>
      <c r="AO2447" s="25" t="s">
        <v>68</v>
      </c>
      <c r="AP2447" s="23" t="s">
        <v>69</v>
      </c>
      <c r="AQ2447" s="23" t="s">
        <v>30</v>
      </c>
      <c r="AR2447" s="23" t="s">
        <v>337</v>
      </c>
      <c r="AS2447" s="25">
        <v>1966350</v>
      </c>
      <c r="AT2447" t="s">
        <v>26</v>
      </c>
      <c r="AU2447" t="s">
        <v>25434</v>
      </c>
    </row>
    <row r="2448" spans="1:47" ht="39.4" x14ac:dyDescent="0.4">
      <c r="A2448" s="23" t="s">
        <v>6410</v>
      </c>
      <c r="B2448" t="s">
        <v>26</v>
      </c>
      <c r="C2448" s="23" t="s">
        <v>6411</v>
      </c>
      <c r="D2448" s="23" t="s">
        <v>25435</v>
      </c>
      <c r="E2448" s="23" t="s">
        <v>42</v>
      </c>
      <c r="F2448" s="25" t="s">
        <v>6412</v>
      </c>
      <c r="G2448" t="s">
        <v>26</v>
      </c>
      <c r="H2448" t="s">
        <v>26</v>
      </c>
      <c r="I2448" s="24">
        <v>37865</v>
      </c>
      <c r="J2448" s="24">
        <v>42278</v>
      </c>
      <c r="K2448" t="s">
        <v>26</v>
      </c>
      <c r="L2448" s="25" t="s">
        <v>68</v>
      </c>
      <c r="M2448" s="24">
        <v>37865</v>
      </c>
      <c r="N2448" s="24">
        <v>42278</v>
      </c>
      <c r="O2448" t="s">
        <v>26</v>
      </c>
      <c r="P2448" s="24">
        <v>37865</v>
      </c>
      <c r="Q2448" s="24">
        <v>42278</v>
      </c>
      <c r="R2448" t="s">
        <v>26</v>
      </c>
      <c r="S2448" t="s">
        <v>26</v>
      </c>
      <c r="T2448" t="s">
        <v>26</v>
      </c>
      <c r="U2448" t="s">
        <v>26</v>
      </c>
      <c r="V2448" t="s">
        <v>26</v>
      </c>
      <c r="W2448" s="24">
        <v>37865</v>
      </c>
      <c r="X2448" s="24">
        <v>42278</v>
      </c>
      <c r="Y2448" t="s">
        <v>26</v>
      </c>
      <c r="Z2448" s="24">
        <v>37865</v>
      </c>
      <c r="AA2448" s="24">
        <v>42278</v>
      </c>
      <c r="AB2448" t="s">
        <v>26</v>
      </c>
      <c r="AC2448" s="24">
        <v>37865</v>
      </c>
      <c r="AD2448" s="24">
        <v>42278</v>
      </c>
      <c r="AE2448" t="s">
        <v>26</v>
      </c>
      <c r="AF2448" t="s">
        <v>26</v>
      </c>
      <c r="AG2448" t="s">
        <v>26</v>
      </c>
      <c r="AH2448" t="s">
        <v>26</v>
      </c>
      <c r="AI2448" t="s">
        <v>26</v>
      </c>
      <c r="AJ2448" t="s">
        <v>26</v>
      </c>
      <c r="AK2448" t="s">
        <v>26</v>
      </c>
      <c r="AL2448" t="s">
        <v>26</v>
      </c>
      <c r="AM2448" t="s">
        <v>26</v>
      </c>
      <c r="AN2448" t="s">
        <v>26</v>
      </c>
      <c r="AO2448" s="25" t="s">
        <v>68</v>
      </c>
      <c r="AP2448" s="23" t="s">
        <v>69</v>
      </c>
      <c r="AQ2448" s="23" t="s">
        <v>30</v>
      </c>
      <c r="AR2448" s="23" t="s">
        <v>337</v>
      </c>
      <c r="AS2448" s="25">
        <v>26138</v>
      </c>
      <c r="AT2448" t="s">
        <v>26</v>
      </c>
      <c r="AU2448" t="s">
        <v>25436</v>
      </c>
    </row>
    <row r="2449" spans="1:47" ht="13.15" x14ac:dyDescent="0.4">
      <c r="A2449" s="23" t="s">
        <v>6413</v>
      </c>
      <c r="B2449" t="s">
        <v>26</v>
      </c>
      <c r="C2449" s="23" t="s">
        <v>6414</v>
      </c>
      <c r="D2449" s="23" t="s">
        <v>25437</v>
      </c>
      <c r="E2449" s="23" t="s">
        <v>42</v>
      </c>
      <c r="F2449" t="s">
        <v>26</v>
      </c>
      <c r="G2449" t="s">
        <v>26</v>
      </c>
      <c r="H2449" t="s">
        <v>26</v>
      </c>
      <c r="I2449" s="24">
        <v>35065</v>
      </c>
      <c r="J2449" s="24">
        <v>35065</v>
      </c>
      <c r="K2449" t="s">
        <v>26</v>
      </c>
      <c r="L2449" s="25" t="s">
        <v>28</v>
      </c>
      <c r="M2449" t="s">
        <v>26</v>
      </c>
      <c r="N2449" t="s">
        <v>26</v>
      </c>
      <c r="O2449" t="s">
        <v>26</v>
      </c>
      <c r="P2449" s="24">
        <v>35065</v>
      </c>
      <c r="Q2449" s="24">
        <v>35065</v>
      </c>
      <c r="R2449" t="s">
        <v>26</v>
      </c>
      <c r="S2449" t="s">
        <v>26</v>
      </c>
      <c r="T2449" t="s">
        <v>26</v>
      </c>
      <c r="U2449" t="s">
        <v>26</v>
      </c>
      <c r="V2449" t="s">
        <v>26</v>
      </c>
      <c r="W2449" s="24">
        <v>35065</v>
      </c>
      <c r="X2449" s="24">
        <v>35065</v>
      </c>
      <c r="Y2449" t="s">
        <v>26</v>
      </c>
      <c r="Z2449" s="24">
        <v>35065</v>
      </c>
      <c r="AA2449" s="24">
        <v>35065</v>
      </c>
      <c r="AB2449" t="s">
        <v>26</v>
      </c>
      <c r="AC2449" t="s">
        <v>26</v>
      </c>
      <c r="AD2449" t="s">
        <v>26</v>
      </c>
      <c r="AE2449" t="s">
        <v>26</v>
      </c>
      <c r="AF2449" t="s">
        <v>26</v>
      </c>
      <c r="AG2449" t="s">
        <v>26</v>
      </c>
      <c r="AH2449" t="s">
        <v>26</v>
      </c>
      <c r="AI2449" t="s">
        <v>26</v>
      </c>
      <c r="AJ2449" t="s">
        <v>26</v>
      </c>
      <c r="AK2449" t="s">
        <v>26</v>
      </c>
      <c r="AL2449" t="s">
        <v>26</v>
      </c>
      <c r="AM2449" t="s">
        <v>26</v>
      </c>
      <c r="AN2449" t="s">
        <v>26</v>
      </c>
      <c r="AO2449" s="25" t="s">
        <v>28</v>
      </c>
      <c r="AP2449" s="23" t="s">
        <v>29</v>
      </c>
      <c r="AQ2449" s="23" t="s">
        <v>30</v>
      </c>
      <c r="AR2449" s="23" t="s">
        <v>44</v>
      </c>
      <c r="AS2449" s="25">
        <v>5485122</v>
      </c>
      <c r="AT2449" s="23" t="s">
        <v>22181</v>
      </c>
      <c r="AU2449" t="s">
        <v>25438</v>
      </c>
    </row>
    <row r="2450" spans="1:47" ht="13.15" x14ac:dyDescent="0.4">
      <c r="A2450" s="23" t="s">
        <v>6415</v>
      </c>
      <c r="B2450" t="s">
        <v>26</v>
      </c>
      <c r="C2450" s="23" t="s">
        <v>146</v>
      </c>
      <c r="D2450" s="23" t="s">
        <v>22174</v>
      </c>
      <c r="E2450" s="23" t="s">
        <v>60</v>
      </c>
      <c r="F2450" t="s">
        <v>26</v>
      </c>
      <c r="G2450" t="s">
        <v>26</v>
      </c>
      <c r="H2450" t="s">
        <v>26</v>
      </c>
      <c r="I2450" s="24">
        <v>42005</v>
      </c>
      <c r="J2450" s="24">
        <v>42370</v>
      </c>
      <c r="K2450" t="s">
        <v>26</v>
      </c>
      <c r="L2450" s="25" t="s">
        <v>28</v>
      </c>
      <c r="M2450" t="s">
        <v>26</v>
      </c>
      <c r="N2450" t="s">
        <v>26</v>
      </c>
      <c r="O2450" t="s">
        <v>26</v>
      </c>
      <c r="P2450" s="24">
        <v>42005</v>
      </c>
      <c r="Q2450" s="24">
        <v>42370</v>
      </c>
      <c r="R2450" t="s">
        <v>26</v>
      </c>
      <c r="S2450" t="s">
        <v>26</v>
      </c>
      <c r="T2450" t="s">
        <v>26</v>
      </c>
      <c r="U2450" t="s">
        <v>26</v>
      </c>
      <c r="V2450" t="s">
        <v>26</v>
      </c>
      <c r="W2450" s="24">
        <v>42005</v>
      </c>
      <c r="X2450" s="24">
        <v>42370</v>
      </c>
      <c r="Y2450" t="s">
        <v>26</v>
      </c>
      <c r="Z2450" s="24">
        <v>42005</v>
      </c>
      <c r="AA2450" s="24">
        <v>42370</v>
      </c>
      <c r="AB2450" t="s">
        <v>26</v>
      </c>
      <c r="AC2450" s="24">
        <v>42005</v>
      </c>
      <c r="AD2450" s="24">
        <v>42370</v>
      </c>
      <c r="AE2450" t="s">
        <v>26</v>
      </c>
      <c r="AF2450" t="s">
        <v>26</v>
      </c>
      <c r="AG2450" t="s">
        <v>26</v>
      </c>
      <c r="AH2450" t="s">
        <v>26</v>
      </c>
      <c r="AI2450" t="s">
        <v>26</v>
      </c>
      <c r="AJ2450" t="s">
        <v>26</v>
      </c>
      <c r="AK2450" t="s">
        <v>26</v>
      </c>
      <c r="AL2450" t="s">
        <v>26</v>
      </c>
      <c r="AM2450" t="s">
        <v>26</v>
      </c>
      <c r="AN2450" t="s">
        <v>26</v>
      </c>
      <c r="AO2450" s="25" t="s">
        <v>28</v>
      </c>
      <c r="AP2450" s="23" t="s">
        <v>29</v>
      </c>
      <c r="AQ2450" s="23" t="s">
        <v>30</v>
      </c>
      <c r="AR2450" s="23" t="s">
        <v>46</v>
      </c>
      <c r="AS2450" s="25">
        <v>6275749</v>
      </c>
      <c r="AT2450" t="s">
        <v>26</v>
      </c>
      <c r="AU2450" t="s">
        <v>25439</v>
      </c>
    </row>
    <row r="2451" spans="1:47" ht="26.25" x14ac:dyDescent="0.4">
      <c r="A2451" s="23" t="s">
        <v>6416</v>
      </c>
      <c r="B2451" t="s">
        <v>26</v>
      </c>
      <c r="C2451" s="23" t="s">
        <v>320</v>
      </c>
      <c r="D2451" s="23" t="s">
        <v>22599</v>
      </c>
      <c r="E2451" s="23" t="s">
        <v>42</v>
      </c>
      <c r="F2451" s="25" t="s">
        <v>6417</v>
      </c>
      <c r="G2451" s="25" t="s">
        <v>6418</v>
      </c>
      <c r="H2451" t="s">
        <v>26</v>
      </c>
      <c r="I2451" t="s">
        <v>26</v>
      </c>
      <c r="J2451" t="s">
        <v>26</v>
      </c>
      <c r="K2451" t="s">
        <v>26</v>
      </c>
      <c r="L2451" s="25" t="s">
        <v>68</v>
      </c>
      <c r="M2451" t="s">
        <v>26</v>
      </c>
      <c r="N2451" t="s">
        <v>26</v>
      </c>
      <c r="O2451" t="s">
        <v>26</v>
      </c>
      <c r="P2451" t="s">
        <v>26</v>
      </c>
      <c r="Q2451" t="s">
        <v>26</v>
      </c>
      <c r="R2451" t="s">
        <v>26</v>
      </c>
      <c r="S2451" t="s">
        <v>26</v>
      </c>
      <c r="T2451" t="s">
        <v>26</v>
      </c>
      <c r="U2451" t="s">
        <v>26</v>
      </c>
      <c r="V2451" t="s">
        <v>26</v>
      </c>
      <c r="W2451" s="24">
        <v>40878</v>
      </c>
      <c r="X2451" s="25" t="s">
        <v>77</v>
      </c>
      <c r="Y2451" t="s">
        <v>26</v>
      </c>
      <c r="Z2451" s="24">
        <v>40878</v>
      </c>
      <c r="AA2451" s="25" t="s">
        <v>77</v>
      </c>
      <c r="AB2451" t="s">
        <v>26</v>
      </c>
      <c r="AC2451" s="24">
        <v>40878</v>
      </c>
      <c r="AD2451" s="25" t="s">
        <v>77</v>
      </c>
      <c r="AE2451" t="s">
        <v>26</v>
      </c>
      <c r="AF2451" t="s">
        <v>26</v>
      </c>
      <c r="AG2451" t="s">
        <v>26</v>
      </c>
      <c r="AH2451" t="s">
        <v>26</v>
      </c>
      <c r="AI2451" t="s">
        <v>26</v>
      </c>
      <c r="AJ2451" t="s">
        <v>26</v>
      </c>
      <c r="AK2451" t="s">
        <v>26</v>
      </c>
      <c r="AL2451" t="s">
        <v>26</v>
      </c>
      <c r="AM2451" t="s">
        <v>26</v>
      </c>
      <c r="AN2451" t="s">
        <v>26</v>
      </c>
      <c r="AO2451" s="25" t="s">
        <v>68</v>
      </c>
      <c r="AP2451" s="23" t="s">
        <v>69</v>
      </c>
      <c r="AQ2451" s="23" t="s">
        <v>30</v>
      </c>
      <c r="AR2451" s="23" t="s">
        <v>337</v>
      </c>
      <c r="AS2451" s="25">
        <v>1046372</v>
      </c>
      <c r="AT2451" t="s">
        <v>26</v>
      </c>
      <c r="AU2451" t="s">
        <v>25440</v>
      </c>
    </row>
    <row r="2452" spans="1:47" ht="26.25" x14ac:dyDescent="0.4">
      <c r="A2452" s="23" t="s">
        <v>6419</v>
      </c>
      <c r="B2452" t="s">
        <v>26</v>
      </c>
      <c r="C2452" s="23" t="s">
        <v>181</v>
      </c>
      <c r="D2452" s="23" t="s">
        <v>25339</v>
      </c>
      <c r="E2452" s="23" t="s">
        <v>60</v>
      </c>
      <c r="F2452" s="25" t="s">
        <v>6420</v>
      </c>
      <c r="G2452" s="25" t="s">
        <v>6421</v>
      </c>
      <c r="H2452" t="s">
        <v>26</v>
      </c>
      <c r="I2452" s="24">
        <v>35370</v>
      </c>
      <c r="J2452" s="24">
        <v>41760</v>
      </c>
      <c r="K2452" t="s">
        <v>26</v>
      </c>
      <c r="L2452" s="25" t="s">
        <v>68</v>
      </c>
      <c r="M2452" s="24">
        <v>35370</v>
      </c>
      <c r="N2452" s="24">
        <v>41760</v>
      </c>
      <c r="O2452" t="s">
        <v>26</v>
      </c>
      <c r="P2452" s="24">
        <v>35370</v>
      </c>
      <c r="Q2452" s="24">
        <v>41760</v>
      </c>
      <c r="R2452" t="s">
        <v>26</v>
      </c>
      <c r="S2452" t="s">
        <v>26</v>
      </c>
      <c r="T2452" t="s">
        <v>26</v>
      </c>
      <c r="U2452" t="s">
        <v>26</v>
      </c>
      <c r="V2452" t="s">
        <v>26</v>
      </c>
      <c r="W2452" s="24">
        <v>25324</v>
      </c>
      <c r="X2452" s="25" t="s">
        <v>77</v>
      </c>
      <c r="Y2452" t="s">
        <v>26</v>
      </c>
      <c r="Z2452" s="24">
        <v>25324</v>
      </c>
      <c r="AA2452" s="25" t="s">
        <v>77</v>
      </c>
      <c r="AB2452" t="s">
        <v>26</v>
      </c>
      <c r="AC2452" s="24">
        <v>25324</v>
      </c>
      <c r="AD2452" s="25" t="s">
        <v>77</v>
      </c>
      <c r="AE2452" t="s">
        <v>26</v>
      </c>
      <c r="AF2452" t="s">
        <v>26</v>
      </c>
      <c r="AG2452" t="s">
        <v>26</v>
      </c>
      <c r="AH2452" t="s">
        <v>26</v>
      </c>
      <c r="AI2452" t="s">
        <v>26</v>
      </c>
      <c r="AJ2452" t="s">
        <v>26</v>
      </c>
      <c r="AK2452" t="s">
        <v>26</v>
      </c>
      <c r="AL2452" t="s">
        <v>26</v>
      </c>
      <c r="AM2452" t="s">
        <v>26</v>
      </c>
      <c r="AN2452" t="s">
        <v>26</v>
      </c>
      <c r="AO2452" s="25" t="s">
        <v>68</v>
      </c>
      <c r="AP2452" s="23" t="s">
        <v>69</v>
      </c>
      <c r="AQ2452" s="23" t="s">
        <v>30</v>
      </c>
      <c r="AR2452" s="23" t="s">
        <v>337</v>
      </c>
      <c r="AS2452" s="25">
        <v>37654</v>
      </c>
      <c r="AT2452" t="s">
        <v>26</v>
      </c>
      <c r="AU2452" t="s">
        <v>25441</v>
      </c>
    </row>
    <row r="2453" spans="1:47" ht="26.25" x14ac:dyDescent="0.4">
      <c r="A2453" s="23" t="s">
        <v>6422</v>
      </c>
      <c r="B2453" t="s">
        <v>26</v>
      </c>
      <c r="C2453" s="23" t="s">
        <v>80</v>
      </c>
      <c r="D2453" s="23" t="s">
        <v>22436</v>
      </c>
      <c r="E2453" s="23" t="s">
        <v>60</v>
      </c>
      <c r="F2453" s="25" t="s">
        <v>6423</v>
      </c>
      <c r="G2453" s="25" t="s">
        <v>6424</v>
      </c>
      <c r="H2453" t="s">
        <v>26</v>
      </c>
      <c r="I2453" t="s">
        <v>26</v>
      </c>
      <c r="J2453" t="s">
        <v>26</v>
      </c>
      <c r="K2453" t="s">
        <v>26</v>
      </c>
      <c r="L2453" s="25" t="s">
        <v>68</v>
      </c>
      <c r="M2453" t="s">
        <v>26</v>
      </c>
      <c r="N2453" t="s">
        <v>26</v>
      </c>
      <c r="O2453" t="s">
        <v>26</v>
      </c>
      <c r="P2453" t="s">
        <v>26</v>
      </c>
      <c r="Q2453" t="s">
        <v>26</v>
      </c>
      <c r="R2453" t="s">
        <v>26</v>
      </c>
      <c r="S2453" t="s">
        <v>26</v>
      </c>
      <c r="T2453" t="s">
        <v>26</v>
      </c>
      <c r="U2453" t="s">
        <v>26</v>
      </c>
      <c r="V2453" t="s">
        <v>26</v>
      </c>
      <c r="W2453" s="24">
        <v>40179</v>
      </c>
      <c r="X2453" s="25" t="s">
        <v>77</v>
      </c>
      <c r="Y2453" t="s">
        <v>26</v>
      </c>
      <c r="Z2453" s="24">
        <v>40179</v>
      </c>
      <c r="AA2453" s="25" t="s">
        <v>77</v>
      </c>
      <c r="AB2453" t="s">
        <v>26</v>
      </c>
      <c r="AC2453" s="24">
        <v>40179</v>
      </c>
      <c r="AD2453" s="25" t="s">
        <v>77</v>
      </c>
      <c r="AE2453" t="s">
        <v>26</v>
      </c>
      <c r="AF2453" t="s">
        <v>26</v>
      </c>
      <c r="AG2453" t="s">
        <v>26</v>
      </c>
      <c r="AH2453" t="s">
        <v>26</v>
      </c>
      <c r="AI2453" t="s">
        <v>26</v>
      </c>
      <c r="AJ2453" t="s">
        <v>26</v>
      </c>
      <c r="AK2453" t="s">
        <v>26</v>
      </c>
      <c r="AL2453" t="s">
        <v>26</v>
      </c>
      <c r="AM2453" t="s">
        <v>26</v>
      </c>
      <c r="AN2453" t="s">
        <v>26</v>
      </c>
      <c r="AO2453" s="25" t="s">
        <v>68</v>
      </c>
      <c r="AP2453" s="23" t="s">
        <v>69</v>
      </c>
      <c r="AQ2453" s="23" t="s">
        <v>30</v>
      </c>
      <c r="AR2453" s="23" t="s">
        <v>46</v>
      </c>
      <c r="AS2453" s="25">
        <v>216139</v>
      </c>
      <c r="AT2453" t="s">
        <v>26</v>
      </c>
      <c r="AU2453" t="s">
        <v>25442</v>
      </c>
    </row>
    <row r="2454" spans="1:47" ht="26.25" x14ac:dyDescent="0.4">
      <c r="A2454" s="23" t="s">
        <v>6425</v>
      </c>
      <c r="B2454" t="s">
        <v>26</v>
      </c>
      <c r="C2454" s="23" t="s">
        <v>676</v>
      </c>
      <c r="D2454" s="23" t="s">
        <v>24180</v>
      </c>
      <c r="E2454" s="23" t="s">
        <v>74</v>
      </c>
      <c r="F2454" s="25" t="s">
        <v>6426</v>
      </c>
      <c r="G2454" s="25" t="s">
        <v>6427</v>
      </c>
      <c r="H2454" t="s">
        <v>26</v>
      </c>
      <c r="I2454" t="s">
        <v>26</v>
      </c>
      <c r="J2454" t="s">
        <v>26</v>
      </c>
      <c r="K2454" t="s">
        <v>26</v>
      </c>
      <c r="L2454" s="25" t="s">
        <v>68</v>
      </c>
      <c r="M2454" t="s">
        <v>26</v>
      </c>
      <c r="N2454" t="s">
        <v>26</v>
      </c>
      <c r="O2454" t="s">
        <v>26</v>
      </c>
      <c r="P2454" t="s">
        <v>26</v>
      </c>
      <c r="Q2454" t="s">
        <v>26</v>
      </c>
      <c r="R2454" t="s">
        <v>26</v>
      </c>
      <c r="S2454" t="s">
        <v>26</v>
      </c>
      <c r="T2454" t="s">
        <v>26</v>
      </c>
      <c r="U2454" t="s">
        <v>26</v>
      </c>
      <c r="V2454" t="s">
        <v>26</v>
      </c>
      <c r="W2454" s="24">
        <v>38718</v>
      </c>
      <c r="X2454" s="24">
        <v>42370</v>
      </c>
      <c r="Y2454" t="s">
        <v>26</v>
      </c>
      <c r="Z2454" s="24">
        <v>38718</v>
      </c>
      <c r="AA2454" s="24">
        <v>42370</v>
      </c>
      <c r="AB2454" t="s">
        <v>26</v>
      </c>
      <c r="AC2454" s="24">
        <v>38718</v>
      </c>
      <c r="AD2454" s="24">
        <v>42370</v>
      </c>
      <c r="AE2454" t="s">
        <v>26</v>
      </c>
      <c r="AF2454" t="s">
        <v>26</v>
      </c>
      <c r="AG2454" t="s">
        <v>26</v>
      </c>
      <c r="AH2454" t="s">
        <v>26</v>
      </c>
      <c r="AI2454" t="s">
        <v>26</v>
      </c>
      <c r="AJ2454" t="s">
        <v>26</v>
      </c>
      <c r="AK2454" t="s">
        <v>26</v>
      </c>
      <c r="AL2454" t="s">
        <v>26</v>
      </c>
      <c r="AM2454" t="s">
        <v>26</v>
      </c>
      <c r="AN2454" t="s">
        <v>26</v>
      </c>
      <c r="AO2454" s="25" t="s">
        <v>68</v>
      </c>
      <c r="AP2454" s="23" t="s">
        <v>69</v>
      </c>
      <c r="AQ2454" s="23" t="s">
        <v>30</v>
      </c>
      <c r="AR2454" s="23" t="s">
        <v>5838</v>
      </c>
      <c r="AS2454" s="25">
        <v>43087</v>
      </c>
      <c r="AT2454" t="s">
        <v>26</v>
      </c>
      <c r="AU2454" t="s">
        <v>25443</v>
      </c>
    </row>
    <row r="2455" spans="1:47" ht="26.25" x14ac:dyDescent="0.4">
      <c r="A2455" s="23" t="s">
        <v>6428</v>
      </c>
      <c r="B2455" t="s">
        <v>26</v>
      </c>
      <c r="C2455" s="23" t="s">
        <v>80</v>
      </c>
      <c r="D2455" s="23" t="s">
        <v>22184</v>
      </c>
      <c r="E2455" s="23" t="s">
        <v>60</v>
      </c>
      <c r="F2455" s="25" t="s">
        <v>6429</v>
      </c>
      <c r="G2455" s="25" t="s">
        <v>6430</v>
      </c>
      <c r="H2455" t="s">
        <v>26</v>
      </c>
      <c r="I2455" s="24">
        <v>35735</v>
      </c>
      <c r="J2455" s="24">
        <v>36647</v>
      </c>
      <c r="K2455" t="s">
        <v>26</v>
      </c>
      <c r="L2455" s="25" t="s">
        <v>68</v>
      </c>
      <c r="M2455" s="24">
        <v>35735</v>
      </c>
      <c r="N2455" s="24">
        <v>36647</v>
      </c>
      <c r="O2455" t="s">
        <v>26</v>
      </c>
      <c r="P2455" s="24">
        <v>35735</v>
      </c>
      <c r="Q2455" s="24">
        <v>36647</v>
      </c>
      <c r="R2455" t="s">
        <v>26</v>
      </c>
      <c r="S2455" t="s">
        <v>26</v>
      </c>
      <c r="T2455" t="s">
        <v>26</v>
      </c>
      <c r="U2455" t="s">
        <v>26</v>
      </c>
      <c r="V2455" t="s">
        <v>26</v>
      </c>
      <c r="W2455" s="24">
        <v>35735</v>
      </c>
      <c r="X2455" s="25" t="s">
        <v>77</v>
      </c>
      <c r="Y2455" t="s">
        <v>26</v>
      </c>
      <c r="Z2455" s="24">
        <v>35735</v>
      </c>
      <c r="AA2455" s="25" t="s">
        <v>77</v>
      </c>
      <c r="AB2455" t="s">
        <v>26</v>
      </c>
      <c r="AC2455" s="24">
        <v>35735</v>
      </c>
      <c r="AD2455" s="25" t="s">
        <v>77</v>
      </c>
      <c r="AE2455" t="s">
        <v>26</v>
      </c>
      <c r="AF2455" t="s">
        <v>26</v>
      </c>
      <c r="AG2455" t="s">
        <v>26</v>
      </c>
      <c r="AH2455" t="s">
        <v>26</v>
      </c>
      <c r="AI2455" t="s">
        <v>26</v>
      </c>
      <c r="AJ2455" t="s">
        <v>26</v>
      </c>
      <c r="AK2455" t="s">
        <v>26</v>
      </c>
      <c r="AL2455" t="s">
        <v>26</v>
      </c>
      <c r="AM2455" t="s">
        <v>26</v>
      </c>
      <c r="AN2455" t="s">
        <v>26</v>
      </c>
      <c r="AO2455" s="25" t="s">
        <v>68</v>
      </c>
      <c r="AP2455" s="23" t="s">
        <v>69</v>
      </c>
      <c r="AQ2455" s="23" t="s">
        <v>30</v>
      </c>
      <c r="AR2455" s="23" t="s">
        <v>337</v>
      </c>
      <c r="AS2455" s="25">
        <v>33518</v>
      </c>
      <c r="AT2455" t="s">
        <v>26</v>
      </c>
      <c r="AU2455" t="s">
        <v>25444</v>
      </c>
    </row>
    <row r="2456" spans="1:47" ht="26.25" x14ac:dyDescent="0.4">
      <c r="A2456" s="23" t="s">
        <v>6431</v>
      </c>
      <c r="B2456" t="s">
        <v>26</v>
      </c>
      <c r="C2456" s="23" t="s">
        <v>6431</v>
      </c>
      <c r="D2456" s="23" t="s">
        <v>25445</v>
      </c>
      <c r="E2456" s="23" t="s">
        <v>42</v>
      </c>
      <c r="F2456" s="25" t="s">
        <v>6432</v>
      </c>
      <c r="G2456" t="s">
        <v>26</v>
      </c>
      <c r="H2456" t="s">
        <v>26</v>
      </c>
      <c r="I2456" s="24">
        <v>38808</v>
      </c>
      <c r="J2456" s="25" t="s">
        <v>77</v>
      </c>
      <c r="K2456" s="25" t="s">
        <v>6433</v>
      </c>
      <c r="L2456" s="25" t="s">
        <v>68</v>
      </c>
      <c r="M2456" s="24">
        <v>38808</v>
      </c>
      <c r="N2456" s="25" t="s">
        <v>77</v>
      </c>
      <c r="O2456" s="25" t="s">
        <v>6433</v>
      </c>
      <c r="P2456" s="24">
        <v>38808</v>
      </c>
      <c r="Q2456" s="25" t="s">
        <v>77</v>
      </c>
      <c r="R2456" s="25" t="s">
        <v>6433</v>
      </c>
      <c r="S2456" t="s">
        <v>26</v>
      </c>
      <c r="T2456" t="s">
        <v>26</v>
      </c>
      <c r="U2456" t="s">
        <v>26</v>
      </c>
      <c r="V2456" t="s">
        <v>26</v>
      </c>
      <c r="W2456" s="24">
        <v>38808</v>
      </c>
      <c r="X2456" s="25" t="s">
        <v>77</v>
      </c>
      <c r="Y2456" s="25" t="s">
        <v>6433</v>
      </c>
      <c r="Z2456" s="24">
        <v>38808</v>
      </c>
      <c r="AA2456" s="25" t="s">
        <v>77</v>
      </c>
      <c r="AB2456" s="25" t="s">
        <v>6433</v>
      </c>
      <c r="AC2456" s="24">
        <v>38808</v>
      </c>
      <c r="AD2456" s="25" t="s">
        <v>77</v>
      </c>
      <c r="AE2456" s="25" t="s">
        <v>6433</v>
      </c>
      <c r="AF2456" t="s">
        <v>26</v>
      </c>
      <c r="AG2456" t="s">
        <v>26</v>
      </c>
      <c r="AH2456" t="s">
        <v>26</v>
      </c>
      <c r="AI2456" t="s">
        <v>26</v>
      </c>
      <c r="AJ2456" t="s">
        <v>26</v>
      </c>
      <c r="AK2456" t="s">
        <v>26</v>
      </c>
      <c r="AL2456" t="s">
        <v>26</v>
      </c>
      <c r="AM2456" t="s">
        <v>26</v>
      </c>
      <c r="AN2456" t="s">
        <v>26</v>
      </c>
      <c r="AO2456" s="25" t="s">
        <v>68</v>
      </c>
      <c r="AP2456" s="23" t="s">
        <v>69</v>
      </c>
      <c r="AQ2456" s="23" t="s">
        <v>30</v>
      </c>
      <c r="AR2456" s="23" t="s">
        <v>337</v>
      </c>
      <c r="AS2456" s="25">
        <v>10235</v>
      </c>
      <c r="AT2456" t="s">
        <v>26</v>
      </c>
      <c r="AU2456" t="s">
        <v>25446</v>
      </c>
    </row>
    <row r="2457" spans="1:47" ht="26.25" x14ac:dyDescent="0.4">
      <c r="A2457" s="23" t="s">
        <v>6434</v>
      </c>
      <c r="B2457" t="s">
        <v>26</v>
      </c>
      <c r="C2457" s="23" t="s">
        <v>107</v>
      </c>
      <c r="D2457" s="23" t="s">
        <v>22194</v>
      </c>
      <c r="E2457" s="23" t="s">
        <v>42</v>
      </c>
      <c r="F2457" s="25" t="s">
        <v>6435</v>
      </c>
      <c r="G2457" s="25" t="s">
        <v>6436</v>
      </c>
      <c r="H2457" t="s">
        <v>26</v>
      </c>
      <c r="I2457" t="s">
        <v>26</v>
      </c>
      <c r="J2457" t="s">
        <v>26</v>
      </c>
      <c r="K2457" t="s">
        <v>26</v>
      </c>
      <c r="L2457" s="25" t="s">
        <v>68</v>
      </c>
      <c r="M2457" t="s">
        <v>26</v>
      </c>
      <c r="N2457" t="s">
        <v>26</v>
      </c>
      <c r="O2457" t="s">
        <v>26</v>
      </c>
      <c r="P2457" t="s">
        <v>26</v>
      </c>
      <c r="Q2457" t="s">
        <v>26</v>
      </c>
      <c r="R2457" t="s">
        <v>26</v>
      </c>
      <c r="S2457" t="s">
        <v>26</v>
      </c>
      <c r="T2457" t="s">
        <v>26</v>
      </c>
      <c r="U2457" t="s">
        <v>26</v>
      </c>
      <c r="V2457" t="s">
        <v>26</v>
      </c>
      <c r="W2457" s="24">
        <v>32568</v>
      </c>
      <c r="X2457" s="25" t="s">
        <v>77</v>
      </c>
      <c r="Y2457" t="s">
        <v>26</v>
      </c>
      <c r="Z2457" s="24">
        <v>32568</v>
      </c>
      <c r="AA2457" s="25" t="s">
        <v>77</v>
      </c>
      <c r="AB2457" t="s">
        <v>26</v>
      </c>
      <c r="AC2457" s="24">
        <v>32568</v>
      </c>
      <c r="AD2457" s="25" t="s">
        <v>77</v>
      </c>
      <c r="AE2457" t="s">
        <v>26</v>
      </c>
      <c r="AF2457" t="s">
        <v>26</v>
      </c>
      <c r="AG2457" t="s">
        <v>26</v>
      </c>
      <c r="AH2457" t="s">
        <v>26</v>
      </c>
      <c r="AI2457" t="s">
        <v>26</v>
      </c>
      <c r="AJ2457" t="s">
        <v>26</v>
      </c>
      <c r="AK2457" t="s">
        <v>26</v>
      </c>
      <c r="AL2457" t="s">
        <v>26</v>
      </c>
      <c r="AM2457" t="s">
        <v>26</v>
      </c>
      <c r="AN2457" t="s">
        <v>26</v>
      </c>
      <c r="AO2457" s="25" t="s">
        <v>68</v>
      </c>
      <c r="AP2457" s="23" t="s">
        <v>69</v>
      </c>
      <c r="AQ2457" s="23" t="s">
        <v>30</v>
      </c>
      <c r="AR2457" s="23" t="s">
        <v>1332</v>
      </c>
      <c r="AS2457" s="25">
        <v>37843</v>
      </c>
      <c r="AT2457" t="s">
        <v>26</v>
      </c>
      <c r="AU2457" t="s">
        <v>25447</v>
      </c>
    </row>
    <row r="2458" spans="1:47" ht="39.4" x14ac:dyDescent="0.4">
      <c r="A2458" s="23" t="s">
        <v>6437</v>
      </c>
      <c r="B2458" t="s">
        <v>26</v>
      </c>
      <c r="C2458" s="23" t="s">
        <v>73</v>
      </c>
      <c r="D2458" s="23" t="s">
        <v>22179</v>
      </c>
      <c r="E2458" s="23" t="s">
        <v>74</v>
      </c>
      <c r="F2458" s="25" t="s">
        <v>6438</v>
      </c>
      <c r="G2458" s="25" t="s">
        <v>6439</v>
      </c>
      <c r="H2458" t="s">
        <v>26</v>
      </c>
      <c r="I2458" s="24">
        <v>37653</v>
      </c>
      <c r="J2458" s="25" t="s">
        <v>77</v>
      </c>
      <c r="K2458" t="s">
        <v>26</v>
      </c>
      <c r="L2458" s="25" t="s">
        <v>68</v>
      </c>
      <c r="M2458" s="24">
        <v>37653</v>
      </c>
      <c r="N2458" s="24">
        <v>42856</v>
      </c>
      <c r="O2458" t="s">
        <v>26</v>
      </c>
      <c r="P2458" s="24">
        <v>37653</v>
      </c>
      <c r="Q2458" s="25" t="s">
        <v>77</v>
      </c>
      <c r="R2458" t="s">
        <v>26</v>
      </c>
      <c r="S2458" t="s">
        <v>26</v>
      </c>
      <c r="T2458" t="s">
        <v>26</v>
      </c>
      <c r="U2458" t="s">
        <v>26</v>
      </c>
      <c r="V2458" s="25">
        <v>365</v>
      </c>
      <c r="W2458" s="24">
        <v>32540</v>
      </c>
      <c r="X2458" s="25" t="s">
        <v>77</v>
      </c>
      <c r="Y2458" t="s">
        <v>26</v>
      </c>
      <c r="Z2458" s="24">
        <v>32540</v>
      </c>
      <c r="AA2458" s="25" t="s">
        <v>77</v>
      </c>
      <c r="AB2458" t="s">
        <v>26</v>
      </c>
      <c r="AC2458" s="24">
        <v>32540</v>
      </c>
      <c r="AD2458" s="25" t="s">
        <v>77</v>
      </c>
      <c r="AE2458" t="s">
        <v>26</v>
      </c>
      <c r="AF2458" t="s">
        <v>26</v>
      </c>
      <c r="AG2458" t="s">
        <v>26</v>
      </c>
      <c r="AH2458" t="s">
        <v>26</v>
      </c>
      <c r="AI2458" t="s">
        <v>26</v>
      </c>
      <c r="AJ2458" t="s">
        <v>26</v>
      </c>
      <c r="AK2458" t="s">
        <v>26</v>
      </c>
      <c r="AL2458" t="s">
        <v>26</v>
      </c>
      <c r="AM2458" t="s">
        <v>26</v>
      </c>
      <c r="AN2458" t="s">
        <v>26</v>
      </c>
      <c r="AO2458" s="25" t="s">
        <v>68</v>
      </c>
      <c r="AP2458" s="23" t="s">
        <v>69</v>
      </c>
      <c r="AQ2458" t="s">
        <v>26</v>
      </c>
      <c r="AR2458" s="23" t="s">
        <v>6440</v>
      </c>
      <c r="AS2458" s="25">
        <v>48399</v>
      </c>
      <c r="AT2458" t="s">
        <v>26</v>
      </c>
      <c r="AU2458" t="s">
        <v>25448</v>
      </c>
    </row>
    <row r="2459" spans="1:47" ht="26.25" x14ac:dyDescent="0.4">
      <c r="A2459" s="23" t="s">
        <v>6441</v>
      </c>
      <c r="B2459" t="s">
        <v>26</v>
      </c>
      <c r="C2459" s="23" t="s">
        <v>1481</v>
      </c>
      <c r="D2459" s="23" t="s">
        <v>22190</v>
      </c>
      <c r="E2459" s="23" t="s">
        <v>60</v>
      </c>
      <c r="F2459" s="25" t="s">
        <v>6442</v>
      </c>
      <c r="G2459" s="25" t="s">
        <v>6443</v>
      </c>
      <c r="H2459" t="s">
        <v>26</v>
      </c>
      <c r="I2459" t="s">
        <v>26</v>
      </c>
      <c r="J2459" t="s">
        <v>26</v>
      </c>
      <c r="K2459" t="s">
        <v>26</v>
      </c>
      <c r="L2459" s="25" t="s">
        <v>68</v>
      </c>
      <c r="M2459" t="s">
        <v>26</v>
      </c>
      <c r="N2459" t="s">
        <v>26</v>
      </c>
      <c r="O2459" t="s">
        <v>26</v>
      </c>
      <c r="P2459" t="s">
        <v>26</v>
      </c>
      <c r="Q2459" t="s">
        <v>26</v>
      </c>
      <c r="R2459" t="s">
        <v>26</v>
      </c>
      <c r="S2459" t="s">
        <v>26</v>
      </c>
      <c r="T2459" t="s">
        <v>26</v>
      </c>
      <c r="U2459" t="s">
        <v>26</v>
      </c>
      <c r="V2459" t="s">
        <v>26</v>
      </c>
      <c r="W2459" s="24">
        <v>37987</v>
      </c>
      <c r="X2459" s="25" t="s">
        <v>77</v>
      </c>
      <c r="Y2459" t="s">
        <v>26</v>
      </c>
      <c r="Z2459" s="24">
        <v>37987</v>
      </c>
      <c r="AA2459" s="25" t="s">
        <v>77</v>
      </c>
      <c r="AB2459" t="s">
        <v>26</v>
      </c>
      <c r="AC2459" s="24">
        <v>37987</v>
      </c>
      <c r="AD2459" s="25" t="s">
        <v>77</v>
      </c>
      <c r="AE2459" t="s">
        <v>26</v>
      </c>
      <c r="AF2459" t="s">
        <v>26</v>
      </c>
      <c r="AG2459" t="s">
        <v>26</v>
      </c>
      <c r="AH2459" t="s">
        <v>26</v>
      </c>
      <c r="AI2459" t="s">
        <v>26</v>
      </c>
      <c r="AJ2459" t="s">
        <v>26</v>
      </c>
      <c r="AK2459" t="s">
        <v>26</v>
      </c>
      <c r="AL2459" t="s">
        <v>26</v>
      </c>
      <c r="AM2459" t="s">
        <v>26</v>
      </c>
      <c r="AN2459" t="s">
        <v>26</v>
      </c>
      <c r="AO2459" s="25" t="s">
        <v>68</v>
      </c>
      <c r="AP2459" s="23" t="s">
        <v>69</v>
      </c>
      <c r="AQ2459" s="23" t="s">
        <v>30</v>
      </c>
      <c r="AR2459" s="23" t="s">
        <v>6444</v>
      </c>
      <c r="AS2459" s="25">
        <v>35301</v>
      </c>
      <c r="AT2459" t="s">
        <v>26</v>
      </c>
      <c r="AU2459" t="s">
        <v>25449</v>
      </c>
    </row>
    <row r="2460" spans="1:47" ht="26.25" x14ac:dyDescent="0.4">
      <c r="A2460" s="23" t="s">
        <v>6445</v>
      </c>
      <c r="B2460" t="s">
        <v>26</v>
      </c>
      <c r="C2460" s="23" t="s">
        <v>107</v>
      </c>
      <c r="D2460" s="23" t="s">
        <v>22194</v>
      </c>
      <c r="E2460" s="23" t="s">
        <v>42</v>
      </c>
      <c r="F2460" s="25" t="s">
        <v>6446</v>
      </c>
      <c r="G2460" s="25" t="s">
        <v>6447</v>
      </c>
      <c r="H2460" t="s">
        <v>26</v>
      </c>
      <c r="I2460" t="s">
        <v>26</v>
      </c>
      <c r="J2460" t="s">
        <v>26</v>
      </c>
      <c r="K2460" t="s">
        <v>26</v>
      </c>
      <c r="L2460" s="25" t="s">
        <v>68</v>
      </c>
      <c r="M2460" t="s">
        <v>26</v>
      </c>
      <c r="N2460" t="s">
        <v>26</v>
      </c>
      <c r="O2460" t="s">
        <v>26</v>
      </c>
      <c r="P2460" t="s">
        <v>26</v>
      </c>
      <c r="Q2460" t="s">
        <v>26</v>
      </c>
      <c r="R2460" t="s">
        <v>26</v>
      </c>
      <c r="S2460" t="s">
        <v>26</v>
      </c>
      <c r="T2460" t="s">
        <v>26</v>
      </c>
      <c r="U2460" t="s">
        <v>26</v>
      </c>
      <c r="V2460" t="s">
        <v>26</v>
      </c>
      <c r="W2460" s="24">
        <v>35065</v>
      </c>
      <c r="X2460" s="25" t="s">
        <v>77</v>
      </c>
      <c r="Y2460" t="s">
        <v>26</v>
      </c>
      <c r="Z2460" s="24">
        <v>35065</v>
      </c>
      <c r="AA2460" s="25" t="s">
        <v>77</v>
      </c>
      <c r="AB2460" t="s">
        <v>26</v>
      </c>
      <c r="AC2460" s="24">
        <v>35065</v>
      </c>
      <c r="AD2460" s="25" t="s">
        <v>77</v>
      </c>
      <c r="AE2460" t="s">
        <v>26</v>
      </c>
      <c r="AF2460" t="s">
        <v>26</v>
      </c>
      <c r="AG2460" t="s">
        <v>26</v>
      </c>
      <c r="AH2460" t="s">
        <v>26</v>
      </c>
      <c r="AI2460" t="s">
        <v>26</v>
      </c>
      <c r="AJ2460" t="s">
        <v>26</v>
      </c>
      <c r="AK2460" t="s">
        <v>26</v>
      </c>
      <c r="AL2460" t="s">
        <v>26</v>
      </c>
      <c r="AM2460" t="s">
        <v>26</v>
      </c>
      <c r="AN2460" t="s">
        <v>26</v>
      </c>
      <c r="AO2460" s="25" t="s">
        <v>68</v>
      </c>
      <c r="AP2460" s="23" t="s">
        <v>69</v>
      </c>
      <c r="AQ2460" s="23" t="s">
        <v>30</v>
      </c>
      <c r="AR2460" s="23" t="s">
        <v>6448</v>
      </c>
      <c r="AS2460" s="25">
        <v>30922</v>
      </c>
      <c r="AT2460" t="s">
        <v>26</v>
      </c>
      <c r="AU2460" t="s">
        <v>25450</v>
      </c>
    </row>
    <row r="2461" spans="1:47" ht="26.25" x14ac:dyDescent="0.4">
      <c r="A2461" s="23" t="s">
        <v>6449</v>
      </c>
      <c r="B2461" t="s">
        <v>26</v>
      </c>
      <c r="C2461" s="23" t="s">
        <v>80</v>
      </c>
      <c r="D2461" s="23" t="s">
        <v>22190</v>
      </c>
      <c r="E2461" s="23" t="s">
        <v>60</v>
      </c>
      <c r="F2461" s="25" t="s">
        <v>6450</v>
      </c>
      <c r="G2461" t="s">
        <v>26</v>
      </c>
      <c r="H2461" t="s">
        <v>26</v>
      </c>
      <c r="I2461" t="s">
        <v>26</v>
      </c>
      <c r="J2461" t="s">
        <v>26</v>
      </c>
      <c r="K2461" t="s">
        <v>26</v>
      </c>
      <c r="L2461" s="25" t="s">
        <v>68</v>
      </c>
      <c r="M2461" t="s">
        <v>26</v>
      </c>
      <c r="N2461" t="s">
        <v>26</v>
      </c>
      <c r="O2461" t="s">
        <v>26</v>
      </c>
      <c r="P2461" t="s">
        <v>26</v>
      </c>
      <c r="Q2461" t="s">
        <v>26</v>
      </c>
      <c r="R2461" t="s">
        <v>26</v>
      </c>
      <c r="S2461" t="s">
        <v>26</v>
      </c>
      <c r="T2461" t="s">
        <v>26</v>
      </c>
      <c r="U2461" t="s">
        <v>26</v>
      </c>
      <c r="V2461" t="s">
        <v>26</v>
      </c>
      <c r="W2461" s="24">
        <v>40634</v>
      </c>
      <c r="X2461" s="24">
        <v>43831</v>
      </c>
      <c r="Y2461" t="s">
        <v>26</v>
      </c>
      <c r="Z2461" s="24">
        <v>40634</v>
      </c>
      <c r="AA2461" s="24">
        <v>43831</v>
      </c>
      <c r="AB2461" t="s">
        <v>26</v>
      </c>
      <c r="AC2461" s="24">
        <v>40634</v>
      </c>
      <c r="AD2461" s="24">
        <v>43831</v>
      </c>
      <c r="AE2461" t="s">
        <v>26</v>
      </c>
      <c r="AF2461" t="s">
        <v>26</v>
      </c>
      <c r="AG2461" t="s">
        <v>26</v>
      </c>
      <c r="AH2461" t="s">
        <v>26</v>
      </c>
      <c r="AI2461" t="s">
        <v>26</v>
      </c>
      <c r="AJ2461" t="s">
        <v>26</v>
      </c>
      <c r="AK2461" t="s">
        <v>26</v>
      </c>
      <c r="AL2461" t="s">
        <v>26</v>
      </c>
      <c r="AM2461" t="s">
        <v>26</v>
      </c>
      <c r="AN2461" t="s">
        <v>26</v>
      </c>
      <c r="AO2461" s="25" t="s">
        <v>68</v>
      </c>
      <c r="AP2461" s="23" t="s">
        <v>69</v>
      </c>
      <c r="AQ2461" s="23" t="s">
        <v>30</v>
      </c>
      <c r="AR2461" s="23" t="s">
        <v>1464</v>
      </c>
      <c r="AS2461" s="25">
        <v>52992</v>
      </c>
      <c r="AT2461" t="s">
        <v>26</v>
      </c>
      <c r="AU2461" t="s">
        <v>25451</v>
      </c>
    </row>
    <row r="2462" spans="1:47" ht="26.25" x14ac:dyDescent="0.4">
      <c r="A2462" s="23" t="s">
        <v>6449</v>
      </c>
      <c r="B2462" t="s">
        <v>26</v>
      </c>
      <c r="C2462" s="23" t="s">
        <v>80</v>
      </c>
      <c r="D2462" s="23" t="s">
        <v>24008</v>
      </c>
      <c r="E2462" s="23" t="s">
        <v>60</v>
      </c>
      <c r="F2462" s="25" t="s">
        <v>6450</v>
      </c>
      <c r="G2462" t="s">
        <v>26</v>
      </c>
      <c r="H2462" t="s">
        <v>26</v>
      </c>
      <c r="I2462" t="s">
        <v>26</v>
      </c>
      <c r="J2462" t="s">
        <v>26</v>
      </c>
      <c r="K2462" t="s">
        <v>26</v>
      </c>
      <c r="L2462" s="25" t="s">
        <v>68</v>
      </c>
      <c r="M2462" t="s">
        <v>26</v>
      </c>
      <c r="N2462" t="s">
        <v>26</v>
      </c>
      <c r="O2462" t="s">
        <v>26</v>
      </c>
      <c r="P2462" t="s">
        <v>26</v>
      </c>
      <c r="Q2462" t="s">
        <v>26</v>
      </c>
      <c r="R2462" t="s">
        <v>26</v>
      </c>
      <c r="S2462" t="s">
        <v>26</v>
      </c>
      <c r="T2462" t="s">
        <v>26</v>
      </c>
      <c r="U2462" t="s">
        <v>26</v>
      </c>
      <c r="V2462" t="s">
        <v>26</v>
      </c>
      <c r="W2462" s="24">
        <v>41275</v>
      </c>
      <c r="X2462" s="25" t="s">
        <v>77</v>
      </c>
      <c r="Y2462" t="s">
        <v>26</v>
      </c>
      <c r="Z2462" s="24">
        <v>41275</v>
      </c>
      <c r="AA2462" s="25" t="s">
        <v>77</v>
      </c>
      <c r="AB2462" t="s">
        <v>26</v>
      </c>
      <c r="AC2462" s="24">
        <v>41275</v>
      </c>
      <c r="AD2462" s="25" t="s">
        <v>77</v>
      </c>
      <c r="AE2462" t="s">
        <v>26</v>
      </c>
      <c r="AF2462" t="s">
        <v>26</v>
      </c>
      <c r="AG2462" t="s">
        <v>26</v>
      </c>
      <c r="AH2462" t="s">
        <v>26</v>
      </c>
      <c r="AI2462" t="s">
        <v>26</v>
      </c>
      <c r="AJ2462" t="s">
        <v>26</v>
      </c>
      <c r="AK2462" t="s">
        <v>26</v>
      </c>
      <c r="AL2462" t="s">
        <v>26</v>
      </c>
      <c r="AM2462" t="s">
        <v>26</v>
      </c>
      <c r="AN2462" t="s">
        <v>26</v>
      </c>
      <c r="AO2462" s="25" t="s">
        <v>68</v>
      </c>
      <c r="AP2462" s="23" t="s">
        <v>69</v>
      </c>
      <c r="AQ2462" s="23" t="s">
        <v>30</v>
      </c>
      <c r="AR2462" s="23" t="s">
        <v>1464</v>
      </c>
      <c r="AS2462" s="25">
        <v>2032976</v>
      </c>
      <c r="AT2462" t="s">
        <v>26</v>
      </c>
      <c r="AU2462" t="s">
        <v>25452</v>
      </c>
    </row>
    <row r="2463" spans="1:47" ht="26.25" x14ac:dyDescent="0.4">
      <c r="A2463" s="23" t="s">
        <v>25453</v>
      </c>
      <c r="B2463" t="s">
        <v>26</v>
      </c>
      <c r="C2463" s="23" t="s">
        <v>25454</v>
      </c>
      <c r="D2463" s="23" t="s">
        <v>22579</v>
      </c>
      <c r="E2463" s="23" t="s">
        <v>42</v>
      </c>
      <c r="F2463" s="25" t="s">
        <v>25455</v>
      </c>
      <c r="G2463" t="s">
        <v>26</v>
      </c>
      <c r="H2463" t="s">
        <v>26</v>
      </c>
      <c r="I2463" s="24">
        <v>34638</v>
      </c>
      <c r="J2463" s="25" t="s">
        <v>77</v>
      </c>
      <c r="K2463" t="s">
        <v>26</v>
      </c>
      <c r="L2463" s="25" t="s">
        <v>68</v>
      </c>
      <c r="M2463" s="24">
        <v>34638</v>
      </c>
      <c r="N2463" s="25" t="s">
        <v>77</v>
      </c>
      <c r="O2463" t="s">
        <v>26</v>
      </c>
      <c r="P2463" t="s">
        <v>26</v>
      </c>
      <c r="Q2463" t="s">
        <v>26</v>
      </c>
      <c r="R2463" t="s">
        <v>26</v>
      </c>
      <c r="S2463" t="s">
        <v>26</v>
      </c>
      <c r="T2463" t="s">
        <v>26</v>
      </c>
      <c r="U2463" t="s">
        <v>26</v>
      </c>
      <c r="V2463" t="s">
        <v>26</v>
      </c>
      <c r="W2463" s="24">
        <v>34638</v>
      </c>
      <c r="X2463" s="25" t="s">
        <v>77</v>
      </c>
      <c r="Y2463" t="s">
        <v>26</v>
      </c>
      <c r="Z2463" s="24">
        <v>34638</v>
      </c>
      <c r="AA2463" s="25" t="s">
        <v>77</v>
      </c>
      <c r="AB2463" t="s">
        <v>26</v>
      </c>
      <c r="AC2463" s="24">
        <v>34638</v>
      </c>
      <c r="AD2463" s="25" t="s">
        <v>77</v>
      </c>
      <c r="AE2463" t="s">
        <v>26</v>
      </c>
      <c r="AF2463" t="s">
        <v>26</v>
      </c>
      <c r="AG2463" t="s">
        <v>26</v>
      </c>
      <c r="AH2463" t="s">
        <v>26</v>
      </c>
      <c r="AI2463" t="s">
        <v>26</v>
      </c>
      <c r="AJ2463" t="s">
        <v>26</v>
      </c>
      <c r="AK2463" t="s">
        <v>26</v>
      </c>
      <c r="AL2463" t="s">
        <v>26</v>
      </c>
      <c r="AM2463" t="s">
        <v>26</v>
      </c>
      <c r="AN2463" t="s">
        <v>26</v>
      </c>
      <c r="AO2463" s="25" t="s">
        <v>28</v>
      </c>
      <c r="AP2463" s="23" t="s">
        <v>69</v>
      </c>
      <c r="AQ2463" t="s">
        <v>26</v>
      </c>
      <c r="AR2463" s="23" t="s">
        <v>2639</v>
      </c>
      <c r="AS2463" s="25">
        <v>27053</v>
      </c>
      <c r="AT2463" t="s">
        <v>26</v>
      </c>
      <c r="AU2463" t="s">
        <v>25456</v>
      </c>
    </row>
    <row r="2464" spans="1:47" ht="26.25" x14ac:dyDescent="0.4">
      <c r="A2464" s="23" t="s">
        <v>6451</v>
      </c>
      <c r="B2464" t="s">
        <v>26</v>
      </c>
      <c r="C2464" s="23" t="s">
        <v>5682</v>
      </c>
      <c r="D2464" s="23" t="s">
        <v>22286</v>
      </c>
      <c r="E2464" s="23" t="s">
        <v>42</v>
      </c>
      <c r="F2464" t="s">
        <v>26</v>
      </c>
      <c r="G2464" t="s">
        <v>26</v>
      </c>
      <c r="H2464" t="s">
        <v>26</v>
      </c>
      <c r="I2464" t="s">
        <v>26</v>
      </c>
      <c r="J2464" t="s">
        <v>26</v>
      </c>
      <c r="K2464" t="s">
        <v>26</v>
      </c>
      <c r="L2464" s="25" t="s">
        <v>28</v>
      </c>
      <c r="M2464" t="s">
        <v>26</v>
      </c>
      <c r="N2464" t="s">
        <v>26</v>
      </c>
      <c r="O2464" t="s">
        <v>26</v>
      </c>
      <c r="P2464" t="s">
        <v>26</v>
      </c>
      <c r="Q2464" t="s">
        <v>26</v>
      </c>
      <c r="R2464" t="s">
        <v>26</v>
      </c>
      <c r="S2464" t="s">
        <v>26</v>
      </c>
      <c r="T2464" t="s">
        <v>26</v>
      </c>
      <c r="U2464" t="s">
        <v>26</v>
      </c>
      <c r="V2464" t="s">
        <v>26</v>
      </c>
      <c r="W2464" s="24">
        <v>40179</v>
      </c>
      <c r="X2464" s="24">
        <v>40179</v>
      </c>
      <c r="Y2464" t="s">
        <v>26</v>
      </c>
      <c r="Z2464" s="24">
        <v>40179</v>
      </c>
      <c r="AA2464" s="24">
        <v>40179</v>
      </c>
      <c r="AB2464" t="s">
        <v>26</v>
      </c>
      <c r="AC2464" t="s">
        <v>26</v>
      </c>
      <c r="AD2464" t="s">
        <v>26</v>
      </c>
      <c r="AE2464" t="s">
        <v>26</v>
      </c>
      <c r="AF2464" t="s">
        <v>26</v>
      </c>
      <c r="AG2464" t="s">
        <v>26</v>
      </c>
      <c r="AH2464" t="s">
        <v>26</v>
      </c>
      <c r="AI2464" t="s">
        <v>26</v>
      </c>
      <c r="AJ2464" t="s">
        <v>26</v>
      </c>
      <c r="AK2464" t="s">
        <v>26</v>
      </c>
      <c r="AL2464" t="s">
        <v>26</v>
      </c>
      <c r="AM2464" t="s">
        <v>26</v>
      </c>
      <c r="AN2464" t="s">
        <v>26</v>
      </c>
      <c r="AO2464" s="25" t="s">
        <v>28</v>
      </c>
      <c r="AP2464" s="23" t="s">
        <v>29</v>
      </c>
      <c r="AQ2464" s="23" t="s">
        <v>30</v>
      </c>
      <c r="AR2464" s="23" t="s">
        <v>245</v>
      </c>
      <c r="AS2464" s="25">
        <v>5485083</v>
      </c>
      <c r="AT2464" s="23" t="s">
        <v>22181</v>
      </c>
      <c r="AU2464" t="s">
        <v>25457</v>
      </c>
    </row>
    <row r="2465" spans="1:47" ht="26.25" x14ac:dyDescent="0.4">
      <c r="A2465" s="23" t="s">
        <v>6452</v>
      </c>
      <c r="B2465" t="s">
        <v>26</v>
      </c>
      <c r="C2465" s="23" t="s">
        <v>146</v>
      </c>
      <c r="D2465" s="23" t="s">
        <v>22174</v>
      </c>
      <c r="E2465" s="23" t="s">
        <v>60</v>
      </c>
      <c r="F2465" t="s">
        <v>26</v>
      </c>
      <c r="G2465" t="s">
        <v>26</v>
      </c>
      <c r="H2465" t="s">
        <v>26</v>
      </c>
      <c r="I2465" t="s">
        <v>26</v>
      </c>
      <c r="J2465" t="s">
        <v>26</v>
      </c>
      <c r="K2465" t="s">
        <v>26</v>
      </c>
      <c r="L2465" s="25" t="s">
        <v>28</v>
      </c>
      <c r="M2465" t="s">
        <v>26</v>
      </c>
      <c r="N2465" t="s">
        <v>26</v>
      </c>
      <c r="O2465" t="s">
        <v>26</v>
      </c>
      <c r="P2465" t="s">
        <v>26</v>
      </c>
      <c r="Q2465" t="s">
        <v>26</v>
      </c>
      <c r="R2465" t="s">
        <v>26</v>
      </c>
      <c r="S2465" t="s">
        <v>26</v>
      </c>
      <c r="T2465" t="s">
        <v>26</v>
      </c>
      <c r="U2465" t="s">
        <v>26</v>
      </c>
      <c r="V2465" t="s">
        <v>26</v>
      </c>
      <c r="W2465" s="24">
        <v>42370</v>
      </c>
      <c r="X2465" s="24">
        <v>42370</v>
      </c>
      <c r="Y2465" t="s">
        <v>26</v>
      </c>
      <c r="Z2465" s="24">
        <v>42370</v>
      </c>
      <c r="AA2465" s="24">
        <v>42370</v>
      </c>
      <c r="AB2465" t="s">
        <v>26</v>
      </c>
      <c r="AC2465" t="s">
        <v>26</v>
      </c>
      <c r="AD2465" t="s">
        <v>26</v>
      </c>
      <c r="AE2465" t="s">
        <v>26</v>
      </c>
      <c r="AF2465" t="s">
        <v>26</v>
      </c>
      <c r="AG2465" t="s">
        <v>26</v>
      </c>
      <c r="AH2465" t="s">
        <v>26</v>
      </c>
      <c r="AI2465" t="s">
        <v>26</v>
      </c>
      <c r="AJ2465" t="s">
        <v>26</v>
      </c>
      <c r="AK2465" t="s">
        <v>26</v>
      </c>
      <c r="AL2465" t="s">
        <v>26</v>
      </c>
      <c r="AM2465" t="s">
        <v>26</v>
      </c>
      <c r="AN2465" t="s">
        <v>26</v>
      </c>
      <c r="AO2465" s="25" t="s">
        <v>28</v>
      </c>
      <c r="AP2465" s="23" t="s">
        <v>29</v>
      </c>
      <c r="AQ2465" s="23" t="s">
        <v>30</v>
      </c>
      <c r="AR2465" s="23" t="s">
        <v>245</v>
      </c>
      <c r="AS2465" s="25">
        <v>5485106</v>
      </c>
      <c r="AT2465" s="23" t="s">
        <v>22181</v>
      </c>
      <c r="AU2465" t="s">
        <v>25458</v>
      </c>
    </row>
    <row r="2466" spans="1:47" ht="13.15" x14ac:dyDescent="0.4">
      <c r="A2466" s="23" t="s">
        <v>6453</v>
      </c>
      <c r="B2466" t="s">
        <v>26</v>
      </c>
      <c r="C2466" s="23" t="s">
        <v>1612</v>
      </c>
      <c r="D2466" s="23" t="s">
        <v>23047</v>
      </c>
      <c r="E2466" s="23" t="s">
        <v>42</v>
      </c>
      <c r="F2466" t="s">
        <v>26</v>
      </c>
      <c r="G2466" t="s">
        <v>26</v>
      </c>
      <c r="H2466" t="s">
        <v>26</v>
      </c>
      <c r="I2466" s="24">
        <v>42370</v>
      </c>
      <c r="J2466" s="24">
        <v>42370</v>
      </c>
      <c r="K2466" t="s">
        <v>26</v>
      </c>
      <c r="L2466" s="25" t="s">
        <v>28</v>
      </c>
      <c r="M2466" t="s">
        <v>26</v>
      </c>
      <c r="N2466" t="s">
        <v>26</v>
      </c>
      <c r="O2466" t="s">
        <v>26</v>
      </c>
      <c r="P2466" s="24">
        <v>42370</v>
      </c>
      <c r="Q2466" s="24">
        <v>42370</v>
      </c>
      <c r="R2466" t="s">
        <v>26</v>
      </c>
      <c r="S2466" t="s">
        <v>26</v>
      </c>
      <c r="T2466" t="s">
        <v>26</v>
      </c>
      <c r="U2466" t="s">
        <v>26</v>
      </c>
      <c r="V2466" t="s">
        <v>26</v>
      </c>
      <c r="W2466" s="24">
        <v>42370</v>
      </c>
      <c r="X2466" s="24">
        <v>42370</v>
      </c>
      <c r="Y2466" t="s">
        <v>26</v>
      </c>
      <c r="Z2466" s="24">
        <v>42370</v>
      </c>
      <c r="AA2466" s="24">
        <v>42370</v>
      </c>
      <c r="AB2466" t="s">
        <v>26</v>
      </c>
      <c r="AC2466" t="s">
        <v>26</v>
      </c>
      <c r="AD2466" t="s">
        <v>26</v>
      </c>
      <c r="AE2466" t="s">
        <v>26</v>
      </c>
      <c r="AF2466" t="s">
        <v>26</v>
      </c>
      <c r="AG2466" t="s">
        <v>26</v>
      </c>
      <c r="AH2466" t="s">
        <v>26</v>
      </c>
      <c r="AI2466" t="s">
        <v>26</v>
      </c>
      <c r="AJ2466" t="s">
        <v>26</v>
      </c>
      <c r="AK2466" t="s">
        <v>26</v>
      </c>
      <c r="AL2466" t="s">
        <v>26</v>
      </c>
      <c r="AM2466" t="s">
        <v>26</v>
      </c>
      <c r="AN2466" t="s">
        <v>26</v>
      </c>
      <c r="AO2466" s="25" t="s">
        <v>28</v>
      </c>
      <c r="AP2466" s="23" t="s">
        <v>29</v>
      </c>
      <c r="AQ2466" s="23" t="s">
        <v>30</v>
      </c>
      <c r="AR2466" s="23" t="s">
        <v>46</v>
      </c>
      <c r="AS2466" s="25">
        <v>6059459</v>
      </c>
      <c r="AT2466" t="s">
        <v>26</v>
      </c>
      <c r="AU2466" t="s">
        <v>25459</v>
      </c>
    </row>
    <row r="2467" spans="1:47" ht="26.25" x14ac:dyDescent="0.4">
      <c r="A2467" s="23" t="s">
        <v>6454</v>
      </c>
      <c r="B2467" t="s">
        <v>26</v>
      </c>
      <c r="C2467" s="23" t="s">
        <v>80</v>
      </c>
      <c r="D2467" s="23" t="s">
        <v>22184</v>
      </c>
      <c r="E2467" s="23" t="s">
        <v>60</v>
      </c>
      <c r="F2467" s="25" t="s">
        <v>6455</v>
      </c>
      <c r="G2467" s="25" t="s">
        <v>6456</v>
      </c>
      <c r="H2467" t="s">
        <v>26</v>
      </c>
      <c r="I2467" t="s">
        <v>26</v>
      </c>
      <c r="J2467" t="s">
        <v>26</v>
      </c>
      <c r="K2467" t="s">
        <v>26</v>
      </c>
      <c r="L2467" s="25" t="s">
        <v>68</v>
      </c>
      <c r="M2467" t="s">
        <v>26</v>
      </c>
      <c r="N2467" t="s">
        <v>26</v>
      </c>
      <c r="O2467" t="s">
        <v>26</v>
      </c>
      <c r="P2467" t="s">
        <v>26</v>
      </c>
      <c r="Q2467" t="s">
        <v>26</v>
      </c>
      <c r="R2467" t="s">
        <v>26</v>
      </c>
      <c r="S2467" t="s">
        <v>26</v>
      </c>
      <c r="T2467" t="s">
        <v>26</v>
      </c>
      <c r="U2467" t="s">
        <v>26</v>
      </c>
      <c r="V2467" t="s">
        <v>26</v>
      </c>
      <c r="W2467" s="24">
        <v>43101</v>
      </c>
      <c r="X2467" s="25" t="s">
        <v>77</v>
      </c>
      <c r="Y2467" t="s">
        <v>26</v>
      </c>
      <c r="Z2467" s="24">
        <v>43101</v>
      </c>
      <c r="AA2467" s="25" t="s">
        <v>77</v>
      </c>
      <c r="AB2467" t="s">
        <v>26</v>
      </c>
      <c r="AC2467" s="24">
        <v>43101</v>
      </c>
      <c r="AD2467" s="25" t="s">
        <v>77</v>
      </c>
      <c r="AE2467" s="25" t="s">
        <v>25460</v>
      </c>
      <c r="AF2467" t="s">
        <v>26</v>
      </c>
      <c r="AG2467" t="s">
        <v>26</v>
      </c>
      <c r="AH2467" t="s">
        <v>26</v>
      </c>
      <c r="AI2467" t="s">
        <v>26</v>
      </c>
      <c r="AJ2467" t="s">
        <v>26</v>
      </c>
      <c r="AK2467" t="s">
        <v>26</v>
      </c>
      <c r="AL2467" t="s">
        <v>26</v>
      </c>
      <c r="AM2467" t="s">
        <v>26</v>
      </c>
      <c r="AN2467" t="s">
        <v>26</v>
      </c>
      <c r="AO2467" s="25" t="s">
        <v>68</v>
      </c>
      <c r="AP2467" s="23" t="s">
        <v>69</v>
      </c>
      <c r="AQ2467" s="23" t="s">
        <v>30</v>
      </c>
      <c r="AR2467" s="23" t="s">
        <v>6457</v>
      </c>
      <c r="AS2467" s="25">
        <v>2042519</v>
      </c>
      <c r="AT2467" t="s">
        <v>26</v>
      </c>
      <c r="AU2467" t="s">
        <v>25461</v>
      </c>
    </row>
    <row r="2468" spans="1:47" ht="26.25" x14ac:dyDescent="0.4">
      <c r="A2468" s="23" t="s">
        <v>6458</v>
      </c>
      <c r="B2468" t="s">
        <v>26</v>
      </c>
      <c r="C2468" s="23" t="s">
        <v>389</v>
      </c>
      <c r="D2468" s="23" t="s">
        <v>22254</v>
      </c>
      <c r="E2468" s="23" t="s">
        <v>42</v>
      </c>
      <c r="F2468" s="25" t="s">
        <v>6459</v>
      </c>
      <c r="G2468" s="25" t="s">
        <v>6460</v>
      </c>
      <c r="H2468" t="s">
        <v>26</v>
      </c>
      <c r="I2468" s="24">
        <v>32234</v>
      </c>
      <c r="J2468" s="24">
        <v>40148</v>
      </c>
      <c r="K2468" t="s">
        <v>26</v>
      </c>
      <c r="L2468" s="25" t="s">
        <v>68</v>
      </c>
      <c r="M2468" s="24">
        <v>34425</v>
      </c>
      <c r="N2468" s="24">
        <v>40148</v>
      </c>
      <c r="O2468" t="s">
        <v>26</v>
      </c>
      <c r="P2468" s="24">
        <v>32234</v>
      </c>
      <c r="Q2468" s="24">
        <v>40148</v>
      </c>
      <c r="R2468" t="s">
        <v>26</v>
      </c>
      <c r="S2468" t="s">
        <v>26</v>
      </c>
      <c r="T2468" t="s">
        <v>26</v>
      </c>
      <c r="U2468" t="s">
        <v>26</v>
      </c>
      <c r="V2468" t="s">
        <v>26</v>
      </c>
      <c r="W2468" s="24">
        <v>31503</v>
      </c>
      <c r="X2468" s="25" t="s">
        <v>77</v>
      </c>
      <c r="Y2468" t="s">
        <v>26</v>
      </c>
      <c r="Z2468" s="24">
        <v>31503</v>
      </c>
      <c r="AA2468" s="25" t="s">
        <v>77</v>
      </c>
      <c r="AB2468" t="s">
        <v>26</v>
      </c>
      <c r="AC2468" s="24">
        <v>31503</v>
      </c>
      <c r="AD2468" s="25" t="s">
        <v>77</v>
      </c>
      <c r="AE2468" t="s">
        <v>26</v>
      </c>
      <c r="AF2468" t="s">
        <v>26</v>
      </c>
      <c r="AG2468" t="s">
        <v>26</v>
      </c>
      <c r="AH2468" t="s">
        <v>26</v>
      </c>
      <c r="AI2468" t="s">
        <v>26</v>
      </c>
      <c r="AJ2468" t="s">
        <v>26</v>
      </c>
      <c r="AK2468" t="s">
        <v>26</v>
      </c>
      <c r="AL2468" t="s">
        <v>26</v>
      </c>
      <c r="AM2468" t="s">
        <v>26</v>
      </c>
      <c r="AN2468" t="s">
        <v>26</v>
      </c>
      <c r="AO2468" s="25" t="s">
        <v>68</v>
      </c>
      <c r="AP2468" s="23" t="s">
        <v>69</v>
      </c>
      <c r="AQ2468" s="23" t="s">
        <v>30</v>
      </c>
      <c r="AR2468" s="23" t="s">
        <v>394</v>
      </c>
      <c r="AS2468" s="25">
        <v>42090</v>
      </c>
      <c r="AT2468" t="s">
        <v>26</v>
      </c>
      <c r="AU2468" t="s">
        <v>25462</v>
      </c>
    </row>
    <row r="2469" spans="1:47" ht="26.25" x14ac:dyDescent="0.4">
      <c r="A2469" s="23" t="s">
        <v>6461</v>
      </c>
      <c r="B2469" t="s">
        <v>26</v>
      </c>
      <c r="C2469" s="23" t="s">
        <v>351</v>
      </c>
      <c r="D2469" s="23" t="s">
        <v>22242</v>
      </c>
      <c r="E2469" s="23" t="s">
        <v>60</v>
      </c>
      <c r="F2469" s="25" t="s">
        <v>6462</v>
      </c>
      <c r="G2469" s="25" t="s">
        <v>6463</v>
      </c>
      <c r="H2469" t="s">
        <v>26</v>
      </c>
      <c r="I2469" t="s">
        <v>26</v>
      </c>
      <c r="J2469" t="s">
        <v>26</v>
      </c>
      <c r="K2469" t="s">
        <v>26</v>
      </c>
      <c r="L2469" s="25" t="s">
        <v>68</v>
      </c>
      <c r="M2469" t="s">
        <v>26</v>
      </c>
      <c r="N2469" t="s">
        <v>26</v>
      </c>
      <c r="O2469" t="s">
        <v>26</v>
      </c>
      <c r="P2469" t="s">
        <v>26</v>
      </c>
      <c r="Q2469" t="s">
        <v>26</v>
      </c>
      <c r="R2469" t="s">
        <v>26</v>
      </c>
      <c r="S2469" t="s">
        <v>26</v>
      </c>
      <c r="T2469" t="s">
        <v>26</v>
      </c>
      <c r="U2469" t="s">
        <v>26</v>
      </c>
      <c r="V2469" t="s">
        <v>26</v>
      </c>
      <c r="W2469" s="24">
        <v>32540</v>
      </c>
      <c r="X2469" s="24">
        <v>42461</v>
      </c>
      <c r="Y2469" t="s">
        <v>26</v>
      </c>
      <c r="Z2469" s="24">
        <v>32540</v>
      </c>
      <c r="AA2469" s="24">
        <v>42461</v>
      </c>
      <c r="AB2469" t="s">
        <v>26</v>
      </c>
      <c r="AC2469" s="24">
        <v>32540</v>
      </c>
      <c r="AD2469" s="24">
        <v>42461</v>
      </c>
      <c r="AE2469" t="s">
        <v>26</v>
      </c>
      <c r="AF2469" t="s">
        <v>26</v>
      </c>
      <c r="AG2469" t="s">
        <v>26</v>
      </c>
      <c r="AH2469" t="s">
        <v>26</v>
      </c>
      <c r="AI2469" t="s">
        <v>26</v>
      </c>
      <c r="AJ2469" t="s">
        <v>26</v>
      </c>
      <c r="AK2469" t="s">
        <v>26</v>
      </c>
      <c r="AL2469" t="s">
        <v>26</v>
      </c>
      <c r="AM2469" t="s">
        <v>26</v>
      </c>
      <c r="AN2469" t="s">
        <v>26</v>
      </c>
      <c r="AO2469" s="25" t="s">
        <v>68</v>
      </c>
      <c r="AP2469" s="23" t="s">
        <v>69</v>
      </c>
      <c r="AQ2469" s="23" t="s">
        <v>30</v>
      </c>
      <c r="AR2469" s="23" t="s">
        <v>6464</v>
      </c>
      <c r="AS2469" s="25">
        <v>40556</v>
      </c>
      <c r="AT2469" t="s">
        <v>26</v>
      </c>
      <c r="AU2469" t="s">
        <v>25463</v>
      </c>
    </row>
    <row r="2470" spans="1:47" ht="26.25" x14ac:dyDescent="0.4">
      <c r="A2470" s="23" t="s">
        <v>6465</v>
      </c>
      <c r="B2470" t="s">
        <v>26</v>
      </c>
      <c r="C2470" s="23" t="s">
        <v>107</v>
      </c>
      <c r="D2470" s="23" t="s">
        <v>22254</v>
      </c>
      <c r="E2470" s="23" t="s">
        <v>42</v>
      </c>
      <c r="F2470" s="25" t="s">
        <v>6466</v>
      </c>
      <c r="G2470" s="25" t="s">
        <v>6467</v>
      </c>
      <c r="H2470" t="s">
        <v>26</v>
      </c>
      <c r="I2470" t="s">
        <v>26</v>
      </c>
      <c r="J2470" t="s">
        <v>26</v>
      </c>
      <c r="K2470" t="s">
        <v>26</v>
      </c>
      <c r="L2470" s="25" t="s">
        <v>68</v>
      </c>
      <c r="M2470" t="s">
        <v>26</v>
      </c>
      <c r="N2470" t="s">
        <v>26</v>
      </c>
      <c r="O2470" t="s">
        <v>26</v>
      </c>
      <c r="P2470" t="s">
        <v>26</v>
      </c>
      <c r="Q2470" t="s">
        <v>26</v>
      </c>
      <c r="R2470" t="s">
        <v>26</v>
      </c>
      <c r="S2470" t="s">
        <v>26</v>
      </c>
      <c r="T2470" t="s">
        <v>26</v>
      </c>
      <c r="U2470" t="s">
        <v>26</v>
      </c>
      <c r="V2470" t="s">
        <v>26</v>
      </c>
      <c r="W2470" s="24">
        <v>42430</v>
      </c>
      <c r="X2470" s="25" t="s">
        <v>77</v>
      </c>
      <c r="Y2470" t="s">
        <v>26</v>
      </c>
      <c r="Z2470" s="24">
        <v>42430</v>
      </c>
      <c r="AA2470" s="25" t="s">
        <v>77</v>
      </c>
      <c r="AB2470" t="s">
        <v>26</v>
      </c>
      <c r="AC2470" s="24">
        <v>42430</v>
      </c>
      <c r="AD2470" s="25" t="s">
        <v>77</v>
      </c>
      <c r="AE2470" t="s">
        <v>26</v>
      </c>
      <c r="AF2470" t="s">
        <v>26</v>
      </c>
      <c r="AG2470" t="s">
        <v>26</v>
      </c>
      <c r="AH2470" t="s">
        <v>26</v>
      </c>
      <c r="AI2470" t="s">
        <v>26</v>
      </c>
      <c r="AJ2470" t="s">
        <v>26</v>
      </c>
      <c r="AK2470" t="s">
        <v>26</v>
      </c>
      <c r="AL2470" t="s">
        <v>26</v>
      </c>
      <c r="AM2470" t="s">
        <v>26</v>
      </c>
      <c r="AN2470" t="s">
        <v>26</v>
      </c>
      <c r="AO2470" s="25" t="s">
        <v>68</v>
      </c>
      <c r="AP2470" s="23" t="s">
        <v>69</v>
      </c>
      <c r="AQ2470" s="23" t="s">
        <v>30</v>
      </c>
      <c r="AR2470" s="23" t="s">
        <v>46</v>
      </c>
      <c r="AS2470" s="25">
        <v>4422176</v>
      </c>
      <c r="AT2470" t="s">
        <v>26</v>
      </c>
      <c r="AU2470" t="s">
        <v>25464</v>
      </c>
    </row>
    <row r="2471" spans="1:47" ht="26.25" x14ac:dyDescent="0.4">
      <c r="A2471" s="23" t="s">
        <v>6468</v>
      </c>
      <c r="B2471" t="s">
        <v>26</v>
      </c>
      <c r="C2471" s="23" t="s">
        <v>404</v>
      </c>
      <c r="D2471" s="23" t="s">
        <v>22192</v>
      </c>
      <c r="E2471" s="23" t="s">
        <v>42</v>
      </c>
      <c r="F2471" s="25" t="s">
        <v>6469</v>
      </c>
      <c r="G2471" s="25" t="s">
        <v>6470</v>
      </c>
      <c r="H2471" t="s">
        <v>26</v>
      </c>
      <c r="I2471" s="24">
        <v>37622</v>
      </c>
      <c r="J2471" s="25" t="s">
        <v>77</v>
      </c>
      <c r="K2471" t="s">
        <v>26</v>
      </c>
      <c r="L2471" s="25" t="s">
        <v>68</v>
      </c>
      <c r="M2471" s="24">
        <v>37622</v>
      </c>
      <c r="N2471" s="25" t="s">
        <v>77</v>
      </c>
      <c r="O2471" t="s">
        <v>26</v>
      </c>
      <c r="P2471" s="24">
        <v>37622</v>
      </c>
      <c r="Q2471" s="25" t="s">
        <v>77</v>
      </c>
      <c r="R2471" t="s">
        <v>26</v>
      </c>
      <c r="S2471" t="s">
        <v>26</v>
      </c>
      <c r="T2471" t="s">
        <v>26</v>
      </c>
      <c r="U2471" t="s">
        <v>26</v>
      </c>
      <c r="V2471" s="25">
        <v>365</v>
      </c>
      <c r="W2471" s="24">
        <v>37622</v>
      </c>
      <c r="X2471" s="25" t="s">
        <v>77</v>
      </c>
      <c r="Y2471" t="s">
        <v>26</v>
      </c>
      <c r="Z2471" s="24">
        <v>37622</v>
      </c>
      <c r="AA2471" s="25" t="s">
        <v>77</v>
      </c>
      <c r="AB2471" t="s">
        <v>26</v>
      </c>
      <c r="AC2471" s="24">
        <v>37622</v>
      </c>
      <c r="AD2471" s="25" t="s">
        <v>77</v>
      </c>
      <c r="AE2471" t="s">
        <v>26</v>
      </c>
      <c r="AF2471" t="s">
        <v>26</v>
      </c>
      <c r="AG2471" t="s">
        <v>26</v>
      </c>
      <c r="AH2471" t="s">
        <v>26</v>
      </c>
      <c r="AI2471" t="s">
        <v>26</v>
      </c>
      <c r="AJ2471" t="s">
        <v>26</v>
      </c>
      <c r="AK2471" t="s">
        <v>26</v>
      </c>
      <c r="AL2471" t="s">
        <v>26</v>
      </c>
      <c r="AM2471" t="s">
        <v>26</v>
      </c>
      <c r="AN2471" t="s">
        <v>26</v>
      </c>
      <c r="AO2471" s="25" t="s">
        <v>68</v>
      </c>
      <c r="AP2471" s="23" t="s">
        <v>69</v>
      </c>
      <c r="AQ2471" s="23" t="s">
        <v>30</v>
      </c>
      <c r="AR2471" s="23" t="s">
        <v>1269</v>
      </c>
      <c r="AS2471" s="25">
        <v>37879</v>
      </c>
      <c r="AT2471" t="s">
        <v>26</v>
      </c>
      <c r="AU2471" t="s">
        <v>25465</v>
      </c>
    </row>
    <row r="2472" spans="1:47" ht="26.25" x14ac:dyDescent="0.4">
      <c r="A2472" s="23" t="s">
        <v>6471</v>
      </c>
      <c r="B2472" t="s">
        <v>26</v>
      </c>
      <c r="C2472" s="23" t="s">
        <v>73</v>
      </c>
      <c r="D2472" s="23" t="s">
        <v>22215</v>
      </c>
      <c r="E2472" s="23" t="s">
        <v>74</v>
      </c>
      <c r="F2472" s="25" t="s">
        <v>6472</v>
      </c>
      <c r="G2472" s="25" t="s">
        <v>6473</v>
      </c>
      <c r="H2472" t="s">
        <v>26</v>
      </c>
      <c r="I2472" s="24">
        <v>39173</v>
      </c>
      <c r="J2472" s="25" t="s">
        <v>77</v>
      </c>
      <c r="K2472" t="s">
        <v>26</v>
      </c>
      <c r="L2472" s="25" t="s">
        <v>68</v>
      </c>
      <c r="M2472" s="24">
        <v>39295</v>
      </c>
      <c r="N2472" s="24">
        <v>42795</v>
      </c>
      <c r="O2472" t="s">
        <v>26</v>
      </c>
      <c r="P2472" s="24">
        <v>39173</v>
      </c>
      <c r="Q2472" s="25" t="s">
        <v>77</v>
      </c>
      <c r="R2472" t="s">
        <v>26</v>
      </c>
      <c r="S2472" t="s">
        <v>26</v>
      </c>
      <c r="T2472" t="s">
        <v>26</v>
      </c>
      <c r="U2472" t="s">
        <v>26</v>
      </c>
      <c r="V2472" s="25">
        <v>365</v>
      </c>
      <c r="W2472" s="24">
        <v>39173</v>
      </c>
      <c r="X2472" s="25" t="s">
        <v>77</v>
      </c>
      <c r="Y2472" t="s">
        <v>26</v>
      </c>
      <c r="Z2472" s="24">
        <v>39173</v>
      </c>
      <c r="AA2472" s="25" t="s">
        <v>77</v>
      </c>
      <c r="AB2472" t="s">
        <v>26</v>
      </c>
      <c r="AC2472" s="24">
        <v>39173</v>
      </c>
      <c r="AD2472" s="25" t="s">
        <v>77</v>
      </c>
      <c r="AE2472" t="s">
        <v>26</v>
      </c>
      <c r="AF2472" t="s">
        <v>26</v>
      </c>
      <c r="AG2472" t="s">
        <v>26</v>
      </c>
      <c r="AH2472" t="s">
        <v>26</v>
      </c>
      <c r="AI2472" t="s">
        <v>26</v>
      </c>
      <c r="AJ2472" t="s">
        <v>26</v>
      </c>
      <c r="AK2472" t="s">
        <v>26</v>
      </c>
      <c r="AL2472" t="s">
        <v>26</v>
      </c>
      <c r="AM2472" t="s">
        <v>26</v>
      </c>
      <c r="AN2472" t="s">
        <v>26</v>
      </c>
      <c r="AO2472" s="25" t="s">
        <v>68</v>
      </c>
      <c r="AP2472" s="23" t="s">
        <v>69</v>
      </c>
      <c r="AQ2472" s="23" t="s">
        <v>30</v>
      </c>
      <c r="AR2472" s="23" t="s">
        <v>128</v>
      </c>
      <c r="AS2472" s="25">
        <v>326314</v>
      </c>
      <c r="AT2472" t="s">
        <v>26</v>
      </c>
      <c r="AU2472" t="s">
        <v>25466</v>
      </c>
    </row>
    <row r="2473" spans="1:47" ht="26.25" x14ac:dyDescent="0.4">
      <c r="A2473" s="23" t="s">
        <v>6474</v>
      </c>
      <c r="B2473" t="s">
        <v>26</v>
      </c>
      <c r="C2473" s="23" t="s">
        <v>73</v>
      </c>
      <c r="D2473" s="23" t="s">
        <v>22211</v>
      </c>
      <c r="E2473" s="23" t="s">
        <v>74</v>
      </c>
      <c r="F2473" s="25" t="s">
        <v>6475</v>
      </c>
      <c r="G2473" s="25" t="s">
        <v>6476</v>
      </c>
      <c r="H2473" t="s">
        <v>26</v>
      </c>
      <c r="I2473" s="24">
        <v>40238</v>
      </c>
      <c r="J2473" s="24">
        <v>43435</v>
      </c>
      <c r="K2473" t="s">
        <v>26</v>
      </c>
      <c r="L2473" s="25" t="s">
        <v>68</v>
      </c>
      <c r="M2473" t="s">
        <v>26</v>
      </c>
      <c r="N2473" t="s">
        <v>26</v>
      </c>
      <c r="O2473" t="s">
        <v>26</v>
      </c>
      <c r="P2473" s="24">
        <v>40238</v>
      </c>
      <c r="Q2473" s="24">
        <v>43435</v>
      </c>
      <c r="R2473" t="s">
        <v>26</v>
      </c>
      <c r="S2473" t="s">
        <v>26</v>
      </c>
      <c r="T2473" t="s">
        <v>26</v>
      </c>
      <c r="U2473" t="s">
        <v>26</v>
      </c>
      <c r="V2473" t="s">
        <v>26</v>
      </c>
      <c r="W2473" s="24">
        <v>40238</v>
      </c>
      <c r="X2473" s="25" t="s">
        <v>77</v>
      </c>
      <c r="Y2473" t="s">
        <v>26</v>
      </c>
      <c r="Z2473" s="24">
        <v>40238</v>
      </c>
      <c r="AA2473" s="25" t="s">
        <v>77</v>
      </c>
      <c r="AB2473" t="s">
        <v>26</v>
      </c>
      <c r="AC2473" s="24">
        <v>40238</v>
      </c>
      <c r="AD2473" s="25" t="s">
        <v>77</v>
      </c>
      <c r="AE2473" t="s">
        <v>26</v>
      </c>
      <c r="AF2473" t="s">
        <v>26</v>
      </c>
      <c r="AG2473" t="s">
        <v>26</v>
      </c>
      <c r="AH2473" t="s">
        <v>26</v>
      </c>
      <c r="AI2473" t="s">
        <v>26</v>
      </c>
      <c r="AJ2473" t="s">
        <v>26</v>
      </c>
      <c r="AK2473" t="s">
        <v>26</v>
      </c>
      <c r="AL2473" t="s">
        <v>26</v>
      </c>
      <c r="AM2473" t="s">
        <v>26</v>
      </c>
      <c r="AN2473" t="s">
        <v>26</v>
      </c>
      <c r="AO2473" s="25" t="s">
        <v>68</v>
      </c>
      <c r="AP2473" s="23" t="s">
        <v>69</v>
      </c>
      <c r="AQ2473" s="23" t="s">
        <v>30</v>
      </c>
      <c r="AR2473" s="23" t="s">
        <v>952</v>
      </c>
      <c r="AS2473" s="25">
        <v>2045896</v>
      </c>
      <c r="AT2473" t="s">
        <v>26</v>
      </c>
      <c r="AU2473" t="s">
        <v>25467</v>
      </c>
    </row>
    <row r="2474" spans="1:47" ht="26.25" x14ac:dyDescent="0.4">
      <c r="A2474" s="23" t="s">
        <v>6477</v>
      </c>
      <c r="B2474" t="s">
        <v>26</v>
      </c>
      <c r="C2474" s="23" t="s">
        <v>167</v>
      </c>
      <c r="D2474" s="23" t="s">
        <v>22218</v>
      </c>
      <c r="E2474" s="23" t="s">
        <v>60</v>
      </c>
      <c r="F2474" s="25" t="s">
        <v>6478</v>
      </c>
      <c r="G2474" s="25" t="s">
        <v>6479</v>
      </c>
      <c r="H2474" t="s">
        <v>26</v>
      </c>
      <c r="I2474" s="24">
        <v>36923</v>
      </c>
      <c r="J2474" s="24">
        <v>42217</v>
      </c>
      <c r="K2474" t="s">
        <v>26</v>
      </c>
      <c r="L2474" s="25" t="s">
        <v>68</v>
      </c>
      <c r="M2474" s="24">
        <v>39479</v>
      </c>
      <c r="N2474" s="24">
        <v>42217</v>
      </c>
      <c r="O2474" t="s">
        <v>26</v>
      </c>
      <c r="P2474" s="24">
        <v>36923</v>
      </c>
      <c r="Q2474" s="24">
        <v>42217</v>
      </c>
      <c r="R2474" t="s">
        <v>26</v>
      </c>
      <c r="S2474" t="s">
        <v>26</v>
      </c>
      <c r="T2474" t="s">
        <v>26</v>
      </c>
      <c r="U2474" t="s">
        <v>26</v>
      </c>
      <c r="V2474" t="s">
        <v>26</v>
      </c>
      <c r="W2474" s="24">
        <v>36923</v>
      </c>
      <c r="X2474" s="24">
        <v>42217</v>
      </c>
      <c r="Y2474" t="s">
        <v>26</v>
      </c>
      <c r="Z2474" s="24">
        <v>36923</v>
      </c>
      <c r="AA2474" s="24">
        <v>42217</v>
      </c>
      <c r="AB2474" t="s">
        <v>26</v>
      </c>
      <c r="AC2474" s="24">
        <v>36923</v>
      </c>
      <c r="AD2474" s="24">
        <v>42217</v>
      </c>
      <c r="AE2474" t="s">
        <v>26</v>
      </c>
      <c r="AF2474" t="s">
        <v>26</v>
      </c>
      <c r="AG2474" t="s">
        <v>26</v>
      </c>
      <c r="AH2474" t="s">
        <v>26</v>
      </c>
      <c r="AI2474" t="s">
        <v>26</v>
      </c>
      <c r="AJ2474" t="s">
        <v>26</v>
      </c>
      <c r="AK2474" t="s">
        <v>26</v>
      </c>
      <c r="AL2474" t="s">
        <v>26</v>
      </c>
      <c r="AM2474" t="s">
        <v>26</v>
      </c>
      <c r="AN2474" t="s">
        <v>26</v>
      </c>
      <c r="AO2474" s="25" t="s">
        <v>28</v>
      </c>
      <c r="AP2474" s="23" t="s">
        <v>69</v>
      </c>
      <c r="AQ2474" s="23" t="s">
        <v>30</v>
      </c>
      <c r="AR2474" s="23" t="s">
        <v>1332</v>
      </c>
      <c r="AS2474" s="25">
        <v>34286</v>
      </c>
      <c r="AT2474" t="s">
        <v>26</v>
      </c>
      <c r="AU2474" t="s">
        <v>25468</v>
      </c>
    </row>
    <row r="2475" spans="1:47" ht="26.25" x14ac:dyDescent="0.4">
      <c r="A2475" s="23" t="s">
        <v>6480</v>
      </c>
      <c r="B2475" t="s">
        <v>26</v>
      </c>
      <c r="C2475" s="23" t="s">
        <v>3143</v>
      </c>
      <c r="D2475" s="23" t="s">
        <v>23898</v>
      </c>
      <c r="E2475" s="23" t="s">
        <v>2636</v>
      </c>
      <c r="F2475" s="25" t="s">
        <v>6481</v>
      </c>
      <c r="G2475" s="25" t="s">
        <v>6482</v>
      </c>
      <c r="H2475" t="s">
        <v>26</v>
      </c>
      <c r="I2475" s="24">
        <v>41456</v>
      </c>
      <c r="J2475" s="24">
        <v>42736</v>
      </c>
      <c r="K2475" t="s">
        <v>26</v>
      </c>
      <c r="L2475" s="25" t="s">
        <v>68</v>
      </c>
      <c r="M2475" t="s">
        <v>26</v>
      </c>
      <c r="N2475" t="s">
        <v>26</v>
      </c>
      <c r="O2475" t="s">
        <v>26</v>
      </c>
      <c r="P2475" s="24">
        <v>41456</v>
      </c>
      <c r="Q2475" s="24">
        <v>42736</v>
      </c>
      <c r="R2475" t="s">
        <v>26</v>
      </c>
      <c r="S2475" t="s">
        <v>26</v>
      </c>
      <c r="T2475" t="s">
        <v>26</v>
      </c>
      <c r="U2475" t="s">
        <v>26</v>
      </c>
      <c r="V2475" t="s">
        <v>26</v>
      </c>
      <c r="W2475" s="24">
        <v>41456</v>
      </c>
      <c r="X2475" s="25" t="s">
        <v>77</v>
      </c>
      <c r="Y2475" t="s">
        <v>26</v>
      </c>
      <c r="Z2475" s="24">
        <v>41456</v>
      </c>
      <c r="AA2475" s="25" t="s">
        <v>77</v>
      </c>
      <c r="AB2475" t="s">
        <v>26</v>
      </c>
      <c r="AC2475" s="24">
        <v>41456</v>
      </c>
      <c r="AD2475" s="25" t="s">
        <v>77</v>
      </c>
      <c r="AE2475" t="s">
        <v>26</v>
      </c>
      <c r="AF2475" t="s">
        <v>26</v>
      </c>
      <c r="AG2475" t="s">
        <v>26</v>
      </c>
      <c r="AH2475" t="s">
        <v>26</v>
      </c>
      <c r="AI2475" t="s">
        <v>26</v>
      </c>
      <c r="AJ2475" t="s">
        <v>26</v>
      </c>
      <c r="AK2475" t="s">
        <v>26</v>
      </c>
      <c r="AL2475" t="s">
        <v>26</v>
      </c>
      <c r="AM2475" t="s">
        <v>26</v>
      </c>
      <c r="AN2475" t="s">
        <v>26</v>
      </c>
      <c r="AO2475" s="25" t="s">
        <v>68</v>
      </c>
      <c r="AP2475" s="23" t="s">
        <v>69</v>
      </c>
      <c r="AQ2475" s="23" t="s">
        <v>30</v>
      </c>
      <c r="AR2475" s="23" t="s">
        <v>70</v>
      </c>
      <c r="AS2475" s="25">
        <v>2031311</v>
      </c>
      <c r="AT2475" t="s">
        <v>26</v>
      </c>
      <c r="AU2475" t="s">
        <v>25469</v>
      </c>
    </row>
    <row r="2476" spans="1:47" ht="39.4" x14ac:dyDescent="0.4">
      <c r="A2476" s="23" t="s">
        <v>6483</v>
      </c>
      <c r="B2476" t="s">
        <v>26</v>
      </c>
      <c r="C2476" s="23" t="s">
        <v>6484</v>
      </c>
      <c r="D2476" s="23" t="s">
        <v>23881</v>
      </c>
      <c r="E2476" s="23" t="s">
        <v>6485</v>
      </c>
      <c r="F2476" s="25" t="s">
        <v>6486</v>
      </c>
      <c r="G2476" s="25" t="s">
        <v>6487</v>
      </c>
      <c r="H2476" t="s">
        <v>26</v>
      </c>
      <c r="I2476" s="24">
        <v>39173</v>
      </c>
      <c r="J2476" s="25" t="s">
        <v>77</v>
      </c>
      <c r="K2476" t="s">
        <v>26</v>
      </c>
      <c r="L2476" s="25" t="s">
        <v>68</v>
      </c>
      <c r="M2476" t="s">
        <v>26</v>
      </c>
      <c r="N2476" t="s">
        <v>26</v>
      </c>
      <c r="O2476" t="s">
        <v>26</v>
      </c>
      <c r="P2476" s="24">
        <v>39173</v>
      </c>
      <c r="Q2476" s="25" t="s">
        <v>77</v>
      </c>
      <c r="R2476" t="s">
        <v>26</v>
      </c>
      <c r="S2476" t="s">
        <v>26</v>
      </c>
      <c r="T2476" t="s">
        <v>26</v>
      </c>
      <c r="U2476" t="s">
        <v>26</v>
      </c>
      <c r="V2476" t="s">
        <v>26</v>
      </c>
      <c r="W2476" s="24">
        <v>39173</v>
      </c>
      <c r="X2476" s="25" t="s">
        <v>77</v>
      </c>
      <c r="Y2476" t="s">
        <v>26</v>
      </c>
      <c r="Z2476" s="24">
        <v>39173</v>
      </c>
      <c r="AA2476" s="25" t="s">
        <v>77</v>
      </c>
      <c r="AB2476" t="s">
        <v>26</v>
      </c>
      <c r="AC2476" s="24">
        <v>39173</v>
      </c>
      <c r="AD2476" s="25" t="s">
        <v>77</v>
      </c>
      <c r="AE2476" t="s">
        <v>26</v>
      </c>
      <c r="AF2476" t="s">
        <v>26</v>
      </c>
      <c r="AG2476" t="s">
        <v>26</v>
      </c>
      <c r="AH2476" t="s">
        <v>26</v>
      </c>
      <c r="AI2476" t="s">
        <v>26</v>
      </c>
      <c r="AJ2476" t="s">
        <v>26</v>
      </c>
      <c r="AK2476" t="s">
        <v>26</v>
      </c>
      <c r="AL2476" t="s">
        <v>26</v>
      </c>
      <c r="AM2476" t="s">
        <v>26</v>
      </c>
      <c r="AN2476" t="s">
        <v>26</v>
      </c>
      <c r="AO2476" s="25" t="s">
        <v>68</v>
      </c>
      <c r="AP2476" s="23" t="s">
        <v>69</v>
      </c>
      <c r="AQ2476" s="23" t="s">
        <v>226</v>
      </c>
      <c r="AR2476" s="23" t="s">
        <v>46</v>
      </c>
      <c r="AS2476" s="25">
        <v>4380457</v>
      </c>
      <c r="AT2476" t="s">
        <v>26</v>
      </c>
      <c r="AU2476" t="s">
        <v>25470</v>
      </c>
    </row>
    <row r="2477" spans="1:47" ht="52.5" x14ac:dyDescent="0.4">
      <c r="A2477" s="23" t="s">
        <v>6488</v>
      </c>
      <c r="B2477" t="s">
        <v>26</v>
      </c>
      <c r="C2477" s="23" t="s">
        <v>6489</v>
      </c>
      <c r="D2477" s="23" t="s">
        <v>25471</v>
      </c>
      <c r="E2477" s="23" t="s">
        <v>328</v>
      </c>
      <c r="F2477" s="25" t="s">
        <v>6490</v>
      </c>
      <c r="G2477" s="25" t="s">
        <v>6491</v>
      </c>
      <c r="H2477" t="s">
        <v>26</v>
      </c>
      <c r="I2477" s="24">
        <v>39448</v>
      </c>
      <c r="J2477" s="25" t="s">
        <v>77</v>
      </c>
      <c r="K2477" t="s">
        <v>26</v>
      </c>
      <c r="L2477" s="25" t="s">
        <v>68</v>
      </c>
      <c r="M2477" t="s">
        <v>26</v>
      </c>
      <c r="N2477" t="s">
        <v>26</v>
      </c>
      <c r="O2477" t="s">
        <v>26</v>
      </c>
      <c r="P2477" s="24">
        <v>39448</v>
      </c>
      <c r="Q2477" s="25" t="s">
        <v>77</v>
      </c>
      <c r="R2477" t="s">
        <v>26</v>
      </c>
      <c r="S2477" t="s">
        <v>26</v>
      </c>
      <c r="T2477" t="s">
        <v>26</v>
      </c>
      <c r="U2477" t="s">
        <v>26</v>
      </c>
      <c r="V2477" t="s">
        <v>26</v>
      </c>
      <c r="W2477" s="24">
        <v>39448</v>
      </c>
      <c r="X2477" s="25" t="s">
        <v>77</v>
      </c>
      <c r="Y2477" t="s">
        <v>26</v>
      </c>
      <c r="Z2477" s="24">
        <v>39448</v>
      </c>
      <c r="AA2477" s="25" t="s">
        <v>77</v>
      </c>
      <c r="AB2477" t="s">
        <v>26</v>
      </c>
      <c r="AC2477" s="24">
        <v>39448</v>
      </c>
      <c r="AD2477" s="25" t="s">
        <v>77</v>
      </c>
      <c r="AE2477" t="s">
        <v>26</v>
      </c>
      <c r="AF2477" t="s">
        <v>26</v>
      </c>
      <c r="AG2477" t="s">
        <v>26</v>
      </c>
      <c r="AH2477" t="s">
        <v>26</v>
      </c>
      <c r="AI2477" t="s">
        <v>26</v>
      </c>
      <c r="AJ2477" t="s">
        <v>26</v>
      </c>
      <c r="AK2477" t="s">
        <v>26</v>
      </c>
      <c r="AL2477" t="s">
        <v>26</v>
      </c>
      <c r="AM2477" t="s">
        <v>26</v>
      </c>
      <c r="AN2477" t="s">
        <v>26</v>
      </c>
      <c r="AO2477" s="25" t="s">
        <v>28</v>
      </c>
      <c r="AP2477" s="23" t="s">
        <v>69</v>
      </c>
      <c r="AQ2477" s="23" t="s">
        <v>158</v>
      </c>
      <c r="AR2477" s="23" t="s">
        <v>6492</v>
      </c>
      <c r="AS2477" s="25">
        <v>6373420</v>
      </c>
      <c r="AT2477" t="s">
        <v>26</v>
      </c>
      <c r="AU2477" t="s">
        <v>25472</v>
      </c>
    </row>
    <row r="2478" spans="1:47" ht="39.4" x14ac:dyDescent="0.4">
      <c r="A2478" s="23" t="s">
        <v>6493</v>
      </c>
      <c r="B2478" t="s">
        <v>26</v>
      </c>
      <c r="C2478" s="23" t="s">
        <v>6494</v>
      </c>
      <c r="D2478" s="23" t="s">
        <v>22283</v>
      </c>
      <c r="E2478" s="23" t="s">
        <v>155</v>
      </c>
      <c r="F2478" t="s">
        <v>26</v>
      </c>
      <c r="G2478" s="25" t="s">
        <v>6495</v>
      </c>
      <c r="H2478" t="s">
        <v>26</v>
      </c>
      <c r="I2478" s="24">
        <v>40360</v>
      </c>
      <c r="J2478" s="25" t="s">
        <v>77</v>
      </c>
      <c r="K2478" t="s">
        <v>26</v>
      </c>
      <c r="L2478" s="25" t="s">
        <v>68</v>
      </c>
      <c r="M2478" s="24">
        <v>40360</v>
      </c>
      <c r="N2478" s="25" t="s">
        <v>77</v>
      </c>
      <c r="O2478" t="s">
        <v>26</v>
      </c>
      <c r="P2478" s="24">
        <v>40360</v>
      </c>
      <c r="Q2478" s="25" t="s">
        <v>77</v>
      </c>
      <c r="R2478" t="s">
        <v>26</v>
      </c>
      <c r="S2478" t="s">
        <v>26</v>
      </c>
      <c r="T2478" t="s">
        <v>26</v>
      </c>
      <c r="U2478" t="s">
        <v>26</v>
      </c>
      <c r="V2478" t="s">
        <v>26</v>
      </c>
      <c r="W2478" s="24">
        <v>40360</v>
      </c>
      <c r="X2478" s="25" t="s">
        <v>77</v>
      </c>
      <c r="Y2478" t="s">
        <v>26</v>
      </c>
      <c r="Z2478" s="24">
        <v>40360</v>
      </c>
      <c r="AA2478" s="25" t="s">
        <v>77</v>
      </c>
      <c r="AB2478" t="s">
        <v>26</v>
      </c>
      <c r="AC2478" s="24">
        <v>42370</v>
      </c>
      <c r="AD2478" s="25" t="s">
        <v>77</v>
      </c>
      <c r="AE2478" t="s">
        <v>26</v>
      </c>
      <c r="AF2478" t="s">
        <v>26</v>
      </c>
      <c r="AG2478" t="s">
        <v>26</v>
      </c>
      <c r="AH2478" t="s">
        <v>26</v>
      </c>
      <c r="AI2478" t="s">
        <v>26</v>
      </c>
      <c r="AJ2478" t="s">
        <v>26</v>
      </c>
      <c r="AK2478" t="s">
        <v>26</v>
      </c>
      <c r="AL2478" t="s">
        <v>26</v>
      </c>
      <c r="AM2478" t="s">
        <v>26</v>
      </c>
      <c r="AN2478" t="s">
        <v>26</v>
      </c>
      <c r="AO2478" s="25" t="s">
        <v>68</v>
      </c>
      <c r="AP2478" s="23" t="s">
        <v>69</v>
      </c>
      <c r="AQ2478" s="23" t="s">
        <v>226</v>
      </c>
      <c r="AR2478" s="23" t="s">
        <v>46</v>
      </c>
      <c r="AS2478" s="25">
        <v>756333</v>
      </c>
      <c r="AT2478" t="s">
        <v>26</v>
      </c>
      <c r="AU2478" t="s">
        <v>25473</v>
      </c>
    </row>
    <row r="2479" spans="1:47" ht="39.4" x14ac:dyDescent="0.4">
      <c r="A2479" s="23" t="s">
        <v>6496</v>
      </c>
      <c r="B2479" t="s">
        <v>26</v>
      </c>
      <c r="C2479" s="23" t="s">
        <v>2009</v>
      </c>
      <c r="D2479" s="23" t="s">
        <v>23284</v>
      </c>
      <c r="E2479" s="23" t="s">
        <v>155</v>
      </c>
      <c r="F2479" s="25" t="s">
        <v>6497</v>
      </c>
      <c r="G2479" s="25" t="s">
        <v>6498</v>
      </c>
      <c r="H2479" t="s">
        <v>26</v>
      </c>
      <c r="I2479" s="24">
        <v>38718</v>
      </c>
      <c r="J2479" s="25" t="s">
        <v>77</v>
      </c>
      <c r="K2479" t="s">
        <v>26</v>
      </c>
      <c r="L2479" s="25" t="s">
        <v>68</v>
      </c>
      <c r="M2479" t="s">
        <v>26</v>
      </c>
      <c r="N2479" t="s">
        <v>26</v>
      </c>
      <c r="O2479" t="s">
        <v>26</v>
      </c>
      <c r="P2479" s="24">
        <v>38718</v>
      </c>
      <c r="Q2479" s="25" t="s">
        <v>77</v>
      </c>
      <c r="R2479" t="s">
        <v>26</v>
      </c>
      <c r="S2479" t="s">
        <v>26</v>
      </c>
      <c r="T2479" t="s">
        <v>26</v>
      </c>
      <c r="U2479" t="s">
        <v>26</v>
      </c>
      <c r="V2479" t="s">
        <v>26</v>
      </c>
      <c r="W2479" s="24">
        <v>38718</v>
      </c>
      <c r="X2479" s="25" t="s">
        <v>77</v>
      </c>
      <c r="Y2479" t="s">
        <v>26</v>
      </c>
      <c r="Z2479" s="24">
        <v>38718</v>
      </c>
      <c r="AA2479" s="25" t="s">
        <v>77</v>
      </c>
      <c r="AB2479" t="s">
        <v>26</v>
      </c>
      <c r="AC2479" s="24">
        <v>38718</v>
      </c>
      <c r="AD2479" s="25" t="s">
        <v>77</v>
      </c>
      <c r="AE2479" t="s">
        <v>26</v>
      </c>
      <c r="AF2479" t="s">
        <v>26</v>
      </c>
      <c r="AG2479" t="s">
        <v>26</v>
      </c>
      <c r="AH2479" t="s">
        <v>26</v>
      </c>
      <c r="AI2479" t="s">
        <v>26</v>
      </c>
      <c r="AJ2479" t="s">
        <v>26</v>
      </c>
      <c r="AK2479" t="s">
        <v>26</v>
      </c>
      <c r="AL2479" t="s">
        <v>26</v>
      </c>
      <c r="AM2479" t="s">
        <v>26</v>
      </c>
      <c r="AN2479" t="s">
        <v>26</v>
      </c>
      <c r="AO2479" s="25" t="s">
        <v>68</v>
      </c>
      <c r="AP2479" s="23" t="s">
        <v>69</v>
      </c>
      <c r="AQ2479" s="23" t="s">
        <v>226</v>
      </c>
      <c r="AR2479" s="23" t="s">
        <v>46</v>
      </c>
      <c r="AS2479" s="25">
        <v>2035760</v>
      </c>
      <c r="AT2479" t="s">
        <v>26</v>
      </c>
      <c r="AU2479" t="s">
        <v>25474</v>
      </c>
    </row>
    <row r="2480" spans="1:47" ht="26.25" x14ac:dyDescent="0.4">
      <c r="A2480" s="23" t="s">
        <v>6499</v>
      </c>
      <c r="B2480" t="s">
        <v>26</v>
      </c>
      <c r="C2480" s="23" t="s">
        <v>138</v>
      </c>
      <c r="D2480" s="23" t="s">
        <v>22207</v>
      </c>
      <c r="E2480" s="23" t="s">
        <v>139</v>
      </c>
      <c r="F2480" s="25" t="s">
        <v>6500</v>
      </c>
      <c r="G2480" s="25" t="s">
        <v>6501</v>
      </c>
      <c r="H2480" t="s">
        <v>26</v>
      </c>
      <c r="I2480" s="24">
        <v>39448</v>
      </c>
      <c r="J2480" s="25" t="s">
        <v>77</v>
      </c>
      <c r="K2480" t="s">
        <v>26</v>
      </c>
      <c r="L2480" s="25" t="s">
        <v>68</v>
      </c>
      <c r="M2480" s="24">
        <v>39448</v>
      </c>
      <c r="N2480" s="25" t="s">
        <v>77</v>
      </c>
      <c r="O2480" t="s">
        <v>26</v>
      </c>
      <c r="P2480" s="24">
        <v>39448</v>
      </c>
      <c r="Q2480" s="25" t="s">
        <v>77</v>
      </c>
      <c r="R2480" t="s">
        <v>26</v>
      </c>
      <c r="S2480" t="s">
        <v>26</v>
      </c>
      <c r="T2480" t="s">
        <v>26</v>
      </c>
      <c r="U2480" t="s">
        <v>26</v>
      </c>
      <c r="V2480" t="s">
        <v>26</v>
      </c>
      <c r="W2480" s="24">
        <v>39448</v>
      </c>
      <c r="X2480" s="25" t="s">
        <v>77</v>
      </c>
      <c r="Y2480" t="s">
        <v>26</v>
      </c>
      <c r="Z2480" s="24">
        <v>39448</v>
      </c>
      <c r="AA2480" s="25" t="s">
        <v>77</v>
      </c>
      <c r="AB2480" t="s">
        <v>26</v>
      </c>
      <c r="AC2480" s="24">
        <v>42614</v>
      </c>
      <c r="AD2480" s="25" t="s">
        <v>77</v>
      </c>
      <c r="AE2480" t="s">
        <v>26</v>
      </c>
      <c r="AF2480" t="s">
        <v>26</v>
      </c>
      <c r="AG2480" t="s">
        <v>26</v>
      </c>
      <c r="AH2480" t="s">
        <v>26</v>
      </c>
      <c r="AI2480" t="s">
        <v>26</v>
      </c>
      <c r="AJ2480" t="s">
        <v>26</v>
      </c>
      <c r="AK2480" t="s">
        <v>26</v>
      </c>
      <c r="AL2480" t="s">
        <v>26</v>
      </c>
      <c r="AM2480" t="s">
        <v>26</v>
      </c>
      <c r="AN2480" t="s">
        <v>26</v>
      </c>
      <c r="AO2480" s="25" t="s">
        <v>68</v>
      </c>
      <c r="AP2480" s="23" t="s">
        <v>69</v>
      </c>
      <c r="AQ2480" t="s">
        <v>26</v>
      </c>
      <c r="AR2480" s="23" t="s">
        <v>123</v>
      </c>
      <c r="AS2480" s="25">
        <v>1596348</v>
      </c>
      <c r="AT2480" t="s">
        <v>26</v>
      </c>
      <c r="AU2480" t="s">
        <v>25475</v>
      </c>
    </row>
    <row r="2481" spans="1:47" ht="26.25" x14ac:dyDescent="0.4">
      <c r="A2481" s="23" t="s">
        <v>6502</v>
      </c>
      <c r="B2481" t="s">
        <v>26</v>
      </c>
      <c r="C2481" s="23" t="s">
        <v>6503</v>
      </c>
      <c r="D2481" s="23" t="s">
        <v>25476</v>
      </c>
      <c r="E2481" s="23" t="s">
        <v>155</v>
      </c>
      <c r="F2481" s="25" t="s">
        <v>6504</v>
      </c>
      <c r="G2481" s="25" t="s">
        <v>6505</v>
      </c>
      <c r="H2481" t="s">
        <v>26</v>
      </c>
      <c r="I2481" s="24">
        <v>39083</v>
      </c>
      <c r="J2481" s="24">
        <v>43831</v>
      </c>
      <c r="K2481" t="s">
        <v>26</v>
      </c>
      <c r="L2481" s="25" t="s">
        <v>68</v>
      </c>
      <c r="M2481" s="24">
        <v>39083</v>
      </c>
      <c r="N2481" s="24">
        <v>43831</v>
      </c>
      <c r="O2481" t="s">
        <v>26</v>
      </c>
      <c r="P2481" s="24">
        <v>39083</v>
      </c>
      <c r="Q2481" s="24">
        <v>43831</v>
      </c>
      <c r="R2481" t="s">
        <v>26</v>
      </c>
      <c r="S2481" t="s">
        <v>26</v>
      </c>
      <c r="T2481" t="s">
        <v>26</v>
      </c>
      <c r="U2481" t="s">
        <v>26</v>
      </c>
      <c r="V2481" t="s">
        <v>26</v>
      </c>
      <c r="W2481" s="24">
        <v>39083</v>
      </c>
      <c r="X2481" s="24">
        <v>43831</v>
      </c>
      <c r="Y2481" t="s">
        <v>26</v>
      </c>
      <c r="Z2481" s="24">
        <v>39083</v>
      </c>
      <c r="AA2481" s="24">
        <v>43831</v>
      </c>
      <c r="AB2481" t="s">
        <v>26</v>
      </c>
      <c r="AC2481" s="24">
        <v>39083</v>
      </c>
      <c r="AD2481" s="24">
        <v>43831</v>
      </c>
      <c r="AE2481" t="s">
        <v>26</v>
      </c>
      <c r="AF2481" t="s">
        <v>26</v>
      </c>
      <c r="AG2481" t="s">
        <v>26</v>
      </c>
      <c r="AH2481" t="s">
        <v>26</v>
      </c>
      <c r="AI2481" t="s">
        <v>26</v>
      </c>
      <c r="AJ2481" t="s">
        <v>26</v>
      </c>
      <c r="AK2481" t="s">
        <v>26</v>
      </c>
      <c r="AL2481" t="s">
        <v>26</v>
      </c>
      <c r="AM2481" t="s">
        <v>26</v>
      </c>
      <c r="AN2481" t="s">
        <v>26</v>
      </c>
      <c r="AO2481" s="25" t="s">
        <v>68</v>
      </c>
      <c r="AP2481" s="23" t="s">
        <v>69</v>
      </c>
      <c r="AQ2481" s="23" t="s">
        <v>142</v>
      </c>
      <c r="AR2481" s="23" t="s">
        <v>46</v>
      </c>
      <c r="AS2481" s="25">
        <v>2050640</v>
      </c>
      <c r="AT2481" t="s">
        <v>26</v>
      </c>
      <c r="AU2481" t="s">
        <v>25477</v>
      </c>
    </row>
    <row r="2482" spans="1:47" ht="65.650000000000006" x14ac:dyDescent="0.4">
      <c r="A2482" s="23" t="s">
        <v>6506</v>
      </c>
      <c r="B2482" t="s">
        <v>26</v>
      </c>
      <c r="C2482" s="23" t="s">
        <v>6507</v>
      </c>
      <c r="D2482" s="23" t="s">
        <v>25222</v>
      </c>
      <c r="E2482" s="23" t="s">
        <v>328</v>
      </c>
      <c r="F2482" s="25" t="s">
        <v>6508</v>
      </c>
      <c r="G2482" s="25" t="s">
        <v>6509</v>
      </c>
      <c r="H2482" t="s">
        <v>26</v>
      </c>
      <c r="I2482" s="24">
        <v>40238</v>
      </c>
      <c r="J2482" s="25" t="s">
        <v>77</v>
      </c>
      <c r="K2482" t="s">
        <v>26</v>
      </c>
      <c r="L2482" s="25" t="s">
        <v>68</v>
      </c>
      <c r="M2482" s="24">
        <v>40238</v>
      </c>
      <c r="N2482" s="25" t="s">
        <v>77</v>
      </c>
      <c r="O2482" t="s">
        <v>26</v>
      </c>
      <c r="P2482" s="24">
        <v>40238</v>
      </c>
      <c r="Q2482" s="25" t="s">
        <v>77</v>
      </c>
      <c r="R2482" t="s">
        <v>26</v>
      </c>
      <c r="S2482" t="s">
        <v>26</v>
      </c>
      <c r="T2482" t="s">
        <v>26</v>
      </c>
      <c r="U2482" t="s">
        <v>26</v>
      </c>
      <c r="V2482" t="s">
        <v>26</v>
      </c>
      <c r="W2482" s="24">
        <v>40238</v>
      </c>
      <c r="X2482" s="25" t="s">
        <v>77</v>
      </c>
      <c r="Y2482" t="s">
        <v>26</v>
      </c>
      <c r="Z2482" s="24">
        <v>40238</v>
      </c>
      <c r="AA2482" s="25" t="s">
        <v>77</v>
      </c>
      <c r="AB2482" t="s">
        <v>26</v>
      </c>
      <c r="AC2482" s="24">
        <v>40238</v>
      </c>
      <c r="AD2482" s="25" t="s">
        <v>77</v>
      </c>
      <c r="AE2482" t="s">
        <v>26</v>
      </c>
      <c r="AF2482" t="s">
        <v>26</v>
      </c>
      <c r="AG2482" t="s">
        <v>26</v>
      </c>
      <c r="AH2482" t="s">
        <v>26</v>
      </c>
      <c r="AI2482" t="s">
        <v>26</v>
      </c>
      <c r="AJ2482" t="s">
        <v>26</v>
      </c>
      <c r="AK2482" t="s">
        <v>26</v>
      </c>
      <c r="AL2482" t="s">
        <v>26</v>
      </c>
      <c r="AM2482" t="s">
        <v>26</v>
      </c>
      <c r="AN2482" t="s">
        <v>26</v>
      </c>
      <c r="AO2482" s="25" t="s">
        <v>68</v>
      </c>
      <c r="AP2482" s="23" t="s">
        <v>69</v>
      </c>
      <c r="AQ2482" s="23" t="s">
        <v>6510</v>
      </c>
      <c r="AR2482" s="23" t="s">
        <v>70</v>
      </c>
      <c r="AS2482" s="25">
        <v>226449</v>
      </c>
      <c r="AT2482" t="s">
        <v>26</v>
      </c>
      <c r="AU2482" t="s">
        <v>25478</v>
      </c>
    </row>
    <row r="2483" spans="1:47" ht="26.25" x14ac:dyDescent="0.4">
      <c r="A2483" s="23" t="s">
        <v>6511</v>
      </c>
      <c r="B2483" t="s">
        <v>26</v>
      </c>
      <c r="C2483" s="23" t="s">
        <v>6512</v>
      </c>
      <c r="D2483" s="23" t="s">
        <v>25479</v>
      </c>
      <c r="E2483" s="23" t="s">
        <v>6513</v>
      </c>
      <c r="F2483" s="25" t="s">
        <v>6514</v>
      </c>
      <c r="G2483" s="25" t="s">
        <v>6515</v>
      </c>
      <c r="H2483" t="s">
        <v>26</v>
      </c>
      <c r="I2483" s="24">
        <v>41791</v>
      </c>
      <c r="J2483" s="25" t="s">
        <v>77</v>
      </c>
      <c r="K2483" s="25" t="s">
        <v>833</v>
      </c>
      <c r="L2483" s="25" t="s">
        <v>68</v>
      </c>
      <c r="M2483" t="s">
        <v>26</v>
      </c>
      <c r="N2483" t="s">
        <v>26</v>
      </c>
      <c r="O2483" t="s">
        <v>26</v>
      </c>
      <c r="P2483" s="24">
        <v>41791</v>
      </c>
      <c r="Q2483" s="25" t="s">
        <v>77</v>
      </c>
      <c r="R2483" s="25" t="s">
        <v>833</v>
      </c>
      <c r="S2483" t="s">
        <v>26</v>
      </c>
      <c r="T2483" t="s">
        <v>26</v>
      </c>
      <c r="U2483" t="s">
        <v>26</v>
      </c>
      <c r="V2483" t="s">
        <v>26</v>
      </c>
      <c r="W2483" s="24">
        <v>41791</v>
      </c>
      <c r="X2483" s="25" t="s">
        <v>77</v>
      </c>
      <c r="Y2483" s="25" t="s">
        <v>833</v>
      </c>
      <c r="Z2483" s="24">
        <v>41791</v>
      </c>
      <c r="AA2483" s="25" t="s">
        <v>77</v>
      </c>
      <c r="AB2483" s="25" t="s">
        <v>833</v>
      </c>
      <c r="AC2483" s="24">
        <v>41791</v>
      </c>
      <c r="AD2483" s="25" t="s">
        <v>77</v>
      </c>
      <c r="AE2483" s="25" t="s">
        <v>833</v>
      </c>
      <c r="AF2483" t="s">
        <v>26</v>
      </c>
      <c r="AG2483" t="s">
        <v>26</v>
      </c>
      <c r="AH2483" t="s">
        <v>26</v>
      </c>
      <c r="AI2483" t="s">
        <v>26</v>
      </c>
      <c r="AJ2483" t="s">
        <v>26</v>
      </c>
      <c r="AK2483" t="s">
        <v>26</v>
      </c>
      <c r="AL2483" t="s">
        <v>26</v>
      </c>
      <c r="AM2483" t="s">
        <v>26</v>
      </c>
      <c r="AN2483" t="s">
        <v>26</v>
      </c>
      <c r="AO2483" s="25" t="s">
        <v>68</v>
      </c>
      <c r="AP2483" s="23" t="s">
        <v>69</v>
      </c>
      <c r="AQ2483" s="23" t="s">
        <v>142</v>
      </c>
      <c r="AR2483" s="23" t="s">
        <v>46</v>
      </c>
      <c r="AS2483" s="25">
        <v>2036193</v>
      </c>
      <c r="AT2483" t="s">
        <v>26</v>
      </c>
      <c r="AU2483" t="s">
        <v>25480</v>
      </c>
    </row>
    <row r="2484" spans="1:47" ht="26.25" x14ac:dyDescent="0.4">
      <c r="A2484" s="23" t="s">
        <v>6516</v>
      </c>
      <c r="B2484" t="s">
        <v>26</v>
      </c>
      <c r="C2484" s="23" t="s">
        <v>6517</v>
      </c>
      <c r="D2484" s="23" t="s">
        <v>25481</v>
      </c>
      <c r="E2484" s="23" t="s">
        <v>328</v>
      </c>
      <c r="F2484" s="25" t="s">
        <v>6518</v>
      </c>
      <c r="G2484" s="25" t="s">
        <v>6519</v>
      </c>
      <c r="H2484" t="s">
        <v>26</v>
      </c>
      <c r="I2484" s="24">
        <v>39083</v>
      </c>
      <c r="J2484" s="25" t="s">
        <v>77</v>
      </c>
      <c r="K2484" t="s">
        <v>26</v>
      </c>
      <c r="L2484" s="25" t="s">
        <v>68</v>
      </c>
      <c r="M2484" s="24">
        <v>39083</v>
      </c>
      <c r="N2484" s="25" t="s">
        <v>77</v>
      </c>
      <c r="O2484" t="s">
        <v>26</v>
      </c>
      <c r="P2484" s="24">
        <v>39083</v>
      </c>
      <c r="Q2484" s="25" t="s">
        <v>77</v>
      </c>
      <c r="R2484" t="s">
        <v>26</v>
      </c>
      <c r="S2484" t="s">
        <v>26</v>
      </c>
      <c r="T2484" t="s">
        <v>26</v>
      </c>
      <c r="U2484" t="s">
        <v>26</v>
      </c>
      <c r="V2484" t="s">
        <v>26</v>
      </c>
      <c r="W2484" s="24">
        <v>39083</v>
      </c>
      <c r="X2484" s="25" t="s">
        <v>77</v>
      </c>
      <c r="Y2484" t="s">
        <v>26</v>
      </c>
      <c r="Z2484" s="24">
        <v>39083</v>
      </c>
      <c r="AA2484" s="25" t="s">
        <v>77</v>
      </c>
      <c r="AB2484" t="s">
        <v>26</v>
      </c>
      <c r="AC2484" s="24">
        <v>39083</v>
      </c>
      <c r="AD2484" s="25" t="s">
        <v>77</v>
      </c>
      <c r="AE2484" t="s">
        <v>26</v>
      </c>
      <c r="AF2484" t="s">
        <v>26</v>
      </c>
      <c r="AG2484" t="s">
        <v>26</v>
      </c>
      <c r="AH2484" t="s">
        <v>26</v>
      </c>
      <c r="AI2484" t="s">
        <v>26</v>
      </c>
      <c r="AJ2484" t="s">
        <v>26</v>
      </c>
      <c r="AK2484" t="s">
        <v>26</v>
      </c>
      <c r="AL2484" t="s">
        <v>26</v>
      </c>
      <c r="AM2484" t="s">
        <v>26</v>
      </c>
      <c r="AN2484" t="s">
        <v>26</v>
      </c>
      <c r="AO2484" s="25" t="s">
        <v>68</v>
      </c>
      <c r="AP2484" s="23" t="s">
        <v>69</v>
      </c>
      <c r="AQ2484" s="23" t="s">
        <v>331</v>
      </c>
      <c r="AR2484" s="23" t="s">
        <v>46</v>
      </c>
      <c r="AS2484" s="25">
        <v>2032549</v>
      </c>
      <c r="AT2484" t="s">
        <v>26</v>
      </c>
      <c r="AU2484" t="s">
        <v>25482</v>
      </c>
    </row>
    <row r="2485" spans="1:47" ht="26.25" x14ac:dyDescent="0.4">
      <c r="A2485" s="23" t="s">
        <v>6520</v>
      </c>
      <c r="B2485" t="s">
        <v>26</v>
      </c>
      <c r="C2485" s="23" t="s">
        <v>6521</v>
      </c>
      <c r="D2485" s="23" t="s">
        <v>25483</v>
      </c>
      <c r="E2485" s="23" t="s">
        <v>328</v>
      </c>
      <c r="F2485" s="25" t="s">
        <v>6522</v>
      </c>
      <c r="G2485" s="25" t="s">
        <v>6523</v>
      </c>
      <c r="H2485" t="s">
        <v>26</v>
      </c>
      <c r="I2485" s="24">
        <v>37622</v>
      </c>
      <c r="J2485" s="25" t="s">
        <v>77</v>
      </c>
      <c r="K2485" t="s">
        <v>26</v>
      </c>
      <c r="L2485" s="25" t="s">
        <v>68</v>
      </c>
      <c r="M2485" t="s">
        <v>26</v>
      </c>
      <c r="N2485" t="s">
        <v>26</v>
      </c>
      <c r="O2485" t="s">
        <v>26</v>
      </c>
      <c r="P2485" s="24">
        <v>37622</v>
      </c>
      <c r="Q2485" s="25" t="s">
        <v>77</v>
      </c>
      <c r="R2485" t="s">
        <v>26</v>
      </c>
      <c r="S2485" t="s">
        <v>26</v>
      </c>
      <c r="T2485" t="s">
        <v>26</v>
      </c>
      <c r="U2485" t="s">
        <v>26</v>
      </c>
      <c r="V2485" t="s">
        <v>26</v>
      </c>
      <c r="W2485" s="24">
        <v>37622</v>
      </c>
      <c r="X2485" s="25" t="s">
        <v>77</v>
      </c>
      <c r="Y2485" t="s">
        <v>26</v>
      </c>
      <c r="Z2485" s="24">
        <v>37622</v>
      </c>
      <c r="AA2485" s="25" t="s">
        <v>77</v>
      </c>
      <c r="AB2485" t="s">
        <v>26</v>
      </c>
      <c r="AC2485" s="24">
        <v>37622</v>
      </c>
      <c r="AD2485" s="25" t="s">
        <v>77</v>
      </c>
      <c r="AE2485" t="s">
        <v>26</v>
      </c>
      <c r="AF2485" t="s">
        <v>26</v>
      </c>
      <c r="AG2485" t="s">
        <v>26</v>
      </c>
      <c r="AH2485" t="s">
        <v>26</v>
      </c>
      <c r="AI2485" t="s">
        <v>26</v>
      </c>
      <c r="AJ2485" t="s">
        <v>26</v>
      </c>
      <c r="AK2485" t="s">
        <v>26</v>
      </c>
      <c r="AL2485" t="s">
        <v>26</v>
      </c>
      <c r="AM2485" t="s">
        <v>26</v>
      </c>
      <c r="AN2485" t="s">
        <v>26</v>
      </c>
      <c r="AO2485" s="25" t="s">
        <v>68</v>
      </c>
      <c r="AP2485" s="23" t="s">
        <v>69</v>
      </c>
      <c r="AQ2485" s="23" t="s">
        <v>331</v>
      </c>
      <c r="AR2485" s="23" t="s">
        <v>46</v>
      </c>
      <c r="AS2485" s="25">
        <v>2030189</v>
      </c>
      <c r="AT2485" t="s">
        <v>26</v>
      </c>
      <c r="AU2485" t="s">
        <v>25484</v>
      </c>
    </row>
    <row r="2486" spans="1:47" ht="26.25" x14ac:dyDescent="0.4">
      <c r="A2486" s="23" t="s">
        <v>6524</v>
      </c>
      <c r="B2486" t="s">
        <v>26</v>
      </c>
      <c r="C2486" s="23" t="s">
        <v>6525</v>
      </c>
      <c r="D2486" s="23" t="s">
        <v>25096</v>
      </c>
      <c r="E2486" s="23" t="s">
        <v>155</v>
      </c>
      <c r="F2486" s="25" t="s">
        <v>6526</v>
      </c>
      <c r="G2486" t="s">
        <v>26</v>
      </c>
      <c r="H2486" t="s">
        <v>26</v>
      </c>
      <c r="I2486" s="24">
        <v>40695</v>
      </c>
      <c r="J2486" s="24">
        <v>44166</v>
      </c>
      <c r="K2486" t="s">
        <v>26</v>
      </c>
      <c r="L2486" s="25" t="s">
        <v>68</v>
      </c>
      <c r="M2486" s="24">
        <v>40695</v>
      </c>
      <c r="N2486" s="24">
        <v>44166</v>
      </c>
      <c r="O2486" t="s">
        <v>26</v>
      </c>
      <c r="P2486" s="24">
        <v>40695</v>
      </c>
      <c r="Q2486" s="24">
        <v>44166</v>
      </c>
      <c r="R2486" t="s">
        <v>26</v>
      </c>
      <c r="S2486" t="s">
        <v>26</v>
      </c>
      <c r="T2486" t="s">
        <v>26</v>
      </c>
      <c r="U2486" t="s">
        <v>26</v>
      </c>
      <c r="V2486" t="s">
        <v>26</v>
      </c>
      <c r="W2486" s="24">
        <v>40695</v>
      </c>
      <c r="X2486" s="24">
        <v>44166</v>
      </c>
      <c r="Y2486" t="s">
        <v>26</v>
      </c>
      <c r="Z2486" s="24">
        <v>40695</v>
      </c>
      <c r="AA2486" s="24">
        <v>44166</v>
      </c>
      <c r="AB2486" t="s">
        <v>26</v>
      </c>
      <c r="AC2486" s="24">
        <v>42339</v>
      </c>
      <c r="AD2486" s="24">
        <v>44166</v>
      </c>
      <c r="AE2486" t="s">
        <v>26</v>
      </c>
      <c r="AF2486" t="s">
        <v>26</v>
      </c>
      <c r="AG2486" t="s">
        <v>26</v>
      </c>
      <c r="AH2486" t="s">
        <v>26</v>
      </c>
      <c r="AI2486" t="s">
        <v>26</v>
      </c>
      <c r="AJ2486" t="s">
        <v>26</v>
      </c>
      <c r="AK2486" t="s">
        <v>26</v>
      </c>
      <c r="AL2486" t="s">
        <v>26</v>
      </c>
      <c r="AM2486" t="s">
        <v>26</v>
      </c>
      <c r="AN2486" t="s">
        <v>26</v>
      </c>
      <c r="AO2486" s="25" t="s">
        <v>68</v>
      </c>
      <c r="AP2486" s="23" t="s">
        <v>69</v>
      </c>
      <c r="AQ2486" s="23" t="s">
        <v>142</v>
      </c>
      <c r="AR2486" s="23" t="s">
        <v>46</v>
      </c>
      <c r="AS2486" s="25">
        <v>1246336</v>
      </c>
      <c r="AT2486" t="s">
        <v>26</v>
      </c>
      <c r="AU2486" t="s">
        <v>25485</v>
      </c>
    </row>
    <row r="2487" spans="1:47" ht="26.25" x14ac:dyDescent="0.4">
      <c r="A2487" s="23" t="s">
        <v>6527</v>
      </c>
      <c r="B2487" t="s">
        <v>26</v>
      </c>
      <c r="C2487" s="23" t="s">
        <v>6527</v>
      </c>
      <c r="D2487" s="23" t="s">
        <v>22207</v>
      </c>
      <c r="E2487" s="23" t="s">
        <v>139</v>
      </c>
      <c r="F2487" s="25" t="s">
        <v>6528</v>
      </c>
      <c r="G2487" s="25" t="s">
        <v>6529</v>
      </c>
      <c r="H2487" t="s">
        <v>26</v>
      </c>
      <c r="I2487" s="24">
        <v>39814</v>
      </c>
      <c r="J2487" s="25" t="s">
        <v>77</v>
      </c>
      <c r="K2487" t="s">
        <v>26</v>
      </c>
      <c r="L2487" s="25" t="s">
        <v>68</v>
      </c>
      <c r="M2487" s="24">
        <v>39814</v>
      </c>
      <c r="N2487" s="25" t="s">
        <v>77</v>
      </c>
      <c r="O2487" t="s">
        <v>26</v>
      </c>
      <c r="P2487" s="24">
        <v>39814</v>
      </c>
      <c r="Q2487" s="25" t="s">
        <v>77</v>
      </c>
      <c r="R2487" t="s">
        <v>26</v>
      </c>
      <c r="S2487" t="s">
        <v>26</v>
      </c>
      <c r="T2487" t="s">
        <v>26</v>
      </c>
      <c r="U2487" t="s">
        <v>26</v>
      </c>
      <c r="V2487" t="s">
        <v>26</v>
      </c>
      <c r="W2487" s="24">
        <v>39814</v>
      </c>
      <c r="X2487" s="25" t="s">
        <v>77</v>
      </c>
      <c r="Y2487" t="s">
        <v>26</v>
      </c>
      <c r="Z2487" s="24">
        <v>39814</v>
      </c>
      <c r="AA2487" s="25" t="s">
        <v>77</v>
      </c>
      <c r="AB2487" t="s">
        <v>26</v>
      </c>
      <c r="AC2487" s="24">
        <v>39814</v>
      </c>
      <c r="AD2487" s="25" t="s">
        <v>77</v>
      </c>
      <c r="AE2487" t="s">
        <v>26</v>
      </c>
      <c r="AF2487" t="s">
        <v>26</v>
      </c>
      <c r="AG2487" t="s">
        <v>26</v>
      </c>
      <c r="AH2487" t="s">
        <v>26</v>
      </c>
      <c r="AI2487" t="s">
        <v>26</v>
      </c>
      <c r="AJ2487" t="s">
        <v>26</v>
      </c>
      <c r="AK2487" t="s">
        <v>26</v>
      </c>
      <c r="AL2487" t="s">
        <v>26</v>
      </c>
      <c r="AM2487" t="s">
        <v>26</v>
      </c>
      <c r="AN2487" t="s">
        <v>26</v>
      </c>
      <c r="AO2487" s="25" t="s">
        <v>68</v>
      </c>
      <c r="AP2487" s="23" t="s">
        <v>69</v>
      </c>
      <c r="AQ2487" s="23" t="s">
        <v>142</v>
      </c>
      <c r="AR2487" s="23" t="s">
        <v>6530</v>
      </c>
      <c r="AS2487" s="25">
        <v>796384</v>
      </c>
      <c r="AT2487" t="s">
        <v>26</v>
      </c>
      <c r="AU2487" t="s">
        <v>25486</v>
      </c>
    </row>
    <row r="2488" spans="1:47" ht="26.25" x14ac:dyDescent="0.4">
      <c r="A2488" s="23" t="s">
        <v>6531</v>
      </c>
      <c r="B2488" t="s">
        <v>26</v>
      </c>
      <c r="C2488" t="s">
        <v>26</v>
      </c>
      <c r="D2488" s="23" t="s">
        <v>22207</v>
      </c>
      <c r="E2488" t="s">
        <v>26</v>
      </c>
      <c r="F2488" s="25" t="s">
        <v>6532</v>
      </c>
      <c r="G2488" t="s">
        <v>26</v>
      </c>
      <c r="H2488" t="s">
        <v>26</v>
      </c>
      <c r="I2488" s="24">
        <v>42675</v>
      </c>
      <c r="J2488" s="25" t="s">
        <v>77</v>
      </c>
      <c r="K2488" t="s">
        <v>26</v>
      </c>
      <c r="L2488" s="25" t="s">
        <v>68</v>
      </c>
      <c r="M2488" s="24">
        <v>42675</v>
      </c>
      <c r="N2488" s="25" t="s">
        <v>77</v>
      </c>
      <c r="O2488" t="s">
        <v>26</v>
      </c>
      <c r="P2488" s="24">
        <v>42675</v>
      </c>
      <c r="Q2488" s="25" t="s">
        <v>77</v>
      </c>
      <c r="R2488" t="s">
        <v>26</v>
      </c>
      <c r="S2488" t="s">
        <v>26</v>
      </c>
      <c r="T2488" t="s">
        <v>26</v>
      </c>
      <c r="U2488" t="s">
        <v>26</v>
      </c>
      <c r="V2488" t="s">
        <v>26</v>
      </c>
      <c r="W2488" s="24">
        <v>42675</v>
      </c>
      <c r="X2488" s="25" t="s">
        <v>77</v>
      </c>
      <c r="Y2488" t="s">
        <v>26</v>
      </c>
      <c r="Z2488" s="24">
        <v>42675</v>
      </c>
      <c r="AA2488" s="25" t="s">
        <v>77</v>
      </c>
      <c r="AB2488" t="s">
        <v>26</v>
      </c>
      <c r="AC2488" s="24">
        <v>42675</v>
      </c>
      <c r="AD2488" s="25" t="s">
        <v>77</v>
      </c>
      <c r="AE2488" t="s">
        <v>26</v>
      </c>
      <c r="AF2488" t="s">
        <v>26</v>
      </c>
      <c r="AG2488" t="s">
        <v>26</v>
      </c>
      <c r="AH2488" t="s">
        <v>26</v>
      </c>
      <c r="AI2488" t="s">
        <v>26</v>
      </c>
      <c r="AJ2488" t="s">
        <v>26</v>
      </c>
      <c r="AK2488" t="s">
        <v>26</v>
      </c>
      <c r="AL2488" t="s">
        <v>26</v>
      </c>
      <c r="AM2488" t="s">
        <v>26</v>
      </c>
      <c r="AN2488" t="s">
        <v>26</v>
      </c>
      <c r="AO2488" s="25" t="s">
        <v>68</v>
      </c>
      <c r="AP2488" s="23" t="s">
        <v>69</v>
      </c>
      <c r="AQ2488" s="23" t="s">
        <v>142</v>
      </c>
      <c r="AR2488" s="23" t="s">
        <v>499</v>
      </c>
      <c r="AS2488" s="25">
        <v>4852144</v>
      </c>
      <c r="AT2488" t="s">
        <v>26</v>
      </c>
      <c r="AU2488" t="s">
        <v>25487</v>
      </c>
    </row>
    <row r="2489" spans="1:47" ht="39.4" x14ac:dyDescent="0.4">
      <c r="A2489" s="23" t="s">
        <v>6533</v>
      </c>
      <c r="B2489" t="s">
        <v>26</v>
      </c>
      <c r="C2489" s="23" t="s">
        <v>6534</v>
      </c>
      <c r="D2489" s="23" t="s">
        <v>22428</v>
      </c>
      <c r="E2489" s="23" t="s">
        <v>139</v>
      </c>
      <c r="F2489" s="25" t="s">
        <v>6535</v>
      </c>
      <c r="G2489" s="25" t="s">
        <v>6536</v>
      </c>
      <c r="H2489" t="s">
        <v>26</v>
      </c>
      <c r="I2489" s="24">
        <v>33604</v>
      </c>
      <c r="J2489" s="25" t="s">
        <v>77</v>
      </c>
      <c r="K2489" t="s">
        <v>26</v>
      </c>
      <c r="L2489" s="25" t="s">
        <v>68</v>
      </c>
      <c r="M2489" t="s">
        <v>26</v>
      </c>
      <c r="N2489" t="s">
        <v>26</v>
      </c>
      <c r="O2489" t="s">
        <v>26</v>
      </c>
      <c r="P2489" s="24">
        <v>33604</v>
      </c>
      <c r="Q2489" s="25" t="s">
        <v>77</v>
      </c>
      <c r="R2489" t="s">
        <v>26</v>
      </c>
      <c r="S2489" t="s">
        <v>26</v>
      </c>
      <c r="T2489" t="s">
        <v>26</v>
      </c>
      <c r="U2489" t="s">
        <v>26</v>
      </c>
      <c r="V2489" t="s">
        <v>26</v>
      </c>
      <c r="W2489" s="24">
        <v>33604</v>
      </c>
      <c r="X2489" s="25" t="s">
        <v>77</v>
      </c>
      <c r="Y2489" t="s">
        <v>26</v>
      </c>
      <c r="Z2489" s="24">
        <v>33604</v>
      </c>
      <c r="AA2489" s="25" t="s">
        <v>77</v>
      </c>
      <c r="AB2489" t="s">
        <v>26</v>
      </c>
      <c r="AC2489" s="24">
        <v>33970</v>
      </c>
      <c r="AD2489" s="25" t="s">
        <v>77</v>
      </c>
      <c r="AE2489" s="25" t="s">
        <v>262</v>
      </c>
      <c r="AF2489" t="s">
        <v>26</v>
      </c>
      <c r="AG2489" t="s">
        <v>26</v>
      </c>
      <c r="AH2489" t="s">
        <v>26</v>
      </c>
      <c r="AI2489" t="s">
        <v>26</v>
      </c>
      <c r="AJ2489" t="s">
        <v>26</v>
      </c>
      <c r="AK2489" t="s">
        <v>26</v>
      </c>
      <c r="AL2489" t="s">
        <v>26</v>
      </c>
      <c r="AM2489" t="s">
        <v>26</v>
      </c>
      <c r="AN2489" t="s">
        <v>26</v>
      </c>
      <c r="AO2489" s="25" t="s">
        <v>68</v>
      </c>
      <c r="AP2489" s="23" t="s">
        <v>69</v>
      </c>
      <c r="AQ2489" s="23" t="s">
        <v>226</v>
      </c>
      <c r="AR2489" s="23" t="s">
        <v>6537</v>
      </c>
      <c r="AS2489" s="25">
        <v>4385535</v>
      </c>
      <c r="AT2489" t="s">
        <v>26</v>
      </c>
      <c r="AU2489" t="s">
        <v>25488</v>
      </c>
    </row>
    <row r="2490" spans="1:47" ht="26.25" x14ac:dyDescent="0.4">
      <c r="A2490" s="23" t="s">
        <v>6538</v>
      </c>
      <c r="B2490" t="s">
        <v>26</v>
      </c>
      <c r="C2490" s="23" t="s">
        <v>6539</v>
      </c>
      <c r="D2490" s="23" t="s">
        <v>24749</v>
      </c>
      <c r="E2490" s="23" t="s">
        <v>5124</v>
      </c>
      <c r="F2490" s="25" t="s">
        <v>6540</v>
      </c>
      <c r="G2490" s="25" t="s">
        <v>6541</v>
      </c>
      <c r="H2490" t="s">
        <v>26</v>
      </c>
      <c r="I2490" s="24">
        <v>37257</v>
      </c>
      <c r="J2490" s="25" t="s">
        <v>77</v>
      </c>
      <c r="K2490" t="s">
        <v>26</v>
      </c>
      <c r="L2490" s="25" t="s">
        <v>68</v>
      </c>
      <c r="M2490" t="s">
        <v>26</v>
      </c>
      <c r="N2490" t="s">
        <v>26</v>
      </c>
      <c r="O2490" t="s">
        <v>26</v>
      </c>
      <c r="P2490" s="24">
        <v>37257</v>
      </c>
      <c r="Q2490" s="25" t="s">
        <v>77</v>
      </c>
      <c r="R2490" t="s">
        <v>26</v>
      </c>
      <c r="S2490" t="s">
        <v>26</v>
      </c>
      <c r="T2490" t="s">
        <v>26</v>
      </c>
      <c r="U2490" t="s">
        <v>26</v>
      </c>
      <c r="V2490" t="s">
        <v>26</v>
      </c>
      <c r="W2490" s="24">
        <v>37257</v>
      </c>
      <c r="X2490" s="25" t="s">
        <v>77</v>
      </c>
      <c r="Y2490" t="s">
        <v>26</v>
      </c>
      <c r="Z2490" s="24">
        <v>37257</v>
      </c>
      <c r="AA2490" s="25" t="s">
        <v>77</v>
      </c>
      <c r="AB2490" t="s">
        <v>26</v>
      </c>
      <c r="AC2490" s="24">
        <v>37257</v>
      </c>
      <c r="AD2490" s="25" t="s">
        <v>77</v>
      </c>
      <c r="AE2490" t="s">
        <v>26</v>
      </c>
      <c r="AF2490" t="s">
        <v>26</v>
      </c>
      <c r="AG2490" t="s">
        <v>26</v>
      </c>
      <c r="AH2490" t="s">
        <v>26</v>
      </c>
      <c r="AI2490" t="s">
        <v>26</v>
      </c>
      <c r="AJ2490" t="s">
        <v>26</v>
      </c>
      <c r="AK2490" t="s">
        <v>26</v>
      </c>
      <c r="AL2490" t="s">
        <v>26</v>
      </c>
      <c r="AM2490" t="s">
        <v>26</v>
      </c>
      <c r="AN2490" t="s">
        <v>26</v>
      </c>
      <c r="AO2490" s="25" t="s">
        <v>68</v>
      </c>
      <c r="AP2490" s="23" t="s">
        <v>69</v>
      </c>
      <c r="AQ2490" s="23" t="s">
        <v>142</v>
      </c>
      <c r="AR2490" s="23" t="s">
        <v>46</v>
      </c>
      <c r="AS2490" s="25">
        <v>5854954</v>
      </c>
      <c r="AT2490" t="s">
        <v>26</v>
      </c>
      <c r="AU2490" t="s">
        <v>25489</v>
      </c>
    </row>
    <row r="2491" spans="1:47" ht="26.25" x14ac:dyDescent="0.4">
      <c r="A2491" s="23" t="s">
        <v>6542</v>
      </c>
      <c r="B2491" t="s">
        <v>26</v>
      </c>
      <c r="C2491" s="23" t="s">
        <v>138</v>
      </c>
      <c r="D2491" s="23" t="s">
        <v>22207</v>
      </c>
      <c r="E2491" s="23" t="s">
        <v>139</v>
      </c>
      <c r="F2491" s="25" t="s">
        <v>6543</v>
      </c>
      <c r="G2491" s="25" t="s">
        <v>6544</v>
      </c>
      <c r="H2491" t="s">
        <v>26</v>
      </c>
      <c r="I2491" s="24">
        <v>35065</v>
      </c>
      <c r="J2491" s="25" t="s">
        <v>77</v>
      </c>
      <c r="K2491" t="s">
        <v>26</v>
      </c>
      <c r="L2491" s="25" t="s">
        <v>68</v>
      </c>
      <c r="M2491" s="24">
        <v>35065</v>
      </c>
      <c r="N2491" s="25" t="s">
        <v>77</v>
      </c>
      <c r="O2491" t="s">
        <v>26</v>
      </c>
      <c r="P2491" s="24">
        <v>35065</v>
      </c>
      <c r="Q2491" s="25" t="s">
        <v>77</v>
      </c>
      <c r="R2491" t="s">
        <v>26</v>
      </c>
      <c r="S2491" t="s">
        <v>26</v>
      </c>
      <c r="T2491" t="s">
        <v>26</v>
      </c>
      <c r="U2491" t="s">
        <v>26</v>
      </c>
      <c r="V2491" t="s">
        <v>26</v>
      </c>
      <c r="W2491" s="24">
        <v>35065</v>
      </c>
      <c r="X2491" s="25" t="s">
        <v>77</v>
      </c>
      <c r="Y2491" t="s">
        <v>26</v>
      </c>
      <c r="Z2491" s="24">
        <v>35065</v>
      </c>
      <c r="AA2491" s="25" t="s">
        <v>77</v>
      </c>
      <c r="AB2491" t="s">
        <v>26</v>
      </c>
      <c r="AC2491" s="24">
        <v>42370</v>
      </c>
      <c r="AD2491" s="25" t="s">
        <v>77</v>
      </c>
      <c r="AE2491" t="s">
        <v>26</v>
      </c>
      <c r="AF2491" t="s">
        <v>26</v>
      </c>
      <c r="AG2491" t="s">
        <v>26</v>
      </c>
      <c r="AH2491" t="s">
        <v>26</v>
      </c>
      <c r="AI2491" t="s">
        <v>26</v>
      </c>
      <c r="AJ2491" t="s">
        <v>26</v>
      </c>
      <c r="AK2491" t="s">
        <v>26</v>
      </c>
      <c r="AL2491" t="s">
        <v>26</v>
      </c>
      <c r="AM2491" t="s">
        <v>26</v>
      </c>
      <c r="AN2491" t="s">
        <v>26</v>
      </c>
      <c r="AO2491" s="25" t="s">
        <v>68</v>
      </c>
      <c r="AP2491" s="23" t="s">
        <v>69</v>
      </c>
      <c r="AQ2491" t="s">
        <v>26</v>
      </c>
      <c r="AR2491" s="23" t="s">
        <v>46</v>
      </c>
      <c r="AS2491" s="25">
        <v>1596351</v>
      </c>
      <c r="AT2491" t="s">
        <v>26</v>
      </c>
      <c r="AU2491" t="s">
        <v>25490</v>
      </c>
    </row>
    <row r="2492" spans="1:47" ht="39.4" x14ac:dyDescent="0.4">
      <c r="A2492" s="23" t="s">
        <v>6545</v>
      </c>
      <c r="B2492" t="s">
        <v>26</v>
      </c>
      <c r="C2492" s="23" t="s">
        <v>6546</v>
      </c>
      <c r="D2492" s="23" t="s">
        <v>25491</v>
      </c>
      <c r="E2492" s="23" t="s">
        <v>139</v>
      </c>
      <c r="F2492" s="25" t="s">
        <v>6547</v>
      </c>
      <c r="G2492" s="25" t="s">
        <v>6548</v>
      </c>
      <c r="H2492" t="s">
        <v>26</v>
      </c>
      <c r="I2492" s="24">
        <v>40179</v>
      </c>
      <c r="J2492" s="25" t="s">
        <v>77</v>
      </c>
      <c r="K2492" t="s">
        <v>26</v>
      </c>
      <c r="L2492" s="25" t="s">
        <v>68</v>
      </c>
      <c r="M2492" s="24">
        <v>40179</v>
      </c>
      <c r="N2492" s="25" t="s">
        <v>77</v>
      </c>
      <c r="O2492" t="s">
        <v>26</v>
      </c>
      <c r="P2492" s="24">
        <v>40179</v>
      </c>
      <c r="Q2492" s="25" t="s">
        <v>77</v>
      </c>
      <c r="R2492" t="s">
        <v>26</v>
      </c>
      <c r="S2492" t="s">
        <v>26</v>
      </c>
      <c r="T2492" t="s">
        <v>26</v>
      </c>
      <c r="U2492" t="s">
        <v>26</v>
      </c>
      <c r="V2492" t="s">
        <v>26</v>
      </c>
      <c r="W2492" s="24">
        <v>40179</v>
      </c>
      <c r="X2492" s="25" t="s">
        <v>77</v>
      </c>
      <c r="Y2492" t="s">
        <v>26</v>
      </c>
      <c r="Z2492" s="24">
        <v>40179</v>
      </c>
      <c r="AA2492" s="25" t="s">
        <v>77</v>
      </c>
      <c r="AB2492" t="s">
        <v>26</v>
      </c>
      <c r="AC2492" s="24">
        <v>42736</v>
      </c>
      <c r="AD2492" s="25" t="s">
        <v>77</v>
      </c>
      <c r="AE2492" t="s">
        <v>26</v>
      </c>
      <c r="AF2492" t="s">
        <v>26</v>
      </c>
      <c r="AG2492" t="s">
        <v>26</v>
      </c>
      <c r="AH2492" t="s">
        <v>26</v>
      </c>
      <c r="AI2492" t="s">
        <v>26</v>
      </c>
      <c r="AJ2492" t="s">
        <v>26</v>
      </c>
      <c r="AK2492" t="s">
        <v>26</v>
      </c>
      <c r="AL2492" t="s">
        <v>26</v>
      </c>
      <c r="AM2492" t="s">
        <v>26</v>
      </c>
      <c r="AN2492" t="s">
        <v>26</v>
      </c>
      <c r="AO2492" s="25" t="s">
        <v>68</v>
      </c>
      <c r="AP2492" s="23" t="s">
        <v>69</v>
      </c>
      <c r="AQ2492" s="23" t="s">
        <v>226</v>
      </c>
      <c r="AR2492" s="23" t="s">
        <v>46</v>
      </c>
      <c r="AS2492" s="25">
        <v>2026618</v>
      </c>
      <c r="AT2492" t="s">
        <v>26</v>
      </c>
      <c r="AU2492" t="s">
        <v>25492</v>
      </c>
    </row>
    <row r="2493" spans="1:47" ht="26.25" x14ac:dyDescent="0.4">
      <c r="A2493" s="23" t="s">
        <v>6549</v>
      </c>
      <c r="B2493" t="s">
        <v>26</v>
      </c>
      <c r="C2493" s="23" t="s">
        <v>6550</v>
      </c>
      <c r="D2493" s="23" t="s">
        <v>23493</v>
      </c>
      <c r="E2493" s="23" t="s">
        <v>3513</v>
      </c>
      <c r="F2493" s="25" t="s">
        <v>6551</v>
      </c>
      <c r="G2493" s="25" t="s">
        <v>6552</v>
      </c>
      <c r="H2493" t="s">
        <v>26</v>
      </c>
      <c r="I2493" t="s">
        <v>26</v>
      </c>
      <c r="J2493" t="s">
        <v>26</v>
      </c>
      <c r="K2493" t="s">
        <v>26</v>
      </c>
      <c r="L2493" s="25" t="s">
        <v>68</v>
      </c>
      <c r="M2493" t="s">
        <v>26</v>
      </c>
      <c r="N2493" t="s">
        <v>26</v>
      </c>
      <c r="O2493" t="s">
        <v>26</v>
      </c>
      <c r="P2493" t="s">
        <v>26</v>
      </c>
      <c r="Q2493" t="s">
        <v>26</v>
      </c>
      <c r="R2493" t="s">
        <v>26</v>
      </c>
      <c r="S2493" t="s">
        <v>26</v>
      </c>
      <c r="T2493" t="s">
        <v>26</v>
      </c>
      <c r="U2493" t="s">
        <v>26</v>
      </c>
      <c r="V2493" t="s">
        <v>26</v>
      </c>
      <c r="W2493" s="24">
        <v>40452</v>
      </c>
      <c r="X2493" s="24">
        <v>42826</v>
      </c>
      <c r="Y2493" t="s">
        <v>26</v>
      </c>
      <c r="Z2493" s="24">
        <v>40452</v>
      </c>
      <c r="AA2493" s="24">
        <v>42826</v>
      </c>
      <c r="AB2493" t="s">
        <v>26</v>
      </c>
      <c r="AC2493" s="24">
        <v>42826</v>
      </c>
      <c r="AD2493" s="24">
        <v>42826</v>
      </c>
      <c r="AE2493" t="s">
        <v>26</v>
      </c>
      <c r="AF2493" t="s">
        <v>26</v>
      </c>
      <c r="AG2493" t="s">
        <v>26</v>
      </c>
      <c r="AH2493" t="s">
        <v>26</v>
      </c>
      <c r="AI2493" t="s">
        <v>26</v>
      </c>
      <c r="AJ2493" t="s">
        <v>26</v>
      </c>
      <c r="AK2493" t="s">
        <v>26</v>
      </c>
      <c r="AL2493" t="s">
        <v>26</v>
      </c>
      <c r="AM2493" t="s">
        <v>26</v>
      </c>
      <c r="AN2493" t="s">
        <v>26</v>
      </c>
      <c r="AO2493" s="25" t="s">
        <v>28</v>
      </c>
      <c r="AP2493" s="23" t="s">
        <v>69</v>
      </c>
      <c r="AQ2493" t="s">
        <v>26</v>
      </c>
      <c r="AR2493" s="23" t="s">
        <v>257</v>
      </c>
      <c r="AS2493" s="25">
        <v>276215</v>
      </c>
      <c r="AT2493" t="s">
        <v>26</v>
      </c>
      <c r="AU2493" t="s">
        <v>25493</v>
      </c>
    </row>
    <row r="2494" spans="1:47" ht="26.25" x14ac:dyDescent="0.4">
      <c r="A2494" s="23" t="s">
        <v>6553</v>
      </c>
      <c r="B2494" t="s">
        <v>26</v>
      </c>
      <c r="C2494" s="23" t="s">
        <v>22803</v>
      </c>
      <c r="D2494" t="s">
        <v>26</v>
      </c>
      <c r="E2494" s="23" t="s">
        <v>42</v>
      </c>
      <c r="F2494" t="s">
        <v>26</v>
      </c>
      <c r="G2494" t="s">
        <v>26</v>
      </c>
      <c r="H2494" t="s">
        <v>26</v>
      </c>
      <c r="I2494" s="24">
        <v>20821</v>
      </c>
      <c r="J2494" s="24">
        <v>36161</v>
      </c>
      <c r="K2494" t="s">
        <v>26</v>
      </c>
      <c r="L2494" s="25" t="s">
        <v>28</v>
      </c>
      <c r="M2494" s="24">
        <v>20821</v>
      </c>
      <c r="N2494" s="24">
        <v>36161</v>
      </c>
      <c r="O2494" t="s">
        <v>26</v>
      </c>
      <c r="P2494" s="24">
        <v>20821</v>
      </c>
      <c r="Q2494" s="24">
        <v>36161</v>
      </c>
      <c r="R2494" t="s">
        <v>26</v>
      </c>
      <c r="S2494" t="s">
        <v>26</v>
      </c>
      <c r="T2494" t="s">
        <v>26</v>
      </c>
      <c r="U2494" t="s">
        <v>26</v>
      </c>
      <c r="V2494" t="s">
        <v>26</v>
      </c>
      <c r="W2494" s="24">
        <v>20821</v>
      </c>
      <c r="X2494" s="24">
        <v>36161</v>
      </c>
      <c r="Y2494" t="s">
        <v>26</v>
      </c>
      <c r="Z2494" s="24">
        <v>20821</v>
      </c>
      <c r="AA2494" s="24">
        <v>36161</v>
      </c>
      <c r="AB2494" t="s">
        <v>26</v>
      </c>
      <c r="AC2494" t="s">
        <v>26</v>
      </c>
      <c r="AD2494" t="s">
        <v>26</v>
      </c>
      <c r="AE2494" t="s">
        <v>26</v>
      </c>
      <c r="AF2494" t="s">
        <v>26</v>
      </c>
      <c r="AG2494" t="s">
        <v>26</v>
      </c>
      <c r="AH2494" t="s">
        <v>26</v>
      </c>
      <c r="AI2494" t="s">
        <v>26</v>
      </c>
      <c r="AJ2494" t="s">
        <v>26</v>
      </c>
      <c r="AK2494" t="s">
        <v>26</v>
      </c>
      <c r="AL2494" t="s">
        <v>26</v>
      </c>
      <c r="AM2494" t="s">
        <v>26</v>
      </c>
      <c r="AN2494" t="s">
        <v>26</v>
      </c>
      <c r="AO2494" s="25" t="s">
        <v>28</v>
      </c>
      <c r="AP2494" s="23" t="s">
        <v>45</v>
      </c>
      <c r="AQ2494" s="23" t="s">
        <v>30</v>
      </c>
      <c r="AR2494" s="23" t="s">
        <v>46</v>
      </c>
      <c r="AS2494" s="25">
        <v>5643029</v>
      </c>
      <c r="AT2494" t="s">
        <v>26</v>
      </c>
      <c r="AU2494" t="s">
        <v>25494</v>
      </c>
    </row>
    <row r="2495" spans="1:47" ht="26.25" x14ac:dyDescent="0.4">
      <c r="A2495" s="23" t="s">
        <v>6554</v>
      </c>
      <c r="B2495" t="s">
        <v>26</v>
      </c>
      <c r="C2495" s="23" t="s">
        <v>146</v>
      </c>
      <c r="D2495" s="23" t="s">
        <v>22174</v>
      </c>
      <c r="E2495" s="23" t="s">
        <v>60</v>
      </c>
      <c r="F2495" t="s">
        <v>26</v>
      </c>
      <c r="G2495" t="s">
        <v>26</v>
      </c>
      <c r="H2495" t="s">
        <v>26</v>
      </c>
      <c r="I2495" s="24">
        <v>42370</v>
      </c>
      <c r="J2495" s="24">
        <v>42370</v>
      </c>
      <c r="K2495" t="s">
        <v>26</v>
      </c>
      <c r="L2495" s="25" t="s">
        <v>28</v>
      </c>
      <c r="M2495" t="s">
        <v>26</v>
      </c>
      <c r="N2495" t="s">
        <v>26</v>
      </c>
      <c r="O2495" t="s">
        <v>26</v>
      </c>
      <c r="P2495" s="24">
        <v>42370</v>
      </c>
      <c r="Q2495" s="24">
        <v>42370</v>
      </c>
      <c r="R2495" t="s">
        <v>26</v>
      </c>
      <c r="S2495" t="s">
        <v>26</v>
      </c>
      <c r="T2495" t="s">
        <v>26</v>
      </c>
      <c r="U2495" t="s">
        <v>26</v>
      </c>
      <c r="V2495" t="s">
        <v>26</v>
      </c>
      <c r="W2495" s="24">
        <v>42370</v>
      </c>
      <c r="X2495" s="24">
        <v>42370</v>
      </c>
      <c r="Y2495" t="s">
        <v>26</v>
      </c>
      <c r="Z2495" s="24">
        <v>42370</v>
      </c>
      <c r="AA2495" s="24">
        <v>42370</v>
      </c>
      <c r="AB2495" t="s">
        <v>26</v>
      </c>
      <c r="AC2495" s="24">
        <v>42370</v>
      </c>
      <c r="AD2495" s="24">
        <v>42370</v>
      </c>
      <c r="AE2495" t="s">
        <v>26</v>
      </c>
      <c r="AF2495" t="s">
        <v>26</v>
      </c>
      <c r="AG2495" t="s">
        <v>26</v>
      </c>
      <c r="AH2495" t="s">
        <v>26</v>
      </c>
      <c r="AI2495" t="s">
        <v>26</v>
      </c>
      <c r="AJ2495" t="s">
        <v>26</v>
      </c>
      <c r="AK2495" t="s">
        <v>26</v>
      </c>
      <c r="AL2495" t="s">
        <v>26</v>
      </c>
      <c r="AM2495" t="s">
        <v>26</v>
      </c>
      <c r="AN2495" t="s">
        <v>26</v>
      </c>
      <c r="AO2495" s="25" t="s">
        <v>28</v>
      </c>
      <c r="AP2495" s="23" t="s">
        <v>29</v>
      </c>
      <c r="AQ2495" s="23" t="s">
        <v>30</v>
      </c>
      <c r="AR2495" s="23" t="s">
        <v>46</v>
      </c>
      <c r="AS2495" s="25">
        <v>6059458</v>
      </c>
      <c r="AT2495" t="s">
        <v>26</v>
      </c>
      <c r="AU2495" t="s">
        <v>25495</v>
      </c>
    </row>
    <row r="2496" spans="1:47" ht="26.25" x14ac:dyDescent="0.4">
      <c r="A2496" s="23" t="s">
        <v>6555</v>
      </c>
      <c r="B2496" t="s">
        <v>26</v>
      </c>
      <c r="C2496" t="s">
        <v>26</v>
      </c>
      <c r="D2496" s="23" t="s">
        <v>25496</v>
      </c>
      <c r="E2496" t="s">
        <v>26</v>
      </c>
      <c r="F2496" t="s">
        <v>26</v>
      </c>
      <c r="G2496" t="s">
        <v>26</v>
      </c>
      <c r="H2496" t="s">
        <v>26</v>
      </c>
      <c r="I2496" s="24">
        <v>26299</v>
      </c>
      <c r="J2496" s="24">
        <v>28126</v>
      </c>
      <c r="K2496" t="s">
        <v>26</v>
      </c>
      <c r="L2496" s="25" t="s">
        <v>28</v>
      </c>
      <c r="M2496" s="24">
        <v>26299</v>
      </c>
      <c r="N2496" s="24">
        <v>28126</v>
      </c>
      <c r="O2496" t="s">
        <v>26</v>
      </c>
      <c r="P2496" t="s">
        <v>26</v>
      </c>
      <c r="Q2496" t="s">
        <v>26</v>
      </c>
      <c r="R2496" t="s">
        <v>26</v>
      </c>
      <c r="S2496" s="24">
        <v>26299</v>
      </c>
      <c r="T2496" s="24">
        <v>28126</v>
      </c>
      <c r="U2496" t="s">
        <v>26</v>
      </c>
      <c r="V2496" t="s">
        <v>26</v>
      </c>
      <c r="W2496" s="24">
        <v>26299</v>
      </c>
      <c r="X2496" s="24">
        <v>28126</v>
      </c>
      <c r="Y2496" t="s">
        <v>26</v>
      </c>
      <c r="Z2496" s="24">
        <v>26299</v>
      </c>
      <c r="AA2496" s="24">
        <v>28126</v>
      </c>
      <c r="AB2496" t="s">
        <v>26</v>
      </c>
      <c r="AC2496" s="24">
        <v>26299</v>
      </c>
      <c r="AD2496" s="24">
        <v>28126</v>
      </c>
      <c r="AE2496" t="s">
        <v>26</v>
      </c>
      <c r="AF2496" s="24">
        <v>26299</v>
      </c>
      <c r="AG2496" s="24">
        <v>28126</v>
      </c>
      <c r="AH2496" t="s">
        <v>26</v>
      </c>
      <c r="AI2496" s="24">
        <v>26299</v>
      </c>
      <c r="AJ2496" s="24">
        <v>28126</v>
      </c>
      <c r="AK2496" t="s">
        <v>26</v>
      </c>
      <c r="AL2496" t="s">
        <v>26</v>
      </c>
      <c r="AM2496" t="s">
        <v>26</v>
      </c>
      <c r="AN2496" t="s">
        <v>26</v>
      </c>
      <c r="AO2496" s="25" t="s">
        <v>28</v>
      </c>
      <c r="AP2496" s="23" t="s">
        <v>43</v>
      </c>
      <c r="AQ2496" s="23" t="s">
        <v>30</v>
      </c>
      <c r="AR2496" s="23" t="s">
        <v>46</v>
      </c>
      <c r="AS2496" s="25">
        <v>6364603</v>
      </c>
      <c r="AT2496" t="s">
        <v>26</v>
      </c>
      <c r="AU2496" t="s">
        <v>25497</v>
      </c>
    </row>
    <row r="2497" spans="1:47" ht="26.25" x14ac:dyDescent="0.4">
      <c r="A2497" s="23" t="s">
        <v>6556</v>
      </c>
      <c r="B2497" t="s">
        <v>26</v>
      </c>
      <c r="C2497" s="23" t="s">
        <v>6557</v>
      </c>
      <c r="D2497" s="23" t="s">
        <v>25498</v>
      </c>
      <c r="E2497" s="23" t="s">
        <v>42</v>
      </c>
      <c r="F2497" t="s">
        <v>26</v>
      </c>
      <c r="G2497" t="s">
        <v>26</v>
      </c>
      <c r="H2497" t="s">
        <v>26</v>
      </c>
      <c r="I2497" s="24">
        <v>32143</v>
      </c>
      <c r="J2497" s="24">
        <v>32143</v>
      </c>
      <c r="K2497" t="s">
        <v>26</v>
      </c>
      <c r="L2497" s="25" t="s">
        <v>28</v>
      </c>
      <c r="M2497" t="s">
        <v>26</v>
      </c>
      <c r="N2497" t="s">
        <v>26</v>
      </c>
      <c r="O2497" t="s">
        <v>26</v>
      </c>
      <c r="P2497" s="24">
        <v>32143</v>
      </c>
      <c r="Q2497" s="24">
        <v>32143</v>
      </c>
      <c r="R2497" t="s">
        <v>26</v>
      </c>
      <c r="S2497" t="s">
        <v>26</v>
      </c>
      <c r="T2497" t="s">
        <v>26</v>
      </c>
      <c r="U2497" t="s">
        <v>26</v>
      </c>
      <c r="V2497" t="s">
        <v>26</v>
      </c>
      <c r="W2497" s="24">
        <v>32143</v>
      </c>
      <c r="X2497" s="24">
        <v>32143</v>
      </c>
      <c r="Y2497" t="s">
        <v>26</v>
      </c>
      <c r="Z2497" s="24">
        <v>32143</v>
      </c>
      <c r="AA2497" s="24">
        <v>32143</v>
      </c>
      <c r="AB2497" t="s">
        <v>26</v>
      </c>
      <c r="AC2497" t="s">
        <v>26</v>
      </c>
      <c r="AD2497" t="s">
        <v>26</v>
      </c>
      <c r="AE2497" t="s">
        <v>26</v>
      </c>
      <c r="AF2497" t="s">
        <v>26</v>
      </c>
      <c r="AG2497" t="s">
        <v>26</v>
      </c>
      <c r="AH2497" t="s">
        <v>26</v>
      </c>
      <c r="AI2497" t="s">
        <v>26</v>
      </c>
      <c r="AJ2497" t="s">
        <v>26</v>
      </c>
      <c r="AK2497" t="s">
        <v>26</v>
      </c>
      <c r="AL2497" t="s">
        <v>26</v>
      </c>
      <c r="AM2497" t="s">
        <v>26</v>
      </c>
      <c r="AN2497" t="s">
        <v>26</v>
      </c>
      <c r="AO2497" s="25" t="s">
        <v>28</v>
      </c>
      <c r="AP2497" s="23" t="s">
        <v>29</v>
      </c>
      <c r="AQ2497" s="23" t="s">
        <v>30</v>
      </c>
      <c r="AR2497" s="23" t="s">
        <v>1170</v>
      </c>
      <c r="AS2497" s="25">
        <v>5488549</v>
      </c>
      <c r="AT2497" s="23" t="s">
        <v>22181</v>
      </c>
      <c r="AU2497" t="s">
        <v>25499</v>
      </c>
    </row>
    <row r="2498" spans="1:47" ht="26.25" x14ac:dyDescent="0.4">
      <c r="A2498" s="23" t="s">
        <v>6558</v>
      </c>
      <c r="B2498" t="s">
        <v>26</v>
      </c>
      <c r="C2498" s="23" t="s">
        <v>6103</v>
      </c>
      <c r="D2498" s="23" t="s">
        <v>24968</v>
      </c>
      <c r="E2498" s="23" t="s">
        <v>187</v>
      </c>
      <c r="F2498" s="25" t="s">
        <v>6559</v>
      </c>
      <c r="G2498" s="25" t="s">
        <v>6560</v>
      </c>
      <c r="H2498" t="s">
        <v>26</v>
      </c>
      <c r="I2498" s="24">
        <v>40179</v>
      </c>
      <c r="J2498" s="24">
        <v>43101</v>
      </c>
      <c r="K2498" t="s">
        <v>26</v>
      </c>
      <c r="L2498" s="25" t="s">
        <v>68</v>
      </c>
      <c r="M2498" s="24">
        <v>40179</v>
      </c>
      <c r="N2498" s="24">
        <v>43101</v>
      </c>
      <c r="O2498" t="s">
        <v>26</v>
      </c>
      <c r="P2498" s="24">
        <v>40179</v>
      </c>
      <c r="Q2498" s="24">
        <v>43101</v>
      </c>
      <c r="R2498" t="s">
        <v>26</v>
      </c>
      <c r="S2498" t="s">
        <v>26</v>
      </c>
      <c r="T2498" t="s">
        <v>26</v>
      </c>
      <c r="U2498" t="s">
        <v>26</v>
      </c>
      <c r="V2498" t="s">
        <v>26</v>
      </c>
      <c r="W2498" s="24">
        <v>40179</v>
      </c>
      <c r="X2498" s="24">
        <v>43101</v>
      </c>
      <c r="Y2498" t="s">
        <v>26</v>
      </c>
      <c r="Z2498" s="24">
        <v>40179</v>
      </c>
      <c r="AA2498" s="24">
        <v>43101</v>
      </c>
      <c r="AB2498" t="s">
        <v>26</v>
      </c>
      <c r="AC2498" s="24">
        <v>42370</v>
      </c>
      <c r="AD2498" s="24">
        <v>43101</v>
      </c>
      <c r="AE2498" t="s">
        <v>26</v>
      </c>
      <c r="AF2498" t="s">
        <v>26</v>
      </c>
      <c r="AG2498" t="s">
        <v>26</v>
      </c>
      <c r="AH2498" t="s">
        <v>26</v>
      </c>
      <c r="AI2498" t="s">
        <v>26</v>
      </c>
      <c r="AJ2498" t="s">
        <v>26</v>
      </c>
      <c r="AK2498" t="s">
        <v>26</v>
      </c>
      <c r="AL2498" t="s">
        <v>26</v>
      </c>
      <c r="AM2498" t="s">
        <v>26</v>
      </c>
      <c r="AN2498" t="s">
        <v>26</v>
      </c>
      <c r="AO2498" s="25" t="s">
        <v>68</v>
      </c>
      <c r="AP2498" s="23" t="s">
        <v>69</v>
      </c>
      <c r="AQ2498" s="23" t="s">
        <v>190</v>
      </c>
      <c r="AR2498" s="23" t="s">
        <v>46</v>
      </c>
      <c r="AS2498" s="25">
        <v>1356357</v>
      </c>
      <c r="AT2498" t="s">
        <v>26</v>
      </c>
      <c r="AU2498" t="s">
        <v>25500</v>
      </c>
    </row>
    <row r="2499" spans="1:47" ht="26.25" x14ac:dyDescent="0.4">
      <c r="A2499" s="23" t="s">
        <v>6561</v>
      </c>
      <c r="B2499" t="s">
        <v>26</v>
      </c>
      <c r="C2499" s="23" t="s">
        <v>981</v>
      </c>
      <c r="D2499" s="23" t="s">
        <v>25501</v>
      </c>
      <c r="E2499" s="23" t="s">
        <v>42</v>
      </c>
      <c r="F2499" s="25" t="s">
        <v>6562</v>
      </c>
      <c r="G2499" s="25" t="s">
        <v>6563</v>
      </c>
      <c r="H2499" t="s">
        <v>26</v>
      </c>
      <c r="I2499" s="24">
        <v>36039</v>
      </c>
      <c r="J2499" s="24">
        <v>40817</v>
      </c>
      <c r="K2499" t="s">
        <v>26</v>
      </c>
      <c r="L2499" s="25" t="s">
        <v>68</v>
      </c>
      <c r="M2499" s="24">
        <v>36039</v>
      </c>
      <c r="N2499" s="24">
        <v>40817</v>
      </c>
      <c r="O2499" t="s">
        <v>26</v>
      </c>
      <c r="P2499" s="24">
        <v>36039</v>
      </c>
      <c r="Q2499" s="24">
        <v>40817</v>
      </c>
      <c r="R2499" t="s">
        <v>26</v>
      </c>
      <c r="S2499" t="s">
        <v>26</v>
      </c>
      <c r="T2499" t="s">
        <v>26</v>
      </c>
      <c r="U2499" t="s">
        <v>26</v>
      </c>
      <c r="V2499" t="s">
        <v>26</v>
      </c>
      <c r="W2499" s="24">
        <v>36039</v>
      </c>
      <c r="X2499" s="25" t="s">
        <v>77</v>
      </c>
      <c r="Y2499" t="s">
        <v>26</v>
      </c>
      <c r="Z2499" s="24">
        <v>36039</v>
      </c>
      <c r="AA2499" s="25" t="s">
        <v>77</v>
      </c>
      <c r="AB2499" t="s">
        <v>26</v>
      </c>
      <c r="AC2499" s="24">
        <v>36770</v>
      </c>
      <c r="AD2499" s="25" t="s">
        <v>77</v>
      </c>
      <c r="AE2499" t="s">
        <v>26</v>
      </c>
      <c r="AF2499" t="s">
        <v>26</v>
      </c>
      <c r="AG2499" t="s">
        <v>26</v>
      </c>
      <c r="AH2499" t="s">
        <v>26</v>
      </c>
      <c r="AI2499" t="s">
        <v>26</v>
      </c>
      <c r="AJ2499" t="s">
        <v>26</v>
      </c>
      <c r="AK2499" t="s">
        <v>26</v>
      </c>
      <c r="AL2499" t="s">
        <v>26</v>
      </c>
      <c r="AM2499" t="s">
        <v>26</v>
      </c>
      <c r="AN2499" t="s">
        <v>26</v>
      </c>
      <c r="AO2499" s="25" t="s">
        <v>68</v>
      </c>
      <c r="AP2499" s="23" t="s">
        <v>69</v>
      </c>
      <c r="AQ2499" s="23" t="s">
        <v>30</v>
      </c>
      <c r="AR2499" s="23" t="s">
        <v>450</v>
      </c>
      <c r="AS2499" s="25">
        <v>48207</v>
      </c>
      <c r="AT2499" t="s">
        <v>26</v>
      </c>
      <c r="AU2499" t="s">
        <v>25502</v>
      </c>
    </row>
    <row r="2500" spans="1:47" ht="26.25" x14ac:dyDescent="0.4">
      <c r="A2500" s="23" t="s">
        <v>6564</v>
      </c>
      <c r="B2500" t="s">
        <v>26</v>
      </c>
      <c r="C2500" s="23" t="s">
        <v>6565</v>
      </c>
      <c r="D2500" s="23" t="s">
        <v>23460</v>
      </c>
      <c r="E2500" s="23" t="s">
        <v>120</v>
      </c>
      <c r="F2500" s="25" t="s">
        <v>6566</v>
      </c>
      <c r="G2500" s="25" t="s">
        <v>6567</v>
      </c>
      <c r="H2500" t="s">
        <v>26</v>
      </c>
      <c r="I2500" s="24">
        <v>40179</v>
      </c>
      <c r="J2500" s="24">
        <v>42644</v>
      </c>
      <c r="K2500" t="s">
        <v>26</v>
      </c>
      <c r="L2500" s="25" t="s">
        <v>68</v>
      </c>
      <c r="M2500" t="s">
        <v>26</v>
      </c>
      <c r="N2500" t="s">
        <v>26</v>
      </c>
      <c r="O2500" t="s">
        <v>26</v>
      </c>
      <c r="P2500" s="24">
        <v>40179</v>
      </c>
      <c r="Q2500" s="24">
        <v>42644</v>
      </c>
      <c r="R2500" t="s">
        <v>26</v>
      </c>
      <c r="S2500" t="s">
        <v>26</v>
      </c>
      <c r="T2500" t="s">
        <v>26</v>
      </c>
      <c r="U2500" t="s">
        <v>26</v>
      </c>
      <c r="V2500" t="s">
        <v>26</v>
      </c>
      <c r="W2500" s="24">
        <v>40179</v>
      </c>
      <c r="X2500" s="24">
        <v>42644</v>
      </c>
      <c r="Y2500" t="s">
        <v>26</v>
      </c>
      <c r="Z2500" s="24">
        <v>40179</v>
      </c>
      <c r="AA2500" s="24">
        <v>42644</v>
      </c>
      <c r="AB2500" t="s">
        <v>26</v>
      </c>
      <c r="AC2500" s="24">
        <v>40179</v>
      </c>
      <c r="AD2500" s="24">
        <v>42644</v>
      </c>
      <c r="AE2500" t="s">
        <v>26</v>
      </c>
      <c r="AF2500" t="s">
        <v>26</v>
      </c>
      <c r="AG2500" t="s">
        <v>26</v>
      </c>
      <c r="AH2500" t="s">
        <v>26</v>
      </c>
      <c r="AI2500" t="s">
        <v>26</v>
      </c>
      <c r="AJ2500" t="s">
        <v>26</v>
      </c>
      <c r="AK2500" t="s">
        <v>26</v>
      </c>
      <c r="AL2500" t="s">
        <v>26</v>
      </c>
      <c r="AM2500" t="s">
        <v>26</v>
      </c>
      <c r="AN2500" t="s">
        <v>26</v>
      </c>
      <c r="AO2500" s="25" t="s">
        <v>68</v>
      </c>
      <c r="AP2500" s="23" t="s">
        <v>69</v>
      </c>
      <c r="AQ2500" s="23" t="s">
        <v>30</v>
      </c>
      <c r="AR2500" s="23" t="s">
        <v>46</v>
      </c>
      <c r="AS2500" s="25">
        <v>2035683</v>
      </c>
      <c r="AT2500" t="s">
        <v>26</v>
      </c>
      <c r="AU2500" t="s">
        <v>25503</v>
      </c>
    </row>
    <row r="2501" spans="1:47" ht="26.25" x14ac:dyDescent="0.4">
      <c r="A2501" s="23" t="s">
        <v>6568</v>
      </c>
      <c r="B2501" t="s">
        <v>26</v>
      </c>
      <c r="C2501" s="23" t="s">
        <v>6569</v>
      </c>
      <c r="D2501" s="23" t="s">
        <v>23941</v>
      </c>
      <c r="E2501" s="23" t="s">
        <v>120</v>
      </c>
      <c r="F2501" s="25" t="s">
        <v>6570</v>
      </c>
      <c r="G2501" t="s">
        <v>26</v>
      </c>
      <c r="H2501" t="s">
        <v>26</v>
      </c>
      <c r="I2501" s="24">
        <v>42887</v>
      </c>
      <c r="J2501" s="25" t="s">
        <v>77</v>
      </c>
      <c r="K2501" t="s">
        <v>26</v>
      </c>
      <c r="L2501" s="25" t="s">
        <v>68</v>
      </c>
      <c r="M2501" s="24">
        <v>42887</v>
      </c>
      <c r="N2501" s="25" t="s">
        <v>77</v>
      </c>
      <c r="O2501" t="s">
        <v>26</v>
      </c>
      <c r="P2501" s="24">
        <v>42887</v>
      </c>
      <c r="Q2501" s="25" t="s">
        <v>77</v>
      </c>
      <c r="R2501" t="s">
        <v>26</v>
      </c>
      <c r="S2501" t="s">
        <v>26</v>
      </c>
      <c r="T2501" t="s">
        <v>26</v>
      </c>
      <c r="U2501" t="s">
        <v>26</v>
      </c>
      <c r="V2501" t="s">
        <v>26</v>
      </c>
      <c r="W2501" s="24">
        <v>42887</v>
      </c>
      <c r="X2501" s="25" t="s">
        <v>77</v>
      </c>
      <c r="Y2501" t="s">
        <v>26</v>
      </c>
      <c r="Z2501" s="24">
        <v>42887</v>
      </c>
      <c r="AA2501" s="25" t="s">
        <v>77</v>
      </c>
      <c r="AB2501" t="s">
        <v>26</v>
      </c>
      <c r="AC2501" s="24">
        <v>42887</v>
      </c>
      <c r="AD2501" s="25" t="s">
        <v>77</v>
      </c>
      <c r="AE2501" t="s">
        <v>26</v>
      </c>
      <c r="AF2501" t="s">
        <v>26</v>
      </c>
      <c r="AG2501" t="s">
        <v>26</v>
      </c>
      <c r="AH2501" t="s">
        <v>26</v>
      </c>
      <c r="AI2501" t="s">
        <v>26</v>
      </c>
      <c r="AJ2501" t="s">
        <v>26</v>
      </c>
      <c r="AK2501" t="s">
        <v>26</v>
      </c>
      <c r="AL2501" t="s">
        <v>26</v>
      </c>
      <c r="AM2501" t="s">
        <v>26</v>
      </c>
      <c r="AN2501" t="s">
        <v>26</v>
      </c>
      <c r="AO2501" s="25" t="s">
        <v>28</v>
      </c>
      <c r="AP2501" s="23" t="s">
        <v>69</v>
      </c>
      <c r="AQ2501" s="23" t="s">
        <v>30</v>
      </c>
      <c r="AR2501" s="23" t="s">
        <v>46</v>
      </c>
      <c r="AS2501" s="25">
        <v>2050687</v>
      </c>
      <c r="AT2501" t="s">
        <v>26</v>
      </c>
      <c r="AU2501" t="s">
        <v>25504</v>
      </c>
    </row>
    <row r="2502" spans="1:47" ht="26.25" x14ac:dyDescent="0.4">
      <c r="A2502" s="23" t="s">
        <v>25505</v>
      </c>
      <c r="B2502" t="s">
        <v>26</v>
      </c>
      <c r="C2502" s="23" t="s">
        <v>25506</v>
      </c>
      <c r="D2502" s="23" t="s">
        <v>23133</v>
      </c>
      <c r="E2502" s="23" t="s">
        <v>42</v>
      </c>
      <c r="F2502" t="s">
        <v>26</v>
      </c>
      <c r="G2502" t="s">
        <v>26</v>
      </c>
      <c r="H2502" t="s">
        <v>26</v>
      </c>
      <c r="I2502" s="24">
        <v>44197</v>
      </c>
      <c r="J2502" s="25" t="s">
        <v>77</v>
      </c>
      <c r="K2502" t="s">
        <v>26</v>
      </c>
      <c r="L2502" s="25" t="s">
        <v>28</v>
      </c>
      <c r="M2502" t="s">
        <v>26</v>
      </c>
      <c r="N2502" t="s">
        <v>26</v>
      </c>
      <c r="O2502" t="s">
        <v>26</v>
      </c>
      <c r="P2502" s="24">
        <v>44197</v>
      </c>
      <c r="Q2502" s="25" t="s">
        <v>77</v>
      </c>
      <c r="R2502" t="s">
        <v>26</v>
      </c>
      <c r="S2502" t="s">
        <v>26</v>
      </c>
      <c r="T2502" t="s">
        <v>26</v>
      </c>
      <c r="U2502" t="s">
        <v>26</v>
      </c>
      <c r="V2502" t="s">
        <v>26</v>
      </c>
      <c r="W2502" s="24">
        <v>44197</v>
      </c>
      <c r="X2502" s="25" t="s">
        <v>77</v>
      </c>
      <c r="Y2502" t="s">
        <v>26</v>
      </c>
      <c r="Z2502" s="24">
        <v>44197</v>
      </c>
      <c r="AA2502" s="25" t="s">
        <v>77</v>
      </c>
      <c r="AB2502" t="s">
        <v>26</v>
      </c>
      <c r="AC2502" t="s">
        <v>26</v>
      </c>
      <c r="AD2502" t="s">
        <v>26</v>
      </c>
      <c r="AE2502" t="s">
        <v>26</v>
      </c>
      <c r="AF2502" t="s">
        <v>26</v>
      </c>
      <c r="AG2502" t="s">
        <v>26</v>
      </c>
      <c r="AH2502" t="s">
        <v>26</v>
      </c>
      <c r="AI2502" t="s">
        <v>26</v>
      </c>
      <c r="AJ2502" t="s">
        <v>26</v>
      </c>
      <c r="AK2502" t="s">
        <v>26</v>
      </c>
      <c r="AL2502" t="s">
        <v>26</v>
      </c>
      <c r="AM2502" t="s">
        <v>26</v>
      </c>
      <c r="AN2502" t="s">
        <v>26</v>
      </c>
      <c r="AO2502" s="25" t="s">
        <v>28</v>
      </c>
      <c r="AP2502" s="23" t="s">
        <v>279</v>
      </c>
      <c r="AQ2502" s="23" t="s">
        <v>30</v>
      </c>
      <c r="AR2502" s="23" t="s">
        <v>385</v>
      </c>
      <c r="AS2502" s="25">
        <v>6608082</v>
      </c>
      <c r="AT2502" t="s">
        <v>26</v>
      </c>
      <c r="AU2502" t="s">
        <v>25507</v>
      </c>
    </row>
    <row r="2503" spans="1:47" ht="26.25" x14ac:dyDescent="0.4">
      <c r="A2503" s="23" t="s">
        <v>6571</v>
      </c>
      <c r="B2503" t="s">
        <v>26</v>
      </c>
      <c r="C2503" s="23" t="s">
        <v>2091</v>
      </c>
      <c r="D2503" s="23" t="s">
        <v>23323</v>
      </c>
      <c r="E2503" s="23" t="s">
        <v>42</v>
      </c>
      <c r="F2503" t="s">
        <v>26</v>
      </c>
      <c r="G2503" t="s">
        <v>26</v>
      </c>
      <c r="H2503" t="s">
        <v>26</v>
      </c>
      <c r="I2503" s="24">
        <v>32874</v>
      </c>
      <c r="J2503" s="24">
        <v>32874</v>
      </c>
      <c r="K2503" t="s">
        <v>26</v>
      </c>
      <c r="L2503" s="25" t="s">
        <v>28</v>
      </c>
      <c r="M2503" s="24">
        <v>32874</v>
      </c>
      <c r="N2503" s="24">
        <v>32874</v>
      </c>
      <c r="O2503" t="s">
        <v>26</v>
      </c>
      <c r="P2503" t="s">
        <v>26</v>
      </c>
      <c r="Q2503" t="s">
        <v>26</v>
      </c>
      <c r="R2503" t="s">
        <v>26</v>
      </c>
      <c r="S2503" t="s">
        <v>26</v>
      </c>
      <c r="T2503" t="s">
        <v>26</v>
      </c>
      <c r="U2503" t="s">
        <v>26</v>
      </c>
      <c r="V2503" t="s">
        <v>26</v>
      </c>
      <c r="W2503" s="24">
        <v>32874</v>
      </c>
      <c r="X2503" s="24">
        <v>32874</v>
      </c>
      <c r="Y2503" t="s">
        <v>26</v>
      </c>
      <c r="Z2503" s="24">
        <v>32874</v>
      </c>
      <c r="AA2503" s="24">
        <v>32874</v>
      </c>
      <c r="AB2503" t="s">
        <v>26</v>
      </c>
      <c r="AC2503" s="24">
        <v>32874</v>
      </c>
      <c r="AD2503" s="24">
        <v>32874</v>
      </c>
      <c r="AE2503" t="s">
        <v>26</v>
      </c>
      <c r="AF2503" t="s">
        <v>26</v>
      </c>
      <c r="AG2503" t="s">
        <v>26</v>
      </c>
      <c r="AH2503" t="s">
        <v>26</v>
      </c>
      <c r="AI2503" t="s">
        <v>26</v>
      </c>
      <c r="AJ2503" t="s">
        <v>26</v>
      </c>
      <c r="AK2503" t="s">
        <v>26</v>
      </c>
      <c r="AL2503" t="s">
        <v>26</v>
      </c>
      <c r="AM2503" t="s">
        <v>26</v>
      </c>
      <c r="AN2503" t="s">
        <v>26</v>
      </c>
      <c r="AO2503" s="25" t="s">
        <v>28</v>
      </c>
      <c r="AP2503" s="23" t="s">
        <v>29</v>
      </c>
      <c r="AQ2503" s="23" t="s">
        <v>30</v>
      </c>
      <c r="AR2503" s="23" t="s">
        <v>46</v>
      </c>
      <c r="AS2503" s="25">
        <v>6059457</v>
      </c>
      <c r="AT2503" t="s">
        <v>26</v>
      </c>
      <c r="AU2503" t="s">
        <v>25508</v>
      </c>
    </row>
    <row r="2504" spans="1:47" ht="26.25" x14ac:dyDescent="0.4">
      <c r="A2504" s="23" t="s">
        <v>6572</v>
      </c>
      <c r="B2504" t="s">
        <v>26</v>
      </c>
      <c r="C2504" s="23" t="s">
        <v>6573</v>
      </c>
      <c r="D2504" s="23" t="s">
        <v>25509</v>
      </c>
      <c r="E2504" s="23" t="s">
        <v>3049</v>
      </c>
      <c r="F2504" s="25" t="s">
        <v>6574</v>
      </c>
      <c r="G2504" s="25" t="s">
        <v>6575</v>
      </c>
      <c r="H2504" t="s">
        <v>26</v>
      </c>
      <c r="I2504" s="24">
        <v>40634</v>
      </c>
      <c r="J2504" s="25" t="s">
        <v>77</v>
      </c>
      <c r="K2504" t="s">
        <v>26</v>
      </c>
      <c r="L2504" s="25" t="s">
        <v>68</v>
      </c>
      <c r="M2504" s="24">
        <v>40634</v>
      </c>
      <c r="N2504" s="25" t="s">
        <v>77</v>
      </c>
      <c r="O2504" t="s">
        <v>26</v>
      </c>
      <c r="P2504" s="24">
        <v>40634</v>
      </c>
      <c r="Q2504" s="25" t="s">
        <v>77</v>
      </c>
      <c r="R2504" t="s">
        <v>26</v>
      </c>
      <c r="S2504" t="s">
        <v>26</v>
      </c>
      <c r="T2504" t="s">
        <v>26</v>
      </c>
      <c r="U2504" t="s">
        <v>26</v>
      </c>
      <c r="V2504" t="s">
        <v>26</v>
      </c>
      <c r="W2504" s="24">
        <v>40634</v>
      </c>
      <c r="X2504" s="25" t="s">
        <v>77</v>
      </c>
      <c r="Y2504" t="s">
        <v>26</v>
      </c>
      <c r="Z2504" s="24">
        <v>40634</v>
      </c>
      <c r="AA2504" s="25" t="s">
        <v>77</v>
      </c>
      <c r="AB2504" t="s">
        <v>26</v>
      </c>
      <c r="AC2504" s="24">
        <v>40634</v>
      </c>
      <c r="AD2504" s="25" t="s">
        <v>77</v>
      </c>
      <c r="AE2504" t="s">
        <v>26</v>
      </c>
      <c r="AF2504" t="s">
        <v>26</v>
      </c>
      <c r="AG2504" t="s">
        <v>26</v>
      </c>
      <c r="AH2504" t="s">
        <v>26</v>
      </c>
      <c r="AI2504" t="s">
        <v>26</v>
      </c>
      <c r="AJ2504" t="s">
        <v>26</v>
      </c>
      <c r="AK2504" t="s">
        <v>26</v>
      </c>
      <c r="AL2504" t="s">
        <v>26</v>
      </c>
      <c r="AM2504" t="s">
        <v>26</v>
      </c>
      <c r="AN2504" t="s">
        <v>26</v>
      </c>
      <c r="AO2504" s="25" t="s">
        <v>68</v>
      </c>
      <c r="AP2504" s="23" t="s">
        <v>69</v>
      </c>
      <c r="AQ2504" s="23" t="s">
        <v>6576</v>
      </c>
      <c r="AR2504" s="23" t="s">
        <v>46</v>
      </c>
      <c r="AS2504" s="25">
        <v>646364</v>
      </c>
      <c r="AT2504" t="s">
        <v>26</v>
      </c>
      <c r="AU2504" t="s">
        <v>25510</v>
      </c>
    </row>
    <row r="2505" spans="1:47" ht="26.25" x14ac:dyDescent="0.4">
      <c r="A2505" s="23" t="s">
        <v>6577</v>
      </c>
      <c r="B2505" t="s">
        <v>26</v>
      </c>
      <c r="C2505" s="23" t="s">
        <v>6578</v>
      </c>
      <c r="D2505" s="23" t="s">
        <v>22372</v>
      </c>
      <c r="E2505" s="23" t="s">
        <v>42</v>
      </c>
      <c r="F2505" t="s">
        <v>26</v>
      </c>
      <c r="G2505" t="s">
        <v>26</v>
      </c>
      <c r="H2505" t="s">
        <v>26</v>
      </c>
      <c r="I2505" s="24">
        <v>39326</v>
      </c>
      <c r="J2505" s="24">
        <v>42309</v>
      </c>
      <c r="K2505" s="25" t="s">
        <v>2112</v>
      </c>
      <c r="L2505" s="25" t="s">
        <v>28</v>
      </c>
      <c r="M2505" t="s">
        <v>26</v>
      </c>
      <c r="N2505" t="s">
        <v>26</v>
      </c>
      <c r="O2505" t="s">
        <v>26</v>
      </c>
      <c r="P2505" s="24">
        <v>39326</v>
      </c>
      <c r="Q2505" s="24">
        <v>42309</v>
      </c>
      <c r="R2505" s="25" t="s">
        <v>2112</v>
      </c>
      <c r="S2505" t="s">
        <v>26</v>
      </c>
      <c r="T2505" t="s">
        <v>26</v>
      </c>
      <c r="U2505" t="s">
        <v>26</v>
      </c>
      <c r="V2505" t="s">
        <v>26</v>
      </c>
      <c r="W2505" s="24">
        <v>39326</v>
      </c>
      <c r="X2505" s="24">
        <v>42309</v>
      </c>
      <c r="Y2505" s="25" t="s">
        <v>2112</v>
      </c>
      <c r="Z2505" s="24">
        <v>39326</v>
      </c>
      <c r="AA2505" s="24">
        <v>42309</v>
      </c>
      <c r="AB2505" s="25" t="s">
        <v>2112</v>
      </c>
      <c r="AC2505" s="24">
        <v>39326</v>
      </c>
      <c r="AD2505" s="24">
        <v>42309</v>
      </c>
      <c r="AE2505" s="25" t="s">
        <v>2112</v>
      </c>
      <c r="AF2505" t="s">
        <v>26</v>
      </c>
      <c r="AG2505" t="s">
        <v>26</v>
      </c>
      <c r="AH2505" t="s">
        <v>26</v>
      </c>
      <c r="AI2505" t="s">
        <v>26</v>
      </c>
      <c r="AJ2505" t="s">
        <v>26</v>
      </c>
      <c r="AK2505" t="s">
        <v>26</v>
      </c>
      <c r="AL2505" t="s">
        <v>26</v>
      </c>
      <c r="AM2505" t="s">
        <v>26</v>
      </c>
      <c r="AN2505" t="s">
        <v>26</v>
      </c>
      <c r="AO2505" s="25" t="s">
        <v>28</v>
      </c>
      <c r="AP2505" s="23" t="s">
        <v>29</v>
      </c>
      <c r="AQ2505" s="23" t="s">
        <v>30</v>
      </c>
      <c r="AR2505" s="23" t="s">
        <v>46</v>
      </c>
      <c r="AS2505" s="25">
        <v>2045094</v>
      </c>
      <c r="AT2505" t="s">
        <v>26</v>
      </c>
      <c r="AU2505" t="s">
        <v>25511</v>
      </c>
    </row>
    <row r="2506" spans="1:47" ht="39.4" x14ac:dyDescent="0.4">
      <c r="A2506" s="23" t="s">
        <v>6579</v>
      </c>
      <c r="B2506" t="s">
        <v>26</v>
      </c>
      <c r="C2506" s="23" t="s">
        <v>364</v>
      </c>
      <c r="D2506" s="23" t="s">
        <v>22372</v>
      </c>
      <c r="E2506" s="23" t="s">
        <v>42</v>
      </c>
      <c r="F2506" t="s">
        <v>26</v>
      </c>
      <c r="G2506" t="s">
        <v>26</v>
      </c>
      <c r="H2506" t="s">
        <v>26</v>
      </c>
      <c r="I2506" s="24">
        <v>43496</v>
      </c>
      <c r="J2506" s="24">
        <v>43948</v>
      </c>
      <c r="K2506" t="s">
        <v>26</v>
      </c>
      <c r="L2506" s="25" t="s">
        <v>28</v>
      </c>
      <c r="M2506" s="24">
        <v>43496</v>
      </c>
      <c r="N2506" s="24">
        <v>43948</v>
      </c>
      <c r="O2506" t="s">
        <v>26</v>
      </c>
      <c r="P2506" t="s">
        <v>26</v>
      </c>
      <c r="Q2506" t="s">
        <v>26</v>
      </c>
      <c r="R2506" t="s">
        <v>26</v>
      </c>
      <c r="S2506" t="s">
        <v>26</v>
      </c>
      <c r="T2506" t="s">
        <v>26</v>
      </c>
      <c r="U2506" t="s">
        <v>26</v>
      </c>
      <c r="V2506" t="s">
        <v>26</v>
      </c>
      <c r="W2506" s="24">
        <v>43496</v>
      </c>
      <c r="X2506" s="24">
        <v>43948</v>
      </c>
      <c r="Y2506" t="s">
        <v>26</v>
      </c>
      <c r="Z2506" s="24">
        <v>43496</v>
      </c>
      <c r="AA2506" s="24">
        <v>43948</v>
      </c>
      <c r="AB2506" t="s">
        <v>26</v>
      </c>
      <c r="AC2506" t="s">
        <v>26</v>
      </c>
      <c r="AD2506" t="s">
        <v>26</v>
      </c>
      <c r="AE2506" t="s">
        <v>26</v>
      </c>
      <c r="AF2506" t="s">
        <v>26</v>
      </c>
      <c r="AG2506" t="s">
        <v>26</v>
      </c>
      <c r="AH2506" t="s">
        <v>26</v>
      </c>
      <c r="AI2506" t="s">
        <v>26</v>
      </c>
      <c r="AJ2506" t="s">
        <v>26</v>
      </c>
      <c r="AK2506" t="s">
        <v>26</v>
      </c>
      <c r="AL2506" t="s">
        <v>26</v>
      </c>
      <c r="AM2506" t="s">
        <v>26</v>
      </c>
      <c r="AN2506" t="s">
        <v>26</v>
      </c>
      <c r="AO2506" s="25" t="s">
        <v>28</v>
      </c>
      <c r="AP2506" s="23" t="s">
        <v>365</v>
      </c>
      <c r="AQ2506" s="23" t="s">
        <v>30</v>
      </c>
      <c r="AR2506" s="23" t="s">
        <v>4218</v>
      </c>
      <c r="AS2506" s="25">
        <v>4396629</v>
      </c>
      <c r="AT2506" t="s">
        <v>26</v>
      </c>
      <c r="AU2506" t="s">
        <v>25512</v>
      </c>
    </row>
    <row r="2507" spans="1:47" ht="26.25" x14ac:dyDescent="0.4">
      <c r="A2507" s="23" t="s">
        <v>6580</v>
      </c>
      <c r="B2507" t="s">
        <v>26</v>
      </c>
      <c r="C2507" s="23" t="s">
        <v>6581</v>
      </c>
      <c r="D2507" s="23" t="s">
        <v>22402</v>
      </c>
      <c r="E2507" s="23" t="s">
        <v>42</v>
      </c>
      <c r="F2507" s="25" t="s">
        <v>6582</v>
      </c>
      <c r="G2507" t="s">
        <v>26</v>
      </c>
      <c r="H2507" t="s">
        <v>26</v>
      </c>
      <c r="I2507" s="24">
        <v>34335</v>
      </c>
      <c r="J2507" s="25" t="s">
        <v>77</v>
      </c>
      <c r="K2507" t="s">
        <v>26</v>
      </c>
      <c r="L2507" s="25" t="s">
        <v>68</v>
      </c>
      <c r="M2507" s="24">
        <v>34335</v>
      </c>
      <c r="N2507" s="25" t="s">
        <v>77</v>
      </c>
      <c r="O2507" t="s">
        <v>26</v>
      </c>
      <c r="P2507" s="24">
        <v>34335</v>
      </c>
      <c r="Q2507" s="25" t="s">
        <v>77</v>
      </c>
      <c r="R2507" t="s">
        <v>26</v>
      </c>
      <c r="S2507" t="s">
        <v>26</v>
      </c>
      <c r="T2507" t="s">
        <v>26</v>
      </c>
      <c r="U2507" t="s">
        <v>26</v>
      </c>
      <c r="V2507" t="s">
        <v>26</v>
      </c>
      <c r="W2507" s="24">
        <v>34335</v>
      </c>
      <c r="X2507" s="25" t="s">
        <v>77</v>
      </c>
      <c r="Y2507" t="s">
        <v>26</v>
      </c>
      <c r="Z2507" s="24">
        <v>34335</v>
      </c>
      <c r="AA2507" s="25" t="s">
        <v>77</v>
      </c>
      <c r="AB2507" t="s">
        <v>26</v>
      </c>
      <c r="AC2507" s="24">
        <v>42917</v>
      </c>
      <c r="AD2507" s="25" t="s">
        <v>77</v>
      </c>
      <c r="AE2507" t="s">
        <v>26</v>
      </c>
      <c r="AF2507" t="s">
        <v>26</v>
      </c>
      <c r="AG2507" t="s">
        <v>26</v>
      </c>
      <c r="AH2507" t="s">
        <v>26</v>
      </c>
      <c r="AI2507" t="s">
        <v>26</v>
      </c>
      <c r="AJ2507" t="s">
        <v>26</v>
      </c>
      <c r="AK2507" t="s">
        <v>26</v>
      </c>
      <c r="AL2507" t="s">
        <v>26</v>
      </c>
      <c r="AM2507" t="s">
        <v>26</v>
      </c>
      <c r="AN2507" t="s">
        <v>26</v>
      </c>
      <c r="AO2507" s="25" t="s">
        <v>28</v>
      </c>
      <c r="AP2507" s="23" t="s">
        <v>69</v>
      </c>
      <c r="AQ2507" s="23" t="s">
        <v>30</v>
      </c>
      <c r="AR2507" s="23" t="s">
        <v>46</v>
      </c>
      <c r="AS2507" s="25">
        <v>29082</v>
      </c>
      <c r="AT2507" t="s">
        <v>26</v>
      </c>
      <c r="AU2507" t="s">
        <v>25513</v>
      </c>
    </row>
    <row r="2508" spans="1:47" ht="26.25" x14ac:dyDescent="0.4">
      <c r="A2508" s="23" t="s">
        <v>25514</v>
      </c>
      <c r="B2508" t="s">
        <v>26</v>
      </c>
      <c r="C2508" s="23" t="s">
        <v>25515</v>
      </c>
      <c r="D2508" s="23" t="s">
        <v>22231</v>
      </c>
      <c r="E2508" s="23" t="s">
        <v>42</v>
      </c>
      <c r="F2508" t="s">
        <v>26</v>
      </c>
      <c r="G2508" s="25" t="s">
        <v>25516</v>
      </c>
      <c r="H2508" t="s">
        <v>26</v>
      </c>
      <c r="I2508" s="24">
        <v>42237</v>
      </c>
      <c r="J2508" s="25" t="s">
        <v>77</v>
      </c>
      <c r="K2508" t="s">
        <v>26</v>
      </c>
      <c r="L2508" s="25" t="s">
        <v>28</v>
      </c>
      <c r="M2508" s="24">
        <v>42237</v>
      </c>
      <c r="N2508" s="25" t="s">
        <v>77</v>
      </c>
      <c r="O2508" t="s">
        <v>26</v>
      </c>
      <c r="P2508" t="s">
        <v>26</v>
      </c>
      <c r="Q2508" t="s">
        <v>26</v>
      </c>
      <c r="R2508" t="s">
        <v>26</v>
      </c>
      <c r="S2508" t="s">
        <v>26</v>
      </c>
      <c r="T2508" t="s">
        <v>26</v>
      </c>
      <c r="U2508" t="s">
        <v>26</v>
      </c>
      <c r="V2508" s="25">
        <v>7</v>
      </c>
      <c r="W2508" s="24">
        <v>42237</v>
      </c>
      <c r="X2508" s="25" t="s">
        <v>77</v>
      </c>
      <c r="Y2508" t="s">
        <v>26</v>
      </c>
      <c r="Z2508" s="24">
        <v>42237</v>
      </c>
      <c r="AA2508" s="25" t="s">
        <v>77</v>
      </c>
      <c r="AB2508" t="s">
        <v>26</v>
      </c>
      <c r="AC2508" t="s">
        <v>26</v>
      </c>
      <c r="AD2508" t="s">
        <v>26</v>
      </c>
      <c r="AE2508" t="s">
        <v>26</v>
      </c>
      <c r="AF2508" t="s">
        <v>26</v>
      </c>
      <c r="AG2508" t="s">
        <v>26</v>
      </c>
      <c r="AH2508" t="s">
        <v>26</v>
      </c>
      <c r="AI2508" t="s">
        <v>26</v>
      </c>
      <c r="AJ2508" t="s">
        <v>26</v>
      </c>
      <c r="AK2508" t="s">
        <v>26</v>
      </c>
      <c r="AL2508" t="s">
        <v>26</v>
      </c>
      <c r="AM2508" t="s">
        <v>26</v>
      </c>
      <c r="AN2508" t="s">
        <v>26</v>
      </c>
      <c r="AO2508" s="25" t="s">
        <v>28</v>
      </c>
      <c r="AP2508" s="23" t="s">
        <v>211</v>
      </c>
      <c r="AQ2508" s="23" t="s">
        <v>30</v>
      </c>
      <c r="AR2508" s="23" t="s">
        <v>277</v>
      </c>
      <c r="AS2508" s="25">
        <v>5155241</v>
      </c>
      <c r="AT2508" t="s">
        <v>26</v>
      </c>
      <c r="AU2508" t="s">
        <v>25517</v>
      </c>
    </row>
    <row r="2509" spans="1:47" ht="26.25" x14ac:dyDescent="0.4">
      <c r="A2509" s="23" t="s">
        <v>6583</v>
      </c>
      <c r="B2509" t="s">
        <v>26</v>
      </c>
      <c r="C2509" s="23" t="s">
        <v>146</v>
      </c>
      <c r="D2509" s="23" t="s">
        <v>22174</v>
      </c>
      <c r="E2509" s="23" t="s">
        <v>60</v>
      </c>
      <c r="F2509" t="s">
        <v>26</v>
      </c>
      <c r="G2509" t="s">
        <v>26</v>
      </c>
      <c r="H2509" t="s">
        <v>26</v>
      </c>
      <c r="I2509" t="s">
        <v>26</v>
      </c>
      <c r="J2509" t="s">
        <v>26</v>
      </c>
      <c r="K2509" t="s">
        <v>26</v>
      </c>
      <c r="L2509" s="25" t="s">
        <v>28</v>
      </c>
      <c r="M2509" t="s">
        <v>26</v>
      </c>
      <c r="N2509" t="s">
        <v>26</v>
      </c>
      <c r="O2509" t="s">
        <v>26</v>
      </c>
      <c r="P2509" t="s">
        <v>26</v>
      </c>
      <c r="Q2509" t="s">
        <v>26</v>
      </c>
      <c r="R2509" t="s">
        <v>26</v>
      </c>
      <c r="S2509" t="s">
        <v>26</v>
      </c>
      <c r="T2509" t="s">
        <v>26</v>
      </c>
      <c r="U2509" t="s">
        <v>26</v>
      </c>
      <c r="V2509" t="s">
        <v>26</v>
      </c>
      <c r="W2509" s="25" t="s">
        <v>295</v>
      </c>
      <c r="X2509" s="25" t="s">
        <v>295</v>
      </c>
      <c r="Y2509" t="s">
        <v>26</v>
      </c>
      <c r="Z2509" s="25" t="s">
        <v>295</v>
      </c>
      <c r="AA2509" s="25" t="s">
        <v>295</v>
      </c>
      <c r="AB2509" t="s">
        <v>26</v>
      </c>
      <c r="AC2509" t="s">
        <v>26</v>
      </c>
      <c r="AD2509" t="s">
        <v>26</v>
      </c>
      <c r="AE2509" t="s">
        <v>26</v>
      </c>
      <c r="AF2509" t="s">
        <v>26</v>
      </c>
      <c r="AG2509" t="s">
        <v>26</v>
      </c>
      <c r="AH2509" t="s">
        <v>26</v>
      </c>
      <c r="AI2509" t="s">
        <v>26</v>
      </c>
      <c r="AJ2509" t="s">
        <v>26</v>
      </c>
      <c r="AK2509" t="s">
        <v>26</v>
      </c>
      <c r="AL2509" t="s">
        <v>26</v>
      </c>
      <c r="AM2509" t="s">
        <v>26</v>
      </c>
      <c r="AN2509" t="s">
        <v>26</v>
      </c>
      <c r="AO2509" s="25" t="s">
        <v>28</v>
      </c>
      <c r="AP2509" s="23" t="s">
        <v>29</v>
      </c>
      <c r="AQ2509" s="23" t="s">
        <v>30</v>
      </c>
      <c r="AR2509" s="23" t="s">
        <v>6584</v>
      </c>
      <c r="AS2509" s="25">
        <v>5485100</v>
      </c>
      <c r="AT2509" s="23" t="s">
        <v>22181</v>
      </c>
      <c r="AU2509" t="s">
        <v>25518</v>
      </c>
    </row>
    <row r="2510" spans="1:47" ht="26.25" x14ac:dyDescent="0.4">
      <c r="A2510" s="23" t="s">
        <v>6585</v>
      </c>
      <c r="B2510" t="s">
        <v>26</v>
      </c>
      <c r="C2510" s="23" t="s">
        <v>22238</v>
      </c>
      <c r="D2510" t="s">
        <v>26</v>
      </c>
      <c r="E2510" s="23" t="s">
        <v>42</v>
      </c>
      <c r="F2510" t="s">
        <v>26</v>
      </c>
      <c r="G2510" t="s">
        <v>26</v>
      </c>
      <c r="H2510" t="s">
        <v>26</v>
      </c>
      <c r="I2510" s="24">
        <v>43101</v>
      </c>
      <c r="J2510" s="24">
        <v>43101</v>
      </c>
      <c r="K2510" t="s">
        <v>26</v>
      </c>
      <c r="L2510" s="25" t="s">
        <v>28</v>
      </c>
      <c r="M2510" s="24">
        <v>43101</v>
      </c>
      <c r="N2510" s="24">
        <v>43101</v>
      </c>
      <c r="O2510" t="s">
        <v>26</v>
      </c>
      <c r="P2510" t="s">
        <v>26</v>
      </c>
      <c r="Q2510" t="s">
        <v>26</v>
      </c>
      <c r="R2510" t="s">
        <v>26</v>
      </c>
      <c r="S2510" s="24">
        <v>43101</v>
      </c>
      <c r="T2510" s="24">
        <v>43101</v>
      </c>
      <c r="U2510" t="s">
        <v>26</v>
      </c>
      <c r="V2510" t="s">
        <v>26</v>
      </c>
      <c r="W2510" s="24">
        <v>43101</v>
      </c>
      <c r="X2510" s="24">
        <v>43101</v>
      </c>
      <c r="Y2510" t="s">
        <v>26</v>
      </c>
      <c r="Z2510" s="24">
        <v>43101</v>
      </c>
      <c r="AA2510" s="24">
        <v>43101</v>
      </c>
      <c r="AB2510" t="s">
        <v>26</v>
      </c>
      <c r="AC2510" s="24">
        <v>43101</v>
      </c>
      <c r="AD2510" s="24">
        <v>43101</v>
      </c>
      <c r="AE2510" t="s">
        <v>26</v>
      </c>
      <c r="AF2510" s="24">
        <v>43101</v>
      </c>
      <c r="AG2510" s="24">
        <v>43101</v>
      </c>
      <c r="AH2510" t="s">
        <v>26</v>
      </c>
      <c r="AI2510" s="24">
        <v>43101</v>
      </c>
      <c r="AJ2510" s="24">
        <v>43101</v>
      </c>
      <c r="AK2510" t="s">
        <v>26</v>
      </c>
      <c r="AL2510" t="s">
        <v>26</v>
      </c>
      <c r="AM2510" t="s">
        <v>26</v>
      </c>
      <c r="AN2510" t="s">
        <v>26</v>
      </c>
      <c r="AO2510" s="25" t="s">
        <v>28</v>
      </c>
      <c r="AP2510" s="23" t="s">
        <v>43</v>
      </c>
      <c r="AQ2510" s="23" t="s">
        <v>30</v>
      </c>
      <c r="AR2510" s="23" t="s">
        <v>44</v>
      </c>
      <c r="AS2510" s="25">
        <v>5263195</v>
      </c>
      <c r="AT2510" t="s">
        <v>26</v>
      </c>
      <c r="AU2510" t="s">
        <v>25519</v>
      </c>
    </row>
    <row r="2511" spans="1:47" ht="39.4" x14ac:dyDescent="0.4">
      <c r="A2511" s="23" t="s">
        <v>6586</v>
      </c>
      <c r="B2511" t="s">
        <v>26</v>
      </c>
      <c r="C2511" s="23" t="s">
        <v>292</v>
      </c>
      <c r="D2511" t="s">
        <v>26</v>
      </c>
      <c r="E2511" s="23" t="s">
        <v>42</v>
      </c>
      <c r="F2511" t="s">
        <v>26</v>
      </c>
      <c r="G2511" t="s">
        <v>26</v>
      </c>
      <c r="H2511" t="s">
        <v>26</v>
      </c>
      <c r="I2511" s="24">
        <v>40179</v>
      </c>
      <c r="J2511" s="24">
        <v>40179</v>
      </c>
      <c r="K2511" t="s">
        <v>26</v>
      </c>
      <c r="L2511" s="25" t="s">
        <v>28</v>
      </c>
      <c r="M2511" t="s">
        <v>26</v>
      </c>
      <c r="N2511" t="s">
        <v>26</v>
      </c>
      <c r="O2511" t="s">
        <v>26</v>
      </c>
      <c r="P2511" s="24">
        <v>40179</v>
      </c>
      <c r="Q2511" s="24">
        <v>40179</v>
      </c>
      <c r="R2511" t="s">
        <v>26</v>
      </c>
      <c r="S2511" t="s">
        <v>26</v>
      </c>
      <c r="T2511" t="s">
        <v>26</v>
      </c>
      <c r="U2511" t="s">
        <v>26</v>
      </c>
      <c r="V2511" t="s">
        <v>26</v>
      </c>
      <c r="W2511" s="24">
        <v>40179</v>
      </c>
      <c r="X2511" s="24">
        <v>40179</v>
      </c>
      <c r="Y2511" t="s">
        <v>26</v>
      </c>
      <c r="Z2511" s="24">
        <v>40179</v>
      </c>
      <c r="AA2511" s="24">
        <v>40179</v>
      </c>
      <c r="AB2511" t="s">
        <v>26</v>
      </c>
      <c r="AC2511" t="s">
        <v>26</v>
      </c>
      <c r="AD2511" t="s">
        <v>26</v>
      </c>
      <c r="AE2511" t="s">
        <v>26</v>
      </c>
      <c r="AF2511" t="s">
        <v>26</v>
      </c>
      <c r="AG2511" t="s">
        <v>26</v>
      </c>
      <c r="AH2511" t="s">
        <v>26</v>
      </c>
      <c r="AI2511" t="s">
        <v>26</v>
      </c>
      <c r="AJ2511" t="s">
        <v>26</v>
      </c>
      <c r="AK2511" t="s">
        <v>26</v>
      </c>
      <c r="AL2511" t="s">
        <v>26</v>
      </c>
      <c r="AM2511" t="s">
        <v>26</v>
      </c>
      <c r="AN2511" t="s">
        <v>26</v>
      </c>
      <c r="AO2511" s="25" t="s">
        <v>28</v>
      </c>
      <c r="AP2511" s="23" t="s">
        <v>5851</v>
      </c>
      <c r="AQ2511" s="23" t="s">
        <v>30</v>
      </c>
      <c r="AR2511" s="23" t="s">
        <v>46</v>
      </c>
      <c r="AS2511" s="25">
        <v>6059456</v>
      </c>
      <c r="AT2511" t="s">
        <v>26</v>
      </c>
      <c r="AU2511" t="s">
        <v>25520</v>
      </c>
    </row>
    <row r="2512" spans="1:47" ht="39.4" x14ac:dyDescent="0.4">
      <c r="A2512" s="23" t="s">
        <v>6587</v>
      </c>
      <c r="B2512" t="s">
        <v>26</v>
      </c>
      <c r="C2512" s="23" t="s">
        <v>292</v>
      </c>
      <c r="D2512" s="23" t="s">
        <v>22256</v>
      </c>
      <c r="E2512" s="23" t="s">
        <v>42</v>
      </c>
      <c r="F2512" t="s">
        <v>26</v>
      </c>
      <c r="G2512" t="s">
        <v>26</v>
      </c>
      <c r="H2512" t="s">
        <v>26</v>
      </c>
      <c r="I2512" t="s">
        <v>26</v>
      </c>
      <c r="J2512" t="s">
        <v>26</v>
      </c>
      <c r="K2512" t="s">
        <v>26</v>
      </c>
      <c r="L2512" s="25" t="s">
        <v>28</v>
      </c>
      <c r="M2512" t="s">
        <v>26</v>
      </c>
      <c r="N2512" t="s">
        <v>26</v>
      </c>
      <c r="O2512" t="s">
        <v>26</v>
      </c>
      <c r="P2512" t="s">
        <v>26</v>
      </c>
      <c r="Q2512" t="s">
        <v>26</v>
      </c>
      <c r="R2512" t="s">
        <v>26</v>
      </c>
      <c r="S2512" t="s">
        <v>26</v>
      </c>
      <c r="T2512" t="s">
        <v>26</v>
      </c>
      <c r="U2512" t="s">
        <v>26</v>
      </c>
      <c r="V2512" t="s">
        <v>26</v>
      </c>
      <c r="W2512" s="24">
        <v>40179</v>
      </c>
      <c r="X2512" s="24">
        <v>40179</v>
      </c>
      <c r="Y2512" t="s">
        <v>26</v>
      </c>
      <c r="Z2512" s="24">
        <v>40179</v>
      </c>
      <c r="AA2512" s="24">
        <v>40179</v>
      </c>
      <c r="AB2512" t="s">
        <v>26</v>
      </c>
      <c r="AC2512" t="s">
        <v>26</v>
      </c>
      <c r="AD2512" t="s">
        <v>26</v>
      </c>
      <c r="AE2512" t="s">
        <v>26</v>
      </c>
      <c r="AF2512" t="s">
        <v>26</v>
      </c>
      <c r="AG2512" t="s">
        <v>26</v>
      </c>
      <c r="AH2512" t="s">
        <v>26</v>
      </c>
      <c r="AI2512" t="s">
        <v>26</v>
      </c>
      <c r="AJ2512" t="s">
        <v>26</v>
      </c>
      <c r="AK2512" t="s">
        <v>26</v>
      </c>
      <c r="AL2512" t="s">
        <v>26</v>
      </c>
      <c r="AM2512" t="s">
        <v>26</v>
      </c>
      <c r="AN2512" t="s">
        <v>26</v>
      </c>
      <c r="AO2512" s="25" t="s">
        <v>28</v>
      </c>
      <c r="AP2512" s="23" t="s">
        <v>5851</v>
      </c>
      <c r="AQ2512" s="23" t="s">
        <v>30</v>
      </c>
      <c r="AR2512" s="23" t="s">
        <v>147</v>
      </c>
      <c r="AS2512" s="25">
        <v>5485135</v>
      </c>
      <c r="AT2512" s="23" t="s">
        <v>22181</v>
      </c>
      <c r="AU2512" t="s">
        <v>25521</v>
      </c>
    </row>
    <row r="2513" spans="1:47" ht="39.4" x14ac:dyDescent="0.4">
      <c r="A2513" s="23" t="s">
        <v>6588</v>
      </c>
      <c r="B2513" t="s">
        <v>26</v>
      </c>
      <c r="C2513" s="23" t="s">
        <v>292</v>
      </c>
      <c r="D2513" s="23" t="s">
        <v>22256</v>
      </c>
      <c r="E2513" s="23" t="s">
        <v>42</v>
      </c>
      <c r="F2513" t="s">
        <v>26</v>
      </c>
      <c r="G2513" t="s">
        <v>26</v>
      </c>
      <c r="H2513" t="s">
        <v>26</v>
      </c>
      <c r="I2513" t="s">
        <v>26</v>
      </c>
      <c r="J2513" t="s">
        <v>26</v>
      </c>
      <c r="K2513" t="s">
        <v>26</v>
      </c>
      <c r="L2513" s="25" t="s">
        <v>28</v>
      </c>
      <c r="M2513" t="s">
        <v>26</v>
      </c>
      <c r="N2513" t="s">
        <v>26</v>
      </c>
      <c r="O2513" t="s">
        <v>26</v>
      </c>
      <c r="P2513" t="s">
        <v>26</v>
      </c>
      <c r="Q2513" t="s">
        <v>26</v>
      </c>
      <c r="R2513" t="s">
        <v>26</v>
      </c>
      <c r="S2513" t="s">
        <v>26</v>
      </c>
      <c r="T2513" t="s">
        <v>26</v>
      </c>
      <c r="U2513" t="s">
        <v>26</v>
      </c>
      <c r="V2513" t="s">
        <v>26</v>
      </c>
      <c r="W2513" s="24">
        <v>40179</v>
      </c>
      <c r="X2513" s="24">
        <v>40179</v>
      </c>
      <c r="Y2513" t="s">
        <v>26</v>
      </c>
      <c r="Z2513" s="24">
        <v>40179</v>
      </c>
      <c r="AA2513" s="24">
        <v>40179</v>
      </c>
      <c r="AB2513" t="s">
        <v>26</v>
      </c>
      <c r="AC2513" t="s">
        <v>26</v>
      </c>
      <c r="AD2513" t="s">
        <v>26</v>
      </c>
      <c r="AE2513" t="s">
        <v>26</v>
      </c>
      <c r="AF2513" t="s">
        <v>26</v>
      </c>
      <c r="AG2513" t="s">
        <v>26</v>
      </c>
      <c r="AH2513" t="s">
        <v>26</v>
      </c>
      <c r="AI2513" t="s">
        <v>26</v>
      </c>
      <c r="AJ2513" t="s">
        <v>26</v>
      </c>
      <c r="AK2513" t="s">
        <v>26</v>
      </c>
      <c r="AL2513" t="s">
        <v>26</v>
      </c>
      <c r="AM2513" t="s">
        <v>26</v>
      </c>
      <c r="AN2513" t="s">
        <v>26</v>
      </c>
      <c r="AO2513" s="25" t="s">
        <v>28</v>
      </c>
      <c r="AP2513" s="23" t="s">
        <v>5851</v>
      </c>
      <c r="AQ2513" s="23" t="s">
        <v>30</v>
      </c>
      <c r="AR2513" s="23" t="s">
        <v>147</v>
      </c>
      <c r="AS2513" s="25">
        <v>5485136</v>
      </c>
      <c r="AT2513" s="23" t="s">
        <v>22181</v>
      </c>
      <c r="AU2513" t="s">
        <v>25522</v>
      </c>
    </row>
    <row r="2514" spans="1:47" ht="39.4" x14ac:dyDescent="0.4">
      <c r="A2514" s="23" t="s">
        <v>6589</v>
      </c>
      <c r="B2514" t="s">
        <v>26</v>
      </c>
      <c r="C2514" s="23" t="s">
        <v>292</v>
      </c>
      <c r="D2514" s="23" t="s">
        <v>22256</v>
      </c>
      <c r="E2514" s="23" t="s">
        <v>42</v>
      </c>
      <c r="F2514" t="s">
        <v>26</v>
      </c>
      <c r="G2514" t="s">
        <v>26</v>
      </c>
      <c r="H2514" t="s">
        <v>26</v>
      </c>
      <c r="I2514" t="s">
        <v>26</v>
      </c>
      <c r="J2514" t="s">
        <v>26</v>
      </c>
      <c r="K2514" t="s">
        <v>26</v>
      </c>
      <c r="L2514" s="25" t="s">
        <v>28</v>
      </c>
      <c r="M2514" t="s">
        <v>26</v>
      </c>
      <c r="N2514" t="s">
        <v>26</v>
      </c>
      <c r="O2514" t="s">
        <v>26</v>
      </c>
      <c r="P2514" t="s">
        <v>26</v>
      </c>
      <c r="Q2514" t="s">
        <v>26</v>
      </c>
      <c r="R2514" t="s">
        <v>26</v>
      </c>
      <c r="S2514" t="s">
        <v>26</v>
      </c>
      <c r="T2514" t="s">
        <v>26</v>
      </c>
      <c r="U2514" t="s">
        <v>26</v>
      </c>
      <c r="V2514" t="s">
        <v>26</v>
      </c>
      <c r="W2514" s="24">
        <v>40179</v>
      </c>
      <c r="X2514" s="24">
        <v>40179</v>
      </c>
      <c r="Y2514" t="s">
        <v>26</v>
      </c>
      <c r="Z2514" s="24">
        <v>40179</v>
      </c>
      <c r="AA2514" s="24">
        <v>40179</v>
      </c>
      <c r="AB2514" t="s">
        <v>26</v>
      </c>
      <c r="AC2514" t="s">
        <v>26</v>
      </c>
      <c r="AD2514" t="s">
        <v>26</v>
      </c>
      <c r="AE2514" t="s">
        <v>26</v>
      </c>
      <c r="AF2514" t="s">
        <v>26</v>
      </c>
      <c r="AG2514" t="s">
        <v>26</v>
      </c>
      <c r="AH2514" t="s">
        <v>26</v>
      </c>
      <c r="AI2514" t="s">
        <v>26</v>
      </c>
      <c r="AJ2514" t="s">
        <v>26</v>
      </c>
      <c r="AK2514" t="s">
        <v>26</v>
      </c>
      <c r="AL2514" t="s">
        <v>26</v>
      </c>
      <c r="AM2514" t="s">
        <v>26</v>
      </c>
      <c r="AN2514" t="s">
        <v>26</v>
      </c>
      <c r="AO2514" s="25" t="s">
        <v>28</v>
      </c>
      <c r="AP2514" s="23" t="s">
        <v>5851</v>
      </c>
      <c r="AQ2514" s="23" t="s">
        <v>30</v>
      </c>
      <c r="AR2514" s="23" t="s">
        <v>147</v>
      </c>
      <c r="AS2514" s="25">
        <v>5485128</v>
      </c>
      <c r="AT2514" s="23" t="s">
        <v>22181</v>
      </c>
      <c r="AU2514" t="s">
        <v>25523</v>
      </c>
    </row>
    <row r="2515" spans="1:47" ht="39.4" x14ac:dyDescent="0.4">
      <c r="A2515" s="23" t="s">
        <v>6590</v>
      </c>
      <c r="B2515" t="s">
        <v>26</v>
      </c>
      <c r="C2515" s="23" t="s">
        <v>292</v>
      </c>
      <c r="D2515" s="23" t="s">
        <v>22256</v>
      </c>
      <c r="E2515" s="23" t="s">
        <v>42</v>
      </c>
      <c r="F2515" t="s">
        <v>26</v>
      </c>
      <c r="G2515" t="s">
        <v>26</v>
      </c>
      <c r="H2515" t="s">
        <v>26</v>
      </c>
      <c r="I2515" t="s">
        <v>26</v>
      </c>
      <c r="J2515" t="s">
        <v>26</v>
      </c>
      <c r="K2515" t="s">
        <v>26</v>
      </c>
      <c r="L2515" s="25" t="s">
        <v>28</v>
      </c>
      <c r="M2515" t="s">
        <v>26</v>
      </c>
      <c r="N2515" t="s">
        <v>26</v>
      </c>
      <c r="O2515" t="s">
        <v>26</v>
      </c>
      <c r="P2515" t="s">
        <v>26</v>
      </c>
      <c r="Q2515" t="s">
        <v>26</v>
      </c>
      <c r="R2515" t="s">
        <v>26</v>
      </c>
      <c r="S2515" t="s">
        <v>26</v>
      </c>
      <c r="T2515" t="s">
        <v>26</v>
      </c>
      <c r="U2515" t="s">
        <v>26</v>
      </c>
      <c r="V2515" t="s">
        <v>26</v>
      </c>
      <c r="W2515" s="24">
        <v>40179</v>
      </c>
      <c r="X2515" s="24">
        <v>40179</v>
      </c>
      <c r="Y2515" t="s">
        <v>26</v>
      </c>
      <c r="Z2515" s="24">
        <v>40179</v>
      </c>
      <c r="AA2515" s="24">
        <v>40179</v>
      </c>
      <c r="AB2515" t="s">
        <v>26</v>
      </c>
      <c r="AC2515" t="s">
        <v>26</v>
      </c>
      <c r="AD2515" t="s">
        <v>26</v>
      </c>
      <c r="AE2515" t="s">
        <v>26</v>
      </c>
      <c r="AF2515" t="s">
        <v>26</v>
      </c>
      <c r="AG2515" t="s">
        <v>26</v>
      </c>
      <c r="AH2515" t="s">
        <v>26</v>
      </c>
      <c r="AI2515" t="s">
        <v>26</v>
      </c>
      <c r="AJ2515" t="s">
        <v>26</v>
      </c>
      <c r="AK2515" t="s">
        <v>26</v>
      </c>
      <c r="AL2515" t="s">
        <v>26</v>
      </c>
      <c r="AM2515" t="s">
        <v>26</v>
      </c>
      <c r="AN2515" t="s">
        <v>26</v>
      </c>
      <c r="AO2515" s="25" t="s">
        <v>28</v>
      </c>
      <c r="AP2515" s="23" t="s">
        <v>5851</v>
      </c>
      <c r="AQ2515" s="23" t="s">
        <v>30</v>
      </c>
      <c r="AR2515" s="23" t="s">
        <v>147</v>
      </c>
      <c r="AS2515" s="25">
        <v>5485162</v>
      </c>
      <c r="AT2515" s="23" t="s">
        <v>22181</v>
      </c>
      <c r="AU2515" t="s">
        <v>25524</v>
      </c>
    </row>
    <row r="2516" spans="1:47" ht="39.4" x14ac:dyDescent="0.4">
      <c r="A2516" s="23" t="s">
        <v>6591</v>
      </c>
      <c r="B2516" t="s">
        <v>26</v>
      </c>
      <c r="C2516" s="23" t="s">
        <v>292</v>
      </c>
      <c r="D2516" s="23" t="s">
        <v>22256</v>
      </c>
      <c r="E2516" s="23" t="s">
        <v>42</v>
      </c>
      <c r="F2516" t="s">
        <v>26</v>
      </c>
      <c r="G2516" t="s">
        <v>26</v>
      </c>
      <c r="H2516" t="s">
        <v>26</v>
      </c>
      <c r="I2516" t="s">
        <v>26</v>
      </c>
      <c r="J2516" t="s">
        <v>26</v>
      </c>
      <c r="K2516" t="s">
        <v>26</v>
      </c>
      <c r="L2516" s="25" t="s">
        <v>28</v>
      </c>
      <c r="M2516" t="s">
        <v>26</v>
      </c>
      <c r="N2516" t="s">
        <v>26</v>
      </c>
      <c r="O2516" t="s">
        <v>26</v>
      </c>
      <c r="P2516" t="s">
        <v>26</v>
      </c>
      <c r="Q2516" t="s">
        <v>26</v>
      </c>
      <c r="R2516" t="s">
        <v>26</v>
      </c>
      <c r="S2516" t="s">
        <v>26</v>
      </c>
      <c r="T2516" t="s">
        <v>26</v>
      </c>
      <c r="U2516" t="s">
        <v>26</v>
      </c>
      <c r="V2516" t="s">
        <v>26</v>
      </c>
      <c r="W2516" s="24">
        <v>40179</v>
      </c>
      <c r="X2516" s="24">
        <v>40179</v>
      </c>
      <c r="Y2516" t="s">
        <v>26</v>
      </c>
      <c r="Z2516" s="24">
        <v>40179</v>
      </c>
      <c r="AA2516" s="24">
        <v>40179</v>
      </c>
      <c r="AB2516" t="s">
        <v>26</v>
      </c>
      <c r="AC2516" t="s">
        <v>26</v>
      </c>
      <c r="AD2516" t="s">
        <v>26</v>
      </c>
      <c r="AE2516" t="s">
        <v>26</v>
      </c>
      <c r="AF2516" t="s">
        <v>26</v>
      </c>
      <c r="AG2516" t="s">
        <v>26</v>
      </c>
      <c r="AH2516" t="s">
        <v>26</v>
      </c>
      <c r="AI2516" t="s">
        <v>26</v>
      </c>
      <c r="AJ2516" t="s">
        <v>26</v>
      </c>
      <c r="AK2516" t="s">
        <v>26</v>
      </c>
      <c r="AL2516" t="s">
        <v>26</v>
      </c>
      <c r="AM2516" t="s">
        <v>26</v>
      </c>
      <c r="AN2516" t="s">
        <v>26</v>
      </c>
      <c r="AO2516" s="25" t="s">
        <v>28</v>
      </c>
      <c r="AP2516" s="23" t="s">
        <v>5851</v>
      </c>
      <c r="AQ2516" s="23" t="s">
        <v>30</v>
      </c>
      <c r="AR2516" s="23" t="s">
        <v>147</v>
      </c>
      <c r="AS2516" s="25">
        <v>5485163</v>
      </c>
      <c r="AT2516" s="23" t="s">
        <v>22181</v>
      </c>
      <c r="AU2516" t="s">
        <v>25525</v>
      </c>
    </row>
    <row r="2517" spans="1:47" ht="39.4" x14ac:dyDescent="0.4">
      <c r="A2517" s="23" t="s">
        <v>6592</v>
      </c>
      <c r="B2517" t="s">
        <v>26</v>
      </c>
      <c r="C2517" s="23" t="s">
        <v>292</v>
      </c>
      <c r="D2517" s="23" t="s">
        <v>22256</v>
      </c>
      <c r="E2517" s="23" t="s">
        <v>42</v>
      </c>
      <c r="F2517" t="s">
        <v>26</v>
      </c>
      <c r="G2517" t="s">
        <v>26</v>
      </c>
      <c r="H2517" t="s">
        <v>26</v>
      </c>
      <c r="I2517" s="24">
        <v>40179</v>
      </c>
      <c r="J2517" s="24">
        <v>40179</v>
      </c>
      <c r="K2517" t="s">
        <v>26</v>
      </c>
      <c r="L2517" s="25" t="s">
        <v>28</v>
      </c>
      <c r="M2517" t="s">
        <v>26</v>
      </c>
      <c r="N2517" t="s">
        <v>26</v>
      </c>
      <c r="O2517" t="s">
        <v>26</v>
      </c>
      <c r="P2517" s="24">
        <v>40179</v>
      </c>
      <c r="Q2517" s="24">
        <v>40179</v>
      </c>
      <c r="R2517" t="s">
        <v>26</v>
      </c>
      <c r="S2517" t="s">
        <v>26</v>
      </c>
      <c r="T2517" t="s">
        <v>26</v>
      </c>
      <c r="U2517" t="s">
        <v>26</v>
      </c>
      <c r="V2517" t="s">
        <v>26</v>
      </c>
      <c r="W2517" s="24">
        <v>40179</v>
      </c>
      <c r="X2517" s="24">
        <v>40179</v>
      </c>
      <c r="Y2517" t="s">
        <v>26</v>
      </c>
      <c r="Z2517" s="24">
        <v>40179</v>
      </c>
      <c r="AA2517" s="24">
        <v>40179</v>
      </c>
      <c r="AB2517" t="s">
        <v>26</v>
      </c>
      <c r="AC2517" t="s">
        <v>26</v>
      </c>
      <c r="AD2517" t="s">
        <v>26</v>
      </c>
      <c r="AE2517" t="s">
        <v>26</v>
      </c>
      <c r="AF2517" t="s">
        <v>26</v>
      </c>
      <c r="AG2517" t="s">
        <v>26</v>
      </c>
      <c r="AH2517" t="s">
        <v>26</v>
      </c>
      <c r="AI2517" t="s">
        <v>26</v>
      </c>
      <c r="AJ2517" t="s">
        <v>26</v>
      </c>
      <c r="AK2517" t="s">
        <v>26</v>
      </c>
      <c r="AL2517" t="s">
        <v>26</v>
      </c>
      <c r="AM2517" t="s">
        <v>26</v>
      </c>
      <c r="AN2517" t="s">
        <v>26</v>
      </c>
      <c r="AO2517" s="25" t="s">
        <v>28</v>
      </c>
      <c r="AP2517" s="23" t="s">
        <v>5851</v>
      </c>
      <c r="AQ2517" s="23" t="s">
        <v>30</v>
      </c>
      <c r="AR2517" s="23" t="s">
        <v>147</v>
      </c>
      <c r="AS2517" s="25">
        <v>5325180</v>
      </c>
      <c r="AT2517" s="23" t="s">
        <v>22181</v>
      </c>
      <c r="AU2517" t="s">
        <v>25526</v>
      </c>
    </row>
    <row r="2518" spans="1:47" ht="39.4" x14ac:dyDescent="0.4">
      <c r="A2518" s="23" t="s">
        <v>6593</v>
      </c>
      <c r="B2518" t="s">
        <v>26</v>
      </c>
      <c r="C2518" s="23" t="s">
        <v>292</v>
      </c>
      <c r="D2518" s="23" t="s">
        <v>22256</v>
      </c>
      <c r="E2518" s="23" t="s">
        <v>42</v>
      </c>
      <c r="F2518" t="s">
        <v>26</v>
      </c>
      <c r="G2518" t="s">
        <v>26</v>
      </c>
      <c r="H2518" t="s">
        <v>26</v>
      </c>
      <c r="I2518" t="s">
        <v>26</v>
      </c>
      <c r="J2518" t="s">
        <v>26</v>
      </c>
      <c r="K2518" t="s">
        <v>26</v>
      </c>
      <c r="L2518" s="25" t="s">
        <v>28</v>
      </c>
      <c r="M2518" t="s">
        <v>26</v>
      </c>
      <c r="N2518" t="s">
        <v>26</v>
      </c>
      <c r="O2518" t="s">
        <v>26</v>
      </c>
      <c r="P2518" t="s">
        <v>26</v>
      </c>
      <c r="Q2518" t="s">
        <v>26</v>
      </c>
      <c r="R2518" t="s">
        <v>26</v>
      </c>
      <c r="S2518" t="s">
        <v>26</v>
      </c>
      <c r="T2518" t="s">
        <v>26</v>
      </c>
      <c r="U2518" t="s">
        <v>26</v>
      </c>
      <c r="V2518" t="s">
        <v>26</v>
      </c>
      <c r="W2518" s="24">
        <v>40179</v>
      </c>
      <c r="X2518" s="24">
        <v>40179</v>
      </c>
      <c r="Y2518" t="s">
        <v>26</v>
      </c>
      <c r="Z2518" s="24">
        <v>40179</v>
      </c>
      <c r="AA2518" s="24">
        <v>40179</v>
      </c>
      <c r="AB2518" t="s">
        <v>26</v>
      </c>
      <c r="AC2518" t="s">
        <v>26</v>
      </c>
      <c r="AD2518" t="s">
        <v>26</v>
      </c>
      <c r="AE2518" t="s">
        <v>26</v>
      </c>
      <c r="AF2518" t="s">
        <v>26</v>
      </c>
      <c r="AG2518" t="s">
        <v>26</v>
      </c>
      <c r="AH2518" t="s">
        <v>26</v>
      </c>
      <c r="AI2518" t="s">
        <v>26</v>
      </c>
      <c r="AJ2518" t="s">
        <v>26</v>
      </c>
      <c r="AK2518" t="s">
        <v>26</v>
      </c>
      <c r="AL2518" t="s">
        <v>26</v>
      </c>
      <c r="AM2518" t="s">
        <v>26</v>
      </c>
      <c r="AN2518" t="s">
        <v>26</v>
      </c>
      <c r="AO2518" s="25" t="s">
        <v>28</v>
      </c>
      <c r="AP2518" s="23" t="s">
        <v>5851</v>
      </c>
      <c r="AQ2518" s="23" t="s">
        <v>30</v>
      </c>
      <c r="AR2518" s="23" t="s">
        <v>147</v>
      </c>
      <c r="AS2518" s="25">
        <v>5485169</v>
      </c>
      <c r="AT2518" s="23" t="s">
        <v>22181</v>
      </c>
      <c r="AU2518" t="s">
        <v>25527</v>
      </c>
    </row>
    <row r="2519" spans="1:47" ht="39.4" x14ac:dyDescent="0.4">
      <c r="A2519" s="23" t="s">
        <v>6594</v>
      </c>
      <c r="B2519" t="s">
        <v>26</v>
      </c>
      <c r="C2519" s="23" t="s">
        <v>292</v>
      </c>
      <c r="D2519" s="23" t="s">
        <v>22256</v>
      </c>
      <c r="E2519" s="23" t="s">
        <v>42</v>
      </c>
      <c r="F2519" t="s">
        <v>26</v>
      </c>
      <c r="G2519" t="s">
        <v>26</v>
      </c>
      <c r="H2519" t="s">
        <v>26</v>
      </c>
      <c r="I2519" t="s">
        <v>26</v>
      </c>
      <c r="J2519" t="s">
        <v>26</v>
      </c>
      <c r="K2519" t="s">
        <v>26</v>
      </c>
      <c r="L2519" s="25" t="s">
        <v>28</v>
      </c>
      <c r="M2519" t="s">
        <v>26</v>
      </c>
      <c r="N2519" t="s">
        <v>26</v>
      </c>
      <c r="O2519" t="s">
        <v>26</v>
      </c>
      <c r="P2519" t="s">
        <v>26</v>
      </c>
      <c r="Q2519" t="s">
        <v>26</v>
      </c>
      <c r="R2519" t="s">
        <v>26</v>
      </c>
      <c r="S2519" t="s">
        <v>26</v>
      </c>
      <c r="T2519" t="s">
        <v>26</v>
      </c>
      <c r="U2519" t="s">
        <v>26</v>
      </c>
      <c r="V2519" t="s">
        <v>26</v>
      </c>
      <c r="W2519" s="24">
        <v>40179</v>
      </c>
      <c r="X2519" s="24">
        <v>40179</v>
      </c>
      <c r="Y2519" t="s">
        <v>26</v>
      </c>
      <c r="Z2519" s="24">
        <v>40179</v>
      </c>
      <c r="AA2519" s="24">
        <v>40179</v>
      </c>
      <c r="AB2519" t="s">
        <v>26</v>
      </c>
      <c r="AC2519" t="s">
        <v>26</v>
      </c>
      <c r="AD2519" t="s">
        <v>26</v>
      </c>
      <c r="AE2519" t="s">
        <v>26</v>
      </c>
      <c r="AF2519" t="s">
        <v>26</v>
      </c>
      <c r="AG2519" t="s">
        <v>26</v>
      </c>
      <c r="AH2519" t="s">
        <v>26</v>
      </c>
      <c r="AI2519" t="s">
        <v>26</v>
      </c>
      <c r="AJ2519" t="s">
        <v>26</v>
      </c>
      <c r="AK2519" t="s">
        <v>26</v>
      </c>
      <c r="AL2519" t="s">
        <v>26</v>
      </c>
      <c r="AM2519" t="s">
        <v>26</v>
      </c>
      <c r="AN2519" t="s">
        <v>26</v>
      </c>
      <c r="AO2519" s="25" t="s">
        <v>28</v>
      </c>
      <c r="AP2519" s="23" t="s">
        <v>5851</v>
      </c>
      <c r="AQ2519" s="23" t="s">
        <v>30</v>
      </c>
      <c r="AR2519" s="23" t="s">
        <v>147</v>
      </c>
      <c r="AS2519" s="25">
        <v>5485129</v>
      </c>
      <c r="AT2519" s="23" t="s">
        <v>22181</v>
      </c>
      <c r="AU2519" t="s">
        <v>25528</v>
      </c>
    </row>
    <row r="2520" spans="1:47" ht="39.4" x14ac:dyDescent="0.4">
      <c r="A2520" s="23" t="s">
        <v>6595</v>
      </c>
      <c r="B2520" t="s">
        <v>26</v>
      </c>
      <c r="C2520" s="23" t="s">
        <v>292</v>
      </c>
      <c r="D2520" s="23" t="s">
        <v>22256</v>
      </c>
      <c r="E2520" s="23" t="s">
        <v>42</v>
      </c>
      <c r="F2520" t="s">
        <v>26</v>
      </c>
      <c r="G2520" t="s">
        <v>26</v>
      </c>
      <c r="H2520" t="s">
        <v>26</v>
      </c>
      <c r="I2520" t="s">
        <v>26</v>
      </c>
      <c r="J2520" t="s">
        <v>26</v>
      </c>
      <c r="K2520" t="s">
        <v>26</v>
      </c>
      <c r="L2520" s="25" t="s">
        <v>28</v>
      </c>
      <c r="M2520" t="s">
        <v>26</v>
      </c>
      <c r="N2520" t="s">
        <v>26</v>
      </c>
      <c r="O2520" t="s">
        <v>26</v>
      </c>
      <c r="P2520" t="s">
        <v>26</v>
      </c>
      <c r="Q2520" t="s">
        <v>26</v>
      </c>
      <c r="R2520" t="s">
        <v>26</v>
      </c>
      <c r="S2520" t="s">
        <v>26</v>
      </c>
      <c r="T2520" t="s">
        <v>26</v>
      </c>
      <c r="U2520" t="s">
        <v>26</v>
      </c>
      <c r="V2520" t="s">
        <v>26</v>
      </c>
      <c r="W2520" s="24">
        <v>40179</v>
      </c>
      <c r="X2520" s="24">
        <v>40179</v>
      </c>
      <c r="Y2520" t="s">
        <v>26</v>
      </c>
      <c r="Z2520" s="24">
        <v>40179</v>
      </c>
      <c r="AA2520" s="24">
        <v>40179</v>
      </c>
      <c r="AB2520" t="s">
        <v>26</v>
      </c>
      <c r="AC2520" t="s">
        <v>26</v>
      </c>
      <c r="AD2520" t="s">
        <v>26</v>
      </c>
      <c r="AE2520" t="s">
        <v>26</v>
      </c>
      <c r="AF2520" t="s">
        <v>26</v>
      </c>
      <c r="AG2520" t="s">
        <v>26</v>
      </c>
      <c r="AH2520" t="s">
        <v>26</v>
      </c>
      <c r="AI2520" t="s">
        <v>26</v>
      </c>
      <c r="AJ2520" t="s">
        <v>26</v>
      </c>
      <c r="AK2520" t="s">
        <v>26</v>
      </c>
      <c r="AL2520" t="s">
        <v>26</v>
      </c>
      <c r="AM2520" t="s">
        <v>26</v>
      </c>
      <c r="AN2520" t="s">
        <v>26</v>
      </c>
      <c r="AO2520" s="25" t="s">
        <v>28</v>
      </c>
      <c r="AP2520" s="23" t="s">
        <v>5851</v>
      </c>
      <c r="AQ2520" s="23" t="s">
        <v>30</v>
      </c>
      <c r="AR2520" s="23" t="s">
        <v>147</v>
      </c>
      <c r="AS2520" s="25">
        <v>5485131</v>
      </c>
      <c r="AT2520" s="23" t="s">
        <v>22181</v>
      </c>
      <c r="AU2520" t="s">
        <v>25529</v>
      </c>
    </row>
    <row r="2521" spans="1:47" ht="39.4" x14ac:dyDescent="0.4">
      <c r="A2521" s="23" t="s">
        <v>6596</v>
      </c>
      <c r="B2521" t="s">
        <v>26</v>
      </c>
      <c r="C2521" s="23" t="s">
        <v>292</v>
      </c>
      <c r="D2521" s="23" t="s">
        <v>22256</v>
      </c>
      <c r="E2521" s="23" t="s">
        <v>42</v>
      </c>
      <c r="F2521" t="s">
        <v>26</v>
      </c>
      <c r="G2521" t="s">
        <v>26</v>
      </c>
      <c r="H2521" t="s">
        <v>26</v>
      </c>
      <c r="I2521" t="s">
        <v>26</v>
      </c>
      <c r="J2521" t="s">
        <v>26</v>
      </c>
      <c r="K2521" t="s">
        <v>26</v>
      </c>
      <c r="L2521" s="25" t="s">
        <v>28</v>
      </c>
      <c r="M2521" t="s">
        <v>26</v>
      </c>
      <c r="N2521" t="s">
        <v>26</v>
      </c>
      <c r="O2521" t="s">
        <v>26</v>
      </c>
      <c r="P2521" t="s">
        <v>26</v>
      </c>
      <c r="Q2521" t="s">
        <v>26</v>
      </c>
      <c r="R2521" t="s">
        <v>26</v>
      </c>
      <c r="S2521" t="s">
        <v>26</v>
      </c>
      <c r="T2521" t="s">
        <v>26</v>
      </c>
      <c r="U2521" t="s">
        <v>26</v>
      </c>
      <c r="V2521" t="s">
        <v>26</v>
      </c>
      <c r="W2521" s="24">
        <v>40179</v>
      </c>
      <c r="X2521" s="24">
        <v>40179</v>
      </c>
      <c r="Y2521" t="s">
        <v>26</v>
      </c>
      <c r="Z2521" s="24">
        <v>40179</v>
      </c>
      <c r="AA2521" s="24">
        <v>40179</v>
      </c>
      <c r="AB2521" t="s">
        <v>26</v>
      </c>
      <c r="AC2521" t="s">
        <v>26</v>
      </c>
      <c r="AD2521" t="s">
        <v>26</v>
      </c>
      <c r="AE2521" t="s">
        <v>26</v>
      </c>
      <c r="AF2521" t="s">
        <v>26</v>
      </c>
      <c r="AG2521" t="s">
        <v>26</v>
      </c>
      <c r="AH2521" t="s">
        <v>26</v>
      </c>
      <c r="AI2521" t="s">
        <v>26</v>
      </c>
      <c r="AJ2521" t="s">
        <v>26</v>
      </c>
      <c r="AK2521" t="s">
        <v>26</v>
      </c>
      <c r="AL2521" t="s">
        <v>26</v>
      </c>
      <c r="AM2521" t="s">
        <v>26</v>
      </c>
      <c r="AN2521" t="s">
        <v>26</v>
      </c>
      <c r="AO2521" s="25" t="s">
        <v>28</v>
      </c>
      <c r="AP2521" s="23" t="s">
        <v>5851</v>
      </c>
      <c r="AQ2521" s="23" t="s">
        <v>30</v>
      </c>
      <c r="AR2521" s="23" t="s">
        <v>147</v>
      </c>
      <c r="AS2521" s="25">
        <v>5485130</v>
      </c>
      <c r="AT2521" s="23" t="s">
        <v>22181</v>
      </c>
      <c r="AU2521" t="s">
        <v>25530</v>
      </c>
    </row>
    <row r="2522" spans="1:47" ht="39.4" x14ac:dyDescent="0.4">
      <c r="A2522" s="23" t="s">
        <v>6597</v>
      </c>
      <c r="B2522" t="s">
        <v>26</v>
      </c>
      <c r="C2522" s="23" t="s">
        <v>292</v>
      </c>
      <c r="D2522" s="23" t="s">
        <v>22256</v>
      </c>
      <c r="E2522" s="23" t="s">
        <v>42</v>
      </c>
      <c r="F2522" t="s">
        <v>26</v>
      </c>
      <c r="G2522" t="s">
        <v>26</v>
      </c>
      <c r="H2522" t="s">
        <v>26</v>
      </c>
      <c r="I2522" t="s">
        <v>26</v>
      </c>
      <c r="J2522" t="s">
        <v>26</v>
      </c>
      <c r="K2522" t="s">
        <v>26</v>
      </c>
      <c r="L2522" s="25" t="s">
        <v>28</v>
      </c>
      <c r="M2522" t="s">
        <v>26</v>
      </c>
      <c r="N2522" t="s">
        <v>26</v>
      </c>
      <c r="O2522" t="s">
        <v>26</v>
      </c>
      <c r="P2522" t="s">
        <v>26</v>
      </c>
      <c r="Q2522" t="s">
        <v>26</v>
      </c>
      <c r="R2522" t="s">
        <v>26</v>
      </c>
      <c r="S2522" t="s">
        <v>26</v>
      </c>
      <c r="T2522" t="s">
        <v>26</v>
      </c>
      <c r="U2522" t="s">
        <v>26</v>
      </c>
      <c r="V2522" t="s">
        <v>26</v>
      </c>
      <c r="W2522" s="24">
        <v>40179</v>
      </c>
      <c r="X2522" s="24">
        <v>40179</v>
      </c>
      <c r="Y2522" t="s">
        <v>26</v>
      </c>
      <c r="Z2522" s="24">
        <v>40179</v>
      </c>
      <c r="AA2522" s="24">
        <v>40179</v>
      </c>
      <c r="AB2522" t="s">
        <v>26</v>
      </c>
      <c r="AC2522" t="s">
        <v>26</v>
      </c>
      <c r="AD2522" t="s">
        <v>26</v>
      </c>
      <c r="AE2522" t="s">
        <v>26</v>
      </c>
      <c r="AF2522" t="s">
        <v>26</v>
      </c>
      <c r="AG2522" t="s">
        <v>26</v>
      </c>
      <c r="AH2522" t="s">
        <v>26</v>
      </c>
      <c r="AI2522" t="s">
        <v>26</v>
      </c>
      <c r="AJ2522" t="s">
        <v>26</v>
      </c>
      <c r="AK2522" t="s">
        <v>26</v>
      </c>
      <c r="AL2522" t="s">
        <v>26</v>
      </c>
      <c r="AM2522" t="s">
        <v>26</v>
      </c>
      <c r="AN2522" t="s">
        <v>26</v>
      </c>
      <c r="AO2522" s="25" t="s">
        <v>28</v>
      </c>
      <c r="AP2522" s="23" t="s">
        <v>5851</v>
      </c>
      <c r="AQ2522" s="23" t="s">
        <v>30</v>
      </c>
      <c r="AR2522" s="23" t="s">
        <v>147</v>
      </c>
      <c r="AS2522" s="25">
        <v>5485168</v>
      </c>
      <c r="AT2522" s="23" t="s">
        <v>22181</v>
      </c>
      <c r="AU2522" t="s">
        <v>25531</v>
      </c>
    </row>
    <row r="2523" spans="1:47" ht="39.4" x14ac:dyDescent="0.4">
      <c r="A2523" s="23" t="s">
        <v>6598</v>
      </c>
      <c r="B2523" t="s">
        <v>26</v>
      </c>
      <c r="C2523" s="23" t="s">
        <v>292</v>
      </c>
      <c r="D2523" s="23" t="s">
        <v>22256</v>
      </c>
      <c r="E2523" s="23" t="s">
        <v>42</v>
      </c>
      <c r="F2523" t="s">
        <v>26</v>
      </c>
      <c r="G2523" t="s">
        <v>26</v>
      </c>
      <c r="H2523" t="s">
        <v>26</v>
      </c>
      <c r="I2523" t="s">
        <v>26</v>
      </c>
      <c r="J2523" t="s">
        <v>26</v>
      </c>
      <c r="K2523" t="s">
        <v>26</v>
      </c>
      <c r="L2523" s="25" t="s">
        <v>28</v>
      </c>
      <c r="M2523" t="s">
        <v>26</v>
      </c>
      <c r="N2523" t="s">
        <v>26</v>
      </c>
      <c r="O2523" t="s">
        <v>26</v>
      </c>
      <c r="P2523" t="s">
        <v>26</v>
      </c>
      <c r="Q2523" t="s">
        <v>26</v>
      </c>
      <c r="R2523" t="s">
        <v>26</v>
      </c>
      <c r="S2523" t="s">
        <v>26</v>
      </c>
      <c r="T2523" t="s">
        <v>26</v>
      </c>
      <c r="U2523" t="s">
        <v>26</v>
      </c>
      <c r="V2523" t="s">
        <v>26</v>
      </c>
      <c r="W2523" s="24">
        <v>40179</v>
      </c>
      <c r="X2523" s="24">
        <v>40179</v>
      </c>
      <c r="Y2523" t="s">
        <v>26</v>
      </c>
      <c r="Z2523" s="24">
        <v>40179</v>
      </c>
      <c r="AA2523" s="24">
        <v>40179</v>
      </c>
      <c r="AB2523" t="s">
        <v>26</v>
      </c>
      <c r="AC2523" t="s">
        <v>26</v>
      </c>
      <c r="AD2523" t="s">
        <v>26</v>
      </c>
      <c r="AE2523" t="s">
        <v>26</v>
      </c>
      <c r="AF2523" t="s">
        <v>26</v>
      </c>
      <c r="AG2523" t="s">
        <v>26</v>
      </c>
      <c r="AH2523" t="s">
        <v>26</v>
      </c>
      <c r="AI2523" t="s">
        <v>26</v>
      </c>
      <c r="AJ2523" t="s">
        <v>26</v>
      </c>
      <c r="AK2523" t="s">
        <v>26</v>
      </c>
      <c r="AL2523" t="s">
        <v>26</v>
      </c>
      <c r="AM2523" t="s">
        <v>26</v>
      </c>
      <c r="AN2523" t="s">
        <v>26</v>
      </c>
      <c r="AO2523" s="25" t="s">
        <v>28</v>
      </c>
      <c r="AP2523" s="23" t="s">
        <v>5851</v>
      </c>
      <c r="AQ2523" s="23" t="s">
        <v>30</v>
      </c>
      <c r="AR2523" s="23" t="s">
        <v>147</v>
      </c>
      <c r="AS2523" s="25">
        <v>5485167</v>
      </c>
      <c r="AT2523" s="23" t="s">
        <v>22181</v>
      </c>
      <c r="AU2523" t="s">
        <v>25532</v>
      </c>
    </row>
    <row r="2524" spans="1:47" ht="39.4" x14ac:dyDescent="0.4">
      <c r="A2524" s="23" t="s">
        <v>6599</v>
      </c>
      <c r="B2524" t="s">
        <v>26</v>
      </c>
      <c r="C2524" s="23" t="s">
        <v>292</v>
      </c>
      <c r="D2524" s="23" t="s">
        <v>22256</v>
      </c>
      <c r="E2524" s="23" t="s">
        <v>42</v>
      </c>
      <c r="F2524" t="s">
        <v>26</v>
      </c>
      <c r="G2524" t="s">
        <v>26</v>
      </c>
      <c r="H2524" t="s">
        <v>26</v>
      </c>
      <c r="I2524" t="s">
        <v>26</v>
      </c>
      <c r="J2524" t="s">
        <v>26</v>
      </c>
      <c r="K2524" t="s">
        <v>26</v>
      </c>
      <c r="L2524" s="25" t="s">
        <v>28</v>
      </c>
      <c r="M2524" t="s">
        <v>26</v>
      </c>
      <c r="N2524" t="s">
        <v>26</v>
      </c>
      <c r="O2524" t="s">
        <v>26</v>
      </c>
      <c r="P2524" t="s">
        <v>26</v>
      </c>
      <c r="Q2524" t="s">
        <v>26</v>
      </c>
      <c r="R2524" t="s">
        <v>26</v>
      </c>
      <c r="S2524" t="s">
        <v>26</v>
      </c>
      <c r="T2524" t="s">
        <v>26</v>
      </c>
      <c r="U2524" t="s">
        <v>26</v>
      </c>
      <c r="V2524" t="s">
        <v>26</v>
      </c>
      <c r="W2524" s="24">
        <v>40179</v>
      </c>
      <c r="X2524" s="24">
        <v>40179</v>
      </c>
      <c r="Y2524" t="s">
        <v>26</v>
      </c>
      <c r="Z2524" s="24">
        <v>40179</v>
      </c>
      <c r="AA2524" s="24">
        <v>40179</v>
      </c>
      <c r="AB2524" t="s">
        <v>26</v>
      </c>
      <c r="AC2524" t="s">
        <v>26</v>
      </c>
      <c r="AD2524" t="s">
        <v>26</v>
      </c>
      <c r="AE2524" t="s">
        <v>26</v>
      </c>
      <c r="AF2524" t="s">
        <v>26</v>
      </c>
      <c r="AG2524" t="s">
        <v>26</v>
      </c>
      <c r="AH2524" t="s">
        <v>26</v>
      </c>
      <c r="AI2524" t="s">
        <v>26</v>
      </c>
      <c r="AJ2524" t="s">
        <v>26</v>
      </c>
      <c r="AK2524" t="s">
        <v>26</v>
      </c>
      <c r="AL2524" t="s">
        <v>26</v>
      </c>
      <c r="AM2524" t="s">
        <v>26</v>
      </c>
      <c r="AN2524" t="s">
        <v>26</v>
      </c>
      <c r="AO2524" s="25" t="s">
        <v>28</v>
      </c>
      <c r="AP2524" s="23" t="s">
        <v>5851</v>
      </c>
      <c r="AQ2524" s="23" t="s">
        <v>30</v>
      </c>
      <c r="AR2524" s="23" t="s">
        <v>147</v>
      </c>
      <c r="AS2524" s="25">
        <v>5485166</v>
      </c>
      <c r="AT2524" s="23" t="s">
        <v>22181</v>
      </c>
      <c r="AU2524" t="s">
        <v>25533</v>
      </c>
    </row>
    <row r="2525" spans="1:47" ht="39.4" x14ac:dyDescent="0.4">
      <c r="A2525" s="23" t="s">
        <v>6600</v>
      </c>
      <c r="B2525" t="s">
        <v>26</v>
      </c>
      <c r="C2525" s="23" t="s">
        <v>292</v>
      </c>
      <c r="D2525" s="23" t="s">
        <v>22256</v>
      </c>
      <c r="E2525" s="23" t="s">
        <v>42</v>
      </c>
      <c r="F2525" t="s">
        <v>26</v>
      </c>
      <c r="G2525" t="s">
        <v>26</v>
      </c>
      <c r="H2525" t="s">
        <v>26</v>
      </c>
      <c r="I2525" t="s">
        <v>26</v>
      </c>
      <c r="J2525" t="s">
        <v>26</v>
      </c>
      <c r="K2525" t="s">
        <v>26</v>
      </c>
      <c r="L2525" s="25" t="s">
        <v>28</v>
      </c>
      <c r="M2525" t="s">
        <v>26</v>
      </c>
      <c r="N2525" t="s">
        <v>26</v>
      </c>
      <c r="O2525" t="s">
        <v>26</v>
      </c>
      <c r="P2525" t="s">
        <v>26</v>
      </c>
      <c r="Q2525" t="s">
        <v>26</v>
      </c>
      <c r="R2525" t="s">
        <v>26</v>
      </c>
      <c r="S2525" t="s">
        <v>26</v>
      </c>
      <c r="T2525" t="s">
        <v>26</v>
      </c>
      <c r="U2525" t="s">
        <v>26</v>
      </c>
      <c r="V2525" t="s">
        <v>26</v>
      </c>
      <c r="W2525" s="24">
        <v>40179</v>
      </c>
      <c r="X2525" s="24">
        <v>40179</v>
      </c>
      <c r="Y2525" t="s">
        <v>26</v>
      </c>
      <c r="Z2525" s="24">
        <v>40179</v>
      </c>
      <c r="AA2525" s="24">
        <v>40179</v>
      </c>
      <c r="AB2525" t="s">
        <v>26</v>
      </c>
      <c r="AC2525" t="s">
        <v>26</v>
      </c>
      <c r="AD2525" t="s">
        <v>26</v>
      </c>
      <c r="AE2525" t="s">
        <v>26</v>
      </c>
      <c r="AF2525" t="s">
        <v>26</v>
      </c>
      <c r="AG2525" t="s">
        <v>26</v>
      </c>
      <c r="AH2525" t="s">
        <v>26</v>
      </c>
      <c r="AI2525" t="s">
        <v>26</v>
      </c>
      <c r="AJ2525" t="s">
        <v>26</v>
      </c>
      <c r="AK2525" t="s">
        <v>26</v>
      </c>
      <c r="AL2525" t="s">
        <v>26</v>
      </c>
      <c r="AM2525" t="s">
        <v>26</v>
      </c>
      <c r="AN2525" t="s">
        <v>26</v>
      </c>
      <c r="AO2525" s="25" t="s">
        <v>28</v>
      </c>
      <c r="AP2525" s="23" t="s">
        <v>5851</v>
      </c>
      <c r="AQ2525" s="23" t="s">
        <v>30</v>
      </c>
      <c r="AR2525" s="23" t="s">
        <v>147</v>
      </c>
      <c r="AS2525" s="25">
        <v>5485165</v>
      </c>
      <c r="AT2525" s="23" t="s">
        <v>22181</v>
      </c>
      <c r="AU2525" t="s">
        <v>25534</v>
      </c>
    </row>
    <row r="2526" spans="1:47" ht="39.4" x14ac:dyDescent="0.4">
      <c r="A2526" s="23" t="s">
        <v>6601</v>
      </c>
      <c r="B2526" t="s">
        <v>26</v>
      </c>
      <c r="C2526" s="23" t="s">
        <v>292</v>
      </c>
      <c r="D2526" s="23" t="s">
        <v>22256</v>
      </c>
      <c r="E2526" s="23" t="s">
        <v>42</v>
      </c>
      <c r="F2526" t="s">
        <v>26</v>
      </c>
      <c r="G2526" t="s">
        <v>26</v>
      </c>
      <c r="H2526" t="s">
        <v>26</v>
      </c>
      <c r="I2526" t="s">
        <v>26</v>
      </c>
      <c r="J2526" t="s">
        <v>26</v>
      </c>
      <c r="K2526" t="s">
        <v>26</v>
      </c>
      <c r="L2526" s="25" t="s">
        <v>28</v>
      </c>
      <c r="M2526" t="s">
        <v>26</v>
      </c>
      <c r="N2526" t="s">
        <v>26</v>
      </c>
      <c r="O2526" t="s">
        <v>26</v>
      </c>
      <c r="P2526" t="s">
        <v>26</v>
      </c>
      <c r="Q2526" t="s">
        <v>26</v>
      </c>
      <c r="R2526" t="s">
        <v>26</v>
      </c>
      <c r="S2526" t="s">
        <v>26</v>
      </c>
      <c r="T2526" t="s">
        <v>26</v>
      </c>
      <c r="U2526" t="s">
        <v>26</v>
      </c>
      <c r="V2526" t="s">
        <v>26</v>
      </c>
      <c r="W2526" s="24">
        <v>40179</v>
      </c>
      <c r="X2526" s="24">
        <v>40179</v>
      </c>
      <c r="Y2526" t="s">
        <v>26</v>
      </c>
      <c r="Z2526" s="24">
        <v>40179</v>
      </c>
      <c r="AA2526" s="24">
        <v>40179</v>
      </c>
      <c r="AB2526" t="s">
        <v>26</v>
      </c>
      <c r="AC2526" t="s">
        <v>26</v>
      </c>
      <c r="AD2526" t="s">
        <v>26</v>
      </c>
      <c r="AE2526" t="s">
        <v>26</v>
      </c>
      <c r="AF2526" t="s">
        <v>26</v>
      </c>
      <c r="AG2526" t="s">
        <v>26</v>
      </c>
      <c r="AH2526" t="s">
        <v>26</v>
      </c>
      <c r="AI2526" t="s">
        <v>26</v>
      </c>
      <c r="AJ2526" t="s">
        <v>26</v>
      </c>
      <c r="AK2526" t="s">
        <v>26</v>
      </c>
      <c r="AL2526" t="s">
        <v>26</v>
      </c>
      <c r="AM2526" t="s">
        <v>26</v>
      </c>
      <c r="AN2526" t="s">
        <v>26</v>
      </c>
      <c r="AO2526" s="25" t="s">
        <v>28</v>
      </c>
      <c r="AP2526" s="23" t="s">
        <v>5851</v>
      </c>
      <c r="AQ2526" s="23" t="s">
        <v>30</v>
      </c>
      <c r="AR2526" s="23" t="s">
        <v>147</v>
      </c>
      <c r="AS2526" s="25">
        <v>5485142</v>
      </c>
      <c r="AT2526" s="23" t="s">
        <v>22181</v>
      </c>
      <c r="AU2526" t="s">
        <v>25535</v>
      </c>
    </row>
    <row r="2527" spans="1:47" ht="39.4" x14ac:dyDescent="0.4">
      <c r="A2527" s="23" t="s">
        <v>6602</v>
      </c>
      <c r="B2527" t="s">
        <v>26</v>
      </c>
      <c r="C2527" s="23" t="s">
        <v>292</v>
      </c>
      <c r="D2527" s="23" t="s">
        <v>22256</v>
      </c>
      <c r="E2527" s="23" t="s">
        <v>42</v>
      </c>
      <c r="F2527" t="s">
        <v>26</v>
      </c>
      <c r="G2527" t="s">
        <v>26</v>
      </c>
      <c r="H2527" t="s">
        <v>26</v>
      </c>
      <c r="I2527" t="s">
        <v>26</v>
      </c>
      <c r="J2527" t="s">
        <v>26</v>
      </c>
      <c r="K2527" t="s">
        <v>26</v>
      </c>
      <c r="L2527" s="25" t="s">
        <v>28</v>
      </c>
      <c r="M2527" t="s">
        <v>26</v>
      </c>
      <c r="N2527" t="s">
        <v>26</v>
      </c>
      <c r="O2527" t="s">
        <v>26</v>
      </c>
      <c r="P2527" t="s">
        <v>26</v>
      </c>
      <c r="Q2527" t="s">
        <v>26</v>
      </c>
      <c r="R2527" t="s">
        <v>26</v>
      </c>
      <c r="S2527" t="s">
        <v>26</v>
      </c>
      <c r="T2527" t="s">
        <v>26</v>
      </c>
      <c r="U2527" t="s">
        <v>26</v>
      </c>
      <c r="V2527" t="s">
        <v>26</v>
      </c>
      <c r="W2527" s="24">
        <v>40179</v>
      </c>
      <c r="X2527" s="24">
        <v>40179</v>
      </c>
      <c r="Y2527" t="s">
        <v>26</v>
      </c>
      <c r="Z2527" s="24">
        <v>40179</v>
      </c>
      <c r="AA2527" s="24">
        <v>40179</v>
      </c>
      <c r="AB2527" t="s">
        <v>26</v>
      </c>
      <c r="AC2527" t="s">
        <v>26</v>
      </c>
      <c r="AD2527" t="s">
        <v>26</v>
      </c>
      <c r="AE2527" t="s">
        <v>26</v>
      </c>
      <c r="AF2527" t="s">
        <v>26</v>
      </c>
      <c r="AG2527" t="s">
        <v>26</v>
      </c>
      <c r="AH2527" t="s">
        <v>26</v>
      </c>
      <c r="AI2527" t="s">
        <v>26</v>
      </c>
      <c r="AJ2527" t="s">
        <v>26</v>
      </c>
      <c r="AK2527" t="s">
        <v>26</v>
      </c>
      <c r="AL2527" t="s">
        <v>26</v>
      </c>
      <c r="AM2527" t="s">
        <v>26</v>
      </c>
      <c r="AN2527" t="s">
        <v>26</v>
      </c>
      <c r="AO2527" s="25" t="s">
        <v>28</v>
      </c>
      <c r="AP2527" s="23" t="s">
        <v>5851</v>
      </c>
      <c r="AQ2527" s="23" t="s">
        <v>30</v>
      </c>
      <c r="AR2527" s="23" t="s">
        <v>147</v>
      </c>
      <c r="AS2527" s="25">
        <v>5485152</v>
      </c>
      <c r="AT2527" s="23" t="s">
        <v>22181</v>
      </c>
      <c r="AU2527" t="s">
        <v>25536</v>
      </c>
    </row>
    <row r="2528" spans="1:47" ht="39.4" x14ac:dyDescent="0.4">
      <c r="A2528" s="23" t="s">
        <v>6603</v>
      </c>
      <c r="B2528" t="s">
        <v>26</v>
      </c>
      <c r="C2528" s="23" t="s">
        <v>292</v>
      </c>
      <c r="D2528" s="23" t="s">
        <v>22256</v>
      </c>
      <c r="E2528" s="23" t="s">
        <v>42</v>
      </c>
      <c r="F2528" t="s">
        <v>26</v>
      </c>
      <c r="G2528" t="s">
        <v>26</v>
      </c>
      <c r="H2528" t="s">
        <v>26</v>
      </c>
      <c r="I2528" t="s">
        <v>26</v>
      </c>
      <c r="J2528" t="s">
        <v>26</v>
      </c>
      <c r="K2528" t="s">
        <v>26</v>
      </c>
      <c r="L2528" s="25" t="s">
        <v>28</v>
      </c>
      <c r="M2528" t="s">
        <v>26</v>
      </c>
      <c r="N2528" t="s">
        <v>26</v>
      </c>
      <c r="O2528" t="s">
        <v>26</v>
      </c>
      <c r="P2528" t="s">
        <v>26</v>
      </c>
      <c r="Q2528" t="s">
        <v>26</v>
      </c>
      <c r="R2528" t="s">
        <v>26</v>
      </c>
      <c r="S2528" t="s">
        <v>26</v>
      </c>
      <c r="T2528" t="s">
        <v>26</v>
      </c>
      <c r="U2528" t="s">
        <v>26</v>
      </c>
      <c r="V2528" t="s">
        <v>26</v>
      </c>
      <c r="W2528" s="24">
        <v>40179</v>
      </c>
      <c r="X2528" s="24">
        <v>40179</v>
      </c>
      <c r="Y2528" t="s">
        <v>26</v>
      </c>
      <c r="Z2528" s="24">
        <v>40179</v>
      </c>
      <c r="AA2528" s="24">
        <v>40179</v>
      </c>
      <c r="AB2528" t="s">
        <v>26</v>
      </c>
      <c r="AC2528" t="s">
        <v>26</v>
      </c>
      <c r="AD2528" t="s">
        <v>26</v>
      </c>
      <c r="AE2528" t="s">
        <v>26</v>
      </c>
      <c r="AF2528" t="s">
        <v>26</v>
      </c>
      <c r="AG2528" t="s">
        <v>26</v>
      </c>
      <c r="AH2528" t="s">
        <v>26</v>
      </c>
      <c r="AI2528" t="s">
        <v>26</v>
      </c>
      <c r="AJ2528" t="s">
        <v>26</v>
      </c>
      <c r="AK2528" t="s">
        <v>26</v>
      </c>
      <c r="AL2528" t="s">
        <v>26</v>
      </c>
      <c r="AM2528" t="s">
        <v>26</v>
      </c>
      <c r="AN2528" t="s">
        <v>26</v>
      </c>
      <c r="AO2528" s="25" t="s">
        <v>28</v>
      </c>
      <c r="AP2528" s="23" t="s">
        <v>5851</v>
      </c>
      <c r="AQ2528" s="23" t="s">
        <v>30</v>
      </c>
      <c r="AR2528" s="23" t="s">
        <v>147</v>
      </c>
      <c r="AS2528" s="25">
        <v>5485147</v>
      </c>
      <c r="AT2528" s="23" t="s">
        <v>22181</v>
      </c>
      <c r="AU2528" t="s">
        <v>25537</v>
      </c>
    </row>
    <row r="2529" spans="1:47" ht="39.4" x14ac:dyDescent="0.4">
      <c r="A2529" s="23" t="s">
        <v>6604</v>
      </c>
      <c r="B2529" t="s">
        <v>26</v>
      </c>
      <c r="C2529" s="23" t="s">
        <v>292</v>
      </c>
      <c r="D2529" s="23" t="s">
        <v>22256</v>
      </c>
      <c r="E2529" s="23" t="s">
        <v>42</v>
      </c>
      <c r="F2529" t="s">
        <v>26</v>
      </c>
      <c r="G2529" t="s">
        <v>26</v>
      </c>
      <c r="H2529" t="s">
        <v>26</v>
      </c>
      <c r="I2529" t="s">
        <v>26</v>
      </c>
      <c r="J2529" t="s">
        <v>26</v>
      </c>
      <c r="K2529" t="s">
        <v>26</v>
      </c>
      <c r="L2529" s="25" t="s">
        <v>28</v>
      </c>
      <c r="M2529" t="s">
        <v>26</v>
      </c>
      <c r="N2529" t="s">
        <v>26</v>
      </c>
      <c r="O2529" t="s">
        <v>26</v>
      </c>
      <c r="P2529" t="s">
        <v>26</v>
      </c>
      <c r="Q2529" t="s">
        <v>26</v>
      </c>
      <c r="R2529" t="s">
        <v>26</v>
      </c>
      <c r="S2529" t="s">
        <v>26</v>
      </c>
      <c r="T2529" t="s">
        <v>26</v>
      </c>
      <c r="U2529" t="s">
        <v>26</v>
      </c>
      <c r="V2529" t="s">
        <v>26</v>
      </c>
      <c r="W2529" s="24">
        <v>40179</v>
      </c>
      <c r="X2529" s="24">
        <v>40179</v>
      </c>
      <c r="Y2529" t="s">
        <v>26</v>
      </c>
      <c r="Z2529" s="24">
        <v>40179</v>
      </c>
      <c r="AA2529" s="24">
        <v>40179</v>
      </c>
      <c r="AB2529" t="s">
        <v>26</v>
      </c>
      <c r="AC2529" t="s">
        <v>26</v>
      </c>
      <c r="AD2529" t="s">
        <v>26</v>
      </c>
      <c r="AE2529" t="s">
        <v>26</v>
      </c>
      <c r="AF2529" t="s">
        <v>26</v>
      </c>
      <c r="AG2529" t="s">
        <v>26</v>
      </c>
      <c r="AH2529" t="s">
        <v>26</v>
      </c>
      <c r="AI2529" t="s">
        <v>26</v>
      </c>
      <c r="AJ2529" t="s">
        <v>26</v>
      </c>
      <c r="AK2529" t="s">
        <v>26</v>
      </c>
      <c r="AL2529" t="s">
        <v>26</v>
      </c>
      <c r="AM2529" t="s">
        <v>26</v>
      </c>
      <c r="AN2529" t="s">
        <v>26</v>
      </c>
      <c r="AO2529" s="25" t="s">
        <v>28</v>
      </c>
      <c r="AP2529" s="23" t="s">
        <v>5851</v>
      </c>
      <c r="AQ2529" s="23" t="s">
        <v>30</v>
      </c>
      <c r="AR2529" s="23" t="s">
        <v>147</v>
      </c>
      <c r="AS2529" s="25">
        <v>5485134</v>
      </c>
      <c r="AT2529" s="23" t="s">
        <v>22181</v>
      </c>
      <c r="AU2529" t="s">
        <v>25538</v>
      </c>
    </row>
    <row r="2530" spans="1:47" ht="39.4" x14ac:dyDescent="0.4">
      <c r="A2530" s="23" t="s">
        <v>6605</v>
      </c>
      <c r="B2530" t="s">
        <v>26</v>
      </c>
      <c r="C2530" s="23" t="s">
        <v>292</v>
      </c>
      <c r="D2530" s="23" t="s">
        <v>22256</v>
      </c>
      <c r="E2530" s="23" t="s">
        <v>42</v>
      </c>
      <c r="F2530" t="s">
        <v>26</v>
      </c>
      <c r="G2530" t="s">
        <v>26</v>
      </c>
      <c r="H2530" t="s">
        <v>26</v>
      </c>
      <c r="I2530" t="s">
        <v>26</v>
      </c>
      <c r="J2530" t="s">
        <v>26</v>
      </c>
      <c r="K2530" t="s">
        <v>26</v>
      </c>
      <c r="L2530" s="25" t="s">
        <v>28</v>
      </c>
      <c r="M2530" t="s">
        <v>26</v>
      </c>
      <c r="N2530" t="s">
        <v>26</v>
      </c>
      <c r="O2530" t="s">
        <v>26</v>
      </c>
      <c r="P2530" t="s">
        <v>26</v>
      </c>
      <c r="Q2530" t="s">
        <v>26</v>
      </c>
      <c r="R2530" t="s">
        <v>26</v>
      </c>
      <c r="S2530" t="s">
        <v>26</v>
      </c>
      <c r="T2530" t="s">
        <v>26</v>
      </c>
      <c r="U2530" t="s">
        <v>26</v>
      </c>
      <c r="V2530" t="s">
        <v>26</v>
      </c>
      <c r="W2530" s="24">
        <v>40179</v>
      </c>
      <c r="X2530" s="24">
        <v>40179</v>
      </c>
      <c r="Y2530" t="s">
        <v>26</v>
      </c>
      <c r="Z2530" s="24">
        <v>40179</v>
      </c>
      <c r="AA2530" s="24">
        <v>40179</v>
      </c>
      <c r="AB2530" t="s">
        <v>26</v>
      </c>
      <c r="AC2530" t="s">
        <v>26</v>
      </c>
      <c r="AD2530" t="s">
        <v>26</v>
      </c>
      <c r="AE2530" t="s">
        <v>26</v>
      </c>
      <c r="AF2530" t="s">
        <v>26</v>
      </c>
      <c r="AG2530" t="s">
        <v>26</v>
      </c>
      <c r="AH2530" t="s">
        <v>26</v>
      </c>
      <c r="AI2530" t="s">
        <v>26</v>
      </c>
      <c r="AJ2530" t="s">
        <v>26</v>
      </c>
      <c r="AK2530" t="s">
        <v>26</v>
      </c>
      <c r="AL2530" t="s">
        <v>26</v>
      </c>
      <c r="AM2530" t="s">
        <v>26</v>
      </c>
      <c r="AN2530" t="s">
        <v>26</v>
      </c>
      <c r="AO2530" s="25" t="s">
        <v>28</v>
      </c>
      <c r="AP2530" s="23" t="s">
        <v>5851</v>
      </c>
      <c r="AQ2530" s="23" t="s">
        <v>30</v>
      </c>
      <c r="AR2530" s="23" t="s">
        <v>147</v>
      </c>
      <c r="AS2530" s="25">
        <v>5485154</v>
      </c>
      <c r="AT2530" s="23" t="s">
        <v>22181</v>
      </c>
      <c r="AU2530" t="s">
        <v>25539</v>
      </c>
    </row>
    <row r="2531" spans="1:47" ht="39.4" x14ac:dyDescent="0.4">
      <c r="A2531" s="23" t="s">
        <v>6606</v>
      </c>
      <c r="B2531" t="s">
        <v>26</v>
      </c>
      <c r="C2531" s="23" t="s">
        <v>292</v>
      </c>
      <c r="D2531" s="23" t="s">
        <v>22256</v>
      </c>
      <c r="E2531" s="23" t="s">
        <v>42</v>
      </c>
      <c r="F2531" t="s">
        <v>26</v>
      </c>
      <c r="G2531" t="s">
        <v>26</v>
      </c>
      <c r="H2531" t="s">
        <v>26</v>
      </c>
      <c r="I2531" t="s">
        <v>26</v>
      </c>
      <c r="J2531" t="s">
        <v>26</v>
      </c>
      <c r="K2531" t="s">
        <v>26</v>
      </c>
      <c r="L2531" s="25" t="s">
        <v>28</v>
      </c>
      <c r="M2531" t="s">
        <v>26</v>
      </c>
      <c r="N2531" t="s">
        <v>26</v>
      </c>
      <c r="O2531" t="s">
        <v>26</v>
      </c>
      <c r="P2531" t="s">
        <v>26</v>
      </c>
      <c r="Q2531" t="s">
        <v>26</v>
      </c>
      <c r="R2531" t="s">
        <v>26</v>
      </c>
      <c r="S2531" t="s">
        <v>26</v>
      </c>
      <c r="T2531" t="s">
        <v>26</v>
      </c>
      <c r="U2531" t="s">
        <v>26</v>
      </c>
      <c r="V2531" t="s">
        <v>26</v>
      </c>
      <c r="W2531" s="24">
        <v>40179</v>
      </c>
      <c r="X2531" s="24">
        <v>40179</v>
      </c>
      <c r="Y2531" t="s">
        <v>26</v>
      </c>
      <c r="Z2531" s="24">
        <v>40179</v>
      </c>
      <c r="AA2531" s="24">
        <v>40179</v>
      </c>
      <c r="AB2531" t="s">
        <v>26</v>
      </c>
      <c r="AC2531" t="s">
        <v>26</v>
      </c>
      <c r="AD2531" t="s">
        <v>26</v>
      </c>
      <c r="AE2531" t="s">
        <v>26</v>
      </c>
      <c r="AF2531" t="s">
        <v>26</v>
      </c>
      <c r="AG2531" t="s">
        <v>26</v>
      </c>
      <c r="AH2531" t="s">
        <v>26</v>
      </c>
      <c r="AI2531" t="s">
        <v>26</v>
      </c>
      <c r="AJ2531" t="s">
        <v>26</v>
      </c>
      <c r="AK2531" t="s">
        <v>26</v>
      </c>
      <c r="AL2531" t="s">
        <v>26</v>
      </c>
      <c r="AM2531" t="s">
        <v>26</v>
      </c>
      <c r="AN2531" t="s">
        <v>26</v>
      </c>
      <c r="AO2531" s="25" t="s">
        <v>28</v>
      </c>
      <c r="AP2531" s="23" t="s">
        <v>5851</v>
      </c>
      <c r="AQ2531" s="23" t="s">
        <v>30</v>
      </c>
      <c r="AR2531" s="23" t="s">
        <v>147</v>
      </c>
      <c r="AS2531" s="25">
        <v>5485133</v>
      </c>
      <c r="AT2531" s="23" t="s">
        <v>22181</v>
      </c>
      <c r="AU2531" t="s">
        <v>25540</v>
      </c>
    </row>
    <row r="2532" spans="1:47" ht="39.4" x14ac:dyDescent="0.4">
      <c r="A2532" s="23" t="s">
        <v>6607</v>
      </c>
      <c r="B2532" t="s">
        <v>26</v>
      </c>
      <c r="C2532" s="23" t="s">
        <v>292</v>
      </c>
      <c r="D2532" s="23" t="s">
        <v>22256</v>
      </c>
      <c r="E2532" s="23" t="s">
        <v>42</v>
      </c>
      <c r="F2532" t="s">
        <v>26</v>
      </c>
      <c r="G2532" t="s">
        <v>26</v>
      </c>
      <c r="H2532" t="s">
        <v>26</v>
      </c>
      <c r="I2532" t="s">
        <v>26</v>
      </c>
      <c r="J2532" t="s">
        <v>26</v>
      </c>
      <c r="K2532" t="s">
        <v>26</v>
      </c>
      <c r="L2532" s="25" t="s">
        <v>28</v>
      </c>
      <c r="M2532" t="s">
        <v>26</v>
      </c>
      <c r="N2532" t="s">
        <v>26</v>
      </c>
      <c r="O2532" t="s">
        <v>26</v>
      </c>
      <c r="P2532" t="s">
        <v>26</v>
      </c>
      <c r="Q2532" t="s">
        <v>26</v>
      </c>
      <c r="R2532" t="s">
        <v>26</v>
      </c>
      <c r="S2532" t="s">
        <v>26</v>
      </c>
      <c r="T2532" t="s">
        <v>26</v>
      </c>
      <c r="U2532" t="s">
        <v>26</v>
      </c>
      <c r="V2532" t="s">
        <v>26</v>
      </c>
      <c r="W2532" s="24">
        <v>40179</v>
      </c>
      <c r="X2532" s="24">
        <v>40179</v>
      </c>
      <c r="Y2532" t="s">
        <v>26</v>
      </c>
      <c r="Z2532" s="24">
        <v>40179</v>
      </c>
      <c r="AA2532" s="24">
        <v>40179</v>
      </c>
      <c r="AB2532" t="s">
        <v>26</v>
      </c>
      <c r="AC2532" t="s">
        <v>26</v>
      </c>
      <c r="AD2532" t="s">
        <v>26</v>
      </c>
      <c r="AE2532" t="s">
        <v>26</v>
      </c>
      <c r="AF2532" t="s">
        <v>26</v>
      </c>
      <c r="AG2532" t="s">
        <v>26</v>
      </c>
      <c r="AH2532" t="s">
        <v>26</v>
      </c>
      <c r="AI2532" t="s">
        <v>26</v>
      </c>
      <c r="AJ2532" t="s">
        <v>26</v>
      </c>
      <c r="AK2532" t="s">
        <v>26</v>
      </c>
      <c r="AL2532" t="s">
        <v>26</v>
      </c>
      <c r="AM2532" t="s">
        <v>26</v>
      </c>
      <c r="AN2532" t="s">
        <v>26</v>
      </c>
      <c r="AO2532" s="25" t="s">
        <v>28</v>
      </c>
      <c r="AP2532" s="23" t="s">
        <v>5851</v>
      </c>
      <c r="AQ2532" s="23" t="s">
        <v>30</v>
      </c>
      <c r="AR2532" s="23" t="s">
        <v>147</v>
      </c>
      <c r="AS2532" s="25">
        <v>5485151</v>
      </c>
      <c r="AT2532" s="23" t="s">
        <v>22181</v>
      </c>
      <c r="AU2532" t="s">
        <v>25541</v>
      </c>
    </row>
    <row r="2533" spans="1:47" ht="39.4" x14ac:dyDescent="0.4">
      <c r="A2533" s="23" t="s">
        <v>6608</v>
      </c>
      <c r="B2533" t="s">
        <v>26</v>
      </c>
      <c r="C2533" s="23" t="s">
        <v>292</v>
      </c>
      <c r="D2533" s="23" t="s">
        <v>22256</v>
      </c>
      <c r="E2533" s="23" t="s">
        <v>42</v>
      </c>
      <c r="F2533" t="s">
        <v>26</v>
      </c>
      <c r="G2533" t="s">
        <v>26</v>
      </c>
      <c r="H2533" t="s">
        <v>26</v>
      </c>
      <c r="I2533" t="s">
        <v>26</v>
      </c>
      <c r="J2533" t="s">
        <v>26</v>
      </c>
      <c r="K2533" t="s">
        <v>26</v>
      </c>
      <c r="L2533" s="25" t="s">
        <v>28</v>
      </c>
      <c r="M2533" t="s">
        <v>26</v>
      </c>
      <c r="N2533" t="s">
        <v>26</v>
      </c>
      <c r="O2533" t="s">
        <v>26</v>
      </c>
      <c r="P2533" t="s">
        <v>26</v>
      </c>
      <c r="Q2533" t="s">
        <v>26</v>
      </c>
      <c r="R2533" t="s">
        <v>26</v>
      </c>
      <c r="S2533" t="s">
        <v>26</v>
      </c>
      <c r="T2533" t="s">
        <v>26</v>
      </c>
      <c r="U2533" t="s">
        <v>26</v>
      </c>
      <c r="V2533" t="s">
        <v>26</v>
      </c>
      <c r="W2533" s="24">
        <v>40179</v>
      </c>
      <c r="X2533" s="24">
        <v>40179</v>
      </c>
      <c r="Y2533" t="s">
        <v>26</v>
      </c>
      <c r="Z2533" s="24">
        <v>40179</v>
      </c>
      <c r="AA2533" s="24">
        <v>40179</v>
      </c>
      <c r="AB2533" t="s">
        <v>26</v>
      </c>
      <c r="AC2533" t="s">
        <v>26</v>
      </c>
      <c r="AD2533" t="s">
        <v>26</v>
      </c>
      <c r="AE2533" t="s">
        <v>26</v>
      </c>
      <c r="AF2533" t="s">
        <v>26</v>
      </c>
      <c r="AG2533" t="s">
        <v>26</v>
      </c>
      <c r="AH2533" t="s">
        <v>26</v>
      </c>
      <c r="AI2533" t="s">
        <v>26</v>
      </c>
      <c r="AJ2533" t="s">
        <v>26</v>
      </c>
      <c r="AK2533" t="s">
        <v>26</v>
      </c>
      <c r="AL2533" t="s">
        <v>26</v>
      </c>
      <c r="AM2533" t="s">
        <v>26</v>
      </c>
      <c r="AN2533" t="s">
        <v>26</v>
      </c>
      <c r="AO2533" s="25" t="s">
        <v>28</v>
      </c>
      <c r="AP2533" s="23" t="s">
        <v>5851</v>
      </c>
      <c r="AQ2533" s="23" t="s">
        <v>30</v>
      </c>
      <c r="AR2533" s="23" t="s">
        <v>147</v>
      </c>
      <c r="AS2533" s="25">
        <v>5485141</v>
      </c>
      <c r="AT2533" s="23" t="s">
        <v>22181</v>
      </c>
      <c r="AU2533" t="s">
        <v>25542</v>
      </c>
    </row>
    <row r="2534" spans="1:47" ht="39.4" x14ac:dyDescent="0.4">
      <c r="A2534" s="23" t="s">
        <v>6609</v>
      </c>
      <c r="B2534" t="s">
        <v>26</v>
      </c>
      <c r="C2534" s="23" t="s">
        <v>292</v>
      </c>
      <c r="D2534" s="23" t="s">
        <v>22256</v>
      </c>
      <c r="E2534" s="23" t="s">
        <v>42</v>
      </c>
      <c r="F2534" t="s">
        <v>26</v>
      </c>
      <c r="G2534" t="s">
        <v>26</v>
      </c>
      <c r="H2534" t="s">
        <v>26</v>
      </c>
      <c r="I2534" t="s">
        <v>26</v>
      </c>
      <c r="J2534" t="s">
        <v>26</v>
      </c>
      <c r="K2534" t="s">
        <v>26</v>
      </c>
      <c r="L2534" s="25" t="s">
        <v>28</v>
      </c>
      <c r="M2534" t="s">
        <v>26</v>
      </c>
      <c r="N2534" t="s">
        <v>26</v>
      </c>
      <c r="O2534" t="s">
        <v>26</v>
      </c>
      <c r="P2534" t="s">
        <v>26</v>
      </c>
      <c r="Q2534" t="s">
        <v>26</v>
      </c>
      <c r="R2534" t="s">
        <v>26</v>
      </c>
      <c r="S2534" t="s">
        <v>26</v>
      </c>
      <c r="T2534" t="s">
        <v>26</v>
      </c>
      <c r="U2534" t="s">
        <v>26</v>
      </c>
      <c r="V2534" t="s">
        <v>26</v>
      </c>
      <c r="W2534" s="24">
        <v>40179</v>
      </c>
      <c r="X2534" s="24">
        <v>40179</v>
      </c>
      <c r="Y2534" t="s">
        <v>26</v>
      </c>
      <c r="Z2534" s="24">
        <v>40179</v>
      </c>
      <c r="AA2534" s="24">
        <v>40179</v>
      </c>
      <c r="AB2534" t="s">
        <v>26</v>
      </c>
      <c r="AC2534" t="s">
        <v>26</v>
      </c>
      <c r="AD2534" t="s">
        <v>26</v>
      </c>
      <c r="AE2534" t="s">
        <v>26</v>
      </c>
      <c r="AF2534" t="s">
        <v>26</v>
      </c>
      <c r="AG2534" t="s">
        <v>26</v>
      </c>
      <c r="AH2534" t="s">
        <v>26</v>
      </c>
      <c r="AI2534" t="s">
        <v>26</v>
      </c>
      <c r="AJ2534" t="s">
        <v>26</v>
      </c>
      <c r="AK2534" t="s">
        <v>26</v>
      </c>
      <c r="AL2534" t="s">
        <v>26</v>
      </c>
      <c r="AM2534" t="s">
        <v>26</v>
      </c>
      <c r="AN2534" t="s">
        <v>26</v>
      </c>
      <c r="AO2534" s="25" t="s">
        <v>28</v>
      </c>
      <c r="AP2534" s="23" t="s">
        <v>5851</v>
      </c>
      <c r="AQ2534" s="23" t="s">
        <v>30</v>
      </c>
      <c r="AR2534" s="23" t="s">
        <v>147</v>
      </c>
      <c r="AS2534" s="25">
        <v>5485150</v>
      </c>
      <c r="AT2534" s="23" t="s">
        <v>22181</v>
      </c>
      <c r="AU2534" t="s">
        <v>25543</v>
      </c>
    </row>
    <row r="2535" spans="1:47" ht="39.4" x14ac:dyDescent="0.4">
      <c r="A2535" s="23" t="s">
        <v>6610</v>
      </c>
      <c r="B2535" t="s">
        <v>26</v>
      </c>
      <c r="C2535" s="23" t="s">
        <v>292</v>
      </c>
      <c r="D2535" s="23" t="s">
        <v>22256</v>
      </c>
      <c r="E2535" s="23" t="s">
        <v>42</v>
      </c>
      <c r="F2535" t="s">
        <v>26</v>
      </c>
      <c r="G2535" t="s">
        <v>26</v>
      </c>
      <c r="H2535" t="s">
        <v>26</v>
      </c>
      <c r="I2535" t="s">
        <v>26</v>
      </c>
      <c r="J2535" t="s">
        <v>26</v>
      </c>
      <c r="K2535" t="s">
        <v>26</v>
      </c>
      <c r="L2535" s="25" t="s">
        <v>28</v>
      </c>
      <c r="M2535" t="s">
        <v>26</v>
      </c>
      <c r="N2535" t="s">
        <v>26</v>
      </c>
      <c r="O2535" t="s">
        <v>26</v>
      </c>
      <c r="P2535" t="s">
        <v>26</v>
      </c>
      <c r="Q2535" t="s">
        <v>26</v>
      </c>
      <c r="R2535" t="s">
        <v>26</v>
      </c>
      <c r="S2535" t="s">
        <v>26</v>
      </c>
      <c r="T2535" t="s">
        <v>26</v>
      </c>
      <c r="U2535" t="s">
        <v>26</v>
      </c>
      <c r="V2535" t="s">
        <v>26</v>
      </c>
      <c r="W2535" s="24">
        <v>40179</v>
      </c>
      <c r="X2535" s="24">
        <v>40179</v>
      </c>
      <c r="Y2535" t="s">
        <v>26</v>
      </c>
      <c r="Z2535" s="24">
        <v>40179</v>
      </c>
      <c r="AA2535" s="24">
        <v>40179</v>
      </c>
      <c r="AB2535" t="s">
        <v>26</v>
      </c>
      <c r="AC2535" t="s">
        <v>26</v>
      </c>
      <c r="AD2535" t="s">
        <v>26</v>
      </c>
      <c r="AE2535" t="s">
        <v>26</v>
      </c>
      <c r="AF2535" t="s">
        <v>26</v>
      </c>
      <c r="AG2535" t="s">
        <v>26</v>
      </c>
      <c r="AH2535" t="s">
        <v>26</v>
      </c>
      <c r="AI2535" t="s">
        <v>26</v>
      </c>
      <c r="AJ2535" t="s">
        <v>26</v>
      </c>
      <c r="AK2535" t="s">
        <v>26</v>
      </c>
      <c r="AL2535" t="s">
        <v>26</v>
      </c>
      <c r="AM2535" t="s">
        <v>26</v>
      </c>
      <c r="AN2535" t="s">
        <v>26</v>
      </c>
      <c r="AO2535" s="25" t="s">
        <v>28</v>
      </c>
      <c r="AP2535" s="23" t="s">
        <v>5851</v>
      </c>
      <c r="AQ2535" s="23" t="s">
        <v>30</v>
      </c>
      <c r="AR2535" s="23" t="s">
        <v>147</v>
      </c>
      <c r="AS2535" s="25">
        <v>5485140</v>
      </c>
      <c r="AT2535" s="23" t="s">
        <v>22181</v>
      </c>
      <c r="AU2535" t="s">
        <v>25544</v>
      </c>
    </row>
    <row r="2536" spans="1:47" ht="39.4" x14ac:dyDescent="0.4">
      <c r="A2536" s="23" t="s">
        <v>6611</v>
      </c>
      <c r="B2536" t="s">
        <v>26</v>
      </c>
      <c r="C2536" s="23" t="s">
        <v>292</v>
      </c>
      <c r="D2536" s="23" t="s">
        <v>22256</v>
      </c>
      <c r="E2536" s="23" t="s">
        <v>42</v>
      </c>
      <c r="F2536" t="s">
        <v>26</v>
      </c>
      <c r="G2536" t="s">
        <v>26</v>
      </c>
      <c r="H2536" t="s">
        <v>26</v>
      </c>
      <c r="I2536" t="s">
        <v>26</v>
      </c>
      <c r="J2536" t="s">
        <v>26</v>
      </c>
      <c r="K2536" t="s">
        <v>26</v>
      </c>
      <c r="L2536" s="25" t="s">
        <v>28</v>
      </c>
      <c r="M2536" t="s">
        <v>26</v>
      </c>
      <c r="N2536" t="s">
        <v>26</v>
      </c>
      <c r="O2536" t="s">
        <v>26</v>
      </c>
      <c r="P2536" t="s">
        <v>26</v>
      </c>
      <c r="Q2536" t="s">
        <v>26</v>
      </c>
      <c r="R2536" t="s">
        <v>26</v>
      </c>
      <c r="S2536" t="s">
        <v>26</v>
      </c>
      <c r="T2536" t="s">
        <v>26</v>
      </c>
      <c r="U2536" t="s">
        <v>26</v>
      </c>
      <c r="V2536" t="s">
        <v>26</v>
      </c>
      <c r="W2536" s="24">
        <v>40179</v>
      </c>
      <c r="X2536" s="24">
        <v>40179</v>
      </c>
      <c r="Y2536" t="s">
        <v>26</v>
      </c>
      <c r="Z2536" s="24">
        <v>40179</v>
      </c>
      <c r="AA2536" s="24">
        <v>40179</v>
      </c>
      <c r="AB2536" t="s">
        <v>26</v>
      </c>
      <c r="AC2536" t="s">
        <v>26</v>
      </c>
      <c r="AD2536" t="s">
        <v>26</v>
      </c>
      <c r="AE2536" t="s">
        <v>26</v>
      </c>
      <c r="AF2536" t="s">
        <v>26</v>
      </c>
      <c r="AG2536" t="s">
        <v>26</v>
      </c>
      <c r="AH2536" t="s">
        <v>26</v>
      </c>
      <c r="AI2536" t="s">
        <v>26</v>
      </c>
      <c r="AJ2536" t="s">
        <v>26</v>
      </c>
      <c r="AK2536" t="s">
        <v>26</v>
      </c>
      <c r="AL2536" t="s">
        <v>26</v>
      </c>
      <c r="AM2536" t="s">
        <v>26</v>
      </c>
      <c r="AN2536" t="s">
        <v>26</v>
      </c>
      <c r="AO2536" s="25" t="s">
        <v>28</v>
      </c>
      <c r="AP2536" s="23" t="s">
        <v>5851</v>
      </c>
      <c r="AQ2536" s="23" t="s">
        <v>30</v>
      </c>
      <c r="AR2536" s="23" t="s">
        <v>147</v>
      </c>
      <c r="AS2536" s="25">
        <v>5485146</v>
      </c>
      <c r="AT2536" s="23" t="s">
        <v>22181</v>
      </c>
      <c r="AU2536" t="s">
        <v>25545</v>
      </c>
    </row>
    <row r="2537" spans="1:47" ht="39.4" x14ac:dyDescent="0.4">
      <c r="A2537" s="23" t="s">
        <v>6612</v>
      </c>
      <c r="B2537" t="s">
        <v>26</v>
      </c>
      <c r="C2537" s="23" t="s">
        <v>292</v>
      </c>
      <c r="D2537" s="23" t="s">
        <v>22256</v>
      </c>
      <c r="E2537" s="23" t="s">
        <v>42</v>
      </c>
      <c r="F2537" t="s">
        <v>26</v>
      </c>
      <c r="G2537" t="s">
        <v>26</v>
      </c>
      <c r="H2537" t="s">
        <v>26</v>
      </c>
      <c r="I2537" t="s">
        <v>26</v>
      </c>
      <c r="J2537" t="s">
        <v>26</v>
      </c>
      <c r="K2537" t="s">
        <v>26</v>
      </c>
      <c r="L2537" s="25" t="s">
        <v>28</v>
      </c>
      <c r="M2537" t="s">
        <v>26</v>
      </c>
      <c r="N2537" t="s">
        <v>26</v>
      </c>
      <c r="O2537" t="s">
        <v>26</v>
      </c>
      <c r="P2537" t="s">
        <v>26</v>
      </c>
      <c r="Q2537" t="s">
        <v>26</v>
      </c>
      <c r="R2537" t="s">
        <v>26</v>
      </c>
      <c r="S2537" t="s">
        <v>26</v>
      </c>
      <c r="T2537" t="s">
        <v>26</v>
      </c>
      <c r="U2537" t="s">
        <v>26</v>
      </c>
      <c r="V2537" t="s">
        <v>26</v>
      </c>
      <c r="W2537" s="24">
        <v>40179</v>
      </c>
      <c r="X2537" s="24">
        <v>40179</v>
      </c>
      <c r="Y2537" t="s">
        <v>26</v>
      </c>
      <c r="Z2537" s="24">
        <v>40179</v>
      </c>
      <c r="AA2537" s="24">
        <v>40179</v>
      </c>
      <c r="AB2537" t="s">
        <v>26</v>
      </c>
      <c r="AC2537" t="s">
        <v>26</v>
      </c>
      <c r="AD2537" t="s">
        <v>26</v>
      </c>
      <c r="AE2537" t="s">
        <v>26</v>
      </c>
      <c r="AF2537" t="s">
        <v>26</v>
      </c>
      <c r="AG2537" t="s">
        <v>26</v>
      </c>
      <c r="AH2537" t="s">
        <v>26</v>
      </c>
      <c r="AI2537" t="s">
        <v>26</v>
      </c>
      <c r="AJ2537" t="s">
        <v>26</v>
      </c>
      <c r="AK2537" t="s">
        <v>26</v>
      </c>
      <c r="AL2537" t="s">
        <v>26</v>
      </c>
      <c r="AM2537" t="s">
        <v>26</v>
      </c>
      <c r="AN2537" t="s">
        <v>26</v>
      </c>
      <c r="AO2537" s="25" t="s">
        <v>28</v>
      </c>
      <c r="AP2537" s="23" t="s">
        <v>5851</v>
      </c>
      <c r="AQ2537" s="23" t="s">
        <v>30</v>
      </c>
      <c r="AR2537" s="23" t="s">
        <v>147</v>
      </c>
      <c r="AS2537" s="25">
        <v>5485159</v>
      </c>
      <c r="AT2537" s="23" t="s">
        <v>22181</v>
      </c>
      <c r="AU2537" t="s">
        <v>25546</v>
      </c>
    </row>
    <row r="2538" spans="1:47" ht="39.4" x14ac:dyDescent="0.4">
      <c r="A2538" s="23" t="s">
        <v>6613</v>
      </c>
      <c r="B2538" t="s">
        <v>26</v>
      </c>
      <c r="C2538" s="23" t="s">
        <v>292</v>
      </c>
      <c r="D2538" s="23" t="s">
        <v>22256</v>
      </c>
      <c r="E2538" s="23" t="s">
        <v>42</v>
      </c>
      <c r="F2538" t="s">
        <v>26</v>
      </c>
      <c r="G2538" t="s">
        <v>26</v>
      </c>
      <c r="H2538" t="s">
        <v>26</v>
      </c>
      <c r="I2538" t="s">
        <v>26</v>
      </c>
      <c r="J2538" t="s">
        <v>26</v>
      </c>
      <c r="K2538" t="s">
        <v>26</v>
      </c>
      <c r="L2538" s="25" t="s">
        <v>28</v>
      </c>
      <c r="M2538" t="s">
        <v>26</v>
      </c>
      <c r="N2538" t="s">
        <v>26</v>
      </c>
      <c r="O2538" t="s">
        <v>26</v>
      </c>
      <c r="P2538" t="s">
        <v>26</v>
      </c>
      <c r="Q2538" t="s">
        <v>26</v>
      </c>
      <c r="R2538" t="s">
        <v>26</v>
      </c>
      <c r="S2538" t="s">
        <v>26</v>
      </c>
      <c r="T2538" t="s">
        <v>26</v>
      </c>
      <c r="U2538" t="s">
        <v>26</v>
      </c>
      <c r="V2538" t="s">
        <v>26</v>
      </c>
      <c r="W2538" s="24">
        <v>40179</v>
      </c>
      <c r="X2538" s="24">
        <v>40179</v>
      </c>
      <c r="Y2538" t="s">
        <v>26</v>
      </c>
      <c r="Z2538" s="24">
        <v>40179</v>
      </c>
      <c r="AA2538" s="24">
        <v>40179</v>
      </c>
      <c r="AB2538" t="s">
        <v>26</v>
      </c>
      <c r="AC2538" t="s">
        <v>26</v>
      </c>
      <c r="AD2538" t="s">
        <v>26</v>
      </c>
      <c r="AE2538" t="s">
        <v>26</v>
      </c>
      <c r="AF2538" t="s">
        <v>26</v>
      </c>
      <c r="AG2538" t="s">
        <v>26</v>
      </c>
      <c r="AH2538" t="s">
        <v>26</v>
      </c>
      <c r="AI2538" t="s">
        <v>26</v>
      </c>
      <c r="AJ2538" t="s">
        <v>26</v>
      </c>
      <c r="AK2538" t="s">
        <v>26</v>
      </c>
      <c r="AL2538" t="s">
        <v>26</v>
      </c>
      <c r="AM2538" t="s">
        <v>26</v>
      </c>
      <c r="AN2538" t="s">
        <v>26</v>
      </c>
      <c r="AO2538" s="25" t="s">
        <v>28</v>
      </c>
      <c r="AP2538" s="23" t="s">
        <v>5851</v>
      </c>
      <c r="AQ2538" s="23" t="s">
        <v>30</v>
      </c>
      <c r="AR2538" s="23" t="s">
        <v>147</v>
      </c>
      <c r="AS2538" s="25">
        <v>5485125</v>
      </c>
      <c r="AT2538" s="23" t="s">
        <v>22181</v>
      </c>
      <c r="AU2538" t="s">
        <v>25547</v>
      </c>
    </row>
    <row r="2539" spans="1:47" ht="39.4" x14ac:dyDescent="0.4">
      <c r="A2539" s="23" t="s">
        <v>6614</v>
      </c>
      <c r="B2539" t="s">
        <v>26</v>
      </c>
      <c r="C2539" s="23" t="s">
        <v>292</v>
      </c>
      <c r="D2539" s="23" t="s">
        <v>22256</v>
      </c>
      <c r="E2539" s="23" t="s">
        <v>42</v>
      </c>
      <c r="F2539" t="s">
        <v>26</v>
      </c>
      <c r="G2539" t="s">
        <v>26</v>
      </c>
      <c r="H2539" t="s">
        <v>26</v>
      </c>
      <c r="I2539" t="s">
        <v>26</v>
      </c>
      <c r="J2539" t="s">
        <v>26</v>
      </c>
      <c r="K2539" t="s">
        <v>26</v>
      </c>
      <c r="L2539" s="25" t="s">
        <v>28</v>
      </c>
      <c r="M2539" t="s">
        <v>26</v>
      </c>
      <c r="N2539" t="s">
        <v>26</v>
      </c>
      <c r="O2539" t="s">
        <v>26</v>
      </c>
      <c r="P2539" t="s">
        <v>26</v>
      </c>
      <c r="Q2539" t="s">
        <v>26</v>
      </c>
      <c r="R2539" t="s">
        <v>26</v>
      </c>
      <c r="S2539" t="s">
        <v>26</v>
      </c>
      <c r="T2539" t="s">
        <v>26</v>
      </c>
      <c r="U2539" t="s">
        <v>26</v>
      </c>
      <c r="V2539" t="s">
        <v>26</v>
      </c>
      <c r="W2539" s="24">
        <v>40179</v>
      </c>
      <c r="X2539" s="24">
        <v>40179</v>
      </c>
      <c r="Y2539" t="s">
        <v>26</v>
      </c>
      <c r="Z2539" s="24">
        <v>40179</v>
      </c>
      <c r="AA2539" s="24">
        <v>40179</v>
      </c>
      <c r="AB2539" t="s">
        <v>26</v>
      </c>
      <c r="AC2539" t="s">
        <v>26</v>
      </c>
      <c r="AD2539" t="s">
        <v>26</v>
      </c>
      <c r="AE2539" t="s">
        <v>26</v>
      </c>
      <c r="AF2539" t="s">
        <v>26</v>
      </c>
      <c r="AG2539" t="s">
        <v>26</v>
      </c>
      <c r="AH2539" t="s">
        <v>26</v>
      </c>
      <c r="AI2539" t="s">
        <v>26</v>
      </c>
      <c r="AJ2539" t="s">
        <v>26</v>
      </c>
      <c r="AK2539" t="s">
        <v>26</v>
      </c>
      <c r="AL2539" t="s">
        <v>26</v>
      </c>
      <c r="AM2539" t="s">
        <v>26</v>
      </c>
      <c r="AN2539" t="s">
        <v>26</v>
      </c>
      <c r="AO2539" s="25" t="s">
        <v>28</v>
      </c>
      <c r="AP2539" s="23" t="s">
        <v>5851</v>
      </c>
      <c r="AQ2539" s="23" t="s">
        <v>30</v>
      </c>
      <c r="AR2539" s="23" t="s">
        <v>147</v>
      </c>
      <c r="AS2539" s="25">
        <v>5485158</v>
      </c>
      <c r="AT2539" s="23" t="s">
        <v>22181</v>
      </c>
      <c r="AU2539" t="s">
        <v>25548</v>
      </c>
    </row>
    <row r="2540" spans="1:47" ht="39.4" x14ac:dyDescent="0.4">
      <c r="A2540" s="23" t="s">
        <v>6615</v>
      </c>
      <c r="B2540" t="s">
        <v>26</v>
      </c>
      <c r="C2540" s="23" t="s">
        <v>292</v>
      </c>
      <c r="D2540" s="23" t="s">
        <v>22256</v>
      </c>
      <c r="E2540" s="23" t="s">
        <v>42</v>
      </c>
      <c r="F2540" t="s">
        <v>26</v>
      </c>
      <c r="G2540" t="s">
        <v>26</v>
      </c>
      <c r="H2540" t="s">
        <v>26</v>
      </c>
      <c r="I2540" t="s">
        <v>26</v>
      </c>
      <c r="J2540" t="s">
        <v>26</v>
      </c>
      <c r="K2540" t="s">
        <v>26</v>
      </c>
      <c r="L2540" s="25" t="s">
        <v>28</v>
      </c>
      <c r="M2540" t="s">
        <v>26</v>
      </c>
      <c r="N2540" t="s">
        <v>26</v>
      </c>
      <c r="O2540" t="s">
        <v>26</v>
      </c>
      <c r="P2540" t="s">
        <v>26</v>
      </c>
      <c r="Q2540" t="s">
        <v>26</v>
      </c>
      <c r="R2540" t="s">
        <v>26</v>
      </c>
      <c r="S2540" t="s">
        <v>26</v>
      </c>
      <c r="T2540" t="s">
        <v>26</v>
      </c>
      <c r="U2540" t="s">
        <v>26</v>
      </c>
      <c r="V2540" t="s">
        <v>26</v>
      </c>
      <c r="W2540" s="24">
        <v>40179</v>
      </c>
      <c r="X2540" s="24">
        <v>40179</v>
      </c>
      <c r="Y2540" t="s">
        <v>26</v>
      </c>
      <c r="Z2540" s="24">
        <v>40179</v>
      </c>
      <c r="AA2540" s="24">
        <v>40179</v>
      </c>
      <c r="AB2540" t="s">
        <v>26</v>
      </c>
      <c r="AC2540" t="s">
        <v>26</v>
      </c>
      <c r="AD2540" t="s">
        <v>26</v>
      </c>
      <c r="AE2540" t="s">
        <v>26</v>
      </c>
      <c r="AF2540" t="s">
        <v>26</v>
      </c>
      <c r="AG2540" t="s">
        <v>26</v>
      </c>
      <c r="AH2540" t="s">
        <v>26</v>
      </c>
      <c r="AI2540" t="s">
        <v>26</v>
      </c>
      <c r="AJ2540" t="s">
        <v>26</v>
      </c>
      <c r="AK2540" t="s">
        <v>26</v>
      </c>
      <c r="AL2540" t="s">
        <v>26</v>
      </c>
      <c r="AM2540" t="s">
        <v>26</v>
      </c>
      <c r="AN2540" t="s">
        <v>26</v>
      </c>
      <c r="AO2540" s="25" t="s">
        <v>28</v>
      </c>
      <c r="AP2540" s="23" t="s">
        <v>5851</v>
      </c>
      <c r="AQ2540" s="23" t="s">
        <v>30</v>
      </c>
      <c r="AR2540" s="23" t="s">
        <v>147</v>
      </c>
      <c r="AS2540" s="25">
        <v>5485161</v>
      </c>
      <c r="AT2540" s="23" t="s">
        <v>22181</v>
      </c>
      <c r="AU2540" t="s">
        <v>25549</v>
      </c>
    </row>
    <row r="2541" spans="1:47" ht="39.4" x14ac:dyDescent="0.4">
      <c r="A2541" s="23" t="s">
        <v>6616</v>
      </c>
      <c r="B2541" t="s">
        <v>26</v>
      </c>
      <c r="C2541" s="23" t="s">
        <v>292</v>
      </c>
      <c r="D2541" s="23" t="s">
        <v>22256</v>
      </c>
      <c r="E2541" s="23" t="s">
        <v>42</v>
      </c>
      <c r="F2541" t="s">
        <v>26</v>
      </c>
      <c r="G2541" t="s">
        <v>26</v>
      </c>
      <c r="H2541" t="s">
        <v>26</v>
      </c>
      <c r="I2541" t="s">
        <v>26</v>
      </c>
      <c r="J2541" t="s">
        <v>26</v>
      </c>
      <c r="K2541" t="s">
        <v>26</v>
      </c>
      <c r="L2541" s="25" t="s">
        <v>28</v>
      </c>
      <c r="M2541" t="s">
        <v>26</v>
      </c>
      <c r="N2541" t="s">
        <v>26</v>
      </c>
      <c r="O2541" t="s">
        <v>26</v>
      </c>
      <c r="P2541" t="s">
        <v>26</v>
      </c>
      <c r="Q2541" t="s">
        <v>26</v>
      </c>
      <c r="R2541" t="s">
        <v>26</v>
      </c>
      <c r="S2541" t="s">
        <v>26</v>
      </c>
      <c r="T2541" t="s">
        <v>26</v>
      </c>
      <c r="U2541" t="s">
        <v>26</v>
      </c>
      <c r="V2541" t="s">
        <v>26</v>
      </c>
      <c r="W2541" s="24">
        <v>40179</v>
      </c>
      <c r="X2541" s="24">
        <v>40179</v>
      </c>
      <c r="Y2541" t="s">
        <v>26</v>
      </c>
      <c r="Z2541" s="24">
        <v>40179</v>
      </c>
      <c r="AA2541" s="24">
        <v>40179</v>
      </c>
      <c r="AB2541" t="s">
        <v>26</v>
      </c>
      <c r="AC2541" t="s">
        <v>26</v>
      </c>
      <c r="AD2541" t="s">
        <v>26</v>
      </c>
      <c r="AE2541" t="s">
        <v>26</v>
      </c>
      <c r="AF2541" t="s">
        <v>26</v>
      </c>
      <c r="AG2541" t="s">
        <v>26</v>
      </c>
      <c r="AH2541" t="s">
        <v>26</v>
      </c>
      <c r="AI2541" t="s">
        <v>26</v>
      </c>
      <c r="AJ2541" t="s">
        <v>26</v>
      </c>
      <c r="AK2541" t="s">
        <v>26</v>
      </c>
      <c r="AL2541" t="s">
        <v>26</v>
      </c>
      <c r="AM2541" t="s">
        <v>26</v>
      </c>
      <c r="AN2541" t="s">
        <v>26</v>
      </c>
      <c r="AO2541" s="25" t="s">
        <v>28</v>
      </c>
      <c r="AP2541" s="23" t="s">
        <v>5851</v>
      </c>
      <c r="AQ2541" s="23" t="s">
        <v>30</v>
      </c>
      <c r="AR2541" s="23" t="s">
        <v>147</v>
      </c>
      <c r="AS2541" s="25">
        <v>5485160</v>
      </c>
      <c r="AT2541" s="23" t="s">
        <v>22181</v>
      </c>
      <c r="AU2541" t="s">
        <v>25550</v>
      </c>
    </row>
    <row r="2542" spans="1:47" ht="39.4" x14ac:dyDescent="0.4">
      <c r="A2542" s="23" t="s">
        <v>6617</v>
      </c>
      <c r="B2542" t="s">
        <v>26</v>
      </c>
      <c r="C2542" s="23" t="s">
        <v>292</v>
      </c>
      <c r="D2542" s="23" t="s">
        <v>22256</v>
      </c>
      <c r="E2542" s="23" t="s">
        <v>42</v>
      </c>
      <c r="F2542" t="s">
        <v>26</v>
      </c>
      <c r="G2542" t="s">
        <v>26</v>
      </c>
      <c r="H2542" t="s">
        <v>26</v>
      </c>
      <c r="I2542" t="s">
        <v>26</v>
      </c>
      <c r="J2542" t="s">
        <v>26</v>
      </c>
      <c r="K2542" t="s">
        <v>26</v>
      </c>
      <c r="L2542" s="25" t="s">
        <v>28</v>
      </c>
      <c r="M2542" t="s">
        <v>26</v>
      </c>
      <c r="N2542" t="s">
        <v>26</v>
      </c>
      <c r="O2542" t="s">
        <v>26</v>
      </c>
      <c r="P2542" t="s">
        <v>26</v>
      </c>
      <c r="Q2542" t="s">
        <v>26</v>
      </c>
      <c r="R2542" t="s">
        <v>26</v>
      </c>
      <c r="S2542" t="s">
        <v>26</v>
      </c>
      <c r="T2542" t="s">
        <v>26</v>
      </c>
      <c r="U2542" t="s">
        <v>26</v>
      </c>
      <c r="V2542" t="s">
        <v>26</v>
      </c>
      <c r="W2542" s="24">
        <v>40179</v>
      </c>
      <c r="X2542" s="24">
        <v>40179</v>
      </c>
      <c r="Y2542" t="s">
        <v>26</v>
      </c>
      <c r="Z2542" s="24">
        <v>40179</v>
      </c>
      <c r="AA2542" s="24">
        <v>40179</v>
      </c>
      <c r="AB2542" t="s">
        <v>26</v>
      </c>
      <c r="AC2542" t="s">
        <v>26</v>
      </c>
      <c r="AD2542" t="s">
        <v>26</v>
      </c>
      <c r="AE2542" t="s">
        <v>26</v>
      </c>
      <c r="AF2542" t="s">
        <v>26</v>
      </c>
      <c r="AG2542" t="s">
        <v>26</v>
      </c>
      <c r="AH2542" t="s">
        <v>26</v>
      </c>
      <c r="AI2542" t="s">
        <v>26</v>
      </c>
      <c r="AJ2542" t="s">
        <v>26</v>
      </c>
      <c r="AK2542" t="s">
        <v>26</v>
      </c>
      <c r="AL2542" t="s">
        <v>26</v>
      </c>
      <c r="AM2542" t="s">
        <v>26</v>
      </c>
      <c r="AN2542" t="s">
        <v>26</v>
      </c>
      <c r="AO2542" s="25" t="s">
        <v>28</v>
      </c>
      <c r="AP2542" s="23" t="s">
        <v>5851</v>
      </c>
      <c r="AQ2542" s="23" t="s">
        <v>30</v>
      </c>
      <c r="AR2542" s="23" t="s">
        <v>147</v>
      </c>
      <c r="AS2542" s="25">
        <v>5485149</v>
      </c>
      <c r="AT2542" s="23" t="s">
        <v>22181</v>
      </c>
      <c r="AU2542" t="s">
        <v>25551</v>
      </c>
    </row>
    <row r="2543" spans="1:47" ht="39.4" x14ac:dyDescent="0.4">
      <c r="A2543" s="23" t="s">
        <v>6618</v>
      </c>
      <c r="B2543" t="s">
        <v>26</v>
      </c>
      <c r="C2543" s="23" t="s">
        <v>292</v>
      </c>
      <c r="D2543" s="23" t="s">
        <v>22256</v>
      </c>
      <c r="E2543" s="23" t="s">
        <v>42</v>
      </c>
      <c r="F2543" t="s">
        <v>26</v>
      </c>
      <c r="G2543" t="s">
        <v>26</v>
      </c>
      <c r="H2543" t="s">
        <v>26</v>
      </c>
      <c r="I2543" t="s">
        <v>26</v>
      </c>
      <c r="J2543" t="s">
        <v>26</v>
      </c>
      <c r="K2543" t="s">
        <v>26</v>
      </c>
      <c r="L2543" s="25" t="s">
        <v>28</v>
      </c>
      <c r="M2543" t="s">
        <v>26</v>
      </c>
      <c r="N2543" t="s">
        <v>26</v>
      </c>
      <c r="O2543" t="s">
        <v>26</v>
      </c>
      <c r="P2543" t="s">
        <v>26</v>
      </c>
      <c r="Q2543" t="s">
        <v>26</v>
      </c>
      <c r="R2543" t="s">
        <v>26</v>
      </c>
      <c r="S2543" t="s">
        <v>26</v>
      </c>
      <c r="T2543" t="s">
        <v>26</v>
      </c>
      <c r="U2543" t="s">
        <v>26</v>
      </c>
      <c r="V2543" t="s">
        <v>26</v>
      </c>
      <c r="W2543" s="24">
        <v>40179</v>
      </c>
      <c r="X2543" s="24">
        <v>40179</v>
      </c>
      <c r="Y2543" t="s">
        <v>26</v>
      </c>
      <c r="Z2543" s="24">
        <v>40179</v>
      </c>
      <c r="AA2543" s="24">
        <v>40179</v>
      </c>
      <c r="AB2543" t="s">
        <v>26</v>
      </c>
      <c r="AC2543" t="s">
        <v>26</v>
      </c>
      <c r="AD2543" t="s">
        <v>26</v>
      </c>
      <c r="AE2543" t="s">
        <v>26</v>
      </c>
      <c r="AF2543" t="s">
        <v>26</v>
      </c>
      <c r="AG2543" t="s">
        <v>26</v>
      </c>
      <c r="AH2543" t="s">
        <v>26</v>
      </c>
      <c r="AI2543" t="s">
        <v>26</v>
      </c>
      <c r="AJ2543" t="s">
        <v>26</v>
      </c>
      <c r="AK2543" t="s">
        <v>26</v>
      </c>
      <c r="AL2543" t="s">
        <v>26</v>
      </c>
      <c r="AM2543" t="s">
        <v>26</v>
      </c>
      <c r="AN2543" t="s">
        <v>26</v>
      </c>
      <c r="AO2543" s="25" t="s">
        <v>28</v>
      </c>
      <c r="AP2543" s="23" t="s">
        <v>5851</v>
      </c>
      <c r="AQ2543" s="23" t="s">
        <v>30</v>
      </c>
      <c r="AR2543" s="23" t="s">
        <v>147</v>
      </c>
      <c r="AS2543" s="25">
        <v>5485127</v>
      </c>
      <c r="AT2543" s="23" t="s">
        <v>22181</v>
      </c>
      <c r="AU2543" t="s">
        <v>25552</v>
      </c>
    </row>
    <row r="2544" spans="1:47" ht="39.4" x14ac:dyDescent="0.4">
      <c r="A2544" s="23" t="s">
        <v>6619</v>
      </c>
      <c r="B2544" t="s">
        <v>26</v>
      </c>
      <c r="C2544" s="23" t="s">
        <v>292</v>
      </c>
      <c r="D2544" s="23" t="s">
        <v>22256</v>
      </c>
      <c r="E2544" s="23" t="s">
        <v>42</v>
      </c>
      <c r="F2544" t="s">
        <v>26</v>
      </c>
      <c r="G2544" t="s">
        <v>26</v>
      </c>
      <c r="H2544" t="s">
        <v>26</v>
      </c>
      <c r="I2544" t="s">
        <v>26</v>
      </c>
      <c r="J2544" t="s">
        <v>26</v>
      </c>
      <c r="K2544" t="s">
        <v>26</v>
      </c>
      <c r="L2544" s="25" t="s">
        <v>28</v>
      </c>
      <c r="M2544" t="s">
        <v>26</v>
      </c>
      <c r="N2544" t="s">
        <v>26</v>
      </c>
      <c r="O2544" t="s">
        <v>26</v>
      </c>
      <c r="P2544" t="s">
        <v>26</v>
      </c>
      <c r="Q2544" t="s">
        <v>26</v>
      </c>
      <c r="R2544" t="s">
        <v>26</v>
      </c>
      <c r="S2544" t="s">
        <v>26</v>
      </c>
      <c r="T2544" t="s">
        <v>26</v>
      </c>
      <c r="U2544" t="s">
        <v>26</v>
      </c>
      <c r="V2544" t="s">
        <v>26</v>
      </c>
      <c r="W2544" s="24">
        <v>40179</v>
      </c>
      <c r="X2544" s="24">
        <v>40179</v>
      </c>
      <c r="Y2544" t="s">
        <v>26</v>
      </c>
      <c r="Z2544" s="24">
        <v>40179</v>
      </c>
      <c r="AA2544" s="24">
        <v>40179</v>
      </c>
      <c r="AB2544" t="s">
        <v>26</v>
      </c>
      <c r="AC2544" t="s">
        <v>26</v>
      </c>
      <c r="AD2544" t="s">
        <v>26</v>
      </c>
      <c r="AE2544" t="s">
        <v>26</v>
      </c>
      <c r="AF2544" t="s">
        <v>26</v>
      </c>
      <c r="AG2544" t="s">
        <v>26</v>
      </c>
      <c r="AH2544" t="s">
        <v>26</v>
      </c>
      <c r="AI2544" t="s">
        <v>26</v>
      </c>
      <c r="AJ2544" t="s">
        <v>26</v>
      </c>
      <c r="AK2544" t="s">
        <v>26</v>
      </c>
      <c r="AL2544" t="s">
        <v>26</v>
      </c>
      <c r="AM2544" t="s">
        <v>26</v>
      </c>
      <c r="AN2544" t="s">
        <v>26</v>
      </c>
      <c r="AO2544" s="25" t="s">
        <v>28</v>
      </c>
      <c r="AP2544" s="23" t="s">
        <v>5851</v>
      </c>
      <c r="AQ2544" s="23" t="s">
        <v>30</v>
      </c>
      <c r="AR2544" s="23" t="s">
        <v>147</v>
      </c>
      <c r="AS2544" s="25">
        <v>5485157</v>
      </c>
      <c r="AT2544" s="23" t="s">
        <v>22181</v>
      </c>
      <c r="AU2544" t="s">
        <v>25553</v>
      </c>
    </row>
    <row r="2545" spans="1:47" ht="39.4" x14ac:dyDescent="0.4">
      <c r="A2545" s="23" t="s">
        <v>6620</v>
      </c>
      <c r="B2545" t="s">
        <v>26</v>
      </c>
      <c r="C2545" s="23" t="s">
        <v>292</v>
      </c>
      <c r="D2545" s="23" t="s">
        <v>22256</v>
      </c>
      <c r="E2545" s="23" t="s">
        <v>42</v>
      </c>
      <c r="F2545" t="s">
        <v>26</v>
      </c>
      <c r="G2545" t="s">
        <v>26</v>
      </c>
      <c r="H2545" t="s">
        <v>26</v>
      </c>
      <c r="I2545" t="s">
        <v>26</v>
      </c>
      <c r="J2545" t="s">
        <v>26</v>
      </c>
      <c r="K2545" t="s">
        <v>26</v>
      </c>
      <c r="L2545" s="25" t="s">
        <v>28</v>
      </c>
      <c r="M2545" t="s">
        <v>26</v>
      </c>
      <c r="N2545" t="s">
        <v>26</v>
      </c>
      <c r="O2545" t="s">
        <v>26</v>
      </c>
      <c r="P2545" t="s">
        <v>26</v>
      </c>
      <c r="Q2545" t="s">
        <v>26</v>
      </c>
      <c r="R2545" t="s">
        <v>26</v>
      </c>
      <c r="S2545" t="s">
        <v>26</v>
      </c>
      <c r="T2545" t="s">
        <v>26</v>
      </c>
      <c r="U2545" t="s">
        <v>26</v>
      </c>
      <c r="V2545" t="s">
        <v>26</v>
      </c>
      <c r="W2545" s="24">
        <v>40179</v>
      </c>
      <c r="X2545" s="24">
        <v>40179</v>
      </c>
      <c r="Y2545" t="s">
        <v>26</v>
      </c>
      <c r="Z2545" s="24">
        <v>40179</v>
      </c>
      <c r="AA2545" s="24">
        <v>40179</v>
      </c>
      <c r="AB2545" t="s">
        <v>26</v>
      </c>
      <c r="AC2545" t="s">
        <v>26</v>
      </c>
      <c r="AD2545" t="s">
        <v>26</v>
      </c>
      <c r="AE2545" t="s">
        <v>26</v>
      </c>
      <c r="AF2545" t="s">
        <v>26</v>
      </c>
      <c r="AG2545" t="s">
        <v>26</v>
      </c>
      <c r="AH2545" t="s">
        <v>26</v>
      </c>
      <c r="AI2545" t="s">
        <v>26</v>
      </c>
      <c r="AJ2545" t="s">
        <v>26</v>
      </c>
      <c r="AK2545" t="s">
        <v>26</v>
      </c>
      <c r="AL2545" t="s">
        <v>26</v>
      </c>
      <c r="AM2545" t="s">
        <v>26</v>
      </c>
      <c r="AN2545" t="s">
        <v>26</v>
      </c>
      <c r="AO2545" s="25" t="s">
        <v>28</v>
      </c>
      <c r="AP2545" s="23" t="s">
        <v>5851</v>
      </c>
      <c r="AQ2545" s="23" t="s">
        <v>30</v>
      </c>
      <c r="AR2545" s="23" t="s">
        <v>147</v>
      </c>
      <c r="AS2545" s="25">
        <v>5485145</v>
      </c>
      <c r="AT2545" s="23" t="s">
        <v>22181</v>
      </c>
      <c r="AU2545" t="s">
        <v>25554</v>
      </c>
    </row>
    <row r="2546" spans="1:47" ht="39.4" x14ac:dyDescent="0.4">
      <c r="A2546" s="23" t="s">
        <v>6621</v>
      </c>
      <c r="B2546" t="s">
        <v>26</v>
      </c>
      <c r="C2546" s="23" t="s">
        <v>292</v>
      </c>
      <c r="D2546" s="23" t="s">
        <v>22256</v>
      </c>
      <c r="E2546" s="23" t="s">
        <v>42</v>
      </c>
      <c r="F2546" t="s">
        <v>26</v>
      </c>
      <c r="G2546" t="s">
        <v>26</v>
      </c>
      <c r="H2546" t="s">
        <v>26</v>
      </c>
      <c r="I2546" t="s">
        <v>26</v>
      </c>
      <c r="J2546" t="s">
        <v>26</v>
      </c>
      <c r="K2546" t="s">
        <v>26</v>
      </c>
      <c r="L2546" s="25" t="s">
        <v>28</v>
      </c>
      <c r="M2546" t="s">
        <v>26</v>
      </c>
      <c r="N2546" t="s">
        <v>26</v>
      </c>
      <c r="O2546" t="s">
        <v>26</v>
      </c>
      <c r="P2546" t="s">
        <v>26</v>
      </c>
      <c r="Q2546" t="s">
        <v>26</v>
      </c>
      <c r="R2546" t="s">
        <v>26</v>
      </c>
      <c r="S2546" t="s">
        <v>26</v>
      </c>
      <c r="T2546" t="s">
        <v>26</v>
      </c>
      <c r="U2546" t="s">
        <v>26</v>
      </c>
      <c r="V2546" t="s">
        <v>26</v>
      </c>
      <c r="W2546" s="24">
        <v>40179</v>
      </c>
      <c r="X2546" s="24">
        <v>40179</v>
      </c>
      <c r="Y2546" t="s">
        <v>26</v>
      </c>
      <c r="Z2546" s="24">
        <v>40179</v>
      </c>
      <c r="AA2546" s="24">
        <v>40179</v>
      </c>
      <c r="AB2546" t="s">
        <v>26</v>
      </c>
      <c r="AC2546" t="s">
        <v>26</v>
      </c>
      <c r="AD2546" t="s">
        <v>26</v>
      </c>
      <c r="AE2546" t="s">
        <v>26</v>
      </c>
      <c r="AF2546" t="s">
        <v>26</v>
      </c>
      <c r="AG2546" t="s">
        <v>26</v>
      </c>
      <c r="AH2546" t="s">
        <v>26</v>
      </c>
      <c r="AI2546" t="s">
        <v>26</v>
      </c>
      <c r="AJ2546" t="s">
        <v>26</v>
      </c>
      <c r="AK2546" t="s">
        <v>26</v>
      </c>
      <c r="AL2546" t="s">
        <v>26</v>
      </c>
      <c r="AM2546" t="s">
        <v>26</v>
      </c>
      <c r="AN2546" t="s">
        <v>26</v>
      </c>
      <c r="AO2546" s="25" t="s">
        <v>28</v>
      </c>
      <c r="AP2546" s="23" t="s">
        <v>5851</v>
      </c>
      <c r="AQ2546" s="23" t="s">
        <v>30</v>
      </c>
      <c r="AR2546" s="23" t="s">
        <v>147</v>
      </c>
      <c r="AS2546" s="25">
        <v>5485144</v>
      </c>
      <c r="AT2546" s="23" t="s">
        <v>22181</v>
      </c>
      <c r="AU2546" t="s">
        <v>25555</v>
      </c>
    </row>
    <row r="2547" spans="1:47" ht="39.4" x14ac:dyDescent="0.4">
      <c r="A2547" s="23" t="s">
        <v>6622</v>
      </c>
      <c r="B2547" t="s">
        <v>26</v>
      </c>
      <c r="C2547" s="23" t="s">
        <v>292</v>
      </c>
      <c r="D2547" s="23" t="s">
        <v>22256</v>
      </c>
      <c r="E2547" s="23" t="s">
        <v>42</v>
      </c>
      <c r="F2547" t="s">
        <v>26</v>
      </c>
      <c r="G2547" t="s">
        <v>26</v>
      </c>
      <c r="H2547" t="s">
        <v>26</v>
      </c>
      <c r="I2547" t="s">
        <v>26</v>
      </c>
      <c r="J2547" t="s">
        <v>26</v>
      </c>
      <c r="K2547" t="s">
        <v>26</v>
      </c>
      <c r="L2547" s="25" t="s">
        <v>28</v>
      </c>
      <c r="M2547" t="s">
        <v>26</v>
      </c>
      <c r="N2547" t="s">
        <v>26</v>
      </c>
      <c r="O2547" t="s">
        <v>26</v>
      </c>
      <c r="P2547" t="s">
        <v>26</v>
      </c>
      <c r="Q2547" t="s">
        <v>26</v>
      </c>
      <c r="R2547" t="s">
        <v>26</v>
      </c>
      <c r="S2547" t="s">
        <v>26</v>
      </c>
      <c r="T2547" t="s">
        <v>26</v>
      </c>
      <c r="U2547" t="s">
        <v>26</v>
      </c>
      <c r="V2547" t="s">
        <v>26</v>
      </c>
      <c r="W2547" s="24">
        <v>40179</v>
      </c>
      <c r="X2547" s="24">
        <v>40179</v>
      </c>
      <c r="Y2547" t="s">
        <v>26</v>
      </c>
      <c r="Z2547" s="24">
        <v>40179</v>
      </c>
      <c r="AA2547" s="24">
        <v>40179</v>
      </c>
      <c r="AB2547" t="s">
        <v>26</v>
      </c>
      <c r="AC2547" t="s">
        <v>26</v>
      </c>
      <c r="AD2547" t="s">
        <v>26</v>
      </c>
      <c r="AE2547" t="s">
        <v>26</v>
      </c>
      <c r="AF2547" t="s">
        <v>26</v>
      </c>
      <c r="AG2547" t="s">
        <v>26</v>
      </c>
      <c r="AH2547" t="s">
        <v>26</v>
      </c>
      <c r="AI2547" t="s">
        <v>26</v>
      </c>
      <c r="AJ2547" t="s">
        <v>26</v>
      </c>
      <c r="AK2547" t="s">
        <v>26</v>
      </c>
      <c r="AL2547" t="s">
        <v>26</v>
      </c>
      <c r="AM2547" t="s">
        <v>26</v>
      </c>
      <c r="AN2547" t="s">
        <v>26</v>
      </c>
      <c r="AO2547" s="25" t="s">
        <v>28</v>
      </c>
      <c r="AP2547" s="23" t="s">
        <v>5851</v>
      </c>
      <c r="AQ2547" s="23" t="s">
        <v>30</v>
      </c>
      <c r="AR2547" s="23" t="s">
        <v>147</v>
      </c>
      <c r="AS2547" s="25">
        <v>5485164</v>
      </c>
      <c r="AT2547" s="23" t="s">
        <v>22181</v>
      </c>
      <c r="AU2547" t="s">
        <v>25556</v>
      </c>
    </row>
    <row r="2548" spans="1:47" ht="39.4" x14ac:dyDescent="0.4">
      <c r="A2548" s="23" t="s">
        <v>6623</v>
      </c>
      <c r="B2548" t="s">
        <v>26</v>
      </c>
      <c r="C2548" s="23" t="s">
        <v>292</v>
      </c>
      <c r="D2548" s="23" t="s">
        <v>22256</v>
      </c>
      <c r="E2548" s="23" t="s">
        <v>42</v>
      </c>
      <c r="F2548" t="s">
        <v>26</v>
      </c>
      <c r="G2548" t="s">
        <v>26</v>
      </c>
      <c r="H2548" t="s">
        <v>26</v>
      </c>
      <c r="I2548" t="s">
        <v>26</v>
      </c>
      <c r="J2548" t="s">
        <v>26</v>
      </c>
      <c r="K2548" t="s">
        <v>26</v>
      </c>
      <c r="L2548" s="25" t="s">
        <v>28</v>
      </c>
      <c r="M2548" t="s">
        <v>26</v>
      </c>
      <c r="N2548" t="s">
        <v>26</v>
      </c>
      <c r="O2548" t="s">
        <v>26</v>
      </c>
      <c r="P2548" t="s">
        <v>26</v>
      </c>
      <c r="Q2548" t="s">
        <v>26</v>
      </c>
      <c r="R2548" t="s">
        <v>26</v>
      </c>
      <c r="S2548" t="s">
        <v>26</v>
      </c>
      <c r="T2548" t="s">
        <v>26</v>
      </c>
      <c r="U2548" t="s">
        <v>26</v>
      </c>
      <c r="V2548" t="s">
        <v>26</v>
      </c>
      <c r="W2548" s="24">
        <v>40179</v>
      </c>
      <c r="X2548" s="24">
        <v>40179</v>
      </c>
      <c r="Y2548" t="s">
        <v>26</v>
      </c>
      <c r="Z2548" s="24">
        <v>40179</v>
      </c>
      <c r="AA2548" s="24">
        <v>40179</v>
      </c>
      <c r="AB2548" t="s">
        <v>26</v>
      </c>
      <c r="AC2548" t="s">
        <v>26</v>
      </c>
      <c r="AD2548" t="s">
        <v>26</v>
      </c>
      <c r="AE2548" t="s">
        <v>26</v>
      </c>
      <c r="AF2548" t="s">
        <v>26</v>
      </c>
      <c r="AG2548" t="s">
        <v>26</v>
      </c>
      <c r="AH2548" t="s">
        <v>26</v>
      </c>
      <c r="AI2548" t="s">
        <v>26</v>
      </c>
      <c r="AJ2548" t="s">
        <v>26</v>
      </c>
      <c r="AK2548" t="s">
        <v>26</v>
      </c>
      <c r="AL2548" t="s">
        <v>26</v>
      </c>
      <c r="AM2548" t="s">
        <v>26</v>
      </c>
      <c r="AN2548" t="s">
        <v>26</v>
      </c>
      <c r="AO2548" s="25" t="s">
        <v>28</v>
      </c>
      <c r="AP2548" s="23" t="s">
        <v>5851</v>
      </c>
      <c r="AQ2548" s="23" t="s">
        <v>30</v>
      </c>
      <c r="AR2548" s="23" t="s">
        <v>147</v>
      </c>
      <c r="AS2548" s="25">
        <v>5485153</v>
      </c>
      <c r="AT2548" s="23" t="s">
        <v>22181</v>
      </c>
      <c r="AU2548" t="s">
        <v>25557</v>
      </c>
    </row>
    <row r="2549" spans="1:47" ht="39.4" x14ac:dyDescent="0.4">
      <c r="A2549" s="23" t="s">
        <v>6624</v>
      </c>
      <c r="B2549" t="s">
        <v>26</v>
      </c>
      <c r="C2549" s="23" t="s">
        <v>292</v>
      </c>
      <c r="D2549" s="23" t="s">
        <v>22256</v>
      </c>
      <c r="E2549" s="23" t="s">
        <v>42</v>
      </c>
      <c r="F2549" t="s">
        <v>26</v>
      </c>
      <c r="G2549" t="s">
        <v>26</v>
      </c>
      <c r="H2549" t="s">
        <v>26</v>
      </c>
      <c r="I2549" t="s">
        <v>26</v>
      </c>
      <c r="J2549" t="s">
        <v>26</v>
      </c>
      <c r="K2549" t="s">
        <v>26</v>
      </c>
      <c r="L2549" s="25" t="s">
        <v>28</v>
      </c>
      <c r="M2549" t="s">
        <v>26</v>
      </c>
      <c r="N2549" t="s">
        <v>26</v>
      </c>
      <c r="O2549" t="s">
        <v>26</v>
      </c>
      <c r="P2549" t="s">
        <v>26</v>
      </c>
      <c r="Q2549" t="s">
        <v>26</v>
      </c>
      <c r="R2549" t="s">
        <v>26</v>
      </c>
      <c r="S2549" t="s">
        <v>26</v>
      </c>
      <c r="T2549" t="s">
        <v>26</v>
      </c>
      <c r="U2549" t="s">
        <v>26</v>
      </c>
      <c r="V2549" t="s">
        <v>26</v>
      </c>
      <c r="W2549" s="24">
        <v>40179</v>
      </c>
      <c r="X2549" s="24">
        <v>40179</v>
      </c>
      <c r="Y2549" t="s">
        <v>26</v>
      </c>
      <c r="Z2549" s="24">
        <v>40179</v>
      </c>
      <c r="AA2549" s="24">
        <v>40179</v>
      </c>
      <c r="AB2549" t="s">
        <v>26</v>
      </c>
      <c r="AC2549" t="s">
        <v>26</v>
      </c>
      <c r="AD2549" t="s">
        <v>26</v>
      </c>
      <c r="AE2549" t="s">
        <v>26</v>
      </c>
      <c r="AF2549" t="s">
        <v>26</v>
      </c>
      <c r="AG2549" t="s">
        <v>26</v>
      </c>
      <c r="AH2549" t="s">
        <v>26</v>
      </c>
      <c r="AI2549" t="s">
        <v>26</v>
      </c>
      <c r="AJ2549" t="s">
        <v>26</v>
      </c>
      <c r="AK2549" t="s">
        <v>26</v>
      </c>
      <c r="AL2549" t="s">
        <v>26</v>
      </c>
      <c r="AM2549" t="s">
        <v>26</v>
      </c>
      <c r="AN2549" t="s">
        <v>26</v>
      </c>
      <c r="AO2549" s="25" t="s">
        <v>28</v>
      </c>
      <c r="AP2549" s="23" t="s">
        <v>5851</v>
      </c>
      <c r="AQ2549" s="23" t="s">
        <v>30</v>
      </c>
      <c r="AR2549" s="23" t="s">
        <v>147</v>
      </c>
      <c r="AS2549" s="25">
        <v>5485156</v>
      </c>
      <c r="AT2549" s="23" t="s">
        <v>22181</v>
      </c>
      <c r="AU2549" t="s">
        <v>25558</v>
      </c>
    </row>
    <row r="2550" spans="1:47" ht="39.4" x14ac:dyDescent="0.4">
      <c r="A2550" s="23" t="s">
        <v>6625</v>
      </c>
      <c r="B2550" t="s">
        <v>26</v>
      </c>
      <c r="C2550" s="23" t="s">
        <v>292</v>
      </c>
      <c r="D2550" s="23" t="s">
        <v>22256</v>
      </c>
      <c r="E2550" s="23" t="s">
        <v>42</v>
      </c>
      <c r="F2550" t="s">
        <v>26</v>
      </c>
      <c r="G2550" t="s">
        <v>26</v>
      </c>
      <c r="H2550" t="s">
        <v>26</v>
      </c>
      <c r="I2550" t="s">
        <v>26</v>
      </c>
      <c r="J2550" t="s">
        <v>26</v>
      </c>
      <c r="K2550" t="s">
        <v>26</v>
      </c>
      <c r="L2550" s="25" t="s">
        <v>28</v>
      </c>
      <c r="M2550" t="s">
        <v>26</v>
      </c>
      <c r="N2550" t="s">
        <v>26</v>
      </c>
      <c r="O2550" t="s">
        <v>26</v>
      </c>
      <c r="P2550" t="s">
        <v>26</v>
      </c>
      <c r="Q2550" t="s">
        <v>26</v>
      </c>
      <c r="R2550" t="s">
        <v>26</v>
      </c>
      <c r="S2550" t="s">
        <v>26</v>
      </c>
      <c r="T2550" t="s">
        <v>26</v>
      </c>
      <c r="U2550" t="s">
        <v>26</v>
      </c>
      <c r="V2550" t="s">
        <v>26</v>
      </c>
      <c r="W2550" s="24">
        <v>40179</v>
      </c>
      <c r="X2550" s="24">
        <v>40179</v>
      </c>
      <c r="Y2550" t="s">
        <v>26</v>
      </c>
      <c r="Z2550" s="24">
        <v>40179</v>
      </c>
      <c r="AA2550" s="24">
        <v>40179</v>
      </c>
      <c r="AB2550" t="s">
        <v>26</v>
      </c>
      <c r="AC2550" t="s">
        <v>26</v>
      </c>
      <c r="AD2550" t="s">
        <v>26</v>
      </c>
      <c r="AE2550" t="s">
        <v>26</v>
      </c>
      <c r="AF2550" t="s">
        <v>26</v>
      </c>
      <c r="AG2550" t="s">
        <v>26</v>
      </c>
      <c r="AH2550" t="s">
        <v>26</v>
      </c>
      <c r="AI2550" t="s">
        <v>26</v>
      </c>
      <c r="AJ2550" t="s">
        <v>26</v>
      </c>
      <c r="AK2550" t="s">
        <v>26</v>
      </c>
      <c r="AL2550" t="s">
        <v>26</v>
      </c>
      <c r="AM2550" t="s">
        <v>26</v>
      </c>
      <c r="AN2550" t="s">
        <v>26</v>
      </c>
      <c r="AO2550" s="25" t="s">
        <v>28</v>
      </c>
      <c r="AP2550" s="23" t="s">
        <v>5851</v>
      </c>
      <c r="AQ2550" s="23" t="s">
        <v>30</v>
      </c>
      <c r="AR2550" s="23" t="s">
        <v>147</v>
      </c>
      <c r="AS2550" s="25">
        <v>5485155</v>
      </c>
      <c r="AT2550" s="23" t="s">
        <v>22181</v>
      </c>
      <c r="AU2550" t="s">
        <v>25559</v>
      </c>
    </row>
    <row r="2551" spans="1:47" ht="39.4" x14ac:dyDescent="0.4">
      <c r="A2551" s="23" t="s">
        <v>6626</v>
      </c>
      <c r="B2551" t="s">
        <v>26</v>
      </c>
      <c r="C2551" s="23" t="s">
        <v>292</v>
      </c>
      <c r="D2551" s="23" t="s">
        <v>22256</v>
      </c>
      <c r="E2551" s="23" t="s">
        <v>42</v>
      </c>
      <c r="F2551" t="s">
        <v>26</v>
      </c>
      <c r="G2551" t="s">
        <v>26</v>
      </c>
      <c r="H2551" t="s">
        <v>26</v>
      </c>
      <c r="I2551" t="s">
        <v>26</v>
      </c>
      <c r="J2551" t="s">
        <v>26</v>
      </c>
      <c r="K2551" t="s">
        <v>26</v>
      </c>
      <c r="L2551" s="25" t="s">
        <v>28</v>
      </c>
      <c r="M2551" t="s">
        <v>26</v>
      </c>
      <c r="N2551" t="s">
        <v>26</v>
      </c>
      <c r="O2551" t="s">
        <v>26</v>
      </c>
      <c r="P2551" t="s">
        <v>26</v>
      </c>
      <c r="Q2551" t="s">
        <v>26</v>
      </c>
      <c r="R2551" t="s">
        <v>26</v>
      </c>
      <c r="S2551" t="s">
        <v>26</v>
      </c>
      <c r="T2551" t="s">
        <v>26</v>
      </c>
      <c r="U2551" t="s">
        <v>26</v>
      </c>
      <c r="V2551" t="s">
        <v>26</v>
      </c>
      <c r="W2551" s="24">
        <v>40179</v>
      </c>
      <c r="X2551" s="24">
        <v>40179</v>
      </c>
      <c r="Y2551" t="s">
        <v>26</v>
      </c>
      <c r="Z2551" s="24">
        <v>40179</v>
      </c>
      <c r="AA2551" s="24">
        <v>40179</v>
      </c>
      <c r="AB2551" t="s">
        <v>26</v>
      </c>
      <c r="AC2551" t="s">
        <v>26</v>
      </c>
      <c r="AD2551" t="s">
        <v>26</v>
      </c>
      <c r="AE2551" t="s">
        <v>26</v>
      </c>
      <c r="AF2551" t="s">
        <v>26</v>
      </c>
      <c r="AG2551" t="s">
        <v>26</v>
      </c>
      <c r="AH2551" t="s">
        <v>26</v>
      </c>
      <c r="AI2551" t="s">
        <v>26</v>
      </c>
      <c r="AJ2551" t="s">
        <v>26</v>
      </c>
      <c r="AK2551" t="s">
        <v>26</v>
      </c>
      <c r="AL2551" t="s">
        <v>26</v>
      </c>
      <c r="AM2551" t="s">
        <v>26</v>
      </c>
      <c r="AN2551" t="s">
        <v>26</v>
      </c>
      <c r="AO2551" s="25" t="s">
        <v>28</v>
      </c>
      <c r="AP2551" s="23" t="s">
        <v>5851</v>
      </c>
      <c r="AQ2551" s="23" t="s">
        <v>30</v>
      </c>
      <c r="AR2551" s="23" t="s">
        <v>147</v>
      </c>
      <c r="AS2551" s="25">
        <v>5485139</v>
      </c>
      <c r="AT2551" s="23" t="s">
        <v>22181</v>
      </c>
      <c r="AU2551" t="s">
        <v>25560</v>
      </c>
    </row>
    <row r="2552" spans="1:47" ht="39.4" x14ac:dyDescent="0.4">
      <c r="A2552" s="23" t="s">
        <v>6627</v>
      </c>
      <c r="B2552" t="s">
        <v>26</v>
      </c>
      <c r="C2552" s="23" t="s">
        <v>292</v>
      </c>
      <c r="D2552" s="23" t="s">
        <v>22256</v>
      </c>
      <c r="E2552" s="23" t="s">
        <v>42</v>
      </c>
      <c r="F2552" t="s">
        <v>26</v>
      </c>
      <c r="G2552" t="s">
        <v>26</v>
      </c>
      <c r="H2552" t="s">
        <v>26</v>
      </c>
      <c r="I2552" s="24">
        <v>40179</v>
      </c>
      <c r="J2552" s="24">
        <v>40179</v>
      </c>
      <c r="K2552" t="s">
        <v>26</v>
      </c>
      <c r="L2552" s="25" t="s">
        <v>28</v>
      </c>
      <c r="M2552" t="s">
        <v>26</v>
      </c>
      <c r="N2552" t="s">
        <v>26</v>
      </c>
      <c r="O2552" t="s">
        <v>26</v>
      </c>
      <c r="P2552" s="24">
        <v>40179</v>
      </c>
      <c r="Q2552" s="24">
        <v>40179</v>
      </c>
      <c r="R2552" t="s">
        <v>26</v>
      </c>
      <c r="S2552" t="s">
        <v>26</v>
      </c>
      <c r="T2552" t="s">
        <v>26</v>
      </c>
      <c r="U2552" t="s">
        <v>26</v>
      </c>
      <c r="V2552" t="s">
        <v>26</v>
      </c>
      <c r="W2552" s="24">
        <v>40179</v>
      </c>
      <c r="X2552" s="24">
        <v>40179</v>
      </c>
      <c r="Y2552" t="s">
        <v>26</v>
      </c>
      <c r="Z2552" s="24">
        <v>40179</v>
      </c>
      <c r="AA2552" s="24">
        <v>40179</v>
      </c>
      <c r="AB2552" t="s">
        <v>26</v>
      </c>
      <c r="AC2552" t="s">
        <v>26</v>
      </c>
      <c r="AD2552" t="s">
        <v>26</v>
      </c>
      <c r="AE2552" t="s">
        <v>26</v>
      </c>
      <c r="AF2552" t="s">
        <v>26</v>
      </c>
      <c r="AG2552" t="s">
        <v>26</v>
      </c>
      <c r="AH2552" t="s">
        <v>26</v>
      </c>
      <c r="AI2552" t="s">
        <v>26</v>
      </c>
      <c r="AJ2552" t="s">
        <v>26</v>
      </c>
      <c r="AK2552" t="s">
        <v>26</v>
      </c>
      <c r="AL2552" t="s">
        <v>26</v>
      </c>
      <c r="AM2552" t="s">
        <v>26</v>
      </c>
      <c r="AN2552" t="s">
        <v>26</v>
      </c>
      <c r="AO2552" s="25" t="s">
        <v>28</v>
      </c>
      <c r="AP2552" s="23" t="s">
        <v>5851</v>
      </c>
      <c r="AQ2552" s="23" t="s">
        <v>142</v>
      </c>
      <c r="AR2552" s="23" t="s">
        <v>147</v>
      </c>
      <c r="AS2552" s="25">
        <v>5485138</v>
      </c>
      <c r="AT2552" s="23" t="s">
        <v>22181</v>
      </c>
      <c r="AU2552" t="s">
        <v>25561</v>
      </c>
    </row>
    <row r="2553" spans="1:47" ht="39.4" x14ac:dyDescent="0.4">
      <c r="A2553" s="23" t="s">
        <v>6628</v>
      </c>
      <c r="B2553" t="s">
        <v>26</v>
      </c>
      <c r="C2553" s="23" t="s">
        <v>292</v>
      </c>
      <c r="D2553" s="23" t="s">
        <v>22256</v>
      </c>
      <c r="E2553" s="23" t="s">
        <v>42</v>
      </c>
      <c r="F2553" t="s">
        <v>26</v>
      </c>
      <c r="G2553" t="s">
        <v>26</v>
      </c>
      <c r="H2553" t="s">
        <v>26</v>
      </c>
      <c r="I2553" t="s">
        <v>26</v>
      </c>
      <c r="J2553" t="s">
        <v>26</v>
      </c>
      <c r="K2553" t="s">
        <v>26</v>
      </c>
      <c r="L2553" s="25" t="s">
        <v>28</v>
      </c>
      <c r="M2553" t="s">
        <v>26</v>
      </c>
      <c r="N2553" t="s">
        <v>26</v>
      </c>
      <c r="O2553" t="s">
        <v>26</v>
      </c>
      <c r="P2553" t="s">
        <v>26</v>
      </c>
      <c r="Q2553" t="s">
        <v>26</v>
      </c>
      <c r="R2553" t="s">
        <v>26</v>
      </c>
      <c r="S2553" t="s">
        <v>26</v>
      </c>
      <c r="T2553" t="s">
        <v>26</v>
      </c>
      <c r="U2553" t="s">
        <v>26</v>
      </c>
      <c r="V2553" t="s">
        <v>26</v>
      </c>
      <c r="W2553" s="24">
        <v>40179</v>
      </c>
      <c r="X2553" s="24">
        <v>40179</v>
      </c>
      <c r="Y2553" t="s">
        <v>26</v>
      </c>
      <c r="Z2553" s="24">
        <v>40179</v>
      </c>
      <c r="AA2553" s="24">
        <v>40179</v>
      </c>
      <c r="AB2553" t="s">
        <v>26</v>
      </c>
      <c r="AC2553" t="s">
        <v>26</v>
      </c>
      <c r="AD2553" t="s">
        <v>26</v>
      </c>
      <c r="AE2553" t="s">
        <v>26</v>
      </c>
      <c r="AF2553" t="s">
        <v>26</v>
      </c>
      <c r="AG2553" t="s">
        <v>26</v>
      </c>
      <c r="AH2553" t="s">
        <v>26</v>
      </c>
      <c r="AI2553" t="s">
        <v>26</v>
      </c>
      <c r="AJ2553" t="s">
        <v>26</v>
      </c>
      <c r="AK2553" t="s">
        <v>26</v>
      </c>
      <c r="AL2553" t="s">
        <v>26</v>
      </c>
      <c r="AM2553" t="s">
        <v>26</v>
      </c>
      <c r="AN2553" t="s">
        <v>26</v>
      </c>
      <c r="AO2553" s="25" t="s">
        <v>28</v>
      </c>
      <c r="AP2553" s="23" t="s">
        <v>5851</v>
      </c>
      <c r="AQ2553" s="23" t="s">
        <v>30</v>
      </c>
      <c r="AR2553" s="23" t="s">
        <v>147</v>
      </c>
      <c r="AS2553" s="25">
        <v>5485137</v>
      </c>
      <c r="AT2553" s="23" t="s">
        <v>22181</v>
      </c>
      <c r="AU2553" t="s">
        <v>25562</v>
      </c>
    </row>
    <row r="2554" spans="1:47" ht="39.4" x14ac:dyDescent="0.4">
      <c r="A2554" s="23" t="s">
        <v>6629</v>
      </c>
      <c r="B2554" t="s">
        <v>26</v>
      </c>
      <c r="C2554" s="23" t="s">
        <v>292</v>
      </c>
      <c r="D2554" s="23" t="s">
        <v>22256</v>
      </c>
      <c r="E2554" s="23" t="s">
        <v>42</v>
      </c>
      <c r="F2554" t="s">
        <v>26</v>
      </c>
      <c r="G2554" t="s">
        <v>26</v>
      </c>
      <c r="H2554" t="s">
        <v>26</v>
      </c>
      <c r="I2554" t="s">
        <v>26</v>
      </c>
      <c r="J2554" t="s">
        <v>26</v>
      </c>
      <c r="K2554" t="s">
        <v>26</v>
      </c>
      <c r="L2554" s="25" t="s">
        <v>28</v>
      </c>
      <c r="M2554" t="s">
        <v>26</v>
      </c>
      <c r="N2554" t="s">
        <v>26</v>
      </c>
      <c r="O2554" t="s">
        <v>26</v>
      </c>
      <c r="P2554" t="s">
        <v>26</v>
      </c>
      <c r="Q2554" t="s">
        <v>26</v>
      </c>
      <c r="R2554" t="s">
        <v>26</v>
      </c>
      <c r="S2554" t="s">
        <v>26</v>
      </c>
      <c r="T2554" t="s">
        <v>26</v>
      </c>
      <c r="U2554" t="s">
        <v>26</v>
      </c>
      <c r="V2554" t="s">
        <v>26</v>
      </c>
      <c r="W2554" s="24">
        <v>40179</v>
      </c>
      <c r="X2554" s="24">
        <v>40179</v>
      </c>
      <c r="Y2554" t="s">
        <v>26</v>
      </c>
      <c r="Z2554" s="24">
        <v>40179</v>
      </c>
      <c r="AA2554" s="24">
        <v>40179</v>
      </c>
      <c r="AB2554" t="s">
        <v>26</v>
      </c>
      <c r="AC2554" t="s">
        <v>26</v>
      </c>
      <c r="AD2554" t="s">
        <v>26</v>
      </c>
      <c r="AE2554" t="s">
        <v>26</v>
      </c>
      <c r="AF2554" t="s">
        <v>26</v>
      </c>
      <c r="AG2554" t="s">
        <v>26</v>
      </c>
      <c r="AH2554" t="s">
        <v>26</v>
      </c>
      <c r="AI2554" t="s">
        <v>26</v>
      </c>
      <c r="AJ2554" t="s">
        <v>26</v>
      </c>
      <c r="AK2554" t="s">
        <v>26</v>
      </c>
      <c r="AL2554" t="s">
        <v>26</v>
      </c>
      <c r="AM2554" t="s">
        <v>26</v>
      </c>
      <c r="AN2554" t="s">
        <v>26</v>
      </c>
      <c r="AO2554" s="25" t="s">
        <v>28</v>
      </c>
      <c r="AP2554" s="23" t="s">
        <v>5851</v>
      </c>
      <c r="AQ2554" s="23" t="s">
        <v>30</v>
      </c>
      <c r="AR2554" s="23" t="s">
        <v>147</v>
      </c>
      <c r="AS2554" s="25">
        <v>5485126</v>
      </c>
      <c r="AT2554" s="23" t="s">
        <v>22181</v>
      </c>
      <c r="AU2554" t="s">
        <v>25563</v>
      </c>
    </row>
    <row r="2555" spans="1:47" ht="39.4" x14ac:dyDescent="0.4">
      <c r="A2555" s="23" t="s">
        <v>6630</v>
      </c>
      <c r="B2555" t="s">
        <v>26</v>
      </c>
      <c r="C2555" s="23" t="s">
        <v>292</v>
      </c>
      <c r="D2555" s="23" t="s">
        <v>22256</v>
      </c>
      <c r="E2555" s="23" t="s">
        <v>42</v>
      </c>
      <c r="F2555" t="s">
        <v>26</v>
      </c>
      <c r="G2555" t="s">
        <v>26</v>
      </c>
      <c r="H2555" t="s">
        <v>26</v>
      </c>
      <c r="I2555" t="s">
        <v>26</v>
      </c>
      <c r="J2555" t="s">
        <v>26</v>
      </c>
      <c r="K2555" t="s">
        <v>26</v>
      </c>
      <c r="L2555" s="25" t="s">
        <v>28</v>
      </c>
      <c r="M2555" t="s">
        <v>26</v>
      </c>
      <c r="N2555" t="s">
        <v>26</v>
      </c>
      <c r="O2555" t="s">
        <v>26</v>
      </c>
      <c r="P2555" t="s">
        <v>26</v>
      </c>
      <c r="Q2555" t="s">
        <v>26</v>
      </c>
      <c r="R2555" t="s">
        <v>26</v>
      </c>
      <c r="S2555" t="s">
        <v>26</v>
      </c>
      <c r="T2555" t="s">
        <v>26</v>
      </c>
      <c r="U2555" t="s">
        <v>26</v>
      </c>
      <c r="V2555" t="s">
        <v>26</v>
      </c>
      <c r="W2555" s="24">
        <v>40179</v>
      </c>
      <c r="X2555" s="24">
        <v>40179</v>
      </c>
      <c r="Y2555" t="s">
        <v>26</v>
      </c>
      <c r="Z2555" s="24">
        <v>40179</v>
      </c>
      <c r="AA2555" s="24">
        <v>40179</v>
      </c>
      <c r="AB2555" t="s">
        <v>26</v>
      </c>
      <c r="AC2555" t="s">
        <v>26</v>
      </c>
      <c r="AD2555" t="s">
        <v>26</v>
      </c>
      <c r="AE2555" t="s">
        <v>26</v>
      </c>
      <c r="AF2555" t="s">
        <v>26</v>
      </c>
      <c r="AG2555" t="s">
        <v>26</v>
      </c>
      <c r="AH2555" t="s">
        <v>26</v>
      </c>
      <c r="AI2555" t="s">
        <v>26</v>
      </c>
      <c r="AJ2555" t="s">
        <v>26</v>
      </c>
      <c r="AK2555" t="s">
        <v>26</v>
      </c>
      <c r="AL2555" t="s">
        <v>26</v>
      </c>
      <c r="AM2555" t="s">
        <v>26</v>
      </c>
      <c r="AN2555" t="s">
        <v>26</v>
      </c>
      <c r="AO2555" s="25" t="s">
        <v>28</v>
      </c>
      <c r="AP2555" s="23" t="s">
        <v>5851</v>
      </c>
      <c r="AQ2555" s="23" t="s">
        <v>30</v>
      </c>
      <c r="AR2555" s="23" t="s">
        <v>147</v>
      </c>
      <c r="AS2555" s="25">
        <v>5485132</v>
      </c>
      <c r="AT2555" s="23" t="s">
        <v>22181</v>
      </c>
      <c r="AU2555" t="s">
        <v>25564</v>
      </c>
    </row>
    <row r="2556" spans="1:47" ht="39.4" x14ac:dyDescent="0.4">
      <c r="A2556" s="23" t="s">
        <v>6631</v>
      </c>
      <c r="B2556" t="s">
        <v>26</v>
      </c>
      <c r="C2556" s="23" t="s">
        <v>292</v>
      </c>
      <c r="D2556" s="23" t="s">
        <v>22256</v>
      </c>
      <c r="E2556" s="23" t="s">
        <v>42</v>
      </c>
      <c r="F2556" t="s">
        <v>26</v>
      </c>
      <c r="G2556" t="s">
        <v>26</v>
      </c>
      <c r="H2556" t="s">
        <v>26</v>
      </c>
      <c r="I2556" t="s">
        <v>26</v>
      </c>
      <c r="J2556" t="s">
        <v>26</v>
      </c>
      <c r="K2556" t="s">
        <v>26</v>
      </c>
      <c r="L2556" s="25" t="s">
        <v>28</v>
      </c>
      <c r="M2556" t="s">
        <v>26</v>
      </c>
      <c r="N2556" t="s">
        <v>26</v>
      </c>
      <c r="O2556" t="s">
        <v>26</v>
      </c>
      <c r="P2556" t="s">
        <v>26</v>
      </c>
      <c r="Q2556" t="s">
        <v>26</v>
      </c>
      <c r="R2556" t="s">
        <v>26</v>
      </c>
      <c r="S2556" t="s">
        <v>26</v>
      </c>
      <c r="T2556" t="s">
        <v>26</v>
      </c>
      <c r="U2556" t="s">
        <v>26</v>
      </c>
      <c r="V2556" t="s">
        <v>26</v>
      </c>
      <c r="W2556" s="24">
        <v>40179</v>
      </c>
      <c r="X2556" s="24">
        <v>40179</v>
      </c>
      <c r="Y2556" t="s">
        <v>26</v>
      </c>
      <c r="Z2556" s="24">
        <v>40179</v>
      </c>
      <c r="AA2556" s="24">
        <v>40179</v>
      </c>
      <c r="AB2556" t="s">
        <v>26</v>
      </c>
      <c r="AC2556" t="s">
        <v>26</v>
      </c>
      <c r="AD2556" t="s">
        <v>26</v>
      </c>
      <c r="AE2556" t="s">
        <v>26</v>
      </c>
      <c r="AF2556" t="s">
        <v>26</v>
      </c>
      <c r="AG2556" t="s">
        <v>26</v>
      </c>
      <c r="AH2556" t="s">
        <v>26</v>
      </c>
      <c r="AI2556" t="s">
        <v>26</v>
      </c>
      <c r="AJ2556" t="s">
        <v>26</v>
      </c>
      <c r="AK2556" t="s">
        <v>26</v>
      </c>
      <c r="AL2556" t="s">
        <v>26</v>
      </c>
      <c r="AM2556" t="s">
        <v>26</v>
      </c>
      <c r="AN2556" t="s">
        <v>26</v>
      </c>
      <c r="AO2556" s="25" t="s">
        <v>28</v>
      </c>
      <c r="AP2556" s="23" t="s">
        <v>5851</v>
      </c>
      <c r="AQ2556" s="23" t="s">
        <v>30</v>
      </c>
      <c r="AR2556" s="23" t="s">
        <v>147</v>
      </c>
      <c r="AS2556" s="25">
        <v>5485148</v>
      </c>
      <c r="AT2556" s="23" t="s">
        <v>22181</v>
      </c>
      <c r="AU2556" t="s">
        <v>25565</v>
      </c>
    </row>
    <row r="2557" spans="1:47" ht="26.25" x14ac:dyDescent="0.4">
      <c r="A2557" s="23" t="s">
        <v>25566</v>
      </c>
      <c r="B2557" t="s">
        <v>26</v>
      </c>
      <c r="C2557" t="s">
        <v>26</v>
      </c>
      <c r="D2557" t="s">
        <v>26</v>
      </c>
      <c r="E2557" t="s">
        <v>26</v>
      </c>
      <c r="F2557" t="s">
        <v>26</v>
      </c>
      <c r="G2557" t="s">
        <v>26</v>
      </c>
      <c r="H2557" t="s">
        <v>26</v>
      </c>
      <c r="I2557" s="24">
        <v>1462</v>
      </c>
      <c r="J2557" s="24">
        <v>1462</v>
      </c>
      <c r="K2557" t="s">
        <v>26</v>
      </c>
      <c r="L2557" s="25" t="s">
        <v>28</v>
      </c>
      <c r="M2557" s="24">
        <v>1462</v>
      </c>
      <c r="N2557" s="24">
        <v>1462</v>
      </c>
      <c r="O2557" t="s">
        <v>26</v>
      </c>
      <c r="P2557" t="s">
        <v>26</v>
      </c>
      <c r="Q2557" t="s">
        <v>26</v>
      </c>
      <c r="R2557" t="s">
        <v>26</v>
      </c>
      <c r="S2557" t="s">
        <v>26</v>
      </c>
      <c r="T2557" t="s">
        <v>26</v>
      </c>
      <c r="U2557" t="s">
        <v>26</v>
      </c>
      <c r="V2557" t="s">
        <v>26</v>
      </c>
      <c r="W2557" s="24">
        <v>1462</v>
      </c>
      <c r="X2557" s="24">
        <v>1462</v>
      </c>
      <c r="Y2557" t="s">
        <v>26</v>
      </c>
      <c r="Z2557" s="24">
        <v>1462</v>
      </c>
      <c r="AA2557" s="24">
        <v>1462</v>
      </c>
      <c r="AB2557" t="s">
        <v>26</v>
      </c>
      <c r="AC2557" s="24">
        <v>1462</v>
      </c>
      <c r="AD2557" s="24">
        <v>1462</v>
      </c>
      <c r="AE2557" t="s">
        <v>26</v>
      </c>
      <c r="AF2557" t="s">
        <v>26</v>
      </c>
      <c r="AG2557" t="s">
        <v>26</v>
      </c>
      <c r="AH2557" t="s">
        <v>26</v>
      </c>
      <c r="AI2557" t="s">
        <v>26</v>
      </c>
      <c r="AJ2557" t="s">
        <v>26</v>
      </c>
      <c r="AK2557" t="s">
        <v>26</v>
      </c>
      <c r="AL2557" t="s">
        <v>26</v>
      </c>
      <c r="AM2557" t="s">
        <v>26</v>
      </c>
      <c r="AN2557" t="s">
        <v>26</v>
      </c>
      <c r="AO2557" s="25" t="s">
        <v>28</v>
      </c>
      <c r="AP2557" s="23" t="s">
        <v>45</v>
      </c>
      <c r="AQ2557" s="23" t="s">
        <v>30</v>
      </c>
      <c r="AR2557" s="23" t="s">
        <v>46</v>
      </c>
      <c r="AS2557" s="25">
        <v>5983398</v>
      </c>
      <c r="AT2557" t="s">
        <v>26</v>
      </c>
      <c r="AU2557" t="s">
        <v>25567</v>
      </c>
    </row>
    <row r="2558" spans="1:47" ht="26.25" x14ac:dyDescent="0.4">
      <c r="A2558" s="23" t="s">
        <v>6632</v>
      </c>
      <c r="B2558" t="s">
        <v>26</v>
      </c>
      <c r="C2558" s="23" t="s">
        <v>80</v>
      </c>
      <c r="D2558" s="23" t="s">
        <v>22184</v>
      </c>
      <c r="E2558" s="23" t="s">
        <v>60</v>
      </c>
      <c r="F2558" s="25" t="s">
        <v>6633</v>
      </c>
      <c r="G2558" s="25" t="s">
        <v>6634</v>
      </c>
      <c r="H2558" t="s">
        <v>26</v>
      </c>
      <c r="I2558" s="24">
        <v>36039</v>
      </c>
      <c r="J2558" s="24">
        <v>36678</v>
      </c>
      <c r="K2558" t="s">
        <v>26</v>
      </c>
      <c r="L2558" s="25" t="s">
        <v>68</v>
      </c>
      <c r="M2558" s="24">
        <v>36039</v>
      </c>
      <c r="N2558" s="24">
        <v>36678</v>
      </c>
      <c r="O2558" t="s">
        <v>26</v>
      </c>
      <c r="P2558" s="24">
        <v>36039</v>
      </c>
      <c r="Q2558" s="24">
        <v>36678</v>
      </c>
      <c r="R2558" t="s">
        <v>26</v>
      </c>
      <c r="S2558" t="s">
        <v>26</v>
      </c>
      <c r="T2558" t="s">
        <v>26</v>
      </c>
      <c r="U2558" t="s">
        <v>26</v>
      </c>
      <c r="V2558" t="s">
        <v>26</v>
      </c>
      <c r="W2558" s="24">
        <v>36039</v>
      </c>
      <c r="X2558" s="25" t="s">
        <v>77</v>
      </c>
      <c r="Y2558" s="25" t="s">
        <v>6635</v>
      </c>
      <c r="Z2558" s="24">
        <v>36039</v>
      </c>
      <c r="AA2558" s="25" t="s">
        <v>77</v>
      </c>
      <c r="AB2558" s="25" t="s">
        <v>6635</v>
      </c>
      <c r="AC2558" s="24">
        <v>36039</v>
      </c>
      <c r="AD2558" s="25" t="s">
        <v>77</v>
      </c>
      <c r="AE2558" s="25" t="s">
        <v>6635</v>
      </c>
      <c r="AF2558" t="s">
        <v>26</v>
      </c>
      <c r="AG2558" t="s">
        <v>26</v>
      </c>
      <c r="AH2558" t="s">
        <v>26</v>
      </c>
      <c r="AI2558" t="s">
        <v>26</v>
      </c>
      <c r="AJ2558" t="s">
        <v>26</v>
      </c>
      <c r="AK2558" t="s">
        <v>26</v>
      </c>
      <c r="AL2558" t="s">
        <v>26</v>
      </c>
      <c r="AM2558" t="s">
        <v>26</v>
      </c>
      <c r="AN2558" t="s">
        <v>26</v>
      </c>
      <c r="AO2558" s="25" t="s">
        <v>68</v>
      </c>
      <c r="AP2558" s="23" t="s">
        <v>69</v>
      </c>
      <c r="AQ2558" s="23" t="s">
        <v>30</v>
      </c>
      <c r="AR2558" s="23" t="s">
        <v>337</v>
      </c>
      <c r="AS2558" s="25">
        <v>48100</v>
      </c>
      <c r="AT2558" t="s">
        <v>26</v>
      </c>
      <c r="AU2558" t="s">
        <v>25568</v>
      </c>
    </row>
    <row r="2559" spans="1:47" ht="26.25" x14ac:dyDescent="0.4">
      <c r="A2559" s="23" t="s">
        <v>6636</v>
      </c>
      <c r="B2559" t="s">
        <v>26</v>
      </c>
      <c r="C2559" s="23" t="s">
        <v>1958</v>
      </c>
      <c r="D2559" s="23" t="s">
        <v>22174</v>
      </c>
      <c r="E2559" s="23" t="s">
        <v>60</v>
      </c>
      <c r="F2559" s="25" t="s">
        <v>6637</v>
      </c>
      <c r="G2559" s="25" t="s">
        <v>6638</v>
      </c>
      <c r="H2559" t="s">
        <v>26</v>
      </c>
      <c r="I2559" s="24">
        <v>40603</v>
      </c>
      <c r="J2559" s="25" t="s">
        <v>77</v>
      </c>
      <c r="K2559" t="s">
        <v>26</v>
      </c>
      <c r="L2559" s="25" t="s">
        <v>68</v>
      </c>
      <c r="M2559" t="s">
        <v>26</v>
      </c>
      <c r="N2559" t="s">
        <v>26</v>
      </c>
      <c r="O2559" t="s">
        <v>26</v>
      </c>
      <c r="P2559" s="24">
        <v>40603</v>
      </c>
      <c r="Q2559" s="25" t="s">
        <v>77</v>
      </c>
      <c r="R2559" t="s">
        <v>26</v>
      </c>
      <c r="S2559" t="s">
        <v>26</v>
      </c>
      <c r="T2559" t="s">
        <v>26</v>
      </c>
      <c r="U2559" t="s">
        <v>26</v>
      </c>
      <c r="V2559" t="s">
        <v>26</v>
      </c>
      <c r="W2559" s="24">
        <v>40603</v>
      </c>
      <c r="X2559" s="25" t="s">
        <v>77</v>
      </c>
      <c r="Y2559" t="s">
        <v>26</v>
      </c>
      <c r="Z2559" s="24">
        <v>40603</v>
      </c>
      <c r="AA2559" s="25" t="s">
        <v>77</v>
      </c>
      <c r="AB2559" t="s">
        <v>26</v>
      </c>
      <c r="AC2559" s="24">
        <v>40603</v>
      </c>
      <c r="AD2559" s="25" t="s">
        <v>77</v>
      </c>
      <c r="AE2559" t="s">
        <v>26</v>
      </c>
      <c r="AF2559" t="s">
        <v>26</v>
      </c>
      <c r="AG2559" t="s">
        <v>26</v>
      </c>
      <c r="AH2559" t="s">
        <v>26</v>
      </c>
      <c r="AI2559" t="s">
        <v>26</v>
      </c>
      <c r="AJ2559" t="s">
        <v>26</v>
      </c>
      <c r="AK2559" t="s">
        <v>26</v>
      </c>
      <c r="AL2559" t="s">
        <v>26</v>
      </c>
      <c r="AM2559" t="s">
        <v>26</v>
      </c>
      <c r="AN2559" t="s">
        <v>26</v>
      </c>
      <c r="AO2559" s="25" t="s">
        <v>68</v>
      </c>
      <c r="AP2559" s="23" t="s">
        <v>69</v>
      </c>
      <c r="AQ2559" s="23" t="s">
        <v>30</v>
      </c>
      <c r="AR2559" s="23" t="s">
        <v>6639</v>
      </c>
      <c r="AS2559" s="25">
        <v>53084</v>
      </c>
      <c r="AT2559" t="s">
        <v>26</v>
      </c>
      <c r="AU2559" t="s">
        <v>25569</v>
      </c>
    </row>
    <row r="2560" spans="1:47" ht="26.25" x14ac:dyDescent="0.4">
      <c r="A2560" s="23" t="s">
        <v>6636</v>
      </c>
      <c r="B2560" t="s">
        <v>26</v>
      </c>
      <c r="C2560" s="23" t="s">
        <v>80</v>
      </c>
      <c r="D2560" s="23" t="s">
        <v>25570</v>
      </c>
      <c r="E2560" s="23" t="s">
        <v>60</v>
      </c>
      <c r="F2560" s="25" t="s">
        <v>6637</v>
      </c>
      <c r="G2560" s="25" t="s">
        <v>6638</v>
      </c>
      <c r="H2560" t="s">
        <v>26</v>
      </c>
      <c r="I2560" t="s">
        <v>26</v>
      </c>
      <c r="J2560" t="s">
        <v>26</v>
      </c>
      <c r="K2560" t="s">
        <v>26</v>
      </c>
      <c r="L2560" s="25" t="s">
        <v>68</v>
      </c>
      <c r="M2560" t="s">
        <v>26</v>
      </c>
      <c r="N2560" t="s">
        <v>26</v>
      </c>
      <c r="O2560" t="s">
        <v>26</v>
      </c>
      <c r="P2560" t="s">
        <v>26</v>
      </c>
      <c r="Q2560" t="s">
        <v>26</v>
      </c>
      <c r="R2560" t="s">
        <v>26</v>
      </c>
      <c r="S2560" t="s">
        <v>26</v>
      </c>
      <c r="T2560" t="s">
        <v>26</v>
      </c>
      <c r="U2560" t="s">
        <v>26</v>
      </c>
      <c r="V2560" t="s">
        <v>26</v>
      </c>
      <c r="W2560" s="24">
        <v>43525</v>
      </c>
      <c r="X2560" s="25" t="s">
        <v>77</v>
      </c>
      <c r="Y2560" t="s">
        <v>26</v>
      </c>
      <c r="Z2560" s="24">
        <v>43525</v>
      </c>
      <c r="AA2560" s="25" t="s">
        <v>77</v>
      </c>
      <c r="AB2560" t="s">
        <v>26</v>
      </c>
      <c r="AC2560" s="24">
        <v>43525</v>
      </c>
      <c r="AD2560" s="25" t="s">
        <v>77</v>
      </c>
      <c r="AE2560" t="s">
        <v>26</v>
      </c>
      <c r="AF2560" t="s">
        <v>26</v>
      </c>
      <c r="AG2560" t="s">
        <v>26</v>
      </c>
      <c r="AH2560" t="s">
        <v>26</v>
      </c>
      <c r="AI2560" t="s">
        <v>26</v>
      </c>
      <c r="AJ2560" t="s">
        <v>26</v>
      </c>
      <c r="AK2560" t="s">
        <v>26</v>
      </c>
      <c r="AL2560" t="s">
        <v>26</v>
      </c>
      <c r="AM2560" t="s">
        <v>26</v>
      </c>
      <c r="AN2560" t="s">
        <v>26</v>
      </c>
      <c r="AO2560" s="25" t="s">
        <v>68</v>
      </c>
      <c r="AP2560" s="23" t="s">
        <v>69</v>
      </c>
      <c r="AQ2560" s="23" t="s">
        <v>30</v>
      </c>
      <c r="AR2560" s="23" t="s">
        <v>6639</v>
      </c>
      <c r="AS2560" s="25">
        <v>2032974</v>
      </c>
      <c r="AT2560" t="s">
        <v>26</v>
      </c>
      <c r="AU2560" t="s">
        <v>25571</v>
      </c>
    </row>
    <row r="2561" spans="1:47" ht="26.25" x14ac:dyDescent="0.4">
      <c r="A2561" s="23" t="s">
        <v>6640</v>
      </c>
      <c r="B2561" t="s">
        <v>26</v>
      </c>
      <c r="C2561" s="23" t="s">
        <v>320</v>
      </c>
      <c r="D2561" s="23" t="s">
        <v>22242</v>
      </c>
      <c r="E2561" s="23" t="s">
        <v>42</v>
      </c>
      <c r="F2561" s="25" t="s">
        <v>6641</v>
      </c>
      <c r="G2561" s="25" t="s">
        <v>6642</v>
      </c>
      <c r="H2561" t="s">
        <v>26</v>
      </c>
      <c r="I2561" t="s">
        <v>26</v>
      </c>
      <c r="J2561" t="s">
        <v>26</v>
      </c>
      <c r="K2561" t="s">
        <v>26</v>
      </c>
      <c r="L2561" s="25" t="s">
        <v>68</v>
      </c>
      <c r="M2561" t="s">
        <v>26</v>
      </c>
      <c r="N2561" t="s">
        <v>26</v>
      </c>
      <c r="O2561" t="s">
        <v>26</v>
      </c>
      <c r="P2561" t="s">
        <v>26</v>
      </c>
      <c r="Q2561" t="s">
        <v>26</v>
      </c>
      <c r="R2561" t="s">
        <v>26</v>
      </c>
      <c r="S2561" t="s">
        <v>26</v>
      </c>
      <c r="T2561" t="s">
        <v>26</v>
      </c>
      <c r="U2561" t="s">
        <v>26</v>
      </c>
      <c r="V2561" t="s">
        <v>26</v>
      </c>
      <c r="W2561" s="24">
        <v>41244</v>
      </c>
      <c r="X2561" s="25" t="s">
        <v>77</v>
      </c>
      <c r="Y2561" t="s">
        <v>26</v>
      </c>
      <c r="Z2561" s="24">
        <v>41244</v>
      </c>
      <c r="AA2561" s="25" t="s">
        <v>77</v>
      </c>
      <c r="AB2561" t="s">
        <v>26</v>
      </c>
      <c r="AC2561" s="24">
        <v>41244</v>
      </c>
      <c r="AD2561" s="25" t="s">
        <v>77</v>
      </c>
      <c r="AE2561" t="s">
        <v>26</v>
      </c>
      <c r="AF2561" t="s">
        <v>26</v>
      </c>
      <c r="AG2561" t="s">
        <v>26</v>
      </c>
      <c r="AH2561" t="s">
        <v>26</v>
      </c>
      <c r="AI2561" t="s">
        <v>26</v>
      </c>
      <c r="AJ2561" t="s">
        <v>26</v>
      </c>
      <c r="AK2561" t="s">
        <v>26</v>
      </c>
      <c r="AL2561" t="s">
        <v>26</v>
      </c>
      <c r="AM2561" t="s">
        <v>26</v>
      </c>
      <c r="AN2561" t="s">
        <v>26</v>
      </c>
      <c r="AO2561" s="25" t="s">
        <v>68</v>
      </c>
      <c r="AP2561" s="23" t="s">
        <v>69</v>
      </c>
      <c r="AQ2561" s="23" t="s">
        <v>30</v>
      </c>
      <c r="AR2561" s="23" t="s">
        <v>46</v>
      </c>
      <c r="AS2561" s="25">
        <v>1096370</v>
      </c>
      <c r="AT2561" t="s">
        <v>26</v>
      </c>
      <c r="AU2561" t="s">
        <v>25572</v>
      </c>
    </row>
    <row r="2562" spans="1:47" ht="26.25" x14ac:dyDescent="0.4">
      <c r="A2562" s="23" t="s">
        <v>6643</v>
      </c>
      <c r="B2562" t="s">
        <v>26</v>
      </c>
      <c r="C2562" s="23" t="s">
        <v>6643</v>
      </c>
      <c r="D2562" s="23" t="s">
        <v>25570</v>
      </c>
      <c r="E2562" s="23" t="s">
        <v>6644</v>
      </c>
      <c r="F2562" s="25" t="s">
        <v>6645</v>
      </c>
      <c r="G2562" s="25" t="s">
        <v>6646</v>
      </c>
      <c r="H2562" t="s">
        <v>26</v>
      </c>
      <c r="I2562" s="24">
        <v>39083</v>
      </c>
      <c r="J2562" s="25" t="s">
        <v>77</v>
      </c>
      <c r="K2562" t="s">
        <v>26</v>
      </c>
      <c r="L2562" s="25" t="s">
        <v>68</v>
      </c>
      <c r="M2562" s="24">
        <v>39083</v>
      </c>
      <c r="N2562" s="25" t="s">
        <v>77</v>
      </c>
      <c r="O2562" t="s">
        <v>26</v>
      </c>
      <c r="P2562" s="24">
        <v>39083</v>
      </c>
      <c r="Q2562" s="25" t="s">
        <v>77</v>
      </c>
      <c r="R2562" t="s">
        <v>26</v>
      </c>
      <c r="S2562" t="s">
        <v>26</v>
      </c>
      <c r="T2562" t="s">
        <v>26</v>
      </c>
      <c r="U2562" t="s">
        <v>26</v>
      </c>
      <c r="V2562" t="s">
        <v>26</v>
      </c>
      <c r="W2562" s="24">
        <v>39083</v>
      </c>
      <c r="X2562" s="25" t="s">
        <v>77</v>
      </c>
      <c r="Y2562" t="s">
        <v>26</v>
      </c>
      <c r="Z2562" s="24">
        <v>39083</v>
      </c>
      <c r="AA2562" s="25" t="s">
        <v>77</v>
      </c>
      <c r="AB2562" t="s">
        <v>26</v>
      </c>
      <c r="AC2562" s="24">
        <v>39083</v>
      </c>
      <c r="AD2562" s="25" t="s">
        <v>77</v>
      </c>
      <c r="AE2562" t="s">
        <v>26</v>
      </c>
      <c r="AF2562" t="s">
        <v>26</v>
      </c>
      <c r="AG2562" t="s">
        <v>26</v>
      </c>
      <c r="AH2562" t="s">
        <v>26</v>
      </c>
      <c r="AI2562" t="s">
        <v>26</v>
      </c>
      <c r="AJ2562" t="s">
        <v>26</v>
      </c>
      <c r="AK2562" t="s">
        <v>26</v>
      </c>
      <c r="AL2562" t="s">
        <v>26</v>
      </c>
      <c r="AM2562" t="s">
        <v>26</v>
      </c>
      <c r="AN2562" t="s">
        <v>26</v>
      </c>
      <c r="AO2562" s="25" t="s">
        <v>68</v>
      </c>
      <c r="AP2562" s="23" t="s">
        <v>69</v>
      </c>
      <c r="AQ2562" s="23" t="s">
        <v>30</v>
      </c>
      <c r="AR2562" s="23" t="s">
        <v>6647</v>
      </c>
      <c r="AS2562" s="25">
        <v>37939</v>
      </c>
      <c r="AT2562" t="s">
        <v>26</v>
      </c>
      <c r="AU2562" t="s">
        <v>25573</v>
      </c>
    </row>
    <row r="2563" spans="1:47" ht="26.25" x14ac:dyDescent="0.4">
      <c r="A2563" s="23" t="s">
        <v>6648</v>
      </c>
      <c r="B2563" t="s">
        <v>26</v>
      </c>
      <c r="C2563" s="23" t="s">
        <v>351</v>
      </c>
      <c r="D2563" s="23" t="s">
        <v>22242</v>
      </c>
      <c r="E2563" s="23" t="s">
        <v>60</v>
      </c>
      <c r="F2563" s="25" t="s">
        <v>6649</v>
      </c>
      <c r="G2563" s="25" t="s">
        <v>6650</v>
      </c>
      <c r="H2563" t="s">
        <v>26</v>
      </c>
      <c r="I2563" t="s">
        <v>26</v>
      </c>
      <c r="J2563" t="s">
        <v>26</v>
      </c>
      <c r="K2563" t="s">
        <v>26</v>
      </c>
      <c r="L2563" s="25" t="s">
        <v>68</v>
      </c>
      <c r="M2563" t="s">
        <v>26</v>
      </c>
      <c r="N2563" t="s">
        <v>26</v>
      </c>
      <c r="O2563" t="s">
        <v>26</v>
      </c>
      <c r="P2563" t="s">
        <v>26</v>
      </c>
      <c r="Q2563" t="s">
        <v>26</v>
      </c>
      <c r="R2563" t="s">
        <v>26</v>
      </c>
      <c r="S2563" t="s">
        <v>26</v>
      </c>
      <c r="T2563" t="s">
        <v>26</v>
      </c>
      <c r="U2563" t="s">
        <v>26</v>
      </c>
      <c r="V2563" t="s">
        <v>26</v>
      </c>
      <c r="W2563" s="24">
        <v>35156</v>
      </c>
      <c r="X2563" s="24">
        <v>40057</v>
      </c>
      <c r="Y2563" s="25" t="s">
        <v>4452</v>
      </c>
      <c r="Z2563" s="24">
        <v>35156</v>
      </c>
      <c r="AA2563" s="24">
        <v>40057</v>
      </c>
      <c r="AB2563" s="25" t="s">
        <v>4452</v>
      </c>
      <c r="AC2563" s="24">
        <v>35796</v>
      </c>
      <c r="AD2563" s="24">
        <v>40057</v>
      </c>
      <c r="AE2563" t="s">
        <v>26</v>
      </c>
      <c r="AF2563" t="s">
        <v>26</v>
      </c>
      <c r="AG2563" t="s">
        <v>26</v>
      </c>
      <c r="AH2563" t="s">
        <v>26</v>
      </c>
      <c r="AI2563" t="s">
        <v>26</v>
      </c>
      <c r="AJ2563" t="s">
        <v>26</v>
      </c>
      <c r="AK2563" t="s">
        <v>26</v>
      </c>
      <c r="AL2563" t="s">
        <v>26</v>
      </c>
      <c r="AM2563" t="s">
        <v>26</v>
      </c>
      <c r="AN2563" t="s">
        <v>26</v>
      </c>
      <c r="AO2563" s="25" t="s">
        <v>68</v>
      </c>
      <c r="AP2563" s="23" t="s">
        <v>69</v>
      </c>
      <c r="AQ2563" s="23" t="s">
        <v>30</v>
      </c>
      <c r="AR2563" s="23" t="s">
        <v>70</v>
      </c>
      <c r="AS2563" s="25">
        <v>48997</v>
      </c>
      <c r="AT2563" t="s">
        <v>26</v>
      </c>
      <c r="AU2563" t="s">
        <v>25574</v>
      </c>
    </row>
    <row r="2564" spans="1:47" ht="26.25" x14ac:dyDescent="0.4">
      <c r="A2564" s="23" t="s">
        <v>6651</v>
      </c>
      <c r="B2564" t="s">
        <v>26</v>
      </c>
      <c r="C2564" s="23" t="s">
        <v>259</v>
      </c>
      <c r="D2564" s="23" t="s">
        <v>22620</v>
      </c>
      <c r="E2564" s="23" t="s">
        <v>60</v>
      </c>
      <c r="F2564" s="25" t="s">
        <v>6652</v>
      </c>
      <c r="G2564" s="25" t="s">
        <v>6653</v>
      </c>
      <c r="H2564" t="s">
        <v>26</v>
      </c>
      <c r="I2564" s="24">
        <v>41275</v>
      </c>
      <c r="J2564" s="25" t="s">
        <v>77</v>
      </c>
      <c r="K2564" t="s">
        <v>26</v>
      </c>
      <c r="L2564" s="25" t="s">
        <v>68</v>
      </c>
      <c r="M2564" s="24">
        <v>41275</v>
      </c>
      <c r="N2564" s="25" t="s">
        <v>77</v>
      </c>
      <c r="O2564" t="s">
        <v>26</v>
      </c>
      <c r="P2564" s="24">
        <v>41275</v>
      </c>
      <c r="Q2564" s="25" t="s">
        <v>77</v>
      </c>
      <c r="R2564" t="s">
        <v>26</v>
      </c>
      <c r="S2564" t="s">
        <v>26</v>
      </c>
      <c r="T2564" t="s">
        <v>26</v>
      </c>
      <c r="U2564" t="s">
        <v>26</v>
      </c>
      <c r="V2564" t="s">
        <v>26</v>
      </c>
      <c r="W2564" s="24">
        <v>41275</v>
      </c>
      <c r="X2564" s="25" t="s">
        <v>77</v>
      </c>
      <c r="Y2564" t="s">
        <v>26</v>
      </c>
      <c r="Z2564" s="24">
        <v>41275</v>
      </c>
      <c r="AA2564" s="25" t="s">
        <v>77</v>
      </c>
      <c r="AB2564" t="s">
        <v>26</v>
      </c>
      <c r="AC2564" s="24">
        <v>41275</v>
      </c>
      <c r="AD2564" s="25" t="s">
        <v>77</v>
      </c>
      <c r="AE2564" t="s">
        <v>26</v>
      </c>
      <c r="AF2564" t="s">
        <v>26</v>
      </c>
      <c r="AG2564" t="s">
        <v>26</v>
      </c>
      <c r="AH2564" t="s">
        <v>26</v>
      </c>
      <c r="AI2564" t="s">
        <v>26</v>
      </c>
      <c r="AJ2564" t="s">
        <v>26</v>
      </c>
      <c r="AK2564" t="s">
        <v>26</v>
      </c>
      <c r="AL2564" t="s">
        <v>26</v>
      </c>
      <c r="AM2564" t="s">
        <v>26</v>
      </c>
      <c r="AN2564" t="s">
        <v>26</v>
      </c>
      <c r="AO2564" s="25" t="s">
        <v>68</v>
      </c>
      <c r="AP2564" s="23" t="s">
        <v>69</v>
      </c>
      <c r="AQ2564" s="23" t="s">
        <v>30</v>
      </c>
      <c r="AR2564" s="23" t="s">
        <v>70</v>
      </c>
      <c r="AS2564" s="25">
        <v>4727249</v>
      </c>
      <c r="AT2564" t="s">
        <v>26</v>
      </c>
      <c r="AU2564" t="s">
        <v>25575</v>
      </c>
    </row>
    <row r="2565" spans="1:47" ht="26.25" x14ac:dyDescent="0.4">
      <c r="A2565" s="23" t="s">
        <v>6654</v>
      </c>
      <c r="B2565" t="s">
        <v>26</v>
      </c>
      <c r="C2565" s="23" t="s">
        <v>22238</v>
      </c>
      <c r="D2565" t="s">
        <v>26</v>
      </c>
      <c r="E2565" s="23" t="s">
        <v>42</v>
      </c>
      <c r="F2565" t="s">
        <v>26</v>
      </c>
      <c r="G2565" t="s">
        <v>26</v>
      </c>
      <c r="H2565" t="s">
        <v>26</v>
      </c>
      <c r="I2565" s="24">
        <v>43101</v>
      </c>
      <c r="J2565" s="24">
        <v>43101</v>
      </c>
      <c r="K2565" t="s">
        <v>26</v>
      </c>
      <c r="L2565" s="25" t="s">
        <v>28</v>
      </c>
      <c r="M2565" s="24">
        <v>43101</v>
      </c>
      <c r="N2565" s="24">
        <v>43101</v>
      </c>
      <c r="O2565" t="s">
        <v>26</v>
      </c>
      <c r="P2565" t="s">
        <v>26</v>
      </c>
      <c r="Q2565" t="s">
        <v>26</v>
      </c>
      <c r="R2565" t="s">
        <v>26</v>
      </c>
      <c r="S2565" s="24">
        <v>43101</v>
      </c>
      <c r="T2565" s="24">
        <v>43101</v>
      </c>
      <c r="U2565" t="s">
        <v>26</v>
      </c>
      <c r="V2565" t="s">
        <v>26</v>
      </c>
      <c r="W2565" s="24">
        <v>43101</v>
      </c>
      <c r="X2565" s="24">
        <v>43101</v>
      </c>
      <c r="Y2565" t="s">
        <v>26</v>
      </c>
      <c r="Z2565" s="24">
        <v>43101</v>
      </c>
      <c r="AA2565" s="24">
        <v>43101</v>
      </c>
      <c r="AB2565" t="s">
        <v>26</v>
      </c>
      <c r="AC2565" s="24">
        <v>43101</v>
      </c>
      <c r="AD2565" s="24">
        <v>43101</v>
      </c>
      <c r="AE2565" t="s">
        <v>26</v>
      </c>
      <c r="AF2565" s="24">
        <v>43101</v>
      </c>
      <c r="AG2565" s="24">
        <v>43101</v>
      </c>
      <c r="AH2565" t="s">
        <v>26</v>
      </c>
      <c r="AI2565" s="24">
        <v>43101</v>
      </c>
      <c r="AJ2565" s="24">
        <v>43101</v>
      </c>
      <c r="AK2565" t="s">
        <v>26</v>
      </c>
      <c r="AL2565" t="s">
        <v>26</v>
      </c>
      <c r="AM2565" t="s">
        <v>26</v>
      </c>
      <c r="AN2565" t="s">
        <v>26</v>
      </c>
      <c r="AO2565" s="25" t="s">
        <v>28</v>
      </c>
      <c r="AP2565" s="23" t="s">
        <v>43</v>
      </c>
      <c r="AQ2565" s="23" t="s">
        <v>30</v>
      </c>
      <c r="AR2565" s="23" t="s">
        <v>44</v>
      </c>
      <c r="AS2565" s="25">
        <v>5263194</v>
      </c>
      <c r="AT2565" t="s">
        <v>26</v>
      </c>
      <c r="AU2565" t="s">
        <v>25576</v>
      </c>
    </row>
    <row r="2566" spans="1:47" ht="26.25" x14ac:dyDescent="0.4">
      <c r="A2566" s="23" t="s">
        <v>6655</v>
      </c>
      <c r="B2566" t="s">
        <v>26</v>
      </c>
      <c r="C2566" s="23" t="s">
        <v>6656</v>
      </c>
      <c r="D2566" s="23" t="s">
        <v>25437</v>
      </c>
      <c r="E2566" s="23" t="s">
        <v>42</v>
      </c>
      <c r="F2566" s="25" t="s">
        <v>6657</v>
      </c>
      <c r="G2566" t="s">
        <v>26</v>
      </c>
      <c r="H2566" t="s">
        <v>26</v>
      </c>
      <c r="I2566" s="24">
        <v>37347</v>
      </c>
      <c r="J2566" s="25" t="s">
        <v>77</v>
      </c>
      <c r="K2566" t="s">
        <v>26</v>
      </c>
      <c r="L2566" s="25" t="s">
        <v>68</v>
      </c>
      <c r="M2566" s="24">
        <v>37347</v>
      </c>
      <c r="N2566" s="25" t="s">
        <v>77</v>
      </c>
      <c r="O2566" t="s">
        <v>26</v>
      </c>
      <c r="P2566" s="24">
        <v>37347</v>
      </c>
      <c r="Q2566" s="25" t="s">
        <v>77</v>
      </c>
      <c r="R2566" t="s">
        <v>26</v>
      </c>
      <c r="S2566" t="s">
        <v>26</v>
      </c>
      <c r="T2566" t="s">
        <v>26</v>
      </c>
      <c r="U2566" t="s">
        <v>26</v>
      </c>
      <c r="V2566" t="s">
        <v>26</v>
      </c>
      <c r="W2566" s="24">
        <v>37347</v>
      </c>
      <c r="X2566" s="25" t="s">
        <v>77</v>
      </c>
      <c r="Y2566" t="s">
        <v>26</v>
      </c>
      <c r="Z2566" s="24">
        <v>37347</v>
      </c>
      <c r="AA2566" s="25" t="s">
        <v>77</v>
      </c>
      <c r="AB2566" t="s">
        <v>26</v>
      </c>
      <c r="AC2566" s="24">
        <v>37347</v>
      </c>
      <c r="AD2566" s="25" t="s">
        <v>77</v>
      </c>
      <c r="AE2566" t="s">
        <v>26</v>
      </c>
      <c r="AF2566" t="s">
        <v>26</v>
      </c>
      <c r="AG2566" t="s">
        <v>26</v>
      </c>
      <c r="AH2566" t="s">
        <v>26</v>
      </c>
      <c r="AI2566" t="s">
        <v>26</v>
      </c>
      <c r="AJ2566" t="s">
        <v>26</v>
      </c>
      <c r="AK2566" t="s">
        <v>26</v>
      </c>
      <c r="AL2566" t="s">
        <v>26</v>
      </c>
      <c r="AM2566" t="s">
        <v>26</v>
      </c>
      <c r="AN2566" t="s">
        <v>26</v>
      </c>
      <c r="AO2566" s="25" t="s">
        <v>68</v>
      </c>
      <c r="AP2566" s="23" t="s">
        <v>69</v>
      </c>
      <c r="AQ2566" s="23" t="s">
        <v>30</v>
      </c>
      <c r="AR2566" s="23" t="s">
        <v>337</v>
      </c>
      <c r="AS2566" s="25">
        <v>28213</v>
      </c>
      <c r="AT2566" t="s">
        <v>26</v>
      </c>
      <c r="AU2566" t="s">
        <v>25577</v>
      </c>
    </row>
    <row r="2567" spans="1:47" ht="26.25" x14ac:dyDescent="0.4">
      <c r="A2567" s="23" t="s">
        <v>6658</v>
      </c>
      <c r="B2567" t="s">
        <v>26</v>
      </c>
      <c r="C2567" s="23" t="s">
        <v>387</v>
      </c>
      <c r="D2567" s="23" t="s">
        <v>22254</v>
      </c>
      <c r="E2567" s="23" t="s">
        <v>42</v>
      </c>
      <c r="F2567" s="25" t="s">
        <v>6659</v>
      </c>
      <c r="G2567" t="s">
        <v>26</v>
      </c>
      <c r="H2567" t="s">
        <v>26</v>
      </c>
      <c r="I2567" s="24">
        <v>35490</v>
      </c>
      <c r="J2567" s="24">
        <v>35551</v>
      </c>
      <c r="K2567" t="s">
        <v>26</v>
      </c>
      <c r="L2567" s="25" t="s">
        <v>68</v>
      </c>
      <c r="M2567" s="24">
        <v>35490</v>
      </c>
      <c r="N2567" s="24">
        <v>35490</v>
      </c>
      <c r="O2567" t="s">
        <v>26</v>
      </c>
      <c r="P2567" s="24">
        <v>35490</v>
      </c>
      <c r="Q2567" s="24">
        <v>35551</v>
      </c>
      <c r="R2567" t="s">
        <v>26</v>
      </c>
      <c r="S2567" t="s">
        <v>26</v>
      </c>
      <c r="T2567" t="s">
        <v>26</v>
      </c>
      <c r="U2567" t="s">
        <v>26</v>
      </c>
      <c r="V2567" t="s">
        <v>26</v>
      </c>
      <c r="W2567" s="24">
        <v>35490</v>
      </c>
      <c r="X2567" s="24">
        <v>35551</v>
      </c>
      <c r="Y2567" t="s">
        <v>26</v>
      </c>
      <c r="Z2567" s="24">
        <v>35490</v>
      </c>
      <c r="AA2567" s="24">
        <v>35551</v>
      </c>
      <c r="AB2567" t="s">
        <v>26</v>
      </c>
      <c r="AC2567" t="s">
        <v>26</v>
      </c>
      <c r="AD2567" t="s">
        <v>26</v>
      </c>
      <c r="AE2567" t="s">
        <v>26</v>
      </c>
      <c r="AF2567" t="s">
        <v>26</v>
      </c>
      <c r="AG2567" t="s">
        <v>26</v>
      </c>
      <c r="AH2567" t="s">
        <v>26</v>
      </c>
      <c r="AI2567" t="s">
        <v>26</v>
      </c>
      <c r="AJ2567" t="s">
        <v>26</v>
      </c>
      <c r="AK2567" t="s">
        <v>26</v>
      </c>
      <c r="AL2567" t="s">
        <v>26</v>
      </c>
      <c r="AM2567" t="s">
        <v>26</v>
      </c>
      <c r="AN2567" t="s">
        <v>26</v>
      </c>
      <c r="AO2567" s="25" t="s">
        <v>68</v>
      </c>
      <c r="AP2567" s="23" t="s">
        <v>69</v>
      </c>
      <c r="AQ2567" s="23" t="s">
        <v>30</v>
      </c>
      <c r="AR2567" s="23" t="s">
        <v>6660</v>
      </c>
      <c r="AS2567" s="25">
        <v>35119</v>
      </c>
      <c r="AT2567" t="s">
        <v>26</v>
      </c>
      <c r="AU2567" t="s">
        <v>25578</v>
      </c>
    </row>
    <row r="2568" spans="1:47" ht="26.25" x14ac:dyDescent="0.4">
      <c r="A2568" s="23" t="s">
        <v>6661</v>
      </c>
      <c r="B2568" t="s">
        <v>26</v>
      </c>
      <c r="C2568" s="23" t="s">
        <v>73</v>
      </c>
      <c r="D2568" s="23" t="s">
        <v>22215</v>
      </c>
      <c r="E2568" s="23" t="s">
        <v>74</v>
      </c>
      <c r="F2568" s="25" t="s">
        <v>6662</v>
      </c>
      <c r="G2568" s="25" t="s">
        <v>6663</v>
      </c>
      <c r="H2568" t="s">
        <v>26</v>
      </c>
      <c r="I2568" t="s">
        <v>26</v>
      </c>
      <c r="J2568" t="s">
        <v>26</v>
      </c>
      <c r="K2568" t="s">
        <v>26</v>
      </c>
      <c r="L2568" s="25" t="s">
        <v>68</v>
      </c>
      <c r="M2568" t="s">
        <v>26</v>
      </c>
      <c r="N2568" t="s">
        <v>26</v>
      </c>
      <c r="O2568" t="s">
        <v>26</v>
      </c>
      <c r="P2568" t="s">
        <v>26</v>
      </c>
      <c r="Q2568" t="s">
        <v>26</v>
      </c>
      <c r="R2568" t="s">
        <v>26</v>
      </c>
      <c r="S2568" t="s">
        <v>26</v>
      </c>
      <c r="T2568" t="s">
        <v>26</v>
      </c>
      <c r="U2568" t="s">
        <v>26</v>
      </c>
      <c r="V2568" t="s">
        <v>26</v>
      </c>
      <c r="W2568" s="24">
        <v>40544</v>
      </c>
      <c r="X2568" s="25" t="s">
        <v>77</v>
      </c>
      <c r="Y2568" s="25" t="s">
        <v>6664</v>
      </c>
      <c r="Z2568" s="24">
        <v>40544</v>
      </c>
      <c r="AA2568" s="25" t="s">
        <v>77</v>
      </c>
      <c r="AB2568" s="25" t="s">
        <v>6664</v>
      </c>
      <c r="AC2568" s="24">
        <v>40544</v>
      </c>
      <c r="AD2568" s="25" t="s">
        <v>77</v>
      </c>
      <c r="AE2568" s="25" t="s">
        <v>6664</v>
      </c>
      <c r="AF2568" t="s">
        <v>26</v>
      </c>
      <c r="AG2568" t="s">
        <v>26</v>
      </c>
      <c r="AH2568" t="s">
        <v>26</v>
      </c>
      <c r="AI2568" t="s">
        <v>26</v>
      </c>
      <c r="AJ2568" t="s">
        <v>26</v>
      </c>
      <c r="AK2568" t="s">
        <v>26</v>
      </c>
      <c r="AL2568" t="s">
        <v>26</v>
      </c>
      <c r="AM2568" t="s">
        <v>26</v>
      </c>
      <c r="AN2568" t="s">
        <v>26</v>
      </c>
      <c r="AO2568" s="25" t="s">
        <v>68</v>
      </c>
      <c r="AP2568" s="23" t="s">
        <v>69</v>
      </c>
      <c r="AQ2568" s="23" t="s">
        <v>30</v>
      </c>
      <c r="AR2568" s="23" t="s">
        <v>123</v>
      </c>
      <c r="AS2568" s="25">
        <v>2044174</v>
      </c>
      <c r="AT2568" t="s">
        <v>26</v>
      </c>
      <c r="AU2568" t="s">
        <v>25579</v>
      </c>
    </row>
    <row r="2569" spans="1:47" ht="26.25" x14ac:dyDescent="0.4">
      <c r="A2569" s="23" t="s">
        <v>6665</v>
      </c>
      <c r="B2569" t="s">
        <v>26</v>
      </c>
      <c r="C2569" s="23" t="s">
        <v>465</v>
      </c>
      <c r="D2569" s="23" t="s">
        <v>22179</v>
      </c>
      <c r="E2569" s="23" t="s">
        <v>42</v>
      </c>
      <c r="F2569" s="25" t="s">
        <v>6666</v>
      </c>
      <c r="G2569" s="25" t="s">
        <v>6667</v>
      </c>
      <c r="H2569" t="s">
        <v>26</v>
      </c>
      <c r="I2569" t="s">
        <v>26</v>
      </c>
      <c r="J2569" t="s">
        <v>26</v>
      </c>
      <c r="K2569" t="s">
        <v>26</v>
      </c>
      <c r="L2569" s="25" t="s">
        <v>68</v>
      </c>
      <c r="M2569" t="s">
        <v>26</v>
      </c>
      <c r="N2569" t="s">
        <v>26</v>
      </c>
      <c r="O2569" t="s">
        <v>26</v>
      </c>
      <c r="P2569" t="s">
        <v>26</v>
      </c>
      <c r="Q2569" t="s">
        <v>26</v>
      </c>
      <c r="R2569" t="s">
        <v>26</v>
      </c>
      <c r="S2569" t="s">
        <v>26</v>
      </c>
      <c r="T2569" t="s">
        <v>26</v>
      </c>
      <c r="U2569" t="s">
        <v>26</v>
      </c>
      <c r="V2569" t="s">
        <v>26</v>
      </c>
      <c r="W2569" s="24">
        <v>35977</v>
      </c>
      <c r="X2569" s="24">
        <v>45170</v>
      </c>
      <c r="Y2569" t="s">
        <v>26</v>
      </c>
      <c r="Z2569" s="24">
        <v>35977</v>
      </c>
      <c r="AA2569" s="24">
        <v>45170</v>
      </c>
      <c r="AB2569" t="s">
        <v>26</v>
      </c>
      <c r="AC2569" s="24">
        <v>38078</v>
      </c>
      <c r="AD2569" s="24">
        <v>42795</v>
      </c>
      <c r="AE2569" t="s">
        <v>26</v>
      </c>
      <c r="AF2569" t="s">
        <v>26</v>
      </c>
      <c r="AG2569" t="s">
        <v>26</v>
      </c>
      <c r="AH2569" t="s">
        <v>26</v>
      </c>
      <c r="AI2569" t="s">
        <v>26</v>
      </c>
      <c r="AJ2569" t="s">
        <v>26</v>
      </c>
      <c r="AK2569" t="s">
        <v>26</v>
      </c>
      <c r="AL2569" t="s">
        <v>26</v>
      </c>
      <c r="AM2569" t="s">
        <v>26</v>
      </c>
      <c r="AN2569" t="s">
        <v>26</v>
      </c>
      <c r="AO2569" s="25" t="s">
        <v>68</v>
      </c>
      <c r="AP2569" s="23" t="s">
        <v>69</v>
      </c>
      <c r="AQ2569" s="23" t="s">
        <v>30</v>
      </c>
      <c r="AR2569" s="23" t="s">
        <v>46</v>
      </c>
      <c r="AS2569" s="25">
        <v>31230</v>
      </c>
      <c r="AT2569" t="s">
        <v>26</v>
      </c>
      <c r="AU2569" t="s">
        <v>25580</v>
      </c>
    </row>
    <row r="2570" spans="1:47" ht="26.25" x14ac:dyDescent="0.4">
      <c r="A2570" s="23" t="s">
        <v>6668</v>
      </c>
      <c r="B2570" t="s">
        <v>26</v>
      </c>
      <c r="C2570" s="23" t="s">
        <v>5394</v>
      </c>
      <c r="D2570" s="23" t="s">
        <v>22309</v>
      </c>
      <c r="E2570" s="23" t="s">
        <v>42</v>
      </c>
      <c r="F2570" t="s">
        <v>26</v>
      </c>
      <c r="G2570" s="25" t="s">
        <v>6669</v>
      </c>
      <c r="H2570" t="s">
        <v>26</v>
      </c>
      <c r="I2570" s="24">
        <v>42736</v>
      </c>
      <c r="J2570" s="24">
        <v>43586</v>
      </c>
      <c r="K2570" t="s">
        <v>26</v>
      </c>
      <c r="L2570" s="25" t="s">
        <v>68</v>
      </c>
      <c r="M2570" s="24">
        <v>42736</v>
      </c>
      <c r="N2570" s="24">
        <v>43586</v>
      </c>
      <c r="O2570" t="s">
        <v>26</v>
      </c>
      <c r="P2570" s="24">
        <v>42736</v>
      </c>
      <c r="Q2570" s="24">
        <v>43586</v>
      </c>
      <c r="R2570" t="s">
        <v>26</v>
      </c>
      <c r="S2570" t="s">
        <v>26</v>
      </c>
      <c r="T2570" t="s">
        <v>26</v>
      </c>
      <c r="U2570" t="s">
        <v>26</v>
      </c>
      <c r="V2570" t="s">
        <v>26</v>
      </c>
      <c r="W2570" s="24">
        <v>42736</v>
      </c>
      <c r="X2570" s="24">
        <v>43586</v>
      </c>
      <c r="Y2570" t="s">
        <v>26</v>
      </c>
      <c r="Z2570" s="24">
        <v>42736</v>
      </c>
      <c r="AA2570" s="24">
        <v>43586</v>
      </c>
      <c r="AB2570" t="s">
        <v>26</v>
      </c>
      <c r="AC2570" s="24">
        <v>42736</v>
      </c>
      <c r="AD2570" s="24">
        <v>43586</v>
      </c>
      <c r="AE2570" t="s">
        <v>26</v>
      </c>
      <c r="AF2570" t="s">
        <v>26</v>
      </c>
      <c r="AG2570" t="s">
        <v>26</v>
      </c>
      <c r="AH2570" t="s">
        <v>26</v>
      </c>
      <c r="AI2570" t="s">
        <v>26</v>
      </c>
      <c r="AJ2570" t="s">
        <v>26</v>
      </c>
      <c r="AK2570" t="s">
        <v>26</v>
      </c>
      <c r="AL2570" t="s">
        <v>26</v>
      </c>
      <c r="AM2570" t="s">
        <v>26</v>
      </c>
      <c r="AN2570" t="s">
        <v>26</v>
      </c>
      <c r="AO2570" s="25" t="s">
        <v>68</v>
      </c>
      <c r="AP2570" s="23" t="s">
        <v>69</v>
      </c>
      <c r="AQ2570" s="23" t="s">
        <v>30</v>
      </c>
      <c r="AR2570" s="23" t="s">
        <v>123</v>
      </c>
      <c r="AS2570" s="25">
        <v>2045596</v>
      </c>
      <c r="AT2570" t="s">
        <v>26</v>
      </c>
      <c r="AU2570" t="s">
        <v>25581</v>
      </c>
    </row>
    <row r="2571" spans="1:47" ht="26.25" x14ac:dyDescent="0.4">
      <c r="A2571" s="23" t="s">
        <v>6670</v>
      </c>
      <c r="B2571" t="s">
        <v>26</v>
      </c>
      <c r="C2571" s="23" t="s">
        <v>181</v>
      </c>
      <c r="D2571" s="23" t="s">
        <v>22174</v>
      </c>
      <c r="E2571" s="23" t="s">
        <v>60</v>
      </c>
      <c r="F2571" s="25" t="s">
        <v>6671</v>
      </c>
      <c r="G2571" s="25" t="s">
        <v>6672</v>
      </c>
      <c r="H2571" t="s">
        <v>26</v>
      </c>
      <c r="I2571" t="s">
        <v>26</v>
      </c>
      <c r="J2571" t="s">
        <v>26</v>
      </c>
      <c r="K2571" t="s">
        <v>26</v>
      </c>
      <c r="L2571" s="25" t="s">
        <v>68</v>
      </c>
      <c r="M2571" t="s">
        <v>26</v>
      </c>
      <c r="N2571" t="s">
        <v>26</v>
      </c>
      <c r="O2571" t="s">
        <v>26</v>
      </c>
      <c r="P2571" t="s">
        <v>26</v>
      </c>
      <c r="Q2571" t="s">
        <v>26</v>
      </c>
      <c r="R2571" t="s">
        <v>26</v>
      </c>
      <c r="S2571" t="s">
        <v>26</v>
      </c>
      <c r="T2571" t="s">
        <v>26</v>
      </c>
      <c r="U2571" t="s">
        <v>26</v>
      </c>
      <c r="V2571" t="s">
        <v>26</v>
      </c>
      <c r="W2571" s="24">
        <v>37377</v>
      </c>
      <c r="X2571" s="25" t="s">
        <v>77</v>
      </c>
      <c r="Y2571" t="s">
        <v>26</v>
      </c>
      <c r="Z2571" s="24">
        <v>37377</v>
      </c>
      <c r="AA2571" s="25" t="s">
        <v>77</v>
      </c>
      <c r="AB2571" t="s">
        <v>26</v>
      </c>
      <c r="AC2571" s="24">
        <v>37377</v>
      </c>
      <c r="AD2571" s="25" t="s">
        <v>77</v>
      </c>
      <c r="AE2571" t="s">
        <v>26</v>
      </c>
      <c r="AF2571" t="s">
        <v>26</v>
      </c>
      <c r="AG2571" t="s">
        <v>26</v>
      </c>
      <c r="AH2571" t="s">
        <v>26</v>
      </c>
      <c r="AI2571" t="s">
        <v>26</v>
      </c>
      <c r="AJ2571" t="s">
        <v>26</v>
      </c>
      <c r="AK2571" t="s">
        <v>26</v>
      </c>
      <c r="AL2571" t="s">
        <v>26</v>
      </c>
      <c r="AM2571" t="s">
        <v>26</v>
      </c>
      <c r="AN2571" t="s">
        <v>26</v>
      </c>
      <c r="AO2571" s="25" t="s">
        <v>68</v>
      </c>
      <c r="AP2571" s="23" t="s">
        <v>69</v>
      </c>
      <c r="AQ2571" s="23" t="s">
        <v>30</v>
      </c>
      <c r="AR2571" s="23" t="s">
        <v>3816</v>
      </c>
      <c r="AS2571" s="25">
        <v>32995</v>
      </c>
      <c r="AT2571" t="s">
        <v>26</v>
      </c>
      <c r="AU2571" t="s">
        <v>25582</v>
      </c>
    </row>
    <row r="2572" spans="1:47" ht="26.25" x14ac:dyDescent="0.4">
      <c r="A2572" s="23" t="s">
        <v>6673</v>
      </c>
      <c r="B2572" t="s">
        <v>26</v>
      </c>
      <c r="C2572" s="23" t="s">
        <v>80</v>
      </c>
      <c r="D2572" s="23" t="s">
        <v>22309</v>
      </c>
      <c r="E2572" s="23" t="s">
        <v>60</v>
      </c>
      <c r="F2572" s="25" t="s">
        <v>6674</v>
      </c>
      <c r="G2572" s="25" t="s">
        <v>6675</v>
      </c>
      <c r="H2572" t="s">
        <v>26</v>
      </c>
      <c r="I2572" s="24">
        <v>36039</v>
      </c>
      <c r="J2572" s="24">
        <v>44562</v>
      </c>
      <c r="K2572" t="s">
        <v>26</v>
      </c>
      <c r="L2572" s="25" t="s">
        <v>68</v>
      </c>
      <c r="M2572" s="24">
        <v>36039</v>
      </c>
      <c r="N2572" s="24">
        <v>44562</v>
      </c>
      <c r="O2572" t="s">
        <v>26</v>
      </c>
      <c r="P2572" s="24">
        <v>36039</v>
      </c>
      <c r="Q2572" s="24">
        <v>44562</v>
      </c>
      <c r="R2572" t="s">
        <v>26</v>
      </c>
      <c r="S2572" t="s">
        <v>26</v>
      </c>
      <c r="T2572" t="s">
        <v>26</v>
      </c>
      <c r="U2572" t="s">
        <v>26</v>
      </c>
      <c r="V2572" t="s">
        <v>26</v>
      </c>
      <c r="W2572" s="24">
        <v>36039</v>
      </c>
      <c r="X2572" s="25" t="s">
        <v>77</v>
      </c>
      <c r="Y2572" t="s">
        <v>26</v>
      </c>
      <c r="Z2572" s="24">
        <v>36039</v>
      </c>
      <c r="AA2572" s="25" t="s">
        <v>77</v>
      </c>
      <c r="AB2572" t="s">
        <v>26</v>
      </c>
      <c r="AC2572" s="24">
        <v>38047</v>
      </c>
      <c r="AD2572" s="25" t="s">
        <v>77</v>
      </c>
      <c r="AE2572" t="s">
        <v>26</v>
      </c>
      <c r="AF2572" t="s">
        <v>26</v>
      </c>
      <c r="AG2572" t="s">
        <v>26</v>
      </c>
      <c r="AH2572" t="s">
        <v>26</v>
      </c>
      <c r="AI2572" t="s">
        <v>26</v>
      </c>
      <c r="AJ2572" t="s">
        <v>26</v>
      </c>
      <c r="AK2572" t="s">
        <v>26</v>
      </c>
      <c r="AL2572" t="s">
        <v>26</v>
      </c>
      <c r="AM2572" t="s">
        <v>26</v>
      </c>
      <c r="AN2572" t="s">
        <v>26</v>
      </c>
      <c r="AO2572" s="25" t="s">
        <v>68</v>
      </c>
      <c r="AP2572" s="23" t="s">
        <v>69</v>
      </c>
      <c r="AQ2572" s="23" t="s">
        <v>30</v>
      </c>
      <c r="AR2572" s="23" t="s">
        <v>46</v>
      </c>
      <c r="AS2572" s="25">
        <v>48217</v>
      </c>
      <c r="AT2572" t="s">
        <v>26</v>
      </c>
      <c r="AU2572" t="s">
        <v>25583</v>
      </c>
    </row>
    <row r="2573" spans="1:47" ht="26.25" x14ac:dyDescent="0.4">
      <c r="A2573" s="23" t="s">
        <v>6676</v>
      </c>
      <c r="B2573" t="s">
        <v>26</v>
      </c>
      <c r="C2573" s="23" t="s">
        <v>1049</v>
      </c>
      <c r="D2573" s="23" t="s">
        <v>22352</v>
      </c>
      <c r="E2573" s="23" t="s">
        <v>42</v>
      </c>
      <c r="F2573" s="25" t="s">
        <v>6677</v>
      </c>
      <c r="G2573" t="s">
        <v>26</v>
      </c>
      <c r="H2573" t="s">
        <v>26</v>
      </c>
      <c r="I2573" s="24">
        <v>41791</v>
      </c>
      <c r="J2573" s="25" t="s">
        <v>77</v>
      </c>
      <c r="K2573" t="s">
        <v>26</v>
      </c>
      <c r="L2573" s="25" t="s">
        <v>68</v>
      </c>
      <c r="M2573" s="24">
        <v>41791</v>
      </c>
      <c r="N2573" s="25" t="s">
        <v>77</v>
      </c>
      <c r="O2573" t="s">
        <v>26</v>
      </c>
      <c r="P2573" s="24">
        <v>41791</v>
      </c>
      <c r="Q2573" s="25" t="s">
        <v>77</v>
      </c>
      <c r="R2573" t="s">
        <v>26</v>
      </c>
      <c r="S2573" t="s">
        <v>26</v>
      </c>
      <c r="T2573" t="s">
        <v>26</v>
      </c>
      <c r="U2573" t="s">
        <v>26</v>
      </c>
      <c r="V2573" t="s">
        <v>26</v>
      </c>
      <c r="W2573" s="24">
        <v>41791</v>
      </c>
      <c r="X2573" s="25" t="s">
        <v>77</v>
      </c>
      <c r="Y2573" t="s">
        <v>26</v>
      </c>
      <c r="Z2573" s="24">
        <v>41791</v>
      </c>
      <c r="AA2573" s="25" t="s">
        <v>77</v>
      </c>
      <c r="AB2573" t="s">
        <v>26</v>
      </c>
      <c r="AC2573" s="24">
        <v>42644</v>
      </c>
      <c r="AD2573" s="25" t="s">
        <v>77</v>
      </c>
      <c r="AE2573" t="s">
        <v>26</v>
      </c>
      <c r="AF2573" t="s">
        <v>26</v>
      </c>
      <c r="AG2573" t="s">
        <v>26</v>
      </c>
      <c r="AH2573" t="s">
        <v>26</v>
      </c>
      <c r="AI2573" t="s">
        <v>26</v>
      </c>
      <c r="AJ2573" t="s">
        <v>26</v>
      </c>
      <c r="AK2573" t="s">
        <v>26</v>
      </c>
      <c r="AL2573" t="s">
        <v>26</v>
      </c>
      <c r="AM2573" t="s">
        <v>26</v>
      </c>
      <c r="AN2573" t="s">
        <v>26</v>
      </c>
      <c r="AO2573" s="25" t="s">
        <v>68</v>
      </c>
      <c r="AP2573" s="23" t="s">
        <v>69</v>
      </c>
      <c r="AQ2573" s="23" t="s">
        <v>30</v>
      </c>
      <c r="AR2573" s="23" t="s">
        <v>6678</v>
      </c>
      <c r="AS2573" s="25">
        <v>2035676</v>
      </c>
      <c r="AT2573" t="s">
        <v>26</v>
      </c>
      <c r="AU2573" t="s">
        <v>25584</v>
      </c>
    </row>
    <row r="2574" spans="1:47" ht="26.25" x14ac:dyDescent="0.4">
      <c r="A2574" s="23" t="s">
        <v>6679</v>
      </c>
      <c r="B2574" t="s">
        <v>26</v>
      </c>
      <c r="C2574" s="23" t="s">
        <v>5328</v>
      </c>
      <c r="D2574" s="23" t="s">
        <v>22179</v>
      </c>
      <c r="E2574" s="23" t="s">
        <v>42</v>
      </c>
      <c r="F2574" t="s">
        <v>26</v>
      </c>
      <c r="G2574" t="s">
        <v>26</v>
      </c>
      <c r="H2574" t="s">
        <v>26</v>
      </c>
      <c r="I2574" s="24">
        <v>37622</v>
      </c>
      <c r="J2574" s="24">
        <v>37622</v>
      </c>
      <c r="K2574" t="s">
        <v>26</v>
      </c>
      <c r="L2574" s="25" t="s">
        <v>28</v>
      </c>
      <c r="M2574" s="24">
        <v>37622</v>
      </c>
      <c r="N2574" s="24">
        <v>37622</v>
      </c>
      <c r="O2574" t="s">
        <v>26</v>
      </c>
      <c r="P2574" t="s">
        <v>26</v>
      </c>
      <c r="Q2574" t="s">
        <v>26</v>
      </c>
      <c r="R2574" t="s">
        <v>26</v>
      </c>
      <c r="S2574" t="s">
        <v>26</v>
      </c>
      <c r="T2574" t="s">
        <v>26</v>
      </c>
      <c r="U2574" t="s">
        <v>26</v>
      </c>
      <c r="V2574" t="s">
        <v>26</v>
      </c>
      <c r="W2574" s="24">
        <v>37622</v>
      </c>
      <c r="X2574" s="24">
        <v>37622</v>
      </c>
      <c r="Y2574" t="s">
        <v>26</v>
      </c>
      <c r="Z2574" s="24">
        <v>37622</v>
      </c>
      <c r="AA2574" s="24">
        <v>37622</v>
      </c>
      <c r="AB2574" t="s">
        <v>26</v>
      </c>
      <c r="AC2574" s="24">
        <v>37622</v>
      </c>
      <c r="AD2574" s="24">
        <v>37622</v>
      </c>
      <c r="AE2574" t="s">
        <v>26</v>
      </c>
      <c r="AF2574" t="s">
        <v>26</v>
      </c>
      <c r="AG2574" t="s">
        <v>26</v>
      </c>
      <c r="AH2574" t="s">
        <v>26</v>
      </c>
      <c r="AI2574" t="s">
        <v>26</v>
      </c>
      <c r="AJ2574" t="s">
        <v>26</v>
      </c>
      <c r="AK2574" t="s">
        <v>26</v>
      </c>
      <c r="AL2574" t="s">
        <v>26</v>
      </c>
      <c r="AM2574" t="s">
        <v>26</v>
      </c>
      <c r="AN2574" t="s">
        <v>26</v>
      </c>
      <c r="AO2574" s="25" t="s">
        <v>28</v>
      </c>
      <c r="AP2574" s="23" t="s">
        <v>29</v>
      </c>
      <c r="AQ2574" s="23" t="s">
        <v>30</v>
      </c>
      <c r="AR2574" s="23" t="s">
        <v>46</v>
      </c>
      <c r="AS2574" s="25">
        <v>6059455</v>
      </c>
      <c r="AT2574" t="s">
        <v>26</v>
      </c>
      <c r="AU2574" t="s">
        <v>25585</v>
      </c>
    </row>
    <row r="2575" spans="1:47" ht="26.25" x14ac:dyDescent="0.4">
      <c r="A2575" s="23" t="s">
        <v>6680</v>
      </c>
      <c r="B2575" t="s">
        <v>26</v>
      </c>
      <c r="C2575" s="23" t="s">
        <v>6681</v>
      </c>
      <c r="D2575" s="23" t="s">
        <v>22254</v>
      </c>
      <c r="E2575" s="23" t="s">
        <v>42</v>
      </c>
      <c r="F2575" s="25" t="s">
        <v>6682</v>
      </c>
      <c r="G2575" s="25" t="s">
        <v>6683</v>
      </c>
      <c r="H2575" t="s">
        <v>26</v>
      </c>
      <c r="I2575" t="s">
        <v>26</v>
      </c>
      <c r="J2575" t="s">
        <v>26</v>
      </c>
      <c r="K2575" t="s">
        <v>26</v>
      </c>
      <c r="L2575" s="25" t="s">
        <v>68</v>
      </c>
      <c r="M2575" t="s">
        <v>26</v>
      </c>
      <c r="N2575" t="s">
        <v>26</v>
      </c>
      <c r="O2575" t="s">
        <v>26</v>
      </c>
      <c r="P2575" t="s">
        <v>26</v>
      </c>
      <c r="Q2575" t="s">
        <v>26</v>
      </c>
      <c r="R2575" t="s">
        <v>26</v>
      </c>
      <c r="S2575" t="s">
        <v>26</v>
      </c>
      <c r="T2575" t="s">
        <v>26</v>
      </c>
      <c r="U2575" t="s">
        <v>26</v>
      </c>
      <c r="V2575" t="s">
        <v>26</v>
      </c>
      <c r="W2575" s="24">
        <v>29308</v>
      </c>
      <c r="X2575" s="24">
        <v>31366</v>
      </c>
      <c r="Y2575" s="25" t="s">
        <v>6684</v>
      </c>
      <c r="Z2575" s="24">
        <v>29308</v>
      </c>
      <c r="AA2575" s="24">
        <v>31366</v>
      </c>
      <c r="AB2575" s="25" t="s">
        <v>6684</v>
      </c>
      <c r="AC2575" t="s">
        <v>26</v>
      </c>
      <c r="AD2575" t="s">
        <v>26</v>
      </c>
      <c r="AE2575" t="s">
        <v>26</v>
      </c>
      <c r="AF2575" t="s">
        <v>26</v>
      </c>
      <c r="AG2575" t="s">
        <v>26</v>
      </c>
      <c r="AH2575" t="s">
        <v>26</v>
      </c>
      <c r="AI2575" t="s">
        <v>26</v>
      </c>
      <c r="AJ2575" t="s">
        <v>26</v>
      </c>
      <c r="AK2575" t="s">
        <v>26</v>
      </c>
      <c r="AL2575" t="s">
        <v>26</v>
      </c>
      <c r="AM2575" t="s">
        <v>26</v>
      </c>
      <c r="AN2575" t="s">
        <v>26</v>
      </c>
      <c r="AO2575" s="25" t="s">
        <v>68</v>
      </c>
      <c r="AP2575" s="23" t="s">
        <v>69</v>
      </c>
      <c r="AQ2575" s="23" t="s">
        <v>30</v>
      </c>
      <c r="AR2575" s="23" t="s">
        <v>6685</v>
      </c>
      <c r="AS2575" s="25">
        <v>42434</v>
      </c>
      <c r="AT2575" t="s">
        <v>26</v>
      </c>
      <c r="AU2575" t="s">
        <v>25586</v>
      </c>
    </row>
    <row r="2576" spans="1:47" ht="13.15" x14ac:dyDescent="0.4">
      <c r="A2576" s="23" t="s">
        <v>6686</v>
      </c>
      <c r="B2576" t="s">
        <v>26</v>
      </c>
      <c r="C2576" s="23" t="s">
        <v>5640</v>
      </c>
      <c r="D2576" s="23" t="s">
        <v>22179</v>
      </c>
      <c r="E2576" s="23" t="s">
        <v>42</v>
      </c>
      <c r="F2576" s="25" t="s">
        <v>6687</v>
      </c>
      <c r="G2576" t="s">
        <v>26</v>
      </c>
      <c r="H2576" t="s">
        <v>26</v>
      </c>
      <c r="I2576" t="s">
        <v>26</v>
      </c>
      <c r="J2576" t="s">
        <v>26</v>
      </c>
      <c r="K2576" t="s">
        <v>26</v>
      </c>
      <c r="L2576" s="25" t="s">
        <v>28</v>
      </c>
      <c r="M2576" t="s">
        <v>26</v>
      </c>
      <c r="N2576" t="s">
        <v>26</v>
      </c>
      <c r="O2576" t="s">
        <v>26</v>
      </c>
      <c r="P2576" t="s">
        <v>26</v>
      </c>
      <c r="Q2576" t="s">
        <v>26</v>
      </c>
      <c r="R2576" t="s">
        <v>26</v>
      </c>
      <c r="S2576" t="s">
        <v>26</v>
      </c>
      <c r="T2576" t="s">
        <v>26</v>
      </c>
      <c r="U2576" t="s">
        <v>26</v>
      </c>
      <c r="V2576" t="s">
        <v>26</v>
      </c>
      <c r="W2576" s="24">
        <v>36617</v>
      </c>
      <c r="X2576" s="24">
        <v>36800</v>
      </c>
      <c r="Y2576" t="s">
        <v>26</v>
      </c>
      <c r="Z2576" s="24">
        <v>36617</v>
      </c>
      <c r="AA2576" s="24">
        <v>36800</v>
      </c>
      <c r="AB2576" t="s">
        <v>26</v>
      </c>
      <c r="AC2576" t="s">
        <v>26</v>
      </c>
      <c r="AD2576" t="s">
        <v>26</v>
      </c>
      <c r="AE2576" t="s">
        <v>26</v>
      </c>
      <c r="AF2576" t="s">
        <v>26</v>
      </c>
      <c r="AG2576" t="s">
        <v>26</v>
      </c>
      <c r="AH2576" t="s">
        <v>26</v>
      </c>
      <c r="AI2576" t="s">
        <v>26</v>
      </c>
      <c r="AJ2576" t="s">
        <v>26</v>
      </c>
      <c r="AK2576" t="s">
        <v>26</v>
      </c>
      <c r="AL2576" t="s">
        <v>26</v>
      </c>
      <c r="AM2576" t="s">
        <v>26</v>
      </c>
      <c r="AN2576" t="s">
        <v>26</v>
      </c>
      <c r="AO2576" s="25" t="s">
        <v>28</v>
      </c>
      <c r="AP2576" s="23" t="s">
        <v>112</v>
      </c>
      <c r="AQ2576" s="23" t="s">
        <v>30</v>
      </c>
      <c r="AR2576" s="23" t="s">
        <v>2942</v>
      </c>
      <c r="AS2576" s="25">
        <v>46644</v>
      </c>
      <c r="AT2576" t="s">
        <v>26</v>
      </c>
      <c r="AU2576" t="s">
        <v>25587</v>
      </c>
    </row>
    <row r="2577" spans="1:47" ht="26.25" x14ac:dyDescent="0.4">
      <c r="A2577" s="23" t="s">
        <v>6688</v>
      </c>
      <c r="B2577" t="s">
        <v>26</v>
      </c>
      <c r="C2577" s="23" t="s">
        <v>1481</v>
      </c>
      <c r="D2577" s="23" t="s">
        <v>22190</v>
      </c>
      <c r="E2577" s="23" t="s">
        <v>60</v>
      </c>
      <c r="F2577" s="25" t="s">
        <v>6689</v>
      </c>
      <c r="G2577" s="25" t="s">
        <v>6690</v>
      </c>
      <c r="H2577" t="s">
        <v>26</v>
      </c>
      <c r="I2577" t="s">
        <v>26</v>
      </c>
      <c r="J2577" t="s">
        <v>26</v>
      </c>
      <c r="K2577" t="s">
        <v>26</v>
      </c>
      <c r="L2577" s="25" t="s">
        <v>68</v>
      </c>
      <c r="M2577" t="s">
        <v>26</v>
      </c>
      <c r="N2577" t="s">
        <v>26</v>
      </c>
      <c r="O2577" t="s">
        <v>26</v>
      </c>
      <c r="P2577" t="s">
        <v>26</v>
      </c>
      <c r="Q2577" t="s">
        <v>26</v>
      </c>
      <c r="R2577" t="s">
        <v>26</v>
      </c>
      <c r="S2577" t="s">
        <v>26</v>
      </c>
      <c r="T2577" t="s">
        <v>26</v>
      </c>
      <c r="U2577" t="s">
        <v>26</v>
      </c>
      <c r="V2577" t="s">
        <v>26</v>
      </c>
      <c r="W2577" s="24">
        <v>37987</v>
      </c>
      <c r="X2577" s="25" t="s">
        <v>77</v>
      </c>
      <c r="Y2577" t="s">
        <v>26</v>
      </c>
      <c r="Z2577" s="24">
        <v>37987</v>
      </c>
      <c r="AA2577" s="25" t="s">
        <v>77</v>
      </c>
      <c r="AB2577" t="s">
        <v>26</v>
      </c>
      <c r="AC2577" s="24">
        <v>37987</v>
      </c>
      <c r="AD2577" s="25" t="s">
        <v>77</v>
      </c>
      <c r="AE2577" t="s">
        <v>26</v>
      </c>
      <c r="AF2577" t="s">
        <v>26</v>
      </c>
      <c r="AG2577" t="s">
        <v>26</v>
      </c>
      <c r="AH2577" t="s">
        <v>26</v>
      </c>
      <c r="AI2577" t="s">
        <v>26</v>
      </c>
      <c r="AJ2577" t="s">
        <v>26</v>
      </c>
      <c r="AK2577" t="s">
        <v>26</v>
      </c>
      <c r="AL2577" t="s">
        <v>26</v>
      </c>
      <c r="AM2577" t="s">
        <v>26</v>
      </c>
      <c r="AN2577" t="s">
        <v>26</v>
      </c>
      <c r="AO2577" s="25" t="s">
        <v>68</v>
      </c>
      <c r="AP2577" s="23" t="s">
        <v>69</v>
      </c>
      <c r="AQ2577" s="23" t="s">
        <v>30</v>
      </c>
      <c r="AR2577" s="23" t="s">
        <v>337</v>
      </c>
      <c r="AS2577" s="25">
        <v>46276</v>
      </c>
      <c r="AT2577" t="s">
        <v>26</v>
      </c>
      <c r="AU2577" t="s">
        <v>25588</v>
      </c>
    </row>
    <row r="2578" spans="1:47" ht="26.25" x14ac:dyDescent="0.4">
      <c r="A2578" s="23" t="s">
        <v>6691</v>
      </c>
      <c r="B2578" t="s">
        <v>26</v>
      </c>
      <c r="C2578" s="23" t="s">
        <v>1113</v>
      </c>
      <c r="D2578" s="23" t="s">
        <v>22666</v>
      </c>
      <c r="E2578" s="23" t="s">
        <v>42</v>
      </c>
      <c r="F2578" t="s">
        <v>26</v>
      </c>
      <c r="G2578" t="s">
        <v>26</v>
      </c>
      <c r="H2578" t="s">
        <v>26</v>
      </c>
      <c r="I2578" t="s">
        <v>26</v>
      </c>
      <c r="J2578" t="s">
        <v>26</v>
      </c>
      <c r="K2578" t="s">
        <v>26</v>
      </c>
      <c r="L2578" s="25" t="s">
        <v>28</v>
      </c>
      <c r="M2578" t="s">
        <v>26</v>
      </c>
      <c r="N2578" t="s">
        <v>26</v>
      </c>
      <c r="O2578" t="s">
        <v>26</v>
      </c>
      <c r="P2578" t="s">
        <v>26</v>
      </c>
      <c r="Q2578" t="s">
        <v>26</v>
      </c>
      <c r="R2578" t="s">
        <v>26</v>
      </c>
      <c r="S2578" t="s">
        <v>26</v>
      </c>
      <c r="T2578" t="s">
        <v>26</v>
      </c>
      <c r="U2578" t="s">
        <v>26</v>
      </c>
      <c r="V2578" t="s">
        <v>26</v>
      </c>
      <c r="W2578" s="24">
        <v>39448</v>
      </c>
      <c r="X2578" s="24">
        <v>39448</v>
      </c>
      <c r="Y2578" t="s">
        <v>26</v>
      </c>
      <c r="Z2578" s="24">
        <v>39448</v>
      </c>
      <c r="AA2578" s="24">
        <v>39448</v>
      </c>
      <c r="AB2578" t="s">
        <v>26</v>
      </c>
      <c r="AC2578" t="s">
        <v>26</v>
      </c>
      <c r="AD2578" t="s">
        <v>26</v>
      </c>
      <c r="AE2578" t="s">
        <v>26</v>
      </c>
      <c r="AF2578" t="s">
        <v>26</v>
      </c>
      <c r="AG2578" t="s">
        <v>26</v>
      </c>
      <c r="AH2578" t="s">
        <v>26</v>
      </c>
      <c r="AI2578" t="s">
        <v>26</v>
      </c>
      <c r="AJ2578" t="s">
        <v>26</v>
      </c>
      <c r="AK2578" t="s">
        <v>26</v>
      </c>
      <c r="AL2578" t="s">
        <v>26</v>
      </c>
      <c r="AM2578" t="s">
        <v>26</v>
      </c>
      <c r="AN2578" t="s">
        <v>26</v>
      </c>
      <c r="AO2578" s="25" t="s">
        <v>28</v>
      </c>
      <c r="AP2578" s="23" t="s">
        <v>29</v>
      </c>
      <c r="AQ2578" s="23" t="s">
        <v>30</v>
      </c>
      <c r="AR2578" s="23" t="s">
        <v>44</v>
      </c>
      <c r="AS2578" s="25">
        <v>5485120</v>
      </c>
      <c r="AT2578" s="23" t="s">
        <v>22181</v>
      </c>
      <c r="AU2578" t="s">
        <v>25589</v>
      </c>
    </row>
    <row r="2579" spans="1:47" ht="13.15" x14ac:dyDescent="0.4">
      <c r="A2579" s="23" t="s">
        <v>6692</v>
      </c>
      <c r="B2579" t="s">
        <v>26</v>
      </c>
      <c r="C2579" s="23" t="s">
        <v>3440</v>
      </c>
      <c r="D2579" s="23" t="s">
        <v>22179</v>
      </c>
      <c r="E2579" s="23" t="s">
        <v>42</v>
      </c>
      <c r="F2579" t="s">
        <v>26</v>
      </c>
      <c r="G2579" t="s">
        <v>26</v>
      </c>
      <c r="H2579" t="s">
        <v>26</v>
      </c>
      <c r="I2579" t="s">
        <v>26</v>
      </c>
      <c r="J2579" t="s">
        <v>26</v>
      </c>
      <c r="K2579" t="s">
        <v>26</v>
      </c>
      <c r="L2579" s="25" t="s">
        <v>28</v>
      </c>
      <c r="M2579" t="s">
        <v>26</v>
      </c>
      <c r="N2579" t="s">
        <v>26</v>
      </c>
      <c r="O2579" t="s">
        <v>26</v>
      </c>
      <c r="P2579" t="s">
        <v>26</v>
      </c>
      <c r="Q2579" t="s">
        <v>26</v>
      </c>
      <c r="R2579" t="s">
        <v>26</v>
      </c>
      <c r="S2579" t="s">
        <v>26</v>
      </c>
      <c r="T2579" t="s">
        <v>26</v>
      </c>
      <c r="U2579" t="s">
        <v>26</v>
      </c>
      <c r="V2579" t="s">
        <v>26</v>
      </c>
      <c r="W2579" s="24">
        <v>35065</v>
      </c>
      <c r="X2579" s="24">
        <v>35065</v>
      </c>
      <c r="Y2579" t="s">
        <v>26</v>
      </c>
      <c r="Z2579" s="24">
        <v>35065</v>
      </c>
      <c r="AA2579" s="24">
        <v>35065</v>
      </c>
      <c r="AB2579" t="s">
        <v>26</v>
      </c>
      <c r="AC2579" t="s">
        <v>26</v>
      </c>
      <c r="AD2579" t="s">
        <v>26</v>
      </c>
      <c r="AE2579" t="s">
        <v>26</v>
      </c>
      <c r="AF2579" t="s">
        <v>26</v>
      </c>
      <c r="AG2579" t="s">
        <v>26</v>
      </c>
      <c r="AH2579" t="s">
        <v>26</v>
      </c>
      <c r="AI2579" t="s">
        <v>26</v>
      </c>
      <c r="AJ2579" t="s">
        <v>26</v>
      </c>
      <c r="AK2579" t="s">
        <v>26</v>
      </c>
      <c r="AL2579" t="s">
        <v>26</v>
      </c>
      <c r="AM2579" t="s">
        <v>26</v>
      </c>
      <c r="AN2579" t="s">
        <v>26</v>
      </c>
      <c r="AO2579" s="25" t="s">
        <v>28</v>
      </c>
      <c r="AP2579" s="23" t="s">
        <v>29</v>
      </c>
      <c r="AQ2579" s="23" t="s">
        <v>30</v>
      </c>
      <c r="AR2579" s="23" t="s">
        <v>44</v>
      </c>
      <c r="AS2579" s="25">
        <v>5485077</v>
      </c>
      <c r="AT2579" s="23" t="s">
        <v>22181</v>
      </c>
      <c r="AU2579" t="s">
        <v>25590</v>
      </c>
    </row>
    <row r="2580" spans="1:47" ht="26.25" x14ac:dyDescent="0.4">
      <c r="A2580" s="23" t="s">
        <v>6693</v>
      </c>
      <c r="B2580" t="s">
        <v>26</v>
      </c>
      <c r="C2580" t="s">
        <v>26</v>
      </c>
      <c r="D2580" t="s">
        <v>26</v>
      </c>
      <c r="E2580" t="s">
        <v>26</v>
      </c>
      <c r="F2580" t="s">
        <v>26</v>
      </c>
      <c r="G2580" t="s">
        <v>26</v>
      </c>
      <c r="H2580" t="s">
        <v>26</v>
      </c>
      <c r="I2580" s="25" t="s">
        <v>932</v>
      </c>
      <c r="J2580" s="25" t="s">
        <v>932</v>
      </c>
      <c r="K2580" t="s">
        <v>26</v>
      </c>
      <c r="L2580" s="25" t="s">
        <v>28</v>
      </c>
      <c r="M2580" s="25" t="s">
        <v>932</v>
      </c>
      <c r="N2580" s="25" t="s">
        <v>932</v>
      </c>
      <c r="O2580" t="s">
        <v>26</v>
      </c>
      <c r="P2580" t="s">
        <v>26</v>
      </c>
      <c r="Q2580" t="s">
        <v>26</v>
      </c>
      <c r="R2580" t="s">
        <v>26</v>
      </c>
      <c r="S2580" t="s">
        <v>26</v>
      </c>
      <c r="T2580" t="s">
        <v>26</v>
      </c>
      <c r="U2580" t="s">
        <v>26</v>
      </c>
      <c r="V2580" t="s">
        <v>26</v>
      </c>
      <c r="W2580" s="25" t="s">
        <v>932</v>
      </c>
      <c r="X2580" s="25" t="s">
        <v>932</v>
      </c>
      <c r="Y2580" t="s">
        <v>26</v>
      </c>
      <c r="Z2580" s="25" t="s">
        <v>932</v>
      </c>
      <c r="AA2580" s="25" t="s">
        <v>932</v>
      </c>
      <c r="AB2580" t="s">
        <v>26</v>
      </c>
      <c r="AC2580" s="25" t="s">
        <v>932</v>
      </c>
      <c r="AD2580" s="25" t="s">
        <v>932</v>
      </c>
      <c r="AE2580" t="s">
        <v>26</v>
      </c>
      <c r="AF2580" t="s">
        <v>26</v>
      </c>
      <c r="AG2580" t="s">
        <v>26</v>
      </c>
      <c r="AH2580" t="s">
        <v>26</v>
      </c>
      <c r="AI2580" t="s">
        <v>26</v>
      </c>
      <c r="AJ2580" t="s">
        <v>26</v>
      </c>
      <c r="AK2580" t="s">
        <v>26</v>
      </c>
      <c r="AL2580" t="s">
        <v>26</v>
      </c>
      <c r="AM2580" t="s">
        <v>26</v>
      </c>
      <c r="AN2580" t="s">
        <v>26</v>
      </c>
      <c r="AO2580" s="25" t="s">
        <v>28</v>
      </c>
      <c r="AP2580" s="23" t="s">
        <v>29</v>
      </c>
      <c r="AQ2580" s="23" t="s">
        <v>30</v>
      </c>
      <c r="AR2580" s="23" t="s">
        <v>46</v>
      </c>
      <c r="AS2580" s="25">
        <v>6009045</v>
      </c>
      <c r="AT2580" t="s">
        <v>26</v>
      </c>
      <c r="AU2580" t="s">
        <v>25591</v>
      </c>
    </row>
    <row r="2581" spans="1:47" ht="13.15" x14ac:dyDescent="0.4">
      <c r="A2581" s="23" t="s">
        <v>6694</v>
      </c>
      <c r="B2581" t="s">
        <v>26</v>
      </c>
      <c r="C2581" t="s">
        <v>26</v>
      </c>
      <c r="D2581" t="s">
        <v>26</v>
      </c>
      <c r="E2581" t="s">
        <v>26</v>
      </c>
      <c r="F2581" t="s">
        <v>26</v>
      </c>
      <c r="G2581" t="s">
        <v>26</v>
      </c>
      <c r="H2581" t="s">
        <v>26</v>
      </c>
      <c r="I2581" s="25" t="s">
        <v>6695</v>
      </c>
      <c r="J2581" s="25" t="s">
        <v>6695</v>
      </c>
      <c r="K2581" t="s">
        <v>26</v>
      </c>
      <c r="L2581" s="25" t="s">
        <v>28</v>
      </c>
      <c r="M2581" s="25" t="s">
        <v>6695</v>
      </c>
      <c r="N2581" s="25" t="s">
        <v>6695</v>
      </c>
      <c r="O2581" t="s">
        <v>26</v>
      </c>
      <c r="P2581" t="s">
        <v>26</v>
      </c>
      <c r="Q2581" t="s">
        <v>26</v>
      </c>
      <c r="R2581" t="s">
        <v>26</v>
      </c>
      <c r="S2581" t="s">
        <v>26</v>
      </c>
      <c r="T2581" t="s">
        <v>26</v>
      </c>
      <c r="U2581" t="s">
        <v>26</v>
      </c>
      <c r="V2581" t="s">
        <v>26</v>
      </c>
      <c r="W2581" s="25" t="s">
        <v>6695</v>
      </c>
      <c r="X2581" s="25" t="s">
        <v>6695</v>
      </c>
      <c r="Y2581" t="s">
        <v>26</v>
      </c>
      <c r="Z2581" s="25" t="s">
        <v>6695</v>
      </c>
      <c r="AA2581" s="25" t="s">
        <v>6695</v>
      </c>
      <c r="AB2581" t="s">
        <v>26</v>
      </c>
      <c r="AC2581" s="25" t="s">
        <v>6695</v>
      </c>
      <c r="AD2581" s="25" t="s">
        <v>6695</v>
      </c>
      <c r="AE2581" t="s">
        <v>26</v>
      </c>
      <c r="AF2581" t="s">
        <v>26</v>
      </c>
      <c r="AG2581" t="s">
        <v>26</v>
      </c>
      <c r="AH2581" t="s">
        <v>26</v>
      </c>
      <c r="AI2581" t="s">
        <v>26</v>
      </c>
      <c r="AJ2581" t="s">
        <v>26</v>
      </c>
      <c r="AK2581" t="s">
        <v>26</v>
      </c>
      <c r="AL2581" t="s">
        <v>26</v>
      </c>
      <c r="AM2581" t="s">
        <v>26</v>
      </c>
      <c r="AN2581" t="s">
        <v>26</v>
      </c>
      <c r="AO2581" s="25" t="s">
        <v>28</v>
      </c>
      <c r="AP2581" s="23" t="s">
        <v>29</v>
      </c>
      <c r="AQ2581" s="23" t="s">
        <v>30</v>
      </c>
      <c r="AR2581" s="23" t="s">
        <v>46</v>
      </c>
      <c r="AS2581" s="25">
        <v>6009046</v>
      </c>
      <c r="AT2581" t="s">
        <v>26</v>
      </c>
      <c r="AU2581" t="s">
        <v>25592</v>
      </c>
    </row>
    <row r="2582" spans="1:47" ht="26.25" x14ac:dyDescent="0.4">
      <c r="A2582" s="23" t="s">
        <v>6696</v>
      </c>
      <c r="B2582" t="s">
        <v>26</v>
      </c>
      <c r="C2582" s="23" t="s">
        <v>483</v>
      </c>
      <c r="D2582" s="23" t="s">
        <v>22174</v>
      </c>
      <c r="E2582" s="23" t="s">
        <v>60</v>
      </c>
      <c r="F2582" s="25" t="s">
        <v>6697</v>
      </c>
      <c r="G2582" s="25" t="s">
        <v>6698</v>
      </c>
      <c r="H2582" t="s">
        <v>26</v>
      </c>
      <c r="I2582" s="24">
        <v>39114</v>
      </c>
      <c r="J2582" s="25" t="s">
        <v>77</v>
      </c>
      <c r="K2582" t="s">
        <v>26</v>
      </c>
      <c r="L2582" s="25" t="s">
        <v>68</v>
      </c>
      <c r="M2582" s="24">
        <v>39114</v>
      </c>
      <c r="N2582" s="24">
        <v>42736</v>
      </c>
      <c r="O2582" t="s">
        <v>26</v>
      </c>
      <c r="P2582" s="24">
        <v>39114</v>
      </c>
      <c r="Q2582" s="25" t="s">
        <v>77</v>
      </c>
      <c r="R2582" t="s">
        <v>26</v>
      </c>
      <c r="S2582" t="s">
        <v>26</v>
      </c>
      <c r="T2582" t="s">
        <v>26</v>
      </c>
      <c r="U2582" t="s">
        <v>26</v>
      </c>
      <c r="V2582" s="25">
        <v>365</v>
      </c>
      <c r="W2582" s="24">
        <v>33604</v>
      </c>
      <c r="X2582" s="25" t="s">
        <v>77</v>
      </c>
      <c r="Y2582" s="25" t="s">
        <v>6699</v>
      </c>
      <c r="Z2582" s="24">
        <v>33604</v>
      </c>
      <c r="AA2582" s="25" t="s">
        <v>77</v>
      </c>
      <c r="AB2582" s="25" t="s">
        <v>6699</v>
      </c>
      <c r="AC2582" s="24">
        <v>36100</v>
      </c>
      <c r="AD2582" s="25" t="s">
        <v>77</v>
      </c>
      <c r="AE2582" s="25" t="s">
        <v>6699</v>
      </c>
      <c r="AF2582" t="s">
        <v>26</v>
      </c>
      <c r="AG2582" t="s">
        <v>26</v>
      </c>
      <c r="AH2582" t="s">
        <v>26</v>
      </c>
      <c r="AI2582" t="s">
        <v>26</v>
      </c>
      <c r="AJ2582" t="s">
        <v>26</v>
      </c>
      <c r="AK2582" t="s">
        <v>26</v>
      </c>
      <c r="AL2582" t="s">
        <v>26</v>
      </c>
      <c r="AM2582" t="s">
        <v>26</v>
      </c>
      <c r="AN2582" t="s">
        <v>26</v>
      </c>
      <c r="AO2582" s="25" t="s">
        <v>68</v>
      </c>
      <c r="AP2582" s="23" t="s">
        <v>69</v>
      </c>
      <c r="AQ2582" s="23" t="s">
        <v>30</v>
      </c>
      <c r="AR2582" s="23" t="s">
        <v>6700</v>
      </c>
      <c r="AS2582" s="25">
        <v>31219</v>
      </c>
      <c r="AT2582" t="s">
        <v>26</v>
      </c>
      <c r="AU2582" t="s">
        <v>25593</v>
      </c>
    </row>
    <row r="2583" spans="1:47" ht="26.25" x14ac:dyDescent="0.4">
      <c r="A2583" s="23" t="s">
        <v>6701</v>
      </c>
      <c r="B2583" t="s">
        <v>26</v>
      </c>
      <c r="C2583" s="23" t="s">
        <v>146</v>
      </c>
      <c r="D2583" s="23" t="s">
        <v>22174</v>
      </c>
      <c r="E2583" s="23" t="s">
        <v>60</v>
      </c>
      <c r="F2583" t="s">
        <v>26</v>
      </c>
      <c r="G2583" t="s">
        <v>26</v>
      </c>
      <c r="H2583" t="s">
        <v>26</v>
      </c>
      <c r="I2583" t="s">
        <v>26</v>
      </c>
      <c r="J2583" t="s">
        <v>26</v>
      </c>
      <c r="K2583" t="s">
        <v>26</v>
      </c>
      <c r="L2583" s="25" t="s">
        <v>28</v>
      </c>
      <c r="M2583" t="s">
        <v>26</v>
      </c>
      <c r="N2583" t="s">
        <v>26</v>
      </c>
      <c r="O2583" t="s">
        <v>26</v>
      </c>
      <c r="P2583" t="s">
        <v>26</v>
      </c>
      <c r="Q2583" t="s">
        <v>26</v>
      </c>
      <c r="R2583" t="s">
        <v>26</v>
      </c>
      <c r="S2583" t="s">
        <v>26</v>
      </c>
      <c r="T2583" t="s">
        <v>26</v>
      </c>
      <c r="U2583" t="s">
        <v>26</v>
      </c>
      <c r="V2583" t="s">
        <v>26</v>
      </c>
      <c r="W2583" s="24">
        <v>42005</v>
      </c>
      <c r="X2583" s="24">
        <v>42005</v>
      </c>
      <c r="Y2583" t="s">
        <v>26</v>
      </c>
      <c r="Z2583" s="24">
        <v>42005</v>
      </c>
      <c r="AA2583" s="24">
        <v>42005</v>
      </c>
      <c r="AB2583" t="s">
        <v>26</v>
      </c>
      <c r="AC2583" t="s">
        <v>26</v>
      </c>
      <c r="AD2583" t="s">
        <v>26</v>
      </c>
      <c r="AE2583" t="s">
        <v>26</v>
      </c>
      <c r="AF2583" t="s">
        <v>26</v>
      </c>
      <c r="AG2583" t="s">
        <v>26</v>
      </c>
      <c r="AH2583" t="s">
        <v>26</v>
      </c>
      <c r="AI2583" t="s">
        <v>26</v>
      </c>
      <c r="AJ2583" t="s">
        <v>26</v>
      </c>
      <c r="AK2583" t="s">
        <v>26</v>
      </c>
      <c r="AL2583" t="s">
        <v>26</v>
      </c>
      <c r="AM2583" t="s">
        <v>26</v>
      </c>
      <c r="AN2583" t="s">
        <v>26</v>
      </c>
      <c r="AO2583" s="25" t="s">
        <v>28</v>
      </c>
      <c r="AP2583" s="23" t="s">
        <v>29</v>
      </c>
      <c r="AQ2583" s="23" t="s">
        <v>30</v>
      </c>
      <c r="AR2583" s="23" t="s">
        <v>245</v>
      </c>
      <c r="AS2583" s="25">
        <v>5485104</v>
      </c>
      <c r="AT2583" s="23" t="s">
        <v>22181</v>
      </c>
      <c r="AU2583" t="s">
        <v>25594</v>
      </c>
    </row>
    <row r="2584" spans="1:47" ht="26.25" x14ac:dyDescent="0.4">
      <c r="A2584" s="23" t="s">
        <v>6702</v>
      </c>
      <c r="B2584" t="s">
        <v>26</v>
      </c>
      <c r="C2584" s="23" t="s">
        <v>80</v>
      </c>
      <c r="D2584" s="23" t="s">
        <v>22267</v>
      </c>
      <c r="E2584" s="23" t="s">
        <v>60</v>
      </c>
      <c r="F2584" s="25" t="s">
        <v>6703</v>
      </c>
      <c r="G2584" s="25" t="s">
        <v>6704</v>
      </c>
      <c r="H2584" t="s">
        <v>26</v>
      </c>
      <c r="I2584" t="s">
        <v>26</v>
      </c>
      <c r="J2584" t="s">
        <v>26</v>
      </c>
      <c r="K2584" t="s">
        <v>26</v>
      </c>
      <c r="L2584" s="25" t="s">
        <v>68</v>
      </c>
      <c r="M2584" t="s">
        <v>26</v>
      </c>
      <c r="N2584" t="s">
        <v>26</v>
      </c>
      <c r="O2584" t="s">
        <v>26</v>
      </c>
      <c r="P2584" t="s">
        <v>26</v>
      </c>
      <c r="Q2584" t="s">
        <v>26</v>
      </c>
      <c r="R2584" t="s">
        <v>26</v>
      </c>
      <c r="S2584" t="s">
        <v>26</v>
      </c>
      <c r="T2584" t="s">
        <v>26</v>
      </c>
      <c r="U2584" t="s">
        <v>26</v>
      </c>
      <c r="V2584" t="s">
        <v>26</v>
      </c>
      <c r="W2584" s="24">
        <v>40179</v>
      </c>
      <c r="X2584" s="25" t="s">
        <v>77</v>
      </c>
      <c r="Y2584" t="s">
        <v>26</v>
      </c>
      <c r="Z2584" s="24">
        <v>40179</v>
      </c>
      <c r="AA2584" s="25" t="s">
        <v>77</v>
      </c>
      <c r="AB2584" t="s">
        <v>26</v>
      </c>
      <c r="AC2584" s="24">
        <v>40179</v>
      </c>
      <c r="AD2584" s="25" t="s">
        <v>77</v>
      </c>
      <c r="AE2584" t="s">
        <v>26</v>
      </c>
      <c r="AF2584" t="s">
        <v>26</v>
      </c>
      <c r="AG2584" t="s">
        <v>26</v>
      </c>
      <c r="AH2584" t="s">
        <v>26</v>
      </c>
      <c r="AI2584" t="s">
        <v>26</v>
      </c>
      <c r="AJ2584" t="s">
        <v>26</v>
      </c>
      <c r="AK2584" t="s">
        <v>26</v>
      </c>
      <c r="AL2584" t="s">
        <v>26</v>
      </c>
      <c r="AM2584" t="s">
        <v>26</v>
      </c>
      <c r="AN2584" t="s">
        <v>26</v>
      </c>
      <c r="AO2584" s="25" t="s">
        <v>68</v>
      </c>
      <c r="AP2584" s="23" t="s">
        <v>69</v>
      </c>
      <c r="AQ2584" s="23" t="s">
        <v>30</v>
      </c>
      <c r="AR2584" s="23" t="s">
        <v>46</v>
      </c>
      <c r="AS2584" s="25">
        <v>216171</v>
      </c>
      <c r="AT2584" t="s">
        <v>26</v>
      </c>
      <c r="AU2584" t="s">
        <v>25595</v>
      </c>
    </row>
    <row r="2585" spans="1:47" ht="13.15" x14ac:dyDescent="0.4">
      <c r="A2585" s="23" t="s">
        <v>6705</v>
      </c>
      <c r="B2585" t="s">
        <v>26</v>
      </c>
      <c r="C2585" s="23" t="s">
        <v>146</v>
      </c>
      <c r="D2585" s="23" t="s">
        <v>22174</v>
      </c>
      <c r="E2585" s="23" t="s">
        <v>60</v>
      </c>
      <c r="F2585" t="s">
        <v>26</v>
      </c>
      <c r="G2585" t="s">
        <v>26</v>
      </c>
      <c r="H2585" t="s">
        <v>26</v>
      </c>
      <c r="I2585" t="s">
        <v>26</v>
      </c>
      <c r="J2585" t="s">
        <v>26</v>
      </c>
      <c r="K2585" t="s">
        <v>26</v>
      </c>
      <c r="L2585" s="25" t="s">
        <v>28</v>
      </c>
      <c r="M2585" t="s">
        <v>26</v>
      </c>
      <c r="N2585" t="s">
        <v>26</v>
      </c>
      <c r="O2585" t="s">
        <v>26</v>
      </c>
      <c r="P2585" t="s">
        <v>26</v>
      </c>
      <c r="Q2585" t="s">
        <v>26</v>
      </c>
      <c r="R2585" t="s">
        <v>26</v>
      </c>
      <c r="S2585" t="s">
        <v>26</v>
      </c>
      <c r="T2585" t="s">
        <v>26</v>
      </c>
      <c r="U2585" t="s">
        <v>26</v>
      </c>
      <c r="V2585" t="s">
        <v>26</v>
      </c>
      <c r="W2585" s="24">
        <v>41640</v>
      </c>
      <c r="X2585" s="24">
        <v>41640</v>
      </c>
      <c r="Y2585" t="s">
        <v>26</v>
      </c>
      <c r="Z2585" s="24">
        <v>41640</v>
      </c>
      <c r="AA2585" s="24">
        <v>41640</v>
      </c>
      <c r="AB2585" t="s">
        <v>26</v>
      </c>
      <c r="AC2585" t="s">
        <v>26</v>
      </c>
      <c r="AD2585" t="s">
        <v>26</v>
      </c>
      <c r="AE2585" t="s">
        <v>26</v>
      </c>
      <c r="AF2585" t="s">
        <v>26</v>
      </c>
      <c r="AG2585" t="s">
        <v>26</v>
      </c>
      <c r="AH2585" t="s">
        <v>26</v>
      </c>
      <c r="AI2585" t="s">
        <v>26</v>
      </c>
      <c r="AJ2585" t="s">
        <v>26</v>
      </c>
      <c r="AK2585" t="s">
        <v>26</v>
      </c>
      <c r="AL2585" t="s">
        <v>26</v>
      </c>
      <c r="AM2585" t="s">
        <v>26</v>
      </c>
      <c r="AN2585" t="s">
        <v>26</v>
      </c>
      <c r="AO2585" s="25" t="s">
        <v>28</v>
      </c>
      <c r="AP2585" s="23" t="s">
        <v>29</v>
      </c>
      <c r="AQ2585" s="23" t="s">
        <v>30</v>
      </c>
      <c r="AR2585" s="23" t="s">
        <v>44</v>
      </c>
      <c r="AS2585" s="25">
        <v>5485112</v>
      </c>
      <c r="AT2585" s="23" t="s">
        <v>22181</v>
      </c>
      <c r="AU2585" t="s">
        <v>25596</v>
      </c>
    </row>
    <row r="2586" spans="1:47" ht="13.15" x14ac:dyDescent="0.4">
      <c r="A2586" s="23" t="s">
        <v>25597</v>
      </c>
      <c r="B2586" t="s">
        <v>26</v>
      </c>
      <c r="C2586" s="23" t="s">
        <v>23068</v>
      </c>
      <c r="D2586" s="23" t="s">
        <v>22312</v>
      </c>
      <c r="E2586" s="23" t="s">
        <v>42</v>
      </c>
      <c r="F2586" t="s">
        <v>26</v>
      </c>
      <c r="G2586" t="s">
        <v>26</v>
      </c>
      <c r="H2586" t="s">
        <v>26</v>
      </c>
      <c r="I2586" s="24">
        <v>37622</v>
      </c>
      <c r="J2586" s="24">
        <v>37622</v>
      </c>
      <c r="K2586" t="s">
        <v>26</v>
      </c>
      <c r="L2586" s="25" t="s">
        <v>28</v>
      </c>
      <c r="M2586" t="s">
        <v>26</v>
      </c>
      <c r="N2586" t="s">
        <v>26</v>
      </c>
      <c r="O2586" t="s">
        <v>26</v>
      </c>
      <c r="P2586" s="24">
        <v>37622</v>
      </c>
      <c r="Q2586" s="24">
        <v>37622</v>
      </c>
      <c r="R2586" t="s">
        <v>26</v>
      </c>
      <c r="S2586" t="s">
        <v>26</v>
      </c>
      <c r="T2586" t="s">
        <v>26</v>
      </c>
      <c r="U2586" t="s">
        <v>26</v>
      </c>
      <c r="V2586" t="s">
        <v>26</v>
      </c>
      <c r="W2586" s="24">
        <v>37622</v>
      </c>
      <c r="X2586" s="24">
        <v>37622</v>
      </c>
      <c r="Y2586" t="s">
        <v>26</v>
      </c>
      <c r="Z2586" s="24">
        <v>37622</v>
      </c>
      <c r="AA2586" s="24">
        <v>37622</v>
      </c>
      <c r="AB2586" t="s">
        <v>26</v>
      </c>
      <c r="AC2586" t="s">
        <v>26</v>
      </c>
      <c r="AD2586" t="s">
        <v>26</v>
      </c>
      <c r="AE2586" t="s">
        <v>26</v>
      </c>
      <c r="AF2586" t="s">
        <v>26</v>
      </c>
      <c r="AG2586" t="s">
        <v>26</v>
      </c>
      <c r="AH2586" t="s">
        <v>26</v>
      </c>
      <c r="AI2586" t="s">
        <v>26</v>
      </c>
      <c r="AJ2586" t="s">
        <v>26</v>
      </c>
      <c r="AK2586" t="s">
        <v>26</v>
      </c>
      <c r="AL2586" t="s">
        <v>26</v>
      </c>
      <c r="AM2586" t="s">
        <v>26</v>
      </c>
      <c r="AN2586" t="s">
        <v>26</v>
      </c>
      <c r="AO2586" s="25" t="s">
        <v>28</v>
      </c>
      <c r="AP2586" s="23" t="s">
        <v>279</v>
      </c>
      <c r="AQ2586" s="23" t="s">
        <v>30</v>
      </c>
      <c r="AR2586" s="23" t="s">
        <v>385</v>
      </c>
      <c r="AS2586" s="25">
        <v>6600373</v>
      </c>
      <c r="AT2586" t="s">
        <v>26</v>
      </c>
      <c r="AU2586" t="s">
        <v>25598</v>
      </c>
    </row>
    <row r="2587" spans="1:47" ht="13.15" x14ac:dyDescent="0.4">
      <c r="A2587" s="23" t="s">
        <v>25599</v>
      </c>
      <c r="B2587" t="s">
        <v>26</v>
      </c>
      <c r="C2587" s="23" t="s">
        <v>23068</v>
      </c>
      <c r="D2587" s="23" t="s">
        <v>22312</v>
      </c>
      <c r="E2587" s="23" t="s">
        <v>42</v>
      </c>
      <c r="F2587" t="s">
        <v>26</v>
      </c>
      <c r="G2587" t="s">
        <v>26</v>
      </c>
      <c r="H2587" t="s">
        <v>26</v>
      </c>
      <c r="I2587" s="24">
        <v>44197</v>
      </c>
      <c r="J2587" s="25" t="s">
        <v>77</v>
      </c>
      <c r="K2587" t="s">
        <v>26</v>
      </c>
      <c r="L2587" s="25" t="s">
        <v>28</v>
      </c>
      <c r="M2587" t="s">
        <v>26</v>
      </c>
      <c r="N2587" t="s">
        <v>26</v>
      </c>
      <c r="O2587" t="s">
        <v>26</v>
      </c>
      <c r="P2587" s="24">
        <v>44197</v>
      </c>
      <c r="Q2587" s="25" t="s">
        <v>77</v>
      </c>
      <c r="R2587" t="s">
        <v>26</v>
      </c>
      <c r="S2587" t="s">
        <v>26</v>
      </c>
      <c r="T2587" t="s">
        <v>26</v>
      </c>
      <c r="U2587" t="s">
        <v>26</v>
      </c>
      <c r="V2587" t="s">
        <v>26</v>
      </c>
      <c r="W2587" s="24">
        <v>44197</v>
      </c>
      <c r="X2587" s="25" t="s">
        <v>77</v>
      </c>
      <c r="Y2587" t="s">
        <v>26</v>
      </c>
      <c r="Z2587" s="24">
        <v>44197</v>
      </c>
      <c r="AA2587" s="25" t="s">
        <v>77</v>
      </c>
      <c r="AB2587" t="s">
        <v>26</v>
      </c>
      <c r="AC2587" t="s">
        <v>26</v>
      </c>
      <c r="AD2587" t="s">
        <v>26</v>
      </c>
      <c r="AE2587" t="s">
        <v>26</v>
      </c>
      <c r="AF2587" t="s">
        <v>26</v>
      </c>
      <c r="AG2587" t="s">
        <v>26</v>
      </c>
      <c r="AH2587" t="s">
        <v>26</v>
      </c>
      <c r="AI2587" t="s">
        <v>26</v>
      </c>
      <c r="AJ2587" t="s">
        <v>26</v>
      </c>
      <c r="AK2587" t="s">
        <v>26</v>
      </c>
      <c r="AL2587" t="s">
        <v>26</v>
      </c>
      <c r="AM2587" t="s">
        <v>26</v>
      </c>
      <c r="AN2587" t="s">
        <v>26</v>
      </c>
      <c r="AO2587" s="25" t="s">
        <v>28</v>
      </c>
      <c r="AP2587" s="23" t="s">
        <v>279</v>
      </c>
      <c r="AQ2587" s="23" t="s">
        <v>30</v>
      </c>
      <c r="AR2587" s="23" t="s">
        <v>385</v>
      </c>
      <c r="AS2587" s="25">
        <v>6601422</v>
      </c>
      <c r="AT2587" t="s">
        <v>26</v>
      </c>
      <c r="AU2587" t="s">
        <v>25600</v>
      </c>
    </row>
    <row r="2588" spans="1:47" ht="13.15" x14ac:dyDescent="0.4">
      <c r="A2588" s="23" t="s">
        <v>25601</v>
      </c>
      <c r="B2588" t="s">
        <v>26</v>
      </c>
      <c r="C2588" s="23" t="s">
        <v>23068</v>
      </c>
      <c r="D2588" s="23" t="s">
        <v>22312</v>
      </c>
      <c r="E2588" s="23" t="s">
        <v>42</v>
      </c>
      <c r="F2588" t="s">
        <v>26</v>
      </c>
      <c r="G2588" t="s">
        <v>26</v>
      </c>
      <c r="H2588" t="s">
        <v>26</v>
      </c>
      <c r="I2588" s="24">
        <v>40544</v>
      </c>
      <c r="J2588" s="24">
        <v>40544</v>
      </c>
      <c r="K2588" t="s">
        <v>26</v>
      </c>
      <c r="L2588" s="25" t="s">
        <v>28</v>
      </c>
      <c r="M2588" t="s">
        <v>26</v>
      </c>
      <c r="N2588" t="s">
        <v>26</v>
      </c>
      <c r="O2588" t="s">
        <v>26</v>
      </c>
      <c r="P2588" s="24">
        <v>40544</v>
      </c>
      <c r="Q2588" s="24">
        <v>40544</v>
      </c>
      <c r="R2588" t="s">
        <v>26</v>
      </c>
      <c r="S2588" t="s">
        <v>26</v>
      </c>
      <c r="T2588" t="s">
        <v>26</v>
      </c>
      <c r="U2588" t="s">
        <v>26</v>
      </c>
      <c r="V2588" t="s">
        <v>26</v>
      </c>
      <c r="W2588" s="24">
        <v>40544</v>
      </c>
      <c r="X2588" s="24">
        <v>40544</v>
      </c>
      <c r="Y2588" t="s">
        <v>26</v>
      </c>
      <c r="Z2588" s="24">
        <v>40544</v>
      </c>
      <c r="AA2588" s="24">
        <v>40544</v>
      </c>
      <c r="AB2588" t="s">
        <v>26</v>
      </c>
      <c r="AC2588" t="s">
        <v>26</v>
      </c>
      <c r="AD2588" t="s">
        <v>26</v>
      </c>
      <c r="AE2588" t="s">
        <v>26</v>
      </c>
      <c r="AF2588" t="s">
        <v>26</v>
      </c>
      <c r="AG2588" t="s">
        <v>26</v>
      </c>
      <c r="AH2588" t="s">
        <v>26</v>
      </c>
      <c r="AI2588" t="s">
        <v>26</v>
      </c>
      <c r="AJ2588" t="s">
        <v>26</v>
      </c>
      <c r="AK2588" t="s">
        <v>26</v>
      </c>
      <c r="AL2588" t="s">
        <v>26</v>
      </c>
      <c r="AM2588" t="s">
        <v>26</v>
      </c>
      <c r="AN2588" t="s">
        <v>26</v>
      </c>
      <c r="AO2588" s="25" t="s">
        <v>28</v>
      </c>
      <c r="AP2588" s="23" t="s">
        <v>279</v>
      </c>
      <c r="AQ2588" s="23" t="s">
        <v>30</v>
      </c>
      <c r="AR2588" s="23" t="s">
        <v>385</v>
      </c>
      <c r="AS2588" s="25">
        <v>6600371</v>
      </c>
      <c r="AT2588" t="s">
        <v>26</v>
      </c>
      <c r="AU2588" t="s">
        <v>25602</v>
      </c>
    </row>
    <row r="2589" spans="1:47" ht="26.25" x14ac:dyDescent="0.4">
      <c r="A2589" s="23" t="s">
        <v>6706</v>
      </c>
      <c r="B2589" t="s">
        <v>26</v>
      </c>
      <c r="C2589" s="23" t="s">
        <v>80</v>
      </c>
      <c r="D2589" s="23" t="s">
        <v>22184</v>
      </c>
      <c r="E2589" s="23" t="s">
        <v>60</v>
      </c>
      <c r="F2589" s="25" t="s">
        <v>6707</v>
      </c>
      <c r="G2589" s="25" t="s">
        <v>6708</v>
      </c>
      <c r="H2589" t="s">
        <v>26</v>
      </c>
      <c r="I2589" t="s">
        <v>26</v>
      </c>
      <c r="J2589" t="s">
        <v>26</v>
      </c>
      <c r="K2589" t="s">
        <v>26</v>
      </c>
      <c r="L2589" s="25" t="s">
        <v>68</v>
      </c>
      <c r="M2589" t="s">
        <v>26</v>
      </c>
      <c r="N2589" t="s">
        <v>26</v>
      </c>
      <c r="O2589" t="s">
        <v>26</v>
      </c>
      <c r="P2589" t="s">
        <v>26</v>
      </c>
      <c r="Q2589" t="s">
        <v>26</v>
      </c>
      <c r="R2589" t="s">
        <v>26</v>
      </c>
      <c r="S2589" t="s">
        <v>26</v>
      </c>
      <c r="T2589" t="s">
        <v>26</v>
      </c>
      <c r="U2589" t="s">
        <v>26</v>
      </c>
      <c r="V2589" t="s">
        <v>26</v>
      </c>
      <c r="W2589" s="24">
        <v>40179</v>
      </c>
      <c r="X2589" s="25" t="s">
        <v>77</v>
      </c>
      <c r="Y2589" t="s">
        <v>26</v>
      </c>
      <c r="Z2589" s="24">
        <v>40179</v>
      </c>
      <c r="AA2589" s="25" t="s">
        <v>77</v>
      </c>
      <c r="AB2589" t="s">
        <v>26</v>
      </c>
      <c r="AC2589" s="24">
        <v>40179</v>
      </c>
      <c r="AD2589" s="25" t="s">
        <v>77</v>
      </c>
      <c r="AE2589" t="s">
        <v>26</v>
      </c>
      <c r="AF2589" t="s">
        <v>26</v>
      </c>
      <c r="AG2589" t="s">
        <v>26</v>
      </c>
      <c r="AH2589" t="s">
        <v>26</v>
      </c>
      <c r="AI2589" t="s">
        <v>26</v>
      </c>
      <c r="AJ2589" t="s">
        <v>26</v>
      </c>
      <c r="AK2589" t="s">
        <v>26</v>
      </c>
      <c r="AL2589" t="s">
        <v>26</v>
      </c>
      <c r="AM2589" t="s">
        <v>26</v>
      </c>
      <c r="AN2589" t="s">
        <v>26</v>
      </c>
      <c r="AO2589" s="25" t="s">
        <v>68</v>
      </c>
      <c r="AP2589" s="23" t="s">
        <v>69</v>
      </c>
      <c r="AQ2589" s="23" t="s">
        <v>30</v>
      </c>
      <c r="AR2589" s="23" t="s">
        <v>6709</v>
      </c>
      <c r="AS2589" s="25">
        <v>216169</v>
      </c>
      <c r="AT2589" t="s">
        <v>26</v>
      </c>
      <c r="AU2589" t="s">
        <v>25603</v>
      </c>
    </row>
    <row r="2590" spans="1:47" ht="26.25" x14ac:dyDescent="0.4">
      <c r="A2590" s="23" t="s">
        <v>6710</v>
      </c>
      <c r="B2590" t="s">
        <v>26</v>
      </c>
      <c r="C2590" s="23" t="s">
        <v>73</v>
      </c>
      <c r="D2590" s="23" t="s">
        <v>22179</v>
      </c>
      <c r="E2590" s="23" t="s">
        <v>74</v>
      </c>
      <c r="F2590" s="25" t="s">
        <v>6711</v>
      </c>
      <c r="G2590" s="25" t="s">
        <v>6712</v>
      </c>
      <c r="H2590" t="s">
        <v>26</v>
      </c>
      <c r="I2590" s="24">
        <v>34912</v>
      </c>
      <c r="J2590" s="25" t="s">
        <v>77</v>
      </c>
      <c r="K2590" t="s">
        <v>26</v>
      </c>
      <c r="L2590" s="25" t="s">
        <v>68</v>
      </c>
      <c r="M2590" s="24">
        <v>35217</v>
      </c>
      <c r="N2590" s="24">
        <v>42826</v>
      </c>
      <c r="O2590" t="s">
        <v>26</v>
      </c>
      <c r="P2590" s="24">
        <v>34912</v>
      </c>
      <c r="Q2590" s="25" t="s">
        <v>77</v>
      </c>
      <c r="R2590" t="s">
        <v>26</v>
      </c>
      <c r="S2590" t="s">
        <v>26</v>
      </c>
      <c r="T2590" t="s">
        <v>26</v>
      </c>
      <c r="U2590" t="s">
        <v>26</v>
      </c>
      <c r="V2590" s="25">
        <v>365</v>
      </c>
      <c r="W2590" s="24">
        <v>32509</v>
      </c>
      <c r="X2590" s="25" t="s">
        <v>77</v>
      </c>
      <c r="Y2590" t="s">
        <v>26</v>
      </c>
      <c r="Z2590" s="24">
        <v>32509</v>
      </c>
      <c r="AA2590" s="25" t="s">
        <v>77</v>
      </c>
      <c r="AB2590" t="s">
        <v>26</v>
      </c>
      <c r="AC2590" s="24">
        <v>32509</v>
      </c>
      <c r="AD2590" s="25" t="s">
        <v>77</v>
      </c>
      <c r="AE2590" t="s">
        <v>26</v>
      </c>
      <c r="AF2590" t="s">
        <v>26</v>
      </c>
      <c r="AG2590" t="s">
        <v>26</v>
      </c>
      <c r="AH2590" t="s">
        <v>26</v>
      </c>
      <c r="AI2590" t="s">
        <v>26</v>
      </c>
      <c r="AJ2590" t="s">
        <v>26</v>
      </c>
      <c r="AK2590" t="s">
        <v>26</v>
      </c>
      <c r="AL2590" t="s">
        <v>26</v>
      </c>
      <c r="AM2590" t="s">
        <v>26</v>
      </c>
      <c r="AN2590" t="s">
        <v>26</v>
      </c>
      <c r="AO2590" s="25" t="s">
        <v>68</v>
      </c>
      <c r="AP2590" s="23" t="s">
        <v>69</v>
      </c>
      <c r="AQ2590" s="23" t="s">
        <v>30</v>
      </c>
      <c r="AR2590" s="23" t="s">
        <v>257</v>
      </c>
      <c r="AS2590" s="25">
        <v>48257</v>
      </c>
      <c r="AT2590" t="s">
        <v>26</v>
      </c>
      <c r="AU2590" t="s">
        <v>25604</v>
      </c>
    </row>
    <row r="2591" spans="1:47" ht="26.25" x14ac:dyDescent="0.4">
      <c r="A2591" s="23" t="s">
        <v>6713</v>
      </c>
      <c r="B2591" t="s">
        <v>26</v>
      </c>
      <c r="C2591" s="23" t="s">
        <v>107</v>
      </c>
      <c r="D2591" s="23" t="s">
        <v>22194</v>
      </c>
      <c r="E2591" s="23" t="s">
        <v>42</v>
      </c>
      <c r="F2591" s="25" t="s">
        <v>6714</v>
      </c>
      <c r="G2591" s="25" t="s">
        <v>6715</v>
      </c>
      <c r="H2591" t="s">
        <v>26</v>
      </c>
      <c r="I2591" t="s">
        <v>26</v>
      </c>
      <c r="J2591" t="s">
        <v>26</v>
      </c>
      <c r="K2591" t="s">
        <v>26</v>
      </c>
      <c r="L2591" s="25" t="s">
        <v>68</v>
      </c>
      <c r="M2591" t="s">
        <v>26</v>
      </c>
      <c r="N2591" t="s">
        <v>26</v>
      </c>
      <c r="O2591" t="s">
        <v>26</v>
      </c>
      <c r="P2591" t="s">
        <v>26</v>
      </c>
      <c r="Q2591" t="s">
        <v>26</v>
      </c>
      <c r="R2591" t="s">
        <v>26</v>
      </c>
      <c r="S2591" t="s">
        <v>26</v>
      </c>
      <c r="T2591" t="s">
        <v>26</v>
      </c>
      <c r="U2591" t="s">
        <v>26</v>
      </c>
      <c r="V2591" t="s">
        <v>26</v>
      </c>
      <c r="W2591" s="24">
        <v>39142</v>
      </c>
      <c r="X2591" s="25" t="s">
        <v>77</v>
      </c>
      <c r="Y2591" s="25" t="s">
        <v>1328</v>
      </c>
      <c r="Z2591" s="24">
        <v>39142</v>
      </c>
      <c r="AA2591" s="25" t="s">
        <v>77</v>
      </c>
      <c r="AB2591" s="25" t="s">
        <v>1328</v>
      </c>
      <c r="AC2591" s="24">
        <v>39142</v>
      </c>
      <c r="AD2591" s="25" t="s">
        <v>77</v>
      </c>
      <c r="AE2591" s="25" t="s">
        <v>1328</v>
      </c>
      <c r="AF2591" t="s">
        <v>26</v>
      </c>
      <c r="AG2591" t="s">
        <v>26</v>
      </c>
      <c r="AH2591" t="s">
        <v>26</v>
      </c>
      <c r="AI2591" t="s">
        <v>26</v>
      </c>
      <c r="AJ2591" t="s">
        <v>26</v>
      </c>
      <c r="AK2591" t="s">
        <v>26</v>
      </c>
      <c r="AL2591" t="s">
        <v>26</v>
      </c>
      <c r="AM2591" t="s">
        <v>26</v>
      </c>
      <c r="AN2591" t="s">
        <v>26</v>
      </c>
      <c r="AO2591" s="25" t="s">
        <v>68</v>
      </c>
      <c r="AP2591" s="23" t="s">
        <v>69</v>
      </c>
      <c r="AQ2591" s="23" t="s">
        <v>30</v>
      </c>
      <c r="AR2591" s="23" t="s">
        <v>6716</v>
      </c>
      <c r="AS2591" s="25">
        <v>186142</v>
      </c>
      <c r="AT2591" t="s">
        <v>26</v>
      </c>
      <c r="AU2591" t="s">
        <v>25605</v>
      </c>
    </row>
    <row r="2592" spans="1:47" ht="39.4" x14ac:dyDescent="0.4">
      <c r="A2592" s="23" t="s">
        <v>6717</v>
      </c>
      <c r="B2592" t="s">
        <v>26</v>
      </c>
      <c r="C2592" s="23" t="s">
        <v>6718</v>
      </c>
      <c r="D2592" s="23" t="s">
        <v>25606</v>
      </c>
      <c r="E2592" s="23" t="s">
        <v>822</v>
      </c>
      <c r="F2592" s="25" t="s">
        <v>6719</v>
      </c>
      <c r="G2592" t="s">
        <v>26</v>
      </c>
      <c r="H2592" t="s">
        <v>26</v>
      </c>
      <c r="I2592" s="24">
        <v>40210</v>
      </c>
      <c r="J2592" s="24">
        <v>42522</v>
      </c>
      <c r="K2592" t="s">
        <v>26</v>
      </c>
      <c r="L2592" s="25" t="s">
        <v>68</v>
      </c>
      <c r="M2592" s="24">
        <v>40210</v>
      </c>
      <c r="N2592" s="24">
        <v>42522</v>
      </c>
      <c r="O2592" t="s">
        <v>26</v>
      </c>
      <c r="P2592" s="24">
        <v>40210</v>
      </c>
      <c r="Q2592" s="24">
        <v>42522</v>
      </c>
      <c r="R2592" t="s">
        <v>26</v>
      </c>
      <c r="S2592" t="s">
        <v>26</v>
      </c>
      <c r="T2592" t="s">
        <v>26</v>
      </c>
      <c r="U2592" t="s">
        <v>26</v>
      </c>
      <c r="V2592" t="s">
        <v>26</v>
      </c>
      <c r="W2592" s="24">
        <v>40210</v>
      </c>
      <c r="X2592" s="24">
        <v>42522</v>
      </c>
      <c r="Y2592" t="s">
        <v>26</v>
      </c>
      <c r="Z2592" s="24">
        <v>40210</v>
      </c>
      <c r="AA2592" s="24">
        <v>42522</v>
      </c>
      <c r="AB2592" t="s">
        <v>26</v>
      </c>
      <c r="AC2592" s="24">
        <v>40210</v>
      </c>
      <c r="AD2592" s="24">
        <v>42522</v>
      </c>
      <c r="AE2592" t="s">
        <v>26</v>
      </c>
      <c r="AF2592" t="s">
        <v>26</v>
      </c>
      <c r="AG2592" t="s">
        <v>26</v>
      </c>
      <c r="AH2592" t="s">
        <v>26</v>
      </c>
      <c r="AI2592" t="s">
        <v>26</v>
      </c>
      <c r="AJ2592" t="s">
        <v>26</v>
      </c>
      <c r="AK2592" t="s">
        <v>26</v>
      </c>
      <c r="AL2592" t="s">
        <v>26</v>
      </c>
      <c r="AM2592" t="s">
        <v>26</v>
      </c>
      <c r="AN2592" t="s">
        <v>26</v>
      </c>
      <c r="AO2592" s="25" t="s">
        <v>68</v>
      </c>
      <c r="AP2592" s="23" t="s">
        <v>69</v>
      </c>
      <c r="AQ2592" s="23" t="s">
        <v>30</v>
      </c>
      <c r="AR2592" s="23" t="s">
        <v>5114</v>
      </c>
      <c r="AS2592" s="25">
        <v>466418</v>
      </c>
      <c r="AT2592" t="s">
        <v>26</v>
      </c>
      <c r="AU2592" t="s">
        <v>25607</v>
      </c>
    </row>
    <row r="2593" spans="1:47" ht="26.25" x14ac:dyDescent="0.4">
      <c r="A2593" s="23" t="s">
        <v>6720</v>
      </c>
      <c r="B2593" t="s">
        <v>26</v>
      </c>
      <c r="C2593" s="23" t="s">
        <v>1958</v>
      </c>
      <c r="D2593" s="23" t="s">
        <v>22190</v>
      </c>
      <c r="E2593" s="23" t="s">
        <v>60</v>
      </c>
      <c r="F2593" s="25" t="s">
        <v>6721</v>
      </c>
      <c r="G2593" s="25" t="s">
        <v>6722</v>
      </c>
      <c r="H2593" t="s">
        <v>26</v>
      </c>
      <c r="I2593" t="s">
        <v>26</v>
      </c>
      <c r="J2593" t="s">
        <v>26</v>
      </c>
      <c r="K2593" t="s">
        <v>26</v>
      </c>
      <c r="L2593" s="25" t="s">
        <v>68</v>
      </c>
      <c r="M2593" t="s">
        <v>26</v>
      </c>
      <c r="N2593" t="s">
        <v>26</v>
      </c>
      <c r="O2593" t="s">
        <v>26</v>
      </c>
      <c r="P2593" t="s">
        <v>26</v>
      </c>
      <c r="Q2593" t="s">
        <v>26</v>
      </c>
      <c r="R2593" t="s">
        <v>26</v>
      </c>
      <c r="S2593" t="s">
        <v>26</v>
      </c>
      <c r="T2593" t="s">
        <v>26</v>
      </c>
      <c r="U2593" t="s">
        <v>26</v>
      </c>
      <c r="V2593" t="s">
        <v>26</v>
      </c>
      <c r="W2593" s="24">
        <v>40179</v>
      </c>
      <c r="X2593" s="24">
        <v>44013</v>
      </c>
      <c r="Y2593" t="s">
        <v>26</v>
      </c>
      <c r="Z2593" s="24">
        <v>40179</v>
      </c>
      <c r="AA2593" s="24">
        <v>44013</v>
      </c>
      <c r="AB2593" t="s">
        <v>26</v>
      </c>
      <c r="AC2593" s="24">
        <v>40179</v>
      </c>
      <c r="AD2593" s="24">
        <v>44013</v>
      </c>
      <c r="AE2593" t="s">
        <v>26</v>
      </c>
      <c r="AF2593" t="s">
        <v>26</v>
      </c>
      <c r="AG2593" t="s">
        <v>26</v>
      </c>
      <c r="AH2593" t="s">
        <v>26</v>
      </c>
      <c r="AI2593" t="s">
        <v>26</v>
      </c>
      <c r="AJ2593" t="s">
        <v>26</v>
      </c>
      <c r="AK2593" t="s">
        <v>26</v>
      </c>
      <c r="AL2593" t="s">
        <v>26</v>
      </c>
      <c r="AM2593" t="s">
        <v>26</v>
      </c>
      <c r="AN2593" t="s">
        <v>26</v>
      </c>
      <c r="AO2593" s="25" t="s">
        <v>68</v>
      </c>
      <c r="AP2593" s="23" t="s">
        <v>69</v>
      </c>
      <c r="AQ2593" s="23" t="s">
        <v>30</v>
      </c>
      <c r="AR2593" s="23" t="s">
        <v>46</v>
      </c>
      <c r="AS2593" s="25">
        <v>53032</v>
      </c>
      <c r="AT2593" t="s">
        <v>26</v>
      </c>
      <c r="AU2593" t="s">
        <v>25608</v>
      </c>
    </row>
    <row r="2594" spans="1:47" ht="26.25" x14ac:dyDescent="0.4">
      <c r="A2594" s="23" t="s">
        <v>6723</v>
      </c>
      <c r="B2594" t="s">
        <v>26</v>
      </c>
      <c r="C2594" s="23" t="s">
        <v>80</v>
      </c>
      <c r="D2594" s="23" t="s">
        <v>22364</v>
      </c>
      <c r="E2594" s="23" t="s">
        <v>60</v>
      </c>
      <c r="F2594" s="25" t="s">
        <v>6724</v>
      </c>
      <c r="G2594" s="25" t="s">
        <v>6725</v>
      </c>
      <c r="H2594" t="s">
        <v>26</v>
      </c>
      <c r="I2594" s="24">
        <v>35916</v>
      </c>
      <c r="J2594" s="24">
        <v>36831</v>
      </c>
      <c r="K2594" t="s">
        <v>26</v>
      </c>
      <c r="L2594" s="25" t="s">
        <v>68</v>
      </c>
      <c r="M2594" s="24">
        <v>35916</v>
      </c>
      <c r="N2594" s="24">
        <v>36831</v>
      </c>
      <c r="O2594" t="s">
        <v>26</v>
      </c>
      <c r="P2594" s="24">
        <v>35916</v>
      </c>
      <c r="Q2594" s="24">
        <v>36831</v>
      </c>
      <c r="R2594" t="s">
        <v>26</v>
      </c>
      <c r="S2594" t="s">
        <v>26</v>
      </c>
      <c r="T2594" t="s">
        <v>26</v>
      </c>
      <c r="U2594" t="s">
        <v>26</v>
      </c>
      <c r="V2594" t="s">
        <v>26</v>
      </c>
      <c r="W2594" s="24">
        <v>35916</v>
      </c>
      <c r="X2594" s="24">
        <v>43862</v>
      </c>
      <c r="Y2594" s="25" t="s">
        <v>6726</v>
      </c>
      <c r="Z2594" s="24">
        <v>35916</v>
      </c>
      <c r="AA2594" s="24">
        <v>43862</v>
      </c>
      <c r="AB2594" s="25" t="s">
        <v>6726</v>
      </c>
      <c r="AC2594" s="24">
        <v>40575</v>
      </c>
      <c r="AD2594" s="24">
        <v>43862</v>
      </c>
      <c r="AE2594" t="s">
        <v>26</v>
      </c>
      <c r="AF2594" t="s">
        <v>26</v>
      </c>
      <c r="AG2594" t="s">
        <v>26</v>
      </c>
      <c r="AH2594" t="s">
        <v>26</v>
      </c>
      <c r="AI2594" t="s">
        <v>26</v>
      </c>
      <c r="AJ2594" t="s">
        <v>26</v>
      </c>
      <c r="AK2594" t="s">
        <v>26</v>
      </c>
      <c r="AL2594" t="s">
        <v>26</v>
      </c>
      <c r="AM2594" t="s">
        <v>26</v>
      </c>
      <c r="AN2594" t="s">
        <v>26</v>
      </c>
      <c r="AO2594" s="25" t="s">
        <v>68</v>
      </c>
      <c r="AP2594" s="23" t="s">
        <v>69</v>
      </c>
      <c r="AQ2594" s="23" t="s">
        <v>30</v>
      </c>
      <c r="AR2594" s="23" t="s">
        <v>44</v>
      </c>
      <c r="AS2594" s="25">
        <v>46609</v>
      </c>
      <c r="AT2594" t="s">
        <v>26</v>
      </c>
      <c r="AU2594" t="s">
        <v>25609</v>
      </c>
    </row>
    <row r="2595" spans="1:47" ht="26.25" x14ac:dyDescent="0.4">
      <c r="A2595" s="23" t="s">
        <v>6723</v>
      </c>
      <c r="B2595" t="s">
        <v>26</v>
      </c>
      <c r="C2595" s="23" t="s">
        <v>80</v>
      </c>
      <c r="D2595" s="23" t="s">
        <v>22364</v>
      </c>
      <c r="E2595" s="23" t="s">
        <v>60</v>
      </c>
      <c r="F2595" s="25" t="s">
        <v>6724</v>
      </c>
      <c r="G2595" s="25" t="s">
        <v>6725</v>
      </c>
      <c r="H2595" t="s">
        <v>26</v>
      </c>
      <c r="I2595" t="s">
        <v>26</v>
      </c>
      <c r="J2595" t="s">
        <v>26</v>
      </c>
      <c r="K2595" t="s">
        <v>26</v>
      </c>
      <c r="L2595" s="25" t="s">
        <v>68</v>
      </c>
      <c r="M2595" t="s">
        <v>26</v>
      </c>
      <c r="N2595" t="s">
        <v>26</v>
      </c>
      <c r="O2595" t="s">
        <v>26</v>
      </c>
      <c r="P2595" t="s">
        <v>26</v>
      </c>
      <c r="Q2595" t="s">
        <v>26</v>
      </c>
      <c r="R2595" t="s">
        <v>26</v>
      </c>
      <c r="S2595" t="s">
        <v>26</v>
      </c>
      <c r="T2595" t="s">
        <v>26</v>
      </c>
      <c r="U2595" t="s">
        <v>26</v>
      </c>
      <c r="V2595" t="s">
        <v>26</v>
      </c>
      <c r="W2595" s="24">
        <v>42401</v>
      </c>
      <c r="X2595" s="25" t="s">
        <v>77</v>
      </c>
      <c r="Y2595" t="s">
        <v>26</v>
      </c>
      <c r="Z2595" s="24">
        <v>42401</v>
      </c>
      <c r="AA2595" s="25" t="s">
        <v>77</v>
      </c>
      <c r="AB2595" t="s">
        <v>26</v>
      </c>
      <c r="AC2595" s="24">
        <v>42401</v>
      </c>
      <c r="AD2595" s="25" t="s">
        <v>77</v>
      </c>
      <c r="AE2595" t="s">
        <v>26</v>
      </c>
      <c r="AF2595" t="s">
        <v>26</v>
      </c>
      <c r="AG2595" t="s">
        <v>26</v>
      </c>
      <c r="AH2595" t="s">
        <v>26</v>
      </c>
      <c r="AI2595" t="s">
        <v>26</v>
      </c>
      <c r="AJ2595" t="s">
        <v>26</v>
      </c>
      <c r="AK2595" t="s">
        <v>26</v>
      </c>
      <c r="AL2595" t="s">
        <v>26</v>
      </c>
      <c r="AM2595" t="s">
        <v>26</v>
      </c>
      <c r="AN2595" t="s">
        <v>26</v>
      </c>
      <c r="AO2595" s="25" t="s">
        <v>68</v>
      </c>
      <c r="AP2595" s="23" t="s">
        <v>69</v>
      </c>
      <c r="AQ2595" s="23" t="s">
        <v>30</v>
      </c>
      <c r="AR2595" s="23" t="s">
        <v>44</v>
      </c>
      <c r="AS2595" s="25">
        <v>2032966</v>
      </c>
      <c r="AT2595" t="s">
        <v>26</v>
      </c>
      <c r="AU2595" t="s">
        <v>25610</v>
      </c>
    </row>
    <row r="2596" spans="1:47" ht="26.25" x14ac:dyDescent="0.4">
      <c r="A2596" s="23" t="s">
        <v>6727</v>
      </c>
      <c r="B2596" t="s">
        <v>26</v>
      </c>
      <c r="C2596" s="23" t="s">
        <v>181</v>
      </c>
      <c r="D2596" s="23" t="s">
        <v>22174</v>
      </c>
      <c r="E2596" s="23" t="s">
        <v>60</v>
      </c>
      <c r="F2596" s="25" t="s">
        <v>6728</v>
      </c>
      <c r="G2596" s="25" t="s">
        <v>6729</v>
      </c>
      <c r="H2596" t="s">
        <v>26</v>
      </c>
      <c r="I2596" t="s">
        <v>26</v>
      </c>
      <c r="J2596" t="s">
        <v>26</v>
      </c>
      <c r="K2596" t="s">
        <v>26</v>
      </c>
      <c r="L2596" s="25" t="s">
        <v>68</v>
      </c>
      <c r="M2596" t="s">
        <v>26</v>
      </c>
      <c r="N2596" t="s">
        <v>26</v>
      </c>
      <c r="O2596" t="s">
        <v>26</v>
      </c>
      <c r="P2596" t="s">
        <v>26</v>
      </c>
      <c r="Q2596" t="s">
        <v>26</v>
      </c>
      <c r="R2596" t="s">
        <v>26</v>
      </c>
      <c r="S2596" t="s">
        <v>26</v>
      </c>
      <c r="T2596" t="s">
        <v>26</v>
      </c>
      <c r="U2596" t="s">
        <v>26</v>
      </c>
      <c r="V2596" t="s">
        <v>26</v>
      </c>
      <c r="W2596" s="24">
        <v>39173</v>
      </c>
      <c r="X2596" s="25" t="s">
        <v>77</v>
      </c>
      <c r="Y2596" s="25" t="s">
        <v>6730</v>
      </c>
      <c r="Z2596" s="24">
        <v>39173</v>
      </c>
      <c r="AA2596" s="25" t="s">
        <v>77</v>
      </c>
      <c r="AB2596" s="25" t="s">
        <v>6730</v>
      </c>
      <c r="AC2596" s="24">
        <v>39173</v>
      </c>
      <c r="AD2596" s="25" t="s">
        <v>77</v>
      </c>
      <c r="AE2596" s="25" t="s">
        <v>6730</v>
      </c>
      <c r="AF2596" t="s">
        <v>26</v>
      </c>
      <c r="AG2596" t="s">
        <v>26</v>
      </c>
      <c r="AH2596" t="s">
        <v>26</v>
      </c>
      <c r="AI2596" t="s">
        <v>26</v>
      </c>
      <c r="AJ2596" t="s">
        <v>26</v>
      </c>
      <c r="AK2596" t="s">
        <v>26</v>
      </c>
      <c r="AL2596" t="s">
        <v>26</v>
      </c>
      <c r="AM2596" t="s">
        <v>26</v>
      </c>
      <c r="AN2596" t="s">
        <v>26</v>
      </c>
      <c r="AO2596" s="25" t="s">
        <v>68</v>
      </c>
      <c r="AP2596" s="23" t="s">
        <v>69</v>
      </c>
      <c r="AQ2596" s="23" t="s">
        <v>30</v>
      </c>
      <c r="AR2596" s="23" t="s">
        <v>257</v>
      </c>
      <c r="AS2596" s="25">
        <v>2039953</v>
      </c>
      <c r="AT2596" t="s">
        <v>26</v>
      </c>
      <c r="AU2596" t="s">
        <v>25611</v>
      </c>
    </row>
    <row r="2597" spans="1:47" ht="26.25" x14ac:dyDescent="0.4">
      <c r="A2597" s="23" t="s">
        <v>6731</v>
      </c>
      <c r="B2597" t="s">
        <v>26</v>
      </c>
      <c r="C2597" s="23" t="s">
        <v>73</v>
      </c>
      <c r="D2597" s="23" t="s">
        <v>22179</v>
      </c>
      <c r="E2597" s="23" t="s">
        <v>74</v>
      </c>
      <c r="F2597" s="25" t="s">
        <v>6732</v>
      </c>
      <c r="G2597" s="25" t="s">
        <v>6733</v>
      </c>
      <c r="H2597" t="s">
        <v>26</v>
      </c>
      <c r="I2597" s="24">
        <v>36526</v>
      </c>
      <c r="J2597" s="25" t="s">
        <v>77</v>
      </c>
      <c r="K2597" t="s">
        <v>26</v>
      </c>
      <c r="L2597" s="25" t="s">
        <v>68</v>
      </c>
      <c r="M2597" s="24">
        <v>37987</v>
      </c>
      <c r="N2597" s="24">
        <v>42887</v>
      </c>
      <c r="O2597" t="s">
        <v>26</v>
      </c>
      <c r="P2597" s="24">
        <v>36526</v>
      </c>
      <c r="Q2597" s="25" t="s">
        <v>77</v>
      </c>
      <c r="R2597" t="s">
        <v>26</v>
      </c>
      <c r="S2597" t="s">
        <v>26</v>
      </c>
      <c r="T2597" t="s">
        <v>26</v>
      </c>
      <c r="U2597" t="s">
        <v>26</v>
      </c>
      <c r="V2597" s="25">
        <v>365</v>
      </c>
      <c r="W2597" s="24">
        <v>36526</v>
      </c>
      <c r="X2597" s="25" t="s">
        <v>77</v>
      </c>
      <c r="Y2597" t="s">
        <v>26</v>
      </c>
      <c r="Z2597" s="24">
        <v>36526</v>
      </c>
      <c r="AA2597" s="25" t="s">
        <v>77</v>
      </c>
      <c r="AB2597" t="s">
        <v>26</v>
      </c>
      <c r="AC2597" s="24">
        <v>36526</v>
      </c>
      <c r="AD2597" s="25" t="s">
        <v>77</v>
      </c>
      <c r="AE2597" t="s">
        <v>26</v>
      </c>
      <c r="AF2597" t="s">
        <v>26</v>
      </c>
      <c r="AG2597" t="s">
        <v>26</v>
      </c>
      <c r="AH2597" t="s">
        <v>26</v>
      </c>
      <c r="AI2597" t="s">
        <v>26</v>
      </c>
      <c r="AJ2597" t="s">
        <v>26</v>
      </c>
      <c r="AK2597" t="s">
        <v>26</v>
      </c>
      <c r="AL2597" t="s">
        <v>26</v>
      </c>
      <c r="AM2597" t="s">
        <v>26</v>
      </c>
      <c r="AN2597" t="s">
        <v>26</v>
      </c>
      <c r="AO2597" s="25" t="s">
        <v>68</v>
      </c>
      <c r="AP2597" s="23" t="s">
        <v>69</v>
      </c>
      <c r="AQ2597" s="23" t="s">
        <v>30</v>
      </c>
      <c r="AR2597" s="23" t="s">
        <v>6734</v>
      </c>
      <c r="AS2597" s="25">
        <v>75938</v>
      </c>
      <c r="AT2597" t="s">
        <v>26</v>
      </c>
      <c r="AU2597" t="s">
        <v>25612</v>
      </c>
    </row>
    <row r="2598" spans="1:47" ht="26.25" x14ac:dyDescent="0.4">
      <c r="A2598" s="23" t="s">
        <v>6735</v>
      </c>
      <c r="B2598" t="s">
        <v>26</v>
      </c>
      <c r="C2598" s="23" t="s">
        <v>73</v>
      </c>
      <c r="D2598" s="23" t="s">
        <v>22630</v>
      </c>
      <c r="E2598" s="23" t="s">
        <v>74</v>
      </c>
      <c r="F2598" s="25" t="s">
        <v>6736</v>
      </c>
      <c r="G2598" s="25" t="s">
        <v>6737</v>
      </c>
      <c r="H2598" t="s">
        <v>26</v>
      </c>
      <c r="I2598" s="24">
        <v>37987</v>
      </c>
      <c r="J2598" s="25" t="s">
        <v>77</v>
      </c>
      <c r="K2598" t="s">
        <v>26</v>
      </c>
      <c r="L2598" s="25" t="s">
        <v>68</v>
      </c>
      <c r="M2598" t="s">
        <v>26</v>
      </c>
      <c r="N2598" t="s">
        <v>26</v>
      </c>
      <c r="O2598" t="s">
        <v>26</v>
      </c>
      <c r="P2598" s="24">
        <v>37987</v>
      </c>
      <c r="Q2598" s="25" t="s">
        <v>77</v>
      </c>
      <c r="R2598" t="s">
        <v>26</v>
      </c>
      <c r="S2598" t="s">
        <v>26</v>
      </c>
      <c r="T2598" t="s">
        <v>26</v>
      </c>
      <c r="U2598" t="s">
        <v>26</v>
      </c>
      <c r="V2598" s="25">
        <v>365</v>
      </c>
      <c r="W2598" s="24">
        <v>37987</v>
      </c>
      <c r="X2598" s="25" t="s">
        <v>77</v>
      </c>
      <c r="Y2598" t="s">
        <v>26</v>
      </c>
      <c r="Z2598" s="24">
        <v>37987</v>
      </c>
      <c r="AA2598" s="25" t="s">
        <v>77</v>
      </c>
      <c r="AB2598" t="s">
        <v>26</v>
      </c>
      <c r="AC2598" s="24">
        <v>37987</v>
      </c>
      <c r="AD2598" s="25" t="s">
        <v>77</v>
      </c>
      <c r="AE2598" t="s">
        <v>26</v>
      </c>
      <c r="AF2598" t="s">
        <v>26</v>
      </c>
      <c r="AG2598" t="s">
        <v>26</v>
      </c>
      <c r="AH2598" t="s">
        <v>26</v>
      </c>
      <c r="AI2598" t="s">
        <v>26</v>
      </c>
      <c r="AJ2598" t="s">
        <v>26</v>
      </c>
      <c r="AK2598" t="s">
        <v>26</v>
      </c>
      <c r="AL2598" t="s">
        <v>26</v>
      </c>
      <c r="AM2598" t="s">
        <v>26</v>
      </c>
      <c r="AN2598" t="s">
        <v>26</v>
      </c>
      <c r="AO2598" s="25" t="s">
        <v>68</v>
      </c>
      <c r="AP2598" s="23" t="s">
        <v>69</v>
      </c>
      <c r="AQ2598" s="23" t="s">
        <v>30</v>
      </c>
      <c r="AR2598" s="23" t="s">
        <v>6738</v>
      </c>
      <c r="AS2598" s="25">
        <v>75954</v>
      </c>
      <c r="AT2598" t="s">
        <v>26</v>
      </c>
      <c r="AU2598" t="s">
        <v>25613</v>
      </c>
    </row>
    <row r="2599" spans="1:47" ht="26.25" x14ac:dyDescent="0.4">
      <c r="A2599" s="23" t="s">
        <v>6739</v>
      </c>
      <c r="B2599" t="s">
        <v>26</v>
      </c>
      <c r="C2599" s="23" t="s">
        <v>73</v>
      </c>
      <c r="D2599" s="23" t="s">
        <v>22179</v>
      </c>
      <c r="E2599" s="23" t="s">
        <v>74</v>
      </c>
      <c r="F2599" s="25" t="s">
        <v>6740</v>
      </c>
      <c r="G2599" s="25" t="s">
        <v>6741</v>
      </c>
      <c r="H2599" t="s">
        <v>26</v>
      </c>
      <c r="I2599" s="24">
        <v>35490</v>
      </c>
      <c r="J2599" s="25" t="s">
        <v>77</v>
      </c>
      <c r="K2599" t="s">
        <v>26</v>
      </c>
      <c r="L2599" s="25" t="s">
        <v>68</v>
      </c>
      <c r="M2599" s="24">
        <v>38047</v>
      </c>
      <c r="N2599" s="24">
        <v>42795</v>
      </c>
      <c r="O2599" t="s">
        <v>26</v>
      </c>
      <c r="P2599" s="24">
        <v>35490</v>
      </c>
      <c r="Q2599" s="25" t="s">
        <v>77</v>
      </c>
      <c r="R2599" t="s">
        <v>26</v>
      </c>
      <c r="S2599" t="s">
        <v>26</v>
      </c>
      <c r="T2599" t="s">
        <v>26</v>
      </c>
      <c r="U2599" t="s">
        <v>26</v>
      </c>
      <c r="V2599" s="25">
        <v>365</v>
      </c>
      <c r="W2599" s="24">
        <v>35490</v>
      </c>
      <c r="X2599" s="25" t="s">
        <v>77</v>
      </c>
      <c r="Y2599" t="s">
        <v>26</v>
      </c>
      <c r="Z2599" s="24">
        <v>35490</v>
      </c>
      <c r="AA2599" s="25" t="s">
        <v>77</v>
      </c>
      <c r="AB2599" t="s">
        <v>26</v>
      </c>
      <c r="AC2599" s="24">
        <v>35490</v>
      </c>
      <c r="AD2599" s="25" t="s">
        <v>77</v>
      </c>
      <c r="AE2599" t="s">
        <v>26</v>
      </c>
      <c r="AF2599" t="s">
        <v>26</v>
      </c>
      <c r="AG2599" t="s">
        <v>26</v>
      </c>
      <c r="AH2599" t="s">
        <v>26</v>
      </c>
      <c r="AI2599" t="s">
        <v>26</v>
      </c>
      <c r="AJ2599" t="s">
        <v>26</v>
      </c>
      <c r="AK2599" t="s">
        <v>26</v>
      </c>
      <c r="AL2599" t="s">
        <v>26</v>
      </c>
      <c r="AM2599" t="s">
        <v>26</v>
      </c>
      <c r="AN2599" t="s">
        <v>26</v>
      </c>
      <c r="AO2599" s="25" t="s">
        <v>68</v>
      </c>
      <c r="AP2599" s="23" t="s">
        <v>69</v>
      </c>
      <c r="AQ2599" s="23" t="s">
        <v>30</v>
      </c>
      <c r="AR2599" s="23" t="s">
        <v>25614</v>
      </c>
      <c r="AS2599" s="25">
        <v>48689</v>
      </c>
      <c r="AT2599" t="s">
        <v>26</v>
      </c>
      <c r="AU2599" t="s">
        <v>25615</v>
      </c>
    </row>
    <row r="2600" spans="1:47" ht="26.25" x14ac:dyDescent="0.4">
      <c r="A2600" s="23" t="s">
        <v>6742</v>
      </c>
      <c r="B2600" t="s">
        <v>26</v>
      </c>
      <c r="C2600" s="23" t="s">
        <v>181</v>
      </c>
      <c r="D2600" s="23" t="s">
        <v>22194</v>
      </c>
      <c r="E2600" s="23" t="s">
        <v>60</v>
      </c>
      <c r="F2600" t="s">
        <v>26</v>
      </c>
      <c r="G2600" s="25" t="s">
        <v>6743</v>
      </c>
      <c r="H2600" t="s">
        <v>26</v>
      </c>
      <c r="I2600" s="24">
        <v>42095</v>
      </c>
      <c r="J2600" s="24">
        <v>42795</v>
      </c>
      <c r="K2600" t="s">
        <v>26</v>
      </c>
      <c r="L2600" s="25" t="s">
        <v>68</v>
      </c>
      <c r="M2600" t="s">
        <v>26</v>
      </c>
      <c r="N2600" t="s">
        <v>26</v>
      </c>
      <c r="O2600" t="s">
        <v>26</v>
      </c>
      <c r="P2600" t="s">
        <v>26</v>
      </c>
      <c r="Q2600" t="s">
        <v>26</v>
      </c>
      <c r="R2600" t="s">
        <v>26</v>
      </c>
      <c r="S2600" s="24">
        <v>42095</v>
      </c>
      <c r="T2600" s="24">
        <v>42795</v>
      </c>
      <c r="U2600" t="s">
        <v>26</v>
      </c>
      <c r="V2600" t="s">
        <v>26</v>
      </c>
      <c r="W2600" s="24">
        <v>42095</v>
      </c>
      <c r="X2600" s="24">
        <v>42795</v>
      </c>
      <c r="Y2600" t="s">
        <v>26</v>
      </c>
      <c r="Z2600" s="24">
        <v>42095</v>
      </c>
      <c r="AA2600" s="24">
        <v>42795</v>
      </c>
      <c r="AB2600" t="s">
        <v>26</v>
      </c>
      <c r="AC2600" s="24">
        <v>42095</v>
      </c>
      <c r="AD2600" s="24">
        <v>42795</v>
      </c>
      <c r="AE2600" t="s">
        <v>26</v>
      </c>
      <c r="AF2600" t="s">
        <v>26</v>
      </c>
      <c r="AG2600" t="s">
        <v>26</v>
      </c>
      <c r="AH2600" t="s">
        <v>26</v>
      </c>
      <c r="AI2600" t="s">
        <v>26</v>
      </c>
      <c r="AJ2600" t="s">
        <v>26</v>
      </c>
      <c r="AK2600" t="s">
        <v>26</v>
      </c>
      <c r="AL2600" t="s">
        <v>26</v>
      </c>
      <c r="AM2600" t="s">
        <v>26</v>
      </c>
      <c r="AN2600" t="s">
        <v>26</v>
      </c>
      <c r="AO2600" s="25" t="s">
        <v>68</v>
      </c>
      <c r="AP2600" s="23" t="s">
        <v>69</v>
      </c>
      <c r="AQ2600" s="23" t="s">
        <v>30</v>
      </c>
      <c r="AR2600" s="23" t="s">
        <v>184</v>
      </c>
      <c r="AS2600" s="25">
        <v>4451064</v>
      </c>
      <c r="AT2600" t="s">
        <v>26</v>
      </c>
      <c r="AU2600" t="s">
        <v>25616</v>
      </c>
    </row>
    <row r="2601" spans="1:47" ht="13.15" x14ac:dyDescent="0.4">
      <c r="A2601" s="23" t="s">
        <v>6744</v>
      </c>
      <c r="B2601" t="s">
        <v>26</v>
      </c>
      <c r="C2601" t="s">
        <v>26</v>
      </c>
      <c r="D2601" s="23" t="s">
        <v>22231</v>
      </c>
      <c r="E2601" t="s">
        <v>26</v>
      </c>
      <c r="F2601" t="s">
        <v>26</v>
      </c>
      <c r="G2601" t="s">
        <v>26</v>
      </c>
      <c r="H2601" t="s">
        <v>26</v>
      </c>
      <c r="I2601" s="24">
        <v>39814</v>
      </c>
      <c r="J2601" s="24">
        <v>39814</v>
      </c>
      <c r="K2601" t="s">
        <v>26</v>
      </c>
      <c r="L2601" s="25" t="s">
        <v>28</v>
      </c>
      <c r="M2601" s="24">
        <v>39814</v>
      </c>
      <c r="N2601" s="24">
        <v>39814</v>
      </c>
      <c r="O2601" t="s">
        <v>26</v>
      </c>
      <c r="P2601" t="s">
        <v>26</v>
      </c>
      <c r="Q2601" t="s">
        <v>26</v>
      </c>
      <c r="R2601" t="s">
        <v>26</v>
      </c>
      <c r="S2601" t="s">
        <v>26</v>
      </c>
      <c r="T2601" t="s">
        <v>26</v>
      </c>
      <c r="U2601" t="s">
        <v>26</v>
      </c>
      <c r="V2601" t="s">
        <v>26</v>
      </c>
      <c r="W2601" s="24">
        <v>39814</v>
      </c>
      <c r="X2601" s="24">
        <v>39814</v>
      </c>
      <c r="Y2601" t="s">
        <v>26</v>
      </c>
      <c r="Z2601" s="24">
        <v>39814</v>
      </c>
      <c r="AA2601" s="24">
        <v>39814</v>
      </c>
      <c r="AB2601" t="s">
        <v>26</v>
      </c>
      <c r="AC2601" s="24">
        <v>39814</v>
      </c>
      <c r="AD2601" s="24">
        <v>39814</v>
      </c>
      <c r="AE2601" t="s">
        <v>26</v>
      </c>
      <c r="AF2601" t="s">
        <v>26</v>
      </c>
      <c r="AG2601" t="s">
        <v>26</v>
      </c>
      <c r="AH2601" t="s">
        <v>26</v>
      </c>
      <c r="AI2601" t="s">
        <v>26</v>
      </c>
      <c r="AJ2601" t="s">
        <v>26</v>
      </c>
      <c r="AK2601" t="s">
        <v>26</v>
      </c>
      <c r="AL2601" t="s">
        <v>26</v>
      </c>
      <c r="AM2601" t="s">
        <v>26</v>
      </c>
      <c r="AN2601" t="s">
        <v>26</v>
      </c>
      <c r="AO2601" s="25" t="s">
        <v>28</v>
      </c>
      <c r="AP2601" s="23" t="s">
        <v>29</v>
      </c>
      <c r="AQ2601" s="23" t="s">
        <v>30</v>
      </c>
      <c r="AR2601" s="23" t="s">
        <v>46</v>
      </c>
      <c r="AS2601" s="25">
        <v>6059454</v>
      </c>
      <c r="AT2601" t="s">
        <v>26</v>
      </c>
      <c r="AU2601" t="s">
        <v>25617</v>
      </c>
    </row>
    <row r="2602" spans="1:47" ht="26.25" x14ac:dyDescent="0.4">
      <c r="A2602" s="23" t="s">
        <v>6745</v>
      </c>
      <c r="B2602" t="s">
        <v>26</v>
      </c>
      <c r="C2602" t="s">
        <v>26</v>
      </c>
      <c r="D2602" s="23" t="s">
        <v>22231</v>
      </c>
      <c r="E2602" t="s">
        <v>26</v>
      </c>
      <c r="F2602" t="s">
        <v>26</v>
      </c>
      <c r="G2602" t="s">
        <v>26</v>
      </c>
      <c r="H2602" t="s">
        <v>26</v>
      </c>
      <c r="I2602" s="24">
        <v>39083</v>
      </c>
      <c r="J2602" s="24">
        <v>39083</v>
      </c>
      <c r="K2602" t="s">
        <v>26</v>
      </c>
      <c r="L2602" s="25" t="s">
        <v>28</v>
      </c>
      <c r="M2602" s="24">
        <v>39083</v>
      </c>
      <c r="N2602" s="24">
        <v>39083</v>
      </c>
      <c r="O2602" t="s">
        <v>26</v>
      </c>
      <c r="P2602" t="s">
        <v>26</v>
      </c>
      <c r="Q2602" t="s">
        <v>26</v>
      </c>
      <c r="R2602" t="s">
        <v>26</v>
      </c>
      <c r="S2602" t="s">
        <v>26</v>
      </c>
      <c r="T2602" t="s">
        <v>26</v>
      </c>
      <c r="U2602" t="s">
        <v>26</v>
      </c>
      <c r="V2602" t="s">
        <v>26</v>
      </c>
      <c r="W2602" s="24">
        <v>39083</v>
      </c>
      <c r="X2602" s="24">
        <v>39083</v>
      </c>
      <c r="Y2602" t="s">
        <v>26</v>
      </c>
      <c r="Z2602" s="24">
        <v>39083</v>
      </c>
      <c r="AA2602" s="24">
        <v>39083</v>
      </c>
      <c r="AB2602" t="s">
        <v>26</v>
      </c>
      <c r="AC2602" s="24">
        <v>39083</v>
      </c>
      <c r="AD2602" s="24">
        <v>39083</v>
      </c>
      <c r="AE2602" t="s">
        <v>26</v>
      </c>
      <c r="AF2602" t="s">
        <v>26</v>
      </c>
      <c r="AG2602" t="s">
        <v>26</v>
      </c>
      <c r="AH2602" t="s">
        <v>26</v>
      </c>
      <c r="AI2602" t="s">
        <v>26</v>
      </c>
      <c r="AJ2602" t="s">
        <v>26</v>
      </c>
      <c r="AK2602" t="s">
        <v>26</v>
      </c>
      <c r="AL2602" t="s">
        <v>26</v>
      </c>
      <c r="AM2602" t="s">
        <v>26</v>
      </c>
      <c r="AN2602" t="s">
        <v>26</v>
      </c>
      <c r="AO2602" s="25" t="s">
        <v>28</v>
      </c>
      <c r="AP2602" s="23" t="s">
        <v>29</v>
      </c>
      <c r="AQ2602" s="23" t="s">
        <v>30</v>
      </c>
      <c r="AR2602" s="23" t="s">
        <v>46</v>
      </c>
      <c r="AS2602" s="25">
        <v>6059453</v>
      </c>
      <c r="AT2602" t="s">
        <v>26</v>
      </c>
      <c r="AU2602" t="s">
        <v>25618</v>
      </c>
    </row>
    <row r="2603" spans="1:47" ht="26.25" x14ac:dyDescent="0.4">
      <c r="A2603" s="23" t="s">
        <v>6746</v>
      </c>
      <c r="B2603" t="s">
        <v>26</v>
      </c>
      <c r="C2603" s="23" t="s">
        <v>146</v>
      </c>
      <c r="D2603" s="23" t="s">
        <v>22174</v>
      </c>
      <c r="E2603" s="23" t="s">
        <v>60</v>
      </c>
      <c r="F2603" t="s">
        <v>26</v>
      </c>
      <c r="G2603" t="s">
        <v>26</v>
      </c>
      <c r="H2603" t="s">
        <v>26</v>
      </c>
      <c r="I2603" t="s">
        <v>26</v>
      </c>
      <c r="J2603" t="s">
        <v>26</v>
      </c>
      <c r="K2603" t="s">
        <v>26</v>
      </c>
      <c r="L2603" s="25" t="s">
        <v>28</v>
      </c>
      <c r="M2603" t="s">
        <v>26</v>
      </c>
      <c r="N2603" t="s">
        <v>26</v>
      </c>
      <c r="O2603" t="s">
        <v>26</v>
      </c>
      <c r="P2603" t="s">
        <v>26</v>
      </c>
      <c r="Q2603" t="s">
        <v>26</v>
      </c>
      <c r="R2603" t="s">
        <v>26</v>
      </c>
      <c r="S2603" t="s">
        <v>26</v>
      </c>
      <c r="T2603" t="s">
        <v>26</v>
      </c>
      <c r="U2603" t="s">
        <v>26</v>
      </c>
      <c r="V2603" t="s">
        <v>26</v>
      </c>
      <c r="W2603" s="24">
        <v>42370</v>
      </c>
      <c r="X2603" s="24">
        <v>42370</v>
      </c>
      <c r="Y2603" t="s">
        <v>26</v>
      </c>
      <c r="Z2603" s="24">
        <v>42370</v>
      </c>
      <c r="AA2603" s="24">
        <v>42370</v>
      </c>
      <c r="AB2603" t="s">
        <v>26</v>
      </c>
      <c r="AC2603" t="s">
        <v>26</v>
      </c>
      <c r="AD2603" t="s">
        <v>26</v>
      </c>
      <c r="AE2603" t="s">
        <v>26</v>
      </c>
      <c r="AF2603" t="s">
        <v>26</v>
      </c>
      <c r="AG2603" t="s">
        <v>26</v>
      </c>
      <c r="AH2603" t="s">
        <v>26</v>
      </c>
      <c r="AI2603" t="s">
        <v>26</v>
      </c>
      <c r="AJ2603" t="s">
        <v>26</v>
      </c>
      <c r="AK2603" t="s">
        <v>26</v>
      </c>
      <c r="AL2603" t="s">
        <v>26</v>
      </c>
      <c r="AM2603" t="s">
        <v>26</v>
      </c>
      <c r="AN2603" t="s">
        <v>26</v>
      </c>
      <c r="AO2603" s="25" t="s">
        <v>28</v>
      </c>
      <c r="AP2603" s="23" t="s">
        <v>29</v>
      </c>
      <c r="AQ2603" s="23" t="s">
        <v>30</v>
      </c>
      <c r="AR2603" s="23" t="s">
        <v>44</v>
      </c>
      <c r="AS2603" s="25">
        <v>5483635</v>
      </c>
      <c r="AT2603" s="23" t="s">
        <v>22181</v>
      </c>
      <c r="AU2603" t="s">
        <v>25619</v>
      </c>
    </row>
    <row r="2604" spans="1:47" ht="26.25" x14ac:dyDescent="0.4">
      <c r="A2604" s="23" t="s">
        <v>6747</v>
      </c>
      <c r="B2604" t="s">
        <v>26</v>
      </c>
      <c r="C2604" s="23" t="s">
        <v>375</v>
      </c>
      <c r="D2604" s="23" t="s">
        <v>22254</v>
      </c>
      <c r="E2604" s="23" t="s">
        <v>60</v>
      </c>
      <c r="F2604" s="25" t="s">
        <v>6748</v>
      </c>
      <c r="G2604" s="25" t="s">
        <v>6749</v>
      </c>
      <c r="H2604" t="s">
        <v>26</v>
      </c>
      <c r="I2604" s="24">
        <v>37530</v>
      </c>
      <c r="J2604" s="25" t="s">
        <v>77</v>
      </c>
      <c r="K2604" t="s">
        <v>26</v>
      </c>
      <c r="L2604" s="25" t="s">
        <v>68</v>
      </c>
      <c r="M2604" s="24">
        <v>37530</v>
      </c>
      <c r="N2604" s="25" t="s">
        <v>77</v>
      </c>
      <c r="O2604" t="s">
        <v>26</v>
      </c>
      <c r="P2604" s="24">
        <v>37530</v>
      </c>
      <c r="Q2604" s="25" t="s">
        <v>77</v>
      </c>
      <c r="R2604" s="25" t="s">
        <v>22326</v>
      </c>
      <c r="S2604" t="s">
        <v>26</v>
      </c>
      <c r="T2604" t="s">
        <v>26</v>
      </c>
      <c r="U2604" t="s">
        <v>26</v>
      </c>
      <c r="V2604" t="s">
        <v>26</v>
      </c>
      <c r="W2604" s="24">
        <v>37530</v>
      </c>
      <c r="X2604" s="25" t="s">
        <v>77</v>
      </c>
      <c r="Y2604" t="s">
        <v>26</v>
      </c>
      <c r="Z2604" s="24">
        <v>37530</v>
      </c>
      <c r="AA2604" s="25" t="s">
        <v>77</v>
      </c>
      <c r="AB2604" t="s">
        <v>26</v>
      </c>
      <c r="AC2604" s="24">
        <v>37530</v>
      </c>
      <c r="AD2604" s="25" t="s">
        <v>77</v>
      </c>
      <c r="AE2604" t="s">
        <v>26</v>
      </c>
      <c r="AF2604" t="s">
        <v>26</v>
      </c>
      <c r="AG2604" t="s">
        <v>26</v>
      </c>
      <c r="AH2604" t="s">
        <v>26</v>
      </c>
      <c r="AI2604" t="s">
        <v>26</v>
      </c>
      <c r="AJ2604" t="s">
        <v>26</v>
      </c>
      <c r="AK2604" t="s">
        <v>26</v>
      </c>
      <c r="AL2604" t="s">
        <v>26</v>
      </c>
      <c r="AM2604" t="s">
        <v>26</v>
      </c>
      <c r="AN2604" t="s">
        <v>26</v>
      </c>
      <c r="AO2604" s="25" t="s">
        <v>68</v>
      </c>
      <c r="AP2604" s="23" t="s">
        <v>69</v>
      </c>
      <c r="AQ2604" s="23" t="s">
        <v>30</v>
      </c>
      <c r="AR2604" s="23" t="s">
        <v>6750</v>
      </c>
      <c r="AS2604" s="25">
        <v>26077</v>
      </c>
      <c r="AT2604" t="s">
        <v>26</v>
      </c>
      <c r="AU2604" t="s">
        <v>25620</v>
      </c>
    </row>
    <row r="2605" spans="1:47" ht="26.25" x14ac:dyDescent="0.4">
      <c r="A2605" s="23" t="s">
        <v>6751</v>
      </c>
      <c r="B2605" t="s">
        <v>26</v>
      </c>
      <c r="C2605" s="23" t="s">
        <v>447</v>
      </c>
      <c r="D2605" s="23" t="s">
        <v>22352</v>
      </c>
      <c r="E2605" s="23" t="s">
        <v>42</v>
      </c>
      <c r="F2605" s="25" t="s">
        <v>6752</v>
      </c>
      <c r="G2605" s="25" t="s">
        <v>6753</v>
      </c>
      <c r="H2605" t="s">
        <v>26</v>
      </c>
      <c r="I2605" t="s">
        <v>26</v>
      </c>
      <c r="J2605" t="s">
        <v>26</v>
      </c>
      <c r="K2605" t="s">
        <v>26</v>
      </c>
      <c r="L2605" s="25" t="s">
        <v>68</v>
      </c>
      <c r="M2605" t="s">
        <v>26</v>
      </c>
      <c r="N2605" t="s">
        <v>26</v>
      </c>
      <c r="O2605" t="s">
        <v>26</v>
      </c>
      <c r="P2605" t="s">
        <v>26</v>
      </c>
      <c r="Q2605" t="s">
        <v>26</v>
      </c>
      <c r="R2605" t="s">
        <v>26</v>
      </c>
      <c r="S2605" t="s">
        <v>26</v>
      </c>
      <c r="T2605" t="s">
        <v>26</v>
      </c>
      <c r="U2605" t="s">
        <v>26</v>
      </c>
      <c r="V2605" t="s">
        <v>26</v>
      </c>
      <c r="W2605" s="24">
        <v>32143</v>
      </c>
      <c r="X2605" s="25" t="s">
        <v>77</v>
      </c>
      <c r="Y2605" t="s">
        <v>26</v>
      </c>
      <c r="Z2605" s="24">
        <v>32143</v>
      </c>
      <c r="AA2605" s="25" t="s">
        <v>77</v>
      </c>
      <c r="AB2605" t="s">
        <v>26</v>
      </c>
      <c r="AC2605" s="24">
        <v>32143</v>
      </c>
      <c r="AD2605" s="25" t="s">
        <v>77</v>
      </c>
      <c r="AE2605" t="s">
        <v>26</v>
      </c>
      <c r="AF2605" t="s">
        <v>26</v>
      </c>
      <c r="AG2605" t="s">
        <v>26</v>
      </c>
      <c r="AH2605" t="s">
        <v>26</v>
      </c>
      <c r="AI2605" t="s">
        <v>26</v>
      </c>
      <c r="AJ2605" t="s">
        <v>26</v>
      </c>
      <c r="AK2605" t="s">
        <v>26</v>
      </c>
      <c r="AL2605" t="s">
        <v>26</v>
      </c>
      <c r="AM2605" t="s">
        <v>26</v>
      </c>
      <c r="AN2605" t="s">
        <v>26</v>
      </c>
      <c r="AO2605" s="25" t="s">
        <v>68</v>
      </c>
      <c r="AP2605" s="23" t="s">
        <v>69</v>
      </c>
      <c r="AQ2605" s="23" t="s">
        <v>30</v>
      </c>
      <c r="AR2605" s="23" t="s">
        <v>2639</v>
      </c>
      <c r="AS2605" s="25">
        <v>48022</v>
      </c>
      <c r="AT2605" t="s">
        <v>26</v>
      </c>
      <c r="AU2605" t="s">
        <v>25621</v>
      </c>
    </row>
    <row r="2606" spans="1:47" ht="26.25" x14ac:dyDescent="0.4">
      <c r="A2606" s="23" t="s">
        <v>6754</v>
      </c>
      <c r="B2606" t="s">
        <v>26</v>
      </c>
      <c r="C2606" s="23" t="s">
        <v>627</v>
      </c>
      <c r="D2606" s="23" t="s">
        <v>25622</v>
      </c>
      <c r="E2606" s="23" t="s">
        <v>187</v>
      </c>
      <c r="F2606" s="25" t="s">
        <v>6755</v>
      </c>
      <c r="G2606" s="25" t="s">
        <v>6756</v>
      </c>
      <c r="H2606" t="s">
        <v>26</v>
      </c>
      <c r="I2606" s="24">
        <v>39448</v>
      </c>
      <c r="J2606" s="24">
        <v>42736</v>
      </c>
      <c r="K2606" t="s">
        <v>26</v>
      </c>
      <c r="L2606" s="25" t="s">
        <v>68</v>
      </c>
      <c r="M2606" t="s">
        <v>26</v>
      </c>
      <c r="N2606" t="s">
        <v>26</v>
      </c>
      <c r="O2606" t="s">
        <v>26</v>
      </c>
      <c r="P2606" s="24">
        <v>39448</v>
      </c>
      <c r="Q2606" s="24">
        <v>42736</v>
      </c>
      <c r="R2606" t="s">
        <v>26</v>
      </c>
      <c r="S2606" t="s">
        <v>26</v>
      </c>
      <c r="T2606" t="s">
        <v>26</v>
      </c>
      <c r="U2606" t="s">
        <v>26</v>
      </c>
      <c r="V2606" t="s">
        <v>26</v>
      </c>
      <c r="W2606" s="24">
        <v>39448</v>
      </c>
      <c r="X2606" s="24">
        <v>42736</v>
      </c>
      <c r="Y2606" t="s">
        <v>26</v>
      </c>
      <c r="Z2606" s="24">
        <v>39448</v>
      </c>
      <c r="AA2606" s="24">
        <v>42736</v>
      </c>
      <c r="AB2606" t="s">
        <v>26</v>
      </c>
      <c r="AC2606" s="24">
        <v>39448</v>
      </c>
      <c r="AD2606" s="24">
        <v>42736</v>
      </c>
      <c r="AE2606" t="s">
        <v>26</v>
      </c>
      <c r="AF2606" t="s">
        <v>26</v>
      </c>
      <c r="AG2606" t="s">
        <v>26</v>
      </c>
      <c r="AH2606" t="s">
        <v>26</v>
      </c>
      <c r="AI2606" t="s">
        <v>26</v>
      </c>
      <c r="AJ2606" t="s">
        <v>26</v>
      </c>
      <c r="AK2606" t="s">
        <v>26</v>
      </c>
      <c r="AL2606" t="s">
        <v>26</v>
      </c>
      <c r="AM2606" t="s">
        <v>26</v>
      </c>
      <c r="AN2606" t="s">
        <v>26</v>
      </c>
      <c r="AO2606" s="25" t="s">
        <v>68</v>
      </c>
      <c r="AP2606" s="23" t="s">
        <v>69</v>
      </c>
      <c r="AQ2606" s="23" t="s">
        <v>30</v>
      </c>
      <c r="AR2606" s="23" t="s">
        <v>3816</v>
      </c>
      <c r="AS2606" s="25">
        <v>2026653</v>
      </c>
      <c r="AT2606" t="s">
        <v>26</v>
      </c>
      <c r="AU2606" t="s">
        <v>25623</v>
      </c>
    </row>
    <row r="2607" spans="1:47" ht="26.25" x14ac:dyDescent="0.4">
      <c r="A2607" s="23" t="s">
        <v>6757</v>
      </c>
      <c r="B2607" t="s">
        <v>26</v>
      </c>
      <c r="C2607" s="23" t="s">
        <v>107</v>
      </c>
      <c r="D2607" s="23" t="s">
        <v>22194</v>
      </c>
      <c r="E2607" s="23" t="s">
        <v>42</v>
      </c>
      <c r="F2607" s="25" t="s">
        <v>6758</v>
      </c>
      <c r="G2607" s="25" t="s">
        <v>6759</v>
      </c>
      <c r="H2607" t="s">
        <v>26</v>
      </c>
      <c r="I2607" t="s">
        <v>26</v>
      </c>
      <c r="J2607" t="s">
        <v>26</v>
      </c>
      <c r="K2607" t="s">
        <v>26</v>
      </c>
      <c r="L2607" s="25" t="s">
        <v>68</v>
      </c>
      <c r="M2607" t="s">
        <v>26</v>
      </c>
      <c r="N2607" t="s">
        <v>26</v>
      </c>
      <c r="O2607" t="s">
        <v>26</v>
      </c>
      <c r="P2607" t="s">
        <v>26</v>
      </c>
      <c r="Q2607" t="s">
        <v>26</v>
      </c>
      <c r="R2607" t="s">
        <v>26</v>
      </c>
      <c r="S2607" t="s">
        <v>26</v>
      </c>
      <c r="T2607" t="s">
        <v>26</v>
      </c>
      <c r="U2607" t="s">
        <v>26</v>
      </c>
      <c r="V2607" t="s">
        <v>26</v>
      </c>
      <c r="W2607" s="24">
        <v>32568</v>
      </c>
      <c r="X2607" s="25" t="s">
        <v>77</v>
      </c>
      <c r="Y2607" t="s">
        <v>26</v>
      </c>
      <c r="Z2607" s="24">
        <v>32568</v>
      </c>
      <c r="AA2607" s="25" t="s">
        <v>77</v>
      </c>
      <c r="AB2607" t="s">
        <v>26</v>
      </c>
      <c r="AC2607" s="24">
        <v>32568</v>
      </c>
      <c r="AD2607" s="25" t="s">
        <v>77</v>
      </c>
      <c r="AE2607" t="s">
        <v>26</v>
      </c>
      <c r="AF2607" t="s">
        <v>26</v>
      </c>
      <c r="AG2607" t="s">
        <v>26</v>
      </c>
      <c r="AH2607" t="s">
        <v>26</v>
      </c>
      <c r="AI2607" t="s">
        <v>26</v>
      </c>
      <c r="AJ2607" t="s">
        <v>26</v>
      </c>
      <c r="AK2607" t="s">
        <v>26</v>
      </c>
      <c r="AL2607" t="s">
        <v>26</v>
      </c>
      <c r="AM2607" t="s">
        <v>26</v>
      </c>
      <c r="AN2607" t="s">
        <v>26</v>
      </c>
      <c r="AO2607" s="25" t="s">
        <v>68</v>
      </c>
      <c r="AP2607" s="23" t="s">
        <v>69</v>
      </c>
      <c r="AQ2607" s="23" t="s">
        <v>30</v>
      </c>
      <c r="AR2607" s="23" t="s">
        <v>6760</v>
      </c>
      <c r="AS2607" s="25">
        <v>48987</v>
      </c>
      <c r="AT2607" t="s">
        <v>26</v>
      </c>
      <c r="AU2607" t="s">
        <v>25624</v>
      </c>
    </row>
    <row r="2608" spans="1:47" ht="26.25" x14ac:dyDescent="0.4">
      <c r="A2608" s="23" t="s">
        <v>6761</v>
      </c>
      <c r="B2608" t="s">
        <v>26</v>
      </c>
      <c r="C2608" s="23" t="s">
        <v>371</v>
      </c>
      <c r="D2608" s="23" t="s">
        <v>22179</v>
      </c>
      <c r="E2608" s="23" t="s">
        <v>42</v>
      </c>
      <c r="F2608" t="s">
        <v>26</v>
      </c>
      <c r="G2608" t="s">
        <v>26</v>
      </c>
      <c r="H2608" t="s">
        <v>26</v>
      </c>
      <c r="I2608" t="s">
        <v>26</v>
      </c>
      <c r="J2608" t="s">
        <v>26</v>
      </c>
      <c r="K2608" t="s">
        <v>26</v>
      </c>
      <c r="L2608" s="25" t="s">
        <v>28</v>
      </c>
      <c r="M2608" t="s">
        <v>26</v>
      </c>
      <c r="N2608" t="s">
        <v>26</v>
      </c>
      <c r="O2608" t="s">
        <v>26</v>
      </c>
      <c r="P2608" t="s">
        <v>26</v>
      </c>
      <c r="Q2608" t="s">
        <v>26</v>
      </c>
      <c r="R2608" t="s">
        <v>26</v>
      </c>
      <c r="S2608" t="s">
        <v>26</v>
      </c>
      <c r="T2608" t="s">
        <v>26</v>
      </c>
      <c r="U2608" t="s">
        <v>26</v>
      </c>
      <c r="V2608" t="s">
        <v>26</v>
      </c>
      <c r="W2608" s="24">
        <v>40909</v>
      </c>
      <c r="X2608" s="24">
        <v>40909</v>
      </c>
      <c r="Y2608" t="s">
        <v>26</v>
      </c>
      <c r="Z2608" s="24">
        <v>40909</v>
      </c>
      <c r="AA2608" s="24">
        <v>40909</v>
      </c>
      <c r="AB2608" t="s">
        <v>26</v>
      </c>
      <c r="AC2608" t="s">
        <v>26</v>
      </c>
      <c r="AD2608" t="s">
        <v>26</v>
      </c>
      <c r="AE2608" t="s">
        <v>26</v>
      </c>
      <c r="AF2608" t="s">
        <v>26</v>
      </c>
      <c r="AG2608" t="s">
        <v>26</v>
      </c>
      <c r="AH2608" t="s">
        <v>26</v>
      </c>
      <c r="AI2608" t="s">
        <v>26</v>
      </c>
      <c r="AJ2608" t="s">
        <v>26</v>
      </c>
      <c r="AK2608" t="s">
        <v>26</v>
      </c>
      <c r="AL2608" t="s">
        <v>26</v>
      </c>
      <c r="AM2608" t="s">
        <v>26</v>
      </c>
      <c r="AN2608" t="s">
        <v>26</v>
      </c>
      <c r="AO2608" s="25" t="s">
        <v>28</v>
      </c>
      <c r="AP2608" s="23" t="s">
        <v>29</v>
      </c>
      <c r="AQ2608" s="23" t="s">
        <v>30</v>
      </c>
      <c r="AR2608" s="23" t="s">
        <v>44</v>
      </c>
      <c r="AS2608" s="25">
        <v>5485123</v>
      </c>
      <c r="AT2608" s="23" t="s">
        <v>22181</v>
      </c>
      <c r="AU2608" t="s">
        <v>25625</v>
      </c>
    </row>
    <row r="2609" spans="1:47" ht="13.15" x14ac:dyDescent="0.4">
      <c r="A2609" s="23" t="s">
        <v>6762</v>
      </c>
      <c r="B2609" t="s">
        <v>26</v>
      </c>
      <c r="C2609" s="23" t="s">
        <v>6763</v>
      </c>
      <c r="D2609" s="23" t="s">
        <v>25626</v>
      </c>
      <c r="E2609" s="23" t="s">
        <v>42</v>
      </c>
      <c r="F2609" s="25" t="s">
        <v>6764</v>
      </c>
      <c r="G2609" s="25" t="s">
        <v>6765</v>
      </c>
      <c r="H2609" t="s">
        <v>26</v>
      </c>
      <c r="I2609" s="24">
        <v>35796</v>
      </c>
      <c r="J2609" s="25" t="s">
        <v>77</v>
      </c>
      <c r="K2609" t="s">
        <v>26</v>
      </c>
      <c r="L2609" s="25" t="s">
        <v>28</v>
      </c>
      <c r="M2609" s="24">
        <v>35796</v>
      </c>
      <c r="N2609" s="25" t="s">
        <v>77</v>
      </c>
      <c r="O2609" t="s">
        <v>26</v>
      </c>
      <c r="P2609" s="24">
        <v>35796</v>
      </c>
      <c r="Q2609" s="25" t="s">
        <v>77</v>
      </c>
      <c r="R2609" t="s">
        <v>26</v>
      </c>
      <c r="S2609" t="s">
        <v>26</v>
      </c>
      <c r="T2609" t="s">
        <v>26</v>
      </c>
      <c r="U2609" t="s">
        <v>26</v>
      </c>
      <c r="V2609" t="s">
        <v>26</v>
      </c>
      <c r="W2609" s="24">
        <v>35796</v>
      </c>
      <c r="X2609" s="25" t="s">
        <v>77</v>
      </c>
      <c r="Y2609" t="s">
        <v>26</v>
      </c>
      <c r="Z2609" s="24">
        <v>35796</v>
      </c>
      <c r="AA2609" s="25" t="s">
        <v>77</v>
      </c>
      <c r="AB2609" t="s">
        <v>26</v>
      </c>
      <c r="AC2609" s="24">
        <v>35796</v>
      </c>
      <c r="AD2609" s="25" t="s">
        <v>77</v>
      </c>
      <c r="AE2609" t="s">
        <v>26</v>
      </c>
      <c r="AF2609" t="s">
        <v>26</v>
      </c>
      <c r="AG2609" t="s">
        <v>26</v>
      </c>
      <c r="AH2609" t="s">
        <v>26</v>
      </c>
      <c r="AI2609" t="s">
        <v>26</v>
      </c>
      <c r="AJ2609" t="s">
        <v>26</v>
      </c>
      <c r="AK2609" t="s">
        <v>26</v>
      </c>
      <c r="AL2609" t="s">
        <v>26</v>
      </c>
      <c r="AM2609" t="s">
        <v>26</v>
      </c>
      <c r="AN2609" t="s">
        <v>26</v>
      </c>
      <c r="AO2609" s="25" t="s">
        <v>28</v>
      </c>
      <c r="AP2609" s="23" t="s">
        <v>112</v>
      </c>
      <c r="AQ2609" s="23" t="s">
        <v>30</v>
      </c>
      <c r="AR2609" s="23" t="s">
        <v>6766</v>
      </c>
      <c r="AS2609" s="25">
        <v>33610</v>
      </c>
      <c r="AT2609" t="s">
        <v>26</v>
      </c>
      <c r="AU2609" t="s">
        <v>25627</v>
      </c>
    </row>
    <row r="2610" spans="1:47" ht="39.4" x14ac:dyDescent="0.4">
      <c r="A2610" s="23" t="s">
        <v>6767</v>
      </c>
      <c r="B2610" t="s">
        <v>26</v>
      </c>
      <c r="C2610" s="23" t="s">
        <v>6768</v>
      </c>
      <c r="D2610" s="23" t="s">
        <v>25628</v>
      </c>
      <c r="E2610" s="23" t="s">
        <v>42</v>
      </c>
      <c r="F2610" s="25" t="s">
        <v>6769</v>
      </c>
      <c r="G2610" t="s">
        <v>26</v>
      </c>
      <c r="H2610" t="s">
        <v>26</v>
      </c>
      <c r="I2610" s="24">
        <v>32874</v>
      </c>
      <c r="J2610" s="24">
        <v>39387</v>
      </c>
      <c r="K2610" t="s">
        <v>26</v>
      </c>
      <c r="L2610" s="25" t="s">
        <v>28</v>
      </c>
      <c r="M2610" s="24">
        <v>35370</v>
      </c>
      <c r="N2610" s="24">
        <v>39387</v>
      </c>
      <c r="O2610" t="s">
        <v>26</v>
      </c>
      <c r="P2610" s="24">
        <v>32874</v>
      </c>
      <c r="Q2610" s="24">
        <v>39387</v>
      </c>
      <c r="R2610" t="s">
        <v>26</v>
      </c>
      <c r="S2610" t="s">
        <v>26</v>
      </c>
      <c r="T2610" t="s">
        <v>26</v>
      </c>
      <c r="U2610" t="s">
        <v>26</v>
      </c>
      <c r="V2610" t="s">
        <v>26</v>
      </c>
      <c r="W2610" s="24">
        <v>32509</v>
      </c>
      <c r="X2610" s="25" t="s">
        <v>77</v>
      </c>
      <c r="Y2610" t="s">
        <v>26</v>
      </c>
      <c r="Z2610" s="24">
        <v>32509</v>
      </c>
      <c r="AA2610" s="25" t="s">
        <v>77</v>
      </c>
      <c r="AB2610" t="s">
        <v>26</v>
      </c>
      <c r="AC2610" s="24">
        <v>32509</v>
      </c>
      <c r="AD2610" s="25" t="s">
        <v>77</v>
      </c>
      <c r="AE2610" t="s">
        <v>26</v>
      </c>
      <c r="AF2610" t="s">
        <v>26</v>
      </c>
      <c r="AG2610" t="s">
        <v>26</v>
      </c>
      <c r="AH2610" t="s">
        <v>26</v>
      </c>
      <c r="AI2610" t="s">
        <v>26</v>
      </c>
      <c r="AJ2610" t="s">
        <v>26</v>
      </c>
      <c r="AK2610" t="s">
        <v>26</v>
      </c>
      <c r="AL2610" t="s">
        <v>26</v>
      </c>
      <c r="AM2610" t="s">
        <v>26</v>
      </c>
      <c r="AN2610" t="s">
        <v>26</v>
      </c>
      <c r="AO2610" s="25" t="s">
        <v>28</v>
      </c>
      <c r="AP2610" s="23" t="s">
        <v>112</v>
      </c>
      <c r="AQ2610" s="23" t="s">
        <v>30</v>
      </c>
      <c r="AR2610" s="23" t="s">
        <v>6770</v>
      </c>
      <c r="AS2610" s="25">
        <v>31541</v>
      </c>
      <c r="AT2610" t="s">
        <v>26</v>
      </c>
      <c r="AU2610" t="s">
        <v>25629</v>
      </c>
    </row>
    <row r="2611" spans="1:47" ht="26.25" x14ac:dyDescent="0.4">
      <c r="A2611" s="23" t="s">
        <v>6771</v>
      </c>
      <c r="B2611" t="s">
        <v>26</v>
      </c>
      <c r="C2611" s="23" t="s">
        <v>51</v>
      </c>
      <c r="D2611" t="s">
        <v>26</v>
      </c>
      <c r="E2611" s="23" t="s">
        <v>42</v>
      </c>
      <c r="F2611" t="s">
        <v>26</v>
      </c>
      <c r="G2611" t="s">
        <v>26</v>
      </c>
      <c r="H2611" t="s">
        <v>26</v>
      </c>
      <c r="I2611" s="24">
        <v>42370</v>
      </c>
      <c r="J2611" s="24">
        <v>42370</v>
      </c>
      <c r="K2611" t="s">
        <v>26</v>
      </c>
      <c r="L2611" s="25" t="s">
        <v>28</v>
      </c>
      <c r="M2611" s="24">
        <v>42370</v>
      </c>
      <c r="N2611" s="24">
        <v>42370</v>
      </c>
      <c r="O2611" t="s">
        <v>26</v>
      </c>
      <c r="P2611" t="s">
        <v>26</v>
      </c>
      <c r="Q2611" t="s">
        <v>26</v>
      </c>
      <c r="R2611" t="s">
        <v>26</v>
      </c>
      <c r="S2611" s="24">
        <v>42370</v>
      </c>
      <c r="T2611" s="24">
        <v>42370</v>
      </c>
      <c r="U2611" t="s">
        <v>26</v>
      </c>
      <c r="V2611" t="s">
        <v>26</v>
      </c>
      <c r="W2611" s="24">
        <v>42370</v>
      </c>
      <c r="X2611" s="24">
        <v>42370</v>
      </c>
      <c r="Y2611" t="s">
        <v>26</v>
      </c>
      <c r="Z2611" s="24">
        <v>42370</v>
      </c>
      <c r="AA2611" s="24">
        <v>42370</v>
      </c>
      <c r="AB2611" t="s">
        <v>26</v>
      </c>
      <c r="AC2611" s="24">
        <v>42370</v>
      </c>
      <c r="AD2611" s="24">
        <v>42370</v>
      </c>
      <c r="AE2611" t="s">
        <v>26</v>
      </c>
      <c r="AF2611" s="24">
        <v>42370</v>
      </c>
      <c r="AG2611" s="24">
        <v>42370</v>
      </c>
      <c r="AH2611" t="s">
        <v>26</v>
      </c>
      <c r="AI2611" s="24">
        <v>42370</v>
      </c>
      <c r="AJ2611" s="24">
        <v>42370</v>
      </c>
      <c r="AK2611" t="s">
        <v>26</v>
      </c>
      <c r="AL2611" t="s">
        <v>26</v>
      </c>
      <c r="AM2611" t="s">
        <v>26</v>
      </c>
      <c r="AN2611" t="s">
        <v>26</v>
      </c>
      <c r="AO2611" s="25" t="s">
        <v>28</v>
      </c>
      <c r="AP2611" s="23" t="s">
        <v>43</v>
      </c>
      <c r="AQ2611" s="23" t="s">
        <v>30</v>
      </c>
      <c r="AR2611" s="23" t="s">
        <v>44</v>
      </c>
      <c r="AS2611" s="25">
        <v>5256664</v>
      </c>
      <c r="AT2611" t="s">
        <v>26</v>
      </c>
      <c r="AU2611" t="s">
        <v>25630</v>
      </c>
    </row>
    <row r="2612" spans="1:47" ht="26.25" x14ac:dyDescent="0.4">
      <c r="A2612" s="23" t="s">
        <v>6772</v>
      </c>
      <c r="B2612" t="s">
        <v>26</v>
      </c>
      <c r="C2612" s="23" t="s">
        <v>80</v>
      </c>
      <c r="D2612" s="23" t="s">
        <v>22190</v>
      </c>
      <c r="E2612" s="23" t="s">
        <v>60</v>
      </c>
      <c r="F2612" s="25" t="s">
        <v>6773</v>
      </c>
      <c r="G2612" s="25" t="s">
        <v>6774</v>
      </c>
      <c r="H2612" t="s">
        <v>26</v>
      </c>
      <c r="I2612" t="s">
        <v>26</v>
      </c>
      <c r="J2612" t="s">
        <v>26</v>
      </c>
      <c r="K2612" t="s">
        <v>26</v>
      </c>
      <c r="L2612" s="25" t="s">
        <v>68</v>
      </c>
      <c r="M2612" t="s">
        <v>26</v>
      </c>
      <c r="N2612" t="s">
        <v>26</v>
      </c>
      <c r="O2612" t="s">
        <v>26</v>
      </c>
      <c r="P2612" t="s">
        <v>26</v>
      </c>
      <c r="Q2612" t="s">
        <v>26</v>
      </c>
      <c r="R2612" t="s">
        <v>26</v>
      </c>
      <c r="S2612" t="s">
        <v>26</v>
      </c>
      <c r="T2612" t="s">
        <v>26</v>
      </c>
      <c r="U2612" t="s">
        <v>26</v>
      </c>
      <c r="V2612" t="s">
        <v>26</v>
      </c>
      <c r="W2612" s="24">
        <v>40179</v>
      </c>
      <c r="X2612" s="25" t="s">
        <v>77</v>
      </c>
      <c r="Y2612" t="s">
        <v>26</v>
      </c>
      <c r="Z2612" s="24">
        <v>40179</v>
      </c>
      <c r="AA2612" s="25" t="s">
        <v>77</v>
      </c>
      <c r="AB2612" t="s">
        <v>26</v>
      </c>
      <c r="AC2612" s="24">
        <v>40179</v>
      </c>
      <c r="AD2612" s="25" t="s">
        <v>77</v>
      </c>
      <c r="AE2612" t="s">
        <v>26</v>
      </c>
      <c r="AF2612" t="s">
        <v>26</v>
      </c>
      <c r="AG2612" t="s">
        <v>26</v>
      </c>
      <c r="AH2612" t="s">
        <v>26</v>
      </c>
      <c r="AI2612" t="s">
        <v>26</v>
      </c>
      <c r="AJ2612" t="s">
        <v>26</v>
      </c>
      <c r="AK2612" t="s">
        <v>26</v>
      </c>
      <c r="AL2612" t="s">
        <v>26</v>
      </c>
      <c r="AM2612" t="s">
        <v>26</v>
      </c>
      <c r="AN2612" t="s">
        <v>26</v>
      </c>
      <c r="AO2612" s="25" t="s">
        <v>68</v>
      </c>
      <c r="AP2612" s="23" t="s">
        <v>69</v>
      </c>
      <c r="AQ2612" s="23" t="s">
        <v>30</v>
      </c>
      <c r="AR2612" s="23" t="s">
        <v>6775</v>
      </c>
      <c r="AS2612" s="25">
        <v>216166</v>
      </c>
      <c r="AT2612" t="s">
        <v>26</v>
      </c>
      <c r="AU2612" t="s">
        <v>25631</v>
      </c>
    </row>
    <row r="2613" spans="1:47" ht="26.25" x14ac:dyDescent="0.4">
      <c r="A2613" s="23" t="s">
        <v>6776</v>
      </c>
      <c r="B2613" t="s">
        <v>26</v>
      </c>
      <c r="C2613" s="23" t="s">
        <v>399</v>
      </c>
      <c r="D2613" s="23" t="s">
        <v>25632</v>
      </c>
      <c r="E2613" s="23" t="s">
        <v>60</v>
      </c>
      <c r="F2613" s="25" t="s">
        <v>6777</v>
      </c>
      <c r="G2613" s="25" t="s">
        <v>6778</v>
      </c>
      <c r="H2613" t="s">
        <v>26</v>
      </c>
      <c r="I2613" s="24">
        <v>42644</v>
      </c>
      <c r="J2613" s="25" t="s">
        <v>77</v>
      </c>
      <c r="K2613" t="s">
        <v>26</v>
      </c>
      <c r="L2613" s="25" t="s">
        <v>68</v>
      </c>
      <c r="M2613" t="s">
        <v>26</v>
      </c>
      <c r="N2613" t="s">
        <v>26</v>
      </c>
      <c r="O2613" t="s">
        <v>26</v>
      </c>
      <c r="P2613" s="24">
        <v>42644</v>
      </c>
      <c r="Q2613" s="25" t="s">
        <v>77</v>
      </c>
      <c r="R2613" t="s">
        <v>26</v>
      </c>
      <c r="S2613" t="s">
        <v>26</v>
      </c>
      <c r="T2613" t="s">
        <v>26</v>
      </c>
      <c r="U2613" t="s">
        <v>26</v>
      </c>
      <c r="V2613" s="25">
        <v>365</v>
      </c>
      <c r="W2613" s="24">
        <v>42644</v>
      </c>
      <c r="X2613" s="25" t="s">
        <v>77</v>
      </c>
      <c r="Y2613" t="s">
        <v>26</v>
      </c>
      <c r="Z2613" s="24">
        <v>42644</v>
      </c>
      <c r="AA2613" s="25" t="s">
        <v>77</v>
      </c>
      <c r="AB2613" t="s">
        <v>26</v>
      </c>
      <c r="AC2613" s="24">
        <v>42644</v>
      </c>
      <c r="AD2613" s="25" t="s">
        <v>77</v>
      </c>
      <c r="AE2613" t="s">
        <v>26</v>
      </c>
      <c r="AF2613" t="s">
        <v>26</v>
      </c>
      <c r="AG2613" t="s">
        <v>26</v>
      </c>
      <c r="AH2613" t="s">
        <v>26</v>
      </c>
      <c r="AI2613" t="s">
        <v>26</v>
      </c>
      <c r="AJ2613" t="s">
        <v>26</v>
      </c>
      <c r="AK2613" t="s">
        <v>26</v>
      </c>
      <c r="AL2613" t="s">
        <v>26</v>
      </c>
      <c r="AM2613" t="s">
        <v>26</v>
      </c>
      <c r="AN2613" t="s">
        <v>26</v>
      </c>
      <c r="AO2613" s="25" t="s">
        <v>68</v>
      </c>
      <c r="AP2613" s="23" t="s">
        <v>69</v>
      </c>
      <c r="AQ2613" s="23" t="s">
        <v>30</v>
      </c>
      <c r="AR2613" s="23" t="s">
        <v>70</v>
      </c>
      <c r="AS2613" s="25">
        <v>2046369</v>
      </c>
      <c r="AT2613" t="s">
        <v>26</v>
      </c>
      <c r="AU2613" t="s">
        <v>25633</v>
      </c>
    </row>
    <row r="2614" spans="1:47" ht="26.25" x14ac:dyDescent="0.4">
      <c r="A2614" s="23" t="s">
        <v>6779</v>
      </c>
      <c r="B2614" t="s">
        <v>26</v>
      </c>
      <c r="C2614" s="23" t="s">
        <v>22238</v>
      </c>
      <c r="D2614" s="23" t="s">
        <v>22307</v>
      </c>
      <c r="E2614" s="23" t="s">
        <v>42</v>
      </c>
      <c r="F2614" t="s">
        <v>26</v>
      </c>
      <c r="G2614" t="s">
        <v>26</v>
      </c>
      <c r="H2614" t="s">
        <v>26</v>
      </c>
      <c r="I2614" s="24">
        <v>42736</v>
      </c>
      <c r="J2614" s="24">
        <v>42736</v>
      </c>
      <c r="K2614" t="s">
        <v>26</v>
      </c>
      <c r="L2614" s="25" t="s">
        <v>28</v>
      </c>
      <c r="M2614" s="24">
        <v>42736</v>
      </c>
      <c r="N2614" s="24">
        <v>42736</v>
      </c>
      <c r="O2614" t="s">
        <v>26</v>
      </c>
      <c r="P2614" t="s">
        <v>26</v>
      </c>
      <c r="Q2614" t="s">
        <v>26</v>
      </c>
      <c r="R2614" t="s">
        <v>26</v>
      </c>
      <c r="S2614" s="24">
        <v>42736</v>
      </c>
      <c r="T2614" s="24">
        <v>42736</v>
      </c>
      <c r="U2614" t="s">
        <v>26</v>
      </c>
      <c r="V2614" t="s">
        <v>26</v>
      </c>
      <c r="W2614" s="24">
        <v>42736</v>
      </c>
      <c r="X2614" s="24">
        <v>42736</v>
      </c>
      <c r="Y2614" t="s">
        <v>26</v>
      </c>
      <c r="Z2614" s="24">
        <v>42736</v>
      </c>
      <c r="AA2614" s="24">
        <v>42736</v>
      </c>
      <c r="AB2614" t="s">
        <v>26</v>
      </c>
      <c r="AC2614" s="24">
        <v>42736</v>
      </c>
      <c r="AD2614" s="24">
        <v>42736</v>
      </c>
      <c r="AE2614" t="s">
        <v>26</v>
      </c>
      <c r="AF2614" s="24">
        <v>42736</v>
      </c>
      <c r="AG2614" s="24">
        <v>42736</v>
      </c>
      <c r="AH2614" t="s">
        <v>26</v>
      </c>
      <c r="AI2614" s="24">
        <v>42736</v>
      </c>
      <c r="AJ2614" s="24">
        <v>42736</v>
      </c>
      <c r="AK2614" t="s">
        <v>26</v>
      </c>
      <c r="AL2614" t="s">
        <v>26</v>
      </c>
      <c r="AM2614" t="s">
        <v>26</v>
      </c>
      <c r="AN2614" t="s">
        <v>26</v>
      </c>
      <c r="AO2614" s="25" t="s">
        <v>28</v>
      </c>
      <c r="AP2614" s="23" t="s">
        <v>43</v>
      </c>
      <c r="AQ2614" s="23" t="s">
        <v>30</v>
      </c>
      <c r="AR2614" s="23" t="s">
        <v>46</v>
      </c>
      <c r="AS2614" s="25">
        <v>6447802</v>
      </c>
      <c r="AT2614" t="s">
        <v>26</v>
      </c>
      <c r="AU2614" t="s">
        <v>25634</v>
      </c>
    </row>
    <row r="2615" spans="1:47" ht="26.25" x14ac:dyDescent="0.4">
      <c r="A2615" s="23" t="s">
        <v>6780</v>
      </c>
      <c r="B2615" t="s">
        <v>26</v>
      </c>
      <c r="C2615" s="23" t="s">
        <v>259</v>
      </c>
      <c r="D2615" s="23" t="s">
        <v>22179</v>
      </c>
      <c r="E2615" s="23" t="s">
        <v>60</v>
      </c>
      <c r="F2615" s="25" t="s">
        <v>6781</v>
      </c>
      <c r="G2615" s="25" t="s">
        <v>6782</v>
      </c>
      <c r="H2615" t="s">
        <v>26</v>
      </c>
      <c r="I2615" s="24">
        <v>40909</v>
      </c>
      <c r="J2615" s="25" t="s">
        <v>77</v>
      </c>
      <c r="K2615" t="s">
        <v>26</v>
      </c>
      <c r="L2615" s="25" t="s">
        <v>68</v>
      </c>
      <c r="M2615" s="24">
        <v>40909</v>
      </c>
      <c r="N2615" s="25" t="s">
        <v>77</v>
      </c>
      <c r="O2615" t="s">
        <v>26</v>
      </c>
      <c r="P2615" s="24">
        <v>40909</v>
      </c>
      <c r="Q2615" s="25" t="s">
        <v>77</v>
      </c>
      <c r="R2615" t="s">
        <v>26</v>
      </c>
      <c r="S2615" t="s">
        <v>26</v>
      </c>
      <c r="T2615" t="s">
        <v>26</v>
      </c>
      <c r="U2615" t="s">
        <v>26</v>
      </c>
      <c r="V2615" t="s">
        <v>26</v>
      </c>
      <c r="W2615" s="24">
        <v>40909</v>
      </c>
      <c r="X2615" s="25" t="s">
        <v>77</v>
      </c>
      <c r="Y2615" t="s">
        <v>26</v>
      </c>
      <c r="Z2615" s="24">
        <v>40909</v>
      </c>
      <c r="AA2615" s="25" t="s">
        <v>77</v>
      </c>
      <c r="AB2615" t="s">
        <v>26</v>
      </c>
      <c r="AC2615" s="24">
        <v>40909</v>
      </c>
      <c r="AD2615" s="25" t="s">
        <v>77</v>
      </c>
      <c r="AE2615" t="s">
        <v>26</v>
      </c>
      <c r="AF2615" t="s">
        <v>26</v>
      </c>
      <c r="AG2615" t="s">
        <v>26</v>
      </c>
      <c r="AH2615" t="s">
        <v>26</v>
      </c>
      <c r="AI2615" t="s">
        <v>26</v>
      </c>
      <c r="AJ2615" t="s">
        <v>26</v>
      </c>
      <c r="AK2615" t="s">
        <v>26</v>
      </c>
      <c r="AL2615" t="s">
        <v>26</v>
      </c>
      <c r="AM2615" t="s">
        <v>26</v>
      </c>
      <c r="AN2615" t="s">
        <v>26</v>
      </c>
      <c r="AO2615" s="25" t="s">
        <v>68</v>
      </c>
      <c r="AP2615" s="23" t="s">
        <v>69</v>
      </c>
      <c r="AQ2615" s="23" t="s">
        <v>30</v>
      </c>
      <c r="AR2615" s="23" t="s">
        <v>70</v>
      </c>
      <c r="AS2615" s="25">
        <v>1136358</v>
      </c>
      <c r="AT2615" t="s">
        <v>26</v>
      </c>
      <c r="AU2615" t="s">
        <v>25635</v>
      </c>
    </row>
    <row r="2616" spans="1:47" ht="26.25" x14ac:dyDescent="0.4">
      <c r="A2616" s="23" t="s">
        <v>6783</v>
      </c>
      <c r="B2616" t="s">
        <v>26</v>
      </c>
      <c r="C2616" s="23" t="s">
        <v>213</v>
      </c>
      <c r="D2616" s="23" t="s">
        <v>22174</v>
      </c>
      <c r="E2616" s="23" t="s">
        <v>60</v>
      </c>
      <c r="F2616" t="s">
        <v>26</v>
      </c>
      <c r="G2616" s="25" t="s">
        <v>6784</v>
      </c>
      <c r="H2616" t="s">
        <v>26</v>
      </c>
      <c r="I2616" s="24">
        <v>42736</v>
      </c>
      <c r="J2616" s="25" t="s">
        <v>77</v>
      </c>
      <c r="K2616" t="s">
        <v>26</v>
      </c>
      <c r="L2616" s="25" t="s">
        <v>68</v>
      </c>
      <c r="M2616" s="24">
        <v>42736</v>
      </c>
      <c r="N2616" s="25" t="s">
        <v>77</v>
      </c>
      <c r="O2616" t="s">
        <v>26</v>
      </c>
      <c r="P2616" s="24">
        <v>42736</v>
      </c>
      <c r="Q2616" s="25" t="s">
        <v>77</v>
      </c>
      <c r="R2616" t="s">
        <v>26</v>
      </c>
      <c r="S2616" t="s">
        <v>26</v>
      </c>
      <c r="T2616" t="s">
        <v>26</v>
      </c>
      <c r="U2616" t="s">
        <v>26</v>
      </c>
      <c r="V2616" t="s">
        <v>26</v>
      </c>
      <c r="W2616" s="24">
        <v>42736</v>
      </c>
      <c r="X2616" s="25" t="s">
        <v>77</v>
      </c>
      <c r="Y2616" t="s">
        <v>26</v>
      </c>
      <c r="Z2616" s="24">
        <v>42736</v>
      </c>
      <c r="AA2616" s="25" t="s">
        <v>77</v>
      </c>
      <c r="AB2616" t="s">
        <v>26</v>
      </c>
      <c r="AC2616" s="24">
        <v>42736</v>
      </c>
      <c r="AD2616" s="25" t="s">
        <v>77</v>
      </c>
      <c r="AE2616" t="s">
        <v>26</v>
      </c>
      <c r="AF2616" t="s">
        <v>26</v>
      </c>
      <c r="AG2616" t="s">
        <v>26</v>
      </c>
      <c r="AH2616" t="s">
        <v>26</v>
      </c>
      <c r="AI2616" t="s">
        <v>26</v>
      </c>
      <c r="AJ2616" t="s">
        <v>26</v>
      </c>
      <c r="AK2616" t="s">
        <v>26</v>
      </c>
      <c r="AL2616" t="s">
        <v>26</v>
      </c>
      <c r="AM2616" t="s">
        <v>26</v>
      </c>
      <c r="AN2616" t="s">
        <v>26</v>
      </c>
      <c r="AO2616" s="25" t="s">
        <v>68</v>
      </c>
      <c r="AP2616" s="23" t="s">
        <v>69</v>
      </c>
      <c r="AQ2616" s="23" t="s">
        <v>30</v>
      </c>
      <c r="AR2616" s="23" t="s">
        <v>70</v>
      </c>
      <c r="AS2616" s="25">
        <v>5068516</v>
      </c>
      <c r="AT2616" t="s">
        <v>26</v>
      </c>
      <c r="AU2616" t="s">
        <v>25636</v>
      </c>
    </row>
    <row r="2617" spans="1:47" ht="26.25" x14ac:dyDescent="0.4">
      <c r="A2617" s="23" t="s">
        <v>6785</v>
      </c>
      <c r="B2617" t="s">
        <v>26</v>
      </c>
      <c r="C2617" s="23" t="s">
        <v>73</v>
      </c>
      <c r="D2617" s="23" t="s">
        <v>22215</v>
      </c>
      <c r="E2617" s="23" t="s">
        <v>74</v>
      </c>
      <c r="F2617" s="25" t="s">
        <v>6786</v>
      </c>
      <c r="G2617" s="25" t="s">
        <v>6787</v>
      </c>
      <c r="H2617" t="s">
        <v>26</v>
      </c>
      <c r="I2617" s="24">
        <v>35490</v>
      </c>
      <c r="J2617" s="25" t="s">
        <v>77</v>
      </c>
      <c r="K2617" t="s">
        <v>26</v>
      </c>
      <c r="L2617" s="25" t="s">
        <v>68</v>
      </c>
      <c r="M2617" s="24">
        <v>37987</v>
      </c>
      <c r="N2617" s="24">
        <v>42856</v>
      </c>
      <c r="O2617" t="s">
        <v>26</v>
      </c>
      <c r="P2617" s="24">
        <v>35490</v>
      </c>
      <c r="Q2617" s="25" t="s">
        <v>77</v>
      </c>
      <c r="R2617" t="s">
        <v>26</v>
      </c>
      <c r="S2617" t="s">
        <v>26</v>
      </c>
      <c r="T2617" t="s">
        <v>26</v>
      </c>
      <c r="U2617" t="s">
        <v>26</v>
      </c>
      <c r="V2617" s="25">
        <v>365</v>
      </c>
      <c r="W2617" s="24">
        <v>35490</v>
      </c>
      <c r="X2617" s="25" t="s">
        <v>77</v>
      </c>
      <c r="Y2617" t="s">
        <v>26</v>
      </c>
      <c r="Z2617" s="24">
        <v>35490</v>
      </c>
      <c r="AA2617" s="25" t="s">
        <v>77</v>
      </c>
      <c r="AB2617" t="s">
        <v>26</v>
      </c>
      <c r="AC2617" s="24">
        <v>35490</v>
      </c>
      <c r="AD2617" s="25" t="s">
        <v>77</v>
      </c>
      <c r="AE2617" t="s">
        <v>26</v>
      </c>
      <c r="AF2617" t="s">
        <v>26</v>
      </c>
      <c r="AG2617" t="s">
        <v>26</v>
      </c>
      <c r="AH2617" t="s">
        <v>26</v>
      </c>
      <c r="AI2617" t="s">
        <v>26</v>
      </c>
      <c r="AJ2617" t="s">
        <v>26</v>
      </c>
      <c r="AK2617" t="s">
        <v>26</v>
      </c>
      <c r="AL2617" t="s">
        <v>26</v>
      </c>
      <c r="AM2617" t="s">
        <v>26</v>
      </c>
      <c r="AN2617" t="s">
        <v>26</v>
      </c>
      <c r="AO2617" s="25" t="s">
        <v>68</v>
      </c>
      <c r="AP2617" s="23" t="s">
        <v>69</v>
      </c>
      <c r="AQ2617" s="23" t="s">
        <v>30</v>
      </c>
      <c r="AR2617" s="23" t="s">
        <v>70</v>
      </c>
      <c r="AS2617" s="25">
        <v>326308</v>
      </c>
      <c r="AT2617" t="s">
        <v>26</v>
      </c>
      <c r="AU2617" t="s">
        <v>25637</v>
      </c>
    </row>
    <row r="2618" spans="1:47" ht="26.25" x14ac:dyDescent="0.4">
      <c r="A2618" s="23" t="s">
        <v>6788</v>
      </c>
      <c r="B2618" t="s">
        <v>26</v>
      </c>
      <c r="C2618" s="23" t="s">
        <v>2117</v>
      </c>
      <c r="D2618" s="23" t="s">
        <v>23339</v>
      </c>
      <c r="E2618" s="23" t="s">
        <v>2118</v>
      </c>
      <c r="F2618" s="25" t="s">
        <v>6789</v>
      </c>
      <c r="G2618" t="s">
        <v>26</v>
      </c>
      <c r="H2618" t="s">
        <v>26</v>
      </c>
      <c r="I2618" s="24">
        <v>37987</v>
      </c>
      <c r="J2618" s="24">
        <v>40179</v>
      </c>
      <c r="K2618" t="s">
        <v>26</v>
      </c>
      <c r="L2618" s="25" t="s">
        <v>68</v>
      </c>
      <c r="M2618" s="24">
        <v>37987</v>
      </c>
      <c r="N2618" s="24">
        <v>40179</v>
      </c>
      <c r="O2618" t="s">
        <v>26</v>
      </c>
      <c r="P2618" s="24">
        <v>37987</v>
      </c>
      <c r="Q2618" s="24">
        <v>40179</v>
      </c>
      <c r="R2618" t="s">
        <v>26</v>
      </c>
      <c r="S2618" t="s">
        <v>26</v>
      </c>
      <c r="T2618" t="s">
        <v>26</v>
      </c>
      <c r="U2618" t="s">
        <v>26</v>
      </c>
      <c r="V2618" t="s">
        <v>26</v>
      </c>
      <c r="W2618" s="24">
        <v>37987</v>
      </c>
      <c r="X2618" s="24">
        <v>40179</v>
      </c>
      <c r="Y2618" t="s">
        <v>26</v>
      </c>
      <c r="Z2618" s="24">
        <v>37987</v>
      </c>
      <c r="AA2618" s="24">
        <v>40179</v>
      </c>
      <c r="AB2618" t="s">
        <v>26</v>
      </c>
      <c r="AC2618" s="24">
        <v>38443</v>
      </c>
      <c r="AD2618" s="24">
        <v>40179</v>
      </c>
      <c r="AE2618" t="s">
        <v>26</v>
      </c>
      <c r="AF2618" t="s">
        <v>26</v>
      </c>
      <c r="AG2618" t="s">
        <v>26</v>
      </c>
      <c r="AH2618" t="s">
        <v>26</v>
      </c>
      <c r="AI2618" t="s">
        <v>26</v>
      </c>
      <c r="AJ2618" t="s">
        <v>26</v>
      </c>
      <c r="AK2618" t="s">
        <v>26</v>
      </c>
      <c r="AL2618" t="s">
        <v>26</v>
      </c>
      <c r="AM2618" t="s">
        <v>26</v>
      </c>
      <c r="AN2618" t="s">
        <v>26</v>
      </c>
      <c r="AO2618" s="25" t="s">
        <v>68</v>
      </c>
      <c r="AP2618" s="23" t="s">
        <v>69</v>
      </c>
      <c r="AQ2618" s="23" t="s">
        <v>30</v>
      </c>
      <c r="AR2618" s="23" t="s">
        <v>70</v>
      </c>
      <c r="AS2618" s="25">
        <v>28707</v>
      </c>
      <c r="AT2618" t="s">
        <v>26</v>
      </c>
      <c r="AU2618" t="s">
        <v>25638</v>
      </c>
    </row>
    <row r="2619" spans="1:47" ht="26.25" x14ac:dyDescent="0.4">
      <c r="A2619" s="23" t="s">
        <v>6790</v>
      </c>
      <c r="B2619" t="s">
        <v>26</v>
      </c>
      <c r="C2619" s="23" t="s">
        <v>2117</v>
      </c>
      <c r="D2619" s="23" t="s">
        <v>23339</v>
      </c>
      <c r="E2619" s="23" t="s">
        <v>2118</v>
      </c>
      <c r="F2619" t="s">
        <v>26</v>
      </c>
      <c r="G2619" s="25" t="s">
        <v>6791</v>
      </c>
      <c r="H2619" t="s">
        <v>26</v>
      </c>
      <c r="I2619" s="24">
        <v>40909</v>
      </c>
      <c r="J2619" s="24">
        <v>43466</v>
      </c>
      <c r="K2619" t="s">
        <v>26</v>
      </c>
      <c r="L2619" s="25" t="s">
        <v>68</v>
      </c>
      <c r="M2619" s="24">
        <v>40909</v>
      </c>
      <c r="N2619" s="24">
        <v>43466</v>
      </c>
      <c r="O2619" t="s">
        <v>26</v>
      </c>
      <c r="P2619" s="24">
        <v>40909</v>
      </c>
      <c r="Q2619" s="24">
        <v>43466</v>
      </c>
      <c r="R2619" t="s">
        <v>26</v>
      </c>
      <c r="S2619" t="s">
        <v>26</v>
      </c>
      <c r="T2619" t="s">
        <v>26</v>
      </c>
      <c r="U2619" t="s">
        <v>26</v>
      </c>
      <c r="V2619" t="s">
        <v>26</v>
      </c>
      <c r="W2619" s="24">
        <v>40909</v>
      </c>
      <c r="X2619" s="24">
        <v>43466</v>
      </c>
      <c r="Y2619" t="s">
        <v>26</v>
      </c>
      <c r="Z2619" s="24">
        <v>40909</v>
      </c>
      <c r="AA2619" s="24">
        <v>43466</v>
      </c>
      <c r="AB2619" t="s">
        <v>26</v>
      </c>
      <c r="AC2619" s="24">
        <v>42736</v>
      </c>
      <c r="AD2619" s="24">
        <v>43466</v>
      </c>
      <c r="AE2619" t="s">
        <v>26</v>
      </c>
      <c r="AF2619" t="s">
        <v>26</v>
      </c>
      <c r="AG2619" t="s">
        <v>26</v>
      </c>
      <c r="AH2619" t="s">
        <v>26</v>
      </c>
      <c r="AI2619" t="s">
        <v>26</v>
      </c>
      <c r="AJ2619" t="s">
        <v>26</v>
      </c>
      <c r="AK2619" t="s">
        <v>26</v>
      </c>
      <c r="AL2619" t="s">
        <v>26</v>
      </c>
      <c r="AM2619" t="s">
        <v>26</v>
      </c>
      <c r="AN2619" t="s">
        <v>26</v>
      </c>
      <c r="AO2619" s="25" t="s">
        <v>68</v>
      </c>
      <c r="AP2619" s="23" t="s">
        <v>69</v>
      </c>
      <c r="AQ2619" s="23" t="s">
        <v>30</v>
      </c>
      <c r="AR2619" s="23" t="s">
        <v>70</v>
      </c>
      <c r="AS2619" s="25">
        <v>1806365</v>
      </c>
      <c r="AT2619" t="s">
        <v>26</v>
      </c>
      <c r="AU2619" t="s">
        <v>25639</v>
      </c>
    </row>
    <row r="2620" spans="1:47" ht="13.15" x14ac:dyDescent="0.4">
      <c r="A2620" s="23" t="s">
        <v>6792</v>
      </c>
      <c r="B2620" t="s">
        <v>26</v>
      </c>
      <c r="C2620" s="23" t="s">
        <v>1612</v>
      </c>
      <c r="D2620" s="23" t="s">
        <v>23047</v>
      </c>
      <c r="E2620" s="23" t="s">
        <v>42</v>
      </c>
      <c r="F2620" t="s">
        <v>26</v>
      </c>
      <c r="G2620" t="s">
        <v>26</v>
      </c>
      <c r="H2620" t="s">
        <v>26</v>
      </c>
      <c r="I2620" t="s">
        <v>26</v>
      </c>
      <c r="J2620" t="s">
        <v>26</v>
      </c>
      <c r="K2620" t="s">
        <v>26</v>
      </c>
      <c r="L2620" s="25" t="s">
        <v>28</v>
      </c>
      <c r="M2620" t="s">
        <v>26</v>
      </c>
      <c r="N2620" t="s">
        <v>26</v>
      </c>
      <c r="O2620" t="s">
        <v>26</v>
      </c>
      <c r="P2620" t="s">
        <v>26</v>
      </c>
      <c r="Q2620" t="s">
        <v>26</v>
      </c>
      <c r="R2620" t="s">
        <v>26</v>
      </c>
      <c r="S2620" t="s">
        <v>26</v>
      </c>
      <c r="T2620" t="s">
        <v>26</v>
      </c>
      <c r="U2620" t="s">
        <v>26</v>
      </c>
      <c r="V2620" t="s">
        <v>26</v>
      </c>
      <c r="W2620" s="24">
        <v>42370</v>
      </c>
      <c r="X2620" s="24">
        <v>42370</v>
      </c>
      <c r="Y2620" t="s">
        <v>26</v>
      </c>
      <c r="Z2620" s="24">
        <v>42370</v>
      </c>
      <c r="AA2620" s="24">
        <v>42370</v>
      </c>
      <c r="AB2620" t="s">
        <v>26</v>
      </c>
      <c r="AC2620" t="s">
        <v>26</v>
      </c>
      <c r="AD2620" t="s">
        <v>26</v>
      </c>
      <c r="AE2620" t="s">
        <v>26</v>
      </c>
      <c r="AF2620" t="s">
        <v>26</v>
      </c>
      <c r="AG2620" t="s">
        <v>26</v>
      </c>
      <c r="AH2620" t="s">
        <v>26</v>
      </c>
      <c r="AI2620" t="s">
        <v>26</v>
      </c>
      <c r="AJ2620" t="s">
        <v>26</v>
      </c>
      <c r="AK2620" t="s">
        <v>26</v>
      </c>
      <c r="AL2620" t="s">
        <v>26</v>
      </c>
      <c r="AM2620" t="s">
        <v>26</v>
      </c>
      <c r="AN2620" t="s">
        <v>26</v>
      </c>
      <c r="AO2620" s="25" t="s">
        <v>28</v>
      </c>
      <c r="AP2620" s="23" t="s">
        <v>29</v>
      </c>
      <c r="AQ2620" s="23" t="s">
        <v>30</v>
      </c>
      <c r="AR2620" s="23" t="s">
        <v>147</v>
      </c>
      <c r="AS2620" s="25">
        <v>5485068</v>
      </c>
      <c r="AT2620" s="23" t="s">
        <v>22181</v>
      </c>
      <c r="AU2620" t="s">
        <v>25640</v>
      </c>
    </row>
    <row r="2621" spans="1:47" ht="26.25" x14ac:dyDescent="0.4">
      <c r="A2621" s="23" t="s">
        <v>6793</v>
      </c>
      <c r="B2621" t="s">
        <v>26</v>
      </c>
      <c r="C2621" s="23" t="s">
        <v>107</v>
      </c>
      <c r="D2621" s="23" t="s">
        <v>22194</v>
      </c>
      <c r="E2621" s="23" t="s">
        <v>42</v>
      </c>
      <c r="F2621" s="25" t="s">
        <v>6794</v>
      </c>
      <c r="G2621" s="25" t="s">
        <v>6795</v>
      </c>
      <c r="H2621" t="s">
        <v>26</v>
      </c>
      <c r="I2621" t="s">
        <v>26</v>
      </c>
      <c r="J2621" t="s">
        <v>26</v>
      </c>
      <c r="K2621" t="s">
        <v>26</v>
      </c>
      <c r="L2621" s="25" t="s">
        <v>68</v>
      </c>
      <c r="M2621" t="s">
        <v>26</v>
      </c>
      <c r="N2621" t="s">
        <v>26</v>
      </c>
      <c r="O2621" t="s">
        <v>26</v>
      </c>
      <c r="P2621" t="s">
        <v>26</v>
      </c>
      <c r="Q2621" t="s">
        <v>26</v>
      </c>
      <c r="R2621" t="s">
        <v>26</v>
      </c>
      <c r="S2621" t="s">
        <v>26</v>
      </c>
      <c r="T2621" t="s">
        <v>26</v>
      </c>
      <c r="U2621" t="s">
        <v>26</v>
      </c>
      <c r="V2621" t="s">
        <v>26</v>
      </c>
      <c r="W2621" s="24">
        <v>35096</v>
      </c>
      <c r="X2621" s="25" t="s">
        <v>77</v>
      </c>
      <c r="Y2621" t="s">
        <v>26</v>
      </c>
      <c r="Z2621" s="24">
        <v>35096</v>
      </c>
      <c r="AA2621" s="25" t="s">
        <v>77</v>
      </c>
      <c r="AB2621" t="s">
        <v>26</v>
      </c>
      <c r="AC2621" s="24">
        <v>35186</v>
      </c>
      <c r="AD2621" s="25" t="s">
        <v>77</v>
      </c>
      <c r="AE2621" t="s">
        <v>26</v>
      </c>
      <c r="AF2621" t="s">
        <v>26</v>
      </c>
      <c r="AG2621" t="s">
        <v>26</v>
      </c>
      <c r="AH2621" t="s">
        <v>26</v>
      </c>
      <c r="AI2621" t="s">
        <v>26</v>
      </c>
      <c r="AJ2621" t="s">
        <v>26</v>
      </c>
      <c r="AK2621" t="s">
        <v>26</v>
      </c>
      <c r="AL2621" t="s">
        <v>26</v>
      </c>
      <c r="AM2621" t="s">
        <v>26</v>
      </c>
      <c r="AN2621" t="s">
        <v>26</v>
      </c>
      <c r="AO2621" s="25" t="s">
        <v>68</v>
      </c>
      <c r="AP2621" s="23" t="s">
        <v>69</v>
      </c>
      <c r="AQ2621" s="23" t="s">
        <v>30</v>
      </c>
      <c r="AR2621" s="23" t="s">
        <v>257</v>
      </c>
      <c r="AS2621" s="25">
        <v>32585</v>
      </c>
      <c r="AT2621" t="s">
        <v>26</v>
      </c>
      <c r="AU2621" t="s">
        <v>25641</v>
      </c>
    </row>
    <row r="2622" spans="1:47" ht="26.25" x14ac:dyDescent="0.4">
      <c r="A2622" s="23" t="s">
        <v>6796</v>
      </c>
      <c r="B2622" t="s">
        <v>26</v>
      </c>
      <c r="C2622" s="23" t="s">
        <v>80</v>
      </c>
      <c r="D2622" s="23" t="s">
        <v>25642</v>
      </c>
      <c r="E2622" s="23" t="s">
        <v>60</v>
      </c>
      <c r="F2622" s="25" t="s">
        <v>6797</v>
      </c>
      <c r="G2622" s="25" t="s">
        <v>6798</v>
      </c>
      <c r="H2622" t="s">
        <v>26</v>
      </c>
      <c r="I2622" s="24">
        <v>36100</v>
      </c>
      <c r="J2622" s="24">
        <v>39995</v>
      </c>
      <c r="K2622" t="s">
        <v>26</v>
      </c>
      <c r="L2622" s="25" t="s">
        <v>68</v>
      </c>
      <c r="M2622" s="24">
        <v>36100</v>
      </c>
      <c r="N2622" s="24">
        <v>39995</v>
      </c>
      <c r="O2622" t="s">
        <v>26</v>
      </c>
      <c r="P2622" s="24">
        <v>36100</v>
      </c>
      <c r="Q2622" s="24">
        <v>39995</v>
      </c>
      <c r="R2622" t="s">
        <v>26</v>
      </c>
      <c r="S2622" t="s">
        <v>26</v>
      </c>
      <c r="T2622" t="s">
        <v>26</v>
      </c>
      <c r="U2622" t="s">
        <v>26</v>
      </c>
      <c r="V2622" t="s">
        <v>26</v>
      </c>
      <c r="W2622" s="24">
        <v>36100</v>
      </c>
      <c r="X2622" s="25" t="s">
        <v>77</v>
      </c>
      <c r="Y2622" s="25" t="s">
        <v>6799</v>
      </c>
      <c r="Z2622" s="24">
        <v>36100</v>
      </c>
      <c r="AA2622" s="25" t="s">
        <v>77</v>
      </c>
      <c r="AB2622" s="25" t="s">
        <v>6799</v>
      </c>
      <c r="AC2622" s="24">
        <v>43101</v>
      </c>
      <c r="AD2622" s="25" t="s">
        <v>77</v>
      </c>
      <c r="AE2622" t="s">
        <v>26</v>
      </c>
      <c r="AF2622" t="s">
        <v>26</v>
      </c>
      <c r="AG2622" t="s">
        <v>26</v>
      </c>
      <c r="AH2622" t="s">
        <v>26</v>
      </c>
      <c r="AI2622" t="s">
        <v>26</v>
      </c>
      <c r="AJ2622" t="s">
        <v>26</v>
      </c>
      <c r="AK2622" t="s">
        <v>26</v>
      </c>
      <c r="AL2622" t="s">
        <v>26</v>
      </c>
      <c r="AM2622" t="s">
        <v>26</v>
      </c>
      <c r="AN2622" t="s">
        <v>26</v>
      </c>
      <c r="AO2622" s="25" t="s">
        <v>68</v>
      </c>
      <c r="AP2622" s="23" t="s">
        <v>69</v>
      </c>
      <c r="AQ2622" s="23" t="s">
        <v>30</v>
      </c>
      <c r="AR2622" s="23" t="s">
        <v>1046</v>
      </c>
      <c r="AS2622" s="25">
        <v>32944</v>
      </c>
      <c r="AT2622" t="s">
        <v>26</v>
      </c>
      <c r="AU2622" t="s">
        <v>25643</v>
      </c>
    </row>
    <row r="2623" spans="1:47" ht="26.25" x14ac:dyDescent="0.4">
      <c r="A2623" s="23" t="s">
        <v>6800</v>
      </c>
      <c r="B2623" t="s">
        <v>26</v>
      </c>
      <c r="C2623" s="23" t="s">
        <v>635</v>
      </c>
      <c r="D2623" s="23" t="s">
        <v>22242</v>
      </c>
      <c r="E2623" s="23" t="s">
        <v>42</v>
      </c>
      <c r="F2623" s="25" t="s">
        <v>6801</v>
      </c>
      <c r="G2623" s="25" t="s">
        <v>6802</v>
      </c>
      <c r="H2623" t="s">
        <v>26</v>
      </c>
      <c r="I2623" s="24">
        <v>39539</v>
      </c>
      <c r="J2623" s="25" t="s">
        <v>77</v>
      </c>
      <c r="K2623" t="s">
        <v>26</v>
      </c>
      <c r="L2623" s="25" t="s">
        <v>68</v>
      </c>
      <c r="M2623" s="24">
        <v>39539</v>
      </c>
      <c r="N2623" s="24">
        <v>43647</v>
      </c>
      <c r="O2623" t="s">
        <v>26</v>
      </c>
      <c r="P2623" s="24">
        <v>39539</v>
      </c>
      <c r="Q2623" s="25" t="s">
        <v>77</v>
      </c>
      <c r="R2623" t="s">
        <v>26</v>
      </c>
      <c r="S2623" t="s">
        <v>26</v>
      </c>
      <c r="T2623" t="s">
        <v>26</v>
      </c>
      <c r="U2623" t="s">
        <v>26</v>
      </c>
      <c r="V2623" s="25">
        <v>365</v>
      </c>
      <c r="W2623" s="24">
        <v>39539</v>
      </c>
      <c r="X2623" s="25" t="s">
        <v>77</v>
      </c>
      <c r="Y2623" t="s">
        <v>26</v>
      </c>
      <c r="Z2623" s="24">
        <v>39539</v>
      </c>
      <c r="AA2623" s="25" t="s">
        <v>77</v>
      </c>
      <c r="AB2623" t="s">
        <v>26</v>
      </c>
      <c r="AC2623" s="24">
        <v>39539</v>
      </c>
      <c r="AD2623" s="25" t="s">
        <v>77</v>
      </c>
      <c r="AE2623" t="s">
        <v>26</v>
      </c>
      <c r="AF2623" t="s">
        <v>26</v>
      </c>
      <c r="AG2623" t="s">
        <v>26</v>
      </c>
      <c r="AH2623" t="s">
        <v>26</v>
      </c>
      <c r="AI2623" t="s">
        <v>26</v>
      </c>
      <c r="AJ2623" t="s">
        <v>26</v>
      </c>
      <c r="AK2623" t="s">
        <v>26</v>
      </c>
      <c r="AL2623" t="s">
        <v>26</v>
      </c>
      <c r="AM2623" t="s">
        <v>26</v>
      </c>
      <c r="AN2623" t="s">
        <v>26</v>
      </c>
      <c r="AO2623" s="25" t="s">
        <v>68</v>
      </c>
      <c r="AP2623" s="23" t="s">
        <v>69</v>
      </c>
      <c r="AQ2623" s="23" t="s">
        <v>30</v>
      </c>
      <c r="AR2623" s="23" t="s">
        <v>1344</v>
      </c>
      <c r="AS2623" s="25">
        <v>38969</v>
      </c>
      <c r="AT2623" t="s">
        <v>26</v>
      </c>
      <c r="AU2623" t="s">
        <v>25644</v>
      </c>
    </row>
    <row r="2624" spans="1:47" ht="26.25" x14ac:dyDescent="0.4">
      <c r="A2624" s="23" t="s">
        <v>6803</v>
      </c>
      <c r="B2624" t="s">
        <v>26</v>
      </c>
      <c r="C2624" s="23" t="s">
        <v>6804</v>
      </c>
      <c r="D2624" s="23" t="s">
        <v>22502</v>
      </c>
      <c r="E2624" s="23" t="s">
        <v>812</v>
      </c>
      <c r="F2624" s="25" t="s">
        <v>6805</v>
      </c>
      <c r="G2624" s="25" t="s">
        <v>6806</v>
      </c>
      <c r="H2624" t="s">
        <v>26</v>
      </c>
      <c r="I2624" s="24">
        <v>35796</v>
      </c>
      <c r="J2624" s="25" t="s">
        <v>77</v>
      </c>
      <c r="K2624" t="s">
        <v>26</v>
      </c>
      <c r="L2624" s="25" t="s">
        <v>68</v>
      </c>
      <c r="M2624" s="24">
        <v>35796</v>
      </c>
      <c r="N2624" s="25" t="s">
        <v>77</v>
      </c>
      <c r="O2624" t="s">
        <v>26</v>
      </c>
      <c r="P2624" s="24">
        <v>35796</v>
      </c>
      <c r="Q2624" s="25" t="s">
        <v>77</v>
      </c>
      <c r="R2624" t="s">
        <v>26</v>
      </c>
      <c r="S2624" t="s">
        <v>26</v>
      </c>
      <c r="T2624" t="s">
        <v>26</v>
      </c>
      <c r="U2624" t="s">
        <v>26</v>
      </c>
      <c r="V2624" t="s">
        <v>26</v>
      </c>
      <c r="W2624" s="24">
        <v>35796</v>
      </c>
      <c r="X2624" s="25" t="s">
        <v>77</v>
      </c>
      <c r="Y2624" t="s">
        <v>26</v>
      </c>
      <c r="Z2624" s="24">
        <v>35796</v>
      </c>
      <c r="AA2624" s="25" t="s">
        <v>77</v>
      </c>
      <c r="AB2624" t="s">
        <v>26</v>
      </c>
      <c r="AC2624" s="24">
        <v>40801</v>
      </c>
      <c r="AD2624" s="25" t="s">
        <v>77</v>
      </c>
      <c r="AE2624" t="s">
        <v>26</v>
      </c>
      <c r="AF2624" t="s">
        <v>26</v>
      </c>
      <c r="AG2624" t="s">
        <v>26</v>
      </c>
      <c r="AH2624" t="s">
        <v>26</v>
      </c>
      <c r="AI2624" t="s">
        <v>26</v>
      </c>
      <c r="AJ2624" t="s">
        <v>26</v>
      </c>
      <c r="AK2624" t="s">
        <v>26</v>
      </c>
      <c r="AL2624" t="s">
        <v>26</v>
      </c>
      <c r="AM2624" t="s">
        <v>26</v>
      </c>
      <c r="AN2624" t="s">
        <v>26</v>
      </c>
      <c r="AO2624" s="25" t="s">
        <v>68</v>
      </c>
      <c r="AP2624" s="23" t="s">
        <v>69</v>
      </c>
      <c r="AQ2624" s="23" t="s">
        <v>30</v>
      </c>
      <c r="AR2624" s="23" t="s">
        <v>257</v>
      </c>
      <c r="AS2624" s="25">
        <v>47863</v>
      </c>
      <c r="AT2624" t="s">
        <v>26</v>
      </c>
      <c r="AU2624" t="s">
        <v>25645</v>
      </c>
    </row>
    <row r="2625" spans="1:47" ht="26.25" x14ac:dyDescent="0.4">
      <c r="A2625" s="23" t="s">
        <v>6807</v>
      </c>
      <c r="B2625" t="s">
        <v>26</v>
      </c>
      <c r="C2625" s="23" t="s">
        <v>264</v>
      </c>
      <c r="D2625" s="23" t="s">
        <v>22261</v>
      </c>
      <c r="E2625" s="23" t="s">
        <v>60</v>
      </c>
      <c r="F2625" s="25" t="s">
        <v>6808</v>
      </c>
      <c r="G2625" s="25" t="s">
        <v>6809</v>
      </c>
      <c r="H2625" t="s">
        <v>26</v>
      </c>
      <c r="I2625" s="24">
        <v>40179</v>
      </c>
      <c r="J2625" s="24">
        <v>41913</v>
      </c>
      <c r="K2625" t="s">
        <v>26</v>
      </c>
      <c r="L2625" s="25" t="s">
        <v>68</v>
      </c>
      <c r="M2625" s="24">
        <v>40634</v>
      </c>
      <c r="N2625" s="24">
        <v>41913</v>
      </c>
      <c r="O2625" t="s">
        <v>26</v>
      </c>
      <c r="P2625" s="24">
        <v>40179</v>
      </c>
      <c r="Q2625" s="24">
        <v>41913</v>
      </c>
      <c r="R2625" t="s">
        <v>26</v>
      </c>
      <c r="S2625" t="s">
        <v>26</v>
      </c>
      <c r="T2625" t="s">
        <v>26</v>
      </c>
      <c r="U2625" t="s">
        <v>26</v>
      </c>
      <c r="V2625" t="s">
        <v>26</v>
      </c>
      <c r="W2625" s="24">
        <v>40179</v>
      </c>
      <c r="X2625" s="24">
        <v>41913</v>
      </c>
      <c r="Y2625" t="s">
        <v>26</v>
      </c>
      <c r="Z2625" s="24">
        <v>40179</v>
      </c>
      <c r="AA2625" s="24">
        <v>41913</v>
      </c>
      <c r="AB2625" t="s">
        <v>26</v>
      </c>
      <c r="AC2625" s="24">
        <v>40179</v>
      </c>
      <c r="AD2625" s="24">
        <v>41913</v>
      </c>
      <c r="AE2625" t="s">
        <v>26</v>
      </c>
      <c r="AF2625" t="s">
        <v>26</v>
      </c>
      <c r="AG2625" t="s">
        <v>26</v>
      </c>
      <c r="AH2625" t="s">
        <v>26</v>
      </c>
      <c r="AI2625" t="s">
        <v>26</v>
      </c>
      <c r="AJ2625" t="s">
        <v>26</v>
      </c>
      <c r="AK2625" t="s">
        <v>26</v>
      </c>
      <c r="AL2625" t="s">
        <v>26</v>
      </c>
      <c r="AM2625" t="s">
        <v>26</v>
      </c>
      <c r="AN2625" t="s">
        <v>26</v>
      </c>
      <c r="AO2625" s="25" t="s">
        <v>68</v>
      </c>
      <c r="AP2625" s="23" t="s">
        <v>69</v>
      </c>
      <c r="AQ2625" s="23" t="s">
        <v>30</v>
      </c>
      <c r="AR2625" s="23" t="s">
        <v>25646</v>
      </c>
      <c r="AS2625" s="25">
        <v>1006508</v>
      </c>
      <c r="AT2625" t="s">
        <v>26</v>
      </c>
      <c r="AU2625" t="s">
        <v>25647</v>
      </c>
    </row>
    <row r="2626" spans="1:47" ht="26.25" x14ac:dyDescent="0.4">
      <c r="A2626" s="23" t="s">
        <v>6810</v>
      </c>
      <c r="B2626" t="s">
        <v>26</v>
      </c>
      <c r="C2626" s="23" t="s">
        <v>73</v>
      </c>
      <c r="D2626" s="23" t="s">
        <v>22215</v>
      </c>
      <c r="E2626" s="23" t="s">
        <v>74</v>
      </c>
      <c r="F2626" s="25" t="s">
        <v>6811</v>
      </c>
      <c r="G2626" s="25" t="s">
        <v>6812</v>
      </c>
      <c r="H2626" t="s">
        <v>26</v>
      </c>
      <c r="I2626" s="24">
        <v>35735</v>
      </c>
      <c r="J2626" s="25" t="s">
        <v>77</v>
      </c>
      <c r="K2626" t="s">
        <v>26</v>
      </c>
      <c r="L2626" s="25" t="s">
        <v>68</v>
      </c>
      <c r="M2626" s="24">
        <v>38018</v>
      </c>
      <c r="N2626" s="24">
        <v>42826</v>
      </c>
      <c r="O2626" t="s">
        <v>26</v>
      </c>
      <c r="P2626" s="24">
        <v>35735</v>
      </c>
      <c r="Q2626" s="25" t="s">
        <v>77</v>
      </c>
      <c r="R2626" t="s">
        <v>26</v>
      </c>
      <c r="S2626" t="s">
        <v>26</v>
      </c>
      <c r="T2626" t="s">
        <v>26</v>
      </c>
      <c r="U2626" t="s">
        <v>26</v>
      </c>
      <c r="V2626" s="25">
        <v>365</v>
      </c>
      <c r="W2626" s="24">
        <v>35735</v>
      </c>
      <c r="X2626" s="25" t="s">
        <v>77</v>
      </c>
      <c r="Y2626" t="s">
        <v>26</v>
      </c>
      <c r="Z2626" s="24">
        <v>35735</v>
      </c>
      <c r="AA2626" s="25" t="s">
        <v>77</v>
      </c>
      <c r="AB2626" t="s">
        <v>26</v>
      </c>
      <c r="AC2626" s="24">
        <v>35735</v>
      </c>
      <c r="AD2626" s="25" t="s">
        <v>77</v>
      </c>
      <c r="AE2626" t="s">
        <v>26</v>
      </c>
      <c r="AF2626" t="s">
        <v>26</v>
      </c>
      <c r="AG2626" t="s">
        <v>26</v>
      </c>
      <c r="AH2626" t="s">
        <v>26</v>
      </c>
      <c r="AI2626" t="s">
        <v>26</v>
      </c>
      <c r="AJ2626" t="s">
        <v>26</v>
      </c>
      <c r="AK2626" t="s">
        <v>26</v>
      </c>
      <c r="AL2626" t="s">
        <v>26</v>
      </c>
      <c r="AM2626" t="s">
        <v>26</v>
      </c>
      <c r="AN2626" t="s">
        <v>26</v>
      </c>
      <c r="AO2626" s="25" t="s">
        <v>68</v>
      </c>
      <c r="AP2626" s="23" t="s">
        <v>69</v>
      </c>
      <c r="AQ2626" s="23" t="s">
        <v>30</v>
      </c>
      <c r="AR2626" s="23" t="s">
        <v>147</v>
      </c>
      <c r="AS2626" s="25">
        <v>31358</v>
      </c>
      <c r="AT2626" t="s">
        <v>26</v>
      </c>
      <c r="AU2626" t="s">
        <v>25648</v>
      </c>
    </row>
    <row r="2627" spans="1:47" ht="26.25" x14ac:dyDescent="0.4">
      <c r="A2627" s="23" t="s">
        <v>6813</v>
      </c>
      <c r="B2627" t="s">
        <v>26</v>
      </c>
      <c r="C2627" s="23" t="s">
        <v>65</v>
      </c>
      <c r="D2627" s="23" t="s">
        <v>22179</v>
      </c>
      <c r="E2627" s="23" t="s">
        <v>42</v>
      </c>
      <c r="F2627" s="25" t="s">
        <v>6814</v>
      </c>
      <c r="G2627" s="25" t="s">
        <v>6815</v>
      </c>
      <c r="H2627" t="s">
        <v>26</v>
      </c>
      <c r="I2627" s="24">
        <v>30011</v>
      </c>
      <c r="J2627" s="24">
        <v>43070</v>
      </c>
      <c r="K2627" t="s">
        <v>26</v>
      </c>
      <c r="L2627" s="25" t="s">
        <v>68</v>
      </c>
      <c r="M2627" s="24">
        <v>30011</v>
      </c>
      <c r="N2627" s="24">
        <v>40269</v>
      </c>
      <c r="O2627" t="s">
        <v>26</v>
      </c>
      <c r="P2627" s="24">
        <v>30011</v>
      </c>
      <c r="Q2627" s="24">
        <v>43070</v>
      </c>
      <c r="R2627" t="s">
        <v>26</v>
      </c>
      <c r="S2627" t="s">
        <v>26</v>
      </c>
      <c r="T2627" t="s">
        <v>26</v>
      </c>
      <c r="U2627" t="s">
        <v>26</v>
      </c>
      <c r="V2627" t="s">
        <v>26</v>
      </c>
      <c r="W2627" s="24">
        <v>30011</v>
      </c>
      <c r="X2627" s="25" t="s">
        <v>77</v>
      </c>
      <c r="Y2627" t="s">
        <v>26</v>
      </c>
      <c r="Z2627" s="24">
        <v>30011</v>
      </c>
      <c r="AA2627" s="25" t="s">
        <v>77</v>
      </c>
      <c r="AB2627" t="s">
        <v>26</v>
      </c>
      <c r="AC2627" s="24">
        <v>30011</v>
      </c>
      <c r="AD2627" s="25" t="s">
        <v>77</v>
      </c>
      <c r="AE2627" t="s">
        <v>26</v>
      </c>
      <c r="AF2627" t="s">
        <v>26</v>
      </c>
      <c r="AG2627" t="s">
        <v>26</v>
      </c>
      <c r="AH2627" t="s">
        <v>26</v>
      </c>
      <c r="AI2627" t="s">
        <v>26</v>
      </c>
      <c r="AJ2627" t="s">
        <v>26</v>
      </c>
      <c r="AK2627" t="s">
        <v>26</v>
      </c>
      <c r="AL2627" t="s">
        <v>26</v>
      </c>
      <c r="AM2627" t="s">
        <v>26</v>
      </c>
      <c r="AN2627" t="s">
        <v>26</v>
      </c>
      <c r="AO2627" s="25" t="s">
        <v>68</v>
      </c>
      <c r="AP2627" s="23" t="s">
        <v>69</v>
      </c>
      <c r="AQ2627" s="23" t="s">
        <v>30</v>
      </c>
      <c r="AR2627" s="23" t="s">
        <v>46</v>
      </c>
      <c r="AS2627" s="25">
        <v>37399</v>
      </c>
      <c r="AT2627" t="s">
        <v>26</v>
      </c>
      <c r="AU2627" t="s">
        <v>25649</v>
      </c>
    </row>
    <row r="2628" spans="1:47" ht="26.25" x14ac:dyDescent="0.4">
      <c r="A2628" s="23" t="s">
        <v>6816</v>
      </c>
      <c r="B2628" t="s">
        <v>26</v>
      </c>
      <c r="C2628" s="23" t="s">
        <v>167</v>
      </c>
      <c r="D2628" s="23" t="s">
        <v>22218</v>
      </c>
      <c r="E2628" s="23" t="s">
        <v>60</v>
      </c>
      <c r="F2628" t="s">
        <v>26</v>
      </c>
      <c r="G2628" t="s">
        <v>26</v>
      </c>
      <c r="H2628" t="s">
        <v>26</v>
      </c>
      <c r="I2628" s="24">
        <v>39814</v>
      </c>
      <c r="J2628" s="24">
        <v>39814</v>
      </c>
      <c r="K2628" t="s">
        <v>26</v>
      </c>
      <c r="L2628" s="25" t="s">
        <v>28</v>
      </c>
      <c r="M2628" t="s">
        <v>26</v>
      </c>
      <c r="N2628" t="s">
        <v>26</v>
      </c>
      <c r="O2628" t="s">
        <v>26</v>
      </c>
      <c r="P2628" s="24">
        <v>39814</v>
      </c>
      <c r="Q2628" s="24">
        <v>39814</v>
      </c>
      <c r="R2628" t="s">
        <v>26</v>
      </c>
      <c r="S2628" t="s">
        <v>26</v>
      </c>
      <c r="T2628" t="s">
        <v>26</v>
      </c>
      <c r="U2628" t="s">
        <v>26</v>
      </c>
      <c r="V2628" t="s">
        <v>26</v>
      </c>
      <c r="W2628" s="24">
        <v>39814</v>
      </c>
      <c r="X2628" s="24">
        <v>39814</v>
      </c>
      <c r="Y2628" t="s">
        <v>26</v>
      </c>
      <c r="Z2628" s="24">
        <v>39814</v>
      </c>
      <c r="AA2628" s="24">
        <v>39814</v>
      </c>
      <c r="AB2628" t="s">
        <v>26</v>
      </c>
      <c r="AC2628" s="24">
        <v>39814</v>
      </c>
      <c r="AD2628" s="24">
        <v>39814</v>
      </c>
      <c r="AE2628" t="s">
        <v>26</v>
      </c>
      <c r="AF2628" t="s">
        <v>26</v>
      </c>
      <c r="AG2628" t="s">
        <v>26</v>
      </c>
      <c r="AH2628" t="s">
        <v>26</v>
      </c>
      <c r="AI2628" t="s">
        <v>26</v>
      </c>
      <c r="AJ2628" t="s">
        <v>26</v>
      </c>
      <c r="AK2628" t="s">
        <v>26</v>
      </c>
      <c r="AL2628" t="s">
        <v>26</v>
      </c>
      <c r="AM2628" t="s">
        <v>26</v>
      </c>
      <c r="AN2628" t="s">
        <v>26</v>
      </c>
      <c r="AO2628" s="25" t="s">
        <v>28</v>
      </c>
      <c r="AP2628" s="23" t="s">
        <v>29</v>
      </c>
      <c r="AQ2628" s="23" t="s">
        <v>30</v>
      </c>
      <c r="AR2628" s="23" t="s">
        <v>6817</v>
      </c>
      <c r="AS2628" s="25">
        <v>5324463</v>
      </c>
      <c r="AT2628" s="23" t="s">
        <v>22181</v>
      </c>
      <c r="AU2628" t="s">
        <v>25650</v>
      </c>
    </row>
    <row r="2629" spans="1:47" ht="26.25" x14ac:dyDescent="0.4">
      <c r="A2629" s="23" t="s">
        <v>6818</v>
      </c>
      <c r="B2629" t="s">
        <v>26</v>
      </c>
      <c r="C2629" s="23" t="s">
        <v>167</v>
      </c>
      <c r="D2629" s="23" t="s">
        <v>22218</v>
      </c>
      <c r="E2629" s="23" t="s">
        <v>60</v>
      </c>
      <c r="F2629" t="s">
        <v>26</v>
      </c>
      <c r="G2629" t="s">
        <v>26</v>
      </c>
      <c r="H2629" t="s">
        <v>26</v>
      </c>
      <c r="I2629" s="24">
        <v>36161</v>
      </c>
      <c r="J2629" s="24">
        <v>36161</v>
      </c>
      <c r="K2629" t="s">
        <v>26</v>
      </c>
      <c r="L2629" s="25" t="s">
        <v>28</v>
      </c>
      <c r="M2629" t="s">
        <v>26</v>
      </c>
      <c r="N2629" t="s">
        <v>26</v>
      </c>
      <c r="O2629" t="s">
        <v>26</v>
      </c>
      <c r="P2629" s="24">
        <v>36161</v>
      </c>
      <c r="Q2629" s="24">
        <v>36161</v>
      </c>
      <c r="R2629" t="s">
        <v>26</v>
      </c>
      <c r="S2629" t="s">
        <v>26</v>
      </c>
      <c r="T2629" t="s">
        <v>26</v>
      </c>
      <c r="U2629" t="s">
        <v>26</v>
      </c>
      <c r="V2629" t="s">
        <v>26</v>
      </c>
      <c r="W2629" s="24">
        <v>36161</v>
      </c>
      <c r="X2629" s="24">
        <v>36161</v>
      </c>
      <c r="Y2629" t="s">
        <v>26</v>
      </c>
      <c r="Z2629" s="24">
        <v>36161</v>
      </c>
      <c r="AA2629" s="24">
        <v>36161</v>
      </c>
      <c r="AB2629" t="s">
        <v>26</v>
      </c>
      <c r="AC2629" s="24">
        <v>36161</v>
      </c>
      <c r="AD2629" s="24">
        <v>36161</v>
      </c>
      <c r="AE2629" t="s">
        <v>26</v>
      </c>
      <c r="AF2629" t="s">
        <v>26</v>
      </c>
      <c r="AG2629" t="s">
        <v>26</v>
      </c>
      <c r="AH2629" t="s">
        <v>26</v>
      </c>
      <c r="AI2629" t="s">
        <v>26</v>
      </c>
      <c r="AJ2629" t="s">
        <v>26</v>
      </c>
      <c r="AK2629" t="s">
        <v>26</v>
      </c>
      <c r="AL2629" t="s">
        <v>26</v>
      </c>
      <c r="AM2629" t="s">
        <v>26</v>
      </c>
      <c r="AN2629" t="s">
        <v>26</v>
      </c>
      <c r="AO2629" s="25" t="s">
        <v>28</v>
      </c>
      <c r="AP2629" s="23" t="s">
        <v>29</v>
      </c>
      <c r="AQ2629" s="23" t="s">
        <v>30</v>
      </c>
      <c r="AR2629" s="23" t="s">
        <v>1046</v>
      </c>
      <c r="AS2629" s="25">
        <v>5324459</v>
      </c>
      <c r="AT2629" s="23" t="s">
        <v>22181</v>
      </c>
      <c r="AU2629" t="s">
        <v>25651</v>
      </c>
    </row>
    <row r="2630" spans="1:47" ht="26.25" x14ac:dyDescent="0.4">
      <c r="A2630" s="23" t="s">
        <v>6819</v>
      </c>
      <c r="B2630" t="s">
        <v>26</v>
      </c>
      <c r="C2630" s="23" t="s">
        <v>399</v>
      </c>
      <c r="D2630" s="23" t="s">
        <v>22242</v>
      </c>
      <c r="E2630" s="23" t="s">
        <v>60</v>
      </c>
      <c r="F2630" s="25" t="s">
        <v>6820</v>
      </c>
      <c r="G2630" s="25" t="s">
        <v>6821</v>
      </c>
      <c r="H2630" t="s">
        <v>26</v>
      </c>
      <c r="I2630" s="24">
        <v>32203</v>
      </c>
      <c r="J2630" s="24">
        <v>40695</v>
      </c>
      <c r="K2630" t="s">
        <v>26</v>
      </c>
      <c r="L2630" s="25" t="s">
        <v>68</v>
      </c>
      <c r="M2630" s="24">
        <v>34394</v>
      </c>
      <c r="N2630" s="24">
        <v>40695</v>
      </c>
      <c r="O2630" t="s">
        <v>26</v>
      </c>
      <c r="P2630" s="24">
        <v>32203</v>
      </c>
      <c r="Q2630" s="24">
        <v>40695</v>
      </c>
      <c r="R2630" t="s">
        <v>26</v>
      </c>
      <c r="S2630" t="s">
        <v>26</v>
      </c>
      <c r="T2630" t="s">
        <v>26</v>
      </c>
      <c r="U2630" t="s">
        <v>26</v>
      </c>
      <c r="V2630" t="s">
        <v>26</v>
      </c>
      <c r="W2630" s="24">
        <v>31472</v>
      </c>
      <c r="X2630" s="24">
        <v>44166</v>
      </c>
      <c r="Y2630" t="s">
        <v>26</v>
      </c>
      <c r="Z2630" s="24">
        <v>31472</v>
      </c>
      <c r="AA2630" s="24">
        <v>44166</v>
      </c>
      <c r="AB2630" t="s">
        <v>26</v>
      </c>
      <c r="AC2630" s="24">
        <v>31472</v>
      </c>
      <c r="AD2630" s="24">
        <v>44166</v>
      </c>
      <c r="AE2630" t="s">
        <v>26</v>
      </c>
      <c r="AF2630" t="s">
        <v>26</v>
      </c>
      <c r="AG2630" t="s">
        <v>26</v>
      </c>
      <c r="AH2630" t="s">
        <v>26</v>
      </c>
      <c r="AI2630" t="s">
        <v>26</v>
      </c>
      <c r="AJ2630" t="s">
        <v>26</v>
      </c>
      <c r="AK2630" t="s">
        <v>26</v>
      </c>
      <c r="AL2630" t="s">
        <v>26</v>
      </c>
      <c r="AM2630" t="s">
        <v>26</v>
      </c>
      <c r="AN2630" t="s">
        <v>26</v>
      </c>
      <c r="AO2630" s="25" t="s">
        <v>68</v>
      </c>
      <c r="AP2630" s="23" t="s">
        <v>69</v>
      </c>
      <c r="AQ2630" s="23" t="s">
        <v>30</v>
      </c>
      <c r="AR2630" s="23" t="s">
        <v>184</v>
      </c>
      <c r="AS2630" s="25">
        <v>40555</v>
      </c>
      <c r="AT2630" t="s">
        <v>26</v>
      </c>
      <c r="AU2630" t="s">
        <v>25652</v>
      </c>
    </row>
    <row r="2631" spans="1:47" ht="26.25" x14ac:dyDescent="0.4">
      <c r="A2631" s="23" t="s">
        <v>6822</v>
      </c>
      <c r="B2631" t="s">
        <v>26</v>
      </c>
      <c r="C2631" s="23" t="s">
        <v>80</v>
      </c>
      <c r="D2631" s="23" t="s">
        <v>22184</v>
      </c>
      <c r="E2631" s="23" t="s">
        <v>60</v>
      </c>
      <c r="F2631" s="25" t="s">
        <v>6823</v>
      </c>
      <c r="G2631" s="25" t="s">
        <v>6824</v>
      </c>
      <c r="H2631" t="s">
        <v>26</v>
      </c>
      <c r="I2631" t="s">
        <v>26</v>
      </c>
      <c r="J2631" t="s">
        <v>26</v>
      </c>
      <c r="K2631" t="s">
        <v>26</v>
      </c>
      <c r="L2631" s="25" t="s">
        <v>68</v>
      </c>
      <c r="M2631" t="s">
        <v>26</v>
      </c>
      <c r="N2631" t="s">
        <v>26</v>
      </c>
      <c r="O2631" t="s">
        <v>26</v>
      </c>
      <c r="P2631" t="s">
        <v>26</v>
      </c>
      <c r="Q2631" t="s">
        <v>26</v>
      </c>
      <c r="R2631" t="s">
        <v>26</v>
      </c>
      <c r="S2631" t="s">
        <v>26</v>
      </c>
      <c r="T2631" t="s">
        <v>26</v>
      </c>
      <c r="U2631" t="s">
        <v>26</v>
      </c>
      <c r="V2631" t="s">
        <v>26</v>
      </c>
      <c r="W2631" s="24">
        <v>39814</v>
      </c>
      <c r="X2631" s="25" t="s">
        <v>77</v>
      </c>
      <c r="Y2631" s="25" t="s">
        <v>5939</v>
      </c>
      <c r="Z2631" s="24">
        <v>39814</v>
      </c>
      <c r="AA2631" s="25" t="s">
        <v>77</v>
      </c>
      <c r="AB2631" s="25" t="s">
        <v>5939</v>
      </c>
      <c r="AC2631" s="24">
        <v>39814</v>
      </c>
      <c r="AD2631" s="25" t="s">
        <v>77</v>
      </c>
      <c r="AE2631" s="25" t="s">
        <v>5939</v>
      </c>
      <c r="AF2631" t="s">
        <v>26</v>
      </c>
      <c r="AG2631" t="s">
        <v>26</v>
      </c>
      <c r="AH2631" t="s">
        <v>26</v>
      </c>
      <c r="AI2631" t="s">
        <v>26</v>
      </c>
      <c r="AJ2631" t="s">
        <v>26</v>
      </c>
      <c r="AK2631" t="s">
        <v>26</v>
      </c>
      <c r="AL2631" t="s">
        <v>26</v>
      </c>
      <c r="AM2631" t="s">
        <v>26</v>
      </c>
      <c r="AN2631" t="s">
        <v>26</v>
      </c>
      <c r="AO2631" s="25" t="s">
        <v>68</v>
      </c>
      <c r="AP2631" s="23" t="s">
        <v>69</v>
      </c>
      <c r="AQ2631" s="23" t="s">
        <v>30</v>
      </c>
      <c r="AR2631" s="23" t="s">
        <v>6825</v>
      </c>
      <c r="AS2631" s="25">
        <v>2039116</v>
      </c>
      <c r="AT2631" t="s">
        <v>26</v>
      </c>
      <c r="AU2631" t="s">
        <v>25653</v>
      </c>
    </row>
    <row r="2632" spans="1:47" ht="26.25" x14ac:dyDescent="0.4">
      <c r="A2632" s="23" t="s">
        <v>6826</v>
      </c>
      <c r="B2632" t="s">
        <v>26</v>
      </c>
      <c r="C2632" s="23" t="s">
        <v>167</v>
      </c>
      <c r="D2632" s="23" t="s">
        <v>22218</v>
      </c>
      <c r="E2632" s="23" t="s">
        <v>60</v>
      </c>
      <c r="F2632" t="s">
        <v>26</v>
      </c>
      <c r="G2632" t="s">
        <v>26</v>
      </c>
      <c r="H2632" t="s">
        <v>26</v>
      </c>
      <c r="I2632" s="24">
        <v>38718</v>
      </c>
      <c r="J2632" s="24">
        <v>38718</v>
      </c>
      <c r="K2632" t="s">
        <v>26</v>
      </c>
      <c r="L2632" s="25" t="s">
        <v>28</v>
      </c>
      <c r="M2632" t="s">
        <v>26</v>
      </c>
      <c r="N2632" t="s">
        <v>26</v>
      </c>
      <c r="O2632" t="s">
        <v>26</v>
      </c>
      <c r="P2632" s="24">
        <v>38718</v>
      </c>
      <c r="Q2632" s="24">
        <v>38718</v>
      </c>
      <c r="R2632" t="s">
        <v>26</v>
      </c>
      <c r="S2632" t="s">
        <v>26</v>
      </c>
      <c r="T2632" t="s">
        <v>26</v>
      </c>
      <c r="U2632" t="s">
        <v>26</v>
      </c>
      <c r="V2632" t="s">
        <v>26</v>
      </c>
      <c r="W2632" s="24">
        <v>38718</v>
      </c>
      <c r="X2632" s="24">
        <v>38718</v>
      </c>
      <c r="Y2632" t="s">
        <v>26</v>
      </c>
      <c r="Z2632" s="24">
        <v>38718</v>
      </c>
      <c r="AA2632" s="24">
        <v>38718</v>
      </c>
      <c r="AB2632" t="s">
        <v>26</v>
      </c>
      <c r="AC2632" s="24">
        <v>38718</v>
      </c>
      <c r="AD2632" s="24">
        <v>38718</v>
      </c>
      <c r="AE2632" t="s">
        <v>26</v>
      </c>
      <c r="AF2632" t="s">
        <v>26</v>
      </c>
      <c r="AG2632" t="s">
        <v>26</v>
      </c>
      <c r="AH2632" t="s">
        <v>26</v>
      </c>
      <c r="AI2632" t="s">
        <v>26</v>
      </c>
      <c r="AJ2632" t="s">
        <v>26</v>
      </c>
      <c r="AK2632" t="s">
        <v>26</v>
      </c>
      <c r="AL2632" t="s">
        <v>26</v>
      </c>
      <c r="AM2632" t="s">
        <v>26</v>
      </c>
      <c r="AN2632" t="s">
        <v>26</v>
      </c>
      <c r="AO2632" s="25" t="s">
        <v>28</v>
      </c>
      <c r="AP2632" s="23" t="s">
        <v>29</v>
      </c>
      <c r="AQ2632" s="23" t="s">
        <v>30</v>
      </c>
      <c r="AR2632" s="23" t="s">
        <v>25654</v>
      </c>
      <c r="AS2632" s="25">
        <v>5324466</v>
      </c>
      <c r="AT2632" s="23" t="s">
        <v>22181</v>
      </c>
      <c r="AU2632" t="s">
        <v>25655</v>
      </c>
    </row>
    <row r="2633" spans="1:47" ht="26.25" x14ac:dyDescent="0.4">
      <c r="A2633" s="23" t="s">
        <v>6827</v>
      </c>
      <c r="B2633" t="s">
        <v>26</v>
      </c>
      <c r="C2633" s="23" t="s">
        <v>73</v>
      </c>
      <c r="D2633" s="23" t="s">
        <v>22211</v>
      </c>
      <c r="E2633" s="23" t="s">
        <v>74</v>
      </c>
      <c r="F2633" s="25" t="s">
        <v>6828</v>
      </c>
      <c r="G2633" s="25" t="s">
        <v>6829</v>
      </c>
      <c r="H2633" t="s">
        <v>26</v>
      </c>
      <c r="I2633" s="24">
        <v>36161</v>
      </c>
      <c r="J2633" s="25" t="s">
        <v>77</v>
      </c>
      <c r="K2633" t="s">
        <v>26</v>
      </c>
      <c r="L2633" s="25" t="s">
        <v>68</v>
      </c>
      <c r="M2633" s="24">
        <v>36161</v>
      </c>
      <c r="N2633" s="24">
        <v>38292</v>
      </c>
      <c r="O2633" t="s">
        <v>26</v>
      </c>
      <c r="P2633" s="24">
        <v>36161</v>
      </c>
      <c r="Q2633" s="25" t="s">
        <v>77</v>
      </c>
      <c r="R2633" t="s">
        <v>26</v>
      </c>
      <c r="S2633" t="s">
        <v>26</v>
      </c>
      <c r="T2633" t="s">
        <v>26</v>
      </c>
      <c r="U2633" t="s">
        <v>26</v>
      </c>
      <c r="V2633" s="25">
        <v>365</v>
      </c>
      <c r="W2633" s="24">
        <v>33635</v>
      </c>
      <c r="X2633" s="25" t="s">
        <v>77</v>
      </c>
      <c r="Y2633" t="s">
        <v>26</v>
      </c>
      <c r="Z2633" s="24">
        <v>33635</v>
      </c>
      <c r="AA2633" s="25" t="s">
        <v>77</v>
      </c>
      <c r="AB2633" t="s">
        <v>26</v>
      </c>
      <c r="AC2633" s="24">
        <v>33635</v>
      </c>
      <c r="AD2633" s="25" t="s">
        <v>77</v>
      </c>
      <c r="AE2633" t="s">
        <v>26</v>
      </c>
      <c r="AF2633" t="s">
        <v>26</v>
      </c>
      <c r="AG2633" t="s">
        <v>26</v>
      </c>
      <c r="AH2633" t="s">
        <v>26</v>
      </c>
      <c r="AI2633" t="s">
        <v>26</v>
      </c>
      <c r="AJ2633" t="s">
        <v>26</v>
      </c>
      <c r="AK2633" t="s">
        <v>26</v>
      </c>
      <c r="AL2633" t="s">
        <v>26</v>
      </c>
      <c r="AM2633" t="s">
        <v>26</v>
      </c>
      <c r="AN2633" t="s">
        <v>26</v>
      </c>
      <c r="AO2633" s="25" t="s">
        <v>68</v>
      </c>
      <c r="AP2633" s="23" t="s">
        <v>69</v>
      </c>
      <c r="AQ2633" s="23" t="s">
        <v>30</v>
      </c>
      <c r="AR2633" s="23" t="s">
        <v>6830</v>
      </c>
      <c r="AS2633" s="25">
        <v>36473</v>
      </c>
      <c r="AT2633" t="s">
        <v>26</v>
      </c>
      <c r="AU2633" t="s">
        <v>25656</v>
      </c>
    </row>
    <row r="2634" spans="1:47" ht="13.15" x14ac:dyDescent="0.4">
      <c r="A2634" s="23" t="s">
        <v>6831</v>
      </c>
      <c r="B2634" t="s">
        <v>26</v>
      </c>
      <c r="C2634" s="23" t="s">
        <v>1481</v>
      </c>
      <c r="D2634" s="23" t="s">
        <v>22174</v>
      </c>
      <c r="E2634" s="23" t="s">
        <v>60</v>
      </c>
      <c r="F2634" t="s">
        <v>26</v>
      </c>
      <c r="G2634" t="s">
        <v>26</v>
      </c>
      <c r="H2634" t="s">
        <v>26</v>
      </c>
      <c r="I2634" t="s">
        <v>26</v>
      </c>
      <c r="J2634" t="s">
        <v>26</v>
      </c>
      <c r="K2634" t="s">
        <v>26</v>
      </c>
      <c r="L2634" s="25" t="s">
        <v>28</v>
      </c>
      <c r="M2634" t="s">
        <v>26</v>
      </c>
      <c r="N2634" t="s">
        <v>26</v>
      </c>
      <c r="O2634" t="s">
        <v>26</v>
      </c>
      <c r="P2634" t="s">
        <v>26</v>
      </c>
      <c r="Q2634" t="s">
        <v>26</v>
      </c>
      <c r="R2634" t="s">
        <v>26</v>
      </c>
      <c r="S2634" t="s">
        <v>26</v>
      </c>
      <c r="T2634" t="s">
        <v>26</v>
      </c>
      <c r="U2634" t="s">
        <v>26</v>
      </c>
      <c r="V2634" t="s">
        <v>26</v>
      </c>
      <c r="W2634" s="24">
        <v>36161</v>
      </c>
      <c r="X2634" s="24">
        <v>36161</v>
      </c>
      <c r="Y2634" t="s">
        <v>26</v>
      </c>
      <c r="Z2634" s="24">
        <v>36161</v>
      </c>
      <c r="AA2634" s="24">
        <v>36161</v>
      </c>
      <c r="AB2634" t="s">
        <v>26</v>
      </c>
      <c r="AC2634" t="s">
        <v>26</v>
      </c>
      <c r="AD2634" t="s">
        <v>26</v>
      </c>
      <c r="AE2634" t="s">
        <v>26</v>
      </c>
      <c r="AF2634" t="s">
        <v>26</v>
      </c>
      <c r="AG2634" t="s">
        <v>26</v>
      </c>
      <c r="AH2634" t="s">
        <v>26</v>
      </c>
      <c r="AI2634" t="s">
        <v>26</v>
      </c>
      <c r="AJ2634" t="s">
        <v>26</v>
      </c>
      <c r="AK2634" t="s">
        <v>26</v>
      </c>
      <c r="AL2634" t="s">
        <v>26</v>
      </c>
      <c r="AM2634" t="s">
        <v>26</v>
      </c>
      <c r="AN2634" t="s">
        <v>26</v>
      </c>
      <c r="AO2634" s="25" t="s">
        <v>28</v>
      </c>
      <c r="AP2634" s="23" t="s">
        <v>29</v>
      </c>
      <c r="AQ2634" s="23" t="s">
        <v>30</v>
      </c>
      <c r="AR2634" s="23" t="s">
        <v>44</v>
      </c>
      <c r="AS2634" s="25">
        <v>5485076</v>
      </c>
      <c r="AT2634" s="23" t="s">
        <v>22181</v>
      </c>
      <c r="AU2634" t="s">
        <v>25657</v>
      </c>
    </row>
    <row r="2635" spans="1:47" ht="13.15" x14ac:dyDescent="0.4">
      <c r="A2635" s="23" t="s">
        <v>6832</v>
      </c>
      <c r="B2635" t="s">
        <v>26</v>
      </c>
      <c r="C2635" t="s">
        <v>26</v>
      </c>
      <c r="D2635" s="23" t="s">
        <v>22352</v>
      </c>
      <c r="E2635" t="s">
        <v>26</v>
      </c>
      <c r="F2635" t="s">
        <v>26</v>
      </c>
      <c r="G2635" t="s">
        <v>26</v>
      </c>
      <c r="H2635" t="s">
        <v>26</v>
      </c>
      <c r="I2635" s="24">
        <v>24473</v>
      </c>
      <c r="J2635" s="24">
        <v>24473</v>
      </c>
      <c r="K2635" t="s">
        <v>26</v>
      </c>
      <c r="L2635" s="25" t="s">
        <v>28</v>
      </c>
      <c r="M2635" t="s">
        <v>26</v>
      </c>
      <c r="N2635" t="s">
        <v>26</v>
      </c>
      <c r="O2635" t="s">
        <v>26</v>
      </c>
      <c r="P2635" s="24">
        <v>24473</v>
      </c>
      <c r="Q2635" s="24">
        <v>24473</v>
      </c>
      <c r="R2635" t="s">
        <v>26</v>
      </c>
      <c r="S2635" t="s">
        <v>26</v>
      </c>
      <c r="T2635" t="s">
        <v>26</v>
      </c>
      <c r="U2635" t="s">
        <v>26</v>
      </c>
      <c r="V2635" t="s">
        <v>26</v>
      </c>
      <c r="W2635" s="24">
        <v>24473</v>
      </c>
      <c r="X2635" s="24">
        <v>24473</v>
      </c>
      <c r="Y2635" t="s">
        <v>26</v>
      </c>
      <c r="Z2635" s="24">
        <v>24473</v>
      </c>
      <c r="AA2635" s="24">
        <v>24473</v>
      </c>
      <c r="AB2635" t="s">
        <v>26</v>
      </c>
      <c r="AC2635" t="s">
        <v>26</v>
      </c>
      <c r="AD2635" t="s">
        <v>26</v>
      </c>
      <c r="AE2635" t="s">
        <v>26</v>
      </c>
      <c r="AF2635" t="s">
        <v>26</v>
      </c>
      <c r="AG2635" t="s">
        <v>26</v>
      </c>
      <c r="AH2635" t="s">
        <v>26</v>
      </c>
      <c r="AI2635" t="s">
        <v>26</v>
      </c>
      <c r="AJ2635" t="s">
        <v>26</v>
      </c>
      <c r="AK2635" t="s">
        <v>26</v>
      </c>
      <c r="AL2635" t="s">
        <v>26</v>
      </c>
      <c r="AM2635" t="s">
        <v>26</v>
      </c>
      <c r="AN2635" t="s">
        <v>26</v>
      </c>
      <c r="AO2635" s="25" t="s">
        <v>28</v>
      </c>
      <c r="AP2635" s="23" t="s">
        <v>29</v>
      </c>
      <c r="AQ2635" s="23" t="s">
        <v>30</v>
      </c>
      <c r="AR2635" s="23" t="s">
        <v>1170</v>
      </c>
      <c r="AS2635" s="25">
        <v>5324121</v>
      </c>
      <c r="AT2635" s="23" t="s">
        <v>22181</v>
      </c>
      <c r="AU2635" t="s">
        <v>25658</v>
      </c>
    </row>
    <row r="2636" spans="1:47" ht="26.25" x14ac:dyDescent="0.4">
      <c r="A2636" s="23" t="s">
        <v>6833</v>
      </c>
      <c r="B2636" t="s">
        <v>26</v>
      </c>
      <c r="C2636" s="23" t="s">
        <v>73</v>
      </c>
      <c r="D2636" s="23" t="s">
        <v>22179</v>
      </c>
      <c r="E2636" s="23" t="s">
        <v>74</v>
      </c>
      <c r="F2636" s="25" t="s">
        <v>6834</v>
      </c>
      <c r="G2636" s="25" t="s">
        <v>6835</v>
      </c>
      <c r="H2636" t="s">
        <v>26</v>
      </c>
      <c r="I2636" s="24">
        <v>35490</v>
      </c>
      <c r="J2636" s="25" t="s">
        <v>77</v>
      </c>
      <c r="K2636" t="s">
        <v>26</v>
      </c>
      <c r="L2636" s="25" t="s">
        <v>68</v>
      </c>
      <c r="M2636" t="s">
        <v>26</v>
      </c>
      <c r="N2636" t="s">
        <v>26</v>
      </c>
      <c r="O2636" t="s">
        <v>26</v>
      </c>
      <c r="P2636" s="24">
        <v>35490</v>
      </c>
      <c r="Q2636" s="25" t="s">
        <v>77</v>
      </c>
      <c r="R2636" t="s">
        <v>26</v>
      </c>
      <c r="S2636" t="s">
        <v>26</v>
      </c>
      <c r="T2636" t="s">
        <v>26</v>
      </c>
      <c r="U2636" t="s">
        <v>26</v>
      </c>
      <c r="V2636" s="25">
        <v>365</v>
      </c>
      <c r="W2636" s="24">
        <v>35490</v>
      </c>
      <c r="X2636" s="25" t="s">
        <v>77</v>
      </c>
      <c r="Y2636" t="s">
        <v>26</v>
      </c>
      <c r="Z2636" s="24">
        <v>35490</v>
      </c>
      <c r="AA2636" s="25" t="s">
        <v>77</v>
      </c>
      <c r="AB2636" t="s">
        <v>26</v>
      </c>
      <c r="AC2636" s="24">
        <v>35490</v>
      </c>
      <c r="AD2636" s="25" t="s">
        <v>77</v>
      </c>
      <c r="AE2636" t="s">
        <v>26</v>
      </c>
      <c r="AF2636" t="s">
        <v>26</v>
      </c>
      <c r="AG2636" t="s">
        <v>26</v>
      </c>
      <c r="AH2636" t="s">
        <v>26</v>
      </c>
      <c r="AI2636" t="s">
        <v>26</v>
      </c>
      <c r="AJ2636" t="s">
        <v>26</v>
      </c>
      <c r="AK2636" t="s">
        <v>26</v>
      </c>
      <c r="AL2636" t="s">
        <v>26</v>
      </c>
      <c r="AM2636" t="s">
        <v>26</v>
      </c>
      <c r="AN2636" t="s">
        <v>26</v>
      </c>
      <c r="AO2636" s="25" t="s">
        <v>68</v>
      </c>
      <c r="AP2636" s="23" t="s">
        <v>69</v>
      </c>
      <c r="AQ2636" s="23" t="s">
        <v>30</v>
      </c>
      <c r="AR2636" s="23" t="s">
        <v>2507</v>
      </c>
      <c r="AS2636" s="25">
        <v>54081</v>
      </c>
      <c r="AT2636" t="s">
        <v>26</v>
      </c>
      <c r="AU2636" t="s">
        <v>25659</v>
      </c>
    </row>
    <row r="2637" spans="1:47" ht="13.15" x14ac:dyDescent="0.4">
      <c r="A2637" s="23" t="s">
        <v>6836</v>
      </c>
      <c r="B2637" t="s">
        <v>26</v>
      </c>
      <c r="C2637" s="23" t="s">
        <v>294</v>
      </c>
      <c r="D2637" s="23" t="s">
        <v>22179</v>
      </c>
      <c r="E2637" s="23" t="s">
        <v>42</v>
      </c>
      <c r="F2637" t="s">
        <v>26</v>
      </c>
      <c r="G2637" t="s">
        <v>26</v>
      </c>
      <c r="H2637" t="s">
        <v>26</v>
      </c>
      <c r="I2637" s="25" t="s">
        <v>295</v>
      </c>
      <c r="J2637" s="25" t="s">
        <v>295</v>
      </c>
      <c r="K2637" t="s">
        <v>26</v>
      </c>
      <c r="L2637" s="25" t="s">
        <v>28</v>
      </c>
      <c r="M2637" t="s">
        <v>26</v>
      </c>
      <c r="N2637" t="s">
        <v>26</v>
      </c>
      <c r="O2637" t="s">
        <v>26</v>
      </c>
      <c r="P2637" s="25" t="s">
        <v>295</v>
      </c>
      <c r="Q2637" s="25" t="s">
        <v>295</v>
      </c>
      <c r="R2637" t="s">
        <v>26</v>
      </c>
      <c r="S2637" t="s">
        <v>26</v>
      </c>
      <c r="T2637" t="s">
        <v>26</v>
      </c>
      <c r="U2637" t="s">
        <v>26</v>
      </c>
      <c r="V2637" t="s">
        <v>26</v>
      </c>
      <c r="W2637" s="25" t="s">
        <v>295</v>
      </c>
      <c r="X2637" s="25" t="s">
        <v>295</v>
      </c>
      <c r="Y2637" t="s">
        <v>26</v>
      </c>
      <c r="Z2637" s="25" t="s">
        <v>295</v>
      </c>
      <c r="AA2637" s="25" t="s">
        <v>295</v>
      </c>
      <c r="AB2637" t="s">
        <v>26</v>
      </c>
      <c r="AC2637" s="25" t="s">
        <v>295</v>
      </c>
      <c r="AD2637" s="25" t="s">
        <v>295</v>
      </c>
      <c r="AE2637" t="s">
        <v>26</v>
      </c>
      <c r="AF2637" t="s">
        <v>26</v>
      </c>
      <c r="AG2637" t="s">
        <v>26</v>
      </c>
      <c r="AH2637" t="s">
        <v>26</v>
      </c>
      <c r="AI2637" t="s">
        <v>26</v>
      </c>
      <c r="AJ2637" t="s">
        <v>26</v>
      </c>
      <c r="AK2637" t="s">
        <v>26</v>
      </c>
      <c r="AL2637" t="s">
        <v>26</v>
      </c>
      <c r="AM2637" t="s">
        <v>26</v>
      </c>
      <c r="AN2637" t="s">
        <v>26</v>
      </c>
      <c r="AO2637" s="25" t="s">
        <v>28</v>
      </c>
      <c r="AP2637" s="23" t="s">
        <v>29</v>
      </c>
      <c r="AQ2637" s="23" t="s">
        <v>30</v>
      </c>
      <c r="AR2637" s="23" t="s">
        <v>6837</v>
      </c>
      <c r="AS2637" s="25">
        <v>5325203</v>
      </c>
      <c r="AT2637" s="23" t="s">
        <v>22181</v>
      </c>
      <c r="AU2637" t="s">
        <v>25660</v>
      </c>
    </row>
    <row r="2638" spans="1:47" ht="26.25" x14ac:dyDescent="0.4">
      <c r="A2638" s="23" t="s">
        <v>6838</v>
      </c>
      <c r="B2638" t="s">
        <v>26</v>
      </c>
      <c r="C2638" s="23" t="s">
        <v>167</v>
      </c>
      <c r="D2638" s="23" t="s">
        <v>22218</v>
      </c>
      <c r="E2638" s="23" t="s">
        <v>60</v>
      </c>
      <c r="F2638" t="s">
        <v>26</v>
      </c>
      <c r="G2638" t="s">
        <v>26</v>
      </c>
      <c r="H2638" t="s">
        <v>26</v>
      </c>
      <c r="I2638" s="24">
        <v>36892</v>
      </c>
      <c r="J2638" s="24">
        <v>36892</v>
      </c>
      <c r="K2638" t="s">
        <v>26</v>
      </c>
      <c r="L2638" s="25" t="s">
        <v>28</v>
      </c>
      <c r="M2638" t="s">
        <v>26</v>
      </c>
      <c r="N2638" t="s">
        <v>26</v>
      </c>
      <c r="O2638" t="s">
        <v>26</v>
      </c>
      <c r="P2638" s="24">
        <v>36892</v>
      </c>
      <c r="Q2638" s="24">
        <v>36892</v>
      </c>
      <c r="R2638" t="s">
        <v>26</v>
      </c>
      <c r="S2638" t="s">
        <v>26</v>
      </c>
      <c r="T2638" t="s">
        <v>26</v>
      </c>
      <c r="U2638" t="s">
        <v>26</v>
      </c>
      <c r="V2638" t="s">
        <v>26</v>
      </c>
      <c r="W2638" s="24">
        <v>36892</v>
      </c>
      <c r="X2638" s="24">
        <v>36892</v>
      </c>
      <c r="Y2638" t="s">
        <v>26</v>
      </c>
      <c r="Z2638" s="24">
        <v>36892</v>
      </c>
      <c r="AA2638" s="24">
        <v>36892</v>
      </c>
      <c r="AB2638" t="s">
        <v>26</v>
      </c>
      <c r="AC2638" s="24">
        <v>36892</v>
      </c>
      <c r="AD2638" s="24">
        <v>36892</v>
      </c>
      <c r="AE2638" t="s">
        <v>26</v>
      </c>
      <c r="AF2638" t="s">
        <v>26</v>
      </c>
      <c r="AG2638" t="s">
        <v>26</v>
      </c>
      <c r="AH2638" t="s">
        <v>26</v>
      </c>
      <c r="AI2638" t="s">
        <v>26</v>
      </c>
      <c r="AJ2638" t="s">
        <v>26</v>
      </c>
      <c r="AK2638" t="s">
        <v>26</v>
      </c>
      <c r="AL2638" t="s">
        <v>26</v>
      </c>
      <c r="AM2638" t="s">
        <v>26</v>
      </c>
      <c r="AN2638" t="s">
        <v>26</v>
      </c>
      <c r="AO2638" s="25" t="s">
        <v>28</v>
      </c>
      <c r="AP2638" s="23" t="s">
        <v>29</v>
      </c>
      <c r="AQ2638" s="23" t="s">
        <v>30</v>
      </c>
      <c r="AR2638" s="23" t="s">
        <v>6839</v>
      </c>
      <c r="AS2638" s="25">
        <v>5324461</v>
      </c>
      <c r="AT2638" s="23" t="s">
        <v>22181</v>
      </c>
      <c r="AU2638" t="s">
        <v>25661</v>
      </c>
    </row>
    <row r="2639" spans="1:47" ht="13.15" x14ac:dyDescent="0.4">
      <c r="A2639" s="23" t="s">
        <v>6840</v>
      </c>
      <c r="B2639" t="s">
        <v>26</v>
      </c>
      <c r="C2639" s="23" t="s">
        <v>167</v>
      </c>
      <c r="D2639" s="23" t="s">
        <v>22218</v>
      </c>
      <c r="E2639" s="23" t="s">
        <v>60</v>
      </c>
      <c r="F2639" t="s">
        <v>26</v>
      </c>
      <c r="G2639" t="s">
        <v>26</v>
      </c>
      <c r="H2639" t="s">
        <v>26</v>
      </c>
      <c r="I2639" s="24">
        <v>38353</v>
      </c>
      <c r="J2639" s="24">
        <v>38353</v>
      </c>
      <c r="K2639" t="s">
        <v>26</v>
      </c>
      <c r="L2639" s="25" t="s">
        <v>28</v>
      </c>
      <c r="M2639" t="s">
        <v>26</v>
      </c>
      <c r="N2639" t="s">
        <v>26</v>
      </c>
      <c r="O2639" t="s">
        <v>26</v>
      </c>
      <c r="P2639" s="24">
        <v>38353</v>
      </c>
      <c r="Q2639" s="24">
        <v>38353</v>
      </c>
      <c r="R2639" t="s">
        <v>26</v>
      </c>
      <c r="S2639" t="s">
        <v>26</v>
      </c>
      <c r="T2639" t="s">
        <v>26</v>
      </c>
      <c r="U2639" t="s">
        <v>26</v>
      </c>
      <c r="V2639" t="s">
        <v>26</v>
      </c>
      <c r="W2639" s="24">
        <v>38353</v>
      </c>
      <c r="X2639" s="24">
        <v>38353</v>
      </c>
      <c r="Y2639" t="s">
        <v>26</v>
      </c>
      <c r="Z2639" s="24">
        <v>38353</v>
      </c>
      <c r="AA2639" s="24">
        <v>38353</v>
      </c>
      <c r="AB2639" t="s">
        <v>26</v>
      </c>
      <c r="AC2639" s="24">
        <v>38353</v>
      </c>
      <c r="AD2639" s="24">
        <v>38353</v>
      </c>
      <c r="AE2639" t="s">
        <v>26</v>
      </c>
      <c r="AF2639" t="s">
        <v>26</v>
      </c>
      <c r="AG2639" t="s">
        <v>26</v>
      </c>
      <c r="AH2639" t="s">
        <v>26</v>
      </c>
      <c r="AI2639" t="s">
        <v>26</v>
      </c>
      <c r="AJ2639" t="s">
        <v>26</v>
      </c>
      <c r="AK2639" t="s">
        <v>26</v>
      </c>
      <c r="AL2639" t="s">
        <v>26</v>
      </c>
      <c r="AM2639" t="s">
        <v>26</v>
      </c>
      <c r="AN2639" t="s">
        <v>26</v>
      </c>
      <c r="AO2639" s="25" t="s">
        <v>28</v>
      </c>
      <c r="AP2639" s="23" t="s">
        <v>29</v>
      </c>
      <c r="AQ2639" s="23" t="s">
        <v>30</v>
      </c>
      <c r="AR2639" s="23" t="s">
        <v>46</v>
      </c>
      <c r="AS2639" s="25">
        <v>6059452</v>
      </c>
      <c r="AT2639" t="s">
        <v>26</v>
      </c>
      <c r="AU2639" t="s">
        <v>25662</v>
      </c>
    </row>
    <row r="2640" spans="1:47" ht="26.25" x14ac:dyDescent="0.4">
      <c r="A2640" s="23" t="s">
        <v>6841</v>
      </c>
      <c r="B2640" t="s">
        <v>26</v>
      </c>
      <c r="C2640" s="23" t="s">
        <v>80</v>
      </c>
      <c r="D2640" s="23" t="s">
        <v>22267</v>
      </c>
      <c r="E2640" s="23" t="s">
        <v>60</v>
      </c>
      <c r="F2640" s="25" t="s">
        <v>6842</v>
      </c>
      <c r="G2640" s="25" t="s">
        <v>6843</v>
      </c>
      <c r="H2640" t="s">
        <v>26</v>
      </c>
      <c r="I2640" t="s">
        <v>26</v>
      </c>
      <c r="J2640" t="s">
        <v>26</v>
      </c>
      <c r="K2640" t="s">
        <v>26</v>
      </c>
      <c r="L2640" s="25" t="s">
        <v>68</v>
      </c>
      <c r="M2640" t="s">
        <v>26</v>
      </c>
      <c r="N2640" t="s">
        <v>26</v>
      </c>
      <c r="O2640" t="s">
        <v>26</v>
      </c>
      <c r="P2640" t="s">
        <v>26</v>
      </c>
      <c r="Q2640" t="s">
        <v>26</v>
      </c>
      <c r="R2640" t="s">
        <v>26</v>
      </c>
      <c r="S2640" t="s">
        <v>26</v>
      </c>
      <c r="T2640" t="s">
        <v>26</v>
      </c>
      <c r="U2640" t="s">
        <v>26</v>
      </c>
      <c r="V2640" t="s">
        <v>26</v>
      </c>
      <c r="W2640" s="24">
        <v>40179</v>
      </c>
      <c r="X2640" s="25" t="s">
        <v>77</v>
      </c>
      <c r="Y2640" t="s">
        <v>26</v>
      </c>
      <c r="Z2640" s="24">
        <v>40179</v>
      </c>
      <c r="AA2640" s="25" t="s">
        <v>77</v>
      </c>
      <c r="AB2640" t="s">
        <v>26</v>
      </c>
      <c r="AC2640" s="24">
        <v>40179</v>
      </c>
      <c r="AD2640" s="25" t="s">
        <v>77</v>
      </c>
      <c r="AE2640" t="s">
        <v>26</v>
      </c>
      <c r="AF2640" t="s">
        <v>26</v>
      </c>
      <c r="AG2640" t="s">
        <v>26</v>
      </c>
      <c r="AH2640" t="s">
        <v>26</v>
      </c>
      <c r="AI2640" t="s">
        <v>26</v>
      </c>
      <c r="AJ2640" t="s">
        <v>26</v>
      </c>
      <c r="AK2640" t="s">
        <v>26</v>
      </c>
      <c r="AL2640" t="s">
        <v>26</v>
      </c>
      <c r="AM2640" t="s">
        <v>26</v>
      </c>
      <c r="AN2640" t="s">
        <v>26</v>
      </c>
      <c r="AO2640" s="25" t="s">
        <v>68</v>
      </c>
      <c r="AP2640" s="23" t="s">
        <v>69</v>
      </c>
      <c r="AQ2640" s="23" t="s">
        <v>30</v>
      </c>
      <c r="AR2640" s="23" t="s">
        <v>6844</v>
      </c>
      <c r="AS2640" s="25">
        <v>216165</v>
      </c>
      <c r="AT2640" t="s">
        <v>26</v>
      </c>
      <c r="AU2640" t="s">
        <v>25663</v>
      </c>
    </row>
    <row r="2641" spans="1:47" ht="13.15" x14ac:dyDescent="0.4">
      <c r="A2641" s="23" t="s">
        <v>6845</v>
      </c>
      <c r="B2641" t="s">
        <v>26</v>
      </c>
      <c r="C2641" s="23" t="s">
        <v>167</v>
      </c>
      <c r="D2641" s="23" t="s">
        <v>22519</v>
      </c>
      <c r="E2641" s="23" t="s">
        <v>60</v>
      </c>
      <c r="F2641" t="s">
        <v>26</v>
      </c>
      <c r="G2641" t="s">
        <v>26</v>
      </c>
      <c r="H2641" t="s">
        <v>26</v>
      </c>
      <c r="I2641" s="24">
        <v>36892</v>
      </c>
      <c r="J2641" s="24">
        <v>36892</v>
      </c>
      <c r="K2641" t="s">
        <v>26</v>
      </c>
      <c r="L2641" s="25" t="s">
        <v>28</v>
      </c>
      <c r="M2641" t="s">
        <v>26</v>
      </c>
      <c r="N2641" t="s">
        <v>26</v>
      </c>
      <c r="O2641" t="s">
        <v>26</v>
      </c>
      <c r="P2641" s="24">
        <v>36892</v>
      </c>
      <c r="Q2641" s="24">
        <v>36892</v>
      </c>
      <c r="R2641" t="s">
        <v>26</v>
      </c>
      <c r="S2641" t="s">
        <v>26</v>
      </c>
      <c r="T2641" t="s">
        <v>26</v>
      </c>
      <c r="U2641" t="s">
        <v>26</v>
      </c>
      <c r="V2641" t="s">
        <v>26</v>
      </c>
      <c r="W2641" s="24">
        <v>36892</v>
      </c>
      <c r="X2641" s="24">
        <v>36892</v>
      </c>
      <c r="Y2641" t="s">
        <v>26</v>
      </c>
      <c r="Z2641" s="24">
        <v>36892</v>
      </c>
      <c r="AA2641" s="24">
        <v>36892</v>
      </c>
      <c r="AB2641" t="s">
        <v>26</v>
      </c>
      <c r="AC2641" s="24">
        <v>36892</v>
      </c>
      <c r="AD2641" s="24">
        <v>36892</v>
      </c>
      <c r="AE2641" t="s">
        <v>26</v>
      </c>
      <c r="AF2641" t="s">
        <v>26</v>
      </c>
      <c r="AG2641" t="s">
        <v>26</v>
      </c>
      <c r="AH2641" t="s">
        <v>26</v>
      </c>
      <c r="AI2641" t="s">
        <v>26</v>
      </c>
      <c r="AJ2641" t="s">
        <v>26</v>
      </c>
      <c r="AK2641" t="s">
        <v>26</v>
      </c>
      <c r="AL2641" t="s">
        <v>26</v>
      </c>
      <c r="AM2641" t="s">
        <v>26</v>
      </c>
      <c r="AN2641" t="s">
        <v>26</v>
      </c>
      <c r="AO2641" s="25" t="s">
        <v>28</v>
      </c>
      <c r="AP2641" s="23" t="s">
        <v>29</v>
      </c>
      <c r="AQ2641" s="23" t="s">
        <v>30</v>
      </c>
      <c r="AR2641" s="23" t="s">
        <v>1170</v>
      </c>
      <c r="AS2641" s="25">
        <v>5324458</v>
      </c>
      <c r="AT2641" s="23" t="s">
        <v>22181</v>
      </c>
      <c r="AU2641" t="s">
        <v>25664</v>
      </c>
    </row>
    <row r="2642" spans="1:47" ht="26.25" x14ac:dyDescent="0.4">
      <c r="A2642" s="23" t="s">
        <v>6846</v>
      </c>
      <c r="B2642" t="s">
        <v>26</v>
      </c>
      <c r="C2642" s="23" t="s">
        <v>371</v>
      </c>
      <c r="D2642" s="23" t="s">
        <v>22179</v>
      </c>
      <c r="E2642" s="23" t="s">
        <v>42</v>
      </c>
      <c r="F2642" t="s">
        <v>26</v>
      </c>
      <c r="G2642" t="s">
        <v>26</v>
      </c>
      <c r="H2642" t="s">
        <v>26</v>
      </c>
      <c r="I2642" t="s">
        <v>26</v>
      </c>
      <c r="J2642" t="s">
        <v>26</v>
      </c>
      <c r="K2642" t="s">
        <v>26</v>
      </c>
      <c r="L2642" s="25" t="s">
        <v>28</v>
      </c>
      <c r="M2642" t="s">
        <v>26</v>
      </c>
      <c r="N2642" t="s">
        <v>26</v>
      </c>
      <c r="O2642" t="s">
        <v>26</v>
      </c>
      <c r="P2642" t="s">
        <v>26</v>
      </c>
      <c r="Q2642" t="s">
        <v>26</v>
      </c>
      <c r="R2642" t="s">
        <v>26</v>
      </c>
      <c r="S2642" t="s">
        <v>26</v>
      </c>
      <c r="T2642" t="s">
        <v>26</v>
      </c>
      <c r="U2642" t="s">
        <v>26</v>
      </c>
      <c r="V2642" t="s">
        <v>26</v>
      </c>
      <c r="W2642" s="24">
        <v>40909</v>
      </c>
      <c r="X2642" s="24">
        <v>40909</v>
      </c>
      <c r="Y2642" t="s">
        <v>26</v>
      </c>
      <c r="Z2642" s="24">
        <v>40909</v>
      </c>
      <c r="AA2642" s="24">
        <v>40909</v>
      </c>
      <c r="AB2642" t="s">
        <v>26</v>
      </c>
      <c r="AC2642" t="s">
        <v>26</v>
      </c>
      <c r="AD2642" t="s">
        <v>26</v>
      </c>
      <c r="AE2642" t="s">
        <v>26</v>
      </c>
      <c r="AF2642" t="s">
        <v>26</v>
      </c>
      <c r="AG2642" t="s">
        <v>26</v>
      </c>
      <c r="AH2642" t="s">
        <v>26</v>
      </c>
      <c r="AI2642" t="s">
        <v>26</v>
      </c>
      <c r="AJ2642" t="s">
        <v>26</v>
      </c>
      <c r="AK2642" t="s">
        <v>26</v>
      </c>
      <c r="AL2642" t="s">
        <v>26</v>
      </c>
      <c r="AM2642" t="s">
        <v>26</v>
      </c>
      <c r="AN2642" t="s">
        <v>26</v>
      </c>
      <c r="AO2642" s="25" t="s">
        <v>28</v>
      </c>
      <c r="AP2642" s="23" t="s">
        <v>29</v>
      </c>
      <c r="AQ2642" s="23" t="s">
        <v>30</v>
      </c>
      <c r="AR2642" s="23" t="s">
        <v>44</v>
      </c>
      <c r="AS2642" s="25">
        <v>5485078</v>
      </c>
      <c r="AT2642" s="23" t="s">
        <v>22181</v>
      </c>
      <c r="AU2642" t="s">
        <v>25665</v>
      </c>
    </row>
    <row r="2643" spans="1:47" ht="26.25" x14ac:dyDescent="0.4">
      <c r="A2643" s="23" t="s">
        <v>6847</v>
      </c>
      <c r="B2643" t="s">
        <v>26</v>
      </c>
      <c r="C2643" s="23" t="s">
        <v>1054</v>
      </c>
      <c r="D2643" s="23" t="s">
        <v>22634</v>
      </c>
      <c r="E2643" s="23" t="s">
        <v>335</v>
      </c>
      <c r="F2643" t="s">
        <v>26</v>
      </c>
      <c r="G2643" t="s">
        <v>26</v>
      </c>
      <c r="H2643" t="s">
        <v>26</v>
      </c>
      <c r="I2643" t="s">
        <v>26</v>
      </c>
      <c r="J2643" t="s">
        <v>26</v>
      </c>
      <c r="K2643" t="s">
        <v>26</v>
      </c>
      <c r="L2643" s="25" t="s">
        <v>28</v>
      </c>
      <c r="M2643" t="s">
        <v>26</v>
      </c>
      <c r="N2643" t="s">
        <v>26</v>
      </c>
      <c r="O2643" t="s">
        <v>26</v>
      </c>
      <c r="P2643" t="s">
        <v>26</v>
      </c>
      <c r="Q2643" t="s">
        <v>26</v>
      </c>
      <c r="R2643" t="s">
        <v>26</v>
      </c>
      <c r="S2643" t="s">
        <v>26</v>
      </c>
      <c r="T2643" t="s">
        <v>26</v>
      </c>
      <c r="U2643" t="s">
        <v>26</v>
      </c>
      <c r="V2643" t="s">
        <v>26</v>
      </c>
      <c r="W2643" s="24">
        <v>40544</v>
      </c>
      <c r="X2643" s="24">
        <v>40544</v>
      </c>
      <c r="Y2643" t="s">
        <v>26</v>
      </c>
      <c r="Z2643" s="24">
        <v>40544</v>
      </c>
      <c r="AA2643" s="24">
        <v>40544</v>
      </c>
      <c r="AB2643" t="s">
        <v>26</v>
      </c>
      <c r="AC2643" t="s">
        <v>26</v>
      </c>
      <c r="AD2643" t="s">
        <v>26</v>
      </c>
      <c r="AE2643" t="s">
        <v>26</v>
      </c>
      <c r="AF2643" t="s">
        <v>26</v>
      </c>
      <c r="AG2643" t="s">
        <v>26</v>
      </c>
      <c r="AH2643" t="s">
        <v>26</v>
      </c>
      <c r="AI2643" t="s">
        <v>26</v>
      </c>
      <c r="AJ2643" t="s">
        <v>26</v>
      </c>
      <c r="AK2643" t="s">
        <v>26</v>
      </c>
      <c r="AL2643" t="s">
        <v>26</v>
      </c>
      <c r="AM2643" t="s">
        <v>26</v>
      </c>
      <c r="AN2643" t="s">
        <v>26</v>
      </c>
      <c r="AO2643" s="25" t="s">
        <v>28</v>
      </c>
      <c r="AP2643" s="23" t="s">
        <v>29</v>
      </c>
      <c r="AQ2643" s="23" t="s">
        <v>30</v>
      </c>
      <c r="AR2643" s="23" t="s">
        <v>6848</v>
      </c>
      <c r="AS2643" s="25">
        <v>5485065</v>
      </c>
      <c r="AT2643" s="23" t="s">
        <v>22181</v>
      </c>
      <c r="AU2643" t="s">
        <v>25666</v>
      </c>
    </row>
    <row r="2644" spans="1:47" ht="26.25" x14ac:dyDescent="0.4">
      <c r="A2644" s="23" t="s">
        <v>6849</v>
      </c>
      <c r="B2644" t="s">
        <v>26</v>
      </c>
      <c r="C2644" s="23" t="s">
        <v>167</v>
      </c>
      <c r="D2644" s="23" t="s">
        <v>22218</v>
      </c>
      <c r="E2644" s="23" t="s">
        <v>60</v>
      </c>
      <c r="F2644" t="s">
        <v>26</v>
      </c>
      <c r="G2644" t="s">
        <v>26</v>
      </c>
      <c r="H2644" t="s">
        <v>26</v>
      </c>
      <c r="I2644" s="24">
        <v>41640</v>
      </c>
      <c r="J2644" s="24">
        <v>41640</v>
      </c>
      <c r="K2644" t="s">
        <v>26</v>
      </c>
      <c r="L2644" s="25" t="s">
        <v>28</v>
      </c>
      <c r="M2644" t="s">
        <v>26</v>
      </c>
      <c r="N2644" t="s">
        <v>26</v>
      </c>
      <c r="O2644" t="s">
        <v>26</v>
      </c>
      <c r="P2644" s="24">
        <v>41640</v>
      </c>
      <c r="Q2644" s="24">
        <v>41640</v>
      </c>
      <c r="R2644" t="s">
        <v>26</v>
      </c>
      <c r="S2644" t="s">
        <v>26</v>
      </c>
      <c r="T2644" t="s">
        <v>26</v>
      </c>
      <c r="U2644" t="s">
        <v>26</v>
      </c>
      <c r="V2644" t="s">
        <v>26</v>
      </c>
      <c r="W2644" s="24">
        <v>41640</v>
      </c>
      <c r="X2644" s="24">
        <v>41640</v>
      </c>
      <c r="Y2644" t="s">
        <v>26</v>
      </c>
      <c r="Z2644" s="24">
        <v>41640</v>
      </c>
      <c r="AA2644" s="24">
        <v>41640</v>
      </c>
      <c r="AB2644" t="s">
        <v>26</v>
      </c>
      <c r="AC2644" s="24">
        <v>41640</v>
      </c>
      <c r="AD2644" s="24">
        <v>41640</v>
      </c>
      <c r="AE2644" t="s">
        <v>26</v>
      </c>
      <c r="AF2644" t="s">
        <v>26</v>
      </c>
      <c r="AG2644" t="s">
        <v>26</v>
      </c>
      <c r="AH2644" t="s">
        <v>26</v>
      </c>
      <c r="AI2644" t="s">
        <v>26</v>
      </c>
      <c r="AJ2644" t="s">
        <v>26</v>
      </c>
      <c r="AK2644" t="s">
        <v>26</v>
      </c>
      <c r="AL2644" t="s">
        <v>26</v>
      </c>
      <c r="AM2644" t="s">
        <v>26</v>
      </c>
      <c r="AN2644" t="s">
        <v>26</v>
      </c>
      <c r="AO2644" s="25" t="s">
        <v>28</v>
      </c>
      <c r="AP2644" s="23" t="s">
        <v>29</v>
      </c>
      <c r="AQ2644" s="23" t="s">
        <v>30</v>
      </c>
      <c r="AR2644" s="23" t="s">
        <v>1654</v>
      </c>
      <c r="AS2644" s="25">
        <v>5324465</v>
      </c>
      <c r="AT2644" s="23" t="s">
        <v>22181</v>
      </c>
      <c r="AU2644" t="s">
        <v>25667</v>
      </c>
    </row>
    <row r="2645" spans="1:47" ht="26.25" x14ac:dyDescent="0.4">
      <c r="A2645" s="23" t="s">
        <v>6850</v>
      </c>
      <c r="B2645" t="s">
        <v>26</v>
      </c>
      <c r="C2645" s="23" t="s">
        <v>399</v>
      </c>
      <c r="D2645" s="23" t="s">
        <v>22242</v>
      </c>
      <c r="E2645" s="23" t="s">
        <v>60</v>
      </c>
      <c r="F2645" s="25" t="s">
        <v>6851</v>
      </c>
      <c r="G2645" s="25" t="s">
        <v>6852</v>
      </c>
      <c r="H2645" t="s">
        <v>26</v>
      </c>
      <c r="I2645" t="s">
        <v>26</v>
      </c>
      <c r="J2645" t="s">
        <v>26</v>
      </c>
      <c r="K2645" t="s">
        <v>26</v>
      </c>
      <c r="L2645" s="25" t="s">
        <v>68</v>
      </c>
      <c r="M2645" t="s">
        <v>26</v>
      </c>
      <c r="N2645" t="s">
        <v>26</v>
      </c>
      <c r="O2645" t="s">
        <v>26</v>
      </c>
      <c r="P2645" t="s">
        <v>26</v>
      </c>
      <c r="Q2645" t="s">
        <v>26</v>
      </c>
      <c r="R2645" t="s">
        <v>26</v>
      </c>
      <c r="S2645" t="s">
        <v>26</v>
      </c>
      <c r="T2645" t="s">
        <v>26</v>
      </c>
      <c r="U2645" t="s">
        <v>26</v>
      </c>
      <c r="V2645" t="s">
        <v>26</v>
      </c>
      <c r="W2645" s="24">
        <v>31444</v>
      </c>
      <c r="X2645" s="24">
        <v>40664</v>
      </c>
      <c r="Y2645" t="s">
        <v>26</v>
      </c>
      <c r="Z2645" s="24">
        <v>31444</v>
      </c>
      <c r="AA2645" s="24">
        <v>40664</v>
      </c>
      <c r="AB2645" t="s">
        <v>26</v>
      </c>
      <c r="AC2645" s="24">
        <v>31444</v>
      </c>
      <c r="AD2645" s="24">
        <v>40664</v>
      </c>
      <c r="AE2645" t="s">
        <v>26</v>
      </c>
      <c r="AF2645" t="s">
        <v>26</v>
      </c>
      <c r="AG2645" t="s">
        <v>26</v>
      </c>
      <c r="AH2645" t="s">
        <v>26</v>
      </c>
      <c r="AI2645" t="s">
        <v>26</v>
      </c>
      <c r="AJ2645" t="s">
        <v>26</v>
      </c>
      <c r="AK2645" t="s">
        <v>26</v>
      </c>
      <c r="AL2645" t="s">
        <v>26</v>
      </c>
      <c r="AM2645" t="s">
        <v>26</v>
      </c>
      <c r="AN2645" t="s">
        <v>26</v>
      </c>
      <c r="AO2645" s="25" t="s">
        <v>68</v>
      </c>
      <c r="AP2645" s="23" t="s">
        <v>69</v>
      </c>
      <c r="AQ2645" s="23" t="s">
        <v>30</v>
      </c>
      <c r="AR2645" s="23" t="s">
        <v>184</v>
      </c>
      <c r="AS2645" s="25">
        <v>42196</v>
      </c>
      <c r="AT2645" t="s">
        <v>26</v>
      </c>
      <c r="AU2645" t="s">
        <v>25668</v>
      </c>
    </row>
    <row r="2646" spans="1:47" ht="26.25" x14ac:dyDescent="0.4">
      <c r="A2646" s="23" t="s">
        <v>6853</v>
      </c>
      <c r="B2646" t="s">
        <v>26</v>
      </c>
      <c r="C2646" s="23" t="s">
        <v>73</v>
      </c>
      <c r="D2646" s="23" t="s">
        <v>22215</v>
      </c>
      <c r="E2646" s="23" t="s">
        <v>74</v>
      </c>
      <c r="F2646" s="25" t="s">
        <v>6854</v>
      </c>
      <c r="G2646" s="25" t="s">
        <v>6855</v>
      </c>
      <c r="H2646" t="s">
        <v>26</v>
      </c>
      <c r="I2646" s="24">
        <v>35431</v>
      </c>
      <c r="J2646" s="25" t="s">
        <v>77</v>
      </c>
      <c r="K2646" t="s">
        <v>26</v>
      </c>
      <c r="L2646" s="25" t="s">
        <v>68</v>
      </c>
      <c r="M2646" s="24">
        <v>37987</v>
      </c>
      <c r="N2646" s="24">
        <v>42826</v>
      </c>
      <c r="O2646" t="s">
        <v>26</v>
      </c>
      <c r="P2646" s="24">
        <v>35431</v>
      </c>
      <c r="Q2646" s="25" t="s">
        <v>77</v>
      </c>
      <c r="R2646" t="s">
        <v>26</v>
      </c>
      <c r="S2646" t="s">
        <v>26</v>
      </c>
      <c r="T2646" t="s">
        <v>26</v>
      </c>
      <c r="U2646" t="s">
        <v>26</v>
      </c>
      <c r="V2646" s="25">
        <v>365</v>
      </c>
      <c r="W2646" s="24">
        <v>35431</v>
      </c>
      <c r="X2646" s="25" t="s">
        <v>77</v>
      </c>
      <c r="Y2646" t="s">
        <v>26</v>
      </c>
      <c r="Z2646" s="24">
        <v>35431</v>
      </c>
      <c r="AA2646" s="25" t="s">
        <v>77</v>
      </c>
      <c r="AB2646" t="s">
        <v>26</v>
      </c>
      <c r="AC2646" s="24">
        <v>35431</v>
      </c>
      <c r="AD2646" s="25" t="s">
        <v>77</v>
      </c>
      <c r="AE2646" t="s">
        <v>26</v>
      </c>
      <c r="AF2646" t="s">
        <v>26</v>
      </c>
      <c r="AG2646" t="s">
        <v>26</v>
      </c>
      <c r="AH2646" t="s">
        <v>26</v>
      </c>
      <c r="AI2646" t="s">
        <v>26</v>
      </c>
      <c r="AJ2646" t="s">
        <v>26</v>
      </c>
      <c r="AK2646" t="s">
        <v>26</v>
      </c>
      <c r="AL2646" t="s">
        <v>26</v>
      </c>
      <c r="AM2646" t="s">
        <v>26</v>
      </c>
      <c r="AN2646" t="s">
        <v>26</v>
      </c>
      <c r="AO2646" s="25" t="s">
        <v>68</v>
      </c>
      <c r="AP2646" s="23" t="s">
        <v>69</v>
      </c>
      <c r="AQ2646" s="23" t="s">
        <v>30</v>
      </c>
      <c r="AR2646" s="23" t="s">
        <v>6856</v>
      </c>
      <c r="AS2646" s="25">
        <v>47311</v>
      </c>
      <c r="AT2646" t="s">
        <v>26</v>
      </c>
      <c r="AU2646" t="s">
        <v>25669</v>
      </c>
    </row>
    <row r="2647" spans="1:47" ht="26.25" x14ac:dyDescent="0.4">
      <c r="A2647" s="23" t="s">
        <v>6857</v>
      </c>
      <c r="B2647" t="s">
        <v>26</v>
      </c>
      <c r="C2647" s="23" t="s">
        <v>107</v>
      </c>
      <c r="D2647" s="23" t="s">
        <v>22194</v>
      </c>
      <c r="E2647" s="23" t="s">
        <v>42</v>
      </c>
      <c r="F2647" s="25" t="s">
        <v>6858</v>
      </c>
      <c r="G2647" s="25" t="s">
        <v>6859</v>
      </c>
      <c r="H2647" t="s">
        <v>26</v>
      </c>
      <c r="I2647" t="s">
        <v>26</v>
      </c>
      <c r="J2647" t="s">
        <v>26</v>
      </c>
      <c r="K2647" t="s">
        <v>26</v>
      </c>
      <c r="L2647" s="25" t="s">
        <v>68</v>
      </c>
      <c r="M2647" t="s">
        <v>26</v>
      </c>
      <c r="N2647" t="s">
        <v>26</v>
      </c>
      <c r="O2647" t="s">
        <v>26</v>
      </c>
      <c r="P2647" t="s">
        <v>26</v>
      </c>
      <c r="Q2647" t="s">
        <v>26</v>
      </c>
      <c r="R2647" t="s">
        <v>26</v>
      </c>
      <c r="S2647" t="s">
        <v>26</v>
      </c>
      <c r="T2647" t="s">
        <v>26</v>
      </c>
      <c r="U2647" t="s">
        <v>26</v>
      </c>
      <c r="V2647" t="s">
        <v>26</v>
      </c>
      <c r="W2647" s="24">
        <v>40179</v>
      </c>
      <c r="X2647" s="25" t="s">
        <v>77</v>
      </c>
      <c r="Y2647" t="s">
        <v>26</v>
      </c>
      <c r="Z2647" s="24">
        <v>40179</v>
      </c>
      <c r="AA2647" s="25" t="s">
        <v>77</v>
      </c>
      <c r="AB2647" t="s">
        <v>26</v>
      </c>
      <c r="AC2647" s="24">
        <v>40179</v>
      </c>
      <c r="AD2647" s="25" t="s">
        <v>77</v>
      </c>
      <c r="AE2647" t="s">
        <v>26</v>
      </c>
      <c r="AF2647" t="s">
        <v>26</v>
      </c>
      <c r="AG2647" t="s">
        <v>26</v>
      </c>
      <c r="AH2647" t="s">
        <v>26</v>
      </c>
      <c r="AI2647" t="s">
        <v>26</v>
      </c>
      <c r="AJ2647" t="s">
        <v>26</v>
      </c>
      <c r="AK2647" t="s">
        <v>26</v>
      </c>
      <c r="AL2647" t="s">
        <v>26</v>
      </c>
      <c r="AM2647" t="s">
        <v>26</v>
      </c>
      <c r="AN2647" t="s">
        <v>26</v>
      </c>
      <c r="AO2647" s="25" t="s">
        <v>68</v>
      </c>
      <c r="AP2647" s="23" t="s">
        <v>69</v>
      </c>
      <c r="AQ2647" s="23" t="s">
        <v>30</v>
      </c>
      <c r="AR2647" s="23" t="s">
        <v>46</v>
      </c>
      <c r="AS2647" s="25">
        <v>2032956</v>
      </c>
      <c r="AT2647" t="s">
        <v>26</v>
      </c>
      <c r="AU2647" t="s">
        <v>25670</v>
      </c>
    </row>
    <row r="2648" spans="1:47" ht="26.25" x14ac:dyDescent="0.4">
      <c r="A2648" s="23" t="s">
        <v>6860</v>
      </c>
      <c r="B2648" t="s">
        <v>26</v>
      </c>
      <c r="C2648" s="23" t="s">
        <v>1180</v>
      </c>
      <c r="D2648" s="23" t="s">
        <v>22706</v>
      </c>
      <c r="E2648" s="23" t="s">
        <v>60</v>
      </c>
      <c r="F2648" s="25" t="s">
        <v>6861</v>
      </c>
      <c r="G2648" t="s">
        <v>26</v>
      </c>
      <c r="H2648" t="s">
        <v>26</v>
      </c>
      <c r="I2648" t="s">
        <v>26</v>
      </c>
      <c r="J2648" t="s">
        <v>26</v>
      </c>
      <c r="K2648" t="s">
        <v>26</v>
      </c>
      <c r="L2648" s="25" t="s">
        <v>68</v>
      </c>
      <c r="M2648" t="s">
        <v>26</v>
      </c>
      <c r="N2648" t="s">
        <v>26</v>
      </c>
      <c r="O2648" t="s">
        <v>26</v>
      </c>
      <c r="P2648" t="s">
        <v>26</v>
      </c>
      <c r="Q2648" t="s">
        <v>26</v>
      </c>
      <c r="R2648" t="s">
        <v>26</v>
      </c>
      <c r="S2648" t="s">
        <v>26</v>
      </c>
      <c r="T2648" t="s">
        <v>26</v>
      </c>
      <c r="U2648" t="s">
        <v>26</v>
      </c>
      <c r="V2648" t="s">
        <v>26</v>
      </c>
      <c r="W2648" s="24">
        <v>42278</v>
      </c>
      <c r="X2648" s="25" t="s">
        <v>77</v>
      </c>
      <c r="Y2648" t="s">
        <v>26</v>
      </c>
      <c r="Z2648" s="24">
        <v>42278</v>
      </c>
      <c r="AA2648" s="25" t="s">
        <v>77</v>
      </c>
      <c r="AB2648" t="s">
        <v>26</v>
      </c>
      <c r="AC2648" s="24">
        <v>42278</v>
      </c>
      <c r="AD2648" s="25" t="s">
        <v>77</v>
      </c>
      <c r="AE2648" t="s">
        <v>26</v>
      </c>
      <c r="AF2648" t="s">
        <v>26</v>
      </c>
      <c r="AG2648" t="s">
        <v>26</v>
      </c>
      <c r="AH2648" t="s">
        <v>26</v>
      </c>
      <c r="AI2648" t="s">
        <v>26</v>
      </c>
      <c r="AJ2648" t="s">
        <v>26</v>
      </c>
      <c r="AK2648" t="s">
        <v>26</v>
      </c>
      <c r="AL2648" t="s">
        <v>26</v>
      </c>
      <c r="AM2648" t="s">
        <v>26</v>
      </c>
      <c r="AN2648" t="s">
        <v>26</v>
      </c>
      <c r="AO2648" s="25" t="s">
        <v>28</v>
      </c>
      <c r="AP2648" s="23" t="s">
        <v>69</v>
      </c>
      <c r="AQ2648" s="23" t="s">
        <v>30</v>
      </c>
      <c r="AR2648" s="23" t="s">
        <v>257</v>
      </c>
      <c r="AS2648" s="25">
        <v>2032955</v>
      </c>
      <c r="AT2648" t="s">
        <v>26</v>
      </c>
      <c r="AU2648" t="s">
        <v>25671</v>
      </c>
    </row>
    <row r="2649" spans="1:47" ht="26.25" x14ac:dyDescent="0.4">
      <c r="A2649" s="23" t="s">
        <v>6862</v>
      </c>
      <c r="B2649" t="s">
        <v>26</v>
      </c>
      <c r="C2649" s="23" t="s">
        <v>6863</v>
      </c>
      <c r="D2649" s="23" t="s">
        <v>25672</v>
      </c>
      <c r="E2649" s="23" t="s">
        <v>2636</v>
      </c>
      <c r="F2649" s="25" t="s">
        <v>6864</v>
      </c>
      <c r="G2649" s="25" t="s">
        <v>6865</v>
      </c>
      <c r="H2649" t="s">
        <v>26</v>
      </c>
      <c r="I2649" t="s">
        <v>26</v>
      </c>
      <c r="J2649" t="s">
        <v>26</v>
      </c>
      <c r="K2649" t="s">
        <v>26</v>
      </c>
      <c r="L2649" s="25" t="s">
        <v>68</v>
      </c>
      <c r="M2649" t="s">
        <v>26</v>
      </c>
      <c r="N2649" t="s">
        <v>26</v>
      </c>
      <c r="O2649" t="s">
        <v>26</v>
      </c>
      <c r="P2649" t="s">
        <v>26</v>
      </c>
      <c r="Q2649" t="s">
        <v>26</v>
      </c>
      <c r="R2649" t="s">
        <v>26</v>
      </c>
      <c r="S2649" t="s">
        <v>26</v>
      </c>
      <c r="T2649" t="s">
        <v>26</v>
      </c>
      <c r="U2649" t="s">
        <v>26</v>
      </c>
      <c r="V2649" t="s">
        <v>26</v>
      </c>
      <c r="W2649" s="24">
        <v>41760</v>
      </c>
      <c r="X2649" s="25" t="s">
        <v>77</v>
      </c>
      <c r="Y2649" t="s">
        <v>26</v>
      </c>
      <c r="Z2649" s="24">
        <v>41760</v>
      </c>
      <c r="AA2649" s="25" t="s">
        <v>77</v>
      </c>
      <c r="AB2649" t="s">
        <v>26</v>
      </c>
      <c r="AC2649" s="24">
        <v>41760</v>
      </c>
      <c r="AD2649" s="25" t="s">
        <v>77</v>
      </c>
      <c r="AE2649" t="s">
        <v>26</v>
      </c>
      <c r="AF2649" t="s">
        <v>26</v>
      </c>
      <c r="AG2649" t="s">
        <v>26</v>
      </c>
      <c r="AH2649" t="s">
        <v>26</v>
      </c>
      <c r="AI2649" t="s">
        <v>26</v>
      </c>
      <c r="AJ2649" t="s">
        <v>26</v>
      </c>
      <c r="AK2649" t="s">
        <v>26</v>
      </c>
      <c r="AL2649" t="s">
        <v>26</v>
      </c>
      <c r="AM2649" t="s">
        <v>26</v>
      </c>
      <c r="AN2649" t="s">
        <v>26</v>
      </c>
      <c r="AO2649" s="25" t="s">
        <v>28</v>
      </c>
      <c r="AP2649" s="23" t="s">
        <v>69</v>
      </c>
      <c r="AQ2649" s="23" t="s">
        <v>2583</v>
      </c>
      <c r="AR2649" s="23" t="s">
        <v>257</v>
      </c>
      <c r="AS2649" s="25">
        <v>2039333</v>
      </c>
      <c r="AT2649" t="s">
        <v>26</v>
      </c>
      <c r="AU2649" t="s">
        <v>25673</v>
      </c>
    </row>
    <row r="2650" spans="1:47" ht="13.15" x14ac:dyDescent="0.4">
      <c r="A2650" s="23" t="s">
        <v>6862</v>
      </c>
      <c r="B2650" t="s">
        <v>26</v>
      </c>
      <c r="C2650" s="23" t="s">
        <v>6866</v>
      </c>
      <c r="D2650" s="23" t="s">
        <v>22179</v>
      </c>
      <c r="E2650" s="23" t="s">
        <v>42</v>
      </c>
      <c r="F2650" t="s">
        <v>26</v>
      </c>
      <c r="G2650" t="s">
        <v>26</v>
      </c>
      <c r="H2650" t="s">
        <v>26</v>
      </c>
      <c r="I2650" t="s">
        <v>26</v>
      </c>
      <c r="J2650" t="s">
        <v>26</v>
      </c>
      <c r="K2650" t="s">
        <v>26</v>
      </c>
      <c r="L2650" s="25" t="s">
        <v>28</v>
      </c>
      <c r="M2650" t="s">
        <v>26</v>
      </c>
      <c r="N2650" t="s">
        <v>26</v>
      </c>
      <c r="O2650" t="s">
        <v>26</v>
      </c>
      <c r="P2650" t="s">
        <v>26</v>
      </c>
      <c r="Q2650" t="s">
        <v>26</v>
      </c>
      <c r="R2650" t="s">
        <v>26</v>
      </c>
      <c r="S2650" t="s">
        <v>26</v>
      </c>
      <c r="T2650" t="s">
        <v>26</v>
      </c>
      <c r="U2650" t="s">
        <v>26</v>
      </c>
      <c r="V2650" t="s">
        <v>26</v>
      </c>
      <c r="W2650" s="24">
        <v>25204</v>
      </c>
      <c r="X2650" s="24">
        <v>25204</v>
      </c>
      <c r="Y2650" t="s">
        <v>26</v>
      </c>
      <c r="Z2650" s="24">
        <v>25204</v>
      </c>
      <c r="AA2650" s="24">
        <v>25204</v>
      </c>
      <c r="AB2650" t="s">
        <v>26</v>
      </c>
      <c r="AC2650" t="s">
        <v>26</v>
      </c>
      <c r="AD2650" t="s">
        <v>26</v>
      </c>
      <c r="AE2650" t="s">
        <v>26</v>
      </c>
      <c r="AF2650" t="s">
        <v>26</v>
      </c>
      <c r="AG2650" t="s">
        <v>26</v>
      </c>
      <c r="AH2650" t="s">
        <v>26</v>
      </c>
      <c r="AI2650" t="s">
        <v>26</v>
      </c>
      <c r="AJ2650" t="s">
        <v>26</v>
      </c>
      <c r="AK2650" t="s">
        <v>26</v>
      </c>
      <c r="AL2650" t="s">
        <v>26</v>
      </c>
      <c r="AM2650" t="s">
        <v>26</v>
      </c>
      <c r="AN2650" t="s">
        <v>26</v>
      </c>
      <c r="AO2650" s="25" t="s">
        <v>28</v>
      </c>
      <c r="AP2650" s="23" t="s">
        <v>29</v>
      </c>
      <c r="AQ2650" s="23" t="s">
        <v>30</v>
      </c>
      <c r="AR2650" s="23" t="s">
        <v>44</v>
      </c>
      <c r="AS2650" s="25">
        <v>5485064</v>
      </c>
      <c r="AT2650" s="23" t="s">
        <v>22181</v>
      </c>
      <c r="AU2650" t="s">
        <v>25674</v>
      </c>
    </row>
    <row r="2651" spans="1:47" ht="26.25" x14ac:dyDescent="0.4">
      <c r="A2651" s="23" t="s">
        <v>6867</v>
      </c>
      <c r="B2651" t="s">
        <v>26</v>
      </c>
      <c r="C2651" s="23" t="s">
        <v>520</v>
      </c>
      <c r="D2651" s="23" t="s">
        <v>22254</v>
      </c>
      <c r="E2651" s="23" t="s">
        <v>42</v>
      </c>
      <c r="F2651" s="25" t="s">
        <v>6868</v>
      </c>
      <c r="G2651" s="25" t="s">
        <v>6869</v>
      </c>
      <c r="H2651" t="s">
        <v>26</v>
      </c>
      <c r="I2651" s="24">
        <v>34943</v>
      </c>
      <c r="J2651" s="24">
        <v>41426</v>
      </c>
      <c r="K2651" t="s">
        <v>26</v>
      </c>
      <c r="L2651" s="25" t="s">
        <v>68</v>
      </c>
      <c r="M2651" s="24">
        <v>34943</v>
      </c>
      <c r="N2651" s="24">
        <v>41426</v>
      </c>
      <c r="O2651" t="s">
        <v>26</v>
      </c>
      <c r="P2651" s="24">
        <v>35034</v>
      </c>
      <c r="Q2651" s="24">
        <v>41426</v>
      </c>
      <c r="R2651" t="s">
        <v>26</v>
      </c>
      <c r="S2651" t="s">
        <v>26</v>
      </c>
      <c r="T2651" t="s">
        <v>26</v>
      </c>
      <c r="U2651" t="s">
        <v>26</v>
      </c>
      <c r="V2651" t="s">
        <v>26</v>
      </c>
      <c r="W2651" s="24">
        <v>32568</v>
      </c>
      <c r="X2651" s="25" t="s">
        <v>77</v>
      </c>
      <c r="Y2651" t="s">
        <v>26</v>
      </c>
      <c r="Z2651" s="24">
        <v>32568</v>
      </c>
      <c r="AA2651" s="25" t="s">
        <v>77</v>
      </c>
      <c r="AB2651" t="s">
        <v>26</v>
      </c>
      <c r="AC2651" s="24">
        <v>32568</v>
      </c>
      <c r="AD2651" s="25" t="s">
        <v>77</v>
      </c>
      <c r="AE2651" t="s">
        <v>26</v>
      </c>
      <c r="AF2651" t="s">
        <v>26</v>
      </c>
      <c r="AG2651" t="s">
        <v>26</v>
      </c>
      <c r="AH2651" t="s">
        <v>26</v>
      </c>
      <c r="AI2651" t="s">
        <v>26</v>
      </c>
      <c r="AJ2651" t="s">
        <v>26</v>
      </c>
      <c r="AK2651" t="s">
        <v>26</v>
      </c>
      <c r="AL2651" t="s">
        <v>26</v>
      </c>
      <c r="AM2651" t="s">
        <v>26</v>
      </c>
      <c r="AN2651" t="s">
        <v>26</v>
      </c>
      <c r="AO2651" s="25" t="s">
        <v>68</v>
      </c>
      <c r="AP2651" s="23" t="s">
        <v>69</v>
      </c>
      <c r="AQ2651" s="23" t="s">
        <v>30</v>
      </c>
      <c r="AR2651" s="23" t="s">
        <v>257</v>
      </c>
      <c r="AS2651" s="25">
        <v>42344</v>
      </c>
      <c r="AT2651" t="s">
        <v>26</v>
      </c>
      <c r="AU2651" t="s">
        <v>25675</v>
      </c>
    </row>
    <row r="2652" spans="1:47" ht="26.25" x14ac:dyDescent="0.4">
      <c r="A2652" s="23" t="s">
        <v>6870</v>
      </c>
      <c r="B2652" t="s">
        <v>26</v>
      </c>
      <c r="C2652" s="23" t="s">
        <v>73</v>
      </c>
      <c r="D2652" s="23" t="s">
        <v>22211</v>
      </c>
      <c r="E2652" s="23" t="s">
        <v>74</v>
      </c>
      <c r="F2652" s="25" t="s">
        <v>6871</v>
      </c>
      <c r="G2652" s="25" t="s">
        <v>6872</v>
      </c>
      <c r="H2652" t="s">
        <v>26</v>
      </c>
      <c r="I2652" s="24">
        <v>35400</v>
      </c>
      <c r="J2652" s="25" t="s">
        <v>77</v>
      </c>
      <c r="K2652" t="s">
        <v>26</v>
      </c>
      <c r="L2652" s="25" t="s">
        <v>68</v>
      </c>
      <c r="M2652" t="s">
        <v>26</v>
      </c>
      <c r="N2652" t="s">
        <v>26</v>
      </c>
      <c r="O2652" t="s">
        <v>26</v>
      </c>
      <c r="P2652" s="24">
        <v>35400</v>
      </c>
      <c r="Q2652" s="25" t="s">
        <v>77</v>
      </c>
      <c r="R2652" t="s">
        <v>26</v>
      </c>
      <c r="S2652" t="s">
        <v>26</v>
      </c>
      <c r="T2652" t="s">
        <v>26</v>
      </c>
      <c r="U2652" t="s">
        <v>26</v>
      </c>
      <c r="V2652" s="25">
        <v>365</v>
      </c>
      <c r="W2652" s="24">
        <v>35400</v>
      </c>
      <c r="X2652" s="25" t="s">
        <v>77</v>
      </c>
      <c r="Y2652" t="s">
        <v>26</v>
      </c>
      <c r="Z2652" s="24">
        <v>35400</v>
      </c>
      <c r="AA2652" s="25" t="s">
        <v>77</v>
      </c>
      <c r="AB2652" t="s">
        <v>26</v>
      </c>
      <c r="AC2652" s="24">
        <v>35400</v>
      </c>
      <c r="AD2652" s="25" t="s">
        <v>77</v>
      </c>
      <c r="AE2652" t="s">
        <v>26</v>
      </c>
      <c r="AF2652" t="s">
        <v>26</v>
      </c>
      <c r="AG2652" t="s">
        <v>26</v>
      </c>
      <c r="AH2652" t="s">
        <v>26</v>
      </c>
      <c r="AI2652" t="s">
        <v>26</v>
      </c>
      <c r="AJ2652" t="s">
        <v>26</v>
      </c>
      <c r="AK2652" t="s">
        <v>26</v>
      </c>
      <c r="AL2652" t="s">
        <v>26</v>
      </c>
      <c r="AM2652" t="s">
        <v>26</v>
      </c>
      <c r="AN2652" t="s">
        <v>26</v>
      </c>
      <c r="AO2652" s="25" t="s">
        <v>68</v>
      </c>
      <c r="AP2652" s="23" t="s">
        <v>69</v>
      </c>
      <c r="AQ2652" s="23" t="s">
        <v>30</v>
      </c>
      <c r="AR2652" s="23" t="s">
        <v>123</v>
      </c>
      <c r="AS2652" s="25">
        <v>54640</v>
      </c>
      <c r="AT2652" t="s">
        <v>26</v>
      </c>
      <c r="AU2652" t="s">
        <v>25676</v>
      </c>
    </row>
    <row r="2653" spans="1:47" ht="13.15" x14ac:dyDescent="0.4">
      <c r="A2653" s="23" t="s">
        <v>6873</v>
      </c>
      <c r="B2653" t="s">
        <v>26</v>
      </c>
      <c r="C2653" s="23" t="s">
        <v>1076</v>
      </c>
      <c r="D2653" s="23" t="s">
        <v>22647</v>
      </c>
      <c r="E2653" s="23" t="s">
        <v>42</v>
      </c>
      <c r="F2653" t="s">
        <v>26</v>
      </c>
      <c r="G2653" t="s">
        <v>26</v>
      </c>
      <c r="H2653" t="s">
        <v>26</v>
      </c>
      <c r="I2653" s="24">
        <v>34335</v>
      </c>
      <c r="J2653" s="24">
        <v>34335</v>
      </c>
      <c r="K2653" t="s">
        <v>26</v>
      </c>
      <c r="L2653" s="25" t="s">
        <v>28</v>
      </c>
      <c r="M2653" t="s">
        <v>26</v>
      </c>
      <c r="N2653" t="s">
        <v>26</v>
      </c>
      <c r="O2653" t="s">
        <v>26</v>
      </c>
      <c r="P2653" s="24">
        <v>34335</v>
      </c>
      <c r="Q2653" s="24">
        <v>34335</v>
      </c>
      <c r="R2653" t="s">
        <v>26</v>
      </c>
      <c r="S2653" t="s">
        <v>26</v>
      </c>
      <c r="T2653" t="s">
        <v>26</v>
      </c>
      <c r="U2653" t="s">
        <v>26</v>
      </c>
      <c r="V2653" t="s">
        <v>26</v>
      </c>
      <c r="W2653" s="24">
        <v>34335</v>
      </c>
      <c r="X2653" s="24">
        <v>34335</v>
      </c>
      <c r="Y2653" t="s">
        <v>26</v>
      </c>
      <c r="Z2653" s="24">
        <v>34335</v>
      </c>
      <c r="AA2653" s="24">
        <v>34335</v>
      </c>
      <c r="AB2653" t="s">
        <v>26</v>
      </c>
      <c r="AC2653" t="s">
        <v>26</v>
      </c>
      <c r="AD2653" t="s">
        <v>26</v>
      </c>
      <c r="AE2653" t="s">
        <v>26</v>
      </c>
      <c r="AF2653" t="s">
        <v>26</v>
      </c>
      <c r="AG2653" t="s">
        <v>26</v>
      </c>
      <c r="AH2653" t="s">
        <v>26</v>
      </c>
      <c r="AI2653" t="s">
        <v>26</v>
      </c>
      <c r="AJ2653" t="s">
        <v>26</v>
      </c>
      <c r="AK2653" t="s">
        <v>26</v>
      </c>
      <c r="AL2653" t="s">
        <v>26</v>
      </c>
      <c r="AM2653" t="s">
        <v>26</v>
      </c>
      <c r="AN2653" t="s">
        <v>26</v>
      </c>
      <c r="AO2653" s="25" t="s">
        <v>28</v>
      </c>
      <c r="AP2653" s="23" t="s">
        <v>29</v>
      </c>
      <c r="AQ2653" s="23" t="s">
        <v>30</v>
      </c>
      <c r="AR2653" s="23" t="s">
        <v>44</v>
      </c>
      <c r="AS2653" s="25">
        <v>5488580</v>
      </c>
      <c r="AT2653" s="23" t="s">
        <v>22181</v>
      </c>
      <c r="AU2653" t="s">
        <v>25677</v>
      </c>
    </row>
    <row r="2654" spans="1:47" ht="26.25" x14ac:dyDescent="0.4">
      <c r="A2654" s="23" t="s">
        <v>6874</v>
      </c>
      <c r="B2654" t="s">
        <v>26</v>
      </c>
      <c r="C2654" s="23" t="s">
        <v>5022</v>
      </c>
      <c r="D2654" s="23" t="s">
        <v>22242</v>
      </c>
      <c r="E2654" s="23" t="s">
        <v>42</v>
      </c>
      <c r="F2654" s="25" t="s">
        <v>6875</v>
      </c>
      <c r="G2654" s="25" t="s">
        <v>6876</v>
      </c>
      <c r="H2654" t="s">
        <v>26</v>
      </c>
      <c r="I2654" t="s">
        <v>26</v>
      </c>
      <c r="J2654" t="s">
        <v>26</v>
      </c>
      <c r="K2654" t="s">
        <v>26</v>
      </c>
      <c r="L2654" s="25" t="s">
        <v>68</v>
      </c>
      <c r="M2654" t="s">
        <v>26</v>
      </c>
      <c r="N2654" t="s">
        <v>26</v>
      </c>
      <c r="O2654" t="s">
        <v>26</v>
      </c>
      <c r="P2654" t="s">
        <v>26</v>
      </c>
      <c r="Q2654" t="s">
        <v>26</v>
      </c>
      <c r="R2654" t="s">
        <v>26</v>
      </c>
      <c r="S2654" t="s">
        <v>26</v>
      </c>
      <c r="T2654" t="s">
        <v>26</v>
      </c>
      <c r="U2654" t="s">
        <v>26</v>
      </c>
      <c r="V2654" t="s">
        <v>26</v>
      </c>
      <c r="W2654" s="24">
        <v>32509</v>
      </c>
      <c r="X2654" s="24">
        <v>44866</v>
      </c>
      <c r="Y2654" t="s">
        <v>26</v>
      </c>
      <c r="Z2654" s="24">
        <v>32509</v>
      </c>
      <c r="AA2654" s="24">
        <v>44866</v>
      </c>
      <c r="AB2654" t="s">
        <v>26</v>
      </c>
      <c r="AC2654" s="24">
        <v>32509</v>
      </c>
      <c r="AD2654" s="24">
        <v>44866</v>
      </c>
      <c r="AE2654" t="s">
        <v>26</v>
      </c>
      <c r="AF2654" t="s">
        <v>26</v>
      </c>
      <c r="AG2654" t="s">
        <v>26</v>
      </c>
      <c r="AH2654" t="s">
        <v>26</v>
      </c>
      <c r="AI2654" t="s">
        <v>26</v>
      </c>
      <c r="AJ2654" t="s">
        <v>26</v>
      </c>
      <c r="AK2654" t="s">
        <v>26</v>
      </c>
      <c r="AL2654" t="s">
        <v>26</v>
      </c>
      <c r="AM2654" t="s">
        <v>26</v>
      </c>
      <c r="AN2654" t="s">
        <v>26</v>
      </c>
      <c r="AO2654" s="25" t="s">
        <v>68</v>
      </c>
      <c r="AP2654" s="23" t="s">
        <v>69</v>
      </c>
      <c r="AQ2654" s="23" t="s">
        <v>30</v>
      </c>
      <c r="AR2654" s="23" t="s">
        <v>6877</v>
      </c>
      <c r="AS2654" s="25">
        <v>46002</v>
      </c>
      <c r="AT2654" t="s">
        <v>26</v>
      </c>
      <c r="AU2654" t="s">
        <v>25678</v>
      </c>
    </row>
    <row r="2655" spans="1:47" ht="39.4" x14ac:dyDescent="0.4">
      <c r="A2655" s="23" t="s">
        <v>6878</v>
      </c>
      <c r="B2655" t="s">
        <v>26</v>
      </c>
      <c r="C2655" s="23" t="s">
        <v>107</v>
      </c>
      <c r="D2655" s="23" t="s">
        <v>22194</v>
      </c>
      <c r="E2655" s="23" t="s">
        <v>42</v>
      </c>
      <c r="F2655" s="25" t="s">
        <v>6879</v>
      </c>
      <c r="G2655" s="25" t="s">
        <v>6880</v>
      </c>
      <c r="H2655" t="s">
        <v>26</v>
      </c>
      <c r="I2655" t="s">
        <v>26</v>
      </c>
      <c r="J2655" t="s">
        <v>26</v>
      </c>
      <c r="K2655" t="s">
        <v>26</v>
      </c>
      <c r="L2655" s="25" t="s">
        <v>68</v>
      </c>
      <c r="M2655" t="s">
        <v>26</v>
      </c>
      <c r="N2655" t="s">
        <v>26</v>
      </c>
      <c r="O2655" t="s">
        <v>26</v>
      </c>
      <c r="P2655" t="s">
        <v>26</v>
      </c>
      <c r="Q2655" t="s">
        <v>26</v>
      </c>
      <c r="R2655" t="s">
        <v>26</v>
      </c>
      <c r="S2655" t="s">
        <v>26</v>
      </c>
      <c r="T2655" t="s">
        <v>26</v>
      </c>
      <c r="U2655" t="s">
        <v>26</v>
      </c>
      <c r="V2655" t="s">
        <v>26</v>
      </c>
      <c r="W2655" s="24">
        <v>35977</v>
      </c>
      <c r="X2655" s="25" t="s">
        <v>77</v>
      </c>
      <c r="Y2655" t="s">
        <v>26</v>
      </c>
      <c r="Z2655" s="24">
        <v>35977</v>
      </c>
      <c r="AA2655" s="25" t="s">
        <v>77</v>
      </c>
      <c r="AB2655" t="s">
        <v>26</v>
      </c>
      <c r="AC2655" s="24">
        <v>35977</v>
      </c>
      <c r="AD2655" s="25" t="s">
        <v>77</v>
      </c>
      <c r="AE2655" t="s">
        <v>26</v>
      </c>
      <c r="AF2655" t="s">
        <v>26</v>
      </c>
      <c r="AG2655" t="s">
        <v>26</v>
      </c>
      <c r="AH2655" t="s">
        <v>26</v>
      </c>
      <c r="AI2655" t="s">
        <v>26</v>
      </c>
      <c r="AJ2655" t="s">
        <v>26</v>
      </c>
      <c r="AK2655" t="s">
        <v>26</v>
      </c>
      <c r="AL2655" t="s">
        <v>26</v>
      </c>
      <c r="AM2655" t="s">
        <v>26</v>
      </c>
      <c r="AN2655" t="s">
        <v>26</v>
      </c>
      <c r="AO2655" s="25" t="s">
        <v>68</v>
      </c>
      <c r="AP2655" s="23" t="s">
        <v>69</v>
      </c>
      <c r="AQ2655" s="23" t="s">
        <v>30</v>
      </c>
      <c r="AR2655" s="23" t="s">
        <v>6881</v>
      </c>
      <c r="AS2655" s="25">
        <v>4977</v>
      </c>
      <c r="AT2655" t="s">
        <v>26</v>
      </c>
      <c r="AU2655" t="s">
        <v>25679</v>
      </c>
    </row>
    <row r="2656" spans="1:47" ht="26.25" x14ac:dyDescent="0.4">
      <c r="A2656" s="23" t="s">
        <v>6882</v>
      </c>
      <c r="B2656" t="s">
        <v>26</v>
      </c>
      <c r="C2656" s="23" t="s">
        <v>176</v>
      </c>
      <c r="D2656" s="23" t="s">
        <v>25680</v>
      </c>
      <c r="E2656" s="23" t="s">
        <v>60</v>
      </c>
      <c r="F2656" s="25" t="s">
        <v>6883</v>
      </c>
      <c r="G2656" s="25" t="s">
        <v>6884</v>
      </c>
      <c r="H2656" t="s">
        <v>26</v>
      </c>
      <c r="I2656" t="s">
        <v>26</v>
      </c>
      <c r="J2656" t="s">
        <v>26</v>
      </c>
      <c r="K2656" t="s">
        <v>26</v>
      </c>
      <c r="L2656" s="25" t="s">
        <v>68</v>
      </c>
      <c r="M2656" t="s">
        <v>26</v>
      </c>
      <c r="N2656" t="s">
        <v>26</v>
      </c>
      <c r="O2656" t="s">
        <v>26</v>
      </c>
      <c r="P2656" t="s">
        <v>26</v>
      </c>
      <c r="Q2656" t="s">
        <v>26</v>
      </c>
      <c r="R2656" t="s">
        <v>26</v>
      </c>
      <c r="S2656" t="s">
        <v>26</v>
      </c>
      <c r="T2656" t="s">
        <v>26</v>
      </c>
      <c r="U2656" t="s">
        <v>26</v>
      </c>
      <c r="V2656" t="s">
        <v>26</v>
      </c>
      <c r="W2656" s="24">
        <v>33239</v>
      </c>
      <c r="X2656" s="24">
        <v>43800</v>
      </c>
      <c r="Y2656" t="s">
        <v>26</v>
      </c>
      <c r="Z2656" s="24">
        <v>33239</v>
      </c>
      <c r="AA2656" s="24">
        <v>43800</v>
      </c>
      <c r="AB2656" t="s">
        <v>26</v>
      </c>
      <c r="AC2656" s="24">
        <v>33239</v>
      </c>
      <c r="AD2656" s="24">
        <v>43800</v>
      </c>
      <c r="AE2656" t="s">
        <v>26</v>
      </c>
      <c r="AF2656" t="s">
        <v>26</v>
      </c>
      <c r="AG2656" t="s">
        <v>26</v>
      </c>
      <c r="AH2656" t="s">
        <v>26</v>
      </c>
      <c r="AI2656" t="s">
        <v>26</v>
      </c>
      <c r="AJ2656" t="s">
        <v>26</v>
      </c>
      <c r="AK2656" t="s">
        <v>26</v>
      </c>
      <c r="AL2656" t="s">
        <v>26</v>
      </c>
      <c r="AM2656" t="s">
        <v>26</v>
      </c>
      <c r="AN2656" t="s">
        <v>26</v>
      </c>
      <c r="AO2656" s="25" t="s">
        <v>68</v>
      </c>
      <c r="AP2656" s="23" t="s">
        <v>69</v>
      </c>
      <c r="AQ2656" s="23" t="s">
        <v>30</v>
      </c>
      <c r="AR2656" s="23" t="s">
        <v>996</v>
      </c>
      <c r="AS2656" s="25">
        <v>34398</v>
      </c>
      <c r="AT2656" t="s">
        <v>26</v>
      </c>
      <c r="AU2656" t="s">
        <v>25681</v>
      </c>
    </row>
    <row r="2657" spans="1:47" ht="26.25" x14ac:dyDescent="0.4">
      <c r="A2657" s="23" t="s">
        <v>6885</v>
      </c>
      <c r="B2657" t="s">
        <v>26</v>
      </c>
      <c r="C2657" s="23" t="s">
        <v>4280</v>
      </c>
      <c r="D2657" s="23" t="s">
        <v>22312</v>
      </c>
      <c r="E2657" s="23" t="s">
        <v>42</v>
      </c>
      <c r="F2657" s="25" t="s">
        <v>6886</v>
      </c>
      <c r="G2657" s="25" t="s">
        <v>6887</v>
      </c>
      <c r="H2657" t="s">
        <v>26</v>
      </c>
      <c r="I2657" t="s">
        <v>26</v>
      </c>
      <c r="J2657" t="s">
        <v>26</v>
      </c>
      <c r="K2657" t="s">
        <v>26</v>
      </c>
      <c r="L2657" s="25" t="s">
        <v>68</v>
      </c>
      <c r="M2657" t="s">
        <v>26</v>
      </c>
      <c r="N2657" t="s">
        <v>26</v>
      </c>
      <c r="O2657" t="s">
        <v>26</v>
      </c>
      <c r="P2657" t="s">
        <v>26</v>
      </c>
      <c r="Q2657" t="s">
        <v>26</v>
      </c>
      <c r="R2657" t="s">
        <v>26</v>
      </c>
      <c r="S2657" t="s">
        <v>26</v>
      </c>
      <c r="T2657" t="s">
        <v>26</v>
      </c>
      <c r="U2657" t="s">
        <v>26</v>
      </c>
      <c r="V2657" t="s">
        <v>26</v>
      </c>
      <c r="W2657" s="24">
        <v>32568</v>
      </c>
      <c r="X2657" s="24">
        <v>36861</v>
      </c>
      <c r="Y2657" t="s">
        <v>26</v>
      </c>
      <c r="Z2657" s="24">
        <v>32568</v>
      </c>
      <c r="AA2657" s="24">
        <v>36861</v>
      </c>
      <c r="AB2657" t="s">
        <v>26</v>
      </c>
      <c r="AC2657" s="24">
        <v>32568</v>
      </c>
      <c r="AD2657" s="24">
        <v>36861</v>
      </c>
      <c r="AE2657" t="s">
        <v>26</v>
      </c>
      <c r="AF2657" t="s">
        <v>26</v>
      </c>
      <c r="AG2657" t="s">
        <v>26</v>
      </c>
      <c r="AH2657" t="s">
        <v>26</v>
      </c>
      <c r="AI2657" t="s">
        <v>26</v>
      </c>
      <c r="AJ2657" t="s">
        <v>26</v>
      </c>
      <c r="AK2657" t="s">
        <v>26</v>
      </c>
      <c r="AL2657" t="s">
        <v>26</v>
      </c>
      <c r="AM2657" t="s">
        <v>26</v>
      </c>
      <c r="AN2657" t="s">
        <v>26</v>
      </c>
      <c r="AO2657" s="25" t="s">
        <v>68</v>
      </c>
      <c r="AP2657" s="23" t="s">
        <v>69</v>
      </c>
      <c r="AQ2657" s="23" t="s">
        <v>30</v>
      </c>
      <c r="AR2657" s="23" t="s">
        <v>996</v>
      </c>
      <c r="AS2657" s="25">
        <v>701</v>
      </c>
      <c r="AT2657" t="s">
        <v>26</v>
      </c>
      <c r="AU2657" t="s">
        <v>25682</v>
      </c>
    </row>
    <row r="2658" spans="1:47" ht="26.25" x14ac:dyDescent="0.4">
      <c r="A2658" s="23" t="s">
        <v>6888</v>
      </c>
      <c r="B2658" t="s">
        <v>26</v>
      </c>
      <c r="C2658" s="23" t="s">
        <v>447</v>
      </c>
      <c r="D2658" s="23" t="s">
        <v>22352</v>
      </c>
      <c r="E2658" s="23" t="s">
        <v>42</v>
      </c>
      <c r="F2658" s="25" t="s">
        <v>6889</v>
      </c>
      <c r="G2658" s="25" t="s">
        <v>6890</v>
      </c>
      <c r="H2658" t="s">
        <v>26</v>
      </c>
      <c r="I2658" t="s">
        <v>26</v>
      </c>
      <c r="J2658" t="s">
        <v>26</v>
      </c>
      <c r="K2658" t="s">
        <v>26</v>
      </c>
      <c r="L2658" s="25" t="s">
        <v>68</v>
      </c>
      <c r="M2658" t="s">
        <v>26</v>
      </c>
      <c r="N2658" t="s">
        <v>26</v>
      </c>
      <c r="O2658" t="s">
        <v>26</v>
      </c>
      <c r="P2658" t="s">
        <v>26</v>
      </c>
      <c r="Q2658" t="s">
        <v>26</v>
      </c>
      <c r="R2658" t="s">
        <v>26</v>
      </c>
      <c r="S2658" t="s">
        <v>26</v>
      </c>
      <c r="T2658" t="s">
        <v>26</v>
      </c>
      <c r="U2658" t="s">
        <v>26</v>
      </c>
      <c r="V2658" t="s">
        <v>26</v>
      </c>
      <c r="W2658" s="24">
        <v>32568</v>
      </c>
      <c r="X2658" s="25" t="s">
        <v>77</v>
      </c>
      <c r="Y2658" t="s">
        <v>26</v>
      </c>
      <c r="Z2658" s="24">
        <v>32568</v>
      </c>
      <c r="AA2658" s="25" t="s">
        <v>77</v>
      </c>
      <c r="AB2658" t="s">
        <v>26</v>
      </c>
      <c r="AC2658" s="24">
        <v>32568</v>
      </c>
      <c r="AD2658" s="25" t="s">
        <v>77</v>
      </c>
      <c r="AE2658" t="s">
        <v>26</v>
      </c>
      <c r="AF2658" t="s">
        <v>26</v>
      </c>
      <c r="AG2658" t="s">
        <v>26</v>
      </c>
      <c r="AH2658" t="s">
        <v>26</v>
      </c>
      <c r="AI2658" t="s">
        <v>26</v>
      </c>
      <c r="AJ2658" t="s">
        <v>26</v>
      </c>
      <c r="AK2658" t="s">
        <v>26</v>
      </c>
      <c r="AL2658" t="s">
        <v>26</v>
      </c>
      <c r="AM2658" t="s">
        <v>26</v>
      </c>
      <c r="AN2658" t="s">
        <v>26</v>
      </c>
      <c r="AO2658" s="25" t="s">
        <v>68</v>
      </c>
      <c r="AP2658" s="23" t="s">
        <v>69</v>
      </c>
      <c r="AQ2658" s="23" t="s">
        <v>30</v>
      </c>
      <c r="AR2658" s="23" t="s">
        <v>147</v>
      </c>
      <c r="AS2658" s="25">
        <v>13915</v>
      </c>
      <c r="AT2658" t="s">
        <v>26</v>
      </c>
      <c r="AU2658" t="s">
        <v>25683</v>
      </c>
    </row>
    <row r="2659" spans="1:47" ht="26.25" x14ac:dyDescent="0.4">
      <c r="A2659" s="23" t="s">
        <v>6891</v>
      </c>
      <c r="B2659" t="s">
        <v>26</v>
      </c>
      <c r="C2659" s="23" t="s">
        <v>1054</v>
      </c>
      <c r="D2659" s="23" t="s">
        <v>22634</v>
      </c>
      <c r="E2659" s="23" t="s">
        <v>335</v>
      </c>
      <c r="F2659" t="s">
        <v>26</v>
      </c>
      <c r="G2659" t="s">
        <v>26</v>
      </c>
      <c r="H2659" t="s">
        <v>26</v>
      </c>
      <c r="I2659" s="24">
        <v>40544</v>
      </c>
      <c r="J2659" s="24">
        <v>40544</v>
      </c>
      <c r="K2659" t="s">
        <v>26</v>
      </c>
      <c r="L2659" s="25" t="s">
        <v>28</v>
      </c>
      <c r="M2659" t="s">
        <v>26</v>
      </c>
      <c r="N2659" t="s">
        <v>26</v>
      </c>
      <c r="O2659" t="s">
        <v>26</v>
      </c>
      <c r="P2659" s="24">
        <v>40544</v>
      </c>
      <c r="Q2659" s="24">
        <v>40544</v>
      </c>
      <c r="R2659" t="s">
        <v>26</v>
      </c>
      <c r="S2659" t="s">
        <v>26</v>
      </c>
      <c r="T2659" t="s">
        <v>26</v>
      </c>
      <c r="U2659" t="s">
        <v>26</v>
      </c>
      <c r="V2659" t="s">
        <v>26</v>
      </c>
      <c r="W2659" s="24">
        <v>40544</v>
      </c>
      <c r="X2659" s="24">
        <v>40544</v>
      </c>
      <c r="Y2659" t="s">
        <v>26</v>
      </c>
      <c r="Z2659" s="24">
        <v>40544</v>
      </c>
      <c r="AA2659" s="24">
        <v>40544</v>
      </c>
      <c r="AB2659" t="s">
        <v>26</v>
      </c>
      <c r="AC2659" s="24">
        <v>40544</v>
      </c>
      <c r="AD2659" s="24">
        <v>40544</v>
      </c>
      <c r="AE2659" t="s">
        <v>26</v>
      </c>
      <c r="AF2659" t="s">
        <v>26</v>
      </c>
      <c r="AG2659" t="s">
        <v>26</v>
      </c>
      <c r="AH2659" t="s">
        <v>26</v>
      </c>
      <c r="AI2659" t="s">
        <v>26</v>
      </c>
      <c r="AJ2659" t="s">
        <v>26</v>
      </c>
      <c r="AK2659" t="s">
        <v>26</v>
      </c>
      <c r="AL2659" t="s">
        <v>26</v>
      </c>
      <c r="AM2659" t="s">
        <v>26</v>
      </c>
      <c r="AN2659" t="s">
        <v>26</v>
      </c>
      <c r="AO2659" s="25" t="s">
        <v>28</v>
      </c>
      <c r="AP2659" s="23" t="s">
        <v>29</v>
      </c>
      <c r="AQ2659" s="23" t="s">
        <v>30</v>
      </c>
      <c r="AR2659" s="23" t="s">
        <v>6892</v>
      </c>
      <c r="AS2659" s="25">
        <v>5485067</v>
      </c>
      <c r="AT2659" s="23" t="s">
        <v>22181</v>
      </c>
      <c r="AU2659" t="s">
        <v>25684</v>
      </c>
    </row>
    <row r="2660" spans="1:47" ht="26.25" x14ac:dyDescent="0.4">
      <c r="A2660" s="23" t="s">
        <v>6893</v>
      </c>
      <c r="B2660" t="s">
        <v>26</v>
      </c>
      <c r="C2660" s="23" t="s">
        <v>483</v>
      </c>
      <c r="D2660" s="23" t="s">
        <v>22174</v>
      </c>
      <c r="E2660" s="23" t="s">
        <v>60</v>
      </c>
      <c r="F2660" s="25" t="s">
        <v>6894</v>
      </c>
      <c r="G2660" s="25" t="s">
        <v>6895</v>
      </c>
      <c r="H2660" t="s">
        <v>26</v>
      </c>
      <c r="I2660" s="24">
        <v>37742</v>
      </c>
      <c r="J2660" s="25" t="s">
        <v>77</v>
      </c>
      <c r="K2660" t="s">
        <v>26</v>
      </c>
      <c r="L2660" s="25" t="s">
        <v>68</v>
      </c>
      <c r="M2660" s="24">
        <v>37742</v>
      </c>
      <c r="N2660" s="24">
        <v>42491</v>
      </c>
      <c r="O2660" t="s">
        <v>26</v>
      </c>
      <c r="P2660" s="24">
        <v>37742</v>
      </c>
      <c r="Q2660" s="25" t="s">
        <v>77</v>
      </c>
      <c r="R2660" t="s">
        <v>26</v>
      </c>
      <c r="S2660" t="s">
        <v>26</v>
      </c>
      <c r="T2660" t="s">
        <v>26</v>
      </c>
      <c r="U2660" t="s">
        <v>26</v>
      </c>
      <c r="V2660" s="25">
        <v>365</v>
      </c>
      <c r="W2660" s="24">
        <v>37742</v>
      </c>
      <c r="X2660" s="25" t="s">
        <v>77</v>
      </c>
      <c r="Y2660" t="s">
        <v>26</v>
      </c>
      <c r="Z2660" s="24">
        <v>37742</v>
      </c>
      <c r="AA2660" s="25" t="s">
        <v>77</v>
      </c>
      <c r="AB2660" t="s">
        <v>26</v>
      </c>
      <c r="AC2660" s="24">
        <v>37742</v>
      </c>
      <c r="AD2660" s="25" t="s">
        <v>77</v>
      </c>
      <c r="AE2660" t="s">
        <v>26</v>
      </c>
      <c r="AF2660" t="s">
        <v>26</v>
      </c>
      <c r="AG2660" t="s">
        <v>26</v>
      </c>
      <c r="AH2660" t="s">
        <v>26</v>
      </c>
      <c r="AI2660" t="s">
        <v>26</v>
      </c>
      <c r="AJ2660" t="s">
        <v>26</v>
      </c>
      <c r="AK2660" t="s">
        <v>26</v>
      </c>
      <c r="AL2660" t="s">
        <v>26</v>
      </c>
      <c r="AM2660" t="s">
        <v>26</v>
      </c>
      <c r="AN2660" t="s">
        <v>26</v>
      </c>
      <c r="AO2660" s="25" t="s">
        <v>68</v>
      </c>
      <c r="AP2660" s="23" t="s">
        <v>69</v>
      </c>
      <c r="AQ2660" s="23" t="s">
        <v>30</v>
      </c>
      <c r="AR2660" s="23" t="s">
        <v>6896</v>
      </c>
      <c r="AS2660" s="25">
        <v>44695</v>
      </c>
      <c r="AT2660" t="s">
        <v>26</v>
      </c>
      <c r="AU2660" t="s">
        <v>25685</v>
      </c>
    </row>
    <row r="2661" spans="1:47" ht="13.15" x14ac:dyDescent="0.4">
      <c r="A2661" s="23" t="s">
        <v>6897</v>
      </c>
      <c r="B2661" t="s">
        <v>26</v>
      </c>
      <c r="C2661" s="23" t="s">
        <v>167</v>
      </c>
      <c r="D2661" s="23" t="s">
        <v>22218</v>
      </c>
      <c r="E2661" s="23" t="s">
        <v>60</v>
      </c>
      <c r="F2661" t="s">
        <v>26</v>
      </c>
      <c r="G2661" t="s">
        <v>26</v>
      </c>
      <c r="H2661" t="s">
        <v>26</v>
      </c>
      <c r="I2661" s="24">
        <v>41640</v>
      </c>
      <c r="J2661" s="24">
        <v>41640</v>
      </c>
      <c r="K2661" t="s">
        <v>26</v>
      </c>
      <c r="L2661" s="25" t="s">
        <v>28</v>
      </c>
      <c r="M2661" t="s">
        <v>26</v>
      </c>
      <c r="N2661" t="s">
        <v>26</v>
      </c>
      <c r="O2661" t="s">
        <v>26</v>
      </c>
      <c r="P2661" s="24">
        <v>41640</v>
      </c>
      <c r="Q2661" s="24">
        <v>41640</v>
      </c>
      <c r="R2661" t="s">
        <v>26</v>
      </c>
      <c r="S2661" t="s">
        <v>26</v>
      </c>
      <c r="T2661" t="s">
        <v>26</v>
      </c>
      <c r="U2661" t="s">
        <v>26</v>
      </c>
      <c r="V2661" t="s">
        <v>26</v>
      </c>
      <c r="W2661" s="24">
        <v>41640</v>
      </c>
      <c r="X2661" s="24">
        <v>41640</v>
      </c>
      <c r="Y2661" t="s">
        <v>26</v>
      </c>
      <c r="Z2661" s="24">
        <v>41640</v>
      </c>
      <c r="AA2661" s="24">
        <v>41640</v>
      </c>
      <c r="AB2661" t="s">
        <v>26</v>
      </c>
      <c r="AC2661" s="24">
        <v>41640</v>
      </c>
      <c r="AD2661" s="24">
        <v>41640</v>
      </c>
      <c r="AE2661" t="s">
        <v>26</v>
      </c>
      <c r="AF2661" t="s">
        <v>26</v>
      </c>
      <c r="AG2661" t="s">
        <v>26</v>
      </c>
      <c r="AH2661" t="s">
        <v>26</v>
      </c>
      <c r="AI2661" t="s">
        <v>26</v>
      </c>
      <c r="AJ2661" t="s">
        <v>26</v>
      </c>
      <c r="AK2661" t="s">
        <v>26</v>
      </c>
      <c r="AL2661" t="s">
        <v>26</v>
      </c>
      <c r="AM2661" t="s">
        <v>26</v>
      </c>
      <c r="AN2661" t="s">
        <v>26</v>
      </c>
      <c r="AO2661" s="25" t="s">
        <v>28</v>
      </c>
      <c r="AP2661" s="23" t="s">
        <v>29</v>
      </c>
      <c r="AQ2661" s="23" t="s">
        <v>30</v>
      </c>
      <c r="AR2661" s="23" t="s">
        <v>6898</v>
      </c>
      <c r="AS2661" s="25">
        <v>5324464</v>
      </c>
      <c r="AT2661" s="23" t="s">
        <v>22181</v>
      </c>
      <c r="AU2661" t="s">
        <v>25686</v>
      </c>
    </row>
    <row r="2662" spans="1:47" ht="26.25" x14ac:dyDescent="0.4">
      <c r="A2662" s="23" t="s">
        <v>6899</v>
      </c>
      <c r="B2662" t="s">
        <v>26</v>
      </c>
      <c r="C2662" s="23" t="s">
        <v>399</v>
      </c>
      <c r="D2662" s="23" t="s">
        <v>22242</v>
      </c>
      <c r="E2662" s="23" t="s">
        <v>42</v>
      </c>
      <c r="F2662" s="25" t="s">
        <v>6900</v>
      </c>
      <c r="G2662" s="25" t="s">
        <v>6901</v>
      </c>
      <c r="H2662" t="s">
        <v>26</v>
      </c>
      <c r="I2662" s="24">
        <v>32143</v>
      </c>
      <c r="J2662" s="24">
        <v>41183</v>
      </c>
      <c r="K2662" t="s">
        <v>26</v>
      </c>
      <c r="L2662" s="25" t="s">
        <v>68</v>
      </c>
      <c r="M2662" s="24">
        <v>34700</v>
      </c>
      <c r="N2662" s="24">
        <v>41183</v>
      </c>
      <c r="O2662" t="s">
        <v>26</v>
      </c>
      <c r="P2662" s="24">
        <v>32143</v>
      </c>
      <c r="Q2662" s="24">
        <v>41183</v>
      </c>
      <c r="R2662" t="s">
        <v>26</v>
      </c>
      <c r="S2662" t="s">
        <v>26</v>
      </c>
      <c r="T2662" t="s">
        <v>26</v>
      </c>
      <c r="U2662" t="s">
        <v>26</v>
      </c>
      <c r="V2662" t="s">
        <v>26</v>
      </c>
      <c r="W2662" s="24">
        <v>32143</v>
      </c>
      <c r="X2662" s="25" t="s">
        <v>77</v>
      </c>
      <c r="Y2662" t="s">
        <v>26</v>
      </c>
      <c r="Z2662" s="24">
        <v>32143</v>
      </c>
      <c r="AA2662" s="25" t="s">
        <v>77</v>
      </c>
      <c r="AB2662" t="s">
        <v>26</v>
      </c>
      <c r="AC2662" s="24">
        <v>32143</v>
      </c>
      <c r="AD2662" s="25" t="s">
        <v>77</v>
      </c>
      <c r="AE2662" t="s">
        <v>26</v>
      </c>
      <c r="AF2662" t="s">
        <v>26</v>
      </c>
      <c r="AG2662" t="s">
        <v>26</v>
      </c>
      <c r="AH2662" t="s">
        <v>26</v>
      </c>
      <c r="AI2662" t="s">
        <v>26</v>
      </c>
      <c r="AJ2662" t="s">
        <v>26</v>
      </c>
      <c r="AK2662" t="s">
        <v>26</v>
      </c>
      <c r="AL2662" t="s">
        <v>26</v>
      </c>
      <c r="AM2662" t="s">
        <v>26</v>
      </c>
      <c r="AN2662" t="s">
        <v>26</v>
      </c>
      <c r="AO2662" s="25" t="s">
        <v>68</v>
      </c>
      <c r="AP2662" s="23" t="s">
        <v>69</v>
      </c>
      <c r="AQ2662" s="23" t="s">
        <v>30</v>
      </c>
      <c r="AR2662" s="23" t="s">
        <v>147</v>
      </c>
      <c r="AS2662" s="25">
        <v>40730</v>
      </c>
      <c r="AT2662" t="s">
        <v>26</v>
      </c>
      <c r="AU2662" t="s">
        <v>25687</v>
      </c>
    </row>
    <row r="2663" spans="1:47" ht="26.25" x14ac:dyDescent="0.4">
      <c r="A2663" s="23" t="s">
        <v>6902</v>
      </c>
      <c r="B2663" t="s">
        <v>26</v>
      </c>
      <c r="C2663" s="23" t="s">
        <v>6903</v>
      </c>
      <c r="D2663" s="23" t="s">
        <v>22174</v>
      </c>
      <c r="E2663" s="23" t="s">
        <v>60</v>
      </c>
      <c r="F2663" s="25" t="s">
        <v>6904</v>
      </c>
      <c r="G2663" t="s">
        <v>26</v>
      </c>
      <c r="H2663" t="s">
        <v>26</v>
      </c>
      <c r="I2663" t="s">
        <v>26</v>
      </c>
      <c r="J2663" t="s">
        <v>26</v>
      </c>
      <c r="K2663" t="s">
        <v>26</v>
      </c>
      <c r="L2663" s="25" t="s">
        <v>68</v>
      </c>
      <c r="M2663" t="s">
        <v>26</v>
      </c>
      <c r="N2663" t="s">
        <v>26</v>
      </c>
      <c r="O2663" t="s">
        <v>26</v>
      </c>
      <c r="P2663" t="s">
        <v>26</v>
      </c>
      <c r="Q2663" t="s">
        <v>26</v>
      </c>
      <c r="R2663" t="s">
        <v>26</v>
      </c>
      <c r="S2663" t="s">
        <v>26</v>
      </c>
      <c r="T2663" t="s">
        <v>26</v>
      </c>
      <c r="U2663" t="s">
        <v>26</v>
      </c>
      <c r="V2663" t="s">
        <v>26</v>
      </c>
      <c r="W2663" s="24">
        <v>42005</v>
      </c>
      <c r="X2663" s="25" t="s">
        <v>77</v>
      </c>
      <c r="Y2663" t="s">
        <v>26</v>
      </c>
      <c r="Z2663" s="24">
        <v>42005</v>
      </c>
      <c r="AA2663" s="25" t="s">
        <v>77</v>
      </c>
      <c r="AB2663" t="s">
        <v>26</v>
      </c>
      <c r="AC2663" s="24">
        <v>42005</v>
      </c>
      <c r="AD2663" s="25" t="s">
        <v>77</v>
      </c>
      <c r="AE2663" t="s">
        <v>26</v>
      </c>
      <c r="AF2663" t="s">
        <v>26</v>
      </c>
      <c r="AG2663" t="s">
        <v>26</v>
      </c>
      <c r="AH2663" t="s">
        <v>26</v>
      </c>
      <c r="AI2663" t="s">
        <v>26</v>
      </c>
      <c r="AJ2663" t="s">
        <v>26</v>
      </c>
      <c r="AK2663" t="s">
        <v>26</v>
      </c>
      <c r="AL2663" t="s">
        <v>26</v>
      </c>
      <c r="AM2663" t="s">
        <v>26</v>
      </c>
      <c r="AN2663" t="s">
        <v>26</v>
      </c>
      <c r="AO2663" s="25" t="s">
        <v>68</v>
      </c>
      <c r="AP2663" s="23" t="s">
        <v>69</v>
      </c>
      <c r="AQ2663" s="23" t="s">
        <v>30</v>
      </c>
      <c r="AR2663" s="23" t="s">
        <v>147</v>
      </c>
      <c r="AS2663" s="25">
        <v>2032952</v>
      </c>
      <c r="AT2663" t="s">
        <v>26</v>
      </c>
      <c r="AU2663" t="s">
        <v>25688</v>
      </c>
    </row>
    <row r="2664" spans="1:47" ht="13.15" x14ac:dyDescent="0.4">
      <c r="A2664" s="23" t="s">
        <v>6905</v>
      </c>
      <c r="B2664" t="s">
        <v>26</v>
      </c>
      <c r="C2664" s="23" t="s">
        <v>294</v>
      </c>
      <c r="D2664" s="23" t="s">
        <v>22179</v>
      </c>
      <c r="E2664" s="23" t="s">
        <v>42</v>
      </c>
      <c r="F2664" t="s">
        <v>26</v>
      </c>
      <c r="G2664" t="s">
        <v>26</v>
      </c>
      <c r="H2664" t="s">
        <v>26</v>
      </c>
      <c r="I2664" s="24">
        <v>40179</v>
      </c>
      <c r="J2664" s="24">
        <v>40179</v>
      </c>
      <c r="K2664" t="s">
        <v>26</v>
      </c>
      <c r="L2664" s="25" t="s">
        <v>28</v>
      </c>
      <c r="M2664" t="s">
        <v>26</v>
      </c>
      <c r="N2664" t="s">
        <v>26</v>
      </c>
      <c r="O2664" t="s">
        <v>26</v>
      </c>
      <c r="P2664" s="24">
        <v>40179</v>
      </c>
      <c r="Q2664" s="24">
        <v>40179</v>
      </c>
      <c r="R2664" t="s">
        <v>26</v>
      </c>
      <c r="S2664" t="s">
        <v>26</v>
      </c>
      <c r="T2664" t="s">
        <v>26</v>
      </c>
      <c r="U2664" t="s">
        <v>26</v>
      </c>
      <c r="V2664" t="s">
        <v>26</v>
      </c>
      <c r="W2664" s="24">
        <v>40179</v>
      </c>
      <c r="X2664" s="24">
        <v>40179</v>
      </c>
      <c r="Y2664" t="s">
        <v>26</v>
      </c>
      <c r="Z2664" s="24">
        <v>40179</v>
      </c>
      <c r="AA2664" s="24">
        <v>40179</v>
      </c>
      <c r="AB2664" t="s">
        <v>26</v>
      </c>
      <c r="AC2664" s="24">
        <v>40179</v>
      </c>
      <c r="AD2664" s="24">
        <v>40179</v>
      </c>
      <c r="AE2664" t="s">
        <v>26</v>
      </c>
      <c r="AF2664" t="s">
        <v>26</v>
      </c>
      <c r="AG2664" t="s">
        <v>26</v>
      </c>
      <c r="AH2664" t="s">
        <v>26</v>
      </c>
      <c r="AI2664" t="s">
        <v>26</v>
      </c>
      <c r="AJ2664" t="s">
        <v>26</v>
      </c>
      <c r="AK2664" t="s">
        <v>26</v>
      </c>
      <c r="AL2664" t="s">
        <v>26</v>
      </c>
      <c r="AM2664" t="s">
        <v>26</v>
      </c>
      <c r="AN2664" t="s">
        <v>26</v>
      </c>
      <c r="AO2664" s="25" t="s">
        <v>28</v>
      </c>
      <c r="AP2664" s="23" t="s">
        <v>29</v>
      </c>
      <c r="AQ2664" s="23" t="s">
        <v>30</v>
      </c>
      <c r="AR2664" s="23" t="s">
        <v>147</v>
      </c>
      <c r="AS2664" s="25">
        <v>5325209</v>
      </c>
      <c r="AT2664" s="23" t="s">
        <v>22181</v>
      </c>
      <c r="AU2664" t="s">
        <v>25689</v>
      </c>
    </row>
    <row r="2665" spans="1:47" ht="26.25" x14ac:dyDescent="0.4">
      <c r="A2665" s="23" t="s">
        <v>6906</v>
      </c>
      <c r="B2665" t="s">
        <v>26</v>
      </c>
      <c r="C2665" s="23" t="s">
        <v>292</v>
      </c>
      <c r="D2665" s="23" t="s">
        <v>22256</v>
      </c>
      <c r="E2665" s="23" t="s">
        <v>42</v>
      </c>
      <c r="F2665" t="s">
        <v>26</v>
      </c>
      <c r="G2665" t="s">
        <v>26</v>
      </c>
      <c r="H2665" t="s">
        <v>26</v>
      </c>
      <c r="I2665" s="24">
        <v>38718</v>
      </c>
      <c r="J2665" s="24">
        <v>38718</v>
      </c>
      <c r="K2665" t="s">
        <v>26</v>
      </c>
      <c r="L2665" s="25" t="s">
        <v>28</v>
      </c>
      <c r="M2665" t="s">
        <v>26</v>
      </c>
      <c r="N2665" t="s">
        <v>26</v>
      </c>
      <c r="O2665" t="s">
        <v>26</v>
      </c>
      <c r="P2665" s="24">
        <v>38718</v>
      </c>
      <c r="Q2665" s="24">
        <v>38718</v>
      </c>
      <c r="R2665" t="s">
        <v>26</v>
      </c>
      <c r="S2665" t="s">
        <v>26</v>
      </c>
      <c r="T2665" t="s">
        <v>26</v>
      </c>
      <c r="U2665" t="s">
        <v>26</v>
      </c>
      <c r="V2665" t="s">
        <v>26</v>
      </c>
      <c r="W2665" s="24">
        <v>38718</v>
      </c>
      <c r="X2665" s="24">
        <v>38718</v>
      </c>
      <c r="Y2665" t="s">
        <v>26</v>
      </c>
      <c r="Z2665" s="24">
        <v>38718</v>
      </c>
      <c r="AA2665" s="24">
        <v>38718</v>
      </c>
      <c r="AB2665" t="s">
        <v>26</v>
      </c>
      <c r="AC2665" s="24">
        <v>38718</v>
      </c>
      <c r="AD2665" s="24">
        <v>38718</v>
      </c>
      <c r="AE2665" t="s">
        <v>26</v>
      </c>
      <c r="AF2665" t="s">
        <v>26</v>
      </c>
      <c r="AG2665" t="s">
        <v>26</v>
      </c>
      <c r="AH2665" t="s">
        <v>26</v>
      </c>
      <c r="AI2665" t="s">
        <v>26</v>
      </c>
      <c r="AJ2665" t="s">
        <v>26</v>
      </c>
      <c r="AK2665" t="s">
        <v>26</v>
      </c>
      <c r="AL2665" t="s">
        <v>26</v>
      </c>
      <c r="AM2665" t="s">
        <v>26</v>
      </c>
      <c r="AN2665" t="s">
        <v>26</v>
      </c>
      <c r="AO2665" s="25" t="s">
        <v>28</v>
      </c>
      <c r="AP2665" s="23" t="s">
        <v>29</v>
      </c>
      <c r="AQ2665" s="23" t="s">
        <v>30</v>
      </c>
      <c r="AR2665" s="23" t="s">
        <v>147</v>
      </c>
      <c r="AS2665" s="25">
        <v>5325192</v>
      </c>
      <c r="AT2665" s="23" t="s">
        <v>22181</v>
      </c>
      <c r="AU2665" t="s">
        <v>25690</v>
      </c>
    </row>
    <row r="2666" spans="1:47" ht="26.25" x14ac:dyDescent="0.4">
      <c r="A2666" s="23" t="s">
        <v>6907</v>
      </c>
      <c r="B2666" t="s">
        <v>26</v>
      </c>
      <c r="C2666" s="23" t="s">
        <v>6908</v>
      </c>
      <c r="D2666" s="23" t="s">
        <v>25691</v>
      </c>
      <c r="E2666" s="23" t="s">
        <v>3049</v>
      </c>
      <c r="F2666" s="25" t="s">
        <v>6909</v>
      </c>
      <c r="G2666" t="s">
        <v>26</v>
      </c>
      <c r="H2666" t="s">
        <v>26</v>
      </c>
      <c r="I2666" t="s">
        <v>26</v>
      </c>
      <c r="J2666" t="s">
        <v>26</v>
      </c>
      <c r="K2666" t="s">
        <v>26</v>
      </c>
      <c r="L2666" s="25" t="s">
        <v>68</v>
      </c>
      <c r="M2666" t="s">
        <v>26</v>
      </c>
      <c r="N2666" t="s">
        <v>26</v>
      </c>
      <c r="O2666" t="s">
        <v>26</v>
      </c>
      <c r="P2666" t="s">
        <v>26</v>
      </c>
      <c r="Q2666" t="s">
        <v>26</v>
      </c>
      <c r="R2666" t="s">
        <v>26</v>
      </c>
      <c r="S2666" t="s">
        <v>26</v>
      </c>
      <c r="T2666" t="s">
        <v>26</v>
      </c>
      <c r="U2666" t="s">
        <v>26</v>
      </c>
      <c r="V2666" t="s">
        <v>26</v>
      </c>
      <c r="W2666" s="24">
        <v>42370</v>
      </c>
      <c r="X2666" s="25" t="s">
        <v>77</v>
      </c>
      <c r="Y2666" t="s">
        <v>26</v>
      </c>
      <c r="Z2666" s="24">
        <v>42370</v>
      </c>
      <c r="AA2666" s="25" t="s">
        <v>77</v>
      </c>
      <c r="AB2666" t="s">
        <v>26</v>
      </c>
      <c r="AC2666" s="24">
        <v>42370</v>
      </c>
      <c r="AD2666" s="25" t="s">
        <v>77</v>
      </c>
      <c r="AE2666" t="s">
        <v>26</v>
      </c>
      <c r="AF2666" t="s">
        <v>26</v>
      </c>
      <c r="AG2666" t="s">
        <v>26</v>
      </c>
      <c r="AH2666" t="s">
        <v>26</v>
      </c>
      <c r="AI2666" t="s">
        <v>26</v>
      </c>
      <c r="AJ2666" t="s">
        <v>26</v>
      </c>
      <c r="AK2666" t="s">
        <v>26</v>
      </c>
      <c r="AL2666" t="s">
        <v>26</v>
      </c>
      <c r="AM2666" t="s">
        <v>26</v>
      </c>
      <c r="AN2666" t="s">
        <v>26</v>
      </c>
      <c r="AO2666" s="25" t="s">
        <v>28</v>
      </c>
      <c r="AP2666" s="23" t="s">
        <v>69</v>
      </c>
      <c r="AQ2666" s="23" t="s">
        <v>6576</v>
      </c>
      <c r="AR2666" s="23" t="s">
        <v>147</v>
      </c>
      <c r="AS2666" s="25">
        <v>2042048</v>
      </c>
      <c r="AT2666" t="s">
        <v>26</v>
      </c>
      <c r="AU2666" t="s">
        <v>25692</v>
      </c>
    </row>
    <row r="2667" spans="1:47" ht="26.25" x14ac:dyDescent="0.4">
      <c r="A2667" s="23" t="s">
        <v>6910</v>
      </c>
      <c r="B2667" t="s">
        <v>26</v>
      </c>
      <c r="C2667" s="23" t="s">
        <v>399</v>
      </c>
      <c r="D2667" s="23" t="s">
        <v>22242</v>
      </c>
      <c r="E2667" s="23" t="s">
        <v>42</v>
      </c>
      <c r="F2667" s="25" t="s">
        <v>6911</v>
      </c>
      <c r="G2667" s="25" t="s">
        <v>6912</v>
      </c>
      <c r="H2667" t="s">
        <v>26</v>
      </c>
      <c r="I2667" s="24">
        <v>35765</v>
      </c>
      <c r="J2667" s="24">
        <v>41244</v>
      </c>
      <c r="K2667" t="s">
        <v>26</v>
      </c>
      <c r="L2667" s="25" t="s">
        <v>68</v>
      </c>
      <c r="M2667" s="24">
        <v>35765</v>
      </c>
      <c r="N2667" s="24">
        <v>41244</v>
      </c>
      <c r="O2667" t="s">
        <v>26</v>
      </c>
      <c r="P2667" s="24">
        <v>35765</v>
      </c>
      <c r="Q2667" s="24">
        <v>41244</v>
      </c>
      <c r="R2667" t="s">
        <v>26</v>
      </c>
      <c r="S2667" t="s">
        <v>26</v>
      </c>
      <c r="T2667" t="s">
        <v>26</v>
      </c>
      <c r="U2667" t="s">
        <v>26</v>
      </c>
      <c r="V2667" t="s">
        <v>26</v>
      </c>
      <c r="W2667" s="24">
        <v>35765</v>
      </c>
      <c r="X2667" s="24">
        <v>44075</v>
      </c>
      <c r="Y2667" s="25" t="s">
        <v>859</v>
      </c>
      <c r="Z2667" s="24">
        <v>35765</v>
      </c>
      <c r="AA2667" s="24">
        <v>44075</v>
      </c>
      <c r="AB2667" s="25" t="s">
        <v>859</v>
      </c>
      <c r="AC2667" s="24">
        <v>35765</v>
      </c>
      <c r="AD2667" s="24">
        <v>44075</v>
      </c>
      <c r="AE2667" s="25" t="s">
        <v>859</v>
      </c>
      <c r="AF2667" t="s">
        <v>26</v>
      </c>
      <c r="AG2667" t="s">
        <v>26</v>
      </c>
      <c r="AH2667" t="s">
        <v>26</v>
      </c>
      <c r="AI2667" t="s">
        <v>26</v>
      </c>
      <c r="AJ2667" t="s">
        <v>26</v>
      </c>
      <c r="AK2667" t="s">
        <v>26</v>
      </c>
      <c r="AL2667" t="s">
        <v>26</v>
      </c>
      <c r="AM2667" t="s">
        <v>26</v>
      </c>
      <c r="AN2667" t="s">
        <v>26</v>
      </c>
      <c r="AO2667" s="25" t="s">
        <v>68</v>
      </c>
      <c r="AP2667" s="23" t="s">
        <v>69</v>
      </c>
      <c r="AQ2667" s="23" t="s">
        <v>30</v>
      </c>
      <c r="AR2667" s="23" t="s">
        <v>6913</v>
      </c>
      <c r="AS2667" s="25">
        <v>34376</v>
      </c>
      <c r="AT2667" t="s">
        <v>26</v>
      </c>
      <c r="AU2667" t="s">
        <v>25693</v>
      </c>
    </row>
    <row r="2668" spans="1:47" ht="26.25" x14ac:dyDescent="0.4">
      <c r="A2668" s="23" t="s">
        <v>6914</v>
      </c>
      <c r="B2668" t="s">
        <v>26</v>
      </c>
      <c r="C2668" s="23" t="s">
        <v>146</v>
      </c>
      <c r="D2668" s="23" t="s">
        <v>22174</v>
      </c>
      <c r="E2668" s="23" t="s">
        <v>60</v>
      </c>
      <c r="F2668" t="s">
        <v>26</v>
      </c>
      <c r="G2668" t="s">
        <v>26</v>
      </c>
      <c r="H2668" t="s">
        <v>26</v>
      </c>
      <c r="I2668" t="s">
        <v>26</v>
      </c>
      <c r="J2668" t="s">
        <v>26</v>
      </c>
      <c r="K2668" t="s">
        <v>26</v>
      </c>
      <c r="L2668" s="25" t="s">
        <v>28</v>
      </c>
      <c r="M2668" t="s">
        <v>26</v>
      </c>
      <c r="N2668" t="s">
        <v>26</v>
      </c>
      <c r="O2668" t="s">
        <v>26</v>
      </c>
      <c r="P2668" t="s">
        <v>26</v>
      </c>
      <c r="Q2668" t="s">
        <v>26</v>
      </c>
      <c r="R2668" t="s">
        <v>26</v>
      </c>
      <c r="S2668" t="s">
        <v>26</v>
      </c>
      <c r="T2668" t="s">
        <v>26</v>
      </c>
      <c r="U2668" t="s">
        <v>26</v>
      </c>
      <c r="V2668" t="s">
        <v>26</v>
      </c>
      <c r="W2668" s="24">
        <v>42005</v>
      </c>
      <c r="X2668" s="24">
        <v>42005</v>
      </c>
      <c r="Y2668" t="s">
        <v>26</v>
      </c>
      <c r="Z2668" s="24">
        <v>42005</v>
      </c>
      <c r="AA2668" s="24">
        <v>42005</v>
      </c>
      <c r="AB2668" t="s">
        <v>26</v>
      </c>
      <c r="AC2668" t="s">
        <v>26</v>
      </c>
      <c r="AD2668" t="s">
        <v>26</v>
      </c>
      <c r="AE2668" t="s">
        <v>26</v>
      </c>
      <c r="AF2668" t="s">
        <v>26</v>
      </c>
      <c r="AG2668" t="s">
        <v>26</v>
      </c>
      <c r="AH2668" t="s">
        <v>26</v>
      </c>
      <c r="AI2668" t="s">
        <v>26</v>
      </c>
      <c r="AJ2668" t="s">
        <v>26</v>
      </c>
      <c r="AK2668" t="s">
        <v>26</v>
      </c>
      <c r="AL2668" t="s">
        <v>26</v>
      </c>
      <c r="AM2668" t="s">
        <v>26</v>
      </c>
      <c r="AN2668" t="s">
        <v>26</v>
      </c>
      <c r="AO2668" s="25" t="s">
        <v>28</v>
      </c>
      <c r="AP2668" s="23" t="s">
        <v>29</v>
      </c>
      <c r="AQ2668" s="23" t="s">
        <v>30</v>
      </c>
      <c r="AR2668" s="23" t="s">
        <v>147</v>
      </c>
      <c r="AS2668" s="25">
        <v>5485103</v>
      </c>
      <c r="AT2668" s="23" t="s">
        <v>22181</v>
      </c>
      <c r="AU2668" t="s">
        <v>25694</v>
      </c>
    </row>
    <row r="2669" spans="1:47" ht="26.25" x14ac:dyDescent="0.4">
      <c r="A2669" s="23" t="s">
        <v>6915</v>
      </c>
      <c r="B2669" t="s">
        <v>26</v>
      </c>
      <c r="C2669" s="23" t="s">
        <v>6916</v>
      </c>
      <c r="D2669" s="23" t="s">
        <v>25695</v>
      </c>
      <c r="E2669" s="23" t="s">
        <v>42</v>
      </c>
      <c r="F2669" s="25" t="s">
        <v>6917</v>
      </c>
      <c r="G2669" s="25" t="s">
        <v>6918</v>
      </c>
      <c r="H2669" t="s">
        <v>26</v>
      </c>
      <c r="I2669" s="24">
        <v>39722</v>
      </c>
      <c r="J2669" s="25" t="s">
        <v>77</v>
      </c>
      <c r="K2669" t="s">
        <v>26</v>
      </c>
      <c r="L2669" s="25" t="s">
        <v>68</v>
      </c>
      <c r="M2669" s="24">
        <v>39722</v>
      </c>
      <c r="N2669" s="25" t="s">
        <v>77</v>
      </c>
      <c r="O2669" t="s">
        <v>26</v>
      </c>
      <c r="P2669" s="24">
        <v>39722</v>
      </c>
      <c r="Q2669" s="25" t="s">
        <v>77</v>
      </c>
      <c r="R2669" t="s">
        <v>26</v>
      </c>
      <c r="S2669" t="s">
        <v>26</v>
      </c>
      <c r="T2669" t="s">
        <v>26</v>
      </c>
      <c r="U2669" t="s">
        <v>26</v>
      </c>
      <c r="V2669" s="25">
        <v>90</v>
      </c>
      <c r="W2669" s="24">
        <v>39722</v>
      </c>
      <c r="X2669" s="25" t="s">
        <v>77</v>
      </c>
      <c r="Y2669" t="s">
        <v>26</v>
      </c>
      <c r="Z2669" s="24">
        <v>39722</v>
      </c>
      <c r="AA2669" s="25" t="s">
        <v>77</v>
      </c>
      <c r="AB2669" t="s">
        <v>26</v>
      </c>
      <c r="AC2669" s="24">
        <v>39722</v>
      </c>
      <c r="AD2669" s="25" t="s">
        <v>77</v>
      </c>
      <c r="AE2669" t="s">
        <v>26</v>
      </c>
      <c r="AF2669" t="s">
        <v>26</v>
      </c>
      <c r="AG2669" t="s">
        <v>26</v>
      </c>
      <c r="AH2669" t="s">
        <v>26</v>
      </c>
      <c r="AI2669" t="s">
        <v>26</v>
      </c>
      <c r="AJ2669" t="s">
        <v>26</v>
      </c>
      <c r="AK2669" t="s">
        <v>26</v>
      </c>
      <c r="AL2669" t="s">
        <v>26</v>
      </c>
      <c r="AM2669" t="s">
        <v>26</v>
      </c>
      <c r="AN2669" t="s">
        <v>26</v>
      </c>
      <c r="AO2669" s="25" t="s">
        <v>68</v>
      </c>
      <c r="AP2669" s="23" t="s">
        <v>69</v>
      </c>
      <c r="AQ2669" s="23" t="s">
        <v>30</v>
      </c>
      <c r="AR2669" s="23" t="s">
        <v>4767</v>
      </c>
      <c r="AS2669" s="25">
        <v>40430</v>
      </c>
      <c r="AT2669" t="s">
        <v>26</v>
      </c>
      <c r="AU2669" t="s">
        <v>25696</v>
      </c>
    </row>
    <row r="2670" spans="1:47" ht="26.25" x14ac:dyDescent="0.4">
      <c r="A2670" s="23" t="s">
        <v>6919</v>
      </c>
      <c r="B2670" t="s">
        <v>26</v>
      </c>
      <c r="C2670" s="23" t="s">
        <v>1958</v>
      </c>
      <c r="D2670" s="23" t="s">
        <v>22179</v>
      </c>
      <c r="E2670" s="23" t="s">
        <v>60</v>
      </c>
      <c r="F2670" s="25" t="s">
        <v>6920</v>
      </c>
      <c r="G2670" s="25" t="s">
        <v>6921</v>
      </c>
      <c r="H2670" t="s">
        <v>26</v>
      </c>
      <c r="I2670" t="s">
        <v>26</v>
      </c>
      <c r="J2670" t="s">
        <v>26</v>
      </c>
      <c r="K2670" t="s">
        <v>26</v>
      </c>
      <c r="L2670" s="25" t="s">
        <v>68</v>
      </c>
      <c r="M2670" t="s">
        <v>26</v>
      </c>
      <c r="N2670" t="s">
        <v>26</v>
      </c>
      <c r="O2670" t="s">
        <v>26</v>
      </c>
      <c r="P2670" t="s">
        <v>26</v>
      </c>
      <c r="Q2670" t="s">
        <v>26</v>
      </c>
      <c r="R2670" t="s">
        <v>26</v>
      </c>
      <c r="S2670" t="s">
        <v>26</v>
      </c>
      <c r="T2670" t="s">
        <v>26</v>
      </c>
      <c r="U2670" t="s">
        <v>26</v>
      </c>
      <c r="V2670" t="s">
        <v>26</v>
      </c>
      <c r="W2670" s="24">
        <v>37895</v>
      </c>
      <c r="X2670" s="25" t="s">
        <v>77</v>
      </c>
      <c r="Y2670" t="s">
        <v>26</v>
      </c>
      <c r="Z2670" s="24">
        <v>37895</v>
      </c>
      <c r="AA2670" s="25" t="s">
        <v>77</v>
      </c>
      <c r="AB2670" t="s">
        <v>26</v>
      </c>
      <c r="AC2670" s="24">
        <v>37895</v>
      </c>
      <c r="AD2670" s="25" t="s">
        <v>77</v>
      </c>
      <c r="AE2670" t="s">
        <v>26</v>
      </c>
      <c r="AF2670" t="s">
        <v>26</v>
      </c>
      <c r="AG2670" t="s">
        <v>26</v>
      </c>
      <c r="AH2670" t="s">
        <v>26</v>
      </c>
      <c r="AI2670" t="s">
        <v>26</v>
      </c>
      <c r="AJ2670" t="s">
        <v>26</v>
      </c>
      <c r="AK2670" t="s">
        <v>26</v>
      </c>
      <c r="AL2670" t="s">
        <v>26</v>
      </c>
      <c r="AM2670" t="s">
        <v>26</v>
      </c>
      <c r="AN2670" t="s">
        <v>26</v>
      </c>
      <c r="AO2670" s="25" t="s">
        <v>68</v>
      </c>
      <c r="AP2670" s="23" t="s">
        <v>69</v>
      </c>
      <c r="AQ2670" s="23" t="s">
        <v>30</v>
      </c>
      <c r="AR2670" s="23" t="s">
        <v>2811</v>
      </c>
      <c r="AS2670" s="25">
        <v>44951</v>
      </c>
      <c r="AT2670" t="s">
        <v>26</v>
      </c>
      <c r="AU2670" t="s">
        <v>25697</v>
      </c>
    </row>
    <row r="2671" spans="1:47" ht="26.25" x14ac:dyDescent="0.4">
      <c r="A2671" s="23" t="s">
        <v>6922</v>
      </c>
      <c r="B2671" t="s">
        <v>26</v>
      </c>
      <c r="C2671" s="23" t="s">
        <v>80</v>
      </c>
      <c r="D2671" s="23" t="s">
        <v>22184</v>
      </c>
      <c r="E2671" s="23" t="s">
        <v>60</v>
      </c>
      <c r="F2671" s="25" t="s">
        <v>6923</v>
      </c>
      <c r="G2671" s="25" t="s">
        <v>6924</v>
      </c>
      <c r="H2671" t="s">
        <v>26</v>
      </c>
      <c r="I2671" t="s">
        <v>26</v>
      </c>
      <c r="J2671" t="s">
        <v>26</v>
      </c>
      <c r="K2671" t="s">
        <v>26</v>
      </c>
      <c r="L2671" s="25" t="s">
        <v>68</v>
      </c>
      <c r="M2671" t="s">
        <v>26</v>
      </c>
      <c r="N2671" t="s">
        <v>26</v>
      </c>
      <c r="O2671" t="s">
        <v>26</v>
      </c>
      <c r="P2671" t="s">
        <v>26</v>
      </c>
      <c r="Q2671" t="s">
        <v>26</v>
      </c>
      <c r="R2671" t="s">
        <v>26</v>
      </c>
      <c r="S2671" t="s">
        <v>26</v>
      </c>
      <c r="T2671" t="s">
        <v>26</v>
      </c>
      <c r="U2671" t="s">
        <v>26</v>
      </c>
      <c r="V2671" t="s">
        <v>26</v>
      </c>
      <c r="W2671" s="24">
        <v>43101</v>
      </c>
      <c r="X2671" s="25" t="s">
        <v>77</v>
      </c>
      <c r="Y2671" t="s">
        <v>26</v>
      </c>
      <c r="Z2671" s="24">
        <v>43101</v>
      </c>
      <c r="AA2671" s="25" t="s">
        <v>77</v>
      </c>
      <c r="AB2671" t="s">
        <v>26</v>
      </c>
      <c r="AC2671" s="24">
        <v>43101</v>
      </c>
      <c r="AD2671" s="25" t="s">
        <v>77</v>
      </c>
      <c r="AE2671" t="s">
        <v>26</v>
      </c>
      <c r="AF2671" t="s">
        <v>26</v>
      </c>
      <c r="AG2671" t="s">
        <v>26</v>
      </c>
      <c r="AH2671" t="s">
        <v>26</v>
      </c>
      <c r="AI2671" t="s">
        <v>26</v>
      </c>
      <c r="AJ2671" t="s">
        <v>26</v>
      </c>
      <c r="AK2671" t="s">
        <v>26</v>
      </c>
      <c r="AL2671" t="s">
        <v>26</v>
      </c>
      <c r="AM2671" t="s">
        <v>26</v>
      </c>
      <c r="AN2671" t="s">
        <v>26</v>
      </c>
      <c r="AO2671" s="25" t="s">
        <v>68</v>
      </c>
      <c r="AP2671" s="23" t="s">
        <v>69</v>
      </c>
      <c r="AQ2671" s="23" t="s">
        <v>30</v>
      </c>
      <c r="AR2671" s="23" t="s">
        <v>147</v>
      </c>
      <c r="AS2671" s="25">
        <v>52964</v>
      </c>
      <c r="AT2671" t="s">
        <v>26</v>
      </c>
      <c r="AU2671" t="s">
        <v>25698</v>
      </c>
    </row>
    <row r="2672" spans="1:47" ht="26.25" x14ac:dyDescent="0.4">
      <c r="A2672" s="23" t="s">
        <v>6925</v>
      </c>
      <c r="B2672" t="s">
        <v>26</v>
      </c>
      <c r="C2672" s="23" t="s">
        <v>80</v>
      </c>
      <c r="D2672" s="23" t="s">
        <v>22184</v>
      </c>
      <c r="E2672" s="23" t="s">
        <v>60</v>
      </c>
      <c r="F2672" s="25" t="s">
        <v>6926</v>
      </c>
      <c r="G2672" s="25" t="s">
        <v>6927</v>
      </c>
      <c r="H2672" t="s">
        <v>26</v>
      </c>
      <c r="I2672" t="s">
        <v>26</v>
      </c>
      <c r="J2672" t="s">
        <v>26</v>
      </c>
      <c r="K2672" t="s">
        <v>26</v>
      </c>
      <c r="L2672" s="25" t="s">
        <v>68</v>
      </c>
      <c r="M2672" t="s">
        <v>26</v>
      </c>
      <c r="N2672" t="s">
        <v>26</v>
      </c>
      <c r="O2672" t="s">
        <v>26</v>
      </c>
      <c r="P2672" t="s">
        <v>26</v>
      </c>
      <c r="Q2672" t="s">
        <v>26</v>
      </c>
      <c r="R2672" t="s">
        <v>26</v>
      </c>
      <c r="S2672" t="s">
        <v>26</v>
      </c>
      <c r="T2672" t="s">
        <v>26</v>
      </c>
      <c r="U2672" t="s">
        <v>26</v>
      </c>
      <c r="V2672" t="s">
        <v>26</v>
      </c>
      <c r="W2672" s="24">
        <v>40544</v>
      </c>
      <c r="X2672" s="25" t="s">
        <v>77</v>
      </c>
      <c r="Y2672" s="25" t="s">
        <v>6928</v>
      </c>
      <c r="Z2672" s="24">
        <v>40544</v>
      </c>
      <c r="AA2672" s="25" t="s">
        <v>77</v>
      </c>
      <c r="AB2672" s="25" t="s">
        <v>6928</v>
      </c>
      <c r="AC2672" s="24">
        <v>40544</v>
      </c>
      <c r="AD2672" s="25" t="s">
        <v>77</v>
      </c>
      <c r="AE2672" s="25" t="s">
        <v>6928</v>
      </c>
      <c r="AF2672" t="s">
        <v>26</v>
      </c>
      <c r="AG2672" t="s">
        <v>26</v>
      </c>
      <c r="AH2672" t="s">
        <v>26</v>
      </c>
      <c r="AI2672" t="s">
        <v>26</v>
      </c>
      <c r="AJ2672" t="s">
        <v>26</v>
      </c>
      <c r="AK2672" t="s">
        <v>26</v>
      </c>
      <c r="AL2672" t="s">
        <v>26</v>
      </c>
      <c r="AM2672" t="s">
        <v>26</v>
      </c>
      <c r="AN2672" t="s">
        <v>26</v>
      </c>
      <c r="AO2672" s="25" t="s">
        <v>68</v>
      </c>
      <c r="AP2672" s="23" t="s">
        <v>69</v>
      </c>
      <c r="AQ2672" s="23" t="s">
        <v>30</v>
      </c>
      <c r="AR2672" s="23" t="s">
        <v>2811</v>
      </c>
      <c r="AS2672" s="25">
        <v>2040020</v>
      </c>
      <c r="AT2672" t="s">
        <v>26</v>
      </c>
      <c r="AU2672" t="s">
        <v>25699</v>
      </c>
    </row>
    <row r="2673" spans="1:47" ht="13.15" x14ac:dyDescent="0.4">
      <c r="A2673" s="23" t="s">
        <v>6929</v>
      </c>
      <c r="B2673" t="s">
        <v>26</v>
      </c>
      <c r="C2673" s="23" t="s">
        <v>292</v>
      </c>
      <c r="D2673" s="23" t="s">
        <v>22256</v>
      </c>
      <c r="E2673" s="23" t="s">
        <v>42</v>
      </c>
      <c r="F2673" t="s">
        <v>26</v>
      </c>
      <c r="G2673" t="s">
        <v>26</v>
      </c>
      <c r="H2673" t="s">
        <v>26</v>
      </c>
      <c r="I2673" s="24">
        <v>40544</v>
      </c>
      <c r="J2673" s="24">
        <v>40544</v>
      </c>
      <c r="K2673" t="s">
        <v>26</v>
      </c>
      <c r="L2673" s="25" t="s">
        <v>28</v>
      </c>
      <c r="M2673" t="s">
        <v>26</v>
      </c>
      <c r="N2673" t="s">
        <v>26</v>
      </c>
      <c r="O2673" t="s">
        <v>26</v>
      </c>
      <c r="P2673" s="24">
        <v>40544</v>
      </c>
      <c r="Q2673" s="24">
        <v>40544</v>
      </c>
      <c r="R2673" t="s">
        <v>26</v>
      </c>
      <c r="S2673" t="s">
        <v>26</v>
      </c>
      <c r="T2673" t="s">
        <v>26</v>
      </c>
      <c r="U2673" t="s">
        <v>26</v>
      </c>
      <c r="V2673" t="s">
        <v>26</v>
      </c>
      <c r="W2673" s="24">
        <v>40544</v>
      </c>
      <c r="X2673" s="24">
        <v>40544</v>
      </c>
      <c r="Y2673" t="s">
        <v>26</v>
      </c>
      <c r="Z2673" s="24">
        <v>40544</v>
      </c>
      <c r="AA2673" s="24">
        <v>40544</v>
      </c>
      <c r="AB2673" t="s">
        <v>26</v>
      </c>
      <c r="AC2673" s="24">
        <v>40544</v>
      </c>
      <c r="AD2673" s="24">
        <v>40544</v>
      </c>
      <c r="AE2673" t="s">
        <v>26</v>
      </c>
      <c r="AF2673" t="s">
        <v>26</v>
      </c>
      <c r="AG2673" t="s">
        <v>26</v>
      </c>
      <c r="AH2673" t="s">
        <v>26</v>
      </c>
      <c r="AI2673" t="s">
        <v>26</v>
      </c>
      <c r="AJ2673" t="s">
        <v>26</v>
      </c>
      <c r="AK2673" t="s">
        <v>26</v>
      </c>
      <c r="AL2673" t="s">
        <v>26</v>
      </c>
      <c r="AM2673" t="s">
        <v>26</v>
      </c>
      <c r="AN2673" t="s">
        <v>26</v>
      </c>
      <c r="AO2673" s="25" t="s">
        <v>28</v>
      </c>
      <c r="AP2673" s="23" t="s">
        <v>29</v>
      </c>
      <c r="AQ2673" s="23" t="s">
        <v>30</v>
      </c>
      <c r="AR2673" s="23" t="s">
        <v>147</v>
      </c>
      <c r="AS2673" s="25">
        <v>5325186</v>
      </c>
      <c r="AT2673" s="23" t="s">
        <v>22181</v>
      </c>
      <c r="AU2673" t="s">
        <v>25700</v>
      </c>
    </row>
    <row r="2674" spans="1:47" ht="26.25" x14ac:dyDescent="0.4">
      <c r="A2674" s="23" t="s">
        <v>6930</v>
      </c>
      <c r="B2674" t="s">
        <v>26</v>
      </c>
      <c r="C2674" s="23" t="s">
        <v>1958</v>
      </c>
      <c r="D2674" s="23" t="s">
        <v>22179</v>
      </c>
      <c r="E2674" s="23" t="s">
        <v>60</v>
      </c>
      <c r="F2674" s="25" t="s">
        <v>6931</v>
      </c>
      <c r="G2674" s="25" t="s">
        <v>6932</v>
      </c>
      <c r="H2674" t="s">
        <v>26</v>
      </c>
      <c r="I2674" t="s">
        <v>26</v>
      </c>
      <c r="J2674" t="s">
        <v>26</v>
      </c>
      <c r="K2674" t="s">
        <v>26</v>
      </c>
      <c r="L2674" s="25" t="s">
        <v>68</v>
      </c>
      <c r="M2674" t="s">
        <v>26</v>
      </c>
      <c r="N2674" t="s">
        <v>26</v>
      </c>
      <c r="O2674" t="s">
        <v>26</v>
      </c>
      <c r="P2674" t="s">
        <v>26</v>
      </c>
      <c r="Q2674" t="s">
        <v>26</v>
      </c>
      <c r="R2674" t="s">
        <v>26</v>
      </c>
      <c r="S2674" t="s">
        <v>26</v>
      </c>
      <c r="T2674" t="s">
        <v>26</v>
      </c>
      <c r="U2674" t="s">
        <v>26</v>
      </c>
      <c r="V2674" t="s">
        <v>26</v>
      </c>
      <c r="W2674" s="24">
        <v>34700</v>
      </c>
      <c r="X2674" s="25" t="s">
        <v>77</v>
      </c>
      <c r="Y2674" t="s">
        <v>26</v>
      </c>
      <c r="Z2674" s="24">
        <v>34700</v>
      </c>
      <c r="AA2674" s="25" t="s">
        <v>77</v>
      </c>
      <c r="AB2674" t="s">
        <v>26</v>
      </c>
      <c r="AC2674" s="24">
        <v>34700</v>
      </c>
      <c r="AD2674" s="25" t="s">
        <v>77</v>
      </c>
      <c r="AE2674" t="s">
        <v>26</v>
      </c>
      <c r="AF2674" t="s">
        <v>26</v>
      </c>
      <c r="AG2674" t="s">
        <v>26</v>
      </c>
      <c r="AH2674" t="s">
        <v>26</v>
      </c>
      <c r="AI2674" t="s">
        <v>26</v>
      </c>
      <c r="AJ2674" t="s">
        <v>26</v>
      </c>
      <c r="AK2674" t="s">
        <v>26</v>
      </c>
      <c r="AL2674" t="s">
        <v>26</v>
      </c>
      <c r="AM2674" t="s">
        <v>26</v>
      </c>
      <c r="AN2674" t="s">
        <v>26</v>
      </c>
      <c r="AO2674" s="25" t="s">
        <v>68</v>
      </c>
      <c r="AP2674" s="23" t="s">
        <v>69</v>
      </c>
      <c r="AQ2674" s="23" t="s">
        <v>30</v>
      </c>
      <c r="AR2674" s="23" t="s">
        <v>147</v>
      </c>
      <c r="AS2674" s="25">
        <v>44952</v>
      </c>
      <c r="AT2674" t="s">
        <v>26</v>
      </c>
      <c r="AU2674" t="s">
        <v>25701</v>
      </c>
    </row>
    <row r="2675" spans="1:47" ht="26.25" x14ac:dyDescent="0.4">
      <c r="A2675" s="23" t="s">
        <v>6933</v>
      </c>
      <c r="B2675" t="s">
        <v>26</v>
      </c>
      <c r="C2675" s="23" t="s">
        <v>167</v>
      </c>
      <c r="D2675" s="23" t="s">
        <v>22218</v>
      </c>
      <c r="E2675" s="23" t="s">
        <v>60</v>
      </c>
      <c r="F2675" t="s">
        <v>26</v>
      </c>
      <c r="G2675" t="s">
        <v>26</v>
      </c>
      <c r="H2675" t="s">
        <v>26</v>
      </c>
      <c r="I2675" s="24">
        <v>40909</v>
      </c>
      <c r="J2675" s="24">
        <v>40909</v>
      </c>
      <c r="K2675" t="s">
        <v>26</v>
      </c>
      <c r="L2675" s="25" t="s">
        <v>28</v>
      </c>
      <c r="M2675" t="s">
        <v>26</v>
      </c>
      <c r="N2675" t="s">
        <v>26</v>
      </c>
      <c r="O2675" t="s">
        <v>26</v>
      </c>
      <c r="P2675" s="24">
        <v>40909</v>
      </c>
      <c r="Q2675" s="24">
        <v>40909</v>
      </c>
      <c r="R2675" t="s">
        <v>26</v>
      </c>
      <c r="S2675" t="s">
        <v>26</v>
      </c>
      <c r="T2675" t="s">
        <v>26</v>
      </c>
      <c r="U2675" t="s">
        <v>26</v>
      </c>
      <c r="V2675" t="s">
        <v>26</v>
      </c>
      <c r="W2675" s="24">
        <v>40909</v>
      </c>
      <c r="X2675" s="24">
        <v>40909</v>
      </c>
      <c r="Y2675" t="s">
        <v>26</v>
      </c>
      <c r="Z2675" s="24">
        <v>40909</v>
      </c>
      <c r="AA2675" s="24">
        <v>40909</v>
      </c>
      <c r="AB2675" t="s">
        <v>26</v>
      </c>
      <c r="AC2675" s="24">
        <v>40909</v>
      </c>
      <c r="AD2675" s="24">
        <v>40909</v>
      </c>
      <c r="AE2675" t="s">
        <v>26</v>
      </c>
      <c r="AF2675" t="s">
        <v>26</v>
      </c>
      <c r="AG2675" t="s">
        <v>26</v>
      </c>
      <c r="AH2675" t="s">
        <v>26</v>
      </c>
      <c r="AI2675" t="s">
        <v>26</v>
      </c>
      <c r="AJ2675" t="s">
        <v>26</v>
      </c>
      <c r="AK2675" t="s">
        <v>26</v>
      </c>
      <c r="AL2675" t="s">
        <v>26</v>
      </c>
      <c r="AM2675" t="s">
        <v>26</v>
      </c>
      <c r="AN2675" t="s">
        <v>26</v>
      </c>
      <c r="AO2675" s="25" t="s">
        <v>28</v>
      </c>
      <c r="AP2675" s="23" t="s">
        <v>29</v>
      </c>
      <c r="AQ2675" s="23" t="s">
        <v>30</v>
      </c>
      <c r="AR2675" s="23" t="s">
        <v>6934</v>
      </c>
      <c r="AS2675" s="25">
        <v>5324462</v>
      </c>
      <c r="AT2675" s="23" t="s">
        <v>22181</v>
      </c>
      <c r="AU2675" t="s">
        <v>25702</v>
      </c>
    </row>
    <row r="2676" spans="1:47" ht="26.25" x14ac:dyDescent="0.4">
      <c r="A2676" s="23" t="s">
        <v>6935</v>
      </c>
      <c r="B2676" t="s">
        <v>26</v>
      </c>
      <c r="C2676" s="23" t="s">
        <v>181</v>
      </c>
      <c r="D2676" s="23" t="s">
        <v>22194</v>
      </c>
      <c r="E2676" s="23" t="s">
        <v>60</v>
      </c>
      <c r="F2676" s="25" t="s">
        <v>6936</v>
      </c>
      <c r="G2676" s="25" t="s">
        <v>6937</v>
      </c>
      <c r="H2676" t="s">
        <v>26</v>
      </c>
      <c r="I2676" t="s">
        <v>26</v>
      </c>
      <c r="J2676" t="s">
        <v>26</v>
      </c>
      <c r="K2676" t="s">
        <v>26</v>
      </c>
      <c r="L2676" s="25" t="s">
        <v>68</v>
      </c>
      <c r="M2676" t="s">
        <v>26</v>
      </c>
      <c r="N2676" t="s">
        <v>26</v>
      </c>
      <c r="O2676" t="s">
        <v>26</v>
      </c>
      <c r="P2676" t="s">
        <v>26</v>
      </c>
      <c r="Q2676" t="s">
        <v>26</v>
      </c>
      <c r="R2676" t="s">
        <v>26</v>
      </c>
      <c r="S2676" t="s">
        <v>26</v>
      </c>
      <c r="T2676" t="s">
        <v>26</v>
      </c>
      <c r="U2676" t="s">
        <v>26</v>
      </c>
      <c r="V2676" t="s">
        <v>26</v>
      </c>
      <c r="W2676" s="24">
        <v>42430</v>
      </c>
      <c r="X2676" s="25" t="s">
        <v>77</v>
      </c>
      <c r="Y2676" t="s">
        <v>26</v>
      </c>
      <c r="Z2676" s="24">
        <v>42430</v>
      </c>
      <c r="AA2676" s="25" t="s">
        <v>77</v>
      </c>
      <c r="AB2676" t="s">
        <v>26</v>
      </c>
      <c r="AC2676" s="24">
        <v>42430</v>
      </c>
      <c r="AD2676" s="25" t="s">
        <v>77</v>
      </c>
      <c r="AE2676" t="s">
        <v>26</v>
      </c>
      <c r="AF2676" t="s">
        <v>26</v>
      </c>
      <c r="AG2676" t="s">
        <v>26</v>
      </c>
      <c r="AH2676" t="s">
        <v>26</v>
      </c>
      <c r="AI2676" t="s">
        <v>26</v>
      </c>
      <c r="AJ2676" t="s">
        <v>26</v>
      </c>
      <c r="AK2676" t="s">
        <v>26</v>
      </c>
      <c r="AL2676" t="s">
        <v>26</v>
      </c>
      <c r="AM2676" t="s">
        <v>26</v>
      </c>
      <c r="AN2676" t="s">
        <v>26</v>
      </c>
      <c r="AO2676" s="25" t="s">
        <v>68</v>
      </c>
      <c r="AP2676" s="23" t="s">
        <v>69</v>
      </c>
      <c r="AQ2676" s="23" t="s">
        <v>30</v>
      </c>
      <c r="AR2676" s="23" t="s">
        <v>2332</v>
      </c>
      <c r="AS2676" s="25">
        <v>4733527</v>
      </c>
      <c r="AT2676" t="s">
        <v>26</v>
      </c>
      <c r="AU2676" t="s">
        <v>25703</v>
      </c>
    </row>
    <row r="2677" spans="1:47" ht="26.25" x14ac:dyDescent="0.4">
      <c r="A2677" s="23" t="s">
        <v>6938</v>
      </c>
      <c r="B2677" t="s">
        <v>26</v>
      </c>
      <c r="C2677" s="23" t="s">
        <v>80</v>
      </c>
      <c r="D2677" s="23" t="s">
        <v>22184</v>
      </c>
      <c r="E2677" s="23" t="s">
        <v>60</v>
      </c>
      <c r="F2677" t="s">
        <v>26</v>
      </c>
      <c r="G2677" s="25" t="s">
        <v>6939</v>
      </c>
      <c r="H2677" t="s">
        <v>26</v>
      </c>
      <c r="I2677" s="24">
        <v>41275</v>
      </c>
      <c r="J2677" s="24">
        <v>43101</v>
      </c>
      <c r="K2677" t="s">
        <v>26</v>
      </c>
      <c r="L2677" s="25" t="s">
        <v>68</v>
      </c>
      <c r="M2677" s="24">
        <v>41275</v>
      </c>
      <c r="N2677" s="24">
        <v>43101</v>
      </c>
      <c r="O2677" t="s">
        <v>26</v>
      </c>
      <c r="P2677" s="24">
        <v>41275</v>
      </c>
      <c r="Q2677" s="24">
        <v>43101</v>
      </c>
      <c r="R2677" t="s">
        <v>26</v>
      </c>
      <c r="S2677" t="s">
        <v>26</v>
      </c>
      <c r="T2677" t="s">
        <v>26</v>
      </c>
      <c r="U2677" t="s">
        <v>26</v>
      </c>
      <c r="V2677" t="s">
        <v>26</v>
      </c>
      <c r="W2677" s="24">
        <v>41275</v>
      </c>
      <c r="X2677" s="24">
        <v>43101</v>
      </c>
      <c r="Y2677" t="s">
        <v>26</v>
      </c>
      <c r="Z2677" s="24">
        <v>41275</v>
      </c>
      <c r="AA2677" s="24">
        <v>43101</v>
      </c>
      <c r="AB2677" t="s">
        <v>26</v>
      </c>
      <c r="AC2677" s="24">
        <v>41275</v>
      </c>
      <c r="AD2677" s="24">
        <v>43101</v>
      </c>
      <c r="AE2677" t="s">
        <v>26</v>
      </c>
      <c r="AF2677" t="s">
        <v>26</v>
      </c>
      <c r="AG2677" t="s">
        <v>26</v>
      </c>
      <c r="AH2677" t="s">
        <v>26</v>
      </c>
      <c r="AI2677" t="s">
        <v>26</v>
      </c>
      <c r="AJ2677" t="s">
        <v>26</v>
      </c>
      <c r="AK2677" t="s">
        <v>26</v>
      </c>
      <c r="AL2677" t="s">
        <v>26</v>
      </c>
      <c r="AM2677" t="s">
        <v>26</v>
      </c>
      <c r="AN2677" t="s">
        <v>26</v>
      </c>
      <c r="AO2677" s="25" t="s">
        <v>68</v>
      </c>
      <c r="AP2677" s="23" t="s">
        <v>69</v>
      </c>
      <c r="AQ2677" s="23" t="s">
        <v>30</v>
      </c>
      <c r="AR2677" s="23" t="s">
        <v>70</v>
      </c>
      <c r="AS2677" s="25">
        <v>2030037</v>
      </c>
      <c r="AT2677" t="s">
        <v>26</v>
      </c>
      <c r="AU2677" t="s">
        <v>25704</v>
      </c>
    </row>
    <row r="2678" spans="1:47" ht="26.25" x14ac:dyDescent="0.4">
      <c r="A2678" s="23" t="s">
        <v>6940</v>
      </c>
      <c r="B2678" t="s">
        <v>26</v>
      </c>
      <c r="C2678" s="23" t="s">
        <v>107</v>
      </c>
      <c r="D2678" s="23" t="s">
        <v>22194</v>
      </c>
      <c r="E2678" s="23" t="s">
        <v>42</v>
      </c>
      <c r="F2678" s="25" t="s">
        <v>6941</v>
      </c>
      <c r="G2678" s="25" t="s">
        <v>6942</v>
      </c>
      <c r="H2678" t="s">
        <v>26</v>
      </c>
      <c r="I2678" t="s">
        <v>26</v>
      </c>
      <c r="J2678" t="s">
        <v>26</v>
      </c>
      <c r="K2678" t="s">
        <v>26</v>
      </c>
      <c r="L2678" s="25" t="s">
        <v>68</v>
      </c>
      <c r="M2678" t="s">
        <v>26</v>
      </c>
      <c r="N2678" t="s">
        <v>26</v>
      </c>
      <c r="O2678" t="s">
        <v>26</v>
      </c>
      <c r="P2678" t="s">
        <v>26</v>
      </c>
      <c r="Q2678" t="s">
        <v>26</v>
      </c>
      <c r="R2678" t="s">
        <v>26</v>
      </c>
      <c r="S2678" t="s">
        <v>26</v>
      </c>
      <c r="T2678" t="s">
        <v>26</v>
      </c>
      <c r="U2678" t="s">
        <v>26</v>
      </c>
      <c r="V2678" t="s">
        <v>26</v>
      </c>
      <c r="W2678" s="24">
        <v>35096</v>
      </c>
      <c r="X2678" s="25" t="s">
        <v>77</v>
      </c>
      <c r="Y2678" t="s">
        <v>26</v>
      </c>
      <c r="Z2678" s="24">
        <v>35096</v>
      </c>
      <c r="AA2678" s="25" t="s">
        <v>77</v>
      </c>
      <c r="AB2678" t="s">
        <v>26</v>
      </c>
      <c r="AC2678" s="24">
        <v>35096</v>
      </c>
      <c r="AD2678" s="25" t="s">
        <v>77</v>
      </c>
      <c r="AE2678" t="s">
        <v>26</v>
      </c>
      <c r="AF2678" t="s">
        <v>26</v>
      </c>
      <c r="AG2678" t="s">
        <v>26</v>
      </c>
      <c r="AH2678" t="s">
        <v>26</v>
      </c>
      <c r="AI2678" t="s">
        <v>26</v>
      </c>
      <c r="AJ2678" t="s">
        <v>26</v>
      </c>
      <c r="AK2678" t="s">
        <v>26</v>
      </c>
      <c r="AL2678" t="s">
        <v>26</v>
      </c>
      <c r="AM2678" t="s">
        <v>26</v>
      </c>
      <c r="AN2678" t="s">
        <v>26</v>
      </c>
      <c r="AO2678" s="25" t="s">
        <v>68</v>
      </c>
      <c r="AP2678" s="23" t="s">
        <v>69</v>
      </c>
      <c r="AQ2678" s="23" t="s">
        <v>30</v>
      </c>
      <c r="AR2678" s="23" t="s">
        <v>184</v>
      </c>
      <c r="AS2678" s="25">
        <v>48873</v>
      </c>
      <c r="AT2678" t="s">
        <v>26</v>
      </c>
      <c r="AU2678" t="s">
        <v>25705</v>
      </c>
    </row>
    <row r="2679" spans="1:47" ht="26.25" x14ac:dyDescent="0.4">
      <c r="A2679" s="23" t="s">
        <v>6943</v>
      </c>
      <c r="B2679" t="s">
        <v>26</v>
      </c>
      <c r="C2679" s="23" t="s">
        <v>107</v>
      </c>
      <c r="D2679" s="23" t="s">
        <v>22194</v>
      </c>
      <c r="E2679" s="23" t="s">
        <v>42</v>
      </c>
      <c r="F2679" s="25" t="s">
        <v>6944</v>
      </c>
      <c r="G2679" s="25" t="s">
        <v>6945</v>
      </c>
      <c r="H2679" t="s">
        <v>26</v>
      </c>
      <c r="I2679" s="24">
        <v>37347</v>
      </c>
      <c r="J2679" s="24">
        <v>41244</v>
      </c>
      <c r="K2679" t="s">
        <v>26</v>
      </c>
      <c r="L2679" s="25" t="s">
        <v>68</v>
      </c>
      <c r="M2679" s="24">
        <v>38078</v>
      </c>
      <c r="N2679" s="24">
        <v>38169</v>
      </c>
      <c r="O2679" t="s">
        <v>26</v>
      </c>
      <c r="P2679" s="24">
        <v>37347</v>
      </c>
      <c r="Q2679" s="24">
        <v>41244</v>
      </c>
      <c r="R2679" t="s">
        <v>26</v>
      </c>
      <c r="S2679" t="s">
        <v>26</v>
      </c>
      <c r="T2679" t="s">
        <v>26</v>
      </c>
      <c r="U2679" t="s">
        <v>26</v>
      </c>
      <c r="V2679" t="s">
        <v>26</v>
      </c>
      <c r="W2679" s="24">
        <v>21245</v>
      </c>
      <c r="X2679" s="25" t="s">
        <v>77</v>
      </c>
      <c r="Y2679" t="s">
        <v>26</v>
      </c>
      <c r="Z2679" s="24">
        <v>21245</v>
      </c>
      <c r="AA2679" s="25" t="s">
        <v>77</v>
      </c>
      <c r="AB2679" t="s">
        <v>26</v>
      </c>
      <c r="AC2679" s="24">
        <v>34060</v>
      </c>
      <c r="AD2679" s="25" t="s">
        <v>77</v>
      </c>
      <c r="AE2679" t="s">
        <v>26</v>
      </c>
      <c r="AF2679" t="s">
        <v>26</v>
      </c>
      <c r="AG2679" t="s">
        <v>26</v>
      </c>
      <c r="AH2679" t="s">
        <v>26</v>
      </c>
      <c r="AI2679" t="s">
        <v>26</v>
      </c>
      <c r="AJ2679" t="s">
        <v>26</v>
      </c>
      <c r="AK2679" t="s">
        <v>26</v>
      </c>
      <c r="AL2679" t="s">
        <v>26</v>
      </c>
      <c r="AM2679" t="s">
        <v>26</v>
      </c>
      <c r="AN2679" t="s">
        <v>26</v>
      </c>
      <c r="AO2679" s="25" t="s">
        <v>68</v>
      </c>
      <c r="AP2679" s="23" t="s">
        <v>69</v>
      </c>
      <c r="AQ2679" s="23" t="s">
        <v>30</v>
      </c>
      <c r="AR2679" s="23" t="s">
        <v>184</v>
      </c>
      <c r="AS2679" s="25">
        <v>34859</v>
      </c>
      <c r="AT2679" t="s">
        <v>26</v>
      </c>
      <c r="AU2679" t="s">
        <v>25706</v>
      </c>
    </row>
    <row r="2680" spans="1:47" ht="26.25" x14ac:dyDescent="0.4">
      <c r="A2680" s="23" t="s">
        <v>6946</v>
      </c>
      <c r="B2680" t="s">
        <v>26</v>
      </c>
      <c r="C2680" s="23" t="s">
        <v>80</v>
      </c>
      <c r="D2680" s="23" t="s">
        <v>22630</v>
      </c>
      <c r="E2680" s="23" t="s">
        <v>60</v>
      </c>
      <c r="F2680" s="25" t="s">
        <v>6947</v>
      </c>
      <c r="G2680" s="25" t="s">
        <v>6948</v>
      </c>
      <c r="H2680" t="s">
        <v>26</v>
      </c>
      <c r="I2680" s="24">
        <v>37257</v>
      </c>
      <c r="J2680" s="24">
        <v>38261</v>
      </c>
      <c r="K2680" t="s">
        <v>26</v>
      </c>
      <c r="L2680" s="25" t="s">
        <v>68</v>
      </c>
      <c r="M2680" s="24">
        <v>37987</v>
      </c>
      <c r="N2680" s="24">
        <v>38078</v>
      </c>
      <c r="O2680" t="s">
        <v>26</v>
      </c>
      <c r="P2680" s="24">
        <v>37257</v>
      </c>
      <c r="Q2680" s="24">
        <v>38261</v>
      </c>
      <c r="R2680" t="s">
        <v>26</v>
      </c>
      <c r="S2680" t="s">
        <v>26</v>
      </c>
      <c r="T2680" t="s">
        <v>26</v>
      </c>
      <c r="U2680" t="s">
        <v>26</v>
      </c>
      <c r="V2680" t="s">
        <v>26</v>
      </c>
      <c r="W2680" s="24">
        <v>34700</v>
      </c>
      <c r="X2680" s="25" t="s">
        <v>77</v>
      </c>
      <c r="Y2680" t="s">
        <v>26</v>
      </c>
      <c r="Z2680" s="24">
        <v>34700</v>
      </c>
      <c r="AA2680" s="25" t="s">
        <v>77</v>
      </c>
      <c r="AB2680" t="s">
        <v>26</v>
      </c>
      <c r="AC2680" s="24">
        <v>34700</v>
      </c>
      <c r="AD2680" s="25" t="s">
        <v>77</v>
      </c>
      <c r="AE2680" t="s">
        <v>26</v>
      </c>
      <c r="AF2680" t="s">
        <v>26</v>
      </c>
      <c r="AG2680" t="s">
        <v>26</v>
      </c>
      <c r="AH2680" t="s">
        <v>26</v>
      </c>
      <c r="AI2680" t="s">
        <v>26</v>
      </c>
      <c r="AJ2680" t="s">
        <v>26</v>
      </c>
      <c r="AK2680" t="s">
        <v>26</v>
      </c>
      <c r="AL2680" t="s">
        <v>26</v>
      </c>
      <c r="AM2680" t="s">
        <v>26</v>
      </c>
      <c r="AN2680" t="s">
        <v>26</v>
      </c>
      <c r="AO2680" s="25" t="s">
        <v>68</v>
      </c>
      <c r="AP2680" s="23" t="s">
        <v>69</v>
      </c>
      <c r="AQ2680" s="23" t="s">
        <v>30</v>
      </c>
      <c r="AR2680" s="23" t="s">
        <v>184</v>
      </c>
      <c r="AS2680" s="25">
        <v>8029</v>
      </c>
      <c r="AT2680" t="s">
        <v>26</v>
      </c>
      <c r="AU2680" t="s">
        <v>25707</v>
      </c>
    </row>
    <row r="2681" spans="1:47" ht="26.25" x14ac:dyDescent="0.4">
      <c r="A2681" s="23" t="s">
        <v>6949</v>
      </c>
      <c r="B2681" t="s">
        <v>26</v>
      </c>
      <c r="C2681" s="23" t="s">
        <v>6950</v>
      </c>
      <c r="D2681" s="23" t="s">
        <v>23898</v>
      </c>
      <c r="E2681" s="23" t="s">
        <v>2636</v>
      </c>
      <c r="F2681" s="25" t="s">
        <v>6951</v>
      </c>
      <c r="G2681" s="25" t="s">
        <v>6952</v>
      </c>
      <c r="H2681" t="s">
        <v>26</v>
      </c>
      <c r="I2681" s="24">
        <v>39692</v>
      </c>
      <c r="J2681" s="25" t="s">
        <v>77</v>
      </c>
      <c r="K2681" t="s">
        <v>26</v>
      </c>
      <c r="L2681" s="25" t="s">
        <v>68</v>
      </c>
      <c r="M2681" t="s">
        <v>26</v>
      </c>
      <c r="N2681" t="s">
        <v>26</v>
      </c>
      <c r="O2681" t="s">
        <v>26</v>
      </c>
      <c r="P2681" s="24">
        <v>39692</v>
      </c>
      <c r="Q2681" s="25" t="s">
        <v>77</v>
      </c>
      <c r="R2681" t="s">
        <v>26</v>
      </c>
      <c r="S2681" t="s">
        <v>26</v>
      </c>
      <c r="T2681" t="s">
        <v>26</v>
      </c>
      <c r="U2681" t="s">
        <v>26</v>
      </c>
      <c r="V2681" s="25">
        <v>730</v>
      </c>
      <c r="W2681" s="24">
        <v>39692</v>
      </c>
      <c r="X2681" s="25" t="s">
        <v>77</v>
      </c>
      <c r="Y2681" t="s">
        <v>26</v>
      </c>
      <c r="Z2681" s="24">
        <v>39692</v>
      </c>
      <c r="AA2681" s="25" t="s">
        <v>77</v>
      </c>
      <c r="AB2681" t="s">
        <v>26</v>
      </c>
      <c r="AC2681" s="24">
        <v>39692</v>
      </c>
      <c r="AD2681" s="25" t="s">
        <v>77</v>
      </c>
      <c r="AE2681" t="s">
        <v>26</v>
      </c>
      <c r="AF2681" t="s">
        <v>26</v>
      </c>
      <c r="AG2681" t="s">
        <v>26</v>
      </c>
      <c r="AH2681" t="s">
        <v>26</v>
      </c>
      <c r="AI2681" t="s">
        <v>26</v>
      </c>
      <c r="AJ2681" t="s">
        <v>26</v>
      </c>
      <c r="AK2681" t="s">
        <v>26</v>
      </c>
      <c r="AL2681" t="s">
        <v>26</v>
      </c>
      <c r="AM2681" t="s">
        <v>26</v>
      </c>
      <c r="AN2681" t="s">
        <v>26</v>
      </c>
      <c r="AO2681" s="25" t="s">
        <v>28</v>
      </c>
      <c r="AP2681" s="23" t="s">
        <v>69</v>
      </c>
      <c r="AQ2681" s="23" t="s">
        <v>151</v>
      </c>
      <c r="AR2681" s="23" t="s">
        <v>6953</v>
      </c>
      <c r="AS2681" s="25">
        <v>2041894</v>
      </c>
      <c r="AT2681" t="s">
        <v>26</v>
      </c>
      <c r="AU2681" t="s">
        <v>25708</v>
      </c>
    </row>
    <row r="2682" spans="1:47" ht="26.25" x14ac:dyDescent="0.4">
      <c r="A2682" s="23" t="s">
        <v>6954</v>
      </c>
      <c r="B2682" t="s">
        <v>26</v>
      </c>
      <c r="C2682" s="23" t="s">
        <v>520</v>
      </c>
      <c r="D2682" s="23" t="s">
        <v>25709</v>
      </c>
      <c r="E2682" s="23" t="s">
        <v>42</v>
      </c>
      <c r="F2682" s="25" t="s">
        <v>6955</v>
      </c>
      <c r="G2682" s="25" t="s">
        <v>6956</v>
      </c>
      <c r="H2682" t="s">
        <v>26</v>
      </c>
      <c r="I2682" s="24">
        <v>34335</v>
      </c>
      <c r="J2682" s="24">
        <v>41365</v>
      </c>
      <c r="K2682" t="s">
        <v>26</v>
      </c>
      <c r="L2682" s="25" t="s">
        <v>68</v>
      </c>
      <c r="M2682" s="24">
        <v>34335</v>
      </c>
      <c r="N2682" s="24">
        <v>41365</v>
      </c>
      <c r="O2682" t="s">
        <v>26</v>
      </c>
      <c r="P2682" s="24">
        <v>35065</v>
      </c>
      <c r="Q2682" s="24">
        <v>41365</v>
      </c>
      <c r="R2682" t="s">
        <v>26</v>
      </c>
      <c r="S2682" t="s">
        <v>26</v>
      </c>
      <c r="T2682" t="s">
        <v>26</v>
      </c>
      <c r="U2682" t="s">
        <v>26</v>
      </c>
      <c r="V2682" t="s">
        <v>26</v>
      </c>
      <c r="W2682" s="24">
        <v>33604</v>
      </c>
      <c r="X2682" s="25" t="s">
        <v>77</v>
      </c>
      <c r="Y2682" t="s">
        <v>26</v>
      </c>
      <c r="Z2682" s="24">
        <v>33604</v>
      </c>
      <c r="AA2682" s="25" t="s">
        <v>77</v>
      </c>
      <c r="AB2682" t="s">
        <v>26</v>
      </c>
      <c r="AC2682" s="24">
        <v>33604</v>
      </c>
      <c r="AD2682" s="25" t="s">
        <v>77</v>
      </c>
      <c r="AE2682" t="s">
        <v>26</v>
      </c>
      <c r="AF2682" t="s">
        <v>26</v>
      </c>
      <c r="AG2682" t="s">
        <v>26</v>
      </c>
      <c r="AH2682" t="s">
        <v>26</v>
      </c>
      <c r="AI2682" t="s">
        <v>26</v>
      </c>
      <c r="AJ2682" t="s">
        <v>26</v>
      </c>
      <c r="AK2682" t="s">
        <v>26</v>
      </c>
      <c r="AL2682" t="s">
        <v>26</v>
      </c>
      <c r="AM2682" t="s">
        <v>26</v>
      </c>
      <c r="AN2682" t="s">
        <v>26</v>
      </c>
      <c r="AO2682" s="25" t="s">
        <v>68</v>
      </c>
      <c r="AP2682" s="23" t="s">
        <v>69</v>
      </c>
      <c r="AQ2682" s="23" t="s">
        <v>30</v>
      </c>
      <c r="AR2682" s="23" t="s">
        <v>6957</v>
      </c>
      <c r="AS2682" s="25">
        <v>42194</v>
      </c>
      <c r="AT2682" t="s">
        <v>26</v>
      </c>
      <c r="AU2682" t="s">
        <v>25710</v>
      </c>
    </row>
    <row r="2683" spans="1:47" ht="13.15" x14ac:dyDescent="0.4">
      <c r="A2683" s="23" t="s">
        <v>25711</v>
      </c>
      <c r="B2683" t="s">
        <v>26</v>
      </c>
      <c r="C2683" s="23" t="s">
        <v>332</v>
      </c>
      <c r="D2683" s="23" t="s">
        <v>22256</v>
      </c>
      <c r="E2683" s="23" t="s">
        <v>42</v>
      </c>
      <c r="F2683" t="s">
        <v>26</v>
      </c>
      <c r="G2683" t="s">
        <v>26</v>
      </c>
      <c r="H2683" t="s">
        <v>26</v>
      </c>
      <c r="I2683" s="24">
        <v>35796</v>
      </c>
      <c r="J2683" s="24">
        <v>35796</v>
      </c>
      <c r="K2683" t="s">
        <v>26</v>
      </c>
      <c r="L2683" s="25" t="s">
        <v>28</v>
      </c>
      <c r="M2683" s="24">
        <v>35796</v>
      </c>
      <c r="N2683" s="24">
        <v>35796</v>
      </c>
      <c r="O2683" t="s">
        <v>26</v>
      </c>
      <c r="P2683" t="s">
        <v>26</v>
      </c>
      <c r="Q2683" t="s">
        <v>26</v>
      </c>
      <c r="R2683" t="s">
        <v>26</v>
      </c>
      <c r="S2683" t="s">
        <v>26</v>
      </c>
      <c r="T2683" t="s">
        <v>26</v>
      </c>
      <c r="U2683" t="s">
        <v>26</v>
      </c>
      <c r="V2683" t="s">
        <v>26</v>
      </c>
      <c r="W2683" s="24">
        <v>35796</v>
      </c>
      <c r="X2683" s="24">
        <v>35796</v>
      </c>
      <c r="Y2683" t="s">
        <v>26</v>
      </c>
      <c r="Z2683" s="24">
        <v>35796</v>
      </c>
      <c r="AA2683" s="24">
        <v>35796</v>
      </c>
      <c r="AB2683" t="s">
        <v>26</v>
      </c>
      <c r="AC2683" s="24">
        <v>35796</v>
      </c>
      <c r="AD2683" s="24">
        <v>35796</v>
      </c>
      <c r="AE2683" t="s">
        <v>26</v>
      </c>
      <c r="AF2683" t="s">
        <v>26</v>
      </c>
      <c r="AG2683" t="s">
        <v>26</v>
      </c>
      <c r="AH2683" t="s">
        <v>26</v>
      </c>
      <c r="AI2683" t="s">
        <v>26</v>
      </c>
      <c r="AJ2683" t="s">
        <v>26</v>
      </c>
      <c r="AK2683" t="s">
        <v>26</v>
      </c>
      <c r="AL2683" t="s">
        <v>26</v>
      </c>
      <c r="AM2683" t="s">
        <v>26</v>
      </c>
      <c r="AN2683" t="s">
        <v>26</v>
      </c>
      <c r="AO2683" s="25" t="s">
        <v>28</v>
      </c>
      <c r="AP2683" s="23" t="s">
        <v>279</v>
      </c>
      <c r="AQ2683" s="23" t="s">
        <v>30</v>
      </c>
      <c r="AR2683" s="23" t="s">
        <v>46</v>
      </c>
      <c r="AS2683" s="25">
        <v>6275748</v>
      </c>
      <c r="AT2683" t="s">
        <v>26</v>
      </c>
      <c r="AU2683" t="s">
        <v>25712</v>
      </c>
    </row>
    <row r="2684" spans="1:47" ht="26.25" x14ac:dyDescent="0.4">
      <c r="A2684" s="23" t="s">
        <v>6958</v>
      </c>
      <c r="B2684" t="s">
        <v>26</v>
      </c>
      <c r="C2684" s="23" t="s">
        <v>146</v>
      </c>
      <c r="D2684" s="23" t="s">
        <v>22174</v>
      </c>
      <c r="E2684" s="23" t="s">
        <v>60</v>
      </c>
      <c r="F2684" t="s">
        <v>26</v>
      </c>
      <c r="G2684" t="s">
        <v>26</v>
      </c>
      <c r="H2684" t="s">
        <v>26</v>
      </c>
      <c r="I2684" s="24">
        <v>36161</v>
      </c>
      <c r="J2684" s="24">
        <v>36161</v>
      </c>
      <c r="K2684" t="s">
        <v>26</v>
      </c>
      <c r="L2684" s="25" t="s">
        <v>28</v>
      </c>
      <c r="M2684" s="24">
        <v>36161</v>
      </c>
      <c r="N2684" s="24">
        <v>36161</v>
      </c>
      <c r="O2684" t="s">
        <v>26</v>
      </c>
      <c r="P2684" t="s">
        <v>26</v>
      </c>
      <c r="Q2684" t="s">
        <v>26</v>
      </c>
      <c r="R2684" t="s">
        <v>26</v>
      </c>
      <c r="S2684" t="s">
        <v>26</v>
      </c>
      <c r="T2684" t="s">
        <v>26</v>
      </c>
      <c r="U2684" t="s">
        <v>26</v>
      </c>
      <c r="V2684" t="s">
        <v>26</v>
      </c>
      <c r="W2684" s="24">
        <v>36161</v>
      </c>
      <c r="X2684" s="24">
        <v>36161</v>
      </c>
      <c r="Y2684" t="s">
        <v>26</v>
      </c>
      <c r="Z2684" s="24">
        <v>36161</v>
      </c>
      <c r="AA2684" s="24">
        <v>36161</v>
      </c>
      <c r="AB2684" t="s">
        <v>26</v>
      </c>
      <c r="AC2684" s="24">
        <v>36161</v>
      </c>
      <c r="AD2684" s="24">
        <v>36161</v>
      </c>
      <c r="AE2684" t="s">
        <v>26</v>
      </c>
      <c r="AF2684" t="s">
        <v>26</v>
      </c>
      <c r="AG2684" t="s">
        <v>26</v>
      </c>
      <c r="AH2684" t="s">
        <v>26</v>
      </c>
      <c r="AI2684" t="s">
        <v>26</v>
      </c>
      <c r="AJ2684" t="s">
        <v>26</v>
      </c>
      <c r="AK2684" t="s">
        <v>26</v>
      </c>
      <c r="AL2684" t="s">
        <v>26</v>
      </c>
      <c r="AM2684" t="s">
        <v>26</v>
      </c>
      <c r="AN2684" t="s">
        <v>26</v>
      </c>
      <c r="AO2684" s="25" t="s">
        <v>28</v>
      </c>
      <c r="AP2684" s="23" t="s">
        <v>29</v>
      </c>
      <c r="AQ2684" s="23" t="s">
        <v>30</v>
      </c>
      <c r="AR2684" s="23" t="s">
        <v>5596</v>
      </c>
      <c r="AS2684" s="25">
        <v>6059451</v>
      </c>
      <c r="AT2684" t="s">
        <v>26</v>
      </c>
      <c r="AU2684" t="s">
        <v>25713</v>
      </c>
    </row>
    <row r="2685" spans="1:47" ht="26.25" x14ac:dyDescent="0.4">
      <c r="A2685" s="23" t="s">
        <v>6959</v>
      </c>
      <c r="B2685" t="s">
        <v>26</v>
      </c>
      <c r="C2685" s="23" t="s">
        <v>167</v>
      </c>
      <c r="D2685" s="23" t="s">
        <v>22207</v>
      </c>
      <c r="E2685" s="23" t="s">
        <v>60</v>
      </c>
      <c r="F2685" s="25" t="s">
        <v>6960</v>
      </c>
      <c r="G2685" s="25" t="s">
        <v>6961</v>
      </c>
      <c r="H2685" t="s">
        <v>26</v>
      </c>
      <c r="I2685" s="24">
        <v>38108</v>
      </c>
      <c r="J2685" s="25" t="s">
        <v>77</v>
      </c>
      <c r="K2685" s="25" t="s">
        <v>833</v>
      </c>
      <c r="L2685" s="25" t="s">
        <v>68</v>
      </c>
      <c r="M2685" s="24">
        <v>38718</v>
      </c>
      <c r="N2685" s="25" t="s">
        <v>77</v>
      </c>
      <c r="O2685" s="25" t="s">
        <v>833</v>
      </c>
      <c r="P2685" s="24">
        <v>38108</v>
      </c>
      <c r="Q2685" s="25" t="s">
        <v>77</v>
      </c>
      <c r="R2685" s="25" t="s">
        <v>833</v>
      </c>
      <c r="S2685" t="s">
        <v>26</v>
      </c>
      <c r="T2685" t="s">
        <v>26</v>
      </c>
      <c r="U2685" t="s">
        <v>26</v>
      </c>
      <c r="V2685" s="25">
        <v>365</v>
      </c>
      <c r="W2685" s="24">
        <v>38108</v>
      </c>
      <c r="X2685" s="25" t="s">
        <v>77</v>
      </c>
      <c r="Y2685" s="25" t="s">
        <v>833</v>
      </c>
      <c r="Z2685" s="24">
        <v>38108</v>
      </c>
      <c r="AA2685" s="25" t="s">
        <v>77</v>
      </c>
      <c r="AB2685" s="25" t="s">
        <v>833</v>
      </c>
      <c r="AC2685" s="24">
        <v>38108</v>
      </c>
      <c r="AD2685" s="25" t="s">
        <v>77</v>
      </c>
      <c r="AE2685" s="25" t="s">
        <v>833</v>
      </c>
      <c r="AF2685" t="s">
        <v>26</v>
      </c>
      <c r="AG2685" t="s">
        <v>26</v>
      </c>
      <c r="AH2685" t="s">
        <v>26</v>
      </c>
      <c r="AI2685" t="s">
        <v>26</v>
      </c>
      <c r="AJ2685" t="s">
        <v>26</v>
      </c>
      <c r="AK2685" t="s">
        <v>26</v>
      </c>
      <c r="AL2685" t="s">
        <v>26</v>
      </c>
      <c r="AM2685" t="s">
        <v>26</v>
      </c>
      <c r="AN2685" t="s">
        <v>26</v>
      </c>
      <c r="AO2685" s="25" t="s">
        <v>68</v>
      </c>
      <c r="AP2685" s="23" t="s">
        <v>69</v>
      </c>
      <c r="AQ2685" s="23" t="s">
        <v>30</v>
      </c>
      <c r="AR2685" s="23" t="s">
        <v>46</v>
      </c>
      <c r="AS2685" s="25">
        <v>54858</v>
      </c>
      <c r="AT2685" t="s">
        <v>26</v>
      </c>
      <c r="AU2685" t="s">
        <v>25714</v>
      </c>
    </row>
    <row r="2686" spans="1:47" ht="26.25" x14ac:dyDescent="0.4">
      <c r="A2686" s="23" t="s">
        <v>6962</v>
      </c>
      <c r="B2686" t="s">
        <v>26</v>
      </c>
      <c r="C2686" s="23" t="s">
        <v>80</v>
      </c>
      <c r="D2686" s="23" t="s">
        <v>22436</v>
      </c>
      <c r="E2686" s="23" t="s">
        <v>60</v>
      </c>
      <c r="F2686" s="25" t="s">
        <v>6963</v>
      </c>
      <c r="G2686" s="25" t="s">
        <v>6964</v>
      </c>
      <c r="H2686" t="s">
        <v>26</v>
      </c>
      <c r="I2686" t="s">
        <v>26</v>
      </c>
      <c r="J2686" t="s">
        <v>26</v>
      </c>
      <c r="K2686" t="s">
        <v>26</v>
      </c>
      <c r="L2686" s="25" t="s">
        <v>68</v>
      </c>
      <c r="M2686" t="s">
        <v>26</v>
      </c>
      <c r="N2686" t="s">
        <v>26</v>
      </c>
      <c r="O2686" t="s">
        <v>26</v>
      </c>
      <c r="P2686" t="s">
        <v>26</v>
      </c>
      <c r="Q2686" t="s">
        <v>26</v>
      </c>
      <c r="R2686" t="s">
        <v>26</v>
      </c>
      <c r="S2686" t="s">
        <v>26</v>
      </c>
      <c r="T2686" t="s">
        <v>26</v>
      </c>
      <c r="U2686" t="s">
        <v>26</v>
      </c>
      <c r="V2686" t="s">
        <v>26</v>
      </c>
      <c r="W2686" s="24">
        <v>42736</v>
      </c>
      <c r="X2686" s="25" t="s">
        <v>77</v>
      </c>
      <c r="Y2686" t="s">
        <v>26</v>
      </c>
      <c r="Z2686" s="24">
        <v>42736</v>
      </c>
      <c r="AA2686" s="25" t="s">
        <v>77</v>
      </c>
      <c r="AB2686" t="s">
        <v>26</v>
      </c>
      <c r="AC2686" s="24">
        <v>42736</v>
      </c>
      <c r="AD2686" s="25" t="s">
        <v>77</v>
      </c>
      <c r="AE2686" t="s">
        <v>26</v>
      </c>
      <c r="AF2686" t="s">
        <v>26</v>
      </c>
      <c r="AG2686" t="s">
        <v>26</v>
      </c>
      <c r="AH2686" t="s">
        <v>26</v>
      </c>
      <c r="AI2686" t="s">
        <v>26</v>
      </c>
      <c r="AJ2686" t="s">
        <v>26</v>
      </c>
      <c r="AK2686" t="s">
        <v>26</v>
      </c>
      <c r="AL2686" t="s">
        <v>26</v>
      </c>
      <c r="AM2686" t="s">
        <v>26</v>
      </c>
      <c r="AN2686" t="s">
        <v>26</v>
      </c>
      <c r="AO2686" s="25" t="s">
        <v>28</v>
      </c>
      <c r="AP2686" s="23" t="s">
        <v>69</v>
      </c>
      <c r="AQ2686" s="23" t="s">
        <v>30</v>
      </c>
      <c r="AR2686" s="23" t="s">
        <v>46</v>
      </c>
      <c r="AS2686" s="25">
        <v>2030026</v>
      </c>
      <c r="AT2686" t="s">
        <v>26</v>
      </c>
      <c r="AU2686" t="s">
        <v>25715</v>
      </c>
    </row>
    <row r="2687" spans="1:47" ht="13.15" x14ac:dyDescent="0.4">
      <c r="A2687" s="23" t="s">
        <v>6965</v>
      </c>
      <c r="B2687" t="s">
        <v>26</v>
      </c>
      <c r="C2687" s="23" t="s">
        <v>6966</v>
      </c>
      <c r="D2687" s="23" t="s">
        <v>22256</v>
      </c>
      <c r="E2687" s="23" t="s">
        <v>42</v>
      </c>
      <c r="F2687" s="25" t="s">
        <v>6967</v>
      </c>
      <c r="G2687" t="s">
        <v>26</v>
      </c>
      <c r="H2687" t="s">
        <v>26</v>
      </c>
      <c r="I2687" t="s">
        <v>26</v>
      </c>
      <c r="J2687" t="s">
        <v>26</v>
      </c>
      <c r="K2687" t="s">
        <v>26</v>
      </c>
      <c r="L2687" s="25" t="s">
        <v>28</v>
      </c>
      <c r="M2687" t="s">
        <v>26</v>
      </c>
      <c r="N2687" t="s">
        <v>26</v>
      </c>
      <c r="O2687" t="s">
        <v>26</v>
      </c>
      <c r="P2687" t="s">
        <v>26</v>
      </c>
      <c r="Q2687" t="s">
        <v>26</v>
      </c>
      <c r="R2687" t="s">
        <v>26</v>
      </c>
      <c r="S2687" t="s">
        <v>26</v>
      </c>
      <c r="T2687" t="s">
        <v>26</v>
      </c>
      <c r="U2687" t="s">
        <v>26</v>
      </c>
      <c r="V2687" t="s">
        <v>26</v>
      </c>
      <c r="W2687" s="24">
        <v>36124</v>
      </c>
      <c r="X2687" s="24">
        <v>43221</v>
      </c>
      <c r="Y2687" s="25" t="s">
        <v>6968</v>
      </c>
      <c r="Z2687" s="24">
        <v>36124</v>
      </c>
      <c r="AA2687" s="24">
        <v>43221</v>
      </c>
      <c r="AB2687" s="25" t="s">
        <v>6968</v>
      </c>
      <c r="AC2687" s="24">
        <v>37987</v>
      </c>
      <c r="AD2687" s="24">
        <v>43221</v>
      </c>
      <c r="AE2687" s="25" t="s">
        <v>6968</v>
      </c>
      <c r="AF2687" t="s">
        <v>26</v>
      </c>
      <c r="AG2687" t="s">
        <v>26</v>
      </c>
      <c r="AH2687" t="s">
        <v>26</v>
      </c>
      <c r="AI2687" t="s">
        <v>26</v>
      </c>
      <c r="AJ2687" t="s">
        <v>26</v>
      </c>
      <c r="AK2687" t="s">
        <v>26</v>
      </c>
      <c r="AL2687" t="s">
        <v>26</v>
      </c>
      <c r="AM2687" t="s">
        <v>26</v>
      </c>
      <c r="AN2687" t="s">
        <v>26</v>
      </c>
      <c r="AO2687" s="25" t="s">
        <v>28</v>
      </c>
      <c r="AP2687" s="23" t="s">
        <v>211</v>
      </c>
      <c r="AQ2687" s="23" t="s">
        <v>30</v>
      </c>
      <c r="AR2687" s="23" t="s">
        <v>337</v>
      </c>
      <c r="AS2687" s="25">
        <v>30184</v>
      </c>
      <c r="AT2687" t="s">
        <v>26</v>
      </c>
      <c r="AU2687" t="s">
        <v>25716</v>
      </c>
    </row>
    <row r="2688" spans="1:47" ht="26.25" x14ac:dyDescent="0.4">
      <c r="A2688" s="23" t="s">
        <v>6969</v>
      </c>
      <c r="B2688" t="s">
        <v>26</v>
      </c>
      <c r="C2688" s="23" t="s">
        <v>146</v>
      </c>
      <c r="D2688" s="23" t="s">
        <v>22174</v>
      </c>
      <c r="E2688" s="23" t="s">
        <v>60</v>
      </c>
      <c r="F2688" t="s">
        <v>26</v>
      </c>
      <c r="G2688" t="s">
        <v>26</v>
      </c>
      <c r="H2688" t="s">
        <v>26</v>
      </c>
      <c r="I2688" t="s">
        <v>26</v>
      </c>
      <c r="J2688" t="s">
        <v>26</v>
      </c>
      <c r="K2688" t="s">
        <v>26</v>
      </c>
      <c r="L2688" s="25" t="s">
        <v>28</v>
      </c>
      <c r="M2688" t="s">
        <v>26</v>
      </c>
      <c r="N2688" t="s">
        <v>26</v>
      </c>
      <c r="O2688" t="s">
        <v>26</v>
      </c>
      <c r="P2688" t="s">
        <v>26</v>
      </c>
      <c r="Q2688" t="s">
        <v>26</v>
      </c>
      <c r="R2688" t="s">
        <v>26</v>
      </c>
      <c r="S2688" t="s">
        <v>26</v>
      </c>
      <c r="T2688" t="s">
        <v>26</v>
      </c>
      <c r="U2688" t="s">
        <v>26</v>
      </c>
      <c r="V2688" t="s">
        <v>26</v>
      </c>
      <c r="W2688" s="24">
        <v>42005</v>
      </c>
      <c r="X2688" s="24">
        <v>42005</v>
      </c>
      <c r="Y2688" t="s">
        <v>26</v>
      </c>
      <c r="Z2688" s="24">
        <v>42005</v>
      </c>
      <c r="AA2688" s="24">
        <v>42005</v>
      </c>
      <c r="AB2688" t="s">
        <v>26</v>
      </c>
      <c r="AC2688" t="s">
        <v>26</v>
      </c>
      <c r="AD2688" t="s">
        <v>26</v>
      </c>
      <c r="AE2688" t="s">
        <v>26</v>
      </c>
      <c r="AF2688" t="s">
        <v>26</v>
      </c>
      <c r="AG2688" t="s">
        <v>26</v>
      </c>
      <c r="AH2688" t="s">
        <v>26</v>
      </c>
      <c r="AI2688" t="s">
        <v>26</v>
      </c>
      <c r="AJ2688" t="s">
        <v>26</v>
      </c>
      <c r="AK2688" t="s">
        <v>26</v>
      </c>
      <c r="AL2688" t="s">
        <v>26</v>
      </c>
      <c r="AM2688" t="s">
        <v>26</v>
      </c>
      <c r="AN2688" t="s">
        <v>26</v>
      </c>
      <c r="AO2688" s="25" t="s">
        <v>28</v>
      </c>
      <c r="AP2688" s="23" t="s">
        <v>29</v>
      </c>
      <c r="AQ2688" s="23" t="s">
        <v>30</v>
      </c>
      <c r="AR2688" s="23" t="s">
        <v>44</v>
      </c>
      <c r="AS2688" s="25">
        <v>5485111</v>
      </c>
      <c r="AT2688" s="23" t="s">
        <v>22181</v>
      </c>
      <c r="AU2688" t="s">
        <v>25717</v>
      </c>
    </row>
    <row r="2689" spans="1:47" ht="26.25" x14ac:dyDescent="0.4">
      <c r="A2689" s="23" t="s">
        <v>6970</v>
      </c>
      <c r="B2689" t="s">
        <v>26</v>
      </c>
      <c r="C2689" t="s">
        <v>26</v>
      </c>
      <c r="D2689" t="s">
        <v>26</v>
      </c>
      <c r="E2689" t="s">
        <v>26</v>
      </c>
      <c r="F2689" t="s">
        <v>26</v>
      </c>
      <c r="G2689" t="s">
        <v>26</v>
      </c>
      <c r="H2689" t="s">
        <v>26</v>
      </c>
      <c r="I2689" s="24">
        <v>1828</v>
      </c>
      <c r="J2689" s="24">
        <v>1828</v>
      </c>
      <c r="K2689" t="s">
        <v>26</v>
      </c>
      <c r="L2689" s="25" t="s">
        <v>28</v>
      </c>
      <c r="M2689" s="24">
        <v>1828</v>
      </c>
      <c r="N2689" s="24">
        <v>1828</v>
      </c>
      <c r="O2689" t="s">
        <v>26</v>
      </c>
      <c r="P2689" t="s">
        <v>26</v>
      </c>
      <c r="Q2689" t="s">
        <v>26</v>
      </c>
      <c r="R2689" t="s">
        <v>26</v>
      </c>
      <c r="S2689" t="s">
        <v>26</v>
      </c>
      <c r="T2689" t="s">
        <v>26</v>
      </c>
      <c r="U2689" t="s">
        <v>26</v>
      </c>
      <c r="V2689" t="s">
        <v>26</v>
      </c>
      <c r="W2689" s="24">
        <v>1828</v>
      </c>
      <c r="X2689" s="24">
        <v>1828</v>
      </c>
      <c r="Y2689" t="s">
        <v>26</v>
      </c>
      <c r="Z2689" s="24">
        <v>1828</v>
      </c>
      <c r="AA2689" s="24">
        <v>1828</v>
      </c>
      <c r="AB2689" t="s">
        <v>26</v>
      </c>
      <c r="AC2689" s="24">
        <v>1828</v>
      </c>
      <c r="AD2689" s="24">
        <v>1828</v>
      </c>
      <c r="AE2689" t="s">
        <v>26</v>
      </c>
      <c r="AF2689" t="s">
        <v>26</v>
      </c>
      <c r="AG2689" t="s">
        <v>26</v>
      </c>
      <c r="AH2689" t="s">
        <v>26</v>
      </c>
      <c r="AI2689" t="s">
        <v>26</v>
      </c>
      <c r="AJ2689" t="s">
        <v>26</v>
      </c>
      <c r="AK2689" t="s">
        <v>26</v>
      </c>
      <c r="AL2689" t="s">
        <v>26</v>
      </c>
      <c r="AM2689" t="s">
        <v>26</v>
      </c>
      <c r="AN2689" t="s">
        <v>26</v>
      </c>
      <c r="AO2689" s="25" t="s">
        <v>28</v>
      </c>
      <c r="AP2689" s="23" t="s">
        <v>45</v>
      </c>
      <c r="AQ2689" s="23" t="s">
        <v>30</v>
      </c>
      <c r="AR2689" s="23" t="s">
        <v>46</v>
      </c>
      <c r="AS2689" s="25">
        <v>5983397</v>
      </c>
      <c r="AT2689" t="s">
        <v>26</v>
      </c>
      <c r="AU2689" t="s">
        <v>25718</v>
      </c>
    </row>
    <row r="2690" spans="1:47" ht="39.4" x14ac:dyDescent="0.4">
      <c r="A2690" s="23" t="s">
        <v>6971</v>
      </c>
      <c r="B2690" t="s">
        <v>26</v>
      </c>
      <c r="C2690" s="23" t="s">
        <v>146</v>
      </c>
      <c r="D2690" s="23" t="s">
        <v>22174</v>
      </c>
      <c r="E2690" s="23" t="s">
        <v>60</v>
      </c>
      <c r="F2690" t="s">
        <v>26</v>
      </c>
      <c r="G2690" t="s">
        <v>26</v>
      </c>
      <c r="H2690" t="s">
        <v>26</v>
      </c>
      <c r="I2690" t="s">
        <v>26</v>
      </c>
      <c r="J2690" t="s">
        <v>26</v>
      </c>
      <c r="K2690" t="s">
        <v>26</v>
      </c>
      <c r="L2690" s="25" t="s">
        <v>28</v>
      </c>
      <c r="M2690" t="s">
        <v>26</v>
      </c>
      <c r="N2690" t="s">
        <v>26</v>
      </c>
      <c r="O2690" t="s">
        <v>26</v>
      </c>
      <c r="P2690" t="s">
        <v>26</v>
      </c>
      <c r="Q2690" t="s">
        <v>26</v>
      </c>
      <c r="R2690" t="s">
        <v>26</v>
      </c>
      <c r="S2690" t="s">
        <v>26</v>
      </c>
      <c r="T2690" t="s">
        <v>26</v>
      </c>
      <c r="U2690" t="s">
        <v>26</v>
      </c>
      <c r="V2690" t="s">
        <v>26</v>
      </c>
      <c r="W2690" s="24">
        <v>42005</v>
      </c>
      <c r="X2690" s="24">
        <v>42005</v>
      </c>
      <c r="Y2690" t="s">
        <v>26</v>
      </c>
      <c r="Z2690" s="24">
        <v>42005</v>
      </c>
      <c r="AA2690" s="24">
        <v>42005</v>
      </c>
      <c r="AB2690" t="s">
        <v>26</v>
      </c>
      <c r="AC2690" t="s">
        <v>26</v>
      </c>
      <c r="AD2690" t="s">
        <v>26</v>
      </c>
      <c r="AE2690" t="s">
        <v>26</v>
      </c>
      <c r="AF2690" t="s">
        <v>26</v>
      </c>
      <c r="AG2690" t="s">
        <v>26</v>
      </c>
      <c r="AH2690" t="s">
        <v>26</v>
      </c>
      <c r="AI2690" t="s">
        <v>26</v>
      </c>
      <c r="AJ2690" t="s">
        <v>26</v>
      </c>
      <c r="AK2690" t="s">
        <v>26</v>
      </c>
      <c r="AL2690" t="s">
        <v>26</v>
      </c>
      <c r="AM2690" t="s">
        <v>26</v>
      </c>
      <c r="AN2690" t="s">
        <v>26</v>
      </c>
      <c r="AO2690" s="25" t="s">
        <v>28</v>
      </c>
      <c r="AP2690" s="23" t="s">
        <v>29</v>
      </c>
      <c r="AQ2690" s="23" t="s">
        <v>30</v>
      </c>
      <c r="AR2690" s="23" t="s">
        <v>147</v>
      </c>
      <c r="AS2690" s="25">
        <v>5485097</v>
      </c>
      <c r="AT2690" s="23" t="s">
        <v>22181</v>
      </c>
      <c r="AU2690" t="s">
        <v>25719</v>
      </c>
    </row>
    <row r="2691" spans="1:47" ht="26.25" x14ac:dyDescent="0.4">
      <c r="A2691" s="23" t="s">
        <v>6972</v>
      </c>
      <c r="B2691" t="s">
        <v>26</v>
      </c>
      <c r="C2691" s="23" t="s">
        <v>146</v>
      </c>
      <c r="D2691" s="23" t="s">
        <v>22174</v>
      </c>
      <c r="E2691" s="23" t="s">
        <v>60</v>
      </c>
      <c r="F2691" t="s">
        <v>26</v>
      </c>
      <c r="G2691" t="s">
        <v>26</v>
      </c>
      <c r="H2691" t="s">
        <v>26</v>
      </c>
      <c r="I2691" t="s">
        <v>26</v>
      </c>
      <c r="J2691" t="s">
        <v>26</v>
      </c>
      <c r="K2691" t="s">
        <v>26</v>
      </c>
      <c r="L2691" s="25" t="s">
        <v>28</v>
      </c>
      <c r="M2691" t="s">
        <v>26</v>
      </c>
      <c r="N2691" t="s">
        <v>26</v>
      </c>
      <c r="O2691" t="s">
        <v>26</v>
      </c>
      <c r="P2691" t="s">
        <v>26</v>
      </c>
      <c r="Q2691" t="s">
        <v>26</v>
      </c>
      <c r="R2691" t="s">
        <v>26</v>
      </c>
      <c r="S2691" t="s">
        <v>26</v>
      </c>
      <c r="T2691" t="s">
        <v>26</v>
      </c>
      <c r="U2691" t="s">
        <v>26</v>
      </c>
      <c r="V2691" t="s">
        <v>26</v>
      </c>
      <c r="W2691" s="24">
        <v>42005</v>
      </c>
      <c r="X2691" s="24">
        <v>42005</v>
      </c>
      <c r="Y2691" t="s">
        <v>26</v>
      </c>
      <c r="Z2691" s="24">
        <v>42005</v>
      </c>
      <c r="AA2691" s="24">
        <v>42005</v>
      </c>
      <c r="AB2691" t="s">
        <v>26</v>
      </c>
      <c r="AC2691" t="s">
        <v>26</v>
      </c>
      <c r="AD2691" t="s">
        <v>26</v>
      </c>
      <c r="AE2691" t="s">
        <v>26</v>
      </c>
      <c r="AF2691" t="s">
        <v>26</v>
      </c>
      <c r="AG2691" t="s">
        <v>26</v>
      </c>
      <c r="AH2691" t="s">
        <v>26</v>
      </c>
      <c r="AI2691" t="s">
        <v>26</v>
      </c>
      <c r="AJ2691" t="s">
        <v>26</v>
      </c>
      <c r="AK2691" t="s">
        <v>26</v>
      </c>
      <c r="AL2691" t="s">
        <v>26</v>
      </c>
      <c r="AM2691" t="s">
        <v>26</v>
      </c>
      <c r="AN2691" t="s">
        <v>26</v>
      </c>
      <c r="AO2691" s="25" t="s">
        <v>28</v>
      </c>
      <c r="AP2691" s="23" t="s">
        <v>29</v>
      </c>
      <c r="AQ2691" s="23" t="s">
        <v>30</v>
      </c>
      <c r="AR2691" s="23" t="s">
        <v>245</v>
      </c>
      <c r="AS2691" s="25">
        <v>5485105</v>
      </c>
      <c r="AT2691" s="23" t="s">
        <v>22181</v>
      </c>
      <c r="AU2691" t="s">
        <v>25720</v>
      </c>
    </row>
    <row r="2692" spans="1:47" ht="26.25" x14ac:dyDescent="0.4">
      <c r="A2692" s="23" t="s">
        <v>6973</v>
      </c>
      <c r="B2692" t="s">
        <v>26</v>
      </c>
      <c r="C2692" s="23" t="s">
        <v>302</v>
      </c>
      <c r="D2692" s="23" t="s">
        <v>22286</v>
      </c>
      <c r="E2692" s="23" t="s">
        <v>42</v>
      </c>
      <c r="F2692" t="s">
        <v>26</v>
      </c>
      <c r="G2692" t="s">
        <v>26</v>
      </c>
      <c r="H2692" t="s">
        <v>26</v>
      </c>
      <c r="I2692" t="s">
        <v>26</v>
      </c>
      <c r="J2692" t="s">
        <v>26</v>
      </c>
      <c r="K2692" t="s">
        <v>26</v>
      </c>
      <c r="L2692" s="25" t="s">
        <v>28</v>
      </c>
      <c r="M2692" t="s">
        <v>26</v>
      </c>
      <c r="N2692" t="s">
        <v>26</v>
      </c>
      <c r="O2692" t="s">
        <v>26</v>
      </c>
      <c r="P2692" t="s">
        <v>26</v>
      </c>
      <c r="Q2692" t="s">
        <v>26</v>
      </c>
      <c r="R2692" t="s">
        <v>26</v>
      </c>
      <c r="S2692" t="s">
        <v>26</v>
      </c>
      <c r="T2692" t="s">
        <v>26</v>
      </c>
      <c r="U2692" t="s">
        <v>26</v>
      </c>
      <c r="V2692" t="s">
        <v>26</v>
      </c>
      <c r="W2692" s="24">
        <v>42370</v>
      </c>
      <c r="X2692" s="24">
        <v>42370</v>
      </c>
      <c r="Y2692" t="s">
        <v>26</v>
      </c>
      <c r="Z2692" s="24">
        <v>42370</v>
      </c>
      <c r="AA2692" s="24">
        <v>42370</v>
      </c>
      <c r="AB2692" t="s">
        <v>26</v>
      </c>
      <c r="AC2692" t="s">
        <v>26</v>
      </c>
      <c r="AD2692" t="s">
        <v>26</v>
      </c>
      <c r="AE2692" t="s">
        <v>26</v>
      </c>
      <c r="AF2692" t="s">
        <v>26</v>
      </c>
      <c r="AG2692" t="s">
        <v>26</v>
      </c>
      <c r="AH2692" t="s">
        <v>26</v>
      </c>
      <c r="AI2692" t="s">
        <v>26</v>
      </c>
      <c r="AJ2692" t="s">
        <v>26</v>
      </c>
      <c r="AK2692" t="s">
        <v>26</v>
      </c>
      <c r="AL2692" t="s">
        <v>26</v>
      </c>
      <c r="AM2692" t="s">
        <v>26</v>
      </c>
      <c r="AN2692" t="s">
        <v>26</v>
      </c>
      <c r="AO2692" s="25" t="s">
        <v>28</v>
      </c>
      <c r="AP2692" s="23" t="s">
        <v>29</v>
      </c>
      <c r="AQ2692" s="23" t="s">
        <v>30</v>
      </c>
      <c r="AR2692" s="23" t="s">
        <v>245</v>
      </c>
      <c r="AS2692" s="25">
        <v>5485086</v>
      </c>
      <c r="AT2692" s="23" t="s">
        <v>22181</v>
      </c>
      <c r="AU2692" t="s">
        <v>25721</v>
      </c>
    </row>
    <row r="2693" spans="1:47" ht="26.25" x14ac:dyDescent="0.4">
      <c r="A2693" s="23" t="s">
        <v>6974</v>
      </c>
      <c r="B2693" t="s">
        <v>26</v>
      </c>
      <c r="C2693" s="23" t="s">
        <v>4869</v>
      </c>
      <c r="D2693" s="23" t="s">
        <v>22795</v>
      </c>
      <c r="E2693" s="23" t="s">
        <v>42</v>
      </c>
      <c r="F2693" s="25" t="s">
        <v>6975</v>
      </c>
      <c r="G2693" s="25" t="s">
        <v>6976</v>
      </c>
      <c r="H2693" t="s">
        <v>26</v>
      </c>
      <c r="I2693" t="s">
        <v>26</v>
      </c>
      <c r="J2693" t="s">
        <v>26</v>
      </c>
      <c r="K2693" t="s">
        <v>26</v>
      </c>
      <c r="L2693" s="25" t="s">
        <v>68</v>
      </c>
      <c r="M2693" t="s">
        <v>26</v>
      </c>
      <c r="N2693" t="s">
        <v>26</v>
      </c>
      <c r="O2693" t="s">
        <v>26</v>
      </c>
      <c r="P2693" t="s">
        <v>26</v>
      </c>
      <c r="Q2693" t="s">
        <v>26</v>
      </c>
      <c r="R2693" t="s">
        <v>26</v>
      </c>
      <c r="S2693" t="s">
        <v>26</v>
      </c>
      <c r="T2693" t="s">
        <v>26</v>
      </c>
      <c r="U2693" t="s">
        <v>26</v>
      </c>
      <c r="V2693" t="s">
        <v>26</v>
      </c>
      <c r="W2693" s="24">
        <v>38047</v>
      </c>
      <c r="X2693" s="25" t="s">
        <v>77</v>
      </c>
      <c r="Y2693" t="s">
        <v>26</v>
      </c>
      <c r="Z2693" s="24">
        <v>38047</v>
      </c>
      <c r="AA2693" s="25" t="s">
        <v>77</v>
      </c>
      <c r="AB2693" t="s">
        <v>26</v>
      </c>
      <c r="AC2693" s="24">
        <v>38047</v>
      </c>
      <c r="AD2693" s="25" t="s">
        <v>77</v>
      </c>
      <c r="AE2693" t="s">
        <v>26</v>
      </c>
      <c r="AF2693" t="s">
        <v>26</v>
      </c>
      <c r="AG2693" t="s">
        <v>26</v>
      </c>
      <c r="AH2693" t="s">
        <v>26</v>
      </c>
      <c r="AI2693" t="s">
        <v>26</v>
      </c>
      <c r="AJ2693" t="s">
        <v>26</v>
      </c>
      <c r="AK2693" t="s">
        <v>26</v>
      </c>
      <c r="AL2693" t="s">
        <v>26</v>
      </c>
      <c r="AM2693" t="s">
        <v>26</v>
      </c>
      <c r="AN2693" t="s">
        <v>26</v>
      </c>
      <c r="AO2693" s="25" t="s">
        <v>68</v>
      </c>
      <c r="AP2693" s="23" t="s">
        <v>69</v>
      </c>
      <c r="AQ2693" s="23" t="s">
        <v>30</v>
      </c>
      <c r="AR2693" s="23" t="s">
        <v>1368</v>
      </c>
      <c r="AS2693" s="25">
        <v>32998</v>
      </c>
      <c r="AT2693" t="s">
        <v>26</v>
      </c>
      <c r="AU2693" t="s">
        <v>25722</v>
      </c>
    </row>
    <row r="2694" spans="1:47" ht="26.25" x14ac:dyDescent="0.4">
      <c r="A2694" s="23" t="s">
        <v>6977</v>
      </c>
      <c r="B2694" t="s">
        <v>26</v>
      </c>
      <c r="C2694" s="23" t="s">
        <v>25723</v>
      </c>
      <c r="D2694" s="23" t="s">
        <v>22179</v>
      </c>
      <c r="E2694" s="23" t="s">
        <v>42</v>
      </c>
      <c r="F2694" t="s">
        <v>26</v>
      </c>
      <c r="G2694" t="s">
        <v>26</v>
      </c>
      <c r="H2694" t="s">
        <v>26</v>
      </c>
      <c r="I2694" s="24">
        <v>21820</v>
      </c>
      <c r="J2694" s="24">
        <v>25304</v>
      </c>
      <c r="K2694" t="s">
        <v>26</v>
      </c>
      <c r="L2694" s="25" t="s">
        <v>28</v>
      </c>
      <c r="M2694" s="24">
        <v>21820</v>
      </c>
      <c r="N2694" s="24">
        <v>25304</v>
      </c>
      <c r="O2694" t="s">
        <v>26</v>
      </c>
      <c r="P2694" s="24">
        <v>21820</v>
      </c>
      <c r="Q2694" s="24">
        <v>25304</v>
      </c>
      <c r="R2694" t="s">
        <v>26</v>
      </c>
      <c r="S2694" t="s">
        <v>26</v>
      </c>
      <c r="T2694" t="s">
        <v>26</v>
      </c>
      <c r="U2694" t="s">
        <v>26</v>
      </c>
      <c r="V2694" t="s">
        <v>26</v>
      </c>
      <c r="W2694" s="24">
        <v>21820</v>
      </c>
      <c r="X2694" s="24">
        <v>25304</v>
      </c>
      <c r="Y2694" t="s">
        <v>26</v>
      </c>
      <c r="Z2694" s="24">
        <v>21820</v>
      </c>
      <c r="AA2694" s="24">
        <v>25304</v>
      </c>
      <c r="AB2694" t="s">
        <v>26</v>
      </c>
      <c r="AC2694" t="s">
        <v>26</v>
      </c>
      <c r="AD2694" t="s">
        <v>26</v>
      </c>
      <c r="AE2694" t="s">
        <v>26</v>
      </c>
      <c r="AF2694" t="s">
        <v>26</v>
      </c>
      <c r="AG2694" t="s">
        <v>26</v>
      </c>
      <c r="AH2694" t="s">
        <v>26</v>
      </c>
      <c r="AI2694" t="s">
        <v>26</v>
      </c>
      <c r="AJ2694" t="s">
        <v>26</v>
      </c>
      <c r="AK2694" t="s">
        <v>26</v>
      </c>
      <c r="AL2694" t="s">
        <v>26</v>
      </c>
      <c r="AM2694" t="s">
        <v>26</v>
      </c>
      <c r="AN2694" t="s">
        <v>26</v>
      </c>
      <c r="AO2694" s="25" t="s">
        <v>28</v>
      </c>
      <c r="AP2694" s="23" t="s">
        <v>45</v>
      </c>
      <c r="AQ2694" s="23" t="s">
        <v>30</v>
      </c>
      <c r="AR2694" s="23" t="s">
        <v>46</v>
      </c>
      <c r="AS2694" s="25">
        <v>6112819</v>
      </c>
      <c r="AT2694" t="s">
        <v>26</v>
      </c>
      <c r="AU2694" t="s">
        <v>25724</v>
      </c>
    </row>
    <row r="2695" spans="1:47" ht="26.25" x14ac:dyDescent="0.4">
      <c r="A2695" s="23" t="s">
        <v>6978</v>
      </c>
      <c r="B2695" t="s">
        <v>26</v>
      </c>
      <c r="C2695" s="23" t="s">
        <v>6979</v>
      </c>
      <c r="D2695" s="23" t="s">
        <v>22174</v>
      </c>
      <c r="E2695" s="23" t="s">
        <v>60</v>
      </c>
      <c r="F2695" s="25" t="s">
        <v>6980</v>
      </c>
      <c r="G2695" s="25" t="s">
        <v>6981</v>
      </c>
      <c r="H2695" t="s">
        <v>26</v>
      </c>
      <c r="I2695" s="24">
        <v>41000</v>
      </c>
      <c r="J2695" s="25" t="s">
        <v>77</v>
      </c>
      <c r="K2695" t="s">
        <v>26</v>
      </c>
      <c r="L2695" s="25" t="s">
        <v>68</v>
      </c>
      <c r="M2695" s="24">
        <v>43009</v>
      </c>
      <c r="N2695" s="24">
        <v>44197</v>
      </c>
      <c r="O2695" t="s">
        <v>26</v>
      </c>
      <c r="P2695" s="24">
        <v>41000</v>
      </c>
      <c r="Q2695" s="25" t="s">
        <v>77</v>
      </c>
      <c r="R2695" t="s">
        <v>26</v>
      </c>
      <c r="S2695" t="s">
        <v>26</v>
      </c>
      <c r="T2695" t="s">
        <v>26</v>
      </c>
      <c r="U2695" t="s">
        <v>26</v>
      </c>
      <c r="V2695" t="s">
        <v>26</v>
      </c>
      <c r="W2695" s="24">
        <v>41000</v>
      </c>
      <c r="X2695" s="25" t="s">
        <v>77</v>
      </c>
      <c r="Y2695" t="s">
        <v>26</v>
      </c>
      <c r="Z2695" s="24">
        <v>41000</v>
      </c>
      <c r="AA2695" s="25" t="s">
        <v>77</v>
      </c>
      <c r="AB2695" t="s">
        <v>26</v>
      </c>
      <c r="AC2695" s="24">
        <v>41000</v>
      </c>
      <c r="AD2695" s="25" t="s">
        <v>77</v>
      </c>
      <c r="AE2695" t="s">
        <v>26</v>
      </c>
      <c r="AF2695" t="s">
        <v>26</v>
      </c>
      <c r="AG2695" t="s">
        <v>26</v>
      </c>
      <c r="AH2695" t="s">
        <v>26</v>
      </c>
      <c r="AI2695" t="s">
        <v>26</v>
      </c>
      <c r="AJ2695" t="s">
        <v>26</v>
      </c>
      <c r="AK2695" t="s">
        <v>26</v>
      </c>
      <c r="AL2695" t="s">
        <v>26</v>
      </c>
      <c r="AM2695" t="s">
        <v>26</v>
      </c>
      <c r="AN2695" t="s">
        <v>26</v>
      </c>
      <c r="AO2695" s="25" t="s">
        <v>68</v>
      </c>
      <c r="AP2695" s="23" t="s">
        <v>69</v>
      </c>
      <c r="AQ2695" s="23" t="s">
        <v>30</v>
      </c>
      <c r="AR2695" s="23" t="s">
        <v>433</v>
      </c>
      <c r="AS2695" s="25">
        <v>1276338</v>
      </c>
      <c r="AT2695" t="s">
        <v>26</v>
      </c>
      <c r="AU2695" t="s">
        <v>25725</v>
      </c>
    </row>
    <row r="2696" spans="1:47" ht="26.25" x14ac:dyDescent="0.4">
      <c r="A2696" s="23" t="s">
        <v>6982</v>
      </c>
      <c r="B2696" t="s">
        <v>26</v>
      </c>
      <c r="C2696" s="23" t="s">
        <v>167</v>
      </c>
      <c r="D2696" s="23" t="s">
        <v>22218</v>
      </c>
      <c r="E2696" s="23" t="s">
        <v>60</v>
      </c>
      <c r="F2696" t="s">
        <v>26</v>
      </c>
      <c r="G2696" t="s">
        <v>26</v>
      </c>
      <c r="H2696" t="s">
        <v>26</v>
      </c>
      <c r="I2696" s="24">
        <v>41275</v>
      </c>
      <c r="J2696" s="24">
        <v>41275</v>
      </c>
      <c r="K2696" t="s">
        <v>26</v>
      </c>
      <c r="L2696" s="25" t="s">
        <v>28</v>
      </c>
      <c r="M2696" t="s">
        <v>26</v>
      </c>
      <c r="N2696" t="s">
        <v>26</v>
      </c>
      <c r="O2696" t="s">
        <v>26</v>
      </c>
      <c r="P2696" s="24">
        <v>41275</v>
      </c>
      <c r="Q2696" s="24">
        <v>41275</v>
      </c>
      <c r="R2696" t="s">
        <v>26</v>
      </c>
      <c r="S2696" t="s">
        <v>26</v>
      </c>
      <c r="T2696" t="s">
        <v>26</v>
      </c>
      <c r="U2696" t="s">
        <v>26</v>
      </c>
      <c r="V2696" t="s">
        <v>26</v>
      </c>
      <c r="W2696" s="24">
        <v>41275</v>
      </c>
      <c r="X2696" s="24">
        <v>41275</v>
      </c>
      <c r="Y2696" t="s">
        <v>26</v>
      </c>
      <c r="Z2696" s="24">
        <v>41275</v>
      </c>
      <c r="AA2696" s="24">
        <v>41275</v>
      </c>
      <c r="AB2696" t="s">
        <v>26</v>
      </c>
      <c r="AC2696" s="24">
        <v>41275</v>
      </c>
      <c r="AD2696" s="24">
        <v>41275</v>
      </c>
      <c r="AE2696" t="s">
        <v>26</v>
      </c>
      <c r="AF2696" t="s">
        <v>26</v>
      </c>
      <c r="AG2696" t="s">
        <v>26</v>
      </c>
      <c r="AH2696" t="s">
        <v>26</v>
      </c>
      <c r="AI2696" t="s">
        <v>26</v>
      </c>
      <c r="AJ2696" t="s">
        <v>26</v>
      </c>
      <c r="AK2696" t="s">
        <v>26</v>
      </c>
      <c r="AL2696" t="s">
        <v>26</v>
      </c>
      <c r="AM2696" t="s">
        <v>26</v>
      </c>
      <c r="AN2696" t="s">
        <v>26</v>
      </c>
      <c r="AO2696" s="25" t="s">
        <v>28</v>
      </c>
      <c r="AP2696" s="23" t="s">
        <v>29</v>
      </c>
      <c r="AQ2696" s="23" t="s">
        <v>30</v>
      </c>
      <c r="AR2696" s="23" t="s">
        <v>6817</v>
      </c>
      <c r="AS2696" s="25">
        <v>5324460</v>
      </c>
      <c r="AT2696" s="23" t="s">
        <v>22181</v>
      </c>
      <c r="AU2696" t="s">
        <v>25726</v>
      </c>
    </row>
    <row r="2697" spans="1:47" ht="13.15" x14ac:dyDescent="0.4">
      <c r="A2697" s="23" t="s">
        <v>25727</v>
      </c>
      <c r="B2697" t="s">
        <v>26</v>
      </c>
      <c r="C2697" s="23" t="s">
        <v>332</v>
      </c>
      <c r="D2697" s="23" t="s">
        <v>22256</v>
      </c>
      <c r="E2697" s="23" t="s">
        <v>42</v>
      </c>
      <c r="F2697" t="s">
        <v>26</v>
      </c>
      <c r="G2697" t="s">
        <v>26</v>
      </c>
      <c r="H2697" t="s">
        <v>26</v>
      </c>
      <c r="I2697" s="24">
        <v>30682</v>
      </c>
      <c r="J2697" s="24">
        <v>33970</v>
      </c>
      <c r="K2697" t="s">
        <v>26</v>
      </c>
      <c r="L2697" s="25" t="s">
        <v>28</v>
      </c>
      <c r="M2697" s="24">
        <v>30682</v>
      </c>
      <c r="N2697" s="24">
        <v>33970</v>
      </c>
      <c r="O2697" t="s">
        <v>26</v>
      </c>
      <c r="P2697" t="s">
        <v>26</v>
      </c>
      <c r="Q2697" t="s">
        <v>26</v>
      </c>
      <c r="R2697" t="s">
        <v>26</v>
      </c>
      <c r="S2697" t="s">
        <v>26</v>
      </c>
      <c r="T2697" t="s">
        <v>26</v>
      </c>
      <c r="U2697" t="s">
        <v>26</v>
      </c>
      <c r="V2697" t="s">
        <v>26</v>
      </c>
      <c r="W2697" s="24">
        <v>30682</v>
      </c>
      <c r="X2697" s="24">
        <v>33970</v>
      </c>
      <c r="Y2697" t="s">
        <v>26</v>
      </c>
      <c r="Z2697" s="24">
        <v>30682</v>
      </c>
      <c r="AA2697" s="24">
        <v>33970</v>
      </c>
      <c r="AB2697" t="s">
        <v>26</v>
      </c>
      <c r="AC2697" s="24">
        <v>30682</v>
      </c>
      <c r="AD2697" s="24">
        <v>33970</v>
      </c>
      <c r="AE2697" t="s">
        <v>26</v>
      </c>
      <c r="AF2697" t="s">
        <v>26</v>
      </c>
      <c r="AG2697" t="s">
        <v>26</v>
      </c>
      <c r="AH2697" t="s">
        <v>26</v>
      </c>
      <c r="AI2697" t="s">
        <v>26</v>
      </c>
      <c r="AJ2697" t="s">
        <v>26</v>
      </c>
      <c r="AK2697" t="s">
        <v>26</v>
      </c>
      <c r="AL2697" t="s">
        <v>26</v>
      </c>
      <c r="AM2697" t="s">
        <v>26</v>
      </c>
      <c r="AN2697" t="s">
        <v>26</v>
      </c>
      <c r="AO2697" s="25" t="s">
        <v>28</v>
      </c>
      <c r="AP2697" s="23" t="s">
        <v>279</v>
      </c>
      <c r="AQ2697" s="23" t="s">
        <v>30</v>
      </c>
      <c r="AR2697" s="23" t="s">
        <v>46</v>
      </c>
      <c r="AS2697" s="25">
        <v>6275747</v>
      </c>
      <c r="AT2697" t="s">
        <v>26</v>
      </c>
      <c r="AU2697" t="s">
        <v>25728</v>
      </c>
    </row>
    <row r="2698" spans="1:47" ht="39.4" x14ac:dyDescent="0.4">
      <c r="A2698" s="23" t="s">
        <v>6983</v>
      </c>
      <c r="B2698" t="s">
        <v>26</v>
      </c>
      <c r="C2698" t="s">
        <v>26</v>
      </c>
      <c r="D2698" t="s">
        <v>26</v>
      </c>
      <c r="E2698" t="s">
        <v>26</v>
      </c>
      <c r="F2698" t="s">
        <v>26</v>
      </c>
      <c r="G2698" t="s">
        <v>26</v>
      </c>
      <c r="H2698" t="s">
        <v>26</v>
      </c>
      <c r="I2698" s="25" t="s">
        <v>6984</v>
      </c>
      <c r="J2698" s="25" t="s">
        <v>6984</v>
      </c>
      <c r="K2698" t="s">
        <v>26</v>
      </c>
      <c r="L2698" s="25" t="s">
        <v>28</v>
      </c>
      <c r="M2698" s="25" t="s">
        <v>6984</v>
      </c>
      <c r="N2698" s="25" t="s">
        <v>6984</v>
      </c>
      <c r="O2698" t="s">
        <v>26</v>
      </c>
      <c r="P2698" t="s">
        <v>26</v>
      </c>
      <c r="Q2698" t="s">
        <v>26</v>
      </c>
      <c r="R2698" t="s">
        <v>26</v>
      </c>
      <c r="S2698" t="s">
        <v>26</v>
      </c>
      <c r="T2698" t="s">
        <v>26</v>
      </c>
      <c r="U2698" t="s">
        <v>26</v>
      </c>
      <c r="V2698" t="s">
        <v>26</v>
      </c>
      <c r="W2698" s="25" t="s">
        <v>6984</v>
      </c>
      <c r="X2698" s="25" t="s">
        <v>6984</v>
      </c>
      <c r="Y2698" t="s">
        <v>26</v>
      </c>
      <c r="Z2698" s="25" t="s">
        <v>6984</v>
      </c>
      <c r="AA2698" s="25" t="s">
        <v>6984</v>
      </c>
      <c r="AB2698" t="s">
        <v>26</v>
      </c>
      <c r="AC2698" s="25" t="s">
        <v>6984</v>
      </c>
      <c r="AD2698" s="25" t="s">
        <v>6984</v>
      </c>
      <c r="AE2698" t="s">
        <v>26</v>
      </c>
      <c r="AF2698" t="s">
        <v>26</v>
      </c>
      <c r="AG2698" t="s">
        <v>26</v>
      </c>
      <c r="AH2698" t="s">
        <v>26</v>
      </c>
      <c r="AI2698" t="s">
        <v>26</v>
      </c>
      <c r="AJ2698" t="s">
        <v>26</v>
      </c>
      <c r="AK2698" t="s">
        <v>26</v>
      </c>
      <c r="AL2698" t="s">
        <v>26</v>
      </c>
      <c r="AM2698" t="s">
        <v>26</v>
      </c>
      <c r="AN2698" t="s">
        <v>26</v>
      </c>
      <c r="AO2698" s="25" t="s">
        <v>28</v>
      </c>
      <c r="AP2698" s="23" t="s">
        <v>29</v>
      </c>
      <c r="AQ2698" s="23" t="s">
        <v>30</v>
      </c>
      <c r="AR2698" s="23" t="s">
        <v>46</v>
      </c>
      <c r="AS2698" s="25">
        <v>6059421</v>
      </c>
      <c r="AT2698" t="s">
        <v>26</v>
      </c>
      <c r="AU2698" t="s">
        <v>25729</v>
      </c>
    </row>
    <row r="2699" spans="1:47" ht="26.25" x14ac:dyDescent="0.4">
      <c r="A2699" s="23" t="s">
        <v>6985</v>
      </c>
      <c r="B2699" t="s">
        <v>26</v>
      </c>
      <c r="C2699" s="23" t="s">
        <v>660</v>
      </c>
      <c r="D2699" s="23" t="s">
        <v>22267</v>
      </c>
      <c r="E2699" s="23" t="s">
        <v>60</v>
      </c>
      <c r="F2699" s="25" t="s">
        <v>6986</v>
      </c>
      <c r="G2699" s="25" t="s">
        <v>6987</v>
      </c>
      <c r="H2699" t="s">
        <v>26</v>
      </c>
      <c r="I2699" t="s">
        <v>26</v>
      </c>
      <c r="J2699" t="s">
        <v>26</v>
      </c>
      <c r="K2699" t="s">
        <v>26</v>
      </c>
      <c r="L2699" s="25" t="s">
        <v>68</v>
      </c>
      <c r="M2699" t="s">
        <v>26</v>
      </c>
      <c r="N2699" t="s">
        <v>26</v>
      </c>
      <c r="O2699" t="s">
        <v>26</v>
      </c>
      <c r="P2699" t="s">
        <v>26</v>
      </c>
      <c r="Q2699" t="s">
        <v>26</v>
      </c>
      <c r="R2699" t="s">
        <v>26</v>
      </c>
      <c r="S2699" t="s">
        <v>26</v>
      </c>
      <c r="T2699" t="s">
        <v>26</v>
      </c>
      <c r="U2699" t="s">
        <v>26</v>
      </c>
      <c r="V2699" t="s">
        <v>26</v>
      </c>
      <c r="W2699" s="24">
        <v>37987</v>
      </c>
      <c r="X2699" s="25" t="s">
        <v>77</v>
      </c>
      <c r="Y2699" t="s">
        <v>26</v>
      </c>
      <c r="Z2699" s="24">
        <v>37987</v>
      </c>
      <c r="AA2699" s="25" t="s">
        <v>77</v>
      </c>
      <c r="AB2699" t="s">
        <v>26</v>
      </c>
      <c r="AC2699" s="24">
        <v>37987</v>
      </c>
      <c r="AD2699" s="25" t="s">
        <v>77</v>
      </c>
      <c r="AE2699" t="s">
        <v>26</v>
      </c>
      <c r="AF2699" t="s">
        <v>26</v>
      </c>
      <c r="AG2699" t="s">
        <v>26</v>
      </c>
      <c r="AH2699" t="s">
        <v>26</v>
      </c>
      <c r="AI2699" t="s">
        <v>26</v>
      </c>
      <c r="AJ2699" t="s">
        <v>26</v>
      </c>
      <c r="AK2699" t="s">
        <v>26</v>
      </c>
      <c r="AL2699" t="s">
        <v>26</v>
      </c>
      <c r="AM2699" t="s">
        <v>26</v>
      </c>
      <c r="AN2699" t="s">
        <v>26</v>
      </c>
      <c r="AO2699" s="25" t="s">
        <v>68</v>
      </c>
      <c r="AP2699" s="23" t="s">
        <v>69</v>
      </c>
      <c r="AQ2699" s="23" t="s">
        <v>30</v>
      </c>
      <c r="AR2699" s="23" t="s">
        <v>257</v>
      </c>
      <c r="AS2699" s="25">
        <v>46559</v>
      </c>
      <c r="AT2699" t="s">
        <v>26</v>
      </c>
      <c r="AU2699" t="s">
        <v>25730</v>
      </c>
    </row>
    <row r="2700" spans="1:47" ht="39.4" x14ac:dyDescent="0.4">
      <c r="A2700" s="23" t="s">
        <v>6988</v>
      </c>
      <c r="B2700" t="s">
        <v>26</v>
      </c>
      <c r="C2700" s="23" t="s">
        <v>6989</v>
      </c>
      <c r="D2700" s="23" t="s">
        <v>25731</v>
      </c>
      <c r="E2700" s="23" t="s">
        <v>6990</v>
      </c>
      <c r="F2700" s="25" t="s">
        <v>6991</v>
      </c>
      <c r="G2700" s="25" t="s">
        <v>6992</v>
      </c>
      <c r="H2700" t="s">
        <v>26</v>
      </c>
      <c r="I2700" s="24">
        <v>38353</v>
      </c>
      <c r="J2700" s="25" t="s">
        <v>77</v>
      </c>
      <c r="K2700" t="s">
        <v>26</v>
      </c>
      <c r="L2700" s="25" t="s">
        <v>68</v>
      </c>
      <c r="M2700" s="24">
        <v>38353</v>
      </c>
      <c r="N2700" s="25" t="s">
        <v>77</v>
      </c>
      <c r="O2700" t="s">
        <v>26</v>
      </c>
      <c r="P2700" s="24">
        <v>38353</v>
      </c>
      <c r="Q2700" s="25" t="s">
        <v>77</v>
      </c>
      <c r="R2700" t="s">
        <v>26</v>
      </c>
      <c r="S2700" t="s">
        <v>26</v>
      </c>
      <c r="T2700" t="s">
        <v>26</v>
      </c>
      <c r="U2700" t="s">
        <v>26</v>
      </c>
      <c r="V2700" t="s">
        <v>26</v>
      </c>
      <c r="W2700" s="24">
        <v>38353</v>
      </c>
      <c r="X2700" s="25" t="s">
        <v>77</v>
      </c>
      <c r="Y2700" t="s">
        <v>26</v>
      </c>
      <c r="Z2700" s="24">
        <v>38353</v>
      </c>
      <c r="AA2700" s="25" t="s">
        <v>77</v>
      </c>
      <c r="AB2700" t="s">
        <v>26</v>
      </c>
      <c r="AC2700" s="24">
        <v>38353</v>
      </c>
      <c r="AD2700" s="25" t="s">
        <v>77</v>
      </c>
      <c r="AE2700" t="s">
        <v>26</v>
      </c>
      <c r="AF2700" t="s">
        <v>26</v>
      </c>
      <c r="AG2700" t="s">
        <v>26</v>
      </c>
      <c r="AH2700" t="s">
        <v>26</v>
      </c>
      <c r="AI2700" t="s">
        <v>26</v>
      </c>
      <c r="AJ2700" t="s">
        <v>26</v>
      </c>
      <c r="AK2700" t="s">
        <v>26</v>
      </c>
      <c r="AL2700" t="s">
        <v>26</v>
      </c>
      <c r="AM2700" t="s">
        <v>26</v>
      </c>
      <c r="AN2700" t="s">
        <v>26</v>
      </c>
      <c r="AO2700" s="25" t="s">
        <v>68</v>
      </c>
      <c r="AP2700" s="23" t="s">
        <v>69</v>
      </c>
      <c r="AQ2700" s="23" t="s">
        <v>6993</v>
      </c>
      <c r="AR2700" s="23" t="s">
        <v>46</v>
      </c>
      <c r="AS2700" s="25">
        <v>75942</v>
      </c>
      <c r="AT2700" t="s">
        <v>26</v>
      </c>
      <c r="AU2700" t="s">
        <v>25732</v>
      </c>
    </row>
    <row r="2701" spans="1:47" ht="26.25" x14ac:dyDescent="0.4">
      <c r="A2701" s="23" t="s">
        <v>6994</v>
      </c>
      <c r="B2701" t="s">
        <v>26</v>
      </c>
      <c r="C2701" s="23" t="s">
        <v>627</v>
      </c>
      <c r="D2701" s="23" t="s">
        <v>22263</v>
      </c>
      <c r="E2701" s="23" t="s">
        <v>187</v>
      </c>
      <c r="F2701" s="25" t="s">
        <v>6995</v>
      </c>
      <c r="G2701" s="25" t="s">
        <v>6996</v>
      </c>
      <c r="H2701" t="s">
        <v>26</v>
      </c>
      <c r="I2701" s="24">
        <v>40544</v>
      </c>
      <c r="J2701" s="24">
        <v>40909</v>
      </c>
      <c r="K2701" t="s">
        <v>26</v>
      </c>
      <c r="L2701" s="25" t="s">
        <v>68</v>
      </c>
      <c r="M2701" t="s">
        <v>26</v>
      </c>
      <c r="N2701" t="s">
        <v>26</v>
      </c>
      <c r="O2701" t="s">
        <v>26</v>
      </c>
      <c r="P2701" s="24">
        <v>40544</v>
      </c>
      <c r="Q2701" s="24">
        <v>40909</v>
      </c>
      <c r="R2701" t="s">
        <v>26</v>
      </c>
      <c r="S2701" t="s">
        <v>26</v>
      </c>
      <c r="T2701" t="s">
        <v>26</v>
      </c>
      <c r="U2701" t="s">
        <v>26</v>
      </c>
      <c r="V2701" t="s">
        <v>26</v>
      </c>
      <c r="W2701" s="24">
        <v>40544</v>
      </c>
      <c r="X2701" s="24">
        <v>40909</v>
      </c>
      <c r="Y2701" t="s">
        <v>26</v>
      </c>
      <c r="Z2701" s="24">
        <v>40544</v>
      </c>
      <c r="AA2701" s="24">
        <v>40909</v>
      </c>
      <c r="AB2701" t="s">
        <v>26</v>
      </c>
      <c r="AC2701" s="24">
        <v>40544</v>
      </c>
      <c r="AD2701" s="24">
        <v>40909</v>
      </c>
      <c r="AE2701" t="s">
        <v>26</v>
      </c>
      <c r="AF2701" t="s">
        <v>26</v>
      </c>
      <c r="AG2701" t="s">
        <v>26</v>
      </c>
      <c r="AH2701" t="s">
        <v>26</v>
      </c>
      <c r="AI2701" t="s">
        <v>26</v>
      </c>
      <c r="AJ2701" t="s">
        <v>26</v>
      </c>
      <c r="AK2701" t="s">
        <v>26</v>
      </c>
      <c r="AL2701" t="s">
        <v>26</v>
      </c>
      <c r="AM2701" t="s">
        <v>26</v>
      </c>
      <c r="AN2701" t="s">
        <v>26</v>
      </c>
      <c r="AO2701" s="25" t="s">
        <v>68</v>
      </c>
      <c r="AP2701" s="23" t="s">
        <v>69</v>
      </c>
      <c r="AQ2701" s="23" t="s">
        <v>190</v>
      </c>
      <c r="AR2701" s="23" t="s">
        <v>46</v>
      </c>
      <c r="AS2701" s="25">
        <v>2026644</v>
      </c>
      <c r="AT2701" t="s">
        <v>26</v>
      </c>
      <c r="AU2701" t="s">
        <v>25733</v>
      </c>
    </row>
    <row r="2702" spans="1:47" ht="78.75" x14ac:dyDescent="0.4">
      <c r="A2702" s="23" t="s">
        <v>6997</v>
      </c>
      <c r="B2702" t="s">
        <v>26</v>
      </c>
      <c r="C2702" s="23" t="s">
        <v>6998</v>
      </c>
      <c r="D2702" s="23" t="s">
        <v>23026</v>
      </c>
      <c r="E2702" s="23" t="s">
        <v>120</v>
      </c>
      <c r="F2702" s="25" t="s">
        <v>6999</v>
      </c>
      <c r="G2702" s="25" t="s">
        <v>7000</v>
      </c>
      <c r="H2702" t="s">
        <v>26</v>
      </c>
      <c r="I2702" t="s">
        <v>26</v>
      </c>
      <c r="J2702" t="s">
        <v>26</v>
      </c>
      <c r="K2702" t="s">
        <v>26</v>
      </c>
      <c r="L2702" s="25" t="s">
        <v>68</v>
      </c>
      <c r="M2702" t="s">
        <v>26</v>
      </c>
      <c r="N2702" t="s">
        <v>26</v>
      </c>
      <c r="O2702" t="s">
        <v>26</v>
      </c>
      <c r="P2702" t="s">
        <v>26</v>
      </c>
      <c r="Q2702" t="s">
        <v>26</v>
      </c>
      <c r="R2702" t="s">
        <v>26</v>
      </c>
      <c r="S2702" t="s">
        <v>26</v>
      </c>
      <c r="T2702" t="s">
        <v>26</v>
      </c>
      <c r="U2702" t="s">
        <v>26</v>
      </c>
      <c r="V2702" t="s">
        <v>26</v>
      </c>
      <c r="W2702" s="24">
        <v>42887</v>
      </c>
      <c r="X2702" s="25" t="s">
        <v>77</v>
      </c>
      <c r="Y2702" t="s">
        <v>26</v>
      </c>
      <c r="Z2702" s="24">
        <v>42887</v>
      </c>
      <c r="AA2702" s="25" t="s">
        <v>77</v>
      </c>
      <c r="AB2702" t="s">
        <v>26</v>
      </c>
      <c r="AC2702" s="24">
        <v>42887</v>
      </c>
      <c r="AD2702" s="25" t="s">
        <v>77</v>
      </c>
      <c r="AE2702" t="s">
        <v>26</v>
      </c>
      <c r="AF2702" t="s">
        <v>26</v>
      </c>
      <c r="AG2702" t="s">
        <v>26</v>
      </c>
      <c r="AH2702" t="s">
        <v>26</v>
      </c>
      <c r="AI2702" t="s">
        <v>26</v>
      </c>
      <c r="AJ2702" t="s">
        <v>26</v>
      </c>
      <c r="AK2702" t="s">
        <v>26</v>
      </c>
      <c r="AL2702" t="s">
        <v>26</v>
      </c>
      <c r="AM2702" t="s">
        <v>26</v>
      </c>
      <c r="AN2702" t="s">
        <v>26</v>
      </c>
      <c r="AO2702" s="25" t="s">
        <v>68</v>
      </c>
      <c r="AP2702" s="23" t="s">
        <v>69</v>
      </c>
      <c r="AQ2702" s="23" t="s">
        <v>7001</v>
      </c>
      <c r="AR2702" s="23" t="s">
        <v>123</v>
      </c>
      <c r="AS2702" s="25">
        <v>2042297</v>
      </c>
      <c r="AT2702" t="s">
        <v>26</v>
      </c>
      <c r="AU2702" t="s">
        <v>25734</v>
      </c>
    </row>
    <row r="2703" spans="1:47" ht="26.25" x14ac:dyDescent="0.4">
      <c r="A2703" s="23" t="s">
        <v>7002</v>
      </c>
      <c r="B2703" t="s">
        <v>26</v>
      </c>
      <c r="C2703" s="23" t="s">
        <v>1958</v>
      </c>
      <c r="D2703" s="23" t="s">
        <v>22254</v>
      </c>
      <c r="E2703" s="23" t="s">
        <v>60</v>
      </c>
      <c r="F2703" s="25" t="s">
        <v>7003</v>
      </c>
      <c r="G2703" s="25" t="s">
        <v>7004</v>
      </c>
      <c r="H2703" t="s">
        <v>26</v>
      </c>
      <c r="I2703" t="s">
        <v>26</v>
      </c>
      <c r="J2703" t="s">
        <v>26</v>
      </c>
      <c r="K2703" t="s">
        <v>26</v>
      </c>
      <c r="L2703" s="25" t="s">
        <v>68</v>
      </c>
      <c r="M2703" t="s">
        <v>26</v>
      </c>
      <c r="N2703" t="s">
        <v>26</v>
      </c>
      <c r="O2703" t="s">
        <v>26</v>
      </c>
      <c r="P2703" t="s">
        <v>26</v>
      </c>
      <c r="Q2703" t="s">
        <v>26</v>
      </c>
      <c r="R2703" t="s">
        <v>26</v>
      </c>
      <c r="S2703" t="s">
        <v>26</v>
      </c>
      <c r="T2703" t="s">
        <v>26</v>
      </c>
      <c r="U2703" t="s">
        <v>26</v>
      </c>
      <c r="V2703" t="s">
        <v>26</v>
      </c>
      <c r="W2703" s="24">
        <v>33512</v>
      </c>
      <c r="X2703" s="25" t="s">
        <v>77</v>
      </c>
      <c r="Y2703" t="s">
        <v>26</v>
      </c>
      <c r="Z2703" s="24">
        <v>33512</v>
      </c>
      <c r="AA2703" s="25" t="s">
        <v>77</v>
      </c>
      <c r="AB2703" t="s">
        <v>26</v>
      </c>
      <c r="AC2703" s="24">
        <v>33512</v>
      </c>
      <c r="AD2703" s="25" t="s">
        <v>77</v>
      </c>
      <c r="AE2703" t="s">
        <v>26</v>
      </c>
      <c r="AF2703" t="s">
        <v>26</v>
      </c>
      <c r="AG2703" t="s">
        <v>26</v>
      </c>
      <c r="AH2703" t="s">
        <v>26</v>
      </c>
      <c r="AI2703" t="s">
        <v>26</v>
      </c>
      <c r="AJ2703" t="s">
        <v>26</v>
      </c>
      <c r="AK2703" t="s">
        <v>26</v>
      </c>
      <c r="AL2703" t="s">
        <v>26</v>
      </c>
      <c r="AM2703" t="s">
        <v>26</v>
      </c>
      <c r="AN2703" t="s">
        <v>26</v>
      </c>
      <c r="AO2703" s="25" t="s">
        <v>68</v>
      </c>
      <c r="AP2703" s="23" t="s">
        <v>69</v>
      </c>
      <c r="AQ2703" s="23" t="s">
        <v>30</v>
      </c>
      <c r="AR2703" s="23" t="s">
        <v>7005</v>
      </c>
      <c r="AS2703" s="25">
        <v>31185</v>
      </c>
      <c r="AT2703" t="s">
        <v>26</v>
      </c>
      <c r="AU2703" t="s">
        <v>25735</v>
      </c>
    </row>
    <row r="2704" spans="1:47" ht="26.25" x14ac:dyDescent="0.4">
      <c r="A2704" s="23" t="s">
        <v>7006</v>
      </c>
      <c r="B2704" t="s">
        <v>26</v>
      </c>
      <c r="C2704" s="23" t="s">
        <v>320</v>
      </c>
      <c r="D2704" s="23" t="s">
        <v>22179</v>
      </c>
      <c r="E2704" s="23" t="s">
        <v>42</v>
      </c>
      <c r="F2704" s="25" t="s">
        <v>7007</v>
      </c>
      <c r="G2704" s="25" t="s">
        <v>7008</v>
      </c>
      <c r="H2704" t="s">
        <v>26</v>
      </c>
      <c r="I2704" t="s">
        <v>26</v>
      </c>
      <c r="J2704" t="s">
        <v>26</v>
      </c>
      <c r="K2704" t="s">
        <v>26</v>
      </c>
      <c r="L2704" s="25" t="s">
        <v>68</v>
      </c>
      <c r="M2704" t="s">
        <v>26</v>
      </c>
      <c r="N2704" t="s">
        <v>26</v>
      </c>
      <c r="O2704" t="s">
        <v>26</v>
      </c>
      <c r="P2704" t="s">
        <v>26</v>
      </c>
      <c r="Q2704" t="s">
        <v>26</v>
      </c>
      <c r="R2704" t="s">
        <v>26</v>
      </c>
      <c r="S2704" t="s">
        <v>26</v>
      </c>
      <c r="T2704" t="s">
        <v>26</v>
      </c>
      <c r="U2704" t="s">
        <v>26</v>
      </c>
      <c r="V2704" t="s">
        <v>26</v>
      </c>
      <c r="W2704" s="24">
        <v>33604</v>
      </c>
      <c r="X2704" s="25" t="s">
        <v>77</v>
      </c>
      <c r="Y2704" t="s">
        <v>26</v>
      </c>
      <c r="Z2704" s="24">
        <v>33604</v>
      </c>
      <c r="AA2704" s="25" t="s">
        <v>77</v>
      </c>
      <c r="AB2704" t="s">
        <v>26</v>
      </c>
      <c r="AC2704" s="24">
        <v>33604</v>
      </c>
      <c r="AD2704" s="25" t="s">
        <v>77</v>
      </c>
      <c r="AE2704" t="s">
        <v>26</v>
      </c>
      <c r="AF2704" t="s">
        <v>26</v>
      </c>
      <c r="AG2704" t="s">
        <v>26</v>
      </c>
      <c r="AH2704" t="s">
        <v>26</v>
      </c>
      <c r="AI2704" t="s">
        <v>26</v>
      </c>
      <c r="AJ2704" t="s">
        <v>26</v>
      </c>
      <c r="AK2704" t="s">
        <v>26</v>
      </c>
      <c r="AL2704" t="s">
        <v>26</v>
      </c>
      <c r="AM2704" t="s">
        <v>26</v>
      </c>
      <c r="AN2704" t="s">
        <v>26</v>
      </c>
      <c r="AO2704" s="25" t="s">
        <v>68</v>
      </c>
      <c r="AP2704" s="23" t="s">
        <v>69</v>
      </c>
      <c r="AQ2704" s="23" t="s">
        <v>30</v>
      </c>
      <c r="AR2704" s="23" t="s">
        <v>7009</v>
      </c>
      <c r="AS2704" s="25">
        <v>30883</v>
      </c>
      <c r="AT2704" t="s">
        <v>26</v>
      </c>
      <c r="AU2704" t="s">
        <v>25736</v>
      </c>
    </row>
    <row r="2705" spans="1:47" ht="26.25" x14ac:dyDescent="0.4">
      <c r="A2705" s="23" t="s">
        <v>7010</v>
      </c>
      <c r="B2705" t="s">
        <v>26</v>
      </c>
      <c r="C2705" s="23" t="s">
        <v>80</v>
      </c>
      <c r="D2705" s="23" t="s">
        <v>22184</v>
      </c>
      <c r="E2705" s="23" t="s">
        <v>60</v>
      </c>
      <c r="F2705" s="25" t="s">
        <v>7011</v>
      </c>
      <c r="G2705" s="25" t="s">
        <v>7012</v>
      </c>
      <c r="H2705" t="s">
        <v>26</v>
      </c>
      <c r="I2705" s="24">
        <v>37987</v>
      </c>
      <c r="J2705" s="24">
        <v>39995</v>
      </c>
      <c r="K2705" t="s">
        <v>26</v>
      </c>
      <c r="L2705" s="25" t="s">
        <v>68</v>
      </c>
      <c r="M2705" s="24">
        <v>37987</v>
      </c>
      <c r="N2705" s="24">
        <v>39995</v>
      </c>
      <c r="O2705" t="s">
        <v>26</v>
      </c>
      <c r="P2705" s="24">
        <v>37987</v>
      </c>
      <c r="Q2705" s="24">
        <v>39995</v>
      </c>
      <c r="R2705" t="s">
        <v>26</v>
      </c>
      <c r="S2705" t="s">
        <v>26</v>
      </c>
      <c r="T2705" t="s">
        <v>26</v>
      </c>
      <c r="U2705" t="s">
        <v>26</v>
      </c>
      <c r="V2705" t="s">
        <v>26</v>
      </c>
      <c r="W2705" s="24">
        <v>37987</v>
      </c>
      <c r="X2705" s="25" t="s">
        <v>77</v>
      </c>
      <c r="Y2705" t="s">
        <v>26</v>
      </c>
      <c r="Z2705" s="24">
        <v>37987</v>
      </c>
      <c r="AA2705" s="25" t="s">
        <v>77</v>
      </c>
      <c r="AB2705" t="s">
        <v>26</v>
      </c>
      <c r="AC2705" s="24">
        <v>37987</v>
      </c>
      <c r="AD2705" s="25" t="s">
        <v>77</v>
      </c>
      <c r="AE2705" t="s">
        <v>26</v>
      </c>
      <c r="AF2705" t="s">
        <v>26</v>
      </c>
      <c r="AG2705" t="s">
        <v>26</v>
      </c>
      <c r="AH2705" t="s">
        <v>26</v>
      </c>
      <c r="AI2705" t="s">
        <v>26</v>
      </c>
      <c r="AJ2705" t="s">
        <v>26</v>
      </c>
      <c r="AK2705" t="s">
        <v>26</v>
      </c>
      <c r="AL2705" t="s">
        <v>26</v>
      </c>
      <c r="AM2705" t="s">
        <v>26</v>
      </c>
      <c r="AN2705" t="s">
        <v>26</v>
      </c>
      <c r="AO2705" s="25" t="s">
        <v>68</v>
      </c>
      <c r="AP2705" s="23" t="s">
        <v>69</v>
      </c>
      <c r="AQ2705" s="23" t="s">
        <v>30</v>
      </c>
      <c r="AR2705" s="23" t="s">
        <v>184</v>
      </c>
      <c r="AS2705" s="25">
        <v>29581</v>
      </c>
      <c r="AT2705" t="s">
        <v>26</v>
      </c>
      <c r="AU2705" t="s">
        <v>25737</v>
      </c>
    </row>
    <row r="2706" spans="1:47" ht="26.25" x14ac:dyDescent="0.4">
      <c r="A2706" s="23" t="s">
        <v>7013</v>
      </c>
      <c r="B2706" t="s">
        <v>26</v>
      </c>
      <c r="C2706" s="23" t="s">
        <v>80</v>
      </c>
      <c r="D2706" s="23" t="s">
        <v>22184</v>
      </c>
      <c r="E2706" s="23" t="s">
        <v>60</v>
      </c>
      <c r="F2706" s="25" t="s">
        <v>7014</v>
      </c>
      <c r="G2706" s="25" t="s">
        <v>7015</v>
      </c>
      <c r="H2706" t="s">
        <v>26</v>
      </c>
      <c r="I2706" s="24">
        <v>35704</v>
      </c>
      <c r="J2706" s="24">
        <v>36800</v>
      </c>
      <c r="K2706" t="s">
        <v>26</v>
      </c>
      <c r="L2706" s="25" t="s">
        <v>68</v>
      </c>
      <c r="M2706" s="24">
        <v>35704</v>
      </c>
      <c r="N2706" s="24">
        <v>36800</v>
      </c>
      <c r="O2706" t="s">
        <v>26</v>
      </c>
      <c r="P2706" s="24">
        <v>35704</v>
      </c>
      <c r="Q2706" s="24">
        <v>36800</v>
      </c>
      <c r="R2706" t="s">
        <v>26</v>
      </c>
      <c r="S2706" t="s">
        <v>26</v>
      </c>
      <c r="T2706" t="s">
        <v>26</v>
      </c>
      <c r="U2706" t="s">
        <v>26</v>
      </c>
      <c r="V2706" t="s">
        <v>26</v>
      </c>
      <c r="W2706" s="24">
        <v>35704</v>
      </c>
      <c r="X2706" s="25" t="s">
        <v>77</v>
      </c>
      <c r="Y2706" t="s">
        <v>26</v>
      </c>
      <c r="Z2706" s="24">
        <v>35704</v>
      </c>
      <c r="AA2706" s="25" t="s">
        <v>77</v>
      </c>
      <c r="AB2706" t="s">
        <v>26</v>
      </c>
      <c r="AC2706" s="24">
        <v>35704</v>
      </c>
      <c r="AD2706" s="25" t="s">
        <v>77</v>
      </c>
      <c r="AE2706" t="s">
        <v>26</v>
      </c>
      <c r="AF2706" t="s">
        <v>26</v>
      </c>
      <c r="AG2706" t="s">
        <v>26</v>
      </c>
      <c r="AH2706" t="s">
        <v>26</v>
      </c>
      <c r="AI2706" t="s">
        <v>26</v>
      </c>
      <c r="AJ2706" t="s">
        <v>26</v>
      </c>
      <c r="AK2706" t="s">
        <v>26</v>
      </c>
      <c r="AL2706" t="s">
        <v>26</v>
      </c>
      <c r="AM2706" t="s">
        <v>26</v>
      </c>
      <c r="AN2706" t="s">
        <v>26</v>
      </c>
      <c r="AO2706" s="25" t="s">
        <v>68</v>
      </c>
      <c r="AP2706" s="23" t="s">
        <v>69</v>
      </c>
      <c r="AQ2706" s="23" t="s">
        <v>30</v>
      </c>
      <c r="AR2706" s="23" t="s">
        <v>1269</v>
      </c>
      <c r="AS2706" s="25">
        <v>33234</v>
      </c>
      <c r="AT2706" t="s">
        <v>26</v>
      </c>
      <c r="AU2706" t="s">
        <v>25738</v>
      </c>
    </row>
    <row r="2707" spans="1:47" ht="13.15" x14ac:dyDescent="0.4">
      <c r="A2707" s="23" t="s">
        <v>7016</v>
      </c>
      <c r="B2707" t="s">
        <v>26</v>
      </c>
      <c r="C2707" s="23" t="s">
        <v>4015</v>
      </c>
      <c r="D2707" s="23" t="s">
        <v>22179</v>
      </c>
      <c r="E2707" s="23" t="s">
        <v>42</v>
      </c>
      <c r="F2707" t="s">
        <v>26</v>
      </c>
      <c r="G2707" t="s">
        <v>26</v>
      </c>
      <c r="H2707" s="25" t="s">
        <v>7017</v>
      </c>
      <c r="I2707" s="24">
        <v>37257</v>
      </c>
      <c r="J2707" s="24">
        <v>37257</v>
      </c>
      <c r="K2707" t="s">
        <v>26</v>
      </c>
      <c r="L2707" s="25" t="s">
        <v>28</v>
      </c>
      <c r="M2707" s="24">
        <v>37257</v>
      </c>
      <c r="N2707" s="24">
        <v>37257</v>
      </c>
      <c r="O2707" t="s">
        <v>26</v>
      </c>
      <c r="P2707" s="24">
        <v>37257</v>
      </c>
      <c r="Q2707" s="24">
        <v>37257</v>
      </c>
      <c r="R2707" t="s">
        <v>26</v>
      </c>
      <c r="S2707" t="s">
        <v>26</v>
      </c>
      <c r="T2707" t="s">
        <v>26</v>
      </c>
      <c r="U2707" t="s">
        <v>26</v>
      </c>
      <c r="V2707" t="s">
        <v>26</v>
      </c>
      <c r="W2707" s="24">
        <v>37257</v>
      </c>
      <c r="X2707" s="24">
        <v>37257</v>
      </c>
      <c r="Y2707" t="s">
        <v>26</v>
      </c>
      <c r="Z2707" s="24">
        <v>37257</v>
      </c>
      <c r="AA2707" s="24">
        <v>37257</v>
      </c>
      <c r="AB2707" t="s">
        <v>26</v>
      </c>
      <c r="AC2707" t="s">
        <v>26</v>
      </c>
      <c r="AD2707" t="s">
        <v>26</v>
      </c>
      <c r="AE2707" t="s">
        <v>26</v>
      </c>
      <c r="AF2707" t="s">
        <v>26</v>
      </c>
      <c r="AG2707" t="s">
        <v>26</v>
      </c>
      <c r="AH2707" t="s">
        <v>26</v>
      </c>
      <c r="AI2707" t="s">
        <v>26</v>
      </c>
      <c r="AJ2707" t="s">
        <v>26</v>
      </c>
      <c r="AK2707" t="s">
        <v>26</v>
      </c>
      <c r="AL2707" t="s">
        <v>26</v>
      </c>
      <c r="AM2707" t="s">
        <v>26</v>
      </c>
      <c r="AN2707" t="s">
        <v>26</v>
      </c>
      <c r="AO2707" s="25" t="s">
        <v>28</v>
      </c>
      <c r="AP2707" s="23" t="s">
        <v>29</v>
      </c>
      <c r="AQ2707" s="23" t="s">
        <v>30</v>
      </c>
      <c r="AR2707" s="23" t="s">
        <v>46</v>
      </c>
      <c r="AS2707" s="25">
        <v>1216395</v>
      </c>
      <c r="AT2707" t="s">
        <v>26</v>
      </c>
      <c r="AU2707" t="s">
        <v>25739</v>
      </c>
    </row>
    <row r="2708" spans="1:47" ht="13.15" x14ac:dyDescent="0.4">
      <c r="A2708" s="23" t="s">
        <v>7018</v>
      </c>
      <c r="B2708" t="s">
        <v>26</v>
      </c>
      <c r="C2708" s="23" t="s">
        <v>4015</v>
      </c>
      <c r="D2708" s="23" t="s">
        <v>22179</v>
      </c>
      <c r="E2708" s="23" t="s">
        <v>42</v>
      </c>
      <c r="F2708" t="s">
        <v>26</v>
      </c>
      <c r="G2708" t="s">
        <v>26</v>
      </c>
      <c r="H2708" s="25" t="s">
        <v>7019</v>
      </c>
      <c r="I2708" s="24">
        <v>37987</v>
      </c>
      <c r="J2708" s="24">
        <v>37987</v>
      </c>
      <c r="K2708" t="s">
        <v>26</v>
      </c>
      <c r="L2708" s="25" t="s">
        <v>28</v>
      </c>
      <c r="M2708" s="24">
        <v>37987</v>
      </c>
      <c r="N2708" s="24">
        <v>37987</v>
      </c>
      <c r="O2708" t="s">
        <v>26</v>
      </c>
      <c r="P2708" s="24">
        <v>37987</v>
      </c>
      <c r="Q2708" s="24">
        <v>37987</v>
      </c>
      <c r="R2708" t="s">
        <v>26</v>
      </c>
      <c r="S2708" t="s">
        <v>26</v>
      </c>
      <c r="T2708" t="s">
        <v>26</v>
      </c>
      <c r="U2708" t="s">
        <v>26</v>
      </c>
      <c r="V2708" t="s">
        <v>26</v>
      </c>
      <c r="W2708" s="24">
        <v>37987</v>
      </c>
      <c r="X2708" s="24">
        <v>37987</v>
      </c>
      <c r="Y2708" t="s">
        <v>26</v>
      </c>
      <c r="Z2708" s="24">
        <v>37987</v>
      </c>
      <c r="AA2708" s="24">
        <v>37987</v>
      </c>
      <c r="AB2708" t="s">
        <v>26</v>
      </c>
      <c r="AC2708" t="s">
        <v>26</v>
      </c>
      <c r="AD2708" t="s">
        <v>26</v>
      </c>
      <c r="AE2708" t="s">
        <v>26</v>
      </c>
      <c r="AF2708" t="s">
        <v>26</v>
      </c>
      <c r="AG2708" t="s">
        <v>26</v>
      </c>
      <c r="AH2708" t="s">
        <v>26</v>
      </c>
      <c r="AI2708" t="s">
        <v>26</v>
      </c>
      <c r="AJ2708" t="s">
        <v>26</v>
      </c>
      <c r="AK2708" t="s">
        <v>26</v>
      </c>
      <c r="AL2708" t="s">
        <v>26</v>
      </c>
      <c r="AM2708" t="s">
        <v>26</v>
      </c>
      <c r="AN2708" t="s">
        <v>26</v>
      </c>
      <c r="AO2708" s="25" t="s">
        <v>28</v>
      </c>
      <c r="AP2708" s="23" t="s">
        <v>29</v>
      </c>
      <c r="AQ2708" s="23" t="s">
        <v>30</v>
      </c>
      <c r="AR2708" s="23" t="s">
        <v>46</v>
      </c>
      <c r="AS2708" s="25">
        <v>1216394</v>
      </c>
      <c r="AT2708" t="s">
        <v>26</v>
      </c>
      <c r="AU2708" t="s">
        <v>25740</v>
      </c>
    </row>
    <row r="2709" spans="1:47" ht="13.15" x14ac:dyDescent="0.4">
      <c r="A2709" s="23" t="s">
        <v>7020</v>
      </c>
      <c r="B2709" t="s">
        <v>26</v>
      </c>
      <c r="C2709" s="23" t="s">
        <v>4015</v>
      </c>
      <c r="D2709" s="23" t="s">
        <v>22179</v>
      </c>
      <c r="E2709" s="23" t="s">
        <v>42</v>
      </c>
      <c r="F2709" t="s">
        <v>26</v>
      </c>
      <c r="G2709" t="s">
        <v>26</v>
      </c>
      <c r="H2709" s="25" t="s">
        <v>7017</v>
      </c>
      <c r="I2709" s="24">
        <v>39448</v>
      </c>
      <c r="J2709" s="24">
        <v>39448</v>
      </c>
      <c r="K2709" t="s">
        <v>26</v>
      </c>
      <c r="L2709" s="25" t="s">
        <v>28</v>
      </c>
      <c r="M2709" s="24">
        <v>39448</v>
      </c>
      <c r="N2709" s="24">
        <v>39448</v>
      </c>
      <c r="O2709" t="s">
        <v>26</v>
      </c>
      <c r="P2709" s="24">
        <v>39448</v>
      </c>
      <c r="Q2709" s="24">
        <v>39448</v>
      </c>
      <c r="R2709" t="s">
        <v>26</v>
      </c>
      <c r="S2709" t="s">
        <v>26</v>
      </c>
      <c r="T2709" t="s">
        <v>26</v>
      </c>
      <c r="U2709" t="s">
        <v>26</v>
      </c>
      <c r="V2709" t="s">
        <v>26</v>
      </c>
      <c r="W2709" s="24">
        <v>39448</v>
      </c>
      <c r="X2709" s="24">
        <v>39448</v>
      </c>
      <c r="Y2709" t="s">
        <v>26</v>
      </c>
      <c r="Z2709" s="24">
        <v>39448</v>
      </c>
      <c r="AA2709" s="24">
        <v>39448</v>
      </c>
      <c r="AB2709" t="s">
        <v>26</v>
      </c>
      <c r="AC2709" t="s">
        <v>26</v>
      </c>
      <c r="AD2709" t="s">
        <v>26</v>
      </c>
      <c r="AE2709" t="s">
        <v>26</v>
      </c>
      <c r="AF2709" t="s">
        <v>26</v>
      </c>
      <c r="AG2709" t="s">
        <v>26</v>
      </c>
      <c r="AH2709" t="s">
        <v>26</v>
      </c>
      <c r="AI2709" t="s">
        <v>26</v>
      </c>
      <c r="AJ2709" t="s">
        <v>26</v>
      </c>
      <c r="AK2709" t="s">
        <v>26</v>
      </c>
      <c r="AL2709" t="s">
        <v>26</v>
      </c>
      <c r="AM2709" t="s">
        <v>26</v>
      </c>
      <c r="AN2709" t="s">
        <v>26</v>
      </c>
      <c r="AO2709" s="25" t="s">
        <v>28</v>
      </c>
      <c r="AP2709" s="23" t="s">
        <v>29</v>
      </c>
      <c r="AQ2709" s="23" t="s">
        <v>30</v>
      </c>
      <c r="AR2709" s="23" t="s">
        <v>46</v>
      </c>
      <c r="AS2709" s="25">
        <v>1216393</v>
      </c>
      <c r="AT2709" t="s">
        <v>26</v>
      </c>
      <c r="AU2709" t="s">
        <v>25741</v>
      </c>
    </row>
    <row r="2710" spans="1:47" ht="13.15" x14ac:dyDescent="0.4">
      <c r="A2710" s="23" t="s">
        <v>7021</v>
      </c>
      <c r="B2710" t="s">
        <v>26</v>
      </c>
      <c r="C2710" s="23" t="s">
        <v>4015</v>
      </c>
      <c r="D2710" s="23" t="s">
        <v>22179</v>
      </c>
      <c r="E2710" s="23" t="s">
        <v>42</v>
      </c>
      <c r="F2710" t="s">
        <v>26</v>
      </c>
      <c r="G2710" t="s">
        <v>26</v>
      </c>
      <c r="H2710" s="25" t="s">
        <v>7022</v>
      </c>
      <c r="I2710" s="24">
        <v>40179</v>
      </c>
      <c r="J2710" s="24">
        <v>40179</v>
      </c>
      <c r="K2710" t="s">
        <v>26</v>
      </c>
      <c r="L2710" s="25" t="s">
        <v>28</v>
      </c>
      <c r="M2710" s="24">
        <v>40179</v>
      </c>
      <c r="N2710" s="24">
        <v>40179</v>
      </c>
      <c r="O2710" t="s">
        <v>26</v>
      </c>
      <c r="P2710" s="24">
        <v>40179</v>
      </c>
      <c r="Q2710" s="24">
        <v>40179</v>
      </c>
      <c r="R2710" t="s">
        <v>26</v>
      </c>
      <c r="S2710" t="s">
        <v>26</v>
      </c>
      <c r="T2710" t="s">
        <v>26</v>
      </c>
      <c r="U2710" t="s">
        <v>26</v>
      </c>
      <c r="V2710" t="s">
        <v>26</v>
      </c>
      <c r="W2710" s="24">
        <v>40179</v>
      </c>
      <c r="X2710" s="24">
        <v>40179</v>
      </c>
      <c r="Y2710" t="s">
        <v>26</v>
      </c>
      <c r="Z2710" s="24">
        <v>40179</v>
      </c>
      <c r="AA2710" s="24">
        <v>40179</v>
      </c>
      <c r="AB2710" t="s">
        <v>26</v>
      </c>
      <c r="AC2710" t="s">
        <v>26</v>
      </c>
      <c r="AD2710" t="s">
        <v>26</v>
      </c>
      <c r="AE2710" t="s">
        <v>26</v>
      </c>
      <c r="AF2710" t="s">
        <v>26</v>
      </c>
      <c r="AG2710" t="s">
        <v>26</v>
      </c>
      <c r="AH2710" t="s">
        <v>26</v>
      </c>
      <c r="AI2710" t="s">
        <v>26</v>
      </c>
      <c r="AJ2710" t="s">
        <v>26</v>
      </c>
      <c r="AK2710" t="s">
        <v>26</v>
      </c>
      <c r="AL2710" t="s">
        <v>26</v>
      </c>
      <c r="AM2710" t="s">
        <v>26</v>
      </c>
      <c r="AN2710" t="s">
        <v>26</v>
      </c>
      <c r="AO2710" s="25" t="s">
        <v>28</v>
      </c>
      <c r="AP2710" s="23" t="s">
        <v>29</v>
      </c>
      <c r="AQ2710" s="23" t="s">
        <v>30</v>
      </c>
      <c r="AR2710" s="23" t="s">
        <v>46</v>
      </c>
      <c r="AS2710" s="25">
        <v>1216392</v>
      </c>
      <c r="AT2710" t="s">
        <v>26</v>
      </c>
      <c r="AU2710" t="s">
        <v>25742</v>
      </c>
    </row>
    <row r="2711" spans="1:47" ht="26.25" x14ac:dyDescent="0.4">
      <c r="A2711" s="23" t="s">
        <v>7023</v>
      </c>
      <c r="B2711" t="s">
        <v>26</v>
      </c>
      <c r="C2711" s="23" t="s">
        <v>167</v>
      </c>
      <c r="D2711" s="23" t="s">
        <v>22179</v>
      </c>
      <c r="E2711" s="23" t="s">
        <v>60</v>
      </c>
      <c r="F2711" s="25" t="s">
        <v>7024</v>
      </c>
      <c r="G2711" s="25" t="s">
        <v>7025</v>
      </c>
      <c r="H2711" t="s">
        <v>26</v>
      </c>
      <c r="I2711" s="24">
        <v>36951</v>
      </c>
      <c r="J2711" s="25" t="s">
        <v>77</v>
      </c>
      <c r="K2711" t="s">
        <v>26</v>
      </c>
      <c r="L2711" s="25" t="s">
        <v>68</v>
      </c>
      <c r="M2711" s="24">
        <v>38047</v>
      </c>
      <c r="N2711" s="25" t="s">
        <v>77</v>
      </c>
      <c r="O2711" t="s">
        <v>26</v>
      </c>
      <c r="P2711" s="24">
        <v>36951</v>
      </c>
      <c r="Q2711" s="25" t="s">
        <v>77</v>
      </c>
      <c r="R2711" t="s">
        <v>26</v>
      </c>
      <c r="S2711" t="s">
        <v>26</v>
      </c>
      <c r="T2711" t="s">
        <v>26</v>
      </c>
      <c r="U2711" t="s">
        <v>26</v>
      </c>
      <c r="V2711" s="25">
        <v>365</v>
      </c>
      <c r="W2711" s="24">
        <v>36951</v>
      </c>
      <c r="X2711" s="25" t="s">
        <v>77</v>
      </c>
      <c r="Y2711" t="s">
        <v>26</v>
      </c>
      <c r="Z2711" s="24">
        <v>36951</v>
      </c>
      <c r="AA2711" s="25" t="s">
        <v>77</v>
      </c>
      <c r="AB2711" t="s">
        <v>26</v>
      </c>
      <c r="AC2711" s="24">
        <v>36951</v>
      </c>
      <c r="AD2711" s="25" t="s">
        <v>77</v>
      </c>
      <c r="AE2711" t="s">
        <v>26</v>
      </c>
      <c r="AF2711" t="s">
        <v>26</v>
      </c>
      <c r="AG2711" t="s">
        <v>26</v>
      </c>
      <c r="AH2711" t="s">
        <v>26</v>
      </c>
      <c r="AI2711" t="s">
        <v>26</v>
      </c>
      <c r="AJ2711" t="s">
        <v>26</v>
      </c>
      <c r="AK2711" t="s">
        <v>26</v>
      </c>
      <c r="AL2711" t="s">
        <v>26</v>
      </c>
      <c r="AM2711" t="s">
        <v>26</v>
      </c>
      <c r="AN2711" t="s">
        <v>26</v>
      </c>
      <c r="AO2711" s="25" t="s">
        <v>68</v>
      </c>
      <c r="AP2711" s="23" t="s">
        <v>69</v>
      </c>
      <c r="AQ2711" s="23" t="s">
        <v>30</v>
      </c>
      <c r="AR2711" s="23" t="s">
        <v>674</v>
      </c>
      <c r="AS2711" s="25">
        <v>47701</v>
      </c>
      <c r="AT2711" t="s">
        <v>26</v>
      </c>
      <c r="AU2711" t="s">
        <v>25743</v>
      </c>
    </row>
    <row r="2712" spans="1:47" ht="26.25" x14ac:dyDescent="0.4">
      <c r="A2712" s="23" t="s">
        <v>7026</v>
      </c>
      <c r="B2712" t="s">
        <v>26</v>
      </c>
      <c r="C2712" t="s">
        <v>26</v>
      </c>
      <c r="D2712" s="23" t="s">
        <v>23833</v>
      </c>
      <c r="E2712" t="s">
        <v>26</v>
      </c>
      <c r="F2712" t="s">
        <v>26</v>
      </c>
      <c r="G2712" t="s">
        <v>26</v>
      </c>
      <c r="H2712" t="s">
        <v>26</v>
      </c>
      <c r="I2712" s="24">
        <v>20455</v>
      </c>
      <c r="J2712" s="24">
        <v>20455</v>
      </c>
      <c r="K2712" t="s">
        <v>26</v>
      </c>
      <c r="L2712" s="25" t="s">
        <v>28</v>
      </c>
      <c r="M2712" t="s">
        <v>26</v>
      </c>
      <c r="N2712" t="s">
        <v>26</v>
      </c>
      <c r="O2712" t="s">
        <v>26</v>
      </c>
      <c r="P2712" s="24">
        <v>20455</v>
      </c>
      <c r="Q2712" s="24">
        <v>20455</v>
      </c>
      <c r="R2712" t="s">
        <v>26</v>
      </c>
      <c r="S2712" t="s">
        <v>26</v>
      </c>
      <c r="T2712" t="s">
        <v>26</v>
      </c>
      <c r="U2712" t="s">
        <v>26</v>
      </c>
      <c r="V2712" t="s">
        <v>26</v>
      </c>
      <c r="W2712" s="24">
        <v>20455</v>
      </c>
      <c r="X2712" s="24">
        <v>20455</v>
      </c>
      <c r="Y2712" t="s">
        <v>26</v>
      </c>
      <c r="Z2712" s="24">
        <v>20455</v>
      </c>
      <c r="AA2712" s="24">
        <v>20455</v>
      </c>
      <c r="AB2712" t="s">
        <v>26</v>
      </c>
      <c r="AC2712" t="s">
        <v>26</v>
      </c>
      <c r="AD2712" t="s">
        <v>26</v>
      </c>
      <c r="AE2712" t="s">
        <v>26</v>
      </c>
      <c r="AF2712" t="s">
        <v>26</v>
      </c>
      <c r="AG2712" t="s">
        <v>26</v>
      </c>
      <c r="AH2712" t="s">
        <v>26</v>
      </c>
      <c r="AI2712" t="s">
        <v>26</v>
      </c>
      <c r="AJ2712" t="s">
        <v>26</v>
      </c>
      <c r="AK2712" t="s">
        <v>26</v>
      </c>
      <c r="AL2712" t="s">
        <v>26</v>
      </c>
      <c r="AM2712" t="s">
        <v>26</v>
      </c>
      <c r="AN2712" t="s">
        <v>26</v>
      </c>
      <c r="AO2712" s="25" t="s">
        <v>28</v>
      </c>
      <c r="AP2712" s="23" t="s">
        <v>29</v>
      </c>
      <c r="AQ2712" s="23" t="s">
        <v>30</v>
      </c>
      <c r="AR2712" s="23" t="s">
        <v>1170</v>
      </c>
      <c r="AS2712" s="25">
        <v>5324469</v>
      </c>
      <c r="AT2712" s="23" t="s">
        <v>22181</v>
      </c>
      <c r="AU2712" t="s">
        <v>25744</v>
      </c>
    </row>
    <row r="2713" spans="1:47" ht="13.15" x14ac:dyDescent="0.4">
      <c r="A2713" s="23" t="s">
        <v>7027</v>
      </c>
      <c r="B2713" t="s">
        <v>26</v>
      </c>
      <c r="C2713" t="s">
        <v>26</v>
      </c>
      <c r="D2713" t="s">
        <v>26</v>
      </c>
      <c r="E2713" t="s">
        <v>26</v>
      </c>
      <c r="F2713" t="s">
        <v>26</v>
      </c>
      <c r="G2713" t="s">
        <v>26</v>
      </c>
      <c r="H2713" t="s">
        <v>26</v>
      </c>
      <c r="I2713" s="24">
        <v>6941</v>
      </c>
      <c r="J2713" s="24">
        <v>6941</v>
      </c>
      <c r="K2713" t="s">
        <v>26</v>
      </c>
      <c r="L2713" s="25" t="s">
        <v>28</v>
      </c>
      <c r="M2713" t="s">
        <v>26</v>
      </c>
      <c r="N2713" t="s">
        <v>26</v>
      </c>
      <c r="O2713" t="s">
        <v>26</v>
      </c>
      <c r="P2713" s="24">
        <v>6941</v>
      </c>
      <c r="Q2713" s="24">
        <v>6941</v>
      </c>
      <c r="R2713" t="s">
        <v>26</v>
      </c>
      <c r="S2713" t="s">
        <v>26</v>
      </c>
      <c r="T2713" t="s">
        <v>26</v>
      </c>
      <c r="U2713" t="s">
        <v>26</v>
      </c>
      <c r="V2713" t="s">
        <v>26</v>
      </c>
      <c r="W2713" s="24">
        <v>6941</v>
      </c>
      <c r="X2713" s="24">
        <v>6941</v>
      </c>
      <c r="Y2713" t="s">
        <v>26</v>
      </c>
      <c r="Z2713" s="24">
        <v>6941</v>
      </c>
      <c r="AA2713" s="24">
        <v>6941</v>
      </c>
      <c r="AB2713" t="s">
        <v>26</v>
      </c>
      <c r="AC2713" t="s">
        <v>26</v>
      </c>
      <c r="AD2713" t="s">
        <v>26</v>
      </c>
      <c r="AE2713" t="s">
        <v>26</v>
      </c>
      <c r="AF2713" t="s">
        <v>26</v>
      </c>
      <c r="AG2713" t="s">
        <v>26</v>
      </c>
      <c r="AH2713" t="s">
        <v>26</v>
      </c>
      <c r="AI2713" t="s">
        <v>26</v>
      </c>
      <c r="AJ2713" t="s">
        <v>26</v>
      </c>
      <c r="AK2713" t="s">
        <v>26</v>
      </c>
      <c r="AL2713" t="s">
        <v>26</v>
      </c>
      <c r="AM2713" t="s">
        <v>26</v>
      </c>
      <c r="AN2713" t="s">
        <v>26</v>
      </c>
      <c r="AO2713" s="25" t="s">
        <v>28</v>
      </c>
      <c r="AP2713" s="23" t="s">
        <v>29</v>
      </c>
      <c r="AQ2713" s="23" t="s">
        <v>30</v>
      </c>
      <c r="AR2713" s="23" t="s">
        <v>46</v>
      </c>
      <c r="AS2713" s="25">
        <v>6009044</v>
      </c>
      <c r="AT2713" t="s">
        <v>26</v>
      </c>
      <c r="AU2713" t="s">
        <v>25745</v>
      </c>
    </row>
    <row r="2714" spans="1:47" ht="26.25" x14ac:dyDescent="0.4">
      <c r="A2714" s="23" t="s">
        <v>7028</v>
      </c>
      <c r="B2714" t="s">
        <v>26</v>
      </c>
      <c r="C2714" s="23" t="s">
        <v>483</v>
      </c>
      <c r="D2714" s="23" t="s">
        <v>22174</v>
      </c>
      <c r="E2714" s="23" t="s">
        <v>60</v>
      </c>
      <c r="F2714" s="25" t="s">
        <v>7029</v>
      </c>
      <c r="G2714" s="25" t="s">
        <v>7030</v>
      </c>
      <c r="H2714" t="s">
        <v>26</v>
      </c>
      <c r="I2714" s="24">
        <v>39173</v>
      </c>
      <c r="J2714" s="25" t="s">
        <v>77</v>
      </c>
      <c r="K2714" t="s">
        <v>26</v>
      </c>
      <c r="L2714" s="25" t="s">
        <v>68</v>
      </c>
      <c r="M2714" s="24">
        <v>39173</v>
      </c>
      <c r="N2714" s="24">
        <v>42826</v>
      </c>
      <c r="O2714" t="s">
        <v>26</v>
      </c>
      <c r="P2714" s="24">
        <v>39173</v>
      </c>
      <c r="Q2714" s="25" t="s">
        <v>77</v>
      </c>
      <c r="R2714" t="s">
        <v>26</v>
      </c>
      <c r="S2714" t="s">
        <v>26</v>
      </c>
      <c r="T2714" t="s">
        <v>26</v>
      </c>
      <c r="U2714" t="s">
        <v>26</v>
      </c>
      <c r="V2714" s="25">
        <v>365</v>
      </c>
      <c r="W2714" s="24">
        <v>39173</v>
      </c>
      <c r="X2714" s="25" t="s">
        <v>77</v>
      </c>
      <c r="Y2714" t="s">
        <v>26</v>
      </c>
      <c r="Z2714" s="24">
        <v>39173</v>
      </c>
      <c r="AA2714" s="25" t="s">
        <v>77</v>
      </c>
      <c r="AB2714" t="s">
        <v>26</v>
      </c>
      <c r="AC2714" s="24">
        <v>39569</v>
      </c>
      <c r="AD2714" s="25" t="s">
        <v>77</v>
      </c>
      <c r="AE2714" t="s">
        <v>26</v>
      </c>
      <c r="AF2714" t="s">
        <v>26</v>
      </c>
      <c r="AG2714" t="s">
        <v>26</v>
      </c>
      <c r="AH2714" t="s">
        <v>26</v>
      </c>
      <c r="AI2714" t="s">
        <v>26</v>
      </c>
      <c r="AJ2714" t="s">
        <v>26</v>
      </c>
      <c r="AK2714" t="s">
        <v>26</v>
      </c>
      <c r="AL2714" t="s">
        <v>26</v>
      </c>
      <c r="AM2714" t="s">
        <v>26</v>
      </c>
      <c r="AN2714" t="s">
        <v>26</v>
      </c>
      <c r="AO2714" s="25" t="s">
        <v>68</v>
      </c>
      <c r="AP2714" s="23" t="s">
        <v>69</v>
      </c>
      <c r="AQ2714" s="23" t="s">
        <v>30</v>
      </c>
      <c r="AR2714" s="23" t="s">
        <v>46</v>
      </c>
      <c r="AS2714" s="25">
        <v>39576</v>
      </c>
      <c r="AT2714" t="s">
        <v>26</v>
      </c>
      <c r="AU2714" t="s">
        <v>25746</v>
      </c>
    </row>
    <row r="2715" spans="1:47" ht="26.25" x14ac:dyDescent="0.4">
      <c r="A2715" s="23" t="s">
        <v>7031</v>
      </c>
      <c r="B2715" t="s">
        <v>26</v>
      </c>
      <c r="C2715" s="23" t="s">
        <v>80</v>
      </c>
      <c r="D2715" s="23" t="s">
        <v>24008</v>
      </c>
      <c r="E2715" s="23" t="s">
        <v>60</v>
      </c>
      <c r="F2715" s="25" t="s">
        <v>7032</v>
      </c>
      <c r="G2715" s="25" t="s">
        <v>7033</v>
      </c>
      <c r="H2715" t="s">
        <v>26</v>
      </c>
      <c r="I2715" t="s">
        <v>26</v>
      </c>
      <c r="J2715" t="s">
        <v>26</v>
      </c>
      <c r="K2715" t="s">
        <v>26</v>
      </c>
      <c r="L2715" s="25" t="s">
        <v>68</v>
      </c>
      <c r="M2715" t="s">
        <v>26</v>
      </c>
      <c r="N2715" t="s">
        <v>26</v>
      </c>
      <c r="O2715" t="s">
        <v>26</v>
      </c>
      <c r="P2715" t="s">
        <v>26</v>
      </c>
      <c r="Q2715" t="s">
        <v>26</v>
      </c>
      <c r="R2715" t="s">
        <v>26</v>
      </c>
      <c r="S2715" t="s">
        <v>26</v>
      </c>
      <c r="T2715" t="s">
        <v>26</v>
      </c>
      <c r="U2715" t="s">
        <v>26</v>
      </c>
      <c r="V2715" t="s">
        <v>26</v>
      </c>
      <c r="W2715" s="24">
        <v>42736</v>
      </c>
      <c r="X2715" s="25" t="s">
        <v>77</v>
      </c>
      <c r="Y2715" t="s">
        <v>26</v>
      </c>
      <c r="Z2715" s="24">
        <v>42736</v>
      </c>
      <c r="AA2715" s="25" t="s">
        <v>77</v>
      </c>
      <c r="AB2715" t="s">
        <v>26</v>
      </c>
      <c r="AC2715" s="24">
        <v>42736</v>
      </c>
      <c r="AD2715" s="25" t="s">
        <v>77</v>
      </c>
      <c r="AE2715" t="s">
        <v>26</v>
      </c>
      <c r="AF2715" t="s">
        <v>26</v>
      </c>
      <c r="AG2715" t="s">
        <v>26</v>
      </c>
      <c r="AH2715" t="s">
        <v>26</v>
      </c>
      <c r="AI2715" t="s">
        <v>26</v>
      </c>
      <c r="AJ2715" t="s">
        <v>26</v>
      </c>
      <c r="AK2715" t="s">
        <v>26</v>
      </c>
      <c r="AL2715" t="s">
        <v>26</v>
      </c>
      <c r="AM2715" t="s">
        <v>26</v>
      </c>
      <c r="AN2715" t="s">
        <v>26</v>
      </c>
      <c r="AO2715" s="25" t="s">
        <v>68</v>
      </c>
      <c r="AP2715" s="23" t="s">
        <v>69</v>
      </c>
      <c r="AQ2715" s="23" t="s">
        <v>30</v>
      </c>
      <c r="AR2715" s="23" t="s">
        <v>203</v>
      </c>
      <c r="AS2715" s="25">
        <v>53184</v>
      </c>
      <c r="AT2715" t="s">
        <v>26</v>
      </c>
      <c r="AU2715" t="s">
        <v>25747</v>
      </c>
    </row>
    <row r="2716" spans="1:47" ht="26.25" x14ac:dyDescent="0.4">
      <c r="A2716" s="23" t="s">
        <v>7034</v>
      </c>
      <c r="B2716" t="s">
        <v>26</v>
      </c>
      <c r="C2716" s="23" t="s">
        <v>181</v>
      </c>
      <c r="D2716" s="23" t="s">
        <v>22174</v>
      </c>
      <c r="E2716" s="23" t="s">
        <v>60</v>
      </c>
      <c r="F2716" t="s">
        <v>26</v>
      </c>
      <c r="G2716" s="25" t="s">
        <v>7035</v>
      </c>
      <c r="H2716" t="s">
        <v>26</v>
      </c>
      <c r="I2716" s="24">
        <v>39448</v>
      </c>
      <c r="J2716" s="25" t="s">
        <v>77</v>
      </c>
      <c r="K2716" t="s">
        <v>26</v>
      </c>
      <c r="L2716" s="25" t="s">
        <v>68</v>
      </c>
      <c r="M2716" t="s">
        <v>26</v>
      </c>
      <c r="N2716" t="s">
        <v>26</v>
      </c>
      <c r="O2716" t="s">
        <v>26</v>
      </c>
      <c r="P2716" s="24">
        <v>39448</v>
      </c>
      <c r="Q2716" s="24">
        <v>43101</v>
      </c>
      <c r="R2716" t="s">
        <v>26</v>
      </c>
      <c r="S2716" s="24">
        <v>43466</v>
      </c>
      <c r="T2716" s="25" t="s">
        <v>77</v>
      </c>
      <c r="U2716" t="s">
        <v>26</v>
      </c>
      <c r="V2716" t="s">
        <v>26</v>
      </c>
      <c r="W2716" s="24">
        <v>39448</v>
      </c>
      <c r="X2716" s="25" t="s">
        <v>77</v>
      </c>
      <c r="Y2716" t="s">
        <v>26</v>
      </c>
      <c r="Z2716" s="24">
        <v>39448</v>
      </c>
      <c r="AA2716" s="25" t="s">
        <v>77</v>
      </c>
      <c r="AB2716" t="s">
        <v>26</v>
      </c>
      <c r="AC2716" s="24">
        <v>39448</v>
      </c>
      <c r="AD2716" s="25" t="s">
        <v>77</v>
      </c>
      <c r="AE2716" t="s">
        <v>26</v>
      </c>
      <c r="AF2716" t="s">
        <v>26</v>
      </c>
      <c r="AG2716" t="s">
        <v>26</v>
      </c>
      <c r="AH2716" t="s">
        <v>26</v>
      </c>
      <c r="AI2716" t="s">
        <v>26</v>
      </c>
      <c r="AJ2716" t="s">
        <v>26</v>
      </c>
      <c r="AK2716" t="s">
        <v>26</v>
      </c>
      <c r="AL2716" t="s">
        <v>26</v>
      </c>
      <c r="AM2716" t="s">
        <v>26</v>
      </c>
      <c r="AN2716" t="s">
        <v>26</v>
      </c>
      <c r="AO2716" s="25" t="s">
        <v>68</v>
      </c>
      <c r="AP2716" s="23" t="s">
        <v>69</v>
      </c>
      <c r="AQ2716" s="23" t="s">
        <v>30</v>
      </c>
      <c r="AR2716" s="23" t="s">
        <v>203</v>
      </c>
      <c r="AS2716" s="25">
        <v>1086353</v>
      </c>
      <c r="AT2716" t="s">
        <v>26</v>
      </c>
      <c r="AU2716" t="s">
        <v>25748</v>
      </c>
    </row>
    <row r="2717" spans="1:47" ht="26.25" x14ac:dyDescent="0.4">
      <c r="A2717" s="23" t="s">
        <v>7036</v>
      </c>
      <c r="B2717" t="s">
        <v>26</v>
      </c>
      <c r="C2717" s="23" t="s">
        <v>213</v>
      </c>
      <c r="D2717" s="23" t="s">
        <v>22174</v>
      </c>
      <c r="E2717" s="23" t="s">
        <v>60</v>
      </c>
      <c r="F2717" t="s">
        <v>26</v>
      </c>
      <c r="G2717" s="25" t="s">
        <v>7037</v>
      </c>
      <c r="H2717" t="s">
        <v>26</v>
      </c>
      <c r="I2717" s="24">
        <v>39814</v>
      </c>
      <c r="J2717" s="25" t="s">
        <v>77</v>
      </c>
      <c r="K2717" t="s">
        <v>26</v>
      </c>
      <c r="L2717" s="25" t="s">
        <v>68</v>
      </c>
      <c r="M2717" t="s">
        <v>26</v>
      </c>
      <c r="N2717" t="s">
        <v>26</v>
      </c>
      <c r="O2717" t="s">
        <v>26</v>
      </c>
      <c r="P2717" s="24">
        <v>39814</v>
      </c>
      <c r="Q2717" s="25" t="s">
        <v>77</v>
      </c>
      <c r="R2717" t="s">
        <v>26</v>
      </c>
      <c r="S2717" t="s">
        <v>26</v>
      </c>
      <c r="T2717" t="s">
        <v>26</v>
      </c>
      <c r="U2717" t="s">
        <v>26</v>
      </c>
      <c r="V2717" t="s">
        <v>26</v>
      </c>
      <c r="W2717" s="24">
        <v>39814</v>
      </c>
      <c r="X2717" s="25" t="s">
        <v>77</v>
      </c>
      <c r="Y2717" t="s">
        <v>26</v>
      </c>
      <c r="Z2717" s="24">
        <v>39814</v>
      </c>
      <c r="AA2717" s="25" t="s">
        <v>77</v>
      </c>
      <c r="AB2717" t="s">
        <v>26</v>
      </c>
      <c r="AC2717" s="24">
        <v>39814</v>
      </c>
      <c r="AD2717" s="25" t="s">
        <v>77</v>
      </c>
      <c r="AE2717" t="s">
        <v>26</v>
      </c>
      <c r="AF2717" t="s">
        <v>26</v>
      </c>
      <c r="AG2717" t="s">
        <v>26</v>
      </c>
      <c r="AH2717" t="s">
        <v>26</v>
      </c>
      <c r="AI2717" t="s">
        <v>26</v>
      </c>
      <c r="AJ2717" t="s">
        <v>26</v>
      </c>
      <c r="AK2717" t="s">
        <v>26</v>
      </c>
      <c r="AL2717" t="s">
        <v>26</v>
      </c>
      <c r="AM2717" t="s">
        <v>26</v>
      </c>
      <c r="AN2717" t="s">
        <v>26</v>
      </c>
      <c r="AO2717" s="25" t="s">
        <v>68</v>
      </c>
      <c r="AP2717" s="23" t="s">
        <v>69</v>
      </c>
      <c r="AQ2717" s="23" t="s">
        <v>30</v>
      </c>
      <c r="AR2717" s="23" t="s">
        <v>203</v>
      </c>
      <c r="AS2717" s="25">
        <v>54720</v>
      </c>
      <c r="AT2717" t="s">
        <v>26</v>
      </c>
      <c r="AU2717" t="s">
        <v>25749</v>
      </c>
    </row>
    <row r="2718" spans="1:47" ht="26.25" x14ac:dyDescent="0.4">
      <c r="A2718" s="23" t="s">
        <v>7038</v>
      </c>
      <c r="B2718" t="s">
        <v>26</v>
      </c>
      <c r="C2718" s="23" t="s">
        <v>80</v>
      </c>
      <c r="D2718" s="23" t="s">
        <v>23269</v>
      </c>
      <c r="E2718" s="23" t="s">
        <v>60</v>
      </c>
      <c r="F2718" t="s">
        <v>26</v>
      </c>
      <c r="G2718" s="25" t="s">
        <v>7039</v>
      </c>
      <c r="H2718" t="s">
        <v>26</v>
      </c>
      <c r="I2718" s="24">
        <v>40179</v>
      </c>
      <c r="J2718" s="25" t="s">
        <v>77</v>
      </c>
      <c r="K2718" t="s">
        <v>26</v>
      </c>
      <c r="L2718" s="25" t="s">
        <v>68</v>
      </c>
      <c r="M2718" s="24">
        <v>41640</v>
      </c>
      <c r="N2718" s="25" t="s">
        <v>77</v>
      </c>
      <c r="O2718" t="s">
        <v>26</v>
      </c>
      <c r="P2718" s="24">
        <v>40179</v>
      </c>
      <c r="Q2718" s="25" t="s">
        <v>77</v>
      </c>
      <c r="R2718" t="s">
        <v>26</v>
      </c>
      <c r="S2718" t="s">
        <v>26</v>
      </c>
      <c r="T2718" t="s">
        <v>26</v>
      </c>
      <c r="U2718" t="s">
        <v>26</v>
      </c>
      <c r="V2718" t="s">
        <v>26</v>
      </c>
      <c r="W2718" s="24">
        <v>40179</v>
      </c>
      <c r="X2718" s="25" t="s">
        <v>77</v>
      </c>
      <c r="Y2718" t="s">
        <v>26</v>
      </c>
      <c r="Z2718" s="24">
        <v>40179</v>
      </c>
      <c r="AA2718" s="25" t="s">
        <v>77</v>
      </c>
      <c r="AB2718" t="s">
        <v>26</v>
      </c>
      <c r="AC2718" s="24">
        <v>40179</v>
      </c>
      <c r="AD2718" s="25" t="s">
        <v>77</v>
      </c>
      <c r="AE2718" t="s">
        <v>26</v>
      </c>
      <c r="AF2718" t="s">
        <v>26</v>
      </c>
      <c r="AG2718" t="s">
        <v>26</v>
      </c>
      <c r="AH2718" t="s">
        <v>26</v>
      </c>
      <c r="AI2718" t="s">
        <v>26</v>
      </c>
      <c r="AJ2718" t="s">
        <v>26</v>
      </c>
      <c r="AK2718" t="s">
        <v>26</v>
      </c>
      <c r="AL2718" t="s">
        <v>26</v>
      </c>
      <c r="AM2718" t="s">
        <v>26</v>
      </c>
      <c r="AN2718" t="s">
        <v>26</v>
      </c>
      <c r="AO2718" s="25" t="s">
        <v>68</v>
      </c>
      <c r="AP2718" s="23" t="s">
        <v>69</v>
      </c>
      <c r="AQ2718" s="23" t="s">
        <v>30</v>
      </c>
      <c r="AR2718" s="23" t="s">
        <v>203</v>
      </c>
      <c r="AS2718" s="25">
        <v>3933274</v>
      </c>
      <c r="AT2718" t="s">
        <v>26</v>
      </c>
      <c r="AU2718" t="s">
        <v>25750</v>
      </c>
    </row>
    <row r="2719" spans="1:47" ht="26.25" x14ac:dyDescent="0.4">
      <c r="A2719" s="23" t="s">
        <v>7040</v>
      </c>
      <c r="B2719" t="s">
        <v>26</v>
      </c>
      <c r="C2719" s="23" t="s">
        <v>80</v>
      </c>
      <c r="D2719" s="23" t="s">
        <v>22190</v>
      </c>
      <c r="E2719" s="23" t="s">
        <v>60</v>
      </c>
      <c r="F2719" s="25" t="s">
        <v>7041</v>
      </c>
      <c r="G2719" s="25" t="s">
        <v>7042</v>
      </c>
      <c r="H2719" t="s">
        <v>26</v>
      </c>
      <c r="I2719" t="s">
        <v>26</v>
      </c>
      <c r="J2719" t="s">
        <v>26</v>
      </c>
      <c r="K2719" t="s">
        <v>26</v>
      </c>
      <c r="L2719" s="25" t="s">
        <v>68</v>
      </c>
      <c r="M2719" t="s">
        <v>26</v>
      </c>
      <c r="N2719" t="s">
        <v>26</v>
      </c>
      <c r="O2719" t="s">
        <v>26</v>
      </c>
      <c r="P2719" t="s">
        <v>26</v>
      </c>
      <c r="Q2719" t="s">
        <v>26</v>
      </c>
      <c r="R2719" t="s">
        <v>26</v>
      </c>
      <c r="S2719" t="s">
        <v>26</v>
      </c>
      <c r="T2719" t="s">
        <v>26</v>
      </c>
      <c r="U2719" t="s">
        <v>26</v>
      </c>
      <c r="V2719" t="s">
        <v>26</v>
      </c>
      <c r="W2719" s="24">
        <v>40179</v>
      </c>
      <c r="X2719" s="25" t="s">
        <v>77</v>
      </c>
      <c r="Y2719" t="s">
        <v>26</v>
      </c>
      <c r="Z2719" s="24">
        <v>40179</v>
      </c>
      <c r="AA2719" s="25" t="s">
        <v>77</v>
      </c>
      <c r="AB2719" t="s">
        <v>26</v>
      </c>
      <c r="AC2719" s="24">
        <v>40179</v>
      </c>
      <c r="AD2719" s="25" t="s">
        <v>77</v>
      </c>
      <c r="AE2719" t="s">
        <v>26</v>
      </c>
      <c r="AF2719" t="s">
        <v>26</v>
      </c>
      <c r="AG2719" t="s">
        <v>26</v>
      </c>
      <c r="AH2719" t="s">
        <v>26</v>
      </c>
      <c r="AI2719" t="s">
        <v>26</v>
      </c>
      <c r="AJ2719" t="s">
        <v>26</v>
      </c>
      <c r="AK2719" t="s">
        <v>26</v>
      </c>
      <c r="AL2719" t="s">
        <v>26</v>
      </c>
      <c r="AM2719" t="s">
        <v>26</v>
      </c>
      <c r="AN2719" t="s">
        <v>26</v>
      </c>
      <c r="AO2719" s="25" t="s">
        <v>68</v>
      </c>
      <c r="AP2719" s="23" t="s">
        <v>69</v>
      </c>
      <c r="AQ2719" s="23" t="s">
        <v>30</v>
      </c>
      <c r="AR2719" s="23" t="s">
        <v>203</v>
      </c>
      <c r="AS2719" s="25">
        <v>53065</v>
      </c>
      <c r="AT2719" t="s">
        <v>26</v>
      </c>
      <c r="AU2719" t="s">
        <v>25751</v>
      </c>
    </row>
    <row r="2720" spans="1:47" ht="13.15" x14ac:dyDescent="0.4">
      <c r="A2720" s="23" t="s">
        <v>7043</v>
      </c>
      <c r="B2720" t="s">
        <v>26</v>
      </c>
      <c r="C2720" s="23" t="s">
        <v>7044</v>
      </c>
      <c r="D2720" s="23" t="s">
        <v>22352</v>
      </c>
      <c r="E2720" s="23" t="s">
        <v>42</v>
      </c>
      <c r="F2720" s="25" t="s">
        <v>7045</v>
      </c>
      <c r="G2720" t="s">
        <v>26</v>
      </c>
      <c r="H2720" t="s">
        <v>26</v>
      </c>
      <c r="I2720" t="s">
        <v>26</v>
      </c>
      <c r="J2720" t="s">
        <v>26</v>
      </c>
      <c r="K2720" t="s">
        <v>26</v>
      </c>
      <c r="L2720" s="25" t="s">
        <v>28</v>
      </c>
      <c r="M2720" t="s">
        <v>26</v>
      </c>
      <c r="N2720" t="s">
        <v>26</v>
      </c>
      <c r="O2720" t="s">
        <v>26</v>
      </c>
      <c r="P2720" t="s">
        <v>26</v>
      </c>
      <c r="Q2720" t="s">
        <v>26</v>
      </c>
      <c r="R2720" t="s">
        <v>26</v>
      </c>
      <c r="S2720" t="s">
        <v>26</v>
      </c>
      <c r="T2720" t="s">
        <v>26</v>
      </c>
      <c r="U2720" t="s">
        <v>26</v>
      </c>
      <c r="V2720" t="s">
        <v>26</v>
      </c>
      <c r="W2720" s="24">
        <v>32051</v>
      </c>
      <c r="X2720" s="24">
        <v>36526</v>
      </c>
      <c r="Y2720" t="s">
        <v>26</v>
      </c>
      <c r="Z2720" s="24">
        <v>32051</v>
      </c>
      <c r="AA2720" s="24">
        <v>36526</v>
      </c>
      <c r="AB2720" t="s">
        <v>26</v>
      </c>
      <c r="AC2720" s="24">
        <v>32051</v>
      </c>
      <c r="AD2720" s="24">
        <v>36526</v>
      </c>
      <c r="AE2720" t="s">
        <v>26</v>
      </c>
      <c r="AF2720" t="s">
        <v>26</v>
      </c>
      <c r="AG2720" t="s">
        <v>26</v>
      </c>
      <c r="AH2720" t="s">
        <v>26</v>
      </c>
      <c r="AI2720" t="s">
        <v>26</v>
      </c>
      <c r="AJ2720" t="s">
        <v>26</v>
      </c>
      <c r="AK2720" t="s">
        <v>26</v>
      </c>
      <c r="AL2720" t="s">
        <v>26</v>
      </c>
      <c r="AM2720" t="s">
        <v>26</v>
      </c>
      <c r="AN2720" t="s">
        <v>26</v>
      </c>
      <c r="AO2720" s="25" t="s">
        <v>28</v>
      </c>
      <c r="AP2720" s="23" t="s">
        <v>112</v>
      </c>
      <c r="AQ2720" s="23" t="s">
        <v>30</v>
      </c>
      <c r="AR2720" s="23" t="s">
        <v>1200</v>
      </c>
      <c r="AS2720" s="25">
        <v>36002</v>
      </c>
      <c r="AT2720" t="s">
        <v>26</v>
      </c>
      <c r="AU2720" t="s">
        <v>25752</v>
      </c>
    </row>
    <row r="2721" spans="1:47" ht="13.15" x14ac:dyDescent="0.4">
      <c r="A2721" s="23" t="s">
        <v>7046</v>
      </c>
      <c r="B2721" t="s">
        <v>26</v>
      </c>
      <c r="C2721" s="23" t="s">
        <v>371</v>
      </c>
      <c r="D2721" s="23" t="s">
        <v>22179</v>
      </c>
      <c r="E2721" s="23" t="s">
        <v>42</v>
      </c>
      <c r="F2721" t="s">
        <v>26</v>
      </c>
      <c r="G2721" t="s">
        <v>26</v>
      </c>
      <c r="H2721" t="s">
        <v>26</v>
      </c>
      <c r="I2721" t="s">
        <v>26</v>
      </c>
      <c r="J2721" t="s">
        <v>26</v>
      </c>
      <c r="K2721" t="s">
        <v>26</v>
      </c>
      <c r="L2721" s="25" t="s">
        <v>28</v>
      </c>
      <c r="M2721" t="s">
        <v>26</v>
      </c>
      <c r="N2721" t="s">
        <v>26</v>
      </c>
      <c r="O2721" t="s">
        <v>26</v>
      </c>
      <c r="P2721" t="s">
        <v>26</v>
      </c>
      <c r="Q2721" t="s">
        <v>26</v>
      </c>
      <c r="R2721" t="s">
        <v>26</v>
      </c>
      <c r="S2721" t="s">
        <v>26</v>
      </c>
      <c r="T2721" t="s">
        <v>26</v>
      </c>
      <c r="U2721" t="s">
        <v>26</v>
      </c>
      <c r="V2721" t="s">
        <v>26</v>
      </c>
      <c r="W2721" s="24">
        <v>37257</v>
      </c>
      <c r="X2721" s="24">
        <v>37257</v>
      </c>
      <c r="Y2721" t="s">
        <v>26</v>
      </c>
      <c r="Z2721" s="24">
        <v>37257</v>
      </c>
      <c r="AA2721" s="24">
        <v>37257</v>
      </c>
      <c r="AB2721" t="s">
        <v>26</v>
      </c>
      <c r="AC2721" t="s">
        <v>26</v>
      </c>
      <c r="AD2721" t="s">
        <v>26</v>
      </c>
      <c r="AE2721" t="s">
        <v>26</v>
      </c>
      <c r="AF2721" t="s">
        <v>26</v>
      </c>
      <c r="AG2721" t="s">
        <v>26</v>
      </c>
      <c r="AH2721" t="s">
        <v>26</v>
      </c>
      <c r="AI2721" t="s">
        <v>26</v>
      </c>
      <c r="AJ2721" t="s">
        <v>26</v>
      </c>
      <c r="AK2721" t="s">
        <v>26</v>
      </c>
      <c r="AL2721" t="s">
        <v>26</v>
      </c>
      <c r="AM2721" t="s">
        <v>26</v>
      </c>
      <c r="AN2721" t="s">
        <v>26</v>
      </c>
      <c r="AO2721" s="25" t="s">
        <v>28</v>
      </c>
      <c r="AP2721" s="23" t="s">
        <v>29</v>
      </c>
      <c r="AQ2721" s="23" t="s">
        <v>30</v>
      </c>
      <c r="AR2721" s="23" t="s">
        <v>7047</v>
      </c>
      <c r="AS2721" s="25">
        <v>5485079</v>
      </c>
      <c r="AT2721" s="23" t="s">
        <v>22181</v>
      </c>
      <c r="AU2721" t="s">
        <v>25753</v>
      </c>
    </row>
    <row r="2722" spans="1:47" ht="26.25" x14ac:dyDescent="0.4">
      <c r="A2722" s="23" t="s">
        <v>7048</v>
      </c>
      <c r="B2722" t="s">
        <v>26</v>
      </c>
      <c r="C2722" s="23" t="s">
        <v>172</v>
      </c>
      <c r="D2722" s="23" t="s">
        <v>22254</v>
      </c>
      <c r="E2722" s="23" t="s">
        <v>60</v>
      </c>
      <c r="F2722" s="25" t="s">
        <v>7049</v>
      </c>
      <c r="G2722" s="25" t="s">
        <v>7050</v>
      </c>
      <c r="H2722" t="s">
        <v>26</v>
      </c>
      <c r="I2722" s="24">
        <v>34425</v>
      </c>
      <c r="J2722" s="24">
        <v>40513</v>
      </c>
      <c r="K2722" t="s">
        <v>26</v>
      </c>
      <c r="L2722" s="25" t="s">
        <v>68</v>
      </c>
      <c r="M2722" s="24">
        <v>34425</v>
      </c>
      <c r="N2722" s="24">
        <v>40269</v>
      </c>
      <c r="O2722" t="s">
        <v>26</v>
      </c>
      <c r="P2722" s="24">
        <v>35034</v>
      </c>
      <c r="Q2722" s="24">
        <v>40513</v>
      </c>
      <c r="R2722" t="s">
        <v>26</v>
      </c>
      <c r="S2722" t="s">
        <v>26</v>
      </c>
      <c r="T2722" t="s">
        <v>26</v>
      </c>
      <c r="U2722" t="s">
        <v>26</v>
      </c>
      <c r="V2722" t="s">
        <v>26</v>
      </c>
      <c r="W2722" s="24">
        <v>32599</v>
      </c>
      <c r="X2722" s="25" t="s">
        <v>77</v>
      </c>
      <c r="Y2722" t="s">
        <v>26</v>
      </c>
      <c r="Z2722" s="24">
        <v>32599</v>
      </c>
      <c r="AA2722" s="25" t="s">
        <v>77</v>
      </c>
      <c r="AB2722" t="s">
        <v>26</v>
      </c>
      <c r="AC2722" s="24">
        <v>32599</v>
      </c>
      <c r="AD2722" s="25" t="s">
        <v>77</v>
      </c>
      <c r="AE2722" t="s">
        <v>26</v>
      </c>
      <c r="AF2722" t="s">
        <v>26</v>
      </c>
      <c r="AG2722" t="s">
        <v>26</v>
      </c>
      <c r="AH2722" t="s">
        <v>26</v>
      </c>
      <c r="AI2722" t="s">
        <v>26</v>
      </c>
      <c r="AJ2722" t="s">
        <v>26</v>
      </c>
      <c r="AK2722" t="s">
        <v>26</v>
      </c>
      <c r="AL2722" t="s">
        <v>26</v>
      </c>
      <c r="AM2722" t="s">
        <v>26</v>
      </c>
      <c r="AN2722" t="s">
        <v>26</v>
      </c>
      <c r="AO2722" s="25" t="s">
        <v>68</v>
      </c>
      <c r="AP2722" s="23" t="s">
        <v>69</v>
      </c>
      <c r="AQ2722" s="23" t="s">
        <v>30</v>
      </c>
      <c r="AR2722" s="23" t="s">
        <v>71</v>
      </c>
      <c r="AS2722" s="25">
        <v>6058</v>
      </c>
      <c r="AT2722" t="s">
        <v>26</v>
      </c>
      <c r="AU2722" t="s">
        <v>25754</v>
      </c>
    </row>
    <row r="2723" spans="1:47" ht="26.25" x14ac:dyDescent="0.4">
      <c r="A2723" s="23" t="s">
        <v>7051</v>
      </c>
      <c r="B2723" t="s">
        <v>26</v>
      </c>
      <c r="C2723" s="23" t="s">
        <v>25755</v>
      </c>
      <c r="D2723" t="s">
        <v>26</v>
      </c>
      <c r="E2723" s="23" t="s">
        <v>42</v>
      </c>
      <c r="F2723" t="s">
        <v>26</v>
      </c>
      <c r="G2723" t="s">
        <v>26</v>
      </c>
      <c r="H2723" t="s">
        <v>26</v>
      </c>
      <c r="I2723" s="24">
        <v>42736</v>
      </c>
      <c r="J2723" s="24">
        <v>42736</v>
      </c>
      <c r="K2723" t="s">
        <v>26</v>
      </c>
      <c r="L2723" s="25" t="s">
        <v>28</v>
      </c>
      <c r="M2723" s="24">
        <v>42736</v>
      </c>
      <c r="N2723" s="24">
        <v>42736</v>
      </c>
      <c r="O2723" t="s">
        <v>26</v>
      </c>
      <c r="P2723" t="s">
        <v>26</v>
      </c>
      <c r="Q2723" t="s">
        <v>26</v>
      </c>
      <c r="R2723" t="s">
        <v>26</v>
      </c>
      <c r="S2723" s="24">
        <v>42736</v>
      </c>
      <c r="T2723" s="24">
        <v>42736</v>
      </c>
      <c r="U2723" t="s">
        <v>26</v>
      </c>
      <c r="V2723" t="s">
        <v>26</v>
      </c>
      <c r="W2723" s="24">
        <v>42736</v>
      </c>
      <c r="X2723" s="24">
        <v>42736</v>
      </c>
      <c r="Y2723" t="s">
        <v>26</v>
      </c>
      <c r="Z2723" s="24">
        <v>42736</v>
      </c>
      <c r="AA2723" s="24">
        <v>42736</v>
      </c>
      <c r="AB2723" t="s">
        <v>26</v>
      </c>
      <c r="AC2723" s="24">
        <v>42736</v>
      </c>
      <c r="AD2723" s="24">
        <v>42736</v>
      </c>
      <c r="AE2723" t="s">
        <v>26</v>
      </c>
      <c r="AF2723" s="24">
        <v>42736</v>
      </c>
      <c r="AG2723" s="24">
        <v>42736</v>
      </c>
      <c r="AH2723" t="s">
        <v>26</v>
      </c>
      <c r="AI2723" s="24">
        <v>42736</v>
      </c>
      <c r="AJ2723" s="24">
        <v>42736</v>
      </c>
      <c r="AK2723" t="s">
        <v>26</v>
      </c>
      <c r="AL2723" t="s">
        <v>26</v>
      </c>
      <c r="AM2723" t="s">
        <v>26</v>
      </c>
      <c r="AN2723" t="s">
        <v>26</v>
      </c>
      <c r="AO2723" s="25" t="s">
        <v>28</v>
      </c>
      <c r="AP2723" s="23" t="s">
        <v>43</v>
      </c>
      <c r="AQ2723" s="23" t="s">
        <v>30</v>
      </c>
      <c r="AR2723" s="23" t="s">
        <v>44</v>
      </c>
      <c r="AS2723" s="25">
        <v>5256694</v>
      </c>
      <c r="AT2723" t="s">
        <v>26</v>
      </c>
      <c r="AU2723" t="s">
        <v>25756</v>
      </c>
    </row>
    <row r="2724" spans="1:47" ht="26.25" x14ac:dyDescent="0.4">
      <c r="A2724" s="23" t="s">
        <v>7052</v>
      </c>
      <c r="B2724" t="s">
        <v>26</v>
      </c>
      <c r="C2724" s="23" t="s">
        <v>7053</v>
      </c>
      <c r="D2724" s="23" t="s">
        <v>24979</v>
      </c>
      <c r="E2724" s="23" t="s">
        <v>7054</v>
      </c>
      <c r="F2724" s="25" t="s">
        <v>7055</v>
      </c>
      <c r="G2724" s="25" t="s">
        <v>7056</v>
      </c>
      <c r="H2724" t="s">
        <v>26</v>
      </c>
      <c r="I2724" t="s">
        <v>26</v>
      </c>
      <c r="J2724" t="s">
        <v>26</v>
      </c>
      <c r="K2724" t="s">
        <v>26</v>
      </c>
      <c r="L2724" s="25" t="s">
        <v>68</v>
      </c>
      <c r="M2724" t="s">
        <v>26</v>
      </c>
      <c r="N2724" t="s">
        <v>26</v>
      </c>
      <c r="O2724" t="s">
        <v>26</v>
      </c>
      <c r="P2724" t="s">
        <v>26</v>
      </c>
      <c r="Q2724" t="s">
        <v>26</v>
      </c>
      <c r="R2724" t="s">
        <v>26</v>
      </c>
      <c r="S2724" t="s">
        <v>26</v>
      </c>
      <c r="T2724" t="s">
        <v>26</v>
      </c>
      <c r="U2724" t="s">
        <v>26</v>
      </c>
      <c r="V2724" t="s">
        <v>26</v>
      </c>
      <c r="W2724" s="24">
        <v>42370</v>
      </c>
      <c r="X2724" s="25" t="s">
        <v>77</v>
      </c>
      <c r="Y2724" t="s">
        <v>26</v>
      </c>
      <c r="Z2724" s="24">
        <v>42370</v>
      </c>
      <c r="AA2724" s="25" t="s">
        <v>77</v>
      </c>
      <c r="AB2724" t="s">
        <v>26</v>
      </c>
      <c r="AC2724" s="24">
        <v>42370</v>
      </c>
      <c r="AD2724" s="25" t="s">
        <v>77</v>
      </c>
      <c r="AE2724" t="s">
        <v>26</v>
      </c>
      <c r="AF2724" t="s">
        <v>26</v>
      </c>
      <c r="AG2724" t="s">
        <v>26</v>
      </c>
      <c r="AH2724" t="s">
        <v>26</v>
      </c>
      <c r="AI2724" t="s">
        <v>26</v>
      </c>
      <c r="AJ2724" t="s">
        <v>26</v>
      </c>
      <c r="AK2724" t="s">
        <v>26</v>
      </c>
      <c r="AL2724" t="s">
        <v>26</v>
      </c>
      <c r="AM2724" t="s">
        <v>26</v>
      </c>
      <c r="AN2724" t="s">
        <v>26</v>
      </c>
      <c r="AO2724" s="25" t="s">
        <v>68</v>
      </c>
      <c r="AP2724" s="23" t="s">
        <v>69</v>
      </c>
      <c r="AQ2724" s="23" t="s">
        <v>7057</v>
      </c>
      <c r="AR2724" s="23" t="s">
        <v>1368</v>
      </c>
      <c r="AS2724" s="25">
        <v>2048389</v>
      </c>
      <c r="AT2724" t="s">
        <v>26</v>
      </c>
      <c r="AU2724" t="s">
        <v>25757</v>
      </c>
    </row>
    <row r="2725" spans="1:47" ht="26.25" x14ac:dyDescent="0.4">
      <c r="A2725" s="23" t="s">
        <v>7058</v>
      </c>
      <c r="B2725" t="s">
        <v>26</v>
      </c>
      <c r="C2725" s="23" t="s">
        <v>172</v>
      </c>
      <c r="D2725" s="23" t="s">
        <v>22242</v>
      </c>
      <c r="E2725" s="23" t="s">
        <v>60</v>
      </c>
      <c r="F2725" s="25" t="s">
        <v>7059</v>
      </c>
      <c r="G2725" s="25" t="s">
        <v>7060</v>
      </c>
      <c r="H2725" t="s">
        <v>26</v>
      </c>
      <c r="I2725" t="s">
        <v>26</v>
      </c>
      <c r="J2725" t="s">
        <v>26</v>
      </c>
      <c r="K2725" t="s">
        <v>26</v>
      </c>
      <c r="L2725" s="25" t="s">
        <v>68</v>
      </c>
      <c r="M2725" t="s">
        <v>26</v>
      </c>
      <c r="N2725" t="s">
        <v>26</v>
      </c>
      <c r="O2725" t="s">
        <v>26</v>
      </c>
      <c r="P2725" t="s">
        <v>26</v>
      </c>
      <c r="Q2725" t="s">
        <v>26</v>
      </c>
      <c r="R2725" t="s">
        <v>26</v>
      </c>
      <c r="S2725" t="s">
        <v>26</v>
      </c>
      <c r="T2725" t="s">
        <v>26</v>
      </c>
      <c r="U2725" t="s">
        <v>26</v>
      </c>
      <c r="V2725" t="s">
        <v>26</v>
      </c>
      <c r="W2725" s="24">
        <v>38292</v>
      </c>
      <c r="X2725" s="25" t="s">
        <v>77</v>
      </c>
      <c r="Y2725" t="s">
        <v>26</v>
      </c>
      <c r="Z2725" s="24">
        <v>38292</v>
      </c>
      <c r="AA2725" s="25" t="s">
        <v>77</v>
      </c>
      <c r="AB2725" t="s">
        <v>26</v>
      </c>
      <c r="AC2725" s="24">
        <v>38292</v>
      </c>
      <c r="AD2725" s="25" t="s">
        <v>77</v>
      </c>
      <c r="AE2725" t="s">
        <v>26</v>
      </c>
      <c r="AF2725" t="s">
        <v>26</v>
      </c>
      <c r="AG2725" t="s">
        <v>26</v>
      </c>
      <c r="AH2725" t="s">
        <v>26</v>
      </c>
      <c r="AI2725" t="s">
        <v>26</v>
      </c>
      <c r="AJ2725" t="s">
        <v>26</v>
      </c>
      <c r="AK2725" t="s">
        <v>26</v>
      </c>
      <c r="AL2725" t="s">
        <v>26</v>
      </c>
      <c r="AM2725" t="s">
        <v>26</v>
      </c>
      <c r="AN2725" t="s">
        <v>26</v>
      </c>
      <c r="AO2725" s="25" t="s">
        <v>68</v>
      </c>
      <c r="AP2725" s="23" t="s">
        <v>69</v>
      </c>
      <c r="AQ2725" s="23" t="s">
        <v>30</v>
      </c>
      <c r="AR2725" s="23" t="s">
        <v>569</v>
      </c>
      <c r="AS2725" s="25">
        <v>30903</v>
      </c>
      <c r="AT2725" t="s">
        <v>26</v>
      </c>
      <c r="AU2725" t="s">
        <v>25758</v>
      </c>
    </row>
    <row r="2726" spans="1:47" ht="13.15" x14ac:dyDescent="0.4">
      <c r="A2726" s="23" t="s">
        <v>7061</v>
      </c>
      <c r="B2726" t="s">
        <v>26</v>
      </c>
      <c r="C2726" s="23" t="s">
        <v>146</v>
      </c>
      <c r="D2726" s="23" t="s">
        <v>22174</v>
      </c>
      <c r="E2726" s="23" t="s">
        <v>60</v>
      </c>
      <c r="F2726" t="s">
        <v>26</v>
      </c>
      <c r="G2726" t="s">
        <v>26</v>
      </c>
      <c r="H2726" t="s">
        <v>26</v>
      </c>
      <c r="I2726" s="24">
        <v>42005</v>
      </c>
      <c r="J2726" s="24">
        <v>42005</v>
      </c>
      <c r="K2726" t="s">
        <v>26</v>
      </c>
      <c r="L2726" s="25" t="s">
        <v>28</v>
      </c>
      <c r="M2726" t="s">
        <v>26</v>
      </c>
      <c r="N2726" t="s">
        <v>26</v>
      </c>
      <c r="O2726" t="s">
        <v>26</v>
      </c>
      <c r="P2726" s="24">
        <v>42005</v>
      </c>
      <c r="Q2726" s="24">
        <v>42005</v>
      </c>
      <c r="R2726" t="s">
        <v>26</v>
      </c>
      <c r="S2726" t="s">
        <v>26</v>
      </c>
      <c r="T2726" t="s">
        <v>26</v>
      </c>
      <c r="U2726" t="s">
        <v>26</v>
      </c>
      <c r="V2726" t="s">
        <v>26</v>
      </c>
      <c r="W2726" s="24">
        <v>42005</v>
      </c>
      <c r="X2726" s="24">
        <v>42005</v>
      </c>
      <c r="Y2726" t="s">
        <v>26</v>
      </c>
      <c r="Z2726" s="24">
        <v>42005</v>
      </c>
      <c r="AA2726" s="24">
        <v>42005</v>
      </c>
      <c r="AB2726" t="s">
        <v>26</v>
      </c>
      <c r="AC2726" s="24">
        <v>42005</v>
      </c>
      <c r="AD2726" s="24">
        <v>42005</v>
      </c>
      <c r="AE2726" t="s">
        <v>26</v>
      </c>
      <c r="AF2726" t="s">
        <v>26</v>
      </c>
      <c r="AG2726" t="s">
        <v>26</v>
      </c>
      <c r="AH2726" t="s">
        <v>26</v>
      </c>
      <c r="AI2726" t="s">
        <v>26</v>
      </c>
      <c r="AJ2726" t="s">
        <v>26</v>
      </c>
      <c r="AK2726" t="s">
        <v>26</v>
      </c>
      <c r="AL2726" t="s">
        <v>26</v>
      </c>
      <c r="AM2726" t="s">
        <v>26</v>
      </c>
      <c r="AN2726" t="s">
        <v>26</v>
      </c>
      <c r="AO2726" s="25" t="s">
        <v>28</v>
      </c>
      <c r="AP2726" s="23" t="s">
        <v>29</v>
      </c>
      <c r="AQ2726" s="23" t="s">
        <v>30</v>
      </c>
      <c r="AR2726" s="23" t="s">
        <v>46</v>
      </c>
      <c r="AS2726" s="25">
        <v>6394509</v>
      </c>
      <c r="AT2726" t="s">
        <v>26</v>
      </c>
      <c r="AU2726" t="s">
        <v>25759</v>
      </c>
    </row>
    <row r="2727" spans="1:47" ht="26.25" x14ac:dyDescent="0.4">
      <c r="A2727" s="23" t="s">
        <v>7062</v>
      </c>
      <c r="B2727" t="s">
        <v>26</v>
      </c>
      <c r="C2727" s="23" t="s">
        <v>146</v>
      </c>
      <c r="D2727" s="23" t="s">
        <v>22174</v>
      </c>
      <c r="E2727" s="23" t="s">
        <v>60</v>
      </c>
      <c r="F2727" t="s">
        <v>26</v>
      </c>
      <c r="G2727" t="s">
        <v>26</v>
      </c>
      <c r="H2727" t="s">
        <v>26</v>
      </c>
      <c r="I2727" t="s">
        <v>26</v>
      </c>
      <c r="J2727" t="s">
        <v>26</v>
      </c>
      <c r="K2727" t="s">
        <v>26</v>
      </c>
      <c r="L2727" s="25" t="s">
        <v>28</v>
      </c>
      <c r="M2727" t="s">
        <v>26</v>
      </c>
      <c r="N2727" t="s">
        <v>26</v>
      </c>
      <c r="O2727" t="s">
        <v>26</v>
      </c>
      <c r="P2727" t="s">
        <v>26</v>
      </c>
      <c r="Q2727" t="s">
        <v>26</v>
      </c>
      <c r="R2727" t="s">
        <v>26</v>
      </c>
      <c r="S2727" t="s">
        <v>26</v>
      </c>
      <c r="T2727" t="s">
        <v>26</v>
      </c>
      <c r="U2727" t="s">
        <v>26</v>
      </c>
      <c r="V2727" t="s">
        <v>26</v>
      </c>
      <c r="W2727" s="24">
        <v>42005</v>
      </c>
      <c r="X2727" s="24">
        <v>42005</v>
      </c>
      <c r="Y2727" t="s">
        <v>26</v>
      </c>
      <c r="Z2727" s="24">
        <v>42005</v>
      </c>
      <c r="AA2727" s="24">
        <v>42005</v>
      </c>
      <c r="AB2727" t="s">
        <v>26</v>
      </c>
      <c r="AC2727" t="s">
        <v>26</v>
      </c>
      <c r="AD2727" t="s">
        <v>26</v>
      </c>
      <c r="AE2727" t="s">
        <v>26</v>
      </c>
      <c r="AF2727" t="s">
        <v>26</v>
      </c>
      <c r="AG2727" t="s">
        <v>26</v>
      </c>
      <c r="AH2727" t="s">
        <v>26</v>
      </c>
      <c r="AI2727" t="s">
        <v>26</v>
      </c>
      <c r="AJ2727" t="s">
        <v>26</v>
      </c>
      <c r="AK2727" t="s">
        <v>26</v>
      </c>
      <c r="AL2727" t="s">
        <v>26</v>
      </c>
      <c r="AM2727" t="s">
        <v>26</v>
      </c>
      <c r="AN2727" t="s">
        <v>26</v>
      </c>
      <c r="AO2727" s="25" t="s">
        <v>28</v>
      </c>
      <c r="AP2727" s="23" t="s">
        <v>29</v>
      </c>
      <c r="AQ2727" s="23" t="s">
        <v>30</v>
      </c>
      <c r="AR2727" s="23" t="s">
        <v>147</v>
      </c>
      <c r="AS2727" s="25">
        <v>5488570</v>
      </c>
      <c r="AT2727" s="23" t="s">
        <v>22181</v>
      </c>
      <c r="AU2727" t="s">
        <v>25760</v>
      </c>
    </row>
    <row r="2728" spans="1:47" ht="13.15" x14ac:dyDescent="0.4">
      <c r="A2728" s="23" t="s">
        <v>25761</v>
      </c>
      <c r="B2728" t="s">
        <v>26</v>
      </c>
      <c r="C2728" s="23" t="s">
        <v>332</v>
      </c>
      <c r="D2728" s="23" t="s">
        <v>22256</v>
      </c>
      <c r="E2728" s="23" t="s">
        <v>42</v>
      </c>
      <c r="F2728" t="s">
        <v>26</v>
      </c>
      <c r="G2728" t="s">
        <v>26</v>
      </c>
      <c r="H2728" t="s">
        <v>26</v>
      </c>
      <c r="I2728" s="24">
        <v>31413</v>
      </c>
      <c r="J2728" s="24">
        <v>31413</v>
      </c>
      <c r="K2728" t="s">
        <v>26</v>
      </c>
      <c r="L2728" s="25" t="s">
        <v>28</v>
      </c>
      <c r="M2728" s="24">
        <v>31413</v>
      </c>
      <c r="N2728" s="24">
        <v>31413</v>
      </c>
      <c r="O2728" t="s">
        <v>26</v>
      </c>
      <c r="P2728" t="s">
        <v>26</v>
      </c>
      <c r="Q2728" t="s">
        <v>26</v>
      </c>
      <c r="R2728" t="s">
        <v>26</v>
      </c>
      <c r="S2728" t="s">
        <v>26</v>
      </c>
      <c r="T2728" t="s">
        <v>26</v>
      </c>
      <c r="U2728" t="s">
        <v>26</v>
      </c>
      <c r="V2728" t="s">
        <v>26</v>
      </c>
      <c r="W2728" s="24">
        <v>31413</v>
      </c>
      <c r="X2728" s="24">
        <v>31413</v>
      </c>
      <c r="Y2728" t="s">
        <v>26</v>
      </c>
      <c r="Z2728" s="24">
        <v>31413</v>
      </c>
      <c r="AA2728" s="24">
        <v>31413</v>
      </c>
      <c r="AB2728" t="s">
        <v>26</v>
      </c>
      <c r="AC2728" s="24">
        <v>31413</v>
      </c>
      <c r="AD2728" s="24">
        <v>31413</v>
      </c>
      <c r="AE2728" t="s">
        <v>26</v>
      </c>
      <c r="AF2728" t="s">
        <v>26</v>
      </c>
      <c r="AG2728" t="s">
        <v>26</v>
      </c>
      <c r="AH2728" t="s">
        <v>26</v>
      </c>
      <c r="AI2728" t="s">
        <v>26</v>
      </c>
      <c r="AJ2728" t="s">
        <v>26</v>
      </c>
      <c r="AK2728" t="s">
        <v>26</v>
      </c>
      <c r="AL2728" t="s">
        <v>26</v>
      </c>
      <c r="AM2728" t="s">
        <v>26</v>
      </c>
      <c r="AN2728" t="s">
        <v>26</v>
      </c>
      <c r="AO2728" s="25" t="s">
        <v>28</v>
      </c>
      <c r="AP2728" s="23" t="s">
        <v>279</v>
      </c>
      <c r="AQ2728" s="23" t="s">
        <v>30</v>
      </c>
      <c r="AR2728" s="23" t="s">
        <v>46</v>
      </c>
      <c r="AS2728" s="25">
        <v>6275743</v>
      </c>
      <c r="AT2728" t="s">
        <v>26</v>
      </c>
      <c r="AU2728" t="s">
        <v>25762</v>
      </c>
    </row>
    <row r="2729" spans="1:47" ht="26.25" x14ac:dyDescent="0.4">
      <c r="A2729" s="23" t="s">
        <v>7063</v>
      </c>
      <c r="B2729" t="s">
        <v>26</v>
      </c>
      <c r="C2729" s="23" t="s">
        <v>172</v>
      </c>
      <c r="D2729" s="23" t="s">
        <v>22294</v>
      </c>
      <c r="E2729" s="23" t="s">
        <v>60</v>
      </c>
      <c r="F2729" s="25" t="s">
        <v>7064</v>
      </c>
      <c r="G2729" s="25" t="s">
        <v>7065</v>
      </c>
      <c r="H2729" t="s">
        <v>26</v>
      </c>
      <c r="I2729" s="24">
        <v>36557</v>
      </c>
      <c r="J2729" s="24">
        <v>40817</v>
      </c>
      <c r="K2729" t="s">
        <v>26</v>
      </c>
      <c r="L2729" s="25" t="s">
        <v>68</v>
      </c>
      <c r="M2729" s="24">
        <v>37987</v>
      </c>
      <c r="N2729" s="24">
        <v>38108</v>
      </c>
      <c r="O2729" t="s">
        <v>26</v>
      </c>
      <c r="P2729" s="24">
        <v>36557</v>
      </c>
      <c r="Q2729" s="24">
        <v>40817</v>
      </c>
      <c r="R2729" t="s">
        <v>26</v>
      </c>
      <c r="S2729" t="s">
        <v>26</v>
      </c>
      <c r="T2729" t="s">
        <v>26</v>
      </c>
      <c r="U2729" t="s">
        <v>26</v>
      </c>
      <c r="V2729" t="s">
        <v>26</v>
      </c>
      <c r="W2729" s="24">
        <v>28399</v>
      </c>
      <c r="X2729" s="25" t="s">
        <v>77</v>
      </c>
      <c r="Y2729" s="25" t="s">
        <v>3536</v>
      </c>
      <c r="Z2729" s="24">
        <v>28399</v>
      </c>
      <c r="AA2729" s="25" t="s">
        <v>77</v>
      </c>
      <c r="AB2729" s="25" t="s">
        <v>3536</v>
      </c>
      <c r="AC2729" s="24">
        <v>28399</v>
      </c>
      <c r="AD2729" s="25" t="s">
        <v>77</v>
      </c>
      <c r="AE2729" s="25" t="s">
        <v>3536</v>
      </c>
      <c r="AF2729" t="s">
        <v>26</v>
      </c>
      <c r="AG2729" t="s">
        <v>26</v>
      </c>
      <c r="AH2729" t="s">
        <v>26</v>
      </c>
      <c r="AI2729" t="s">
        <v>26</v>
      </c>
      <c r="AJ2729" t="s">
        <v>26</v>
      </c>
      <c r="AK2729" t="s">
        <v>26</v>
      </c>
      <c r="AL2729" t="s">
        <v>26</v>
      </c>
      <c r="AM2729" t="s">
        <v>26</v>
      </c>
      <c r="AN2729" t="s">
        <v>26</v>
      </c>
      <c r="AO2729" s="25" t="s">
        <v>68</v>
      </c>
      <c r="AP2729" s="23" t="s">
        <v>69</v>
      </c>
      <c r="AQ2729" s="23" t="s">
        <v>30</v>
      </c>
      <c r="AR2729" s="23" t="s">
        <v>996</v>
      </c>
      <c r="AS2729" s="25">
        <v>31752</v>
      </c>
      <c r="AT2729" t="s">
        <v>26</v>
      </c>
      <c r="AU2729" t="s">
        <v>25763</v>
      </c>
    </row>
    <row r="2730" spans="1:47" ht="26.25" x14ac:dyDescent="0.4">
      <c r="A2730" s="23" t="s">
        <v>7066</v>
      </c>
      <c r="B2730" t="s">
        <v>26</v>
      </c>
      <c r="C2730" s="23" t="s">
        <v>22238</v>
      </c>
      <c r="D2730" s="23" t="s">
        <v>22307</v>
      </c>
      <c r="E2730" s="23" t="s">
        <v>42</v>
      </c>
      <c r="F2730" t="s">
        <v>26</v>
      </c>
      <c r="G2730" t="s">
        <v>26</v>
      </c>
      <c r="H2730" t="s">
        <v>26</v>
      </c>
      <c r="I2730" s="24">
        <v>40909</v>
      </c>
      <c r="J2730" s="24">
        <v>43101</v>
      </c>
      <c r="K2730" t="s">
        <v>26</v>
      </c>
      <c r="L2730" s="25" t="s">
        <v>28</v>
      </c>
      <c r="M2730" s="24">
        <v>40909</v>
      </c>
      <c r="N2730" s="24">
        <v>43101</v>
      </c>
      <c r="O2730" t="s">
        <v>26</v>
      </c>
      <c r="P2730" t="s">
        <v>26</v>
      </c>
      <c r="Q2730" t="s">
        <v>26</v>
      </c>
      <c r="R2730" t="s">
        <v>26</v>
      </c>
      <c r="S2730" s="24">
        <v>40909</v>
      </c>
      <c r="T2730" s="24">
        <v>43101</v>
      </c>
      <c r="U2730" t="s">
        <v>26</v>
      </c>
      <c r="V2730" t="s">
        <v>26</v>
      </c>
      <c r="W2730" s="24">
        <v>40909</v>
      </c>
      <c r="X2730" s="24">
        <v>43101</v>
      </c>
      <c r="Y2730" t="s">
        <v>26</v>
      </c>
      <c r="Z2730" s="24">
        <v>40909</v>
      </c>
      <c r="AA2730" s="24">
        <v>43101</v>
      </c>
      <c r="AB2730" t="s">
        <v>26</v>
      </c>
      <c r="AC2730" s="24">
        <v>40909</v>
      </c>
      <c r="AD2730" s="24">
        <v>43101</v>
      </c>
      <c r="AE2730" t="s">
        <v>26</v>
      </c>
      <c r="AF2730" s="24">
        <v>40909</v>
      </c>
      <c r="AG2730" s="24">
        <v>43101</v>
      </c>
      <c r="AH2730" t="s">
        <v>26</v>
      </c>
      <c r="AI2730" s="24">
        <v>40909</v>
      </c>
      <c r="AJ2730" s="24">
        <v>43101</v>
      </c>
      <c r="AK2730" t="s">
        <v>26</v>
      </c>
      <c r="AL2730" t="s">
        <v>26</v>
      </c>
      <c r="AM2730" t="s">
        <v>26</v>
      </c>
      <c r="AN2730" t="s">
        <v>26</v>
      </c>
      <c r="AO2730" s="25" t="s">
        <v>28</v>
      </c>
      <c r="AP2730" s="23" t="s">
        <v>43</v>
      </c>
      <c r="AQ2730" s="23" t="s">
        <v>30</v>
      </c>
      <c r="AR2730" s="23" t="s">
        <v>46</v>
      </c>
      <c r="AS2730" s="25">
        <v>6447768</v>
      </c>
      <c r="AT2730" t="s">
        <v>26</v>
      </c>
      <c r="AU2730" t="s">
        <v>25764</v>
      </c>
    </row>
    <row r="2731" spans="1:47" ht="26.25" x14ac:dyDescent="0.4">
      <c r="A2731" s="23" t="s">
        <v>7067</v>
      </c>
      <c r="B2731" t="s">
        <v>26</v>
      </c>
      <c r="C2731" s="23" t="s">
        <v>22238</v>
      </c>
      <c r="D2731" t="s">
        <v>26</v>
      </c>
      <c r="E2731" s="23" t="s">
        <v>42</v>
      </c>
      <c r="F2731" t="s">
        <v>26</v>
      </c>
      <c r="G2731" t="s">
        <v>26</v>
      </c>
      <c r="H2731" t="s">
        <v>26</v>
      </c>
      <c r="I2731" s="24">
        <v>42370</v>
      </c>
      <c r="J2731" s="24">
        <v>44145</v>
      </c>
      <c r="K2731" t="s">
        <v>26</v>
      </c>
      <c r="L2731" s="25" t="s">
        <v>28</v>
      </c>
      <c r="M2731" s="24">
        <v>42370</v>
      </c>
      <c r="N2731" s="24">
        <v>44145</v>
      </c>
      <c r="O2731" t="s">
        <v>26</v>
      </c>
      <c r="P2731" t="s">
        <v>26</v>
      </c>
      <c r="Q2731" t="s">
        <v>26</v>
      </c>
      <c r="R2731" t="s">
        <v>26</v>
      </c>
      <c r="S2731" s="24">
        <v>42370</v>
      </c>
      <c r="T2731" s="24">
        <v>44145</v>
      </c>
      <c r="U2731" t="s">
        <v>26</v>
      </c>
      <c r="V2731" t="s">
        <v>26</v>
      </c>
      <c r="W2731" s="24">
        <v>42370</v>
      </c>
      <c r="X2731" s="24">
        <v>44145</v>
      </c>
      <c r="Y2731" t="s">
        <v>26</v>
      </c>
      <c r="Z2731" s="24">
        <v>42370</v>
      </c>
      <c r="AA2731" s="24">
        <v>44145</v>
      </c>
      <c r="AB2731" t="s">
        <v>26</v>
      </c>
      <c r="AC2731" s="24">
        <v>42370</v>
      </c>
      <c r="AD2731" s="24">
        <v>44145</v>
      </c>
      <c r="AE2731" t="s">
        <v>26</v>
      </c>
      <c r="AF2731" s="24">
        <v>42370</v>
      </c>
      <c r="AG2731" s="24">
        <v>44145</v>
      </c>
      <c r="AH2731" t="s">
        <v>26</v>
      </c>
      <c r="AI2731" s="24">
        <v>42370</v>
      </c>
      <c r="AJ2731" s="24">
        <v>44145</v>
      </c>
      <c r="AK2731" t="s">
        <v>26</v>
      </c>
      <c r="AL2731" t="s">
        <v>26</v>
      </c>
      <c r="AM2731" t="s">
        <v>26</v>
      </c>
      <c r="AN2731" t="s">
        <v>26</v>
      </c>
      <c r="AO2731" s="25" t="s">
        <v>28</v>
      </c>
      <c r="AP2731" s="23" t="s">
        <v>43</v>
      </c>
      <c r="AQ2731" s="23" t="s">
        <v>30</v>
      </c>
      <c r="AR2731" s="23" t="s">
        <v>44</v>
      </c>
      <c r="AS2731" s="25">
        <v>5263193</v>
      </c>
      <c r="AT2731" t="s">
        <v>26</v>
      </c>
      <c r="AU2731" t="s">
        <v>25765</v>
      </c>
    </row>
    <row r="2732" spans="1:47" ht="26.25" x14ac:dyDescent="0.4">
      <c r="A2732" s="23" t="s">
        <v>7068</v>
      </c>
      <c r="B2732" t="s">
        <v>26</v>
      </c>
      <c r="C2732" s="23" t="s">
        <v>1691</v>
      </c>
      <c r="D2732" s="23" t="s">
        <v>22599</v>
      </c>
      <c r="E2732" s="23" t="s">
        <v>42</v>
      </c>
      <c r="F2732" s="25" t="s">
        <v>7069</v>
      </c>
      <c r="G2732" s="25" t="s">
        <v>7070</v>
      </c>
      <c r="H2732" t="s">
        <v>26</v>
      </c>
      <c r="I2732" s="24">
        <v>36251</v>
      </c>
      <c r="J2732" s="24">
        <v>38534</v>
      </c>
      <c r="K2732" t="s">
        <v>26</v>
      </c>
      <c r="L2732" s="25" t="s">
        <v>68</v>
      </c>
      <c r="M2732" t="s">
        <v>26</v>
      </c>
      <c r="N2732" t="s">
        <v>26</v>
      </c>
      <c r="O2732" t="s">
        <v>26</v>
      </c>
      <c r="P2732" s="24">
        <v>36251</v>
      </c>
      <c r="Q2732" s="24">
        <v>38534</v>
      </c>
      <c r="R2732" t="s">
        <v>26</v>
      </c>
      <c r="S2732" t="s">
        <v>26</v>
      </c>
      <c r="T2732" t="s">
        <v>26</v>
      </c>
      <c r="U2732" t="s">
        <v>26</v>
      </c>
      <c r="V2732" t="s">
        <v>26</v>
      </c>
      <c r="W2732" s="24">
        <v>36251</v>
      </c>
      <c r="X2732" s="25" t="s">
        <v>77</v>
      </c>
      <c r="Y2732" t="s">
        <v>26</v>
      </c>
      <c r="Z2732" s="24">
        <v>36251</v>
      </c>
      <c r="AA2732" s="25" t="s">
        <v>77</v>
      </c>
      <c r="AB2732" t="s">
        <v>26</v>
      </c>
      <c r="AC2732" s="24">
        <v>36251</v>
      </c>
      <c r="AD2732" s="25" t="s">
        <v>77</v>
      </c>
      <c r="AE2732" t="s">
        <v>26</v>
      </c>
      <c r="AF2732" t="s">
        <v>26</v>
      </c>
      <c r="AG2732" t="s">
        <v>26</v>
      </c>
      <c r="AH2732" t="s">
        <v>26</v>
      </c>
      <c r="AI2732" t="s">
        <v>26</v>
      </c>
      <c r="AJ2732" t="s">
        <v>26</v>
      </c>
      <c r="AK2732" t="s">
        <v>26</v>
      </c>
      <c r="AL2732" t="s">
        <v>26</v>
      </c>
      <c r="AM2732" t="s">
        <v>26</v>
      </c>
      <c r="AN2732" t="s">
        <v>26</v>
      </c>
      <c r="AO2732" s="25" t="s">
        <v>68</v>
      </c>
      <c r="AP2732" s="23" t="s">
        <v>69</v>
      </c>
      <c r="AQ2732" s="23" t="s">
        <v>30</v>
      </c>
      <c r="AR2732" s="23" t="s">
        <v>7071</v>
      </c>
      <c r="AS2732" s="25">
        <v>31369</v>
      </c>
      <c r="AT2732" t="s">
        <v>26</v>
      </c>
      <c r="AU2732" t="s">
        <v>25766</v>
      </c>
    </row>
    <row r="2733" spans="1:47" ht="26.25" x14ac:dyDescent="0.4">
      <c r="A2733" s="23" t="s">
        <v>7072</v>
      </c>
      <c r="B2733" t="s">
        <v>26</v>
      </c>
      <c r="C2733" s="23" t="s">
        <v>73</v>
      </c>
      <c r="D2733" s="23" t="s">
        <v>22179</v>
      </c>
      <c r="E2733" s="23" t="s">
        <v>74</v>
      </c>
      <c r="F2733" s="25" t="s">
        <v>7073</v>
      </c>
      <c r="G2733" s="25" t="s">
        <v>7074</v>
      </c>
      <c r="H2733" t="s">
        <v>26</v>
      </c>
      <c r="I2733" s="24">
        <v>35827</v>
      </c>
      <c r="J2733" s="25" t="s">
        <v>77</v>
      </c>
      <c r="K2733" t="s">
        <v>26</v>
      </c>
      <c r="L2733" s="25" t="s">
        <v>68</v>
      </c>
      <c r="M2733" t="s">
        <v>26</v>
      </c>
      <c r="N2733" t="s">
        <v>26</v>
      </c>
      <c r="O2733" t="s">
        <v>26</v>
      </c>
      <c r="P2733" s="24">
        <v>35827</v>
      </c>
      <c r="Q2733" s="25" t="s">
        <v>77</v>
      </c>
      <c r="R2733" t="s">
        <v>26</v>
      </c>
      <c r="S2733" t="s">
        <v>26</v>
      </c>
      <c r="T2733" t="s">
        <v>26</v>
      </c>
      <c r="U2733" t="s">
        <v>26</v>
      </c>
      <c r="V2733" s="25">
        <v>365</v>
      </c>
      <c r="W2733" s="24">
        <v>35827</v>
      </c>
      <c r="X2733" s="25" t="s">
        <v>77</v>
      </c>
      <c r="Y2733" t="s">
        <v>26</v>
      </c>
      <c r="Z2733" s="24">
        <v>35827</v>
      </c>
      <c r="AA2733" s="25" t="s">
        <v>77</v>
      </c>
      <c r="AB2733" t="s">
        <v>26</v>
      </c>
      <c r="AC2733" s="24">
        <v>35827</v>
      </c>
      <c r="AD2733" s="25" t="s">
        <v>77</v>
      </c>
      <c r="AE2733" t="s">
        <v>26</v>
      </c>
      <c r="AF2733" t="s">
        <v>26</v>
      </c>
      <c r="AG2733" t="s">
        <v>26</v>
      </c>
      <c r="AH2733" t="s">
        <v>26</v>
      </c>
      <c r="AI2733" t="s">
        <v>26</v>
      </c>
      <c r="AJ2733" t="s">
        <v>26</v>
      </c>
      <c r="AK2733" t="s">
        <v>26</v>
      </c>
      <c r="AL2733" t="s">
        <v>26</v>
      </c>
      <c r="AM2733" t="s">
        <v>26</v>
      </c>
      <c r="AN2733" t="s">
        <v>26</v>
      </c>
      <c r="AO2733" s="25" t="s">
        <v>68</v>
      </c>
      <c r="AP2733" s="23" t="s">
        <v>69</v>
      </c>
      <c r="AQ2733" s="23" t="s">
        <v>30</v>
      </c>
      <c r="AR2733" s="23" t="s">
        <v>128</v>
      </c>
      <c r="AS2733" s="25">
        <v>37990</v>
      </c>
      <c r="AT2733" t="s">
        <v>26</v>
      </c>
      <c r="AU2733" t="s">
        <v>25767</v>
      </c>
    </row>
    <row r="2734" spans="1:47" ht="26.25" x14ac:dyDescent="0.4">
      <c r="A2734" s="23" t="s">
        <v>7075</v>
      </c>
      <c r="B2734" t="s">
        <v>26</v>
      </c>
      <c r="C2734" s="23" t="s">
        <v>1691</v>
      </c>
      <c r="D2734" s="23" t="s">
        <v>22599</v>
      </c>
      <c r="E2734" s="23" t="s">
        <v>42</v>
      </c>
      <c r="F2734" s="25" t="s">
        <v>7076</v>
      </c>
      <c r="G2734" s="25" t="s">
        <v>7077</v>
      </c>
      <c r="H2734" t="s">
        <v>26</v>
      </c>
      <c r="I2734" s="24">
        <v>36161</v>
      </c>
      <c r="J2734" s="24">
        <v>38534</v>
      </c>
      <c r="K2734" t="s">
        <v>26</v>
      </c>
      <c r="L2734" s="25" t="s">
        <v>68</v>
      </c>
      <c r="M2734" t="s">
        <v>26</v>
      </c>
      <c r="N2734" t="s">
        <v>26</v>
      </c>
      <c r="O2734" t="s">
        <v>26</v>
      </c>
      <c r="P2734" s="24">
        <v>36161</v>
      </c>
      <c r="Q2734" s="24">
        <v>38534</v>
      </c>
      <c r="R2734" t="s">
        <v>26</v>
      </c>
      <c r="S2734" t="s">
        <v>26</v>
      </c>
      <c r="T2734" t="s">
        <v>26</v>
      </c>
      <c r="U2734" t="s">
        <v>26</v>
      </c>
      <c r="V2734" t="s">
        <v>26</v>
      </c>
      <c r="W2734" s="24">
        <v>36161</v>
      </c>
      <c r="X2734" s="25" t="s">
        <v>77</v>
      </c>
      <c r="Y2734" t="s">
        <v>26</v>
      </c>
      <c r="Z2734" s="24">
        <v>36161</v>
      </c>
      <c r="AA2734" s="25" t="s">
        <v>77</v>
      </c>
      <c r="AB2734" t="s">
        <v>26</v>
      </c>
      <c r="AC2734" s="24">
        <v>36161</v>
      </c>
      <c r="AD2734" s="25" t="s">
        <v>77</v>
      </c>
      <c r="AE2734" t="s">
        <v>26</v>
      </c>
      <c r="AF2734" t="s">
        <v>26</v>
      </c>
      <c r="AG2734" t="s">
        <v>26</v>
      </c>
      <c r="AH2734" t="s">
        <v>26</v>
      </c>
      <c r="AI2734" t="s">
        <v>26</v>
      </c>
      <c r="AJ2734" t="s">
        <v>26</v>
      </c>
      <c r="AK2734" t="s">
        <v>26</v>
      </c>
      <c r="AL2734" t="s">
        <v>26</v>
      </c>
      <c r="AM2734" t="s">
        <v>26</v>
      </c>
      <c r="AN2734" t="s">
        <v>26</v>
      </c>
      <c r="AO2734" s="25" t="s">
        <v>68</v>
      </c>
      <c r="AP2734" s="23" t="s">
        <v>69</v>
      </c>
      <c r="AQ2734" s="23" t="s">
        <v>30</v>
      </c>
      <c r="AR2734" s="23" t="s">
        <v>7078</v>
      </c>
      <c r="AS2734" s="25">
        <v>33713</v>
      </c>
      <c r="AT2734" t="s">
        <v>26</v>
      </c>
      <c r="AU2734" t="s">
        <v>25768</v>
      </c>
    </row>
    <row r="2735" spans="1:47" ht="26.25" x14ac:dyDescent="0.4">
      <c r="A2735" s="23" t="s">
        <v>25769</v>
      </c>
      <c r="B2735" t="s">
        <v>26</v>
      </c>
      <c r="C2735" s="23" t="s">
        <v>22813</v>
      </c>
      <c r="D2735" s="23" t="s">
        <v>24083</v>
      </c>
      <c r="E2735" s="23" t="s">
        <v>60</v>
      </c>
      <c r="F2735" t="s">
        <v>26</v>
      </c>
      <c r="G2735" t="s">
        <v>26</v>
      </c>
      <c r="H2735" t="s">
        <v>26</v>
      </c>
      <c r="I2735" s="24">
        <v>36892</v>
      </c>
      <c r="J2735" s="24">
        <v>37257</v>
      </c>
      <c r="K2735" t="s">
        <v>26</v>
      </c>
      <c r="L2735" s="25" t="s">
        <v>28</v>
      </c>
      <c r="M2735" s="24">
        <v>36892</v>
      </c>
      <c r="N2735" s="24">
        <v>37257</v>
      </c>
      <c r="O2735" t="s">
        <v>26</v>
      </c>
      <c r="P2735" t="s">
        <v>26</v>
      </c>
      <c r="Q2735" t="s">
        <v>26</v>
      </c>
      <c r="R2735" t="s">
        <v>26</v>
      </c>
      <c r="S2735" s="24">
        <v>36892</v>
      </c>
      <c r="T2735" s="24">
        <v>37257</v>
      </c>
      <c r="U2735" t="s">
        <v>26</v>
      </c>
      <c r="V2735" t="s">
        <v>26</v>
      </c>
      <c r="W2735" s="24">
        <v>36892</v>
      </c>
      <c r="X2735" s="24">
        <v>37257</v>
      </c>
      <c r="Y2735" t="s">
        <v>26</v>
      </c>
      <c r="Z2735" s="24">
        <v>36892</v>
      </c>
      <c r="AA2735" s="24">
        <v>37257</v>
      </c>
      <c r="AB2735" t="s">
        <v>26</v>
      </c>
      <c r="AC2735" s="24">
        <v>36892</v>
      </c>
      <c r="AD2735" s="24">
        <v>37257</v>
      </c>
      <c r="AE2735" t="s">
        <v>26</v>
      </c>
      <c r="AF2735" s="24">
        <v>36892</v>
      </c>
      <c r="AG2735" s="24">
        <v>37257</v>
      </c>
      <c r="AH2735" t="s">
        <v>26</v>
      </c>
      <c r="AI2735" s="24">
        <v>36892</v>
      </c>
      <c r="AJ2735" s="24">
        <v>37257</v>
      </c>
      <c r="AK2735" t="s">
        <v>26</v>
      </c>
      <c r="AL2735" t="s">
        <v>26</v>
      </c>
      <c r="AM2735" t="s">
        <v>26</v>
      </c>
      <c r="AN2735" t="s">
        <v>26</v>
      </c>
      <c r="AO2735" s="25" t="s">
        <v>28</v>
      </c>
      <c r="AP2735" s="23" t="s">
        <v>43</v>
      </c>
      <c r="AQ2735" s="23" t="s">
        <v>30</v>
      </c>
      <c r="AR2735" s="23" t="s">
        <v>46</v>
      </c>
      <c r="AS2735" s="25">
        <v>6364580</v>
      </c>
      <c r="AT2735" t="s">
        <v>26</v>
      </c>
      <c r="AU2735" t="s">
        <v>25770</v>
      </c>
    </row>
    <row r="2736" spans="1:47" ht="26.25" x14ac:dyDescent="0.4">
      <c r="A2736" s="23" t="s">
        <v>7079</v>
      </c>
      <c r="B2736" t="s">
        <v>26</v>
      </c>
      <c r="C2736" s="23" t="s">
        <v>146</v>
      </c>
      <c r="D2736" s="23" t="s">
        <v>22174</v>
      </c>
      <c r="E2736" s="23" t="s">
        <v>60</v>
      </c>
      <c r="F2736" t="s">
        <v>26</v>
      </c>
      <c r="G2736" t="s">
        <v>26</v>
      </c>
      <c r="H2736" t="s">
        <v>26</v>
      </c>
      <c r="I2736" t="s">
        <v>26</v>
      </c>
      <c r="J2736" t="s">
        <v>26</v>
      </c>
      <c r="K2736" t="s">
        <v>26</v>
      </c>
      <c r="L2736" s="25" t="s">
        <v>28</v>
      </c>
      <c r="M2736" t="s">
        <v>26</v>
      </c>
      <c r="N2736" t="s">
        <v>26</v>
      </c>
      <c r="O2736" t="s">
        <v>26</v>
      </c>
      <c r="P2736" t="s">
        <v>26</v>
      </c>
      <c r="Q2736" t="s">
        <v>26</v>
      </c>
      <c r="R2736" t="s">
        <v>26</v>
      </c>
      <c r="S2736" t="s">
        <v>26</v>
      </c>
      <c r="T2736" t="s">
        <v>26</v>
      </c>
      <c r="U2736" t="s">
        <v>26</v>
      </c>
      <c r="V2736" t="s">
        <v>26</v>
      </c>
      <c r="W2736" s="24">
        <v>42005</v>
      </c>
      <c r="X2736" s="24">
        <v>42005</v>
      </c>
      <c r="Y2736" t="s">
        <v>26</v>
      </c>
      <c r="Z2736" s="24">
        <v>42005</v>
      </c>
      <c r="AA2736" s="24">
        <v>42005</v>
      </c>
      <c r="AB2736" t="s">
        <v>26</v>
      </c>
      <c r="AC2736" t="s">
        <v>26</v>
      </c>
      <c r="AD2736" t="s">
        <v>26</v>
      </c>
      <c r="AE2736" t="s">
        <v>26</v>
      </c>
      <c r="AF2736" t="s">
        <v>26</v>
      </c>
      <c r="AG2736" t="s">
        <v>26</v>
      </c>
      <c r="AH2736" t="s">
        <v>26</v>
      </c>
      <c r="AI2736" t="s">
        <v>26</v>
      </c>
      <c r="AJ2736" t="s">
        <v>26</v>
      </c>
      <c r="AK2736" t="s">
        <v>26</v>
      </c>
      <c r="AL2736" t="s">
        <v>26</v>
      </c>
      <c r="AM2736" t="s">
        <v>26</v>
      </c>
      <c r="AN2736" t="s">
        <v>26</v>
      </c>
      <c r="AO2736" s="25" t="s">
        <v>28</v>
      </c>
      <c r="AP2736" s="23" t="s">
        <v>29</v>
      </c>
      <c r="AQ2736" s="23" t="s">
        <v>30</v>
      </c>
      <c r="AR2736" s="23" t="s">
        <v>44</v>
      </c>
      <c r="AS2736" s="25">
        <v>5485110</v>
      </c>
      <c r="AT2736" s="23" t="s">
        <v>22181</v>
      </c>
      <c r="AU2736" t="s">
        <v>25771</v>
      </c>
    </row>
    <row r="2737" spans="1:47" ht="13.15" x14ac:dyDescent="0.4">
      <c r="A2737" s="23" t="s">
        <v>7080</v>
      </c>
      <c r="B2737" t="s">
        <v>26</v>
      </c>
      <c r="C2737" s="23" t="s">
        <v>146</v>
      </c>
      <c r="D2737" s="23" t="s">
        <v>22174</v>
      </c>
      <c r="E2737" s="23" t="s">
        <v>60</v>
      </c>
      <c r="F2737" t="s">
        <v>26</v>
      </c>
      <c r="G2737" t="s">
        <v>26</v>
      </c>
      <c r="H2737" t="s">
        <v>26</v>
      </c>
      <c r="I2737" s="24">
        <v>42370</v>
      </c>
      <c r="J2737" s="24">
        <v>42370</v>
      </c>
      <c r="K2737" t="s">
        <v>26</v>
      </c>
      <c r="L2737" s="25" t="s">
        <v>28</v>
      </c>
      <c r="M2737" t="s">
        <v>26</v>
      </c>
      <c r="N2737" t="s">
        <v>26</v>
      </c>
      <c r="O2737" t="s">
        <v>26</v>
      </c>
      <c r="P2737" s="24">
        <v>42370</v>
      </c>
      <c r="Q2737" s="24">
        <v>42370</v>
      </c>
      <c r="R2737" t="s">
        <v>26</v>
      </c>
      <c r="S2737" t="s">
        <v>26</v>
      </c>
      <c r="T2737" t="s">
        <v>26</v>
      </c>
      <c r="U2737" t="s">
        <v>26</v>
      </c>
      <c r="V2737" t="s">
        <v>26</v>
      </c>
      <c r="W2737" s="24">
        <v>42370</v>
      </c>
      <c r="X2737" s="24">
        <v>42370</v>
      </c>
      <c r="Y2737" t="s">
        <v>26</v>
      </c>
      <c r="Z2737" s="24">
        <v>42370</v>
      </c>
      <c r="AA2737" s="24">
        <v>42370</v>
      </c>
      <c r="AB2737" t="s">
        <v>26</v>
      </c>
      <c r="AC2737" s="24">
        <v>42370</v>
      </c>
      <c r="AD2737" s="24">
        <v>42370</v>
      </c>
      <c r="AE2737" t="s">
        <v>26</v>
      </c>
      <c r="AF2737" t="s">
        <v>26</v>
      </c>
      <c r="AG2737" t="s">
        <v>26</v>
      </c>
      <c r="AH2737" t="s">
        <v>26</v>
      </c>
      <c r="AI2737" t="s">
        <v>26</v>
      </c>
      <c r="AJ2737" t="s">
        <v>26</v>
      </c>
      <c r="AK2737" t="s">
        <v>26</v>
      </c>
      <c r="AL2737" t="s">
        <v>26</v>
      </c>
      <c r="AM2737" t="s">
        <v>26</v>
      </c>
      <c r="AN2737" t="s">
        <v>26</v>
      </c>
      <c r="AO2737" s="25" t="s">
        <v>28</v>
      </c>
      <c r="AP2737" s="23" t="s">
        <v>29</v>
      </c>
      <c r="AQ2737" s="23" t="s">
        <v>30</v>
      </c>
      <c r="AR2737" s="23" t="s">
        <v>46</v>
      </c>
      <c r="AS2737" s="25">
        <v>6394508</v>
      </c>
      <c r="AT2737" t="s">
        <v>26</v>
      </c>
      <c r="AU2737" t="s">
        <v>25772</v>
      </c>
    </row>
    <row r="2738" spans="1:47" ht="13.15" x14ac:dyDescent="0.4">
      <c r="A2738" s="23" t="s">
        <v>7081</v>
      </c>
      <c r="B2738" t="s">
        <v>26</v>
      </c>
      <c r="C2738" s="23" t="s">
        <v>7082</v>
      </c>
      <c r="D2738" s="23" t="s">
        <v>22231</v>
      </c>
      <c r="E2738" s="23" t="s">
        <v>42</v>
      </c>
      <c r="F2738" t="s">
        <v>26</v>
      </c>
      <c r="G2738" t="s">
        <v>26</v>
      </c>
      <c r="H2738" t="s">
        <v>26</v>
      </c>
      <c r="I2738" s="24">
        <v>35065</v>
      </c>
      <c r="J2738" s="24">
        <v>35065</v>
      </c>
      <c r="K2738" t="s">
        <v>26</v>
      </c>
      <c r="L2738" s="25" t="s">
        <v>28</v>
      </c>
      <c r="M2738" s="24">
        <v>35065</v>
      </c>
      <c r="N2738" s="24">
        <v>35065</v>
      </c>
      <c r="O2738" t="s">
        <v>26</v>
      </c>
      <c r="P2738" t="s">
        <v>26</v>
      </c>
      <c r="Q2738" t="s">
        <v>26</v>
      </c>
      <c r="R2738" t="s">
        <v>26</v>
      </c>
      <c r="S2738" t="s">
        <v>26</v>
      </c>
      <c r="T2738" t="s">
        <v>26</v>
      </c>
      <c r="U2738" t="s">
        <v>26</v>
      </c>
      <c r="V2738" t="s">
        <v>26</v>
      </c>
      <c r="W2738" s="24">
        <v>35065</v>
      </c>
      <c r="X2738" s="24">
        <v>35065</v>
      </c>
      <c r="Y2738" t="s">
        <v>26</v>
      </c>
      <c r="Z2738" s="24">
        <v>35065</v>
      </c>
      <c r="AA2738" s="24">
        <v>35065</v>
      </c>
      <c r="AB2738" t="s">
        <v>26</v>
      </c>
      <c r="AC2738" s="24">
        <v>35065</v>
      </c>
      <c r="AD2738" s="24">
        <v>35065</v>
      </c>
      <c r="AE2738" t="s">
        <v>26</v>
      </c>
      <c r="AF2738" t="s">
        <v>26</v>
      </c>
      <c r="AG2738" t="s">
        <v>26</v>
      </c>
      <c r="AH2738" t="s">
        <v>26</v>
      </c>
      <c r="AI2738" t="s">
        <v>26</v>
      </c>
      <c r="AJ2738" t="s">
        <v>26</v>
      </c>
      <c r="AK2738" t="s">
        <v>26</v>
      </c>
      <c r="AL2738" t="s">
        <v>26</v>
      </c>
      <c r="AM2738" t="s">
        <v>26</v>
      </c>
      <c r="AN2738" t="s">
        <v>26</v>
      </c>
      <c r="AO2738" s="25" t="s">
        <v>28</v>
      </c>
      <c r="AP2738" s="23" t="s">
        <v>29</v>
      </c>
      <c r="AQ2738" s="23" t="s">
        <v>30</v>
      </c>
      <c r="AR2738" s="23" t="s">
        <v>46</v>
      </c>
      <c r="AS2738" s="25">
        <v>6059450</v>
      </c>
      <c r="AT2738" t="s">
        <v>26</v>
      </c>
      <c r="AU2738" t="s">
        <v>25773</v>
      </c>
    </row>
    <row r="2739" spans="1:47" ht="26.25" x14ac:dyDescent="0.4">
      <c r="A2739" s="23" t="s">
        <v>7083</v>
      </c>
      <c r="B2739" t="s">
        <v>26</v>
      </c>
      <c r="C2739" s="23" t="s">
        <v>1612</v>
      </c>
      <c r="D2739" s="23" t="s">
        <v>23047</v>
      </c>
      <c r="E2739" s="23" t="s">
        <v>42</v>
      </c>
      <c r="F2739" t="s">
        <v>26</v>
      </c>
      <c r="G2739" t="s">
        <v>26</v>
      </c>
      <c r="H2739" t="s">
        <v>26</v>
      </c>
      <c r="I2739" t="s">
        <v>26</v>
      </c>
      <c r="J2739" t="s">
        <v>26</v>
      </c>
      <c r="K2739" t="s">
        <v>26</v>
      </c>
      <c r="L2739" s="25" t="s">
        <v>28</v>
      </c>
      <c r="M2739" t="s">
        <v>26</v>
      </c>
      <c r="N2739" t="s">
        <v>26</v>
      </c>
      <c r="O2739" t="s">
        <v>26</v>
      </c>
      <c r="P2739" t="s">
        <v>26</v>
      </c>
      <c r="Q2739" t="s">
        <v>26</v>
      </c>
      <c r="R2739" t="s">
        <v>26</v>
      </c>
      <c r="S2739" t="s">
        <v>26</v>
      </c>
      <c r="T2739" t="s">
        <v>26</v>
      </c>
      <c r="U2739" t="s">
        <v>26</v>
      </c>
      <c r="V2739" t="s">
        <v>26</v>
      </c>
      <c r="W2739" s="24">
        <v>40544</v>
      </c>
      <c r="X2739" s="24">
        <v>40544</v>
      </c>
      <c r="Y2739" t="s">
        <v>26</v>
      </c>
      <c r="Z2739" s="24">
        <v>40544</v>
      </c>
      <c r="AA2739" s="24">
        <v>40544</v>
      </c>
      <c r="AB2739" t="s">
        <v>26</v>
      </c>
      <c r="AC2739" t="s">
        <v>26</v>
      </c>
      <c r="AD2739" t="s">
        <v>26</v>
      </c>
      <c r="AE2739" t="s">
        <v>26</v>
      </c>
      <c r="AF2739" t="s">
        <v>26</v>
      </c>
      <c r="AG2739" t="s">
        <v>26</v>
      </c>
      <c r="AH2739" t="s">
        <v>26</v>
      </c>
      <c r="AI2739" t="s">
        <v>26</v>
      </c>
      <c r="AJ2739" t="s">
        <v>26</v>
      </c>
      <c r="AK2739" t="s">
        <v>26</v>
      </c>
      <c r="AL2739" t="s">
        <v>26</v>
      </c>
      <c r="AM2739" t="s">
        <v>26</v>
      </c>
      <c r="AN2739" t="s">
        <v>26</v>
      </c>
      <c r="AO2739" s="25" t="s">
        <v>28</v>
      </c>
      <c r="AP2739" s="23" t="s">
        <v>29</v>
      </c>
      <c r="AQ2739" s="23" t="s">
        <v>30</v>
      </c>
      <c r="AR2739" s="23" t="s">
        <v>147</v>
      </c>
      <c r="AS2739" s="25">
        <v>5485069</v>
      </c>
      <c r="AT2739" s="23" t="s">
        <v>22181</v>
      </c>
      <c r="AU2739" t="s">
        <v>25774</v>
      </c>
    </row>
    <row r="2740" spans="1:47" ht="26.25" x14ac:dyDescent="0.4">
      <c r="A2740" s="23" t="s">
        <v>7084</v>
      </c>
      <c r="B2740" t="s">
        <v>26</v>
      </c>
      <c r="C2740" s="23" t="s">
        <v>292</v>
      </c>
      <c r="D2740" s="23" t="s">
        <v>22256</v>
      </c>
      <c r="E2740" s="23" t="s">
        <v>42</v>
      </c>
      <c r="F2740" t="s">
        <v>26</v>
      </c>
      <c r="G2740" t="s">
        <v>26</v>
      </c>
      <c r="H2740" t="s">
        <v>26</v>
      </c>
      <c r="I2740" s="24">
        <v>41275</v>
      </c>
      <c r="J2740" s="24">
        <v>41275</v>
      </c>
      <c r="K2740" t="s">
        <v>26</v>
      </c>
      <c r="L2740" s="25" t="s">
        <v>28</v>
      </c>
      <c r="M2740" t="s">
        <v>26</v>
      </c>
      <c r="N2740" t="s">
        <v>26</v>
      </c>
      <c r="O2740" t="s">
        <v>26</v>
      </c>
      <c r="P2740" s="24">
        <v>41275</v>
      </c>
      <c r="Q2740" s="24">
        <v>41275</v>
      </c>
      <c r="R2740" t="s">
        <v>26</v>
      </c>
      <c r="S2740" t="s">
        <v>26</v>
      </c>
      <c r="T2740" t="s">
        <v>26</v>
      </c>
      <c r="U2740" t="s">
        <v>26</v>
      </c>
      <c r="V2740" t="s">
        <v>26</v>
      </c>
      <c r="W2740" s="24">
        <v>41275</v>
      </c>
      <c r="X2740" s="24">
        <v>41275</v>
      </c>
      <c r="Y2740" t="s">
        <v>26</v>
      </c>
      <c r="Z2740" s="24">
        <v>41275</v>
      </c>
      <c r="AA2740" s="24">
        <v>41275</v>
      </c>
      <c r="AB2740" t="s">
        <v>26</v>
      </c>
      <c r="AC2740" s="24">
        <v>41275</v>
      </c>
      <c r="AD2740" s="24">
        <v>41275</v>
      </c>
      <c r="AE2740" t="s">
        <v>26</v>
      </c>
      <c r="AF2740" t="s">
        <v>26</v>
      </c>
      <c r="AG2740" t="s">
        <v>26</v>
      </c>
      <c r="AH2740" t="s">
        <v>26</v>
      </c>
      <c r="AI2740" t="s">
        <v>26</v>
      </c>
      <c r="AJ2740" t="s">
        <v>26</v>
      </c>
      <c r="AK2740" t="s">
        <v>26</v>
      </c>
      <c r="AL2740" t="s">
        <v>26</v>
      </c>
      <c r="AM2740" t="s">
        <v>26</v>
      </c>
      <c r="AN2740" t="s">
        <v>26</v>
      </c>
      <c r="AO2740" s="25" t="s">
        <v>28</v>
      </c>
      <c r="AP2740" s="23" t="s">
        <v>29</v>
      </c>
      <c r="AQ2740" s="23" t="s">
        <v>30</v>
      </c>
      <c r="AR2740" s="23" t="s">
        <v>147</v>
      </c>
      <c r="AS2740" s="25">
        <v>5325191</v>
      </c>
      <c r="AT2740" s="23" t="s">
        <v>22181</v>
      </c>
      <c r="AU2740" t="s">
        <v>25775</v>
      </c>
    </row>
    <row r="2741" spans="1:47" ht="26.25" x14ac:dyDescent="0.4">
      <c r="A2741" s="23" t="s">
        <v>7085</v>
      </c>
      <c r="B2741" t="s">
        <v>26</v>
      </c>
      <c r="C2741" s="23" t="s">
        <v>80</v>
      </c>
      <c r="D2741" s="23" t="s">
        <v>22184</v>
      </c>
      <c r="E2741" s="23" t="s">
        <v>60</v>
      </c>
      <c r="F2741" s="25" t="s">
        <v>7086</v>
      </c>
      <c r="G2741" s="25" t="s">
        <v>7087</v>
      </c>
      <c r="H2741" t="s">
        <v>26</v>
      </c>
      <c r="I2741" s="24">
        <v>35796</v>
      </c>
      <c r="J2741" s="24">
        <v>36800</v>
      </c>
      <c r="K2741" t="s">
        <v>26</v>
      </c>
      <c r="L2741" s="25" t="s">
        <v>68</v>
      </c>
      <c r="M2741" s="24">
        <v>35796</v>
      </c>
      <c r="N2741" s="24">
        <v>36800</v>
      </c>
      <c r="O2741" t="s">
        <v>26</v>
      </c>
      <c r="P2741" s="24">
        <v>35796</v>
      </c>
      <c r="Q2741" s="24">
        <v>36800</v>
      </c>
      <c r="R2741" t="s">
        <v>26</v>
      </c>
      <c r="S2741" t="s">
        <v>26</v>
      </c>
      <c r="T2741" t="s">
        <v>26</v>
      </c>
      <c r="U2741" t="s">
        <v>26</v>
      </c>
      <c r="V2741" t="s">
        <v>26</v>
      </c>
      <c r="W2741" s="24">
        <v>35796</v>
      </c>
      <c r="X2741" s="25" t="s">
        <v>77</v>
      </c>
      <c r="Y2741" s="25" t="s">
        <v>6635</v>
      </c>
      <c r="Z2741" s="24">
        <v>35796</v>
      </c>
      <c r="AA2741" s="25" t="s">
        <v>77</v>
      </c>
      <c r="AB2741" s="25" t="s">
        <v>6635</v>
      </c>
      <c r="AC2741" s="24">
        <v>40940</v>
      </c>
      <c r="AD2741" s="25" t="s">
        <v>77</v>
      </c>
      <c r="AE2741" t="s">
        <v>26</v>
      </c>
      <c r="AF2741" t="s">
        <v>26</v>
      </c>
      <c r="AG2741" t="s">
        <v>26</v>
      </c>
      <c r="AH2741" t="s">
        <v>26</v>
      </c>
      <c r="AI2741" t="s">
        <v>26</v>
      </c>
      <c r="AJ2741" t="s">
        <v>26</v>
      </c>
      <c r="AK2741" t="s">
        <v>26</v>
      </c>
      <c r="AL2741" t="s">
        <v>26</v>
      </c>
      <c r="AM2741" t="s">
        <v>26</v>
      </c>
      <c r="AN2741" t="s">
        <v>26</v>
      </c>
      <c r="AO2741" s="25" t="s">
        <v>68</v>
      </c>
      <c r="AP2741" s="23" t="s">
        <v>69</v>
      </c>
      <c r="AQ2741" s="23" t="s">
        <v>30</v>
      </c>
      <c r="AR2741" s="23" t="s">
        <v>1269</v>
      </c>
      <c r="AS2741" s="25">
        <v>33819</v>
      </c>
      <c r="AT2741" t="s">
        <v>26</v>
      </c>
      <c r="AU2741" t="s">
        <v>25776</v>
      </c>
    </row>
    <row r="2742" spans="1:47" ht="26.25" x14ac:dyDescent="0.4">
      <c r="A2742" s="23" t="s">
        <v>7088</v>
      </c>
      <c r="B2742" t="s">
        <v>26</v>
      </c>
      <c r="C2742" s="23" t="s">
        <v>292</v>
      </c>
      <c r="D2742" s="23" t="s">
        <v>22256</v>
      </c>
      <c r="E2742" s="23" t="s">
        <v>42</v>
      </c>
      <c r="F2742" t="s">
        <v>26</v>
      </c>
      <c r="G2742" t="s">
        <v>26</v>
      </c>
      <c r="H2742" t="s">
        <v>26</v>
      </c>
      <c r="I2742" t="s">
        <v>26</v>
      </c>
      <c r="J2742" t="s">
        <v>26</v>
      </c>
      <c r="K2742" t="s">
        <v>26</v>
      </c>
      <c r="L2742" s="25" t="s">
        <v>28</v>
      </c>
      <c r="M2742" t="s">
        <v>26</v>
      </c>
      <c r="N2742" t="s">
        <v>26</v>
      </c>
      <c r="O2742" t="s">
        <v>26</v>
      </c>
      <c r="P2742" t="s">
        <v>26</v>
      </c>
      <c r="Q2742" t="s">
        <v>26</v>
      </c>
      <c r="R2742" t="s">
        <v>26</v>
      </c>
      <c r="S2742" t="s">
        <v>26</v>
      </c>
      <c r="T2742" t="s">
        <v>26</v>
      </c>
      <c r="U2742" t="s">
        <v>26</v>
      </c>
      <c r="V2742" t="s">
        <v>26</v>
      </c>
      <c r="W2742" s="24">
        <v>39814</v>
      </c>
      <c r="X2742" s="24">
        <v>39814</v>
      </c>
      <c r="Y2742" t="s">
        <v>26</v>
      </c>
      <c r="Z2742" s="24">
        <v>39814</v>
      </c>
      <c r="AA2742" s="24">
        <v>39814</v>
      </c>
      <c r="AB2742" t="s">
        <v>26</v>
      </c>
      <c r="AC2742" t="s">
        <v>26</v>
      </c>
      <c r="AD2742" t="s">
        <v>26</v>
      </c>
      <c r="AE2742" t="s">
        <v>26</v>
      </c>
      <c r="AF2742" t="s">
        <v>26</v>
      </c>
      <c r="AG2742" t="s">
        <v>26</v>
      </c>
      <c r="AH2742" t="s">
        <v>26</v>
      </c>
      <c r="AI2742" t="s">
        <v>26</v>
      </c>
      <c r="AJ2742" t="s">
        <v>26</v>
      </c>
      <c r="AK2742" t="s">
        <v>26</v>
      </c>
      <c r="AL2742" t="s">
        <v>26</v>
      </c>
      <c r="AM2742" t="s">
        <v>26</v>
      </c>
      <c r="AN2742" t="s">
        <v>26</v>
      </c>
      <c r="AO2742" s="25" t="s">
        <v>28</v>
      </c>
      <c r="AP2742" s="23" t="s">
        <v>29</v>
      </c>
      <c r="AQ2742" s="23" t="s">
        <v>30</v>
      </c>
      <c r="AR2742" s="23" t="s">
        <v>147</v>
      </c>
      <c r="AS2742" s="25">
        <v>5485124</v>
      </c>
      <c r="AT2742" s="23" t="s">
        <v>22181</v>
      </c>
      <c r="AU2742" t="s">
        <v>25777</v>
      </c>
    </row>
    <row r="2743" spans="1:47" ht="26.25" x14ac:dyDescent="0.4">
      <c r="A2743" s="23" t="s">
        <v>7089</v>
      </c>
      <c r="B2743" t="s">
        <v>26</v>
      </c>
      <c r="C2743" s="23" t="s">
        <v>25778</v>
      </c>
      <c r="D2743" s="23" t="s">
        <v>22294</v>
      </c>
      <c r="E2743" s="23" t="s">
        <v>42</v>
      </c>
      <c r="F2743" t="s">
        <v>26</v>
      </c>
      <c r="G2743" t="s">
        <v>26</v>
      </c>
      <c r="H2743" t="s">
        <v>26</v>
      </c>
      <c r="I2743" s="24">
        <v>41275</v>
      </c>
      <c r="J2743" s="24">
        <v>41275</v>
      </c>
      <c r="K2743" t="s">
        <v>26</v>
      </c>
      <c r="L2743" s="25" t="s">
        <v>28</v>
      </c>
      <c r="M2743" s="24">
        <v>41275</v>
      </c>
      <c r="N2743" s="24">
        <v>41275</v>
      </c>
      <c r="O2743" t="s">
        <v>26</v>
      </c>
      <c r="P2743" t="s">
        <v>26</v>
      </c>
      <c r="Q2743" t="s">
        <v>26</v>
      </c>
      <c r="R2743" t="s">
        <v>26</v>
      </c>
      <c r="S2743" s="24">
        <v>41275</v>
      </c>
      <c r="T2743" s="24">
        <v>41275</v>
      </c>
      <c r="U2743" t="s">
        <v>26</v>
      </c>
      <c r="V2743" t="s">
        <v>26</v>
      </c>
      <c r="W2743" s="24">
        <v>41275</v>
      </c>
      <c r="X2743" s="24">
        <v>41275</v>
      </c>
      <c r="Y2743" t="s">
        <v>26</v>
      </c>
      <c r="Z2743" s="24">
        <v>41275</v>
      </c>
      <c r="AA2743" s="24">
        <v>41275</v>
      </c>
      <c r="AB2743" t="s">
        <v>26</v>
      </c>
      <c r="AC2743" s="24">
        <v>41275</v>
      </c>
      <c r="AD2743" s="24">
        <v>41275</v>
      </c>
      <c r="AE2743" t="s">
        <v>26</v>
      </c>
      <c r="AF2743" s="24">
        <v>41275</v>
      </c>
      <c r="AG2743" s="24">
        <v>41275</v>
      </c>
      <c r="AH2743" t="s">
        <v>26</v>
      </c>
      <c r="AI2743" s="24">
        <v>41275</v>
      </c>
      <c r="AJ2743" s="24">
        <v>41275</v>
      </c>
      <c r="AK2743" t="s">
        <v>26</v>
      </c>
      <c r="AL2743" t="s">
        <v>26</v>
      </c>
      <c r="AM2743" t="s">
        <v>26</v>
      </c>
      <c r="AN2743" t="s">
        <v>26</v>
      </c>
      <c r="AO2743" s="25" t="s">
        <v>28</v>
      </c>
      <c r="AP2743" s="23" t="s">
        <v>43</v>
      </c>
      <c r="AQ2743" s="23" t="s">
        <v>30</v>
      </c>
      <c r="AR2743" s="23" t="s">
        <v>46</v>
      </c>
      <c r="AS2743" s="25">
        <v>6364599</v>
      </c>
      <c r="AT2743" t="s">
        <v>26</v>
      </c>
      <c r="AU2743" t="s">
        <v>25779</v>
      </c>
    </row>
    <row r="2744" spans="1:47" ht="26.25" x14ac:dyDescent="0.4">
      <c r="A2744" s="23" t="s">
        <v>7090</v>
      </c>
      <c r="B2744" t="s">
        <v>26</v>
      </c>
      <c r="C2744" s="23" t="s">
        <v>80</v>
      </c>
      <c r="D2744" s="23" t="s">
        <v>22190</v>
      </c>
      <c r="E2744" s="23" t="s">
        <v>60</v>
      </c>
      <c r="F2744" s="25" t="s">
        <v>7091</v>
      </c>
      <c r="G2744" s="25" t="s">
        <v>7092</v>
      </c>
      <c r="H2744" t="s">
        <v>26</v>
      </c>
      <c r="I2744" t="s">
        <v>26</v>
      </c>
      <c r="J2744" t="s">
        <v>26</v>
      </c>
      <c r="K2744" t="s">
        <v>26</v>
      </c>
      <c r="L2744" s="25" t="s">
        <v>68</v>
      </c>
      <c r="M2744" t="s">
        <v>26</v>
      </c>
      <c r="N2744" t="s">
        <v>26</v>
      </c>
      <c r="O2744" t="s">
        <v>26</v>
      </c>
      <c r="P2744" t="s">
        <v>26</v>
      </c>
      <c r="Q2744" t="s">
        <v>26</v>
      </c>
      <c r="R2744" t="s">
        <v>26</v>
      </c>
      <c r="S2744" t="s">
        <v>26</v>
      </c>
      <c r="T2744" t="s">
        <v>26</v>
      </c>
      <c r="U2744" t="s">
        <v>26</v>
      </c>
      <c r="V2744" t="s">
        <v>26</v>
      </c>
      <c r="W2744" s="24">
        <v>36161</v>
      </c>
      <c r="X2744" s="25" t="s">
        <v>77</v>
      </c>
      <c r="Y2744" t="s">
        <v>26</v>
      </c>
      <c r="Z2744" s="24">
        <v>36161</v>
      </c>
      <c r="AA2744" s="25" t="s">
        <v>77</v>
      </c>
      <c r="AB2744" t="s">
        <v>26</v>
      </c>
      <c r="AC2744" s="24">
        <v>36161</v>
      </c>
      <c r="AD2744" s="25" t="s">
        <v>77</v>
      </c>
      <c r="AE2744" t="s">
        <v>26</v>
      </c>
      <c r="AF2744" t="s">
        <v>26</v>
      </c>
      <c r="AG2744" t="s">
        <v>26</v>
      </c>
      <c r="AH2744" t="s">
        <v>26</v>
      </c>
      <c r="AI2744" t="s">
        <v>26</v>
      </c>
      <c r="AJ2744" t="s">
        <v>26</v>
      </c>
      <c r="AK2744" t="s">
        <v>26</v>
      </c>
      <c r="AL2744" t="s">
        <v>26</v>
      </c>
      <c r="AM2744" t="s">
        <v>26</v>
      </c>
      <c r="AN2744" t="s">
        <v>26</v>
      </c>
      <c r="AO2744" s="25" t="s">
        <v>68</v>
      </c>
      <c r="AP2744" s="23" t="s">
        <v>69</v>
      </c>
      <c r="AQ2744" s="23" t="s">
        <v>30</v>
      </c>
      <c r="AR2744" s="23" t="s">
        <v>3816</v>
      </c>
      <c r="AS2744" s="25">
        <v>48406</v>
      </c>
      <c r="AT2744" t="s">
        <v>26</v>
      </c>
      <c r="AU2744" t="s">
        <v>25780</v>
      </c>
    </row>
    <row r="2745" spans="1:47" ht="13.15" x14ac:dyDescent="0.4">
      <c r="A2745" s="23" t="s">
        <v>7093</v>
      </c>
      <c r="B2745" t="s">
        <v>26</v>
      </c>
      <c r="C2745" s="23" t="s">
        <v>48</v>
      </c>
      <c r="D2745" s="23" t="s">
        <v>22168</v>
      </c>
      <c r="E2745" s="23" t="s">
        <v>42</v>
      </c>
      <c r="F2745" t="s">
        <v>26</v>
      </c>
      <c r="G2745" t="s">
        <v>26</v>
      </c>
      <c r="H2745" t="s">
        <v>26</v>
      </c>
      <c r="I2745" t="s">
        <v>26</v>
      </c>
      <c r="J2745" t="s">
        <v>26</v>
      </c>
      <c r="K2745" t="s">
        <v>26</v>
      </c>
      <c r="L2745" s="25" t="s">
        <v>28</v>
      </c>
      <c r="M2745" t="s">
        <v>26</v>
      </c>
      <c r="N2745" t="s">
        <v>26</v>
      </c>
      <c r="O2745" t="s">
        <v>26</v>
      </c>
      <c r="P2745" t="s">
        <v>26</v>
      </c>
      <c r="Q2745" t="s">
        <v>26</v>
      </c>
      <c r="R2745" t="s">
        <v>26</v>
      </c>
      <c r="S2745" t="s">
        <v>26</v>
      </c>
      <c r="T2745" t="s">
        <v>26</v>
      </c>
      <c r="U2745" t="s">
        <v>26</v>
      </c>
      <c r="V2745" t="s">
        <v>26</v>
      </c>
      <c r="W2745" s="24">
        <v>41275</v>
      </c>
      <c r="X2745" s="24">
        <v>41275</v>
      </c>
      <c r="Y2745" t="s">
        <v>26</v>
      </c>
      <c r="Z2745" s="24">
        <v>41275</v>
      </c>
      <c r="AA2745" s="24">
        <v>41275</v>
      </c>
      <c r="AB2745" t="s">
        <v>26</v>
      </c>
      <c r="AC2745" t="s">
        <v>26</v>
      </c>
      <c r="AD2745" t="s">
        <v>26</v>
      </c>
      <c r="AE2745" t="s">
        <v>26</v>
      </c>
      <c r="AF2745" t="s">
        <v>26</v>
      </c>
      <c r="AG2745" t="s">
        <v>26</v>
      </c>
      <c r="AH2745" t="s">
        <v>26</v>
      </c>
      <c r="AI2745" t="s">
        <v>26</v>
      </c>
      <c r="AJ2745" t="s">
        <v>26</v>
      </c>
      <c r="AK2745" t="s">
        <v>26</v>
      </c>
      <c r="AL2745" t="s">
        <v>26</v>
      </c>
      <c r="AM2745" t="s">
        <v>26</v>
      </c>
      <c r="AN2745" t="s">
        <v>26</v>
      </c>
      <c r="AO2745" s="25" t="s">
        <v>28</v>
      </c>
      <c r="AP2745" s="23" t="s">
        <v>29</v>
      </c>
      <c r="AQ2745" s="23" t="s">
        <v>30</v>
      </c>
      <c r="AR2745" s="23" t="s">
        <v>44</v>
      </c>
      <c r="AS2745" s="25">
        <v>5485062</v>
      </c>
      <c r="AT2745" s="23" t="s">
        <v>22181</v>
      </c>
      <c r="AU2745" t="s">
        <v>25781</v>
      </c>
    </row>
    <row r="2746" spans="1:47" ht="26.25" x14ac:dyDescent="0.4">
      <c r="A2746" s="23" t="s">
        <v>7094</v>
      </c>
      <c r="B2746" t="s">
        <v>26</v>
      </c>
      <c r="C2746" s="23" t="s">
        <v>48</v>
      </c>
      <c r="D2746" s="23" t="s">
        <v>22168</v>
      </c>
      <c r="E2746" s="23" t="s">
        <v>42</v>
      </c>
      <c r="F2746" t="s">
        <v>26</v>
      </c>
      <c r="G2746" t="s">
        <v>26</v>
      </c>
      <c r="H2746" t="s">
        <v>26</v>
      </c>
      <c r="I2746" t="s">
        <v>26</v>
      </c>
      <c r="J2746" t="s">
        <v>26</v>
      </c>
      <c r="K2746" t="s">
        <v>26</v>
      </c>
      <c r="L2746" s="25" t="s">
        <v>28</v>
      </c>
      <c r="M2746" t="s">
        <v>26</v>
      </c>
      <c r="N2746" t="s">
        <v>26</v>
      </c>
      <c r="O2746" t="s">
        <v>26</v>
      </c>
      <c r="P2746" t="s">
        <v>26</v>
      </c>
      <c r="Q2746" t="s">
        <v>26</v>
      </c>
      <c r="R2746" t="s">
        <v>26</v>
      </c>
      <c r="S2746" t="s">
        <v>26</v>
      </c>
      <c r="T2746" t="s">
        <v>26</v>
      </c>
      <c r="U2746" t="s">
        <v>26</v>
      </c>
      <c r="V2746" t="s">
        <v>26</v>
      </c>
      <c r="W2746" s="24">
        <v>40544</v>
      </c>
      <c r="X2746" s="24">
        <v>40544</v>
      </c>
      <c r="Y2746" t="s">
        <v>26</v>
      </c>
      <c r="Z2746" s="24">
        <v>40544</v>
      </c>
      <c r="AA2746" s="24">
        <v>40544</v>
      </c>
      <c r="AB2746" t="s">
        <v>26</v>
      </c>
      <c r="AC2746" t="s">
        <v>26</v>
      </c>
      <c r="AD2746" t="s">
        <v>26</v>
      </c>
      <c r="AE2746" t="s">
        <v>26</v>
      </c>
      <c r="AF2746" t="s">
        <v>26</v>
      </c>
      <c r="AG2746" t="s">
        <v>26</v>
      </c>
      <c r="AH2746" t="s">
        <v>26</v>
      </c>
      <c r="AI2746" t="s">
        <v>26</v>
      </c>
      <c r="AJ2746" t="s">
        <v>26</v>
      </c>
      <c r="AK2746" t="s">
        <v>26</v>
      </c>
      <c r="AL2746" t="s">
        <v>26</v>
      </c>
      <c r="AM2746" t="s">
        <v>26</v>
      </c>
      <c r="AN2746" t="s">
        <v>26</v>
      </c>
      <c r="AO2746" s="25" t="s">
        <v>28</v>
      </c>
      <c r="AP2746" s="23" t="s">
        <v>29</v>
      </c>
      <c r="AQ2746" s="23" t="s">
        <v>30</v>
      </c>
      <c r="AR2746" s="23" t="s">
        <v>44</v>
      </c>
      <c r="AS2746" s="25">
        <v>5485061</v>
      </c>
      <c r="AT2746" s="23" t="s">
        <v>22181</v>
      </c>
      <c r="AU2746" t="s">
        <v>25782</v>
      </c>
    </row>
    <row r="2747" spans="1:47" ht="26.25" x14ac:dyDescent="0.4">
      <c r="A2747" s="23" t="s">
        <v>7095</v>
      </c>
      <c r="B2747" t="s">
        <v>26</v>
      </c>
      <c r="C2747" s="23" t="s">
        <v>146</v>
      </c>
      <c r="D2747" s="23" t="s">
        <v>22174</v>
      </c>
      <c r="E2747" s="23" t="s">
        <v>60</v>
      </c>
      <c r="F2747" t="s">
        <v>26</v>
      </c>
      <c r="G2747" t="s">
        <v>26</v>
      </c>
      <c r="H2747" t="s">
        <v>26</v>
      </c>
      <c r="I2747" t="s">
        <v>26</v>
      </c>
      <c r="J2747" t="s">
        <v>26</v>
      </c>
      <c r="K2747" t="s">
        <v>26</v>
      </c>
      <c r="L2747" s="25" t="s">
        <v>28</v>
      </c>
      <c r="M2747" t="s">
        <v>26</v>
      </c>
      <c r="N2747" t="s">
        <v>26</v>
      </c>
      <c r="O2747" t="s">
        <v>26</v>
      </c>
      <c r="P2747" t="s">
        <v>26</v>
      </c>
      <c r="Q2747" t="s">
        <v>26</v>
      </c>
      <c r="R2747" t="s">
        <v>26</v>
      </c>
      <c r="S2747" t="s">
        <v>26</v>
      </c>
      <c r="T2747" t="s">
        <v>26</v>
      </c>
      <c r="U2747" t="s">
        <v>26</v>
      </c>
      <c r="V2747" t="s">
        <v>26</v>
      </c>
      <c r="W2747" s="24">
        <v>42005</v>
      </c>
      <c r="X2747" s="24">
        <v>42005</v>
      </c>
      <c r="Y2747" t="s">
        <v>26</v>
      </c>
      <c r="Z2747" s="24">
        <v>42005</v>
      </c>
      <c r="AA2747" s="24">
        <v>42005</v>
      </c>
      <c r="AB2747" t="s">
        <v>26</v>
      </c>
      <c r="AC2747" t="s">
        <v>26</v>
      </c>
      <c r="AD2747" t="s">
        <v>26</v>
      </c>
      <c r="AE2747" t="s">
        <v>26</v>
      </c>
      <c r="AF2747" t="s">
        <v>26</v>
      </c>
      <c r="AG2747" t="s">
        <v>26</v>
      </c>
      <c r="AH2747" t="s">
        <v>26</v>
      </c>
      <c r="AI2747" t="s">
        <v>26</v>
      </c>
      <c r="AJ2747" t="s">
        <v>26</v>
      </c>
      <c r="AK2747" t="s">
        <v>26</v>
      </c>
      <c r="AL2747" t="s">
        <v>26</v>
      </c>
      <c r="AM2747" t="s">
        <v>26</v>
      </c>
      <c r="AN2747" t="s">
        <v>26</v>
      </c>
      <c r="AO2747" s="25" t="s">
        <v>28</v>
      </c>
      <c r="AP2747" s="23" t="s">
        <v>29</v>
      </c>
      <c r="AQ2747" s="23" t="s">
        <v>30</v>
      </c>
      <c r="AR2747" s="23" t="s">
        <v>44</v>
      </c>
      <c r="AS2747" s="25">
        <v>5485109</v>
      </c>
      <c r="AT2747" s="23" t="s">
        <v>22181</v>
      </c>
      <c r="AU2747" t="s">
        <v>25783</v>
      </c>
    </row>
    <row r="2748" spans="1:47" ht="26.25" x14ac:dyDescent="0.4">
      <c r="A2748" s="23" t="s">
        <v>7096</v>
      </c>
      <c r="B2748" t="s">
        <v>26</v>
      </c>
      <c r="C2748" s="23" t="s">
        <v>48</v>
      </c>
      <c r="D2748" s="23" t="s">
        <v>22168</v>
      </c>
      <c r="E2748" s="23" t="s">
        <v>42</v>
      </c>
      <c r="F2748" t="s">
        <v>26</v>
      </c>
      <c r="G2748" t="s">
        <v>26</v>
      </c>
      <c r="H2748" t="s">
        <v>26</v>
      </c>
      <c r="I2748" t="s">
        <v>26</v>
      </c>
      <c r="J2748" t="s">
        <v>26</v>
      </c>
      <c r="K2748" t="s">
        <v>26</v>
      </c>
      <c r="L2748" s="25" t="s">
        <v>28</v>
      </c>
      <c r="M2748" t="s">
        <v>26</v>
      </c>
      <c r="N2748" t="s">
        <v>26</v>
      </c>
      <c r="O2748" t="s">
        <v>26</v>
      </c>
      <c r="P2748" t="s">
        <v>26</v>
      </c>
      <c r="Q2748" t="s">
        <v>26</v>
      </c>
      <c r="R2748" t="s">
        <v>26</v>
      </c>
      <c r="S2748" t="s">
        <v>26</v>
      </c>
      <c r="T2748" t="s">
        <v>26</v>
      </c>
      <c r="U2748" t="s">
        <v>26</v>
      </c>
      <c r="V2748" t="s">
        <v>26</v>
      </c>
      <c r="W2748" s="24">
        <v>40544</v>
      </c>
      <c r="X2748" s="24">
        <v>40544</v>
      </c>
      <c r="Y2748" t="s">
        <v>26</v>
      </c>
      <c r="Z2748" s="24">
        <v>40544</v>
      </c>
      <c r="AA2748" s="24">
        <v>40544</v>
      </c>
      <c r="AB2748" t="s">
        <v>26</v>
      </c>
      <c r="AC2748" t="s">
        <v>26</v>
      </c>
      <c r="AD2748" t="s">
        <v>26</v>
      </c>
      <c r="AE2748" t="s">
        <v>26</v>
      </c>
      <c r="AF2748" t="s">
        <v>26</v>
      </c>
      <c r="AG2748" t="s">
        <v>26</v>
      </c>
      <c r="AH2748" t="s">
        <v>26</v>
      </c>
      <c r="AI2748" t="s">
        <v>26</v>
      </c>
      <c r="AJ2748" t="s">
        <v>26</v>
      </c>
      <c r="AK2748" t="s">
        <v>26</v>
      </c>
      <c r="AL2748" t="s">
        <v>26</v>
      </c>
      <c r="AM2748" t="s">
        <v>26</v>
      </c>
      <c r="AN2748" t="s">
        <v>26</v>
      </c>
      <c r="AO2748" s="25" t="s">
        <v>28</v>
      </c>
      <c r="AP2748" s="23" t="s">
        <v>29</v>
      </c>
      <c r="AQ2748" s="23" t="s">
        <v>30</v>
      </c>
      <c r="AR2748" s="23" t="s">
        <v>44</v>
      </c>
      <c r="AS2748" s="25">
        <v>5485060</v>
      </c>
      <c r="AT2748" s="23" t="s">
        <v>22181</v>
      </c>
      <c r="AU2748" t="s">
        <v>25784</v>
      </c>
    </row>
    <row r="2749" spans="1:47" ht="39.4" x14ac:dyDescent="0.4">
      <c r="A2749" s="23" t="s">
        <v>7097</v>
      </c>
      <c r="B2749" t="s">
        <v>26</v>
      </c>
      <c r="C2749" s="23" t="s">
        <v>48</v>
      </c>
      <c r="D2749" s="23" t="s">
        <v>22168</v>
      </c>
      <c r="E2749" s="23" t="s">
        <v>42</v>
      </c>
      <c r="F2749" t="s">
        <v>26</v>
      </c>
      <c r="G2749" t="s">
        <v>26</v>
      </c>
      <c r="H2749" t="s">
        <v>26</v>
      </c>
      <c r="I2749" t="s">
        <v>26</v>
      </c>
      <c r="J2749" t="s">
        <v>26</v>
      </c>
      <c r="K2749" t="s">
        <v>26</v>
      </c>
      <c r="L2749" s="25" t="s">
        <v>28</v>
      </c>
      <c r="M2749" t="s">
        <v>26</v>
      </c>
      <c r="N2749" t="s">
        <v>26</v>
      </c>
      <c r="O2749" t="s">
        <v>26</v>
      </c>
      <c r="P2749" t="s">
        <v>26</v>
      </c>
      <c r="Q2749" t="s">
        <v>26</v>
      </c>
      <c r="R2749" t="s">
        <v>26</v>
      </c>
      <c r="S2749" t="s">
        <v>26</v>
      </c>
      <c r="T2749" t="s">
        <v>26</v>
      </c>
      <c r="U2749" t="s">
        <v>26</v>
      </c>
      <c r="V2749" t="s">
        <v>26</v>
      </c>
      <c r="W2749" s="24">
        <v>41275</v>
      </c>
      <c r="X2749" s="24">
        <v>41275</v>
      </c>
      <c r="Y2749" t="s">
        <v>26</v>
      </c>
      <c r="Z2749" s="24">
        <v>41275</v>
      </c>
      <c r="AA2749" s="24">
        <v>41275</v>
      </c>
      <c r="AB2749" t="s">
        <v>26</v>
      </c>
      <c r="AC2749" t="s">
        <v>26</v>
      </c>
      <c r="AD2749" t="s">
        <v>26</v>
      </c>
      <c r="AE2749" t="s">
        <v>26</v>
      </c>
      <c r="AF2749" t="s">
        <v>26</v>
      </c>
      <c r="AG2749" t="s">
        <v>26</v>
      </c>
      <c r="AH2749" t="s">
        <v>26</v>
      </c>
      <c r="AI2749" t="s">
        <v>26</v>
      </c>
      <c r="AJ2749" t="s">
        <v>26</v>
      </c>
      <c r="AK2749" t="s">
        <v>26</v>
      </c>
      <c r="AL2749" t="s">
        <v>26</v>
      </c>
      <c r="AM2749" t="s">
        <v>26</v>
      </c>
      <c r="AN2749" t="s">
        <v>26</v>
      </c>
      <c r="AO2749" s="25" t="s">
        <v>28</v>
      </c>
      <c r="AP2749" s="23" t="s">
        <v>29</v>
      </c>
      <c r="AQ2749" s="23" t="s">
        <v>30</v>
      </c>
      <c r="AR2749" s="23" t="s">
        <v>44</v>
      </c>
      <c r="AS2749" s="25">
        <v>5485059</v>
      </c>
      <c r="AT2749" s="23" t="s">
        <v>22181</v>
      </c>
      <c r="AU2749" t="s">
        <v>25785</v>
      </c>
    </row>
    <row r="2750" spans="1:47" ht="13.15" x14ac:dyDescent="0.4">
      <c r="A2750" s="23" t="s">
        <v>7098</v>
      </c>
      <c r="B2750" t="s">
        <v>26</v>
      </c>
      <c r="C2750" s="23" t="s">
        <v>48</v>
      </c>
      <c r="D2750" s="23" t="s">
        <v>22168</v>
      </c>
      <c r="E2750" s="23" t="s">
        <v>42</v>
      </c>
      <c r="F2750" t="s">
        <v>26</v>
      </c>
      <c r="G2750" t="s">
        <v>26</v>
      </c>
      <c r="H2750" t="s">
        <v>26</v>
      </c>
      <c r="I2750" t="s">
        <v>26</v>
      </c>
      <c r="J2750" t="s">
        <v>26</v>
      </c>
      <c r="K2750" t="s">
        <v>26</v>
      </c>
      <c r="L2750" s="25" t="s">
        <v>28</v>
      </c>
      <c r="M2750" t="s">
        <v>26</v>
      </c>
      <c r="N2750" t="s">
        <v>26</v>
      </c>
      <c r="O2750" t="s">
        <v>26</v>
      </c>
      <c r="P2750" t="s">
        <v>26</v>
      </c>
      <c r="Q2750" t="s">
        <v>26</v>
      </c>
      <c r="R2750" t="s">
        <v>26</v>
      </c>
      <c r="S2750" t="s">
        <v>26</v>
      </c>
      <c r="T2750" t="s">
        <v>26</v>
      </c>
      <c r="U2750" t="s">
        <v>26</v>
      </c>
      <c r="V2750" t="s">
        <v>26</v>
      </c>
      <c r="W2750" s="24">
        <v>40544</v>
      </c>
      <c r="X2750" s="24">
        <v>40544</v>
      </c>
      <c r="Y2750" t="s">
        <v>26</v>
      </c>
      <c r="Z2750" s="24">
        <v>40544</v>
      </c>
      <c r="AA2750" s="24">
        <v>40544</v>
      </c>
      <c r="AB2750" t="s">
        <v>26</v>
      </c>
      <c r="AC2750" t="s">
        <v>26</v>
      </c>
      <c r="AD2750" t="s">
        <v>26</v>
      </c>
      <c r="AE2750" t="s">
        <v>26</v>
      </c>
      <c r="AF2750" t="s">
        <v>26</v>
      </c>
      <c r="AG2750" t="s">
        <v>26</v>
      </c>
      <c r="AH2750" t="s">
        <v>26</v>
      </c>
      <c r="AI2750" t="s">
        <v>26</v>
      </c>
      <c r="AJ2750" t="s">
        <v>26</v>
      </c>
      <c r="AK2750" t="s">
        <v>26</v>
      </c>
      <c r="AL2750" t="s">
        <v>26</v>
      </c>
      <c r="AM2750" t="s">
        <v>26</v>
      </c>
      <c r="AN2750" t="s">
        <v>26</v>
      </c>
      <c r="AO2750" s="25" t="s">
        <v>28</v>
      </c>
      <c r="AP2750" s="23" t="s">
        <v>29</v>
      </c>
      <c r="AQ2750" s="23" t="s">
        <v>30</v>
      </c>
      <c r="AR2750" s="23" t="s">
        <v>44</v>
      </c>
      <c r="AS2750" s="25">
        <v>5485058</v>
      </c>
      <c r="AT2750" s="23" t="s">
        <v>22181</v>
      </c>
      <c r="AU2750" t="s">
        <v>25786</v>
      </c>
    </row>
    <row r="2751" spans="1:47" ht="26.25" x14ac:dyDescent="0.4">
      <c r="A2751" s="23" t="s">
        <v>7099</v>
      </c>
      <c r="B2751" t="s">
        <v>26</v>
      </c>
      <c r="C2751" s="23" t="s">
        <v>48</v>
      </c>
      <c r="D2751" s="23" t="s">
        <v>22168</v>
      </c>
      <c r="E2751" s="23" t="s">
        <v>42</v>
      </c>
      <c r="F2751" t="s">
        <v>26</v>
      </c>
      <c r="G2751" t="s">
        <v>26</v>
      </c>
      <c r="H2751" t="s">
        <v>26</v>
      </c>
      <c r="I2751" t="s">
        <v>26</v>
      </c>
      <c r="J2751" t="s">
        <v>26</v>
      </c>
      <c r="K2751" t="s">
        <v>26</v>
      </c>
      <c r="L2751" s="25" t="s">
        <v>28</v>
      </c>
      <c r="M2751" t="s">
        <v>26</v>
      </c>
      <c r="N2751" t="s">
        <v>26</v>
      </c>
      <c r="O2751" t="s">
        <v>26</v>
      </c>
      <c r="P2751" t="s">
        <v>26</v>
      </c>
      <c r="Q2751" t="s">
        <v>26</v>
      </c>
      <c r="R2751" t="s">
        <v>26</v>
      </c>
      <c r="S2751" t="s">
        <v>26</v>
      </c>
      <c r="T2751" t="s">
        <v>26</v>
      </c>
      <c r="U2751" t="s">
        <v>26</v>
      </c>
      <c r="V2751" t="s">
        <v>26</v>
      </c>
      <c r="W2751" s="24">
        <v>40544</v>
      </c>
      <c r="X2751" s="24">
        <v>40544</v>
      </c>
      <c r="Y2751" t="s">
        <v>26</v>
      </c>
      <c r="Z2751" s="24">
        <v>40544</v>
      </c>
      <c r="AA2751" s="24">
        <v>40544</v>
      </c>
      <c r="AB2751" t="s">
        <v>26</v>
      </c>
      <c r="AC2751" t="s">
        <v>26</v>
      </c>
      <c r="AD2751" t="s">
        <v>26</v>
      </c>
      <c r="AE2751" t="s">
        <v>26</v>
      </c>
      <c r="AF2751" t="s">
        <v>26</v>
      </c>
      <c r="AG2751" t="s">
        <v>26</v>
      </c>
      <c r="AH2751" t="s">
        <v>26</v>
      </c>
      <c r="AI2751" t="s">
        <v>26</v>
      </c>
      <c r="AJ2751" t="s">
        <v>26</v>
      </c>
      <c r="AK2751" t="s">
        <v>26</v>
      </c>
      <c r="AL2751" t="s">
        <v>26</v>
      </c>
      <c r="AM2751" t="s">
        <v>26</v>
      </c>
      <c r="AN2751" t="s">
        <v>26</v>
      </c>
      <c r="AO2751" s="25" t="s">
        <v>28</v>
      </c>
      <c r="AP2751" s="23" t="s">
        <v>29</v>
      </c>
      <c r="AQ2751" s="23" t="s">
        <v>30</v>
      </c>
      <c r="AR2751" s="23" t="s">
        <v>44</v>
      </c>
      <c r="AS2751" s="25">
        <v>5486057</v>
      </c>
      <c r="AT2751" s="23" t="s">
        <v>22181</v>
      </c>
      <c r="AU2751" t="s">
        <v>25787</v>
      </c>
    </row>
    <row r="2752" spans="1:47" ht="13.15" x14ac:dyDescent="0.4">
      <c r="A2752" s="23" t="s">
        <v>7100</v>
      </c>
      <c r="B2752" t="s">
        <v>26</v>
      </c>
      <c r="C2752" s="23" t="s">
        <v>1113</v>
      </c>
      <c r="D2752" s="23" t="s">
        <v>22666</v>
      </c>
      <c r="E2752" s="23" t="s">
        <v>42</v>
      </c>
      <c r="F2752" t="s">
        <v>26</v>
      </c>
      <c r="G2752" t="s">
        <v>26</v>
      </c>
      <c r="H2752" t="s">
        <v>26</v>
      </c>
      <c r="I2752" s="24">
        <v>40544</v>
      </c>
      <c r="J2752" s="24">
        <v>40544</v>
      </c>
      <c r="K2752" t="s">
        <v>26</v>
      </c>
      <c r="L2752" s="25" t="s">
        <v>28</v>
      </c>
      <c r="M2752" t="s">
        <v>26</v>
      </c>
      <c r="N2752" t="s">
        <v>26</v>
      </c>
      <c r="O2752" t="s">
        <v>26</v>
      </c>
      <c r="P2752" s="24">
        <v>40544</v>
      </c>
      <c r="Q2752" s="24">
        <v>40544</v>
      </c>
      <c r="R2752" t="s">
        <v>26</v>
      </c>
      <c r="S2752" t="s">
        <v>26</v>
      </c>
      <c r="T2752" t="s">
        <v>26</v>
      </c>
      <c r="U2752" t="s">
        <v>26</v>
      </c>
      <c r="V2752" t="s">
        <v>26</v>
      </c>
      <c r="W2752" s="24">
        <v>40544</v>
      </c>
      <c r="X2752" s="24">
        <v>40544</v>
      </c>
      <c r="Y2752" t="s">
        <v>26</v>
      </c>
      <c r="Z2752" s="24">
        <v>40544</v>
      </c>
      <c r="AA2752" s="24">
        <v>40544</v>
      </c>
      <c r="AB2752" t="s">
        <v>26</v>
      </c>
      <c r="AC2752" s="24">
        <v>40544</v>
      </c>
      <c r="AD2752" s="24">
        <v>40544</v>
      </c>
      <c r="AE2752" t="s">
        <v>26</v>
      </c>
      <c r="AF2752" t="s">
        <v>26</v>
      </c>
      <c r="AG2752" t="s">
        <v>26</v>
      </c>
      <c r="AH2752" t="s">
        <v>26</v>
      </c>
      <c r="AI2752" t="s">
        <v>26</v>
      </c>
      <c r="AJ2752" t="s">
        <v>26</v>
      </c>
      <c r="AK2752" t="s">
        <v>26</v>
      </c>
      <c r="AL2752" t="s">
        <v>26</v>
      </c>
      <c r="AM2752" t="s">
        <v>26</v>
      </c>
      <c r="AN2752" t="s">
        <v>26</v>
      </c>
      <c r="AO2752" s="25" t="s">
        <v>28</v>
      </c>
      <c r="AP2752" s="23" t="s">
        <v>29</v>
      </c>
      <c r="AQ2752" s="23" t="s">
        <v>30</v>
      </c>
      <c r="AR2752" s="23" t="s">
        <v>7101</v>
      </c>
      <c r="AS2752" s="25">
        <v>5486059</v>
      </c>
      <c r="AT2752" s="23" t="s">
        <v>22181</v>
      </c>
      <c r="AU2752" t="s">
        <v>25788</v>
      </c>
    </row>
    <row r="2753" spans="1:47" ht="39.4" x14ac:dyDescent="0.4">
      <c r="A2753" s="23" t="s">
        <v>7102</v>
      </c>
      <c r="B2753" t="s">
        <v>26</v>
      </c>
      <c r="C2753" s="23" t="s">
        <v>48</v>
      </c>
      <c r="D2753" s="23" t="s">
        <v>22168</v>
      </c>
      <c r="E2753" s="23" t="s">
        <v>42</v>
      </c>
      <c r="F2753" t="s">
        <v>26</v>
      </c>
      <c r="G2753" t="s">
        <v>26</v>
      </c>
      <c r="H2753" t="s">
        <v>26</v>
      </c>
      <c r="I2753" t="s">
        <v>26</v>
      </c>
      <c r="J2753" t="s">
        <v>26</v>
      </c>
      <c r="K2753" t="s">
        <v>26</v>
      </c>
      <c r="L2753" s="25" t="s">
        <v>28</v>
      </c>
      <c r="M2753" t="s">
        <v>26</v>
      </c>
      <c r="N2753" t="s">
        <v>26</v>
      </c>
      <c r="O2753" t="s">
        <v>26</v>
      </c>
      <c r="P2753" t="s">
        <v>26</v>
      </c>
      <c r="Q2753" t="s">
        <v>26</v>
      </c>
      <c r="R2753" t="s">
        <v>26</v>
      </c>
      <c r="S2753" t="s">
        <v>26</v>
      </c>
      <c r="T2753" t="s">
        <v>26</v>
      </c>
      <c r="U2753" t="s">
        <v>26</v>
      </c>
      <c r="V2753" t="s">
        <v>26</v>
      </c>
      <c r="W2753" s="24">
        <v>41275</v>
      </c>
      <c r="X2753" s="24">
        <v>41275</v>
      </c>
      <c r="Y2753" t="s">
        <v>26</v>
      </c>
      <c r="Z2753" s="24">
        <v>41275</v>
      </c>
      <c r="AA2753" s="24">
        <v>41275</v>
      </c>
      <c r="AB2753" t="s">
        <v>26</v>
      </c>
      <c r="AC2753" t="s">
        <v>26</v>
      </c>
      <c r="AD2753" t="s">
        <v>26</v>
      </c>
      <c r="AE2753" t="s">
        <v>26</v>
      </c>
      <c r="AF2753" t="s">
        <v>26</v>
      </c>
      <c r="AG2753" t="s">
        <v>26</v>
      </c>
      <c r="AH2753" t="s">
        <v>26</v>
      </c>
      <c r="AI2753" t="s">
        <v>26</v>
      </c>
      <c r="AJ2753" t="s">
        <v>26</v>
      </c>
      <c r="AK2753" t="s">
        <v>26</v>
      </c>
      <c r="AL2753" t="s">
        <v>26</v>
      </c>
      <c r="AM2753" t="s">
        <v>26</v>
      </c>
      <c r="AN2753" t="s">
        <v>26</v>
      </c>
      <c r="AO2753" s="25" t="s">
        <v>28</v>
      </c>
      <c r="AP2753" s="23" t="s">
        <v>29</v>
      </c>
      <c r="AQ2753" s="23" t="s">
        <v>30</v>
      </c>
      <c r="AR2753" s="23" t="s">
        <v>44</v>
      </c>
      <c r="AS2753" s="25">
        <v>5486056</v>
      </c>
      <c r="AT2753" s="23" t="s">
        <v>22181</v>
      </c>
      <c r="AU2753" t="s">
        <v>25789</v>
      </c>
    </row>
    <row r="2754" spans="1:47" ht="26.25" x14ac:dyDescent="0.4">
      <c r="A2754" s="23" t="s">
        <v>7103</v>
      </c>
      <c r="B2754" t="s">
        <v>26</v>
      </c>
      <c r="C2754" s="23" t="s">
        <v>48</v>
      </c>
      <c r="D2754" s="23" t="s">
        <v>22168</v>
      </c>
      <c r="E2754" s="23" t="s">
        <v>42</v>
      </c>
      <c r="F2754" t="s">
        <v>26</v>
      </c>
      <c r="G2754" t="s">
        <v>26</v>
      </c>
      <c r="H2754" t="s">
        <v>26</v>
      </c>
      <c r="I2754" s="24">
        <v>40909</v>
      </c>
      <c r="J2754" s="24">
        <v>40909</v>
      </c>
      <c r="K2754" t="s">
        <v>26</v>
      </c>
      <c r="L2754" s="25" t="s">
        <v>28</v>
      </c>
      <c r="M2754" t="s">
        <v>26</v>
      </c>
      <c r="N2754" t="s">
        <v>26</v>
      </c>
      <c r="O2754" t="s">
        <v>26</v>
      </c>
      <c r="P2754" s="24">
        <v>40909</v>
      </c>
      <c r="Q2754" s="24">
        <v>40909</v>
      </c>
      <c r="R2754" t="s">
        <v>26</v>
      </c>
      <c r="S2754" t="s">
        <v>26</v>
      </c>
      <c r="T2754" t="s">
        <v>26</v>
      </c>
      <c r="U2754" t="s">
        <v>26</v>
      </c>
      <c r="V2754" t="s">
        <v>26</v>
      </c>
      <c r="W2754" s="24">
        <v>40909</v>
      </c>
      <c r="X2754" s="24">
        <v>40909</v>
      </c>
      <c r="Y2754" t="s">
        <v>26</v>
      </c>
      <c r="Z2754" s="24">
        <v>40909</v>
      </c>
      <c r="AA2754" s="24">
        <v>40909</v>
      </c>
      <c r="AB2754" t="s">
        <v>26</v>
      </c>
      <c r="AC2754" s="24">
        <v>40909</v>
      </c>
      <c r="AD2754" s="24">
        <v>40909</v>
      </c>
      <c r="AE2754" t="s">
        <v>26</v>
      </c>
      <c r="AF2754" t="s">
        <v>26</v>
      </c>
      <c r="AG2754" t="s">
        <v>26</v>
      </c>
      <c r="AH2754" t="s">
        <v>26</v>
      </c>
      <c r="AI2754" t="s">
        <v>26</v>
      </c>
      <c r="AJ2754" t="s">
        <v>26</v>
      </c>
      <c r="AK2754" t="s">
        <v>26</v>
      </c>
      <c r="AL2754" t="s">
        <v>26</v>
      </c>
      <c r="AM2754" t="s">
        <v>26</v>
      </c>
      <c r="AN2754" t="s">
        <v>26</v>
      </c>
      <c r="AO2754" s="25" t="s">
        <v>28</v>
      </c>
      <c r="AP2754" s="23" t="s">
        <v>29</v>
      </c>
      <c r="AQ2754" s="23" t="s">
        <v>30</v>
      </c>
      <c r="AR2754" s="23" t="s">
        <v>44</v>
      </c>
      <c r="AS2754" s="25">
        <v>5488548</v>
      </c>
      <c r="AT2754" s="23" t="s">
        <v>22181</v>
      </c>
      <c r="AU2754" t="s">
        <v>25790</v>
      </c>
    </row>
    <row r="2755" spans="1:47" ht="39.4" x14ac:dyDescent="0.4">
      <c r="A2755" s="23" t="s">
        <v>7104</v>
      </c>
      <c r="B2755" t="s">
        <v>26</v>
      </c>
      <c r="C2755" s="23" t="s">
        <v>48</v>
      </c>
      <c r="D2755" s="23" t="s">
        <v>22168</v>
      </c>
      <c r="E2755" s="23" t="s">
        <v>42</v>
      </c>
      <c r="F2755" t="s">
        <v>26</v>
      </c>
      <c r="G2755" t="s">
        <v>26</v>
      </c>
      <c r="H2755" t="s">
        <v>26</v>
      </c>
      <c r="I2755" t="s">
        <v>26</v>
      </c>
      <c r="J2755" t="s">
        <v>26</v>
      </c>
      <c r="K2755" t="s">
        <v>26</v>
      </c>
      <c r="L2755" s="25" t="s">
        <v>28</v>
      </c>
      <c r="M2755" t="s">
        <v>26</v>
      </c>
      <c r="N2755" t="s">
        <v>26</v>
      </c>
      <c r="O2755" t="s">
        <v>26</v>
      </c>
      <c r="P2755" t="s">
        <v>26</v>
      </c>
      <c r="Q2755" t="s">
        <v>26</v>
      </c>
      <c r="R2755" t="s">
        <v>26</v>
      </c>
      <c r="S2755" t="s">
        <v>26</v>
      </c>
      <c r="T2755" t="s">
        <v>26</v>
      </c>
      <c r="U2755" t="s">
        <v>26</v>
      </c>
      <c r="V2755" t="s">
        <v>26</v>
      </c>
      <c r="W2755" s="24">
        <v>40544</v>
      </c>
      <c r="X2755" s="24">
        <v>40544</v>
      </c>
      <c r="Y2755" t="s">
        <v>26</v>
      </c>
      <c r="Z2755" s="24">
        <v>40544</v>
      </c>
      <c r="AA2755" s="24">
        <v>40544</v>
      </c>
      <c r="AB2755" t="s">
        <v>26</v>
      </c>
      <c r="AC2755" t="s">
        <v>26</v>
      </c>
      <c r="AD2755" t="s">
        <v>26</v>
      </c>
      <c r="AE2755" t="s">
        <v>26</v>
      </c>
      <c r="AF2755" t="s">
        <v>26</v>
      </c>
      <c r="AG2755" t="s">
        <v>26</v>
      </c>
      <c r="AH2755" t="s">
        <v>26</v>
      </c>
      <c r="AI2755" t="s">
        <v>26</v>
      </c>
      <c r="AJ2755" t="s">
        <v>26</v>
      </c>
      <c r="AK2755" t="s">
        <v>26</v>
      </c>
      <c r="AL2755" t="s">
        <v>26</v>
      </c>
      <c r="AM2755" t="s">
        <v>26</v>
      </c>
      <c r="AN2755" t="s">
        <v>26</v>
      </c>
      <c r="AO2755" s="25" t="s">
        <v>28</v>
      </c>
      <c r="AP2755" s="23" t="s">
        <v>29</v>
      </c>
      <c r="AQ2755" s="23" t="s">
        <v>30</v>
      </c>
      <c r="AR2755" s="23" t="s">
        <v>44</v>
      </c>
      <c r="AS2755" s="25">
        <v>5488547</v>
      </c>
      <c r="AT2755" s="23" t="s">
        <v>22181</v>
      </c>
      <c r="AU2755" t="s">
        <v>25791</v>
      </c>
    </row>
    <row r="2756" spans="1:47" ht="26.25" x14ac:dyDescent="0.4">
      <c r="A2756" s="23" t="s">
        <v>7105</v>
      </c>
      <c r="B2756" t="s">
        <v>26</v>
      </c>
      <c r="C2756" s="23" t="s">
        <v>48</v>
      </c>
      <c r="D2756" s="23" t="s">
        <v>22168</v>
      </c>
      <c r="E2756" s="23" t="s">
        <v>42</v>
      </c>
      <c r="F2756" t="s">
        <v>26</v>
      </c>
      <c r="G2756" t="s">
        <v>26</v>
      </c>
      <c r="H2756" t="s">
        <v>26</v>
      </c>
      <c r="I2756" t="s">
        <v>26</v>
      </c>
      <c r="J2756" t="s">
        <v>26</v>
      </c>
      <c r="K2756" t="s">
        <v>26</v>
      </c>
      <c r="L2756" s="25" t="s">
        <v>28</v>
      </c>
      <c r="M2756" t="s">
        <v>26</v>
      </c>
      <c r="N2756" t="s">
        <v>26</v>
      </c>
      <c r="O2756" t="s">
        <v>26</v>
      </c>
      <c r="P2756" t="s">
        <v>26</v>
      </c>
      <c r="Q2756" t="s">
        <v>26</v>
      </c>
      <c r="R2756" t="s">
        <v>26</v>
      </c>
      <c r="S2756" t="s">
        <v>26</v>
      </c>
      <c r="T2756" t="s">
        <v>26</v>
      </c>
      <c r="U2756" t="s">
        <v>26</v>
      </c>
      <c r="V2756" t="s">
        <v>26</v>
      </c>
      <c r="W2756" s="24">
        <v>40909</v>
      </c>
      <c r="X2756" s="24">
        <v>40909</v>
      </c>
      <c r="Y2756" t="s">
        <v>26</v>
      </c>
      <c r="Z2756" s="24">
        <v>40909</v>
      </c>
      <c r="AA2756" s="24">
        <v>40909</v>
      </c>
      <c r="AB2756" t="s">
        <v>26</v>
      </c>
      <c r="AC2756" t="s">
        <v>26</v>
      </c>
      <c r="AD2756" t="s">
        <v>26</v>
      </c>
      <c r="AE2756" t="s">
        <v>26</v>
      </c>
      <c r="AF2756" t="s">
        <v>26</v>
      </c>
      <c r="AG2756" t="s">
        <v>26</v>
      </c>
      <c r="AH2756" t="s">
        <v>26</v>
      </c>
      <c r="AI2756" t="s">
        <v>26</v>
      </c>
      <c r="AJ2756" t="s">
        <v>26</v>
      </c>
      <c r="AK2756" t="s">
        <v>26</v>
      </c>
      <c r="AL2756" t="s">
        <v>26</v>
      </c>
      <c r="AM2756" t="s">
        <v>26</v>
      </c>
      <c r="AN2756" t="s">
        <v>26</v>
      </c>
      <c r="AO2756" s="25" t="s">
        <v>28</v>
      </c>
      <c r="AP2756" s="23" t="s">
        <v>29</v>
      </c>
      <c r="AQ2756" s="23" t="s">
        <v>30</v>
      </c>
      <c r="AR2756" s="23" t="s">
        <v>44</v>
      </c>
      <c r="AS2756" s="25">
        <v>5488546</v>
      </c>
      <c r="AT2756" s="23" t="s">
        <v>22181</v>
      </c>
      <c r="AU2756" t="s">
        <v>25792</v>
      </c>
    </row>
    <row r="2757" spans="1:47" ht="26.25" x14ac:dyDescent="0.4">
      <c r="A2757" s="23" t="s">
        <v>7106</v>
      </c>
      <c r="B2757" t="s">
        <v>26</v>
      </c>
      <c r="C2757" s="23" t="s">
        <v>48</v>
      </c>
      <c r="D2757" s="23" t="s">
        <v>22168</v>
      </c>
      <c r="E2757" s="23" t="s">
        <v>42</v>
      </c>
      <c r="F2757" t="s">
        <v>26</v>
      </c>
      <c r="G2757" t="s">
        <v>26</v>
      </c>
      <c r="H2757" t="s">
        <v>26</v>
      </c>
      <c r="I2757" t="s">
        <v>26</v>
      </c>
      <c r="J2757" t="s">
        <v>26</v>
      </c>
      <c r="K2757" t="s">
        <v>26</v>
      </c>
      <c r="L2757" s="25" t="s">
        <v>28</v>
      </c>
      <c r="M2757" t="s">
        <v>26</v>
      </c>
      <c r="N2757" t="s">
        <v>26</v>
      </c>
      <c r="O2757" t="s">
        <v>26</v>
      </c>
      <c r="P2757" t="s">
        <v>26</v>
      </c>
      <c r="Q2757" t="s">
        <v>26</v>
      </c>
      <c r="R2757" t="s">
        <v>26</v>
      </c>
      <c r="S2757" t="s">
        <v>26</v>
      </c>
      <c r="T2757" t="s">
        <v>26</v>
      </c>
      <c r="U2757" t="s">
        <v>26</v>
      </c>
      <c r="V2757" t="s">
        <v>26</v>
      </c>
      <c r="W2757" s="24">
        <v>40544</v>
      </c>
      <c r="X2757" s="24">
        <v>40544</v>
      </c>
      <c r="Y2757" t="s">
        <v>26</v>
      </c>
      <c r="Z2757" s="24">
        <v>40544</v>
      </c>
      <c r="AA2757" s="24">
        <v>40544</v>
      </c>
      <c r="AB2757" t="s">
        <v>26</v>
      </c>
      <c r="AC2757" t="s">
        <v>26</v>
      </c>
      <c r="AD2757" t="s">
        <v>26</v>
      </c>
      <c r="AE2757" t="s">
        <v>26</v>
      </c>
      <c r="AF2757" t="s">
        <v>26</v>
      </c>
      <c r="AG2757" t="s">
        <v>26</v>
      </c>
      <c r="AH2757" t="s">
        <v>26</v>
      </c>
      <c r="AI2757" t="s">
        <v>26</v>
      </c>
      <c r="AJ2757" t="s">
        <v>26</v>
      </c>
      <c r="AK2757" t="s">
        <v>26</v>
      </c>
      <c r="AL2757" t="s">
        <v>26</v>
      </c>
      <c r="AM2757" t="s">
        <v>26</v>
      </c>
      <c r="AN2757" t="s">
        <v>26</v>
      </c>
      <c r="AO2757" s="25" t="s">
        <v>28</v>
      </c>
      <c r="AP2757" s="23" t="s">
        <v>29</v>
      </c>
      <c r="AQ2757" s="23" t="s">
        <v>30</v>
      </c>
      <c r="AR2757" s="23" t="s">
        <v>44</v>
      </c>
      <c r="AS2757" s="25">
        <v>5488545</v>
      </c>
      <c r="AT2757" s="23" t="s">
        <v>22181</v>
      </c>
      <c r="AU2757" t="s">
        <v>25793</v>
      </c>
    </row>
    <row r="2758" spans="1:47" ht="13.15" x14ac:dyDescent="0.4">
      <c r="A2758" s="23" t="s">
        <v>7107</v>
      </c>
      <c r="B2758" t="s">
        <v>26</v>
      </c>
      <c r="C2758" s="23" t="s">
        <v>48</v>
      </c>
      <c r="D2758" s="23" t="s">
        <v>22168</v>
      </c>
      <c r="E2758" s="23" t="s">
        <v>42</v>
      </c>
      <c r="F2758" t="s">
        <v>26</v>
      </c>
      <c r="G2758" t="s">
        <v>26</v>
      </c>
      <c r="H2758" t="s">
        <v>26</v>
      </c>
      <c r="I2758" t="s">
        <v>26</v>
      </c>
      <c r="J2758" t="s">
        <v>26</v>
      </c>
      <c r="K2758" t="s">
        <v>26</v>
      </c>
      <c r="L2758" s="25" t="s">
        <v>28</v>
      </c>
      <c r="M2758" t="s">
        <v>26</v>
      </c>
      <c r="N2758" t="s">
        <v>26</v>
      </c>
      <c r="O2758" t="s">
        <v>26</v>
      </c>
      <c r="P2758" t="s">
        <v>26</v>
      </c>
      <c r="Q2758" t="s">
        <v>26</v>
      </c>
      <c r="R2758" t="s">
        <v>26</v>
      </c>
      <c r="S2758" t="s">
        <v>26</v>
      </c>
      <c r="T2758" t="s">
        <v>26</v>
      </c>
      <c r="U2758" t="s">
        <v>26</v>
      </c>
      <c r="V2758" t="s">
        <v>26</v>
      </c>
      <c r="W2758" s="24">
        <v>40909</v>
      </c>
      <c r="X2758" s="24">
        <v>40909</v>
      </c>
      <c r="Y2758" t="s">
        <v>26</v>
      </c>
      <c r="Z2758" s="24">
        <v>40909</v>
      </c>
      <c r="AA2758" s="24">
        <v>40909</v>
      </c>
      <c r="AB2758" t="s">
        <v>26</v>
      </c>
      <c r="AC2758" t="s">
        <v>26</v>
      </c>
      <c r="AD2758" t="s">
        <v>26</v>
      </c>
      <c r="AE2758" t="s">
        <v>26</v>
      </c>
      <c r="AF2758" t="s">
        <v>26</v>
      </c>
      <c r="AG2758" t="s">
        <v>26</v>
      </c>
      <c r="AH2758" t="s">
        <v>26</v>
      </c>
      <c r="AI2758" t="s">
        <v>26</v>
      </c>
      <c r="AJ2758" t="s">
        <v>26</v>
      </c>
      <c r="AK2758" t="s">
        <v>26</v>
      </c>
      <c r="AL2758" t="s">
        <v>26</v>
      </c>
      <c r="AM2758" t="s">
        <v>26</v>
      </c>
      <c r="AN2758" t="s">
        <v>26</v>
      </c>
      <c r="AO2758" s="25" t="s">
        <v>28</v>
      </c>
      <c r="AP2758" s="23" t="s">
        <v>29</v>
      </c>
      <c r="AQ2758" s="23" t="s">
        <v>30</v>
      </c>
      <c r="AR2758" s="23" t="s">
        <v>44</v>
      </c>
      <c r="AS2758" s="25">
        <v>5488544</v>
      </c>
      <c r="AT2758" s="23" t="s">
        <v>22181</v>
      </c>
      <c r="AU2758" t="s">
        <v>25794</v>
      </c>
    </row>
    <row r="2759" spans="1:47" ht="13.15" x14ac:dyDescent="0.4">
      <c r="A2759" s="23" t="s">
        <v>7108</v>
      </c>
      <c r="B2759" t="s">
        <v>26</v>
      </c>
      <c r="C2759" s="23" t="s">
        <v>48</v>
      </c>
      <c r="D2759" s="23" t="s">
        <v>22168</v>
      </c>
      <c r="E2759" s="23" t="s">
        <v>42</v>
      </c>
      <c r="F2759" t="s">
        <v>26</v>
      </c>
      <c r="G2759" t="s">
        <v>26</v>
      </c>
      <c r="H2759" t="s">
        <v>26</v>
      </c>
      <c r="I2759" t="s">
        <v>26</v>
      </c>
      <c r="J2759" t="s">
        <v>26</v>
      </c>
      <c r="K2759" t="s">
        <v>26</v>
      </c>
      <c r="L2759" s="25" t="s">
        <v>28</v>
      </c>
      <c r="M2759" t="s">
        <v>26</v>
      </c>
      <c r="N2759" t="s">
        <v>26</v>
      </c>
      <c r="O2759" t="s">
        <v>26</v>
      </c>
      <c r="P2759" t="s">
        <v>26</v>
      </c>
      <c r="Q2759" t="s">
        <v>26</v>
      </c>
      <c r="R2759" t="s">
        <v>26</v>
      </c>
      <c r="S2759" t="s">
        <v>26</v>
      </c>
      <c r="T2759" t="s">
        <v>26</v>
      </c>
      <c r="U2759" t="s">
        <v>26</v>
      </c>
      <c r="V2759" t="s">
        <v>26</v>
      </c>
      <c r="W2759" s="24">
        <v>41275</v>
      </c>
      <c r="X2759" s="24">
        <v>41275</v>
      </c>
      <c r="Y2759" t="s">
        <v>26</v>
      </c>
      <c r="Z2759" s="24">
        <v>41275</v>
      </c>
      <c r="AA2759" s="24">
        <v>41275</v>
      </c>
      <c r="AB2759" t="s">
        <v>26</v>
      </c>
      <c r="AC2759" t="s">
        <v>26</v>
      </c>
      <c r="AD2759" t="s">
        <v>26</v>
      </c>
      <c r="AE2759" t="s">
        <v>26</v>
      </c>
      <c r="AF2759" t="s">
        <v>26</v>
      </c>
      <c r="AG2759" t="s">
        <v>26</v>
      </c>
      <c r="AH2759" t="s">
        <v>26</v>
      </c>
      <c r="AI2759" t="s">
        <v>26</v>
      </c>
      <c r="AJ2759" t="s">
        <v>26</v>
      </c>
      <c r="AK2759" t="s">
        <v>26</v>
      </c>
      <c r="AL2759" t="s">
        <v>26</v>
      </c>
      <c r="AM2759" t="s">
        <v>26</v>
      </c>
      <c r="AN2759" t="s">
        <v>26</v>
      </c>
      <c r="AO2759" s="25" t="s">
        <v>28</v>
      </c>
      <c r="AP2759" s="23" t="s">
        <v>29</v>
      </c>
      <c r="AQ2759" s="23" t="s">
        <v>30</v>
      </c>
      <c r="AR2759" s="23" t="s">
        <v>44</v>
      </c>
      <c r="AS2759" s="25">
        <v>5488543</v>
      </c>
      <c r="AT2759" s="23" t="s">
        <v>22181</v>
      </c>
      <c r="AU2759" t="s">
        <v>25795</v>
      </c>
    </row>
    <row r="2760" spans="1:47" ht="13.15" x14ac:dyDescent="0.4">
      <c r="A2760" s="23" t="s">
        <v>7109</v>
      </c>
      <c r="B2760" t="s">
        <v>26</v>
      </c>
      <c r="C2760" s="23" t="s">
        <v>48</v>
      </c>
      <c r="D2760" s="23" t="s">
        <v>22168</v>
      </c>
      <c r="E2760" s="23" t="s">
        <v>42</v>
      </c>
      <c r="F2760" t="s">
        <v>26</v>
      </c>
      <c r="G2760" t="s">
        <v>26</v>
      </c>
      <c r="H2760" t="s">
        <v>26</v>
      </c>
      <c r="I2760" t="s">
        <v>26</v>
      </c>
      <c r="J2760" t="s">
        <v>26</v>
      </c>
      <c r="K2760" t="s">
        <v>26</v>
      </c>
      <c r="L2760" s="25" t="s">
        <v>28</v>
      </c>
      <c r="M2760" t="s">
        <v>26</v>
      </c>
      <c r="N2760" t="s">
        <v>26</v>
      </c>
      <c r="O2760" t="s">
        <v>26</v>
      </c>
      <c r="P2760" t="s">
        <v>26</v>
      </c>
      <c r="Q2760" t="s">
        <v>26</v>
      </c>
      <c r="R2760" t="s">
        <v>26</v>
      </c>
      <c r="S2760" t="s">
        <v>26</v>
      </c>
      <c r="T2760" t="s">
        <v>26</v>
      </c>
      <c r="U2760" t="s">
        <v>26</v>
      </c>
      <c r="V2760" t="s">
        <v>26</v>
      </c>
      <c r="W2760" s="24">
        <v>41275</v>
      </c>
      <c r="X2760" s="24">
        <v>41275</v>
      </c>
      <c r="Y2760" t="s">
        <v>26</v>
      </c>
      <c r="Z2760" s="24">
        <v>41275</v>
      </c>
      <c r="AA2760" s="24">
        <v>41275</v>
      </c>
      <c r="AB2760" t="s">
        <v>26</v>
      </c>
      <c r="AC2760" t="s">
        <v>26</v>
      </c>
      <c r="AD2760" t="s">
        <v>26</v>
      </c>
      <c r="AE2760" t="s">
        <v>26</v>
      </c>
      <c r="AF2760" t="s">
        <v>26</v>
      </c>
      <c r="AG2760" t="s">
        <v>26</v>
      </c>
      <c r="AH2760" t="s">
        <v>26</v>
      </c>
      <c r="AI2760" t="s">
        <v>26</v>
      </c>
      <c r="AJ2760" t="s">
        <v>26</v>
      </c>
      <c r="AK2760" t="s">
        <v>26</v>
      </c>
      <c r="AL2760" t="s">
        <v>26</v>
      </c>
      <c r="AM2760" t="s">
        <v>26</v>
      </c>
      <c r="AN2760" t="s">
        <v>26</v>
      </c>
      <c r="AO2760" s="25" t="s">
        <v>28</v>
      </c>
      <c r="AP2760" s="23" t="s">
        <v>29</v>
      </c>
      <c r="AQ2760" s="23" t="s">
        <v>30</v>
      </c>
      <c r="AR2760" s="23" t="s">
        <v>1170</v>
      </c>
      <c r="AS2760" s="25">
        <v>5488542</v>
      </c>
      <c r="AT2760" s="23" t="s">
        <v>22181</v>
      </c>
      <c r="AU2760" t="s">
        <v>25796</v>
      </c>
    </row>
    <row r="2761" spans="1:47" ht="13.15" x14ac:dyDescent="0.4">
      <c r="A2761" s="23" t="s">
        <v>7110</v>
      </c>
      <c r="B2761" t="s">
        <v>26</v>
      </c>
      <c r="C2761" s="23" t="s">
        <v>48</v>
      </c>
      <c r="D2761" s="23" t="s">
        <v>22168</v>
      </c>
      <c r="E2761" s="23" t="s">
        <v>42</v>
      </c>
      <c r="F2761" t="s">
        <v>26</v>
      </c>
      <c r="G2761" t="s">
        <v>26</v>
      </c>
      <c r="H2761" t="s">
        <v>26</v>
      </c>
      <c r="I2761" t="s">
        <v>26</v>
      </c>
      <c r="J2761" t="s">
        <v>26</v>
      </c>
      <c r="K2761" t="s">
        <v>26</v>
      </c>
      <c r="L2761" s="25" t="s">
        <v>28</v>
      </c>
      <c r="M2761" t="s">
        <v>26</v>
      </c>
      <c r="N2761" t="s">
        <v>26</v>
      </c>
      <c r="O2761" t="s">
        <v>26</v>
      </c>
      <c r="P2761" t="s">
        <v>26</v>
      </c>
      <c r="Q2761" t="s">
        <v>26</v>
      </c>
      <c r="R2761" t="s">
        <v>26</v>
      </c>
      <c r="S2761" t="s">
        <v>26</v>
      </c>
      <c r="T2761" t="s">
        <v>26</v>
      </c>
      <c r="U2761" t="s">
        <v>26</v>
      </c>
      <c r="V2761" t="s">
        <v>26</v>
      </c>
      <c r="W2761" s="24">
        <v>41275</v>
      </c>
      <c r="X2761" s="24">
        <v>41275</v>
      </c>
      <c r="Y2761" t="s">
        <v>26</v>
      </c>
      <c r="Z2761" s="24">
        <v>41275</v>
      </c>
      <c r="AA2761" s="24">
        <v>41275</v>
      </c>
      <c r="AB2761" t="s">
        <v>26</v>
      </c>
      <c r="AC2761" t="s">
        <v>26</v>
      </c>
      <c r="AD2761" t="s">
        <v>26</v>
      </c>
      <c r="AE2761" t="s">
        <v>26</v>
      </c>
      <c r="AF2761" t="s">
        <v>26</v>
      </c>
      <c r="AG2761" t="s">
        <v>26</v>
      </c>
      <c r="AH2761" t="s">
        <v>26</v>
      </c>
      <c r="AI2761" t="s">
        <v>26</v>
      </c>
      <c r="AJ2761" t="s">
        <v>26</v>
      </c>
      <c r="AK2761" t="s">
        <v>26</v>
      </c>
      <c r="AL2761" t="s">
        <v>26</v>
      </c>
      <c r="AM2761" t="s">
        <v>26</v>
      </c>
      <c r="AN2761" t="s">
        <v>26</v>
      </c>
      <c r="AO2761" s="25" t="s">
        <v>28</v>
      </c>
      <c r="AP2761" s="23" t="s">
        <v>29</v>
      </c>
      <c r="AQ2761" s="23" t="s">
        <v>30</v>
      </c>
      <c r="AR2761" s="23" t="s">
        <v>1170</v>
      </c>
      <c r="AS2761" s="25">
        <v>5488541</v>
      </c>
      <c r="AT2761" s="23" t="s">
        <v>22181</v>
      </c>
      <c r="AU2761" t="s">
        <v>25797</v>
      </c>
    </row>
    <row r="2762" spans="1:47" ht="26.25" x14ac:dyDescent="0.4">
      <c r="A2762" s="23" t="s">
        <v>7111</v>
      </c>
      <c r="B2762" t="s">
        <v>26</v>
      </c>
      <c r="C2762" s="23" t="s">
        <v>7112</v>
      </c>
      <c r="D2762" s="23" t="s">
        <v>22299</v>
      </c>
      <c r="E2762" s="23" t="s">
        <v>328</v>
      </c>
      <c r="F2762" s="25" t="s">
        <v>7113</v>
      </c>
      <c r="G2762" s="25" t="s">
        <v>7114</v>
      </c>
      <c r="H2762" t="s">
        <v>26</v>
      </c>
      <c r="I2762" s="24">
        <v>40330</v>
      </c>
      <c r="J2762" s="25" t="s">
        <v>77</v>
      </c>
      <c r="K2762" s="25" t="s">
        <v>23586</v>
      </c>
      <c r="L2762" s="25" t="s">
        <v>68</v>
      </c>
      <c r="M2762" s="24">
        <v>40330</v>
      </c>
      <c r="N2762" s="25" t="s">
        <v>77</v>
      </c>
      <c r="O2762" s="25" t="s">
        <v>23586</v>
      </c>
      <c r="P2762" s="24">
        <v>40330</v>
      </c>
      <c r="Q2762" s="25" t="s">
        <v>77</v>
      </c>
      <c r="R2762" s="25" t="s">
        <v>23586</v>
      </c>
      <c r="S2762" t="s">
        <v>26</v>
      </c>
      <c r="T2762" t="s">
        <v>26</v>
      </c>
      <c r="U2762" t="s">
        <v>26</v>
      </c>
      <c r="V2762" t="s">
        <v>26</v>
      </c>
      <c r="W2762" s="24">
        <v>40330</v>
      </c>
      <c r="X2762" s="25" t="s">
        <v>77</v>
      </c>
      <c r="Y2762" s="25" t="s">
        <v>23586</v>
      </c>
      <c r="Z2762" s="24">
        <v>40330</v>
      </c>
      <c r="AA2762" s="25" t="s">
        <v>77</v>
      </c>
      <c r="AB2762" s="25" t="s">
        <v>23586</v>
      </c>
      <c r="AC2762" s="24">
        <v>40330</v>
      </c>
      <c r="AD2762" s="25" t="s">
        <v>77</v>
      </c>
      <c r="AE2762" s="25" t="s">
        <v>23586</v>
      </c>
      <c r="AF2762" t="s">
        <v>26</v>
      </c>
      <c r="AG2762" t="s">
        <v>26</v>
      </c>
      <c r="AH2762" t="s">
        <v>26</v>
      </c>
      <c r="AI2762" t="s">
        <v>26</v>
      </c>
      <c r="AJ2762" t="s">
        <v>26</v>
      </c>
      <c r="AK2762" t="s">
        <v>26</v>
      </c>
      <c r="AL2762" t="s">
        <v>26</v>
      </c>
      <c r="AM2762" t="s">
        <v>26</v>
      </c>
      <c r="AN2762" t="s">
        <v>26</v>
      </c>
      <c r="AO2762" s="25" t="s">
        <v>68</v>
      </c>
      <c r="AP2762" s="23" t="s">
        <v>69</v>
      </c>
      <c r="AQ2762" s="23" t="s">
        <v>876</v>
      </c>
      <c r="AR2762" s="23" t="s">
        <v>46</v>
      </c>
      <c r="AS2762" s="25">
        <v>5490498</v>
      </c>
      <c r="AT2762" t="s">
        <v>26</v>
      </c>
      <c r="AU2762" t="s">
        <v>25798</v>
      </c>
    </row>
    <row r="2763" spans="1:47" ht="39.4" x14ac:dyDescent="0.4">
      <c r="A2763" s="23" t="s">
        <v>25799</v>
      </c>
      <c r="B2763" t="s">
        <v>26</v>
      </c>
      <c r="C2763" t="s">
        <v>26</v>
      </c>
      <c r="D2763" t="s">
        <v>26</v>
      </c>
      <c r="E2763" t="s">
        <v>26</v>
      </c>
      <c r="F2763" t="s">
        <v>26</v>
      </c>
      <c r="G2763" t="s">
        <v>26</v>
      </c>
      <c r="H2763" t="s">
        <v>26</v>
      </c>
      <c r="I2763" s="25" t="s">
        <v>5129</v>
      </c>
      <c r="J2763" s="25" t="s">
        <v>5129</v>
      </c>
      <c r="K2763" t="s">
        <v>26</v>
      </c>
      <c r="L2763" s="25" t="s">
        <v>28</v>
      </c>
      <c r="M2763" s="25" t="s">
        <v>5129</v>
      </c>
      <c r="N2763" s="25" t="s">
        <v>5129</v>
      </c>
      <c r="O2763" t="s">
        <v>26</v>
      </c>
      <c r="P2763" t="s">
        <v>26</v>
      </c>
      <c r="Q2763" t="s">
        <v>26</v>
      </c>
      <c r="R2763" t="s">
        <v>26</v>
      </c>
      <c r="S2763" t="s">
        <v>26</v>
      </c>
      <c r="T2763" t="s">
        <v>26</v>
      </c>
      <c r="U2763" t="s">
        <v>26</v>
      </c>
      <c r="V2763" t="s">
        <v>26</v>
      </c>
      <c r="W2763" s="25" t="s">
        <v>5129</v>
      </c>
      <c r="X2763" s="25" t="s">
        <v>5129</v>
      </c>
      <c r="Y2763" t="s">
        <v>26</v>
      </c>
      <c r="Z2763" s="25" t="s">
        <v>5129</v>
      </c>
      <c r="AA2763" s="25" t="s">
        <v>5129</v>
      </c>
      <c r="AB2763" t="s">
        <v>26</v>
      </c>
      <c r="AC2763" s="25" t="s">
        <v>5129</v>
      </c>
      <c r="AD2763" s="25" t="s">
        <v>5129</v>
      </c>
      <c r="AE2763" t="s">
        <v>26</v>
      </c>
      <c r="AF2763" t="s">
        <v>26</v>
      </c>
      <c r="AG2763" t="s">
        <v>26</v>
      </c>
      <c r="AH2763" t="s">
        <v>26</v>
      </c>
      <c r="AI2763" t="s">
        <v>26</v>
      </c>
      <c r="AJ2763" t="s">
        <v>26</v>
      </c>
      <c r="AK2763" t="s">
        <v>26</v>
      </c>
      <c r="AL2763" t="s">
        <v>26</v>
      </c>
      <c r="AM2763" t="s">
        <v>26</v>
      </c>
      <c r="AN2763" t="s">
        <v>26</v>
      </c>
      <c r="AO2763" s="25" t="s">
        <v>28</v>
      </c>
      <c r="AP2763" s="23" t="s">
        <v>45</v>
      </c>
      <c r="AQ2763" s="23" t="s">
        <v>30</v>
      </c>
      <c r="AR2763" s="23" t="s">
        <v>46</v>
      </c>
      <c r="AS2763" s="25">
        <v>5983396</v>
      </c>
      <c r="AT2763" t="s">
        <v>26</v>
      </c>
      <c r="AU2763" t="s">
        <v>25800</v>
      </c>
    </row>
    <row r="2764" spans="1:47" ht="26.25" x14ac:dyDescent="0.4">
      <c r="A2764" s="23" t="s">
        <v>7115</v>
      </c>
      <c r="B2764" t="s">
        <v>26</v>
      </c>
      <c r="C2764" s="23" t="s">
        <v>80</v>
      </c>
      <c r="D2764" s="23" t="s">
        <v>22184</v>
      </c>
      <c r="E2764" s="23" t="s">
        <v>60</v>
      </c>
      <c r="F2764" s="25" t="s">
        <v>7116</v>
      </c>
      <c r="G2764" s="25" t="s">
        <v>7117</v>
      </c>
      <c r="H2764" t="s">
        <v>26</v>
      </c>
      <c r="I2764" t="s">
        <v>26</v>
      </c>
      <c r="J2764" t="s">
        <v>26</v>
      </c>
      <c r="K2764" t="s">
        <v>26</v>
      </c>
      <c r="L2764" s="25" t="s">
        <v>68</v>
      </c>
      <c r="M2764" t="s">
        <v>26</v>
      </c>
      <c r="N2764" t="s">
        <v>26</v>
      </c>
      <c r="O2764" t="s">
        <v>26</v>
      </c>
      <c r="P2764" t="s">
        <v>26</v>
      </c>
      <c r="Q2764" t="s">
        <v>26</v>
      </c>
      <c r="R2764" t="s">
        <v>26</v>
      </c>
      <c r="S2764" t="s">
        <v>26</v>
      </c>
      <c r="T2764" t="s">
        <v>26</v>
      </c>
      <c r="U2764" t="s">
        <v>26</v>
      </c>
      <c r="V2764" t="s">
        <v>26</v>
      </c>
      <c r="W2764" s="24">
        <v>38078</v>
      </c>
      <c r="X2764" s="25" t="s">
        <v>77</v>
      </c>
      <c r="Y2764" t="s">
        <v>26</v>
      </c>
      <c r="Z2764" s="24">
        <v>38078</v>
      </c>
      <c r="AA2764" s="25" t="s">
        <v>77</v>
      </c>
      <c r="AB2764" t="s">
        <v>26</v>
      </c>
      <c r="AC2764" s="24">
        <v>38078</v>
      </c>
      <c r="AD2764" s="25" t="s">
        <v>77</v>
      </c>
      <c r="AE2764" t="s">
        <v>26</v>
      </c>
      <c r="AF2764" t="s">
        <v>26</v>
      </c>
      <c r="AG2764" t="s">
        <v>26</v>
      </c>
      <c r="AH2764" t="s">
        <v>26</v>
      </c>
      <c r="AI2764" t="s">
        <v>26</v>
      </c>
      <c r="AJ2764" t="s">
        <v>26</v>
      </c>
      <c r="AK2764" t="s">
        <v>26</v>
      </c>
      <c r="AL2764" t="s">
        <v>26</v>
      </c>
      <c r="AM2764" t="s">
        <v>26</v>
      </c>
      <c r="AN2764" t="s">
        <v>26</v>
      </c>
      <c r="AO2764" s="25" t="s">
        <v>68</v>
      </c>
      <c r="AP2764" s="23" t="s">
        <v>69</v>
      </c>
      <c r="AQ2764" s="23" t="s">
        <v>30</v>
      </c>
      <c r="AR2764" s="23" t="s">
        <v>7118</v>
      </c>
      <c r="AS2764" s="25">
        <v>27113</v>
      </c>
      <c r="AT2764" t="s">
        <v>26</v>
      </c>
      <c r="AU2764" t="s">
        <v>25801</v>
      </c>
    </row>
    <row r="2765" spans="1:47" ht="26.25" x14ac:dyDescent="0.4">
      <c r="A2765" s="23" t="s">
        <v>7119</v>
      </c>
      <c r="B2765" t="s">
        <v>26</v>
      </c>
      <c r="C2765" s="23" t="s">
        <v>181</v>
      </c>
      <c r="D2765" s="23" t="s">
        <v>22174</v>
      </c>
      <c r="E2765" s="23" t="s">
        <v>60</v>
      </c>
      <c r="F2765" s="25" t="s">
        <v>7120</v>
      </c>
      <c r="G2765" s="25" t="s">
        <v>7121</v>
      </c>
      <c r="H2765" t="s">
        <v>26</v>
      </c>
      <c r="I2765" t="s">
        <v>26</v>
      </c>
      <c r="J2765" t="s">
        <v>26</v>
      </c>
      <c r="K2765" t="s">
        <v>26</v>
      </c>
      <c r="L2765" s="25" t="s">
        <v>68</v>
      </c>
      <c r="M2765" t="s">
        <v>26</v>
      </c>
      <c r="N2765" t="s">
        <v>26</v>
      </c>
      <c r="O2765" t="s">
        <v>26</v>
      </c>
      <c r="P2765" t="s">
        <v>26</v>
      </c>
      <c r="Q2765" t="s">
        <v>26</v>
      </c>
      <c r="R2765" t="s">
        <v>26</v>
      </c>
      <c r="S2765" t="s">
        <v>26</v>
      </c>
      <c r="T2765" t="s">
        <v>26</v>
      </c>
      <c r="U2765" t="s">
        <v>26</v>
      </c>
      <c r="V2765" t="s">
        <v>26</v>
      </c>
      <c r="W2765" s="24">
        <v>37834</v>
      </c>
      <c r="X2765" s="25" t="s">
        <v>77</v>
      </c>
      <c r="Y2765" t="s">
        <v>26</v>
      </c>
      <c r="Z2765" s="24">
        <v>37834</v>
      </c>
      <c r="AA2765" s="25" t="s">
        <v>77</v>
      </c>
      <c r="AB2765" t="s">
        <v>26</v>
      </c>
      <c r="AC2765" s="24">
        <v>37834</v>
      </c>
      <c r="AD2765" s="25" t="s">
        <v>77</v>
      </c>
      <c r="AE2765" t="s">
        <v>26</v>
      </c>
      <c r="AF2765" t="s">
        <v>26</v>
      </c>
      <c r="AG2765" t="s">
        <v>26</v>
      </c>
      <c r="AH2765" t="s">
        <v>26</v>
      </c>
      <c r="AI2765" t="s">
        <v>26</v>
      </c>
      <c r="AJ2765" t="s">
        <v>26</v>
      </c>
      <c r="AK2765" t="s">
        <v>26</v>
      </c>
      <c r="AL2765" t="s">
        <v>26</v>
      </c>
      <c r="AM2765" t="s">
        <v>26</v>
      </c>
      <c r="AN2765" t="s">
        <v>26</v>
      </c>
      <c r="AO2765" s="25" t="s">
        <v>68</v>
      </c>
      <c r="AP2765" s="23" t="s">
        <v>69</v>
      </c>
      <c r="AQ2765" s="23" t="s">
        <v>30</v>
      </c>
      <c r="AR2765" s="23" t="s">
        <v>433</v>
      </c>
      <c r="AS2765" s="25">
        <v>25608</v>
      </c>
      <c r="AT2765" t="s">
        <v>26</v>
      </c>
      <c r="AU2765" t="s">
        <v>25802</v>
      </c>
    </row>
    <row r="2766" spans="1:47" ht="26.25" x14ac:dyDescent="0.4">
      <c r="A2766" s="23" t="s">
        <v>7122</v>
      </c>
      <c r="B2766" t="s">
        <v>26</v>
      </c>
      <c r="C2766" s="23" t="s">
        <v>181</v>
      </c>
      <c r="D2766" s="23" t="s">
        <v>22174</v>
      </c>
      <c r="E2766" s="23" t="s">
        <v>60</v>
      </c>
      <c r="F2766" s="25" t="s">
        <v>7123</v>
      </c>
      <c r="G2766" s="25" t="s">
        <v>7124</v>
      </c>
      <c r="H2766" t="s">
        <v>26</v>
      </c>
      <c r="I2766" t="s">
        <v>26</v>
      </c>
      <c r="J2766" t="s">
        <v>26</v>
      </c>
      <c r="K2766" t="s">
        <v>26</v>
      </c>
      <c r="L2766" s="25" t="s">
        <v>68</v>
      </c>
      <c r="M2766" t="s">
        <v>26</v>
      </c>
      <c r="N2766" t="s">
        <v>26</v>
      </c>
      <c r="O2766" t="s">
        <v>26</v>
      </c>
      <c r="P2766" t="s">
        <v>26</v>
      </c>
      <c r="Q2766" t="s">
        <v>26</v>
      </c>
      <c r="R2766" t="s">
        <v>26</v>
      </c>
      <c r="S2766" t="s">
        <v>26</v>
      </c>
      <c r="T2766" t="s">
        <v>26</v>
      </c>
      <c r="U2766" t="s">
        <v>26</v>
      </c>
      <c r="V2766" t="s">
        <v>26</v>
      </c>
      <c r="W2766" s="24">
        <v>33270</v>
      </c>
      <c r="X2766" s="25" t="s">
        <v>77</v>
      </c>
      <c r="Y2766" t="s">
        <v>26</v>
      </c>
      <c r="Z2766" s="24">
        <v>33270</v>
      </c>
      <c r="AA2766" s="25" t="s">
        <v>77</v>
      </c>
      <c r="AB2766" t="s">
        <v>26</v>
      </c>
      <c r="AC2766" s="24">
        <v>33270</v>
      </c>
      <c r="AD2766" s="25" t="s">
        <v>77</v>
      </c>
      <c r="AE2766" t="s">
        <v>26</v>
      </c>
      <c r="AF2766" t="s">
        <v>26</v>
      </c>
      <c r="AG2766" t="s">
        <v>26</v>
      </c>
      <c r="AH2766" t="s">
        <v>26</v>
      </c>
      <c r="AI2766" t="s">
        <v>26</v>
      </c>
      <c r="AJ2766" t="s">
        <v>26</v>
      </c>
      <c r="AK2766" t="s">
        <v>26</v>
      </c>
      <c r="AL2766" t="s">
        <v>26</v>
      </c>
      <c r="AM2766" t="s">
        <v>26</v>
      </c>
      <c r="AN2766" t="s">
        <v>26</v>
      </c>
      <c r="AO2766" s="25" t="s">
        <v>68</v>
      </c>
      <c r="AP2766" s="23" t="s">
        <v>69</v>
      </c>
      <c r="AQ2766" s="23" t="s">
        <v>30</v>
      </c>
      <c r="AR2766" s="23" t="s">
        <v>46</v>
      </c>
      <c r="AS2766" s="25">
        <v>32815</v>
      </c>
      <c r="AT2766" t="s">
        <v>26</v>
      </c>
      <c r="AU2766" t="s">
        <v>25803</v>
      </c>
    </row>
    <row r="2767" spans="1:47" ht="26.25" x14ac:dyDescent="0.4">
      <c r="A2767" s="23" t="s">
        <v>7125</v>
      </c>
      <c r="B2767" t="s">
        <v>26</v>
      </c>
      <c r="C2767" s="23" t="s">
        <v>73</v>
      </c>
      <c r="D2767" s="23" t="s">
        <v>22211</v>
      </c>
      <c r="E2767" s="23" t="s">
        <v>74</v>
      </c>
      <c r="F2767" s="25" t="s">
        <v>7126</v>
      </c>
      <c r="G2767" s="25" t="s">
        <v>7127</v>
      </c>
      <c r="H2767" t="s">
        <v>26</v>
      </c>
      <c r="I2767" s="24">
        <v>36192</v>
      </c>
      <c r="J2767" s="25" t="s">
        <v>77</v>
      </c>
      <c r="K2767" t="s">
        <v>26</v>
      </c>
      <c r="L2767" s="25" t="s">
        <v>68</v>
      </c>
      <c r="M2767" s="24">
        <v>38018</v>
      </c>
      <c r="N2767" s="24">
        <v>42826</v>
      </c>
      <c r="O2767" t="s">
        <v>26</v>
      </c>
      <c r="P2767" s="24">
        <v>36192</v>
      </c>
      <c r="Q2767" s="25" t="s">
        <v>77</v>
      </c>
      <c r="R2767" t="s">
        <v>26</v>
      </c>
      <c r="S2767" t="s">
        <v>26</v>
      </c>
      <c r="T2767" t="s">
        <v>26</v>
      </c>
      <c r="U2767" t="s">
        <v>26</v>
      </c>
      <c r="V2767" s="25">
        <v>365</v>
      </c>
      <c r="W2767" s="24">
        <v>36192</v>
      </c>
      <c r="X2767" s="25" t="s">
        <v>77</v>
      </c>
      <c r="Y2767" t="s">
        <v>26</v>
      </c>
      <c r="Z2767" s="24">
        <v>36192</v>
      </c>
      <c r="AA2767" s="25" t="s">
        <v>77</v>
      </c>
      <c r="AB2767" t="s">
        <v>26</v>
      </c>
      <c r="AC2767" s="24">
        <v>36192</v>
      </c>
      <c r="AD2767" s="25" t="s">
        <v>77</v>
      </c>
      <c r="AE2767" t="s">
        <v>26</v>
      </c>
      <c r="AF2767" t="s">
        <v>26</v>
      </c>
      <c r="AG2767" t="s">
        <v>26</v>
      </c>
      <c r="AH2767" t="s">
        <v>26</v>
      </c>
      <c r="AI2767" t="s">
        <v>26</v>
      </c>
      <c r="AJ2767" t="s">
        <v>26</v>
      </c>
      <c r="AK2767" t="s">
        <v>26</v>
      </c>
      <c r="AL2767" t="s">
        <v>26</v>
      </c>
      <c r="AM2767" t="s">
        <v>26</v>
      </c>
      <c r="AN2767" t="s">
        <v>26</v>
      </c>
      <c r="AO2767" s="25" t="s">
        <v>68</v>
      </c>
      <c r="AP2767" s="23" t="s">
        <v>69</v>
      </c>
      <c r="AQ2767" s="23" t="s">
        <v>30</v>
      </c>
      <c r="AR2767" s="23" t="s">
        <v>7128</v>
      </c>
      <c r="AS2767" s="25">
        <v>36605</v>
      </c>
      <c r="AT2767" t="s">
        <v>26</v>
      </c>
      <c r="AU2767" t="s">
        <v>25804</v>
      </c>
    </row>
    <row r="2768" spans="1:47" ht="26.25" x14ac:dyDescent="0.4">
      <c r="A2768" s="23" t="s">
        <v>7129</v>
      </c>
      <c r="B2768" t="s">
        <v>26</v>
      </c>
      <c r="C2768" s="23" t="s">
        <v>146</v>
      </c>
      <c r="D2768" s="23" t="s">
        <v>22174</v>
      </c>
      <c r="E2768" s="23" t="s">
        <v>60</v>
      </c>
      <c r="F2768" t="s">
        <v>26</v>
      </c>
      <c r="G2768" t="s">
        <v>26</v>
      </c>
      <c r="H2768" t="s">
        <v>26</v>
      </c>
      <c r="I2768" t="s">
        <v>26</v>
      </c>
      <c r="J2768" t="s">
        <v>26</v>
      </c>
      <c r="K2768" t="s">
        <v>26</v>
      </c>
      <c r="L2768" s="25" t="s">
        <v>28</v>
      </c>
      <c r="M2768" t="s">
        <v>26</v>
      </c>
      <c r="N2768" t="s">
        <v>26</v>
      </c>
      <c r="O2768" t="s">
        <v>26</v>
      </c>
      <c r="P2768" t="s">
        <v>26</v>
      </c>
      <c r="Q2768" t="s">
        <v>26</v>
      </c>
      <c r="R2768" t="s">
        <v>26</v>
      </c>
      <c r="S2768" t="s">
        <v>26</v>
      </c>
      <c r="T2768" t="s">
        <v>26</v>
      </c>
      <c r="U2768" t="s">
        <v>26</v>
      </c>
      <c r="V2768" t="s">
        <v>26</v>
      </c>
      <c r="W2768" s="24">
        <v>41640</v>
      </c>
      <c r="X2768" s="24">
        <v>41640</v>
      </c>
      <c r="Y2768" t="s">
        <v>26</v>
      </c>
      <c r="Z2768" s="24">
        <v>41640</v>
      </c>
      <c r="AA2768" s="24">
        <v>41640</v>
      </c>
      <c r="AB2768" t="s">
        <v>26</v>
      </c>
      <c r="AC2768" t="s">
        <v>26</v>
      </c>
      <c r="AD2768" t="s">
        <v>26</v>
      </c>
      <c r="AE2768" t="s">
        <v>26</v>
      </c>
      <c r="AF2768" t="s">
        <v>26</v>
      </c>
      <c r="AG2768" t="s">
        <v>26</v>
      </c>
      <c r="AH2768" t="s">
        <v>26</v>
      </c>
      <c r="AI2768" t="s">
        <v>26</v>
      </c>
      <c r="AJ2768" t="s">
        <v>26</v>
      </c>
      <c r="AK2768" t="s">
        <v>26</v>
      </c>
      <c r="AL2768" t="s">
        <v>26</v>
      </c>
      <c r="AM2768" t="s">
        <v>26</v>
      </c>
      <c r="AN2768" t="s">
        <v>26</v>
      </c>
      <c r="AO2768" s="25" t="s">
        <v>28</v>
      </c>
      <c r="AP2768" s="23" t="s">
        <v>29</v>
      </c>
      <c r="AQ2768" s="23" t="s">
        <v>30</v>
      </c>
      <c r="AR2768" s="23" t="s">
        <v>44</v>
      </c>
      <c r="AS2768" s="25">
        <v>5488575</v>
      </c>
      <c r="AT2768" s="23" t="s">
        <v>22181</v>
      </c>
      <c r="AU2768" t="s">
        <v>25805</v>
      </c>
    </row>
    <row r="2769" spans="1:47" ht="26.25" x14ac:dyDescent="0.4">
      <c r="A2769" s="23" t="s">
        <v>7130</v>
      </c>
      <c r="B2769" t="s">
        <v>26</v>
      </c>
      <c r="C2769" s="23" t="s">
        <v>7131</v>
      </c>
      <c r="D2769" s="23" t="s">
        <v>23175</v>
      </c>
      <c r="E2769" s="23" t="s">
        <v>42</v>
      </c>
      <c r="F2769" s="25" t="s">
        <v>7132</v>
      </c>
      <c r="G2769" s="25" t="s">
        <v>7133</v>
      </c>
      <c r="H2769" t="s">
        <v>26</v>
      </c>
      <c r="I2769" s="24">
        <v>36161</v>
      </c>
      <c r="J2769" s="24">
        <v>38626</v>
      </c>
      <c r="K2769" t="s">
        <v>26</v>
      </c>
      <c r="L2769" s="25" t="s">
        <v>68</v>
      </c>
      <c r="M2769" s="24">
        <v>36161</v>
      </c>
      <c r="N2769" s="24">
        <v>38626</v>
      </c>
      <c r="O2769" t="s">
        <v>26</v>
      </c>
      <c r="P2769" s="24">
        <v>36161</v>
      </c>
      <c r="Q2769" s="24">
        <v>38626</v>
      </c>
      <c r="R2769" t="s">
        <v>26</v>
      </c>
      <c r="S2769" t="s">
        <v>26</v>
      </c>
      <c r="T2769" t="s">
        <v>26</v>
      </c>
      <c r="U2769" t="s">
        <v>26</v>
      </c>
      <c r="V2769" t="s">
        <v>26</v>
      </c>
      <c r="W2769" s="24">
        <v>36161</v>
      </c>
      <c r="X2769" s="25" t="s">
        <v>77</v>
      </c>
      <c r="Y2769" t="s">
        <v>26</v>
      </c>
      <c r="Z2769" s="24">
        <v>36161</v>
      </c>
      <c r="AA2769" s="25" t="s">
        <v>77</v>
      </c>
      <c r="AB2769" t="s">
        <v>26</v>
      </c>
      <c r="AC2769" s="24">
        <v>36161</v>
      </c>
      <c r="AD2769" s="25" t="s">
        <v>77</v>
      </c>
      <c r="AE2769" t="s">
        <v>26</v>
      </c>
      <c r="AF2769" t="s">
        <v>26</v>
      </c>
      <c r="AG2769" t="s">
        <v>26</v>
      </c>
      <c r="AH2769" t="s">
        <v>26</v>
      </c>
      <c r="AI2769" t="s">
        <v>26</v>
      </c>
      <c r="AJ2769" t="s">
        <v>26</v>
      </c>
      <c r="AK2769" t="s">
        <v>26</v>
      </c>
      <c r="AL2769" t="s">
        <v>26</v>
      </c>
      <c r="AM2769" t="s">
        <v>26</v>
      </c>
      <c r="AN2769" t="s">
        <v>26</v>
      </c>
      <c r="AO2769" s="25" t="s">
        <v>68</v>
      </c>
      <c r="AP2769" s="23" t="s">
        <v>69</v>
      </c>
      <c r="AQ2769" s="23" t="s">
        <v>30</v>
      </c>
      <c r="AR2769" s="23" t="s">
        <v>123</v>
      </c>
      <c r="AS2769" s="25">
        <v>798</v>
      </c>
      <c r="AT2769" t="s">
        <v>26</v>
      </c>
      <c r="AU2769" t="s">
        <v>25806</v>
      </c>
    </row>
    <row r="2770" spans="1:47" ht="26.25" x14ac:dyDescent="0.4">
      <c r="A2770" s="23" t="s">
        <v>7134</v>
      </c>
      <c r="B2770" t="s">
        <v>26</v>
      </c>
      <c r="C2770" s="23" t="s">
        <v>107</v>
      </c>
      <c r="D2770" s="23" t="s">
        <v>22174</v>
      </c>
      <c r="E2770" s="23" t="s">
        <v>42</v>
      </c>
      <c r="F2770" s="25" t="s">
        <v>7135</v>
      </c>
      <c r="G2770" s="25" t="s">
        <v>7136</v>
      </c>
      <c r="H2770" t="s">
        <v>26</v>
      </c>
      <c r="I2770" s="24">
        <v>42370</v>
      </c>
      <c r="J2770" s="25" t="s">
        <v>77</v>
      </c>
      <c r="K2770" t="s">
        <v>26</v>
      </c>
      <c r="L2770" s="25" t="s">
        <v>68</v>
      </c>
      <c r="M2770" t="s">
        <v>26</v>
      </c>
      <c r="N2770" t="s">
        <v>26</v>
      </c>
      <c r="O2770" t="s">
        <v>26</v>
      </c>
      <c r="P2770" t="s">
        <v>26</v>
      </c>
      <c r="Q2770" t="s">
        <v>26</v>
      </c>
      <c r="R2770" t="s">
        <v>26</v>
      </c>
      <c r="S2770" s="24">
        <v>42370</v>
      </c>
      <c r="T2770" s="25" t="s">
        <v>77</v>
      </c>
      <c r="U2770" t="s">
        <v>26</v>
      </c>
      <c r="V2770" t="s">
        <v>26</v>
      </c>
      <c r="W2770" s="24">
        <v>42370</v>
      </c>
      <c r="X2770" s="25" t="s">
        <v>77</v>
      </c>
      <c r="Y2770" t="s">
        <v>26</v>
      </c>
      <c r="Z2770" s="24">
        <v>42370</v>
      </c>
      <c r="AA2770" s="25" t="s">
        <v>77</v>
      </c>
      <c r="AB2770" t="s">
        <v>26</v>
      </c>
      <c r="AC2770" s="24">
        <v>42370</v>
      </c>
      <c r="AD2770" s="25" t="s">
        <v>77</v>
      </c>
      <c r="AE2770" t="s">
        <v>26</v>
      </c>
      <c r="AF2770" t="s">
        <v>26</v>
      </c>
      <c r="AG2770" t="s">
        <v>26</v>
      </c>
      <c r="AH2770" t="s">
        <v>26</v>
      </c>
      <c r="AI2770" t="s">
        <v>26</v>
      </c>
      <c r="AJ2770" t="s">
        <v>26</v>
      </c>
      <c r="AK2770" t="s">
        <v>26</v>
      </c>
      <c r="AL2770" t="s">
        <v>26</v>
      </c>
      <c r="AM2770" t="s">
        <v>26</v>
      </c>
      <c r="AN2770" t="s">
        <v>26</v>
      </c>
      <c r="AO2770" s="25" t="s">
        <v>68</v>
      </c>
      <c r="AP2770" s="23" t="s">
        <v>69</v>
      </c>
      <c r="AQ2770" s="23" t="s">
        <v>30</v>
      </c>
      <c r="AR2770" s="23" t="s">
        <v>70</v>
      </c>
      <c r="AS2770" s="25">
        <v>4450847</v>
      </c>
      <c r="AT2770" t="s">
        <v>26</v>
      </c>
      <c r="AU2770" t="s">
        <v>25807</v>
      </c>
    </row>
    <row r="2771" spans="1:47" ht="26.25" x14ac:dyDescent="0.4">
      <c r="A2771" s="23" t="s">
        <v>7137</v>
      </c>
      <c r="B2771" t="s">
        <v>26</v>
      </c>
      <c r="C2771" s="23" t="s">
        <v>181</v>
      </c>
      <c r="D2771" s="23" t="s">
        <v>22174</v>
      </c>
      <c r="E2771" s="23" t="s">
        <v>60</v>
      </c>
      <c r="F2771" s="25" t="s">
        <v>7138</v>
      </c>
      <c r="G2771" s="25" t="s">
        <v>7139</v>
      </c>
      <c r="H2771" t="s">
        <v>26</v>
      </c>
      <c r="I2771" s="24">
        <v>42401</v>
      </c>
      <c r="J2771" s="25" t="s">
        <v>77</v>
      </c>
      <c r="K2771" t="s">
        <v>26</v>
      </c>
      <c r="L2771" s="25" t="s">
        <v>68</v>
      </c>
      <c r="M2771" t="s">
        <v>26</v>
      </c>
      <c r="N2771" t="s">
        <v>26</v>
      </c>
      <c r="O2771" t="s">
        <v>26</v>
      </c>
      <c r="P2771" t="s">
        <v>26</v>
      </c>
      <c r="Q2771" t="s">
        <v>26</v>
      </c>
      <c r="R2771" t="s">
        <v>26</v>
      </c>
      <c r="S2771" s="24">
        <v>42401</v>
      </c>
      <c r="T2771" s="25" t="s">
        <v>77</v>
      </c>
      <c r="U2771" t="s">
        <v>26</v>
      </c>
      <c r="V2771" t="s">
        <v>26</v>
      </c>
      <c r="W2771" s="24">
        <v>42401</v>
      </c>
      <c r="X2771" s="25" t="s">
        <v>77</v>
      </c>
      <c r="Y2771" t="s">
        <v>26</v>
      </c>
      <c r="Z2771" s="24">
        <v>42401</v>
      </c>
      <c r="AA2771" s="25" t="s">
        <v>77</v>
      </c>
      <c r="AB2771" t="s">
        <v>26</v>
      </c>
      <c r="AC2771" s="24">
        <v>42401</v>
      </c>
      <c r="AD2771" s="25" t="s">
        <v>77</v>
      </c>
      <c r="AE2771" t="s">
        <v>26</v>
      </c>
      <c r="AF2771" t="s">
        <v>26</v>
      </c>
      <c r="AG2771" t="s">
        <v>26</v>
      </c>
      <c r="AH2771" t="s">
        <v>26</v>
      </c>
      <c r="AI2771" t="s">
        <v>26</v>
      </c>
      <c r="AJ2771" t="s">
        <v>26</v>
      </c>
      <c r="AK2771" t="s">
        <v>26</v>
      </c>
      <c r="AL2771" t="s">
        <v>26</v>
      </c>
      <c r="AM2771" t="s">
        <v>26</v>
      </c>
      <c r="AN2771" t="s">
        <v>26</v>
      </c>
      <c r="AO2771" s="25" t="s">
        <v>68</v>
      </c>
      <c r="AP2771" s="23" t="s">
        <v>69</v>
      </c>
      <c r="AQ2771" s="23" t="s">
        <v>30</v>
      </c>
      <c r="AR2771" s="23" t="s">
        <v>1261</v>
      </c>
      <c r="AS2771" s="25">
        <v>4450839</v>
      </c>
      <c r="AT2771" t="s">
        <v>26</v>
      </c>
      <c r="AU2771" t="s">
        <v>25808</v>
      </c>
    </row>
    <row r="2772" spans="1:47" ht="26.25" x14ac:dyDescent="0.4">
      <c r="A2772" s="23" t="s">
        <v>7140</v>
      </c>
      <c r="B2772" t="s">
        <v>26</v>
      </c>
      <c r="C2772" s="23" t="s">
        <v>264</v>
      </c>
      <c r="D2772" s="23" t="s">
        <v>22261</v>
      </c>
      <c r="E2772" s="23" t="s">
        <v>60</v>
      </c>
      <c r="F2772" s="25" t="s">
        <v>7141</v>
      </c>
      <c r="G2772" s="25" t="s">
        <v>7142</v>
      </c>
      <c r="H2772" t="s">
        <v>26</v>
      </c>
      <c r="I2772" s="24">
        <v>42005</v>
      </c>
      <c r="J2772" s="25" t="s">
        <v>77</v>
      </c>
      <c r="K2772" t="s">
        <v>26</v>
      </c>
      <c r="L2772" s="25" t="s">
        <v>68</v>
      </c>
      <c r="M2772" s="24">
        <v>42005</v>
      </c>
      <c r="N2772" s="25" t="s">
        <v>77</v>
      </c>
      <c r="O2772" t="s">
        <v>26</v>
      </c>
      <c r="P2772" s="24">
        <v>42005</v>
      </c>
      <c r="Q2772" s="25" t="s">
        <v>77</v>
      </c>
      <c r="R2772" t="s">
        <v>26</v>
      </c>
      <c r="S2772" t="s">
        <v>26</v>
      </c>
      <c r="T2772" t="s">
        <v>26</v>
      </c>
      <c r="U2772" t="s">
        <v>26</v>
      </c>
      <c r="V2772" s="25">
        <v>365</v>
      </c>
      <c r="W2772" s="24">
        <v>42005</v>
      </c>
      <c r="X2772" s="25" t="s">
        <v>77</v>
      </c>
      <c r="Y2772" t="s">
        <v>26</v>
      </c>
      <c r="Z2772" s="24">
        <v>42005</v>
      </c>
      <c r="AA2772" s="25" t="s">
        <v>77</v>
      </c>
      <c r="AB2772" t="s">
        <v>26</v>
      </c>
      <c r="AC2772" s="24">
        <v>42005</v>
      </c>
      <c r="AD2772" s="25" t="s">
        <v>77</v>
      </c>
      <c r="AE2772" t="s">
        <v>26</v>
      </c>
      <c r="AF2772" t="s">
        <v>26</v>
      </c>
      <c r="AG2772" t="s">
        <v>26</v>
      </c>
      <c r="AH2772" t="s">
        <v>26</v>
      </c>
      <c r="AI2772" t="s">
        <v>26</v>
      </c>
      <c r="AJ2772" t="s">
        <v>26</v>
      </c>
      <c r="AK2772" t="s">
        <v>26</v>
      </c>
      <c r="AL2772" t="s">
        <v>26</v>
      </c>
      <c r="AM2772" t="s">
        <v>26</v>
      </c>
      <c r="AN2772" t="s">
        <v>26</v>
      </c>
      <c r="AO2772" s="25" t="s">
        <v>68</v>
      </c>
      <c r="AP2772" s="23" t="s">
        <v>69</v>
      </c>
      <c r="AQ2772" s="23" t="s">
        <v>30</v>
      </c>
      <c r="AR2772" s="23" t="s">
        <v>7143</v>
      </c>
      <c r="AS2772" s="25">
        <v>2032909</v>
      </c>
      <c r="AT2772" t="s">
        <v>26</v>
      </c>
      <c r="AU2772" t="s">
        <v>25809</v>
      </c>
    </row>
    <row r="2773" spans="1:47" ht="26.25" x14ac:dyDescent="0.4">
      <c r="A2773" s="23" t="s">
        <v>7144</v>
      </c>
      <c r="B2773" t="s">
        <v>26</v>
      </c>
      <c r="C2773" s="23" t="s">
        <v>25032</v>
      </c>
      <c r="D2773" t="s">
        <v>26</v>
      </c>
      <c r="E2773" s="23" t="s">
        <v>42</v>
      </c>
      <c r="F2773" t="s">
        <v>26</v>
      </c>
      <c r="G2773" t="s">
        <v>26</v>
      </c>
      <c r="H2773" t="s">
        <v>26</v>
      </c>
      <c r="I2773" s="24">
        <v>36892</v>
      </c>
      <c r="J2773" s="24">
        <v>40909</v>
      </c>
      <c r="K2773" t="s">
        <v>26</v>
      </c>
      <c r="L2773" s="25" t="s">
        <v>28</v>
      </c>
      <c r="M2773" s="24">
        <v>36892</v>
      </c>
      <c r="N2773" s="24">
        <v>40909</v>
      </c>
      <c r="O2773" t="s">
        <v>26</v>
      </c>
      <c r="P2773" t="s">
        <v>26</v>
      </c>
      <c r="Q2773" t="s">
        <v>26</v>
      </c>
      <c r="R2773" t="s">
        <v>26</v>
      </c>
      <c r="S2773" s="24">
        <v>36892</v>
      </c>
      <c r="T2773" s="24">
        <v>40909</v>
      </c>
      <c r="U2773" t="s">
        <v>26</v>
      </c>
      <c r="V2773" t="s">
        <v>26</v>
      </c>
      <c r="W2773" s="24">
        <v>36892</v>
      </c>
      <c r="X2773" s="24">
        <v>40909</v>
      </c>
      <c r="Y2773" t="s">
        <v>26</v>
      </c>
      <c r="Z2773" s="24">
        <v>36892</v>
      </c>
      <c r="AA2773" s="24">
        <v>40909</v>
      </c>
      <c r="AB2773" t="s">
        <v>26</v>
      </c>
      <c r="AC2773" s="24">
        <v>36892</v>
      </c>
      <c r="AD2773" s="24">
        <v>40909</v>
      </c>
      <c r="AE2773" t="s">
        <v>26</v>
      </c>
      <c r="AF2773" s="24">
        <v>36892</v>
      </c>
      <c r="AG2773" s="24">
        <v>40909</v>
      </c>
      <c r="AH2773" t="s">
        <v>26</v>
      </c>
      <c r="AI2773" s="24">
        <v>36892</v>
      </c>
      <c r="AJ2773" s="24">
        <v>40909</v>
      </c>
      <c r="AK2773" t="s">
        <v>26</v>
      </c>
      <c r="AL2773" t="s">
        <v>26</v>
      </c>
      <c r="AM2773" t="s">
        <v>26</v>
      </c>
      <c r="AN2773" t="s">
        <v>26</v>
      </c>
      <c r="AO2773" s="25" t="s">
        <v>28</v>
      </c>
      <c r="AP2773" s="23" t="s">
        <v>43</v>
      </c>
      <c r="AQ2773" s="23" t="s">
        <v>30</v>
      </c>
      <c r="AR2773" s="23" t="s">
        <v>44</v>
      </c>
      <c r="AS2773" s="25">
        <v>5262101</v>
      </c>
      <c r="AT2773" t="s">
        <v>26</v>
      </c>
      <c r="AU2773" t="s">
        <v>25810</v>
      </c>
    </row>
    <row r="2774" spans="1:47" ht="26.25" x14ac:dyDescent="0.4">
      <c r="A2774" s="23" t="s">
        <v>7145</v>
      </c>
      <c r="B2774" t="s">
        <v>26</v>
      </c>
      <c r="C2774" s="23" t="s">
        <v>7146</v>
      </c>
      <c r="D2774" s="23" t="s">
        <v>22265</v>
      </c>
      <c r="E2774" s="23" t="s">
        <v>479</v>
      </c>
      <c r="F2774" s="25" t="s">
        <v>7147</v>
      </c>
      <c r="G2774" s="25" t="s">
        <v>7148</v>
      </c>
      <c r="H2774" t="s">
        <v>26</v>
      </c>
      <c r="I2774" s="24">
        <v>35796</v>
      </c>
      <c r="J2774" s="25" t="s">
        <v>77</v>
      </c>
      <c r="K2774" t="s">
        <v>26</v>
      </c>
      <c r="L2774" s="25" t="s">
        <v>68</v>
      </c>
      <c r="M2774" s="24">
        <v>35796</v>
      </c>
      <c r="N2774" s="25" t="s">
        <v>77</v>
      </c>
      <c r="O2774" t="s">
        <v>26</v>
      </c>
      <c r="P2774" s="24">
        <v>35796</v>
      </c>
      <c r="Q2774" s="25" t="s">
        <v>77</v>
      </c>
      <c r="R2774" t="s">
        <v>26</v>
      </c>
      <c r="S2774" t="s">
        <v>26</v>
      </c>
      <c r="T2774" t="s">
        <v>26</v>
      </c>
      <c r="U2774" t="s">
        <v>26</v>
      </c>
      <c r="V2774" t="s">
        <v>26</v>
      </c>
      <c r="W2774" s="24">
        <v>35796</v>
      </c>
      <c r="X2774" s="25" t="s">
        <v>77</v>
      </c>
      <c r="Y2774" t="s">
        <v>26</v>
      </c>
      <c r="Z2774" s="24">
        <v>35796</v>
      </c>
      <c r="AA2774" s="25" t="s">
        <v>77</v>
      </c>
      <c r="AB2774" t="s">
        <v>26</v>
      </c>
      <c r="AC2774" s="24">
        <v>36800</v>
      </c>
      <c r="AD2774" s="25" t="s">
        <v>77</v>
      </c>
      <c r="AE2774" s="25" t="s">
        <v>24307</v>
      </c>
      <c r="AF2774" t="s">
        <v>26</v>
      </c>
      <c r="AG2774" t="s">
        <v>26</v>
      </c>
      <c r="AH2774" t="s">
        <v>26</v>
      </c>
      <c r="AI2774" t="s">
        <v>26</v>
      </c>
      <c r="AJ2774" t="s">
        <v>26</v>
      </c>
      <c r="AK2774" t="s">
        <v>26</v>
      </c>
      <c r="AL2774" t="s">
        <v>26</v>
      </c>
      <c r="AM2774" t="s">
        <v>26</v>
      </c>
      <c r="AN2774" t="s">
        <v>26</v>
      </c>
      <c r="AO2774" s="25" t="s">
        <v>68</v>
      </c>
      <c r="AP2774" s="23" t="s">
        <v>69</v>
      </c>
      <c r="AQ2774" s="23" t="s">
        <v>30</v>
      </c>
      <c r="AR2774" s="23" t="s">
        <v>7149</v>
      </c>
      <c r="AS2774" s="25">
        <v>5997</v>
      </c>
      <c r="AT2774" t="s">
        <v>26</v>
      </c>
      <c r="AU2774" t="s">
        <v>25811</v>
      </c>
    </row>
    <row r="2775" spans="1:47" ht="26.25" x14ac:dyDescent="0.4">
      <c r="A2775" s="23" t="s">
        <v>7150</v>
      </c>
      <c r="B2775" t="s">
        <v>26</v>
      </c>
      <c r="C2775" s="23" t="s">
        <v>710</v>
      </c>
      <c r="D2775" s="23" t="s">
        <v>22453</v>
      </c>
      <c r="E2775" s="23" t="s">
        <v>711</v>
      </c>
      <c r="F2775" s="25" t="s">
        <v>7151</v>
      </c>
      <c r="G2775" s="25" t="s">
        <v>7152</v>
      </c>
      <c r="H2775" t="s">
        <v>26</v>
      </c>
      <c r="I2775" s="24">
        <v>39142</v>
      </c>
      <c r="J2775" s="25" t="s">
        <v>77</v>
      </c>
      <c r="K2775" t="s">
        <v>26</v>
      </c>
      <c r="L2775" s="25" t="s">
        <v>68</v>
      </c>
      <c r="M2775" s="24">
        <v>39142</v>
      </c>
      <c r="N2775" s="25" t="s">
        <v>77</v>
      </c>
      <c r="O2775" t="s">
        <v>26</v>
      </c>
      <c r="P2775" s="24">
        <v>39142</v>
      </c>
      <c r="Q2775" s="25" t="s">
        <v>77</v>
      </c>
      <c r="R2775" t="s">
        <v>26</v>
      </c>
      <c r="S2775" t="s">
        <v>26</v>
      </c>
      <c r="T2775" t="s">
        <v>26</v>
      </c>
      <c r="U2775" t="s">
        <v>26</v>
      </c>
      <c r="V2775" s="25">
        <v>90</v>
      </c>
      <c r="W2775" s="24">
        <v>39142</v>
      </c>
      <c r="X2775" s="25" t="s">
        <v>77</v>
      </c>
      <c r="Y2775" t="s">
        <v>26</v>
      </c>
      <c r="Z2775" s="24">
        <v>39142</v>
      </c>
      <c r="AA2775" s="25" t="s">
        <v>77</v>
      </c>
      <c r="AB2775" t="s">
        <v>26</v>
      </c>
      <c r="AC2775" s="24">
        <v>42795</v>
      </c>
      <c r="AD2775" s="25" t="s">
        <v>77</v>
      </c>
      <c r="AE2775" t="s">
        <v>26</v>
      </c>
      <c r="AF2775" t="s">
        <v>26</v>
      </c>
      <c r="AG2775" t="s">
        <v>26</v>
      </c>
      <c r="AH2775" t="s">
        <v>26</v>
      </c>
      <c r="AI2775" t="s">
        <v>26</v>
      </c>
      <c r="AJ2775" t="s">
        <v>26</v>
      </c>
      <c r="AK2775" t="s">
        <v>26</v>
      </c>
      <c r="AL2775" t="s">
        <v>26</v>
      </c>
      <c r="AM2775" t="s">
        <v>26</v>
      </c>
      <c r="AN2775" t="s">
        <v>26</v>
      </c>
      <c r="AO2775" s="25" t="s">
        <v>28</v>
      </c>
      <c r="AP2775" s="23" t="s">
        <v>69</v>
      </c>
      <c r="AQ2775" s="23" t="s">
        <v>708</v>
      </c>
      <c r="AR2775" s="23" t="s">
        <v>70</v>
      </c>
      <c r="AS2775" s="25">
        <v>27525</v>
      </c>
      <c r="AT2775" t="s">
        <v>26</v>
      </c>
      <c r="AU2775" t="s">
        <v>25812</v>
      </c>
    </row>
    <row r="2776" spans="1:47" ht="26.25" x14ac:dyDescent="0.4">
      <c r="A2776" s="23" t="s">
        <v>7153</v>
      </c>
      <c r="B2776" t="s">
        <v>26</v>
      </c>
      <c r="C2776" t="s">
        <v>26</v>
      </c>
      <c r="D2776" t="s">
        <v>26</v>
      </c>
      <c r="E2776" t="s">
        <v>26</v>
      </c>
      <c r="F2776" t="s">
        <v>26</v>
      </c>
      <c r="G2776" t="s">
        <v>26</v>
      </c>
      <c r="H2776" t="s">
        <v>26</v>
      </c>
      <c r="I2776" s="24">
        <v>40544</v>
      </c>
      <c r="J2776" s="24">
        <v>40544</v>
      </c>
      <c r="K2776" t="s">
        <v>26</v>
      </c>
      <c r="L2776" s="25" t="s">
        <v>28</v>
      </c>
      <c r="M2776" s="24">
        <v>40544</v>
      </c>
      <c r="N2776" s="24">
        <v>40544</v>
      </c>
      <c r="O2776" t="s">
        <v>26</v>
      </c>
      <c r="P2776" t="s">
        <v>26</v>
      </c>
      <c r="Q2776" t="s">
        <v>26</v>
      </c>
      <c r="R2776" t="s">
        <v>26</v>
      </c>
      <c r="S2776" s="24">
        <v>40544</v>
      </c>
      <c r="T2776" s="24">
        <v>40544</v>
      </c>
      <c r="U2776" t="s">
        <v>26</v>
      </c>
      <c r="V2776" t="s">
        <v>26</v>
      </c>
      <c r="W2776" s="24">
        <v>40544</v>
      </c>
      <c r="X2776" s="24">
        <v>40544</v>
      </c>
      <c r="Y2776" t="s">
        <v>26</v>
      </c>
      <c r="Z2776" s="24">
        <v>40544</v>
      </c>
      <c r="AA2776" s="24">
        <v>40544</v>
      </c>
      <c r="AB2776" t="s">
        <v>26</v>
      </c>
      <c r="AC2776" s="24">
        <v>40544</v>
      </c>
      <c r="AD2776" s="24">
        <v>40544</v>
      </c>
      <c r="AE2776" t="s">
        <v>26</v>
      </c>
      <c r="AF2776" s="24">
        <v>40544</v>
      </c>
      <c r="AG2776" s="24">
        <v>40544</v>
      </c>
      <c r="AH2776" t="s">
        <v>26</v>
      </c>
      <c r="AI2776" s="24">
        <v>40544</v>
      </c>
      <c r="AJ2776" s="24">
        <v>40544</v>
      </c>
      <c r="AK2776" t="s">
        <v>26</v>
      </c>
      <c r="AL2776" t="s">
        <v>26</v>
      </c>
      <c r="AM2776" t="s">
        <v>26</v>
      </c>
      <c r="AN2776" t="s">
        <v>26</v>
      </c>
      <c r="AO2776" s="25" t="s">
        <v>28</v>
      </c>
      <c r="AP2776" s="23" t="s">
        <v>43</v>
      </c>
      <c r="AQ2776" s="23" t="s">
        <v>30</v>
      </c>
      <c r="AR2776" s="23" t="s">
        <v>44</v>
      </c>
      <c r="AS2776" s="25">
        <v>5256695</v>
      </c>
      <c r="AT2776" t="s">
        <v>26</v>
      </c>
      <c r="AU2776" t="s">
        <v>25813</v>
      </c>
    </row>
    <row r="2777" spans="1:47" ht="26.25" x14ac:dyDescent="0.4">
      <c r="A2777" s="23" t="s">
        <v>7154</v>
      </c>
      <c r="B2777" t="s">
        <v>26</v>
      </c>
      <c r="C2777" s="23" t="s">
        <v>1784</v>
      </c>
      <c r="D2777" t="s">
        <v>26</v>
      </c>
      <c r="E2777" s="23" t="s">
        <v>60</v>
      </c>
      <c r="F2777" t="s">
        <v>26</v>
      </c>
      <c r="G2777" t="s">
        <v>26</v>
      </c>
      <c r="H2777" t="s">
        <v>26</v>
      </c>
      <c r="I2777" s="24">
        <v>41640</v>
      </c>
      <c r="J2777" s="24">
        <v>41640</v>
      </c>
      <c r="K2777" t="s">
        <v>26</v>
      </c>
      <c r="L2777" s="25" t="s">
        <v>28</v>
      </c>
      <c r="M2777" s="24">
        <v>41640</v>
      </c>
      <c r="N2777" s="24">
        <v>41640</v>
      </c>
      <c r="O2777" t="s">
        <v>26</v>
      </c>
      <c r="P2777" t="s">
        <v>26</v>
      </c>
      <c r="Q2777" t="s">
        <v>26</v>
      </c>
      <c r="R2777" t="s">
        <v>26</v>
      </c>
      <c r="S2777" s="24">
        <v>41640</v>
      </c>
      <c r="T2777" s="24">
        <v>41640</v>
      </c>
      <c r="U2777" t="s">
        <v>26</v>
      </c>
      <c r="V2777" t="s">
        <v>26</v>
      </c>
      <c r="W2777" s="24">
        <v>41640</v>
      </c>
      <c r="X2777" s="24">
        <v>41640</v>
      </c>
      <c r="Y2777" t="s">
        <v>26</v>
      </c>
      <c r="Z2777" s="24">
        <v>41640</v>
      </c>
      <c r="AA2777" s="24">
        <v>41640</v>
      </c>
      <c r="AB2777" t="s">
        <v>26</v>
      </c>
      <c r="AC2777" s="24">
        <v>41640</v>
      </c>
      <c r="AD2777" s="24">
        <v>41640</v>
      </c>
      <c r="AE2777" t="s">
        <v>26</v>
      </c>
      <c r="AF2777" s="24">
        <v>41640</v>
      </c>
      <c r="AG2777" s="24">
        <v>41640</v>
      </c>
      <c r="AH2777" t="s">
        <v>26</v>
      </c>
      <c r="AI2777" s="24">
        <v>41640</v>
      </c>
      <c r="AJ2777" s="24">
        <v>41640</v>
      </c>
      <c r="AK2777" t="s">
        <v>26</v>
      </c>
      <c r="AL2777" t="s">
        <v>26</v>
      </c>
      <c r="AM2777" t="s">
        <v>26</v>
      </c>
      <c r="AN2777" t="s">
        <v>26</v>
      </c>
      <c r="AO2777" s="25" t="s">
        <v>28</v>
      </c>
      <c r="AP2777" s="23" t="s">
        <v>43</v>
      </c>
      <c r="AQ2777" s="23" t="s">
        <v>30</v>
      </c>
      <c r="AR2777" s="23" t="s">
        <v>44</v>
      </c>
      <c r="AS2777" s="25">
        <v>5263179</v>
      </c>
      <c r="AT2777" t="s">
        <v>26</v>
      </c>
      <c r="AU2777" t="s">
        <v>25814</v>
      </c>
    </row>
    <row r="2778" spans="1:47" ht="26.25" x14ac:dyDescent="0.4">
      <c r="A2778" s="23" t="s">
        <v>7155</v>
      </c>
      <c r="B2778" t="s">
        <v>26</v>
      </c>
      <c r="C2778" s="23" t="s">
        <v>51</v>
      </c>
      <c r="D2778" t="s">
        <v>26</v>
      </c>
      <c r="E2778" s="23" t="s">
        <v>42</v>
      </c>
      <c r="F2778" t="s">
        <v>26</v>
      </c>
      <c r="G2778" t="s">
        <v>26</v>
      </c>
      <c r="H2778" t="s">
        <v>26</v>
      </c>
      <c r="I2778" s="24">
        <v>41640</v>
      </c>
      <c r="J2778" s="24">
        <v>41640</v>
      </c>
      <c r="K2778" t="s">
        <v>26</v>
      </c>
      <c r="L2778" s="25" t="s">
        <v>28</v>
      </c>
      <c r="M2778" s="24">
        <v>41640</v>
      </c>
      <c r="N2778" s="24">
        <v>41640</v>
      </c>
      <c r="O2778" t="s">
        <v>26</v>
      </c>
      <c r="P2778" t="s">
        <v>26</v>
      </c>
      <c r="Q2778" t="s">
        <v>26</v>
      </c>
      <c r="R2778" t="s">
        <v>26</v>
      </c>
      <c r="S2778" s="24">
        <v>41640</v>
      </c>
      <c r="T2778" s="24">
        <v>41640</v>
      </c>
      <c r="U2778" t="s">
        <v>26</v>
      </c>
      <c r="V2778" t="s">
        <v>26</v>
      </c>
      <c r="W2778" s="24">
        <v>41640</v>
      </c>
      <c r="X2778" s="24">
        <v>41640</v>
      </c>
      <c r="Y2778" t="s">
        <v>26</v>
      </c>
      <c r="Z2778" s="24">
        <v>41640</v>
      </c>
      <c r="AA2778" s="24">
        <v>41640</v>
      </c>
      <c r="AB2778" t="s">
        <v>26</v>
      </c>
      <c r="AC2778" s="24">
        <v>41640</v>
      </c>
      <c r="AD2778" s="24">
        <v>41640</v>
      </c>
      <c r="AE2778" t="s">
        <v>26</v>
      </c>
      <c r="AF2778" s="24">
        <v>41640</v>
      </c>
      <c r="AG2778" s="24">
        <v>41640</v>
      </c>
      <c r="AH2778" t="s">
        <v>26</v>
      </c>
      <c r="AI2778" s="24">
        <v>41640</v>
      </c>
      <c r="AJ2778" s="24">
        <v>41640</v>
      </c>
      <c r="AK2778" t="s">
        <v>26</v>
      </c>
      <c r="AL2778" t="s">
        <v>26</v>
      </c>
      <c r="AM2778" t="s">
        <v>26</v>
      </c>
      <c r="AN2778" t="s">
        <v>26</v>
      </c>
      <c r="AO2778" s="25" t="s">
        <v>28</v>
      </c>
      <c r="AP2778" s="23" t="s">
        <v>43</v>
      </c>
      <c r="AQ2778" s="23" t="s">
        <v>30</v>
      </c>
      <c r="AR2778" s="23" t="s">
        <v>44</v>
      </c>
      <c r="AS2778" s="25">
        <v>5256663</v>
      </c>
      <c r="AT2778" t="s">
        <v>26</v>
      </c>
      <c r="AU2778" t="s">
        <v>25815</v>
      </c>
    </row>
    <row r="2779" spans="1:47" ht="13.15" x14ac:dyDescent="0.4">
      <c r="A2779" s="23" t="s">
        <v>7156</v>
      </c>
      <c r="B2779" t="s">
        <v>26</v>
      </c>
      <c r="C2779" s="23" t="s">
        <v>5634</v>
      </c>
      <c r="D2779" s="23" t="s">
        <v>22179</v>
      </c>
      <c r="E2779" s="23" t="s">
        <v>42</v>
      </c>
      <c r="F2779" t="s">
        <v>26</v>
      </c>
      <c r="G2779" t="s">
        <v>26</v>
      </c>
      <c r="H2779" t="s">
        <v>26</v>
      </c>
      <c r="I2779" s="24">
        <v>38353</v>
      </c>
      <c r="J2779" s="24">
        <v>38353</v>
      </c>
      <c r="K2779" t="s">
        <v>26</v>
      </c>
      <c r="L2779" s="25" t="s">
        <v>28</v>
      </c>
      <c r="M2779" s="24">
        <v>38353</v>
      </c>
      <c r="N2779" s="24">
        <v>38353</v>
      </c>
      <c r="O2779" t="s">
        <v>26</v>
      </c>
      <c r="P2779" t="s">
        <v>26</v>
      </c>
      <c r="Q2779" t="s">
        <v>26</v>
      </c>
      <c r="R2779" t="s">
        <v>26</v>
      </c>
      <c r="S2779" t="s">
        <v>26</v>
      </c>
      <c r="T2779" t="s">
        <v>26</v>
      </c>
      <c r="U2779" t="s">
        <v>26</v>
      </c>
      <c r="V2779" t="s">
        <v>26</v>
      </c>
      <c r="W2779" s="24">
        <v>38353</v>
      </c>
      <c r="X2779" s="24">
        <v>38353</v>
      </c>
      <c r="Y2779" t="s">
        <v>26</v>
      </c>
      <c r="Z2779" s="24">
        <v>38353</v>
      </c>
      <c r="AA2779" s="24">
        <v>38353</v>
      </c>
      <c r="AB2779" t="s">
        <v>26</v>
      </c>
      <c r="AC2779" s="24">
        <v>38353</v>
      </c>
      <c r="AD2779" s="24">
        <v>38353</v>
      </c>
      <c r="AE2779" t="s">
        <v>26</v>
      </c>
      <c r="AF2779" t="s">
        <v>26</v>
      </c>
      <c r="AG2779" t="s">
        <v>26</v>
      </c>
      <c r="AH2779" t="s">
        <v>26</v>
      </c>
      <c r="AI2779" t="s">
        <v>26</v>
      </c>
      <c r="AJ2779" t="s">
        <v>26</v>
      </c>
      <c r="AK2779" t="s">
        <v>26</v>
      </c>
      <c r="AL2779" t="s">
        <v>26</v>
      </c>
      <c r="AM2779" t="s">
        <v>26</v>
      </c>
      <c r="AN2779" t="s">
        <v>26</v>
      </c>
      <c r="AO2779" s="25" t="s">
        <v>28</v>
      </c>
      <c r="AP2779" s="23" t="s">
        <v>29</v>
      </c>
      <c r="AQ2779" s="23" t="s">
        <v>30</v>
      </c>
      <c r="AR2779" s="23" t="s">
        <v>46</v>
      </c>
      <c r="AS2779" s="25">
        <v>6059419</v>
      </c>
      <c r="AT2779" t="s">
        <v>26</v>
      </c>
      <c r="AU2779" t="s">
        <v>25816</v>
      </c>
    </row>
    <row r="2780" spans="1:47" ht="26.25" x14ac:dyDescent="0.4">
      <c r="A2780" s="23" t="s">
        <v>7157</v>
      </c>
      <c r="B2780" t="s">
        <v>26</v>
      </c>
      <c r="C2780" s="23" t="s">
        <v>80</v>
      </c>
      <c r="D2780" s="23" t="s">
        <v>22267</v>
      </c>
      <c r="E2780" s="23" t="s">
        <v>60</v>
      </c>
      <c r="F2780" s="25" t="s">
        <v>7158</v>
      </c>
      <c r="G2780" s="25" t="s">
        <v>7159</v>
      </c>
      <c r="H2780" t="s">
        <v>26</v>
      </c>
      <c r="I2780" t="s">
        <v>26</v>
      </c>
      <c r="J2780" t="s">
        <v>26</v>
      </c>
      <c r="K2780" t="s">
        <v>26</v>
      </c>
      <c r="L2780" s="25" t="s">
        <v>68</v>
      </c>
      <c r="M2780" t="s">
        <v>26</v>
      </c>
      <c r="N2780" t="s">
        <v>26</v>
      </c>
      <c r="O2780" t="s">
        <v>26</v>
      </c>
      <c r="P2780" t="s">
        <v>26</v>
      </c>
      <c r="Q2780" t="s">
        <v>26</v>
      </c>
      <c r="R2780" t="s">
        <v>26</v>
      </c>
      <c r="S2780" t="s">
        <v>26</v>
      </c>
      <c r="T2780" t="s">
        <v>26</v>
      </c>
      <c r="U2780" t="s">
        <v>26</v>
      </c>
      <c r="V2780" t="s">
        <v>26</v>
      </c>
      <c r="W2780" s="24">
        <v>40940</v>
      </c>
      <c r="X2780" s="25" t="s">
        <v>77</v>
      </c>
      <c r="Y2780" t="s">
        <v>26</v>
      </c>
      <c r="Z2780" s="24">
        <v>40940</v>
      </c>
      <c r="AA2780" s="25" t="s">
        <v>77</v>
      </c>
      <c r="AB2780" t="s">
        <v>26</v>
      </c>
      <c r="AC2780" s="24">
        <v>40940</v>
      </c>
      <c r="AD2780" s="25" t="s">
        <v>77</v>
      </c>
      <c r="AE2780" t="s">
        <v>26</v>
      </c>
      <c r="AF2780" t="s">
        <v>26</v>
      </c>
      <c r="AG2780" t="s">
        <v>26</v>
      </c>
      <c r="AH2780" t="s">
        <v>26</v>
      </c>
      <c r="AI2780" t="s">
        <v>26</v>
      </c>
      <c r="AJ2780" t="s">
        <v>26</v>
      </c>
      <c r="AK2780" t="s">
        <v>26</v>
      </c>
      <c r="AL2780" t="s">
        <v>26</v>
      </c>
      <c r="AM2780" t="s">
        <v>26</v>
      </c>
      <c r="AN2780" t="s">
        <v>26</v>
      </c>
      <c r="AO2780" s="25" t="s">
        <v>68</v>
      </c>
      <c r="AP2780" s="23" t="s">
        <v>69</v>
      </c>
      <c r="AQ2780" s="23" t="s">
        <v>30</v>
      </c>
      <c r="AR2780" s="23" t="s">
        <v>952</v>
      </c>
      <c r="AS2780" s="25">
        <v>53165</v>
      </c>
      <c r="AT2780" t="s">
        <v>26</v>
      </c>
      <c r="AU2780" t="s">
        <v>25817</v>
      </c>
    </row>
    <row r="2781" spans="1:47" ht="26.25" x14ac:dyDescent="0.4">
      <c r="A2781" s="23" t="s">
        <v>7160</v>
      </c>
      <c r="B2781" t="s">
        <v>26</v>
      </c>
      <c r="C2781" s="23" t="s">
        <v>25818</v>
      </c>
      <c r="D2781" s="23" t="s">
        <v>23058</v>
      </c>
      <c r="E2781" s="23" t="s">
        <v>42</v>
      </c>
      <c r="F2781" t="s">
        <v>26</v>
      </c>
      <c r="G2781" t="s">
        <v>26</v>
      </c>
      <c r="H2781" t="s">
        <v>26</v>
      </c>
      <c r="I2781" s="24">
        <v>38718</v>
      </c>
      <c r="J2781" s="24">
        <v>40544</v>
      </c>
      <c r="K2781" t="s">
        <v>26</v>
      </c>
      <c r="L2781" s="25" t="s">
        <v>28</v>
      </c>
      <c r="M2781" s="24">
        <v>38718</v>
      </c>
      <c r="N2781" s="24">
        <v>40544</v>
      </c>
      <c r="O2781" t="s">
        <v>26</v>
      </c>
      <c r="P2781" t="s">
        <v>26</v>
      </c>
      <c r="Q2781" t="s">
        <v>26</v>
      </c>
      <c r="R2781" t="s">
        <v>26</v>
      </c>
      <c r="S2781" s="24">
        <v>38718</v>
      </c>
      <c r="T2781" s="24">
        <v>40544</v>
      </c>
      <c r="U2781" t="s">
        <v>26</v>
      </c>
      <c r="V2781" t="s">
        <v>26</v>
      </c>
      <c r="W2781" s="24">
        <v>38718</v>
      </c>
      <c r="X2781" s="24">
        <v>40544</v>
      </c>
      <c r="Y2781" t="s">
        <v>26</v>
      </c>
      <c r="Z2781" s="24">
        <v>38718</v>
      </c>
      <c r="AA2781" s="24">
        <v>40544</v>
      </c>
      <c r="AB2781" t="s">
        <v>26</v>
      </c>
      <c r="AC2781" s="24">
        <v>38718</v>
      </c>
      <c r="AD2781" s="24">
        <v>40544</v>
      </c>
      <c r="AE2781" t="s">
        <v>26</v>
      </c>
      <c r="AF2781" s="24">
        <v>38718</v>
      </c>
      <c r="AG2781" s="24">
        <v>40544</v>
      </c>
      <c r="AH2781" t="s">
        <v>26</v>
      </c>
      <c r="AI2781" s="24">
        <v>38718</v>
      </c>
      <c r="AJ2781" s="24">
        <v>40544</v>
      </c>
      <c r="AK2781" t="s">
        <v>26</v>
      </c>
      <c r="AL2781" t="s">
        <v>26</v>
      </c>
      <c r="AM2781" t="s">
        <v>26</v>
      </c>
      <c r="AN2781" t="s">
        <v>26</v>
      </c>
      <c r="AO2781" s="25" t="s">
        <v>28</v>
      </c>
      <c r="AP2781" s="23" t="s">
        <v>43</v>
      </c>
      <c r="AQ2781" s="23" t="s">
        <v>30</v>
      </c>
      <c r="AR2781" s="23" t="s">
        <v>46</v>
      </c>
      <c r="AS2781" s="25">
        <v>6364585</v>
      </c>
      <c r="AT2781" t="s">
        <v>26</v>
      </c>
      <c r="AU2781" t="s">
        <v>25819</v>
      </c>
    </row>
    <row r="2782" spans="1:47" ht="26.25" x14ac:dyDescent="0.4">
      <c r="A2782" s="23" t="s">
        <v>7161</v>
      </c>
      <c r="B2782" t="s">
        <v>26</v>
      </c>
      <c r="C2782" t="s">
        <v>26</v>
      </c>
      <c r="D2782" t="s">
        <v>26</v>
      </c>
      <c r="E2782" t="s">
        <v>26</v>
      </c>
      <c r="F2782" t="s">
        <v>26</v>
      </c>
      <c r="G2782" t="s">
        <v>26</v>
      </c>
      <c r="H2782" t="s">
        <v>26</v>
      </c>
      <c r="I2782" s="25" t="s">
        <v>6695</v>
      </c>
      <c r="J2782" s="25" t="s">
        <v>6695</v>
      </c>
      <c r="K2782" t="s">
        <v>26</v>
      </c>
      <c r="L2782" s="25" t="s">
        <v>28</v>
      </c>
      <c r="M2782" s="25" t="s">
        <v>6695</v>
      </c>
      <c r="N2782" s="25" t="s">
        <v>6695</v>
      </c>
      <c r="O2782" t="s">
        <v>26</v>
      </c>
      <c r="P2782" t="s">
        <v>26</v>
      </c>
      <c r="Q2782" t="s">
        <v>26</v>
      </c>
      <c r="R2782" t="s">
        <v>26</v>
      </c>
      <c r="S2782" t="s">
        <v>26</v>
      </c>
      <c r="T2782" t="s">
        <v>26</v>
      </c>
      <c r="U2782" t="s">
        <v>26</v>
      </c>
      <c r="V2782" t="s">
        <v>26</v>
      </c>
      <c r="W2782" s="25" t="s">
        <v>6695</v>
      </c>
      <c r="X2782" s="25" t="s">
        <v>6695</v>
      </c>
      <c r="Y2782" t="s">
        <v>26</v>
      </c>
      <c r="Z2782" s="25" t="s">
        <v>6695</v>
      </c>
      <c r="AA2782" s="25" t="s">
        <v>6695</v>
      </c>
      <c r="AB2782" t="s">
        <v>26</v>
      </c>
      <c r="AC2782" s="25" t="s">
        <v>6695</v>
      </c>
      <c r="AD2782" s="25" t="s">
        <v>6695</v>
      </c>
      <c r="AE2782" t="s">
        <v>26</v>
      </c>
      <c r="AF2782" t="s">
        <v>26</v>
      </c>
      <c r="AG2782" t="s">
        <v>26</v>
      </c>
      <c r="AH2782" t="s">
        <v>26</v>
      </c>
      <c r="AI2782" t="s">
        <v>26</v>
      </c>
      <c r="AJ2782" t="s">
        <v>26</v>
      </c>
      <c r="AK2782" t="s">
        <v>26</v>
      </c>
      <c r="AL2782" t="s">
        <v>26</v>
      </c>
      <c r="AM2782" t="s">
        <v>26</v>
      </c>
      <c r="AN2782" t="s">
        <v>26</v>
      </c>
      <c r="AO2782" s="25" t="s">
        <v>28</v>
      </c>
      <c r="AP2782" s="23" t="s">
        <v>45</v>
      </c>
      <c r="AQ2782" s="23" t="s">
        <v>30</v>
      </c>
      <c r="AR2782" s="23" t="s">
        <v>46</v>
      </c>
      <c r="AS2782" s="25">
        <v>5983357</v>
      </c>
      <c r="AT2782" t="s">
        <v>26</v>
      </c>
      <c r="AU2782" t="s">
        <v>25820</v>
      </c>
    </row>
    <row r="2783" spans="1:47" ht="26.25" x14ac:dyDescent="0.4">
      <c r="A2783" s="23" t="s">
        <v>25821</v>
      </c>
      <c r="B2783" t="s">
        <v>26</v>
      </c>
      <c r="C2783" s="23" t="s">
        <v>25822</v>
      </c>
      <c r="D2783" t="s">
        <v>26</v>
      </c>
      <c r="E2783" s="23" t="s">
        <v>42</v>
      </c>
      <c r="F2783" t="s">
        <v>26</v>
      </c>
      <c r="G2783" t="s">
        <v>26</v>
      </c>
      <c r="H2783" t="s">
        <v>26</v>
      </c>
      <c r="I2783" s="24">
        <v>39814</v>
      </c>
      <c r="J2783" s="24">
        <v>39814</v>
      </c>
      <c r="K2783" t="s">
        <v>26</v>
      </c>
      <c r="L2783" s="25" t="s">
        <v>28</v>
      </c>
      <c r="M2783" s="24">
        <v>39814</v>
      </c>
      <c r="N2783" s="24">
        <v>39814</v>
      </c>
      <c r="O2783" t="s">
        <v>26</v>
      </c>
      <c r="P2783" t="s">
        <v>26</v>
      </c>
      <c r="Q2783" t="s">
        <v>26</v>
      </c>
      <c r="R2783" t="s">
        <v>26</v>
      </c>
      <c r="S2783" s="24">
        <v>39814</v>
      </c>
      <c r="T2783" s="24">
        <v>39814</v>
      </c>
      <c r="U2783" t="s">
        <v>26</v>
      </c>
      <c r="V2783" t="s">
        <v>26</v>
      </c>
      <c r="W2783" s="24">
        <v>39814</v>
      </c>
      <c r="X2783" s="24">
        <v>39814</v>
      </c>
      <c r="Y2783" t="s">
        <v>26</v>
      </c>
      <c r="Z2783" s="24">
        <v>39814</v>
      </c>
      <c r="AA2783" s="24">
        <v>39814</v>
      </c>
      <c r="AB2783" t="s">
        <v>26</v>
      </c>
      <c r="AC2783" s="24">
        <v>39814</v>
      </c>
      <c r="AD2783" s="24">
        <v>39814</v>
      </c>
      <c r="AE2783" t="s">
        <v>26</v>
      </c>
      <c r="AF2783" s="24">
        <v>39814</v>
      </c>
      <c r="AG2783" s="24">
        <v>39814</v>
      </c>
      <c r="AH2783" t="s">
        <v>26</v>
      </c>
      <c r="AI2783" s="24">
        <v>39814</v>
      </c>
      <c r="AJ2783" s="24">
        <v>39814</v>
      </c>
      <c r="AK2783" t="s">
        <v>26</v>
      </c>
      <c r="AL2783" t="s">
        <v>26</v>
      </c>
      <c r="AM2783" t="s">
        <v>26</v>
      </c>
      <c r="AN2783" t="s">
        <v>26</v>
      </c>
      <c r="AO2783" s="25" t="s">
        <v>28</v>
      </c>
      <c r="AP2783" s="23" t="s">
        <v>43</v>
      </c>
      <c r="AQ2783" s="23" t="s">
        <v>30</v>
      </c>
      <c r="AR2783" s="23" t="s">
        <v>44</v>
      </c>
      <c r="AS2783" s="25">
        <v>5256661</v>
      </c>
      <c r="AT2783" t="s">
        <v>26</v>
      </c>
      <c r="AU2783" t="s">
        <v>25823</v>
      </c>
    </row>
    <row r="2784" spans="1:47" ht="39.4" x14ac:dyDescent="0.4">
      <c r="A2784" s="23" t="s">
        <v>25824</v>
      </c>
      <c r="B2784" t="s">
        <v>26</v>
      </c>
      <c r="C2784" t="s">
        <v>26</v>
      </c>
      <c r="D2784" t="s">
        <v>26</v>
      </c>
      <c r="E2784" t="s">
        <v>26</v>
      </c>
      <c r="F2784" t="s">
        <v>26</v>
      </c>
      <c r="G2784" t="s">
        <v>26</v>
      </c>
      <c r="H2784" t="s">
        <v>26</v>
      </c>
      <c r="I2784" s="25" t="s">
        <v>24908</v>
      </c>
      <c r="J2784" s="25" t="s">
        <v>24908</v>
      </c>
      <c r="K2784" t="s">
        <v>26</v>
      </c>
      <c r="L2784" s="25" t="s">
        <v>28</v>
      </c>
      <c r="M2784" s="25" t="s">
        <v>24908</v>
      </c>
      <c r="N2784" s="25" t="s">
        <v>24908</v>
      </c>
      <c r="O2784" t="s">
        <v>26</v>
      </c>
      <c r="P2784" t="s">
        <v>26</v>
      </c>
      <c r="Q2784" t="s">
        <v>26</v>
      </c>
      <c r="R2784" t="s">
        <v>26</v>
      </c>
      <c r="S2784" t="s">
        <v>26</v>
      </c>
      <c r="T2784" t="s">
        <v>26</v>
      </c>
      <c r="U2784" t="s">
        <v>26</v>
      </c>
      <c r="V2784" t="s">
        <v>26</v>
      </c>
      <c r="W2784" s="25" t="s">
        <v>24908</v>
      </c>
      <c r="X2784" s="25" t="s">
        <v>24908</v>
      </c>
      <c r="Y2784" t="s">
        <v>26</v>
      </c>
      <c r="Z2784" s="25" t="s">
        <v>24908</v>
      </c>
      <c r="AA2784" s="25" t="s">
        <v>24908</v>
      </c>
      <c r="AB2784" t="s">
        <v>26</v>
      </c>
      <c r="AC2784" s="25" t="s">
        <v>24908</v>
      </c>
      <c r="AD2784" s="25" t="s">
        <v>24908</v>
      </c>
      <c r="AE2784" t="s">
        <v>26</v>
      </c>
      <c r="AF2784" t="s">
        <v>26</v>
      </c>
      <c r="AG2784" t="s">
        <v>26</v>
      </c>
      <c r="AH2784" t="s">
        <v>26</v>
      </c>
      <c r="AI2784" t="s">
        <v>26</v>
      </c>
      <c r="AJ2784" t="s">
        <v>26</v>
      </c>
      <c r="AK2784" t="s">
        <v>26</v>
      </c>
      <c r="AL2784" t="s">
        <v>26</v>
      </c>
      <c r="AM2784" t="s">
        <v>26</v>
      </c>
      <c r="AN2784" t="s">
        <v>26</v>
      </c>
      <c r="AO2784" s="25" t="s">
        <v>28</v>
      </c>
      <c r="AP2784" s="23" t="s">
        <v>45</v>
      </c>
      <c r="AQ2784" s="23" t="s">
        <v>30</v>
      </c>
      <c r="AR2784" s="23" t="s">
        <v>46</v>
      </c>
      <c r="AS2784" s="25">
        <v>5983353</v>
      </c>
      <c r="AT2784" t="s">
        <v>26</v>
      </c>
      <c r="AU2784" t="s">
        <v>25825</v>
      </c>
    </row>
    <row r="2785" spans="1:47" ht="26.25" x14ac:dyDescent="0.4">
      <c r="A2785" s="23" t="s">
        <v>7162</v>
      </c>
      <c r="B2785" t="s">
        <v>26</v>
      </c>
      <c r="C2785" s="23" t="s">
        <v>25826</v>
      </c>
      <c r="D2785" s="23" t="s">
        <v>22637</v>
      </c>
      <c r="E2785" s="23" t="s">
        <v>42</v>
      </c>
      <c r="F2785" t="s">
        <v>26</v>
      </c>
      <c r="G2785" t="s">
        <v>26</v>
      </c>
      <c r="H2785" t="s">
        <v>26</v>
      </c>
      <c r="I2785" s="24">
        <v>23377</v>
      </c>
      <c r="J2785" s="24">
        <v>23377</v>
      </c>
      <c r="K2785" t="s">
        <v>26</v>
      </c>
      <c r="L2785" s="25" t="s">
        <v>28</v>
      </c>
      <c r="M2785" s="24">
        <v>23377</v>
      </c>
      <c r="N2785" s="24">
        <v>23377</v>
      </c>
      <c r="O2785" t="s">
        <v>26</v>
      </c>
      <c r="P2785" t="s">
        <v>26</v>
      </c>
      <c r="Q2785" t="s">
        <v>26</v>
      </c>
      <c r="R2785" t="s">
        <v>26</v>
      </c>
      <c r="S2785" s="24">
        <v>23377</v>
      </c>
      <c r="T2785" s="24">
        <v>23377</v>
      </c>
      <c r="U2785" t="s">
        <v>26</v>
      </c>
      <c r="V2785" t="s">
        <v>26</v>
      </c>
      <c r="W2785" s="24">
        <v>23377</v>
      </c>
      <c r="X2785" s="24">
        <v>23377</v>
      </c>
      <c r="Y2785" t="s">
        <v>26</v>
      </c>
      <c r="Z2785" s="24">
        <v>23377</v>
      </c>
      <c r="AA2785" s="24">
        <v>23377</v>
      </c>
      <c r="AB2785" t="s">
        <v>26</v>
      </c>
      <c r="AC2785" s="24">
        <v>23377</v>
      </c>
      <c r="AD2785" s="24">
        <v>23377</v>
      </c>
      <c r="AE2785" t="s">
        <v>26</v>
      </c>
      <c r="AF2785" s="24">
        <v>23377</v>
      </c>
      <c r="AG2785" s="24">
        <v>23377</v>
      </c>
      <c r="AH2785" t="s">
        <v>26</v>
      </c>
      <c r="AI2785" s="24">
        <v>23377</v>
      </c>
      <c r="AJ2785" s="24">
        <v>23377</v>
      </c>
      <c r="AK2785" t="s">
        <v>26</v>
      </c>
      <c r="AL2785" t="s">
        <v>26</v>
      </c>
      <c r="AM2785" t="s">
        <v>26</v>
      </c>
      <c r="AN2785" t="s">
        <v>26</v>
      </c>
      <c r="AO2785" s="25" t="s">
        <v>28</v>
      </c>
      <c r="AP2785" s="23" t="s">
        <v>43</v>
      </c>
      <c r="AQ2785" s="23" t="s">
        <v>30</v>
      </c>
      <c r="AR2785" s="23" t="s">
        <v>46</v>
      </c>
      <c r="AS2785" s="25">
        <v>6394503</v>
      </c>
      <c r="AT2785" t="s">
        <v>26</v>
      </c>
      <c r="AU2785" t="s">
        <v>25827</v>
      </c>
    </row>
    <row r="2786" spans="1:47" ht="26.25" x14ac:dyDescent="0.4">
      <c r="A2786" s="23" t="s">
        <v>7163</v>
      </c>
      <c r="B2786" t="s">
        <v>26</v>
      </c>
      <c r="C2786" s="23" t="s">
        <v>1509</v>
      </c>
      <c r="D2786" s="23" t="s">
        <v>22184</v>
      </c>
      <c r="E2786" s="23" t="s">
        <v>60</v>
      </c>
      <c r="F2786" t="s">
        <v>26</v>
      </c>
      <c r="G2786" t="s">
        <v>26</v>
      </c>
      <c r="H2786" t="s">
        <v>26</v>
      </c>
      <c r="I2786" s="24">
        <v>35431</v>
      </c>
      <c r="J2786" s="24">
        <v>35431</v>
      </c>
      <c r="K2786" t="s">
        <v>26</v>
      </c>
      <c r="L2786" s="25" t="s">
        <v>28</v>
      </c>
      <c r="M2786" s="24">
        <v>35431</v>
      </c>
      <c r="N2786" s="24">
        <v>35431</v>
      </c>
      <c r="O2786" t="s">
        <v>26</v>
      </c>
      <c r="P2786" t="s">
        <v>26</v>
      </c>
      <c r="Q2786" t="s">
        <v>26</v>
      </c>
      <c r="R2786" t="s">
        <v>26</v>
      </c>
      <c r="S2786" t="s">
        <v>26</v>
      </c>
      <c r="T2786" t="s">
        <v>26</v>
      </c>
      <c r="U2786" t="s">
        <v>26</v>
      </c>
      <c r="V2786" t="s">
        <v>26</v>
      </c>
      <c r="W2786" s="24">
        <v>35431</v>
      </c>
      <c r="X2786" s="24">
        <v>35431</v>
      </c>
      <c r="Y2786" t="s">
        <v>26</v>
      </c>
      <c r="Z2786" s="24">
        <v>35431</v>
      </c>
      <c r="AA2786" s="24">
        <v>35431</v>
      </c>
      <c r="AB2786" t="s">
        <v>26</v>
      </c>
      <c r="AC2786" s="24">
        <v>35431</v>
      </c>
      <c r="AD2786" s="24">
        <v>35431</v>
      </c>
      <c r="AE2786" t="s">
        <v>26</v>
      </c>
      <c r="AF2786" t="s">
        <v>26</v>
      </c>
      <c r="AG2786" t="s">
        <v>26</v>
      </c>
      <c r="AH2786" t="s">
        <v>26</v>
      </c>
      <c r="AI2786" t="s">
        <v>26</v>
      </c>
      <c r="AJ2786" t="s">
        <v>26</v>
      </c>
      <c r="AK2786" t="s">
        <v>26</v>
      </c>
      <c r="AL2786" t="s">
        <v>26</v>
      </c>
      <c r="AM2786" t="s">
        <v>26</v>
      </c>
      <c r="AN2786" t="s">
        <v>26</v>
      </c>
      <c r="AO2786" s="25" t="s">
        <v>28</v>
      </c>
      <c r="AP2786" s="23" t="s">
        <v>29</v>
      </c>
      <c r="AQ2786" s="23" t="s">
        <v>30</v>
      </c>
      <c r="AR2786" s="23" t="s">
        <v>46</v>
      </c>
      <c r="AS2786" s="25">
        <v>6059418</v>
      </c>
      <c r="AT2786" t="s">
        <v>26</v>
      </c>
      <c r="AU2786" t="s">
        <v>25828</v>
      </c>
    </row>
    <row r="2787" spans="1:47" ht="13.15" x14ac:dyDescent="0.4">
      <c r="A2787" s="23" t="s">
        <v>7164</v>
      </c>
      <c r="B2787" t="s">
        <v>26</v>
      </c>
      <c r="C2787" s="23" t="s">
        <v>371</v>
      </c>
      <c r="D2787" s="23" t="s">
        <v>22179</v>
      </c>
      <c r="E2787" s="23" t="s">
        <v>42</v>
      </c>
      <c r="F2787" t="s">
        <v>26</v>
      </c>
      <c r="G2787" t="s">
        <v>26</v>
      </c>
      <c r="H2787" t="s">
        <v>26</v>
      </c>
      <c r="I2787" t="s">
        <v>26</v>
      </c>
      <c r="J2787" t="s">
        <v>26</v>
      </c>
      <c r="K2787" t="s">
        <v>26</v>
      </c>
      <c r="L2787" s="25" t="s">
        <v>28</v>
      </c>
      <c r="M2787" t="s">
        <v>26</v>
      </c>
      <c r="N2787" t="s">
        <v>26</v>
      </c>
      <c r="O2787" t="s">
        <v>26</v>
      </c>
      <c r="P2787" t="s">
        <v>26</v>
      </c>
      <c r="Q2787" t="s">
        <v>26</v>
      </c>
      <c r="R2787" t="s">
        <v>26</v>
      </c>
      <c r="S2787" t="s">
        <v>26</v>
      </c>
      <c r="T2787" t="s">
        <v>26</v>
      </c>
      <c r="U2787" t="s">
        <v>26</v>
      </c>
      <c r="V2787" t="s">
        <v>26</v>
      </c>
      <c r="W2787" s="24">
        <v>36892</v>
      </c>
      <c r="X2787" s="24">
        <v>36892</v>
      </c>
      <c r="Y2787" t="s">
        <v>26</v>
      </c>
      <c r="Z2787" s="24">
        <v>36892</v>
      </c>
      <c r="AA2787" s="24">
        <v>36892</v>
      </c>
      <c r="AB2787" t="s">
        <v>26</v>
      </c>
      <c r="AC2787" t="s">
        <v>26</v>
      </c>
      <c r="AD2787" t="s">
        <v>26</v>
      </c>
      <c r="AE2787" t="s">
        <v>26</v>
      </c>
      <c r="AF2787" t="s">
        <v>26</v>
      </c>
      <c r="AG2787" t="s">
        <v>26</v>
      </c>
      <c r="AH2787" t="s">
        <v>26</v>
      </c>
      <c r="AI2787" t="s">
        <v>26</v>
      </c>
      <c r="AJ2787" t="s">
        <v>26</v>
      </c>
      <c r="AK2787" t="s">
        <v>26</v>
      </c>
      <c r="AL2787" t="s">
        <v>26</v>
      </c>
      <c r="AM2787" t="s">
        <v>26</v>
      </c>
      <c r="AN2787" t="s">
        <v>26</v>
      </c>
      <c r="AO2787" s="25" t="s">
        <v>28</v>
      </c>
      <c r="AP2787" s="23" t="s">
        <v>29</v>
      </c>
      <c r="AQ2787" s="23" t="s">
        <v>30</v>
      </c>
      <c r="AR2787" s="23" t="s">
        <v>44</v>
      </c>
      <c r="AS2787" s="25">
        <v>5488553</v>
      </c>
      <c r="AT2787" s="23" t="s">
        <v>22181</v>
      </c>
      <c r="AU2787" t="s">
        <v>25829</v>
      </c>
    </row>
    <row r="2788" spans="1:47" ht="26.25" x14ac:dyDescent="0.4">
      <c r="A2788" s="23" t="s">
        <v>7165</v>
      </c>
      <c r="B2788" t="s">
        <v>26</v>
      </c>
      <c r="C2788" s="23" t="s">
        <v>264</v>
      </c>
      <c r="D2788" s="23" t="s">
        <v>23336</v>
      </c>
      <c r="E2788" s="23" t="s">
        <v>60</v>
      </c>
      <c r="F2788" s="25" t="s">
        <v>7166</v>
      </c>
      <c r="G2788" s="25" t="s">
        <v>7167</v>
      </c>
      <c r="H2788" t="s">
        <v>26</v>
      </c>
      <c r="I2788" s="24">
        <v>37895</v>
      </c>
      <c r="J2788" s="25" t="s">
        <v>77</v>
      </c>
      <c r="K2788" t="s">
        <v>26</v>
      </c>
      <c r="L2788" s="25" t="s">
        <v>68</v>
      </c>
      <c r="M2788" s="24">
        <v>37895</v>
      </c>
      <c r="N2788" s="25" t="s">
        <v>77</v>
      </c>
      <c r="O2788" s="25" t="s">
        <v>2112</v>
      </c>
      <c r="P2788" s="24">
        <v>37895</v>
      </c>
      <c r="Q2788" s="25" t="s">
        <v>77</v>
      </c>
      <c r="R2788" t="s">
        <v>26</v>
      </c>
      <c r="S2788" t="s">
        <v>26</v>
      </c>
      <c r="T2788" t="s">
        <v>26</v>
      </c>
      <c r="U2788" t="s">
        <v>26</v>
      </c>
      <c r="V2788" s="25">
        <v>365</v>
      </c>
      <c r="W2788" s="24">
        <v>37895</v>
      </c>
      <c r="X2788" s="25" t="s">
        <v>77</v>
      </c>
      <c r="Y2788" t="s">
        <v>26</v>
      </c>
      <c r="Z2788" s="24">
        <v>37895</v>
      </c>
      <c r="AA2788" s="25" t="s">
        <v>77</v>
      </c>
      <c r="AB2788" t="s">
        <v>26</v>
      </c>
      <c r="AC2788" s="24">
        <v>37895</v>
      </c>
      <c r="AD2788" s="25" t="s">
        <v>77</v>
      </c>
      <c r="AE2788" t="s">
        <v>26</v>
      </c>
      <c r="AF2788" t="s">
        <v>26</v>
      </c>
      <c r="AG2788" t="s">
        <v>26</v>
      </c>
      <c r="AH2788" t="s">
        <v>26</v>
      </c>
      <c r="AI2788" t="s">
        <v>26</v>
      </c>
      <c r="AJ2788" t="s">
        <v>26</v>
      </c>
      <c r="AK2788" t="s">
        <v>26</v>
      </c>
      <c r="AL2788" t="s">
        <v>26</v>
      </c>
      <c r="AM2788" t="s">
        <v>26</v>
      </c>
      <c r="AN2788" t="s">
        <v>26</v>
      </c>
      <c r="AO2788" s="25" t="s">
        <v>68</v>
      </c>
      <c r="AP2788" s="23" t="s">
        <v>69</v>
      </c>
      <c r="AQ2788" s="23" t="s">
        <v>30</v>
      </c>
      <c r="AR2788" s="23" t="s">
        <v>147</v>
      </c>
      <c r="AS2788" s="25">
        <v>44208</v>
      </c>
      <c r="AT2788" t="s">
        <v>26</v>
      </c>
      <c r="AU2788" t="s">
        <v>25830</v>
      </c>
    </row>
    <row r="2789" spans="1:47" ht="26.25" x14ac:dyDescent="0.4">
      <c r="A2789" s="23" t="s">
        <v>7168</v>
      </c>
      <c r="B2789" t="s">
        <v>26</v>
      </c>
      <c r="C2789" s="23" t="s">
        <v>320</v>
      </c>
      <c r="D2789" s="23" t="s">
        <v>24303</v>
      </c>
      <c r="E2789" s="23" t="s">
        <v>42</v>
      </c>
      <c r="F2789" s="25" t="s">
        <v>7169</v>
      </c>
      <c r="G2789" s="25" t="s">
        <v>7170</v>
      </c>
      <c r="H2789" t="s">
        <v>26</v>
      </c>
      <c r="I2789" t="s">
        <v>26</v>
      </c>
      <c r="J2789" t="s">
        <v>26</v>
      </c>
      <c r="K2789" t="s">
        <v>26</v>
      </c>
      <c r="L2789" s="25" t="s">
        <v>68</v>
      </c>
      <c r="M2789" t="s">
        <v>26</v>
      </c>
      <c r="N2789" t="s">
        <v>26</v>
      </c>
      <c r="O2789" t="s">
        <v>26</v>
      </c>
      <c r="P2789" t="s">
        <v>26</v>
      </c>
      <c r="Q2789" t="s">
        <v>26</v>
      </c>
      <c r="R2789" t="s">
        <v>26</v>
      </c>
      <c r="S2789" t="s">
        <v>26</v>
      </c>
      <c r="T2789" t="s">
        <v>26</v>
      </c>
      <c r="U2789" t="s">
        <v>26</v>
      </c>
      <c r="V2789" t="s">
        <v>26</v>
      </c>
      <c r="W2789" s="24">
        <v>41275</v>
      </c>
      <c r="X2789" s="25" t="s">
        <v>77</v>
      </c>
      <c r="Y2789" t="s">
        <v>26</v>
      </c>
      <c r="Z2789" s="24">
        <v>41275</v>
      </c>
      <c r="AA2789" s="25" t="s">
        <v>77</v>
      </c>
      <c r="AB2789" t="s">
        <v>26</v>
      </c>
      <c r="AC2789" s="24">
        <v>41275</v>
      </c>
      <c r="AD2789" s="25" t="s">
        <v>77</v>
      </c>
      <c r="AE2789" t="s">
        <v>26</v>
      </c>
      <c r="AF2789" t="s">
        <v>26</v>
      </c>
      <c r="AG2789" t="s">
        <v>26</v>
      </c>
      <c r="AH2789" t="s">
        <v>26</v>
      </c>
      <c r="AI2789" t="s">
        <v>26</v>
      </c>
      <c r="AJ2789" t="s">
        <v>26</v>
      </c>
      <c r="AK2789" t="s">
        <v>26</v>
      </c>
      <c r="AL2789" t="s">
        <v>26</v>
      </c>
      <c r="AM2789" t="s">
        <v>26</v>
      </c>
      <c r="AN2789" t="s">
        <v>26</v>
      </c>
      <c r="AO2789" s="25" t="s">
        <v>68</v>
      </c>
      <c r="AP2789" s="23" t="s">
        <v>69</v>
      </c>
      <c r="AQ2789" s="23" t="s">
        <v>30</v>
      </c>
      <c r="AR2789" s="23" t="s">
        <v>1160</v>
      </c>
      <c r="AS2789" s="25">
        <v>1006493</v>
      </c>
      <c r="AT2789" t="s">
        <v>26</v>
      </c>
      <c r="AU2789" t="s">
        <v>25831</v>
      </c>
    </row>
    <row r="2790" spans="1:47" ht="26.25" x14ac:dyDescent="0.4">
      <c r="A2790" s="23" t="s">
        <v>7171</v>
      </c>
      <c r="B2790" t="s">
        <v>26</v>
      </c>
      <c r="C2790" s="23" t="s">
        <v>107</v>
      </c>
      <c r="D2790" s="23" t="s">
        <v>22312</v>
      </c>
      <c r="E2790" s="23" t="s">
        <v>42</v>
      </c>
      <c r="F2790" s="25" t="s">
        <v>7172</v>
      </c>
      <c r="G2790" s="25" t="s">
        <v>7173</v>
      </c>
      <c r="H2790" t="s">
        <v>26</v>
      </c>
      <c r="I2790" s="24">
        <v>35521</v>
      </c>
      <c r="J2790" s="24">
        <v>40299</v>
      </c>
      <c r="K2790" t="s">
        <v>26</v>
      </c>
      <c r="L2790" s="25" t="s">
        <v>68</v>
      </c>
      <c r="M2790" s="24">
        <v>35521</v>
      </c>
      <c r="N2790" s="24">
        <v>39753</v>
      </c>
      <c r="O2790" t="s">
        <v>26</v>
      </c>
      <c r="P2790" s="24">
        <v>35521</v>
      </c>
      <c r="Q2790" s="24">
        <v>40299</v>
      </c>
      <c r="R2790" t="s">
        <v>26</v>
      </c>
      <c r="S2790" t="s">
        <v>26</v>
      </c>
      <c r="T2790" t="s">
        <v>26</v>
      </c>
      <c r="U2790" t="s">
        <v>26</v>
      </c>
      <c r="V2790" t="s">
        <v>26</v>
      </c>
      <c r="W2790" s="24">
        <v>29677</v>
      </c>
      <c r="X2790" s="25" t="s">
        <v>77</v>
      </c>
      <c r="Y2790" t="s">
        <v>26</v>
      </c>
      <c r="Z2790" s="24">
        <v>29677</v>
      </c>
      <c r="AA2790" s="25" t="s">
        <v>77</v>
      </c>
      <c r="AB2790" t="s">
        <v>26</v>
      </c>
      <c r="AC2790" s="24">
        <v>37591</v>
      </c>
      <c r="AD2790" s="25" t="s">
        <v>77</v>
      </c>
      <c r="AE2790" s="25" t="s">
        <v>23182</v>
      </c>
      <c r="AF2790" t="s">
        <v>26</v>
      </c>
      <c r="AG2790" t="s">
        <v>26</v>
      </c>
      <c r="AH2790" t="s">
        <v>26</v>
      </c>
      <c r="AI2790" t="s">
        <v>26</v>
      </c>
      <c r="AJ2790" t="s">
        <v>26</v>
      </c>
      <c r="AK2790" t="s">
        <v>26</v>
      </c>
      <c r="AL2790" t="s">
        <v>26</v>
      </c>
      <c r="AM2790" t="s">
        <v>26</v>
      </c>
      <c r="AN2790" t="s">
        <v>26</v>
      </c>
      <c r="AO2790" s="25" t="s">
        <v>68</v>
      </c>
      <c r="AP2790" s="23" t="s">
        <v>69</v>
      </c>
      <c r="AQ2790" s="23" t="s">
        <v>30</v>
      </c>
      <c r="AR2790" s="23" t="s">
        <v>569</v>
      </c>
      <c r="AS2790" s="25">
        <v>48505</v>
      </c>
      <c r="AT2790" t="s">
        <v>26</v>
      </c>
      <c r="AU2790" t="s">
        <v>25832</v>
      </c>
    </row>
    <row r="2791" spans="1:47" ht="26.25" x14ac:dyDescent="0.4">
      <c r="A2791" s="23" t="s">
        <v>7174</v>
      </c>
      <c r="B2791" t="s">
        <v>26</v>
      </c>
      <c r="C2791" s="23" t="s">
        <v>102</v>
      </c>
      <c r="D2791" s="23" t="s">
        <v>22192</v>
      </c>
      <c r="E2791" s="23" t="s">
        <v>42</v>
      </c>
      <c r="F2791" s="25" t="s">
        <v>7175</v>
      </c>
      <c r="G2791" s="25" t="s">
        <v>7176</v>
      </c>
      <c r="H2791" t="s">
        <v>26</v>
      </c>
      <c r="I2791" t="s">
        <v>26</v>
      </c>
      <c r="J2791" t="s">
        <v>26</v>
      </c>
      <c r="K2791" t="s">
        <v>26</v>
      </c>
      <c r="L2791" s="25" t="s">
        <v>68</v>
      </c>
      <c r="M2791" t="s">
        <v>26</v>
      </c>
      <c r="N2791" t="s">
        <v>26</v>
      </c>
      <c r="O2791" t="s">
        <v>26</v>
      </c>
      <c r="P2791" t="s">
        <v>26</v>
      </c>
      <c r="Q2791" t="s">
        <v>26</v>
      </c>
      <c r="R2791" t="s">
        <v>26</v>
      </c>
      <c r="S2791" t="s">
        <v>26</v>
      </c>
      <c r="T2791" t="s">
        <v>26</v>
      </c>
      <c r="U2791" t="s">
        <v>26</v>
      </c>
      <c r="V2791" t="s">
        <v>26</v>
      </c>
      <c r="W2791" s="24">
        <v>35370</v>
      </c>
      <c r="X2791" s="24">
        <v>38169</v>
      </c>
      <c r="Y2791" t="s">
        <v>26</v>
      </c>
      <c r="Z2791" s="24">
        <v>35370</v>
      </c>
      <c r="AA2791" s="24">
        <v>38169</v>
      </c>
      <c r="AB2791" t="s">
        <v>26</v>
      </c>
      <c r="AC2791" t="s">
        <v>26</v>
      </c>
      <c r="AD2791" t="s">
        <v>26</v>
      </c>
      <c r="AE2791" t="s">
        <v>26</v>
      </c>
      <c r="AF2791" t="s">
        <v>26</v>
      </c>
      <c r="AG2791" t="s">
        <v>26</v>
      </c>
      <c r="AH2791" t="s">
        <v>26</v>
      </c>
      <c r="AI2791" t="s">
        <v>26</v>
      </c>
      <c r="AJ2791" t="s">
        <v>26</v>
      </c>
      <c r="AK2791" t="s">
        <v>26</v>
      </c>
      <c r="AL2791" t="s">
        <v>26</v>
      </c>
      <c r="AM2791" t="s">
        <v>26</v>
      </c>
      <c r="AN2791" t="s">
        <v>26</v>
      </c>
      <c r="AO2791" s="25" t="s">
        <v>68</v>
      </c>
      <c r="AP2791" s="23" t="s">
        <v>69</v>
      </c>
      <c r="AQ2791" s="23" t="s">
        <v>30</v>
      </c>
      <c r="AR2791" s="23" t="s">
        <v>7177</v>
      </c>
      <c r="AS2791" s="25">
        <v>48517</v>
      </c>
      <c r="AT2791" t="s">
        <v>26</v>
      </c>
      <c r="AU2791" t="s">
        <v>25833</v>
      </c>
    </row>
    <row r="2792" spans="1:47" ht="39.4" x14ac:dyDescent="0.4">
      <c r="A2792" s="23" t="s">
        <v>7178</v>
      </c>
      <c r="B2792" t="s">
        <v>26</v>
      </c>
      <c r="C2792" s="23" t="s">
        <v>80</v>
      </c>
      <c r="D2792" s="23" t="s">
        <v>25834</v>
      </c>
      <c r="E2792" s="23" t="s">
        <v>60</v>
      </c>
      <c r="F2792" s="25" t="s">
        <v>7179</v>
      </c>
      <c r="G2792" s="25" t="s">
        <v>7180</v>
      </c>
      <c r="H2792" t="s">
        <v>26</v>
      </c>
      <c r="I2792" t="s">
        <v>26</v>
      </c>
      <c r="J2792" t="s">
        <v>26</v>
      </c>
      <c r="K2792" t="s">
        <v>26</v>
      </c>
      <c r="L2792" s="25" t="s">
        <v>68</v>
      </c>
      <c r="M2792" t="s">
        <v>26</v>
      </c>
      <c r="N2792" t="s">
        <v>26</v>
      </c>
      <c r="O2792" t="s">
        <v>26</v>
      </c>
      <c r="P2792" t="s">
        <v>26</v>
      </c>
      <c r="Q2792" t="s">
        <v>26</v>
      </c>
      <c r="R2792" t="s">
        <v>26</v>
      </c>
      <c r="S2792" t="s">
        <v>26</v>
      </c>
      <c r="T2792" t="s">
        <v>26</v>
      </c>
      <c r="U2792" t="s">
        <v>26</v>
      </c>
      <c r="V2792" t="s">
        <v>26</v>
      </c>
      <c r="W2792" s="24">
        <v>35886</v>
      </c>
      <c r="X2792" s="24">
        <v>42736</v>
      </c>
      <c r="Y2792" t="s">
        <v>26</v>
      </c>
      <c r="Z2792" s="24">
        <v>35886</v>
      </c>
      <c r="AA2792" s="24">
        <v>42736</v>
      </c>
      <c r="AB2792" t="s">
        <v>26</v>
      </c>
      <c r="AC2792" s="24">
        <v>36800</v>
      </c>
      <c r="AD2792" s="24">
        <v>42736</v>
      </c>
      <c r="AE2792" t="s">
        <v>26</v>
      </c>
      <c r="AF2792" t="s">
        <v>26</v>
      </c>
      <c r="AG2792" t="s">
        <v>26</v>
      </c>
      <c r="AH2792" t="s">
        <v>26</v>
      </c>
      <c r="AI2792" t="s">
        <v>26</v>
      </c>
      <c r="AJ2792" t="s">
        <v>26</v>
      </c>
      <c r="AK2792" t="s">
        <v>26</v>
      </c>
      <c r="AL2792" t="s">
        <v>26</v>
      </c>
      <c r="AM2792" t="s">
        <v>26</v>
      </c>
      <c r="AN2792" t="s">
        <v>26</v>
      </c>
      <c r="AO2792" s="25" t="s">
        <v>68</v>
      </c>
      <c r="AP2792" s="23" t="s">
        <v>69</v>
      </c>
      <c r="AQ2792" s="23" t="s">
        <v>30</v>
      </c>
      <c r="AR2792" s="23" t="s">
        <v>7181</v>
      </c>
      <c r="AS2792" s="25">
        <v>31769</v>
      </c>
      <c r="AT2792" t="s">
        <v>26</v>
      </c>
      <c r="AU2792" t="s">
        <v>25835</v>
      </c>
    </row>
    <row r="2793" spans="1:47" ht="26.25" x14ac:dyDescent="0.4">
      <c r="A2793" s="23" t="s">
        <v>7182</v>
      </c>
      <c r="B2793" t="s">
        <v>26</v>
      </c>
      <c r="C2793" s="23" t="s">
        <v>73</v>
      </c>
      <c r="D2793" s="23" t="s">
        <v>22211</v>
      </c>
      <c r="E2793" s="23" t="s">
        <v>74</v>
      </c>
      <c r="F2793" s="25" t="s">
        <v>7183</v>
      </c>
      <c r="G2793" s="25" t="s">
        <v>7184</v>
      </c>
      <c r="H2793" t="s">
        <v>26</v>
      </c>
      <c r="I2793" s="24">
        <v>35490</v>
      </c>
      <c r="J2793" s="25" t="s">
        <v>77</v>
      </c>
      <c r="K2793" t="s">
        <v>26</v>
      </c>
      <c r="L2793" s="25" t="s">
        <v>68</v>
      </c>
      <c r="M2793" s="24">
        <v>37987</v>
      </c>
      <c r="N2793" s="24">
        <v>42095</v>
      </c>
      <c r="O2793" t="s">
        <v>26</v>
      </c>
      <c r="P2793" s="24">
        <v>35490</v>
      </c>
      <c r="Q2793" s="25" t="s">
        <v>77</v>
      </c>
      <c r="R2793" t="s">
        <v>26</v>
      </c>
      <c r="S2793" t="s">
        <v>26</v>
      </c>
      <c r="T2793" t="s">
        <v>26</v>
      </c>
      <c r="U2793" t="s">
        <v>26</v>
      </c>
      <c r="V2793" s="25">
        <v>365</v>
      </c>
      <c r="W2793" s="24">
        <v>35490</v>
      </c>
      <c r="X2793" s="25" t="s">
        <v>77</v>
      </c>
      <c r="Y2793" t="s">
        <v>26</v>
      </c>
      <c r="Z2793" s="24">
        <v>35490</v>
      </c>
      <c r="AA2793" s="25" t="s">
        <v>77</v>
      </c>
      <c r="AB2793" t="s">
        <v>26</v>
      </c>
      <c r="AC2793" s="24">
        <v>35490</v>
      </c>
      <c r="AD2793" s="25" t="s">
        <v>77</v>
      </c>
      <c r="AE2793" s="25" t="s">
        <v>587</v>
      </c>
      <c r="AF2793" t="s">
        <v>26</v>
      </c>
      <c r="AG2793" t="s">
        <v>26</v>
      </c>
      <c r="AH2793" t="s">
        <v>26</v>
      </c>
      <c r="AI2793" t="s">
        <v>26</v>
      </c>
      <c r="AJ2793" t="s">
        <v>26</v>
      </c>
      <c r="AK2793" t="s">
        <v>26</v>
      </c>
      <c r="AL2793" t="s">
        <v>26</v>
      </c>
      <c r="AM2793" t="s">
        <v>26</v>
      </c>
      <c r="AN2793" t="s">
        <v>26</v>
      </c>
      <c r="AO2793" s="25" t="s">
        <v>68</v>
      </c>
      <c r="AP2793" s="23" t="s">
        <v>69</v>
      </c>
      <c r="AQ2793" s="23" t="s">
        <v>30</v>
      </c>
      <c r="AR2793" s="23" t="s">
        <v>46</v>
      </c>
      <c r="AS2793" s="25">
        <v>54156</v>
      </c>
      <c r="AT2793" t="s">
        <v>26</v>
      </c>
      <c r="AU2793" t="s">
        <v>25836</v>
      </c>
    </row>
    <row r="2794" spans="1:47" ht="26.25" x14ac:dyDescent="0.4">
      <c r="A2794" s="23" t="s">
        <v>7185</v>
      </c>
      <c r="B2794" t="s">
        <v>26</v>
      </c>
      <c r="C2794" s="23" t="s">
        <v>2241</v>
      </c>
      <c r="D2794" t="s">
        <v>26</v>
      </c>
      <c r="E2794" s="23" t="s">
        <v>42</v>
      </c>
      <c r="F2794" t="s">
        <v>26</v>
      </c>
      <c r="G2794" t="s">
        <v>26</v>
      </c>
      <c r="H2794" t="s">
        <v>26</v>
      </c>
      <c r="I2794" s="24">
        <v>40909</v>
      </c>
      <c r="J2794" s="24">
        <v>40909</v>
      </c>
      <c r="K2794" t="s">
        <v>26</v>
      </c>
      <c r="L2794" s="25" t="s">
        <v>28</v>
      </c>
      <c r="M2794" s="24">
        <v>40909</v>
      </c>
      <c r="N2794" s="24">
        <v>40909</v>
      </c>
      <c r="O2794" t="s">
        <v>26</v>
      </c>
      <c r="P2794" t="s">
        <v>26</v>
      </c>
      <c r="Q2794" t="s">
        <v>26</v>
      </c>
      <c r="R2794" t="s">
        <v>26</v>
      </c>
      <c r="S2794" s="24">
        <v>40909</v>
      </c>
      <c r="T2794" s="24">
        <v>40909</v>
      </c>
      <c r="U2794" t="s">
        <v>26</v>
      </c>
      <c r="V2794" t="s">
        <v>26</v>
      </c>
      <c r="W2794" s="24">
        <v>40909</v>
      </c>
      <c r="X2794" s="24">
        <v>40909</v>
      </c>
      <c r="Y2794" t="s">
        <v>26</v>
      </c>
      <c r="Z2794" s="24">
        <v>40909</v>
      </c>
      <c r="AA2794" s="24">
        <v>40909</v>
      </c>
      <c r="AB2794" t="s">
        <v>26</v>
      </c>
      <c r="AC2794" s="24">
        <v>40909</v>
      </c>
      <c r="AD2794" s="24">
        <v>40909</v>
      </c>
      <c r="AE2794" t="s">
        <v>26</v>
      </c>
      <c r="AF2794" s="24">
        <v>40909</v>
      </c>
      <c r="AG2794" s="24">
        <v>40909</v>
      </c>
      <c r="AH2794" t="s">
        <v>26</v>
      </c>
      <c r="AI2794" s="24">
        <v>40909</v>
      </c>
      <c r="AJ2794" s="24">
        <v>40909</v>
      </c>
      <c r="AK2794" t="s">
        <v>26</v>
      </c>
      <c r="AL2794" t="s">
        <v>26</v>
      </c>
      <c r="AM2794" t="s">
        <v>26</v>
      </c>
      <c r="AN2794" t="s">
        <v>26</v>
      </c>
      <c r="AO2794" s="25" t="s">
        <v>28</v>
      </c>
      <c r="AP2794" s="23" t="s">
        <v>43</v>
      </c>
      <c r="AQ2794" s="23" t="s">
        <v>30</v>
      </c>
      <c r="AR2794" s="23" t="s">
        <v>44</v>
      </c>
      <c r="AS2794" s="25">
        <v>5262113</v>
      </c>
      <c r="AT2794" t="s">
        <v>26</v>
      </c>
      <c r="AU2794" t="s">
        <v>25837</v>
      </c>
    </row>
    <row r="2795" spans="1:47" ht="26.25" x14ac:dyDescent="0.4">
      <c r="A2795" s="23" t="s">
        <v>7186</v>
      </c>
      <c r="B2795" t="s">
        <v>26</v>
      </c>
      <c r="C2795" s="23" t="s">
        <v>7187</v>
      </c>
      <c r="D2795" s="23" t="s">
        <v>25838</v>
      </c>
      <c r="E2795" s="23" t="s">
        <v>42</v>
      </c>
      <c r="F2795" s="25" t="s">
        <v>7188</v>
      </c>
      <c r="G2795" t="s">
        <v>26</v>
      </c>
      <c r="H2795" t="s">
        <v>26</v>
      </c>
      <c r="I2795" s="24">
        <v>42461</v>
      </c>
      <c r="J2795" s="24">
        <v>43009</v>
      </c>
      <c r="K2795" t="s">
        <v>26</v>
      </c>
      <c r="L2795" s="25" t="s">
        <v>68</v>
      </c>
      <c r="M2795" s="24">
        <v>42461</v>
      </c>
      <c r="N2795" s="24">
        <v>43009</v>
      </c>
      <c r="O2795" t="s">
        <v>26</v>
      </c>
      <c r="P2795" s="24">
        <v>42461</v>
      </c>
      <c r="Q2795" s="24">
        <v>43009</v>
      </c>
      <c r="R2795" t="s">
        <v>26</v>
      </c>
      <c r="S2795" t="s">
        <v>26</v>
      </c>
      <c r="T2795" t="s">
        <v>26</v>
      </c>
      <c r="U2795" t="s">
        <v>26</v>
      </c>
      <c r="V2795" t="s">
        <v>26</v>
      </c>
      <c r="W2795" s="24">
        <v>42461</v>
      </c>
      <c r="X2795" s="24">
        <v>43009</v>
      </c>
      <c r="Y2795" t="s">
        <v>26</v>
      </c>
      <c r="Z2795" s="24">
        <v>42461</v>
      </c>
      <c r="AA2795" s="24">
        <v>43009</v>
      </c>
      <c r="AB2795" t="s">
        <v>26</v>
      </c>
      <c r="AC2795" s="24">
        <v>42461</v>
      </c>
      <c r="AD2795" s="24">
        <v>43009</v>
      </c>
      <c r="AE2795" t="s">
        <v>26</v>
      </c>
      <c r="AF2795" t="s">
        <v>26</v>
      </c>
      <c r="AG2795" t="s">
        <v>26</v>
      </c>
      <c r="AH2795" t="s">
        <v>26</v>
      </c>
      <c r="AI2795" t="s">
        <v>26</v>
      </c>
      <c r="AJ2795" t="s">
        <v>26</v>
      </c>
      <c r="AK2795" t="s">
        <v>26</v>
      </c>
      <c r="AL2795" t="s">
        <v>26</v>
      </c>
      <c r="AM2795" t="s">
        <v>26</v>
      </c>
      <c r="AN2795" t="s">
        <v>26</v>
      </c>
      <c r="AO2795" s="25" t="s">
        <v>68</v>
      </c>
      <c r="AP2795" s="23" t="s">
        <v>69</v>
      </c>
      <c r="AQ2795" s="23" t="s">
        <v>30</v>
      </c>
      <c r="AR2795" s="23" t="s">
        <v>46</v>
      </c>
      <c r="AS2795" s="25">
        <v>2049213</v>
      </c>
      <c r="AT2795" t="s">
        <v>26</v>
      </c>
      <c r="AU2795" t="s">
        <v>25839</v>
      </c>
    </row>
    <row r="2796" spans="1:47" ht="39.4" x14ac:dyDescent="0.4">
      <c r="A2796" s="23" t="s">
        <v>7189</v>
      </c>
      <c r="B2796" t="s">
        <v>26</v>
      </c>
      <c r="C2796" s="23" t="s">
        <v>821</v>
      </c>
      <c r="D2796" s="23" t="s">
        <v>23331</v>
      </c>
      <c r="E2796" s="23" t="s">
        <v>822</v>
      </c>
      <c r="F2796" s="25" t="s">
        <v>7190</v>
      </c>
      <c r="G2796" s="25" t="s">
        <v>7191</v>
      </c>
      <c r="H2796" t="s">
        <v>26</v>
      </c>
      <c r="I2796" s="24">
        <v>38384</v>
      </c>
      <c r="J2796" s="25" t="s">
        <v>77</v>
      </c>
      <c r="K2796" t="s">
        <v>26</v>
      </c>
      <c r="L2796" s="25" t="s">
        <v>28</v>
      </c>
      <c r="M2796" s="24">
        <v>39356</v>
      </c>
      <c r="N2796" s="25" t="s">
        <v>77</v>
      </c>
      <c r="O2796" t="s">
        <v>26</v>
      </c>
      <c r="P2796" s="24">
        <v>38384</v>
      </c>
      <c r="Q2796" s="25" t="s">
        <v>77</v>
      </c>
      <c r="R2796" t="s">
        <v>26</v>
      </c>
      <c r="S2796" t="s">
        <v>26</v>
      </c>
      <c r="T2796" t="s">
        <v>26</v>
      </c>
      <c r="U2796" t="s">
        <v>26</v>
      </c>
      <c r="V2796" t="s">
        <v>26</v>
      </c>
      <c r="W2796" s="24">
        <v>38384</v>
      </c>
      <c r="X2796" s="25" t="s">
        <v>77</v>
      </c>
      <c r="Y2796" t="s">
        <v>26</v>
      </c>
      <c r="Z2796" s="24">
        <v>38384</v>
      </c>
      <c r="AA2796" s="25" t="s">
        <v>77</v>
      </c>
      <c r="AB2796" t="s">
        <v>26</v>
      </c>
      <c r="AC2796" s="24">
        <v>39356</v>
      </c>
      <c r="AD2796" s="25" t="s">
        <v>77</v>
      </c>
      <c r="AE2796" t="s">
        <v>26</v>
      </c>
      <c r="AF2796" t="s">
        <v>26</v>
      </c>
      <c r="AG2796" t="s">
        <v>26</v>
      </c>
      <c r="AH2796" t="s">
        <v>26</v>
      </c>
      <c r="AI2796" t="s">
        <v>26</v>
      </c>
      <c r="AJ2796" t="s">
        <v>26</v>
      </c>
      <c r="AK2796" t="s">
        <v>26</v>
      </c>
      <c r="AL2796" t="s">
        <v>26</v>
      </c>
      <c r="AM2796" t="s">
        <v>26</v>
      </c>
      <c r="AN2796" t="s">
        <v>26</v>
      </c>
      <c r="AO2796" s="25" t="s">
        <v>28</v>
      </c>
      <c r="AP2796" s="23" t="s">
        <v>211</v>
      </c>
      <c r="AQ2796" s="23" t="s">
        <v>30</v>
      </c>
      <c r="AR2796" s="23" t="s">
        <v>7192</v>
      </c>
      <c r="AS2796" s="25">
        <v>27970</v>
      </c>
      <c r="AT2796" t="s">
        <v>26</v>
      </c>
      <c r="AU2796" t="s">
        <v>25840</v>
      </c>
    </row>
    <row r="2797" spans="1:47" ht="26.25" x14ac:dyDescent="0.4">
      <c r="A2797" s="23" t="s">
        <v>7193</v>
      </c>
      <c r="B2797" t="s">
        <v>26</v>
      </c>
      <c r="C2797" t="s">
        <v>26</v>
      </c>
      <c r="D2797" t="s">
        <v>26</v>
      </c>
      <c r="E2797" t="s">
        <v>26</v>
      </c>
      <c r="F2797" t="s">
        <v>26</v>
      </c>
      <c r="G2797" t="s">
        <v>26</v>
      </c>
      <c r="H2797" t="s">
        <v>26</v>
      </c>
      <c r="I2797" s="24">
        <v>9498</v>
      </c>
      <c r="J2797" s="24">
        <v>9498</v>
      </c>
      <c r="K2797" t="s">
        <v>26</v>
      </c>
      <c r="L2797" s="25" t="s">
        <v>28</v>
      </c>
      <c r="M2797" s="24">
        <v>9498</v>
      </c>
      <c r="N2797" s="24">
        <v>9498</v>
      </c>
      <c r="O2797" t="s">
        <v>26</v>
      </c>
      <c r="P2797" t="s">
        <v>26</v>
      </c>
      <c r="Q2797" t="s">
        <v>26</v>
      </c>
      <c r="R2797" t="s">
        <v>26</v>
      </c>
      <c r="S2797" t="s">
        <v>26</v>
      </c>
      <c r="T2797" t="s">
        <v>26</v>
      </c>
      <c r="U2797" t="s">
        <v>26</v>
      </c>
      <c r="V2797" t="s">
        <v>26</v>
      </c>
      <c r="W2797" s="24">
        <v>9498</v>
      </c>
      <c r="X2797" s="24">
        <v>9498</v>
      </c>
      <c r="Y2797" t="s">
        <v>26</v>
      </c>
      <c r="Z2797" s="24">
        <v>9498</v>
      </c>
      <c r="AA2797" s="24">
        <v>9498</v>
      </c>
      <c r="AB2797" t="s">
        <v>26</v>
      </c>
      <c r="AC2797" s="24">
        <v>9498</v>
      </c>
      <c r="AD2797" s="24">
        <v>9498</v>
      </c>
      <c r="AE2797" t="s">
        <v>26</v>
      </c>
      <c r="AF2797" t="s">
        <v>26</v>
      </c>
      <c r="AG2797" t="s">
        <v>26</v>
      </c>
      <c r="AH2797" t="s">
        <v>26</v>
      </c>
      <c r="AI2797" t="s">
        <v>26</v>
      </c>
      <c r="AJ2797" t="s">
        <v>26</v>
      </c>
      <c r="AK2797" t="s">
        <v>26</v>
      </c>
      <c r="AL2797" t="s">
        <v>26</v>
      </c>
      <c r="AM2797" t="s">
        <v>26</v>
      </c>
      <c r="AN2797" t="s">
        <v>26</v>
      </c>
      <c r="AO2797" s="25" t="s">
        <v>28</v>
      </c>
      <c r="AP2797" s="23" t="s">
        <v>45</v>
      </c>
      <c r="AQ2797" s="23" t="s">
        <v>30</v>
      </c>
      <c r="AR2797" s="23" t="s">
        <v>46</v>
      </c>
      <c r="AS2797" s="25">
        <v>5983365</v>
      </c>
      <c r="AT2797" t="s">
        <v>26</v>
      </c>
      <c r="AU2797" t="s">
        <v>25841</v>
      </c>
    </row>
    <row r="2798" spans="1:47" ht="26.25" x14ac:dyDescent="0.4">
      <c r="A2798" s="23" t="s">
        <v>7194</v>
      </c>
      <c r="B2798" t="s">
        <v>26</v>
      </c>
      <c r="C2798" s="23" t="s">
        <v>107</v>
      </c>
      <c r="D2798" s="23" t="s">
        <v>22194</v>
      </c>
      <c r="E2798" s="23" t="s">
        <v>42</v>
      </c>
      <c r="F2798" s="25" t="s">
        <v>7195</v>
      </c>
      <c r="G2798" s="25" t="s">
        <v>7196</v>
      </c>
      <c r="H2798" t="s">
        <v>26</v>
      </c>
      <c r="I2798" s="24">
        <v>37987</v>
      </c>
      <c r="J2798" s="24">
        <v>43739</v>
      </c>
      <c r="K2798" t="s">
        <v>26</v>
      </c>
      <c r="L2798" s="25" t="s">
        <v>68</v>
      </c>
      <c r="M2798" s="24">
        <v>37987</v>
      </c>
      <c r="N2798" s="24">
        <v>41000</v>
      </c>
      <c r="O2798" t="s">
        <v>26</v>
      </c>
      <c r="P2798" s="24">
        <v>37987</v>
      </c>
      <c r="Q2798" s="24">
        <v>43739</v>
      </c>
      <c r="R2798" t="s">
        <v>26</v>
      </c>
      <c r="S2798" t="s">
        <v>26</v>
      </c>
      <c r="T2798" t="s">
        <v>26</v>
      </c>
      <c r="U2798" t="s">
        <v>26</v>
      </c>
      <c r="V2798" t="s">
        <v>26</v>
      </c>
      <c r="W2798" s="24">
        <v>25934</v>
      </c>
      <c r="X2798" s="24">
        <v>43739</v>
      </c>
      <c r="Y2798" t="s">
        <v>26</v>
      </c>
      <c r="Z2798" s="24">
        <v>25934</v>
      </c>
      <c r="AA2798" s="24">
        <v>43739</v>
      </c>
      <c r="AB2798" t="s">
        <v>26</v>
      </c>
      <c r="AC2798" t="s">
        <v>26</v>
      </c>
      <c r="AD2798" t="s">
        <v>26</v>
      </c>
      <c r="AE2798" t="s">
        <v>26</v>
      </c>
      <c r="AF2798" t="s">
        <v>26</v>
      </c>
      <c r="AG2798" t="s">
        <v>26</v>
      </c>
      <c r="AH2798" t="s">
        <v>26</v>
      </c>
      <c r="AI2798" t="s">
        <v>26</v>
      </c>
      <c r="AJ2798" t="s">
        <v>26</v>
      </c>
      <c r="AK2798" t="s">
        <v>26</v>
      </c>
      <c r="AL2798" t="s">
        <v>26</v>
      </c>
      <c r="AM2798" t="s">
        <v>26</v>
      </c>
      <c r="AN2798" t="s">
        <v>26</v>
      </c>
      <c r="AO2798" s="25" t="s">
        <v>68</v>
      </c>
      <c r="AP2798" s="23" t="s">
        <v>69</v>
      </c>
      <c r="AQ2798" s="23" t="s">
        <v>30</v>
      </c>
      <c r="AR2798" s="23" t="s">
        <v>71</v>
      </c>
      <c r="AS2798" s="25">
        <v>47650</v>
      </c>
      <c r="AT2798" t="s">
        <v>26</v>
      </c>
      <c r="AU2798" t="s">
        <v>25842</v>
      </c>
    </row>
    <row r="2799" spans="1:47" ht="26.25" x14ac:dyDescent="0.4">
      <c r="A2799" s="23" t="s">
        <v>7197</v>
      </c>
      <c r="B2799" t="s">
        <v>26</v>
      </c>
      <c r="C2799" t="s">
        <v>26</v>
      </c>
      <c r="D2799" t="s">
        <v>26</v>
      </c>
      <c r="E2799" t="s">
        <v>26</v>
      </c>
      <c r="F2799" t="s">
        <v>26</v>
      </c>
      <c r="G2799" t="s">
        <v>26</v>
      </c>
      <c r="H2799" t="s">
        <v>26</v>
      </c>
      <c r="I2799" s="25" t="s">
        <v>25843</v>
      </c>
      <c r="J2799" s="25" t="s">
        <v>25843</v>
      </c>
      <c r="K2799" t="s">
        <v>26</v>
      </c>
      <c r="L2799" s="25" t="s">
        <v>28</v>
      </c>
      <c r="M2799" s="25" t="s">
        <v>25843</v>
      </c>
      <c r="N2799" s="25" t="s">
        <v>25843</v>
      </c>
      <c r="O2799" t="s">
        <v>26</v>
      </c>
      <c r="P2799" t="s">
        <v>26</v>
      </c>
      <c r="Q2799" t="s">
        <v>26</v>
      </c>
      <c r="R2799" t="s">
        <v>26</v>
      </c>
      <c r="S2799" t="s">
        <v>26</v>
      </c>
      <c r="T2799" t="s">
        <v>26</v>
      </c>
      <c r="U2799" t="s">
        <v>26</v>
      </c>
      <c r="V2799" t="s">
        <v>26</v>
      </c>
      <c r="W2799" s="25" t="s">
        <v>25843</v>
      </c>
      <c r="X2799" s="25" t="s">
        <v>25843</v>
      </c>
      <c r="Y2799" t="s">
        <v>26</v>
      </c>
      <c r="Z2799" s="25" t="s">
        <v>25843</v>
      </c>
      <c r="AA2799" s="25" t="s">
        <v>25843</v>
      </c>
      <c r="AB2799" t="s">
        <v>26</v>
      </c>
      <c r="AC2799" s="25" t="s">
        <v>25843</v>
      </c>
      <c r="AD2799" s="25" t="s">
        <v>25843</v>
      </c>
      <c r="AE2799" t="s">
        <v>26</v>
      </c>
      <c r="AF2799" t="s">
        <v>26</v>
      </c>
      <c r="AG2799" t="s">
        <v>26</v>
      </c>
      <c r="AH2799" t="s">
        <v>26</v>
      </c>
      <c r="AI2799" t="s">
        <v>26</v>
      </c>
      <c r="AJ2799" t="s">
        <v>26</v>
      </c>
      <c r="AK2799" t="s">
        <v>26</v>
      </c>
      <c r="AL2799" t="s">
        <v>26</v>
      </c>
      <c r="AM2799" t="s">
        <v>26</v>
      </c>
      <c r="AN2799" t="s">
        <v>26</v>
      </c>
      <c r="AO2799" s="25" t="s">
        <v>28</v>
      </c>
      <c r="AP2799" s="23" t="s">
        <v>45</v>
      </c>
      <c r="AQ2799" s="23" t="s">
        <v>30</v>
      </c>
      <c r="AR2799" s="23" t="s">
        <v>46</v>
      </c>
      <c r="AS2799" s="25">
        <v>5983348</v>
      </c>
      <c r="AT2799" t="s">
        <v>26</v>
      </c>
      <c r="AU2799" t="s">
        <v>25844</v>
      </c>
    </row>
    <row r="2800" spans="1:47" ht="13.15" x14ac:dyDescent="0.4">
      <c r="A2800" s="23" t="s">
        <v>7198</v>
      </c>
      <c r="B2800" t="s">
        <v>26</v>
      </c>
      <c r="C2800" s="23" t="s">
        <v>5682</v>
      </c>
      <c r="D2800" s="23" t="s">
        <v>22286</v>
      </c>
      <c r="E2800" s="23" t="s">
        <v>42</v>
      </c>
      <c r="F2800" t="s">
        <v>26</v>
      </c>
      <c r="G2800" t="s">
        <v>26</v>
      </c>
      <c r="H2800" t="s">
        <v>26</v>
      </c>
      <c r="I2800" s="24">
        <v>42736</v>
      </c>
      <c r="J2800" s="24">
        <v>42736</v>
      </c>
      <c r="K2800" t="s">
        <v>26</v>
      </c>
      <c r="L2800" s="25" t="s">
        <v>28</v>
      </c>
      <c r="M2800" t="s">
        <v>26</v>
      </c>
      <c r="N2800" t="s">
        <v>26</v>
      </c>
      <c r="O2800" t="s">
        <v>26</v>
      </c>
      <c r="P2800" s="24">
        <v>42736</v>
      </c>
      <c r="Q2800" s="24">
        <v>42736</v>
      </c>
      <c r="R2800" t="s">
        <v>26</v>
      </c>
      <c r="S2800" t="s">
        <v>26</v>
      </c>
      <c r="T2800" t="s">
        <v>26</v>
      </c>
      <c r="U2800" t="s">
        <v>26</v>
      </c>
      <c r="V2800" t="s">
        <v>26</v>
      </c>
      <c r="W2800" s="24">
        <v>42736</v>
      </c>
      <c r="X2800" s="24">
        <v>42736</v>
      </c>
      <c r="Y2800" t="s">
        <v>26</v>
      </c>
      <c r="Z2800" s="24">
        <v>42736</v>
      </c>
      <c r="AA2800" s="24">
        <v>42736</v>
      </c>
      <c r="AB2800" t="s">
        <v>26</v>
      </c>
      <c r="AC2800" s="24">
        <v>42736</v>
      </c>
      <c r="AD2800" s="24">
        <v>42736</v>
      </c>
      <c r="AE2800" t="s">
        <v>26</v>
      </c>
      <c r="AF2800" t="s">
        <v>26</v>
      </c>
      <c r="AG2800" t="s">
        <v>26</v>
      </c>
      <c r="AH2800" t="s">
        <v>26</v>
      </c>
      <c r="AI2800" t="s">
        <v>26</v>
      </c>
      <c r="AJ2800" t="s">
        <v>26</v>
      </c>
      <c r="AK2800" t="s">
        <v>26</v>
      </c>
      <c r="AL2800" t="s">
        <v>26</v>
      </c>
      <c r="AM2800" t="s">
        <v>26</v>
      </c>
      <c r="AN2800" t="s">
        <v>26</v>
      </c>
      <c r="AO2800" s="25" t="s">
        <v>28</v>
      </c>
      <c r="AP2800" s="23" t="s">
        <v>29</v>
      </c>
      <c r="AQ2800" s="23" t="s">
        <v>30</v>
      </c>
      <c r="AR2800" s="23" t="s">
        <v>245</v>
      </c>
      <c r="AS2800" s="25">
        <v>5488562</v>
      </c>
      <c r="AT2800" s="23" t="s">
        <v>22181</v>
      </c>
      <c r="AU2800" t="s">
        <v>25845</v>
      </c>
    </row>
    <row r="2801" spans="1:47" ht="26.25" x14ac:dyDescent="0.4">
      <c r="A2801" s="23" t="s">
        <v>7199</v>
      </c>
      <c r="B2801" t="s">
        <v>26</v>
      </c>
      <c r="C2801" s="23" t="s">
        <v>23142</v>
      </c>
      <c r="D2801" t="s">
        <v>26</v>
      </c>
      <c r="E2801" s="23" t="s">
        <v>60</v>
      </c>
      <c r="F2801" t="s">
        <v>26</v>
      </c>
      <c r="G2801" t="s">
        <v>26</v>
      </c>
      <c r="H2801" t="s">
        <v>26</v>
      </c>
      <c r="I2801" s="24">
        <v>43466</v>
      </c>
      <c r="J2801" s="24">
        <v>43466</v>
      </c>
      <c r="K2801" t="s">
        <v>26</v>
      </c>
      <c r="L2801" s="25" t="s">
        <v>28</v>
      </c>
      <c r="M2801" s="24">
        <v>43466</v>
      </c>
      <c r="N2801" s="24">
        <v>43466</v>
      </c>
      <c r="O2801" t="s">
        <v>26</v>
      </c>
      <c r="P2801" t="s">
        <v>26</v>
      </c>
      <c r="Q2801" t="s">
        <v>26</v>
      </c>
      <c r="R2801" t="s">
        <v>26</v>
      </c>
      <c r="S2801" s="24">
        <v>43466</v>
      </c>
      <c r="T2801" s="24">
        <v>43466</v>
      </c>
      <c r="U2801" t="s">
        <v>26</v>
      </c>
      <c r="V2801" t="s">
        <v>26</v>
      </c>
      <c r="W2801" s="24">
        <v>43466</v>
      </c>
      <c r="X2801" s="24">
        <v>43466</v>
      </c>
      <c r="Y2801" t="s">
        <v>26</v>
      </c>
      <c r="Z2801" s="24">
        <v>43466</v>
      </c>
      <c r="AA2801" s="24">
        <v>43466</v>
      </c>
      <c r="AB2801" t="s">
        <v>26</v>
      </c>
      <c r="AC2801" s="24">
        <v>43466</v>
      </c>
      <c r="AD2801" s="24">
        <v>43466</v>
      </c>
      <c r="AE2801" t="s">
        <v>26</v>
      </c>
      <c r="AF2801" s="24">
        <v>43466</v>
      </c>
      <c r="AG2801" s="24">
        <v>43466</v>
      </c>
      <c r="AH2801" t="s">
        <v>26</v>
      </c>
      <c r="AI2801" s="24">
        <v>43466</v>
      </c>
      <c r="AJ2801" s="24">
        <v>43466</v>
      </c>
      <c r="AK2801" t="s">
        <v>26</v>
      </c>
      <c r="AL2801" t="s">
        <v>26</v>
      </c>
      <c r="AM2801" t="s">
        <v>26</v>
      </c>
      <c r="AN2801" t="s">
        <v>26</v>
      </c>
      <c r="AO2801" s="25" t="s">
        <v>28</v>
      </c>
      <c r="AP2801" s="23" t="s">
        <v>43</v>
      </c>
      <c r="AQ2801" s="23" t="s">
        <v>30</v>
      </c>
      <c r="AR2801" s="23" t="s">
        <v>46</v>
      </c>
      <c r="AS2801" s="25">
        <v>6364583</v>
      </c>
      <c r="AT2801" t="s">
        <v>26</v>
      </c>
      <c r="AU2801" t="s">
        <v>25846</v>
      </c>
    </row>
    <row r="2802" spans="1:47" ht="26.25" x14ac:dyDescent="0.4">
      <c r="A2802" s="23" t="s">
        <v>7200</v>
      </c>
      <c r="B2802" t="s">
        <v>26</v>
      </c>
      <c r="C2802" s="23" t="s">
        <v>1127</v>
      </c>
      <c r="D2802" s="23" t="s">
        <v>22674</v>
      </c>
      <c r="E2802" s="23" t="s">
        <v>42</v>
      </c>
      <c r="F2802" t="s">
        <v>26</v>
      </c>
      <c r="G2802" s="25" t="s">
        <v>7201</v>
      </c>
      <c r="H2802" t="s">
        <v>26</v>
      </c>
      <c r="I2802" s="24">
        <v>42370</v>
      </c>
      <c r="J2802" s="24">
        <v>44228</v>
      </c>
      <c r="K2802" t="s">
        <v>26</v>
      </c>
      <c r="L2802" s="25" t="s">
        <v>68</v>
      </c>
      <c r="M2802" s="24">
        <v>42370</v>
      </c>
      <c r="N2802" s="24">
        <v>44228</v>
      </c>
      <c r="O2802" t="s">
        <v>26</v>
      </c>
      <c r="P2802" s="24">
        <v>42370</v>
      </c>
      <c r="Q2802" s="24">
        <v>44228</v>
      </c>
      <c r="R2802" t="s">
        <v>26</v>
      </c>
      <c r="S2802" t="s">
        <v>26</v>
      </c>
      <c r="T2802" t="s">
        <v>26</v>
      </c>
      <c r="U2802" t="s">
        <v>26</v>
      </c>
      <c r="V2802" t="s">
        <v>26</v>
      </c>
      <c r="W2802" s="24">
        <v>42370</v>
      </c>
      <c r="X2802" s="25" t="s">
        <v>77</v>
      </c>
      <c r="Y2802" t="s">
        <v>26</v>
      </c>
      <c r="Z2802" s="24">
        <v>42370</v>
      </c>
      <c r="AA2802" s="25" t="s">
        <v>77</v>
      </c>
      <c r="AB2802" t="s">
        <v>26</v>
      </c>
      <c r="AC2802" s="24">
        <v>42370</v>
      </c>
      <c r="AD2802" s="25" t="s">
        <v>77</v>
      </c>
      <c r="AE2802" t="s">
        <v>26</v>
      </c>
      <c r="AF2802" t="s">
        <v>26</v>
      </c>
      <c r="AG2802" t="s">
        <v>26</v>
      </c>
      <c r="AH2802" t="s">
        <v>26</v>
      </c>
      <c r="AI2802" t="s">
        <v>26</v>
      </c>
      <c r="AJ2802" t="s">
        <v>26</v>
      </c>
      <c r="AK2802" t="s">
        <v>26</v>
      </c>
      <c r="AL2802" t="s">
        <v>26</v>
      </c>
      <c r="AM2802" t="s">
        <v>26</v>
      </c>
      <c r="AN2802" t="s">
        <v>26</v>
      </c>
      <c r="AO2802" s="25" t="s">
        <v>68</v>
      </c>
      <c r="AP2802" s="23" t="s">
        <v>69</v>
      </c>
      <c r="AQ2802" s="23" t="s">
        <v>30</v>
      </c>
      <c r="AR2802" s="23" t="s">
        <v>25847</v>
      </c>
      <c r="AS2802" s="25">
        <v>2043315</v>
      </c>
      <c r="AT2802" t="s">
        <v>26</v>
      </c>
      <c r="AU2802" t="s">
        <v>25848</v>
      </c>
    </row>
    <row r="2803" spans="1:47" ht="13.15" x14ac:dyDescent="0.4">
      <c r="A2803" s="23" t="s">
        <v>7202</v>
      </c>
      <c r="B2803" t="s">
        <v>26</v>
      </c>
      <c r="C2803" s="23" t="s">
        <v>48</v>
      </c>
      <c r="D2803" s="23" t="s">
        <v>22168</v>
      </c>
      <c r="E2803" s="23" t="s">
        <v>42</v>
      </c>
      <c r="F2803" t="s">
        <v>26</v>
      </c>
      <c r="G2803" t="s">
        <v>26</v>
      </c>
      <c r="H2803" t="s">
        <v>26</v>
      </c>
      <c r="I2803" s="24">
        <v>41640</v>
      </c>
      <c r="J2803" s="24">
        <v>42370</v>
      </c>
      <c r="K2803" t="s">
        <v>26</v>
      </c>
      <c r="L2803" s="25" t="s">
        <v>28</v>
      </c>
      <c r="M2803" t="s">
        <v>26</v>
      </c>
      <c r="N2803" t="s">
        <v>26</v>
      </c>
      <c r="O2803" t="s">
        <v>26</v>
      </c>
      <c r="P2803" s="24">
        <v>41640</v>
      </c>
      <c r="Q2803" s="24">
        <v>42370</v>
      </c>
      <c r="R2803" t="s">
        <v>26</v>
      </c>
      <c r="S2803" t="s">
        <v>26</v>
      </c>
      <c r="T2803" t="s">
        <v>26</v>
      </c>
      <c r="U2803" t="s">
        <v>26</v>
      </c>
      <c r="V2803" t="s">
        <v>26</v>
      </c>
      <c r="W2803" s="24">
        <v>41640</v>
      </c>
      <c r="X2803" s="24">
        <v>42370</v>
      </c>
      <c r="Y2803" t="s">
        <v>26</v>
      </c>
      <c r="Z2803" s="24">
        <v>41640</v>
      </c>
      <c r="AA2803" s="24">
        <v>42370</v>
      </c>
      <c r="AB2803" t="s">
        <v>26</v>
      </c>
      <c r="AC2803" s="24">
        <v>41640</v>
      </c>
      <c r="AD2803" s="24">
        <v>42370</v>
      </c>
      <c r="AE2803" t="s">
        <v>26</v>
      </c>
      <c r="AF2803" t="s">
        <v>26</v>
      </c>
      <c r="AG2803" t="s">
        <v>26</v>
      </c>
      <c r="AH2803" t="s">
        <v>26</v>
      </c>
      <c r="AI2803" t="s">
        <v>26</v>
      </c>
      <c r="AJ2803" t="s">
        <v>26</v>
      </c>
      <c r="AK2803" t="s">
        <v>26</v>
      </c>
      <c r="AL2803" t="s">
        <v>26</v>
      </c>
      <c r="AM2803" t="s">
        <v>26</v>
      </c>
      <c r="AN2803" t="s">
        <v>26</v>
      </c>
      <c r="AO2803" s="25" t="s">
        <v>28</v>
      </c>
      <c r="AP2803" s="23" t="s">
        <v>29</v>
      </c>
      <c r="AQ2803" s="23" t="s">
        <v>30</v>
      </c>
      <c r="AR2803" s="23" t="s">
        <v>46</v>
      </c>
      <c r="AS2803" s="25">
        <v>6275742</v>
      </c>
      <c r="AT2803" t="s">
        <v>26</v>
      </c>
      <c r="AU2803" t="s">
        <v>25849</v>
      </c>
    </row>
    <row r="2804" spans="1:47" ht="26.25" x14ac:dyDescent="0.4">
      <c r="A2804" s="23" t="s">
        <v>7203</v>
      </c>
      <c r="B2804" t="s">
        <v>26</v>
      </c>
      <c r="C2804" s="23" t="s">
        <v>80</v>
      </c>
      <c r="D2804" s="23" t="s">
        <v>22184</v>
      </c>
      <c r="E2804" s="23" t="s">
        <v>60</v>
      </c>
      <c r="F2804" t="s">
        <v>26</v>
      </c>
      <c r="G2804" s="25" t="s">
        <v>7204</v>
      </c>
      <c r="H2804" t="s">
        <v>26</v>
      </c>
      <c r="I2804" s="24">
        <v>41275</v>
      </c>
      <c r="J2804" s="24">
        <v>42736</v>
      </c>
      <c r="K2804" t="s">
        <v>26</v>
      </c>
      <c r="L2804" s="25" t="s">
        <v>68</v>
      </c>
      <c r="M2804" s="24">
        <v>41275</v>
      </c>
      <c r="N2804" s="24">
        <v>42736</v>
      </c>
      <c r="O2804" t="s">
        <v>26</v>
      </c>
      <c r="P2804" s="24">
        <v>41275</v>
      </c>
      <c r="Q2804" s="24">
        <v>42736</v>
      </c>
      <c r="R2804" t="s">
        <v>26</v>
      </c>
      <c r="S2804" t="s">
        <v>26</v>
      </c>
      <c r="T2804" t="s">
        <v>26</v>
      </c>
      <c r="U2804" t="s">
        <v>26</v>
      </c>
      <c r="V2804" t="s">
        <v>26</v>
      </c>
      <c r="W2804" s="24">
        <v>41275</v>
      </c>
      <c r="X2804" s="24">
        <v>42736</v>
      </c>
      <c r="Y2804" t="s">
        <v>26</v>
      </c>
      <c r="Z2804" s="24">
        <v>41275</v>
      </c>
      <c r="AA2804" s="24">
        <v>42736</v>
      </c>
      <c r="AB2804" t="s">
        <v>26</v>
      </c>
      <c r="AC2804" s="24">
        <v>41275</v>
      </c>
      <c r="AD2804" s="24">
        <v>42736</v>
      </c>
      <c r="AE2804" t="s">
        <v>26</v>
      </c>
      <c r="AF2804" t="s">
        <v>26</v>
      </c>
      <c r="AG2804" t="s">
        <v>26</v>
      </c>
      <c r="AH2804" t="s">
        <v>26</v>
      </c>
      <c r="AI2804" t="s">
        <v>26</v>
      </c>
      <c r="AJ2804" t="s">
        <v>26</v>
      </c>
      <c r="AK2804" t="s">
        <v>26</v>
      </c>
      <c r="AL2804" t="s">
        <v>26</v>
      </c>
      <c r="AM2804" t="s">
        <v>26</v>
      </c>
      <c r="AN2804" t="s">
        <v>26</v>
      </c>
      <c r="AO2804" s="25" t="s">
        <v>68</v>
      </c>
      <c r="AP2804" s="23" t="s">
        <v>69</v>
      </c>
      <c r="AQ2804" s="23" t="s">
        <v>30</v>
      </c>
      <c r="AR2804" s="23" t="s">
        <v>70</v>
      </c>
      <c r="AS2804" s="25">
        <v>2037377</v>
      </c>
      <c r="AT2804" t="s">
        <v>26</v>
      </c>
      <c r="AU2804" t="s">
        <v>25850</v>
      </c>
    </row>
    <row r="2805" spans="1:47" ht="26.25" x14ac:dyDescent="0.4">
      <c r="A2805" s="23" t="s">
        <v>7205</v>
      </c>
      <c r="B2805" t="s">
        <v>26</v>
      </c>
      <c r="C2805" s="23" t="s">
        <v>294</v>
      </c>
      <c r="D2805" s="23" t="s">
        <v>22179</v>
      </c>
      <c r="E2805" s="23" t="s">
        <v>42</v>
      </c>
      <c r="F2805" t="s">
        <v>26</v>
      </c>
      <c r="G2805" t="s">
        <v>26</v>
      </c>
      <c r="H2805" t="s">
        <v>26</v>
      </c>
      <c r="I2805" s="25" t="s">
        <v>295</v>
      </c>
      <c r="J2805" s="25" t="s">
        <v>295</v>
      </c>
      <c r="K2805" t="s">
        <v>26</v>
      </c>
      <c r="L2805" s="25" t="s">
        <v>28</v>
      </c>
      <c r="M2805" t="s">
        <v>26</v>
      </c>
      <c r="N2805" t="s">
        <v>26</v>
      </c>
      <c r="O2805" t="s">
        <v>26</v>
      </c>
      <c r="P2805" s="25" t="s">
        <v>295</v>
      </c>
      <c r="Q2805" s="25" t="s">
        <v>295</v>
      </c>
      <c r="R2805" t="s">
        <v>26</v>
      </c>
      <c r="S2805" t="s">
        <v>26</v>
      </c>
      <c r="T2805" t="s">
        <v>26</v>
      </c>
      <c r="U2805" t="s">
        <v>26</v>
      </c>
      <c r="V2805" t="s">
        <v>26</v>
      </c>
      <c r="W2805" s="25" t="s">
        <v>295</v>
      </c>
      <c r="X2805" s="25" t="s">
        <v>295</v>
      </c>
      <c r="Y2805" t="s">
        <v>26</v>
      </c>
      <c r="Z2805" s="25" t="s">
        <v>295</v>
      </c>
      <c r="AA2805" s="25" t="s">
        <v>295</v>
      </c>
      <c r="AB2805" t="s">
        <v>26</v>
      </c>
      <c r="AC2805" s="25" t="s">
        <v>295</v>
      </c>
      <c r="AD2805" s="25" t="s">
        <v>295</v>
      </c>
      <c r="AE2805" t="s">
        <v>26</v>
      </c>
      <c r="AF2805" t="s">
        <v>26</v>
      </c>
      <c r="AG2805" t="s">
        <v>26</v>
      </c>
      <c r="AH2805" t="s">
        <v>26</v>
      </c>
      <c r="AI2805" t="s">
        <v>26</v>
      </c>
      <c r="AJ2805" t="s">
        <v>26</v>
      </c>
      <c r="AK2805" t="s">
        <v>26</v>
      </c>
      <c r="AL2805" t="s">
        <v>26</v>
      </c>
      <c r="AM2805" t="s">
        <v>26</v>
      </c>
      <c r="AN2805" t="s">
        <v>26</v>
      </c>
      <c r="AO2805" s="25" t="s">
        <v>28</v>
      </c>
      <c r="AP2805" s="23" t="s">
        <v>29</v>
      </c>
      <c r="AQ2805" s="23" t="s">
        <v>30</v>
      </c>
      <c r="AR2805" s="23" t="s">
        <v>914</v>
      </c>
      <c r="AS2805" s="25">
        <v>5325204</v>
      </c>
      <c r="AT2805" s="23" t="s">
        <v>22181</v>
      </c>
      <c r="AU2805" t="s">
        <v>25851</v>
      </c>
    </row>
    <row r="2806" spans="1:47" ht="26.25" x14ac:dyDescent="0.4">
      <c r="A2806" s="23" t="s">
        <v>7206</v>
      </c>
      <c r="B2806" t="s">
        <v>26</v>
      </c>
      <c r="C2806" s="23" t="s">
        <v>181</v>
      </c>
      <c r="D2806" s="23" t="s">
        <v>22194</v>
      </c>
      <c r="E2806" s="23" t="s">
        <v>60</v>
      </c>
      <c r="F2806" s="25" t="s">
        <v>7207</v>
      </c>
      <c r="G2806" s="25" t="s">
        <v>7208</v>
      </c>
      <c r="H2806" t="s">
        <v>26</v>
      </c>
      <c r="I2806" t="s">
        <v>26</v>
      </c>
      <c r="J2806" t="s">
        <v>26</v>
      </c>
      <c r="K2806" t="s">
        <v>26</v>
      </c>
      <c r="L2806" s="25" t="s">
        <v>68</v>
      </c>
      <c r="M2806" t="s">
        <v>26</v>
      </c>
      <c r="N2806" t="s">
        <v>26</v>
      </c>
      <c r="O2806" t="s">
        <v>26</v>
      </c>
      <c r="P2806" t="s">
        <v>26</v>
      </c>
      <c r="Q2806" t="s">
        <v>26</v>
      </c>
      <c r="R2806" t="s">
        <v>26</v>
      </c>
      <c r="S2806" t="s">
        <v>26</v>
      </c>
      <c r="T2806" t="s">
        <v>26</v>
      </c>
      <c r="U2806" t="s">
        <v>26</v>
      </c>
      <c r="V2806" t="s">
        <v>26</v>
      </c>
      <c r="W2806" s="24">
        <v>36526</v>
      </c>
      <c r="X2806" s="25" t="s">
        <v>77</v>
      </c>
      <c r="Y2806" t="s">
        <v>26</v>
      </c>
      <c r="Z2806" s="24">
        <v>36526</v>
      </c>
      <c r="AA2806" s="25" t="s">
        <v>77</v>
      </c>
      <c r="AB2806" t="s">
        <v>26</v>
      </c>
      <c r="AC2806" s="24">
        <v>36526</v>
      </c>
      <c r="AD2806" s="25" t="s">
        <v>77</v>
      </c>
      <c r="AE2806" t="s">
        <v>26</v>
      </c>
      <c r="AF2806" t="s">
        <v>26</v>
      </c>
      <c r="AG2806" t="s">
        <v>26</v>
      </c>
      <c r="AH2806" t="s">
        <v>26</v>
      </c>
      <c r="AI2806" t="s">
        <v>26</v>
      </c>
      <c r="AJ2806" t="s">
        <v>26</v>
      </c>
      <c r="AK2806" t="s">
        <v>26</v>
      </c>
      <c r="AL2806" t="s">
        <v>26</v>
      </c>
      <c r="AM2806" t="s">
        <v>26</v>
      </c>
      <c r="AN2806" t="s">
        <v>26</v>
      </c>
      <c r="AO2806" s="25" t="s">
        <v>28</v>
      </c>
      <c r="AP2806" s="23" t="s">
        <v>69</v>
      </c>
      <c r="AQ2806" s="23" t="s">
        <v>30</v>
      </c>
      <c r="AR2806" s="23" t="s">
        <v>7209</v>
      </c>
      <c r="AS2806" s="25">
        <v>186140</v>
      </c>
      <c r="AT2806" t="s">
        <v>26</v>
      </c>
      <c r="AU2806" t="s">
        <v>25852</v>
      </c>
    </row>
    <row r="2807" spans="1:47" ht="26.25" x14ac:dyDescent="0.4">
      <c r="A2807" s="23" t="s">
        <v>7210</v>
      </c>
      <c r="B2807" t="s">
        <v>26</v>
      </c>
      <c r="C2807" s="23" t="s">
        <v>23248</v>
      </c>
      <c r="D2807" s="23" t="s">
        <v>23156</v>
      </c>
      <c r="E2807" s="23" t="s">
        <v>42</v>
      </c>
      <c r="F2807" t="s">
        <v>26</v>
      </c>
      <c r="G2807" t="s">
        <v>26</v>
      </c>
      <c r="H2807" t="s">
        <v>26</v>
      </c>
      <c r="I2807" s="24">
        <v>41275</v>
      </c>
      <c r="J2807" s="24">
        <v>42005</v>
      </c>
      <c r="K2807" t="s">
        <v>26</v>
      </c>
      <c r="L2807" s="25" t="s">
        <v>28</v>
      </c>
      <c r="M2807" s="24">
        <v>41275</v>
      </c>
      <c r="N2807" s="24">
        <v>42005</v>
      </c>
      <c r="O2807" t="s">
        <v>26</v>
      </c>
      <c r="P2807" t="s">
        <v>26</v>
      </c>
      <c r="Q2807" t="s">
        <v>26</v>
      </c>
      <c r="R2807" t="s">
        <v>26</v>
      </c>
      <c r="S2807" s="24">
        <v>41275</v>
      </c>
      <c r="T2807" s="24">
        <v>42005</v>
      </c>
      <c r="U2807" t="s">
        <v>26</v>
      </c>
      <c r="V2807" t="s">
        <v>26</v>
      </c>
      <c r="W2807" s="24">
        <v>41275</v>
      </c>
      <c r="X2807" s="24">
        <v>42005</v>
      </c>
      <c r="Y2807" t="s">
        <v>26</v>
      </c>
      <c r="Z2807" s="24">
        <v>41275</v>
      </c>
      <c r="AA2807" s="24">
        <v>42005</v>
      </c>
      <c r="AB2807" t="s">
        <v>26</v>
      </c>
      <c r="AC2807" s="24">
        <v>41275</v>
      </c>
      <c r="AD2807" s="24">
        <v>42005</v>
      </c>
      <c r="AE2807" t="s">
        <v>26</v>
      </c>
      <c r="AF2807" s="24">
        <v>41275</v>
      </c>
      <c r="AG2807" s="24">
        <v>42005</v>
      </c>
      <c r="AH2807" t="s">
        <v>26</v>
      </c>
      <c r="AI2807" s="24">
        <v>41275</v>
      </c>
      <c r="AJ2807" s="24">
        <v>42005</v>
      </c>
      <c r="AK2807" t="s">
        <v>26</v>
      </c>
      <c r="AL2807" t="s">
        <v>26</v>
      </c>
      <c r="AM2807" t="s">
        <v>26</v>
      </c>
      <c r="AN2807" t="s">
        <v>26</v>
      </c>
      <c r="AO2807" s="25" t="s">
        <v>28</v>
      </c>
      <c r="AP2807" s="23" t="s">
        <v>43</v>
      </c>
      <c r="AQ2807" s="23" t="s">
        <v>30</v>
      </c>
      <c r="AR2807" s="23" t="s">
        <v>46</v>
      </c>
      <c r="AS2807" s="25">
        <v>6364582</v>
      </c>
      <c r="AT2807" t="s">
        <v>26</v>
      </c>
      <c r="AU2807" t="s">
        <v>25853</v>
      </c>
    </row>
    <row r="2808" spans="1:47" ht="26.25" x14ac:dyDescent="0.4">
      <c r="A2808" s="23" t="s">
        <v>7211</v>
      </c>
      <c r="B2808" t="s">
        <v>26</v>
      </c>
      <c r="C2808" s="23" t="s">
        <v>2241</v>
      </c>
      <c r="D2808" t="s">
        <v>26</v>
      </c>
      <c r="E2808" s="23" t="s">
        <v>42</v>
      </c>
      <c r="F2808" t="s">
        <v>26</v>
      </c>
      <c r="G2808" t="s">
        <v>26</v>
      </c>
      <c r="H2808" t="s">
        <v>26</v>
      </c>
      <c r="I2808" s="24">
        <v>40909</v>
      </c>
      <c r="J2808" s="24">
        <v>40909</v>
      </c>
      <c r="K2808" t="s">
        <v>26</v>
      </c>
      <c r="L2808" s="25" t="s">
        <v>28</v>
      </c>
      <c r="M2808" s="24">
        <v>40909</v>
      </c>
      <c r="N2808" s="24">
        <v>40909</v>
      </c>
      <c r="O2808" t="s">
        <v>26</v>
      </c>
      <c r="P2808" t="s">
        <v>26</v>
      </c>
      <c r="Q2808" t="s">
        <v>26</v>
      </c>
      <c r="R2808" t="s">
        <v>26</v>
      </c>
      <c r="S2808" s="24">
        <v>40909</v>
      </c>
      <c r="T2808" s="24">
        <v>40909</v>
      </c>
      <c r="U2808" t="s">
        <v>26</v>
      </c>
      <c r="V2808" t="s">
        <v>26</v>
      </c>
      <c r="W2808" s="24">
        <v>40909</v>
      </c>
      <c r="X2808" s="24">
        <v>40909</v>
      </c>
      <c r="Y2808" t="s">
        <v>26</v>
      </c>
      <c r="Z2808" s="24">
        <v>40909</v>
      </c>
      <c r="AA2808" s="24">
        <v>40909</v>
      </c>
      <c r="AB2808" t="s">
        <v>26</v>
      </c>
      <c r="AC2808" s="24">
        <v>40909</v>
      </c>
      <c r="AD2808" s="24">
        <v>40909</v>
      </c>
      <c r="AE2808" t="s">
        <v>26</v>
      </c>
      <c r="AF2808" s="24">
        <v>40909</v>
      </c>
      <c r="AG2808" s="24">
        <v>40909</v>
      </c>
      <c r="AH2808" t="s">
        <v>26</v>
      </c>
      <c r="AI2808" s="24">
        <v>40909</v>
      </c>
      <c r="AJ2808" s="24">
        <v>40909</v>
      </c>
      <c r="AK2808" t="s">
        <v>26</v>
      </c>
      <c r="AL2808" t="s">
        <v>26</v>
      </c>
      <c r="AM2808" t="s">
        <v>26</v>
      </c>
      <c r="AN2808" t="s">
        <v>26</v>
      </c>
      <c r="AO2808" s="25" t="s">
        <v>28</v>
      </c>
      <c r="AP2808" s="23" t="s">
        <v>43</v>
      </c>
      <c r="AQ2808" s="23" t="s">
        <v>30</v>
      </c>
      <c r="AR2808" s="23" t="s">
        <v>44</v>
      </c>
      <c r="AS2808" s="25">
        <v>5262112</v>
      </c>
      <c r="AT2808" t="s">
        <v>26</v>
      </c>
      <c r="AU2808" t="s">
        <v>25854</v>
      </c>
    </row>
    <row r="2809" spans="1:47" ht="26.25" x14ac:dyDescent="0.4">
      <c r="A2809" s="23" t="s">
        <v>7212</v>
      </c>
      <c r="B2809" t="s">
        <v>26</v>
      </c>
      <c r="C2809" s="23" t="s">
        <v>1979</v>
      </c>
      <c r="D2809" s="23" t="s">
        <v>22222</v>
      </c>
      <c r="E2809" s="23" t="s">
        <v>711</v>
      </c>
      <c r="F2809" s="25" t="s">
        <v>7213</v>
      </c>
      <c r="G2809" s="25" t="s">
        <v>7214</v>
      </c>
      <c r="H2809" t="s">
        <v>26</v>
      </c>
      <c r="I2809" t="s">
        <v>26</v>
      </c>
      <c r="J2809" t="s">
        <v>26</v>
      </c>
      <c r="K2809" t="s">
        <v>26</v>
      </c>
      <c r="L2809" s="25" t="s">
        <v>68</v>
      </c>
      <c r="M2809" t="s">
        <v>26</v>
      </c>
      <c r="N2809" t="s">
        <v>26</v>
      </c>
      <c r="O2809" t="s">
        <v>26</v>
      </c>
      <c r="P2809" t="s">
        <v>26</v>
      </c>
      <c r="Q2809" t="s">
        <v>26</v>
      </c>
      <c r="R2809" t="s">
        <v>26</v>
      </c>
      <c r="S2809" t="s">
        <v>26</v>
      </c>
      <c r="T2809" t="s">
        <v>26</v>
      </c>
      <c r="U2809" t="s">
        <v>26</v>
      </c>
      <c r="V2809" t="s">
        <v>26</v>
      </c>
      <c r="W2809" s="24">
        <v>33604</v>
      </c>
      <c r="X2809" s="24">
        <v>42675</v>
      </c>
      <c r="Y2809" t="s">
        <v>26</v>
      </c>
      <c r="Z2809" s="24">
        <v>33604</v>
      </c>
      <c r="AA2809" s="24">
        <v>42675</v>
      </c>
      <c r="AB2809" t="s">
        <v>26</v>
      </c>
      <c r="AC2809" s="24">
        <v>33604</v>
      </c>
      <c r="AD2809" s="24">
        <v>42675</v>
      </c>
      <c r="AE2809" t="s">
        <v>26</v>
      </c>
      <c r="AF2809" t="s">
        <v>26</v>
      </c>
      <c r="AG2809" t="s">
        <v>26</v>
      </c>
      <c r="AH2809" t="s">
        <v>26</v>
      </c>
      <c r="AI2809" t="s">
        <v>26</v>
      </c>
      <c r="AJ2809" t="s">
        <v>26</v>
      </c>
      <c r="AK2809" t="s">
        <v>26</v>
      </c>
      <c r="AL2809" t="s">
        <v>26</v>
      </c>
      <c r="AM2809" t="s">
        <v>26</v>
      </c>
      <c r="AN2809" t="s">
        <v>26</v>
      </c>
      <c r="AO2809" s="25" t="s">
        <v>68</v>
      </c>
      <c r="AP2809" s="23" t="s">
        <v>69</v>
      </c>
      <c r="AQ2809" s="23" t="s">
        <v>30</v>
      </c>
      <c r="AR2809" s="23" t="s">
        <v>70</v>
      </c>
      <c r="AS2809" s="25">
        <v>9837</v>
      </c>
      <c r="AT2809" t="s">
        <v>26</v>
      </c>
      <c r="AU2809" t="s">
        <v>25855</v>
      </c>
    </row>
    <row r="2810" spans="1:47" ht="39.4" x14ac:dyDescent="0.4">
      <c r="A2810" s="23" t="s">
        <v>7215</v>
      </c>
      <c r="B2810" t="s">
        <v>26</v>
      </c>
      <c r="C2810" s="23" t="s">
        <v>7216</v>
      </c>
      <c r="D2810" s="23" t="s">
        <v>25217</v>
      </c>
      <c r="E2810" s="23" t="s">
        <v>328</v>
      </c>
      <c r="F2810" s="25" t="s">
        <v>7217</v>
      </c>
      <c r="G2810" s="25" t="s">
        <v>7218</v>
      </c>
      <c r="H2810" t="s">
        <v>26</v>
      </c>
      <c r="I2810" s="24">
        <v>40544</v>
      </c>
      <c r="J2810" s="25" t="s">
        <v>77</v>
      </c>
      <c r="K2810" t="s">
        <v>26</v>
      </c>
      <c r="L2810" s="25" t="s">
        <v>68</v>
      </c>
      <c r="M2810" t="s">
        <v>26</v>
      </c>
      <c r="N2810" t="s">
        <v>26</v>
      </c>
      <c r="O2810" t="s">
        <v>26</v>
      </c>
      <c r="P2810" s="24">
        <v>40544</v>
      </c>
      <c r="Q2810" s="25" t="s">
        <v>77</v>
      </c>
      <c r="R2810" t="s">
        <v>26</v>
      </c>
      <c r="S2810" t="s">
        <v>26</v>
      </c>
      <c r="T2810" t="s">
        <v>26</v>
      </c>
      <c r="U2810" t="s">
        <v>26</v>
      </c>
      <c r="V2810" t="s">
        <v>26</v>
      </c>
      <c r="W2810" s="24">
        <v>40544</v>
      </c>
      <c r="X2810" s="25" t="s">
        <v>77</v>
      </c>
      <c r="Y2810" t="s">
        <v>26</v>
      </c>
      <c r="Z2810" s="24">
        <v>40544</v>
      </c>
      <c r="AA2810" s="25" t="s">
        <v>77</v>
      </c>
      <c r="AB2810" t="s">
        <v>26</v>
      </c>
      <c r="AC2810" s="24">
        <v>40544</v>
      </c>
      <c r="AD2810" s="25" t="s">
        <v>77</v>
      </c>
      <c r="AE2810" t="s">
        <v>26</v>
      </c>
      <c r="AF2810" t="s">
        <v>26</v>
      </c>
      <c r="AG2810" t="s">
        <v>26</v>
      </c>
      <c r="AH2810" t="s">
        <v>26</v>
      </c>
      <c r="AI2810" t="s">
        <v>26</v>
      </c>
      <c r="AJ2810" t="s">
        <v>26</v>
      </c>
      <c r="AK2810" t="s">
        <v>26</v>
      </c>
      <c r="AL2810" t="s">
        <v>26</v>
      </c>
      <c r="AM2810" t="s">
        <v>26</v>
      </c>
      <c r="AN2810" t="s">
        <v>26</v>
      </c>
      <c r="AO2810" s="25" t="s">
        <v>68</v>
      </c>
      <c r="AP2810" s="23" t="s">
        <v>69</v>
      </c>
      <c r="AQ2810" s="23" t="s">
        <v>30</v>
      </c>
      <c r="AR2810" s="23" t="s">
        <v>70</v>
      </c>
      <c r="AS2810" s="25">
        <v>2035003</v>
      </c>
      <c r="AT2810" t="s">
        <v>26</v>
      </c>
      <c r="AU2810" t="s">
        <v>25856</v>
      </c>
    </row>
    <row r="2811" spans="1:47" ht="26.25" x14ac:dyDescent="0.4">
      <c r="A2811" s="23" t="s">
        <v>7219</v>
      </c>
      <c r="B2811" t="s">
        <v>26</v>
      </c>
      <c r="C2811" s="23" t="s">
        <v>24080</v>
      </c>
      <c r="D2811" s="23" t="s">
        <v>22634</v>
      </c>
      <c r="E2811" s="23" t="s">
        <v>42</v>
      </c>
      <c r="F2811" t="s">
        <v>26</v>
      </c>
      <c r="G2811" t="s">
        <v>26</v>
      </c>
      <c r="H2811" t="s">
        <v>26</v>
      </c>
      <c r="I2811" s="24">
        <v>33970</v>
      </c>
      <c r="J2811" s="24">
        <v>40909</v>
      </c>
      <c r="K2811" t="s">
        <v>26</v>
      </c>
      <c r="L2811" s="25" t="s">
        <v>28</v>
      </c>
      <c r="M2811" s="24">
        <v>33970</v>
      </c>
      <c r="N2811" s="24">
        <v>40909</v>
      </c>
      <c r="O2811" t="s">
        <v>26</v>
      </c>
      <c r="P2811" t="s">
        <v>26</v>
      </c>
      <c r="Q2811" t="s">
        <v>26</v>
      </c>
      <c r="R2811" t="s">
        <v>26</v>
      </c>
      <c r="S2811" s="24">
        <v>33970</v>
      </c>
      <c r="T2811" s="24">
        <v>40909</v>
      </c>
      <c r="U2811" t="s">
        <v>26</v>
      </c>
      <c r="V2811" t="s">
        <v>26</v>
      </c>
      <c r="W2811" s="24">
        <v>33970</v>
      </c>
      <c r="X2811" s="24">
        <v>40909</v>
      </c>
      <c r="Y2811" t="s">
        <v>26</v>
      </c>
      <c r="Z2811" s="24">
        <v>33970</v>
      </c>
      <c r="AA2811" s="24">
        <v>40909</v>
      </c>
      <c r="AB2811" t="s">
        <v>26</v>
      </c>
      <c r="AC2811" s="24">
        <v>33970</v>
      </c>
      <c r="AD2811" s="24">
        <v>40909</v>
      </c>
      <c r="AE2811" t="s">
        <v>26</v>
      </c>
      <c r="AF2811" s="24">
        <v>33970</v>
      </c>
      <c r="AG2811" s="24">
        <v>40909</v>
      </c>
      <c r="AH2811" t="s">
        <v>26</v>
      </c>
      <c r="AI2811" s="24">
        <v>33970</v>
      </c>
      <c r="AJ2811" s="24">
        <v>40909</v>
      </c>
      <c r="AK2811" t="s">
        <v>26</v>
      </c>
      <c r="AL2811" t="s">
        <v>26</v>
      </c>
      <c r="AM2811" t="s">
        <v>26</v>
      </c>
      <c r="AN2811" t="s">
        <v>26</v>
      </c>
      <c r="AO2811" s="25" t="s">
        <v>28</v>
      </c>
      <c r="AP2811" s="23" t="s">
        <v>43</v>
      </c>
      <c r="AQ2811" s="23" t="s">
        <v>30</v>
      </c>
      <c r="AR2811" s="23" t="s">
        <v>46</v>
      </c>
      <c r="AS2811" s="25">
        <v>6364581</v>
      </c>
      <c r="AT2811" t="s">
        <v>26</v>
      </c>
      <c r="AU2811" t="s">
        <v>25857</v>
      </c>
    </row>
    <row r="2812" spans="1:47" ht="26.25" x14ac:dyDescent="0.4">
      <c r="A2812" s="23" t="s">
        <v>7220</v>
      </c>
      <c r="B2812" t="s">
        <v>26</v>
      </c>
      <c r="C2812" t="s">
        <v>26</v>
      </c>
      <c r="D2812" t="s">
        <v>26</v>
      </c>
      <c r="E2812" t="s">
        <v>26</v>
      </c>
      <c r="F2812" t="s">
        <v>26</v>
      </c>
      <c r="G2812" t="s">
        <v>26</v>
      </c>
      <c r="H2812" t="s">
        <v>26</v>
      </c>
      <c r="I2812" s="25" t="s">
        <v>25858</v>
      </c>
      <c r="J2812" s="25" t="s">
        <v>25858</v>
      </c>
      <c r="K2812" t="s">
        <v>26</v>
      </c>
      <c r="L2812" s="25" t="s">
        <v>28</v>
      </c>
      <c r="M2812" s="25" t="s">
        <v>25858</v>
      </c>
      <c r="N2812" s="25" t="s">
        <v>25858</v>
      </c>
      <c r="O2812" t="s">
        <v>26</v>
      </c>
      <c r="P2812" t="s">
        <v>26</v>
      </c>
      <c r="Q2812" t="s">
        <v>26</v>
      </c>
      <c r="R2812" t="s">
        <v>26</v>
      </c>
      <c r="S2812" t="s">
        <v>26</v>
      </c>
      <c r="T2812" t="s">
        <v>26</v>
      </c>
      <c r="U2812" t="s">
        <v>26</v>
      </c>
      <c r="V2812" t="s">
        <v>26</v>
      </c>
      <c r="W2812" s="25" t="s">
        <v>25858</v>
      </c>
      <c r="X2812" s="25" t="s">
        <v>25858</v>
      </c>
      <c r="Y2812" t="s">
        <v>26</v>
      </c>
      <c r="Z2812" s="25" t="s">
        <v>25858</v>
      </c>
      <c r="AA2812" s="25" t="s">
        <v>25858</v>
      </c>
      <c r="AB2812" t="s">
        <v>26</v>
      </c>
      <c r="AC2812" s="25" t="s">
        <v>25858</v>
      </c>
      <c r="AD2812" s="25" t="s">
        <v>25858</v>
      </c>
      <c r="AE2812" t="s">
        <v>26</v>
      </c>
      <c r="AF2812" t="s">
        <v>26</v>
      </c>
      <c r="AG2812" t="s">
        <v>26</v>
      </c>
      <c r="AH2812" t="s">
        <v>26</v>
      </c>
      <c r="AI2812" t="s">
        <v>26</v>
      </c>
      <c r="AJ2812" t="s">
        <v>26</v>
      </c>
      <c r="AK2812" t="s">
        <v>26</v>
      </c>
      <c r="AL2812" t="s">
        <v>26</v>
      </c>
      <c r="AM2812" t="s">
        <v>26</v>
      </c>
      <c r="AN2812" t="s">
        <v>26</v>
      </c>
      <c r="AO2812" s="25" t="s">
        <v>28</v>
      </c>
      <c r="AP2812" s="23" t="s">
        <v>45</v>
      </c>
      <c r="AQ2812" s="23" t="s">
        <v>30</v>
      </c>
      <c r="AR2812" s="23" t="s">
        <v>46</v>
      </c>
      <c r="AS2812" s="25">
        <v>5983361</v>
      </c>
      <c r="AT2812" t="s">
        <v>26</v>
      </c>
      <c r="AU2812" t="s">
        <v>25859</v>
      </c>
    </row>
    <row r="2813" spans="1:47" ht="39.4" x14ac:dyDescent="0.4">
      <c r="A2813" s="23" t="s">
        <v>7221</v>
      </c>
      <c r="B2813" t="s">
        <v>26</v>
      </c>
      <c r="C2813" s="23" t="s">
        <v>7222</v>
      </c>
      <c r="D2813" s="23" t="s">
        <v>25019</v>
      </c>
      <c r="E2813" s="23" t="s">
        <v>526</v>
      </c>
      <c r="F2813" s="25" t="s">
        <v>7223</v>
      </c>
      <c r="G2813" t="s">
        <v>26</v>
      </c>
      <c r="H2813" t="s">
        <v>26</v>
      </c>
      <c r="I2813" s="24">
        <v>40269</v>
      </c>
      <c r="J2813" s="25" t="s">
        <v>77</v>
      </c>
      <c r="K2813" t="s">
        <v>26</v>
      </c>
      <c r="L2813" s="25" t="s">
        <v>68</v>
      </c>
      <c r="M2813" s="24">
        <v>40269</v>
      </c>
      <c r="N2813" s="24">
        <v>43009</v>
      </c>
      <c r="O2813" t="s">
        <v>26</v>
      </c>
      <c r="P2813" s="24">
        <v>40269</v>
      </c>
      <c r="Q2813" s="25" t="s">
        <v>77</v>
      </c>
      <c r="R2813" t="s">
        <v>26</v>
      </c>
      <c r="S2813" t="s">
        <v>26</v>
      </c>
      <c r="T2813" t="s">
        <v>26</v>
      </c>
      <c r="U2813" t="s">
        <v>26</v>
      </c>
      <c r="V2813" t="s">
        <v>26</v>
      </c>
      <c r="W2813" s="24">
        <v>40269</v>
      </c>
      <c r="X2813" s="25" t="s">
        <v>77</v>
      </c>
      <c r="Y2813" t="s">
        <v>26</v>
      </c>
      <c r="Z2813" s="24">
        <v>40269</v>
      </c>
      <c r="AA2813" s="25" t="s">
        <v>77</v>
      </c>
      <c r="AB2813" t="s">
        <v>26</v>
      </c>
      <c r="AC2813" s="24">
        <v>40269</v>
      </c>
      <c r="AD2813" s="25" t="s">
        <v>77</v>
      </c>
      <c r="AE2813" s="25" t="s">
        <v>25860</v>
      </c>
      <c r="AF2813" t="s">
        <v>26</v>
      </c>
      <c r="AG2813" t="s">
        <v>26</v>
      </c>
      <c r="AH2813" t="s">
        <v>26</v>
      </c>
      <c r="AI2813" t="s">
        <v>26</v>
      </c>
      <c r="AJ2813" t="s">
        <v>26</v>
      </c>
      <c r="AK2813" t="s">
        <v>26</v>
      </c>
      <c r="AL2813" t="s">
        <v>26</v>
      </c>
      <c r="AM2813" t="s">
        <v>26</v>
      </c>
      <c r="AN2813" t="s">
        <v>26</v>
      </c>
      <c r="AO2813" s="25" t="s">
        <v>68</v>
      </c>
      <c r="AP2813" s="23" t="s">
        <v>69</v>
      </c>
      <c r="AQ2813" s="23" t="s">
        <v>528</v>
      </c>
      <c r="AR2813" s="23" t="s">
        <v>70</v>
      </c>
      <c r="AS2813" s="25">
        <v>135338</v>
      </c>
      <c r="AT2813" t="s">
        <v>26</v>
      </c>
      <c r="AU2813" t="s">
        <v>25861</v>
      </c>
    </row>
    <row r="2814" spans="1:47" ht="26.25" x14ac:dyDescent="0.4">
      <c r="A2814" s="23" t="s">
        <v>7224</v>
      </c>
      <c r="B2814" t="s">
        <v>26</v>
      </c>
      <c r="C2814" s="23" t="s">
        <v>7225</v>
      </c>
      <c r="D2814" s="23" t="s">
        <v>25019</v>
      </c>
      <c r="E2814" s="23" t="s">
        <v>526</v>
      </c>
      <c r="F2814" s="25" t="s">
        <v>7226</v>
      </c>
      <c r="G2814" t="s">
        <v>26</v>
      </c>
      <c r="H2814" t="s">
        <v>26</v>
      </c>
      <c r="I2814" s="24">
        <v>38504</v>
      </c>
      <c r="J2814" s="25" t="s">
        <v>77</v>
      </c>
      <c r="K2814" t="s">
        <v>26</v>
      </c>
      <c r="L2814" s="25" t="s">
        <v>68</v>
      </c>
      <c r="M2814" s="24">
        <v>38504</v>
      </c>
      <c r="N2814" s="25" t="s">
        <v>77</v>
      </c>
      <c r="O2814" t="s">
        <v>26</v>
      </c>
      <c r="P2814" s="24">
        <v>38504</v>
      </c>
      <c r="Q2814" s="25" t="s">
        <v>77</v>
      </c>
      <c r="R2814" t="s">
        <v>26</v>
      </c>
      <c r="S2814" t="s">
        <v>26</v>
      </c>
      <c r="T2814" t="s">
        <v>26</v>
      </c>
      <c r="U2814" t="s">
        <v>26</v>
      </c>
      <c r="V2814" t="s">
        <v>26</v>
      </c>
      <c r="W2814" s="24">
        <v>38504</v>
      </c>
      <c r="X2814" s="25" t="s">
        <v>77</v>
      </c>
      <c r="Y2814" t="s">
        <v>26</v>
      </c>
      <c r="Z2814" s="24">
        <v>38504</v>
      </c>
      <c r="AA2814" s="25" t="s">
        <v>77</v>
      </c>
      <c r="AB2814" t="s">
        <v>26</v>
      </c>
      <c r="AC2814" s="24">
        <v>38869</v>
      </c>
      <c r="AD2814" s="25" t="s">
        <v>77</v>
      </c>
      <c r="AE2814" t="s">
        <v>26</v>
      </c>
      <c r="AF2814" t="s">
        <v>26</v>
      </c>
      <c r="AG2814" t="s">
        <v>26</v>
      </c>
      <c r="AH2814" t="s">
        <v>26</v>
      </c>
      <c r="AI2814" t="s">
        <v>26</v>
      </c>
      <c r="AJ2814" t="s">
        <v>26</v>
      </c>
      <c r="AK2814" t="s">
        <v>26</v>
      </c>
      <c r="AL2814" t="s">
        <v>26</v>
      </c>
      <c r="AM2814" t="s">
        <v>26</v>
      </c>
      <c r="AN2814" t="s">
        <v>26</v>
      </c>
      <c r="AO2814" s="25" t="s">
        <v>68</v>
      </c>
      <c r="AP2814" s="23" t="s">
        <v>69</v>
      </c>
      <c r="AQ2814" s="23" t="s">
        <v>30</v>
      </c>
      <c r="AR2814" s="23" t="s">
        <v>46</v>
      </c>
      <c r="AS2814" s="25">
        <v>28562</v>
      </c>
      <c r="AT2814" t="s">
        <v>26</v>
      </c>
      <c r="AU2814" t="s">
        <v>25862</v>
      </c>
    </row>
    <row r="2815" spans="1:47" ht="26.25" x14ac:dyDescent="0.4">
      <c r="A2815" s="23" t="s">
        <v>7227</v>
      </c>
      <c r="B2815" t="s">
        <v>26</v>
      </c>
      <c r="C2815" s="23" t="s">
        <v>7225</v>
      </c>
      <c r="D2815" s="23" t="s">
        <v>25019</v>
      </c>
      <c r="E2815" s="23" t="s">
        <v>526</v>
      </c>
      <c r="F2815" s="25" t="s">
        <v>7228</v>
      </c>
      <c r="G2815" t="s">
        <v>26</v>
      </c>
      <c r="H2815" t="s">
        <v>26</v>
      </c>
      <c r="I2815" s="24">
        <v>40179</v>
      </c>
      <c r="J2815" s="25" t="s">
        <v>77</v>
      </c>
      <c r="K2815" s="25" t="s">
        <v>4562</v>
      </c>
      <c r="L2815" s="25" t="s">
        <v>68</v>
      </c>
      <c r="M2815" s="24">
        <v>40179</v>
      </c>
      <c r="N2815" s="25" t="s">
        <v>77</v>
      </c>
      <c r="O2815" s="25" t="s">
        <v>4562</v>
      </c>
      <c r="P2815" s="24">
        <v>40179</v>
      </c>
      <c r="Q2815" s="25" t="s">
        <v>77</v>
      </c>
      <c r="R2815" s="25" t="s">
        <v>4562</v>
      </c>
      <c r="S2815" t="s">
        <v>26</v>
      </c>
      <c r="T2815" t="s">
        <v>26</v>
      </c>
      <c r="U2815" t="s">
        <v>26</v>
      </c>
      <c r="V2815" t="s">
        <v>26</v>
      </c>
      <c r="W2815" s="24">
        <v>40179</v>
      </c>
      <c r="X2815" s="25" t="s">
        <v>77</v>
      </c>
      <c r="Y2815" s="25" t="s">
        <v>4562</v>
      </c>
      <c r="Z2815" s="24">
        <v>40179</v>
      </c>
      <c r="AA2815" s="25" t="s">
        <v>77</v>
      </c>
      <c r="AB2815" s="25" t="s">
        <v>4562</v>
      </c>
      <c r="AC2815" s="24">
        <v>43070</v>
      </c>
      <c r="AD2815" s="25" t="s">
        <v>77</v>
      </c>
      <c r="AE2815" t="s">
        <v>26</v>
      </c>
      <c r="AF2815" t="s">
        <v>26</v>
      </c>
      <c r="AG2815" t="s">
        <v>26</v>
      </c>
      <c r="AH2815" t="s">
        <v>26</v>
      </c>
      <c r="AI2815" t="s">
        <v>26</v>
      </c>
      <c r="AJ2815" t="s">
        <v>26</v>
      </c>
      <c r="AK2815" t="s">
        <v>26</v>
      </c>
      <c r="AL2815" t="s">
        <v>26</v>
      </c>
      <c r="AM2815" t="s">
        <v>26</v>
      </c>
      <c r="AN2815" t="s">
        <v>26</v>
      </c>
      <c r="AO2815" s="25" t="s">
        <v>68</v>
      </c>
      <c r="AP2815" s="23" t="s">
        <v>69</v>
      </c>
      <c r="AQ2815" s="23" t="s">
        <v>528</v>
      </c>
      <c r="AR2815" s="23" t="s">
        <v>46</v>
      </c>
      <c r="AS2815" s="25">
        <v>296200</v>
      </c>
      <c r="AT2815" t="s">
        <v>26</v>
      </c>
      <c r="AU2815" t="s">
        <v>25863</v>
      </c>
    </row>
    <row r="2816" spans="1:47" ht="26.25" x14ac:dyDescent="0.4">
      <c r="A2816" s="23" t="s">
        <v>25864</v>
      </c>
      <c r="B2816" t="s">
        <v>26</v>
      </c>
      <c r="C2816" t="s">
        <v>26</v>
      </c>
      <c r="D2816" t="s">
        <v>26</v>
      </c>
      <c r="E2816" t="s">
        <v>26</v>
      </c>
      <c r="F2816" t="s">
        <v>26</v>
      </c>
      <c r="G2816" t="s">
        <v>26</v>
      </c>
      <c r="H2816" t="s">
        <v>26</v>
      </c>
      <c r="I2816" s="25" t="s">
        <v>25865</v>
      </c>
      <c r="J2816" s="25" t="s">
        <v>25865</v>
      </c>
      <c r="K2816" t="s">
        <v>26</v>
      </c>
      <c r="L2816" s="25" t="s">
        <v>28</v>
      </c>
      <c r="M2816" s="25" t="s">
        <v>25865</v>
      </c>
      <c r="N2816" s="25" t="s">
        <v>25865</v>
      </c>
      <c r="O2816" t="s">
        <v>26</v>
      </c>
      <c r="P2816" t="s">
        <v>26</v>
      </c>
      <c r="Q2816" t="s">
        <v>26</v>
      </c>
      <c r="R2816" t="s">
        <v>26</v>
      </c>
      <c r="S2816" t="s">
        <v>26</v>
      </c>
      <c r="T2816" t="s">
        <v>26</v>
      </c>
      <c r="U2816" t="s">
        <v>26</v>
      </c>
      <c r="V2816" t="s">
        <v>26</v>
      </c>
      <c r="W2816" s="25" t="s">
        <v>25865</v>
      </c>
      <c r="X2816" s="25" t="s">
        <v>25865</v>
      </c>
      <c r="Y2816" t="s">
        <v>26</v>
      </c>
      <c r="Z2816" s="25" t="s">
        <v>25865</v>
      </c>
      <c r="AA2816" s="25" t="s">
        <v>25865</v>
      </c>
      <c r="AB2816" t="s">
        <v>26</v>
      </c>
      <c r="AC2816" s="25" t="s">
        <v>25865</v>
      </c>
      <c r="AD2816" s="25" t="s">
        <v>25865</v>
      </c>
      <c r="AE2816" t="s">
        <v>26</v>
      </c>
      <c r="AF2816" t="s">
        <v>26</v>
      </c>
      <c r="AG2816" t="s">
        <v>26</v>
      </c>
      <c r="AH2816" t="s">
        <v>26</v>
      </c>
      <c r="AI2816" t="s">
        <v>26</v>
      </c>
      <c r="AJ2816" t="s">
        <v>26</v>
      </c>
      <c r="AK2816" t="s">
        <v>26</v>
      </c>
      <c r="AL2816" t="s">
        <v>26</v>
      </c>
      <c r="AM2816" t="s">
        <v>26</v>
      </c>
      <c r="AN2816" t="s">
        <v>26</v>
      </c>
      <c r="AO2816" s="25" t="s">
        <v>28</v>
      </c>
      <c r="AP2816" s="23" t="s">
        <v>45</v>
      </c>
      <c r="AQ2816" s="23" t="s">
        <v>30</v>
      </c>
      <c r="AR2816" s="23" t="s">
        <v>46</v>
      </c>
      <c r="AS2816" s="25">
        <v>5983344</v>
      </c>
      <c r="AT2816" t="s">
        <v>26</v>
      </c>
      <c r="AU2816" t="s">
        <v>25866</v>
      </c>
    </row>
    <row r="2817" spans="1:47" ht="26.25" x14ac:dyDescent="0.4">
      <c r="A2817" s="23" t="s">
        <v>7229</v>
      </c>
      <c r="B2817" t="s">
        <v>26</v>
      </c>
      <c r="C2817" s="23" t="s">
        <v>7230</v>
      </c>
      <c r="D2817" s="23" t="s">
        <v>22832</v>
      </c>
      <c r="E2817" s="23" t="s">
        <v>42</v>
      </c>
      <c r="F2817" s="25" t="s">
        <v>7231</v>
      </c>
      <c r="G2817" s="25" t="s">
        <v>7232</v>
      </c>
      <c r="H2817" t="s">
        <v>26</v>
      </c>
      <c r="I2817" s="24">
        <v>35612</v>
      </c>
      <c r="J2817" s="24">
        <v>42644</v>
      </c>
      <c r="K2817" t="s">
        <v>26</v>
      </c>
      <c r="L2817" s="25" t="s">
        <v>68</v>
      </c>
      <c r="M2817" s="24">
        <v>35612</v>
      </c>
      <c r="N2817" s="24">
        <v>42644</v>
      </c>
      <c r="O2817" t="s">
        <v>26</v>
      </c>
      <c r="P2817" s="24">
        <v>35612</v>
      </c>
      <c r="Q2817" s="24">
        <v>42644</v>
      </c>
      <c r="R2817" t="s">
        <v>26</v>
      </c>
      <c r="S2817" t="s">
        <v>26</v>
      </c>
      <c r="T2817" t="s">
        <v>26</v>
      </c>
      <c r="U2817" t="s">
        <v>26</v>
      </c>
      <c r="V2817" t="s">
        <v>26</v>
      </c>
      <c r="W2817" s="24">
        <v>35612</v>
      </c>
      <c r="X2817" s="24">
        <v>42644</v>
      </c>
      <c r="Y2817" t="s">
        <v>26</v>
      </c>
      <c r="Z2817" s="24">
        <v>35612</v>
      </c>
      <c r="AA2817" s="24">
        <v>42644</v>
      </c>
      <c r="AB2817" t="s">
        <v>26</v>
      </c>
      <c r="AC2817" s="24">
        <v>35612</v>
      </c>
      <c r="AD2817" s="24">
        <v>42644</v>
      </c>
      <c r="AE2817" t="s">
        <v>26</v>
      </c>
      <c r="AF2817" t="s">
        <v>26</v>
      </c>
      <c r="AG2817" t="s">
        <v>26</v>
      </c>
      <c r="AH2817" t="s">
        <v>26</v>
      </c>
      <c r="AI2817" t="s">
        <v>26</v>
      </c>
      <c r="AJ2817" t="s">
        <v>26</v>
      </c>
      <c r="AK2817" t="s">
        <v>26</v>
      </c>
      <c r="AL2817" t="s">
        <v>26</v>
      </c>
      <c r="AM2817" t="s">
        <v>26</v>
      </c>
      <c r="AN2817" t="s">
        <v>26</v>
      </c>
      <c r="AO2817" s="25" t="s">
        <v>28</v>
      </c>
      <c r="AP2817" s="23" t="s">
        <v>69</v>
      </c>
      <c r="AQ2817" s="23" t="s">
        <v>30</v>
      </c>
      <c r="AR2817" s="23" t="s">
        <v>7233</v>
      </c>
      <c r="AS2817" s="25">
        <v>47903</v>
      </c>
      <c r="AT2817" t="s">
        <v>26</v>
      </c>
      <c r="AU2817" t="s">
        <v>25867</v>
      </c>
    </row>
    <row r="2818" spans="1:47" ht="26.25" x14ac:dyDescent="0.4">
      <c r="A2818" s="23" t="s">
        <v>7234</v>
      </c>
      <c r="B2818" t="s">
        <v>26</v>
      </c>
      <c r="C2818" s="23" t="s">
        <v>59</v>
      </c>
      <c r="D2818" s="23" t="s">
        <v>22174</v>
      </c>
      <c r="E2818" s="23" t="s">
        <v>60</v>
      </c>
      <c r="F2818" t="s">
        <v>26</v>
      </c>
      <c r="G2818" t="s">
        <v>26</v>
      </c>
      <c r="H2818" s="25" t="s">
        <v>7235</v>
      </c>
      <c r="I2818" s="24">
        <v>39448</v>
      </c>
      <c r="J2818" s="24">
        <v>39448</v>
      </c>
      <c r="K2818" t="s">
        <v>26</v>
      </c>
      <c r="L2818" s="25" t="s">
        <v>28</v>
      </c>
      <c r="M2818" s="24">
        <v>39448</v>
      </c>
      <c r="N2818" s="24">
        <v>39448</v>
      </c>
      <c r="O2818" t="s">
        <v>26</v>
      </c>
      <c r="P2818" s="24">
        <v>39448</v>
      </c>
      <c r="Q2818" s="24">
        <v>39448</v>
      </c>
      <c r="R2818" t="s">
        <v>26</v>
      </c>
      <c r="S2818" t="s">
        <v>26</v>
      </c>
      <c r="T2818" t="s">
        <v>26</v>
      </c>
      <c r="U2818" t="s">
        <v>26</v>
      </c>
      <c r="V2818" t="s">
        <v>26</v>
      </c>
      <c r="W2818" s="24">
        <v>39448</v>
      </c>
      <c r="X2818" s="24">
        <v>39448</v>
      </c>
      <c r="Y2818" t="s">
        <v>26</v>
      </c>
      <c r="Z2818" s="24">
        <v>39448</v>
      </c>
      <c r="AA2818" s="24">
        <v>39448</v>
      </c>
      <c r="AB2818" t="s">
        <v>26</v>
      </c>
      <c r="AC2818" s="24">
        <v>39448</v>
      </c>
      <c r="AD2818" s="24">
        <v>39448</v>
      </c>
      <c r="AE2818" t="s">
        <v>26</v>
      </c>
      <c r="AF2818" t="s">
        <v>26</v>
      </c>
      <c r="AG2818" t="s">
        <v>26</v>
      </c>
      <c r="AH2818" t="s">
        <v>26</v>
      </c>
      <c r="AI2818" t="s">
        <v>26</v>
      </c>
      <c r="AJ2818" t="s">
        <v>26</v>
      </c>
      <c r="AK2818" t="s">
        <v>26</v>
      </c>
      <c r="AL2818" t="s">
        <v>26</v>
      </c>
      <c r="AM2818" t="s">
        <v>26</v>
      </c>
      <c r="AN2818" t="s">
        <v>26</v>
      </c>
      <c r="AO2818" s="25" t="s">
        <v>28</v>
      </c>
      <c r="AP2818" s="23" t="s">
        <v>29</v>
      </c>
      <c r="AQ2818" s="23" t="s">
        <v>30</v>
      </c>
      <c r="AR2818" s="23" t="s">
        <v>3748</v>
      </c>
      <c r="AS2818" s="25">
        <v>105872</v>
      </c>
      <c r="AT2818" t="s">
        <v>26</v>
      </c>
      <c r="AU2818" t="s">
        <v>25868</v>
      </c>
    </row>
    <row r="2819" spans="1:47" ht="26.25" x14ac:dyDescent="0.4">
      <c r="A2819" s="23" t="s">
        <v>7236</v>
      </c>
      <c r="B2819" t="s">
        <v>26</v>
      </c>
      <c r="C2819" s="23" t="s">
        <v>59</v>
      </c>
      <c r="D2819" s="23" t="s">
        <v>22174</v>
      </c>
      <c r="E2819" s="23" t="s">
        <v>60</v>
      </c>
      <c r="F2819" t="s">
        <v>26</v>
      </c>
      <c r="G2819" t="s">
        <v>26</v>
      </c>
      <c r="H2819" s="25" t="s">
        <v>7237</v>
      </c>
      <c r="I2819" s="24">
        <v>39448</v>
      </c>
      <c r="J2819" s="24">
        <v>39448</v>
      </c>
      <c r="K2819" t="s">
        <v>26</v>
      </c>
      <c r="L2819" s="25" t="s">
        <v>28</v>
      </c>
      <c r="M2819" s="24">
        <v>39448</v>
      </c>
      <c r="N2819" s="24">
        <v>39448</v>
      </c>
      <c r="O2819" t="s">
        <v>26</v>
      </c>
      <c r="P2819" s="24">
        <v>39448</v>
      </c>
      <c r="Q2819" s="24">
        <v>39448</v>
      </c>
      <c r="R2819" t="s">
        <v>26</v>
      </c>
      <c r="S2819" t="s">
        <v>26</v>
      </c>
      <c r="T2819" t="s">
        <v>26</v>
      </c>
      <c r="U2819" t="s">
        <v>26</v>
      </c>
      <c r="V2819" t="s">
        <v>26</v>
      </c>
      <c r="W2819" s="24">
        <v>39448</v>
      </c>
      <c r="X2819" s="24">
        <v>39448</v>
      </c>
      <c r="Y2819" t="s">
        <v>26</v>
      </c>
      <c r="Z2819" s="24">
        <v>39448</v>
      </c>
      <c r="AA2819" s="24">
        <v>39448</v>
      </c>
      <c r="AB2819" t="s">
        <v>26</v>
      </c>
      <c r="AC2819" s="24">
        <v>39448</v>
      </c>
      <c r="AD2819" s="24">
        <v>39448</v>
      </c>
      <c r="AE2819" t="s">
        <v>26</v>
      </c>
      <c r="AF2819" t="s">
        <v>26</v>
      </c>
      <c r="AG2819" t="s">
        <v>26</v>
      </c>
      <c r="AH2819" t="s">
        <v>26</v>
      </c>
      <c r="AI2819" t="s">
        <v>26</v>
      </c>
      <c r="AJ2819" t="s">
        <v>26</v>
      </c>
      <c r="AK2819" t="s">
        <v>26</v>
      </c>
      <c r="AL2819" t="s">
        <v>26</v>
      </c>
      <c r="AM2819" t="s">
        <v>26</v>
      </c>
      <c r="AN2819" t="s">
        <v>26</v>
      </c>
      <c r="AO2819" s="25" t="s">
        <v>28</v>
      </c>
      <c r="AP2819" s="23" t="s">
        <v>29</v>
      </c>
      <c r="AQ2819" s="23" t="s">
        <v>30</v>
      </c>
      <c r="AR2819" s="23" t="s">
        <v>46</v>
      </c>
      <c r="AS2819" s="25">
        <v>105867</v>
      </c>
      <c r="AT2819" t="s">
        <v>26</v>
      </c>
      <c r="AU2819" t="s">
        <v>25869</v>
      </c>
    </row>
    <row r="2820" spans="1:47" ht="13.15" x14ac:dyDescent="0.4">
      <c r="A2820" s="23" t="s">
        <v>7238</v>
      </c>
      <c r="B2820" t="s">
        <v>26</v>
      </c>
      <c r="C2820" s="23" t="s">
        <v>146</v>
      </c>
      <c r="D2820" s="23" t="s">
        <v>22174</v>
      </c>
      <c r="E2820" s="23" t="s">
        <v>60</v>
      </c>
      <c r="F2820" t="s">
        <v>26</v>
      </c>
      <c r="G2820" t="s">
        <v>26</v>
      </c>
      <c r="H2820" t="s">
        <v>26</v>
      </c>
      <c r="I2820" t="s">
        <v>26</v>
      </c>
      <c r="J2820" t="s">
        <v>26</v>
      </c>
      <c r="K2820" t="s">
        <v>26</v>
      </c>
      <c r="L2820" s="25" t="s">
        <v>28</v>
      </c>
      <c r="M2820" t="s">
        <v>26</v>
      </c>
      <c r="N2820" t="s">
        <v>26</v>
      </c>
      <c r="O2820" t="s">
        <v>26</v>
      </c>
      <c r="P2820" t="s">
        <v>26</v>
      </c>
      <c r="Q2820" t="s">
        <v>26</v>
      </c>
      <c r="R2820" t="s">
        <v>26</v>
      </c>
      <c r="S2820" t="s">
        <v>26</v>
      </c>
      <c r="T2820" t="s">
        <v>26</v>
      </c>
      <c r="U2820" t="s">
        <v>26</v>
      </c>
      <c r="V2820" t="s">
        <v>26</v>
      </c>
      <c r="W2820" s="24">
        <v>42005</v>
      </c>
      <c r="X2820" s="24">
        <v>42005</v>
      </c>
      <c r="Y2820" t="s">
        <v>26</v>
      </c>
      <c r="Z2820" s="24">
        <v>42005</v>
      </c>
      <c r="AA2820" s="24">
        <v>42005</v>
      </c>
      <c r="AB2820" t="s">
        <v>26</v>
      </c>
      <c r="AC2820" t="s">
        <v>26</v>
      </c>
      <c r="AD2820" t="s">
        <v>26</v>
      </c>
      <c r="AE2820" t="s">
        <v>26</v>
      </c>
      <c r="AF2820" t="s">
        <v>26</v>
      </c>
      <c r="AG2820" t="s">
        <v>26</v>
      </c>
      <c r="AH2820" t="s">
        <v>26</v>
      </c>
      <c r="AI2820" t="s">
        <v>26</v>
      </c>
      <c r="AJ2820" t="s">
        <v>26</v>
      </c>
      <c r="AK2820" t="s">
        <v>26</v>
      </c>
      <c r="AL2820" t="s">
        <v>26</v>
      </c>
      <c r="AM2820" t="s">
        <v>26</v>
      </c>
      <c r="AN2820" t="s">
        <v>26</v>
      </c>
      <c r="AO2820" s="25" t="s">
        <v>28</v>
      </c>
      <c r="AP2820" s="23" t="s">
        <v>29</v>
      </c>
      <c r="AQ2820" s="23" t="s">
        <v>30</v>
      </c>
      <c r="AR2820" s="23" t="s">
        <v>44</v>
      </c>
      <c r="AS2820" s="25">
        <v>5488574</v>
      </c>
      <c r="AT2820" s="23" t="s">
        <v>22181</v>
      </c>
      <c r="AU2820" t="s">
        <v>25870</v>
      </c>
    </row>
    <row r="2821" spans="1:47" ht="13.15" x14ac:dyDescent="0.4">
      <c r="A2821" s="23" t="s">
        <v>7239</v>
      </c>
      <c r="B2821" t="s">
        <v>26</v>
      </c>
      <c r="C2821" s="23" t="s">
        <v>146</v>
      </c>
      <c r="D2821" s="23" t="s">
        <v>22174</v>
      </c>
      <c r="E2821" s="23" t="s">
        <v>60</v>
      </c>
      <c r="F2821" t="s">
        <v>26</v>
      </c>
      <c r="G2821" t="s">
        <v>26</v>
      </c>
      <c r="H2821" t="s">
        <v>26</v>
      </c>
      <c r="I2821" t="s">
        <v>26</v>
      </c>
      <c r="J2821" t="s">
        <v>26</v>
      </c>
      <c r="K2821" t="s">
        <v>26</v>
      </c>
      <c r="L2821" s="25" t="s">
        <v>28</v>
      </c>
      <c r="M2821" t="s">
        <v>26</v>
      </c>
      <c r="N2821" t="s">
        <v>26</v>
      </c>
      <c r="O2821" t="s">
        <v>26</v>
      </c>
      <c r="P2821" t="s">
        <v>26</v>
      </c>
      <c r="Q2821" t="s">
        <v>26</v>
      </c>
      <c r="R2821" t="s">
        <v>26</v>
      </c>
      <c r="S2821" t="s">
        <v>26</v>
      </c>
      <c r="T2821" t="s">
        <v>26</v>
      </c>
      <c r="U2821" t="s">
        <v>26</v>
      </c>
      <c r="V2821" t="s">
        <v>26</v>
      </c>
      <c r="W2821" s="24">
        <v>42370</v>
      </c>
      <c r="X2821" s="24">
        <v>42370</v>
      </c>
      <c r="Y2821" t="s">
        <v>26</v>
      </c>
      <c r="Z2821" s="24">
        <v>42370</v>
      </c>
      <c r="AA2821" s="24">
        <v>42370</v>
      </c>
      <c r="AB2821" t="s">
        <v>26</v>
      </c>
      <c r="AC2821" t="s">
        <v>26</v>
      </c>
      <c r="AD2821" t="s">
        <v>26</v>
      </c>
      <c r="AE2821" t="s">
        <v>26</v>
      </c>
      <c r="AF2821" t="s">
        <v>26</v>
      </c>
      <c r="AG2821" t="s">
        <v>26</v>
      </c>
      <c r="AH2821" t="s">
        <v>26</v>
      </c>
      <c r="AI2821" t="s">
        <v>26</v>
      </c>
      <c r="AJ2821" t="s">
        <v>26</v>
      </c>
      <c r="AK2821" t="s">
        <v>26</v>
      </c>
      <c r="AL2821" t="s">
        <v>26</v>
      </c>
      <c r="AM2821" t="s">
        <v>26</v>
      </c>
      <c r="AN2821" t="s">
        <v>26</v>
      </c>
      <c r="AO2821" s="25" t="s">
        <v>28</v>
      </c>
      <c r="AP2821" s="23" t="s">
        <v>29</v>
      </c>
      <c r="AQ2821" s="23" t="s">
        <v>30</v>
      </c>
      <c r="AR2821" s="23" t="s">
        <v>245</v>
      </c>
      <c r="AS2821" s="25">
        <v>5488571</v>
      </c>
      <c r="AT2821" s="23" t="s">
        <v>22181</v>
      </c>
      <c r="AU2821" t="s">
        <v>25871</v>
      </c>
    </row>
    <row r="2822" spans="1:47" ht="13.15" x14ac:dyDescent="0.4">
      <c r="A2822" s="23" t="s">
        <v>7240</v>
      </c>
      <c r="B2822" t="s">
        <v>26</v>
      </c>
      <c r="C2822" s="23" t="s">
        <v>1612</v>
      </c>
      <c r="D2822" s="23" t="s">
        <v>23047</v>
      </c>
      <c r="E2822" s="23" t="s">
        <v>42</v>
      </c>
      <c r="F2822" t="s">
        <v>26</v>
      </c>
      <c r="G2822" t="s">
        <v>26</v>
      </c>
      <c r="H2822" t="s">
        <v>26</v>
      </c>
      <c r="I2822" t="s">
        <v>26</v>
      </c>
      <c r="J2822" t="s">
        <v>26</v>
      </c>
      <c r="K2822" t="s">
        <v>26</v>
      </c>
      <c r="L2822" s="25" t="s">
        <v>28</v>
      </c>
      <c r="M2822" t="s">
        <v>26</v>
      </c>
      <c r="N2822" t="s">
        <v>26</v>
      </c>
      <c r="O2822" t="s">
        <v>26</v>
      </c>
      <c r="P2822" t="s">
        <v>26</v>
      </c>
      <c r="Q2822" t="s">
        <v>26</v>
      </c>
      <c r="R2822" t="s">
        <v>26</v>
      </c>
      <c r="S2822" t="s">
        <v>26</v>
      </c>
      <c r="T2822" t="s">
        <v>26</v>
      </c>
      <c r="U2822" t="s">
        <v>26</v>
      </c>
      <c r="V2822" t="s">
        <v>26</v>
      </c>
      <c r="W2822" s="24">
        <v>40544</v>
      </c>
      <c r="X2822" s="24">
        <v>40544</v>
      </c>
      <c r="Y2822" t="s">
        <v>26</v>
      </c>
      <c r="Z2822" s="24">
        <v>40544</v>
      </c>
      <c r="AA2822" s="24">
        <v>40544</v>
      </c>
      <c r="AB2822" t="s">
        <v>26</v>
      </c>
      <c r="AC2822" t="s">
        <v>26</v>
      </c>
      <c r="AD2822" t="s">
        <v>26</v>
      </c>
      <c r="AE2822" t="s">
        <v>26</v>
      </c>
      <c r="AF2822" t="s">
        <v>26</v>
      </c>
      <c r="AG2822" t="s">
        <v>26</v>
      </c>
      <c r="AH2822" t="s">
        <v>26</v>
      </c>
      <c r="AI2822" t="s">
        <v>26</v>
      </c>
      <c r="AJ2822" t="s">
        <v>26</v>
      </c>
      <c r="AK2822" t="s">
        <v>26</v>
      </c>
      <c r="AL2822" t="s">
        <v>26</v>
      </c>
      <c r="AM2822" t="s">
        <v>26</v>
      </c>
      <c r="AN2822" t="s">
        <v>26</v>
      </c>
      <c r="AO2822" s="25" t="s">
        <v>28</v>
      </c>
      <c r="AP2822" s="23" t="s">
        <v>29</v>
      </c>
      <c r="AQ2822" s="23" t="s">
        <v>30</v>
      </c>
      <c r="AR2822" s="23" t="s">
        <v>147</v>
      </c>
      <c r="AS2822" s="25">
        <v>5488552</v>
      </c>
      <c r="AT2822" s="23" t="s">
        <v>22181</v>
      </c>
      <c r="AU2822" t="s">
        <v>25872</v>
      </c>
    </row>
    <row r="2823" spans="1:47" ht="26.25" x14ac:dyDescent="0.4">
      <c r="A2823" s="23" t="s">
        <v>7241</v>
      </c>
      <c r="B2823" t="s">
        <v>26</v>
      </c>
      <c r="C2823" s="23" t="s">
        <v>167</v>
      </c>
      <c r="D2823" s="23" t="s">
        <v>22218</v>
      </c>
      <c r="E2823" s="23" t="s">
        <v>60</v>
      </c>
      <c r="F2823" t="s">
        <v>26</v>
      </c>
      <c r="G2823" t="s">
        <v>26</v>
      </c>
      <c r="H2823" t="s">
        <v>26</v>
      </c>
      <c r="I2823" s="24">
        <v>39448</v>
      </c>
      <c r="J2823" s="24">
        <v>39448</v>
      </c>
      <c r="K2823" t="s">
        <v>26</v>
      </c>
      <c r="L2823" s="25" t="s">
        <v>28</v>
      </c>
      <c r="M2823" t="s">
        <v>26</v>
      </c>
      <c r="N2823" t="s">
        <v>26</v>
      </c>
      <c r="O2823" t="s">
        <v>26</v>
      </c>
      <c r="P2823" s="24">
        <v>39448</v>
      </c>
      <c r="Q2823" s="24">
        <v>39448</v>
      </c>
      <c r="R2823" t="s">
        <v>26</v>
      </c>
      <c r="S2823" t="s">
        <v>26</v>
      </c>
      <c r="T2823" t="s">
        <v>26</v>
      </c>
      <c r="U2823" t="s">
        <v>26</v>
      </c>
      <c r="V2823" t="s">
        <v>26</v>
      </c>
      <c r="W2823" s="24">
        <v>39448</v>
      </c>
      <c r="X2823" s="24">
        <v>39448</v>
      </c>
      <c r="Y2823" t="s">
        <v>26</v>
      </c>
      <c r="Z2823" s="24">
        <v>39448</v>
      </c>
      <c r="AA2823" s="24">
        <v>39448</v>
      </c>
      <c r="AB2823" t="s">
        <v>26</v>
      </c>
      <c r="AC2823" s="24">
        <v>39448</v>
      </c>
      <c r="AD2823" s="24">
        <v>39448</v>
      </c>
      <c r="AE2823" t="s">
        <v>26</v>
      </c>
      <c r="AF2823" t="s">
        <v>26</v>
      </c>
      <c r="AG2823" t="s">
        <v>26</v>
      </c>
      <c r="AH2823" t="s">
        <v>26</v>
      </c>
      <c r="AI2823" t="s">
        <v>26</v>
      </c>
      <c r="AJ2823" t="s">
        <v>26</v>
      </c>
      <c r="AK2823" t="s">
        <v>26</v>
      </c>
      <c r="AL2823" t="s">
        <v>26</v>
      </c>
      <c r="AM2823" t="s">
        <v>26</v>
      </c>
      <c r="AN2823" t="s">
        <v>26</v>
      </c>
      <c r="AO2823" s="25" t="s">
        <v>28</v>
      </c>
      <c r="AP2823" s="23" t="s">
        <v>29</v>
      </c>
      <c r="AQ2823" s="23" t="s">
        <v>30</v>
      </c>
      <c r="AR2823" s="23" t="s">
        <v>4652</v>
      </c>
      <c r="AS2823" s="25">
        <v>5324457</v>
      </c>
      <c r="AT2823" s="23" t="s">
        <v>22181</v>
      </c>
      <c r="AU2823" t="s">
        <v>25873</v>
      </c>
    </row>
    <row r="2824" spans="1:47" ht="26.25" x14ac:dyDescent="0.4">
      <c r="A2824" s="23" t="s">
        <v>7242</v>
      </c>
      <c r="B2824" t="s">
        <v>26</v>
      </c>
      <c r="C2824" s="23" t="s">
        <v>1875</v>
      </c>
      <c r="D2824" s="23" t="s">
        <v>23192</v>
      </c>
      <c r="E2824" s="23" t="s">
        <v>155</v>
      </c>
      <c r="F2824" s="25" t="s">
        <v>7243</v>
      </c>
      <c r="G2824" t="s">
        <v>26</v>
      </c>
      <c r="H2824" t="s">
        <v>26</v>
      </c>
      <c r="I2824" s="24">
        <v>40544</v>
      </c>
      <c r="J2824" s="25" t="s">
        <v>77</v>
      </c>
      <c r="K2824" t="s">
        <v>26</v>
      </c>
      <c r="L2824" s="25" t="s">
        <v>68</v>
      </c>
      <c r="M2824" t="s">
        <v>26</v>
      </c>
      <c r="N2824" t="s">
        <v>26</v>
      </c>
      <c r="O2824" t="s">
        <v>26</v>
      </c>
      <c r="P2824" s="24">
        <v>40544</v>
      </c>
      <c r="Q2824" s="25" t="s">
        <v>77</v>
      </c>
      <c r="R2824" t="s">
        <v>26</v>
      </c>
      <c r="S2824" t="s">
        <v>26</v>
      </c>
      <c r="T2824" t="s">
        <v>26</v>
      </c>
      <c r="U2824" t="s">
        <v>26</v>
      </c>
      <c r="V2824" t="s">
        <v>26</v>
      </c>
      <c r="W2824" s="24">
        <v>40544</v>
      </c>
      <c r="X2824" s="25" t="s">
        <v>77</v>
      </c>
      <c r="Y2824" t="s">
        <v>26</v>
      </c>
      <c r="Z2824" s="24">
        <v>40544</v>
      </c>
      <c r="AA2824" s="25" t="s">
        <v>77</v>
      </c>
      <c r="AB2824" t="s">
        <v>26</v>
      </c>
      <c r="AC2824" s="24">
        <v>40544</v>
      </c>
      <c r="AD2824" s="25" t="s">
        <v>77</v>
      </c>
      <c r="AE2824" t="s">
        <v>26</v>
      </c>
      <c r="AF2824" t="s">
        <v>26</v>
      </c>
      <c r="AG2824" t="s">
        <v>26</v>
      </c>
      <c r="AH2824" t="s">
        <v>26</v>
      </c>
      <c r="AI2824" t="s">
        <v>26</v>
      </c>
      <c r="AJ2824" t="s">
        <v>26</v>
      </c>
      <c r="AK2824" t="s">
        <v>26</v>
      </c>
      <c r="AL2824" t="s">
        <v>26</v>
      </c>
      <c r="AM2824" t="s">
        <v>26</v>
      </c>
      <c r="AN2824" t="s">
        <v>26</v>
      </c>
      <c r="AO2824" s="25" t="s">
        <v>28</v>
      </c>
      <c r="AP2824" s="23" t="s">
        <v>69</v>
      </c>
      <c r="AQ2824" s="23" t="s">
        <v>142</v>
      </c>
      <c r="AR2824" s="23" t="s">
        <v>46</v>
      </c>
      <c r="AS2824" s="25">
        <v>2041157</v>
      </c>
      <c r="AT2824" t="s">
        <v>26</v>
      </c>
      <c r="AU2824" t="s">
        <v>25874</v>
      </c>
    </row>
    <row r="2825" spans="1:47" ht="26.25" x14ac:dyDescent="0.4">
      <c r="A2825" s="23" t="s">
        <v>7244</v>
      </c>
      <c r="B2825" t="s">
        <v>26</v>
      </c>
      <c r="C2825" s="23" t="s">
        <v>25875</v>
      </c>
      <c r="D2825" t="s">
        <v>26</v>
      </c>
      <c r="E2825" s="23" t="s">
        <v>60</v>
      </c>
      <c r="F2825" t="s">
        <v>26</v>
      </c>
      <c r="G2825" t="s">
        <v>26</v>
      </c>
      <c r="H2825" t="s">
        <v>26</v>
      </c>
      <c r="I2825" s="24">
        <v>31048</v>
      </c>
      <c r="J2825" s="24">
        <v>39814</v>
      </c>
      <c r="K2825" t="s">
        <v>26</v>
      </c>
      <c r="L2825" s="25" t="s">
        <v>28</v>
      </c>
      <c r="M2825" s="24">
        <v>31048</v>
      </c>
      <c r="N2825" s="24">
        <v>39814</v>
      </c>
      <c r="O2825" t="s">
        <v>26</v>
      </c>
      <c r="P2825" t="s">
        <v>26</v>
      </c>
      <c r="Q2825" t="s">
        <v>26</v>
      </c>
      <c r="R2825" t="s">
        <v>26</v>
      </c>
      <c r="S2825" s="24">
        <v>31048</v>
      </c>
      <c r="T2825" s="24">
        <v>39814</v>
      </c>
      <c r="U2825" t="s">
        <v>26</v>
      </c>
      <c r="V2825" t="s">
        <v>26</v>
      </c>
      <c r="W2825" s="24">
        <v>31048</v>
      </c>
      <c r="X2825" s="24">
        <v>39814</v>
      </c>
      <c r="Y2825" t="s">
        <v>26</v>
      </c>
      <c r="Z2825" s="24">
        <v>31048</v>
      </c>
      <c r="AA2825" s="24">
        <v>39814</v>
      </c>
      <c r="AB2825" t="s">
        <v>26</v>
      </c>
      <c r="AC2825" s="24">
        <v>31048</v>
      </c>
      <c r="AD2825" s="24">
        <v>39814</v>
      </c>
      <c r="AE2825" t="s">
        <v>26</v>
      </c>
      <c r="AF2825" s="24">
        <v>31048</v>
      </c>
      <c r="AG2825" s="24">
        <v>39814</v>
      </c>
      <c r="AH2825" t="s">
        <v>26</v>
      </c>
      <c r="AI2825" s="24">
        <v>31048</v>
      </c>
      <c r="AJ2825" s="24">
        <v>39814</v>
      </c>
      <c r="AK2825" t="s">
        <v>26</v>
      </c>
      <c r="AL2825" t="s">
        <v>26</v>
      </c>
      <c r="AM2825" t="s">
        <v>26</v>
      </c>
      <c r="AN2825" t="s">
        <v>26</v>
      </c>
      <c r="AO2825" s="25" t="s">
        <v>28</v>
      </c>
      <c r="AP2825" s="23" t="s">
        <v>43</v>
      </c>
      <c r="AQ2825" s="23" t="s">
        <v>30</v>
      </c>
      <c r="AR2825" s="23" t="s">
        <v>46</v>
      </c>
      <c r="AS2825" s="25">
        <v>6364577</v>
      </c>
      <c r="AT2825" t="s">
        <v>26</v>
      </c>
      <c r="AU2825" t="s">
        <v>25876</v>
      </c>
    </row>
    <row r="2826" spans="1:47" ht="26.25" x14ac:dyDescent="0.4">
      <c r="A2826" s="23" t="s">
        <v>7245</v>
      </c>
      <c r="B2826" t="s">
        <v>26</v>
      </c>
      <c r="C2826" s="23" t="s">
        <v>23831</v>
      </c>
      <c r="D2826" s="23" t="s">
        <v>25339</v>
      </c>
      <c r="E2826" s="23" t="s">
        <v>60</v>
      </c>
      <c r="F2826" t="s">
        <v>26</v>
      </c>
      <c r="G2826" t="s">
        <v>26</v>
      </c>
      <c r="H2826" t="s">
        <v>26</v>
      </c>
      <c r="I2826" s="24">
        <v>37257</v>
      </c>
      <c r="J2826" s="24">
        <v>40909</v>
      </c>
      <c r="K2826" t="s">
        <v>26</v>
      </c>
      <c r="L2826" s="25" t="s">
        <v>28</v>
      </c>
      <c r="M2826" s="24">
        <v>37257</v>
      </c>
      <c r="N2826" s="24">
        <v>40909</v>
      </c>
      <c r="O2826" t="s">
        <v>26</v>
      </c>
      <c r="P2826" t="s">
        <v>26</v>
      </c>
      <c r="Q2826" t="s">
        <v>26</v>
      </c>
      <c r="R2826" t="s">
        <v>26</v>
      </c>
      <c r="S2826" s="24">
        <v>37257</v>
      </c>
      <c r="T2826" s="24">
        <v>40909</v>
      </c>
      <c r="U2826" t="s">
        <v>26</v>
      </c>
      <c r="V2826" t="s">
        <v>26</v>
      </c>
      <c r="W2826" s="24">
        <v>37257</v>
      </c>
      <c r="X2826" s="24">
        <v>40909</v>
      </c>
      <c r="Y2826" t="s">
        <v>26</v>
      </c>
      <c r="Z2826" s="24">
        <v>37257</v>
      </c>
      <c r="AA2826" s="24">
        <v>40909</v>
      </c>
      <c r="AB2826" t="s">
        <v>26</v>
      </c>
      <c r="AC2826" s="24">
        <v>37257</v>
      </c>
      <c r="AD2826" s="24">
        <v>40909</v>
      </c>
      <c r="AE2826" t="s">
        <v>26</v>
      </c>
      <c r="AF2826" s="24">
        <v>37257</v>
      </c>
      <c r="AG2826" s="24">
        <v>40909</v>
      </c>
      <c r="AH2826" t="s">
        <v>26</v>
      </c>
      <c r="AI2826" s="24">
        <v>37257</v>
      </c>
      <c r="AJ2826" s="24">
        <v>40909</v>
      </c>
      <c r="AK2826" t="s">
        <v>26</v>
      </c>
      <c r="AL2826" t="s">
        <v>26</v>
      </c>
      <c r="AM2826" t="s">
        <v>26</v>
      </c>
      <c r="AN2826" t="s">
        <v>26</v>
      </c>
      <c r="AO2826" s="25" t="s">
        <v>28</v>
      </c>
      <c r="AP2826" s="23" t="s">
        <v>43</v>
      </c>
      <c r="AQ2826" s="23" t="s">
        <v>30</v>
      </c>
      <c r="AR2826" s="23" t="s">
        <v>46</v>
      </c>
      <c r="AS2826" s="25">
        <v>6364576</v>
      </c>
      <c r="AT2826" t="s">
        <v>26</v>
      </c>
      <c r="AU2826" t="s">
        <v>25877</v>
      </c>
    </row>
    <row r="2827" spans="1:47" ht="39.4" x14ac:dyDescent="0.4">
      <c r="A2827" s="23" t="s">
        <v>7246</v>
      </c>
      <c r="B2827" t="s">
        <v>26</v>
      </c>
      <c r="C2827" s="23" t="s">
        <v>59</v>
      </c>
      <c r="D2827" s="23" t="s">
        <v>22174</v>
      </c>
      <c r="E2827" s="23" t="s">
        <v>60</v>
      </c>
      <c r="F2827" t="s">
        <v>26</v>
      </c>
      <c r="G2827" t="s">
        <v>26</v>
      </c>
      <c r="H2827" s="25" t="s">
        <v>7247</v>
      </c>
      <c r="I2827" s="24">
        <v>42370</v>
      </c>
      <c r="J2827" s="24">
        <v>42370</v>
      </c>
      <c r="K2827" t="s">
        <v>26</v>
      </c>
      <c r="L2827" s="25" t="s">
        <v>28</v>
      </c>
      <c r="M2827" s="24">
        <v>42370</v>
      </c>
      <c r="N2827" s="24">
        <v>42370</v>
      </c>
      <c r="O2827" t="s">
        <v>26</v>
      </c>
      <c r="P2827" s="24">
        <v>42370</v>
      </c>
      <c r="Q2827" s="24">
        <v>42370</v>
      </c>
      <c r="R2827" t="s">
        <v>26</v>
      </c>
      <c r="S2827" t="s">
        <v>26</v>
      </c>
      <c r="T2827" t="s">
        <v>26</v>
      </c>
      <c r="U2827" t="s">
        <v>26</v>
      </c>
      <c r="V2827" t="s">
        <v>26</v>
      </c>
      <c r="W2827" s="24">
        <v>42370</v>
      </c>
      <c r="X2827" s="24">
        <v>42370</v>
      </c>
      <c r="Y2827" t="s">
        <v>26</v>
      </c>
      <c r="Z2827" s="24">
        <v>42370</v>
      </c>
      <c r="AA2827" s="24">
        <v>42370</v>
      </c>
      <c r="AB2827" t="s">
        <v>26</v>
      </c>
      <c r="AC2827" s="24">
        <v>42370</v>
      </c>
      <c r="AD2827" s="24">
        <v>42370</v>
      </c>
      <c r="AE2827" t="s">
        <v>26</v>
      </c>
      <c r="AF2827" t="s">
        <v>26</v>
      </c>
      <c r="AG2827" t="s">
        <v>26</v>
      </c>
      <c r="AH2827" t="s">
        <v>26</v>
      </c>
      <c r="AI2827" t="s">
        <v>26</v>
      </c>
      <c r="AJ2827" t="s">
        <v>26</v>
      </c>
      <c r="AK2827" t="s">
        <v>26</v>
      </c>
      <c r="AL2827" t="s">
        <v>26</v>
      </c>
      <c r="AM2827" t="s">
        <v>26</v>
      </c>
      <c r="AN2827" t="s">
        <v>26</v>
      </c>
      <c r="AO2827" s="25" t="s">
        <v>28</v>
      </c>
      <c r="AP2827" s="23" t="s">
        <v>29</v>
      </c>
      <c r="AQ2827" s="23" t="s">
        <v>30</v>
      </c>
      <c r="AR2827" s="23" t="s">
        <v>2082</v>
      </c>
      <c r="AS2827" s="25">
        <v>4906420</v>
      </c>
      <c r="AT2827" t="s">
        <v>26</v>
      </c>
      <c r="AU2827" t="s">
        <v>25878</v>
      </c>
    </row>
    <row r="2828" spans="1:47" ht="26.25" x14ac:dyDescent="0.4">
      <c r="A2828" s="23" t="s">
        <v>7248</v>
      </c>
      <c r="B2828" t="s">
        <v>26</v>
      </c>
      <c r="C2828" s="23" t="s">
        <v>302</v>
      </c>
      <c r="D2828" s="23" t="s">
        <v>22286</v>
      </c>
      <c r="E2828" s="23" t="s">
        <v>42</v>
      </c>
      <c r="F2828" t="s">
        <v>26</v>
      </c>
      <c r="G2828" t="s">
        <v>26</v>
      </c>
      <c r="H2828" t="s">
        <v>26</v>
      </c>
      <c r="I2828" t="s">
        <v>26</v>
      </c>
      <c r="J2828" t="s">
        <v>26</v>
      </c>
      <c r="K2828" t="s">
        <v>26</v>
      </c>
      <c r="L2828" s="25" t="s">
        <v>28</v>
      </c>
      <c r="M2828" t="s">
        <v>26</v>
      </c>
      <c r="N2828" t="s">
        <v>26</v>
      </c>
      <c r="O2828" t="s">
        <v>26</v>
      </c>
      <c r="P2828" t="s">
        <v>26</v>
      </c>
      <c r="Q2828" t="s">
        <v>26</v>
      </c>
      <c r="R2828" t="s">
        <v>26</v>
      </c>
      <c r="S2828" t="s">
        <v>26</v>
      </c>
      <c r="T2828" t="s">
        <v>26</v>
      </c>
      <c r="U2828" t="s">
        <v>26</v>
      </c>
      <c r="V2828" t="s">
        <v>26</v>
      </c>
      <c r="W2828" s="24">
        <v>42005</v>
      </c>
      <c r="X2828" s="24">
        <v>42005</v>
      </c>
      <c r="Y2828" t="s">
        <v>26</v>
      </c>
      <c r="Z2828" s="24">
        <v>42005</v>
      </c>
      <c r="AA2828" s="24">
        <v>42005</v>
      </c>
      <c r="AB2828" t="s">
        <v>26</v>
      </c>
      <c r="AC2828" t="s">
        <v>26</v>
      </c>
      <c r="AD2828" t="s">
        <v>26</v>
      </c>
      <c r="AE2828" t="s">
        <v>26</v>
      </c>
      <c r="AF2828" t="s">
        <v>26</v>
      </c>
      <c r="AG2828" t="s">
        <v>26</v>
      </c>
      <c r="AH2828" t="s">
        <v>26</v>
      </c>
      <c r="AI2828" t="s">
        <v>26</v>
      </c>
      <c r="AJ2828" t="s">
        <v>26</v>
      </c>
      <c r="AK2828" t="s">
        <v>26</v>
      </c>
      <c r="AL2828" t="s">
        <v>26</v>
      </c>
      <c r="AM2828" t="s">
        <v>26</v>
      </c>
      <c r="AN2828" t="s">
        <v>26</v>
      </c>
      <c r="AO2828" s="25" t="s">
        <v>28</v>
      </c>
      <c r="AP2828" s="23" t="s">
        <v>29</v>
      </c>
      <c r="AQ2828" s="23" t="s">
        <v>30</v>
      </c>
      <c r="AR2828" s="23" t="s">
        <v>245</v>
      </c>
      <c r="AS2828" s="25">
        <v>5488560</v>
      </c>
      <c r="AT2828" s="23" t="s">
        <v>22181</v>
      </c>
      <c r="AU2828" t="s">
        <v>25879</v>
      </c>
    </row>
    <row r="2829" spans="1:47" ht="26.25" x14ac:dyDescent="0.4">
      <c r="A2829" s="23" t="s">
        <v>7249</v>
      </c>
      <c r="B2829" t="s">
        <v>26</v>
      </c>
      <c r="C2829" s="23" t="s">
        <v>7250</v>
      </c>
      <c r="D2829" t="s">
        <v>26</v>
      </c>
      <c r="E2829" s="23" t="s">
        <v>42</v>
      </c>
      <c r="F2829" t="s">
        <v>26</v>
      </c>
      <c r="G2829" t="s">
        <v>26</v>
      </c>
      <c r="H2829" t="s">
        <v>26</v>
      </c>
      <c r="I2829" s="24">
        <v>33604</v>
      </c>
      <c r="J2829" s="24">
        <v>33604</v>
      </c>
      <c r="K2829" t="s">
        <v>26</v>
      </c>
      <c r="L2829" s="25" t="s">
        <v>28</v>
      </c>
      <c r="M2829" s="24">
        <v>33604</v>
      </c>
      <c r="N2829" s="24">
        <v>33604</v>
      </c>
      <c r="O2829" t="s">
        <v>26</v>
      </c>
      <c r="P2829" t="s">
        <v>26</v>
      </c>
      <c r="Q2829" t="s">
        <v>26</v>
      </c>
      <c r="R2829" t="s">
        <v>26</v>
      </c>
      <c r="S2829" t="s">
        <v>26</v>
      </c>
      <c r="T2829" t="s">
        <v>26</v>
      </c>
      <c r="U2829" t="s">
        <v>26</v>
      </c>
      <c r="V2829" t="s">
        <v>26</v>
      </c>
      <c r="W2829" s="24">
        <v>33604</v>
      </c>
      <c r="X2829" s="24">
        <v>33604</v>
      </c>
      <c r="Y2829" t="s">
        <v>26</v>
      </c>
      <c r="Z2829" s="24">
        <v>33604</v>
      </c>
      <c r="AA2829" s="24">
        <v>33604</v>
      </c>
      <c r="AB2829" t="s">
        <v>26</v>
      </c>
      <c r="AC2829" s="24">
        <v>33604</v>
      </c>
      <c r="AD2829" s="24">
        <v>33604</v>
      </c>
      <c r="AE2829" t="s">
        <v>26</v>
      </c>
      <c r="AF2829" t="s">
        <v>26</v>
      </c>
      <c r="AG2829" t="s">
        <v>26</v>
      </c>
      <c r="AH2829" t="s">
        <v>26</v>
      </c>
      <c r="AI2829" t="s">
        <v>26</v>
      </c>
      <c r="AJ2829" t="s">
        <v>26</v>
      </c>
      <c r="AK2829" t="s">
        <v>26</v>
      </c>
      <c r="AL2829" t="s">
        <v>26</v>
      </c>
      <c r="AM2829" t="s">
        <v>26</v>
      </c>
      <c r="AN2829" t="s">
        <v>26</v>
      </c>
      <c r="AO2829" s="25" t="s">
        <v>28</v>
      </c>
      <c r="AP2829" s="23" t="s">
        <v>29</v>
      </c>
      <c r="AQ2829" s="23" t="s">
        <v>30</v>
      </c>
      <c r="AR2829" s="23" t="s">
        <v>46</v>
      </c>
      <c r="AS2829" s="25">
        <v>6059417</v>
      </c>
      <c r="AT2829" t="s">
        <v>26</v>
      </c>
      <c r="AU2829" t="s">
        <v>25880</v>
      </c>
    </row>
    <row r="2830" spans="1:47" ht="26.25" x14ac:dyDescent="0.4">
      <c r="A2830" s="23" t="s">
        <v>7251</v>
      </c>
      <c r="B2830" t="s">
        <v>26</v>
      </c>
      <c r="C2830" s="23" t="s">
        <v>73</v>
      </c>
      <c r="D2830" s="23" t="s">
        <v>22211</v>
      </c>
      <c r="E2830" s="23" t="s">
        <v>74</v>
      </c>
      <c r="F2830" s="25" t="s">
        <v>7252</v>
      </c>
      <c r="G2830" s="25" t="s">
        <v>7253</v>
      </c>
      <c r="H2830" t="s">
        <v>26</v>
      </c>
      <c r="I2830" s="24">
        <v>35490</v>
      </c>
      <c r="J2830" s="25" t="s">
        <v>77</v>
      </c>
      <c r="K2830" t="s">
        <v>26</v>
      </c>
      <c r="L2830" s="25" t="s">
        <v>68</v>
      </c>
      <c r="M2830" s="24">
        <v>38047</v>
      </c>
      <c r="N2830" s="24">
        <v>42795</v>
      </c>
      <c r="O2830" t="s">
        <v>26</v>
      </c>
      <c r="P2830" s="24">
        <v>35490</v>
      </c>
      <c r="Q2830" s="25" t="s">
        <v>77</v>
      </c>
      <c r="R2830" t="s">
        <v>26</v>
      </c>
      <c r="S2830" t="s">
        <v>26</v>
      </c>
      <c r="T2830" t="s">
        <v>26</v>
      </c>
      <c r="U2830" t="s">
        <v>26</v>
      </c>
      <c r="V2830" s="25">
        <v>365</v>
      </c>
      <c r="W2830" s="24">
        <v>35490</v>
      </c>
      <c r="X2830" s="25" t="s">
        <v>77</v>
      </c>
      <c r="Y2830" t="s">
        <v>26</v>
      </c>
      <c r="Z2830" s="24">
        <v>35490</v>
      </c>
      <c r="AA2830" s="25" t="s">
        <v>77</v>
      </c>
      <c r="AB2830" t="s">
        <v>26</v>
      </c>
      <c r="AC2830" s="24">
        <v>35490</v>
      </c>
      <c r="AD2830" s="25" t="s">
        <v>77</v>
      </c>
      <c r="AE2830" t="s">
        <v>26</v>
      </c>
      <c r="AF2830" t="s">
        <v>26</v>
      </c>
      <c r="AG2830" t="s">
        <v>26</v>
      </c>
      <c r="AH2830" t="s">
        <v>26</v>
      </c>
      <c r="AI2830" t="s">
        <v>26</v>
      </c>
      <c r="AJ2830" t="s">
        <v>26</v>
      </c>
      <c r="AK2830" t="s">
        <v>26</v>
      </c>
      <c r="AL2830" t="s">
        <v>26</v>
      </c>
      <c r="AM2830" t="s">
        <v>26</v>
      </c>
      <c r="AN2830" t="s">
        <v>26</v>
      </c>
      <c r="AO2830" s="25" t="s">
        <v>68</v>
      </c>
      <c r="AP2830" s="23" t="s">
        <v>69</v>
      </c>
      <c r="AQ2830" s="23" t="s">
        <v>30</v>
      </c>
      <c r="AR2830" s="23" t="s">
        <v>7254</v>
      </c>
      <c r="AS2830" s="25">
        <v>54076</v>
      </c>
      <c r="AT2830" t="s">
        <v>26</v>
      </c>
      <c r="AU2830" t="s">
        <v>25881</v>
      </c>
    </row>
    <row r="2831" spans="1:47" ht="26.25" x14ac:dyDescent="0.4">
      <c r="A2831" s="23" t="s">
        <v>7255</v>
      </c>
      <c r="B2831" t="s">
        <v>26</v>
      </c>
      <c r="C2831" s="23" t="s">
        <v>73</v>
      </c>
      <c r="D2831" s="23" t="s">
        <v>22211</v>
      </c>
      <c r="E2831" s="23" t="s">
        <v>74</v>
      </c>
      <c r="F2831" s="25" t="s">
        <v>7256</v>
      </c>
      <c r="G2831" s="25" t="s">
        <v>7257</v>
      </c>
      <c r="H2831" t="s">
        <v>26</v>
      </c>
      <c r="I2831" s="24">
        <v>36161</v>
      </c>
      <c r="J2831" s="25" t="s">
        <v>77</v>
      </c>
      <c r="K2831" t="s">
        <v>26</v>
      </c>
      <c r="L2831" s="25" t="s">
        <v>68</v>
      </c>
      <c r="M2831" s="24">
        <v>38018</v>
      </c>
      <c r="N2831" s="24">
        <v>42795</v>
      </c>
      <c r="O2831" t="s">
        <v>26</v>
      </c>
      <c r="P2831" s="24">
        <v>36161</v>
      </c>
      <c r="Q2831" s="25" t="s">
        <v>77</v>
      </c>
      <c r="R2831" t="s">
        <v>26</v>
      </c>
      <c r="S2831" t="s">
        <v>26</v>
      </c>
      <c r="T2831" t="s">
        <v>26</v>
      </c>
      <c r="U2831" t="s">
        <v>26</v>
      </c>
      <c r="V2831" s="25">
        <v>365</v>
      </c>
      <c r="W2831" s="24">
        <v>36161</v>
      </c>
      <c r="X2831" s="25" t="s">
        <v>77</v>
      </c>
      <c r="Y2831" t="s">
        <v>26</v>
      </c>
      <c r="Z2831" s="24">
        <v>36161</v>
      </c>
      <c r="AA2831" s="25" t="s">
        <v>77</v>
      </c>
      <c r="AB2831" t="s">
        <v>26</v>
      </c>
      <c r="AC2831" s="24">
        <v>36161</v>
      </c>
      <c r="AD2831" s="25" t="s">
        <v>77</v>
      </c>
      <c r="AE2831" t="s">
        <v>26</v>
      </c>
      <c r="AF2831" t="s">
        <v>26</v>
      </c>
      <c r="AG2831" t="s">
        <v>26</v>
      </c>
      <c r="AH2831" t="s">
        <v>26</v>
      </c>
      <c r="AI2831" t="s">
        <v>26</v>
      </c>
      <c r="AJ2831" t="s">
        <v>26</v>
      </c>
      <c r="AK2831" t="s">
        <v>26</v>
      </c>
      <c r="AL2831" t="s">
        <v>26</v>
      </c>
      <c r="AM2831" t="s">
        <v>26</v>
      </c>
      <c r="AN2831" t="s">
        <v>26</v>
      </c>
      <c r="AO2831" s="25" t="s">
        <v>68</v>
      </c>
      <c r="AP2831" s="23" t="s">
        <v>69</v>
      </c>
      <c r="AQ2831" s="23" t="s">
        <v>30</v>
      </c>
      <c r="AR2831" s="23" t="s">
        <v>5398</v>
      </c>
      <c r="AS2831" s="25">
        <v>30100</v>
      </c>
      <c r="AT2831" t="s">
        <v>26</v>
      </c>
      <c r="AU2831" t="s">
        <v>25882</v>
      </c>
    </row>
    <row r="2832" spans="1:47" ht="26.25" x14ac:dyDescent="0.4">
      <c r="A2832" s="23" t="s">
        <v>7258</v>
      </c>
      <c r="B2832" t="s">
        <v>26</v>
      </c>
      <c r="C2832" s="23" t="s">
        <v>292</v>
      </c>
      <c r="D2832" s="23" t="s">
        <v>22256</v>
      </c>
      <c r="E2832" s="23" t="s">
        <v>42</v>
      </c>
      <c r="F2832" t="s">
        <v>26</v>
      </c>
      <c r="G2832" t="s">
        <v>26</v>
      </c>
      <c r="H2832" t="s">
        <v>26</v>
      </c>
      <c r="I2832" t="s">
        <v>26</v>
      </c>
      <c r="J2832" t="s">
        <v>26</v>
      </c>
      <c r="K2832" t="s">
        <v>26</v>
      </c>
      <c r="L2832" s="25" t="s">
        <v>28</v>
      </c>
      <c r="M2832" t="s">
        <v>26</v>
      </c>
      <c r="N2832" t="s">
        <v>26</v>
      </c>
      <c r="O2832" t="s">
        <v>26</v>
      </c>
      <c r="P2832" t="s">
        <v>26</v>
      </c>
      <c r="Q2832" t="s">
        <v>26</v>
      </c>
      <c r="R2832" t="s">
        <v>26</v>
      </c>
      <c r="S2832" t="s">
        <v>26</v>
      </c>
      <c r="T2832" t="s">
        <v>26</v>
      </c>
      <c r="U2832" t="s">
        <v>26</v>
      </c>
      <c r="V2832" t="s">
        <v>26</v>
      </c>
      <c r="W2832" s="24">
        <v>41640</v>
      </c>
      <c r="X2832" s="24">
        <v>41640</v>
      </c>
      <c r="Y2832" t="s">
        <v>26</v>
      </c>
      <c r="Z2832" s="24">
        <v>41640</v>
      </c>
      <c r="AA2832" s="24">
        <v>41640</v>
      </c>
      <c r="AB2832" t="s">
        <v>26</v>
      </c>
      <c r="AC2832" t="s">
        <v>26</v>
      </c>
      <c r="AD2832" t="s">
        <v>26</v>
      </c>
      <c r="AE2832" t="s">
        <v>26</v>
      </c>
      <c r="AF2832" t="s">
        <v>26</v>
      </c>
      <c r="AG2832" t="s">
        <v>26</v>
      </c>
      <c r="AH2832" t="s">
        <v>26</v>
      </c>
      <c r="AI2832" t="s">
        <v>26</v>
      </c>
      <c r="AJ2832" t="s">
        <v>26</v>
      </c>
      <c r="AK2832" t="s">
        <v>26</v>
      </c>
      <c r="AL2832" t="s">
        <v>26</v>
      </c>
      <c r="AM2832" t="s">
        <v>26</v>
      </c>
      <c r="AN2832" t="s">
        <v>26</v>
      </c>
      <c r="AO2832" s="25" t="s">
        <v>28</v>
      </c>
      <c r="AP2832" s="23" t="s">
        <v>29</v>
      </c>
      <c r="AQ2832" s="23" t="s">
        <v>30</v>
      </c>
      <c r="AR2832" s="23" t="s">
        <v>147</v>
      </c>
      <c r="AS2832" s="25">
        <v>5325184</v>
      </c>
      <c r="AT2832" s="23" t="s">
        <v>22181</v>
      </c>
      <c r="AU2832" t="s">
        <v>25883</v>
      </c>
    </row>
    <row r="2833" spans="1:47" ht="13.15" x14ac:dyDescent="0.4">
      <c r="A2833" s="23" t="s">
        <v>7259</v>
      </c>
      <c r="B2833" t="s">
        <v>26</v>
      </c>
      <c r="C2833" s="23" t="s">
        <v>146</v>
      </c>
      <c r="D2833" s="23" t="s">
        <v>22174</v>
      </c>
      <c r="E2833" s="23" t="s">
        <v>60</v>
      </c>
      <c r="F2833" t="s">
        <v>26</v>
      </c>
      <c r="G2833" t="s">
        <v>26</v>
      </c>
      <c r="H2833" t="s">
        <v>26</v>
      </c>
      <c r="I2833" t="s">
        <v>26</v>
      </c>
      <c r="J2833" t="s">
        <v>26</v>
      </c>
      <c r="K2833" t="s">
        <v>26</v>
      </c>
      <c r="L2833" s="25" t="s">
        <v>28</v>
      </c>
      <c r="M2833" t="s">
        <v>26</v>
      </c>
      <c r="N2833" t="s">
        <v>26</v>
      </c>
      <c r="O2833" t="s">
        <v>26</v>
      </c>
      <c r="P2833" t="s">
        <v>26</v>
      </c>
      <c r="Q2833" t="s">
        <v>26</v>
      </c>
      <c r="R2833" t="s">
        <v>26</v>
      </c>
      <c r="S2833" t="s">
        <v>26</v>
      </c>
      <c r="T2833" t="s">
        <v>26</v>
      </c>
      <c r="U2833" t="s">
        <v>26</v>
      </c>
      <c r="V2833" t="s">
        <v>26</v>
      </c>
      <c r="W2833" s="24">
        <v>41640</v>
      </c>
      <c r="X2833" s="24">
        <v>41640</v>
      </c>
      <c r="Y2833" t="s">
        <v>26</v>
      </c>
      <c r="Z2833" s="24">
        <v>41640</v>
      </c>
      <c r="AA2833" s="24">
        <v>41640</v>
      </c>
      <c r="AB2833" t="s">
        <v>26</v>
      </c>
      <c r="AC2833" t="s">
        <v>26</v>
      </c>
      <c r="AD2833" t="s">
        <v>26</v>
      </c>
      <c r="AE2833" t="s">
        <v>26</v>
      </c>
      <c r="AF2833" t="s">
        <v>26</v>
      </c>
      <c r="AG2833" t="s">
        <v>26</v>
      </c>
      <c r="AH2833" t="s">
        <v>26</v>
      </c>
      <c r="AI2833" t="s">
        <v>26</v>
      </c>
      <c r="AJ2833" t="s">
        <v>26</v>
      </c>
      <c r="AK2833" t="s">
        <v>26</v>
      </c>
      <c r="AL2833" t="s">
        <v>26</v>
      </c>
      <c r="AM2833" t="s">
        <v>26</v>
      </c>
      <c r="AN2833" t="s">
        <v>26</v>
      </c>
      <c r="AO2833" s="25" t="s">
        <v>28</v>
      </c>
      <c r="AP2833" s="23" t="s">
        <v>29</v>
      </c>
      <c r="AQ2833" s="23" t="s">
        <v>30</v>
      </c>
      <c r="AR2833" s="23" t="s">
        <v>44</v>
      </c>
      <c r="AS2833" s="25">
        <v>5488573</v>
      </c>
      <c r="AT2833" s="23" t="s">
        <v>22181</v>
      </c>
      <c r="AU2833" t="s">
        <v>25884</v>
      </c>
    </row>
    <row r="2834" spans="1:47" ht="26.25" x14ac:dyDescent="0.4">
      <c r="A2834" s="23" t="s">
        <v>7260</v>
      </c>
      <c r="B2834" t="s">
        <v>26</v>
      </c>
      <c r="C2834" s="23" t="s">
        <v>25885</v>
      </c>
      <c r="D2834" t="s">
        <v>26</v>
      </c>
      <c r="E2834" s="23" t="s">
        <v>42</v>
      </c>
      <c r="F2834" t="s">
        <v>26</v>
      </c>
      <c r="G2834" t="s">
        <v>26</v>
      </c>
      <c r="H2834" t="s">
        <v>26</v>
      </c>
      <c r="I2834" s="24">
        <v>40909</v>
      </c>
      <c r="J2834" s="24">
        <v>40909</v>
      </c>
      <c r="K2834" t="s">
        <v>26</v>
      </c>
      <c r="L2834" s="25" t="s">
        <v>28</v>
      </c>
      <c r="M2834" s="24">
        <v>40909</v>
      </c>
      <c r="N2834" s="24">
        <v>40909</v>
      </c>
      <c r="O2834" t="s">
        <v>26</v>
      </c>
      <c r="P2834" t="s">
        <v>26</v>
      </c>
      <c r="Q2834" t="s">
        <v>26</v>
      </c>
      <c r="R2834" t="s">
        <v>26</v>
      </c>
      <c r="S2834" s="24">
        <v>40909</v>
      </c>
      <c r="T2834" s="24">
        <v>40909</v>
      </c>
      <c r="U2834" t="s">
        <v>26</v>
      </c>
      <c r="V2834" t="s">
        <v>26</v>
      </c>
      <c r="W2834" s="24">
        <v>40909</v>
      </c>
      <c r="X2834" s="24">
        <v>40909</v>
      </c>
      <c r="Y2834" t="s">
        <v>26</v>
      </c>
      <c r="Z2834" s="24">
        <v>40909</v>
      </c>
      <c r="AA2834" s="24">
        <v>40909</v>
      </c>
      <c r="AB2834" t="s">
        <v>26</v>
      </c>
      <c r="AC2834" s="24">
        <v>40909</v>
      </c>
      <c r="AD2834" s="24">
        <v>40909</v>
      </c>
      <c r="AE2834" t="s">
        <v>26</v>
      </c>
      <c r="AF2834" s="24">
        <v>40909</v>
      </c>
      <c r="AG2834" s="24">
        <v>40909</v>
      </c>
      <c r="AH2834" t="s">
        <v>26</v>
      </c>
      <c r="AI2834" s="24">
        <v>40909</v>
      </c>
      <c r="AJ2834" s="24">
        <v>40909</v>
      </c>
      <c r="AK2834" t="s">
        <v>26</v>
      </c>
      <c r="AL2834" t="s">
        <v>26</v>
      </c>
      <c r="AM2834" t="s">
        <v>26</v>
      </c>
      <c r="AN2834" t="s">
        <v>26</v>
      </c>
      <c r="AO2834" s="25" t="s">
        <v>28</v>
      </c>
      <c r="AP2834" s="23" t="s">
        <v>43</v>
      </c>
      <c r="AQ2834" s="23" t="s">
        <v>30</v>
      </c>
      <c r="AR2834" s="23" t="s">
        <v>46</v>
      </c>
      <c r="AS2834" s="25">
        <v>6364573</v>
      </c>
      <c r="AT2834" t="s">
        <v>26</v>
      </c>
      <c r="AU2834" t="s">
        <v>25886</v>
      </c>
    </row>
    <row r="2835" spans="1:47" ht="13.15" x14ac:dyDescent="0.4">
      <c r="A2835" s="23" t="s">
        <v>7261</v>
      </c>
      <c r="B2835" t="s">
        <v>26</v>
      </c>
      <c r="C2835" s="23" t="s">
        <v>48</v>
      </c>
      <c r="D2835" s="23" t="s">
        <v>22168</v>
      </c>
      <c r="E2835" s="23" t="s">
        <v>42</v>
      </c>
      <c r="F2835" t="s">
        <v>26</v>
      </c>
      <c r="G2835" t="s">
        <v>26</v>
      </c>
      <c r="H2835" t="s">
        <v>26</v>
      </c>
      <c r="I2835" t="s">
        <v>26</v>
      </c>
      <c r="J2835" t="s">
        <v>26</v>
      </c>
      <c r="K2835" t="s">
        <v>26</v>
      </c>
      <c r="L2835" s="25" t="s">
        <v>28</v>
      </c>
      <c r="M2835" t="s">
        <v>26</v>
      </c>
      <c r="N2835" t="s">
        <v>26</v>
      </c>
      <c r="O2835" t="s">
        <v>26</v>
      </c>
      <c r="P2835" t="s">
        <v>26</v>
      </c>
      <c r="Q2835" t="s">
        <v>26</v>
      </c>
      <c r="R2835" t="s">
        <v>26</v>
      </c>
      <c r="S2835" t="s">
        <v>26</v>
      </c>
      <c r="T2835" t="s">
        <v>26</v>
      </c>
      <c r="U2835" t="s">
        <v>26</v>
      </c>
      <c r="V2835" t="s">
        <v>26</v>
      </c>
      <c r="W2835" s="24">
        <v>41275</v>
      </c>
      <c r="X2835" s="24">
        <v>41275</v>
      </c>
      <c r="Y2835" t="s">
        <v>26</v>
      </c>
      <c r="Z2835" s="24">
        <v>41275</v>
      </c>
      <c r="AA2835" s="24">
        <v>41275</v>
      </c>
      <c r="AB2835" t="s">
        <v>26</v>
      </c>
      <c r="AC2835" t="s">
        <v>26</v>
      </c>
      <c r="AD2835" t="s">
        <v>26</v>
      </c>
      <c r="AE2835" t="s">
        <v>26</v>
      </c>
      <c r="AF2835" t="s">
        <v>26</v>
      </c>
      <c r="AG2835" t="s">
        <v>26</v>
      </c>
      <c r="AH2835" t="s">
        <v>26</v>
      </c>
      <c r="AI2835" t="s">
        <v>26</v>
      </c>
      <c r="AJ2835" t="s">
        <v>26</v>
      </c>
      <c r="AK2835" t="s">
        <v>26</v>
      </c>
      <c r="AL2835" t="s">
        <v>26</v>
      </c>
      <c r="AM2835" t="s">
        <v>26</v>
      </c>
      <c r="AN2835" t="s">
        <v>26</v>
      </c>
      <c r="AO2835" s="25" t="s">
        <v>28</v>
      </c>
      <c r="AP2835" s="23" t="s">
        <v>29</v>
      </c>
      <c r="AQ2835" s="23" t="s">
        <v>30</v>
      </c>
      <c r="AR2835" s="23" t="s">
        <v>1170</v>
      </c>
      <c r="AS2835" s="25">
        <v>5488534</v>
      </c>
      <c r="AT2835" s="23" t="s">
        <v>22181</v>
      </c>
      <c r="AU2835" t="s">
        <v>25887</v>
      </c>
    </row>
    <row r="2836" spans="1:47" ht="26.25" x14ac:dyDescent="0.4">
      <c r="A2836" s="23" t="s">
        <v>7262</v>
      </c>
      <c r="B2836" t="s">
        <v>26</v>
      </c>
      <c r="C2836" s="23" t="s">
        <v>80</v>
      </c>
      <c r="D2836" s="23" t="s">
        <v>22190</v>
      </c>
      <c r="E2836" s="23" t="s">
        <v>60</v>
      </c>
      <c r="F2836" s="25" t="s">
        <v>7263</v>
      </c>
      <c r="G2836" s="25" t="s">
        <v>7264</v>
      </c>
      <c r="H2836" t="s">
        <v>26</v>
      </c>
      <c r="I2836" t="s">
        <v>26</v>
      </c>
      <c r="J2836" t="s">
        <v>26</v>
      </c>
      <c r="K2836" t="s">
        <v>26</v>
      </c>
      <c r="L2836" s="25" t="s">
        <v>68</v>
      </c>
      <c r="M2836" t="s">
        <v>26</v>
      </c>
      <c r="N2836" t="s">
        <v>26</v>
      </c>
      <c r="O2836" t="s">
        <v>26</v>
      </c>
      <c r="P2836" t="s">
        <v>26</v>
      </c>
      <c r="Q2836" t="s">
        <v>26</v>
      </c>
      <c r="R2836" t="s">
        <v>26</v>
      </c>
      <c r="S2836" t="s">
        <v>26</v>
      </c>
      <c r="T2836" t="s">
        <v>26</v>
      </c>
      <c r="U2836" t="s">
        <v>26</v>
      </c>
      <c r="V2836" t="s">
        <v>26</v>
      </c>
      <c r="W2836" s="24">
        <v>40179</v>
      </c>
      <c r="X2836" s="25" t="s">
        <v>77</v>
      </c>
      <c r="Y2836" s="25" t="s">
        <v>2134</v>
      </c>
      <c r="Z2836" s="24">
        <v>40179</v>
      </c>
      <c r="AA2836" s="25" t="s">
        <v>77</v>
      </c>
      <c r="AB2836" s="25" t="s">
        <v>2134</v>
      </c>
      <c r="AC2836" s="24">
        <v>40179</v>
      </c>
      <c r="AD2836" s="25" t="s">
        <v>77</v>
      </c>
      <c r="AE2836" s="25" t="s">
        <v>2134</v>
      </c>
      <c r="AF2836" t="s">
        <v>26</v>
      </c>
      <c r="AG2836" t="s">
        <v>26</v>
      </c>
      <c r="AH2836" t="s">
        <v>26</v>
      </c>
      <c r="AI2836" t="s">
        <v>26</v>
      </c>
      <c r="AJ2836" t="s">
        <v>26</v>
      </c>
      <c r="AK2836" t="s">
        <v>26</v>
      </c>
      <c r="AL2836" t="s">
        <v>26</v>
      </c>
      <c r="AM2836" t="s">
        <v>26</v>
      </c>
      <c r="AN2836" t="s">
        <v>26</v>
      </c>
      <c r="AO2836" s="25" t="s">
        <v>68</v>
      </c>
      <c r="AP2836" s="23" t="s">
        <v>69</v>
      </c>
      <c r="AQ2836" s="23" t="s">
        <v>30</v>
      </c>
      <c r="AR2836" s="23" t="s">
        <v>433</v>
      </c>
      <c r="AS2836" s="25">
        <v>196247</v>
      </c>
      <c r="AT2836" t="s">
        <v>26</v>
      </c>
      <c r="AU2836" t="s">
        <v>25888</v>
      </c>
    </row>
    <row r="2837" spans="1:47" ht="26.25" x14ac:dyDescent="0.4">
      <c r="A2837" s="23" t="s">
        <v>7265</v>
      </c>
      <c r="B2837" t="s">
        <v>26</v>
      </c>
      <c r="C2837" s="23" t="s">
        <v>146</v>
      </c>
      <c r="D2837" s="23" t="s">
        <v>22174</v>
      </c>
      <c r="E2837" s="23" t="s">
        <v>60</v>
      </c>
      <c r="F2837" t="s">
        <v>26</v>
      </c>
      <c r="G2837" t="s">
        <v>26</v>
      </c>
      <c r="H2837" t="s">
        <v>26</v>
      </c>
      <c r="I2837" s="24">
        <v>42005</v>
      </c>
      <c r="J2837" s="24">
        <v>42005</v>
      </c>
      <c r="K2837" t="s">
        <v>26</v>
      </c>
      <c r="L2837" s="25" t="s">
        <v>28</v>
      </c>
      <c r="M2837" t="s">
        <v>26</v>
      </c>
      <c r="N2837" t="s">
        <v>26</v>
      </c>
      <c r="O2837" t="s">
        <v>26</v>
      </c>
      <c r="P2837" s="24">
        <v>42005</v>
      </c>
      <c r="Q2837" s="24">
        <v>42005</v>
      </c>
      <c r="R2837" t="s">
        <v>26</v>
      </c>
      <c r="S2837" t="s">
        <v>26</v>
      </c>
      <c r="T2837" t="s">
        <v>26</v>
      </c>
      <c r="U2837" t="s">
        <v>26</v>
      </c>
      <c r="V2837" t="s">
        <v>26</v>
      </c>
      <c r="W2837" s="24">
        <v>42005</v>
      </c>
      <c r="X2837" s="24">
        <v>42005</v>
      </c>
      <c r="Y2837" t="s">
        <v>26</v>
      </c>
      <c r="Z2837" s="24">
        <v>42005</v>
      </c>
      <c r="AA2837" s="24">
        <v>42005</v>
      </c>
      <c r="AB2837" t="s">
        <v>26</v>
      </c>
      <c r="AC2837" s="24">
        <v>42005</v>
      </c>
      <c r="AD2837" s="24">
        <v>42005</v>
      </c>
      <c r="AE2837" t="s">
        <v>26</v>
      </c>
      <c r="AF2837" t="s">
        <v>26</v>
      </c>
      <c r="AG2837" t="s">
        <v>26</v>
      </c>
      <c r="AH2837" t="s">
        <v>26</v>
      </c>
      <c r="AI2837" t="s">
        <v>26</v>
      </c>
      <c r="AJ2837" t="s">
        <v>26</v>
      </c>
      <c r="AK2837" t="s">
        <v>26</v>
      </c>
      <c r="AL2837" t="s">
        <v>26</v>
      </c>
      <c r="AM2837" t="s">
        <v>26</v>
      </c>
      <c r="AN2837" t="s">
        <v>26</v>
      </c>
      <c r="AO2837" s="25" t="s">
        <v>28</v>
      </c>
      <c r="AP2837" s="23" t="s">
        <v>29</v>
      </c>
      <c r="AQ2837" s="23" t="s">
        <v>30</v>
      </c>
      <c r="AR2837" s="23" t="s">
        <v>46</v>
      </c>
      <c r="AS2837" s="25">
        <v>6394506</v>
      </c>
      <c r="AT2837" t="s">
        <v>26</v>
      </c>
      <c r="AU2837" t="s">
        <v>25889</v>
      </c>
    </row>
    <row r="2838" spans="1:47" ht="26.25" x14ac:dyDescent="0.4">
      <c r="A2838" s="23" t="s">
        <v>7266</v>
      </c>
      <c r="B2838" t="s">
        <v>26</v>
      </c>
      <c r="C2838" s="23" t="s">
        <v>107</v>
      </c>
      <c r="D2838" s="23" t="s">
        <v>22194</v>
      </c>
      <c r="E2838" s="23" t="s">
        <v>42</v>
      </c>
      <c r="F2838" s="25" t="s">
        <v>7267</v>
      </c>
      <c r="G2838" s="25" t="s">
        <v>7268</v>
      </c>
      <c r="H2838" t="s">
        <v>26</v>
      </c>
      <c r="I2838" t="s">
        <v>26</v>
      </c>
      <c r="J2838" t="s">
        <v>26</v>
      </c>
      <c r="K2838" t="s">
        <v>26</v>
      </c>
      <c r="L2838" s="25" t="s">
        <v>68</v>
      </c>
      <c r="M2838" t="s">
        <v>26</v>
      </c>
      <c r="N2838" t="s">
        <v>26</v>
      </c>
      <c r="O2838" t="s">
        <v>26</v>
      </c>
      <c r="P2838" t="s">
        <v>26</v>
      </c>
      <c r="Q2838" t="s">
        <v>26</v>
      </c>
      <c r="R2838" t="s">
        <v>26</v>
      </c>
      <c r="S2838" t="s">
        <v>26</v>
      </c>
      <c r="T2838" t="s">
        <v>26</v>
      </c>
      <c r="U2838" t="s">
        <v>26</v>
      </c>
      <c r="V2838" t="s">
        <v>26</v>
      </c>
      <c r="W2838" s="24">
        <v>35977</v>
      </c>
      <c r="X2838" s="24">
        <v>37803</v>
      </c>
      <c r="Y2838" t="s">
        <v>26</v>
      </c>
      <c r="Z2838" s="24">
        <v>35977</v>
      </c>
      <c r="AA2838" s="24">
        <v>37803</v>
      </c>
      <c r="AB2838" t="s">
        <v>26</v>
      </c>
      <c r="AC2838" t="s">
        <v>26</v>
      </c>
      <c r="AD2838" t="s">
        <v>26</v>
      </c>
      <c r="AE2838" t="s">
        <v>26</v>
      </c>
      <c r="AF2838" t="s">
        <v>26</v>
      </c>
      <c r="AG2838" t="s">
        <v>26</v>
      </c>
      <c r="AH2838" t="s">
        <v>26</v>
      </c>
      <c r="AI2838" t="s">
        <v>26</v>
      </c>
      <c r="AJ2838" t="s">
        <v>26</v>
      </c>
      <c r="AK2838" t="s">
        <v>26</v>
      </c>
      <c r="AL2838" t="s">
        <v>26</v>
      </c>
      <c r="AM2838" t="s">
        <v>26</v>
      </c>
      <c r="AN2838" t="s">
        <v>26</v>
      </c>
      <c r="AO2838" s="25" t="s">
        <v>68</v>
      </c>
      <c r="AP2838" s="23" t="s">
        <v>69</v>
      </c>
      <c r="AQ2838" s="23" t="s">
        <v>30</v>
      </c>
      <c r="AR2838" s="23" t="s">
        <v>203</v>
      </c>
      <c r="AS2838" s="25">
        <v>31054</v>
      </c>
      <c r="AT2838" t="s">
        <v>26</v>
      </c>
      <c r="AU2838" t="s">
        <v>25890</v>
      </c>
    </row>
    <row r="2839" spans="1:47" ht="39.4" x14ac:dyDescent="0.4">
      <c r="A2839" s="23" t="s">
        <v>7269</v>
      </c>
      <c r="B2839" t="s">
        <v>26</v>
      </c>
      <c r="C2839" s="23" t="s">
        <v>107</v>
      </c>
      <c r="D2839" s="23" t="s">
        <v>22194</v>
      </c>
      <c r="E2839" s="23" t="s">
        <v>42</v>
      </c>
      <c r="F2839" s="25" t="s">
        <v>7270</v>
      </c>
      <c r="G2839" s="25" t="s">
        <v>7271</v>
      </c>
      <c r="H2839" t="s">
        <v>26</v>
      </c>
      <c r="I2839" t="s">
        <v>26</v>
      </c>
      <c r="J2839" t="s">
        <v>26</v>
      </c>
      <c r="K2839" t="s">
        <v>26</v>
      </c>
      <c r="L2839" s="25" t="s">
        <v>68</v>
      </c>
      <c r="M2839" t="s">
        <v>26</v>
      </c>
      <c r="N2839" t="s">
        <v>26</v>
      </c>
      <c r="O2839" t="s">
        <v>26</v>
      </c>
      <c r="P2839" t="s">
        <v>26</v>
      </c>
      <c r="Q2839" t="s">
        <v>26</v>
      </c>
      <c r="R2839" t="s">
        <v>26</v>
      </c>
      <c r="S2839" t="s">
        <v>26</v>
      </c>
      <c r="T2839" t="s">
        <v>26</v>
      </c>
      <c r="U2839" t="s">
        <v>26</v>
      </c>
      <c r="V2839" t="s">
        <v>26</v>
      </c>
      <c r="W2839" s="24">
        <v>35125</v>
      </c>
      <c r="X2839" s="25" t="s">
        <v>77</v>
      </c>
      <c r="Y2839" t="s">
        <v>26</v>
      </c>
      <c r="Z2839" s="24">
        <v>35125</v>
      </c>
      <c r="AA2839" s="25" t="s">
        <v>77</v>
      </c>
      <c r="AB2839" t="s">
        <v>26</v>
      </c>
      <c r="AC2839" s="24">
        <v>35125</v>
      </c>
      <c r="AD2839" s="25" t="s">
        <v>77</v>
      </c>
      <c r="AE2839" t="s">
        <v>26</v>
      </c>
      <c r="AF2839" t="s">
        <v>26</v>
      </c>
      <c r="AG2839" t="s">
        <v>26</v>
      </c>
      <c r="AH2839" t="s">
        <v>26</v>
      </c>
      <c r="AI2839" t="s">
        <v>26</v>
      </c>
      <c r="AJ2839" t="s">
        <v>26</v>
      </c>
      <c r="AK2839" t="s">
        <v>26</v>
      </c>
      <c r="AL2839" t="s">
        <v>26</v>
      </c>
      <c r="AM2839" t="s">
        <v>26</v>
      </c>
      <c r="AN2839" t="s">
        <v>26</v>
      </c>
      <c r="AO2839" s="25" t="s">
        <v>68</v>
      </c>
      <c r="AP2839" s="23" t="s">
        <v>69</v>
      </c>
      <c r="AQ2839" s="23" t="s">
        <v>30</v>
      </c>
      <c r="AR2839" s="23" t="s">
        <v>7272</v>
      </c>
      <c r="AS2839" s="25">
        <v>30624</v>
      </c>
      <c r="AT2839" t="s">
        <v>26</v>
      </c>
      <c r="AU2839" t="s">
        <v>25891</v>
      </c>
    </row>
    <row r="2840" spans="1:47" ht="26.25" x14ac:dyDescent="0.4">
      <c r="A2840" s="23" t="s">
        <v>7273</v>
      </c>
      <c r="B2840" t="s">
        <v>26</v>
      </c>
      <c r="C2840" s="23" t="s">
        <v>1127</v>
      </c>
      <c r="D2840" s="23" t="s">
        <v>22674</v>
      </c>
      <c r="E2840" s="23" t="s">
        <v>42</v>
      </c>
      <c r="F2840" s="25" t="s">
        <v>7274</v>
      </c>
      <c r="G2840" s="25" t="s">
        <v>7275</v>
      </c>
      <c r="H2840" t="s">
        <v>26</v>
      </c>
      <c r="I2840" t="s">
        <v>26</v>
      </c>
      <c r="J2840" t="s">
        <v>26</v>
      </c>
      <c r="K2840" t="s">
        <v>26</v>
      </c>
      <c r="L2840" s="25" t="s">
        <v>68</v>
      </c>
      <c r="M2840" t="s">
        <v>26</v>
      </c>
      <c r="N2840" t="s">
        <v>26</v>
      </c>
      <c r="O2840" t="s">
        <v>26</v>
      </c>
      <c r="P2840" t="s">
        <v>26</v>
      </c>
      <c r="Q2840" t="s">
        <v>26</v>
      </c>
      <c r="R2840" t="s">
        <v>26</v>
      </c>
      <c r="S2840" t="s">
        <v>26</v>
      </c>
      <c r="T2840" t="s">
        <v>26</v>
      </c>
      <c r="U2840" t="s">
        <v>26</v>
      </c>
      <c r="V2840" t="s">
        <v>26</v>
      </c>
      <c r="W2840" s="24">
        <v>41699</v>
      </c>
      <c r="X2840" s="25" t="s">
        <v>77</v>
      </c>
      <c r="Y2840" t="s">
        <v>26</v>
      </c>
      <c r="Z2840" s="24">
        <v>41699</v>
      </c>
      <c r="AA2840" s="25" t="s">
        <v>77</v>
      </c>
      <c r="AB2840" t="s">
        <v>26</v>
      </c>
      <c r="AC2840" s="24">
        <v>41699</v>
      </c>
      <c r="AD2840" s="25" t="s">
        <v>77</v>
      </c>
      <c r="AE2840" t="s">
        <v>26</v>
      </c>
      <c r="AF2840" t="s">
        <v>26</v>
      </c>
      <c r="AG2840" t="s">
        <v>26</v>
      </c>
      <c r="AH2840" t="s">
        <v>26</v>
      </c>
      <c r="AI2840" t="s">
        <v>26</v>
      </c>
      <c r="AJ2840" t="s">
        <v>26</v>
      </c>
      <c r="AK2840" t="s">
        <v>26</v>
      </c>
      <c r="AL2840" t="s">
        <v>26</v>
      </c>
      <c r="AM2840" t="s">
        <v>26</v>
      </c>
      <c r="AN2840" t="s">
        <v>26</v>
      </c>
      <c r="AO2840" s="25" t="s">
        <v>68</v>
      </c>
      <c r="AP2840" s="23" t="s">
        <v>69</v>
      </c>
      <c r="AQ2840" s="23" t="s">
        <v>30</v>
      </c>
      <c r="AR2840" s="23" t="s">
        <v>385</v>
      </c>
      <c r="AS2840" s="25">
        <v>2041282</v>
      </c>
      <c r="AT2840" t="s">
        <v>26</v>
      </c>
      <c r="AU2840" t="s">
        <v>25892</v>
      </c>
    </row>
    <row r="2841" spans="1:47" ht="26.25" x14ac:dyDescent="0.4">
      <c r="A2841" s="23" t="s">
        <v>7276</v>
      </c>
      <c r="B2841" t="s">
        <v>26</v>
      </c>
      <c r="C2841" s="23" t="s">
        <v>1504</v>
      </c>
      <c r="D2841" s="23" t="s">
        <v>22179</v>
      </c>
      <c r="E2841" s="23" t="s">
        <v>42</v>
      </c>
      <c r="F2841" s="25" t="s">
        <v>7277</v>
      </c>
      <c r="G2841" s="25" t="s">
        <v>7278</v>
      </c>
      <c r="H2841" t="s">
        <v>26</v>
      </c>
      <c r="I2841" s="24">
        <v>31503</v>
      </c>
      <c r="J2841" s="24">
        <v>42583</v>
      </c>
      <c r="K2841" t="s">
        <v>26</v>
      </c>
      <c r="L2841" s="25" t="s">
        <v>68</v>
      </c>
      <c r="M2841" s="24">
        <v>31503</v>
      </c>
      <c r="N2841" s="24">
        <v>42583</v>
      </c>
      <c r="O2841" t="s">
        <v>26</v>
      </c>
      <c r="P2841" s="24">
        <v>31503</v>
      </c>
      <c r="Q2841" s="24">
        <v>42583</v>
      </c>
      <c r="R2841" t="s">
        <v>26</v>
      </c>
      <c r="S2841" t="s">
        <v>26</v>
      </c>
      <c r="T2841" t="s">
        <v>26</v>
      </c>
      <c r="U2841" t="s">
        <v>26</v>
      </c>
      <c r="V2841" t="s">
        <v>26</v>
      </c>
      <c r="W2841" s="24">
        <v>31503</v>
      </c>
      <c r="X2841" s="24">
        <v>43252</v>
      </c>
      <c r="Y2841" t="s">
        <v>26</v>
      </c>
      <c r="Z2841" s="24">
        <v>31503</v>
      </c>
      <c r="AA2841" s="24">
        <v>43252</v>
      </c>
      <c r="AB2841" t="s">
        <v>26</v>
      </c>
      <c r="AC2841" s="24">
        <v>31503</v>
      </c>
      <c r="AD2841" s="24">
        <v>43101</v>
      </c>
      <c r="AE2841" t="s">
        <v>26</v>
      </c>
      <c r="AF2841" t="s">
        <v>26</v>
      </c>
      <c r="AG2841" t="s">
        <v>26</v>
      </c>
      <c r="AH2841" t="s">
        <v>26</v>
      </c>
      <c r="AI2841" t="s">
        <v>26</v>
      </c>
      <c r="AJ2841" t="s">
        <v>26</v>
      </c>
      <c r="AK2841" t="s">
        <v>26</v>
      </c>
      <c r="AL2841" t="s">
        <v>26</v>
      </c>
      <c r="AM2841" t="s">
        <v>26</v>
      </c>
      <c r="AN2841" t="s">
        <v>26</v>
      </c>
      <c r="AO2841" s="25" t="s">
        <v>68</v>
      </c>
      <c r="AP2841" s="23" t="s">
        <v>69</v>
      </c>
      <c r="AQ2841" s="23" t="s">
        <v>30</v>
      </c>
      <c r="AR2841" s="23" t="s">
        <v>7279</v>
      </c>
      <c r="AS2841" s="25">
        <v>45619</v>
      </c>
      <c r="AT2841" t="s">
        <v>26</v>
      </c>
      <c r="AU2841" t="s">
        <v>25893</v>
      </c>
    </row>
    <row r="2842" spans="1:47" ht="26.25" x14ac:dyDescent="0.4">
      <c r="A2842" s="23" t="s">
        <v>7280</v>
      </c>
      <c r="B2842" t="s">
        <v>26</v>
      </c>
      <c r="C2842" s="23" t="s">
        <v>7281</v>
      </c>
      <c r="D2842" s="23" t="s">
        <v>24702</v>
      </c>
      <c r="E2842" s="23" t="s">
        <v>42</v>
      </c>
      <c r="F2842" s="25" t="s">
        <v>7282</v>
      </c>
      <c r="G2842" s="25" t="s">
        <v>7283</v>
      </c>
      <c r="H2842" t="s">
        <v>26</v>
      </c>
      <c r="I2842" s="24">
        <v>32874</v>
      </c>
      <c r="J2842" s="25" t="s">
        <v>77</v>
      </c>
      <c r="K2842" t="s">
        <v>26</v>
      </c>
      <c r="L2842" s="25" t="s">
        <v>68</v>
      </c>
      <c r="M2842" s="24">
        <v>35339</v>
      </c>
      <c r="N2842" s="25" t="s">
        <v>77</v>
      </c>
      <c r="O2842" t="s">
        <v>26</v>
      </c>
      <c r="P2842" s="24">
        <v>32874</v>
      </c>
      <c r="Q2842" s="25" t="s">
        <v>77</v>
      </c>
      <c r="R2842" t="s">
        <v>26</v>
      </c>
      <c r="S2842" t="s">
        <v>26</v>
      </c>
      <c r="T2842" t="s">
        <v>26</v>
      </c>
      <c r="U2842" t="s">
        <v>26</v>
      </c>
      <c r="V2842" t="s">
        <v>26</v>
      </c>
      <c r="W2842" s="24">
        <v>32509</v>
      </c>
      <c r="X2842" s="25" t="s">
        <v>77</v>
      </c>
      <c r="Y2842" t="s">
        <v>26</v>
      </c>
      <c r="Z2842" s="24">
        <v>32509</v>
      </c>
      <c r="AA2842" s="25" t="s">
        <v>77</v>
      </c>
      <c r="AB2842" t="s">
        <v>26</v>
      </c>
      <c r="AC2842" s="24">
        <v>32509</v>
      </c>
      <c r="AD2842" s="25" t="s">
        <v>77</v>
      </c>
      <c r="AE2842" t="s">
        <v>26</v>
      </c>
      <c r="AF2842" t="s">
        <v>26</v>
      </c>
      <c r="AG2842" t="s">
        <v>26</v>
      </c>
      <c r="AH2842" t="s">
        <v>26</v>
      </c>
      <c r="AI2842" t="s">
        <v>26</v>
      </c>
      <c r="AJ2842" t="s">
        <v>26</v>
      </c>
      <c r="AK2842" t="s">
        <v>26</v>
      </c>
      <c r="AL2842" t="s">
        <v>26</v>
      </c>
      <c r="AM2842" t="s">
        <v>26</v>
      </c>
      <c r="AN2842" t="s">
        <v>26</v>
      </c>
      <c r="AO2842" s="25" t="s">
        <v>28</v>
      </c>
      <c r="AP2842" s="23" t="s">
        <v>69</v>
      </c>
      <c r="AQ2842" s="23" t="s">
        <v>30</v>
      </c>
      <c r="AR2842" s="23" t="s">
        <v>7284</v>
      </c>
      <c r="AS2842" s="25">
        <v>41420</v>
      </c>
      <c r="AT2842" t="s">
        <v>26</v>
      </c>
      <c r="AU2842" t="s">
        <v>25894</v>
      </c>
    </row>
    <row r="2843" spans="1:47" ht="26.25" x14ac:dyDescent="0.4">
      <c r="A2843" s="23" t="s">
        <v>7285</v>
      </c>
      <c r="B2843" t="s">
        <v>26</v>
      </c>
      <c r="C2843" s="23" t="s">
        <v>7286</v>
      </c>
      <c r="D2843" s="23" t="s">
        <v>22539</v>
      </c>
      <c r="E2843" s="23" t="s">
        <v>335</v>
      </c>
      <c r="F2843" s="25" t="s">
        <v>7287</v>
      </c>
      <c r="G2843" t="s">
        <v>26</v>
      </c>
      <c r="H2843" t="s">
        <v>26</v>
      </c>
      <c r="I2843" s="24">
        <v>37257</v>
      </c>
      <c r="J2843" s="24">
        <v>43466</v>
      </c>
      <c r="K2843" t="s">
        <v>26</v>
      </c>
      <c r="L2843" s="25" t="s">
        <v>28</v>
      </c>
      <c r="M2843" s="24">
        <v>37257</v>
      </c>
      <c r="N2843" s="24">
        <v>43466</v>
      </c>
      <c r="O2843" t="s">
        <v>26</v>
      </c>
      <c r="P2843" t="s">
        <v>26</v>
      </c>
      <c r="Q2843" t="s">
        <v>26</v>
      </c>
      <c r="R2843" t="s">
        <v>26</v>
      </c>
      <c r="S2843" t="s">
        <v>26</v>
      </c>
      <c r="T2843" t="s">
        <v>26</v>
      </c>
      <c r="U2843" t="s">
        <v>26</v>
      </c>
      <c r="V2843" t="s">
        <v>26</v>
      </c>
      <c r="W2843" s="24">
        <v>37257</v>
      </c>
      <c r="X2843" s="24">
        <v>43466</v>
      </c>
      <c r="Y2843" t="s">
        <v>26</v>
      </c>
      <c r="Z2843" s="24">
        <v>37257</v>
      </c>
      <c r="AA2843" s="24">
        <v>43466</v>
      </c>
      <c r="AB2843" t="s">
        <v>26</v>
      </c>
      <c r="AC2843" s="24">
        <v>37257</v>
      </c>
      <c r="AD2843" s="24">
        <v>43466</v>
      </c>
      <c r="AE2843" t="s">
        <v>26</v>
      </c>
      <c r="AF2843" t="s">
        <v>26</v>
      </c>
      <c r="AG2843" t="s">
        <v>26</v>
      </c>
      <c r="AH2843" t="s">
        <v>26</v>
      </c>
      <c r="AI2843" t="s">
        <v>26</v>
      </c>
      <c r="AJ2843" t="s">
        <v>26</v>
      </c>
      <c r="AK2843" t="s">
        <v>26</v>
      </c>
      <c r="AL2843" t="s">
        <v>26</v>
      </c>
      <c r="AM2843" t="s">
        <v>26</v>
      </c>
      <c r="AN2843" t="s">
        <v>26</v>
      </c>
      <c r="AO2843" s="25" t="s">
        <v>28</v>
      </c>
      <c r="AP2843" s="23" t="s">
        <v>112</v>
      </c>
      <c r="AQ2843" s="23" t="s">
        <v>30</v>
      </c>
      <c r="AR2843" s="23" t="s">
        <v>70</v>
      </c>
      <c r="AS2843" s="25">
        <v>4386062</v>
      </c>
      <c r="AT2843" t="s">
        <v>26</v>
      </c>
      <c r="AU2843" t="s">
        <v>25895</v>
      </c>
    </row>
    <row r="2844" spans="1:47" ht="26.25" x14ac:dyDescent="0.4">
      <c r="A2844" s="23" t="s">
        <v>7288</v>
      </c>
      <c r="B2844" t="s">
        <v>26</v>
      </c>
      <c r="C2844" s="23" t="s">
        <v>80</v>
      </c>
      <c r="D2844" s="23" t="s">
        <v>22190</v>
      </c>
      <c r="E2844" s="23" t="s">
        <v>60</v>
      </c>
      <c r="F2844" s="25" t="s">
        <v>7289</v>
      </c>
      <c r="G2844" s="25" t="s">
        <v>7290</v>
      </c>
      <c r="H2844" t="s">
        <v>26</v>
      </c>
      <c r="I2844" t="s">
        <v>26</v>
      </c>
      <c r="J2844" t="s">
        <v>26</v>
      </c>
      <c r="K2844" t="s">
        <v>26</v>
      </c>
      <c r="L2844" s="25" t="s">
        <v>68</v>
      </c>
      <c r="M2844" t="s">
        <v>26</v>
      </c>
      <c r="N2844" t="s">
        <v>26</v>
      </c>
      <c r="O2844" t="s">
        <v>26</v>
      </c>
      <c r="P2844" t="s">
        <v>26</v>
      </c>
      <c r="Q2844" t="s">
        <v>26</v>
      </c>
      <c r="R2844" t="s">
        <v>26</v>
      </c>
      <c r="S2844" t="s">
        <v>26</v>
      </c>
      <c r="T2844" t="s">
        <v>26</v>
      </c>
      <c r="U2844" t="s">
        <v>26</v>
      </c>
      <c r="V2844" t="s">
        <v>26</v>
      </c>
      <c r="W2844" s="24">
        <v>40179</v>
      </c>
      <c r="X2844" s="25" t="s">
        <v>77</v>
      </c>
      <c r="Y2844" t="s">
        <v>26</v>
      </c>
      <c r="Z2844" s="24">
        <v>40179</v>
      </c>
      <c r="AA2844" s="25" t="s">
        <v>77</v>
      </c>
      <c r="AB2844" t="s">
        <v>26</v>
      </c>
      <c r="AC2844" s="24">
        <v>40179</v>
      </c>
      <c r="AD2844" s="25" t="s">
        <v>77</v>
      </c>
      <c r="AE2844" t="s">
        <v>26</v>
      </c>
      <c r="AF2844" t="s">
        <v>26</v>
      </c>
      <c r="AG2844" t="s">
        <v>26</v>
      </c>
      <c r="AH2844" t="s">
        <v>26</v>
      </c>
      <c r="AI2844" t="s">
        <v>26</v>
      </c>
      <c r="AJ2844" t="s">
        <v>26</v>
      </c>
      <c r="AK2844" t="s">
        <v>26</v>
      </c>
      <c r="AL2844" t="s">
        <v>26</v>
      </c>
      <c r="AM2844" t="s">
        <v>26</v>
      </c>
      <c r="AN2844" t="s">
        <v>26</v>
      </c>
      <c r="AO2844" s="25" t="s">
        <v>68</v>
      </c>
      <c r="AP2844" s="23" t="s">
        <v>69</v>
      </c>
      <c r="AQ2844" s="23" t="s">
        <v>30</v>
      </c>
      <c r="AR2844" s="23" t="s">
        <v>46</v>
      </c>
      <c r="AS2844" s="25">
        <v>216145</v>
      </c>
      <c r="AT2844" t="s">
        <v>26</v>
      </c>
      <c r="AU2844" t="s">
        <v>25896</v>
      </c>
    </row>
    <row r="2845" spans="1:47" ht="26.25" x14ac:dyDescent="0.4">
      <c r="A2845" s="23" t="s">
        <v>7291</v>
      </c>
      <c r="B2845" t="s">
        <v>26</v>
      </c>
      <c r="C2845" s="23" t="s">
        <v>80</v>
      </c>
      <c r="D2845" s="23" t="s">
        <v>22267</v>
      </c>
      <c r="E2845" s="23" t="s">
        <v>60</v>
      </c>
      <c r="F2845" s="25" t="s">
        <v>7292</v>
      </c>
      <c r="G2845" s="25" t="s">
        <v>7293</v>
      </c>
      <c r="H2845" t="s">
        <v>26</v>
      </c>
      <c r="I2845" t="s">
        <v>26</v>
      </c>
      <c r="J2845" t="s">
        <v>26</v>
      </c>
      <c r="K2845" t="s">
        <v>26</v>
      </c>
      <c r="L2845" s="25" t="s">
        <v>68</v>
      </c>
      <c r="M2845" t="s">
        <v>26</v>
      </c>
      <c r="N2845" t="s">
        <v>26</v>
      </c>
      <c r="O2845" t="s">
        <v>26</v>
      </c>
      <c r="P2845" t="s">
        <v>26</v>
      </c>
      <c r="Q2845" t="s">
        <v>26</v>
      </c>
      <c r="R2845" t="s">
        <v>26</v>
      </c>
      <c r="S2845" t="s">
        <v>26</v>
      </c>
      <c r="T2845" t="s">
        <v>26</v>
      </c>
      <c r="U2845" t="s">
        <v>26</v>
      </c>
      <c r="V2845" t="s">
        <v>26</v>
      </c>
      <c r="W2845" s="24">
        <v>42370</v>
      </c>
      <c r="X2845" s="25" t="s">
        <v>77</v>
      </c>
      <c r="Y2845" t="s">
        <v>26</v>
      </c>
      <c r="Z2845" s="24">
        <v>42370</v>
      </c>
      <c r="AA2845" s="25" t="s">
        <v>77</v>
      </c>
      <c r="AB2845" t="s">
        <v>26</v>
      </c>
      <c r="AC2845" s="24">
        <v>42370</v>
      </c>
      <c r="AD2845" s="25" t="s">
        <v>77</v>
      </c>
      <c r="AE2845" t="s">
        <v>26</v>
      </c>
      <c r="AF2845" t="s">
        <v>26</v>
      </c>
      <c r="AG2845" t="s">
        <v>26</v>
      </c>
      <c r="AH2845" t="s">
        <v>26</v>
      </c>
      <c r="AI2845" t="s">
        <v>26</v>
      </c>
      <c r="AJ2845" t="s">
        <v>26</v>
      </c>
      <c r="AK2845" t="s">
        <v>26</v>
      </c>
      <c r="AL2845" t="s">
        <v>26</v>
      </c>
      <c r="AM2845" t="s">
        <v>26</v>
      </c>
      <c r="AN2845" t="s">
        <v>26</v>
      </c>
      <c r="AO2845" s="25" t="s">
        <v>68</v>
      </c>
      <c r="AP2845" s="23" t="s">
        <v>69</v>
      </c>
      <c r="AQ2845" s="23" t="s">
        <v>30</v>
      </c>
      <c r="AR2845" s="23" t="s">
        <v>46</v>
      </c>
      <c r="AS2845" s="25">
        <v>53049</v>
      </c>
      <c r="AT2845" t="s">
        <v>26</v>
      </c>
      <c r="AU2845" t="s">
        <v>25897</v>
      </c>
    </row>
    <row r="2846" spans="1:47" ht="26.25" x14ac:dyDescent="0.4">
      <c r="A2846" s="23" t="s">
        <v>7294</v>
      </c>
      <c r="B2846" t="s">
        <v>26</v>
      </c>
      <c r="C2846" s="23" t="s">
        <v>167</v>
      </c>
      <c r="D2846" s="23" t="s">
        <v>22218</v>
      </c>
      <c r="E2846" s="23" t="s">
        <v>60</v>
      </c>
      <c r="F2846" s="25" t="s">
        <v>7295</v>
      </c>
      <c r="G2846" s="25" t="s">
        <v>7296</v>
      </c>
      <c r="H2846" t="s">
        <v>26</v>
      </c>
      <c r="I2846" s="24">
        <v>36892</v>
      </c>
      <c r="J2846" s="25" t="s">
        <v>77</v>
      </c>
      <c r="K2846" s="25" t="s">
        <v>2134</v>
      </c>
      <c r="L2846" s="25" t="s">
        <v>68</v>
      </c>
      <c r="M2846" s="24">
        <v>37803</v>
      </c>
      <c r="N2846" s="25" t="s">
        <v>77</v>
      </c>
      <c r="O2846" s="25" t="s">
        <v>2134</v>
      </c>
      <c r="P2846" s="24">
        <v>36892</v>
      </c>
      <c r="Q2846" s="25" t="s">
        <v>77</v>
      </c>
      <c r="R2846" s="25" t="s">
        <v>2134</v>
      </c>
      <c r="S2846" t="s">
        <v>26</v>
      </c>
      <c r="T2846" t="s">
        <v>26</v>
      </c>
      <c r="U2846" t="s">
        <v>26</v>
      </c>
      <c r="V2846" s="25">
        <v>365</v>
      </c>
      <c r="W2846" s="24">
        <v>36892</v>
      </c>
      <c r="X2846" s="25" t="s">
        <v>77</v>
      </c>
      <c r="Y2846" s="25" t="s">
        <v>2134</v>
      </c>
      <c r="Z2846" s="24">
        <v>36892</v>
      </c>
      <c r="AA2846" s="25" t="s">
        <v>77</v>
      </c>
      <c r="AB2846" s="25" t="s">
        <v>2134</v>
      </c>
      <c r="AC2846" s="24">
        <v>36892</v>
      </c>
      <c r="AD2846" s="25" t="s">
        <v>77</v>
      </c>
      <c r="AE2846" s="25" t="s">
        <v>2134</v>
      </c>
      <c r="AF2846" t="s">
        <v>26</v>
      </c>
      <c r="AG2846" t="s">
        <v>26</v>
      </c>
      <c r="AH2846" t="s">
        <v>26</v>
      </c>
      <c r="AI2846" t="s">
        <v>26</v>
      </c>
      <c r="AJ2846" t="s">
        <v>26</v>
      </c>
      <c r="AK2846" t="s">
        <v>26</v>
      </c>
      <c r="AL2846" t="s">
        <v>26</v>
      </c>
      <c r="AM2846" t="s">
        <v>26</v>
      </c>
      <c r="AN2846" t="s">
        <v>26</v>
      </c>
      <c r="AO2846" s="25" t="s">
        <v>68</v>
      </c>
      <c r="AP2846" s="23" t="s">
        <v>69</v>
      </c>
      <c r="AQ2846" s="23" t="s">
        <v>30</v>
      </c>
      <c r="AR2846" s="23" t="s">
        <v>1893</v>
      </c>
      <c r="AS2846" s="25">
        <v>31753</v>
      </c>
      <c r="AT2846" t="s">
        <v>26</v>
      </c>
      <c r="AU2846" t="s">
        <v>25898</v>
      </c>
    </row>
    <row r="2847" spans="1:47" ht="26.25" x14ac:dyDescent="0.4">
      <c r="A2847" s="23" t="s">
        <v>7297</v>
      </c>
      <c r="B2847" t="s">
        <v>26</v>
      </c>
      <c r="C2847" s="23" t="s">
        <v>22238</v>
      </c>
      <c r="D2847" s="23" t="s">
        <v>22307</v>
      </c>
      <c r="E2847" s="23" t="s">
        <v>42</v>
      </c>
      <c r="F2847" t="s">
        <v>26</v>
      </c>
      <c r="G2847" t="s">
        <v>26</v>
      </c>
      <c r="H2847" t="s">
        <v>26</v>
      </c>
      <c r="I2847" s="24">
        <v>42370</v>
      </c>
      <c r="J2847" s="24">
        <v>42370</v>
      </c>
      <c r="K2847" t="s">
        <v>26</v>
      </c>
      <c r="L2847" s="25" t="s">
        <v>28</v>
      </c>
      <c r="M2847" s="24">
        <v>42370</v>
      </c>
      <c r="N2847" s="24">
        <v>42370</v>
      </c>
      <c r="O2847" t="s">
        <v>26</v>
      </c>
      <c r="P2847" t="s">
        <v>26</v>
      </c>
      <c r="Q2847" t="s">
        <v>26</v>
      </c>
      <c r="R2847" t="s">
        <v>26</v>
      </c>
      <c r="S2847" s="24">
        <v>42370</v>
      </c>
      <c r="T2847" s="24">
        <v>42370</v>
      </c>
      <c r="U2847" t="s">
        <v>26</v>
      </c>
      <c r="V2847" t="s">
        <v>26</v>
      </c>
      <c r="W2847" s="24">
        <v>42370</v>
      </c>
      <c r="X2847" s="24">
        <v>42370</v>
      </c>
      <c r="Y2847" t="s">
        <v>26</v>
      </c>
      <c r="Z2847" s="24">
        <v>42370</v>
      </c>
      <c r="AA2847" s="24">
        <v>42370</v>
      </c>
      <c r="AB2847" t="s">
        <v>26</v>
      </c>
      <c r="AC2847" s="24">
        <v>42370</v>
      </c>
      <c r="AD2847" s="24">
        <v>42370</v>
      </c>
      <c r="AE2847" t="s">
        <v>26</v>
      </c>
      <c r="AF2847" s="24">
        <v>42370</v>
      </c>
      <c r="AG2847" s="24">
        <v>42370</v>
      </c>
      <c r="AH2847" t="s">
        <v>26</v>
      </c>
      <c r="AI2847" s="24">
        <v>42370</v>
      </c>
      <c r="AJ2847" s="24">
        <v>42370</v>
      </c>
      <c r="AK2847" t="s">
        <v>26</v>
      </c>
      <c r="AL2847" t="s">
        <v>26</v>
      </c>
      <c r="AM2847" t="s">
        <v>26</v>
      </c>
      <c r="AN2847" t="s">
        <v>26</v>
      </c>
      <c r="AO2847" s="25" t="s">
        <v>28</v>
      </c>
      <c r="AP2847" s="23" t="s">
        <v>43</v>
      </c>
      <c r="AQ2847" s="23" t="s">
        <v>30</v>
      </c>
      <c r="AR2847" s="23" t="s">
        <v>46</v>
      </c>
      <c r="AS2847" s="25">
        <v>6447801</v>
      </c>
      <c r="AT2847" t="s">
        <v>26</v>
      </c>
      <c r="AU2847" t="s">
        <v>25899</v>
      </c>
    </row>
    <row r="2848" spans="1:47" ht="26.25" x14ac:dyDescent="0.4">
      <c r="A2848" s="23" t="s">
        <v>7298</v>
      </c>
      <c r="B2848" t="s">
        <v>26</v>
      </c>
      <c r="C2848" s="23" t="s">
        <v>22238</v>
      </c>
      <c r="D2848" s="23" t="s">
        <v>22307</v>
      </c>
      <c r="E2848" s="23" t="s">
        <v>42</v>
      </c>
      <c r="F2848" t="s">
        <v>26</v>
      </c>
      <c r="G2848" t="s">
        <v>26</v>
      </c>
      <c r="H2848" t="s">
        <v>26</v>
      </c>
      <c r="I2848" s="24">
        <v>41640</v>
      </c>
      <c r="J2848" s="24">
        <v>41640</v>
      </c>
      <c r="K2848" t="s">
        <v>26</v>
      </c>
      <c r="L2848" s="25" t="s">
        <v>28</v>
      </c>
      <c r="M2848" s="24">
        <v>41640</v>
      </c>
      <c r="N2848" s="24">
        <v>41640</v>
      </c>
      <c r="O2848" t="s">
        <v>26</v>
      </c>
      <c r="P2848" t="s">
        <v>26</v>
      </c>
      <c r="Q2848" t="s">
        <v>26</v>
      </c>
      <c r="R2848" t="s">
        <v>26</v>
      </c>
      <c r="S2848" s="24">
        <v>41640</v>
      </c>
      <c r="T2848" s="24">
        <v>41640</v>
      </c>
      <c r="U2848" t="s">
        <v>26</v>
      </c>
      <c r="V2848" t="s">
        <v>26</v>
      </c>
      <c r="W2848" s="24">
        <v>41640</v>
      </c>
      <c r="X2848" s="24">
        <v>41640</v>
      </c>
      <c r="Y2848" t="s">
        <v>26</v>
      </c>
      <c r="Z2848" s="24">
        <v>41640</v>
      </c>
      <c r="AA2848" s="24">
        <v>41640</v>
      </c>
      <c r="AB2848" t="s">
        <v>26</v>
      </c>
      <c r="AC2848" s="24">
        <v>41640</v>
      </c>
      <c r="AD2848" s="24">
        <v>41640</v>
      </c>
      <c r="AE2848" t="s">
        <v>26</v>
      </c>
      <c r="AF2848" s="24">
        <v>41640</v>
      </c>
      <c r="AG2848" s="24">
        <v>41640</v>
      </c>
      <c r="AH2848" t="s">
        <v>26</v>
      </c>
      <c r="AI2848" s="24">
        <v>41640</v>
      </c>
      <c r="AJ2848" s="24">
        <v>41640</v>
      </c>
      <c r="AK2848" t="s">
        <v>26</v>
      </c>
      <c r="AL2848" t="s">
        <v>26</v>
      </c>
      <c r="AM2848" t="s">
        <v>26</v>
      </c>
      <c r="AN2848" t="s">
        <v>26</v>
      </c>
      <c r="AO2848" s="25" t="s">
        <v>28</v>
      </c>
      <c r="AP2848" s="23" t="s">
        <v>43</v>
      </c>
      <c r="AQ2848" s="23" t="s">
        <v>30</v>
      </c>
      <c r="AR2848" s="23" t="s">
        <v>46</v>
      </c>
      <c r="AS2848" s="25">
        <v>6447800</v>
      </c>
      <c r="AT2848" t="s">
        <v>26</v>
      </c>
      <c r="AU2848" t="s">
        <v>25900</v>
      </c>
    </row>
    <row r="2849" spans="1:47" ht="26.25" x14ac:dyDescent="0.4">
      <c r="A2849" s="23" t="s">
        <v>7299</v>
      </c>
      <c r="B2849" t="s">
        <v>26</v>
      </c>
      <c r="C2849" s="23" t="s">
        <v>22238</v>
      </c>
      <c r="D2849" s="23" t="s">
        <v>22307</v>
      </c>
      <c r="E2849" s="23" t="s">
        <v>42</v>
      </c>
      <c r="F2849" t="s">
        <v>26</v>
      </c>
      <c r="G2849" t="s">
        <v>26</v>
      </c>
      <c r="H2849" t="s">
        <v>26</v>
      </c>
      <c r="I2849" s="24">
        <v>42005</v>
      </c>
      <c r="J2849" s="24">
        <v>42005</v>
      </c>
      <c r="K2849" t="s">
        <v>26</v>
      </c>
      <c r="L2849" s="25" t="s">
        <v>28</v>
      </c>
      <c r="M2849" s="24">
        <v>42005</v>
      </c>
      <c r="N2849" s="24">
        <v>42005</v>
      </c>
      <c r="O2849" t="s">
        <v>26</v>
      </c>
      <c r="P2849" t="s">
        <v>26</v>
      </c>
      <c r="Q2849" t="s">
        <v>26</v>
      </c>
      <c r="R2849" t="s">
        <v>26</v>
      </c>
      <c r="S2849" s="24">
        <v>42005</v>
      </c>
      <c r="T2849" s="24">
        <v>42005</v>
      </c>
      <c r="U2849" t="s">
        <v>26</v>
      </c>
      <c r="V2849" t="s">
        <v>26</v>
      </c>
      <c r="W2849" s="24">
        <v>42005</v>
      </c>
      <c r="X2849" s="24">
        <v>42005</v>
      </c>
      <c r="Y2849" t="s">
        <v>26</v>
      </c>
      <c r="Z2849" s="24">
        <v>42005</v>
      </c>
      <c r="AA2849" s="24">
        <v>42005</v>
      </c>
      <c r="AB2849" t="s">
        <v>26</v>
      </c>
      <c r="AC2849" s="24">
        <v>42005</v>
      </c>
      <c r="AD2849" s="24">
        <v>42005</v>
      </c>
      <c r="AE2849" t="s">
        <v>26</v>
      </c>
      <c r="AF2849" s="24">
        <v>42005</v>
      </c>
      <c r="AG2849" s="24">
        <v>42005</v>
      </c>
      <c r="AH2849" t="s">
        <v>26</v>
      </c>
      <c r="AI2849" s="24">
        <v>42005</v>
      </c>
      <c r="AJ2849" s="24">
        <v>42005</v>
      </c>
      <c r="AK2849" t="s">
        <v>26</v>
      </c>
      <c r="AL2849" t="s">
        <v>26</v>
      </c>
      <c r="AM2849" t="s">
        <v>26</v>
      </c>
      <c r="AN2849" t="s">
        <v>26</v>
      </c>
      <c r="AO2849" s="25" t="s">
        <v>28</v>
      </c>
      <c r="AP2849" s="23" t="s">
        <v>43</v>
      </c>
      <c r="AQ2849" s="23" t="s">
        <v>30</v>
      </c>
      <c r="AR2849" s="23" t="s">
        <v>46</v>
      </c>
      <c r="AS2849" s="25">
        <v>6447799</v>
      </c>
      <c r="AT2849" t="s">
        <v>26</v>
      </c>
      <c r="AU2849" t="s">
        <v>25901</v>
      </c>
    </row>
    <row r="2850" spans="1:47" ht="26.25" x14ac:dyDescent="0.4">
      <c r="A2850" s="23" t="s">
        <v>7300</v>
      </c>
      <c r="B2850" t="s">
        <v>26</v>
      </c>
      <c r="C2850" s="23" t="s">
        <v>22238</v>
      </c>
      <c r="D2850" s="23" t="s">
        <v>22307</v>
      </c>
      <c r="E2850" s="23" t="s">
        <v>42</v>
      </c>
      <c r="F2850" t="s">
        <v>26</v>
      </c>
      <c r="G2850" t="s">
        <v>26</v>
      </c>
      <c r="H2850" t="s">
        <v>26</v>
      </c>
      <c r="I2850" s="24">
        <v>41640</v>
      </c>
      <c r="J2850" s="24">
        <v>41640</v>
      </c>
      <c r="K2850" t="s">
        <v>26</v>
      </c>
      <c r="L2850" s="25" t="s">
        <v>28</v>
      </c>
      <c r="M2850" s="24">
        <v>41640</v>
      </c>
      <c r="N2850" s="24">
        <v>41640</v>
      </c>
      <c r="O2850" t="s">
        <v>26</v>
      </c>
      <c r="P2850" t="s">
        <v>26</v>
      </c>
      <c r="Q2850" t="s">
        <v>26</v>
      </c>
      <c r="R2850" t="s">
        <v>26</v>
      </c>
      <c r="S2850" s="24">
        <v>41640</v>
      </c>
      <c r="T2850" s="24">
        <v>41640</v>
      </c>
      <c r="U2850" t="s">
        <v>26</v>
      </c>
      <c r="V2850" t="s">
        <v>26</v>
      </c>
      <c r="W2850" s="24">
        <v>41640</v>
      </c>
      <c r="X2850" s="24">
        <v>41640</v>
      </c>
      <c r="Y2850" t="s">
        <v>26</v>
      </c>
      <c r="Z2850" s="24">
        <v>41640</v>
      </c>
      <c r="AA2850" s="24">
        <v>41640</v>
      </c>
      <c r="AB2850" t="s">
        <v>26</v>
      </c>
      <c r="AC2850" s="24">
        <v>41640</v>
      </c>
      <c r="AD2850" s="24">
        <v>41640</v>
      </c>
      <c r="AE2850" t="s">
        <v>26</v>
      </c>
      <c r="AF2850" s="24">
        <v>41640</v>
      </c>
      <c r="AG2850" s="24">
        <v>41640</v>
      </c>
      <c r="AH2850" t="s">
        <v>26</v>
      </c>
      <c r="AI2850" s="24">
        <v>41640</v>
      </c>
      <c r="AJ2850" s="24">
        <v>41640</v>
      </c>
      <c r="AK2850" t="s">
        <v>26</v>
      </c>
      <c r="AL2850" t="s">
        <v>26</v>
      </c>
      <c r="AM2850" t="s">
        <v>26</v>
      </c>
      <c r="AN2850" t="s">
        <v>26</v>
      </c>
      <c r="AO2850" s="25" t="s">
        <v>28</v>
      </c>
      <c r="AP2850" s="23" t="s">
        <v>43</v>
      </c>
      <c r="AQ2850" s="23" t="s">
        <v>30</v>
      </c>
      <c r="AR2850" s="23" t="s">
        <v>46</v>
      </c>
      <c r="AS2850" s="25">
        <v>6447798</v>
      </c>
      <c r="AT2850" t="s">
        <v>26</v>
      </c>
      <c r="AU2850" t="s">
        <v>25902</v>
      </c>
    </row>
    <row r="2851" spans="1:47" ht="26.25" x14ac:dyDescent="0.4">
      <c r="A2851" s="23" t="s">
        <v>7301</v>
      </c>
      <c r="B2851" t="s">
        <v>26</v>
      </c>
      <c r="C2851" s="23" t="s">
        <v>22238</v>
      </c>
      <c r="D2851" s="23" t="s">
        <v>22307</v>
      </c>
      <c r="E2851" s="23" t="s">
        <v>42</v>
      </c>
      <c r="F2851" t="s">
        <v>26</v>
      </c>
      <c r="G2851" t="s">
        <v>26</v>
      </c>
      <c r="H2851" t="s">
        <v>26</v>
      </c>
      <c r="I2851" s="24">
        <v>40909</v>
      </c>
      <c r="J2851" s="24">
        <v>42370</v>
      </c>
      <c r="K2851" t="s">
        <v>26</v>
      </c>
      <c r="L2851" s="25" t="s">
        <v>28</v>
      </c>
      <c r="M2851" s="24">
        <v>40909</v>
      </c>
      <c r="N2851" s="24">
        <v>42370</v>
      </c>
      <c r="O2851" t="s">
        <v>26</v>
      </c>
      <c r="P2851" t="s">
        <v>26</v>
      </c>
      <c r="Q2851" t="s">
        <v>26</v>
      </c>
      <c r="R2851" t="s">
        <v>26</v>
      </c>
      <c r="S2851" s="24">
        <v>40909</v>
      </c>
      <c r="T2851" s="24">
        <v>42370</v>
      </c>
      <c r="U2851" t="s">
        <v>26</v>
      </c>
      <c r="V2851" t="s">
        <v>26</v>
      </c>
      <c r="W2851" s="24">
        <v>40909</v>
      </c>
      <c r="X2851" s="24">
        <v>42370</v>
      </c>
      <c r="Y2851" t="s">
        <v>26</v>
      </c>
      <c r="Z2851" s="24">
        <v>40909</v>
      </c>
      <c r="AA2851" s="24">
        <v>42370</v>
      </c>
      <c r="AB2851" t="s">
        <v>26</v>
      </c>
      <c r="AC2851" s="24">
        <v>40909</v>
      </c>
      <c r="AD2851" s="24">
        <v>42370</v>
      </c>
      <c r="AE2851" t="s">
        <v>26</v>
      </c>
      <c r="AF2851" s="24">
        <v>40909</v>
      </c>
      <c r="AG2851" s="24">
        <v>42370</v>
      </c>
      <c r="AH2851" t="s">
        <v>26</v>
      </c>
      <c r="AI2851" s="24">
        <v>40909</v>
      </c>
      <c r="AJ2851" s="24">
        <v>42370</v>
      </c>
      <c r="AK2851" t="s">
        <v>26</v>
      </c>
      <c r="AL2851" t="s">
        <v>26</v>
      </c>
      <c r="AM2851" t="s">
        <v>26</v>
      </c>
      <c r="AN2851" t="s">
        <v>26</v>
      </c>
      <c r="AO2851" s="25" t="s">
        <v>28</v>
      </c>
      <c r="AP2851" s="23" t="s">
        <v>43</v>
      </c>
      <c r="AQ2851" s="23" t="s">
        <v>30</v>
      </c>
      <c r="AR2851" s="23" t="s">
        <v>46</v>
      </c>
      <c r="AS2851" s="25">
        <v>6447797</v>
      </c>
      <c r="AT2851" t="s">
        <v>26</v>
      </c>
      <c r="AU2851" t="s">
        <v>25903</v>
      </c>
    </row>
    <row r="2852" spans="1:47" ht="26.25" x14ac:dyDescent="0.4">
      <c r="A2852" s="23" t="s">
        <v>7302</v>
      </c>
      <c r="B2852" t="s">
        <v>26</v>
      </c>
      <c r="C2852" s="23" t="s">
        <v>22238</v>
      </c>
      <c r="D2852" s="23" t="s">
        <v>22307</v>
      </c>
      <c r="E2852" s="23" t="s">
        <v>42</v>
      </c>
      <c r="F2852" t="s">
        <v>26</v>
      </c>
      <c r="G2852" t="s">
        <v>26</v>
      </c>
      <c r="H2852" t="s">
        <v>26</v>
      </c>
      <c r="I2852" s="24">
        <v>41640</v>
      </c>
      <c r="J2852" s="24">
        <v>41640</v>
      </c>
      <c r="K2852" t="s">
        <v>26</v>
      </c>
      <c r="L2852" s="25" t="s">
        <v>28</v>
      </c>
      <c r="M2852" s="24">
        <v>41640</v>
      </c>
      <c r="N2852" s="24">
        <v>41640</v>
      </c>
      <c r="O2852" t="s">
        <v>26</v>
      </c>
      <c r="P2852" t="s">
        <v>26</v>
      </c>
      <c r="Q2852" t="s">
        <v>26</v>
      </c>
      <c r="R2852" t="s">
        <v>26</v>
      </c>
      <c r="S2852" s="24">
        <v>41640</v>
      </c>
      <c r="T2852" s="24">
        <v>41640</v>
      </c>
      <c r="U2852" t="s">
        <v>26</v>
      </c>
      <c r="V2852" t="s">
        <v>26</v>
      </c>
      <c r="W2852" s="24">
        <v>41640</v>
      </c>
      <c r="X2852" s="24">
        <v>41640</v>
      </c>
      <c r="Y2852" t="s">
        <v>26</v>
      </c>
      <c r="Z2852" s="24">
        <v>41640</v>
      </c>
      <c r="AA2852" s="24">
        <v>41640</v>
      </c>
      <c r="AB2852" t="s">
        <v>26</v>
      </c>
      <c r="AC2852" s="24">
        <v>41640</v>
      </c>
      <c r="AD2852" s="24">
        <v>41640</v>
      </c>
      <c r="AE2852" t="s">
        <v>26</v>
      </c>
      <c r="AF2852" s="24">
        <v>41640</v>
      </c>
      <c r="AG2852" s="24">
        <v>41640</v>
      </c>
      <c r="AH2852" t="s">
        <v>26</v>
      </c>
      <c r="AI2852" s="24">
        <v>41640</v>
      </c>
      <c r="AJ2852" s="24">
        <v>41640</v>
      </c>
      <c r="AK2852" t="s">
        <v>26</v>
      </c>
      <c r="AL2852" t="s">
        <v>26</v>
      </c>
      <c r="AM2852" t="s">
        <v>26</v>
      </c>
      <c r="AN2852" t="s">
        <v>26</v>
      </c>
      <c r="AO2852" s="25" t="s">
        <v>28</v>
      </c>
      <c r="AP2852" s="23" t="s">
        <v>43</v>
      </c>
      <c r="AQ2852" s="23" t="s">
        <v>30</v>
      </c>
      <c r="AR2852" s="23" t="s">
        <v>46</v>
      </c>
      <c r="AS2852" s="25">
        <v>6447796</v>
      </c>
      <c r="AT2852" t="s">
        <v>26</v>
      </c>
      <c r="AU2852" t="s">
        <v>25904</v>
      </c>
    </row>
    <row r="2853" spans="1:47" ht="26.25" x14ac:dyDescent="0.4">
      <c r="A2853" s="23" t="s">
        <v>7303</v>
      </c>
      <c r="B2853" t="s">
        <v>26</v>
      </c>
      <c r="C2853" s="23" t="s">
        <v>22238</v>
      </c>
      <c r="D2853" s="23" t="s">
        <v>22307</v>
      </c>
      <c r="E2853" s="23" t="s">
        <v>42</v>
      </c>
      <c r="F2853" t="s">
        <v>26</v>
      </c>
      <c r="G2853" t="s">
        <v>26</v>
      </c>
      <c r="H2853" t="s">
        <v>26</v>
      </c>
      <c r="I2853" s="24">
        <v>42005</v>
      </c>
      <c r="J2853" s="24">
        <v>42005</v>
      </c>
      <c r="K2853" t="s">
        <v>26</v>
      </c>
      <c r="L2853" s="25" t="s">
        <v>28</v>
      </c>
      <c r="M2853" s="24">
        <v>42005</v>
      </c>
      <c r="N2853" s="24">
        <v>42005</v>
      </c>
      <c r="O2853" t="s">
        <v>26</v>
      </c>
      <c r="P2853" t="s">
        <v>26</v>
      </c>
      <c r="Q2853" t="s">
        <v>26</v>
      </c>
      <c r="R2853" t="s">
        <v>26</v>
      </c>
      <c r="S2853" s="24">
        <v>42005</v>
      </c>
      <c r="T2853" s="24">
        <v>42005</v>
      </c>
      <c r="U2853" t="s">
        <v>26</v>
      </c>
      <c r="V2853" t="s">
        <v>26</v>
      </c>
      <c r="W2853" s="24">
        <v>42005</v>
      </c>
      <c r="X2853" s="24">
        <v>42005</v>
      </c>
      <c r="Y2853" t="s">
        <v>26</v>
      </c>
      <c r="Z2853" s="24">
        <v>42005</v>
      </c>
      <c r="AA2853" s="24">
        <v>42005</v>
      </c>
      <c r="AB2853" t="s">
        <v>26</v>
      </c>
      <c r="AC2853" s="24">
        <v>42005</v>
      </c>
      <c r="AD2853" s="24">
        <v>42005</v>
      </c>
      <c r="AE2853" t="s">
        <v>26</v>
      </c>
      <c r="AF2853" s="24">
        <v>42005</v>
      </c>
      <c r="AG2853" s="24">
        <v>42005</v>
      </c>
      <c r="AH2853" t="s">
        <v>26</v>
      </c>
      <c r="AI2853" s="24">
        <v>42005</v>
      </c>
      <c r="AJ2853" s="24">
        <v>42005</v>
      </c>
      <c r="AK2853" t="s">
        <v>26</v>
      </c>
      <c r="AL2853" t="s">
        <v>26</v>
      </c>
      <c r="AM2853" t="s">
        <v>26</v>
      </c>
      <c r="AN2853" t="s">
        <v>26</v>
      </c>
      <c r="AO2853" s="25" t="s">
        <v>28</v>
      </c>
      <c r="AP2853" s="23" t="s">
        <v>43</v>
      </c>
      <c r="AQ2853" s="23" t="s">
        <v>30</v>
      </c>
      <c r="AR2853" s="23" t="s">
        <v>46</v>
      </c>
      <c r="AS2853" s="25">
        <v>6447795</v>
      </c>
      <c r="AT2853" t="s">
        <v>26</v>
      </c>
      <c r="AU2853" t="s">
        <v>25905</v>
      </c>
    </row>
    <row r="2854" spans="1:47" ht="26.25" x14ac:dyDescent="0.4">
      <c r="A2854" s="23" t="s">
        <v>7304</v>
      </c>
      <c r="B2854" t="s">
        <v>26</v>
      </c>
      <c r="C2854" s="23" t="s">
        <v>22238</v>
      </c>
      <c r="D2854" s="23" t="s">
        <v>22307</v>
      </c>
      <c r="E2854" s="23" t="s">
        <v>42</v>
      </c>
      <c r="F2854" t="s">
        <v>26</v>
      </c>
      <c r="G2854" t="s">
        <v>26</v>
      </c>
      <c r="H2854" t="s">
        <v>26</v>
      </c>
      <c r="I2854" s="24">
        <v>42005</v>
      </c>
      <c r="J2854" s="24">
        <v>42005</v>
      </c>
      <c r="K2854" t="s">
        <v>26</v>
      </c>
      <c r="L2854" s="25" t="s">
        <v>28</v>
      </c>
      <c r="M2854" s="24">
        <v>42005</v>
      </c>
      <c r="N2854" s="24">
        <v>42005</v>
      </c>
      <c r="O2854" t="s">
        <v>26</v>
      </c>
      <c r="P2854" t="s">
        <v>26</v>
      </c>
      <c r="Q2854" t="s">
        <v>26</v>
      </c>
      <c r="R2854" t="s">
        <v>26</v>
      </c>
      <c r="S2854" s="24">
        <v>42005</v>
      </c>
      <c r="T2854" s="24">
        <v>42005</v>
      </c>
      <c r="U2854" t="s">
        <v>26</v>
      </c>
      <c r="V2854" t="s">
        <v>26</v>
      </c>
      <c r="W2854" s="24">
        <v>42005</v>
      </c>
      <c r="X2854" s="24">
        <v>42005</v>
      </c>
      <c r="Y2854" t="s">
        <v>26</v>
      </c>
      <c r="Z2854" s="24">
        <v>42005</v>
      </c>
      <c r="AA2854" s="24">
        <v>42005</v>
      </c>
      <c r="AB2854" t="s">
        <v>26</v>
      </c>
      <c r="AC2854" s="24">
        <v>42005</v>
      </c>
      <c r="AD2854" s="24">
        <v>42005</v>
      </c>
      <c r="AE2854" t="s">
        <v>26</v>
      </c>
      <c r="AF2854" s="24">
        <v>42005</v>
      </c>
      <c r="AG2854" s="24">
        <v>42005</v>
      </c>
      <c r="AH2854" t="s">
        <v>26</v>
      </c>
      <c r="AI2854" s="24">
        <v>42005</v>
      </c>
      <c r="AJ2854" s="24">
        <v>42005</v>
      </c>
      <c r="AK2854" t="s">
        <v>26</v>
      </c>
      <c r="AL2854" t="s">
        <v>26</v>
      </c>
      <c r="AM2854" t="s">
        <v>26</v>
      </c>
      <c r="AN2854" t="s">
        <v>26</v>
      </c>
      <c r="AO2854" s="25" t="s">
        <v>28</v>
      </c>
      <c r="AP2854" s="23" t="s">
        <v>43</v>
      </c>
      <c r="AQ2854" s="23" t="s">
        <v>30</v>
      </c>
      <c r="AR2854" s="23" t="s">
        <v>46</v>
      </c>
      <c r="AS2854" s="25">
        <v>6447794</v>
      </c>
      <c r="AT2854" t="s">
        <v>26</v>
      </c>
      <c r="AU2854" t="s">
        <v>25906</v>
      </c>
    </row>
    <row r="2855" spans="1:47" ht="26.25" x14ac:dyDescent="0.4">
      <c r="A2855" s="23" t="s">
        <v>7305</v>
      </c>
      <c r="B2855" t="s">
        <v>26</v>
      </c>
      <c r="C2855" s="23" t="s">
        <v>22238</v>
      </c>
      <c r="D2855" s="23" t="s">
        <v>22307</v>
      </c>
      <c r="E2855" s="23" t="s">
        <v>42</v>
      </c>
      <c r="F2855" t="s">
        <v>26</v>
      </c>
      <c r="G2855" t="s">
        <v>26</v>
      </c>
      <c r="H2855" t="s">
        <v>26</v>
      </c>
      <c r="I2855" s="24">
        <v>42005</v>
      </c>
      <c r="J2855" s="24">
        <v>42005</v>
      </c>
      <c r="K2855" t="s">
        <v>26</v>
      </c>
      <c r="L2855" s="25" t="s">
        <v>28</v>
      </c>
      <c r="M2855" s="24">
        <v>42005</v>
      </c>
      <c r="N2855" s="24">
        <v>42005</v>
      </c>
      <c r="O2855" t="s">
        <v>26</v>
      </c>
      <c r="P2855" t="s">
        <v>26</v>
      </c>
      <c r="Q2855" t="s">
        <v>26</v>
      </c>
      <c r="R2855" t="s">
        <v>26</v>
      </c>
      <c r="S2855" s="24">
        <v>42005</v>
      </c>
      <c r="T2855" s="24">
        <v>42005</v>
      </c>
      <c r="U2855" t="s">
        <v>26</v>
      </c>
      <c r="V2855" t="s">
        <v>26</v>
      </c>
      <c r="W2855" s="24">
        <v>42005</v>
      </c>
      <c r="X2855" s="24">
        <v>42005</v>
      </c>
      <c r="Y2855" t="s">
        <v>26</v>
      </c>
      <c r="Z2855" s="24">
        <v>42005</v>
      </c>
      <c r="AA2855" s="24">
        <v>42005</v>
      </c>
      <c r="AB2855" t="s">
        <v>26</v>
      </c>
      <c r="AC2855" s="24">
        <v>42005</v>
      </c>
      <c r="AD2855" s="24">
        <v>42005</v>
      </c>
      <c r="AE2855" t="s">
        <v>26</v>
      </c>
      <c r="AF2855" s="24">
        <v>42005</v>
      </c>
      <c r="AG2855" s="24">
        <v>42005</v>
      </c>
      <c r="AH2855" t="s">
        <v>26</v>
      </c>
      <c r="AI2855" s="24">
        <v>42005</v>
      </c>
      <c r="AJ2855" s="24">
        <v>42005</v>
      </c>
      <c r="AK2855" t="s">
        <v>26</v>
      </c>
      <c r="AL2855" t="s">
        <v>26</v>
      </c>
      <c r="AM2855" t="s">
        <v>26</v>
      </c>
      <c r="AN2855" t="s">
        <v>26</v>
      </c>
      <c r="AO2855" s="25" t="s">
        <v>28</v>
      </c>
      <c r="AP2855" s="23" t="s">
        <v>43</v>
      </c>
      <c r="AQ2855" s="23" t="s">
        <v>30</v>
      </c>
      <c r="AR2855" s="23" t="s">
        <v>46</v>
      </c>
      <c r="AS2855" s="25">
        <v>6447793</v>
      </c>
      <c r="AT2855" t="s">
        <v>26</v>
      </c>
      <c r="AU2855" t="s">
        <v>25907</v>
      </c>
    </row>
    <row r="2856" spans="1:47" ht="26.25" x14ac:dyDescent="0.4">
      <c r="A2856" s="23" t="s">
        <v>7306</v>
      </c>
      <c r="B2856" t="s">
        <v>26</v>
      </c>
      <c r="C2856" s="23" t="s">
        <v>22238</v>
      </c>
      <c r="D2856" s="23" t="s">
        <v>22307</v>
      </c>
      <c r="E2856" s="23" t="s">
        <v>42</v>
      </c>
      <c r="F2856" t="s">
        <v>26</v>
      </c>
      <c r="G2856" t="s">
        <v>26</v>
      </c>
      <c r="H2856" t="s">
        <v>26</v>
      </c>
      <c r="I2856" s="24">
        <v>42005</v>
      </c>
      <c r="J2856" s="24">
        <v>42005</v>
      </c>
      <c r="K2856" t="s">
        <v>26</v>
      </c>
      <c r="L2856" s="25" t="s">
        <v>28</v>
      </c>
      <c r="M2856" s="24">
        <v>42005</v>
      </c>
      <c r="N2856" s="24">
        <v>42005</v>
      </c>
      <c r="O2856" t="s">
        <v>26</v>
      </c>
      <c r="P2856" t="s">
        <v>26</v>
      </c>
      <c r="Q2856" t="s">
        <v>26</v>
      </c>
      <c r="R2856" t="s">
        <v>26</v>
      </c>
      <c r="S2856" s="24">
        <v>42005</v>
      </c>
      <c r="T2856" s="24">
        <v>42005</v>
      </c>
      <c r="U2856" t="s">
        <v>26</v>
      </c>
      <c r="V2856" t="s">
        <v>26</v>
      </c>
      <c r="W2856" s="24">
        <v>42005</v>
      </c>
      <c r="X2856" s="24">
        <v>42005</v>
      </c>
      <c r="Y2856" t="s">
        <v>26</v>
      </c>
      <c r="Z2856" s="24">
        <v>42005</v>
      </c>
      <c r="AA2856" s="24">
        <v>42005</v>
      </c>
      <c r="AB2856" t="s">
        <v>26</v>
      </c>
      <c r="AC2856" s="24">
        <v>42005</v>
      </c>
      <c r="AD2856" s="24">
        <v>42005</v>
      </c>
      <c r="AE2856" t="s">
        <v>26</v>
      </c>
      <c r="AF2856" s="24">
        <v>42005</v>
      </c>
      <c r="AG2856" s="24">
        <v>42005</v>
      </c>
      <c r="AH2856" t="s">
        <v>26</v>
      </c>
      <c r="AI2856" s="24">
        <v>42005</v>
      </c>
      <c r="AJ2856" s="24">
        <v>42005</v>
      </c>
      <c r="AK2856" t="s">
        <v>26</v>
      </c>
      <c r="AL2856" t="s">
        <v>26</v>
      </c>
      <c r="AM2856" t="s">
        <v>26</v>
      </c>
      <c r="AN2856" t="s">
        <v>26</v>
      </c>
      <c r="AO2856" s="25" t="s">
        <v>28</v>
      </c>
      <c r="AP2856" s="23" t="s">
        <v>43</v>
      </c>
      <c r="AQ2856" s="23" t="s">
        <v>30</v>
      </c>
      <c r="AR2856" s="23" t="s">
        <v>46</v>
      </c>
      <c r="AS2856" s="25">
        <v>6447792</v>
      </c>
      <c r="AT2856" t="s">
        <v>26</v>
      </c>
      <c r="AU2856" t="s">
        <v>25908</v>
      </c>
    </row>
    <row r="2857" spans="1:47" ht="26.25" x14ac:dyDescent="0.4">
      <c r="A2857" s="23" t="s">
        <v>7307</v>
      </c>
      <c r="B2857" t="s">
        <v>26</v>
      </c>
      <c r="C2857" s="23" t="s">
        <v>22238</v>
      </c>
      <c r="D2857" s="23" t="s">
        <v>22307</v>
      </c>
      <c r="E2857" s="23" t="s">
        <v>42</v>
      </c>
      <c r="F2857" t="s">
        <v>26</v>
      </c>
      <c r="G2857" t="s">
        <v>26</v>
      </c>
      <c r="H2857" t="s">
        <v>26</v>
      </c>
      <c r="I2857" s="24">
        <v>42005</v>
      </c>
      <c r="J2857" s="24">
        <v>42005</v>
      </c>
      <c r="K2857" t="s">
        <v>26</v>
      </c>
      <c r="L2857" s="25" t="s">
        <v>28</v>
      </c>
      <c r="M2857" s="24">
        <v>42005</v>
      </c>
      <c r="N2857" s="24">
        <v>42005</v>
      </c>
      <c r="O2857" t="s">
        <v>26</v>
      </c>
      <c r="P2857" t="s">
        <v>26</v>
      </c>
      <c r="Q2857" t="s">
        <v>26</v>
      </c>
      <c r="R2857" t="s">
        <v>26</v>
      </c>
      <c r="S2857" s="24">
        <v>42005</v>
      </c>
      <c r="T2857" s="24">
        <v>42005</v>
      </c>
      <c r="U2857" t="s">
        <v>26</v>
      </c>
      <c r="V2857" t="s">
        <v>26</v>
      </c>
      <c r="W2857" s="24">
        <v>42005</v>
      </c>
      <c r="X2857" s="24">
        <v>42005</v>
      </c>
      <c r="Y2857" t="s">
        <v>26</v>
      </c>
      <c r="Z2857" s="24">
        <v>42005</v>
      </c>
      <c r="AA2857" s="24">
        <v>42005</v>
      </c>
      <c r="AB2857" t="s">
        <v>26</v>
      </c>
      <c r="AC2857" s="24">
        <v>42005</v>
      </c>
      <c r="AD2857" s="24">
        <v>42005</v>
      </c>
      <c r="AE2857" t="s">
        <v>26</v>
      </c>
      <c r="AF2857" s="24">
        <v>42005</v>
      </c>
      <c r="AG2857" s="24">
        <v>42005</v>
      </c>
      <c r="AH2857" t="s">
        <v>26</v>
      </c>
      <c r="AI2857" s="24">
        <v>42005</v>
      </c>
      <c r="AJ2857" s="24">
        <v>42005</v>
      </c>
      <c r="AK2857" t="s">
        <v>26</v>
      </c>
      <c r="AL2857" t="s">
        <v>26</v>
      </c>
      <c r="AM2857" t="s">
        <v>26</v>
      </c>
      <c r="AN2857" t="s">
        <v>26</v>
      </c>
      <c r="AO2857" s="25" t="s">
        <v>28</v>
      </c>
      <c r="AP2857" s="23" t="s">
        <v>43</v>
      </c>
      <c r="AQ2857" s="23" t="s">
        <v>30</v>
      </c>
      <c r="AR2857" s="23" t="s">
        <v>46</v>
      </c>
      <c r="AS2857" s="25">
        <v>6447791</v>
      </c>
      <c r="AT2857" t="s">
        <v>26</v>
      </c>
      <c r="AU2857" t="s">
        <v>25909</v>
      </c>
    </row>
    <row r="2858" spans="1:47" ht="26.25" x14ac:dyDescent="0.4">
      <c r="A2858" s="23" t="s">
        <v>7308</v>
      </c>
      <c r="B2858" t="s">
        <v>26</v>
      </c>
      <c r="C2858" s="23" t="s">
        <v>22238</v>
      </c>
      <c r="D2858" s="23" t="s">
        <v>22307</v>
      </c>
      <c r="E2858" s="23" t="s">
        <v>42</v>
      </c>
      <c r="F2858" t="s">
        <v>26</v>
      </c>
      <c r="G2858" t="s">
        <v>26</v>
      </c>
      <c r="H2858" t="s">
        <v>26</v>
      </c>
      <c r="I2858" s="24">
        <v>42736</v>
      </c>
      <c r="J2858" s="24">
        <v>42736</v>
      </c>
      <c r="K2858" t="s">
        <v>26</v>
      </c>
      <c r="L2858" s="25" t="s">
        <v>28</v>
      </c>
      <c r="M2858" s="24">
        <v>42736</v>
      </c>
      <c r="N2858" s="24">
        <v>42736</v>
      </c>
      <c r="O2858" t="s">
        <v>26</v>
      </c>
      <c r="P2858" t="s">
        <v>26</v>
      </c>
      <c r="Q2858" t="s">
        <v>26</v>
      </c>
      <c r="R2858" t="s">
        <v>26</v>
      </c>
      <c r="S2858" s="24">
        <v>42736</v>
      </c>
      <c r="T2858" s="24">
        <v>42736</v>
      </c>
      <c r="U2858" t="s">
        <v>26</v>
      </c>
      <c r="V2858" t="s">
        <v>26</v>
      </c>
      <c r="W2858" s="24">
        <v>42736</v>
      </c>
      <c r="X2858" s="24">
        <v>42736</v>
      </c>
      <c r="Y2858" t="s">
        <v>26</v>
      </c>
      <c r="Z2858" s="24">
        <v>42736</v>
      </c>
      <c r="AA2858" s="24">
        <v>42736</v>
      </c>
      <c r="AB2858" t="s">
        <v>26</v>
      </c>
      <c r="AC2858" s="24">
        <v>42736</v>
      </c>
      <c r="AD2858" s="24">
        <v>42736</v>
      </c>
      <c r="AE2858" t="s">
        <v>26</v>
      </c>
      <c r="AF2858" s="24">
        <v>42736</v>
      </c>
      <c r="AG2858" s="24">
        <v>42736</v>
      </c>
      <c r="AH2858" t="s">
        <v>26</v>
      </c>
      <c r="AI2858" s="24">
        <v>42736</v>
      </c>
      <c r="AJ2858" s="24">
        <v>42736</v>
      </c>
      <c r="AK2858" t="s">
        <v>26</v>
      </c>
      <c r="AL2858" t="s">
        <v>26</v>
      </c>
      <c r="AM2858" t="s">
        <v>26</v>
      </c>
      <c r="AN2858" t="s">
        <v>26</v>
      </c>
      <c r="AO2858" s="25" t="s">
        <v>28</v>
      </c>
      <c r="AP2858" s="23" t="s">
        <v>43</v>
      </c>
      <c r="AQ2858" s="23" t="s">
        <v>30</v>
      </c>
      <c r="AR2858" s="23" t="s">
        <v>46</v>
      </c>
      <c r="AS2858" s="25">
        <v>6447790</v>
      </c>
      <c r="AT2858" t="s">
        <v>26</v>
      </c>
      <c r="AU2858" t="s">
        <v>25910</v>
      </c>
    </row>
    <row r="2859" spans="1:47" ht="26.25" x14ac:dyDescent="0.4">
      <c r="A2859" s="23" t="s">
        <v>7309</v>
      </c>
      <c r="B2859" t="s">
        <v>26</v>
      </c>
      <c r="C2859" s="23" t="s">
        <v>22238</v>
      </c>
      <c r="D2859" s="23" t="s">
        <v>22307</v>
      </c>
      <c r="E2859" s="23" t="s">
        <v>42</v>
      </c>
      <c r="F2859" t="s">
        <v>26</v>
      </c>
      <c r="G2859" t="s">
        <v>26</v>
      </c>
      <c r="H2859" t="s">
        <v>26</v>
      </c>
      <c r="I2859" s="24">
        <v>42370</v>
      </c>
      <c r="J2859" s="24">
        <v>42370</v>
      </c>
      <c r="K2859" t="s">
        <v>26</v>
      </c>
      <c r="L2859" s="25" t="s">
        <v>28</v>
      </c>
      <c r="M2859" s="24">
        <v>42370</v>
      </c>
      <c r="N2859" s="24">
        <v>42370</v>
      </c>
      <c r="O2859" t="s">
        <v>26</v>
      </c>
      <c r="P2859" t="s">
        <v>26</v>
      </c>
      <c r="Q2859" t="s">
        <v>26</v>
      </c>
      <c r="R2859" t="s">
        <v>26</v>
      </c>
      <c r="S2859" s="24">
        <v>42370</v>
      </c>
      <c r="T2859" s="24">
        <v>42370</v>
      </c>
      <c r="U2859" t="s">
        <v>26</v>
      </c>
      <c r="V2859" t="s">
        <v>26</v>
      </c>
      <c r="W2859" s="24">
        <v>42370</v>
      </c>
      <c r="X2859" s="24">
        <v>42370</v>
      </c>
      <c r="Y2859" t="s">
        <v>26</v>
      </c>
      <c r="Z2859" s="24">
        <v>42370</v>
      </c>
      <c r="AA2859" s="24">
        <v>42370</v>
      </c>
      <c r="AB2859" t="s">
        <v>26</v>
      </c>
      <c r="AC2859" s="24">
        <v>42370</v>
      </c>
      <c r="AD2859" s="24">
        <v>42370</v>
      </c>
      <c r="AE2859" t="s">
        <v>26</v>
      </c>
      <c r="AF2859" s="24">
        <v>42370</v>
      </c>
      <c r="AG2859" s="24">
        <v>42370</v>
      </c>
      <c r="AH2859" t="s">
        <v>26</v>
      </c>
      <c r="AI2859" s="24">
        <v>42370</v>
      </c>
      <c r="AJ2859" s="24">
        <v>42370</v>
      </c>
      <c r="AK2859" t="s">
        <v>26</v>
      </c>
      <c r="AL2859" t="s">
        <v>26</v>
      </c>
      <c r="AM2859" t="s">
        <v>26</v>
      </c>
      <c r="AN2859" t="s">
        <v>26</v>
      </c>
      <c r="AO2859" s="25" t="s">
        <v>28</v>
      </c>
      <c r="AP2859" s="23" t="s">
        <v>43</v>
      </c>
      <c r="AQ2859" s="23" t="s">
        <v>30</v>
      </c>
      <c r="AR2859" s="23" t="s">
        <v>46</v>
      </c>
      <c r="AS2859" s="25">
        <v>6447789</v>
      </c>
      <c r="AT2859" t="s">
        <v>26</v>
      </c>
      <c r="AU2859" t="s">
        <v>25911</v>
      </c>
    </row>
    <row r="2860" spans="1:47" ht="26.25" x14ac:dyDescent="0.4">
      <c r="A2860" s="23" t="s">
        <v>7310</v>
      </c>
      <c r="B2860" t="s">
        <v>26</v>
      </c>
      <c r="C2860" s="23" t="s">
        <v>22238</v>
      </c>
      <c r="D2860" s="23" t="s">
        <v>22307</v>
      </c>
      <c r="E2860" s="23" t="s">
        <v>42</v>
      </c>
      <c r="F2860" t="s">
        <v>26</v>
      </c>
      <c r="G2860" t="s">
        <v>26</v>
      </c>
      <c r="H2860" t="s">
        <v>26</v>
      </c>
      <c r="I2860" s="24">
        <v>42370</v>
      </c>
      <c r="J2860" s="24">
        <v>42370</v>
      </c>
      <c r="K2860" t="s">
        <v>26</v>
      </c>
      <c r="L2860" s="25" t="s">
        <v>28</v>
      </c>
      <c r="M2860" s="24">
        <v>42370</v>
      </c>
      <c r="N2860" s="24">
        <v>42370</v>
      </c>
      <c r="O2860" t="s">
        <v>26</v>
      </c>
      <c r="P2860" t="s">
        <v>26</v>
      </c>
      <c r="Q2860" t="s">
        <v>26</v>
      </c>
      <c r="R2860" t="s">
        <v>26</v>
      </c>
      <c r="S2860" s="24">
        <v>42370</v>
      </c>
      <c r="T2860" s="24">
        <v>42370</v>
      </c>
      <c r="U2860" t="s">
        <v>26</v>
      </c>
      <c r="V2860" t="s">
        <v>26</v>
      </c>
      <c r="W2860" s="24">
        <v>42370</v>
      </c>
      <c r="X2860" s="24">
        <v>42370</v>
      </c>
      <c r="Y2860" t="s">
        <v>26</v>
      </c>
      <c r="Z2860" s="24">
        <v>42370</v>
      </c>
      <c r="AA2860" s="24">
        <v>42370</v>
      </c>
      <c r="AB2860" t="s">
        <v>26</v>
      </c>
      <c r="AC2860" s="24">
        <v>42370</v>
      </c>
      <c r="AD2860" s="24">
        <v>42370</v>
      </c>
      <c r="AE2860" t="s">
        <v>26</v>
      </c>
      <c r="AF2860" s="24">
        <v>42370</v>
      </c>
      <c r="AG2860" s="24">
        <v>42370</v>
      </c>
      <c r="AH2860" t="s">
        <v>26</v>
      </c>
      <c r="AI2860" s="24">
        <v>42370</v>
      </c>
      <c r="AJ2860" s="24">
        <v>42370</v>
      </c>
      <c r="AK2860" t="s">
        <v>26</v>
      </c>
      <c r="AL2860" t="s">
        <v>26</v>
      </c>
      <c r="AM2860" t="s">
        <v>26</v>
      </c>
      <c r="AN2860" t="s">
        <v>26</v>
      </c>
      <c r="AO2860" s="25" t="s">
        <v>28</v>
      </c>
      <c r="AP2860" s="23" t="s">
        <v>43</v>
      </c>
      <c r="AQ2860" s="23" t="s">
        <v>30</v>
      </c>
      <c r="AR2860" s="23" t="s">
        <v>46</v>
      </c>
      <c r="AS2860" s="25">
        <v>6447788</v>
      </c>
      <c r="AT2860" t="s">
        <v>26</v>
      </c>
      <c r="AU2860" t="s">
        <v>25912</v>
      </c>
    </row>
    <row r="2861" spans="1:47" ht="26.25" x14ac:dyDescent="0.4">
      <c r="A2861" s="23" t="s">
        <v>7311</v>
      </c>
      <c r="B2861" t="s">
        <v>26</v>
      </c>
      <c r="C2861" s="23" t="s">
        <v>22238</v>
      </c>
      <c r="D2861" s="23" t="s">
        <v>22307</v>
      </c>
      <c r="E2861" s="23" t="s">
        <v>42</v>
      </c>
      <c r="F2861" t="s">
        <v>26</v>
      </c>
      <c r="G2861" t="s">
        <v>26</v>
      </c>
      <c r="H2861" t="s">
        <v>26</v>
      </c>
      <c r="I2861" s="24">
        <v>41640</v>
      </c>
      <c r="J2861" s="24">
        <v>41640</v>
      </c>
      <c r="K2861" t="s">
        <v>26</v>
      </c>
      <c r="L2861" s="25" t="s">
        <v>28</v>
      </c>
      <c r="M2861" s="24">
        <v>41640</v>
      </c>
      <c r="N2861" s="24">
        <v>41640</v>
      </c>
      <c r="O2861" t="s">
        <v>26</v>
      </c>
      <c r="P2861" t="s">
        <v>26</v>
      </c>
      <c r="Q2861" t="s">
        <v>26</v>
      </c>
      <c r="R2861" t="s">
        <v>26</v>
      </c>
      <c r="S2861" s="24">
        <v>41640</v>
      </c>
      <c r="T2861" s="24">
        <v>41640</v>
      </c>
      <c r="U2861" t="s">
        <v>26</v>
      </c>
      <c r="V2861" t="s">
        <v>26</v>
      </c>
      <c r="W2861" s="24">
        <v>41640</v>
      </c>
      <c r="X2861" s="24">
        <v>41640</v>
      </c>
      <c r="Y2861" t="s">
        <v>26</v>
      </c>
      <c r="Z2861" s="24">
        <v>41640</v>
      </c>
      <c r="AA2861" s="24">
        <v>41640</v>
      </c>
      <c r="AB2861" t="s">
        <v>26</v>
      </c>
      <c r="AC2861" s="24">
        <v>41640</v>
      </c>
      <c r="AD2861" s="24">
        <v>41640</v>
      </c>
      <c r="AE2861" t="s">
        <v>26</v>
      </c>
      <c r="AF2861" s="24">
        <v>41640</v>
      </c>
      <c r="AG2861" s="24">
        <v>41640</v>
      </c>
      <c r="AH2861" t="s">
        <v>26</v>
      </c>
      <c r="AI2861" s="24">
        <v>41640</v>
      </c>
      <c r="AJ2861" s="24">
        <v>41640</v>
      </c>
      <c r="AK2861" t="s">
        <v>26</v>
      </c>
      <c r="AL2861" t="s">
        <v>26</v>
      </c>
      <c r="AM2861" t="s">
        <v>26</v>
      </c>
      <c r="AN2861" t="s">
        <v>26</v>
      </c>
      <c r="AO2861" s="25" t="s">
        <v>28</v>
      </c>
      <c r="AP2861" s="23" t="s">
        <v>43</v>
      </c>
      <c r="AQ2861" s="23" t="s">
        <v>30</v>
      </c>
      <c r="AR2861" s="23" t="s">
        <v>46</v>
      </c>
      <c r="AS2861" s="25">
        <v>6447787</v>
      </c>
      <c r="AT2861" t="s">
        <v>26</v>
      </c>
      <c r="AU2861" t="s">
        <v>25913</v>
      </c>
    </row>
    <row r="2862" spans="1:47" ht="26.25" x14ac:dyDescent="0.4">
      <c r="A2862" s="23" t="s">
        <v>7312</v>
      </c>
      <c r="B2862" t="s">
        <v>26</v>
      </c>
      <c r="C2862" s="23" t="s">
        <v>22238</v>
      </c>
      <c r="D2862" s="23" t="s">
        <v>22307</v>
      </c>
      <c r="E2862" s="23" t="s">
        <v>42</v>
      </c>
      <c r="F2862" t="s">
        <v>26</v>
      </c>
      <c r="G2862" t="s">
        <v>26</v>
      </c>
      <c r="H2862" t="s">
        <v>26</v>
      </c>
      <c r="I2862" s="24">
        <v>42736</v>
      </c>
      <c r="J2862" s="24">
        <v>42736</v>
      </c>
      <c r="K2862" t="s">
        <v>26</v>
      </c>
      <c r="L2862" s="25" t="s">
        <v>28</v>
      </c>
      <c r="M2862" s="24">
        <v>42736</v>
      </c>
      <c r="N2862" s="24">
        <v>42736</v>
      </c>
      <c r="O2862" t="s">
        <v>26</v>
      </c>
      <c r="P2862" t="s">
        <v>26</v>
      </c>
      <c r="Q2862" t="s">
        <v>26</v>
      </c>
      <c r="R2862" t="s">
        <v>26</v>
      </c>
      <c r="S2862" s="24">
        <v>42736</v>
      </c>
      <c r="T2862" s="24">
        <v>42736</v>
      </c>
      <c r="U2862" t="s">
        <v>26</v>
      </c>
      <c r="V2862" t="s">
        <v>26</v>
      </c>
      <c r="W2862" s="24">
        <v>42736</v>
      </c>
      <c r="X2862" s="24">
        <v>42736</v>
      </c>
      <c r="Y2862" t="s">
        <v>26</v>
      </c>
      <c r="Z2862" s="24">
        <v>42736</v>
      </c>
      <c r="AA2862" s="24">
        <v>42736</v>
      </c>
      <c r="AB2862" t="s">
        <v>26</v>
      </c>
      <c r="AC2862" s="24">
        <v>42736</v>
      </c>
      <c r="AD2862" s="24">
        <v>42736</v>
      </c>
      <c r="AE2862" t="s">
        <v>26</v>
      </c>
      <c r="AF2862" s="24">
        <v>42736</v>
      </c>
      <c r="AG2862" s="24">
        <v>42736</v>
      </c>
      <c r="AH2862" t="s">
        <v>26</v>
      </c>
      <c r="AI2862" s="24">
        <v>42736</v>
      </c>
      <c r="AJ2862" s="24">
        <v>42736</v>
      </c>
      <c r="AK2862" t="s">
        <v>26</v>
      </c>
      <c r="AL2862" t="s">
        <v>26</v>
      </c>
      <c r="AM2862" t="s">
        <v>26</v>
      </c>
      <c r="AN2862" t="s">
        <v>26</v>
      </c>
      <c r="AO2862" s="25" t="s">
        <v>28</v>
      </c>
      <c r="AP2862" s="23" t="s">
        <v>43</v>
      </c>
      <c r="AQ2862" s="23" t="s">
        <v>30</v>
      </c>
      <c r="AR2862" s="23" t="s">
        <v>46</v>
      </c>
      <c r="AS2862" s="25">
        <v>6447786</v>
      </c>
      <c r="AT2862" t="s">
        <v>26</v>
      </c>
      <c r="AU2862" t="s">
        <v>25914</v>
      </c>
    </row>
    <row r="2863" spans="1:47" ht="26.25" x14ac:dyDescent="0.4">
      <c r="A2863" s="23" t="s">
        <v>7313</v>
      </c>
      <c r="B2863" t="s">
        <v>26</v>
      </c>
      <c r="C2863" s="23" t="s">
        <v>22238</v>
      </c>
      <c r="D2863" s="23" t="s">
        <v>22307</v>
      </c>
      <c r="E2863" s="23" t="s">
        <v>42</v>
      </c>
      <c r="F2863" t="s">
        <v>26</v>
      </c>
      <c r="G2863" t="s">
        <v>26</v>
      </c>
      <c r="H2863" t="s">
        <v>26</v>
      </c>
      <c r="I2863" s="24">
        <v>42370</v>
      </c>
      <c r="J2863" s="24">
        <v>42370</v>
      </c>
      <c r="K2863" t="s">
        <v>26</v>
      </c>
      <c r="L2863" s="25" t="s">
        <v>28</v>
      </c>
      <c r="M2863" s="24">
        <v>42370</v>
      </c>
      <c r="N2863" s="24">
        <v>42370</v>
      </c>
      <c r="O2863" t="s">
        <v>26</v>
      </c>
      <c r="P2863" t="s">
        <v>26</v>
      </c>
      <c r="Q2863" t="s">
        <v>26</v>
      </c>
      <c r="R2863" t="s">
        <v>26</v>
      </c>
      <c r="S2863" s="24">
        <v>42370</v>
      </c>
      <c r="T2863" s="24">
        <v>42370</v>
      </c>
      <c r="U2863" t="s">
        <v>26</v>
      </c>
      <c r="V2863" t="s">
        <v>26</v>
      </c>
      <c r="W2863" s="24">
        <v>42370</v>
      </c>
      <c r="X2863" s="24">
        <v>42370</v>
      </c>
      <c r="Y2863" t="s">
        <v>26</v>
      </c>
      <c r="Z2863" s="24">
        <v>42370</v>
      </c>
      <c r="AA2863" s="24">
        <v>42370</v>
      </c>
      <c r="AB2863" t="s">
        <v>26</v>
      </c>
      <c r="AC2863" s="24">
        <v>42370</v>
      </c>
      <c r="AD2863" s="24">
        <v>42370</v>
      </c>
      <c r="AE2863" t="s">
        <v>26</v>
      </c>
      <c r="AF2863" s="24">
        <v>42370</v>
      </c>
      <c r="AG2863" s="24">
        <v>42370</v>
      </c>
      <c r="AH2863" t="s">
        <v>26</v>
      </c>
      <c r="AI2863" s="24">
        <v>42370</v>
      </c>
      <c r="AJ2863" s="24">
        <v>42370</v>
      </c>
      <c r="AK2863" t="s">
        <v>26</v>
      </c>
      <c r="AL2863" t="s">
        <v>26</v>
      </c>
      <c r="AM2863" t="s">
        <v>26</v>
      </c>
      <c r="AN2863" t="s">
        <v>26</v>
      </c>
      <c r="AO2863" s="25" t="s">
        <v>28</v>
      </c>
      <c r="AP2863" s="23" t="s">
        <v>43</v>
      </c>
      <c r="AQ2863" s="23" t="s">
        <v>30</v>
      </c>
      <c r="AR2863" s="23" t="s">
        <v>46</v>
      </c>
      <c r="AS2863" s="25">
        <v>6447785</v>
      </c>
      <c r="AT2863" t="s">
        <v>26</v>
      </c>
      <c r="AU2863" t="s">
        <v>25915</v>
      </c>
    </row>
    <row r="2864" spans="1:47" ht="26.25" x14ac:dyDescent="0.4">
      <c r="A2864" s="23" t="s">
        <v>7314</v>
      </c>
      <c r="B2864" t="s">
        <v>26</v>
      </c>
      <c r="C2864" s="23" t="s">
        <v>22238</v>
      </c>
      <c r="D2864" s="23" t="s">
        <v>22307</v>
      </c>
      <c r="E2864" s="23" t="s">
        <v>42</v>
      </c>
      <c r="F2864" t="s">
        <v>26</v>
      </c>
      <c r="G2864" t="s">
        <v>26</v>
      </c>
      <c r="H2864" t="s">
        <v>26</v>
      </c>
      <c r="I2864" s="24">
        <v>42736</v>
      </c>
      <c r="J2864" s="24">
        <v>42736</v>
      </c>
      <c r="K2864" t="s">
        <v>26</v>
      </c>
      <c r="L2864" s="25" t="s">
        <v>28</v>
      </c>
      <c r="M2864" s="24">
        <v>42736</v>
      </c>
      <c r="N2864" s="24">
        <v>42736</v>
      </c>
      <c r="O2864" t="s">
        <v>26</v>
      </c>
      <c r="P2864" t="s">
        <v>26</v>
      </c>
      <c r="Q2864" t="s">
        <v>26</v>
      </c>
      <c r="R2864" t="s">
        <v>26</v>
      </c>
      <c r="S2864" s="24">
        <v>42736</v>
      </c>
      <c r="T2864" s="24">
        <v>42736</v>
      </c>
      <c r="U2864" t="s">
        <v>26</v>
      </c>
      <c r="V2864" t="s">
        <v>26</v>
      </c>
      <c r="W2864" s="24">
        <v>42736</v>
      </c>
      <c r="X2864" s="24">
        <v>42736</v>
      </c>
      <c r="Y2864" t="s">
        <v>26</v>
      </c>
      <c r="Z2864" s="24">
        <v>42736</v>
      </c>
      <c r="AA2864" s="24">
        <v>42736</v>
      </c>
      <c r="AB2864" t="s">
        <v>26</v>
      </c>
      <c r="AC2864" s="24">
        <v>42736</v>
      </c>
      <c r="AD2864" s="24">
        <v>42736</v>
      </c>
      <c r="AE2864" t="s">
        <v>26</v>
      </c>
      <c r="AF2864" s="24">
        <v>42736</v>
      </c>
      <c r="AG2864" s="24">
        <v>42736</v>
      </c>
      <c r="AH2864" t="s">
        <v>26</v>
      </c>
      <c r="AI2864" s="24">
        <v>42736</v>
      </c>
      <c r="AJ2864" s="24">
        <v>42736</v>
      </c>
      <c r="AK2864" t="s">
        <v>26</v>
      </c>
      <c r="AL2864" t="s">
        <v>26</v>
      </c>
      <c r="AM2864" t="s">
        <v>26</v>
      </c>
      <c r="AN2864" t="s">
        <v>26</v>
      </c>
      <c r="AO2864" s="25" t="s">
        <v>28</v>
      </c>
      <c r="AP2864" s="23" t="s">
        <v>43</v>
      </c>
      <c r="AQ2864" s="23" t="s">
        <v>30</v>
      </c>
      <c r="AR2864" s="23" t="s">
        <v>46</v>
      </c>
      <c r="AS2864" s="25">
        <v>6447784</v>
      </c>
      <c r="AT2864" t="s">
        <v>26</v>
      </c>
      <c r="AU2864" t="s">
        <v>25916</v>
      </c>
    </row>
    <row r="2865" spans="1:47" ht="26.25" x14ac:dyDescent="0.4">
      <c r="A2865" s="23" t="s">
        <v>7315</v>
      </c>
      <c r="B2865" t="s">
        <v>26</v>
      </c>
      <c r="C2865" s="23" t="s">
        <v>22238</v>
      </c>
      <c r="D2865" s="23" t="s">
        <v>22307</v>
      </c>
      <c r="E2865" s="23" t="s">
        <v>42</v>
      </c>
      <c r="F2865" t="s">
        <v>26</v>
      </c>
      <c r="G2865" t="s">
        <v>26</v>
      </c>
      <c r="H2865" t="s">
        <v>26</v>
      </c>
      <c r="I2865" s="24">
        <v>41640</v>
      </c>
      <c r="J2865" s="24">
        <v>41640</v>
      </c>
      <c r="K2865" t="s">
        <v>26</v>
      </c>
      <c r="L2865" s="25" t="s">
        <v>28</v>
      </c>
      <c r="M2865" s="24">
        <v>41640</v>
      </c>
      <c r="N2865" s="24">
        <v>41640</v>
      </c>
      <c r="O2865" t="s">
        <v>26</v>
      </c>
      <c r="P2865" t="s">
        <v>26</v>
      </c>
      <c r="Q2865" t="s">
        <v>26</v>
      </c>
      <c r="R2865" t="s">
        <v>26</v>
      </c>
      <c r="S2865" s="24">
        <v>41640</v>
      </c>
      <c r="T2865" s="24">
        <v>41640</v>
      </c>
      <c r="U2865" t="s">
        <v>26</v>
      </c>
      <c r="V2865" t="s">
        <v>26</v>
      </c>
      <c r="W2865" s="24">
        <v>41640</v>
      </c>
      <c r="X2865" s="24">
        <v>41640</v>
      </c>
      <c r="Y2865" t="s">
        <v>26</v>
      </c>
      <c r="Z2865" s="24">
        <v>41640</v>
      </c>
      <c r="AA2865" s="24">
        <v>41640</v>
      </c>
      <c r="AB2865" t="s">
        <v>26</v>
      </c>
      <c r="AC2865" s="24">
        <v>41640</v>
      </c>
      <c r="AD2865" s="24">
        <v>41640</v>
      </c>
      <c r="AE2865" t="s">
        <v>26</v>
      </c>
      <c r="AF2865" s="24">
        <v>41640</v>
      </c>
      <c r="AG2865" s="24">
        <v>41640</v>
      </c>
      <c r="AH2865" t="s">
        <v>26</v>
      </c>
      <c r="AI2865" s="24">
        <v>41640</v>
      </c>
      <c r="AJ2865" s="24">
        <v>41640</v>
      </c>
      <c r="AK2865" t="s">
        <v>26</v>
      </c>
      <c r="AL2865" t="s">
        <v>26</v>
      </c>
      <c r="AM2865" t="s">
        <v>26</v>
      </c>
      <c r="AN2865" t="s">
        <v>26</v>
      </c>
      <c r="AO2865" s="25" t="s">
        <v>28</v>
      </c>
      <c r="AP2865" s="23" t="s">
        <v>43</v>
      </c>
      <c r="AQ2865" s="23" t="s">
        <v>30</v>
      </c>
      <c r="AR2865" s="23" t="s">
        <v>46</v>
      </c>
      <c r="AS2865" s="25">
        <v>6447783</v>
      </c>
      <c r="AT2865" t="s">
        <v>26</v>
      </c>
      <c r="AU2865" t="s">
        <v>25917</v>
      </c>
    </row>
    <row r="2866" spans="1:47" ht="26.25" x14ac:dyDescent="0.4">
      <c r="A2866" s="23" t="s">
        <v>7316</v>
      </c>
      <c r="B2866" t="s">
        <v>26</v>
      </c>
      <c r="C2866" s="23" t="s">
        <v>22238</v>
      </c>
      <c r="D2866" s="23" t="s">
        <v>22307</v>
      </c>
      <c r="E2866" s="23" t="s">
        <v>42</v>
      </c>
      <c r="F2866" t="s">
        <v>26</v>
      </c>
      <c r="G2866" t="s">
        <v>26</v>
      </c>
      <c r="H2866" t="s">
        <v>26</v>
      </c>
      <c r="I2866" s="24">
        <v>42370</v>
      </c>
      <c r="J2866" s="24">
        <v>42370</v>
      </c>
      <c r="K2866" t="s">
        <v>26</v>
      </c>
      <c r="L2866" s="25" t="s">
        <v>28</v>
      </c>
      <c r="M2866" s="24">
        <v>42370</v>
      </c>
      <c r="N2866" s="24">
        <v>42370</v>
      </c>
      <c r="O2866" t="s">
        <v>26</v>
      </c>
      <c r="P2866" t="s">
        <v>26</v>
      </c>
      <c r="Q2866" t="s">
        <v>26</v>
      </c>
      <c r="R2866" t="s">
        <v>26</v>
      </c>
      <c r="S2866" s="24">
        <v>42370</v>
      </c>
      <c r="T2866" s="24">
        <v>42370</v>
      </c>
      <c r="U2866" t="s">
        <v>26</v>
      </c>
      <c r="V2866" t="s">
        <v>26</v>
      </c>
      <c r="W2866" s="24">
        <v>42370</v>
      </c>
      <c r="X2866" s="24">
        <v>42370</v>
      </c>
      <c r="Y2866" t="s">
        <v>26</v>
      </c>
      <c r="Z2866" s="24">
        <v>42370</v>
      </c>
      <c r="AA2866" s="24">
        <v>42370</v>
      </c>
      <c r="AB2866" t="s">
        <v>26</v>
      </c>
      <c r="AC2866" s="24">
        <v>42370</v>
      </c>
      <c r="AD2866" s="24">
        <v>42370</v>
      </c>
      <c r="AE2866" t="s">
        <v>26</v>
      </c>
      <c r="AF2866" s="24">
        <v>42370</v>
      </c>
      <c r="AG2866" s="24">
        <v>42370</v>
      </c>
      <c r="AH2866" t="s">
        <v>26</v>
      </c>
      <c r="AI2866" s="24">
        <v>42370</v>
      </c>
      <c r="AJ2866" s="24">
        <v>42370</v>
      </c>
      <c r="AK2866" t="s">
        <v>26</v>
      </c>
      <c r="AL2866" t="s">
        <v>26</v>
      </c>
      <c r="AM2866" t="s">
        <v>26</v>
      </c>
      <c r="AN2866" t="s">
        <v>26</v>
      </c>
      <c r="AO2866" s="25" t="s">
        <v>28</v>
      </c>
      <c r="AP2866" s="23" t="s">
        <v>43</v>
      </c>
      <c r="AQ2866" s="23" t="s">
        <v>30</v>
      </c>
      <c r="AR2866" s="23" t="s">
        <v>46</v>
      </c>
      <c r="AS2866" s="25">
        <v>6447782</v>
      </c>
      <c r="AT2866" t="s">
        <v>26</v>
      </c>
      <c r="AU2866" t="s">
        <v>25918</v>
      </c>
    </row>
    <row r="2867" spans="1:47" ht="26.25" x14ac:dyDescent="0.4">
      <c r="A2867" s="23" t="s">
        <v>7317</v>
      </c>
      <c r="B2867" t="s">
        <v>26</v>
      </c>
      <c r="C2867" s="23" t="s">
        <v>22238</v>
      </c>
      <c r="D2867" s="23" t="s">
        <v>22307</v>
      </c>
      <c r="E2867" s="23" t="s">
        <v>42</v>
      </c>
      <c r="F2867" t="s">
        <v>26</v>
      </c>
      <c r="G2867" t="s">
        <v>26</v>
      </c>
      <c r="H2867" t="s">
        <v>26</v>
      </c>
      <c r="I2867" s="24">
        <v>42370</v>
      </c>
      <c r="J2867" s="24">
        <v>42370</v>
      </c>
      <c r="K2867" t="s">
        <v>26</v>
      </c>
      <c r="L2867" s="25" t="s">
        <v>28</v>
      </c>
      <c r="M2867" s="24">
        <v>42370</v>
      </c>
      <c r="N2867" s="24">
        <v>42370</v>
      </c>
      <c r="O2867" t="s">
        <v>26</v>
      </c>
      <c r="P2867" t="s">
        <v>26</v>
      </c>
      <c r="Q2867" t="s">
        <v>26</v>
      </c>
      <c r="R2867" t="s">
        <v>26</v>
      </c>
      <c r="S2867" s="24">
        <v>42370</v>
      </c>
      <c r="T2867" s="24">
        <v>42370</v>
      </c>
      <c r="U2867" t="s">
        <v>26</v>
      </c>
      <c r="V2867" t="s">
        <v>26</v>
      </c>
      <c r="W2867" s="24">
        <v>42370</v>
      </c>
      <c r="X2867" s="24">
        <v>42370</v>
      </c>
      <c r="Y2867" t="s">
        <v>26</v>
      </c>
      <c r="Z2867" s="24">
        <v>42370</v>
      </c>
      <c r="AA2867" s="24">
        <v>42370</v>
      </c>
      <c r="AB2867" t="s">
        <v>26</v>
      </c>
      <c r="AC2867" s="24">
        <v>42370</v>
      </c>
      <c r="AD2867" s="24">
        <v>42370</v>
      </c>
      <c r="AE2867" t="s">
        <v>26</v>
      </c>
      <c r="AF2867" s="24">
        <v>42370</v>
      </c>
      <c r="AG2867" s="24">
        <v>42370</v>
      </c>
      <c r="AH2867" t="s">
        <v>26</v>
      </c>
      <c r="AI2867" s="24">
        <v>42370</v>
      </c>
      <c r="AJ2867" s="24">
        <v>42370</v>
      </c>
      <c r="AK2867" t="s">
        <v>26</v>
      </c>
      <c r="AL2867" t="s">
        <v>26</v>
      </c>
      <c r="AM2867" t="s">
        <v>26</v>
      </c>
      <c r="AN2867" t="s">
        <v>26</v>
      </c>
      <c r="AO2867" s="25" t="s">
        <v>28</v>
      </c>
      <c r="AP2867" s="23" t="s">
        <v>43</v>
      </c>
      <c r="AQ2867" s="23" t="s">
        <v>30</v>
      </c>
      <c r="AR2867" s="23" t="s">
        <v>46</v>
      </c>
      <c r="AS2867" s="25">
        <v>6447781</v>
      </c>
      <c r="AT2867" t="s">
        <v>26</v>
      </c>
      <c r="AU2867" t="s">
        <v>25919</v>
      </c>
    </row>
    <row r="2868" spans="1:47" ht="26.25" x14ac:dyDescent="0.4">
      <c r="A2868" s="23" t="s">
        <v>7318</v>
      </c>
      <c r="B2868" t="s">
        <v>26</v>
      </c>
      <c r="C2868" s="23" t="s">
        <v>22238</v>
      </c>
      <c r="D2868" s="23" t="s">
        <v>22307</v>
      </c>
      <c r="E2868" s="23" t="s">
        <v>42</v>
      </c>
      <c r="F2868" t="s">
        <v>26</v>
      </c>
      <c r="G2868" t="s">
        <v>26</v>
      </c>
      <c r="H2868" t="s">
        <v>26</v>
      </c>
      <c r="I2868" s="24">
        <v>42370</v>
      </c>
      <c r="J2868" s="24">
        <v>42370</v>
      </c>
      <c r="K2868" t="s">
        <v>26</v>
      </c>
      <c r="L2868" s="25" t="s">
        <v>28</v>
      </c>
      <c r="M2868" s="24">
        <v>42370</v>
      </c>
      <c r="N2868" s="24">
        <v>42370</v>
      </c>
      <c r="O2868" t="s">
        <v>26</v>
      </c>
      <c r="P2868" t="s">
        <v>26</v>
      </c>
      <c r="Q2868" t="s">
        <v>26</v>
      </c>
      <c r="R2868" t="s">
        <v>26</v>
      </c>
      <c r="S2868" s="24">
        <v>42370</v>
      </c>
      <c r="T2868" s="24">
        <v>42370</v>
      </c>
      <c r="U2868" t="s">
        <v>26</v>
      </c>
      <c r="V2868" t="s">
        <v>26</v>
      </c>
      <c r="W2868" s="24">
        <v>42370</v>
      </c>
      <c r="X2868" s="24">
        <v>42370</v>
      </c>
      <c r="Y2868" t="s">
        <v>26</v>
      </c>
      <c r="Z2868" s="24">
        <v>42370</v>
      </c>
      <c r="AA2868" s="24">
        <v>42370</v>
      </c>
      <c r="AB2868" t="s">
        <v>26</v>
      </c>
      <c r="AC2868" s="24">
        <v>42370</v>
      </c>
      <c r="AD2868" s="24">
        <v>42370</v>
      </c>
      <c r="AE2868" t="s">
        <v>26</v>
      </c>
      <c r="AF2868" s="24">
        <v>42370</v>
      </c>
      <c r="AG2868" s="24">
        <v>42370</v>
      </c>
      <c r="AH2868" t="s">
        <v>26</v>
      </c>
      <c r="AI2868" s="24">
        <v>42370</v>
      </c>
      <c r="AJ2868" s="24">
        <v>42370</v>
      </c>
      <c r="AK2868" t="s">
        <v>26</v>
      </c>
      <c r="AL2868" t="s">
        <v>26</v>
      </c>
      <c r="AM2868" t="s">
        <v>26</v>
      </c>
      <c r="AN2868" t="s">
        <v>26</v>
      </c>
      <c r="AO2868" s="25" t="s">
        <v>28</v>
      </c>
      <c r="AP2868" s="23" t="s">
        <v>43</v>
      </c>
      <c r="AQ2868" s="23" t="s">
        <v>30</v>
      </c>
      <c r="AR2868" s="23" t="s">
        <v>46</v>
      </c>
      <c r="AS2868" s="25">
        <v>6447780</v>
      </c>
      <c r="AT2868" t="s">
        <v>26</v>
      </c>
      <c r="AU2868" t="s">
        <v>25920</v>
      </c>
    </row>
    <row r="2869" spans="1:47" ht="26.25" x14ac:dyDescent="0.4">
      <c r="A2869" s="23" t="s">
        <v>7319</v>
      </c>
      <c r="B2869" t="s">
        <v>26</v>
      </c>
      <c r="C2869" s="23" t="s">
        <v>22238</v>
      </c>
      <c r="D2869" s="23" t="s">
        <v>22307</v>
      </c>
      <c r="E2869" s="23" t="s">
        <v>42</v>
      </c>
      <c r="F2869" t="s">
        <v>26</v>
      </c>
      <c r="G2869" t="s">
        <v>26</v>
      </c>
      <c r="H2869" t="s">
        <v>26</v>
      </c>
      <c r="I2869" s="24">
        <v>41640</v>
      </c>
      <c r="J2869" s="24">
        <v>41640</v>
      </c>
      <c r="K2869" t="s">
        <v>26</v>
      </c>
      <c r="L2869" s="25" t="s">
        <v>28</v>
      </c>
      <c r="M2869" s="24">
        <v>41640</v>
      </c>
      <c r="N2869" s="24">
        <v>41640</v>
      </c>
      <c r="O2869" t="s">
        <v>26</v>
      </c>
      <c r="P2869" t="s">
        <v>26</v>
      </c>
      <c r="Q2869" t="s">
        <v>26</v>
      </c>
      <c r="R2869" t="s">
        <v>26</v>
      </c>
      <c r="S2869" s="24">
        <v>41640</v>
      </c>
      <c r="T2869" s="24">
        <v>41640</v>
      </c>
      <c r="U2869" t="s">
        <v>26</v>
      </c>
      <c r="V2869" t="s">
        <v>26</v>
      </c>
      <c r="W2869" s="24">
        <v>41640</v>
      </c>
      <c r="X2869" s="24">
        <v>41640</v>
      </c>
      <c r="Y2869" t="s">
        <v>26</v>
      </c>
      <c r="Z2869" s="24">
        <v>41640</v>
      </c>
      <c r="AA2869" s="24">
        <v>41640</v>
      </c>
      <c r="AB2869" t="s">
        <v>26</v>
      </c>
      <c r="AC2869" s="24">
        <v>41640</v>
      </c>
      <c r="AD2869" s="24">
        <v>41640</v>
      </c>
      <c r="AE2869" t="s">
        <v>26</v>
      </c>
      <c r="AF2869" s="24">
        <v>41640</v>
      </c>
      <c r="AG2869" s="24">
        <v>41640</v>
      </c>
      <c r="AH2869" t="s">
        <v>26</v>
      </c>
      <c r="AI2869" s="24">
        <v>41640</v>
      </c>
      <c r="AJ2869" s="24">
        <v>41640</v>
      </c>
      <c r="AK2869" t="s">
        <v>26</v>
      </c>
      <c r="AL2869" t="s">
        <v>26</v>
      </c>
      <c r="AM2869" t="s">
        <v>26</v>
      </c>
      <c r="AN2869" t="s">
        <v>26</v>
      </c>
      <c r="AO2869" s="25" t="s">
        <v>28</v>
      </c>
      <c r="AP2869" s="23" t="s">
        <v>43</v>
      </c>
      <c r="AQ2869" s="23" t="s">
        <v>30</v>
      </c>
      <c r="AR2869" s="23" t="s">
        <v>46</v>
      </c>
      <c r="AS2869" s="25">
        <v>6447779</v>
      </c>
      <c r="AT2869" t="s">
        <v>26</v>
      </c>
      <c r="AU2869" t="s">
        <v>25921</v>
      </c>
    </row>
    <row r="2870" spans="1:47" ht="26.25" x14ac:dyDescent="0.4">
      <c r="A2870" s="23" t="s">
        <v>7320</v>
      </c>
      <c r="B2870" t="s">
        <v>26</v>
      </c>
      <c r="C2870" s="23" t="s">
        <v>22238</v>
      </c>
      <c r="D2870" s="23" t="s">
        <v>22307</v>
      </c>
      <c r="E2870" s="23" t="s">
        <v>42</v>
      </c>
      <c r="F2870" t="s">
        <v>26</v>
      </c>
      <c r="G2870" t="s">
        <v>26</v>
      </c>
      <c r="H2870" t="s">
        <v>26</v>
      </c>
      <c r="I2870" s="24">
        <v>42005</v>
      </c>
      <c r="J2870" s="24">
        <v>42005</v>
      </c>
      <c r="K2870" t="s">
        <v>26</v>
      </c>
      <c r="L2870" s="25" t="s">
        <v>28</v>
      </c>
      <c r="M2870" s="24">
        <v>42005</v>
      </c>
      <c r="N2870" s="24">
        <v>42005</v>
      </c>
      <c r="O2870" t="s">
        <v>26</v>
      </c>
      <c r="P2870" t="s">
        <v>26</v>
      </c>
      <c r="Q2870" t="s">
        <v>26</v>
      </c>
      <c r="R2870" t="s">
        <v>26</v>
      </c>
      <c r="S2870" s="24">
        <v>42005</v>
      </c>
      <c r="T2870" s="24">
        <v>42005</v>
      </c>
      <c r="U2870" t="s">
        <v>26</v>
      </c>
      <c r="V2870" t="s">
        <v>26</v>
      </c>
      <c r="W2870" s="24">
        <v>42005</v>
      </c>
      <c r="X2870" s="24">
        <v>42005</v>
      </c>
      <c r="Y2870" t="s">
        <v>26</v>
      </c>
      <c r="Z2870" s="24">
        <v>42005</v>
      </c>
      <c r="AA2870" s="24">
        <v>42005</v>
      </c>
      <c r="AB2870" t="s">
        <v>26</v>
      </c>
      <c r="AC2870" s="24">
        <v>42005</v>
      </c>
      <c r="AD2870" s="24">
        <v>42005</v>
      </c>
      <c r="AE2870" t="s">
        <v>26</v>
      </c>
      <c r="AF2870" s="24">
        <v>42005</v>
      </c>
      <c r="AG2870" s="24">
        <v>42005</v>
      </c>
      <c r="AH2870" t="s">
        <v>26</v>
      </c>
      <c r="AI2870" s="24">
        <v>42005</v>
      </c>
      <c r="AJ2870" s="24">
        <v>42005</v>
      </c>
      <c r="AK2870" t="s">
        <v>26</v>
      </c>
      <c r="AL2870" t="s">
        <v>26</v>
      </c>
      <c r="AM2870" t="s">
        <v>26</v>
      </c>
      <c r="AN2870" t="s">
        <v>26</v>
      </c>
      <c r="AO2870" s="25" t="s">
        <v>28</v>
      </c>
      <c r="AP2870" s="23" t="s">
        <v>43</v>
      </c>
      <c r="AQ2870" s="23" t="s">
        <v>30</v>
      </c>
      <c r="AR2870" s="23" t="s">
        <v>46</v>
      </c>
      <c r="AS2870" s="25">
        <v>6447778</v>
      </c>
      <c r="AT2870" t="s">
        <v>26</v>
      </c>
      <c r="AU2870" t="s">
        <v>25922</v>
      </c>
    </row>
    <row r="2871" spans="1:47" ht="26.25" x14ac:dyDescent="0.4">
      <c r="A2871" s="23" t="s">
        <v>7321</v>
      </c>
      <c r="B2871" t="s">
        <v>26</v>
      </c>
      <c r="C2871" s="23" t="s">
        <v>22238</v>
      </c>
      <c r="D2871" s="23" t="s">
        <v>22307</v>
      </c>
      <c r="E2871" s="23" t="s">
        <v>42</v>
      </c>
      <c r="F2871" t="s">
        <v>26</v>
      </c>
      <c r="G2871" t="s">
        <v>26</v>
      </c>
      <c r="H2871" t="s">
        <v>26</v>
      </c>
      <c r="I2871" s="24">
        <v>41640</v>
      </c>
      <c r="J2871" s="24">
        <v>41640</v>
      </c>
      <c r="K2871" t="s">
        <v>26</v>
      </c>
      <c r="L2871" s="25" t="s">
        <v>28</v>
      </c>
      <c r="M2871" s="24">
        <v>41640</v>
      </c>
      <c r="N2871" s="24">
        <v>41640</v>
      </c>
      <c r="O2871" t="s">
        <v>26</v>
      </c>
      <c r="P2871" t="s">
        <v>26</v>
      </c>
      <c r="Q2871" t="s">
        <v>26</v>
      </c>
      <c r="R2871" t="s">
        <v>26</v>
      </c>
      <c r="S2871" s="24">
        <v>41640</v>
      </c>
      <c r="T2871" s="24">
        <v>41640</v>
      </c>
      <c r="U2871" t="s">
        <v>26</v>
      </c>
      <c r="V2871" t="s">
        <v>26</v>
      </c>
      <c r="W2871" s="24">
        <v>41640</v>
      </c>
      <c r="X2871" s="24">
        <v>41640</v>
      </c>
      <c r="Y2871" t="s">
        <v>26</v>
      </c>
      <c r="Z2871" s="24">
        <v>41640</v>
      </c>
      <c r="AA2871" s="24">
        <v>41640</v>
      </c>
      <c r="AB2871" t="s">
        <v>26</v>
      </c>
      <c r="AC2871" s="24">
        <v>41640</v>
      </c>
      <c r="AD2871" s="24">
        <v>41640</v>
      </c>
      <c r="AE2871" t="s">
        <v>26</v>
      </c>
      <c r="AF2871" s="24">
        <v>41640</v>
      </c>
      <c r="AG2871" s="24">
        <v>41640</v>
      </c>
      <c r="AH2871" t="s">
        <v>26</v>
      </c>
      <c r="AI2871" s="24">
        <v>41640</v>
      </c>
      <c r="AJ2871" s="24">
        <v>41640</v>
      </c>
      <c r="AK2871" t="s">
        <v>26</v>
      </c>
      <c r="AL2871" t="s">
        <v>26</v>
      </c>
      <c r="AM2871" t="s">
        <v>26</v>
      </c>
      <c r="AN2871" t="s">
        <v>26</v>
      </c>
      <c r="AO2871" s="25" t="s">
        <v>28</v>
      </c>
      <c r="AP2871" s="23" t="s">
        <v>43</v>
      </c>
      <c r="AQ2871" s="23" t="s">
        <v>30</v>
      </c>
      <c r="AR2871" s="23" t="s">
        <v>46</v>
      </c>
      <c r="AS2871" s="25">
        <v>6447777</v>
      </c>
      <c r="AT2871" t="s">
        <v>26</v>
      </c>
      <c r="AU2871" t="s">
        <v>25923</v>
      </c>
    </row>
    <row r="2872" spans="1:47" ht="26.25" x14ac:dyDescent="0.4">
      <c r="A2872" s="23" t="s">
        <v>7322</v>
      </c>
      <c r="B2872" t="s">
        <v>26</v>
      </c>
      <c r="C2872" s="23" t="s">
        <v>22238</v>
      </c>
      <c r="D2872" s="23" t="s">
        <v>22307</v>
      </c>
      <c r="E2872" s="23" t="s">
        <v>42</v>
      </c>
      <c r="F2872" t="s">
        <v>26</v>
      </c>
      <c r="G2872" t="s">
        <v>26</v>
      </c>
      <c r="H2872" t="s">
        <v>26</v>
      </c>
      <c r="I2872" s="24">
        <v>41640</v>
      </c>
      <c r="J2872" s="24">
        <v>41640</v>
      </c>
      <c r="K2872" t="s">
        <v>26</v>
      </c>
      <c r="L2872" s="25" t="s">
        <v>28</v>
      </c>
      <c r="M2872" s="24">
        <v>41640</v>
      </c>
      <c r="N2872" s="24">
        <v>41640</v>
      </c>
      <c r="O2872" t="s">
        <v>26</v>
      </c>
      <c r="P2872" t="s">
        <v>26</v>
      </c>
      <c r="Q2872" t="s">
        <v>26</v>
      </c>
      <c r="R2872" t="s">
        <v>26</v>
      </c>
      <c r="S2872" s="24">
        <v>41640</v>
      </c>
      <c r="T2872" s="24">
        <v>41640</v>
      </c>
      <c r="U2872" t="s">
        <v>26</v>
      </c>
      <c r="V2872" t="s">
        <v>26</v>
      </c>
      <c r="W2872" s="24">
        <v>41640</v>
      </c>
      <c r="X2872" s="24">
        <v>41640</v>
      </c>
      <c r="Y2872" t="s">
        <v>26</v>
      </c>
      <c r="Z2872" s="24">
        <v>41640</v>
      </c>
      <c r="AA2872" s="24">
        <v>41640</v>
      </c>
      <c r="AB2872" t="s">
        <v>26</v>
      </c>
      <c r="AC2872" s="24">
        <v>41640</v>
      </c>
      <c r="AD2872" s="24">
        <v>41640</v>
      </c>
      <c r="AE2872" t="s">
        <v>26</v>
      </c>
      <c r="AF2872" s="24">
        <v>41640</v>
      </c>
      <c r="AG2872" s="24">
        <v>41640</v>
      </c>
      <c r="AH2872" t="s">
        <v>26</v>
      </c>
      <c r="AI2872" s="24">
        <v>41640</v>
      </c>
      <c r="AJ2872" s="24">
        <v>41640</v>
      </c>
      <c r="AK2872" t="s">
        <v>26</v>
      </c>
      <c r="AL2872" t="s">
        <v>26</v>
      </c>
      <c r="AM2872" t="s">
        <v>26</v>
      </c>
      <c r="AN2872" t="s">
        <v>26</v>
      </c>
      <c r="AO2872" s="25" t="s">
        <v>28</v>
      </c>
      <c r="AP2872" s="23" t="s">
        <v>43</v>
      </c>
      <c r="AQ2872" s="23" t="s">
        <v>30</v>
      </c>
      <c r="AR2872" s="23" t="s">
        <v>46</v>
      </c>
      <c r="AS2872" s="25">
        <v>6447776</v>
      </c>
      <c r="AT2872" t="s">
        <v>26</v>
      </c>
      <c r="AU2872" t="s">
        <v>25924</v>
      </c>
    </row>
    <row r="2873" spans="1:47" ht="26.25" x14ac:dyDescent="0.4">
      <c r="A2873" s="23" t="s">
        <v>7323</v>
      </c>
      <c r="B2873" t="s">
        <v>26</v>
      </c>
      <c r="C2873" s="23" t="s">
        <v>22238</v>
      </c>
      <c r="D2873" s="23" t="s">
        <v>22307</v>
      </c>
      <c r="E2873" s="23" t="s">
        <v>42</v>
      </c>
      <c r="F2873" t="s">
        <v>26</v>
      </c>
      <c r="G2873" t="s">
        <v>26</v>
      </c>
      <c r="H2873" t="s">
        <v>26</v>
      </c>
      <c r="I2873" s="24">
        <v>42370</v>
      </c>
      <c r="J2873" s="24">
        <v>42370</v>
      </c>
      <c r="K2873" t="s">
        <v>26</v>
      </c>
      <c r="L2873" s="25" t="s">
        <v>28</v>
      </c>
      <c r="M2873" s="24">
        <v>42370</v>
      </c>
      <c r="N2873" s="24">
        <v>42370</v>
      </c>
      <c r="O2873" t="s">
        <v>26</v>
      </c>
      <c r="P2873" t="s">
        <v>26</v>
      </c>
      <c r="Q2873" t="s">
        <v>26</v>
      </c>
      <c r="R2873" t="s">
        <v>26</v>
      </c>
      <c r="S2873" s="24">
        <v>42370</v>
      </c>
      <c r="T2873" s="24">
        <v>42370</v>
      </c>
      <c r="U2873" t="s">
        <v>26</v>
      </c>
      <c r="V2873" t="s">
        <v>26</v>
      </c>
      <c r="W2873" s="24">
        <v>42370</v>
      </c>
      <c r="X2873" s="24">
        <v>42370</v>
      </c>
      <c r="Y2873" t="s">
        <v>26</v>
      </c>
      <c r="Z2873" s="24">
        <v>42370</v>
      </c>
      <c r="AA2873" s="24">
        <v>42370</v>
      </c>
      <c r="AB2873" t="s">
        <v>26</v>
      </c>
      <c r="AC2873" s="24">
        <v>42370</v>
      </c>
      <c r="AD2873" s="24">
        <v>42370</v>
      </c>
      <c r="AE2873" t="s">
        <v>26</v>
      </c>
      <c r="AF2873" s="24">
        <v>42370</v>
      </c>
      <c r="AG2873" s="24">
        <v>42370</v>
      </c>
      <c r="AH2873" t="s">
        <v>26</v>
      </c>
      <c r="AI2873" s="24">
        <v>42370</v>
      </c>
      <c r="AJ2873" s="24">
        <v>42370</v>
      </c>
      <c r="AK2873" t="s">
        <v>26</v>
      </c>
      <c r="AL2873" t="s">
        <v>26</v>
      </c>
      <c r="AM2873" t="s">
        <v>26</v>
      </c>
      <c r="AN2873" t="s">
        <v>26</v>
      </c>
      <c r="AO2873" s="25" t="s">
        <v>28</v>
      </c>
      <c r="AP2873" s="23" t="s">
        <v>43</v>
      </c>
      <c r="AQ2873" s="23" t="s">
        <v>30</v>
      </c>
      <c r="AR2873" s="23" t="s">
        <v>46</v>
      </c>
      <c r="AS2873" s="25">
        <v>6447775</v>
      </c>
      <c r="AT2873" t="s">
        <v>26</v>
      </c>
      <c r="AU2873" t="s">
        <v>25925</v>
      </c>
    </row>
    <row r="2874" spans="1:47" ht="26.25" x14ac:dyDescent="0.4">
      <c r="A2874" s="23" t="s">
        <v>7324</v>
      </c>
      <c r="B2874" t="s">
        <v>26</v>
      </c>
      <c r="C2874" s="23" t="s">
        <v>22238</v>
      </c>
      <c r="D2874" s="23" t="s">
        <v>22307</v>
      </c>
      <c r="E2874" s="23" t="s">
        <v>42</v>
      </c>
      <c r="F2874" t="s">
        <v>26</v>
      </c>
      <c r="G2874" t="s">
        <v>26</v>
      </c>
      <c r="H2874" t="s">
        <v>26</v>
      </c>
      <c r="I2874" s="24">
        <v>42736</v>
      </c>
      <c r="J2874" s="24">
        <v>42736</v>
      </c>
      <c r="K2874" t="s">
        <v>26</v>
      </c>
      <c r="L2874" s="25" t="s">
        <v>28</v>
      </c>
      <c r="M2874" s="24">
        <v>42736</v>
      </c>
      <c r="N2874" s="24">
        <v>42736</v>
      </c>
      <c r="O2874" t="s">
        <v>26</v>
      </c>
      <c r="P2874" t="s">
        <v>26</v>
      </c>
      <c r="Q2874" t="s">
        <v>26</v>
      </c>
      <c r="R2874" t="s">
        <v>26</v>
      </c>
      <c r="S2874" s="24">
        <v>42736</v>
      </c>
      <c r="T2874" s="24">
        <v>42736</v>
      </c>
      <c r="U2874" t="s">
        <v>26</v>
      </c>
      <c r="V2874" t="s">
        <v>26</v>
      </c>
      <c r="W2874" s="24">
        <v>42736</v>
      </c>
      <c r="X2874" s="24">
        <v>42736</v>
      </c>
      <c r="Y2874" t="s">
        <v>26</v>
      </c>
      <c r="Z2874" s="24">
        <v>42736</v>
      </c>
      <c r="AA2874" s="24">
        <v>42736</v>
      </c>
      <c r="AB2874" t="s">
        <v>26</v>
      </c>
      <c r="AC2874" s="24">
        <v>42736</v>
      </c>
      <c r="AD2874" s="24">
        <v>42736</v>
      </c>
      <c r="AE2874" t="s">
        <v>26</v>
      </c>
      <c r="AF2874" s="24">
        <v>42736</v>
      </c>
      <c r="AG2874" s="24">
        <v>42736</v>
      </c>
      <c r="AH2874" t="s">
        <v>26</v>
      </c>
      <c r="AI2874" s="24">
        <v>42736</v>
      </c>
      <c r="AJ2874" s="24">
        <v>42736</v>
      </c>
      <c r="AK2874" t="s">
        <v>26</v>
      </c>
      <c r="AL2874" t="s">
        <v>26</v>
      </c>
      <c r="AM2874" t="s">
        <v>26</v>
      </c>
      <c r="AN2874" t="s">
        <v>26</v>
      </c>
      <c r="AO2874" s="25" t="s">
        <v>28</v>
      </c>
      <c r="AP2874" s="23" t="s">
        <v>43</v>
      </c>
      <c r="AQ2874" s="23" t="s">
        <v>30</v>
      </c>
      <c r="AR2874" s="23" t="s">
        <v>46</v>
      </c>
      <c r="AS2874" s="25">
        <v>6447774</v>
      </c>
      <c r="AT2874" t="s">
        <v>26</v>
      </c>
      <c r="AU2874" t="s">
        <v>25926</v>
      </c>
    </row>
    <row r="2875" spans="1:47" ht="26.25" x14ac:dyDescent="0.4">
      <c r="A2875" s="23" t="s">
        <v>7325</v>
      </c>
      <c r="B2875" t="s">
        <v>26</v>
      </c>
      <c r="C2875" s="23" t="s">
        <v>22238</v>
      </c>
      <c r="D2875" s="23" t="s">
        <v>22307</v>
      </c>
      <c r="E2875" s="23" t="s">
        <v>42</v>
      </c>
      <c r="F2875" t="s">
        <v>26</v>
      </c>
      <c r="G2875" t="s">
        <v>26</v>
      </c>
      <c r="H2875" t="s">
        <v>26</v>
      </c>
      <c r="I2875" s="24">
        <v>42736</v>
      </c>
      <c r="J2875" s="24">
        <v>42736</v>
      </c>
      <c r="K2875" t="s">
        <v>26</v>
      </c>
      <c r="L2875" s="25" t="s">
        <v>28</v>
      </c>
      <c r="M2875" s="24">
        <v>42736</v>
      </c>
      <c r="N2875" s="24">
        <v>42736</v>
      </c>
      <c r="O2875" t="s">
        <v>26</v>
      </c>
      <c r="P2875" t="s">
        <v>26</v>
      </c>
      <c r="Q2875" t="s">
        <v>26</v>
      </c>
      <c r="R2875" t="s">
        <v>26</v>
      </c>
      <c r="S2875" s="24">
        <v>42736</v>
      </c>
      <c r="T2875" s="24">
        <v>42736</v>
      </c>
      <c r="U2875" t="s">
        <v>26</v>
      </c>
      <c r="V2875" t="s">
        <v>26</v>
      </c>
      <c r="W2875" s="24">
        <v>42736</v>
      </c>
      <c r="X2875" s="24">
        <v>42736</v>
      </c>
      <c r="Y2875" t="s">
        <v>26</v>
      </c>
      <c r="Z2875" s="24">
        <v>42736</v>
      </c>
      <c r="AA2875" s="24">
        <v>42736</v>
      </c>
      <c r="AB2875" t="s">
        <v>26</v>
      </c>
      <c r="AC2875" s="24">
        <v>42736</v>
      </c>
      <c r="AD2875" s="24">
        <v>42736</v>
      </c>
      <c r="AE2875" t="s">
        <v>26</v>
      </c>
      <c r="AF2875" s="24">
        <v>42736</v>
      </c>
      <c r="AG2875" s="24">
        <v>42736</v>
      </c>
      <c r="AH2875" t="s">
        <v>26</v>
      </c>
      <c r="AI2875" s="24">
        <v>42736</v>
      </c>
      <c r="AJ2875" s="24">
        <v>42736</v>
      </c>
      <c r="AK2875" t="s">
        <v>26</v>
      </c>
      <c r="AL2875" t="s">
        <v>26</v>
      </c>
      <c r="AM2875" t="s">
        <v>26</v>
      </c>
      <c r="AN2875" t="s">
        <v>26</v>
      </c>
      <c r="AO2875" s="25" t="s">
        <v>28</v>
      </c>
      <c r="AP2875" s="23" t="s">
        <v>43</v>
      </c>
      <c r="AQ2875" s="23" t="s">
        <v>30</v>
      </c>
      <c r="AR2875" s="23" t="s">
        <v>46</v>
      </c>
      <c r="AS2875" s="25">
        <v>6447773</v>
      </c>
      <c r="AT2875" t="s">
        <v>26</v>
      </c>
      <c r="AU2875" t="s">
        <v>25927</v>
      </c>
    </row>
    <row r="2876" spans="1:47" ht="26.25" x14ac:dyDescent="0.4">
      <c r="A2876" s="23" t="s">
        <v>7326</v>
      </c>
      <c r="B2876" t="s">
        <v>26</v>
      </c>
      <c r="C2876" s="23" t="s">
        <v>80</v>
      </c>
      <c r="D2876" s="23" t="s">
        <v>22184</v>
      </c>
      <c r="E2876" s="23" t="s">
        <v>60</v>
      </c>
      <c r="F2876" s="25" t="s">
        <v>7327</v>
      </c>
      <c r="G2876" s="25" t="s">
        <v>7328</v>
      </c>
      <c r="H2876" t="s">
        <v>26</v>
      </c>
      <c r="I2876" t="s">
        <v>26</v>
      </c>
      <c r="J2876" t="s">
        <v>26</v>
      </c>
      <c r="K2876" t="s">
        <v>26</v>
      </c>
      <c r="L2876" s="25" t="s">
        <v>68</v>
      </c>
      <c r="M2876" t="s">
        <v>26</v>
      </c>
      <c r="N2876" t="s">
        <v>26</v>
      </c>
      <c r="O2876" t="s">
        <v>26</v>
      </c>
      <c r="P2876" t="s">
        <v>26</v>
      </c>
      <c r="Q2876" t="s">
        <v>26</v>
      </c>
      <c r="R2876" t="s">
        <v>26</v>
      </c>
      <c r="S2876" t="s">
        <v>26</v>
      </c>
      <c r="T2876" t="s">
        <v>26</v>
      </c>
      <c r="U2876" t="s">
        <v>26</v>
      </c>
      <c r="V2876" t="s">
        <v>26</v>
      </c>
      <c r="W2876" s="24">
        <v>40179</v>
      </c>
      <c r="X2876" s="25" t="s">
        <v>77</v>
      </c>
      <c r="Y2876" t="s">
        <v>26</v>
      </c>
      <c r="Z2876" s="24">
        <v>40179</v>
      </c>
      <c r="AA2876" s="25" t="s">
        <v>77</v>
      </c>
      <c r="AB2876" t="s">
        <v>26</v>
      </c>
      <c r="AC2876" s="24">
        <v>40179</v>
      </c>
      <c r="AD2876" s="25" t="s">
        <v>77</v>
      </c>
      <c r="AE2876" t="s">
        <v>26</v>
      </c>
      <c r="AF2876" t="s">
        <v>26</v>
      </c>
      <c r="AG2876" t="s">
        <v>26</v>
      </c>
      <c r="AH2876" t="s">
        <v>26</v>
      </c>
      <c r="AI2876" t="s">
        <v>26</v>
      </c>
      <c r="AJ2876" t="s">
        <v>26</v>
      </c>
      <c r="AK2876" t="s">
        <v>26</v>
      </c>
      <c r="AL2876" t="s">
        <v>26</v>
      </c>
      <c r="AM2876" t="s">
        <v>26</v>
      </c>
      <c r="AN2876" t="s">
        <v>26</v>
      </c>
      <c r="AO2876" s="25" t="s">
        <v>68</v>
      </c>
      <c r="AP2876" s="23" t="s">
        <v>69</v>
      </c>
      <c r="AQ2876" s="23" t="s">
        <v>30</v>
      </c>
      <c r="AR2876" s="23" t="s">
        <v>2624</v>
      </c>
      <c r="AS2876" s="25">
        <v>186308</v>
      </c>
      <c r="AT2876" t="s">
        <v>26</v>
      </c>
      <c r="AU2876" t="s">
        <v>25928</v>
      </c>
    </row>
    <row r="2877" spans="1:47" ht="26.25" x14ac:dyDescent="0.4">
      <c r="A2877" s="23" t="s">
        <v>7329</v>
      </c>
      <c r="B2877" t="s">
        <v>26</v>
      </c>
      <c r="C2877" s="23" t="s">
        <v>25929</v>
      </c>
      <c r="D2877" s="23" t="s">
        <v>22539</v>
      </c>
      <c r="E2877" s="23" t="s">
        <v>335</v>
      </c>
      <c r="F2877" t="s">
        <v>26</v>
      </c>
      <c r="G2877" t="s">
        <v>26</v>
      </c>
      <c r="H2877" t="s">
        <v>26</v>
      </c>
      <c r="I2877" s="24">
        <v>36161</v>
      </c>
      <c r="J2877" s="24">
        <v>37987</v>
      </c>
      <c r="K2877" t="s">
        <v>26</v>
      </c>
      <c r="L2877" s="25" t="s">
        <v>28</v>
      </c>
      <c r="M2877" s="24">
        <v>36161</v>
      </c>
      <c r="N2877" s="24">
        <v>37987</v>
      </c>
      <c r="O2877" t="s">
        <v>26</v>
      </c>
      <c r="P2877" t="s">
        <v>26</v>
      </c>
      <c r="Q2877" t="s">
        <v>26</v>
      </c>
      <c r="R2877" t="s">
        <v>26</v>
      </c>
      <c r="S2877" s="24">
        <v>36161</v>
      </c>
      <c r="T2877" s="24">
        <v>37987</v>
      </c>
      <c r="U2877" t="s">
        <v>26</v>
      </c>
      <c r="V2877" t="s">
        <v>26</v>
      </c>
      <c r="W2877" s="24">
        <v>36161</v>
      </c>
      <c r="X2877" s="24">
        <v>37987</v>
      </c>
      <c r="Y2877" t="s">
        <v>26</v>
      </c>
      <c r="Z2877" s="24">
        <v>36161</v>
      </c>
      <c r="AA2877" s="24">
        <v>37987</v>
      </c>
      <c r="AB2877" t="s">
        <v>26</v>
      </c>
      <c r="AC2877" s="24">
        <v>36161</v>
      </c>
      <c r="AD2877" s="24">
        <v>37987</v>
      </c>
      <c r="AE2877" t="s">
        <v>26</v>
      </c>
      <c r="AF2877" s="24">
        <v>36161</v>
      </c>
      <c r="AG2877" s="24">
        <v>37987</v>
      </c>
      <c r="AH2877" t="s">
        <v>26</v>
      </c>
      <c r="AI2877" s="24">
        <v>36161</v>
      </c>
      <c r="AJ2877" s="24">
        <v>37987</v>
      </c>
      <c r="AK2877" t="s">
        <v>26</v>
      </c>
      <c r="AL2877" t="s">
        <v>26</v>
      </c>
      <c r="AM2877" t="s">
        <v>26</v>
      </c>
      <c r="AN2877" t="s">
        <v>26</v>
      </c>
      <c r="AO2877" s="25" t="s">
        <v>28</v>
      </c>
      <c r="AP2877" s="23" t="s">
        <v>43</v>
      </c>
      <c r="AQ2877" s="23" t="s">
        <v>30</v>
      </c>
      <c r="AR2877" s="23" t="s">
        <v>46</v>
      </c>
      <c r="AS2877" s="25">
        <v>6364571</v>
      </c>
      <c r="AT2877" t="s">
        <v>26</v>
      </c>
      <c r="AU2877" t="s">
        <v>25930</v>
      </c>
    </row>
    <row r="2878" spans="1:47" ht="26.25" x14ac:dyDescent="0.4">
      <c r="A2878" s="23" t="s">
        <v>25931</v>
      </c>
      <c r="B2878" t="s">
        <v>26</v>
      </c>
      <c r="C2878" s="23" t="s">
        <v>332</v>
      </c>
      <c r="D2878" s="23" t="s">
        <v>22545</v>
      </c>
      <c r="E2878" s="23" t="s">
        <v>42</v>
      </c>
      <c r="F2878" t="s">
        <v>26</v>
      </c>
      <c r="G2878" t="s">
        <v>26</v>
      </c>
      <c r="H2878" t="s">
        <v>26</v>
      </c>
      <c r="I2878" s="24">
        <v>40544</v>
      </c>
      <c r="J2878" s="24">
        <v>40544</v>
      </c>
      <c r="K2878" t="s">
        <v>26</v>
      </c>
      <c r="L2878" s="25" t="s">
        <v>28</v>
      </c>
      <c r="M2878" s="24">
        <v>40544</v>
      </c>
      <c r="N2878" s="24">
        <v>40544</v>
      </c>
      <c r="O2878" t="s">
        <v>26</v>
      </c>
      <c r="P2878" t="s">
        <v>26</v>
      </c>
      <c r="Q2878" t="s">
        <v>26</v>
      </c>
      <c r="R2878" t="s">
        <v>26</v>
      </c>
      <c r="S2878" t="s">
        <v>26</v>
      </c>
      <c r="T2878" t="s">
        <v>26</v>
      </c>
      <c r="U2878" t="s">
        <v>26</v>
      </c>
      <c r="V2878" t="s">
        <v>26</v>
      </c>
      <c r="W2878" s="24">
        <v>40544</v>
      </c>
      <c r="X2878" s="24">
        <v>40544</v>
      </c>
      <c r="Y2878" t="s">
        <v>26</v>
      </c>
      <c r="Z2878" s="24">
        <v>40544</v>
      </c>
      <c r="AA2878" s="24">
        <v>40544</v>
      </c>
      <c r="AB2878" t="s">
        <v>26</v>
      </c>
      <c r="AC2878" s="24">
        <v>40544</v>
      </c>
      <c r="AD2878" s="24">
        <v>40544</v>
      </c>
      <c r="AE2878" t="s">
        <v>26</v>
      </c>
      <c r="AF2878" t="s">
        <v>26</v>
      </c>
      <c r="AG2878" t="s">
        <v>26</v>
      </c>
      <c r="AH2878" t="s">
        <v>26</v>
      </c>
      <c r="AI2878" t="s">
        <v>26</v>
      </c>
      <c r="AJ2878" t="s">
        <v>26</v>
      </c>
      <c r="AK2878" t="s">
        <v>26</v>
      </c>
      <c r="AL2878" t="s">
        <v>26</v>
      </c>
      <c r="AM2878" t="s">
        <v>26</v>
      </c>
      <c r="AN2878" t="s">
        <v>26</v>
      </c>
      <c r="AO2878" s="25" t="s">
        <v>28</v>
      </c>
      <c r="AP2878" s="23" t="s">
        <v>279</v>
      </c>
      <c r="AQ2878" s="23" t="s">
        <v>30</v>
      </c>
      <c r="AR2878" s="23" t="s">
        <v>46</v>
      </c>
      <c r="AS2878" s="25">
        <v>6059416</v>
      </c>
      <c r="AT2878" t="s">
        <v>26</v>
      </c>
      <c r="AU2878" t="s">
        <v>25932</v>
      </c>
    </row>
    <row r="2879" spans="1:47" ht="13.15" x14ac:dyDescent="0.4">
      <c r="A2879" s="23" t="s">
        <v>7330</v>
      </c>
      <c r="B2879" t="s">
        <v>26</v>
      </c>
      <c r="C2879" s="23" t="s">
        <v>146</v>
      </c>
      <c r="D2879" s="23" t="s">
        <v>22174</v>
      </c>
      <c r="E2879" s="23" t="s">
        <v>60</v>
      </c>
      <c r="F2879" t="s">
        <v>26</v>
      </c>
      <c r="G2879" t="s">
        <v>26</v>
      </c>
      <c r="H2879" t="s">
        <v>26</v>
      </c>
      <c r="I2879" t="s">
        <v>26</v>
      </c>
      <c r="J2879" t="s">
        <v>26</v>
      </c>
      <c r="K2879" t="s">
        <v>26</v>
      </c>
      <c r="L2879" s="25" t="s">
        <v>28</v>
      </c>
      <c r="M2879" t="s">
        <v>26</v>
      </c>
      <c r="N2879" t="s">
        <v>26</v>
      </c>
      <c r="O2879" t="s">
        <v>26</v>
      </c>
      <c r="P2879" t="s">
        <v>26</v>
      </c>
      <c r="Q2879" t="s">
        <v>26</v>
      </c>
      <c r="R2879" t="s">
        <v>26</v>
      </c>
      <c r="S2879" t="s">
        <v>26</v>
      </c>
      <c r="T2879" t="s">
        <v>26</v>
      </c>
      <c r="U2879" t="s">
        <v>26</v>
      </c>
      <c r="V2879" t="s">
        <v>26</v>
      </c>
      <c r="W2879" s="24">
        <v>42370</v>
      </c>
      <c r="X2879" s="24">
        <v>42370</v>
      </c>
      <c r="Y2879" t="s">
        <v>26</v>
      </c>
      <c r="Z2879" s="24">
        <v>42370</v>
      </c>
      <c r="AA2879" s="24">
        <v>42370</v>
      </c>
      <c r="AB2879" t="s">
        <v>26</v>
      </c>
      <c r="AC2879" t="s">
        <v>26</v>
      </c>
      <c r="AD2879" t="s">
        <v>26</v>
      </c>
      <c r="AE2879" t="s">
        <v>26</v>
      </c>
      <c r="AF2879" t="s">
        <v>26</v>
      </c>
      <c r="AG2879" t="s">
        <v>26</v>
      </c>
      <c r="AH2879" t="s">
        <v>26</v>
      </c>
      <c r="AI2879" t="s">
        <v>26</v>
      </c>
      <c r="AJ2879" t="s">
        <v>26</v>
      </c>
      <c r="AK2879" t="s">
        <v>26</v>
      </c>
      <c r="AL2879" t="s">
        <v>26</v>
      </c>
      <c r="AM2879" t="s">
        <v>26</v>
      </c>
      <c r="AN2879" t="s">
        <v>26</v>
      </c>
      <c r="AO2879" s="25" t="s">
        <v>28</v>
      </c>
      <c r="AP2879" s="23" t="s">
        <v>29</v>
      </c>
      <c r="AQ2879" s="23" t="s">
        <v>30</v>
      </c>
      <c r="AR2879" s="23" t="s">
        <v>245</v>
      </c>
      <c r="AS2879" s="25">
        <v>5488565</v>
      </c>
      <c r="AT2879" s="23" t="s">
        <v>22181</v>
      </c>
      <c r="AU2879" t="s">
        <v>25933</v>
      </c>
    </row>
    <row r="2880" spans="1:47" ht="13.15" x14ac:dyDescent="0.4">
      <c r="A2880" s="23" t="s">
        <v>7331</v>
      </c>
      <c r="B2880" t="s">
        <v>26</v>
      </c>
      <c r="C2880" s="23" t="s">
        <v>48</v>
      </c>
      <c r="D2880" s="23" t="s">
        <v>22168</v>
      </c>
      <c r="E2880" s="23" t="s">
        <v>42</v>
      </c>
      <c r="F2880" t="s">
        <v>26</v>
      </c>
      <c r="G2880" t="s">
        <v>26</v>
      </c>
      <c r="H2880" t="s">
        <v>26</v>
      </c>
      <c r="I2880" t="s">
        <v>26</v>
      </c>
      <c r="J2880" t="s">
        <v>26</v>
      </c>
      <c r="K2880" t="s">
        <v>26</v>
      </c>
      <c r="L2880" s="25" t="s">
        <v>28</v>
      </c>
      <c r="M2880" t="s">
        <v>26</v>
      </c>
      <c r="N2880" t="s">
        <v>26</v>
      </c>
      <c r="O2880" t="s">
        <v>26</v>
      </c>
      <c r="P2880" t="s">
        <v>26</v>
      </c>
      <c r="Q2880" t="s">
        <v>26</v>
      </c>
      <c r="R2880" t="s">
        <v>26</v>
      </c>
      <c r="S2880" t="s">
        <v>26</v>
      </c>
      <c r="T2880" t="s">
        <v>26</v>
      </c>
      <c r="U2880" t="s">
        <v>26</v>
      </c>
      <c r="V2880" t="s">
        <v>26</v>
      </c>
      <c r="W2880" s="24">
        <v>41640</v>
      </c>
      <c r="X2880" s="24">
        <v>41640</v>
      </c>
      <c r="Y2880" t="s">
        <v>26</v>
      </c>
      <c r="Z2880" s="24">
        <v>41640</v>
      </c>
      <c r="AA2880" s="24">
        <v>41640</v>
      </c>
      <c r="AB2880" t="s">
        <v>26</v>
      </c>
      <c r="AC2880" t="s">
        <v>26</v>
      </c>
      <c r="AD2880" t="s">
        <v>26</v>
      </c>
      <c r="AE2880" t="s">
        <v>26</v>
      </c>
      <c r="AF2880" t="s">
        <v>26</v>
      </c>
      <c r="AG2880" t="s">
        <v>26</v>
      </c>
      <c r="AH2880" t="s">
        <v>26</v>
      </c>
      <c r="AI2880" t="s">
        <v>26</v>
      </c>
      <c r="AJ2880" t="s">
        <v>26</v>
      </c>
      <c r="AK2880" t="s">
        <v>26</v>
      </c>
      <c r="AL2880" t="s">
        <v>26</v>
      </c>
      <c r="AM2880" t="s">
        <v>26</v>
      </c>
      <c r="AN2880" t="s">
        <v>26</v>
      </c>
      <c r="AO2880" s="25" t="s">
        <v>28</v>
      </c>
      <c r="AP2880" s="23" t="s">
        <v>29</v>
      </c>
      <c r="AQ2880" s="23" t="s">
        <v>30</v>
      </c>
      <c r="AR2880" s="23" t="s">
        <v>1170</v>
      </c>
      <c r="AS2880" s="25">
        <v>5488533</v>
      </c>
      <c r="AT2880" s="23" t="s">
        <v>22181</v>
      </c>
      <c r="AU2880" t="s">
        <v>25934</v>
      </c>
    </row>
    <row r="2881" spans="1:47" ht="26.25" x14ac:dyDescent="0.4">
      <c r="A2881" s="23" t="s">
        <v>7332</v>
      </c>
      <c r="B2881" t="s">
        <v>26</v>
      </c>
      <c r="C2881" s="23" t="s">
        <v>7333</v>
      </c>
      <c r="D2881" s="23" t="s">
        <v>23177</v>
      </c>
      <c r="E2881" s="23" t="s">
        <v>42</v>
      </c>
      <c r="F2881" s="25" t="s">
        <v>7334</v>
      </c>
      <c r="G2881" t="s">
        <v>26</v>
      </c>
      <c r="H2881" t="s">
        <v>26</v>
      </c>
      <c r="I2881" s="24">
        <v>35886</v>
      </c>
      <c r="J2881" s="24">
        <v>44166</v>
      </c>
      <c r="K2881" t="s">
        <v>26</v>
      </c>
      <c r="L2881" s="25" t="s">
        <v>68</v>
      </c>
      <c r="M2881" s="24">
        <v>35886</v>
      </c>
      <c r="N2881" s="24">
        <v>44166</v>
      </c>
      <c r="O2881" t="s">
        <v>26</v>
      </c>
      <c r="P2881" s="24">
        <v>35886</v>
      </c>
      <c r="Q2881" s="24">
        <v>44166</v>
      </c>
      <c r="R2881" t="s">
        <v>26</v>
      </c>
      <c r="S2881" t="s">
        <v>26</v>
      </c>
      <c r="T2881" t="s">
        <v>26</v>
      </c>
      <c r="U2881" t="s">
        <v>26</v>
      </c>
      <c r="V2881" t="s">
        <v>26</v>
      </c>
      <c r="W2881" s="24">
        <v>33695</v>
      </c>
      <c r="X2881" s="24">
        <v>44166</v>
      </c>
      <c r="Y2881" t="s">
        <v>26</v>
      </c>
      <c r="Z2881" s="24">
        <v>33695</v>
      </c>
      <c r="AA2881" s="24">
        <v>44166</v>
      </c>
      <c r="AB2881" t="s">
        <v>26</v>
      </c>
      <c r="AC2881" s="24">
        <v>33695</v>
      </c>
      <c r="AD2881" s="24">
        <v>44166</v>
      </c>
      <c r="AE2881" t="s">
        <v>26</v>
      </c>
      <c r="AF2881" t="s">
        <v>26</v>
      </c>
      <c r="AG2881" t="s">
        <v>26</v>
      </c>
      <c r="AH2881" t="s">
        <v>26</v>
      </c>
      <c r="AI2881" t="s">
        <v>26</v>
      </c>
      <c r="AJ2881" t="s">
        <v>26</v>
      </c>
      <c r="AK2881" t="s">
        <v>26</v>
      </c>
      <c r="AL2881" t="s">
        <v>26</v>
      </c>
      <c r="AM2881" t="s">
        <v>26</v>
      </c>
      <c r="AN2881" t="s">
        <v>26</v>
      </c>
      <c r="AO2881" s="25" t="s">
        <v>68</v>
      </c>
      <c r="AP2881" s="23" t="s">
        <v>69</v>
      </c>
      <c r="AQ2881" s="23" t="s">
        <v>30</v>
      </c>
      <c r="AR2881" s="23" t="s">
        <v>7335</v>
      </c>
      <c r="AS2881" s="25">
        <v>47709</v>
      </c>
      <c r="AT2881" t="s">
        <v>26</v>
      </c>
      <c r="AU2881" t="s">
        <v>25935</v>
      </c>
    </row>
    <row r="2882" spans="1:47" ht="26.25" x14ac:dyDescent="0.4">
      <c r="A2882" s="23" t="s">
        <v>7336</v>
      </c>
      <c r="B2882" t="s">
        <v>26</v>
      </c>
      <c r="C2882" s="23" t="s">
        <v>80</v>
      </c>
      <c r="D2882" s="23" t="s">
        <v>23056</v>
      </c>
      <c r="E2882" s="23" t="s">
        <v>60</v>
      </c>
      <c r="F2882" s="25" t="s">
        <v>7337</v>
      </c>
      <c r="G2882" s="25" t="s">
        <v>7338</v>
      </c>
      <c r="H2882" t="s">
        <v>26</v>
      </c>
      <c r="I2882" s="24">
        <v>34335</v>
      </c>
      <c r="J2882" s="24">
        <v>38626</v>
      </c>
      <c r="K2882" s="25" t="s">
        <v>1463</v>
      </c>
      <c r="L2882" s="25" t="s">
        <v>68</v>
      </c>
      <c r="M2882" s="24">
        <v>34335</v>
      </c>
      <c r="N2882" s="24">
        <v>38626</v>
      </c>
      <c r="O2882" s="25" t="s">
        <v>1463</v>
      </c>
      <c r="P2882" s="24">
        <v>34759</v>
      </c>
      <c r="Q2882" s="24">
        <v>38626</v>
      </c>
      <c r="R2882" t="s">
        <v>26</v>
      </c>
      <c r="S2882" t="s">
        <v>26</v>
      </c>
      <c r="T2882" t="s">
        <v>26</v>
      </c>
      <c r="U2882" t="s">
        <v>26</v>
      </c>
      <c r="V2882" t="s">
        <v>26</v>
      </c>
      <c r="W2882" s="24">
        <v>33604</v>
      </c>
      <c r="X2882" s="25" t="s">
        <v>77</v>
      </c>
      <c r="Y2882" t="s">
        <v>26</v>
      </c>
      <c r="Z2882" s="24">
        <v>33604</v>
      </c>
      <c r="AA2882" s="25" t="s">
        <v>77</v>
      </c>
      <c r="AB2882" t="s">
        <v>26</v>
      </c>
      <c r="AC2882" s="24">
        <v>33604</v>
      </c>
      <c r="AD2882" s="25" t="s">
        <v>77</v>
      </c>
      <c r="AE2882" t="s">
        <v>26</v>
      </c>
      <c r="AF2882" t="s">
        <v>26</v>
      </c>
      <c r="AG2882" t="s">
        <v>26</v>
      </c>
      <c r="AH2882" t="s">
        <v>26</v>
      </c>
      <c r="AI2882" t="s">
        <v>26</v>
      </c>
      <c r="AJ2882" t="s">
        <v>26</v>
      </c>
      <c r="AK2882" t="s">
        <v>26</v>
      </c>
      <c r="AL2882" t="s">
        <v>26</v>
      </c>
      <c r="AM2882" t="s">
        <v>26</v>
      </c>
      <c r="AN2882" t="s">
        <v>26</v>
      </c>
      <c r="AO2882" s="25" t="s">
        <v>68</v>
      </c>
      <c r="AP2882" s="23" t="s">
        <v>69</v>
      </c>
      <c r="AQ2882" s="23" t="s">
        <v>30</v>
      </c>
      <c r="AR2882" s="23" t="s">
        <v>7339</v>
      </c>
      <c r="AS2882" s="25">
        <v>47214</v>
      </c>
      <c r="AT2882" t="s">
        <v>26</v>
      </c>
      <c r="AU2882" t="s">
        <v>25936</v>
      </c>
    </row>
    <row r="2883" spans="1:47" ht="26.25" x14ac:dyDescent="0.4">
      <c r="A2883" s="23" t="s">
        <v>7340</v>
      </c>
      <c r="B2883" t="s">
        <v>26</v>
      </c>
      <c r="C2883" s="23" t="s">
        <v>107</v>
      </c>
      <c r="D2883" s="23" t="s">
        <v>23058</v>
      </c>
      <c r="E2883" s="23" t="s">
        <v>42</v>
      </c>
      <c r="F2883" s="25" t="s">
        <v>7341</v>
      </c>
      <c r="G2883" s="25" t="s">
        <v>7342</v>
      </c>
      <c r="H2883" t="s">
        <v>26</v>
      </c>
      <c r="I2883" t="s">
        <v>26</v>
      </c>
      <c r="J2883" t="s">
        <v>26</v>
      </c>
      <c r="K2883" t="s">
        <v>26</v>
      </c>
      <c r="L2883" s="25" t="s">
        <v>68</v>
      </c>
      <c r="M2883" t="s">
        <v>26</v>
      </c>
      <c r="N2883" t="s">
        <v>26</v>
      </c>
      <c r="O2883" t="s">
        <v>26</v>
      </c>
      <c r="P2883" t="s">
        <v>26</v>
      </c>
      <c r="Q2883" t="s">
        <v>26</v>
      </c>
      <c r="R2883" t="s">
        <v>26</v>
      </c>
      <c r="S2883" t="s">
        <v>26</v>
      </c>
      <c r="T2883" t="s">
        <v>26</v>
      </c>
      <c r="U2883" t="s">
        <v>26</v>
      </c>
      <c r="V2883" t="s">
        <v>26</v>
      </c>
      <c r="W2883" s="24">
        <v>29037</v>
      </c>
      <c r="X2883" s="25" t="s">
        <v>77</v>
      </c>
      <c r="Y2883" t="s">
        <v>26</v>
      </c>
      <c r="Z2883" s="24">
        <v>29037</v>
      </c>
      <c r="AA2883" s="25" t="s">
        <v>77</v>
      </c>
      <c r="AB2883" t="s">
        <v>26</v>
      </c>
      <c r="AC2883" s="24">
        <v>35096</v>
      </c>
      <c r="AD2883" s="25" t="s">
        <v>77</v>
      </c>
      <c r="AE2883" t="s">
        <v>26</v>
      </c>
      <c r="AF2883" t="s">
        <v>26</v>
      </c>
      <c r="AG2883" t="s">
        <v>26</v>
      </c>
      <c r="AH2883" t="s">
        <v>26</v>
      </c>
      <c r="AI2883" t="s">
        <v>26</v>
      </c>
      <c r="AJ2883" t="s">
        <v>26</v>
      </c>
      <c r="AK2883" t="s">
        <v>26</v>
      </c>
      <c r="AL2883" t="s">
        <v>26</v>
      </c>
      <c r="AM2883" t="s">
        <v>26</v>
      </c>
      <c r="AN2883" t="s">
        <v>26</v>
      </c>
      <c r="AO2883" s="25" t="s">
        <v>68</v>
      </c>
      <c r="AP2883" s="23" t="s">
        <v>69</v>
      </c>
      <c r="AQ2883" s="23" t="s">
        <v>30</v>
      </c>
      <c r="AR2883" s="23" t="s">
        <v>7343</v>
      </c>
      <c r="AS2883" s="25">
        <v>30458</v>
      </c>
      <c r="AT2883" t="s">
        <v>26</v>
      </c>
      <c r="AU2883" t="s">
        <v>25937</v>
      </c>
    </row>
    <row r="2884" spans="1:47" ht="39.4" x14ac:dyDescent="0.4">
      <c r="A2884" s="23" t="s">
        <v>7344</v>
      </c>
      <c r="B2884" t="s">
        <v>26</v>
      </c>
      <c r="C2884" s="23" t="s">
        <v>371</v>
      </c>
      <c r="D2884" s="23" t="s">
        <v>22179</v>
      </c>
      <c r="E2884" s="23" t="s">
        <v>42</v>
      </c>
      <c r="F2884" t="s">
        <v>26</v>
      </c>
      <c r="G2884" t="s">
        <v>26</v>
      </c>
      <c r="H2884" t="s">
        <v>26</v>
      </c>
      <c r="I2884" s="24">
        <v>38353</v>
      </c>
      <c r="J2884" s="24">
        <v>38353</v>
      </c>
      <c r="K2884" t="s">
        <v>26</v>
      </c>
      <c r="L2884" s="25" t="s">
        <v>28</v>
      </c>
      <c r="M2884" t="s">
        <v>26</v>
      </c>
      <c r="N2884" t="s">
        <v>26</v>
      </c>
      <c r="O2884" t="s">
        <v>26</v>
      </c>
      <c r="P2884" s="24">
        <v>38353</v>
      </c>
      <c r="Q2884" s="24">
        <v>38353</v>
      </c>
      <c r="R2884" t="s">
        <v>26</v>
      </c>
      <c r="S2884" t="s">
        <v>26</v>
      </c>
      <c r="T2884" t="s">
        <v>26</v>
      </c>
      <c r="U2884" t="s">
        <v>26</v>
      </c>
      <c r="V2884" t="s">
        <v>26</v>
      </c>
      <c r="W2884" s="24">
        <v>38353</v>
      </c>
      <c r="X2884" s="24">
        <v>38353</v>
      </c>
      <c r="Y2884" t="s">
        <v>26</v>
      </c>
      <c r="Z2884" s="24">
        <v>38353</v>
      </c>
      <c r="AA2884" s="24">
        <v>38353</v>
      </c>
      <c r="AB2884" t="s">
        <v>26</v>
      </c>
      <c r="AC2884" t="s">
        <v>26</v>
      </c>
      <c r="AD2884" t="s">
        <v>26</v>
      </c>
      <c r="AE2884" t="s">
        <v>26</v>
      </c>
      <c r="AF2884" t="s">
        <v>26</v>
      </c>
      <c r="AG2884" t="s">
        <v>26</v>
      </c>
      <c r="AH2884" t="s">
        <v>26</v>
      </c>
      <c r="AI2884" t="s">
        <v>26</v>
      </c>
      <c r="AJ2884" t="s">
        <v>26</v>
      </c>
      <c r="AK2884" t="s">
        <v>26</v>
      </c>
      <c r="AL2884" t="s">
        <v>26</v>
      </c>
      <c r="AM2884" t="s">
        <v>26</v>
      </c>
      <c r="AN2884" t="s">
        <v>26</v>
      </c>
      <c r="AO2884" s="25" t="s">
        <v>28</v>
      </c>
      <c r="AP2884" s="23" t="s">
        <v>29</v>
      </c>
      <c r="AQ2884" s="23" t="s">
        <v>30</v>
      </c>
      <c r="AR2884" s="23" t="s">
        <v>44</v>
      </c>
      <c r="AS2884" s="25">
        <v>5488581</v>
      </c>
      <c r="AT2884" s="23" t="s">
        <v>22181</v>
      </c>
      <c r="AU2884" t="s">
        <v>25938</v>
      </c>
    </row>
    <row r="2885" spans="1:47" ht="26.25" x14ac:dyDescent="0.4">
      <c r="A2885" s="23" t="s">
        <v>7345</v>
      </c>
      <c r="B2885" t="s">
        <v>26</v>
      </c>
      <c r="C2885" s="23" t="s">
        <v>146</v>
      </c>
      <c r="D2885" s="23" t="s">
        <v>22174</v>
      </c>
      <c r="E2885" s="23" t="s">
        <v>60</v>
      </c>
      <c r="F2885" t="s">
        <v>26</v>
      </c>
      <c r="G2885" t="s">
        <v>26</v>
      </c>
      <c r="H2885" t="s">
        <v>26</v>
      </c>
      <c r="I2885" t="s">
        <v>26</v>
      </c>
      <c r="J2885" t="s">
        <v>26</v>
      </c>
      <c r="K2885" t="s">
        <v>26</v>
      </c>
      <c r="L2885" s="25" t="s">
        <v>28</v>
      </c>
      <c r="M2885" t="s">
        <v>26</v>
      </c>
      <c r="N2885" t="s">
        <v>26</v>
      </c>
      <c r="O2885" t="s">
        <v>26</v>
      </c>
      <c r="P2885" t="s">
        <v>26</v>
      </c>
      <c r="Q2885" t="s">
        <v>26</v>
      </c>
      <c r="R2885" t="s">
        <v>26</v>
      </c>
      <c r="S2885" t="s">
        <v>26</v>
      </c>
      <c r="T2885" t="s">
        <v>26</v>
      </c>
      <c r="U2885" t="s">
        <v>26</v>
      </c>
      <c r="V2885" t="s">
        <v>26</v>
      </c>
      <c r="W2885" s="24">
        <v>42370</v>
      </c>
      <c r="X2885" s="24">
        <v>42370</v>
      </c>
      <c r="Y2885" t="s">
        <v>26</v>
      </c>
      <c r="Z2885" s="24">
        <v>42370</v>
      </c>
      <c r="AA2885" s="24">
        <v>42370</v>
      </c>
      <c r="AB2885" t="s">
        <v>26</v>
      </c>
      <c r="AC2885" t="s">
        <v>26</v>
      </c>
      <c r="AD2885" t="s">
        <v>26</v>
      </c>
      <c r="AE2885" t="s">
        <v>26</v>
      </c>
      <c r="AF2885" t="s">
        <v>26</v>
      </c>
      <c r="AG2885" t="s">
        <v>26</v>
      </c>
      <c r="AH2885" t="s">
        <v>26</v>
      </c>
      <c r="AI2885" t="s">
        <v>26</v>
      </c>
      <c r="AJ2885" t="s">
        <v>26</v>
      </c>
      <c r="AK2885" t="s">
        <v>26</v>
      </c>
      <c r="AL2885" t="s">
        <v>26</v>
      </c>
      <c r="AM2885" t="s">
        <v>26</v>
      </c>
      <c r="AN2885" t="s">
        <v>26</v>
      </c>
      <c r="AO2885" s="25" t="s">
        <v>28</v>
      </c>
      <c r="AP2885" s="23" t="s">
        <v>29</v>
      </c>
      <c r="AQ2885" s="23" t="s">
        <v>30</v>
      </c>
      <c r="AR2885" s="23" t="s">
        <v>147</v>
      </c>
      <c r="AS2885" s="25">
        <v>5488568</v>
      </c>
      <c r="AT2885" s="23" t="s">
        <v>22181</v>
      </c>
      <c r="AU2885" t="s">
        <v>25939</v>
      </c>
    </row>
    <row r="2886" spans="1:47" ht="39.4" x14ac:dyDescent="0.4">
      <c r="A2886" s="23" t="s">
        <v>7346</v>
      </c>
      <c r="B2886" t="s">
        <v>26</v>
      </c>
      <c r="C2886" s="23" t="s">
        <v>364</v>
      </c>
      <c r="D2886" s="23" t="s">
        <v>25940</v>
      </c>
      <c r="E2886" s="23" t="s">
        <v>42</v>
      </c>
      <c r="F2886" t="s">
        <v>26</v>
      </c>
      <c r="G2886" t="s">
        <v>26</v>
      </c>
      <c r="H2886" t="s">
        <v>26</v>
      </c>
      <c r="I2886" s="24">
        <v>43302</v>
      </c>
      <c r="J2886" s="25" t="s">
        <v>77</v>
      </c>
      <c r="K2886" t="s">
        <v>26</v>
      </c>
      <c r="L2886" s="25" t="s">
        <v>28</v>
      </c>
      <c r="M2886" s="24">
        <v>43302</v>
      </c>
      <c r="N2886" s="25" t="s">
        <v>77</v>
      </c>
      <c r="O2886" t="s">
        <v>26</v>
      </c>
      <c r="P2886" t="s">
        <v>26</v>
      </c>
      <c r="Q2886" t="s">
        <v>26</v>
      </c>
      <c r="R2886" t="s">
        <v>26</v>
      </c>
      <c r="S2886" t="s">
        <v>26</v>
      </c>
      <c r="T2886" t="s">
        <v>26</v>
      </c>
      <c r="U2886" t="s">
        <v>26</v>
      </c>
      <c r="V2886" t="s">
        <v>26</v>
      </c>
      <c r="W2886" s="24">
        <v>43302</v>
      </c>
      <c r="X2886" s="25" t="s">
        <v>77</v>
      </c>
      <c r="Y2886" t="s">
        <v>26</v>
      </c>
      <c r="Z2886" s="24">
        <v>43302</v>
      </c>
      <c r="AA2886" s="25" t="s">
        <v>77</v>
      </c>
      <c r="AB2886" t="s">
        <v>26</v>
      </c>
      <c r="AC2886" t="s">
        <v>26</v>
      </c>
      <c r="AD2886" t="s">
        <v>26</v>
      </c>
      <c r="AE2886" t="s">
        <v>26</v>
      </c>
      <c r="AF2886" t="s">
        <v>26</v>
      </c>
      <c r="AG2886" t="s">
        <v>26</v>
      </c>
      <c r="AH2886" t="s">
        <v>26</v>
      </c>
      <c r="AI2886" t="s">
        <v>26</v>
      </c>
      <c r="AJ2886" t="s">
        <v>26</v>
      </c>
      <c r="AK2886" t="s">
        <v>26</v>
      </c>
      <c r="AL2886" t="s">
        <v>26</v>
      </c>
      <c r="AM2886" t="s">
        <v>26</v>
      </c>
      <c r="AN2886" t="s">
        <v>26</v>
      </c>
      <c r="AO2886" s="25" t="s">
        <v>28</v>
      </c>
      <c r="AP2886" s="23" t="s">
        <v>365</v>
      </c>
      <c r="AQ2886" s="23" t="s">
        <v>30</v>
      </c>
      <c r="AR2886" s="23" t="s">
        <v>46</v>
      </c>
      <c r="AS2886" s="25">
        <v>4396506</v>
      </c>
      <c r="AT2886" t="s">
        <v>26</v>
      </c>
      <c r="AU2886" t="s">
        <v>25941</v>
      </c>
    </row>
    <row r="2887" spans="1:47" ht="13.15" x14ac:dyDescent="0.4">
      <c r="A2887" s="23" t="s">
        <v>7347</v>
      </c>
      <c r="B2887" t="s">
        <v>26</v>
      </c>
      <c r="C2887" s="23" t="s">
        <v>552</v>
      </c>
      <c r="D2887" s="23" t="s">
        <v>22231</v>
      </c>
      <c r="E2887" s="23" t="s">
        <v>42</v>
      </c>
      <c r="F2887" t="s">
        <v>26</v>
      </c>
      <c r="G2887" t="s">
        <v>26</v>
      </c>
      <c r="H2887" t="s">
        <v>26</v>
      </c>
      <c r="I2887" s="24">
        <v>34700</v>
      </c>
      <c r="J2887" s="24">
        <v>34700</v>
      </c>
      <c r="K2887" t="s">
        <v>26</v>
      </c>
      <c r="L2887" s="25" t="s">
        <v>28</v>
      </c>
      <c r="M2887" s="24">
        <v>34700</v>
      </c>
      <c r="N2887" s="24">
        <v>34700</v>
      </c>
      <c r="O2887" t="s">
        <v>26</v>
      </c>
      <c r="P2887" t="s">
        <v>26</v>
      </c>
      <c r="Q2887" t="s">
        <v>26</v>
      </c>
      <c r="R2887" t="s">
        <v>26</v>
      </c>
      <c r="S2887" t="s">
        <v>26</v>
      </c>
      <c r="T2887" t="s">
        <v>26</v>
      </c>
      <c r="U2887" t="s">
        <v>26</v>
      </c>
      <c r="V2887" t="s">
        <v>26</v>
      </c>
      <c r="W2887" s="24">
        <v>34700</v>
      </c>
      <c r="X2887" s="24">
        <v>34700</v>
      </c>
      <c r="Y2887" t="s">
        <v>26</v>
      </c>
      <c r="Z2887" s="24">
        <v>34700</v>
      </c>
      <c r="AA2887" s="24">
        <v>34700</v>
      </c>
      <c r="AB2887" t="s">
        <v>26</v>
      </c>
      <c r="AC2887" s="24">
        <v>34700</v>
      </c>
      <c r="AD2887" s="24">
        <v>34700</v>
      </c>
      <c r="AE2887" t="s">
        <v>26</v>
      </c>
      <c r="AF2887" t="s">
        <v>26</v>
      </c>
      <c r="AG2887" t="s">
        <v>26</v>
      </c>
      <c r="AH2887" t="s">
        <v>26</v>
      </c>
      <c r="AI2887" t="s">
        <v>26</v>
      </c>
      <c r="AJ2887" t="s">
        <v>26</v>
      </c>
      <c r="AK2887" t="s">
        <v>26</v>
      </c>
      <c r="AL2887" t="s">
        <v>26</v>
      </c>
      <c r="AM2887" t="s">
        <v>26</v>
      </c>
      <c r="AN2887" t="s">
        <v>26</v>
      </c>
      <c r="AO2887" s="25" t="s">
        <v>28</v>
      </c>
      <c r="AP2887" s="23" t="s">
        <v>29</v>
      </c>
      <c r="AQ2887" s="23" t="s">
        <v>30</v>
      </c>
      <c r="AR2887" s="23" t="s">
        <v>46</v>
      </c>
      <c r="AS2887" s="25">
        <v>6059415</v>
      </c>
      <c r="AT2887" t="s">
        <v>26</v>
      </c>
      <c r="AU2887" t="s">
        <v>25942</v>
      </c>
    </row>
    <row r="2888" spans="1:47" ht="26.25" x14ac:dyDescent="0.4">
      <c r="A2888" s="23" t="s">
        <v>7348</v>
      </c>
      <c r="B2888" t="s">
        <v>26</v>
      </c>
      <c r="C2888" t="s">
        <v>26</v>
      </c>
      <c r="D2888" s="23" t="s">
        <v>22231</v>
      </c>
      <c r="E2888" t="s">
        <v>26</v>
      </c>
      <c r="F2888" t="s">
        <v>26</v>
      </c>
      <c r="G2888" t="s">
        <v>26</v>
      </c>
      <c r="H2888" t="s">
        <v>26</v>
      </c>
      <c r="I2888" s="24">
        <v>39814</v>
      </c>
      <c r="J2888" s="24">
        <v>39814</v>
      </c>
      <c r="K2888" t="s">
        <v>26</v>
      </c>
      <c r="L2888" s="25" t="s">
        <v>28</v>
      </c>
      <c r="M2888" s="24">
        <v>39814</v>
      </c>
      <c r="N2888" s="24">
        <v>39814</v>
      </c>
      <c r="O2888" t="s">
        <v>26</v>
      </c>
      <c r="P2888" t="s">
        <v>26</v>
      </c>
      <c r="Q2888" t="s">
        <v>26</v>
      </c>
      <c r="R2888" t="s">
        <v>26</v>
      </c>
      <c r="S2888" t="s">
        <v>26</v>
      </c>
      <c r="T2888" t="s">
        <v>26</v>
      </c>
      <c r="U2888" t="s">
        <v>26</v>
      </c>
      <c r="V2888" t="s">
        <v>26</v>
      </c>
      <c r="W2888" s="24">
        <v>39814</v>
      </c>
      <c r="X2888" s="24">
        <v>39814</v>
      </c>
      <c r="Y2888" t="s">
        <v>26</v>
      </c>
      <c r="Z2888" s="24">
        <v>39814</v>
      </c>
      <c r="AA2888" s="24">
        <v>39814</v>
      </c>
      <c r="AB2888" t="s">
        <v>26</v>
      </c>
      <c r="AC2888" s="24">
        <v>39814</v>
      </c>
      <c r="AD2888" s="24">
        <v>39814</v>
      </c>
      <c r="AE2888" t="s">
        <v>26</v>
      </c>
      <c r="AF2888" t="s">
        <v>26</v>
      </c>
      <c r="AG2888" t="s">
        <v>26</v>
      </c>
      <c r="AH2888" t="s">
        <v>26</v>
      </c>
      <c r="AI2888" t="s">
        <v>26</v>
      </c>
      <c r="AJ2888" t="s">
        <v>26</v>
      </c>
      <c r="AK2888" t="s">
        <v>26</v>
      </c>
      <c r="AL2888" t="s">
        <v>26</v>
      </c>
      <c r="AM2888" t="s">
        <v>26</v>
      </c>
      <c r="AN2888" t="s">
        <v>26</v>
      </c>
      <c r="AO2888" s="25" t="s">
        <v>28</v>
      </c>
      <c r="AP2888" s="23" t="s">
        <v>29</v>
      </c>
      <c r="AQ2888" s="23" t="s">
        <v>30</v>
      </c>
      <c r="AR2888" s="23" t="s">
        <v>46</v>
      </c>
      <c r="AS2888" s="25">
        <v>6059414</v>
      </c>
      <c r="AT2888" t="s">
        <v>26</v>
      </c>
      <c r="AU2888" t="s">
        <v>25943</v>
      </c>
    </row>
    <row r="2889" spans="1:47" ht="13.15" x14ac:dyDescent="0.4">
      <c r="A2889" s="23" t="s">
        <v>7349</v>
      </c>
      <c r="B2889" t="s">
        <v>26</v>
      </c>
      <c r="C2889" s="23" t="s">
        <v>146</v>
      </c>
      <c r="D2889" s="23" t="s">
        <v>22174</v>
      </c>
      <c r="E2889" s="23" t="s">
        <v>60</v>
      </c>
      <c r="F2889" t="s">
        <v>26</v>
      </c>
      <c r="G2889" t="s">
        <v>26</v>
      </c>
      <c r="H2889" t="s">
        <v>26</v>
      </c>
      <c r="I2889" t="s">
        <v>26</v>
      </c>
      <c r="J2889" t="s">
        <v>26</v>
      </c>
      <c r="K2889" t="s">
        <v>26</v>
      </c>
      <c r="L2889" s="25" t="s">
        <v>28</v>
      </c>
      <c r="M2889" t="s">
        <v>26</v>
      </c>
      <c r="N2889" t="s">
        <v>26</v>
      </c>
      <c r="O2889" t="s">
        <v>26</v>
      </c>
      <c r="P2889" t="s">
        <v>26</v>
      </c>
      <c r="Q2889" t="s">
        <v>26</v>
      </c>
      <c r="R2889" t="s">
        <v>26</v>
      </c>
      <c r="S2889" t="s">
        <v>26</v>
      </c>
      <c r="T2889" t="s">
        <v>26</v>
      </c>
      <c r="U2889" t="s">
        <v>26</v>
      </c>
      <c r="V2889" t="s">
        <v>26</v>
      </c>
      <c r="W2889" s="24">
        <v>42370</v>
      </c>
      <c r="X2889" s="24">
        <v>42370</v>
      </c>
      <c r="Y2889" t="s">
        <v>26</v>
      </c>
      <c r="Z2889" s="24">
        <v>42370</v>
      </c>
      <c r="AA2889" s="24">
        <v>42370</v>
      </c>
      <c r="AB2889" t="s">
        <v>26</v>
      </c>
      <c r="AC2889" t="s">
        <v>26</v>
      </c>
      <c r="AD2889" t="s">
        <v>26</v>
      </c>
      <c r="AE2889" t="s">
        <v>26</v>
      </c>
      <c r="AF2889" t="s">
        <v>26</v>
      </c>
      <c r="AG2889" t="s">
        <v>26</v>
      </c>
      <c r="AH2889" t="s">
        <v>26</v>
      </c>
      <c r="AI2889" t="s">
        <v>26</v>
      </c>
      <c r="AJ2889" t="s">
        <v>26</v>
      </c>
      <c r="AK2889" t="s">
        <v>26</v>
      </c>
      <c r="AL2889" t="s">
        <v>26</v>
      </c>
      <c r="AM2889" t="s">
        <v>26</v>
      </c>
      <c r="AN2889" t="s">
        <v>26</v>
      </c>
      <c r="AO2889" s="25" t="s">
        <v>28</v>
      </c>
      <c r="AP2889" s="23" t="s">
        <v>29</v>
      </c>
      <c r="AQ2889" s="23" t="s">
        <v>30</v>
      </c>
      <c r="AR2889" s="23" t="s">
        <v>147</v>
      </c>
      <c r="AS2889" s="25">
        <v>5488566</v>
      </c>
      <c r="AT2889" s="23" t="s">
        <v>22181</v>
      </c>
      <c r="AU2889" t="s">
        <v>25944</v>
      </c>
    </row>
    <row r="2890" spans="1:47" ht="26.25" x14ac:dyDescent="0.4">
      <c r="A2890" s="23" t="s">
        <v>7350</v>
      </c>
      <c r="B2890" t="s">
        <v>26</v>
      </c>
      <c r="C2890" s="23" t="s">
        <v>1612</v>
      </c>
      <c r="D2890" s="23" t="s">
        <v>23047</v>
      </c>
      <c r="E2890" s="23" t="s">
        <v>42</v>
      </c>
      <c r="F2890" t="s">
        <v>26</v>
      </c>
      <c r="G2890" t="s">
        <v>26</v>
      </c>
      <c r="H2890" t="s">
        <v>26</v>
      </c>
      <c r="I2890" t="s">
        <v>26</v>
      </c>
      <c r="J2890" t="s">
        <v>26</v>
      </c>
      <c r="K2890" t="s">
        <v>26</v>
      </c>
      <c r="L2890" s="25" t="s">
        <v>28</v>
      </c>
      <c r="M2890" t="s">
        <v>26</v>
      </c>
      <c r="N2890" t="s">
        <v>26</v>
      </c>
      <c r="O2890" t="s">
        <v>26</v>
      </c>
      <c r="P2890" t="s">
        <v>26</v>
      </c>
      <c r="Q2890" t="s">
        <v>26</v>
      </c>
      <c r="R2890" t="s">
        <v>26</v>
      </c>
      <c r="S2890" t="s">
        <v>26</v>
      </c>
      <c r="T2890" t="s">
        <v>26</v>
      </c>
      <c r="U2890" t="s">
        <v>26</v>
      </c>
      <c r="V2890" t="s">
        <v>26</v>
      </c>
      <c r="W2890" s="24">
        <v>42005</v>
      </c>
      <c r="X2890" s="24">
        <v>42005</v>
      </c>
      <c r="Y2890" t="s">
        <v>26</v>
      </c>
      <c r="Z2890" s="24">
        <v>42005</v>
      </c>
      <c r="AA2890" s="24">
        <v>42005</v>
      </c>
      <c r="AB2890" t="s">
        <v>26</v>
      </c>
      <c r="AC2890" t="s">
        <v>26</v>
      </c>
      <c r="AD2890" t="s">
        <v>26</v>
      </c>
      <c r="AE2890" t="s">
        <v>26</v>
      </c>
      <c r="AF2890" t="s">
        <v>26</v>
      </c>
      <c r="AG2890" t="s">
        <v>26</v>
      </c>
      <c r="AH2890" t="s">
        <v>26</v>
      </c>
      <c r="AI2890" t="s">
        <v>26</v>
      </c>
      <c r="AJ2890" t="s">
        <v>26</v>
      </c>
      <c r="AK2890" t="s">
        <v>26</v>
      </c>
      <c r="AL2890" t="s">
        <v>26</v>
      </c>
      <c r="AM2890" t="s">
        <v>26</v>
      </c>
      <c r="AN2890" t="s">
        <v>26</v>
      </c>
      <c r="AO2890" s="25" t="s">
        <v>28</v>
      </c>
      <c r="AP2890" s="23" t="s">
        <v>29</v>
      </c>
      <c r="AQ2890" s="23" t="s">
        <v>30</v>
      </c>
      <c r="AR2890" s="23" t="s">
        <v>147</v>
      </c>
      <c r="AS2890" s="25">
        <v>5488550</v>
      </c>
      <c r="AT2890" s="23" t="s">
        <v>22181</v>
      </c>
      <c r="AU2890" t="s">
        <v>25945</v>
      </c>
    </row>
    <row r="2891" spans="1:47" ht="26.25" x14ac:dyDescent="0.4">
      <c r="A2891" s="23" t="s">
        <v>7351</v>
      </c>
      <c r="B2891" t="s">
        <v>26</v>
      </c>
      <c r="C2891" s="23" t="s">
        <v>2241</v>
      </c>
      <c r="D2891" t="s">
        <v>26</v>
      </c>
      <c r="E2891" s="23" t="s">
        <v>42</v>
      </c>
      <c r="F2891" t="s">
        <v>26</v>
      </c>
      <c r="G2891" t="s">
        <v>26</v>
      </c>
      <c r="H2891" t="s">
        <v>26</v>
      </c>
      <c r="I2891" s="24">
        <v>40909</v>
      </c>
      <c r="J2891" s="24">
        <v>40909</v>
      </c>
      <c r="K2891" t="s">
        <v>26</v>
      </c>
      <c r="L2891" s="25" t="s">
        <v>28</v>
      </c>
      <c r="M2891" s="24">
        <v>40909</v>
      </c>
      <c r="N2891" s="24">
        <v>40909</v>
      </c>
      <c r="O2891" t="s">
        <v>26</v>
      </c>
      <c r="P2891" t="s">
        <v>26</v>
      </c>
      <c r="Q2891" t="s">
        <v>26</v>
      </c>
      <c r="R2891" t="s">
        <v>26</v>
      </c>
      <c r="S2891" s="24">
        <v>40909</v>
      </c>
      <c r="T2891" s="24">
        <v>40909</v>
      </c>
      <c r="U2891" t="s">
        <v>26</v>
      </c>
      <c r="V2891" t="s">
        <v>26</v>
      </c>
      <c r="W2891" s="24">
        <v>40909</v>
      </c>
      <c r="X2891" s="24">
        <v>40909</v>
      </c>
      <c r="Y2891" t="s">
        <v>26</v>
      </c>
      <c r="Z2891" s="24">
        <v>40909</v>
      </c>
      <c r="AA2891" s="24">
        <v>40909</v>
      </c>
      <c r="AB2891" t="s">
        <v>26</v>
      </c>
      <c r="AC2891" s="24">
        <v>40909</v>
      </c>
      <c r="AD2891" s="24">
        <v>40909</v>
      </c>
      <c r="AE2891" t="s">
        <v>26</v>
      </c>
      <c r="AF2891" s="24">
        <v>40909</v>
      </c>
      <c r="AG2891" s="24">
        <v>40909</v>
      </c>
      <c r="AH2891" t="s">
        <v>26</v>
      </c>
      <c r="AI2891" s="24">
        <v>40909</v>
      </c>
      <c r="AJ2891" s="24">
        <v>40909</v>
      </c>
      <c r="AK2891" t="s">
        <v>26</v>
      </c>
      <c r="AL2891" t="s">
        <v>26</v>
      </c>
      <c r="AM2891" t="s">
        <v>26</v>
      </c>
      <c r="AN2891" t="s">
        <v>26</v>
      </c>
      <c r="AO2891" s="25" t="s">
        <v>28</v>
      </c>
      <c r="AP2891" s="23" t="s">
        <v>43</v>
      </c>
      <c r="AQ2891" s="23" t="s">
        <v>30</v>
      </c>
      <c r="AR2891" s="23" t="s">
        <v>44</v>
      </c>
      <c r="AS2891" s="25">
        <v>5262111</v>
      </c>
      <c r="AT2891" t="s">
        <v>26</v>
      </c>
      <c r="AU2891" t="s">
        <v>25946</v>
      </c>
    </row>
    <row r="2892" spans="1:47" ht="26.25" x14ac:dyDescent="0.4">
      <c r="A2892" s="23" t="s">
        <v>7352</v>
      </c>
      <c r="B2892" t="s">
        <v>26</v>
      </c>
      <c r="C2892" s="23" t="s">
        <v>320</v>
      </c>
      <c r="D2892" s="23" t="s">
        <v>22242</v>
      </c>
      <c r="E2892" s="23" t="s">
        <v>42</v>
      </c>
      <c r="F2892" s="25" t="s">
        <v>7353</v>
      </c>
      <c r="G2892" s="25" t="s">
        <v>7354</v>
      </c>
      <c r="H2892" t="s">
        <v>26</v>
      </c>
      <c r="I2892" t="s">
        <v>26</v>
      </c>
      <c r="J2892" t="s">
        <v>26</v>
      </c>
      <c r="K2892" t="s">
        <v>26</v>
      </c>
      <c r="L2892" s="25" t="s">
        <v>68</v>
      </c>
      <c r="M2892" t="s">
        <v>26</v>
      </c>
      <c r="N2892" t="s">
        <v>26</v>
      </c>
      <c r="O2892" t="s">
        <v>26</v>
      </c>
      <c r="P2892" t="s">
        <v>26</v>
      </c>
      <c r="Q2892" t="s">
        <v>26</v>
      </c>
      <c r="R2892" t="s">
        <v>26</v>
      </c>
      <c r="S2892" t="s">
        <v>26</v>
      </c>
      <c r="T2892" t="s">
        <v>26</v>
      </c>
      <c r="U2892" t="s">
        <v>26</v>
      </c>
      <c r="V2892" t="s">
        <v>26</v>
      </c>
      <c r="W2892" s="24">
        <v>40179</v>
      </c>
      <c r="X2892" s="25" t="s">
        <v>77</v>
      </c>
      <c r="Y2892" t="s">
        <v>26</v>
      </c>
      <c r="Z2892" s="24">
        <v>40179</v>
      </c>
      <c r="AA2892" s="25" t="s">
        <v>77</v>
      </c>
      <c r="AB2892" t="s">
        <v>26</v>
      </c>
      <c r="AC2892" s="24">
        <v>40179</v>
      </c>
      <c r="AD2892" s="25" t="s">
        <v>77</v>
      </c>
      <c r="AE2892" t="s">
        <v>26</v>
      </c>
      <c r="AF2892" t="s">
        <v>26</v>
      </c>
      <c r="AG2892" t="s">
        <v>26</v>
      </c>
      <c r="AH2892" t="s">
        <v>26</v>
      </c>
      <c r="AI2892" t="s">
        <v>26</v>
      </c>
      <c r="AJ2892" t="s">
        <v>26</v>
      </c>
      <c r="AK2892" t="s">
        <v>26</v>
      </c>
      <c r="AL2892" t="s">
        <v>26</v>
      </c>
      <c r="AM2892" t="s">
        <v>26</v>
      </c>
      <c r="AN2892" t="s">
        <v>26</v>
      </c>
      <c r="AO2892" s="25" t="s">
        <v>68</v>
      </c>
      <c r="AP2892" s="23" t="s">
        <v>69</v>
      </c>
      <c r="AQ2892" s="23" t="s">
        <v>30</v>
      </c>
      <c r="AR2892" s="23" t="s">
        <v>71</v>
      </c>
      <c r="AS2892" s="25">
        <v>2034596</v>
      </c>
      <c r="AT2892" t="s">
        <v>26</v>
      </c>
      <c r="AU2892" t="s">
        <v>25947</v>
      </c>
    </row>
    <row r="2893" spans="1:47" ht="26.25" x14ac:dyDescent="0.4">
      <c r="A2893" s="23" t="s">
        <v>7355</v>
      </c>
      <c r="B2893" t="s">
        <v>26</v>
      </c>
      <c r="C2893" s="23" t="s">
        <v>1958</v>
      </c>
      <c r="D2893" s="23" t="s">
        <v>25948</v>
      </c>
      <c r="E2893" s="23" t="s">
        <v>60</v>
      </c>
      <c r="F2893" s="25" t="s">
        <v>7356</v>
      </c>
      <c r="G2893" s="25" t="s">
        <v>7357</v>
      </c>
      <c r="H2893" t="s">
        <v>26</v>
      </c>
      <c r="I2893" t="s">
        <v>26</v>
      </c>
      <c r="J2893" t="s">
        <v>26</v>
      </c>
      <c r="K2893" t="s">
        <v>26</v>
      </c>
      <c r="L2893" s="25" t="s">
        <v>68</v>
      </c>
      <c r="M2893" t="s">
        <v>26</v>
      </c>
      <c r="N2893" t="s">
        <v>26</v>
      </c>
      <c r="O2893" t="s">
        <v>26</v>
      </c>
      <c r="P2893" t="s">
        <v>26</v>
      </c>
      <c r="Q2893" t="s">
        <v>26</v>
      </c>
      <c r="R2893" t="s">
        <v>26</v>
      </c>
      <c r="S2893" t="s">
        <v>26</v>
      </c>
      <c r="T2893" t="s">
        <v>26</v>
      </c>
      <c r="U2893" t="s">
        <v>26</v>
      </c>
      <c r="V2893" t="s">
        <v>26</v>
      </c>
      <c r="W2893" s="24">
        <v>28368</v>
      </c>
      <c r="X2893" s="25" t="s">
        <v>77</v>
      </c>
      <c r="Y2893" t="s">
        <v>26</v>
      </c>
      <c r="Z2893" s="24">
        <v>28368</v>
      </c>
      <c r="AA2893" s="25" t="s">
        <v>77</v>
      </c>
      <c r="AB2893" t="s">
        <v>26</v>
      </c>
      <c r="AC2893" s="24">
        <v>28368</v>
      </c>
      <c r="AD2893" s="25" t="s">
        <v>77</v>
      </c>
      <c r="AE2893" t="s">
        <v>26</v>
      </c>
      <c r="AF2893" t="s">
        <v>26</v>
      </c>
      <c r="AG2893" t="s">
        <v>26</v>
      </c>
      <c r="AH2893" t="s">
        <v>26</v>
      </c>
      <c r="AI2893" t="s">
        <v>26</v>
      </c>
      <c r="AJ2893" t="s">
        <v>26</v>
      </c>
      <c r="AK2893" t="s">
        <v>26</v>
      </c>
      <c r="AL2893" t="s">
        <v>26</v>
      </c>
      <c r="AM2893" t="s">
        <v>26</v>
      </c>
      <c r="AN2893" t="s">
        <v>26</v>
      </c>
      <c r="AO2893" s="25" t="s">
        <v>68</v>
      </c>
      <c r="AP2893" s="23" t="s">
        <v>69</v>
      </c>
      <c r="AQ2893" s="23" t="s">
        <v>30</v>
      </c>
      <c r="AR2893" s="23" t="s">
        <v>7358</v>
      </c>
      <c r="AS2893" s="25">
        <v>44959</v>
      </c>
      <c r="AT2893" t="s">
        <v>26</v>
      </c>
      <c r="AU2893" t="s">
        <v>25949</v>
      </c>
    </row>
    <row r="2894" spans="1:47" ht="26.25" x14ac:dyDescent="0.4">
      <c r="A2894" s="23" t="s">
        <v>7359</v>
      </c>
      <c r="B2894" t="s">
        <v>26</v>
      </c>
      <c r="C2894" s="23" t="s">
        <v>80</v>
      </c>
      <c r="D2894" s="23" t="s">
        <v>22174</v>
      </c>
      <c r="E2894" s="23" t="s">
        <v>60</v>
      </c>
      <c r="F2894" s="25" t="s">
        <v>7360</v>
      </c>
      <c r="G2894" s="25" t="s">
        <v>7361</v>
      </c>
      <c r="H2894" t="s">
        <v>26</v>
      </c>
      <c r="I2894" s="24">
        <v>34700</v>
      </c>
      <c r="J2894" s="24">
        <v>34890</v>
      </c>
      <c r="K2894" t="s">
        <v>26</v>
      </c>
      <c r="L2894" s="25" t="s">
        <v>68</v>
      </c>
      <c r="M2894" s="24">
        <v>34700</v>
      </c>
      <c r="N2894" s="24">
        <v>34890</v>
      </c>
      <c r="O2894" t="s">
        <v>26</v>
      </c>
      <c r="P2894" s="24">
        <v>34700</v>
      </c>
      <c r="Q2894" s="24">
        <v>34890</v>
      </c>
      <c r="R2894" t="s">
        <v>26</v>
      </c>
      <c r="S2894" t="s">
        <v>26</v>
      </c>
      <c r="T2894" t="s">
        <v>26</v>
      </c>
      <c r="U2894" t="s">
        <v>26</v>
      </c>
      <c r="V2894" t="s">
        <v>26</v>
      </c>
      <c r="W2894" s="24">
        <v>30041</v>
      </c>
      <c r="X2894" s="25" t="s">
        <v>77</v>
      </c>
      <c r="Y2894" s="25" t="s">
        <v>7362</v>
      </c>
      <c r="Z2894" s="24">
        <v>30041</v>
      </c>
      <c r="AA2894" s="25" t="s">
        <v>77</v>
      </c>
      <c r="AB2894" s="25" t="s">
        <v>7362</v>
      </c>
      <c r="AC2894" s="24">
        <v>30041</v>
      </c>
      <c r="AD2894" s="25" t="s">
        <v>77</v>
      </c>
      <c r="AE2894" s="25" t="s">
        <v>7362</v>
      </c>
      <c r="AF2894" t="s">
        <v>26</v>
      </c>
      <c r="AG2894" t="s">
        <v>26</v>
      </c>
      <c r="AH2894" t="s">
        <v>26</v>
      </c>
      <c r="AI2894" t="s">
        <v>26</v>
      </c>
      <c r="AJ2894" t="s">
        <v>26</v>
      </c>
      <c r="AK2894" t="s">
        <v>26</v>
      </c>
      <c r="AL2894" t="s">
        <v>26</v>
      </c>
      <c r="AM2894" t="s">
        <v>26</v>
      </c>
      <c r="AN2894" t="s">
        <v>26</v>
      </c>
      <c r="AO2894" s="25" t="s">
        <v>68</v>
      </c>
      <c r="AP2894" s="23" t="s">
        <v>69</v>
      </c>
      <c r="AQ2894" s="23" t="s">
        <v>30</v>
      </c>
      <c r="AR2894" s="23" t="s">
        <v>7363</v>
      </c>
      <c r="AS2894" s="25">
        <v>44961</v>
      </c>
      <c r="AT2894" t="s">
        <v>26</v>
      </c>
      <c r="AU2894" t="s">
        <v>25950</v>
      </c>
    </row>
    <row r="2895" spans="1:47" ht="26.25" x14ac:dyDescent="0.4">
      <c r="A2895" s="23" t="s">
        <v>7364</v>
      </c>
      <c r="B2895" t="s">
        <v>26</v>
      </c>
      <c r="C2895" s="23" t="s">
        <v>292</v>
      </c>
      <c r="D2895" s="23" t="s">
        <v>22256</v>
      </c>
      <c r="E2895" s="23" t="s">
        <v>42</v>
      </c>
      <c r="F2895" t="s">
        <v>26</v>
      </c>
      <c r="G2895" t="s">
        <v>26</v>
      </c>
      <c r="H2895" t="s">
        <v>26</v>
      </c>
      <c r="I2895" s="24">
        <v>41275</v>
      </c>
      <c r="J2895" s="24">
        <v>41275</v>
      </c>
      <c r="K2895" t="s">
        <v>26</v>
      </c>
      <c r="L2895" s="25" t="s">
        <v>28</v>
      </c>
      <c r="M2895" t="s">
        <v>26</v>
      </c>
      <c r="N2895" t="s">
        <v>26</v>
      </c>
      <c r="O2895" t="s">
        <v>26</v>
      </c>
      <c r="P2895" s="24">
        <v>41275</v>
      </c>
      <c r="Q2895" s="24">
        <v>41275</v>
      </c>
      <c r="R2895" t="s">
        <v>26</v>
      </c>
      <c r="S2895" t="s">
        <v>26</v>
      </c>
      <c r="T2895" t="s">
        <v>26</v>
      </c>
      <c r="U2895" t="s">
        <v>26</v>
      </c>
      <c r="V2895" t="s">
        <v>26</v>
      </c>
      <c r="W2895" s="24">
        <v>41275</v>
      </c>
      <c r="X2895" s="24">
        <v>41275</v>
      </c>
      <c r="Y2895" t="s">
        <v>26</v>
      </c>
      <c r="Z2895" s="24">
        <v>41275</v>
      </c>
      <c r="AA2895" s="24">
        <v>41275</v>
      </c>
      <c r="AB2895" t="s">
        <v>26</v>
      </c>
      <c r="AC2895" s="24">
        <v>41275</v>
      </c>
      <c r="AD2895" s="24">
        <v>41275</v>
      </c>
      <c r="AE2895" t="s">
        <v>26</v>
      </c>
      <c r="AF2895" t="s">
        <v>26</v>
      </c>
      <c r="AG2895" t="s">
        <v>26</v>
      </c>
      <c r="AH2895" t="s">
        <v>26</v>
      </c>
      <c r="AI2895" t="s">
        <v>26</v>
      </c>
      <c r="AJ2895" t="s">
        <v>26</v>
      </c>
      <c r="AK2895" t="s">
        <v>26</v>
      </c>
      <c r="AL2895" t="s">
        <v>26</v>
      </c>
      <c r="AM2895" t="s">
        <v>26</v>
      </c>
      <c r="AN2895" t="s">
        <v>26</v>
      </c>
      <c r="AO2895" s="25" t="s">
        <v>28</v>
      </c>
      <c r="AP2895" s="23" t="s">
        <v>29</v>
      </c>
      <c r="AQ2895" s="23" t="s">
        <v>30</v>
      </c>
      <c r="AR2895" s="23" t="s">
        <v>147</v>
      </c>
      <c r="AS2895" s="25">
        <v>5325183</v>
      </c>
      <c r="AT2895" s="23" t="s">
        <v>22181</v>
      </c>
      <c r="AU2895" t="s">
        <v>25951</v>
      </c>
    </row>
    <row r="2896" spans="1:47" ht="26.25" x14ac:dyDescent="0.4">
      <c r="A2896" s="23" t="s">
        <v>7365</v>
      </c>
      <c r="B2896" t="s">
        <v>26</v>
      </c>
      <c r="C2896" s="23" t="s">
        <v>292</v>
      </c>
      <c r="D2896" s="23" t="s">
        <v>22256</v>
      </c>
      <c r="E2896" s="23" t="s">
        <v>42</v>
      </c>
      <c r="F2896" t="s">
        <v>26</v>
      </c>
      <c r="G2896" t="s">
        <v>26</v>
      </c>
      <c r="H2896" t="s">
        <v>26</v>
      </c>
      <c r="I2896" s="24">
        <v>39083</v>
      </c>
      <c r="J2896" s="24">
        <v>39083</v>
      </c>
      <c r="K2896" t="s">
        <v>26</v>
      </c>
      <c r="L2896" s="25" t="s">
        <v>28</v>
      </c>
      <c r="M2896" t="s">
        <v>26</v>
      </c>
      <c r="N2896" t="s">
        <v>26</v>
      </c>
      <c r="O2896" t="s">
        <v>26</v>
      </c>
      <c r="P2896" s="24">
        <v>39083</v>
      </c>
      <c r="Q2896" s="24">
        <v>39083</v>
      </c>
      <c r="R2896" t="s">
        <v>26</v>
      </c>
      <c r="S2896" t="s">
        <v>26</v>
      </c>
      <c r="T2896" t="s">
        <v>26</v>
      </c>
      <c r="U2896" t="s">
        <v>26</v>
      </c>
      <c r="V2896" t="s">
        <v>26</v>
      </c>
      <c r="W2896" s="24">
        <v>39083</v>
      </c>
      <c r="X2896" s="24">
        <v>39083</v>
      </c>
      <c r="Y2896" t="s">
        <v>26</v>
      </c>
      <c r="Z2896" s="24">
        <v>39083</v>
      </c>
      <c r="AA2896" s="24">
        <v>39083</v>
      </c>
      <c r="AB2896" t="s">
        <v>26</v>
      </c>
      <c r="AC2896" s="24">
        <v>39083</v>
      </c>
      <c r="AD2896" s="24">
        <v>39083</v>
      </c>
      <c r="AE2896" t="s">
        <v>26</v>
      </c>
      <c r="AF2896" t="s">
        <v>26</v>
      </c>
      <c r="AG2896" t="s">
        <v>26</v>
      </c>
      <c r="AH2896" t="s">
        <v>26</v>
      </c>
      <c r="AI2896" t="s">
        <v>26</v>
      </c>
      <c r="AJ2896" t="s">
        <v>26</v>
      </c>
      <c r="AK2896" t="s">
        <v>26</v>
      </c>
      <c r="AL2896" t="s">
        <v>26</v>
      </c>
      <c r="AM2896" t="s">
        <v>26</v>
      </c>
      <c r="AN2896" t="s">
        <v>26</v>
      </c>
      <c r="AO2896" s="25" t="s">
        <v>28</v>
      </c>
      <c r="AP2896" s="23" t="s">
        <v>29</v>
      </c>
      <c r="AQ2896" s="23" t="s">
        <v>30</v>
      </c>
      <c r="AR2896" s="23" t="s">
        <v>147</v>
      </c>
      <c r="AS2896" s="25">
        <v>5488582</v>
      </c>
      <c r="AT2896" s="23" t="s">
        <v>22181</v>
      </c>
      <c r="AU2896" t="s">
        <v>25952</v>
      </c>
    </row>
    <row r="2897" spans="1:47" ht="26.25" x14ac:dyDescent="0.4">
      <c r="A2897" s="23" t="s">
        <v>7366</v>
      </c>
      <c r="B2897" t="s">
        <v>26</v>
      </c>
      <c r="C2897" s="23" t="s">
        <v>107</v>
      </c>
      <c r="D2897" s="23" t="s">
        <v>22194</v>
      </c>
      <c r="E2897" s="23" t="s">
        <v>42</v>
      </c>
      <c r="F2897" s="25" t="s">
        <v>7367</v>
      </c>
      <c r="G2897" s="25" t="s">
        <v>7368</v>
      </c>
      <c r="H2897" t="s">
        <v>26</v>
      </c>
      <c r="I2897" t="s">
        <v>26</v>
      </c>
      <c r="J2897" t="s">
        <v>26</v>
      </c>
      <c r="K2897" t="s">
        <v>26</v>
      </c>
      <c r="L2897" s="25" t="s">
        <v>68</v>
      </c>
      <c r="M2897" t="s">
        <v>26</v>
      </c>
      <c r="N2897" t="s">
        <v>26</v>
      </c>
      <c r="O2897" t="s">
        <v>26</v>
      </c>
      <c r="P2897" t="s">
        <v>26</v>
      </c>
      <c r="Q2897" t="s">
        <v>26</v>
      </c>
      <c r="R2897" t="s">
        <v>26</v>
      </c>
      <c r="S2897" t="s">
        <v>26</v>
      </c>
      <c r="T2897" t="s">
        <v>26</v>
      </c>
      <c r="U2897" t="s">
        <v>26</v>
      </c>
      <c r="V2897" t="s">
        <v>26</v>
      </c>
      <c r="W2897" s="24">
        <v>27061</v>
      </c>
      <c r="X2897" s="25" t="s">
        <v>77</v>
      </c>
      <c r="Y2897" t="s">
        <v>26</v>
      </c>
      <c r="Z2897" s="24">
        <v>27061</v>
      </c>
      <c r="AA2897" s="25" t="s">
        <v>77</v>
      </c>
      <c r="AB2897" t="s">
        <v>26</v>
      </c>
      <c r="AC2897" s="24">
        <v>27426</v>
      </c>
      <c r="AD2897" s="25" t="s">
        <v>77</v>
      </c>
      <c r="AE2897" t="s">
        <v>26</v>
      </c>
      <c r="AF2897" t="s">
        <v>26</v>
      </c>
      <c r="AG2897" t="s">
        <v>26</v>
      </c>
      <c r="AH2897" t="s">
        <v>26</v>
      </c>
      <c r="AI2897" t="s">
        <v>26</v>
      </c>
      <c r="AJ2897" t="s">
        <v>26</v>
      </c>
      <c r="AK2897" t="s">
        <v>26</v>
      </c>
      <c r="AL2897" t="s">
        <v>26</v>
      </c>
      <c r="AM2897" t="s">
        <v>26</v>
      </c>
      <c r="AN2897" t="s">
        <v>26</v>
      </c>
      <c r="AO2897" s="25" t="s">
        <v>68</v>
      </c>
      <c r="AP2897" s="23" t="s">
        <v>69</v>
      </c>
      <c r="AQ2897" s="23" t="s">
        <v>30</v>
      </c>
      <c r="AR2897" s="23" t="s">
        <v>257</v>
      </c>
      <c r="AS2897" s="25">
        <v>37882</v>
      </c>
      <c r="AT2897" t="s">
        <v>26</v>
      </c>
      <c r="AU2897" t="s">
        <v>25953</v>
      </c>
    </row>
    <row r="2898" spans="1:47" ht="39.4" x14ac:dyDescent="0.4">
      <c r="A2898" s="23" t="s">
        <v>7369</v>
      </c>
      <c r="B2898" t="s">
        <v>26</v>
      </c>
      <c r="C2898" s="23" t="s">
        <v>80</v>
      </c>
      <c r="D2898" s="23" t="s">
        <v>22184</v>
      </c>
      <c r="E2898" s="23" t="s">
        <v>60</v>
      </c>
      <c r="F2898" s="25" t="s">
        <v>7370</v>
      </c>
      <c r="G2898" s="25" t="s">
        <v>7371</v>
      </c>
      <c r="H2898" t="s">
        <v>26</v>
      </c>
      <c r="I2898" t="s">
        <v>26</v>
      </c>
      <c r="J2898" t="s">
        <v>26</v>
      </c>
      <c r="K2898" t="s">
        <v>26</v>
      </c>
      <c r="L2898" s="25" t="s">
        <v>68</v>
      </c>
      <c r="M2898" t="s">
        <v>26</v>
      </c>
      <c r="N2898" t="s">
        <v>26</v>
      </c>
      <c r="O2898" t="s">
        <v>26</v>
      </c>
      <c r="P2898" t="s">
        <v>26</v>
      </c>
      <c r="Q2898" t="s">
        <v>26</v>
      </c>
      <c r="R2898" t="s">
        <v>26</v>
      </c>
      <c r="S2898" t="s">
        <v>26</v>
      </c>
      <c r="T2898" t="s">
        <v>26</v>
      </c>
      <c r="U2898" t="s">
        <v>26</v>
      </c>
      <c r="V2898" t="s">
        <v>26</v>
      </c>
      <c r="W2898" s="24">
        <v>39814</v>
      </c>
      <c r="X2898" s="25" t="s">
        <v>77</v>
      </c>
      <c r="Y2898" t="s">
        <v>26</v>
      </c>
      <c r="Z2898" s="24">
        <v>39814</v>
      </c>
      <c r="AA2898" s="25" t="s">
        <v>77</v>
      </c>
      <c r="AB2898" t="s">
        <v>26</v>
      </c>
      <c r="AC2898" s="24">
        <v>39814</v>
      </c>
      <c r="AD2898" s="25" t="s">
        <v>77</v>
      </c>
      <c r="AE2898" t="s">
        <v>26</v>
      </c>
      <c r="AF2898" t="s">
        <v>26</v>
      </c>
      <c r="AG2898" t="s">
        <v>26</v>
      </c>
      <c r="AH2898" t="s">
        <v>26</v>
      </c>
      <c r="AI2898" t="s">
        <v>26</v>
      </c>
      <c r="AJ2898" t="s">
        <v>26</v>
      </c>
      <c r="AK2898" t="s">
        <v>26</v>
      </c>
      <c r="AL2898" t="s">
        <v>26</v>
      </c>
      <c r="AM2898" t="s">
        <v>26</v>
      </c>
      <c r="AN2898" t="s">
        <v>26</v>
      </c>
      <c r="AO2898" s="25" t="s">
        <v>68</v>
      </c>
      <c r="AP2898" s="23" t="s">
        <v>69</v>
      </c>
      <c r="AQ2898" s="23" t="s">
        <v>30</v>
      </c>
      <c r="AR2898" s="23" t="s">
        <v>7372</v>
      </c>
      <c r="AS2898" s="25">
        <v>52923</v>
      </c>
      <c r="AT2898" t="s">
        <v>26</v>
      </c>
      <c r="AU2898" t="s">
        <v>25954</v>
      </c>
    </row>
    <row r="2899" spans="1:47" ht="13.15" x14ac:dyDescent="0.4">
      <c r="A2899" s="23" t="s">
        <v>7373</v>
      </c>
      <c r="B2899" t="s">
        <v>26</v>
      </c>
      <c r="C2899" s="23" t="s">
        <v>167</v>
      </c>
      <c r="D2899" s="23" t="s">
        <v>22218</v>
      </c>
      <c r="E2899" s="23" t="s">
        <v>60</v>
      </c>
      <c r="F2899" t="s">
        <v>26</v>
      </c>
      <c r="G2899" t="s">
        <v>26</v>
      </c>
      <c r="H2899" t="s">
        <v>26</v>
      </c>
      <c r="I2899" s="24">
        <v>39083</v>
      </c>
      <c r="J2899" s="24">
        <v>39083</v>
      </c>
      <c r="K2899" t="s">
        <v>26</v>
      </c>
      <c r="L2899" s="25" t="s">
        <v>28</v>
      </c>
      <c r="M2899" t="s">
        <v>26</v>
      </c>
      <c r="N2899" t="s">
        <v>26</v>
      </c>
      <c r="O2899" t="s">
        <v>26</v>
      </c>
      <c r="P2899" s="24">
        <v>39083</v>
      </c>
      <c r="Q2899" s="24">
        <v>39083</v>
      </c>
      <c r="R2899" t="s">
        <v>26</v>
      </c>
      <c r="S2899" t="s">
        <v>26</v>
      </c>
      <c r="T2899" t="s">
        <v>26</v>
      </c>
      <c r="U2899" t="s">
        <v>26</v>
      </c>
      <c r="V2899" t="s">
        <v>26</v>
      </c>
      <c r="W2899" s="24">
        <v>39083</v>
      </c>
      <c r="X2899" s="24">
        <v>39083</v>
      </c>
      <c r="Y2899" t="s">
        <v>26</v>
      </c>
      <c r="Z2899" s="24">
        <v>39083</v>
      </c>
      <c r="AA2899" s="24">
        <v>39083</v>
      </c>
      <c r="AB2899" t="s">
        <v>26</v>
      </c>
      <c r="AC2899" s="24">
        <v>39083</v>
      </c>
      <c r="AD2899" s="24">
        <v>39083</v>
      </c>
      <c r="AE2899" t="s">
        <v>26</v>
      </c>
      <c r="AF2899" t="s">
        <v>26</v>
      </c>
      <c r="AG2899" t="s">
        <v>26</v>
      </c>
      <c r="AH2899" t="s">
        <v>26</v>
      </c>
      <c r="AI2899" t="s">
        <v>26</v>
      </c>
      <c r="AJ2899" t="s">
        <v>26</v>
      </c>
      <c r="AK2899" t="s">
        <v>26</v>
      </c>
      <c r="AL2899" t="s">
        <v>26</v>
      </c>
      <c r="AM2899" t="s">
        <v>26</v>
      </c>
      <c r="AN2899" t="s">
        <v>26</v>
      </c>
      <c r="AO2899" s="25" t="s">
        <v>28</v>
      </c>
      <c r="AP2899" s="23" t="s">
        <v>29</v>
      </c>
      <c r="AQ2899" s="23" t="s">
        <v>30</v>
      </c>
      <c r="AR2899" s="23" t="s">
        <v>5838</v>
      </c>
      <c r="AS2899" s="25">
        <v>6059420</v>
      </c>
      <c r="AT2899" t="s">
        <v>26</v>
      </c>
      <c r="AU2899" t="s">
        <v>25955</v>
      </c>
    </row>
    <row r="2900" spans="1:47" ht="13.15" x14ac:dyDescent="0.4">
      <c r="A2900" s="23" t="s">
        <v>7374</v>
      </c>
      <c r="B2900" t="s">
        <v>26</v>
      </c>
      <c r="C2900" s="23" t="s">
        <v>146</v>
      </c>
      <c r="D2900" s="23" t="s">
        <v>22174</v>
      </c>
      <c r="E2900" s="23" t="s">
        <v>60</v>
      </c>
      <c r="F2900" t="s">
        <v>26</v>
      </c>
      <c r="G2900" t="s">
        <v>26</v>
      </c>
      <c r="H2900" t="s">
        <v>26</v>
      </c>
      <c r="I2900" t="s">
        <v>26</v>
      </c>
      <c r="J2900" t="s">
        <v>26</v>
      </c>
      <c r="K2900" t="s">
        <v>26</v>
      </c>
      <c r="L2900" s="25" t="s">
        <v>28</v>
      </c>
      <c r="M2900" t="s">
        <v>26</v>
      </c>
      <c r="N2900" t="s">
        <v>26</v>
      </c>
      <c r="O2900" t="s">
        <v>26</v>
      </c>
      <c r="P2900" t="s">
        <v>26</v>
      </c>
      <c r="Q2900" t="s">
        <v>26</v>
      </c>
      <c r="R2900" t="s">
        <v>26</v>
      </c>
      <c r="S2900" t="s">
        <v>26</v>
      </c>
      <c r="T2900" t="s">
        <v>26</v>
      </c>
      <c r="U2900" t="s">
        <v>26</v>
      </c>
      <c r="V2900" t="s">
        <v>26</v>
      </c>
      <c r="W2900" s="24">
        <v>41640</v>
      </c>
      <c r="X2900" s="24">
        <v>41640</v>
      </c>
      <c r="Y2900" t="s">
        <v>26</v>
      </c>
      <c r="Z2900" s="24">
        <v>41640</v>
      </c>
      <c r="AA2900" s="24">
        <v>41640</v>
      </c>
      <c r="AB2900" t="s">
        <v>26</v>
      </c>
      <c r="AC2900" t="s">
        <v>26</v>
      </c>
      <c r="AD2900" t="s">
        <v>26</v>
      </c>
      <c r="AE2900" t="s">
        <v>26</v>
      </c>
      <c r="AF2900" t="s">
        <v>26</v>
      </c>
      <c r="AG2900" t="s">
        <v>26</v>
      </c>
      <c r="AH2900" t="s">
        <v>26</v>
      </c>
      <c r="AI2900" t="s">
        <v>26</v>
      </c>
      <c r="AJ2900" t="s">
        <v>26</v>
      </c>
      <c r="AK2900" t="s">
        <v>26</v>
      </c>
      <c r="AL2900" t="s">
        <v>26</v>
      </c>
      <c r="AM2900" t="s">
        <v>26</v>
      </c>
      <c r="AN2900" t="s">
        <v>26</v>
      </c>
      <c r="AO2900" s="25" t="s">
        <v>28</v>
      </c>
      <c r="AP2900" s="23" t="s">
        <v>29</v>
      </c>
      <c r="AQ2900" s="23" t="s">
        <v>30</v>
      </c>
      <c r="AR2900" s="23" t="s">
        <v>44</v>
      </c>
      <c r="AS2900" s="25">
        <v>5488572</v>
      </c>
      <c r="AT2900" s="23" t="s">
        <v>22181</v>
      </c>
      <c r="AU2900" t="s">
        <v>25956</v>
      </c>
    </row>
    <row r="2901" spans="1:47" ht="26.25" x14ac:dyDescent="0.4">
      <c r="A2901" s="23" t="s">
        <v>7375</v>
      </c>
      <c r="B2901" t="s">
        <v>26</v>
      </c>
      <c r="C2901" s="23" t="s">
        <v>23142</v>
      </c>
      <c r="D2901" t="s">
        <v>26</v>
      </c>
      <c r="E2901" s="23" t="s">
        <v>60</v>
      </c>
      <c r="F2901" t="s">
        <v>26</v>
      </c>
      <c r="G2901" t="s">
        <v>26</v>
      </c>
      <c r="H2901" t="s">
        <v>26</v>
      </c>
      <c r="I2901" s="24">
        <v>43466</v>
      </c>
      <c r="J2901" s="24">
        <v>43466</v>
      </c>
      <c r="K2901" t="s">
        <v>26</v>
      </c>
      <c r="L2901" s="25" t="s">
        <v>28</v>
      </c>
      <c r="M2901" s="24">
        <v>43466</v>
      </c>
      <c r="N2901" s="24">
        <v>43466</v>
      </c>
      <c r="O2901" t="s">
        <v>26</v>
      </c>
      <c r="P2901" t="s">
        <v>26</v>
      </c>
      <c r="Q2901" t="s">
        <v>26</v>
      </c>
      <c r="R2901" t="s">
        <v>26</v>
      </c>
      <c r="S2901" s="24">
        <v>43466</v>
      </c>
      <c r="T2901" s="24">
        <v>43466</v>
      </c>
      <c r="U2901" t="s">
        <v>26</v>
      </c>
      <c r="V2901" t="s">
        <v>26</v>
      </c>
      <c r="W2901" s="24">
        <v>43466</v>
      </c>
      <c r="X2901" s="24">
        <v>43466</v>
      </c>
      <c r="Y2901" t="s">
        <v>26</v>
      </c>
      <c r="Z2901" s="24">
        <v>43466</v>
      </c>
      <c r="AA2901" s="24">
        <v>43466</v>
      </c>
      <c r="AB2901" t="s">
        <v>26</v>
      </c>
      <c r="AC2901" s="24">
        <v>43466</v>
      </c>
      <c r="AD2901" s="24">
        <v>43466</v>
      </c>
      <c r="AE2901" t="s">
        <v>26</v>
      </c>
      <c r="AF2901" s="24">
        <v>43466</v>
      </c>
      <c r="AG2901" s="24">
        <v>43466</v>
      </c>
      <c r="AH2901" t="s">
        <v>26</v>
      </c>
      <c r="AI2901" s="24">
        <v>43466</v>
      </c>
      <c r="AJ2901" s="24">
        <v>43466</v>
      </c>
      <c r="AK2901" t="s">
        <v>26</v>
      </c>
      <c r="AL2901" t="s">
        <v>26</v>
      </c>
      <c r="AM2901" t="s">
        <v>26</v>
      </c>
      <c r="AN2901" t="s">
        <v>26</v>
      </c>
      <c r="AO2901" s="25" t="s">
        <v>28</v>
      </c>
      <c r="AP2901" s="23" t="s">
        <v>43</v>
      </c>
      <c r="AQ2901" s="23" t="s">
        <v>30</v>
      </c>
      <c r="AR2901" s="23" t="s">
        <v>44</v>
      </c>
      <c r="AS2901" s="25">
        <v>5263177</v>
      </c>
      <c r="AT2901" t="s">
        <v>26</v>
      </c>
      <c r="AU2901" t="s">
        <v>25957</v>
      </c>
    </row>
    <row r="2902" spans="1:47" ht="26.25" x14ac:dyDescent="0.4">
      <c r="A2902" s="23" t="s">
        <v>7376</v>
      </c>
      <c r="B2902" t="s">
        <v>26</v>
      </c>
      <c r="C2902" s="23" t="s">
        <v>23142</v>
      </c>
      <c r="D2902" t="s">
        <v>26</v>
      </c>
      <c r="E2902" s="23" t="s">
        <v>60</v>
      </c>
      <c r="F2902" t="s">
        <v>26</v>
      </c>
      <c r="G2902" t="s">
        <v>26</v>
      </c>
      <c r="H2902" t="s">
        <v>26</v>
      </c>
      <c r="I2902" s="24">
        <v>43466</v>
      </c>
      <c r="J2902" s="24">
        <v>43466</v>
      </c>
      <c r="K2902" t="s">
        <v>26</v>
      </c>
      <c r="L2902" s="25" t="s">
        <v>28</v>
      </c>
      <c r="M2902" s="24">
        <v>43466</v>
      </c>
      <c r="N2902" s="24">
        <v>43466</v>
      </c>
      <c r="O2902" t="s">
        <v>26</v>
      </c>
      <c r="P2902" t="s">
        <v>26</v>
      </c>
      <c r="Q2902" t="s">
        <v>26</v>
      </c>
      <c r="R2902" t="s">
        <v>26</v>
      </c>
      <c r="S2902" s="24">
        <v>43466</v>
      </c>
      <c r="T2902" s="24">
        <v>43466</v>
      </c>
      <c r="U2902" t="s">
        <v>26</v>
      </c>
      <c r="V2902" t="s">
        <v>26</v>
      </c>
      <c r="W2902" s="24">
        <v>43466</v>
      </c>
      <c r="X2902" s="24">
        <v>43466</v>
      </c>
      <c r="Y2902" t="s">
        <v>26</v>
      </c>
      <c r="Z2902" s="24">
        <v>43466</v>
      </c>
      <c r="AA2902" s="24">
        <v>43466</v>
      </c>
      <c r="AB2902" t="s">
        <v>26</v>
      </c>
      <c r="AC2902" s="24">
        <v>43466</v>
      </c>
      <c r="AD2902" s="24">
        <v>43466</v>
      </c>
      <c r="AE2902" t="s">
        <v>26</v>
      </c>
      <c r="AF2902" s="24">
        <v>43466</v>
      </c>
      <c r="AG2902" s="24">
        <v>43466</v>
      </c>
      <c r="AH2902" t="s">
        <v>26</v>
      </c>
      <c r="AI2902" s="24">
        <v>43466</v>
      </c>
      <c r="AJ2902" s="24">
        <v>43466</v>
      </c>
      <c r="AK2902" t="s">
        <v>26</v>
      </c>
      <c r="AL2902" t="s">
        <v>26</v>
      </c>
      <c r="AM2902" t="s">
        <v>26</v>
      </c>
      <c r="AN2902" t="s">
        <v>26</v>
      </c>
      <c r="AO2902" s="25" t="s">
        <v>28</v>
      </c>
      <c r="AP2902" s="23" t="s">
        <v>43</v>
      </c>
      <c r="AQ2902" s="23" t="s">
        <v>30</v>
      </c>
      <c r="AR2902" s="23" t="s">
        <v>44</v>
      </c>
      <c r="AS2902" s="25">
        <v>5263192</v>
      </c>
      <c r="AT2902" t="s">
        <v>26</v>
      </c>
      <c r="AU2902" t="s">
        <v>25958</v>
      </c>
    </row>
    <row r="2903" spans="1:47" ht="13.15" x14ac:dyDescent="0.4">
      <c r="A2903" s="23" t="s">
        <v>7377</v>
      </c>
      <c r="B2903" t="s">
        <v>26</v>
      </c>
      <c r="C2903" s="23" t="s">
        <v>48</v>
      </c>
      <c r="D2903" s="23" t="s">
        <v>22168</v>
      </c>
      <c r="E2903" s="23" t="s">
        <v>42</v>
      </c>
      <c r="F2903" t="s">
        <v>26</v>
      </c>
      <c r="G2903" t="s">
        <v>26</v>
      </c>
      <c r="H2903" t="s">
        <v>26</v>
      </c>
      <c r="I2903" s="24">
        <v>42005</v>
      </c>
      <c r="J2903" s="24">
        <v>42005</v>
      </c>
      <c r="K2903" t="s">
        <v>26</v>
      </c>
      <c r="L2903" s="25" t="s">
        <v>28</v>
      </c>
      <c r="M2903" t="s">
        <v>26</v>
      </c>
      <c r="N2903" t="s">
        <v>26</v>
      </c>
      <c r="O2903" t="s">
        <v>26</v>
      </c>
      <c r="P2903" s="24">
        <v>42005</v>
      </c>
      <c r="Q2903" s="24">
        <v>42005</v>
      </c>
      <c r="R2903" t="s">
        <v>26</v>
      </c>
      <c r="S2903" t="s">
        <v>26</v>
      </c>
      <c r="T2903" t="s">
        <v>26</v>
      </c>
      <c r="U2903" t="s">
        <v>26</v>
      </c>
      <c r="V2903" t="s">
        <v>26</v>
      </c>
      <c r="W2903" s="24">
        <v>42005</v>
      </c>
      <c r="X2903" s="24">
        <v>42005</v>
      </c>
      <c r="Y2903" t="s">
        <v>26</v>
      </c>
      <c r="Z2903" s="24">
        <v>42005</v>
      </c>
      <c r="AA2903" s="24">
        <v>42005</v>
      </c>
      <c r="AB2903" t="s">
        <v>26</v>
      </c>
      <c r="AC2903" s="24">
        <v>42005</v>
      </c>
      <c r="AD2903" s="24">
        <v>42005</v>
      </c>
      <c r="AE2903" t="s">
        <v>26</v>
      </c>
      <c r="AF2903" t="s">
        <v>26</v>
      </c>
      <c r="AG2903" t="s">
        <v>26</v>
      </c>
      <c r="AH2903" t="s">
        <v>26</v>
      </c>
      <c r="AI2903" t="s">
        <v>26</v>
      </c>
      <c r="AJ2903" t="s">
        <v>26</v>
      </c>
      <c r="AK2903" t="s">
        <v>26</v>
      </c>
      <c r="AL2903" t="s">
        <v>26</v>
      </c>
      <c r="AM2903" t="s">
        <v>26</v>
      </c>
      <c r="AN2903" t="s">
        <v>26</v>
      </c>
      <c r="AO2903" s="25" t="s">
        <v>28</v>
      </c>
      <c r="AP2903" s="23" t="s">
        <v>29</v>
      </c>
      <c r="AQ2903" s="23" t="s">
        <v>30</v>
      </c>
      <c r="AR2903" s="23" t="s">
        <v>46</v>
      </c>
      <c r="AS2903" s="25">
        <v>6275741</v>
      </c>
      <c r="AT2903" t="s">
        <v>26</v>
      </c>
      <c r="AU2903" t="s">
        <v>25959</v>
      </c>
    </row>
    <row r="2904" spans="1:47" ht="26.25" x14ac:dyDescent="0.4">
      <c r="A2904" s="23" t="s">
        <v>7378</v>
      </c>
      <c r="B2904" t="s">
        <v>26</v>
      </c>
      <c r="C2904" s="23" t="s">
        <v>51</v>
      </c>
      <c r="D2904" t="s">
        <v>26</v>
      </c>
      <c r="E2904" s="23" t="s">
        <v>42</v>
      </c>
      <c r="F2904" t="s">
        <v>26</v>
      </c>
      <c r="G2904" t="s">
        <v>26</v>
      </c>
      <c r="H2904" t="s">
        <v>26</v>
      </c>
      <c r="I2904" s="24">
        <v>40544</v>
      </c>
      <c r="J2904" s="24">
        <v>40544</v>
      </c>
      <c r="K2904" t="s">
        <v>26</v>
      </c>
      <c r="L2904" s="25" t="s">
        <v>28</v>
      </c>
      <c r="M2904" s="24">
        <v>40544</v>
      </c>
      <c r="N2904" s="24">
        <v>40544</v>
      </c>
      <c r="O2904" t="s">
        <v>26</v>
      </c>
      <c r="P2904" t="s">
        <v>26</v>
      </c>
      <c r="Q2904" t="s">
        <v>26</v>
      </c>
      <c r="R2904" t="s">
        <v>26</v>
      </c>
      <c r="S2904" s="24">
        <v>40544</v>
      </c>
      <c r="T2904" s="24">
        <v>40544</v>
      </c>
      <c r="U2904" t="s">
        <v>26</v>
      </c>
      <c r="V2904" t="s">
        <v>26</v>
      </c>
      <c r="W2904" s="24">
        <v>40544</v>
      </c>
      <c r="X2904" s="24">
        <v>40544</v>
      </c>
      <c r="Y2904" t="s">
        <v>26</v>
      </c>
      <c r="Z2904" s="24">
        <v>40544</v>
      </c>
      <c r="AA2904" s="24">
        <v>40544</v>
      </c>
      <c r="AB2904" t="s">
        <v>26</v>
      </c>
      <c r="AC2904" s="24">
        <v>40544</v>
      </c>
      <c r="AD2904" s="24">
        <v>40544</v>
      </c>
      <c r="AE2904" t="s">
        <v>26</v>
      </c>
      <c r="AF2904" s="24">
        <v>40544</v>
      </c>
      <c r="AG2904" s="24">
        <v>40544</v>
      </c>
      <c r="AH2904" t="s">
        <v>26</v>
      </c>
      <c r="AI2904" s="24">
        <v>40544</v>
      </c>
      <c r="AJ2904" s="24">
        <v>40544</v>
      </c>
      <c r="AK2904" t="s">
        <v>26</v>
      </c>
      <c r="AL2904" t="s">
        <v>26</v>
      </c>
      <c r="AM2904" t="s">
        <v>26</v>
      </c>
      <c r="AN2904" t="s">
        <v>26</v>
      </c>
      <c r="AO2904" s="25" t="s">
        <v>28</v>
      </c>
      <c r="AP2904" s="23" t="s">
        <v>43</v>
      </c>
      <c r="AQ2904" s="23" t="s">
        <v>30</v>
      </c>
      <c r="AR2904" s="23" t="s">
        <v>44</v>
      </c>
      <c r="AS2904" s="25">
        <v>5256662</v>
      </c>
      <c r="AT2904" t="s">
        <v>26</v>
      </c>
      <c r="AU2904" t="s">
        <v>25960</v>
      </c>
    </row>
    <row r="2905" spans="1:47" ht="26.25" x14ac:dyDescent="0.4">
      <c r="A2905" s="23" t="s">
        <v>7379</v>
      </c>
      <c r="B2905" t="s">
        <v>26</v>
      </c>
      <c r="C2905" s="23" t="s">
        <v>264</v>
      </c>
      <c r="D2905" s="23" t="s">
        <v>23336</v>
      </c>
      <c r="E2905" s="23" t="s">
        <v>60</v>
      </c>
      <c r="F2905" s="25" t="s">
        <v>7380</v>
      </c>
      <c r="G2905" s="25" t="s">
        <v>7381</v>
      </c>
      <c r="H2905" t="s">
        <v>26</v>
      </c>
      <c r="I2905" s="24">
        <v>37956</v>
      </c>
      <c r="J2905" s="25" t="s">
        <v>77</v>
      </c>
      <c r="K2905" t="s">
        <v>26</v>
      </c>
      <c r="L2905" s="25" t="s">
        <v>68</v>
      </c>
      <c r="M2905" s="24">
        <v>37956</v>
      </c>
      <c r="N2905" s="25" t="s">
        <v>77</v>
      </c>
      <c r="O2905" s="25" t="s">
        <v>2112</v>
      </c>
      <c r="P2905" s="24">
        <v>37956</v>
      </c>
      <c r="Q2905" s="25" t="s">
        <v>77</v>
      </c>
      <c r="R2905" t="s">
        <v>26</v>
      </c>
      <c r="S2905" t="s">
        <v>26</v>
      </c>
      <c r="T2905" t="s">
        <v>26</v>
      </c>
      <c r="U2905" t="s">
        <v>26</v>
      </c>
      <c r="V2905" s="25">
        <v>365</v>
      </c>
      <c r="W2905" s="24">
        <v>37956</v>
      </c>
      <c r="X2905" s="25" t="s">
        <v>77</v>
      </c>
      <c r="Y2905" t="s">
        <v>26</v>
      </c>
      <c r="Z2905" s="24">
        <v>37956</v>
      </c>
      <c r="AA2905" s="25" t="s">
        <v>77</v>
      </c>
      <c r="AB2905" t="s">
        <v>26</v>
      </c>
      <c r="AC2905" s="24">
        <v>37956</v>
      </c>
      <c r="AD2905" s="25" t="s">
        <v>77</v>
      </c>
      <c r="AE2905" t="s">
        <v>26</v>
      </c>
      <c r="AF2905" t="s">
        <v>26</v>
      </c>
      <c r="AG2905" t="s">
        <v>26</v>
      </c>
      <c r="AH2905" t="s">
        <v>26</v>
      </c>
      <c r="AI2905" t="s">
        <v>26</v>
      </c>
      <c r="AJ2905" t="s">
        <v>26</v>
      </c>
      <c r="AK2905" t="s">
        <v>26</v>
      </c>
      <c r="AL2905" t="s">
        <v>26</v>
      </c>
      <c r="AM2905" t="s">
        <v>26</v>
      </c>
      <c r="AN2905" t="s">
        <v>26</v>
      </c>
      <c r="AO2905" s="25" t="s">
        <v>28</v>
      </c>
      <c r="AP2905" s="23" t="s">
        <v>69</v>
      </c>
      <c r="AQ2905" s="23" t="s">
        <v>30</v>
      </c>
      <c r="AR2905" s="23" t="s">
        <v>7382</v>
      </c>
      <c r="AS2905" s="25">
        <v>44506</v>
      </c>
      <c r="AT2905" t="s">
        <v>26</v>
      </c>
      <c r="AU2905" t="s">
        <v>25961</v>
      </c>
    </row>
    <row r="2906" spans="1:47" ht="26.25" x14ac:dyDescent="0.4">
      <c r="A2906" s="23" t="s">
        <v>7383</v>
      </c>
      <c r="B2906" t="s">
        <v>26</v>
      </c>
      <c r="C2906" s="23" t="s">
        <v>320</v>
      </c>
      <c r="D2906" s="23" t="s">
        <v>22242</v>
      </c>
      <c r="E2906" s="23" t="s">
        <v>42</v>
      </c>
      <c r="F2906" s="25" t="s">
        <v>7384</v>
      </c>
      <c r="G2906" s="25" t="s">
        <v>7385</v>
      </c>
      <c r="H2906" t="s">
        <v>26</v>
      </c>
      <c r="I2906" t="s">
        <v>26</v>
      </c>
      <c r="J2906" t="s">
        <v>26</v>
      </c>
      <c r="K2906" t="s">
        <v>26</v>
      </c>
      <c r="L2906" s="25" t="s">
        <v>68</v>
      </c>
      <c r="M2906" t="s">
        <v>26</v>
      </c>
      <c r="N2906" t="s">
        <v>26</v>
      </c>
      <c r="O2906" t="s">
        <v>26</v>
      </c>
      <c r="P2906" t="s">
        <v>26</v>
      </c>
      <c r="Q2906" t="s">
        <v>26</v>
      </c>
      <c r="R2906" t="s">
        <v>26</v>
      </c>
      <c r="S2906" t="s">
        <v>26</v>
      </c>
      <c r="T2906" t="s">
        <v>26</v>
      </c>
      <c r="U2906" t="s">
        <v>26</v>
      </c>
      <c r="V2906" t="s">
        <v>26</v>
      </c>
      <c r="W2906" s="24">
        <v>40210</v>
      </c>
      <c r="X2906" s="25" t="s">
        <v>77</v>
      </c>
      <c r="Y2906" t="s">
        <v>26</v>
      </c>
      <c r="Z2906" s="24">
        <v>40210</v>
      </c>
      <c r="AA2906" s="25" t="s">
        <v>77</v>
      </c>
      <c r="AB2906" t="s">
        <v>26</v>
      </c>
      <c r="AC2906" s="24">
        <v>41306</v>
      </c>
      <c r="AD2906" s="25" t="s">
        <v>77</v>
      </c>
      <c r="AE2906" t="s">
        <v>26</v>
      </c>
      <c r="AF2906" t="s">
        <v>26</v>
      </c>
      <c r="AG2906" t="s">
        <v>26</v>
      </c>
      <c r="AH2906" t="s">
        <v>26</v>
      </c>
      <c r="AI2906" t="s">
        <v>26</v>
      </c>
      <c r="AJ2906" t="s">
        <v>26</v>
      </c>
      <c r="AK2906" t="s">
        <v>26</v>
      </c>
      <c r="AL2906" t="s">
        <v>26</v>
      </c>
      <c r="AM2906" t="s">
        <v>26</v>
      </c>
      <c r="AN2906" t="s">
        <v>26</v>
      </c>
      <c r="AO2906" s="25" t="s">
        <v>68</v>
      </c>
      <c r="AP2906" s="23" t="s">
        <v>69</v>
      </c>
      <c r="AQ2906" s="23" t="s">
        <v>30</v>
      </c>
      <c r="AR2906" s="23" t="s">
        <v>70</v>
      </c>
      <c r="AS2906" s="25">
        <v>2034615</v>
      </c>
      <c r="AT2906" t="s">
        <v>26</v>
      </c>
      <c r="AU2906" t="s">
        <v>25962</v>
      </c>
    </row>
    <row r="2907" spans="1:47" ht="26.25" x14ac:dyDescent="0.4">
      <c r="A2907" s="23" t="s">
        <v>7386</v>
      </c>
      <c r="B2907" t="s">
        <v>26</v>
      </c>
      <c r="C2907" s="23" t="s">
        <v>107</v>
      </c>
      <c r="D2907" s="23" t="s">
        <v>22194</v>
      </c>
      <c r="E2907" s="23" t="s">
        <v>42</v>
      </c>
      <c r="F2907" s="25" t="s">
        <v>7387</v>
      </c>
      <c r="G2907" s="25" t="s">
        <v>7388</v>
      </c>
      <c r="H2907" t="s">
        <v>26</v>
      </c>
      <c r="I2907" t="s">
        <v>26</v>
      </c>
      <c r="J2907" t="s">
        <v>26</v>
      </c>
      <c r="K2907" t="s">
        <v>26</v>
      </c>
      <c r="L2907" s="25" t="s">
        <v>68</v>
      </c>
      <c r="M2907" t="s">
        <v>26</v>
      </c>
      <c r="N2907" t="s">
        <v>26</v>
      </c>
      <c r="O2907" t="s">
        <v>26</v>
      </c>
      <c r="P2907" t="s">
        <v>26</v>
      </c>
      <c r="Q2907" t="s">
        <v>26</v>
      </c>
      <c r="R2907" t="s">
        <v>26</v>
      </c>
      <c r="S2907" t="s">
        <v>26</v>
      </c>
      <c r="T2907" t="s">
        <v>26</v>
      </c>
      <c r="U2907" t="s">
        <v>26</v>
      </c>
      <c r="V2907" t="s">
        <v>26</v>
      </c>
      <c r="W2907" s="24">
        <v>35065</v>
      </c>
      <c r="X2907" s="25" t="s">
        <v>77</v>
      </c>
      <c r="Y2907" t="s">
        <v>26</v>
      </c>
      <c r="Z2907" s="24">
        <v>35065</v>
      </c>
      <c r="AA2907" s="25" t="s">
        <v>77</v>
      </c>
      <c r="AB2907" t="s">
        <v>26</v>
      </c>
      <c r="AC2907" s="24">
        <v>35065</v>
      </c>
      <c r="AD2907" s="25" t="s">
        <v>77</v>
      </c>
      <c r="AE2907" t="s">
        <v>26</v>
      </c>
      <c r="AF2907" t="s">
        <v>26</v>
      </c>
      <c r="AG2907" t="s">
        <v>26</v>
      </c>
      <c r="AH2907" t="s">
        <v>26</v>
      </c>
      <c r="AI2907" t="s">
        <v>26</v>
      </c>
      <c r="AJ2907" t="s">
        <v>26</v>
      </c>
      <c r="AK2907" t="s">
        <v>26</v>
      </c>
      <c r="AL2907" t="s">
        <v>26</v>
      </c>
      <c r="AM2907" t="s">
        <v>26</v>
      </c>
      <c r="AN2907" t="s">
        <v>26</v>
      </c>
      <c r="AO2907" s="25" t="s">
        <v>68</v>
      </c>
      <c r="AP2907" s="23" t="s">
        <v>69</v>
      </c>
      <c r="AQ2907" s="23" t="s">
        <v>30</v>
      </c>
      <c r="AR2907" s="23" t="s">
        <v>7389</v>
      </c>
      <c r="AS2907" s="25">
        <v>30465</v>
      </c>
      <c r="AT2907" t="s">
        <v>26</v>
      </c>
      <c r="AU2907" t="s">
        <v>25963</v>
      </c>
    </row>
    <row r="2908" spans="1:47" ht="26.25" x14ac:dyDescent="0.4">
      <c r="A2908" s="23" t="s">
        <v>7390</v>
      </c>
      <c r="B2908" t="s">
        <v>26</v>
      </c>
      <c r="C2908" s="23" t="s">
        <v>264</v>
      </c>
      <c r="D2908" s="23" t="s">
        <v>23125</v>
      </c>
      <c r="E2908" s="23" t="s">
        <v>60</v>
      </c>
      <c r="F2908" s="25" t="s">
        <v>7391</v>
      </c>
      <c r="G2908" s="25" t="s">
        <v>7392</v>
      </c>
      <c r="H2908" t="s">
        <v>26</v>
      </c>
      <c r="I2908" s="24">
        <v>38353</v>
      </c>
      <c r="J2908" s="25" t="s">
        <v>77</v>
      </c>
      <c r="K2908" t="s">
        <v>26</v>
      </c>
      <c r="L2908" s="25" t="s">
        <v>68</v>
      </c>
      <c r="M2908" s="24">
        <v>39083</v>
      </c>
      <c r="N2908" s="25" t="s">
        <v>77</v>
      </c>
      <c r="O2908" t="s">
        <v>26</v>
      </c>
      <c r="P2908" s="24">
        <v>38353</v>
      </c>
      <c r="Q2908" s="25" t="s">
        <v>77</v>
      </c>
      <c r="R2908" t="s">
        <v>26</v>
      </c>
      <c r="S2908" t="s">
        <v>26</v>
      </c>
      <c r="T2908" t="s">
        <v>26</v>
      </c>
      <c r="U2908" t="s">
        <v>26</v>
      </c>
      <c r="V2908" s="25">
        <v>365</v>
      </c>
      <c r="W2908" s="24">
        <v>38353</v>
      </c>
      <c r="X2908" s="25" t="s">
        <v>77</v>
      </c>
      <c r="Y2908" t="s">
        <v>26</v>
      </c>
      <c r="Z2908" s="24">
        <v>38353</v>
      </c>
      <c r="AA2908" s="25" t="s">
        <v>77</v>
      </c>
      <c r="AB2908" t="s">
        <v>26</v>
      </c>
      <c r="AC2908" s="24">
        <v>38353</v>
      </c>
      <c r="AD2908" s="25" t="s">
        <v>77</v>
      </c>
      <c r="AE2908" t="s">
        <v>26</v>
      </c>
      <c r="AF2908" t="s">
        <v>26</v>
      </c>
      <c r="AG2908" t="s">
        <v>26</v>
      </c>
      <c r="AH2908" t="s">
        <v>26</v>
      </c>
      <c r="AI2908" t="s">
        <v>26</v>
      </c>
      <c r="AJ2908" t="s">
        <v>26</v>
      </c>
      <c r="AK2908" t="s">
        <v>26</v>
      </c>
      <c r="AL2908" t="s">
        <v>26</v>
      </c>
      <c r="AM2908" t="s">
        <v>26</v>
      </c>
      <c r="AN2908" t="s">
        <v>26</v>
      </c>
      <c r="AO2908" s="25" t="s">
        <v>68</v>
      </c>
      <c r="AP2908" s="23" t="s">
        <v>69</v>
      </c>
      <c r="AQ2908" s="23" t="s">
        <v>30</v>
      </c>
      <c r="AR2908" s="23" t="s">
        <v>3583</v>
      </c>
      <c r="AS2908" s="25">
        <v>28651</v>
      </c>
      <c r="AT2908" t="s">
        <v>26</v>
      </c>
      <c r="AU2908" t="s">
        <v>25964</v>
      </c>
    </row>
    <row r="2909" spans="1:47" ht="26.25" x14ac:dyDescent="0.4">
      <c r="A2909" s="23" t="s">
        <v>7393</v>
      </c>
      <c r="B2909" t="s">
        <v>26</v>
      </c>
      <c r="C2909" s="23" t="s">
        <v>181</v>
      </c>
      <c r="D2909" s="23" t="s">
        <v>22194</v>
      </c>
      <c r="E2909" s="23" t="s">
        <v>60</v>
      </c>
      <c r="F2909" s="25" t="s">
        <v>7394</v>
      </c>
      <c r="G2909" s="25" t="s">
        <v>7395</v>
      </c>
      <c r="H2909" t="s">
        <v>26</v>
      </c>
      <c r="I2909" t="s">
        <v>26</v>
      </c>
      <c r="J2909" t="s">
        <v>26</v>
      </c>
      <c r="K2909" t="s">
        <v>26</v>
      </c>
      <c r="L2909" s="25" t="s">
        <v>68</v>
      </c>
      <c r="M2909" t="s">
        <v>26</v>
      </c>
      <c r="N2909" t="s">
        <v>26</v>
      </c>
      <c r="O2909" t="s">
        <v>26</v>
      </c>
      <c r="P2909" t="s">
        <v>26</v>
      </c>
      <c r="Q2909" t="s">
        <v>26</v>
      </c>
      <c r="R2909" t="s">
        <v>26</v>
      </c>
      <c r="S2909" t="s">
        <v>26</v>
      </c>
      <c r="T2909" t="s">
        <v>26</v>
      </c>
      <c r="U2909" t="s">
        <v>26</v>
      </c>
      <c r="V2909" t="s">
        <v>26</v>
      </c>
      <c r="W2909" s="24">
        <v>37622</v>
      </c>
      <c r="X2909" s="25" t="s">
        <v>77</v>
      </c>
      <c r="Y2909" t="s">
        <v>26</v>
      </c>
      <c r="Z2909" s="24">
        <v>37622</v>
      </c>
      <c r="AA2909" s="25" t="s">
        <v>77</v>
      </c>
      <c r="AB2909" t="s">
        <v>26</v>
      </c>
      <c r="AC2909" s="24">
        <v>37622</v>
      </c>
      <c r="AD2909" s="25" t="s">
        <v>77</v>
      </c>
      <c r="AE2909" t="s">
        <v>26</v>
      </c>
      <c r="AF2909" t="s">
        <v>26</v>
      </c>
      <c r="AG2909" t="s">
        <v>26</v>
      </c>
      <c r="AH2909" t="s">
        <v>26</v>
      </c>
      <c r="AI2909" t="s">
        <v>26</v>
      </c>
      <c r="AJ2909" t="s">
        <v>26</v>
      </c>
      <c r="AK2909" t="s">
        <v>26</v>
      </c>
      <c r="AL2909" t="s">
        <v>26</v>
      </c>
      <c r="AM2909" t="s">
        <v>26</v>
      </c>
      <c r="AN2909" t="s">
        <v>26</v>
      </c>
      <c r="AO2909" s="25" t="s">
        <v>68</v>
      </c>
      <c r="AP2909" s="23" t="s">
        <v>69</v>
      </c>
      <c r="AQ2909" s="23" t="s">
        <v>30</v>
      </c>
      <c r="AR2909" s="23" t="s">
        <v>7396</v>
      </c>
      <c r="AS2909" s="25">
        <v>186138</v>
      </c>
      <c r="AT2909" t="s">
        <v>26</v>
      </c>
      <c r="AU2909" t="s">
        <v>25965</v>
      </c>
    </row>
    <row r="2910" spans="1:47" ht="26.25" x14ac:dyDescent="0.4">
      <c r="A2910" s="23" t="s">
        <v>7397</v>
      </c>
      <c r="B2910" t="s">
        <v>26</v>
      </c>
      <c r="C2910" s="23" t="s">
        <v>107</v>
      </c>
      <c r="D2910" s="23" t="s">
        <v>22194</v>
      </c>
      <c r="E2910" s="23" t="s">
        <v>42</v>
      </c>
      <c r="F2910" s="25" t="s">
        <v>7398</v>
      </c>
      <c r="G2910" s="25" t="s">
        <v>7399</v>
      </c>
      <c r="H2910" t="s">
        <v>26</v>
      </c>
      <c r="I2910" t="s">
        <v>26</v>
      </c>
      <c r="J2910" t="s">
        <v>26</v>
      </c>
      <c r="K2910" t="s">
        <v>26</v>
      </c>
      <c r="L2910" s="25" t="s">
        <v>68</v>
      </c>
      <c r="M2910" t="s">
        <v>26</v>
      </c>
      <c r="N2910" t="s">
        <v>26</v>
      </c>
      <c r="O2910" t="s">
        <v>26</v>
      </c>
      <c r="P2910" t="s">
        <v>26</v>
      </c>
      <c r="Q2910" t="s">
        <v>26</v>
      </c>
      <c r="R2910" t="s">
        <v>26</v>
      </c>
      <c r="S2910" t="s">
        <v>26</v>
      </c>
      <c r="T2910" t="s">
        <v>26</v>
      </c>
      <c r="U2910" t="s">
        <v>26</v>
      </c>
      <c r="V2910" t="s">
        <v>26</v>
      </c>
      <c r="W2910" s="24">
        <v>32568</v>
      </c>
      <c r="X2910" s="25" t="s">
        <v>77</v>
      </c>
      <c r="Y2910" t="s">
        <v>26</v>
      </c>
      <c r="Z2910" s="24">
        <v>32568</v>
      </c>
      <c r="AA2910" s="25" t="s">
        <v>77</v>
      </c>
      <c r="AB2910" t="s">
        <v>26</v>
      </c>
      <c r="AC2910" s="24">
        <v>32568</v>
      </c>
      <c r="AD2910" s="25" t="s">
        <v>77</v>
      </c>
      <c r="AE2910" t="s">
        <v>26</v>
      </c>
      <c r="AF2910" t="s">
        <v>26</v>
      </c>
      <c r="AG2910" t="s">
        <v>26</v>
      </c>
      <c r="AH2910" t="s">
        <v>26</v>
      </c>
      <c r="AI2910" t="s">
        <v>26</v>
      </c>
      <c r="AJ2910" t="s">
        <v>26</v>
      </c>
      <c r="AK2910" t="s">
        <v>26</v>
      </c>
      <c r="AL2910" t="s">
        <v>26</v>
      </c>
      <c r="AM2910" t="s">
        <v>26</v>
      </c>
      <c r="AN2910" t="s">
        <v>26</v>
      </c>
      <c r="AO2910" s="25" t="s">
        <v>68</v>
      </c>
      <c r="AP2910" s="23" t="s">
        <v>69</v>
      </c>
      <c r="AQ2910" s="23" t="s">
        <v>30</v>
      </c>
      <c r="AR2910" s="23" t="s">
        <v>7400</v>
      </c>
      <c r="AS2910" s="25">
        <v>48994</v>
      </c>
      <c r="AT2910" t="s">
        <v>26</v>
      </c>
      <c r="AU2910" t="s">
        <v>25966</v>
      </c>
    </row>
    <row r="2911" spans="1:47" ht="26.25" x14ac:dyDescent="0.4">
      <c r="A2911" s="23" t="s">
        <v>7401</v>
      </c>
      <c r="B2911" t="s">
        <v>26</v>
      </c>
      <c r="C2911" s="23" t="s">
        <v>22699</v>
      </c>
      <c r="D2911" t="s">
        <v>26</v>
      </c>
      <c r="E2911" s="23" t="s">
        <v>42</v>
      </c>
      <c r="F2911" t="s">
        <v>26</v>
      </c>
      <c r="G2911" t="s">
        <v>26</v>
      </c>
      <c r="H2911" t="s">
        <v>26</v>
      </c>
      <c r="I2911" s="24">
        <v>36526</v>
      </c>
      <c r="J2911" s="24">
        <v>40909</v>
      </c>
      <c r="K2911" t="s">
        <v>26</v>
      </c>
      <c r="L2911" s="25" t="s">
        <v>28</v>
      </c>
      <c r="M2911" s="24">
        <v>36526</v>
      </c>
      <c r="N2911" s="24">
        <v>40909</v>
      </c>
      <c r="O2911" t="s">
        <v>26</v>
      </c>
      <c r="P2911" t="s">
        <v>26</v>
      </c>
      <c r="Q2911" t="s">
        <v>26</v>
      </c>
      <c r="R2911" t="s">
        <v>26</v>
      </c>
      <c r="S2911" s="24">
        <v>36526</v>
      </c>
      <c r="T2911" s="24">
        <v>40909</v>
      </c>
      <c r="U2911" t="s">
        <v>26</v>
      </c>
      <c r="V2911" t="s">
        <v>26</v>
      </c>
      <c r="W2911" s="24">
        <v>36526</v>
      </c>
      <c r="X2911" s="24">
        <v>40909</v>
      </c>
      <c r="Y2911" t="s">
        <v>26</v>
      </c>
      <c r="Z2911" s="24">
        <v>36526</v>
      </c>
      <c r="AA2911" s="24">
        <v>40909</v>
      </c>
      <c r="AB2911" t="s">
        <v>26</v>
      </c>
      <c r="AC2911" s="24">
        <v>36526</v>
      </c>
      <c r="AD2911" s="24">
        <v>40909</v>
      </c>
      <c r="AE2911" t="s">
        <v>26</v>
      </c>
      <c r="AF2911" s="24">
        <v>36526</v>
      </c>
      <c r="AG2911" s="24">
        <v>40909</v>
      </c>
      <c r="AH2911" t="s">
        <v>26</v>
      </c>
      <c r="AI2911" s="24">
        <v>36526</v>
      </c>
      <c r="AJ2911" s="24">
        <v>40909</v>
      </c>
      <c r="AK2911" t="s">
        <v>26</v>
      </c>
      <c r="AL2911" t="s">
        <v>26</v>
      </c>
      <c r="AM2911" t="s">
        <v>26</v>
      </c>
      <c r="AN2911" t="s">
        <v>26</v>
      </c>
      <c r="AO2911" s="25" t="s">
        <v>28</v>
      </c>
      <c r="AP2911" s="23" t="s">
        <v>43</v>
      </c>
      <c r="AQ2911" s="23" t="s">
        <v>30</v>
      </c>
      <c r="AR2911" s="23" t="s">
        <v>46</v>
      </c>
      <c r="AS2911" s="25">
        <v>6364566</v>
      </c>
      <c r="AT2911" t="s">
        <v>26</v>
      </c>
      <c r="AU2911" t="s">
        <v>25967</v>
      </c>
    </row>
    <row r="2912" spans="1:47" ht="26.25" x14ac:dyDescent="0.4">
      <c r="A2912" s="23" t="s">
        <v>7402</v>
      </c>
      <c r="B2912" t="s">
        <v>26</v>
      </c>
      <c r="C2912" s="23" t="s">
        <v>7403</v>
      </c>
      <c r="D2912" s="23" t="s">
        <v>25968</v>
      </c>
      <c r="E2912" s="23" t="s">
        <v>2636</v>
      </c>
      <c r="F2912" s="25" t="s">
        <v>7404</v>
      </c>
      <c r="G2912" t="s">
        <v>26</v>
      </c>
      <c r="H2912" t="s">
        <v>26</v>
      </c>
      <c r="I2912" s="24">
        <v>37987</v>
      </c>
      <c r="J2912" s="25" t="s">
        <v>77</v>
      </c>
      <c r="K2912" t="s">
        <v>26</v>
      </c>
      <c r="L2912" s="25" t="s">
        <v>28</v>
      </c>
      <c r="M2912" s="24">
        <v>37987</v>
      </c>
      <c r="N2912" s="25" t="s">
        <v>77</v>
      </c>
      <c r="O2912" t="s">
        <v>26</v>
      </c>
      <c r="P2912" s="24">
        <v>37987</v>
      </c>
      <c r="Q2912" s="25" t="s">
        <v>77</v>
      </c>
      <c r="R2912" t="s">
        <v>26</v>
      </c>
      <c r="S2912" t="s">
        <v>26</v>
      </c>
      <c r="T2912" t="s">
        <v>26</v>
      </c>
      <c r="U2912" t="s">
        <v>26</v>
      </c>
      <c r="V2912" s="25">
        <v>730</v>
      </c>
      <c r="W2912" s="24">
        <v>37987</v>
      </c>
      <c r="X2912" s="25" t="s">
        <v>77</v>
      </c>
      <c r="Y2912" t="s">
        <v>26</v>
      </c>
      <c r="Z2912" s="24">
        <v>37987</v>
      </c>
      <c r="AA2912" s="25" t="s">
        <v>77</v>
      </c>
      <c r="AB2912" t="s">
        <v>26</v>
      </c>
      <c r="AC2912" s="24">
        <v>41518</v>
      </c>
      <c r="AD2912" s="25" t="s">
        <v>77</v>
      </c>
      <c r="AE2912" t="s">
        <v>26</v>
      </c>
      <c r="AF2912" t="s">
        <v>26</v>
      </c>
      <c r="AG2912" t="s">
        <v>26</v>
      </c>
      <c r="AH2912" t="s">
        <v>26</v>
      </c>
      <c r="AI2912" t="s">
        <v>26</v>
      </c>
      <c r="AJ2912" t="s">
        <v>26</v>
      </c>
      <c r="AK2912" t="s">
        <v>26</v>
      </c>
      <c r="AL2912" t="s">
        <v>26</v>
      </c>
      <c r="AM2912" t="s">
        <v>26</v>
      </c>
      <c r="AN2912" t="s">
        <v>26</v>
      </c>
      <c r="AO2912" s="25" t="s">
        <v>28</v>
      </c>
      <c r="AP2912" s="23" t="s">
        <v>211</v>
      </c>
      <c r="AQ2912" s="23" t="s">
        <v>151</v>
      </c>
      <c r="AR2912" s="23" t="s">
        <v>128</v>
      </c>
      <c r="AS2912" s="25">
        <v>35808</v>
      </c>
      <c r="AT2912" t="s">
        <v>26</v>
      </c>
      <c r="AU2912" t="s">
        <v>25969</v>
      </c>
    </row>
    <row r="2913" spans="1:47" ht="26.25" x14ac:dyDescent="0.4">
      <c r="A2913" s="23" t="s">
        <v>7405</v>
      </c>
      <c r="B2913" t="s">
        <v>26</v>
      </c>
      <c r="C2913" s="23" t="s">
        <v>7406</v>
      </c>
      <c r="D2913" s="23" t="s">
        <v>25970</v>
      </c>
      <c r="E2913" s="23" t="s">
        <v>2636</v>
      </c>
      <c r="F2913" s="25" t="s">
        <v>7407</v>
      </c>
      <c r="G2913" t="s">
        <v>26</v>
      </c>
      <c r="H2913" t="s">
        <v>26</v>
      </c>
      <c r="I2913" s="24">
        <v>40817</v>
      </c>
      <c r="J2913" s="25" t="s">
        <v>77</v>
      </c>
      <c r="K2913" t="s">
        <v>26</v>
      </c>
      <c r="L2913" s="25" t="s">
        <v>68</v>
      </c>
      <c r="M2913" s="24">
        <v>40817</v>
      </c>
      <c r="N2913" s="25" t="s">
        <v>77</v>
      </c>
      <c r="O2913" t="s">
        <v>26</v>
      </c>
      <c r="P2913" s="24">
        <v>40817</v>
      </c>
      <c r="Q2913" s="25" t="s">
        <v>77</v>
      </c>
      <c r="R2913" t="s">
        <v>26</v>
      </c>
      <c r="S2913" t="s">
        <v>26</v>
      </c>
      <c r="T2913" t="s">
        <v>26</v>
      </c>
      <c r="U2913" t="s">
        <v>26</v>
      </c>
      <c r="V2913" t="s">
        <v>26</v>
      </c>
      <c r="W2913" s="24">
        <v>40817</v>
      </c>
      <c r="X2913" s="25" t="s">
        <v>77</v>
      </c>
      <c r="Y2913" t="s">
        <v>26</v>
      </c>
      <c r="Z2913" s="24">
        <v>40817</v>
      </c>
      <c r="AA2913" s="25" t="s">
        <v>77</v>
      </c>
      <c r="AB2913" t="s">
        <v>26</v>
      </c>
      <c r="AC2913" s="24">
        <v>40817</v>
      </c>
      <c r="AD2913" s="25" t="s">
        <v>77</v>
      </c>
      <c r="AE2913" t="s">
        <v>26</v>
      </c>
      <c r="AF2913" t="s">
        <v>26</v>
      </c>
      <c r="AG2913" t="s">
        <v>26</v>
      </c>
      <c r="AH2913" t="s">
        <v>26</v>
      </c>
      <c r="AI2913" t="s">
        <v>26</v>
      </c>
      <c r="AJ2913" t="s">
        <v>26</v>
      </c>
      <c r="AK2913" t="s">
        <v>26</v>
      </c>
      <c r="AL2913" t="s">
        <v>26</v>
      </c>
      <c r="AM2913" t="s">
        <v>26</v>
      </c>
      <c r="AN2913" t="s">
        <v>26</v>
      </c>
      <c r="AO2913" s="25" t="s">
        <v>68</v>
      </c>
      <c r="AP2913" s="23" t="s">
        <v>69</v>
      </c>
      <c r="AQ2913" s="23" t="s">
        <v>2583</v>
      </c>
      <c r="AR2913" s="23" t="s">
        <v>46</v>
      </c>
      <c r="AS2913" s="25">
        <v>1066345</v>
      </c>
      <c r="AT2913" t="s">
        <v>26</v>
      </c>
      <c r="AU2913" t="s">
        <v>25971</v>
      </c>
    </row>
    <row r="2914" spans="1:47" ht="26.25" x14ac:dyDescent="0.4">
      <c r="A2914" s="23" t="s">
        <v>7408</v>
      </c>
      <c r="B2914" t="s">
        <v>26</v>
      </c>
      <c r="C2914" s="23" t="s">
        <v>3143</v>
      </c>
      <c r="D2914" s="23" t="s">
        <v>25972</v>
      </c>
      <c r="E2914" s="23" t="s">
        <v>2636</v>
      </c>
      <c r="F2914" s="25" t="s">
        <v>7409</v>
      </c>
      <c r="G2914" s="25" t="s">
        <v>7410</v>
      </c>
      <c r="H2914" t="s">
        <v>26</v>
      </c>
      <c r="I2914" s="24">
        <v>37653</v>
      </c>
      <c r="J2914" s="24">
        <v>39356</v>
      </c>
      <c r="K2914" t="s">
        <v>26</v>
      </c>
      <c r="L2914" s="25" t="s">
        <v>68</v>
      </c>
      <c r="M2914" s="24">
        <v>38200</v>
      </c>
      <c r="N2914" s="24">
        <v>38808</v>
      </c>
      <c r="O2914" t="s">
        <v>26</v>
      </c>
      <c r="P2914" s="24">
        <v>37653</v>
      </c>
      <c r="Q2914" s="24">
        <v>39356</v>
      </c>
      <c r="R2914" t="s">
        <v>26</v>
      </c>
      <c r="S2914" t="s">
        <v>26</v>
      </c>
      <c r="T2914" t="s">
        <v>26</v>
      </c>
      <c r="U2914" t="s">
        <v>26</v>
      </c>
      <c r="V2914" t="s">
        <v>26</v>
      </c>
      <c r="W2914" s="24">
        <v>37653</v>
      </c>
      <c r="X2914" s="25" t="s">
        <v>77</v>
      </c>
      <c r="Y2914" t="s">
        <v>26</v>
      </c>
      <c r="Z2914" s="24">
        <v>37653</v>
      </c>
      <c r="AA2914" s="25" t="s">
        <v>77</v>
      </c>
      <c r="AB2914" t="s">
        <v>26</v>
      </c>
      <c r="AC2914" s="24">
        <v>37653</v>
      </c>
      <c r="AD2914" s="25" t="s">
        <v>77</v>
      </c>
      <c r="AE2914" t="s">
        <v>26</v>
      </c>
      <c r="AF2914" t="s">
        <v>26</v>
      </c>
      <c r="AG2914" t="s">
        <v>26</v>
      </c>
      <c r="AH2914" t="s">
        <v>26</v>
      </c>
      <c r="AI2914" t="s">
        <v>26</v>
      </c>
      <c r="AJ2914" t="s">
        <v>26</v>
      </c>
      <c r="AK2914" t="s">
        <v>26</v>
      </c>
      <c r="AL2914" t="s">
        <v>26</v>
      </c>
      <c r="AM2914" t="s">
        <v>26</v>
      </c>
      <c r="AN2914" t="s">
        <v>26</v>
      </c>
      <c r="AO2914" s="25" t="s">
        <v>68</v>
      </c>
      <c r="AP2914" s="23" t="s">
        <v>69</v>
      </c>
      <c r="AQ2914" s="23" t="s">
        <v>151</v>
      </c>
      <c r="AR2914" s="23" t="s">
        <v>184</v>
      </c>
      <c r="AS2914" s="25">
        <v>37067</v>
      </c>
      <c r="AT2914" t="s">
        <v>26</v>
      </c>
      <c r="AU2914" t="s">
        <v>25973</v>
      </c>
    </row>
    <row r="2915" spans="1:47" ht="26.25" x14ac:dyDescent="0.4">
      <c r="A2915" s="23" t="s">
        <v>7411</v>
      </c>
      <c r="B2915" t="s">
        <v>26</v>
      </c>
      <c r="C2915" s="23" t="s">
        <v>7412</v>
      </c>
      <c r="D2915" s="23" t="s">
        <v>25974</v>
      </c>
      <c r="E2915" s="23" t="s">
        <v>2636</v>
      </c>
      <c r="F2915" s="25" t="s">
        <v>7413</v>
      </c>
      <c r="G2915" s="25" t="s">
        <v>7414</v>
      </c>
      <c r="H2915" t="s">
        <v>26</v>
      </c>
      <c r="I2915" t="s">
        <v>26</v>
      </c>
      <c r="J2915" t="s">
        <v>26</v>
      </c>
      <c r="K2915" t="s">
        <v>26</v>
      </c>
      <c r="L2915" s="25" t="s">
        <v>68</v>
      </c>
      <c r="M2915" t="s">
        <v>26</v>
      </c>
      <c r="N2915" t="s">
        <v>26</v>
      </c>
      <c r="O2915" t="s">
        <v>26</v>
      </c>
      <c r="P2915" t="s">
        <v>26</v>
      </c>
      <c r="Q2915" t="s">
        <v>26</v>
      </c>
      <c r="R2915" t="s">
        <v>26</v>
      </c>
      <c r="S2915" t="s">
        <v>26</v>
      </c>
      <c r="T2915" t="s">
        <v>26</v>
      </c>
      <c r="U2915" t="s">
        <v>26</v>
      </c>
      <c r="V2915" t="s">
        <v>26</v>
      </c>
      <c r="W2915" s="24">
        <v>42736</v>
      </c>
      <c r="X2915" s="25" t="s">
        <v>77</v>
      </c>
      <c r="Y2915" t="s">
        <v>26</v>
      </c>
      <c r="Z2915" s="24">
        <v>42736</v>
      </c>
      <c r="AA2915" s="25" t="s">
        <v>77</v>
      </c>
      <c r="AB2915" t="s">
        <v>26</v>
      </c>
      <c r="AC2915" s="24">
        <v>42736</v>
      </c>
      <c r="AD2915" s="25" t="s">
        <v>77</v>
      </c>
      <c r="AE2915" t="s">
        <v>26</v>
      </c>
      <c r="AF2915" t="s">
        <v>26</v>
      </c>
      <c r="AG2915" t="s">
        <v>26</v>
      </c>
      <c r="AH2915" t="s">
        <v>26</v>
      </c>
      <c r="AI2915" t="s">
        <v>26</v>
      </c>
      <c r="AJ2915" t="s">
        <v>26</v>
      </c>
      <c r="AK2915" t="s">
        <v>26</v>
      </c>
      <c r="AL2915" t="s">
        <v>26</v>
      </c>
      <c r="AM2915" t="s">
        <v>26</v>
      </c>
      <c r="AN2915" t="s">
        <v>26</v>
      </c>
      <c r="AO2915" s="25" t="s">
        <v>68</v>
      </c>
      <c r="AP2915" s="23" t="s">
        <v>69</v>
      </c>
      <c r="AQ2915" s="23" t="s">
        <v>2583</v>
      </c>
      <c r="AR2915" s="23" t="s">
        <v>1368</v>
      </c>
      <c r="AS2915" s="25">
        <v>2048763</v>
      </c>
      <c r="AT2915" t="s">
        <v>26</v>
      </c>
      <c r="AU2915" t="s">
        <v>25975</v>
      </c>
    </row>
    <row r="2916" spans="1:47" ht="26.25" x14ac:dyDescent="0.4">
      <c r="A2916" s="23" t="s">
        <v>7415</v>
      </c>
      <c r="B2916" t="s">
        <v>26</v>
      </c>
      <c r="C2916" s="23" t="s">
        <v>172</v>
      </c>
      <c r="D2916" s="23" t="s">
        <v>22242</v>
      </c>
      <c r="E2916" s="23" t="s">
        <v>60</v>
      </c>
      <c r="F2916" s="25" t="s">
        <v>7416</v>
      </c>
      <c r="G2916" s="25" t="s">
        <v>7417</v>
      </c>
      <c r="H2916" t="s">
        <v>26</v>
      </c>
      <c r="I2916" t="s">
        <v>26</v>
      </c>
      <c r="J2916" t="s">
        <v>26</v>
      </c>
      <c r="K2916" t="s">
        <v>26</v>
      </c>
      <c r="L2916" s="25" t="s">
        <v>68</v>
      </c>
      <c r="M2916" t="s">
        <v>26</v>
      </c>
      <c r="N2916" t="s">
        <v>26</v>
      </c>
      <c r="O2916" t="s">
        <v>26</v>
      </c>
      <c r="P2916" t="s">
        <v>26</v>
      </c>
      <c r="Q2916" t="s">
        <v>26</v>
      </c>
      <c r="R2916" t="s">
        <v>26</v>
      </c>
      <c r="S2916" t="s">
        <v>26</v>
      </c>
      <c r="T2916" t="s">
        <v>26</v>
      </c>
      <c r="U2916" t="s">
        <v>26</v>
      </c>
      <c r="V2916" t="s">
        <v>26</v>
      </c>
      <c r="W2916" s="24">
        <v>32568</v>
      </c>
      <c r="X2916" s="25" t="s">
        <v>77</v>
      </c>
      <c r="Y2916" t="s">
        <v>26</v>
      </c>
      <c r="Z2916" s="24">
        <v>32568</v>
      </c>
      <c r="AA2916" s="25" t="s">
        <v>77</v>
      </c>
      <c r="AB2916" t="s">
        <v>26</v>
      </c>
      <c r="AC2916" s="24">
        <v>32568</v>
      </c>
      <c r="AD2916" s="25" t="s">
        <v>77</v>
      </c>
      <c r="AE2916" t="s">
        <v>26</v>
      </c>
      <c r="AF2916" t="s">
        <v>26</v>
      </c>
      <c r="AG2916" t="s">
        <v>26</v>
      </c>
      <c r="AH2916" t="s">
        <v>26</v>
      </c>
      <c r="AI2916" t="s">
        <v>26</v>
      </c>
      <c r="AJ2916" t="s">
        <v>26</v>
      </c>
      <c r="AK2916" t="s">
        <v>26</v>
      </c>
      <c r="AL2916" t="s">
        <v>26</v>
      </c>
      <c r="AM2916" t="s">
        <v>26</v>
      </c>
      <c r="AN2916" t="s">
        <v>26</v>
      </c>
      <c r="AO2916" s="25" t="s">
        <v>68</v>
      </c>
      <c r="AP2916" s="23" t="s">
        <v>69</v>
      </c>
      <c r="AQ2916" s="23" t="s">
        <v>30</v>
      </c>
      <c r="AR2916" s="23" t="s">
        <v>7418</v>
      </c>
      <c r="AS2916" s="25">
        <v>24500</v>
      </c>
      <c r="AT2916" t="s">
        <v>26</v>
      </c>
      <c r="AU2916" t="s">
        <v>25976</v>
      </c>
    </row>
    <row r="2917" spans="1:47" ht="26.25" x14ac:dyDescent="0.4">
      <c r="A2917" s="23" t="s">
        <v>8321</v>
      </c>
      <c r="B2917" t="s">
        <v>26</v>
      </c>
      <c r="C2917" s="23" t="s">
        <v>8322</v>
      </c>
      <c r="D2917" s="23" t="s">
        <v>25977</v>
      </c>
      <c r="E2917" s="23" t="s">
        <v>42</v>
      </c>
      <c r="F2917" s="25" t="s">
        <v>8323</v>
      </c>
      <c r="G2917" s="25" t="s">
        <v>8324</v>
      </c>
      <c r="H2917" t="s">
        <v>26</v>
      </c>
      <c r="I2917" s="24">
        <v>34335</v>
      </c>
      <c r="J2917" s="25" t="s">
        <v>77</v>
      </c>
      <c r="K2917" t="s">
        <v>26</v>
      </c>
      <c r="L2917" s="25" t="s">
        <v>68</v>
      </c>
      <c r="M2917" s="24">
        <v>34335</v>
      </c>
      <c r="N2917" s="25" t="s">
        <v>77</v>
      </c>
      <c r="O2917" t="s">
        <v>26</v>
      </c>
      <c r="P2917" s="24">
        <v>35247</v>
      </c>
      <c r="Q2917" s="25" t="s">
        <v>77</v>
      </c>
      <c r="R2917" t="s">
        <v>26</v>
      </c>
      <c r="S2917" t="s">
        <v>26</v>
      </c>
      <c r="T2917" t="s">
        <v>26</v>
      </c>
      <c r="U2917" t="s">
        <v>26</v>
      </c>
      <c r="V2917" t="s">
        <v>26</v>
      </c>
      <c r="W2917" s="24">
        <v>32509</v>
      </c>
      <c r="X2917" s="25" t="s">
        <v>77</v>
      </c>
      <c r="Y2917" t="s">
        <v>26</v>
      </c>
      <c r="Z2917" s="24">
        <v>32509</v>
      </c>
      <c r="AA2917" s="25" t="s">
        <v>77</v>
      </c>
      <c r="AB2917" t="s">
        <v>26</v>
      </c>
      <c r="AC2917" s="24">
        <v>32509</v>
      </c>
      <c r="AD2917" s="25" t="s">
        <v>77</v>
      </c>
      <c r="AE2917" t="s">
        <v>26</v>
      </c>
      <c r="AF2917" t="s">
        <v>26</v>
      </c>
      <c r="AG2917" t="s">
        <v>26</v>
      </c>
      <c r="AH2917" t="s">
        <v>26</v>
      </c>
      <c r="AI2917" t="s">
        <v>26</v>
      </c>
      <c r="AJ2917" t="s">
        <v>26</v>
      </c>
      <c r="AK2917" t="s">
        <v>26</v>
      </c>
      <c r="AL2917" t="s">
        <v>26</v>
      </c>
      <c r="AM2917" t="s">
        <v>26</v>
      </c>
      <c r="AN2917" t="s">
        <v>26</v>
      </c>
      <c r="AO2917" s="25" t="s">
        <v>68</v>
      </c>
      <c r="AP2917" s="23" t="s">
        <v>69</v>
      </c>
      <c r="AQ2917" s="23" t="s">
        <v>30</v>
      </c>
      <c r="AR2917" s="23" t="s">
        <v>6464</v>
      </c>
      <c r="AS2917" s="25">
        <v>40631</v>
      </c>
      <c r="AT2917" t="s">
        <v>26</v>
      </c>
      <c r="AU2917" t="s">
        <v>25978</v>
      </c>
    </row>
    <row r="2918" spans="1:47" ht="26.25" x14ac:dyDescent="0.4">
      <c r="A2918" s="23" t="s">
        <v>8749</v>
      </c>
      <c r="B2918" t="s">
        <v>26</v>
      </c>
      <c r="C2918" s="23" t="s">
        <v>8750</v>
      </c>
      <c r="D2918" s="23" t="s">
        <v>25979</v>
      </c>
      <c r="E2918" s="23" t="s">
        <v>574</v>
      </c>
      <c r="F2918" s="25" t="s">
        <v>8751</v>
      </c>
      <c r="G2918" s="25" t="s">
        <v>8752</v>
      </c>
      <c r="H2918" t="s">
        <v>26</v>
      </c>
      <c r="I2918" s="24">
        <v>39203</v>
      </c>
      <c r="J2918" s="25" t="s">
        <v>77</v>
      </c>
      <c r="K2918" t="s">
        <v>26</v>
      </c>
      <c r="L2918" s="25" t="s">
        <v>68</v>
      </c>
      <c r="M2918" t="s">
        <v>26</v>
      </c>
      <c r="N2918" t="s">
        <v>26</v>
      </c>
      <c r="O2918" t="s">
        <v>26</v>
      </c>
      <c r="P2918" s="24">
        <v>39203</v>
      </c>
      <c r="Q2918" s="25" t="s">
        <v>77</v>
      </c>
      <c r="R2918" t="s">
        <v>26</v>
      </c>
      <c r="S2918" t="s">
        <v>26</v>
      </c>
      <c r="T2918" t="s">
        <v>26</v>
      </c>
      <c r="U2918" t="s">
        <v>26</v>
      </c>
      <c r="V2918" t="s">
        <v>26</v>
      </c>
      <c r="W2918" s="24">
        <v>39203</v>
      </c>
      <c r="X2918" s="25" t="s">
        <v>77</v>
      </c>
      <c r="Y2918" t="s">
        <v>26</v>
      </c>
      <c r="Z2918" s="24">
        <v>39203</v>
      </c>
      <c r="AA2918" s="25" t="s">
        <v>77</v>
      </c>
      <c r="AB2918" t="s">
        <v>26</v>
      </c>
      <c r="AC2918" s="24">
        <v>39203</v>
      </c>
      <c r="AD2918" s="25" t="s">
        <v>77</v>
      </c>
      <c r="AE2918" t="s">
        <v>26</v>
      </c>
      <c r="AF2918" t="s">
        <v>26</v>
      </c>
      <c r="AG2918" t="s">
        <v>26</v>
      </c>
      <c r="AH2918" t="s">
        <v>26</v>
      </c>
      <c r="AI2918" t="s">
        <v>26</v>
      </c>
      <c r="AJ2918" t="s">
        <v>26</v>
      </c>
      <c r="AK2918" t="s">
        <v>26</v>
      </c>
      <c r="AL2918" t="s">
        <v>26</v>
      </c>
      <c r="AM2918" t="s">
        <v>26</v>
      </c>
      <c r="AN2918" t="s">
        <v>26</v>
      </c>
      <c r="AO2918" s="25" t="s">
        <v>68</v>
      </c>
      <c r="AP2918" s="23" t="s">
        <v>69</v>
      </c>
      <c r="AQ2918" s="23" t="s">
        <v>30</v>
      </c>
      <c r="AR2918" s="23" t="s">
        <v>3816</v>
      </c>
      <c r="AS2918" s="25">
        <v>2030629</v>
      </c>
      <c r="AT2918" t="s">
        <v>26</v>
      </c>
      <c r="AU2918" t="s">
        <v>25980</v>
      </c>
    </row>
    <row r="2919" spans="1:47" ht="26.25" x14ac:dyDescent="0.4">
      <c r="A2919" s="23" t="s">
        <v>9262</v>
      </c>
      <c r="B2919" t="s">
        <v>26</v>
      </c>
      <c r="C2919" s="23" t="s">
        <v>73</v>
      </c>
      <c r="D2919" s="23" t="s">
        <v>24133</v>
      </c>
      <c r="E2919" s="23" t="s">
        <v>74</v>
      </c>
      <c r="F2919" t="s">
        <v>26</v>
      </c>
      <c r="G2919" s="25" t="s">
        <v>9263</v>
      </c>
      <c r="H2919" t="s">
        <v>26</v>
      </c>
      <c r="I2919" s="24">
        <v>44896</v>
      </c>
      <c r="J2919" s="25" t="s">
        <v>77</v>
      </c>
      <c r="K2919" t="s">
        <v>26</v>
      </c>
      <c r="L2919" s="25" t="s">
        <v>68</v>
      </c>
      <c r="M2919" s="24">
        <v>44896</v>
      </c>
      <c r="N2919" s="25" t="s">
        <v>77</v>
      </c>
      <c r="O2919" t="s">
        <v>26</v>
      </c>
      <c r="P2919" s="24">
        <v>44896</v>
      </c>
      <c r="Q2919" s="25" t="s">
        <v>77</v>
      </c>
      <c r="R2919" t="s">
        <v>26</v>
      </c>
      <c r="S2919" t="s">
        <v>26</v>
      </c>
      <c r="T2919" t="s">
        <v>26</v>
      </c>
      <c r="U2919" t="s">
        <v>26</v>
      </c>
      <c r="V2919" t="s">
        <v>26</v>
      </c>
      <c r="W2919" s="24">
        <v>44896</v>
      </c>
      <c r="X2919" s="25" t="s">
        <v>77</v>
      </c>
      <c r="Y2919" t="s">
        <v>26</v>
      </c>
      <c r="Z2919" s="24">
        <v>44896</v>
      </c>
      <c r="AA2919" s="25" t="s">
        <v>77</v>
      </c>
      <c r="AB2919" t="s">
        <v>26</v>
      </c>
      <c r="AC2919" s="24">
        <v>44896</v>
      </c>
      <c r="AD2919" s="25" t="s">
        <v>77</v>
      </c>
      <c r="AE2919" t="s">
        <v>26</v>
      </c>
      <c r="AF2919" t="s">
        <v>26</v>
      </c>
      <c r="AG2919" t="s">
        <v>26</v>
      </c>
      <c r="AH2919" t="s">
        <v>26</v>
      </c>
      <c r="AI2919" t="s">
        <v>26</v>
      </c>
      <c r="AJ2919" t="s">
        <v>26</v>
      </c>
      <c r="AK2919" t="s">
        <v>26</v>
      </c>
      <c r="AL2919" t="s">
        <v>26</v>
      </c>
      <c r="AM2919" t="s">
        <v>26</v>
      </c>
      <c r="AN2919" t="s">
        <v>26</v>
      </c>
      <c r="AO2919" s="25" t="s">
        <v>68</v>
      </c>
      <c r="AP2919" s="23" t="s">
        <v>69</v>
      </c>
      <c r="AQ2919" s="23" t="s">
        <v>30</v>
      </c>
      <c r="AR2919" s="23" t="s">
        <v>70</v>
      </c>
      <c r="AS2919" s="25">
        <v>5642810</v>
      </c>
      <c r="AT2919" t="s">
        <v>26</v>
      </c>
      <c r="AU2919" t="s">
        <v>25981</v>
      </c>
    </row>
    <row r="2920" spans="1:47" ht="26.25" x14ac:dyDescent="0.4">
      <c r="A2920" s="23" t="s">
        <v>10296</v>
      </c>
      <c r="B2920" t="s">
        <v>26</v>
      </c>
      <c r="C2920" s="23" t="s">
        <v>10297</v>
      </c>
      <c r="D2920" s="23" t="s">
        <v>23339</v>
      </c>
      <c r="E2920" s="23" t="s">
        <v>526</v>
      </c>
      <c r="F2920" s="25" t="s">
        <v>10298</v>
      </c>
      <c r="G2920" s="25" t="s">
        <v>10299</v>
      </c>
      <c r="H2920" t="s">
        <v>26</v>
      </c>
      <c r="I2920" s="24">
        <v>43647</v>
      </c>
      <c r="J2920" s="25" t="s">
        <v>77</v>
      </c>
      <c r="K2920" s="25" t="s">
        <v>696</v>
      </c>
      <c r="L2920" s="25" t="s">
        <v>68</v>
      </c>
      <c r="M2920" s="24">
        <v>43647</v>
      </c>
      <c r="N2920" s="25" t="s">
        <v>77</v>
      </c>
      <c r="O2920" s="25" t="s">
        <v>696</v>
      </c>
      <c r="P2920" s="24">
        <v>43647</v>
      </c>
      <c r="Q2920" s="25" t="s">
        <v>77</v>
      </c>
      <c r="R2920" s="25" t="s">
        <v>696</v>
      </c>
      <c r="S2920" t="s">
        <v>26</v>
      </c>
      <c r="T2920" t="s">
        <v>26</v>
      </c>
      <c r="U2920" t="s">
        <v>26</v>
      </c>
      <c r="V2920" t="s">
        <v>26</v>
      </c>
      <c r="W2920" s="24">
        <v>43647</v>
      </c>
      <c r="X2920" s="25" t="s">
        <v>77</v>
      </c>
      <c r="Y2920" s="25" t="s">
        <v>696</v>
      </c>
      <c r="Z2920" s="24">
        <v>43647</v>
      </c>
      <c r="AA2920" s="25" t="s">
        <v>77</v>
      </c>
      <c r="AB2920" s="25" t="s">
        <v>696</v>
      </c>
      <c r="AC2920" s="24">
        <v>43647</v>
      </c>
      <c r="AD2920" s="25" t="s">
        <v>77</v>
      </c>
      <c r="AE2920" s="25" t="s">
        <v>696</v>
      </c>
      <c r="AF2920" t="s">
        <v>26</v>
      </c>
      <c r="AG2920" t="s">
        <v>26</v>
      </c>
      <c r="AH2920" t="s">
        <v>26</v>
      </c>
      <c r="AI2920" t="s">
        <v>26</v>
      </c>
      <c r="AJ2920" t="s">
        <v>26</v>
      </c>
      <c r="AK2920" t="s">
        <v>26</v>
      </c>
      <c r="AL2920" t="s">
        <v>26</v>
      </c>
      <c r="AM2920" t="s">
        <v>26</v>
      </c>
      <c r="AN2920" t="s">
        <v>26</v>
      </c>
      <c r="AO2920" s="25" t="s">
        <v>68</v>
      </c>
      <c r="AP2920" s="23" t="s">
        <v>69</v>
      </c>
      <c r="AQ2920" s="23" t="s">
        <v>528</v>
      </c>
      <c r="AR2920" s="23" t="s">
        <v>896</v>
      </c>
      <c r="AS2920" s="25">
        <v>4553400</v>
      </c>
      <c r="AT2920" t="s">
        <v>26</v>
      </c>
      <c r="AU2920" t="s">
        <v>25982</v>
      </c>
    </row>
  </sheetData>
  <autoFilter ref="A2:AU2920" xr:uid="{86AFC892-B246-4916-A3A2-15DCE04187B8}"/>
  <mergeCells count="1">
    <mergeCell ref="A1:AU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D2449-5DDD-4CE2-A795-64B4E9758391}">
  <dimension ref="A1:W5344"/>
  <sheetViews>
    <sheetView workbookViewId="0">
      <pane ySplit="1" topLeftCell="A2" activePane="bottomLeft" state="frozen"/>
      <selection pane="bottomLeft" activeCell="B7" sqref="B7"/>
    </sheetView>
  </sheetViews>
  <sheetFormatPr defaultRowHeight="12.75" x14ac:dyDescent="0.35"/>
  <cols>
    <col min="1" max="1" width="12.59765625"/>
    <col min="2" max="2" width="74.73046875" customWidth="1"/>
    <col min="3" max="5" width="12.59765625"/>
    <col min="6" max="6" width="30" customWidth="1"/>
    <col min="7" max="22" width="12.59765625"/>
    <col min="23" max="23" width="292.3984375" bestFit="1" customWidth="1"/>
  </cols>
  <sheetData>
    <row r="1" spans="1:23" s="27" customFormat="1" ht="13.15" x14ac:dyDescent="0.4">
      <c r="A1" s="27" t="s">
        <v>25983</v>
      </c>
      <c r="B1" s="27" t="s">
        <v>0</v>
      </c>
      <c r="C1" s="27" t="s">
        <v>25984</v>
      </c>
      <c r="D1" s="27" t="s">
        <v>25985</v>
      </c>
      <c r="E1" s="27" t="s">
        <v>25986</v>
      </c>
      <c r="F1" s="27" t="s">
        <v>2</v>
      </c>
      <c r="G1" s="27" t="s">
        <v>25987</v>
      </c>
      <c r="H1" s="27" t="s">
        <v>3</v>
      </c>
      <c r="I1" s="27" t="s">
        <v>25988</v>
      </c>
      <c r="J1" s="27" t="s">
        <v>25989</v>
      </c>
      <c r="K1" s="27" t="s">
        <v>25990</v>
      </c>
      <c r="L1" s="27" t="s">
        <v>25991</v>
      </c>
      <c r="M1" s="27" t="s">
        <v>25992</v>
      </c>
      <c r="N1" s="27" t="s">
        <v>25993</v>
      </c>
      <c r="O1" s="27" t="s">
        <v>25994</v>
      </c>
      <c r="P1" s="27" t="s">
        <v>25995</v>
      </c>
      <c r="Q1" s="27" t="s">
        <v>25996</v>
      </c>
      <c r="R1" s="27" t="s">
        <v>25997</v>
      </c>
      <c r="S1" s="27" t="s">
        <v>25998</v>
      </c>
      <c r="T1" s="27" t="s">
        <v>25999</v>
      </c>
      <c r="U1" s="27" t="s">
        <v>26000</v>
      </c>
      <c r="V1" s="27" t="s">
        <v>26001</v>
      </c>
      <c r="W1" s="27" t="s">
        <v>26002</v>
      </c>
    </row>
    <row r="2" spans="1:23" x14ac:dyDescent="0.35">
      <c r="A2">
        <v>127630</v>
      </c>
      <c r="B2" t="s">
        <v>26003</v>
      </c>
      <c r="C2" t="str">
        <f>"9780253340948"</f>
        <v>9780253340948</v>
      </c>
      <c r="D2" t="str">
        <f>"9780253109194"</f>
        <v>9780253109194</v>
      </c>
      <c r="E2" t="s">
        <v>7540</v>
      </c>
      <c r="F2" t="s">
        <v>7540</v>
      </c>
      <c r="G2" t="s">
        <v>24303</v>
      </c>
      <c r="H2" t="s">
        <v>26004</v>
      </c>
      <c r="I2" s="26">
        <v>37426</v>
      </c>
      <c r="J2">
        <v>2002</v>
      </c>
      <c r="K2" t="s">
        <v>7540</v>
      </c>
      <c r="L2">
        <v>283</v>
      </c>
      <c r="M2" t="s">
        <v>26005</v>
      </c>
      <c r="N2">
        <v>1</v>
      </c>
      <c r="Q2" t="s">
        <v>26006</v>
      </c>
      <c r="R2">
        <v>793.73</v>
      </c>
      <c r="S2" t="s">
        <v>26007</v>
      </c>
      <c r="T2" t="s">
        <v>30</v>
      </c>
      <c r="U2" t="s">
        <v>26008</v>
      </c>
      <c r="W2" t="s">
        <v>26009</v>
      </c>
    </row>
    <row r="3" spans="1:23" x14ac:dyDescent="0.35">
      <c r="A3">
        <v>141336</v>
      </c>
      <c r="B3" t="s">
        <v>8754</v>
      </c>
      <c r="C3" t="str">
        <f>"9780415028585"</f>
        <v>9780415028585</v>
      </c>
      <c r="D3" t="str">
        <f>"9780203135648"</f>
        <v>9780203135648</v>
      </c>
      <c r="E3" t="s">
        <v>26010</v>
      </c>
      <c r="F3" t="s">
        <v>35</v>
      </c>
      <c r="G3" t="s">
        <v>22174</v>
      </c>
      <c r="H3" t="s">
        <v>26011</v>
      </c>
      <c r="I3" s="26">
        <v>34978</v>
      </c>
      <c r="J3">
        <v>1996</v>
      </c>
      <c r="K3" t="s">
        <v>26012</v>
      </c>
      <c r="L3">
        <v>346</v>
      </c>
      <c r="M3" t="s">
        <v>26013</v>
      </c>
      <c r="N3">
        <v>1</v>
      </c>
      <c r="O3" t="s">
        <v>26014</v>
      </c>
      <c r="Q3" t="s">
        <v>26015</v>
      </c>
      <c r="R3">
        <v>152.4</v>
      </c>
      <c r="S3" t="s">
        <v>7594</v>
      </c>
      <c r="T3" t="s">
        <v>30</v>
      </c>
      <c r="U3" t="s">
        <v>46</v>
      </c>
      <c r="W3" t="s">
        <v>26009</v>
      </c>
    </row>
    <row r="4" spans="1:23" x14ac:dyDescent="0.35">
      <c r="A4">
        <v>141569</v>
      </c>
      <c r="B4" t="s">
        <v>26016</v>
      </c>
      <c r="C4" t="str">
        <f>"9780521653046"</f>
        <v>9780521653046</v>
      </c>
      <c r="D4" t="str">
        <f>"9780511149115"</f>
        <v>9780511149115</v>
      </c>
      <c r="E4" t="s">
        <v>167</v>
      </c>
      <c r="F4" t="s">
        <v>167</v>
      </c>
      <c r="G4" t="s">
        <v>22218</v>
      </c>
      <c r="H4" t="s">
        <v>26011</v>
      </c>
      <c r="I4" s="26">
        <v>36650</v>
      </c>
      <c r="J4">
        <v>2000</v>
      </c>
      <c r="K4" t="s">
        <v>167</v>
      </c>
      <c r="L4">
        <v>379</v>
      </c>
      <c r="M4" t="s">
        <v>26017</v>
      </c>
      <c r="N4">
        <v>1</v>
      </c>
      <c r="Q4" t="s">
        <v>26018</v>
      </c>
      <c r="R4">
        <v>618.97689000000003</v>
      </c>
      <c r="S4" t="s">
        <v>8716</v>
      </c>
      <c r="T4" t="s">
        <v>30</v>
      </c>
      <c r="U4" t="s">
        <v>26019</v>
      </c>
      <c r="W4" t="s">
        <v>26020</v>
      </c>
    </row>
    <row r="5" spans="1:23" x14ac:dyDescent="0.35">
      <c r="A5">
        <v>142379</v>
      </c>
      <c r="B5" t="s">
        <v>26021</v>
      </c>
      <c r="C5" t="str">
        <f>"9780521571555"</f>
        <v>9780521571555</v>
      </c>
      <c r="D5" t="str">
        <f>"9780511148989"</f>
        <v>9780511148989</v>
      </c>
      <c r="E5" t="s">
        <v>167</v>
      </c>
      <c r="F5" t="s">
        <v>167</v>
      </c>
      <c r="G5" t="s">
        <v>22218</v>
      </c>
      <c r="H5" t="s">
        <v>26011</v>
      </c>
      <c r="I5" s="26">
        <v>35639</v>
      </c>
      <c r="J5">
        <v>1997</v>
      </c>
      <c r="K5" t="s">
        <v>167</v>
      </c>
      <c r="L5">
        <v>341</v>
      </c>
      <c r="M5" t="s">
        <v>26022</v>
      </c>
      <c r="N5">
        <v>1</v>
      </c>
      <c r="Q5" t="s">
        <v>26023</v>
      </c>
      <c r="R5" t="s">
        <v>26024</v>
      </c>
      <c r="S5" t="s">
        <v>8419</v>
      </c>
      <c r="T5" t="s">
        <v>30</v>
      </c>
      <c r="U5" t="s">
        <v>46</v>
      </c>
      <c r="W5" t="s">
        <v>26020</v>
      </c>
    </row>
    <row r="6" spans="1:23" x14ac:dyDescent="0.35">
      <c r="A6">
        <v>143892</v>
      </c>
      <c r="B6" t="s">
        <v>26025</v>
      </c>
      <c r="C6" t="str">
        <f>"9780521560450"</f>
        <v>9780521560450</v>
      </c>
      <c r="D6" t="str">
        <f>"9780511151460"</f>
        <v>9780511151460</v>
      </c>
      <c r="E6" t="s">
        <v>167</v>
      </c>
      <c r="F6" t="s">
        <v>167</v>
      </c>
      <c r="G6" t="s">
        <v>22218</v>
      </c>
      <c r="H6" t="s">
        <v>26011</v>
      </c>
      <c r="I6" s="26">
        <v>36804</v>
      </c>
      <c r="J6">
        <v>2000</v>
      </c>
      <c r="K6" t="s">
        <v>167</v>
      </c>
      <c r="L6">
        <v>353</v>
      </c>
      <c r="M6" t="s">
        <v>26026</v>
      </c>
      <c r="N6">
        <v>1</v>
      </c>
      <c r="Q6" t="s">
        <v>26027</v>
      </c>
      <c r="R6">
        <v>152.4</v>
      </c>
      <c r="S6" t="s">
        <v>9837</v>
      </c>
      <c r="T6" t="s">
        <v>30</v>
      </c>
      <c r="U6" t="s">
        <v>46</v>
      </c>
      <c r="W6" t="s">
        <v>26020</v>
      </c>
    </row>
    <row r="7" spans="1:23" x14ac:dyDescent="0.35">
      <c r="A7">
        <v>143898</v>
      </c>
      <c r="B7" t="s">
        <v>26028</v>
      </c>
      <c r="C7" t="str">
        <f>"9780521621205"</f>
        <v>9780521621205</v>
      </c>
      <c r="D7" t="str">
        <f>"9780511150425"</f>
        <v>9780511150425</v>
      </c>
      <c r="E7" t="s">
        <v>167</v>
      </c>
      <c r="F7" t="s">
        <v>167</v>
      </c>
      <c r="G7" t="s">
        <v>22218</v>
      </c>
      <c r="H7" t="s">
        <v>26011</v>
      </c>
      <c r="I7" s="26">
        <v>36328</v>
      </c>
      <c r="J7">
        <v>1999</v>
      </c>
      <c r="K7" t="s">
        <v>167</v>
      </c>
      <c r="L7">
        <v>268</v>
      </c>
      <c r="M7" t="s">
        <v>26029</v>
      </c>
      <c r="N7">
        <v>1</v>
      </c>
      <c r="O7" t="s">
        <v>26030</v>
      </c>
      <c r="P7">
        <v>53</v>
      </c>
      <c r="Q7" t="s">
        <v>26031</v>
      </c>
      <c r="R7" t="s">
        <v>26032</v>
      </c>
      <c r="S7" t="s">
        <v>9066</v>
      </c>
      <c r="T7" t="s">
        <v>30</v>
      </c>
      <c r="U7" t="s">
        <v>46</v>
      </c>
      <c r="W7" t="s">
        <v>26020</v>
      </c>
    </row>
    <row r="8" spans="1:23" x14ac:dyDescent="0.35">
      <c r="A8">
        <v>144630</v>
      </c>
      <c r="B8" t="s">
        <v>9410</v>
      </c>
      <c r="C8" t="str">
        <f>"9780521551113"</f>
        <v>9780521551113</v>
      </c>
      <c r="D8" t="str">
        <f>"9780511151569"</f>
        <v>9780511151569</v>
      </c>
      <c r="E8" t="s">
        <v>167</v>
      </c>
      <c r="F8" t="s">
        <v>167</v>
      </c>
      <c r="G8" t="s">
        <v>22218</v>
      </c>
      <c r="H8" t="s">
        <v>26011</v>
      </c>
      <c r="I8" s="26">
        <v>36391</v>
      </c>
      <c r="J8">
        <v>1999</v>
      </c>
      <c r="K8" t="s">
        <v>167</v>
      </c>
      <c r="L8">
        <v>311</v>
      </c>
      <c r="M8" t="s">
        <v>26033</v>
      </c>
      <c r="N8">
        <v>1</v>
      </c>
      <c r="Q8" t="s">
        <v>26034</v>
      </c>
      <c r="R8" t="s">
        <v>26035</v>
      </c>
      <c r="S8" t="s">
        <v>9412</v>
      </c>
      <c r="T8" t="s">
        <v>30</v>
      </c>
      <c r="U8" t="s">
        <v>46</v>
      </c>
      <c r="W8" t="s">
        <v>26020</v>
      </c>
    </row>
    <row r="9" spans="1:23" x14ac:dyDescent="0.35">
      <c r="A9">
        <v>144648</v>
      </c>
      <c r="B9" t="s">
        <v>8568</v>
      </c>
      <c r="C9" t="str">
        <f>"9780521633536"</f>
        <v>9780521633536</v>
      </c>
      <c r="D9" t="str">
        <f>"9780511149085"</f>
        <v>9780511149085</v>
      </c>
      <c r="E9" t="s">
        <v>167</v>
      </c>
      <c r="F9" t="s">
        <v>167</v>
      </c>
      <c r="G9" t="s">
        <v>22218</v>
      </c>
      <c r="H9" t="s">
        <v>26011</v>
      </c>
      <c r="I9" s="26">
        <v>36230</v>
      </c>
      <c r="J9">
        <v>1999</v>
      </c>
      <c r="K9" t="s">
        <v>167</v>
      </c>
      <c r="L9">
        <v>361</v>
      </c>
      <c r="M9" t="s">
        <v>26036</v>
      </c>
      <c r="N9">
        <v>1</v>
      </c>
      <c r="Q9" t="s">
        <v>26037</v>
      </c>
      <c r="R9" t="s">
        <v>26038</v>
      </c>
      <c r="S9" t="s">
        <v>26039</v>
      </c>
      <c r="T9" t="s">
        <v>30</v>
      </c>
      <c r="U9" t="s">
        <v>26040</v>
      </c>
      <c r="W9" t="s">
        <v>26020</v>
      </c>
    </row>
    <row r="10" spans="1:23" x14ac:dyDescent="0.35">
      <c r="A10">
        <v>145796</v>
      </c>
      <c r="B10" t="s">
        <v>9366</v>
      </c>
      <c r="C10" t="str">
        <f>"9780253342089"</f>
        <v>9780253342089</v>
      </c>
      <c r="D10" t="str">
        <f>"9780253109729"</f>
        <v>9780253109729</v>
      </c>
      <c r="E10" t="s">
        <v>7540</v>
      </c>
      <c r="F10" t="s">
        <v>7540</v>
      </c>
      <c r="G10" t="s">
        <v>24303</v>
      </c>
      <c r="H10" t="s">
        <v>26004</v>
      </c>
      <c r="I10" s="26">
        <v>37678</v>
      </c>
      <c r="J10">
        <v>2003</v>
      </c>
      <c r="K10" t="s">
        <v>7540</v>
      </c>
      <c r="L10">
        <v>183</v>
      </c>
      <c r="M10" t="s">
        <v>26041</v>
      </c>
      <c r="N10">
        <v>1</v>
      </c>
      <c r="Q10" t="s">
        <v>26042</v>
      </c>
      <c r="R10">
        <v>305.42</v>
      </c>
      <c r="S10" t="s">
        <v>26043</v>
      </c>
      <c r="T10" t="s">
        <v>30</v>
      </c>
      <c r="U10" t="s">
        <v>26044</v>
      </c>
      <c r="W10" t="s">
        <v>26009</v>
      </c>
    </row>
    <row r="11" spans="1:23" x14ac:dyDescent="0.35">
      <c r="A11">
        <v>145805</v>
      </c>
      <c r="B11" t="s">
        <v>8463</v>
      </c>
      <c r="C11" t="str">
        <f>"9780521591522"</f>
        <v>9780521591522</v>
      </c>
      <c r="D11" t="str">
        <f>"9780511150432"</f>
        <v>9780511150432</v>
      </c>
      <c r="E11" t="s">
        <v>167</v>
      </c>
      <c r="F11" t="s">
        <v>167</v>
      </c>
      <c r="G11" t="s">
        <v>22218</v>
      </c>
      <c r="H11" t="s">
        <v>26011</v>
      </c>
      <c r="I11" s="26">
        <v>36416</v>
      </c>
      <c r="J11">
        <v>1999</v>
      </c>
      <c r="K11" t="s">
        <v>167</v>
      </c>
      <c r="L11">
        <v>298</v>
      </c>
      <c r="M11" t="s">
        <v>26045</v>
      </c>
      <c r="N11">
        <v>1</v>
      </c>
      <c r="Q11" t="s">
        <v>26046</v>
      </c>
      <c r="R11" t="s">
        <v>26047</v>
      </c>
      <c r="S11" t="s">
        <v>8464</v>
      </c>
      <c r="T11" t="s">
        <v>30</v>
      </c>
      <c r="U11" t="s">
        <v>46</v>
      </c>
      <c r="W11" t="s">
        <v>26020</v>
      </c>
    </row>
    <row r="12" spans="1:23" x14ac:dyDescent="0.35">
      <c r="A12">
        <v>147307</v>
      </c>
      <c r="B12" t="s">
        <v>26048</v>
      </c>
      <c r="C12" t="str">
        <f>"9780521591447"</f>
        <v>9780521591447</v>
      </c>
      <c r="D12" t="str">
        <f>"9780511152023"</f>
        <v>9780511152023</v>
      </c>
      <c r="E12" t="s">
        <v>167</v>
      </c>
      <c r="F12" t="s">
        <v>167</v>
      </c>
      <c r="G12" t="s">
        <v>22218</v>
      </c>
      <c r="H12" t="s">
        <v>26011</v>
      </c>
      <c r="I12" s="26">
        <v>36559</v>
      </c>
      <c r="J12">
        <v>2000</v>
      </c>
      <c r="K12" t="s">
        <v>167</v>
      </c>
      <c r="L12">
        <v>226</v>
      </c>
      <c r="M12" t="s">
        <v>26049</v>
      </c>
      <c r="N12">
        <v>1</v>
      </c>
      <c r="O12" t="s">
        <v>26050</v>
      </c>
      <c r="Q12" t="s">
        <v>26051</v>
      </c>
      <c r="R12">
        <v>302.5</v>
      </c>
      <c r="S12" t="s">
        <v>7735</v>
      </c>
      <c r="T12" t="s">
        <v>30</v>
      </c>
      <c r="U12" t="s">
        <v>26044</v>
      </c>
      <c r="W12" t="s">
        <v>26020</v>
      </c>
    </row>
    <row r="13" spans="1:23" x14ac:dyDescent="0.35">
      <c r="A13">
        <v>147332</v>
      </c>
      <c r="B13" t="s">
        <v>26052</v>
      </c>
      <c r="C13" t="str">
        <f>"9780521792004"</f>
        <v>9780521792004</v>
      </c>
      <c r="D13" t="str">
        <f>"9780511155307"</f>
        <v>9780511155307</v>
      </c>
      <c r="E13" t="s">
        <v>167</v>
      </c>
      <c r="F13" t="s">
        <v>167</v>
      </c>
      <c r="G13" t="s">
        <v>22218</v>
      </c>
      <c r="H13" t="s">
        <v>26011</v>
      </c>
      <c r="I13" s="26">
        <v>37130</v>
      </c>
      <c r="J13">
        <v>2001</v>
      </c>
      <c r="K13" t="s">
        <v>167</v>
      </c>
      <c r="L13">
        <v>349</v>
      </c>
      <c r="M13" t="s">
        <v>26053</v>
      </c>
      <c r="N13">
        <v>1</v>
      </c>
      <c r="O13" t="s">
        <v>26054</v>
      </c>
      <c r="Q13" t="s">
        <v>26055</v>
      </c>
      <c r="R13" t="s">
        <v>26056</v>
      </c>
      <c r="S13" t="s">
        <v>8152</v>
      </c>
      <c r="T13" t="s">
        <v>30</v>
      </c>
      <c r="U13" t="s">
        <v>26057</v>
      </c>
      <c r="W13" t="s">
        <v>26020</v>
      </c>
    </row>
    <row r="14" spans="1:23" x14ac:dyDescent="0.35">
      <c r="A14">
        <v>157030</v>
      </c>
      <c r="B14" t="s">
        <v>26058</v>
      </c>
      <c r="C14" t="str">
        <f>"9780521561754"</f>
        <v>9780521561754</v>
      </c>
      <c r="D14" t="str">
        <f>"9780511153143"</f>
        <v>9780511153143</v>
      </c>
      <c r="E14" t="s">
        <v>167</v>
      </c>
      <c r="F14" t="s">
        <v>167</v>
      </c>
      <c r="G14" t="s">
        <v>22218</v>
      </c>
      <c r="H14" t="s">
        <v>26011</v>
      </c>
      <c r="I14" s="26">
        <v>36710</v>
      </c>
      <c r="J14">
        <v>2000</v>
      </c>
      <c r="K14" t="s">
        <v>167</v>
      </c>
      <c r="L14">
        <v>293</v>
      </c>
      <c r="M14" t="s">
        <v>26059</v>
      </c>
      <c r="N14">
        <v>1</v>
      </c>
      <c r="Q14" t="s">
        <v>26060</v>
      </c>
      <c r="R14">
        <v>153.80000000000001</v>
      </c>
      <c r="S14" t="s">
        <v>8633</v>
      </c>
      <c r="T14" t="s">
        <v>30</v>
      </c>
      <c r="U14" t="s">
        <v>46</v>
      </c>
      <c r="W14" t="s">
        <v>26020</v>
      </c>
    </row>
    <row r="15" spans="1:23" x14ac:dyDescent="0.35">
      <c r="A15">
        <v>164750</v>
      </c>
      <c r="B15" t="s">
        <v>7719</v>
      </c>
      <c r="C15" t="str">
        <f>"9780521593007"</f>
        <v>9780521593007</v>
      </c>
      <c r="D15" t="str">
        <f>"9780511153037"</f>
        <v>9780511153037</v>
      </c>
      <c r="E15" t="s">
        <v>167</v>
      </c>
      <c r="F15" t="s">
        <v>167</v>
      </c>
      <c r="G15" t="s">
        <v>22218</v>
      </c>
      <c r="H15" t="s">
        <v>26011</v>
      </c>
      <c r="I15" s="26">
        <v>36969</v>
      </c>
      <c r="J15">
        <v>2001</v>
      </c>
      <c r="K15" t="s">
        <v>167</v>
      </c>
      <c r="L15">
        <v>272</v>
      </c>
      <c r="M15" t="s">
        <v>26061</v>
      </c>
      <c r="N15">
        <v>1</v>
      </c>
      <c r="Q15" t="s">
        <v>26062</v>
      </c>
      <c r="R15">
        <v>153.80000000000001</v>
      </c>
      <c r="S15" t="s">
        <v>7720</v>
      </c>
      <c r="T15" t="s">
        <v>30</v>
      </c>
      <c r="U15" t="s">
        <v>46</v>
      </c>
      <c r="W15" t="s">
        <v>26020</v>
      </c>
    </row>
    <row r="16" spans="1:23" x14ac:dyDescent="0.35">
      <c r="A16">
        <v>164944</v>
      </c>
      <c r="B16" t="s">
        <v>26063</v>
      </c>
      <c r="C16" t="str">
        <f>"9780415013697"</f>
        <v>9780415013697</v>
      </c>
      <c r="D16" t="str">
        <f>"9780203402788"</f>
        <v>9780203402788</v>
      </c>
      <c r="E16" t="s">
        <v>26010</v>
      </c>
      <c r="F16" t="s">
        <v>35</v>
      </c>
      <c r="G16" t="s">
        <v>22174</v>
      </c>
      <c r="H16" t="s">
        <v>26004</v>
      </c>
      <c r="I16" s="26">
        <v>32562</v>
      </c>
      <c r="J16">
        <v>1989</v>
      </c>
      <c r="K16" t="s">
        <v>26012</v>
      </c>
      <c r="L16">
        <v>269</v>
      </c>
      <c r="M16" t="s">
        <v>26064</v>
      </c>
      <c r="N16">
        <v>1</v>
      </c>
      <c r="Q16" t="s">
        <v>26065</v>
      </c>
      <c r="R16">
        <v>305.3</v>
      </c>
      <c r="S16" t="s">
        <v>26066</v>
      </c>
      <c r="T16" t="s">
        <v>30</v>
      </c>
      <c r="U16" t="s">
        <v>26044</v>
      </c>
      <c r="W16" t="s">
        <v>26009</v>
      </c>
    </row>
    <row r="17" spans="1:23" x14ac:dyDescent="0.35">
      <c r="A17">
        <v>164977</v>
      </c>
      <c r="B17" t="s">
        <v>26067</v>
      </c>
      <c r="C17" t="str">
        <f>"9780750707305"</f>
        <v>9780750707305</v>
      </c>
      <c r="D17" t="str">
        <f>"9780203137581"</f>
        <v>9780203137581</v>
      </c>
      <c r="E17" t="s">
        <v>26010</v>
      </c>
      <c r="F17" t="s">
        <v>35</v>
      </c>
      <c r="G17" t="s">
        <v>22174</v>
      </c>
      <c r="H17" t="s">
        <v>26011</v>
      </c>
      <c r="I17" s="26">
        <v>35674</v>
      </c>
      <c r="J17">
        <v>1997</v>
      </c>
      <c r="K17" t="s">
        <v>26012</v>
      </c>
      <c r="L17">
        <v>134</v>
      </c>
      <c r="M17" t="s">
        <v>26068</v>
      </c>
      <c r="N17">
        <v>1</v>
      </c>
      <c r="Q17" t="s">
        <v>26069</v>
      </c>
      <c r="R17">
        <v>373.18234999999999</v>
      </c>
      <c r="S17" t="s">
        <v>10266</v>
      </c>
      <c r="T17" t="s">
        <v>30</v>
      </c>
      <c r="U17" t="s">
        <v>26070</v>
      </c>
      <c r="W17" t="s">
        <v>26009</v>
      </c>
    </row>
    <row r="18" spans="1:23" x14ac:dyDescent="0.35">
      <c r="A18">
        <v>165020</v>
      </c>
      <c r="B18" t="s">
        <v>26071</v>
      </c>
      <c r="C18" t="str">
        <f>"9780415207706"</f>
        <v>9780415207706</v>
      </c>
      <c r="D18" t="str">
        <f>"9780203020784"</f>
        <v>9780203020784</v>
      </c>
      <c r="E18" t="s">
        <v>26010</v>
      </c>
      <c r="F18" t="s">
        <v>35</v>
      </c>
      <c r="G18" t="s">
        <v>22174</v>
      </c>
      <c r="H18" t="s">
        <v>26011</v>
      </c>
      <c r="I18" s="26">
        <v>36600</v>
      </c>
      <c r="J18">
        <v>1999</v>
      </c>
      <c r="K18" t="s">
        <v>26012</v>
      </c>
      <c r="L18">
        <v>245</v>
      </c>
      <c r="M18" t="s">
        <v>26072</v>
      </c>
      <c r="N18">
        <v>1</v>
      </c>
      <c r="O18" t="s">
        <v>26073</v>
      </c>
      <c r="Q18" t="s">
        <v>26074</v>
      </c>
      <c r="R18" t="s">
        <v>26075</v>
      </c>
      <c r="S18" t="s">
        <v>8374</v>
      </c>
      <c r="T18" t="s">
        <v>30</v>
      </c>
      <c r="U18" t="s">
        <v>26044</v>
      </c>
      <c r="W18" t="s">
        <v>26009</v>
      </c>
    </row>
    <row r="19" spans="1:23" x14ac:dyDescent="0.35">
      <c r="A19">
        <v>165024</v>
      </c>
      <c r="B19" t="s">
        <v>26076</v>
      </c>
      <c r="C19" t="str">
        <f>"9780415167864"</f>
        <v>9780415167864</v>
      </c>
      <c r="D19" t="str">
        <f>"9780203029299"</f>
        <v>9780203029299</v>
      </c>
      <c r="E19" t="s">
        <v>26010</v>
      </c>
      <c r="F19" t="s">
        <v>35</v>
      </c>
      <c r="G19" t="s">
        <v>22174</v>
      </c>
      <c r="H19" t="s">
        <v>26011</v>
      </c>
      <c r="I19" s="26">
        <v>35922</v>
      </c>
      <c r="J19">
        <v>1998</v>
      </c>
      <c r="K19" t="s">
        <v>26012</v>
      </c>
      <c r="L19">
        <v>254</v>
      </c>
      <c r="M19" t="s">
        <v>26077</v>
      </c>
      <c r="N19">
        <v>1</v>
      </c>
      <c r="Q19" t="s">
        <v>26078</v>
      </c>
      <c r="R19">
        <v>362.21094099999999</v>
      </c>
      <c r="S19" t="s">
        <v>9006</v>
      </c>
      <c r="T19" t="s">
        <v>30</v>
      </c>
      <c r="U19" t="s">
        <v>26079</v>
      </c>
      <c r="W19" t="s">
        <v>26009</v>
      </c>
    </row>
    <row r="20" spans="1:23" x14ac:dyDescent="0.35">
      <c r="A20">
        <v>165128</v>
      </c>
      <c r="B20" t="s">
        <v>26080</v>
      </c>
      <c r="C20" t="str">
        <f>"9780415113182"</f>
        <v>9780415113182</v>
      </c>
      <c r="D20" t="str">
        <f>"9780203007426"</f>
        <v>9780203007426</v>
      </c>
      <c r="E20" t="s">
        <v>26010</v>
      </c>
      <c r="F20" t="s">
        <v>35</v>
      </c>
      <c r="G20" t="s">
        <v>22174</v>
      </c>
      <c r="H20" t="s">
        <v>26011</v>
      </c>
      <c r="I20" s="26">
        <v>36307</v>
      </c>
      <c r="J20">
        <v>1999</v>
      </c>
      <c r="K20" t="s">
        <v>26012</v>
      </c>
      <c r="L20">
        <v>174</v>
      </c>
      <c r="M20" t="s">
        <v>26081</v>
      </c>
      <c r="N20">
        <v>1</v>
      </c>
      <c r="Q20" t="s">
        <v>26082</v>
      </c>
      <c r="R20">
        <v>194</v>
      </c>
      <c r="S20" t="s">
        <v>7846</v>
      </c>
      <c r="T20" t="s">
        <v>30</v>
      </c>
      <c r="U20" t="s">
        <v>26083</v>
      </c>
      <c r="W20" t="s">
        <v>26009</v>
      </c>
    </row>
    <row r="21" spans="1:23" x14ac:dyDescent="0.35">
      <c r="A21">
        <v>165144</v>
      </c>
      <c r="B21" t="s">
        <v>26084</v>
      </c>
      <c r="C21" t="str">
        <f>"9780415090193"</f>
        <v>9780415090193</v>
      </c>
      <c r="D21" t="str">
        <f>"9780203012260"</f>
        <v>9780203012260</v>
      </c>
      <c r="E21" t="s">
        <v>26010</v>
      </c>
      <c r="F21" t="s">
        <v>35</v>
      </c>
      <c r="G21" t="s">
        <v>22174</v>
      </c>
      <c r="H21" t="s">
        <v>26011</v>
      </c>
      <c r="I21" s="26">
        <v>35397</v>
      </c>
      <c r="J21">
        <v>1996</v>
      </c>
      <c r="K21" t="s">
        <v>26012</v>
      </c>
      <c r="L21">
        <v>104</v>
      </c>
      <c r="M21" t="s">
        <v>26085</v>
      </c>
      <c r="N21">
        <v>1</v>
      </c>
      <c r="O21" t="s">
        <v>26086</v>
      </c>
      <c r="Q21" t="s">
        <v>26087</v>
      </c>
      <c r="R21">
        <v>150.19499999999999</v>
      </c>
      <c r="S21" t="s">
        <v>8932</v>
      </c>
      <c r="T21" t="s">
        <v>30</v>
      </c>
      <c r="U21" t="s">
        <v>46</v>
      </c>
      <c r="W21" t="s">
        <v>26009</v>
      </c>
    </row>
    <row r="22" spans="1:23" x14ac:dyDescent="0.35">
      <c r="A22">
        <v>165174</v>
      </c>
      <c r="B22" t="s">
        <v>8855</v>
      </c>
      <c r="C22" t="str">
        <f>"9780415207935"</f>
        <v>9780415207935</v>
      </c>
      <c r="D22" t="str">
        <f>"9780203019719"</f>
        <v>9780203019719</v>
      </c>
      <c r="E22" t="s">
        <v>26010</v>
      </c>
      <c r="F22" t="s">
        <v>35</v>
      </c>
      <c r="G22" t="s">
        <v>22174</v>
      </c>
      <c r="H22" t="s">
        <v>26011</v>
      </c>
      <c r="I22" s="26">
        <v>36285</v>
      </c>
      <c r="J22">
        <v>1999</v>
      </c>
      <c r="K22" t="s">
        <v>26012</v>
      </c>
      <c r="L22">
        <v>263</v>
      </c>
      <c r="M22" t="s">
        <v>26088</v>
      </c>
      <c r="N22">
        <v>2</v>
      </c>
      <c r="Q22" t="s">
        <v>26089</v>
      </c>
      <c r="R22">
        <v>153.6</v>
      </c>
      <c r="S22" t="s">
        <v>7594</v>
      </c>
      <c r="T22" t="s">
        <v>30</v>
      </c>
      <c r="U22" t="s">
        <v>46</v>
      </c>
      <c r="W22" t="s">
        <v>26009</v>
      </c>
    </row>
    <row r="23" spans="1:23" x14ac:dyDescent="0.35">
      <c r="A23">
        <v>165221</v>
      </c>
      <c r="B23" t="s">
        <v>26090</v>
      </c>
      <c r="C23" t="str">
        <f>"9780415192477"</f>
        <v>9780415192477</v>
      </c>
      <c r="D23" t="str">
        <f>"9780203026465"</f>
        <v>9780203026465</v>
      </c>
      <c r="E23" t="s">
        <v>26010</v>
      </c>
      <c r="F23" t="s">
        <v>35</v>
      </c>
      <c r="G23" t="s">
        <v>22174</v>
      </c>
      <c r="H23" t="s">
        <v>26011</v>
      </c>
      <c r="I23" s="26">
        <v>36438</v>
      </c>
      <c r="J23">
        <v>2002</v>
      </c>
      <c r="K23" t="s">
        <v>26012</v>
      </c>
      <c r="L23">
        <v>230</v>
      </c>
      <c r="M23" t="s">
        <v>26091</v>
      </c>
      <c r="N23">
        <v>1</v>
      </c>
      <c r="Q23" t="s">
        <v>26092</v>
      </c>
      <c r="R23" t="s">
        <v>26093</v>
      </c>
      <c r="S23" t="s">
        <v>7881</v>
      </c>
      <c r="T23" t="s">
        <v>30</v>
      </c>
      <c r="U23" t="s">
        <v>26094</v>
      </c>
      <c r="W23" t="s">
        <v>26009</v>
      </c>
    </row>
    <row r="24" spans="1:23" x14ac:dyDescent="0.35">
      <c r="A24">
        <v>165245</v>
      </c>
      <c r="B24" t="s">
        <v>26095</v>
      </c>
      <c r="C24" t="str">
        <f>"9780415211109"</f>
        <v>9780415211109</v>
      </c>
      <c r="D24" t="str">
        <f>"9780203002667"</f>
        <v>9780203002667</v>
      </c>
      <c r="E24" t="s">
        <v>26010</v>
      </c>
      <c r="F24" t="s">
        <v>35</v>
      </c>
      <c r="G24" t="s">
        <v>22174</v>
      </c>
      <c r="H24" t="s">
        <v>26004</v>
      </c>
      <c r="I24" s="26">
        <v>36372</v>
      </c>
      <c r="J24">
        <v>1999</v>
      </c>
      <c r="K24" t="s">
        <v>26012</v>
      </c>
      <c r="L24">
        <v>263</v>
      </c>
      <c r="M24" t="s">
        <v>26096</v>
      </c>
      <c r="N24">
        <v>1</v>
      </c>
      <c r="Q24" t="s">
        <v>26097</v>
      </c>
      <c r="R24">
        <v>294.50189999999998</v>
      </c>
      <c r="S24" t="s">
        <v>26098</v>
      </c>
      <c r="T24" t="s">
        <v>30</v>
      </c>
      <c r="U24" t="s">
        <v>26099</v>
      </c>
      <c r="W24" t="s">
        <v>26009</v>
      </c>
    </row>
    <row r="25" spans="1:23" x14ac:dyDescent="0.35">
      <c r="A25">
        <v>165246</v>
      </c>
      <c r="B25" t="s">
        <v>26100</v>
      </c>
      <c r="C25" t="str">
        <f>"9780415209212"</f>
        <v>9780415209212</v>
      </c>
      <c r="D25" t="str">
        <f>"9780203008843"</f>
        <v>9780203008843</v>
      </c>
      <c r="E25" t="s">
        <v>26010</v>
      </c>
      <c r="F25" t="s">
        <v>35</v>
      </c>
      <c r="G25" t="s">
        <v>22174</v>
      </c>
      <c r="H25" t="s">
        <v>26004</v>
      </c>
      <c r="I25" s="26">
        <v>36372</v>
      </c>
      <c r="J25">
        <v>1999</v>
      </c>
      <c r="K25" t="s">
        <v>26012</v>
      </c>
      <c r="L25">
        <v>302</v>
      </c>
      <c r="M25" t="s">
        <v>26101</v>
      </c>
      <c r="N25">
        <v>1</v>
      </c>
      <c r="O25" t="s">
        <v>26102</v>
      </c>
      <c r="Q25" t="s">
        <v>26103</v>
      </c>
      <c r="R25">
        <v>155.22999999999999</v>
      </c>
      <c r="S25" t="s">
        <v>26104</v>
      </c>
      <c r="T25" t="s">
        <v>30</v>
      </c>
      <c r="U25" t="s">
        <v>46</v>
      </c>
      <c r="W25" t="s">
        <v>26009</v>
      </c>
    </row>
    <row r="26" spans="1:23" x14ac:dyDescent="0.35">
      <c r="A26">
        <v>165469</v>
      </c>
      <c r="B26" t="s">
        <v>26105</v>
      </c>
      <c r="C26" t="str">
        <f>"9780415101998"</f>
        <v>9780415101998</v>
      </c>
      <c r="D26" t="str">
        <f>"9780203131466"</f>
        <v>9780203131466</v>
      </c>
      <c r="E26" t="s">
        <v>26010</v>
      </c>
      <c r="F26" t="s">
        <v>35</v>
      </c>
      <c r="G26" t="s">
        <v>22174</v>
      </c>
      <c r="H26" t="s">
        <v>26011</v>
      </c>
      <c r="I26" s="26">
        <v>36735</v>
      </c>
      <c r="J26">
        <v>2000</v>
      </c>
      <c r="K26" t="s">
        <v>26012</v>
      </c>
      <c r="L26">
        <v>241</v>
      </c>
      <c r="M26" t="s">
        <v>26106</v>
      </c>
      <c r="N26">
        <v>1</v>
      </c>
      <c r="O26" t="s">
        <v>26107</v>
      </c>
      <c r="Q26" t="s">
        <v>26108</v>
      </c>
      <c r="R26">
        <v>618.92891699999996</v>
      </c>
      <c r="S26" t="s">
        <v>7527</v>
      </c>
      <c r="T26" t="s">
        <v>30</v>
      </c>
      <c r="U26" t="s">
        <v>26040</v>
      </c>
      <c r="W26" t="s">
        <v>26009</v>
      </c>
    </row>
    <row r="27" spans="1:23" x14ac:dyDescent="0.35">
      <c r="A27">
        <v>165477</v>
      </c>
      <c r="B27" t="s">
        <v>9558</v>
      </c>
      <c r="C27" t="str">
        <f>"9780415051743"</f>
        <v>9780415051743</v>
      </c>
      <c r="D27" t="str">
        <f>"9780203129449"</f>
        <v>9780203129449</v>
      </c>
      <c r="E27" t="s">
        <v>26010</v>
      </c>
      <c r="F27" t="s">
        <v>35</v>
      </c>
      <c r="G27" t="s">
        <v>22174</v>
      </c>
      <c r="H27" t="s">
        <v>26011</v>
      </c>
      <c r="I27" s="26">
        <v>27348</v>
      </c>
      <c r="J27">
        <v>1994</v>
      </c>
      <c r="K27" t="s">
        <v>26012</v>
      </c>
      <c r="L27">
        <v>336</v>
      </c>
      <c r="M27" t="s">
        <v>26109</v>
      </c>
      <c r="N27">
        <v>1</v>
      </c>
      <c r="Q27" t="s">
        <v>26110</v>
      </c>
      <c r="R27">
        <v>155.19999999999999</v>
      </c>
      <c r="S27" t="s">
        <v>26111</v>
      </c>
      <c r="T27" t="s">
        <v>30</v>
      </c>
      <c r="U27" t="s">
        <v>46</v>
      </c>
      <c r="W27" t="s">
        <v>26009</v>
      </c>
    </row>
    <row r="28" spans="1:23" x14ac:dyDescent="0.35">
      <c r="A28">
        <v>165481</v>
      </c>
      <c r="B28" t="s">
        <v>26112</v>
      </c>
      <c r="C28" t="str">
        <f>"9780415114974"</f>
        <v>9780415114974</v>
      </c>
      <c r="D28" t="str">
        <f>"9780203129531"</f>
        <v>9780203129531</v>
      </c>
      <c r="E28" t="s">
        <v>26010</v>
      </c>
      <c r="F28" t="s">
        <v>35</v>
      </c>
      <c r="G28" t="s">
        <v>22174</v>
      </c>
      <c r="H28" t="s">
        <v>26011</v>
      </c>
      <c r="I28" s="26">
        <v>35403</v>
      </c>
      <c r="J28">
        <v>1996</v>
      </c>
      <c r="K28" t="s">
        <v>26012</v>
      </c>
      <c r="L28">
        <v>257</v>
      </c>
      <c r="M28" t="s">
        <v>26113</v>
      </c>
      <c r="N28">
        <v>1</v>
      </c>
      <c r="Q28" t="s">
        <v>26114</v>
      </c>
      <c r="R28" t="s">
        <v>26115</v>
      </c>
      <c r="S28" t="s">
        <v>9434</v>
      </c>
      <c r="T28" t="s">
        <v>30</v>
      </c>
      <c r="U28" t="s">
        <v>26116</v>
      </c>
      <c r="W28" t="s">
        <v>26009</v>
      </c>
    </row>
    <row r="29" spans="1:23" x14ac:dyDescent="0.35">
      <c r="A29">
        <v>165499</v>
      </c>
      <c r="B29" t="s">
        <v>26117</v>
      </c>
      <c r="C29" t="str">
        <f>"9780415160179"</f>
        <v>9780415160179</v>
      </c>
      <c r="D29" t="str">
        <f>"9780203135006"</f>
        <v>9780203135006</v>
      </c>
      <c r="E29" t="s">
        <v>26010</v>
      </c>
      <c r="F29" t="s">
        <v>35</v>
      </c>
      <c r="G29" t="s">
        <v>22174</v>
      </c>
      <c r="H29" t="s">
        <v>26011</v>
      </c>
      <c r="I29" s="26">
        <v>36475</v>
      </c>
      <c r="J29">
        <v>1999</v>
      </c>
      <c r="K29" t="s">
        <v>26012</v>
      </c>
      <c r="L29">
        <v>191</v>
      </c>
      <c r="M29" t="s">
        <v>26118</v>
      </c>
      <c r="N29">
        <v>1</v>
      </c>
      <c r="Q29" t="s">
        <v>26119</v>
      </c>
      <c r="R29">
        <v>362.20420000000001</v>
      </c>
      <c r="S29" t="s">
        <v>10236</v>
      </c>
      <c r="T29" t="s">
        <v>30</v>
      </c>
      <c r="U29" t="s">
        <v>26094</v>
      </c>
      <c r="W29" t="s">
        <v>26009</v>
      </c>
    </row>
    <row r="30" spans="1:23" x14ac:dyDescent="0.35">
      <c r="A30">
        <v>165508</v>
      </c>
      <c r="B30" t="s">
        <v>26120</v>
      </c>
      <c r="C30" t="str">
        <f>"9780415131469"</f>
        <v>9780415131469</v>
      </c>
      <c r="D30" t="str">
        <f>"9780203130537"</f>
        <v>9780203130537</v>
      </c>
      <c r="E30" t="s">
        <v>26010</v>
      </c>
      <c r="F30" t="s">
        <v>35</v>
      </c>
      <c r="G30" t="s">
        <v>22174</v>
      </c>
      <c r="H30" t="s">
        <v>26011</v>
      </c>
      <c r="I30" s="26">
        <v>35425</v>
      </c>
      <c r="J30">
        <v>1997</v>
      </c>
      <c r="K30" t="s">
        <v>26012</v>
      </c>
      <c r="L30">
        <v>228</v>
      </c>
      <c r="M30" t="s">
        <v>26121</v>
      </c>
      <c r="N30">
        <v>1</v>
      </c>
      <c r="Q30" t="s">
        <v>26122</v>
      </c>
      <c r="R30">
        <v>618.92000189999999</v>
      </c>
      <c r="S30" t="s">
        <v>7743</v>
      </c>
      <c r="T30" t="s">
        <v>30</v>
      </c>
      <c r="U30" t="s">
        <v>26040</v>
      </c>
      <c r="W30" t="s">
        <v>26009</v>
      </c>
    </row>
    <row r="31" spans="1:23" x14ac:dyDescent="0.35">
      <c r="A31">
        <v>165536</v>
      </c>
      <c r="B31" t="s">
        <v>26123</v>
      </c>
      <c r="C31" t="str">
        <f>"9780415115780"</f>
        <v>9780415115780</v>
      </c>
      <c r="D31" t="str">
        <f>"9780203137161"</f>
        <v>9780203137161</v>
      </c>
      <c r="E31" t="s">
        <v>26010</v>
      </c>
      <c r="F31" t="s">
        <v>35</v>
      </c>
      <c r="G31" t="s">
        <v>22174</v>
      </c>
      <c r="H31" t="s">
        <v>26011</v>
      </c>
      <c r="I31" s="26">
        <v>35209</v>
      </c>
      <c r="J31">
        <v>1996</v>
      </c>
      <c r="K31" t="s">
        <v>660</v>
      </c>
      <c r="L31">
        <v>214</v>
      </c>
      <c r="M31" t="s">
        <v>26124</v>
      </c>
      <c r="N31">
        <v>1</v>
      </c>
      <c r="O31" t="s">
        <v>26125</v>
      </c>
      <c r="Q31" t="s">
        <v>26126</v>
      </c>
      <c r="R31">
        <v>613.04330000000004</v>
      </c>
      <c r="S31" t="s">
        <v>7449</v>
      </c>
      <c r="T31" t="s">
        <v>30</v>
      </c>
      <c r="U31" t="s">
        <v>26127</v>
      </c>
      <c r="W31" t="s">
        <v>26009</v>
      </c>
    </row>
    <row r="32" spans="1:23" x14ac:dyDescent="0.35">
      <c r="A32">
        <v>165547</v>
      </c>
      <c r="B32" t="s">
        <v>7901</v>
      </c>
      <c r="C32" t="str">
        <f>"9780415135450"</f>
        <v>9780415135450</v>
      </c>
      <c r="D32" t="str">
        <f>"9780203132364"</f>
        <v>9780203132364</v>
      </c>
      <c r="E32" t="s">
        <v>26010</v>
      </c>
      <c r="F32" t="s">
        <v>35</v>
      </c>
      <c r="G32" t="s">
        <v>26128</v>
      </c>
      <c r="H32" t="s">
        <v>26011</v>
      </c>
      <c r="I32" s="26">
        <v>35090</v>
      </c>
      <c r="J32">
        <v>1995</v>
      </c>
      <c r="K32" t="s">
        <v>26012</v>
      </c>
      <c r="L32">
        <v>227</v>
      </c>
      <c r="M32" t="s">
        <v>26129</v>
      </c>
      <c r="N32">
        <v>1</v>
      </c>
      <c r="Q32" t="s">
        <v>26130</v>
      </c>
      <c r="R32">
        <v>153.12299999999999</v>
      </c>
      <c r="S32" t="s">
        <v>8381</v>
      </c>
      <c r="T32" t="s">
        <v>30</v>
      </c>
      <c r="U32" t="s">
        <v>46</v>
      </c>
      <c r="W32" t="s">
        <v>26009</v>
      </c>
    </row>
    <row r="33" spans="1:23" x14ac:dyDescent="0.35">
      <c r="A33">
        <v>165553</v>
      </c>
      <c r="B33" t="s">
        <v>8507</v>
      </c>
      <c r="C33" t="str">
        <f>"9780415158145"</f>
        <v>9780415158145</v>
      </c>
      <c r="D33" t="str">
        <f>"9780203130414"</f>
        <v>9780203130414</v>
      </c>
      <c r="E33" t="s">
        <v>26010</v>
      </c>
      <c r="F33" t="s">
        <v>35</v>
      </c>
      <c r="G33" t="s">
        <v>22174</v>
      </c>
      <c r="H33" t="s">
        <v>26011</v>
      </c>
      <c r="I33" s="26">
        <v>35921</v>
      </c>
      <c r="J33">
        <v>1998</v>
      </c>
      <c r="K33" t="s">
        <v>26012</v>
      </c>
      <c r="L33">
        <v>179</v>
      </c>
      <c r="M33" t="s">
        <v>26131</v>
      </c>
      <c r="N33">
        <v>1</v>
      </c>
      <c r="O33" t="s">
        <v>26132</v>
      </c>
      <c r="Q33" t="s">
        <v>26133</v>
      </c>
      <c r="R33" t="s">
        <v>26134</v>
      </c>
      <c r="S33" t="s">
        <v>8504</v>
      </c>
      <c r="T33" t="s">
        <v>30</v>
      </c>
      <c r="U33" t="s">
        <v>26135</v>
      </c>
      <c r="W33" t="s">
        <v>26009</v>
      </c>
    </row>
    <row r="34" spans="1:23" x14ac:dyDescent="0.35">
      <c r="A34">
        <v>165567</v>
      </c>
      <c r="B34" t="s">
        <v>26136</v>
      </c>
      <c r="C34" t="str">
        <f>"9780415158794"</f>
        <v>9780415158794</v>
      </c>
      <c r="D34" t="str">
        <f>"9780203133965"</f>
        <v>9780203133965</v>
      </c>
      <c r="E34" t="s">
        <v>26010</v>
      </c>
      <c r="F34" t="s">
        <v>35</v>
      </c>
      <c r="G34" t="s">
        <v>22174</v>
      </c>
      <c r="H34" t="s">
        <v>26004</v>
      </c>
      <c r="I34" s="26">
        <v>35846</v>
      </c>
      <c r="J34">
        <v>1998</v>
      </c>
      <c r="K34" t="s">
        <v>26012</v>
      </c>
      <c r="L34">
        <v>231</v>
      </c>
      <c r="M34" t="s">
        <v>26137</v>
      </c>
      <c r="N34">
        <v>1</v>
      </c>
      <c r="Q34" t="s">
        <v>26138</v>
      </c>
      <c r="R34" t="s">
        <v>26139</v>
      </c>
      <c r="S34" t="s">
        <v>26140</v>
      </c>
      <c r="T34" t="s">
        <v>30</v>
      </c>
      <c r="U34" t="s">
        <v>26141</v>
      </c>
      <c r="W34" t="s">
        <v>26009</v>
      </c>
    </row>
    <row r="35" spans="1:23" x14ac:dyDescent="0.35">
      <c r="A35">
        <v>165570</v>
      </c>
      <c r="B35" t="s">
        <v>26142</v>
      </c>
      <c r="C35" t="str">
        <f>"9780415186568"</f>
        <v>9780415186568</v>
      </c>
      <c r="D35" t="str">
        <f>"9780203132975"</f>
        <v>9780203132975</v>
      </c>
      <c r="E35" t="s">
        <v>26010</v>
      </c>
      <c r="F35" t="s">
        <v>35</v>
      </c>
      <c r="G35" t="s">
        <v>22174</v>
      </c>
      <c r="H35" t="s">
        <v>26011</v>
      </c>
      <c r="I35" s="26">
        <v>36434</v>
      </c>
      <c r="J35">
        <v>1999</v>
      </c>
      <c r="K35" t="s">
        <v>26012</v>
      </c>
      <c r="L35">
        <v>191</v>
      </c>
      <c r="M35" t="s">
        <v>26143</v>
      </c>
      <c r="N35">
        <v>1</v>
      </c>
      <c r="O35" t="s">
        <v>26144</v>
      </c>
      <c r="Q35" t="s">
        <v>26145</v>
      </c>
      <c r="R35">
        <v>303.32</v>
      </c>
      <c r="S35" t="s">
        <v>8225</v>
      </c>
      <c r="T35" t="s">
        <v>30</v>
      </c>
      <c r="U35" t="s">
        <v>26044</v>
      </c>
      <c r="W35" t="s">
        <v>26009</v>
      </c>
    </row>
    <row r="36" spans="1:23" x14ac:dyDescent="0.35">
      <c r="A36">
        <v>165572</v>
      </c>
      <c r="B36" t="s">
        <v>6831</v>
      </c>
      <c r="C36" t="str">
        <f>"9780415186582"</f>
        <v>9780415186582</v>
      </c>
      <c r="D36" t="str">
        <f>"9780203133415"</f>
        <v>9780203133415</v>
      </c>
      <c r="E36" t="s">
        <v>26010</v>
      </c>
      <c r="F36" t="s">
        <v>35</v>
      </c>
      <c r="G36" t="s">
        <v>22174</v>
      </c>
      <c r="H36" t="s">
        <v>26011</v>
      </c>
      <c r="I36" s="26">
        <v>36434</v>
      </c>
      <c r="J36">
        <v>1999</v>
      </c>
      <c r="K36" t="s">
        <v>26012</v>
      </c>
      <c r="L36">
        <v>143</v>
      </c>
      <c r="M36" t="s">
        <v>26146</v>
      </c>
      <c r="N36">
        <v>1</v>
      </c>
      <c r="O36" t="s">
        <v>26144</v>
      </c>
      <c r="Q36" t="s">
        <v>26147</v>
      </c>
      <c r="R36" t="s">
        <v>26148</v>
      </c>
      <c r="S36" t="s">
        <v>9882</v>
      </c>
      <c r="T36" t="s">
        <v>30</v>
      </c>
      <c r="U36" t="s">
        <v>26044</v>
      </c>
      <c r="W36" t="s">
        <v>26009</v>
      </c>
    </row>
    <row r="37" spans="1:23" x14ac:dyDescent="0.35">
      <c r="A37">
        <v>165573</v>
      </c>
      <c r="B37" t="s">
        <v>10027</v>
      </c>
      <c r="C37" t="str">
        <f>"9780415188708"</f>
        <v>9780415188708</v>
      </c>
      <c r="D37" t="str">
        <f>"9780203136270"</f>
        <v>9780203136270</v>
      </c>
      <c r="E37" t="s">
        <v>26010</v>
      </c>
      <c r="F37" t="s">
        <v>35</v>
      </c>
      <c r="G37" t="s">
        <v>22174</v>
      </c>
      <c r="H37" t="s">
        <v>26011</v>
      </c>
      <c r="I37" s="26">
        <v>36332</v>
      </c>
      <c r="J37">
        <v>1999</v>
      </c>
      <c r="K37" t="s">
        <v>26012</v>
      </c>
      <c r="L37">
        <v>199</v>
      </c>
      <c r="M37" t="s">
        <v>26149</v>
      </c>
      <c r="N37">
        <v>1</v>
      </c>
      <c r="O37" t="s">
        <v>26144</v>
      </c>
      <c r="Q37" t="s">
        <v>26150</v>
      </c>
      <c r="R37">
        <v>616.89139999999998</v>
      </c>
      <c r="S37" t="s">
        <v>7648</v>
      </c>
      <c r="T37" t="s">
        <v>30</v>
      </c>
      <c r="U37" t="s">
        <v>26019</v>
      </c>
      <c r="W37" t="s">
        <v>26009</v>
      </c>
    </row>
    <row r="38" spans="1:23" x14ac:dyDescent="0.35">
      <c r="A38">
        <v>165578</v>
      </c>
      <c r="B38" t="s">
        <v>6254</v>
      </c>
      <c r="C38" t="str">
        <f>"9780415192705"</f>
        <v>9780415192705</v>
      </c>
      <c r="D38" t="str">
        <f>"9780203136782"</f>
        <v>9780203136782</v>
      </c>
      <c r="E38" t="s">
        <v>26010</v>
      </c>
      <c r="F38" t="s">
        <v>35</v>
      </c>
      <c r="G38" t="s">
        <v>26128</v>
      </c>
      <c r="H38" t="s">
        <v>26011</v>
      </c>
      <c r="I38" s="26">
        <v>36332</v>
      </c>
      <c r="J38">
        <v>1999</v>
      </c>
      <c r="K38" t="s">
        <v>26012</v>
      </c>
      <c r="L38">
        <v>191</v>
      </c>
      <c r="M38" t="s">
        <v>26151</v>
      </c>
      <c r="N38">
        <v>1</v>
      </c>
      <c r="O38" t="s">
        <v>26144</v>
      </c>
      <c r="Q38" t="s">
        <v>26152</v>
      </c>
      <c r="R38">
        <v>616.89</v>
      </c>
      <c r="S38" t="s">
        <v>8072</v>
      </c>
      <c r="T38" t="s">
        <v>30</v>
      </c>
      <c r="U38" t="s">
        <v>26019</v>
      </c>
      <c r="W38" t="s">
        <v>26009</v>
      </c>
    </row>
    <row r="39" spans="1:23" x14ac:dyDescent="0.35">
      <c r="A39">
        <v>165582</v>
      </c>
      <c r="B39" t="s">
        <v>7969</v>
      </c>
      <c r="C39" t="str">
        <f>"9780415194969"</f>
        <v>9780415194969</v>
      </c>
      <c r="D39" t="str">
        <f>"9780203135389"</f>
        <v>9780203135389</v>
      </c>
      <c r="E39" t="s">
        <v>26010</v>
      </c>
      <c r="F39" t="s">
        <v>35</v>
      </c>
      <c r="G39" t="s">
        <v>26128</v>
      </c>
      <c r="H39" t="s">
        <v>26011</v>
      </c>
      <c r="I39" s="26">
        <v>36266</v>
      </c>
      <c r="J39">
        <v>1999</v>
      </c>
      <c r="K39" t="s">
        <v>26012</v>
      </c>
      <c r="L39">
        <v>184</v>
      </c>
      <c r="M39" t="s">
        <v>26153</v>
      </c>
      <c r="N39">
        <v>1</v>
      </c>
      <c r="O39" t="s">
        <v>26144</v>
      </c>
      <c r="Q39" t="s">
        <v>26154</v>
      </c>
      <c r="R39">
        <v>150</v>
      </c>
      <c r="S39" t="s">
        <v>7970</v>
      </c>
      <c r="T39" t="s">
        <v>30</v>
      </c>
      <c r="U39" t="s">
        <v>46</v>
      </c>
      <c r="W39" t="s">
        <v>26009</v>
      </c>
    </row>
    <row r="40" spans="1:23" x14ac:dyDescent="0.35">
      <c r="A40">
        <v>165584</v>
      </c>
      <c r="B40" t="s">
        <v>10128</v>
      </c>
      <c r="C40" t="str">
        <f>"9780415192088"</f>
        <v>9780415192088</v>
      </c>
      <c r="D40" t="str">
        <f>"9780203197653"</f>
        <v>9780203197653</v>
      </c>
      <c r="E40" t="s">
        <v>26010</v>
      </c>
      <c r="F40" t="s">
        <v>35</v>
      </c>
      <c r="G40" t="s">
        <v>22174</v>
      </c>
      <c r="H40" t="s">
        <v>26011</v>
      </c>
      <c r="I40" s="26">
        <v>36389</v>
      </c>
      <c r="J40">
        <v>1999</v>
      </c>
      <c r="K40" t="s">
        <v>26012</v>
      </c>
      <c r="L40">
        <v>199</v>
      </c>
      <c r="M40" t="s">
        <v>26155</v>
      </c>
      <c r="N40">
        <v>1</v>
      </c>
      <c r="O40" t="s">
        <v>26156</v>
      </c>
      <c r="Q40" t="s">
        <v>26157</v>
      </c>
      <c r="R40">
        <v>809.93529999999998</v>
      </c>
      <c r="S40" t="s">
        <v>10129</v>
      </c>
      <c r="T40" t="s">
        <v>30</v>
      </c>
      <c r="U40" t="s">
        <v>26158</v>
      </c>
      <c r="W40" t="s">
        <v>26159</v>
      </c>
    </row>
    <row r="41" spans="1:23" x14ac:dyDescent="0.35">
      <c r="A41">
        <v>165590</v>
      </c>
      <c r="B41" t="s">
        <v>9586</v>
      </c>
      <c r="C41" t="str">
        <f>"9780415212991"</f>
        <v>9780415212991</v>
      </c>
      <c r="D41" t="str">
        <f>"9780203133200"</f>
        <v>9780203133200</v>
      </c>
      <c r="E41" t="s">
        <v>26010</v>
      </c>
      <c r="F41" t="s">
        <v>35</v>
      </c>
      <c r="G41" t="s">
        <v>22174</v>
      </c>
      <c r="H41" t="s">
        <v>26011</v>
      </c>
      <c r="I41" s="26">
        <v>36819</v>
      </c>
      <c r="J41">
        <v>2000</v>
      </c>
      <c r="K41" t="s">
        <v>26012</v>
      </c>
      <c r="L41">
        <v>209</v>
      </c>
      <c r="M41" t="s">
        <v>26160</v>
      </c>
      <c r="N41">
        <v>1</v>
      </c>
      <c r="O41" t="s">
        <v>26132</v>
      </c>
      <c r="Q41" t="s">
        <v>26161</v>
      </c>
      <c r="R41">
        <v>150</v>
      </c>
      <c r="S41" t="s">
        <v>46</v>
      </c>
      <c r="T41" t="s">
        <v>30</v>
      </c>
      <c r="U41" t="s">
        <v>46</v>
      </c>
      <c r="W41" t="s">
        <v>26009</v>
      </c>
    </row>
    <row r="42" spans="1:23" x14ac:dyDescent="0.35">
      <c r="A42">
        <v>165593</v>
      </c>
      <c r="B42" t="s">
        <v>6813</v>
      </c>
      <c r="C42" t="str">
        <f>"9780415217040"</f>
        <v>9780415217040</v>
      </c>
      <c r="D42" t="str">
        <f>"9780203136089"</f>
        <v>9780203136089</v>
      </c>
      <c r="E42" t="s">
        <v>26010</v>
      </c>
      <c r="F42" t="s">
        <v>35</v>
      </c>
      <c r="G42" t="s">
        <v>22174</v>
      </c>
      <c r="H42" t="s">
        <v>26004</v>
      </c>
      <c r="I42" s="26">
        <v>36819</v>
      </c>
      <c r="J42">
        <v>2000</v>
      </c>
      <c r="K42" t="s">
        <v>26012</v>
      </c>
      <c r="L42">
        <v>214</v>
      </c>
      <c r="M42" t="s">
        <v>26162</v>
      </c>
      <c r="N42">
        <v>1</v>
      </c>
      <c r="O42" t="s">
        <v>26144</v>
      </c>
      <c r="Q42" t="s">
        <v>26163</v>
      </c>
      <c r="R42" t="s">
        <v>26164</v>
      </c>
      <c r="S42" t="s">
        <v>26165</v>
      </c>
      <c r="T42" t="s">
        <v>30</v>
      </c>
      <c r="U42" t="s">
        <v>26044</v>
      </c>
      <c r="W42" t="s">
        <v>26009</v>
      </c>
    </row>
    <row r="43" spans="1:23" x14ac:dyDescent="0.35">
      <c r="A43">
        <v>165599</v>
      </c>
      <c r="B43" t="s">
        <v>26166</v>
      </c>
      <c r="C43" t="str">
        <f>"9780415231008"</f>
        <v>9780415231008</v>
      </c>
      <c r="D43" t="str">
        <f>"9780203130926"</f>
        <v>9780203130926</v>
      </c>
      <c r="E43" t="s">
        <v>26010</v>
      </c>
      <c r="F43" t="s">
        <v>35</v>
      </c>
      <c r="G43" t="s">
        <v>22174</v>
      </c>
      <c r="H43" t="s">
        <v>26011</v>
      </c>
      <c r="I43" s="26">
        <v>36678</v>
      </c>
      <c r="J43">
        <v>2000</v>
      </c>
      <c r="K43" t="s">
        <v>26012</v>
      </c>
      <c r="L43">
        <v>164</v>
      </c>
      <c r="M43" t="s">
        <v>26167</v>
      </c>
      <c r="N43">
        <v>1</v>
      </c>
      <c r="Q43" t="s">
        <v>26168</v>
      </c>
      <c r="R43" t="s">
        <v>26169</v>
      </c>
      <c r="S43" t="s">
        <v>8369</v>
      </c>
      <c r="T43" t="s">
        <v>30</v>
      </c>
      <c r="U43" t="s">
        <v>26170</v>
      </c>
      <c r="W43" t="s">
        <v>26009</v>
      </c>
    </row>
    <row r="44" spans="1:23" x14ac:dyDescent="0.35">
      <c r="A44">
        <v>165601</v>
      </c>
      <c r="B44" t="s">
        <v>26171</v>
      </c>
      <c r="C44" t="str">
        <f>"9780415184540"</f>
        <v>9780415184540</v>
      </c>
      <c r="D44" t="str">
        <f>"9780203136027"</f>
        <v>9780203136027</v>
      </c>
      <c r="E44" t="s">
        <v>26010</v>
      </c>
      <c r="F44" t="s">
        <v>35</v>
      </c>
      <c r="G44" t="s">
        <v>22174</v>
      </c>
      <c r="H44" t="s">
        <v>26011</v>
      </c>
      <c r="I44" s="26">
        <v>36816</v>
      </c>
      <c r="J44">
        <v>2000</v>
      </c>
      <c r="K44" t="s">
        <v>26012</v>
      </c>
      <c r="L44">
        <v>253</v>
      </c>
      <c r="M44" t="s">
        <v>26172</v>
      </c>
      <c r="N44">
        <v>1</v>
      </c>
      <c r="Q44" t="s">
        <v>26173</v>
      </c>
      <c r="R44">
        <v>610.73009999999999</v>
      </c>
      <c r="S44" t="s">
        <v>46</v>
      </c>
      <c r="T44" t="s">
        <v>30</v>
      </c>
      <c r="U44" t="s">
        <v>26174</v>
      </c>
      <c r="W44" t="s">
        <v>26009</v>
      </c>
    </row>
    <row r="45" spans="1:23" x14ac:dyDescent="0.35">
      <c r="A45">
        <v>165635</v>
      </c>
      <c r="B45" t="s">
        <v>26175</v>
      </c>
      <c r="C45" t="str">
        <f>"9780415230889"</f>
        <v>9780415230889</v>
      </c>
      <c r="D45" t="str">
        <f>"9780203136140"</f>
        <v>9780203136140</v>
      </c>
      <c r="E45" t="s">
        <v>26010</v>
      </c>
      <c r="F45" t="s">
        <v>35</v>
      </c>
      <c r="G45" t="s">
        <v>22174</v>
      </c>
      <c r="H45" t="s">
        <v>26011</v>
      </c>
      <c r="I45" s="26">
        <v>36804</v>
      </c>
      <c r="J45">
        <v>2000</v>
      </c>
      <c r="K45" t="s">
        <v>26012</v>
      </c>
      <c r="L45">
        <v>142</v>
      </c>
      <c r="M45" t="s">
        <v>26176</v>
      </c>
      <c r="N45">
        <v>1</v>
      </c>
      <c r="O45" t="s">
        <v>26177</v>
      </c>
      <c r="Q45" t="s">
        <v>26178</v>
      </c>
      <c r="R45">
        <v>371.54300000000001</v>
      </c>
      <c r="S45" t="s">
        <v>7671</v>
      </c>
      <c r="T45" t="s">
        <v>30</v>
      </c>
      <c r="U45" t="s">
        <v>26179</v>
      </c>
      <c r="W45" t="s">
        <v>26009</v>
      </c>
    </row>
    <row r="46" spans="1:23" x14ac:dyDescent="0.35">
      <c r="A46">
        <v>165657</v>
      </c>
      <c r="B46" t="s">
        <v>26180</v>
      </c>
      <c r="C46" t="str">
        <f>"9780415068437"</f>
        <v>9780415068437</v>
      </c>
      <c r="D46" t="str">
        <f>"9780203130834"</f>
        <v>9780203130834</v>
      </c>
      <c r="E46" t="s">
        <v>26010</v>
      </c>
      <c r="F46" t="s">
        <v>35</v>
      </c>
      <c r="G46" t="s">
        <v>22174</v>
      </c>
      <c r="H46" t="s">
        <v>26011</v>
      </c>
      <c r="I46" s="26">
        <v>34435</v>
      </c>
      <c r="J46">
        <v>1994</v>
      </c>
      <c r="K46" t="s">
        <v>26012</v>
      </c>
      <c r="L46">
        <v>164</v>
      </c>
      <c r="M46" t="s">
        <v>26181</v>
      </c>
      <c r="N46">
        <v>1</v>
      </c>
      <c r="Q46" t="s">
        <v>26182</v>
      </c>
      <c r="R46">
        <v>155.33199999999999</v>
      </c>
      <c r="S46" t="s">
        <v>26183</v>
      </c>
      <c r="T46" t="s">
        <v>30</v>
      </c>
      <c r="U46" t="s">
        <v>46</v>
      </c>
      <c r="W46" t="s">
        <v>26009</v>
      </c>
    </row>
    <row r="47" spans="1:23" x14ac:dyDescent="0.35">
      <c r="A47">
        <v>165661</v>
      </c>
      <c r="B47" t="s">
        <v>26184</v>
      </c>
      <c r="C47" t="str">
        <f>"9780415102186"</f>
        <v>9780415102186</v>
      </c>
      <c r="D47" t="str">
        <f>"9780203129883"</f>
        <v>9780203129883</v>
      </c>
      <c r="E47" t="s">
        <v>26010</v>
      </c>
      <c r="F47" t="s">
        <v>35</v>
      </c>
      <c r="G47" t="s">
        <v>22174</v>
      </c>
      <c r="H47" t="s">
        <v>26011</v>
      </c>
      <c r="I47" s="26">
        <v>34677</v>
      </c>
      <c r="J47">
        <v>1994</v>
      </c>
      <c r="K47" t="s">
        <v>26012</v>
      </c>
      <c r="L47">
        <v>272</v>
      </c>
      <c r="M47" t="s">
        <v>26185</v>
      </c>
      <c r="N47">
        <v>1</v>
      </c>
      <c r="Q47" t="s">
        <v>26186</v>
      </c>
      <c r="R47" t="s">
        <v>26187</v>
      </c>
      <c r="S47" t="s">
        <v>26188</v>
      </c>
      <c r="T47" t="s">
        <v>30</v>
      </c>
      <c r="U47" t="s">
        <v>46</v>
      </c>
      <c r="W47" t="s">
        <v>26009</v>
      </c>
    </row>
    <row r="48" spans="1:23" x14ac:dyDescent="0.35">
      <c r="A48">
        <v>165666</v>
      </c>
      <c r="B48" t="s">
        <v>26189</v>
      </c>
      <c r="C48" t="str">
        <f>"9780415122160"</f>
        <v>9780415122160</v>
      </c>
      <c r="D48" t="str">
        <f>"9780203132531"</f>
        <v>9780203132531</v>
      </c>
      <c r="E48" t="s">
        <v>26010</v>
      </c>
      <c r="F48" t="s">
        <v>35</v>
      </c>
      <c r="G48" t="s">
        <v>22174</v>
      </c>
      <c r="H48" t="s">
        <v>26011</v>
      </c>
      <c r="I48" s="26">
        <v>35018</v>
      </c>
      <c r="J48">
        <v>1995</v>
      </c>
      <c r="K48" t="s">
        <v>26012</v>
      </c>
      <c r="L48">
        <v>150</v>
      </c>
      <c r="M48" t="s">
        <v>26190</v>
      </c>
      <c r="N48">
        <v>1</v>
      </c>
      <c r="Q48" t="s">
        <v>26191</v>
      </c>
      <c r="R48" t="s">
        <v>26192</v>
      </c>
      <c r="S48" t="s">
        <v>26193</v>
      </c>
      <c r="T48" t="s">
        <v>30</v>
      </c>
      <c r="U48" t="s">
        <v>26019</v>
      </c>
      <c r="W48" t="s">
        <v>26009</v>
      </c>
    </row>
    <row r="49" spans="1:23" x14ac:dyDescent="0.35">
      <c r="A49">
        <v>165670</v>
      </c>
      <c r="B49" t="s">
        <v>9714</v>
      </c>
      <c r="C49" t="str">
        <f>"9780415144001"</f>
        <v>9780415144001</v>
      </c>
      <c r="D49" t="str">
        <f>"9780203130179"</f>
        <v>9780203130179</v>
      </c>
      <c r="E49" t="s">
        <v>26010</v>
      </c>
      <c r="F49" t="s">
        <v>35</v>
      </c>
      <c r="G49" t="s">
        <v>22174</v>
      </c>
      <c r="H49" t="s">
        <v>26011</v>
      </c>
      <c r="I49" s="26">
        <v>35376</v>
      </c>
      <c r="J49">
        <v>1996</v>
      </c>
      <c r="K49" t="s">
        <v>26012</v>
      </c>
      <c r="L49">
        <v>273</v>
      </c>
      <c r="M49" t="s">
        <v>26194</v>
      </c>
      <c r="N49">
        <v>1</v>
      </c>
      <c r="Q49" t="s">
        <v>26195</v>
      </c>
      <c r="R49" t="s">
        <v>26196</v>
      </c>
      <c r="S49" t="s">
        <v>9715</v>
      </c>
      <c r="T49" t="s">
        <v>30</v>
      </c>
      <c r="U49" t="s">
        <v>11247</v>
      </c>
      <c r="W49" t="s">
        <v>26009</v>
      </c>
    </row>
    <row r="50" spans="1:23" x14ac:dyDescent="0.35">
      <c r="A50">
        <v>165674</v>
      </c>
      <c r="B50" t="s">
        <v>26197</v>
      </c>
      <c r="C50" t="str">
        <f>"9780415155106"</f>
        <v>9780415155106</v>
      </c>
      <c r="D50" t="str">
        <f>"9780203131305"</f>
        <v>9780203131305</v>
      </c>
      <c r="E50" t="s">
        <v>26010</v>
      </c>
      <c r="F50" t="s">
        <v>35</v>
      </c>
      <c r="G50" t="s">
        <v>22174</v>
      </c>
      <c r="H50" t="s">
        <v>26011</v>
      </c>
      <c r="I50" s="26">
        <v>35691</v>
      </c>
      <c r="J50">
        <v>1997</v>
      </c>
      <c r="K50" t="s">
        <v>26012</v>
      </c>
      <c r="L50">
        <v>257</v>
      </c>
      <c r="M50" t="s">
        <v>26198</v>
      </c>
      <c r="N50">
        <v>1</v>
      </c>
      <c r="Q50" t="s">
        <v>26199</v>
      </c>
      <c r="R50" t="s">
        <v>26200</v>
      </c>
      <c r="S50" t="s">
        <v>7516</v>
      </c>
      <c r="T50" t="s">
        <v>30</v>
      </c>
      <c r="U50" t="s">
        <v>26044</v>
      </c>
      <c r="W50" t="s">
        <v>26009</v>
      </c>
    </row>
    <row r="51" spans="1:23" x14ac:dyDescent="0.35">
      <c r="A51">
        <v>165675</v>
      </c>
      <c r="B51" t="s">
        <v>9464</v>
      </c>
      <c r="C51" t="str">
        <f>"9780415188838"</f>
        <v>9780415188838</v>
      </c>
      <c r="D51" t="str">
        <f>"9780203130568"</f>
        <v>9780203130568</v>
      </c>
      <c r="E51" t="s">
        <v>26010</v>
      </c>
      <c r="F51" t="s">
        <v>35</v>
      </c>
      <c r="G51" t="s">
        <v>26201</v>
      </c>
      <c r="H51" t="s">
        <v>26004</v>
      </c>
      <c r="I51" s="26">
        <v>36350</v>
      </c>
      <c r="J51">
        <v>1999</v>
      </c>
      <c r="K51" t="s">
        <v>26012</v>
      </c>
      <c r="L51">
        <v>160</v>
      </c>
      <c r="M51" t="s">
        <v>26202</v>
      </c>
      <c r="N51">
        <v>1</v>
      </c>
      <c r="Q51" t="s">
        <v>26203</v>
      </c>
      <c r="R51">
        <v>158.30000000000001</v>
      </c>
      <c r="S51" t="s">
        <v>26204</v>
      </c>
      <c r="T51" t="s">
        <v>30</v>
      </c>
      <c r="U51" t="s">
        <v>46</v>
      </c>
      <c r="W51" t="s">
        <v>26009</v>
      </c>
    </row>
    <row r="52" spans="1:23" x14ac:dyDescent="0.35">
      <c r="A52">
        <v>165676</v>
      </c>
      <c r="B52" t="s">
        <v>26205</v>
      </c>
      <c r="C52" t="str">
        <f>"9780415188920"</f>
        <v>9780415188920</v>
      </c>
      <c r="D52" t="str">
        <f>"9780203130735"</f>
        <v>9780203130735</v>
      </c>
      <c r="E52" t="s">
        <v>26010</v>
      </c>
      <c r="F52" t="s">
        <v>35</v>
      </c>
      <c r="G52" t="s">
        <v>22174</v>
      </c>
      <c r="H52" t="s">
        <v>26011</v>
      </c>
      <c r="I52" s="26">
        <v>36549</v>
      </c>
      <c r="J52">
        <v>2002</v>
      </c>
      <c r="K52" t="s">
        <v>26012</v>
      </c>
      <c r="L52">
        <v>186</v>
      </c>
      <c r="M52" t="s">
        <v>26206</v>
      </c>
      <c r="N52">
        <v>1</v>
      </c>
      <c r="Q52" t="s">
        <v>26207</v>
      </c>
      <c r="R52">
        <v>616.89139999999998</v>
      </c>
      <c r="S52" t="s">
        <v>8725</v>
      </c>
      <c r="T52" t="s">
        <v>30</v>
      </c>
      <c r="U52" t="s">
        <v>26116</v>
      </c>
      <c r="W52" t="s">
        <v>26009</v>
      </c>
    </row>
    <row r="53" spans="1:23" x14ac:dyDescent="0.35">
      <c r="A53">
        <v>165677</v>
      </c>
      <c r="B53" t="s">
        <v>26208</v>
      </c>
      <c r="C53" t="str">
        <f>"9780415196277"</f>
        <v>9780415196277</v>
      </c>
      <c r="D53" t="str">
        <f>"9780203138625"</f>
        <v>9780203138625</v>
      </c>
      <c r="E53" t="s">
        <v>26010</v>
      </c>
      <c r="F53" t="s">
        <v>35</v>
      </c>
      <c r="G53" t="s">
        <v>22174</v>
      </c>
      <c r="H53" t="s">
        <v>26011</v>
      </c>
      <c r="I53" s="26">
        <v>36697</v>
      </c>
      <c r="J53">
        <v>2000</v>
      </c>
      <c r="K53" t="s">
        <v>26012</v>
      </c>
      <c r="L53">
        <v>294</v>
      </c>
      <c r="M53" t="s">
        <v>26209</v>
      </c>
      <c r="N53">
        <v>2</v>
      </c>
      <c r="Q53" t="s">
        <v>26210</v>
      </c>
      <c r="R53">
        <v>618.92858220000005</v>
      </c>
      <c r="S53" t="s">
        <v>10226</v>
      </c>
      <c r="T53" t="s">
        <v>30</v>
      </c>
      <c r="U53" t="s">
        <v>26019</v>
      </c>
      <c r="W53" t="s">
        <v>26009</v>
      </c>
    </row>
    <row r="54" spans="1:23" x14ac:dyDescent="0.35">
      <c r="A54">
        <v>165776</v>
      </c>
      <c r="B54" t="s">
        <v>26211</v>
      </c>
      <c r="C54" t="str">
        <f>"9780415098205"</f>
        <v>9780415098205</v>
      </c>
      <c r="D54" t="str">
        <f>"9780203204245"</f>
        <v>9780203204245</v>
      </c>
      <c r="E54" t="s">
        <v>26010</v>
      </c>
      <c r="F54" t="s">
        <v>35</v>
      </c>
      <c r="G54" t="s">
        <v>22174</v>
      </c>
      <c r="H54" t="s">
        <v>26011</v>
      </c>
      <c r="I54" s="26">
        <v>35046</v>
      </c>
      <c r="J54">
        <v>1995</v>
      </c>
      <c r="K54" t="s">
        <v>26012</v>
      </c>
      <c r="L54">
        <v>227</v>
      </c>
      <c r="M54" t="s">
        <v>26212</v>
      </c>
      <c r="N54">
        <v>1</v>
      </c>
      <c r="Q54" t="s">
        <v>26213</v>
      </c>
      <c r="R54" t="s">
        <v>26214</v>
      </c>
      <c r="S54" t="s">
        <v>26215</v>
      </c>
      <c r="T54" t="s">
        <v>30</v>
      </c>
      <c r="U54" t="s">
        <v>26135</v>
      </c>
      <c r="W54" t="s">
        <v>26009</v>
      </c>
    </row>
    <row r="55" spans="1:23" x14ac:dyDescent="0.35">
      <c r="A55">
        <v>165967</v>
      </c>
      <c r="B55" t="s">
        <v>8047</v>
      </c>
      <c r="C55" t="str">
        <f>"9781857288797"</f>
        <v>9781857288797</v>
      </c>
      <c r="D55" t="str">
        <f>"9780203129593"</f>
        <v>9780203129593</v>
      </c>
      <c r="E55" t="s">
        <v>26010</v>
      </c>
      <c r="F55" t="s">
        <v>35</v>
      </c>
      <c r="G55" t="s">
        <v>22174</v>
      </c>
      <c r="H55" t="s">
        <v>26011</v>
      </c>
      <c r="I55" s="26">
        <v>36636</v>
      </c>
      <c r="J55">
        <v>2000</v>
      </c>
      <c r="K55" t="s">
        <v>26012</v>
      </c>
      <c r="L55">
        <v>217</v>
      </c>
      <c r="M55" t="s">
        <v>26216</v>
      </c>
      <c r="N55">
        <v>1</v>
      </c>
      <c r="Q55" t="s">
        <v>26217</v>
      </c>
      <c r="R55" t="s">
        <v>26218</v>
      </c>
      <c r="S55" t="s">
        <v>6026</v>
      </c>
      <c r="T55" t="s">
        <v>30</v>
      </c>
      <c r="U55" t="s">
        <v>26019</v>
      </c>
      <c r="W55" t="s">
        <v>26009</v>
      </c>
    </row>
    <row r="56" spans="1:23" x14ac:dyDescent="0.35">
      <c r="A56">
        <v>166036</v>
      </c>
      <c r="B56" t="s">
        <v>26219</v>
      </c>
      <c r="C56" t="str">
        <f>"9780415192378"</f>
        <v>9780415192378</v>
      </c>
      <c r="D56" t="str">
        <f>"9780203006917"</f>
        <v>9780203006917</v>
      </c>
      <c r="E56" t="s">
        <v>26010</v>
      </c>
      <c r="F56" t="s">
        <v>35</v>
      </c>
      <c r="G56" t="s">
        <v>22174</v>
      </c>
      <c r="H56" t="s">
        <v>26011</v>
      </c>
      <c r="I56" s="26">
        <v>36461</v>
      </c>
      <c r="J56">
        <v>1999</v>
      </c>
      <c r="K56" t="s">
        <v>26012</v>
      </c>
      <c r="L56">
        <v>193</v>
      </c>
      <c r="M56" t="s">
        <v>26220</v>
      </c>
      <c r="N56">
        <v>1</v>
      </c>
      <c r="Q56" t="s">
        <v>26221</v>
      </c>
      <c r="R56">
        <v>307</v>
      </c>
      <c r="S56" t="s">
        <v>9853</v>
      </c>
      <c r="T56" t="s">
        <v>30</v>
      </c>
      <c r="U56" t="s">
        <v>26044</v>
      </c>
      <c r="W56" t="s">
        <v>26009</v>
      </c>
    </row>
    <row r="57" spans="1:23" x14ac:dyDescent="0.35">
      <c r="A57">
        <v>166051</v>
      </c>
      <c r="B57" t="s">
        <v>9173</v>
      </c>
      <c r="C57" t="str">
        <f>"9780415139106"</f>
        <v>9780415139106</v>
      </c>
      <c r="D57" t="str">
        <f>"9780203131015"</f>
        <v>9780203131015</v>
      </c>
      <c r="E57" t="s">
        <v>26010</v>
      </c>
      <c r="F57" t="s">
        <v>35</v>
      </c>
      <c r="G57" t="s">
        <v>22174</v>
      </c>
      <c r="H57" t="s">
        <v>26011</v>
      </c>
      <c r="I57" s="26">
        <v>35607</v>
      </c>
      <c r="J57">
        <v>1997</v>
      </c>
      <c r="K57" t="s">
        <v>26012</v>
      </c>
      <c r="L57">
        <v>211</v>
      </c>
      <c r="M57" t="s">
        <v>26222</v>
      </c>
      <c r="N57">
        <v>1</v>
      </c>
      <c r="Q57" t="s">
        <v>26223</v>
      </c>
      <c r="R57">
        <v>306.87430000000001</v>
      </c>
      <c r="S57" t="s">
        <v>9174</v>
      </c>
      <c r="T57" t="s">
        <v>30</v>
      </c>
      <c r="U57" t="s">
        <v>26044</v>
      </c>
      <c r="W57" t="s">
        <v>26009</v>
      </c>
    </row>
    <row r="58" spans="1:23" x14ac:dyDescent="0.35">
      <c r="A58">
        <v>166052</v>
      </c>
      <c r="B58" t="s">
        <v>26224</v>
      </c>
      <c r="C58" t="str">
        <f>"9780415165457"</f>
        <v>9780415165457</v>
      </c>
      <c r="D58" t="str">
        <f>"9780203131022"</f>
        <v>9780203131022</v>
      </c>
      <c r="E58" t="s">
        <v>26010</v>
      </c>
      <c r="F58" t="s">
        <v>35</v>
      </c>
      <c r="G58" t="s">
        <v>22174</v>
      </c>
      <c r="H58" t="s">
        <v>26011</v>
      </c>
      <c r="I58" s="26">
        <v>36069</v>
      </c>
      <c r="J58">
        <v>1998</v>
      </c>
      <c r="K58" t="s">
        <v>26012</v>
      </c>
      <c r="L58">
        <v>236</v>
      </c>
      <c r="M58" t="s">
        <v>26225</v>
      </c>
      <c r="N58">
        <v>1</v>
      </c>
      <c r="Q58" t="s">
        <v>26226</v>
      </c>
      <c r="R58" t="s">
        <v>26227</v>
      </c>
      <c r="S58" t="s">
        <v>152</v>
      </c>
      <c r="T58" t="s">
        <v>30</v>
      </c>
      <c r="U58" t="s">
        <v>26228</v>
      </c>
      <c r="W58" t="s">
        <v>26009</v>
      </c>
    </row>
    <row r="59" spans="1:23" x14ac:dyDescent="0.35">
      <c r="A59">
        <v>166053</v>
      </c>
      <c r="B59" t="s">
        <v>9015</v>
      </c>
      <c r="C59" t="str">
        <f>"9780415067683"</f>
        <v>9780415067683</v>
      </c>
      <c r="D59" t="str">
        <f>"9780203131046"</f>
        <v>9780203131046</v>
      </c>
      <c r="E59" t="s">
        <v>26010</v>
      </c>
      <c r="F59" t="s">
        <v>35</v>
      </c>
      <c r="G59" t="s">
        <v>26201</v>
      </c>
      <c r="H59" t="s">
        <v>26004</v>
      </c>
      <c r="I59" s="26">
        <v>33806</v>
      </c>
      <c r="J59">
        <v>1992</v>
      </c>
      <c r="K59" t="s">
        <v>26012</v>
      </c>
      <c r="L59">
        <v>225</v>
      </c>
      <c r="M59" t="s">
        <v>26229</v>
      </c>
      <c r="N59">
        <v>1</v>
      </c>
      <c r="Q59" t="s">
        <v>26230</v>
      </c>
      <c r="R59">
        <v>158.30000000000001</v>
      </c>
      <c r="S59" t="s">
        <v>26231</v>
      </c>
      <c r="T59" t="s">
        <v>30</v>
      </c>
      <c r="U59" t="s">
        <v>46</v>
      </c>
      <c r="W59" t="s">
        <v>26009</v>
      </c>
    </row>
    <row r="60" spans="1:23" x14ac:dyDescent="0.35">
      <c r="A60">
        <v>166054</v>
      </c>
      <c r="B60" t="s">
        <v>26232</v>
      </c>
      <c r="C60" t="str">
        <f>"9780415205061"</f>
        <v>9780415205061</v>
      </c>
      <c r="D60" t="str">
        <f>"9780203131602"</f>
        <v>9780203131602</v>
      </c>
      <c r="E60" t="s">
        <v>26010</v>
      </c>
      <c r="F60" t="s">
        <v>35</v>
      </c>
      <c r="G60" t="s">
        <v>22174</v>
      </c>
      <c r="H60" t="s">
        <v>26011</v>
      </c>
      <c r="I60" s="26">
        <v>36699</v>
      </c>
      <c r="J60">
        <v>2002</v>
      </c>
      <c r="K60" t="s">
        <v>26012</v>
      </c>
      <c r="L60">
        <v>235</v>
      </c>
      <c r="M60" t="s">
        <v>26233</v>
      </c>
      <c r="N60">
        <v>1</v>
      </c>
      <c r="Q60" t="s">
        <v>26234</v>
      </c>
      <c r="R60" t="s">
        <v>26235</v>
      </c>
      <c r="S60" t="s">
        <v>8343</v>
      </c>
      <c r="T60" t="s">
        <v>30</v>
      </c>
      <c r="U60" t="s">
        <v>26236</v>
      </c>
      <c r="W60" t="s">
        <v>26009</v>
      </c>
    </row>
    <row r="61" spans="1:23" x14ac:dyDescent="0.35">
      <c r="A61">
        <v>166056</v>
      </c>
      <c r="B61" t="s">
        <v>26237</v>
      </c>
      <c r="C61" t="str">
        <f>"9780415150705"</f>
        <v>9780415150705</v>
      </c>
      <c r="D61" t="str">
        <f>"9780203132319"</f>
        <v>9780203132319</v>
      </c>
      <c r="E61" t="s">
        <v>26010</v>
      </c>
      <c r="F61" t="s">
        <v>35</v>
      </c>
      <c r="G61" t="s">
        <v>22174</v>
      </c>
      <c r="H61" t="s">
        <v>26011</v>
      </c>
      <c r="I61" s="26">
        <v>35740</v>
      </c>
      <c r="J61">
        <v>1997</v>
      </c>
      <c r="K61" t="s">
        <v>26012</v>
      </c>
      <c r="L61">
        <v>256</v>
      </c>
      <c r="M61" t="s">
        <v>26238</v>
      </c>
      <c r="N61">
        <v>1</v>
      </c>
      <c r="Q61" t="s">
        <v>26239</v>
      </c>
      <c r="R61">
        <v>616.89166</v>
      </c>
      <c r="S61" t="s">
        <v>10032</v>
      </c>
      <c r="T61" t="s">
        <v>30</v>
      </c>
      <c r="U61" t="s">
        <v>26116</v>
      </c>
      <c r="W61" t="s">
        <v>26009</v>
      </c>
    </row>
    <row r="62" spans="1:23" x14ac:dyDescent="0.35">
      <c r="A62">
        <v>166062</v>
      </c>
      <c r="B62" t="s">
        <v>26240</v>
      </c>
      <c r="C62" t="str">
        <f>"9780415116121"</f>
        <v>9780415116121</v>
      </c>
      <c r="D62" t="str">
        <f>"9780203135129"</f>
        <v>9780203135129</v>
      </c>
      <c r="E62" t="s">
        <v>26010</v>
      </c>
      <c r="F62" t="s">
        <v>35</v>
      </c>
      <c r="G62" t="s">
        <v>26201</v>
      </c>
      <c r="H62" t="s">
        <v>26004</v>
      </c>
      <c r="I62" s="26">
        <v>35129</v>
      </c>
      <c r="J62">
        <v>1995</v>
      </c>
      <c r="K62" t="s">
        <v>26012</v>
      </c>
      <c r="L62">
        <v>317</v>
      </c>
      <c r="M62" t="s">
        <v>26241</v>
      </c>
      <c r="N62">
        <v>1</v>
      </c>
      <c r="Q62" t="s">
        <v>26242</v>
      </c>
      <c r="R62" t="s">
        <v>26243</v>
      </c>
      <c r="S62" t="s">
        <v>26244</v>
      </c>
      <c r="T62" t="s">
        <v>30</v>
      </c>
      <c r="U62" t="s">
        <v>26245</v>
      </c>
      <c r="W62" t="s">
        <v>26009</v>
      </c>
    </row>
    <row r="63" spans="1:23" x14ac:dyDescent="0.35">
      <c r="A63">
        <v>166063</v>
      </c>
      <c r="B63" t="s">
        <v>26246</v>
      </c>
      <c r="C63" t="str">
        <f>"9780415196291"</f>
        <v>9780415196291</v>
      </c>
      <c r="D63" t="str">
        <f>"9780203135150"</f>
        <v>9780203135150</v>
      </c>
      <c r="E63" t="s">
        <v>26010</v>
      </c>
      <c r="F63" t="s">
        <v>35</v>
      </c>
      <c r="G63" t="s">
        <v>22174</v>
      </c>
      <c r="H63" t="s">
        <v>26011</v>
      </c>
      <c r="I63" s="26">
        <v>36791</v>
      </c>
      <c r="J63">
        <v>2000</v>
      </c>
      <c r="K63" t="s">
        <v>26012</v>
      </c>
      <c r="L63">
        <v>192</v>
      </c>
      <c r="M63" t="s">
        <v>26247</v>
      </c>
      <c r="N63">
        <v>1</v>
      </c>
      <c r="Q63" t="s">
        <v>26248</v>
      </c>
      <c r="R63" t="s">
        <v>26249</v>
      </c>
      <c r="S63" t="s">
        <v>9271</v>
      </c>
      <c r="T63" t="s">
        <v>30</v>
      </c>
      <c r="U63" t="s">
        <v>26250</v>
      </c>
      <c r="W63" t="s">
        <v>26009</v>
      </c>
    </row>
    <row r="64" spans="1:23" x14ac:dyDescent="0.35">
      <c r="A64">
        <v>166064</v>
      </c>
      <c r="B64" t="s">
        <v>26251</v>
      </c>
      <c r="C64" t="str">
        <f>"9780415172585"</f>
        <v>9780415172585</v>
      </c>
      <c r="D64" t="str">
        <f>"9780203135341"</f>
        <v>9780203135341</v>
      </c>
      <c r="E64" t="s">
        <v>26010</v>
      </c>
      <c r="F64" t="s">
        <v>35</v>
      </c>
      <c r="G64" t="s">
        <v>22174</v>
      </c>
      <c r="H64" t="s">
        <v>26011</v>
      </c>
      <c r="I64" s="26">
        <v>36349</v>
      </c>
      <c r="J64">
        <v>1999</v>
      </c>
      <c r="K64" t="s">
        <v>26012</v>
      </c>
      <c r="L64">
        <v>473</v>
      </c>
      <c r="M64" t="s">
        <v>26252</v>
      </c>
      <c r="N64">
        <v>1</v>
      </c>
      <c r="Q64" t="s">
        <v>26253</v>
      </c>
      <c r="R64">
        <v>618.92891399999996</v>
      </c>
      <c r="S64" t="s">
        <v>8589</v>
      </c>
      <c r="T64" t="s">
        <v>30</v>
      </c>
      <c r="U64" t="s">
        <v>26116</v>
      </c>
      <c r="W64" t="s">
        <v>26009</v>
      </c>
    </row>
    <row r="65" spans="1:23" x14ac:dyDescent="0.35">
      <c r="A65">
        <v>166066</v>
      </c>
      <c r="B65" t="s">
        <v>26254</v>
      </c>
      <c r="C65" t="str">
        <f>"9780415171977"</f>
        <v>9780415171977</v>
      </c>
      <c r="D65" t="str">
        <f>"9780203137512"</f>
        <v>9780203137512</v>
      </c>
      <c r="E65" t="s">
        <v>26010</v>
      </c>
      <c r="F65" t="s">
        <v>35</v>
      </c>
      <c r="G65" t="s">
        <v>22174</v>
      </c>
      <c r="H65" t="s">
        <v>26011</v>
      </c>
      <c r="I65" s="26">
        <v>36235</v>
      </c>
      <c r="J65">
        <v>1999</v>
      </c>
      <c r="K65" t="s">
        <v>26012</v>
      </c>
      <c r="L65">
        <v>252</v>
      </c>
      <c r="M65" t="s">
        <v>26255</v>
      </c>
      <c r="N65">
        <v>1</v>
      </c>
      <c r="Q65" t="s">
        <v>26256</v>
      </c>
      <c r="R65">
        <v>362.7</v>
      </c>
      <c r="S65" t="s">
        <v>9244</v>
      </c>
      <c r="T65" t="s">
        <v>30</v>
      </c>
      <c r="U65" t="s">
        <v>26044</v>
      </c>
      <c r="W65" t="s">
        <v>26009</v>
      </c>
    </row>
    <row r="66" spans="1:23" x14ac:dyDescent="0.35">
      <c r="A66">
        <v>166079</v>
      </c>
      <c r="B66" t="s">
        <v>26257</v>
      </c>
      <c r="C66" t="str">
        <f>"9780415153638"</f>
        <v>9780415153638</v>
      </c>
      <c r="D66" t="str">
        <f>"9780203135327"</f>
        <v>9780203135327</v>
      </c>
      <c r="E66" t="s">
        <v>26010</v>
      </c>
      <c r="F66" t="s">
        <v>35</v>
      </c>
      <c r="G66" t="s">
        <v>22174</v>
      </c>
      <c r="H66" t="s">
        <v>26004</v>
      </c>
      <c r="I66" s="26">
        <v>35775</v>
      </c>
      <c r="J66">
        <v>1997</v>
      </c>
      <c r="K66" t="s">
        <v>26012</v>
      </c>
      <c r="L66">
        <v>267</v>
      </c>
      <c r="M66" t="s">
        <v>26258</v>
      </c>
      <c r="N66">
        <v>1</v>
      </c>
      <c r="Q66" t="s">
        <v>26259</v>
      </c>
      <c r="R66">
        <v>306.39999999999998</v>
      </c>
      <c r="S66" t="s">
        <v>26260</v>
      </c>
      <c r="T66" t="s">
        <v>30</v>
      </c>
      <c r="U66" t="s">
        <v>26044</v>
      </c>
      <c r="W66" t="s">
        <v>26009</v>
      </c>
    </row>
    <row r="67" spans="1:23" x14ac:dyDescent="0.35">
      <c r="A67">
        <v>166083</v>
      </c>
      <c r="B67" t="s">
        <v>26261</v>
      </c>
      <c r="C67" t="str">
        <f>"9780415117890"</f>
        <v>9780415117890</v>
      </c>
      <c r="D67" t="str">
        <f>"9780203138151"</f>
        <v>9780203138151</v>
      </c>
      <c r="E67" t="s">
        <v>26010</v>
      </c>
      <c r="F67" t="s">
        <v>35</v>
      </c>
      <c r="G67" t="s">
        <v>26201</v>
      </c>
      <c r="H67" t="s">
        <v>26004</v>
      </c>
      <c r="I67" s="26">
        <v>35051</v>
      </c>
      <c r="J67">
        <v>1995</v>
      </c>
      <c r="K67" t="s">
        <v>26012</v>
      </c>
      <c r="L67">
        <v>303</v>
      </c>
      <c r="M67" t="s">
        <v>26262</v>
      </c>
      <c r="N67">
        <v>1</v>
      </c>
      <c r="Q67" t="s">
        <v>26263</v>
      </c>
      <c r="R67" t="s">
        <v>26264</v>
      </c>
      <c r="S67" t="s">
        <v>26265</v>
      </c>
      <c r="T67" t="s">
        <v>30</v>
      </c>
      <c r="U67" t="s">
        <v>46</v>
      </c>
      <c r="W67" t="s">
        <v>26009</v>
      </c>
    </row>
    <row r="68" spans="1:23" x14ac:dyDescent="0.35">
      <c r="A68">
        <v>166087</v>
      </c>
      <c r="B68" t="s">
        <v>26266</v>
      </c>
      <c r="C68" t="str">
        <f>"9780415160346"</f>
        <v>9780415160346</v>
      </c>
      <c r="D68" t="str">
        <f>"9780203019665"</f>
        <v>9780203019665</v>
      </c>
      <c r="E68" t="s">
        <v>26010</v>
      </c>
      <c r="F68" t="s">
        <v>35</v>
      </c>
      <c r="G68" t="s">
        <v>26201</v>
      </c>
      <c r="H68" t="s">
        <v>26004</v>
      </c>
      <c r="I68" s="26">
        <v>36353</v>
      </c>
      <c r="J68">
        <v>1999</v>
      </c>
      <c r="K68" t="s">
        <v>26012</v>
      </c>
      <c r="L68">
        <v>160</v>
      </c>
      <c r="M68" t="s">
        <v>26267</v>
      </c>
      <c r="N68">
        <v>2</v>
      </c>
      <c r="Q68" t="s">
        <v>26268</v>
      </c>
      <c r="R68">
        <v>618.92898200000002</v>
      </c>
      <c r="S68" t="s">
        <v>26269</v>
      </c>
      <c r="T68" t="s">
        <v>30</v>
      </c>
      <c r="U68" t="s">
        <v>26116</v>
      </c>
      <c r="W68" t="s">
        <v>26009</v>
      </c>
    </row>
    <row r="69" spans="1:23" x14ac:dyDescent="0.35">
      <c r="A69">
        <v>166134</v>
      </c>
      <c r="B69" t="s">
        <v>26270</v>
      </c>
      <c r="C69" t="str">
        <f>"9780415078207"</f>
        <v>9780415078207</v>
      </c>
      <c r="D69" t="str">
        <f>"9780203181539"</f>
        <v>9780203181539</v>
      </c>
      <c r="E69" t="s">
        <v>26010</v>
      </c>
      <c r="F69" t="s">
        <v>35</v>
      </c>
      <c r="G69" t="s">
        <v>22174</v>
      </c>
      <c r="H69" t="s">
        <v>26011</v>
      </c>
      <c r="I69" s="26">
        <v>33863</v>
      </c>
      <c r="J69">
        <v>1992</v>
      </c>
      <c r="K69" t="s">
        <v>26012</v>
      </c>
      <c r="L69">
        <v>257</v>
      </c>
      <c r="M69" t="s">
        <v>26271</v>
      </c>
      <c r="N69">
        <v>1</v>
      </c>
      <c r="Q69" t="s">
        <v>26272</v>
      </c>
      <c r="R69">
        <v>302.23079999999999</v>
      </c>
      <c r="S69" t="s">
        <v>26273</v>
      </c>
      <c r="T69" t="s">
        <v>30</v>
      </c>
      <c r="U69" t="s">
        <v>26044</v>
      </c>
      <c r="W69" t="s">
        <v>26009</v>
      </c>
    </row>
    <row r="70" spans="1:23" x14ac:dyDescent="0.35">
      <c r="A70">
        <v>166340</v>
      </c>
      <c r="B70" t="s">
        <v>26274</v>
      </c>
      <c r="C70" t="str">
        <f>"9780415035439"</f>
        <v>9780415035439</v>
      </c>
      <c r="D70" t="str">
        <f>"9780203405499"</f>
        <v>9780203405499</v>
      </c>
      <c r="E70" t="s">
        <v>26010</v>
      </c>
      <c r="F70" t="s">
        <v>35</v>
      </c>
      <c r="G70" t="s">
        <v>26128</v>
      </c>
      <c r="H70" t="s">
        <v>26011</v>
      </c>
      <c r="I70" s="26">
        <v>34936</v>
      </c>
      <c r="J70">
        <v>1995</v>
      </c>
      <c r="K70" t="s">
        <v>26012</v>
      </c>
      <c r="L70">
        <v>212</v>
      </c>
      <c r="M70" t="s">
        <v>26275</v>
      </c>
      <c r="N70">
        <v>1</v>
      </c>
      <c r="O70" t="s">
        <v>26276</v>
      </c>
      <c r="R70" t="s">
        <v>26277</v>
      </c>
      <c r="S70" t="s">
        <v>26278</v>
      </c>
      <c r="T70" t="s">
        <v>30</v>
      </c>
      <c r="U70" t="s">
        <v>46</v>
      </c>
      <c r="W70" t="s">
        <v>26009</v>
      </c>
    </row>
    <row r="71" spans="1:23" x14ac:dyDescent="0.35">
      <c r="A71">
        <v>166414</v>
      </c>
      <c r="B71" t="s">
        <v>9490</v>
      </c>
      <c r="C71" t="str">
        <f>"9780415048934"</f>
        <v>9780415048934</v>
      </c>
      <c r="D71" t="str">
        <f>"9781134811410"</f>
        <v>9781134811410</v>
      </c>
      <c r="E71" t="s">
        <v>26010</v>
      </c>
      <c r="F71" t="s">
        <v>35</v>
      </c>
      <c r="G71" t="s">
        <v>26128</v>
      </c>
      <c r="H71" t="s">
        <v>26011</v>
      </c>
      <c r="I71" s="26">
        <v>33647</v>
      </c>
      <c r="J71">
        <v>2004</v>
      </c>
      <c r="K71" t="s">
        <v>26012</v>
      </c>
      <c r="L71">
        <v>235</v>
      </c>
      <c r="M71" t="s">
        <v>26279</v>
      </c>
      <c r="N71">
        <v>1</v>
      </c>
      <c r="Q71" t="s">
        <v>26280</v>
      </c>
      <c r="R71">
        <v>616.89</v>
      </c>
      <c r="S71" t="s">
        <v>26281</v>
      </c>
      <c r="T71" t="s">
        <v>30</v>
      </c>
      <c r="U71" t="s">
        <v>26282</v>
      </c>
      <c r="W71" t="s">
        <v>26009</v>
      </c>
    </row>
    <row r="72" spans="1:23" x14ac:dyDescent="0.35">
      <c r="A72">
        <v>166422</v>
      </c>
      <c r="B72" t="s">
        <v>26283</v>
      </c>
      <c r="C72" t="str">
        <f>"9780415132268"</f>
        <v>9780415132268</v>
      </c>
      <c r="D72" t="str">
        <f>"9780203435458"</f>
        <v>9780203435458</v>
      </c>
      <c r="E72" t="s">
        <v>26010</v>
      </c>
      <c r="F72" t="s">
        <v>35</v>
      </c>
      <c r="G72" t="s">
        <v>26128</v>
      </c>
      <c r="H72" t="s">
        <v>26011</v>
      </c>
      <c r="I72" s="26">
        <v>35051</v>
      </c>
      <c r="J72">
        <v>1995</v>
      </c>
      <c r="K72" t="s">
        <v>26012</v>
      </c>
      <c r="L72">
        <v>176</v>
      </c>
      <c r="M72" t="s">
        <v>26284</v>
      </c>
      <c r="N72">
        <v>1</v>
      </c>
      <c r="R72">
        <v>153</v>
      </c>
      <c r="S72" t="s">
        <v>26285</v>
      </c>
      <c r="T72" t="s">
        <v>30</v>
      </c>
      <c r="U72" t="s">
        <v>46</v>
      </c>
      <c r="W72" t="s">
        <v>26009</v>
      </c>
    </row>
    <row r="73" spans="1:23" x14ac:dyDescent="0.35">
      <c r="A73">
        <v>166433</v>
      </c>
      <c r="B73" t="s">
        <v>8503</v>
      </c>
      <c r="C73" t="str">
        <f>"9780415153942"</f>
        <v>9780415153942</v>
      </c>
      <c r="D73" t="str">
        <f>"9780203443118"</f>
        <v>9780203443118</v>
      </c>
      <c r="E73" t="s">
        <v>26010</v>
      </c>
      <c r="F73" t="s">
        <v>35</v>
      </c>
      <c r="G73" t="s">
        <v>22174</v>
      </c>
      <c r="H73" t="s">
        <v>26011</v>
      </c>
      <c r="I73" s="26">
        <v>35937</v>
      </c>
      <c r="J73">
        <v>1998</v>
      </c>
      <c r="K73" t="s">
        <v>26012</v>
      </c>
      <c r="L73">
        <v>208</v>
      </c>
      <c r="M73" t="s">
        <v>26286</v>
      </c>
      <c r="N73">
        <v>1</v>
      </c>
      <c r="Q73" t="s">
        <v>26287</v>
      </c>
      <c r="R73" t="s">
        <v>26288</v>
      </c>
      <c r="S73" t="s">
        <v>8504</v>
      </c>
      <c r="T73" t="s">
        <v>30</v>
      </c>
      <c r="U73" t="s">
        <v>26044</v>
      </c>
      <c r="W73" t="s">
        <v>26009</v>
      </c>
    </row>
    <row r="74" spans="1:23" x14ac:dyDescent="0.35">
      <c r="A74">
        <v>166442</v>
      </c>
      <c r="B74" t="s">
        <v>26289</v>
      </c>
      <c r="C74" t="str">
        <f>"9780415187923"</f>
        <v>9780415187923</v>
      </c>
      <c r="D74" t="str">
        <f>"9780203446751"</f>
        <v>9780203446751</v>
      </c>
      <c r="E74" t="s">
        <v>26010</v>
      </c>
      <c r="F74" t="s">
        <v>35</v>
      </c>
      <c r="G74" t="s">
        <v>22174</v>
      </c>
      <c r="H74" t="s">
        <v>26004</v>
      </c>
      <c r="I74" s="26">
        <v>36690</v>
      </c>
      <c r="J74">
        <v>2000</v>
      </c>
      <c r="K74" t="s">
        <v>26012</v>
      </c>
      <c r="L74">
        <v>268</v>
      </c>
      <c r="M74" t="s">
        <v>26290</v>
      </c>
      <c r="N74">
        <v>1</v>
      </c>
      <c r="Q74" t="s">
        <v>26291</v>
      </c>
      <c r="R74">
        <v>158.221</v>
      </c>
      <c r="S74" t="s">
        <v>26292</v>
      </c>
      <c r="T74" t="s">
        <v>30</v>
      </c>
      <c r="U74" t="s">
        <v>46</v>
      </c>
      <c r="W74" t="s">
        <v>26009</v>
      </c>
    </row>
    <row r="75" spans="1:23" x14ac:dyDescent="0.35">
      <c r="A75">
        <v>166443</v>
      </c>
      <c r="B75" t="s">
        <v>9617</v>
      </c>
      <c r="C75" t="str">
        <f>"9780415165150"</f>
        <v>9780415165150</v>
      </c>
      <c r="D75" t="str">
        <f>"9780203446928"</f>
        <v>9780203446928</v>
      </c>
      <c r="E75" t="s">
        <v>26010</v>
      </c>
      <c r="F75" t="s">
        <v>35</v>
      </c>
      <c r="G75" t="s">
        <v>22174</v>
      </c>
      <c r="H75" t="s">
        <v>26004</v>
      </c>
      <c r="I75" s="26">
        <v>36714</v>
      </c>
      <c r="J75">
        <v>2000</v>
      </c>
      <c r="K75" t="s">
        <v>26012</v>
      </c>
      <c r="L75">
        <v>217</v>
      </c>
      <c r="M75" t="s">
        <v>26293</v>
      </c>
      <c r="N75">
        <v>1</v>
      </c>
      <c r="Q75" t="s">
        <v>26294</v>
      </c>
      <c r="R75">
        <v>153.32</v>
      </c>
      <c r="S75" t="s">
        <v>26295</v>
      </c>
      <c r="T75" t="s">
        <v>30</v>
      </c>
      <c r="U75" t="s">
        <v>46</v>
      </c>
      <c r="W75" t="s">
        <v>26009</v>
      </c>
    </row>
    <row r="76" spans="1:23" x14ac:dyDescent="0.35">
      <c r="A76">
        <v>166458</v>
      </c>
      <c r="B76" t="s">
        <v>9951</v>
      </c>
      <c r="C76" t="str">
        <f>"9780415188562"</f>
        <v>9780415188562</v>
      </c>
      <c r="D76" t="str">
        <f>"9780203451847"</f>
        <v>9780203451847</v>
      </c>
      <c r="E76" t="s">
        <v>26010</v>
      </c>
      <c r="F76" t="s">
        <v>35</v>
      </c>
      <c r="G76" t="s">
        <v>26128</v>
      </c>
      <c r="H76" t="s">
        <v>26011</v>
      </c>
      <c r="I76" s="26">
        <v>36004</v>
      </c>
      <c r="J76">
        <v>2004</v>
      </c>
      <c r="K76" t="s">
        <v>26012</v>
      </c>
      <c r="L76">
        <v>347</v>
      </c>
      <c r="M76" t="s">
        <v>26296</v>
      </c>
      <c r="N76">
        <v>1</v>
      </c>
      <c r="O76" t="s">
        <v>26297</v>
      </c>
      <c r="R76">
        <v>302.07204389999998</v>
      </c>
      <c r="S76" t="s">
        <v>26298</v>
      </c>
      <c r="T76" t="s">
        <v>30</v>
      </c>
      <c r="U76" t="s">
        <v>26044</v>
      </c>
      <c r="W76" t="s">
        <v>26009</v>
      </c>
    </row>
    <row r="77" spans="1:23" x14ac:dyDescent="0.35">
      <c r="A77">
        <v>166528</v>
      </c>
      <c r="B77" t="s">
        <v>9152</v>
      </c>
      <c r="C77" t="str">
        <f>"9780863778520"</f>
        <v>9780863778520</v>
      </c>
      <c r="D77" t="str">
        <f>"9780203494141"</f>
        <v>9780203494141</v>
      </c>
      <c r="E77" t="s">
        <v>26010</v>
      </c>
      <c r="F77" t="s">
        <v>35</v>
      </c>
      <c r="G77" t="s">
        <v>22267</v>
      </c>
      <c r="H77" t="s">
        <v>26011</v>
      </c>
      <c r="I77" s="26">
        <v>36039</v>
      </c>
      <c r="J77">
        <v>1998</v>
      </c>
      <c r="K77" t="s">
        <v>660</v>
      </c>
      <c r="L77">
        <v>256</v>
      </c>
      <c r="M77" t="s">
        <v>26299</v>
      </c>
      <c r="N77">
        <v>1</v>
      </c>
      <c r="Q77" t="s">
        <v>26300</v>
      </c>
      <c r="R77">
        <v>155.41300000000001</v>
      </c>
      <c r="S77" t="s">
        <v>1567</v>
      </c>
      <c r="T77" t="s">
        <v>30</v>
      </c>
      <c r="U77" t="s">
        <v>46</v>
      </c>
      <c r="W77" t="s">
        <v>26009</v>
      </c>
    </row>
    <row r="78" spans="1:23" x14ac:dyDescent="0.35">
      <c r="A78">
        <v>166595</v>
      </c>
      <c r="B78" t="s">
        <v>26301</v>
      </c>
      <c r="C78" t="str">
        <f>"9780415050234"</f>
        <v>9780415050234</v>
      </c>
      <c r="D78" t="str">
        <f>"9780203408728"</f>
        <v>9780203408728</v>
      </c>
      <c r="E78" t="s">
        <v>26010</v>
      </c>
      <c r="F78" t="s">
        <v>35</v>
      </c>
      <c r="G78" t="s">
        <v>26128</v>
      </c>
      <c r="H78" t="s">
        <v>26011</v>
      </c>
      <c r="I78" s="26">
        <v>33017</v>
      </c>
      <c r="J78">
        <v>2004</v>
      </c>
      <c r="K78" t="s">
        <v>26012</v>
      </c>
      <c r="L78">
        <v>255</v>
      </c>
      <c r="M78" t="s">
        <v>26302</v>
      </c>
      <c r="N78">
        <v>1</v>
      </c>
      <c r="R78">
        <v>796.33399999999995</v>
      </c>
      <c r="S78" t="s">
        <v>7546</v>
      </c>
      <c r="T78" t="s">
        <v>30</v>
      </c>
      <c r="U78" t="s">
        <v>26008</v>
      </c>
      <c r="W78" t="s">
        <v>26009</v>
      </c>
    </row>
    <row r="79" spans="1:23" x14ac:dyDescent="0.35">
      <c r="A79">
        <v>166653</v>
      </c>
      <c r="B79" t="s">
        <v>9912</v>
      </c>
      <c r="C79" t="str">
        <f>"9780415070546"</f>
        <v>9780415070546</v>
      </c>
      <c r="D79" t="str">
        <f>"9780203415924"</f>
        <v>9780203415924</v>
      </c>
      <c r="E79" t="s">
        <v>26010</v>
      </c>
      <c r="F79" t="s">
        <v>35</v>
      </c>
      <c r="G79" t="s">
        <v>22174</v>
      </c>
      <c r="H79" t="s">
        <v>26011</v>
      </c>
      <c r="I79" s="26">
        <v>33960</v>
      </c>
      <c r="J79">
        <v>1992</v>
      </c>
      <c r="K79" t="s">
        <v>26012</v>
      </c>
      <c r="L79">
        <v>250</v>
      </c>
      <c r="M79" t="s">
        <v>26303</v>
      </c>
      <c r="N79">
        <v>1</v>
      </c>
      <c r="O79" t="s">
        <v>26304</v>
      </c>
      <c r="Q79" t="s">
        <v>26305</v>
      </c>
      <c r="R79">
        <v>306.09750000000003</v>
      </c>
      <c r="S79" t="s">
        <v>46</v>
      </c>
      <c r="T79" t="s">
        <v>30</v>
      </c>
      <c r="U79" t="s">
        <v>26044</v>
      </c>
      <c r="W79" t="s">
        <v>26009</v>
      </c>
    </row>
    <row r="80" spans="1:23" x14ac:dyDescent="0.35">
      <c r="A80">
        <v>166723</v>
      </c>
      <c r="B80" t="s">
        <v>8781</v>
      </c>
      <c r="C80" t="str">
        <f>"9780415093828"</f>
        <v>9780415093828</v>
      </c>
      <c r="D80" t="str">
        <f>"9780203422236"</f>
        <v>9780203422236</v>
      </c>
      <c r="E80" t="s">
        <v>26010</v>
      </c>
      <c r="F80" t="s">
        <v>35</v>
      </c>
      <c r="G80" t="s">
        <v>22174</v>
      </c>
      <c r="H80" t="s">
        <v>26011</v>
      </c>
      <c r="I80" s="26">
        <v>34599</v>
      </c>
      <c r="J80">
        <v>1994</v>
      </c>
      <c r="K80" t="s">
        <v>26012</v>
      </c>
      <c r="L80">
        <v>214</v>
      </c>
      <c r="M80" t="s">
        <v>26306</v>
      </c>
      <c r="N80">
        <v>1</v>
      </c>
      <c r="Q80" t="s">
        <v>26307</v>
      </c>
      <c r="R80" t="s">
        <v>26308</v>
      </c>
      <c r="S80" t="s">
        <v>26309</v>
      </c>
      <c r="T80" t="s">
        <v>30</v>
      </c>
      <c r="U80" t="s">
        <v>46</v>
      </c>
      <c r="W80" t="s">
        <v>26009</v>
      </c>
    </row>
    <row r="81" spans="1:23" x14ac:dyDescent="0.35">
      <c r="A81">
        <v>166744</v>
      </c>
      <c r="B81" t="s">
        <v>9817</v>
      </c>
      <c r="C81" t="str">
        <f>"9780415099370"</f>
        <v>9780415099370</v>
      </c>
      <c r="D81" t="str">
        <f>"9780203424094"</f>
        <v>9780203424094</v>
      </c>
      <c r="E81" t="s">
        <v>26010</v>
      </c>
      <c r="F81" t="s">
        <v>35</v>
      </c>
      <c r="G81" t="s">
        <v>22174</v>
      </c>
      <c r="H81" t="s">
        <v>26011</v>
      </c>
      <c r="I81" s="26">
        <v>34675</v>
      </c>
      <c r="J81">
        <v>1994</v>
      </c>
      <c r="K81" t="s">
        <v>26012</v>
      </c>
      <c r="L81">
        <v>310</v>
      </c>
      <c r="M81" t="s">
        <v>26310</v>
      </c>
      <c r="N81">
        <v>2</v>
      </c>
      <c r="Q81">
        <v>94005049</v>
      </c>
      <c r="R81">
        <v>362.38094100000001</v>
      </c>
      <c r="S81" t="s">
        <v>7736</v>
      </c>
      <c r="T81" t="s">
        <v>30</v>
      </c>
      <c r="U81" t="s">
        <v>26044</v>
      </c>
      <c r="W81" t="s">
        <v>26009</v>
      </c>
    </row>
    <row r="82" spans="1:23" x14ac:dyDescent="0.35">
      <c r="A82">
        <v>166761</v>
      </c>
      <c r="B82" t="s">
        <v>26311</v>
      </c>
      <c r="C82" t="str">
        <f>"9780415103749"</f>
        <v>9780415103749</v>
      </c>
      <c r="D82" t="str">
        <f>"9780203425503"</f>
        <v>9780203425503</v>
      </c>
      <c r="E82" t="s">
        <v>26010</v>
      </c>
      <c r="F82" t="s">
        <v>35</v>
      </c>
      <c r="G82" t="s">
        <v>22174</v>
      </c>
      <c r="H82" t="s">
        <v>26011</v>
      </c>
      <c r="I82" s="26">
        <v>34646</v>
      </c>
      <c r="J82">
        <v>1994</v>
      </c>
      <c r="K82" t="s">
        <v>26012</v>
      </c>
      <c r="L82">
        <v>201</v>
      </c>
      <c r="M82" t="s">
        <v>26312</v>
      </c>
      <c r="N82">
        <v>1</v>
      </c>
      <c r="Q82">
        <v>93047626</v>
      </c>
      <c r="R82" t="s">
        <v>26313</v>
      </c>
      <c r="S82" t="s">
        <v>7746</v>
      </c>
      <c r="T82" t="s">
        <v>30</v>
      </c>
      <c r="U82" t="s">
        <v>337</v>
      </c>
      <c r="W82" t="s">
        <v>26009</v>
      </c>
    </row>
    <row r="83" spans="1:23" x14ac:dyDescent="0.35">
      <c r="A83">
        <v>166790</v>
      </c>
      <c r="B83" t="s">
        <v>9915</v>
      </c>
      <c r="C83" t="str">
        <f>"9780415111287"</f>
        <v>9780415111287</v>
      </c>
      <c r="D83" t="str">
        <f>"9780203427743"</f>
        <v>9780203427743</v>
      </c>
      <c r="E83" t="s">
        <v>26010</v>
      </c>
      <c r="F83" t="s">
        <v>35</v>
      </c>
      <c r="G83" t="s">
        <v>22174</v>
      </c>
      <c r="H83" t="s">
        <v>26004</v>
      </c>
      <c r="I83" s="26">
        <v>35187</v>
      </c>
      <c r="J83">
        <v>1996</v>
      </c>
      <c r="K83" t="s">
        <v>26012</v>
      </c>
      <c r="L83">
        <v>253</v>
      </c>
      <c r="M83" t="s">
        <v>26314</v>
      </c>
      <c r="N83">
        <v>1</v>
      </c>
      <c r="Q83" t="s">
        <v>26315</v>
      </c>
      <c r="R83">
        <v>306</v>
      </c>
      <c r="S83" t="s">
        <v>26316</v>
      </c>
      <c r="T83" t="s">
        <v>30</v>
      </c>
      <c r="U83" t="s">
        <v>26044</v>
      </c>
      <c r="W83" t="s">
        <v>26009</v>
      </c>
    </row>
    <row r="84" spans="1:23" x14ac:dyDescent="0.35">
      <c r="A84">
        <v>166997</v>
      </c>
      <c r="B84" t="s">
        <v>26317</v>
      </c>
      <c r="C84" t="str">
        <f>"9780415192545"</f>
        <v>9780415192545</v>
      </c>
      <c r="D84" t="str">
        <f>"9780203454787"</f>
        <v>9780203454787</v>
      </c>
      <c r="E84" t="s">
        <v>26010</v>
      </c>
      <c r="F84" t="s">
        <v>35</v>
      </c>
      <c r="G84" t="s">
        <v>22174</v>
      </c>
      <c r="H84" t="s">
        <v>26011</v>
      </c>
      <c r="I84" s="26">
        <v>36752</v>
      </c>
      <c r="J84">
        <v>2000</v>
      </c>
      <c r="K84" t="s">
        <v>26012</v>
      </c>
      <c r="L84">
        <v>193</v>
      </c>
      <c r="M84" t="s">
        <v>26318</v>
      </c>
      <c r="N84">
        <v>1</v>
      </c>
      <c r="O84" t="s">
        <v>26319</v>
      </c>
      <c r="Q84" t="s">
        <v>26320</v>
      </c>
      <c r="R84" t="s">
        <v>26169</v>
      </c>
      <c r="S84" t="s">
        <v>8121</v>
      </c>
      <c r="T84" t="s">
        <v>30</v>
      </c>
      <c r="U84" t="s">
        <v>46</v>
      </c>
      <c r="W84" t="s">
        <v>26009</v>
      </c>
    </row>
    <row r="85" spans="1:23" x14ac:dyDescent="0.35">
      <c r="A85">
        <v>167077</v>
      </c>
      <c r="B85" t="s">
        <v>9414</v>
      </c>
      <c r="C85" t="str">
        <f>"9780415234818"</f>
        <v>9780415234818</v>
      </c>
      <c r="D85" t="str">
        <f>"9780203468326"</f>
        <v>9780203468326</v>
      </c>
      <c r="E85" t="s">
        <v>26010</v>
      </c>
      <c r="F85" t="s">
        <v>35</v>
      </c>
      <c r="G85" t="s">
        <v>22174</v>
      </c>
      <c r="H85" t="s">
        <v>26011</v>
      </c>
      <c r="I85" s="26">
        <v>36837</v>
      </c>
      <c r="J85">
        <v>2000</v>
      </c>
      <c r="K85" t="s">
        <v>26012</v>
      </c>
      <c r="L85">
        <v>218</v>
      </c>
      <c r="M85" t="s">
        <v>26321</v>
      </c>
      <c r="N85">
        <v>1</v>
      </c>
      <c r="Q85" t="s">
        <v>26322</v>
      </c>
      <c r="R85" t="s">
        <v>26323</v>
      </c>
      <c r="S85" t="s">
        <v>9415</v>
      </c>
      <c r="T85" t="s">
        <v>30</v>
      </c>
      <c r="U85" t="s">
        <v>26250</v>
      </c>
      <c r="W85" t="s">
        <v>26009</v>
      </c>
    </row>
    <row r="86" spans="1:23" x14ac:dyDescent="0.35">
      <c r="A86">
        <v>167122</v>
      </c>
      <c r="B86" t="s">
        <v>26324</v>
      </c>
      <c r="C86" t="str">
        <f>"9780415247832"</f>
        <v>9780415247832</v>
      </c>
      <c r="D86" t="str">
        <f>"9780203453445"</f>
        <v>9780203453445</v>
      </c>
      <c r="E86" t="s">
        <v>26010</v>
      </c>
      <c r="F86" t="s">
        <v>35</v>
      </c>
      <c r="G86" t="s">
        <v>22174</v>
      </c>
      <c r="H86" t="s">
        <v>26011</v>
      </c>
      <c r="I86" s="26">
        <v>37526</v>
      </c>
      <c r="J86">
        <v>2002</v>
      </c>
      <c r="K86" t="s">
        <v>26012</v>
      </c>
      <c r="L86">
        <v>219</v>
      </c>
      <c r="M86" t="s">
        <v>26325</v>
      </c>
      <c r="N86">
        <v>1</v>
      </c>
      <c r="Q86" t="s">
        <v>26326</v>
      </c>
      <c r="R86">
        <v>370.15</v>
      </c>
      <c r="S86" t="s">
        <v>7671</v>
      </c>
      <c r="T86" t="s">
        <v>30</v>
      </c>
      <c r="U86" t="s">
        <v>26070</v>
      </c>
      <c r="W86" t="s">
        <v>26009</v>
      </c>
    </row>
    <row r="87" spans="1:23" x14ac:dyDescent="0.35">
      <c r="A87">
        <v>167244</v>
      </c>
      <c r="B87" t="s">
        <v>26327</v>
      </c>
      <c r="C87" t="str">
        <f>"9780750703697"</f>
        <v>9780750703697</v>
      </c>
      <c r="D87" t="str">
        <f>"9780203486184"</f>
        <v>9780203486184</v>
      </c>
      <c r="E87" t="s">
        <v>26010</v>
      </c>
      <c r="F87" t="s">
        <v>35</v>
      </c>
      <c r="G87" t="s">
        <v>22174</v>
      </c>
      <c r="H87" t="s">
        <v>26011</v>
      </c>
      <c r="I87" s="26">
        <v>34700</v>
      </c>
      <c r="J87">
        <v>2004</v>
      </c>
      <c r="K87" t="s">
        <v>26012</v>
      </c>
      <c r="L87">
        <v>191</v>
      </c>
      <c r="M87" t="s">
        <v>26328</v>
      </c>
      <c r="N87">
        <v>1</v>
      </c>
      <c r="Q87" t="s">
        <v>26329</v>
      </c>
      <c r="R87">
        <v>305.23</v>
      </c>
      <c r="S87" t="s">
        <v>26330</v>
      </c>
      <c r="T87" t="s">
        <v>30</v>
      </c>
      <c r="U87" t="s">
        <v>26044</v>
      </c>
      <c r="W87" t="s">
        <v>26009</v>
      </c>
    </row>
    <row r="88" spans="1:23" x14ac:dyDescent="0.35">
      <c r="A88">
        <v>167590</v>
      </c>
      <c r="B88" t="s">
        <v>26331</v>
      </c>
      <c r="C88" t="str">
        <f>"9780415169530"</f>
        <v>9780415169530</v>
      </c>
      <c r="D88" t="str">
        <f>"9780203169445"</f>
        <v>9780203169445</v>
      </c>
      <c r="E88" t="s">
        <v>26010</v>
      </c>
      <c r="F88" t="s">
        <v>35</v>
      </c>
      <c r="G88" t="s">
        <v>26201</v>
      </c>
      <c r="H88" t="s">
        <v>26004</v>
      </c>
      <c r="I88" s="26">
        <v>36146</v>
      </c>
      <c r="J88">
        <v>1998</v>
      </c>
      <c r="K88" t="s">
        <v>26012</v>
      </c>
      <c r="L88">
        <v>218</v>
      </c>
      <c r="M88" t="s">
        <v>26332</v>
      </c>
      <c r="N88">
        <v>1</v>
      </c>
      <c r="O88" t="s">
        <v>26333</v>
      </c>
      <c r="Q88" t="s">
        <v>26334</v>
      </c>
      <c r="R88">
        <v>306.7</v>
      </c>
      <c r="S88" t="s">
        <v>26335</v>
      </c>
      <c r="T88" t="s">
        <v>30</v>
      </c>
      <c r="U88" t="s">
        <v>26044</v>
      </c>
      <c r="W88" t="s">
        <v>26009</v>
      </c>
    </row>
    <row r="89" spans="1:23" x14ac:dyDescent="0.35">
      <c r="A89">
        <v>167624</v>
      </c>
      <c r="B89" t="s">
        <v>26336</v>
      </c>
      <c r="C89" t="str">
        <f>"9780415258517"</f>
        <v>9780415258517</v>
      </c>
      <c r="D89" t="str">
        <f>"9780203167533"</f>
        <v>9780203167533</v>
      </c>
      <c r="E89" t="s">
        <v>26010</v>
      </c>
      <c r="F89" t="s">
        <v>35</v>
      </c>
      <c r="G89" t="s">
        <v>26337</v>
      </c>
      <c r="H89" t="s">
        <v>26004</v>
      </c>
      <c r="I89" s="26">
        <v>37274</v>
      </c>
      <c r="J89">
        <v>2004</v>
      </c>
      <c r="K89" t="s">
        <v>26012</v>
      </c>
      <c r="L89">
        <v>167</v>
      </c>
      <c r="M89" t="s">
        <v>26338</v>
      </c>
      <c r="N89">
        <v>1</v>
      </c>
      <c r="O89" t="s">
        <v>26339</v>
      </c>
      <c r="P89">
        <v>2</v>
      </c>
      <c r="Q89" t="s">
        <v>26340</v>
      </c>
      <c r="R89">
        <v>302</v>
      </c>
      <c r="S89" t="s">
        <v>26341</v>
      </c>
      <c r="T89" t="s">
        <v>30</v>
      </c>
      <c r="U89" t="s">
        <v>26044</v>
      </c>
      <c r="W89" t="s">
        <v>26009</v>
      </c>
    </row>
    <row r="90" spans="1:23" x14ac:dyDescent="0.35">
      <c r="A90">
        <v>167743</v>
      </c>
      <c r="B90" t="s">
        <v>26342</v>
      </c>
      <c r="C90" t="str">
        <f>"9780415010122"</f>
        <v>9780415010122</v>
      </c>
      <c r="D90" t="str">
        <f>"9780203358887"</f>
        <v>9780203358887</v>
      </c>
      <c r="E90" t="s">
        <v>26010</v>
      </c>
      <c r="F90" t="s">
        <v>35</v>
      </c>
      <c r="G90" t="s">
        <v>22174</v>
      </c>
      <c r="H90" t="s">
        <v>26011</v>
      </c>
      <c r="I90" s="26">
        <v>31912</v>
      </c>
      <c r="J90">
        <v>1987</v>
      </c>
      <c r="K90" t="s">
        <v>26012</v>
      </c>
      <c r="L90">
        <v>334</v>
      </c>
      <c r="M90" t="s">
        <v>26343</v>
      </c>
      <c r="N90">
        <v>1</v>
      </c>
      <c r="O90" t="s">
        <v>26344</v>
      </c>
      <c r="P90">
        <v>1</v>
      </c>
      <c r="Q90" t="s">
        <v>26345</v>
      </c>
      <c r="R90">
        <v>616.89170000000001</v>
      </c>
      <c r="S90" t="s">
        <v>26346</v>
      </c>
      <c r="T90" t="s">
        <v>30</v>
      </c>
      <c r="U90" t="s">
        <v>26116</v>
      </c>
      <c r="W90" t="s">
        <v>26009</v>
      </c>
    </row>
    <row r="91" spans="1:23" x14ac:dyDescent="0.35">
      <c r="A91">
        <v>168202</v>
      </c>
      <c r="B91" t="s">
        <v>9014</v>
      </c>
      <c r="C91" t="str">
        <f>"9780415097611"</f>
        <v>9780415097611</v>
      </c>
      <c r="D91" t="str">
        <f>"9780203204092"</f>
        <v>9780203204092</v>
      </c>
      <c r="E91" t="s">
        <v>26010</v>
      </c>
      <c r="F91" t="s">
        <v>35</v>
      </c>
      <c r="G91" t="s">
        <v>22174</v>
      </c>
      <c r="H91" t="s">
        <v>26011</v>
      </c>
      <c r="I91" s="26">
        <v>34509</v>
      </c>
      <c r="J91">
        <v>1994</v>
      </c>
      <c r="K91" t="s">
        <v>26012</v>
      </c>
      <c r="L91">
        <v>190</v>
      </c>
      <c r="M91" t="s">
        <v>26347</v>
      </c>
      <c r="N91">
        <v>1</v>
      </c>
      <c r="O91" t="s">
        <v>26348</v>
      </c>
      <c r="Q91" t="s">
        <v>26349</v>
      </c>
      <c r="R91">
        <v>305.3</v>
      </c>
      <c r="S91" t="s">
        <v>26350</v>
      </c>
      <c r="T91" t="s">
        <v>30</v>
      </c>
      <c r="U91" t="s">
        <v>26044</v>
      </c>
      <c r="W91" t="s">
        <v>26009</v>
      </c>
    </row>
    <row r="92" spans="1:23" x14ac:dyDescent="0.35">
      <c r="A92">
        <v>168213</v>
      </c>
      <c r="B92" t="s">
        <v>26351</v>
      </c>
      <c r="C92" t="str">
        <f>"9780415099233"</f>
        <v>9780415099233</v>
      </c>
      <c r="D92" t="str">
        <f>"9780203359839"</f>
        <v>9780203359839</v>
      </c>
      <c r="E92" t="s">
        <v>26010</v>
      </c>
      <c r="F92" t="s">
        <v>35</v>
      </c>
      <c r="G92" t="s">
        <v>22174</v>
      </c>
      <c r="H92" t="s">
        <v>26011</v>
      </c>
      <c r="I92" s="26">
        <v>34324</v>
      </c>
      <c r="J92">
        <v>1993</v>
      </c>
      <c r="K92" t="s">
        <v>26012</v>
      </c>
      <c r="L92">
        <v>177</v>
      </c>
      <c r="M92" t="s">
        <v>26352</v>
      </c>
      <c r="N92">
        <v>1</v>
      </c>
      <c r="O92" t="s">
        <v>26344</v>
      </c>
      <c r="Q92" t="s">
        <v>26353</v>
      </c>
      <c r="R92">
        <v>616.89</v>
      </c>
      <c r="S92" t="s">
        <v>26354</v>
      </c>
      <c r="T92" t="s">
        <v>30</v>
      </c>
      <c r="U92" t="s">
        <v>26116</v>
      </c>
      <c r="W92" t="s">
        <v>26009</v>
      </c>
    </row>
    <row r="93" spans="1:23" x14ac:dyDescent="0.35">
      <c r="A93">
        <v>168535</v>
      </c>
      <c r="B93" t="s">
        <v>8090</v>
      </c>
      <c r="C93" t="str">
        <f>"9780415131360"</f>
        <v>9780415131360</v>
      </c>
      <c r="D93" t="str">
        <f>"9781134789788"</f>
        <v>9781134789788</v>
      </c>
      <c r="E93" t="s">
        <v>26010</v>
      </c>
      <c r="F93" t="s">
        <v>35</v>
      </c>
      <c r="G93" t="s">
        <v>26128</v>
      </c>
      <c r="H93" t="s">
        <v>26004</v>
      </c>
      <c r="I93" s="26">
        <v>35454</v>
      </c>
      <c r="J93">
        <v>1997</v>
      </c>
      <c r="K93" t="s">
        <v>26012</v>
      </c>
      <c r="L93">
        <v>270</v>
      </c>
      <c r="M93" t="s">
        <v>26355</v>
      </c>
      <c r="N93">
        <v>1</v>
      </c>
      <c r="Q93" t="s">
        <v>26356</v>
      </c>
      <c r="R93">
        <v>306.89999999999998</v>
      </c>
      <c r="S93" t="s">
        <v>26357</v>
      </c>
      <c r="T93" t="s">
        <v>30</v>
      </c>
      <c r="U93" t="s">
        <v>26228</v>
      </c>
      <c r="W93" t="s">
        <v>26009</v>
      </c>
    </row>
    <row r="94" spans="1:23" x14ac:dyDescent="0.35">
      <c r="A94">
        <v>168546</v>
      </c>
      <c r="B94" t="s">
        <v>8049</v>
      </c>
      <c r="C94" t="str">
        <f>"9780415133173"</f>
        <v>9780415133173</v>
      </c>
      <c r="D94" t="str">
        <f>"9780203435854"</f>
        <v>9780203435854</v>
      </c>
      <c r="E94" t="s">
        <v>26010</v>
      </c>
      <c r="F94" t="s">
        <v>35</v>
      </c>
      <c r="G94" t="s">
        <v>26201</v>
      </c>
      <c r="H94" t="s">
        <v>26004</v>
      </c>
      <c r="I94" s="26">
        <v>35311</v>
      </c>
      <c r="J94">
        <v>1996</v>
      </c>
      <c r="K94" t="s">
        <v>26012</v>
      </c>
      <c r="L94">
        <v>567</v>
      </c>
      <c r="M94" t="s">
        <v>26358</v>
      </c>
      <c r="N94">
        <v>1</v>
      </c>
      <c r="Q94" t="s">
        <v>26359</v>
      </c>
      <c r="R94" t="s">
        <v>26360</v>
      </c>
      <c r="S94" t="s">
        <v>26361</v>
      </c>
      <c r="T94" t="s">
        <v>30</v>
      </c>
      <c r="U94" t="s">
        <v>46</v>
      </c>
      <c r="W94" t="s">
        <v>26009</v>
      </c>
    </row>
    <row r="95" spans="1:23" x14ac:dyDescent="0.35">
      <c r="A95">
        <v>168602</v>
      </c>
      <c r="B95" t="s">
        <v>26362</v>
      </c>
      <c r="C95" t="str">
        <f>"9780415194396"</f>
        <v>9780415194396</v>
      </c>
      <c r="D95" t="str">
        <f>"9780203194195"</f>
        <v>9780203194195</v>
      </c>
      <c r="E95" t="s">
        <v>26010</v>
      </c>
      <c r="F95" t="s">
        <v>35</v>
      </c>
      <c r="G95" t="s">
        <v>22174</v>
      </c>
      <c r="H95" t="s">
        <v>26011</v>
      </c>
      <c r="I95" s="26">
        <v>36109</v>
      </c>
      <c r="J95">
        <v>2002</v>
      </c>
      <c r="K95" t="s">
        <v>26012</v>
      </c>
      <c r="L95">
        <v>444</v>
      </c>
      <c r="M95" t="s">
        <v>26363</v>
      </c>
      <c r="N95">
        <v>1</v>
      </c>
      <c r="Q95" t="s">
        <v>26364</v>
      </c>
      <c r="R95">
        <v>618.9289</v>
      </c>
      <c r="S95" t="s">
        <v>7743</v>
      </c>
      <c r="T95" t="s">
        <v>30</v>
      </c>
      <c r="U95" t="s">
        <v>26019</v>
      </c>
      <c r="W95" t="s">
        <v>26009</v>
      </c>
    </row>
    <row r="96" spans="1:23" x14ac:dyDescent="0.35">
      <c r="A96">
        <v>168603</v>
      </c>
      <c r="B96" t="s">
        <v>26365</v>
      </c>
      <c r="C96" t="str">
        <f>"9780415233033"</f>
        <v>9780415233033</v>
      </c>
      <c r="D96" t="str">
        <f>"9780203193990"</f>
        <v>9780203193990</v>
      </c>
      <c r="E96" t="s">
        <v>26010</v>
      </c>
      <c r="F96" t="s">
        <v>35</v>
      </c>
      <c r="G96" t="s">
        <v>22174</v>
      </c>
      <c r="H96" t="s">
        <v>26011</v>
      </c>
      <c r="I96" s="26">
        <v>37216</v>
      </c>
      <c r="J96">
        <v>2001</v>
      </c>
      <c r="K96" t="s">
        <v>26012</v>
      </c>
      <c r="L96">
        <v>177</v>
      </c>
      <c r="M96" t="s">
        <v>26366</v>
      </c>
      <c r="N96">
        <v>1</v>
      </c>
      <c r="Q96" t="s">
        <v>26367</v>
      </c>
      <c r="R96">
        <v>616.85820000000001</v>
      </c>
      <c r="S96" t="s">
        <v>7648</v>
      </c>
      <c r="T96" t="s">
        <v>30</v>
      </c>
      <c r="U96" t="s">
        <v>26019</v>
      </c>
      <c r="W96" t="s">
        <v>26009</v>
      </c>
    </row>
    <row r="97" spans="1:23" x14ac:dyDescent="0.35">
      <c r="A97">
        <v>168605</v>
      </c>
      <c r="B97" t="s">
        <v>26368</v>
      </c>
      <c r="C97" t="str">
        <f>"9780863775666"</f>
        <v>9780863775666</v>
      </c>
      <c r="D97" t="str">
        <f>"9780203193556"</f>
        <v>9780203193556</v>
      </c>
      <c r="E97" t="s">
        <v>26010</v>
      </c>
      <c r="F97" t="s">
        <v>35</v>
      </c>
      <c r="G97" t="s">
        <v>22267</v>
      </c>
      <c r="H97" t="s">
        <v>26011</v>
      </c>
      <c r="I97" s="26">
        <v>36404</v>
      </c>
      <c r="J97">
        <v>2001</v>
      </c>
      <c r="K97" t="s">
        <v>660</v>
      </c>
      <c r="L97">
        <v>175</v>
      </c>
      <c r="M97" t="s">
        <v>26369</v>
      </c>
      <c r="N97">
        <v>1</v>
      </c>
      <c r="Q97" t="s">
        <v>26370</v>
      </c>
      <c r="R97">
        <v>616.85520599999995</v>
      </c>
      <c r="S97" t="s">
        <v>7539</v>
      </c>
      <c r="T97" t="s">
        <v>30</v>
      </c>
      <c r="U97" t="s">
        <v>26040</v>
      </c>
      <c r="W97" t="s">
        <v>26009</v>
      </c>
    </row>
    <row r="98" spans="1:23" x14ac:dyDescent="0.35">
      <c r="A98">
        <v>168870</v>
      </c>
      <c r="B98" t="s">
        <v>8317</v>
      </c>
      <c r="C98" t="str">
        <f>"9780415188883"</f>
        <v>9780415188883</v>
      </c>
      <c r="D98" t="str">
        <f>"9780203027448"</f>
        <v>9780203027448</v>
      </c>
      <c r="E98" t="s">
        <v>26010</v>
      </c>
      <c r="F98" t="s">
        <v>35</v>
      </c>
      <c r="G98" t="s">
        <v>22174</v>
      </c>
      <c r="H98" t="s">
        <v>26004</v>
      </c>
      <c r="I98" s="26">
        <v>36201</v>
      </c>
      <c r="J98">
        <v>1998</v>
      </c>
      <c r="K98" t="s">
        <v>26012</v>
      </c>
      <c r="L98">
        <v>245</v>
      </c>
      <c r="M98" t="s">
        <v>26371</v>
      </c>
      <c r="N98">
        <v>1</v>
      </c>
      <c r="Q98" t="s">
        <v>26372</v>
      </c>
      <c r="R98">
        <v>616.89</v>
      </c>
      <c r="S98" t="s">
        <v>26373</v>
      </c>
      <c r="T98" t="s">
        <v>30</v>
      </c>
      <c r="U98" t="s">
        <v>26040</v>
      </c>
      <c r="W98" t="s">
        <v>26009</v>
      </c>
    </row>
    <row r="99" spans="1:23" x14ac:dyDescent="0.35">
      <c r="A99">
        <v>168901</v>
      </c>
      <c r="B99" t="s">
        <v>7784</v>
      </c>
      <c r="C99" t="str">
        <f>"9780415186964"</f>
        <v>9780415186964</v>
      </c>
      <c r="D99" t="str">
        <f>"9780203003756"</f>
        <v>9780203003756</v>
      </c>
      <c r="E99" t="s">
        <v>26010</v>
      </c>
      <c r="F99" t="s">
        <v>35</v>
      </c>
      <c r="G99" t="s">
        <v>22174</v>
      </c>
      <c r="H99" t="s">
        <v>26011</v>
      </c>
      <c r="I99" s="26">
        <v>36475</v>
      </c>
      <c r="J99">
        <v>1999</v>
      </c>
      <c r="K99" t="s">
        <v>26012</v>
      </c>
      <c r="L99">
        <v>177</v>
      </c>
      <c r="M99" t="s">
        <v>26374</v>
      </c>
      <c r="N99">
        <v>1</v>
      </c>
      <c r="Q99" t="s">
        <v>26375</v>
      </c>
      <c r="R99" t="s">
        <v>26376</v>
      </c>
      <c r="S99" t="s">
        <v>7431</v>
      </c>
      <c r="T99" t="s">
        <v>30</v>
      </c>
      <c r="U99" t="s">
        <v>26377</v>
      </c>
      <c r="W99" t="s">
        <v>26009</v>
      </c>
    </row>
    <row r="100" spans="1:23" x14ac:dyDescent="0.35">
      <c r="A100">
        <v>169023</v>
      </c>
      <c r="B100" t="s">
        <v>26378</v>
      </c>
      <c r="C100" t="str">
        <f>"9780415206884"</f>
        <v>9780415206884</v>
      </c>
      <c r="D100" t="str">
        <f>"9780203064726"</f>
        <v>9780203064726</v>
      </c>
      <c r="E100" t="s">
        <v>26010</v>
      </c>
      <c r="F100" t="s">
        <v>35</v>
      </c>
      <c r="G100" t="s">
        <v>22174</v>
      </c>
      <c r="H100" t="s">
        <v>26011</v>
      </c>
      <c r="I100" s="26">
        <v>36476</v>
      </c>
      <c r="J100">
        <v>2002</v>
      </c>
      <c r="K100" t="s">
        <v>26012</v>
      </c>
      <c r="L100">
        <v>273</v>
      </c>
      <c r="M100" t="s">
        <v>26379</v>
      </c>
      <c r="N100">
        <v>1</v>
      </c>
      <c r="O100" t="s">
        <v>26380</v>
      </c>
      <c r="Q100" t="s">
        <v>26381</v>
      </c>
      <c r="R100">
        <v>616.85209999999995</v>
      </c>
      <c r="S100" t="s">
        <v>10098</v>
      </c>
      <c r="T100" t="s">
        <v>30</v>
      </c>
      <c r="U100" t="s">
        <v>26116</v>
      </c>
      <c r="W100" t="s">
        <v>26009</v>
      </c>
    </row>
    <row r="101" spans="1:23" x14ac:dyDescent="0.35">
      <c r="A101">
        <v>169109</v>
      </c>
      <c r="B101" t="s">
        <v>26382</v>
      </c>
      <c r="C101" t="str">
        <f>"9780415076555"</f>
        <v>9780415076555</v>
      </c>
      <c r="D101" t="str">
        <f>"9780203049129"</f>
        <v>9780203049129</v>
      </c>
      <c r="E101" t="s">
        <v>26010</v>
      </c>
      <c r="F101" t="s">
        <v>35</v>
      </c>
      <c r="G101" t="s">
        <v>22174</v>
      </c>
      <c r="H101" t="s">
        <v>26011</v>
      </c>
      <c r="I101" s="26">
        <v>34507</v>
      </c>
      <c r="J101">
        <v>1994</v>
      </c>
      <c r="K101" t="s">
        <v>26012</v>
      </c>
      <c r="L101">
        <v>246</v>
      </c>
      <c r="M101" t="s">
        <v>26383</v>
      </c>
      <c r="N101">
        <v>1</v>
      </c>
      <c r="Q101" t="s">
        <v>26384</v>
      </c>
      <c r="R101">
        <v>150.19499999999999</v>
      </c>
      <c r="S101" t="s">
        <v>26385</v>
      </c>
      <c r="T101" t="s">
        <v>30</v>
      </c>
      <c r="U101" t="s">
        <v>46</v>
      </c>
      <c r="W101" t="s">
        <v>26009</v>
      </c>
    </row>
    <row r="102" spans="1:23" x14ac:dyDescent="0.35">
      <c r="A102">
        <v>169132</v>
      </c>
      <c r="B102" t="s">
        <v>7859</v>
      </c>
      <c r="C102" t="str">
        <f>"9780415093538"</f>
        <v>9780415093538</v>
      </c>
      <c r="D102" t="str">
        <f>"9780203130148"</f>
        <v>9780203130148</v>
      </c>
      <c r="E102" t="s">
        <v>26010</v>
      </c>
      <c r="F102" t="s">
        <v>35</v>
      </c>
      <c r="G102" t="s">
        <v>22174</v>
      </c>
      <c r="H102" t="s">
        <v>26011</v>
      </c>
      <c r="I102" s="26">
        <v>35159</v>
      </c>
      <c r="J102">
        <v>1996</v>
      </c>
      <c r="K102" t="s">
        <v>26012</v>
      </c>
      <c r="L102">
        <v>215</v>
      </c>
      <c r="M102" t="s">
        <v>26386</v>
      </c>
      <c r="N102">
        <v>1</v>
      </c>
      <c r="O102" t="s">
        <v>26107</v>
      </c>
      <c r="Q102" t="s">
        <v>26387</v>
      </c>
      <c r="R102">
        <v>616.89170920000004</v>
      </c>
      <c r="S102" t="s">
        <v>7648</v>
      </c>
      <c r="T102" t="s">
        <v>30</v>
      </c>
      <c r="U102" t="s">
        <v>26019</v>
      </c>
      <c r="W102" t="s">
        <v>26009</v>
      </c>
    </row>
    <row r="103" spans="1:23" x14ac:dyDescent="0.35">
      <c r="A103">
        <v>169191</v>
      </c>
      <c r="B103" t="s">
        <v>9057</v>
      </c>
      <c r="C103" t="str">
        <f>"9780415138239"</f>
        <v>9780415138239</v>
      </c>
      <c r="D103" t="str">
        <f>"9780203135266"</f>
        <v>9780203135266</v>
      </c>
      <c r="E103" t="s">
        <v>26010</v>
      </c>
      <c r="F103" t="s">
        <v>35</v>
      </c>
      <c r="G103" t="s">
        <v>26128</v>
      </c>
      <c r="H103" t="s">
        <v>26011</v>
      </c>
      <c r="I103" s="26">
        <v>35500</v>
      </c>
      <c r="J103">
        <v>1997</v>
      </c>
      <c r="K103" t="s">
        <v>26012</v>
      </c>
      <c r="L103">
        <v>251</v>
      </c>
      <c r="M103" t="s">
        <v>26388</v>
      </c>
      <c r="N103">
        <v>1</v>
      </c>
      <c r="Q103" t="s">
        <v>26389</v>
      </c>
      <c r="R103" t="s">
        <v>26390</v>
      </c>
      <c r="S103" t="s">
        <v>9058</v>
      </c>
      <c r="T103" t="s">
        <v>30</v>
      </c>
      <c r="U103" t="s">
        <v>26391</v>
      </c>
      <c r="W103" t="s">
        <v>26009</v>
      </c>
    </row>
    <row r="104" spans="1:23" x14ac:dyDescent="0.35">
      <c r="A104">
        <v>169295</v>
      </c>
      <c r="B104" t="s">
        <v>9790</v>
      </c>
      <c r="C104" t="str">
        <f>"9780415198196"</f>
        <v>9780415198196</v>
      </c>
      <c r="D104" t="str">
        <f>"9780203210321"</f>
        <v>9780203210321</v>
      </c>
      <c r="E104" t="s">
        <v>26010</v>
      </c>
      <c r="F104" t="s">
        <v>35</v>
      </c>
      <c r="G104" t="s">
        <v>22174</v>
      </c>
      <c r="H104" t="s">
        <v>26004</v>
      </c>
      <c r="I104" s="26">
        <v>36123</v>
      </c>
      <c r="J104">
        <v>1998</v>
      </c>
      <c r="K104" t="s">
        <v>26012</v>
      </c>
      <c r="L104">
        <v>189</v>
      </c>
      <c r="M104" t="s">
        <v>26392</v>
      </c>
      <c r="N104">
        <v>2</v>
      </c>
      <c r="O104" t="s">
        <v>26393</v>
      </c>
      <c r="Q104" t="s">
        <v>26394</v>
      </c>
      <c r="R104">
        <v>616.89</v>
      </c>
      <c r="S104" t="s">
        <v>26395</v>
      </c>
      <c r="T104" t="s">
        <v>30</v>
      </c>
      <c r="U104" t="s">
        <v>26019</v>
      </c>
      <c r="W104" t="s">
        <v>26009</v>
      </c>
    </row>
    <row r="105" spans="1:23" x14ac:dyDescent="0.35">
      <c r="A105">
        <v>169340</v>
      </c>
      <c r="B105" t="s">
        <v>8985</v>
      </c>
      <c r="C105" t="str">
        <f>"9780415063203"</f>
        <v>9780415063203</v>
      </c>
      <c r="D105" t="str">
        <f>"9780203161050"</f>
        <v>9780203161050</v>
      </c>
      <c r="E105" t="s">
        <v>26010</v>
      </c>
      <c r="F105" t="s">
        <v>35</v>
      </c>
      <c r="G105" t="s">
        <v>26128</v>
      </c>
      <c r="H105" t="s">
        <v>26011</v>
      </c>
      <c r="I105" s="26">
        <v>33592</v>
      </c>
      <c r="J105">
        <v>1991</v>
      </c>
      <c r="K105" t="s">
        <v>26012</v>
      </c>
      <c r="L105">
        <v>219</v>
      </c>
      <c r="M105" t="s">
        <v>26396</v>
      </c>
      <c r="N105">
        <v>1</v>
      </c>
      <c r="O105" t="s">
        <v>26397</v>
      </c>
      <c r="Q105" t="s">
        <v>26398</v>
      </c>
      <c r="R105">
        <v>610.69000000000005</v>
      </c>
      <c r="S105" t="s">
        <v>26399</v>
      </c>
      <c r="T105" t="s">
        <v>30</v>
      </c>
      <c r="U105" t="s">
        <v>26040</v>
      </c>
      <c r="W105" t="s">
        <v>26009</v>
      </c>
    </row>
    <row r="106" spans="1:23" x14ac:dyDescent="0.35">
      <c r="A106">
        <v>169345</v>
      </c>
      <c r="B106" t="s">
        <v>26400</v>
      </c>
      <c r="C106" t="str">
        <f>"9780415074483"</f>
        <v>9780415074483</v>
      </c>
      <c r="D106" t="str">
        <f>"9780203011102"</f>
        <v>9780203011102</v>
      </c>
      <c r="E106" t="s">
        <v>26010</v>
      </c>
      <c r="F106" t="s">
        <v>35</v>
      </c>
      <c r="G106" t="s">
        <v>22174</v>
      </c>
      <c r="H106" t="s">
        <v>26011</v>
      </c>
      <c r="I106" s="26">
        <v>33885</v>
      </c>
      <c r="J106">
        <v>1992</v>
      </c>
      <c r="K106" t="s">
        <v>26012</v>
      </c>
      <c r="L106">
        <v>285</v>
      </c>
      <c r="M106" t="s">
        <v>26401</v>
      </c>
      <c r="N106">
        <v>1</v>
      </c>
      <c r="Q106" t="s">
        <v>26402</v>
      </c>
      <c r="R106">
        <v>155.33309199999999</v>
      </c>
      <c r="S106" t="s">
        <v>26403</v>
      </c>
      <c r="T106" t="s">
        <v>30</v>
      </c>
      <c r="U106" t="s">
        <v>46</v>
      </c>
      <c r="W106" t="s">
        <v>26009</v>
      </c>
    </row>
    <row r="107" spans="1:23" x14ac:dyDescent="0.35">
      <c r="A107">
        <v>169368</v>
      </c>
      <c r="B107" t="s">
        <v>26404</v>
      </c>
      <c r="C107" t="str">
        <f>"9780415097031"</f>
        <v>9780415097031</v>
      </c>
      <c r="D107" t="str">
        <f>"9780203139035"</f>
        <v>9780203139035</v>
      </c>
      <c r="E107" t="s">
        <v>26010</v>
      </c>
      <c r="F107" t="s">
        <v>35</v>
      </c>
      <c r="G107" t="s">
        <v>22174</v>
      </c>
      <c r="H107" t="s">
        <v>26011</v>
      </c>
      <c r="I107" s="26">
        <v>34681</v>
      </c>
      <c r="J107">
        <v>1995</v>
      </c>
      <c r="K107" t="s">
        <v>26012</v>
      </c>
      <c r="L107">
        <v>267</v>
      </c>
      <c r="M107" t="s">
        <v>26405</v>
      </c>
      <c r="N107">
        <v>1</v>
      </c>
      <c r="Q107" t="s">
        <v>26406</v>
      </c>
      <c r="R107">
        <v>616.89170000000001</v>
      </c>
      <c r="S107" t="s">
        <v>26407</v>
      </c>
      <c r="T107" t="s">
        <v>30</v>
      </c>
      <c r="U107" t="s">
        <v>26116</v>
      </c>
      <c r="W107" t="s">
        <v>26009</v>
      </c>
    </row>
    <row r="108" spans="1:23" x14ac:dyDescent="0.35">
      <c r="A108">
        <v>169378</v>
      </c>
      <c r="B108" t="s">
        <v>26408</v>
      </c>
      <c r="C108" t="str">
        <f>"9780415112154"</f>
        <v>9780415112154</v>
      </c>
      <c r="D108" t="str">
        <f>"9780203162248"</f>
        <v>9780203162248</v>
      </c>
      <c r="E108" t="s">
        <v>26010</v>
      </c>
      <c r="F108" t="s">
        <v>35</v>
      </c>
      <c r="G108" t="s">
        <v>22174</v>
      </c>
      <c r="H108" t="s">
        <v>26004</v>
      </c>
      <c r="I108" s="26">
        <v>35376</v>
      </c>
      <c r="J108">
        <v>2002</v>
      </c>
      <c r="K108" t="s">
        <v>26012</v>
      </c>
      <c r="L108">
        <v>248</v>
      </c>
      <c r="M108" t="s">
        <v>26409</v>
      </c>
      <c r="N108">
        <v>1</v>
      </c>
      <c r="O108" t="s">
        <v>26410</v>
      </c>
      <c r="Q108" t="s">
        <v>26411</v>
      </c>
      <c r="R108">
        <v>362.30941000000001</v>
      </c>
      <c r="S108" t="s">
        <v>26412</v>
      </c>
      <c r="T108" t="s">
        <v>30</v>
      </c>
      <c r="U108" t="s">
        <v>26044</v>
      </c>
      <c r="W108" t="s">
        <v>26009</v>
      </c>
    </row>
    <row r="109" spans="1:23" x14ac:dyDescent="0.35">
      <c r="A109">
        <v>169422</v>
      </c>
      <c r="B109" t="s">
        <v>9405</v>
      </c>
      <c r="C109" t="str">
        <f>"9780415168502"</f>
        <v>9780415168502</v>
      </c>
      <c r="D109" t="str">
        <f>"9780203004692"</f>
        <v>9780203004692</v>
      </c>
      <c r="E109" t="s">
        <v>26010</v>
      </c>
      <c r="F109" t="s">
        <v>35</v>
      </c>
      <c r="G109" t="s">
        <v>22174</v>
      </c>
      <c r="H109" t="s">
        <v>26004</v>
      </c>
      <c r="I109" s="26">
        <v>36067</v>
      </c>
      <c r="J109">
        <v>1998</v>
      </c>
      <c r="K109" t="s">
        <v>26012</v>
      </c>
      <c r="L109">
        <v>213</v>
      </c>
      <c r="M109" t="s">
        <v>26413</v>
      </c>
      <c r="N109">
        <v>1</v>
      </c>
      <c r="O109" t="s">
        <v>26414</v>
      </c>
      <c r="Q109" t="s">
        <v>26415</v>
      </c>
      <c r="R109" t="s">
        <v>26416</v>
      </c>
      <c r="S109" t="s">
        <v>9406</v>
      </c>
      <c r="T109" t="s">
        <v>30</v>
      </c>
      <c r="U109" t="s">
        <v>46</v>
      </c>
      <c r="W109" t="s">
        <v>26009</v>
      </c>
    </row>
    <row r="110" spans="1:23" x14ac:dyDescent="0.35">
      <c r="A110">
        <v>169428</v>
      </c>
      <c r="B110" t="s">
        <v>26417</v>
      </c>
      <c r="C110" t="str">
        <f>"9780415179577"</f>
        <v>9780415179577</v>
      </c>
      <c r="D110" t="str">
        <f>"9780203130636"</f>
        <v>9780203130636</v>
      </c>
      <c r="E110" t="s">
        <v>26010</v>
      </c>
      <c r="F110" t="s">
        <v>35</v>
      </c>
      <c r="G110" t="s">
        <v>22174</v>
      </c>
      <c r="H110" t="s">
        <v>26011</v>
      </c>
      <c r="I110" s="26">
        <v>36475</v>
      </c>
      <c r="J110">
        <v>1999</v>
      </c>
      <c r="K110" t="s">
        <v>26012</v>
      </c>
      <c r="L110">
        <v>215</v>
      </c>
      <c r="M110" t="s">
        <v>26418</v>
      </c>
      <c r="N110">
        <v>1</v>
      </c>
      <c r="Q110" t="s">
        <v>26419</v>
      </c>
      <c r="R110" t="s">
        <v>26420</v>
      </c>
      <c r="S110" t="s">
        <v>7661</v>
      </c>
      <c r="T110" t="s">
        <v>30</v>
      </c>
      <c r="U110" t="s">
        <v>46</v>
      </c>
      <c r="W110" t="s">
        <v>26009</v>
      </c>
    </row>
    <row r="111" spans="1:23" x14ac:dyDescent="0.35">
      <c r="A111">
        <v>169486</v>
      </c>
      <c r="B111" t="s">
        <v>7672</v>
      </c>
      <c r="C111" t="str">
        <f>"9780415014908"</f>
        <v>9780415014908</v>
      </c>
      <c r="D111" t="str">
        <f>"9780203011126"</f>
        <v>9780203011126</v>
      </c>
      <c r="E111" t="s">
        <v>26010</v>
      </c>
      <c r="F111" t="s">
        <v>35</v>
      </c>
      <c r="G111" t="s">
        <v>22174</v>
      </c>
      <c r="H111" t="s">
        <v>26004</v>
      </c>
      <c r="I111" s="26">
        <v>32688</v>
      </c>
      <c r="J111">
        <v>1989</v>
      </c>
      <c r="K111" t="s">
        <v>26012</v>
      </c>
      <c r="L111">
        <v>280</v>
      </c>
      <c r="M111" t="s">
        <v>26401</v>
      </c>
      <c r="N111">
        <v>1</v>
      </c>
      <c r="Q111" t="s">
        <v>26421</v>
      </c>
      <c r="R111" t="s">
        <v>26422</v>
      </c>
      <c r="S111" t="s">
        <v>26423</v>
      </c>
      <c r="T111" t="s">
        <v>30</v>
      </c>
      <c r="U111" t="s">
        <v>26019</v>
      </c>
      <c r="W111" t="s">
        <v>26009</v>
      </c>
    </row>
    <row r="112" spans="1:23" x14ac:dyDescent="0.35">
      <c r="A112">
        <v>169533</v>
      </c>
      <c r="B112" t="s">
        <v>26424</v>
      </c>
      <c r="C112" t="str">
        <f>"9780415066563"</f>
        <v>9780415066563</v>
      </c>
      <c r="D112" t="str">
        <f>"9780203036129"</f>
        <v>9780203036129</v>
      </c>
      <c r="E112" t="s">
        <v>26010</v>
      </c>
      <c r="F112" t="s">
        <v>35</v>
      </c>
      <c r="G112" t="s">
        <v>22174</v>
      </c>
      <c r="H112" t="s">
        <v>26004</v>
      </c>
      <c r="I112" s="26">
        <v>33787</v>
      </c>
      <c r="J112">
        <v>1992</v>
      </c>
      <c r="K112" t="s">
        <v>26012</v>
      </c>
      <c r="L112">
        <v>276</v>
      </c>
      <c r="M112" t="s">
        <v>26425</v>
      </c>
      <c r="N112">
        <v>1</v>
      </c>
      <c r="O112" t="s">
        <v>26426</v>
      </c>
      <c r="Q112" t="s">
        <v>26427</v>
      </c>
      <c r="R112">
        <v>307.14094999999998</v>
      </c>
      <c r="S112" t="s">
        <v>26428</v>
      </c>
      <c r="T112" t="s">
        <v>30</v>
      </c>
      <c r="U112" t="s">
        <v>26429</v>
      </c>
      <c r="W112" t="s">
        <v>26009</v>
      </c>
    </row>
    <row r="113" spans="1:23" x14ac:dyDescent="0.35">
      <c r="A113">
        <v>169541</v>
      </c>
      <c r="B113" t="s">
        <v>26430</v>
      </c>
      <c r="C113" t="str">
        <f>"9780415072700"</f>
        <v>9780415072700</v>
      </c>
      <c r="D113" t="str">
        <f>"9780203201619"</f>
        <v>9780203201619</v>
      </c>
      <c r="E113" t="s">
        <v>26010</v>
      </c>
      <c r="F113" t="s">
        <v>35</v>
      </c>
      <c r="G113" t="s">
        <v>26128</v>
      </c>
      <c r="H113" t="s">
        <v>26011</v>
      </c>
      <c r="I113" s="26">
        <v>34054</v>
      </c>
      <c r="J113">
        <v>1993</v>
      </c>
      <c r="K113" t="s">
        <v>26012</v>
      </c>
      <c r="L113">
        <v>264</v>
      </c>
      <c r="M113" t="s">
        <v>26431</v>
      </c>
      <c r="N113">
        <v>2</v>
      </c>
      <c r="Q113" t="s">
        <v>26432</v>
      </c>
      <c r="R113">
        <v>305.42009999999999</v>
      </c>
      <c r="S113" t="s">
        <v>26433</v>
      </c>
      <c r="T113" t="s">
        <v>30</v>
      </c>
      <c r="U113" t="s">
        <v>26044</v>
      </c>
      <c r="W113" t="s">
        <v>26009</v>
      </c>
    </row>
    <row r="114" spans="1:23" x14ac:dyDescent="0.35">
      <c r="A114">
        <v>169555</v>
      </c>
      <c r="B114" t="s">
        <v>26434</v>
      </c>
      <c r="C114" t="str">
        <f>"9780415083706"</f>
        <v>9780415083706</v>
      </c>
      <c r="D114" t="str">
        <f>"9780203036983"</f>
        <v>9780203036983</v>
      </c>
      <c r="E114" t="s">
        <v>26010</v>
      </c>
      <c r="F114" t="s">
        <v>35</v>
      </c>
      <c r="G114" t="s">
        <v>22174</v>
      </c>
      <c r="H114" t="s">
        <v>26004</v>
      </c>
      <c r="I114" s="26">
        <v>34814</v>
      </c>
      <c r="J114">
        <v>1995</v>
      </c>
      <c r="K114" t="s">
        <v>26012</v>
      </c>
      <c r="L114">
        <v>285</v>
      </c>
      <c r="M114" t="s">
        <v>26435</v>
      </c>
      <c r="N114">
        <v>1</v>
      </c>
      <c r="Q114" t="s">
        <v>26436</v>
      </c>
      <c r="R114">
        <v>305.48965408999999</v>
      </c>
      <c r="S114" t="s">
        <v>26437</v>
      </c>
      <c r="T114" t="s">
        <v>30</v>
      </c>
      <c r="U114" t="s">
        <v>26044</v>
      </c>
      <c r="W114" t="s">
        <v>26009</v>
      </c>
    </row>
    <row r="115" spans="1:23" x14ac:dyDescent="0.35">
      <c r="A115">
        <v>169584</v>
      </c>
      <c r="B115" t="s">
        <v>8117</v>
      </c>
      <c r="C115" t="str">
        <f>"9780415108119"</f>
        <v>9780415108119</v>
      </c>
      <c r="D115" t="str">
        <f>"9780203006047"</f>
        <v>9780203006047</v>
      </c>
      <c r="E115" t="s">
        <v>26010</v>
      </c>
      <c r="F115" t="s">
        <v>35</v>
      </c>
      <c r="G115" t="s">
        <v>22174</v>
      </c>
      <c r="H115" t="s">
        <v>26004</v>
      </c>
      <c r="I115" s="26">
        <v>35045</v>
      </c>
      <c r="J115">
        <v>1995</v>
      </c>
      <c r="K115" t="s">
        <v>26012</v>
      </c>
      <c r="L115">
        <v>227</v>
      </c>
      <c r="M115" t="s">
        <v>26438</v>
      </c>
      <c r="N115">
        <v>1</v>
      </c>
      <c r="O115" t="s">
        <v>26439</v>
      </c>
      <c r="Q115" t="s">
        <v>26440</v>
      </c>
      <c r="R115">
        <v>150.19800000000001</v>
      </c>
      <c r="S115" t="s">
        <v>26441</v>
      </c>
      <c r="T115" t="s">
        <v>30</v>
      </c>
      <c r="U115" t="s">
        <v>46</v>
      </c>
      <c r="W115" t="s">
        <v>26009</v>
      </c>
    </row>
    <row r="116" spans="1:23" x14ac:dyDescent="0.35">
      <c r="A116">
        <v>169671</v>
      </c>
      <c r="B116" t="s">
        <v>26442</v>
      </c>
      <c r="C116" t="str">
        <f>"9780415180399"</f>
        <v>9780415180399</v>
      </c>
      <c r="D116" t="str">
        <f>"9780203006481"</f>
        <v>9780203006481</v>
      </c>
      <c r="E116" t="s">
        <v>26010</v>
      </c>
      <c r="F116" t="s">
        <v>35</v>
      </c>
      <c r="G116" t="s">
        <v>22174</v>
      </c>
      <c r="H116" t="s">
        <v>26011</v>
      </c>
      <c r="I116" s="26">
        <v>36523</v>
      </c>
      <c r="J116">
        <v>2000</v>
      </c>
      <c r="K116" t="s">
        <v>26012</v>
      </c>
      <c r="L116">
        <v>333</v>
      </c>
      <c r="M116" t="s">
        <v>26443</v>
      </c>
      <c r="N116">
        <v>1</v>
      </c>
      <c r="Q116" t="s">
        <v>26444</v>
      </c>
      <c r="R116">
        <v>150.1952</v>
      </c>
      <c r="S116" t="s">
        <v>8932</v>
      </c>
      <c r="T116" t="s">
        <v>30</v>
      </c>
      <c r="U116" t="s">
        <v>46</v>
      </c>
      <c r="W116" t="s">
        <v>26009</v>
      </c>
    </row>
    <row r="117" spans="1:23" x14ac:dyDescent="0.35">
      <c r="A117">
        <v>169720</v>
      </c>
      <c r="B117" t="s">
        <v>26445</v>
      </c>
      <c r="C117" t="str">
        <f>"9780415214148"</f>
        <v>9780415214148</v>
      </c>
      <c r="D117" t="str">
        <f>"9780203020203"</f>
        <v>9780203020203</v>
      </c>
      <c r="E117" t="s">
        <v>26010</v>
      </c>
      <c r="F117" t="s">
        <v>35</v>
      </c>
      <c r="G117" t="s">
        <v>22174</v>
      </c>
      <c r="H117" t="s">
        <v>26011</v>
      </c>
      <c r="I117" s="26">
        <v>36557</v>
      </c>
      <c r="J117">
        <v>2000</v>
      </c>
      <c r="K117" t="s">
        <v>26012</v>
      </c>
      <c r="L117">
        <v>219</v>
      </c>
      <c r="M117" t="s">
        <v>26446</v>
      </c>
      <c r="N117">
        <v>1</v>
      </c>
      <c r="Q117" t="s">
        <v>26447</v>
      </c>
      <c r="R117" t="s">
        <v>26448</v>
      </c>
      <c r="S117" t="s">
        <v>7809</v>
      </c>
      <c r="T117" t="s">
        <v>30</v>
      </c>
      <c r="U117" t="s">
        <v>26044</v>
      </c>
      <c r="W117" t="s">
        <v>26009</v>
      </c>
    </row>
    <row r="118" spans="1:23" x14ac:dyDescent="0.35">
      <c r="A118">
        <v>169804</v>
      </c>
      <c r="B118" t="s">
        <v>26449</v>
      </c>
      <c r="C118" t="str">
        <f>"9780415156738"</f>
        <v>9780415156738</v>
      </c>
      <c r="D118" t="str">
        <f>"9780203003626"</f>
        <v>9780203003626</v>
      </c>
      <c r="E118" t="s">
        <v>26010</v>
      </c>
      <c r="F118" t="s">
        <v>35</v>
      </c>
      <c r="G118" t="s">
        <v>22174</v>
      </c>
      <c r="H118" t="s">
        <v>26011</v>
      </c>
      <c r="I118" s="26">
        <v>36496</v>
      </c>
      <c r="J118">
        <v>1999</v>
      </c>
      <c r="K118" t="s">
        <v>26012</v>
      </c>
      <c r="L118">
        <v>274</v>
      </c>
      <c r="M118" t="s">
        <v>26450</v>
      </c>
      <c r="N118">
        <v>1</v>
      </c>
      <c r="O118" t="s">
        <v>26451</v>
      </c>
      <c r="Q118" t="s">
        <v>26452</v>
      </c>
      <c r="R118">
        <v>302.10000000000002</v>
      </c>
      <c r="S118" t="s">
        <v>7707</v>
      </c>
      <c r="T118" t="s">
        <v>30</v>
      </c>
      <c r="U118" t="s">
        <v>26044</v>
      </c>
      <c r="W118" t="s">
        <v>26009</v>
      </c>
    </row>
    <row r="119" spans="1:23" x14ac:dyDescent="0.35">
      <c r="A119">
        <v>169823</v>
      </c>
      <c r="B119" t="s">
        <v>8937</v>
      </c>
      <c r="C119" t="str">
        <f>"9780415171878"</f>
        <v>9780415171878</v>
      </c>
      <c r="D119" t="str">
        <f>"9780203006160"</f>
        <v>9780203006160</v>
      </c>
      <c r="E119" t="s">
        <v>26010</v>
      </c>
      <c r="F119" t="s">
        <v>35</v>
      </c>
      <c r="G119" t="s">
        <v>22174</v>
      </c>
      <c r="H119" t="s">
        <v>26004</v>
      </c>
      <c r="I119" s="26">
        <v>36434</v>
      </c>
      <c r="J119">
        <v>1999</v>
      </c>
      <c r="K119" t="s">
        <v>26012</v>
      </c>
      <c r="L119">
        <v>199</v>
      </c>
      <c r="M119" t="s">
        <v>26453</v>
      </c>
      <c r="N119">
        <v>1</v>
      </c>
      <c r="O119" t="s">
        <v>26454</v>
      </c>
      <c r="Q119" t="s">
        <v>26455</v>
      </c>
      <c r="R119" t="s">
        <v>26456</v>
      </c>
      <c r="S119" t="s">
        <v>26457</v>
      </c>
      <c r="T119" t="s">
        <v>30</v>
      </c>
      <c r="U119" t="s">
        <v>26458</v>
      </c>
      <c r="W119" t="s">
        <v>26009</v>
      </c>
    </row>
    <row r="120" spans="1:23" x14ac:dyDescent="0.35">
      <c r="A120">
        <v>169956</v>
      </c>
      <c r="B120" t="s">
        <v>26459</v>
      </c>
      <c r="C120" t="str">
        <f>"9780415170000"</f>
        <v>9780415170000</v>
      </c>
      <c r="D120" t="str">
        <f>"9780203360606"</f>
        <v>9780203360606</v>
      </c>
      <c r="E120" t="s">
        <v>26010</v>
      </c>
      <c r="F120" t="s">
        <v>35</v>
      </c>
      <c r="G120" t="s">
        <v>22174</v>
      </c>
      <c r="H120" t="s">
        <v>26011</v>
      </c>
      <c r="I120" s="26">
        <v>36242</v>
      </c>
      <c r="J120">
        <v>1999</v>
      </c>
      <c r="K120" t="s">
        <v>26012</v>
      </c>
      <c r="L120">
        <v>301</v>
      </c>
      <c r="M120" t="s">
        <v>26460</v>
      </c>
      <c r="N120">
        <v>1</v>
      </c>
      <c r="Q120" t="s">
        <v>26461</v>
      </c>
      <c r="R120" t="s">
        <v>26462</v>
      </c>
      <c r="S120" t="s">
        <v>152</v>
      </c>
      <c r="T120" t="s">
        <v>30</v>
      </c>
      <c r="U120" t="s">
        <v>26019</v>
      </c>
      <c r="W120" t="s">
        <v>26009</v>
      </c>
    </row>
    <row r="121" spans="1:23" x14ac:dyDescent="0.35">
      <c r="A121">
        <v>169962</v>
      </c>
      <c r="B121" t="s">
        <v>26463</v>
      </c>
      <c r="C121" t="str">
        <f>"9780415150231"</f>
        <v>9780415150231</v>
      </c>
      <c r="D121" t="str">
        <f>"9780203441749"</f>
        <v>9780203441749</v>
      </c>
      <c r="E121" t="s">
        <v>26010</v>
      </c>
      <c r="F121" t="s">
        <v>35</v>
      </c>
      <c r="G121" t="s">
        <v>22174</v>
      </c>
      <c r="H121" t="s">
        <v>26011</v>
      </c>
      <c r="I121" s="26">
        <v>35922</v>
      </c>
      <c r="J121">
        <v>1998</v>
      </c>
      <c r="K121" t="s">
        <v>26012</v>
      </c>
      <c r="L121">
        <v>429</v>
      </c>
      <c r="M121" t="s">
        <v>26464</v>
      </c>
      <c r="N121">
        <v>2</v>
      </c>
      <c r="Q121" t="s">
        <v>26465</v>
      </c>
      <c r="R121">
        <v>613.01900000000001</v>
      </c>
      <c r="S121" t="s">
        <v>9616</v>
      </c>
      <c r="T121" t="s">
        <v>30</v>
      </c>
      <c r="U121" t="s">
        <v>26127</v>
      </c>
      <c r="W121" t="s">
        <v>26009</v>
      </c>
    </row>
    <row r="122" spans="1:23" x14ac:dyDescent="0.35">
      <c r="A122">
        <v>169999</v>
      </c>
      <c r="B122" t="s">
        <v>26466</v>
      </c>
      <c r="C122" t="str">
        <f>"9780415035385"</f>
        <v>9780415035385</v>
      </c>
      <c r="D122" t="str">
        <f>"9780203405482"</f>
        <v>9780203405482</v>
      </c>
      <c r="E122" t="s">
        <v>26010</v>
      </c>
      <c r="F122" t="s">
        <v>35</v>
      </c>
      <c r="G122" t="s">
        <v>22174</v>
      </c>
      <c r="H122" t="s">
        <v>26011</v>
      </c>
      <c r="I122" s="26">
        <v>33871</v>
      </c>
      <c r="J122">
        <v>1992</v>
      </c>
      <c r="K122" t="s">
        <v>26012</v>
      </c>
      <c r="L122">
        <v>189</v>
      </c>
      <c r="M122" t="s">
        <v>26467</v>
      </c>
      <c r="N122">
        <v>1</v>
      </c>
      <c r="Q122" t="s">
        <v>26468</v>
      </c>
      <c r="R122">
        <v>362.29083500000002</v>
      </c>
      <c r="S122" t="s">
        <v>26469</v>
      </c>
      <c r="T122" t="s">
        <v>30</v>
      </c>
      <c r="U122" t="s">
        <v>26250</v>
      </c>
      <c r="W122" t="s">
        <v>26009</v>
      </c>
    </row>
    <row r="123" spans="1:23" x14ac:dyDescent="0.35">
      <c r="A123">
        <v>170001</v>
      </c>
      <c r="B123" t="s">
        <v>7722</v>
      </c>
      <c r="C123" t="str">
        <f>"9780415038416"</f>
        <v>9780415038416</v>
      </c>
      <c r="D123" t="str">
        <f>"9781482267563"</f>
        <v>9781482267563</v>
      </c>
      <c r="E123" t="s">
        <v>26010</v>
      </c>
      <c r="F123" t="s">
        <v>35</v>
      </c>
      <c r="G123" t="s">
        <v>22174</v>
      </c>
      <c r="H123" t="s">
        <v>26011</v>
      </c>
      <c r="I123" s="26">
        <v>34019</v>
      </c>
      <c r="J123">
        <v>1991</v>
      </c>
      <c r="K123" t="s">
        <v>26470</v>
      </c>
      <c r="L123">
        <v>150</v>
      </c>
      <c r="M123" t="s">
        <v>26471</v>
      </c>
      <c r="N123">
        <v>1</v>
      </c>
      <c r="O123" t="s">
        <v>26472</v>
      </c>
      <c r="Q123" t="s">
        <v>26473</v>
      </c>
      <c r="R123">
        <v>616.99449000000004</v>
      </c>
      <c r="S123" t="s">
        <v>26474</v>
      </c>
      <c r="T123" t="s">
        <v>30</v>
      </c>
      <c r="U123" t="s">
        <v>26040</v>
      </c>
      <c r="W123" t="s">
        <v>26009</v>
      </c>
    </row>
    <row r="124" spans="1:23" x14ac:dyDescent="0.35">
      <c r="A124">
        <v>170008</v>
      </c>
      <c r="B124" t="s">
        <v>8019</v>
      </c>
      <c r="C124" t="str">
        <f>"9780415049429"</f>
        <v>9780415049429</v>
      </c>
      <c r="D124" t="str">
        <f>"9780203408513"</f>
        <v>9780203408513</v>
      </c>
      <c r="E124" t="s">
        <v>26010</v>
      </c>
      <c r="F124" t="s">
        <v>35</v>
      </c>
      <c r="G124" t="s">
        <v>22174</v>
      </c>
      <c r="H124" t="s">
        <v>26011</v>
      </c>
      <c r="I124" s="26">
        <v>30637</v>
      </c>
      <c r="J124">
        <v>1983</v>
      </c>
      <c r="K124" t="s">
        <v>26012</v>
      </c>
      <c r="L124">
        <v>170</v>
      </c>
      <c r="M124" t="s">
        <v>26475</v>
      </c>
      <c r="N124">
        <v>1</v>
      </c>
      <c r="Q124" t="s">
        <v>26476</v>
      </c>
      <c r="R124">
        <v>362.7</v>
      </c>
      <c r="S124" t="s">
        <v>26477</v>
      </c>
      <c r="T124" t="s">
        <v>30</v>
      </c>
      <c r="U124" t="s">
        <v>26044</v>
      </c>
      <c r="W124" t="s">
        <v>26009</v>
      </c>
    </row>
    <row r="125" spans="1:23" x14ac:dyDescent="0.35">
      <c r="A125">
        <v>170031</v>
      </c>
      <c r="B125" t="s">
        <v>26478</v>
      </c>
      <c r="C125" t="str">
        <f>"9780415083249"</f>
        <v>9780415083249</v>
      </c>
      <c r="D125" t="str">
        <f>"9780203418987"</f>
        <v>9780203418987</v>
      </c>
      <c r="E125" t="s">
        <v>26010</v>
      </c>
      <c r="F125" t="s">
        <v>35</v>
      </c>
      <c r="G125" t="s">
        <v>22174</v>
      </c>
      <c r="H125" t="s">
        <v>26011</v>
      </c>
      <c r="I125" s="26">
        <v>34666</v>
      </c>
      <c r="J125">
        <v>2002</v>
      </c>
      <c r="K125" t="s">
        <v>26012</v>
      </c>
      <c r="L125">
        <v>230</v>
      </c>
      <c r="M125" t="s">
        <v>26220</v>
      </c>
      <c r="N125">
        <v>1</v>
      </c>
      <c r="Q125">
        <v>94000344</v>
      </c>
      <c r="R125">
        <v>153</v>
      </c>
      <c r="S125" t="s">
        <v>7949</v>
      </c>
      <c r="T125" t="s">
        <v>30</v>
      </c>
      <c r="U125" t="s">
        <v>46</v>
      </c>
      <c r="W125" t="s">
        <v>26009</v>
      </c>
    </row>
    <row r="126" spans="1:23" x14ac:dyDescent="0.35">
      <c r="A126">
        <v>170044</v>
      </c>
      <c r="B126" t="s">
        <v>9597</v>
      </c>
      <c r="C126" t="str">
        <f>"9780415097147"</f>
        <v>9780415097147</v>
      </c>
      <c r="D126" t="str">
        <f>"9780203423356"</f>
        <v>9780203423356</v>
      </c>
      <c r="E126" t="s">
        <v>26010</v>
      </c>
      <c r="F126" t="s">
        <v>35</v>
      </c>
      <c r="G126" t="s">
        <v>22174</v>
      </c>
      <c r="H126" t="s">
        <v>26011</v>
      </c>
      <c r="I126" s="26">
        <v>34110</v>
      </c>
      <c r="J126">
        <v>2002</v>
      </c>
      <c r="K126" t="s">
        <v>26012</v>
      </c>
      <c r="L126">
        <v>156</v>
      </c>
      <c r="M126" t="s">
        <v>26479</v>
      </c>
      <c r="N126">
        <v>1</v>
      </c>
      <c r="Q126">
        <v>92047425</v>
      </c>
      <c r="R126">
        <v>364.3</v>
      </c>
      <c r="S126" t="s">
        <v>9598</v>
      </c>
      <c r="T126" t="s">
        <v>30</v>
      </c>
      <c r="U126" t="s">
        <v>26044</v>
      </c>
      <c r="W126" t="s">
        <v>26009</v>
      </c>
    </row>
    <row r="127" spans="1:23" x14ac:dyDescent="0.35">
      <c r="A127">
        <v>170061</v>
      </c>
      <c r="B127" t="s">
        <v>26480</v>
      </c>
      <c r="C127" t="str">
        <f>"9780415110181"</f>
        <v>9780415110181</v>
      </c>
      <c r="D127" t="str">
        <f>"9780203410684"</f>
        <v>9780203410684</v>
      </c>
      <c r="E127" t="s">
        <v>26010</v>
      </c>
      <c r="F127" t="s">
        <v>35</v>
      </c>
      <c r="G127" t="s">
        <v>22174</v>
      </c>
      <c r="H127" t="s">
        <v>26011</v>
      </c>
      <c r="I127" s="26">
        <v>35018</v>
      </c>
      <c r="J127">
        <v>1995</v>
      </c>
      <c r="K127" t="s">
        <v>26012</v>
      </c>
      <c r="L127">
        <v>218</v>
      </c>
      <c r="M127" t="s">
        <v>26481</v>
      </c>
      <c r="N127">
        <v>1</v>
      </c>
      <c r="Q127" t="s">
        <v>26482</v>
      </c>
      <c r="R127">
        <v>302.3</v>
      </c>
      <c r="S127" t="s">
        <v>9311</v>
      </c>
      <c r="T127" t="s">
        <v>30</v>
      </c>
      <c r="U127" t="s">
        <v>26044</v>
      </c>
      <c r="W127" t="s">
        <v>26009</v>
      </c>
    </row>
    <row r="128" spans="1:23" x14ac:dyDescent="0.35">
      <c r="A128">
        <v>170082</v>
      </c>
      <c r="B128" t="s">
        <v>8647</v>
      </c>
      <c r="C128" t="str">
        <f>"9780415128872"</f>
        <v>9780415128872</v>
      </c>
      <c r="D128" t="str">
        <f>"9780203434277"</f>
        <v>9780203434277</v>
      </c>
      <c r="E128" t="s">
        <v>26010</v>
      </c>
      <c r="F128" t="s">
        <v>35</v>
      </c>
      <c r="G128" t="s">
        <v>22174</v>
      </c>
      <c r="H128" t="s">
        <v>26011</v>
      </c>
      <c r="I128" s="26">
        <v>35425</v>
      </c>
      <c r="J128">
        <v>1996</v>
      </c>
      <c r="K128" t="s">
        <v>26012</v>
      </c>
      <c r="L128">
        <v>240</v>
      </c>
      <c r="M128" t="s">
        <v>26483</v>
      </c>
      <c r="N128">
        <v>1</v>
      </c>
      <c r="Q128" t="s">
        <v>26484</v>
      </c>
      <c r="R128">
        <v>614.1</v>
      </c>
      <c r="S128" t="s">
        <v>8648</v>
      </c>
      <c r="T128" t="s">
        <v>30</v>
      </c>
      <c r="U128" t="s">
        <v>26282</v>
      </c>
      <c r="W128" t="s">
        <v>26009</v>
      </c>
    </row>
    <row r="129" spans="1:23" x14ac:dyDescent="0.35">
      <c r="A129">
        <v>170083</v>
      </c>
      <c r="B129" t="s">
        <v>7585</v>
      </c>
      <c r="C129" t="str">
        <f>"9780415093903"</f>
        <v>9780415093903</v>
      </c>
      <c r="D129" t="str">
        <f>"9780203434550"</f>
        <v>9780203434550</v>
      </c>
      <c r="E129" t="s">
        <v>26010</v>
      </c>
      <c r="F129" t="s">
        <v>35</v>
      </c>
      <c r="G129" t="s">
        <v>26128</v>
      </c>
      <c r="H129" t="s">
        <v>26011</v>
      </c>
      <c r="I129" s="26">
        <v>35073</v>
      </c>
      <c r="J129">
        <v>1995</v>
      </c>
      <c r="K129" t="s">
        <v>26012</v>
      </c>
      <c r="L129">
        <v>212</v>
      </c>
      <c r="M129" t="s">
        <v>26485</v>
      </c>
      <c r="N129">
        <v>1</v>
      </c>
      <c r="Q129" t="s">
        <v>26486</v>
      </c>
      <c r="R129" t="s">
        <v>26487</v>
      </c>
      <c r="S129" t="s">
        <v>26488</v>
      </c>
      <c r="T129" t="s">
        <v>30</v>
      </c>
      <c r="U129" t="s">
        <v>26116</v>
      </c>
      <c r="W129" t="s">
        <v>26009</v>
      </c>
    </row>
    <row r="130" spans="1:23" x14ac:dyDescent="0.35">
      <c r="A130">
        <v>170086</v>
      </c>
      <c r="B130" t="s">
        <v>9238</v>
      </c>
      <c r="C130" t="str">
        <f>"9780415131438"</f>
        <v>9780415131438</v>
      </c>
      <c r="D130" t="str">
        <f>"9780203435212"</f>
        <v>9780203435212</v>
      </c>
      <c r="E130" t="s">
        <v>26010</v>
      </c>
      <c r="F130" t="s">
        <v>35</v>
      </c>
      <c r="G130" t="s">
        <v>26128</v>
      </c>
      <c r="H130" t="s">
        <v>26011</v>
      </c>
      <c r="I130" s="26">
        <v>35279</v>
      </c>
      <c r="J130">
        <v>1996</v>
      </c>
      <c r="K130" t="s">
        <v>26012</v>
      </c>
      <c r="L130">
        <v>334</v>
      </c>
      <c r="M130" t="s">
        <v>26489</v>
      </c>
      <c r="N130">
        <v>1</v>
      </c>
      <c r="Q130" t="s">
        <v>26490</v>
      </c>
      <c r="R130" t="s">
        <v>26491</v>
      </c>
      <c r="S130" t="s">
        <v>9239</v>
      </c>
      <c r="T130" t="s">
        <v>30</v>
      </c>
      <c r="U130" t="s">
        <v>26170</v>
      </c>
      <c r="W130" t="s">
        <v>26009</v>
      </c>
    </row>
    <row r="131" spans="1:23" x14ac:dyDescent="0.35">
      <c r="A131">
        <v>170087</v>
      </c>
      <c r="B131" t="s">
        <v>26492</v>
      </c>
      <c r="C131" t="str">
        <f>"9780415131445"</f>
        <v>9780415131445</v>
      </c>
      <c r="D131" t="str">
        <f>"9780203435229"</f>
        <v>9780203435229</v>
      </c>
      <c r="E131" t="s">
        <v>26010</v>
      </c>
      <c r="F131" t="s">
        <v>35</v>
      </c>
      <c r="G131" t="s">
        <v>22174</v>
      </c>
      <c r="H131" t="s">
        <v>26011</v>
      </c>
      <c r="I131" s="26">
        <v>36349</v>
      </c>
      <c r="J131">
        <v>1999</v>
      </c>
      <c r="K131" t="s">
        <v>26012</v>
      </c>
      <c r="L131">
        <v>182</v>
      </c>
      <c r="M131" t="s">
        <v>26493</v>
      </c>
      <c r="N131">
        <v>1</v>
      </c>
      <c r="Q131" t="s">
        <v>26494</v>
      </c>
      <c r="R131">
        <v>361.06</v>
      </c>
      <c r="S131" t="s">
        <v>46</v>
      </c>
      <c r="T131" t="s">
        <v>30</v>
      </c>
      <c r="U131" t="s">
        <v>26170</v>
      </c>
      <c r="W131" t="s">
        <v>26009</v>
      </c>
    </row>
    <row r="132" spans="1:23" x14ac:dyDescent="0.35">
      <c r="A132">
        <v>170090</v>
      </c>
      <c r="B132" t="s">
        <v>26495</v>
      </c>
      <c r="C132" t="str">
        <f>"9780415131735"</f>
        <v>9780415131735</v>
      </c>
      <c r="D132" t="str">
        <f>"9780203435311"</f>
        <v>9780203435311</v>
      </c>
      <c r="E132" t="s">
        <v>26010</v>
      </c>
      <c r="F132" t="s">
        <v>35</v>
      </c>
      <c r="G132" t="s">
        <v>22174</v>
      </c>
      <c r="H132" t="s">
        <v>26011</v>
      </c>
      <c r="I132" s="26">
        <v>35055</v>
      </c>
      <c r="J132">
        <v>1995</v>
      </c>
      <c r="K132" t="s">
        <v>26012</v>
      </c>
      <c r="L132">
        <v>219</v>
      </c>
      <c r="M132" t="s">
        <v>26496</v>
      </c>
      <c r="N132">
        <v>1</v>
      </c>
      <c r="Q132" t="s">
        <v>26497</v>
      </c>
      <c r="R132">
        <v>822.00935300000003</v>
      </c>
      <c r="S132" t="s">
        <v>26498</v>
      </c>
      <c r="T132" t="s">
        <v>30</v>
      </c>
      <c r="U132" t="s">
        <v>26499</v>
      </c>
      <c r="W132" t="s">
        <v>26009</v>
      </c>
    </row>
    <row r="133" spans="1:23" x14ac:dyDescent="0.35">
      <c r="A133">
        <v>170101</v>
      </c>
      <c r="B133" t="s">
        <v>26500</v>
      </c>
      <c r="C133" t="str">
        <f>"9780415137980"</f>
        <v>9780415137980</v>
      </c>
      <c r="D133" t="str">
        <f>"9780203437452"</f>
        <v>9780203437452</v>
      </c>
      <c r="E133" t="s">
        <v>26010</v>
      </c>
      <c r="F133" t="s">
        <v>35</v>
      </c>
      <c r="G133" t="s">
        <v>22174</v>
      </c>
      <c r="H133" t="s">
        <v>26011</v>
      </c>
      <c r="I133" s="26">
        <v>35779</v>
      </c>
      <c r="J133">
        <v>1998</v>
      </c>
      <c r="K133" t="s">
        <v>26012</v>
      </c>
      <c r="L133">
        <v>362</v>
      </c>
      <c r="M133" t="s">
        <v>26501</v>
      </c>
      <c r="N133">
        <v>1</v>
      </c>
      <c r="Q133" t="s">
        <v>26502</v>
      </c>
      <c r="R133">
        <v>302</v>
      </c>
      <c r="S133" t="s">
        <v>7546</v>
      </c>
      <c r="T133" t="s">
        <v>30</v>
      </c>
      <c r="U133" t="s">
        <v>26044</v>
      </c>
      <c r="W133" t="s">
        <v>26009</v>
      </c>
    </row>
    <row r="134" spans="1:23" x14ac:dyDescent="0.35">
      <c r="A134">
        <v>170154</v>
      </c>
      <c r="B134" t="s">
        <v>26503</v>
      </c>
      <c r="C134" t="str">
        <f>"9780415206150"</f>
        <v>9780415206150</v>
      </c>
      <c r="D134" t="str">
        <f>"9780203459348"</f>
        <v>9780203459348</v>
      </c>
      <c r="E134" t="s">
        <v>26010</v>
      </c>
      <c r="F134" t="s">
        <v>35</v>
      </c>
      <c r="G134" t="s">
        <v>22174</v>
      </c>
      <c r="H134" t="s">
        <v>26011</v>
      </c>
      <c r="I134" s="26">
        <v>36682</v>
      </c>
      <c r="J134">
        <v>2000</v>
      </c>
      <c r="K134" t="s">
        <v>26012</v>
      </c>
      <c r="L134">
        <v>245</v>
      </c>
      <c r="M134" t="s">
        <v>26504</v>
      </c>
      <c r="N134">
        <v>1</v>
      </c>
      <c r="Q134" t="s">
        <v>26505</v>
      </c>
      <c r="R134">
        <v>306</v>
      </c>
      <c r="S134" t="s">
        <v>8538</v>
      </c>
      <c r="T134" t="s">
        <v>30</v>
      </c>
      <c r="U134" t="s">
        <v>26044</v>
      </c>
      <c r="W134" t="s">
        <v>26009</v>
      </c>
    </row>
    <row r="135" spans="1:23" x14ac:dyDescent="0.35">
      <c r="A135">
        <v>170157</v>
      </c>
      <c r="B135" t="s">
        <v>26506</v>
      </c>
      <c r="C135" t="str">
        <f>"9780415208468"</f>
        <v>9780415208468</v>
      </c>
      <c r="D135" t="str">
        <f>"9780203460160"</f>
        <v>9780203460160</v>
      </c>
      <c r="E135" t="s">
        <v>26010</v>
      </c>
      <c r="F135" t="s">
        <v>35</v>
      </c>
      <c r="G135" t="s">
        <v>22174</v>
      </c>
      <c r="H135" t="s">
        <v>26011</v>
      </c>
      <c r="I135" s="26">
        <v>36516</v>
      </c>
      <c r="J135">
        <v>1999</v>
      </c>
      <c r="K135" t="s">
        <v>26012</v>
      </c>
      <c r="L135">
        <v>255</v>
      </c>
      <c r="M135" t="s">
        <v>26507</v>
      </c>
      <c r="N135">
        <v>1</v>
      </c>
      <c r="Q135" t="s">
        <v>26508</v>
      </c>
      <c r="R135">
        <v>361.06071100000003</v>
      </c>
      <c r="S135" t="s">
        <v>7648</v>
      </c>
      <c r="T135" t="s">
        <v>30</v>
      </c>
      <c r="U135" t="s">
        <v>26509</v>
      </c>
      <c r="W135" t="s">
        <v>26009</v>
      </c>
    </row>
    <row r="136" spans="1:23" x14ac:dyDescent="0.35">
      <c r="A136">
        <v>170198</v>
      </c>
      <c r="B136" t="s">
        <v>8122</v>
      </c>
      <c r="C136" t="str">
        <f>"9780415238403"</f>
        <v>9780415238403</v>
      </c>
      <c r="D136" t="str">
        <f>"9780203469835"</f>
        <v>9780203469835</v>
      </c>
      <c r="E136" t="s">
        <v>26010</v>
      </c>
      <c r="F136" t="s">
        <v>35</v>
      </c>
      <c r="G136" t="s">
        <v>22174</v>
      </c>
      <c r="H136" t="s">
        <v>26011</v>
      </c>
      <c r="I136" s="26">
        <v>37407</v>
      </c>
      <c r="J136">
        <v>2002</v>
      </c>
      <c r="K136" t="s">
        <v>26012</v>
      </c>
      <c r="L136">
        <v>169</v>
      </c>
      <c r="M136" t="s">
        <v>26510</v>
      </c>
      <c r="N136">
        <v>1</v>
      </c>
      <c r="O136" t="s">
        <v>26144</v>
      </c>
      <c r="Q136" t="s">
        <v>26511</v>
      </c>
      <c r="R136">
        <v>591.5</v>
      </c>
      <c r="S136" t="s">
        <v>8123</v>
      </c>
      <c r="T136" t="s">
        <v>30</v>
      </c>
      <c r="U136" t="s">
        <v>26512</v>
      </c>
      <c r="W136" t="s">
        <v>26009</v>
      </c>
    </row>
    <row r="137" spans="1:23" x14ac:dyDescent="0.35">
      <c r="A137">
        <v>170217</v>
      </c>
      <c r="B137" t="s">
        <v>26513</v>
      </c>
      <c r="C137" t="str">
        <f>"9780415908795"</f>
        <v>9780415908795</v>
      </c>
      <c r="D137" t="str">
        <f>"9780203902059"</f>
        <v>9780203902059</v>
      </c>
      <c r="E137" t="s">
        <v>26010</v>
      </c>
      <c r="F137" t="s">
        <v>35</v>
      </c>
      <c r="G137" t="s">
        <v>22174</v>
      </c>
      <c r="H137" t="s">
        <v>26011</v>
      </c>
      <c r="I137" s="26">
        <v>36549</v>
      </c>
      <c r="J137">
        <v>2000</v>
      </c>
      <c r="K137" t="s">
        <v>26012</v>
      </c>
      <c r="L137">
        <v>273</v>
      </c>
      <c r="M137" t="s">
        <v>26514</v>
      </c>
      <c r="N137">
        <v>1</v>
      </c>
      <c r="Q137" t="s">
        <v>26515</v>
      </c>
      <c r="R137">
        <v>150.19499999999999</v>
      </c>
      <c r="S137" t="s">
        <v>3513</v>
      </c>
      <c r="T137" t="s">
        <v>30</v>
      </c>
      <c r="U137" t="s">
        <v>46</v>
      </c>
      <c r="W137" t="s">
        <v>26009</v>
      </c>
    </row>
    <row r="138" spans="1:23" x14ac:dyDescent="0.35">
      <c r="A138">
        <v>170218</v>
      </c>
      <c r="B138" t="s">
        <v>26516</v>
      </c>
      <c r="C138" t="str">
        <f>"9780415915854"</f>
        <v>9780415915854</v>
      </c>
      <c r="D138" t="str">
        <f>"9780203905258"</f>
        <v>9780203905258</v>
      </c>
      <c r="E138" t="s">
        <v>26010</v>
      </c>
      <c r="F138" t="s">
        <v>35</v>
      </c>
      <c r="G138" t="s">
        <v>26128</v>
      </c>
      <c r="H138" t="s">
        <v>26011</v>
      </c>
      <c r="I138" s="26">
        <v>36214</v>
      </c>
      <c r="J138">
        <v>1999</v>
      </c>
      <c r="K138" t="s">
        <v>26012</v>
      </c>
      <c r="L138">
        <v>289</v>
      </c>
      <c r="M138" t="s">
        <v>26517</v>
      </c>
      <c r="N138">
        <v>1</v>
      </c>
      <c r="Q138" t="s">
        <v>26518</v>
      </c>
      <c r="R138" t="s">
        <v>26519</v>
      </c>
      <c r="S138" t="s">
        <v>9398</v>
      </c>
      <c r="T138" t="s">
        <v>30</v>
      </c>
      <c r="U138" t="s">
        <v>26520</v>
      </c>
      <c r="W138" t="s">
        <v>26009</v>
      </c>
    </row>
    <row r="139" spans="1:23" x14ac:dyDescent="0.35">
      <c r="A139">
        <v>170351</v>
      </c>
      <c r="B139" t="s">
        <v>26521</v>
      </c>
      <c r="C139" t="str">
        <f>"9781857280678"</f>
        <v>9781857280678</v>
      </c>
      <c r="D139" t="str">
        <f>"9780203498965"</f>
        <v>9780203498965</v>
      </c>
      <c r="E139" t="s">
        <v>26010</v>
      </c>
      <c r="F139" t="s">
        <v>35</v>
      </c>
      <c r="G139" t="s">
        <v>22174</v>
      </c>
      <c r="H139" t="s">
        <v>26011</v>
      </c>
      <c r="I139" s="26">
        <v>34731</v>
      </c>
      <c r="J139">
        <v>1995</v>
      </c>
      <c r="K139" t="s">
        <v>26012</v>
      </c>
      <c r="L139">
        <v>241</v>
      </c>
      <c r="M139" t="s">
        <v>26522</v>
      </c>
      <c r="N139">
        <v>1</v>
      </c>
      <c r="Q139" t="s">
        <v>26523</v>
      </c>
      <c r="R139">
        <v>153.83000000000001</v>
      </c>
      <c r="S139" t="s">
        <v>26524</v>
      </c>
      <c r="T139" t="s">
        <v>30</v>
      </c>
      <c r="U139" t="s">
        <v>26228</v>
      </c>
      <c r="W139" t="s">
        <v>26009</v>
      </c>
    </row>
    <row r="140" spans="1:23" x14ac:dyDescent="0.35">
      <c r="A140">
        <v>170356</v>
      </c>
      <c r="B140" t="s">
        <v>9092</v>
      </c>
      <c r="C140" t="str">
        <f>"9781857281712"</f>
        <v>9781857281712</v>
      </c>
      <c r="D140" t="str">
        <f>"9780203499412"</f>
        <v>9780203499412</v>
      </c>
      <c r="E140" t="s">
        <v>26010</v>
      </c>
      <c r="F140" t="s">
        <v>35</v>
      </c>
      <c r="G140" t="s">
        <v>22174</v>
      </c>
      <c r="H140" t="s">
        <v>26011</v>
      </c>
      <c r="I140" s="26">
        <v>36342</v>
      </c>
      <c r="J140">
        <v>1999</v>
      </c>
      <c r="K140" t="s">
        <v>26012</v>
      </c>
      <c r="L140">
        <v>254</v>
      </c>
      <c r="M140" t="s">
        <v>26525</v>
      </c>
      <c r="N140">
        <v>1</v>
      </c>
      <c r="O140" t="s">
        <v>26526</v>
      </c>
      <c r="Q140">
        <v>500742</v>
      </c>
      <c r="R140" t="s">
        <v>26527</v>
      </c>
      <c r="S140" t="s">
        <v>9093</v>
      </c>
      <c r="T140" t="s">
        <v>30</v>
      </c>
      <c r="U140" t="s">
        <v>26040</v>
      </c>
      <c r="W140" t="s">
        <v>26009</v>
      </c>
    </row>
    <row r="141" spans="1:23" x14ac:dyDescent="0.35">
      <c r="A141">
        <v>170374</v>
      </c>
      <c r="B141" t="s">
        <v>7566</v>
      </c>
      <c r="C141" t="str">
        <f>"9780415138413"</f>
        <v>9780415138413</v>
      </c>
      <c r="D141" t="str">
        <f>"9780203437599"</f>
        <v>9780203437599</v>
      </c>
      <c r="E141" t="s">
        <v>26010</v>
      </c>
      <c r="F141" t="s">
        <v>35</v>
      </c>
      <c r="G141" t="s">
        <v>22174</v>
      </c>
      <c r="H141" t="s">
        <v>26011</v>
      </c>
      <c r="I141" s="26">
        <v>35522</v>
      </c>
      <c r="J141">
        <v>1997</v>
      </c>
      <c r="K141" t="s">
        <v>26012</v>
      </c>
      <c r="L141">
        <v>281</v>
      </c>
      <c r="M141" t="s">
        <v>26528</v>
      </c>
      <c r="N141">
        <v>1</v>
      </c>
      <c r="Q141" t="s">
        <v>26529</v>
      </c>
      <c r="R141">
        <v>616.89065156000004</v>
      </c>
      <c r="S141" t="s">
        <v>7567</v>
      </c>
      <c r="T141" t="s">
        <v>30</v>
      </c>
      <c r="U141" t="s">
        <v>26116</v>
      </c>
      <c r="W141" t="s">
        <v>26009</v>
      </c>
    </row>
    <row r="142" spans="1:23" x14ac:dyDescent="0.35">
      <c r="A142">
        <v>170405</v>
      </c>
      <c r="B142" t="s">
        <v>9273</v>
      </c>
      <c r="C142" t="str">
        <f>"9780415106283"</f>
        <v>9780415106283</v>
      </c>
      <c r="D142" t="str">
        <f>"9781134844593"</f>
        <v>9781134844593</v>
      </c>
      <c r="E142" t="s">
        <v>26010</v>
      </c>
      <c r="F142" t="s">
        <v>35</v>
      </c>
      <c r="G142" t="s">
        <v>26128</v>
      </c>
      <c r="H142" t="s">
        <v>26011</v>
      </c>
      <c r="I142" s="26">
        <v>34919</v>
      </c>
      <c r="J142">
        <v>1995</v>
      </c>
      <c r="K142" t="s">
        <v>26012</v>
      </c>
      <c r="L142">
        <v>234</v>
      </c>
      <c r="M142" t="s">
        <v>26530</v>
      </c>
      <c r="N142">
        <v>1</v>
      </c>
      <c r="Q142" t="s">
        <v>26531</v>
      </c>
      <c r="R142" t="s">
        <v>26532</v>
      </c>
      <c r="S142" t="s">
        <v>26533</v>
      </c>
      <c r="T142" t="s">
        <v>30</v>
      </c>
      <c r="U142" t="s">
        <v>26534</v>
      </c>
      <c r="W142" t="s">
        <v>26009</v>
      </c>
    </row>
    <row r="143" spans="1:23" x14ac:dyDescent="0.35">
      <c r="A143">
        <v>170408</v>
      </c>
      <c r="B143" t="s">
        <v>26535</v>
      </c>
      <c r="C143" t="str">
        <f>"9780415109574"</f>
        <v>9780415109574</v>
      </c>
      <c r="D143" t="str">
        <f>"9780203427606"</f>
        <v>9780203427606</v>
      </c>
      <c r="E143" t="s">
        <v>26010</v>
      </c>
      <c r="F143" t="s">
        <v>35</v>
      </c>
      <c r="G143" t="s">
        <v>22174</v>
      </c>
      <c r="H143" t="s">
        <v>26004</v>
      </c>
      <c r="I143" s="26">
        <v>35375</v>
      </c>
      <c r="J143">
        <v>1996</v>
      </c>
      <c r="K143" t="s">
        <v>26012</v>
      </c>
      <c r="L143">
        <v>168</v>
      </c>
      <c r="M143" t="s">
        <v>26536</v>
      </c>
      <c r="N143">
        <v>1</v>
      </c>
      <c r="Q143" t="s">
        <v>26537</v>
      </c>
      <c r="R143" t="s">
        <v>26538</v>
      </c>
      <c r="S143" t="s">
        <v>26539</v>
      </c>
      <c r="T143" t="s">
        <v>30</v>
      </c>
      <c r="U143" t="s">
        <v>26019</v>
      </c>
      <c r="W143" t="s">
        <v>26009</v>
      </c>
    </row>
    <row r="144" spans="1:23" x14ac:dyDescent="0.35">
      <c r="A144">
        <v>170413</v>
      </c>
      <c r="B144" t="s">
        <v>26540</v>
      </c>
      <c r="C144" t="str">
        <f>"9780415116145"</f>
        <v>9780415116145</v>
      </c>
      <c r="D144" t="str">
        <f>"9780203429402"</f>
        <v>9780203429402</v>
      </c>
      <c r="E144" t="s">
        <v>26010</v>
      </c>
      <c r="F144" t="s">
        <v>35</v>
      </c>
      <c r="G144" t="s">
        <v>26128</v>
      </c>
      <c r="H144" t="s">
        <v>26011</v>
      </c>
      <c r="I144" s="26">
        <v>35221</v>
      </c>
      <c r="J144">
        <v>1996</v>
      </c>
      <c r="K144" t="s">
        <v>26012</v>
      </c>
      <c r="L144">
        <v>295</v>
      </c>
      <c r="M144" t="s">
        <v>26541</v>
      </c>
      <c r="N144">
        <v>1</v>
      </c>
      <c r="R144" t="s">
        <v>26542</v>
      </c>
      <c r="S144" t="s">
        <v>26543</v>
      </c>
      <c r="T144" t="s">
        <v>30</v>
      </c>
      <c r="U144" t="s">
        <v>26040</v>
      </c>
      <c r="W144" t="s">
        <v>26009</v>
      </c>
    </row>
    <row r="145" spans="1:23" x14ac:dyDescent="0.35">
      <c r="A145">
        <v>170435</v>
      </c>
      <c r="B145" t="s">
        <v>26544</v>
      </c>
      <c r="C145" t="str">
        <f>"9780415145725"</f>
        <v>9780415145725</v>
      </c>
      <c r="D145" t="str">
        <f>"9780203440216"</f>
        <v>9780203440216</v>
      </c>
      <c r="E145" t="s">
        <v>26010</v>
      </c>
      <c r="F145" t="s">
        <v>35</v>
      </c>
      <c r="G145" t="s">
        <v>22174</v>
      </c>
      <c r="H145" t="s">
        <v>26011</v>
      </c>
      <c r="I145" s="26">
        <v>35486</v>
      </c>
      <c r="J145">
        <v>1997</v>
      </c>
      <c r="K145" t="s">
        <v>26012</v>
      </c>
      <c r="L145">
        <v>167</v>
      </c>
      <c r="M145" t="s">
        <v>26545</v>
      </c>
      <c r="N145">
        <v>1</v>
      </c>
      <c r="Q145" t="s">
        <v>26546</v>
      </c>
      <c r="R145">
        <v>618.92891523000003</v>
      </c>
      <c r="S145" t="s">
        <v>9244</v>
      </c>
      <c r="T145" t="s">
        <v>30</v>
      </c>
      <c r="U145" t="s">
        <v>26116</v>
      </c>
      <c r="W145" t="s">
        <v>26009</v>
      </c>
    </row>
    <row r="146" spans="1:23" x14ac:dyDescent="0.35">
      <c r="A146">
        <v>170440</v>
      </c>
      <c r="B146" t="s">
        <v>26547</v>
      </c>
      <c r="C146" t="str">
        <f>"9780415148351"</f>
        <v>9780415148351</v>
      </c>
      <c r="D146" t="str">
        <f>"9780203441039"</f>
        <v>9780203441039</v>
      </c>
      <c r="E146" t="s">
        <v>26010</v>
      </c>
      <c r="F146" t="s">
        <v>35</v>
      </c>
      <c r="G146" t="s">
        <v>22174</v>
      </c>
      <c r="H146" t="s">
        <v>26011</v>
      </c>
      <c r="I146" s="26">
        <v>35780</v>
      </c>
      <c r="J146">
        <v>1997</v>
      </c>
      <c r="K146" t="s">
        <v>26012</v>
      </c>
      <c r="L146">
        <v>214</v>
      </c>
      <c r="M146" t="s">
        <v>26548</v>
      </c>
      <c r="N146">
        <v>1</v>
      </c>
      <c r="O146" t="s">
        <v>26344</v>
      </c>
      <c r="Q146" t="s">
        <v>26549</v>
      </c>
      <c r="R146" t="s">
        <v>26550</v>
      </c>
      <c r="S146" t="s">
        <v>8277</v>
      </c>
      <c r="T146" t="s">
        <v>30</v>
      </c>
      <c r="U146" t="s">
        <v>26040</v>
      </c>
      <c r="W146" t="s">
        <v>26009</v>
      </c>
    </row>
    <row r="147" spans="1:23" x14ac:dyDescent="0.35">
      <c r="A147">
        <v>170532</v>
      </c>
      <c r="B147" t="s">
        <v>9809</v>
      </c>
      <c r="C147" t="str">
        <f>"9780415926898"</f>
        <v>9780415926898</v>
      </c>
      <c r="D147" t="str">
        <f>"9780203906682"</f>
        <v>9780203906682</v>
      </c>
      <c r="E147" t="s">
        <v>26010</v>
      </c>
      <c r="F147" t="s">
        <v>35</v>
      </c>
      <c r="G147" t="s">
        <v>22174</v>
      </c>
      <c r="H147" t="s">
        <v>26011</v>
      </c>
      <c r="I147" s="26">
        <v>36790</v>
      </c>
      <c r="J147">
        <v>2000</v>
      </c>
      <c r="K147" t="s">
        <v>26012</v>
      </c>
      <c r="L147">
        <v>200</v>
      </c>
      <c r="M147" t="s">
        <v>26551</v>
      </c>
      <c r="N147">
        <v>1</v>
      </c>
      <c r="Q147" t="s">
        <v>26552</v>
      </c>
      <c r="R147">
        <v>155.19999999999999</v>
      </c>
      <c r="S147" t="s">
        <v>9808</v>
      </c>
      <c r="T147" t="s">
        <v>30</v>
      </c>
      <c r="U147" t="s">
        <v>46</v>
      </c>
      <c r="W147" t="s">
        <v>26009</v>
      </c>
    </row>
    <row r="148" spans="1:23" x14ac:dyDescent="0.35">
      <c r="A148">
        <v>170990</v>
      </c>
      <c r="B148" t="s">
        <v>9916</v>
      </c>
      <c r="C148" t="str">
        <f>"9780415257268"</f>
        <v>9780415257268</v>
      </c>
      <c r="D148" t="str">
        <f>"9780203167489"</f>
        <v>9780203167489</v>
      </c>
      <c r="E148" t="s">
        <v>26010</v>
      </c>
      <c r="F148" t="s">
        <v>35</v>
      </c>
      <c r="G148" t="s">
        <v>26337</v>
      </c>
      <c r="H148" t="s">
        <v>26004</v>
      </c>
      <c r="I148" s="26">
        <v>37596</v>
      </c>
      <c r="J148">
        <v>2002</v>
      </c>
      <c r="K148" t="s">
        <v>26012</v>
      </c>
      <c r="L148">
        <v>278</v>
      </c>
      <c r="M148" t="s">
        <v>26553</v>
      </c>
      <c r="N148">
        <v>1</v>
      </c>
      <c r="O148" t="s">
        <v>26554</v>
      </c>
      <c r="Q148" t="s">
        <v>26555</v>
      </c>
      <c r="R148">
        <v>306</v>
      </c>
      <c r="S148" t="s">
        <v>26556</v>
      </c>
      <c r="T148" t="s">
        <v>30</v>
      </c>
      <c r="U148" t="s">
        <v>26044</v>
      </c>
      <c r="W148" t="s">
        <v>26009</v>
      </c>
    </row>
    <row r="149" spans="1:23" x14ac:dyDescent="0.35">
      <c r="A149">
        <v>171352</v>
      </c>
      <c r="B149" t="s">
        <v>26557</v>
      </c>
      <c r="C149" t="str">
        <f>"9780415286473"</f>
        <v>9780415286473</v>
      </c>
      <c r="D149" t="str">
        <f>"9780203391471"</f>
        <v>9780203391471</v>
      </c>
      <c r="E149" t="s">
        <v>26010</v>
      </c>
      <c r="F149" t="s">
        <v>35</v>
      </c>
      <c r="G149" t="s">
        <v>22174</v>
      </c>
      <c r="H149" t="s">
        <v>26011</v>
      </c>
      <c r="I149" s="26">
        <v>37750</v>
      </c>
      <c r="J149">
        <v>2003</v>
      </c>
      <c r="K149" t="s">
        <v>26012</v>
      </c>
      <c r="L149">
        <v>277</v>
      </c>
      <c r="M149" t="s">
        <v>26558</v>
      </c>
      <c r="N149">
        <v>1</v>
      </c>
      <c r="O149" t="s">
        <v>26380</v>
      </c>
      <c r="Q149" t="s">
        <v>26559</v>
      </c>
      <c r="R149">
        <v>128.30000000000001</v>
      </c>
      <c r="S149" t="s">
        <v>7962</v>
      </c>
      <c r="T149" t="s">
        <v>30</v>
      </c>
      <c r="U149" t="s">
        <v>26560</v>
      </c>
      <c r="W149" t="s">
        <v>26009</v>
      </c>
    </row>
    <row r="150" spans="1:23" x14ac:dyDescent="0.35">
      <c r="A150">
        <v>171353</v>
      </c>
      <c r="B150" t="s">
        <v>9699</v>
      </c>
      <c r="C150" t="str">
        <f>"9780415286480"</f>
        <v>9780415286480</v>
      </c>
      <c r="D150" t="str">
        <f>"9780203391532"</f>
        <v>9780203391532</v>
      </c>
      <c r="E150" t="s">
        <v>26010</v>
      </c>
      <c r="F150" t="s">
        <v>35</v>
      </c>
      <c r="G150" t="s">
        <v>22174</v>
      </c>
      <c r="H150" t="s">
        <v>26011</v>
      </c>
      <c r="I150" s="26">
        <v>37777</v>
      </c>
      <c r="J150">
        <v>2004</v>
      </c>
      <c r="K150" t="s">
        <v>26012</v>
      </c>
      <c r="L150">
        <v>237</v>
      </c>
      <c r="M150" t="s">
        <v>26558</v>
      </c>
      <c r="N150">
        <v>1</v>
      </c>
      <c r="O150" t="s">
        <v>26380</v>
      </c>
      <c r="Q150" t="s">
        <v>26561</v>
      </c>
      <c r="R150" t="s">
        <v>26562</v>
      </c>
      <c r="S150" t="s">
        <v>9700</v>
      </c>
      <c r="T150" t="s">
        <v>30</v>
      </c>
      <c r="U150" t="s">
        <v>46</v>
      </c>
      <c r="W150" t="s">
        <v>26009</v>
      </c>
    </row>
    <row r="151" spans="1:23" x14ac:dyDescent="0.35">
      <c r="A151">
        <v>171394</v>
      </c>
      <c r="B151" t="s">
        <v>26563</v>
      </c>
      <c r="C151" t="str">
        <f>"9780415297387"</f>
        <v>9780415297387</v>
      </c>
      <c r="D151" t="str">
        <f>"9780203217733"</f>
        <v>9780203217733</v>
      </c>
      <c r="E151" t="s">
        <v>26010</v>
      </c>
      <c r="F151" t="s">
        <v>35</v>
      </c>
      <c r="G151" t="s">
        <v>22174</v>
      </c>
      <c r="H151" t="s">
        <v>26011</v>
      </c>
      <c r="I151" s="26">
        <v>37610</v>
      </c>
      <c r="J151">
        <v>2002</v>
      </c>
      <c r="K151" t="s">
        <v>26012</v>
      </c>
      <c r="L151">
        <v>225</v>
      </c>
      <c r="M151" t="s">
        <v>26564</v>
      </c>
      <c r="N151">
        <v>1</v>
      </c>
      <c r="Q151" t="s">
        <v>26565</v>
      </c>
      <c r="R151">
        <v>306.85095189999998</v>
      </c>
      <c r="S151" t="s">
        <v>8935</v>
      </c>
      <c r="T151" t="s">
        <v>30</v>
      </c>
      <c r="U151" t="s">
        <v>26044</v>
      </c>
      <c r="W151" t="s">
        <v>26009</v>
      </c>
    </row>
    <row r="152" spans="1:23" x14ac:dyDescent="0.35">
      <c r="A152">
        <v>171556</v>
      </c>
      <c r="B152" t="s">
        <v>26566</v>
      </c>
      <c r="C152" t="str">
        <f>"9780415922043"</f>
        <v>9780415922043</v>
      </c>
      <c r="D152" t="str">
        <f>"9780203427323"</f>
        <v>9780203427323</v>
      </c>
      <c r="E152" t="s">
        <v>26010</v>
      </c>
      <c r="F152" t="s">
        <v>35</v>
      </c>
      <c r="G152" t="s">
        <v>26128</v>
      </c>
      <c r="H152" t="s">
        <v>26011</v>
      </c>
      <c r="I152" s="26">
        <v>36284</v>
      </c>
      <c r="J152">
        <v>1999</v>
      </c>
      <c r="K152" t="s">
        <v>26012</v>
      </c>
      <c r="L152">
        <v>237</v>
      </c>
      <c r="M152" t="s">
        <v>26567</v>
      </c>
      <c r="N152">
        <v>1</v>
      </c>
      <c r="Q152" t="s">
        <v>26568</v>
      </c>
      <c r="R152" t="s">
        <v>26035</v>
      </c>
      <c r="S152" t="s">
        <v>46</v>
      </c>
      <c r="T152" t="s">
        <v>30</v>
      </c>
      <c r="U152" t="s">
        <v>46</v>
      </c>
      <c r="W152" t="s">
        <v>26009</v>
      </c>
    </row>
    <row r="153" spans="1:23" x14ac:dyDescent="0.35">
      <c r="A153">
        <v>172381</v>
      </c>
      <c r="B153" t="s">
        <v>10184</v>
      </c>
      <c r="C153" t="str">
        <f>"9789057022982"</f>
        <v>9789057022982</v>
      </c>
      <c r="D153" t="str">
        <f>"9780203304273"</f>
        <v>9780203304273</v>
      </c>
      <c r="E153" t="s">
        <v>26010</v>
      </c>
      <c r="F153" t="s">
        <v>35</v>
      </c>
      <c r="G153" t="s">
        <v>26128</v>
      </c>
      <c r="H153" t="s">
        <v>26011</v>
      </c>
      <c r="I153" s="26">
        <v>36244</v>
      </c>
      <c r="J153">
        <v>1999</v>
      </c>
      <c r="K153" t="s">
        <v>26470</v>
      </c>
      <c r="L153">
        <v>188</v>
      </c>
      <c r="M153" t="s">
        <v>26569</v>
      </c>
      <c r="N153">
        <v>1</v>
      </c>
      <c r="Q153" t="s">
        <v>26570</v>
      </c>
      <c r="R153">
        <v>611.01880000000006</v>
      </c>
      <c r="S153" t="s">
        <v>8442</v>
      </c>
      <c r="T153" t="s">
        <v>30</v>
      </c>
      <c r="U153" t="s">
        <v>26571</v>
      </c>
      <c r="W153" t="s">
        <v>26009</v>
      </c>
    </row>
    <row r="154" spans="1:23" x14ac:dyDescent="0.35">
      <c r="A154">
        <v>178077</v>
      </c>
      <c r="B154" t="s">
        <v>26572</v>
      </c>
      <c r="C154" t="str">
        <f>"9780415040556"</f>
        <v>9780415040556</v>
      </c>
      <c r="D154" t="str">
        <f>"9780203032930"</f>
        <v>9780203032930</v>
      </c>
      <c r="E154" t="s">
        <v>26010</v>
      </c>
      <c r="F154" t="s">
        <v>35</v>
      </c>
      <c r="G154" t="s">
        <v>22174</v>
      </c>
      <c r="H154" t="s">
        <v>26004</v>
      </c>
      <c r="I154" s="26">
        <v>33234</v>
      </c>
      <c r="J154">
        <v>1990</v>
      </c>
      <c r="K154" t="s">
        <v>26012</v>
      </c>
      <c r="L154">
        <v>333</v>
      </c>
      <c r="M154" t="s">
        <v>26573</v>
      </c>
      <c r="N154">
        <v>1</v>
      </c>
      <c r="Q154" t="s">
        <v>26574</v>
      </c>
      <c r="R154">
        <v>362.28093799999999</v>
      </c>
      <c r="S154" t="s">
        <v>26575</v>
      </c>
      <c r="T154" t="s">
        <v>30</v>
      </c>
      <c r="U154" t="s">
        <v>26094</v>
      </c>
      <c r="W154" t="s">
        <v>26009</v>
      </c>
    </row>
    <row r="155" spans="1:23" x14ac:dyDescent="0.35">
      <c r="A155">
        <v>178160</v>
      </c>
      <c r="B155" t="s">
        <v>8817</v>
      </c>
      <c r="C155" t="str">
        <f>"9780415184410"</f>
        <v>9780415184410</v>
      </c>
      <c r="D155" t="str">
        <f>"9780203025789"</f>
        <v>9780203025789</v>
      </c>
      <c r="E155" t="s">
        <v>26010</v>
      </c>
      <c r="F155" t="s">
        <v>35</v>
      </c>
      <c r="G155" t="s">
        <v>26201</v>
      </c>
      <c r="H155" t="s">
        <v>26004</v>
      </c>
      <c r="I155" s="26">
        <v>36332</v>
      </c>
      <c r="J155">
        <v>1999</v>
      </c>
      <c r="K155" t="s">
        <v>26012</v>
      </c>
      <c r="L155">
        <v>335</v>
      </c>
      <c r="M155" t="s">
        <v>26576</v>
      </c>
      <c r="N155">
        <v>1</v>
      </c>
      <c r="O155" t="s">
        <v>26410</v>
      </c>
      <c r="Q155" t="s">
        <v>26577</v>
      </c>
      <c r="R155">
        <v>362.2</v>
      </c>
      <c r="S155" t="s">
        <v>26578</v>
      </c>
      <c r="T155" t="s">
        <v>30</v>
      </c>
      <c r="U155" t="s">
        <v>26579</v>
      </c>
      <c r="W155" t="s">
        <v>26009</v>
      </c>
    </row>
    <row r="156" spans="1:23" x14ac:dyDescent="0.35">
      <c r="A156">
        <v>178186</v>
      </c>
      <c r="B156" t="s">
        <v>9313</v>
      </c>
      <c r="C156" t="str">
        <f>"9780415058797"</f>
        <v>9780415058797</v>
      </c>
      <c r="D156" t="str">
        <f>"9780203136591"</f>
        <v>9780203136591</v>
      </c>
      <c r="E156" t="s">
        <v>26010</v>
      </c>
      <c r="F156" t="s">
        <v>35</v>
      </c>
      <c r="G156" t="s">
        <v>26201</v>
      </c>
      <c r="H156" t="s">
        <v>26004</v>
      </c>
      <c r="I156" s="26">
        <v>32098</v>
      </c>
      <c r="J156">
        <v>1988</v>
      </c>
      <c r="K156" t="s">
        <v>26012</v>
      </c>
      <c r="L156">
        <v>463</v>
      </c>
      <c r="M156" t="s">
        <v>26580</v>
      </c>
      <c r="N156">
        <v>1</v>
      </c>
      <c r="Q156" t="s">
        <v>26581</v>
      </c>
      <c r="R156">
        <v>155.422</v>
      </c>
      <c r="S156" t="s">
        <v>26582</v>
      </c>
      <c r="T156" t="s">
        <v>30</v>
      </c>
      <c r="U156" t="s">
        <v>26116</v>
      </c>
      <c r="W156" t="s">
        <v>26009</v>
      </c>
    </row>
    <row r="157" spans="1:23" x14ac:dyDescent="0.35">
      <c r="A157">
        <v>178189</v>
      </c>
      <c r="B157" t="s">
        <v>26583</v>
      </c>
      <c r="C157" t="str">
        <f>"9780415059848"</f>
        <v>9780415059848</v>
      </c>
      <c r="D157" t="str">
        <f>"9780203136669"</f>
        <v>9780203136669</v>
      </c>
      <c r="E157" t="s">
        <v>26010</v>
      </c>
      <c r="F157" t="s">
        <v>35</v>
      </c>
      <c r="G157" t="s">
        <v>22174</v>
      </c>
      <c r="H157" t="s">
        <v>26011</v>
      </c>
      <c r="I157" s="26">
        <v>34319</v>
      </c>
      <c r="J157">
        <v>1994</v>
      </c>
      <c r="K157" t="s">
        <v>26012</v>
      </c>
      <c r="L157">
        <v>124</v>
      </c>
      <c r="M157" t="s">
        <v>26584</v>
      </c>
      <c r="N157">
        <v>1</v>
      </c>
      <c r="Q157" t="s">
        <v>26585</v>
      </c>
      <c r="R157">
        <v>364.16399999999999</v>
      </c>
      <c r="S157" t="s">
        <v>26586</v>
      </c>
      <c r="T157" t="s">
        <v>30</v>
      </c>
      <c r="U157" t="s">
        <v>26509</v>
      </c>
      <c r="W157" t="s">
        <v>26009</v>
      </c>
    </row>
    <row r="158" spans="1:23" x14ac:dyDescent="0.35">
      <c r="A158">
        <v>178193</v>
      </c>
      <c r="B158" t="s">
        <v>26587</v>
      </c>
      <c r="C158" t="str">
        <f>"9780415101363"</f>
        <v>9780415101363</v>
      </c>
      <c r="D158" t="str">
        <f>"9780203137987"</f>
        <v>9780203137987</v>
      </c>
      <c r="E158" t="s">
        <v>26010</v>
      </c>
      <c r="F158" t="s">
        <v>35</v>
      </c>
      <c r="G158" t="s">
        <v>22174</v>
      </c>
      <c r="H158" t="s">
        <v>26011</v>
      </c>
      <c r="I158" s="26">
        <v>34423</v>
      </c>
      <c r="J158">
        <v>1994</v>
      </c>
      <c r="K158" t="s">
        <v>26012</v>
      </c>
      <c r="L158">
        <v>184</v>
      </c>
      <c r="M158" t="s">
        <v>26588</v>
      </c>
      <c r="N158">
        <v>1</v>
      </c>
      <c r="Q158" t="s">
        <v>26589</v>
      </c>
      <c r="R158">
        <v>616.89165000000003</v>
      </c>
      <c r="S158" t="s">
        <v>26590</v>
      </c>
      <c r="T158" t="s">
        <v>30</v>
      </c>
      <c r="U158" t="s">
        <v>26116</v>
      </c>
      <c r="W158" t="s">
        <v>26009</v>
      </c>
    </row>
    <row r="159" spans="1:23" x14ac:dyDescent="0.35">
      <c r="A159">
        <v>178208</v>
      </c>
      <c r="B159" t="s">
        <v>26591</v>
      </c>
      <c r="C159" t="str">
        <f>"9780415936774"</f>
        <v>9780415936774</v>
      </c>
      <c r="D159" t="str">
        <f>"9780203800997"</f>
        <v>9780203800997</v>
      </c>
      <c r="E159" t="s">
        <v>26010</v>
      </c>
      <c r="F159" t="s">
        <v>35</v>
      </c>
      <c r="G159" t="s">
        <v>26201</v>
      </c>
      <c r="H159" t="s">
        <v>26004</v>
      </c>
      <c r="I159" s="26">
        <v>37246</v>
      </c>
      <c r="J159">
        <v>2002</v>
      </c>
      <c r="K159" t="s">
        <v>26012</v>
      </c>
      <c r="L159">
        <v>669</v>
      </c>
      <c r="M159" t="s">
        <v>26592</v>
      </c>
      <c r="N159">
        <v>1</v>
      </c>
      <c r="Q159" t="s">
        <v>26593</v>
      </c>
      <c r="R159" t="s">
        <v>26594</v>
      </c>
      <c r="S159" t="s">
        <v>26595</v>
      </c>
      <c r="T159" t="s">
        <v>30</v>
      </c>
      <c r="U159" t="s">
        <v>46</v>
      </c>
      <c r="W159" t="s">
        <v>26009</v>
      </c>
    </row>
    <row r="160" spans="1:23" x14ac:dyDescent="0.35">
      <c r="A160">
        <v>178241</v>
      </c>
      <c r="B160" t="s">
        <v>26596</v>
      </c>
      <c r="C160" t="str">
        <f>"9781850009511"</f>
        <v>9781850009511</v>
      </c>
      <c r="D160" t="str">
        <f>"9781135386078"</f>
        <v>9781135386078</v>
      </c>
      <c r="E160" t="s">
        <v>26010</v>
      </c>
      <c r="F160" t="s">
        <v>7770</v>
      </c>
      <c r="G160" t="s">
        <v>22174</v>
      </c>
      <c r="H160" t="s">
        <v>26011</v>
      </c>
      <c r="I160" s="26">
        <v>33878</v>
      </c>
      <c r="J160">
        <v>1992</v>
      </c>
      <c r="K160" t="s">
        <v>26010</v>
      </c>
      <c r="L160">
        <v>201</v>
      </c>
      <c r="M160" t="s">
        <v>26597</v>
      </c>
      <c r="N160">
        <v>1</v>
      </c>
      <c r="Q160" t="s">
        <v>26598</v>
      </c>
      <c r="R160" t="s">
        <v>26599</v>
      </c>
      <c r="S160" t="s">
        <v>8039</v>
      </c>
      <c r="T160" t="s">
        <v>30</v>
      </c>
      <c r="U160" t="s">
        <v>26044</v>
      </c>
      <c r="W160" t="s">
        <v>26009</v>
      </c>
    </row>
    <row r="161" spans="1:23" x14ac:dyDescent="0.35">
      <c r="A161">
        <v>178242</v>
      </c>
      <c r="B161" t="s">
        <v>8144</v>
      </c>
      <c r="C161" t="str">
        <f>"9780415094887"</f>
        <v>9780415094887</v>
      </c>
      <c r="D161" t="str">
        <f>"9780203133774"</f>
        <v>9780203133774</v>
      </c>
      <c r="E161" t="s">
        <v>26010</v>
      </c>
      <c r="F161" t="s">
        <v>35</v>
      </c>
      <c r="G161" t="s">
        <v>22174</v>
      </c>
      <c r="H161" t="s">
        <v>26011</v>
      </c>
      <c r="I161" s="26">
        <v>34305</v>
      </c>
      <c r="J161">
        <v>1993</v>
      </c>
      <c r="K161" t="s">
        <v>26012</v>
      </c>
      <c r="L161">
        <v>216</v>
      </c>
      <c r="M161" t="s">
        <v>26600</v>
      </c>
      <c r="N161">
        <v>2</v>
      </c>
      <c r="O161" t="s">
        <v>26601</v>
      </c>
      <c r="Q161" t="s">
        <v>26602</v>
      </c>
      <c r="R161" t="s">
        <v>26603</v>
      </c>
      <c r="S161" t="s">
        <v>26604</v>
      </c>
      <c r="T161" t="s">
        <v>30</v>
      </c>
      <c r="U161" t="s">
        <v>46</v>
      </c>
      <c r="W161" t="s">
        <v>26009</v>
      </c>
    </row>
    <row r="162" spans="1:23" x14ac:dyDescent="0.35">
      <c r="A162">
        <v>178256</v>
      </c>
      <c r="B162" t="s">
        <v>10174</v>
      </c>
      <c r="C162" t="str">
        <f>"9780415018333"</f>
        <v>9780415018333</v>
      </c>
      <c r="D162" t="str">
        <f>"9780203131459"</f>
        <v>9780203131459</v>
      </c>
      <c r="E162" t="s">
        <v>26010</v>
      </c>
      <c r="F162" t="s">
        <v>35</v>
      </c>
      <c r="G162" t="s">
        <v>26201</v>
      </c>
      <c r="H162" t="s">
        <v>26004</v>
      </c>
      <c r="I162" s="26">
        <v>32778</v>
      </c>
      <c r="J162">
        <v>1989</v>
      </c>
      <c r="K162" t="s">
        <v>26012</v>
      </c>
      <c r="L162">
        <v>249</v>
      </c>
      <c r="M162" t="s">
        <v>26605</v>
      </c>
      <c r="N162">
        <v>1</v>
      </c>
      <c r="Q162" t="s">
        <v>26606</v>
      </c>
      <c r="R162" t="s">
        <v>26607</v>
      </c>
      <c r="S162" t="s">
        <v>26608</v>
      </c>
      <c r="T162" t="s">
        <v>30</v>
      </c>
      <c r="U162" t="s">
        <v>26116</v>
      </c>
      <c r="W162" t="s">
        <v>26009</v>
      </c>
    </row>
    <row r="163" spans="1:23" x14ac:dyDescent="0.35">
      <c r="A163">
        <v>178260</v>
      </c>
      <c r="B163" t="s">
        <v>26609</v>
      </c>
      <c r="C163" t="str">
        <f>"9780415093484"</f>
        <v>9780415093484</v>
      </c>
      <c r="D163" t="str">
        <f>"9780203132890"</f>
        <v>9780203132890</v>
      </c>
      <c r="E163" t="s">
        <v>26010</v>
      </c>
      <c r="F163" t="s">
        <v>35</v>
      </c>
      <c r="G163" t="s">
        <v>22174</v>
      </c>
      <c r="H163" t="s">
        <v>26011</v>
      </c>
      <c r="I163" s="26">
        <v>34953</v>
      </c>
      <c r="J163">
        <v>1995</v>
      </c>
      <c r="K163" t="s">
        <v>26012</v>
      </c>
      <c r="L163">
        <v>282</v>
      </c>
      <c r="M163" t="s">
        <v>26610</v>
      </c>
      <c r="N163">
        <v>1</v>
      </c>
      <c r="O163" t="s">
        <v>26107</v>
      </c>
      <c r="Q163" t="s">
        <v>26611</v>
      </c>
      <c r="R163" t="s">
        <v>26612</v>
      </c>
      <c r="S163" t="s">
        <v>26613</v>
      </c>
      <c r="T163" t="s">
        <v>30</v>
      </c>
      <c r="U163" t="s">
        <v>46</v>
      </c>
      <c r="W163" t="s">
        <v>26009</v>
      </c>
    </row>
    <row r="164" spans="1:23" x14ac:dyDescent="0.35">
      <c r="A164">
        <v>178261</v>
      </c>
      <c r="B164" t="s">
        <v>26614</v>
      </c>
      <c r="C164" t="str">
        <f>"9780415107389"</f>
        <v>9780415107389</v>
      </c>
      <c r="D164" t="str">
        <f>"9781134842070"</f>
        <v>9781134842070</v>
      </c>
      <c r="E164" t="s">
        <v>26010</v>
      </c>
      <c r="F164" t="s">
        <v>35</v>
      </c>
      <c r="G164" t="s">
        <v>22174</v>
      </c>
      <c r="H164" t="s">
        <v>26011</v>
      </c>
      <c r="I164" s="26">
        <v>35037</v>
      </c>
      <c r="J164">
        <v>1995</v>
      </c>
      <c r="K164" t="s">
        <v>26012</v>
      </c>
      <c r="L164">
        <v>304</v>
      </c>
      <c r="M164" t="s">
        <v>26615</v>
      </c>
      <c r="N164">
        <v>1</v>
      </c>
      <c r="Q164" t="s">
        <v>26616</v>
      </c>
      <c r="R164" t="s">
        <v>26617</v>
      </c>
      <c r="S164" t="s">
        <v>8133</v>
      </c>
      <c r="T164" t="s">
        <v>30</v>
      </c>
      <c r="U164" t="s">
        <v>26116</v>
      </c>
      <c r="W164" t="s">
        <v>26009</v>
      </c>
    </row>
    <row r="165" spans="1:23" x14ac:dyDescent="0.35">
      <c r="A165">
        <v>178266</v>
      </c>
      <c r="B165" t="s">
        <v>26618</v>
      </c>
      <c r="C165" t="str">
        <f>"9780415006958"</f>
        <v>9780415006958</v>
      </c>
      <c r="D165" t="str">
        <f>"9780203135457"</f>
        <v>9780203135457</v>
      </c>
      <c r="E165" t="s">
        <v>26010</v>
      </c>
      <c r="F165" t="s">
        <v>35</v>
      </c>
      <c r="G165" t="s">
        <v>26201</v>
      </c>
      <c r="H165" t="s">
        <v>26004</v>
      </c>
      <c r="I165" s="26">
        <v>32989</v>
      </c>
      <c r="J165">
        <v>1988</v>
      </c>
      <c r="K165" t="s">
        <v>26012</v>
      </c>
      <c r="L165">
        <v>269</v>
      </c>
      <c r="M165" t="s">
        <v>26619</v>
      </c>
      <c r="N165">
        <v>1</v>
      </c>
      <c r="Q165" t="s">
        <v>26620</v>
      </c>
      <c r="R165">
        <v>305</v>
      </c>
      <c r="S165" t="s">
        <v>26621</v>
      </c>
      <c r="T165" t="s">
        <v>30</v>
      </c>
      <c r="U165" t="s">
        <v>26044</v>
      </c>
      <c r="W165" t="s">
        <v>26009</v>
      </c>
    </row>
    <row r="166" spans="1:23" x14ac:dyDescent="0.35">
      <c r="A166">
        <v>178363</v>
      </c>
      <c r="B166" t="s">
        <v>7764</v>
      </c>
      <c r="C166" t="str">
        <f>"9780415102148"</f>
        <v>9780415102148</v>
      </c>
      <c r="D166" t="str">
        <f>"9780203132098"</f>
        <v>9780203132098</v>
      </c>
      <c r="E166" t="s">
        <v>26010</v>
      </c>
      <c r="F166" t="s">
        <v>35</v>
      </c>
      <c r="G166" t="s">
        <v>22174</v>
      </c>
      <c r="H166" t="s">
        <v>26011</v>
      </c>
      <c r="I166" s="26">
        <v>34955</v>
      </c>
      <c r="J166">
        <v>1995</v>
      </c>
      <c r="K166" t="s">
        <v>26012</v>
      </c>
      <c r="L166">
        <v>201</v>
      </c>
      <c r="M166" t="s">
        <v>26622</v>
      </c>
      <c r="N166">
        <v>1</v>
      </c>
      <c r="Q166" t="s">
        <v>26623</v>
      </c>
      <c r="R166">
        <v>361.06071500000002</v>
      </c>
      <c r="S166" t="s">
        <v>26624</v>
      </c>
      <c r="T166" t="s">
        <v>30</v>
      </c>
      <c r="U166" t="s">
        <v>26170</v>
      </c>
      <c r="W166" t="s">
        <v>26009</v>
      </c>
    </row>
    <row r="167" spans="1:23" x14ac:dyDescent="0.35">
      <c r="A167">
        <v>178364</v>
      </c>
      <c r="B167" t="s">
        <v>7597</v>
      </c>
      <c r="C167" t="str">
        <f>"9780415056519"</f>
        <v>9780415056519</v>
      </c>
      <c r="D167" t="str">
        <f>"9780203132470"</f>
        <v>9780203132470</v>
      </c>
      <c r="E167" t="s">
        <v>26010</v>
      </c>
      <c r="F167" t="s">
        <v>35</v>
      </c>
      <c r="G167" t="s">
        <v>26201</v>
      </c>
      <c r="H167" t="s">
        <v>26004</v>
      </c>
      <c r="I167" s="26">
        <v>34110</v>
      </c>
      <c r="J167">
        <v>1993</v>
      </c>
      <c r="K167" t="s">
        <v>26012</v>
      </c>
      <c r="L167">
        <v>316</v>
      </c>
      <c r="M167" t="s">
        <v>26625</v>
      </c>
      <c r="N167">
        <v>1</v>
      </c>
      <c r="Q167" t="s">
        <v>26626</v>
      </c>
      <c r="R167" t="s">
        <v>26627</v>
      </c>
      <c r="S167" t="s">
        <v>26628</v>
      </c>
      <c r="T167" t="s">
        <v>30</v>
      </c>
      <c r="U167" t="s">
        <v>46</v>
      </c>
      <c r="W167" t="s">
        <v>26009</v>
      </c>
    </row>
    <row r="168" spans="1:23" x14ac:dyDescent="0.35">
      <c r="A168">
        <v>178368</v>
      </c>
      <c r="B168" t="s">
        <v>26629</v>
      </c>
      <c r="C168" t="str">
        <f>"9780415092852"</f>
        <v>9780415092852</v>
      </c>
      <c r="D168" t="str">
        <f>"9780203137796"</f>
        <v>9780203137796</v>
      </c>
      <c r="E168" t="s">
        <v>26010</v>
      </c>
      <c r="F168" t="s">
        <v>35</v>
      </c>
      <c r="G168" t="s">
        <v>26201</v>
      </c>
      <c r="H168" t="s">
        <v>26004</v>
      </c>
      <c r="I168" s="26">
        <v>34604</v>
      </c>
      <c r="J168">
        <v>1994</v>
      </c>
      <c r="K168" t="s">
        <v>26012</v>
      </c>
      <c r="L168">
        <v>259</v>
      </c>
      <c r="M168" t="s">
        <v>26630</v>
      </c>
      <c r="N168">
        <v>1</v>
      </c>
      <c r="Q168" t="s">
        <v>26631</v>
      </c>
      <c r="R168">
        <v>362.70830000000001</v>
      </c>
      <c r="S168" t="s">
        <v>26632</v>
      </c>
      <c r="T168" t="s">
        <v>30</v>
      </c>
      <c r="U168" t="s">
        <v>26044</v>
      </c>
      <c r="W168" t="s">
        <v>26009</v>
      </c>
    </row>
    <row r="169" spans="1:23" x14ac:dyDescent="0.35">
      <c r="A169">
        <v>178373</v>
      </c>
      <c r="B169" t="s">
        <v>8229</v>
      </c>
      <c r="C169" t="str">
        <f>"9780415133319"</f>
        <v>9780415133319</v>
      </c>
      <c r="D169" t="str">
        <f>"9780203134931"</f>
        <v>9780203134931</v>
      </c>
      <c r="E169" t="s">
        <v>26010</v>
      </c>
      <c r="F169" t="s">
        <v>35</v>
      </c>
      <c r="G169" t="s">
        <v>26128</v>
      </c>
      <c r="H169" t="s">
        <v>26011</v>
      </c>
      <c r="I169" s="26">
        <v>35732</v>
      </c>
      <c r="J169">
        <v>1998</v>
      </c>
      <c r="K169" t="s">
        <v>26012</v>
      </c>
      <c r="L169">
        <v>219</v>
      </c>
      <c r="M169" t="s">
        <v>26633</v>
      </c>
      <c r="N169">
        <v>1</v>
      </c>
      <c r="Q169" t="s">
        <v>26634</v>
      </c>
      <c r="R169" t="s">
        <v>26635</v>
      </c>
      <c r="S169" t="s">
        <v>26636</v>
      </c>
      <c r="T169" t="s">
        <v>30</v>
      </c>
      <c r="U169" t="s">
        <v>26116</v>
      </c>
      <c r="W169" t="s">
        <v>26009</v>
      </c>
    </row>
    <row r="170" spans="1:23" x14ac:dyDescent="0.35">
      <c r="A170">
        <v>178389</v>
      </c>
      <c r="B170" t="s">
        <v>26637</v>
      </c>
      <c r="C170" t="str">
        <f>"9780415014007"</f>
        <v>9780415014007</v>
      </c>
      <c r="D170" t="str">
        <f>"9780203133538"</f>
        <v>9780203133538</v>
      </c>
      <c r="E170" t="s">
        <v>26010</v>
      </c>
      <c r="F170" t="s">
        <v>35</v>
      </c>
      <c r="G170" t="s">
        <v>26201</v>
      </c>
      <c r="H170" t="s">
        <v>26004</v>
      </c>
      <c r="I170" s="26">
        <v>33107</v>
      </c>
      <c r="J170">
        <v>1990</v>
      </c>
      <c r="K170" t="s">
        <v>26012</v>
      </c>
      <c r="L170">
        <v>226</v>
      </c>
      <c r="M170" t="s">
        <v>26638</v>
      </c>
      <c r="N170">
        <v>1</v>
      </c>
      <c r="Q170" t="s">
        <v>26639</v>
      </c>
      <c r="R170" t="s">
        <v>26640</v>
      </c>
      <c r="S170" t="s">
        <v>26641</v>
      </c>
      <c r="T170" t="s">
        <v>30</v>
      </c>
      <c r="U170" t="s">
        <v>46</v>
      </c>
      <c r="W170" t="s">
        <v>26009</v>
      </c>
    </row>
    <row r="171" spans="1:23" x14ac:dyDescent="0.35">
      <c r="A171">
        <v>178431</v>
      </c>
      <c r="B171" t="s">
        <v>26642</v>
      </c>
      <c r="C171" t="str">
        <f>"9780815330899"</f>
        <v>9780815330899</v>
      </c>
      <c r="D171" t="str">
        <f>"9780203903254"</f>
        <v>9780203903254</v>
      </c>
      <c r="E171" t="s">
        <v>26010</v>
      </c>
      <c r="F171" t="s">
        <v>35</v>
      </c>
      <c r="G171" t="s">
        <v>22174</v>
      </c>
      <c r="H171" t="s">
        <v>26004</v>
      </c>
      <c r="I171" s="26">
        <v>36373</v>
      </c>
      <c r="J171">
        <v>1999</v>
      </c>
      <c r="K171" t="s">
        <v>26012</v>
      </c>
      <c r="L171">
        <v>285</v>
      </c>
      <c r="M171" t="s">
        <v>26643</v>
      </c>
      <c r="N171">
        <v>1</v>
      </c>
      <c r="O171" t="s">
        <v>26644</v>
      </c>
      <c r="Q171" t="s">
        <v>26645</v>
      </c>
      <c r="R171">
        <v>303.60973000000001</v>
      </c>
      <c r="S171" t="s">
        <v>26646</v>
      </c>
      <c r="T171" t="s">
        <v>30</v>
      </c>
      <c r="U171" t="s">
        <v>26044</v>
      </c>
      <c r="W171" t="s">
        <v>26009</v>
      </c>
    </row>
    <row r="172" spans="1:23" x14ac:dyDescent="0.35">
      <c r="A172">
        <v>178449</v>
      </c>
      <c r="B172" t="s">
        <v>26647</v>
      </c>
      <c r="C172" t="str">
        <f>"9780415037983"</f>
        <v>9780415037983</v>
      </c>
      <c r="D172" t="str">
        <f>"9780203405987"</f>
        <v>9780203405987</v>
      </c>
      <c r="E172" t="s">
        <v>26010</v>
      </c>
      <c r="F172" t="s">
        <v>35</v>
      </c>
      <c r="G172" t="s">
        <v>22174</v>
      </c>
      <c r="H172" t="s">
        <v>26004</v>
      </c>
      <c r="I172" s="26">
        <v>33745</v>
      </c>
      <c r="J172">
        <v>1991</v>
      </c>
      <c r="K172" t="s">
        <v>26012</v>
      </c>
      <c r="L172">
        <v>470</v>
      </c>
      <c r="M172" t="s">
        <v>26648</v>
      </c>
      <c r="N172">
        <v>1</v>
      </c>
      <c r="Q172" t="s">
        <v>26649</v>
      </c>
      <c r="R172">
        <v>155.19999999999999</v>
      </c>
      <c r="S172" t="s">
        <v>26650</v>
      </c>
      <c r="T172" t="s">
        <v>30</v>
      </c>
      <c r="U172" t="s">
        <v>46</v>
      </c>
      <c r="W172" t="s">
        <v>26009</v>
      </c>
    </row>
    <row r="173" spans="1:23" x14ac:dyDescent="0.35">
      <c r="A173">
        <v>178472</v>
      </c>
      <c r="B173" t="s">
        <v>8119</v>
      </c>
      <c r="C173" t="str">
        <f>"9780415227216"</f>
        <v>9780415227216</v>
      </c>
      <c r="D173" t="str">
        <f>"9781134588114"</f>
        <v>9781134588114</v>
      </c>
      <c r="E173" t="s">
        <v>26010</v>
      </c>
      <c r="F173" t="s">
        <v>35</v>
      </c>
      <c r="G173" t="s">
        <v>22174</v>
      </c>
      <c r="H173" t="s">
        <v>26011</v>
      </c>
      <c r="I173" s="26">
        <v>37204</v>
      </c>
      <c r="J173">
        <v>2002</v>
      </c>
      <c r="K173" t="s">
        <v>660</v>
      </c>
      <c r="L173">
        <v>230</v>
      </c>
      <c r="M173" t="s">
        <v>26651</v>
      </c>
      <c r="N173">
        <v>1</v>
      </c>
      <c r="O173" t="s">
        <v>26652</v>
      </c>
      <c r="Q173" t="s">
        <v>26653</v>
      </c>
      <c r="R173">
        <v>620.82000000000005</v>
      </c>
      <c r="S173" t="s">
        <v>8120</v>
      </c>
      <c r="T173" t="s">
        <v>30</v>
      </c>
      <c r="U173" t="s">
        <v>26654</v>
      </c>
      <c r="W173" t="s">
        <v>26009</v>
      </c>
    </row>
    <row r="174" spans="1:23" x14ac:dyDescent="0.35">
      <c r="A174">
        <v>178514</v>
      </c>
      <c r="B174" t="s">
        <v>26655</v>
      </c>
      <c r="C174" t="str">
        <f>"9780415070713"</f>
        <v>9780415070713</v>
      </c>
      <c r="D174" t="str">
        <f>"9780203409275"</f>
        <v>9780203409275</v>
      </c>
      <c r="E174" t="s">
        <v>26010</v>
      </c>
      <c r="F174" t="s">
        <v>35</v>
      </c>
      <c r="G174" t="s">
        <v>22174</v>
      </c>
      <c r="H174" t="s">
        <v>26004</v>
      </c>
      <c r="I174" s="26">
        <v>33612</v>
      </c>
      <c r="J174">
        <v>1992</v>
      </c>
      <c r="K174" t="s">
        <v>26012</v>
      </c>
      <c r="L174">
        <v>248</v>
      </c>
      <c r="M174" t="s">
        <v>26656</v>
      </c>
      <c r="N174">
        <v>1</v>
      </c>
      <c r="Q174" t="s">
        <v>26657</v>
      </c>
      <c r="R174">
        <v>306.7081</v>
      </c>
      <c r="S174" t="s">
        <v>26658</v>
      </c>
      <c r="T174" t="s">
        <v>30</v>
      </c>
      <c r="U174" t="s">
        <v>26044</v>
      </c>
      <c r="W174" t="s">
        <v>26009</v>
      </c>
    </row>
    <row r="175" spans="1:23" x14ac:dyDescent="0.35">
      <c r="A175">
        <v>178686</v>
      </c>
      <c r="B175" t="s">
        <v>26659</v>
      </c>
      <c r="C175" t="str">
        <f>"9780415242332"</f>
        <v>9780415242332</v>
      </c>
      <c r="D175" t="str">
        <f>"9780203471005"</f>
        <v>9780203471005</v>
      </c>
      <c r="E175" t="s">
        <v>26010</v>
      </c>
      <c r="F175" t="s">
        <v>35</v>
      </c>
      <c r="G175" t="s">
        <v>22174</v>
      </c>
      <c r="H175" t="s">
        <v>26004</v>
      </c>
      <c r="I175" s="26">
        <v>36920</v>
      </c>
      <c r="J175">
        <v>2004</v>
      </c>
      <c r="K175" t="s">
        <v>26012</v>
      </c>
      <c r="L175">
        <v>217</v>
      </c>
      <c r="M175" t="s">
        <v>26660</v>
      </c>
      <c r="N175">
        <v>1</v>
      </c>
      <c r="O175" t="s">
        <v>26380</v>
      </c>
      <c r="Q175" t="s">
        <v>26661</v>
      </c>
      <c r="R175" t="s">
        <v>26662</v>
      </c>
      <c r="S175" t="s">
        <v>26663</v>
      </c>
      <c r="T175" t="s">
        <v>30</v>
      </c>
      <c r="U175" t="s">
        <v>26044</v>
      </c>
      <c r="W175" t="s">
        <v>26009</v>
      </c>
    </row>
    <row r="176" spans="1:23" x14ac:dyDescent="0.35">
      <c r="A176">
        <v>178981</v>
      </c>
      <c r="B176" t="s">
        <v>26664</v>
      </c>
      <c r="C176" t="str">
        <f>"9780415067447"</f>
        <v>9780415067447</v>
      </c>
      <c r="D176" t="str">
        <f>"9780203414903"</f>
        <v>9780203414903</v>
      </c>
      <c r="E176" t="s">
        <v>26010</v>
      </c>
      <c r="F176" t="s">
        <v>35</v>
      </c>
      <c r="G176" t="s">
        <v>22174</v>
      </c>
      <c r="H176" t="s">
        <v>26004</v>
      </c>
      <c r="I176" s="26">
        <v>33822</v>
      </c>
      <c r="J176">
        <v>1992</v>
      </c>
      <c r="K176" t="s">
        <v>26012</v>
      </c>
      <c r="L176">
        <v>304</v>
      </c>
      <c r="M176" t="s">
        <v>26665</v>
      </c>
      <c r="N176">
        <v>2</v>
      </c>
      <c r="Q176" t="s">
        <v>26666</v>
      </c>
      <c r="R176">
        <v>616.85270600000001</v>
      </c>
      <c r="S176" t="s">
        <v>26667</v>
      </c>
      <c r="T176" t="s">
        <v>30</v>
      </c>
      <c r="U176" t="s">
        <v>26116</v>
      </c>
      <c r="W176" t="s">
        <v>26009</v>
      </c>
    </row>
    <row r="177" spans="1:23" x14ac:dyDescent="0.35">
      <c r="A177">
        <v>179104</v>
      </c>
      <c r="B177" t="s">
        <v>26668</v>
      </c>
      <c r="C177" t="str">
        <f>"9780415040204"</f>
        <v>9780415040204</v>
      </c>
      <c r="D177" t="str">
        <f>"9780203359075"</f>
        <v>9780203359075</v>
      </c>
      <c r="E177" t="s">
        <v>26010</v>
      </c>
      <c r="F177" t="s">
        <v>35</v>
      </c>
      <c r="G177" t="s">
        <v>26128</v>
      </c>
      <c r="H177" t="s">
        <v>26011</v>
      </c>
      <c r="I177" s="26">
        <v>33319</v>
      </c>
      <c r="J177">
        <v>2004</v>
      </c>
      <c r="K177" t="s">
        <v>26012</v>
      </c>
      <c r="L177">
        <v>199</v>
      </c>
      <c r="M177" t="s">
        <v>26669</v>
      </c>
      <c r="N177">
        <v>1</v>
      </c>
      <c r="Q177" t="s">
        <v>26670</v>
      </c>
      <c r="R177">
        <v>616.89152000000001</v>
      </c>
      <c r="S177" t="s">
        <v>8562</v>
      </c>
      <c r="T177" t="s">
        <v>30</v>
      </c>
      <c r="U177" t="s">
        <v>26019</v>
      </c>
      <c r="W177" t="s">
        <v>26009</v>
      </c>
    </row>
    <row r="178" spans="1:23" x14ac:dyDescent="0.35">
      <c r="A178">
        <v>179180</v>
      </c>
      <c r="B178" t="s">
        <v>26671</v>
      </c>
      <c r="C178" t="str">
        <f>"9780415052283"</f>
        <v>9780415052283</v>
      </c>
      <c r="D178" t="str">
        <f>"9780203359235"</f>
        <v>9780203359235</v>
      </c>
      <c r="E178" t="s">
        <v>26010</v>
      </c>
      <c r="F178" t="s">
        <v>35</v>
      </c>
      <c r="G178" t="s">
        <v>22174</v>
      </c>
      <c r="H178" t="s">
        <v>26011</v>
      </c>
      <c r="I178" s="26">
        <v>34078</v>
      </c>
      <c r="J178">
        <v>1993</v>
      </c>
      <c r="K178" t="s">
        <v>26012</v>
      </c>
      <c r="L178">
        <v>379</v>
      </c>
      <c r="M178" t="s">
        <v>26672</v>
      </c>
      <c r="N178">
        <v>1</v>
      </c>
      <c r="Q178">
        <v>93240639</v>
      </c>
      <c r="R178">
        <v>306.89</v>
      </c>
      <c r="S178" t="s">
        <v>8187</v>
      </c>
      <c r="T178" t="s">
        <v>30</v>
      </c>
      <c r="U178" t="s">
        <v>26044</v>
      </c>
      <c r="W178" t="s">
        <v>26009</v>
      </c>
    </row>
    <row r="179" spans="1:23" x14ac:dyDescent="0.35">
      <c r="A179">
        <v>179278</v>
      </c>
      <c r="B179" t="s">
        <v>7849</v>
      </c>
      <c r="C179" t="str">
        <f>"9780415069922"</f>
        <v>9780415069922</v>
      </c>
      <c r="D179" t="str">
        <f>"9780203167779"</f>
        <v>9780203167779</v>
      </c>
      <c r="E179" t="s">
        <v>26010</v>
      </c>
      <c r="F179" t="s">
        <v>35</v>
      </c>
      <c r="G179" t="s">
        <v>26337</v>
      </c>
      <c r="H179" t="s">
        <v>26004</v>
      </c>
      <c r="I179" s="26">
        <v>33562</v>
      </c>
      <c r="J179">
        <v>1992</v>
      </c>
      <c r="K179" t="s">
        <v>26012</v>
      </c>
      <c r="L179">
        <v>154</v>
      </c>
      <c r="M179" t="s">
        <v>26673</v>
      </c>
      <c r="N179">
        <v>1</v>
      </c>
      <c r="O179" t="s">
        <v>26344</v>
      </c>
      <c r="Q179" t="s">
        <v>26674</v>
      </c>
      <c r="R179" t="s">
        <v>26422</v>
      </c>
      <c r="S179" t="s">
        <v>26675</v>
      </c>
      <c r="T179" t="s">
        <v>30</v>
      </c>
      <c r="U179" t="s">
        <v>26116</v>
      </c>
      <c r="W179" t="s">
        <v>26009</v>
      </c>
    </row>
    <row r="180" spans="1:23" x14ac:dyDescent="0.35">
      <c r="A180">
        <v>179480</v>
      </c>
      <c r="B180" t="s">
        <v>26676</v>
      </c>
      <c r="C180" t="str">
        <f>"9780415106054"</f>
        <v>9780415106054</v>
      </c>
      <c r="D180" t="str">
        <f>"9780203426371"</f>
        <v>9780203426371</v>
      </c>
      <c r="E180" t="s">
        <v>26010</v>
      </c>
      <c r="F180" t="s">
        <v>35</v>
      </c>
      <c r="G180" t="s">
        <v>26128</v>
      </c>
      <c r="H180" t="s">
        <v>26011</v>
      </c>
      <c r="I180" s="26">
        <v>34786</v>
      </c>
      <c r="J180">
        <v>2004</v>
      </c>
      <c r="K180" t="s">
        <v>26012</v>
      </c>
      <c r="L180">
        <v>219</v>
      </c>
      <c r="M180" t="s">
        <v>26677</v>
      </c>
      <c r="N180">
        <v>1</v>
      </c>
      <c r="O180" t="s">
        <v>26397</v>
      </c>
      <c r="S180" t="s">
        <v>26678</v>
      </c>
      <c r="T180" t="s">
        <v>30</v>
      </c>
      <c r="U180" t="s">
        <v>26679</v>
      </c>
      <c r="W180" t="s">
        <v>26009</v>
      </c>
    </row>
    <row r="181" spans="1:23" x14ac:dyDescent="0.35">
      <c r="A181">
        <v>179490</v>
      </c>
      <c r="B181" t="s">
        <v>26680</v>
      </c>
      <c r="C181" t="str">
        <f>"9780415106344"</f>
        <v>9780415106344</v>
      </c>
      <c r="D181" t="str">
        <f>"9780203359938"</f>
        <v>9780203359938</v>
      </c>
      <c r="E181" t="s">
        <v>26010</v>
      </c>
      <c r="F181" t="s">
        <v>35</v>
      </c>
      <c r="G181" t="s">
        <v>22174</v>
      </c>
      <c r="H181" t="s">
        <v>26011</v>
      </c>
      <c r="I181" s="26">
        <v>34690</v>
      </c>
      <c r="J181">
        <v>1994</v>
      </c>
      <c r="K181" t="s">
        <v>26012</v>
      </c>
      <c r="L181">
        <v>187</v>
      </c>
      <c r="M181" t="s">
        <v>26681</v>
      </c>
      <c r="N181">
        <v>1</v>
      </c>
      <c r="O181" t="s">
        <v>26682</v>
      </c>
      <c r="Q181" t="s">
        <v>26683</v>
      </c>
      <c r="R181">
        <v>616.89152000000001</v>
      </c>
      <c r="S181" t="s">
        <v>26684</v>
      </c>
      <c r="T181" t="s">
        <v>30</v>
      </c>
      <c r="U181" t="s">
        <v>26019</v>
      </c>
      <c r="W181" t="s">
        <v>26009</v>
      </c>
    </row>
    <row r="182" spans="1:23" x14ac:dyDescent="0.35">
      <c r="A182">
        <v>179555</v>
      </c>
      <c r="B182" t="s">
        <v>9479</v>
      </c>
      <c r="C182" t="str">
        <f>"9780415122788"</f>
        <v>9780415122788</v>
      </c>
      <c r="D182" t="str">
        <f>"9780203360125"</f>
        <v>9780203360125</v>
      </c>
      <c r="E182" t="s">
        <v>26010</v>
      </c>
      <c r="F182" t="s">
        <v>35</v>
      </c>
      <c r="G182" t="s">
        <v>22174</v>
      </c>
      <c r="H182" t="s">
        <v>26011</v>
      </c>
      <c r="I182" s="26">
        <v>35418</v>
      </c>
      <c r="J182">
        <v>1996</v>
      </c>
      <c r="K182" t="s">
        <v>26012</v>
      </c>
      <c r="L182">
        <v>214</v>
      </c>
      <c r="M182" t="s">
        <v>26685</v>
      </c>
      <c r="N182">
        <v>1</v>
      </c>
      <c r="Q182" t="s">
        <v>26686</v>
      </c>
      <c r="R182" t="s">
        <v>26687</v>
      </c>
      <c r="S182" t="s">
        <v>9480</v>
      </c>
      <c r="T182" t="s">
        <v>30</v>
      </c>
      <c r="U182" t="s">
        <v>26044</v>
      </c>
      <c r="W182" t="s">
        <v>26009</v>
      </c>
    </row>
    <row r="183" spans="1:23" x14ac:dyDescent="0.35">
      <c r="A183">
        <v>179673</v>
      </c>
      <c r="B183" t="s">
        <v>26688</v>
      </c>
      <c r="C183" t="str">
        <f>"9780415135672"</f>
        <v>9780415135672</v>
      </c>
      <c r="D183" t="str">
        <f>"9780203206638"</f>
        <v>9780203206638</v>
      </c>
      <c r="E183" t="s">
        <v>26010</v>
      </c>
      <c r="F183" t="s">
        <v>35</v>
      </c>
      <c r="G183" t="s">
        <v>26201</v>
      </c>
      <c r="H183" t="s">
        <v>26004</v>
      </c>
      <c r="I183" s="26">
        <v>35732</v>
      </c>
      <c r="J183">
        <v>1997</v>
      </c>
      <c r="K183" t="s">
        <v>26012</v>
      </c>
      <c r="L183">
        <v>308</v>
      </c>
      <c r="M183" t="s">
        <v>26689</v>
      </c>
      <c r="N183">
        <v>1</v>
      </c>
      <c r="Q183" t="s">
        <v>26690</v>
      </c>
      <c r="R183">
        <v>303.64</v>
      </c>
      <c r="S183" t="s">
        <v>26691</v>
      </c>
      <c r="T183" t="s">
        <v>30</v>
      </c>
      <c r="U183" t="s">
        <v>26044</v>
      </c>
      <c r="W183" t="s">
        <v>26009</v>
      </c>
    </row>
    <row r="184" spans="1:23" x14ac:dyDescent="0.35">
      <c r="A184">
        <v>179758</v>
      </c>
      <c r="B184" t="s">
        <v>26692</v>
      </c>
      <c r="C184" t="str">
        <f>"9780415022484"</f>
        <v>9780415022484</v>
      </c>
      <c r="D184" t="str">
        <f>"9780203191590"</f>
        <v>9780203191590</v>
      </c>
      <c r="E184" t="s">
        <v>26010</v>
      </c>
      <c r="F184" t="s">
        <v>35</v>
      </c>
      <c r="G184" t="s">
        <v>22174</v>
      </c>
      <c r="H184" t="s">
        <v>26004</v>
      </c>
      <c r="I184" s="26">
        <v>32829</v>
      </c>
      <c r="J184">
        <v>1989</v>
      </c>
      <c r="K184" t="s">
        <v>26012</v>
      </c>
      <c r="L184">
        <v>229</v>
      </c>
      <c r="M184" t="s">
        <v>26693</v>
      </c>
      <c r="N184">
        <v>1</v>
      </c>
      <c r="Q184" t="s">
        <v>26694</v>
      </c>
      <c r="R184" t="s">
        <v>26695</v>
      </c>
      <c r="S184" t="s">
        <v>26696</v>
      </c>
      <c r="T184" t="s">
        <v>30</v>
      </c>
      <c r="U184" t="s">
        <v>26697</v>
      </c>
      <c r="W184" t="s">
        <v>26009</v>
      </c>
    </row>
    <row r="185" spans="1:23" x14ac:dyDescent="0.35">
      <c r="A185">
        <v>179798</v>
      </c>
      <c r="B185" t="s">
        <v>8474</v>
      </c>
      <c r="C185" t="str">
        <f>"9780415041201"</f>
        <v>9780415041201</v>
      </c>
      <c r="D185" t="str">
        <f>"9780203207079"</f>
        <v>9780203207079</v>
      </c>
      <c r="E185" t="s">
        <v>26010</v>
      </c>
      <c r="F185" t="s">
        <v>35</v>
      </c>
      <c r="G185" t="s">
        <v>22174</v>
      </c>
      <c r="H185" t="s">
        <v>26004</v>
      </c>
      <c r="I185" s="26">
        <v>33395</v>
      </c>
      <c r="J185">
        <v>1991</v>
      </c>
      <c r="K185" t="s">
        <v>26012</v>
      </c>
      <c r="L185">
        <v>171</v>
      </c>
      <c r="M185" t="s">
        <v>26698</v>
      </c>
      <c r="N185">
        <v>1</v>
      </c>
      <c r="Q185" t="s">
        <v>26699</v>
      </c>
      <c r="R185" t="s">
        <v>26700</v>
      </c>
      <c r="S185" t="s">
        <v>26701</v>
      </c>
      <c r="T185" t="s">
        <v>30</v>
      </c>
      <c r="U185" t="s">
        <v>26236</v>
      </c>
      <c r="W185" t="s">
        <v>26009</v>
      </c>
    </row>
    <row r="186" spans="1:23" x14ac:dyDescent="0.35">
      <c r="A186">
        <v>179827</v>
      </c>
      <c r="B186" t="s">
        <v>8909</v>
      </c>
      <c r="C186" t="str">
        <f>"9780415210034"</f>
        <v>9780415210034</v>
      </c>
      <c r="D186" t="str">
        <f>"9780203207260"</f>
        <v>9780203207260</v>
      </c>
      <c r="E186" t="s">
        <v>26010</v>
      </c>
      <c r="F186" t="s">
        <v>35</v>
      </c>
      <c r="G186" t="s">
        <v>22174</v>
      </c>
      <c r="H186" t="s">
        <v>26004</v>
      </c>
      <c r="I186" s="26">
        <v>36372</v>
      </c>
      <c r="J186">
        <v>2002</v>
      </c>
      <c r="K186" t="s">
        <v>26012</v>
      </c>
      <c r="L186">
        <v>269</v>
      </c>
      <c r="M186" t="s">
        <v>26702</v>
      </c>
      <c r="N186">
        <v>1</v>
      </c>
      <c r="Q186" t="s">
        <v>26703</v>
      </c>
      <c r="R186">
        <v>155.41300000000001</v>
      </c>
      <c r="S186" t="s">
        <v>8910</v>
      </c>
      <c r="T186" t="s">
        <v>30</v>
      </c>
      <c r="U186" t="s">
        <v>46</v>
      </c>
      <c r="W186" t="s">
        <v>26009</v>
      </c>
    </row>
    <row r="187" spans="1:23" x14ac:dyDescent="0.35">
      <c r="A187">
        <v>179830</v>
      </c>
      <c r="B187" t="s">
        <v>10271</v>
      </c>
      <c r="C187" t="str">
        <f>"9780415017381"</f>
        <v>9780415017381</v>
      </c>
      <c r="D187" t="str">
        <f>"9780203145661"</f>
        <v>9780203145661</v>
      </c>
      <c r="E187" t="s">
        <v>26010</v>
      </c>
      <c r="F187" t="s">
        <v>35</v>
      </c>
      <c r="G187" t="s">
        <v>22174</v>
      </c>
      <c r="H187" t="s">
        <v>26004</v>
      </c>
      <c r="I187" s="26">
        <v>32948</v>
      </c>
      <c r="J187">
        <v>1990</v>
      </c>
      <c r="K187" t="s">
        <v>26012</v>
      </c>
      <c r="L187">
        <v>255</v>
      </c>
      <c r="M187" t="s">
        <v>26704</v>
      </c>
      <c r="N187">
        <v>1</v>
      </c>
      <c r="Q187" t="s">
        <v>26705</v>
      </c>
      <c r="R187" t="s">
        <v>26706</v>
      </c>
      <c r="S187" t="s">
        <v>26707</v>
      </c>
      <c r="T187" t="s">
        <v>30</v>
      </c>
      <c r="U187" t="s">
        <v>26116</v>
      </c>
      <c r="W187" t="s">
        <v>26009</v>
      </c>
    </row>
    <row r="188" spans="1:23" x14ac:dyDescent="0.35">
      <c r="A188">
        <v>179890</v>
      </c>
      <c r="B188" t="s">
        <v>26708</v>
      </c>
      <c r="C188" t="str">
        <f>"9780415130509"</f>
        <v>9780415130509</v>
      </c>
      <c r="D188" t="str">
        <f>"9780203136546"</f>
        <v>9780203136546</v>
      </c>
      <c r="E188" t="s">
        <v>26010</v>
      </c>
      <c r="F188" t="s">
        <v>35</v>
      </c>
      <c r="G188" t="s">
        <v>22174</v>
      </c>
      <c r="H188" t="s">
        <v>26011</v>
      </c>
      <c r="I188" s="26">
        <v>35662</v>
      </c>
      <c r="J188">
        <v>1998</v>
      </c>
      <c r="K188" t="s">
        <v>26012</v>
      </c>
      <c r="L188">
        <v>244</v>
      </c>
      <c r="M188" t="s">
        <v>26709</v>
      </c>
      <c r="N188">
        <v>1</v>
      </c>
      <c r="Q188" t="s">
        <v>26710</v>
      </c>
      <c r="R188" t="s">
        <v>26711</v>
      </c>
      <c r="S188" t="s">
        <v>7855</v>
      </c>
      <c r="T188" t="s">
        <v>30</v>
      </c>
      <c r="U188" t="s">
        <v>26040</v>
      </c>
      <c r="W188" t="s">
        <v>26009</v>
      </c>
    </row>
    <row r="189" spans="1:23" x14ac:dyDescent="0.35">
      <c r="A189">
        <v>179956</v>
      </c>
      <c r="B189" t="s">
        <v>26712</v>
      </c>
      <c r="C189" t="str">
        <f>"9780415179638"</f>
        <v>9780415179638</v>
      </c>
      <c r="D189" t="str">
        <f>"9780203029596"</f>
        <v>9780203029596</v>
      </c>
      <c r="E189" t="s">
        <v>26010</v>
      </c>
      <c r="F189" t="s">
        <v>35</v>
      </c>
      <c r="G189" t="s">
        <v>22174</v>
      </c>
      <c r="H189" t="s">
        <v>26004</v>
      </c>
      <c r="I189" s="26">
        <v>36167</v>
      </c>
      <c r="J189">
        <v>1998</v>
      </c>
      <c r="K189" t="s">
        <v>26012</v>
      </c>
      <c r="L189">
        <v>267</v>
      </c>
      <c r="M189" t="s">
        <v>26713</v>
      </c>
      <c r="N189">
        <v>1</v>
      </c>
      <c r="O189" t="s">
        <v>26714</v>
      </c>
      <c r="Q189" t="s">
        <v>26715</v>
      </c>
      <c r="R189">
        <v>153.22999999999999</v>
      </c>
      <c r="S189" t="s">
        <v>26716</v>
      </c>
      <c r="T189" t="s">
        <v>30</v>
      </c>
      <c r="U189" t="s">
        <v>46</v>
      </c>
      <c r="W189" t="s">
        <v>26009</v>
      </c>
    </row>
    <row r="190" spans="1:23" x14ac:dyDescent="0.35">
      <c r="A190">
        <v>179964</v>
      </c>
      <c r="B190" t="s">
        <v>26717</v>
      </c>
      <c r="C190" t="str">
        <f>"9780415154796"</f>
        <v>9780415154796</v>
      </c>
      <c r="D190" t="str">
        <f>"9780203360446"</f>
        <v>9780203360446</v>
      </c>
      <c r="E190" t="s">
        <v>26010</v>
      </c>
      <c r="F190" t="s">
        <v>35</v>
      </c>
      <c r="G190" t="s">
        <v>22174</v>
      </c>
      <c r="H190" t="s">
        <v>26011</v>
      </c>
      <c r="I190" s="26">
        <v>36066</v>
      </c>
      <c r="J190">
        <v>1998</v>
      </c>
      <c r="K190" t="s">
        <v>26012</v>
      </c>
      <c r="L190">
        <v>284</v>
      </c>
      <c r="M190" t="s">
        <v>26718</v>
      </c>
      <c r="N190">
        <v>1</v>
      </c>
      <c r="Q190" t="s">
        <v>26719</v>
      </c>
      <c r="R190" t="s">
        <v>26720</v>
      </c>
      <c r="S190" t="s">
        <v>8200</v>
      </c>
      <c r="T190" t="s">
        <v>30</v>
      </c>
      <c r="U190" t="s">
        <v>26019</v>
      </c>
      <c r="W190" t="s">
        <v>26009</v>
      </c>
    </row>
    <row r="191" spans="1:23" x14ac:dyDescent="0.35">
      <c r="A191">
        <v>179981</v>
      </c>
      <c r="B191" t="s">
        <v>8159</v>
      </c>
      <c r="C191" t="str">
        <f>"9780415028103"</f>
        <v>9780415028103</v>
      </c>
      <c r="D191" t="str">
        <f>"9780203203910"</f>
        <v>9780203203910</v>
      </c>
      <c r="E191" t="s">
        <v>26010</v>
      </c>
      <c r="F191" t="s">
        <v>35</v>
      </c>
      <c r="G191" t="s">
        <v>22174</v>
      </c>
      <c r="H191" t="s">
        <v>26004</v>
      </c>
      <c r="I191" s="26">
        <v>32730</v>
      </c>
      <c r="J191">
        <v>1989</v>
      </c>
      <c r="K191" t="s">
        <v>26012</v>
      </c>
      <c r="L191">
        <v>352</v>
      </c>
      <c r="M191" t="s">
        <v>26721</v>
      </c>
      <c r="N191">
        <v>1</v>
      </c>
      <c r="Q191" t="s">
        <v>26722</v>
      </c>
      <c r="R191">
        <v>362.303</v>
      </c>
      <c r="S191" t="s">
        <v>26723</v>
      </c>
      <c r="T191" t="s">
        <v>30</v>
      </c>
      <c r="U191" t="s">
        <v>26509</v>
      </c>
      <c r="W191" t="s">
        <v>26009</v>
      </c>
    </row>
    <row r="192" spans="1:23" x14ac:dyDescent="0.35">
      <c r="A192">
        <v>180023</v>
      </c>
      <c r="B192" t="s">
        <v>26724</v>
      </c>
      <c r="C192" t="str">
        <f>"9780415097420"</f>
        <v>9780415097420</v>
      </c>
      <c r="D192" t="str">
        <f>"9780203200568"</f>
        <v>9780203200568</v>
      </c>
      <c r="E192" t="s">
        <v>26010</v>
      </c>
      <c r="F192" t="s">
        <v>35</v>
      </c>
      <c r="G192" t="s">
        <v>22174</v>
      </c>
      <c r="H192" t="s">
        <v>26004</v>
      </c>
      <c r="I192" s="26">
        <v>34564</v>
      </c>
      <c r="J192">
        <v>1994</v>
      </c>
      <c r="K192" t="s">
        <v>26012</v>
      </c>
      <c r="L192">
        <v>257</v>
      </c>
      <c r="M192" t="s">
        <v>26725</v>
      </c>
      <c r="N192">
        <v>1</v>
      </c>
      <c r="Q192" t="s">
        <v>26726</v>
      </c>
      <c r="R192">
        <v>155.80000000000001</v>
      </c>
      <c r="S192" t="s">
        <v>26727</v>
      </c>
      <c r="T192" t="s">
        <v>30</v>
      </c>
      <c r="U192" t="s">
        <v>26228</v>
      </c>
      <c r="W192" t="s">
        <v>26009</v>
      </c>
    </row>
    <row r="193" spans="1:23" x14ac:dyDescent="0.35">
      <c r="A193">
        <v>180043</v>
      </c>
      <c r="B193" t="s">
        <v>26728</v>
      </c>
      <c r="C193" t="str">
        <f>"9780415151283"</f>
        <v>9780415151283</v>
      </c>
      <c r="D193" t="str">
        <f>"9780203200131"</f>
        <v>9780203200131</v>
      </c>
      <c r="E193" t="s">
        <v>26010</v>
      </c>
      <c r="F193" t="s">
        <v>35</v>
      </c>
      <c r="G193" t="s">
        <v>22174</v>
      </c>
      <c r="H193" t="s">
        <v>26004</v>
      </c>
      <c r="I193" s="26">
        <v>31358</v>
      </c>
      <c r="J193">
        <v>1985</v>
      </c>
      <c r="K193" t="s">
        <v>26012</v>
      </c>
      <c r="L193">
        <v>240</v>
      </c>
      <c r="M193" t="s">
        <v>26729</v>
      </c>
      <c r="N193">
        <v>1</v>
      </c>
      <c r="Q193" t="s">
        <v>26730</v>
      </c>
      <c r="R193">
        <v>362.20972999999998</v>
      </c>
      <c r="S193" t="s">
        <v>26731</v>
      </c>
      <c r="T193" t="s">
        <v>30</v>
      </c>
      <c r="U193" t="s">
        <v>26094</v>
      </c>
      <c r="W193" t="s">
        <v>26009</v>
      </c>
    </row>
    <row r="194" spans="1:23" x14ac:dyDescent="0.35">
      <c r="A194">
        <v>180059</v>
      </c>
      <c r="B194" t="s">
        <v>26732</v>
      </c>
      <c r="C194" t="str">
        <f>"9780415213738"</f>
        <v>9780415213738</v>
      </c>
      <c r="D194" t="str">
        <f>"9780203130247"</f>
        <v>9780203130247</v>
      </c>
      <c r="E194" t="s">
        <v>26010</v>
      </c>
      <c r="F194" t="s">
        <v>35</v>
      </c>
      <c r="G194" t="s">
        <v>22174</v>
      </c>
      <c r="H194" t="s">
        <v>26004</v>
      </c>
      <c r="I194" s="26">
        <v>36697</v>
      </c>
      <c r="J194">
        <v>2000</v>
      </c>
      <c r="K194" t="s">
        <v>26012</v>
      </c>
      <c r="L194">
        <v>222</v>
      </c>
      <c r="M194" t="s">
        <v>26733</v>
      </c>
      <c r="N194">
        <v>1</v>
      </c>
      <c r="Q194" t="s">
        <v>26734</v>
      </c>
      <c r="R194" t="s">
        <v>26735</v>
      </c>
      <c r="S194" t="s">
        <v>26736</v>
      </c>
      <c r="T194" t="s">
        <v>30</v>
      </c>
      <c r="U194" t="s">
        <v>26040</v>
      </c>
      <c r="W194" t="s">
        <v>26009</v>
      </c>
    </row>
    <row r="195" spans="1:23" x14ac:dyDescent="0.35">
      <c r="A195">
        <v>180110</v>
      </c>
      <c r="B195" t="s">
        <v>26737</v>
      </c>
      <c r="C195" t="str">
        <f>"9780415167963"</f>
        <v>9780415167963</v>
      </c>
      <c r="D195" t="str">
        <f>"9780203360576"</f>
        <v>9780203360576</v>
      </c>
      <c r="E195" t="s">
        <v>26010</v>
      </c>
      <c r="F195" t="s">
        <v>35</v>
      </c>
      <c r="G195" t="s">
        <v>22174</v>
      </c>
      <c r="H195" t="s">
        <v>26011</v>
      </c>
      <c r="I195" s="26">
        <v>36235</v>
      </c>
      <c r="J195">
        <v>1999</v>
      </c>
      <c r="K195" t="s">
        <v>26012</v>
      </c>
      <c r="L195">
        <v>261</v>
      </c>
      <c r="M195" t="s">
        <v>26738</v>
      </c>
      <c r="N195">
        <v>1</v>
      </c>
      <c r="Q195" t="s">
        <v>26739</v>
      </c>
      <c r="R195">
        <v>362.22</v>
      </c>
      <c r="S195" t="s">
        <v>9035</v>
      </c>
      <c r="T195" t="s">
        <v>30</v>
      </c>
      <c r="U195" t="s">
        <v>26094</v>
      </c>
      <c r="W195" t="s">
        <v>26009</v>
      </c>
    </row>
    <row r="196" spans="1:23" x14ac:dyDescent="0.35">
      <c r="A196">
        <v>180111</v>
      </c>
      <c r="B196" t="s">
        <v>26740</v>
      </c>
      <c r="C196" t="str">
        <f>"9780415168069"</f>
        <v>9780415168069</v>
      </c>
      <c r="D196" t="str">
        <f>"9780203360583"</f>
        <v>9780203360583</v>
      </c>
      <c r="E196" t="s">
        <v>26010</v>
      </c>
      <c r="F196" t="s">
        <v>35</v>
      </c>
      <c r="G196" t="s">
        <v>22174</v>
      </c>
      <c r="H196" t="s">
        <v>26011</v>
      </c>
      <c r="I196" s="26">
        <v>35877</v>
      </c>
      <c r="J196">
        <v>1998</v>
      </c>
      <c r="K196" t="s">
        <v>26012</v>
      </c>
      <c r="L196">
        <v>280</v>
      </c>
      <c r="M196" t="s">
        <v>26741</v>
      </c>
      <c r="N196">
        <v>2</v>
      </c>
      <c r="Q196" t="s">
        <v>26742</v>
      </c>
      <c r="R196">
        <v>616.89156000000003</v>
      </c>
      <c r="S196" t="s">
        <v>7799</v>
      </c>
      <c r="T196" t="s">
        <v>30</v>
      </c>
      <c r="U196" t="s">
        <v>26116</v>
      </c>
      <c r="W196" t="s">
        <v>26009</v>
      </c>
    </row>
    <row r="197" spans="1:23" x14ac:dyDescent="0.35">
      <c r="A197">
        <v>180115</v>
      </c>
      <c r="B197" t="s">
        <v>26743</v>
      </c>
      <c r="C197" t="str">
        <f>"9780415169981"</f>
        <v>9780415169981</v>
      </c>
      <c r="D197" t="str">
        <f>"9780203360590"</f>
        <v>9780203360590</v>
      </c>
      <c r="E197" t="s">
        <v>26010</v>
      </c>
      <c r="F197" t="s">
        <v>35</v>
      </c>
      <c r="G197" t="s">
        <v>22174</v>
      </c>
      <c r="H197" t="s">
        <v>26011</v>
      </c>
      <c r="I197" s="26">
        <v>36516</v>
      </c>
      <c r="J197">
        <v>1999</v>
      </c>
      <c r="K197" t="s">
        <v>26012</v>
      </c>
      <c r="L197">
        <v>292</v>
      </c>
      <c r="M197" t="s">
        <v>26744</v>
      </c>
      <c r="N197">
        <v>1</v>
      </c>
      <c r="Q197" t="s">
        <v>26745</v>
      </c>
      <c r="R197" t="s">
        <v>26746</v>
      </c>
      <c r="S197" t="s">
        <v>9353</v>
      </c>
      <c r="T197" t="s">
        <v>30</v>
      </c>
      <c r="U197" t="s">
        <v>46</v>
      </c>
      <c r="W197" t="s">
        <v>26009</v>
      </c>
    </row>
    <row r="198" spans="1:23" x14ac:dyDescent="0.35">
      <c r="A198">
        <v>180155</v>
      </c>
      <c r="B198" t="s">
        <v>7488</v>
      </c>
      <c r="C198" t="str">
        <f>"9780415110426"</f>
        <v>9780415110426</v>
      </c>
      <c r="D198" t="str">
        <f>"9780203410783"</f>
        <v>9780203410783</v>
      </c>
      <c r="E198" t="s">
        <v>26010</v>
      </c>
      <c r="F198" t="s">
        <v>35</v>
      </c>
      <c r="G198" t="s">
        <v>22174</v>
      </c>
      <c r="H198" t="s">
        <v>26004</v>
      </c>
      <c r="I198" s="26">
        <v>35051</v>
      </c>
      <c r="J198">
        <v>1995</v>
      </c>
      <c r="K198" t="s">
        <v>26012</v>
      </c>
      <c r="L198">
        <v>288</v>
      </c>
      <c r="M198" t="s">
        <v>26747</v>
      </c>
      <c r="N198">
        <v>1</v>
      </c>
      <c r="Q198" t="s">
        <v>26748</v>
      </c>
      <c r="R198" t="s">
        <v>26749</v>
      </c>
      <c r="S198" t="s">
        <v>26750</v>
      </c>
      <c r="T198" t="s">
        <v>30</v>
      </c>
      <c r="U198" t="s">
        <v>26094</v>
      </c>
      <c r="W198" t="s">
        <v>26009</v>
      </c>
    </row>
    <row r="199" spans="1:23" x14ac:dyDescent="0.35">
      <c r="A199">
        <v>180160</v>
      </c>
      <c r="B199" t="s">
        <v>26751</v>
      </c>
      <c r="C199" t="str">
        <f>"9780415067690"</f>
        <v>9780415067690</v>
      </c>
      <c r="D199" t="str">
        <f>"9780203435243"</f>
        <v>9780203435243</v>
      </c>
      <c r="E199" t="s">
        <v>26010</v>
      </c>
      <c r="F199" t="s">
        <v>35</v>
      </c>
      <c r="G199" t="s">
        <v>22174</v>
      </c>
      <c r="H199" t="s">
        <v>26011</v>
      </c>
      <c r="I199" s="26">
        <v>34053</v>
      </c>
      <c r="J199">
        <v>1993</v>
      </c>
      <c r="K199" t="s">
        <v>26012</v>
      </c>
      <c r="L199">
        <v>218</v>
      </c>
      <c r="M199" t="s">
        <v>26752</v>
      </c>
      <c r="N199">
        <v>1</v>
      </c>
      <c r="Q199" t="s">
        <v>26753</v>
      </c>
      <c r="R199" t="s">
        <v>26754</v>
      </c>
      <c r="S199" t="s">
        <v>26755</v>
      </c>
      <c r="T199" t="s">
        <v>30</v>
      </c>
      <c r="U199" t="s">
        <v>26282</v>
      </c>
      <c r="W199" t="s">
        <v>26009</v>
      </c>
    </row>
    <row r="200" spans="1:23" x14ac:dyDescent="0.35">
      <c r="A200">
        <v>180164</v>
      </c>
      <c r="B200" t="s">
        <v>26756</v>
      </c>
      <c r="C200" t="str">
        <f>"9780415178570"</f>
        <v>9780415178570</v>
      </c>
      <c r="D200" t="str">
        <f>"9780203360651"</f>
        <v>9780203360651</v>
      </c>
      <c r="E200" t="s">
        <v>26010</v>
      </c>
      <c r="F200" t="s">
        <v>35</v>
      </c>
      <c r="G200" t="s">
        <v>22174</v>
      </c>
      <c r="H200" t="s">
        <v>26011</v>
      </c>
      <c r="I200" s="26">
        <v>36166</v>
      </c>
      <c r="J200">
        <v>1998</v>
      </c>
      <c r="K200" t="s">
        <v>26012</v>
      </c>
      <c r="L200">
        <v>334</v>
      </c>
      <c r="M200" t="s">
        <v>26757</v>
      </c>
      <c r="N200">
        <v>1</v>
      </c>
      <c r="Q200" t="s">
        <v>26758</v>
      </c>
      <c r="R200" t="s">
        <v>26759</v>
      </c>
      <c r="S200" t="s">
        <v>9211</v>
      </c>
      <c r="T200" t="s">
        <v>30</v>
      </c>
      <c r="U200" t="s">
        <v>46</v>
      </c>
      <c r="W200" t="s">
        <v>26009</v>
      </c>
    </row>
    <row r="201" spans="1:23" x14ac:dyDescent="0.35">
      <c r="A201">
        <v>180169</v>
      </c>
      <c r="B201" t="s">
        <v>26760</v>
      </c>
      <c r="C201" t="str">
        <f>"9780415158183"</f>
        <v>9780415158183</v>
      </c>
      <c r="D201" t="str">
        <f>"9780203444399"</f>
        <v>9780203444399</v>
      </c>
      <c r="E201" t="s">
        <v>26010</v>
      </c>
      <c r="F201" t="s">
        <v>35</v>
      </c>
      <c r="G201" t="s">
        <v>22174</v>
      </c>
      <c r="H201" t="s">
        <v>26004</v>
      </c>
      <c r="I201" s="26">
        <v>35741</v>
      </c>
      <c r="J201">
        <v>2002</v>
      </c>
      <c r="K201" t="s">
        <v>26012</v>
      </c>
      <c r="L201">
        <v>272</v>
      </c>
      <c r="M201" t="s">
        <v>26761</v>
      </c>
      <c r="N201">
        <v>1</v>
      </c>
      <c r="O201" t="s">
        <v>26714</v>
      </c>
      <c r="Q201" t="s">
        <v>26762</v>
      </c>
      <c r="R201">
        <v>153.83000000000001</v>
      </c>
      <c r="S201" t="s">
        <v>26763</v>
      </c>
      <c r="T201" t="s">
        <v>30</v>
      </c>
      <c r="U201" t="s">
        <v>46</v>
      </c>
      <c r="W201" t="s">
        <v>26009</v>
      </c>
    </row>
    <row r="202" spans="1:23" x14ac:dyDescent="0.35">
      <c r="A202">
        <v>180200</v>
      </c>
      <c r="B202" t="s">
        <v>26764</v>
      </c>
      <c r="C202" t="str">
        <f>"9780415916998"</f>
        <v>9780415916998</v>
      </c>
      <c r="D202" t="str">
        <f>"9780203905241"</f>
        <v>9780203905241</v>
      </c>
      <c r="E202" t="s">
        <v>26010</v>
      </c>
      <c r="F202" t="s">
        <v>35</v>
      </c>
      <c r="G202" t="s">
        <v>22174</v>
      </c>
      <c r="H202" t="s">
        <v>26004</v>
      </c>
      <c r="I202" s="26">
        <v>36151</v>
      </c>
      <c r="J202">
        <v>1999</v>
      </c>
      <c r="K202" t="s">
        <v>26012</v>
      </c>
      <c r="L202">
        <v>203</v>
      </c>
      <c r="M202" t="s">
        <v>26765</v>
      </c>
      <c r="N202">
        <v>1</v>
      </c>
      <c r="Q202" t="s">
        <v>26766</v>
      </c>
      <c r="R202" t="s">
        <v>26767</v>
      </c>
      <c r="S202" t="s">
        <v>26768</v>
      </c>
      <c r="T202" t="s">
        <v>30</v>
      </c>
      <c r="U202" t="s">
        <v>26044</v>
      </c>
      <c r="W202" t="s">
        <v>26009</v>
      </c>
    </row>
    <row r="203" spans="1:23" x14ac:dyDescent="0.35">
      <c r="A203">
        <v>180228</v>
      </c>
      <c r="B203" t="s">
        <v>26769</v>
      </c>
      <c r="C203" t="str">
        <f>"9780415186131"</f>
        <v>9780415186131</v>
      </c>
      <c r="D203" t="str">
        <f>"9780203360767"</f>
        <v>9780203360767</v>
      </c>
      <c r="E203" t="s">
        <v>26010</v>
      </c>
      <c r="F203" t="s">
        <v>35</v>
      </c>
      <c r="G203" t="s">
        <v>22174</v>
      </c>
      <c r="H203" t="s">
        <v>26011</v>
      </c>
      <c r="I203" s="26">
        <v>35863</v>
      </c>
      <c r="J203">
        <v>1998</v>
      </c>
      <c r="K203" t="s">
        <v>26012</v>
      </c>
      <c r="L203">
        <v>132</v>
      </c>
      <c r="M203" t="s">
        <v>26770</v>
      </c>
      <c r="N203">
        <v>1</v>
      </c>
      <c r="Q203" t="s">
        <v>26771</v>
      </c>
      <c r="R203" t="s">
        <v>26308</v>
      </c>
      <c r="S203" t="s">
        <v>8053</v>
      </c>
      <c r="T203" t="s">
        <v>30</v>
      </c>
      <c r="U203" t="s">
        <v>46</v>
      </c>
      <c r="W203" t="s">
        <v>26009</v>
      </c>
    </row>
    <row r="204" spans="1:23" x14ac:dyDescent="0.35">
      <c r="A204">
        <v>180231</v>
      </c>
      <c r="B204" t="s">
        <v>26772</v>
      </c>
      <c r="C204" t="str">
        <f>"9780415198677"</f>
        <v>9780415198677</v>
      </c>
      <c r="D204" t="str">
        <f>"9780203360859"</f>
        <v>9780203360859</v>
      </c>
      <c r="E204" t="s">
        <v>26010</v>
      </c>
      <c r="F204" t="s">
        <v>35</v>
      </c>
      <c r="G204" t="s">
        <v>22174</v>
      </c>
      <c r="H204" t="s">
        <v>26011</v>
      </c>
      <c r="I204" s="26">
        <v>37651</v>
      </c>
      <c r="J204">
        <v>2003</v>
      </c>
      <c r="K204" t="s">
        <v>26012</v>
      </c>
      <c r="L204">
        <v>246</v>
      </c>
      <c r="M204" t="s">
        <v>26773</v>
      </c>
      <c r="N204">
        <v>1</v>
      </c>
      <c r="O204" t="s">
        <v>26297</v>
      </c>
      <c r="Q204" t="s">
        <v>26774</v>
      </c>
      <c r="R204">
        <v>153.6</v>
      </c>
      <c r="S204" t="s">
        <v>7743</v>
      </c>
      <c r="T204" t="s">
        <v>30</v>
      </c>
      <c r="U204" t="s">
        <v>46</v>
      </c>
      <c r="W204" t="s">
        <v>26009</v>
      </c>
    </row>
    <row r="205" spans="1:23" x14ac:dyDescent="0.35">
      <c r="A205">
        <v>180268</v>
      </c>
      <c r="B205" t="s">
        <v>26775</v>
      </c>
      <c r="C205" t="str">
        <f>"9780415194372"</f>
        <v>9780415194372</v>
      </c>
      <c r="D205" t="str">
        <f>"9780203360811"</f>
        <v>9780203360811</v>
      </c>
      <c r="E205" t="s">
        <v>26010</v>
      </c>
      <c r="F205" t="s">
        <v>35</v>
      </c>
      <c r="G205" t="s">
        <v>22174</v>
      </c>
      <c r="H205" t="s">
        <v>26011</v>
      </c>
      <c r="I205" s="26">
        <v>36089</v>
      </c>
      <c r="J205">
        <v>1998</v>
      </c>
      <c r="K205" t="s">
        <v>26012</v>
      </c>
      <c r="L205">
        <v>239</v>
      </c>
      <c r="M205" t="s">
        <v>26776</v>
      </c>
      <c r="N205">
        <v>1</v>
      </c>
      <c r="O205" t="s">
        <v>26344</v>
      </c>
      <c r="Q205" t="s">
        <v>26777</v>
      </c>
      <c r="R205">
        <v>153.30000000000001</v>
      </c>
      <c r="S205" t="s">
        <v>7661</v>
      </c>
      <c r="T205" t="s">
        <v>30</v>
      </c>
      <c r="U205" t="s">
        <v>46</v>
      </c>
      <c r="W205" t="s">
        <v>26009</v>
      </c>
    </row>
    <row r="206" spans="1:23" x14ac:dyDescent="0.35">
      <c r="A206">
        <v>180275</v>
      </c>
      <c r="B206" t="s">
        <v>10187</v>
      </c>
      <c r="C206" t="str">
        <f>"9780415195614"</f>
        <v>9780415195614</v>
      </c>
      <c r="D206" t="str">
        <f>"9780203360835"</f>
        <v>9780203360835</v>
      </c>
      <c r="E206" t="s">
        <v>26010</v>
      </c>
      <c r="F206" t="s">
        <v>35</v>
      </c>
      <c r="G206" t="s">
        <v>26201</v>
      </c>
      <c r="H206" t="s">
        <v>26004</v>
      </c>
      <c r="I206" s="26">
        <v>36917</v>
      </c>
      <c r="J206">
        <v>2000</v>
      </c>
      <c r="K206" t="s">
        <v>26012</v>
      </c>
      <c r="L206">
        <v>380</v>
      </c>
      <c r="M206" t="s">
        <v>26778</v>
      </c>
      <c r="N206">
        <v>2</v>
      </c>
      <c r="Q206" t="s">
        <v>26779</v>
      </c>
      <c r="R206">
        <v>158.35</v>
      </c>
      <c r="S206" t="s">
        <v>26780</v>
      </c>
      <c r="T206" t="s">
        <v>30</v>
      </c>
      <c r="U206" t="s">
        <v>46</v>
      </c>
      <c r="W206" t="s">
        <v>26009</v>
      </c>
    </row>
    <row r="207" spans="1:23" x14ac:dyDescent="0.35">
      <c r="A207">
        <v>180288</v>
      </c>
      <c r="B207" t="s">
        <v>26781</v>
      </c>
      <c r="C207" t="str">
        <f>"9780415924108"</f>
        <v>9780415924108</v>
      </c>
      <c r="D207" t="str">
        <f>"9780203903704"</f>
        <v>9780203903704</v>
      </c>
      <c r="E207" t="s">
        <v>26010</v>
      </c>
      <c r="F207" t="s">
        <v>35</v>
      </c>
      <c r="G207" t="s">
        <v>22174</v>
      </c>
      <c r="H207" t="s">
        <v>26011</v>
      </c>
      <c r="I207" s="26">
        <v>36416</v>
      </c>
      <c r="J207">
        <v>1999</v>
      </c>
      <c r="K207" t="s">
        <v>26012</v>
      </c>
      <c r="L207">
        <v>175</v>
      </c>
      <c r="M207" t="s">
        <v>26782</v>
      </c>
      <c r="N207">
        <v>1</v>
      </c>
      <c r="Q207" t="s">
        <v>26783</v>
      </c>
      <c r="R207">
        <v>616.85820081999998</v>
      </c>
      <c r="S207" t="s">
        <v>10256</v>
      </c>
      <c r="T207" t="s">
        <v>30</v>
      </c>
      <c r="U207" t="s">
        <v>26019</v>
      </c>
      <c r="W207" t="s">
        <v>26009</v>
      </c>
    </row>
    <row r="208" spans="1:23" x14ac:dyDescent="0.35">
      <c r="A208">
        <v>180292</v>
      </c>
      <c r="B208" t="s">
        <v>26784</v>
      </c>
      <c r="C208" t="str">
        <f>"9780415927857"</f>
        <v>9780415927857</v>
      </c>
      <c r="D208" t="str">
        <f>"9780203904558"</f>
        <v>9780203904558</v>
      </c>
      <c r="E208" t="s">
        <v>26010</v>
      </c>
      <c r="F208" t="s">
        <v>35</v>
      </c>
      <c r="G208" t="s">
        <v>22174</v>
      </c>
      <c r="H208" t="s">
        <v>26004</v>
      </c>
      <c r="I208" s="26">
        <v>36826</v>
      </c>
      <c r="J208">
        <v>2001</v>
      </c>
      <c r="K208" t="s">
        <v>26012</v>
      </c>
      <c r="L208">
        <v>318</v>
      </c>
      <c r="M208" t="s">
        <v>26785</v>
      </c>
      <c r="N208">
        <v>1</v>
      </c>
      <c r="Q208" t="s">
        <v>26786</v>
      </c>
      <c r="R208" t="s">
        <v>26787</v>
      </c>
      <c r="S208" t="s">
        <v>26788</v>
      </c>
      <c r="T208" t="s">
        <v>30</v>
      </c>
      <c r="U208" t="s">
        <v>46</v>
      </c>
      <c r="W208" t="s">
        <v>26009</v>
      </c>
    </row>
    <row r="209" spans="1:23" x14ac:dyDescent="0.35">
      <c r="A209">
        <v>180341</v>
      </c>
      <c r="B209" t="s">
        <v>8880</v>
      </c>
      <c r="C209" t="str">
        <f>"9780415207683"</f>
        <v>9780415207683</v>
      </c>
      <c r="D209" t="str">
        <f>"9780203360972"</f>
        <v>9780203360972</v>
      </c>
      <c r="E209" t="s">
        <v>26010</v>
      </c>
      <c r="F209" t="s">
        <v>35</v>
      </c>
      <c r="G209" t="s">
        <v>22174</v>
      </c>
      <c r="H209" t="s">
        <v>26011</v>
      </c>
      <c r="I209" s="26">
        <v>37160</v>
      </c>
      <c r="J209">
        <v>2004</v>
      </c>
      <c r="K209" t="s">
        <v>26012</v>
      </c>
      <c r="L209">
        <v>299</v>
      </c>
      <c r="M209" t="s">
        <v>26789</v>
      </c>
      <c r="N209">
        <v>1</v>
      </c>
      <c r="Q209" t="s">
        <v>26790</v>
      </c>
      <c r="R209" t="s">
        <v>26791</v>
      </c>
      <c r="S209" t="s">
        <v>8836</v>
      </c>
      <c r="T209" t="s">
        <v>30</v>
      </c>
      <c r="U209" t="s">
        <v>46</v>
      </c>
      <c r="W209" t="s">
        <v>26009</v>
      </c>
    </row>
    <row r="210" spans="1:23" x14ac:dyDescent="0.35">
      <c r="A210">
        <v>180347</v>
      </c>
      <c r="B210" t="s">
        <v>26792</v>
      </c>
      <c r="C210" t="str">
        <f>"9780415211796"</f>
        <v>9780415211796</v>
      </c>
      <c r="D210" t="str">
        <f>"9780203360989"</f>
        <v>9780203360989</v>
      </c>
      <c r="E210" t="s">
        <v>26010</v>
      </c>
      <c r="F210" t="s">
        <v>35</v>
      </c>
      <c r="G210" t="s">
        <v>22174</v>
      </c>
      <c r="H210" t="s">
        <v>26011</v>
      </c>
      <c r="I210" s="26">
        <v>36425</v>
      </c>
      <c r="J210">
        <v>1999</v>
      </c>
      <c r="K210" t="s">
        <v>26012</v>
      </c>
      <c r="L210">
        <v>229</v>
      </c>
      <c r="M210" t="s">
        <v>26793</v>
      </c>
      <c r="N210">
        <v>1</v>
      </c>
      <c r="O210" t="s">
        <v>26344</v>
      </c>
      <c r="Q210" t="s">
        <v>26794</v>
      </c>
      <c r="R210">
        <v>618.92891699999996</v>
      </c>
      <c r="S210" t="s">
        <v>7527</v>
      </c>
      <c r="T210" t="s">
        <v>30</v>
      </c>
      <c r="U210" t="s">
        <v>26116</v>
      </c>
      <c r="W210" t="s">
        <v>26009</v>
      </c>
    </row>
    <row r="211" spans="1:23" x14ac:dyDescent="0.35">
      <c r="A211">
        <v>180428</v>
      </c>
      <c r="B211" t="s">
        <v>26795</v>
      </c>
      <c r="C211" t="str">
        <f>"9780415231947"</f>
        <v>9780415231947</v>
      </c>
      <c r="D211" t="str">
        <f>"9780203380383"</f>
        <v>9780203380383</v>
      </c>
      <c r="E211" t="s">
        <v>26010</v>
      </c>
      <c r="F211" t="s">
        <v>35</v>
      </c>
      <c r="G211" t="s">
        <v>22174</v>
      </c>
      <c r="H211" t="s">
        <v>26011</v>
      </c>
      <c r="I211" s="26">
        <v>37805</v>
      </c>
      <c r="J211">
        <v>2003</v>
      </c>
      <c r="K211" t="s">
        <v>26012</v>
      </c>
      <c r="L211">
        <v>241</v>
      </c>
      <c r="M211" t="s">
        <v>26796</v>
      </c>
      <c r="N211">
        <v>1</v>
      </c>
      <c r="Q211" t="s">
        <v>26797</v>
      </c>
      <c r="R211">
        <v>808.06615799999997</v>
      </c>
      <c r="S211" t="s">
        <v>9717</v>
      </c>
      <c r="T211" t="s">
        <v>30</v>
      </c>
      <c r="U211" t="s">
        <v>26798</v>
      </c>
      <c r="W211" t="s">
        <v>26009</v>
      </c>
    </row>
    <row r="212" spans="1:23" x14ac:dyDescent="0.35">
      <c r="A212">
        <v>180433</v>
      </c>
      <c r="B212" t="s">
        <v>7968</v>
      </c>
      <c r="C212" t="str">
        <f>"9780415233040"</f>
        <v>9780415233040</v>
      </c>
      <c r="D212" t="str">
        <f>"9780203361276"</f>
        <v>9780203361276</v>
      </c>
      <c r="E212" t="s">
        <v>26010</v>
      </c>
      <c r="F212" t="s">
        <v>35</v>
      </c>
      <c r="G212" t="s">
        <v>22174</v>
      </c>
      <c r="H212" t="s">
        <v>26011</v>
      </c>
      <c r="I212" s="26">
        <v>37687</v>
      </c>
      <c r="J212">
        <v>2002</v>
      </c>
      <c r="K212" t="s">
        <v>26012</v>
      </c>
      <c r="L212">
        <v>391</v>
      </c>
      <c r="M212" t="s">
        <v>26799</v>
      </c>
      <c r="N212">
        <v>1</v>
      </c>
      <c r="Q212" t="s">
        <v>26800</v>
      </c>
      <c r="R212" t="s">
        <v>26308</v>
      </c>
      <c r="S212" t="s">
        <v>8133</v>
      </c>
      <c r="T212" t="s">
        <v>30</v>
      </c>
      <c r="U212" t="s">
        <v>46</v>
      </c>
      <c r="W212" t="s">
        <v>26009</v>
      </c>
    </row>
    <row r="213" spans="1:23" x14ac:dyDescent="0.35">
      <c r="A213">
        <v>180483</v>
      </c>
      <c r="B213" t="s">
        <v>8398</v>
      </c>
      <c r="C213" t="str">
        <f>"9780415240246"</f>
        <v>9780415240246</v>
      </c>
      <c r="D213" t="str">
        <f>"9780203361337"</f>
        <v>9780203361337</v>
      </c>
      <c r="E213" t="s">
        <v>26010</v>
      </c>
      <c r="F213" t="s">
        <v>35</v>
      </c>
      <c r="G213" t="s">
        <v>22174</v>
      </c>
      <c r="H213" t="s">
        <v>26011</v>
      </c>
      <c r="I213" s="26">
        <v>37337</v>
      </c>
      <c r="J213">
        <v>2002</v>
      </c>
      <c r="K213" t="s">
        <v>26012</v>
      </c>
      <c r="L213">
        <v>246</v>
      </c>
      <c r="M213" t="s">
        <v>26801</v>
      </c>
      <c r="N213">
        <v>1</v>
      </c>
      <c r="O213" t="s">
        <v>26802</v>
      </c>
      <c r="Q213">
        <v>2001051092</v>
      </c>
      <c r="R213">
        <v>306.10000000000002</v>
      </c>
      <c r="S213" t="s">
        <v>46</v>
      </c>
      <c r="T213" t="s">
        <v>30</v>
      </c>
      <c r="U213" t="s">
        <v>26044</v>
      </c>
      <c r="W213" t="s">
        <v>26009</v>
      </c>
    </row>
    <row r="214" spans="1:23" x14ac:dyDescent="0.35">
      <c r="A214">
        <v>180584</v>
      </c>
      <c r="B214" t="s">
        <v>26803</v>
      </c>
      <c r="C214" t="str">
        <f>"9780415253536"</f>
        <v>9780415253536</v>
      </c>
      <c r="D214" t="str">
        <f>"9780203421413"</f>
        <v>9780203421413</v>
      </c>
      <c r="E214" t="s">
        <v>26010</v>
      </c>
      <c r="F214" t="s">
        <v>35</v>
      </c>
      <c r="G214" t="s">
        <v>22174</v>
      </c>
      <c r="H214" t="s">
        <v>26011</v>
      </c>
      <c r="I214" s="26">
        <v>37330</v>
      </c>
      <c r="J214">
        <v>2004</v>
      </c>
      <c r="K214" t="s">
        <v>26012</v>
      </c>
      <c r="L214">
        <v>193</v>
      </c>
      <c r="M214" t="s">
        <v>26804</v>
      </c>
      <c r="N214">
        <v>1</v>
      </c>
      <c r="Q214" t="s">
        <v>26805</v>
      </c>
      <c r="R214">
        <v>304.2</v>
      </c>
      <c r="S214" t="s">
        <v>9004</v>
      </c>
      <c r="T214" t="s">
        <v>30</v>
      </c>
      <c r="U214" t="s">
        <v>26228</v>
      </c>
      <c r="W214" t="s">
        <v>26009</v>
      </c>
    </row>
    <row r="215" spans="1:23" x14ac:dyDescent="0.35">
      <c r="A215">
        <v>180804</v>
      </c>
      <c r="B215" t="s">
        <v>8699</v>
      </c>
      <c r="C215" t="str">
        <f>"9780415278713"</f>
        <v>9780415278713</v>
      </c>
      <c r="D215" t="str">
        <f>"9780203219539"</f>
        <v>9780203219539</v>
      </c>
      <c r="E215" t="s">
        <v>26010</v>
      </c>
      <c r="F215" t="s">
        <v>35</v>
      </c>
      <c r="G215" t="s">
        <v>26337</v>
      </c>
      <c r="H215" t="s">
        <v>26004</v>
      </c>
      <c r="I215" s="26">
        <v>37386</v>
      </c>
      <c r="J215">
        <v>2002</v>
      </c>
      <c r="K215" t="s">
        <v>26012</v>
      </c>
      <c r="L215">
        <v>225</v>
      </c>
      <c r="M215" t="s">
        <v>26806</v>
      </c>
      <c r="N215">
        <v>1</v>
      </c>
      <c r="Q215" t="s">
        <v>26807</v>
      </c>
      <c r="R215">
        <v>362.29300000000001</v>
      </c>
      <c r="S215" t="s">
        <v>8700</v>
      </c>
      <c r="T215" t="s">
        <v>30</v>
      </c>
      <c r="U215" t="s">
        <v>26094</v>
      </c>
      <c r="W215" t="s">
        <v>26009</v>
      </c>
    </row>
    <row r="216" spans="1:23" x14ac:dyDescent="0.35">
      <c r="A216">
        <v>180899</v>
      </c>
      <c r="B216" t="s">
        <v>7427</v>
      </c>
      <c r="C216" t="str">
        <f>"9780415305822"</f>
        <v>9780415305822</v>
      </c>
      <c r="D216" t="str">
        <f>"9780203711460"</f>
        <v>9780203711460</v>
      </c>
      <c r="E216" t="s">
        <v>26010</v>
      </c>
      <c r="F216" t="s">
        <v>35</v>
      </c>
      <c r="G216" t="s">
        <v>26201</v>
      </c>
      <c r="H216" t="s">
        <v>26004</v>
      </c>
      <c r="I216" s="26">
        <v>37750</v>
      </c>
      <c r="J216">
        <v>2003</v>
      </c>
      <c r="K216" t="s">
        <v>26012</v>
      </c>
      <c r="L216">
        <v>188</v>
      </c>
      <c r="M216" t="s">
        <v>26808</v>
      </c>
      <c r="N216">
        <v>2</v>
      </c>
      <c r="Q216" t="s">
        <v>26809</v>
      </c>
      <c r="R216">
        <v>128.30000000000001</v>
      </c>
      <c r="S216" t="s">
        <v>26810</v>
      </c>
      <c r="T216" t="s">
        <v>30</v>
      </c>
      <c r="U216" t="s">
        <v>26520</v>
      </c>
      <c r="W216" t="s">
        <v>26009</v>
      </c>
    </row>
    <row r="217" spans="1:23" x14ac:dyDescent="0.35">
      <c r="A217">
        <v>181072</v>
      </c>
      <c r="B217" t="s">
        <v>9772</v>
      </c>
      <c r="C217" t="str">
        <f>"9780419208501"</f>
        <v>9780419208501</v>
      </c>
      <c r="D217" t="str">
        <f>"9780203476178"</f>
        <v>9780203476178</v>
      </c>
      <c r="E217" t="s">
        <v>26010</v>
      </c>
      <c r="F217" t="s">
        <v>7770</v>
      </c>
      <c r="G217" t="s">
        <v>22174</v>
      </c>
      <c r="H217" t="s">
        <v>26004</v>
      </c>
      <c r="I217" s="26">
        <v>35384</v>
      </c>
      <c r="J217">
        <v>1996</v>
      </c>
      <c r="K217" t="s">
        <v>26010</v>
      </c>
      <c r="L217">
        <v>641</v>
      </c>
      <c r="M217" t="s">
        <v>26811</v>
      </c>
      <c r="N217">
        <v>1</v>
      </c>
      <c r="Q217" t="s">
        <v>26812</v>
      </c>
      <c r="R217">
        <v>796.93</v>
      </c>
      <c r="S217" t="s">
        <v>26813</v>
      </c>
      <c r="T217" t="s">
        <v>30</v>
      </c>
      <c r="U217" t="s">
        <v>26008</v>
      </c>
      <c r="W217" t="s">
        <v>26009</v>
      </c>
    </row>
    <row r="218" spans="1:23" x14ac:dyDescent="0.35">
      <c r="A218">
        <v>181233</v>
      </c>
      <c r="B218" t="s">
        <v>7980</v>
      </c>
      <c r="C218" t="str">
        <f>"9780748408238"</f>
        <v>9780748408238</v>
      </c>
      <c r="D218" t="str">
        <f>"9781482268034"</f>
        <v>9781482268034</v>
      </c>
      <c r="E218" t="s">
        <v>26010</v>
      </c>
      <c r="F218" t="s">
        <v>35</v>
      </c>
      <c r="G218" t="s">
        <v>26814</v>
      </c>
      <c r="H218" t="s">
        <v>26004</v>
      </c>
      <c r="I218" s="26">
        <v>36503</v>
      </c>
      <c r="J218">
        <v>1999</v>
      </c>
      <c r="K218" t="s">
        <v>26470</v>
      </c>
      <c r="L218">
        <v>318</v>
      </c>
      <c r="M218" t="s">
        <v>26815</v>
      </c>
      <c r="N218">
        <v>1</v>
      </c>
      <c r="Q218" t="s">
        <v>26816</v>
      </c>
      <c r="R218" t="s">
        <v>26817</v>
      </c>
      <c r="S218" t="s">
        <v>26818</v>
      </c>
      <c r="T218" t="s">
        <v>30</v>
      </c>
      <c r="U218" t="s">
        <v>26116</v>
      </c>
      <c r="W218" t="s">
        <v>26009</v>
      </c>
    </row>
    <row r="219" spans="1:23" x14ac:dyDescent="0.35">
      <c r="A219">
        <v>181327</v>
      </c>
      <c r="B219" t="s">
        <v>26819</v>
      </c>
      <c r="C219" t="str">
        <f>"9780750704830"</f>
        <v>9780750704830</v>
      </c>
      <c r="D219" t="str">
        <f>"9780203397428"</f>
        <v>9780203397428</v>
      </c>
      <c r="E219" t="s">
        <v>26010</v>
      </c>
      <c r="F219" t="s">
        <v>35</v>
      </c>
      <c r="G219" t="s">
        <v>22174</v>
      </c>
      <c r="H219" t="s">
        <v>26011</v>
      </c>
      <c r="I219" s="26">
        <v>35096</v>
      </c>
      <c r="J219">
        <v>1996</v>
      </c>
      <c r="K219" t="s">
        <v>26012</v>
      </c>
      <c r="L219">
        <v>315</v>
      </c>
      <c r="M219" t="s">
        <v>26820</v>
      </c>
      <c r="N219">
        <v>1</v>
      </c>
      <c r="Q219" t="s">
        <v>26821</v>
      </c>
      <c r="R219">
        <v>373.18235099999998</v>
      </c>
      <c r="S219" t="s">
        <v>26822</v>
      </c>
      <c r="T219" t="s">
        <v>30</v>
      </c>
      <c r="U219" t="s">
        <v>26179</v>
      </c>
      <c r="W219" t="s">
        <v>26009</v>
      </c>
    </row>
    <row r="220" spans="1:23" x14ac:dyDescent="0.35">
      <c r="A220">
        <v>181409</v>
      </c>
      <c r="B220" t="s">
        <v>26823</v>
      </c>
      <c r="C220" t="str">
        <f>"9781583911280"</f>
        <v>9781583911280</v>
      </c>
      <c r="D220" t="str">
        <f>"9780203391525"</f>
        <v>9780203391525</v>
      </c>
      <c r="E220" t="s">
        <v>26010</v>
      </c>
      <c r="F220" t="s">
        <v>35</v>
      </c>
      <c r="G220" t="s">
        <v>22174</v>
      </c>
      <c r="H220" t="s">
        <v>26011</v>
      </c>
      <c r="I220" s="26">
        <v>37825</v>
      </c>
      <c r="J220">
        <v>2003</v>
      </c>
      <c r="K220" t="s">
        <v>26012</v>
      </c>
      <c r="L220">
        <v>247</v>
      </c>
      <c r="M220" t="s">
        <v>26824</v>
      </c>
      <c r="N220">
        <v>1</v>
      </c>
      <c r="Q220" t="s">
        <v>26825</v>
      </c>
      <c r="R220" t="s">
        <v>26746</v>
      </c>
      <c r="S220" t="s">
        <v>7553</v>
      </c>
      <c r="T220" t="s">
        <v>30</v>
      </c>
      <c r="U220" t="s">
        <v>46</v>
      </c>
      <c r="W220" t="s">
        <v>26009</v>
      </c>
    </row>
    <row r="221" spans="1:23" x14ac:dyDescent="0.35">
      <c r="A221">
        <v>181679</v>
      </c>
      <c r="B221" t="s">
        <v>26826</v>
      </c>
      <c r="C221" t="str">
        <f>"9781583913482"</f>
        <v>9781583913482</v>
      </c>
      <c r="D221" t="str">
        <f>"9780203427521"</f>
        <v>9780203427521</v>
      </c>
      <c r="E221" t="s">
        <v>26010</v>
      </c>
      <c r="F221" t="s">
        <v>35</v>
      </c>
      <c r="G221" t="s">
        <v>22174</v>
      </c>
      <c r="H221" t="s">
        <v>26011</v>
      </c>
      <c r="I221" s="26">
        <v>37656</v>
      </c>
      <c r="J221">
        <v>2003</v>
      </c>
      <c r="K221" t="s">
        <v>26012</v>
      </c>
      <c r="L221">
        <v>366</v>
      </c>
      <c r="M221" t="s">
        <v>26827</v>
      </c>
      <c r="N221">
        <v>4</v>
      </c>
      <c r="Q221" t="s">
        <v>26828</v>
      </c>
      <c r="R221">
        <v>362.84009730000002</v>
      </c>
      <c r="S221" t="s">
        <v>7988</v>
      </c>
      <c r="T221" t="s">
        <v>30</v>
      </c>
      <c r="U221" t="s">
        <v>26044</v>
      </c>
      <c r="W221" t="s">
        <v>26009</v>
      </c>
    </row>
    <row r="222" spans="1:23" x14ac:dyDescent="0.35">
      <c r="A222">
        <v>181746</v>
      </c>
      <c r="B222" t="s">
        <v>26829</v>
      </c>
      <c r="C222" t="str">
        <f>"9780415149587"</f>
        <v>9780415149587</v>
      </c>
      <c r="D222" t="str">
        <f>"9780203479582"</f>
        <v>9780203479582</v>
      </c>
      <c r="E222" t="s">
        <v>26010</v>
      </c>
      <c r="F222" t="s">
        <v>35</v>
      </c>
      <c r="G222" t="s">
        <v>26201</v>
      </c>
      <c r="H222" t="s">
        <v>26004</v>
      </c>
      <c r="I222" s="26">
        <v>36250</v>
      </c>
      <c r="J222">
        <v>1999</v>
      </c>
      <c r="K222" t="s">
        <v>26012</v>
      </c>
      <c r="L222">
        <v>225</v>
      </c>
      <c r="M222" t="s">
        <v>26830</v>
      </c>
      <c r="N222">
        <v>1</v>
      </c>
      <c r="Q222" t="s">
        <v>26831</v>
      </c>
      <c r="R222">
        <v>306.85000000000002</v>
      </c>
      <c r="S222" t="s">
        <v>26832</v>
      </c>
      <c r="T222" t="s">
        <v>30</v>
      </c>
      <c r="U222" t="s">
        <v>26044</v>
      </c>
      <c r="W222" t="s">
        <v>26009</v>
      </c>
    </row>
    <row r="223" spans="1:23" x14ac:dyDescent="0.35">
      <c r="A223">
        <v>181942</v>
      </c>
      <c r="B223" t="s">
        <v>26833</v>
      </c>
      <c r="C223" t="str">
        <f>"9780415311090"</f>
        <v>9780415311090</v>
      </c>
      <c r="D223" t="str">
        <f>"9780203458310"</f>
        <v>9780203458310</v>
      </c>
      <c r="E223" t="s">
        <v>26010</v>
      </c>
      <c r="F223" t="s">
        <v>35</v>
      </c>
      <c r="G223" t="s">
        <v>22174</v>
      </c>
      <c r="H223" t="s">
        <v>26011</v>
      </c>
      <c r="I223" s="26">
        <v>37935</v>
      </c>
      <c r="J223">
        <v>2003</v>
      </c>
      <c r="K223" t="s">
        <v>26012</v>
      </c>
      <c r="L223">
        <v>217</v>
      </c>
      <c r="M223" t="s">
        <v>26834</v>
      </c>
      <c r="N223">
        <v>1</v>
      </c>
      <c r="Q223" t="s">
        <v>26835</v>
      </c>
      <c r="R223">
        <v>371.10199999999998</v>
      </c>
      <c r="S223" t="s">
        <v>9113</v>
      </c>
      <c r="T223" t="s">
        <v>30</v>
      </c>
      <c r="U223" t="s">
        <v>26179</v>
      </c>
      <c r="W223" t="s">
        <v>26009</v>
      </c>
    </row>
    <row r="224" spans="1:23" x14ac:dyDescent="0.35">
      <c r="A224">
        <v>182082</v>
      </c>
      <c r="B224" t="s">
        <v>26836</v>
      </c>
      <c r="C224" t="str">
        <f>"9781841695068"</f>
        <v>9781841695068</v>
      </c>
      <c r="D224" t="str">
        <f>"9780203463444"</f>
        <v>9780203463444</v>
      </c>
      <c r="E224" t="s">
        <v>26010</v>
      </c>
      <c r="F224" t="s">
        <v>35</v>
      </c>
      <c r="G224" t="s">
        <v>22267</v>
      </c>
      <c r="H224" t="s">
        <v>26004</v>
      </c>
      <c r="I224" s="26">
        <v>38324</v>
      </c>
      <c r="J224">
        <v>2004</v>
      </c>
      <c r="K224" t="s">
        <v>660</v>
      </c>
      <c r="L224">
        <v>444</v>
      </c>
      <c r="M224" t="s">
        <v>26837</v>
      </c>
      <c r="N224">
        <v>1</v>
      </c>
      <c r="Q224" t="s">
        <v>26838</v>
      </c>
      <c r="R224" t="s">
        <v>26839</v>
      </c>
      <c r="S224" t="s">
        <v>8221</v>
      </c>
      <c r="T224" t="s">
        <v>30</v>
      </c>
      <c r="U224" t="s">
        <v>26040</v>
      </c>
      <c r="W224" t="s">
        <v>26009</v>
      </c>
    </row>
    <row r="225" spans="1:23" x14ac:dyDescent="0.35">
      <c r="A225">
        <v>182196</v>
      </c>
      <c r="B225" t="s">
        <v>26840</v>
      </c>
      <c r="C225" t="str">
        <f>"9780415235372"</f>
        <v>9780415235372</v>
      </c>
      <c r="D225" t="str">
        <f>"9780203490136"</f>
        <v>9780203490136</v>
      </c>
      <c r="E225" t="s">
        <v>26010</v>
      </c>
      <c r="F225" t="s">
        <v>35</v>
      </c>
      <c r="G225" t="s">
        <v>26201</v>
      </c>
      <c r="H225" t="s">
        <v>26004</v>
      </c>
      <c r="I225" s="26">
        <v>38170</v>
      </c>
      <c r="J225">
        <v>2004</v>
      </c>
      <c r="K225" t="s">
        <v>26012</v>
      </c>
      <c r="L225">
        <v>174</v>
      </c>
      <c r="M225" t="s">
        <v>26841</v>
      </c>
      <c r="N225">
        <v>1</v>
      </c>
      <c r="O225" t="s">
        <v>26842</v>
      </c>
      <c r="Q225" t="s">
        <v>26843</v>
      </c>
      <c r="R225">
        <v>153.30000000000001</v>
      </c>
      <c r="S225" t="s">
        <v>26844</v>
      </c>
      <c r="T225" t="s">
        <v>30</v>
      </c>
      <c r="U225" t="s">
        <v>46</v>
      </c>
      <c r="W225" t="s">
        <v>26009</v>
      </c>
    </row>
    <row r="226" spans="1:23" x14ac:dyDescent="0.35">
      <c r="A226">
        <v>182214</v>
      </c>
      <c r="B226" t="s">
        <v>10263</v>
      </c>
      <c r="C226" t="str">
        <f>"9780415250573"</f>
        <v>9780415250573</v>
      </c>
      <c r="D226" t="str">
        <f>"9780203489321"</f>
        <v>9780203489321</v>
      </c>
      <c r="E226" t="s">
        <v>26010</v>
      </c>
      <c r="F226" t="s">
        <v>35</v>
      </c>
      <c r="G226" t="s">
        <v>26201</v>
      </c>
      <c r="H226" t="s">
        <v>26004</v>
      </c>
      <c r="I226" s="26">
        <v>38412</v>
      </c>
      <c r="J226">
        <v>2004</v>
      </c>
      <c r="K226" t="s">
        <v>26012</v>
      </c>
      <c r="L226">
        <v>257</v>
      </c>
      <c r="M226" t="s">
        <v>26845</v>
      </c>
      <c r="N226">
        <v>1</v>
      </c>
      <c r="Q226" t="s">
        <v>26846</v>
      </c>
      <c r="R226" t="s">
        <v>26847</v>
      </c>
      <c r="S226" t="s">
        <v>26848</v>
      </c>
      <c r="T226" t="s">
        <v>30</v>
      </c>
      <c r="U226" t="s">
        <v>26849</v>
      </c>
      <c r="W226" t="s">
        <v>26009</v>
      </c>
    </row>
    <row r="227" spans="1:23" x14ac:dyDescent="0.35">
      <c r="A227">
        <v>182291</v>
      </c>
      <c r="B227" t="s">
        <v>26850</v>
      </c>
      <c r="C227" t="str">
        <f>"9780415271646"</f>
        <v>9780415271646</v>
      </c>
      <c r="D227" t="str">
        <f>"9780203496060"</f>
        <v>9780203496060</v>
      </c>
      <c r="E227" t="s">
        <v>26010</v>
      </c>
      <c r="F227" t="s">
        <v>35</v>
      </c>
      <c r="G227" t="s">
        <v>22174</v>
      </c>
      <c r="H227" t="s">
        <v>26011</v>
      </c>
      <c r="I227" s="26">
        <v>38254</v>
      </c>
      <c r="J227">
        <v>2004</v>
      </c>
      <c r="K227" t="s">
        <v>26012</v>
      </c>
      <c r="L227">
        <v>194</v>
      </c>
      <c r="M227" t="s">
        <v>26851</v>
      </c>
      <c r="N227">
        <v>1</v>
      </c>
      <c r="Q227" t="s">
        <v>26852</v>
      </c>
      <c r="R227" t="s">
        <v>26308</v>
      </c>
      <c r="S227" t="s">
        <v>9902</v>
      </c>
      <c r="T227" t="s">
        <v>30</v>
      </c>
      <c r="U227" t="s">
        <v>46</v>
      </c>
      <c r="W227" t="s">
        <v>26009</v>
      </c>
    </row>
    <row r="228" spans="1:23" x14ac:dyDescent="0.35">
      <c r="A228">
        <v>182293</v>
      </c>
      <c r="B228" t="s">
        <v>26853</v>
      </c>
      <c r="C228" t="str">
        <f>"9780415272711"</f>
        <v>9780415272711</v>
      </c>
      <c r="D228" t="str">
        <f>"9780203495100"</f>
        <v>9780203495100</v>
      </c>
      <c r="E228" t="s">
        <v>26010</v>
      </c>
      <c r="F228" t="s">
        <v>35</v>
      </c>
      <c r="G228" t="s">
        <v>22174</v>
      </c>
      <c r="H228" t="s">
        <v>26011</v>
      </c>
      <c r="I228" s="26">
        <v>38588</v>
      </c>
      <c r="J228">
        <v>2005</v>
      </c>
      <c r="K228" t="s">
        <v>26012</v>
      </c>
      <c r="L228">
        <v>161</v>
      </c>
      <c r="M228" t="s">
        <v>26854</v>
      </c>
      <c r="N228">
        <v>1</v>
      </c>
      <c r="O228" t="s">
        <v>26855</v>
      </c>
      <c r="Q228" t="s">
        <v>26856</v>
      </c>
      <c r="R228" t="s">
        <v>26857</v>
      </c>
      <c r="S228" t="s">
        <v>7711</v>
      </c>
      <c r="T228" t="s">
        <v>30</v>
      </c>
      <c r="U228" t="s">
        <v>26228</v>
      </c>
      <c r="W228" t="s">
        <v>26009</v>
      </c>
    </row>
    <row r="229" spans="1:23" x14ac:dyDescent="0.35">
      <c r="A229">
        <v>182353</v>
      </c>
      <c r="B229" t="s">
        <v>26858</v>
      </c>
      <c r="C229" t="str">
        <f>"9780415281423"</f>
        <v>9780415281423</v>
      </c>
      <c r="D229" t="str">
        <f>"9780203483435"</f>
        <v>9780203483435</v>
      </c>
      <c r="E229" t="s">
        <v>26010</v>
      </c>
      <c r="F229" t="s">
        <v>35</v>
      </c>
      <c r="G229" t="s">
        <v>22174</v>
      </c>
      <c r="H229" t="s">
        <v>26011</v>
      </c>
      <c r="I229" s="26">
        <v>38288</v>
      </c>
      <c r="J229">
        <v>2004</v>
      </c>
      <c r="K229" t="s">
        <v>26012</v>
      </c>
      <c r="L229">
        <v>157</v>
      </c>
      <c r="M229" t="s">
        <v>26859</v>
      </c>
      <c r="N229">
        <v>1</v>
      </c>
      <c r="Q229">
        <v>2004048080</v>
      </c>
      <c r="R229">
        <v>796.01</v>
      </c>
      <c r="S229" t="s">
        <v>8358</v>
      </c>
      <c r="T229" t="s">
        <v>30</v>
      </c>
      <c r="U229" t="s">
        <v>26008</v>
      </c>
      <c r="W229" t="s">
        <v>26009</v>
      </c>
    </row>
    <row r="230" spans="1:23" x14ac:dyDescent="0.35">
      <c r="A230">
        <v>182390</v>
      </c>
      <c r="B230" t="s">
        <v>9736</v>
      </c>
      <c r="C230" t="str">
        <f>"9780415286633"</f>
        <v>9780415286633</v>
      </c>
      <c r="D230" t="str">
        <f>"9780203497579"</f>
        <v>9780203497579</v>
      </c>
      <c r="E230" t="s">
        <v>26010</v>
      </c>
      <c r="F230" t="s">
        <v>35</v>
      </c>
      <c r="G230" t="s">
        <v>22174</v>
      </c>
      <c r="H230" t="s">
        <v>26011</v>
      </c>
      <c r="I230" s="26">
        <v>38292</v>
      </c>
      <c r="J230">
        <v>2004</v>
      </c>
      <c r="K230" t="s">
        <v>26012</v>
      </c>
      <c r="L230">
        <v>172</v>
      </c>
      <c r="M230" t="s">
        <v>26860</v>
      </c>
      <c r="N230">
        <v>1</v>
      </c>
      <c r="Q230">
        <v>2004048230</v>
      </c>
      <c r="R230" t="s">
        <v>26861</v>
      </c>
      <c r="S230" t="s">
        <v>9737</v>
      </c>
      <c r="T230" t="s">
        <v>30</v>
      </c>
      <c r="U230" t="s">
        <v>26044</v>
      </c>
      <c r="W230" t="s">
        <v>26009</v>
      </c>
    </row>
    <row r="231" spans="1:23" x14ac:dyDescent="0.35">
      <c r="A231">
        <v>182539</v>
      </c>
      <c r="B231" t="s">
        <v>26862</v>
      </c>
      <c r="C231" t="str">
        <f>"9780415308090"</f>
        <v>9780415308090</v>
      </c>
      <c r="D231" t="str">
        <f>"9780203500026"</f>
        <v>9780203500026</v>
      </c>
      <c r="E231" t="s">
        <v>26010</v>
      </c>
      <c r="F231" t="s">
        <v>35</v>
      </c>
      <c r="G231" t="s">
        <v>26201</v>
      </c>
      <c r="H231" t="s">
        <v>26004</v>
      </c>
      <c r="I231" s="26">
        <v>38056</v>
      </c>
      <c r="J231">
        <v>2003</v>
      </c>
      <c r="K231" t="s">
        <v>26012</v>
      </c>
      <c r="L231">
        <v>217</v>
      </c>
      <c r="M231" t="s">
        <v>26863</v>
      </c>
      <c r="N231">
        <v>1</v>
      </c>
      <c r="Q231" t="s">
        <v>26864</v>
      </c>
      <c r="R231">
        <v>153.69</v>
      </c>
      <c r="S231" t="s">
        <v>26865</v>
      </c>
      <c r="T231" t="s">
        <v>30</v>
      </c>
      <c r="U231" t="s">
        <v>46</v>
      </c>
      <c r="W231" t="s">
        <v>26009</v>
      </c>
    </row>
    <row r="232" spans="1:23" x14ac:dyDescent="0.35">
      <c r="A232">
        <v>182725</v>
      </c>
      <c r="B232" t="s">
        <v>26866</v>
      </c>
      <c r="C232" t="str">
        <f>"9780415333047"</f>
        <v>9780415333047</v>
      </c>
      <c r="D232" t="str">
        <f>"9781134318537"</f>
        <v>9781134318537</v>
      </c>
      <c r="E232" t="s">
        <v>26010</v>
      </c>
      <c r="F232" t="s">
        <v>35</v>
      </c>
      <c r="G232" t="s">
        <v>26201</v>
      </c>
      <c r="H232" t="s">
        <v>26004</v>
      </c>
      <c r="I232" s="26">
        <v>38071</v>
      </c>
      <c r="J232">
        <v>2004</v>
      </c>
      <c r="K232" t="s">
        <v>26012</v>
      </c>
      <c r="L232">
        <v>129</v>
      </c>
      <c r="M232" t="s">
        <v>26867</v>
      </c>
      <c r="N232">
        <v>2</v>
      </c>
      <c r="Q232" t="s">
        <v>26868</v>
      </c>
      <c r="R232">
        <v>154.19999999999999</v>
      </c>
      <c r="S232" t="s">
        <v>26869</v>
      </c>
      <c r="T232" t="s">
        <v>30</v>
      </c>
      <c r="U232" t="s">
        <v>46</v>
      </c>
      <c r="W232" t="s">
        <v>26009</v>
      </c>
    </row>
    <row r="233" spans="1:23" x14ac:dyDescent="0.35">
      <c r="A233">
        <v>182765</v>
      </c>
      <c r="B233" t="s">
        <v>26870</v>
      </c>
      <c r="C233" t="str">
        <f>"9780415933322"</f>
        <v>9780415933322</v>
      </c>
      <c r="D233" t="str">
        <f>"9781135953980"</f>
        <v>9781135953980</v>
      </c>
      <c r="E233" t="s">
        <v>26010</v>
      </c>
      <c r="F233" t="s">
        <v>35</v>
      </c>
      <c r="G233" t="s">
        <v>22174</v>
      </c>
      <c r="H233" t="s">
        <v>26011</v>
      </c>
      <c r="I233" s="26">
        <v>37957</v>
      </c>
      <c r="J233">
        <v>2004</v>
      </c>
      <c r="K233" t="s">
        <v>26012</v>
      </c>
      <c r="L233">
        <v>238</v>
      </c>
      <c r="M233" t="s">
        <v>26871</v>
      </c>
      <c r="N233">
        <v>1</v>
      </c>
      <c r="Q233" t="s">
        <v>26872</v>
      </c>
      <c r="R233" t="s">
        <v>26873</v>
      </c>
      <c r="S233" t="s">
        <v>8062</v>
      </c>
      <c r="T233" t="s">
        <v>30</v>
      </c>
      <c r="U233" t="s">
        <v>46</v>
      </c>
      <c r="W233" t="s">
        <v>26009</v>
      </c>
    </row>
    <row r="234" spans="1:23" x14ac:dyDescent="0.35">
      <c r="A234">
        <v>182767</v>
      </c>
      <c r="B234" t="s">
        <v>26874</v>
      </c>
      <c r="C234" t="str">
        <f>"9780415933605"</f>
        <v>9780415933605</v>
      </c>
      <c r="D234" t="str">
        <f>"9780203509067"</f>
        <v>9780203509067</v>
      </c>
      <c r="E234" t="s">
        <v>26010</v>
      </c>
      <c r="F234" t="s">
        <v>35</v>
      </c>
      <c r="G234" t="s">
        <v>22174</v>
      </c>
      <c r="H234" t="s">
        <v>26011</v>
      </c>
      <c r="I234" s="26">
        <v>37701</v>
      </c>
      <c r="J234">
        <v>2003</v>
      </c>
      <c r="K234" t="s">
        <v>26012</v>
      </c>
      <c r="L234">
        <v>327</v>
      </c>
      <c r="M234" t="s">
        <v>26875</v>
      </c>
      <c r="N234">
        <v>1</v>
      </c>
      <c r="Q234" t="s">
        <v>26876</v>
      </c>
      <c r="R234">
        <v>355.03300000000002</v>
      </c>
      <c r="S234" t="s">
        <v>7677</v>
      </c>
      <c r="T234" t="s">
        <v>30</v>
      </c>
      <c r="U234" t="s">
        <v>26877</v>
      </c>
      <c r="W234" t="s">
        <v>26009</v>
      </c>
    </row>
    <row r="235" spans="1:23" x14ac:dyDescent="0.35">
      <c r="A235">
        <v>182777</v>
      </c>
      <c r="B235" t="s">
        <v>26878</v>
      </c>
      <c r="C235" t="str">
        <f>"9780415934718"</f>
        <v>9780415934718</v>
      </c>
      <c r="D235" t="str">
        <f>"9780203501252"</f>
        <v>9780203501252</v>
      </c>
      <c r="E235" t="s">
        <v>26010</v>
      </c>
      <c r="F235" t="s">
        <v>35</v>
      </c>
      <c r="G235" t="s">
        <v>22174</v>
      </c>
      <c r="H235" t="s">
        <v>26011</v>
      </c>
      <c r="I235" s="26">
        <v>37894</v>
      </c>
      <c r="J235">
        <v>2003</v>
      </c>
      <c r="K235" t="s">
        <v>26012</v>
      </c>
      <c r="L235">
        <v>249</v>
      </c>
      <c r="M235" t="s">
        <v>26879</v>
      </c>
      <c r="N235">
        <v>2</v>
      </c>
      <c r="Q235" t="s">
        <v>26880</v>
      </c>
      <c r="R235">
        <v>616.89156200000002</v>
      </c>
      <c r="S235" t="s">
        <v>9193</v>
      </c>
      <c r="T235" t="s">
        <v>30</v>
      </c>
      <c r="U235" t="s">
        <v>26019</v>
      </c>
      <c r="W235" t="s">
        <v>26009</v>
      </c>
    </row>
    <row r="236" spans="1:23" x14ac:dyDescent="0.35">
      <c r="A236">
        <v>182832</v>
      </c>
      <c r="B236" t="s">
        <v>26881</v>
      </c>
      <c r="C236" t="str">
        <f>"9780415944724"</f>
        <v>9780415944724</v>
      </c>
      <c r="D236" t="str">
        <f>"9781134001026"</f>
        <v>9781134001026</v>
      </c>
      <c r="E236" t="s">
        <v>26010</v>
      </c>
      <c r="F236" t="s">
        <v>35</v>
      </c>
      <c r="G236" t="s">
        <v>22174</v>
      </c>
      <c r="H236" t="s">
        <v>26011</v>
      </c>
      <c r="I236" s="26">
        <v>37886</v>
      </c>
      <c r="J236">
        <v>2004</v>
      </c>
      <c r="K236" t="s">
        <v>26012</v>
      </c>
      <c r="L236">
        <v>368</v>
      </c>
      <c r="M236" t="s">
        <v>26882</v>
      </c>
      <c r="N236">
        <v>1</v>
      </c>
      <c r="Q236" t="s">
        <v>26883</v>
      </c>
      <c r="R236" t="s">
        <v>26884</v>
      </c>
      <c r="S236" t="s">
        <v>7780</v>
      </c>
      <c r="T236" t="s">
        <v>30</v>
      </c>
      <c r="U236" t="s">
        <v>11247</v>
      </c>
      <c r="W236" t="s">
        <v>26009</v>
      </c>
    </row>
    <row r="237" spans="1:23" x14ac:dyDescent="0.35">
      <c r="A237">
        <v>182854</v>
      </c>
      <c r="B237" t="s">
        <v>26885</v>
      </c>
      <c r="C237" t="str">
        <f>"9780415945912"</f>
        <v>9780415945912</v>
      </c>
      <c r="D237" t="str">
        <f>"9780203486382"</f>
        <v>9780203486382</v>
      </c>
      <c r="E237" t="s">
        <v>26010</v>
      </c>
      <c r="F237" t="s">
        <v>35</v>
      </c>
      <c r="G237" t="s">
        <v>26201</v>
      </c>
      <c r="H237" t="s">
        <v>26004</v>
      </c>
      <c r="I237" s="26">
        <v>37910</v>
      </c>
      <c r="J237">
        <v>2004</v>
      </c>
      <c r="K237" t="s">
        <v>26012</v>
      </c>
      <c r="L237">
        <v>316</v>
      </c>
      <c r="M237" t="s">
        <v>26886</v>
      </c>
      <c r="N237">
        <v>1</v>
      </c>
      <c r="Q237" t="s">
        <v>26887</v>
      </c>
      <c r="R237" t="s">
        <v>26888</v>
      </c>
      <c r="S237" t="s">
        <v>26889</v>
      </c>
      <c r="T237" t="s">
        <v>30</v>
      </c>
      <c r="U237" t="s">
        <v>46</v>
      </c>
      <c r="W237" t="s">
        <v>26009</v>
      </c>
    </row>
    <row r="238" spans="1:23" x14ac:dyDescent="0.35">
      <c r="A238">
        <v>182862</v>
      </c>
      <c r="B238" t="s">
        <v>26890</v>
      </c>
      <c r="C238" t="str">
        <f>"9780415946148"</f>
        <v>9780415946148</v>
      </c>
      <c r="D238" t="str">
        <f>"9780203503058"</f>
        <v>9780203503058</v>
      </c>
      <c r="E238" t="s">
        <v>26010</v>
      </c>
      <c r="F238" t="s">
        <v>35</v>
      </c>
      <c r="G238" t="s">
        <v>22174</v>
      </c>
      <c r="H238" t="s">
        <v>26011</v>
      </c>
      <c r="I238" s="26">
        <v>38135</v>
      </c>
      <c r="J238">
        <v>2004</v>
      </c>
      <c r="K238" t="s">
        <v>26012</v>
      </c>
      <c r="L238">
        <v>234</v>
      </c>
      <c r="M238" t="s">
        <v>26891</v>
      </c>
      <c r="N238">
        <v>1</v>
      </c>
      <c r="O238" t="s">
        <v>26892</v>
      </c>
      <c r="Q238" t="s">
        <v>26893</v>
      </c>
      <c r="R238" t="s">
        <v>26759</v>
      </c>
      <c r="S238" t="s">
        <v>7928</v>
      </c>
      <c r="T238" t="s">
        <v>30</v>
      </c>
      <c r="U238" t="s">
        <v>26019</v>
      </c>
      <c r="W238" t="s">
        <v>26009</v>
      </c>
    </row>
    <row r="239" spans="1:23" x14ac:dyDescent="0.35">
      <c r="A239">
        <v>182868</v>
      </c>
      <c r="B239" t="s">
        <v>26894</v>
      </c>
      <c r="C239" t="str">
        <f>"9780415946582"</f>
        <v>9780415946582</v>
      </c>
      <c r="D239" t="str">
        <f>"9781135940119"</f>
        <v>9781135940119</v>
      </c>
      <c r="E239" t="s">
        <v>26010</v>
      </c>
      <c r="F239" t="s">
        <v>35</v>
      </c>
      <c r="G239" t="s">
        <v>22174</v>
      </c>
      <c r="H239" t="s">
        <v>26011</v>
      </c>
      <c r="I239" s="26">
        <v>37984</v>
      </c>
      <c r="J239">
        <v>2004</v>
      </c>
      <c r="K239" t="s">
        <v>26012</v>
      </c>
      <c r="L239">
        <v>296</v>
      </c>
      <c r="M239" t="s">
        <v>26895</v>
      </c>
      <c r="N239">
        <v>1</v>
      </c>
      <c r="Q239" t="s">
        <v>26896</v>
      </c>
      <c r="R239">
        <v>362.76097299999998</v>
      </c>
      <c r="S239" t="s">
        <v>7816</v>
      </c>
      <c r="T239" t="s">
        <v>30</v>
      </c>
      <c r="U239" t="s">
        <v>26044</v>
      </c>
      <c r="W239" t="s">
        <v>26009</v>
      </c>
    </row>
    <row r="240" spans="1:23" x14ac:dyDescent="0.35">
      <c r="A240">
        <v>182877</v>
      </c>
      <c r="B240" t="s">
        <v>8693</v>
      </c>
      <c r="C240" t="str">
        <f>"9780415946964"</f>
        <v>9780415946964</v>
      </c>
      <c r="D240" t="str">
        <f>"9780203487907"</f>
        <v>9780203487907</v>
      </c>
      <c r="E240" t="s">
        <v>26010</v>
      </c>
      <c r="F240" t="s">
        <v>35</v>
      </c>
      <c r="G240" t="s">
        <v>22174</v>
      </c>
      <c r="H240" t="s">
        <v>26011</v>
      </c>
      <c r="I240" s="26">
        <v>38118</v>
      </c>
      <c r="J240">
        <v>2004</v>
      </c>
      <c r="K240" t="s">
        <v>26012</v>
      </c>
      <c r="L240">
        <v>187</v>
      </c>
      <c r="M240" t="s">
        <v>26897</v>
      </c>
      <c r="N240">
        <v>2</v>
      </c>
      <c r="Q240" t="s">
        <v>26898</v>
      </c>
      <c r="R240" t="s">
        <v>26899</v>
      </c>
      <c r="S240" t="s">
        <v>8694</v>
      </c>
      <c r="T240" t="s">
        <v>30</v>
      </c>
      <c r="U240" t="s">
        <v>46</v>
      </c>
      <c r="W240" t="s">
        <v>26009</v>
      </c>
    </row>
    <row r="241" spans="1:23" x14ac:dyDescent="0.35">
      <c r="A241">
        <v>182880</v>
      </c>
      <c r="B241" t="s">
        <v>26900</v>
      </c>
      <c r="C241" t="str">
        <f>"9780415947015"</f>
        <v>9780415947015</v>
      </c>
      <c r="D241" t="str">
        <f>"9780203490198"</f>
        <v>9780203490198</v>
      </c>
      <c r="E241" t="s">
        <v>26010</v>
      </c>
      <c r="F241" t="s">
        <v>35</v>
      </c>
      <c r="G241" t="s">
        <v>22174</v>
      </c>
      <c r="H241" t="s">
        <v>26011</v>
      </c>
      <c r="I241" s="26">
        <v>37974</v>
      </c>
      <c r="J241">
        <v>2004</v>
      </c>
      <c r="K241" t="s">
        <v>26012</v>
      </c>
      <c r="L241">
        <v>243</v>
      </c>
      <c r="M241" t="s">
        <v>26901</v>
      </c>
      <c r="N241">
        <v>1</v>
      </c>
      <c r="Q241">
        <v>2003013080</v>
      </c>
      <c r="R241">
        <v>305.23500000000001</v>
      </c>
      <c r="S241" t="s">
        <v>7949</v>
      </c>
      <c r="T241" t="s">
        <v>30</v>
      </c>
      <c r="U241" t="s">
        <v>26044</v>
      </c>
      <c r="W241" t="s">
        <v>26009</v>
      </c>
    </row>
    <row r="242" spans="1:23" x14ac:dyDescent="0.35">
      <c r="A242">
        <v>182908</v>
      </c>
      <c r="B242" t="s">
        <v>26902</v>
      </c>
      <c r="C242" t="str">
        <f>"9780415948210"</f>
        <v>9780415948210</v>
      </c>
      <c r="D242" t="str">
        <f>"9780203492772"</f>
        <v>9780203492772</v>
      </c>
      <c r="E242" t="s">
        <v>26010</v>
      </c>
      <c r="F242" t="s">
        <v>35</v>
      </c>
      <c r="G242" t="s">
        <v>22174</v>
      </c>
      <c r="H242" t="s">
        <v>26011</v>
      </c>
      <c r="I242" s="26">
        <v>38043</v>
      </c>
      <c r="J242">
        <v>2004</v>
      </c>
      <c r="K242" t="s">
        <v>26012</v>
      </c>
      <c r="L242">
        <v>279</v>
      </c>
      <c r="M242" t="s">
        <v>26903</v>
      </c>
      <c r="N242">
        <v>1</v>
      </c>
      <c r="Q242" t="s">
        <v>26904</v>
      </c>
      <c r="R242" t="s">
        <v>26905</v>
      </c>
      <c r="S242" t="s">
        <v>7504</v>
      </c>
      <c r="T242" t="s">
        <v>30</v>
      </c>
      <c r="U242" t="s">
        <v>26906</v>
      </c>
      <c r="W242" t="s">
        <v>26009</v>
      </c>
    </row>
    <row r="243" spans="1:23" x14ac:dyDescent="0.35">
      <c r="A243">
        <v>182917</v>
      </c>
      <c r="B243" t="s">
        <v>26907</v>
      </c>
      <c r="C243" t="str">
        <f>"9780415948708"</f>
        <v>9780415948708</v>
      </c>
      <c r="D243" t="str">
        <f>"9780203501801"</f>
        <v>9780203501801</v>
      </c>
      <c r="E243" t="s">
        <v>26010</v>
      </c>
      <c r="F243" t="s">
        <v>35</v>
      </c>
      <c r="G243" t="s">
        <v>26201</v>
      </c>
      <c r="H243" t="s">
        <v>26004</v>
      </c>
      <c r="I243" s="26">
        <v>38071</v>
      </c>
      <c r="J243">
        <v>2004</v>
      </c>
      <c r="K243" t="s">
        <v>26012</v>
      </c>
      <c r="L243">
        <v>296</v>
      </c>
      <c r="M243" t="s">
        <v>26908</v>
      </c>
      <c r="N243">
        <v>1</v>
      </c>
      <c r="O243" t="s">
        <v>26909</v>
      </c>
      <c r="Q243" t="s">
        <v>26910</v>
      </c>
      <c r="R243">
        <v>362.76</v>
      </c>
      <c r="S243" t="s">
        <v>26911</v>
      </c>
      <c r="T243" t="s">
        <v>30</v>
      </c>
      <c r="U243" t="s">
        <v>26044</v>
      </c>
      <c r="W243" t="s">
        <v>26009</v>
      </c>
    </row>
    <row r="244" spans="1:23" x14ac:dyDescent="0.35">
      <c r="A244">
        <v>182922</v>
      </c>
      <c r="B244" t="s">
        <v>26912</v>
      </c>
      <c r="C244" t="str">
        <f>"9780415949187"</f>
        <v>9780415949187</v>
      </c>
      <c r="D244" t="str">
        <f>"9780203490556"</f>
        <v>9780203490556</v>
      </c>
      <c r="E244" t="s">
        <v>26010</v>
      </c>
      <c r="F244" t="s">
        <v>35</v>
      </c>
      <c r="G244" t="s">
        <v>22174</v>
      </c>
      <c r="H244" t="s">
        <v>26011</v>
      </c>
      <c r="I244" s="26">
        <v>37984</v>
      </c>
      <c r="J244">
        <v>2004</v>
      </c>
      <c r="K244" t="s">
        <v>26012</v>
      </c>
      <c r="L244">
        <v>234</v>
      </c>
      <c r="M244" t="s">
        <v>26913</v>
      </c>
      <c r="N244">
        <v>2</v>
      </c>
      <c r="Q244" t="s">
        <v>26914</v>
      </c>
      <c r="R244" t="s">
        <v>26915</v>
      </c>
      <c r="S244" t="s">
        <v>7575</v>
      </c>
      <c r="T244" t="s">
        <v>30</v>
      </c>
      <c r="U244" t="s">
        <v>46</v>
      </c>
      <c r="W244" t="s">
        <v>26009</v>
      </c>
    </row>
    <row r="245" spans="1:23" x14ac:dyDescent="0.35">
      <c r="A245">
        <v>183162</v>
      </c>
      <c r="B245" t="s">
        <v>26916</v>
      </c>
      <c r="C245" t="str">
        <f>"9780714653433"</f>
        <v>9780714653433</v>
      </c>
      <c r="D245" t="str">
        <f>"9780203496435"</f>
        <v>9780203496435</v>
      </c>
      <c r="E245" t="s">
        <v>26010</v>
      </c>
      <c r="F245" t="s">
        <v>35</v>
      </c>
      <c r="G245" t="s">
        <v>26128</v>
      </c>
      <c r="H245" t="s">
        <v>26011</v>
      </c>
      <c r="I245" s="26">
        <v>38127</v>
      </c>
      <c r="J245">
        <v>2004</v>
      </c>
      <c r="K245" t="s">
        <v>26012</v>
      </c>
      <c r="L245">
        <v>280</v>
      </c>
      <c r="M245" t="s">
        <v>26917</v>
      </c>
      <c r="N245">
        <v>1</v>
      </c>
      <c r="O245" t="s">
        <v>26918</v>
      </c>
      <c r="R245">
        <v>306.483</v>
      </c>
      <c r="S245" t="s">
        <v>26919</v>
      </c>
      <c r="T245" t="s">
        <v>30</v>
      </c>
      <c r="U245" t="s">
        <v>26044</v>
      </c>
      <c r="W245" t="s">
        <v>26009</v>
      </c>
    </row>
    <row r="246" spans="1:23" x14ac:dyDescent="0.35">
      <c r="A246">
        <v>183228</v>
      </c>
      <c r="B246" t="s">
        <v>9602</v>
      </c>
      <c r="C246" t="str">
        <f>"9780863775802"</f>
        <v>9780863775802</v>
      </c>
      <c r="D246" t="str">
        <f>"9780203506967"</f>
        <v>9780203506967</v>
      </c>
      <c r="E246" t="s">
        <v>26010</v>
      </c>
      <c r="F246" t="s">
        <v>35</v>
      </c>
      <c r="G246" t="s">
        <v>22267</v>
      </c>
      <c r="H246" t="s">
        <v>26004</v>
      </c>
      <c r="I246" s="26">
        <v>38166</v>
      </c>
      <c r="J246">
        <v>2004</v>
      </c>
      <c r="K246" t="s">
        <v>660</v>
      </c>
      <c r="L246">
        <v>196</v>
      </c>
      <c r="M246" t="s">
        <v>26920</v>
      </c>
      <c r="N246">
        <v>1</v>
      </c>
      <c r="O246" t="s">
        <v>26921</v>
      </c>
      <c r="Q246" t="s">
        <v>26922</v>
      </c>
      <c r="R246">
        <v>153.4</v>
      </c>
      <c r="S246" t="s">
        <v>26923</v>
      </c>
      <c r="T246" t="s">
        <v>30</v>
      </c>
      <c r="U246" t="s">
        <v>46</v>
      </c>
      <c r="W246" t="s">
        <v>26009</v>
      </c>
    </row>
    <row r="247" spans="1:23" x14ac:dyDescent="0.35">
      <c r="A247">
        <v>183250</v>
      </c>
      <c r="B247" t="s">
        <v>26924</v>
      </c>
      <c r="C247" t="str">
        <f>"9781579582517"</f>
        <v>9781579582517</v>
      </c>
      <c r="D247" t="str">
        <f>"9780203486030"</f>
        <v>9780203486030</v>
      </c>
      <c r="E247" t="s">
        <v>26010</v>
      </c>
      <c r="F247" t="s">
        <v>35</v>
      </c>
      <c r="G247" t="s">
        <v>22267</v>
      </c>
      <c r="H247" t="s">
        <v>26004</v>
      </c>
      <c r="I247" s="26">
        <v>37925</v>
      </c>
      <c r="J247">
        <v>2004</v>
      </c>
      <c r="K247" t="s">
        <v>26012</v>
      </c>
      <c r="L247">
        <v>592</v>
      </c>
      <c r="M247" t="s">
        <v>26925</v>
      </c>
      <c r="N247">
        <v>1</v>
      </c>
      <c r="Q247" t="s">
        <v>26926</v>
      </c>
      <c r="R247">
        <v>153.03</v>
      </c>
      <c r="S247" t="s">
        <v>8155</v>
      </c>
      <c r="T247" t="s">
        <v>30</v>
      </c>
      <c r="U247" t="s">
        <v>46</v>
      </c>
      <c r="W247" t="s">
        <v>26009</v>
      </c>
    </row>
    <row r="248" spans="1:23" x14ac:dyDescent="0.35">
      <c r="A248">
        <v>183258</v>
      </c>
      <c r="B248" t="s">
        <v>8593</v>
      </c>
      <c r="C248" t="str">
        <f>"9781583911259"</f>
        <v>9781583911259</v>
      </c>
      <c r="D248" t="str">
        <f>"9780203490341"</f>
        <v>9780203490341</v>
      </c>
      <c r="E248" t="s">
        <v>26010</v>
      </c>
      <c r="F248" t="s">
        <v>35</v>
      </c>
      <c r="G248" t="s">
        <v>26201</v>
      </c>
      <c r="H248" t="s">
        <v>26004</v>
      </c>
      <c r="I248" s="26">
        <v>38169</v>
      </c>
      <c r="J248">
        <v>2004</v>
      </c>
      <c r="K248" t="s">
        <v>660</v>
      </c>
      <c r="L248">
        <v>471</v>
      </c>
      <c r="M248" t="s">
        <v>26927</v>
      </c>
      <c r="N248">
        <v>1</v>
      </c>
      <c r="Q248" t="s">
        <v>26928</v>
      </c>
      <c r="R248">
        <v>616.85830080000005</v>
      </c>
      <c r="S248" t="s">
        <v>26929</v>
      </c>
      <c r="T248" t="s">
        <v>30</v>
      </c>
      <c r="U248" t="s">
        <v>26116</v>
      </c>
      <c r="W248" t="s">
        <v>26009</v>
      </c>
    </row>
    <row r="249" spans="1:23" x14ac:dyDescent="0.35">
      <c r="A249">
        <v>183260</v>
      </c>
      <c r="B249" t="s">
        <v>26930</v>
      </c>
      <c r="C249" t="str">
        <f>"9781583911433"</f>
        <v>9781583911433</v>
      </c>
      <c r="D249" t="str">
        <f>"9780203501665"</f>
        <v>9780203501665</v>
      </c>
      <c r="E249" t="s">
        <v>26010</v>
      </c>
      <c r="F249" t="s">
        <v>35</v>
      </c>
      <c r="G249" t="s">
        <v>22174</v>
      </c>
      <c r="H249" t="s">
        <v>26011</v>
      </c>
      <c r="I249" s="26">
        <v>38257</v>
      </c>
      <c r="J249">
        <v>2004</v>
      </c>
      <c r="K249" t="s">
        <v>26012</v>
      </c>
      <c r="L249">
        <v>305</v>
      </c>
      <c r="M249" t="s">
        <v>26931</v>
      </c>
      <c r="N249">
        <v>1</v>
      </c>
      <c r="Q249" t="s">
        <v>26932</v>
      </c>
      <c r="R249" t="s">
        <v>26933</v>
      </c>
      <c r="S249" t="s">
        <v>8478</v>
      </c>
      <c r="T249" t="s">
        <v>30</v>
      </c>
      <c r="U249" t="s">
        <v>26116</v>
      </c>
      <c r="W249" t="s">
        <v>26009</v>
      </c>
    </row>
    <row r="250" spans="1:23" x14ac:dyDescent="0.35">
      <c r="A250">
        <v>183269</v>
      </c>
      <c r="B250" t="s">
        <v>26934</v>
      </c>
      <c r="C250" t="str">
        <f>"9781583911822"</f>
        <v>9781583911822</v>
      </c>
      <c r="D250" t="str">
        <f>"9780203484432"</f>
        <v>9780203484432</v>
      </c>
      <c r="E250" t="s">
        <v>26010</v>
      </c>
      <c r="F250" t="s">
        <v>35</v>
      </c>
      <c r="G250" t="s">
        <v>22174</v>
      </c>
      <c r="H250" t="s">
        <v>26011</v>
      </c>
      <c r="I250" s="26">
        <v>38072</v>
      </c>
      <c r="J250">
        <v>2004</v>
      </c>
      <c r="K250" t="s">
        <v>26012</v>
      </c>
      <c r="L250">
        <v>201</v>
      </c>
      <c r="M250" t="s">
        <v>26935</v>
      </c>
      <c r="N250">
        <v>1</v>
      </c>
      <c r="Q250" t="s">
        <v>26936</v>
      </c>
      <c r="R250" t="s">
        <v>26937</v>
      </c>
      <c r="S250" t="s">
        <v>8438</v>
      </c>
      <c r="T250" t="s">
        <v>30</v>
      </c>
      <c r="U250" t="s">
        <v>46</v>
      </c>
      <c r="W250" t="s">
        <v>26009</v>
      </c>
    </row>
    <row r="251" spans="1:23" x14ac:dyDescent="0.35">
      <c r="A251">
        <v>183271</v>
      </c>
      <c r="B251" t="s">
        <v>26938</v>
      </c>
      <c r="C251" t="str">
        <f>"9781583912096"</f>
        <v>9781583912096</v>
      </c>
      <c r="D251" t="str">
        <f>"9780203493540"</f>
        <v>9780203493540</v>
      </c>
      <c r="E251" t="s">
        <v>26010</v>
      </c>
      <c r="F251" t="s">
        <v>35</v>
      </c>
      <c r="G251" t="s">
        <v>22174</v>
      </c>
      <c r="H251" t="s">
        <v>26011</v>
      </c>
      <c r="I251" s="26">
        <v>38230</v>
      </c>
      <c r="J251">
        <v>2004</v>
      </c>
      <c r="K251" t="s">
        <v>26012</v>
      </c>
      <c r="L251">
        <v>169</v>
      </c>
      <c r="M251" t="s">
        <v>26939</v>
      </c>
      <c r="N251">
        <v>1</v>
      </c>
      <c r="O251" t="s">
        <v>26940</v>
      </c>
      <c r="Q251" t="s">
        <v>26941</v>
      </c>
      <c r="R251" t="s">
        <v>26873</v>
      </c>
      <c r="S251" t="s">
        <v>7883</v>
      </c>
      <c r="T251" t="s">
        <v>30</v>
      </c>
      <c r="U251" t="s">
        <v>46</v>
      </c>
      <c r="W251" t="s">
        <v>26009</v>
      </c>
    </row>
    <row r="252" spans="1:23" x14ac:dyDescent="0.35">
      <c r="A252">
        <v>183272</v>
      </c>
      <c r="B252" t="s">
        <v>26942</v>
      </c>
      <c r="C252" t="str">
        <f>"9781583912287"</f>
        <v>9781583912287</v>
      </c>
      <c r="D252" t="str">
        <f>"9780203501467"</f>
        <v>9780203501467</v>
      </c>
      <c r="E252" t="s">
        <v>26010</v>
      </c>
      <c r="F252" t="s">
        <v>35</v>
      </c>
      <c r="G252" t="s">
        <v>26201</v>
      </c>
      <c r="H252" t="s">
        <v>26004</v>
      </c>
      <c r="I252" s="26">
        <v>38231</v>
      </c>
      <c r="J252">
        <v>2004</v>
      </c>
      <c r="K252" t="s">
        <v>26012</v>
      </c>
      <c r="L252">
        <v>219</v>
      </c>
      <c r="M252" t="s">
        <v>26943</v>
      </c>
      <c r="N252">
        <v>1</v>
      </c>
      <c r="Q252" t="s">
        <v>26944</v>
      </c>
      <c r="R252">
        <v>150.19540000000001</v>
      </c>
      <c r="S252" t="s">
        <v>26945</v>
      </c>
      <c r="T252" t="s">
        <v>30</v>
      </c>
      <c r="U252" t="s">
        <v>46</v>
      </c>
      <c r="W252" t="s">
        <v>26009</v>
      </c>
    </row>
    <row r="253" spans="1:23" x14ac:dyDescent="0.35">
      <c r="A253">
        <v>183279</v>
      </c>
      <c r="B253" t="s">
        <v>26946</v>
      </c>
      <c r="C253" t="str">
        <f>"9781583913253"</f>
        <v>9781583913253</v>
      </c>
      <c r="D253" t="str">
        <f>"9781135451318"</f>
        <v>9781135451318</v>
      </c>
      <c r="E253" t="s">
        <v>26010</v>
      </c>
      <c r="F253" t="s">
        <v>35</v>
      </c>
      <c r="G253" t="s">
        <v>22174</v>
      </c>
      <c r="H253" t="s">
        <v>26011</v>
      </c>
      <c r="I253" s="26">
        <v>37820</v>
      </c>
      <c r="J253">
        <v>2003</v>
      </c>
      <c r="K253" t="s">
        <v>26012</v>
      </c>
      <c r="L253">
        <v>633</v>
      </c>
      <c r="M253" t="s">
        <v>26947</v>
      </c>
      <c r="N253">
        <v>1</v>
      </c>
      <c r="Q253" t="s">
        <v>26880</v>
      </c>
      <c r="R253">
        <v>616.89156000000003</v>
      </c>
      <c r="S253" t="s">
        <v>8005</v>
      </c>
      <c r="T253" t="s">
        <v>30</v>
      </c>
      <c r="U253" t="s">
        <v>26019</v>
      </c>
      <c r="W253" t="s">
        <v>26009</v>
      </c>
    </row>
    <row r="254" spans="1:23" x14ac:dyDescent="0.35">
      <c r="A254">
        <v>183280</v>
      </c>
      <c r="B254" t="s">
        <v>26948</v>
      </c>
      <c r="C254" t="str">
        <f>"9780415947480"</f>
        <v>9780415947480</v>
      </c>
      <c r="D254" t="str">
        <f>"9780203487938"</f>
        <v>9780203487938</v>
      </c>
      <c r="E254" t="s">
        <v>26010</v>
      </c>
      <c r="F254" t="s">
        <v>35</v>
      </c>
      <c r="G254" t="s">
        <v>26201</v>
      </c>
      <c r="H254" t="s">
        <v>26004</v>
      </c>
      <c r="I254" s="26">
        <v>37944</v>
      </c>
      <c r="J254">
        <v>2004</v>
      </c>
      <c r="K254" t="s">
        <v>26012</v>
      </c>
      <c r="L254">
        <v>189</v>
      </c>
      <c r="M254" t="s">
        <v>26949</v>
      </c>
      <c r="N254">
        <v>1</v>
      </c>
      <c r="O254" t="s">
        <v>26892</v>
      </c>
      <c r="Q254" t="s">
        <v>26950</v>
      </c>
      <c r="R254" t="s">
        <v>26759</v>
      </c>
      <c r="S254" t="s">
        <v>8690</v>
      </c>
      <c r="T254" t="s">
        <v>30</v>
      </c>
      <c r="U254" t="s">
        <v>26019</v>
      </c>
      <c r="W254" t="s">
        <v>26009</v>
      </c>
    </row>
    <row r="255" spans="1:23" x14ac:dyDescent="0.35">
      <c r="A255">
        <v>183283</v>
      </c>
      <c r="B255" t="s">
        <v>26951</v>
      </c>
      <c r="C255" t="str">
        <f>"9781583918180"</f>
        <v>9781583918180</v>
      </c>
      <c r="D255" t="str">
        <f>"9780203483763"</f>
        <v>9780203483763</v>
      </c>
      <c r="E255" t="s">
        <v>26010</v>
      </c>
      <c r="F255" t="s">
        <v>35</v>
      </c>
      <c r="G255" t="s">
        <v>22174</v>
      </c>
      <c r="H255" t="s">
        <v>26011</v>
      </c>
      <c r="I255" s="26">
        <v>38114</v>
      </c>
      <c r="J255">
        <v>2004</v>
      </c>
      <c r="K255" t="s">
        <v>26012</v>
      </c>
      <c r="L255">
        <v>269</v>
      </c>
      <c r="M255" t="s">
        <v>26952</v>
      </c>
      <c r="N255">
        <v>1</v>
      </c>
      <c r="Q255" t="s">
        <v>26953</v>
      </c>
      <c r="R255" t="s">
        <v>26746</v>
      </c>
      <c r="S255" t="s">
        <v>8401</v>
      </c>
      <c r="T255" t="s">
        <v>30</v>
      </c>
      <c r="U255" t="s">
        <v>46</v>
      </c>
      <c r="W255" t="s">
        <v>26009</v>
      </c>
    </row>
    <row r="256" spans="1:23" x14ac:dyDescent="0.35">
      <c r="A256">
        <v>183285</v>
      </c>
      <c r="B256" t="s">
        <v>26954</v>
      </c>
      <c r="C256" t="str">
        <f>"9781583918425"</f>
        <v>9781583918425</v>
      </c>
      <c r="D256" t="str">
        <f>"9780203505229"</f>
        <v>9780203505229</v>
      </c>
      <c r="E256" t="s">
        <v>26010</v>
      </c>
      <c r="F256" t="s">
        <v>35</v>
      </c>
      <c r="G256" t="s">
        <v>22174</v>
      </c>
      <c r="H256" t="s">
        <v>26011</v>
      </c>
      <c r="I256" s="26">
        <v>38114</v>
      </c>
      <c r="J256">
        <v>2004</v>
      </c>
      <c r="K256" t="s">
        <v>26012</v>
      </c>
      <c r="L256">
        <v>121</v>
      </c>
      <c r="M256" t="s">
        <v>26955</v>
      </c>
      <c r="N256">
        <v>1</v>
      </c>
      <c r="Q256" t="s">
        <v>26956</v>
      </c>
      <c r="R256" t="s">
        <v>26957</v>
      </c>
      <c r="S256" t="s">
        <v>8975</v>
      </c>
      <c r="T256" t="s">
        <v>30</v>
      </c>
      <c r="U256" t="s">
        <v>26116</v>
      </c>
      <c r="W256" t="s">
        <v>26009</v>
      </c>
    </row>
    <row r="257" spans="1:23" x14ac:dyDescent="0.35">
      <c r="A257">
        <v>183286</v>
      </c>
      <c r="B257" t="s">
        <v>26958</v>
      </c>
      <c r="C257" t="str">
        <f>"9781583918432"</f>
        <v>9781583918432</v>
      </c>
      <c r="D257" t="str">
        <f>"9780203484104"</f>
        <v>9780203484104</v>
      </c>
      <c r="E257" t="s">
        <v>26010</v>
      </c>
      <c r="F257" t="s">
        <v>35</v>
      </c>
      <c r="G257" t="s">
        <v>22174</v>
      </c>
      <c r="H257" t="s">
        <v>26011</v>
      </c>
      <c r="I257" s="26">
        <v>38125</v>
      </c>
      <c r="J257">
        <v>2004</v>
      </c>
      <c r="K257" t="s">
        <v>26012</v>
      </c>
      <c r="L257">
        <v>364</v>
      </c>
      <c r="M257" t="s">
        <v>26959</v>
      </c>
      <c r="N257">
        <v>1</v>
      </c>
      <c r="Q257" t="s">
        <v>26960</v>
      </c>
      <c r="R257">
        <v>616.08000000000004</v>
      </c>
      <c r="S257" t="s">
        <v>8270</v>
      </c>
      <c r="T257" t="s">
        <v>30</v>
      </c>
      <c r="U257" t="s">
        <v>26040</v>
      </c>
      <c r="W257" t="s">
        <v>26009</v>
      </c>
    </row>
    <row r="258" spans="1:23" x14ac:dyDescent="0.35">
      <c r="A258">
        <v>183287</v>
      </c>
      <c r="B258" t="s">
        <v>26961</v>
      </c>
      <c r="C258" t="str">
        <f>"9781583918753"</f>
        <v>9781583918753</v>
      </c>
      <c r="D258" t="str">
        <f>"9780203500620"</f>
        <v>9780203500620</v>
      </c>
      <c r="E258" t="s">
        <v>26010</v>
      </c>
      <c r="F258" t="s">
        <v>35</v>
      </c>
      <c r="G258" t="s">
        <v>22174</v>
      </c>
      <c r="H258" t="s">
        <v>26011</v>
      </c>
      <c r="I258" s="26">
        <v>38292</v>
      </c>
      <c r="J258">
        <v>2005</v>
      </c>
      <c r="K258" t="s">
        <v>26012</v>
      </c>
      <c r="L258">
        <v>281</v>
      </c>
      <c r="M258" t="s">
        <v>26962</v>
      </c>
      <c r="N258">
        <v>1</v>
      </c>
      <c r="Q258" t="s">
        <v>26963</v>
      </c>
      <c r="R258">
        <v>616.85209999999995</v>
      </c>
      <c r="S258" t="s">
        <v>10279</v>
      </c>
      <c r="T258" t="s">
        <v>30</v>
      </c>
      <c r="U258" t="s">
        <v>26019</v>
      </c>
      <c r="W258" t="s">
        <v>26009</v>
      </c>
    </row>
    <row r="259" spans="1:23" x14ac:dyDescent="0.35">
      <c r="A259">
        <v>183290</v>
      </c>
      <c r="B259" t="s">
        <v>26964</v>
      </c>
      <c r="C259" t="str">
        <f>"9781583919187"</f>
        <v>9781583919187</v>
      </c>
      <c r="D259" t="str">
        <f>"9781135479596"</f>
        <v>9781135479596</v>
      </c>
      <c r="E259" t="s">
        <v>26010</v>
      </c>
      <c r="F259" t="s">
        <v>35</v>
      </c>
      <c r="G259" t="s">
        <v>26337</v>
      </c>
      <c r="H259" t="s">
        <v>26011</v>
      </c>
      <c r="I259" s="26">
        <v>37938</v>
      </c>
      <c r="J259">
        <v>2003</v>
      </c>
      <c r="K259" t="s">
        <v>26012</v>
      </c>
      <c r="L259">
        <v>260</v>
      </c>
      <c r="M259" t="s">
        <v>26965</v>
      </c>
      <c r="N259">
        <v>1</v>
      </c>
      <c r="Q259" t="s">
        <v>26966</v>
      </c>
      <c r="R259" t="s">
        <v>26967</v>
      </c>
      <c r="S259" t="s">
        <v>26968</v>
      </c>
      <c r="T259" t="s">
        <v>30</v>
      </c>
      <c r="U259" t="s">
        <v>46</v>
      </c>
      <c r="W259" t="s">
        <v>26009</v>
      </c>
    </row>
    <row r="260" spans="1:23" x14ac:dyDescent="0.35">
      <c r="A260">
        <v>183292</v>
      </c>
      <c r="B260" t="s">
        <v>26969</v>
      </c>
      <c r="C260" t="str">
        <f>"9781583919323"</f>
        <v>9781583919323</v>
      </c>
      <c r="D260" t="str">
        <f>"9780203488959"</f>
        <v>9780203488959</v>
      </c>
      <c r="E260" t="s">
        <v>26010</v>
      </c>
      <c r="F260" t="s">
        <v>35</v>
      </c>
      <c r="G260" t="s">
        <v>22174</v>
      </c>
      <c r="H260" t="s">
        <v>26011</v>
      </c>
      <c r="I260" s="26">
        <v>38218</v>
      </c>
      <c r="J260">
        <v>2004</v>
      </c>
      <c r="K260" t="s">
        <v>26012</v>
      </c>
      <c r="L260">
        <v>273</v>
      </c>
      <c r="M260" t="s">
        <v>26970</v>
      </c>
      <c r="N260">
        <v>2</v>
      </c>
      <c r="Q260" t="s">
        <v>26971</v>
      </c>
      <c r="R260" t="s">
        <v>26972</v>
      </c>
      <c r="S260" t="s">
        <v>8535</v>
      </c>
      <c r="T260" t="s">
        <v>30</v>
      </c>
      <c r="U260" t="s">
        <v>46</v>
      </c>
      <c r="W260" t="s">
        <v>26009</v>
      </c>
    </row>
    <row r="261" spans="1:23" x14ac:dyDescent="0.35">
      <c r="A261">
        <v>183293</v>
      </c>
      <c r="B261" t="s">
        <v>26973</v>
      </c>
      <c r="C261" t="str">
        <f>"9781583919507"</f>
        <v>9781583919507</v>
      </c>
      <c r="D261" t="str">
        <f>"9780203502105"</f>
        <v>9780203502105</v>
      </c>
      <c r="E261" t="s">
        <v>26010</v>
      </c>
      <c r="F261" t="s">
        <v>35</v>
      </c>
      <c r="G261" t="s">
        <v>26201</v>
      </c>
      <c r="H261" t="s">
        <v>26004</v>
      </c>
      <c r="I261" s="26">
        <v>37932</v>
      </c>
      <c r="J261">
        <v>2004</v>
      </c>
      <c r="K261" t="s">
        <v>26012</v>
      </c>
      <c r="L261">
        <v>231</v>
      </c>
      <c r="M261" t="s">
        <v>26974</v>
      </c>
      <c r="N261">
        <v>1</v>
      </c>
      <c r="Q261" t="s">
        <v>26975</v>
      </c>
      <c r="R261">
        <v>150.19540000000001</v>
      </c>
      <c r="S261" t="s">
        <v>26976</v>
      </c>
      <c r="T261" t="s">
        <v>30</v>
      </c>
      <c r="U261" t="s">
        <v>46</v>
      </c>
      <c r="W261" t="s">
        <v>26009</v>
      </c>
    </row>
    <row r="262" spans="1:23" x14ac:dyDescent="0.35">
      <c r="A262">
        <v>183296</v>
      </c>
      <c r="B262" t="s">
        <v>26977</v>
      </c>
      <c r="C262" t="str">
        <f>"9781583919743"</f>
        <v>9781583919743</v>
      </c>
      <c r="D262" t="str">
        <f>"9780203504925"</f>
        <v>9780203504925</v>
      </c>
      <c r="E262" t="s">
        <v>26010</v>
      </c>
      <c r="F262" t="s">
        <v>35</v>
      </c>
      <c r="G262" t="s">
        <v>22174</v>
      </c>
      <c r="H262" t="s">
        <v>26011</v>
      </c>
      <c r="I262" s="26">
        <v>38155</v>
      </c>
      <c r="J262">
        <v>2004</v>
      </c>
      <c r="K262" t="s">
        <v>26012</v>
      </c>
      <c r="L262">
        <v>209</v>
      </c>
      <c r="M262" t="s">
        <v>26978</v>
      </c>
      <c r="N262">
        <v>1</v>
      </c>
      <c r="Q262" t="s">
        <v>26979</v>
      </c>
      <c r="R262" t="s">
        <v>26980</v>
      </c>
      <c r="S262" t="s">
        <v>8878</v>
      </c>
      <c r="T262" t="s">
        <v>30</v>
      </c>
      <c r="U262" t="s">
        <v>26019</v>
      </c>
      <c r="W262" t="s">
        <v>26009</v>
      </c>
    </row>
    <row r="263" spans="1:23" x14ac:dyDescent="0.35">
      <c r="A263">
        <v>183299</v>
      </c>
      <c r="B263" t="s">
        <v>26981</v>
      </c>
      <c r="C263" t="str">
        <f>"9781583919989"</f>
        <v>9781583919989</v>
      </c>
      <c r="D263" t="str">
        <f>"9780203492048"</f>
        <v>9780203492048</v>
      </c>
      <c r="E263" t="s">
        <v>26010</v>
      </c>
      <c r="F263" t="s">
        <v>35</v>
      </c>
      <c r="G263" t="s">
        <v>22174</v>
      </c>
      <c r="H263" t="s">
        <v>26011</v>
      </c>
      <c r="I263" s="26">
        <v>38254</v>
      </c>
      <c r="J263">
        <v>2004</v>
      </c>
      <c r="K263" t="s">
        <v>26012</v>
      </c>
      <c r="L263">
        <v>297</v>
      </c>
      <c r="M263" t="s">
        <v>26982</v>
      </c>
      <c r="N263">
        <v>1</v>
      </c>
      <c r="O263" t="s">
        <v>26940</v>
      </c>
      <c r="Q263" t="s">
        <v>26983</v>
      </c>
      <c r="R263" t="s">
        <v>26746</v>
      </c>
      <c r="S263" t="s">
        <v>7516</v>
      </c>
      <c r="T263" t="s">
        <v>30</v>
      </c>
      <c r="U263" t="s">
        <v>46</v>
      </c>
      <c r="W263" t="s">
        <v>26009</v>
      </c>
    </row>
    <row r="264" spans="1:23" x14ac:dyDescent="0.35">
      <c r="A264">
        <v>183305</v>
      </c>
      <c r="B264" t="s">
        <v>9892</v>
      </c>
      <c r="C264" t="str">
        <f>"9781841690735"</f>
        <v>9781841690735</v>
      </c>
      <c r="D264" t="str">
        <f>"9780203496176"</f>
        <v>9780203496176</v>
      </c>
      <c r="E264" t="s">
        <v>26010</v>
      </c>
      <c r="F264" t="s">
        <v>35</v>
      </c>
      <c r="G264" t="s">
        <v>22267</v>
      </c>
      <c r="H264" t="s">
        <v>26004</v>
      </c>
      <c r="I264" s="26">
        <v>38336</v>
      </c>
      <c r="J264">
        <v>2005</v>
      </c>
      <c r="K264" t="s">
        <v>660</v>
      </c>
      <c r="L264">
        <v>374</v>
      </c>
      <c r="M264" t="s">
        <v>26984</v>
      </c>
      <c r="N264">
        <v>1</v>
      </c>
      <c r="Q264" t="s">
        <v>26985</v>
      </c>
      <c r="R264">
        <v>305</v>
      </c>
      <c r="S264" t="s">
        <v>26986</v>
      </c>
      <c r="T264" t="s">
        <v>30</v>
      </c>
      <c r="U264" t="s">
        <v>26044</v>
      </c>
      <c r="W264" t="s">
        <v>26009</v>
      </c>
    </row>
    <row r="265" spans="1:23" x14ac:dyDescent="0.35">
      <c r="A265">
        <v>183306</v>
      </c>
      <c r="B265" t="s">
        <v>8104</v>
      </c>
      <c r="C265" t="str">
        <f>"9781841690759"</f>
        <v>9781841690759</v>
      </c>
      <c r="D265" t="str">
        <f>"9780203485446"</f>
        <v>9780203485446</v>
      </c>
      <c r="E265" t="s">
        <v>26010</v>
      </c>
      <c r="F265" t="s">
        <v>35</v>
      </c>
      <c r="G265" t="s">
        <v>22267</v>
      </c>
      <c r="H265" t="s">
        <v>26004</v>
      </c>
      <c r="I265" s="26">
        <v>38127</v>
      </c>
      <c r="J265">
        <v>2004</v>
      </c>
      <c r="K265" t="s">
        <v>660</v>
      </c>
      <c r="L265">
        <v>244</v>
      </c>
      <c r="M265" t="s">
        <v>26987</v>
      </c>
      <c r="N265">
        <v>1</v>
      </c>
      <c r="O265" t="s">
        <v>26988</v>
      </c>
      <c r="Q265" t="s">
        <v>26989</v>
      </c>
      <c r="R265">
        <v>153.69999999999999</v>
      </c>
      <c r="S265" t="s">
        <v>8105</v>
      </c>
      <c r="T265" t="s">
        <v>30</v>
      </c>
      <c r="U265" t="s">
        <v>46</v>
      </c>
      <c r="W265" t="s">
        <v>26009</v>
      </c>
    </row>
    <row r="266" spans="1:23" x14ac:dyDescent="0.35">
      <c r="A266">
        <v>183307</v>
      </c>
      <c r="B266" t="s">
        <v>26990</v>
      </c>
      <c r="C266" t="str">
        <f>"9781841690896"</f>
        <v>9781841690896</v>
      </c>
      <c r="D266" t="str">
        <f>"9780203488430"</f>
        <v>9780203488430</v>
      </c>
      <c r="E266" t="s">
        <v>26010</v>
      </c>
      <c r="F266" t="s">
        <v>35</v>
      </c>
      <c r="G266" t="s">
        <v>22267</v>
      </c>
      <c r="H266" t="s">
        <v>26004</v>
      </c>
      <c r="I266" s="26">
        <v>38156</v>
      </c>
      <c r="J266">
        <v>2004</v>
      </c>
      <c r="K266" t="s">
        <v>660</v>
      </c>
      <c r="L266">
        <v>417</v>
      </c>
      <c r="M266" t="s">
        <v>26991</v>
      </c>
      <c r="N266">
        <v>1</v>
      </c>
      <c r="Q266" t="s">
        <v>26992</v>
      </c>
      <c r="R266">
        <v>153.75</v>
      </c>
      <c r="S266" t="s">
        <v>26993</v>
      </c>
      <c r="T266" t="s">
        <v>30</v>
      </c>
      <c r="U266" t="s">
        <v>46</v>
      </c>
      <c r="W266" t="s">
        <v>26009</v>
      </c>
    </row>
    <row r="267" spans="1:23" x14ac:dyDescent="0.35">
      <c r="A267">
        <v>183308</v>
      </c>
      <c r="B267" t="s">
        <v>26994</v>
      </c>
      <c r="C267" t="str">
        <f>"9781841690933"</f>
        <v>9781841690933</v>
      </c>
      <c r="D267" t="str">
        <f>"9780203488508"</f>
        <v>9780203488508</v>
      </c>
      <c r="E267" t="s">
        <v>26010</v>
      </c>
      <c r="F267" t="s">
        <v>35</v>
      </c>
      <c r="G267" t="s">
        <v>22267</v>
      </c>
      <c r="H267" t="s">
        <v>26004</v>
      </c>
      <c r="I267" s="26">
        <v>37882</v>
      </c>
      <c r="J267">
        <v>2003</v>
      </c>
      <c r="K267" t="s">
        <v>660</v>
      </c>
      <c r="L267">
        <v>378</v>
      </c>
      <c r="M267" t="s">
        <v>26995</v>
      </c>
      <c r="N267">
        <v>1</v>
      </c>
      <c r="O267" t="s">
        <v>26996</v>
      </c>
      <c r="Q267" t="s">
        <v>26997</v>
      </c>
      <c r="R267" t="s">
        <v>26360</v>
      </c>
      <c r="S267" t="s">
        <v>26998</v>
      </c>
      <c r="T267" t="s">
        <v>30</v>
      </c>
      <c r="U267" t="s">
        <v>46</v>
      </c>
      <c r="W267" t="s">
        <v>26009</v>
      </c>
    </row>
    <row r="268" spans="1:23" x14ac:dyDescent="0.35">
      <c r="A268">
        <v>183309</v>
      </c>
      <c r="B268" t="s">
        <v>26999</v>
      </c>
      <c r="C268" t="str">
        <f>"9781841690926"</f>
        <v>9781841690926</v>
      </c>
      <c r="D268" t="str">
        <f>"9780203485866"</f>
        <v>9780203485866</v>
      </c>
      <c r="E268" t="s">
        <v>26010</v>
      </c>
      <c r="F268" t="s">
        <v>35</v>
      </c>
      <c r="G268" t="s">
        <v>22267</v>
      </c>
      <c r="H268" t="s">
        <v>26011</v>
      </c>
      <c r="I268" s="26">
        <v>38192</v>
      </c>
      <c r="J268">
        <v>2004</v>
      </c>
      <c r="K268" t="s">
        <v>660</v>
      </c>
      <c r="L268">
        <v>224</v>
      </c>
      <c r="M268" t="s">
        <v>27000</v>
      </c>
      <c r="N268">
        <v>1</v>
      </c>
      <c r="Q268">
        <v>2004009542</v>
      </c>
      <c r="R268">
        <v>796.01</v>
      </c>
      <c r="S268" t="s">
        <v>8046</v>
      </c>
      <c r="T268" t="s">
        <v>30</v>
      </c>
      <c r="U268" t="s">
        <v>26008</v>
      </c>
      <c r="W268" t="s">
        <v>26009</v>
      </c>
    </row>
    <row r="269" spans="1:23" x14ac:dyDescent="0.35">
      <c r="A269">
        <v>183312</v>
      </c>
      <c r="B269" t="s">
        <v>27001</v>
      </c>
      <c r="C269" t="str">
        <f>"9781841692371"</f>
        <v>9781841692371</v>
      </c>
      <c r="D269" t="str">
        <f>"9780203427248"</f>
        <v>9780203427248</v>
      </c>
      <c r="E269" t="s">
        <v>26010</v>
      </c>
      <c r="F269" t="s">
        <v>35</v>
      </c>
      <c r="G269" t="s">
        <v>26337</v>
      </c>
      <c r="H269" t="s">
        <v>26004</v>
      </c>
      <c r="I269" s="26">
        <v>37893</v>
      </c>
      <c r="J269">
        <v>2003</v>
      </c>
      <c r="K269" t="s">
        <v>660</v>
      </c>
      <c r="L269">
        <v>496</v>
      </c>
      <c r="M269" t="s">
        <v>27002</v>
      </c>
      <c r="N269">
        <v>4</v>
      </c>
      <c r="Q269" t="s">
        <v>27003</v>
      </c>
      <c r="R269" t="s">
        <v>27004</v>
      </c>
      <c r="S269" t="s">
        <v>8786</v>
      </c>
      <c r="T269" t="s">
        <v>30</v>
      </c>
      <c r="U269" t="s">
        <v>46</v>
      </c>
      <c r="W269" t="s">
        <v>26009</v>
      </c>
    </row>
    <row r="270" spans="1:23" x14ac:dyDescent="0.35">
      <c r="A270">
        <v>183313</v>
      </c>
      <c r="B270" t="s">
        <v>27005</v>
      </c>
      <c r="C270" t="str">
        <f>"9781841692685"</f>
        <v>9781841692685</v>
      </c>
      <c r="D270" t="str">
        <f>"9780203494028"</f>
        <v>9780203494028</v>
      </c>
      <c r="E270" t="s">
        <v>26010</v>
      </c>
      <c r="F270" t="s">
        <v>35</v>
      </c>
      <c r="G270" t="s">
        <v>22267</v>
      </c>
      <c r="H270" t="s">
        <v>26004</v>
      </c>
      <c r="I270" s="26">
        <v>37796</v>
      </c>
      <c r="J270">
        <v>2003</v>
      </c>
      <c r="K270" t="s">
        <v>660</v>
      </c>
      <c r="L270">
        <v>373</v>
      </c>
      <c r="M270" t="s">
        <v>27006</v>
      </c>
      <c r="N270">
        <v>1</v>
      </c>
      <c r="O270" t="s">
        <v>27007</v>
      </c>
      <c r="Q270" t="s">
        <v>27008</v>
      </c>
      <c r="R270">
        <v>155</v>
      </c>
      <c r="S270" t="s">
        <v>27009</v>
      </c>
      <c r="T270" t="s">
        <v>30</v>
      </c>
      <c r="U270" t="s">
        <v>46</v>
      </c>
      <c r="W270" t="s">
        <v>26009</v>
      </c>
    </row>
    <row r="271" spans="1:23" x14ac:dyDescent="0.35">
      <c r="A271">
        <v>198350</v>
      </c>
      <c r="B271" t="s">
        <v>9522</v>
      </c>
      <c r="C271" t="str">
        <f>"9780415227605"</f>
        <v>9780415227605</v>
      </c>
      <c r="D271" t="str">
        <f>"9780203414118"</f>
        <v>9780203414118</v>
      </c>
      <c r="E271" t="s">
        <v>26010</v>
      </c>
      <c r="F271" t="s">
        <v>35</v>
      </c>
      <c r="G271" t="s">
        <v>26337</v>
      </c>
      <c r="H271" t="s">
        <v>26004</v>
      </c>
      <c r="I271" s="26">
        <v>37874</v>
      </c>
      <c r="J271">
        <v>2003</v>
      </c>
      <c r="K271" t="s">
        <v>26012</v>
      </c>
      <c r="L271">
        <v>185</v>
      </c>
      <c r="M271" t="s">
        <v>27010</v>
      </c>
      <c r="N271">
        <v>1</v>
      </c>
      <c r="O271" t="s">
        <v>26144</v>
      </c>
      <c r="Q271" t="s">
        <v>27011</v>
      </c>
      <c r="R271">
        <v>302</v>
      </c>
      <c r="S271" t="s">
        <v>27012</v>
      </c>
      <c r="T271" t="s">
        <v>30</v>
      </c>
      <c r="U271" t="s">
        <v>26044</v>
      </c>
      <c r="W271" t="s">
        <v>26009</v>
      </c>
    </row>
    <row r="272" spans="1:23" x14ac:dyDescent="0.35">
      <c r="A272">
        <v>198459</v>
      </c>
      <c r="B272" t="s">
        <v>27013</v>
      </c>
      <c r="C272" t="str">
        <f>"9780415314961"</f>
        <v>9780415314961</v>
      </c>
      <c r="D272" t="str">
        <f>"9780203561584"</f>
        <v>9780203561584</v>
      </c>
      <c r="E272" t="s">
        <v>26010</v>
      </c>
      <c r="F272" t="s">
        <v>35</v>
      </c>
      <c r="G272" t="s">
        <v>22174</v>
      </c>
      <c r="H272" t="s">
        <v>26011</v>
      </c>
      <c r="I272" s="26">
        <v>38461</v>
      </c>
      <c r="J272">
        <v>2004</v>
      </c>
      <c r="K272" t="s">
        <v>26012</v>
      </c>
      <c r="L272">
        <v>221</v>
      </c>
      <c r="M272" t="s">
        <v>27014</v>
      </c>
      <c r="N272">
        <v>1</v>
      </c>
      <c r="Q272" t="s">
        <v>27015</v>
      </c>
      <c r="R272" t="s">
        <v>27016</v>
      </c>
      <c r="S272" t="s">
        <v>8537</v>
      </c>
      <c r="T272" t="s">
        <v>30</v>
      </c>
      <c r="U272" t="s">
        <v>26044</v>
      </c>
      <c r="W272" t="s">
        <v>26009</v>
      </c>
    </row>
    <row r="273" spans="1:23" x14ac:dyDescent="0.35">
      <c r="A273">
        <v>198531</v>
      </c>
      <c r="B273" t="s">
        <v>7826</v>
      </c>
      <c r="C273" t="str">
        <f>"9781841692982"</f>
        <v>9781841692982</v>
      </c>
      <c r="D273" t="str">
        <f>"9780203463567"</f>
        <v>9780203463567</v>
      </c>
      <c r="E273" t="s">
        <v>26010</v>
      </c>
      <c r="F273" t="s">
        <v>35</v>
      </c>
      <c r="G273" t="s">
        <v>22267</v>
      </c>
      <c r="H273" t="s">
        <v>26004</v>
      </c>
      <c r="I273" s="26">
        <v>38331</v>
      </c>
      <c r="J273">
        <v>2004</v>
      </c>
      <c r="K273" t="s">
        <v>660</v>
      </c>
      <c r="L273">
        <v>336</v>
      </c>
      <c r="M273" t="s">
        <v>27017</v>
      </c>
      <c r="N273">
        <v>1</v>
      </c>
      <c r="O273" t="s">
        <v>27007</v>
      </c>
      <c r="Q273" t="s">
        <v>27018</v>
      </c>
      <c r="R273">
        <v>155.41800000000001</v>
      </c>
      <c r="S273" t="s">
        <v>27019</v>
      </c>
      <c r="T273" t="s">
        <v>30</v>
      </c>
      <c r="U273" t="s">
        <v>46</v>
      </c>
      <c r="W273" t="s">
        <v>26009</v>
      </c>
    </row>
    <row r="274" spans="1:23" x14ac:dyDescent="0.35">
      <c r="A274">
        <v>198539</v>
      </c>
      <c r="B274" t="s">
        <v>9867</v>
      </c>
      <c r="C274" t="str">
        <f>"9780415224475"</f>
        <v>9780415224475</v>
      </c>
      <c r="D274" t="str">
        <f>"9780203380369"</f>
        <v>9780203380369</v>
      </c>
      <c r="E274" t="s">
        <v>26010</v>
      </c>
      <c r="F274" t="s">
        <v>35</v>
      </c>
      <c r="G274" t="s">
        <v>22174</v>
      </c>
      <c r="H274" t="s">
        <v>26011</v>
      </c>
      <c r="I274" s="26">
        <v>37875</v>
      </c>
      <c r="J274">
        <v>2003</v>
      </c>
      <c r="K274" t="s">
        <v>26012</v>
      </c>
      <c r="L274">
        <v>252</v>
      </c>
      <c r="M274" t="s">
        <v>27020</v>
      </c>
      <c r="N274">
        <v>1</v>
      </c>
      <c r="Q274" t="s">
        <v>27021</v>
      </c>
      <c r="R274">
        <v>305.23099999999999</v>
      </c>
      <c r="S274" t="s">
        <v>9868</v>
      </c>
      <c r="T274" t="s">
        <v>30</v>
      </c>
      <c r="U274" t="s">
        <v>26044</v>
      </c>
      <c r="W274" t="s">
        <v>26009</v>
      </c>
    </row>
    <row r="275" spans="1:23" x14ac:dyDescent="0.35">
      <c r="A275">
        <v>199073</v>
      </c>
      <c r="B275" t="s">
        <v>27022</v>
      </c>
      <c r="C275" t="str">
        <f>"9781583911693"</f>
        <v>9781583911693</v>
      </c>
      <c r="D275" t="str">
        <f>"9781135480295"</f>
        <v>9781135480295</v>
      </c>
      <c r="E275" t="s">
        <v>26010</v>
      </c>
      <c r="F275" t="s">
        <v>35</v>
      </c>
      <c r="G275" t="s">
        <v>22174</v>
      </c>
      <c r="H275" t="s">
        <v>26011</v>
      </c>
      <c r="I275" s="26">
        <v>37826</v>
      </c>
      <c r="J275">
        <v>2003</v>
      </c>
      <c r="K275" t="s">
        <v>26012</v>
      </c>
      <c r="L275">
        <v>351</v>
      </c>
      <c r="M275" t="s">
        <v>27023</v>
      </c>
      <c r="N275">
        <v>1</v>
      </c>
      <c r="Q275" t="s">
        <v>27024</v>
      </c>
      <c r="R275" t="s">
        <v>26754</v>
      </c>
      <c r="S275" t="s">
        <v>7978</v>
      </c>
      <c r="T275" t="s">
        <v>30</v>
      </c>
      <c r="U275" t="s">
        <v>26040</v>
      </c>
      <c r="W275" t="s">
        <v>26009</v>
      </c>
    </row>
    <row r="276" spans="1:23" x14ac:dyDescent="0.35">
      <c r="A276">
        <v>199074</v>
      </c>
      <c r="B276" t="s">
        <v>9374</v>
      </c>
      <c r="C276" t="str">
        <f>"9781583912232"</f>
        <v>9781583912232</v>
      </c>
      <c r="D276" t="str">
        <f>"9781135453206"</f>
        <v>9781135453206</v>
      </c>
      <c r="E276" t="s">
        <v>26010</v>
      </c>
      <c r="F276" t="s">
        <v>35</v>
      </c>
      <c r="G276" t="s">
        <v>22174</v>
      </c>
      <c r="H276" t="s">
        <v>26011</v>
      </c>
      <c r="I276" s="26">
        <v>37838</v>
      </c>
      <c r="J276">
        <v>2003</v>
      </c>
      <c r="K276" t="s">
        <v>26012</v>
      </c>
      <c r="L276">
        <v>225</v>
      </c>
      <c r="M276" t="s">
        <v>27025</v>
      </c>
      <c r="N276">
        <v>1</v>
      </c>
      <c r="Q276" t="s">
        <v>27026</v>
      </c>
      <c r="R276" t="s">
        <v>27027</v>
      </c>
      <c r="S276" t="s">
        <v>9375</v>
      </c>
      <c r="T276" t="s">
        <v>30</v>
      </c>
      <c r="U276" t="s">
        <v>27028</v>
      </c>
      <c r="W276" t="s">
        <v>26009</v>
      </c>
    </row>
    <row r="277" spans="1:23" x14ac:dyDescent="0.35">
      <c r="A277">
        <v>199077</v>
      </c>
      <c r="B277" t="s">
        <v>27029</v>
      </c>
      <c r="C277" t="str">
        <f>"9781583919422"</f>
        <v>9781583919422</v>
      </c>
      <c r="D277" t="str">
        <f>"9780203503553"</f>
        <v>9780203503553</v>
      </c>
      <c r="E277" t="s">
        <v>26010</v>
      </c>
      <c r="F277" t="s">
        <v>35</v>
      </c>
      <c r="G277" t="s">
        <v>26201</v>
      </c>
      <c r="H277" t="s">
        <v>26004</v>
      </c>
      <c r="I277" s="26">
        <v>37929</v>
      </c>
      <c r="J277">
        <v>2005</v>
      </c>
      <c r="K277" t="s">
        <v>26012</v>
      </c>
      <c r="L277">
        <v>269</v>
      </c>
      <c r="M277" t="s">
        <v>27030</v>
      </c>
      <c r="N277">
        <v>1</v>
      </c>
      <c r="Q277" t="s">
        <v>27031</v>
      </c>
      <c r="R277" t="s">
        <v>27032</v>
      </c>
      <c r="S277" t="s">
        <v>27033</v>
      </c>
      <c r="T277" t="s">
        <v>30</v>
      </c>
      <c r="U277" t="s">
        <v>26019</v>
      </c>
      <c r="W277" t="s">
        <v>26009</v>
      </c>
    </row>
    <row r="278" spans="1:23" x14ac:dyDescent="0.35">
      <c r="A278">
        <v>199189</v>
      </c>
      <c r="B278" t="s">
        <v>27034</v>
      </c>
      <c r="C278" t="str">
        <f>"9781841690964"</f>
        <v>9781841690964</v>
      </c>
      <c r="D278" t="str">
        <f>"9780203484708"</f>
        <v>9780203484708</v>
      </c>
      <c r="E278" t="s">
        <v>26010</v>
      </c>
      <c r="F278" t="s">
        <v>35</v>
      </c>
      <c r="G278" t="s">
        <v>22267</v>
      </c>
      <c r="H278" t="s">
        <v>26004</v>
      </c>
      <c r="I278" s="26">
        <v>37907</v>
      </c>
      <c r="J278">
        <v>2003</v>
      </c>
      <c r="K278" t="s">
        <v>660</v>
      </c>
      <c r="L278">
        <v>293</v>
      </c>
      <c r="M278" t="s">
        <v>27035</v>
      </c>
      <c r="N278">
        <v>1</v>
      </c>
      <c r="O278" t="s">
        <v>26996</v>
      </c>
      <c r="Q278" t="s">
        <v>27036</v>
      </c>
      <c r="R278">
        <v>155.69999999999999</v>
      </c>
      <c r="S278" t="s">
        <v>8473</v>
      </c>
      <c r="T278" t="s">
        <v>30</v>
      </c>
      <c r="U278" t="s">
        <v>46</v>
      </c>
      <c r="W278" t="s">
        <v>26009</v>
      </c>
    </row>
    <row r="279" spans="1:23" x14ac:dyDescent="0.35">
      <c r="A279">
        <v>199196</v>
      </c>
      <c r="B279" t="s">
        <v>27037</v>
      </c>
      <c r="C279" t="str">
        <f>"9781841693101"</f>
        <v>9781841693101</v>
      </c>
      <c r="D279" t="str">
        <f>"9780203506936"</f>
        <v>9780203506936</v>
      </c>
      <c r="E279" t="s">
        <v>26010</v>
      </c>
      <c r="F279" t="s">
        <v>35</v>
      </c>
      <c r="G279" t="s">
        <v>22267</v>
      </c>
      <c r="H279" t="s">
        <v>26004</v>
      </c>
      <c r="I279" s="26">
        <v>38288</v>
      </c>
      <c r="J279">
        <v>2004</v>
      </c>
      <c r="K279" t="s">
        <v>660</v>
      </c>
      <c r="L279">
        <v>393</v>
      </c>
      <c r="M279" t="s">
        <v>27038</v>
      </c>
      <c r="N279">
        <v>1</v>
      </c>
      <c r="Q279" t="s">
        <v>27039</v>
      </c>
      <c r="R279">
        <v>153.43</v>
      </c>
      <c r="S279" t="s">
        <v>9625</v>
      </c>
      <c r="T279" t="s">
        <v>30</v>
      </c>
      <c r="U279" t="s">
        <v>46</v>
      </c>
      <c r="W279" t="s">
        <v>26009</v>
      </c>
    </row>
    <row r="280" spans="1:23" x14ac:dyDescent="0.35">
      <c r="A280">
        <v>199199</v>
      </c>
      <c r="B280" t="s">
        <v>7900</v>
      </c>
      <c r="C280" t="str">
        <f>"9781841693330"</f>
        <v>9781841693330</v>
      </c>
      <c r="D280" t="str">
        <f>"9780203493564"</f>
        <v>9780203493564</v>
      </c>
      <c r="E280" t="s">
        <v>26010</v>
      </c>
      <c r="F280" t="s">
        <v>35</v>
      </c>
      <c r="G280" t="s">
        <v>22267</v>
      </c>
      <c r="H280" t="s">
        <v>26004</v>
      </c>
      <c r="I280" s="26">
        <v>38379</v>
      </c>
      <c r="J280">
        <v>2004</v>
      </c>
      <c r="K280" t="s">
        <v>660</v>
      </c>
      <c r="L280">
        <v>257</v>
      </c>
      <c r="M280" t="s">
        <v>27040</v>
      </c>
      <c r="N280">
        <v>1</v>
      </c>
      <c r="O280" t="s">
        <v>27041</v>
      </c>
      <c r="Q280" t="s">
        <v>27042</v>
      </c>
      <c r="R280">
        <v>153.4</v>
      </c>
      <c r="S280" t="s">
        <v>27043</v>
      </c>
      <c r="T280" t="s">
        <v>30</v>
      </c>
      <c r="U280" t="s">
        <v>46</v>
      </c>
      <c r="W280" t="s">
        <v>26009</v>
      </c>
    </row>
    <row r="281" spans="1:23" x14ac:dyDescent="0.35">
      <c r="A281">
        <v>199200</v>
      </c>
      <c r="B281" t="s">
        <v>27044</v>
      </c>
      <c r="C281" t="str">
        <f>"9781841693361"</f>
        <v>9781841693361</v>
      </c>
      <c r="D281" t="str">
        <f>"9780203503638"</f>
        <v>9780203503638</v>
      </c>
      <c r="E281" t="s">
        <v>26010</v>
      </c>
      <c r="F281" t="s">
        <v>35</v>
      </c>
      <c r="G281" t="s">
        <v>22267</v>
      </c>
      <c r="H281" t="s">
        <v>26004</v>
      </c>
      <c r="I281" s="26">
        <v>38204</v>
      </c>
      <c r="J281">
        <v>2004</v>
      </c>
      <c r="K281" t="s">
        <v>660</v>
      </c>
      <c r="L281">
        <v>288</v>
      </c>
      <c r="M281" t="s">
        <v>27045</v>
      </c>
      <c r="N281">
        <v>1</v>
      </c>
      <c r="Q281" t="s">
        <v>27046</v>
      </c>
      <c r="R281">
        <v>794</v>
      </c>
      <c r="S281" t="s">
        <v>27047</v>
      </c>
      <c r="T281" t="s">
        <v>30</v>
      </c>
      <c r="U281" t="s">
        <v>26008</v>
      </c>
      <c r="W281" t="s">
        <v>26009</v>
      </c>
    </row>
    <row r="282" spans="1:23" x14ac:dyDescent="0.35">
      <c r="A282">
        <v>199202</v>
      </c>
      <c r="B282" t="s">
        <v>8872</v>
      </c>
      <c r="C282" t="str">
        <f>"9781841693521"</f>
        <v>9781841693521</v>
      </c>
      <c r="D282" t="str">
        <f>"9780203504550"</f>
        <v>9780203504550</v>
      </c>
      <c r="E282" t="s">
        <v>26010</v>
      </c>
      <c r="F282" t="s">
        <v>35</v>
      </c>
      <c r="G282" t="s">
        <v>22267</v>
      </c>
      <c r="H282" t="s">
        <v>26004</v>
      </c>
      <c r="I282" s="26">
        <v>38631</v>
      </c>
      <c r="J282">
        <v>2005</v>
      </c>
      <c r="K282" t="s">
        <v>660</v>
      </c>
      <c r="L282">
        <v>201</v>
      </c>
      <c r="M282" t="s">
        <v>27048</v>
      </c>
      <c r="N282">
        <v>1</v>
      </c>
      <c r="O282" t="s">
        <v>26132</v>
      </c>
      <c r="Q282" t="s">
        <v>27049</v>
      </c>
      <c r="R282">
        <v>155.41300000000001</v>
      </c>
      <c r="S282" t="s">
        <v>8873</v>
      </c>
      <c r="T282" t="s">
        <v>30</v>
      </c>
      <c r="U282" t="s">
        <v>46</v>
      </c>
      <c r="W282" t="s">
        <v>26009</v>
      </c>
    </row>
    <row r="283" spans="1:23" x14ac:dyDescent="0.35">
      <c r="A283">
        <v>199204</v>
      </c>
      <c r="B283" t="s">
        <v>10020</v>
      </c>
      <c r="C283" t="str">
        <f>"9781841693835"</f>
        <v>9781841693835</v>
      </c>
      <c r="D283" t="str">
        <f>"9780203502259"</f>
        <v>9780203502259</v>
      </c>
      <c r="E283" t="s">
        <v>26010</v>
      </c>
      <c r="F283" t="s">
        <v>35</v>
      </c>
      <c r="G283" t="s">
        <v>22267</v>
      </c>
      <c r="H283" t="s">
        <v>26004</v>
      </c>
      <c r="I283" s="26">
        <v>38323</v>
      </c>
      <c r="J283">
        <v>2004</v>
      </c>
      <c r="K283" t="s">
        <v>660</v>
      </c>
      <c r="L283">
        <v>271</v>
      </c>
      <c r="M283" t="s">
        <v>27050</v>
      </c>
      <c r="N283">
        <v>3</v>
      </c>
      <c r="Q283" t="s">
        <v>27051</v>
      </c>
      <c r="R283">
        <v>152.13999999999999</v>
      </c>
      <c r="S283" t="s">
        <v>27052</v>
      </c>
      <c r="T283" t="s">
        <v>30</v>
      </c>
      <c r="U283" t="s">
        <v>46</v>
      </c>
      <c r="W283" t="s">
        <v>26009</v>
      </c>
    </row>
    <row r="284" spans="1:23" x14ac:dyDescent="0.35">
      <c r="A284">
        <v>199205</v>
      </c>
      <c r="B284" t="s">
        <v>27053</v>
      </c>
      <c r="C284" t="str">
        <f>"9781841693958"</f>
        <v>9781841693958</v>
      </c>
      <c r="D284" t="str">
        <f>"9780203503881"</f>
        <v>9780203503881</v>
      </c>
      <c r="E284" t="s">
        <v>26010</v>
      </c>
      <c r="F284" t="s">
        <v>35</v>
      </c>
      <c r="G284" t="s">
        <v>22267</v>
      </c>
      <c r="H284" t="s">
        <v>26004</v>
      </c>
      <c r="I284" s="26">
        <v>38302</v>
      </c>
      <c r="J284">
        <v>2004</v>
      </c>
      <c r="K284" t="s">
        <v>660</v>
      </c>
      <c r="L284">
        <v>201</v>
      </c>
      <c r="M284" t="s">
        <v>27054</v>
      </c>
      <c r="N284">
        <v>1</v>
      </c>
      <c r="O284" t="s">
        <v>27041</v>
      </c>
      <c r="Q284" t="s">
        <v>27055</v>
      </c>
      <c r="R284">
        <v>153.43</v>
      </c>
      <c r="S284" t="s">
        <v>27056</v>
      </c>
      <c r="T284" t="s">
        <v>30</v>
      </c>
      <c r="U284" t="s">
        <v>46</v>
      </c>
      <c r="W284" t="s">
        <v>26009</v>
      </c>
    </row>
    <row r="285" spans="1:23" x14ac:dyDescent="0.35">
      <c r="A285">
        <v>199328</v>
      </c>
      <c r="B285" t="s">
        <v>27057</v>
      </c>
      <c r="C285" t="str">
        <f>"9780415298506"</f>
        <v>9780415298506</v>
      </c>
      <c r="D285" t="str">
        <f>"9780203695005"</f>
        <v>9780203695005</v>
      </c>
      <c r="E285" t="s">
        <v>26010</v>
      </c>
      <c r="F285" t="s">
        <v>35</v>
      </c>
      <c r="G285" t="s">
        <v>22174</v>
      </c>
      <c r="H285" t="s">
        <v>26011</v>
      </c>
      <c r="I285" s="26">
        <v>37889</v>
      </c>
      <c r="J285">
        <v>2003</v>
      </c>
      <c r="K285" t="s">
        <v>26012</v>
      </c>
      <c r="L285">
        <v>412</v>
      </c>
      <c r="M285" t="s">
        <v>27058</v>
      </c>
      <c r="N285">
        <v>1</v>
      </c>
      <c r="Q285" t="s">
        <v>27059</v>
      </c>
      <c r="R285">
        <v>153.4</v>
      </c>
      <c r="S285" t="s">
        <v>7432</v>
      </c>
      <c r="T285" t="s">
        <v>30</v>
      </c>
      <c r="U285" t="s">
        <v>46</v>
      </c>
      <c r="W285" t="s">
        <v>26009</v>
      </c>
    </row>
    <row r="286" spans="1:23" x14ac:dyDescent="0.35">
      <c r="A286">
        <v>199335</v>
      </c>
      <c r="B286" t="s">
        <v>8882</v>
      </c>
      <c r="C286" t="str">
        <f>"9781583912478"</f>
        <v>9781583912478</v>
      </c>
      <c r="D286" t="str">
        <f>"9780203695531"</f>
        <v>9780203695531</v>
      </c>
      <c r="E286" t="s">
        <v>26010</v>
      </c>
      <c r="F286" t="s">
        <v>35</v>
      </c>
      <c r="G286" t="s">
        <v>22174</v>
      </c>
      <c r="H286" t="s">
        <v>26011</v>
      </c>
      <c r="I286" s="26">
        <v>37777</v>
      </c>
      <c r="J286">
        <v>2003</v>
      </c>
      <c r="K286" t="s">
        <v>26012</v>
      </c>
      <c r="L286">
        <v>209</v>
      </c>
      <c r="M286" t="s">
        <v>27060</v>
      </c>
      <c r="N286">
        <v>1</v>
      </c>
      <c r="Q286" t="s">
        <v>27061</v>
      </c>
      <c r="R286" t="s">
        <v>27062</v>
      </c>
      <c r="S286" t="s">
        <v>39</v>
      </c>
      <c r="T286" t="s">
        <v>30</v>
      </c>
      <c r="U286" t="s">
        <v>26019</v>
      </c>
      <c r="W286" t="s">
        <v>26009</v>
      </c>
    </row>
    <row r="287" spans="1:23" x14ac:dyDescent="0.35">
      <c r="A287">
        <v>199336</v>
      </c>
      <c r="B287" t="s">
        <v>27063</v>
      </c>
      <c r="C287" t="str">
        <f>"9781583912584"</f>
        <v>9781583912584</v>
      </c>
      <c r="D287" t="str">
        <f>"9780203695524"</f>
        <v>9780203695524</v>
      </c>
      <c r="E287" t="s">
        <v>26010</v>
      </c>
      <c r="F287" t="s">
        <v>35</v>
      </c>
      <c r="G287" t="s">
        <v>22174</v>
      </c>
      <c r="H287" t="s">
        <v>26011</v>
      </c>
      <c r="I287" s="26">
        <v>37757</v>
      </c>
      <c r="J287">
        <v>2003</v>
      </c>
      <c r="K287" t="s">
        <v>26012</v>
      </c>
      <c r="L287">
        <v>246</v>
      </c>
      <c r="M287" t="s">
        <v>27064</v>
      </c>
      <c r="N287">
        <v>1</v>
      </c>
      <c r="Q287" t="s">
        <v>27065</v>
      </c>
      <c r="R287" t="s">
        <v>26308</v>
      </c>
      <c r="S287" t="s">
        <v>7661</v>
      </c>
      <c r="T287" t="s">
        <v>30</v>
      </c>
      <c r="U287" t="s">
        <v>46</v>
      </c>
      <c r="W287" t="s">
        <v>26009</v>
      </c>
    </row>
    <row r="288" spans="1:23" x14ac:dyDescent="0.35">
      <c r="A288">
        <v>199341</v>
      </c>
      <c r="B288" t="s">
        <v>10199</v>
      </c>
      <c r="C288" t="str">
        <f>"9781841692166"</f>
        <v>9781841692166</v>
      </c>
      <c r="D288" t="str">
        <f>"9780203641583"</f>
        <v>9780203641583</v>
      </c>
      <c r="E288" t="s">
        <v>26010</v>
      </c>
      <c r="F288" t="s">
        <v>35</v>
      </c>
      <c r="G288" t="s">
        <v>22267</v>
      </c>
      <c r="H288" t="s">
        <v>26004</v>
      </c>
      <c r="I288" s="26">
        <v>37771</v>
      </c>
      <c r="J288">
        <v>2003</v>
      </c>
      <c r="K288" t="s">
        <v>660</v>
      </c>
      <c r="L288">
        <v>182</v>
      </c>
      <c r="M288" t="s">
        <v>27066</v>
      </c>
      <c r="N288">
        <v>1</v>
      </c>
      <c r="O288" t="s">
        <v>26988</v>
      </c>
      <c r="Q288" t="s">
        <v>27067</v>
      </c>
      <c r="R288" t="s">
        <v>27068</v>
      </c>
      <c r="S288" t="s">
        <v>27069</v>
      </c>
      <c r="T288" t="s">
        <v>30</v>
      </c>
      <c r="U288" t="s">
        <v>46</v>
      </c>
      <c r="W288" t="s">
        <v>26009</v>
      </c>
    </row>
    <row r="289" spans="1:23" x14ac:dyDescent="0.35">
      <c r="A289">
        <v>199342</v>
      </c>
      <c r="B289" t="s">
        <v>27070</v>
      </c>
      <c r="C289" t="str">
        <f>"9781841692852"</f>
        <v>9781841692852</v>
      </c>
      <c r="D289" t="str">
        <f>"9780203641606"</f>
        <v>9780203641606</v>
      </c>
      <c r="E289" t="s">
        <v>26010</v>
      </c>
      <c r="F289" t="s">
        <v>35</v>
      </c>
      <c r="G289" t="s">
        <v>22267</v>
      </c>
      <c r="H289" t="s">
        <v>26004</v>
      </c>
      <c r="I289" s="26">
        <v>37757</v>
      </c>
      <c r="J289">
        <v>2003</v>
      </c>
      <c r="K289" t="s">
        <v>660</v>
      </c>
      <c r="L289">
        <v>252</v>
      </c>
      <c r="M289" t="s">
        <v>27071</v>
      </c>
      <c r="N289">
        <v>1</v>
      </c>
      <c r="O289" t="s">
        <v>27041</v>
      </c>
      <c r="Q289" t="s">
        <v>27072</v>
      </c>
      <c r="R289">
        <v>155.69999999999999</v>
      </c>
      <c r="S289" t="s">
        <v>27073</v>
      </c>
      <c r="T289" t="s">
        <v>30</v>
      </c>
      <c r="U289" t="s">
        <v>46</v>
      </c>
      <c r="W289" t="s">
        <v>26009</v>
      </c>
    </row>
    <row r="290" spans="1:23" x14ac:dyDescent="0.35">
      <c r="A290">
        <v>199355</v>
      </c>
      <c r="B290" t="s">
        <v>27074</v>
      </c>
      <c r="C290" t="str">
        <f>"9780415213592"</f>
        <v>9780415213592</v>
      </c>
      <c r="D290" t="str">
        <f>"9780203334492"</f>
        <v>9780203334492</v>
      </c>
      <c r="E290" t="s">
        <v>26010</v>
      </c>
      <c r="F290" t="s">
        <v>35</v>
      </c>
      <c r="G290" t="s">
        <v>26337</v>
      </c>
      <c r="H290" t="s">
        <v>26004</v>
      </c>
      <c r="I290" s="26">
        <v>38350</v>
      </c>
      <c r="J290">
        <v>2004</v>
      </c>
      <c r="K290" t="s">
        <v>26012</v>
      </c>
      <c r="L290">
        <v>272</v>
      </c>
      <c r="M290" t="s">
        <v>27075</v>
      </c>
      <c r="N290">
        <v>1</v>
      </c>
      <c r="Q290" t="s">
        <v>27076</v>
      </c>
      <c r="R290">
        <v>130</v>
      </c>
      <c r="S290" t="s">
        <v>9345</v>
      </c>
      <c r="T290" t="s">
        <v>30</v>
      </c>
      <c r="U290" t="s">
        <v>26520</v>
      </c>
      <c r="W290" t="s">
        <v>26009</v>
      </c>
    </row>
    <row r="291" spans="1:23" x14ac:dyDescent="0.35">
      <c r="A291">
        <v>199369</v>
      </c>
      <c r="B291" t="s">
        <v>8496</v>
      </c>
      <c r="C291" t="str">
        <f>"9780415256742"</f>
        <v>9780415256742</v>
      </c>
      <c r="D291" t="str">
        <f>"9780203323113"</f>
        <v>9780203323113</v>
      </c>
      <c r="E291" t="s">
        <v>26010</v>
      </c>
      <c r="F291" t="s">
        <v>35</v>
      </c>
      <c r="G291" t="s">
        <v>22174</v>
      </c>
      <c r="H291" t="s">
        <v>26011</v>
      </c>
      <c r="I291" s="26">
        <v>38350</v>
      </c>
      <c r="J291">
        <v>2004</v>
      </c>
      <c r="K291" t="s">
        <v>26012</v>
      </c>
      <c r="L291">
        <v>178</v>
      </c>
      <c r="M291" t="s">
        <v>27077</v>
      </c>
      <c r="N291">
        <v>1</v>
      </c>
      <c r="Q291" t="s">
        <v>27078</v>
      </c>
      <c r="R291">
        <v>305.23</v>
      </c>
      <c r="S291" t="s">
        <v>8497</v>
      </c>
      <c r="T291" t="s">
        <v>30</v>
      </c>
      <c r="U291" t="s">
        <v>26044</v>
      </c>
      <c r="W291" t="s">
        <v>26009</v>
      </c>
    </row>
    <row r="292" spans="1:23" x14ac:dyDescent="0.35">
      <c r="A292">
        <v>199436</v>
      </c>
      <c r="B292" t="s">
        <v>27079</v>
      </c>
      <c r="C292" t="str">
        <f>"9780415331265"</f>
        <v>9780415331265</v>
      </c>
      <c r="D292" t="str">
        <f>"9780203341988"</f>
        <v>9780203341988</v>
      </c>
      <c r="E292" t="s">
        <v>26010</v>
      </c>
      <c r="F292" t="s">
        <v>35</v>
      </c>
      <c r="G292" t="s">
        <v>22174</v>
      </c>
      <c r="H292" t="s">
        <v>26011</v>
      </c>
      <c r="I292" s="26">
        <v>38387</v>
      </c>
      <c r="J292">
        <v>2004</v>
      </c>
      <c r="K292" t="s">
        <v>26012</v>
      </c>
      <c r="L292">
        <v>160</v>
      </c>
      <c r="M292" t="s">
        <v>27080</v>
      </c>
      <c r="N292">
        <v>1</v>
      </c>
      <c r="O292" t="s">
        <v>26855</v>
      </c>
      <c r="Q292" t="s">
        <v>27081</v>
      </c>
      <c r="R292" t="s">
        <v>27082</v>
      </c>
      <c r="S292" t="s">
        <v>10253</v>
      </c>
      <c r="T292" t="s">
        <v>30</v>
      </c>
      <c r="U292" t="s">
        <v>26228</v>
      </c>
      <c r="W292" t="s">
        <v>26009</v>
      </c>
    </row>
    <row r="293" spans="1:23" x14ac:dyDescent="0.35">
      <c r="A293">
        <v>199453</v>
      </c>
      <c r="B293" t="s">
        <v>27083</v>
      </c>
      <c r="C293" t="str">
        <f>"9780415337991"</f>
        <v>9780415337991</v>
      </c>
      <c r="D293" t="str">
        <f>"9780203341155"</f>
        <v>9780203341155</v>
      </c>
      <c r="E293" t="s">
        <v>26010</v>
      </c>
      <c r="F293" t="s">
        <v>35</v>
      </c>
      <c r="G293" t="s">
        <v>22174</v>
      </c>
      <c r="H293" t="s">
        <v>26011</v>
      </c>
      <c r="I293" s="26">
        <v>38670</v>
      </c>
      <c r="J293">
        <v>2005</v>
      </c>
      <c r="K293" t="s">
        <v>26012</v>
      </c>
      <c r="L293">
        <v>250</v>
      </c>
      <c r="M293" t="s">
        <v>27084</v>
      </c>
      <c r="N293">
        <v>1</v>
      </c>
      <c r="Q293" t="s">
        <v>27085</v>
      </c>
      <c r="R293">
        <v>150.1950243613</v>
      </c>
      <c r="S293" t="s">
        <v>8941</v>
      </c>
      <c r="T293" t="s">
        <v>30</v>
      </c>
      <c r="U293" t="s">
        <v>26228</v>
      </c>
      <c r="W293" t="s">
        <v>26009</v>
      </c>
    </row>
    <row r="294" spans="1:23" x14ac:dyDescent="0.35">
      <c r="A294">
        <v>199522</v>
      </c>
      <c r="B294" t="s">
        <v>8675</v>
      </c>
      <c r="C294" t="str">
        <f>"9780415347242"</f>
        <v>9780415347242</v>
      </c>
      <c r="D294" t="str">
        <f>"9780203309346"</f>
        <v>9780203309346</v>
      </c>
      <c r="E294" t="s">
        <v>26010</v>
      </c>
      <c r="F294" t="s">
        <v>35</v>
      </c>
      <c r="G294" t="s">
        <v>22174</v>
      </c>
      <c r="H294" t="s">
        <v>26011</v>
      </c>
      <c r="I294" s="26">
        <v>38488</v>
      </c>
      <c r="J294">
        <v>2004</v>
      </c>
      <c r="K294" t="s">
        <v>26012</v>
      </c>
      <c r="L294">
        <v>250</v>
      </c>
      <c r="M294" t="s">
        <v>27086</v>
      </c>
      <c r="N294">
        <v>1</v>
      </c>
      <c r="Q294" t="s">
        <v>27087</v>
      </c>
      <c r="R294" t="s">
        <v>26759</v>
      </c>
      <c r="S294" t="s">
        <v>8676</v>
      </c>
      <c r="T294" t="s">
        <v>30</v>
      </c>
      <c r="U294" t="s">
        <v>46</v>
      </c>
      <c r="W294" t="s">
        <v>26009</v>
      </c>
    </row>
    <row r="295" spans="1:23" x14ac:dyDescent="0.35">
      <c r="A295">
        <v>199583</v>
      </c>
      <c r="B295" t="s">
        <v>27088</v>
      </c>
      <c r="C295" t="str">
        <f>"9780415350075"</f>
        <v>9780415350075</v>
      </c>
      <c r="D295" t="str">
        <f>"9780203338674"</f>
        <v>9780203338674</v>
      </c>
      <c r="E295" t="s">
        <v>26010</v>
      </c>
      <c r="F295" t="s">
        <v>35</v>
      </c>
      <c r="G295" t="s">
        <v>22174</v>
      </c>
      <c r="H295" t="s">
        <v>26011</v>
      </c>
      <c r="I295" s="26">
        <v>38232</v>
      </c>
      <c r="J295">
        <v>2004</v>
      </c>
      <c r="K295" t="s">
        <v>26012</v>
      </c>
      <c r="L295">
        <v>268</v>
      </c>
      <c r="M295" t="s">
        <v>27089</v>
      </c>
      <c r="N295">
        <v>1</v>
      </c>
      <c r="Q295" t="s">
        <v>27090</v>
      </c>
      <c r="R295">
        <v>302.12</v>
      </c>
      <c r="S295" t="s">
        <v>27091</v>
      </c>
      <c r="T295" t="s">
        <v>30</v>
      </c>
      <c r="U295" t="s">
        <v>26170</v>
      </c>
      <c r="W295" t="s">
        <v>26009</v>
      </c>
    </row>
    <row r="296" spans="1:23" x14ac:dyDescent="0.35">
      <c r="A296">
        <v>199597</v>
      </c>
      <c r="B296" t="s">
        <v>27092</v>
      </c>
      <c r="C296" t="str">
        <f>"9780415351492"</f>
        <v>9780415351492</v>
      </c>
      <c r="D296" t="str">
        <f>"9780203337653"</f>
        <v>9780203337653</v>
      </c>
      <c r="E296" t="s">
        <v>26010</v>
      </c>
      <c r="F296" t="s">
        <v>35</v>
      </c>
      <c r="G296" t="s">
        <v>22174</v>
      </c>
      <c r="H296" t="s">
        <v>26011</v>
      </c>
      <c r="I296" s="26">
        <v>38574</v>
      </c>
      <c r="J296">
        <v>2005</v>
      </c>
      <c r="K296" t="s">
        <v>26012</v>
      </c>
      <c r="L296">
        <v>288</v>
      </c>
      <c r="M296" t="s">
        <v>27093</v>
      </c>
      <c r="N296">
        <v>1</v>
      </c>
      <c r="Q296" t="s">
        <v>27094</v>
      </c>
      <c r="R296">
        <v>303.625</v>
      </c>
      <c r="S296" t="s">
        <v>27095</v>
      </c>
      <c r="T296" t="s">
        <v>30</v>
      </c>
      <c r="U296" t="s">
        <v>26044</v>
      </c>
      <c r="W296" t="s">
        <v>26009</v>
      </c>
    </row>
    <row r="297" spans="1:23" x14ac:dyDescent="0.35">
      <c r="A297">
        <v>199618</v>
      </c>
      <c r="B297" t="s">
        <v>27096</v>
      </c>
      <c r="C297" t="str">
        <f>"9780415943970"</f>
        <v>9780415943970</v>
      </c>
      <c r="D297" t="str">
        <f>"9780203310540"</f>
        <v>9780203310540</v>
      </c>
      <c r="E297" t="s">
        <v>26010</v>
      </c>
      <c r="F297" t="s">
        <v>35</v>
      </c>
      <c r="G297" t="s">
        <v>22174</v>
      </c>
      <c r="H297" t="s">
        <v>26011</v>
      </c>
      <c r="I297" s="26">
        <v>38248</v>
      </c>
      <c r="J297">
        <v>2005</v>
      </c>
      <c r="K297" t="s">
        <v>26012</v>
      </c>
      <c r="L297">
        <v>737</v>
      </c>
      <c r="M297" t="s">
        <v>27097</v>
      </c>
      <c r="N297">
        <v>1</v>
      </c>
      <c r="Q297" t="s">
        <v>26963</v>
      </c>
      <c r="R297">
        <v>616.85209999999995</v>
      </c>
      <c r="S297" t="s">
        <v>7738</v>
      </c>
      <c r="T297" t="s">
        <v>30</v>
      </c>
      <c r="U297" t="s">
        <v>26019</v>
      </c>
      <c r="W297" t="s">
        <v>26009</v>
      </c>
    </row>
    <row r="298" spans="1:23" x14ac:dyDescent="0.35">
      <c r="A298">
        <v>199624</v>
      </c>
      <c r="B298" t="s">
        <v>27098</v>
      </c>
      <c r="C298" t="str">
        <f>"9780415945554"</f>
        <v>9780415945554</v>
      </c>
      <c r="D298" t="str">
        <f>"9780203336052"</f>
        <v>9780203336052</v>
      </c>
      <c r="E298" t="s">
        <v>26010</v>
      </c>
      <c r="F298" t="s">
        <v>35</v>
      </c>
      <c r="G298" t="s">
        <v>26201</v>
      </c>
      <c r="H298" t="s">
        <v>26004</v>
      </c>
      <c r="I298" s="26">
        <v>38201</v>
      </c>
      <c r="J298">
        <v>2004</v>
      </c>
      <c r="K298" t="s">
        <v>26012</v>
      </c>
      <c r="L298">
        <v>257</v>
      </c>
      <c r="M298" t="s">
        <v>27099</v>
      </c>
      <c r="N298">
        <v>2</v>
      </c>
      <c r="Q298" t="s">
        <v>27100</v>
      </c>
      <c r="R298" t="s">
        <v>26873</v>
      </c>
      <c r="S298" t="s">
        <v>27101</v>
      </c>
      <c r="T298" t="s">
        <v>30</v>
      </c>
      <c r="U298" t="s">
        <v>27102</v>
      </c>
      <c r="W298" t="s">
        <v>26009</v>
      </c>
    </row>
    <row r="299" spans="1:23" x14ac:dyDescent="0.35">
      <c r="A299">
        <v>199770</v>
      </c>
      <c r="B299" t="s">
        <v>27103</v>
      </c>
      <c r="C299" t="str">
        <f>"9780863775956"</f>
        <v>9780863775956</v>
      </c>
      <c r="D299" t="str">
        <f>"9780203311851"</f>
        <v>9780203311851</v>
      </c>
      <c r="E299" t="s">
        <v>26010</v>
      </c>
      <c r="F299" t="s">
        <v>35</v>
      </c>
      <c r="G299" t="s">
        <v>22267</v>
      </c>
      <c r="H299" t="s">
        <v>26011</v>
      </c>
      <c r="I299" s="26">
        <v>38186</v>
      </c>
      <c r="J299">
        <v>2005</v>
      </c>
      <c r="K299" t="s">
        <v>660</v>
      </c>
      <c r="L299">
        <v>666</v>
      </c>
      <c r="M299" t="s">
        <v>27104</v>
      </c>
      <c r="N299">
        <v>1</v>
      </c>
      <c r="O299" t="s">
        <v>27105</v>
      </c>
      <c r="Q299" t="s">
        <v>27106</v>
      </c>
      <c r="R299">
        <v>302</v>
      </c>
      <c r="S299" t="s">
        <v>7876</v>
      </c>
      <c r="T299" t="s">
        <v>30</v>
      </c>
      <c r="U299" t="s">
        <v>26044</v>
      </c>
      <c r="W299" t="s">
        <v>26009</v>
      </c>
    </row>
    <row r="300" spans="1:23" x14ac:dyDescent="0.35">
      <c r="A300">
        <v>199784</v>
      </c>
      <c r="B300" t="s">
        <v>27107</v>
      </c>
      <c r="C300" t="str">
        <f>"9781583910368"</f>
        <v>9781583910368</v>
      </c>
      <c r="D300" t="str">
        <f>"9780203341049"</f>
        <v>9780203341049</v>
      </c>
      <c r="E300" t="s">
        <v>26010</v>
      </c>
      <c r="F300" t="s">
        <v>35</v>
      </c>
      <c r="G300" t="s">
        <v>22174</v>
      </c>
      <c r="H300" t="s">
        <v>26011</v>
      </c>
      <c r="I300" s="26">
        <v>38264</v>
      </c>
      <c r="J300">
        <v>2004</v>
      </c>
      <c r="K300" t="s">
        <v>26012</v>
      </c>
      <c r="L300">
        <v>280</v>
      </c>
      <c r="M300" t="s">
        <v>27108</v>
      </c>
      <c r="N300">
        <v>2</v>
      </c>
      <c r="Q300" t="s">
        <v>27109</v>
      </c>
      <c r="R300" t="s">
        <v>27110</v>
      </c>
      <c r="S300" t="s">
        <v>10186</v>
      </c>
      <c r="T300" t="s">
        <v>30</v>
      </c>
      <c r="U300" t="s">
        <v>26019</v>
      </c>
      <c r="W300" t="s">
        <v>26009</v>
      </c>
    </row>
    <row r="301" spans="1:23" x14ac:dyDescent="0.35">
      <c r="A301">
        <v>199786</v>
      </c>
      <c r="B301" t="s">
        <v>27111</v>
      </c>
      <c r="C301" t="str">
        <f>"9781583918005"</f>
        <v>9781583918005</v>
      </c>
      <c r="D301" t="str">
        <f>"9780203340172"</f>
        <v>9780203340172</v>
      </c>
      <c r="E301" t="s">
        <v>26010</v>
      </c>
      <c r="F301" t="s">
        <v>35</v>
      </c>
      <c r="G301" t="s">
        <v>22174</v>
      </c>
      <c r="H301" t="s">
        <v>26011</v>
      </c>
      <c r="I301" s="26">
        <v>38387</v>
      </c>
      <c r="J301">
        <v>2004</v>
      </c>
      <c r="K301" t="s">
        <v>26012</v>
      </c>
      <c r="L301">
        <v>294</v>
      </c>
      <c r="M301" t="s">
        <v>27112</v>
      </c>
      <c r="N301">
        <v>1</v>
      </c>
      <c r="Q301" t="s">
        <v>27113</v>
      </c>
      <c r="R301">
        <v>362.10419999999999</v>
      </c>
      <c r="S301" t="s">
        <v>27114</v>
      </c>
      <c r="T301" t="s">
        <v>30</v>
      </c>
      <c r="U301" t="s">
        <v>27115</v>
      </c>
      <c r="W301" t="s">
        <v>26009</v>
      </c>
    </row>
    <row r="302" spans="1:23" x14ac:dyDescent="0.35">
      <c r="A302">
        <v>199788</v>
      </c>
      <c r="B302" t="s">
        <v>27116</v>
      </c>
      <c r="C302" t="str">
        <f>"9781583918142"</f>
        <v>9781583918142</v>
      </c>
      <c r="D302" t="str">
        <f>"9780203342206"</f>
        <v>9780203342206</v>
      </c>
      <c r="E302" t="s">
        <v>26010</v>
      </c>
      <c r="F302" t="s">
        <v>35</v>
      </c>
      <c r="G302" t="s">
        <v>22174</v>
      </c>
      <c r="H302" t="s">
        <v>26011</v>
      </c>
      <c r="I302" s="26">
        <v>38359</v>
      </c>
      <c r="J302">
        <v>2004</v>
      </c>
      <c r="K302" t="s">
        <v>26012</v>
      </c>
      <c r="L302">
        <v>239</v>
      </c>
      <c r="M302" t="s">
        <v>27117</v>
      </c>
      <c r="N302">
        <v>1</v>
      </c>
      <c r="O302" t="s">
        <v>26344</v>
      </c>
      <c r="Q302" t="s">
        <v>27118</v>
      </c>
      <c r="R302">
        <v>150.19499999999999</v>
      </c>
      <c r="S302" t="s">
        <v>8527</v>
      </c>
      <c r="T302" t="s">
        <v>30</v>
      </c>
      <c r="U302" t="s">
        <v>46</v>
      </c>
      <c r="W302" t="s">
        <v>26009</v>
      </c>
    </row>
    <row r="303" spans="1:23" x14ac:dyDescent="0.35">
      <c r="A303">
        <v>199790</v>
      </c>
      <c r="B303" t="s">
        <v>27119</v>
      </c>
      <c r="C303" t="str">
        <f>"9781583918555"</f>
        <v>9781583918555</v>
      </c>
      <c r="D303" t="str">
        <f>"9780203314616"</f>
        <v>9780203314616</v>
      </c>
      <c r="E303" t="s">
        <v>26010</v>
      </c>
      <c r="F303" t="s">
        <v>35</v>
      </c>
      <c r="G303" t="s">
        <v>26337</v>
      </c>
      <c r="H303" t="s">
        <v>26004</v>
      </c>
      <c r="I303" s="26">
        <v>38288</v>
      </c>
      <c r="J303">
        <v>2005</v>
      </c>
      <c r="K303" t="s">
        <v>26012</v>
      </c>
      <c r="L303">
        <v>293</v>
      </c>
      <c r="M303" t="s">
        <v>27120</v>
      </c>
      <c r="N303">
        <v>1</v>
      </c>
      <c r="Q303" t="s">
        <v>27121</v>
      </c>
      <c r="R303" t="s">
        <v>27122</v>
      </c>
      <c r="S303" t="s">
        <v>27123</v>
      </c>
      <c r="T303" t="s">
        <v>30</v>
      </c>
      <c r="U303" t="s">
        <v>26116</v>
      </c>
      <c r="W303" t="s">
        <v>26009</v>
      </c>
    </row>
    <row r="304" spans="1:23" x14ac:dyDescent="0.35">
      <c r="A304">
        <v>199801</v>
      </c>
      <c r="B304" t="s">
        <v>27124</v>
      </c>
      <c r="C304" t="str">
        <f>"9781841690742"</f>
        <v>9781841690742</v>
      </c>
      <c r="D304" t="str">
        <f>"9780203337998"</f>
        <v>9780203337998</v>
      </c>
      <c r="E304" t="s">
        <v>26010</v>
      </c>
      <c r="F304" t="s">
        <v>35</v>
      </c>
      <c r="G304" t="s">
        <v>22267</v>
      </c>
      <c r="H304" t="s">
        <v>26011</v>
      </c>
      <c r="I304" s="26">
        <v>38382</v>
      </c>
      <c r="J304">
        <v>2005</v>
      </c>
      <c r="K304" t="s">
        <v>660</v>
      </c>
      <c r="L304">
        <v>242</v>
      </c>
      <c r="M304" t="s">
        <v>27125</v>
      </c>
      <c r="N304">
        <v>1</v>
      </c>
      <c r="O304" t="s">
        <v>26921</v>
      </c>
      <c r="Q304" t="s">
        <v>27126</v>
      </c>
      <c r="R304">
        <v>158.1</v>
      </c>
      <c r="S304" t="s">
        <v>9806</v>
      </c>
      <c r="T304" t="s">
        <v>30</v>
      </c>
      <c r="U304" t="s">
        <v>46</v>
      </c>
      <c r="W304" t="s">
        <v>26009</v>
      </c>
    </row>
    <row r="305" spans="1:23" x14ac:dyDescent="0.35">
      <c r="A305">
        <v>199802</v>
      </c>
      <c r="B305" t="s">
        <v>27127</v>
      </c>
      <c r="C305" t="str">
        <f>"9781841690780"</f>
        <v>9781841690780</v>
      </c>
      <c r="D305" t="str">
        <f>"9780203337974"</f>
        <v>9780203337974</v>
      </c>
      <c r="E305" t="s">
        <v>26010</v>
      </c>
      <c r="F305" t="s">
        <v>35</v>
      </c>
      <c r="G305" t="s">
        <v>22267</v>
      </c>
      <c r="H305" t="s">
        <v>26011</v>
      </c>
      <c r="I305" s="26">
        <v>38201</v>
      </c>
      <c r="J305">
        <v>2004</v>
      </c>
      <c r="K305" t="s">
        <v>660</v>
      </c>
      <c r="L305">
        <v>279</v>
      </c>
      <c r="M305" t="s">
        <v>27128</v>
      </c>
      <c r="N305">
        <v>1</v>
      </c>
      <c r="O305" t="s">
        <v>27129</v>
      </c>
      <c r="Q305" t="s">
        <v>27130</v>
      </c>
      <c r="R305" t="s">
        <v>27131</v>
      </c>
      <c r="S305" t="s">
        <v>8437</v>
      </c>
      <c r="T305" t="s">
        <v>30</v>
      </c>
      <c r="U305" t="s">
        <v>46</v>
      </c>
      <c r="W305" t="s">
        <v>26009</v>
      </c>
    </row>
    <row r="306" spans="1:23" x14ac:dyDescent="0.35">
      <c r="A306">
        <v>199806</v>
      </c>
      <c r="B306" t="s">
        <v>27132</v>
      </c>
      <c r="C306" t="str">
        <f>"9781841691886"</f>
        <v>9781841691886</v>
      </c>
      <c r="D306" t="str">
        <f>"9780203307014"</f>
        <v>9780203307014</v>
      </c>
      <c r="E306" t="s">
        <v>26010</v>
      </c>
      <c r="F306" t="s">
        <v>35</v>
      </c>
      <c r="G306" t="s">
        <v>22267</v>
      </c>
      <c r="H306" t="s">
        <v>26011</v>
      </c>
      <c r="I306" s="26">
        <v>37407</v>
      </c>
      <c r="J306">
        <v>2002</v>
      </c>
      <c r="K306" t="s">
        <v>660</v>
      </c>
      <c r="L306">
        <v>415</v>
      </c>
      <c r="M306" t="s">
        <v>27133</v>
      </c>
      <c r="N306">
        <v>1</v>
      </c>
      <c r="Q306" t="s">
        <v>27134</v>
      </c>
      <c r="R306">
        <v>616.79999999999995</v>
      </c>
      <c r="S306" t="s">
        <v>7543</v>
      </c>
      <c r="T306" t="s">
        <v>30</v>
      </c>
      <c r="U306" t="s">
        <v>26116</v>
      </c>
      <c r="W306" t="s">
        <v>26009</v>
      </c>
    </row>
    <row r="307" spans="1:23" x14ac:dyDescent="0.35">
      <c r="A307">
        <v>199956</v>
      </c>
      <c r="B307" t="s">
        <v>27135</v>
      </c>
      <c r="C307" t="str">
        <f>"9780415186490"</f>
        <v>9780415186490</v>
      </c>
      <c r="D307" t="str">
        <f>"9781134663859"</f>
        <v>9781134663859</v>
      </c>
      <c r="E307" t="s">
        <v>26010</v>
      </c>
      <c r="F307" t="s">
        <v>35</v>
      </c>
      <c r="G307" t="s">
        <v>22174</v>
      </c>
      <c r="H307" t="s">
        <v>26011</v>
      </c>
      <c r="I307" s="26">
        <v>38231</v>
      </c>
      <c r="J307">
        <v>2004</v>
      </c>
      <c r="K307" t="s">
        <v>660</v>
      </c>
      <c r="L307">
        <v>256</v>
      </c>
      <c r="M307" t="s">
        <v>27136</v>
      </c>
      <c r="N307">
        <v>1</v>
      </c>
      <c r="Q307" t="s">
        <v>27137</v>
      </c>
      <c r="R307" t="s">
        <v>27138</v>
      </c>
      <c r="S307" t="s">
        <v>8442</v>
      </c>
      <c r="T307" t="s">
        <v>30</v>
      </c>
      <c r="U307" t="s">
        <v>46</v>
      </c>
      <c r="W307" t="s">
        <v>26009</v>
      </c>
    </row>
    <row r="308" spans="1:23" x14ac:dyDescent="0.35">
      <c r="A308">
        <v>200009</v>
      </c>
      <c r="B308" t="s">
        <v>5348</v>
      </c>
      <c r="C308" t="str">
        <f>"9780415227698"</f>
        <v>9780415227698</v>
      </c>
      <c r="D308" t="str">
        <f>"9780203694978"</f>
        <v>9780203694978</v>
      </c>
      <c r="E308" t="s">
        <v>26010</v>
      </c>
      <c r="F308" t="s">
        <v>35</v>
      </c>
      <c r="G308" t="s">
        <v>22174</v>
      </c>
      <c r="H308" t="s">
        <v>26011</v>
      </c>
      <c r="I308" s="26">
        <v>38056</v>
      </c>
      <c r="J308">
        <v>2003</v>
      </c>
      <c r="K308" t="s">
        <v>26012</v>
      </c>
      <c r="L308">
        <v>142</v>
      </c>
      <c r="M308" t="s">
        <v>27139</v>
      </c>
      <c r="N308">
        <v>1</v>
      </c>
      <c r="O308" t="s">
        <v>26144</v>
      </c>
      <c r="Q308" t="s">
        <v>27140</v>
      </c>
      <c r="R308">
        <v>153.80000000000001</v>
      </c>
      <c r="S308" t="s">
        <v>7778</v>
      </c>
      <c r="T308" t="s">
        <v>30</v>
      </c>
      <c r="U308" t="s">
        <v>46</v>
      </c>
      <c r="W308" t="s">
        <v>26009</v>
      </c>
    </row>
    <row r="309" spans="1:23" x14ac:dyDescent="0.35">
      <c r="A309">
        <v>200073</v>
      </c>
      <c r="B309" t="s">
        <v>9419</v>
      </c>
      <c r="C309" t="str">
        <f>"9780415262415"</f>
        <v>9780415262415</v>
      </c>
      <c r="D309" t="str">
        <f>"9780203646755"</f>
        <v>9780203646755</v>
      </c>
      <c r="E309" t="s">
        <v>26010</v>
      </c>
      <c r="F309" t="s">
        <v>35</v>
      </c>
      <c r="G309" t="s">
        <v>22174</v>
      </c>
      <c r="H309" t="s">
        <v>26011</v>
      </c>
      <c r="I309" s="26">
        <v>38338</v>
      </c>
      <c r="J309">
        <v>2005</v>
      </c>
      <c r="K309" t="s">
        <v>26012</v>
      </c>
      <c r="L309">
        <v>259</v>
      </c>
      <c r="M309" t="s">
        <v>27141</v>
      </c>
      <c r="N309">
        <v>1</v>
      </c>
      <c r="O309" t="s">
        <v>27142</v>
      </c>
      <c r="Q309" t="s">
        <v>27143</v>
      </c>
      <c r="R309" t="s">
        <v>27144</v>
      </c>
      <c r="S309" t="s">
        <v>7949</v>
      </c>
      <c r="T309" t="s">
        <v>30</v>
      </c>
      <c r="U309" t="s">
        <v>26044</v>
      </c>
      <c r="W309" t="s">
        <v>26009</v>
      </c>
    </row>
    <row r="310" spans="1:23" x14ac:dyDescent="0.35">
      <c r="A310">
        <v>200158</v>
      </c>
      <c r="B310" t="s">
        <v>27145</v>
      </c>
      <c r="C310" t="str">
        <f>"9780415286619"</f>
        <v>9780415286619</v>
      </c>
      <c r="D310" t="str">
        <f>"9780203644133"</f>
        <v>9780203644133</v>
      </c>
      <c r="E310" t="s">
        <v>26010</v>
      </c>
      <c r="F310" t="s">
        <v>35</v>
      </c>
      <c r="G310" t="s">
        <v>22174</v>
      </c>
      <c r="H310" t="s">
        <v>26011</v>
      </c>
      <c r="I310" s="26">
        <v>38295</v>
      </c>
      <c r="J310">
        <v>2004</v>
      </c>
      <c r="K310" t="s">
        <v>26012</v>
      </c>
      <c r="L310">
        <v>229</v>
      </c>
      <c r="M310" t="s">
        <v>27146</v>
      </c>
      <c r="N310">
        <v>1</v>
      </c>
      <c r="Q310" t="s">
        <v>27147</v>
      </c>
      <c r="R310">
        <v>796.33408299999996</v>
      </c>
      <c r="S310" t="s">
        <v>27148</v>
      </c>
      <c r="T310" t="s">
        <v>30</v>
      </c>
      <c r="U310" t="s">
        <v>26008</v>
      </c>
      <c r="W310" t="s">
        <v>26009</v>
      </c>
    </row>
    <row r="311" spans="1:23" x14ac:dyDescent="0.35">
      <c r="A311">
        <v>200162</v>
      </c>
      <c r="B311" t="s">
        <v>27149</v>
      </c>
      <c r="C311" t="str">
        <f>"9780415287548"</f>
        <v>9780415287548</v>
      </c>
      <c r="D311" t="str">
        <f>"9780203644102"</f>
        <v>9780203644102</v>
      </c>
      <c r="E311" t="s">
        <v>26010</v>
      </c>
      <c r="F311" t="s">
        <v>35</v>
      </c>
      <c r="G311" t="s">
        <v>26201</v>
      </c>
      <c r="H311" t="s">
        <v>26004</v>
      </c>
      <c r="I311" s="26">
        <v>38047</v>
      </c>
      <c r="J311">
        <v>2004</v>
      </c>
      <c r="K311" t="s">
        <v>26012</v>
      </c>
      <c r="L311">
        <v>241</v>
      </c>
      <c r="M311" t="s">
        <v>27150</v>
      </c>
      <c r="N311">
        <v>1</v>
      </c>
      <c r="Q311" t="s">
        <v>27151</v>
      </c>
      <c r="R311" t="s">
        <v>27152</v>
      </c>
      <c r="S311" t="s">
        <v>8767</v>
      </c>
      <c r="T311" t="s">
        <v>30</v>
      </c>
      <c r="U311" t="s">
        <v>26679</v>
      </c>
      <c r="W311" t="s">
        <v>26009</v>
      </c>
    </row>
    <row r="312" spans="1:23" x14ac:dyDescent="0.35">
      <c r="A312">
        <v>200175</v>
      </c>
      <c r="B312" t="s">
        <v>27153</v>
      </c>
      <c r="C312" t="str">
        <f>"9780415289702"</f>
        <v>9780415289702</v>
      </c>
      <c r="D312" t="str">
        <f>"9780203642245"</f>
        <v>9780203642245</v>
      </c>
      <c r="E312" t="s">
        <v>26010</v>
      </c>
      <c r="F312" t="s">
        <v>35</v>
      </c>
      <c r="G312" t="s">
        <v>22174</v>
      </c>
      <c r="H312" t="s">
        <v>26011</v>
      </c>
      <c r="I312" s="26">
        <v>37984</v>
      </c>
      <c r="J312">
        <v>2004</v>
      </c>
      <c r="K312" t="s">
        <v>26012</v>
      </c>
      <c r="L312">
        <v>147</v>
      </c>
      <c r="M312" t="s">
        <v>27154</v>
      </c>
      <c r="N312">
        <v>1</v>
      </c>
      <c r="Q312" t="s">
        <v>27155</v>
      </c>
      <c r="R312">
        <v>796.02099999999996</v>
      </c>
      <c r="S312" t="s">
        <v>8085</v>
      </c>
      <c r="T312" t="s">
        <v>30</v>
      </c>
      <c r="U312" t="s">
        <v>26008</v>
      </c>
      <c r="W312" t="s">
        <v>26159</v>
      </c>
    </row>
    <row r="313" spans="1:23" x14ac:dyDescent="0.35">
      <c r="A313">
        <v>200217</v>
      </c>
      <c r="B313" t="s">
        <v>8900</v>
      </c>
      <c r="C313" t="str">
        <f>"9780415300872"</f>
        <v>9780415300872</v>
      </c>
      <c r="D313" t="str">
        <f>"9780203643310"</f>
        <v>9780203643310</v>
      </c>
      <c r="E313" t="s">
        <v>26010</v>
      </c>
      <c r="F313" t="s">
        <v>35</v>
      </c>
      <c r="G313" t="s">
        <v>22174</v>
      </c>
      <c r="H313" t="s">
        <v>26011</v>
      </c>
      <c r="I313" s="26">
        <v>38170</v>
      </c>
      <c r="J313">
        <v>2004</v>
      </c>
      <c r="K313" t="s">
        <v>26012</v>
      </c>
      <c r="L313">
        <v>222</v>
      </c>
      <c r="M313" t="s">
        <v>27156</v>
      </c>
      <c r="N313">
        <v>1</v>
      </c>
      <c r="O313" t="s">
        <v>27157</v>
      </c>
      <c r="Q313" t="s">
        <v>27158</v>
      </c>
      <c r="R313">
        <v>305.42</v>
      </c>
      <c r="S313" t="s">
        <v>8901</v>
      </c>
      <c r="T313" t="s">
        <v>30</v>
      </c>
      <c r="U313" t="s">
        <v>26044</v>
      </c>
      <c r="W313" t="s">
        <v>26009</v>
      </c>
    </row>
    <row r="314" spans="1:23" x14ac:dyDescent="0.35">
      <c r="A314">
        <v>200269</v>
      </c>
      <c r="B314" t="s">
        <v>27159</v>
      </c>
      <c r="C314" t="str">
        <f>"9780415306393"</f>
        <v>9780415306393</v>
      </c>
      <c r="D314" t="str">
        <f>"9780203694527"</f>
        <v>9780203694527</v>
      </c>
      <c r="E314" t="s">
        <v>26010</v>
      </c>
      <c r="F314" t="s">
        <v>35</v>
      </c>
      <c r="G314" t="s">
        <v>22174</v>
      </c>
      <c r="H314" t="s">
        <v>26011</v>
      </c>
      <c r="I314" s="26">
        <v>38189</v>
      </c>
      <c r="J314">
        <v>2004</v>
      </c>
      <c r="K314" t="s">
        <v>26012</v>
      </c>
      <c r="L314">
        <v>217</v>
      </c>
      <c r="M314" t="s">
        <v>27160</v>
      </c>
      <c r="N314">
        <v>1</v>
      </c>
      <c r="Q314" t="s">
        <v>27161</v>
      </c>
      <c r="R314">
        <v>301</v>
      </c>
      <c r="S314" t="s">
        <v>9417</v>
      </c>
      <c r="T314" t="s">
        <v>30</v>
      </c>
      <c r="U314" t="s">
        <v>26044</v>
      </c>
      <c r="W314" t="s">
        <v>26009</v>
      </c>
    </row>
    <row r="315" spans="1:23" x14ac:dyDescent="0.35">
      <c r="A315">
        <v>200393</v>
      </c>
      <c r="B315" t="s">
        <v>27162</v>
      </c>
      <c r="C315" t="str">
        <f>"9780415316774"</f>
        <v>9780415316774</v>
      </c>
      <c r="D315" t="str">
        <f>"9780203575802"</f>
        <v>9780203575802</v>
      </c>
      <c r="E315" t="s">
        <v>26010</v>
      </c>
      <c r="F315" t="s">
        <v>35</v>
      </c>
      <c r="G315" t="s">
        <v>26201</v>
      </c>
      <c r="H315" t="s">
        <v>26004</v>
      </c>
      <c r="I315" s="26">
        <v>38197</v>
      </c>
      <c r="J315">
        <v>2004</v>
      </c>
      <c r="K315" t="s">
        <v>26012</v>
      </c>
      <c r="L315">
        <v>284</v>
      </c>
      <c r="M315" t="s">
        <v>27163</v>
      </c>
      <c r="N315">
        <v>1</v>
      </c>
      <c r="O315" t="s">
        <v>26554</v>
      </c>
      <c r="Q315" t="s">
        <v>27164</v>
      </c>
      <c r="R315" t="s">
        <v>27165</v>
      </c>
      <c r="S315" t="s">
        <v>27166</v>
      </c>
      <c r="T315" t="s">
        <v>30</v>
      </c>
      <c r="U315" t="s">
        <v>46</v>
      </c>
      <c r="W315" t="s">
        <v>26009</v>
      </c>
    </row>
    <row r="316" spans="1:23" x14ac:dyDescent="0.35">
      <c r="A316">
        <v>200484</v>
      </c>
      <c r="B316" t="s">
        <v>9303</v>
      </c>
      <c r="C316" t="str">
        <f>"9780415322317"</f>
        <v>9780415322317</v>
      </c>
      <c r="D316" t="str">
        <f>"9780203300084"</f>
        <v>9780203300084</v>
      </c>
      <c r="E316" t="s">
        <v>26010</v>
      </c>
      <c r="F316" t="s">
        <v>35</v>
      </c>
      <c r="G316" t="s">
        <v>22174</v>
      </c>
      <c r="H316" t="s">
        <v>26011</v>
      </c>
      <c r="I316" s="26">
        <v>38646</v>
      </c>
      <c r="J316">
        <v>2005</v>
      </c>
      <c r="K316" t="s">
        <v>26012</v>
      </c>
      <c r="L316">
        <v>312</v>
      </c>
      <c r="M316" t="s">
        <v>27167</v>
      </c>
      <c r="N316">
        <v>1</v>
      </c>
      <c r="O316" t="s">
        <v>27168</v>
      </c>
      <c r="Q316" t="s">
        <v>27169</v>
      </c>
      <c r="R316" t="s">
        <v>27170</v>
      </c>
      <c r="S316" t="s">
        <v>7507</v>
      </c>
      <c r="T316" t="s">
        <v>30</v>
      </c>
      <c r="U316" t="s">
        <v>27171</v>
      </c>
      <c r="W316" t="s">
        <v>26009</v>
      </c>
    </row>
    <row r="317" spans="1:23" x14ac:dyDescent="0.35">
      <c r="A317">
        <v>201023</v>
      </c>
      <c r="B317" t="s">
        <v>27172</v>
      </c>
      <c r="C317" t="str">
        <f>"9780863776588"</f>
        <v>9780863776588</v>
      </c>
      <c r="D317" t="str">
        <f>"9780203647554"</f>
        <v>9780203647554</v>
      </c>
      <c r="E317" t="s">
        <v>26010</v>
      </c>
      <c r="F317" t="s">
        <v>35</v>
      </c>
      <c r="G317" t="s">
        <v>22267</v>
      </c>
      <c r="H317" t="s">
        <v>26004</v>
      </c>
      <c r="I317" s="26">
        <v>38450</v>
      </c>
      <c r="J317">
        <v>2005</v>
      </c>
      <c r="K317" t="s">
        <v>660</v>
      </c>
      <c r="L317">
        <v>387</v>
      </c>
      <c r="M317" t="s">
        <v>27173</v>
      </c>
      <c r="N317">
        <v>1</v>
      </c>
      <c r="O317" t="s">
        <v>26132</v>
      </c>
      <c r="Q317" t="s">
        <v>27174</v>
      </c>
      <c r="R317">
        <v>153</v>
      </c>
      <c r="S317" t="s">
        <v>7612</v>
      </c>
      <c r="T317" t="s">
        <v>30</v>
      </c>
      <c r="U317" t="s">
        <v>46</v>
      </c>
      <c r="W317" t="s">
        <v>26009</v>
      </c>
    </row>
    <row r="318" spans="1:23" x14ac:dyDescent="0.35">
      <c r="A318">
        <v>201024</v>
      </c>
      <c r="B318" t="s">
        <v>9952</v>
      </c>
      <c r="C318" t="str">
        <f>"9780863778322"</f>
        <v>9780863778322</v>
      </c>
      <c r="D318" t="str">
        <f>"9780203641538"</f>
        <v>9780203641538</v>
      </c>
      <c r="E318" t="s">
        <v>26010</v>
      </c>
      <c r="F318" t="s">
        <v>35</v>
      </c>
      <c r="G318" t="s">
        <v>22267</v>
      </c>
      <c r="H318" t="s">
        <v>26004</v>
      </c>
      <c r="I318" s="26">
        <v>37978</v>
      </c>
      <c r="J318">
        <v>2008</v>
      </c>
      <c r="K318" t="s">
        <v>660</v>
      </c>
      <c r="L318">
        <v>209</v>
      </c>
      <c r="M318" t="s">
        <v>27175</v>
      </c>
      <c r="N318">
        <v>1</v>
      </c>
      <c r="O318" t="s">
        <v>27176</v>
      </c>
      <c r="Q318" t="s">
        <v>27177</v>
      </c>
      <c r="R318" t="s">
        <v>27178</v>
      </c>
      <c r="S318" t="s">
        <v>27179</v>
      </c>
      <c r="T318" t="s">
        <v>30</v>
      </c>
      <c r="U318" t="s">
        <v>26228</v>
      </c>
      <c r="W318" t="s">
        <v>26009</v>
      </c>
    </row>
    <row r="319" spans="1:23" x14ac:dyDescent="0.35">
      <c r="A319">
        <v>201033</v>
      </c>
      <c r="B319" t="s">
        <v>27180</v>
      </c>
      <c r="C319" t="str">
        <f>"9781583910634"</f>
        <v>9781583910634</v>
      </c>
      <c r="D319" t="str">
        <f>"9780203646908"</f>
        <v>9780203646908</v>
      </c>
      <c r="E319" t="s">
        <v>26010</v>
      </c>
      <c r="F319" t="s">
        <v>35</v>
      </c>
      <c r="G319" t="s">
        <v>22174</v>
      </c>
      <c r="H319" t="s">
        <v>26011</v>
      </c>
      <c r="I319" s="26">
        <v>38287</v>
      </c>
      <c r="J319">
        <v>2005</v>
      </c>
      <c r="K319" t="s">
        <v>26012</v>
      </c>
      <c r="L319">
        <v>306</v>
      </c>
      <c r="M319" t="s">
        <v>27181</v>
      </c>
      <c r="N319">
        <v>1</v>
      </c>
      <c r="O319" t="s">
        <v>27182</v>
      </c>
      <c r="Q319" t="s">
        <v>27183</v>
      </c>
      <c r="R319" t="s">
        <v>27184</v>
      </c>
      <c r="S319" t="s">
        <v>8172</v>
      </c>
      <c r="T319" t="s">
        <v>30</v>
      </c>
      <c r="U319" t="s">
        <v>26391</v>
      </c>
      <c r="W319" t="s">
        <v>26009</v>
      </c>
    </row>
    <row r="320" spans="1:23" x14ac:dyDescent="0.35">
      <c r="A320">
        <v>201037</v>
      </c>
      <c r="B320" t="s">
        <v>27185</v>
      </c>
      <c r="C320" t="str">
        <f>"9781583912171"</f>
        <v>9781583912171</v>
      </c>
      <c r="D320" t="str">
        <f>"9781135453343"</f>
        <v>9781135453343</v>
      </c>
      <c r="E320" t="s">
        <v>26010</v>
      </c>
      <c r="F320" t="s">
        <v>35</v>
      </c>
      <c r="G320" t="s">
        <v>22174</v>
      </c>
      <c r="H320" t="s">
        <v>26011</v>
      </c>
      <c r="I320" s="26">
        <v>38085</v>
      </c>
      <c r="J320">
        <v>2004</v>
      </c>
      <c r="K320" t="s">
        <v>26012</v>
      </c>
      <c r="L320">
        <v>365</v>
      </c>
      <c r="M320" t="s">
        <v>27186</v>
      </c>
      <c r="N320">
        <v>2</v>
      </c>
      <c r="Q320" t="s">
        <v>27187</v>
      </c>
      <c r="R320" t="s">
        <v>27110</v>
      </c>
      <c r="S320" t="s">
        <v>7571</v>
      </c>
      <c r="T320" t="s">
        <v>30</v>
      </c>
      <c r="U320" t="s">
        <v>26116</v>
      </c>
      <c r="W320" t="s">
        <v>26009</v>
      </c>
    </row>
    <row r="321" spans="1:23" x14ac:dyDescent="0.35">
      <c r="A321">
        <v>201039</v>
      </c>
      <c r="B321" t="s">
        <v>27188</v>
      </c>
      <c r="C321" t="str">
        <f>"9781583912829"</f>
        <v>9781583912829</v>
      </c>
      <c r="D321" t="str">
        <f>"9780203646977"</f>
        <v>9780203646977</v>
      </c>
      <c r="E321" t="s">
        <v>26010</v>
      </c>
      <c r="F321" t="s">
        <v>35</v>
      </c>
      <c r="G321" t="s">
        <v>22174</v>
      </c>
      <c r="H321" t="s">
        <v>26011</v>
      </c>
      <c r="I321" s="26">
        <v>38001</v>
      </c>
      <c r="J321">
        <v>2003</v>
      </c>
      <c r="K321" t="s">
        <v>26012</v>
      </c>
      <c r="L321">
        <v>289</v>
      </c>
      <c r="M321" t="s">
        <v>27189</v>
      </c>
      <c r="N321">
        <v>1</v>
      </c>
      <c r="Q321" t="s">
        <v>27190</v>
      </c>
      <c r="R321">
        <v>154.63399999999999</v>
      </c>
      <c r="S321" t="s">
        <v>8204</v>
      </c>
      <c r="T321" t="s">
        <v>30</v>
      </c>
      <c r="U321" t="s">
        <v>46</v>
      </c>
      <c r="W321" t="s">
        <v>26009</v>
      </c>
    </row>
    <row r="322" spans="1:23" x14ac:dyDescent="0.35">
      <c r="A322">
        <v>201044</v>
      </c>
      <c r="B322" t="s">
        <v>27191</v>
      </c>
      <c r="C322" t="str">
        <f>"9781583918609"</f>
        <v>9781583918609</v>
      </c>
      <c r="D322" t="str">
        <f>"9780203448861"</f>
        <v>9780203448861</v>
      </c>
      <c r="E322" t="s">
        <v>26010</v>
      </c>
      <c r="F322" t="s">
        <v>35</v>
      </c>
      <c r="G322" t="s">
        <v>26201</v>
      </c>
      <c r="H322" t="s">
        <v>26004</v>
      </c>
      <c r="I322" s="26">
        <v>38155</v>
      </c>
      <c r="J322">
        <v>2004</v>
      </c>
      <c r="K322" t="s">
        <v>26012</v>
      </c>
      <c r="L322">
        <v>186</v>
      </c>
      <c r="M322" t="s">
        <v>27192</v>
      </c>
      <c r="N322">
        <v>1</v>
      </c>
      <c r="Q322" t="s">
        <v>27193</v>
      </c>
      <c r="R322" t="s">
        <v>27194</v>
      </c>
      <c r="S322" t="s">
        <v>27195</v>
      </c>
      <c r="T322" t="s">
        <v>30</v>
      </c>
      <c r="U322" t="s">
        <v>26019</v>
      </c>
      <c r="W322" t="s">
        <v>26009</v>
      </c>
    </row>
    <row r="323" spans="1:23" x14ac:dyDescent="0.35">
      <c r="A323">
        <v>201047</v>
      </c>
      <c r="B323" t="s">
        <v>27196</v>
      </c>
      <c r="C323" t="str">
        <f>"9781583919118"</f>
        <v>9781583919118</v>
      </c>
      <c r="D323" t="str">
        <f>"9781135444945"</f>
        <v>9781135444945</v>
      </c>
      <c r="E323" t="s">
        <v>26010</v>
      </c>
      <c r="F323" t="s">
        <v>35</v>
      </c>
      <c r="G323" t="s">
        <v>26337</v>
      </c>
      <c r="H323" t="s">
        <v>26011</v>
      </c>
      <c r="I323" s="26">
        <v>38124</v>
      </c>
      <c r="J323">
        <v>2004</v>
      </c>
      <c r="K323" t="s">
        <v>26012</v>
      </c>
      <c r="L323">
        <v>257</v>
      </c>
      <c r="M323" t="s">
        <v>27197</v>
      </c>
      <c r="N323">
        <v>1</v>
      </c>
      <c r="Q323" t="s">
        <v>27198</v>
      </c>
      <c r="R323">
        <v>616.89165000000003</v>
      </c>
      <c r="S323" t="s">
        <v>27199</v>
      </c>
      <c r="T323" t="s">
        <v>30</v>
      </c>
      <c r="U323" t="s">
        <v>26019</v>
      </c>
      <c r="W323" t="s">
        <v>26009</v>
      </c>
    </row>
    <row r="324" spans="1:23" x14ac:dyDescent="0.35">
      <c r="A324">
        <v>201048</v>
      </c>
      <c r="B324" t="s">
        <v>27200</v>
      </c>
      <c r="C324" t="str">
        <f>"9781583919132"</f>
        <v>9781583919132</v>
      </c>
      <c r="D324" t="str">
        <f>"9780203536889"</f>
        <v>9780203536889</v>
      </c>
      <c r="E324" t="s">
        <v>26010</v>
      </c>
      <c r="F324" t="s">
        <v>35</v>
      </c>
      <c r="G324" t="s">
        <v>22174</v>
      </c>
      <c r="H324" t="s">
        <v>26011</v>
      </c>
      <c r="I324" s="26">
        <v>38224</v>
      </c>
      <c r="J324">
        <v>2004</v>
      </c>
      <c r="K324" t="s">
        <v>26012</v>
      </c>
      <c r="L324">
        <v>296</v>
      </c>
      <c r="M324" t="s">
        <v>27201</v>
      </c>
      <c r="N324">
        <v>1</v>
      </c>
      <c r="O324" t="s">
        <v>27202</v>
      </c>
      <c r="Q324">
        <v>2003026781</v>
      </c>
      <c r="R324">
        <v>302.3</v>
      </c>
      <c r="S324" t="s">
        <v>7546</v>
      </c>
      <c r="T324" t="s">
        <v>30</v>
      </c>
      <c r="U324" t="s">
        <v>26044</v>
      </c>
      <c r="W324" t="s">
        <v>26009</v>
      </c>
    </row>
    <row r="325" spans="1:23" x14ac:dyDescent="0.35">
      <c r="A325">
        <v>201055</v>
      </c>
      <c r="B325" t="s">
        <v>27203</v>
      </c>
      <c r="C325" t="str">
        <f>"9781841690452"</f>
        <v>9781841690452</v>
      </c>
      <c r="D325" t="str">
        <f>"9780203644966"</f>
        <v>9780203644966</v>
      </c>
      <c r="E325" t="s">
        <v>26010</v>
      </c>
      <c r="F325" t="s">
        <v>35</v>
      </c>
      <c r="G325" t="s">
        <v>22267</v>
      </c>
      <c r="H325" t="s">
        <v>26004</v>
      </c>
      <c r="I325" s="26">
        <v>38315</v>
      </c>
      <c r="J325">
        <v>2005</v>
      </c>
      <c r="K325" t="s">
        <v>660</v>
      </c>
      <c r="L325">
        <v>313</v>
      </c>
      <c r="M325" t="s">
        <v>27204</v>
      </c>
      <c r="N325">
        <v>1</v>
      </c>
      <c r="Q325" t="s">
        <v>27205</v>
      </c>
      <c r="R325">
        <v>152.4</v>
      </c>
      <c r="S325" t="s">
        <v>27206</v>
      </c>
      <c r="T325" t="s">
        <v>30</v>
      </c>
      <c r="U325" t="s">
        <v>26170</v>
      </c>
      <c r="W325" t="s">
        <v>26009</v>
      </c>
    </row>
    <row r="326" spans="1:23" x14ac:dyDescent="0.35">
      <c r="A326">
        <v>201056</v>
      </c>
      <c r="B326" t="s">
        <v>27207</v>
      </c>
      <c r="C326" t="str">
        <f>"9781841690612"</f>
        <v>9781841690612</v>
      </c>
      <c r="D326" t="str">
        <f>"9780203644973"</f>
        <v>9780203644973</v>
      </c>
      <c r="E326" t="s">
        <v>26010</v>
      </c>
      <c r="F326" t="s">
        <v>35</v>
      </c>
      <c r="G326" t="s">
        <v>22267</v>
      </c>
      <c r="H326" t="s">
        <v>26004</v>
      </c>
      <c r="I326" s="26">
        <v>37971</v>
      </c>
      <c r="J326">
        <v>2004</v>
      </c>
      <c r="K326" t="s">
        <v>660</v>
      </c>
      <c r="L326">
        <v>387</v>
      </c>
      <c r="M326" t="s">
        <v>27208</v>
      </c>
      <c r="N326">
        <v>1</v>
      </c>
      <c r="Q326" t="s">
        <v>27209</v>
      </c>
      <c r="R326">
        <v>302.3</v>
      </c>
      <c r="S326" t="s">
        <v>27210</v>
      </c>
      <c r="T326" t="s">
        <v>30</v>
      </c>
      <c r="U326" t="s">
        <v>26044</v>
      </c>
      <c r="W326" t="s">
        <v>26009</v>
      </c>
    </row>
    <row r="327" spans="1:23" x14ac:dyDescent="0.35">
      <c r="A327">
        <v>201059</v>
      </c>
      <c r="B327" t="s">
        <v>7942</v>
      </c>
      <c r="C327" t="str">
        <f>"9781841692234"</f>
        <v>9781841692234</v>
      </c>
      <c r="D327" t="str">
        <f>"9780203647110"</f>
        <v>9780203647110</v>
      </c>
      <c r="E327" t="s">
        <v>26010</v>
      </c>
      <c r="F327" t="s">
        <v>35</v>
      </c>
      <c r="G327" t="s">
        <v>22267</v>
      </c>
      <c r="H327" t="s">
        <v>26004</v>
      </c>
      <c r="I327" s="26">
        <v>38491</v>
      </c>
      <c r="J327">
        <v>2005</v>
      </c>
      <c r="K327" t="s">
        <v>660</v>
      </c>
      <c r="L327">
        <v>484</v>
      </c>
      <c r="M327" t="s">
        <v>27211</v>
      </c>
      <c r="N327">
        <v>1</v>
      </c>
      <c r="O327" t="s">
        <v>27212</v>
      </c>
      <c r="Q327" t="s">
        <v>27213</v>
      </c>
      <c r="R327" t="s">
        <v>27214</v>
      </c>
      <c r="S327" t="s">
        <v>27215</v>
      </c>
      <c r="T327" t="s">
        <v>30</v>
      </c>
      <c r="U327" t="s">
        <v>46</v>
      </c>
      <c r="W327" t="s">
        <v>26009</v>
      </c>
    </row>
    <row r="328" spans="1:23" x14ac:dyDescent="0.35">
      <c r="A328">
        <v>201061</v>
      </c>
      <c r="B328" t="s">
        <v>8146</v>
      </c>
      <c r="C328" t="str">
        <f>"9781841692944"</f>
        <v>9781841692944</v>
      </c>
      <c r="D328" t="str">
        <f>"9780203391099"</f>
        <v>9780203391099</v>
      </c>
      <c r="E328" t="s">
        <v>26010</v>
      </c>
      <c r="F328" t="s">
        <v>35</v>
      </c>
      <c r="G328" t="s">
        <v>22267</v>
      </c>
      <c r="H328" t="s">
        <v>26011</v>
      </c>
      <c r="I328" s="26">
        <v>38001</v>
      </c>
      <c r="J328">
        <v>2003</v>
      </c>
      <c r="K328" t="s">
        <v>660</v>
      </c>
      <c r="L328">
        <v>353</v>
      </c>
      <c r="M328" t="s">
        <v>27216</v>
      </c>
      <c r="N328">
        <v>1</v>
      </c>
      <c r="Q328" t="s">
        <v>27217</v>
      </c>
      <c r="R328" t="s">
        <v>27218</v>
      </c>
      <c r="S328" t="s">
        <v>8147</v>
      </c>
      <c r="T328" t="s">
        <v>30</v>
      </c>
      <c r="U328" t="s">
        <v>46</v>
      </c>
      <c r="W328" t="s">
        <v>26009</v>
      </c>
    </row>
    <row r="329" spans="1:23" x14ac:dyDescent="0.35">
      <c r="A329">
        <v>201062</v>
      </c>
      <c r="B329" t="s">
        <v>27219</v>
      </c>
      <c r="C329" t="str">
        <f>"9781841693231"</f>
        <v>9781841693231</v>
      </c>
      <c r="D329" t="str">
        <f>"9780203501979"</f>
        <v>9780203501979</v>
      </c>
      <c r="E329" t="s">
        <v>26010</v>
      </c>
      <c r="F329" t="s">
        <v>35</v>
      </c>
      <c r="G329" t="s">
        <v>26201</v>
      </c>
      <c r="H329" t="s">
        <v>26004</v>
      </c>
      <c r="I329" s="26">
        <v>37994</v>
      </c>
      <c r="J329">
        <v>2004</v>
      </c>
      <c r="K329" t="s">
        <v>660</v>
      </c>
      <c r="L329">
        <v>320</v>
      </c>
      <c r="M329" t="s">
        <v>27220</v>
      </c>
      <c r="N329">
        <v>1</v>
      </c>
      <c r="Q329" t="s">
        <v>27221</v>
      </c>
      <c r="R329">
        <v>150.19800000000001</v>
      </c>
      <c r="S329" t="s">
        <v>27222</v>
      </c>
      <c r="T329" t="s">
        <v>30</v>
      </c>
      <c r="U329" t="s">
        <v>46</v>
      </c>
      <c r="W329" t="s">
        <v>26009</v>
      </c>
    </row>
    <row r="330" spans="1:23" x14ac:dyDescent="0.35">
      <c r="A330">
        <v>201063</v>
      </c>
      <c r="B330" t="s">
        <v>27223</v>
      </c>
      <c r="C330" t="str">
        <f>"9781841693262"</f>
        <v>9781841693262</v>
      </c>
      <c r="D330" t="str">
        <f>"9780203645031"</f>
        <v>9780203645031</v>
      </c>
      <c r="E330" t="s">
        <v>26010</v>
      </c>
      <c r="F330" t="s">
        <v>35</v>
      </c>
      <c r="G330" t="s">
        <v>22267</v>
      </c>
      <c r="H330" t="s">
        <v>26004</v>
      </c>
      <c r="I330" s="26">
        <v>38288</v>
      </c>
      <c r="J330">
        <v>2005</v>
      </c>
      <c r="K330" t="s">
        <v>660</v>
      </c>
      <c r="L330">
        <v>488</v>
      </c>
      <c r="M330" t="s">
        <v>27224</v>
      </c>
      <c r="N330">
        <v>1</v>
      </c>
      <c r="Q330" t="s">
        <v>27225</v>
      </c>
      <c r="R330">
        <v>152.4</v>
      </c>
      <c r="S330" t="s">
        <v>7960</v>
      </c>
      <c r="T330" t="s">
        <v>30</v>
      </c>
      <c r="U330" t="s">
        <v>46</v>
      </c>
      <c r="W330" t="s">
        <v>26009</v>
      </c>
    </row>
    <row r="331" spans="1:23" x14ac:dyDescent="0.35">
      <c r="A331">
        <v>201228</v>
      </c>
      <c r="B331" t="s">
        <v>27226</v>
      </c>
      <c r="C331" t="str">
        <f>"9780415932165"</f>
        <v>9780415932165</v>
      </c>
      <c r="D331" t="str">
        <f>"9780203005293"</f>
        <v>9780203005293</v>
      </c>
      <c r="E331" t="s">
        <v>26010</v>
      </c>
      <c r="F331" t="s">
        <v>35</v>
      </c>
      <c r="G331" t="s">
        <v>22174</v>
      </c>
      <c r="H331" t="s">
        <v>26011</v>
      </c>
      <c r="I331" s="26">
        <v>38286</v>
      </c>
      <c r="J331">
        <v>2005</v>
      </c>
      <c r="K331" t="s">
        <v>26012</v>
      </c>
      <c r="L331">
        <v>314</v>
      </c>
      <c r="M331" t="s">
        <v>27227</v>
      </c>
      <c r="N331">
        <v>1</v>
      </c>
      <c r="Q331" t="s">
        <v>27228</v>
      </c>
      <c r="R331" t="s">
        <v>26164</v>
      </c>
      <c r="S331" t="s">
        <v>8238</v>
      </c>
      <c r="T331" t="s">
        <v>30</v>
      </c>
      <c r="U331" t="s">
        <v>26170</v>
      </c>
      <c r="W331" t="s">
        <v>26009</v>
      </c>
    </row>
    <row r="332" spans="1:23" x14ac:dyDescent="0.35">
      <c r="A332">
        <v>201229</v>
      </c>
      <c r="B332" t="s">
        <v>27229</v>
      </c>
      <c r="C332" t="str">
        <f>"9780415932721"</f>
        <v>9780415932721</v>
      </c>
      <c r="D332" t="str">
        <f>"9780203006368"</f>
        <v>9780203006368</v>
      </c>
      <c r="E332" t="s">
        <v>26010</v>
      </c>
      <c r="F332" t="s">
        <v>35</v>
      </c>
      <c r="G332" t="s">
        <v>26201</v>
      </c>
      <c r="H332" t="s">
        <v>26004</v>
      </c>
      <c r="I332" s="26">
        <v>38307</v>
      </c>
      <c r="J332">
        <v>2005</v>
      </c>
      <c r="K332" t="s">
        <v>26012</v>
      </c>
      <c r="L332">
        <v>237</v>
      </c>
      <c r="M332" t="s">
        <v>27230</v>
      </c>
      <c r="N332">
        <v>1</v>
      </c>
      <c r="Q332" t="s">
        <v>27231</v>
      </c>
      <c r="R332">
        <v>306.76400000000001</v>
      </c>
      <c r="S332" t="s">
        <v>27232</v>
      </c>
      <c r="T332" t="s">
        <v>30</v>
      </c>
      <c r="U332" t="s">
        <v>26044</v>
      </c>
      <c r="W332" t="s">
        <v>26009</v>
      </c>
    </row>
    <row r="333" spans="1:23" x14ac:dyDescent="0.35">
      <c r="A333">
        <v>201231</v>
      </c>
      <c r="B333" t="s">
        <v>27233</v>
      </c>
      <c r="C333" t="str">
        <f>"9780415948685"</f>
        <v>9780415948685</v>
      </c>
      <c r="D333" t="str">
        <f>"9780203006078"</f>
        <v>9780203006078</v>
      </c>
      <c r="E333" t="s">
        <v>26010</v>
      </c>
      <c r="F333" t="s">
        <v>35</v>
      </c>
      <c r="G333" t="s">
        <v>22174</v>
      </c>
      <c r="H333" t="s">
        <v>26011</v>
      </c>
      <c r="I333" s="26">
        <v>38308</v>
      </c>
      <c r="J333">
        <v>2005</v>
      </c>
      <c r="K333" t="s">
        <v>26012</v>
      </c>
      <c r="L333">
        <v>340</v>
      </c>
      <c r="M333" t="s">
        <v>27234</v>
      </c>
      <c r="N333">
        <v>1</v>
      </c>
      <c r="O333" t="s">
        <v>27235</v>
      </c>
      <c r="Q333" t="s">
        <v>27236</v>
      </c>
      <c r="R333">
        <v>306.7</v>
      </c>
      <c r="S333" t="s">
        <v>9702</v>
      </c>
      <c r="T333" t="s">
        <v>30</v>
      </c>
      <c r="U333" t="s">
        <v>26044</v>
      </c>
      <c r="W333" t="s">
        <v>26009</v>
      </c>
    </row>
    <row r="334" spans="1:23" x14ac:dyDescent="0.35">
      <c r="A334">
        <v>201286</v>
      </c>
      <c r="B334" t="s">
        <v>9120</v>
      </c>
      <c r="C334" t="str">
        <f>"9780863774850"</f>
        <v>9780863774850</v>
      </c>
      <c r="D334" t="str">
        <f>"9780203344187"</f>
        <v>9780203344187</v>
      </c>
      <c r="E334" t="s">
        <v>26010</v>
      </c>
      <c r="F334" t="s">
        <v>35</v>
      </c>
      <c r="G334" t="s">
        <v>22267</v>
      </c>
      <c r="H334" t="s">
        <v>26004</v>
      </c>
      <c r="I334" s="26">
        <v>35796</v>
      </c>
      <c r="J334">
        <v>1997</v>
      </c>
      <c r="K334" t="s">
        <v>26012</v>
      </c>
      <c r="L334">
        <v>266</v>
      </c>
      <c r="M334" t="s">
        <v>27237</v>
      </c>
      <c r="N334">
        <v>1</v>
      </c>
      <c r="Q334" t="s">
        <v>27238</v>
      </c>
      <c r="R334">
        <v>153</v>
      </c>
      <c r="S334" t="s">
        <v>27239</v>
      </c>
      <c r="T334" t="s">
        <v>30</v>
      </c>
      <c r="U334" t="s">
        <v>46</v>
      </c>
      <c r="W334" t="s">
        <v>26009</v>
      </c>
    </row>
    <row r="335" spans="1:23" x14ac:dyDescent="0.35">
      <c r="A335">
        <v>201459</v>
      </c>
      <c r="B335" t="s">
        <v>27240</v>
      </c>
      <c r="C335" t="str">
        <f>"9780521571920"</f>
        <v>9780521571920</v>
      </c>
      <c r="D335" t="str">
        <f>"9780511155222"</f>
        <v>9780511155222</v>
      </c>
      <c r="E335" t="s">
        <v>167</v>
      </c>
      <c r="F335" t="s">
        <v>167</v>
      </c>
      <c r="G335" t="s">
        <v>22218</v>
      </c>
      <c r="H335" t="s">
        <v>26011</v>
      </c>
      <c r="I335" s="26">
        <v>36097</v>
      </c>
      <c r="J335">
        <v>1998</v>
      </c>
      <c r="K335" t="s">
        <v>167</v>
      </c>
      <c r="L335">
        <v>429</v>
      </c>
      <c r="M335" t="s">
        <v>27241</v>
      </c>
      <c r="N335">
        <v>1</v>
      </c>
      <c r="Q335" t="s">
        <v>27242</v>
      </c>
      <c r="R335">
        <v>616.83000000000004</v>
      </c>
      <c r="S335" t="s">
        <v>9083</v>
      </c>
      <c r="T335" t="s">
        <v>30</v>
      </c>
      <c r="U335" t="s">
        <v>26040</v>
      </c>
      <c r="W335" t="s">
        <v>26020</v>
      </c>
    </row>
    <row r="336" spans="1:23" x14ac:dyDescent="0.35">
      <c r="A336">
        <v>201460</v>
      </c>
      <c r="B336" t="s">
        <v>27243</v>
      </c>
      <c r="C336" t="str">
        <f>"9780521571630"</f>
        <v>9780521571630</v>
      </c>
      <c r="D336" t="str">
        <f>"9780511155215"</f>
        <v>9780511155215</v>
      </c>
      <c r="E336" t="s">
        <v>167</v>
      </c>
      <c r="F336" t="s">
        <v>167</v>
      </c>
      <c r="G336" t="s">
        <v>22218</v>
      </c>
      <c r="H336" t="s">
        <v>26011</v>
      </c>
      <c r="I336" s="26">
        <v>36132</v>
      </c>
      <c r="J336">
        <v>1998</v>
      </c>
      <c r="K336" t="s">
        <v>167</v>
      </c>
      <c r="L336">
        <v>387</v>
      </c>
      <c r="M336" t="s">
        <v>27244</v>
      </c>
      <c r="N336">
        <v>1</v>
      </c>
      <c r="Q336" t="s">
        <v>27245</v>
      </c>
      <c r="R336">
        <v>616.89</v>
      </c>
      <c r="S336" t="s">
        <v>9214</v>
      </c>
      <c r="T336" t="s">
        <v>30</v>
      </c>
      <c r="U336" t="s">
        <v>26116</v>
      </c>
      <c r="W336" t="s">
        <v>26020</v>
      </c>
    </row>
    <row r="337" spans="1:23" x14ac:dyDescent="0.35">
      <c r="A337">
        <v>201474</v>
      </c>
      <c r="B337" t="s">
        <v>27246</v>
      </c>
      <c r="C337" t="str">
        <f>"9780521592819"</f>
        <v>9780521592819</v>
      </c>
      <c r="D337" t="str">
        <f>"9780511152504"</f>
        <v>9780511152504</v>
      </c>
      <c r="E337" t="s">
        <v>167</v>
      </c>
      <c r="F337" t="s">
        <v>167</v>
      </c>
      <c r="G337" t="s">
        <v>22218</v>
      </c>
      <c r="H337" t="s">
        <v>26011</v>
      </c>
      <c r="I337" s="26">
        <v>36405</v>
      </c>
      <c r="J337">
        <v>1999</v>
      </c>
      <c r="K337" t="s">
        <v>167</v>
      </c>
      <c r="L337">
        <v>312</v>
      </c>
      <c r="M337" t="s">
        <v>27247</v>
      </c>
      <c r="N337">
        <v>1</v>
      </c>
      <c r="Q337" t="s">
        <v>27248</v>
      </c>
      <c r="R337">
        <v>155.69999999999999</v>
      </c>
      <c r="S337" t="s">
        <v>8093</v>
      </c>
      <c r="T337" t="s">
        <v>30</v>
      </c>
      <c r="U337" t="s">
        <v>46</v>
      </c>
      <c r="W337" t="s">
        <v>26020</v>
      </c>
    </row>
    <row r="338" spans="1:23" x14ac:dyDescent="0.35">
      <c r="A338">
        <v>201524</v>
      </c>
      <c r="B338" t="s">
        <v>27249</v>
      </c>
      <c r="C338" t="str">
        <f>"9780521561044"</f>
        <v>9780521561044</v>
      </c>
      <c r="D338" t="str">
        <f>"9780511153594"</f>
        <v>9780511153594</v>
      </c>
      <c r="E338" t="s">
        <v>167</v>
      </c>
      <c r="F338" t="s">
        <v>167</v>
      </c>
      <c r="G338" t="s">
        <v>22218</v>
      </c>
      <c r="H338" t="s">
        <v>26011</v>
      </c>
      <c r="I338" s="26">
        <v>37126</v>
      </c>
      <c r="J338">
        <v>2001</v>
      </c>
      <c r="K338" t="s">
        <v>167</v>
      </c>
      <c r="L338">
        <v>146</v>
      </c>
      <c r="M338" t="s">
        <v>27250</v>
      </c>
      <c r="N338">
        <v>1</v>
      </c>
      <c r="Q338" t="s">
        <v>27251</v>
      </c>
      <c r="R338">
        <v>612.82000000000005</v>
      </c>
      <c r="S338" t="s">
        <v>7717</v>
      </c>
      <c r="T338" t="s">
        <v>30</v>
      </c>
      <c r="U338" t="s">
        <v>27252</v>
      </c>
      <c r="W338" t="s">
        <v>26020</v>
      </c>
    </row>
    <row r="339" spans="1:23" x14ac:dyDescent="0.35">
      <c r="A339">
        <v>201559</v>
      </c>
      <c r="B339" t="s">
        <v>8835</v>
      </c>
      <c r="C339" t="str">
        <f>"9780521572453"</f>
        <v>9780521572453</v>
      </c>
      <c r="D339" t="str">
        <f>"9780511148484"</f>
        <v>9780511148484</v>
      </c>
      <c r="E339" t="s">
        <v>167</v>
      </c>
      <c r="F339" t="s">
        <v>167</v>
      </c>
      <c r="G339" t="s">
        <v>22218</v>
      </c>
      <c r="H339" t="s">
        <v>26011</v>
      </c>
      <c r="I339" s="26">
        <v>36416</v>
      </c>
      <c r="J339">
        <v>1999</v>
      </c>
      <c r="K339" t="s">
        <v>167</v>
      </c>
      <c r="L339">
        <v>424</v>
      </c>
      <c r="M339" t="s">
        <v>27253</v>
      </c>
      <c r="N339">
        <v>1</v>
      </c>
      <c r="Q339" t="s">
        <v>27254</v>
      </c>
      <c r="R339">
        <v>153.80000000000001</v>
      </c>
      <c r="S339" t="s">
        <v>8836</v>
      </c>
      <c r="T339" t="s">
        <v>30</v>
      </c>
      <c r="U339" t="s">
        <v>46</v>
      </c>
      <c r="W339" t="s">
        <v>26020</v>
      </c>
    </row>
    <row r="340" spans="1:23" x14ac:dyDescent="0.35">
      <c r="A340">
        <v>201616</v>
      </c>
      <c r="B340" t="s">
        <v>9752</v>
      </c>
      <c r="C340" t="str">
        <f>"9780521660099"</f>
        <v>9780521660099</v>
      </c>
      <c r="D340" t="str">
        <f>"9780511150449"</f>
        <v>9780511150449</v>
      </c>
      <c r="E340" t="s">
        <v>167</v>
      </c>
      <c r="F340" t="s">
        <v>167</v>
      </c>
      <c r="G340" t="s">
        <v>22218</v>
      </c>
      <c r="H340" t="s">
        <v>26011</v>
      </c>
      <c r="I340" s="26">
        <v>36432</v>
      </c>
      <c r="J340">
        <v>1999</v>
      </c>
      <c r="K340" t="s">
        <v>167</v>
      </c>
      <c r="L340">
        <v>177</v>
      </c>
      <c r="M340" t="s">
        <v>27255</v>
      </c>
      <c r="N340">
        <v>1</v>
      </c>
      <c r="Q340" t="s">
        <v>27256</v>
      </c>
      <c r="R340">
        <v>302.12</v>
      </c>
      <c r="S340" t="s">
        <v>9753</v>
      </c>
      <c r="T340" t="s">
        <v>30</v>
      </c>
      <c r="U340" t="s">
        <v>26044</v>
      </c>
      <c r="W340" t="s">
        <v>26020</v>
      </c>
    </row>
    <row r="341" spans="1:23" x14ac:dyDescent="0.35">
      <c r="A341">
        <v>201632</v>
      </c>
      <c r="B341" t="s">
        <v>27257</v>
      </c>
      <c r="C341" t="str">
        <f>"9780521641630"</f>
        <v>9780521641630</v>
      </c>
      <c r="D341" t="str">
        <f>"9780511155383"</f>
        <v>9780511155383</v>
      </c>
      <c r="E341" t="s">
        <v>167</v>
      </c>
      <c r="F341" t="s">
        <v>167</v>
      </c>
      <c r="G341" t="s">
        <v>22218</v>
      </c>
      <c r="H341" t="s">
        <v>26011</v>
      </c>
      <c r="I341" s="26">
        <v>36584</v>
      </c>
      <c r="J341">
        <v>2000</v>
      </c>
      <c r="K341" t="s">
        <v>167</v>
      </c>
      <c r="L341">
        <v>242</v>
      </c>
      <c r="M341" t="s">
        <v>27258</v>
      </c>
      <c r="N341">
        <v>1</v>
      </c>
      <c r="O341" t="s">
        <v>27259</v>
      </c>
      <c r="Q341" t="s">
        <v>27260</v>
      </c>
      <c r="R341">
        <v>152.4</v>
      </c>
      <c r="S341" t="s">
        <v>9118</v>
      </c>
      <c r="T341" t="s">
        <v>30</v>
      </c>
      <c r="U341" t="s">
        <v>46</v>
      </c>
      <c r="W341" t="s">
        <v>26020</v>
      </c>
    </row>
    <row r="342" spans="1:23" x14ac:dyDescent="0.35">
      <c r="A342">
        <v>201653</v>
      </c>
      <c r="B342" t="s">
        <v>8518</v>
      </c>
      <c r="C342" t="str">
        <f>"9780521640183"</f>
        <v>9780521640183</v>
      </c>
      <c r="D342" t="str">
        <f>"9780511149160"</f>
        <v>9780511149160</v>
      </c>
      <c r="E342" t="s">
        <v>167</v>
      </c>
      <c r="F342" t="s">
        <v>167</v>
      </c>
      <c r="G342" t="s">
        <v>22218</v>
      </c>
      <c r="H342" t="s">
        <v>26011</v>
      </c>
      <c r="I342" s="26">
        <v>36461</v>
      </c>
      <c r="J342">
        <v>1999</v>
      </c>
      <c r="K342" t="s">
        <v>167</v>
      </c>
      <c r="L342">
        <v>233</v>
      </c>
      <c r="M342" t="s">
        <v>27261</v>
      </c>
      <c r="N342">
        <v>1</v>
      </c>
      <c r="Q342" t="s">
        <v>27262</v>
      </c>
      <c r="R342" t="s">
        <v>27263</v>
      </c>
      <c r="S342" t="s">
        <v>27264</v>
      </c>
      <c r="T342" t="s">
        <v>30</v>
      </c>
      <c r="U342" t="s">
        <v>46</v>
      </c>
      <c r="W342" t="s">
        <v>26020</v>
      </c>
    </row>
    <row r="343" spans="1:23" x14ac:dyDescent="0.35">
      <c r="A343">
        <v>201654</v>
      </c>
      <c r="B343" t="s">
        <v>27265</v>
      </c>
      <c r="C343" t="str">
        <f>"9780521621908"</f>
        <v>9780521621908</v>
      </c>
      <c r="D343" t="str">
        <f>"9780511150357"</f>
        <v>9780511150357</v>
      </c>
      <c r="E343" t="s">
        <v>167</v>
      </c>
      <c r="F343" t="s">
        <v>167</v>
      </c>
      <c r="G343" t="s">
        <v>22218</v>
      </c>
      <c r="H343" t="s">
        <v>26011</v>
      </c>
      <c r="I343" s="26">
        <v>37140</v>
      </c>
      <c r="J343">
        <v>1998</v>
      </c>
      <c r="K343" t="s">
        <v>167</v>
      </c>
      <c r="L343">
        <v>222</v>
      </c>
      <c r="M343" t="s">
        <v>27266</v>
      </c>
      <c r="N343">
        <v>1</v>
      </c>
      <c r="Q343" t="s">
        <v>27267</v>
      </c>
      <c r="R343">
        <v>302</v>
      </c>
      <c r="S343" t="s">
        <v>8267</v>
      </c>
      <c r="T343" t="s">
        <v>30</v>
      </c>
      <c r="U343" t="s">
        <v>26044</v>
      </c>
      <c r="W343" t="s">
        <v>26020</v>
      </c>
    </row>
    <row r="344" spans="1:23" x14ac:dyDescent="0.35">
      <c r="A344">
        <v>201660</v>
      </c>
      <c r="B344" t="s">
        <v>7777</v>
      </c>
      <c r="C344" t="str">
        <f>"9780521633253"</f>
        <v>9780521633253</v>
      </c>
      <c r="D344" t="str">
        <f>"9780511155772"</f>
        <v>9780511155772</v>
      </c>
      <c r="E344" t="s">
        <v>167</v>
      </c>
      <c r="F344" t="s">
        <v>167</v>
      </c>
      <c r="G344" t="s">
        <v>22218</v>
      </c>
      <c r="H344" t="s">
        <v>26011</v>
      </c>
      <c r="I344" s="26">
        <v>36668</v>
      </c>
      <c r="J344">
        <v>2000</v>
      </c>
      <c r="K344" t="s">
        <v>167</v>
      </c>
      <c r="L344">
        <v>268</v>
      </c>
      <c r="M344" t="s">
        <v>27268</v>
      </c>
      <c r="N344">
        <v>1</v>
      </c>
      <c r="O344" t="s">
        <v>27259</v>
      </c>
      <c r="Q344" t="s">
        <v>27269</v>
      </c>
      <c r="R344">
        <v>152.4</v>
      </c>
      <c r="S344" t="s">
        <v>7778</v>
      </c>
      <c r="T344" t="s">
        <v>30</v>
      </c>
      <c r="U344" t="s">
        <v>46</v>
      </c>
      <c r="W344" t="s">
        <v>26020</v>
      </c>
    </row>
    <row r="345" spans="1:23" x14ac:dyDescent="0.35">
      <c r="A345">
        <v>201726</v>
      </c>
      <c r="B345" t="s">
        <v>27270</v>
      </c>
      <c r="C345" t="str">
        <f>"9780521770620"</f>
        <v>9780521770620</v>
      </c>
      <c r="D345" t="str">
        <f>"9780511152771"</f>
        <v>9780511152771</v>
      </c>
      <c r="E345" t="s">
        <v>167</v>
      </c>
      <c r="F345" t="s">
        <v>167</v>
      </c>
      <c r="G345" t="s">
        <v>22218</v>
      </c>
      <c r="H345" t="s">
        <v>26011</v>
      </c>
      <c r="I345" s="26">
        <v>36948</v>
      </c>
      <c r="J345">
        <v>2001</v>
      </c>
      <c r="K345" t="s">
        <v>167</v>
      </c>
      <c r="L345">
        <v>274</v>
      </c>
      <c r="M345" t="s">
        <v>27271</v>
      </c>
      <c r="N345">
        <v>1</v>
      </c>
      <c r="Q345" t="s">
        <v>27272</v>
      </c>
      <c r="R345">
        <v>419</v>
      </c>
      <c r="S345" t="s">
        <v>8950</v>
      </c>
      <c r="T345" t="s">
        <v>30</v>
      </c>
      <c r="U345" t="s">
        <v>27273</v>
      </c>
      <c r="W345" t="s">
        <v>26020</v>
      </c>
    </row>
    <row r="346" spans="1:23" x14ac:dyDescent="0.35">
      <c r="A346">
        <v>201806</v>
      </c>
      <c r="B346" t="s">
        <v>27274</v>
      </c>
      <c r="C346" t="str">
        <f>"9780521800471"</f>
        <v>9780521800471</v>
      </c>
      <c r="D346" t="str">
        <f>"9780511147951"</f>
        <v>9780511147951</v>
      </c>
      <c r="E346" t="s">
        <v>167</v>
      </c>
      <c r="F346" t="s">
        <v>167</v>
      </c>
      <c r="G346" t="s">
        <v>22218</v>
      </c>
      <c r="H346" t="s">
        <v>26011</v>
      </c>
      <c r="I346" s="26">
        <v>37476</v>
      </c>
      <c r="J346">
        <v>2002</v>
      </c>
      <c r="K346" t="s">
        <v>167</v>
      </c>
      <c r="L346">
        <v>243</v>
      </c>
      <c r="M346" t="s">
        <v>27275</v>
      </c>
      <c r="N346">
        <v>1</v>
      </c>
      <c r="Q346" t="s">
        <v>27276</v>
      </c>
      <c r="R346" t="s">
        <v>27277</v>
      </c>
      <c r="S346" t="s">
        <v>9950</v>
      </c>
      <c r="T346" t="s">
        <v>30</v>
      </c>
      <c r="U346" t="s">
        <v>26044</v>
      </c>
      <c r="W346" t="s">
        <v>26020</v>
      </c>
    </row>
    <row r="347" spans="1:23" x14ac:dyDescent="0.35">
      <c r="A347">
        <v>201823</v>
      </c>
      <c r="B347" t="s">
        <v>27278</v>
      </c>
      <c r="C347" t="str">
        <f>"9780521640947"</f>
        <v>9780521640947</v>
      </c>
      <c r="D347" t="str">
        <f>"9780511148699"</f>
        <v>9780511148699</v>
      </c>
      <c r="E347" t="s">
        <v>167</v>
      </c>
      <c r="F347" t="s">
        <v>167</v>
      </c>
      <c r="G347" t="s">
        <v>22218</v>
      </c>
      <c r="H347" t="s">
        <v>26011</v>
      </c>
      <c r="I347" s="26">
        <v>37525</v>
      </c>
      <c r="J347">
        <v>2002</v>
      </c>
      <c r="K347" t="s">
        <v>167</v>
      </c>
      <c r="L347">
        <v>546</v>
      </c>
      <c r="M347" t="s">
        <v>27279</v>
      </c>
      <c r="N347">
        <v>1</v>
      </c>
      <c r="O347" t="s">
        <v>27259</v>
      </c>
      <c r="Q347" t="s">
        <v>27280</v>
      </c>
      <c r="R347">
        <v>152.4</v>
      </c>
      <c r="S347" t="s">
        <v>8704</v>
      </c>
      <c r="T347" t="s">
        <v>30</v>
      </c>
      <c r="U347" t="s">
        <v>46</v>
      </c>
      <c r="W347" t="s">
        <v>26020</v>
      </c>
    </row>
    <row r="348" spans="1:23" x14ac:dyDescent="0.35">
      <c r="A348">
        <v>201910</v>
      </c>
      <c r="B348" t="s">
        <v>27281</v>
      </c>
      <c r="C348" t="str">
        <f>"9780521783491"</f>
        <v>9780521783491</v>
      </c>
      <c r="D348" t="str">
        <f>"9780511156977"</f>
        <v>9780511156977</v>
      </c>
      <c r="E348" t="s">
        <v>167</v>
      </c>
      <c r="F348" t="s">
        <v>167</v>
      </c>
      <c r="G348" t="s">
        <v>22218</v>
      </c>
      <c r="H348" t="s">
        <v>26011</v>
      </c>
      <c r="I348" s="26">
        <v>37392</v>
      </c>
      <c r="J348">
        <v>2002</v>
      </c>
      <c r="K348" t="s">
        <v>167</v>
      </c>
      <c r="L348">
        <v>402</v>
      </c>
      <c r="M348" t="s">
        <v>27282</v>
      </c>
      <c r="N348">
        <v>1</v>
      </c>
      <c r="Q348" t="s">
        <v>27283</v>
      </c>
      <c r="R348">
        <v>362.29083500000002</v>
      </c>
      <c r="S348" t="s">
        <v>7929</v>
      </c>
      <c r="T348" t="s">
        <v>30</v>
      </c>
      <c r="U348" t="s">
        <v>26250</v>
      </c>
      <c r="W348" t="s">
        <v>26020</v>
      </c>
    </row>
    <row r="349" spans="1:23" x14ac:dyDescent="0.35">
      <c r="A349">
        <v>201928</v>
      </c>
      <c r="B349" t="s">
        <v>27284</v>
      </c>
      <c r="C349" t="str">
        <f>"9780521650526"</f>
        <v>9780521650526</v>
      </c>
      <c r="D349" t="str">
        <f>"9780511150418"</f>
        <v>9780511150418</v>
      </c>
      <c r="E349" t="s">
        <v>167</v>
      </c>
      <c r="F349" t="s">
        <v>167</v>
      </c>
      <c r="G349" t="s">
        <v>22218</v>
      </c>
      <c r="H349" t="s">
        <v>26011</v>
      </c>
      <c r="I349" s="26">
        <v>36468</v>
      </c>
      <c r="J349">
        <v>1999</v>
      </c>
      <c r="K349" t="s">
        <v>167</v>
      </c>
      <c r="L349">
        <v>300</v>
      </c>
      <c r="M349" t="s">
        <v>27285</v>
      </c>
      <c r="N349">
        <v>1</v>
      </c>
      <c r="Q349" t="s">
        <v>27286</v>
      </c>
      <c r="R349" t="s">
        <v>27287</v>
      </c>
      <c r="S349" t="s">
        <v>8467</v>
      </c>
      <c r="T349" t="s">
        <v>30</v>
      </c>
      <c r="U349" t="s">
        <v>46</v>
      </c>
      <c r="W349" t="s">
        <v>26020</v>
      </c>
    </row>
    <row r="350" spans="1:23" x14ac:dyDescent="0.35">
      <c r="A350">
        <v>201966</v>
      </c>
      <c r="B350" t="s">
        <v>9530</v>
      </c>
      <c r="C350" t="str">
        <f>"9780521663052"</f>
        <v>9780521663052</v>
      </c>
      <c r="D350" t="str">
        <f>"9780511157844"</f>
        <v>9780511157844</v>
      </c>
      <c r="E350" t="s">
        <v>167</v>
      </c>
      <c r="F350" t="s">
        <v>167</v>
      </c>
      <c r="G350" t="s">
        <v>22218</v>
      </c>
      <c r="H350" t="s">
        <v>26011</v>
      </c>
      <c r="I350" s="26">
        <v>37420</v>
      </c>
      <c r="J350">
        <v>2002</v>
      </c>
      <c r="K350" t="s">
        <v>167</v>
      </c>
      <c r="L350">
        <v>241</v>
      </c>
      <c r="M350" t="s">
        <v>27288</v>
      </c>
      <c r="N350">
        <v>1</v>
      </c>
      <c r="Q350" t="s">
        <v>27289</v>
      </c>
      <c r="R350">
        <v>616.83299999999997</v>
      </c>
      <c r="S350" t="s">
        <v>9531</v>
      </c>
      <c r="T350" t="s">
        <v>30</v>
      </c>
      <c r="U350" t="s">
        <v>26040</v>
      </c>
      <c r="W350" t="s">
        <v>26020</v>
      </c>
    </row>
    <row r="351" spans="1:23" x14ac:dyDescent="0.35">
      <c r="A351">
        <v>201994</v>
      </c>
      <c r="B351" t="s">
        <v>27290</v>
      </c>
      <c r="C351" t="str">
        <f>"9780521553834"</f>
        <v>9780521553834</v>
      </c>
      <c r="D351" t="str">
        <f>"9780511155208"</f>
        <v>9780511155208</v>
      </c>
      <c r="E351" t="s">
        <v>167</v>
      </c>
      <c r="F351" t="s">
        <v>167</v>
      </c>
      <c r="G351" t="s">
        <v>22218</v>
      </c>
      <c r="H351" t="s">
        <v>26011</v>
      </c>
      <c r="I351" s="26">
        <v>39625</v>
      </c>
      <c r="J351">
        <v>1999</v>
      </c>
      <c r="K351" t="s">
        <v>167</v>
      </c>
      <c r="L351">
        <v>525</v>
      </c>
      <c r="M351" t="s">
        <v>27291</v>
      </c>
      <c r="N351">
        <v>1</v>
      </c>
      <c r="Q351" t="s">
        <v>27292</v>
      </c>
      <c r="R351">
        <v>616.89</v>
      </c>
      <c r="S351" t="s">
        <v>9657</v>
      </c>
      <c r="T351" t="s">
        <v>30</v>
      </c>
      <c r="U351" t="s">
        <v>26116</v>
      </c>
      <c r="W351" t="s">
        <v>26020</v>
      </c>
    </row>
    <row r="352" spans="1:23" x14ac:dyDescent="0.35">
      <c r="A352">
        <v>202004</v>
      </c>
      <c r="B352" t="s">
        <v>27293</v>
      </c>
      <c r="C352" t="str">
        <f>"9780521804455"</f>
        <v>9780521804455</v>
      </c>
      <c r="D352" t="str">
        <f>"9780511154546"</f>
        <v>9780511154546</v>
      </c>
      <c r="E352" t="s">
        <v>167</v>
      </c>
      <c r="F352" t="s">
        <v>167</v>
      </c>
      <c r="G352" t="s">
        <v>22218</v>
      </c>
      <c r="H352" t="s">
        <v>26011</v>
      </c>
      <c r="I352" s="26">
        <v>37161</v>
      </c>
      <c r="J352">
        <v>2001</v>
      </c>
      <c r="K352" t="s">
        <v>167</v>
      </c>
      <c r="L352">
        <v>298</v>
      </c>
      <c r="M352" t="s">
        <v>27294</v>
      </c>
      <c r="N352">
        <v>1</v>
      </c>
      <c r="O352" t="s">
        <v>27295</v>
      </c>
      <c r="Q352" t="s">
        <v>27296</v>
      </c>
      <c r="R352">
        <v>616.89008349999995</v>
      </c>
      <c r="S352" t="s">
        <v>9823</v>
      </c>
      <c r="T352" t="s">
        <v>30</v>
      </c>
      <c r="U352" t="s">
        <v>26116</v>
      </c>
      <c r="W352" t="s">
        <v>26020</v>
      </c>
    </row>
    <row r="353" spans="1:23" x14ac:dyDescent="0.35">
      <c r="A353">
        <v>202007</v>
      </c>
      <c r="B353" t="s">
        <v>27297</v>
      </c>
      <c r="C353" t="str">
        <f>"9780521804028"</f>
        <v>9780521804028</v>
      </c>
      <c r="D353" t="str">
        <f>"9780511154065"</f>
        <v>9780511154065</v>
      </c>
      <c r="E353" t="s">
        <v>167</v>
      </c>
      <c r="F353" t="s">
        <v>167</v>
      </c>
      <c r="G353" t="s">
        <v>22218</v>
      </c>
      <c r="H353" t="s">
        <v>26011</v>
      </c>
      <c r="I353" s="26">
        <v>37140</v>
      </c>
      <c r="J353">
        <v>2001</v>
      </c>
      <c r="K353" t="s">
        <v>167</v>
      </c>
      <c r="L353">
        <v>205</v>
      </c>
      <c r="M353" t="s">
        <v>27298</v>
      </c>
      <c r="N353">
        <v>1</v>
      </c>
      <c r="Q353" t="s">
        <v>27299</v>
      </c>
      <c r="R353">
        <v>616.85820000000001</v>
      </c>
      <c r="S353" t="s">
        <v>9380</v>
      </c>
      <c r="T353" t="s">
        <v>30</v>
      </c>
      <c r="U353" t="s">
        <v>26019</v>
      </c>
      <c r="W353" t="s">
        <v>26020</v>
      </c>
    </row>
    <row r="354" spans="1:23" x14ac:dyDescent="0.35">
      <c r="A354">
        <v>202055</v>
      </c>
      <c r="B354" t="s">
        <v>8219</v>
      </c>
      <c r="C354" t="str">
        <f>"9780521805889"</f>
        <v>9780521805889</v>
      </c>
      <c r="D354" t="str">
        <f>"9780511154867"</f>
        <v>9780511154867</v>
      </c>
      <c r="E354" t="s">
        <v>167</v>
      </c>
      <c r="F354" t="s">
        <v>167</v>
      </c>
      <c r="G354" t="s">
        <v>22218</v>
      </c>
      <c r="H354" t="s">
        <v>26011</v>
      </c>
      <c r="I354" s="26">
        <v>37144</v>
      </c>
      <c r="J354">
        <v>2001</v>
      </c>
      <c r="K354" t="s">
        <v>167</v>
      </c>
      <c r="L354">
        <v>411</v>
      </c>
      <c r="M354" t="s">
        <v>27300</v>
      </c>
      <c r="N354">
        <v>1</v>
      </c>
      <c r="O354" t="s">
        <v>27301</v>
      </c>
      <c r="Q354" t="s">
        <v>27302</v>
      </c>
      <c r="R354" t="s">
        <v>27303</v>
      </c>
      <c r="S354" t="s">
        <v>8220</v>
      </c>
      <c r="T354" t="s">
        <v>30</v>
      </c>
      <c r="U354" t="s">
        <v>26044</v>
      </c>
      <c r="W354" t="s">
        <v>26020</v>
      </c>
    </row>
    <row r="355" spans="1:23" x14ac:dyDescent="0.35">
      <c r="A355">
        <v>202058</v>
      </c>
      <c r="B355" t="s">
        <v>27304</v>
      </c>
      <c r="C355" t="str">
        <f>"9780521803038"</f>
        <v>9780521803038</v>
      </c>
      <c r="D355" t="str">
        <f>"9780511155543"</f>
        <v>9780511155543</v>
      </c>
      <c r="E355" t="s">
        <v>167</v>
      </c>
      <c r="F355" t="s">
        <v>167</v>
      </c>
      <c r="G355" t="s">
        <v>22218</v>
      </c>
      <c r="H355" t="s">
        <v>26011</v>
      </c>
      <c r="I355" s="26">
        <v>37144</v>
      </c>
      <c r="J355">
        <v>2001</v>
      </c>
      <c r="K355" t="s">
        <v>167</v>
      </c>
      <c r="L355">
        <v>396</v>
      </c>
      <c r="M355" t="s">
        <v>27305</v>
      </c>
      <c r="N355">
        <v>1</v>
      </c>
      <c r="Q355" t="s">
        <v>27306</v>
      </c>
      <c r="R355">
        <v>152.4</v>
      </c>
      <c r="S355" t="s">
        <v>7778</v>
      </c>
      <c r="T355" t="s">
        <v>30</v>
      </c>
      <c r="U355" t="s">
        <v>46</v>
      </c>
      <c r="W355" t="s">
        <v>26020</v>
      </c>
    </row>
    <row r="356" spans="1:23" x14ac:dyDescent="0.35">
      <c r="A356">
        <v>202097</v>
      </c>
      <c r="B356" t="s">
        <v>27307</v>
      </c>
      <c r="C356" t="str">
        <f>"9780521810500"</f>
        <v>9780521810500</v>
      </c>
      <c r="D356" t="str">
        <f>"9780511148279"</f>
        <v>9780511148279</v>
      </c>
      <c r="E356" t="s">
        <v>167</v>
      </c>
      <c r="F356" t="s">
        <v>167</v>
      </c>
      <c r="G356" t="s">
        <v>22218</v>
      </c>
      <c r="H356" t="s">
        <v>26011</v>
      </c>
      <c r="I356" s="26">
        <v>37452</v>
      </c>
      <c r="J356">
        <v>2002</v>
      </c>
      <c r="K356" t="s">
        <v>167</v>
      </c>
      <c r="L356">
        <v>210</v>
      </c>
      <c r="M356" t="s">
        <v>27308</v>
      </c>
      <c r="N356">
        <v>1</v>
      </c>
      <c r="Q356" t="s">
        <v>27309</v>
      </c>
      <c r="R356" t="s">
        <v>27310</v>
      </c>
      <c r="S356" t="s">
        <v>10201</v>
      </c>
      <c r="T356" t="s">
        <v>30</v>
      </c>
      <c r="U356" t="s">
        <v>27311</v>
      </c>
      <c r="W356" t="s">
        <v>26020</v>
      </c>
    </row>
    <row r="357" spans="1:23" x14ac:dyDescent="0.35">
      <c r="A357">
        <v>202114</v>
      </c>
      <c r="B357" t="s">
        <v>27312</v>
      </c>
      <c r="C357" t="str">
        <f>"9780521809108"</f>
        <v>9780521809108</v>
      </c>
      <c r="D357" t="str">
        <f>"9780511148392"</f>
        <v>9780511148392</v>
      </c>
      <c r="E357" t="s">
        <v>167</v>
      </c>
      <c r="F357" t="s">
        <v>167</v>
      </c>
      <c r="G357" t="s">
        <v>22218</v>
      </c>
      <c r="H357" t="s">
        <v>26011</v>
      </c>
      <c r="I357" s="26">
        <v>37539</v>
      </c>
      <c r="J357">
        <v>2002</v>
      </c>
      <c r="K357" t="s">
        <v>167</v>
      </c>
      <c r="L357">
        <v>383</v>
      </c>
      <c r="M357" t="s">
        <v>27313</v>
      </c>
      <c r="N357">
        <v>1</v>
      </c>
      <c r="Q357" t="s">
        <v>27314</v>
      </c>
      <c r="R357">
        <v>305.23500000000001</v>
      </c>
      <c r="S357" t="s">
        <v>10280</v>
      </c>
      <c r="T357" t="s">
        <v>30</v>
      </c>
      <c r="U357" t="s">
        <v>26044</v>
      </c>
      <c r="W357" t="s">
        <v>26020</v>
      </c>
    </row>
    <row r="358" spans="1:23" x14ac:dyDescent="0.35">
      <c r="A358">
        <v>202211</v>
      </c>
      <c r="B358" t="s">
        <v>27315</v>
      </c>
      <c r="C358" t="str">
        <f>"9780521813204"</f>
        <v>9780521813204</v>
      </c>
      <c r="D358" t="str">
        <f>"9780511147753"</f>
        <v>9780511147753</v>
      </c>
      <c r="E358" t="s">
        <v>167</v>
      </c>
      <c r="F358" t="s">
        <v>167</v>
      </c>
      <c r="G358" t="s">
        <v>22218</v>
      </c>
      <c r="H358" t="s">
        <v>26011</v>
      </c>
      <c r="I358" s="26">
        <v>37494</v>
      </c>
      <c r="J358">
        <v>2002</v>
      </c>
      <c r="K358" t="s">
        <v>167</v>
      </c>
      <c r="L358">
        <v>450</v>
      </c>
      <c r="M358" t="s">
        <v>27316</v>
      </c>
      <c r="N358">
        <v>1</v>
      </c>
      <c r="Q358" t="s">
        <v>27317</v>
      </c>
      <c r="R358" t="s">
        <v>27318</v>
      </c>
      <c r="S358" t="s">
        <v>7803</v>
      </c>
      <c r="T358" t="s">
        <v>30</v>
      </c>
      <c r="U358" t="s">
        <v>27319</v>
      </c>
      <c r="W358" t="s">
        <v>26020</v>
      </c>
    </row>
    <row r="359" spans="1:23" x14ac:dyDescent="0.35">
      <c r="A359">
        <v>202324</v>
      </c>
      <c r="B359" t="s">
        <v>9942</v>
      </c>
      <c r="C359" t="str">
        <f>"9780521790765"</f>
        <v>9780521790765</v>
      </c>
      <c r="D359" t="str">
        <f>"9780511156984"</f>
        <v>9780511156984</v>
      </c>
      <c r="E359" t="s">
        <v>167</v>
      </c>
      <c r="F359" t="s">
        <v>167</v>
      </c>
      <c r="G359" t="s">
        <v>22218</v>
      </c>
      <c r="H359" t="s">
        <v>26011</v>
      </c>
      <c r="I359" s="26">
        <v>37347</v>
      </c>
      <c r="J359">
        <v>2002</v>
      </c>
      <c r="K359" t="s">
        <v>167</v>
      </c>
      <c r="L359">
        <v>395</v>
      </c>
      <c r="M359" t="s">
        <v>27320</v>
      </c>
      <c r="N359">
        <v>1</v>
      </c>
      <c r="O359" t="s">
        <v>27321</v>
      </c>
      <c r="Q359" t="s">
        <v>27322</v>
      </c>
      <c r="R359">
        <v>302</v>
      </c>
      <c r="S359" t="s">
        <v>8266</v>
      </c>
      <c r="T359" t="s">
        <v>30</v>
      </c>
      <c r="U359" t="s">
        <v>26044</v>
      </c>
      <c r="W359" t="s">
        <v>26020</v>
      </c>
    </row>
    <row r="360" spans="1:23" x14ac:dyDescent="0.35">
      <c r="A360">
        <v>202338</v>
      </c>
      <c r="B360" t="s">
        <v>27323</v>
      </c>
      <c r="C360" t="str">
        <f>"9780521642910"</f>
        <v>9780521642910</v>
      </c>
      <c r="D360" t="str">
        <f>"9780511158209"</f>
        <v>9780511158209</v>
      </c>
      <c r="E360" t="s">
        <v>167</v>
      </c>
      <c r="F360" t="s">
        <v>167</v>
      </c>
      <c r="G360" t="s">
        <v>22218</v>
      </c>
      <c r="H360" t="s">
        <v>26011</v>
      </c>
      <c r="I360" s="26">
        <v>37448</v>
      </c>
      <c r="J360">
        <v>2002</v>
      </c>
      <c r="K360" t="s">
        <v>167</v>
      </c>
      <c r="L360">
        <v>319</v>
      </c>
      <c r="M360" t="s">
        <v>27324</v>
      </c>
      <c r="N360">
        <v>1</v>
      </c>
      <c r="Q360" t="s">
        <v>27325</v>
      </c>
      <c r="R360">
        <v>616.84979999999996</v>
      </c>
      <c r="S360" t="s">
        <v>7454</v>
      </c>
      <c r="T360" t="s">
        <v>30</v>
      </c>
      <c r="U360" t="s">
        <v>26019</v>
      </c>
      <c r="W360" t="s">
        <v>26020</v>
      </c>
    </row>
    <row r="361" spans="1:23" x14ac:dyDescent="0.35">
      <c r="A361">
        <v>202352</v>
      </c>
      <c r="B361" t="s">
        <v>27326</v>
      </c>
      <c r="C361" t="str">
        <f>"9780521808330"</f>
        <v>9780521808330</v>
      </c>
      <c r="D361" t="str">
        <f>"9780511157264"</f>
        <v>9780511157264</v>
      </c>
      <c r="E361" t="s">
        <v>167</v>
      </c>
      <c r="F361" t="s">
        <v>167</v>
      </c>
      <c r="G361" t="s">
        <v>22218</v>
      </c>
      <c r="H361" t="s">
        <v>26011</v>
      </c>
      <c r="I361" s="26">
        <v>37354</v>
      </c>
      <c r="J361">
        <v>2002</v>
      </c>
      <c r="K361" t="s">
        <v>167</v>
      </c>
      <c r="L361">
        <v>337</v>
      </c>
      <c r="M361" t="s">
        <v>27327</v>
      </c>
      <c r="N361">
        <v>1</v>
      </c>
      <c r="Q361" t="s">
        <v>27328</v>
      </c>
      <c r="R361">
        <v>303.37200000000001</v>
      </c>
      <c r="S361" t="s">
        <v>8067</v>
      </c>
      <c r="T361" t="s">
        <v>30</v>
      </c>
      <c r="U361" t="s">
        <v>26044</v>
      </c>
      <c r="W361" t="s">
        <v>26020</v>
      </c>
    </row>
    <row r="362" spans="1:23" x14ac:dyDescent="0.35">
      <c r="A362">
        <v>202362</v>
      </c>
      <c r="B362" t="s">
        <v>27329</v>
      </c>
      <c r="C362" t="str">
        <f>"9780521783163"</f>
        <v>9780521783163</v>
      </c>
      <c r="D362" t="str">
        <f>"9780511154874"</f>
        <v>9780511154874</v>
      </c>
      <c r="E362" t="s">
        <v>167</v>
      </c>
      <c r="F362" t="s">
        <v>167</v>
      </c>
      <c r="G362" t="s">
        <v>22218</v>
      </c>
      <c r="H362" t="s">
        <v>26011</v>
      </c>
      <c r="I362" s="26">
        <v>37221</v>
      </c>
      <c r="J362">
        <v>2001</v>
      </c>
      <c r="K362" t="s">
        <v>167</v>
      </c>
      <c r="L362">
        <v>322</v>
      </c>
      <c r="M362" t="s">
        <v>27330</v>
      </c>
      <c r="N362">
        <v>1</v>
      </c>
      <c r="Q362" t="s">
        <v>27331</v>
      </c>
      <c r="R362">
        <v>361.2</v>
      </c>
      <c r="S362" t="s">
        <v>9865</v>
      </c>
      <c r="T362" t="s">
        <v>30</v>
      </c>
      <c r="U362" t="s">
        <v>26044</v>
      </c>
      <c r="W362" t="s">
        <v>26020</v>
      </c>
    </row>
    <row r="363" spans="1:23" x14ac:dyDescent="0.35">
      <c r="A363">
        <v>202419</v>
      </c>
      <c r="B363" t="s">
        <v>27332</v>
      </c>
      <c r="C363" t="str">
        <f>"9780521641234"</f>
        <v>9780521641234</v>
      </c>
      <c r="D363" t="str">
        <f>"9780511148491"</f>
        <v>9780511148491</v>
      </c>
      <c r="E363" t="s">
        <v>167</v>
      </c>
      <c r="F363" t="s">
        <v>167</v>
      </c>
      <c r="G363" t="s">
        <v>22218</v>
      </c>
      <c r="H363" t="s">
        <v>26011</v>
      </c>
      <c r="I363" s="26">
        <v>36843</v>
      </c>
      <c r="J363">
        <v>2000</v>
      </c>
      <c r="K363" t="s">
        <v>167</v>
      </c>
      <c r="L363">
        <v>302</v>
      </c>
      <c r="M363" t="s">
        <v>27333</v>
      </c>
      <c r="N363">
        <v>1</v>
      </c>
      <c r="Q363" t="s">
        <v>27334</v>
      </c>
      <c r="R363" t="s">
        <v>26957</v>
      </c>
      <c r="S363" t="s">
        <v>7756</v>
      </c>
      <c r="T363" t="s">
        <v>30</v>
      </c>
      <c r="U363" t="s">
        <v>26019</v>
      </c>
      <c r="W363" t="s">
        <v>26020</v>
      </c>
    </row>
    <row r="364" spans="1:23" x14ac:dyDescent="0.35">
      <c r="A364">
        <v>202438</v>
      </c>
      <c r="B364" t="s">
        <v>7541</v>
      </c>
      <c r="C364" t="str">
        <f>"9780521801898"</f>
        <v>9780521801898</v>
      </c>
      <c r="D364" t="str">
        <f>"9780511148675"</f>
        <v>9780511148675</v>
      </c>
      <c r="E364" t="s">
        <v>167</v>
      </c>
      <c r="F364" t="s">
        <v>167</v>
      </c>
      <c r="G364" t="s">
        <v>22218</v>
      </c>
      <c r="H364" t="s">
        <v>26011</v>
      </c>
      <c r="I364" s="26">
        <v>37574</v>
      </c>
      <c r="J364">
        <v>2002</v>
      </c>
      <c r="K364" t="s">
        <v>167</v>
      </c>
      <c r="L364">
        <v>311</v>
      </c>
      <c r="M364" t="s">
        <v>27335</v>
      </c>
      <c r="N364">
        <v>1</v>
      </c>
      <c r="Q364" t="s">
        <v>27336</v>
      </c>
      <c r="R364">
        <v>153</v>
      </c>
      <c r="S364" t="s">
        <v>7542</v>
      </c>
      <c r="T364" t="s">
        <v>30</v>
      </c>
      <c r="U364" t="s">
        <v>46</v>
      </c>
      <c r="W364" t="s">
        <v>26020</v>
      </c>
    </row>
    <row r="365" spans="1:23" x14ac:dyDescent="0.35">
      <c r="A365">
        <v>214527</v>
      </c>
      <c r="B365" t="s">
        <v>27337</v>
      </c>
      <c r="C365" t="str">
        <f>"9780415944045"</f>
        <v>9780415944045</v>
      </c>
      <c r="D365" t="str">
        <f>"9781135946289"</f>
        <v>9781135946289</v>
      </c>
      <c r="E365" t="s">
        <v>26010</v>
      </c>
      <c r="F365" t="s">
        <v>35</v>
      </c>
      <c r="G365" t="s">
        <v>22174</v>
      </c>
      <c r="H365" t="s">
        <v>26011</v>
      </c>
      <c r="I365" s="26">
        <v>37790</v>
      </c>
      <c r="J365">
        <v>2003</v>
      </c>
      <c r="K365" t="s">
        <v>26012</v>
      </c>
      <c r="L365">
        <v>229</v>
      </c>
      <c r="M365" t="s">
        <v>27338</v>
      </c>
      <c r="N365">
        <v>1</v>
      </c>
      <c r="Q365" t="s">
        <v>27339</v>
      </c>
      <c r="R365">
        <v>362.2</v>
      </c>
      <c r="S365" t="s">
        <v>9576</v>
      </c>
      <c r="T365" t="s">
        <v>30</v>
      </c>
      <c r="U365" t="s">
        <v>26079</v>
      </c>
      <c r="W365" t="s">
        <v>26009</v>
      </c>
    </row>
    <row r="366" spans="1:23" x14ac:dyDescent="0.35">
      <c r="A366">
        <v>214839</v>
      </c>
      <c r="B366" t="s">
        <v>8280</v>
      </c>
      <c r="C366" t="str">
        <f>"9780415363167"</f>
        <v>9780415363167</v>
      </c>
      <c r="D366" t="str">
        <f>"9780203013526"</f>
        <v>9780203013526</v>
      </c>
      <c r="E366" t="s">
        <v>26010</v>
      </c>
      <c r="F366" t="s">
        <v>35</v>
      </c>
      <c r="G366" t="s">
        <v>26201</v>
      </c>
      <c r="H366" t="s">
        <v>26004</v>
      </c>
      <c r="I366" s="26">
        <v>38700</v>
      </c>
      <c r="J366">
        <v>2004</v>
      </c>
      <c r="K366" t="s">
        <v>26012</v>
      </c>
      <c r="L366">
        <v>225</v>
      </c>
      <c r="M366" t="s">
        <v>27340</v>
      </c>
      <c r="N366">
        <v>1</v>
      </c>
      <c r="O366" t="s">
        <v>27341</v>
      </c>
      <c r="P366">
        <v>14</v>
      </c>
      <c r="Q366" t="s">
        <v>27342</v>
      </c>
      <c r="R366">
        <v>303.48399999999998</v>
      </c>
      <c r="S366" t="s">
        <v>27343</v>
      </c>
      <c r="T366" t="s">
        <v>30</v>
      </c>
      <c r="U366" t="s">
        <v>26044</v>
      </c>
      <c r="W366" t="s">
        <v>26009</v>
      </c>
    </row>
    <row r="367" spans="1:23" x14ac:dyDescent="0.35">
      <c r="A367">
        <v>214862</v>
      </c>
      <c r="B367" t="s">
        <v>27344</v>
      </c>
      <c r="C367" t="str">
        <f>"9780415947497"</f>
        <v>9780415947497</v>
      </c>
      <c r="D367" t="str">
        <f>"9780203020975"</f>
        <v>9780203020975</v>
      </c>
      <c r="E367" t="s">
        <v>26010</v>
      </c>
      <c r="F367" t="s">
        <v>35</v>
      </c>
      <c r="G367" t="s">
        <v>26201</v>
      </c>
      <c r="H367" t="s">
        <v>26004</v>
      </c>
      <c r="I367" s="26">
        <v>38258</v>
      </c>
      <c r="J367">
        <v>2004</v>
      </c>
      <c r="K367" t="s">
        <v>26012</v>
      </c>
      <c r="L367">
        <v>282</v>
      </c>
      <c r="M367" t="s">
        <v>27345</v>
      </c>
      <c r="N367">
        <v>2</v>
      </c>
      <c r="O367" t="s">
        <v>26892</v>
      </c>
      <c r="Q367" t="s">
        <v>27346</v>
      </c>
      <c r="R367">
        <v>306.88</v>
      </c>
      <c r="S367" t="s">
        <v>27347</v>
      </c>
      <c r="T367" t="s">
        <v>30</v>
      </c>
      <c r="U367" t="s">
        <v>26044</v>
      </c>
      <c r="W367" t="s">
        <v>26009</v>
      </c>
    </row>
    <row r="368" spans="1:23" x14ac:dyDescent="0.35">
      <c r="A368">
        <v>214864</v>
      </c>
      <c r="B368" t="s">
        <v>8286</v>
      </c>
      <c r="C368" t="str">
        <f>"9780415947589"</f>
        <v>9780415947589</v>
      </c>
      <c r="D368" t="str">
        <f>"9780203020999"</f>
        <v>9780203020999</v>
      </c>
      <c r="E368" t="s">
        <v>26010</v>
      </c>
      <c r="F368" t="s">
        <v>35</v>
      </c>
      <c r="G368" t="s">
        <v>26201</v>
      </c>
      <c r="H368" t="s">
        <v>26004</v>
      </c>
      <c r="I368" s="26">
        <v>38268</v>
      </c>
      <c r="J368">
        <v>2005</v>
      </c>
      <c r="K368" t="s">
        <v>26012</v>
      </c>
      <c r="L368">
        <v>264</v>
      </c>
      <c r="M368" t="s">
        <v>27348</v>
      </c>
      <c r="N368">
        <v>1</v>
      </c>
      <c r="O368" t="s">
        <v>27182</v>
      </c>
      <c r="Q368" t="s">
        <v>27349</v>
      </c>
      <c r="R368" t="s">
        <v>27350</v>
      </c>
      <c r="S368" t="s">
        <v>27351</v>
      </c>
      <c r="T368" t="s">
        <v>30</v>
      </c>
      <c r="U368" t="s">
        <v>26116</v>
      </c>
      <c r="W368" t="s">
        <v>26009</v>
      </c>
    </row>
    <row r="369" spans="1:23" x14ac:dyDescent="0.35">
      <c r="A369">
        <v>214958</v>
      </c>
      <c r="B369" t="s">
        <v>27352</v>
      </c>
      <c r="C369" t="str">
        <f>"9781583918388"</f>
        <v>9781583918388</v>
      </c>
      <c r="D369" t="str">
        <f>"9780203025574"</f>
        <v>9780203025574</v>
      </c>
      <c r="E369" t="s">
        <v>26010</v>
      </c>
      <c r="F369" t="s">
        <v>35</v>
      </c>
      <c r="G369" t="s">
        <v>22174</v>
      </c>
      <c r="H369" t="s">
        <v>26011</v>
      </c>
      <c r="I369" s="26">
        <v>38615</v>
      </c>
      <c r="J369">
        <v>2005</v>
      </c>
      <c r="K369" t="s">
        <v>26012</v>
      </c>
      <c r="L369">
        <v>342</v>
      </c>
      <c r="M369" t="s">
        <v>27353</v>
      </c>
      <c r="N369">
        <v>1</v>
      </c>
      <c r="O369" t="s">
        <v>26344</v>
      </c>
      <c r="Q369" t="s">
        <v>27354</v>
      </c>
      <c r="R369" t="s">
        <v>26422</v>
      </c>
      <c r="S369" t="s">
        <v>8925</v>
      </c>
      <c r="T369" t="s">
        <v>30</v>
      </c>
      <c r="U369" t="s">
        <v>26116</v>
      </c>
      <c r="W369" t="s">
        <v>26009</v>
      </c>
    </row>
    <row r="370" spans="1:23" x14ac:dyDescent="0.35">
      <c r="A370">
        <v>214959</v>
      </c>
      <c r="B370" t="s">
        <v>27355</v>
      </c>
      <c r="C370" t="str">
        <f>"9781583919309"</f>
        <v>9781583919309</v>
      </c>
      <c r="D370" t="str">
        <f>"9781135479374"</f>
        <v>9781135479374</v>
      </c>
      <c r="E370" t="s">
        <v>26010</v>
      </c>
      <c r="F370" t="s">
        <v>35</v>
      </c>
      <c r="G370" t="s">
        <v>22174</v>
      </c>
      <c r="H370" t="s">
        <v>26011</v>
      </c>
      <c r="I370" s="26">
        <v>38526</v>
      </c>
      <c r="J370">
        <v>2005</v>
      </c>
      <c r="K370" t="s">
        <v>26012</v>
      </c>
      <c r="L370">
        <v>206</v>
      </c>
      <c r="M370" t="s">
        <v>27356</v>
      </c>
      <c r="N370">
        <v>1</v>
      </c>
      <c r="Q370" t="s">
        <v>27357</v>
      </c>
      <c r="R370" t="s">
        <v>26308</v>
      </c>
      <c r="S370" t="s">
        <v>7637</v>
      </c>
      <c r="T370" t="s">
        <v>30</v>
      </c>
      <c r="U370" t="s">
        <v>46</v>
      </c>
      <c r="W370" t="s">
        <v>26009</v>
      </c>
    </row>
    <row r="371" spans="1:23" x14ac:dyDescent="0.35">
      <c r="A371">
        <v>214984</v>
      </c>
      <c r="B371" t="s">
        <v>7769</v>
      </c>
      <c r="C371" t="str">
        <f>"9789026519741"</f>
        <v>9789026519741</v>
      </c>
      <c r="D371" t="str">
        <f>"9780203025505"</f>
        <v>9780203025505</v>
      </c>
      <c r="E371" t="s">
        <v>26010</v>
      </c>
      <c r="F371" t="s">
        <v>35</v>
      </c>
      <c r="G371" t="s">
        <v>22267</v>
      </c>
      <c r="H371" t="s">
        <v>26004</v>
      </c>
      <c r="I371" s="26">
        <v>38359</v>
      </c>
      <c r="J371">
        <v>2004</v>
      </c>
      <c r="K371" t="s">
        <v>26010</v>
      </c>
      <c r="L371">
        <v>366</v>
      </c>
      <c r="M371" t="s">
        <v>27358</v>
      </c>
      <c r="N371">
        <v>1</v>
      </c>
      <c r="O371" t="s">
        <v>27359</v>
      </c>
      <c r="Q371" t="s">
        <v>27360</v>
      </c>
      <c r="R371">
        <v>174.2928</v>
      </c>
      <c r="S371" t="s">
        <v>27361</v>
      </c>
      <c r="T371" t="s">
        <v>30</v>
      </c>
      <c r="U371" t="s">
        <v>27362</v>
      </c>
      <c r="W371" t="s">
        <v>26009</v>
      </c>
    </row>
    <row r="372" spans="1:23" x14ac:dyDescent="0.35">
      <c r="A372">
        <v>215013</v>
      </c>
      <c r="B372" t="s">
        <v>9255</v>
      </c>
      <c r="C372" t="str">
        <f>"9789058096913"</f>
        <v>9789058096913</v>
      </c>
      <c r="D372" t="str">
        <f>"9780203024324"</f>
        <v>9780203024324</v>
      </c>
      <c r="E372" t="s">
        <v>26010</v>
      </c>
      <c r="F372" t="s">
        <v>35</v>
      </c>
      <c r="G372" t="s">
        <v>27363</v>
      </c>
      <c r="H372" t="s">
        <v>26004</v>
      </c>
      <c r="I372" s="26">
        <v>38122</v>
      </c>
      <c r="J372">
        <v>2004</v>
      </c>
      <c r="K372" t="s">
        <v>26470</v>
      </c>
      <c r="L372">
        <v>334</v>
      </c>
      <c r="M372" t="s">
        <v>27364</v>
      </c>
      <c r="N372">
        <v>1</v>
      </c>
      <c r="Q372" t="s">
        <v>27365</v>
      </c>
      <c r="R372">
        <v>627.04200000000003</v>
      </c>
      <c r="S372" t="s">
        <v>27366</v>
      </c>
      <c r="T372" t="s">
        <v>30</v>
      </c>
      <c r="U372" t="s">
        <v>27367</v>
      </c>
      <c r="W372" t="s">
        <v>26009</v>
      </c>
    </row>
    <row r="373" spans="1:23" x14ac:dyDescent="0.35">
      <c r="A373">
        <v>217668</v>
      </c>
      <c r="B373" t="s">
        <v>10244</v>
      </c>
      <c r="C373" t="str">
        <f>"9780521802383"</f>
        <v>9780521802383</v>
      </c>
      <c r="D373" t="str">
        <f>"9780511205286"</f>
        <v>9780511205286</v>
      </c>
      <c r="E373" t="s">
        <v>167</v>
      </c>
      <c r="F373" t="s">
        <v>167</v>
      </c>
      <c r="G373" t="s">
        <v>22218</v>
      </c>
      <c r="H373" t="s">
        <v>26011</v>
      </c>
      <c r="I373" s="26">
        <v>37900</v>
      </c>
      <c r="J373">
        <v>2003</v>
      </c>
      <c r="K373" t="s">
        <v>167</v>
      </c>
      <c r="L373">
        <v>247</v>
      </c>
      <c r="M373" t="s">
        <v>27368</v>
      </c>
      <c r="N373">
        <v>1</v>
      </c>
      <c r="Q373" t="s">
        <v>27369</v>
      </c>
      <c r="R373">
        <v>153.9</v>
      </c>
      <c r="S373" t="s">
        <v>8895</v>
      </c>
      <c r="T373" t="s">
        <v>30</v>
      </c>
      <c r="U373" t="s">
        <v>46</v>
      </c>
      <c r="W373" t="s">
        <v>26020</v>
      </c>
    </row>
    <row r="374" spans="1:23" x14ac:dyDescent="0.35">
      <c r="A374">
        <v>217706</v>
      </c>
      <c r="B374" t="s">
        <v>27370</v>
      </c>
      <c r="C374" t="str">
        <f>"9780521781596"</f>
        <v>9780521781596</v>
      </c>
      <c r="D374" t="str">
        <f>"9781139146463"</f>
        <v>9781139146463</v>
      </c>
      <c r="E374" t="s">
        <v>167</v>
      </c>
      <c r="F374" t="s">
        <v>167</v>
      </c>
      <c r="G374" t="s">
        <v>22179</v>
      </c>
      <c r="H374" t="s">
        <v>26004</v>
      </c>
      <c r="I374" s="26">
        <v>37270</v>
      </c>
      <c r="J374">
        <v>2002</v>
      </c>
      <c r="K374" t="s">
        <v>167</v>
      </c>
      <c r="L374">
        <v>301</v>
      </c>
      <c r="M374" t="s">
        <v>27371</v>
      </c>
      <c r="N374">
        <v>1</v>
      </c>
      <c r="Q374" t="s">
        <v>27372</v>
      </c>
      <c r="R374" t="s">
        <v>27373</v>
      </c>
      <c r="S374" t="s">
        <v>8902</v>
      </c>
      <c r="T374" t="s">
        <v>30</v>
      </c>
      <c r="U374" t="s">
        <v>46</v>
      </c>
      <c r="W374" t="s">
        <v>26020</v>
      </c>
    </row>
    <row r="375" spans="1:23" x14ac:dyDescent="0.35">
      <c r="A375">
        <v>217756</v>
      </c>
      <c r="B375" t="s">
        <v>27374</v>
      </c>
      <c r="C375" t="str">
        <f>"9780521800488"</f>
        <v>9780521800488</v>
      </c>
      <c r="D375" t="str">
        <f>"9781139146982"</f>
        <v>9781139146982</v>
      </c>
      <c r="E375" t="s">
        <v>167</v>
      </c>
      <c r="F375" t="s">
        <v>167</v>
      </c>
      <c r="G375" t="s">
        <v>22218</v>
      </c>
      <c r="H375" t="s">
        <v>26011</v>
      </c>
      <c r="I375" s="26">
        <v>37350</v>
      </c>
      <c r="J375">
        <v>2002</v>
      </c>
      <c r="K375" t="s">
        <v>167</v>
      </c>
      <c r="L375">
        <v>434</v>
      </c>
      <c r="M375" t="s">
        <v>27375</v>
      </c>
      <c r="N375">
        <v>1</v>
      </c>
      <c r="Q375" t="s">
        <v>27376</v>
      </c>
      <c r="R375" t="s">
        <v>26420</v>
      </c>
      <c r="S375" t="s">
        <v>27377</v>
      </c>
      <c r="T375" t="s">
        <v>30</v>
      </c>
      <c r="U375" t="s">
        <v>46</v>
      </c>
      <c r="W375" t="s">
        <v>26020</v>
      </c>
    </row>
    <row r="376" spans="1:23" x14ac:dyDescent="0.35">
      <c r="A376">
        <v>217761</v>
      </c>
      <c r="B376" t="s">
        <v>9463</v>
      </c>
      <c r="C376" t="str">
        <f>"9780521652254"</f>
        <v>9780521652254</v>
      </c>
      <c r="D376" t="str">
        <f>"9781139146104"</f>
        <v>9781139146104</v>
      </c>
      <c r="E376" t="s">
        <v>167</v>
      </c>
      <c r="F376" t="s">
        <v>167</v>
      </c>
      <c r="G376" t="s">
        <v>22218</v>
      </c>
      <c r="H376" t="s">
        <v>26011</v>
      </c>
      <c r="I376" s="26">
        <v>37364</v>
      </c>
      <c r="J376">
        <v>2002</v>
      </c>
      <c r="K376" t="s">
        <v>167</v>
      </c>
      <c r="L376">
        <v>483</v>
      </c>
      <c r="M376" t="s">
        <v>27378</v>
      </c>
      <c r="N376">
        <v>1</v>
      </c>
      <c r="O376" t="s">
        <v>27379</v>
      </c>
      <c r="Q376" t="s">
        <v>27380</v>
      </c>
      <c r="R376">
        <v>615.78083000000004</v>
      </c>
      <c r="S376" t="s">
        <v>27381</v>
      </c>
      <c r="T376" t="s">
        <v>30</v>
      </c>
      <c r="U376" t="s">
        <v>27382</v>
      </c>
      <c r="W376" t="s">
        <v>26020</v>
      </c>
    </row>
    <row r="377" spans="1:23" x14ac:dyDescent="0.35">
      <c r="A377">
        <v>217790</v>
      </c>
      <c r="B377" t="s">
        <v>27383</v>
      </c>
      <c r="C377" t="str">
        <f>"9780521803700"</f>
        <v>9780521803700</v>
      </c>
      <c r="D377" t="str">
        <f>"9781139147248"</f>
        <v>9781139147248</v>
      </c>
      <c r="E377" t="s">
        <v>167</v>
      </c>
      <c r="F377" t="s">
        <v>167</v>
      </c>
      <c r="G377" t="s">
        <v>22179</v>
      </c>
      <c r="H377" t="s">
        <v>26004</v>
      </c>
      <c r="I377" s="26">
        <v>37525</v>
      </c>
      <c r="J377">
        <v>2002</v>
      </c>
      <c r="K377" t="s">
        <v>167</v>
      </c>
      <c r="L377">
        <v>586</v>
      </c>
      <c r="M377" t="s">
        <v>27384</v>
      </c>
      <c r="N377">
        <v>1</v>
      </c>
      <c r="O377" t="s">
        <v>27321</v>
      </c>
      <c r="Q377" t="s">
        <v>27385</v>
      </c>
      <c r="R377">
        <v>306.81</v>
      </c>
      <c r="S377" t="s">
        <v>9162</v>
      </c>
      <c r="T377" t="s">
        <v>30</v>
      </c>
      <c r="U377" t="s">
        <v>26044</v>
      </c>
      <c r="W377" t="s">
        <v>26020</v>
      </c>
    </row>
    <row r="378" spans="1:23" x14ac:dyDescent="0.35">
      <c r="A378">
        <v>217838</v>
      </c>
      <c r="B378" t="s">
        <v>8718</v>
      </c>
      <c r="C378" t="str">
        <f>"9780521580984"</f>
        <v>9780521580984</v>
      </c>
      <c r="D378" t="str">
        <f>"9781139145541"</f>
        <v>9781139145541</v>
      </c>
      <c r="E378" t="s">
        <v>167</v>
      </c>
      <c r="F378" t="s">
        <v>167</v>
      </c>
      <c r="G378" t="s">
        <v>22218</v>
      </c>
      <c r="H378" t="s">
        <v>26011</v>
      </c>
      <c r="I378" s="26">
        <v>37571</v>
      </c>
      <c r="J378">
        <v>2002</v>
      </c>
      <c r="K378" t="s">
        <v>167</v>
      </c>
      <c r="L378">
        <v>199</v>
      </c>
      <c r="M378" t="s">
        <v>27386</v>
      </c>
      <c r="N378">
        <v>1</v>
      </c>
      <c r="O378" t="s">
        <v>26054</v>
      </c>
      <c r="Q378" t="s">
        <v>27387</v>
      </c>
      <c r="R378" t="s">
        <v>27388</v>
      </c>
      <c r="S378" t="s">
        <v>8719</v>
      </c>
      <c r="T378" t="s">
        <v>30</v>
      </c>
      <c r="U378" t="s">
        <v>26094</v>
      </c>
      <c r="W378" t="s">
        <v>26020</v>
      </c>
    </row>
    <row r="379" spans="1:23" x14ac:dyDescent="0.35">
      <c r="A379">
        <v>217895</v>
      </c>
      <c r="B379" t="s">
        <v>7593</v>
      </c>
      <c r="C379" t="str">
        <f>"9780521812528"</f>
        <v>9780521812528</v>
      </c>
      <c r="D379" t="str">
        <f>"9781139148009"</f>
        <v>9781139148009</v>
      </c>
      <c r="E379" t="s">
        <v>167</v>
      </c>
      <c r="F379" t="s">
        <v>167</v>
      </c>
      <c r="G379" t="s">
        <v>22179</v>
      </c>
      <c r="H379" t="s">
        <v>26004</v>
      </c>
      <c r="I379" s="26">
        <v>37655</v>
      </c>
      <c r="J379">
        <v>2003</v>
      </c>
      <c r="K379" t="s">
        <v>167</v>
      </c>
      <c r="L379">
        <v>520</v>
      </c>
      <c r="M379" t="s">
        <v>27389</v>
      </c>
      <c r="N379">
        <v>1</v>
      </c>
      <c r="Q379" t="s">
        <v>27390</v>
      </c>
      <c r="R379">
        <v>302</v>
      </c>
      <c r="S379" t="s">
        <v>7594</v>
      </c>
      <c r="T379" t="s">
        <v>30</v>
      </c>
      <c r="U379" t="s">
        <v>26044</v>
      </c>
      <c r="W379" t="s">
        <v>26020</v>
      </c>
    </row>
    <row r="380" spans="1:23" x14ac:dyDescent="0.35">
      <c r="A380">
        <v>217963</v>
      </c>
      <c r="B380" t="s">
        <v>9985</v>
      </c>
      <c r="C380" t="str">
        <f>"9780521009645"</f>
        <v>9780521009645</v>
      </c>
      <c r="D380" t="str">
        <f>"9781139147859"</f>
        <v>9781139147859</v>
      </c>
      <c r="E380" t="s">
        <v>167</v>
      </c>
      <c r="F380" t="s">
        <v>167</v>
      </c>
      <c r="G380" t="s">
        <v>22218</v>
      </c>
      <c r="H380" t="s">
        <v>26011</v>
      </c>
      <c r="I380" s="26">
        <v>37490</v>
      </c>
      <c r="J380">
        <v>2002</v>
      </c>
      <c r="K380" t="s">
        <v>167</v>
      </c>
      <c r="L380">
        <v>176</v>
      </c>
      <c r="M380" t="s">
        <v>27391</v>
      </c>
      <c r="N380">
        <v>1</v>
      </c>
      <c r="Q380" t="s">
        <v>27392</v>
      </c>
      <c r="R380">
        <v>362.88</v>
      </c>
      <c r="S380" t="s">
        <v>9945</v>
      </c>
      <c r="T380" t="s">
        <v>30</v>
      </c>
      <c r="U380" t="s">
        <v>26044</v>
      </c>
      <c r="W380" t="s">
        <v>26020</v>
      </c>
    </row>
    <row r="381" spans="1:23" x14ac:dyDescent="0.35">
      <c r="A381">
        <v>217965</v>
      </c>
      <c r="B381" t="s">
        <v>8746</v>
      </c>
      <c r="C381" t="str">
        <f>"9780521789615"</f>
        <v>9780521789615</v>
      </c>
      <c r="D381" t="str">
        <f>"9781139146609"</f>
        <v>9781139146609</v>
      </c>
      <c r="E381" t="s">
        <v>167</v>
      </c>
      <c r="F381" t="s">
        <v>167</v>
      </c>
      <c r="G381" t="s">
        <v>22218</v>
      </c>
      <c r="H381" t="s">
        <v>26011</v>
      </c>
      <c r="I381" s="26">
        <v>37448</v>
      </c>
      <c r="J381">
        <v>2002</v>
      </c>
      <c r="K381" t="s">
        <v>167</v>
      </c>
      <c r="L381">
        <v>520</v>
      </c>
      <c r="M381" t="s">
        <v>27393</v>
      </c>
      <c r="N381">
        <v>2</v>
      </c>
      <c r="O381" t="s">
        <v>27379</v>
      </c>
      <c r="Q381" t="s">
        <v>27394</v>
      </c>
      <c r="R381">
        <v>616.92859999999996</v>
      </c>
      <c r="S381" t="s">
        <v>7437</v>
      </c>
      <c r="T381" t="s">
        <v>30</v>
      </c>
      <c r="U381" t="s">
        <v>26019</v>
      </c>
      <c r="W381" t="s">
        <v>26020</v>
      </c>
    </row>
    <row r="382" spans="1:23" x14ac:dyDescent="0.35">
      <c r="A382">
        <v>217973</v>
      </c>
      <c r="B382" t="s">
        <v>9217</v>
      </c>
      <c r="C382" t="str">
        <f>"9780521813747"</f>
        <v>9780521813747</v>
      </c>
      <c r="D382" t="str">
        <f>"9781139147200"</f>
        <v>9781139147200</v>
      </c>
      <c r="E382" t="s">
        <v>167</v>
      </c>
      <c r="F382" t="s">
        <v>167</v>
      </c>
      <c r="G382" t="s">
        <v>22218</v>
      </c>
      <c r="H382" t="s">
        <v>26011</v>
      </c>
      <c r="I382" s="26">
        <v>37497</v>
      </c>
      <c r="J382">
        <v>2002</v>
      </c>
      <c r="K382" t="s">
        <v>167</v>
      </c>
      <c r="L382">
        <v>362</v>
      </c>
      <c r="M382" t="s">
        <v>27395</v>
      </c>
      <c r="N382">
        <v>1</v>
      </c>
      <c r="Q382" t="s">
        <v>27396</v>
      </c>
      <c r="R382" t="s">
        <v>26711</v>
      </c>
      <c r="S382" t="s">
        <v>27397</v>
      </c>
      <c r="T382" t="s">
        <v>30</v>
      </c>
      <c r="U382" t="s">
        <v>26040</v>
      </c>
      <c r="W382" t="s">
        <v>26020</v>
      </c>
    </row>
    <row r="383" spans="1:23" x14ac:dyDescent="0.35">
      <c r="A383">
        <v>218012</v>
      </c>
      <c r="B383" t="s">
        <v>27398</v>
      </c>
      <c r="C383" t="str">
        <f>"9780521814805"</f>
        <v>9780521814805</v>
      </c>
      <c r="D383" t="str">
        <f>"9781139148184"</f>
        <v>9781139148184</v>
      </c>
      <c r="E383" t="s">
        <v>167</v>
      </c>
      <c r="F383" t="s">
        <v>167</v>
      </c>
      <c r="G383" t="s">
        <v>22179</v>
      </c>
      <c r="H383" t="s">
        <v>26004</v>
      </c>
      <c r="I383" s="26">
        <v>37504</v>
      </c>
      <c r="J383">
        <v>2002</v>
      </c>
      <c r="K383" t="s">
        <v>167</v>
      </c>
      <c r="L383">
        <v>294</v>
      </c>
      <c r="M383" t="s">
        <v>27399</v>
      </c>
      <c r="N383">
        <v>1</v>
      </c>
      <c r="Q383" t="s">
        <v>27400</v>
      </c>
      <c r="R383">
        <v>305.23500000000001</v>
      </c>
      <c r="S383" t="s">
        <v>7790</v>
      </c>
      <c r="T383" t="s">
        <v>30</v>
      </c>
      <c r="U383" t="s">
        <v>26044</v>
      </c>
      <c r="W383" t="s">
        <v>26020</v>
      </c>
    </row>
    <row r="384" spans="1:23" x14ac:dyDescent="0.35">
      <c r="A384">
        <v>218028</v>
      </c>
      <c r="B384" t="s">
        <v>27401</v>
      </c>
      <c r="C384" t="str">
        <f>"9780521809085"</f>
        <v>9780521809085</v>
      </c>
      <c r="D384" t="str">
        <f>"9781139147538"</f>
        <v>9781139147538</v>
      </c>
      <c r="E384" t="s">
        <v>167</v>
      </c>
      <c r="F384" t="s">
        <v>167</v>
      </c>
      <c r="G384" t="s">
        <v>22179</v>
      </c>
      <c r="H384" t="s">
        <v>26004</v>
      </c>
      <c r="I384" s="26">
        <v>37571</v>
      </c>
      <c r="J384">
        <v>2002</v>
      </c>
      <c r="K384" t="s">
        <v>167</v>
      </c>
      <c r="L384">
        <v>304</v>
      </c>
      <c r="M384" t="s">
        <v>27402</v>
      </c>
      <c r="N384">
        <v>1</v>
      </c>
      <c r="O384" t="s">
        <v>27403</v>
      </c>
      <c r="Q384" t="s">
        <v>27404</v>
      </c>
      <c r="R384" t="s">
        <v>27405</v>
      </c>
      <c r="S384" t="s">
        <v>10294</v>
      </c>
      <c r="T384" t="s">
        <v>30</v>
      </c>
      <c r="U384" t="s">
        <v>26044</v>
      </c>
      <c r="W384" t="s">
        <v>26020</v>
      </c>
    </row>
    <row r="385" spans="1:23" x14ac:dyDescent="0.35">
      <c r="A385">
        <v>218032</v>
      </c>
      <c r="B385" t="s">
        <v>27406</v>
      </c>
      <c r="C385" t="str">
        <f>"9780521806855"</f>
        <v>9780521806855</v>
      </c>
      <c r="D385" t="str">
        <f>"9781139147378"</f>
        <v>9781139147378</v>
      </c>
      <c r="E385" t="s">
        <v>167</v>
      </c>
      <c r="F385" t="s">
        <v>167</v>
      </c>
      <c r="G385" t="s">
        <v>22218</v>
      </c>
      <c r="H385" t="s">
        <v>26011</v>
      </c>
      <c r="I385" s="26">
        <v>37364</v>
      </c>
      <c r="J385">
        <v>2002</v>
      </c>
      <c r="K385" t="s">
        <v>167</v>
      </c>
      <c r="L385">
        <v>365</v>
      </c>
      <c r="M385" t="s">
        <v>27407</v>
      </c>
      <c r="N385">
        <v>1</v>
      </c>
      <c r="O385" t="s">
        <v>27408</v>
      </c>
      <c r="P385">
        <v>6</v>
      </c>
      <c r="Q385" t="s">
        <v>27409</v>
      </c>
      <c r="R385" t="s">
        <v>27410</v>
      </c>
      <c r="S385" t="s">
        <v>8773</v>
      </c>
      <c r="T385" t="s">
        <v>30</v>
      </c>
      <c r="U385" t="s">
        <v>46</v>
      </c>
      <c r="W385" t="s">
        <v>26020</v>
      </c>
    </row>
    <row r="386" spans="1:23" x14ac:dyDescent="0.35">
      <c r="A386">
        <v>218033</v>
      </c>
      <c r="B386" t="s">
        <v>9064</v>
      </c>
      <c r="C386" t="str">
        <f>"9780521806305"</f>
        <v>9780521806305</v>
      </c>
      <c r="D386" t="str">
        <f>"9781139147330"</f>
        <v>9781139147330</v>
      </c>
      <c r="E386" t="s">
        <v>167</v>
      </c>
      <c r="F386" t="s">
        <v>167</v>
      </c>
      <c r="G386" t="s">
        <v>22218</v>
      </c>
      <c r="H386" t="s">
        <v>26011</v>
      </c>
      <c r="I386" s="26">
        <v>37546</v>
      </c>
      <c r="J386">
        <v>2002</v>
      </c>
      <c r="K386" t="s">
        <v>167</v>
      </c>
      <c r="L386">
        <v>188</v>
      </c>
      <c r="M386" t="s">
        <v>27411</v>
      </c>
      <c r="N386">
        <v>1</v>
      </c>
      <c r="O386" t="s">
        <v>27412</v>
      </c>
      <c r="P386">
        <v>9</v>
      </c>
      <c r="Q386" t="s">
        <v>27413</v>
      </c>
      <c r="R386">
        <v>615.5</v>
      </c>
      <c r="S386" t="s">
        <v>9065</v>
      </c>
      <c r="T386" t="s">
        <v>30</v>
      </c>
      <c r="U386" t="s">
        <v>26040</v>
      </c>
      <c r="W386" t="s">
        <v>26020</v>
      </c>
    </row>
    <row r="387" spans="1:23" x14ac:dyDescent="0.35">
      <c r="A387">
        <v>218044</v>
      </c>
      <c r="B387" t="s">
        <v>27414</v>
      </c>
      <c r="C387" t="str">
        <f>"9780521660532"</f>
        <v>9780521660532</v>
      </c>
      <c r="D387" t="str">
        <f>"9781139146159"</f>
        <v>9781139146159</v>
      </c>
      <c r="E387" t="s">
        <v>167</v>
      </c>
      <c r="F387" t="s">
        <v>167</v>
      </c>
      <c r="G387" t="s">
        <v>22218</v>
      </c>
      <c r="H387" t="s">
        <v>26011</v>
      </c>
      <c r="I387" s="26">
        <v>37385</v>
      </c>
      <c r="J387">
        <v>2002</v>
      </c>
      <c r="K387" t="s">
        <v>167</v>
      </c>
      <c r="L387">
        <v>368</v>
      </c>
      <c r="M387" t="s">
        <v>27415</v>
      </c>
      <c r="N387">
        <v>1</v>
      </c>
      <c r="O387" t="s">
        <v>27408</v>
      </c>
      <c r="P387">
        <v>7</v>
      </c>
      <c r="Q387" t="s">
        <v>27416</v>
      </c>
      <c r="R387" t="s">
        <v>27417</v>
      </c>
      <c r="S387" t="s">
        <v>7671</v>
      </c>
      <c r="T387" t="s">
        <v>30</v>
      </c>
      <c r="U387" t="s">
        <v>46</v>
      </c>
      <c r="W387" t="s">
        <v>26020</v>
      </c>
    </row>
    <row r="388" spans="1:23" x14ac:dyDescent="0.35">
      <c r="A388">
        <v>218141</v>
      </c>
      <c r="B388" t="s">
        <v>27418</v>
      </c>
      <c r="C388" t="str">
        <f>"9780521791205"</f>
        <v>9780521791205</v>
      </c>
      <c r="D388" t="str">
        <f>"9781139146692"</f>
        <v>9781139146692</v>
      </c>
      <c r="E388" t="s">
        <v>167</v>
      </c>
      <c r="F388" t="s">
        <v>167</v>
      </c>
      <c r="G388" t="s">
        <v>22218</v>
      </c>
      <c r="H388" t="s">
        <v>26011</v>
      </c>
      <c r="I388" s="26">
        <v>37588</v>
      </c>
      <c r="J388">
        <v>2002</v>
      </c>
      <c r="K388" t="s">
        <v>167</v>
      </c>
      <c r="L388">
        <v>448</v>
      </c>
      <c r="M388" t="s">
        <v>27419</v>
      </c>
      <c r="N388">
        <v>1</v>
      </c>
      <c r="O388" t="s">
        <v>27408</v>
      </c>
      <c r="P388">
        <v>8</v>
      </c>
      <c r="Q388" t="s">
        <v>27420</v>
      </c>
      <c r="R388">
        <v>155</v>
      </c>
      <c r="S388" t="s">
        <v>7671</v>
      </c>
      <c r="T388" t="s">
        <v>30</v>
      </c>
      <c r="U388" t="s">
        <v>46</v>
      </c>
      <c r="W388" t="s">
        <v>26020</v>
      </c>
    </row>
    <row r="389" spans="1:23" x14ac:dyDescent="0.35">
      <c r="A389">
        <v>219172</v>
      </c>
      <c r="B389" t="s">
        <v>27421</v>
      </c>
      <c r="C389" t="str">
        <f>"9780871271525"</f>
        <v>9780871271525</v>
      </c>
      <c r="D389" t="str">
        <f>"9780871272744"</f>
        <v>9780871272744</v>
      </c>
      <c r="E389" t="s">
        <v>27422</v>
      </c>
      <c r="F389" t="s">
        <v>9432</v>
      </c>
      <c r="G389" t="s">
        <v>27423</v>
      </c>
      <c r="H389" t="s">
        <v>26004</v>
      </c>
      <c r="I389" s="26">
        <v>37865</v>
      </c>
      <c r="J389">
        <v>2004</v>
      </c>
      <c r="K389" t="s">
        <v>9432</v>
      </c>
      <c r="L389">
        <v>138</v>
      </c>
      <c r="M389" t="s">
        <v>27424</v>
      </c>
      <c r="Q389" t="s">
        <v>27425</v>
      </c>
      <c r="R389">
        <v>372.86</v>
      </c>
      <c r="S389" t="s">
        <v>27426</v>
      </c>
      <c r="T389" t="s">
        <v>30</v>
      </c>
      <c r="U389" t="s">
        <v>27427</v>
      </c>
      <c r="W389" t="s">
        <v>26009</v>
      </c>
    </row>
    <row r="390" spans="1:23" x14ac:dyDescent="0.35">
      <c r="A390">
        <v>220311</v>
      </c>
      <c r="B390" t="s">
        <v>27428</v>
      </c>
      <c r="C390" t="str">
        <f>"9781844720101"</f>
        <v>9781844720101</v>
      </c>
      <c r="D390" t="str">
        <f>"9781843147671"</f>
        <v>9781843147671</v>
      </c>
      <c r="E390" t="s">
        <v>26010</v>
      </c>
      <c r="F390" t="s">
        <v>35</v>
      </c>
      <c r="G390" t="s">
        <v>22174</v>
      </c>
      <c r="H390" t="s">
        <v>26004</v>
      </c>
      <c r="I390" s="26">
        <v>38159</v>
      </c>
      <c r="J390">
        <v>2004</v>
      </c>
      <c r="K390" t="s">
        <v>26012</v>
      </c>
      <c r="L390">
        <v>216</v>
      </c>
      <c r="M390" t="s">
        <v>27429</v>
      </c>
      <c r="N390">
        <v>1</v>
      </c>
      <c r="Q390" t="s">
        <v>27430</v>
      </c>
      <c r="R390" t="s">
        <v>27431</v>
      </c>
      <c r="S390" t="s">
        <v>27432</v>
      </c>
      <c r="T390" t="s">
        <v>30</v>
      </c>
      <c r="U390" t="s">
        <v>26044</v>
      </c>
      <c r="W390" t="s">
        <v>26009</v>
      </c>
    </row>
    <row r="391" spans="1:23" x14ac:dyDescent="0.35">
      <c r="A391">
        <v>223070</v>
      </c>
      <c r="B391" t="s">
        <v>27433</v>
      </c>
      <c r="C391" t="str">
        <f>"9780520223493"</f>
        <v>9780520223493</v>
      </c>
      <c r="D391" t="str">
        <f>"9780520924949"</f>
        <v>9780520924949</v>
      </c>
      <c r="E391" t="s">
        <v>1612</v>
      </c>
      <c r="F391" t="s">
        <v>1612</v>
      </c>
      <c r="G391" t="s">
        <v>22630</v>
      </c>
      <c r="H391" t="s">
        <v>26004</v>
      </c>
      <c r="I391" s="26">
        <v>36874</v>
      </c>
      <c r="J391">
        <v>2000</v>
      </c>
      <c r="K391" t="s">
        <v>1612</v>
      </c>
      <c r="L391">
        <v>367</v>
      </c>
      <c r="M391" t="s">
        <v>27434</v>
      </c>
      <c r="N391">
        <v>1</v>
      </c>
      <c r="R391">
        <v>305</v>
      </c>
      <c r="S391" t="s">
        <v>27435</v>
      </c>
      <c r="T391" t="s">
        <v>30</v>
      </c>
      <c r="U391" t="s">
        <v>26044</v>
      </c>
      <c r="W391" t="s">
        <v>26009</v>
      </c>
    </row>
    <row r="392" spans="1:23" x14ac:dyDescent="0.35">
      <c r="A392">
        <v>223666</v>
      </c>
      <c r="B392" t="s">
        <v>27436</v>
      </c>
      <c r="C392" t="str">
        <f>"9780520219953"</f>
        <v>9780520219953</v>
      </c>
      <c r="D392" t="str">
        <f>"9780520923485"</f>
        <v>9780520923485</v>
      </c>
      <c r="E392" t="s">
        <v>1612</v>
      </c>
      <c r="F392" t="s">
        <v>1612</v>
      </c>
      <c r="G392" t="s">
        <v>22630</v>
      </c>
      <c r="H392" t="s">
        <v>26004</v>
      </c>
      <c r="I392" s="26">
        <v>36572</v>
      </c>
      <c r="J392">
        <v>2000</v>
      </c>
      <c r="K392" t="s">
        <v>1612</v>
      </c>
      <c r="L392">
        <v>276</v>
      </c>
      <c r="M392" t="s">
        <v>27437</v>
      </c>
      <c r="N392">
        <v>1</v>
      </c>
      <c r="O392" t="s">
        <v>27438</v>
      </c>
      <c r="P392">
        <v>36</v>
      </c>
      <c r="Q392" t="s">
        <v>27439</v>
      </c>
      <c r="R392" t="s">
        <v>27440</v>
      </c>
      <c r="S392" t="s">
        <v>27441</v>
      </c>
      <c r="T392" t="s">
        <v>30</v>
      </c>
      <c r="U392" t="s">
        <v>26044</v>
      </c>
      <c r="W392" t="s">
        <v>26009</v>
      </c>
    </row>
    <row r="393" spans="1:23" x14ac:dyDescent="0.35">
      <c r="A393">
        <v>223832</v>
      </c>
      <c r="B393" t="s">
        <v>27442</v>
      </c>
      <c r="C393" t="str">
        <f>"9780520230767"</f>
        <v>9780520230767</v>
      </c>
      <c r="D393" t="str">
        <f>"9780520927698"</f>
        <v>9780520927698</v>
      </c>
      <c r="E393" t="s">
        <v>1612</v>
      </c>
      <c r="F393" t="s">
        <v>1612</v>
      </c>
      <c r="G393" t="s">
        <v>22630</v>
      </c>
      <c r="H393" t="s">
        <v>26004</v>
      </c>
      <c r="I393" s="26">
        <v>37228</v>
      </c>
      <c r="J393">
        <v>2001</v>
      </c>
      <c r="K393" t="s">
        <v>1612</v>
      </c>
      <c r="L393">
        <v>201</v>
      </c>
      <c r="M393" t="s">
        <v>27443</v>
      </c>
      <c r="N393">
        <v>1</v>
      </c>
      <c r="S393" t="s">
        <v>27444</v>
      </c>
      <c r="T393" t="s">
        <v>30</v>
      </c>
      <c r="U393" t="s">
        <v>27445</v>
      </c>
      <c r="W393" t="s">
        <v>26009</v>
      </c>
    </row>
    <row r="394" spans="1:23" x14ac:dyDescent="0.35">
      <c r="A394">
        <v>223973</v>
      </c>
      <c r="B394" t="s">
        <v>27446</v>
      </c>
      <c r="C394" t="str">
        <f>"9780520230361"</f>
        <v>9780520230361</v>
      </c>
      <c r="D394" t="str">
        <f>"9780520935983"</f>
        <v>9780520935983</v>
      </c>
      <c r="E394" t="s">
        <v>1612</v>
      </c>
      <c r="F394" t="s">
        <v>1612</v>
      </c>
      <c r="G394" t="s">
        <v>22630</v>
      </c>
      <c r="H394" t="s">
        <v>26004</v>
      </c>
      <c r="I394" s="26">
        <v>37434</v>
      </c>
      <c r="J394">
        <v>2002</v>
      </c>
      <c r="K394" t="s">
        <v>1612</v>
      </c>
      <c r="L394">
        <v>311</v>
      </c>
      <c r="M394" t="s">
        <v>27447</v>
      </c>
      <c r="N394">
        <v>1</v>
      </c>
      <c r="Q394" t="s">
        <v>27448</v>
      </c>
      <c r="R394" t="s">
        <v>27449</v>
      </c>
      <c r="S394" t="s">
        <v>27450</v>
      </c>
      <c r="T394" t="s">
        <v>30</v>
      </c>
      <c r="U394" t="s">
        <v>26044</v>
      </c>
      <c r="W394" t="s">
        <v>26009</v>
      </c>
    </row>
    <row r="395" spans="1:23" x14ac:dyDescent="0.35">
      <c r="A395">
        <v>223975</v>
      </c>
      <c r="B395" t="s">
        <v>27451</v>
      </c>
      <c r="C395" t="str">
        <f>"9780520217461"</f>
        <v>9780520217461</v>
      </c>
      <c r="D395" t="str">
        <f>"9780520935518"</f>
        <v>9780520935518</v>
      </c>
      <c r="E395" t="s">
        <v>1612</v>
      </c>
      <c r="F395" t="s">
        <v>1612</v>
      </c>
      <c r="G395" t="s">
        <v>22630</v>
      </c>
      <c r="H395" t="s">
        <v>26004</v>
      </c>
      <c r="I395" s="26">
        <v>37147</v>
      </c>
      <c r="J395">
        <v>2001</v>
      </c>
      <c r="K395" t="s">
        <v>1612</v>
      </c>
      <c r="L395">
        <v>369</v>
      </c>
      <c r="M395" t="s">
        <v>27452</v>
      </c>
      <c r="N395">
        <v>1</v>
      </c>
      <c r="Q395" t="s">
        <v>27453</v>
      </c>
      <c r="R395" t="s">
        <v>27454</v>
      </c>
      <c r="S395" t="s">
        <v>27455</v>
      </c>
      <c r="T395" t="s">
        <v>30</v>
      </c>
      <c r="U395" t="s">
        <v>26116</v>
      </c>
      <c r="W395" t="s">
        <v>26009</v>
      </c>
    </row>
    <row r="396" spans="1:23" x14ac:dyDescent="0.35">
      <c r="A396">
        <v>224089</v>
      </c>
      <c r="B396" t="s">
        <v>27456</v>
      </c>
      <c r="C396" t="str">
        <f>"9780520219755"</f>
        <v>9780520219755</v>
      </c>
      <c r="D396" t="str">
        <f>"9780520927315"</f>
        <v>9780520927315</v>
      </c>
      <c r="E396" t="s">
        <v>1612</v>
      </c>
      <c r="F396" t="s">
        <v>1612</v>
      </c>
      <c r="G396" t="s">
        <v>22630</v>
      </c>
      <c r="H396" t="s">
        <v>26004</v>
      </c>
      <c r="I396" s="26">
        <v>37475</v>
      </c>
      <c r="J396">
        <v>2003</v>
      </c>
      <c r="K396" t="s">
        <v>1612</v>
      </c>
      <c r="L396">
        <v>276</v>
      </c>
      <c r="M396" t="s">
        <v>27457</v>
      </c>
      <c r="N396">
        <v>1</v>
      </c>
      <c r="R396">
        <v>306.7</v>
      </c>
      <c r="S396" t="s">
        <v>27458</v>
      </c>
      <c r="T396" t="s">
        <v>30</v>
      </c>
      <c r="U396" t="s">
        <v>26044</v>
      </c>
      <c r="W396" t="s">
        <v>26009</v>
      </c>
    </row>
    <row r="397" spans="1:23" x14ac:dyDescent="0.35">
      <c r="A397">
        <v>224202</v>
      </c>
      <c r="B397" t="s">
        <v>27459</v>
      </c>
      <c r="C397" t="str">
        <f>"9780520244733"</f>
        <v>9780520244733</v>
      </c>
      <c r="D397" t="str">
        <f>"9780520938731"</f>
        <v>9780520938731</v>
      </c>
      <c r="E397" t="s">
        <v>1612</v>
      </c>
      <c r="F397" t="s">
        <v>1612</v>
      </c>
      <c r="G397" t="s">
        <v>22630</v>
      </c>
      <c r="H397" t="s">
        <v>26004</v>
      </c>
      <c r="I397" s="26">
        <v>37904</v>
      </c>
      <c r="J397">
        <v>2003</v>
      </c>
      <c r="K397" t="s">
        <v>1612</v>
      </c>
      <c r="L397">
        <v>368</v>
      </c>
      <c r="M397" t="s">
        <v>27460</v>
      </c>
      <c r="N397">
        <v>1</v>
      </c>
      <c r="R397" t="s">
        <v>27461</v>
      </c>
      <c r="S397" t="s">
        <v>27462</v>
      </c>
      <c r="T397" t="s">
        <v>30</v>
      </c>
      <c r="U397" t="s">
        <v>26040</v>
      </c>
      <c r="W397" t="s">
        <v>26009</v>
      </c>
    </row>
    <row r="398" spans="1:23" x14ac:dyDescent="0.35">
      <c r="A398">
        <v>224213</v>
      </c>
      <c r="B398" t="s">
        <v>27463</v>
      </c>
      <c r="C398" t="str">
        <f>"9780520217157"</f>
        <v>9780520217157</v>
      </c>
      <c r="D398" t="str">
        <f>"9780520922358"</f>
        <v>9780520922358</v>
      </c>
      <c r="E398" t="s">
        <v>1612</v>
      </c>
      <c r="F398" t="s">
        <v>1612</v>
      </c>
      <c r="G398" t="s">
        <v>22630</v>
      </c>
      <c r="H398" t="s">
        <v>26004</v>
      </c>
      <c r="I398" s="26">
        <v>36676</v>
      </c>
      <c r="J398">
        <v>2000</v>
      </c>
      <c r="K398" t="s">
        <v>1612</v>
      </c>
      <c r="L398">
        <v>320</v>
      </c>
      <c r="M398" t="s">
        <v>27464</v>
      </c>
      <c r="N398">
        <v>1</v>
      </c>
      <c r="Q398" t="s">
        <v>27465</v>
      </c>
      <c r="R398" t="s">
        <v>27466</v>
      </c>
      <c r="S398" t="s">
        <v>27467</v>
      </c>
      <c r="T398" t="s">
        <v>30</v>
      </c>
      <c r="U398" t="s">
        <v>26044</v>
      </c>
      <c r="W398" t="s">
        <v>26009</v>
      </c>
    </row>
    <row r="399" spans="1:23" x14ac:dyDescent="0.35">
      <c r="A399">
        <v>224306</v>
      </c>
      <c r="B399" t="s">
        <v>27468</v>
      </c>
      <c r="C399" t="str">
        <f>"9780520227514"</f>
        <v>9780520227514</v>
      </c>
      <c r="D399" t="str">
        <f>"9780520935709"</f>
        <v>9780520935709</v>
      </c>
      <c r="E399" t="s">
        <v>1612</v>
      </c>
      <c r="F399" t="s">
        <v>1612</v>
      </c>
      <c r="G399" t="s">
        <v>22630</v>
      </c>
      <c r="H399" t="s">
        <v>26004</v>
      </c>
      <c r="I399" s="26">
        <v>37581</v>
      </c>
      <c r="J399">
        <v>2002</v>
      </c>
      <c r="K399" t="s">
        <v>1612</v>
      </c>
      <c r="L399">
        <v>244</v>
      </c>
      <c r="M399" t="s">
        <v>27469</v>
      </c>
      <c r="N399">
        <v>1</v>
      </c>
      <c r="Q399" t="s">
        <v>27470</v>
      </c>
      <c r="R399" t="s">
        <v>27471</v>
      </c>
      <c r="S399" t="s">
        <v>27472</v>
      </c>
      <c r="T399" t="s">
        <v>30</v>
      </c>
      <c r="U399" t="s">
        <v>26044</v>
      </c>
      <c r="W399" t="s">
        <v>26009</v>
      </c>
    </row>
    <row r="400" spans="1:23" x14ac:dyDescent="0.35">
      <c r="A400">
        <v>224333</v>
      </c>
      <c r="B400" t="s">
        <v>9206</v>
      </c>
      <c r="C400" t="str">
        <f>"9780520216716"</f>
        <v>9780520216716</v>
      </c>
      <c r="D400" t="str">
        <f>"9780520924932"</f>
        <v>9780520924932</v>
      </c>
      <c r="E400" t="s">
        <v>1612</v>
      </c>
      <c r="F400" t="s">
        <v>1612</v>
      </c>
      <c r="G400" t="s">
        <v>22630</v>
      </c>
      <c r="H400" t="s">
        <v>26004</v>
      </c>
      <c r="I400" s="26">
        <v>36745</v>
      </c>
      <c r="J400">
        <v>2000</v>
      </c>
      <c r="K400" t="s">
        <v>1612</v>
      </c>
      <c r="L400">
        <v>424</v>
      </c>
      <c r="M400" t="s">
        <v>27473</v>
      </c>
      <c r="N400">
        <v>1</v>
      </c>
      <c r="Q400" t="s">
        <v>27474</v>
      </c>
      <c r="R400" t="s">
        <v>27475</v>
      </c>
      <c r="S400" t="s">
        <v>27476</v>
      </c>
      <c r="T400" t="s">
        <v>30</v>
      </c>
      <c r="U400" t="s">
        <v>26044</v>
      </c>
      <c r="W400" t="s">
        <v>26009</v>
      </c>
    </row>
    <row r="401" spans="1:23" x14ac:dyDescent="0.35">
      <c r="A401">
        <v>224591</v>
      </c>
      <c r="B401" t="s">
        <v>27477</v>
      </c>
      <c r="C401" t="str">
        <f>"9780520226609"</f>
        <v>9780520226609</v>
      </c>
      <c r="D401" t="str">
        <f>"9780520926080"</f>
        <v>9780520926080</v>
      </c>
      <c r="E401" t="s">
        <v>1612</v>
      </c>
      <c r="F401" t="s">
        <v>1612</v>
      </c>
      <c r="G401" t="s">
        <v>22630</v>
      </c>
      <c r="H401" t="s">
        <v>26004</v>
      </c>
      <c r="I401" s="26">
        <v>37637</v>
      </c>
      <c r="J401">
        <v>2003</v>
      </c>
      <c r="K401" t="s">
        <v>1612</v>
      </c>
      <c r="L401">
        <v>351</v>
      </c>
      <c r="M401" t="s">
        <v>27478</v>
      </c>
      <c r="N401">
        <v>1</v>
      </c>
      <c r="O401" t="s">
        <v>27479</v>
      </c>
      <c r="P401">
        <v>12</v>
      </c>
      <c r="Q401" t="s">
        <v>27480</v>
      </c>
      <c r="S401" t="s">
        <v>27481</v>
      </c>
      <c r="T401" t="s">
        <v>30</v>
      </c>
      <c r="U401" t="s">
        <v>26019</v>
      </c>
      <c r="W401" t="s">
        <v>26009</v>
      </c>
    </row>
    <row r="402" spans="1:23" x14ac:dyDescent="0.35">
      <c r="A402">
        <v>226824</v>
      </c>
      <c r="B402" t="s">
        <v>10044</v>
      </c>
      <c r="C402" t="str">
        <f>"9780122564307"</f>
        <v>9780122564307</v>
      </c>
      <c r="D402" t="str">
        <f>"9780080519159"</f>
        <v>9780080519159</v>
      </c>
      <c r="E402" t="s">
        <v>27482</v>
      </c>
      <c r="F402" t="s">
        <v>7447</v>
      </c>
      <c r="G402" t="s">
        <v>22689</v>
      </c>
      <c r="H402" t="s">
        <v>26004</v>
      </c>
      <c r="I402" s="26">
        <v>37901</v>
      </c>
      <c r="J402">
        <v>2003</v>
      </c>
      <c r="K402" t="s">
        <v>946</v>
      </c>
      <c r="L402">
        <v>606</v>
      </c>
      <c r="M402" t="s">
        <v>27483</v>
      </c>
      <c r="N402">
        <v>1</v>
      </c>
      <c r="O402" t="s">
        <v>27484</v>
      </c>
      <c r="R402" t="s">
        <v>27485</v>
      </c>
      <c r="S402" t="s">
        <v>10045</v>
      </c>
      <c r="T402" t="s">
        <v>30</v>
      </c>
      <c r="U402" t="s">
        <v>11356</v>
      </c>
      <c r="W402" t="s">
        <v>26009</v>
      </c>
    </row>
    <row r="403" spans="1:23" x14ac:dyDescent="0.35">
      <c r="A403">
        <v>226835</v>
      </c>
      <c r="B403" t="s">
        <v>8234</v>
      </c>
      <c r="C403" t="str">
        <f>"9780125158510"</f>
        <v>9780125158510</v>
      </c>
      <c r="D403" t="str">
        <f>"9780080477442"</f>
        <v>9780080477442</v>
      </c>
      <c r="E403" t="s">
        <v>4602</v>
      </c>
      <c r="F403" t="s">
        <v>27</v>
      </c>
      <c r="G403" t="s">
        <v>22190</v>
      </c>
      <c r="H403" t="s">
        <v>26004</v>
      </c>
      <c r="I403" s="26">
        <v>38174</v>
      </c>
      <c r="J403">
        <v>2004</v>
      </c>
      <c r="K403" t="s">
        <v>27</v>
      </c>
      <c r="L403">
        <v>366</v>
      </c>
      <c r="M403" t="s">
        <v>27486</v>
      </c>
      <c r="N403">
        <v>1</v>
      </c>
      <c r="R403" t="s">
        <v>27487</v>
      </c>
      <c r="T403" t="s">
        <v>30</v>
      </c>
      <c r="U403" t="s">
        <v>46</v>
      </c>
      <c r="W403" t="s">
        <v>26009</v>
      </c>
    </row>
    <row r="404" spans="1:23" x14ac:dyDescent="0.35">
      <c r="A404">
        <v>226849</v>
      </c>
      <c r="B404" t="s">
        <v>7619</v>
      </c>
      <c r="C404" t="str">
        <f>"9780125317856"</f>
        <v>9780125317856</v>
      </c>
      <c r="D404" t="str">
        <f>"9780080475974"</f>
        <v>9780080475974</v>
      </c>
      <c r="E404" t="s">
        <v>4602</v>
      </c>
      <c r="F404" t="s">
        <v>27</v>
      </c>
      <c r="G404" t="s">
        <v>22231</v>
      </c>
      <c r="H404" t="s">
        <v>26004</v>
      </c>
      <c r="I404" s="26">
        <v>37992</v>
      </c>
      <c r="J404">
        <v>2004</v>
      </c>
      <c r="K404" t="s">
        <v>27</v>
      </c>
      <c r="L404">
        <v>336</v>
      </c>
      <c r="M404" t="s">
        <v>27488</v>
      </c>
      <c r="N404">
        <v>1</v>
      </c>
      <c r="R404">
        <v>617.89</v>
      </c>
      <c r="T404" t="s">
        <v>30</v>
      </c>
      <c r="U404" t="s">
        <v>26040</v>
      </c>
      <c r="W404" t="s">
        <v>26009</v>
      </c>
    </row>
    <row r="405" spans="1:23" x14ac:dyDescent="0.35">
      <c r="A405">
        <v>227461</v>
      </c>
      <c r="B405" t="s">
        <v>27489</v>
      </c>
      <c r="C405" t="str">
        <f>"9780805846577"</f>
        <v>9780805846577</v>
      </c>
      <c r="D405" t="str">
        <f>"9781410611925"</f>
        <v>9781410611925</v>
      </c>
      <c r="E405" t="s">
        <v>26010</v>
      </c>
      <c r="F405" t="s">
        <v>35</v>
      </c>
      <c r="G405" t="s">
        <v>22436</v>
      </c>
      <c r="H405" t="s">
        <v>26004</v>
      </c>
      <c r="I405" s="26">
        <v>38336</v>
      </c>
      <c r="J405">
        <v>2004</v>
      </c>
      <c r="K405" t="s">
        <v>660</v>
      </c>
      <c r="L405">
        <v>365</v>
      </c>
      <c r="M405" t="s">
        <v>27490</v>
      </c>
      <c r="N405">
        <v>1</v>
      </c>
      <c r="Q405" t="s">
        <v>27491</v>
      </c>
      <c r="R405" t="s">
        <v>27492</v>
      </c>
      <c r="S405" t="s">
        <v>27493</v>
      </c>
      <c r="T405" t="s">
        <v>30</v>
      </c>
      <c r="U405" t="s">
        <v>46</v>
      </c>
      <c r="W405" t="s">
        <v>26009</v>
      </c>
    </row>
    <row r="406" spans="1:23" x14ac:dyDescent="0.35">
      <c r="A406">
        <v>227462</v>
      </c>
      <c r="B406" t="s">
        <v>27494</v>
      </c>
      <c r="C406" t="str">
        <f>"9780805848731"</f>
        <v>9780805848731</v>
      </c>
      <c r="D406" t="str">
        <f>"9781410611932"</f>
        <v>9781410611932</v>
      </c>
      <c r="E406" t="s">
        <v>26010</v>
      </c>
      <c r="F406" t="s">
        <v>35</v>
      </c>
      <c r="G406" t="s">
        <v>22436</v>
      </c>
      <c r="H406" t="s">
        <v>26004</v>
      </c>
      <c r="I406" s="26">
        <v>38341</v>
      </c>
      <c r="J406">
        <v>2004</v>
      </c>
      <c r="K406" t="s">
        <v>660</v>
      </c>
      <c r="L406">
        <v>288</v>
      </c>
      <c r="M406" t="s">
        <v>27495</v>
      </c>
      <c r="N406">
        <v>2</v>
      </c>
      <c r="Q406" t="s">
        <v>27496</v>
      </c>
      <c r="R406">
        <v>302.3</v>
      </c>
      <c r="S406" t="s">
        <v>27497</v>
      </c>
      <c r="T406" t="s">
        <v>30</v>
      </c>
      <c r="U406" t="s">
        <v>26044</v>
      </c>
      <c r="W406" t="s">
        <v>26009</v>
      </c>
    </row>
    <row r="407" spans="1:23" x14ac:dyDescent="0.35">
      <c r="A407">
        <v>227463</v>
      </c>
      <c r="B407" t="s">
        <v>9494</v>
      </c>
      <c r="C407" t="str">
        <f>"9780805853230"</f>
        <v>9780805853230</v>
      </c>
      <c r="D407" t="str">
        <f>"9781410611949"</f>
        <v>9781410611949</v>
      </c>
      <c r="E407" t="s">
        <v>26010</v>
      </c>
      <c r="F407" t="s">
        <v>35</v>
      </c>
      <c r="G407" t="s">
        <v>22436</v>
      </c>
      <c r="H407" t="s">
        <v>26004</v>
      </c>
      <c r="I407" s="26">
        <v>38303</v>
      </c>
      <c r="J407">
        <v>2004</v>
      </c>
      <c r="K407" t="s">
        <v>660</v>
      </c>
      <c r="L407">
        <v>219</v>
      </c>
      <c r="M407" t="s">
        <v>27498</v>
      </c>
      <c r="N407">
        <v>1</v>
      </c>
      <c r="Q407" t="s">
        <v>27499</v>
      </c>
      <c r="R407">
        <v>152.80000000000001</v>
      </c>
      <c r="S407" t="s">
        <v>27500</v>
      </c>
      <c r="T407" t="s">
        <v>30</v>
      </c>
      <c r="U407" t="s">
        <v>46</v>
      </c>
      <c r="W407" t="s">
        <v>26009</v>
      </c>
    </row>
    <row r="408" spans="1:23" x14ac:dyDescent="0.35">
      <c r="A408">
        <v>227465</v>
      </c>
      <c r="B408" t="s">
        <v>7614</v>
      </c>
      <c r="C408" t="str">
        <f>"9780805847697"</f>
        <v>9780805847697</v>
      </c>
      <c r="D408" t="str">
        <f>"9781410611963"</f>
        <v>9781410611963</v>
      </c>
      <c r="E408" t="s">
        <v>26010</v>
      </c>
      <c r="F408" t="s">
        <v>35</v>
      </c>
      <c r="G408" t="s">
        <v>22436</v>
      </c>
      <c r="H408" t="s">
        <v>26004</v>
      </c>
      <c r="I408" s="26">
        <v>38327</v>
      </c>
      <c r="J408">
        <v>2004</v>
      </c>
      <c r="K408" t="s">
        <v>660</v>
      </c>
      <c r="L408">
        <v>593</v>
      </c>
      <c r="M408" t="s">
        <v>27501</v>
      </c>
      <c r="N408">
        <v>3</v>
      </c>
      <c r="Q408" t="s">
        <v>27502</v>
      </c>
      <c r="R408">
        <v>303.38</v>
      </c>
      <c r="S408" t="s">
        <v>27503</v>
      </c>
      <c r="T408" t="s">
        <v>30</v>
      </c>
      <c r="U408" t="s">
        <v>26044</v>
      </c>
      <c r="W408" t="s">
        <v>26009</v>
      </c>
    </row>
    <row r="409" spans="1:23" x14ac:dyDescent="0.35">
      <c r="A409">
        <v>227469</v>
      </c>
      <c r="B409" t="s">
        <v>27504</v>
      </c>
      <c r="C409" t="str">
        <f>"9780805849066"</f>
        <v>9780805849066</v>
      </c>
      <c r="D409" t="str">
        <f>"9781410612007"</f>
        <v>9781410612007</v>
      </c>
      <c r="E409" t="s">
        <v>26010</v>
      </c>
      <c r="F409" t="s">
        <v>35</v>
      </c>
      <c r="G409" t="s">
        <v>22436</v>
      </c>
      <c r="H409" t="s">
        <v>26004</v>
      </c>
      <c r="I409" s="26">
        <v>38321</v>
      </c>
      <c r="J409">
        <v>2004</v>
      </c>
      <c r="K409" t="s">
        <v>660</v>
      </c>
      <c r="L409">
        <v>327</v>
      </c>
      <c r="M409" t="s">
        <v>27505</v>
      </c>
      <c r="N409">
        <v>1</v>
      </c>
      <c r="Q409" t="s">
        <v>27506</v>
      </c>
      <c r="R409" t="s">
        <v>26360</v>
      </c>
      <c r="S409" t="s">
        <v>27507</v>
      </c>
      <c r="T409" t="s">
        <v>30</v>
      </c>
      <c r="U409" t="s">
        <v>46</v>
      </c>
      <c r="W409" t="s">
        <v>26009</v>
      </c>
    </row>
    <row r="410" spans="1:23" x14ac:dyDescent="0.35">
      <c r="A410">
        <v>227480</v>
      </c>
      <c r="B410" t="s">
        <v>9240</v>
      </c>
      <c r="C410" t="str">
        <f>"9780805850819"</f>
        <v>9780805850819</v>
      </c>
      <c r="D410" t="str">
        <f>"9781410612113"</f>
        <v>9781410612113</v>
      </c>
      <c r="E410" t="s">
        <v>26010</v>
      </c>
      <c r="F410" t="s">
        <v>35</v>
      </c>
      <c r="G410" t="s">
        <v>22436</v>
      </c>
      <c r="H410" t="s">
        <v>26004</v>
      </c>
      <c r="I410" s="26">
        <v>38349</v>
      </c>
      <c r="J410">
        <v>2004</v>
      </c>
      <c r="K410" t="s">
        <v>660</v>
      </c>
      <c r="L410">
        <v>283</v>
      </c>
      <c r="M410" t="s">
        <v>27508</v>
      </c>
      <c r="N410">
        <v>1</v>
      </c>
      <c r="Q410" t="s">
        <v>27509</v>
      </c>
      <c r="R410">
        <v>153</v>
      </c>
      <c r="S410" t="s">
        <v>9241</v>
      </c>
      <c r="T410" t="s">
        <v>30</v>
      </c>
      <c r="U410" t="s">
        <v>46</v>
      </c>
      <c r="W410" t="s">
        <v>26009</v>
      </c>
    </row>
    <row r="411" spans="1:23" x14ac:dyDescent="0.35">
      <c r="A411">
        <v>227483</v>
      </c>
      <c r="B411" t="s">
        <v>27510</v>
      </c>
      <c r="C411" t="str">
        <f>"9780805837957"</f>
        <v>9780805837957</v>
      </c>
      <c r="D411" t="str">
        <f>"9781410612199"</f>
        <v>9781410612199</v>
      </c>
      <c r="E411" t="s">
        <v>26010</v>
      </c>
      <c r="F411" t="s">
        <v>35</v>
      </c>
      <c r="G411" t="s">
        <v>22436</v>
      </c>
      <c r="H411" t="s">
        <v>26004</v>
      </c>
      <c r="I411" s="26">
        <v>37347</v>
      </c>
      <c r="J411">
        <v>2002</v>
      </c>
      <c r="K411" t="s">
        <v>660</v>
      </c>
      <c r="L411">
        <v>268</v>
      </c>
      <c r="M411" t="s">
        <v>27511</v>
      </c>
      <c r="N411">
        <v>1</v>
      </c>
      <c r="Q411" t="s">
        <v>27512</v>
      </c>
      <c r="R411">
        <v>155.19999999999999</v>
      </c>
      <c r="S411" t="s">
        <v>27513</v>
      </c>
      <c r="T411" t="s">
        <v>30</v>
      </c>
      <c r="U411" t="s">
        <v>46</v>
      </c>
      <c r="W411" t="s">
        <v>26009</v>
      </c>
    </row>
    <row r="412" spans="1:23" x14ac:dyDescent="0.35">
      <c r="A412">
        <v>227492</v>
      </c>
      <c r="B412" t="s">
        <v>27514</v>
      </c>
      <c r="C412" t="str">
        <f>"9780805836240"</f>
        <v>9780805836240</v>
      </c>
      <c r="D412" t="str">
        <f>"9781410612281"</f>
        <v>9781410612281</v>
      </c>
      <c r="E412" t="s">
        <v>26010</v>
      </c>
      <c r="F412" t="s">
        <v>35</v>
      </c>
      <c r="G412" t="s">
        <v>22436</v>
      </c>
      <c r="H412" t="s">
        <v>26004</v>
      </c>
      <c r="I412" s="26">
        <v>36495</v>
      </c>
      <c r="J412">
        <v>2000</v>
      </c>
      <c r="K412" t="s">
        <v>660</v>
      </c>
      <c r="L412">
        <v>266</v>
      </c>
      <c r="M412" t="s">
        <v>27515</v>
      </c>
      <c r="N412">
        <v>1</v>
      </c>
      <c r="Q412" t="s">
        <v>27516</v>
      </c>
      <c r="R412">
        <v>155</v>
      </c>
      <c r="S412" t="s">
        <v>27517</v>
      </c>
      <c r="T412" t="s">
        <v>30</v>
      </c>
      <c r="U412" t="s">
        <v>46</v>
      </c>
      <c r="W412" t="s">
        <v>26009</v>
      </c>
    </row>
    <row r="413" spans="1:23" x14ac:dyDescent="0.35">
      <c r="A413">
        <v>227495</v>
      </c>
      <c r="B413" t="s">
        <v>8305</v>
      </c>
      <c r="C413" t="str">
        <f>"9780805831832"</f>
        <v>9780805831832</v>
      </c>
      <c r="D413" t="str">
        <f>"9781410612311"</f>
        <v>9781410612311</v>
      </c>
      <c r="E413" t="s">
        <v>26010</v>
      </c>
      <c r="F413" t="s">
        <v>35</v>
      </c>
      <c r="G413" t="s">
        <v>22436</v>
      </c>
      <c r="H413" t="s">
        <v>26004</v>
      </c>
      <c r="I413" s="26">
        <v>36923</v>
      </c>
      <c r="J413">
        <v>2001</v>
      </c>
      <c r="K413" t="s">
        <v>660</v>
      </c>
      <c r="L413">
        <v>481</v>
      </c>
      <c r="M413" t="s">
        <v>27518</v>
      </c>
      <c r="N413">
        <v>1</v>
      </c>
      <c r="Q413" t="s">
        <v>27519</v>
      </c>
      <c r="R413">
        <v>155.9</v>
      </c>
      <c r="S413" t="s">
        <v>27520</v>
      </c>
      <c r="T413" t="s">
        <v>30</v>
      </c>
      <c r="U413" t="s">
        <v>46</v>
      </c>
      <c r="W413" t="s">
        <v>26009</v>
      </c>
    </row>
    <row r="414" spans="1:23" x14ac:dyDescent="0.35">
      <c r="A414">
        <v>227496</v>
      </c>
      <c r="B414" t="s">
        <v>27521</v>
      </c>
      <c r="C414" t="str">
        <f>"9780805832341"</f>
        <v>9780805832341</v>
      </c>
      <c r="D414" t="str">
        <f>"9781410612328"</f>
        <v>9781410612328</v>
      </c>
      <c r="E414" t="s">
        <v>26010</v>
      </c>
      <c r="F414" t="s">
        <v>35</v>
      </c>
      <c r="G414" t="s">
        <v>22436</v>
      </c>
      <c r="H414" t="s">
        <v>26004</v>
      </c>
      <c r="I414" s="26">
        <v>36951</v>
      </c>
      <c r="J414">
        <v>2001</v>
      </c>
      <c r="K414" t="s">
        <v>660</v>
      </c>
      <c r="L414">
        <v>516</v>
      </c>
      <c r="M414" t="s">
        <v>27522</v>
      </c>
      <c r="N414">
        <v>1</v>
      </c>
      <c r="O414" t="s">
        <v>27523</v>
      </c>
      <c r="Q414" t="s">
        <v>27524</v>
      </c>
      <c r="R414">
        <v>153.69999999999999</v>
      </c>
      <c r="S414" t="s">
        <v>27525</v>
      </c>
      <c r="T414" t="s">
        <v>30</v>
      </c>
      <c r="U414" t="s">
        <v>46</v>
      </c>
      <c r="W414" t="s">
        <v>26009</v>
      </c>
    </row>
    <row r="415" spans="1:23" x14ac:dyDescent="0.35">
      <c r="A415">
        <v>227502</v>
      </c>
      <c r="B415" t="s">
        <v>27526</v>
      </c>
      <c r="C415" t="str">
        <f>"9780805835090"</f>
        <v>9780805835090</v>
      </c>
      <c r="D415" t="str">
        <f>"9781410612380"</f>
        <v>9781410612380</v>
      </c>
      <c r="E415" t="s">
        <v>26010</v>
      </c>
      <c r="F415" t="s">
        <v>35</v>
      </c>
      <c r="G415" t="s">
        <v>22436</v>
      </c>
      <c r="H415" t="s">
        <v>26004</v>
      </c>
      <c r="I415" s="26">
        <v>36861</v>
      </c>
      <c r="J415">
        <v>2001</v>
      </c>
      <c r="K415" t="s">
        <v>660</v>
      </c>
      <c r="L415">
        <v>277</v>
      </c>
      <c r="M415" t="s">
        <v>27527</v>
      </c>
      <c r="N415">
        <v>2</v>
      </c>
      <c r="Q415" t="s">
        <v>27528</v>
      </c>
      <c r="R415" t="s">
        <v>27529</v>
      </c>
      <c r="S415" t="s">
        <v>27530</v>
      </c>
      <c r="T415" t="s">
        <v>30</v>
      </c>
      <c r="U415" t="s">
        <v>46</v>
      </c>
      <c r="W415" t="s">
        <v>26009</v>
      </c>
    </row>
    <row r="416" spans="1:23" x14ac:dyDescent="0.35">
      <c r="A416">
        <v>227503</v>
      </c>
      <c r="B416" t="s">
        <v>27531</v>
      </c>
      <c r="C416" t="str">
        <f>"9780805837421"</f>
        <v>9780805837421</v>
      </c>
      <c r="D416" t="str">
        <f>"9781410612397"</f>
        <v>9781410612397</v>
      </c>
      <c r="E416" t="s">
        <v>26010</v>
      </c>
      <c r="F416" t="s">
        <v>35</v>
      </c>
      <c r="G416" t="s">
        <v>26128</v>
      </c>
      <c r="H416" t="s">
        <v>26011</v>
      </c>
      <c r="I416" s="26">
        <v>37347</v>
      </c>
      <c r="J416">
        <v>2002</v>
      </c>
      <c r="K416" t="s">
        <v>660</v>
      </c>
      <c r="L416">
        <v>298</v>
      </c>
      <c r="M416" t="s">
        <v>27532</v>
      </c>
      <c r="N416">
        <v>1</v>
      </c>
      <c r="O416" t="s">
        <v>27533</v>
      </c>
      <c r="R416">
        <v>302</v>
      </c>
      <c r="S416" t="s">
        <v>8266</v>
      </c>
      <c r="T416" t="s">
        <v>30</v>
      </c>
      <c r="U416" t="s">
        <v>26044</v>
      </c>
      <c r="W416" t="s">
        <v>26009</v>
      </c>
    </row>
    <row r="417" spans="1:23" x14ac:dyDescent="0.35">
      <c r="A417">
        <v>227504</v>
      </c>
      <c r="B417" t="s">
        <v>27534</v>
      </c>
      <c r="C417" t="str">
        <f>"9780805843002"</f>
        <v>9780805843002</v>
      </c>
      <c r="D417" t="str">
        <f>"9781410612403"</f>
        <v>9781410612403</v>
      </c>
      <c r="E417" t="s">
        <v>26010</v>
      </c>
      <c r="F417" t="s">
        <v>35</v>
      </c>
      <c r="G417" t="s">
        <v>22436</v>
      </c>
      <c r="H417" t="s">
        <v>26004</v>
      </c>
      <c r="I417" s="26">
        <v>37377</v>
      </c>
      <c r="J417">
        <v>2002</v>
      </c>
      <c r="K417" t="s">
        <v>660</v>
      </c>
      <c r="L417">
        <v>379</v>
      </c>
      <c r="M417" t="s">
        <v>27535</v>
      </c>
      <c r="N417">
        <v>1</v>
      </c>
      <c r="Q417" t="s">
        <v>27536</v>
      </c>
      <c r="R417">
        <v>131</v>
      </c>
      <c r="S417" t="s">
        <v>9304</v>
      </c>
      <c r="T417" t="s">
        <v>30</v>
      </c>
      <c r="U417" t="s">
        <v>26679</v>
      </c>
      <c r="W417" t="s">
        <v>26009</v>
      </c>
    </row>
    <row r="418" spans="1:23" x14ac:dyDescent="0.35">
      <c r="A418">
        <v>227516</v>
      </c>
      <c r="B418" t="s">
        <v>10172</v>
      </c>
      <c r="C418" t="str">
        <f>"9780805849448"</f>
        <v>9780805849448</v>
      </c>
      <c r="D418" t="str">
        <f>"9781410612625"</f>
        <v>9781410612625</v>
      </c>
      <c r="E418" t="s">
        <v>26010</v>
      </c>
      <c r="F418" t="s">
        <v>35</v>
      </c>
      <c r="G418" t="s">
        <v>22436</v>
      </c>
      <c r="H418" t="s">
        <v>26004</v>
      </c>
      <c r="I418" s="26">
        <v>38363</v>
      </c>
      <c r="J418">
        <v>2005</v>
      </c>
      <c r="K418" t="s">
        <v>660</v>
      </c>
      <c r="L418">
        <v>378</v>
      </c>
      <c r="M418" t="s">
        <v>27537</v>
      </c>
      <c r="N418">
        <v>1</v>
      </c>
      <c r="Q418" t="s">
        <v>27538</v>
      </c>
      <c r="R418">
        <v>150.15195</v>
      </c>
      <c r="S418" t="s">
        <v>27539</v>
      </c>
      <c r="T418" t="s">
        <v>30</v>
      </c>
      <c r="U418" t="s">
        <v>46</v>
      </c>
      <c r="W418" t="s">
        <v>26009</v>
      </c>
    </row>
    <row r="419" spans="1:23" x14ac:dyDescent="0.35">
      <c r="A419">
        <v>227517</v>
      </c>
      <c r="B419" t="s">
        <v>27540</v>
      </c>
      <c r="C419" t="str">
        <f>"9780805846737"</f>
        <v>9780805846737</v>
      </c>
      <c r="D419" t="str">
        <f>"9781410612632"</f>
        <v>9781410612632</v>
      </c>
      <c r="E419" t="s">
        <v>26010</v>
      </c>
      <c r="F419" t="s">
        <v>35</v>
      </c>
      <c r="G419" t="s">
        <v>22436</v>
      </c>
      <c r="H419" t="s">
        <v>26004</v>
      </c>
      <c r="I419" s="26">
        <v>38384</v>
      </c>
      <c r="J419">
        <v>2005</v>
      </c>
      <c r="K419" t="s">
        <v>26012</v>
      </c>
      <c r="L419">
        <v>306</v>
      </c>
      <c r="M419" t="s">
        <v>27541</v>
      </c>
      <c r="N419">
        <v>1</v>
      </c>
      <c r="O419" t="s">
        <v>27542</v>
      </c>
      <c r="Q419" t="s">
        <v>27543</v>
      </c>
      <c r="R419" t="s">
        <v>27544</v>
      </c>
      <c r="S419" t="s">
        <v>27545</v>
      </c>
      <c r="T419" t="s">
        <v>30</v>
      </c>
      <c r="U419" t="s">
        <v>26044</v>
      </c>
      <c r="W419" t="s">
        <v>26009</v>
      </c>
    </row>
    <row r="420" spans="1:23" x14ac:dyDescent="0.35">
      <c r="A420">
        <v>227518</v>
      </c>
      <c r="B420" t="s">
        <v>9381</v>
      </c>
      <c r="C420" t="str">
        <f>"9780805851366"</f>
        <v>9780805851366</v>
      </c>
      <c r="D420" t="str">
        <f>"9781410612649"</f>
        <v>9781410612649</v>
      </c>
      <c r="E420" t="s">
        <v>26010</v>
      </c>
      <c r="F420" t="s">
        <v>35</v>
      </c>
      <c r="G420" t="s">
        <v>22436</v>
      </c>
      <c r="H420" t="s">
        <v>26004</v>
      </c>
      <c r="I420" s="26">
        <v>38393</v>
      </c>
      <c r="J420">
        <v>2005</v>
      </c>
      <c r="K420" t="s">
        <v>660</v>
      </c>
      <c r="L420">
        <v>215</v>
      </c>
      <c r="M420" t="s">
        <v>27546</v>
      </c>
      <c r="N420">
        <v>1</v>
      </c>
      <c r="Q420" t="s">
        <v>27547</v>
      </c>
      <c r="R420">
        <v>155.19999999999999</v>
      </c>
      <c r="S420" t="s">
        <v>9382</v>
      </c>
      <c r="T420" t="s">
        <v>30</v>
      </c>
      <c r="U420" t="s">
        <v>46</v>
      </c>
      <c r="W420" t="s">
        <v>26009</v>
      </c>
    </row>
    <row r="421" spans="1:23" x14ac:dyDescent="0.35">
      <c r="A421">
        <v>227527</v>
      </c>
      <c r="B421" t="s">
        <v>27548</v>
      </c>
      <c r="C421" t="str">
        <f>"9780805855425"</f>
        <v>9780805855425</v>
      </c>
      <c r="D421" t="str">
        <f>"9781410612731"</f>
        <v>9781410612731</v>
      </c>
      <c r="E421" t="s">
        <v>26010</v>
      </c>
      <c r="F421" t="s">
        <v>35</v>
      </c>
      <c r="G421" t="s">
        <v>22436</v>
      </c>
      <c r="H421" t="s">
        <v>26004</v>
      </c>
      <c r="I421" s="26">
        <v>38321</v>
      </c>
      <c r="J421">
        <v>2004</v>
      </c>
      <c r="K421" t="s">
        <v>660</v>
      </c>
      <c r="L421">
        <v>138</v>
      </c>
      <c r="M421" t="s">
        <v>27549</v>
      </c>
      <c r="N421">
        <v>1</v>
      </c>
      <c r="Q421" t="s">
        <v>27550</v>
      </c>
      <c r="R421">
        <v>362.88299999999998</v>
      </c>
      <c r="S421" t="s">
        <v>27551</v>
      </c>
      <c r="T421" t="s">
        <v>30</v>
      </c>
      <c r="U421" t="s">
        <v>26044</v>
      </c>
      <c r="W421" t="s">
        <v>26009</v>
      </c>
    </row>
    <row r="422" spans="1:23" x14ac:dyDescent="0.35">
      <c r="A422">
        <v>227536</v>
      </c>
      <c r="B422" t="s">
        <v>27552</v>
      </c>
      <c r="C422" t="str">
        <f>"9780805847345"</f>
        <v>9780805847345</v>
      </c>
      <c r="D422" t="str">
        <f>"9781410612526"</f>
        <v>9781410612526</v>
      </c>
      <c r="E422" t="s">
        <v>26010</v>
      </c>
      <c r="F422" t="s">
        <v>35</v>
      </c>
      <c r="G422" t="s">
        <v>22436</v>
      </c>
      <c r="H422" t="s">
        <v>26004</v>
      </c>
      <c r="I422" s="26">
        <v>38400</v>
      </c>
      <c r="J422">
        <v>2005</v>
      </c>
      <c r="K422" t="s">
        <v>26012</v>
      </c>
      <c r="L422">
        <v>276</v>
      </c>
      <c r="M422" t="s">
        <v>27553</v>
      </c>
      <c r="N422">
        <v>1</v>
      </c>
      <c r="O422" t="s">
        <v>27554</v>
      </c>
      <c r="Q422" t="s">
        <v>27555</v>
      </c>
      <c r="R422" t="s">
        <v>27556</v>
      </c>
      <c r="S422" t="s">
        <v>9778</v>
      </c>
      <c r="T422" t="s">
        <v>30</v>
      </c>
      <c r="U422" t="s">
        <v>46</v>
      </c>
      <c r="W422" t="s">
        <v>26009</v>
      </c>
    </row>
    <row r="423" spans="1:23" x14ac:dyDescent="0.35">
      <c r="A423">
        <v>228371</v>
      </c>
      <c r="B423" t="s">
        <v>27557</v>
      </c>
      <c r="C423" t="str">
        <f>"9780814472583"</f>
        <v>9780814472583</v>
      </c>
      <c r="D423" t="str">
        <f>"9780814428047"</f>
        <v>9780814428047</v>
      </c>
      <c r="E423" t="s">
        <v>27558</v>
      </c>
      <c r="F423" t="s">
        <v>8308</v>
      </c>
      <c r="G423" t="s">
        <v>22179</v>
      </c>
      <c r="H423" t="s">
        <v>26004</v>
      </c>
      <c r="I423" s="26">
        <v>38135</v>
      </c>
      <c r="J423">
        <v>2004</v>
      </c>
      <c r="K423" t="s">
        <v>8308</v>
      </c>
      <c r="L423">
        <v>253</v>
      </c>
      <c r="M423" t="s">
        <v>27559</v>
      </c>
      <c r="N423">
        <v>1</v>
      </c>
      <c r="Q423" t="s">
        <v>27560</v>
      </c>
      <c r="R423" t="s">
        <v>27561</v>
      </c>
      <c r="S423" t="s">
        <v>27562</v>
      </c>
      <c r="T423" t="s">
        <v>30</v>
      </c>
      <c r="U423" t="s">
        <v>46</v>
      </c>
      <c r="W423" t="s">
        <v>26009</v>
      </c>
    </row>
    <row r="424" spans="1:23" x14ac:dyDescent="0.35">
      <c r="A424">
        <v>232198</v>
      </c>
      <c r="B424" t="s">
        <v>27563</v>
      </c>
      <c r="C424" t="str">
        <f>"9780861767366"</f>
        <v>9780861767366</v>
      </c>
      <c r="D424" t="str">
        <f>"9781845446833"</f>
        <v>9781845446833</v>
      </c>
      <c r="E424" t="s">
        <v>7442</v>
      </c>
      <c r="F424" t="s">
        <v>7442</v>
      </c>
      <c r="G424" t="s">
        <v>23125</v>
      </c>
      <c r="H424" t="s">
        <v>26011</v>
      </c>
      <c r="I424" s="26">
        <v>37257</v>
      </c>
      <c r="J424">
        <v>2002</v>
      </c>
      <c r="K424" t="s">
        <v>264</v>
      </c>
      <c r="L424">
        <v>110</v>
      </c>
      <c r="M424" t="s">
        <v>27564</v>
      </c>
      <c r="N424">
        <v>1</v>
      </c>
      <c r="O424" t="s">
        <v>4547</v>
      </c>
      <c r="P424">
        <v>15</v>
      </c>
      <c r="Q424" t="s">
        <v>27565</v>
      </c>
      <c r="R424">
        <v>302.35000000000002</v>
      </c>
      <c r="S424" t="s">
        <v>27566</v>
      </c>
      <c r="T424" t="s">
        <v>30</v>
      </c>
      <c r="U424" t="s">
        <v>26228</v>
      </c>
      <c r="W424" t="s">
        <v>26009</v>
      </c>
    </row>
    <row r="425" spans="1:23" x14ac:dyDescent="0.35">
      <c r="A425">
        <v>232911</v>
      </c>
      <c r="B425" t="s">
        <v>27567</v>
      </c>
      <c r="C425" t="str">
        <f>"9780192854551"</f>
        <v>9780192854551</v>
      </c>
      <c r="D425" t="str">
        <f>"9780191540509"</f>
        <v>9780191540509</v>
      </c>
      <c r="E425" t="s">
        <v>371</v>
      </c>
      <c r="F425" t="s">
        <v>399</v>
      </c>
      <c r="G425" t="s">
        <v>22218</v>
      </c>
      <c r="H425" t="s">
        <v>26011</v>
      </c>
      <c r="I425" s="26">
        <v>36892</v>
      </c>
      <c r="J425">
        <v>2001</v>
      </c>
      <c r="K425" t="s">
        <v>399</v>
      </c>
      <c r="L425">
        <v>177</v>
      </c>
      <c r="M425" t="s">
        <v>27568</v>
      </c>
      <c r="O425" t="s">
        <v>27569</v>
      </c>
      <c r="Q425" t="s">
        <v>27570</v>
      </c>
      <c r="R425" t="s">
        <v>26594</v>
      </c>
      <c r="S425" t="s">
        <v>27571</v>
      </c>
      <c r="T425" t="s">
        <v>30</v>
      </c>
      <c r="U425" t="s">
        <v>46</v>
      </c>
      <c r="W425" t="s">
        <v>26009</v>
      </c>
    </row>
    <row r="426" spans="1:23" x14ac:dyDescent="0.35">
      <c r="A426">
        <v>233746</v>
      </c>
      <c r="B426" t="s">
        <v>27572</v>
      </c>
      <c r="C426" t="str">
        <f>"9780861768127"</f>
        <v>9780861768127</v>
      </c>
      <c r="D426" t="str">
        <f>"9781845445263"</f>
        <v>9781845445263</v>
      </c>
      <c r="E426" t="s">
        <v>7442</v>
      </c>
      <c r="F426" t="s">
        <v>7442</v>
      </c>
      <c r="G426" t="s">
        <v>23125</v>
      </c>
      <c r="H426" t="s">
        <v>26011</v>
      </c>
      <c r="I426" s="26">
        <v>37757</v>
      </c>
      <c r="J426">
        <v>2003</v>
      </c>
      <c r="K426" t="s">
        <v>264</v>
      </c>
      <c r="L426">
        <v>106</v>
      </c>
      <c r="M426" t="s">
        <v>27573</v>
      </c>
      <c r="N426">
        <v>1</v>
      </c>
      <c r="O426" t="s">
        <v>4381</v>
      </c>
      <c r="P426">
        <v>18</v>
      </c>
      <c r="Q426" t="s">
        <v>27574</v>
      </c>
      <c r="R426">
        <v>658.4</v>
      </c>
      <c r="S426" t="s">
        <v>27575</v>
      </c>
      <c r="T426" t="s">
        <v>30</v>
      </c>
      <c r="U426" t="s">
        <v>27576</v>
      </c>
      <c r="W426" t="s">
        <v>26009</v>
      </c>
    </row>
    <row r="427" spans="1:23" x14ac:dyDescent="0.35">
      <c r="A427">
        <v>234086</v>
      </c>
      <c r="B427" t="s">
        <v>9078</v>
      </c>
      <c r="C427" t="str">
        <f>"9780805830804"</f>
        <v>9780805830804</v>
      </c>
      <c r="D427" t="str">
        <f>"9781410602251"</f>
        <v>9781410602251</v>
      </c>
      <c r="E427" t="s">
        <v>26010</v>
      </c>
      <c r="F427" t="s">
        <v>35</v>
      </c>
      <c r="G427" t="s">
        <v>22436</v>
      </c>
      <c r="H427" t="s">
        <v>26004</v>
      </c>
      <c r="I427" s="26">
        <v>37135</v>
      </c>
      <c r="J427">
        <v>2001</v>
      </c>
      <c r="K427" t="s">
        <v>26012</v>
      </c>
      <c r="L427">
        <v>496</v>
      </c>
      <c r="M427" t="s">
        <v>27577</v>
      </c>
      <c r="N427">
        <v>1</v>
      </c>
      <c r="O427" t="s">
        <v>27554</v>
      </c>
      <c r="Q427" t="s">
        <v>27578</v>
      </c>
      <c r="R427">
        <v>363.25400000000002</v>
      </c>
      <c r="S427" t="s">
        <v>27579</v>
      </c>
      <c r="T427" t="s">
        <v>30</v>
      </c>
      <c r="U427" t="s">
        <v>26044</v>
      </c>
      <c r="W427" t="s">
        <v>26009</v>
      </c>
    </row>
    <row r="428" spans="1:23" x14ac:dyDescent="0.35">
      <c r="A428">
        <v>234092</v>
      </c>
      <c r="B428" t="s">
        <v>10060</v>
      </c>
      <c r="C428" t="str">
        <f>"9780805842531"</f>
        <v>9780805842531</v>
      </c>
      <c r="D428" t="str">
        <f>"9781410602909"</f>
        <v>9781410602909</v>
      </c>
      <c r="E428" t="s">
        <v>26010</v>
      </c>
      <c r="F428" t="s">
        <v>35</v>
      </c>
      <c r="G428" t="s">
        <v>22436</v>
      </c>
      <c r="H428" t="s">
        <v>26004</v>
      </c>
      <c r="I428" s="26">
        <v>37288</v>
      </c>
      <c r="J428">
        <v>2002</v>
      </c>
      <c r="K428" t="s">
        <v>660</v>
      </c>
      <c r="L428">
        <v>175</v>
      </c>
      <c r="M428" t="s">
        <v>27580</v>
      </c>
      <c r="N428">
        <v>1</v>
      </c>
      <c r="Q428" t="s">
        <v>27581</v>
      </c>
      <c r="R428">
        <v>153.41999999999999</v>
      </c>
      <c r="S428" t="s">
        <v>8360</v>
      </c>
      <c r="T428" t="s">
        <v>30</v>
      </c>
      <c r="U428" t="s">
        <v>46</v>
      </c>
      <c r="W428" t="s">
        <v>26009</v>
      </c>
    </row>
    <row r="429" spans="1:23" x14ac:dyDescent="0.35">
      <c r="A429">
        <v>234093</v>
      </c>
      <c r="B429" t="s">
        <v>27582</v>
      </c>
      <c r="C429" t="str">
        <f>"9780805836752"</f>
        <v>9780805836752</v>
      </c>
      <c r="D429" t="str">
        <f>"9781410613165"</f>
        <v>9781410613165</v>
      </c>
      <c r="E429" t="s">
        <v>26010</v>
      </c>
      <c r="F429" t="s">
        <v>35</v>
      </c>
      <c r="G429" t="s">
        <v>22436</v>
      </c>
      <c r="H429" t="s">
        <v>26004</v>
      </c>
      <c r="I429" s="26">
        <v>37347</v>
      </c>
      <c r="J429">
        <v>2002</v>
      </c>
      <c r="K429" t="s">
        <v>660</v>
      </c>
      <c r="L429">
        <v>518</v>
      </c>
      <c r="M429" t="s">
        <v>27518</v>
      </c>
      <c r="N429">
        <v>1</v>
      </c>
      <c r="Q429" t="s">
        <v>27583</v>
      </c>
      <c r="R429">
        <v>153.9</v>
      </c>
      <c r="S429" t="s">
        <v>27584</v>
      </c>
      <c r="T429" t="s">
        <v>30</v>
      </c>
      <c r="U429" t="s">
        <v>46</v>
      </c>
      <c r="W429" t="s">
        <v>26009</v>
      </c>
    </row>
    <row r="430" spans="1:23" x14ac:dyDescent="0.35">
      <c r="A430">
        <v>234129</v>
      </c>
      <c r="B430" t="s">
        <v>7657</v>
      </c>
      <c r="C430" t="str">
        <f>"9780805841824"</f>
        <v>9780805841824</v>
      </c>
      <c r="D430" t="str">
        <f>"9781410607126"</f>
        <v>9781410607126</v>
      </c>
      <c r="E430" t="s">
        <v>26010</v>
      </c>
      <c r="F430" t="s">
        <v>35</v>
      </c>
      <c r="G430" t="s">
        <v>22436</v>
      </c>
      <c r="H430" t="s">
        <v>26004</v>
      </c>
      <c r="I430" s="26">
        <v>37316</v>
      </c>
      <c r="J430">
        <v>2002</v>
      </c>
      <c r="K430" t="s">
        <v>660</v>
      </c>
      <c r="L430">
        <v>286</v>
      </c>
      <c r="M430" t="s">
        <v>27585</v>
      </c>
      <c r="N430">
        <v>1</v>
      </c>
      <c r="Q430" t="s">
        <v>27586</v>
      </c>
      <c r="R430">
        <v>152.14230000000001</v>
      </c>
      <c r="S430" t="s">
        <v>27587</v>
      </c>
      <c r="T430" t="s">
        <v>30</v>
      </c>
      <c r="U430" t="s">
        <v>46</v>
      </c>
      <c r="W430" t="s">
        <v>26009</v>
      </c>
    </row>
    <row r="431" spans="1:23" x14ac:dyDescent="0.35">
      <c r="A431">
        <v>234131</v>
      </c>
      <c r="B431" t="s">
        <v>27588</v>
      </c>
      <c r="C431" t="str">
        <f>"9780805839630"</f>
        <v>9780805839630</v>
      </c>
      <c r="D431" t="str">
        <f>"9781410602978"</f>
        <v>9781410602978</v>
      </c>
      <c r="E431" t="s">
        <v>26010</v>
      </c>
      <c r="F431" t="s">
        <v>35</v>
      </c>
      <c r="G431" t="s">
        <v>22436</v>
      </c>
      <c r="H431" t="s">
        <v>26004</v>
      </c>
      <c r="I431" s="26">
        <v>37288</v>
      </c>
      <c r="J431">
        <v>2002</v>
      </c>
      <c r="K431" t="s">
        <v>26012</v>
      </c>
      <c r="L431">
        <v>282</v>
      </c>
      <c r="M431" t="s">
        <v>27589</v>
      </c>
      <c r="N431">
        <v>1</v>
      </c>
      <c r="O431" t="s">
        <v>27590</v>
      </c>
      <c r="Q431" t="s">
        <v>27591</v>
      </c>
      <c r="R431">
        <v>306.84100000000001</v>
      </c>
      <c r="S431" t="s">
        <v>27592</v>
      </c>
      <c r="T431" t="s">
        <v>30</v>
      </c>
      <c r="U431" t="s">
        <v>26044</v>
      </c>
      <c r="W431" t="s">
        <v>26009</v>
      </c>
    </row>
    <row r="432" spans="1:23" x14ac:dyDescent="0.35">
      <c r="A432">
        <v>234152</v>
      </c>
      <c r="B432" t="s">
        <v>6862</v>
      </c>
      <c r="C432" t="str">
        <f>"9780805835205"</f>
        <v>9780805835205</v>
      </c>
      <c r="D432" t="str">
        <f>"9781410604934"</f>
        <v>9781410604934</v>
      </c>
      <c r="E432" t="s">
        <v>26010</v>
      </c>
      <c r="F432" t="s">
        <v>35</v>
      </c>
      <c r="G432" t="s">
        <v>22436</v>
      </c>
      <c r="H432" t="s">
        <v>26004</v>
      </c>
      <c r="I432" s="26">
        <v>37073</v>
      </c>
      <c r="J432">
        <v>2001</v>
      </c>
      <c r="K432" t="s">
        <v>660</v>
      </c>
      <c r="L432">
        <v>529</v>
      </c>
      <c r="M432" t="s">
        <v>27593</v>
      </c>
      <c r="N432">
        <v>2</v>
      </c>
      <c r="Q432" t="s">
        <v>27594</v>
      </c>
      <c r="R432">
        <v>302</v>
      </c>
      <c r="S432" t="s">
        <v>8735</v>
      </c>
      <c r="T432" t="s">
        <v>30</v>
      </c>
      <c r="U432" t="s">
        <v>26044</v>
      </c>
      <c r="W432" t="s">
        <v>26009</v>
      </c>
    </row>
    <row r="433" spans="1:23" x14ac:dyDescent="0.35">
      <c r="A433">
        <v>234156</v>
      </c>
      <c r="B433" t="s">
        <v>27595</v>
      </c>
      <c r="C433" t="str">
        <f>"9780805836837"</f>
        <v>9780805836837</v>
      </c>
      <c r="D433" t="str">
        <f>"9781410602206"</f>
        <v>9781410602206</v>
      </c>
      <c r="E433" t="s">
        <v>26010</v>
      </c>
      <c r="F433" t="s">
        <v>35</v>
      </c>
      <c r="G433" t="s">
        <v>22436</v>
      </c>
      <c r="H433" t="s">
        <v>26004</v>
      </c>
      <c r="I433" s="26">
        <v>37347</v>
      </c>
      <c r="J433">
        <v>2002</v>
      </c>
      <c r="K433" t="s">
        <v>660</v>
      </c>
      <c r="L433">
        <v>272</v>
      </c>
      <c r="M433" t="s">
        <v>27596</v>
      </c>
      <c r="N433">
        <v>1</v>
      </c>
      <c r="Q433" t="s">
        <v>27597</v>
      </c>
      <c r="R433">
        <v>155.19999999999999</v>
      </c>
      <c r="S433" t="s">
        <v>7491</v>
      </c>
      <c r="T433" t="s">
        <v>30</v>
      </c>
      <c r="U433" t="s">
        <v>46</v>
      </c>
      <c r="W433" t="s">
        <v>26009</v>
      </c>
    </row>
    <row r="434" spans="1:23" x14ac:dyDescent="0.35">
      <c r="A434">
        <v>234208</v>
      </c>
      <c r="B434" t="s">
        <v>27598</v>
      </c>
      <c r="C434" t="str">
        <f>"9780805839883"</f>
        <v>9780805839883</v>
      </c>
      <c r="D434" t="str">
        <f>"9781410611444"</f>
        <v>9781410611444</v>
      </c>
      <c r="E434" t="s">
        <v>26010</v>
      </c>
      <c r="F434" t="s">
        <v>35</v>
      </c>
      <c r="G434" t="s">
        <v>22436</v>
      </c>
      <c r="H434" t="s">
        <v>26004</v>
      </c>
      <c r="I434" s="26">
        <v>38190</v>
      </c>
      <c r="J434">
        <v>2005</v>
      </c>
      <c r="K434" t="s">
        <v>26012</v>
      </c>
      <c r="L434">
        <v>569</v>
      </c>
      <c r="M434" t="s">
        <v>27599</v>
      </c>
      <c r="N434">
        <v>1</v>
      </c>
      <c r="Q434" t="s">
        <v>27600</v>
      </c>
      <c r="R434" t="s">
        <v>27601</v>
      </c>
      <c r="S434" t="s">
        <v>9102</v>
      </c>
      <c r="T434" t="s">
        <v>30</v>
      </c>
      <c r="U434" t="s">
        <v>26094</v>
      </c>
      <c r="W434" t="s">
        <v>26009</v>
      </c>
    </row>
    <row r="435" spans="1:23" x14ac:dyDescent="0.35">
      <c r="A435">
        <v>234209</v>
      </c>
      <c r="B435" t="s">
        <v>9883</v>
      </c>
      <c r="C435" t="str">
        <f>"9780805841244"</f>
        <v>9780805841244</v>
      </c>
      <c r="D435" t="str">
        <f>"9781410609649"</f>
        <v>9781410609649</v>
      </c>
      <c r="E435" t="s">
        <v>26010</v>
      </c>
      <c r="F435" t="s">
        <v>35</v>
      </c>
      <c r="G435" t="s">
        <v>26128</v>
      </c>
      <c r="H435" t="s">
        <v>26011</v>
      </c>
      <c r="I435" s="26">
        <v>37926</v>
      </c>
      <c r="J435">
        <v>2004</v>
      </c>
      <c r="K435" t="s">
        <v>660</v>
      </c>
      <c r="L435">
        <v>301</v>
      </c>
      <c r="M435" t="s">
        <v>27602</v>
      </c>
      <c r="N435">
        <v>1</v>
      </c>
      <c r="R435" t="s">
        <v>27603</v>
      </c>
      <c r="S435" t="s">
        <v>27604</v>
      </c>
      <c r="T435" t="s">
        <v>30</v>
      </c>
      <c r="U435" t="s">
        <v>26044</v>
      </c>
      <c r="W435" t="s">
        <v>26009</v>
      </c>
    </row>
    <row r="436" spans="1:23" x14ac:dyDescent="0.35">
      <c r="A436">
        <v>234210</v>
      </c>
      <c r="B436" t="s">
        <v>27605</v>
      </c>
      <c r="C436" t="str">
        <f>"9780805845273"</f>
        <v>9780805845273</v>
      </c>
      <c r="D436" t="str">
        <f>"9781410609533"</f>
        <v>9781410609533</v>
      </c>
      <c r="E436" t="s">
        <v>26010</v>
      </c>
      <c r="F436" t="s">
        <v>35</v>
      </c>
      <c r="G436" t="s">
        <v>22436</v>
      </c>
      <c r="H436" t="s">
        <v>26004</v>
      </c>
      <c r="I436" s="26">
        <v>37895</v>
      </c>
      <c r="J436">
        <v>2003</v>
      </c>
      <c r="K436" t="s">
        <v>660</v>
      </c>
      <c r="L436">
        <v>360</v>
      </c>
      <c r="M436" t="s">
        <v>27606</v>
      </c>
      <c r="N436">
        <v>1</v>
      </c>
      <c r="Q436" t="s">
        <v>27607</v>
      </c>
      <c r="R436">
        <v>153.19999999999999</v>
      </c>
      <c r="S436" t="s">
        <v>27608</v>
      </c>
      <c r="T436" t="s">
        <v>30</v>
      </c>
      <c r="U436" t="s">
        <v>46</v>
      </c>
      <c r="W436" t="s">
        <v>26009</v>
      </c>
    </row>
    <row r="437" spans="1:23" x14ac:dyDescent="0.35">
      <c r="A437">
        <v>234213</v>
      </c>
      <c r="B437" t="s">
        <v>27609</v>
      </c>
      <c r="C437" t="str">
        <f>"9780805833966"</f>
        <v>9780805833966</v>
      </c>
      <c r="D437" t="str">
        <f>"9781410613097"</f>
        <v>9781410613097</v>
      </c>
      <c r="E437" t="s">
        <v>26010</v>
      </c>
      <c r="F437" t="s">
        <v>35</v>
      </c>
      <c r="G437" t="s">
        <v>22436</v>
      </c>
      <c r="H437" t="s">
        <v>26004</v>
      </c>
      <c r="I437" s="26">
        <v>37377</v>
      </c>
      <c r="J437">
        <v>2002</v>
      </c>
      <c r="K437" t="s">
        <v>660</v>
      </c>
      <c r="L437">
        <v>184</v>
      </c>
      <c r="M437" t="s">
        <v>27610</v>
      </c>
      <c r="N437">
        <v>1</v>
      </c>
      <c r="Q437" t="s">
        <v>27611</v>
      </c>
      <c r="R437" t="s">
        <v>27612</v>
      </c>
      <c r="S437" t="s">
        <v>9011</v>
      </c>
      <c r="T437" t="s">
        <v>30</v>
      </c>
      <c r="U437" t="s">
        <v>46</v>
      </c>
      <c r="W437" t="s">
        <v>26009</v>
      </c>
    </row>
    <row r="438" spans="1:23" x14ac:dyDescent="0.35">
      <c r="A438">
        <v>234220</v>
      </c>
      <c r="B438" t="s">
        <v>10009</v>
      </c>
      <c r="C438" t="str">
        <f>"9780805848632"</f>
        <v>9780805848632</v>
      </c>
      <c r="D438" t="str">
        <f>"9781410610447"</f>
        <v>9781410610447</v>
      </c>
      <c r="E438" t="s">
        <v>26010</v>
      </c>
      <c r="F438" t="s">
        <v>35</v>
      </c>
      <c r="G438" t="s">
        <v>22436</v>
      </c>
      <c r="H438" t="s">
        <v>26004</v>
      </c>
      <c r="I438" s="26">
        <v>38076</v>
      </c>
      <c r="J438">
        <v>2004</v>
      </c>
      <c r="K438" t="s">
        <v>26012</v>
      </c>
      <c r="L438">
        <v>323</v>
      </c>
      <c r="M438" t="s">
        <v>27613</v>
      </c>
      <c r="N438">
        <v>3</v>
      </c>
      <c r="Q438" t="s">
        <v>27614</v>
      </c>
      <c r="R438" t="s">
        <v>27615</v>
      </c>
      <c r="S438" t="s">
        <v>27616</v>
      </c>
      <c r="T438" t="s">
        <v>30</v>
      </c>
      <c r="U438" t="s">
        <v>26044</v>
      </c>
      <c r="W438" t="s">
        <v>26009</v>
      </c>
    </row>
    <row r="439" spans="1:23" x14ac:dyDescent="0.35">
      <c r="A439">
        <v>234221</v>
      </c>
      <c r="B439" t="s">
        <v>27617</v>
      </c>
      <c r="C439" t="str">
        <f>"9780805840926"</f>
        <v>9780805840926</v>
      </c>
      <c r="D439" t="str">
        <f>"9781410610546"</f>
        <v>9781410610546</v>
      </c>
      <c r="E439" t="s">
        <v>26010</v>
      </c>
      <c r="F439" t="s">
        <v>35</v>
      </c>
      <c r="G439" t="s">
        <v>22436</v>
      </c>
      <c r="H439" t="s">
        <v>26004</v>
      </c>
      <c r="I439" s="26">
        <v>38098</v>
      </c>
      <c r="J439">
        <v>2004</v>
      </c>
      <c r="K439" t="s">
        <v>660</v>
      </c>
      <c r="L439">
        <v>437</v>
      </c>
      <c r="M439" t="s">
        <v>27618</v>
      </c>
      <c r="N439">
        <v>1</v>
      </c>
      <c r="O439" t="s">
        <v>27533</v>
      </c>
      <c r="Q439" t="s">
        <v>27619</v>
      </c>
      <c r="R439">
        <v>153.6</v>
      </c>
      <c r="S439" t="s">
        <v>27620</v>
      </c>
      <c r="T439" t="s">
        <v>30</v>
      </c>
      <c r="U439" t="s">
        <v>46</v>
      </c>
      <c r="W439" t="s">
        <v>26009</v>
      </c>
    </row>
    <row r="440" spans="1:23" x14ac:dyDescent="0.35">
      <c r="A440">
        <v>234230</v>
      </c>
      <c r="B440" t="s">
        <v>7792</v>
      </c>
      <c r="C440" t="str">
        <f>"9780805843361"</f>
        <v>9780805843361</v>
      </c>
      <c r="D440" t="str">
        <f>"9781410610966"</f>
        <v>9781410610966</v>
      </c>
      <c r="E440" t="s">
        <v>26010</v>
      </c>
      <c r="F440" t="s">
        <v>35</v>
      </c>
      <c r="G440" t="s">
        <v>22436</v>
      </c>
      <c r="H440" t="s">
        <v>26004</v>
      </c>
      <c r="I440" s="26">
        <v>38169</v>
      </c>
      <c r="J440">
        <v>2004</v>
      </c>
      <c r="K440" t="s">
        <v>660</v>
      </c>
      <c r="L440">
        <v>285</v>
      </c>
      <c r="M440" t="s">
        <v>27621</v>
      </c>
      <c r="N440">
        <v>1</v>
      </c>
      <c r="O440" t="s">
        <v>27622</v>
      </c>
      <c r="Q440" t="s">
        <v>27623</v>
      </c>
      <c r="R440">
        <v>155</v>
      </c>
      <c r="S440" t="s">
        <v>7793</v>
      </c>
      <c r="T440" t="s">
        <v>30</v>
      </c>
      <c r="U440" t="s">
        <v>46</v>
      </c>
      <c r="W440" t="s">
        <v>26009</v>
      </c>
    </row>
    <row r="441" spans="1:23" x14ac:dyDescent="0.35">
      <c r="A441">
        <v>234231</v>
      </c>
      <c r="B441" t="s">
        <v>27624</v>
      </c>
      <c r="C441" t="str">
        <f>"9780805844733"</f>
        <v>9780805844733</v>
      </c>
      <c r="D441" t="str">
        <f>"9781410610423"</f>
        <v>9781410610423</v>
      </c>
      <c r="E441" t="s">
        <v>26010</v>
      </c>
      <c r="F441" t="s">
        <v>35</v>
      </c>
      <c r="G441" t="s">
        <v>22436</v>
      </c>
      <c r="H441" t="s">
        <v>26004</v>
      </c>
      <c r="I441" s="26">
        <v>38085</v>
      </c>
      <c r="J441">
        <v>2004</v>
      </c>
      <c r="K441" t="s">
        <v>660</v>
      </c>
      <c r="L441">
        <v>287</v>
      </c>
      <c r="M441" t="s">
        <v>27625</v>
      </c>
      <c r="N441">
        <v>1</v>
      </c>
      <c r="Q441" t="s">
        <v>27626</v>
      </c>
      <c r="R441">
        <v>155</v>
      </c>
      <c r="S441" t="s">
        <v>27627</v>
      </c>
      <c r="T441" t="s">
        <v>30</v>
      </c>
      <c r="U441" t="s">
        <v>46</v>
      </c>
      <c r="W441" t="s">
        <v>26009</v>
      </c>
    </row>
    <row r="442" spans="1:23" x14ac:dyDescent="0.35">
      <c r="A442">
        <v>234233</v>
      </c>
      <c r="B442" t="s">
        <v>27628</v>
      </c>
      <c r="C442" t="str">
        <f>"9780805839913"</f>
        <v>9780805839913</v>
      </c>
      <c r="D442" t="str">
        <f>"9781410610041"</f>
        <v>9781410610041</v>
      </c>
      <c r="E442" t="s">
        <v>26010</v>
      </c>
      <c r="F442" t="s">
        <v>35</v>
      </c>
      <c r="G442" t="s">
        <v>22436</v>
      </c>
      <c r="H442" t="s">
        <v>26004</v>
      </c>
      <c r="I442" s="26">
        <v>38047</v>
      </c>
      <c r="J442">
        <v>2004</v>
      </c>
      <c r="K442" t="s">
        <v>26012</v>
      </c>
      <c r="L442">
        <v>255</v>
      </c>
      <c r="M442" t="s">
        <v>27629</v>
      </c>
      <c r="N442">
        <v>1</v>
      </c>
      <c r="O442" t="s">
        <v>27630</v>
      </c>
      <c r="Q442" t="s">
        <v>27631</v>
      </c>
      <c r="R442">
        <v>153.9</v>
      </c>
      <c r="S442" t="s">
        <v>27632</v>
      </c>
      <c r="T442" t="s">
        <v>30</v>
      </c>
      <c r="U442" t="s">
        <v>46</v>
      </c>
      <c r="W442" t="s">
        <v>26009</v>
      </c>
    </row>
    <row r="443" spans="1:23" x14ac:dyDescent="0.35">
      <c r="A443">
        <v>234244</v>
      </c>
      <c r="B443" t="s">
        <v>27633</v>
      </c>
      <c r="C443" t="str">
        <f>"9780805845563"</f>
        <v>9780805845563</v>
      </c>
      <c r="D443" t="str">
        <f>"9781410610515"</f>
        <v>9781410610515</v>
      </c>
      <c r="E443" t="s">
        <v>26010</v>
      </c>
      <c r="F443" t="s">
        <v>35</v>
      </c>
      <c r="G443" t="s">
        <v>22436</v>
      </c>
      <c r="H443" t="s">
        <v>26004</v>
      </c>
      <c r="I443" s="26">
        <v>38083</v>
      </c>
      <c r="J443">
        <v>2004</v>
      </c>
      <c r="K443" t="s">
        <v>26012</v>
      </c>
      <c r="L443">
        <v>470</v>
      </c>
      <c r="M443" t="s">
        <v>27634</v>
      </c>
      <c r="N443">
        <v>1</v>
      </c>
      <c r="O443" t="s">
        <v>27630</v>
      </c>
      <c r="Q443" t="s">
        <v>27635</v>
      </c>
      <c r="R443">
        <v>153.9</v>
      </c>
      <c r="S443" t="s">
        <v>27636</v>
      </c>
      <c r="T443" t="s">
        <v>30</v>
      </c>
      <c r="U443" t="s">
        <v>46</v>
      </c>
      <c r="W443" t="s">
        <v>26009</v>
      </c>
    </row>
    <row r="444" spans="1:23" x14ac:dyDescent="0.35">
      <c r="A444">
        <v>234248</v>
      </c>
      <c r="B444" t="s">
        <v>8353</v>
      </c>
      <c r="C444" t="str">
        <f>"9780805843774"</f>
        <v>9780805843774</v>
      </c>
      <c r="D444" t="str">
        <f>"9781410609892"</f>
        <v>9781410609892</v>
      </c>
      <c r="E444" t="s">
        <v>26010</v>
      </c>
      <c r="F444" t="s">
        <v>35</v>
      </c>
      <c r="G444" t="s">
        <v>22436</v>
      </c>
      <c r="H444" t="s">
        <v>26004</v>
      </c>
      <c r="I444" s="26">
        <v>38027</v>
      </c>
      <c r="J444">
        <v>2004</v>
      </c>
      <c r="K444" t="s">
        <v>660</v>
      </c>
      <c r="L444">
        <v>369</v>
      </c>
      <c r="M444" t="s">
        <v>27637</v>
      </c>
      <c r="N444">
        <v>1</v>
      </c>
      <c r="Q444" t="s">
        <v>27638</v>
      </c>
      <c r="R444">
        <v>155.69999999999999</v>
      </c>
      <c r="S444" t="s">
        <v>8316</v>
      </c>
      <c r="T444" t="s">
        <v>30</v>
      </c>
      <c r="U444" t="s">
        <v>46</v>
      </c>
      <c r="W444" t="s">
        <v>26009</v>
      </c>
    </row>
    <row r="445" spans="1:23" x14ac:dyDescent="0.35">
      <c r="A445">
        <v>234250</v>
      </c>
      <c r="B445" t="s">
        <v>8025</v>
      </c>
      <c r="C445" t="str">
        <f>"9780805843576"</f>
        <v>9780805843576</v>
      </c>
      <c r="D445" t="str">
        <f>"9781410610843"</f>
        <v>9781410610843</v>
      </c>
      <c r="E445" t="s">
        <v>26010</v>
      </c>
      <c r="F445" t="s">
        <v>35</v>
      </c>
      <c r="G445" t="s">
        <v>22436</v>
      </c>
      <c r="H445" t="s">
        <v>26004</v>
      </c>
      <c r="I445" s="26">
        <v>38134</v>
      </c>
      <c r="J445">
        <v>2004</v>
      </c>
      <c r="K445" t="s">
        <v>26012</v>
      </c>
      <c r="L445">
        <v>388</v>
      </c>
      <c r="M445" t="s">
        <v>27639</v>
      </c>
      <c r="N445">
        <v>1</v>
      </c>
      <c r="Q445" t="s">
        <v>27640</v>
      </c>
      <c r="R445">
        <v>306.87200000000001</v>
      </c>
      <c r="S445" t="s">
        <v>27641</v>
      </c>
      <c r="T445" t="s">
        <v>30</v>
      </c>
      <c r="U445" t="s">
        <v>26044</v>
      </c>
      <c r="W445" t="s">
        <v>26009</v>
      </c>
    </row>
    <row r="446" spans="1:23" x14ac:dyDescent="0.35">
      <c r="A446">
        <v>234252</v>
      </c>
      <c r="B446" t="s">
        <v>27642</v>
      </c>
      <c r="C446" t="str">
        <f>"9780805851298"</f>
        <v>9780805851298</v>
      </c>
      <c r="D446" t="str">
        <f>"9781410611239"</f>
        <v>9781410611239</v>
      </c>
      <c r="E446" t="s">
        <v>26010</v>
      </c>
      <c r="F446" t="s">
        <v>35</v>
      </c>
      <c r="G446" t="s">
        <v>26128</v>
      </c>
      <c r="H446" t="s">
        <v>26011</v>
      </c>
      <c r="I446" s="26">
        <v>38215</v>
      </c>
      <c r="J446">
        <v>2004</v>
      </c>
      <c r="K446" t="s">
        <v>26012</v>
      </c>
      <c r="L446">
        <v>361</v>
      </c>
      <c r="M446" t="s">
        <v>27585</v>
      </c>
      <c r="N446">
        <v>1</v>
      </c>
      <c r="Q446" t="s">
        <v>27643</v>
      </c>
      <c r="R446">
        <v>153</v>
      </c>
      <c r="S446" t="s">
        <v>27644</v>
      </c>
      <c r="T446" t="s">
        <v>30</v>
      </c>
      <c r="U446" t="s">
        <v>46</v>
      </c>
      <c r="W446" t="s">
        <v>26009</v>
      </c>
    </row>
    <row r="447" spans="1:23" x14ac:dyDescent="0.35">
      <c r="A447">
        <v>234253</v>
      </c>
      <c r="B447" t="s">
        <v>27645</v>
      </c>
      <c r="C447" t="str">
        <f>"9780805848717"</f>
        <v>9780805848717</v>
      </c>
      <c r="D447" t="str">
        <f>"9781410610874"</f>
        <v>9781410610874</v>
      </c>
      <c r="E447" t="s">
        <v>26010</v>
      </c>
      <c r="F447" t="s">
        <v>35</v>
      </c>
      <c r="G447" t="s">
        <v>22436</v>
      </c>
      <c r="H447" t="s">
        <v>26004</v>
      </c>
      <c r="I447" s="26">
        <v>38140</v>
      </c>
      <c r="J447">
        <v>2004</v>
      </c>
      <c r="K447" t="s">
        <v>660</v>
      </c>
      <c r="L447">
        <v>316</v>
      </c>
      <c r="M447" t="s">
        <v>27646</v>
      </c>
      <c r="N447">
        <v>1</v>
      </c>
      <c r="O447" t="s">
        <v>27647</v>
      </c>
      <c r="Q447" t="s">
        <v>27648</v>
      </c>
      <c r="R447" t="s">
        <v>27649</v>
      </c>
      <c r="S447" t="s">
        <v>27650</v>
      </c>
      <c r="T447" t="s">
        <v>30</v>
      </c>
      <c r="U447" t="s">
        <v>27319</v>
      </c>
      <c r="W447" t="s">
        <v>26009</v>
      </c>
    </row>
    <row r="448" spans="1:23" x14ac:dyDescent="0.35">
      <c r="A448">
        <v>234257</v>
      </c>
      <c r="B448" t="s">
        <v>27651</v>
      </c>
      <c r="C448" t="str">
        <f>"9780805841961"</f>
        <v>9780805841961</v>
      </c>
      <c r="D448" t="str">
        <f>"9781410613110"</f>
        <v>9781410613110</v>
      </c>
      <c r="E448" t="s">
        <v>26010</v>
      </c>
      <c r="F448" t="s">
        <v>35</v>
      </c>
      <c r="G448" t="s">
        <v>22436</v>
      </c>
      <c r="H448" t="s">
        <v>26004</v>
      </c>
      <c r="I448" s="26">
        <v>37408</v>
      </c>
      <c r="J448">
        <v>2002</v>
      </c>
      <c r="K448" t="s">
        <v>660</v>
      </c>
      <c r="L448">
        <v>296</v>
      </c>
      <c r="M448" t="s">
        <v>27652</v>
      </c>
      <c r="N448">
        <v>1</v>
      </c>
      <c r="Q448" t="s">
        <v>27653</v>
      </c>
      <c r="R448" t="s">
        <v>26360</v>
      </c>
      <c r="S448" t="s">
        <v>27654</v>
      </c>
      <c r="T448" t="s">
        <v>30</v>
      </c>
      <c r="U448" t="s">
        <v>46</v>
      </c>
      <c r="W448" t="s">
        <v>26009</v>
      </c>
    </row>
    <row r="449" spans="1:23" x14ac:dyDescent="0.35">
      <c r="A449">
        <v>234266</v>
      </c>
      <c r="B449" t="s">
        <v>27655</v>
      </c>
      <c r="C449" t="str">
        <f>"9780805840940"</f>
        <v>9780805840940</v>
      </c>
      <c r="D449" t="str">
        <f>"9781410611406"</f>
        <v>9781410611406</v>
      </c>
      <c r="E449" t="s">
        <v>26010</v>
      </c>
      <c r="F449" t="s">
        <v>35</v>
      </c>
      <c r="G449" t="s">
        <v>22436</v>
      </c>
      <c r="H449" t="s">
        <v>26004</v>
      </c>
      <c r="I449" s="26">
        <v>38201</v>
      </c>
      <c r="J449">
        <v>2004</v>
      </c>
      <c r="K449" t="s">
        <v>660</v>
      </c>
      <c r="L449">
        <v>370</v>
      </c>
      <c r="M449" t="s">
        <v>27656</v>
      </c>
      <c r="N449">
        <v>1</v>
      </c>
      <c r="O449" t="s">
        <v>27657</v>
      </c>
      <c r="Q449" t="s">
        <v>27658</v>
      </c>
      <c r="R449" t="s">
        <v>27659</v>
      </c>
      <c r="S449" t="s">
        <v>27660</v>
      </c>
      <c r="T449" t="s">
        <v>30</v>
      </c>
      <c r="U449" t="s">
        <v>46</v>
      </c>
      <c r="W449" t="s">
        <v>26009</v>
      </c>
    </row>
    <row r="450" spans="1:23" x14ac:dyDescent="0.35">
      <c r="A450">
        <v>234272</v>
      </c>
      <c r="B450" t="s">
        <v>27661</v>
      </c>
      <c r="C450" t="str">
        <f>"9780805848328"</f>
        <v>9780805848328</v>
      </c>
      <c r="D450" t="str">
        <f>"9781410609540"</f>
        <v>9781410609540</v>
      </c>
      <c r="E450" t="s">
        <v>26010</v>
      </c>
      <c r="F450" t="s">
        <v>35</v>
      </c>
      <c r="G450" t="s">
        <v>26128</v>
      </c>
      <c r="H450" t="s">
        <v>26011</v>
      </c>
      <c r="I450" s="26">
        <v>37895</v>
      </c>
      <c r="J450">
        <v>2002</v>
      </c>
      <c r="K450" t="s">
        <v>26012</v>
      </c>
      <c r="L450">
        <v>279</v>
      </c>
      <c r="M450" t="s">
        <v>27662</v>
      </c>
      <c r="N450">
        <v>1</v>
      </c>
      <c r="O450" t="s">
        <v>27663</v>
      </c>
      <c r="R450">
        <v>306.7</v>
      </c>
      <c r="S450" t="s">
        <v>27664</v>
      </c>
      <c r="T450" t="s">
        <v>30</v>
      </c>
      <c r="U450" t="s">
        <v>26044</v>
      </c>
      <c r="W450" t="s">
        <v>26009</v>
      </c>
    </row>
    <row r="451" spans="1:23" x14ac:dyDescent="0.35">
      <c r="A451">
        <v>234276</v>
      </c>
      <c r="B451" t="s">
        <v>27665</v>
      </c>
      <c r="C451" t="str">
        <f>"9780805851076"</f>
        <v>9780805851076</v>
      </c>
      <c r="D451" t="str">
        <f>"9781410611062"</f>
        <v>9781410611062</v>
      </c>
      <c r="E451" t="s">
        <v>26010</v>
      </c>
      <c r="F451" t="s">
        <v>35</v>
      </c>
      <c r="G451" t="s">
        <v>22436</v>
      </c>
      <c r="H451" t="s">
        <v>26004</v>
      </c>
      <c r="I451" s="26">
        <v>38184</v>
      </c>
      <c r="J451">
        <v>2004</v>
      </c>
      <c r="K451" t="s">
        <v>660</v>
      </c>
      <c r="L451">
        <v>217</v>
      </c>
      <c r="M451" t="s">
        <v>27666</v>
      </c>
      <c r="N451">
        <v>1</v>
      </c>
      <c r="Q451" t="s">
        <v>27667</v>
      </c>
      <c r="R451">
        <v>150.19</v>
      </c>
      <c r="S451" t="s">
        <v>27668</v>
      </c>
      <c r="T451" t="s">
        <v>30</v>
      </c>
      <c r="U451" t="s">
        <v>46</v>
      </c>
      <c r="W451" t="s">
        <v>26009</v>
      </c>
    </row>
    <row r="452" spans="1:23" x14ac:dyDescent="0.35">
      <c r="A452">
        <v>234289</v>
      </c>
      <c r="B452" t="s">
        <v>9703</v>
      </c>
      <c r="C452" t="str">
        <f>"9780805842012"</f>
        <v>9780805842012</v>
      </c>
      <c r="D452" t="str">
        <f>"9781410610898"</f>
        <v>9781410610898</v>
      </c>
      <c r="E452" t="s">
        <v>26010</v>
      </c>
      <c r="F452" t="s">
        <v>35</v>
      </c>
      <c r="G452" t="s">
        <v>22436</v>
      </c>
      <c r="H452" t="s">
        <v>26004</v>
      </c>
      <c r="I452" s="26">
        <v>38140</v>
      </c>
      <c r="J452">
        <v>2004</v>
      </c>
      <c r="K452" t="s">
        <v>660</v>
      </c>
      <c r="L452">
        <v>436</v>
      </c>
      <c r="M452" t="s">
        <v>27669</v>
      </c>
      <c r="N452">
        <v>1</v>
      </c>
      <c r="Q452" t="s">
        <v>27670</v>
      </c>
      <c r="R452">
        <v>152.4</v>
      </c>
      <c r="S452" t="s">
        <v>27671</v>
      </c>
      <c r="T452" t="s">
        <v>30</v>
      </c>
      <c r="U452" t="s">
        <v>46</v>
      </c>
      <c r="W452" t="s">
        <v>26009</v>
      </c>
    </row>
    <row r="453" spans="1:23" x14ac:dyDescent="0.35">
      <c r="A453">
        <v>234290</v>
      </c>
      <c r="B453" t="s">
        <v>27672</v>
      </c>
      <c r="C453" t="str">
        <f>"9780805839159"</f>
        <v>9780805839159</v>
      </c>
      <c r="D453" t="str">
        <f>"9781410611413"</f>
        <v>9781410611413</v>
      </c>
      <c r="E453" t="s">
        <v>26010</v>
      </c>
      <c r="F453" t="s">
        <v>35</v>
      </c>
      <c r="G453" t="s">
        <v>22436</v>
      </c>
      <c r="H453" t="s">
        <v>26004</v>
      </c>
      <c r="I453" s="26">
        <v>38190</v>
      </c>
      <c r="J453">
        <v>2004</v>
      </c>
      <c r="K453" t="s">
        <v>660</v>
      </c>
      <c r="L453">
        <v>391</v>
      </c>
      <c r="M453" t="s">
        <v>27673</v>
      </c>
      <c r="N453">
        <v>1</v>
      </c>
      <c r="Q453" t="s">
        <v>27674</v>
      </c>
      <c r="R453">
        <v>302</v>
      </c>
      <c r="S453" t="s">
        <v>27675</v>
      </c>
      <c r="T453" t="s">
        <v>30</v>
      </c>
      <c r="U453" t="s">
        <v>26044</v>
      </c>
      <c r="W453" t="s">
        <v>26009</v>
      </c>
    </row>
    <row r="454" spans="1:23" x14ac:dyDescent="0.35">
      <c r="A454">
        <v>234291</v>
      </c>
      <c r="B454" t="s">
        <v>27676</v>
      </c>
      <c r="C454" t="str">
        <f>"9780805841886"</f>
        <v>9780805841886</v>
      </c>
      <c r="D454" t="str">
        <f>"9781410610973"</f>
        <v>9781410610973</v>
      </c>
      <c r="E454" t="s">
        <v>26010</v>
      </c>
      <c r="F454" t="s">
        <v>35</v>
      </c>
      <c r="G454" t="s">
        <v>22436</v>
      </c>
      <c r="H454" t="s">
        <v>26004</v>
      </c>
      <c r="I454" s="26">
        <v>38169</v>
      </c>
      <c r="J454">
        <v>2004</v>
      </c>
      <c r="K454" t="s">
        <v>660</v>
      </c>
      <c r="L454">
        <v>228</v>
      </c>
      <c r="M454" t="s">
        <v>27677</v>
      </c>
      <c r="N454">
        <v>1</v>
      </c>
      <c r="Q454" t="s">
        <v>27678</v>
      </c>
      <c r="R454" t="s">
        <v>26420</v>
      </c>
      <c r="S454" t="s">
        <v>27679</v>
      </c>
      <c r="T454" t="s">
        <v>30</v>
      </c>
      <c r="U454" t="s">
        <v>46</v>
      </c>
      <c r="W454" t="s">
        <v>26009</v>
      </c>
    </row>
    <row r="455" spans="1:23" x14ac:dyDescent="0.35">
      <c r="A455">
        <v>234295</v>
      </c>
      <c r="B455" t="s">
        <v>9766</v>
      </c>
      <c r="C455" t="str">
        <f>"9780805818024"</f>
        <v>9780805818024</v>
      </c>
      <c r="D455" t="str">
        <f>"9781410611048"</f>
        <v>9781410611048</v>
      </c>
      <c r="E455" t="s">
        <v>26010</v>
      </c>
      <c r="F455" t="s">
        <v>35</v>
      </c>
      <c r="G455" t="s">
        <v>22436</v>
      </c>
      <c r="H455" t="s">
        <v>26004</v>
      </c>
      <c r="I455" s="26">
        <v>38181</v>
      </c>
      <c r="J455">
        <v>2004</v>
      </c>
      <c r="K455" t="s">
        <v>660</v>
      </c>
      <c r="L455">
        <v>254</v>
      </c>
      <c r="M455" t="s">
        <v>27680</v>
      </c>
      <c r="N455">
        <v>2</v>
      </c>
      <c r="Q455" t="s">
        <v>27681</v>
      </c>
      <c r="R455" t="s">
        <v>26032</v>
      </c>
      <c r="S455" t="s">
        <v>9767</v>
      </c>
      <c r="T455" t="s">
        <v>30</v>
      </c>
      <c r="U455" t="s">
        <v>46</v>
      </c>
      <c r="W455" t="s">
        <v>26009</v>
      </c>
    </row>
    <row r="456" spans="1:23" x14ac:dyDescent="0.35">
      <c r="A456">
        <v>235076</v>
      </c>
      <c r="B456" t="s">
        <v>27682</v>
      </c>
      <c r="C456" t="str">
        <f>"9780750707626"</f>
        <v>9780750707626</v>
      </c>
      <c r="D456" t="str">
        <f>"9780203982112"</f>
        <v>9780203982112</v>
      </c>
      <c r="E456" t="s">
        <v>26010</v>
      </c>
      <c r="F456" t="s">
        <v>35</v>
      </c>
      <c r="G456" t="s">
        <v>22174</v>
      </c>
      <c r="H456" t="s">
        <v>26011</v>
      </c>
      <c r="I456" s="26">
        <v>35916</v>
      </c>
      <c r="J456">
        <v>1998</v>
      </c>
      <c r="K456" t="s">
        <v>26012</v>
      </c>
      <c r="L456">
        <v>205</v>
      </c>
      <c r="M456" t="s">
        <v>27683</v>
      </c>
      <c r="N456">
        <v>1</v>
      </c>
      <c r="Q456" t="s">
        <v>27684</v>
      </c>
      <c r="R456">
        <v>155.41800000000001</v>
      </c>
      <c r="S456" t="s">
        <v>7581</v>
      </c>
      <c r="T456" t="s">
        <v>30</v>
      </c>
      <c r="U456" t="s">
        <v>26170</v>
      </c>
      <c r="W456" t="s">
        <v>26009</v>
      </c>
    </row>
    <row r="457" spans="1:23" x14ac:dyDescent="0.35">
      <c r="A457">
        <v>235078</v>
      </c>
      <c r="B457" t="s">
        <v>27685</v>
      </c>
      <c r="C457" t="str">
        <f>"9780415944960"</f>
        <v>9780415944960</v>
      </c>
      <c r="D457" t="str">
        <f>"9780203997659"</f>
        <v>9780203997659</v>
      </c>
      <c r="E457" t="s">
        <v>26010</v>
      </c>
      <c r="F457" t="s">
        <v>35</v>
      </c>
      <c r="G457" t="s">
        <v>22174</v>
      </c>
      <c r="H457" t="s">
        <v>26011</v>
      </c>
      <c r="I457" s="26">
        <v>38312</v>
      </c>
      <c r="J457">
        <v>2005</v>
      </c>
      <c r="K457" t="s">
        <v>26012</v>
      </c>
      <c r="L457">
        <v>256</v>
      </c>
      <c r="M457" t="s">
        <v>27686</v>
      </c>
      <c r="N457">
        <v>1</v>
      </c>
      <c r="O457" t="s">
        <v>27687</v>
      </c>
      <c r="P457">
        <v>1</v>
      </c>
      <c r="Q457" t="s">
        <v>27688</v>
      </c>
      <c r="R457" t="s">
        <v>27689</v>
      </c>
      <c r="S457" t="s">
        <v>7620</v>
      </c>
      <c r="T457" t="s">
        <v>30</v>
      </c>
      <c r="U457" t="s">
        <v>26044</v>
      </c>
      <c r="W457" t="s">
        <v>26009</v>
      </c>
    </row>
    <row r="458" spans="1:23" x14ac:dyDescent="0.35">
      <c r="A458">
        <v>235100</v>
      </c>
      <c r="B458" t="s">
        <v>27690</v>
      </c>
      <c r="C458" t="str">
        <f>"9780415230926"</f>
        <v>9780415230926</v>
      </c>
      <c r="D458" t="str">
        <f>"9780203994825"</f>
        <v>9780203994825</v>
      </c>
      <c r="E458" t="s">
        <v>26010</v>
      </c>
      <c r="F458" t="s">
        <v>35</v>
      </c>
      <c r="G458" t="s">
        <v>22174</v>
      </c>
      <c r="H458" t="s">
        <v>26011</v>
      </c>
      <c r="I458" s="26">
        <v>37547</v>
      </c>
      <c r="J458">
        <v>2002</v>
      </c>
      <c r="K458" t="s">
        <v>26012</v>
      </c>
      <c r="L458">
        <v>230</v>
      </c>
      <c r="M458" t="s">
        <v>27691</v>
      </c>
      <c r="N458">
        <v>1</v>
      </c>
      <c r="O458" t="s">
        <v>27692</v>
      </c>
      <c r="Q458" t="s">
        <v>27693</v>
      </c>
      <c r="R458">
        <v>371.58</v>
      </c>
      <c r="S458" t="s">
        <v>7747</v>
      </c>
      <c r="T458" t="s">
        <v>30</v>
      </c>
      <c r="U458" t="s">
        <v>26070</v>
      </c>
      <c r="W458" t="s">
        <v>26009</v>
      </c>
    </row>
    <row r="459" spans="1:23" x14ac:dyDescent="0.35">
      <c r="A459">
        <v>235267</v>
      </c>
      <c r="B459" t="s">
        <v>27694</v>
      </c>
      <c r="C459" t="str">
        <f>"9780415107204"</f>
        <v>9780415107204</v>
      </c>
      <c r="D459" t="str">
        <f>"9780203992531"</f>
        <v>9780203992531</v>
      </c>
      <c r="E459" t="s">
        <v>26010</v>
      </c>
      <c r="F459" t="s">
        <v>35</v>
      </c>
      <c r="G459" t="s">
        <v>26201</v>
      </c>
      <c r="H459" t="s">
        <v>26004</v>
      </c>
      <c r="I459" s="26">
        <v>34682</v>
      </c>
      <c r="J459">
        <v>1994</v>
      </c>
      <c r="K459" t="s">
        <v>26012</v>
      </c>
      <c r="L459">
        <v>185</v>
      </c>
      <c r="M459" t="s">
        <v>27695</v>
      </c>
      <c r="N459">
        <v>1</v>
      </c>
      <c r="Q459" t="s">
        <v>27696</v>
      </c>
      <c r="R459" t="s">
        <v>27697</v>
      </c>
      <c r="S459" t="s">
        <v>27698</v>
      </c>
      <c r="T459" t="s">
        <v>30</v>
      </c>
      <c r="U459" t="s">
        <v>27699</v>
      </c>
      <c r="W459" t="s">
        <v>26009</v>
      </c>
    </row>
    <row r="460" spans="1:23" x14ac:dyDescent="0.35">
      <c r="A460">
        <v>235303</v>
      </c>
      <c r="B460" t="s">
        <v>27700</v>
      </c>
      <c r="C460" t="str">
        <f>"9780415196581"</f>
        <v>9780415196581</v>
      </c>
      <c r="D460" t="str">
        <f>"9780203983423"</f>
        <v>9780203983423</v>
      </c>
      <c r="E460" t="s">
        <v>26010</v>
      </c>
      <c r="F460" t="s">
        <v>35</v>
      </c>
      <c r="G460" t="s">
        <v>22174</v>
      </c>
      <c r="H460" t="s">
        <v>26011</v>
      </c>
      <c r="I460" s="26">
        <v>36138</v>
      </c>
      <c r="J460">
        <v>1998</v>
      </c>
      <c r="K460" t="s">
        <v>26012</v>
      </c>
      <c r="L460">
        <v>182</v>
      </c>
      <c r="M460" t="s">
        <v>27701</v>
      </c>
      <c r="N460">
        <v>1</v>
      </c>
      <c r="Q460" t="s">
        <v>27702</v>
      </c>
      <c r="R460" t="s">
        <v>26594</v>
      </c>
      <c r="S460" t="s">
        <v>7743</v>
      </c>
      <c r="T460" t="s">
        <v>30</v>
      </c>
      <c r="U460" t="s">
        <v>46</v>
      </c>
      <c r="W460" t="s">
        <v>26009</v>
      </c>
    </row>
    <row r="461" spans="1:23" x14ac:dyDescent="0.35">
      <c r="A461">
        <v>235401</v>
      </c>
      <c r="B461" t="s">
        <v>9370</v>
      </c>
      <c r="C461" t="str">
        <f>"9781841691800"</f>
        <v>9781841691800</v>
      </c>
      <c r="D461" t="str">
        <f>"9780203989173"</f>
        <v>9780203989173</v>
      </c>
      <c r="E461" t="s">
        <v>26010</v>
      </c>
      <c r="F461" t="s">
        <v>35</v>
      </c>
      <c r="G461" t="s">
        <v>22267</v>
      </c>
      <c r="H461" t="s">
        <v>26011</v>
      </c>
      <c r="I461" s="26">
        <v>37351</v>
      </c>
      <c r="J461">
        <v>2002</v>
      </c>
      <c r="K461" t="s">
        <v>660</v>
      </c>
      <c r="L461">
        <v>181</v>
      </c>
      <c r="M461" t="s">
        <v>27703</v>
      </c>
      <c r="N461">
        <v>1</v>
      </c>
      <c r="O461" t="s">
        <v>26132</v>
      </c>
      <c r="Q461" t="s">
        <v>27704</v>
      </c>
      <c r="R461">
        <v>302</v>
      </c>
      <c r="S461" t="s">
        <v>7546</v>
      </c>
      <c r="T461" t="s">
        <v>30</v>
      </c>
      <c r="U461" t="s">
        <v>26044</v>
      </c>
      <c r="W461" t="s">
        <v>26009</v>
      </c>
    </row>
    <row r="462" spans="1:23" x14ac:dyDescent="0.35">
      <c r="A462">
        <v>235413</v>
      </c>
      <c r="B462" t="s">
        <v>27705</v>
      </c>
      <c r="C462" t="str">
        <f>"9781583911983"</f>
        <v>9781583911983</v>
      </c>
      <c r="D462" t="str">
        <f>"9780203989340"</f>
        <v>9780203989340</v>
      </c>
      <c r="E462" t="s">
        <v>26010</v>
      </c>
      <c r="F462" t="s">
        <v>35</v>
      </c>
      <c r="G462" t="s">
        <v>22174</v>
      </c>
      <c r="H462" t="s">
        <v>26011</v>
      </c>
      <c r="I462" s="26">
        <v>37351</v>
      </c>
      <c r="J462">
        <v>2002</v>
      </c>
      <c r="K462" t="s">
        <v>26012</v>
      </c>
      <c r="L462">
        <v>152</v>
      </c>
      <c r="M462" t="s">
        <v>27706</v>
      </c>
      <c r="N462">
        <v>1</v>
      </c>
      <c r="Q462" t="s">
        <v>27707</v>
      </c>
      <c r="R462">
        <v>150.19540000000001</v>
      </c>
      <c r="S462" t="s">
        <v>9538</v>
      </c>
      <c r="T462" t="s">
        <v>30</v>
      </c>
      <c r="U462" t="s">
        <v>46</v>
      </c>
      <c r="W462" t="s">
        <v>26009</v>
      </c>
    </row>
    <row r="463" spans="1:23" x14ac:dyDescent="0.35">
      <c r="A463">
        <v>237081</v>
      </c>
      <c r="B463" t="s">
        <v>27708</v>
      </c>
      <c r="C463" t="str">
        <f>"9780805835403"</f>
        <v>9780805835403</v>
      </c>
      <c r="D463" t="str">
        <f>"9781410606303"</f>
        <v>9781410606303</v>
      </c>
      <c r="E463" t="s">
        <v>26010</v>
      </c>
      <c r="F463" t="s">
        <v>35</v>
      </c>
      <c r="G463" t="s">
        <v>22436</v>
      </c>
      <c r="H463" t="s">
        <v>26004</v>
      </c>
      <c r="I463" s="26">
        <v>37469</v>
      </c>
      <c r="J463">
        <v>2003</v>
      </c>
      <c r="K463" t="s">
        <v>660</v>
      </c>
      <c r="L463">
        <v>197</v>
      </c>
      <c r="M463" t="s">
        <v>27709</v>
      </c>
      <c r="N463">
        <v>1</v>
      </c>
      <c r="Q463" t="s">
        <v>27710</v>
      </c>
      <c r="R463">
        <v>306.87400000000002</v>
      </c>
      <c r="S463" t="s">
        <v>27711</v>
      </c>
      <c r="T463" t="s">
        <v>30</v>
      </c>
      <c r="U463" t="s">
        <v>26044</v>
      </c>
      <c r="W463" t="s">
        <v>26009</v>
      </c>
    </row>
    <row r="464" spans="1:23" x14ac:dyDescent="0.35">
      <c r="A464">
        <v>237082</v>
      </c>
      <c r="B464" t="s">
        <v>27712</v>
      </c>
      <c r="C464" t="str">
        <f>"9780805835649"</f>
        <v>9780805835649</v>
      </c>
      <c r="D464" t="str">
        <f>"9781410613059"</f>
        <v>9781410613059</v>
      </c>
      <c r="E464" t="s">
        <v>26010</v>
      </c>
      <c r="F464" t="s">
        <v>35</v>
      </c>
      <c r="G464" t="s">
        <v>22436</v>
      </c>
      <c r="H464" t="s">
        <v>26004</v>
      </c>
      <c r="I464" s="26">
        <v>37377</v>
      </c>
      <c r="J464">
        <v>2002</v>
      </c>
      <c r="K464" t="s">
        <v>660</v>
      </c>
      <c r="L464">
        <v>327</v>
      </c>
      <c r="M464" t="s">
        <v>27713</v>
      </c>
      <c r="N464">
        <v>1</v>
      </c>
      <c r="Q464" t="s">
        <v>27714</v>
      </c>
      <c r="R464">
        <v>306.87400000000002</v>
      </c>
      <c r="S464" t="s">
        <v>27715</v>
      </c>
      <c r="T464" t="s">
        <v>30</v>
      </c>
      <c r="U464" t="s">
        <v>26044</v>
      </c>
      <c r="W464" t="s">
        <v>26009</v>
      </c>
    </row>
    <row r="465" spans="1:23" x14ac:dyDescent="0.35">
      <c r="A465">
        <v>237083</v>
      </c>
      <c r="B465" t="s">
        <v>27716</v>
      </c>
      <c r="C465" t="str">
        <f>"9780805836899"</f>
        <v>9780805836899</v>
      </c>
      <c r="D465" t="str">
        <f>"9781410606341"</f>
        <v>9781410606341</v>
      </c>
      <c r="E465" t="s">
        <v>26010</v>
      </c>
      <c r="F465" t="s">
        <v>35</v>
      </c>
      <c r="G465" t="s">
        <v>22436</v>
      </c>
      <c r="H465" t="s">
        <v>26004</v>
      </c>
      <c r="I465" s="26">
        <v>37408</v>
      </c>
      <c r="J465">
        <v>2002</v>
      </c>
      <c r="K465" t="s">
        <v>660</v>
      </c>
      <c r="L465">
        <v>303</v>
      </c>
      <c r="M465" t="s">
        <v>27717</v>
      </c>
      <c r="N465">
        <v>1</v>
      </c>
      <c r="Q465" t="s">
        <v>27718</v>
      </c>
      <c r="R465">
        <v>153.6</v>
      </c>
      <c r="S465" t="s">
        <v>27719</v>
      </c>
      <c r="T465" t="s">
        <v>30</v>
      </c>
      <c r="U465" t="s">
        <v>46</v>
      </c>
      <c r="W465" t="s">
        <v>26009</v>
      </c>
    </row>
    <row r="466" spans="1:23" x14ac:dyDescent="0.35">
      <c r="A466">
        <v>237092</v>
      </c>
      <c r="B466" t="s">
        <v>9757</v>
      </c>
      <c r="C466" t="str">
        <f>"9780805840643"</f>
        <v>9780805840643</v>
      </c>
      <c r="D466" t="str">
        <f>"9781410606280"</f>
        <v>9781410606280</v>
      </c>
      <c r="E466" t="s">
        <v>26010</v>
      </c>
      <c r="F466" t="s">
        <v>35</v>
      </c>
      <c r="G466" t="s">
        <v>22436</v>
      </c>
      <c r="H466" t="s">
        <v>26004</v>
      </c>
      <c r="I466" s="26">
        <v>37438</v>
      </c>
      <c r="J466">
        <v>2002</v>
      </c>
      <c r="K466" t="s">
        <v>660</v>
      </c>
      <c r="L466">
        <v>352</v>
      </c>
      <c r="M466" t="s">
        <v>27720</v>
      </c>
      <c r="N466">
        <v>1</v>
      </c>
      <c r="Q466" t="s">
        <v>27721</v>
      </c>
      <c r="R466">
        <v>371.10199999999998</v>
      </c>
      <c r="S466" t="s">
        <v>27722</v>
      </c>
      <c r="T466" t="s">
        <v>30</v>
      </c>
      <c r="U466" t="s">
        <v>337</v>
      </c>
      <c r="W466" t="s">
        <v>26009</v>
      </c>
    </row>
    <row r="467" spans="1:23" x14ac:dyDescent="0.35">
      <c r="A467">
        <v>237093</v>
      </c>
      <c r="B467" t="s">
        <v>9584</v>
      </c>
      <c r="C467" t="str">
        <f>"9780805840964"</f>
        <v>9780805840964</v>
      </c>
      <c r="D467" t="str">
        <f>"9781410606310"</f>
        <v>9781410606310</v>
      </c>
      <c r="E467" t="s">
        <v>26010</v>
      </c>
      <c r="F467" t="s">
        <v>35</v>
      </c>
      <c r="G467" t="s">
        <v>22436</v>
      </c>
      <c r="H467" t="s">
        <v>26004</v>
      </c>
      <c r="I467" s="26">
        <v>37469</v>
      </c>
      <c r="J467">
        <v>2003</v>
      </c>
      <c r="K467" t="s">
        <v>660</v>
      </c>
      <c r="L467">
        <v>329</v>
      </c>
      <c r="M467" t="s">
        <v>27723</v>
      </c>
      <c r="N467">
        <v>1</v>
      </c>
      <c r="Q467" t="s">
        <v>27724</v>
      </c>
      <c r="R467" t="s">
        <v>27725</v>
      </c>
      <c r="S467" t="s">
        <v>9585</v>
      </c>
      <c r="T467" t="s">
        <v>30</v>
      </c>
      <c r="U467" t="s">
        <v>46</v>
      </c>
      <c r="W467" t="s">
        <v>26009</v>
      </c>
    </row>
    <row r="468" spans="1:23" x14ac:dyDescent="0.35">
      <c r="A468">
        <v>237095</v>
      </c>
      <c r="B468" t="s">
        <v>8345</v>
      </c>
      <c r="C468" t="str">
        <f>"9780805842166"</f>
        <v>9780805842166</v>
      </c>
      <c r="D468" t="str">
        <f>"9781410606372"</f>
        <v>9781410606372</v>
      </c>
      <c r="E468" t="s">
        <v>26010</v>
      </c>
      <c r="F468" t="s">
        <v>35</v>
      </c>
      <c r="G468" t="s">
        <v>22436</v>
      </c>
      <c r="H468" t="s">
        <v>26004</v>
      </c>
      <c r="I468" s="26">
        <v>37469</v>
      </c>
      <c r="J468">
        <v>2002</v>
      </c>
      <c r="K468" t="s">
        <v>660</v>
      </c>
      <c r="L468">
        <v>391</v>
      </c>
      <c r="M468" t="s">
        <v>27726</v>
      </c>
      <c r="N468">
        <v>1</v>
      </c>
      <c r="Q468" t="s">
        <v>27727</v>
      </c>
      <c r="R468">
        <v>155.69999999999999</v>
      </c>
      <c r="S468" t="s">
        <v>8316</v>
      </c>
      <c r="T468" t="s">
        <v>30</v>
      </c>
      <c r="U468" t="s">
        <v>46</v>
      </c>
      <c r="W468" t="s">
        <v>26009</v>
      </c>
    </row>
    <row r="469" spans="1:23" x14ac:dyDescent="0.35">
      <c r="A469">
        <v>237098</v>
      </c>
      <c r="B469" t="s">
        <v>27728</v>
      </c>
      <c r="C469" t="str">
        <f>"9780805842456"</f>
        <v>9780805842456</v>
      </c>
      <c r="D469" t="str">
        <f>"9781410610805"</f>
        <v>9781410610805</v>
      </c>
      <c r="E469" t="s">
        <v>26010</v>
      </c>
      <c r="F469" t="s">
        <v>35</v>
      </c>
      <c r="G469" t="s">
        <v>22436</v>
      </c>
      <c r="H469" t="s">
        <v>26004</v>
      </c>
      <c r="I469" s="26">
        <v>38134</v>
      </c>
      <c r="J469">
        <v>2004</v>
      </c>
      <c r="K469" t="s">
        <v>26012</v>
      </c>
      <c r="L469">
        <v>528</v>
      </c>
      <c r="M469" t="s">
        <v>27729</v>
      </c>
      <c r="N469">
        <v>1</v>
      </c>
      <c r="Q469" t="s">
        <v>27730</v>
      </c>
      <c r="R469" t="s">
        <v>27731</v>
      </c>
      <c r="S469" t="s">
        <v>27732</v>
      </c>
      <c r="T469" t="s">
        <v>30</v>
      </c>
      <c r="U469" t="s">
        <v>26044</v>
      </c>
      <c r="W469" t="s">
        <v>26009</v>
      </c>
    </row>
    <row r="470" spans="1:23" x14ac:dyDescent="0.35">
      <c r="A470">
        <v>237101</v>
      </c>
      <c r="B470" t="s">
        <v>7935</v>
      </c>
      <c r="C470" t="str">
        <f>"9780805843590"</f>
        <v>9780805843590</v>
      </c>
      <c r="D470" t="str">
        <f>"9781410609380"</f>
        <v>9781410609380</v>
      </c>
      <c r="E470" t="s">
        <v>26010</v>
      </c>
      <c r="F470" t="s">
        <v>35</v>
      </c>
      <c r="G470" t="s">
        <v>22436</v>
      </c>
      <c r="H470" t="s">
        <v>26004</v>
      </c>
      <c r="I470" s="26">
        <v>37865</v>
      </c>
      <c r="J470">
        <v>2003</v>
      </c>
      <c r="K470" t="s">
        <v>26012</v>
      </c>
      <c r="L470">
        <v>443</v>
      </c>
      <c r="M470" t="s">
        <v>27733</v>
      </c>
      <c r="N470">
        <v>1</v>
      </c>
      <c r="Q470" t="s">
        <v>27734</v>
      </c>
      <c r="R470" t="s">
        <v>27735</v>
      </c>
      <c r="S470" t="s">
        <v>27736</v>
      </c>
      <c r="T470" t="s">
        <v>30</v>
      </c>
      <c r="U470" t="s">
        <v>26044</v>
      </c>
      <c r="W470" t="s">
        <v>26009</v>
      </c>
    </row>
    <row r="471" spans="1:23" x14ac:dyDescent="0.35">
      <c r="A471">
        <v>237102</v>
      </c>
      <c r="B471" t="s">
        <v>9511</v>
      </c>
      <c r="C471" t="str">
        <f>"9780805843934"</f>
        <v>9780805843934</v>
      </c>
      <c r="D471" t="str">
        <f>"9781410612984"</f>
        <v>9781410612984</v>
      </c>
      <c r="E471" t="s">
        <v>26010</v>
      </c>
      <c r="F471" t="s">
        <v>35</v>
      </c>
      <c r="G471" t="s">
        <v>22436</v>
      </c>
      <c r="H471" t="s">
        <v>26004</v>
      </c>
      <c r="I471" s="26">
        <v>38426</v>
      </c>
      <c r="J471">
        <v>2005</v>
      </c>
      <c r="K471" t="s">
        <v>660</v>
      </c>
      <c r="L471">
        <v>214</v>
      </c>
      <c r="M471" t="s">
        <v>27737</v>
      </c>
      <c r="N471">
        <v>1</v>
      </c>
      <c r="O471" t="s">
        <v>27738</v>
      </c>
      <c r="Q471" t="s">
        <v>27739</v>
      </c>
      <c r="R471" t="s">
        <v>27740</v>
      </c>
      <c r="S471" t="s">
        <v>27741</v>
      </c>
      <c r="T471" t="s">
        <v>30</v>
      </c>
      <c r="U471" t="s">
        <v>26044</v>
      </c>
      <c r="W471" t="s">
        <v>26009</v>
      </c>
    </row>
    <row r="472" spans="1:23" x14ac:dyDescent="0.35">
      <c r="A472">
        <v>237104</v>
      </c>
      <c r="B472" t="s">
        <v>7740</v>
      </c>
      <c r="C472" t="str">
        <f>"9780805844900"</f>
        <v>9780805844900</v>
      </c>
      <c r="D472" t="str">
        <f>"9781410612908"</f>
        <v>9781410612908</v>
      </c>
      <c r="E472" t="s">
        <v>26010</v>
      </c>
      <c r="F472" t="s">
        <v>35</v>
      </c>
      <c r="G472" t="s">
        <v>22436</v>
      </c>
      <c r="H472" t="s">
        <v>26004</v>
      </c>
      <c r="I472" s="26">
        <v>38413</v>
      </c>
      <c r="J472">
        <v>2005</v>
      </c>
      <c r="K472" t="s">
        <v>660</v>
      </c>
      <c r="L472">
        <v>482</v>
      </c>
      <c r="M472" t="s">
        <v>27742</v>
      </c>
      <c r="N472">
        <v>1</v>
      </c>
      <c r="O472" t="s">
        <v>27743</v>
      </c>
      <c r="Q472" t="s">
        <v>27744</v>
      </c>
      <c r="R472" t="s">
        <v>26360</v>
      </c>
      <c r="S472" t="s">
        <v>7741</v>
      </c>
      <c r="T472" t="s">
        <v>30</v>
      </c>
      <c r="U472" t="s">
        <v>46</v>
      </c>
      <c r="W472" t="s">
        <v>26009</v>
      </c>
    </row>
    <row r="473" spans="1:23" x14ac:dyDescent="0.35">
      <c r="A473">
        <v>237115</v>
      </c>
      <c r="B473" t="s">
        <v>27745</v>
      </c>
      <c r="C473" t="str">
        <f>"9780805849387"</f>
        <v>9780805849387</v>
      </c>
      <c r="D473" t="str">
        <f>"9781410613066"</f>
        <v>9781410613066</v>
      </c>
      <c r="E473" t="s">
        <v>26010</v>
      </c>
      <c r="F473" t="s">
        <v>35</v>
      </c>
      <c r="G473" t="s">
        <v>22436</v>
      </c>
      <c r="H473" t="s">
        <v>26004</v>
      </c>
      <c r="I473" s="26">
        <v>38413</v>
      </c>
      <c r="J473">
        <v>2005</v>
      </c>
      <c r="K473" t="s">
        <v>660</v>
      </c>
      <c r="L473">
        <v>512</v>
      </c>
      <c r="M473" t="s">
        <v>27746</v>
      </c>
      <c r="N473">
        <v>1</v>
      </c>
      <c r="Q473" t="s">
        <v>27747</v>
      </c>
      <c r="R473">
        <v>612.82550000000003</v>
      </c>
      <c r="S473" t="s">
        <v>7618</v>
      </c>
      <c r="T473" t="s">
        <v>30</v>
      </c>
      <c r="U473" t="s">
        <v>26141</v>
      </c>
      <c r="W473" t="s">
        <v>26009</v>
      </c>
    </row>
    <row r="474" spans="1:23" x14ac:dyDescent="0.35">
      <c r="A474">
        <v>237116</v>
      </c>
      <c r="B474" t="s">
        <v>27748</v>
      </c>
      <c r="C474" t="str">
        <f>"9780805849783"</f>
        <v>9780805849783</v>
      </c>
      <c r="D474" t="str">
        <f>"9781410612854"</f>
        <v>9781410612854</v>
      </c>
      <c r="E474" t="s">
        <v>26010</v>
      </c>
      <c r="F474" t="s">
        <v>35</v>
      </c>
      <c r="G474" t="s">
        <v>22436</v>
      </c>
      <c r="H474" t="s">
        <v>26004</v>
      </c>
      <c r="I474" s="26">
        <v>38448</v>
      </c>
      <c r="J474">
        <v>2005</v>
      </c>
      <c r="K474" t="s">
        <v>660</v>
      </c>
      <c r="L474">
        <v>275</v>
      </c>
      <c r="M474" t="s">
        <v>27749</v>
      </c>
      <c r="N474">
        <v>1</v>
      </c>
      <c r="O474" t="s">
        <v>27590</v>
      </c>
      <c r="Q474" t="s">
        <v>27750</v>
      </c>
      <c r="R474" t="s">
        <v>27751</v>
      </c>
      <c r="S474" t="s">
        <v>27752</v>
      </c>
      <c r="T474" t="s">
        <v>30</v>
      </c>
      <c r="U474" t="s">
        <v>26044</v>
      </c>
      <c r="W474" t="s">
        <v>26009</v>
      </c>
    </row>
    <row r="475" spans="1:23" x14ac:dyDescent="0.35">
      <c r="A475">
        <v>237129</v>
      </c>
      <c r="B475" t="s">
        <v>27753</v>
      </c>
      <c r="C475" t="str">
        <f>"9780805837711"</f>
        <v>9780805837711</v>
      </c>
      <c r="D475" t="str">
        <f>"9781410606228"</f>
        <v>9781410606228</v>
      </c>
      <c r="E475" t="s">
        <v>26010</v>
      </c>
      <c r="F475" t="s">
        <v>35</v>
      </c>
      <c r="G475" t="s">
        <v>22436</v>
      </c>
      <c r="H475" t="s">
        <v>26004</v>
      </c>
      <c r="I475" s="26">
        <v>37438</v>
      </c>
      <c r="J475">
        <v>2002</v>
      </c>
      <c r="K475" t="s">
        <v>660</v>
      </c>
      <c r="L475">
        <v>352</v>
      </c>
      <c r="M475" t="s">
        <v>27754</v>
      </c>
      <c r="N475">
        <v>2</v>
      </c>
      <c r="Q475" t="s">
        <v>27755</v>
      </c>
      <c r="R475">
        <v>303.38499999999999</v>
      </c>
      <c r="S475" t="s">
        <v>27756</v>
      </c>
      <c r="T475" t="s">
        <v>30</v>
      </c>
      <c r="U475" t="s">
        <v>26170</v>
      </c>
      <c r="W475" t="s">
        <v>26009</v>
      </c>
    </row>
    <row r="476" spans="1:23" x14ac:dyDescent="0.35">
      <c r="A476">
        <v>237284</v>
      </c>
      <c r="B476" t="s">
        <v>8309</v>
      </c>
      <c r="C476" t="str">
        <f>"9780415131070"</f>
        <v>9780415131070</v>
      </c>
      <c r="D476" t="str">
        <f>"9780203981474"</f>
        <v>9780203981474</v>
      </c>
      <c r="E476" t="s">
        <v>26010</v>
      </c>
      <c r="F476" t="s">
        <v>35</v>
      </c>
      <c r="G476" t="s">
        <v>22174</v>
      </c>
      <c r="H476" t="s">
        <v>26011</v>
      </c>
      <c r="I476" s="26">
        <v>36189</v>
      </c>
      <c r="J476">
        <v>1998</v>
      </c>
      <c r="K476" t="s">
        <v>26012</v>
      </c>
      <c r="L476">
        <v>294</v>
      </c>
      <c r="M476" t="s">
        <v>27757</v>
      </c>
      <c r="N476">
        <v>1</v>
      </c>
      <c r="O476" t="s">
        <v>26086</v>
      </c>
      <c r="Q476" t="s">
        <v>27758</v>
      </c>
      <c r="R476" t="s">
        <v>26308</v>
      </c>
      <c r="S476" t="s">
        <v>7661</v>
      </c>
      <c r="T476" t="s">
        <v>30</v>
      </c>
      <c r="U476" t="s">
        <v>46</v>
      </c>
      <c r="W476" t="s">
        <v>26009</v>
      </c>
    </row>
    <row r="477" spans="1:23" x14ac:dyDescent="0.35">
      <c r="A477">
        <v>237301</v>
      </c>
      <c r="B477" t="s">
        <v>10289</v>
      </c>
      <c r="C477" t="str">
        <f>"9780415166492"</f>
        <v>9780415166492</v>
      </c>
      <c r="D477" t="str">
        <f>"9780203978184"</f>
        <v>9780203978184</v>
      </c>
      <c r="E477" t="s">
        <v>26010</v>
      </c>
      <c r="F477" t="s">
        <v>35</v>
      </c>
      <c r="G477" t="s">
        <v>22174</v>
      </c>
      <c r="H477" t="s">
        <v>26011</v>
      </c>
      <c r="I477" s="26">
        <v>35662</v>
      </c>
      <c r="J477">
        <v>1997</v>
      </c>
      <c r="K477" t="s">
        <v>26012</v>
      </c>
      <c r="L477">
        <v>293</v>
      </c>
      <c r="M477" t="s">
        <v>27759</v>
      </c>
      <c r="N477">
        <v>1</v>
      </c>
      <c r="O477" t="s">
        <v>26125</v>
      </c>
      <c r="Q477" t="s">
        <v>27760</v>
      </c>
      <c r="R477">
        <v>796.08349999999996</v>
      </c>
      <c r="S477" t="s">
        <v>10290</v>
      </c>
      <c r="T477" t="s">
        <v>30</v>
      </c>
      <c r="U477" t="s">
        <v>26008</v>
      </c>
      <c r="W477" t="s">
        <v>26009</v>
      </c>
    </row>
    <row r="478" spans="1:23" x14ac:dyDescent="0.35">
      <c r="A478">
        <v>237404</v>
      </c>
      <c r="B478" t="s">
        <v>8765</v>
      </c>
      <c r="C478" t="str">
        <f>"9781841692364"</f>
        <v>9781841692364</v>
      </c>
      <c r="D478" t="str">
        <f>"9780203996232"</f>
        <v>9780203996232</v>
      </c>
      <c r="E478" t="s">
        <v>26010</v>
      </c>
      <c r="F478" t="s">
        <v>35</v>
      </c>
      <c r="G478" t="s">
        <v>22267</v>
      </c>
      <c r="H478" t="s">
        <v>26011</v>
      </c>
      <c r="I478" s="26">
        <v>36931</v>
      </c>
      <c r="J478">
        <v>2011</v>
      </c>
      <c r="K478" t="s">
        <v>660</v>
      </c>
      <c r="L478">
        <v>213</v>
      </c>
      <c r="M478" t="s">
        <v>27761</v>
      </c>
      <c r="N478">
        <v>1</v>
      </c>
      <c r="O478" t="s">
        <v>27041</v>
      </c>
      <c r="P478">
        <v>1</v>
      </c>
      <c r="Q478">
        <v>44566</v>
      </c>
      <c r="R478" t="s">
        <v>27762</v>
      </c>
      <c r="S478" t="s">
        <v>8766</v>
      </c>
      <c r="T478" t="s">
        <v>30</v>
      </c>
      <c r="U478" t="s">
        <v>46</v>
      </c>
      <c r="W478" t="s">
        <v>26009</v>
      </c>
    </row>
    <row r="479" spans="1:23" x14ac:dyDescent="0.35">
      <c r="A479">
        <v>237415</v>
      </c>
      <c r="B479" t="s">
        <v>9634</v>
      </c>
      <c r="C479" t="str">
        <f>"9781857288070"</f>
        <v>9781857288070</v>
      </c>
      <c r="D479" t="str">
        <f>"9780203980804"</f>
        <v>9780203980804</v>
      </c>
      <c r="E479" t="s">
        <v>26010</v>
      </c>
      <c r="F479" t="s">
        <v>35</v>
      </c>
      <c r="G479" t="s">
        <v>22174</v>
      </c>
      <c r="H479" t="s">
        <v>26011</v>
      </c>
      <c r="I479" s="26">
        <v>36008</v>
      </c>
      <c r="J479">
        <v>1998</v>
      </c>
      <c r="K479" t="s">
        <v>26012</v>
      </c>
      <c r="L479">
        <v>239</v>
      </c>
      <c r="M479" t="s">
        <v>27763</v>
      </c>
      <c r="N479">
        <v>1</v>
      </c>
      <c r="Q479" t="s">
        <v>27764</v>
      </c>
      <c r="R479">
        <v>1.3</v>
      </c>
      <c r="S479" t="s">
        <v>9635</v>
      </c>
      <c r="T479" t="s">
        <v>30</v>
      </c>
      <c r="U479" t="s">
        <v>27765</v>
      </c>
      <c r="W479" t="s">
        <v>26009</v>
      </c>
    </row>
    <row r="480" spans="1:23" x14ac:dyDescent="0.35">
      <c r="A480">
        <v>238694</v>
      </c>
      <c r="B480" t="s">
        <v>27766</v>
      </c>
      <c r="C480" t="str">
        <f>"9780415137966"</f>
        <v>9780415137966</v>
      </c>
      <c r="D480" t="str">
        <f>"9780203991657"</f>
        <v>9780203991657</v>
      </c>
      <c r="E480" t="s">
        <v>26010</v>
      </c>
      <c r="F480" t="s">
        <v>35</v>
      </c>
      <c r="G480" t="s">
        <v>26128</v>
      </c>
      <c r="H480" t="s">
        <v>26011</v>
      </c>
      <c r="I480" s="26">
        <v>35268</v>
      </c>
      <c r="J480">
        <v>1996</v>
      </c>
      <c r="K480" t="s">
        <v>26012</v>
      </c>
      <c r="L480">
        <v>275</v>
      </c>
      <c r="M480" t="s">
        <v>27767</v>
      </c>
      <c r="N480">
        <v>1</v>
      </c>
      <c r="S480" t="s">
        <v>27768</v>
      </c>
      <c r="T480" t="s">
        <v>30</v>
      </c>
      <c r="U480" t="s">
        <v>27769</v>
      </c>
      <c r="W480" t="s">
        <v>26009</v>
      </c>
    </row>
    <row r="481" spans="1:23" x14ac:dyDescent="0.35">
      <c r="A481">
        <v>238717</v>
      </c>
      <c r="B481" t="s">
        <v>27770</v>
      </c>
      <c r="C481" t="str">
        <f>"9780749430399"</f>
        <v>9780749430399</v>
      </c>
      <c r="D481" t="str">
        <f>"9780203016428"</f>
        <v>9780203016428</v>
      </c>
      <c r="E481" t="s">
        <v>26010</v>
      </c>
      <c r="F481" t="s">
        <v>35</v>
      </c>
      <c r="G481" t="s">
        <v>22174</v>
      </c>
      <c r="H481" t="s">
        <v>26004</v>
      </c>
      <c r="I481" s="26">
        <v>36434</v>
      </c>
      <c r="J481">
        <v>1999</v>
      </c>
      <c r="K481" t="s">
        <v>26012</v>
      </c>
      <c r="L481">
        <v>234</v>
      </c>
      <c r="M481" t="s">
        <v>27771</v>
      </c>
      <c r="N481">
        <v>1</v>
      </c>
      <c r="Q481" t="s">
        <v>27772</v>
      </c>
      <c r="R481">
        <v>364.36</v>
      </c>
      <c r="S481" t="s">
        <v>27773</v>
      </c>
      <c r="T481" t="s">
        <v>30</v>
      </c>
      <c r="U481" t="s">
        <v>26044</v>
      </c>
      <c r="W481" t="s">
        <v>26009</v>
      </c>
    </row>
    <row r="482" spans="1:23" x14ac:dyDescent="0.35">
      <c r="A482">
        <v>238921</v>
      </c>
      <c r="B482" t="s">
        <v>8391</v>
      </c>
      <c r="C482" t="str">
        <f>"9780805847970"</f>
        <v>9780805847970</v>
      </c>
      <c r="D482" t="str">
        <f>"9781410611154"</f>
        <v>9781410611154</v>
      </c>
      <c r="E482" t="s">
        <v>26010</v>
      </c>
      <c r="F482" t="s">
        <v>35</v>
      </c>
      <c r="G482" t="s">
        <v>22436</v>
      </c>
      <c r="H482" t="s">
        <v>26004</v>
      </c>
      <c r="I482" s="26">
        <v>38223</v>
      </c>
      <c r="J482">
        <v>2005</v>
      </c>
      <c r="K482" t="s">
        <v>26012</v>
      </c>
      <c r="L482">
        <v>513</v>
      </c>
      <c r="M482" t="s">
        <v>27774</v>
      </c>
      <c r="N482">
        <v>1</v>
      </c>
      <c r="O482" t="s">
        <v>27663</v>
      </c>
      <c r="Q482" t="s">
        <v>27775</v>
      </c>
      <c r="R482">
        <v>306.87</v>
      </c>
      <c r="S482" t="s">
        <v>27776</v>
      </c>
      <c r="T482" t="s">
        <v>30</v>
      </c>
      <c r="U482" t="s">
        <v>26044</v>
      </c>
      <c r="W482" t="s">
        <v>26009</v>
      </c>
    </row>
    <row r="483" spans="1:23" x14ac:dyDescent="0.35">
      <c r="A483">
        <v>238927</v>
      </c>
      <c r="B483" t="s">
        <v>9164</v>
      </c>
      <c r="C483" t="str">
        <f>"9780805842869"</f>
        <v>9780805842869</v>
      </c>
      <c r="D483" t="str">
        <f>"9781410610256"</f>
        <v>9781410610256</v>
      </c>
      <c r="E483" t="s">
        <v>26010</v>
      </c>
      <c r="F483" t="s">
        <v>35</v>
      </c>
      <c r="G483" t="s">
        <v>22436</v>
      </c>
      <c r="H483" t="s">
        <v>26004</v>
      </c>
      <c r="I483" s="26">
        <v>38054</v>
      </c>
      <c r="J483">
        <v>2004</v>
      </c>
      <c r="K483" t="s">
        <v>660</v>
      </c>
      <c r="L483">
        <v>371</v>
      </c>
      <c r="M483" t="s">
        <v>27777</v>
      </c>
      <c r="N483">
        <v>1</v>
      </c>
      <c r="Q483" t="s">
        <v>27778</v>
      </c>
      <c r="R483">
        <v>155.25</v>
      </c>
      <c r="S483" t="s">
        <v>9165</v>
      </c>
      <c r="T483" t="s">
        <v>30</v>
      </c>
      <c r="U483" t="s">
        <v>46</v>
      </c>
      <c r="W483" t="s">
        <v>26009</v>
      </c>
    </row>
    <row r="484" spans="1:23" x14ac:dyDescent="0.35">
      <c r="A484">
        <v>238940</v>
      </c>
      <c r="B484" t="s">
        <v>27779</v>
      </c>
      <c r="C484" t="str">
        <f>"9780805844573"</f>
        <v>9780805844573</v>
      </c>
      <c r="D484" t="str">
        <f>"9781410610652"</f>
        <v>9781410610652</v>
      </c>
      <c r="E484" t="s">
        <v>26010</v>
      </c>
      <c r="F484" t="s">
        <v>35</v>
      </c>
      <c r="G484" t="s">
        <v>22436</v>
      </c>
      <c r="H484" t="s">
        <v>26004</v>
      </c>
      <c r="I484" s="26">
        <v>38105</v>
      </c>
      <c r="J484">
        <v>2004</v>
      </c>
      <c r="K484" t="s">
        <v>26012</v>
      </c>
      <c r="L484">
        <v>280</v>
      </c>
      <c r="M484" t="s">
        <v>27780</v>
      </c>
      <c r="N484">
        <v>1</v>
      </c>
      <c r="O484" t="s">
        <v>27533</v>
      </c>
      <c r="Q484" t="s">
        <v>27781</v>
      </c>
      <c r="R484" t="s">
        <v>27782</v>
      </c>
      <c r="S484" t="s">
        <v>27783</v>
      </c>
      <c r="T484" t="s">
        <v>30</v>
      </c>
      <c r="U484" t="s">
        <v>26044</v>
      </c>
      <c r="W484" t="s">
        <v>26009</v>
      </c>
    </row>
    <row r="485" spans="1:23" x14ac:dyDescent="0.35">
      <c r="A485">
        <v>240117</v>
      </c>
      <c r="B485" t="s">
        <v>8627</v>
      </c>
      <c r="C485" t="str">
        <f>"9780415946124"</f>
        <v>9780415946124</v>
      </c>
      <c r="D485" t="str">
        <f>"9780203323595"</f>
        <v>9780203323595</v>
      </c>
      <c r="E485" t="s">
        <v>26010</v>
      </c>
      <c r="F485" t="s">
        <v>35</v>
      </c>
      <c r="G485" t="s">
        <v>26337</v>
      </c>
      <c r="H485" t="s">
        <v>26004</v>
      </c>
      <c r="I485" s="26">
        <v>38196</v>
      </c>
      <c r="J485">
        <v>2005</v>
      </c>
      <c r="K485" t="s">
        <v>26012</v>
      </c>
      <c r="L485">
        <v>562</v>
      </c>
      <c r="M485" t="s">
        <v>27784</v>
      </c>
      <c r="N485">
        <v>1</v>
      </c>
      <c r="Q485" t="s">
        <v>27785</v>
      </c>
      <c r="R485" t="s">
        <v>27786</v>
      </c>
      <c r="S485" t="s">
        <v>7509</v>
      </c>
      <c r="T485" t="s">
        <v>30</v>
      </c>
      <c r="U485" t="s">
        <v>46</v>
      </c>
      <c r="W485" t="s">
        <v>26009</v>
      </c>
    </row>
    <row r="486" spans="1:23" x14ac:dyDescent="0.35">
      <c r="A486">
        <v>240118</v>
      </c>
      <c r="B486" t="s">
        <v>27787</v>
      </c>
      <c r="C486" t="str">
        <f>"9780415935029"</f>
        <v>9780415935029</v>
      </c>
      <c r="D486" t="str">
        <f>"9780203336908"</f>
        <v>9780203336908</v>
      </c>
      <c r="E486" t="s">
        <v>26010</v>
      </c>
      <c r="F486" t="s">
        <v>35</v>
      </c>
      <c r="G486" t="s">
        <v>26337</v>
      </c>
      <c r="H486" t="s">
        <v>26004</v>
      </c>
      <c r="I486" s="26">
        <v>38196</v>
      </c>
      <c r="J486">
        <v>2004</v>
      </c>
      <c r="K486" t="s">
        <v>26012</v>
      </c>
      <c r="L486">
        <v>471</v>
      </c>
      <c r="M486" t="s">
        <v>11346</v>
      </c>
      <c r="N486">
        <v>1</v>
      </c>
      <c r="Q486" t="s">
        <v>27788</v>
      </c>
      <c r="R486" t="s">
        <v>27789</v>
      </c>
      <c r="S486" t="s">
        <v>27790</v>
      </c>
      <c r="T486" t="s">
        <v>30</v>
      </c>
      <c r="U486" t="s">
        <v>26019</v>
      </c>
      <c r="W486" t="s">
        <v>26009</v>
      </c>
    </row>
    <row r="487" spans="1:23" x14ac:dyDescent="0.35">
      <c r="A487">
        <v>240229</v>
      </c>
      <c r="B487" t="s">
        <v>9270</v>
      </c>
      <c r="C487" t="str">
        <f>"9780415112178"</f>
        <v>9780415112178</v>
      </c>
      <c r="D487" t="str">
        <f>"9780203976319"</f>
        <v>9780203976319</v>
      </c>
      <c r="E487" t="s">
        <v>26010</v>
      </c>
      <c r="F487" t="s">
        <v>35</v>
      </c>
      <c r="G487" t="s">
        <v>26201</v>
      </c>
      <c r="H487" t="s">
        <v>26004</v>
      </c>
      <c r="I487" s="26">
        <v>34621</v>
      </c>
      <c r="J487">
        <v>1994</v>
      </c>
      <c r="K487" t="s">
        <v>26012</v>
      </c>
      <c r="L487">
        <v>336</v>
      </c>
      <c r="M487" t="s">
        <v>27791</v>
      </c>
      <c r="N487">
        <v>1</v>
      </c>
      <c r="O487" t="s">
        <v>26682</v>
      </c>
      <c r="Q487" t="s">
        <v>27792</v>
      </c>
      <c r="R487" t="s">
        <v>26937</v>
      </c>
      <c r="S487" t="s">
        <v>27793</v>
      </c>
      <c r="T487" t="s">
        <v>30</v>
      </c>
      <c r="U487" t="s">
        <v>46</v>
      </c>
      <c r="W487" t="s">
        <v>26009</v>
      </c>
    </row>
    <row r="488" spans="1:23" x14ac:dyDescent="0.35">
      <c r="A488">
        <v>240230</v>
      </c>
      <c r="B488" t="s">
        <v>27794</v>
      </c>
      <c r="C488" t="str">
        <f>"9780415092623"</f>
        <v>9780415092623</v>
      </c>
      <c r="D488" t="str">
        <f>"9780203976357"</f>
        <v>9780203976357</v>
      </c>
      <c r="E488" t="s">
        <v>26010</v>
      </c>
      <c r="F488" t="s">
        <v>35</v>
      </c>
      <c r="G488" t="s">
        <v>22174</v>
      </c>
      <c r="H488" t="s">
        <v>26011</v>
      </c>
      <c r="I488" s="26">
        <v>34681</v>
      </c>
      <c r="J488">
        <v>1994</v>
      </c>
      <c r="K488" t="s">
        <v>26012</v>
      </c>
      <c r="L488">
        <v>157</v>
      </c>
      <c r="M488" t="s">
        <v>27795</v>
      </c>
      <c r="N488">
        <v>1</v>
      </c>
      <c r="O488" t="s">
        <v>26107</v>
      </c>
      <c r="Q488" t="s">
        <v>27796</v>
      </c>
      <c r="R488" t="s">
        <v>27797</v>
      </c>
      <c r="S488" t="s">
        <v>27798</v>
      </c>
      <c r="T488" t="s">
        <v>30</v>
      </c>
      <c r="U488" t="s">
        <v>26019</v>
      </c>
      <c r="W488" t="s">
        <v>26009</v>
      </c>
    </row>
    <row r="489" spans="1:23" x14ac:dyDescent="0.35">
      <c r="A489">
        <v>240256</v>
      </c>
      <c r="B489" t="s">
        <v>8611</v>
      </c>
      <c r="C489" t="str">
        <f>"9780415090568"</f>
        <v>9780415090568</v>
      </c>
      <c r="D489" t="str">
        <f>"9780203977446"</f>
        <v>9780203977446</v>
      </c>
      <c r="E489" t="s">
        <v>26010</v>
      </c>
      <c r="F489" t="s">
        <v>35</v>
      </c>
      <c r="G489" t="s">
        <v>22174</v>
      </c>
      <c r="H489" t="s">
        <v>26011</v>
      </c>
      <c r="I489" s="26">
        <v>34360</v>
      </c>
      <c r="J489">
        <v>1993</v>
      </c>
      <c r="K489" t="s">
        <v>26012</v>
      </c>
      <c r="L489">
        <v>240</v>
      </c>
      <c r="M489" t="s">
        <v>27799</v>
      </c>
      <c r="N489">
        <v>1</v>
      </c>
      <c r="Q489" t="s">
        <v>27800</v>
      </c>
      <c r="R489">
        <v>616.89170000000001</v>
      </c>
      <c r="S489" t="s">
        <v>27801</v>
      </c>
      <c r="T489" t="s">
        <v>30</v>
      </c>
      <c r="U489" t="s">
        <v>26116</v>
      </c>
      <c r="W489" t="s">
        <v>26009</v>
      </c>
    </row>
    <row r="490" spans="1:23" x14ac:dyDescent="0.35">
      <c r="A490">
        <v>240258</v>
      </c>
      <c r="B490" t="s">
        <v>27802</v>
      </c>
      <c r="C490" t="str">
        <f>"9780415222174"</f>
        <v>9780415222174</v>
      </c>
      <c r="D490" t="str">
        <f>"9780203977521"</f>
        <v>9780203977521</v>
      </c>
      <c r="E490" t="s">
        <v>26010</v>
      </c>
      <c r="F490" t="s">
        <v>35</v>
      </c>
      <c r="G490" t="s">
        <v>26201</v>
      </c>
      <c r="H490" t="s">
        <v>26004</v>
      </c>
      <c r="I490" s="26">
        <v>36819</v>
      </c>
      <c r="J490">
        <v>2000</v>
      </c>
      <c r="K490" t="s">
        <v>26012</v>
      </c>
      <c r="L490">
        <v>367</v>
      </c>
      <c r="M490" t="s">
        <v>27803</v>
      </c>
      <c r="N490">
        <v>1</v>
      </c>
      <c r="Q490" t="s">
        <v>27804</v>
      </c>
      <c r="R490">
        <v>616.89</v>
      </c>
      <c r="S490" t="s">
        <v>27805</v>
      </c>
      <c r="T490" t="s">
        <v>30</v>
      </c>
      <c r="U490" t="s">
        <v>26116</v>
      </c>
      <c r="W490" t="s">
        <v>26009</v>
      </c>
    </row>
    <row r="491" spans="1:23" x14ac:dyDescent="0.35">
      <c r="A491">
        <v>240259</v>
      </c>
      <c r="B491" t="s">
        <v>27806</v>
      </c>
      <c r="C491" t="str">
        <f>"9780415066785"</f>
        <v>9780415066785</v>
      </c>
      <c r="D491" t="str">
        <f>"9780203977552"</f>
        <v>9780203977552</v>
      </c>
      <c r="E491" t="s">
        <v>26010</v>
      </c>
      <c r="F491" t="s">
        <v>35</v>
      </c>
      <c r="G491" t="s">
        <v>26201</v>
      </c>
      <c r="H491" t="s">
        <v>26004</v>
      </c>
      <c r="I491" s="26">
        <v>34019</v>
      </c>
      <c r="J491">
        <v>1993</v>
      </c>
      <c r="K491" t="s">
        <v>26012</v>
      </c>
      <c r="L491">
        <v>207</v>
      </c>
      <c r="M491" t="s">
        <v>27807</v>
      </c>
      <c r="N491">
        <v>1</v>
      </c>
      <c r="Q491" t="s">
        <v>27808</v>
      </c>
      <c r="R491" t="s">
        <v>27809</v>
      </c>
      <c r="S491" t="s">
        <v>27810</v>
      </c>
      <c r="T491" t="s">
        <v>30</v>
      </c>
      <c r="U491" t="s">
        <v>26044</v>
      </c>
      <c r="W491" t="s">
        <v>26009</v>
      </c>
    </row>
    <row r="492" spans="1:23" x14ac:dyDescent="0.35">
      <c r="A492">
        <v>240260</v>
      </c>
      <c r="B492" t="s">
        <v>27811</v>
      </c>
      <c r="C492" t="str">
        <f>"9780415150743"</f>
        <v>9780415150743</v>
      </c>
      <c r="D492" t="str">
        <f>"9780203977576"</f>
        <v>9780203977576</v>
      </c>
      <c r="E492" t="s">
        <v>26010</v>
      </c>
      <c r="F492" t="s">
        <v>35</v>
      </c>
      <c r="G492" t="s">
        <v>22174</v>
      </c>
      <c r="H492" t="s">
        <v>26011</v>
      </c>
      <c r="I492" s="26">
        <v>35454</v>
      </c>
      <c r="J492">
        <v>1997</v>
      </c>
      <c r="K492" t="s">
        <v>26012</v>
      </c>
      <c r="L492">
        <v>253</v>
      </c>
      <c r="M492" t="s">
        <v>27812</v>
      </c>
      <c r="N492">
        <v>1</v>
      </c>
      <c r="Q492" t="s">
        <v>27813</v>
      </c>
      <c r="R492">
        <v>616.89165000000003</v>
      </c>
      <c r="S492" t="s">
        <v>7648</v>
      </c>
      <c r="T492" t="s">
        <v>30</v>
      </c>
      <c r="U492" t="s">
        <v>26116</v>
      </c>
      <c r="W492" t="s">
        <v>26009</v>
      </c>
    </row>
    <row r="493" spans="1:23" x14ac:dyDescent="0.35">
      <c r="A493">
        <v>240338</v>
      </c>
      <c r="B493" t="s">
        <v>9166</v>
      </c>
      <c r="C493" t="str">
        <f>"9780415119764"</f>
        <v>9780415119764</v>
      </c>
      <c r="D493" t="str">
        <f>"9780203980903"</f>
        <v>9780203980903</v>
      </c>
      <c r="E493" t="s">
        <v>26010</v>
      </c>
      <c r="F493" t="s">
        <v>35</v>
      </c>
      <c r="G493" t="s">
        <v>22174</v>
      </c>
      <c r="H493" t="s">
        <v>26011</v>
      </c>
      <c r="I493" s="26">
        <v>35905</v>
      </c>
      <c r="J493">
        <v>1998</v>
      </c>
      <c r="K493" t="s">
        <v>26012</v>
      </c>
      <c r="L493">
        <v>165</v>
      </c>
      <c r="M493" t="s">
        <v>27814</v>
      </c>
      <c r="N493">
        <v>1</v>
      </c>
      <c r="O493" t="s">
        <v>27815</v>
      </c>
      <c r="Q493" t="s">
        <v>27816</v>
      </c>
      <c r="R493">
        <v>658.40899999999999</v>
      </c>
      <c r="S493" t="s">
        <v>9167</v>
      </c>
      <c r="T493" t="s">
        <v>30</v>
      </c>
      <c r="U493" t="s">
        <v>27817</v>
      </c>
      <c r="W493" t="s">
        <v>26009</v>
      </c>
    </row>
    <row r="494" spans="1:23" x14ac:dyDescent="0.35">
      <c r="A494">
        <v>240433</v>
      </c>
      <c r="B494" t="s">
        <v>8789</v>
      </c>
      <c r="C494" t="str">
        <f>"9780415286596"</f>
        <v>9780415286596</v>
      </c>
      <c r="D494" t="str">
        <f>"9780203987131"</f>
        <v>9780203987131</v>
      </c>
      <c r="E494" t="s">
        <v>26010</v>
      </c>
      <c r="F494" t="s">
        <v>35</v>
      </c>
      <c r="G494" t="s">
        <v>22174</v>
      </c>
      <c r="H494" t="s">
        <v>26011</v>
      </c>
      <c r="I494" s="26">
        <v>37582</v>
      </c>
      <c r="J494">
        <v>2002</v>
      </c>
      <c r="K494" t="s">
        <v>26012</v>
      </c>
      <c r="L494">
        <v>577</v>
      </c>
      <c r="M494" t="s">
        <v>27818</v>
      </c>
      <c r="N494">
        <v>1</v>
      </c>
      <c r="Q494" t="s">
        <v>27819</v>
      </c>
      <c r="R494">
        <v>128.30000000000001</v>
      </c>
      <c r="S494" t="s">
        <v>8790</v>
      </c>
      <c r="T494" t="s">
        <v>30</v>
      </c>
      <c r="U494" t="s">
        <v>27820</v>
      </c>
      <c r="W494" t="s">
        <v>26009</v>
      </c>
    </row>
    <row r="495" spans="1:23" x14ac:dyDescent="0.35">
      <c r="A495">
        <v>240493</v>
      </c>
      <c r="B495" t="s">
        <v>9523</v>
      </c>
      <c r="C495" t="str">
        <f>"9780863777738"</f>
        <v>9780863777738</v>
      </c>
      <c r="D495" t="str">
        <f>"9780203989425"</f>
        <v>9780203989425</v>
      </c>
      <c r="E495" t="s">
        <v>26010</v>
      </c>
      <c r="F495" t="s">
        <v>35</v>
      </c>
      <c r="G495" t="s">
        <v>22267</v>
      </c>
      <c r="H495" t="s">
        <v>26011</v>
      </c>
      <c r="I495" s="26">
        <v>37558</v>
      </c>
      <c r="J495">
        <v>2003</v>
      </c>
      <c r="K495" t="s">
        <v>660</v>
      </c>
      <c r="L495">
        <v>398</v>
      </c>
      <c r="M495" t="s">
        <v>27821</v>
      </c>
      <c r="N495">
        <v>1</v>
      </c>
      <c r="O495" t="s">
        <v>27822</v>
      </c>
      <c r="Q495" t="s">
        <v>27823</v>
      </c>
      <c r="R495" t="s">
        <v>26873</v>
      </c>
      <c r="S495" t="s">
        <v>9524</v>
      </c>
      <c r="T495" t="s">
        <v>30</v>
      </c>
      <c r="U495" t="s">
        <v>46</v>
      </c>
      <c r="W495" t="s">
        <v>26009</v>
      </c>
    </row>
    <row r="496" spans="1:23" x14ac:dyDescent="0.35">
      <c r="A496">
        <v>240608</v>
      </c>
      <c r="B496" t="s">
        <v>27824</v>
      </c>
      <c r="C496" t="str">
        <f>"9780415280464"</f>
        <v>9780415280464</v>
      </c>
      <c r="D496" t="str">
        <f>"9780203995396"</f>
        <v>9780203995396</v>
      </c>
      <c r="E496" t="s">
        <v>26010</v>
      </c>
      <c r="F496" t="s">
        <v>35</v>
      </c>
      <c r="G496" t="s">
        <v>22174</v>
      </c>
      <c r="H496" t="s">
        <v>26011</v>
      </c>
      <c r="I496" s="26">
        <v>37512</v>
      </c>
      <c r="J496">
        <v>2002</v>
      </c>
      <c r="K496" t="s">
        <v>26012</v>
      </c>
      <c r="L496">
        <v>201</v>
      </c>
      <c r="M496" t="s">
        <v>27825</v>
      </c>
      <c r="N496">
        <v>1</v>
      </c>
      <c r="Q496" t="s">
        <v>27826</v>
      </c>
      <c r="R496">
        <v>371.714</v>
      </c>
      <c r="S496" t="s">
        <v>9051</v>
      </c>
      <c r="T496" t="s">
        <v>30</v>
      </c>
      <c r="U496" t="s">
        <v>27827</v>
      </c>
      <c r="W496" t="s">
        <v>26009</v>
      </c>
    </row>
    <row r="497" spans="1:23" x14ac:dyDescent="0.35">
      <c r="A497">
        <v>240663</v>
      </c>
      <c r="B497" t="s">
        <v>27828</v>
      </c>
      <c r="C497" t="str">
        <f>"9780415949064"</f>
        <v>9780415949064</v>
      </c>
      <c r="D497" t="str">
        <f>"9780203997253"</f>
        <v>9780203997253</v>
      </c>
      <c r="E497" t="s">
        <v>26010</v>
      </c>
      <c r="F497" t="s">
        <v>35</v>
      </c>
      <c r="G497" t="s">
        <v>22174</v>
      </c>
      <c r="H497" t="s">
        <v>26011</v>
      </c>
      <c r="I497" s="26">
        <v>38348</v>
      </c>
      <c r="J497">
        <v>2005</v>
      </c>
      <c r="K497" t="s">
        <v>26012</v>
      </c>
      <c r="L497">
        <v>373</v>
      </c>
      <c r="M497" t="s">
        <v>27829</v>
      </c>
      <c r="N497">
        <v>1</v>
      </c>
      <c r="Q497" t="s">
        <v>27830</v>
      </c>
      <c r="R497" t="s">
        <v>27831</v>
      </c>
      <c r="S497" t="s">
        <v>9678</v>
      </c>
      <c r="T497" t="s">
        <v>30</v>
      </c>
      <c r="U497" t="s">
        <v>26116</v>
      </c>
      <c r="W497" t="s">
        <v>26009</v>
      </c>
    </row>
    <row r="498" spans="1:23" x14ac:dyDescent="0.35">
      <c r="A498">
        <v>240683</v>
      </c>
      <c r="B498" t="s">
        <v>27832</v>
      </c>
      <c r="C498" t="str">
        <f>"9781841694054"</f>
        <v>9781841694054</v>
      </c>
      <c r="D498" t="str">
        <f>"9780203998052"</f>
        <v>9780203998052</v>
      </c>
      <c r="E498" t="s">
        <v>26010</v>
      </c>
      <c r="F498" t="s">
        <v>35</v>
      </c>
      <c r="G498" t="s">
        <v>22267</v>
      </c>
      <c r="H498" t="s">
        <v>26011</v>
      </c>
      <c r="I498" s="26">
        <v>38325</v>
      </c>
      <c r="J498">
        <v>2005</v>
      </c>
      <c r="K498" t="s">
        <v>660</v>
      </c>
      <c r="L498">
        <v>314</v>
      </c>
      <c r="M498" t="s">
        <v>27833</v>
      </c>
      <c r="N498">
        <v>1</v>
      </c>
      <c r="Q498" t="s">
        <v>27834</v>
      </c>
      <c r="R498" t="s">
        <v>26420</v>
      </c>
      <c r="S498" t="s">
        <v>7739</v>
      </c>
      <c r="T498" t="s">
        <v>30</v>
      </c>
      <c r="U498" t="s">
        <v>46</v>
      </c>
      <c r="W498" t="s">
        <v>26009</v>
      </c>
    </row>
    <row r="499" spans="1:23" x14ac:dyDescent="0.35">
      <c r="A499">
        <v>241213</v>
      </c>
      <c r="B499" t="s">
        <v>27835</v>
      </c>
      <c r="C499" t="str">
        <f>"9780195119343"</f>
        <v>9780195119343</v>
      </c>
      <c r="D499" t="str">
        <f>"9780198028031"</f>
        <v>9780198028031</v>
      </c>
      <c r="E499" t="s">
        <v>371</v>
      </c>
      <c r="F499" t="s">
        <v>31</v>
      </c>
      <c r="G499" t="s">
        <v>22703</v>
      </c>
      <c r="H499" t="s">
        <v>26004</v>
      </c>
      <c r="I499" s="26">
        <v>36244</v>
      </c>
      <c r="J499">
        <v>1999</v>
      </c>
      <c r="K499" t="s">
        <v>31</v>
      </c>
      <c r="L499">
        <v>367</v>
      </c>
      <c r="M499" t="s">
        <v>27836</v>
      </c>
      <c r="Q499" t="s">
        <v>27837</v>
      </c>
      <c r="R499" t="s">
        <v>27838</v>
      </c>
      <c r="S499" t="s">
        <v>7977</v>
      </c>
      <c r="T499" t="s">
        <v>30</v>
      </c>
      <c r="U499" t="s">
        <v>46</v>
      </c>
      <c r="W499" t="s">
        <v>26009</v>
      </c>
    </row>
    <row r="500" spans="1:23" x14ac:dyDescent="0.35">
      <c r="A500">
        <v>241266</v>
      </c>
      <c r="B500" t="s">
        <v>27839</v>
      </c>
      <c r="C500" t="str">
        <f>"9780195082135"</f>
        <v>9780195082135</v>
      </c>
      <c r="D500" t="str">
        <f>"9780198024354"</f>
        <v>9780198024354</v>
      </c>
      <c r="E500" t="s">
        <v>371</v>
      </c>
      <c r="F500" t="s">
        <v>31</v>
      </c>
      <c r="G500" t="s">
        <v>22703</v>
      </c>
      <c r="H500" t="s">
        <v>26004</v>
      </c>
      <c r="I500" s="26">
        <v>34277</v>
      </c>
      <c r="J500">
        <v>1993</v>
      </c>
      <c r="K500" t="s">
        <v>31</v>
      </c>
      <c r="L500">
        <v>257</v>
      </c>
      <c r="M500" t="s">
        <v>27840</v>
      </c>
      <c r="Q500" t="s">
        <v>27841</v>
      </c>
      <c r="R500">
        <v>501</v>
      </c>
      <c r="S500" t="s">
        <v>27842</v>
      </c>
      <c r="T500" t="s">
        <v>30</v>
      </c>
      <c r="U500" t="s">
        <v>27843</v>
      </c>
      <c r="W500" t="s">
        <v>26009</v>
      </c>
    </row>
    <row r="501" spans="1:23" x14ac:dyDescent="0.35">
      <c r="A501">
        <v>241326</v>
      </c>
      <c r="B501" t="s">
        <v>27844</v>
      </c>
      <c r="C501" t="str">
        <f>"9780195116250"</f>
        <v>9780195116250</v>
      </c>
      <c r="D501" t="str">
        <f>"9780198027591"</f>
        <v>9780198027591</v>
      </c>
      <c r="E501" t="s">
        <v>371</v>
      </c>
      <c r="F501" t="s">
        <v>31</v>
      </c>
      <c r="G501" t="s">
        <v>22703</v>
      </c>
      <c r="H501" t="s">
        <v>26004</v>
      </c>
      <c r="I501" s="26">
        <v>36895</v>
      </c>
      <c r="J501">
        <v>2001</v>
      </c>
      <c r="K501" t="s">
        <v>31</v>
      </c>
      <c r="L501">
        <v>384</v>
      </c>
      <c r="M501" t="s">
        <v>27845</v>
      </c>
      <c r="O501" t="s">
        <v>27846</v>
      </c>
      <c r="Q501" t="s">
        <v>27847</v>
      </c>
      <c r="R501" t="s">
        <v>27848</v>
      </c>
      <c r="S501" t="s">
        <v>7538</v>
      </c>
      <c r="T501" t="s">
        <v>30</v>
      </c>
      <c r="U501" t="s">
        <v>26019</v>
      </c>
      <c r="W501" t="s">
        <v>26009</v>
      </c>
    </row>
    <row r="502" spans="1:23" x14ac:dyDescent="0.35">
      <c r="A502">
        <v>241339</v>
      </c>
      <c r="B502" t="s">
        <v>8603</v>
      </c>
      <c r="C502" t="str">
        <f>"9780195131819"</f>
        <v>9780195131819</v>
      </c>
      <c r="D502" t="str">
        <f>"9780198030201"</f>
        <v>9780198030201</v>
      </c>
      <c r="E502" t="s">
        <v>371</v>
      </c>
      <c r="F502" t="s">
        <v>31</v>
      </c>
      <c r="G502" t="s">
        <v>22703</v>
      </c>
      <c r="H502" t="s">
        <v>26004</v>
      </c>
      <c r="I502" s="26">
        <v>37154</v>
      </c>
      <c r="J502">
        <v>2001</v>
      </c>
      <c r="K502" t="s">
        <v>31</v>
      </c>
      <c r="L502">
        <v>475</v>
      </c>
      <c r="M502" t="s">
        <v>27849</v>
      </c>
      <c r="Q502" t="s">
        <v>27850</v>
      </c>
      <c r="R502">
        <v>155.80000000000001</v>
      </c>
      <c r="S502" t="s">
        <v>27851</v>
      </c>
      <c r="T502" t="s">
        <v>30</v>
      </c>
      <c r="U502" t="s">
        <v>26170</v>
      </c>
      <c r="W502" t="s">
        <v>26009</v>
      </c>
    </row>
    <row r="503" spans="1:23" x14ac:dyDescent="0.35">
      <c r="A503">
        <v>241342</v>
      </c>
      <c r="B503" t="s">
        <v>27852</v>
      </c>
      <c r="C503" t="str">
        <f>"9780195122190"</f>
        <v>9780195122190</v>
      </c>
      <c r="D503" t="str">
        <f>"9780195352795"</f>
        <v>9780195352795</v>
      </c>
      <c r="E503" t="s">
        <v>371</v>
      </c>
      <c r="F503" t="s">
        <v>31</v>
      </c>
      <c r="G503" t="s">
        <v>22703</v>
      </c>
      <c r="H503" t="s">
        <v>26004</v>
      </c>
      <c r="I503" s="26">
        <v>36979</v>
      </c>
      <c r="J503">
        <v>2001</v>
      </c>
      <c r="K503" t="s">
        <v>31</v>
      </c>
      <c r="L503">
        <v>358</v>
      </c>
      <c r="M503" t="s">
        <v>27853</v>
      </c>
      <c r="Q503" t="s">
        <v>27854</v>
      </c>
      <c r="R503" t="s">
        <v>27855</v>
      </c>
      <c r="S503" t="s">
        <v>8791</v>
      </c>
      <c r="T503" t="s">
        <v>30</v>
      </c>
      <c r="U503" t="s">
        <v>26116</v>
      </c>
      <c r="W503" t="s">
        <v>26009</v>
      </c>
    </row>
    <row r="504" spans="1:23" x14ac:dyDescent="0.35">
      <c r="A504">
        <v>241376</v>
      </c>
      <c r="B504" t="s">
        <v>27856</v>
      </c>
      <c r="C504" t="str">
        <f>"9780195119565"</f>
        <v>9780195119565</v>
      </c>
      <c r="D504" t="str">
        <f>"9781602562752"</f>
        <v>9781602562752</v>
      </c>
      <c r="E504" t="s">
        <v>371</v>
      </c>
      <c r="F504" t="s">
        <v>399</v>
      </c>
      <c r="G504" t="s">
        <v>22703</v>
      </c>
      <c r="H504" t="s">
        <v>26004</v>
      </c>
      <c r="I504" s="26">
        <v>36373</v>
      </c>
      <c r="J504">
        <v>1999</v>
      </c>
      <c r="K504" t="s">
        <v>27857</v>
      </c>
      <c r="L504">
        <v>174</v>
      </c>
      <c r="M504" t="s">
        <v>27858</v>
      </c>
      <c r="Q504" t="s">
        <v>27859</v>
      </c>
      <c r="R504" t="s">
        <v>27860</v>
      </c>
      <c r="S504" t="s">
        <v>8247</v>
      </c>
      <c r="T504" t="s">
        <v>30</v>
      </c>
      <c r="U504" t="s">
        <v>26116</v>
      </c>
      <c r="W504" t="s">
        <v>26009</v>
      </c>
    </row>
    <row r="505" spans="1:23" x14ac:dyDescent="0.35">
      <c r="A505">
        <v>241404</v>
      </c>
      <c r="B505" t="s">
        <v>27861</v>
      </c>
      <c r="C505" t="str">
        <f>"9780195094695"</f>
        <v>9780195094695</v>
      </c>
      <c r="D505" t="str">
        <f>"9780195355987"</f>
        <v>9780195355987</v>
      </c>
      <c r="E505" t="s">
        <v>371</v>
      </c>
      <c r="F505" t="s">
        <v>31</v>
      </c>
      <c r="G505" t="s">
        <v>22703</v>
      </c>
      <c r="H505" t="s">
        <v>26004</v>
      </c>
      <c r="I505" s="26">
        <v>35124</v>
      </c>
      <c r="J505">
        <v>1996</v>
      </c>
      <c r="K505" t="s">
        <v>31</v>
      </c>
      <c r="L505">
        <v>301</v>
      </c>
      <c r="M505" t="s">
        <v>27862</v>
      </c>
      <c r="Q505" t="s">
        <v>27863</v>
      </c>
      <c r="R505">
        <v>305.3</v>
      </c>
      <c r="S505" t="s">
        <v>27864</v>
      </c>
      <c r="T505" t="s">
        <v>30</v>
      </c>
      <c r="U505" t="s">
        <v>26228</v>
      </c>
      <c r="W505" t="s">
        <v>26009</v>
      </c>
    </row>
    <row r="506" spans="1:23" x14ac:dyDescent="0.35">
      <c r="A506">
        <v>241413</v>
      </c>
      <c r="B506" t="s">
        <v>27865</v>
      </c>
      <c r="C506" t="str">
        <f>"9780195099478"</f>
        <v>9780195099478</v>
      </c>
      <c r="D506" t="str">
        <f>"9780198026006"</f>
        <v>9780198026006</v>
      </c>
      <c r="E506" t="s">
        <v>371</v>
      </c>
      <c r="F506" t="s">
        <v>31</v>
      </c>
      <c r="G506" t="s">
        <v>22703</v>
      </c>
      <c r="H506" t="s">
        <v>26004</v>
      </c>
      <c r="I506" s="26">
        <v>35138</v>
      </c>
      <c r="J506">
        <v>1996</v>
      </c>
      <c r="K506" t="s">
        <v>31</v>
      </c>
      <c r="L506">
        <v>206</v>
      </c>
      <c r="M506" t="s">
        <v>27866</v>
      </c>
      <c r="O506" t="s">
        <v>27867</v>
      </c>
      <c r="Q506" t="s">
        <v>27868</v>
      </c>
      <c r="R506" t="s">
        <v>27869</v>
      </c>
      <c r="S506" t="s">
        <v>27870</v>
      </c>
      <c r="T506" t="s">
        <v>30</v>
      </c>
      <c r="U506" t="s">
        <v>46</v>
      </c>
      <c r="W506" t="s">
        <v>26009</v>
      </c>
    </row>
    <row r="507" spans="1:23" x14ac:dyDescent="0.35">
      <c r="A507">
        <v>241425</v>
      </c>
      <c r="B507" t="s">
        <v>27871</v>
      </c>
      <c r="C507" t="str">
        <f>"9780195130126"</f>
        <v>9780195130126</v>
      </c>
      <c r="D507" t="str">
        <f>"9780195344066"</f>
        <v>9780195344066</v>
      </c>
      <c r="E507" t="s">
        <v>371</v>
      </c>
      <c r="F507" t="s">
        <v>31</v>
      </c>
      <c r="G507" t="s">
        <v>22703</v>
      </c>
      <c r="H507" t="s">
        <v>26004</v>
      </c>
      <c r="I507" s="26">
        <v>37000</v>
      </c>
      <c r="J507">
        <v>2001</v>
      </c>
      <c r="K507" t="s">
        <v>31</v>
      </c>
      <c r="L507">
        <v>408</v>
      </c>
      <c r="M507" t="s">
        <v>27872</v>
      </c>
      <c r="Q507" t="s">
        <v>27873</v>
      </c>
      <c r="R507" t="s">
        <v>27874</v>
      </c>
      <c r="S507" t="s">
        <v>27875</v>
      </c>
      <c r="T507" t="s">
        <v>30</v>
      </c>
      <c r="U507" t="s">
        <v>46</v>
      </c>
      <c r="W507" t="s">
        <v>26009</v>
      </c>
    </row>
    <row r="508" spans="1:23" x14ac:dyDescent="0.35">
      <c r="A508">
        <v>241449</v>
      </c>
      <c r="B508" t="s">
        <v>27876</v>
      </c>
      <c r="C508" t="str">
        <f>"9780195074543"</f>
        <v>9780195074543</v>
      </c>
      <c r="D508" t="str">
        <f>"9780198023869"</f>
        <v>9780198023869</v>
      </c>
      <c r="E508" t="s">
        <v>371</v>
      </c>
      <c r="F508" t="s">
        <v>31</v>
      </c>
      <c r="G508" t="s">
        <v>22703</v>
      </c>
      <c r="H508" t="s">
        <v>26004</v>
      </c>
      <c r="I508" s="26">
        <v>34424</v>
      </c>
      <c r="J508">
        <v>1993</v>
      </c>
      <c r="K508" t="s">
        <v>31</v>
      </c>
      <c r="L508">
        <v>418</v>
      </c>
      <c r="M508" t="s">
        <v>27877</v>
      </c>
      <c r="Q508" t="s">
        <v>27878</v>
      </c>
      <c r="R508">
        <v>613.04330000000004</v>
      </c>
      <c r="S508" t="s">
        <v>27879</v>
      </c>
      <c r="T508" t="s">
        <v>30</v>
      </c>
      <c r="U508" t="s">
        <v>26250</v>
      </c>
      <c r="W508" t="s">
        <v>26009</v>
      </c>
    </row>
    <row r="509" spans="1:23" x14ac:dyDescent="0.35">
      <c r="A509">
        <v>241450</v>
      </c>
      <c r="B509" t="s">
        <v>9881</v>
      </c>
      <c r="C509" t="str">
        <f>"9780195137422"</f>
        <v>9780195137422</v>
      </c>
      <c r="D509" t="str">
        <f>"9780198031437"</f>
        <v>9780198031437</v>
      </c>
      <c r="E509" t="s">
        <v>371</v>
      </c>
      <c r="F509" t="s">
        <v>31</v>
      </c>
      <c r="G509" t="s">
        <v>22703</v>
      </c>
      <c r="H509" t="s">
        <v>26004</v>
      </c>
      <c r="I509" s="26">
        <v>37112</v>
      </c>
      <c r="J509">
        <v>2001</v>
      </c>
      <c r="K509" t="s">
        <v>31</v>
      </c>
      <c r="L509">
        <v>283</v>
      </c>
      <c r="M509" t="s">
        <v>27880</v>
      </c>
      <c r="O509" t="s">
        <v>27881</v>
      </c>
      <c r="P509" t="s">
        <v>27882</v>
      </c>
      <c r="Q509" t="s">
        <v>27883</v>
      </c>
      <c r="R509">
        <v>302.39999999999998</v>
      </c>
      <c r="S509" t="s">
        <v>27884</v>
      </c>
      <c r="T509" t="s">
        <v>30</v>
      </c>
      <c r="U509" t="s">
        <v>26044</v>
      </c>
      <c r="W509" t="s">
        <v>26009</v>
      </c>
    </row>
    <row r="510" spans="1:23" x14ac:dyDescent="0.35">
      <c r="A510">
        <v>241451</v>
      </c>
      <c r="B510" t="s">
        <v>9614</v>
      </c>
      <c r="C510" t="str">
        <f>"9780195150100"</f>
        <v>9780195150100</v>
      </c>
      <c r="D510" t="str">
        <f>"9781602564695"</f>
        <v>9781602564695</v>
      </c>
      <c r="E510" t="s">
        <v>371</v>
      </c>
      <c r="F510" t="s">
        <v>31</v>
      </c>
      <c r="G510" t="s">
        <v>22703</v>
      </c>
      <c r="H510" t="s">
        <v>26004</v>
      </c>
      <c r="I510" s="26">
        <v>38043</v>
      </c>
      <c r="J510">
        <v>2004</v>
      </c>
      <c r="K510" t="s">
        <v>31</v>
      </c>
      <c r="L510">
        <v>385</v>
      </c>
      <c r="M510" t="s">
        <v>27885</v>
      </c>
      <c r="O510" t="s">
        <v>27886</v>
      </c>
      <c r="Q510" t="s">
        <v>27887</v>
      </c>
      <c r="R510">
        <v>155.232</v>
      </c>
      <c r="S510" t="s">
        <v>9615</v>
      </c>
      <c r="T510" t="s">
        <v>30</v>
      </c>
      <c r="U510" t="s">
        <v>46</v>
      </c>
      <c r="W510" t="s">
        <v>26009</v>
      </c>
    </row>
    <row r="511" spans="1:23" x14ac:dyDescent="0.35">
      <c r="A511">
        <v>241482</v>
      </c>
      <c r="B511" t="s">
        <v>8646</v>
      </c>
      <c r="C511" t="str">
        <f>"9780195125238"</f>
        <v>9780195125238</v>
      </c>
      <c r="D511" t="str">
        <f>"9780198028970"</f>
        <v>9780198028970</v>
      </c>
      <c r="E511" t="s">
        <v>371</v>
      </c>
      <c r="F511" t="s">
        <v>31</v>
      </c>
      <c r="G511" t="s">
        <v>22703</v>
      </c>
      <c r="H511" t="s">
        <v>26004</v>
      </c>
      <c r="I511" s="26">
        <v>36902</v>
      </c>
      <c r="J511">
        <v>2001</v>
      </c>
      <c r="K511" t="s">
        <v>31</v>
      </c>
      <c r="L511">
        <v>496</v>
      </c>
      <c r="M511" t="s">
        <v>27888</v>
      </c>
      <c r="Q511" t="s">
        <v>27889</v>
      </c>
      <c r="R511">
        <v>362.20830000000001</v>
      </c>
      <c r="S511" t="s">
        <v>27890</v>
      </c>
      <c r="T511" t="s">
        <v>30</v>
      </c>
      <c r="U511" t="s">
        <v>27891</v>
      </c>
      <c r="W511" t="s">
        <v>26009</v>
      </c>
    </row>
    <row r="512" spans="1:23" x14ac:dyDescent="0.35">
      <c r="A512">
        <v>241485</v>
      </c>
      <c r="B512" t="s">
        <v>27892</v>
      </c>
      <c r="C512" t="str">
        <f>"9780195098266"</f>
        <v>9780195098266</v>
      </c>
      <c r="D512" t="str">
        <f>"9780198025870"</f>
        <v>9780198025870</v>
      </c>
      <c r="E512" t="s">
        <v>371</v>
      </c>
      <c r="F512" t="s">
        <v>399</v>
      </c>
      <c r="G512" t="s">
        <v>22703</v>
      </c>
      <c r="H512" t="s">
        <v>26004</v>
      </c>
      <c r="I512" s="26">
        <v>35551</v>
      </c>
      <c r="J512">
        <v>1997</v>
      </c>
      <c r="K512" t="s">
        <v>27857</v>
      </c>
      <c r="L512">
        <v>257</v>
      </c>
      <c r="M512" t="s">
        <v>27893</v>
      </c>
      <c r="N512" t="s">
        <v>27894</v>
      </c>
      <c r="Q512" t="s">
        <v>27895</v>
      </c>
      <c r="R512">
        <v>155.19999999999999</v>
      </c>
      <c r="S512" t="s">
        <v>27896</v>
      </c>
      <c r="T512" t="s">
        <v>30</v>
      </c>
      <c r="U512" t="s">
        <v>46</v>
      </c>
      <c r="W512" t="s">
        <v>26009</v>
      </c>
    </row>
    <row r="513" spans="1:23" x14ac:dyDescent="0.35">
      <c r="A513">
        <v>241493</v>
      </c>
      <c r="B513" t="s">
        <v>27897</v>
      </c>
      <c r="C513" t="str">
        <f>"9780195145687"</f>
        <v>9780195145687</v>
      </c>
      <c r="D513" t="str">
        <f>"9780198033318"</f>
        <v>9780198033318</v>
      </c>
      <c r="E513" t="s">
        <v>371</v>
      </c>
      <c r="F513" t="s">
        <v>399</v>
      </c>
      <c r="G513" t="s">
        <v>22703</v>
      </c>
      <c r="H513" t="s">
        <v>26004</v>
      </c>
      <c r="I513" s="26">
        <v>37347</v>
      </c>
      <c r="J513">
        <v>2002</v>
      </c>
      <c r="K513" t="s">
        <v>27857</v>
      </c>
      <c r="L513">
        <v>548</v>
      </c>
      <c r="M513" t="s">
        <v>27898</v>
      </c>
      <c r="Q513" t="s">
        <v>27899</v>
      </c>
      <c r="R513" t="s">
        <v>27027</v>
      </c>
      <c r="S513" t="s">
        <v>27900</v>
      </c>
      <c r="T513" t="s">
        <v>30</v>
      </c>
      <c r="U513" t="s">
        <v>27028</v>
      </c>
      <c r="W513" t="s">
        <v>26009</v>
      </c>
    </row>
    <row r="514" spans="1:23" x14ac:dyDescent="0.35">
      <c r="A514">
        <v>241523</v>
      </c>
      <c r="B514" t="s">
        <v>27901</v>
      </c>
      <c r="C514" t="str">
        <f>"9780195130447"</f>
        <v>9780195130447</v>
      </c>
      <c r="D514" t="str">
        <f>"9780198029953"</f>
        <v>9780198029953</v>
      </c>
      <c r="E514" t="s">
        <v>371</v>
      </c>
      <c r="F514" t="s">
        <v>31</v>
      </c>
      <c r="G514" t="s">
        <v>22703</v>
      </c>
      <c r="H514" t="s">
        <v>26004</v>
      </c>
      <c r="I514" s="26">
        <v>37014</v>
      </c>
      <c r="J514">
        <v>2001</v>
      </c>
      <c r="K514" t="s">
        <v>31</v>
      </c>
      <c r="L514">
        <v>335</v>
      </c>
      <c r="M514" t="s">
        <v>27836</v>
      </c>
      <c r="Q514" t="s">
        <v>27902</v>
      </c>
      <c r="R514" t="s">
        <v>27838</v>
      </c>
      <c r="S514" t="s">
        <v>27903</v>
      </c>
      <c r="T514" t="s">
        <v>30</v>
      </c>
      <c r="U514" t="s">
        <v>46</v>
      </c>
      <c r="W514" t="s">
        <v>26009</v>
      </c>
    </row>
    <row r="515" spans="1:23" x14ac:dyDescent="0.35">
      <c r="A515">
        <v>241525</v>
      </c>
      <c r="B515" t="s">
        <v>27904</v>
      </c>
      <c r="C515" t="str">
        <f>"9780195131758"</f>
        <v>9780195131758</v>
      </c>
      <c r="D515" t="str">
        <f>"9780195351187"</f>
        <v>9780195351187</v>
      </c>
      <c r="E515" t="s">
        <v>371</v>
      </c>
      <c r="F515" t="s">
        <v>31</v>
      </c>
      <c r="G515" t="s">
        <v>22703</v>
      </c>
      <c r="H515" t="s">
        <v>26004</v>
      </c>
      <c r="I515" s="26">
        <v>37238</v>
      </c>
      <c r="J515">
        <v>2002</v>
      </c>
      <c r="K515" t="s">
        <v>31</v>
      </c>
      <c r="L515">
        <v>301</v>
      </c>
      <c r="M515" t="s">
        <v>27905</v>
      </c>
      <c r="Q515" t="s">
        <v>27906</v>
      </c>
      <c r="R515">
        <v>155.6</v>
      </c>
      <c r="S515" t="s">
        <v>27907</v>
      </c>
      <c r="T515" t="s">
        <v>30</v>
      </c>
      <c r="U515" t="s">
        <v>46</v>
      </c>
      <c r="W515" t="s">
        <v>26009</v>
      </c>
    </row>
    <row r="516" spans="1:23" x14ac:dyDescent="0.35">
      <c r="A516">
        <v>241564</v>
      </c>
      <c r="B516" t="s">
        <v>8475</v>
      </c>
      <c r="C516" t="str">
        <f>"9780195090017"</f>
        <v>9780195090017</v>
      </c>
      <c r="D516" t="str">
        <f>"9780195358223"</f>
        <v>9780195358223</v>
      </c>
      <c r="E516" t="s">
        <v>371</v>
      </c>
      <c r="F516" t="s">
        <v>31</v>
      </c>
      <c r="G516" t="s">
        <v>22703</v>
      </c>
      <c r="H516" t="s">
        <v>26004</v>
      </c>
      <c r="I516" s="26">
        <v>35075</v>
      </c>
      <c r="J516">
        <v>1996</v>
      </c>
      <c r="K516" t="s">
        <v>31</v>
      </c>
      <c r="L516">
        <v>254</v>
      </c>
      <c r="M516" t="s">
        <v>27908</v>
      </c>
      <c r="Q516" t="s">
        <v>27909</v>
      </c>
      <c r="R516">
        <v>616.89</v>
      </c>
      <c r="S516" t="s">
        <v>27910</v>
      </c>
      <c r="T516" t="s">
        <v>30</v>
      </c>
      <c r="U516" t="s">
        <v>26116</v>
      </c>
      <c r="W516" t="s">
        <v>26009</v>
      </c>
    </row>
    <row r="517" spans="1:23" x14ac:dyDescent="0.35">
      <c r="A517">
        <v>241579</v>
      </c>
      <c r="B517" t="s">
        <v>8626</v>
      </c>
      <c r="C517" t="str">
        <f>"9780195144383"</f>
        <v>9780195144383</v>
      </c>
      <c r="D517" t="str">
        <f>"9780198032991"</f>
        <v>9780198032991</v>
      </c>
      <c r="E517" t="s">
        <v>371</v>
      </c>
      <c r="F517" t="s">
        <v>31</v>
      </c>
      <c r="G517" t="s">
        <v>22703</v>
      </c>
      <c r="H517" t="s">
        <v>26004</v>
      </c>
      <c r="I517" s="26">
        <v>38071</v>
      </c>
      <c r="J517">
        <v>2004</v>
      </c>
      <c r="K517" t="s">
        <v>31</v>
      </c>
      <c r="L517">
        <v>553</v>
      </c>
      <c r="M517" t="s">
        <v>27911</v>
      </c>
      <c r="Q517" t="s">
        <v>27912</v>
      </c>
      <c r="R517" t="s">
        <v>27913</v>
      </c>
      <c r="S517" t="s">
        <v>27914</v>
      </c>
      <c r="T517" t="s">
        <v>30</v>
      </c>
      <c r="U517" t="s">
        <v>26116</v>
      </c>
      <c r="W517" t="s">
        <v>26009</v>
      </c>
    </row>
    <row r="518" spans="1:23" x14ac:dyDescent="0.35">
      <c r="A518">
        <v>241684</v>
      </c>
      <c r="B518" t="s">
        <v>8579</v>
      </c>
      <c r="C518" t="str">
        <f>"9780195126013"</f>
        <v>9780195126013</v>
      </c>
      <c r="D518" t="str">
        <f>"9780198029120"</f>
        <v>9780198029120</v>
      </c>
      <c r="E518" t="s">
        <v>371</v>
      </c>
      <c r="F518" t="s">
        <v>31</v>
      </c>
      <c r="G518" t="s">
        <v>22703</v>
      </c>
      <c r="H518" t="s">
        <v>26004</v>
      </c>
      <c r="I518" s="26">
        <v>37609</v>
      </c>
      <c r="J518">
        <v>2003</v>
      </c>
      <c r="K518" t="s">
        <v>31</v>
      </c>
      <c r="L518">
        <v>1218</v>
      </c>
      <c r="M518" t="s">
        <v>27915</v>
      </c>
      <c r="Q518" t="s">
        <v>27916</v>
      </c>
      <c r="R518">
        <v>152.4</v>
      </c>
      <c r="S518" t="s">
        <v>27917</v>
      </c>
      <c r="T518" t="s">
        <v>30</v>
      </c>
      <c r="U518" t="s">
        <v>46</v>
      </c>
      <c r="W518" t="s">
        <v>26009</v>
      </c>
    </row>
    <row r="519" spans="1:23" x14ac:dyDescent="0.35">
      <c r="A519">
        <v>241819</v>
      </c>
      <c r="B519" t="s">
        <v>8094</v>
      </c>
      <c r="C519" t="str">
        <f>"9780415192682"</f>
        <v>9780415192682</v>
      </c>
      <c r="D519" t="str">
        <f>"9780203994962"</f>
        <v>9780203994962</v>
      </c>
      <c r="E519" t="s">
        <v>26010</v>
      </c>
      <c r="F519" t="s">
        <v>35</v>
      </c>
      <c r="G519" t="s">
        <v>22174</v>
      </c>
      <c r="H519" t="s">
        <v>26011</v>
      </c>
      <c r="I519" s="26">
        <v>37547</v>
      </c>
      <c r="J519">
        <v>2002</v>
      </c>
      <c r="K519" t="s">
        <v>26012</v>
      </c>
      <c r="L519">
        <v>185</v>
      </c>
      <c r="M519" t="s">
        <v>27918</v>
      </c>
      <c r="N519">
        <v>1</v>
      </c>
      <c r="O519" t="s">
        <v>26144</v>
      </c>
      <c r="Q519" t="s">
        <v>27919</v>
      </c>
      <c r="R519">
        <v>150</v>
      </c>
      <c r="S519" t="s">
        <v>46</v>
      </c>
      <c r="T519" t="s">
        <v>30</v>
      </c>
      <c r="U519" t="s">
        <v>46</v>
      </c>
      <c r="W519" t="s">
        <v>26009</v>
      </c>
    </row>
    <row r="520" spans="1:23" x14ac:dyDescent="0.35">
      <c r="A520">
        <v>241907</v>
      </c>
      <c r="B520" t="s">
        <v>27920</v>
      </c>
      <c r="C520" t="str">
        <f>"9781841693118"</f>
        <v>9781841693118</v>
      </c>
      <c r="D520" t="str">
        <f>"9780203989265"</f>
        <v>9780203989265</v>
      </c>
      <c r="E520" t="s">
        <v>26010</v>
      </c>
      <c r="F520" t="s">
        <v>35</v>
      </c>
      <c r="G520" t="s">
        <v>22267</v>
      </c>
      <c r="H520" t="s">
        <v>26011</v>
      </c>
      <c r="I520" s="26">
        <v>37526</v>
      </c>
      <c r="J520">
        <v>2002</v>
      </c>
      <c r="K520" t="s">
        <v>660</v>
      </c>
      <c r="L520">
        <v>385</v>
      </c>
      <c r="M520" t="s">
        <v>27921</v>
      </c>
      <c r="N520">
        <v>1</v>
      </c>
      <c r="Q520" t="s">
        <v>27922</v>
      </c>
      <c r="R520">
        <v>155</v>
      </c>
      <c r="S520" t="s">
        <v>7433</v>
      </c>
      <c r="T520" t="s">
        <v>30</v>
      </c>
      <c r="U520" t="s">
        <v>46</v>
      </c>
      <c r="W520" t="s">
        <v>26009</v>
      </c>
    </row>
    <row r="521" spans="1:23" x14ac:dyDescent="0.35">
      <c r="A521">
        <v>241911</v>
      </c>
      <c r="B521" t="s">
        <v>8635</v>
      </c>
      <c r="C521" t="str">
        <f>"9780863777578"</f>
        <v>9780863777578</v>
      </c>
      <c r="D521" t="str">
        <f>"9780203989326"</f>
        <v>9780203989326</v>
      </c>
      <c r="E521" t="s">
        <v>26010</v>
      </c>
      <c r="F521" t="s">
        <v>35</v>
      </c>
      <c r="G521" t="s">
        <v>22267</v>
      </c>
      <c r="H521" t="s">
        <v>26004</v>
      </c>
      <c r="I521" s="26">
        <v>37652</v>
      </c>
      <c r="J521">
        <v>2002</v>
      </c>
      <c r="K521" t="s">
        <v>660</v>
      </c>
      <c r="L521">
        <v>757</v>
      </c>
      <c r="M521" t="s">
        <v>27923</v>
      </c>
      <c r="N521">
        <v>1</v>
      </c>
      <c r="Q521" t="s">
        <v>27924</v>
      </c>
      <c r="R521">
        <v>616.80430000000001</v>
      </c>
      <c r="S521" t="s">
        <v>27925</v>
      </c>
      <c r="T521" t="s">
        <v>30</v>
      </c>
      <c r="U521" t="s">
        <v>26040</v>
      </c>
      <c r="W521" t="s">
        <v>26009</v>
      </c>
    </row>
    <row r="522" spans="1:23" x14ac:dyDescent="0.35">
      <c r="A522">
        <v>241981</v>
      </c>
      <c r="B522" t="s">
        <v>27926</v>
      </c>
      <c r="C522" t="str">
        <f>"9780415117227"</f>
        <v>9780415117227</v>
      </c>
      <c r="D522" t="str">
        <f>"9780203993866"</f>
        <v>9780203993866</v>
      </c>
      <c r="E522" t="s">
        <v>26010</v>
      </c>
      <c r="F522" t="s">
        <v>35</v>
      </c>
      <c r="G522" t="s">
        <v>26201</v>
      </c>
      <c r="H522" t="s">
        <v>26004</v>
      </c>
      <c r="I522" s="26">
        <v>34681</v>
      </c>
      <c r="J522">
        <v>1994</v>
      </c>
      <c r="K522" t="s">
        <v>26012</v>
      </c>
      <c r="L522">
        <v>253</v>
      </c>
      <c r="M522" t="s">
        <v>27927</v>
      </c>
      <c r="N522">
        <v>1</v>
      </c>
      <c r="Q522" t="s">
        <v>27928</v>
      </c>
      <c r="R522" t="s">
        <v>27929</v>
      </c>
      <c r="S522" t="s">
        <v>27930</v>
      </c>
      <c r="T522" t="s">
        <v>30</v>
      </c>
      <c r="U522" t="s">
        <v>27931</v>
      </c>
      <c r="W522" t="s">
        <v>26009</v>
      </c>
    </row>
    <row r="523" spans="1:23" x14ac:dyDescent="0.35">
      <c r="A523">
        <v>242045</v>
      </c>
      <c r="B523" t="s">
        <v>27932</v>
      </c>
      <c r="C523" t="str">
        <f>"9780824059361"</f>
        <v>9780824059361</v>
      </c>
      <c r="D523" t="str">
        <f>"9780203997246"</f>
        <v>9780203997246</v>
      </c>
      <c r="E523" t="s">
        <v>26010</v>
      </c>
      <c r="F523" t="s">
        <v>35</v>
      </c>
      <c r="G523" t="s">
        <v>22179</v>
      </c>
      <c r="H523" t="s">
        <v>26004</v>
      </c>
      <c r="I523" s="26">
        <v>38319</v>
      </c>
      <c r="J523">
        <v>2005</v>
      </c>
      <c r="K523" t="s">
        <v>26012</v>
      </c>
      <c r="L523">
        <v>169</v>
      </c>
      <c r="M523" t="s">
        <v>27933</v>
      </c>
      <c r="N523">
        <v>1</v>
      </c>
      <c r="O523" t="s">
        <v>27934</v>
      </c>
      <c r="Q523" t="s">
        <v>27935</v>
      </c>
      <c r="R523" t="s">
        <v>26047</v>
      </c>
      <c r="S523" t="s">
        <v>27936</v>
      </c>
      <c r="T523" t="s">
        <v>30</v>
      </c>
      <c r="U523" t="s">
        <v>46</v>
      </c>
      <c r="W523" t="s">
        <v>26009</v>
      </c>
    </row>
    <row r="524" spans="1:23" x14ac:dyDescent="0.35">
      <c r="A524">
        <v>242076</v>
      </c>
      <c r="B524" t="s">
        <v>27937</v>
      </c>
      <c r="C524" t="str">
        <f>"9780415229029"</f>
        <v>9780415229029</v>
      </c>
      <c r="D524" t="str">
        <f>"9780203994191"</f>
        <v>9780203994191</v>
      </c>
      <c r="E524" t="s">
        <v>26010</v>
      </c>
      <c r="F524" t="s">
        <v>35</v>
      </c>
      <c r="G524" t="s">
        <v>22174</v>
      </c>
      <c r="H524" t="s">
        <v>26011</v>
      </c>
      <c r="I524" s="26">
        <v>37399</v>
      </c>
      <c r="J524">
        <v>2002</v>
      </c>
      <c r="K524" t="s">
        <v>26012</v>
      </c>
      <c r="L524">
        <v>202</v>
      </c>
      <c r="M524" t="s">
        <v>27938</v>
      </c>
      <c r="N524">
        <v>1</v>
      </c>
      <c r="Q524" t="s">
        <v>27939</v>
      </c>
      <c r="R524">
        <v>306.7</v>
      </c>
      <c r="S524" t="s">
        <v>9834</v>
      </c>
      <c r="T524" t="s">
        <v>30</v>
      </c>
      <c r="U524" t="s">
        <v>26044</v>
      </c>
      <c r="W524" t="s">
        <v>26009</v>
      </c>
    </row>
    <row r="525" spans="1:23" x14ac:dyDescent="0.35">
      <c r="A525">
        <v>242097</v>
      </c>
      <c r="B525" t="s">
        <v>27940</v>
      </c>
      <c r="C525" t="str">
        <f>"9780415278300"</f>
        <v>9780415278300</v>
      </c>
      <c r="D525" t="str">
        <f>"9780203994320"</f>
        <v>9780203994320</v>
      </c>
      <c r="E525" t="s">
        <v>26010</v>
      </c>
      <c r="F525" t="s">
        <v>35</v>
      </c>
      <c r="G525" t="s">
        <v>26128</v>
      </c>
      <c r="H525" t="s">
        <v>26011</v>
      </c>
      <c r="I525" s="26">
        <v>37308</v>
      </c>
      <c r="J525">
        <v>2002</v>
      </c>
      <c r="K525" t="s">
        <v>26012</v>
      </c>
      <c r="L525">
        <v>427</v>
      </c>
      <c r="M525" t="s">
        <v>27941</v>
      </c>
      <c r="N525">
        <v>2</v>
      </c>
      <c r="O525" t="s">
        <v>27942</v>
      </c>
      <c r="Q525" t="s">
        <v>27943</v>
      </c>
      <c r="R525">
        <v>394.8</v>
      </c>
      <c r="S525" t="s">
        <v>9975</v>
      </c>
      <c r="T525" t="s">
        <v>30</v>
      </c>
      <c r="U525" t="s">
        <v>26044</v>
      </c>
      <c r="W525" t="s">
        <v>26159</v>
      </c>
    </row>
    <row r="526" spans="1:23" x14ac:dyDescent="0.35">
      <c r="A526">
        <v>242165</v>
      </c>
      <c r="B526" t="s">
        <v>27944</v>
      </c>
      <c r="C526" t="str">
        <f>"9780415272421"</f>
        <v>9780415272421</v>
      </c>
      <c r="D526" t="str">
        <f>"9780203994931"</f>
        <v>9780203994931</v>
      </c>
      <c r="E526" t="s">
        <v>26010</v>
      </c>
      <c r="F526" t="s">
        <v>35</v>
      </c>
      <c r="G526" t="s">
        <v>22174</v>
      </c>
      <c r="H526" t="s">
        <v>26011</v>
      </c>
      <c r="I526" s="26">
        <v>37575</v>
      </c>
      <c r="J526">
        <v>2002</v>
      </c>
      <c r="K526" t="s">
        <v>26012</v>
      </c>
      <c r="L526">
        <v>236</v>
      </c>
      <c r="M526" t="s">
        <v>27945</v>
      </c>
      <c r="N526">
        <v>1</v>
      </c>
      <c r="O526" t="s">
        <v>26439</v>
      </c>
      <c r="P526">
        <v>1</v>
      </c>
      <c r="Q526" t="s">
        <v>27946</v>
      </c>
      <c r="R526" t="s">
        <v>26035</v>
      </c>
      <c r="S526" t="s">
        <v>8780</v>
      </c>
      <c r="T526" t="s">
        <v>30</v>
      </c>
      <c r="U526" t="s">
        <v>46</v>
      </c>
      <c r="W526" t="s">
        <v>26009</v>
      </c>
    </row>
    <row r="527" spans="1:23" x14ac:dyDescent="0.35">
      <c r="A527">
        <v>242257</v>
      </c>
      <c r="B527" t="s">
        <v>27947</v>
      </c>
      <c r="C527" t="str">
        <f>"9780415235679"</f>
        <v>9780415235679</v>
      </c>
      <c r="D527" t="str">
        <f>"9780203995365"</f>
        <v>9780203995365</v>
      </c>
      <c r="E527" t="s">
        <v>26010</v>
      </c>
      <c r="F527" t="s">
        <v>35</v>
      </c>
      <c r="G527" t="s">
        <v>22174</v>
      </c>
      <c r="H527" t="s">
        <v>26011</v>
      </c>
      <c r="I527" s="26">
        <v>37526</v>
      </c>
      <c r="J527">
        <v>2002</v>
      </c>
      <c r="K527" t="s">
        <v>26012</v>
      </c>
      <c r="L527">
        <v>387</v>
      </c>
      <c r="M527" t="s">
        <v>27948</v>
      </c>
      <c r="N527">
        <v>1</v>
      </c>
      <c r="Q527" t="s">
        <v>27949</v>
      </c>
      <c r="R527">
        <v>362.29</v>
      </c>
      <c r="S527" t="s">
        <v>10277</v>
      </c>
      <c r="T527" t="s">
        <v>30</v>
      </c>
      <c r="U527" t="s">
        <v>26094</v>
      </c>
      <c r="W527" t="s">
        <v>26009</v>
      </c>
    </row>
    <row r="528" spans="1:23" x14ac:dyDescent="0.35">
      <c r="A528">
        <v>243174</v>
      </c>
      <c r="B528" t="s">
        <v>27950</v>
      </c>
      <c r="C528" t="str">
        <f>"9781583917701"</f>
        <v>9781583917701</v>
      </c>
      <c r="D528" t="str">
        <f>"9780203028445"</f>
        <v>9780203028445</v>
      </c>
      <c r="E528" t="s">
        <v>26010</v>
      </c>
      <c r="F528" t="s">
        <v>35</v>
      </c>
      <c r="G528" t="s">
        <v>26201</v>
      </c>
      <c r="H528" t="s">
        <v>26004</v>
      </c>
      <c r="I528" s="26">
        <v>38569</v>
      </c>
      <c r="J528">
        <v>2005</v>
      </c>
      <c r="K528" t="s">
        <v>26012</v>
      </c>
      <c r="L528">
        <v>239</v>
      </c>
      <c r="M528" t="s">
        <v>27951</v>
      </c>
      <c r="N528">
        <v>1</v>
      </c>
      <c r="Q528" t="s">
        <v>27952</v>
      </c>
      <c r="R528" t="s">
        <v>27184</v>
      </c>
      <c r="S528" t="s">
        <v>27953</v>
      </c>
      <c r="T528" t="s">
        <v>30</v>
      </c>
      <c r="U528" t="s">
        <v>26116</v>
      </c>
      <c r="W528" t="s">
        <v>26009</v>
      </c>
    </row>
    <row r="529" spans="1:23" x14ac:dyDescent="0.35">
      <c r="A529">
        <v>243189</v>
      </c>
      <c r="B529" t="s">
        <v>27954</v>
      </c>
      <c r="C529" t="str">
        <f>"9780415948296"</f>
        <v>9780415948296</v>
      </c>
      <c r="D529" t="str">
        <f>"9780203323335"</f>
        <v>9780203323335</v>
      </c>
      <c r="E529" t="s">
        <v>26010</v>
      </c>
      <c r="F529" t="s">
        <v>35</v>
      </c>
      <c r="G529" t="s">
        <v>22174</v>
      </c>
      <c r="H529" t="s">
        <v>26011</v>
      </c>
      <c r="I529" s="26">
        <v>38091</v>
      </c>
      <c r="J529">
        <v>2004</v>
      </c>
      <c r="K529" t="s">
        <v>26012</v>
      </c>
      <c r="L529">
        <v>160</v>
      </c>
      <c r="M529" t="s">
        <v>27955</v>
      </c>
      <c r="N529">
        <v>1</v>
      </c>
      <c r="Q529" t="s">
        <v>27956</v>
      </c>
      <c r="R529">
        <v>158.19999999999999</v>
      </c>
      <c r="S529" t="s">
        <v>8418</v>
      </c>
      <c r="T529" t="s">
        <v>30</v>
      </c>
      <c r="U529" t="s">
        <v>26228</v>
      </c>
      <c r="W529" t="s">
        <v>26009</v>
      </c>
    </row>
    <row r="530" spans="1:23" x14ac:dyDescent="0.35">
      <c r="A530">
        <v>243206</v>
      </c>
      <c r="B530" t="s">
        <v>27957</v>
      </c>
      <c r="C530" t="str">
        <f>"9781841692012"</f>
        <v>9781841692012</v>
      </c>
      <c r="D530" t="str">
        <f>"9780203989401"</f>
        <v>9780203989401</v>
      </c>
      <c r="E530" t="s">
        <v>26010</v>
      </c>
      <c r="F530" t="s">
        <v>35</v>
      </c>
      <c r="G530" t="s">
        <v>22267</v>
      </c>
      <c r="H530" t="s">
        <v>26004</v>
      </c>
      <c r="I530" s="26">
        <v>37407</v>
      </c>
      <c r="J530">
        <v>2002</v>
      </c>
      <c r="K530" t="s">
        <v>660</v>
      </c>
      <c r="L530">
        <v>195</v>
      </c>
      <c r="M530" t="s">
        <v>27958</v>
      </c>
      <c r="N530">
        <v>1</v>
      </c>
      <c r="O530" t="s">
        <v>26714</v>
      </c>
      <c r="Q530" t="s">
        <v>27959</v>
      </c>
      <c r="R530">
        <v>153.15</v>
      </c>
      <c r="S530" t="s">
        <v>27960</v>
      </c>
      <c r="T530" t="s">
        <v>30</v>
      </c>
      <c r="U530" t="s">
        <v>46</v>
      </c>
      <c r="W530" t="s">
        <v>26009</v>
      </c>
    </row>
    <row r="531" spans="1:23" x14ac:dyDescent="0.35">
      <c r="A531">
        <v>243294</v>
      </c>
      <c r="B531" t="s">
        <v>27961</v>
      </c>
      <c r="C531" t="str">
        <f>"9781841695808"</f>
        <v>9781841695808</v>
      </c>
      <c r="D531" t="str">
        <f>"9780203086827"</f>
        <v>9780203086827</v>
      </c>
      <c r="E531" t="s">
        <v>26010</v>
      </c>
      <c r="F531" t="s">
        <v>35</v>
      </c>
      <c r="G531" t="s">
        <v>22267</v>
      </c>
      <c r="H531" t="s">
        <v>26004</v>
      </c>
      <c r="I531" s="26">
        <v>38730</v>
      </c>
      <c r="J531">
        <v>2005</v>
      </c>
      <c r="K531" t="s">
        <v>660</v>
      </c>
      <c r="L531">
        <v>299</v>
      </c>
      <c r="M531" t="s">
        <v>27962</v>
      </c>
      <c r="N531">
        <v>1</v>
      </c>
      <c r="O531" t="s">
        <v>27963</v>
      </c>
      <c r="Q531" t="s">
        <v>27964</v>
      </c>
      <c r="R531">
        <v>616.85212000000001</v>
      </c>
      <c r="S531" t="s">
        <v>27965</v>
      </c>
      <c r="T531" t="s">
        <v>30</v>
      </c>
      <c r="U531" t="s">
        <v>27966</v>
      </c>
      <c r="W531" t="s">
        <v>26009</v>
      </c>
    </row>
    <row r="532" spans="1:23" x14ac:dyDescent="0.35">
      <c r="A532">
        <v>243298</v>
      </c>
      <c r="B532" t="s">
        <v>27967</v>
      </c>
      <c r="C532" t="str">
        <f>"9781583919842"</f>
        <v>9781583919842</v>
      </c>
      <c r="D532" t="str">
        <f>"9780203086933"</f>
        <v>9780203086933</v>
      </c>
      <c r="E532" t="s">
        <v>26010</v>
      </c>
      <c r="F532" t="s">
        <v>35</v>
      </c>
      <c r="G532" t="s">
        <v>26201</v>
      </c>
      <c r="H532" t="s">
        <v>26004</v>
      </c>
      <c r="I532" s="26">
        <v>38615</v>
      </c>
      <c r="J532">
        <v>2005</v>
      </c>
      <c r="K532" t="s">
        <v>26012</v>
      </c>
      <c r="L532">
        <v>217</v>
      </c>
      <c r="M532" t="s">
        <v>27968</v>
      </c>
      <c r="N532">
        <v>1</v>
      </c>
      <c r="Q532" t="s">
        <v>27969</v>
      </c>
      <c r="R532" t="s">
        <v>26873</v>
      </c>
      <c r="S532" t="s">
        <v>27970</v>
      </c>
      <c r="T532" t="s">
        <v>30</v>
      </c>
      <c r="U532" t="s">
        <v>46</v>
      </c>
      <c r="W532" t="s">
        <v>26009</v>
      </c>
    </row>
    <row r="533" spans="1:23" x14ac:dyDescent="0.35">
      <c r="A533">
        <v>243324</v>
      </c>
      <c r="B533" t="s">
        <v>27971</v>
      </c>
      <c r="C533" t="str">
        <f>"9781583917107"</f>
        <v>9781583917107</v>
      </c>
      <c r="D533" t="str">
        <f>"9780203698624"</f>
        <v>9780203698624</v>
      </c>
      <c r="E533" t="s">
        <v>26010</v>
      </c>
      <c r="F533" t="s">
        <v>35</v>
      </c>
      <c r="G533" t="s">
        <v>22174</v>
      </c>
      <c r="H533" t="s">
        <v>26011</v>
      </c>
      <c r="I533" s="26">
        <v>38546</v>
      </c>
      <c r="J533">
        <v>2005</v>
      </c>
      <c r="K533" t="s">
        <v>26012</v>
      </c>
      <c r="L533">
        <v>221</v>
      </c>
      <c r="M533" t="s">
        <v>27972</v>
      </c>
      <c r="N533">
        <v>1</v>
      </c>
      <c r="Q533" t="s">
        <v>27973</v>
      </c>
      <c r="R533" t="s">
        <v>26308</v>
      </c>
      <c r="S533" t="s">
        <v>8466</v>
      </c>
      <c r="T533" t="s">
        <v>30</v>
      </c>
      <c r="U533" t="s">
        <v>46</v>
      </c>
      <c r="W533" t="s">
        <v>26009</v>
      </c>
    </row>
    <row r="534" spans="1:23" x14ac:dyDescent="0.35">
      <c r="A534">
        <v>243363</v>
      </c>
      <c r="B534" t="s">
        <v>27974</v>
      </c>
      <c r="C534" t="str">
        <f>"9780415202688"</f>
        <v>9780415202688</v>
      </c>
      <c r="D534" t="str">
        <f>"9780203992043"</f>
        <v>9780203992043</v>
      </c>
      <c r="E534" t="s">
        <v>26010</v>
      </c>
      <c r="F534" t="s">
        <v>35</v>
      </c>
      <c r="G534" t="s">
        <v>26201</v>
      </c>
      <c r="H534" t="s">
        <v>26004</v>
      </c>
      <c r="I534" s="26">
        <v>36913</v>
      </c>
      <c r="J534">
        <v>2000</v>
      </c>
      <c r="K534" t="s">
        <v>26012</v>
      </c>
      <c r="L534">
        <v>344</v>
      </c>
      <c r="M534" t="s">
        <v>27975</v>
      </c>
      <c r="N534">
        <v>1</v>
      </c>
      <c r="Q534" t="s">
        <v>27976</v>
      </c>
      <c r="R534">
        <v>616.89</v>
      </c>
      <c r="S534" t="s">
        <v>27977</v>
      </c>
      <c r="T534" t="s">
        <v>30</v>
      </c>
      <c r="U534" t="s">
        <v>26116</v>
      </c>
      <c r="W534" t="s">
        <v>26009</v>
      </c>
    </row>
    <row r="535" spans="1:23" x14ac:dyDescent="0.35">
      <c r="A535">
        <v>243364</v>
      </c>
      <c r="B535" t="s">
        <v>27978</v>
      </c>
      <c r="C535" t="str">
        <f>"9781583919095"</f>
        <v>9781583919095</v>
      </c>
      <c r="D535" t="str">
        <f>"9780203087008"</f>
        <v>9780203087008</v>
      </c>
      <c r="E535" t="s">
        <v>26010</v>
      </c>
      <c r="F535" t="s">
        <v>35</v>
      </c>
      <c r="G535" t="s">
        <v>26201</v>
      </c>
      <c r="H535" t="s">
        <v>26004</v>
      </c>
      <c r="I535" s="26">
        <v>38516</v>
      </c>
      <c r="J535">
        <v>2005</v>
      </c>
      <c r="K535" t="s">
        <v>26012</v>
      </c>
      <c r="L535">
        <v>287</v>
      </c>
      <c r="M535" t="s">
        <v>27979</v>
      </c>
      <c r="N535">
        <v>1</v>
      </c>
      <c r="Q535" t="s">
        <v>27980</v>
      </c>
      <c r="R535" t="s">
        <v>27082</v>
      </c>
      <c r="S535" t="s">
        <v>27981</v>
      </c>
      <c r="T535" t="s">
        <v>30</v>
      </c>
      <c r="U535" t="s">
        <v>26170</v>
      </c>
      <c r="W535" t="s">
        <v>26009</v>
      </c>
    </row>
    <row r="536" spans="1:23" x14ac:dyDescent="0.35">
      <c r="A536">
        <v>253459</v>
      </c>
      <c r="B536" t="s">
        <v>27982</v>
      </c>
      <c r="C536" t="str">
        <f>"9789004116405"</f>
        <v>9789004116405</v>
      </c>
      <c r="D536" t="str">
        <f>"9789047400356"</f>
        <v>9789047400356</v>
      </c>
      <c r="E536" t="s">
        <v>4602</v>
      </c>
      <c r="F536" t="s">
        <v>27</v>
      </c>
      <c r="G536" t="s">
        <v>22614</v>
      </c>
      <c r="H536" t="s">
        <v>27983</v>
      </c>
      <c r="I536" s="26">
        <v>36526</v>
      </c>
      <c r="J536">
        <v>2000</v>
      </c>
      <c r="K536" t="s">
        <v>27</v>
      </c>
      <c r="L536">
        <v>288</v>
      </c>
      <c r="M536" t="s">
        <v>27984</v>
      </c>
      <c r="N536">
        <v>1</v>
      </c>
      <c r="Q536" t="s">
        <v>27985</v>
      </c>
      <c r="R536" t="s">
        <v>27986</v>
      </c>
      <c r="S536" t="s">
        <v>27987</v>
      </c>
      <c r="T536" t="s">
        <v>30</v>
      </c>
      <c r="U536" t="s">
        <v>26250</v>
      </c>
      <c r="W536" t="s">
        <v>26009</v>
      </c>
    </row>
    <row r="537" spans="1:23" x14ac:dyDescent="0.35">
      <c r="A537">
        <v>253980</v>
      </c>
      <c r="B537" t="s">
        <v>8265</v>
      </c>
      <c r="C537" t="str">
        <f>"9781845447496"</f>
        <v>9781845447496</v>
      </c>
      <c r="D537" t="str">
        <f>"9781845447502"</f>
        <v>9781845447502</v>
      </c>
      <c r="E537" t="s">
        <v>7442</v>
      </c>
      <c r="F537" t="s">
        <v>7442</v>
      </c>
      <c r="G537" t="s">
        <v>23125</v>
      </c>
      <c r="H537" t="s">
        <v>26011</v>
      </c>
      <c r="I537" s="26">
        <v>38625</v>
      </c>
      <c r="J537">
        <v>2005</v>
      </c>
      <c r="K537" t="s">
        <v>264</v>
      </c>
      <c r="L537">
        <v>137</v>
      </c>
      <c r="M537" t="s">
        <v>27988</v>
      </c>
      <c r="N537">
        <v>1</v>
      </c>
      <c r="O537" t="s">
        <v>27989</v>
      </c>
      <c r="P537">
        <v>19</v>
      </c>
      <c r="Q537" t="s">
        <v>27990</v>
      </c>
      <c r="R537">
        <v>362.10680000000002</v>
      </c>
      <c r="S537" t="s">
        <v>27991</v>
      </c>
      <c r="T537" t="s">
        <v>30</v>
      </c>
      <c r="U537" t="s">
        <v>26250</v>
      </c>
      <c r="W537" t="s">
        <v>26009</v>
      </c>
    </row>
    <row r="538" spans="1:23" x14ac:dyDescent="0.35">
      <c r="A538">
        <v>254227</v>
      </c>
      <c r="B538" t="s">
        <v>27992</v>
      </c>
      <c r="C538" t="str">
        <f>"9780415262262"</f>
        <v>9780415262262</v>
      </c>
      <c r="D538" t="str">
        <f>"9780203994337"</f>
        <v>9780203994337</v>
      </c>
      <c r="E538" t="s">
        <v>26010</v>
      </c>
      <c r="F538" t="s">
        <v>35</v>
      </c>
      <c r="G538" t="s">
        <v>22174</v>
      </c>
      <c r="H538" t="s">
        <v>26011</v>
      </c>
      <c r="I538" s="26">
        <v>37344</v>
      </c>
      <c r="J538">
        <v>2002</v>
      </c>
      <c r="K538" t="s">
        <v>26012</v>
      </c>
      <c r="L538">
        <v>328</v>
      </c>
      <c r="M538" t="s">
        <v>27993</v>
      </c>
      <c r="N538">
        <v>1</v>
      </c>
      <c r="Q538" t="s">
        <v>27994</v>
      </c>
      <c r="R538">
        <v>155.44399999999999</v>
      </c>
      <c r="S538" t="s">
        <v>46</v>
      </c>
      <c r="T538" t="s">
        <v>30</v>
      </c>
      <c r="U538" t="s">
        <v>46</v>
      </c>
      <c r="W538" t="s">
        <v>26009</v>
      </c>
    </row>
    <row r="539" spans="1:23" x14ac:dyDescent="0.35">
      <c r="A539">
        <v>254235</v>
      </c>
      <c r="B539" t="s">
        <v>27995</v>
      </c>
      <c r="C539" t="str">
        <f>"9780415298971"</f>
        <v>9780415298971</v>
      </c>
      <c r="D539" t="str">
        <f>"9780203988800"</f>
        <v>9780203988800</v>
      </c>
      <c r="E539" t="s">
        <v>26010</v>
      </c>
      <c r="F539" t="s">
        <v>35</v>
      </c>
      <c r="G539" t="s">
        <v>22174</v>
      </c>
      <c r="H539" t="s">
        <v>26011</v>
      </c>
      <c r="I539" s="26">
        <v>37645</v>
      </c>
      <c r="J539">
        <v>2002</v>
      </c>
      <c r="K539" t="s">
        <v>26012</v>
      </c>
      <c r="L539">
        <v>397</v>
      </c>
      <c r="M539" t="s">
        <v>27996</v>
      </c>
      <c r="N539">
        <v>1</v>
      </c>
      <c r="Q539" t="s">
        <v>27997</v>
      </c>
      <c r="R539">
        <v>155.19999999999999</v>
      </c>
      <c r="S539" t="s">
        <v>7507</v>
      </c>
      <c r="T539" t="s">
        <v>30</v>
      </c>
      <c r="U539" t="s">
        <v>46</v>
      </c>
      <c r="W539" t="s">
        <v>26009</v>
      </c>
    </row>
    <row r="540" spans="1:23" x14ac:dyDescent="0.35">
      <c r="A540">
        <v>254373</v>
      </c>
      <c r="B540" t="s">
        <v>10046</v>
      </c>
      <c r="C540" t="str">
        <f>"9780415948005"</f>
        <v>9780415948005</v>
      </c>
      <c r="D540" t="str">
        <f>"9780203340110"</f>
        <v>9780203340110</v>
      </c>
      <c r="E540" t="s">
        <v>26010</v>
      </c>
      <c r="F540" t="s">
        <v>35</v>
      </c>
      <c r="G540" t="s">
        <v>26337</v>
      </c>
      <c r="H540" t="s">
        <v>26004</v>
      </c>
      <c r="I540" s="26">
        <v>38078</v>
      </c>
      <c r="J540">
        <v>2004</v>
      </c>
      <c r="K540" t="s">
        <v>26012</v>
      </c>
      <c r="L540">
        <v>178</v>
      </c>
      <c r="M540" t="s">
        <v>27998</v>
      </c>
      <c r="N540">
        <v>1</v>
      </c>
      <c r="Q540" t="s">
        <v>27999</v>
      </c>
      <c r="R540">
        <v>616.89023199999997</v>
      </c>
      <c r="S540" t="s">
        <v>28000</v>
      </c>
      <c r="T540" t="s">
        <v>30</v>
      </c>
      <c r="U540" t="s">
        <v>26019</v>
      </c>
      <c r="W540" t="s">
        <v>26009</v>
      </c>
    </row>
    <row r="541" spans="1:23" x14ac:dyDescent="0.35">
      <c r="A541">
        <v>254489</v>
      </c>
      <c r="B541" t="s">
        <v>28001</v>
      </c>
      <c r="C541" t="str">
        <f>"9781583911112"</f>
        <v>9781583911112</v>
      </c>
      <c r="D541" t="str">
        <f>"9780203087954"</f>
        <v>9780203087954</v>
      </c>
      <c r="E541" t="s">
        <v>26010</v>
      </c>
      <c r="F541" t="s">
        <v>35</v>
      </c>
      <c r="G541" t="s">
        <v>22174</v>
      </c>
      <c r="H541" t="s">
        <v>26011</v>
      </c>
      <c r="I541" s="26">
        <v>38670</v>
      </c>
      <c r="J541">
        <v>2005</v>
      </c>
      <c r="K541" t="s">
        <v>26012</v>
      </c>
      <c r="L541">
        <v>268</v>
      </c>
      <c r="M541" t="s">
        <v>28002</v>
      </c>
      <c r="N541">
        <v>4</v>
      </c>
      <c r="Q541" t="s">
        <v>28003</v>
      </c>
      <c r="R541">
        <v>155</v>
      </c>
      <c r="S541" t="s">
        <v>7433</v>
      </c>
      <c r="T541" t="s">
        <v>30</v>
      </c>
      <c r="U541" t="s">
        <v>46</v>
      </c>
      <c r="W541" t="s">
        <v>26009</v>
      </c>
    </row>
    <row r="542" spans="1:23" x14ac:dyDescent="0.35">
      <c r="A542">
        <v>254514</v>
      </c>
      <c r="B542" t="s">
        <v>7842</v>
      </c>
      <c r="C542" t="str">
        <f>"9789026519444"</f>
        <v>9789026519444</v>
      </c>
      <c r="D542" t="str">
        <f>"9780203970980"</f>
        <v>9780203970980</v>
      </c>
      <c r="E542" t="s">
        <v>26010</v>
      </c>
      <c r="F542" t="s">
        <v>35</v>
      </c>
      <c r="G542" t="s">
        <v>24203</v>
      </c>
      <c r="H542" t="s">
        <v>26004</v>
      </c>
      <c r="I542" s="26">
        <v>37622</v>
      </c>
      <c r="J542">
        <v>2003</v>
      </c>
      <c r="K542" t="s">
        <v>660</v>
      </c>
      <c r="L542">
        <v>246</v>
      </c>
      <c r="M542" t="s">
        <v>28004</v>
      </c>
      <c r="N542">
        <v>1</v>
      </c>
      <c r="O542" t="s">
        <v>27359</v>
      </c>
      <c r="P542">
        <v>7</v>
      </c>
      <c r="Q542" t="s">
        <v>28005</v>
      </c>
      <c r="R542">
        <v>150.28700000000001</v>
      </c>
      <c r="S542" t="s">
        <v>28006</v>
      </c>
      <c r="T542" t="s">
        <v>30</v>
      </c>
      <c r="U542" t="s">
        <v>46</v>
      </c>
      <c r="W542" t="s">
        <v>26009</v>
      </c>
    </row>
    <row r="543" spans="1:23" x14ac:dyDescent="0.35">
      <c r="A543">
        <v>254567</v>
      </c>
      <c r="B543" t="s">
        <v>9680</v>
      </c>
      <c r="C543" t="str">
        <f>"9781412902137"</f>
        <v>9781412902137</v>
      </c>
      <c r="D543" t="str">
        <f>"9781412931885"</f>
        <v>9781412931885</v>
      </c>
      <c r="E543" t="s">
        <v>28007</v>
      </c>
      <c r="F543" t="s">
        <v>7430</v>
      </c>
      <c r="G543" t="s">
        <v>22174</v>
      </c>
      <c r="H543" t="s">
        <v>26011</v>
      </c>
      <c r="I543" s="26">
        <v>38147</v>
      </c>
      <c r="J543">
        <v>2004</v>
      </c>
      <c r="K543" t="s">
        <v>7430</v>
      </c>
      <c r="L543">
        <v>102</v>
      </c>
      <c r="M543" t="s">
        <v>28008</v>
      </c>
      <c r="N543">
        <v>3</v>
      </c>
      <c r="O543" t="s">
        <v>28009</v>
      </c>
      <c r="R543" t="s">
        <v>27122</v>
      </c>
      <c r="S543" t="s">
        <v>9681</v>
      </c>
      <c r="T543" t="s">
        <v>30</v>
      </c>
      <c r="U543" t="s">
        <v>26040</v>
      </c>
      <c r="W543" t="s">
        <v>26009</v>
      </c>
    </row>
    <row r="544" spans="1:23" x14ac:dyDescent="0.35">
      <c r="A544">
        <v>254580</v>
      </c>
      <c r="B544" t="s">
        <v>9851</v>
      </c>
      <c r="C544" t="str">
        <f>"9780761941101"</f>
        <v>9780761941101</v>
      </c>
      <c r="D544" t="str">
        <f>"9781412932516"</f>
        <v>9781412932516</v>
      </c>
      <c r="E544" t="s">
        <v>28007</v>
      </c>
      <c r="F544" t="s">
        <v>7430</v>
      </c>
      <c r="G544" t="s">
        <v>22174</v>
      </c>
      <c r="H544" t="s">
        <v>26011</v>
      </c>
      <c r="I544" s="26">
        <v>37714</v>
      </c>
      <c r="J544">
        <v>2003</v>
      </c>
      <c r="K544" t="s">
        <v>7430</v>
      </c>
      <c r="L544">
        <v>178</v>
      </c>
      <c r="M544" t="s">
        <v>28010</v>
      </c>
      <c r="N544">
        <v>2</v>
      </c>
      <c r="O544" t="s">
        <v>28011</v>
      </c>
      <c r="Q544" t="s">
        <v>28012</v>
      </c>
      <c r="R544" t="s">
        <v>28013</v>
      </c>
      <c r="S544" t="s">
        <v>9852</v>
      </c>
      <c r="T544" t="s">
        <v>30</v>
      </c>
      <c r="U544" t="s">
        <v>46</v>
      </c>
      <c r="W544" t="s">
        <v>26009</v>
      </c>
    </row>
    <row r="545" spans="1:23" x14ac:dyDescent="0.35">
      <c r="A545">
        <v>254595</v>
      </c>
      <c r="B545" t="s">
        <v>9073</v>
      </c>
      <c r="C545" t="str">
        <f>"9780761943006"</f>
        <v>9780761943006</v>
      </c>
      <c r="D545" t="str">
        <f>"9781412933421"</f>
        <v>9781412933421</v>
      </c>
      <c r="E545" t="s">
        <v>28007</v>
      </c>
      <c r="F545" t="s">
        <v>7430</v>
      </c>
      <c r="G545" t="s">
        <v>22174</v>
      </c>
      <c r="H545" t="s">
        <v>26011</v>
      </c>
      <c r="I545" s="26">
        <v>38229</v>
      </c>
      <c r="J545">
        <v>2004</v>
      </c>
      <c r="K545" t="s">
        <v>7430</v>
      </c>
      <c r="L545">
        <v>134</v>
      </c>
      <c r="M545" t="s">
        <v>28014</v>
      </c>
      <c r="N545">
        <v>2</v>
      </c>
      <c r="O545" t="s">
        <v>28011</v>
      </c>
      <c r="Q545" t="s">
        <v>28015</v>
      </c>
      <c r="R545" t="s">
        <v>28016</v>
      </c>
      <c r="S545" t="s">
        <v>9074</v>
      </c>
      <c r="T545" t="s">
        <v>30</v>
      </c>
      <c r="U545" t="s">
        <v>26282</v>
      </c>
      <c r="W545" t="s">
        <v>26009</v>
      </c>
    </row>
    <row r="546" spans="1:23" x14ac:dyDescent="0.35">
      <c r="A546">
        <v>254596</v>
      </c>
      <c r="B546" t="s">
        <v>28017</v>
      </c>
      <c r="C546" t="str">
        <f>"9780761943037"</f>
        <v>9780761943037</v>
      </c>
      <c r="D546" t="str">
        <f>"9781412932783"</f>
        <v>9781412932783</v>
      </c>
      <c r="E546" t="s">
        <v>28007</v>
      </c>
      <c r="F546" t="s">
        <v>7430</v>
      </c>
      <c r="G546" t="s">
        <v>22174</v>
      </c>
      <c r="H546" t="s">
        <v>26011</v>
      </c>
      <c r="I546" s="26">
        <v>38149</v>
      </c>
      <c r="J546">
        <v>2004</v>
      </c>
      <c r="K546" t="s">
        <v>7430</v>
      </c>
      <c r="L546">
        <v>195</v>
      </c>
      <c r="M546" t="s">
        <v>28018</v>
      </c>
      <c r="N546">
        <v>1</v>
      </c>
      <c r="Q546" t="s">
        <v>28019</v>
      </c>
      <c r="R546">
        <v>616.89156000000003</v>
      </c>
      <c r="S546" t="s">
        <v>8005</v>
      </c>
      <c r="T546" t="s">
        <v>30</v>
      </c>
      <c r="U546" t="s">
        <v>26116</v>
      </c>
      <c r="W546" t="s">
        <v>26009</v>
      </c>
    </row>
    <row r="547" spans="1:23" x14ac:dyDescent="0.35">
      <c r="A547">
        <v>254599</v>
      </c>
      <c r="B547" t="s">
        <v>7485</v>
      </c>
      <c r="C547" t="str">
        <f>"9780761943426"</f>
        <v>9780761943426</v>
      </c>
      <c r="D547" t="str">
        <f>"9781412931878"</f>
        <v>9781412931878</v>
      </c>
      <c r="E547" t="s">
        <v>28007</v>
      </c>
      <c r="F547" t="s">
        <v>7430</v>
      </c>
      <c r="G547" t="s">
        <v>22174</v>
      </c>
      <c r="H547" t="s">
        <v>26011</v>
      </c>
      <c r="I547" s="26">
        <v>37838</v>
      </c>
      <c r="J547">
        <v>2003</v>
      </c>
      <c r="K547" t="s">
        <v>7430</v>
      </c>
      <c r="L547">
        <v>161</v>
      </c>
      <c r="M547" t="s">
        <v>28020</v>
      </c>
      <c r="N547">
        <v>1</v>
      </c>
      <c r="Q547" t="s">
        <v>28021</v>
      </c>
      <c r="R547" t="s">
        <v>27122</v>
      </c>
      <c r="S547" t="s">
        <v>7486</v>
      </c>
      <c r="T547" t="s">
        <v>30</v>
      </c>
      <c r="U547" t="s">
        <v>26116</v>
      </c>
      <c r="W547" t="s">
        <v>26009</v>
      </c>
    </row>
    <row r="548" spans="1:23" x14ac:dyDescent="0.35">
      <c r="A548">
        <v>254600</v>
      </c>
      <c r="B548" t="s">
        <v>28022</v>
      </c>
      <c r="C548" t="str">
        <f>"9780761943655"</f>
        <v>9780761943655</v>
      </c>
      <c r="D548" t="str">
        <f>"9781412932691"</f>
        <v>9781412932691</v>
      </c>
      <c r="E548" t="s">
        <v>28007</v>
      </c>
      <c r="F548" t="s">
        <v>7430</v>
      </c>
      <c r="G548" t="s">
        <v>22174</v>
      </c>
      <c r="H548" t="s">
        <v>26011</v>
      </c>
      <c r="I548" s="26">
        <v>38223</v>
      </c>
      <c r="J548">
        <v>2004</v>
      </c>
      <c r="K548" t="s">
        <v>7430</v>
      </c>
      <c r="L548">
        <v>135</v>
      </c>
      <c r="M548" t="s">
        <v>28023</v>
      </c>
      <c r="N548">
        <v>1</v>
      </c>
      <c r="Q548" t="s">
        <v>28024</v>
      </c>
      <c r="R548">
        <v>303.3</v>
      </c>
      <c r="S548" t="s">
        <v>8266</v>
      </c>
      <c r="T548" t="s">
        <v>30</v>
      </c>
      <c r="U548" t="s">
        <v>26044</v>
      </c>
      <c r="W548" t="s">
        <v>26009</v>
      </c>
    </row>
    <row r="549" spans="1:23" x14ac:dyDescent="0.35">
      <c r="A549">
        <v>254611</v>
      </c>
      <c r="B549" t="s">
        <v>28025</v>
      </c>
      <c r="C549" t="str">
        <f>"9780761947035"</f>
        <v>9780761947035</v>
      </c>
      <c r="D549" t="str">
        <f>"9781412933711"</f>
        <v>9781412933711</v>
      </c>
      <c r="E549" t="s">
        <v>28007</v>
      </c>
      <c r="F549" t="s">
        <v>7430</v>
      </c>
      <c r="G549" t="s">
        <v>22174</v>
      </c>
      <c r="H549" t="s">
        <v>26011</v>
      </c>
      <c r="I549" s="26">
        <v>38054</v>
      </c>
      <c r="J549">
        <v>2004</v>
      </c>
      <c r="K549" t="s">
        <v>7430</v>
      </c>
      <c r="L549">
        <v>272</v>
      </c>
      <c r="M549" t="s">
        <v>28026</v>
      </c>
      <c r="N549">
        <v>1</v>
      </c>
      <c r="Q549" t="s">
        <v>28027</v>
      </c>
      <c r="R549" t="s">
        <v>26148</v>
      </c>
      <c r="S549" t="s">
        <v>28028</v>
      </c>
      <c r="T549" t="s">
        <v>30</v>
      </c>
      <c r="U549" t="s">
        <v>26044</v>
      </c>
      <c r="W549" t="s">
        <v>26009</v>
      </c>
    </row>
    <row r="550" spans="1:23" x14ac:dyDescent="0.35">
      <c r="A550">
        <v>254637</v>
      </c>
      <c r="B550" t="s">
        <v>9679</v>
      </c>
      <c r="C550" t="str">
        <f>"9780761948957"</f>
        <v>9780761948957</v>
      </c>
      <c r="D550" t="str">
        <f>"9781412931892"</f>
        <v>9781412931892</v>
      </c>
      <c r="E550" t="s">
        <v>28007</v>
      </c>
      <c r="F550" t="s">
        <v>7430</v>
      </c>
      <c r="G550" t="s">
        <v>22174</v>
      </c>
      <c r="H550" t="s">
        <v>26011</v>
      </c>
      <c r="I550" s="26">
        <v>38051</v>
      </c>
      <c r="J550">
        <v>2004</v>
      </c>
      <c r="K550" t="s">
        <v>7430</v>
      </c>
      <c r="L550">
        <v>154</v>
      </c>
      <c r="M550" t="s">
        <v>28008</v>
      </c>
      <c r="N550">
        <v>1</v>
      </c>
      <c r="O550" t="s">
        <v>28029</v>
      </c>
      <c r="R550" t="s">
        <v>28030</v>
      </c>
      <c r="S550" t="s">
        <v>28031</v>
      </c>
      <c r="T550" t="s">
        <v>30</v>
      </c>
      <c r="U550" t="s">
        <v>26040</v>
      </c>
      <c r="W550" t="s">
        <v>26009</v>
      </c>
    </row>
    <row r="551" spans="1:23" x14ac:dyDescent="0.35">
      <c r="A551">
        <v>254642</v>
      </c>
      <c r="B551" t="s">
        <v>28032</v>
      </c>
      <c r="C551" t="str">
        <f>"9780761949503"</f>
        <v>9780761949503</v>
      </c>
      <c r="D551" t="str">
        <f>"9781412933438"</f>
        <v>9781412933438</v>
      </c>
      <c r="E551" t="s">
        <v>28007</v>
      </c>
      <c r="F551" t="s">
        <v>7430</v>
      </c>
      <c r="G551" t="s">
        <v>22174</v>
      </c>
      <c r="H551" t="s">
        <v>26011</v>
      </c>
      <c r="I551" s="26">
        <v>37998</v>
      </c>
      <c r="J551">
        <v>2004</v>
      </c>
      <c r="K551" t="s">
        <v>7430</v>
      </c>
      <c r="L551">
        <v>174</v>
      </c>
      <c r="M551" t="s">
        <v>28033</v>
      </c>
      <c r="N551">
        <v>1</v>
      </c>
      <c r="Q551" t="s">
        <v>28034</v>
      </c>
      <c r="R551" t="s">
        <v>28035</v>
      </c>
      <c r="S551" t="s">
        <v>8005</v>
      </c>
      <c r="T551" t="s">
        <v>30</v>
      </c>
      <c r="U551" t="s">
        <v>26019</v>
      </c>
      <c r="W551" t="s">
        <v>26009</v>
      </c>
    </row>
    <row r="552" spans="1:23" x14ac:dyDescent="0.35">
      <c r="A552">
        <v>254644</v>
      </c>
      <c r="B552" t="s">
        <v>8131</v>
      </c>
      <c r="C552" t="str">
        <f>"9780761949688"</f>
        <v>9780761949688</v>
      </c>
      <c r="D552" t="str">
        <f>"9781412932943"</f>
        <v>9781412932943</v>
      </c>
      <c r="E552" t="s">
        <v>28007</v>
      </c>
      <c r="F552" t="s">
        <v>7430</v>
      </c>
      <c r="G552" t="s">
        <v>22174</v>
      </c>
      <c r="H552" t="s">
        <v>26011</v>
      </c>
      <c r="I552" s="26">
        <v>37676</v>
      </c>
      <c r="J552">
        <v>2003</v>
      </c>
      <c r="K552" t="s">
        <v>7430</v>
      </c>
      <c r="L552">
        <v>136</v>
      </c>
      <c r="M552" t="s">
        <v>28036</v>
      </c>
      <c r="N552">
        <v>2</v>
      </c>
      <c r="O552" t="s">
        <v>28037</v>
      </c>
      <c r="Q552" t="s">
        <v>28038</v>
      </c>
      <c r="R552" t="s">
        <v>27122</v>
      </c>
      <c r="S552" t="s">
        <v>7836</v>
      </c>
      <c r="T552" t="s">
        <v>30</v>
      </c>
      <c r="U552" t="s">
        <v>26019</v>
      </c>
      <c r="W552" t="s">
        <v>26009</v>
      </c>
    </row>
    <row r="553" spans="1:23" x14ac:dyDescent="0.35">
      <c r="A553">
        <v>254659</v>
      </c>
      <c r="B553" t="s">
        <v>28039</v>
      </c>
      <c r="C553" t="str">
        <f>"9780761953142"</f>
        <v>9780761953142</v>
      </c>
      <c r="D553" t="str">
        <f>"9781412932738"</f>
        <v>9781412932738</v>
      </c>
      <c r="E553" t="s">
        <v>28007</v>
      </c>
      <c r="F553" t="s">
        <v>7430</v>
      </c>
      <c r="G553" t="s">
        <v>22174</v>
      </c>
      <c r="H553" t="s">
        <v>26011</v>
      </c>
      <c r="I553" s="26">
        <v>37245</v>
      </c>
      <c r="J553">
        <v>2001</v>
      </c>
      <c r="K553" t="s">
        <v>7430</v>
      </c>
      <c r="L553">
        <v>241</v>
      </c>
      <c r="M553" t="s">
        <v>28040</v>
      </c>
      <c r="N553">
        <v>1</v>
      </c>
      <c r="Q553" t="s">
        <v>28041</v>
      </c>
      <c r="R553" t="s">
        <v>27122</v>
      </c>
      <c r="S553" t="s">
        <v>7836</v>
      </c>
      <c r="T553" t="s">
        <v>30</v>
      </c>
      <c r="U553" t="s">
        <v>26116</v>
      </c>
      <c r="W553" t="s">
        <v>26009</v>
      </c>
    </row>
    <row r="554" spans="1:23" x14ac:dyDescent="0.35">
      <c r="A554">
        <v>254670</v>
      </c>
      <c r="B554" t="s">
        <v>10155</v>
      </c>
      <c r="C554" t="str">
        <f>"9780761954972"</f>
        <v>9780761954972</v>
      </c>
      <c r="D554" t="str">
        <f>"9781412932585"</f>
        <v>9781412932585</v>
      </c>
      <c r="E554" t="s">
        <v>28007</v>
      </c>
      <c r="F554" t="s">
        <v>7430</v>
      </c>
      <c r="G554" t="s">
        <v>22174</v>
      </c>
      <c r="H554" t="s">
        <v>26011</v>
      </c>
      <c r="I554" s="26">
        <v>38329</v>
      </c>
      <c r="J554">
        <v>2005</v>
      </c>
      <c r="K554" t="s">
        <v>7430</v>
      </c>
      <c r="L554">
        <v>207</v>
      </c>
      <c r="M554" t="s">
        <v>28042</v>
      </c>
      <c r="N554">
        <v>1</v>
      </c>
      <c r="Q554" t="s">
        <v>28043</v>
      </c>
      <c r="R554">
        <v>302</v>
      </c>
      <c r="S554" t="s">
        <v>7546</v>
      </c>
      <c r="T554" t="s">
        <v>30</v>
      </c>
      <c r="U554" t="s">
        <v>26044</v>
      </c>
      <c r="W554" t="s">
        <v>26009</v>
      </c>
    </row>
    <row r="555" spans="1:23" x14ac:dyDescent="0.35">
      <c r="A555">
        <v>254673</v>
      </c>
      <c r="B555" t="s">
        <v>28044</v>
      </c>
      <c r="C555" t="str">
        <f>"9780761956297"</f>
        <v>9780761956297</v>
      </c>
      <c r="D555" t="str">
        <f>"9781412933841"</f>
        <v>9781412933841</v>
      </c>
      <c r="E555" t="s">
        <v>28007</v>
      </c>
      <c r="F555" t="s">
        <v>7430</v>
      </c>
      <c r="G555" t="s">
        <v>22174</v>
      </c>
      <c r="H555" t="s">
        <v>26011</v>
      </c>
      <c r="I555" s="26">
        <v>36949</v>
      </c>
      <c r="J555">
        <v>2001</v>
      </c>
      <c r="K555" t="s">
        <v>7430</v>
      </c>
      <c r="L555">
        <v>146</v>
      </c>
      <c r="M555" t="s">
        <v>28045</v>
      </c>
      <c r="N555">
        <v>1</v>
      </c>
      <c r="Q555" t="s">
        <v>28046</v>
      </c>
      <c r="R555">
        <v>301</v>
      </c>
      <c r="S555" t="s">
        <v>8263</v>
      </c>
      <c r="T555" t="s">
        <v>30</v>
      </c>
      <c r="U555" t="s">
        <v>26170</v>
      </c>
      <c r="W555" t="s">
        <v>26009</v>
      </c>
    </row>
    <row r="556" spans="1:23" x14ac:dyDescent="0.35">
      <c r="A556">
        <v>254675</v>
      </c>
      <c r="B556" t="s">
        <v>28047</v>
      </c>
      <c r="C556" t="str">
        <f>"9780761956808"</f>
        <v>9780761956808</v>
      </c>
      <c r="D556" t="str">
        <f>"9781412933667"</f>
        <v>9781412933667</v>
      </c>
      <c r="E556" t="s">
        <v>28007</v>
      </c>
      <c r="F556" t="s">
        <v>7430</v>
      </c>
      <c r="G556" t="s">
        <v>22174</v>
      </c>
      <c r="H556" t="s">
        <v>26011</v>
      </c>
      <c r="I556" s="26">
        <v>37292</v>
      </c>
      <c r="J556">
        <v>2002</v>
      </c>
      <c r="K556" t="s">
        <v>7430</v>
      </c>
      <c r="L556">
        <v>214</v>
      </c>
      <c r="M556" t="s">
        <v>28048</v>
      </c>
      <c r="N556">
        <v>1</v>
      </c>
      <c r="O556" t="s">
        <v>28049</v>
      </c>
      <c r="Q556" t="s">
        <v>28050</v>
      </c>
      <c r="R556" t="s">
        <v>27122</v>
      </c>
      <c r="S556" t="s">
        <v>9566</v>
      </c>
      <c r="T556" t="s">
        <v>30</v>
      </c>
      <c r="U556" t="s">
        <v>26019</v>
      </c>
      <c r="W556" t="s">
        <v>26009</v>
      </c>
    </row>
    <row r="557" spans="1:23" x14ac:dyDescent="0.35">
      <c r="A557">
        <v>254677</v>
      </c>
      <c r="B557" t="s">
        <v>28051</v>
      </c>
      <c r="C557" t="str">
        <f>"9780761957669"</f>
        <v>9780761957669</v>
      </c>
      <c r="D557" t="str">
        <f>"9781412932967"</f>
        <v>9781412932967</v>
      </c>
      <c r="E557" t="s">
        <v>28007</v>
      </c>
      <c r="F557" t="s">
        <v>7430</v>
      </c>
      <c r="G557" t="s">
        <v>22174</v>
      </c>
      <c r="H557" t="s">
        <v>26011</v>
      </c>
      <c r="I557" s="26">
        <v>37513</v>
      </c>
      <c r="J557">
        <v>2002</v>
      </c>
      <c r="K557" t="s">
        <v>7430</v>
      </c>
      <c r="L557">
        <v>106</v>
      </c>
      <c r="M557" t="s">
        <v>28052</v>
      </c>
      <c r="N557">
        <v>1</v>
      </c>
      <c r="O557" t="s">
        <v>28053</v>
      </c>
      <c r="Q557" t="s">
        <v>28054</v>
      </c>
      <c r="R557" t="s">
        <v>28055</v>
      </c>
      <c r="S557" t="s">
        <v>8082</v>
      </c>
      <c r="T557" t="s">
        <v>30</v>
      </c>
      <c r="U557" t="s">
        <v>26116</v>
      </c>
      <c r="W557" t="s">
        <v>26009</v>
      </c>
    </row>
    <row r="558" spans="1:23" x14ac:dyDescent="0.35">
      <c r="A558">
        <v>254686</v>
      </c>
      <c r="B558" t="s">
        <v>7729</v>
      </c>
      <c r="C558" t="str">
        <f>"9780761959663"</f>
        <v>9780761959663</v>
      </c>
      <c r="D558" t="str">
        <f>"9781412932882"</f>
        <v>9781412932882</v>
      </c>
      <c r="E558" t="s">
        <v>28007</v>
      </c>
      <c r="F558" t="s">
        <v>7430</v>
      </c>
      <c r="G558" t="s">
        <v>22174</v>
      </c>
      <c r="H558" t="s">
        <v>26011</v>
      </c>
      <c r="I558" s="26">
        <v>37245</v>
      </c>
      <c r="J558">
        <v>2001</v>
      </c>
      <c r="K558" t="s">
        <v>7430</v>
      </c>
      <c r="L558">
        <v>192</v>
      </c>
      <c r="M558" t="s">
        <v>28056</v>
      </c>
      <c r="N558">
        <v>1</v>
      </c>
      <c r="O558" t="s">
        <v>28049</v>
      </c>
      <c r="Q558" t="s">
        <v>28057</v>
      </c>
      <c r="R558" t="s">
        <v>28058</v>
      </c>
      <c r="S558" t="s">
        <v>7730</v>
      </c>
      <c r="T558" t="s">
        <v>30</v>
      </c>
      <c r="U558" t="s">
        <v>46</v>
      </c>
      <c r="W558" t="s">
        <v>26009</v>
      </c>
    </row>
    <row r="559" spans="1:23" x14ac:dyDescent="0.35">
      <c r="A559">
        <v>254700</v>
      </c>
      <c r="B559" t="s">
        <v>9543</v>
      </c>
      <c r="C559" t="str">
        <f>"9780761961949"</f>
        <v>9780761961949</v>
      </c>
      <c r="D559" t="str">
        <f>"9781412932769"</f>
        <v>9781412932769</v>
      </c>
      <c r="E559" t="s">
        <v>28007</v>
      </c>
      <c r="F559" t="s">
        <v>7430</v>
      </c>
      <c r="G559" t="s">
        <v>22174</v>
      </c>
      <c r="H559" t="s">
        <v>26011</v>
      </c>
      <c r="I559" s="26">
        <v>37680</v>
      </c>
      <c r="J559">
        <v>2003</v>
      </c>
      <c r="K559" t="s">
        <v>7430</v>
      </c>
      <c r="L559">
        <v>168</v>
      </c>
      <c r="M559" t="s">
        <v>28059</v>
      </c>
      <c r="N559">
        <v>1</v>
      </c>
      <c r="O559" t="s">
        <v>28060</v>
      </c>
      <c r="Q559" t="s">
        <v>28061</v>
      </c>
      <c r="R559" t="s">
        <v>26617</v>
      </c>
      <c r="S559" t="s">
        <v>8133</v>
      </c>
      <c r="T559" t="s">
        <v>30</v>
      </c>
      <c r="U559" t="s">
        <v>46</v>
      </c>
      <c r="W559" t="s">
        <v>26009</v>
      </c>
    </row>
    <row r="560" spans="1:23" x14ac:dyDescent="0.35">
      <c r="A560">
        <v>254701</v>
      </c>
      <c r="B560" t="s">
        <v>10165</v>
      </c>
      <c r="C560" t="str">
        <f>"9780761962076"</f>
        <v>9780761962076</v>
      </c>
      <c r="D560" t="str">
        <f>"9781412931366"</f>
        <v>9781412931366</v>
      </c>
      <c r="E560" t="s">
        <v>28007</v>
      </c>
      <c r="F560" t="s">
        <v>7430</v>
      </c>
      <c r="G560" t="s">
        <v>22174</v>
      </c>
      <c r="H560" t="s">
        <v>26011</v>
      </c>
      <c r="I560" s="26">
        <v>37245</v>
      </c>
      <c r="J560">
        <v>2001</v>
      </c>
      <c r="K560" t="s">
        <v>7430</v>
      </c>
      <c r="L560">
        <v>382</v>
      </c>
      <c r="M560" t="s">
        <v>28062</v>
      </c>
      <c r="N560">
        <v>1</v>
      </c>
      <c r="Q560" t="s">
        <v>28063</v>
      </c>
      <c r="R560">
        <v>305.8</v>
      </c>
      <c r="S560" t="s">
        <v>10166</v>
      </c>
      <c r="T560" t="s">
        <v>30</v>
      </c>
      <c r="U560" t="s">
        <v>26044</v>
      </c>
      <c r="W560" t="s">
        <v>26009</v>
      </c>
    </row>
    <row r="561" spans="1:23" x14ac:dyDescent="0.35">
      <c r="A561">
        <v>254704</v>
      </c>
      <c r="B561" t="s">
        <v>8393</v>
      </c>
      <c r="C561" t="str">
        <f>"9780761962359"</f>
        <v>9780761962359</v>
      </c>
      <c r="D561" t="str">
        <f>"9781412933308"</f>
        <v>9781412933308</v>
      </c>
      <c r="E561" t="s">
        <v>28007</v>
      </c>
      <c r="F561" t="s">
        <v>7430</v>
      </c>
      <c r="G561" t="s">
        <v>22174</v>
      </c>
      <c r="H561" t="s">
        <v>26011</v>
      </c>
      <c r="I561" s="26">
        <v>37702</v>
      </c>
      <c r="J561">
        <v>2003</v>
      </c>
      <c r="K561" t="s">
        <v>7430</v>
      </c>
      <c r="L561">
        <v>209</v>
      </c>
      <c r="M561" t="s">
        <v>28064</v>
      </c>
      <c r="N561">
        <v>1</v>
      </c>
      <c r="O561" t="s">
        <v>28060</v>
      </c>
      <c r="Q561" t="s">
        <v>28065</v>
      </c>
      <c r="R561" t="s">
        <v>28066</v>
      </c>
      <c r="S561" t="s">
        <v>8005</v>
      </c>
      <c r="T561" t="s">
        <v>30</v>
      </c>
      <c r="U561" t="s">
        <v>26019</v>
      </c>
      <c r="W561" t="s">
        <v>26009</v>
      </c>
    </row>
    <row r="562" spans="1:23" x14ac:dyDescent="0.35">
      <c r="A562">
        <v>254705</v>
      </c>
      <c r="B562" t="s">
        <v>7998</v>
      </c>
      <c r="C562" t="str">
        <f>"9780761962397"</f>
        <v>9780761962397</v>
      </c>
      <c r="D562" t="str">
        <f>"9781412933551"</f>
        <v>9781412933551</v>
      </c>
      <c r="E562" t="s">
        <v>28007</v>
      </c>
      <c r="F562" t="s">
        <v>7430</v>
      </c>
      <c r="G562" t="s">
        <v>22174</v>
      </c>
      <c r="H562" t="s">
        <v>26011</v>
      </c>
      <c r="I562" s="26">
        <v>38085</v>
      </c>
      <c r="J562">
        <v>2004</v>
      </c>
      <c r="K562" t="s">
        <v>7430</v>
      </c>
      <c r="L562">
        <v>108</v>
      </c>
      <c r="M562" t="s">
        <v>28067</v>
      </c>
      <c r="N562">
        <v>1</v>
      </c>
      <c r="O562" t="s">
        <v>28068</v>
      </c>
      <c r="Q562" t="s">
        <v>28069</v>
      </c>
      <c r="R562">
        <v>361.06</v>
      </c>
      <c r="S562" t="s">
        <v>7836</v>
      </c>
      <c r="T562" t="s">
        <v>30</v>
      </c>
      <c r="U562" t="s">
        <v>26228</v>
      </c>
      <c r="W562" t="s">
        <v>26009</v>
      </c>
    </row>
    <row r="563" spans="1:23" x14ac:dyDescent="0.35">
      <c r="A563">
        <v>254712</v>
      </c>
      <c r="B563" t="s">
        <v>28070</v>
      </c>
      <c r="C563" t="str">
        <f>"9780761963523"</f>
        <v>9780761963523</v>
      </c>
      <c r="D563" t="str">
        <f>"9781412931731"</f>
        <v>9781412931731</v>
      </c>
      <c r="E563" t="s">
        <v>28007</v>
      </c>
      <c r="F563" t="s">
        <v>7430</v>
      </c>
      <c r="G563" t="s">
        <v>22174</v>
      </c>
      <c r="H563" t="s">
        <v>26011</v>
      </c>
      <c r="I563" s="26">
        <v>36843</v>
      </c>
      <c r="J563">
        <v>2000</v>
      </c>
      <c r="K563" t="s">
        <v>7430</v>
      </c>
      <c r="L563">
        <v>166</v>
      </c>
      <c r="M563" t="s">
        <v>28071</v>
      </c>
      <c r="N563">
        <v>1</v>
      </c>
      <c r="Q563" t="s">
        <v>28072</v>
      </c>
      <c r="R563" t="s">
        <v>28073</v>
      </c>
      <c r="S563" t="s">
        <v>8497</v>
      </c>
      <c r="T563" t="s">
        <v>30</v>
      </c>
      <c r="U563" t="s">
        <v>26070</v>
      </c>
      <c r="W563" t="s">
        <v>26009</v>
      </c>
    </row>
    <row r="564" spans="1:23" x14ac:dyDescent="0.35">
      <c r="A564">
        <v>254716</v>
      </c>
      <c r="B564" t="s">
        <v>8014</v>
      </c>
      <c r="C564" t="str">
        <f>"9780761964063"</f>
        <v>9780761964063</v>
      </c>
      <c r="D564" t="str">
        <f>"9781412933100"</f>
        <v>9781412933100</v>
      </c>
      <c r="E564" t="s">
        <v>28007</v>
      </c>
      <c r="F564" t="s">
        <v>7430</v>
      </c>
      <c r="G564" t="s">
        <v>22174</v>
      </c>
      <c r="H564" t="s">
        <v>26011</v>
      </c>
      <c r="I564" s="26">
        <v>37813</v>
      </c>
      <c r="J564">
        <v>2003</v>
      </c>
      <c r="K564" t="s">
        <v>7430</v>
      </c>
      <c r="L564">
        <v>142</v>
      </c>
      <c r="M564" t="s">
        <v>28074</v>
      </c>
      <c r="N564">
        <v>1</v>
      </c>
      <c r="Q564" t="s">
        <v>28075</v>
      </c>
      <c r="R564" t="s">
        <v>28076</v>
      </c>
      <c r="S564" t="s">
        <v>8015</v>
      </c>
      <c r="T564" t="s">
        <v>30</v>
      </c>
      <c r="U564" t="s">
        <v>26044</v>
      </c>
      <c r="W564" t="s">
        <v>26009</v>
      </c>
    </row>
    <row r="565" spans="1:23" x14ac:dyDescent="0.35">
      <c r="A565">
        <v>254728</v>
      </c>
      <c r="B565" t="s">
        <v>9873</v>
      </c>
      <c r="C565" t="str">
        <f>"9780761965442"</f>
        <v>9780761965442</v>
      </c>
      <c r="D565" t="str">
        <f>"9781412932134"</f>
        <v>9781412932134</v>
      </c>
      <c r="E565" t="s">
        <v>28007</v>
      </c>
      <c r="F565" t="s">
        <v>7430</v>
      </c>
      <c r="G565" t="s">
        <v>22174</v>
      </c>
      <c r="H565" t="s">
        <v>26011</v>
      </c>
      <c r="I565" s="26">
        <v>37034</v>
      </c>
      <c r="J565">
        <v>2001</v>
      </c>
      <c r="K565" t="s">
        <v>7430</v>
      </c>
      <c r="L565">
        <v>213</v>
      </c>
      <c r="M565" t="s">
        <v>28077</v>
      </c>
      <c r="N565">
        <v>1</v>
      </c>
      <c r="Q565" t="s">
        <v>28078</v>
      </c>
      <c r="R565" t="s">
        <v>26164</v>
      </c>
      <c r="S565" t="s">
        <v>9874</v>
      </c>
      <c r="T565" t="s">
        <v>30</v>
      </c>
      <c r="U565" t="s">
        <v>26044</v>
      </c>
      <c r="W565" t="s">
        <v>26009</v>
      </c>
    </row>
    <row r="566" spans="1:23" x14ac:dyDescent="0.35">
      <c r="A566">
        <v>254732</v>
      </c>
      <c r="B566" t="s">
        <v>8006</v>
      </c>
      <c r="C566" t="str">
        <f>"9780761965749"</f>
        <v>9780761965749</v>
      </c>
      <c r="D566" t="str">
        <f>"9781412933360"</f>
        <v>9781412933360</v>
      </c>
      <c r="E566" t="s">
        <v>28007</v>
      </c>
      <c r="F566" t="s">
        <v>7430</v>
      </c>
      <c r="G566" t="s">
        <v>22174</v>
      </c>
      <c r="H566" t="s">
        <v>26011</v>
      </c>
      <c r="I566" s="26">
        <v>37680</v>
      </c>
      <c r="J566">
        <v>2003</v>
      </c>
      <c r="K566" t="s">
        <v>7430</v>
      </c>
      <c r="L566">
        <v>203</v>
      </c>
      <c r="M566" t="s">
        <v>28079</v>
      </c>
      <c r="N566">
        <v>2</v>
      </c>
      <c r="O566" t="s">
        <v>28080</v>
      </c>
      <c r="R566" t="s">
        <v>27848</v>
      </c>
      <c r="S566" t="s">
        <v>7567</v>
      </c>
      <c r="T566" t="s">
        <v>30</v>
      </c>
      <c r="U566" t="s">
        <v>26040</v>
      </c>
      <c r="W566" t="s">
        <v>26009</v>
      </c>
    </row>
    <row r="567" spans="1:23" x14ac:dyDescent="0.35">
      <c r="A567">
        <v>254736</v>
      </c>
      <c r="B567" t="s">
        <v>9372</v>
      </c>
      <c r="C567" t="str">
        <f>"9780761966142"</f>
        <v>9780761966142</v>
      </c>
      <c r="D567" t="str">
        <f>"9781412932059"</f>
        <v>9781412932059</v>
      </c>
      <c r="E567" t="s">
        <v>28007</v>
      </c>
      <c r="F567" t="s">
        <v>7430</v>
      </c>
      <c r="G567" t="s">
        <v>22174</v>
      </c>
      <c r="H567" t="s">
        <v>26011</v>
      </c>
      <c r="I567" s="26">
        <v>36661</v>
      </c>
      <c r="J567">
        <v>2000</v>
      </c>
      <c r="K567" t="s">
        <v>7430</v>
      </c>
      <c r="L567">
        <v>142</v>
      </c>
      <c r="M567" t="s">
        <v>28081</v>
      </c>
      <c r="N567">
        <v>2</v>
      </c>
      <c r="O567" t="s">
        <v>28009</v>
      </c>
      <c r="Q567" t="s">
        <v>28082</v>
      </c>
      <c r="R567" t="s">
        <v>26873</v>
      </c>
      <c r="S567" t="s">
        <v>9373</v>
      </c>
      <c r="T567" t="s">
        <v>30</v>
      </c>
      <c r="U567" t="s">
        <v>46</v>
      </c>
      <c r="W567" t="s">
        <v>26009</v>
      </c>
    </row>
    <row r="568" spans="1:23" x14ac:dyDescent="0.35">
      <c r="A568">
        <v>254765</v>
      </c>
      <c r="B568" t="s">
        <v>10037</v>
      </c>
      <c r="C568" t="str">
        <f>"9780761969693"</f>
        <v>9780761969693</v>
      </c>
      <c r="D568" t="str">
        <f>"9781412931939"</f>
        <v>9781412931939</v>
      </c>
      <c r="E568" t="s">
        <v>28007</v>
      </c>
      <c r="F568" t="s">
        <v>7430</v>
      </c>
      <c r="G568" t="s">
        <v>22174</v>
      </c>
      <c r="H568" t="s">
        <v>26011</v>
      </c>
      <c r="I568" s="26">
        <v>37400</v>
      </c>
      <c r="J568">
        <v>2002</v>
      </c>
      <c r="K568" t="s">
        <v>7430</v>
      </c>
      <c r="L568">
        <v>198</v>
      </c>
      <c r="M568" t="s">
        <v>28083</v>
      </c>
      <c r="N568">
        <v>1</v>
      </c>
      <c r="Q568" t="s">
        <v>28084</v>
      </c>
      <c r="R568">
        <v>362.76859999999999</v>
      </c>
      <c r="S568" t="s">
        <v>10038</v>
      </c>
      <c r="T568" t="s">
        <v>30</v>
      </c>
      <c r="U568" t="s">
        <v>28085</v>
      </c>
      <c r="W568" t="s">
        <v>26009</v>
      </c>
    </row>
    <row r="569" spans="1:23" x14ac:dyDescent="0.35">
      <c r="A569">
        <v>254770</v>
      </c>
      <c r="B569" t="s">
        <v>28086</v>
      </c>
      <c r="C569" t="str">
        <f>"9780761970132"</f>
        <v>9780761970132</v>
      </c>
      <c r="D569" t="str">
        <f>"9781412933469"</f>
        <v>9781412933469</v>
      </c>
      <c r="E569" t="s">
        <v>28007</v>
      </c>
      <c r="F569" t="s">
        <v>7430</v>
      </c>
      <c r="G569" t="s">
        <v>22174</v>
      </c>
      <c r="H569" t="s">
        <v>26011</v>
      </c>
      <c r="I569" s="26">
        <v>37343</v>
      </c>
      <c r="J569">
        <v>2002</v>
      </c>
      <c r="K569" t="s">
        <v>7430</v>
      </c>
      <c r="L569">
        <v>152</v>
      </c>
      <c r="M569" t="s">
        <v>28087</v>
      </c>
      <c r="N569">
        <v>1</v>
      </c>
      <c r="O569" t="s">
        <v>28088</v>
      </c>
      <c r="Q569" t="s">
        <v>28089</v>
      </c>
      <c r="R569">
        <v>306.39999999999998</v>
      </c>
      <c r="S569" t="s">
        <v>8256</v>
      </c>
      <c r="T569" t="s">
        <v>30</v>
      </c>
      <c r="U569" t="s">
        <v>26170</v>
      </c>
      <c r="W569" t="s">
        <v>26009</v>
      </c>
    </row>
    <row r="570" spans="1:23" x14ac:dyDescent="0.35">
      <c r="A570">
        <v>254782</v>
      </c>
      <c r="B570" t="s">
        <v>7824</v>
      </c>
      <c r="C570" t="str">
        <f>"9780761971054"</f>
        <v>9780761971054</v>
      </c>
      <c r="D570" t="str">
        <f>"9781412933025"</f>
        <v>9781412933025</v>
      </c>
      <c r="E570" t="s">
        <v>28007</v>
      </c>
      <c r="F570" t="s">
        <v>7430</v>
      </c>
      <c r="G570" t="s">
        <v>22174</v>
      </c>
      <c r="H570" t="s">
        <v>26011</v>
      </c>
      <c r="I570" s="26">
        <v>37636</v>
      </c>
      <c r="J570">
        <v>2003</v>
      </c>
      <c r="K570" t="s">
        <v>7430</v>
      </c>
      <c r="L570">
        <v>228</v>
      </c>
      <c r="M570" t="s">
        <v>28090</v>
      </c>
      <c r="N570">
        <v>1</v>
      </c>
      <c r="Q570" t="s">
        <v>28091</v>
      </c>
      <c r="R570">
        <v>362.82920000000001</v>
      </c>
      <c r="S570" t="s">
        <v>7825</v>
      </c>
      <c r="T570" t="s">
        <v>30</v>
      </c>
      <c r="U570" t="s">
        <v>26044</v>
      </c>
      <c r="W570" t="s">
        <v>26009</v>
      </c>
    </row>
    <row r="571" spans="1:23" x14ac:dyDescent="0.35">
      <c r="A571">
        <v>254785</v>
      </c>
      <c r="B571" t="s">
        <v>9842</v>
      </c>
      <c r="C571" t="str">
        <f>"9780761971382"</f>
        <v>9780761971382</v>
      </c>
      <c r="D571" t="str">
        <f>"9781412932103"</f>
        <v>9781412932103</v>
      </c>
      <c r="E571" t="s">
        <v>28007</v>
      </c>
      <c r="F571" t="s">
        <v>7430</v>
      </c>
      <c r="G571" t="s">
        <v>22174</v>
      </c>
      <c r="H571" t="s">
        <v>26011</v>
      </c>
      <c r="I571" s="26">
        <v>38219</v>
      </c>
      <c r="J571">
        <v>2004</v>
      </c>
      <c r="K571" t="s">
        <v>7430</v>
      </c>
      <c r="L571">
        <v>144</v>
      </c>
      <c r="M571" t="s">
        <v>28092</v>
      </c>
      <c r="N571">
        <v>1</v>
      </c>
      <c r="O571" t="s">
        <v>28093</v>
      </c>
      <c r="Q571" t="s">
        <v>28094</v>
      </c>
      <c r="R571">
        <v>616.89</v>
      </c>
      <c r="S571" t="s">
        <v>6026</v>
      </c>
      <c r="T571" t="s">
        <v>30</v>
      </c>
      <c r="U571" t="s">
        <v>26116</v>
      </c>
      <c r="W571" t="s">
        <v>26009</v>
      </c>
    </row>
    <row r="572" spans="1:23" x14ac:dyDescent="0.35">
      <c r="A572">
        <v>254801</v>
      </c>
      <c r="B572" t="s">
        <v>28095</v>
      </c>
      <c r="C572" t="str">
        <f>"9780761973195"</f>
        <v>9780761973195</v>
      </c>
      <c r="D572" t="str">
        <f>"9781412932356"</f>
        <v>9781412932356</v>
      </c>
      <c r="E572" t="s">
        <v>28007</v>
      </c>
      <c r="F572" t="s">
        <v>7430</v>
      </c>
      <c r="G572" t="s">
        <v>22174</v>
      </c>
      <c r="H572" t="s">
        <v>26011</v>
      </c>
      <c r="I572" s="26">
        <v>38147</v>
      </c>
      <c r="J572">
        <v>2004</v>
      </c>
      <c r="K572" t="s">
        <v>7430</v>
      </c>
      <c r="L572">
        <v>211</v>
      </c>
      <c r="M572" t="s">
        <v>28096</v>
      </c>
      <c r="N572">
        <v>1</v>
      </c>
      <c r="Q572" t="s">
        <v>28097</v>
      </c>
      <c r="R572" t="s">
        <v>28098</v>
      </c>
      <c r="S572" t="s">
        <v>7431</v>
      </c>
      <c r="T572" t="s">
        <v>30</v>
      </c>
      <c r="U572" t="s">
        <v>26116</v>
      </c>
      <c r="W572" t="s">
        <v>26009</v>
      </c>
    </row>
    <row r="573" spans="1:23" x14ac:dyDescent="0.35">
      <c r="A573">
        <v>254805</v>
      </c>
      <c r="B573" t="s">
        <v>7727</v>
      </c>
      <c r="C573" t="str">
        <f>"9780761973485"</f>
        <v>9780761973485</v>
      </c>
      <c r="D573" t="str">
        <f>"9781412932455"</f>
        <v>9781412932455</v>
      </c>
      <c r="E573" t="s">
        <v>28007</v>
      </c>
      <c r="F573" t="s">
        <v>7430</v>
      </c>
      <c r="G573" t="s">
        <v>22174</v>
      </c>
      <c r="H573" t="s">
        <v>26011</v>
      </c>
      <c r="I573" s="26">
        <v>37797</v>
      </c>
      <c r="J573">
        <v>2003</v>
      </c>
      <c r="K573" t="s">
        <v>7430</v>
      </c>
      <c r="L573">
        <v>152</v>
      </c>
      <c r="M573" t="s">
        <v>28099</v>
      </c>
      <c r="N573">
        <v>1</v>
      </c>
      <c r="O573" t="s">
        <v>28049</v>
      </c>
      <c r="Q573" t="s">
        <v>28100</v>
      </c>
      <c r="R573" t="s">
        <v>28101</v>
      </c>
      <c r="S573" t="s">
        <v>7728</v>
      </c>
      <c r="T573" t="s">
        <v>30</v>
      </c>
      <c r="U573" t="s">
        <v>26116</v>
      </c>
      <c r="W573" t="s">
        <v>26009</v>
      </c>
    </row>
    <row r="574" spans="1:23" x14ac:dyDescent="0.35">
      <c r="A574">
        <v>254824</v>
      </c>
      <c r="B574" t="s">
        <v>8162</v>
      </c>
      <c r="C574" t="str">
        <f>"9781412901178"</f>
        <v>9781412901178</v>
      </c>
      <c r="D574" t="str">
        <f>"9781446232347"</f>
        <v>9781446232347</v>
      </c>
      <c r="E574" t="s">
        <v>28007</v>
      </c>
      <c r="F574" t="s">
        <v>7430</v>
      </c>
      <c r="G574" t="s">
        <v>22174</v>
      </c>
      <c r="H574" t="s">
        <v>26011</v>
      </c>
      <c r="I574" s="26">
        <v>38160</v>
      </c>
      <c r="J574">
        <v>2004</v>
      </c>
      <c r="K574" t="s">
        <v>7430</v>
      </c>
      <c r="L574">
        <v>221</v>
      </c>
      <c r="M574" t="s">
        <v>28102</v>
      </c>
      <c r="N574">
        <v>1</v>
      </c>
      <c r="O574" t="s">
        <v>28103</v>
      </c>
      <c r="Q574" t="s">
        <v>28104</v>
      </c>
      <c r="R574" t="s">
        <v>27122</v>
      </c>
      <c r="S574" t="s">
        <v>28105</v>
      </c>
      <c r="T574" t="s">
        <v>30</v>
      </c>
      <c r="U574" t="s">
        <v>26019</v>
      </c>
      <c r="W574" t="s">
        <v>26009</v>
      </c>
    </row>
    <row r="575" spans="1:23" x14ac:dyDescent="0.35">
      <c r="A575">
        <v>254883</v>
      </c>
      <c r="B575" t="s">
        <v>7651</v>
      </c>
      <c r="C575" t="str">
        <f>"9780520246478"</f>
        <v>9780520246478</v>
      </c>
      <c r="D575" t="str">
        <f>"9780520932456"</f>
        <v>9780520932456</v>
      </c>
      <c r="E575" t="s">
        <v>1612</v>
      </c>
      <c r="F575" t="s">
        <v>1612</v>
      </c>
      <c r="G575" t="s">
        <v>22630</v>
      </c>
      <c r="H575" t="s">
        <v>26004</v>
      </c>
      <c r="I575" s="26">
        <v>38719</v>
      </c>
      <c r="J575">
        <v>2006</v>
      </c>
      <c r="K575" t="s">
        <v>1612</v>
      </c>
      <c r="L575">
        <v>409</v>
      </c>
      <c r="M575" t="s">
        <v>28106</v>
      </c>
      <c r="N575">
        <v>1</v>
      </c>
      <c r="O575" t="s">
        <v>28107</v>
      </c>
      <c r="P575">
        <v>1</v>
      </c>
      <c r="Q575" t="s">
        <v>28108</v>
      </c>
      <c r="R575" t="s">
        <v>28109</v>
      </c>
      <c r="S575" t="s">
        <v>28110</v>
      </c>
      <c r="T575" t="s">
        <v>30</v>
      </c>
      <c r="U575" t="s">
        <v>28111</v>
      </c>
      <c r="W575" t="s">
        <v>26009</v>
      </c>
    </row>
    <row r="576" spans="1:23" x14ac:dyDescent="0.35">
      <c r="A576">
        <v>255171</v>
      </c>
      <c r="B576" t="s">
        <v>28112</v>
      </c>
      <c r="C576" t="str">
        <f>"9780521817196"</f>
        <v>9780521817196</v>
      </c>
      <c r="D576" t="str">
        <f>"9780511163968"</f>
        <v>9780511163968</v>
      </c>
      <c r="E576" t="s">
        <v>167</v>
      </c>
      <c r="F576" t="s">
        <v>167</v>
      </c>
      <c r="G576" t="s">
        <v>22218</v>
      </c>
      <c r="H576" t="s">
        <v>26011</v>
      </c>
      <c r="I576" s="26">
        <v>37942</v>
      </c>
      <c r="J576">
        <v>2003</v>
      </c>
      <c r="K576" t="s">
        <v>167</v>
      </c>
      <c r="L576">
        <v>362</v>
      </c>
      <c r="M576" t="s">
        <v>28113</v>
      </c>
      <c r="N576">
        <v>1</v>
      </c>
      <c r="O576" t="s">
        <v>27403</v>
      </c>
      <c r="Q576" t="s">
        <v>28114</v>
      </c>
      <c r="R576">
        <v>305.23500000000001</v>
      </c>
      <c r="S576" t="s">
        <v>8904</v>
      </c>
      <c r="T576" t="s">
        <v>30</v>
      </c>
      <c r="U576" t="s">
        <v>26044</v>
      </c>
      <c r="W576" t="s">
        <v>26020</v>
      </c>
    </row>
    <row r="577" spans="1:23" x14ac:dyDescent="0.35">
      <c r="A577">
        <v>255177</v>
      </c>
      <c r="B577" t="s">
        <v>28115</v>
      </c>
      <c r="C577" t="str">
        <f>"9780521821186"</f>
        <v>9780521821186</v>
      </c>
      <c r="D577" t="str">
        <f>"9780511164002"</f>
        <v>9780511164002</v>
      </c>
      <c r="E577" t="s">
        <v>167</v>
      </c>
      <c r="F577" t="s">
        <v>167</v>
      </c>
      <c r="G577" t="s">
        <v>22218</v>
      </c>
      <c r="H577" t="s">
        <v>26011</v>
      </c>
      <c r="I577" s="26">
        <v>37994</v>
      </c>
      <c r="J577">
        <v>2004</v>
      </c>
      <c r="K577" t="s">
        <v>167</v>
      </c>
      <c r="L577">
        <v>335</v>
      </c>
      <c r="M577" t="s">
        <v>28116</v>
      </c>
      <c r="N577">
        <v>1</v>
      </c>
      <c r="Q577" t="s">
        <v>28117</v>
      </c>
      <c r="R577" t="s">
        <v>28118</v>
      </c>
      <c r="S577" t="s">
        <v>7518</v>
      </c>
      <c r="T577" t="s">
        <v>30</v>
      </c>
      <c r="U577" t="s">
        <v>26044</v>
      </c>
      <c r="W577" t="s">
        <v>26020</v>
      </c>
    </row>
    <row r="578" spans="1:23" x14ac:dyDescent="0.35">
      <c r="A578">
        <v>255220</v>
      </c>
      <c r="B578" t="s">
        <v>28119</v>
      </c>
      <c r="C578" t="str">
        <f>"9780521832960"</f>
        <v>9780521832960</v>
      </c>
      <c r="D578" t="str">
        <f>"9780511164415"</f>
        <v>9780511164415</v>
      </c>
      <c r="E578" t="s">
        <v>167</v>
      </c>
      <c r="F578" t="s">
        <v>167</v>
      </c>
      <c r="G578" t="s">
        <v>22218</v>
      </c>
      <c r="H578" t="s">
        <v>26011</v>
      </c>
      <c r="I578" s="26">
        <v>38005</v>
      </c>
      <c r="J578">
        <v>2004</v>
      </c>
      <c r="K578" t="s">
        <v>167</v>
      </c>
      <c r="L578">
        <v>303</v>
      </c>
      <c r="M578" t="s">
        <v>28120</v>
      </c>
      <c r="N578">
        <v>1</v>
      </c>
      <c r="Q578" t="s">
        <v>28121</v>
      </c>
      <c r="R578">
        <v>306.70285467799999</v>
      </c>
      <c r="S578" t="s">
        <v>9003</v>
      </c>
      <c r="T578" t="s">
        <v>30</v>
      </c>
      <c r="U578" t="s">
        <v>26044</v>
      </c>
      <c r="W578" t="s">
        <v>26020</v>
      </c>
    </row>
    <row r="579" spans="1:23" x14ac:dyDescent="0.35">
      <c r="A579">
        <v>255572</v>
      </c>
      <c r="B579" t="s">
        <v>8839</v>
      </c>
      <c r="C579" t="str">
        <f>"9780805822489"</f>
        <v>9780805822489</v>
      </c>
      <c r="D579" t="str">
        <f>"9781410601025"</f>
        <v>9781410601025</v>
      </c>
      <c r="E579" t="s">
        <v>26010</v>
      </c>
      <c r="F579" t="s">
        <v>35</v>
      </c>
      <c r="G579" t="s">
        <v>22436</v>
      </c>
      <c r="H579" t="s">
        <v>26004</v>
      </c>
      <c r="I579" s="26">
        <v>36892</v>
      </c>
      <c r="J579">
        <v>2001</v>
      </c>
      <c r="K579" t="s">
        <v>26012</v>
      </c>
      <c r="L579">
        <v>351</v>
      </c>
      <c r="M579" t="s">
        <v>28122</v>
      </c>
      <c r="N579">
        <v>1</v>
      </c>
      <c r="O579" t="s">
        <v>27663</v>
      </c>
      <c r="Q579">
        <v>99056785</v>
      </c>
      <c r="R579">
        <v>306.87</v>
      </c>
      <c r="S579" t="s">
        <v>8840</v>
      </c>
      <c r="T579" t="s">
        <v>30</v>
      </c>
      <c r="U579" t="s">
        <v>26044</v>
      </c>
      <c r="W579" t="s">
        <v>26009</v>
      </c>
    </row>
    <row r="580" spans="1:23" x14ac:dyDescent="0.35">
      <c r="A580">
        <v>255577</v>
      </c>
      <c r="B580" t="s">
        <v>28123</v>
      </c>
      <c r="C580" t="str">
        <f>"9780805839128"</f>
        <v>9780805839128</v>
      </c>
      <c r="D580" t="str">
        <f>"9781410602466"</f>
        <v>9781410602466</v>
      </c>
      <c r="E580" t="s">
        <v>26010</v>
      </c>
      <c r="F580" t="s">
        <v>35</v>
      </c>
      <c r="G580" t="s">
        <v>22436</v>
      </c>
      <c r="H580" t="s">
        <v>26004</v>
      </c>
      <c r="I580" s="26">
        <v>37288</v>
      </c>
      <c r="J580">
        <v>2002</v>
      </c>
      <c r="K580" t="s">
        <v>660</v>
      </c>
      <c r="L580">
        <v>256</v>
      </c>
      <c r="M580" t="s">
        <v>28124</v>
      </c>
      <c r="N580">
        <v>1</v>
      </c>
      <c r="Q580" t="s">
        <v>28125</v>
      </c>
      <c r="R580">
        <v>155.19999999999999</v>
      </c>
      <c r="S580" t="s">
        <v>9377</v>
      </c>
      <c r="T580" t="s">
        <v>30</v>
      </c>
      <c r="U580" t="s">
        <v>46</v>
      </c>
      <c r="W580" t="s">
        <v>26009</v>
      </c>
    </row>
    <row r="581" spans="1:23" x14ac:dyDescent="0.35">
      <c r="A581">
        <v>255583</v>
      </c>
      <c r="B581" t="s">
        <v>8140</v>
      </c>
      <c r="C581" t="str">
        <f>"9780805842562"</f>
        <v>9780805842562</v>
      </c>
      <c r="D581" t="str">
        <f>"9781410613660"</f>
        <v>9781410613660</v>
      </c>
      <c r="E581" t="s">
        <v>26010</v>
      </c>
      <c r="F581" t="s">
        <v>35</v>
      </c>
      <c r="G581" t="s">
        <v>22436</v>
      </c>
      <c r="H581" t="s">
        <v>26004</v>
      </c>
      <c r="I581" s="26">
        <v>38503</v>
      </c>
      <c r="J581">
        <v>2005</v>
      </c>
      <c r="K581" t="s">
        <v>660</v>
      </c>
      <c r="L581">
        <v>379</v>
      </c>
      <c r="M581" t="s">
        <v>28126</v>
      </c>
      <c r="N581">
        <v>1</v>
      </c>
      <c r="Q581" t="s">
        <v>28127</v>
      </c>
      <c r="R581" t="s">
        <v>28128</v>
      </c>
      <c r="S581" t="s">
        <v>28129</v>
      </c>
      <c r="T581" t="s">
        <v>30</v>
      </c>
      <c r="U581" t="s">
        <v>46</v>
      </c>
      <c r="W581" t="s">
        <v>26009</v>
      </c>
    </row>
    <row r="582" spans="1:23" x14ac:dyDescent="0.35">
      <c r="A582">
        <v>255598</v>
      </c>
      <c r="B582" t="s">
        <v>28130</v>
      </c>
      <c r="C582" t="str">
        <f>"9780805836332"</f>
        <v>9780805836332</v>
      </c>
      <c r="D582" t="str">
        <f>"9781410613073"</f>
        <v>9781410613073</v>
      </c>
      <c r="E582" t="s">
        <v>26010</v>
      </c>
      <c r="F582" t="s">
        <v>35</v>
      </c>
      <c r="G582" t="s">
        <v>22436</v>
      </c>
      <c r="H582" t="s">
        <v>26004</v>
      </c>
      <c r="I582" s="26">
        <v>38490</v>
      </c>
      <c r="J582">
        <v>2005</v>
      </c>
      <c r="K582" t="s">
        <v>660</v>
      </c>
      <c r="L582">
        <v>383</v>
      </c>
      <c r="M582" t="s">
        <v>28131</v>
      </c>
      <c r="N582">
        <v>1</v>
      </c>
      <c r="Q582" t="s">
        <v>28132</v>
      </c>
      <c r="R582">
        <v>153</v>
      </c>
      <c r="S582" t="s">
        <v>28133</v>
      </c>
      <c r="T582" t="s">
        <v>30</v>
      </c>
      <c r="U582" t="s">
        <v>46</v>
      </c>
      <c r="W582" t="s">
        <v>26009</v>
      </c>
    </row>
    <row r="583" spans="1:23" x14ac:dyDescent="0.35">
      <c r="A583">
        <v>255606</v>
      </c>
      <c r="B583" t="s">
        <v>28134</v>
      </c>
      <c r="C583" t="str">
        <f>"9780805847857"</f>
        <v>9780805847857</v>
      </c>
      <c r="D583" t="str">
        <f>"9781410611697"</f>
        <v>9781410611697</v>
      </c>
      <c r="E583" t="s">
        <v>26010</v>
      </c>
      <c r="F583" t="s">
        <v>35</v>
      </c>
      <c r="G583" t="s">
        <v>22436</v>
      </c>
      <c r="H583" t="s">
        <v>26004</v>
      </c>
      <c r="I583" s="26">
        <v>38274</v>
      </c>
      <c r="J583">
        <v>2005</v>
      </c>
      <c r="K583" t="s">
        <v>26012</v>
      </c>
      <c r="L583">
        <v>249</v>
      </c>
      <c r="M583" t="s">
        <v>28135</v>
      </c>
      <c r="N583">
        <v>1</v>
      </c>
      <c r="Q583" t="s">
        <v>28136</v>
      </c>
      <c r="R583" t="s">
        <v>26032</v>
      </c>
      <c r="S583" t="s">
        <v>28137</v>
      </c>
      <c r="T583" t="s">
        <v>30</v>
      </c>
      <c r="U583" t="s">
        <v>46</v>
      </c>
      <c r="W583" t="s">
        <v>26009</v>
      </c>
    </row>
    <row r="584" spans="1:23" x14ac:dyDescent="0.35">
      <c r="A584">
        <v>255620</v>
      </c>
      <c r="B584" t="s">
        <v>9007</v>
      </c>
      <c r="C584" t="str">
        <f>"9780805851649"</f>
        <v>9780805851649</v>
      </c>
      <c r="D584" t="str">
        <f>"9781410611512"</f>
        <v>9781410611512</v>
      </c>
      <c r="E584" t="s">
        <v>26010</v>
      </c>
      <c r="F584" t="s">
        <v>35</v>
      </c>
      <c r="G584" t="s">
        <v>22436</v>
      </c>
      <c r="H584" t="s">
        <v>26004</v>
      </c>
      <c r="I584" s="26">
        <v>38294</v>
      </c>
      <c r="J584">
        <v>2004</v>
      </c>
      <c r="K584" t="s">
        <v>26012</v>
      </c>
      <c r="L584">
        <v>165</v>
      </c>
      <c r="M584" t="s">
        <v>28138</v>
      </c>
      <c r="N584">
        <v>1</v>
      </c>
      <c r="O584" t="s">
        <v>27663</v>
      </c>
      <c r="Q584" t="s">
        <v>28139</v>
      </c>
      <c r="R584">
        <v>302</v>
      </c>
      <c r="S584" t="s">
        <v>28140</v>
      </c>
      <c r="T584" t="s">
        <v>30</v>
      </c>
      <c r="U584" t="s">
        <v>26044</v>
      </c>
      <c r="W584" t="s">
        <v>26009</v>
      </c>
    </row>
    <row r="585" spans="1:23" x14ac:dyDescent="0.35">
      <c r="A585">
        <v>255634</v>
      </c>
      <c r="B585" t="s">
        <v>28141</v>
      </c>
      <c r="C585" t="str">
        <f>"9780805844498"</f>
        <v>9780805844498</v>
      </c>
      <c r="D585" t="str">
        <f>"9781410609908"</f>
        <v>9781410609908</v>
      </c>
      <c r="E585" t="s">
        <v>26010</v>
      </c>
      <c r="F585" t="s">
        <v>35</v>
      </c>
      <c r="G585" t="s">
        <v>22436</v>
      </c>
      <c r="H585" t="s">
        <v>26004</v>
      </c>
      <c r="I585" s="26">
        <v>38034</v>
      </c>
      <c r="J585">
        <v>2004</v>
      </c>
      <c r="K585" t="s">
        <v>26012</v>
      </c>
      <c r="L585">
        <v>350</v>
      </c>
      <c r="M585" t="s">
        <v>28142</v>
      </c>
      <c r="N585">
        <v>1</v>
      </c>
      <c r="Q585" t="s">
        <v>28143</v>
      </c>
      <c r="R585">
        <v>302</v>
      </c>
      <c r="S585" t="s">
        <v>28144</v>
      </c>
      <c r="T585" t="s">
        <v>30</v>
      </c>
      <c r="U585" t="s">
        <v>26044</v>
      </c>
      <c r="W585" t="s">
        <v>26009</v>
      </c>
    </row>
    <row r="586" spans="1:23" x14ac:dyDescent="0.35">
      <c r="A586">
        <v>256382</v>
      </c>
      <c r="B586" t="s">
        <v>28145</v>
      </c>
      <c r="C586" t="str">
        <f>"9780865714939"</f>
        <v>9780865714939</v>
      </c>
      <c r="D586" t="str">
        <f>"9781550923025"</f>
        <v>9781550923025</v>
      </c>
      <c r="E586" t="s">
        <v>28146</v>
      </c>
      <c r="F586" t="s">
        <v>28147</v>
      </c>
      <c r="G586" t="s">
        <v>22179</v>
      </c>
      <c r="H586" t="s">
        <v>26004</v>
      </c>
      <c r="I586" s="26">
        <v>37915</v>
      </c>
      <c r="J586">
        <v>2003</v>
      </c>
      <c r="K586" t="s">
        <v>28147</v>
      </c>
      <c r="L586">
        <v>274</v>
      </c>
      <c r="M586" t="s">
        <v>28148</v>
      </c>
      <c r="N586">
        <v>1</v>
      </c>
      <c r="R586" t="s">
        <v>28149</v>
      </c>
      <c r="S586" t="s">
        <v>28150</v>
      </c>
      <c r="T586" t="s">
        <v>30</v>
      </c>
      <c r="U586" t="s">
        <v>11356</v>
      </c>
      <c r="W586" t="s">
        <v>28151</v>
      </c>
    </row>
    <row r="587" spans="1:23" x14ac:dyDescent="0.35">
      <c r="A587">
        <v>256393</v>
      </c>
      <c r="B587" t="s">
        <v>28152</v>
      </c>
      <c r="C587" t="str">
        <f>"9780865713772"</f>
        <v>9780865713772</v>
      </c>
      <c r="D587" t="str">
        <f>"9781550922998"</f>
        <v>9781550922998</v>
      </c>
      <c r="E587" t="s">
        <v>28153</v>
      </c>
      <c r="F587" t="s">
        <v>28154</v>
      </c>
      <c r="G587" t="s">
        <v>28155</v>
      </c>
      <c r="H587" t="s">
        <v>26004</v>
      </c>
      <c r="I587" s="26">
        <v>35431</v>
      </c>
      <c r="J587">
        <v>2010</v>
      </c>
      <c r="K587" t="s">
        <v>28154</v>
      </c>
      <c r="L587">
        <v>242</v>
      </c>
      <c r="M587" t="s">
        <v>28156</v>
      </c>
      <c r="Q587" t="s">
        <v>28157</v>
      </c>
      <c r="R587">
        <v>305.23500000000001</v>
      </c>
      <c r="S587" t="s">
        <v>28158</v>
      </c>
      <c r="T587" t="s">
        <v>30</v>
      </c>
      <c r="U587" t="s">
        <v>26044</v>
      </c>
      <c r="W587" t="s">
        <v>26009</v>
      </c>
    </row>
    <row r="588" spans="1:23" x14ac:dyDescent="0.35">
      <c r="A588">
        <v>256645</v>
      </c>
      <c r="B588" t="s">
        <v>8847</v>
      </c>
      <c r="C588" t="str">
        <f>"9780521808156"</f>
        <v>9780521808156</v>
      </c>
      <c r="D588" t="str">
        <f>"9780511187810"</f>
        <v>9780511187810</v>
      </c>
      <c r="E588" t="s">
        <v>167</v>
      </c>
      <c r="F588" t="s">
        <v>167</v>
      </c>
      <c r="G588" t="s">
        <v>22218</v>
      </c>
      <c r="H588" t="s">
        <v>26011</v>
      </c>
      <c r="I588" s="26">
        <v>38019</v>
      </c>
      <c r="J588">
        <v>2004</v>
      </c>
      <c r="K588" t="s">
        <v>167</v>
      </c>
      <c r="L588">
        <v>510</v>
      </c>
      <c r="M588" t="s">
        <v>27368</v>
      </c>
      <c r="N588">
        <v>1</v>
      </c>
      <c r="Q588" t="s">
        <v>28159</v>
      </c>
      <c r="R588">
        <v>153.9</v>
      </c>
      <c r="S588" t="s">
        <v>8493</v>
      </c>
      <c r="T588" t="s">
        <v>30</v>
      </c>
      <c r="U588" t="s">
        <v>46</v>
      </c>
      <c r="W588" t="s">
        <v>26020</v>
      </c>
    </row>
    <row r="589" spans="1:23" x14ac:dyDescent="0.35">
      <c r="A589">
        <v>256695</v>
      </c>
      <c r="B589" t="s">
        <v>8168</v>
      </c>
      <c r="C589" t="str">
        <f>"9780521830140"</f>
        <v>9780521830140</v>
      </c>
      <c r="D589" t="str">
        <f>"9780511187537"</f>
        <v>9780511187537</v>
      </c>
      <c r="E589" t="s">
        <v>167</v>
      </c>
      <c r="F589" t="s">
        <v>167</v>
      </c>
      <c r="G589" t="s">
        <v>22218</v>
      </c>
      <c r="H589" t="s">
        <v>26011</v>
      </c>
      <c r="I589" s="26">
        <v>37949</v>
      </c>
      <c r="J589">
        <v>2003</v>
      </c>
      <c r="K589" t="s">
        <v>167</v>
      </c>
      <c r="L589">
        <v>329</v>
      </c>
      <c r="M589" t="s">
        <v>28160</v>
      </c>
      <c r="N589">
        <v>1</v>
      </c>
      <c r="Q589" t="s">
        <v>28161</v>
      </c>
      <c r="R589" t="s">
        <v>28162</v>
      </c>
      <c r="S589" t="s">
        <v>8169</v>
      </c>
      <c r="T589" t="s">
        <v>30</v>
      </c>
      <c r="U589" t="s">
        <v>26044</v>
      </c>
      <c r="W589" t="s">
        <v>26020</v>
      </c>
    </row>
    <row r="590" spans="1:23" x14ac:dyDescent="0.35">
      <c r="A590">
        <v>256903</v>
      </c>
      <c r="B590" t="s">
        <v>8986</v>
      </c>
      <c r="C590" t="str">
        <f>"9780415338035"</f>
        <v>9780415338035</v>
      </c>
      <c r="D590" t="str">
        <f>"9780203099216"</f>
        <v>9780203099216</v>
      </c>
      <c r="E590" t="s">
        <v>26010</v>
      </c>
      <c r="F590" t="s">
        <v>35</v>
      </c>
      <c r="G590" t="s">
        <v>22174</v>
      </c>
      <c r="H590" t="s">
        <v>26004</v>
      </c>
      <c r="I590" s="26">
        <v>38761</v>
      </c>
      <c r="J590">
        <v>2005</v>
      </c>
      <c r="K590" t="s">
        <v>26012</v>
      </c>
      <c r="L590">
        <v>169</v>
      </c>
      <c r="M590" t="s">
        <v>28163</v>
      </c>
      <c r="N590">
        <v>1</v>
      </c>
      <c r="O590" t="s">
        <v>28164</v>
      </c>
      <c r="Q590" t="s">
        <v>28165</v>
      </c>
      <c r="R590" t="s">
        <v>28166</v>
      </c>
      <c r="S590" t="s">
        <v>28167</v>
      </c>
      <c r="T590" t="s">
        <v>30</v>
      </c>
      <c r="U590" t="s">
        <v>28168</v>
      </c>
      <c r="W590" t="s">
        <v>26009</v>
      </c>
    </row>
    <row r="591" spans="1:23" x14ac:dyDescent="0.35">
      <c r="A591">
        <v>256938</v>
      </c>
      <c r="B591" t="s">
        <v>28169</v>
      </c>
      <c r="C591" t="str">
        <f>"9780415370738"</f>
        <v>9780415370738</v>
      </c>
      <c r="D591" t="str">
        <f>"9780203030554"</f>
        <v>9780203030554</v>
      </c>
      <c r="E591" t="s">
        <v>26010</v>
      </c>
      <c r="F591" t="s">
        <v>35</v>
      </c>
      <c r="G591" t="s">
        <v>26201</v>
      </c>
      <c r="H591" t="s">
        <v>26004</v>
      </c>
      <c r="I591" s="26">
        <v>38652</v>
      </c>
      <c r="J591">
        <v>2005</v>
      </c>
      <c r="K591" t="s">
        <v>26012</v>
      </c>
      <c r="L591">
        <v>165</v>
      </c>
      <c r="M591" t="s">
        <v>28170</v>
      </c>
      <c r="N591">
        <v>1</v>
      </c>
      <c r="Q591" t="s">
        <v>28171</v>
      </c>
      <c r="R591">
        <v>305.31</v>
      </c>
      <c r="S591" t="s">
        <v>28172</v>
      </c>
      <c r="T591" t="s">
        <v>30</v>
      </c>
      <c r="U591" t="s">
        <v>26044</v>
      </c>
      <c r="W591" t="s">
        <v>26009</v>
      </c>
    </row>
    <row r="592" spans="1:23" x14ac:dyDescent="0.35">
      <c r="A592">
        <v>256986</v>
      </c>
      <c r="B592" t="s">
        <v>8998</v>
      </c>
      <c r="C592" t="str">
        <f>"9781583917442"</f>
        <v>9781583917442</v>
      </c>
      <c r="D592" t="str">
        <f>"9780203012123"</f>
        <v>9780203012123</v>
      </c>
      <c r="E592" t="s">
        <v>26010</v>
      </c>
      <c r="F592" t="s">
        <v>35</v>
      </c>
      <c r="G592" t="s">
        <v>22174</v>
      </c>
      <c r="H592" t="s">
        <v>26011</v>
      </c>
      <c r="I592" s="26">
        <v>38552</v>
      </c>
      <c r="J592">
        <v>2005</v>
      </c>
      <c r="K592" t="s">
        <v>26012</v>
      </c>
      <c r="L592">
        <v>96</v>
      </c>
      <c r="M592" t="s">
        <v>28173</v>
      </c>
      <c r="N592">
        <v>1</v>
      </c>
      <c r="Q592">
        <v>2005003044</v>
      </c>
      <c r="R592">
        <v>152.41</v>
      </c>
      <c r="S592" t="s">
        <v>8999</v>
      </c>
      <c r="T592" t="s">
        <v>30</v>
      </c>
      <c r="U592" t="s">
        <v>46</v>
      </c>
      <c r="W592" t="s">
        <v>26009</v>
      </c>
    </row>
    <row r="593" spans="1:23" x14ac:dyDescent="0.35">
      <c r="A593">
        <v>257017</v>
      </c>
      <c r="B593" t="s">
        <v>28174</v>
      </c>
      <c r="C593" t="str">
        <f>"9781583917565"</f>
        <v>9781583917565</v>
      </c>
      <c r="D593" t="str">
        <f>"9780203015391"</f>
        <v>9780203015391</v>
      </c>
      <c r="E593" t="s">
        <v>26010</v>
      </c>
      <c r="F593" t="s">
        <v>35</v>
      </c>
      <c r="G593" t="s">
        <v>26201</v>
      </c>
      <c r="H593" t="s">
        <v>26004</v>
      </c>
      <c r="I593" s="26">
        <v>38573</v>
      </c>
      <c r="J593">
        <v>2005</v>
      </c>
      <c r="K593" t="s">
        <v>26012</v>
      </c>
      <c r="L593">
        <v>282</v>
      </c>
      <c r="M593" t="s">
        <v>28175</v>
      </c>
      <c r="N593">
        <v>1</v>
      </c>
      <c r="Q593" t="s">
        <v>28176</v>
      </c>
      <c r="R593" t="s">
        <v>26746</v>
      </c>
      <c r="S593" t="s">
        <v>28177</v>
      </c>
      <c r="T593" t="s">
        <v>30</v>
      </c>
      <c r="U593" t="s">
        <v>46</v>
      </c>
      <c r="W593" t="s">
        <v>26009</v>
      </c>
    </row>
    <row r="594" spans="1:23" x14ac:dyDescent="0.35">
      <c r="A594">
        <v>257289</v>
      </c>
      <c r="B594" t="s">
        <v>9018</v>
      </c>
      <c r="C594" t="str">
        <f>"9780805845372"</f>
        <v>9780805845372</v>
      </c>
      <c r="D594" t="str">
        <f>"9781410613561"</f>
        <v>9781410613561</v>
      </c>
      <c r="E594" t="s">
        <v>26010</v>
      </c>
      <c r="F594" t="s">
        <v>35</v>
      </c>
      <c r="G594" t="s">
        <v>22436</v>
      </c>
      <c r="H594" t="s">
        <v>26004</v>
      </c>
      <c r="I594" s="26">
        <v>38498</v>
      </c>
      <c r="J594">
        <v>2005</v>
      </c>
      <c r="K594" t="s">
        <v>660</v>
      </c>
      <c r="L594">
        <v>274</v>
      </c>
      <c r="M594" t="s">
        <v>28178</v>
      </c>
      <c r="N594">
        <v>1</v>
      </c>
      <c r="Q594" t="s">
        <v>28179</v>
      </c>
      <c r="R594">
        <v>155.4</v>
      </c>
      <c r="S594" t="s">
        <v>28180</v>
      </c>
      <c r="T594" t="s">
        <v>30</v>
      </c>
      <c r="U594" t="s">
        <v>46</v>
      </c>
      <c r="W594" t="s">
        <v>26009</v>
      </c>
    </row>
    <row r="595" spans="1:23" x14ac:dyDescent="0.35">
      <c r="A595">
        <v>257302</v>
      </c>
      <c r="B595" t="s">
        <v>28181</v>
      </c>
      <c r="C595" t="str">
        <f>"9780805851052"</f>
        <v>9780805851052</v>
      </c>
      <c r="D595" t="str">
        <f>"9781410615565"</f>
        <v>9781410615565</v>
      </c>
      <c r="E595" t="s">
        <v>26010</v>
      </c>
      <c r="F595" t="s">
        <v>35</v>
      </c>
      <c r="G595" t="s">
        <v>26128</v>
      </c>
      <c r="H595" t="s">
        <v>26011</v>
      </c>
      <c r="I595" s="26">
        <v>38541</v>
      </c>
      <c r="J595">
        <v>2005</v>
      </c>
      <c r="K595" t="s">
        <v>660</v>
      </c>
      <c r="L595">
        <v>345</v>
      </c>
      <c r="M595" t="s">
        <v>28182</v>
      </c>
      <c r="N595">
        <v>1</v>
      </c>
      <c r="O595" t="s">
        <v>27657</v>
      </c>
      <c r="R595" t="s">
        <v>28183</v>
      </c>
      <c r="S595" t="s">
        <v>28184</v>
      </c>
      <c r="T595" t="s">
        <v>30</v>
      </c>
      <c r="U595" t="s">
        <v>26044</v>
      </c>
      <c r="W595" t="s">
        <v>26009</v>
      </c>
    </row>
    <row r="596" spans="1:23" x14ac:dyDescent="0.35">
      <c r="A596">
        <v>257304</v>
      </c>
      <c r="B596" t="s">
        <v>28185</v>
      </c>
      <c r="C596" t="str">
        <f>"9780805851175"</f>
        <v>9780805851175</v>
      </c>
      <c r="D596" t="str">
        <f>"9781410613738"</f>
        <v>9781410613738</v>
      </c>
      <c r="E596" t="s">
        <v>26010</v>
      </c>
      <c r="F596" t="s">
        <v>35</v>
      </c>
      <c r="G596" t="s">
        <v>22436</v>
      </c>
      <c r="H596" t="s">
        <v>26004</v>
      </c>
      <c r="I596" s="26">
        <v>38489</v>
      </c>
      <c r="J596">
        <v>2005</v>
      </c>
      <c r="K596" t="s">
        <v>26012</v>
      </c>
      <c r="L596">
        <v>409</v>
      </c>
      <c r="M596" t="s">
        <v>28186</v>
      </c>
      <c r="N596">
        <v>1</v>
      </c>
      <c r="Q596" t="s">
        <v>28187</v>
      </c>
      <c r="R596">
        <v>174.2</v>
      </c>
      <c r="S596" t="s">
        <v>28188</v>
      </c>
      <c r="T596" t="s">
        <v>30</v>
      </c>
      <c r="U596" t="s">
        <v>28189</v>
      </c>
      <c r="W596" t="s">
        <v>26009</v>
      </c>
    </row>
    <row r="597" spans="1:23" x14ac:dyDescent="0.35">
      <c r="A597">
        <v>257307</v>
      </c>
      <c r="B597" t="s">
        <v>28190</v>
      </c>
      <c r="C597" t="str">
        <f>"9780805851991"</f>
        <v>9780805851991</v>
      </c>
      <c r="D597" t="str">
        <f>"9781410615558"</f>
        <v>9781410615558</v>
      </c>
      <c r="E597" t="s">
        <v>26010</v>
      </c>
      <c r="F597" t="s">
        <v>35</v>
      </c>
      <c r="G597" t="s">
        <v>22436</v>
      </c>
      <c r="H597" t="s">
        <v>26004</v>
      </c>
      <c r="I597" s="26">
        <v>38530</v>
      </c>
      <c r="J597">
        <v>2005</v>
      </c>
      <c r="K597" t="s">
        <v>660</v>
      </c>
      <c r="L597">
        <v>369</v>
      </c>
      <c r="M597" t="s">
        <v>28191</v>
      </c>
      <c r="N597">
        <v>1</v>
      </c>
      <c r="Q597" t="s">
        <v>28192</v>
      </c>
      <c r="R597">
        <v>305.23099999999999</v>
      </c>
      <c r="S597" t="s">
        <v>28193</v>
      </c>
      <c r="T597" t="s">
        <v>30</v>
      </c>
      <c r="U597" t="s">
        <v>26044</v>
      </c>
      <c r="W597" t="s">
        <v>26009</v>
      </c>
    </row>
    <row r="598" spans="1:23" x14ac:dyDescent="0.35">
      <c r="A598">
        <v>257308</v>
      </c>
      <c r="B598" t="s">
        <v>7666</v>
      </c>
      <c r="C598" t="str">
        <f>"9780805852172"</f>
        <v>9780805852172</v>
      </c>
      <c r="D598" t="str">
        <f>"9781410613431"</f>
        <v>9781410613431</v>
      </c>
      <c r="E598" t="s">
        <v>26010</v>
      </c>
      <c r="F598" t="s">
        <v>35</v>
      </c>
      <c r="G598" t="s">
        <v>22436</v>
      </c>
      <c r="H598" t="s">
        <v>26004</v>
      </c>
      <c r="I598" s="26">
        <v>38520</v>
      </c>
      <c r="J598">
        <v>2005</v>
      </c>
      <c r="K598" t="s">
        <v>660</v>
      </c>
      <c r="L598">
        <v>305</v>
      </c>
      <c r="M598" t="s">
        <v>28194</v>
      </c>
      <c r="N598">
        <v>1</v>
      </c>
      <c r="Q598" t="s">
        <v>28195</v>
      </c>
      <c r="R598">
        <v>150</v>
      </c>
      <c r="S598" t="s">
        <v>7667</v>
      </c>
      <c r="T598" t="s">
        <v>30</v>
      </c>
      <c r="U598" t="s">
        <v>46</v>
      </c>
      <c r="W598" t="s">
        <v>26009</v>
      </c>
    </row>
    <row r="599" spans="1:23" x14ac:dyDescent="0.35">
      <c r="A599">
        <v>257311</v>
      </c>
      <c r="B599" t="s">
        <v>10284</v>
      </c>
      <c r="C599" t="str">
        <f>"9780805853094"</f>
        <v>9780805853094</v>
      </c>
      <c r="D599" t="str">
        <f>"9781410613592"</f>
        <v>9781410613592</v>
      </c>
      <c r="E599" t="s">
        <v>26010</v>
      </c>
      <c r="F599" t="s">
        <v>35</v>
      </c>
      <c r="G599" t="s">
        <v>26128</v>
      </c>
      <c r="H599" t="s">
        <v>26011</v>
      </c>
      <c r="I599" s="26">
        <v>38492</v>
      </c>
      <c r="J599">
        <v>2005</v>
      </c>
      <c r="K599" t="s">
        <v>660</v>
      </c>
      <c r="L599">
        <v>336</v>
      </c>
      <c r="M599" t="s">
        <v>28196</v>
      </c>
      <c r="N599">
        <v>1</v>
      </c>
      <c r="Q599" t="s">
        <v>28197</v>
      </c>
      <c r="R599">
        <v>155.41300000000001</v>
      </c>
      <c r="S599" t="s">
        <v>7671</v>
      </c>
      <c r="T599" t="s">
        <v>30</v>
      </c>
      <c r="U599" t="s">
        <v>46</v>
      </c>
      <c r="W599" t="s">
        <v>26009</v>
      </c>
    </row>
    <row r="600" spans="1:23" x14ac:dyDescent="0.35">
      <c r="A600">
        <v>258123</v>
      </c>
      <c r="B600" t="s">
        <v>28198</v>
      </c>
      <c r="C600" t="str">
        <f>"9780253344717"</f>
        <v>9780253344717</v>
      </c>
      <c r="D600" t="str">
        <f>"9780253111302"</f>
        <v>9780253111302</v>
      </c>
      <c r="E600" t="s">
        <v>7540</v>
      </c>
      <c r="F600" t="s">
        <v>7540</v>
      </c>
      <c r="G600" t="s">
        <v>24303</v>
      </c>
      <c r="H600" t="s">
        <v>26004</v>
      </c>
      <c r="I600" s="26">
        <v>38456</v>
      </c>
      <c r="J600">
        <v>2005</v>
      </c>
      <c r="K600" t="s">
        <v>7540</v>
      </c>
      <c r="L600">
        <v>493</v>
      </c>
      <c r="M600" t="s">
        <v>28199</v>
      </c>
      <c r="N600">
        <v>1</v>
      </c>
      <c r="Q600" t="s">
        <v>28200</v>
      </c>
      <c r="R600">
        <v>306.7</v>
      </c>
      <c r="S600" t="s">
        <v>28201</v>
      </c>
      <c r="T600" t="s">
        <v>30</v>
      </c>
      <c r="U600" t="s">
        <v>26044</v>
      </c>
      <c r="W600" t="s">
        <v>26009</v>
      </c>
    </row>
    <row r="601" spans="1:23" x14ac:dyDescent="0.35">
      <c r="A601">
        <v>258515</v>
      </c>
      <c r="B601" t="s">
        <v>28202</v>
      </c>
      <c r="C601" t="str">
        <f>"9780521851886"</f>
        <v>9780521851886</v>
      </c>
      <c r="D601" t="str">
        <f>"9780511190698"</f>
        <v>9780511190698</v>
      </c>
      <c r="E601" t="s">
        <v>167</v>
      </c>
      <c r="F601" t="s">
        <v>167</v>
      </c>
      <c r="G601" t="s">
        <v>22218</v>
      </c>
      <c r="H601" t="s">
        <v>26011</v>
      </c>
      <c r="I601" s="26">
        <v>38845</v>
      </c>
      <c r="J601">
        <v>2006</v>
      </c>
      <c r="K601" t="s">
        <v>167</v>
      </c>
      <c r="L601">
        <v>329</v>
      </c>
      <c r="M601" t="s">
        <v>28203</v>
      </c>
      <c r="N601">
        <v>1</v>
      </c>
      <c r="Q601" t="s">
        <v>28204</v>
      </c>
      <c r="R601">
        <v>373.11020000000002</v>
      </c>
      <c r="S601" t="s">
        <v>8045</v>
      </c>
      <c r="T601" t="s">
        <v>30</v>
      </c>
      <c r="U601" t="s">
        <v>26070</v>
      </c>
      <c r="W601" t="s">
        <v>26020</v>
      </c>
    </row>
    <row r="602" spans="1:23" x14ac:dyDescent="0.35">
      <c r="A602">
        <v>259218</v>
      </c>
      <c r="B602" t="s">
        <v>28205</v>
      </c>
      <c r="C602" t="str">
        <f>"9780889367104"</f>
        <v>9780889367104</v>
      </c>
      <c r="D602" t="str">
        <f>"9781552502549"</f>
        <v>9781552502549</v>
      </c>
      <c r="E602" t="s">
        <v>28206</v>
      </c>
      <c r="F602" t="s">
        <v>7590</v>
      </c>
      <c r="G602" t="s">
        <v>22756</v>
      </c>
      <c r="H602" t="s">
        <v>28207</v>
      </c>
      <c r="I602" s="26">
        <v>34335</v>
      </c>
      <c r="J602">
        <v>1994</v>
      </c>
      <c r="K602" t="s">
        <v>28206</v>
      </c>
      <c r="L602">
        <v>152</v>
      </c>
      <c r="M602" t="s">
        <v>28208</v>
      </c>
      <c r="Q602" t="s">
        <v>28209</v>
      </c>
      <c r="R602" t="s">
        <v>28210</v>
      </c>
      <c r="S602" t="s">
        <v>28211</v>
      </c>
      <c r="T602" t="s">
        <v>30</v>
      </c>
      <c r="U602" t="s">
        <v>28212</v>
      </c>
      <c r="W602" t="s">
        <v>26009</v>
      </c>
    </row>
    <row r="603" spans="1:23" x14ac:dyDescent="0.35">
      <c r="A603">
        <v>259852</v>
      </c>
      <c r="B603" t="s">
        <v>9962</v>
      </c>
      <c r="C603" t="str">
        <f>"9780521621472"</f>
        <v>9780521621472</v>
      </c>
      <c r="D603" t="str">
        <f>"9780511193521"</f>
        <v>9780511193521</v>
      </c>
      <c r="E603" t="s">
        <v>167</v>
      </c>
      <c r="F603" t="s">
        <v>167</v>
      </c>
      <c r="G603" t="s">
        <v>22218</v>
      </c>
      <c r="H603" t="s">
        <v>26011</v>
      </c>
      <c r="I603" s="26">
        <v>38127</v>
      </c>
      <c r="J603">
        <v>2004</v>
      </c>
      <c r="K603" t="s">
        <v>167</v>
      </c>
      <c r="L603">
        <v>297</v>
      </c>
      <c r="M603" t="s">
        <v>28213</v>
      </c>
      <c r="N603">
        <v>1</v>
      </c>
      <c r="Q603" t="s">
        <v>28214</v>
      </c>
      <c r="R603">
        <v>616.85270000000003</v>
      </c>
      <c r="S603" t="s">
        <v>9963</v>
      </c>
      <c r="T603" t="s">
        <v>30</v>
      </c>
      <c r="U603" t="s">
        <v>26019</v>
      </c>
      <c r="W603" t="s">
        <v>26020</v>
      </c>
    </row>
    <row r="604" spans="1:23" x14ac:dyDescent="0.35">
      <c r="A604">
        <v>259867</v>
      </c>
      <c r="B604" t="s">
        <v>28215</v>
      </c>
      <c r="C604" t="str">
        <f>"9780521813105"</f>
        <v>9780521813105</v>
      </c>
      <c r="D604" t="str">
        <f>"9780511193644"</f>
        <v>9780511193644</v>
      </c>
      <c r="E604" t="s">
        <v>167</v>
      </c>
      <c r="F604" t="s">
        <v>167</v>
      </c>
      <c r="G604" t="s">
        <v>22218</v>
      </c>
      <c r="H604" t="s">
        <v>26011</v>
      </c>
      <c r="I604" s="26">
        <v>37935</v>
      </c>
      <c r="J604">
        <v>2003</v>
      </c>
      <c r="K604" t="s">
        <v>167</v>
      </c>
      <c r="L604">
        <v>432</v>
      </c>
      <c r="M604" t="s">
        <v>28216</v>
      </c>
      <c r="N604">
        <v>1</v>
      </c>
      <c r="O604" t="s">
        <v>27321</v>
      </c>
      <c r="Q604" t="s">
        <v>28217</v>
      </c>
      <c r="R604">
        <v>158.19999999999999</v>
      </c>
      <c r="S604" t="s">
        <v>8266</v>
      </c>
      <c r="T604" t="s">
        <v>30</v>
      </c>
      <c r="U604" t="s">
        <v>26228</v>
      </c>
      <c r="W604" t="s">
        <v>26020</v>
      </c>
    </row>
    <row r="605" spans="1:23" x14ac:dyDescent="0.35">
      <c r="A605">
        <v>259870</v>
      </c>
      <c r="B605" t="s">
        <v>28218</v>
      </c>
      <c r="C605" t="str">
        <f>"9780521819404"</f>
        <v>9780521819404</v>
      </c>
      <c r="D605" t="str">
        <f>"9780511193675"</f>
        <v>9780511193675</v>
      </c>
      <c r="E605" t="s">
        <v>167</v>
      </c>
      <c r="F605" t="s">
        <v>167</v>
      </c>
      <c r="G605" t="s">
        <v>22218</v>
      </c>
      <c r="H605" t="s">
        <v>26011</v>
      </c>
      <c r="I605" s="26">
        <v>38134</v>
      </c>
      <c r="J605">
        <v>2004</v>
      </c>
      <c r="K605" t="s">
        <v>167</v>
      </c>
      <c r="L605">
        <v>236</v>
      </c>
      <c r="M605" t="s">
        <v>28219</v>
      </c>
      <c r="N605">
        <v>2</v>
      </c>
      <c r="Q605" t="s">
        <v>28220</v>
      </c>
      <c r="R605" t="s">
        <v>28221</v>
      </c>
      <c r="S605" t="s">
        <v>28222</v>
      </c>
      <c r="T605" t="s">
        <v>30</v>
      </c>
      <c r="U605" t="s">
        <v>28223</v>
      </c>
      <c r="W605" t="s">
        <v>26020</v>
      </c>
    </row>
    <row r="606" spans="1:23" x14ac:dyDescent="0.35">
      <c r="A606">
        <v>261097</v>
      </c>
      <c r="B606" t="s">
        <v>28224</v>
      </c>
      <c r="C606" t="str">
        <f>"9780521828871"</f>
        <v>9780521828871</v>
      </c>
      <c r="D606" t="str">
        <f>"9780511218958"</f>
        <v>9780511218958</v>
      </c>
      <c r="E606" t="s">
        <v>167</v>
      </c>
      <c r="F606" t="s">
        <v>167</v>
      </c>
      <c r="G606" t="s">
        <v>22218</v>
      </c>
      <c r="H606" t="s">
        <v>26011</v>
      </c>
      <c r="I606" s="26">
        <v>38817</v>
      </c>
      <c r="J606">
        <v>2006</v>
      </c>
      <c r="K606" t="s">
        <v>167</v>
      </c>
      <c r="L606">
        <v>487</v>
      </c>
      <c r="M606" t="s">
        <v>28225</v>
      </c>
      <c r="N606">
        <v>1</v>
      </c>
      <c r="O606" t="s">
        <v>28226</v>
      </c>
      <c r="Q606" t="s">
        <v>28227</v>
      </c>
      <c r="R606">
        <v>306.87400000000002</v>
      </c>
      <c r="S606" t="s">
        <v>28228</v>
      </c>
      <c r="T606" t="s">
        <v>30</v>
      </c>
      <c r="U606" t="s">
        <v>26044</v>
      </c>
      <c r="W606" t="s">
        <v>26020</v>
      </c>
    </row>
    <row r="607" spans="1:23" x14ac:dyDescent="0.35">
      <c r="A607">
        <v>261108</v>
      </c>
      <c r="B607" t="s">
        <v>28229</v>
      </c>
      <c r="C607" t="str">
        <f>"9780521841511"</f>
        <v>9780521841511</v>
      </c>
      <c r="D607" t="str">
        <f>"9780511219061"</f>
        <v>9780511219061</v>
      </c>
      <c r="E607" t="s">
        <v>167</v>
      </c>
      <c r="F607" t="s">
        <v>167</v>
      </c>
      <c r="G607" t="s">
        <v>22218</v>
      </c>
      <c r="H607" t="s">
        <v>26011</v>
      </c>
      <c r="I607" s="26">
        <v>38869</v>
      </c>
      <c r="J607">
        <v>2006</v>
      </c>
      <c r="K607" t="s">
        <v>167</v>
      </c>
      <c r="L607">
        <v>562</v>
      </c>
      <c r="M607" t="s">
        <v>28230</v>
      </c>
      <c r="N607">
        <v>1</v>
      </c>
      <c r="Q607" t="s">
        <v>28231</v>
      </c>
      <c r="R607">
        <v>616.85270000000003</v>
      </c>
      <c r="S607" t="s">
        <v>9072</v>
      </c>
      <c r="T607" t="s">
        <v>30</v>
      </c>
      <c r="U607" t="s">
        <v>26019</v>
      </c>
      <c r="W607" t="s">
        <v>26020</v>
      </c>
    </row>
    <row r="608" spans="1:23" x14ac:dyDescent="0.35">
      <c r="A608">
        <v>261111</v>
      </c>
      <c r="B608" t="s">
        <v>28232</v>
      </c>
      <c r="C608" t="str">
        <f>"9780521844949"</f>
        <v>9780521844949</v>
      </c>
      <c r="D608" t="str">
        <f>"9780511219092"</f>
        <v>9780511219092</v>
      </c>
      <c r="E608" t="s">
        <v>167</v>
      </c>
      <c r="F608" t="s">
        <v>167</v>
      </c>
      <c r="G608" t="s">
        <v>22218</v>
      </c>
      <c r="H608" t="s">
        <v>26011</v>
      </c>
      <c r="I608" s="26">
        <v>38887</v>
      </c>
      <c r="J608">
        <v>2006</v>
      </c>
      <c r="K608" t="s">
        <v>167</v>
      </c>
      <c r="L608">
        <v>445</v>
      </c>
      <c r="M608" t="s">
        <v>28233</v>
      </c>
      <c r="N608">
        <v>1</v>
      </c>
      <c r="Q608" t="s">
        <v>28234</v>
      </c>
      <c r="R608">
        <v>612.82000000000005</v>
      </c>
      <c r="S608" t="s">
        <v>8982</v>
      </c>
      <c r="T608" t="s">
        <v>30</v>
      </c>
      <c r="U608" t="s">
        <v>26141</v>
      </c>
      <c r="W608" t="s">
        <v>26020</v>
      </c>
    </row>
    <row r="609" spans="1:23" x14ac:dyDescent="0.35">
      <c r="A609">
        <v>261139</v>
      </c>
      <c r="B609" t="s">
        <v>28235</v>
      </c>
      <c r="C609" t="str">
        <f>"9780521858809"</f>
        <v>9780521858809</v>
      </c>
      <c r="D609" t="str">
        <f>"9780511219368"</f>
        <v>9780511219368</v>
      </c>
      <c r="E609" t="s">
        <v>167</v>
      </c>
      <c r="F609" t="s">
        <v>167</v>
      </c>
      <c r="G609" t="s">
        <v>22218</v>
      </c>
      <c r="H609" t="s">
        <v>26011</v>
      </c>
      <c r="I609" s="26">
        <v>38862</v>
      </c>
      <c r="J609">
        <v>2006</v>
      </c>
      <c r="K609" t="s">
        <v>167</v>
      </c>
      <c r="L609">
        <v>302</v>
      </c>
      <c r="M609" t="s">
        <v>28236</v>
      </c>
      <c r="N609">
        <v>1</v>
      </c>
      <c r="Q609" t="s">
        <v>28237</v>
      </c>
      <c r="R609">
        <v>306.87430000000001</v>
      </c>
      <c r="S609" t="s">
        <v>7787</v>
      </c>
      <c r="T609" t="s">
        <v>30</v>
      </c>
      <c r="U609" t="s">
        <v>26228</v>
      </c>
      <c r="W609" t="s">
        <v>26020</v>
      </c>
    </row>
    <row r="610" spans="1:23" x14ac:dyDescent="0.35">
      <c r="A610">
        <v>261141</v>
      </c>
      <c r="B610" t="s">
        <v>9829</v>
      </c>
      <c r="C610" t="str">
        <f>"9780521859431"</f>
        <v>9780521859431</v>
      </c>
      <c r="D610" t="str">
        <f>"9780511219382"</f>
        <v>9780511219382</v>
      </c>
      <c r="E610" t="s">
        <v>167</v>
      </c>
      <c r="F610" t="s">
        <v>167</v>
      </c>
      <c r="G610" t="s">
        <v>22218</v>
      </c>
      <c r="H610" t="s">
        <v>26011</v>
      </c>
      <c r="I610" s="26">
        <v>38862</v>
      </c>
      <c r="J610">
        <v>2006</v>
      </c>
      <c r="K610" t="s">
        <v>167</v>
      </c>
      <c r="L610">
        <v>409</v>
      </c>
      <c r="M610" t="s">
        <v>28238</v>
      </c>
      <c r="N610">
        <v>1</v>
      </c>
      <c r="Q610" t="s">
        <v>28239</v>
      </c>
      <c r="R610">
        <v>176.09370000000001</v>
      </c>
      <c r="S610" t="s">
        <v>9830</v>
      </c>
      <c r="T610" t="s">
        <v>30</v>
      </c>
      <c r="U610" t="s">
        <v>26135</v>
      </c>
      <c r="W610" t="s">
        <v>26020</v>
      </c>
    </row>
    <row r="611" spans="1:23" x14ac:dyDescent="0.35">
      <c r="A611">
        <v>261147</v>
      </c>
      <c r="B611" t="s">
        <v>28240</v>
      </c>
      <c r="C611" t="str">
        <f>"9780521861816"</f>
        <v>9780521861816</v>
      </c>
      <c r="D611" t="str">
        <f>"9780511219443"</f>
        <v>9780511219443</v>
      </c>
      <c r="E611" t="s">
        <v>167</v>
      </c>
      <c r="F611" t="s">
        <v>167</v>
      </c>
      <c r="G611" t="s">
        <v>22218</v>
      </c>
      <c r="H611" t="s">
        <v>26011</v>
      </c>
      <c r="I611" s="26">
        <v>38831</v>
      </c>
      <c r="J611">
        <v>2006</v>
      </c>
      <c r="K611" t="s">
        <v>167</v>
      </c>
      <c r="L611">
        <v>654</v>
      </c>
      <c r="M611" t="s">
        <v>28241</v>
      </c>
      <c r="N611">
        <v>2</v>
      </c>
      <c r="Q611" t="s">
        <v>28242</v>
      </c>
      <c r="R611" t="s">
        <v>28243</v>
      </c>
      <c r="S611" t="s">
        <v>9579</v>
      </c>
      <c r="T611" t="s">
        <v>30</v>
      </c>
      <c r="U611" t="s">
        <v>46</v>
      </c>
      <c r="W611" t="s">
        <v>26020</v>
      </c>
    </row>
    <row r="612" spans="1:23" x14ac:dyDescent="0.35">
      <c r="A612">
        <v>261154</v>
      </c>
      <c r="B612" t="s">
        <v>9587</v>
      </c>
      <c r="C612" t="str">
        <f>"9780521863322"</f>
        <v>9780521863322</v>
      </c>
      <c r="D612" t="str">
        <f>"9780511219511"</f>
        <v>9780511219511</v>
      </c>
      <c r="E612" t="s">
        <v>167</v>
      </c>
      <c r="F612" t="s">
        <v>167</v>
      </c>
      <c r="G612" t="s">
        <v>22218</v>
      </c>
      <c r="H612" t="s">
        <v>26011</v>
      </c>
      <c r="I612" s="26">
        <v>38852</v>
      </c>
      <c r="J612">
        <v>2006</v>
      </c>
      <c r="K612" t="s">
        <v>167</v>
      </c>
      <c r="L612">
        <v>183</v>
      </c>
      <c r="M612" t="s">
        <v>28244</v>
      </c>
      <c r="N612">
        <v>1</v>
      </c>
      <c r="Q612" t="s">
        <v>28245</v>
      </c>
      <c r="R612" t="s">
        <v>27122</v>
      </c>
      <c r="S612" t="s">
        <v>9588</v>
      </c>
      <c r="T612" t="s">
        <v>30</v>
      </c>
      <c r="U612" t="s">
        <v>26019</v>
      </c>
      <c r="W612" t="s">
        <v>26020</v>
      </c>
    </row>
    <row r="613" spans="1:23" x14ac:dyDescent="0.35">
      <c r="A613">
        <v>261415</v>
      </c>
      <c r="B613" t="s">
        <v>28246</v>
      </c>
      <c r="C613" t="str">
        <f>"9780805847253"</f>
        <v>9780805847253</v>
      </c>
      <c r="D613" t="str">
        <f>"9781410615671"</f>
        <v>9781410615671</v>
      </c>
      <c r="E613" t="s">
        <v>26010</v>
      </c>
      <c r="F613" t="s">
        <v>35</v>
      </c>
      <c r="G613" t="s">
        <v>22436</v>
      </c>
      <c r="H613" t="s">
        <v>26004</v>
      </c>
      <c r="I613" s="26">
        <v>38624</v>
      </c>
      <c r="J613">
        <v>2006</v>
      </c>
      <c r="K613" t="s">
        <v>660</v>
      </c>
      <c r="L613">
        <v>240</v>
      </c>
      <c r="M613" t="s">
        <v>28247</v>
      </c>
      <c r="N613">
        <v>1</v>
      </c>
      <c r="Q613" t="s">
        <v>28248</v>
      </c>
      <c r="R613">
        <v>152.1</v>
      </c>
      <c r="S613" t="s">
        <v>28249</v>
      </c>
      <c r="T613" t="s">
        <v>30</v>
      </c>
      <c r="U613" t="s">
        <v>46</v>
      </c>
      <c r="W613" t="s">
        <v>26009</v>
      </c>
    </row>
    <row r="614" spans="1:23" x14ac:dyDescent="0.35">
      <c r="A614">
        <v>261422</v>
      </c>
      <c r="B614" t="s">
        <v>28250</v>
      </c>
      <c r="C614" t="str">
        <f>"9780805855265"</f>
        <v>9780805855265</v>
      </c>
      <c r="D614" t="str">
        <f>"9781410615749"</f>
        <v>9781410615749</v>
      </c>
      <c r="E614" t="s">
        <v>26010</v>
      </c>
      <c r="F614" t="s">
        <v>35</v>
      </c>
      <c r="G614" t="s">
        <v>22436</v>
      </c>
      <c r="H614" t="s">
        <v>26004</v>
      </c>
      <c r="I614" s="26">
        <v>38574</v>
      </c>
      <c r="J614">
        <v>2006</v>
      </c>
      <c r="K614" t="s">
        <v>660</v>
      </c>
      <c r="L614">
        <v>242</v>
      </c>
      <c r="M614" t="s">
        <v>28251</v>
      </c>
      <c r="N614">
        <v>1</v>
      </c>
      <c r="Q614" t="s">
        <v>28252</v>
      </c>
      <c r="R614">
        <v>153.80000000000001</v>
      </c>
      <c r="S614" t="s">
        <v>28253</v>
      </c>
      <c r="T614" t="s">
        <v>30</v>
      </c>
      <c r="U614" t="s">
        <v>46</v>
      </c>
      <c r="W614" t="s">
        <v>26009</v>
      </c>
    </row>
    <row r="615" spans="1:23" x14ac:dyDescent="0.35">
      <c r="A615">
        <v>261425</v>
      </c>
      <c r="B615" t="s">
        <v>9247</v>
      </c>
      <c r="C615" t="str">
        <f>"9780805853681"</f>
        <v>9780805853681</v>
      </c>
      <c r="D615" t="str">
        <f>"9781410613202"</f>
        <v>9781410613202</v>
      </c>
      <c r="E615" t="s">
        <v>26010</v>
      </c>
      <c r="F615" t="s">
        <v>35</v>
      </c>
      <c r="G615" t="s">
        <v>22436</v>
      </c>
      <c r="H615" t="s">
        <v>26004</v>
      </c>
      <c r="I615" s="26">
        <v>38555</v>
      </c>
      <c r="J615">
        <v>2005</v>
      </c>
      <c r="K615" t="s">
        <v>26012</v>
      </c>
      <c r="L615">
        <v>167</v>
      </c>
      <c r="M615" t="s">
        <v>28254</v>
      </c>
      <c r="N615">
        <v>2</v>
      </c>
      <c r="Q615" t="s">
        <v>28255</v>
      </c>
      <c r="R615">
        <v>158</v>
      </c>
      <c r="S615" t="s">
        <v>9248</v>
      </c>
      <c r="T615" t="s">
        <v>30</v>
      </c>
      <c r="U615" t="s">
        <v>46</v>
      </c>
      <c r="W615" t="s">
        <v>26159</v>
      </c>
    </row>
    <row r="616" spans="1:23" x14ac:dyDescent="0.35">
      <c r="A616">
        <v>261426</v>
      </c>
      <c r="B616" t="s">
        <v>28256</v>
      </c>
      <c r="C616" t="str">
        <f>"9780805853377"</f>
        <v>9780805853377</v>
      </c>
      <c r="D616" t="str">
        <f>"9781410615763"</f>
        <v>9781410615763</v>
      </c>
      <c r="E616" t="s">
        <v>26010</v>
      </c>
      <c r="F616" t="s">
        <v>35</v>
      </c>
      <c r="G616" t="s">
        <v>22436</v>
      </c>
      <c r="H616" t="s">
        <v>26004</v>
      </c>
      <c r="I616" s="26">
        <v>38581</v>
      </c>
      <c r="J616">
        <v>2006</v>
      </c>
      <c r="K616" t="s">
        <v>26012</v>
      </c>
      <c r="L616">
        <v>355</v>
      </c>
      <c r="M616" t="s">
        <v>28257</v>
      </c>
      <c r="N616">
        <v>1</v>
      </c>
      <c r="Q616" t="s">
        <v>28258</v>
      </c>
      <c r="R616" t="s">
        <v>28259</v>
      </c>
      <c r="S616" t="s">
        <v>28260</v>
      </c>
      <c r="T616" t="s">
        <v>30</v>
      </c>
      <c r="U616" t="s">
        <v>26044</v>
      </c>
      <c r="W616" t="s">
        <v>26159</v>
      </c>
    </row>
    <row r="617" spans="1:23" x14ac:dyDescent="0.35">
      <c r="A617">
        <v>261427</v>
      </c>
      <c r="B617" t="s">
        <v>10138</v>
      </c>
      <c r="C617" t="str">
        <f>"9780805853315"</f>
        <v>9780805853315</v>
      </c>
      <c r="D617" t="str">
        <f>"9781410615770"</f>
        <v>9781410615770</v>
      </c>
      <c r="E617" t="s">
        <v>26010</v>
      </c>
      <c r="F617" t="s">
        <v>35</v>
      </c>
      <c r="G617" t="s">
        <v>22436</v>
      </c>
      <c r="H617" t="s">
        <v>26004</v>
      </c>
      <c r="I617" s="26">
        <v>38574</v>
      </c>
      <c r="J617">
        <v>2005</v>
      </c>
      <c r="K617" t="s">
        <v>660</v>
      </c>
      <c r="L617">
        <v>368</v>
      </c>
      <c r="M617" t="s">
        <v>28261</v>
      </c>
      <c r="N617">
        <v>1</v>
      </c>
      <c r="Q617" t="s">
        <v>28262</v>
      </c>
      <c r="R617" t="s">
        <v>28263</v>
      </c>
      <c r="S617" t="s">
        <v>28264</v>
      </c>
      <c r="T617" t="s">
        <v>30</v>
      </c>
      <c r="U617" t="s">
        <v>26044</v>
      </c>
      <c r="W617" t="s">
        <v>26009</v>
      </c>
    </row>
    <row r="618" spans="1:23" x14ac:dyDescent="0.35">
      <c r="A618">
        <v>261439</v>
      </c>
      <c r="B618" t="s">
        <v>28265</v>
      </c>
      <c r="C618" t="str">
        <f>"9780805850000"</f>
        <v>9780805850000</v>
      </c>
      <c r="D618" t="str">
        <f>"9781410613516"</f>
        <v>9781410613516</v>
      </c>
      <c r="E618" t="s">
        <v>26010</v>
      </c>
      <c r="F618" t="s">
        <v>35</v>
      </c>
      <c r="G618" t="s">
        <v>22436</v>
      </c>
      <c r="H618" t="s">
        <v>26004</v>
      </c>
      <c r="I618" s="26">
        <v>38505</v>
      </c>
      <c r="J618">
        <v>2005</v>
      </c>
      <c r="K618" t="s">
        <v>660</v>
      </c>
      <c r="L618">
        <v>359</v>
      </c>
      <c r="M618" t="s">
        <v>28266</v>
      </c>
      <c r="N618">
        <v>1</v>
      </c>
      <c r="Q618" t="s">
        <v>28267</v>
      </c>
      <c r="R618" t="s">
        <v>28268</v>
      </c>
      <c r="S618" t="s">
        <v>28269</v>
      </c>
      <c r="T618" t="s">
        <v>30</v>
      </c>
      <c r="U618" t="s">
        <v>46</v>
      </c>
      <c r="W618" t="s">
        <v>26009</v>
      </c>
    </row>
    <row r="619" spans="1:23" x14ac:dyDescent="0.35">
      <c r="A619">
        <v>263239</v>
      </c>
      <c r="B619" t="s">
        <v>8301</v>
      </c>
      <c r="C619" t="str">
        <f>"9780849322464"</f>
        <v>9780849322464</v>
      </c>
      <c r="D619" t="str">
        <f>"9781420038989"</f>
        <v>9781420038989</v>
      </c>
      <c r="E619" t="s">
        <v>26010</v>
      </c>
      <c r="F619" t="s">
        <v>35</v>
      </c>
      <c r="G619" t="s">
        <v>26128</v>
      </c>
      <c r="H619" t="s">
        <v>26011</v>
      </c>
      <c r="I619" s="26">
        <v>38349</v>
      </c>
      <c r="J619">
        <v>2005</v>
      </c>
      <c r="K619" t="s">
        <v>26470</v>
      </c>
      <c r="L619">
        <v>285</v>
      </c>
      <c r="M619" t="s">
        <v>28270</v>
      </c>
      <c r="N619">
        <v>2</v>
      </c>
      <c r="R619">
        <v>616.89</v>
      </c>
      <c r="S619" t="s">
        <v>28271</v>
      </c>
      <c r="T619" t="s">
        <v>30</v>
      </c>
      <c r="U619" t="s">
        <v>26040</v>
      </c>
      <c r="W619" t="s">
        <v>26009</v>
      </c>
    </row>
    <row r="620" spans="1:23" x14ac:dyDescent="0.35">
      <c r="A620">
        <v>264303</v>
      </c>
      <c r="B620" t="s">
        <v>9571</v>
      </c>
      <c r="C620" t="str">
        <f>"9780849339974"</f>
        <v>9780849339974</v>
      </c>
      <c r="D620" t="str">
        <f>"9781420037326"</f>
        <v>9781420037326</v>
      </c>
      <c r="E620" t="s">
        <v>26010</v>
      </c>
      <c r="F620" t="s">
        <v>7770</v>
      </c>
      <c r="G620" t="s">
        <v>28272</v>
      </c>
      <c r="H620" t="s">
        <v>26004</v>
      </c>
      <c r="I620" s="26">
        <v>38639</v>
      </c>
      <c r="J620">
        <v>2005</v>
      </c>
      <c r="K620" t="s">
        <v>26470</v>
      </c>
      <c r="L620">
        <v>301</v>
      </c>
      <c r="M620" t="s">
        <v>28273</v>
      </c>
      <c r="N620">
        <v>1</v>
      </c>
      <c r="Q620" t="s">
        <v>28274</v>
      </c>
      <c r="R620">
        <v>158.5</v>
      </c>
      <c r="S620" t="s">
        <v>9572</v>
      </c>
      <c r="T620" t="s">
        <v>30</v>
      </c>
      <c r="U620" t="s">
        <v>26170</v>
      </c>
      <c r="W620" t="s">
        <v>26009</v>
      </c>
    </row>
    <row r="621" spans="1:23" x14ac:dyDescent="0.35">
      <c r="A621">
        <v>265950</v>
      </c>
      <c r="B621" t="s">
        <v>8230</v>
      </c>
      <c r="C621" t="str">
        <f>"9781586035440"</f>
        <v>9781586035440</v>
      </c>
      <c r="D621" t="str">
        <f>"9781607501305"</f>
        <v>9781607501305</v>
      </c>
      <c r="E621" t="s">
        <v>28275</v>
      </c>
      <c r="F621" t="s">
        <v>7658</v>
      </c>
      <c r="G621" t="s">
        <v>22222</v>
      </c>
      <c r="H621" t="s">
        <v>27983</v>
      </c>
      <c r="I621" s="26">
        <v>38534</v>
      </c>
      <c r="J621">
        <v>2005</v>
      </c>
      <c r="K621" t="s">
        <v>7658</v>
      </c>
      <c r="L621">
        <v>164</v>
      </c>
      <c r="M621" t="s">
        <v>28276</v>
      </c>
      <c r="N621">
        <v>1</v>
      </c>
      <c r="O621" t="s">
        <v>28277</v>
      </c>
      <c r="P621">
        <v>65</v>
      </c>
      <c r="Q621" t="s">
        <v>28278</v>
      </c>
      <c r="R621" t="s">
        <v>28279</v>
      </c>
      <c r="S621" t="s">
        <v>28280</v>
      </c>
      <c r="T621" t="s">
        <v>30</v>
      </c>
      <c r="U621" t="s">
        <v>26116</v>
      </c>
      <c r="W621" t="s">
        <v>26009</v>
      </c>
    </row>
    <row r="622" spans="1:23" x14ac:dyDescent="0.35">
      <c r="A622">
        <v>265952</v>
      </c>
      <c r="B622" t="s">
        <v>28281</v>
      </c>
      <c r="C622" t="str">
        <f>"9781586035464"</f>
        <v>9781586035464</v>
      </c>
      <c r="D622" t="str">
        <f>"9781607501329"</f>
        <v>9781607501329</v>
      </c>
      <c r="E622" t="s">
        <v>28275</v>
      </c>
      <c r="F622" t="s">
        <v>7658</v>
      </c>
      <c r="G622" t="s">
        <v>22222</v>
      </c>
      <c r="H622" t="s">
        <v>27983</v>
      </c>
      <c r="I622" s="26">
        <v>38534</v>
      </c>
      <c r="J622">
        <v>2005</v>
      </c>
      <c r="K622" t="s">
        <v>7658</v>
      </c>
      <c r="L622">
        <v>216</v>
      </c>
      <c r="M622" t="s">
        <v>28282</v>
      </c>
      <c r="N622">
        <v>1</v>
      </c>
      <c r="O622" t="s">
        <v>28283</v>
      </c>
      <c r="P622">
        <v>1</v>
      </c>
      <c r="Q622" t="s">
        <v>28284</v>
      </c>
      <c r="R622">
        <v>618.92852100000005</v>
      </c>
      <c r="S622" t="s">
        <v>28285</v>
      </c>
      <c r="T622" t="s">
        <v>30</v>
      </c>
      <c r="U622" t="s">
        <v>26116</v>
      </c>
      <c r="W622" t="s">
        <v>26009</v>
      </c>
    </row>
    <row r="623" spans="1:23" x14ac:dyDescent="0.35">
      <c r="A623">
        <v>265960</v>
      </c>
      <c r="B623" t="s">
        <v>9521</v>
      </c>
      <c r="C623" t="str">
        <f>"9781586035587"</f>
        <v>9781586035587</v>
      </c>
      <c r="D623" t="str">
        <f>"9781607501411"</f>
        <v>9781607501411</v>
      </c>
      <c r="E623" t="s">
        <v>28275</v>
      </c>
      <c r="F623" t="s">
        <v>7658</v>
      </c>
      <c r="G623" t="s">
        <v>22222</v>
      </c>
      <c r="H623" t="s">
        <v>27983</v>
      </c>
      <c r="I623" s="26">
        <v>38534</v>
      </c>
      <c r="J623">
        <v>2005</v>
      </c>
      <c r="K623" t="s">
        <v>7658</v>
      </c>
      <c r="L623">
        <v>204</v>
      </c>
      <c r="M623" t="s">
        <v>28286</v>
      </c>
      <c r="N623">
        <v>1</v>
      </c>
      <c r="O623" t="s">
        <v>28283</v>
      </c>
      <c r="P623">
        <v>4</v>
      </c>
      <c r="Q623" t="s">
        <v>28287</v>
      </c>
      <c r="R623">
        <v>618.92852100000005</v>
      </c>
      <c r="S623" t="s">
        <v>28288</v>
      </c>
      <c r="T623" t="s">
        <v>30</v>
      </c>
      <c r="U623" t="s">
        <v>28289</v>
      </c>
      <c r="W623" t="s">
        <v>26009</v>
      </c>
    </row>
    <row r="624" spans="1:23" x14ac:dyDescent="0.35">
      <c r="A624">
        <v>265979</v>
      </c>
      <c r="B624" t="s">
        <v>9261</v>
      </c>
      <c r="C624" t="str">
        <f>"9781586035907"</f>
        <v>9781586035907</v>
      </c>
      <c r="D624" t="str">
        <f>"9781607501619"</f>
        <v>9781607501619</v>
      </c>
      <c r="E624" t="s">
        <v>28275</v>
      </c>
      <c r="F624" t="s">
        <v>7658</v>
      </c>
      <c r="G624" t="s">
        <v>22222</v>
      </c>
      <c r="H624" t="s">
        <v>27983</v>
      </c>
      <c r="I624" s="26">
        <v>38899</v>
      </c>
      <c r="J624">
        <v>2006</v>
      </c>
      <c r="K624" t="s">
        <v>7658</v>
      </c>
      <c r="L624">
        <v>352</v>
      </c>
      <c r="M624" t="s">
        <v>28290</v>
      </c>
      <c r="N624">
        <v>1</v>
      </c>
      <c r="O624" t="s">
        <v>28283</v>
      </c>
      <c r="P624">
        <v>6</v>
      </c>
      <c r="Q624" t="s">
        <v>28291</v>
      </c>
      <c r="R624">
        <v>616.85209999999995</v>
      </c>
      <c r="S624" t="s">
        <v>28292</v>
      </c>
      <c r="T624" t="s">
        <v>30</v>
      </c>
      <c r="U624" t="s">
        <v>26019</v>
      </c>
      <c r="W624" t="s">
        <v>26009</v>
      </c>
    </row>
    <row r="625" spans="1:23" x14ac:dyDescent="0.35">
      <c r="A625">
        <v>266531</v>
      </c>
      <c r="B625" t="s">
        <v>9877</v>
      </c>
      <c r="C625" t="str">
        <f>"9780521809009"</f>
        <v>9780521809009</v>
      </c>
      <c r="D625" t="str">
        <f>"9780511210594"</f>
        <v>9780511210594</v>
      </c>
      <c r="E625" t="s">
        <v>167</v>
      </c>
      <c r="F625" t="s">
        <v>167</v>
      </c>
      <c r="G625" t="s">
        <v>22218</v>
      </c>
      <c r="H625" t="s">
        <v>26011</v>
      </c>
      <c r="I625" s="26">
        <v>38148</v>
      </c>
      <c r="J625">
        <v>2004</v>
      </c>
      <c r="K625" t="s">
        <v>167</v>
      </c>
      <c r="L625">
        <v>260</v>
      </c>
      <c r="M625" t="s">
        <v>28293</v>
      </c>
      <c r="N625">
        <v>1</v>
      </c>
      <c r="Q625" t="s">
        <v>28294</v>
      </c>
      <c r="R625">
        <v>362.20422000000002</v>
      </c>
      <c r="S625" t="s">
        <v>28295</v>
      </c>
      <c r="T625" t="s">
        <v>30</v>
      </c>
      <c r="U625" t="s">
        <v>26250</v>
      </c>
      <c r="W625" t="s">
        <v>26020</v>
      </c>
    </row>
    <row r="626" spans="1:23" x14ac:dyDescent="0.35">
      <c r="A626">
        <v>266537</v>
      </c>
      <c r="B626" t="s">
        <v>28296</v>
      </c>
      <c r="C626" t="str">
        <f>"9780521812382"</f>
        <v>9780521812382</v>
      </c>
      <c r="D626" t="str">
        <f>"9780511211577"</f>
        <v>9780511211577</v>
      </c>
      <c r="E626" t="s">
        <v>167</v>
      </c>
      <c r="F626" t="s">
        <v>167</v>
      </c>
      <c r="G626" t="s">
        <v>22218</v>
      </c>
      <c r="H626" t="s">
        <v>26011</v>
      </c>
      <c r="I626" s="26">
        <v>38229</v>
      </c>
      <c r="J626">
        <v>2004</v>
      </c>
      <c r="K626" t="s">
        <v>167</v>
      </c>
      <c r="L626">
        <v>223</v>
      </c>
      <c r="M626" t="s">
        <v>28297</v>
      </c>
      <c r="N626">
        <v>1</v>
      </c>
      <c r="Q626" t="s">
        <v>28298</v>
      </c>
      <c r="R626" t="s">
        <v>28299</v>
      </c>
      <c r="S626" t="s">
        <v>9316</v>
      </c>
      <c r="T626" t="s">
        <v>30</v>
      </c>
      <c r="U626" t="s">
        <v>26250</v>
      </c>
      <c r="W626" t="s">
        <v>26020</v>
      </c>
    </row>
    <row r="627" spans="1:23" x14ac:dyDescent="0.35">
      <c r="A627">
        <v>266613</v>
      </c>
      <c r="B627" t="s">
        <v>7428</v>
      </c>
      <c r="C627" t="str">
        <f>"9780521835183"</f>
        <v>9780521835183</v>
      </c>
      <c r="D627" t="str">
        <f>"9780511210419"</f>
        <v>9780511210419</v>
      </c>
      <c r="E627" t="s">
        <v>167</v>
      </c>
      <c r="F627" t="s">
        <v>167</v>
      </c>
      <c r="G627" t="s">
        <v>22218</v>
      </c>
      <c r="H627" t="s">
        <v>26011</v>
      </c>
      <c r="I627" s="26">
        <v>38169</v>
      </c>
      <c r="J627">
        <v>2004</v>
      </c>
      <c r="K627" t="s">
        <v>167</v>
      </c>
      <c r="L627">
        <v>255</v>
      </c>
      <c r="M627" t="s">
        <v>28300</v>
      </c>
      <c r="N627">
        <v>1</v>
      </c>
      <c r="Q627" t="s">
        <v>28301</v>
      </c>
      <c r="R627">
        <v>616.89</v>
      </c>
      <c r="S627" t="s">
        <v>7429</v>
      </c>
      <c r="T627" t="s">
        <v>30</v>
      </c>
      <c r="U627" t="s">
        <v>26116</v>
      </c>
      <c r="W627" t="s">
        <v>26020</v>
      </c>
    </row>
    <row r="628" spans="1:23" x14ac:dyDescent="0.35">
      <c r="A628">
        <v>266617</v>
      </c>
      <c r="B628" t="s">
        <v>28302</v>
      </c>
      <c r="C628" t="str">
        <f>"9780521836197"</f>
        <v>9780521836197</v>
      </c>
      <c r="D628" t="str">
        <f>"9780511210778"</f>
        <v>9780511210778</v>
      </c>
      <c r="E628" t="s">
        <v>167</v>
      </c>
      <c r="F628" t="s">
        <v>167</v>
      </c>
      <c r="G628" t="s">
        <v>22218</v>
      </c>
      <c r="H628" t="s">
        <v>26011</v>
      </c>
      <c r="I628" s="26">
        <v>38225</v>
      </c>
      <c r="J628">
        <v>2004</v>
      </c>
      <c r="K628" t="s">
        <v>167</v>
      </c>
      <c r="L628">
        <v>188</v>
      </c>
      <c r="M628" t="s">
        <v>28303</v>
      </c>
      <c r="N628">
        <v>1</v>
      </c>
      <c r="Q628" t="s">
        <v>28304</v>
      </c>
      <c r="R628" t="s">
        <v>28305</v>
      </c>
      <c r="S628" t="s">
        <v>9068</v>
      </c>
      <c r="T628" t="s">
        <v>30</v>
      </c>
      <c r="U628" t="s">
        <v>46</v>
      </c>
      <c r="W628" t="s">
        <v>26020</v>
      </c>
    </row>
    <row r="629" spans="1:23" x14ac:dyDescent="0.35">
      <c r="A629">
        <v>266637</v>
      </c>
      <c r="B629" t="s">
        <v>8988</v>
      </c>
      <c r="C629" t="str">
        <f>"9780521837651"</f>
        <v>9780521837651</v>
      </c>
      <c r="D629" t="str">
        <f>"9780511210815"</f>
        <v>9780511210815</v>
      </c>
      <c r="E629" t="s">
        <v>167</v>
      </c>
      <c r="F629" t="s">
        <v>167</v>
      </c>
      <c r="G629" t="s">
        <v>22218</v>
      </c>
      <c r="H629" t="s">
        <v>26011</v>
      </c>
      <c r="I629" s="26">
        <v>38162</v>
      </c>
      <c r="J629">
        <v>2004</v>
      </c>
      <c r="K629" t="s">
        <v>167</v>
      </c>
      <c r="L629">
        <v>210</v>
      </c>
      <c r="M629" t="s">
        <v>28306</v>
      </c>
      <c r="N629">
        <v>1</v>
      </c>
      <c r="Q629" t="s">
        <v>28307</v>
      </c>
      <c r="R629">
        <v>362.19699400000002</v>
      </c>
      <c r="S629" t="s">
        <v>8989</v>
      </c>
      <c r="T629" t="s">
        <v>30</v>
      </c>
      <c r="U629" t="s">
        <v>28308</v>
      </c>
      <c r="W629" t="s">
        <v>26020</v>
      </c>
    </row>
    <row r="630" spans="1:23" x14ac:dyDescent="0.35">
      <c r="A630">
        <v>267178</v>
      </c>
      <c r="B630" t="s">
        <v>28309</v>
      </c>
      <c r="C630" t="str">
        <f>"9789068321487"</f>
        <v>9789068321487</v>
      </c>
      <c r="D630" t="str">
        <f>"9781552500699"</f>
        <v>9781552500699</v>
      </c>
      <c r="E630" t="s">
        <v>28206</v>
      </c>
      <c r="F630" t="s">
        <v>7590</v>
      </c>
      <c r="G630" t="s">
        <v>22756</v>
      </c>
      <c r="H630" t="s">
        <v>28207</v>
      </c>
      <c r="I630" s="26">
        <v>37622</v>
      </c>
      <c r="J630">
        <v>2003</v>
      </c>
      <c r="K630" t="s">
        <v>28206</v>
      </c>
      <c r="L630">
        <v>370</v>
      </c>
      <c r="M630" t="s">
        <v>28310</v>
      </c>
      <c r="N630">
        <v>2</v>
      </c>
      <c r="Q630" t="s">
        <v>28311</v>
      </c>
      <c r="R630" t="s">
        <v>28312</v>
      </c>
      <c r="S630" t="s">
        <v>28313</v>
      </c>
      <c r="T630" t="s">
        <v>30</v>
      </c>
      <c r="U630" t="s">
        <v>26094</v>
      </c>
      <c r="W630" t="s">
        <v>26009</v>
      </c>
    </row>
    <row r="631" spans="1:23" x14ac:dyDescent="0.35">
      <c r="A631">
        <v>267390</v>
      </c>
      <c r="B631" t="s">
        <v>28314</v>
      </c>
      <c r="C631" t="str">
        <f>"9780520245099"</f>
        <v>9780520245099</v>
      </c>
      <c r="D631" t="str">
        <f>"9780520938847"</f>
        <v>9780520938847</v>
      </c>
      <c r="E631" t="s">
        <v>1612</v>
      </c>
      <c r="F631" t="s">
        <v>1612</v>
      </c>
      <c r="G631" t="s">
        <v>22630</v>
      </c>
      <c r="H631" t="s">
        <v>26004</v>
      </c>
      <c r="I631" s="26">
        <v>38913</v>
      </c>
      <c r="J631">
        <v>2006</v>
      </c>
      <c r="K631" t="s">
        <v>1612</v>
      </c>
      <c r="L631">
        <v>272</v>
      </c>
      <c r="M631" t="s">
        <v>28315</v>
      </c>
      <c r="N631">
        <v>1</v>
      </c>
      <c r="R631" t="s">
        <v>28316</v>
      </c>
      <c r="S631" t="s">
        <v>28317</v>
      </c>
      <c r="T631" t="s">
        <v>30</v>
      </c>
      <c r="U631" t="s">
        <v>26044</v>
      </c>
      <c r="W631" t="s">
        <v>26009</v>
      </c>
    </row>
    <row r="632" spans="1:23" x14ac:dyDescent="0.35">
      <c r="A632">
        <v>267503</v>
      </c>
      <c r="B632" t="s">
        <v>28318</v>
      </c>
      <c r="C632" t="str">
        <f>"9781586030827"</f>
        <v>9781586030827</v>
      </c>
      <c r="D632" t="str">
        <f>"9781601294333"</f>
        <v>9781601294333</v>
      </c>
      <c r="E632" t="s">
        <v>28275</v>
      </c>
      <c r="F632" t="s">
        <v>7658</v>
      </c>
      <c r="G632" t="s">
        <v>22222</v>
      </c>
      <c r="H632" t="s">
        <v>27983</v>
      </c>
      <c r="I632" s="26">
        <v>37466</v>
      </c>
      <c r="J632">
        <v>2002</v>
      </c>
      <c r="K632" t="s">
        <v>28275</v>
      </c>
      <c r="L632">
        <v>405</v>
      </c>
      <c r="M632" t="s">
        <v>28319</v>
      </c>
      <c r="N632">
        <v>1</v>
      </c>
      <c r="Q632" t="s">
        <v>28320</v>
      </c>
      <c r="R632" t="s">
        <v>28321</v>
      </c>
      <c r="S632" t="s">
        <v>28322</v>
      </c>
      <c r="T632" t="s">
        <v>30</v>
      </c>
      <c r="U632" t="s">
        <v>26127</v>
      </c>
      <c r="W632" t="s">
        <v>26009</v>
      </c>
    </row>
    <row r="633" spans="1:23" x14ac:dyDescent="0.35">
      <c r="A633">
        <v>267515</v>
      </c>
      <c r="B633" t="s">
        <v>28323</v>
      </c>
      <c r="C633" t="str">
        <f>"9781586030711"</f>
        <v>9781586030711</v>
      </c>
      <c r="D633" t="str">
        <f>"9781601294456"</f>
        <v>9781601294456</v>
      </c>
      <c r="E633" t="s">
        <v>28275</v>
      </c>
      <c r="F633" t="s">
        <v>7658</v>
      </c>
      <c r="G633" t="s">
        <v>22222</v>
      </c>
      <c r="H633" t="s">
        <v>27983</v>
      </c>
      <c r="I633" s="26">
        <v>37235</v>
      </c>
      <c r="J633">
        <v>2002</v>
      </c>
      <c r="K633" t="s">
        <v>28275</v>
      </c>
      <c r="L633">
        <v>346</v>
      </c>
      <c r="M633" t="s">
        <v>28324</v>
      </c>
      <c r="N633">
        <v>1</v>
      </c>
      <c r="Q633" t="s">
        <v>28325</v>
      </c>
      <c r="R633">
        <v>364.36</v>
      </c>
      <c r="S633" t="s">
        <v>28326</v>
      </c>
      <c r="T633" t="s">
        <v>30</v>
      </c>
      <c r="U633" t="s">
        <v>26044</v>
      </c>
      <c r="W633" t="s">
        <v>26009</v>
      </c>
    </row>
    <row r="634" spans="1:23" x14ac:dyDescent="0.35">
      <c r="A634">
        <v>268214</v>
      </c>
      <c r="B634" t="s">
        <v>28327</v>
      </c>
      <c r="C634" t="str">
        <f>"9780521826051"</f>
        <v>9780521826051</v>
      </c>
      <c r="D634" t="str">
        <f>"9780511224164"</f>
        <v>9780511224164</v>
      </c>
      <c r="E634" t="s">
        <v>167</v>
      </c>
      <c r="F634" t="s">
        <v>167</v>
      </c>
      <c r="G634" t="s">
        <v>22218</v>
      </c>
      <c r="H634" t="s">
        <v>26011</v>
      </c>
      <c r="I634" s="26">
        <v>38348</v>
      </c>
      <c r="J634">
        <v>2004</v>
      </c>
      <c r="K634" t="s">
        <v>167</v>
      </c>
      <c r="L634">
        <v>369</v>
      </c>
      <c r="M634" t="s">
        <v>28328</v>
      </c>
      <c r="N634">
        <v>1</v>
      </c>
      <c r="Q634" t="s">
        <v>28329</v>
      </c>
      <c r="R634">
        <v>510.8</v>
      </c>
      <c r="S634" t="s">
        <v>8511</v>
      </c>
      <c r="T634" t="s">
        <v>30</v>
      </c>
      <c r="U634" t="s">
        <v>28330</v>
      </c>
      <c r="W634" t="s">
        <v>26020</v>
      </c>
    </row>
    <row r="635" spans="1:23" x14ac:dyDescent="0.35">
      <c r="A635">
        <v>268930</v>
      </c>
      <c r="B635" t="s">
        <v>28331</v>
      </c>
      <c r="C635" t="str">
        <f>"9780253346452"</f>
        <v>9780253346452</v>
      </c>
      <c r="D635" t="str">
        <f>"9780253111449"</f>
        <v>9780253111449</v>
      </c>
      <c r="E635" t="s">
        <v>7540</v>
      </c>
      <c r="F635" t="s">
        <v>7540</v>
      </c>
      <c r="G635" t="s">
        <v>24303</v>
      </c>
      <c r="H635" t="s">
        <v>26004</v>
      </c>
      <c r="I635" s="26">
        <v>38672</v>
      </c>
      <c r="J635">
        <v>2005</v>
      </c>
      <c r="K635" t="s">
        <v>7540</v>
      </c>
      <c r="L635">
        <v>377</v>
      </c>
      <c r="M635" t="s">
        <v>28332</v>
      </c>
      <c r="N635">
        <v>1</v>
      </c>
      <c r="Q635" t="s">
        <v>28333</v>
      </c>
      <c r="R635" t="s">
        <v>28334</v>
      </c>
      <c r="S635" t="s">
        <v>28335</v>
      </c>
      <c r="T635" t="s">
        <v>30</v>
      </c>
      <c r="U635" t="s">
        <v>152</v>
      </c>
      <c r="W635" t="s">
        <v>26009</v>
      </c>
    </row>
    <row r="636" spans="1:23" x14ac:dyDescent="0.35">
      <c r="A636">
        <v>268994</v>
      </c>
      <c r="B636" t="s">
        <v>8182</v>
      </c>
      <c r="C636" t="str">
        <f>"9781567505245"</f>
        <v>9781567505245</v>
      </c>
      <c r="D636" t="str">
        <f>"9780313003158"</f>
        <v>9780313003158</v>
      </c>
      <c r="E636" t="s">
        <v>28336</v>
      </c>
      <c r="F636" t="s">
        <v>57</v>
      </c>
      <c r="G636" t="s">
        <v>22647</v>
      </c>
      <c r="H636" t="s">
        <v>26004</v>
      </c>
      <c r="I636" s="26">
        <v>36860</v>
      </c>
      <c r="J636">
        <v>2001</v>
      </c>
      <c r="K636" t="s">
        <v>7624</v>
      </c>
      <c r="L636">
        <v>248</v>
      </c>
      <c r="M636" t="s">
        <v>28337</v>
      </c>
      <c r="N636">
        <v>1</v>
      </c>
      <c r="Q636" t="s">
        <v>28338</v>
      </c>
      <c r="R636">
        <v>616.89</v>
      </c>
      <c r="S636" t="s">
        <v>28339</v>
      </c>
      <c r="T636" t="s">
        <v>30</v>
      </c>
      <c r="U636" t="s">
        <v>26019</v>
      </c>
      <c r="W636" t="s">
        <v>26009</v>
      </c>
    </row>
    <row r="637" spans="1:23" x14ac:dyDescent="0.35">
      <c r="A637">
        <v>268999</v>
      </c>
      <c r="B637" t="s">
        <v>9797</v>
      </c>
      <c r="C637" t="str">
        <f>"9781567505887"</f>
        <v>9781567505887</v>
      </c>
      <c r="D637" t="str">
        <f>"9780313075520"</f>
        <v>9780313075520</v>
      </c>
      <c r="E637" t="s">
        <v>28336</v>
      </c>
      <c r="F637" t="s">
        <v>28340</v>
      </c>
      <c r="G637" t="s">
        <v>22179</v>
      </c>
      <c r="H637" t="s">
        <v>26004</v>
      </c>
      <c r="I637" s="26">
        <v>37133</v>
      </c>
      <c r="J637">
        <v>2001</v>
      </c>
      <c r="K637" t="s">
        <v>28341</v>
      </c>
      <c r="L637">
        <v>299</v>
      </c>
      <c r="M637" t="s">
        <v>28342</v>
      </c>
      <c r="N637">
        <v>1</v>
      </c>
      <c r="O637" t="s">
        <v>28343</v>
      </c>
      <c r="Q637" t="s">
        <v>28344</v>
      </c>
      <c r="R637" t="s">
        <v>28345</v>
      </c>
      <c r="S637" t="s">
        <v>28346</v>
      </c>
      <c r="T637" t="s">
        <v>30</v>
      </c>
      <c r="U637" t="s">
        <v>46</v>
      </c>
      <c r="W637" t="s">
        <v>28347</v>
      </c>
    </row>
    <row r="638" spans="1:23" x14ac:dyDescent="0.35">
      <c r="A638">
        <v>269002</v>
      </c>
      <c r="B638" t="s">
        <v>28348</v>
      </c>
      <c r="C638" t="str">
        <f>"9781567506570"</f>
        <v>9781567506570</v>
      </c>
      <c r="D638" t="str">
        <f>"9780313004025"</f>
        <v>9780313004025</v>
      </c>
      <c r="E638" t="s">
        <v>28336</v>
      </c>
      <c r="F638" t="s">
        <v>28340</v>
      </c>
      <c r="G638" t="s">
        <v>22179</v>
      </c>
      <c r="H638" t="s">
        <v>26004</v>
      </c>
      <c r="I638" s="26">
        <v>37225</v>
      </c>
      <c r="J638">
        <v>2001</v>
      </c>
      <c r="K638" t="s">
        <v>28341</v>
      </c>
      <c r="L638">
        <v>186</v>
      </c>
      <c r="M638" t="s">
        <v>28349</v>
      </c>
      <c r="N638">
        <v>1</v>
      </c>
      <c r="O638" t="s">
        <v>28350</v>
      </c>
      <c r="Q638" t="s">
        <v>28351</v>
      </c>
      <c r="R638" t="s">
        <v>26360</v>
      </c>
      <c r="S638" t="s">
        <v>8419</v>
      </c>
      <c r="T638" t="s">
        <v>30</v>
      </c>
      <c r="U638" t="s">
        <v>46</v>
      </c>
      <c r="W638" t="s">
        <v>28347</v>
      </c>
    </row>
    <row r="639" spans="1:23" x14ac:dyDescent="0.35">
      <c r="A639">
        <v>269061</v>
      </c>
      <c r="B639" t="s">
        <v>28352</v>
      </c>
      <c r="C639" t="str">
        <f>"9780275963187"</f>
        <v>9780275963187</v>
      </c>
      <c r="D639" t="str">
        <f>"9781567507096"</f>
        <v>9781567507096</v>
      </c>
      <c r="E639" t="s">
        <v>28336</v>
      </c>
      <c r="F639" t="s">
        <v>57</v>
      </c>
      <c r="G639" t="s">
        <v>22647</v>
      </c>
      <c r="H639" t="s">
        <v>26004</v>
      </c>
      <c r="I639" s="26">
        <v>36584</v>
      </c>
      <c r="J639">
        <v>2000</v>
      </c>
      <c r="K639" t="s">
        <v>7624</v>
      </c>
      <c r="L639">
        <v>176</v>
      </c>
      <c r="M639" t="s">
        <v>28353</v>
      </c>
      <c r="N639">
        <v>1</v>
      </c>
      <c r="Q639" t="s">
        <v>28354</v>
      </c>
      <c r="R639" t="s">
        <v>28355</v>
      </c>
      <c r="S639" t="s">
        <v>9243</v>
      </c>
      <c r="T639" t="s">
        <v>30</v>
      </c>
      <c r="U639" t="s">
        <v>26116</v>
      </c>
      <c r="W639" t="s">
        <v>26009</v>
      </c>
    </row>
    <row r="640" spans="1:23" x14ac:dyDescent="0.35">
      <c r="A640">
        <v>269068</v>
      </c>
      <c r="B640" t="s">
        <v>28356</v>
      </c>
      <c r="C640" t="str">
        <f>"9780275964139"</f>
        <v>9780275964139</v>
      </c>
      <c r="D640" t="str">
        <f>"9780313001468"</f>
        <v>9780313001468</v>
      </c>
      <c r="E640" t="s">
        <v>28336</v>
      </c>
      <c r="F640" t="s">
        <v>28340</v>
      </c>
      <c r="G640" t="s">
        <v>22179</v>
      </c>
      <c r="H640" t="s">
        <v>26004</v>
      </c>
      <c r="I640" s="26">
        <v>36555</v>
      </c>
      <c r="J640">
        <v>2000</v>
      </c>
      <c r="K640" t="s">
        <v>28341</v>
      </c>
      <c r="L640">
        <v>249</v>
      </c>
      <c r="M640" t="s">
        <v>28357</v>
      </c>
      <c r="N640">
        <v>1</v>
      </c>
      <c r="Q640" t="s">
        <v>28358</v>
      </c>
      <c r="R640" t="s">
        <v>27122</v>
      </c>
      <c r="S640" t="s">
        <v>28359</v>
      </c>
      <c r="T640" t="s">
        <v>30</v>
      </c>
      <c r="U640" t="s">
        <v>26116</v>
      </c>
      <c r="W640" t="s">
        <v>28347</v>
      </c>
    </row>
    <row r="641" spans="1:23" x14ac:dyDescent="0.35">
      <c r="A641">
        <v>269511</v>
      </c>
      <c r="B641" t="s">
        <v>28360</v>
      </c>
      <c r="C641" t="str">
        <f>"9780120884704"</f>
        <v>9780120884704</v>
      </c>
      <c r="D641" t="str">
        <f>"9780080454122"</f>
        <v>9780080454122</v>
      </c>
      <c r="E641" t="s">
        <v>27482</v>
      </c>
      <c r="F641" t="s">
        <v>7447</v>
      </c>
      <c r="G641" t="s">
        <v>28361</v>
      </c>
      <c r="H641" t="s">
        <v>26004</v>
      </c>
      <c r="I641" s="26">
        <v>38698</v>
      </c>
      <c r="J641">
        <v>2006</v>
      </c>
      <c r="K641" t="s">
        <v>946</v>
      </c>
      <c r="L641">
        <v>506</v>
      </c>
      <c r="M641" t="s">
        <v>28362</v>
      </c>
      <c r="N641">
        <v>1</v>
      </c>
      <c r="Q641" t="s">
        <v>28363</v>
      </c>
      <c r="R641" t="s">
        <v>28364</v>
      </c>
      <c r="S641" t="s">
        <v>28365</v>
      </c>
      <c r="T641" t="s">
        <v>30</v>
      </c>
      <c r="U641" t="s">
        <v>46</v>
      </c>
      <c r="W641" t="s">
        <v>26009</v>
      </c>
    </row>
    <row r="642" spans="1:23" x14ac:dyDescent="0.35">
      <c r="A642">
        <v>269515</v>
      </c>
      <c r="B642" t="s">
        <v>9621</v>
      </c>
      <c r="C642" t="str">
        <f>"9780121835521"</f>
        <v>9780121835521</v>
      </c>
      <c r="D642" t="str">
        <f>"9780080454252"</f>
        <v>9780080454252</v>
      </c>
      <c r="E642" t="s">
        <v>27482</v>
      </c>
      <c r="F642" t="s">
        <v>7447</v>
      </c>
      <c r="G642" t="s">
        <v>22689</v>
      </c>
      <c r="H642" t="s">
        <v>26004</v>
      </c>
      <c r="I642" s="26">
        <v>38503</v>
      </c>
      <c r="J642">
        <v>2005</v>
      </c>
      <c r="K642" t="s">
        <v>946</v>
      </c>
      <c r="L642">
        <v>329</v>
      </c>
      <c r="M642" t="s">
        <v>28366</v>
      </c>
      <c r="N642">
        <v>1</v>
      </c>
      <c r="Q642" t="s">
        <v>28367</v>
      </c>
      <c r="R642" t="s">
        <v>28368</v>
      </c>
      <c r="S642" t="s">
        <v>28369</v>
      </c>
      <c r="T642" t="s">
        <v>30</v>
      </c>
      <c r="U642" t="s">
        <v>5222</v>
      </c>
      <c r="W642" t="s">
        <v>26009</v>
      </c>
    </row>
    <row r="643" spans="1:23" x14ac:dyDescent="0.35">
      <c r="A643">
        <v>269540</v>
      </c>
      <c r="B643" t="s">
        <v>10264</v>
      </c>
      <c r="C643" t="str">
        <f>"9781493301799"</f>
        <v>9781493301799</v>
      </c>
      <c r="D643" t="str">
        <f>"9780080454863"</f>
        <v>9780080454863</v>
      </c>
      <c r="E643" t="s">
        <v>27482</v>
      </c>
      <c r="F643" t="s">
        <v>7447</v>
      </c>
      <c r="G643" t="s">
        <v>28361</v>
      </c>
      <c r="H643" t="s">
        <v>26004</v>
      </c>
      <c r="I643" s="26">
        <v>38859</v>
      </c>
      <c r="J643">
        <v>2006</v>
      </c>
      <c r="K643" t="s">
        <v>946</v>
      </c>
      <c r="L643">
        <v>338</v>
      </c>
      <c r="M643" t="s">
        <v>28370</v>
      </c>
      <c r="N643">
        <v>1</v>
      </c>
      <c r="O643" t="s">
        <v>27484</v>
      </c>
      <c r="Q643" t="s">
        <v>28371</v>
      </c>
      <c r="R643" t="s">
        <v>28372</v>
      </c>
      <c r="S643" t="s">
        <v>28373</v>
      </c>
      <c r="T643" t="s">
        <v>30</v>
      </c>
      <c r="U643" t="s">
        <v>46</v>
      </c>
      <c r="W643" t="s">
        <v>26009</v>
      </c>
    </row>
    <row r="644" spans="1:23" x14ac:dyDescent="0.35">
      <c r="A644">
        <v>269640</v>
      </c>
      <c r="B644" t="s">
        <v>28374</v>
      </c>
      <c r="C644" t="str">
        <f>"9780080446752"</f>
        <v>9780080446752</v>
      </c>
      <c r="D644" t="str">
        <f>"9780080458243"</f>
        <v>9780080458243</v>
      </c>
      <c r="E644" t="s">
        <v>27482</v>
      </c>
      <c r="F644" t="s">
        <v>7447</v>
      </c>
      <c r="G644" t="s">
        <v>22689</v>
      </c>
      <c r="H644" t="s">
        <v>26011</v>
      </c>
      <c r="I644" s="26">
        <v>38819</v>
      </c>
      <c r="J644">
        <v>2006</v>
      </c>
      <c r="K644" t="s">
        <v>7447</v>
      </c>
      <c r="L644">
        <v>157</v>
      </c>
      <c r="M644" t="s">
        <v>28375</v>
      </c>
      <c r="N644">
        <v>1</v>
      </c>
      <c r="O644" t="s">
        <v>27484</v>
      </c>
      <c r="P644" t="s">
        <v>28376</v>
      </c>
      <c r="Q644" t="s">
        <v>28377</v>
      </c>
      <c r="R644" t="s">
        <v>28378</v>
      </c>
      <c r="S644" t="s">
        <v>28379</v>
      </c>
      <c r="T644" t="s">
        <v>30</v>
      </c>
      <c r="U644" t="s">
        <v>26019</v>
      </c>
      <c r="W644" t="s">
        <v>26009</v>
      </c>
    </row>
    <row r="645" spans="1:23" x14ac:dyDescent="0.35">
      <c r="A645">
        <v>269699</v>
      </c>
      <c r="B645" t="s">
        <v>28380</v>
      </c>
      <c r="C645" t="str">
        <f>"9780080446516"</f>
        <v>9780080446516</v>
      </c>
      <c r="D645" t="str">
        <f>"9780080459776"</f>
        <v>9780080459776</v>
      </c>
      <c r="E645" t="s">
        <v>27482</v>
      </c>
      <c r="F645" t="s">
        <v>7447</v>
      </c>
      <c r="G645" t="s">
        <v>22689</v>
      </c>
      <c r="H645" t="s">
        <v>26011</v>
      </c>
      <c r="I645" s="26">
        <v>38533</v>
      </c>
      <c r="J645">
        <v>2005</v>
      </c>
      <c r="K645" t="s">
        <v>7447</v>
      </c>
      <c r="L645">
        <v>375</v>
      </c>
      <c r="M645" t="s">
        <v>28381</v>
      </c>
      <c r="N645">
        <v>1</v>
      </c>
      <c r="O645" t="s">
        <v>27484</v>
      </c>
      <c r="Q645" t="s">
        <v>28382</v>
      </c>
      <c r="S645" t="s">
        <v>28383</v>
      </c>
      <c r="T645" t="s">
        <v>30</v>
      </c>
      <c r="U645" t="s">
        <v>28384</v>
      </c>
      <c r="W645" t="s">
        <v>26009</v>
      </c>
    </row>
    <row r="646" spans="1:23" x14ac:dyDescent="0.35">
      <c r="A646">
        <v>269768</v>
      </c>
      <c r="B646" t="s">
        <v>10058</v>
      </c>
      <c r="C646" t="str">
        <f>"9780080447148"</f>
        <v>9780080447148</v>
      </c>
      <c r="D646" t="str">
        <f>"9780080461182"</f>
        <v>9780080461182</v>
      </c>
      <c r="E646" t="s">
        <v>27482</v>
      </c>
      <c r="F646" t="s">
        <v>7447</v>
      </c>
      <c r="G646" t="s">
        <v>22689</v>
      </c>
      <c r="H646" t="s">
        <v>27983</v>
      </c>
      <c r="I646" s="26">
        <v>38645</v>
      </c>
      <c r="J646">
        <v>2005</v>
      </c>
      <c r="K646" t="s">
        <v>7447</v>
      </c>
      <c r="L646">
        <v>209</v>
      </c>
      <c r="M646" t="s">
        <v>28385</v>
      </c>
      <c r="N646">
        <v>1</v>
      </c>
      <c r="O646" t="s">
        <v>27484</v>
      </c>
      <c r="Q646" t="s">
        <v>28386</v>
      </c>
      <c r="R646">
        <v>616.85226999999998</v>
      </c>
      <c r="S646" t="s">
        <v>10059</v>
      </c>
      <c r="T646" t="s">
        <v>30</v>
      </c>
      <c r="U646" t="s">
        <v>26019</v>
      </c>
      <c r="W646" t="s">
        <v>26009</v>
      </c>
    </row>
    <row r="647" spans="1:23" x14ac:dyDescent="0.35">
      <c r="A647">
        <v>269804</v>
      </c>
      <c r="B647" t="s">
        <v>28387</v>
      </c>
      <c r="C647" t="str">
        <f>"9781493300815"</f>
        <v>9781493300815</v>
      </c>
      <c r="D647" t="str">
        <f>"9780080462578"</f>
        <v>9780080462578</v>
      </c>
      <c r="E647" t="s">
        <v>27482</v>
      </c>
      <c r="F647" t="s">
        <v>7447</v>
      </c>
      <c r="G647" t="s">
        <v>28361</v>
      </c>
      <c r="H647" t="s">
        <v>26004</v>
      </c>
      <c r="I647" s="26">
        <v>38875</v>
      </c>
      <c r="J647">
        <v>2006</v>
      </c>
      <c r="K647" t="s">
        <v>946</v>
      </c>
      <c r="L647">
        <v>187</v>
      </c>
      <c r="M647" t="s">
        <v>28388</v>
      </c>
      <c r="N647">
        <v>1</v>
      </c>
      <c r="Q647" t="s">
        <v>28389</v>
      </c>
      <c r="R647" t="s">
        <v>28390</v>
      </c>
      <c r="S647" t="s">
        <v>28391</v>
      </c>
      <c r="T647" t="s">
        <v>30</v>
      </c>
      <c r="U647" t="s">
        <v>26044</v>
      </c>
      <c r="W647" t="s">
        <v>26009</v>
      </c>
    </row>
    <row r="648" spans="1:23" x14ac:dyDescent="0.35">
      <c r="A648">
        <v>270070</v>
      </c>
      <c r="B648" t="s">
        <v>8586</v>
      </c>
      <c r="C648" t="str">
        <f>"9780080446127"</f>
        <v>9780080446127</v>
      </c>
      <c r="D648" t="str">
        <f>"9780080457413"</f>
        <v>9780080457413</v>
      </c>
      <c r="E648" t="s">
        <v>27482</v>
      </c>
      <c r="F648" t="s">
        <v>7447</v>
      </c>
      <c r="G648" t="s">
        <v>22689</v>
      </c>
      <c r="H648" t="s">
        <v>26011</v>
      </c>
      <c r="I648" s="26">
        <v>38650</v>
      </c>
      <c r="J648">
        <v>2005</v>
      </c>
      <c r="K648" t="s">
        <v>7447</v>
      </c>
      <c r="L648">
        <v>1136</v>
      </c>
      <c r="M648" t="s">
        <v>28392</v>
      </c>
      <c r="N648">
        <v>1</v>
      </c>
      <c r="Q648" t="s">
        <v>28393</v>
      </c>
      <c r="R648">
        <v>160</v>
      </c>
      <c r="S648" t="s">
        <v>8587</v>
      </c>
      <c r="T648" t="s">
        <v>30</v>
      </c>
      <c r="U648" t="s">
        <v>26679</v>
      </c>
      <c r="W648" t="s">
        <v>26009</v>
      </c>
    </row>
    <row r="649" spans="1:23" x14ac:dyDescent="0.35">
      <c r="A649">
        <v>270130</v>
      </c>
      <c r="B649" t="s">
        <v>7903</v>
      </c>
      <c r="C649" t="str">
        <f>"9780120885664"</f>
        <v>9780120885664</v>
      </c>
      <c r="D649" t="str">
        <f>"9780080458267"</f>
        <v>9780080458267</v>
      </c>
      <c r="E649" t="s">
        <v>27482</v>
      </c>
      <c r="F649" t="s">
        <v>7447</v>
      </c>
      <c r="G649" t="s">
        <v>22689</v>
      </c>
      <c r="H649" t="s">
        <v>26011</v>
      </c>
      <c r="I649" s="26">
        <v>38580</v>
      </c>
      <c r="J649">
        <v>2005</v>
      </c>
      <c r="K649" t="s">
        <v>946</v>
      </c>
      <c r="L649">
        <v>325</v>
      </c>
      <c r="M649" t="s">
        <v>28394</v>
      </c>
      <c r="N649">
        <v>1</v>
      </c>
      <c r="Q649" t="s">
        <v>28395</v>
      </c>
      <c r="R649">
        <v>6.3</v>
      </c>
      <c r="S649" t="s">
        <v>28396</v>
      </c>
      <c r="T649" t="s">
        <v>30</v>
      </c>
      <c r="U649" t="s">
        <v>28397</v>
      </c>
      <c r="W649" t="s">
        <v>26009</v>
      </c>
    </row>
    <row r="650" spans="1:23" x14ac:dyDescent="0.35">
      <c r="A650">
        <v>270175</v>
      </c>
      <c r="B650" t="s">
        <v>28398</v>
      </c>
      <c r="C650" t="str">
        <f>"9780444520791"</f>
        <v>9780444520791</v>
      </c>
      <c r="D650" t="str">
        <f>"9780080459011"</f>
        <v>9780080459011</v>
      </c>
      <c r="E650" t="s">
        <v>27482</v>
      </c>
      <c r="F650" t="s">
        <v>7447</v>
      </c>
      <c r="G650" t="s">
        <v>22222</v>
      </c>
      <c r="H650" t="s">
        <v>27983</v>
      </c>
      <c r="I650" s="26">
        <v>38728</v>
      </c>
      <c r="J650">
        <v>2006</v>
      </c>
      <c r="K650" t="s">
        <v>28399</v>
      </c>
      <c r="L650">
        <v>286</v>
      </c>
      <c r="M650" t="s">
        <v>28400</v>
      </c>
      <c r="N650">
        <v>1</v>
      </c>
      <c r="O650" t="s">
        <v>27484</v>
      </c>
      <c r="P650" t="s">
        <v>28401</v>
      </c>
      <c r="Q650" t="s">
        <v>28402</v>
      </c>
      <c r="R650">
        <v>153</v>
      </c>
      <c r="S650" t="s">
        <v>8036</v>
      </c>
      <c r="T650" t="s">
        <v>30</v>
      </c>
      <c r="U650" t="s">
        <v>46</v>
      </c>
      <c r="W650" t="s">
        <v>26009</v>
      </c>
    </row>
    <row r="651" spans="1:23" x14ac:dyDescent="0.35">
      <c r="A651">
        <v>270851</v>
      </c>
      <c r="B651" t="s">
        <v>28403</v>
      </c>
      <c r="C651" t="str">
        <f>"9780195096279"</f>
        <v>9780195096279</v>
      </c>
      <c r="D651" t="str">
        <f>"9780198025634"</f>
        <v>9780198025634</v>
      </c>
      <c r="E651" t="s">
        <v>371</v>
      </c>
      <c r="F651" t="s">
        <v>31</v>
      </c>
      <c r="G651" t="s">
        <v>22703</v>
      </c>
      <c r="H651" t="s">
        <v>26004</v>
      </c>
      <c r="I651" s="26">
        <v>35404</v>
      </c>
      <c r="J651">
        <v>1996</v>
      </c>
      <c r="K651" t="s">
        <v>31</v>
      </c>
      <c r="L651">
        <v>282</v>
      </c>
      <c r="M651" t="s">
        <v>28404</v>
      </c>
      <c r="Q651" t="s">
        <v>28405</v>
      </c>
      <c r="R651" t="s">
        <v>28406</v>
      </c>
      <c r="S651" t="s">
        <v>28407</v>
      </c>
      <c r="T651" t="s">
        <v>30</v>
      </c>
      <c r="U651" t="s">
        <v>26057</v>
      </c>
      <c r="W651" t="s">
        <v>26009</v>
      </c>
    </row>
    <row r="652" spans="1:23" x14ac:dyDescent="0.35">
      <c r="A652">
        <v>270862</v>
      </c>
      <c r="B652" t="s">
        <v>8708</v>
      </c>
      <c r="C652" t="str">
        <f>"9780195176681"</f>
        <v>9780195176681</v>
      </c>
      <c r="D652" t="str">
        <f>"9780198039235"</f>
        <v>9780198039235</v>
      </c>
      <c r="E652" t="s">
        <v>371</v>
      </c>
      <c r="F652" t="s">
        <v>31</v>
      </c>
      <c r="G652" t="s">
        <v>22703</v>
      </c>
      <c r="H652" t="s">
        <v>26004</v>
      </c>
      <c r="I652" s="26">
        <v>38400</v>
      </c>
      <c r="J652">
        <v>2005</v>
      </c>
      <c r="K652" t="s">
        <v>31</v>
      </c>
      <c r="L652">
        <v>351</v>
      </c>
      <c r="M652" t="s">
        <v>28408</v>
      </c>
      <c r="Q652" t="s">
        <v>28409</v>
      </c>
      <c r="R652">
        <v>616.89003000000002</v>
      </c>
      <c r="S652" t="s">
        <v>8709</v>
      </c>
      <c r="T652" t="s">
        <v>30</v>
      </c>
      <c r="U652" t="s">
        <v>26019</v>
      </c>
      <c r="W652" t="s">
        <v>26009</v>
      </c>
    </row>
    <row r="653" spans="1:23" x14ac:dyDescent="0.35">
      <c r="A653">
        <v>270875</v>
      </c>
      <c r="B653" t="s">
        <v>28410</v>
      </c>
      <c r="C653" t="str">
        <f>"9780195176797"</f>
        <v>9780195176797</v>
      </c>
      <c r="D653" t="str">
        <f>"9780198039273"</f>
        <v>9780198039273</v>
      </c>
      <c r="E653" t="s">
        <v>371</v>
      </c>
      <c r="F653" t="s">
        <v>31</v>
      </c>
      <c r="G653" t="s">
        <v>22703</v>
      </c>
      <c r="H653" t="s">
        <v>26004</v>
      </c>
      <c r="I653" s="26">
        <v>38827</v>
      </c>
      <c r="J653">
        <v>2006</v>
      </c>
      <c r="K653" t="s">
        <v>31</v>
      </c>
      <c r="L653">
        <v>525</v>
      </c>
      <c r="M653" t="s">
        <v>28411</v>
      </c>
      <c r="O653" t="s">
        <v>28412</v>
      </c>
      <c r="Q653" t="s">
        <v>28413</v>
      </c>
      <c r="R653" t="s">
        <v>26416</v>
      </c>
      <c r="S653" t="s">
        <v>8981</v>
      </c>
      <c r="T653" t="s">
        <v>30</v>
      </c>
      <c r="U653" t="s">
        <v>46</v>
      </c>
      <c r="W653" t="s">
        <v>26009</v>
      </c>
    </row>
    <row r="654" spans="1:23" x14ac:dyDescent="0.35">
      <c r="A654">
        <v>270929</v>
      </c>
      <c r="B654" t="s">
        <v>7467</v>
      </c>
      <c r="C654" t="str">
        <f>"9780195121926"</f>
        <v>9780195121926</v>
      </c>
      <c r="D654" t="str">
        <f>"9780198028444"</f>
        <v>9780198028444</v>
      </c>
      <c r="E654" t="s">
        <v>371</v>
      </c>
      <c r="F654" t="s">
        <v>31</v>
      </c>
      <c r="G654" t="s">
        <v>22703</v>
      </c>
      <c r="H654" t="s">
        <v>26004</v>
      </c>
      <c r="I654" s="26">
        <v>36027</v>
      </c>
      <c r="J654">
        <v>1998</v>
      </c>
      <c r="K654" t="s">
        <v>31</v>
      </c>
      <c r="L654">
        <v>584</v>
      </c>
      <c r="M654" t="s">
        <v>28414</v>
      </c>
      <c r="Q654" t="s">
        <v>28415</v>
      </c>
      <c r="R654" t="s">
        <v>28416</v>
      </c>
      <c r="S654" t="s">
        <v>28417</v>
      </c>
      <c r="T654" t="s">
        <v>30</v>
      </c>
      <c r="U654" t="s">
        <v>26019</v>
      </c>
      <c r="W654" t="s">
        <v>26009</v>
      </c>
    </row>
    <row r="655" spans="1:23" x14ac:dyDescent="0.35">
      <c r="A655">
        <v>270952</v>
      </c>
      <c r="B655" t="s">
        <v>7501</v>
      </c>
      <c r="C655" t="str">
        <f>"9780195107807"</f>
        <v>9780195107807</v>
      </c>
      <c r="D655" t="str">
        <f>"9780195355369"</f>
        <v>9780195355369</v>
      </c>
      <c r="E655" t="s">
        <v>371</v>
      </c>
      <c r="F655" t="s">
        <v>31</v>
      </c>
      <c r="G655" t="s">
        <v>22179</v>
      </c>
      <c r="H655" t="s">
        <v>26004</v>
      </c>
      <c r="I655" s="26">
        <v>35908</v>
      </c>
      <c r="J655">
        <v>1998</v>
      </c>
      <c r="K655" t="s">
        <v>31</v>
      </c>
      <c r="L655">
        <v>225</v>
      </c>
      <c r="M655" t="s">
        <v>28418</v>
      </c>
      <c r="Q655" t="s">
        <v>28419</v>
      </c>
      <c r="R655" t="s">
        <v>27122</v>
      </c>
      <c r="S655" t="s">
        <v>7502</v>
      </c>
      <c r="T655" t="s">
        <v>30</v>
      </c>
      <c r="U655" t="s">
        <v>26019</v>
      </c>
      <c r="W655" t="s">
        <v>26009</v>
      </c>
    </row>
    <row r="656" spans="1:23" x14ac:dyDescent="0.35">
      <c r="A656">
        <v>271003</v>
      </c>
      <c r="B656" t="s">
        <v>7536</v>
      </c>
      <c r="C656" t="str">
        <f>"9780195133585"</f>
        <v>9780195133585</v>
      </c>
      <c r="D656" t="str">
        <f>"9780195350869"</f>
        <v>9780195350869</v>
      </c>
      <c r="E656" t="s">
        <v>371</v>
      </c>
      <c r="F656" t="s">
        <v>31</v>
      </c>
      <c r="G656" t="s">
        <v>22179</v>
      </c>
      <c r="H656" t="s">
        <v>26004</v>
      </c>
      <c r="I656" s="26">
        <v>36748</v>
      </c>
      <c r="J656">
        <v>2000</v>
      </c>
      <c r="K656" t="s">
        <v>31</v>
      </c>
      <c r="L656">
        <v>306</v>
      </c>
      <c r="M656" t="s">
        <v>28420</v>
      </c>
      <c r="O656" t="s">
        <v>27886</v>
      </c>
      <c r="Q656" t="s">
        <v>28421</v>
      </c>
      <c r="R656" t="s">
        <v>27848</v>
      </c>
      <c r="S656" t="s">
        <v>28422</v>
      </c>
      <c r="T656" t="s">
        <v>30</v>
      </c>
      <c r="U656" t="s">
        <v>26116</v>
      </c>
      <c r="W656" t="s">
        <v>26009</v>
      </c>
    </row>
    <row r="657" spans="1:23" x14ac:dyDescent="0.35">
      <c r="A657">
        <v>271035</v>
      </c>
      <c r="B657" t="s">
        <v>7631</v>
      </c>
      <c r="C657" t="str">
        <f>"9780195172737"</f>
        <v>9780195172737</v>
      </c>
      <c r="D657" t="str">
        <f>"9780195346718"</f>
        <v>9780195346718</v>
      </c>
      <c r="E657" t="s">
        <v>371</v>
      </c>
      <c r="F657" t="s">
        <v>31</v>
      </c>
      <c r="G657" t="s">
        <v>22703</v>
      </c>
      <c r="H657" t="s">
        <v>26004</v>
      </c>
      <c r="I657" s="26">
        <v>38043</v>
      </c>
      <c r="J657">
        <v>2004</v>
      </c>
      <c r="K657" t="s">
        <v>31</v>
      </c>
      <c r="L657">
        <v>200</v>
      </c>
      <c r="M657" t="s">
        <v>28423</v>
      </c>
      <c r="Q657" t="s">
        <v>28424</v>
      </c>
      <c r="R657" t="s">
        <v>28425</v>
      </c>
      <c r="S657" t="s">
        <v>28426</v>
      </c>
      <c r="T657" t="s">
        <v>30</v>
      </c>
      <c r="U657" t="s">
        <v>26116</v>
      </c>
      <c r="W657" t="s">
        <v>28427</v>
      </c>
    </row>
    <row r="658" spans="1:23" x14ac:dyDescent="0.35">
      <c r="A658">
        <v>271037</v>
      </c>
      <c r="B658" t="s">
        <v>28428</v>
      </c>
      <c r="C658" t="str">
        <f>"9780195171556"</f>
        <v>9780195171556</v>
      </c>
      <c r="D658" t="str">
        <f>"9780199728626"</f>
        <v>9780199728626</v>
      </c>
      <c r="E658" t="s">
        <v>371</v>
      </c>
      <c r="F658" t="s">
        <v>31</v>
      </c>
      <c r="G658" t="s">
        <v>22703</v>
      </c>
      <c r="H658" t="s">
        <v>26004</v>
      </c>
      <c r="I658" s="26">
        <v>38113</v>
      </c>
      <c r="J658">
        <v>2004</v>
      </c>
      <c r="K658" t="s">
        <v>31</v>
      </c>
      <c r="L658">
        <v>455</v>
      </c>
      <c r="M658" t="s">
        <v>28429</v>
      </c>
      <c r="Q658" t="s">
        <v>28430</v>
      </c>
      <c r="R658">
        <v>155.4</v>
      </c>
      <c r="S658" t="s">
        <v>28431</v>
      </c>
      <c r="T658" t="s">
        <v>30</v>
      </c>
      <c r="U658" t="s">
        <v>26170</v>
      </c>
      <c r="W658" t="s">
        <v>26009</v>
      </c>
    </row>
    <row r="659" spans="1:23" x14ac:dyDescent="0.35">
      <c r="A659">
        <v>271041</v>
      </c>
      <c r="B659" t="s">
        <v>28432</v>
      </c>
      <c r="C659" t="str">
        <f>"9780195121131"</f>
        <v>9780195121131</v>
      </c>
      <c r="D659" t="str">
        <f>"9780198028314"</f>
        <v>9780198028314</v>
      </c>
      <c r="E659" t="s">
        <v>371</v>
      </c>
      <c r="F659" t="s">
        <v>31</v>
      </c>
      <c r="G659" t="s">
        <v>22703</v>
      </c>
      <c r="H659" t="s">
        <v>26004</v>
      </c>
      <c r="I659" s="26">
        <v>36244</v>
      </c>
      <c r="J659">
        <v>1999</v>
      </c>
      <c r="K659" t="s">
        <v>31</v>
      </c>
      <c r="L659">
        <v>257</v>
      </c>
      <c r="M659" t="s">
        <v>28433</v>
      </c>
      <c r="Q659" t="s">
        <v>28434</v>
      </c>
      <c r="R659" t="s">
        <v>26957</v>
      </c>
      <c r="S659" t="s">
        <v>28435</v>
      </c>
      <c r="T659" t="s">
        <v>30</v>
      </c>
      <c r="U659" t="s">
        <v>26019</v>
      </c>
      <c r="W659" t="s">
        <v>26009</v>
      </c>
    </row>
    <row r="660" spans="1:23" x14ac:dyDescent="0.35">
      <c r="A660">
        <v>271053</v>
      </c>
      <c r="B660" t="s">
        <v>28436</v>
      </c>
      <c r="C660" t="str">
        <f>"9780195173796"</f>
        <v>9780195173796</v>
      </c>
      <c r="D660" t="str">
        <f>"9780198038740"</f>
        <v>9780198038740</v>
      </c>
      <c r="E660" t="s">
        <v>371</v>
      </c>
      <c r="F660" t="s">
        <v>31</v>
      </c>
      <c r="G660" t="s">
        <v>22179</v>
      </c>
      <c r="H660" t="s">
        <v>26004</v>
      </c>
      <c r="I660" s="26">
        <v>38750</v>
      </c>
      <c r="J660">
        <v>2005</v>
      </c>
      <c r="K660" t="s">
        <v>31</v>
      </c>
      <c r="L660">
        <v>337</v>
      </c>
      <c r="M660" t="s">
        <v>28437</v>
      </c>
      <c r="Q660" t="s">
        <v>28438</v>
      </c>
      <c r="R660" t="s">
        <v>28439</v>
      </c>
      <c r="S660" t="s">
        <v>7640</v>
      </c>
      <c r="T660" t="s">
        <v>30</v>
      </c>
      <c r="U660" t="s">
        <v>26250</v>
      </c>
      <c r="W660" t="s">
        <v>26009</v>
      </c>
    </row>
    <row r="661" spans="1:23" x14ac:dyDescent="0.35">
      <c r="A661">
        <v>271105</v>
      </c>
      <c r="B661" t="s">
        <v>28440</v>
      </c>
      <c r="C661" t="str">
        <f>"9780195054965"</f>
        <v>9780195054965</v>
      </c>
      <c r="D661" t="str">
        <f>"9780198022176"</f>
        <v>9780198022176</v>
      </c>
      <c r="E661" t="s">
        <v>371</v>
      </c>
      <c r="F661" t="s">
        <v>399</v>
      </c>
      <c r="G661" t="s">
        <v>22703</v>
      </c>
      <c r="H661" t="s">
        <v>26004</v>
      </c>
      <c r="I661" s="26">
        <v>33038</v>
      </c>
      <c r="J661">
        <v>1990</v>
      </c>
      <c r="K661" t="s">
        <v>27857</v>
      </c>
      <c r="L661">
        <v>428</v>
      </c>
      <c r="M661" t="s">
        <v>28441</v>
      </c>
      <c r="Q661" t="s">
        <v>28442</v>
      </c>
      <c r="R661" t="s">
        <v>28443</v>
      </c>
      <c r="S661" t="s">
        <v>28444</v>
      </c>
      <c r="T661" t="s">
        <v>30</v>
      </c>
      <c r="U661" t="s">
        <v>28445</v>
      </c>
      <c r="W661" t="s">
        <v>26009</v>
      </c>
    </row>
    <row r="662" spans="1:23" x14ac:dyDescent="0.35">
      <c r="A662">
        <v>271107</v>
      </c>
      <c r="B662" t="s">
        <v>28446</v>
      </c>
      <c r="C662" t="str">
        <f>"9780195308419"</f>
        <v>9780195308419</v>
      </c>
      <c r="D662" t="str">
        <f>"9780199727186"</f>
        <v>9780199727186</v>
      </c>
      <c r="E662" t="s">
        <v>371</v>
      </c>
      <c r="F662" t="s">
        <v>399</v>
      </c>
      <c r="G662" t="s">
        <v>22179</v>
      </c>
      <c r="H662" t="s">
        <v>26004</v>
      </c>
      <c r="I662" s="26">
        <v>38718</v>
      </c>
      <c r="J662">
        <v>2006</v>
      </c>
      <c r="K662" t="s">
        <v>27857</v>
      </c>
      <c r="L662">
        <v>239</v>
      </c>
      <c r="M662" t="s">
        <v>28447</v>
      </c>
      <c r="Q662" t="s">
        <v>28448</v>
      </c>
      <c r="R662">
        <v>60.42</v>
      </c>
      <c r="S662" t="s">
        <v>7721</v>
      </c>
      <c r="T662" t="s">
        <v>30</v>
      </c>
      <c r="U662" t="s">
        <v>28449</v>
      </c>
      <c r="W662" t="s">
        <v>26009</v>
      </c>
    </row>
    <row r="663" spans="1:23" x14ac:dyDescent="0.35">
      <c r="A663">
        <v>271130</v>
      </c>
      <c r="B663" t="s">
        <v>28450</v>
      </c>
      <c r="C663" t="str">
        <f>"9780195067996"</f>
        <v>9780195067996</v>
      </c>
      <c r="D663" t="str">
        <f>"9780195361803"</f>
        <v>9780195361803</v>
      </c>
      <c r="E663" t="s">
        <v>371</v>
      </c>
      <c r="F663" t="s">
        <v>31</v>
      </c>
      <c r="G663" t="s">
        <v>22179</v>
      </c>
      <c r="H663" t="s">
        <v>26004</v>
      </c>
      <c r="I663" s="26">
        <v>33535</v>
      </c>
      <c r="J663">
        <v>1991</v>
      </c>
      <c r="K663" t="s">
        <v>31</v>
      </c>
      <c r="L663">
        <v>284</v>
      </c>
      <c r="M663" t="s">
        <v>28451</v>
      </c>
      <c r="Q663" t="s">
        <v>28452</v>
      </c>
      <c r="R663" t="s">
        <v>28453</v>
      </c>
      <c r="S663" t="s">
        <v>28454</v>
      </c>
      <c r="T663" t="s">
        <v>30</v>
      </c>
      <c r="U663" t="s">
        <v>152</v>
      </c>
      <c r="W663" t="s">
        <v>26009</v>
      </c>
    </row>
    <row r="664" spans="1:23" x14ac:dyDescent="0.35">
      <c r="A664">
        <v>271165</v>
      </c>
      <c r="B664" t="s">
        <v>28455</v>
      </c>
      <c r="C664" t="str">
        <f>"9780195044140"</f>
        <v>9780195044140</v>
      </c>
      <c r="D664" t="str">
        <f>"9780198021339"</f>
        <v>9780198021339</v>
      </c>
      <c r="E664" t="s">
        <v>371</v>
      </c>
      <c r="F664" t="s">
        <v>31</v>
      </c>
      <c r="G664" t="s">
        <v>22703</v>
      </c>
      <c r="H664" t="s">
        <v>26004</v>
      </c>
      <c r="I664" s="26">
        <v>34361</v>
      </c>
      <c r="J664">
        <v>1999</v>
      </c>
      <c r="K664" t="s">
        <v>31</v>
      </c>
      <c r="L664">
        <v>328</v>
      </c>
      <c r="M664" t="s">
        <v>28456</v>
      </c>
      <c r="Q664" t="s">
        <v>28457</v>
      </c>
      <c r="R664" t="s">
        <v>26603</v>
      </c>
      <c r="S664" t="s">
        <v>28458</v>
      </c>
      <c r="T664" t="s">
        <v>30</v>
      </c>
      <c r="U664" t="s">
        <v>46</v>
      </c>
      <c r="W664" t="s">
        <v>26009</v>
      </c>
    </row>
    <row r="665" spans="1:23" x14ac:dyDescent="0.35">
      <c r="A665">
        <v>271199</v>
      </c>
      <c r="B665" t="s">
        <v>7898</v>
      </c>
      <c r="C665" t="str">
        <f>"9780195118889"</f>
        <v>9780195118889</v>
      </c>
      <c r="D665" t="str">
        <f>"9780195344264"</f>
        <v>9780195344264</v>
      </c>
      <c r="E665" t="s">
        <v>371</v>
      </c>
      <c r="F665" t="s">
        <v>31</v>
      </c>
      <c r="G665" t="s">
        <v>22703</v>
      </c>
      <c r="H665" t="s">
        <v>26004</v>
      </c>
      <c r="I665" s="26">
        <v>37350</v>
      </c>
      <c r="J665">
        <v>2000</v>
      </c>
      <c r="K665" t="s">
        <v>31</v>
      </c>
      <c r="L665">
        <v>446</v>
      </c>
      <c r="M665" t="s">
        <v>28459</v>
      </c>
      <c r="O665" t="s">
        <v>27886</v>
      </c>
      <c r="Q665" t="s">
        <v>28460</v>
      </c>
      <c r="R665">
        <v>152.4</v>
      </c>
      <c r="S665" t="s">
        <v>28461</v>
      </c>
      <c r="T665" t="s">
        <v>30</v>
      </c>
      <c r="U665" t="s">
        <v>46</v>
      </c>
      <c r="W665" t="s">
        <v>26009</v>
      </c>
    </row>
    <row r="666" spans="1:23" x14ac:dyDescent="0.35">
      <c r="A666">
        <v>271225</v>
      </c>
      <c r="B666" t="s">
        <v>28462</v>
      </c>
      <c r="C666" t="str">
        <f>"9780195179637"</f>
        <v>9780195179637</v>
      </c>
      <c r="D666" t="str">
        <f>"9780195346275"</f>
        <v>9780195346275</v>
      </c>
      <c r="E666" t="s">
        <v>371</v>
      </c>
      <c r="F666" t="s">
        <v>31</v>
      </c>
      <c r="G666" t="s">
        <v>22179</v>
      </c>
      <c r="H666" t="s">
        <v>26004</v>
      </c>
      <c r="I666" s="26">
        <v>38904</v>
      </c>
      <c r="J666">
        <v>2006</v>
      </c>
      <c r="K666" t="s">
        <v>31</v>
      </c>
      <c r="L666">
        <v>341</v>
      </c>
      <c r="M666" t="s">
        <v>28463</v>
      </c>
      <c r="O666" t="s">
        <v>28464</v>
      </c>
      <c r="Q666" t="s">
        <v>28465</v>
      </c>
      <c r="R666" t="s">
        <v>27449</v>
      </c>
      <c r="S666" t="s">
        <v>28466</v>
      </c>
      <c r="T666" t="s">
        <v>30</v>
      </c>
      <c r="U666" t="s">
        <v>26044</v>
      </c>
      <c r="W666" t="s">
        <v>26009</v>
      </c>
    </row>
    <row r="667" spans="1:23" x14ac:dyDescent="0.35">
      <c r="A667">
        <v>271238</v>
      </c>
      <c r="B667" t="s">
        <v>28467</v>
      </c>
      <c r="C667" t="str">
        <f>"9780195076653"</f>
        <v>9780195076653</v>
      </c>
      <c r="D667" t="str">
        <f>"9780195360356"</f>
        <v>9780195360356</v>
      </c>
      <c r="E667" t="s">
        <v>371</v>
      </c>
      <c r="F667" t="s">
        <v>31</v>
      </c>
      <c r="G667" t="s">
        <v>22703</v>
      </c>
      <c r="H667" t="s">
        <v>26004</v>
      </c>
      <c r="I667" s="26">
        <v>33836</v>
      </c>
      <c r="J667">
        <v>1992</v>
      </c>
      <c r="K667" t="s">
        <v>31</v>
      </c>
      <c r="L667">
        <v>331</v>
      </c>
      <c r="M667" t="s">
        <v>28468</v>
      </c>
      <c r="O667" t="s">
        <v>28469</v>
      </c>
      <c r="P667" t="s">
        <v>28470</v>
      </c>
      <c r="Q667" t="s">
        <v>28471</v>
      </c>
      <c r="R667">
        <v>153</v>
      </c>
      <c r="S667" t="s">
        <v>28472</v>
      </c>
      <c r="T667" t="s">
        <v>30</v>
      </c>
      <c r="U667" t="s">
        <v>46</v>
      </c>
      <c r="W667" t="s">
        <v>26009</v>
      </c>
    </row>
    <row r="668" spans="1:23" x14ac:dyDescent="0.35">
      <c r="A668">
        <v>271255</v>
      </c>
      <c r="B668" t="s">
        <v>7983</v>
      </c>
      <c r="C668" t="str">
        <f>"9780195173024"</f>
        <v>9780195173024</v>
      </c>
      <c r="D668" t="str">
        <f>"9780195346688"</f>
        <v>9780195346688</v>
      </c>
      <c r="E668" t="s">
        <v>371</v>
      </c>
      <c r="F668" t="s">
        <v>31</v>
      </c>
      <c r="G668" t="s">
        <v>22703</v>
      </c>
      <c r="H668" t="s">
        <v>26004</v>
      </c>
      <c r="I668" s="26">
        <v>38736</v>
      </c>
      <c r="J668">
        <v>2006</v>
      </c>
      <c r="K668" t="s">
        <v>31</v>
      </c>
      <c r="L668">
        <v>257</v>
      </c>
      <c r="M668" t="s">
        <v>28473</v>
      </c>
      <c r="Q668" t="s">
        <v>28474</v>
      </c>
      <c r="R668">
        <v>155.66999999999999</v>
      </c>
      <c r="S668" t="s">
        <v>28475</v>
      </c>
      <c r="T668" t="s">
        <v>30</v>
      </c>
      <c r="U668" t="s">
        <v>26170</v>
      </c>
      <c r="W668" t="s">
        <v>26009</v>
      </c>
    </row>
    <row r="669" spans="1:23" x14ac:dyDescent="0.35">
      <c r="A669">
        <v>271274</v>
      </c>
      <c r="B669" t="s">
        <v>28476</v>
      </c>
      <c r="C669" t="str">
        <f>"9780195095975"</f>
        <v>9780195095975</v>
      </c>
      <c r="D669" t="str">
        <f>"9780195352092"</f>
        <v>9780195352092</v>
      </c>
      <c r="E669" t="s">
        <v>371</v>
      </c>
      <c r="F669" t="s">
        <v>31</v>
      </c>
      <c r="G669" t="s">
        <v>22703</v>
      </c>
      <c r="H669" t="s">
        <v>26004</v>
      </c>
      <c r="I669" s="26">
        <v>35152</v>
      </c>
      <c r="J669">
        <v>1996</v>
      </c>
      <c r="K669" t="s">
        <v>31</v>
      </c>
      <c r="L669">
        <v>447</v>
      </c>
      <c r="M669" t="s">
        <v>28477</v>
      </c>
      <c r="Q669" t="s">
        <v>28478</v>
      </c>
      <c r="R669">
        <v>155.80000000000001</v>
      </c>
      <c r="S669" t="s">
        <v>28479</v>
      </c>
      <c r="T669" t="s">
        <v>30</v>
      </c>
      <c r="U669" t="s">
        <v>26228</v>
      </c>
      <c r="W669" t="s">
        <v>26009</v>
      </c>
    </row>
    <row r="670" spans="1:23" x14ac:dyDescent="0.35">
      <c r="A670">
        <v>271377</v>
      </c>
      <c r="B670" t="s">
        <v>28480</v>
      </c>
      <c r="C670" t="str">
        <f>"9780195189292"</f>
        <v>9780195189292</v>
      </c>
      <c r="D670" t="str">
        <f>"9780198040804"</f>
        <v>9780198040804</v>
      </c>
      <c r="E670" t="s">
        <v>371</v>
      </c>
      <c r="F670" t="s">
        <v>31</v>
      </c>
      <c r="G670" t="s">
        <v>22703</v>
      </c>
      <c r="H670" t="s">
        <v>26004</v>
      </c>
      <c r="I670" s="26">
        <v>38792</v>
      </c>
      <c r="J670">
        <v>2006</v>
      </c>
      <c r="K670" t="s">
        <v>31</v>
      </c>
      <c r="L670">
        <v>232</v>
      </c>
      <c r="M670" t="s">
        <v>28481</v>
      </c>
      <c r="O670" t="s">
        <v>28482</v>
      </c>
      <c r="Q670" t="s">
        <v>28483</v>
      </c>
      <c r="R670" t="s">
        <v>28439</v>
      </c>
      <c r="S670" t="s">
        <v>8259</v>
      </c>
      <c r="T670" t="s">
        <v>30</v>
      </c>
      <c r="U670" t="s">
        <v>28484</v>
      </c>
      <c r="W670" t="s">
        <v>26009</v>
      </c>
    </row>
    <row r="671" spans="1:23" x14ac:dyDescent="0.35">
      <c r="A671">
        <v>271379</v>
      </c>
      <c r="B671" t="s">
        <v>28485</v>
      </c>
      <c r="C671" t="str">
        <f>"9780195126631"</f>
        <v>9780195126631</v>
      </c>
      <c r="D671" t="str">
        <f>"9780195352085"</f>
        <v>9780195352085</v>
      </c>
      <c r="E671" t="s">
        <v>371</v>
      </c>
      <c r="F671" t="s">
        <v>31</v>
      </c>
      <c r="G671" t="s">
        <v>22179</v>
      </c>
      <c r="H671" t="s">
        <v>26004</v>
      </c>
      <c r="I671" s="26">
        <v>36097</v>
      </c>
      <c r="J671">
        <v>1996</v>
      </c>
      <c r="K671" t="s">
        <v>31</v>
      </c>
      <c r="L671">
        <v>289</v>
      </c>
      <c r="M671" t="s">
        <v>28486</v>
      </c>
      <c r="Q671" t="s">
        <v>28487</v>
      </c>
      <c r="R671" t="s">
        <v>26360</v>
      </c>
      <c r="S671" t="s">
        <v>7671</v>
      </c>
      <c r="T671" t="s">
        <v>30</v>
      </c>
      <c r="U671" t="s">
        <v>46</v>
      </c>
      <c r="W671" t="s">
        <v>26009</v>
      </c>
    </row>
    <row r="672" spans="1:23" x14ac:dyDescent="0.35">
      <c r="A672">
        <v>271394</v>
      </c>
      <c r="B672" t="s">
        <v>28488</v>
      </c>
      <c r="C672" t="str">
        <f>"9780195183801"</f>
        <v>9780195183801</v>
      </c>
      <c r="D672" t="str">
        <f>"9780199720224"</f>
        <v>9780199720224</v>
      </c>
      <c r="E672" t="s">
        <v>371</v>
      </c>
      <c r="F672" t="s">
        <v>399</v>
      </c>
      <c r="G672" t="s">
        <v>22703</v>
      </c>
      <c r="H672" t="s">
        <v>26004</v>
      </c>
      <c r="I672" s="26">
        <v>32982</v>
      </c>
      <c r="J672">
        <v>1997</v>
      </c>
      <c r="K672" t="s">
        <v>27857</v>
      </c>
      <c r="L672">
        <v>97</v>
      </c>
      <c r="M672" t="s">
        <v>28489</v>
      </c>
      <c r="Q672" t="s">
        <v>28490</v>
      </c>
      <c r="R672">
        <v>616.85830599999997</v>
      </c>
      <c r="S672" t="s">
        <v>28491</v>
      </c>
      <c r="T672" t="s">
        <v>30</v>
      </c>
      <c r="U672" t="s">
        <v>26019</v>
      </c>
      <c r="W672" t="s">
        <v>26009</v>
      </c>
    </row>
    <row r="673" spans="1:23" x14ac:dyDescent="0.35">
      <c r="A673">
        <v>271400</v>
      </c>
      <c r="B673" t="s">
        <v>28492</v>
      </c>
      <c r="C673" t="str">
        <f>"9780195062205"</f>
        <v>9780195062205</v>
      </c>
      <c r="D673" t="str">
        <f>"9781601297570"</f>
        <v>9781601297570</v>
      </c>
      <c r="E673" t="s">
        <v>371</v>
      </c>
      <c r="F673" t="s">
        <v>31</v>
      </c>
      <c r="G673" t="s">
        <v>22703</v>
      </c>
      <c r="H673" t="s">
        <v>26004</v>
      </c>
      <c r="I673" s="26">
        <v>33619</v>
      </c>
      <c r="J673">
        <v>1991</v>
      </c>
      <c r="K673" t="s">
        <v>31</v>
      </c>
      <c r="L673">
        <v>368</v>
      </c>
      <c r="M673" t="s">
        <v>28493</v>
      </c>
      <c r="Q673" t="s">
        <v>28494</v>
      </c>
      <c r="R673" t="s">
        <v>27725</v>
      </c>
      <c r="S673" t="s">
        <v>28495</v>
      </c>
      <c r="T673" t="s">
        <v>30</v>
      </c>
      <c r="U673" t="s">
        <v>46</v>
      </c>
      <c r="W673" t="s">
        <v>26009</v>
      </c>
    </row>
    <row r="674" spans="1:23" x14ac:dyDescent="0.35">
      <c r="A674">
        <v>271415</v>
      </c>
      <c r="B674" t="s">
        <v>8328</v>
      </c>
      <c r="C674" t="str">
        <f>"9780195044461"</f>
        <v>9780195044461</v>
      </c>
      <c r="D674" t="str">
        <f>"9780195364521"</f>
        <v>9780195364521</v>
      </c>
      <c r="E674" t="s">
        <v>371</v>
      </c>
      <c r="F674" t="s">
        <v>31</v>
      </c>
      <c r="G674" t="s">
        <v>22703</v>
      </c>
      <c r="H674" t="s">
        <v>26004</v>
      </c>
      <c r="I674" s="26">
        <v>32184</v>
      </c>
      <c r="J674">
        <v>1988</v>
      </c>
      <c r="K674" t="s">
        <v>31</v>
      </c>
      <c r="L674">
        <v>187</v>
      </c>
      <c r="M674" t="s">
        <v>28496</v>
      </c>
      <c r="Q674" t="s">
        <v>28497</v>
      </c>
      <c r="R674">
        <v>174.2</v>
      </c>
      <c r="S674" t="s">
        <v>28498</v>
      </c>
      <c r="T674" t="s">
        <v>30</v>
      </c>
      <c r="U674" t="s">
        <v>28499</v>
      </c>
      <c r="W674" t="s">
        <v>26009</v>
      </c>
    </row>
    <row r="675" spans="1:23" x14ac:dyDescent="0.35">
      <c r="A675">
        <v>271416</v>
      </c>
      <c r="B675" t="s">
        <v>28500</v>
      </c>
      <c r="C675" t="str">
        <f>"9780195171785"</f>
        <v>9780195171785</v>
      </c>
      <c r="D675" t="str">
        <f>"9780198038337"</f>
        <v>9780198038337</v>
      </c>
      <c r="E675" t="s">
        <v>371</v>
      </c>
      <c r="F675" t="s">
        <v>31</v>
      </c>
      <c r="G675" t="s">
        <v>22703</v>
      </c>
      <c r="H675" t="s">
        <v>26004</v>
      </c>
      <c r="I675" s="26">
        <v>38421</v>
      </c>
      <c r="J675">
        <v>2005</v>
      </c>
      <c r="K675" t="s">
        <v>31</v>
      </c>
      <c r="L675">
        <v>376</v>
      </c>
      <c r="M675" t="s">
        <v>28501</v>
      </c>
      <c r="Q675" t="s">
        <v>28502</v>
      </c>
      <c r="R675">
        <v>174.28</v>
      </c>
      <c r="S675" t="s">
        <v>28503</v>
      </c>
      <c r="T675" t="s">
        <v>30</v>
      </c>
      <c r="U675" t="s">
        <v>28504</v>
      </c>
      <c r="W675" t="s">
        <v>26009</v>
      </c>
    </row>
    <row r="676" spans="1:23" x14ac:dyDescent="0.35">
      <c r="A676">
        <v>271458</v>
      </c>
      <c r="B676" t="s">
        <v>28505</v>
      </c>
      <c r="C676" t="str">
        <f>"9780195039276"</f>
        <v>9780195039276</v>
      </c>
      <c r="D676" t="str">
        <f>"9780198020998"</f>
        <v>9780198020998</v>
      </c>
      <c r="E676" t="s">
        <v>371</v>
      </c>
      <c r="F676" t="s">
        <v>31</v>
      </c>
      <c r="G676" t="s">
        <v>22703</v>
      </c>
      <c r="H676" t="s">
        <v>26004</v>
      </c>
      <c r="I676" s="26">
        <v>31897</v>
      </c>
      <c r="J676">
        <v>1987</v>
      </c>
      <c r="K676" t="s">
        <v>31</v>
      </c>
      <c r="L676">
        <v>703</v>
      </c>
      <c r="M676" t="s">
        <v>28506</v>
      </c>
      <c r="Q676" t="s">
        <v>28507</v>
      </c>
      <c r="R676">
        <v>616.85</v>
      </c>
      <c r="S676" t="s">
        <v>28508</v>
      </c>
      <c r="T676" t="s">
        <v>30</v>
      </c>
      <c r="U676" t="s">
        <v>26019</v>
      </c>
      <c r="W676" t="s">
        <v>26009</v>
      </c>
    </row>
    <row r="677" spans="1:23" x14ac:dyDescent="0.35">
      <c r="A677">
        <v>271489</v>
      </c>
      <c r="B677" t="s">
        <v>28509</v>
      </c>
      <c r="C677" t="str">
        <f>"9780195305944"</f>
        <v>9780195305944</v>
      </c>
      <c r="D677" t="str">
        <f>"9780199724437"</f>
        <v>9780199724437</v>
      </c>
      <c r="E677" t="s">
        <v>371</v>
      </c>
      <c r="F677" t="s">
        <v>31</v>
      </c>
      <c r="G677" t="s">
        <v>22703</v>
      </c>
      <c r="H677" t="s">
        <v>26004</v>
      </c>
      <c r="I677" s="26">
        <v>38750</v>
      </c>
      <c r="J677">
        <v>2006</v>
      </c>
      <c r="K677" t="s">
        <v>31</v>
      </c>
      <c r="L677">
        <v>459</v>
      </c>
      <c r="M677" t="s">
        <v>28510</v>
      </c>
      <c r="Q677" t="s">
        <v>28511</v>
      </c>
      <c r="R677">
        <v>720.92</v>
      </c>
      <c r="S677" t="s">
        <v>28512</v>
      </c>
      <c r="T677" t="s">
        <v>30</v>
      </c>
      <c r="U677" t="s">
        <v>28513</v>
      </c>
      <c r="W677" t="s">
        <v>26009</v>
      </c>
    </row>
    <row r="678" spans="1:23" x14ac:dyDescent="0.35">
      <c r="A678">
        <v>271491</v>
      </c>
      <c r="B678" t="s">
        <v>28514</v>
      </c>
      <c r="C678" t="str">
        <f>"9780195171358"</f>
        <v>9780195171358</v>
      </c>
      <c r="D678" t="str">
        <f>"9780198038276"</f>
        <v>9780198038276</v>
      </c>
      <c r="E678" t="s">
        <v>371</v>
      </c>
      <c r="F678" t="s">
        <v>31</v>
      </c>
      <c r="G678" t="s">
        <v>22703</v>
      </c>
      <c r="H678" t="s">
        <v>26004</v>
      </c>
      <c r="I678" s="26">
        <v>38400</v>
      </c>
      <c r="J678">
        <v>2005</v>
      </c>
      <c r="K678" t="s">
        <v>31</v>
      </c>
      <c r="L678">
        <v>414</v>
      </c>
      <c r="M678" t="s">
        <v>28515</v>
      </c>
      <c r="N678">
        <v>2</v>
      </c>
      <c r="Q678" t="s">
        <v>28516</v>
      </c>
      <c r="R678">
        <v>616.89</v>
      </c>
      <c r="S678" t="s">
        <v>8449</v>
      </c>
      <c r="T678" t="s">
        <v>30</v>
      </c>
      <c r="U678" t="s">
        <v>26040</v>
      </c>
      <c r="W678" t="s">
        <v>26009</v>
      </c>
    </row>
    <row r="679" spans="1:23" x14ac:dyDescent="0.35">
      <c r="A679">
        <v>271532</v>
      </c>
      <c r="B679" t="s">
        <v>8510</v>
      </c>
      <c r="C679" t="str">
        <f>"9780195112917"</f>
        <v>9780195112917</v>
      </c>
      <c r="D679" t="str">
        <f>"9780195354546"</f>
        <v>9780195354546</v>
      </c>
      <c r="E679" t="s">
        <v>371</v>
      </c>
      <c r="F679" t="s">
        <v>31</v>
      </c>
      <c r="G679" t="s">
        <v>22179</v>
      </c>
      <c r="H679" t="s">
        <v>26004</v>
      </c>
      <c r="I679" s="26">
        <v>35677</v>
      </c>
      <c r="J679">
        <v>1997</v>
      </c>
      <c r="K679" t="s">
        <v>31</v>
      </c>
      <c r="L679">
        <v>193</v>
      </c>
      <c r="M679" t="s">
        <v>28517</v>
      </c>
      <c r="O679" t="s">
        <v>27867</v>
      </c>
      <c r="Q679" t="s">
        <v>28518</v>
      </c>
      <c r="R679" t="s">
        <v>28519</v>
      </c>
      <c r="S679" t="s">
        <v>8504</v>
      </c>
      <c r="T679" t="s">
        <v>30</v>
      </c>
      <c r="U679" t="s">
        <v>46</v>
      </c>
      <c r="W679" t="s">
        <v>26009</v>
      </c>
    </row>
    <row r="680" spans="1:23" x14ac:dyDescent="0.35">
      <c r="A680">
        <v>271575</v>
      </c>
      <c r="B680" t="s">
        <v>8573</v>
      </c>
      <c r="C680" t="str">
        <f>"9780195105308"</f>
        <v>9780195105308</v>
      </c>
      <c r="D680" t="str">
        <f>"9780198026495"</f>
        <v>9780198026495</v>
      </c>
      <c r="E680" t="s">
        <v>371</v>
      </c>
      <c r="F680" t="s">
        <v>31</v>
      </c>
      <c r="G680" t="s">
        <v>22179</v>
      </c>
      <c r="H680" t="s">
        <v>26004</v>
      </c>
      <c r="I680" s="26">
        <v>36559</v>
      </c>
      <c r="J680">
        <v>2000</v>
      </c>
      <c r="K680" t="s">
        <v>31</v>
      </c>
      <c r="L680">
        <v>464</v>
      </c>
      <c r="M680" t="s">
        <v>28520</v>
      </c>
      <c r="O680" t="s">
        <v>27846</v>
      </c>
      <c r="Q680" t="s">
        <v>28521</v>
      </c>
      <c r="R680" t="s">
        <v>28522</v>
      </c>
      <c r="S680" t="s">
        <v>28523</v>
      </c>
      <c r="T680" t="s">
        <v>30</v>
      </c>
      <c r="U680" t="s">
        <v>26019</v>
      </c>
      <c r="W680" t="s">
        <v>26009</v>
      </c>
    </row>
    <row r="681" spans="1:23" x14ac:dyDescent="0.35">
      <c r="A681">
        <v>271577</v>
      </c>
      <c r="B681" t="s">
        <v>8577</v>
      </c>
      <c r="C681" t="str">
        <f>"9780195171907"</f>
        <v>9780195171907</v>
      </c>
      <c r="D681" t="str">
        <f>"9780198038375"</f>
        <v>9780198038375</v>
      </c>
      <c r="E681" t="s">
        <v>371</v>
      </c>
      <c r="F681" t="s">
        <v>31</v>
      </c>
      <c r="G681" t="s">
        <v>22703</v>
      </c>
      <c r="H681" t="s">
        <v>26004</v>
      </c>
      <c r="I681" s="26">
        <v>38806</v>
      </c>
      <c r="J681">
        <v>2006</v>
      </c>
      <c r="K681" t="s">
        <v>31</v>
      </c>
      <c r="L681">
        <v>598</v>
      </c>
      <c r="M681" t="s">
        <v>28524</v>
      </c>
      <c r="Q681" t="s">
        <v>28525</v>
      </c>
      <c r="R681">
        <v>155.6</v>
      </c>
      <c r="S681" t="s">
        <v>28526</v>
      </c>
      <c r="T681" t="s">
        <v>30</v>
      </c>
      <c r="U681" t="s">
        <v>46</v>
      </c>
      <c r="W681" t="s">
        <v>26009</v>
      </c>
    </row>
    <row r="682" spans="1:23" x14ac:dyDescent="0.35">
      <c r="A682">
        <v>271608</v>
      </c>
      <c r="B682" t="s">
        <v>8713</v>
      </c>
      <c r="C682" t="str">
        <f>"9780195062809"</f>
        <v>9780195062809</v>
      </c>
      <c r="D682" t="str">
        <f>"9780195362695"</f>
        <v>9780195362695</v>
      </c>
      <c r="E682" t="s">
        <v>371</v>
      </c>
      <c r="F682" t="s">
        <v>31</v>
      </c>
      <c r="G682" t="s">
        <v>22703</v>
      </c>
      <c r="H682" t="s">
        <v>26004</v>
      </c>
      <c r="I682" s="26">
        <v>32919</v>
      </c>
      <c r="J682">
        <v>1990</v>
      </c>
      <c r="K682" t="s">
        <v>31</v>
      </c>
      <c r="L682">
        <v>154</v>
      </c>
      <c r="M682" t="s">
        <v>28527</v>
      </c>
      <c r="Q682" t="s">
        <v>28528</v>
      </c>
      <c r="R682" t="s">
        <v>28529</v>
      </c>
      <c r="S682" t="s">
        <v>28530</v>
      </c>
      <c r="T682" t="s">
        <v>30</v>
      </c>
      <c r="U682" t="s">
        <v>26158</v>
      </c>
      <c r="W682" t="s">
        <v>26009</v>
      </c>
    </row>
    <row r="683" spans="1:23" x14ac:dyDescent="0.35">
      <c r="A683">
        <v>271630</v>
      </c>
      <c r="B683" t="s">
        <v>8741</v>
      </c>
      <c r="C683" t="str">
        <f>"9780195058642"</f>
        <v>9780195058642</v>
      </c>
      <c r="D683" t="str">
        <f>"9780195345223"</f>
        <v>9780195345223</v>
      </c>
      <c r="E683" t="s">
        <v>371</v>
      </c>
      <c r="F683" t="s">
        <v>31</v>
      </c>
      <c r="G683" t="s">
        <v>22703</v>
      </c>
      <c r="H683" t="s">
        <v>26004</v>
      </c>
      <c r="I683" s="26">
        <v>32737</v>
      </c>
      <c r="J683">
        <v>1989</v>
      </c>
      <c r="K683" t="s">
        <v>31</v>
      </c>
      <c r="L683">
        <v>236</v>
      </c>
      <c r="M683" t="s">
        <v>28531</v>
      </c>
      <c r="Q683" t="s">
        <v>28532</v>
      </c>
      <c r="R683">
        <v>194</v>
      </c>
      <c r="S683" t="s">
        <v>28533</v>
      </c>
      <c r="T683" t="s">
        <v>30</v>
      </c>
      <c r="U683" t="s">
        <v>152</v>
      </c>
      <c r="W683" t="s">
        <v>26009</v>
      </c>
    </row>
    <row r="684" spans="1:23" x14ac:dyDescent="0.35">
      <c r="A684">
        <v>271635</v>
      </c>
      <c r="B684" t="s">
        <v>28534</v>
      </c>
      <c r="C684" t="str">
        <f>"9780195126761"</f>
        <v>9780195126761</v>
      </c>
      <c r="D684" t="str">
        <f>"9780198029236"</f>
        <v>9780198029236</v>
      </c>
      <c r="E684" t="s">
        <v>371</v>
      </c>
      <c r="F684" t="s">
        <v>31</v>
      </c>
      <c r="G684" t="s">
        <v>22703</v>
      </c>
      <c r="H684" t="s">
        <v>26004</v>
      </c>
      <c r="I684" s="26">
        <v>36923</v>
      </c>
      <c r="J684">
        <v>2001</v>
      </c>
      <c r="K684" t="s">
        <v>31</v>
      </c>
      <c r="L684">
        <v>417</v>
      </c>
      <c r="M684" t="s">
        <v>28535</v>
      </c>
      <c r="Q684" t="s">
        <v>28536</v>
      </c>
      <c r="R684" t="s">
        <v>28537</v>
      </c>
      <c r="S684" t="s">
        <v>28538</v>
      </c>
      <c r="T684" t="s">
        <v>30</v>
      </c>
      <c r="U684" t="s">
        <v>26116</v>
      </c>
      <c r="W684" t="s">
        <v>26009</v>
      </c>
    </row>
    <row r="685" spans="1:23" x14ac:dyDescent="0.35">
      <c r="A685">
        <v>271690</v>
      </c>
      <c r="B685" t="s">
        <v>28539</v>
      </c>
      <c r="C685" t="str">
        <f>"9780195178852"</f>
        <v>9780195178852</v>
      </c>
      <c r="D685" t="str">
        <f>"9780198039785"</f>
        <v>9780198039785</v>
      </c>
      <c r="E685" t="s">
        <v>371</v>
      </c>
      <c r="F685" t="s">
        <v>31</v>
      </c>
      <c r="G685" t="s">
        <v>22703</v>
      </c>
      <c r="H685" t="s">
        <v>26004</v>
      </c>
      <c r="I685" s="26">
        <v>38596</v>
      </c>
      <c r="J685">
        <v>2006</v>
      </c>
      <c r="K685" t="s">
        <v>31</v>
      </c>
      <c r="L685">
        <v>440</v>
      </c>
      <c r="M685" t="s">
        <v>28540</v>
      </c>
      <c r="O685" t="s">
        <v>28541</v>
      </c>
      <c r="Q685" t="s">
        <v>28542</v>
      </c>
      <c r="R685" t="s">
        <v>28543</v>
      </c>
      <c r="S685" t="s">
        <v>28544</v>
      </c>
      <c r="T685" t="s">
        <v>30</v>
      </c>
      <c r="U685" t="s">
        <v>26019</v>
      </c>
      <c r="W685" t="s">
        <v>26009</v>
      </c>
    </row>
    <row r="686" spans="1:23" x14ac:dyDescent="0.35">
      <c r="A686">
        <v>271697</v>
      </c>
      <c r="B686" t="s">
        <v>8857</v>
      </c>
      <c r="C686" t="str">
        <f>"9780195130140"</f>
        <v>9780195130140</v>
      </c>
      <c r="D686" t="str">
        <f>"9780195351521"</f>
        <v>9780195351521</v>
      </c>
      <c r="E686" t="s">
        <v>371</v>
      </c>
      <c r="F686" t="s">
        <v>31</v>
      </c>
      <c r="G686" t="s">
        <v>22179</v>
      </c>
      <c r="H686" t="s">
        <v>26004</v>
      </c>
      <c r="I686" s="26">
        <v>37014</v>
      </c>
      <c r="J686">
        <v>2001</v>
      </c>
      <c r="K686" t="s">
        <v>31</v>
      </c>
      <c r="L686">
        <v>347</v>
      </c>
      <c r="M686" t="s">
        <v>28545</v>
      </c>
      <c r="Q686" t="s">
        <v>28546</v>
      </c>
      <c r="R686">
        <v>158.19999999999999</v>
      </c>
      <c r="S686" t="s">
        <v>28547</v>
      </c>
      <c r="T686" t="s">
        <v>30</v>
      </c>
      <c r="U686" t="s">
        <v>46</v>
      </c>
      <c r="W686" t="s">
        <v>26009</v>
      </c>
    </row>
    <row r="687" spans="1:23" x14ac:dyDescent="0.35">
      <c r="A687">
        <v>271757</v>
      </c>
      <c r="B687" t="s">
        <v>28548</v>
      </c>
      <c r="C687" t="str">
        <f>"9780195177664"</f>
        <v>9780195177664</v>
      </c>
      <c r="D687" t="str">
        <f>"9780195346442"</f>
        <v>9780195346442</v>
      </c>
      <c r="E687" t="s">
        <v>371</v>
      </c>
      <c r="F687" t="s">
        <v>31</v>
      </c>
      <c r="G687" t="s">
        <v>22179</v>
      </c>
      <c r="H687" t="s">
        <v>26004</v>
      </c>
      <c r="I687" s="26">
        <v>38792</v>
      </c>
      <c r="J687">
        <v>2006</v>
      </c>
      <c r="K687" t="s">
        <v>31</v>
      </c>
      <c r="L687">
        <v>344</v>
      </c>
      <c r="M687" t="s">
        <v>28549</v>
      </c>
      <c r="Q687" t="s">
        <v>28550</v>
      </c>
      <c r="R687" t="s">
        <v>28268</v>
      </c>
      <c r="S687" t="s">
        <v>28551</v>
      </c>
      <c r="T687" t="s">
        <v>30</v>
      </c>
      <c r="U687" t="s">
        <v>46</v>
      </c>
      <c r="W687" t="s">
        <v>26009</v>
      </c>
    </row>
    <row r="688" spans="1:23" x14ac:dyDescent="0.35">
      <c r="A688">
        <v>271768</v>
      </c>
      <c r="B688" t="s">
        <v>8924</v>
      </c>
      <c r="C688" t="str">
        <f>"9780195059670"</f>
        <v>9780195059670</v>
      </c>
      <c r="D688" t="str">
        <f>"9780198022596"</f>
        <v>9780198022596</v>
      </c>
      <c r="E688" t="s">
        <v>371</v>
      </c>
      <c r="F688" t="s">
        <v>31</v>
      </c>
      <c r="H688" t="s">
        <v>26004</v>
      </c>
      <c r="I688" s="26">
        <v>34242</v>
      </c>
      <c r="J688">
        <v>1990</v>
      </c>
      <c r="K688" t="s">
        <v>31</v>
      </c>
      <c r="L688">
        <v>311</v>
      </c>
      <c r="M688" t="s">
        <v>28552</v>
      </c>
      <c r="Q688" t="s">
        <v>28553</v>
      </c>
      <c r="R688" t="s">
        <v>28554</v>
      </c>
      <c r="S688" t="s">
        <v>28555</v>
      </c>
      <c r="T688" t="s">
        <v>30</v>
      </c>
      <c r="U688" t="s">
        <v>26520</v>
      </c>
      <c r="W688" t="s">
        <v>26009</v>
      </c>
    </row>
    <row r="689" spans="1:23" x14ac:dyDescent="0.35">
      <c r="A689">
        <v>272090</v>
      </c>
      <c r="B689" t="s">
        <v>28556</v>
      </c>
      <c r="C689" t="str">
        <f>"9789275323014"</f>
        <v>9789275323014</v>
      </c>
      <c r="D689" t="str">
        <f>"9789275327319"</f>
        <v>9789275327319</v>
      </c>
      <c r="E689" t="s">
        <v>7576</v>
      </c>
      <c r="F689" t="s">
        <v>7576</v>
      </c>
      <c r="G689" t="s">
        <v>22254</v>
      </c>
      <c r="H689" t="s">
        <v>26004</v>
      </c>
      <c r="I689" s="26">
        <v>36861</v>
      </c>
      <c r="J689">
        <v>2000</v>
      </c>
      <c r="K689" t="s">
        <v>28557</v>
      </c>
      <c r="L689">
        <v>25</v>
      </c>
      <c r="M689" t="s">
        <v>7576</v>
      </c>
      <c r="N689">
        <v>1</v>
      </c>
      <c r="Q689" t="s">
        <v>28558</v>
      </c>
      <c r="R689">
        <v>363.34800000000001</v>
      </c>
      <c r="S689" t="s">
        <v>28559</v>
      </c>
      <c r="T689" t="s">
        <v>142</v>
      </c>
      <c r="U689" t="s">
        <v>26044</v>
      </c>
      <c r="W689" t="s">
        <v>26009</v>
      </c>
    </row>
    <row r="690" spans="1:23" x14ac:dyDescent="0.35">
      <c r="A690">
        <v>272257</v>
      </c>
      <c r="B690" t="s">
        <v>9049</v>
      </c>
      <c r="C690" t="str">
        <f>"9780195120561"</f>
        <v>9780195120561</v>
      </c>
      <c r="D690" t="str">
        <f>"9780195353044"</f>
        <v>9780195353044</v>
      </c>
      <c r="E690" t="s">
        <v>371</v>
      </c>
      <c r="F690" t="s">
        <v>31</v>
      </c>
      <c r="G690" t="s">
        <v>22703</v>
      </c>
      <c r="H690" t="s">
        <v>26004</v>
      </c>
      <c r="I690" s="26">
        <v>36041</v>
      </c>
      <c r="J690">
        <v>1998</v>
      </c>
      <c r="K690" t="s">
        <v>31</v>
      </c>
      <c r="L690">
        <v>176</v>
      </c>
      <c r="M690" t="s">
        <v>28560</v>
      </c>
      <c r="Q690" t="s">
        <v>28561</v>
      </c>
      <c r="R690">
        <v>305.31</v>
      </c>
      <c r="S690" t="s">
        <v>28562</v>
      </c>
      <c r="T690" t="s">
        <v>30</v>
      </c>
      <c r="U690" t="s">
        <v>26044</v>
      </c>
      <c r="W690" t="s">
        <v>26009</v>
      </c>
    </row>
    <row r="691" spans="1:23" x14ac:dyDescent="0.35">
      <c r="A691">
        <v>272266</v>
      </c>
      <c r="B691" t="s">
        <v>28563</v>
      </c>
      <c r="C691" t="str">
        <f>"9780195300024"</f>
        <v>9780195300024</v>
      </c>
      <c r="D691" t="str">
        <f>"9780198041016"</f>
        <v>9780198041016</v>
      </c>
      <c r="E691" t="s">
        <v>371</v>
      </c>
      <c r="F691" t="s">
        <v>31</v>
      </c>
      <c r="G691" t="s">
        <v>22703</v>
      </c>
      <c r="H691" t="s">
        <v>26004</v>
      </c>
      <c r="I691" s="26">
        <v>38799</v>
      </c>
      <c r="J691">
        <v>2006</v>
      </c>
      <c r="K691" t="s">
        <v>31</v>
      </c>
      <c r="L691">
        <v>182</v>
      </c>
      <c r="M691" t="s">
        <v>28564</v>
      </c>
      <c r="N691">
        <v>2</v>
      </c>
      <c r="O691" t="s">
        <v>28565</v>
      </c>
      <c r="Q691" t="s">
        <v>28566</v>
      </c>
      <c r="R691">
        <v>616.85</v>
      </c>
      <c r="S691" t="s">
        <v>9056</v>
      </c>
      <c r="T691" t="s">
        <v>30</v>
      </c>
      <c r="U691" t="s">
        <v>26019</v>
      </c>
      <c r="W691" t="s">
        <v>26009</v>
      </c>
    </row>
    <row r="692" spans="1:23" x14ac:dyDescent="0.35">
      <c r="A692">
        <v>272273</v>
      </c>
      <c r="B692" t="s">
        <v>28567</v>
      </c>
      <c r="C692" t="str">
        <f>"9780195086416"</f>
        <v>9780195086416</v>
      </c>
      <c r="D692" t="str">
        <f>"9780198024743"</f>
        <v>9780198024743</v>
      </c>
      <c r="E692" t="s">
        <v>371</v>
      </c>
      <c r="F692" t="s">
        <v>31</v>
      </c>
      <c r="G692" t="s">
        <v>22703</v>
      </c>
      <c r="H692" t="s">
        <v>26004</v>
      </c>
      <c r="I692" s="26">
        <v>34704</v>
      </c>
      <c r="J692">
        <v>1997</v>
      </c>
      <c r="K692" t="s">
        <v>31</v>
      </c>
      <c r="L692">
        <v>251</v>
      </c>
      <c r="M692" t="s">
        <v>28568</v>
      </c>
      <c r="Q692" t="s">
        <v>28569</v>
      </c>
      <c r="R692" t="s">
        <v>28570</v>
      </c>
      <c r="S692" t="s">
        <v>28571</v>
      </c>
      <c r="T692" t="s">
        <v>30</v>
      </c>
      <c r="U692" t="s">
        <v>28572</v>
      </c>
      <c r="W692" t="s">
        <v>26009</v>
      </c>
    </row>
    <row r="693" spans="1:23" x14ac:dyDescent="0.35">
      <c r="A693">
        <v>272279</v>
      </c>
      <c r="B693" t="s">
        <v>9077</v>
      </c>
      <c r="C693" t="str">
        <f>"9780195042078"</f>
        <v>9780195042078</v>
      </c>
      <c r="D693" t="str">
        <f>"9780198021216"</f>
        <v>9780198021216</v>
      </c>
      <c r="E693" t="s">
        <v>371</v>
      </c>
      <c r="F693" t="s">
        <v>31</v>
      </c>
      <c r="G693" t="s">
        <v>22703</v>
      </c>
      <c r="H693" t="s">
        <v>26004</v>
      </c>
      <c r="I693" s="26">
        <v>31841</v>
      </c>
      <c r="J693">
        <v>1987</v>
      </c>
      <c r="K693" t="s">
        <v>31</v>
      </c>
      <c r="L693">
        <v>330</v>
      </c>
      <c r="M693" t="s">
        <v>28573</v>
      </c>
      <c r="Q693" t="s">
        <v>28574</v>
      </c>
      <c r="R693">
        <v>153.12</v>
      </c>
      <c r="S693" t="s">
        <v>28575</v>
      </c>
      <c r="T693" t="s">
        <v>30</v>
      </c>
      <c r="U693" t="s">
        <v>46</v>
      </c>
      <c r="W693" t="s">
        <v>26009</v>
      </c>
    </row>
    <row r="694" spans="1:23" x14ac:dyDescent="0.35">
      <c r="A694">
        <v>272280</v>
      </c>
      <c r="B694" t="s">
        <v>28576</v>
      </c>
      <c r="C694" t="str">
        <f>"9780195115536"</f>
        <v>9780195115536</v>
      </c>
      <c r="D694" t="str">
        <f>"9780195353976"</f>
        <v>9780195353976</v>
      </c>
      <c r="E694" t="s">
        <v>371</v>
      </c>
      <c r="F694" t="s">
        <v>31</v>
      </c>
      <c r="G694" t="s">
        <v>22179</v>
      </c>
      <c r="H694" t="s">
        <v>26004</v>
      </c>
      <c r="I694" s="26">
        <v>37070</v>
      </c>
      <c r="J694">
        <v>2001</v>
      </c>
      <c r="K694" t="s">
        <v>31</v>
      </c>
      <c r="L694">
        <v>216</v>
      </c>
      <c r="M694" t="s">
        <v>28577</v>
      </c>
      <c r="O694" t="s">
        <v>27867</v>
      </c>
      <c r="Q694" t="s">
        <v>28578</v>
      </c>
      <c r="R694" t="s">
        <v>27131</v>
      </c>
      <c r="S694" t="s">
        <v>5208</v>
      </c>
      <c r="T694" t="s">
        <v>30</v>
      </c>
      <c r="U694" t="s">
        <v>46</v>
      </c>
      <c r="W694" t="s">
        <v>26009</v>
      </c>
    </row>
    <row r="695" spans="1:23" x14ac:dyDescent="0.35">
      <c r="A695">
        <v>272281</v>
      </c>
      <c r="B695" t="s">
        <v>28579</v>
      </c>
      <c r="C695" t="str">
        <f>"9780195082111"</f>
        <v>9780195082111</v>
      </c>
      <c r="D695" t="str">
        <f>"9781601299208"</f>
        <v>9781601299208</v>
      </c>
      <c r="E695" t="s">
        <v>371</v>
      </c>
      <c r="F695" t="s">
        <v>31</v>
      </c>
      <c r="G695" t="s">
        <v>22703</v>
      </c>
      <c r="H695" t="s">
        <v>26004</v>
      </c>
      <c r="I695" s="26">
        <v>34788</v>
      </c>
      <c r="J695">
        <v>1995</v>
      </c>
      <c r="K695" t="s">
        <v>31</v>
      </c>
      <c r="L695">
        <v>400</v>
      </c>
      <c r="M695" t="s">
        <v>28580</v>
      </c>
      <c r="Q695" t="s">
        <v>28581</v>
      </c>
      <c r="R695" t="s">
        <v>28582</v>
      </c>
      <c r="S695" t="s">
        <v>28583</v>
      </c>
      <c r="T695" t="s">
        <v>30</v>
      </c>
      <c r="U695" t="s">
        <v>26228</v>
      </c>
      <c r="W695" t="s">
        <v>26009</v>
      </c>
    </row>
    <row r="696" spans="1:23" x14ac:dyDescent="0.35">
      <c r="A696">
        <v>272302</v>
      </c>
      <c r="B696" t="s">
        <v>28584</v>
      </c>
      <c r="C696" t="str">
        <f>"9780195181760"</f>
        <v>9780195181760</v>
      </c>
      <c r="D696" t="str">
        <f>"9780198040149"</f>
        <v>9780198040149</v>
      </c>
      <c r="E696" t="s">
        <v>371</v>
      </c>
      <c r="F696" t="s">
        <v>31</v>
      </c>
      <c r="G696" t="s">
        <v>22703</v>
      </c>
      <c r="H696" t="s">
        <v>26004</v>
      </c>
      <c r="I696" s="26">
        <v>38792</v>
      </c>
      <c r="J696">
        <v>2006</v>
      </c>
      <c r="K696" t="s">
        <v>31</v>
      </c>
      <c r="L696">
        <v>303</v>
      </c>
      <c r="M696" t="s">
        <v>28585</v>
      </c>
      <c r="Q696" t="s">
        <v>28586</v>
      </c>
      <c r="R696" t="s">
        <v>28587</v>
      </c>
      <c r="S696" t="s">
        <v>28588</v>
      </c>
      <c r="T696" t="s">
        <v>30</v>
      </c>
      <c r="U696" t="s">
        <v>28589</v>
      </c>
      <c r="W696" t="s">
        <v>26009</v>
      </c>
    </row>
    <row r="697" spans="1:23" x14ac:dyDescent="0.35">
      <c r="A697">
        <v>272312</v>
      </c>
      <c r="B697" t="s">
        <v>9155</v>
      </c>
      <c r="C697" t="str">
        <f>"9780195100846"</f>
        <v>9780195100846</v>
      </c>
      <c r="D697" t="str">
        <f>"9780195356502"</f>
        <v>9780195356502</v>
      </c>
      <c r="E697" t="s">
        <v>371</v>
      </c>
      <c r="F697" t="s">
        <v>31</v>
      </c>
      <c r="G697" t="s">
        <v>22703</v>
      </c>
      <c r="H697" t="s">
        <v>26004</v>
      </c>
      <c r="I697" s="26">
        <v>35138</v>
      </c>
      <c r="J697">
        <v>1996</v>
      </c>
      <c r="K697" t="s">
        <v>31</v>
      </c>
      <c r="L697">
        <v>239</v>
      </c>
      <c r="M697" t="s">
        <v>28590</v>
      </c>
      <c r="O697" t="s">
        <v>27867</v>
      </c>
      <c r="Q697" t="s">
        <v>28591</v>
      </c>
      <c r="R697" t="s">
        <v>28592</v>
      </c>
      <c r="S697" t="s">
        <v>28593</v>
      </c>
      <c r="T697" t="s">
        <v>30</v>
      </c>
      <c r="U697" t="s">
        <v>46</v>
      </c>
      <c r="W697" t="s">
        <v>26009</v>
      </c>
    </row>
    <row r="698" spans="1:23" x14ac:dyDescent="0.35">
      <c r="A698">
        <v>272379</v>
      </c>
      <c r="B698" t="s">
        <v>28594</v>
      </c>
      <c r="C698" t="str">
        <f>"9780195123142"</f>
        <v>9780195123142</v>
      </c>
      <c r="D698" t="str">
        <f>"9780198028697"</f>
        <v>9780198028697</v>
      </c>
      <c r="E698" t="s">
        <v>371</v>
      </c>
      <c r="F698" t="s">
        <v>399</v>
      </c>
      <c r="G698" t="s">
        <v>22703</v>
      </c>
      <c r="H698" t="s">
        <v>26004</v>
      </c>
      <c r="I698" s="26">
        <v>36161</v>
      </c>
      <c r="J698">
        <v>1999</v>
      </c>
      <c r="K698" t="s">
        <v>27857</v>
      </c>
      <c r="L698">
        <v>849</v>
      </c>
      <c r="M698" t="s">
        <v>28595</v>
      </c>
      <c r="Q698" t="s">
        <v>28596</v>
      </c>
      <c r="R698" t="s">
        <v>28597</v>
      </c>
      <c r="S698" t="s">
        <v>28598</v>
      </c>
      <c r="T698" t="s">
        <v>30</v>
      </c>
      <c r="U698" t="s">
        <v>26116</v>
      </c>
      <c r="W698" t="s">
        <v>26009</v>
      </c>
    </row>
    <row r="699" spans="1:23" x14ac:dyDescent="0.35">
      <c r="A699">
        <v>272382</v>
      </c>
      <c r="B699" t="s">
        <v>9221</v>
      </c>
      <c r="C699" t="str">
        <f>"9780195085273"</f>
        <v>9780195085273</v>
      </c>
      <c r="D699" t="str">
        <f>"9780198024668"</f>
        <v>9780198024668</v>
      </c>
      <c r="E699" t="s">
        <v>371</v>
      </c>
      <c r="F699" t="s">
        <v>399</v>
      </c>
      <c r="G699" t="s">
        <v>22703</v>
      </c>
      <c r="H699" t="s">
        <v>26004</v>
      </c>
      <c r="I699" s="26">
        <v>36161</v>
      </c>
      <c r="J699">
        <v>2000</v>
      </c>
      <c r="K699" t="s">
        <v>27857</v>
      </c>
      <c r="L699">
        <v>544</v>
      </c>
      <c r="M699" t="s">
        <v>28599</v>
      </c>
      <c r="Q699" t="s">
        <v>28600</v>
      </c>
      <c r="R699">
        <v>617.481044</v>
      </c>
      <c r="S699" t="s">
        <v>28601</v>
      </c>
      <c r="T699" t="s">
        <v>30</v>
      </c>
      <c r="U699" t="s">
        <v>26040</v>
      </c>
      <c r="W699" t="s">
        <v>26009</v>
      </c>
    </row>
    <row r="700" spans="1:23" x14ac:dyDescent="0.35">
      <c r="A700">
        <v>272396</v>
      </c>
      <c r="B700" t="s">
        <v>28602</v>
      </c>
      <c r="C700" t="str">
        <f>"9780195108965"</f>
        <v>9780195108965</v>
      </c>
      <c r="D700" t="str">
        <f>"9780198026877"</f>
        <v>9780198026877</v>
      </c>
      <c r="E700" t="s">
        <v>371</v>
      </c>
      <c r="F700" t="s">
        <v>31</v>
      </c>
      <c r="G700" t="s">
        <v>22703</v>
      </c>
      <c r="H700" t="s">
        <v>26004</v>
      </c>
      <c r="I700" s="26">
        <v>35453</v>
      </c>
      <c r="J700">
        <v>1997</v>
      </c>
      <c r="K700" t="s">
        <v>31</v>
      </c>
      <c r="L700">
        <v>289</v>
      </c>
      <c r="M700" t="s">
        <v>28603</v>
      </c>
      <c r="Q700" t="s">
        <v>28604</v>
      </c>
      <c r="R700">
        <v>153.35</v>
      </c>
      <c r="S700" t="s">
        <v>28605</v>
      </c>
      <c r="T700" t="s">
        <v>30</v>
      </c>
      <c r="U700" t="s">
        <v>46</v>
      </c>
      <c r="W700" t="s">
        <v>26009</v>
      </c>
    </row>
    <row r="701" spans="1:23" x14ac:dyDescent="0.35">
      <c r="A701">
        <v>272411</v>
      </c>
      <c r="B701" t="s">
        <v>28606</v>
      </c>
      <c r="C701" t="str">
        <f>"9780195188622"</f>
        <v>9780195188622</v>
      </c>
      <c r="D701" t="str">
        <f>"9780195345971"</f>
        <v>9780195345971</v>
      </c>
      <c r="E701" t="s">
        <v>371</v>
      </c>
      <c r="F701" t="s">
        <v>31</v>
      </c>
      <c r="G701" t="s">
        <v>22703</v>
      </c>
      <c r="H701" t="s">
        <v>26004</v>
      </c>
      <c r="I701" s="26">
        <v>39251</v>
      </c>
      <c r="J701">
        <v>2006</v>
      </c>
      <c r="K701" t="s">
        <v>31</v>
      </c>
      <c r="L701">
        <v>337</v>
      </c>
      <c r="M701" t="s">
        <v>28607</v>
      </c>
      <c r="Q701" t="s">
        <v>28608</v>
      </c>
      <c r="R701" t="s">
        <v>27152</v>
      </c>
      <c r="S701" t="s">
        <v>9284</v>
      </c>
      <c r="T701" t="s">
        <v>30</v>
      </c>
      <c r="U701" t="s">
        <v>26679</v>
      </c>
      <c r="W701" t="s">
        <v>26009</v>
      </c>
    </row>
    <row r="702" spans="1:23" x14ac:dyDescent="0.35">
      <c r="A702">
        <v>272422</v>
      </c>
      <c r="B702" t="s">
        <v>28609</v>
      </c>
      <c r="C702" t="str">
        <f>"9780195106831"</f>
        <v>9780195106831</v>
      </c>
      <c r="D702" t="str">
        <f>"9780195355475"</f>
        <v>9780195355475</v>
      </c>
      <c r="E702" t="s">
        <v>371</v>
      </c>
      <c r="F702" t="s">
        <v>399</v>
      </c>
      <c r="G702" t="s">
        <v>22703</v>
      </c>
      <c r="H702" t="s">
        <v>26004</v>
      </c>
      <c r="I702" s="26">
        <v>35796</v>
      </c>
      <c r="J702">
        <v>1998</v>
      </c>
      <c r="K702" t="s">
        <v>27857</v>
      </c>
      <c r="L702">
        <v>305</v>
      </c>
      <c r="M702" t="s">
        <v>28610</v>
      </c>
      <c r="Q702" t="s">
        <v>28611</v>
      </c>
      <c r="R702" t="s">
        <v>28612</v>
      </c>
      <c r="S702" t="s">
        <v>28613</v>
      </c>
      <c r="T702" t="s">
        <v>30</v>
      </c>
      <c r="U702" t="s">
        <v>26044</v>
      </c>
      <c r="W702" t="s">
        <v>26009</v>
      </c>
    </row>
    <row r="703" spans="1:23" x14ac:dyDescent="0.35">
      <c r="A703">
        <v>272432</v>
      </c>
      <c r="B703" t="s">
        <v>28614</v>
      </c>
      <c r="C703" t="str">
        <f>"9780195095357"</f>
        <v>9780195095357</v>
      </c>
      <c r="D703" t="str">
        <f>"9780195357349"</f>
        <v>9780195357349</v>
      </c>
      <c r="E703" t="s">
        <v>371</v>
      </c>
      <c r="F703" t="s">
        <v>31</v>
      </c>
      <c r="G703" t="s">
        <v>22703</v>
      </c>
      <c r="H703" t="s">
        <v>26004</v>
      </c>
      <c r="I703" s="26">
        <v>35523</v>
      </c>
      <c r="J703">
        <v>1997</v>
      </c>
      <c r="K703" t="s">
        <v>31</v>
      </c>
      <c r="L703">
        <v>252</v>
      </c>
      <c r="M703" t="s">
        <v>28615</v>
      </c>
      <c r="Q703" t="s">
        <v>28616</v>
      </c>
      <c r="R703">
        <v>306.87400000000002</v>
      </c>
      <c r="S703" t="s">
        <v>28617</v>
      </c>
      <c r="T703" t="s">
        <v>30</v>
      </c>
      <c r="U703" t="s">
        <v>26044</v>
      </c>
      <c r="W703" t="s">
        <v>26009</v>
      </c>
    </row>
    <row r="704" spans="1:23" x14ac:dyDescent="0.35">
      <c r="A704">
        <v>272435</v>
      </c>
      <c r="B704" t="s">
        <v>28618</v>
      </c>
      <c r="C704" t="str">
        <f>"9780195306057"</f>
        <v>9780195306057</v>
      </c>
      <c r="D704" t="str">
        <f>"9780198041764"</f>
        <v>9780198041764</v>
      </c>
      <c r="E704" t="s">
        <v>371</v>
      </c>
      <c r="F704" t="s">
        <v>31</v>
      </c>
      <c r="G704" t="s">
        <v>22703</v>
      </c>
      <c r="H704" t="s">
        <v>26004</v>
      </c>
      <c r="I704" s="26">
        <v>38862</v>
      </c>
      <c r="J704">
        <v>2006</v>
      </c>
      <c r="K704" t="s">
        <v>31</v>
      </c>
      <c r="L704">
        <v>101</v>
      </c>
      <c r="M704" t="s">
        <v>28619</v>
      </c>
      <c r="O704" t="s">
        <v>28565</v>
      </c>
      <c r="Q704" t="s">
        <v>28620</v>
      </c>
      <c r="R704">
        <v>616.85210075999998</v>
      </c>
      <c r="S704" t="s">
        <v>28621</v>
      </c>
      <c r="T704" t="s">
        <v>30</v>
      </c>
      <c r="U704" t="s">
        <v>26040</v>
      </c>
      <c r="W704" t="s">
        <v>26009</v>
      </c>
    </row>
    <row r="705" spans="1:23" x14ac:dyDescent="0.35">
      <c r="A705">
        <v>272436</v>
      </c>
      <c r="B705" t="s">
        <v>28618</v>
      </c>
      <c r="C705" t="str">
        <f>"9780195306071"</f>
        <v>9780195306071</v>
      </c>
      <c r="D705" t="str">
        <f>"9780198041771"</f>
        <v>9780198041771</v>
      </c>
      <c r="E705" t="s">
        <v>371</v>
      </c>
      <c r="F705" t="s">
        <v>31</v>
      </c>
      <c r="G705" t="s">
        <v>22703</v>
      </c>
      <c r="H705" t="s">
        <v>26004</v>
      </c>
      <c r="I705" s="26">
        <v>38862</v>
      </c>
      <c r="J705">
        <v>2006</v>
      </c>
      <c r="K705" t="s">
        <v>31</v>
      </c>
      <c r="L705">
        <v>119</v>
      </c>
      <c r="M705" t="s">
        <v>28622</v>
      </c>
      <c r="O705" t="s">
        <v>28565</v>
      </c>
      <c r="Q705" t="s">
        <v>28623</v>
      </c>
      <c r="R705">
        <v>616.85210075999998</v>
      </c>
      <c r="S705" t="s">
        <v>28624</v>
      </c>
      <c r="T705" t="s">
        <v>30</v>
      </c>
      <c r="U705" t="s">
        <v>26040</v>
      </c>
      <c r="W705" t="s">
        <v>26009</v>
      </c>
    </row>
    <row r="706" spans="1:23" x14ac:dyDescent="0.35">
      <c r="A706">
        <v>272437</v>
      </c>
      <c r="B706" t="s">
        <v>28625</v>
      </c>
      <c r="C706" t="str">
        <f>"9780195307733"</f>
        <v>9780195307733</v>
      </c>
      <c r="D706" t="str">
        <f>"9780198042020"</f>
        <v>9780198042020</v>
      </c>
      <c r="E706" t="s">
        <v>371</v>
      </c>
      <c r="F706" t="s">
        <v>31</v>
      </c>
      <c r="G706" t="s">
        <v>22703</v>
      </c>
      <c r="H706" t="s">
        <v>26004</v>
      </c>
      <c r="I706" s="26">
        <v>38883</v>
      </c>
      <c r="J706">
        <v>2006</v>
      </c>
      <c r="K706" t="s">
        <v>31</v>
      </c>
      <c r="L706">
        <v>232</v>
      </c>
      <c r="M706" t="s">
        <v>28626</v>
      </c>
      <c r="N706">
        <v>2</v>
      </c>
      <c r="O706" t="s">
        <v>28565</v>
      </c>
      <c r="Q706" t="s">
        <v>28627</v>
      </c>
      <c r="R706" t="s">
        <v>28628</v>
      </c>
      <c r="S706" t="s">
        <v>9321</v>
      </c>
      <c r="T706" t="s">
        <v>30</v>
      </c>
      <c r="U706" t="s">
        <v>28629</v>
      </c>
      <c r="W706" t="s">
        <v>26009</v>
      </c>
    </row>
    <row r="707" spans="1:23" x14ac:dyDescent="0.35">
      <c r="A707">
        <v>272438</v>
      </c>
      <c r="B707" t="s">
        <v>28625</v>
      </c>
      <c r="C707" t="str">
        <f>"9780195307740"</f>
        <v>9780195307740</v>
      </c>
      <c r="D707" t="str">
        <f>"9780198042037"</f>
        <v>9780198042037</v>
      </c>
      <c r="E707" t="s">
        <v>371</v>
      </c>
      <c r="F707" t="s">
        <v>31</v>
      </c>
      <c r="G707" t="s">
        <v>22703</v>
      </c>
      <c r="H707" t="s">
        <v>26004</v>
      </c>
      <c r="I707" s="26">
        <v>38883</v>
      </c>
      <c r="J707">
        <v>2006</v>
      </c>
      <c r="K707" t="s">
        <v>31</v>
      </c>
      <c r="L707">
        <v>186</v>
      </c>
      <c r="M707" t="s">
        <v>28626</v>
      </c>
      <c r="N707">
        <v>2</v>
      </c>
      <c r="O707" t="s">
        <v>28565</v>
      </c>
      <c r="Q707" t="s">
        <v>28630</v>
      </c>
      <c r="R707" t="s">
        <v>28628</v>
      </c>
      <c r="S707" t="s">
        <v>28631</v>
      </c>
      <c r="T707" t="s">
        <v>30</v>
      </c>
      <c r="U707" t="s">
        <v>28629</v>
      </c>
      <c r="W707" t="s">
        <v>26009</v>
      </c>
    </row>
    <row r="708" spans="1:23" x14ac:dyDescent="0.35">
      <c r="A708">
        <v>272449</v>
      </c>
      <c r="B708" t="s">
        <v>28632</v>
      </c>
      <c r="C708" t="str">
        <f>"9780195087574"</f>
        <v>9780195087574</v>
      </c>
      <c r="D708" t="str">
        <f>"9780198024835"</f>
        <v>9780198024835</v>
      </c>
      <c r="E708" t="s">
        <v>371</v>
      </c>
      <c r="F708" t="s">
        <v>31</v>
      </c>
      <c r="G708" t="s">
        <v>22703</v>
      </c>
      <c r="H708" t="s">
        <v>26004</v>
      </c>
      <c r="I708" s="26">
        <v>34641</v>
      </c>
      <c r="J708">
        <v>1994</v>
      </c>
      <c r="K708" t="s">
        <v>31</v>
      </c>
      <c r="L708">
        <v>332</v>
      </c>
      <c r="M708" t="s">
        <v>28473</v>
      </c>
      <c r="Q708" t="s">
        <v>28633</v>
      </c>
      <c r="R708">
        <v>152.4</v>
      </c>
      <c r="S708" t="s">
        <v>28634</v>
      </c>
      <c r="T708" t="s">
        <v>30</v>
      </c>
      <c r="U708" t="s">
        <v>46</v>
      </c>
      <c r="W708" t="s">
        <v>26009</v>
      </c>
    </row>
    <row r="709" spans="1:23" x14ac:dyDescent="0.35">
      <c r="A709">
        <v>272482</v>
      </c>
      <c r="B709" t="s">
        <v>28635</v>
      </c>
      <c r="C709" t="str">
        <f>"9780195304381"</f>
        <v>9780195304381</v>
      </c>
      <c r="D709" t="str">
        <f>"9780198041429"</f>
        <v>9780198041429</v>
      </c>
      <c r="E709" t="s">
        <v>371</v>
      </c>
      <c r="F709" t="s">
        <v>31</v>
      </c>
      <c r="G709" t="s">
        <v>22179</v>
      </c>
      <c r="H709" t="s">
        <v>26004</v>
      </c>
      <c r="I709" s="26">
        <v>38953</v>
      </c>
      <c r="J709">
        <v>2006</v>
      </c>
      <c r="K709" t="s">
        <v>31</v>
      </c>
      <c r="L709">
        <v>289</v>
      </c>
      <c r="M709" t="s">
        <v>28636</v>
      </c>
      <c r="N709">
        <v>1</v>
      </c>
      <c r="Q709" t="s">
        <v>28637</v>
      </c>
      <c r="R709">
        <v>155.4</v>
      </c>
      <c r="S709" t="s">
        <v>28638</v>
      </c>
      <c r="T709" t="s">
        <v>30</v>
      </c>
      <c r="U709" t="s">
        <v>46</v>
      </c>
      <c r="W709" t="s">
        <v>26009</v>
      </c>
    </row>
    <row r="710" spans="1:23" x14ac:dyDescent="0.35">
      <c r="A710">
        <v>272512</v>
      </c>
      <c r="B710" t="s">
        <v>9503</v>
      </c>
      <c r="C710" t="str">
        <f>"9780195081435"</f>
        <v>9780195081435</v>
      </c>
      <c r="D710" t="str">
        <f>"9780198024316"</f>
        <v>9780198024316</v>
      </c>
      <c r="E710" t="s">
        <v>371</v>
      </c>
      <c r="F710" t="s">
        <v>31</v>
      </c>
      <c r="G710" t="s">
        <v>22703</v>
      </c>
      <c r="H710" t="s">
        <v>26004</v>
      </c>
      <c r="I710" s="26">
        <v>36349</v>
      </c>
      <c r="J710">
        <v>1999</v>
      </c>
      <c r="K710" t="s">
        <v>31</v>
      </c>
      <c r="L710">
        <v>375</v>
      </c>
      <c r="M710" t="s">
        <v>28639</v>
      </c>
      <c r="Q710" t="s">
        <v>28640</v>
      </c>
      <c r="R710" t="s">
        <v>28641</v>
      </c>
      <c r="S710" t="s">
        <v>28601</v>
      </c>
      <c r="T710" t="s">
        <v>30</v>
      </c>
      <c r="U710" t="s">
        <v>26040</v>
      </c>
      <c r="W710" t="s">
        <v>26009</v>
      </c>
    </row>
    <row r="711" spans="1:23" x14ac:dyDescent="0.35">
      <c r="A711">
        <v>272518</v>
      </c>
      <c r="B711" t="s">
        <v>28642</v>
      </c>
      <c r="C711" t="str">
        <f>"9780195104981"</f>
        <v>9780195104981</v>
      </c>
      <c r="D711" t="str">
        <f>"9780195355703"</f>
        <v>9780195355703</v>
      </c>
      <c r="E711" t="s">
        <v>371</v>
      </c>
      <c r="F711" t="s">
        <v>31</v>
      </c>
      <c r="G711" t="s">
        <v>22703</v>
      </c>
      <c r="H711" t="s">
        <v>26004</v>
      </c>
      <c r="I711" s="26">
        <v>35439</v>
      </c>
      <c r="J711">
        <v>1997</v>
      </c>
      <c r="K711" t="s">
        <v>31</v>
      </c>
      <c r="L711">
        <v>286</v>
      </c>
      <c r="M711" t="s">
        <v>28643</v>
      </c>
      <c r="Q711" t="s">
        <v>28644</v>
      </c>
      <c r="R711" t="s">
        <v>28645</v>
      </c>
      <c r="S711" t="s">
        <v>28646</v>
      </c>
      <c r="T711" t="s">
        <v>30</v>
      </c>
      <c r="U711" t="s">
        <v>152</v>
      </c>
      <c r="W711" t="s">
        <v>26009</v>
      </c>
    </row>
    <row r="712" spans="1:23" x14ac:dyDescent="0.35">
      <c r="A712">
        <v>272533</v>
      </c>
      <c r="B712" t="s">
        <v>9641</v>
      </c>
      <c r="C712" t="str">
        <f>"9780195075564"</f>
        <v>9780195075564</v>
      </c>
      <c r="D712" t="str">
        <f>"9780195360523"</f>
        <v>9780195360523</v>
      </c>
      <c r="E712" t="s">
        <v>371</v>
      </c>
      <c r="F712" t="s">
        <v>31</v>
      </c>
      <c r="G712" t="s">
        <v>22703</v>
      </c>
      <c r="H712" t="s">
        <v>26004</v>
      </c>
      <c r="I712" s="26">
        <v>34907</v>
      </c>
      <c r="J712">
        <v>1995</v>
      </c>
      <c r="K712" t="s">
        <v>31</v>
      </c>
      <c r="L712">
        <v>227</v>
      </c>
      <c r="M712" t="s">
        <v>28647</v>
      </c>
      <c r="Q712" t="s">
        <v>28648</v>
      </c>
      <c r="R712">
        <v>155.916</v>
      </c>
      <c r="S712" t="s">
        <v>28649</v>
      </c>
      <c r="T712" t="s">
        <v>30</v>
      </c>
      <c r="U712" t="s">
        <v>27102</v>
      </c>
      <c r="W712" t="s">
        <v>26009</v>
      </c>
    </row>
    <row r="713" spans="1:23" x14ac:dyDescent="0.35">
      <c r="A713">
        <v>272535</v>
      </c>
      <c r="B713" t="s">
        <v>28650</v>
      </c>
      <c r="C713" t="str">
        <f>"9780195126181"</f>
        <v>9780195126181</v>
      </c>
      <c r="D713" t="str">
        <f>"9780198029168"</f>
        <v>9780198029168</v>
      </c>
      <c r="E713" t="s">
        <v>371</v>
      </c>
      <c r="F713" t="s">
        <v>31</v>
      </c>
      <c r="G713" t="s">
        <v>22703</v>
      </c>
      <c r="H713" t="s">
        <v>26004</v>
      </c>
      <c r="I713" s="26">
        <v>36552</v>
      </c>
      <c r="J713">
        <v>2000</v>
      </c>
      <c r="K713" t="s">
        <v>31</v>
      </c>
      <c r="L713">
        <v>319</v>
      </c>
      <c r="M713" t="s">
        <v>11504</v>
      </c>
      <c r="Q713" t="s">
        <v>28651</v>
      </c>
      <c r="R713">
        <v>618.91999999999996</v>
      </c>
      <c r="S713" t="s">
        <v>28652</v>
      </c>
      <c r="T713" t="s">
        <v>30</v>
      </c>
      <c r="U713" t="s">
        <v>26116</v>
      </c>
      <c r="W713" t="s">
        <v>26009</v>
      </c>
    </row>
    <row r="714" spans="1:23" x14ac:dyDescent="0.35">
      <c r="A714">
        <v>272575</v>
      </c>
      <c r="B714" t="s">
        <v>28653</v>
      </c>
      <c r="C714" t="str">
        <f>"9780195100570"</f>
        <v>9780195100570</v>
      </c>
      <c r="D714" t="str">
        <f>"9780195356540"</f>
        <v>9780195356540</v>
      </c>
      <c r="E714" t="s">
        <v>371</v>
      </c>
      <c r="F714" t="s">
        <v>31</v>
      </c>
      <c r="G714" t="s">
        <v>22179</v>
      </c>
      <c r="H714" t="s">
        <v>26004</v>
      </c>
      <c r="I714" s="26">
        <v>35656</v>
      </c>
      <c r="J714">
        <v>1997</v>
      </c>
      <c r="K714" t="s">
        <v>31</v>
      </c>
      <c r="L714">
        <v>204</v>
      </c>
      <c r="M714" t="s">
        <v>28654</v>
      </c>
      <c r="O714" t="s">
        <v>27867</v>
      </c>
      <c r="Q714" t="s">
        <v>28655</v>
      </c>
      <c r="R714" t="s">
        <v>28656</v>
      </c>
      <c r="S714" t="s">
        <v>9618</v>
      </c>
      <c r="T714" t="s">
        <v>30</v>
      </c>
      <c r="U714" t="s">
        <v>26044</v>
      </c>
      <c r="W714" t="s">
        <v>26009</v>
      </c>
    </row>
    <row r="715" spans="1:23" x14ac:dyDescent="0.35">
      <c r="A715">
        <v>272579</v>
      </c>
      <c r="B715" t="s">
        <v>9711</v>
      </c>
      <c r="C715" t="str">
        <f>"9780195069853"</f>
        <v>9780195069853</v>
      </c>
      <c r="D715" t="str">
        <f>"9780195361490"</f>
        <v>9780195361490</v>
      </c>
      <c r="E715" t="s">
        <v>371</v>
      </c>
      <c r="F715" t="s">
        <v>31</v>
      </c>
      <c r="G715" t="s">
        <v>22703</v>
      </c>
      <c r="H715" t="s">
        <v>26004</v>
      </c>
      <c r="I715" s="26">
        <v>33892</v>
      </c>
      <c r="J715">
        <v>1992</v>
      </c>
      <c r="K715" t="s">
        <v>31</v>
      </c>
      <c r="L715">
        <v>329</v>
      </c>
      <c r="M715" t="s">
        <v>28657</v>
      </c>
      <c r="Q715" t="s">
        <v>28658</v>
      </c>
      <c r="R715">
        <v>291.17829999999998</v>
      </c>
      <c r="S715" t="s">
        <v>28659</v>
      </c>
      <c r="T715" t="s">
        <v>30</v>
      </c>
      <c r="U715" t="s">
        <v>11247</v>
      </c>
      <c r="W715" t="s">
        <v>26009</v>
      </c>
    </row>
    <row r="716" spans="1:23" x14ac:dyDescent="0.35">
      <c r="A716">
        <v>272586</v>
      </c>
      <c r="B716" t="s">
        <v>28660</v>
      </c>
      <c r="C716" t="str">
        <f>"9780195062342"</f>
        <v>9780195062342</v>
      </c>
      <c r="D716" t="str">
        <f>"9780195362817"</f>
        <v>9780195362817</v>
      </c>
      <c r="E716" t="s">
        <v>371</v>
      </c>
      <c r="F716" t="s">
        <v>31</v>
      </c>
      <c r="G716" t="s">
        <v>22703</v>
      </c>
      <c r="H716" t="s">
        <v>26004</v>
      </c>
      <c r="I716" s="26">
        <v>33465</v>
      </c>
      <c r="J716">
        <v>1991</v>
      </c>
      <c r="K716" t="s">
        <v>31</v>
      </c>
      <c r="L716">
        <v>244</v>
      </c>
      <c r="M716" t="s">
        <v>28661</v>
      </c>
      <c r="Q716" t="s">
        <v>28662</v>
      </c>
      <c r="R716" t="s">
        <v>27929</v>
      </c>
      <c r="S716" t="s">
        <v>28663</v>
      </c>
      <c r="T716" t="s">
        <v>30</v>
      </c>
      <c r="U716" t="s">
        <v>11247</v>
      </c>
      <c r="W716" t="s">
        <v>26009</v>
      </c>
    </row>
    <row r="717" spans="1:23" x14ac:dyDescent="0.35">
      <c r="A717">
        <v>272613</v>
      </c>
      <c r="B717" t="s">
        <v>28664</v>
      </c>
      <c r="C717" t="str">
        <f>"9780195121155"</f>
        <v>9780195121155</v>
      </c>
      <c r="D717" t="str">
        <f>"9780198028321"</f>
        <v>9780198028321</v>
      </c>
      <c r="E717" t="s">
        <v>371</v>
      </c>
      <c r="F717" t="s">
        <v>31</v>
      </c>
      <c r="G717" t="s">
        <v>22703</v>
      </c>
      <c r="H717" t="s">
        <v>26004</v>
      </c>
      <c r="I717" s="26">
        <v>35908</v>
      </c>
      <c r="J717">
        <v>1998</v>
      </c>
      <c r="K717" t="s">
        <v>31</v>
      </c>
      <c r="L717">
        <v>509</v>
      </c>
      <c r="M717" t="s">
        <v>28665</v>
      </c>
      <c r="Q717" t="s">
        <v>28666</v>
      </c>
      <c r="R717">
        <v>155.63300000000001</v>
      </c>
      <c r="S717" t="s">
        <v>28667</v>
      </c>
      <c r="T717" t="s">
        <v>30</v>
      </c>
      <c r="U717" t="s">
        <v>26170</v>
      </c>
      <c r="W717" t="s">
        <v>26009</v>
      </c>
    </row>
    <row r="718" spans="1:23" x14ac:dyDescent="0.35">
      <c r="A718">
        <v>272672</v>
      </c>
      <c r="B718" t="s">
        <v>9786</v>
      </c>
      <c r="C718" t="str">
        <f>"9780195172881"</f>
        <v>9780195172881</v>
      </c>
      <c r="D718" t="str">
        <f>"9780195346701"</f>
        <v>9780195346701</v>
      </c>
      <c r="E718" t="s">
        <v>371</v>
      </c>
      <c r="F718" t="s">
        <v>31</v>
      </c>
      <c r="G718" t="s">
        <v>22179</v>
      </c>
      <c r="H718" t="s">
        <v>26004</v>
      </c>
      <c r="I718" s="26">
        <v>38652</v>
      </c>
      <c r="J718">
        <v>2006</v>
      </c>
      <c r="K718" t="s">
        <v>31</v>
      </c>
      <c r="L718">
        <v>464</v>
      </c>
      <c r="M718" t="s">
        <v>28668</v>
      </c>
      <c r="Q718" t="s">
        <v>28669</v>
      </c>
      <c r="R718">
        <v>152.13999999999999</v>
      </c>
      <c r="S718" t="s">
        <v>28670</v>
      </c>
      <c r="T718" t="s">
        <v>30</v>
      </c>
      <c r="U718" t="s">
        <v>28671</v>
      </c>
      <c r="W718" t="s">
        <v>26009</v>
      </c>
    </row>
    <row r="719" spans="1:23" x14ac:dyDescent="0.35">
      <c r="A719">
        <v>272675</v>
      </c>
      <c r="B719" t="s">
        <v>28672</v>
      </c>
      <c r="C719" t="str">
        <f>"9780195096965"</f>
        <v>9780195096965</v>
      </c>
      <c r="D719" t="str">
        <f>"9780198025719"</f>
        <v>9780198025719</v>
      </c>
      <c r="E719" t="s">
        <v>371</v>
      </c>
      <c r="F719" t="s">
        <v>31</v>
      </c>
      <c r="G719" t="s">
        <v>22179</v>
      </c>
      <c r="H719" t="s">
        <v>26004</v>
      </c>
      <c r="I719" s="26">
        <v>35089</v>
      </c>
      <c r="J719">
        <v>1996</v>
      </c>
      <c r="K719" t="s">
        <v>31</v>
      </c>
      <c r="L719">
        <v>237</v>
      </c>
      <c r="M719" t="s">
        <v>28673</v>
      </c>
      <c r="O719" t="s">
        <v>28674</v>
      </c>
      <c r="Q719" t="s">
        <v>28675</v>
      </c>
      <c r="R719">
        <v>126</v>
      </c>
      <c r="S719" t="s">
        <v>9411</v>
      </c>
      <c r="T719" t="s">
        <v>30</v>
      </c>
      <c r="U719" t="s">
        <v>26520</v>
      </c>
      <c r="W719" t="s">
        <v>26009</v>
      </c>
    </row>
    <row r="720" spans="1:23" x14ac:dyDescent="0.35">
      <c r="A720">
        <v>272687</v>
      </c>
      <c r="B720" t="s">
        <v>28676</v>
      </c>
      <c r="C720" t="str">
        <f>"9780195125818"</f>
        <v>9780195125818</v>
      </c>
      <c r="D720" t="str">
        <f>"9780195352184"</f>
        <v>9780195352184</v>
      </c>
      <c r="E720" t="s">
        <v>371</v>
      </c>
      <c r="F720" t="s">
        <v>31</v>
      </c>
      <c r="G720" t="s">
        <v>22179</v>
      </c>
      <c r="H720" t="s">
        <v>26004</v>
      </c>
      <c r="I720" s="26">
        <v>36314</v>
      </c>
      <c r="J720">
        <v>1999</v>
      </c>
      <c r="K720" t="s">
        <v>31</v>
      </c>
      <c r="L720">
        <v>247</v>
      </c>
      <c r="M720" t="s">
        <v>28677</v>
      </c>
      <c r="Q720" t="s">
        <v>28678</v>
      </c>
      <c r="R720" t="s">
        <v>28679</v>
      </c>
      <c r="S720" t="s">
        <v>28680</v>
      </c>
      <c r="T720" t="s">
        <v>30</v>
      </c>
      <c r="U720" t="s">
        <v>26019</v>
      </c>
      <c r="W720" t="s">
        <v>26009</v>
      </c>
    </row>
    <row r="721" spans="1:23" x14ac:dyDescent="0.35">
      <c r="A721">
        <v>272691</v>
      </c>
      <c r="B721" t="s">
        <v>28681</v>
      </c>
      <c r="C721" t="str">
        <f>"9780195114799"</f>
        <v>9780195114799</v>
      </c>
      <c r="D721" t="str">
        <f>"9780195354140"</f>
        <v>9780195354140</v>
      </c>
      <c r="E721" t="s">
        <v>371</v>
      </c>
      <c r="F721" t="s">
        <v>31</v>
      </c>
      <c r="G721" t="s">
        <v>22703</v>
      </c>
      <c r="H721" t="s">
        <v>26004</v>
      </c>
      <c r="I721" s="26">
        <v>36034</v>
      </c>
      <c r="J721">
        <v>1998</v>
      </c>
      <c r="K721" t="s">
        <v>31</v>
      </c>
      <c r="L721">
        <v>303</v>
      </c>
      <c r="M721" t="s">
        <v>28682</v>
      </c>
      <c r="O721" t="s">
        <v>27886</v>
      </c>
      <c r="Q721" t="s">
        <v>28683</v>
      </c>
      <c r="R721">
        <v>152.4</v>
      </c>
      <c r="S721" t="s">
        <v>28684</v>
      </c>
      <c r="T721" t="s">
        <v>30</v>
      </c>
      <c r="U721" t="s">
        <v>46</v>
      </c>
      <c r="W721" t="s">
        <v>26009</v>
      </c>
    </row>
    <row r="722" spans="1:23" x14ac:dyDescent="0.35">
      <c r="A722">
        <v>272733</v>
      </c>
      <c r="B722" t="s">
        <v>28685</v>
      </c>
      <c r="C722" t="str">
        <f>"9780195127430"</f>
        <v>9780195127430</v>
      </c>
      <c r="D722" t="str">
        <f>"9780195351934"</f>
        <v>9780195351934</v>
      </c>
      <c r="E722" t="s">
        <v>371</v>
      </c>
      <c r="F722" t="s">
        <v>31</v>
      </c>
      <c r="G722" t="s">
        <v>22179</v>
      </c>
      <c r="H722" t="s">
        <v>26004</v>
      </c>
      <c r="I722" s="26">
        <v>36405</v>
      </c>
      <c r="J722">
        <v>1999</v>
      </c>
      <c r="K722" t="s">
        <v>31</v>
      </c>
      <c r="L722">
        <v>220</v>
      </c>
      <c r="M722" t="s">
        <v>28686</v>
      </c>
      <c r="Q722" t="s">
        <v>28687</v>
      </c>
      <c r="R722" t="s">
        <v>28688</v>
      </c>
      <c r="S722" t="s">
        <v>9648</v>
      </c>
      <c r="T722" t="s">
        <v>30</v>
      </c>
      <c r="U722" t="s">
        <v>26019</v>
      </c>
      <c r="W722" t="s">
        <v>26009</v>
      </c>
    </row>
    <row r="723" spans="1:23" x14ac:dyDescent="0.35">
      <c r="A723">
        <v>272736</v>
      </c>
      <c r="B723" t="s">
        <v>28689</v>
      </c>
      <c r="C723" t="str">
        <f>"9780195103502"</f>
        <v>9780195103502</v>
      </c>
      <c r="D723" t="str">
        <f>"9780195356014"</f>
        <v>9780195356014</v>
      </c>
      <c r="E723" t="s">
        <v>371</v>
      </c>
      <c r="F723" t="s">
        <v>31</v>
      </c>
      <c r="G723" t="s">
        <v>22179</v>
      </c>
      <c r="H723" t="s">
        <v>26004</v>
      </c>
      <c r="I723" s="26">
        <v>35635</v>
      </c>
      <c r="J723">
        <v>1997</v>
      </c>
      <c r="K723" t="s">
        <v>31</v>
      </c>
      <c r="L723">
        <v>449</v>
      </c>
      <c r="M723" t="s">
        <v>28690</v>
      </c>
      <c r="Q723" t="s">
        <v>28691</v>
      </c>
      <c r="R723" t="s">
        <v>28692</v>
      </c>
      <c r="S723" t="s">
        <v>42</v>
      </c>
      <c r="T723" t="s">
        <v>30</v>
      </c>
      <c r="U723" t="s">
        <v>46</v>
      </c>
      <c r="W723" t="s">
        <v>26009</v>
      </c>
    </row>
    <row r="724" spans="1:23" x14ac:dyDescent="0.35">
      <c r="A724">
        <v>272791</v>
      </c>
      <c r="B724" t="s">
        <v>28693</v>
      </c>
      <c r="C724" t="str">
        <f>"9780195101072"</f>
        <v>9780195101072</v>
      </c>
      <c r="D724" t="str">
        <f>"9780195356472"</f>
        <v>9780195356472</v>
      </c>
      <c r="E724" t="s">
        <v>371</v>
      </c>
      <c r="F724" t="s">
        <v>31</v>
      </c>
      <c r="G724" t="s">
        <v>22703</v>
      </c>
      <c r="H724" t="s">
        <v>26004</v>
      </c>
      <c r="I724" s="26">
        <v>34991</v>
      </c>
      <c r="J724">
        <v>1992</v>
      </c>
      <c r="K724" t="s">
        <v>31</v>
      </c>
      <c r="L724">
        <v>679</v>
      </c>
      <c r="M724" t="s">
        <v>28694</v>
      </c>
      <c r="Q724" t="s">
        <v>28695</v>
      </c>
      <c r="R724">
        <v>155.69999999999999</v>
      </c>
      <c r="S724" t="s">
        <v>28696</v>
      </c>
      <c r="T724" t="s">
        <v>30</v>
      </c>
      <c r="U724" t="s">
        <v>46</v>
      </c>
      <c r="W724" t="s">
        <v>26009</v>
      </c>
    </row>
    <row r="725" spans="1:23" x14ac:dyDescent="0.35">
      <c r="A725">
        <v>272859</v>
      </c>
      <c r="B725" t="s">
        <v>28697</v>
      </c>
      <c r="C725" t="str">
        <f>"9780195069860"</f>
        <v>9780195069860</v>
      </c>
      <c r="D725" t="str">
        <f>"9780198023449"</f>
        <v>9780198023449</v>
      </c>
      <c r="E725" t="s">
        <v>371</v>
      </c>
      <c r="F725" t="s">
        <v>31</v>
      </c>
      <c r="G725" t="s">
        <v>22703</v>
      </c>
      <c r="H725" t="s">
        <v>26004</v>
      </c>
      <c r="I725" s="26">
        <v>34928</v>
      </c>
      <c r="J725">
        <v>1995</v>
      </c>
      <c r="K725" t="s">
        <v>31</v>
      </c>
      <c r="L725">
        <v>225</v>
      </c>
      <c r="M725" t="s">
        <v>28698</v>
      </c>
      <c r="Q725" t="s">
        <v>28699</v>
      </c>
      <c r="R725">
        <v>155.63300000000001</v>
      </c>
      <c r="S725" t="s">
        <v>28700</v>
      </c>
      <c r="T725" t="s">
        <v>30</v>
      </c>
      <c r="U725" t="s">
        <v>26019</v>
      </c>
      <c r="W725" t="s">
        <v>26009</v>
      </c>
    </row>
    <row r="726" spans="1:23" x14ac:dyDescent="0.35">
      <c r="A726">
        <v>272865</v>
      </c>
      <c r="B726" t="s">
        <v>8058</v>
      </c>
      <c r="C726" t="str">
        <f>"9780195131338"</f>
        <v>9780195131338</v>
      </c>
      <c r="D726" t="str">
        <f>"9780199726660"</f>
        <v>9780199726660</v>
      </c>
      <c r="E726" t="s">
        <v>371</v>
      </c>
      <c r="F726" t="s">
        <v>31</v>
      </c>
      <c r="G726" t="s">
        <v>22703</v>
      </c>
      <c r="H726" t="s">
        <v>26004</v>
      </c>
      <c r="I726" s="26">
        <v>37665</v>
      </c>
      <c r="J726">
        <v>2003</v>
      </c>
      <c r="K726" t="s">
        <v>31</v>
      </c>
      <c r="L726">
        <v>449</v>
      </c>
      <c r="M726" t="s">
        <v>28701</v>
      </c>
      <c r="Q726" t="s">
        <v>28702</v>
      </c>
      <c r="R726">
        <v>305.23099999999999</v>
      </c>
      <c r="S726" t="s">
        <v>28703</v>
      </c>
      <c r="T726" t="s">
        <v>30</v>
      </c>
      <c r="U726" t="s">
        <v>26044</v>
      </c>
      <c r="W726" t="s">
        <v>26009</v>
      </c>
    </row>
    <row r="727" spans="1:23" x14ac:dyDescent="0.35">
      <c r="A727">
        <v>272877</v>
      </c>
      <c r="B727" t="s">
        <v>8149</v>
      </c>
      <c r="C727" t="str">
        <f>"9780195123630"</f>
        <v>9780195123630</v>
      </c>
      <c r="D727" t="str">
        <f>"9780195352511"</f>
        <v>9780195352511</v>
      </c>
      <c r="E727" t="s">
        <v>371</v>
      </c>
      <c r="F727" t="s">
        <v>31</v>
      </c>
      <c r="G727" t="s">
        <v>22703</v>
      </c>
      <c r="H727" t="s">
        <v>26004</v>
      </c>
      <c r="I727" s="26">
        <v>36895</v>
      </c>
      <c r="J727">
        <v>2001</v>
      </c>
      <c r="K727" t="s">
        <v>31</v>
      </c>
      <c r="L727">
        <v>527</v>
      </c>
      <c r="M727" t="s">
        <v>28704</v>
      </c>
      <c r="Q727" t="s">
        <v>28705</v>
      </c>
      <c r="R727">
        <v>616.85220000000004</v>
      </c>
      <c r="S727" t="s">
        <v>28706</v>
      </c>
      <c r="T727" t="s">
        <v>30</v>
      </c>
      <c r="U727" t="s">
        <v>26019</v>
      </c>
      <c r="W727" t="s">
        <v>26009</v>
      </c>
    </row>
    <row r="728" spans="1:23" x14ac:dyDescent="0.35">
      <c r="A728">
        <v>272897</v>
      </c>
      <c r="B728" t="s">
        <v>28707</v>
      </c>
      <c r="C728" t="str">
        <f>"9780195187175"</f>
        <v>9780195187175</v>
      </c>
      <c r="D728" t="str">
        <f>"9780198040521"</f>
        <v>9780198040521</v>
      </c>
      <c r="E728" t="s">
        <v>371</v>
      </c>
      <c r="F728" t="s">
        <v>31</v>
      </c>
      <c r="G728" t="s">
        <v>22703</v>
      </c>
      <c r="H728" t="s">
        <v>26004</v>
      </c>
      <c r="I728" s="26">
        <v>38808</v>
      </c>
      <c r="J728">
        <v>2006</v>
      </c>
      <c r="K728" t="s">
        <v>31</v>
      </c>
      <c r="L728">
        <v>177</v>
      </c>
      <c r="M728" t="s">
        <v>28708</v>
      </c>
      <c r="Q728" t="s">
        <v>28709</v>
      </c>
      <c r="R728">
        <v>658.40920000000006</v>
      </c>
      <c r="S728" t="s">
        <v>28710</v>
      </c>
      <c r="T728" t="s">
        <v>30</v>
      </c>
      <c r="U728" t="s">
        <v>27171</v>
      </c>
      <c r="W728" t="s">
        <v>26009</v>
      </c>
    </row>
    <row r="729" spans="1:23" x14ac:dyDescent="0.35">
      <c r="A729">
        <v>272922</v>
      </c>
      <c r="B729" t="s">
        <v>28711</v>
      </c>
      <c r="C729" t="str">
        <f>"9780195080971"</f>
        <v>9780195080971</v>
      </c>
      <c r="D729" t="str">
        <f>"9780198024279"</f>
        <v>9780198024279</v>
      </c>
      <c r="E729" t="s">
        <v>371</v>
      </c>
      <c r="F729" t="s">
        <v>31</v>
      </c>
      <c r="G729" t="s">
        <v>22703</v>
      </c>
      <c r="H729" t="s">
        <v>26004</v>
      </c>
      <c r="I729" s="26">
        <v>34823</v>
      </c>
      <c r="J729">
        <v>1995</v>
      </c>
      <c r="K729" t="s">
        <v>31</v>
      </c>
      <c r="L729">
        <v>289</v>
      </c>
      <c r="M729" t="s">
        <v>28712</v>
      </c>
      <c r="O729" t="s">
        <v>28713</v>
      </c>
      <c r="Q729" t="s">
        <v>28714</v>
      </c>
      <c r="R729" t="s">
        <v>28715</v>
      </c>
      <c r="S729" t="s">
        <v>28716</v>
      </c>
      <c r="T729" t="s">
        <v>30</v>
      </c>
      <c r="U729" t="s">
        <v>366</v>
      </c>
      <c r="W729" t="s">
        <v>26009</v>
      </c>
    </row>
    <row r="730" spans="1:23" x14ac:dyDescent="0.35">
      <c r="A730">
        <v>272935</v>
      </c>
      <c r="B730" t="s">
        <v>8488</v>
      </c>
      <c r="C730" t="str">
        <f>"9780195130379"</f>
        <v>9780195130379</v>
      </c>
      <c r="D730" t="str">
        <f>"9780198029939"</f>
        <v>9780198029939</v>
      </c>
      <c r="E730" t="s">
        <v>371</v>
      </c>
      <c r="F730" t="s">
        <v>31</v>
      </c>
      <c r="G730" t="s">
        <v>22703</v>
      </c>
      <c r="H730" t="s">
        <v>26004</v>
      </c>
      <c r="I730" s="26">
        <v>36377</v>
      </c>
      <c r="J730">
        <v>1999</v>
      </c>
      <c r="K730" t="s">
        <v>31</v>
      </c>
      <c r="L730">
        <v>528</v>
      </c>
      <c r="M730" t="s">
        <v>28717</v>
      </c>
      <c r="Q730" t="s">
        <v>28718</v>
      </c>
      <c r="R730">
        <v>616.79999999999995</v>
      </c>
      <c r="S730" t="s">
        <v>7654</v>
      </c>
      <c r="T730" t="s">
        <v>30</v>
      </c>
      <c r="U730" t="s">
        <v>26040</v>
      </c>
      <c r="W730" t="s">
        <v>26009</v>
      </c>
    </row>
    <row r="731" spans="1:23" x14ac:dyDescent="0.35">
      <c r="A731">
        <v>272938</v>
      </c>
      <c r="B731" t="s">
        <v>8498</v>
      </c>
      <c r="C731" t="str">
        <f>"9780195103335"</f>
        <v>9780195103335</v>
      </c>
      <c r="D731" t="str">
        <f>"9780195356045"</f>
        <v>9780195356045</v>
      </c>
      <c r="E731" t="s">
        <v>371</v>
      </c>
      <c r="F731" t="s">
        <v>31</v>
      </c>
      <c r="G731" t="s">
        <v>22703</v>
      </c>
      <c r="H731" t="s">
        <v>26004</v>
      </c>
      <c r="I731" s="26">
        <v>35544</v>
      </c>
      <c r="J731">
        <v>1997</v>
      </c>
      <c r="K731" t="s">
        <v>31</v>
      </c>
      <c r="L731">
        <v>412</v>
      </c>
      <c r="M731" t="s">
        <v>28719</v>
      </c>
      <c r="Q731" t="s">
        <v>28720</v>
      </c>
      <c r="R731">
        <v>153</v>
      </c>
      <c r="S731" t="s">
        <v>28721</v>
      </c>
      <c r="T731" t="s">
        <v>30</v>
      </c>
      <c r="U731" t="s">
        <v>46</v>
      </c>
      <c r="W731" t="s">
        <v>26009</v>
      </c>
    </row>
    <row r="732" spans="1:23" x14ac:dyDescent="0.35">
      <c r="A732">
        <v>272964</v>
      </c>
      <c r="B732" t="s">
        <v>28722</v>
      </c>
      <c r="C732" t="str">
        <f>"9780195118735"</f>
        <v>9780195118735</v>
      </c>
      <c r="D732" t="str">
        <f>"9780198027959"</f>
        <v>9780198027959</v>
      </c>
      <c r="E732" t="s">
        <v>371</v>
      </c>
      <c r="F732" t="s">
        <v>31</v>
      </c>
      <c r="G732" t="s">
        <v>22703</v>
      </c>
      <c r="H732" t="s">
        <v>26004</v>
      </c>
      <c r="I732" s="26">
        <v>37518</v>
      </c>
      <c r="J732">
        <v>2000</v>
      </c>
      <c r="K732" t="s">
        <v>31</v>
      </c>
      <c r="L732">
        <v>340</v>
      </c>
      <c r="M732" t="s">
        <v>28723</v>
      </c>
      <c r="Q732" t="s">
        <v>28724</v>
      </c>
      <c r="R732">
        <v>155.9</v>
      </c>
      <c r="S732" t="s">
        <v>28725</v>
      </c>
      <c r="T732" t="s">
        <v>30</v>
      </c>
      <c r="U732" t="s">
        <v>46</v>
      </c>
      <c r="W732" t="s">
        <v>26009</v>
      </c>
    </row>
    <row r="733" spans="1:23" x14ac:dyDescent="0.35">
      <c r="A733">
        <v>273011</v>
      </c>
      <c r="B733" t="s">
        <v>28726</v>
      </c>
      <c r="C733" t="str">
        <f>"9780195092400"</f>
        <v>9780195092400</v>
      </c>
      <c r="D733" t="str">
        <f>"9780195357813"</f>
        <v>9780195357813</v>
      </c>
      <c r="E733" t="s">
        <v>371</v>
      </c>
      <c r="F733" t="s">
        <v>31</v>
      </c>
      <c r="G733" t="s">
        <v>22703</v>
      </c>
      <c r="H733" t="s">
        <v>26004</v>
      </c>
      <c r="I733" s="26">
        <v>35404</v>
      </c>
      <c r="J733">
        <v>1997</v>
      </c>
      <c r="K733" t="s">
        <v>31</v>
      </c>
      <c r="L733">
        <v>232</v>
      </c>
      <c r="M733" t="s">
        <v>28727</v>
      </c>
      <c r="Q733" t="s">
        <v>28728</v>
      </c>
      <c r="R733" t="s">
        <v>26148</v>
      </c>
      <c r="S733" t="s">
        <v>28729</v>
      </c>
      <c r="T733" t="s">
        <v>30</v>
      </c>
      <c r="U733" t="s">
        <v>26228</v>
      </c>
      <c r="W733" t="s">
        <v>26009</v>
      </c>
    </row>
    <row r="734" spans="1:23" x14ac:dyDescent="0.35">
      <c r="A734">
        <v>273025</v>
      </c>
      <c r="B734" t="s">
        <v>8994</v>
      </c>
      <c r="C734" t="str">
        <f>"9780195092158"</f>
        <v>9780195092158</v>
      </c>
      <c r="D734" t="str">
        <f>"9780195357820"</f>
        <v>9780195357820</v>
      </c>
      <c r="E734" t="s">
        <v>371</v>
      </c>
      <c r="F734" t="s">
        <v>31</v>
      </c>
      <c r="G734" t="s">
        <v>22179</v>
      </c>
      <c r="H734" t="s">
        <v>26004</v>
      </c>
      <c r="I734" s="26">
        <v>34620</v>
      </c>
      <c r="J734">
        <v>1994</v>
      </c>
      <c r="K734" t="s">
        <v>31</v>
      </c>
      <c r="L734">
        <v>379</v>
      </c>
      <c r="M734" t="s">
        <v>28730</v>
      </c>
      <c r="O734" t="s">
        <v>28469</v>
      </c>
      <c r="P734" t="s">
        <v>28731</v>
      </c>
      <c r="Q734" t="s">
        <v>28732</v>
      </c>
      <c r="R734">
        <v>153</v>
      </c>
      <c r="S734" t="s">
        <v>28733</v>
      </c>
      <c r="T734" t="s">
        <v>30</v>
      </c>
      <c r="U734" t="s">
        <v>46</v>
      </c>
      <c r="W734" t="s">
        <v>26009</v>
      </c>
    </row>
    <row r="735" spans="1:23" x14ac:dyDescent="0.35">
      <c r="A735">
        <v>273068</v>
      </c>
      <c r="B735" t="s">
        <v>9226</v>
      </c>
      <c r="C735" t="str">
        <f>"9780195114645"</f>
        <v>9780195114645</v>
      </c>
      <c r="D735" t="str">
        <f>"9780198027409"</f>
        <v>9780198027409</v>
      </c>
      <c r="E735" t="s">
        <v>371</v>
      </c>
      <c r="F735" t="s">
        <v>31</v>
      </c>
      <c r="G735" t="s">
        <v>22703</v>
      </c>
      <c r="H735" t="s">
        <v>26004</v>
      </c>
      <c r="I735" s="26">
        <v>36664</v>
      </c>
      <c r="J735">
        <v>2000</v>
      </c>
      <c r="K735" t="s">
        <v>31</v>
      </c>
      <c r="L735">
        <v>532</v>
      </c>
      <c r="M735" t="s">
        <v>28734</v>
      </c>
      <c r="O735" t="s">
        <v>27886</v>
      </c>
      <c r="Q735" t="s">
        <v>28735</v>
      </c>
      <c r="R735">
        <v>152.4</v>
      </c>
      <c r="S735" t="s">
        <v>28736</v>
      </c>
      <c r="T735" t="s">
        <v>30</v>
      </c>
      <c r="U735" t="s">
        <v>26019</v>
      </c>
      <c r="W735" t="s">
        <v>26009</v>
      </c>
    </row>
    <row r="736" spans="1:23" x14ac:dyDescent="0.35">
      <c r="A736">
        <v>273104</v>
      </c>
      <c r="B736" t="s">
        <v>28737</v>
      </c>
      <c r="C736" t="str">
        <f>"9780195119435"</f>
        <v>9780195119435</v>
      </c>
      <c r="D736" t="str">
        <f>"9780195353242"</f>
        <v>9780195353242</v>
      </c>
      <c r="E736" t="s">
        <v>371</v>
      </c>
      <c r="F736" t="s">
        <v>31</v>
      </c>
      <c r="G736" t="s">
        <v>22703</v>
      </c>
      <c r="H736" t="s">
        <v>26004</v>
      </c>
      <c r="I736" s="26">
        <v>36594</v>
      </c>
      <c r="J736">
        <v>2000</v>
      </c>
      <c r="K736" t="s">
        <v>31</v>
      </c>
      <c r="L736">
        <v>277</v>
      </c>
      <c r="M736" t="s">
        <v>28738</v>
      </c>
      <c r="Q736" t="s">
        <v>28739</v>
      </c>
      <c r="R736" t="s">
        <v>28740</v>
      </c>
      <c r="S736" t="s">
        <v>28741</v>
      </c>
      <c r="T736" t="s">
        <v>30</v>
      </c>
      <c r="U736" t="s">
        <v>11247</v>
      </c>
      <c r="W736" t="s">
        <v>26009</v>
      </c>
    </row>
    <row r="737" spans="1:23" x14ac:dyDescent="0.35">
      <c r="A737">
        <v>273164</v>
      </c>
      <c r="B737" t="s">
        <v>9532</v>
      </c>
      <c r="C737" t="str">
        <f>"9780195062519"</f>
        <v>9780195062519</v>
      </c>
      <c r="D737" t="str">
        <f>"9780198022800"</f>
        <v>9780198022800</v>
      </c>
      <c r="E737" t="s">
        <v>371</v>
      </c>
      <c r="F737" t="s">
        <v>31</v>
      </c>
      <c r="G737" t="s">
        <v>22703</v>
      </c>
      <c r="H737" t="s">
        <v>26004</v>
      </c>
      <c r="I737" s="26">
        <v>34200</v>
      </c>
      <c r="J737">
        <v>1993</v>
      </c>
      <c r="K737" t="s">
        <v>31</v>
      </c>
      <c r="L737">
        <v>215</v>
      </c>
      <c r="M737" t="s">
        <v>28742</v>
      </c>
      <c r="Q737" t="s">
        <v>28743</v>
      </c>
      <c r="R737">
        <v>616.89075000000003</v>
      </c>
      <c r="S737" t="s">
        <v>28744</v>
      </c>
      <c r="T737" t="s">
        <v>30</v>
      </c>
      <c r="U737" t="s">
        <v>26116</v>
      </c>
      <c r="W737" t="s">
        <v>26009</v>
      </c>
    </row>
    <row r="738" spans="1:23" x14ac:dyDescent="0.35">
      <c r="A738">
        <v>273166</v>
      </c>
      <c r="B738" t="s">
        <v>9628</v>
      </c>
      <c r="C738" t="str">
        <f>"9780195306040"</f>
        <v>9780195306040</v>
      </c>
      <c r="D738" t="str">
        <f>"9780198041757"</f>
        <v>9780198041757</v>
      </c>
      <c r="E738" t="s">
        <v>371</v>
      </c>
      <c r="F738" t="s">
        <v>31</v>
      </c>
      <c r="G738" t="s">
        <v>22703</v>
      </c>
      <c r="H738" t="s">
        <v>26004</v>
      </c>
      <c r="I738" s="26">
        <v>38792</v>
      </c>
      <c r="J738">
        <v>2006</v>
      </c>
      <c r="K738" t="s">
        <v>31</v>
      </c>
      <c r="L738">
        <v>329</v>
      </c>
      <c r="M738" t="s">
        <v>28745</v>
      </c>
      <c r="O738" t="s">
        <v>28482</v>
      </c>
      <c r="Q738" t="s">
        <v>28746</v>
      </c>
      <c r="R738" t="s">
        <v>28747</v>
      </c>
      <c r="S738" t="s">
        <v>9629</v>
      </c>
      <c r="T738" t="s">
        <v>30</v>
      </c>
      <c r="U738" t="s">
        <v>28748</v>
      </c>
      <c r="W738" t="s">
        <v>26009</v>
      </c>
    </row>
    <row r="739" spans="1:23" x14ac:dyDescent="0.35">
      <c r="A739">
        <v>273278</v>
      </c>
      <c r="B739" t="s">
        <v>10026</v>
      </c>
      <c r="C739" t="str">
        <f>"9780195090390"</f>
        <v>9780195090390</v>
      </c>
      <c r="D739" t="str">
        <f>"9780198025122"</f>
        <v>9780198025122</v>
      </c>
      <c r="E739" t="s">
        <v>371</v>
      </c>
      <c r="F739" t="s">
        <v>31</v>
      </c>
      <c r="G739" t="s">
        <v>22703</v>
      </c>
      <c r="H739" t="s">
        <v>26004</v>
      </c>
      <c r="I739" s="26">
        <v>35124</v>
      </c>
      <c r="J739">
        <v>1996</v>
      </c>
      <c r="K739" t="s">
        <v>31</v>
      </c>
      <c r="L739">
        <v>263</v>
      </c>
      <c r="M739" t="s">
        <v>28749</v>
      </c>
      <c r="Q739" t="s">
        <v>28750</v>
      </c>
      <c r="R739" t="s">
        <v>28751</v>
      </c>
      <c r="S739" t="s">
        <v>28752</v>
      </c>
      <c r="T739" t="s">
        <v>30</v>
      </c>
      <c r="U739" t="s">
        <v>26019</v>
      </c>
      <c r="W739" t="s">
        <v>26009</v>
      </c>
    </row>
    <row r="740" spans="1:23" x14ac:dyDescent="0.35">
      <c r="A740">
        <v>273290</v>
      </c>
      <c r="B740" t="s">
        <v>10061</v>
      </c>
      <c r="C740" t="str">
        <f>"9780195172379"</f>
        <v>9780195172379</v>
      </c>
      <c r="D740" t="str">
        <f>"9780195343625"</f>
        <v>9780195343625</v>
      </c>
      <c r="E740" t="s">
        <v>371</v>
      </c>
      <c r="F740" t="s">
        <v>31</v>
      </c>
      <c r="G740" t="s">
        <v>22179</v>
      </c>
      <c r="H740" t="s">
        <v>26004</v>
      </c>
      <c r="I740" s="26">
        <v>38211</v>
      </c>
      <c r="J740">
        <v>2004</v>
      </c>
      <c r="K740" t="s">
        <v>31</v>
      </c>
      <c r="L740">
        <v>224</v>
      </c>
      <c r="M740" t="s">
        <v>28753</v>
      </c>
      <c r="O740" t="s">
        <v>28674</v>
      </c>
      <c r="Q740" t="s">
        <v>28754</v>
      </c>
      <c r="R740" t="s">
        <v>27152</v>
      </c>
      <c r="S740" t="s">
        <v>28755</v>
      </c>
      <c r="T740" t="s">
        <v>30</v>
      </c>
      <c r="U740" t="s">
        <v>152</v>
      </c>
      <c r="W740" t="s">
        <v>26009</v>
      </c>
    </row>
    <row r="741" spans="1:23" x14ac:dyDescent="0.35">
      <c r="A741">
        <v>273322</v>
      </c>
      <c r="B741" t="s">
        <v>10121</v>
      </c>
      <c r="C741" t="str">
        <f>"9780195122107"</f>
        <v>9780195122107</v>
      </c>
      <c r="D741" t="str">
        <f>"9780198028475"</f>
        <v>9780198028475</v>
      </c>
      <c r="E741" t="s">
        <v>371</v>
      </c>
      <c r="F741" t="s">
        <v>31</v>
      </c>
      <c r="G741" t="s">
        <v>22703</v>
      </c>
      <c r="H741" t="s">
        <v>26004</v>
      </c>
      <c r="I741" s="26">
        <v>36356</v>
      </c>
      <c r="J741">
        <v>1999</v>
      </c>
      <c r="K741" t="s">
        <v>31</v>
      </c>
      <c r="L741">
        <v>365</v>
      </c>
      <c r="M741" t="s">
        <v>28756</v>
      </c>
      <c r="N741">
        <v>3</v>
      </c>
      <c r="O741" t="s">
        <v>28541</v>
      </c>
      <c r="Q741" t="s">
        <v>28757</v>
      </c>
      <c r="R741">
        <v>616.79999999999995</v>
      </c>
      <c r="S741" t="s">
        <v>28758</v>
      </c>
      <c r="T741" t="s">
        <v>30</v>
      </c>
      <c r="U741" t="s">
        <v>26040</v>
      </c>
      <c r="W741" t="s">
        <v>26009</v>
      </c>
    </row>
    <row r="742" spans="1:23" x14ac:dyDescent="0.35">
      <c r="A742">
        <v>273328</v>
      </c>
      <c r="B742" t="s">
        <v>10141</v>
      </c>
      <c r="C742" t="str">
        <f>"9780195170795"</f>
        <v>9780195170795</v>
      </c>
      <c r="D742" t="str">
        <f>"9780198038160"</f>
        <v>9780198038160</v>
      </c>
      <c r="E742" t="s">
        <v>371</v>
      </c>
      <c r="F742" t="s">
        <v>31</v>
      </c>
      <c r="G742" t="s">
        <v>22703</v>
      </c>
      <c r="H742" t="s">
        <v>26004</v>
      </c>
      <c r="I742" s="26">
        <v>38967</v>
      </c>
      <c r="J742">
        <v>2007</v>
      </c>
      <c r="K742" t="s">
        <v>31</v>
      </c>
      <c r="L742">
        <v>433</v>
      </c>
      <c r="M742" t="s">
        <v>28759</v>
      </c>
      <c r="Q742" t="s">
        <v>28760</v>
      </c>
      <c r="R742" t="s">
        <v>28761</v>
      </c>
      <c r="S742" t="s">
        <v>28762</v>
      </c>
      <c r="T742" t="s">
        <v>30</v>
      </c>
      <c r="U742" t="s">
        <v>26019</v>
      </c>
      <c r="W742" t="s">
        <v>26009</v>
      </c>
    </row>
    <row r="743" spans="1:23" x14ac:dyDescent="0.35">
      <c r="A743">
        <v>273332</v>
      </c>
      <c r="B743" t="s">
        <v>28763</v>
      </c>
      <c r="C743" t="str">
        <f>"9780195172171"</f>
        <v>9780195172171</v>
      </c>
      <c r="D743" t="str">
        <f>"9780198038436"</f>
        <v>9780198038436</v>
      </c>
      <c r="E743" t="s">
        <v>371</v>
      </c>
      <c r="F743" t="s">
        <v>31</v>
      </c>
      <c r="G743" t="s">
        <v>22703</v>
      </c>
      <c r="H743" t="s">
        <v>26004</v>
      </c>
      <c r="I743" s="26">
        <v>38673</v>
      </c>
      <c r="J743">
        <v>2005</v>
      </c>
      <c r="K743" t="s">
        <v>31</v>
      </c>
      <c r="L743">
        <v>287</v>
      </c>
      <c r="M743" t="s">
        <v>28764</v>
      </c>
      <c r="N743">
        <v>3</v>
      </c>
      <c r="Q743" t="s">
        <v>28765</v>
      </c>
      <c r="R743" t="s">
        <v>28766</v>
      </c>
      <c r="S743" t="s">
        <v>28767</v>
      </c>
      <c r="T743" t="s">
        <v>30</v>
      </c>
      <c r="U743" t="s">
        <v>26391</v>
      </c>
      <c r="W743" t="s">
        <v>26009</v>
      </c>
    </row>
    <row r="744" spans="1:23" x14ac:dyDescent="0.35">
      <c r="A744">
        <v>273383</v>
      </c>
      <c r="B744" t="s">
        <v>28768</v>
      </c>
      <c r="C744" t="str">
        <f>"9780195123845"</f>
        <v>9780195123845</v>
      </c>
      <c r="D744" t="str">
        <f>"9780198028802"</f>
        <v>9780198028802</v>
      </c>
      <c r="E744" t="s">
        <v>371</v>
      </c>
      <c r="F744" t="s">
        <v>31</v>
      </c>
      <c r="G744" t="s">
        <v>22179</v>
      </c>
      <c r="H744" t="s">
        <v>26004</v>
      </c>
      <c r="I744" s="26">
        <v>36160</v>
      </c>
      <c r="J744">
        <v>1999</v>
      </c>
      <c r="K744" t="s">
        <v>31</v>
      </c>
      <c r="L744">
        <v>353</v>
      </c>
      <c r="M744" t="s">
        <v>28769</v>
      </c>
      <c r="O744" t="s">
        <v>28674</v>
      </c>
      <c r="Q744" t="s">
        <v>28770</v>
      </c>
      <c r="R744" t="s">
        <v>28771</v>
      </c>
      <c r="S744" t="s">
        <v>10223</v>
      </c>
      <c r="T744" t="s">
        <v>30</v>
      </c>
      <c r="U744" t="s">
        <v>26679</v>
      </c>
      <c r="W744" t="s">
        <v>26009</v>
      </c>
    </row>
    <row r="745" spans="1:23" x14ac:dyDescent="0.35">
      <c r="A745">
        <v>273396</v>
      </c>
      <c r="B745" t="s">
        <v>28772</v>
      </c>
      <c r="C745" t="str">
        <f>"9780195182736"</f>
        <v>9780195182736</v>
      </c>
      <c r="D745" t="str">
        <f>"9780198040293"</f>
        <v>9780198040293</v>
      </c>
      <c r="E745" t="s">
        <v>371</v>
      </c>
      <c r="F745" t="s">
        <v>31</v>
      </c>
      <c r="G745" t="s">
        <v>22703</v>
      </c>
      <c r="H745" t="s">
        <v>26004</v>
      </c>
      <c r="I745" s="26">
        <v>38792</v>
      </c>
      <c r="J745">
        <v>2006</v>
      </c>
      <c r="K745" t="s">
        <v>31</v>
      </c>
      <c r="L745">
        <v>301</v>
      </c>
      <c r="M745" t="s">
        <v>28773</v>
      </c>
      <c r="Q745" t="s">
        <v>28774</v>
      </c>
      <c r="R745" t="s">
        <v>28775</v>
      </c>
      <c r="S745" t="s">
        <v>10235</v>
      </c>
      <c r="T745" t="s">
        <v>30</v>
      </c>
      <c r="U745" t="s">
        <v>26044</v>
      </c>
      <c r="W745" t="s">
        <v>26009</v>
      </c>
    </row>
    <row r="746" spans="1:23" x14ac:dyDescent="0.35">
      <c r="A746">
        <v>273403</v>
      </c>
      <c r="B746" t="s">
        <v>28776</v>
      </c>
      <c r="C746" t="str">
        <f>"9780195093582"</f>
        <v>9780195093582</v>
      </c>
      <c r="D746" t="str">
        <f>"9780195357585"</f>
        <v>9780195357585</v>
      </c>
      <c r="E746" t="s">
        <v>371</v>
      </c>
      <c r="F746" t="s">
        <v>399</v>
      </c>
      <c r="G746" t="s">
        <v>22703</v>
      </c>
      <c r="H746" t="s">
        <v>26004</v>
      </c>
      <c r="I746" s="26">
        <v>35012</v>
      </c>
      <c r="J746">
        <v>1995</v>
      </c>
      <c r="K746" t="s">
        <v>27857</v>
      </c>
      <c r="L746">
        <v>321</v>
      </c>
      <c r="M746" t="s">
        <v>28777</v>
      </c>
      <c r="Q746" t="s">
        <v>28778</v>
      </c>
      <c r="R746">
        <v>306.7</v>
      </c>
      <c r="S746" t="s">
        <v>28779</v>
      </c>
      <c r="T746" t="s">
        <v>30</v>
      </c>
      <c r="U746" t="s">
        <v>26044</v>
      </c>
      <c r="W746" t="s">
        <v>26009</v>
      </c>
    </row>
    <row r="747" spans="1:23" x14ac:dyDescent="0.35">
      <c r="A747">
        <v>274206</v>
      </c>
      <c r="B747" t="s">
        <v>28780</v>
      </c>
      <c r="C747" t="str">
        <f>"9780080449395"</f>
        <v>9780080449395</v>
      </c>
      <c r="D747" t="str">
        <f>"9780080463728"</f>
        <v>9780080463728</v>
      </c>
      <c r="E747" t="s">
        <v>27482</v>
      </c>
      <c r="F747" t="s">
        <v>7447</v>
      </c>
      <c r="G747" t="s">
        <v>22242</v>
      </c>
      <c r="H747" t="s">
        <v>26011</v>
      </c>
      <c r="I747" s="26">
        <v>38908</v>
      </c>
      <c r="J747">
        <v>2006</v>
      </c>
      <c r="K747" t="s">
        <v>7447</v>
      </c>
      <c r="L747">
        <v>287</v>
      </c>
      <c r="M747" t="s">
        <v>28781</v>
      </c>
      <c r="N747">
        <v>1</v>
      </c>
      <c r="Q747" t="s">
        <v>28782</v>
      </c>
      <c r="R747">
        <v>612.79999999999995</v>
      </c>
      <c r="S747" t="s">
        <v>28783</v>
      </c>
      <c r="T747" t="s">
        <v>30</v>
      </c>
      <c r="U747" t="s">
        <v>28784</v>
      </c>
      <c r="W747" t="s">
        <v>26009</v>
      </c>
    </row>
    <row r="748" spans="1:23" x14ac:dyDescent="0.35">
      <c r="A748">
        <v>274222</v>
      </c>
      <c r="B748" t="s">
        <v>28785</v>
      </c>
      <c r="C748" t="str">
        <f>"9780123694843"</f>
        <v>9780123694843</v>
      </c>
      <c r="D748" t="str">
        <f>"9780080463834"</f>
        <v>9780080463834</v>
      </c>
      <c r="E748" t="s">
        <v>27482</v>
      </c>
      <c r="F748" t="s">
        <v>7447</v>
      </c>
      <c r="G748" t="s">
        <v>22689</v>
      </c>
      <c r="H748" t="s">
        <v>26004</v>
      </c>
      <c r="I748" s="26">
        <v>38987</v>
      </c>
      <c r="J748">
        <v>2006</v>
      </c>
      <c r="K748" t="s">
        <v>946</v>
      </c>
      <c r="L748">
        <v>554</v>
      </c>
      <c r="M748" t="s">
        <v>28786</v>
      </c>
      <c r="N748">
        <v>2</v>
      </c>
      <c r="Q748" t="s">
        <v>28787</v>
      </c>
      <c r="R748" t="s">
        <v>28788</v>
      </c>
      <c r="S748" t="s">
        <v>28789</v>
      </c>
      <c r="T748" t="s">
        <v>30</v>
      </c>
      <c r="U748" t="s">
        <v>28790</v>
      </c>
      <c r="W748" t="s">
        <v>26009</v>
      </c>
    </row>
    <row r="749" spans="1:23" x14ac:dyDescent="0.35">
      <c r="A749">
        <v>274509</v>
      </c>
      <c r="B749" t="s">
        <v>28791</v>
      </c>
      <c r="C749" t="str">
        <f>"9780805842487"</f>
        <v>9780805842487</v>
      </c>
      <c r="D749" t="str">
        <f>"9781410616999"</f>
        <v>9781410616999</v>
      </c>
      <c r="E749" t="s">
        <v>26010</v>
      </c>
      <c r="F749" t="s">
        <v>35</v>
      </c>
      <c r="G749" t="s">
        <v>22436</v>
      </c>
      <c r="H749" t="s">
        <v>26004</v>
      </c>
      <c r="I749" s="26">
        <v>38685</v>
      </c>
      <c r="J749">
        <v>2005</v>
      </c>
      <c r="K749" t="s">
        <v>26012</v>
      </c>
      <c r="L749">
        <v>310</v>
      </c>
      <c r="M749" t="s">
        <v>28792</v>
      </c>
      <c r="N749">
        <v>1</v>
      </c>
      <c r="Q749" t="s">
        <v>28793</v>
      </c>
      <c r="R749">
        <v>155.232</v>
      </c>
      <c r="S749" t="s">
        <v>28794</v>
      </c>
      <c r="T749" t="s">
        <v>30</v>
      </c>
      <c r="U749" t="s">
        <v>26228</v>
      </c>
      <c r="W749" t="s">
        <v>26009</v>
      </c>
    </row>
    <row r="750" spans="1:23" x14ac:dyDescent="0.35">
      <c r="A750">
        <v>274515</v>
      </c>
      <c r="B750" t="s">
        <v>28795</v>
      </c>
      <c r="C750" t="str">
        <f>"9780805844153"</f>
        <v>9780805844153</v>
      </c>
      <c r="D750" t="str">
        <f>"9781410617057"</f>
        <v>9781410617057</v>
      </c>
      <c r="E750" t="s">
        <v>26010</v>
      </c>
      <c r="F750" t="s">
        <v>35</v>
      </c>
      <c r="G750" t="s">
        <v>22436</v>
      </c>
      <c r="H750" t="s">
        <v>26004</v>
      </c>
      <c r="I750" s="26">
        <v>38667</v>
      </c>
      <c r="J750">
        <v>2005</v>
      </c>
      <c r="K750" t="s">
        <v>660</v>
      </c>
      <c r="L750">
        <v>348</v>
      </c>
      <c r="M750" t="s">
        <v>28796</v>
      </c>
      <c r="N750">
        <v>1</v>
      </c>
      <c r="O750" t="s">
        <v>27738</v>
      </c>
      <c r="Q750" t="s">
        <v>28797</v>
      </c>
      <c r="R750" t="s">
        <v>28798</v>
      </c>
      <c r="S750" t="s">
        <v>28799</v>
      </c>
      <c r="T750" t="s">
        <v>30</v>
      </c>
      <c r="U750" t="s">
        <v>26044</v>
      </c>
      <c r="W750" t="s">
        <v>26009</v>
      </c>
    </row>
    <row r="751" spans="1:23" x14ac:dyDescent="0.35">
      <c r="A751">
        <v>274516</v>
      </c>
      <c r="B751" t="s">
        <v>9257</v>
      </c>
      <c r="C751" t="str">
        <f>"9780805843965"</f>
        <v>9780805843965</v>
      </c>
      <c r="D751" t="str">
        <f>"9781410617064"</f>
        <v>9781410617064</v>
      </c>
      <c r="E751" t="s">
        <v>26010</v>
      </c>
      <c r="F751" t="s">
        <v>35</v>
      </c>
      <c r="G751" t="s">
        <v>22436</v>
      </c>
      <c r="H751" t="s">
        <v>26004</v>
      </c>
      <c r="I751" s="26">
        <v>38673</v>
      </c>
      <c r="J751">
        <v>2005</v>
      </c>
      <c r="K751" t="s">
        <v>26012</v>
      </c>
      <c r="L751">
        <v>318</v>
      </c>
      <c r="M751" t="s">
        <v>28800</v>
      </c>
      <c r="N751">
        <v>1</v>
      </c>
      <c r="O751" t="s">
        <v>27533</v>
      </c>
      <c r="Q751" t="s">
        <v>28801</v>
      </c>
      <c r="R751" t="s">
        <v>26915</v>
      </c>
      <c r="S751" t="s">
        <v>28802</v>
      </c>
      <c r="T751" t="s">
        <v>30</v>
      </c>
      <c r="U751" t="s">
        <v>46</v>
      </c>
      <c r="W751" t="s">
        <v>26009</v>
      </c>
    </row>
    <row r="752" spans="1:23" x14ac:dyDescent="0.35">
      <c r="A752">
        <v>274532</v>
      </c>
      <c r="B752" t="s">
        <v>28803</v>
      </c>
      <c r="C752" t="str">
        <f>"9780805849578"</f>
        <v>9780805849578</v>
      </c>
      <c r="D752" t="str">
        <f>"9781410617224"</f>
        <v>9781410617224</v>
      </c>
      <c r="E752" t="s">
        <v>26010</v>
      </c>
      <c r="F752" t="s">
        <v>35</v>
      </c>
      <c r="G752" t="s">
        <v>22436</v>
      </c>
      <c r="H752" t="s">
        <v>26004</v>
      </c>
      <c r="I752" s="26">
        <v>38649</v>
      </c>
      <c r="J752">
        <v>2005</v>
      </c>
      <c r="K752" t="s">
        <v>26012</v>
      </c>
      <c r="L752">
        <v>355</v>
      </c>
      <c r="M752" t="s">
        <v>28804</v>
      </c>
      <c r="N752">
        <v>1</v>
      </c>
      <c r="Q752" t="s">
        <v>28805</v>
      </c>
      <c r="R752" t="s">
        <v>28806</v>
      </c>
      <c r="S752" t="s">
        <v>28807</v>
      </c>
      <c r="T752" t="s">
        <v>30</v>
      </c>
      <c r="U752" t="s">
        <v>26170</v>
      </c>
      <c r="W752" t="s">
        <v>26009</v>
      </c>
    </row>
    <row r="753" spans="1:23" x14ac:dyDescent="0.35">
      <c r="A753">
        <v>274546</v>
      </c>
      <c r="B753" t="s">
        <v>28808</v>
      </c>
      <c r="C753" t="str">
        <f>"9780805853902"</f>
        <v>9780805853902</v>
      </c>
      <c r="D753" t="str">
        <f>"9781410617361"</f>
        <v>9781410617361</v>
      </c>
      <c r="E753" t="s">
        <v>26010</v>
      </c>
      <c r="F753" t="s">
        <v>35</v>
      </c>
      <c r="G753" t="s">
        <v>22436</v>
      </c>
      <c r="H753" t="s">
        <v>26004</v>
      </c>
      <c r="I753" s="26">
        <v>38652</v>
      </c>
      <c r="J753">
        <v>2006</v>
      </c>
      <c r="K753" t="s">
        <v>660</v>
      </c>
      <c r="L753">
        <v>289</v>
      </c>
      <c r="M753" t="s">
        <v>28809</v>
      </c>
      <c r="N753">
        <v>1</v>
      </c>
      <c r="O753" t="s">
        <v>27590</v>
      </c>
      <c r="Q753" t="s">
        <v>28810</v>
      </c>
      <c r="R753" t="s">
        <v>28811</v>
      </c>
      <c r="S753" t="s">
        <v>28812</v>
      </c>
      <c r="T753" t="s">
        <v>30</v>
      </c>
      <c r="U753" t="s">
        <v>26044</v>
      </c>
      <c r="W753" t="s">
        <v>26009</v>
      </c>
    </row>
    <row r="754" spans="1:23" x14ac:dyDescent="0.35">
      <c r="A754">
        <v>275467</v>
      </c>
      <c r="B754" t="s">
        <v>28813</v>
      </c>
      <c r="C754" t="str">
        <f>"9781846631122"</f>
        <v>9781846631122</v>
      </c>
      <c r="D754" t="str">
        <f>"9781846631139"</f>
        <v>9781846631139</v>
      </c>
      <c r="E754" t="s">
        <v>7442</v>
      </c>
      <c r="F754" t="s">
        <v>7442</v>
      </c>
      <c r="G754" t="s">
        <v>23125</v>
      </c>
      <c r="H754" t="s">
        <v>26011</v>
      </c>
      <c r="I754" s="26">
        <v>38940</v>
      </c>
      <c r="J754">
        <v>2006</v>
      </c>
      <c r="K754" t="s">
        <v>264</v>
      </c>
      <c r="L754">
        <v>121</v>
      </c>
      <c r="M754" t="s">
        <v>28814</v>
      </c>
      <c r="N754">
        <v>1</v>
      </c>
      <c r="O754" t="s">
        <v>28815</v>
      </c>
      <c r="P754">
        <v>11</v>
      </c>
      <c r="Q754" t="s">
        <v>28816</v>
      </c>
      <c r="R754" t="s">
        <v>28817</v>
      </c>
      <c r="S754" t="s">
        <v>28818</v>
      </c>
      <c r="T754" t="s">
        <v>30</v>
      </c>
      <c r="U754" t="s">
        <v>26116</v>
      </c>
      <c r="W754" t="s">
        <v>26009</v>
      </c>
    </row>
    <row r="755" spans="1:23" x14ac:dyDescent="0.35">
      <c r="A755">
        <v>279433</v>
      </c>
      <c r="B755" t="s">
        <v>28819</v>
      </c>
      <c r="C755" t="str">
        <f>"9780195131895"</f>
        <v>9780195131895</v>
      </c>
      <c r="D755" t="str">
        <f>"9780198030232"</f>
        <v>9780198030232</v>
      </c>
      <c r="E755" t="s">
        <v>371</v>
      </c>
      <c r="F755" t="s">
        <v>31</v>
      </c>
      <c r="G755" t="s">
        <v>22703</v>
      </c>
      <c r="H755" t="s">
        <v>26004</v>
      </c>
      <c r="I755" s="26">
        <v>37049</v>
      </c>
      <c r="J755">
        <v>2003</v>
      </c>
      <c r="K755" t="s">
        <v>31</v>
      </c>
      <c r="L755">
        <v>289</v>
      </c>
      <c r="M755" t="s">
        <v>28820</v>
      </c>
      <c r="Q755" t="s">
        <v>28821</v>
      </c>
      <c r="R755">
        <v>152.4</v>
      </c>
      <c r="S755" t="s">
        <v>28822</v>
      </c>
      <c r="T755" t="s">
        <v>30</v>
      </c>
      <c r="U755" t="s">
        <v>26019</v>
      </c>
      <c r="W755" t="s">
        <v>26009</v>
      </c>
    </row>
    <row r="756" spans="1:23" x14ac:dyDescent="0.35">
      <c r="A756">
        <v>279466</v>
      </c>
      <c r="B756" t="s">
        <v>28823</v>
      </c>
      <c r="C756" t="str">
        <f>"9780195133394"</f>
        <v>9780195133394</v>
      </c>
      <c r="D756" t="str">
        <f>"9780195348682"</f>
        <v>9780195348682</v>
      </c>
      <c r="E756" t="s">
        <v>371</v>
      </c>
      <c r="F756" t="s">
        <v>31</v>
      </c>
      <c r="G756" t="s">
        <v>22703</v>
      </c>
      <c r="H756" t="s">
        <v>26004</v>
      </c>
      <c r="I756" s="26">
        <v>37203</v>
      </c>
      <c r="J756">
        <v>2002</v>
      </c>
      <c r="K756" t="s">
        <v>31</v>
      </c>
      <c r="L756">
        <v>216</v>
      </c>
      <c r="M756" t="s">
        <v>28824</v>
      </c>
      <c r="Q756" t="s">
        <v>28825</v>
      </c>
      <c r="R756">
        <v>305.26</v>
      </c>
      <c r="S756" t="s">
        <v>28826</v>
      </c>
      <c r="T756" t="s">
        <v>30</v>
      </c>
      <c r="U756" t="s">
        <v>26228</v>
      </c>
      <c r="W756" t="s">
        <v>26009</v>
      </c>
    </row>
    <row r="757" spans="1:23" x14ac:dyDescent="0.35">
      <c r="A757">
        <v>279486</v>
      </c>
      <c r="B757" t="s">
        <v>28827</v>
      </c>
      <c r="C757" t="str">
        <f>"9780195159189"</f>
        <v>9780195159189</v>
      </c>
      <c r="D757" t="str">
        <f>"9780198036098"</f>
        <v>9780198036098</v>
      </c>
      <c r="E757" t="s">
        <v>371</v>
      </c>
      <c r="F757" t="s">
        <v>31</v>
      </c>
      <c r="G757" t="s">
        <v>22703</v>
      </c>
      <c r="H757" t="s">
        <v>26004</v>
      </c>
      <c r="I757" s="26">
        <v>38799</v>
      </c>
      <c r="J757">
        <v>2004</v>
      </c>
      <c r="K757" t="s">
        <v>31</v>
      </c>
      <c r="L757">
        <v>207</v>
      </c>
      <c r="M757" t="s">
        <v>28828</v>
      </c>
      <c r="Q757" t="s">
        <v>28829</v>
      </c>
      <c r="R757" t="s">
        <v>28830</v>
      </c>
      <c r="S757" t="s">
        <v>28831</v>
      </c>
      <c r="T757" t="s">
        <v>30</v>
      </c>
      <c r="U757" t="s">
        <v>26019</v>
      </c>
      <c r="W757" t="s">
        <v>26009</v>
      </c>
    </row>
    <row r="758" spans="1:23" x14ac:dyDescent="0.35">
      <c r="A758">
        <v>279523</v>
      </c>
      <c r="B758" t="s">
        <v>28832</v>
      </c>
      <c r="C758" t="str">
        <f>"9780195156577"</f>
        <v>9780195156577</v>
      </c>
      <c r="D758" t="str">
        <f>"9780199728589"</f>
        <v>9780199728589</v>
      </c>
      <c r="E758" t="s">
        <v>371</v>
      </c>
      <c r="F758" t="s">
        <v>31</v>
      </c>
      <c r="G758" t="s">
        <v>22703</v>
      </c>
      <c r="H758" t="s">
        <v>26004</v>
      </c>
      <c r="I758" s="26">
        <v>37630</v>
      </c>
      <c r="J758">
        <v>2003</v>
      </c>
      <c r="K758" t="s">
        <v>31</v>
      </c>
      <c r="L758">
        <v>336</v>
      </c>
      <c r="M758" t="s">
        <v>28833</v>
      </c>
      <c r="Q758" t="s">
        <v>28834</v>
      </c>
      <c r="R758" t="s">
        <v>28835</v>
      </c>
      <c r="S758" t="s">
        <v>28836</v>
      </c>
      <c r="T758" t="s">
        <v>30</v>
      </c>
      <c r="U758" t="s">
        <v>46</v>
      </c>
      <c r="W758" t="s">
        <v>26009</v>
      </c>
    </row>
    <row r="759" spans="1:23" x14ac:dyDescent="0.35">
      <c r="A759">
        <v>279549</v>
      </c>
      <c r="B759" t="s">
        <v>28837</v>
      </c>
      <c r="C759" t="str">
        <f>"9780195167030"</f>
        <v>9780195167030</v>
      </c>
      <c r="D759" t="str">
        <f>"9780199727391"</f>
        <v>9780199727391</v>
      </c>
      <c r="E759" t="s">
        <v>371</v>
      </c>
      <c r="F759" t="s">
        <v>31</v>
      </c>
      <c r="G759" t="s">
        <v>22179</v>
      </c>
      <c r="H759" t="s">
        <v>26004</v>
      </c>
      <c r="I759" s="26">
        <v>38393</v>
      </c>
      <c r="J759">
        <v>2005</v>
      </c>
      <c r="K759" t="s">
        <v>31</v>
      </c>
      <c r="L759">
        <v>465</v>
      </c>
      <c r="M759" t="s">
        <v>28838</v>
      </c>
      <c r="Q759" t="s">
        <v>28839</v>
      </c>
      <c r="R759">
        <v>302</v>
      </c>
      <c r="S759" t="s">
        <v>28840</v>
      </c>
      <c r="T759" t="s">
        <v>30</v>
      </c>
      <c r="U759" t="s">
        <v>26170</v>
      </c>
      <c r="W759" t="s">
        <v>26009</v>
      </c>
    </row>
    <row r="760" spans="1:23" x14ac:dyDescent="0.35">
      <c r="A760">
        <v>279725</v>
      </c>
      <c r="B760" t="s">
        <v>8618</v>
      </c>
      <c r="C760" t="str">
        <f>"9780195162035"</f>
        <v>9780195162035</v>
      </c>
      <c r="D760" t="str">
        <f>"9780198036685"</f>
        <v>9780198036685</v>
      </c>
      <c r="E760" t="s">
        <v>371</v>
      </c>
      <c r="F760" t="s">
        <v>31</v>
      </c>
      <c r="G760" t="s">
        <v>22703</v>
      </c>
      <c r="H760" t="s">
        <v>26004</v>
      </c>
      <c r="I760" s="26">
        <v>38596</v>
      </c>
      <c r="J760">
        <v>2006</v>
      </c>
      <c r="K760" t="s">
        <v>31</v>
      </c>
      <c r="L760">
        <v>529</v>
      </c>
      <c r="M760" t="s">
        <v>28841</v>
      </c>
      <c r="O760" t="s">
        <v>28842</v>
      </c>
      <c r="Q760" t="s">
        <v>28843</v>
      </c>
      <c r="R760">
        <v>155.30000000000001</v>
      </c>
      <c r="S760" t="s">
        <v>28844</v>
      </c>
      <c r="T760" t="s">
        <v>30</v>
      </c>
      <c r="U760" t="s">
        <v>26228</v>
      </c>
      <c r="W760" t="s">
        <v>26009</v>
      </c>
    </row>
    <row r="761" spans="1:23" x14ac:dyDescent="0.35">
      <c r="A761">
        <v>279763</v>
      </c>
      <c r="B761" t="s">
        <v>9250</v>
      </c>
      <c r="C761" t="str">
        <f>"9780195149951"</f>
        <v>9780195149951</v>
      </c>
      <c r="D761" t="str">
        <f>"9780195348736"</f>
        <v>9780195348736</v>
      </c>
      <c r="E761" t="s">
        <v>371</v>
      </c>
      <c r="F761" t="s">
        <v>399</v>
      </c>
      <c r="G761" t="s">
        <v>22703</v>
      </c>
      <c r="H761" t="s">
        <v>26004</v>
      </c>
      <c r="I761" s="26">
        <v>37987</v>
      </c>
      <c r="J761">
        <v>2005</v>
      </c>
      <c r="K761" t="s">
        <v>27857</v>
      </c>
      <c r="L761">
        <v>605</v>
      </c>
      <c r="M761" t="s">
        <v>28845</v>
      </c>
      <c r="Q761" t="s">
        <v>28846</v>
      </c>
      <c r="R761">
        <v>154.19999999999999</v>
      </c>
      <c r="S761" t="s">
        <v>9251</v>
      </c>
      <c r="T761" t="s">
        <v>30</v>
      </c>
      <c r="U761" t="s">
        <v>46</v>
      </c>
      <c r="W761" t="s">
        <v>26009</v>
      </c>
    </row>
    <row r="762" spans="1:23" x14ac:dyDescent="0.35">
      <c r="A762">
        <v>279797</v>
      </c>
      <c r="B762" t="s">
        <v>28847</v>
      </c>
      <c r="C762" t="str">
        <f>"9780195167016"</f>
        <v>9780195167016</v>
      </c>
      <c r="D762" t="str">
        <f>"9780198037330"</f>
        <v>9780198037330</v>
      </c>
      <c r="E762" t="s">
        <v>371</v>
      </c>
      <c r="F762" t="s">
        <v>31</v>
      </c>
      <c r="G762" t="s">
        <v>22703</v>
      </c>
      <c r="H762" t="s">
        <v>26004</v>
      </c>
      <c r="I762" s="26">
        <v>38085</v>
      </c>
      <c r="J762">
        <v>2004</v>
      </c>
      <c r="K762" t="s">
        <v>31</v>
      </c>
      <c r="L762">
        <v>815</v>
      </c>
      <c r="M762" t="s">
        <v>28848</v>
      </c>
      <c r="Q762" t="s">
        <v>28849</v>
      </c>
      <c r="R762" t="s">
        <v>26888</v>
      </c>
      <c r="S762" t="s">
        <v>28850</v>
      </c>
      <c r="T762" t="s">
        <v>30</v>
      </c>
      <c r="U762" t="s">
        <v>46</v>
      </c>
      <c r="W762" t="s">
        <v>26009</v>
      </c>
    </row>
    <row r="763" spans="1:23" x14ac:dyDescent="0.35">
      <c r="A763">
        <v>280793</v>
      </c>
      <c r="B763" t="s">
        <v>8366</v>
      </c>
      <c r="C763" t="str">
        <f>"9789004143036"</f>
        <v>9789004143036</v>
      </c>
      <c r="D763" t="str">
        <f>"9781433704079"</f>
        <v>9781433704079</v>
      </c>
      <c r="E763" t="s">
        <v>4602</v>
      </c>
      <c r="F763" t="s">
        <v>27</v>
      </c>
      <c r="G763" t="s">
        <v>22614</v>
      </c>
      <c r="H763" t="s">
        <v>27983</v>
      </c>
      <c r="I763" s="26">
        <v>38306</v>
      </c>
      <c r="J763">
        <v>2005</v>
      </c>
      <c r="K763" t="s">
        <v>28851</v>
      </c>
      <c r="L763">
        <v>284</v>
      </c>
      <c r="M763" t="s">
        <v>28852</v>
      </c>
      <c r="N763">
        <v>2</v>
      </c>
      <c r="Q763" t="s">
        <v>28853</v>
      </c>
      <c r="R763">
        <v>302.3</v>
      </c>
      <c r="S763" t="s">
        <v>28854</v>
      </c>
      <c r="T763" t="s">
        <v>30</v>
      </c>
      <c r="U763" t="s">
        <v>26228</v>
      </c>
      <c r="W763" t="s">
        <v>26009</v>
      </c>
    </row>
    <row r="764" spans="1:23" x14ac:dyDescent="0.35">
      <c r="A764">
        <v>281039</v>
      </c>
      <c r="B764" t="s">
        <v>8650</v>
      </c>
      <c r="C764" t="str">
        <f>"9780195167047"</f>
        <v>9780195167047</v>
      </c>
      <c r="D764" t="str">
        <f>"9780199728169"</f>
        <v>9780199728169</v>
      </c>
      <c r="E764" t="s">
        <v>371</v>
      </c>
      <c r="F764" t="s">
        <v>31</v>
      </c>
      <c r="G764" t="s">
        <v>22703</v>
      </c>
      <c r="H764" t="s">
        <v>26004</v>
      </c>
      <c r="I764" s="26">
        <v>37875</v>
      </c>
      <c r="J764">
        <v>2003</v>
      </c>
      <c r="K764" t="s">
        <v>31</v>
      </c>
      <c r="L764">
        <v>656</v>
      </c>
      <c r="M764" t="s">
        <v>28855</v>
      </c>
      <c r="Q764" t="s">
        <v>28856</v>
      </c>
      <c r="R764" t="s">
        <v>27122</v>
      </c>
      <c r="S764" t="s">
        <v>28857</v>
      </c>
      <c r="T764" t="s">
        <v>30</v>
      </c>
      <c r="U764" t="s">
        <v>26116</v>
      </c>
      <c r="W764" t="s">
        <v>26009</v>
      </c>
    </row>
    <row r="765" spans="1:23" x14ac:dyDescent="0.35">
      <c r="A765">
        <v>281044</v>
      </c>
      <c r="B765" t="s">
        <v>28858</v>
      </c>
      <c r="C765" t="str">
        <f>"9780195154047"</f>
        <v>9780195154047</v>
      </c>
      <c r="D765" t="str">
        <f>"9780195348378"</f>
        <v>9780195348378</v>
      </c>
      <c r="E765" t="s">
        <v>371</v>
      </c>
      <c r="F765" t="s">
        <v>31</v>
      </c>
      <c r="G765" t="s">
        <v>22703</v>
      </c>
      <c r="H765" t="s">
        <v>26004</v>
      </c>
      <c r="I765" s="26">
        <v>37889</v>
      </c>
      <c r="J765">
        <v>2003</v>
      </c>
      <c r="K765" t="s">
        <v>31</v>
      </c>
      <c r="L765">
        <v>416</v>
      </c>
      <c r="M765" t="s">
        <v>28859</v>
      </c>
      <c r="Q765" t="s">
        <v>28860</v>
      </c>
      <c r="R765" t="s">
        <v>26360</v>
      </c>
      <c r="S765" t="s">
        <v>28861</v>
      </c>
      <c r="T765" t="s">
        <v>30</v>
      </c>
      <c r="U765" t="s">
        <v>46</v>
      </c>
      <c r="W765" t="s">
        <v>26009</v>
      </c>
    </row>
    <row r="766" spans="1:23" x14ac:dyDescent="0.35">
      <c r="A766">
        <v>281064</v>
      </c>
      <c r="B766" t="s">
        <v>28862</v>
      </c>
      <c r="C766" t="str">
        <f>"9780195135947"</f>
        <v>9780195135947</v>
      </c>
      <c r="D766" t="str">
        <f>"9780198031079"</f>
        <v>9780198031079</v>
      </c>
      <c r="E766" t="s">
        <v>371</v>
      </c>
      <c r="F766" t="s">
        <v>31</v>
      </c>
      <c r="G766" t="s">
        <v>22703</v>
      </c>
      <c r="H766" t="s">
        <v>26004</v>
      </c>
      <c r="I766" s="26">
        <v>38001</v>
      </c>
      <c r="J766">
        <v>2004</v>
      </c>
      <c r="K766" t="s">
        <v>31</v>
      </c>
      <c r="L766">
        <v>588</v>
      </c>
      <c r="M766" t="s">
        <v>28863</v>
      </c>
      <c r="Q766" t="s">
        <v>28864</v>
      </c>
      <c r="R766" t="s">
        <v>28865</v>
      </c>
      <c r="S766" t="s">
        <v>28866</v>
      </c>
      <c r="T766" t="s">
        <v>30</v>
      </c>
      <c r="U766" t="s">
        <v>26019</v>
      </c>
      <c r="W766" t="s">
        <v>26009</v>
      </c>
    </row>
    <row r="767" spans="1:23" x14ac:dyDescent="0.35">
      <c r="A767">
        <v>281095</v>
      </c>
      <c r="B767" t="s">
        <v>28867</v>
      </c>
      <c r="C767" t="str">
        <f>"9781552500736"</f>
        <v>9781552500736</v>
      </c>
      <c r="D767" t="str">
        <f>"9781552503539"</f>
        <v>9781552503539</v>
      </c>
      <c r="E767" t="s">
        <v>28206</v>
      </c>
      <c r="F767" t="s">
        <v>7590</v>
      </c>
      <c r="G767" t="s">
        <v>22756</v>
      </c>
      <c r="H767" t="s">
        <v>26004</v>
      </c>
      <c r="I767" s="26">
        <v>37622</v>
      </c>
      <c r="J767">
        <v>2003</v>
      </c>
      <c r="K767" t="s">
        <v>7590</v>
      </c>
      <c r="L767">
        <v>97</v>
      </c>
      <c r="M767" t="s">
        <v>28868</v>
      </c>
      <c r="Q767" t="s">
        <v>28869</v>
      </c>
      <c r="R767">
        <v>362.29599999999999</v>
      </c>
      <c r="S767" t="s">
        <v>28870</v>
      </c>
      <c r="T767" t="s">
        <v>30</v>
      </c>
      <c r="U767" t="s">
        <v>26250</v>
      </c>
      <c r="W767" t="s">
        <v>26009</v>
      </c>
    </row>
    <row r="768" spans="1:23" x14ac:dyDescent="0.35">
      <c r="A768">
        <v>281188</v>
      </c>
      <c r="B768" t="s">
        <v>28871</v>
      </c>
      <c r="C768" t="str">
        <f>"9780195136258"</f>
        <v>9780195136258</v>
      </c>
      <c r="D768" t="str">
        <f>"9780198031192"</f>
        <v>9780198031192</v>
      </c>
      <c r="E768" t="s">
        <v>371</v>
      </c>
      <c r="F768" t="s">
        <v>399</v>
      </c>
      <c r="G768" t="s">
        <v>22703</v>
      </c>
      <c r="H768" t="s">
        <v>26004</v>
      </c>
      <c r="I768" s="26">
        <v>36909</v>
      </c>
      <c r="J768">
        <v>2002</v>
      </c>
      <c r="K768" t="s">
        <v>27857</v>
      </c>
      <c r="L768">
        <v>216</v>
      </c>
      <c r="M768" t="s">
        <v>28872</v>
      </c>
      <c r="Q768" t="s">
        <v>28873</v>
      </c>
      <c r="R768" t="s">
        <v>28874</v>
      </c>
      <c r="S768" t="s">
        <v>28875</v>
      </c>
      <c r="T768" t="s">
        <v>30</v>
      </c>
      <c r="U768" t="s">
        <v>28876</v>
      </c>
      <c r="W768" t="s">
        <v>26009</v>
      </c>
    </row>
    <row r="769" spans="1:23" x14ac:dyDescent="0.35">
      <c r="A769">
        <v>281239</v>
      </c>
      <c r="B769" t="s">
        <v>28877</v>
      </c>
      <c r="C769" t="str">
        <f>"9780195138931"</f>
        <v>9780195138931</v>
      </c>
      <c r="D769" t="str">
        <f>"9780198031772"</f>
        <v>9780198031772</v>
      </c>
      <c r="E769" t="s">
        <v>371</v>
      </c>
      <c r="F769" t="s">
        <v>31</v>
      </c>
      <c r="G769" t="s">
        <v>22703</v>
      </c>
      <c r="H769" t="s">
        <v>26004</v>
      </c>
      <c r="I769" s="26">
        <v>38456</v>
      </c>
      <c r="J769">
        <v>2002</v>
      </c>
      <c r="K769" t="s">
        <v>31</v>
      </c>
      <c r="L769">
        <v>341</v>
      </c>
      <c r="M769" t="s">
        <v>28878</v>
      </c>
      <c r="Q769" t="s">
        <v>28879</v>
      </c>
      <c r="R769">
        <v>615.78269999999998</v>
      </c>
      <c r="S769" t="s">
        <v>28880</v>
      </c>
      <c r="T769" t="s">
        <v>30</v>
      </c>
      <c r="U769" t="s">
        <v>28881</v>
      </c>
      <c r="W769" t="s">
        <v>26009</v>
      </c>
    </row>
    <row r="770" spans="1:23" x14ac:dyDescent="0.35">
      <c r="A770">
        <v>281254</v>
      </c>
      <c r="B770" t="s">
        <v>8756</v>
      </c>
      <c r="C770" t="str">
        <f>"9780195148732"</f>
        <v>9780195148732</v>
      </c>
      <c r="D770" t="str">
        <f>"9780198033967"</f>
        <v>9780198033967</v>
      </c>
      <c r="E770" t="s">
        <v>371</v>
      </c>
      <c r="F770" t="s">
        <v>31</v>
      </c>
      <c r="G770" t="s">
        <v>22703</v>
      </c>
      <c r="H770" t="s">
        <v>26004</v>
      </c>
      <c r="I770" s="26">
        <v>38456</v>
      </c>
      <c r="J770">
        <v>2005</v>
      </c>
      <c r="K770" t="s">
        <v>31</v>
      </c>
      <c r="L770">
        <v>256</v>
      </c>
      <c r="M770" t="s">
        <v>28882</v>
      </c>
      <c r="Q770" t="s">
        <v>28883</v>
      </c>
      <c r="R770">
        <v>616.85853999999995</v>
      </c>
      <c r="S770" t="s">
        <v>8757</v>
      </c>
      <c r="T770" t="s">
        <v>30</v>
      </c>
      <c r="U770" t="s">
        <v>26116</v>
      </c>
      <c r="W770" t="s">
        <v>26009</v>
      </c>
    </row>
    <row r="771" spans="1:23" x14ac:dyDescent="0.35">
      <c r="A771">
        <v>281264</v>
      </c>
      <c r="B771" t="s">
        <v>7653</v>
      </c>
      <c r="C771" t="str">
        <f>"9780195137811"</f>
        <v>9780195137811</v>
      </c>
      <c r="D771" t="str">
        <f>"9780198031529"</f>
        <v>9780198031529</v>
      </c>
      <c r="E771" t="s">
        <v>371</v>
      </c>
      <c r="F771" t="s">
        <v>31</v>
      </c>
      <c r="G771" t="s">
        <v>22703</v>
      </c>
      <c r="H771" t="s">
        <v>26004</v>
      </c>
      <c r="I771" s="26">
        <v>37532</v>
      </c>
      <c r="J771">
        <v>2003</v>
      </c>
      <c r="K771" t="s">
        <v>31</v>
      </c>
      <c r="L771">
        <v>295</v>
      </c>
      <c r="M771" t="s">
        <v>28884</v>
      </c>
      <c r="N771">
        <v>4</v>
      </c>
      <c r="Q771" t="s">
        <v>28885</v>
      </c>
      <c r="R771">
        <v>616.89</v>
      </c>
      <c r="S771" t="s">
        <v>7654</v>
      </c>
      <c r="T771" t="s">
        <v>30</v>
      </c>
      <c r="U771" t="s">
        <v>26040</v>
      </c>
      <c r="W771" t="s">
        <v>26009</v>
      </c>
    </row>
    <row r="772" spans="1:23" x14ac:dyDescent="0.35">
      <c r="A772">
        <v>281275</v>
      </c>
      <c r="B772" t="s">
        <v>7923</v>
      </c>
      <c r="C772" t="str">
        <f>"9780195160239"</f>
        <v>9780195160239</v>
      </c>
      <c r="D772" t="str">
        <f>"9780198036333"</f>
        <v>9780198036333</v>
      </c>
      <c r="E772" t="s">
        <v>371</v>
      </c>
      <c r="F772" t="s">
        <v>31</v>
      </c>
      <c r="G772" t="s">
        <v>22703</v>
      </c>
      <c r="H772" t="s">
        <v>26004</v>
      </c>
      <c r="I772" s="26">
        <v>38596</v>
      </c>
      <c r="J772">
        <v>2005</v>
      </c>
      <c r="K772" t="s">
        <v>31</v>
      </c>
      <c r="L772">
        <v>313</v>
      </c>
      <c r="M772" t="s">
        <v>28886</v>
      </c>
      <c r="Q772" t="s">
        <v>28887</v>
      </c>
      <c r="R772">
        <v>362.19697919999999</v>
      </c>
      <c r="S772" t="s">
        <v>28888</v>
      </c>
      <c r="T772" t="s">
        <v>30</v>
      </c>
      <c r="U772" t="s">
        <v>26094</v>
      </c>
      <c r="W772" t="s">
        <v>26009</v>
      </c>
    </row>
    <row r="773" spans="1:23" x14ac:dyDescent="0.35">
      <c r="A773">
        <v>281279</v>
      </c>
      <c r="B773" t="s">
        <v>28889</v>
      </c>
      <c r="C773" t="str">
        <f>"9780195144901"</f>
        <v>9780195144901</v>
      </c>
      <c r="D773" t="str">
        <f>"9780198033097"</f>
        <v>9780198033097</v>
      </c>
      <c r="E773" t="s">
        <v>371</v>
      </c>
      <c r="F773" t="s">
        <v>31</v>
      </c>
      <c r="G773" t="s">
        <v>22179</v>
      </c>
      <c r="H773" t="s">
        <v>26004</v>
      </c>
      <c r="I773" s="26">
        <v>37280</v>
      </c>
      <c r="J773">
        <v>2002</v>
      </c>
      <c r="K773" t="s">
        <v>31</v>
      </c>
      <c r="L773">
        <v>239</v>
      </c>
      <c r="M773" t="s">
        <v>28890</v>
      </c>
      <c r="Q773" t="s">
        <v>28891</v>
      </c>
      <c r="R773">
        <v>616.79999999999995</v>
      </c>
      <c r="S773" t="s">
        <v>28892</v>
      </c>
      <c r="T773" t="s">
        <v>30</v>
      </c>
      <c r="U773" t="s">
        <v>28893</v>
      </c>
      <c r="W773" t="s">
        <v>26009</v>
      </c>
    </row>
    <row r="774" spans="1:23" x14ac:dyDescent="0.35">
      <c r="A774">
        <v>281290</v>
      </c>
      <c r="B774" t="s">
        <v>7841</v>
      </c>
      <c r="C774" t="str">
        <f>"9780195168303"</f>
        <v>9780195168303</v>
      </c>
      <c r="D774" t="str">
        <f>"9780198037620"</f>
        <v>9780198037620</v>
      </c>
      <c r="E774" t="s">
        <v>371</v>
      </c>
      <c r="F774" t="s">
        <v>399</v>
      </c>
      <c r="G774" t="s">
        <v>22703</v>
      </c>
      <c r="H774" t="s">
        <v>26004</v>
      </c>
      <c r="I774" s="26">
        <v>38718</v>
      </c>
      <c r="J774">
        <v>2006</v>
      </c>
      <c r="K774" t="s">
        <v>27857</v>
      </c>
      <c r="L774">
        <v>529</v>
      </c>
      <c r="M774" t="s">
        <v>28894</v>
      </c>
      <c r="N774">
        <v>2</v>
      </c>
      <c r="Q774" t="s">
        <v>28895</v>
      </c>
      <c r="R774" t="s">
        <v>28896</v>
      </c>
      <c r="S774" t="s">
        <v>28897</v>
      </c>
      <c r="T774" t="s">
        <v>30</v>
      </c>
      <c r="U774" t="s">
        <v>28898</v>
      </c>
      <c r="W774" t="s">
        <v>26009</v>
      </c>
    </row>
    <row r="775" spans="1:23" x14ac:dyDescent="0.35">
      <c r="A775">
        <v>281296</v>
      </c>
      <c r="B775" t="s">
        <v>28899</v>
      </c>
      <c r="C775" t="str">
        <f>"9780195153798"</f>
        <v>9780195153798</v>
      </c>
      <c r="D775" t="str">
        <f>"9780195348385"</f>
        <v>9780195348385</v>
      </c>
      <c r="E775" t="s">
        <v>371</v>
      </c>
      <c r="F775" t="s">
        <v>31</v>
      </c>
      <c r="G775" t="s">
        <v>22703</v>
      </c>
      <c r="H775" t="s">
        <v>26004</v>
      </c>
      <c r="I775" s="26">
        <v>39518</v>
      </c>
      <c r="J775">
        <v>2003</v>
      </c>
      <c r="K775" t="s">
        <v>31</v>
      </c>
      <c r="L775">
        <v>449</v>
      </c>
      <c r="M775" t="s">
        <v>28900</v>
      </c>
      <c r="Q775" t="s">
        <v>28901</v>
      </c>
      <c r="R775">
        <v>610.72</v>
      </c>
      <c r="S775" t="s">
        <v>28902</v>
      </c>
      <c r="T775" t="s">
        <v>30</v>
      </c>
      <c r="U775" t="s">
        <v>26040</v>
      </c>
      <c r="W775" t="s">
        <v>26009</v>
      </c>
    </row>
    <row r="776" spans="1:23" x14ac:dyDescent="0.35">
      <c r="A776">
        <v>281299</v>
      </c>
      <c r="B776" t="s">
        <v>28903</v>
      </c>
      <c r="C776" t="str">
        <f>"9780195143461"</f>
        <v>9780195143461</v>
      </c>
      <c r="D776" t="str">
        <f>"9780198032786"</f>
        <v>9780198032786</v>
      </c>
      <c r="E776" t="s">
        <v>371</v>
      </c>
      <c r="F776" t="s">
        <v>399</v>
      </c>
      <c r="G776" t="s">
        <v>22703</v>
      </c>
      <c r="H776" t="s">
        <v>26004</v>
      </c>
      <c r="I776" s="26">
        <v>37257</v>
      </c>
      <c r="J776">
        <v>2002</v>
      </c>
      <c r="K776" t="s">
        <v>27857</v>
      </c>
      <c r="L776">
        <v>465</v>
      </c>
      <c r="M776" t="s">
        <v>28904</v>
      </c>
      <c r="Q776" t="s">
        <v>28905</v>
      </c>
      <c r="R776" t="s">
        <v>27122</v>
      </c>
      <c r="S776" t="s">
        <v>28906</v>
      </c>
      <c r="T776" t="s">
        <v>30</v>
      </c>
      <c r="U776" t="s">
        <v>26116</v>
      </c>
      <c r="W776" t="s">
        <v>26009</v>
      </c>
    </row>
    <row r="777" spans="1:23" x14ac:dyDescent="0.35">
      <c r="A777">
        <v>281301</v>
      </c>
      <c r="B777" t="s">
        <v>28907</v>
      </c>
      <c r="C777" t="str">
        <f>"9780195141740"</f>
        <v>9780195141740</v>
      </c>
      <c r="D777" t="str">
        <f>"9780198032465"</f>
        <v>9780198032465</v>
      </c>
      <c r="E777" t="s">
        <v>371</v>
      </c>
      <c r="F777" t="s">
        <v>31</v>
      </c>
      <c r="G777" t="s">
        <v>22703</v>
      </c>
      <c r="H777" t="s">
        <v>26004</v>
      </c>
      <c r="I777" s="26">
        <v>37257</v>
      </c>
      <c r="J777">
        <v>2002</v>
      </c>
      <c r="K777" t="s">
        <v>27857</v>
      </c>
      <c r="L777">
        <v>383</v>
      </c>
      <c r="M777" t="s">
        <v>28908</v>
      </c>
      <c r="Q777" t="s">
        <v>28909</v>
      </c>
      <c r="R777" t="s">
        <v>28874</v>
      </c>
      <c r="S777" t="s">
        <v>28910</v>
      </c>
      <c r="T777" t="s">
        <v>30</v>
      </c>
      <c r="U777" t="s">
        <v>28876</v>
      </c>
      <c r="W777" t="s">
        <v>26009</v>
      </c>
    </row>
    <row r="778" spans="1:23" x14ac:dyDescent="0.35">
      <c r="A778">
        <v>281318</v>
      </c>
      <c r="B778" t="s">
        <v>28911</v>
      </c>
      <c r="C778" t="str">
        <f>"9780195145205"</f>
        <v>9780195145205</v>
      </c>
      <c r="D778" t="str">
        <f>"9780195349252"</f>
        <v>9780195349252</v>
      </c>
      <c r="E778" t="s">
        <v>371</v>
      </c>
      <c r="F778" t="s">
        <v>31</v>
      </c>
      <c r="G778" t="s">
        <v>22179</v>
      </c>
      <c r="H778" t="s">
        <v>26004</v>
      </c>
      <c r="I778" s="26">
        <v>37399</v>
      </c>
      <c r="J778">
        <v>2002</v>
      </c>
      <c r="K778" t="s">
        <v>31</v>
      </c>
      <c r="L778">
        <v>289</v>
      </c>
      <c r="M778" t="s">
        <v>28912</v>
      </c>
      <c r="Q778" t="s">
        <v>28913</v>
      </c>
      <c r="R778" t="s">
        <v>26937</v>
      </c>
      <c r="S778" t="s">
        <v>7645</v>
      </c>
      <c r="T778" t="s">
        <v>30</v>
      </c>
      <c r="U778" t="s">
        <v>46</v>
      </c>
      <c r="W778" t="s">
        <v>26009</v>
      </c>
    </row>
    <row r="779" spans="1:23" x14ac:dyDescent="0.35">
      <c r="A779">
        <v>281324</v>
      </c>
      <c r="B779" t="s">
        <v>28914</v>
      </c>
      <c r="C779" t="str">
        <f>"9780195165234"</f>
        <v>9780195165234</v>
      </c>
      <c r="D779" t="str">
        <f>"9780198036999"</f>
        <v>9780198036999</v>
      </c>
      <c r="E779" t="s">
        <v>371</v>
      </c>
      <c r="F779" t="s">
        <v>31</v>
      </c>
      <c r="G779" t="s">
        <v>22703</v>
      </c>
      <c r="H779" t="s">
        <v>26004</v>
      </c>
      <c r="I779" s="26">
        <v>38288</v>
      </c>
      <c r="J779">
        <v>2005</v>
      </c>
      <c r="K779" t="s">
        <v>31</v>
      </c>
      <c r="L779">
        <v>235</v>
      </c>
      <c r="M779" t="s">
        <v>28915</v>
      </c>
      <c r="Q779" t="s">
        <v>28916</v>
      </c>
      <c r="R779">
        <v>616.85270000000003</v>
      </c>
      <c r="S779" t="s">
        <v>28917</v>
      </c>
      <c r="T779" t="s">
        <v>30</v>
      </c>
      <c r="U779" t="s">
        <v>26019</v>
      </c>
      <c r="W779" t="s">
        <v>26009</v>
      </c>
    </row>
    <row r="780" spans="1:23" x14ac:dyDescent="0.35">
      <c r="A780">
        <v>281327</v>
      </c>
      <c r="B780" t="s">
        <v>8249</v>
      </c>
      <c r="C780" t="str">
        <f>"9780195034936"</f>
        <v>9780195034936</v>
      </c>
      <c r="D780" t="str">
        <f>"9780198020585"</f>
        <v>9780198020585</v>
      </c>
      <c r="E780" t="s">
        <v>371</v>
      </c>
      <c r="F780" t="s">
        <v>31</v>
      </c>
      <c r="G780" t="s">
        <v>22703</v>
      </c>
      <c r="H780" t="s">
        <v>26004</v>
      </c>
      <c r="I780" s="26">
        <v>31239</v>
      </c>
      <c r="J780">
        <v>2002</v>
      </c>
      <c r="K780" t="s">
        <v>31</v>
      </c>
      <c r="L780">
        <v>400</v>
      </c>
      <c r="M780" t="s">
        <v>28918</v>
      </c>
      <c r="O780" t="s">
        <v>28919</v>
      </c>
      <c r="P780">
        <v>6</v>
      </c>
      <c r="Q780" t="s">
        <v>28920</v>
      </c>
      <c r="R780">
        <v>151.1</v>
      </c>
      <c r="S780" t="s">
        <v>28921</v>
      </c>
      <c r="T780" t="s">
        <v>30</v>
      </c>
      <c r="U780" t="s">
        <v>46</v>
      </c>
      <c r="W780" t="s">
        <v>26009</v>
      </c>
    </row>
    <row r="781" spans="1:23" x14ac:dyDescent="0.35">
      <c r="A781">
        <v>281330</v>
      </c>
      <c r="B781" t="s">
        <v>28922</v>
      </c>
      <c r="C781" t="str">
        <f>"9780195154290"</f>
        <v>9780195154290</v>
      </c>
      <c r="D781" t="str">
        <f>"9780198035114"</f>
        <v>9780198035114</v>
      </c>
      <c r="E781" t="s">
        <v>371</v>
      </c>
      <c r="F781" t="s">
        <v>31</v>
      </c>
      <c r="G781" t="s">
        <v>22703</v>
      </c>
      <c r="H781" t="s">
        <v>26004</v>
      </c>
      <c r="I781" s="26">
        <v>38428</v>
      </c>
      <c r="J781">
        <v>2005</v>
      </c>
      <c r="K781" t="s">
        <v>31</v>
      </c>
      <c r="L781">
        <v>423</v>
      </c>
      <c r="M781" t="s">
        <v>28923</v>
      </c>
      <c r="Q781" t="s">
        <v>28924</v>
      </c>
      <c r="R781">
        <v>618.92891399999996</v>
      </c>
      <c r="S781" t="s">
        <v>28925</v>
      </c>
      <c r="T781" t="s">
        <v>30</v>
      </c>
      <c r="U781" t="s">
        <v>26116</v>
      </c>
      <c r="W781" t="s">
        <v>26009</v>
      </c>
    </row>
    <row r="782" spans="1:23" x14ac:dyDescent="0.35">
      <c r="A782">
        <v>281332</v>
      </c>
      <c r="B782" t="s">
        <v>28926</v>
      </c>
      <c r="C782" t="str">
        <f>"9780195149944"</f>
        <v>9780195149944</v>
      </c>
      <c r="D782" t="str">
        <f>"9780195348743"</f>
        <v>9780195348743</v>
      </c>
      <c r="E782" t="s">
        <v>371</v>
      </c>
      <c r="F782" t="s">
        <v>31</v>
      </c>
      <c r="G782" t="s">
        <v>22703</v>
      </c>
      <c r="H782" t="s">
        <v>26004</v>
      </c>
      <c r="I782" s="26">
        <v>38085</v>
      </c>
      <c r="J782">
        <v>2004</v>
      </c>
      <c r="K782" t="s">
        <v>31</v>
      </c>
      <c r="L782">
        <v>201</v>
      </c>
      <c r="M782" t="s">
        <v>28927</v>
      </c>
      <c r="O782" t="s">
        <v>27886</v>
      </c>
      <c r="Q782" t="s">
        <v>28928</v>
      </c>
      <c r="R782">
        <v>150</v>
      </c>
      <c r="S782" t="s">
        <v>28929</v>
      </c>
      <c r="T782" t="s">
        <v>30</v>
      </c>
      <c r="U782" t="s">
        <v>46</v>
      </c>
      <c r="W782" t="s">
        <v>26009</v>
      </c>
    </row>
    <row r="783" spans="1:23" x14ac:dyDescent="0.35">
      <c r="A783">
        <v>281339</v>
      </c>
      <c r="B783" t="s">
        <v>28930</v>
      </c>
      <c r="C783" t="str">
        <f>"9780195166231"</f>
        <v>9780195166231</v>
      </c>
      <c r="D783" t="str">
        <f>"9780195343670"</f>
        <v>9780195343670</v>
      </c>
      <c r="E783" t="s">
        <v>371</v>
      </c>
      <c r="F783" t="s">
        <v>31</v>
      </c>
      <c r="G783" t="s">
        <v>22703</v>
      </c>
      <c r="H783" t="s">
        <v>26004</v>
      </c>
      <c r="I783" s="26">
        <v>38274</v>
      </c>
      <c r="J783">
        <v>2005</v>
      </c>
      <c r="K783" t="s">
        <v>31</v>
      </c>
      <c r="L783">
        <v>279</v>
      </c>
      <c r="M783" t="s">
        <v>28931</v>
      </c>
      <c r="Q783" t="s">
        <v>28932</v>
      </c>
      <c r="R783" t="s">
        <v>28933</v>
      </c>
      <c r="S783" t="s">
        <v>28934</v>
      </c>
      <c r="T783" t="s">
        <v>30</v>
      </c>
      <c r="U783" t="s">
        <v>28935</v>
      </c>
      <c r="W783" t="s">
        <v>26009</v>
      </c>
    </row>
    <row r="784" spans="1:23" x14ac:dyDescent="0.35">
      <c r="A784">
        <v>281341</v>
      </c>
      <c r="B784" t="s">
        <v>10234</v>
      </c>
      <c r="C784" t="str">
        <f>"9780195159912"</f>
        <v>9780195159912</v>
      </c>
      <c r="D784" t="str">
        <f>"9780195347845"</f>
        <v>9780195347845</v>
      </c>
      <c r="E784" t="s">
        <v>371</v>
      </c>
      <c r="F784" t="s">
        <v>31</v>
      </c>
      <c r="G784" t="s">
        <v>22179</v>
      </c>
      <c r="H784" t="s">
        <v>26004</v>
      </c>
      <c r="I784" s="26">
        <v>38435</v>
      </c>
      <c r="J784">
        <v>2005</v>
      </c>
      <c r="K784" t="s">
        <v>31</v>
      </c>
      <c r="L784">
        <v>368</v>
      </c>
      <c r="M784" t="s">
        <v>28936</v>
      </c>
      <c r="Q784" t="s">
        <v>28937</v>
      </c>
      <c r="R784" t="s">
        <v>26360</v>
      </c>
      <c r="S784" t="s">
        <v>28938</v>
      </c>
      <c r="T784" t="s">
        <v>30</v>
      </c>
      <c r="U784" t="s">
        <v>46</v>
      </c>
      <c r="W784" t="s">
        <v>26009</v>
      </c>
    </row>
    <row r="785" spans="1:23" x14ac:dyDescent="0.35">
      <c r="A785">
        <v>281345</v>
      </c>
      <c r="B785" t="s">
        <v>28939</v>
      </c>
      <c r="C785" t="str">
        <f>"9780195156065"</f>
        <v>9780195156065</v>
      </c>
      <c r="D785" t="str">
        <f>"9780198035466"</f>
        <v>9780198035466</v>
      </c>
      <c r="E785" t="s">
        <v>371</v>
      </c>
      <c r="F785" t="s">
        <v>399</v>
      </c>
      <c r="G785" t="s">
        <v>22703</v>
      </c>
      <c r="H785" t="s">
        <v>26004</v>
      </c>
      <c r="I785" s="26">
        <v>37987</v>
      </c>
      <c r="J785">
        <v>2005</v>
      </c>
      <c r="K785" t="s">
        <v>27857</v>
      </c>
      <c r="L785">
        <v>441</v>
      </c>
      <c r="M785" t="s">
        <v>28940</v>
      </c>
      <c r="Q785" t="s">
        <v>28941</v>
      </c>
      <c r="R785" t="s">
        <v>28942</v>
      </c>
      <c r="S785" t="s">
        <v>28943</v>
      </c>
      <c r="T785" t="s">
        <v>30</v>
      </c>
      <c r="U785" t="s">
        <v>26019</v>
      </c>
      <c r="W785" t="s">
        <v>26009</v>
      </c>
    </row>
    <row r="786" spans="1:23" x14ac:dyDescent="0.35">
      <c r="A786">
        <v>281369</v>
      </c>
      <c r="B786" t="s">
        <v>8245</v>
      </c>
      <c r="C786" t="str">
        <f>"9780195148206"</f>
        <v>9780195148206</v>
      </c>
      <c r="D786" t="str">
        <f>"9780198033783"</f>
        <v>9780198033783</v>
      </c>
      <c r="E786" t="s">
        <v>371</v>
      </c>
      <c r="F786" t="s">
        <v>31</v>
      </c>
      <c r="G786" t="s">
        <v>22703</v>
      </c>
      <c r="H786" t="s">
        <v>26004</v>
      </c>
      <c r="I786" s="26">
        <v>37434</v>
      </c>
      <c r="J786">
        <v>2002</v>
      </c>
      <c r="K786" t="s">
        <v>31</v>
      </c>
      <c r="L786">
        <v>339</v>
      </c>
      <c r="M786" t="s">
        <v>28944</v>
      </c>
      <c r="N786">
        <v>4</v>
      </c>
      <c r="Q786" t="s">
        <v>28945</v>
      </c>
      <c r="R786" t="s">
        <v>27860</v>
      </c>
      <c r="S786" t="s">
        <v>28946</v>
      </c>
      <c r="T786" t="s">
        <v>30</v>
      </c>
      <c r="U786" t="s">
        <v>26116</v>
      </c>
      <c r="W786" t="s">
        <v>26009</v>
      </c>
    </row>
    <row r="787" spans="1:23" x14ac:dyDescent="0.35">
      <c r="A787">
        <v>281371</v>
      </c>
      <c r="B787" t="s">
        <v>8645</v>
      </c>
      <c r="C787" t="str">
        <f>"9780195168273"</f>
        <v>9780195168273</v>
      </c>
      <c r="D787" t="str">
        <f>"9780198037606"</f>
        <v>9780198037606</v>
      </c>
      <c r="E787" t="s">
        <v>371</v>
      </c>
      <c r="F787" t="s">
        <v>31</v>
      </c>
      <c r="G787" t="s">
        <v>22703</v>
      </c>
      <c r="H787" t="s">
        <v>26004</v>
      </c>
      <c r="I787" s="26">
        <v>38540</v>
      </c>
      <c r="J787">
        <v>2005</v>
      </c>
      <c r="K787" t="s">
        <v>31</v>
      </c>
      <c r="L787">
        <v>393</v>
      </c>
      <c r="M787" t="s">
        <v>28947</v>
      </c>
      <c r="Q787" t="s">
        <v>28948</v>
      </c>
      <c r="R787" t="s">
        <v>28949</v>
      </c>
      <c r="S787" t="s">
        <v>28950</v>
      </c>
      <c r="T787" t="s">
        <v>30</v>
      </c>
      <c r="U787" t="s">
        <v>46</v>
      </c>
      <c r="W787" t="s">
        <v>26009</v>
      </c>
    </row>
    <row r="788" spans="1:23" x14ac:dyDescent="0.35">
      <c r="A788">
        <v>281374</v>
      </c>
      <c r="B788" t="s">
        <v>28951</v>
      </c>
      <c r="C788" t="str">
        <f>"9780195138085"</f>
        <v>9780195138085</v>
      </c>
      <c r="D788" t="str">
        <f>"9780198031574"</f>
        <v>9780198031574</v>
      </c>
      <c r="E788" t="s">
        <v>371</v>
      </c>
      <c r="F788" t="s">
        <v>31</v>
      </c>
      <c r="G788" t="s">
        <v>22703</v>
      </c>
      <c r="H788" t="s">
        <v>26004</v>
      </c>
      <c r="I788" s="26">
        <v>36776</v>
      </c>
      <c r="J788">
        <v>2000</v>
      </c>
      <c r="K788" t="s">
        <v>31</v>
      </c>
      <c r="L788">
        <v>365</v>
      </c>
      <c r="M788" t="s">
        <v>28952</v>
      </c>
      <c r="Q788" t="s">
        <v>28953</v>
      </c>
      <c r="R788">
        <v>616.79999999999995</v>
      </c>
      <c r="S788" t="s">
        <v>28954</v>
      </c>
      <c r="T788" t="s">
        <v>30</v>
      </c>
      <c r="U788" t="s">
        <v>28955</v>
      </c>
      <c r="W788" t="s">
        <v>26009</v>
      </c>
    </row>
    <row r="789" spans="1:23" x14ac:dyDescent="0.35">
      <c r="A789">
        <v>281375</v>
      </c>
      <c r="B789" t="s">
        <v>28956</v>
      </c>
      <c r="C789" t="str">
        <f>"9780195161649"</f>
        <v>9780195161649</v>
      </c>
      <c r="D789" t="str">
        <f>"9780195347593"</f>
        <v>9780195347593</v>
      </c>
      <c r="E789" t="s">
        <v>371</v>
      </c>
      <c r="F789" t="s">
        <v>399</v>
      </c>
      <c r="G789" t="s">
        <v>22703</v>
      </c>
      <c r="H789" t="s">
        <v>26004</v>
      </c>
      <c r="I789" s="26">
        <v>38718</v>
      </c>
      <c r="J789">
        <v>2006</v>
      </c>
      <c r="K789" t="s">
        <v>27857</v>
      </c>
      <c r="L789">
        <v>308</v>
      </c>
      <c r="M789" t="s">
        <v>28957</v>
      </c>
      <c r="Q789" t="s">
        <v>28958</v>
      </c>
      <c r="R789" t="s">
        <v>27492</v>
      </c>
      <c r="S789" t="s">
        <v>7724</v>
      </c>
      <c r="T789" t="s">
        <v>30</v>
      </c>
      <c r="U789" t="s">
        <v>46</v>
      </c>
      <c r="W789" t="s">
        <v>26009</v>
      </c>
    </row>
    <row r="790" spans="1:23" x14ac:dyDescent="0.35">
      <c r="A790">
        <v>281378</v>
      </c>
      <c r="B790" t="s">
        <v>9256</v>
      </c>
      <c r="C790" t="str">
        <f>"9780195141092"</f>
        <v>9780195141092</v>
      </c>
      <c r="D790" t="str">
        <f>"9780195349696"</f>
        <v>9780195349696</v>
      </c>
      <c r="E790" t="s">
        <v>371</v>
      </c>
      <c r="F790" t="s">
        <v>31</v>
      </c>
      <c r="G790" t="s">
        <v>22703</v>
      </c>
      <c r="H790" t="s">
        <v>26004</v>
      </c>
      <c r="I790" s="26">
        <v>37896</v>
      </c>
      <c r="J790">
        <v>2003</v>
      </c>
      <c r="K790" t="s">
        <v>31</v>
      </c>
      <c r="L790">
        <v>339</v>
      </c>
      <c r="M790" t="s">
        <v>28959</v>
      </c>
      <c r="O790" t="s">
        <v>27886</v>
      </c>
      <c r="Q790" t="s">
        <v>28960</v>
      </c>
      <c r="R790">
        <v>616.89</v>
      </c>
      <c r="S790" t="s">
        <v>28961</v>
      </c>
      <c r="T790" t="s">
        <v>30</v>
      </c>
      <c r="U790" t="s">
        <v>26116</v>
      </c>
      <c r="W790" t="s">
        <v>26009</v>
      </c>
    </row>
    <row r="791" spans="1:23" x14ac:dyDescent="0.35">
      <c r="A791">
        <v>281406</v>
      </c>
      <c r="B791" t="s">
        <v>8644</v>
      </c>
      <c r="C791" t="str">
        <f>"9780195149395"</f>
        <v>9780195149395</v>
      </c>
      <c r="D791" t="str">
        <f>"9780198034087"</f>
        <v>9780198034087</v>
      </c>
      <c r="E791" t="s">
        <v>371</v>
      </c>
      <c r="F791" t="s">
        <v>399</v>
      </c>
      <c r="G791" t="s">
        <v>22703</v>
      </c>
      <c r="H791" t="s">
        <v>26004</v>
      </c>
      <c r="I791" s="26">
        <v>37987</v>
      </c>
      <c r="J791">
        <v>2004</v>
      </c>
      <c r="K791" t="s">
        <v>27857</v>
      </c>
      <c r="L791">
        <v>662</v>
      </c>
      <c r="M791" t="s">
        <v>28962</v>
      </c>
      <c r="Q791" t="s">
        <v>28963</v>
      </c>
      <c r="R791" t="s">
        <v>28964</v>
      </c>
      <c r="S791" t="s">
        <v>28965</v>
      </c>
      <c r="T791" t="s">
        <v>30</v>
      </c>
      <c r="U791" t="s">
        <v>26040</v>
      </c>
      <c r="W791" t="s">
        <v>26009</v>
      </c>
    </row>
    <row r="792" spans="1:23" x14ac:dyDescent="0.35">
      <c r="A792">
        <v>281421</v>
      </c>
      <c r="B792" t="s">
        <v>28966</v>
      </c>
      <c r="C792" t="str">
        <f>"9780195169850"</f>
        <v>9780195169850</v>
      </c>
      <c r="D792" t="str">
        <f>"9780198037989"</f>
        <v>9780198037989</v>
      </c>
      <c r="E792" t="s">
        <v>371</v>
      </c>
      <c r="F792" t="s">
        <v>31</v>
      </c>
      <c r="G792" t="s">
        <v>22703</v>
      </c>
      <c r="H792" t="s">
        <v>26004</v>
      </c>
      <c r="I792" s="26">
        <v>38813</v>
      </c>
      <c r="J792">
        <v>2006</v>
      </c>
      <c r="K792" t="s">
        <v>31</v>
      </c>
      <c r="L792">
        <v>603</v>
      </c>
      <c r="M792" t="s">
        <v>28967</v>
      </c>
      <c r="Q792" t="s">
        <v>28968</v>
      </c>
      <c r="R792" t="s">
        <v>28969</v>
      </c>
      <c r="S792" t="s">
        <v>7933</v>
      </c>
      <c r="T792" t="s">
        <v>30</v>
      </c>
      <c r="U792" t="s">
        <v>26040</v>
      </c>
      <c r="W792" t="s">
        <v>26009</v>
      </c>
    </row>
    <row r="793" spans="1:23" x14ac:dyDescent="0.35">
      <c r="A793">
        <v>281422</v>
      </c>
      <c r="B793" t="s">
        <v>8183</v>
      </c>
      <c r="C793" t="str">
        <f>"9780195169669"</f>
        <v>9780195169669</v>
      </c>
      <c r="D793" t="str">
        <f>"9780195346978"</f>
        <v>9780195346978</v>
      </c>
      <c r="E793" t="s">
        <v>371</v>
      </c>
      <c r="F793" t="s">
        <v>31</v>
      </c>
      <c r="G793" t="s">
        <v>22179</v>
      </c>
      <c r="H793" t="s">
        <v>26004</v>
      </c>
      <c r="I793" s="26">
        <v>38813</v>
      </c>
      <c r="J793">
        <v>2006</v>
      </c>
      <c r="K793" t="s">
        <v>31</v>
      </c>
      <c r="L793">
        <v>491</v>
      </c>
      <c r="M793" t="s">
        <v>28970</v>
      </c>
      <c r="Q793" t="s">
        <v>28971</v>
      </c>
      <c r="R793">
        <v>153.12</v>
      </c>
      <c r="S793" t="s">
        <v>8184</v>
      </c>
      <c r="T793" t="s">
        <v>30</v>
      </c>
      <c r="U793" t="s">
        <v>46</v>
      </c>
      <c r="W793" t="s">
        <v>26009</v>
      </c>
    </row>
    <row r="794" spans="1:23" x14ac:dyDescent="0.35">
      <c r="A794">
        <v>281423</v>
      </c>
      <c r="B794" t="s">
        <v>28972</v>
      </c>
      <c r="C794" t="str">
        <f>"9780195135572"</f>
        <v>9780195135572</v>
      </c>
      <c r="D794" t="str">
        <f>"9780198030973"</f>
        <v>9780198030973</v>
      </c>
      <c r="E794" t="s">
        <v>371</v>
      </c>
      <c r="F794" t="s">
        <v>31</v>
      </c>
      <c r="G794" t="s">
        <v>22703</v>
      </c>
      <c r="H794" t="s">
        <v>26004</v>
      </c>
      <c r="I794" s="26">
        <v>38596</v>
      </c>
      <c r="J794">
        <v>2005</v>
      </c>
      <c r="K794" t="s">
        <v>31</v>
      </c>
      <c r="L794">
        <v>1231</v>
      </c>
      <c r="M794" t="s">
        <v>28973</v>
      </c>
      <c r="O794" t="s">
        <v>28842</v>
      </c>
      <c r="Q794" t="s">
        <v>28974</v>
      </c>
      <c r="R794" t="s">
        <v>28975</v>
      </c>
      <c r="S794" t="s">
        <v>8392</v>
      </c>
      <c r="T794" t="s">
        <v>30</v>
      </c>
      <c r="U794" t="s">
        <v>26044</v>
      </c>
      <c r="W794" t="s">
        <v>26009</v>
      </c>
    </row>
    <row r="795" spans="1:23" x14ac:dyDescent="0.35">
      <c r="A795">
        <v>281425</v>
      </c>
      <c r="B795" t="s">
        <v>28976</v>
      </c>
      <c r="C795" t="str">
        <f>"9780195141146"</f>
        <v>9780195141146</v>
      </c>
      <c r="D795" t="str">
        <f>"9780195349689"</f>
        <v>9780195349689</v>
      </c>
      <c r="E795" t="s">
        <v>371</v>
      </c>
      <c r="F795" t="s">
        <v>31</v>
      </c>
      <c r="G795" t="s">
        <v>22703</v>
      </c>
      <c r="H795" t="s">
        <v>26004</v>
      </c>
      <c r="I795" s="26">
        <v>36769</v>
      </c>
      <c r="J795">
        <v>2000</v>
      </c>
      <c r="K795" t="s">
        <v>31</v>
      </c>
      <c r="L795">
        <v>460</v>
      </c>
      <c r="M795" t="s">
        <v>28977</v>
      </c>
      <c r="O795" t="s">
        <v>28469</v>
      </c>
      <c r="P795">
        <v>10</v>
      </c>
      <c r="Q795" t="s">
        <v>28978</v>
      </c>
      <c r="R795">
        <v>121</v>
      </c>
      <c r="S795" t="s">
        <v>28979</v>
      </c>
      <c r="T795" t="s">
        <v>30</v>
      </c>
      <c r="U795" t="s">
        <v>26520</v>
      </c>
      <c r="W795" t="s">
        <v>26009</v>
      </c>
    </row>
    <row r="796" spans="1:23" x14ac:dyDescent="0.35">
      <c r="A796">
        <v>281427</v>
      </c>
      <c r="B796" t="s">
        <v>28980</v>
      </c>
      <c r="C796" t="str">
        <f>"9780195165388"</f>
        <v>9780195165388</v>
      </c>
      <c r="D796" t="str">
        <f>"9780195347418"</f>
        <v>9780195347418</v>
      </c>
      <c r="E796" t="s">
        <v>371</v>
      </c>
      <c r="F796" t="s">
        <v>31</v>
      </c>
      <c r="G796" t="s">
        <v>22703</v>
      </c>
      <c r="H796" t="s">
        <v>26004</v>
      </c>
      <c r="I796" s="26">
        <v>38890</v>
      </c>
      <c r="J796">
        <v>2003</v>
      </c>
      <c r="K796" t="s">
        <v>31</v>
      </c>
      <c r="L796">
        <v>402</v>
      </c>
      <c r="M796" t="s">
        <v>28981</v>
      </c>
      <c r="O796" t="s">
        <v>28982</v>
      </c>
      <c r="Q796" t="s">
        <v>28983</v>
      </c>
      <c r="R796">
        <v>152.13999999999999</v>
      </c>
      <c r="S796" t="s">
        <v>28984</v>
      </c>
      <c r="T796" t="s">
        <v>30</v>
      </c>
      <c r="U796" t="s">
        <v>46</v>
      </c>
      <c r="W796" t="s">
        <v>26009</v>
      </c>
    </row>
    <row r="797" spans="1:23" x14ac:dyDescent="0.35">
      <c r="A797">
        <v>281447</v>
      </c>
      <c r="B797" t="s">
        <v>9501</v>
      </c>
      <c r="C797" t="str">
        <f>"9780195134759"</f>
        <v>9780195134759</v>
      </c>
      <c r="D797" t="str">
        <f>"9780198030805"</f>
        <v>9780198030805</v>
      </c>
      <c r="E797" t="s">
        <v>371</v>
      </c>
      <c r="F797" t="s">
        <v>31</v>
      </c>
      <c r="G797" t="s">
        <v>22179</v>
      </c>
      <c r="H797" t="s">
        <v>26004</v>
      </c>
      <c r="I797" s="26">
        <v>36552</v>
      </c>
      <c r="J797">
        <v>2000</v>
      </c>
      <c r="K797" t="s">
        <v>31</v>
      </c>
      <c r="L797">
        <v>577</v>
      </c>
      <c r="M797" t="s">
        <v>28985</v>
      </c>
      <c r="N797">
        <v>2</v>
      </c>
      <c r="Q797" t="s">
        <v>28986</v>
      </c>
      <c r="R797">
        <v>616.89</v>
      </c>
      <c r="S797" t="s">
        <v>28987</v>
      </c>
      <c r="T797" t="s">
        <v>30</v>
      </c>
      <c r="U797" t="s">
        <v>26019</v>
      </c>
      <c r="W797" t="s">
        <v>26009</v>
      </c>
    </row>
    <row r="798" spans="1:23" x14ac:dyDescent="0.35">
      <c r="A798">
        <v>281470</v>
      </c>
      <c r="B798" t="s">
        <v>9502</v>
      </c>
      <c r="C798" t="str">
        <f>"9780195134971"</f>
        <v>9780195134971</v>
      </c>
      <c r="D798" t="str">
        <f>"9780198030836"</f>
        <v>9780198030836</v>
      </c>
      <c r="E798" t="s">
        <v>371</v>
      </c>
      <c r="F798" t="s">
        <v>31</v>
      </c>
      <c r="G798" t="s">
        <v>22179</v>
      </c>
      <c r="H798" t="s">
        <v>26004</v>
      </c>
      <c r="I798" s="26">
        <v>37434</v>
      </c>
      <c r="J798">
        <v>2002</v>
      </c>
      <c r="K798" t="s">
        <v>31</v>
      </c>
      <c r="L798">
        <v>641</v>
      </c>
      <c r="M798" t="s">
        <v>28988</v>
      </c>
      <c r="Q798" t="s">
        <v>28989</v>
      </c>
      <c r="R798">
        <v>612.82500000000005</v>
      </c>
      <c r="S798" t="s">
        <v>28990</v>
      </c>
      <c r="T798" t="s">
        <v>30</v>
      </c>
      <c r="U798" t="s">
        <v>28991</v>
      </c>
      <c r="W798" t="s">
        <v>26009</v>
      </c>
    </row>
    <row r="799" spans="1:23" x14ac:dyDescent="0.35">
      <c r="A799">
        <v>281481</v>
      </c>
      <c r="B799" t="s">
        <v>28992</v>
      </c>
      <c r="C799" t="str">
        <f>"9780195141733"</f>
        <v>9780195141733</v>
      </c>
      <c r="D799" t="str">
        <f>"9780198032458"</f>
        <v>9780198032458</v>
      </c>
      <c r="E799" t="s">
        <v>371</v>
      </c>
      <c r="F799" t="s">
        <v>399</v>
      </c>
      <c r="G799" t="s">
        <v>22703</v>
      </c>
      <c r="H799" t="s">
        <v>26004</v>
      </c>
      <c r="I799" s="26">
        <v>37257</v>
      </c>
      <c r="J799">
        <v>2003</v>
      </c>
      <c r="K799" t="s">
        <v>27857</v>
      </c>
      <c r="L799">
        <v>814</v>
      </c>
      <c r="M799" t="s">
        <v>28993</v>
      </c>
      <c r="Q799" t="s">
        <v>28994</v>
      </c>
      <c r="R799" t="s">
        <v>28995</v>
      </c>
      <c r="S799" t="s">
        <v>27381</v>
      </c>
      <c r="T799" t="s">
        <v>30</v>
      </c>
      <c r="U799" t="s">
        <v>28223</v>
      </c>
      <c r="W799" t="s">
        <v>26009</v>
      </c>
    </row>
    <row r="800" spans="1:23" x14ac:dyDescent="0.35">
      <c r="A800">
        <v>281485</v>
      </c>
      <c r="B800" t="s">
        <v>9215</v>
      </c>
      <c r="C800" t="str">
        <f>"9780195149623"</f>
        <v>9780195149623</v>
      </c>
      <c r="D800" t="str">
        <f>"9780199725250"</f>
        <v>9780199725250</v>
      </c>
      <c r="E800" t="s">
        <v>371</v>
      </c>
      <c r="F800" t="s">
        <v>399</v>
      </c>
      <c r="G800" t="s">
        <v>22703</v>
      </c>
      <c r="H800" t="s">
        <v>26004</v>
      </c>
      <c r="I800" s="26">
        <v>37987</v>
      </c>
      <c r="J800">
        <v>2004</v>
      </c>
      <c r="K800" t="s">
        <v>27857</v>
      </c>
      <c r="L800">
        <v>1266</v>
      </c>
      <c r="M800" t="s">
        <v>28996</v>
      </c>
      <c r="Q800" t="s">
        <v>28997</v>
      </c>
      <c r="R800" t="s">
        <v>28998</v>
      </c>
      <c r="S800" t="s">
        <v>28999</v>
      </c>
      <c r="T800" t="s">
        <v>30</v>
      </c>
      <c r="U800" t="s">
        <v>26040</v>
      </c>
      <c r="W800" t="s">
        <v>26009</v>
      </c>
    </row>
    <row r="801" spans="1:23" x14ac:dyDescent="0.35">
      <c r="A801">
        <v>281930</v>
      </c>
      <c r="B801" t="s">
        <v>29000</v>
      </c>
      <c r="C801" t="str">
        <f>"9789275316160"</f>
        <v>9789275316160</v>
      </c>
      <c r="D801" t="str">
        <f>"9789275327364"</f>
        <v>9789275327364</v>
      </c>
      <c r="E801" t="s">
        <v>7576</v>
      </c>
      <c r="F801" t="s">
        <v>7576</v>
      </c>
      <c r="G801" t="s">
        <v>22254</v>
      </c>
      <c r="H801" t="s">
        <v>26004</v>
      </c>
      <c r="I801" s="26">
        <v>37987</v>
      </c>
      <c r="J801">
        <v>2004</v>
      </c>
      <c r="K801" t="s">
        <v>28557</v>
      </c>
      <c r="L801">
        <v>203</v>
      </c>
      <c r="M801" t="s">
        <v>29001</v>
      </c>
      <c r="N801">
        <v>1</v>
      </c>
      <c r="Q801" t="s">
        <v>29002</v>
      </c>
      <c r="R801">
        <v>617</v>
      </c>
      <c r="S801" t="s">
        <v>29003</v>
      </c>
      <c r="T801" t="s">
        <v>142</v>
      </c>
      <c r="U801" t="s">
        <v>26040</v>
      </c>
      <c r="W801" t="s">
        <v>26009</v>
      </c>
    </row>
    <row r="802" spans="1:23" x14ac:dyDescent="0.35">
      <c r="A802">
        <v>281937</v>
      </c>
      <c r="B802" t="s">
        <v>29004</v>
      </c>
      <c r="C802" t="str">
        <f>"9789275316078"</f>
        <v>9789275316078</v>
      </c>
      <c r="D802" t="str">
        <f>"9789275327067"</f>
        <v>9789275327067</v>
      </c>
      <c r="E802" t="s">
        <v>7576</v>
      </c>
      <c r="F802" t="s">
        <v>7576</v>
      </c>
      <c r="G802" t="s">
        <v>22179</v>
      </c>
      <c r="H802" t="s">
        <v>26004</v>
      </c>
      <c r="I802" s="26">
        <v>38903</v>
      </c>
      <c r="J802">
        <v>2006</v>
      </c>
      <c r="K802" t="s">
        <v>28557</v>
      </c>
      <c r="L802">
        <v>88</v>
      </c>
      <c r="M802" t="s">
        <v>7576</v>
      </c>
      <c r="N802">
        <v>3</v>
      </c>
      <c r="Q802" t="s">
        <v>29005</v>
      </c>
      <c r="R802">
        <v>616.83500000000004</v>
      </c>
      <c r="S802" t="s">
        <v>29006</v>
      </c>
      <c r="T802" t="s">
        <v>142</v>
      </c>
      <c r="U802" t="s">
        <v>26040</v>
      </c>
      <c r="W802" t="s">
        <v>26009</v>
      </c>
    </row>
    <row r="803" spans="1:23" x14ac:dyDescent="0.35">
      <c r="A803">
        <v>282075</v>
      </c>
      <c r="B803" t="s">
        <v>9533</v>
      </c>
      <c r="C803" t="str">
        <f>"9780125644310"</f>
        <v>9780125644310</v>
      </c>
      <c r="D803" t="str">
        <f>"9780080465906"</f>
        <v>9780080465906</v>
      </c>
      <c r="E803" t="s">
        <v>27482</v>
      </c>
      <c r="F803" t="s">
        <v>7447</v>
      </c>
      <c r="G803" t="s">
        <v>22689</v>
      </c>
      <c r="H803" t="s">
        <v>26004</v>
      </c>
      <c r="I803" s="26">
        <v>39024</v>
      </c>
      <c r="J803">
        <v>2007</v>
      </c>
      <c r="K803" t="s">
        <v>946</v>
      </c>
      <c r="L803">
        <v>459</v>
      </c>
      <c r="M803" t="s">
        <v>29007</v>
      </c>
      <c r="N803">
        <v>2</v>
      </c>
      <c r="R803">
        <v>616.89030000000002</v>
      </c>
      <c r="S803" t="s">
        <v>9534</v>
      </c>
      <c r="T803" t="s">
        <v>30</v>
      </c>
      <c r="U803" t="s">
        <v>26040</v>
      </c>
      <c r="W803" t="s">
        <v>26009</v>
      </c>
    </row>
    <row r="804" spans="1:23" x14ac:dyDescent="0.35">
      <c r="A804">
        <v>282106</v>
      </c>
      <c r="B804" t="s">
        <v>29008</v>
      </c>
      <c r="C804" t="str">
        <f>"9781493300969"</f>
        <v>9781493300969</v>
      </c>
      <c r="D804" t="str">
        <f>"9780080465999"</f>
        <v>9780080465999</v>
      </c>
      <c r="E804" t="s">
        <v>27482</v>
      </c>
      <c r="F804" t="s">
        <v>7447</v>
      </c>
      <c r="G804" t="s">
        <v>28361</v>
      </c>
      <c r="H804" t="s">
        <v>26004</v>
      </c>
      <c r="I804" s="26">
        <v>39027</v>
      </c>
      <c r="J804">
        <v>2006</v>
      </c>
      <c r="K804" t="s">
        <v>946</v>
      </c>
      <c r="L804">
        <v>465</v>
      </c>
      <c r="M804" t="s">
        <v>29009</v>
      </c>
      <c r="N804">
        <v>1</v>
      </c>
      <c r="Q804" t="s">
        <v>29010</v>
      </c>
      <c r="R804">
        <v>152.43</v>
      </c>
      <c r="S804" t="s">
        <v>29011</v>
      </c>
      <c r="T804" t="s">
        <v>30</v>
      </c>
      <c r="U804" t="s">
        <v>46</v>
      </c>
      <c r="W804" t="s">
        <v>26009</v>
      </c>
    </row>
    <row r="805" spans="1:23" x14ac:dyDescent="0.35">
      <c r="A805">
        <v>282128</v>
      </c>
      <c r="B805" t="s">
        <v>10241</v>
      </c>
      <c r="C805" t="str">
        <f>"9780120887637"</f>
        <v>9780120887637</v>
      </c>
      <c r="D805" t="str">
        <f>"9780080466118"</f>
        <v>9780080466118</v>
      </c>
      <c r="E805" t="s">
        <v>27482</v>
      </c>
      <c r="F805" t="s">
        <v>7447</v>
      </c>
      <c r="G805" t="s">
        <v>22689</v>
      </c>
      <c r="H805" t="s">
        <v>26004</v>
      </c>
      <c r="I805" s="26">
        <v>38855</v>
      </c>
      <c r="J805">
        <v>2006</v>
      </c>
      <c r="K805" t="s">
        <v>946</v>
      </c>
      <c r="L805">
        <v>443</v>
      </c>
      <c r="M805" t="s">
        <v>29012</v>
      </c>
      <c r="N805">
        <v>1</v>
      </c>
      <c r="O805" t="s">
        <v>27484</v>
      </c>
      <c r="Q805" t="s">
        <v>29013</v>
      </c>
      <c r="R805" t="s">
        <v>29014</v>
      </c>
      <c r="S805" t="s">
        <v>10242</v>
      </c>
      <c r="T805" t="s">
        <v>30</v>
      </c>
      <c r="U805" t="s">
        <v>46</v>
      </c>
      <c r="W805" t="s">
        <v>26009</v>
      </c>
    </row>
    <row r="806" spans="1:23" x14ac:dyDescent="0.35">
      <c r="A806">
        <v>282389</v>
      </c>
      <c r="B806" t="s">
        <v>9525</v>
      </c>
      <c r="C806" t="str">
        <f>"9789275324219"</f>
        <v>9789275324219</v>
      </c>
      <c r="D806" t="str">
        <f>"9789275327661"</f>
        <v>9789275327661</v>
      </c>
      <c r="E806" t="s">
        <v>7576</v>
      </c>
      <c r="F806" t="s">
        <v>7576</v>
      </c>
      <c r="G806" t="s">
        <v>22254</v>
      </c>
      <c r="H806" t="s">
        <v>26004</v>
      </c>
      <c r="I806" s="26">
        <v>36526</v>
      </c>
      <c r="J806">
        <v>2002</v>
      </c>
      <c r="K806" t="s">
        <v>28557</v>
      </c>
      <c r="L806">
        <v>106</v>
      </c>
      <c r="M806" t="s">
        <v>7576</v>
      </c>
      <c r="N806">
        <v>1</v>
      </c>
      <c r="Q806" t="s">
        <v>29015</v>
      </c>
      <c r="R806">
        <v>155.935</v>
      </c>
      <c r="S806" t="s">
        <v>29016</v>
      </c>
      <c r="T806" t="s">
        <v>142</v>
      </c>
      <c r="U806" t="s">
        <v>46</v>
      </c>
      <c r="W806" t="s">
        <v>26009</v>
      </c>
    </row>
    <row r="807" spans="1:23" x14ac:dyDescent="0.35">
      <c r="A807">
        <v>283078</v>
      </c>
      <c r="B807" t="s">
        <v>29017</v>
      </c>
      <c r="C807" t="str">
        <f>"9781841501413"</f>
        <v>9781841501413</v>
      </c>
      <c r="D807" t="str">
        <f>"9781841509532"</f>
        <v>9781841509532</v>
      </c>
      <c r="E807" t="s">
        <v>28153</v>
      </c>
      <c r="F807" t="s">
        <v>8450</v>
      </c>
      <c r="G807" t="s">
        <v>24532</v>
      </c>
      <c r="H807" t="s">
        <v>26011</v>
      </c>
      <c r="I807" s="26">
        <v>38718</v>
      </c>
      <c r="J807">
        <v>2007</v>
      </c>
      <c r="K807" t="s">
        <v>29018</v>
      </c>
      <c r="L807">
        <v>134</v>
      </c>
      <c r="M807" t="s">
        <v>29019</v>
      </c>
      <c r="N807">
        <v>1</v>
      </c>
      <c r="Q807" t="s">
        <v>29020</v>
      </c>
      <c r="R807">
        <v>302.22199999999998</v>
      </c>
      <c r="S807" t="s">
        <v>29021</v>
      </c>
      <c r="T807" t="s">
        <v>30</v>
      </c>
      <c r="U807" t="s">
        <v>29022</v>
      </c>
      <c r="W807" t="s">
        <v>26009</v>
      </c>
    </row>
    <row r="808" spans="1:23" x14ac:dyDescent="0.35">
      <c r="A808">
        <v>283702</v>
      </c>
      <c r="B808" t="s">
        <v>29023</v>
      </c>
      <c r="C808" t="str">
        <f>"9780897897358"</f>
        <v>9780897897358</v>
      </c>
      <c r="D808" t="str">
        <f>"9780313004964"</f>
        <v>9780313004964</v>
      </c>
      <c r="E808" t="s">
        <v>28336</v>
      </c>
      <c r="F808" t="s">
        <v>57</v>
      </c>
      <c r="G808" t="s">
        <v>22647</v>
      </c>
      <c r="H808" t="s">
        <v>26004</v>
      </c>
      <c r="I808" s="26">
        <v>36892</v>
      </c>
      <c r="J808">
        <v>2001</v>
      </c>
      <c r="K808" t="s">
        <v>7624</v>
      </c>
      <c r="L808">
        <v>152</v>
      </c>
      <c r="M808" t="s">
        <v>29024</v>
      </c>
      <c r="N808">
        <v>1</v>
      </c>
      <c r="Q808" t="s">
        <v>29025</v>
      </c>
      <c r="R808" t="s">
        <v>29026</v>
      </c>
      <c r="S808" t="s">
        <v>29027</v>
      </c>
      <c r="T808" t="s">
        <v>30</v>
      </c>
      <c r="U808" t="s">
        <v>26116</v>
      </c>
      <c r="W808" t="s">
        <v>26009</v>
      </c>
    </row>
    <row r="809" spans="1:23" x14ac:dyDescent="0.35">
      <c r="A809">
        <v>283951</v>
      </c>
      <c r="B809" t="s">
        <v>10281</v>
      </c>
      <c r="C809" t="str">
        <f>"9780080450940"</f>
        <v>9780080450940</v>
      </c>
      <c r="D809" t="str">
        <f>"9781849508223"</f>
        <v>9781849508223</v>
      </c>
      <c r="E809" t="s">
        <v>4602</v>
      </c>
      <c r="F809" t="s">
        <v>27</v>
      </c>
      <c r="G809" t="s">
        <v>22231</v>
      </c>
      <c r="H809" t="s">
        <v>26004</v>
      </c>
      <c r="I809" s="26">
        <v>39083</v>
      </c>
      <c r="J809">
        <v>2007</v>
      </c>
      <c r="K809" t="s">
        <v>27</v>
      </c>
      <c r="L809">
        <v>391</v>
      </c>
      <c r="M809" t="s">
        <v>29028</v>
      </c>
      <c r="N809">
        <v>1</v>
      </c>
      <c r="O809" t="s">
        <v>29029</v>
      </c>
      <c r="P809">
        <v>20</v>
      </c>
      <c r="Q809" t="s">
        <v>29030</v>
      </c>
      <c r="R809">
        <v>808.00189999999998</v>
      </c>
      <c r="S809" t="s">
        <v>29031</v>
      </c>
      <c r="T809" t="s">
        <v>30</v>
      </c>
      <c r="U809" t="s">
        <v>29032</v>
      </c>
      <c r="W809" t="s">
        <v>26009</v>
      </c>
    </row>
    <row r="810" spans="1:23" x14ac:dyDescent="0.35">
      <c r="A810">
        <v>283973</v>
      </c>
      <c r="B810" t="s">
        <v>29033</v>
      </c>
      <c r="C810" t="str">
        <f>"9780123706249"</f>
        <v>9780123706249</v>
      </c>
      <c r="D810" t="str">
        <f>"9780080467740"</f>
        <v>9780080467740</v>
      </c>
      <c r="E810" t="s">
        <v>27482</v>
      </c>
      <c r="F810" t="s">
        <v>7447</v>
      </c>
      <c r="G810" t="s">
        <v>22689</v>
      </c>
      <c r="H810" t="s">
        <v>26011</v>
      </c>
      <c r="I810" s="26">
        <v>39062</v>
      </c>
      <c r="J810">
        <v>2007</v>
      </c>
      <c r="K810" t="s">
        <v>946</v>
      </c>
      <c r="L810">
        <v>615</v>
      </c>
      <c r="M810" t="s">
        <v>29034</v>
      </c>
      <c r="N810">
        <v>1</v>
      </c>
      <c r="Q810" t="s">
        <v>29035</v>
      </c>
      <c r="R810">
        <v>362.29</v>
      </c>
      <c r="S810" t="s">
        <v>8208</v>
      </c>
      <c r="T810" t="s">
        <v>30</v>
      </c>
      <c r="U810" t="s">
        <v>26094</v>
      </c>
      <c r="W810" t="s">
        <v>26009</v>
      </c>
    </row>
    <row r="811" spans="1:23" x14ac:dyDescent="0.35">
      <c r="A811">
        <v>283981</v>
      </c>
      <c r="B811" t="s">
        <v>8615</v>
      </c>
      <c r="C811" t="str">
        <f>"9781493301836"</f>
        <v>9781493301836</v>
      </c>
      <c r="D811" t="str">
        <f>"9780080467818"</f>
        <v>9780080467818</v>
      </c>
      <c r="E811" t="s">
        <v>27482</v>
      </c>
      <c r="F811" t="s">
        <v>7447</v>
      </c>
      <c r="G811" t="s">
        <v>28361</v>
      </c>
      <c r="H811" t="s">
        <v>26004</v>
      </c>
      <c r="I811" s="26">
        <v>38994</v>
      </c>
      <c r="J811">
        <v>2006</v>
      </c>
      <c r="K811" t="s">
        <v>946</v>
      </c>
      <c r="L811">
        <v>459</v>
      </c>
      <c r="M811" t="s">
        <v>29036</v>
      </c>
      <c r="N811">
        <v>1</v>
      </c>
      <c r="Q811" t="s">
        <v>29037</v>
      </c>
      <c r="R811" t="s">
        <v>29038</v>
      </c>
      <c r="S811" t="s">
        <v>29039</v>
      </c>
      <c r="T811" t="s">
        <v>30</v>
      </c>
      <c r="U811" t="s">
        <v>26116</v>
      </c>
      <c r="W811" t="s">
        <v>26009</v>
      </c>
    </row>
    <row r="812" spans="1:23" x14ac:dyDescent="0.35">
      <c r="A812">
        <v>283983</v>
      </c>
      <c r="B812" t="s">
        <v>29040</v>
      </c>
      <c r="C812" t="str">
        <f>"9780126024005"</f>
        <v>9780126024005</v>
      </c>
      <c r="D812" t="str">
        <f>"9780080467832"</f>
        <v>9780080467832</v>
      </c>
      <c r="E812" t="s">
        <v>27482</v>
      </c>
      <c r="F812" t="s">
        <v>7447</v>
      </c>
      <c r="G812" t="s">
        <v>22689</v>
      </c>
      <c r="H812" t="s">
        <v>26004</v>
      </c>
      <c r="I812" s="26">
        <v>39132</v>
      </c>
      <c r="J812">
        <v>2007</v>
      </c>
      <c r="K812" t="s">
        <v>946</v>
      </c>
      <c r="L812">
        <v>505</v>
      </c>
      <c r="M812" t="s">
        <v>29041</v>
      </c>
      <c r="N812">
        <v>1</v>
      </c>
      <c r="Q812" t="s">
        <v>29042</v>
      </c>
      <c r="R812" t="s">
        <v>27492</v>
      </c>
      <c r="S812" t="s">
        <v>8035</v>
      </c>
      <c r="T812" t="s">
        <v>30</v>
      </c>
      <c r="U812" t="s">
        <v>46</v>
      </c>
      <c r="W812" t="s">
        <v>26009</v>
      </c>
    </row>
    <row r="813" spans="1:23" x14ac:dyDescent="0.35">
      <c r="A813">
        <v>284778</v>
      </c>
      <c r="B813" t="s">
        <v>29043</v>
      </c>
      <c r="C813" t="str">
        <f>"9789289013772"</f>
        <v>9789289013772</v>
      </c>
      <c r="D813" t="str">
        <f>"9781280268670"</f>
        <v>9781280268670</v>
      </c>
      <c r="E813" t="s">
        <v>29044</v>
      </c>
      <c r="F813" t="s">
        <v>9097</v>
      </c>
      <c r="G813" t="s">
        <v>7530</v>
      </c>
      <c r="H813" t="s">
        <v>29045</v>
      </c>
      <c r="I813" s="26">
        <v>38353</v>
      </c>
      <c r="J813">
        <v>2005</v>
      </c>
      <c r="K813" t="s">
        <v>29046</v>
      </c>
      <c r="L813">
        <v>195</v>
      </c>
      <c r="M813" t="s">
        <v>29047</v>
      </c>
      <c r="N813">
        <v>1</v>
      </c>
      <c r="Q813" t="s">
        <v>29048</v>
      </c>
      <c r="R813">
        <v>362.20940000000002</v>
      </c>
      <c r="S813" t="s">
        <v>9098</v>
      </c>
      <c r="T813" t="s">
        <v>30</v>
      </c>
      <c r="U813" t="s">
        <v>26250</v>
      </c>
      <c r="W813" t="s">
        <v>26009</v>
      </c>
    </row>
    <row r="814" spans="1:23" x14ac:dyDescent="0.35">
      <c r="A814">
        <v>285780</v>
      </c>
      <c r="B814" t="s">
        <v>29049</v>
      </c>
      <c r="C814" t="str">
        <f>"9780123694256"</f>
        <v>9780123694256</v>
      </c>
      <c r="D814" t="str">
        <f>"9780080469058"</f>
        <v>9780080469058</v>
      </c>
      <c r="E814" t="s">
        <v>27482</v>
      </c>
      <c r="F814" t="s">
        <v>7447</v>
      </c>
      <c r="G814" t="s">
        <v>22689</v>
      </c>
      <c r="H814" t="s">
        <v>26004</v>
      </c>
      <c r="I814" s="26">
        <v>39007</v>
      </c>
      <c r="J814">
        <v>2007</v>
      </c>
      <c r="K814" t="s">
        <v>946</v>
      </c>
      <c r="L814">
        <v>391</v>
      </c>
      <c r="M814" t="s">
        <v>29050</v>
      </c>
      <c r="N814">
        <v>2</v>
      </c>
      <c r="Q814" t="s">
        <v>29051</v>
      </c>
      <c r="R814" t="s">
        <v>29052</v>
      </c>
      <c r="S814" t="s">
        <v>29053</v>
      </c>
      <c r="T814" t="s">
        <v>30</v>
      </c>
      <c r="U814" t="s">
        <v>46</v>
      </c>
      <c r="W814" t="s">
        <v>26009</v>
      </c>
    </row>
    <row r="815" spans="1:23" x14ac:dyDescent="0.35">
      <c r="A815">
        <v>286704</v>
      </c>
      <c r="B815" t="s">
        <v>29054</v>
      </c>
      <c r="C815" t="str">
        <f>"9780120643516"</f>
        <v>9780120643516</v>
      </c>
      <c r="D815" t="str">
        <f>"9780080468532"</f>
        <v>9780080468532</v>
      </c>
      <c r="E815" t="s">
        <v>27482</v>
      </c>
      <c r="F815" t="s">
        <v>7447</v>
      </c>
      <c r="G815" t="s">
        <v>22689</v>
      </c>
      <c r="H815" t="s">
        <v>26004</v>
      </c>
      <c r="I815" s="26">
        <v>38345</v>
      </c>
      <c r="J815">
        <v>2005</v>
      </c>
      <c r="K815" t="s">
        <v>946</v>
      </c>
      <c r="L815">
        <v>599</v>
      </c>
      <c r="M815" t="s">
        <v>29055</v>
      </c>
      <c r="N815">
        <v>2</v>
      </c>
      <c r="Q815" t="s">
        <v>29056</v>
      </c>
      <c r="R815" t="s">
        <v>27027</v>
      </c>
      <c r="S815" t="s">
        <v>29057</v>
      </c>
      <c r="T815" t="s">
        <v>30</v>
      </c>
      <c r="U815" t="s">
        <v>26282</v>
      </c>
      <c r="W815" t="s">
        <v>26009</v>
      </c>
    </row>
    <row r="816" spans="1:23" x14ac:dyDescent="0.35">
      <c r="A816">
        <v>287005</v>
      </c>
      <c r="B816" t="s">
        <v>10050</v>
      </c>
      <c r="C816" t="str">
        <f>"9781586037024"</f>
        <v>9781586037024</v>
      </c>
      <c r="D816" t="str">
        <f>"9781607502180"</f>
        <v>9781607502180</v>
      </c>
      <c r="E816" t="s">
        <v>28275</v>
      </c>
      <c r="F816" t="s">
        <v>7658</v>
      </c>
      <c r="G816" t="s">
        <v>22222</v>
      </c>
      <c r="H816" t="s">
        <v>27983</v>
      </c>
      <c r="I816" s="26">
        <v>38899</v>
      </c>
      <c r="J816">
        <v>2006</v>
      </c>
      <c r="K816" t="s">
        <v>7658</v>
      </c>
      <c r="L816">
        <v>144</v>
      </c>
      <c r="M816" t="s">
        <v>29058</v>
      </c>
      <c r="N816">
        <v>1</v>
      </c>
      <c r="O816" t="s">
        <v>29059</v>
      </c>
      <c r="P816">
        <v>5</v>
      </c>
      <c r="R816">
        <v>616.79999999999995</v>
      </c>
      <c r="T816" t="s">
        <v>30</v>
      </c>
      <c r="U816" t="s">
        <v>26040</v>
      </c>
      <c r="W816" t="s">
        <v>26009</v>
      </c>
    </row>
    <row r="817" spans="1:23" x14ac:dyDescent="0.35">
      <c r="A817">
        <v>287786</v>
      </c>
      <c r="B817" t="s">
        <v>29060</v>
      </c>
      <c r="C817" t="str">
        <f>"9780335215096"</f>
        <v>9780335215096</v>
      </c>
      <c r="D817" t="str">
        <f>"9780335224340"</f>
        <v>9780335224340</v>
      </c>
      <c r="E817" t="s">
        <v>29061</v>
      </c>
      <c r="F817" t="s">
        <v>7477</v>
      </c>
      <c r="G817" t="s">
        <v>29062</v>
      </c>
      <c r="H817" t="s">
        <v>26011</v>
      </c>
      <c r="I817" s="26">
        <v>38626</v>
      </c>
      <c r="J817">
        <v>2005</v>
      </c>
      <c r="K817" t="s">
        <v>29063</v>
      </c>
      <c r="L817">
        <v>285</v>
      </c>
      <c r="M817" t="s">
        <v>29064</v>
      </c>
      <c r="N817">
        <v>1</v>
      </c>
      <c r="O817" t="s">
        <v>29065</v>
      </c>
      <c r="Q817" t="s">
        <v>29066</v>
      </c>
      <c r="R817">
        <v>305.260941</v>
      </c>
      <c r="S817" t="s">
        <v>29067</v>
      </c>
      <c r="T817" t="s">
        <v>30</v>
      </c>
      <c r="U817" t="s">
        <v>26044</v>
      </c>
      <c r="W817" t="s">
        <v>26009</v>
      </c>
    </row>
    <row r="818" spans="1:23" x14ac:dyDescent="0.35">
      <c r="A818">
        <v>287790</v>
      </c>
      <c r="B818" t="s">
        <v>7604</v>
      </c>
      <c r="C818" t="str">
        <f>"9780335214174"</f>
        <v>9780335214174</v>
      </c>
      <c r="D818" t="str">
        <f>"9780335224692"</f>
        <v>9780335224692</v>
      </c>
      <c r="E818" t="s">
        <v>29061</v>
      </c>
      <c r="F818" t="s">
        <v>7477</v>
      </c>
      <c r="G818" t="s">
        <v>29068</v>
      </c>
      <c r="H818" t="s">
        <v>26011</v>
      </c>
      <c r="I818" s="26">
        <v>38838</v>
      </c>
      <c r="J818">
        <v>2006</v>
      </c>
      <c r="K818" t="s">
        <v>29063</v>
      </c>
      <c r="L818">
        <v>201</v>
      </c>
      <c r="M818" t="s">
        <v>29069</v>
      </c>
      <c r="N818">
        <v>1</v>
      </c>
      <c r="O818" t="s">
        <v>29070</v>
      </c>
      <c r="Q818" t="s">
        <v>29071</v>
      </c>
      <c r="R818">
        <v>616.89139999999998</v>
      </c>
      <c r="S818" t="s">
        <v>29072</v>
      </c>
      <c r="T818" t="s">
        <v>30</v>
      </c>
      <c r="U818" t="s">
        <v>26116</v>
      </c>
      <c r="W818" t="s">
        <v>26009</v>
      </c>
    </row>
    <row r="819" spans="1:23" x14ac:dyDescent="0.35">
      <c r="A819">
        <v>287791</v>
      </c>
      <c r="B819" t="s">
        <v>7615</v>
      </c>
      <c r="C819" t="str">
        <f>"9780335217038"</f>
        <v>9780335217038</v>
      </c>
      <c r="D819" t="str">
        <f>"9780335224005"</f>
        <v>9780335224005</v>
      </c>
      <c r="E819" t="s">
        <v>29061</v>
      </c>
      <c r="F819" t="s">
        <v>7477</v>
      </c>
      <c r="G819" t="s">
        <v>29068</v>
      </c>
      <c r="H819" t="s">
        <v>26011</v>
      </c>
      <c r="I819" s="26">
        <v>38657</v>
      </c>
      <c r="J819">
        <v>2005</v>
      </c>
      <c r="K819" t="s">
        <v>29063</v>
      </c>
      <c r="L819">
        <v>192</v>
      </c>
      <c r="M819" t="s">
        <v>29073</v>
      </c>
      <c r="N819">
        <v>2</v>
      </c>
      <c r="O819" t="s">
        <v>29074</v>
      </c>
      <c r="Q819" t="s">
        <v>29075</v>
      </c>
      <c r="R819">
        <v>155.19999999999999</v>
      </c>
      <c r="S819" t="s">
        <v>29076</v>
      </c>
      <c r="T819" t="s">
        <v>30</v>
      </c>
      <c r="U819" t="s">
        <v>26228</v>
      </c>
      <c r="W819" t="s">
        <v>26009</v>
      </c>
    </row>
    <row r="820" spans="1:23" x14ac:dyDescent="0.35">
      <c r="A820">
        <v>287796</v>
      </c>
      <c r="B820" t="s">
        <v>29077</v>
      </c>
      <c r="C820" t="str">
        <f>""</f>
        <v/>
      </c>
      <c r="D820" t="str">
        <f>"9780335224999"</f>
        <v>9780335224999</v>
      </c>
      <c r="E820" t="s">
        <v>29061</v>
      </c>
      <c r="F820" t="s">
        <v>7477</v>
      </c>
      <c r="G820" t="s">
        <v>29068</v>
      </c>
      <c r="H820" t="s">
        <v>26011</v>
      </c>
      <c r="I820" s="26">
        <v>38899</v>
      </c>
      <c r="J820">
        <v>2006</v>
      </c>
      <c r="K820" t="s">
        <v>29063</v>
      </c>
      <c r="L820">
        <v>250</v>
      </c>
      <c r="M820" t="s">
        <v>29078</v>
      </c>
      <c r="N820">
        <v>2</v>
      </c>
      <c r="O820" t="s">
        <v>29070</v>
      </c>
      <c r="S820" t="s">
        <v>7725</v>
      </c>
      <c r="T820" t="s">
        <v>30</v>
      </c>
      <c r="U820" t="s">
        <v>46</v>
      </c>
      <c r="W820" t="s">
        <v>26009</v>
      </c>
    </row>
    <row r="821" spans="1:23" x14ac:dyDescent="0.35">
      <c r="A821">
        <v>287805</v>
      </c>
      <c r="B821" t="s">
        <v>8016</v>
      </c>
      <c r="C821" t="str">
        <f>"9780335207817"</f>
        <v>9780335207817</v>
      </c>
      <c r="D821" t="str">
        <f>"9780335225071"</f>
        <v>9780335225071</v>
      </c>
      <c r="E821" t="s">
        <v>29061</v>
      </c>
      <c r="F821" t="s">
        <v>7477</v>
      </c>
      <c r="G821" t="s">
        <v>29068</v>
      </c>
      <c r="H821" t="s">
        <v>26011</v>
      </c>
      <c r="I821" s="26">
        <v>37712</v>
      </c>
      <c r="J821">
        <v>2003</v>
      </c>
      <c r="K821" t="s">
        <v>29063</v>
      </c>
      <c r="L821">
        <v>135</v>
      </c>
      <c r="M821" t="s">
        <v>29079</v>
      </c>
      <c r="N821">
        <v>1</v>
      </c>
      <c r="O821" t="s">
        <v>29070</v>
      </c>
      <c r="R821">
        <v>610.73069999999996</v>
      </c>
      <c r="S821" t="s">
        <v>29080</v>
      </c>
      <c r="T821" t="s">
        <v>30</v>
      </c>
      <c r="U821" t="s">
        <v>26174</v>
      </c>
      <c r="W821" t="s">
        <v>26009</v>
      </c>
    </row>
    <row r="822" spans="1:23" x14ac:dyDescent="0.35">
      <c r="A822">
        <v>287848</v>
      </c>
      <c r="B822" t="s">
        <v>9154</v>
      </c>
      <c r="C822" t="str">
        <f>"9780335208227"</f>
        <v>9780335208227</v>
      </c>
      <c r="D822" t="str">
        <f>"9780335224746"</f>
        <v>9780335224746</v>
      </c>
      <c r="E822" t="s">
        <v>29061</v>
      </c>
      <c r="F822" t="s">
        <v>7477</v>
      </c>
      <c r="G822" t="s">
        <v>29062</v>
      </c>
      <c r="H822" t="s">
        <v>26011</v>
      </c>
      <c r="I822" s="26">
        <v>38108</v>
      </c>
      <c r="J822">
        <v>2004</v>
      </c>
      <c r="K822" t="s">
        <v>29063</v>
      </c>
      <c r="L822">
        <v>184</v>
      </c>
      <c r="M822" t="s">
        <v>29081</v>
      </c>
      <c r="N822">
        <v>1</v>
      </c>
      <c r="O822" t="s">
        <v>29070</v>
      </c>
      <c r="Q822" t="s">
        <v>29082</v>
      </c>
      <c r="R822">
        <v>616.89</v>
      </c>
      <c r="S822" t="s">
        <v>29083</v>
      </c>
      <c r="T822" t="s">
        <v>30</v>
      </c>
      <c r="U822" t="s">
        <v>26116</v>
      </c>
      <c r="W822" t="s">
        <v>26009</v>
      </c>
    </row>
    <row r="823" spans="1:23" x14ac:dyDescent="0.35">
      <c r="A823">
        <v>287864</v>
      </c>
      <c r="B823" t="s">
        <v>9726</v>
      </c>
      <c r="C823" t="str">
        <f>"9780335214020"</f>
        <v>9780335214020</v>
      </c>
      <c r="D823" t="str">
        <f>"9780335224715"</f>
        <v>9780335224715</v>
      </c>
      <c r="E823" t="s">
        <v>29061</v>
      </c>
      <c r="F823" t="s">
        <v>7477</v>
      </c>
      <c r="G823" t="s">
        <v>29062</v>
      </c>
      <c r="H823" t="s">
        <v>26011</v>
      </c>
      <c r="I823" s="26">
        <v>38565</v>
      </c>
      <c r="J823">
        <v>2005</v>
      </c>
      <c r="K823" t="s">
        <v>29063</v>
      </c>
      <c r="L823">
        <v>245</v>
      </c>
      <c r="M823" t="s">
        <v>29084</v>
      </c>
      <c r="N823">
        <v>1</v>
      </c>
      <c r="O823" t="s">
        <v>29070</v>
      </c>
      <c r="Q823" t="s">
        <v>29085</v>
      </c>
      <c r="R823">
        <v>616.89139999999998</v>
      </c>
      <c r="S823" t="s">
        <v>29086</v>
      </c>
      <c r="T823" t="s">
        <v>30</v>
      </c>
      <c r="U823" t="s">
        <v>26040</v>
      </c>
      <c r="W823" t="s">
        <v>26009</v>
      </c>
    </row>
    <row r="824" spans="1:23" x14ac:dyDescent="0.35">
      <c r="A824">
        <v>287890</v>
      </c>
      <c r="B824" t="s">
        <v>10157</v>
      </c>
      <c r="C824" t="str">
        <f>"9780335219483"</f>
        <v>9780335219483</v>
      </c>
      <c r="D824" t="str">
        <f>"9780335224975"</f>
        <v>9780335224975</v>
      </c>
      <c r="E824" t="s">
        <v>29061</v>
      </c>
      <c r="F824" t="s">
        <v>7477</v>
      </c>
      <c r="G824" t="s">
        <v>29068</v>
      </c>
      <c r="H824" t="s">
        <v>26011</v>
      </c>
      <c r="I824" s="26">
        <v>38687</v>
      </c>
      <c r="J824">
        <v>2005</v>
      </c>
      <c r="K824" t="s">
        <v>29063</v>
      </c>
      <c r="L824">
        <v>248</v>
      </c>
      <c r="M824" t="s">
        <v>29087</v>
      </c>
      <c r="N824">
        <v>1</v>
      </c>
      <c r="O824" t="s">
        <v>29088</v>
      </c>
      <c r="R824">
        <v>364.3</v>
      </c>
      <c r="S824" t="s">
        <v>29089</v>
      </c>
      <c r="T824" t="s">
        <v>30</v>
      </c>
      <c r="U824" t="s">
        <v>26044</v>
      </c>
      <c r="W824" t="s">
        <v>26009</v>
      </c>
    </row>
    <row r="825" spans="1:23" x14ac:dyDescent="0.35">
      <c r="A825">
        <v>287891</v>
      </c>
      <c r="B825" t="s">
        <v>10159</v>
      </c>
      <c r="C825" t="str">
        <f>"9780335212576"</f>
        <v>9780335212576</v>
      </c>
      <c r="D825" t="str">
        <f>"9780335224234"</f>
        <v>9780335224234</v>
      </c>
      <c r="E825" t="s">
        <v>29061</v>
      </c>
      <c r="F825" t="s">
        <v>7477</v>
      </c>
      <c r="G825" t="s">
        <v>29068</v>
      </c>
      <c r="H825" t="s">
        <v>26011</v>
      </c>
      <c r="I825" s="26">
        <v>38443</v>
      </c>
      <c r="J825">
        <v>2005</v>
      </c>
      <c r="K825" t="s">
        <v>29063</v>
      </c>
      <c r="L825">
        <v>202</v>
      </c>
      <c r="M825" t="s">
        <v>29090</v>
      </c>
      <c r="N825">
        <v>1</v>
      </c>
      <c r="O825" t="s">
        <v>29088</v>
      </c>
      <c r="R825">
        <v>362.29094099999998</v>
      </c>
      <c r="T825" t="s">
        <v>30</v>
      </c>
      <c r="U825" t="s">
        <v>26094</v>
      </c>
      <c r="W825" t="s">
        <v>26009</v>
      </c>
    </row>
    <row r="826" spans="1:23" x14ac:dyDescent="0.35">
      <c r="A826">
        <v>287898</v>
      </c>
      <c r="B826" t="s">
        <v>10176</v>
      </c>
      <c r="C826" t="str">
        <f>"9780335216789"</f>
        <v>9780335216789</v>
      </c>
      <c r="D826" t="str">
        <f>"9780335224401"</f>
        <v>9780335224401</v>
      </c>
      <c r="E826" t="s">
        <v>29061</v>
      </c>
      <c r="F826" t="s">
        <v>7477</v>
      </c>
      <c r="G826" t="s">
        <v>29068</v>
      </c>
      <c r="H826" t="s">
        <v>26011</v>
      </c>
      <c r="I826" s="26">
        <v>38565</v>
      </c>
      <c r="J826">
        <v>2005</v>
      </c>
      <c r="K826" t="s">
        <v>29063</v>
      </c>
      <c r="L826">
        <v>267</v>
      </c>
      <c r="M826" t="s">
        <v>29091</v>
      </c>
      <c r="N826">
        <v>2</v>
      </c>
      <c r="O826" t="s">
        <v>29088</v>
      </c>
      <c r="Q826" t="s">
        <v>29092</v>
      </c>
      <c r="R826" t="s">
        <v>29093</v>
      </c>
      <c r="S826" t="s">
        <v>29094</v>
      </c>
      <c r="T826" t="s">
        <v>30</v>
      </c>
      <c r="U826" t="s">
        <v>26044</v>
      </c>
      <c r="W826" t="s">
        <v>26009</v>
      </c>
    </row>
    <row r="827" spans="1:23" x14ac:dyDescent="0.35">
      <c r="A827">
        <v>287919</v>
      </c>
      <c r="B827" t="s">
        <v>10042</v>
      </c>
      <c r="C827" t="str">
        <f>"9780123694294"</f>
        <v>9780123694294</v>
      </c>
      <c r="D827" t="str">
        <f>"9780080471044"</f>
        <v>9780080471044</v>
      </c>
      <c r="E827" t="s">
        <v>27482</v>
      </c>
      <c r="F827" t="s">
        <v>7447</v>
      </c>
      <c r="G827" t="s">
        <v>22689</v>
      </c>
      <c r="H827" t="s">
        <v>26004</v>
      </c>
      <c r="I827" s="26">
        <v>39204</v>
      </c>
      <c r="J827">
        <v>2007</v>
      </c>
      <c r="K827" t="s">
        <v>946</v>
      </c>
      <c r="L827">
        <v>394</v>
      </c>
      <c r="M827" t="s">
        <v>29095</v>
      </c>
      <c r="N827">
        <v>1</v>
      </c>
      <c r="O827" t="s">
        <v>27484</v>
      </c>
      <c r="Q827" t="s">
        <v>29096</v>
      </c>
      <c r="R827">
        <v>616.89139999999998</v>
      </c>
      <c r="S827" t="s">
        <v>10043</v>
      </c>
      <c r="T827" t="s">
        <v>30</v>
      </c>
      <c r="U827" t="s">
        <v>26019</v>
      </c>
      <c r="W827" t="s">
        <v>26009</v>
      </c>
    </row>
    <row r="828" spans="1:23" x14ac:dyDescent="0.35">
      <c r="A828">
        <v>287925</v>
      </c>
      <c r="B828" t="s">
        <v>8479</v>
      </c>
      <c r="C828" t="str">
        <f>"9780123725448"</f>
        <v>9780123725448</v>
      </c>
      <c r="D828" t="str">
        <f>"9780080471099"</f>
        <v>9780080471099</v>
      </c>
      <c r="E828" t="s">
        <v>27482</v>
      </c>
      <c r="F828" t="s">
        <v>7447</v>
      </c>
      <c r="G828" t="s">
        <v>22689</v>
      </c>
      <c r="H828" t="s">
        <v>26004</v>
      </c>
      <c r="I828" s="26">
        <v>39162</v>
      </c>
      <c r="J828">
        <v>2007</v>
      </c>
      <c r="K828" t="s">
        <v>946</v>
      </c>
      <c r="L828">
        <v>503</v>
      </c>
      <c r="M828" t="s">
        <v>29097</v>
      </c>
      <c r="N828">
        <v>1</v>
      </c>
      <c r="O828" t="s">
        <v>27484</v>
      </c>
      <c r="Q828" t="s">
        <v>29098</v>
      </c>
      <c r="R828">
        <v>616.89</v>
      </c>
      <c r="S828" t="s">
        <v>8480</v>
      </c>
      <c r="T828" t="s">
        <v>30</v>
      </c>
      <c r="U828" t="s">
        <v>26116</v>
      </c>
      <c r="W828" t="s">
        <v>26009</v>
      </c>
    </row>
    <row r="829" spans="1:23" x14ac:dyDescent="0.35">
      <c r="A829">
        <v>287932</v>
      </c>
      <c r="B829" t="s">
        <v>29099</v>
      </c>
      <c r="C829" t="str">
        <f>"9780123737342"</f>
        <v>9780123737342</v>
      </c>
      <c r="D829" t="str">
        <f>"9780080471198"</f>
        <v>9780080471198</v>
      </c>
      <c r="E829" t="s">
        <v>27482</v>
      </c>
      <c r="F829" t="s">
        <v>7447</v>
      </c>
      <c r="G829" t="s">
        <v>22689</v>
      </c>
      <c r="H829" t="s">
        <v>26011</v>
      </c>
      <c r="I829" s="26">
        <v>39119</v>
      </c>
      <c r="J829">
        <v>2007</v>
      </c>
      <c r="K829" t="s">
        <v>946</v>
      </c>
      <c r="L829">
        <v>292</v>
      </c>
      <c r="M829" t="s">
        <v>29100</v>
      </c>
      <c r="N829">
        <v>1</v>
      </c>
      <c r="Q829" t="s">
        <v>29101</v>
      </c>
      <c r="R829">
        <v>153</v>
      </c>
      <c r="S829" t="s">
        <v>1567</v>
      </c>
      <c r="T829" t="s">
        <v>30</v>
      </c>
      <c r="U829" t="s">
        <v>46</v>
      </c>
      <c r="W829" t="s">
        <v>26009</v>
      </c>
    </row>
    <row r="830" spans="1:23" x14ac:dyDescent="0.35">
      <c r="A830">
        <v>288358</v>
      </c>
      <c r="B830" t="s">
        <v>9671</v>
      </c>
      <c r="C830" t="str">
        <f>"9780253347077"</f>
        <v>9780253347077</v>
      </c>
      <c r="D830" t="str">
        <f>"9780253112118"</f>
        <v>9780253112118</v>
      </c>
      <c r="E830" t="s">
        <v>7540</v>
      </c>
      <c r="F830" t="s">
        <v>7540</v>
      </c>
      <c r="G830" t="s">
        <v>24303</v>
      </c>
      <c r="H830" t="s">
        <v>26004</v>
      </c>
      <c r="I830" s="26">
        <v>38834</v>
      </c>
      <c r="J830">
        <v>2006</v>
      </c>
      <c r="K830" t="s">
        <v>7540</v>
      </c>
      <c r="L830">
        <v>269</v>
      </c>
      <c r="M830" t="s">
        <v>29102</v>
      </c>
      <c r="N830">
        <v>1</v>
      </c>
      <c r="Q830" t="s">
        <v>29103</v>
      </c>
      <c r="R830" t="s">
        <v>28798</v>
      </c>
      <c r="S830" t="s">
        <v>29104</v>
      </c>
      <c r="T830" t="s">
        <v>30</v>
      </c>
      <c r="U830" t="s">
        <v>26044</v>
      </c>
      <c r="W830" t="s">
        <v>26009</v>
      </c>
    </row>
    <row r="831" spans="1:23" x14ac:dyDescent="0.35">
      <c r="A831">
        <v>288360</v>
      </c>
      <c r="B831" t="s">
        <v>29105</v>
      </c>
      <c r="C831" t="str">
        <f>"9780253347381"</f>
        <v>9780253347381</v>
      </c>
      <c r="D831" t="str">
        <f>"9780253112132"</f>
        <v>9780253112132</v>
      </c>
      <c r="E831" t="s">
        <v>7540</v>
      </c>
      <c r="F831" t="s">
        <v>7540</v>
      </c>
      <c r="G831" t="s">
        <v>24303</v>
      </c>
      <c r="H831" t="s">
        <v>26004</v>
      </c>
      <c r="I831" s="26">
        <v>38804</v>
      </c>
      <c r="J831">
        <v>2006</v>
      </c>
      <c r="K831" t="s">
        <v>7540</v>
      </c>
      <c r="L831">
        <v>265</v>
      </c>
      <c r="M831" t="s">
        <v>29106</v>
      </c>
      <c r="N831">
        <v>1</v>
      </c>
      <c r="Q831" t="s">
        <v>29107</v>
      </c>
      <c r="R831">
        <v>305.80900000000003</v>
      </c>
      <c r="S831" t="s">
        <v>29108</v>
      </c>
      <c r="T831" t="s">
        <v>30</v>
      </c>
      <c r="U831" t="s">
        <v>26044</v>
      </c>
      <c r="W831" t="s">
        <v>26009</v>
      </c>
    </row>
    <row r="832" spans="1:23" x14ac:dyDescent="0.35">
      <c r="A832">
        <v>288482</v>
      </c>
      <c r="B832" t="s">
        <v>9528</v>
      </c>
      <c r="C832" t="str">
        <f>"9780521608251"</f>
        <v>9780521608251</v>
      </c>
      <c r="D832" t="str">
        <f>"9780511268328"</f>
        <v>9780511268328</v>
      </c>
      <c r="E832" t="s">
        <v>167</v>
      </c>
      <c r="F832" t="s">
        <v>167</v>
      </c>
      <c r="G832" t="s">
        <v>22218</v>
      </c>
      <c r="H832" t="s">
        <v>26011</v>
      </c>
      <c r="I832" s="26">
        <v>39128</v>
      </c>
      <c r="J832">
        <v>2007</v>
      </c>
      <c r="K832" t="s">
        <v>167</v>
      </c>
      <c r="L832">
        <v>440</v>
      </c>
      <c r="M832" t="s">
        <v>29109</v>
      </c>
      <c r="N832">
        <v>2</v>
      </c>
      <c r="Q832" t="s">
        <v>29110</v>
      </c>
      <c r="R832">
        <v>616.85879999999997</v>
      </c>
      <c r="S832" t="s">
        <v>9529</v>
      </c>
      <c r="T832" t="s">
        <v>30</v>
      </c>
      <c r="U832" t="s">
        <v>26116</v>
      </c>
      <c r="W832" t="s">
        <v>26020</v>
      </c>
    </row>
    <row r="833" spans="1:23" x14ac:dyDescent="0.35">
      <c r="A833">
        <v>288489</v>
      </c>
      <c r="B833" t="s">
        <v>7649</v>
      </c>
      <c r="C833" t="str">
        <f>"9780521842617"</f>
        <v>9780521842617</v>
      </c>
      <c r="D833" t="str">
        <f>"9780511268403"</f>
        <v>9780511268403</v>
      </c>
      <c r="E833" t="s">
        <v>167</v>
      </c>
      <c r="F833" t="s">
        <v>167</v>
      </c>
      <c r="G833" t="s">
        <v>22218</v>
      </c>
      <c r="H833" t="s">
        <v>26011</v>
      </c>
      <c r="I833" s="26">
        <v>39100</v>
      </c>
      <c r="J833">
        <v>2007</v>
      </c>
      <c r="K833" t="s">
        <v>167</v>
      </c>
      <c r="L833">
        <v>666</v>
      </c>
      <c r="M833" t="s">
        <v>29111</v>
      </c>
      <c r="N833">
        <v>1</v>
      </c>
      <c r="Q833" t="s">
        <v>29112</v>
      </c>
      <c r="R833">
        <v>616.80999999999995</v>
      </c>
      <c r="S833" t="s">
        <v>29113</v>
      </c>
      <c r="T833" t="s">
        <v>30</v>
      </c>
      <c r="U833" t="s">
        <v>26040</v>
      </c>
      <c r="W833" t="s">
        <v>26020</v>
      </c>
    </row>
    <row r="834" spans="1:23" x14ac:dyDescent="0.35">
      <c r="A834">
        <v>288516</v>
      </c>
      <c r="B834" t="s">
        <v>29114</v>
      </c>
      <c r="C834" t="str">
        <f>"9780749448301"</f>
        <v>9780749448301</v>
      </c>
      <c r="D834" t="str">
        <f>"9780749450458"</f>
        <v>9780749450458</v>
      </c>
      <c r="E834" t="s">
        <v>29115</v>
      </c>
      <c r="F834" t="s">
        <v>29116</v>
      </c>
      <c r="G834" t="s">
        <v>22174</v>
      </c>
      <c r="H834" t="s">
        <v>26011</v>
      </c>
      <c r="I834" s="26">
        <v>38991</v>
      </c>
      <c r="J834">
        <v>2007</v>
      </c>
      <c r="K834" t="s">
        <v>29116</v>
      </c>
      <c r="L834">
        <v>237</v>
      </c>
      <c r="M834" t="s">
        <v>29117</v>
      </c>
      <c r="N834">
        <v>1</v>
      </c>
      <c r="Q834" t="s">
        <v>29118</v>
      </c>
      <c r="S834" t="s">
        <v>29119</v>
      </c>
      <c r="T834" t="s">
        <v>30</v>
      </c>
      <c r="U834" t="s">
        <v>26044</v>
      </c>
      <c r="W834" t="s">
        <v>28347</v>
      </c>
    </row>
    <row r="835" spans="1:23" x14ac:dyDescent="0.35">
      <c r="A835">
        <v>288625</v>
      </c>
      <c r="B835" t="s">
        <v>29120</v>
      </c>
      <c r="C835" t="str">
        <f>"9780521854870"</f>
        <v>9780521854870</v>
      </c>
      <c r="D835" t="str">
        <f>"9780511273087"</f>
        <v>9780511273087</v>
      </c>
      <c r="E835" t="s">
        <v>167</v>
      </c>
      <c r="F835" t="s">
        <v>167</v>
      </c>
      <c r="G835" t="s">
        <v>22218</v>
      </c>
      <c r="H835" t="s">
        <v>26011</v>
      </c>
      <c r="I835" s="26">
        <v>39128</v>
      </c>
      <c r="J835">
        <v>2007</v>
      </c>
      <c r="K835" t="s">
        <v>167</v>
      </c>
      <c r="L835">
        <v>452</v>
      </c>
      <c r="M835" t="s">
        <v>29121</v>
      </c>
      <c r="N835">
        <v>1</v>
      </c>
      <c r="Q835" t="s">
        <v>29122</v>
      </c>
      <c r="R835" t="s">
        <v>29123</v>
      </c>
      <c r="S835" t="s">
        <v>8405</v>
      </c>
      <c r="T835" t="s">
        <v>30</v>
      </c>
      <c r="U835" t="s">
        <v>26019</v>
      </c>
      <c r="W835" t="s">
        <v>26020</v>
      </c>
    </row>
    <row r="836" spans="1:23" x14ac:dyDescent="0.35">
      <c r="A836">
        <v>288628</v>
      </c>
      <c r="B836" t="s">
        <v>8559</v>
      </c>
      <c r="C836" t="str">
        <f>"9780521842822"</f>
        <v>9780521842822</v>
      </c>
      <c r="D836" t="str">
        <f>"9780511272844"</f>
        <v>9780511272844</v>
      </c>
      <c r="E836" t="s">
        <v>167</v>
      </c>
      <c r="F836" t="s">
        <v>167</v>
      </c>
      <c r="G836" t="s">
        <v>22218</v>
      </c>
      <c r="H836" t="s">
        <v>26011</v>
      </c>
      <c r="I836" s="26">
        <v>39111</v>
      </c>
      <c r="J836">
        <v>2007</v>
      </c>
      <c r="K836" t="s">
        <v>167</v>
      </c>
      <c r="L836">
        <v>209</v>
      </c>
      <c r="M836" t="s">
        <v>29124</v>
      </c>
      <c r="N836">
        <v>1</v>
      </c>
      <c r="O836" t="s">
        <v>27259</v>
      </c>
      <c r="Q836" t="s">
        <v>29125</v>
      </c>
      <c r="R836">
        <v>305.01</v>
      </c>
      <c r="S836" t="s">
        <v>7778</v>
      </c>
      <c r="T836" t="s">
        <v>30</v>
      </c>
      <c r="U836" t="s">
        <v>26170</v>
      </c>
      <c r="W836" t="s">
        <v>26020</v>
      </c>
    </row>
    <row r="837" spans="1:23" x14ac:dyDescent="0.35">
      <c r="A837">
        <v>288770</v>
      </c>
      <c r="B837" t="s">
        <v>8142</v>
      </c>
      <c r="C837" t="str">
        <f>"9780126186215"</f>
        <v>9780126186215</v>
      </c>
      <c r="D837" t="str">
        <f>"9780080472492"</f>
        <v>9780080472492</v>
      </c>
      <c r="E837" t="s">
        <v>27482</v>
      </c>
      <c r="F837" t="s">
        <v>7447</v>
      </c>
      <c r="G837" t="s">
        <v>22689</v>
      </c>
      <c r="H837" t="s">
        <v>26004</v>
      </c>
      <c r="I837" s="26">
        <v>38658</v>
      </c>
      <c r="J837">
        <v>2006</v>
      </c>
      <c r="K837" t="s">
        <v>946</v>
      </c>
      <c r="L837">
        <v>388</v>
      </c>
      <c r="M837" t="s">
        <v>29126</v>
      </c>
      <c r="N837">
        <v>2</v>
      </c>
      <c r="Q837" t="s">
        <v>29127</v>
      </c>
      <c r="R837">
        <v>612.79999999999995</v>
      </c>
      <c r="S837" t="s">
        <v>8143</v>
      </c>
      <c r="T837" t="s">
        <v>30</v>
      </c>
      <c r="U837" t="s">
        <v>26141</v>
      </c>
      <c r="W837" t="s">
        <v>26009</v>
      </c>
    </row>
    <row r="838" spans="1:23" x14ac:dyDescent="0.35">
      <c r="A838">
        <v>289453</v>
      </c>
      <c r="B838" t="s">
        <v>29128</v>
      </c>
      <c r="C838" t="str">
        <f>"9780851990323"</f>
        <v>9780851990323</v>
      </c>
      <c r="D838" t="str">
        <f>"9781845930868"</f>
        <v>9781845930868</v>
      </c>
      <c r="E838" t="s">
        <v>9612</v>
      </c>
      <c r="F838" t="s">
        <v>9612</v>
      </c>
      <c r="G838" t="s">
        <v>29129</v>
      </c>
      <c r="H838" t="s">
        <v>26011</v>
      </c>
      <c r="I838" s="26">
        <v>38718</v>
      </c>
      <c r="J838">
        <v>2006</v>
      </c>
      <c r="K838" t="s">
        <v>29130</v>
      </c>
      <c r="L838">
        <v>409</v>
      </c>
      <c r="M838" t="s">
        <v>29131</v>
      </c>
      <c r="N838">
        <v>1</v>
      </c>
      <c r="Q838" t="s">
        <v>29132</v>
      </c>
      <c r="R838">
        <v>613.20190000000002</v>
      </c>
      <c r="S838" t="s">
        <v>29133</v>
      </c>
      <c r="T838" t="s">
        <v>30</v>
      </c>
      <c r="U838" t="s">
        <v>29134</v>
      </c>
      <c r="W838" t="s">
        <v>26009</v>
      </c>
    </row>
    <row r="839" spans="1:23" x14ac:dyDescent="0.35">
      <c r="A839">
        <v>290367</v>
      </c>
      <c r="B839" t="s">
        <v>29135</v>
      </c>
      <c r="C839" t="str">
        <f>"9780335209590"</f>
        <v>9780335209590</v>
      </c>
      <c r="D839" t="str">
        <f>"9780335226276"</f>
        <v>9780335226276</v>
      </c>
      <c r="E839" t="s">
        <v>29061</v>
      </c>
      <c r="F839" t="s">
        <v>7477</v>
      </c>
      <c r="G839" t="s">
        <v>29068</v>
      </c>
      <c r="H839" t="s">
        <v>26011</v>
      </c>
      <c r="I839" s="26">
        <v>38231</v>
      </c>
      <c r="J839">
        <v>2004</v>
      </c>
      <c r="K839" t="s">
        <v>29063</v>
      </c>
      <c r="L839">
        <v>225</v>
      </c>
      <c r="M839" t="s">
        <v>29136</v>
      </c>
      <c r="N839">
        <v>1</v>
      </c>
      <c r="O839" t="s">
        <v>29074</v>
      </c>
      <c r="T839" t="s">
        <v>30</v>
      </c>
      <c r="U839" t="s">
        <v>46</v>
      </c>
      <c r="W839" t="s">
        <v>26009</v>
      </c>
    </row>
    <row r="840" spans="1:23" x14ac:dyDescent="0.35">
      <c r="A840">
        <v>290384</v>
      </c>
      <c r="B840" t="s">
        <v>8969</v>
      </c>
      <c r="C840" t="str">
        <f>"9780335216802"</f>
        <v>9780335216802</v>
      </c>
      <c r="D840" t="str">
        <f>"9780335225606"</f>
        <v>9780335225606</v>
      </c>
      <c r="E840" t="s">
        <v>29061</v>
      </c>
      <c r="F840" t="s">
        <v>7477</v>
      </c>
      <c r="G840" t="s">
        <v>29068</v>
      </c>
      <c r="H840" t="s">
        <v>26011</v>
      </c>
      <c r="I840" s="26">
        <v>38687</v>
      </c>
      <c r="J840">
        <v>2005</v>
      </c>
      <c r="K840" t="s">
        <v>29063</v>
      </c>
      <c r="L840">
        <v>227</v>
      </c>
      <c r="M840" t="s">
        <v>29137</v>
      </c>
      <c r="N840">
        <v>3</v>
      </c>
      <c r="O840" t="s">
        <v>29074</v>
      </c>
      <c r="Q840" t="s">
        <v>29138</v>
      </c>
      <c r="R840">
        <v>150.727</v>
      </c>
      <c r="S840" t="s">
        <v>29139</v>
      </c>
      <c r="T840" t="s">
        <v>30</v>
      </c>
      <c r="U840" t="s">
        <v>46</v>
      </c>
      <c r="W840" t="s">
        <v>26009</v>
      </c>
    </row>
    <row r="841" spans="1:23" x14ac:dyDescent="0.35">
      <c r="A841">
        <v>290418</v>
      </c>
      <c r="B841" t="s">
        <v>9890</v>
      </c>
      <c r="C841" t="str">
        <f>"9780335216185"</f>
        <v>9780335216185</v>
      </c>
      <c r="D841" t="str">
        <f>"9780335225637"</f>
        <v>9780335225637</v>
      </c>
      <c r="E841" t="s">
        <v>29061</v>
      </c>
      <c r="F841" t="s">
        <v>7477</v>
      </c>
      <c r="G841" t="s">
        <v>29068</v>
      </c>
      <c r="H841" t="s">
        <v>26011</v>
      </c>
      <c r="I841" s="26">
        <v>38504</v>
      </c>
      <c r="J841">
        <v>2005</v>
      </c>
      <c r="K841" t="s">
        <v>29063</v>
      </c>
      <c r="L841">
        <v>280</v>
      </c>
      <c r="M841" t="s">
        <v>29140</v>
      </c>
      <c r="N841">
        <v>1</v>
      </c>
      <c r="O841" t="s">
        <v>29141</v>
      </c>
      <c r="R841">
        <v>613.71019999999999</v>
      </c>
      <c r="T841" t="s">
        <v>30</v>
      </c>
      <c r="U841" t="s">
        <v>29134</v>
      </c>
      <c r="W841" t="s">
        <v>26009</v>
      </c>
    </row>
    <row r="842" spans="1:23" x14ac:dyDescent="0.35">
      <c r="A842">
        <v>290557</v>
      </c>
      <c r="B842" t="s">
        <v>29142</v>
      </c>
      <c r="C842" t="str">
        <f>"9781843100324"</f>
        <v>9781843100324</v>
      </c>
      <c r="D842" t="str">
        <f>"9781846420016"</f>
        <v>9781846420016</v>
      </c>
      <c r="E842" t="s">
        <v>146</v>
      </c>
      <c r="F842" t="s">
        <v>146</v>
      </c>
      <c r="G842" t="s">
        <v>22174</v>
      </c>
      <c r="H842" t="s">
        <v>26011</v>
      </c>
      <c r="I842" s="26">
        <v>38061</v>
      </c>
      <c r="J842">
        <v>2004</v>
      </c>
      <c r="K842" t="s">
        <v>146</v>
      </c>
      <c r="L842">
        <v>81</v>
      </c>
      <c r="M842" t="s">
        <v>29143</v>
      </c>
      <c r="N842">
        <v>1</v>
      </c>
      <c r="Q842" t="s">
        <v>29144</v>
      </c>
      <c r="S842" t="s">
        <v>29145</v>
      </c>
      <c r="T842" t="s">
        <v>30</v>
      </c>
      <c r="U842" t="s">
        <v>26116</v>
      </c>
      <c r="W842" t="s">
        <v>28347</v>
      </c>
    </row>
    <row r="843" spans="1:23" x14ac:dyDescent="0.35">
      <c r="A843">
        <v>290559</v>
      </c>
      <c r="B843" t="s">
        <v>29146</v>
      </c>
      <c r="C843" t="str">
        <f>"9781843107743"</f>
        <v>9781843107743</v>
      </c>
      <c r="D843" t="str">
        <f>"9781846420030"</f>
        <v>9781846420030</v>
      </c>
      <c r="E843" t="s">
        <v>146</v>
      </c>
      <c r="F843" t="s">
        <v>146</v>
      </c>
      <c r="G843" t="s">
        <v>22174</v>
      </c>
      <c r="H843" t="s">
        <v>26011</v>
      </c>
      <c r="I843" s="26">
        <v>38122</v>
      </c>
      <c r="J843">
        <v>2004</v>
      </c>
      <c r="K843" t="s">
        <v>146</v>
      </c>
      <c r="L843">
        <v>142</v>
      </c>
      <c r="M843" t="s">
        <v>29147</v>
      </c>
      <c r="N843">
        <v>1</v>
      </c>
      <c r="Q843" t="s">
        <v>29148</v>
      </c>
      <c r="R843" t="s">
        <v>27485</v>
      </c>
      <c r="S843" t="s">
        <v>29149</v>
      </c>
      <c r="T843" t="s">
        <v>30</v>
      </c>
      <c r="U843" t="s">
        <v>29150</v>
      </c>
      <c r="W843" t="s">
        <v>28347</v>
      </c>
    </row>
    <row r="844" spans="1:23" x14ac:dyDescent="0.35">
      <c r="A844">
        <v>290560</v>
      </c>
      <c r="B844" t="s">
        <v>9462</v>
      </c>
      <c r="C844" t="str">
        <f>"9781843107699"</f>
        <v>9781843107699</v>
      </c>
      <c r="D844" t="str">
        <f>"9781846420047"</f>
        <v>9781846420047</v>
      </c>
      <c r="E844" t="s">
        <v>146</v>
      </c>
      <c r="F844" t="s">
        <v>146</v>
      </c>
      <c r="G844" t="s">
        <v>22174</v>
      </c>
      <c r="H844" t="s">
        <v>26011</v>
      </c>
      <c r="I844" s="26">
        <v>38061</v>
      </c>
      <c r="J844">
        <v>2004</v>
      </c>
      <c r="K844" t="s">
        <v>146</v>
      </c>
      <c r="L844">
        <v>162</v>
      </c>
      <c r="M844" t="s">
        <v>29151</v>
      </c>
      <c r="N844">
        <v>1</v>
      </c>
      <c r="S844" t="s">
        <v>29152</v>
      </c>
      <c r="T844" t="s">
        <v>30</v>
      </c>
      <c r="U844" t="s">
        <v>29153</v>
      </c>
      <c r="W844" t="s">
        <v>28347</v>
      </c>
    </row>
    <row r="845" spans="1:23" x14ac:dyDescent="0.35">
      <c r="A845">
        <v>290561</v>
      </c>
      <c r="B845" t="s">
        <v>29154</v>
      </c>
      <c r="C845" t="str">
        <f>"9781843102038"</f>
        <v>9781843102038</v>
      </c>
      <c r="D845" t="str">
        <f>"9781846420061"</f>
        <v>9781846420061</v>
      </c>
      <c r="E845" t="s">
        <v>146</v>
      </c>
      <c r="F845" t="s">
        <v>146</v>
      </c>
      <c r="G845" t="s">
        <v>22174</v>
      </c>
      <c r="H845" t="s">
        <v>26011</v>
      </c>
      <c r="I845" s="26">
        <v>38153</v>
      </c>
      <c r="J845">
        <v>2004</v>
      </c>
      <c r="K845" t="s">
        <v>146</v>
      </c>
      <c r="L845">
        <v>162</v>
      </c>
      <c r="M845" t="s">
        <v>29155</v>
      </c>
      <c r="N845">
        <v>1</v>
      </c>
      <c r="R845" t="s">
        <v>29156</v>
      </c>
      <c r="T845" t="s">
        <v>30</v>
      </c>
      <c r="U845" t="s">
        <v>26040</v>
      </c>
      <c r="W845" t="s">
        <v>28347</v>
      </c>
    </row>
    <row r="846" spans="1:23" x14ac:dyDescent="0.35">
      <c r="A846">
        <v>290563</v>
      </c>
      <c r="B846" t="s">
        <v>8821</v>
      </c>
      <c r="C846" t="str">
        <f>"9781843100829"</f>
        <v>9781843100829</v>
      </c>
      <c r="D846" t="str">
        <f>"9781846420085"</f>
        <v>9781846420085</v>
      </c>
      <c r="E846" t="s">
        <v>146</v>
      </c>
      <c r="F846" t="s">
        <v>146</v>
      </c>
      <c r="G846" t="s">
        <v>22174</v>
      </c>
      <c r="H846" t="s">
        <v>26011</v>
      </c>
      <c r="I846" s="26">
        <v>38122</v>
      </c>
      <c r="J846">
        <v>2004</v>
      </c>
      <c r="K846" t="s">
        <v>146</v>
      </c>
      <c r="L846">
        <v>146</v>
      </c>
      <c r="M846" t="s">
        <v>29157</v>
      </c>
      <c r="N846">
        <v>1</v>
      </c>
      <c r="Q846" t="s">
        <v>29158</v>
      </c>
      <c r="R846" t="s">
        <v>26759</v>
      </c>
      <c r="S846" t="s">
        <v>29159</v>
      </c>
      <c r="T846" t="s">
        <v>30</v>
      </c>
      <c r="U846" t="s">
        <v>46</v>
      </c>
      <c r="W846" t="s">
        <v>28347</v>
      </c>
    </row>
    <row r="847" spans="1:23" x14ac:dyDescent="0.35">
      <c r="A847">
        <v>290564</v>
      </c>
      <c r="B847" t="s">
        <v>29160</v>
      </c>
      <c r="C847" t="str">
        <f>"9781843101963"</f>
        <v>9781843101963</v>
      </c>
      <c r="D847" t="str">
        <f>"9781846420092"</f>
        <v>9781846420092</v>
      </c>
      <c r="E847" t="s">
        <v>146</v>
      </c>
      <c r="F847" t="s">
        <v>146</v>
      </c>
      <c r="G847" t="s">
        <v>22174</v>
      </c>
      <c r="H847" t="s">
        <v>26011</v>
      </c>
      <c r="I847" s="26">
        <v>38188</v>
      </c>
      <c r="J847">
        <v>2004</v>
      </c>
      <c r="K847" t="s">
        <v>146</v>
      </c>
      <c r="L847">
        <v>305</v>
      </c>
      <c r="M847" t="s">
        <v>29161</v>
      </c>
      <c r="N847">
        <v>1</v>
      </c>
      <c r="S847" t="s">
        <v>29162</v>
      </c>
      <c r="T847" t="s">
        <v>30</v>
      </c>
      <c r="U847" t="s">
        <v>11356</v>
      </c>
      <c r="W847" t="s">
        <v>28347</v>
      </c>
    </row>
    <row r="848" spans="1:23" x14ac:dyDescent="0.35">
      <c r="A848">
        <v>290565</v>
      </c>
      <c r="B848" t="s">
        <v>29163</v>
      </c>
      <c r="C848" t="str">
        <f>"9781843102212"</f>
        <v>9781843102212</v>
      </c>
      <c r="D848" t="str">
        <f>"9781846420108"</f>
        <v>9781846420108</v>
      </c>
      <c r="E848" t="s">
        <v>146</v>
      </c>
      <c r="F848" t="s">
        <v>146</v>
      </c>
      <c r="G848" t="s">
        <v>22174</v>
      </c>
      <c r="H848" t="s">
        <v>26011</v>
      </c>
      <c r="I848" s="26">
        <v>38245</v>
      </c>
      <c r="J848">
        <v>2004</v>
      </c>
      <c r="K848" t="s">
        <v>146</v>
      </c>
      <c r="L848">
        <v>384</v>
      </c>
      <c r="M848" t="s">
        <v>29164</v>
      </c>
      <c r="N848">
        <v>1</v>
      </c>
      <c r="Q848" t="s">
        <v>29165</v>
      </c>
      <c r="R848" t="s">
        <v>29166</v>
      </c>
      <c r="S848" t="s">
        <v>29167</v>
      </c>
      <c r="T848" t="s">
        <v>30</v>
      </c>
      <c r="U848" t="s">
        <v>26250</v>
      </c>
      <c r="W848" t="s">
        <v>28347</v>
      </c>
    </row>
    <row r="849" spans="1:23" x14ac:dyDescent="0.35">
      <c r="A849">
        <v>290566</v>
      </c>
      <c r="B849" t="s">
        <v>29168</v>
      </c>
      <c r="C849" t="str">
        <f>"9781843101536"</f>
        <v>9781843101536</v>
      </c>
      <c r="D849" t="str">
        <f>"9781846420115"</f>
        <v>9781846420115</v>
      </c>
      <c r="E849" t="s">
        <v>146</v>
      </c>
      <c r="F849" t="s">
        <v>146</v>
      </c>
      <c r="G849" t="s">
        <v>22174</v>
      </c>
      <c r="H849" t="s">
        <v>26011</v>
      </c>
      <c r="I849" s="26">
        <v>38183</v>
      </c>
      <c r="J849">
        <v>2004</v>
      </c>
      <c r="K849" t="s">
        <v>146</v>
      </c>
      <c r="L849">
        <v>290</v>
      </c>
      <c r="M849" t="s">
        <v>29169</v>
      </c>
      <c r="N849">
        <v>1</v>
      </c>
      <c r="R849">
        <v>618.9289</v>
      </c>
      <c r="T849" t="s">
        <v>30</v>
      </c>
      <c r="U849" t="s">
        <v>26040</v>
      </c>
      <c r="W849" t="s">
        <v>28347</v>
      </c>
    </row>
    <row r="850" spans="1:23" x14ac:dyDescent="0.35">
      <c r="A850">
        <v>290568</v>
      </c>
      <c r="B850" t="s">
        <v>7644</v>
      </c>
      <c r="C850" t="str">
        <f>"9781843102595"</f>
        <v>9781843102595</v>
      </c>
      <c r="D850" t="str">
        <f>"9781846420139"</f>
        <v>9781846420139</v>
      </c>
      <c r="E850" t="s">
        <v>146</v>
      </c>
      <c r="F850" t="s">
        <v>146</v>
      </c>
      <c r="G850" t="s">
        <v>22174</v>
      </c>
      <c r="H850" t="s">
        <v>26011</v>
      </c>
      <c r="I850" s="26">
        <v>38153</v>
      </c>
      <c r="J850">
        <v>2004</v>
      </c>
      <c r="K850" t="s">
        <v>146</v>
      </c>
      <c r="L850">
        <v>286</v>
      </c>
      <c r="M850" t="s">
        <v>29170</v>
      </c>
      <c r="N850">
        <v>1</v>
      </c>
      <c r="T850" t="s">
        <v>30</v>
      </c>
      <c r="U850" t="s">
        <v>46</v>
      </c>
      <c r="W850" t="s">
        <v>28347</v>
      </c>
    </row>
    <row r="851" spans="1:23" x14ac:dyDescent="0.35">
      <c r="A851">
        <v>290570</v>
      </c>
      <c r="B851" t="s">
        <v>29171</v>
      </c>
      <c r="C851" t="str">
        <f>"9781843107668"</f>
        <v>9781843107668</v>
      </c>
      <c r="D851" t="str">
        <f>"9781846420153"</f>
        <v>9781846420153</v>
      </c>
      <c r="E851" t="s">
        <v>146</v>
      </c>
      <c r="F851" t="s">
        <v>146</v>
      </c>
      <c r="G851" t="s">
        <v>22174</v>
      </c>
      <c r="H851" t="s">
        <v>26011</v>
      </c>
      <c r="I851" s="26">
        <v>38012</v>
      </c>
      <c r="J851">
        <v>2004</v>
      </c>
      <c r="K851" t="s">
        <v>146</v>
      </c>
      <c r="L851">
        <v>338</v>
      </c>
      <c r="M851" t="s">
        <v>29172</v>
      </c>
      <c r="N851">
        <v>1</v>
      </c>
      <c r="R851" t="s">
        <v>29173</v>
      </c>
      <c r="S851" t="s">
        <v>29174</v>
      </c>
      <c r="T851" t="s">
        <v>30</v>
      </c>
      <c r="U851" t="s">
        <v>29175</v>
      </c>
      <c r="W851" t="s">
        <v>28347</v>
      </c>
    </row>
    <row r="852" spans="1:23" x14ac:dyDescent="0.35">
      <c r="A852">
        <v>290571</v>
      </c>
      <c r="B852" t="s">
        <v>8109</v>
      </c>
      <c r="C852" t="str">
        <f>"9781843102373"</f>
        <v>9781843102373</v>
      </c>
      <c r="D852" t="str">
        <f>"9781846420160"</f>
        <v>9781846420160</v>
      </c>
      <c r="E852" t="s">
        <v>146</v>
      </c>
      <c r="F852" t="s">
        <v>146</v>
      </c>
      <c r="G852" t="s">
        <v>22174</v>
      </c>
      <c r="H852" t="s">
        <v>26011</v>
      </c>
      <c r="I852" s="26">
        <v>38153</v>
      </c>
      <c r="J852">
        <v>2004</v>
      </c>
      <c r="K852" t="s">
        <v>146</v>
      </c>
      <c r="L852">
        <v>146</v>
      </c>
      <c r="M852" t="s">
        <v>29176</v>
      </c>
      <c r="N852">
        <v>1</v>
      </c>
      <c r="O852" t="s">
        <v>29177</v>
      </c>
      <c r="T852" t="s">
        <v>30</v>
      </c>
      <c r="U852" t="s">
        <v>46</v>
      </c>
      <c r="W852" t="s">
        <v>28347</v>
      </c>
    </row>
    <row r="853" spans="1:23" x14ac:dyDescent="0.35">
      <c r="A853">
        <v>290572</v>
      </c>
      <c r="B853" t="s">
        <v>10247</v>
      </c>
      <c r="C853" t="str">
        <f>"9781843102977"</f>
        <v>9781843102977</v>
      </c>
      <c r="D853" t="str">
        <f>"9781846420177"</f>
        <v>9781846420177</v>
      </c>
      <c r="E853" t="s">
        <v>146</v>
      </c>
      <c r="F853" t="s">
        <v>146</v>
      </c>
      <c r="G853" t="s">
        <v>22174</v>
      </c>
      <c r="H853" t="s">
        <v>26011</v>
      </c>
      <c r="I853" s="26">
        <v>38306</v>
      </c>
      <c r="J853">
        <v>2004</v>
      </c>
      <c r="K853" t="s">
        <v>146</v>
      </c>
      <c r="L853">
        <v>242</v>
      </c>
      <c r="M853" t="s">
        <v>29178</v>
      </c>
      <c r="N853">
        <v>1</v>
      </c>
      <c r="T853" t="s">
        <v>30</v>
      </c>
      <c r="U853" t="s">
        <v>26044</v>
      </c>
      <c r="W853" t="s">
        <v>28347</v>
      </c>
    </row>
    <row r="854" spans="1:23" x14ac:dyDescent="0.35">
      <c r="A854">
        <v>290573</v>
      </c>
      <c r="B854" t="s">
        <v>10175</v>
      </c>
      <c r="C854" t="str">
        <f>"9781843102410"</f>
        <v>9781843102410</v>
      </c>
      <c r="D854" t="str">
        <f>"9781846420184"</f>
        <v>9781846420184</v>
      </c>
      <c r="E854" t="s">
        <v>146</v>
      </c>
      <c r="F854" t="s">
        <v>146</v>
      </c>
      <c r="G854" t="s">
        <v>22174</v>
      </c>
      <c r="H854" t="s">
        <v>26011</v>
      </c>
      <c r="I854" s="26">
        <v>38139</v>
      </c>
      <c r="J854">
        <v>2004</v>
      </c>
      <c r="K854" t="s">
        <v>146</v>
      </c>
      <c r="L854">
        <v>82</v>
      </c>
      <c r="M854" t="s">
        <v>29179</v>
      </c>
      <c r="N854">
        <v>1</v>
      </c>
      <c r="O854" t="s">
        <v>29180</v>
      </c>
      <c r="R854">
        <v>305.23</v>
      </c>
      <c r="T854" t="s">
        <v>30</v>
      </c>
      <c r="U854" t="s">
        <v>26044</v>
      </c>
      <c r="W854" t="s">
        <v>28347</v>
      </c>
    </row>
    <row r="855" spans="1:23" x14ac:dyDescent="0.35">
      <c r="A855">
        <v>290575</v>
      </c>
      <c r="B855" t="s">
        <v>29181</v>
      </c>
      <c r="C855" t="str">
        <f>"9781843102649"</f>
        <v>9781843102649</v>
      </c>
      <c r="D855" t="str">
        <f>"9781846420207"</f>
        <v>9781846420207</v>
      </c>
      <c r="E855" t="s">
        <v>146</v>
      </c>
      <c r="F855" t="s">
        <v>146</v>
      </c>
      <c r="G855" t="s">
        <v>22174</v>
      </c>
      <c r="H855" t="s">
        <v>26011</v>
      </c>
      <c r="I855" s="26">
        <v>38245</v>
      </c>
      <c r="J855">
        <v>2004</v>
      </c>
      <c r="K855" t="s">
        <v>146</v>
      </c>
      <c r="L855">
        <v>238</v>
      </c>
      <c r="M855" t="s">
        <v>29182</v>
      </c>
      <c r="N855">
        <v>1</v>
      </c>
      <c r="T855" t="s">
        <v>30</v>
      </c>
      <c r="U855" t="s">
        <v>46</v>
      </c>
      <c r="W855" t="s">
        <v>28347</v>
      </c>
    </row>
    <row r="856" spans="1:23" x14ac:dyDescent="0.35">
      <c r="A856">
        <v>290577</v>
      </c>
      <c r="B856" t="s">
        <v>29183</v>
      </c>
      <c r="C856" t="str">
        <f>"9781843107880"</f>
        <v>9781843107880</v>
      </c>
      <c r="D856" t="str">
        <f>"9781846420221"</f>
        <v>9781846420221</v>
      </c>
      <c r="E856" t="s">
        <v>146</v>
      </c>
      <c r="F856" t="s">
        <v>146</v>
      </c>
      <c r="G856" t="s">
        <v>22174</v>
      </c>
      <c r="H856" t="s">
        <v>26011</v>
      </c>
      <c r="I856" s="26">
        <v>38275</v>
      </c>
      <c r="J856">
        <v>2004</v>
      </c>
      <c r="K856" t="s">
        <v>146</v>
      </c>
      <c r="L856">
        <v>178</v>
      </c>
      <c r="M856" t="s">
        <v>29184</v>
      </c>
      <c r="N856">
        <v>1</v>
      </c>
      <c r="Q856" t="s">
        <v>29185</v>
      </c>
      <c r="R856">
        <v>618.91999999999996</v>
      </c>
      <c r="S856" t="s">
        <v>29186</v>
      </c>
      <c r="T856" t="s">
        <v>30</v>
      </c>
      <c r="U856" t="s">
        <v>26040</v>
      </c>
      <c r="W856" t="s">
        <v>28347</v>
      </c>
    </row>
    <row r="857" spans="1:23" x14ac:dyDescent="0.35">
      <c r="A857">
        <v>290581</v>
      </c>
      <c r="B857" t="s">
        <v>10265</v>
      </c>
      <c r="C857" t="str">
        <f>"9781843102182"</f>
        <v>9781843102182</v>
      </c>
      <c r="D857" t="str">
        <f>"9781846420269"</f>
        <v>9781846420269</v>
      </c>
      <c r="E857" t="s">
        <v>146</v>
      </c>
      <c r="F857" t="s">
        <v>146</v>
      </c>
      <c r="G857" t="s">
        <v>22174</v>
      </c>
      <c r="H857" t="s">
        <v>26011</v>
      </c>
      <c r="I857" s="26">
        <v>38048</v>
      </c>
      <c r="J857">
        <v>2004</v>
      </c>
      <c r="K857" t="s">
        <v>146</v>
      </c>
      <c r="L857">
        <v>226</v>
      </c>
      <c r="M857" t="s">
        <v>29187</v>
      </c>
      <c r="N857">
        <v>1</v>
      </c>
      <c r="O857" t="s">
        <v>29188</v>
      </c>
      <c r="R857" t="s">
        <v>29189</v>
      </c>
      <c r="T857" t="s">
        <v>30</v>
      </c>
      <c r="U857" t="s">
        <v>26044</v>
      </c>
      <c r="W857" t="s">
        <v>28347</v>
      </c>
    </row>
    <row r="858" spans="1:23" x14ac:dyDescent="0.35">
      <c r="A858">
        <v>290585</v>
      </c>
      <c r="B858" t="s">
        <v>9042</v>
      </c>
      <c r="C858" t="str">
        <f>"9781843101994"</f>
        <v>9781843101994</v>
      </c>
      <c r="D858" t="str">
        <f>"9781846420290"</f>
        <v>9781846420290</v>
      </c>
      <c r="E858" t="s">
        <v>146</v>
      </c>
      <c r="F858" t="s">
        <v>146</v>
      </c>
      <c r="G858" t="s">
        <v>22174</v>
      </c>
      <c r="H858" t="s">
        <v>26011</v>
      </c>
      <c r="I858" s="26">
        <v>38214</v>
      </c>
      <c r="J858">
        <v>2004</v>
      </c>
      <c r="K858" t="s">
        <v>146</v>
      </c>
      <c r="L858">
        <v>140</v>
      </c>
      <c r="M858" t="s">
        <v>29190</v>
      </c>
      <c r="N858">
        <v>1</v>
      </c>
      <c r="T858" t="s">
        <v>30</v>
      </c>
      <c r="U858" t="s">
        <v>46</v>
      </c>
      <c r="W858" t="s">
        <v>28347</v>
      </c>
    </row>
    <row r="859" spans="1:23" x14ac:dyDescent="0.35">
      <c r="A859">
        <v>290587</v>
      </c>
      <c r="B859" t="s">
        <v>7455</v>
      </c>
      <c r="C859" t="str">
        <f>"9781843101789"</f>
        <v>9781843101789</v>
      </c>
      <c r="D859" t="str">
        <f>"9781846420313"</f>
        <v>9781846420313</v>
      </c>
      <c r="E859" t="s">
        <v>146</v>
      </c>
      <c r="F859" t="s">
        <v>146</v>
      </c>
      <c r="G859" t="s">
        <v>22174</v>
      </c>
      <c r="H859" t="s">
        <v>26011</v>
      </c>
      <c r="I859" s="26">
        <v>37909</v>
      </c>
      <c r="J859">
        <v>2003</v>
      </c>
      <c r="K859" t="s">
        <v>146</v>
      </c>
      <c r="L859">
        <v>145</v>
      </c>
      <c r="M859" t="s">
        <v>29191</v>
      </c>
      <c r="N859">
        <v>1</v>
      </c>
      <c r="Q859" t="s">
        <v>29192</v>
      </c>
      <c r="R859" t="s">
        <v>29193</v>
      </c>
      <c r="S859" t="s">
        <v>29194</v>
      </c>
      <c r="T859" t="s">
        <v>30</v>
      </c>
      <c r="U859" t="s">
        <v>26040</v>
      </c>
      <c r="W859" t="s">
        <v>28347</v>
      </c>
    </row>
    <row r="860" spans="1:23" x14ac:dyDescent="0.35">
      <c r="A860">
        <v>290588</v>
      </c>
      <c r="B860" t="s">
        <v>29195</v>
      </c>
      <c r="C860" t="str">
        <f>"9781843100393"</f>
        <v>9781843100393</v>
      </c>
      <c r="D860" t="str">
        <f>"9781846420320"</f>
        <v>9781846420320</v>
      </c>
      <c r="E860" t="s">
        <v>146</v>
      </c>
      <c r="F860" t="s">
        <v>146</v>
      </c>
      <c r="G860" t="s">
        <v>22174</v>
      </c>
      <c r="H860" t="s">
        <v>26011</v>
      </c>
      <c r="I860" s="26">
        <v>38275</v>
      </c>
      <c r="J860">
        <v>2004</v>
      </c>
      <c r="K860" t="s">
        <v>146</v>
      </c>
      <c r="L860">
        <v>266</v>
      </c>
      <c r="M860" t="s">
        <v>29196</v>
      </c>
      <c r="N860">
        <v>1</v>
      </c>
      <c r="R860">
        <v>616.89165600000001</v>
      </c>
      <c r="S860" t="s">
        <v>29197</v>
      </c>
      <c r="T860" t="s">
        <v>30</v>
      </c>
      <c r="U860" t="s">
        <v>26040</v>
      </c>
      <c r="W860" t="s">
        <v>28347</v>
      </c>
    </row>
    <row r="861" spans="1:23" x14ac:dyDescent="0.35">
      <c r="A861">
        <v>290589</v>
      </c>
      <c r="B861" t="s">
        <v>29198</v>
      </c>
      <c r="C861" t="str">
        <f>"9781843107484"</f>
        <v>9781843107484</v>
      </c>
      <c r="D861" t="str">
        <f>"9781846420337"</f>
        <v>9781846420337</v>
      </c>
      <c r="E861" t="s">
        <v>146</v>
      </c>
      <c r="F861" t="s">
        <v>146</v>
      </c>
      <c r="G861" t="s">
        <v>22174</v>
      </c>
      <c r="H861" t="s">
        <v>26011</v>
      </c>
      <c r="I861" s="26">
        <v>38012</v>
      </c>
      <c r="J861">
        <v>2004</v>
      </c>
      <c r="K861" t="s">
        <v>146</v>
      </c>
      <c r="L861">
        <v>305</v>
      </c>
      <c r="M861" t="s">
        <v>29199</v>
      </c>
      <c r="N861">
        <v>1</v>
      </c>
      <c r="R861" t="s">
        <v>29200</v>
      </c>
      <c r="T861" t="s">
        <v>30</v>
      </c>
      <c r="U861" t="s">
        <v>26040</v>
      </c>
      <c r="W861" t="s">
        <v>28347</v>
      </c>
    </row>
    <row r="862" spans="1:23" x14ac:dyDescent="0.35">
      <c r="A862">
        <v>290591</v>
      </c>
      <c r="B862" t="s">
        <v>29201</v>
      </c>
      <c r="C862" t="str">
        <f>"9781853029646"</f>
        <v>9781853029646</v>
      </c>
      <c r="D862" t="str">
        <f>"9781846420351"</f>
        <v>9781846420351</v>
      </c>
      <c r="E862" t="s">
        <v>146</v>
      </c>
      <c r="F862" t="s">
        <v>146</v>
      </c>
      <c r="G862" t="s">
        <v>22174</v>
      </c>
      <c r="H862" t="s">
        <v>26011</v>
      </c>
      <c r="I862" s="26">
        <v>37940</v>
      </c>
      <c r="J862">
        <v>2003</v>
      </c>
      <c r="K862" t="s">
        <v>146</v>
      </c>
      <c r="L862">
        <v>527</v>
      </c>
      <c r="M862" t="s">
        <v>29202</v>
      </c>
      <c r="N862">
        <v>1</v>
      </c>
      <c r="T862" t="s">
        <v>30</v>
      </c>
      <c r="U862" t="s">
        <v>29203</v>
      </c>
      <c r="W862" t="s">
        <v>28347</v>
      </c>
    </row>
    <row r="863" spans="1:23" x14ac:dyDescent="0.35">
      <c r="A863">
        <v>290592</v>
      </c>
      <c r="B863" t="s">
        <v>29204</v>
      </c>
      <c r="C863" t="str">
        <f>"9781843107583"</f>
        <v>9781843107583</v>
      </c>
      <c r="D863" t="str">
        <f>"9781846420368"</f>
        <v>9781846420368</v>
      </c>
      <c r="E863" t="s">
        <v>146</v>
      </c>
      <c r="F863" t="s">
        <v>146</v>
      </c>
      <c r="G863" t="s">
        <v>22174</v>
      </c>
      <c r="H863" t="s">
        <v>26011</v>
      </c>
      <c r="I863" s="26">
        <v>38122</v>
      </c>
      <c r="J863">
        <v>2004</v>
      </c>
      <c r="K863" t="s">
        <v>146</v>
      </c>
      <c r="L863">
        <v>338</v>
      </c>
      <c r="M863" t="s">
        <v>29205</v>
      </c>
      <c r="N863">
        <v>1</v>
      </c>
      <c r="T863" t="s">
        <v>30</v>
      </c>
      <c r="U863" t="s">
        <v>46</v>
      </c>
      <c r="W863" t="s">
        <v>28347</v>
      </c>
    </row>
    <row r="864" spans="1:23" x14ac:dyDescent="0.35">
      <c r="A864">
        <v>290594</v>
      </c>
      <c r="B864" t="s">
        <v>9107</v>
      </c>
      <c r="C864" t="str">
        <f>"9781843102366"</f>
        <v>9781843102366</v>
      </c>
      <c r="D864" t="str">
        <f>"9781846420399"</f>
        <v>9781846420399</v>
      </c>
      <c r="E864" t="s">
        <v>146</v>
      </c>
      <c r="F864" t="s">
        <v>146</v>
      </c>
      <c r="G864" t="s">
        <v>22174</v>
      </c>
      <c r="H864" t="s">
        <v>26011</v>
      </c>
      <c r="I864" s="26">
        <v>38061</v>
      </c>
      <c r="J864">
        <v>2004</v>
      </c>
      <c r="K864" t="s">
        <v>146</v>
      </c>
      <c r="L864">
        <v>226</v>
      </c>
      <c r="M864" t="s">
        <v>29206</v>
      </c>
      <c r="N864">
        <v>1</v>
      </c>
      <c r="O864" t="s">
        <v>29177</v>
      </c>
      <c r="Q864" t="s">
        <v>29207</v>
      </c>
      <c r="R864">
        <v>362.20830940000002</v>
      </c>
      <c r="S864" t="s">
        <v>29208</v>
      </c>
      <c r="T864" t="s">
        <v>30</v>
      </c>
      <c r="U864" t="s">
        <v>29209</v>
      </c>
      <c r="W864" t="s">
        <v>28347</v>
      </c>
    </row>
    <row r="865" spans="1:23" x14ac:dyDescent="0.35">
      <c r="A865">
        <v>290599</v>
      </c>
      <c r="B865" t="s">
        <v>29210</v>
      </c>
      <c r="C865" t="str">
        <f>"9781843101260"</f>
        <v>9781843101260</v>
      </c>
      <c r="D865" t="str">
        <f>"9781846420443"</f>
        <v>9781846420443</v>
      </c>
      <c r="E865" t="s">
        <v>146</v>
      </c>
      <c r="F865" t="s">
        <v>146</v>
      </c>
      <c r="G865" t="s">
        <v>22174</v>
      </c>
      <c r="H865" t="s">
        <v>26011</v>
      </c>
      <c r="I865" s="26">
        <v>38061</v>
      </c>
      <c r="J865">
        <v>2004</v>
      </c>
      <c r="K865" t="s">
        <v>146</v>
      </c>
      <c r="L865">
        <v>175</v>
      </c>
      <c r="M865" t="s">
        <v>29211</v>
      </c>
      <c r="N865">
        <v>1</v>
      </c>
      <c r="S865" t="s">
        <v>29212</v>
      </c>
      <c r="T865" t="s">
        <v>30</v>
      </c>
      <c r="U865" t="s">
        <v>26228</v>
      </c>
      <c r="W865" t="s">
        <v>28347</v>
      </c>
    </row>
    <row r="866" spans="1:23" x14ac:dyDescent="0.35">
      <c r="A866">
        <v>290603</v>
      </c>
      <c r="B866" t="s">
        <v>29213</v>
      </c>
      <c r="C866" t="str">
        <f>"9781843107774"</f>
        <v>9781843107774</v>
      </c>
      <c r="D866" t="str">
        <f>"9781846420481"</f>
        <v>9781846420481</v>
      </c>
      <c r="E866" t="s">
        <v>146</v>
      </c>
      <c r="F866" t="s">
        <v>146</v>
      </c>
      <c r="G866" t="s">
        <v>22174</v>
      </c>
      <c r="H866" t="s">
        <v>26011</v>
      </c>
      <c r="I866" s="26">
        <v>38122</v>
      </c>
      <c r="J866">
        <v>2004</v>
      </c>
      <c r="K866" t="s">
        <v>146</v>
      </c>
      <c r="L866">
        <v>241</v>
      </c>
      <c r="M866" t="s">
        <v>29214</v>
      </c>
      <c r="N866">
        <v>1</v>
      </c>
      <c r="Q866" t="s">
        <v>29215</v>
      </c>
      <c r="R866" t="s">
        <v>29216</v>
      </c>
      <c r="S866" t="s">
        <v>29217</v>
      </c>
      <c r="T866" t="s">
        <v>30</v>
      </c>
      <c r="U866" t="s">
        <v>26057</v>
      </c>
      <c r="W866" t="s">
        <v>28347</v>
      </c>
    </row>
    <row r="867" spans="1:23" x14ac:dyDescent="0.35">
      <c r="A867">
        <v>290607</v>
      </c>
      <c r="B867" t="s">
        <v>8544</v>
      </c>
      <c r="C867" t="str">
        <f>"9781843102175"</f>
        <v>9781843102175</v>
      </c>
      <c r="D867" t="str">
        <f>"9781846420535"</f>
        <v>9781846420535</v>
      </c>
      <c r="E867" t="s">
        <v>146</v>
      </c>
      <c r="F867" t="s">
        <v>146</v>
      </c>
      <c r="G867" t="s">
        <v>22174</v>
      </c>
      <c r="H867" t="s">
        <v>26011</v>
      </c>
      <c r="I867" s="26">
        <v>38153</v>
      </c>
      <c r="J867">
        <v>2004</v>
      </c>
      <c r="K867" t="s">
        <v>146</v>
      </c>
      <c r="L867">
        <v>354</v>
      </c>
      <c r="M867" t="s">
        <v>29218</v>
      </c>
      <c r="N867">
        <v>1</v>
      </c>
      <c r="O867" t="s">
        <v>29219</v>
      </c>
      <c r="R867">
        <v>362.2</v>
      </c>
      <c r="S867" t="s">
        <v>29220</v>
      </c>
      <c r="T867" t="s">
        <v>30</v>
      </c>
      <c r="U867" t="s">
        <v>26094</v>
      </c>
      <c r="W867" t="s">
        <v>28347</v>
      </c>
    </row>
    <row r="868" spans="1:23" x14ac:dyDescent="0.35">
      <c r="A868">
        <v>290608</v>
      </c>
      <c r="B868" t="s">
        <v>29221</v>
      </c>
      <c r="C868" t="str">
        <f>"9781843101925"</f>
        <v>9781843101925</v>
      </c>
      <c r="D868" t="str">
        <f>"9781846420542"</f>
        <v>9781846420542</v>
      </c>
      <c r="E868" t="s">
        <v>146</v>
      </c>
      <c r="F868" t="s">
        <v>146</v>
      </c>
      <c r="G868" t="s">
        <v>22174</v>
      </c>
      <c r="H868" t="s">
        <v>26011</v>
      </c>
      <c r="I868" s="26">
        <v>38061</v>
      </c>
      <c r="J868">
        <v>2004</v>
      </c>
      <c r="K868" t="s">
        <v>146</v>
      </c>
      <c r="L868">
        <v>240</v>
      </c>
      <c r="M868" t="s">
        <v>29222</v>
      </c>
      <c r="N868">
        <v>1</v>
      </c>
      <c r="Q868" t="s">
        <v>29223</v>
      </c>
      <c r="R868" t="s">
        <v>29224</v>
      </c>
      <c r="S868" t="s">
        <v>29225</v>
      </c>
      <c r="T868" t="s">
        <v>30</v>
      </c>
      <c r="U868" t="s">
        <v>26019</v>
      </c>
      <c r="W868" t="s">
        <v>28347</v>
      </c>
    </row>
    <row r="869" spans="1:23" x14ac:dyDescent="0.35">
      <c r="A869">
        <v>290609</v>
      </c>
      <c r="B869" t="s">
        <v>29226</v>
      </c>
      <c r="C869" t="str">
        <f>"9781843107613"</f>
        <v>9781843107613</v>
      </c>
      <c r="D869" t="str">
        <f>"9781846420559"</f>
        <v>9781846420559</v>
      </c>
      <c r="E869" t="s">
        <v>146</v>
      </c>
      <c r="F869" t="s">
        <v>146</v>
      </c>
      <c r="G869" t="s">
        <v>22174</v>
      </c>
      <c r="H869" t="s">
        <v>26011</v>
      </c>
      <c r="I869" s="26">
        <v>38032</v>
      </c>
      <c r="J869">
        <v>2004</v>
      </c>
      <c r="K869" t="s">
        <v>146</v>
      </c>
      <c r="L869">
        <v>273</v>
      </c>
      <c r="M869" t="s">
        <v>29227</v>
      </c>
      <c r="N869">
        <v>1</v>
      </c>
      <c r="R869">
        <v>371.92</v>
      </c>
      <c r="S869" t="s">
        <v>29228</v>
      </c>
      <c r="T869" t="s">
        <v>30</v>
      </c>
      <c r="U869" t="s">
        <v>337</v>
      </c>
      <c r="W869" t="s">
        <v>28347</v>
      </c>
    </row>
    <row r="870" spans="1:23" x14ac:dyDescent="0.35">
      <c r="A870">
        <v>290610</v>
      </c>
      <c r="B870" t="s">
        <v>29229</v>
      </c>
      <c r="C870" t="str">
        <f>"9781843102878"</f>
        <v>9781843102878</v>
      </c>
      <c r="D870" t="str">
        <f>"9781846420566"</f>
        <v>9781846420566</v>
      </c>
      <c r="E870" t="s">
        <v>146</v>
      </c>
      <c r="F870" t="s">
        <v>146</v>
      </c>
      <c r="G870" t="s">
        <v>22174</v>
      </c>
      <c r="H870" t="s">
        <v>26011</v>
      </c>
      <c r="I870" s="26">
        <v>38275</v>
      </c>
      <c r="J870">
        <v>2004</v>
      </c>
      <c r="K870" t="s">
        <v>146</v>
      </c>
      <c r="L870">
        <v>162</v>
      </c>
      <c r="M870" t="s">
        <v>29230</v>
      </c>
      <c r="N870">
        <v>1</v>
      </c>
      <c r="O870" t="s">
        <v>29231</v>
      </c>
      <c r="R870">
        <v>618.92852106509997</v>
      </c>
      <c r="S870" t="s">
        <v>29232</v>
      </c>
      <c r="T870" t="s">
        <v>30</v>
      </c>
      <c r="U870" t="s">
        <v>26040</v>
      </c>
      <c r="W870" t="s">
        <v>28347</v>
      </c>
    </row>
    <row r="871" spans="1:23" x14ac:dyDescent="0.35">
      <c r="A871">
        <v>290615</v>
      </c>
      <c r="B871" t="s">
        <v>29233</v>
      </c>
      <c r="C871" t="str">
        <f>"9781843102052"</f>
        <v>9781843102052</v>
      </c>
      <c r="D871" t="str">
        <f>"9781846420627"</f>
        <v>9781846420627</v>
      </c>
      <c r="E871" t="s">
        <v>146</v>
      </c>
      <c r="F871" t="s">
        <v>146</v>
      </c>
      <c r="G871" t="s">
        <v>22174</v>
      </c>
      <c r="H871" t="s">
        <v>26011</v>
      </c>
      <c r="I871" s="26">
        <v>38275</v>
      </c>
      <c r="J871">
        <v>2004</v>
      </c>
      <c r="K871" t="s">
        <v>146</v>
      </c>
      <c r="L871">
        <v>253</v>
      </c>
      <c r="M871" t="s">
        <v>29234</v>
      </c>
      <c r="N871">
        <v>1</v>
      </c>
      <c r="Q871" t="s">
        <v>29235</v>
      </c>
      <c r="R871">
        <v>616.89165000000003</v>
      </c>
      <c r="S871" t="s">
        <v>29236</v>
      </c>
      <c r="T871" t="s">
        <v>30</v>
      </c>
      <c r="U871" t="s">
        <v>26019</v>
      </c>
      <c r="W871" t="s">
        <v>29237</v>
      </c>
    </row>
    <row r="872" spans="1:23" x14ac:dyDescent="0.35">
      <c r="A872">
        <v>290616</v>
      </c>
      <c r="B872" t="s">
        <v>29238</v>
      </c>
      <c r="C872" t="str">
        <f>"9781843107781"</f>
        <v>9781843107781</v>
      </c>
      <c r="D872" t="str">
        <f>"9781846420634"</f>
        <v>9781846420634</v>
      </c>
      <c r="E872" t="s">
        <v>146</v>
      </c>
      <c r="F872" t="s">
        <v>146</v>
      </c>
      <c r="G872" t="s">
        <v>22174</v>
      </c>
      <c r="H872" t="s">
        <v>26011</v>
      </c>
      <c r="I872" s="26">
        <v>38245</v>
      </c>
      <c r="J872">
        <v>2004</v>
      </c>
      <c r="K872" t="s">
        <v>146</v>
      </c>
      <c r="L872">
        <v>108</v>
      </c>
      <c r="M872" t="s">
        <v>29239</v>
      </c>
      <c r="N872">
        <v>1</v>
      </c>
      <c r="S872" t="s">
        <v>29152</v>
      </c>
      <c r="T872" t="s">
        <v>30</v>
      </c>
      <c r="U872" t="s">
        <v>29153</v>
      </c>
      <c r="W872" t="s">
        <v>28347</v>
      </c>
    </row>
    <row r="873" spans="1:23" x14ac:dyDescent="0.35">
      <c r="A873">
        <v>290626</v>
      </c>
      <c r="B873" t="s">
        <v>29240</v>
      </c>
      <c r="C873" t="str">
        <f>"9781843101871"</f>
        <v>9781843101871</v>
      </c>
      <c r="D873" t="str">
        <f>"9781846420733"</f>
        <v>9781846420733</v>
      </c>
      <c r="E873" t="s">
        <v>146</v>
      </c>
      <c r="F873" t="s">
        <v>146</v>
      </c>
      <c r="G873" t="s">
        <v>22174</v>
      </c>
      <c r="H873" t="s">
        <v>26011</v>
      </c>
      <c r="I873" s="26">
        <v>38183</v>
      </c>
      <c r="J873">
        <v>2004</v>
      </c>
      <c r="K873" t="s">
        <v>146</v>
      </c>
      <c r="L873">
        <v>225</v>
      </c>
      <c r="M873" t="s">
        <v>29241</v>
      </c>
      <c r="N873">
        <v>1</v>
      </c>
      <c r="O873" t="s">
        <v>29242</v>
      </c>
      <c r="Q873" t="s">
        <v>29243</v>
      </c>
      <c r="R873" t="s">
        <v>27831</v>
      </c>
      <c r="S873" t="s">
        <v>29244</v>
      </c>
      <c r="T873" t="s">
        <v>30</v>
      </c>
      <c r="U873" t="s">
        <v>26019</v>
      </c>
      <c r="W873" t="s">
        <v>28347</v>
      </c>
    </row>
    <row r="874" spans="1:23" x14ac:dyDescent="0.35">
      <c r="A874">
        <v>290628</v>
      </c>
      <c r="B874" t="s">
        <v>29245</v>
      </c>
      <c r="C874" t="str">
        <f>"9781843103004"</f>
        <v>9781843103004</v>
      </c>
      <c r="D874" t="str">
        <f>"9781846420771"</f>
        <v>9781846420771</v>
      </c>
      <c r="E874" t="s">
        <v>146</v>
      </c>
      <c r="F874" t="s">
        <v>146</v>
      </c>
      <c r="G874" t="s">
        <v>22174</v>
      </c>
      <c r="H874" t="s">
        <v>26011</v>
      </c>
      <c r="I874" s="26">
        <v>38308</v>
      </c>
      <c r="J874">
        <v>2004</v>
      </c>
      <c r="K874" t="s">
        <v>146</v>
      </c>
      <c r="L874">
        <v>114</v>
      </c>
      <c r="M874" t="s">
        <v>29246</v>
      </c>
      <c r="N874">
        <v>1</v>
      </c>
      <c r="R874">
        <v>823.92</v>
      </c>
      <c r="S874" t="s">
        <v>29247</v>
      </c>
      <c r="T874" t="s">
        <v>30</v>
      </c>
      <c r="U874" t="s">
        <v>29248</v>
      </c>
      <c r="W874" t="s">
        <v>28347</v>
      </c>
    </row>
    <row r="875" spans="1:23" x14ac:dyDescent="0.35">
      <c r="A875">
        <v>290630</v>
      </c>
      <c r="B875" t="s">
        <v>29249</v>
      </c>
      <c r="C875" t="str">
        <f>"9781843107354"</f>
        <v>9781843107354</v>
      </c>
      <c r="D875" t="str">
        <f>"9781846420795"</f>
        <v>9781846420795</v>
      </c>
      <c r="E875" t="s">
        <v>146</v>
      </c>
      <c r="F875" t="s">
        <v>146</v>
      </c>
      <c r="G875" t="s">
        <v>22174</v>
      </c>
      <c r="H875" t="s">
        <v>26011</v>
      </c>
      <c r="I875" s="26">
        <v>38001</v>
      </c>
      <c r="J875">
        <v>2004</v>
      </c>
      <c r="K875" t="s">
        <v>146</v>
      </c>
      <c r="L875">
        <v>321</v>
      </c>
      <c r="M875" t="s">
        <v>29250</v>
      </c>
      <c r="N875">
        <v>1</v>
      </c>
      <c r="R875" t="s">
        <v>29251</v>
      </c>
      <c r="S875" t="s">
        <v>7629</v>
      </c>
      <c r="T875" t="s">
        <v>30</v>
      </c>
      <c r="U875" t="s">
        <v>26040</v>
      </c>
      <c r="W875" t="s">
        <v>28347</v>
      </c>
    </row>
    <row r="876" spans="1:23" x14ac:dyDescent="0.35">
      <c r="A876">
        <v>290632</v>
      </c>
      <c r="B876" t="s">
        <v>29252</v>
      </c>
      <c r="C876" t="str">
        <f>"9781843102113"</f>
        <v>9781843102113</v>
      </c>
      <c r="D876" t="str">
        <f>"9781846420818"</f>
        <v>9781846420818</v>
      </c>
      <c r="E876" t="s">
        <v>146</v>
      </c>
      <c r="F876" t="s">
        <v>146</v>
      </c>
      <c r="G876" t="s">
        <v>22174</v>
      </c>
      <c r="H876" t="s">
        <v>26011</v>
      </c>
      <c r="I876" s="26">
        <v>38032</v>
      </c>
      <c r="J876">
        <v>2004</v>
      </c>
      <c r="K876" t="s">
        <v>146</v>
      </c>
      <c r="L876">
        <v>177</v>
      </c>
      <c r="M876" t="s">
        <v>29253</v>
      </c>
      <c r="N876">
        <v>1</v>
      </c>
      <c r="R876" t="s">
        <v>29254</v>
      </c>
      <c r="S876" t="s">
        <v>29255</v>
      </c>
      <c r="T876" t="s">
        <v>30</v>
      </c>
      <c r="U876" t="s">
        <v>26040</v>
      </c>
      <c r="W876" t="s">
        <v>28347</v>
      </c>
    </row>
    <row r="877" spans="1:23" x14ac:dyDescent="0.35">
      <c r="A877">
        <v>290633</v>
      </c>
      <c r="B877" t="s">
        <v>29256</v>
      </c>
      <c r="C877" t="str">
        <f>"9781843101840"</f>
        <v>9781843101840</v>
      </c>
      <c r="D877" t="str">
        <f>"9781846420825"</f>
        <v>9781846420825</v>
      </c>
      <c r="E877" t="s">
        <v>146</v>
      </c>
      <c r="F877" t="s">
        <v>146</v>
      </c>
      <c r="G877" t="s">
        <v>22174</v>
      </c>
      <c r="H877" t="s">
        <v>26011</v>
      </c>
      <c r="I877" s="26">
        <v>37787</v>
      </c>
      <c r="J877">
        <v>2003</v>
      </c>
      <c r="K877" t="s">
        <v>146</v>
      </c>
      <c r="L877">
        <v>338</v>
      </c>
      <c r="M877" t="s">
        <v>29257</v>
      </c>
      <c r="N877">
        <v>1</v>
      </c>
      <c r="S877" t="s">
        <v>29258</v>
      </c>
      <c r="T877" t="s">
        <v>30</v>
      </c>
      <c r="U877" t="s">
        <v>29259</v>
      </c>
      <c r="W877" t="s">
        <v>28347</v>
      </c>
    </row>
    <row r="878" spans="1:23" x14ac:dyDescent="0.35">
      <c r="A878">
        <v>290636</v>
      </c>
      <c r="B878" t="s">
        <v>29260</v>
      </c>
      <c r="C878" t="str">
        <f>"9781843107651"</f>
        <v>9781843107651</v>
      </c>
      <c r="D878" t="str">
        <f>"9781846420870"</f>
        <v>9781846420870</v>
      </c>
      <c r="E878" t="s">
        <v>146</v>
      </c>
      <c r="F878" t="s">
        <v>146</v>
      </c>
      <c r="G878" t="s">
        <v>22174</v>
      </c>
      <c r="H878" t="s">
        <v>26011</v>
      </c>
      <c r="I878" s="26">
        <v>38426</v>
      </c>
      <c r="J878">
        <v>2005</v>
      </c>
      <c r="K878" t="s">
        <v>146</v>
      </c>
      <c r="L878">
        <v>219</v>
      </c>
      <c r="M878" t="s">
        <v>29261</v>
      </c>
      <c r="N878">
        <v>1</v>
      </c>
      <c r="Q878" t="s">
        <v>29262</v>
      </c>
      <c r="R878" t="s">
        <v>29263</v>
      </c>
      <c r="S878" t="s">
        <v>29264</v>
      </c>
      <c r="T878" t="s">
        <v>30</v>
      </c>
      <c r="U878" t="s">
        <v>26116</v>
      </c>
      <c r="W878" t="s">
        <v>28347</v>
      </c>
    </row>
    <row r="879" spans="1:23" x14ac:dyDescent="0.35">
      <c r="A879">
        <v>290637</v>
      </c>
      <c r="B879" t="s">
        <v>29265</v>
      </c>
      <c r="C879" t="str">
        <f>"9781843107934"</f>
        <v>9781843107934</v>
      </c>
      <c r="D879" t="str">
        <f>"9781846420887"</f>
        <v>9781846420887</v>
      </c>
      <c r="E879" t="s">
        <v>146</v>
      </c>
      <c r="F879" t="s">
        <v>146</v>
      </c>
      <c r="G879" t="s">
        <v>22174</v>
      </c>
      <c r="H879" t="s">
        <v>26011</v>
      </c>
      <c r="I879" s="26">
        <v>38426</v>
      </c>
      <c r="J879">
        <v>2005</v>
      </c>
      <c r="K879" t="s">
        <v>146</v>
      </c>
      <c r="L879">
        <v>242</v>
      </c>
      <c r="M879" t="s">
        <v>29266</v>
      </c>
      <c r="N879">
        <v>1</v>
      </c>
      <c r="Q879" t="s">
        <v>29267</v>
      </c>
      <c r="R879" t="s">
        <v>29268</v>
      </c>
      <c r="S879" t="s">
        <v>29269</v>
      </c>
      <c r="T879" t="s">
        <v>30</v>
      </c>
      <c r="U879" t="s">
        <v>26019</v>
      </c>
      <c r="W879" t="s">
        <v>28347</v>
      </c>
    </row>
    <row r="880" spans="1:23" x14ac:dyDescent="0.35">
      <c r="A880">
        <v>290640</v>
      </c>
      <c r="B880" t="s">
        <v>29270</v>
      </c>
      <c r="C880" t="str">
        <f>"9781843103134"</f>
        <v>9781843103134</v>
      </c>
      <c r="D880" t="str">
        <f>"9781846420917"</f>
        <v>9781846420917</v>
      </c>
      <c r="E880" t="s">
        <v>146</v>
      </c>
      <c r="F880" t="s">
        <v>146</v>
      </c>
      <c r="G880" t="s">
        <v>22174</v>
      </c>
      <c r="H880" t="s">
        <v>26011</v>
      </c>
      <c r="I880" s="26">
        <v>38426</v>
      </c>
      <c r="J880">
        <v>2005</v>
      </c>
      <c r="K880" t="s">
        <v>146</v>
      </c>
      <c r="L880">
        <v>198</v>
      </c>
      <c r="M880" t="s">
        <v>29271</v>
      </c>
      <c r="N880">
        <v>1</v>
      </c>
      <c r="Q880" t="s">
        <v>29272</v>
      </c>
      <c r="R880" t="s">
        <v>29273</v>
      </c>
      <c r="T880" t="s">
        <v>30</v>
      </c>
      <c r="U880" t="s">
        <v>28484</v>
      </c>
      <c r="W880" t="s">
        <v>28347</v>
      </c>
    </row>
    <row r="881" spans="1:23" x14ac:dyDescent="0.35">
      <c r="A881">
        <v>290641</v>
      </c>
      <c r="B881" t="s">
        <v>29274</v>
      </c>
      <c r="C881" t="str">
        <f>"9781843102137"</f>
        <v>9781843102137</v>
      </c>
      <c r="D881" t="str">
        <f>"9781846420924"</f>
        <v>9781846420924</v>
      </c>
      <c r="E881" t="s">
        <v>146</v>
      </c>
      <c r="F881" t="s">
        <v>146</v>
      </c>
      <c r="G881" t="s">
        <v>22174</v>
      </c>
      <c r="H881" t="s">
        <v>26011</v>
      </c>
      <c r="I881" s="26">
        <v>38426</v>
      </c>
      <c r="J881">
        <v>2005</v>
      </c>
      <c r="K881" t="s">
        <v>146</v>
      </c>
      <c r="L881">
        <v>210</v>
      </c>
      <c r="M881" t="s">
        <v>29275</v>
      </c>
      <c r="N881">
        <v>1</v>
      </c>
      <c r="Q881" t="s">
        <v>29276</v>
      </c>
      <c r="R881" t="s">
        <v>28543</v>
      </c>
      <c r="S881" t="s">
        <v>29277</v>
      </c>
      <c r="T881" t="s">
        <v>30</v>
      </c>
      <c r="U881" t="s">
        <v>26116</v>
      </c>
      <c r="W881" t="s">
        <v>28347</v>
      </c>
    </row>
    <row r="882" spans="1:23" x14ac:dyDescent="0.35">
      <c r="A882">
        <v>290646</v>
      </c>
      <c r="B882" t="s">
        <v>29278</v>
      </c>
      <c r="C882" t="str">
        <f>"9781843103332"</f>
        <v>9781843103332</v>
      </c>
      <c r="D882" t="str">
        <f>"9781846420979"</f>
        <v>9781846420979</v>
      </c>
      <c r="E882" t="s">
        <v>146</v>
      </c>
      <c r="F882" t="s">
        <v>146</v>
      </c>
      <c r="G882" t="s">
        <v>22174</v>
      </c>
      <c r="H882" t="s">
        <v>26011</v>
      </c>
      <c r="I882" s="26">
        <v>38398</v>
      </c>
      <c r="J882">
        <v>2005</v>
      </c>
      <c r="K882" t="s">
        <v>146</v>
      </c>
      <c r="L882">
        <v>97</v>
      </c>
      <c r="M882" t="s">
        <v>29279</v>
      </c>
      <c r="N882">
        <v>1</v>
      </c>
      <c r="Q882" t="s">
        <v>29280</v>
      </c>
      <c r="R882" t="s">
        <v>29281</v>
      </c>
      <c r="S882" t="s">
        <v>29282</v>
      </c>
      <c r="T882" t="s">
        <v>30</v>
      </c>
      <c r="U882" t="s">
        <v>29283</v>
      </c>
      <c r="W882" t="s">
        <v>28347</v>
      </c>
    </row>
    <row r="883" spans="1:23" x14ac:dyDescent="0.35">
      <c r="A883">
        <v>290651</v>
      </c>
      <c r="B883" t="s">
        <v>29284</v>
      </c>
      <c r="C883" t="str">
        <f>"9781843102205"</f>
        <v>9781843102205</v>
      </c>
      <c r="D883" t="str">
        <f>"9781846421020"</f>
        <v>9781846421020</v>
      </c>
      <c r="E883" t="s">
        <v>146</v>
      </c>
      <c r="F883" t="s">
        <v>146</v>
      </c>
      <c r="G883" t="s">
        <v>22174</v>
      </c>
      <c r="H883" t="s">
        <v>26011</v>
      </c>
      <c r="I883" s="26">
        <v>38336</v>
      </c>
      <c r="J883">
        <v>2004</v>
      </c>
      <c r="K883" t="s">
        <v>146</v>
      </c>
      <c r="L883">
        <v>242</v>
      </c>
      <c r="M883" t="s">
        <v>29285</v>
      </c>
      <c r="N883">
        <v>1</v>
      </c>
      <c r="Q883" t="s">
        <v>29286</v>
      </c>
      <c r="R883">
        <v>362.20420000000001</v>
      </c>
      <c r="S883" t="s">
        <v>29287</v>
      </c>
      <c r="T883" t="s">
        <v>30</v>
      </c>
      <c r="U883" t="s">
        <v>29288</v>
      </c>
      <c r="W883" t="s">
        <v>28347</v>
      </c>
    </row>
    <row r="884" spans="1:23" x14ac:dyDescent="0.35">
      <c r="A884">
        <v>290652</v>
      </c>
      <c r="B884" t="s">
        <v>29289</v>
      </c>
      <c r="C884" t="str">
        <f>"9781843107859"</f>
        <v>9781843107859</v>
      </c>
      <c r="D884" t="str">
        <f>"9781846421037"</f>
        <v>9781846421037</v>
      </c>
      <c r="E884" t="s">
        <v>146</v>
      </c>
      <c r="F884" t="s">
        <v>146</v>
      </c>
      <c r="G884" t="s">
        <v>22174</v>
      </c>
      <c r="H884" t="s">
        <v>26011</v>
      </c>
      <c r="I884" s="26">
        <v>38367</v>
      </c>
      <c r="J884">
        <v>2005</v>
      </c>
      <c r="K884" t="s">
        <v>146</v>
      </c>
      <c r="L884">
        <v>242</v>
      </c>
      <c r="M884" t="s">
        <v>29290</v>
      </c>
      <c r="N884">
        <v>1</v>
      </c>
      <c r="T884" t="s">
        <v>30</v>
      </c>
      <c r="U884" t="s">
        <v>26019</v>
      </c>
      <c r="W884" t="s">
        <v>28347</v>
      </c>
    </row>
    <row r="885" spans="1:23" x14ac:dyDescent="0.35">
      <c r="A885">
        <v>290653</v>
      </c>
      <c r="B885" t="s">
        <v>8001</v>
      </c>
      <c r="C885" t="str">
        <f>"9781843103165"</f>
        <v>9781843103165</v>
      </c>
      <c r="D885" t="str">
        <f>"9781846421044"</f>
        <v>9781846421044</v>
      </c>
      <c r="E885" t="s">
        <v>146</v>
      </c>
      <c r="F885" t="s">
        <v>146</v>
      </c>
      <c r="G885" t="s">
        <v>22174</v>
      </c>
      <c r="H885" t="s">
        <v>26011</v>
      </c>
      <c r="I885" s="26">
        <v>38367</v>
      </c>
      <c r="J885">
        <v>2005</v>
      </c>
      <c r="K885" t="s">
        <v>146</v>
      </c>
      <c r="L885">
        <v>126</v>
      </c>
      <c r="M885" t="s">
        <v>29291</v>
      </c>
      <c r="N885">
        <v>1</v>
      </c>
      <c r="Q885" t="s">
        <v>29292</v>
      </c>
      <c r="R885">
        <v>616.89140870000006</v>
      </c>
      <c r="S885" t="s">
        <v>29293</v>
      </c>
      <c r="T885" t="s">
        <v>30</v>
      </c>
      <c r="U885" t="s">
        <v>26019</v>
      </c>
      <c r="W885" t="s">
        <v>28347</v>
      </c>
    </row>
    <row r="886" spans="1:23" x14ac:dyDescent="0.35">
      <c r="A886">
        <v>290654</v>
      </c>
      <c r="B886" t="s">
        <v>9095</v>
      </c>
      <c r="C886" t="str">
        <f>"9781843107279"</f>
        <v>9781843107279</v>
      </c>
      <c r="D886" t="str">
        <f>"9781846421051"</f>
        <v>9781846421051</v>
      </c>
      <c r="E886" t="s">
        <v>146</v>
      </c>
      <c r="F886" t="s">
        <v>146</v>
      </c>
      <c r="G886" t="s">
        <v>22174</v>
      </c>
      <c r="H886" t="s">
        <v>26011</v>
      </c>
      <c r="I886" s="26">
        <v>38367</v>
      </c>
      <c r="J886">
        <v>2005</v>
      </c>
      <c r="K886" t="s">
        <v>146</v>
      </c>
      <c r="L886">
        <v>254</v>
      </c>
      <c r="M886" t="s">
        <v>29294</v>
      </c>
      <c r="N886">
        <v>1</v>
      </c>
      <c r="Q886" t="s">
        <v>29295</v>
      </c>
      <c r="R886">
        <v>616.85882000000004</v>
      </c>
      <c r="T886" t="s">
        <v>30</v>
      </c>
      <c r="U886" t="s">
        <v>26019</v>
      </c>
      <c r="W886" t="s">
        <v>28347</v>
      </c>
    </row>
    <row r="887" spans="1:23" x14ac:dyDescent="0.35">
      <c r="A887">
        <v>290657</v>
      </c>
      <c r="B887" t="s">
        <v>29296</v>
      </c>
      <c r="C887" t="str">
        <f>"9781843103240"</f>
        <v>9781843103240</v>
      </c>
      <c r="D887" t="str">
        <f>"9781846421075"</f>
        <v>9781846421075</v>
      </c>
      <c r="E887" t="s">
        <v>146</v>
      </c>
      <c r="F887" t="s">
        <v>146</v>
      </c>
      <c r="G887" t="s">
        <v>22174</v>
      </c>
      <c r="H887" t="s">
        <v>26011</v>
      </c>
      <c r="I887" s="26">
        <v>38367</v>
      </c>
      <c r="J887">
        <v>2005</v>
      </c>
      <c r="K887" t="s">
        <v>146</v>
      </c>
      <c r="L887">
        <v>128</v>
      </c>
      <c r="M887" t="s">
        <v>29297</v>
      </c>
      <c r="N887">
        <v>1</v>
      </c>
      <c r="Q887" t="s">
        <v>29298</v>
      </c>
      <c r="R887" t="s">
        <v>26759</v>
      </c>
      <c r="S887" t="s">
        <v>29299</v>
      </c>
      <c r="T887" t="s">
        <v>30</v>
      </c>
      <c r="U887" t="s">
        <v>46</v>
      </c>
      <c r="W887" t="s">
        <v>28347</v>
      </c>
    </row>
    <row r="888" spans="1:23" x14ac:dyDescent="0.35">
      <c r="A888">
        <v>290662</v>
      </c>
      <c r="B888" t="s">
        <v>9826</v>
      </c>
      <c r="C888" t="str">
        <f>"9781843102847"</f>
        <v>9781843102847</v>
      </c>
      <c r="D888" t="str">
        <f>"9781846421129"</f>
        <v>9781846421129</v>
      </c>
      <c r="E888" t="s">
        <v>146</v>
      </c>
      <c r="F888" t="s">
        <v>146</v>
      </c>
      <c r="G888" t="s">
        <v>22174</v>
      </c>
      <c r="H888" t="s">
        <v>26011</v>
      </c>
      <c r="I888" s="26">
        <v>38341</v>
      </c>
      <c r="J888">
        <v>2004</v>
      </c>
      <c r="K888" t="s">
        <v>146</v>
      </c>
      <c r="L888">
        <v>180</v>
      </c>
      <c r="M888" t="s">
        <v>29300</v>
      </c>
      <c r="N888">
        <v>1</v>
      </c>
      <c r="Q888" t="s">
        <v>29301</v>
      </c>
      <c r="R888">
        <v>362.19690000000003</v>
      </c>
      <c r="T888" t="s">
        <v>30</v>
      </c>
      <c r="U888" t="s">
        <v>29302</v>
      </c>
      <c r="W888" t="s">
        <v>28347</v>
      </c>
    </row>
    <row r="889" spans="1:23" x14ac:dyDescent="0.35">
      <c r="A889">
        <v>290664</v>
      </c>
      <c r="B889" t="s">
        <v>9376</v>
      </c>
      <c r="C889" t="str">
        <f>"9781843107965"</f>
        <v>9781843107965</v>
      </c>
      <c r="D889" t="str">
        <f>"9781846421143"</f>
        <v>9781846421143</v>
      </c>
      <c r="E889" t="s">
        <v>146</v>
      </c>
      <c r="F889" t="s">
        <v>146</v>
      </c>
      <c r="G889" t="s">
        <v>22174</v>
      </c>
      <c r="H889" t="s">
        <v>26011</v>
      </c>
      <c r="I889" s="26">
        <v>38336</v>
      </c>
      <c r="J889">
        <v>2004</v>
      </c>
      <c r="K889" t="s">
        <v>146</v>
      </c>
      <c r="L889">
        <v>96</v>
      </c>
      <c r="M889" t="s">
        <v>29303</v>
      </c>
      <c r="N889">
        <v>1</v>
      </c>
      <c r="Q889" t="s">
        <v>29304</v>
      </c>
      <c r="R889">
        <v>649.154</v>
      </c>
      <c r="S889" t="s">
        <v>29305</v>
      </c>
      <c r="T889" t="s">
        <v>30</v>
      </c>
      <c r="U889" t="s">
        <v>29150</v>
      </c>
      <c r="W889" t="s">
        <v>28347</v>
      </c>
    </row>
    <row r="890" spans="1:23" x14ac:dyDescent="0.35">
      <c r="A890">
        <v>290665</v>
      </c>
      <c r="B890" t="s">
        <v>29306</v>
      </c>
      <c r="C890" t="str">
        <f>"9781843103127"</f>
        <v>9781843103127</v>
      </c>
      <c r="D890" t="str">
        <f>"9781846421150"</f>
        <v>9781846421150</v>
      </c>
      <c r="E890" t="s">
        <v>146</v>
      </c>
      <c r="F890" t="s">
        <v>146</v>
      </c>
      <c r="G890" t="s">
        <v>22174</v>
      </c>
      <c r="H890" t="s">
        <v>26011</v>
      </c>
      <c r="I890" s="26">
        <v>38306</v>
      </c>
      <c r="J890">
        <v>2004</v>
      </c>
      <c r="K890" t="s">
        <v>146</v>
      </c>
      <c r="L890">
        <v>193</v>
      </c>
      <c r="M890" t="s">
        <v>29307</v>
      </c>
      <c r="N890">
        <v>1</v>
      </c>
      <c r="Q890" t="s">
        <v>29308</v>
      </c>
      <c r="R890">
        <v>618.92858820091999</v>
      </c>
      <c r="S890" t="s">
        <v>29309</v>
      </c>
      <c r="T890" t="s">
        <v>30</v>
      </c>
      <c r="U890" t="s">
        <v>26116</v>
      </c>
      <c r="W890" t="s">
        <v>28347</v>
      </c>
    </row>
    <row r="891" spans="1:23" x14ac:dyDescent="0.35">
      <c r="A891">
        <v>290666</v>
      </c>
      <c r="B891" t="s">
        <v>8731</v>
      </c>
      <c r="C891" t="str">
        <f>"9781843107910"</f>
        <v>9781843107910</v>
      </c>
      <c r="D891" t="str">
        <f>"9781846421167"</f>
        <v>9781846421167</v>
      </c>
      <c r="E891" t="s">
        <v>146</v>
      </c>
      <c r="F891" t="s">
        <v>146</v>
      </c>
      <c r="G891" t="s">
        <v>22174</v>
      </c>
      <c r="H891" t="s">
        <v>26011</v>
      </c>
      <c r="I891" s="26">
        <v>38308</v>
      </c>
      <c r="J891">
        <v>2004</v>
      </c>
      <c r="K891" t="s">
        <v>146</v>
      </c>
      <c r="L891">
        <v>137</v>
      </c>
      <c r="M891" t="s">
        <v>29310</v>
      </c>
      <c r="N891">
        <v>1</v>
      </c>
      <c r="Q891" t="s">
        <v>29311</v>
      </c>
      <c r="R891" t="s">
        <v>29251</v>
      </c>
      <c r="S891" t="s">
        <v>29312</v>
      </c>
      <c r="T891" t="s">
        <v>30</v>
      </c>
      <c r="U891" t="s">
        <v>26116</v>
      </c>
      <c r="W891" t="s">
        <v>28347</v>
      </c>
    </row>
    <row r="892" spans="1:23" x14ac:dyDescent="0.35">
      <c r="A892">
        <v>290668</v>
      </c>
      <c r="B892" t="s">
        <v>29313</v>
      </c>
      <c r="C892" t="str">
        <f>"9781843101802"</f>
        <v>9781843101802</v>
      </c>
      <c r="D892" t="str">
        <f>"9781846421181"</f>
        <v>9781846421181</v>
      </c>
      <c r="E892" t="s">
        <v>146</v>
      </c>
      <c r="F892" t="s">
        <v>146</v>
      </c>
      <c r="G892" t="s">
        <v>22174</v>
      </c>
      <c r="H892" t="s">
        <v>26011</v>
      </c>
      <c r="I892" s="26">
        <v>38306</v>
      </c>
      <c r="J892">
        <v>2004</v>
      </c>
      <c r="K892" t="s">
        <v>146</v>
      </c>
      <c r="L892">
        <v>168</v>
      </c>
      <c r="M892" t="s">
        <v>29314</v>
      </c>
      <c r="N892">
        <v>1</v>
      </c>
      <c r="Q892" t="s">
        <v>29315</v>
      </c>
      <c r="R892" t="s">
        <v>26735</v>
      </c>
      <c r="S892" t="s">
        <v>29316</v>
      </c>
      <c r="T892" t="s">
        <v>30</v>
      </c>
      <c r="U892" t="s">
        <v>26116</v>
      </c>
      <c r="W892" t="s">
        <v>28347</v>
      </c>
    </row>
    <row r="893" spans="1:23" x14ac:dyDescent="0.35">
      <c r="A893">
        <v>290669</v>
      </c>
      <c r="B893" t="s">
        <v>29317</v>
      </c>
      <c r="C893" t="str">
        <f>"9781843103196"</f>
        <v>9781843103196</v>
      </c>
      <c r="D893" t="str">
        <f>"9781846421198"</f>
        <v>9781846421198</v>
      </c>
      <c r="E893" t="s">
        <v>146</v>
      </c>
      <c r="F893" t="s">
        <v>146</v>
      </c>
      <c r="G893" t="s">
        <v>22174</v>
      </c>
      <c r="H893" t="s">
        <v>26011</v>
      </c>
      <c r="I893" s="26">
        <v>38306</v>
      </c>
      <c r="J893">
        <v>2004</v>
      </c>
      <c r="K893" t="s">
        <v>146</v>
      </c>
      <c r="L893">
        <v>386</v>
      </c>
      <c r="M893" t="s">
        <v>29318</v>
      </c>
      <c r="N893">
        <v>1</v>
      </c>
      <c r="Q893" t="s">
        <v>29319</v>
      </c>
      <c r="R893">
        <v>616.85879999999997</v>
      </c>
      <c r="S893" t="s">
        <v>29264</v>
      </c>
      <c r="T893" t="s">
        <v>30</v>
      </c>
      <c r="U893" t="s">
        <v>26019</v>
      </c>
      <c r="W893" t="s">
        <v>28347</v>
      </c>
    </row>
    <row r="894" spans="1:23" x14ac:dyDescent="0.35">
      <c r="A894">
        <v>290671</v>
      </c>
      <c r="B894" t="s">
        <v>7577</v>
      </c>
      <c r="C894" t="str">
        <f>"9781843101642"</f>
        <v>9781843101642</v>
      </c>
      <c r="D894" t="str">
        <f>"9781846421211"</f>
        <v>9781846421211</v>
      </c>
      <c r="E894" t="s">
        <v>146</v>
      </c>
      <c r="F894" t="s">
        <v>146</v>
      </c>
      <c r="G894" t="s">
        <v>22174</v>
      </c>
      <c r="H894" t="s">
        <v>26011</v>
      </c>
      <c r="I894" s="26">
        <v>37787</v>
      </c>
      <c r="J894">
        <v>2003</v>
      </c>
      <c r="K894" t="s">
        <v>146</v>
      </c>
      <c r="L894">
        <v>221</v>
      </c>
      <c r="M894" t="s">
        <v>29320</v>
      </c>
      <c r="N894">
        <v>1</v>
      </c>
      <c r="Q894" t="s">
        <v>29321</v>
      </c>
      <c r="R894">
        <v>616.85882009199997</v>
      </c>
      <c r="S894" t="s">
        <v>29322</v>
      </c>
      <c r="T894" t="s">
        <v>30</v>
      </c>
      <c r="U894" t="s">
        <v>26019</v>
      </c>
      <c r="W894" t="s">
        <v>28347</v>
      </c>
    </row>
    <row r="895" spans="1:23" x14ac:dyDescent="0.35">
      <c r="A895">
        <v>290673</v>
      </c>
      <c r="B895" t="s">
        <v>9779</v>
      </c>
      <c r="C895" t="str">
        <f>"9781843102199"</f>
        <v>9781843102199</v>
      </c>
      <c r="D895" t="str">
        <f>"9781846421242"</f>
        <v>9781846421242</v>
      </c>
      <c r="E895" t="s">
        <v>146</v>
      </c>
      <c r="F895" t="s">
        <v>146</v>
      </c>
      <c r="G895" t="s">
        <v>22174</v>
      </c>
      <c r="H895" t="s">
        <v>26011</v>
      </c>
      <c r="I895" s="26">
        <v>38471</v>
      </c>
      <c r="J895">
        <v>2005</v>
      </c>
      <c r="K895" t="s">
        <v>146</v>
      </c>
      <c r="L895">
        <v>242</v>
      </c>
      <c r="M895" t="s">
        <v>29323</v>
      </c>
      <c r="N895">
        <v>1</v>
      </c>
      <c r="Q895" t="s">
        <v>29324</v>
      </c>
      <c r="R895" t="s">
        <v>29325</v>
      </c>
      <c r="S895" t="s">
        <v>29326</v>
      </c>
      <c r="T895" t="s">
        <v>30</v>
      </c>
      <c r="U895" t="s">
        <v>26040</v>
      </c>
      <c r="W895" t="s">
        <v>28347</v>
      </c>
    </row>
    <row r="896" spans="1:23" x14ac:dyDescent="0.35">
      <c r="A896">
        <v>290680</v>
      </c>
      <c r="B896" t="s">
        <v>9793</v>
      </c>
      <c r="C896" t="str">
        <f>"9781843103448"</f>
        <v>9781843103448</v>
      </c>
      <c r="D896" t="str">
        <f>"9781846421310"</f>
        <v>9781846421310</v>
      </c>
      <c r="E896" t="s">
        <v>146</v>
      </c>
      <c r="F896" t="s">
        <v>146</v>
      </c>
      <c r="G896" t="s">
        <v>22174</v>
      </c>
      <c r="H896" t="s">
        <v>26011</v>
      </c>
      <c r="I896" s="26">
        <v>38457</v>
      </c>
      <c r="J896">
        <v>2005</v>
      </c>
      <c r="K896" t="s">
        <v>146</v>
      </c>
      <c r="L896">
        <v>80</v>
      </c>
      <c r="M896" t="s">
        <v>29327</v>
      </c>
      <c r="N896">
        <v>1</v>
      </c>
      <c r="Q896" t="s">
        <v>29328</v>
      </c>
      <c r="R896">
        <v>616.89165600000001</v>
      </c>
      <c r="S896" t="s">
        <v>29329</v>
      </c>
      <c r="T896" t="s">
        <v>30</v>
      </c>
      <c r="U896" t="s">
        <v>26116</v>
      </c>
      <c r="W896" t="s">
        <v>28347</v>
      </c>
    </row>
    <row r="897" spans="1:23" x14ac:dyDescent="0.35">
      <c r="A897">
        <v>290685</v>
      </c>
      <c r="B897" t="s">
        <v>29330</v>
      </c>
      <c r="C897" t="str">
        <f>"9781843102786"</f>
        <v>9781843102786</v>
      </c>
      <c r="D897" t="str">
        <f>"9781846421365"</f>
        <v>9781846421365</v>
      </c>
      <c r="E897" t="s">
        <v>146</v>
      </c>
      <c r="F897" t="s">
        <v>146</v>
      </c>
      <c r="G897" t="s">
        <v>22174</v>
      </c>
      <c r="H897" t="s">
        <v>26011</v>
      </c>
      <c r="I897" s="26">
        <v>38487</v>
      </c>
      <c r="J897">
        <v>2005</v>
      </c>
      <c r="K897" t="s">
        <v>146</v>
      </c>
      <c r="L897">
        <v>290</v>
      </c>
      <c r="M897" t="s">
        <v>29331</v>
      </c>
      <c r="N897">
        <v>1</v>
      </c>
      <c r="Q897" t="s">
        <v>29332</v>
      </c>
      <c r="R897">
        <v>362.73309410000002</v>
      </c>
      <c r="S897" t="s">
        <v>29333</v>
      </c>
      <c r="T897" t="s">
        <v>30</v>
      </c>
      <c r="U897" t="s">
        <v>29334</v>
      </c>
      <c r="W897" t="s">
        <v>28347</v>
      </c>
    </row>
    <row r="898" spans="1:23" x14ac:dyDescent="0.35">
      <c r="A898">
        <v>290688</v>
      </c>
      <c r="B898" t="s">
        <v>29335</v>
      </c>
      <c r="C898" t="str">
        <f>"9781843107798"</f>
        <v>9781843107798</v>
      </c>
      <c r="D898" t="str">
        <f>"9781846421396"</f>
        <v>9781846421396</v>
      </c>
      <c r="E898" t="s">
        <v>146</v>
      </c>
      <c r="F898" t="s">
        <v>146</v>
      </c>
      <c r="G898" t="s">
        <v>22174</v>
      </c>
      <c r="H898" t="s">
        <v>26011</v>
      </c>
      <c r="I898" s="26">
        <v>38457</v>
      </c>
      <c r="J898">
        <v>2005</v>
      </c>
      <c r="K898" t="s">
        <v>146</v>
      </c>
      <c r="L898">
        <v>274</v>
      </c>
      <c r="M898" t="s">
        <v>29336</v>
      </c>
      <c r="N898">
        <v>1</v>
      </c>
      <c r="Q898" t="s">
        <v>29337</v>
      </c>
      <c r="R898">
        <v>150.922</v>
      </c>
      <c r="S898" t="s">
        <v>29338</v>
      </c>
      <c r="T898" t="s">
        <v>30</v>
      </c>
      <c r="U898" t="s">
        <v>46</v>
      </c>
      <c r="W898" t="s">
        <v>28347</v>
      </c>
    </row>
    <row r="899" spans="1:23" x14ac:dyDescent="0.35">
      <c r="A899">
        <v>290689</v>
      </c>
      <c r="B899" t="s">
        <v>9368</v>
      </c>
      <c r="C899" t="str">
        <f>"9781843101314"</f>
        <v>9781843101314</v>
      </c>
      <c r="D899" t="str">
        <f>"9781846421402"</f>
        <v>9781846421402</v>
      </c>
      <c r="E899" t="s">
        <v>146</v>
      </c>
      <c r="F899" t="s">
        <v>146</v>
      </c>
      <c r="G899" t="s">
        <v>22174</v>
      </c>
      <c r="H899" t="s">
        <v>26011</v>
      </c>
      <c r="I899" s="26">
        <v>38532</v>
      </c>
      <c r="J899">
        <v>2005</v>
      </c>
      <c r="K899" t="s">
        <v>146</v>
      </c>
      <c r="L899">
        <v>242</v>
      </c>
      <c r="M899" t="s">
        <v>29339</v>
      </c>
      <c r="N899">
        <v>1</v>
      </c>
      <c r="Q899" t="s">
        <v>29340</v>
      </c>
      <c r="R899">
        <v>362.38</v>
      </c>
      <c r="S899" t="s">
        <v>29341</v>
      </c>
      <c r="T899" t="s">
        <v>30</v>
      </c>
      <c r="U899" t="s">
        <v>26044</v>
      </c>
      <c r="W899" t="s">
        <v>28347</v>
      </c>
    </row>
    <row r="900" spans="1:23" x14ac:dyDescent="0.35">
      <c r="A900">
        <v>290690</v>
      </c>
      <c r="B900" t="s">
        <v>29342</v>
      </c>
      <c r="C900" t="str">
        <f>"9781843103493"</f>
        <v>9781843103493</v>
      </c>
      <c r="D900" t="str">
        <f>"9781846421419"</f>
        <v>9781846421419</v>
      </c>
      <c r="E900" t="s">
        <v>146</v>
      </c>
      <c r="F900" t="s">
        <v>146</v>
      </c>
      <c r="G900" t="s">
        <v>22174</v>
      </c>
      <c r="H900" t="s">
        <v>26011</v>
      </c>
      <c r="I900" s="26">
        <v>38524</v>
      </c>
      <c r="J900">
        <v>2005</v>
      </c>
      <c r="K900" t="s">
        <v>146</v>
      </c>
      <c r="L900">
        <v>94</v>
      </c>
      <c r="M900" t="s">
        <v>29343</v>
      </c>
      <c r="N900">
        <v>1</v>
      </c>
      <c r="Q900" t="s">
        <v>29344</v>
      </c>
      <c r="T900" t="s">
        <v>30</v>
      </c>
      <c r="U900" t="s">
        <v>26019</v>
      </c>
      <c r="W900" t="s">
        <v>28347</v>
      </c>
    </row>
    <row r="901" spans="1:23" x14ac:dyDescent="0.35">
      <c r="A901">
        <v>290691</v>
      </c>
      <c r="B901" t="s">
        <v>29345</v>
      </c>
      <c r="C901" t="str">
        <f>"9781843102229"</f>
        <v>9781843102229</v>
      </c>
      <c r="D901" t="str">
        <f>"9781846421426"</f>
        <v>9781846421426</v>
      </c>
      <c r="E901" t="s">
        <v>146</v>
      </c>
      <c r="F901" t="s">
        <v>146</v>
      </c>
      <c r="G901" t="s">
        <v>22174</v>
      </c>
      <c r="H901" t="s">
        <v>26011</v>
      </c>
      <c r="I901" s="26">
        <v>38532</v>
      </c>
      <c r="J901">
        <v>2005</v>
      </c>
      <c r="K901" t="s">
        <v>146</v>
      </c>
      <c r="L901">
        <v>162</v>
      </c>
      <c r="M901" t="s">
        <v>29346</v>
      </c>
      <c r="N901">
        <v>1</v>
      </c>
      <c r="Q901" t="s">
        <v>29347</v>
      </c>
      <c r="R901">
        <v>618.92858820000004</v>
      </c>
      <c r="S901" t="s">
        <v>29348</v>
      </c>
      <c r="T901" t="s">
        <v>30</v>
      </c>
      <c r="U901" t="s">
        <v>26019</v>
      </c>
      <c r="W901" t="s">
        <v>28347</v>
      </c>
    </row>
    <row r="902" spans="1:23" x14ac:dyDescent="0.35">
      <c r="A902">
        <v>290698</v>
      </c>
      <c r="B902" t="s">
        <v>29349</v>
      </c>
      <c r="C902" t="str">
        <f>"9781843108047"</f>
        <v>9781843108047</v>
      </c>
      <c r="D902" t="str">
        <f>"9781846421495"</f>
        <v>9781846421495</v>
      </c>
      <c r="E902" t="s">
        <v>146</v>
      </c>
      <c r="F902" t="s">
        <v>146</v>
      </c>
      <c r="G902" t="s">
        <v>22174</v>
      </c>
      <c r="H902" t="s">
        <v>26011</v>
      </c>
      <c r="I902" s="26">
        <v>38518</v>
      </c>
      <c r="J902">
        <v>2005</v>
      </c>
      <c r="K902" t="s">
        <v>146</v>
      </c>
      <c r="L902">
        <v>122</v>
      </c>
      <c r="M902" t="s">
        <v>29350</v>
      </c>
      <c r="N902">
        <v>1</v>
      </c>
      <c r="Q902" t="s">
        <v>29351</v>
      </c>
      <c r="R902">
        <v>618.92858832000002</v>
      </c>
      <c r="S902" t="s">
        <v>29352</v>
      </c>
      <c r="T902" t="s">
        <v>30</v>
      </c>
      <c r="U902" t="s">
        <v>26116</v>
      </c>
      <c r="W902" t="s">
        <v>28347</v>
      </c>
    </row>
    <row r="903" spans="1:23" x14ac:dyDescent="0.35">
      <c r="A903">
        <v>290699</v>
      </c>
      <c r="B903" t="s">
        <v>29353</v>
      </c>
      <c r="C903" t="str">
        <f>"9781843108061"</f>
        <v>9781843108061</v>
      </c>
      <c r="D903" t="str">
        <f>"9781846421501"</f>
        <v>9781846421501</v>
      </c>
      <c r="E903" t="s">
        <v>146</v>
      </c>
      <c r="F903" t="s">
        <v>146</v>
      </c>
      <c r="G903" t="s">
        <v>22174</v>
      </c>
      <c r="H903" t="s">
        <v>26011</v>
      </c>
      <c r="I903" s="26">
        <v>38487</v>
      </c>
      <c r="J903">
        <v>2005</v>
      </c>
      <c r="K903" t="s">
        <v>146</v>
      </c>
      <c r="L903">
        <v>177</v>
      </c>
      <c r="M903" t="s">
        <v>29354</v>
      </c>
      <c r="N903">
        <v>1</v>
      </c>
      <c r="Q903" t="s">
        <v>29355</v>
      </c>
      <c r="R903">
        <v>618.92858799999999</v>
      </c>
      <c r="S903" t="s">
        <v>29356</v>
      </c>
      <c r="T903" t="s">
        <v>30</v>
      </c>
      <c r="U903" t="s">
        <v>26040</v>
      </c>
      <c r="W903" t="s">
        <v>28347</v>
      </c>
    </row>
    <row r="904" spans="1:23" x14ac:dyDescent="0.35">
      <c r="A904">
        <v>290703</v>
      </c>
      <c r="B904" t="s">
        <v>29357</v>
      </c>
      <c r="C904" t="str">
        <f>"9781843107095"</f>
        <v>9781843107095</v>
      </c>
      <c r="D904" t="str">
        <f>"9781846421594"</f>
        <v>9781846421594</v>
      </c>
      <c r="E904" t="s">
        <v>146</v>
      </c>
      <c r="F904" t="s">
        <v>146</v>
      </c>
      <c r="G904" t="s">
        <v>22174</v>
      </c>
      <c r="H904" t="s">
        <v>26011</v>
      </c>
      <c r="I904" s="26">
        <v>37362</v>
      </c>
      <c r="J904">
        <v>2002</v>
      </c>
      <c r="K904" t="s">
        <v>146</v>
      </c>
      <c r="L904">
        <v>226</v>
      </c>
      <c r="M904" t="s">
        <v>29358</v>
      </c>
      <c r="N904">
        <v>1</v>
      </c>
      <c r="R904" t="s">
        <v>29359</v>
      </c>
      <c r="S904" t="s">
        <v>29360</v>
      </c>
      <c r="T904" t="s">
        <v>30</v>
      </c>
      <c r="U904" t="s">
        <v>26040</v>
      </c>
      <c r="W904" t="s">
        <v>28347</v>
      </c>
    </row>
    <row r="905" spans="1:23" x14ac:dyDescent="0.35">
      <c r="A905">
        <v>290706</v>
      </c>
      <c r="B905" t="s">
        <v>29361</v>
      </c>
      <c r="C905" t="str">
        <f>"9781843100652"</f>
        <v>9781843100652</v>
      </c>
      <c r="D905" t="str">
        <f>"9781846421747"</f>
        <v>9781846421747</v>
      </c>
      <c r="E905" t="s">
        <v>146</v>
      </c>
      <c r="F905" t="s">
        <v>146</v>
      </c>
      <c r="G905" t="s">
        <v>22174</v>
      </c>
      <c r="H905" t="s">
        <v>26011</v>
      </c>
      <c r="I905" s="26">
        <v>37575</v>
      </c>
      <c r="J905">
        <v>2002</v>
      </c>
      <c r="K905" t="s">
        <v>146</v>
      </c>
      <c r="L905">
        <v>225</v>
      </c>
      <c r="M905" t="s">
        <v>29362</v>
      </c>
      <c r="N905">
        <v>1</v>
      </c>
      <c r="R905" t="s">
        <v>29363</v>
      </c>
      <c r="T905" t="s">
        <v>30</v>
      </c>
      <c r="U905" t="s">
        <v>26040</v>
      </c>
      <c r="W905" t="s">
        <v>28347</v>
      </c>
    </row>
    <row r="906" spans="1:23" x14ac:dyDescent="0.35">
      <c r="A906">
        <v>290708</v>
      </c>
      <c r="B906" t="s">
        <v>29364</v>
      </c>
      <c r="C906" t="str">
        <f>"9781843100904"</f>
        <v>9781843100904</v>
      </c>
      <c r="D906" t="str">
        <f>"9781846421761"</f>
        <v>9781846421761</v>
      </c>
      <c r="E906" t="s">
        <v>146</v>
      </c>
      <c r="F906" t="s">
        <v>146</v>
      </c>
      <c r="G906" t="s">
        <v>22174</v>
      </c>
      <c r="H906" t="s">
        <v>26011</v>
      </c>
      <c r="I906" s="26">
        <v>37330</v>
      </c>
      <c r="J906">
        <v>2002</v>
      </c>
      <c r="K906" t="s">
        <v>146</v>
      </c>
      <c r="L906">
        <v>98</v>
      </c>
      <c r="M906" t="s">
        <v>29365</v>
      </c>
      <c r="N906">
        <v>1</v>
      </c>
      <c r="R906" t="s">
        <v>29366</v>
      </c>
      <c r="T906" t="s">
        <v>30</v>
      </c>
      <c r="U906" t="s">
        <v>26040</v>
      </c>
      <c r="W906" t="s">
        <v>28347</v>
      </c>
    </row>
    <row r="907" spans="1:23" x14ac:dyDescent="0.35">
      <c r="A907">
        <v>290709</v>
      </c>
      <c r="B907" t="s">
        <v>29367</v>
      </c>
      <c r="C907" t="str">
        <f>"9781853028670"</f>
        <v>9781853028670</v>
      </c>
      <c r="D907" t="str">
        <f>"9781846421914"</f>
        <v>9781846421914</v>
      </c>
      <c r="E907" t="s">
        <v>146</v>
      </c>
      <c r="F907" t="s">
        <v>146</v>
      </c>
      <c r="G907" t="s">
        <v>22174</v>
      </c>
      <c r="H907" t="s">
        <v>26011</v>
      </c>
      <c r="I907" s="26">
        <v>37667</v>
      </c>
      <c r="J907">
        <v>2003</v>
      </c>
      <c r="K907" t="s">
        <v>146</v>
      </c>
      <c r="L907">
        <v>322</v>
      </c>
      <c r="M907" t="s">
        <v>29368</v>
      </c>
      <c r="N907">
        <v>1</v>
      </c>
      <c r="Q907" t="s">
        <v>29369</v>
      </c>
      <c r="R907" t="s">
        <v>27184</v>
      </c>
      <c r="S907" t="s">
        <v>29370</v>
      </c>
      <c r="T907" t="s">
        <v>30</v>
      </c>
      <c r="U907" t="s">
        <v>26019</v>
      </c>
      <c r="W907" t="s">
        <v>28347</v>
      </c>
    </row>
    <row r="908" spans="1:23" x14ac:dyDescent="0.35">
      <c r="A908">
        <v>290711</v>
      </c>
      <c r="B908" t="s">
        <v>29371</v>
      </c>
      <c r="C908" t="str">
        <f>"9781843107446"</f>
        <v>9781843107446</v>
      </c>
      <c r="D908" t="str">
        <f>"9781846422027"</f>
        <v>9781846422027</v>
      </c>
      <c r="E908" t="s">
        <v>146</v>
      </c>
      <c r="F908" t="s">
        <v>146</v>
      </c>
      <c r="G908" t="s">
        <v>22174</v>
      </c>
      <c r="H908" t="s">
        <v>26011</v>
      </c>
      <c r="I908" s="26">
        <v>37575</v>
      </c>
      <c r="J908">
        <v>2002</v>
      </c>
      <c r="K908" t="s">
        <v>146</v>
      </c>
      <c r="L908">
        <v>146</v>
      </c>
      <c r="M908" t="s">
        <v>29372</v>
      </c>
      <c r="N908">
        <v>1</v>
      </c>
      <c r="Q908" t="s">
        <v>29373</v>
      </c>
      <c r="R908" t="s">
        <v>29254</v>
      </c>
      <c r="S908" t="s">
        <v>29374</v>
      </c>
      <c r="T908" t="s">
        <v>30</v>
      </c>
      <c r="U908" t="s">
        <v>26116</v>
      </c>
      <c r="W908" t="s">
        <v>28347</v>
      </c>
    </row>
    <row r="909" spans="1:23" x14ac:dyDescent="0.35">
      <c r="A909">
        <v>290718</v>
      </c>
      <c r="B909" t="s">
        <v>29375</v>
      </c>
      <c r="C909" t="str">
        <f>"9781843101895"</f>
        <v>9781843101895</v>
      </c>
      <c r="D909" t="str">
        <f>"9781846422355"</f>
        <v>9781846422355</v>
      </c>
      <c r="E909" t="s">
        <v>146</v>
      </c>
      <c r="F909" t="s">
        <v>146</v>
      </c>
      <c r="G909" t="s">
        <v>22174</v>
      </c>
      <c r="H909" t="s">
        <v>26011</v>
      </c>
      <c r="I909" s="26">
        <v>38623</v>
      </c>
      <c r="J909">
        <v>2005</v>
      </c>
      <c r="K909" t="s">
        <v>146</v>
      </c>
      <c r="L909">
        <v>210</v>
      </c>
      <c r="M909" t="s">
        <v>29376</v>
      </c>
      <c r="N909">
        <v>1</v>
      </c>
      <c r="Q909" t="s">
        <v>29377</v>
      </c>
      <c r="R909">
        <v>616.85879999999997</v>
      </c>
      <c r="S909" t="s">
        <v>29378</v>
      </c>
      <c r="T909" t="s">
        <v>30</v>
      </c>
      <c r="U909" t="s">
        <v>26116</v>
      </c>
      <c r="W909" t="s">
        <v>28347</v>
      </c>
    </row>
    <row r="910" spans="1:23" x14ac:dyDescent="0.35">
      <c r="A910">
        <v>290720</v>
      </c>
      <c r="B910" t="s">
        <v>29379</v>
      </c>
      <c r="C910" t="str">
        <f>"9781843108122"</f>
        <v>9781843108122</v>
      </c>
      <c r="D910" t="str">
        <f>"9781846422379"</f>
        <v>9781846422379</v>
      </c>
      <c r="E910" t="s">
        <v>146</v>
      </c>
      <c r="F910" t="s">
        <v>146</v>
      </c>
      <c r="G910" t="s">
        <v>22174</v>
      </c>
      <c r="H910" t="s">
        <v>26011</v>
      </c>
      <c r="I910" s="26">
        <v>38610</v>
      </c>
      <c r="J910">
        <v>2005</v>
      </c>
      <c r="K910" t="s">
        <v>146</v>
      </c>
      <c r="L910">
        <v>289</v>
      </c>
      <c r="M910" t="s">
        <v>29380</v>
      </c>
      <c r="N910">
        <v>1</v>
      </c>
      <c r="Q910" t="s">
        <v>29381</v>
      </c>
      <c r="R910" t="s">
        <v>29382</v>
      </c>
      <c r="S910" t="s">
        <v>29383</v>
      </c>
      <c r="T910" t="s">
        <v>30</v>
      </c>
      <c r="U910" t="s">
        <v>26116</v>
      </c>
      <c r="W910" t="s">
        <v>28347</v>
      </c>
    </row>
    <row r="911" spans="1:23" x14ac:dyDescent="0.35">
      <c r="A911">
        <v>290722</v>
      </c>
      <c r="B911" t="s">
        <v>29384</v>
      </c>
      <c r="C911" t="str">
        <f>"9781843103998"</f>
        <v>9781843103998</v>
      </c>
      <c r="D911" t="str">
        <f>"9781846422393"</f>
        <v>9781846422393</v>
      </c>
      <c r="E911" t="s">
        <v>146</v>
      </c>
      <c r="F911" t="s">
        <v>146</v>
      </c>
      <c r="G911" t="s">
        <v>22174</v>
      </c>
      <c r="H911" t="s">
        <v>26011</v>
      </c>
      <c r="I911" s="26">
        <v>38625</v>
      </c>
      <c r="J911">
        <v>2005</v>
      </c>
      <c r="K911" t="s">
        <v>146</v>
      </c>
      <c r="L911">
        <v>176</v>
      </c>
      <c r="M911" t="s">
        <v>29385</v>
      </c>
      <c r="N911">
        <v>1</v>
      </c>
      <c r="Q911" t="s">
        <v>29386</v>
      </c>
      <c r="R911">
        <v>362.1968</v>
      </c>
      <c r="S911" t="s">
        <v>29387</v>
      </c>
      <c r="T911" t="s">
        <v>30</v>
      </c>
      <c r="U911" t="s">
        <v>26236</v>
      </c>
      <c r="W911" t="s">
        <v>28347</v>
      </c>
    </row>
    <row r="912" spans="1:23" x14ac:dyDescent="0.35">
      <c r="A912">
        <v>290723</v>
      </c>
      <c r="B912" t="s">
        <v>29388</v>
      </c>
      <c r="C912" t="str">
        <f>"9781843107941"</f>
        <v>9781843107941</v>
      </c>
      <c r="D912" t="str">
        <f>"9781846422409"</f>
        <v>9781846422409</v>
      </c>
      <c r="E912" t="s">
        <v>146</v>
      </c>
      <c r="F912" t="s">
        <v>146</v>
      </c>
      <c r="G912" t="s">
        <v>22174</v>
      </c>
      <c r="H912" t="s">
        <v>26011</v>
      </c>
      <c r="I912" s="26">
        <v>38590</v>
      </c>
      <c r="J912">
        <v>2005</v>
      </c>
      <c r="K912" t="s">
        <v>146</v>
      </c>
      <c r="L912">
        <v>178</v>
      </c>
      <c r="M912" t="s">
        <v>29389</v>
      </c>
      <c r="N912">
        <v>1</v>
      </c>
      <c r="Q912" t="s">
        <v>29390</v>
      </c>
      <c r="R912" t="s">
        <v>27110</v>
      </c>
      <c r="T912" t="s">
        <v>30</v>
      </c>
      <c r="U912" t="s">
        <v>26116</v>
      </c>
      <c r="W912" t="s">
        <v>28347</v>
      </c>
    </row>
    <row r="913" spans="1:23" x14ac:dyDescent="0.35">
      <c r="A913">
        <v>290728</v>
      </c>
      <c r="B913" t="s">
        <v>29391</v>
      </c>
      <c r="C913" t="str">
        <f>"9781843103790"</f>
        <v>9781843103790</v>
      </c>
      <c r="D913" t="str">
        <f>"9781846422454"</f>
        <v>9781846422454</v>
      </c>
      <c r="E913" t="s">
        <v>146</v>
      </c>
      <c r="F913" t="s">
        <v>146</v>
      </c>
      <c r="G913" t="s">
        <v>22174</v>
      </c>
      <c r="H913" t="s">
        <v>26011</v>
      </c>
      <c r="I913" s="26">
        <v>38608</v>
      </c>
      <c r="J913">
        <v>2005</v>
      </c>
      <c r="K913" t="s">
        <v>146</v>
      </c>
      <c r="L913">
        <v>209</v>
      </c>
      <c r="M913" t="s">
        <v>29392</v>
      </c>
      <c r="N913">
        <v>1</v>
      </c>
      <c r="Q913" t="s">
        <v>29393</v>
      </c>
      <c r="R913">
        <v>616.89152300834996</v>
      </c>
      <c r="S913" t="s">
        <v>29394</v>
      </c>
      <c r="T913" t="s">
        <v>30</v>
      </c>
      <c r="U913" t="s">
        <v>26116</v>
      </c>
      <c r="W913" t="s">
        <v>28347</v>
      </c>
    </row>
    <row r="914" spans="1:23" x14ac:dyDescent="0.35">
      <c r="A914">
        <v>290731</v>
      </c>
      <c r="B914" t="s">
        <v>9983</v>
      </c>
      <c r="C914" t="str">
        <f>"9781843102618"</f>
        <v>9781843102618</v>
      </c>
      <c r="D914" t="str">
        <f>"9781846422485"</f>
        <v>9781846422485</v>
      </c>
      <c r="E914" t="s">
        <v>146</v>
      </c>
      <c r="F914" t="s">
        <v>146</v>
      </c>
      <c r="G914" t="s">
        <v>22174</v>
      </c>
      <c r="H914" t="s">
        <v>26011</v>
      </c>
      <c r="I914" s="26">
        <v>38652</v>
      </c>
      <c r="J914">
        <v>2005</v>
      </c>
      <c r="K914" t="s">
        <v>146</v>
      </c>
      <c r="L914">
        <v>197</v>
      </c>
      <c r="M914" t="s">
        <v>29395</v>
      </c>
      <c r="N914">
        <v>1</v>
      </c>
      <c r="Q914" t="s">
        <v>29396</v>
      </c>
      <c r="R914" t="s">
        <v>28378</v>
      </c>
      <c r="S914" t="s">
        <v>29397</v>
      </c>
      <c r="T914" t="s">
        <v>30</v>
      </c>
      <c r="U914" t="s">
        <v>26019</v>
      </c>
      <c r="W914" t="s">
        <v>28347</v>
      </c>
    </row>
    <row r="915" spans="1:23" x14ac:dyDescent="0.35">
      <c r="A915">
        <v>290734</v>
      </c>
      <c r="B915" t="s">
        <v>29398</v>
      </c>
      <c r="C915" t="str">
        <f>"9781843103615"</f>
        <v>9781843103615</v>
      </c>
      <c r="D915" t="str">
        <f>"9781846422515"</f>
        <v>9781846422515</v>
      </c>
      <c r="E915" t="s">
        <v>146</v>
      </c>
      <c r="F915" t="s">
        <v>146</v>
      </c>
      <c r="G915" t="s">
        <v>22174</v>
      </c>
      <c r="H915" t="s">
        <v>26011</v>
      </c>
      <c r="I915" s="26">
        <v>38640</v>
      </c>
      <c r="J915">
        <v>2005</v>
      </c>
      <c r="K915" t="s">
        <v>146</v>
      </c>
      <c r="L915">
        <v>336</v>
      </c>
      <c r="M915" t="s">
        <v>29399</v>
      </c>
      <c r="N915">
        <v>1</v>
      </c>
      <c r="Q915" t="s">
        <v>29400</v>
      </c>
      <c r="R915">
        <v>616.85882000000004</v>
      </c>
      <c r="T915" t="s">
        <v>30</v>
      </c>
      <c r="U915" t="s">
        <v>26116</v>
      </c>
      <c r="W915" t="s">
        <v>28347</v>
      </c>
    </row>
    <row r="916" spans="1:23" x14ac:dyDescent="0.35">
      <c r="A916">
        <v>290736</v>
      </c>
      <c r="B916" t="s">
        <v>7625</v>
      </c>
      <c r="C916" t="str">
        <f>"9781843104384"</f>
        <v>9781843104384</v>
      </c>
      <c r="D916" t="str">
        <f>"9781846422539"</f>
        <v>9781846422539</v>
      </c>
      <c r="E916" t="s">
        <v>146</v>
      </c>
      <c r="F916" t="s">
        <v>146</v>
      </c>
      <c r="G916" t="s">
        <v>22174</v>
      </c>
      <c r="H916" t="s">
        <v>26011</v>
      </c>
      <c r="I916" s="26">
        <v>38848</v>
      </c>
      <c r="J916">
        <v>2006</v>
      </c>
      <c r="K916" t="s">
        <v>146</v>
      </c>
      <c r="L916">
        <v>290</v>
      </c>
      <c r="M916" t="s">
        <v>29401</v>
      </c>
      <c r="N916">
        <v>1</v>
      </c>
      <c r="Q916" t="s">
        <v>29402</v>
      </c>
      <c r="R916">
        <v>616.85879999999997</v>
      </c>
      <c r="S916" t="s">
        <v>29403</v>
      </c>
      <c r="T916" t="s">
        <v>30</v>
      </c>
      <c r="U916" t="s">
        <v>26019</v>
      </c>
      <c r="W916" t="s">
        <v>28347</v>
      </c>
    </row>
    <row r="917" spans="1:23" x14ac:dyDescent="0.35">
      <c r="A917">
        <v>290737</v>
      </c>
      <c r="B917" t="s">
        <v>29404</v>
      </c>
      <c r="C917" t="str">
        <f>"9781843104346"</f>
        <v>9781843104346</v>
      </c>
      <c r="D917" t="str">
        <f>"9781846422546"</f>
        <v>9781846422546</v>
      </c>
      <c r="E917" t="s">
        <v>146</v>
      </c>
      <c r="F917" t="s">
        <v>146</v>
      </c>
      <c r="G917" t="s">
        <v>22174</v>
      </c>
      <c r="H917" t="s">
        <v>26011</v>
      </c>
      <c r="I917" s="26">
        <v>38862</v>
      </c>
      <c r="J917">
        <v>2006</v>
      </c>
      <c r="K917" t="s">
        <v>146</v>
      </c>
      <c r="L917">
        <v>178</v>
      </c>
      <c r="M917" t="s">
        <v>29405</v>
      </c>
      <c r="N917">
        <v>1</v>
      </c>
      <c r="Q917" t="s">
        <v>29406</v>
      </c>
      <c r="R917">
        <v>362.76</v>
      </c>
      <c r="T917" t="s">
        <v>30</v>
      </c>
      <c r="U917" t="s">
        <v>29407</v>
      </c>
      <c r="W917" t="s">
        <v>28347</v>
      </c>
    </row>
    <row r="918" spans="1:23" x14ac:dyDescent="0.35">
      <c r="A918">
        <v>290739</v>
      </c>
      <c r="B918" t="s">
        <v>29408</v>
      </c>
      <c r="C918" t="str">
        <f>"9781843107033"</f>
        <v>9781843107033</v>
      </c>
      <c r="D918" t="str">
        <f>"9781846423161"</f>
        <v>9781846423161</v>
      </c>
      <c r="E918" t="s">
        <v>146</v>
      </c>
      <c r="F918" t="s">
        <v>146</v>
      </c>
      <c r="G918" t="s">
        <v>22174</v>
      </c>
      <c r="H918" t="s">
        <v>26011</v>
      </c>
      <c r="I918" s="26">
        <v>37270</v>
      </c>
      <c r="J918">
        <v>2002</v>
      </c>
      <c r="K918" t="s">
        <v>146</v>
      </c>
      <c r="L918">
        <v>226</v>
      </c>
      <c r="M918" t="s">
        <v>29409</v>
      </c>
      <c r="N918">
        <v>1</v>
      </c>
      <c r="R918" t="s">
        <v>26603</v>
      </c>
      <c r="S918" t="s">
        <v>29410</v>
      </c>
      <c r="T918" t="s">
        <v>30</v>
      </c>
      <c r="U918" t="s">
        <v>46</v>
      </c>
      <c r="W918" t="s">
        <v>28347</v>
      </c>
    </row>
    <row r="919" spans="1:23" x14ac:dyDescent="0.35">
      <c r="A919">
        <v>290740</v>
      </c>
      <c r="B919" t="s">
        <v>29411</v>
      </c>
      <c r="C919" t="str">
        <f>"9781843100287"</f>
        <v>9781843100287</v>
      </c>
      <c r="D919" t="str">
        <f>"9781846423178"</f>
        <v>9781846423178</v>
      </c>
      <c r="E919" t="s">
        <v>146</v>
      </c>
      <c r="F919" t="s">
        <v>146</v>
      </c>
      <c r="G919" t="s">
        <v>22174</v>
      </c>
      <c r="H919" t="s">
        <v>26011</v>
      </c>
      <c r="I919" s="26">
        <v>37271</v>
      </c>
      <c r="J919">
        <v>2002</v>
      </c>
      <c r="K919" t="s">
        <v>146</v>
      </c>
      <c r="L919">
        <v>298</v>
      </c>
      <c r="M919" t="s">
        <v>29412</v>
      </c>
      <c r="N919">
        <v>1</v>
      </c>
      <c r="Q919" t="s">
        <v>29413</v>
      </c>
      <c r="R919" t="s">
        <v>29414</v>
      </c>
      <c r="S919" t="s">
        <v>29415</v>
      </c>
      <c r="T919" t="s">
        <v>30</v>
      </c>
      <c r="U919" t="s">
        <v>26019</v>
      </c>
      <c r="W919" t="s">
        <v>28347</v>
      </c>
    </row>
    <row r="920" spans="1:23" x14ac:dyDescent="0.35">
      <c r="A920">
        <v>290741</v>
      </c>
      <c r="B920" t="s">
        <v>29416</v>
      </c>
      <c r="C920" t="str">
        <f>"9781843107064"</f>
        <v>9781843107064</v>
      </c>
      <c r="D920" t="str">
        <f>"9781846423185"</f>
        <v>9781846423185</v>
      </c>
      <c r="E920" t="s">
        <v>146</v>
      </c>
      <c r="F920" t="s">
        <v>146</v>
      </c>
      <c r="G920" t="s">
        <v>22174</v>
      </c>
      <c r="H920" t="s">
        <v>26011</v>
      </c>
      <c r="I920" s="26">
        <v>37271</v>
      </c>
      <c r="J920">
        <v>2002</v>
      </c>
      <c r="K920" t="s">
        <v>146</v>
      </c>
      <c r="L920">
        <v>226</v>
      </c>
      <c r="M920" t="s">
        <v>29417</v>
      </c>
      <c r="N920">
        <v>1</v>
      </c>
      <c r="T920" t="s">
        <v>30</v>
      </c>
      <c r="U920" t="s">
        <v>29153</v>
      </c>
      <c r="W920" t="s">
        <v>28347</v>
      </c>
    </row>
    <row r="921" spans="1:23" x14ac:dyDescent="0.35">
      <c r="A921">
        <v>290742</v>
      </c>
      <c r="B921" t="s">
        <v>29418</v>
      </c>
      <c r="C921" t="str">
        <f>"9781853029745"</f>
        <v>9781853029745</v>
      </c>
      <c r="D921" t="str">
        <f>"9781846423192"</f>
        <v>9781846423192</v>
      </c>
      <c r="E921" t="s">
        <v>146</v>
      </c>
      <c r="F921" t="s">
        <v>146</v>
      </c>
      <c r="G921" t="s">
        <v>22174</v>
      </c>
      <c r="H921" t="s">
        <v>26011</v>
      </c>
      <c r="I921" s="26">
        <v>37271</v>
      </c>
      <c r="J921">
        <v>2002</v>
      </c>
      <c r="K921" t="s">
        <v>146</v>
      </c>
      <c r="L921">
        <v>210</v>
      </c>
      <c r="M921" t="s">
        <v>29419</v>
      </c>
      <c r="N921">
        <v>1</v>
      </c>
      <c r="S921" t="s">
        <v>29420</v>
      </c>
      <c r="T921" t="s">
        <v>30</v>
      </c>
      <c r="U921" t="s">
        <v>46</v>
      </c>
      <c r="W921" t="s">
        <v>28347</v>
      </c>
    </row>
    <row r="922" spans="1:23" x14ac:dyDescent="0.35">
      <c r="A922">
        <v>290744</v>
      </c>
      <c r="B922" t="s">
        <v>7579</v>
      </c>
      <c r="C922" t="str">
        <f>"9781843100171"</f>
        <v>9781843100171</v>
      </c>
      <c r="D922" t="str">
        <f>"9781846423215"</f>
        <v>9781846423215</v>
      </c>
      <c r="E922" t="s">
        <v>146</v>
      </c>
      <c r="F922" t="s">
        <v>146</v>
      </c>
      <c r="G922" t="s">
        <v>22174</v>
      </c>
      <c r="H922" t="s">
        <v>26011</v>
      </c>
      <c r="I922" s="26">
        <v>37273</v>
      </c>
      <c r="J922">
        <v>2002</v>
      </c>
      <c r="K922" t="s">
        <v>146</v>
      </c>
      <c r="L922">
        <v>162</v>
      </c>
      <c r="M922" t="s">
        <v>29421</v>
      </c>
      <c r="N922">
        <v>1</v>
      </c>
      <c r="S922" t="s">
        <v>29422</v>
      </c>
      <c r="T922" t="s">
        <v>30</v>
      </c>
      <c r="U922" t="s">
        <v>29423</v>
      </c>
      <c r="W922" t="s">
        <v>28347</v>
      </c>
    </row>
    <row r="923" spans="1:23" x14ac:dyDescent="0.35">
      <c r="A923">
        <v>290745</v>
      </c>
      <c r="B923" t="s">
        <v>9704</v>
      </c>
      <c r="C923" t="str">
        <f>"9781853029684"</f>
        <v>9781853029684</v>
      </c>
      <c r="D923" t="str">
        <f>"9781846423222"</f>
        <v>9781846423222</v>
      </c>
      <c r="E923" t="s">
        <v>146</v>
      </c>
      <c r="F923" t="s">
        <v>146</v>
      </c>
      <c r="G923" t="s">
        <v>22174</v>
      </c>
      <c r="H923" t="s">
        <v>26011</v>
      </c>
      <c r="I923" s="26">
        <v>37274</v>
      </c>
      <c r="J923">
        <v>2002</v>
      </c>
      <c r="K923" t="s">
        <v>146</v>
      </c>
      <c r="L923">
        <v>245</v>
      </c>
      <c r="M923" t="s">
        <v>29424</v>
      </c>
      <c r="N923">
        <v>1</v>
      </c>
      <c r="Q923" t="s">
        <v>29425</v>
      </c>
      <c r="R923">
        <v>617.03018999999995</v>
      </c>
      <c r="S923" t="s">
        <v>29426</v>
      </c>
      <c r="T923" t="s">
        <v>30</v>
      </c>
      <c r="U923" t="s">
        <v>26019</v>
      </c>
      <c r="W923" t="s">
        <v>28347</v>
      </c>
    </row>
    <row r="924" spans="1:23" x14ac:dyDescent="0.35">
      <c r="A924">
        <v>290748</v>
      </c>
      <c r="B924" t="s">
        <v>29427</v>
      </c>
      <c r="C924" t="str">
        <f>"9781843107170"</f>
        <v>9781843107170</v>
      </c>
      <c r="D924" t="str">
        <f>"9781846423253"</f>
        <v>9781846423253</v>
      </c>
      <c r="E924" t="s">
        <v>146</v>
      </c>
      <c r="F924" t="s">
        <v>146</v>
      </c>
      <c r="G924" t="s">
        <v>22174</v>
      </c>
      <c r="H924" t="s">
        <v>26011</v>
      </c>
      <c r="I924" s="26">
        <v>37302</v>
      </c>
      <c r="J924">
        <v>2002</v>
      </c>
      <c r="K924" t="s">
        <v>146</v>
      </c>
      <c r="L924">
        <v>427</v>
      </c>
      <c r="M924" t="s">
        <v>29428</v>
      </c>
      <c r="N924">
        <v>1</v>
      </c>
      <c r="R924" t="s">
        <v>29429</v>
      </c>
      <c r="S924" t="s">
        <v>29430</v>
      </c>
      <c r="T924" t="s">
        <v>30</v>
      </c>
      <c r="U924" t="s">
        <v>26040</v>
      </c>
      <c r="W924" t="s">
        <v>28347</v>
      </c>
    </row>
    <row r="925" spans="1:23" x14ac:dyDescent="0.35">
      <c r="A925">
        <v>290751</v>
      </c>
      <c r="B925" t="s">
        <v>29431</v>
      </c>
      <c r="C925" t="str">
        <f>"9781843100065"</f>
        <v>9781843100065</v>
      </c>
      <c r="D925" t="str">
        <f>"9781846423307"</f>
        <v>9781846423307</v>
      </c>
      <c r="E925" t="s">
        <v>146</v>
      </c>
      <c r="F925" t="s">
        <v>146</v>
      </c>
      <c r="G925" t="s">
        <v>22174</v>
      </c>
      <c r="H925" t="s">
        <v>26011</v>
      </c>
      <c r="I925" s="26">
        <v>37330</v>
      </c>
      <c r="J925">
        <v>2002</v>
      </c>
      <c r="K925" t="s">
        <v>146</v>
      </c>
      <c r="L925">
        <v>290</v>
      </c>
      <c r="M925" t="s">
        <v>29432</v>
      </c>
      <c r="N925">
        <v>1</v>
      </c>
      <c r="O925" t="s">
        <v>29188</v>
      </c>
      <c r="Q925" t="s">
        <v>29433</v>
      </c>
      <c r="R925">
        <v>614.1</v>
      </c>
      <c r="S925" t="s">
        <v>29434</v>
      </c>
      <c r="T925" t="s">
        <v>30</v>
      </c>
      <c r="U925" t="s">
        <v>29435</v>
      </c>
      <c r="W925" t="s">
        <v>28347</v>
      </c>
    </row>
    <row r="926" spans="1:23" x14ac:dyDescent="0.35">
      <c r="A926">
        <v>290753</v>
      </c>
      <c r="B926" t="s">
        <v>29436</v>
      </c>
      <c r="C926" t="str">
        <f>"9781843100256"</f>
        <v>9781843100256</v>
      </c>
      <c r="D926" t="str">
        <f>"9781846423338"</f>
        <v>9781846423338</v>
      </c>
      <c r="E926" t="s">
        <v>146</v>
      </c>
      <c r="F926" t="s">
        <v>146</v>
      </c>
      <c r="G926" t="s">
        <v>22174</v>
      </c>
      <c r="H926" t="s">
        <v>26011</v>
      </c>
      <c r="I926" s="26">
        <v>37361</v>
      </c>
      <c r="J926">
        <v>2002</v>
      </c>
      <c r="K926" t="s">
        <v>146</v>
      </c>
      <c r="L926">
        <v>242</v>
      </c>
      <c r="M926" t="s">
        <v>29437</v>
      </c>
      <c r="N926">
        <v>1</v>
      </c>
      <c r="Q926" t="s">
        <v>29438</v>
      </c>
      <c r="R926">
        <v>362.7</v>
      </c>
      <c r="T926" t="s">
        <v>30</v>
      </c>
      <c r="U926" t="s">
        <v>26228</v>
      </c>
      <c r="W926" t="s">
        <v>28347</v>
      </c>
    </row>
    <row r="927" spans="1:23" x14ac:dyDescent="0.35">
      <c r="A927">
        <v>290755</v>
      </c>
      <c r="B927" t="s">
        <v>29439</v>
      </c>
      <c r="C927" t="str">
        <f>"9781843107088"</f>
        <v>9781843107088</v>
      </c>
      <c r="D927" t="str">
        <f>"9781846423352"</f>
        <v>9781846423352</v>
      </c>
      <c r="E927" t="s">
        <v>146</v>
      </c>
      <c r="F927" t="s">
        <v>146</v>
      </c>
      <c r="G927" t="s">
        <v>22174</v>
      </c>
      <c r="H927" t="s">
        <v>26011</v>
      </c>
      <c r="I927" s="26">
        <v>37363</v>
      </c>
      <c r="J927">
        <v>2002</v>
      </c>
      <c r="K927" t="s">
        <v>146</v>
      </c>
      <c r="L927">
        <v>258</v>
      </c>
      <c r="M927" t="s">
        <v>29440</v>
      </c>
      <c r="N927">
        <v>1</v>
      </c>
      <c r="Q927" t="s">
        <v>29441</v>
      </c>
      <c r="R927">
        <v>615.85155999999995</v>
      </c>
      <c r="S927" t="s">
        <v>29442</v>
      </c>
      <c r="T927" t="s">
        <v>30</v>
      </c>
      <c r="U927" t="s">
        <v>26019</v>
      </c>
      <c r="W927" t="s">
        <v>28347</v>
      </c>
    </row>
    <row r="928" spans="1:23" x14ac:dyDescent="0.35">
      <c r="A928">
        <v>290756</v>
      </c>
      <c r="B928" t="s">
        <v>29443</v>
      </c>
      <c r="C928" t="str">
        <f>"9781843100768"</f>
        <v>9781843100768</v>
      </c>
      <c r="D928" t="str">
        <f>"9781846423369"</f>
        <v>9781846423369</v>
      </c>
      <c r="E928" t="s">
        <v>146</v>
      </c>
      <c r="F928" t="s">
        <v>146</v>
      </c>
      <c r="G928" t="s">
        <v>22174</v>
      </c>
      <c r="H928" t="s">
        <v>26011</v>
      </c>
      <c r="I928" s="26">
        <v>37371</v>
      </c>
      <c r="J928">
        <v>2002</v>
      </c>
      <c r="K928" t="s">
        <v>146</v>
      </c>
      <c r="L928">
        <v>258</v>
      </c>
      <c r="M928" t="s">
        <v>29444</v>
      </c>
      <c r="N928">
        <v>1</v>
      </c>
      <c r="Q928" t="s">
        <v>29445</v>
      </c>
      <c r="R928" t="s">
        <v>29446</v>
      </c>
      <c r="S928" t="s">
        <v>29447</v>
      </c>
      <c r="T928" t="s">
        <v>30</v>
      </c>
      <c r="U928" t="s">
        <v>26094</v>
      </c>
      <c r="W928" t="s">
        <v>28347</v>
      </c>
    </row>
    <row r="929" spans="1:23" x14ac:dyDescent="0.35">
      <c r="A929">
        <v>290760</v>
      </c>
      <c r="B929" t="s">
        <v>29448</v>
      </c>
      <c r="C929" t="str">
        <f>"9781843107323"</f>
        <v>9781843107323</v>
      </c>
      <c r="D929" t="str">
        <f>"9781846423406"</f>
        <v>9781846423406</v>
      </c>
      <c r="E929" t="s">
        <v>146</v>
      </c>
      <c r="F929" t="s">
        <v>146</v>
      </c>
      <c r="G929" t="s">
        <v>22174</v>
      </c>
      <c r="H929" t="s">
        <v>26011</v>
      </c>
      <c r="I929" s="26">
        <v>37403</v>
      </c>
      <c r="J929">
        <v>2002</v>
      </c>
      <c r="K929" t="s">
        <v>146</v>
      </c>
      <c r="L929">
        <v>178</v>
      </c>
      <c r="M929" t="s">
        <v>29449</v>
      </c>
      <c r="N929">
        <v>1</v>
      </c>
      <c r="Q929" t="s">
        <v>29450</v>
      </c>
      <c r="R929" t="s">
        <v>27855</v>
      </c>
      <c r="S929" t="s">
        <v>29451</v>
      </c>
      <c r="T929" t="s">
        <v>30</v>
      </c>
      <c r="U929" t="s">
        <v>26019</v>
      </c>
      <c r="W929" t="s">
        <v>28347</v>
      </c>
    </row>
    <row r="930" spans="1:23" x14ac:dyDescent="0.35">
      <c r="A930">
        <v>290762</v>
      </c>
      <c r="B930" t="s">
        <v>29452</v>
      </c>
      <c r="C930" t="str">
        <f>"9781843100638"</f>
        <v>9781843100638</v>
      </c>
      <c r="D930" t="str">
        <f>"9781846423420"</f>
        <v>9781846423420</v>
      </c>
      <c r="E930" t="s">
        <v>146</v>
      </c>
      <c r="F930" t="s">
        <v>146</v>
      </c>
      <c r="G930" t="s">
        <v>22174</v>
      </c>
      <c r="H930" t="s">
        <v>26011</v>
      </c>
      <c r="I930" s="26">
        <v>37422</v>
      </c>
      <c r="J930">
        <v>2002</v>
      </c>
      <c r="K930" t="s">
        <v>146</v>
      </c>
      <c r="L930">
        <v>240</v>
      </c>
      <c r="M930" t="s">
        <v>27060</v>
      </c>
      <c r="N930">
        <v>1</v>
      </c>
      <c r="Q930" t="s">
        <v>29453</v>
      </c>
      <c r="R930" t="s">
        <v>29454</v>
      </c>
      <c r="S930" t="s">
        <v>29455</v>
      </c>
      <c r="T930" t="s">
        <v>30</v>
      </c>
      <c r="U930" t="s">
        <v>26116</v>
      </c>
      <c r="W930" t="s">
        <v>28347</v>
      </c>
    </row>
    <row r="931" spans="1:23" x14ac:dyDescent="0.35">
      <c r="A931">
        <v>290763</v>
      </c>
      <c r="B931" t="s">
        <v>7626</v>
      </c>
      <c r="C931" t="str">
        <f>"9781843107019"</f>
        <v>9781843107019</v>
      </c>
      <c r="D931" t="str">
        <f>"9781846423444"</f>
        <v>9781846423444</v>
      </c>
      <c r="E931" t="s">
        <v>146</v>
      </c>
      <c r="F931" t="s">
        <v>146</v>
      </c>
      <c r="G931" t="s">
        <v>22174</v>
      </c>
      <c r="H931" t="s">
        <v>26011</v>
      </c>
      <c r="I931" s="26">
        <v>37426</v>
      </c>
      <c r="J931">
        <v>2002</v>
      </c>
      <c r="K931" t="s">
        <v>146</v>
      </c>
      <c r="L931">
        <v>290</v>
      </c>
      <c r="M931" t="s">
        <v>29456</v>
      </c>
      <c r="N931">
        <v>1</v>
      </c>
      <c r="Q931" t="s">
        <v>29457</v>
      </c>
      <c r="R931" t="s">
        <v>29458</v>
      </c>
      <c r="S931" t="s">
        <v>29459</v>
      </c>
      <c r="T931" t="s">
        <v>30</v>
      </c>
      <c r="U931" t="s">
        <v>26019</v>
      </c>
      <c r="W931" t="s">
        <v>28347</v>
      </c>
    </row>
    <row r="932" spans="1:23" x14ac:dyDescent="0.35">
      <c r="A932">
        <v>290764</v>
      </c>
      <c r="B932" t="s">
        <v>29460</v>
      </c>
      <c r="C932" t="str">
        <f>"9781843101055"</f>
        <v>9781843101055</v>
      </c>
      <c r="D932" t="str">
        <f>"9781846423451"</f>
        <v>9781846423451</v>
      </c>
      <c r="E932" t="s">
        <v>146</v>
      </c>
      <c r="F932" t="s">
        <v>146</v>
      </c>
      <c r="G932" t="s">
        <v>22174</v>
      </c>
      <c r="H932" t="s">
        <v>26011</v>
      </c>
      <c r="I932" s="26">
        <v>37426</v>
      </c>
      <c r="J932">
        <v>2002</v>
      </c>
      <c r="K932" t="s">
        <v>146</v>
      </c>
      <c r="L932">
        <v>125</v>
      </c>
      <c r="M932" t="s">
        <v>29461</v>
      </c>
      <c r="N932">
        <v>1</v>
      </c>
      <c r="Q932" t="s">
        <v>29462</v>
      </c>
      <c r="R932" t="s">
        <v>29463</v>
      </c>
      <c r="S932" t="s">
        <v>29464</v>
      </c>
      <c r="T932" t="s">
        <v>30</v>
      </c>
      <c r="U932" t="s">
        <v>26116</v>
      </c>
      <c r="W932" t="s">
        <v>28347</v>
      </c>
    </row>
    <row r="933" spans="1:23" x14ac:dyDescent="0.35">
      <c r="A933">
        <v>290766</v>
      </c>
      <c r="B933" t="s">
        <v>29465</v>
      </c>
      <c r="C933" t="str">
        <f>"9781843100669"</f>
        <v>9781843100669</v>
      </c>
      <c r="D933" t="str">
        <f>"9781846423475"</f>
        <v>9781846423475</v>
      </c>
      <c r="E933" t="s">
        <v>146</v>
      </c>
      <c r="F933" t="s">
        <v>146</v>
      </c>
      <c r="G933" t="s">
        <v>22174</v>
      </c>
      <c r="H933" t="s">
        <v>26011</v>
      </c>
      <c r="I933" s="26">
        <v>37437</v>
      </c>
      <c r="J933">
        <v>2002</v>
      </c>
      <c r="K933" t="s">
        <v>146</v>
      </c>
      <c r="L933">
        <v>114</v>
      </c>
      <c r="M933" t="s">
        <v>29466</v>
      </c>
      <c r="N933">
        <v>1</v>
      </c>
      <c r="Q933" t="s">
        <v>29467</v>
      </c>
      <c r="S933" t="s">
        <v>29468</v>
      </c>
      <c r="T933" t="s">
        <v>30</v>
      </c>
      <c r="U933" t="s">
        <v>26040</v>
      </c>
      <c r="W933" t="s">
        <v>28347</v>
      </c>
    </row>
    <row r="934" spans="1:23" x14ac:dyDescent="0.35">
      <c r="A934">
        <v>290767</v>
      </c>
      <c r="B934" t="s">
        <v>29469</v>
      </c>
      <c r="C934" t="str">
        <f>"9781843100690"</f>
        <v>9781843100690</v>
      </c>
      <c r="D934" t="str">
        <f>"9781846423482"</f>
        <v>9781846423482</v>
      </c>
      <c r="E934" t="s">
        <v>146</v>
      </c>
      <c r="F934" t="s">
        <v>146</v>
      </c>
      <c r="G934" t="s">
        <v>22174</v>
      </c>
      <c r="H934" t="s">
        <v>26011</v>
      </c>
      <c r="I934" s="26">
        <v>37442</v>
      </c>
      <c r="J934">
        <v>2002</v>
      </c>
      <c r="K934" t="s">
        <v>146</v>
      </c>
      <c r="L934">
        <v>317</v>
      </c>
      <c r="M934" t="s">
        <v>29470</v>
      </c>
      <c r="N934">
        <v>1</v>
      </c>
      <c r="O934" t="s">
        <v>29471</v>
      </c>
      <c r="Q934" t="s">
        <v>29472</v>
      </c>
      <c r="R934" t="s">
        <v>29473</v>
      </c>
      <c r="S934" t="s">
        <v>29474</v>
      </c>
      <c r="T934" t="s">
        <v>30</v>
      </c>
      <c r="U934" t="s">
        <v>26044</v>
      </c>
      <c r="W934" t="s">
        <v>28347</v>
      </c>
    </row>
    <row r="935" spans="1:23" x14ac:dyDescent="0.35">
      <c r="A935">
        <v>290769</v>
      </c>
      <c r="B935" t="s">
        <v>29475</v>
      </c>
      <c r="C935" t="str">
        <f>"9781853029233"</f>
        <v>9781853029233</v>
      </c>
      <c r="D935" t="str">
        <f>"9781846423505"</f>
        <v>9781846423505</v>
      </c>
      <c r="E935" t="s">
        <v>146</v>
      </c>
      <c r="F935" t="s">
        <v>146</v>
      </c>
      <c r="G935" t="s">
        <v>22174</v>
      </c>
      <c r="H935" t="s">
        <v>26011</v>
      </c>
      <c r="I935" s="26">
        <v>37452</v>
      </c>
      <c r="J935">
        <v>2002</v>
      </c>
      <c r="K935" t="s">
        <v>146</v>
      </c>
      <c r="L935">
        <v>306</v>
      </c>
      <c r="M935" t="s">
        <v>29476</v>
      </c>
      <c r="N935">
        <v>1</v>
      </c>
      <c r="O935" t="s">
        <v>29477</v>
      </c>
      <c r="Q935" t="s">
        <v>29478</v>
      </c>
      <c r="R935">
        <v>616.89152000000001</v>
      </c>
      <c r="S935" t="s">
        <v>29479</v>
      </c>
      <c r="T935" t="s">
        <v>30</v>
      </c>
      <c r="U935" t="s">
        <v>26019</v>
      </c>
      <c r="W935" t="s">
        <v>28347</v>
      </c>
    </row>
    <row r="936" spans="1:23" x14ac:dyDescent="0.35">
      <c r="A936">
        <v>290770</v>
      </c>
      <c r="B936" t="s">
        <v>29480</v>
      </c>
      <c r="C936" t="str">
        <f>"9781843100188"</f>
        <v>9781843100188</v>
      </c>
      <c r="D936" t="str">
        <f>"9781846423512"</f>
        <v>9781846423512</v>
      </c>
      <c r="E936" t="s">
        <v>146</v>
      </c>
      <c r="F936" t="s">
        <v>146</v>
      </c>
      <c r="G936" t="s">
        <v>22174</v>
      </c>
      <c r="H936" t="s">
        <v>26011</v>
      </c>
      <c r="I936" s="26">
        <v>37452</v>
      </c>
      <c r="J936">
        <v>2002</v>
      </c>
      <c r="K936" t="s">
        <v>146</v>
      </c>
      <c r="L936">
        <v>162</v>
      </c>
      <c r="M936" t="s">
        <v>29481</v>
      </c>
      <c r="N936">
        <v>1</v>
      </c>
      <c r="Q936" t="s">
        <v>29482</v>
      </c>
      <c r="R936">
        <v>362.7</v>
      </c>
      <c r="S936" t="s">
        <v>29483</v>
      </c>
      <c r="T936" t="s">
        <v>30</v>
      </c>
      <c r="U936" t="s">
        <v>26044</v>
      </c>
      <c r="W936" t="s">
        <v>28347</v>
      </c>
    </row>
    <row r="937" spans="1:23" x14ac:dyDescent="0.35">
      <c r="A937">
        <v>290773</v>
      </c>
      <c r="B937" t="s">
        <v>29484</v>
      </c>
      <c r="C937" t="str">
        <f>"9781843100133"</f>
        <v>9781843100133</v>
      </c>
      <c r="D937" t="str">
        <f>"9781846423550"</f>
        <v>9781846423550</v>
      </c>
      <c r="E937" t="s">
        <v>146</v>
      </c>
      <c r="F937" t="s">
        <v>146</v>
      </c>
      <c r="G937" t="s">
        <v>22174</v>
      </c>
      <c r="H937" t="s">
        <v>26011</v>
      </c>
      <c r="I937" s="26">
        <v>37452</v>
      </c>
      <c r="J937">
        <v>2002</v>
      </c>
      <c r="K937" t="s">
        <v>146</v>
      </c>
      <c r="L937">
        <v>138</v>
      </c>
      <c r="M937" t="s">
        <v>29485</v>
      </c>
      <c r="N937">
        <v>1</v>
      </c>
      <c r="R937">
        <v>362.7</v>
      </c>
      <c r="T937" t="s">
        <v>30</v>
      </c>
      <c r="U937" t="s">
        <v>26044</v>
      </c>
      <c r="W937" t="s">
        <v>28347</v>
      </c>
    </row>
    <row r="938" spans="1:23" x14ac:dyDescent="0.35">
      <c r="A938">
        <v>290775</v>
      </c>
      <c r="B938" t="s">
        <v>29486</v>
      </c>
      <c r="C938" t="str">
        <f>"9781843100515"</f>
        <v>9781843100515</v>
      </c>
      <c r="D938" t="str">
        <f>"9781846423574"</f>
        <v>9781846423574</v>
      </c>
      <c r="E938" t="s">
        <v>146</v>
      </c>
      <c r="F938" t="s">
        <v>146</v>
      </c>
      <c r="G938" t="s">
        <v>22174</v>
      </c>
      <c r="H938" t="s">
        <v>26011</v>
      </c>
      <c r="I938" s="26">
        <v>37514</v>
      </c>
      <c r="J938">
        <v>2002</v>
      </c>
      <c r="K938" t="s">
        <v>146</v>
      </c>
      <c r="L938">
        <v>338</v>
      </c>
      <c r="M938" t="s">
        <v>29253</v>
      </c>
      <c r="N938">
        <v>1</v>
      </c>
      <c r="S938" t="s">
        <v>29487</v>
      </c>
      <c r="T938" t="s">
        <v>30</v>
      </c>
      <c r="U938" t="s">
        <v>46</v>
      </c>
      <c r="W938" t="s">
        <v>28347</v>
      </c>
    </row>
    <row r="939" spans="1:23" x14ac:dyDescent="0.35">
      <c r="A939">
        <v>290777</v>
      </c>
      <c r="B939" t="s">
        <v>9201</v>
      </c>
      <c r="C939" t="str">
        <f>"9781843101093"</f>
        <v>9781843101093</v>
      </c>
      <c r="D939" t="str">
        <f>"9781846423598"</f>
        <v>9781846423598</v>
      </c>
      <c r="E939" t="s">
        <v>146</v>
      </c>
      <c r="F939" t="s">
        <v>146</v>
      </c>
      <c r="G939" t="s">
        <v>22174</v>
      </c>
      <c r="H939" t="s">
        <v>26011</v>
      </c>
      <c r="I939" s="26">
        <v>37514</v>
      </c>
      <c r="J939">
        <v>2002</v>
      </c>
      <c r="K939" t="s">
        <v>146</v>
      </c>
      <c r="L939">
        <v>290</v>
      </c>
      <c r="M939" t="s">
        <v>29488</v>
      </c>
      <c r="N939">
        <v>1</v>
      </c>
      <c r="Q939" t="s">
        <v>29489</v>
      </c>
      <c r="R939" t="s">
        <v>27122</v>
      </c>
      <c r="S939" t="s">
        <v>29490</v>
      </c>
      <c r="T939" t="s">
        <v>30</v>
      </c>
      <c r="U939" t="s">
        <v>26019</v>
      </c>
      <c r="W939" t="s">
        <v>28347</v>
      </c>
    </row>
    <row r="940" spans="1:23" x14ac:dyDescent="0.35">
      <c r="A940">
        <v>290780</v>
      </c>
      <c r="B940" t="s">
        <v>29491</v>
      </c>
      <c r="C940" t="str">
        <f>"9781843107132"</f>
        <v>9781843107132</v>
      </c>
      <c r="D940" t="str">
        <f>"9781846423628"</f>
        <v>9781846423628</v>
      </c>
      <c r="E940" t="s">
        <v>146</v>
      </c>
      <c r="F940" t="s">
        <v>146</v>
      </c>
      <c r="G940" t="s">
        <v>22174</v>
      </c>
      <c r="H940" t="s">
        <v>26011</v>
      </c>
      <c r="I940" s="26">
        <v>37544</v>
      </c>
      <c r="J940">
        <v>2002</v>
      </c>
      <c r="K940" t="s">
        <v>146</v>
      </c>
      <c r="L940">
        <v>194</v>
      </c>
      <c r="M940" t="s">
        <v>29492</v>
      </c>
      <c r="N940">
        <v>1</v>
      </c>
      <c r="R940" t="s">
        <v>29493</v>
      </c>
      <c r="T940" t="s">
        <v>30</v>
      </c>
      <c r="U940" t="s">
        <v>26040</v>
      </c>
      <c r="W940" t="s">
        <v>28347</v>
      </c>
    </row>
    <row r="941" spans="1:23" x14ac:dyDescent="0.35">
      <c r="A941">
        <v>290782</v>
      </c>
      <c r="B941" t="s">
        <v>29494</v>
      </c>
      <c r="C941" t="str">
        <f>"9781853029011"</f>
        <v>9781853029011</v>
      </c>
      <c r="D941" t="str">
        <f>"9781846423642"</f>
        <v>9781846423642</v>
      </c>
      <c r="E941" t="s">
        <v>146</v>
      </c>
      <c r="F941" t="s">
        <v>146</v>
      </c>
      <c r="G941" t="s">
        <v>22174</v>
      </c>
      <c r="H941" t="s">
        <v>26011</v>
      </c>
      <c r="I941" s="26">
        <v>37570</v>
      </c>
      <c r="J941">
        <v>2002</v>
      </c>
      <c r="K941" t="s">
        <v>146</v>
      </c>
      <c r="L941">
        <v>241</v>
      </c>
      <c r="M941" t="s">
        <v>29495</v>
      </c>
      <c r="N941">
        <v>1</v>
      </c>
      <c r="R941" t="s">
        <v>26957</v>
      </c>
      <c r="T941" t="s">
        <v>30</v>
      </c>
      <c r="U941" t="s">
        <v>26040</v>
      </c>
      <c r="W941" t="s">
        <v>28347</v>
      </c>
    </row>
    <row r="942" spans="1:23" x14ac:dyDescent="0.35">
      <c r="A942">
        <v>290783</v>
      </c>
      <c r="B942" t="s">
        <v>29496</v>
      </c>
      <c r="C942" t="str">
        <f>"9781853029264"</f>
        <v>9781853029264</v>
      </c>
      <c r="D942" t="str">
        <f>"9781846423659"</f>
        <v>9781846423659</v>
      </c>
      <c r="E942" t="s">
        <v>146</v>
      </c>
      <c r="F942" t="s">
        <v>146</v>
      </c>
      <c r="G942" t="s">
        <v>22174</v>
      </c>
      <c r="H942" t="s">
        <v>26011</v>
      </c>
      <c r="I942" s="26">
        <v>37575</v>
      </c>
      <c r="J942">
        <v>2002</v>
      </c>
      <c r="K942" t="s">
        <v>146</v>
      </c>
      <c r="L942">
        <v>274</v>
      </c>
      <c r="M942" t="s">
        <v>29497</v>
      </c>
      <c r="N942">
        <v>1</v>
      </c>
      <c r="Q942" t="s">
        <v>29498</v>
      </c>
      <c r="R942">
        <v>616.89139999999998</v>
      </c>
      <c r="S942" t="s">
        <v>29499</v>
      </c>
      <c r="T942" t="s">
        <v>30</v>
      </c>
      <c r="U942" t="s">
        <v>26116</v>
      </c>
      <c r="W942" t="s">
        <v>28347</v>
      </c>
    </row>
    <row r="943" spans="1:23" x14ac:dyDescent="0.35">
      <c r="A943">
        <v>290787</v>
      </c>
      <c r="B943" t="s">
        <v>29500</v>
      </c>
      <c r="C943" t="str">
        <f>"9781843107118"</f>
        <v>9781843107118</v>
      </c>
      <c r="D943" t="str">
        <f>"9781846423697"</f>
        <v>9781846423697</v>
      </c>
      <c r="E943" t="s">
        <v>146</v>
      </c>
      <c r="F943" t="s">
        <v>146</v>
      </c>
      <c r="G943" t="s">
        <v>22174</v>
      </c>
      <c r="H943" t="s">
        <v>26011</v>
      </c>
      <c r="I943" s="26">
        <v>37575</v>
      </c>
      <c r="J943">
        <v>2002</v>
      </c>
      <c r="K943" t="s">
        <v>146</v>
      </c>
      <c r="L943">
        <v>322</v>
      </c>
      <c r="M943" t="s">
        <v>29501</v>
      </c>
      <c r="N943">
        <v>1</v>
      </c>
      <c r="O943" t="s">
        <v>29477</v>
      </c>
      <c r="S943" t="s">
        <v>29502</v>
      </c>
      <c r="T943" t="s">
        <v>30</v>
      </c>
      <c r="U943" t="s">
        <v>46</v>
      </c>
      <c r="W943" t="s">
        <v>28347</v>
      </c>
    </row>
    <row r="944" spans="1:23" x14ac:dyDescent="0.35">
      <c r="A944">
        <v>290788</v>
      </c>
      <c r="B944" t="s">
        <v>29503</v>
      </c>
      <c r="C944" t="str">
        <f>"9781843107262"</f>
        <v>9781843107262</v>
      </c>
      <c r="D944" t="str">
        <f>"9781846423703"</f>
        <v>9781846423703</v>
      </c>
      <c r="E944" t="s">
        <v>146</v>
      </c>
      <c r="F944" t="s">
        <v>146</v>
      </c>
      <c r="G944" t="s">
        <v>22174</v>
      </c>
      <c r="H944" t="s">
        <v>26011</v>
      </c>
      <c r="I944" s="26">
        <v>37575</v>
      </c>
      <c r="J944">
        <v>2002</v>
      </c>
      <c r="K944" t="s">
        <v>146</v>
      </c>
      <c r="L944">
        <v>178</v>
      </c>
      <c r="M944" t="s">
        <v>29504</v>
      </c>
      <c r="N944">
        <v>1</v>
      </c>
      <c r="R944" t="s">
        <v>27855</v>
      </c>
      <c r="T944" t="s">
        <v>30</v>
      </c>
      <c r="U944" t="s">
        <v>26040</v>
      </c>
      <c r="W944" t="s">
        <v>28347</v>
      </c>
    </row>
    <row r="945" spans="1:23" x14ac:dyDescent="0.35">
      <c r="A945">
        <v>290789</v>
      </c>
      <c r="B945" t="s">
        <v>29505</v>
      </c>
      <c r="C945" t="str">
        <f>"9781843107415"</f>
        <v>9781843107415</v>
      </c>
      <c r="D945" t="str">
        <f>"9781846423710"</f>
        <v>9781846423710</v>
      </c>
      <c r="E945" t="s">
        <v>146</v>
      </c>
      <c r="F945" t="s">
        <v>146</v>
      </c>
      <c r="G945" t="s">
        <v>22174</v>
      </c>
      <c r="H945" t="s">
        <v>26011</v>
      </c>
      <c r="I945" s="26">
        <v>37575</v>
      </c>
      <c r="J945">
        <v>2002</v>
      </c>
      <c r="K945" t="s">
        <v>146</v>
      </c>
      <c r="L945">
        <v>203</v>
      </c>
      <c r="M945" t="s">
        <v>29506</v>
      </c>
      <c r="N945">
        <v>1</v>
      </c>
      <c r="Q945" t="s">
        <v>29507</v>
      </c>
      <c r="R945" t="s">
        <v>29458</v>
      </c>
      <c r="S945" t="s">
        <v>29508</v>
      </c>
      <c r="T945" t="s">
        <v>30</v>
      </c>
      <c r="U945" t="s">
        <v>26116</v>
      </c>
      <c r="W945" t="s">
        <v>28347</v>
      </c>
    </row>
    <row r="946" spans="1:23" x14ac:dyDescent="0.35">
      <c r="A946">
        <v>290790</v>
      </c>
      <c r="B946" t="s">
        <v>8512</v>
      </c>
      <c r="C946" t="str">
        <f>"9781853027987"</f>
        <v>9781853027987</v>
      </c>
      <c r="D946" t="str">
        <f>"9781846423727"</f>
        <v>9781846423727</v>
      </c>
      <c r="E946" t="s">
        <v>146</v>
      </c>
      <c r="F946" t="s">
        <v>146</v>
      </c>
      <c r="G946" t="s">
        <v>22174</v>
      </c>
      <c r="H946" t="s">
        <v>26011</v>
      </c>
      <c r="I946" s="26">
        <v>37575</v>
      </c>
      <c r="J946">
        <v>2002</v>
      </c>
      <c r="K946" t="s">
        <v>146</v>
      </c>
      <c r="L946">
        <v>242</v>
      </c>
      <c r="M946" t="s">
        <v>29509</v>
      </c>
      <c r="N946">
        <v>1</v>
      </c>
      <c r="R946">
        <v>615.85155999999995</v>
      </c>
      <c r="T946" t="s">
        <v>30</v>
      </c>
      <c r="U946" t="s">
        <v>26040</v>
      </c>
      <c r="W946" t="s">
        <v>28347</v>
      </c>
    </row>
    <row r="947" spans="1:23" x14ac:dyDescent="0.35">
      <c r="A947">
        <v>290793</v>
      </c>
      <c r="B947" t="s">
        <v>29510</v>
      </c>
      <c r="C947" t="str">
        <f>"9781843107378"</f>
        <v>9781843107378</v>
      </c>
      <c r="D947" t="str">
        <f>"9781846423758"</f>
        <v>9781846423758</v>
      </c>
      <c r="E947" t="s">
        <v>146</v>
      </c>
      <c r="F947" t="s">
        <v>146</v>
      </c>
      <c r="G947" t="s">
        <v>22174</v>
      </c>
      <c r="H947" t="s">
        <v>26011</v>
      </c>
      <c r="I947" s="26">
        <v>37590</v>
      </c>
      <c r="J947">
        <v>2002</v>
      </c>
      <c r="K947" t="s">
        <v>146</v>
      </c>
      <c r="L947">
        <v>250</v>
      </c>
      <c r="M947" t="s">
        <v>29511</v>
      </c>
      <c r="N947">
        <v>1</v>
      </c>
      <c r="T947" t="s">
        <v>30</v>
      </c>
      <c r="U947" t="s">
        <v>29153</v>
      </c>
      <c r="W947" t="s">
        <v>28347</v>
      </c>
    </row>
    <row r="948" spans="1:23" x14ac:dyDescent="0.35">
      <c r="A948">
        <v>290794</v>
      </c>
      <c r="B948" t="s">
        <v>29512</v>
      </c>
      <c r="C948" t="str">
        <f>"9781843107408"</f>
        <v>9781843107408</v>
      </c>
      <c r="D948" t="str">
        <f>"9781846423765"</f>
        <v>9781846423765</v>
      </c>
      <c r="E948" t="s">
        <v>146</v>
      </c>
      <c r="F948" t="s">
        <v>146</v>
      </c>
      <c r="G948" t="s">
        <v>22174</v>
      </c>
      <c r="H948" t="s">
        <v>26011</v>
      </c>
      <c r="I948" s="26">
        <v>37590</v>
      </c>
      <c r="J948">
        <v>2002</v>
      </c>
      <c r="K948" t="s">
        <v>146</v>
      </c>
      <c r="L948">
        <v>203</v>
      </c>
      <c r="M948" t="s">
        <v>29513</v>
      </c>
      <c r="N948">
        <v>1</v>
      </c>
      <c r="O948" t="s">
        <v>29242</v>
      </c>
      <c r="Q948" t="s">
        <v>29514</v>
      </c>
      <c r="R948" t="s">
        <v>29515</v>
      </c>
      <c r="S948" t="s">
        <v>29516</v>
      </c>
      <c r="T948" t="s">
        <v>30</v>
      </c>
      <c r="U948" t="s">
        <v>26116</v>
      </c>
      <c r="W948" t="s">
        <v>28347</v>
      </c>
    </row>
    <row r="949" spans="1:23" x14ac:dyDescent="0.35">
      <c r="A949">
        <v>290795</v>
      </c>
      <c r="B949" t="s">
        <v>29517</v>
      </c>
      <c r="C949" t="str">
        <f>"9781843100539"</f>
        <v>9781843100539</v>
      </c>
      <c r="D949" t="str">
        <f>"9781846423772"</f>
        <v>9781846423772</v>
      </c>
      <c r="E949" t="s">
        <v>146</v>
      </c>
      <c r="F949" t="s">
        <v>146</v>
      </c>
      <c r="G949" t="s">
        <v>22174</v>
      </c>
      <c r="H949" t="s">
        <v>26011</v>
      </c>
      <c r="I949" s="26">
        <v>37603</v>
      </c>
      <c r="J949">
        <v>2002</v>
      </c>
      <c r="K949" t="s">
        <v>146</v>
      </c>
      <c r="L949">
        <v>178</v>
      </c>
      <c r="M949" t="s">
        <v>29518</v>
      </c>
      <c r="N949">
        <v>1</v>
      </c>
      <c r="O949" t="s">
        <v>29188</v>
      </c>
      <c r="R949" t="s">
        <v>29519</v>
      </c>
      <c r="S949" t="s">
        <v>29520</v>
      </c>
      <c r="T949" t="s">
        <v>30</v>
      </c>
      <c r="U949" t="s">
        <v>26040</v>
      </c>
      <c r="W949" t="s">
        <v>28347</v>
      </c>
    </row>
    <row r="950" spans="1:23" x14ac:dyDescent="0.35">
      <c r="A950">
        <v>290796</v>
      </c>
      <c r="B950" t="s">
        <v>29521</v>
      </c>
      <c r="C950" t="str">
        <f>"9781843100881"</f>
        <v>9781843100881</v>
      </c>
      <c r="D950" t="str">
        <f>"9781846423789"</f>
        <v>9781846423789</v>
      </c>
      <c r="E950" t="s">
        <v>146</v>
      </c>
      <c r="F950" t="s">
        <v>146</v>
      </c>
      <c r="G950" t="s">
        <v>22174</v>
      </c>
      <c r="H950" t="s">
        <v>26011</v>
      </c>
      <c r="I950" s="26">
        <v>37605</v>
      </c>
      <c r="J950">
        <v>2002</v>
      </c>
      <c r="K950" t="s">
        <v>146</v>
      </c>
      <c r="L950">
        <v>223</v>
      </c>
      <c r="M950" t="s">
        <v>29522</v>
      </c>
      <c r="N950">
        <v>1</v>
      </c>
      <c r="O950" t="s">
        <v>29477</v>
      </c>
      <c r="Q950" t="s">
        <v>29523</v>
      </c>
      <c r="R950" t="s">
        <v>29524</v>
      </c>
      <c r="S950" t="s">
        <v>29525</v>
      </c>
      <c r="T950" t="s">
        <v>30</v>
      </c>
      <c r="U950" t="s">
        <v>26116</v>
      </c>
      <c r="W950" t="s">
        <v>28347</v>
      </c>
    </row>
    <row r="951" spans="1:23" x14ac:dyDescent="0.35">
      <c r="A951">
        <v>290798</v>
      </c>
      <c r="B951" t="s">
        <v>7818</v>
      </c>
      <c r="C951" t="str">
        <f>"9781843101208"</f>
        <v>9781843101208</v>
      </c>
      <c r="D951" t="str">
        <f>"9781846423802"</f>
        <v>9781846423802</v>
      </c>
      <c r="E951" t="s">
        <v>146</v>
      </c>
      <c r="F951" t="s">
        <v>146</v>
      </c>
      <c r="G951" t="s">
        <v>22174</v>
      </c>
      <c r="H951" t="s">
        <v>26011</v>
      </c>
      <c r="I951" s="26">
        <v>37636</v>
      </c>
      <c r="J951">
        <v>2003</v>
      </c>
      <c r="K951" t="s">
        <v>146</v>
      </c>
      <c r="L951">
        <v>241</v>
      </c>
      <c r="M951" t="s">
        <v>29526</v>
      </c>
      <c r="N951">
        <v>1</v>
      </c>
      <c r="S951" t="s">
        <v>29527</v>
      </c>
      <c r="T951" t="s">
        <v>30</v>
      </c>
      <c r="U951" t="s">
        <v>29259</v>
      </c>
      <c r="W951" t="s">
        <v>28347</v>
      </c>
    </row>
    <row r="952" spans="1:23" x14ac:dyDescent="0.35">
      <c r="A952">
        <v>290799</v>
      </c>
      <c r="B952" t="s">
        <v>8990</v>
      </c>
      <c r="C952" t="str">
        <f>"9781843107125"</f>
        <v>9781843107125</v>
      </c>
      <c r="D952" t="str">
        <f>"9781846423819"</f>
        <v>9781846423819</v>
      </c>
      <c r="E952" t="s">
        <v>146</v>
      </c>
      <c r="F952" t="s">
        <v>146</v>
      </c>
      <c r="G952" t="s">
        <v>22174</v>
      </c>
      <c r="H952" t="s">
        <v>26011</v>
      </c>
      <c r="I952" s="26">
        <v>37636</v>
      </c>
      <c r="J952">
        <v>2003</v>
      </c>
      <c r="K952" t="s">
        <v>146</v>
      </c>
      <c r="L952">
        <v>156</v>
      </c>
      <c r="M952" t="s">
        <v>29528</v>
      </c>
      <c r="N952">
        <v>1</v>
      </c>
      <c r="Q952" t="s">
        <v>29529</v>
      </c>
      <c r="R952" t="s">
        <v>29530</v>
      </c>
      <c r="S952" t="s">
        <v>29531</v>
      </c>
      <c r="T952" t="s">
        <v>30</v>
      </c>
      <c r="U952" t="s">
        <v>26019</v>
      </c>
      <c r="W952" t="s">
        <v>28347</v>
      </c>
    </row>
    <row r="953" spans="1:23" x14ac:dyDescent="0.35">
      <c r="A953">
        <v>290801</v>
      </c>
      <c r="B953" t="s">
        <v>29532</v>
      </c>
      <c r="C953" t="str">
        <f>"9781843107392"</f>
        <v>9781843107392</v>
      </c>
      <c r="D953" t="str">
        <f>"9781846423833"</f>
        <v>9781846423833</v>
      </c>
      <c r="E953" t="s">
        <v>146</v>
      </c>
      <c r="F953" t="s">
        <v>146</v>
      </c>
      <c r="G953" t="s">
        <v>22174</v>
      </c>
      <c r="H953" t="s">
        <v>26011</v>
      </c>
      <c r="I953" s="26">
        <v>37652</v>
      </c>
      <c r="J953">
        <v>2003</v>
      </c>
      <c r="K953" t="s">
        <v>146</v>
      </c>
      <c r="L953">
        <v>258</v>
      </c>
      <c r="M953" t="s">
        <v>29533</v>
      </c>
      <c r="N953">
        <v>1</v>
      </c>
      <c r="O953" t="s">
        <v>29477</v>
      </c>
      <c r="Q953" t="s">
        <v>29534</v>
      </c>
      <c r="R953" t="s">
        <v>29524</v>
      </c>
      <c r="S953" t="s">
        <v>29535</v>
      </c>
      <c r="T953" t="s">
        <v>30</v>
      </c>
      <c r="U953" t="s">
        <v>26019</v>
      </c>
      <c r="W953" t="s">
        <v>28347</v>
      </c>
    </row>
    <row r="954" spans="1:23" x14ac:dyDescent="0.35">
      <c r="A954">
        <v>290804</v>
      </c>
      <c r="B954" t="s">
        <v>29536</v>
      </c>
      <c r="C954" t="str">
        <f>"9781843101147"</f>
        <v>9781843101147</v>
      </c>
      <c r="D954" t="str">
        <f>"9781846423864"</f>
        <v>9781846423864</v>
      </c>
      <c r="E954" t="s">
        <v>146</v>
      </c>
      <c r="F954" t="s">
        <v>146</v>
      </c>
      <c r="G954" t="s">
        <v>22174</v>
      </c>
      <c r="H954" t="s">
        <v>26011</v>
      </c>
      <c r="I954" s="26">
        <v>37667</v>
      </c>
      <c r="J954">
        <v>2003</v>
      </c>
      <c r="K954" t="s">
        <v>146</v>
      </c>
      <c r="L954">
        <v>178</v>
      </c>
      <c r="M954" t="s">
        <v>29300</v>
      </c>
      <c r="N954">
        <v>1</v>
      </c>
      <c r="R954" t="s">
        <v>29537</v>
      </c>
      <c r="S954" t="s">
        <v>29538</v>
      </c>
      <c r="T954" t="s">
        <v>30</v>
      </c>
      <c r="U954" t="s">
        <v>26040</v>
      </c>
      <c r="W954" t="s">
        <v>28347</v>
      </c>
    </row>
    <row r="955" spans="1:23" x14ac:dyDescent="0.35">
      <c r="A955">
        <v>290805</v>
      </c>
      <c r="B955" t="s">
        <v>29539</v>
      </c>
      <c r="C955" t="str">
        <f>"9781843100218"</f>
        <v>9781843100218</v>
      </c>
      <c r="D955" t="str">
        <f>"9781846423871"</f>
        <v>9781846423871</v>
      </c>
      <c r="E955" t="s">
        <v>146</v>
      </c>
      <c r="F955" t="s">
        <v>146</v>
      </c>
      <c r="G955" t="s">
        <v>22174</v>
      </c>
      <c r="H955" t="s">
        <v>26011</v>
      </c>
      <c r="I955" s="26">
        <v>37667</v>
      </c>
      <c r="J955">
        <v>2003</v>
      </c>
      <c r="K955" t="s">
        <v>146</v>
      </c>
      <c r="L955">
        <v>338</v>
      </c>
      <c r="M955" t="s">
        <v>29540</v>
      </c>
      <c r="N955">
        <v>1</v>
      </c>
      <c r="S955" t="s">
        <v>29541</v>
      </c>
      <c r="T955" t="s">
        <v>30</v>
      </c>
      <c r="U955" t="s">
        <v>46</v>
      </c>
      <c r="W955" t="s">
        <v>28347</v>
      </c>
    </row>
    <row r="956" spans="1:23" x14ac:dyDescent="0.35">
      <c r="A956">
        <v>290810</v>
      </c>
      <c r="B956" t="s">
        <v>29542</v>
      </c>
      <c r="C956" t="str">
        <f>"9781843107422"</f>
        <v>9781843107422</v>
      </c>
      <c r="D956" t="str">
        <f>"9781846423925"</f>
        <v>9781846423925</v>
      </c>
      <c r="E956" t="s">
        <v>146</v>
      </c>
      <c r="F956" t="s">
        <v>146</v>
      </c>
      <c r="G956" t="s">
        <v>22174</v>
      </c>
      <c r="H956" t="s">
        <v>26011</v>
      </c>
      <c r="I956" s="26">
        <v>37672</v>
      </c>
      <c r="J956">
        <v>2003</v>
      </c>
      <c r="K956" t="s">
        <v>146</v>
      </c>
      <c r="L956">
        <v>338</v>
      </c>
      <c r="M956" t="s">
        <v>29543</v>
      </c>
      <c r="N956">
        <v>1</v>
      </c>
      <c r="R956" t="s">
        <v>29544</v>
      </c>
      <c r="S956" t="s">
        <v>29545</v>
      </c>
      <c r="T956" t="s">
        <v>30</v>
      </c>
      <c r="U956" t="s">
        <v>26040</v>
      </c>
      <c r="W956" t="s">
        <v>28347</v>
      </c>
    </row>
    <row r="957" spans="1:23" x14ac:dyDescent="0.35">
      <c r="A957">
        <v>290811</v>
      </c>
      <c r="B957" t="s">
        <v>7940</v>
      </c>
      <c r="C957" t="str">
        <f>"9781843101123"</f>
        <v>9781843101123</v>
      </c>
      <c r="D957" t="str">
        <f>"9781846423932"</f>
        <v>9781846423932</v>
      </c>
      <c r="E957" t="s">
        <v>146</v>
      </c>
      <c r="F957" t="s">
        <v>146</v>
      </c>
      <c r="G957" t="s">
        <v>22174</v>
      </c>
      <c r="H957" t="s">
        <v>26011</v>
      </c>
      <c r="I957" s="26">
        <v>37680</v>
      </c>
      <c r="J957">
        <v>2003</v>
      </c>
      <c r="K957" t="s">
        <v>146</v>
      </c>
      <c r="L957">
        <v>272</v>
      </c>
      <c r="M957" t="s">
        <v>29546</v>
      </c>
      <c r="N957">
        <v>1</v>
      </c>
      <c r="S957" t="s">
        <v>29547</v>
      </c>
      <c r="T957" t="s">
        <v>30</v>
      </c>
      <c r="U957" t="s">
        <v>46</v>
      </c>
      <c r="W957" t="s">
        <v>28347</v>
      </c>
    </row>
    <row r="958" spans="1:23" x14ac:dyDescent="0.35">
      <c r="A958">
        <v>290812</v>
      </c>
      <c r="B958" t="s">
        <v>7580</v>
      </c>
      <c r="C958" t="str">
        <f>"9781843101154"</f>
        <v>9781843101154</v>
      </c>
      <c r="D958" t="str">
        <f>"9781846423949"</f>
        <v>9781846423949</v>
      </c>
      <c r="E958" t="s">
        <v>146</v>
      </c>
      <c r="F958" t="s">
        <v>146</v>
      </c>
      <c r="G958" t="s">
        <v>22174</v>
      </c>
      <c r="H958" t="s">
        <v>26011</v>
      </c>
      <c r="I958" s="26">
        <v>37694</v>
      </c>
      <c r="J958">
        <v>2003</v>
      </c>
      <c r="K958" t="s">
        <v>146</v>
      </c>
      <c r="L958">
        <v>234</v>
      </c>
      <c r="M958" t="s">
        <v>29548</v>
      </c>
      <c r="N958">
        <v>1</v>
      </c>
      <c r="R958" t="s">
        <v>29537</v>
      </c>
      <c r="S958" t="s">
        <v>29549</v>
      </c>
      <c r="T958" t="s">
        <v>30</v>
      </c>
      <c r="U958" t="s">
        <v>26040</v>
      </c>
      <c r="W958" t="s">
        <v>28347</v>
      </c>
    </row>
    <row r="959" spans="1:23" x14ac:dyDescent="0.35">
      <c r="A959">
        <v>290813</v>
      </c>
      <c r="B959" t="s">
        <v>8325</v>
      </c>
      <c r="C959" t="str">
        <f>"9781843100317"</f>
        <v>9781843100317</v>
      </c>
      <c r="D959" t="str">
        <f>"9781846423963"</f>
        <v>9781846423963</v>
      </c>
      <c r="E959" t="s">
        <v>146</v>
      </c>
      <c r="F959" t="s">
        <v>146</v>
      </c>
      <c r="G959" t="s">
        <v>22174</v>
      </c>
      <c r="H959" t="s">
        <v>26011</v>
      </c>
      <c r="I959" s="26">
        <v>37695</v>
      </c>
      <c r="J959">
        <v>2003</v>
      </c>
      <c r="K959" t="s">
        <v>146</v>
      </c>
      <c r="L959">
        <v>146</v>
      </c>
      <c r="M959" t="s">
        <v>29550</v>
      </c>
      <c r="N959">
        <v>1</v>
      </c>
      <c r="O959" t="s">
        <v>29188</v>
      </c>
      <c r="S959" t="s">
        <v>29551</v>
      </c>
      <c r="T959" t="s">
        <v>30</v>
      </c>
      <c r="U959" t="s">
        <v>26019</v>
      </c>
      <c r="W959" t="s">
        <v>28347</v>
      </c>
    </row>
    <row r="960" spans="1:23" x14ac:dyDescent="0.35">
      <c r="A960">
        <v>290814</v>
      </c>
      <c r="B960" t="s">
        <v>29552</v>
      </c>
      <c r="C960" t="str">
        <f>"9781843107231"</f>
        <v>9781843107231</v>
      </c>
      <c r="D960" t="str">
        <f>"9781846423970"</f>
        <v>9781846423970</v>
      </c>
      <c r="E960" t="s">
        <v>146</v>
      </c>
      <c r="F960" t="s">
        <v>146</v>
      </c>
      <c r="G960" t="s">
        <v>22174</v>
      </c>
      <c r="H960" t="s">
        <v>26011</v>
      </c>
      <c r="I960" s="26">
        <v>37695</v>
      </c>
      <c r="J960">
        <v>2003</v>
      </c>
      <c r="K960" t="s">
        <v>146</v>
      </c>
      <c r="L960">
        <v>224</v>
      </c>
      <c r="M960" t="s">
        <v>29553</v>
      </c>
      <c r="N960">
        <v>1</v>
      </c>
      <c r="Q960" t="s">
        <v>29554</v>
      </c>
      <c r="R960" t="s">
        <v>29555</v>
      </c>
      <c r="S960" t="s">
        <v>29556</v>
      </c>
      <c r="T960" t="s">
        <v>30</v>
      </c>
      <c r="U960" t="s">
        <v>26116</v>
      </c>
      <c r="W960" t="s">
        <v>28347</v>
      </c>
    </row>
    <row r="961" spans="1:23" x14ac:dyDescent="0.35">
      <c r="A961">
        <v>290816</v>
      </c>
      <c r="B961" t="s">
        <v>29557</v>
      </c>
      <c r="C961" t="str">
        <f>"9781843107538"</f>
        <v>9781843107538</v>
      </c>
      <c r="D961" t="str">
        <f>"9781846423994"</f>
        <v>9781846423994</v>
      </c>
      <c r="E961" t="s">
        <v>146</v>
      </c>
      <c r="F961" t="s">
        <v>146</v>
      </c>
      <c r="G961" t="s">
        <v>22174</v>
      </c>
      <c r="H961" t="s">
        <v>26011</v>
      </c>
      <c r="I961" s="26">
        <v>37695</v>
      </c>
      <c r="J961">
        <v>2003</v>
      </c>
      <c r="K961" t="s">
        <v>146</v>
      </c>
      <c r="L961">
        <v>420</v>
      </c>
      <c r="M961" t="s">
        <v>29558</v>
      </c>
      <c r="N961">
        <v>1</v>
      </c>
      <c r="Q961" t="s">
        <v>29559</v>
      </c>
      <c r="R961" t="s">
        <v>29560</v>
      </c>
      <c r="S961" t="s">
        <v>29561</v>
      </c>
      <c r="T961" t="s">
        <v>30</v>
      </c>
      <c r="U961" t="s">
        <v>26019</v>
      </c>
      <c r="W961" t="s">
        <v>28347</v>
      </c>
    </row>
    <row r="962" spans="1:23" x14ac:dyDescent="0.35">
      <c r="A962">
        <v>290818</v>
      </c>
      <c r="B962" t="s">
        <v>29562</v>
      </c>
      <c r="C962" t="str">
        <f>"9781843100614"</f>
        <v>9781843100614</v>
      </c>
      <c r="D962" t="str">
        <f>"9781846424014"</f>
        <v>9781846424014</v>
      </c>
      <c r="E962" t="s">
        <v>146</v>
      </c>
      <c r="F962" t="s">
        <v>146</v>
      </c>
      <c r="G962" t="s">
        <v>22174</v>
      </c>
      <c r="H962" t="s">
        <v>26011</v>
      </c>
      <c r="I962" s="26">
        <v>37699</v>
      </c>
      <c r="J962">
        <v>2003</v>
      </c>
      <c r="K962" t="s">
        <v>146</v>
      </c>
      <c r="L962">
        <v>258</v>
      </c>
      <c r="M962" t="s">
        <v>29563</v>
      </c>
      <c r="N962">
        <v>1</v>
      </c>
      <c r="Q962" t="s">
        <v>29564</v>
      </c>
      <c r="R962" t="s">
        <v>29565</v>
      </c>
      <c r="S962" t="s">
        <v>29566</v>
      </c>
      <c r="T962" t="s">
        <v>30</v>
      </c>
      <c r="U962" t="s">
        <v>26040</v>
      </c>
      <c r="W962" t="s">
        <v>28347</v>
      </c>
    </row>
    <row r="963" spans="1:23" x14ac:dyDescent="0.35">
      <c r="A963">
        <v>290823</v>
      </c>
      <c r="B963" t="s">
        <v>29567</v>
      </c>
      <c r="C963" t="str">
        <f>"9781843107552"</f>
        <v>9781843107552</v>
      </c>
      <c r="D963" t="str">
        <f>"9781846424069"</f>
        <v>9781846424069</v>
      </c>
      <c r="E963" t="s">
        <v>146</v>
      </c>
      <c r="F963" t="s">
        <v>146</v>
      </c>
      <c r="G963" t="s">
        <v>22174</v>
      </c>
      <c r="H963" t="s">
        <v>26011</v>
      </c>
      <c r="I963" s="26">
        <v>37756</v>
      </c>
      <c r="J963">
        <v>2003</v>
      </c>
      <c r="K963" t="s">
        <v>146</v>
      </c>
      <c r="L963">
        <v>238</v>
      </c>
      <c r="M963" t="s">
        <v>29568</v>
      </c>
      <c r="N963">
        <v>1</v>
      </c>
      <c r="R963">
        <v>616.85882009199997</v>
      </c>
      <c r="T963" t="s">
        <v>30</v>
      </c>
      <c r="U963" t="s">
        <v>26040</v>
      </c>
      <c r="W963" t="s">
        <v>28347</v>
      </c>
    </row>
    <row r="964" spans="1:23" x14ac:dyDescent="0.35">
      <c r="A964">
        <v>290824</v>
      </c>
      <c r="B964" t="s">
        <v>29569</v>
      </c>
      <c r="C964" t="str">
        <f>"9781843107569"</f>
        <v>9781843107569</v>
      </c>
      <c r="D964" t="str">
        <f>"9781846424076"</f>
        <v>9781846424076</v>
      </c>
      <c r="E964" t="s">
        <v>146</v>
      </c>
      <c r="F964" t="s">
        <v>146</v>
      </c>
      <c r="G964" t="s">
        <v>22174</v>
      </c>
      <c r="H964" t="s">
        <v>26011</v>
      </c>
      <c r="I964" s="26">
        <v>37756</v>
      </c>
      <c r="J964">
        <v>2003</v>
      </c>
      <c r="K964" t="s">
        <v>146</v>
      </c>
      <c r="L964">
        <v>226</v>
      </c>
      <c r="M964" t="s">
        <v>29570</v>
      </c>
      <c r="N964">
        <v>1</v>
      </c>
      <c r="R964" t="s">
        <v>29537</v>
      </c>
      <c r="S964" t="s">
        <v>29571</v>
      </c>
      <c r="T964" t="s">
        <v>30</v>
      </c>
      <c r="U964" t="s">
        <v>26040</v>
      </c>
      <c r="W964" t="s">
        <v>28347</v>
      </c>
    </row>
    <row r="965" spans="1:23" x14ac:dyDescent="0.35">
      <c r="A965">
        <v>290825</v>
      </c>
      <c r="B965" t="s">
        <v>29572</v>
      </c>
      <c r="C965" t="str">
        <f>"9781843100935"</f>
        <v>9781843100935</v>
      </c>
      <c r="D965" t="str">
        <f>"9781846424083"</f>
        <v>9781846424083</v>
      </c>
      <c r="E965" t="s">
        <v>146</v>
      </c>
      <c r="F965" t="s">
        <v>146</v>
      </c>
      <c r="G965" t="s">
        <v>22174</v>
      </c>
      <c r="H965" t="s">
        <v>26011</v>
      </c>
      <c r="I965" s="26">
        <v>37782</v>
      </c>
      <c r="J965">
        <v>2003</v>
      </c>
      <c r="K965" t="s">
        <v>146</v>
      </c>
      <c r="L965">
        <v>242</v>
      </c>
      <c r="M965" t="s">
        <v>29573</v>
      </c>
      <c r="N965">
        <v>1</v>
      </c>
      <c r="O965" t="s">
        <v>29188</v>
      </c>
      <c r="R965" t="s">
        <v>29574</v>
      </c>
      <c r="S965" t="s">
        <v>29575</v>
      </c>
      <c r="T965" t="s">
        <v>30</v>
      </c>
      <c r="U965" t="s">
        <v>26040</v>
      </c>
      <c r="W965" t="s">
        <v>28347</v>
      </c>
    </row>
    <row r="966" spans="1:23" x14ac:dyDescent="0.35">
      <c r="A966">
        <v>290826</v>
      </c>
      <c r="B966" t="s">
        <v>29576</v>
      </c>
      <c r="C966" t="str">
        <f>"9781843101659"</f>
        <v>9781843101659</v>
      </c>
      <c r="D966" t="str">
        <f>"9781846424090"</f>
        <v>9781846424090</v>
      </c>
      <c r="E966" t="s">
        <v>146</v>
      </c>
      <c r="F966" t="s">
        <v>146</v>
      </c>
      <c r="G966" t="s">
        <v>22174</v>
      </c>
      <c r="H966" t="s">
        <v>26011</v>
      </c>
      <c r="I966" s="26">
        <v>37787</v>
      </c>
      <c r="J966">
        <v>2003</v>
      </c>
      <c r="K966" t="s">
        <v>146</v>
      </c>
      <c r="L966">
        <v>161</v>
      </c>
      <c r="M966" t="s">
        <v>29395</v>
      </c>
      <c r="N966">
        <v>1</v>
      </c>
      <c r="Q966" t="s">
        <v>29577</v>
      </c>
      <c r="R966" t="s">
        <v>29537</v>
      </c>
      <c r="S966" t="s">
        <v>29578</v>
      </c>
      <c r="T966" t="s">
        <v>30</v>
      </c>
      <c r="U966" t="s">
        <v>26019</v>
      </c>
      <c r="W966" t="s">
        <v>28347</v>
      </c>
    </row>
    <row r="967" spans="1:23" x14ac:dyDescent="0.35">
      <c r="A967">
        <v>290829</v>
      </c>
      <c r="B967" t="s">
        <v>29579</v>
      </c>
      <c r="C967" t="str">
        <f>"9781843100737"</f>
        <v>9781843100737</v>
      </c>
      <c r="D967" t="str">
        <f>"9781846424120"</f>
        <v>9781846424120</v>
      </c>
      <c r="E967" t="s">
        <v>146</v>
      </c>
      <c r="F967" t="s">
        <v>146</v>
      </c>
      <c r="G967" t="s">
        <v>22174</v>
      </c>
      <c r="H967" t="s">
        <v>26011</v>
      </c>
      <c r="I967" s="26">
        <v>37817</v>
      </c>
      <c r="J967">
        <v>2003</v>
      </c>
      <c r="K967" t="s">
        <v>146</v>
      </c>
      <c r="L967">
        <v>274</v>
      </c>
      <c r="M967" t="s">
        <v>29580</v>
      </c>
      <c r="N967">
        <v>1</v>
      </c>
      <c r="R967" t="s">
        <v>29581</v>
      </c>
      <c r="S967" t="s">
        <v>29582</v>
      </c>
      <c r="T967" t="s">
        <v>30</v>
      </c>
      <c r="U967" t="s">
        <v>26044</v>
      </c>
      <c r="W967" t="s">
        <v>28347</v>
      </c>
    </row>
    <row r="968" spans="1:23" x14ac:dyDescent="0.35">
      <c r="A968">
        <v>290830</v>
      </c>
      <c r="B968" t="s">
        <v>29583</v>
      </c>
      <c r="C968" t="str">
        <f>"9781843107545"</f>
        <v>9781843107545</v>
      </c>
      <c r="D968" t="str">
        <f>"9781846424137"</f>
        <v>9781846424137</v>
      </c>
      <c r="E968" t="s">
        <v>146</v>
      </c>
      <c r="F968" t="s">
        <v>146</v>
      </c>
      <c r="G968" t="s">
        <v>22174</v>
      </c>
      <c r="H968" t="s">
        <v>26011</v>
      </c>
      <c r="I968" s="26">
        <v>37817</v>
      </c>
      <c r="J968">
        <v>2003</v>
      </c>
      <c r="K968" t="s">
        <v>146</v>
      </c>
      <c r="L968">
        <v>178</v>
      </c>
      <c r="M968" t="s">
        <v>29584</v>
      </c>
      <c r="N968">
        <v>1</v>
      </c>
      <c r="Q968" t="s">
        <v>29585</v>
      </c>
      <c r="R968" t="s">
        <v>29586</v>
      </c>
      <c r="S968" t="s">
        <v>29587</v>
      </c>
      <c r="T968" t="s">
        <v>30</v>
      </c>
      <c r="U968" t="s">
        <v>28308</v>
      </c>
      <c r="W968" t="s">
        <v>28347</v>
      </c>
    </row>
    <row r="969" spans="1:23" x14ac:dyDescent="0.35">
      <c r="A969">
        <v>290837</v>
      </c>
      <c r="B969" t="s">
        <v>29588</v>
      </c>
      <c r="C969" t="str">
        <f>"9781843101031"</f>
        <v>9781843101031</v>
      </c>
      <c r="D969" t="str">
        <f>"9781846424199"</f>
        <v>9781846424199</v>
      </c>
      <c r="E969" t="s">
        <v>146</v>
      </c>
      <c r="F969" t="s">
        <v>146</v>
      </c>
      <c r="G969" t="s">
        <v>22174</v>
      </c>
      <c r="H969" t="s">
        <v>26011</v>
      </c>
      <c r="I969" s="26">
        <v>37848</v>
      </c>
      <c r="J969">
        <v>2003</v>
      </c>
      <c r="K969" t="s">
        <v>146</v>
      </c>
      <c r="L969">
        <v>242</v>
      </c>
      <c r="M969" t="s">
        <v>29589</v>
      </c>
      <c r="N969">
        <v>1</v>
      </c>
      <c r="R969" t="s">
        <v>29590</v>
      </c>
      <c r="S969" t="s">
        <v>29591</v>
      </c>
      <c r="T969" t="s">
        <v>30</v>
      </c>
      <c r="U969" t="s">
        <v>26044</v>
      </c>
      <c r="W969" t="s">
        <v>28347</v>
      </c>
    </row>
    <row r="970" spans="1:23" x14ac:dyDescent="0.35">
      <c r="A970">
        <v>290838</v>
      </c>
      <c r="B970" t="s">
        <v>29592</v>
      </c>
      <c r="C970" t="str">
        <f>"9781843101376"</f>
        <v>9781843101376</v>
      </c>
      <c r="D970" t="str">
        <f>"9781846424205"</f>
        <v>9781846424205</v>
      </c>
      <c r="E970" t="s">
        <v>146</v>
      </c>
      <c r="F970" t="s">
        <v>146</v>
      </c>
      <c r="G970" t="s">
        <v>22174</v>
      </c>
      <c r="H970" t="s">
        <v>26011</v>
      </c>
      <c r="I970" s="26">
        <v>37872</v>
      </c>
      <c r="J970">
        <v>2003</v>
      </c>
      <c r="K970" t="s">
        <v>146</v>
      </c>
      <c r="L970">
        <v>204</v>
      </c>
      <c r="M970" t="s">
        <v>29593</v>
      </c>
      <c r="N970">
        <v>1</v>
      </c>
      <c r="R970">
        <v>649.79999999999995</v>
      </c>
      <c r="S970" t="s">
        <v>29594</v>
      </c>
      <c r="T970" t="s">
        <v>30</v>
      </c>
      <c r="U970" t="s">
        <v>11356</v>
      </c>
      <c r="W970" t="s">
        <v>28347</v>
      </c>
    </row>
    <row r="971" spans="1:23" x14ac:dyDescent="0.35">
      <c r="A971">
        <v>290839</v>
      </c>
      <c r="B971" t="s">
        <v>29595</v>
      </c>
      <c r="C971" t="str">
        <f>"9781843101772"</f>
        <v>9781843101772</v>
      </c>
      <c r="D971" t="str">
        <f>"9781846424212"</f>
        <v>9781846424212</v>
      </c>
      <c r="E971" t="s">
        <v>146</v>
      </c>
      <c r="F971" t="s">
        <v>146</v>
      </c>
      <c r="G971" t="s">
        <v>22174</v>
      </c>
      <c r="H971" t="s">
        <v>26011</v>
      </c>
      <c r="I971" s="26">
        <v>37879</v>
      </c>
      <c r="J971">
        <v>2003</v>
      </c>
      <c r="K971" t="s">
        <v>146</v>
      </c>
      <c r="L971">
        <v>282</v>
      </c>
      <c r="M971" t="s">
        <v>29596</v>
      </c>
      <c r="N971">
        <v>1</v>
      </c>
      <c r="O971" t="s">
        <v>29188</v>
      </c>
      <c r="Q971" t="s">
        <v>29597</v>
      </c>
      <c r="R971">
        <v>364.3</v>
      </c>
      <c r="S971" t="s">
        <v>29598</v>
      </c>
      <c r="T971" t="s">
        <v>30</v>
      </c>
      <c r="U971" t="s">
        <v>26044</v>
      </c>
      <c r="W971" t="s">
        <v>28347</v>
      </c>
    </row>
    <row r="972" spans="1:23" x14ac:dyDescent="0.35">
      <c r="A972">
        <v>290841</v>
      </c>
      <c r="B972" t="s">
        <v>29599</v>
      </c>
      <c r="C972" t="str">
        <f>"9781843107514"</f>
        <v>9781843107514</v>
      </c>
      <c r="D972" t="str">
        <f>"9781846424236"</f>
        <v>9781846424236</v>
      </c>
      <c r="E972" t="s">
        <v>146</v>
      </c>
      <c r="F972" t="s">
        <v>146</v>
      </c>
      <c r="G972" t="s">
        <v>22174</v>
      </c>
      <c r="H972" t="s">
        <v>26011</v>
      </c>
      <c r="I972" s="26">
        <v>37879</v>
      </c>
      <c r="J972">
        <v>2003</v>
      </c>
      <c r="K972" t="s">
        <v>146</v>
      </c>
      <c r="L972">
        <v>188</v>
      </c>
      <c r="M972" t="s">
        <v>29600</v>
      </c>
      <c r="N972">
        <v>1</v>
      </c>
      <c r="S972" t="s">
        <v>29601</v>
      </c>
      <c r="T972" t="s">
        <v>30</v>
      </c>
      <c r="U972" t="s">
        <v>46</v>
      </c>
      <c r="W972" t="s">
        <v>28347</v>
      </c>
    </row>
    <row r="973" spans="1:23" x14ac:dyDescent="0.35">
      <c r="A973">
        <v>290842</v>
      </c>
      <c r="B973" t="s">
        <v>29602</v>
      </c>
      <c r="C973" t="str">
        <f>"9781853028571"</f>
        <v>9781853028571</v>
      </c>
      <c r="D973" t="str">
        <f>"9781846424243"</f>
        <v>9781846424243</v>
      </c>
      <c r="E973" t="s">
        <v>146</v>
      </c>
      <c r="F973" t="s">
        <v>146</v>
      </c>
      <c r="G973" t="s">
        <v>22174</v>
      </c>
      <c r="H973" t="s">
        <v>26011</v>
      </c>
      <c r="I973" s="26">
        <v>37879</v>
      </c>
      <c r="J973">
        <v>2003</v>
      </c>
      <c r="K973" t="s">
        <v>146</v>
      </c>
      <c r="L973">
        <v>338</v>
      </c>
      <c r="M973" t="s">
        <v>29603</v>
      </c>
      <c r="N973">
        <v>1</v>
      </c>
      <c r="O973" t="s">
        <v>29242</v>
      </c>
      <c r="Q973" t="s">
        <v>29604</v>
      </c>
      <c r="R973">
        <v>615.50720000000001</v>
      </c>
      <c r="S973" t="s">
        <v>29605</v>
      </c>
      <c r="T973" t="s">
        <v>30</v>
      </c>
      <c r="U973" t="s">
        <v>26019</v>
      </c>
      <c r="W973" t="s">
        <v>28347</v>
      </c>
    </row>
    <row r="974" spans="1:23" x14ac:dyDescent="0.35">
      <c r="A974">
        <v>290844</v>
      </c>
      <c r="B974" t="s">
        <v>29606</v>
      </c>
      <c r="C974" t="str">
        <f>"9781843107576"</f>
        <v>9781843107576</v>
      </c>
      <c r="D974" t="str">
        <f>"9781846424267"</f>
        <v>9781846424267</v>
      </c>
      <c r="E974" t="s">
        <v>146</v>
      </c>
      <c r="F974" t="s">
        <v>146</v>
      </c>
      <c r="G974" t="s">
        <v>22174</v>
      </c>
      <c r="H974" t="s">
        <v>26011</v>
      </c>
      <c r="I974" s="26">
        <v>37882</v>
      </c>
      <c r="J974">
        <v>2003</v>
      </c>
      <c r="K974" t="s">
        <v>146</v>
      </c>
      <c r="L974">
        <v>146</v>
      </c>
      <c r="M974" t="s">
        <v>29607</v>
      </c>
      <c r="N974">
        <v>1</v>
      </c>
      <c r="Q974" t="s">
        <v>29608</v>
      </c>
      <c r="R974">
        <v>813.54</v>
      </c>
      <c r="S974" t="s">
        <v>29609</v>
      </c>
      <c r="T974" t="s">
        <v>30</v>
      </c>
      <c r="U974" t="s">
        <v>29248</v>
      </c>
      <c r="W974" t="s">
        <v>28347</v>
      </c>
    </row>
    <row r="975" spans="1:23" x14ac:dyDescent="0.35">
      <c r="A975">
        <v>290845</v>
      </c>
      <c r="B975" t="s">
        <v>29610</v>
      </c>
      <c r="C975" t="str">
        <f>"9781843100942"</f>
        <v>9781843100942</v>
      </c>
      <c r="D975" t="str">
        <f>"9781846424274"</f>
        <v>9781846424274</v>
      </c>
      <c r="E975" t="s">
        <v>146</v>
      </c>
      <c r="F975" t="s">
        <v>146</v>
      </c>
      <c r="G975" t="s">
        <v>22174</v>
      </c>
      <c r="H975" t="s">
        <v>26011</v>
      </c>
      <c r="I975" s="26">
        <v>37882</v>
      </c>
      <c r="J975">
        <v>2003</v>
      </c>
      <c r="K975" t="s">
        <v>146</v>
      </c>
      <c r="L975">
        <v>274</v>
      </c>
      <c r="M975" t="s">
        <v>29611</v>
      </c>
      <c r="N975">
        <v>1</v>
      </c>
      <c r="O975" t="s">
        <v>29477</v>
      </c>
      <c r="Q975" t="s">
        <v>29612</v>
      </c>
      <c r="R975">
        <v>616.89152000000001</v>
      </c>
      <c r="S975" t="s">
        <v>29613</v>
      </c>
      <c r="T975" t="s">
        <v>30</v>
      </c>
      <c r="U975" t="s">
        <v>26116</v>
      </c>
      <c r="W975" t="s">
        <v>28347</v>
      </c>
    </row>
    <row r="976" spans="1:23" x14ac:dyDescent="0.35">
      <c r="A976">
        <v>290846</v>
      </c>
      <c r="B976" t="s">
        <v>29614</v>
      </c>
      <c r="C976" t="str">
        <f>"9781843101710"</f>
        <v>9781843101710</v>
      </c>
      <c r="D976" t="str">
        <f>"9781846424281"</f>
        <v>9781846424281</v>
      </c>
      <c r="E976" t="s">
        <v>146</v>
      </c>
      <c r="F976" t="s">
        <v>146</v>
      </c>
      <c r="G976" t="s">
        <v>22174</v>
      </c>
      <c r="H976" t="s">
        <v>26011</v>
      </c>
      <c r="I976" s="26">
        <v>37893</v>
      </c>
      <c r="J976">
        <v>2003</v>
      </c>
      <c r="K976" t="s">
        <v>146</v>
      </c>
      <c r="L976">
        <v>258</v>
      </c>
      <c r="M976" t="s">
        <v>29615</v>
      </c>
      <c r="N976">
        <v>1</v>
      </c>
      <c r="R976" t="s">
        <v>27485</v>
      </c>
      <c r="S976" t="s">
        <v>29616</v>
      </c>
      <c r="T976" t="s">
        <v>30</v>
      </c>
      <c r="U976" t="s">
        <v>11356</v>
      </c>
      <c r="W976" t="s">
        <v>28347</v>
      </c>
    </row>
    <row r="977" spans="1:23" x14ac:dyDescent="0.35">
      <c r="A977">
        <v>290847</v>
      </c>
      <c r="B977" t="s">
        <v>8033</v>
      </c>
      <c r="C977" t="str">
        <f>"9781843101550"</f>
        <v>9781843101550</v>
      </c>
      <c r="D977" t="str">
        <f>"9781846424298"</f>
        <v>9781846424298</v>
      </c>
      <c r="E977" t="s">
        <v>146</v>
      </c>
      <c r="F977" t="s">
        <v>146</v>
      </c>
      <c r="G977" t="s">
        <v>22174</v>
      </c>
      <c r="H977" t="s">
        <v>26011</v>
      </c>
      <c r="I977" s="26">
        <v>37909</v>
      </c>
      <c r="J977">
        <v>2003</v>
      </c>
      <c r="K977" t="s">
        <v>146</v>
      </c>
      <c r="L977">
        <v>175</v>
      </c>
      <c r="M977" t="s">
        <v>29617</v>
      </c>
      <c r="N977">
        <v>1</v>
      </c>
      <c r="R977" t="s">
        <v>29618</v>
      </c>
      <c r="T977" t="s">
        <v>30</v>
      </c>
      <c r="U977" t="s">
        <v>26040</v>
      </c>
      <c r="W977" t="s">
        <v>28347</v>
      </c>
    </row>
    <row r="978" spans="1:23" x14ac:dyDescent="0.35">
      <c r="A978">
        <v>290851</v>
      </c>
      <c r="B978" t="s">
        <v>29619</v>
      </c>
      <c r="C978" t="str">
        <f>"9781843101932"</f>
        <v>9781843101932</v>
      </c>
      <c r="D978" t="str">
        <f>"9781846424335"</f>
        <v>9781846424335</v>
      </c>
      <c r="E978" t="s">
        <v>146</v>
      </c>
      <c r="F978" t="s">
        <v>146</v>
      </c>
      <c r="G978" t="s">
        <v>22174</v>
      </c>
      <c r="H978" t="s">
        <v>26011</v>
      </c>
      <c r="I978" s="26">
        <v>37940</v>
      </c>
      <c r="J978">
        <v>2003</v>
      </c>
      <c r="K978" t="s">
        <v>146</v>
      </c>
      <c r="L978">
        <v>354</v>
      </c>
      <c r="M978" t="s">
        <v>29620</v>
      </c>
      <c r="N978">
        <v>1</v>
      </c>
      <c r="Q978" t="s">
        <v>29621</v>
      </c>
      <c r="R978">
        <v>362.7</v>
      </c>
      <c r="S978" t="s">
        <v>29622</v>
      </c>
      <c r="T978" t="s">
        <v>30</v>
      </c>
      <c r="U978" t="s">
        <v>26044</v>
      </c>
      <c r="W978" t="s">
        <v>28347</v>
      </c>
    </row>
    <row r="979" spans="1:23" x14ac:dyDescent="0.35">
      <c r="A979">
        <v>290861</v>
      </c>
      <c r="B979" t="s">
        <v>29623</v>
      </c>
      <c r="C979" t="str">
        <f>"9781843107866"</f>
        <v>9781843107866</v>
      </c>
      <c r="D979" t="str">
        <f>"9781846424465"</f>
        <v>9781846424465</v>
      </c>
      <c r="E979" t="s">
        <v>146</v>
      </c>
      <c r="F979" t="s">
        <v>146</v>
      </c>
      <c r="G979" t="s">
        <v>22174</v>
      </c>
      <c r="H979" t="s">
        <v>26011</v>
      </c>
      <c r="I979" s="26">
        <v>38657</v>
      </c>
      <c r="J979">
        <v>2005</v>
      </c>
      <c r="K979" t="s">
        <v>146</v>
      </c>
      <c r="L979">
        <v>272</v>
      </c>
      <c r="M979" t="s">
        <v>29624</v>
      </c>
      <c r="N979">
        <v>1</v>
      </c>
      <c r="Q979" t="s">
        <v>29625</v>
      </c>
      <c r="R979">
        <v>618.92858820000004</v>
      </c>
      <c r="S979" t="s">
        <v>29626</v>
      </c>
      <c r="T979" t="s">
        <v>30</v>
      </c>
      <c r="U979" t="s">
        <v>26116</v>
      </c>
      <c r="W979" t="s">
        <v>28347</v>
      </c>
    </row>
    <row r="980" spans="1:23" x14ac:dyDescent="0.35">
      <c r="A980">
        <v>290863</v>
      </c>
      <c r="B980" t="s">
        <v>29627</v>
      </c>
      <c r="C980" t="str">
        <f>"9781843108207"</f>
        <v>9781843108207</v>
      </c>
      <c r="D980" t="str">
        <f>"9781846424489"</f>
        <v>9781846424489</v>
      </c>
      <c r="E980" t="s">
        <v>146</v>
      </c>
      <c r="F980" t="s">
        <v>146</v>
      </c>
      <c r="G980" t="s">
        <v>22174</v>
      </c>
      <c r="H980" t="s">
        <v>26011</v>
      </c>
      <c r="I980" s="26">
        <v>38660</v>
      </c>
      <c r="J980">
        <v>2005</v>
      </c>
      <c r="K980" t="s">
        <v>146</v>
      </c>
      <c r="L980">
        <v>273</v>
      </c>
      <c r="M980" t="s">
        <v>29628</v>
      </c>
      <c r="N980">
        <v>1</v>
      </c>
      <c r="Q980" t="s">
        <v>29629</v>
      </c>
      <c r="R980" t="s">
        <v>29630</v>
      </c>
      <c r="S980" t="s">
        <v>29631</v>
      </c>
      <c r="T980" t="s">
        <v>30</v>
      </c>
      <c r="U980" t="s">
        <v>26116</v>
      </c>
      <c r="W980" t="s">
        <v>28347</v>
      </c>
    </row>
    <row r="981" spans="1:23" x14ac:dyDescent="0.35">
      <c r="A981">
        <v>290864</v>
      </c>
      <c r="B981" t="s">
        <v>29632</v>
      </c>
      <c r="C981" t="str">
        <f>"9781843103516"</f>
        <v>9781843103516</v>
      </c>
      <c r="D981" t="str">
        <f>"9781846424496"</f>
        <v>9781846424496</v>
      </c>
      <c r="E981" t="s">
        <v>146</v>
      </c>
      <c r="F981" t="s">
        <v>146</v>
      </c>
      <c r="G981" t="s">
        <v>22174</v>
      </c>
      <c r="H981" t="s">
        <v>26011</v>
      </c>
      <c r="I981" s="26">
        <v>38663</v>
      </c>
      <c r="J981">
        <v>2005</v>
      </c>
      <c r="K981" t="s">
        <v>146</v>
      </c>
      <c r="L981">
        <v>337</v>
      </c>
      <c r="M981" t="s">
        <v>29633</v>
      </c>
      <c r="N981">
        <v>2</v>
      </c>
      <c r="Q981" t="s">
        <v>29634</v>
      </c>
      <c r="R981">
        <v>362.29094099999998</v>
      </c>
      <c r="S981" t="s">
        <v>29635</v>
      </c>
      <c r="T981" t="s">
        <v>30</v>
      </c>
      <c r="U981" t="s">
        <v>26250</v>
      </c>
      <c r="W981" t="s">
        <v>28347</v>
      </c>
    </row>
    <row r="982" spans="1:23" x14ac:dyDescent="0.35">
      <c r="A982">
        <v>290865</v>
      </c>
      <c r="B982" t="s">
        <v>29636</v>
      </c>
      <c r="C982" t="str">
        <f>"9781843102403"</f>
        <v>9781843102403</v>
      </c>
      <c r="D982" t="str">
        <f>"9781846424502"</f>
        <v>9781846424502</v>
      </c>
      <c r="E982" t="s">
        <v>146</v>
      </c>
      <c r="F982" t="s">
        <v>146</v>
      </c>
      <c r="G982" t="s">
        <v>22174</v>
      </c>
      <c r="H982" t="s">
        <v>26011</v>
      </c>
      <c r="I982" s="26">
        <v>38671</v>
      </c>
      <c r="J982">
        <v>2005</v>
      </c>
      <c r="K982" t="s">
        <v>146</v>
      </c>
      <c r="L982">
        <v>282</v>
      </c>
      <c r="M982" t="s">
        <v>29637</v>
      </c>
      <c r="N982">
        <v>1</v>
      </c>
      <c r="Q982" t="s">
        <v>29638</v>
      </c>
      <c r="R982" t="s">
        <v>29639</v>
      </c>
      <c r="S982" t="s">
        <v>29640</v>
      </c>
      <c r="T982" t="s">
        <v>30</v>
      </c>
      <c r="U982" t="s">
        <v>26116</v>
      </c>
      <c r="W982" t="s">
        <v>28347</v>
      </c>
    </row>
    <row r="983" spans="1:23" x14ac:dyDescent="0.35">
      <c r="A983">
        <v>290867</v>
      </c>
      <c r="B983" t="s">
        <v>29641</v>
      </c>
      <c r="C983" t="str">
        <f>"9781843103882"</f>
        <v>9781843103882</v>
      </c>
      <c r="D983" t="str">
        <f>"9781846424526"</f>
        <v>9781846424526</v>
      </c>
      <c r="E983" t="s">
        <v>146</v>
      </c>
      <c r="F983" t="s">
        <v>146</v>
      </c>
      <c r="G983" t="s">
        <v>22174</v>
      </c>
      <c r="H983" t="s">
        <v>26011</v>
      </c>
      <c r="I983" s="26">
        <v>38673</v>
      </c>
      <c r="J983">
        <v>2005</v>
      </c>
      <c r="K983" t="s">
        <v>146</v>
      </c>
      <c r="L983">
        <v>226</v>
      </c>
      <c r="M983" t="s">
        <v>29642</v>
      </c>
      <c r="N983">
        <v>1</v>
      </c>
      <c r="Q983" t="s">
        <v>29643</v>
      </c>
      <c r="R983">
        <v>616.85882009219995</v>
      </c>
      <c r="S983" t="s">
        <v>29644</v>
      </c>
      <c r="T983" t="s">
        <v>30</v>
      </c>
      <c r="U983" t="s">
        <v>26116</v>
      </c>
      <c r="W983" t="s">
        <v>28347</v>
      </c>
    </row>
    <row r="984" spans="1:23" x14ac:dyDescent="0.35">
      <c r="A984">
        <v>290868</v>
      </c>
      <c r="B984" t="s">
        <v>29645</v>
      </c>
      <c r="C984" t="str">
        <f>"9781843108146"</f>
        <v>9781843108146</v>
      </c>
      <c r="D984" t="str">
        <f>"9781846424533"</f>
        <v>9781846424533</v>
      </c>
      <c r="E984" t="s">
        <v>146</v>
      </c>
      <c r="F984" t="s">
        <v>146</v>
      </c>
      <c r="G984" t="s">
        <v>22174</v>
      </c>
      <c r="H984" t="s">
        <v>26011</v>
      </c>
      <c r="I984" s="26">
        <v>38680</v>
      </c>
      <c r="J984">
        <v>2005</v>
      </c>
      <c r="K984" t="s">
        <v>146</v>
      </c>
      <c r="L984">
        <v>176</v>
      </c>
      <c r="M984" t="s">
        <v>29646</v>
      </c>
      <c r="N984">
        <v>1</v>
      </c>
      <c r="Q984" t="s">
        <v>29647</v>
      </c>
      <c r="R984" t="s">
        <v>29639</v>
      </c>
      <c r="S984" t="s">
        <v>29264</v>
      </c>
      <c r="T984" t="s">
        <v>30</v>
      </c>
      <c r="U984" t="s">
        <v>26019</v>
      </c>
      <c r="W984" t="s">
        <v>28347</v>
      </c>
    </row>
    <row r="985" spans="1:23" x14ac:dyDescent="0.35">
      <c r="A985">
        <v>290871</v>
      </c>
      <c r="B985" t="s">
        <v>29648</v>
      </c>
      <c r="C985" t="str">
        <f>"9781843102663"</f>
        <v>9781843102663</v>
      </c>
      <c r="D985" t="str">
        <f>"9781846424564"</f>
        <v>9781846424564</v>
      </c>
      <c r="E985" t="s">
        <v>146</v>
      </c>
      <c r="F985" t="s">
        <v>146</v>
      </c>
      <c r="G985" t="s">
        <v>22174</v>
      </c>
      <c r="H985" t="s">
        <v>26011</v>
      </c>
      <c r="I985" s="26">
        <v>38699</v>
      </c>
      <c r="J985">
        <v>2005</v>
      </c>
      <c r="K985" t="s">
        <v>146</v>
      </c>
      <c r="L985">
        <v>130</v>
      </c>
      <c r="M985" t="s">
        <v>29649</v>
      </c>
      <c r="N985">
        <v>1</v>
      </c>
      <c r="Q985" t="s">
        <v>29650</v>
      </c>
      <c r="T985" t="s">
        <v>30</v>
      </c>
      <c r="U985" t="s">
        <v>26019</v>
      </c>
      <c r="W985" t="s">
        <v>28347</v>
      </c>
    </row>
    <row r="986" spans="1:23" x14ac:dyDescent="0.35">
      <c r="A986">
        <v>290872</v>
      </c>
      <c r="B986" t="s">
        <v>8552</v>
      </c>
      <c r="C986" t="str">
        <f>"9781843103011"</f>
        <v>9781843103011</v>
      </c>
      <c r="D986" t="str">
        <f>"9781846424571"</f>
        <v>9781846424571</v>
      </c>
      <c r="E986" t="s">
        <v>146</v>
      </c>
      <c r="F986" t="s">
        <v>146</v>
      </c>
      <c r="G986" t="s">
        <v>22174</v>
      </c>
      <c r="H986" t="s">
        <v>26011</v>
      </c>
      <c r="I986" s="26">
        <v>38699</v>
      </c>
      <c r="J986">
        <v>2005</v>
      </c>
      <c r="K986" t="s">
        <v>146</v>
      </c>
      <c r="L986">
        <v>232</v>
      </c>
      <c r="M986" t="s">
        <v>29651</v>
      </c>
      <c r="N986">
        <v>1</v>
      </c>
      <c r="Q986" t="s">
        <v>29652</v>
      </c>
      <c r="R986" t="s">
        <v>27110</v>
      </c>
      <c r="S986" t="s">
        <v>29653</v>
      </c>
      <c r="T986" t="s">
        <v>30</v>
      </c>
      <c r="U986" t="s">
        <v>26116</v>
      </c>
      <c r="W986" t="s">
        <v>28347</v>
      </c>
    </row>
    <row r="987" spans="1:23" x14ac:dyDescent="0.35">
      <c r="A987">
        <v>290873</v>
      </c>
      <c r="B987" t="s">
        <v>29654</v>
      </c>
      <c r="C987" t="str">
        <f>"9781843108092"</f>
        <v>9781843108092</v>
      </c>
      <c r="D987" t="str">
        <f>"9781846424588"</f>
        <v>9781846424588</v>
      </c>
      <c r="E987" t="s">
        <v>146</v>
      </c>
      <c r="F987" t="s">
        <v>146</v>
      </c>
      <c r="G987" t="s">
        <v>22174</v>
      </c>
      <c r="H987" t="s">
        <v>26011</v>
      </c>
      <c r="I987" s="26">
        <v>38699</v>
      </c>
      <c r="J987">
        <v>2005</v>
      </c>
      <c r="K987" t="s">
        <v>146</v>
      </c>
      <c r="L987">
        <v>158</v>
      </c>
      <c r="M987" t="s">
        <v>29655</v>
      </c>
      <c r="N987">
        <v>1</v>
      </c>
      <c r="Q987" t="s">
        <v>29656</v>
      </c>
      <c r="S987" t="s">
        <v>29657</v>
      </c>
      <c r="T987" t="s">
        <v>30</v>
      </c>
      <c r="U987" t="s">
        <v>26019</v>
      </c>
      <c r="W987" t="s">
        <v>28347</v>
      </c>
    </row>
    <row r="988" spans="1:23" x14ac:dyDescent="0.35">
      <c r="A988">
        <v>290874</v>
      </c>
      <c r="B988" t="s">
        <v>29658</v>
      </c>
      <c r="C988" t="str">
        <f>"9781843103981"</f>
        <v>9781843103981</v>
      </c>
      <c r="D988" t="str">
        <f>"9781846424595"</f>
        <v>9781846424595</v>
      </c>
      <c r="E988" t="s">
        <v>146</v>
      </c>
      <c r="F988" t="s">
        <v>146</v>
      </c>
      <c r="G988" t="s">
        <v>22174</v>
      </c>
      <c r="H988" t="s">
        <v>26011</v>
      </c>
      <c r="I988" s="26">
        <v>38699</v>
      </c>
      <c r="J988">
        <v>2005</v>
      </c>
      <c r="K988" t="s">
        <v>146</v>
      </c>
      <c r="L988">
        <v>113</v>
      </c>
      <c r="M988" t="s">
        <v>29659</v>
      </c>
      <c r="N988">
        <v>1</v>
      </c>
      <c r="O988" t="s">
        <v>29177</v>
      </c>
      <c r="Q988" t="s">
        <v>29660</v>
      </c>
      <c r="R988" t="s">
        <v>29661</v>
      </c>
      <c r="S988" t="s">
        <v>29662</v>
      </c>
      <c r="T988" t="s">
        <v>30</v>
      </c>
      <c r="U988" t="s">
        <v>28629</v>
      </c>
      <c r="W988" t="s">
        <v>28347</v>
      </c>
    </row>
    <row r="989" spans="1:23" x14ac:dyDescent="0.35">
      <c r="A989">
        <v>290875</v>
      </c>
      <c r="B989" t="s">
        <v>29663</v>
      </c>
      <c r="C989" t="str">
        <f>"9781843103639"</f>
        <v>9781843103639</v>
      </c>
      <c r="D989" t="str">
        <f>"9781846424601"</f>
        <v>9781846424601</v>
      </c>
      <c r="E989" t="s">
        <v>146</v>
      </c>
      <c r="F989" t="s">
        <v>146</v>
      </c>
      <c r="G989" t="s">
        <v>22174</v>
      </c>
      <c r="H989" t="s">
        <v>26011</v>
      </c>
      <c r="I989" s="26">
        <v>38700</v>
      </c>
      <c r="J989">
        <v>2005</v>
      </c>
      <c r="K989" t="s">
        <v>146</v>
      </c>
      <c r="L989">
        <v>288</v>
      </c>
      <c r="M989" t="s">
        <v>29664</v>
      </c>
      <c r="N989">
        <v>1</v>
      </c>
      <c r="Q989" t="s">
        <v>29665</v>
      </c>
      <c r="R989">
        <v>616.89152300000001</v>
      </c>
      <c r="S989" t="s">
        <v>29666</v>
      </c>
      <c r="T989" t="s">
        <v>30</v>
      </c>
      <c r="U989" t="s">
        <v>26116</v>
      </c>
      <c r="W989" t="s">
        <v>28347</v>
      </c>
    </row>
    <row r="990" spans="1:23" x14ac:dyDescent="0.35">
      <c r="A990">
        <v>290876</v>
      </c>
      <c r="B990" t="s">
        <v>29667</v>
      </c>
      <c r="C990" t="str">
        <f>"9781843102816"</f>
        <v>9781843102816</v>
      </c>
      <c r="D990" t="str">
        <f>"9781846424618"</f>
        <v>9781846424618</v>
      </c>
      <c r="E990" t="s">
        <v>146</v>
      </c>
      <c r="F990" t="s">
        <v>146</v>
      </c>
      <c r="G990" t="s">
        <v>22174</v>
      </c>
      <c r="H990" t="s">
        <v>26011</v>
      </c>
      <c r="I990" s="26">
        <v>38701</v>
      </c>
      <c r="J990">
        <v>2005</v>
      </c>
      <c r="K990" t="s">
        <v>146</v>
      </c>
      <c r="L990">
        <v>394</v>
      </c>
      <c r="M990" t="s">
        <v>29253</v>
      </c>
      <c r="N990">
        <v>1</v>
      </c>
      <c r="Q990" t="s">
        <v>29668</v>
      </c>
      <c r="R990">
        <v>618.92858820000004</v>
      </c>
      <c r="S990" t="s">
        <v>29669</v>
      </c>
      <c r="T990" t="s">
        <v>30</v>
      </c>
      <c r="U990" t="s">
        <v>26019</v>
      </c>
      <c r="W990" t="s">
        <v>28347</v>
      </c>
    </row>
    <row r="991" spans="1:23" x14ac:dyDescent="0.35">
      <c r="A991">
        <v>290878</v>
      </c>
      <c r="B991" t="s">
        <v>29670</v>
      </c>
      <c r="C991" t="str">
        <f>"9781843103295"</f>
        <v>9781843103295</v>
      </c>
      <c r="D991" t="str">
        <f>"9781846424632"</f>
        <v>9781846424632</v>
      </c>
      <c r="E991" t="s">
        <v>146</v>
      </c>
      <c r="F991" t="s">
        <v>146</v>
      </c>
      <c r="G991" t="s">
        <v>22174</v>
      </c>
      <c r="H991" t="s">
        <v>26011</v>
      </c>
      <c r="I991" s="26">
        <v>38701</v>
      </c>
      <c r="J991">
        <v>2005</v>
      </c>
      <c r="K991" t="s">
        <v>146</v>
      </c>
      <c r="L991">
        <v>146</v>
      </c>
      <c r="M991" t="s">
        <v>29671</v>
      </c>
      <c r="N991">
        <v>1</v>
      </c>
      <c r="O991" t="s">
        <v>29231</v>
      </c>
      <c r="Q991" t="s">
        <v>29672</v>
      </c>
      <c r="R991" t="s">
        <v>29673</v>
      </c>
      <c r="S991" t="s">
        <v>29674</v>
      </c>
      <c r="T991" t="s">
        <v>30</v>
      </c>
      <c r="U991" t="s">
        <v>26019</v>
      </c>
      <c r="W991" t="s">
        <v>28347</v>
      </c>
    </row>
    <row r="992" spans="1:23" x14ac:dyDescent="0.35">
      <c r="A992">
        <v>290879</v>
      </c>
      <c r="B992" t="s">
        <v>29675</v>
      </c>
      <c r="C992" t="str">
        <f>"9781843103738"</f>
        <v>9781843103738</v>
      </c>
      <c r="D992" t="str">
        <f>"9781846424649"</f>
        <v>9781846424649</v>
      </c>
      <c r="E992" t="s">
        <v>146</v>
      </c>
      <c r="F992" t="s">
        <v>146</v>
      </c>
      <c r="G992" t="s">
        <v>22174</v>
      </c>
      <c r="H992" t="s">
        <v>26011</v>
      </c>
      <c r="I992" s="26">
        <v>38701</v>
      </c>
      <c r="J992">
        <v>2005</v>
      </c>
      <c r="K992" t="s">
        <v>146</v>
      </c>
      <c r="L992">
        <v>210</v>
      </c>
      <c r="M992" t="s">
        <v>29676</v>
      </c>
      <c r="N992">
        <v>1</v>
      </c>
      <c r="Q992" t="s">
        <v>29677</v>
      </c>
      <c r="R992">
        <v>615.85154</v>
      </c>
      <c r="S992" t="s">
        <v>29678</v>
      </c>
      <c r="T992" t="s">
        <v>30</v>
      </c>
      <c r="U992" t="s">
        <v>29679</v>
      </c>
      <c r="W992" t="s">
        <v>28347</v>
      </c>
    </row>
    <row r="993" spans="1:23" x14ac:dyDescent="0.35">
      <c r="A993">
        <v>290883</v>
      </c>
      <c r="B993" t="s">
        <v>8136</v>
      </c>
      <c r="C993" t="str">
        <f>"9781843102441"</f>
        <v>9781843102441</v>
      </c>
      <c r="D993" t="str">
        <f>"9781846424687"</f>
        <v>9781846424687</v>
      </c>
      <c r="E993" t="s">
        <v>146</v>
      </c>
      <c r="F993" t="s">
        <v>146</v>
      </c>
      <c r="G993" t="s">
        <v>22174</v>
      </c>
      <c r="H993" t="s">
        <v>26011</v>
      </c>
      <c r="I993" s="26">
        <v>38706</v>
      </c>
      <c r="J993">
        <v>2005</v>
      </c>
      <c r="K993" t="s">
        <v>146</v>
      </c>
      <c r="L993">
        <v>356</v>
      </c>
      <c r="M993" t="s">
        <v>29680</v>
      </c>
      <c r="N993">
        <v>1</v>
      </c>
      <c r="Q993" t="s">
        <v>29681</v>
      </c>
      <c r="R993">
        <v>305.23099999999999</v>
      </c>
      <c r="S993" t="s">
        <v>29682</v>
      </c>
      <c r="T993" t="s">
        <v>30</v>
      </c>
      <c r="U993" t="s">
        <v>26044</v>
      </c>
      <c r="W993" t="s">
        <v>28347</v>
      </c>
    </row>
    <row r="994" spans="1:23" x14ac:dyDescent="0.35">
      <c r="A994">
        <v>290884</v>
      </c>
      <c r="B994" t="s">
        <v>29683</v>
      </c>
      <c r="C994" t="str">
        <f>"9781843104162"</f>
        <v>9781843104162</v>
      </c>
      <c r="D994" t="str">
        <f>"9781846424694"</f>
        <v>9781846424694</v>
      </c>
      <c r="E994" t="s">
        <v>146</v>
      </c>
      <c r="F994" t="s">
        <v>146</v>
      </c>
      <c r="G994" t="s">
        <v>22174</v>
      </c>
      <c r="H994" t="s">
        <v>26011</v>
      </c>
      <c r="I994" s="26">
        <v>38723</v>
      </c>
      <c r="J994">
        <v>2006</v>
      </c>
      <c r="K994" t="s">
        <v>146</v>
      </c>
      <c r="L994">
        <v>194</v>
      </c>
      <c r="M994" t="s">
        <v>29684</v>
      </c>
      <c r="N994">
        <v>1</v>
      </c>
      <c r="Q994" t="s">
        <v>29685</v>
      </c>
      <c r="R994" t="s">
        <v>29686</v>
      </c>
      <c r="S994" t="s">
        <v>29687</v>
      </c>
      <c r="T994" t="s">
        <v>30</v>
      </c>
      <c r="U994" t="s">
        <v>29688</v>
      </c>
      <c r="W994" t="s">
        <v>28347</v>
      </c>
    </row>
    <row r="995" spans="1:23" x14ac:dyDescent="0.35">
      <c r="A995">
        <v>290888</v>
      </c>
      <c r="B995" t="s">
        <v>29689</v>
      </c>
      <c r="C995" t="str">
        <f>"9781843103714"</f>
        <v>9781843103714</v>
      </c>
      <c r="D995" t="str">
        <f>"9781846424731"</f>
        <v>9781846424731</v>
      </c>
      <c r="E995" t="s">
        <v>146</v>
      </c>
      <c r="F995" t="s">
        <v>146</v>
      </c>
      <c r="G995" t="s">
        <v>22174</v>
      </c>
      <c r="H995" t="s">
        <v>26011</v>
      </c>
      <c r="I995" s="26">
        <v>38736</v>
      </c>
      <c r="J995">
        <v>2006</v>
      </c>
      <c r="K995" t="s">
        <v>146</v>
      </c>
      <c r="L995">
        <v>225</v>
      </c>
      <c r="M995" t="s">
        <v>29690</v>
      </c>
      <c r="N995">
        <v>1</v>
      </c>
      <c r="Q995" t="s">
        <v>29691</v>
      </c>
      <c r="R995" t="s">
        <v>29692</v>
      </c>
      <c r="S995" t="s">
        <v>29693</v>
      </c>
      <c r="T995" t="s">
        <v>30</v>
      </c>
      <c r="U995" t="s">
        <v>11247</v>
      </c>
      <c r="W995" t="s">
        <v>28347</v>
      </c>
    </row>
    <row r="996" spans="1:23" x14ac:dyDescent="0.35">
      <c r="A996">
        <v>290890</v>
      </c>
      <c r="B996" t="s">
        <v>7950</v>
      </c>
      <c r="C996" t="str">
        <f>"9781843103455"</f>
        <v>9781843103455</v>
      </c>
      <c r="D996" t="str">
        <f>"9781846424755"</f>
        <v>9781846424755</v>
      </c>
      <c r="E996" t="s">
        <v>146</v>
      </c>
      <c r="F996" t="s">
        <v>146</v>
      </c>
      <c r="G996" t="s">
        <v>22174</v>
      </c>
      <c r="H996" t="s">
        <v>26011</v>
      </c>
      <c r="I996" s="26">
        <v>38744</v>
      </c>
      <c r="J996">
        <v>2006</v>
      </c>
      <c r="K996" t="s">
        <v>146</v>
      </c>
      <c r="L996">
        <v>226</v>
      </c>
      <c r="M996" t="s">
        <v>29694</v>
      </c>
      <c r="N996">
        <v>1</v>
      </c>
      <c r="Q996" t="s">
        <v>29695</v>
      </c>
      <c r="R996">
        <v>364.40940999999998</v>
      </c>
      <c r="S996" t="s">
        <v>29696</v>
      </c>
      <c r="T996" t="s">
        <v>30</v>
      </c>
      <c r="U996" t="s">
        <v>26044</v>
      </c>
      <c r="W996" t="s">
        <v>28347</v>
      </c>
    </row>
    <row r="997" spans="1:23" x14ac:dyDescent="0.35">
      <c r="A997">
        <v>290894</v>
      </c>
      <c r="B997" t="s">
        <v>29697</v>
      </c>
      <c r="C997" t="str">
        <f>"9781843108054"</f>
        <v>9781843108054</v>
      </c>
      <c r="D997" t="str">
        <f>"9781846424793"</f>
        <v>9781846424793</v>
      </c>
      <c r="E997" t="s">
        <v>146</v>
      </c>
      <c r="F997" t="s">
        <v>146</v>
      </c>
      <c r="G997" t="s">
        <v>22174</v>
      </c>
      <c r="H997" t="s">
        <v>26011</v>
      </c>
      <c r="I997" s="26">
        <v>38754</v>
      </c>
      <c r="J997">
        <v>2006</v>
      </c>
      <c r="K997" t="s">
        <v>146</v>
      </c>
      <c r="L997">
        <v>193</v>
      </c>
      <c r="M997" t="s">
        <v>29698</v>
      </c>
      <c r="N997">
        <v>1</v>
      </c>
      <c r="Q997" t="s">
        <v>29699</v>
      </c>
      <c r="R997">
        <v>618.39200000000005</v>
      </c>
      <c r="T997" t="s">
        <v>30</v>
      </c>
      <c r="U997" t="s">
        <v>26040</v>
      </c>
      <c r="W997" t="s">
        <v>28347</v>
      </c>
    </row>
    <row r="998" spans="1:23" x14ac:dyDescent="0.35">
      <c r="A998">
        <v>290897</v>
      </c>
      <c r="B998" t="s">
        <v>29700</v>
      </c>
      <c r="C998" t="str">
        <f>"9781843102588"</f>
        <v>9781843102588</v>
      </c>
      <c r="D998" t="str">
        <f>"9781846424823"</f>
        <v>9781846424823</v>
      </c>
      <c r="E998" t="s">
        <v>146</v>
      </c>
      <c r="F998" t="s">
        <v>146</v>
      </c>
      <c r="G998" t="s">
        <v>22174</v>
      </c>
      <c r="H998" t="s">
        <v>26011</v>
      </c>
      <c r="I998" s="26">
        <v>38756</v>
      </c>
      <c r="J998">
        <v>2006</v>
      </c>
      <c r="K998" t="s">
        <v>146</v>
      </c>
      <c r="L998">
        <v>253</v>
      </c>
      <c r="M998" t="s">
        <v>29701</v>
      </c>
      <c r="N998">
        <v>1</v>
      </c>
      <c r="Q998" t="s">
        <v>29702</v>
      </c>
      <c r="R998">
        <v>649.14499999999998</v>
      </c>
      <c r="S998" t="s">
        <v>29703</v>
      </c>
      <c r="T998" t="s">
        <v>30</v>
      </c>
      <c r="U998" t="s">
        <v>29704</v>
      </c>
      <c r="W998" t="s">
        <v>28347</v>
      </c>
    </row>
    <row r="999" spans="1:23" x14ac:dyDescent="0.35">
      <c r="A999">
        <v>290902</v>
      </c>
      <c r="B999" t="s">
        <v>29705</v>
      </c>
      <c r="C999" t="str">
        <f>"9781843103486"</f>
        <v>9781843103486</v>
      </c>
      <c r="D999" t="str">
        <f>"9781846424878"</f>
        <v>9781846424878</v>
      </c>
      <c r="E999" t="s">
        <v>146</v>
      </c>
      <c r="F999" t="s">
        <v>146</v>
      </c>
      <c r="G999" t="s">
        <v>22174</v>
      </c>
      <c r="H999" t="s">
        <v>26011</v>
      </c>
      <c r="I999" s="26">
        <v>38765</v>
      </c>
      <c r="J999">
        <v>2006</v>
      </c>
      <c r="K999" t="s">
        <v>146</v>
      </c>
      <c r="L999">
        <v>173</v>
      </c>
      <c r="M999" t="s">
        <v>29706</v>
      </c>
      <c r="N999">
        <v>1</v>
      </c>
      <c r="O999" t="s">
        <v>29242</v>
      </c>
      <c r="Q999" t="s">
        <v>29707</v>
      </c>
      <c r="R999" t="s">
        <v>29708</v>
      </c>
      <c r="S999" t="s">
        <v>29709</v>
      </c>
      <c r="T999" t="s">
        <v>30</v>
      </c>
      <c r="U999" t="s">
        <v>29710</v>
      </c>
      <c r="W999" t="s">
        <v>28347</v>
      </c>
    </row>
    <row r="1000" spans="1:23" x14ac:dyDescent="0.35">
      <c r="A1000">
        <v>290904</v>
      </c>
      <c r="B1000" t="s">
        <v>29711</v>
      </c>
      <c r="C1000" t="str">
        <f>"9781843103912"</f>
        <v>9781843103912</v>
      </c>
      <c r="D1000" t="str">
        <f>"9781846424892"</f>
        <v>9781846424892</v>
      </c>
      <c r="E1000" t="s">
        <v>146</v>
      </c>
      <c r="F1000" t="s">
        <v>146</v>
      </c>
      <c r="G1000" t="s">
        <v>22174</v>
      </c>
      <c r="H1000" t="s">
        <v>26011</v>
      </c>
      <c r="I1000" s="26">
        <v>38789</v>
      </c>
      <c r="J1000">
        <v>2006</v>
      </c>
      <c r="K1000" t="s">
        <v>146</v>
      </c>
      <c r="L1000">
        <v>128</v>
      </c>
      <c r="M1000" t="s">
        <v>29712</v>
      </c>
      <c r="N1000">
        <v>1</v>
      </c>
      <c r="Q1000" t="s">
        <v>29713</v>
      </c>
      <c r="R1000">
        <v>616.85226999999998</v>
      </c>
      <c r="S1000" t="s">
        <v>29714</v>
      </c>
      <c r="T1000" t="s">
        <v>30</v>
      </c>
      <c r="U1000" t="s">
        <v>26019</v>
      </c>
      <c r="W1000" t="s">
        <v>28347</v>
      </c>
    </row>
    <row r="1001" spans="1:23" x14ac:dyDescent="0.35">
      <c r="A1001">
        <v>290909</v>
      </c>
      <c r="B1001" t="s">
        <v>9870</v>
      </c>
      <c r="C1001" t="str">
        <f>"9781843103554"</f>
        <v>9781843103554</v>
      </c>
      <c r="D1001" t="str">
        <f>"9781846424946"</f>
        <v>9781846424946</v>
      </c>
      <c r="E1001" t="s">
        <v>146</v>
      </c>
      <c r="F1001" t="s">
        <v>146</v>
      </c>
      <c r="G1001" t="s">
        <v>22174</v>
      </c>
      <c r="H1001" t="s">
        <v>26011</v>
      </c>
      <c r="I1001" s="26">
        <v>38797</v>
      </c>
      <c r="J1001">
        <v>2006</v>
      </c>
      <c r="K1001" t="s">
        <v>146</v>
      </c>
      <c r="L1001">
        <v>161</v>
      </c>
      <c r="M1001" t="s">
        <v>29715</v>
      </c>
      <c r="N1001">
        <v>1</v>
      </c>
      <c r="Q1001" t="s">
        <v>29716</v>
      </c>
      <c r="R1001">
        <v>362.2</v>
      </c>
      <c r="S1001" t="s">
        <v>29717</v>
      </c>
      <c r="T1001" t="s">
        <v>30</v>
      </c>
      <c r="U1001" t="s">
        <v>26094</v>
      </c>
      <c r="W1001" t="s">
        <v>28347</v>
      </c>
    </row>
    <row r="1002" spans="1:23" x14ac:dyDescent="0.35">
      <c r="A1002">
        <v>290914</v>
      </c>
      <c r="B1002" t="s">
        <v>8376</v>
      </c>
      <c r="C1002" t="str">
        <f>"9781843103868"</f>
        <v>9781843103868</v>
      </c>
      <c r="D1002" t="str">
        <f>"9781846424991"</f>
        <v>9781846424991</v>
      </c>
      <c r="E1002" t="s">
        <v>146</v>
      </c>
      <c r="F1002" t="s">
        <v>146</v>
      </c>
      <c r="G1002" t="s">
        <v>22174</v>
      </c>
      <c r="H1002" t="s">
        <v>26011</v>
      </c>
      <c r="I1002" s="26">
        <v>38806</v>
      </c>
      <c r="J1002">
        <v>2006</v>
      </c>
      <c r="K1002" t="s">
        <v>146</v>
      </c>
      <c r="L1002">
        <v>224</v>
      </c>
      <c r="M1002" t="s">
        <v>29718</v>
      </c>
      <c r="N1002">
        <v>1</v>
      </c>
      <c r="Q1002" t="s">
        <v>29719</v>
      </c>
      <c r="T1002" t="s">
        <v>30</v>
      </c>
      <c r="U1002" t="s">
        <v>26019</v>
      </c>
      <c r="W1002" t="s">
        <v>28347</v>
      </c>
    </row>
    <row r="1003" spans="1:23" x14ac:dyDescent="0.35">
      <c r="A1003">
        <v>290915</v>
      </c>
      <c r="B1003" t="s">
        <v>29720</v>
      </c>
      <c r="C1003" t="str">
        <f>"9781843104117"</f>
        <v>9781843104117</v>
      </c>
      <c r="D1003" t="str">
        <f>"9781846425004"</f>
        <v>9781846425004</v>
      </c>
      <c r="E1003" t="s">
        <v>146</v>
      </c>
      <c r="F1003" t="s">
        <v>146</v>
      </c>
      <c r="G1003" t="s">
        <v>22174</v>
      </c>
      <c r="H1003" t="s">
        <v>26011</v>
      </c>
      <c r="I1003" s="26">
        <v>38807</v>
      </c>
      <c r="J1003">
        <v>2006</v>
      </c>
      <c r="K1003" t="s">
        <v>146</v>
      </c>
      <c r="L1003">
        <v>78</v>
      </c>
      <c r="M1003" t="s">
        <v>29721</v>
      </c>
      <c r="N1003">
        <v>1</v>
      </c>
      <c r="Q1003" t="s">
        <v>29722</v>
      </c>
      <c r="R1003">
        <v>616.89152300000001</v>
      </c>
      <c r="S1003" t="s">
        <v>29723</v>
      </c>
      <c r="T1003" t="s">
        <v>30</v>
      </c>
      <c r="U1003" t="s">
        <v>26019</v>
      </c>
      <c r="W1003" t="s">
        <v>28347</v>
      </c>
    </row>
    <row r="1004" spans="1:23" x14ac:dyDescent="0.35">
      <c r="A1004">
        <v>290918</v>
      </c>
      <c r="B1004" t="s">
        <v>29724</v>
      </c>
      <c r="C1004" t="str">
        <f>"9781843100577"</f>
        <v>9781843100577</v>
      </c>
      <c r="D1004" t="str">
        <f>"9781846425042"</f>
        <v>9781846425042</v>
      </c>
      <c r="E1004" t="s">
        <v>146</v>
      </c>
      <c r="F1004" t="s">
        <v>146</v>
      </c>
      <c r="G1004" t="s">
        <v>22174</v>
      </c>
      <c r="H1004" t="s">
        <v>26011</v>
      </c>
      <c r="I1004" s="26">
        <v>38813</v>
      </c>
      <c r="J1004">
        <v>2006</v>
      </c>
      <c r="K1004" t="s">
        <v>146</v>
      </c>
      <c r="L1004">
        <v>206</v>
      </c>
      <c r="M1004" t="s">
        <v>29725</v>
      </c>
      <c r="N1004">
        <v>1</v>
      </c>
      <c r="Q1004" t="s">
        <v>29726</v>
      </c>
      <c r="R1004">
        <v>616.89</v>
      </c>
      <c r="T1004" t="s">
        <v>30</v>
      </c>
      <c r="U1004" t="s">
        <v>26040</v>
      </c>
      <c r="W1004" t="s">
        <v>28347</v>
      </c>
    </row>
    <row r="1005" spans="1:23" x14ac:dyDescent="0.35">
      <c r="A1005">
        <v>290922</v>
      </c>
      <c r="B1005" t="s">
        <v>8545</v>
      </c>
      <c r="C1005" t="str">
        <f>"9781843103158"</f>
        <v>9781843103158</v>
      </c>
      <c r="D1005" t="str">
        <f>"9781846425080"</f>
        <v>9781846425080</v>
      </c>
      <c r="E1005" t="s">
        <v>146</v>
      </c>
      <c r="F1005" t="s">
        <v>146</v>
      </c>
      <c r="G1005" t="s">
        <v>22174</v>
      </c>
      <c r="H1005" t="s">
        <v>26011</v>
      </c>
      <c r="I1005" s="26">
        <v>38852</v>
      </c>
      <c r="J1005">
        <v>2006</v>
      </c>
      <c r="K1005" t="s">
        <v>146</v>
      </c>
      <c r="L1005">
        <v>227</v>
      </c>
      <c r="M1005" t="s">
        <v>29727</v>
      </c>
      <c r="N1005">
        <v>1</v>
      </c>
      <c r="O1005" t="s">
        <v>29219</v>
      </c>
      <c r="Q1005" t="s">
        <v>29728</v>
      </c>
      <c r="R1005">
        <v>616.80430000000001</v>
      </c>
      <c r="T1005" t="s">
        <v>30</v>
      </c>
      <c r="U1005" t="s">
        <v>26040</v>
      </c>
      <c r="W1005" t="s">
        <v>28347</v>
      </c>
    </row>
    <row r="1006" spans="1:23" x14ac:dyDescent="0.35">
      <c r="A1006">
        <v>290925</v>
      </c>
      <c r="B1006" t="s">
        <v>29729</v>
      </c>
      <c r="C1006" t="str">
        <f>"9781843103592"</f>
        <v>9781843103592</v>
      </c>
      <c r="D1006" t="str">
        <f>"9781846425110"</f>
        <v>9781846425110</v>
      </c>
      <c r="E1006" t="s">
        <v>146</v>
      </c>
      <c r="F1006" t="s">
        <v>146</v>
      </c>
      <c r="G1006" t="s">
        <v>22174</v>
      </c>
      <c r="H1006" t="s">
        <v>26011</v>
      </c>
      <c r="I1006" s="26">
        <v>38852</v>
      </c>
      <c r="J1006">
        <v>2006</v>
      </c>
      <c r="K1006" t="s">
        <v>146</v>
      </c>
      <c r="L1006">
        <v>226</v>
      </c>
      <c r="M1006" t="s">
        <v>29730</v>
      </c>
      <c r="N1006">
        <v>1</v>
      </c>
      <c r="Q1006" t="s">
        <v>29731</v>
      </c>
      <c r="R1006">
        <v>362.38</v>
      </c>
      <c r="S1006" t="s">
        <v>29732</v>
      </c>
      <c r="T1006" t="s">
        <v>30</v>
      </c>
      <c r="U1006" t="s">
        <v>26044</v>
      </c>
      <c r="W1006" t="s">
        <v>28347</v>
      </c>
    </row>
    <row r="1007" spans="1:23" x14ac:dyDescent="0.35">
      <c r="A1007">
        <v>290926</v>
      </c>
      <c r="B1007" t="s">
        <v>29733</v>
      </c>
      <c r="C1007" t="str">
        <f>"9781843103813"</f>
        <v>9781843103813</v>
      </c>
      <c r="D1007" t="str">
        <f>"9781846425127"</f>
        <v>9781846425127</v>
      </c>
      <c r="E1007" t="s">
        <v>146</v>
      </c>
      <c r="F1007" t="s">
        <v>146</v>
      </c>
      <c r="G1007" t="s">
        <v>22174</v>
      </c>
      <c r="H1007" t="s">
        <v>26011</v>
      </c>
      <c r="I1007" s="26">
        <v>38862</v>
      </c>
      <c r="J1007">
        <v>2006</v>
      </c>
      <c r="K1007" t="s">
        <v>146</v>
      </c>
      <c r="L1007">
        <v>354</v>
      </c>
      <c r="M1007" t="s">
        <v>29734</v>
      </c>
      <c r="N1007">
        <v>2</v>
      </c>
      <c r="Q1007" t="s">
        <v>29735</v>
      </c>
      <c r="R1007">
        <v>306.89999999999998</v>
      </c>
      <c r="S1007" t="s">
        <v>29736</v>
      </c>
      <c r="T1007" t="s">
        <v>30</v>
      </c>
      <c r="U1007" t="s">
        <v>26094</v>
      </c>
      <c r="W1007" t="s">
        <v>28347</v>
      </c>
    </row>
    <row r="1008" spans="1:23" x14ac:dyDescent="0.35">
      <c r="A1008">
        <v>290928</v>
      </c>
      <c r="B1008" t="s">
        <v>8868</v>
      </c>
      <c r="C1008" t="str">
        <f>"9781843101307"</f>
        <v>9781843101307</v>
      </c>
      <c r="D1008" t="str">
        <f>"9781846425141"</f>
        <v>9781846425141</v>
      </c>
      <c r="E1008" t="s">
        <v>146</v>
      </c>
      <c r="F1008" t="s">
        <v>146</v>
      </c>
      <c r="G1008" t="s">
        <v>22174</v>
      </c>
      <c r="H1008" t="s">
        <v>26011</v>
      </c>
      <c r="I1008" s="26">
        <v>38862</v>
      </c>
      <c r="J1008">
        <v>2006</v>
      </c>
      <c r="K1008" t="s">
        <v>146</v>
      </c>
      <c r="L1008">
        <v>223</v>
      </c>
      <c r="M1008" t="s">
        <v>29737</v>
      </c>
      <c r="N1008">
        <v>1</v>
      </c>
      <c r="Q1008" t="s">
        <v>29738</v>
      </c>
      <c r="R1008">
        <v>362.19685888999999</v>
      </c>
      <c r="S1008" t="s">
        <v>29739</v>
      </c>
      <c r="T1008" t="s">
        <v>30</v>
      </c>
      <c r="U1008" t="s">
        <v>29740</v>
      </c>
      <c r="W1008" t="s">
        <v>28347</v>
      </c>
    </row>
    <row r="1009" spans="1:23" x14ac:dyDescent="0.35">
      <c r="A1009">
        <v>290929</v>
      </c>
      <c r="B1009" t="s">
        <v>29741</v>
      </c>
      <c r="C1009" t="str">
        <f>"9781843104353"</f>
        <v>9781843104353</v>
      </c>
      <c r="D1009" t="str">
        <f>"9781846425165"</f>
        <v>9781846425165</v>
      </c>
      <c r="E1009" t="s">
        <v>146</v>
      </c>
      <c r="F1009" t="s">
        <v>146</v>
      </c>
      <c r="G1009" t="s">
        <v>22174</v>
      </c>
      <c r="H1009" t="s">
        <v>26011</v>
      </c>
      <c r="I1009" s="26">
        <v>38862</v>
      </c>
      <c r="J1009">
        <v>2006</v>
      </c>
      <c r="K1009" t="s">
        <v>146</v>
      </c>
      <c r="L1009">
        <v>90</v>
      </c>
      <c r="M1009" t="s">
        <v>29742</v>
      </c>
      <c r="N1009">
        <v>1</v>
      </c>
      <c r="Q1009" t="s">
        <v>29743</v>
      </c>
      <c r="R1009">
        <v>362.19682999999998</v>
      </c>
      <c r="T1009" t="s">
        <v>30</v>
      </c>
      <c r="U1009" t="s">
        <v>26245</v>
      </c>
      <c r="W1009" t="s">
        <v>29744</v>
      </c>
    </row>
    <row r="1010" spans="1:23" x14ac:dyDescent="0.35">
      <c r="A1010">
        <v>290931</v>
      </c>
      <c r="B1010" t="s">
        <v>29745</v>
      </c>
      <c r="C1010" t="str">
        <f>"9781843104360"</f>
        <v>9781843104360</v>
      </c>
      <c r="D1010" t="str">
        <f>"9781846425189"</f>
        <v>9781846425189</v>
      </c>
      <c r="E1010" t="s">
        <v>146</v>
      </c>
      <c r="F1010" t="s">
        <v>146</v>
      </c>
      <c r="G1010" t="s">
        <v>22174</v>
      </c>
      <c r="H1010" t="s">
        <v>26011</v>
      </c>
      <c r="I1010" s="26">
        <v>38876</v>
      </c>
      <c r="J1010">
        <v>2006</v>
      </c>
      <c r="K1010" t="s">
        <v>146</v>
      </c>
      <c r="L1010">
        <v>171</v>
      </c>
      <c r="M1010" t="s">
        <v>29746</v>
      </c>
      <c r="N1010">
        <v>1</v>
      </c>
      <c r="Q1010" t="s">
        <v>29747</v>
      </c>
      <c r="R1010" t="s">
        <v>29748</v>
      </c>
      <c r="T1010" t="s">
        <v>30</v>
      </c>
      <c r="U1010" t="s">
        <v>26170</v>
      </c>
      <c r="W1010" t="s">
        <v>28347</v>
      </c>
    </row>
    <row r="1011" spans="1:23" x14ac:dyDescent="0.35">
      <c r="A1011">
        <v>290933</v>
      </c>
      <c r="B1011" t="s">
        <v>29749</v>
      </c>
      <c r="C1011" t="str">
        <f>"9781843103660"</f>
        <v>9781843103660</v>
      </c>
      <c r="D1011" t="str">
        <f>"9781846425202"</f>
        <v>9781846425202</v>
      </c>
      <c r="E1011" t="s">
        <v>146</v>
      </c>
      <c r="F1011" t="s">
        <v>146</v>
      </c>
      <c r="G1011" t="s">
        <v>22174</v>
      </c>
      <c r="H1011" t="s">
        <v>26011</v>
      </c>
      <c r="I1011" s="26">
        <v>38883</v>
      </c>
      <c r="J1011">
        <v>2006</v>
      </c>
      <c r="K1011" t="s">
        <v>146</v>
      </c>
      <c r="L1011">
        <v>273</v>
      </c>
      <c r="M1011" t="s">
        <v>29750</v>
      </c>
      <c r="N1011">
        <v>1</v>
      </c>
      <c r="Q1011" t="s">
        <v>29751</v>
      </c>
      <c r="R1011" t="s">
        <v>29752</v>
      </c>
      <c r="T1011" t="s">
        <v>30</v>
      </c>
      <c r="U1011" t="s">
        <v>26040</v>
      </c>
      <c r="W1011" t="s">
        <v>28347</v>
      </c>
    </row>
    <row r="1012" spans="1:23" x14ac:dyDescent="0.35">
      <c r="A1012">
        <v>290935</v>
      </c>
      <c r="B1012" t="s">
        <v>29753</v>
      </c>
      <c r="C1012" t="str">
        <f>"9781843104476"</f>
        <v>9781843104476</v>
      </c>
      <c r="D1012" t="str">
        <f>"9781846425226"</f>
        <v>9781846425226</v>
      </c>
      <c r="E1012" t="s">
        <v>146</v>
      </c>
      <c r="F1012" t="s">
        <v>146</v>
      </c>
      <c r="G1012" t="s">
        <v>22174</v>
      </c>
      <c r="H1012" t="s">
        <v>26011</v>
      </c>
      <c r="I1012" s="26">
        <v>38883</v>
      </c>
      <c r="J1012">
        <v>2006</v>
      </c>
      <c r="K1012" t="s">
        <v>146</v>
      </c>
      <c r="L1012">
        <v>140</v>
      </c>
      <c r="M1012" t="s">
        <v>29754</v>
      </c>
      <c r="N1012">
        <v>1</v>
      </c>
      <c r="Q1012" t="s">
        <v>29755</v>
      </c>
      <c r="R1012" t="s">
        <v>29756</v>
      </c>
      <c r="S1012" t="s">
        <v>29757</v>
      </c>
      <c r="T1012" t="s">
        <v>30</v>
      </c>
      <c r="U1012" t="s">
        <v>26044</v>
      </c>
      <c r="W1012" t="s">
        <v>28347</v>
      </c>
    </row>
    <row r="1013" spans="1:23" x14ac:dyDescent="0.35">
      <c r="A1013">
        <v>290937</v>
      </c>
      <c r="B1013" t="s">
        <v>29758</v>
      </c>
      <c r="C1013" t="str">
        <f>"9781843104278"</f>
        <v>9781843104278</v>
      </c>
      <c r="D1013" t="str">
        <f>"9781846425240"</f>
        <v>9781846425240</v>
      </c>
      <c r="E1013" t="s">
        <v>146</v>
      </c>
      <c r="F1013" t="s">
        <v>146</v>
      </c>
      <c r="G1013" t="s">
        <v>22174</v>
      </c>
      <c r="H1013" t="s">
        <v>26011</v>
      </c>
      <c r="I1013" s="26">
        <v>38883</v>
      </c>
      <c r="J1013">
        <v>2006</v>
      </c>
      <c r="K1013" t="s">
        <v>146</v>
      </c>
      <c r="L1013">
        <v>177</v>
      </c>
      <c r="M1013" t="s">
        <v>29300</v>
      </c>
      <c r="N1013">
        <v>1</v>
      </c>
      <c r="Q1013" t="s">
        <v>29759</v>
      </c>
      <c r="R1013">
        <v>616.85883200000001</v>
      </c>
      <c r="S1013" t="s">
        <v>29760</v>
      </c>
      <c r="T1013" t="s">
        <v>30</v>
      </c>
      <c r="U1013" t="s">
        <v>26116</v>
      </c>
      <c r="W1013" t="s">
        <v>28347</v>
      </c>
    </row>
    <row r="1014" spans="1:23" x14ac:dyDescent="0.35">
      <c r="A1014">
        <v>290942</v>
      </c>
      <c r="B1014" t="s">
        <v>29761</v>
      </c>
      <c r="C1014" t="str">
        <f>"9781843102304"</f>
        <v>9781843102304</v>
      </c>
      <c r="D1014" t="str">
        <f>"9781846425295"</f>
        <v>9781846425295</v>
      </c>
      <c r="E1014" t="s">
        <v>146</v>
      </c>
      <c r="F1014" t="s">
        <v>146</v>
      </c>
      <c r="G1014" t="s">
        <v>22174</v>
      </c>
      <c r="H1014" t="s">
        <v>26011</v>
      </c>
      <c r="I1014" s="26">
        <v>38883</v>
      </c>
      <c r="J1014">
        <v>2006</v>
      </c>
      <c r="K1014" t="s">
        <v>146</v>
      </c>
      <c r="L1014">
        <v>266</v>
      </c>
      <c r="M1014" t="s">
        <v>29762</v>
      </c>
      <c r="N1014">
        <v>1</v>
      </c>
      <c r="Q1014" t="s">
        <v>29763</v>
      </c>
      <c r="R1014">
        <v>616.85820083500005</v>
      </c>
      <c r="T1014" t="s">
        <v>30</v>
      </c>
      <c r="U1014" t="s">
        <v>26019</v>
      </c>
      <c r="W1014" t="s">
        <v>28347</v>
      </c>
    </row>
    <row r="1015" spans="1:23" x14ac:dyDescent="0.35">
      <c r="A1015">
        <v>290950</v>
      </c>
      <c r="B1015" t="s">
        <v>29764</v>
      </c>
      <c r="C1015" t="str">
        <f>"9781843104599"</f>
        <v>9781843104599</v>
      </c>
      <c r="D1015" t="str">
        <f>"9781846425370"</f>
        <v>9781846425370</v>
      </c>
      <c r="E1015" t="s">
        <v>146</v>
      </c>
      <c r="F1015" t="s">
        <v>146</v>
      </c>
      <c r="G1015" t="s">
        <v>22174</v>
      </c>
      <c r="H1015" t="s">
        <v>26011</v>
      </c>
      <c r="I1015" s="26">
        <v>38913</v>
      </c>
      <c r="J1015">
        <v>2006</v>
      </c>
      <c r="K1015" t="s">
        <v>146</v>
      </c>
      <c r="L1015">
        <v>250</v>
      </c>
      <c r="M1015" t="s">
        <v>29765</v>
      </c>
      <c r="N1015">
        <v>1</v>
      </c>
      <c r="Q1015" t="s">
        <v>29766</v>
      </c>
      <c r="R1015" t="s">
        <v>29454</v>
      </c>
      <c r="T1015" t="s">
        <v>30</v>
      </c>
      <c r="U1015" t="s">
        <v>26116</v>
      </c>
      <c r="W1015" t="s">
        <v>28347</v>
      </c>
    </row>
    <row r="1016" spans="1:23" x14ac:dyDescent="0.35">
      <c r="A1016">
        <v>290951</v>
      </c>
      <c r="B1016" t="s">
        <v>10270</v>
      </c>
      <c r="C1016" t="str">
        <f>"9781843104667"</f>
        <v>9781843104667</v>
      </c>
      <c r="D1016" t="str">
        <f>"9781846425387"</f>
        <v>9781846425387</v>
      </c>
      <c r="E1016" t="s">
        <v>146</v>
      </c>
      <c r="F1016" t="s">
        <v>146</v>
      </c>
      <c r="G1016" t="s">
        <v>22174</v>
      </c>
      <c r="H1016" t="s">
        <v>26011</v>
      </c>
      <c r="I1016" s="26">
        <v>38913</v>
      </c>
      <c r="J1016">
        <v>2006</v>
      </c>
      <c r="K1016" t="s">
        <v>146</v>
      </c>
      <c r="L1016">
        <v>154</v>
      </c>
      <c r="M1016" t="s">
        <v>29767</v>
      </c>
      <c r="N1016">
        <v>1</v>
      </c>
      <c r="Q1016" t="s">
        <v>29768</v>
      </c>
      <c r="R1016">
        <v>155.51247000000001</v>
      </c>
      <c r="T1016" t="s">
        <v>30</v>
      </c>
      <c r="U1016" t="s">
        <v>46</v>
      </c>
      <c r="W1016" t="s">
        <v>28347</v>
      </c>
    </row>
    <row r="1017" spans="1:23" x14ac:dyDescent="0.35">
      <c r="A1017">
        <v>290953</v>
      </c>
      <c r="B1017" t="s">
        <v>10133</v>
      </c>
      <c r="C1017" t="str">
        <f>"9781843104674"</f>
        <v>9781843104674</v>
      </c>
      <c r="D1017" t="str">
        <f>"9781846425400"</f>
        <v>9781846425400</v>
      </c>
      <c r="E1017" t="s">
        <v>146</v>
      </c>
      <c r="F1017" t="s">
        <v>146</v>
      </c>
      <c r="G1017" t="s">
        <v>22174</v>
      </c>
      <c r="H1017" t="s">
        <v>26011</v>
      </c>
      <c r="I1017" s="26">
        <v>38913</v>
      </c>
      <c r="J1017">
        <v>2006</v>
      </c>
      <c r="K1017" t="s">
        <v>146</v>
      </c>
      <c r="L1017">
        <v>81</v>
      </c>
      <c r="M1017" t="s">
        <v>29769</v>
      </c>
      <c r="N1017">
        <v>1</v>
      </c>
      <c r="O1017" t="s">
        <v>29180</v>
      </c>
      <c r="Q1017" t="s">
        <v>29770</v>
      </c>
      <c r="T1017" t="s">
        <v>30</v>
      </c>
      <c r="U1017" t="s">
        <v>26044</v>
      </c>
      <c r="W1017" t="s">
        <v>28347</v>
      </c>
    </row>
    <row r="1018" spans="1:23" x14ac:dyDescent="0.35">
      <c r="A1018">
        <v>290956</v>
      </c>
      <c r="B1018" t="s">
        <v>29771</v>
      </c>
      <c r="C1018" t="str">
        <f>"9781843108221"</f>
        <v>9781843108221</v>
      </c>
      <c r="D1018" t="str">
        <f>"9781846425431"</f>
        <v>9781846425431</v>
      </c>
      <c r="E1018" t="s">
        <v>146</v>
      </c>
      <c r="F1018" t="s">
        <v>146</v>
      </c>
      <c r="G1018" t="s">
        <v>22174</v>
      </c>
      <c r="H1018" t="s">
        <v>26011</v>
      </c>
      <c r="I1018" s="26">
        <v>38913</v>
      </c>
      <c r="J1018">
        <v>2006</v>
      </c>
      <c r="K1018" t="s">
        <v>146</v>
      </c>
      <c r="L1018">
        <v>194</v>
      </c>
      <c r="M1018" t="s">
        <v>29772</v>
      </c>
      <c r="N1018">
        <v>1</v>
      </c>
      <c r="Q1018" t="s">
        <v>29773</v>
      </c>
      <c r="R1018" t="s">
        <v>29774</v>
      </c>
      <c r="T1018" t="s">
        <v>30</v>
      </c>
      <c r="U1018" t="s">
        <v>26116</v>
      </c>
      <c r="W1018" t="s">
        <v>28347</v>
      </c>
    </row>
    <row r="1019" spans="1:23" x14ac:dyDescent="0.35">
      <c r="A1019">
        <v>290958</v>
      </c>
      <c r="B1019" t="s">
        <v>29775</v>
      </c>
      <c r="C1019" t="str">
        <f>"9781843103844"</f>
        <v>9781843103844</v>
      </c>
      <c r="D1019" t="str">
        <f>"9781846425455"</f>
        <v>9781846425455</v>
      </c>
      <c r="E1019" t="s">
        <v>146</v>
      </c>
      <c r="F1019" t="s">
        <v>146</v>
      </c>
      <c r="G1019" t="s">
        <v>22174</v>
      </c>
      <c r="H1019" t="s">
        <v>26011</v>
      </c>
      <c r="I1019" s="26">
        <v>38944</v>
      </c>
      <c r="J1019">
        <v>2006</v>
      </c>
      <c r="K1019" t="s">
        <v>146</v>
      </c>
      <c r="L1019">
        <v>256</v>
      </c>
      <c r="M1019" t="s">
        <v>29776</v>
      </c>
      <c r="N1019">
        <v>1</v>
      </c>
      <c r="Q1019" t="s">
        <v>29777</v>
      </c>
      <c r="R1019">
        <v>364.36</v>
      </c>
      <c r="S1019" t="s">
        <v>29778</v>
      </c>
      <c r="T1019" t="s">
        <v>30</v>
      </c>
      <c r="U1019" t="s">
        <v>26044</v>
      </c>
      <c r="W1019" t="s">
        <v>28347</v>
      </c>
    </row>
    <row r="1020" spans="1:23" x14ac:dyDescent="0.35">
      <c r="A1020">
        <v>290959</v>
      </c>
      <c r="B1020" t="s">
        <v>29779</v>
      </c>
      <c r="C1020" t="str">
        <f>"9781843102458"</f>
        <v>9781843102458</v>
      </c>
      <c r="D1020" t="str">
        <f>"9781846425462"</f>
        <v>9781846425462</v>
      </c>
      <c r="E1020" t="s">
        <v>146</v>
      </c>
      <c r="F1020" t="s">
        <v>146</v>
      </c>
      <c r="G1020" t="s">
        <v>22174</v>
      </c>
      <c r="H1020" t="s">
        <v>26011</v>
      </c>
      <c r="I1020" s="26">
        <v>38944</v>
      </c>
      <c r="J1020">
        <v>2006</v>
      </c>
      <c r="K1020" t="s">
        <v>146</v>
      </c>
      <c r="L1020">
        <v>290</v>
      </c>
      <c r="M1020" t="s">
        <v>29780</v>
      </c>
      <c r="N1020">
        <v>1</v>
      </c>
      <c r="O1020" t="s">
        <v>29177</v>
      </c>
      <c r="Q1020" t="s">
        <v>29781</v>
      </c>
      <c r="R1020">
        <v>618.92858799999999</v>
      </c>
      <c r="S1020" t="s">
        <v>29782</v>
      </c>
      <c r="T1020" t="s">
        <v>30</v>
      </c>
      <c r="U1020" t="s">
        <v>26019</v>
      </c>
      <c r="W1020" t="s">
        <v>28347</v>
      </c>
    </row>
    <row r="1021" spans="1:23" x14ac:dyDescent="0.35">
      <c r="A1021">
        <v>290961</v>
      </c>
      <c r="B1021" t="s">
        <v>29783</v>
      </c>
      <c r="C1021" t="str">
        <f>"9781843104445"</f>
        <v>9781843104445</v>
      </c>
      <c r="D1021" t="str">
        <f>"9781846425486"</f>
        <v>9781846425486</v>
      </c>
      <c r="E1021" t="s">
        <v>146</v>
      </c>
      <c r="F1021" t="s">
        <v>146</v>
      </c>
      <c r="G1021" t="s">
        <v>22174</v>
      </c>
      <c r="H1021" t="s">
        <v>26011</v>
      </c>
      <c r="I1021" s="26">
        <v>38944</v>
      </c>
      <c r="J1021">
        <v>2006</v>
      </c>
      <c r="K1021" t="s">
        <v>146</v>
      </c>
      <c r="L1021">
        <v>226</v>
      </c>
      <c r="M1021" t="s">
        <v>29784</v>
      </c>
      <c r="N1021">
        <v>1</v>
      </c>
      <c r="Q1021" t="s">
        <v>29785</v>
      </c>
      <c r="T1021" t="s">
        <v>30</v>
      </c>
      <c r="U1021" t="s">
        <v>27699</v>
      </c>
      <c r="W1021" t="s">
        <v>28347</v>
      </c>
    </row>
    <row r="1022" spans="1:23" x14ac:dyDescent="0.35">
      <c r="A1022">
        <v>290962</v>
      </c>
      <c r="B1022" t="s">
        <v>29786</v>
      </c>
      <c r="C1022" t="str">
        <f>"9781843104681"</f>
        <v>9781843104681</v>
      </c>
      <c r="D1022" t="str">
        <f>"9781846425493"</f>
        <v>9781846425493</v>
      </c>
      <c r="E1022" t="s">
        <v>146</v>
      </c>
      <c r="F1022" t="s">
        <v>146</v>
      </c>
      <c r="G1022" t="s">
        <v>22174</v>
      </c>
      <c r="H1022" t="s">
        <v>26011</v>
      </c>
      <c r="I1022" s="26">
        <v>38944</v>
      </c>
      <c r="J1022">
        <v>2006</v>
      </c>
      <c r="K1022" t="s">
        <v>146</v>
      </c>
      <c r="L1022">
        <v>257</v>
      </c>
      <c r="M1022" t="s">
        <v>29787</v>
      </c>
      <c r="N1022">
        <v>1</v>
      </c>
      <c r="O1022" t="s">
        <v>29788</v>
      </c>
      <c r="R1022" t="s">
        <v>29789</v>
      </c>
      <c r="T1022" t="s">
        <v>30</v>
      </c>
      <c r="U1022" t="s">
        <v>26040</v>
      </c>
      <c r="W1022" t="s">
        <v>28347</v>
      </c>
    </row>
    <row r="1023" spans="1:23" x14ac:dyDescent="0.35">
      <c r="A1023">
        <v>290963</v>
      </c>
      <c r="B1023" t="s">
        <v>29790</v>
      </c>
      <c r="C1023" t="str">
        <f>"9781843107439"</f>
        <v>9781843107439</v>
      </c>
      <c r="D1023" t="str">
        <f>"9781846426131"</f>
        <v>9781846426131</v>
      </c>
      <c r="E1023" t="s">
        <v>146</v>
      </c>
      <c r="F1023" t="s">
        <v>146</v>
      </c>
      <c r="G1023" t="s">
        <v>22174</v>
      </c>
      <c r="H1023" t="s">
        <v>26011</v>
      </c>
      <c r="I1023" s="26">
        <v>37649</v>
      </c>
      <c r="J1023">
        <v>2003</v>
      </c>
      <c r="K1023" t="s">
        <v>146</v>
      </c>
      <c r="L1023">
        <v>173</v>
      </c>
      <c r="M1023" t="s">
        <v>29350</v>
      </c>
      <c r="N1023">
        <v>1</v>
      </c>
      <c r="R1023" t="s">
        <v>29791</v>
      </c>
      <c r="S1023" t="s">
        <v>29792</v>
      </c>
      <c r="T1023" t="s">
        <v>30</v>
      </c>
      <c r="U1023" t="s">
        <v>26040</v>
      </c>
      <c r="W1023" t="s">
        <v>28347</v>
      </c>
    </row>
    <row r="1024" spans="1:23" x14ac:dyDescent="0.35">
      <c r="A1024">
        <v>290965</v>
      </c>
      <c r="B1024" t="s">
        <v>29793</v>
      </c>
      <c r="C1024" t="str">
        <f>"9781843100874"</f>
        <v>9781843100874</v>
      </c>
      <c r="D1024" t="str">
        <f>"9781846426391"</f>
        <v>9781846426391</v>
      </c>
      <c r="E1024" t="s">
        <v>146</v>
      </c>
      <c r="F1024" t="s">
        <v>146</v>
      </c>
      <c r="G1024" t="s">
        <v>22174</v>
      </c>
      <c r="H1024" t="s">
        <v>26011</v>
      </c>
      <c r="I1024" s="26">
        <v>37726</v>
      </c>
      <c r="J1024">
        <v>2003</v>
      </c>
      <c r="K1024" t="s">
        <v>146</v>
      </c>
      <c r="L1024">
        <v>242</v>
      </c>
      <c r="M1024" t="s">
        <v>29794</v>
      </c>
      <c r="N1024">
        <v>1</v>
      </c>
      <c r="O1024" t="s">
        <v>29477</v>
      </c>
      <c r="Q1024" t="s">
        <v>29795</v>
      </c>
      <c r="R1024">
        <v>616.89152000000001</v>
      </c>
      <c r="S1024" t="s">
        <v>29796</v>
      </c>
      <c r="T1024" t="s">
        <v>30</v>
      </c>
      <c r="U1024" t="s">
        <v>26019</v>
      </c>
      <c r="W1024" t="s">
        <v>28347</v>
      </c>
    </row>
    <row r="1025" spans="1:23" x14ac:dyDescent="0.35">
      <c r="A1025">
        <v>290966</v>
      </c>
      <c r="B1025" t="s">
        <v>29797</v>
      </c>
      <c r="C1025" t="str">
        <f>"9781843101284"</f>
        <v>9781843101284</v>
      </c>
      <c r="D1025" t="str">
        <f>"9781846426414"</f>
        <v>9781846426414</v>
      </c>
      <c r="E1025" t="s">
        <v>146</v>
      </c>
      <c r="F1025" t="s">
        <v>146</v>
      </c>
      <c r="G1025" t="s">
        <v>22174</v>
      </c>
      <c r="H1025" t="s">
        <v>26011</v>
      </c>
      <c r="I1025" s="26">
        <v>37879</v>
      </c>
      <c r="J1025">
        <v>2003</v>
      </c>
      <c r="K1025" t="s">
        <v>146</v>
      </c>
      <c r="L1025">
        <v>178</v>
      </c>
      <c r="M1025" t="s">
        <v>26374</v>
      </c>
      <c r="N1025">
        <v>1</v>
      </c>
      <c r="O1025" t="s">
        <v>29242</v>
      </c>
      <c r="Q1025" t="s">
        <v>29798</v>
      </c>
      <c r="R1025" t="s">
        <v>29799</v>
      </c>
      <c r="S1025" t="s">
        <v>29800</v>
      </c>
      <c r="T1025" t="s">
        <v>30</v>
      </c>
      <c r="U1025" t="s">
        <v>29283</v>
      </c>
      <c r="W1025" t="s">
        <v>28347</v>
      </c>
    </row>
    <row r="1026" spans="1:23" x14ac:dyDescent="0.35">
      <c r="A1026">
        <v>290968</v>
      </c>
      <c r="B1026" t="s">
        <v>29801</v>
      </c>
      <c r="C1026" t="str">
        <f>"9781843101062"</f>
        <v>9781843101062</v>
      </c>
      <c r="D1026" t="str">
        <f>"9781846426407"</f>
        <v>9781846426407</v>
      </c>
      <c r="E1026" t="s">
        <v>146</v>
      </c>
      <c r="F1026" t="s">
        <v>146</v>
      </c>
      <c r="G1026" t="s">
        <v>22174</v>
      </c>
      <c r="H1026" t="s">
        <v>26011</v>
      </c>
      <c r="I1026" s="26">
        <v>37715</v>
      </c>
      <c r="J1026">
        <v>2003</v>
      </c>
      <c r="K1026" t="s">
        <v>146</v>
      </c>
      <c r="L1026">
        <v>210</v>
      </c>
      <c r="M1026" t="s">
        <v>29802</v>
      </c>
      <c r="N1026">
        <v>1</v>
      </c>
      <c r="T1026" t="s">
        <v>30</v>
      </c>
      <c r="U1026" t="s">
        <v>46</v>
      </c>
      <c r="W1026" t="s">
        <v>28347</v>
      </c>
    </row>
    <row r="1027" spans="1:23" x14ac:dyDescent="0.35">
      <c r="A1027">
        <v>290969</v>
      </c>
      <c r="B1027" t="s">
        <v>29803</v>
      </c>
      <c r="C1027" t="str">
        <f>"9781843102328"</f>
        <v>9781843102328</v>
      </c>
      <c r="D1027" t="str">
        <f>"9781846426445"</f>
        <v>9781846426445</v>
      </c>
      <c r="E1027" t="s">
        <v>146</v>
      </c>
      <c r="F1027" t="s">
        <v>146</v>
      </c>
      <c r="G1027" t="s">
        <v>22174</v>
      </c>
      <c r="H1027" t="s">
        <v>26011</v>
      </c>
      <c r="I1027" s="26">
        <v>38054</v>
      </c>
      <c r="J1027">
        <v>2004</v>
      </c>
      <c r="K1027" t="s">
        <v>146</v>
      </c>
      <c r="L1027">
        <v>225</v>
      </c>
      <c r="M1027" t="s">
        <v>29804</v>
      </c>
      <c r="N1027">
        <v>1</v>
      </c>
      <c r="R1027">
        <v>615.5</v>
      </c>
      <c r="S1027" t="s">
        <v>29805</v>
      </c>
      <c r="T1027" t="s">
        <v>30</v>
      </c>
      <c r="U1027" t="s">
        <v>26040</v>
      </c>
      <c r="W1027" t="s">
        <v>28347</v>
      </c>
    </row>
    <row r="1028" spans="1:23" x14ac:dyDescent="0.35">
      <c r="A1028">
        <v>290970</v>
      </c>
      <c r="B1028" t="s">
        <v>29806</v>
      </c>
      <c r="C1028" t="str">
        <f>"9781853029981"</f>
        <v>9781853029981</v>
      </c>
      <c r="D1028" t="str">
        <f>"9781846426483"</f>
        <v>9781846426483</v>
      </c>
      <c r="E1028" t="s">
        <v>146</v>
      </c>
      <c r="F1028" t="s">
        <v>146</v>
      </c>
      <c r="G1028" t="s">
        <v>22174</v>
      </c>
      <c r="H1028" t="s">
        <v>26011</v>
      </c>
      <c r="I1028" s="26">
        <v>37452</v>
      </c>
      <c r="J1028">
        <v>2002</v>
      </c>
      <c r="K1028" t="s">
        <v>146</v>
      </c>
      <c r="L1028">
        <v>230</v>
      </c>
      <c r="M1028" t="s">
        <v>29807</v>
      </c>
      <c r="N1028">
        <v>1</v>
      </c>
      <c r="Q1028" t="s">
        <v>29808</v>
      </c>
      <c r="R1028" t="s">
        <v>29809</v>
      </c>
      <c r="S1028" t="s">
        <v>29810</v>
      </c>
      <c r="T1028" t="s">
        <v>30</v>
      </c>
      <c r="U1028" t="s">
        <v>26250</v>
      </c>
      <c r="W1028" t="s">
        <v>28347</v>
      </c>
    </row>
    <row r="1029" spans="1:23" x14ac:dyDescent="0.35">
      <c r="A1029">
        <v>290971</v>
      </c>
      <c r="B1029" t="s">
        <v>29811</v>
      </c>
      <c r="C1029" t="str">
        <f>"9781843107361"</f>
        <v>9781843107361</v>
      </c>
      <c r="D1029" t="str">
        <f>"9781846426452"</f>
        <v>9781846426452</v>
      </c>
      <c r="E1029" t="s">
        <v>146</v>
      </c>
      <c r="F1029" t="s">
        <v>146</v>
      </c>
      <c r="G1029" t="s">
        <v>22174</v>
      </c>
      <c r="H1029" t="s">
        <v>26011</v>
      </c>
      <c r="I1029" s="26">
        <v>37652</v>
      </c>
      <c r="J1029">
        <v>2003</v>
      </c>
      <c r="K1029" t="s">
        <v>146</v>
      </c>
      <c r="L1029">
        <v>242</v>
      </c>
      <c r="M1029" t="s">
        <v>29409</v>
      </c>
      <c r="N1029">
        <v>2</v>
      </c>
      <c r="Q1029" t="s">
        <v>29812</v>
      </c>
      <c r="R1029" t="s">
        <v>29813</v>
      </c>
      <c r="S1029" t="s">
        <v>29814</v>
      </c>
      <c r="T1029" t="s">
        <v>30</v>
      </c>
      <c r="U1029" t="s">
        <v>26019</v>
      </c>
      <c r="W1029" t="s">
        <v>28347</v>
      </c>
    </row>
    <row r="1030" spans="1:23" x14ac:dyDescent="0.35">
      <c r="A1030">
        <v>290973</v>
      </c>
      <c r="B1030" t="s">
        <v>29815</v>
      </c>
      <c r="C1030" t="str">
        <f>"9781853029639"</f>
        <v>9781853029639</v>
      </c>
      <c r="D1030" t="str">
        <f>"9781846426469"</f>
        <v>9781846426469</v>
      </c>
      <c r="E1030" t="s">
        <v>146</v>
      </c>
      <c r="F1030" t="s">
        <v>146</v>
      </c>
      <c r="G1030" t="s">
        <v>22174</v>
      </c>
      <c r="H1030" t="s">
        <v>26011</v>
      </c>
      <c r="I1030" s="26">
        <v>38005</v>
      </c>
      <c r="J1030">
        <v>2004</v>
      </c>
      <c r="K1030" t="s">
        <v>146</v>
      </c>
      <c r="L1030">
        <v>130</v>
      </c>
      <c r="M1030" t="s">
        <v>29816</v>
      </c>
      <c r="N1030">
        <v>1</v>
      </c>
      <c r="Q1030" t="s">
        <v>29817</v>
      </c>
      <c r="R1030">
        <v>616.85882000000004</v>
      </c>
      <c r="S1030" t="s">
        <v>29818</v>
      </c>
      <c r="T1030" t="s">
        <v>30</v>
      </c>
      <c r="U1030" t="s">
        <v>26019</v>
      </c>
      <c r="W1030" t="s">
        <v>28347</v>
      </c>
    </row>
    <row r="1031" spans="1:23" x14ac:dyDescent="0.35">
      <c r="A1031">
        <v>291321</v>
      </c>
      <c r="B1031" t="s">
        <v>29819</v>
      </c>
      <c r="C1031" t="str">
        <f>"9780826137845"</f>
        <v>9780826137845</v>
      </c>
      <c r="D1031" t="str">
        <f>"9780826137852"</f>
        <v>9780826137852</v>
      </c>
      <c r="E1031" t="s">
        <v>1504</v>
      </c>
      <c r="F1031" t="s">
        <v>1504</v>
      </c>
      <c r="G1031" t="s">
        <v>22179</v>
      </c>
      <c r="H1031" t="s">
        <v>26004</v>
      </c>
      <c r="I1031" s="26">
        <v>38718</v>
      </c>
      <c r="J1031">
        <v>2006</v>
      </c>
      <c r="K1031" t="s">
        <v>1504</v>
      </c>
      <c r="L1031">
        <v>352</v>
      </c>
      <c r="M1031" t="s">
        <v>29820</v>
      </c>
      <c r="N1031">
        <v>3</v>
      </c>
      <c r="Q1031" t="s">
        <v>29821</v>
      </c>
      <c r="R1031" t="s">
        <v>26873</v>
      </c>
      <c r="S1031" t="s">
        <v>29822</v>
      </c>
      <c r="T1031" t="s">
        <v>30</v>
      </c>
      <c r="U1031" t="s">
        <v>46</v>
      </c>
      <c r="W1031" t="s">
        <v>26009</v>
      </c>
    </row>
    <row r="1032" spans="1:23" x14ac:dyDescent="0.35">
      <c r="A1032">
        <v>291323</v>
      </c>
      <c r="B1032" t="s">
        <v>29823</v>
      </c>
      <c r="C1032" t="str">
        <f>"9780826169655"</f>
        <v>9780826169655</v>
      </c>
      <c r="D1032" t="str">
        <f>"9780826169662"</f>
        <v>9780826169662</v>
      </c>
      <c r="E1032" t="s">
        <v>1504</v>
      </c>
      <c r="F1032" t="s">
        <v>33</v>
      </c>
      <c r="G1032" t="s">
        <v>22179</v>
      </c>
      <c r="H1032" t="s">
        <v>26004</v>
      </c>
      <c r="I1032" s="26">
        <v>38718</v>
      </c>
      <c r="J1032">
        <v>2006</v>
      </c>
      <c r="K1032" t="s">
        <v>33</v>
      </c>
      <c r="L1032">
        <v>257</v>
      </c>
      <c r="M1032" t="s">
        <v>29824</v>
      </c>
      <c r="N1032">
        <v>1</v>
      </c>
      <c r="Q1032" t="s">
        <v>29825</v>
      </c>
      <c r="S1032" t="s">
        <v>29826</v>
      </c>
      <c r="T1032" t="s">
        <v>30</v>
      </c>
      <c r="U1032" t="s">
        <v>26250</v>
      </c>
      <c r="W1032" t="s">
        <v>26009</v>
      </c>
    </row>
    <row r="1033" spans="1:23" x14ac:dyDescent="0.35">
      <c r="A1033">
        <v>291324</v>
      </c>
      <c r="B1033" t="s">
        <v>8522</v>
      </c>
      <c r="C1033" t="str">
        <f>"9780826138453"</f>
        <v>9780826138453</v>
      </c>
      <c r="D1033" t="str">
        <f>"9780826138460"</f>
        <v>9780826138460</v>
      </c>
      <c r="E1033" t="s">
        <v>1504</v>
      </c>
      <c r="F1033" t="s">
        <v>33</v>
      </c>
      <c r="G1033" t="s">
        <v>22179</v>
      </c>
      <c r="H1033" t="s">
        <v>26004</v>
      </c>
      <c r="I1033" s="26">
        <v>38384</v>
      </c>
      <c r="J1033">
        <v>2006</v>
      </c>
      <c r="K1033" t="s">
        <v>33</v>
      </c>
      <c r="L1033">
        <v>352</v>
      </c>
      <c r="M1033" t="s">
        <v>29827</v>
      </c>
      <c r="N1033">
        <v>1</v>
      </c>
      <c r="Q1033" t="s">
        <v>29828</v>
      </c>
      <c r="R1033" t="s">
        <v>26933</v>
      </c>
      <c r="S1033" t="s">
        <v>29829</v>
      </c>
      <c r="T1033" t="s">
        <v>30</v>
      </c>
      <c r="U1033" t="s">
        <v>26116</v>
      </c>
      <c r="W1033" t="s">
        <v>26009</v>
      </c>
    </row>
    <row r="1034" spans="1:23" x14ac:dyDescent="0.35">
      <c r="A1034">
        <v>291327</v>
      </c>
      <c r="B1034" t="s">
        <v>29830</v>
      </c>
      <c r="C1034" t="str">
        <f>"9780826132062"</f>
        <v>9780826132062</v>
      </c>
      <c r="D1034" t="str">
        <f>"9780826132079"</f>
        <v>9780826132079</v>
      </c>
      <c r="E1034" t="s">
        <v>1504</v>
      </c>
      <c r="F1034" t="s">
        <v>33</v>
      </c>
      <c r="G1034" t="s">
        <v>22179</v>
      </c>
      <c r="H1034" t="s">
        <v>26004</v>
      </c>
      <c r="I1034" s="26">
        <v>38808</v>
      </c>
      <c r="J1034">
        <v>2006</v>
      </c>
      <c r="K1034" t="s">
        <v>33</v>
      </c>
      <c r="L1034">
        <v>560</v>
      </c>
      <c r="M1034" t="s">
        <v>29831</v>
      </c>
      <c r="N1034">
        <v>2</v>
      </c>
      <c r="Q1034" t="s">
        <v>29832</v>
      </c>
      <c r="R1034" t="s">
        <v>29833</v>
      </c>
      <c r="S1034" t="s">
        <v>29834</v>
      </c>
      <c r="T1034" t="s">
        <v>30</v>
      </c>
      <c r="U1034" t="s">
        <v>46</v>
      </c>
      <c r="W1034" t="s">
        <v>26009</v>
      </c>
    </row>
    <row r="1035" spans="1:23" x14ac:dyDescent="0.35">
      <c r="A1035">
        <v>291331</v>
      </c>
      <c r="B1035" t="s">
        <v>29835</v>
      </c>
      <c r="C1035" t="str">
        <f>"9780826156150"</f>
        <v>9780826156150</v>
      </c>
      <c r="D1035" t="str">
        <f>"9780826156167"</f>
        <v>9780826156167</v>
      </c>
      <c r="E1035" t="s">
        <v>1504</v>
      </c>
      <c r="F1035" t="s">
        <v>33</v>
      </c>
      <c r="G1035" t="s">
        <v>22179</v>
      </c>
      <c r="H1035" t="s">
        <v>26004</v>
      </c>
      <c r="I1035" s="26">
        <v>38718</v>
      </c>
      <c r="J1035">
        <v>2006</v>
      </c>
      <c r="K1035" t="s">
        <v>33</v>
      </c>
      <c r="L1035">
        <v>385</v>
      </c>
      <c r="M1035" t="s">
        <v>29836</v>
      </c>
      <c r="N1035">
        <v>1</v>
      </c>
      <c r="Q1035" t="s">
        <v>29837</v>
      </c>
      <c r="R1035">
        <v>618.92890599999998</v>
      </c>
      <c r="S1035" t="s">
        <v>29838</v>
      </c>
      <c r="T1035" t="s">
        <v>30</v>
      </c>
      <c r="U1035" t="s">
        <v>26116</v>
      </c>
      <c r="W1035" t="s">
        <v>26009</v>
      </c>
    </row>
    <row r="1036" spans="1:23" x14ac:dyDescent="0.35">
      <c r="A1036">
        <v>291339</v>
      </c>
      <c r="B1036" t="s">
        <v>29839</v>
      </c>
      <c r="C1036" t="str">
        <f>"9780826140463"</f>
        <v>9780826140463</v>
      </c>
      <c r="D1036" t="str">
        <f>"9780826140470"</f>
        <v>9780826140470</v>
      </c>
      <c r="E1036" t="s">
        <v>1504</v>
      </c>
      <c r="F1036" t="s">
        <v>33</v>
      </c>
      <c r="G1036" t="s">
        <v>22179</v>
      </c>
      <c r="H1036" t="s">
        <v>26004</v>
      </c>
      <c r="I1036" s="26">
        <v>38808</v>
      </c>
      <c r="J1036">
        <v>2006</v>
      </c>
      <c r="K1036" t="s">
        <v>33</v>
      </c>
      <c r="L1036">
        <v>398</v>
      </c>
      <c r="M1036" t="s">
        <v>29840</v>
      </c>
      <c r="N1036">
        <v>1</v>
      </c>
      <c r="Q1036" t="s">
        <v>29841</v>
      </c>
      <c r="R1036">
        <v>616.89142000000004</v>
      </c>
      <c r="S1036" t="s">
        <v>29842</v>
      </c>
      <c r="T1036" t="s">
        <v>30</v>
      </c>
      <c r="U1036" t="s">
        <v>26116</v>
      </c>
      <c r="W1036" t="s">
        <v>26009</v>
      </c>
    </row>
    <row r="1037" spans="1:23" x14ac:dyDescent="0.35">
      <c r="A1037">
        <v>291341</v>
      </c>
      <c r="B1037" t="s">
        <v>8051</v>
      </c>
      <c r="C1037" t="str">
        <f>"9780826118240"</f>
        <v>9780826118240</v>
      </c>
      <c r="D1037" t="str">
        <f>"9780826118233"</f>
        <v>9780826118233</v>
      </c>
      <c r="E1037" t="s">
        <v>1504</v>
      </c>
      <c r="F1037" t="s">
        <v>33</v>
      </c>
      <c r="G1037" t="s">
        <v>22179</v>
      </c>
      <c r="H1037" t="s">
        <v>26004</v>
      </c>
      <c r="I1037" s="26">
        <v>38718</v>
      </c>
      <c r="J1037">
        <v>2006</v>
      </c>
      <c r="K1037" t="s">
        <v>33</v>
      </c>
      <c r="L1037">
        <v>175</v>
      </c>
      <c r="M1037" t="s">
        <v>29843</v>
      </c>
      <c r="N1037">
        <v>1</v>
      </c>
      <c r="Q1037" t="s">
        <v>29844</v>
      </c>
      <c r="R1037">
        <v>616.89</v>
      </c>
      <c r="S1037" t="s">
        <v>29845</v>
      </c>
      <c r="T1037" t="s">
        <v>30</v>
      </c>
      <c r="U1037" t="s">
        <v>26116</v>
      </c>
      <c r="W1037" t="s">
        <v>26009</v>
      </c>
    </row>
    <row r="1038" spans="1:23" x14ac:dyDescent="0.35">
      <c r="A1038">
        <v>291342</v>
      </c>
      <c r="B1038" t="s">
        <v>8682</v>
      </c>
      <c r="C1038" t="str">
        <f>"9780826132451"</f>
        <v>9780826132451</v>
      </c>
      <c r="D1038" t="str">
        <f>"9780826132468"</f>
        <v>9780826132468</v>
      </c>
      <c r="E1038" t="s">
        <v>1504</v>
      </c>
      <c r="F1038" t="s">
        <v>33</v>
      </c>
      <c r="G1038" t="s">
        <v>22179</v>
      </c>
      <c r="H1038" t="s">
        <v>26004</v>
      </c>
      <c r="I1038" s="26">
        <v>38718</v>
      </c>
      <c r="J1038">
        <v>2006</v>
      </c>
      <c r="K1038" t="s">
        <v>33</v>
      </c>
      <c r="L1038">
        <v>185</v>
      </c>
      <c r="M1038" t="s">
        <v>29846</v>
      </c>
      <c r="N1038">
        <v>1</v>
      </c>
      <c r="Q1038" t="s">
        <v>29847</v>
      </c>
      <c r="S1038" t="s">
        <v>29848</v>
      </c>
      <c r="T1038" t="s">
        <v>30</v>
      </c>
      <c r="U1038" t="s">
        <v>26019</v>
      </c>
      <c r="W1038" t="s">
        <v>26009</v>
      </c>
    </row>
    <row r="1039" spans="1:23" x14ac:dyDescent="0.35">
      <c r="A1039">
        <v>291344</v>
      </c>
      <c r="B1039" t="s">
        <v>29849</v>
      </c>
      <c r="C1039" t="str">
        <f>"9780826102317"</f>
        <v>9780826102317</v>
      </c>
      <c r="D1039" t="str">
        <f>"9780826103147"</f>
        <v>9780826103147</v>
      </c>
      <c r="E1039" t="s">
        <v>1504</v>
      </c>
      <c r="F1039" t="s">
        <v>33</v>
      </c>
      <c r="G1039" t="s">
        <v>22179</v>
      </c>
      <c r="H1039" t="s">
        <v>26004</v>
      </c>
      <c r="I1039" s="26">
        <v>38838</v>
      </c>
      <c r="J1039">
        <v>2006</v>
      </c>
      <c r="K1039" t="s">
        <v>33</v>
      </c>
      <c r="L1039">
        <v>309</v>
      </c>
      <c r="M1039" t="s">
        <v>29850</v>
      </c>
      <c r="N1039">
        <v>3</v>
      </c>
      <c r="Q1039" t="s">
        <v>29851</v>
      </c>
      <c r="S1039" t="s">
        <v>9803</v>
      </c>
      <c r="T1039" t="s">
        <v>30</v>
      </c>
      <c r="U1039" t="s">
        <v>46</v>
      </c>
      <c r="W1039" t="s">
        <v>26009</v>
      </c>
    </row>
    <row r="1040" spans="1:23" x14ac:dyDescent="0.35">
      <c r="A1040">
        <v>291345</v>
      </c>
      <c r="B1040" t="s">
        <v>29852</v>
      </c>
      <c r="C1040" t="str">
        <f>"9780826128560"</f>
        <v>9780826128560</v>
      </c>
      <c r="D1040" t="str">
        <f>"9780826128577"</f>
        <v>9780826128577</v>
      </c>
      <c r="E1040" t="s">
        <v>1504</v>
      </c>
      <c r="F1040" t="s">
        <v>33</v>
      </c>
      <c r="G1040" t="s">
        <v>22179</v>
      </c>
      <c r="H1040" t="s">
        <v>26004</v>
      </c>
      <c r="I1040" s="26">
        <v>38718</v>
      </c>
      <c r="J1040">
        <v>2006</v>
      </c>
      <c r="K1040" t="s">
        <v>33</v>
      </c>
      <c r="L1040">
        <v>353</v>
      </c>
      <c r="M1040" t="s">
        <v>29853</v>
      </c>
      <c r="N1040">
        <v>1</v>
      </c>
      <c r="Q1040" t="s">
        <v>29854</v>
      </c>
      <c r="S1040" t="s">
        <v>29855</v>
      </c>
      <c r="T1040" t="s">
        <v>30</v>
      </c>
      <c r="U1040" t="s">
        <v>46</v>
      </c>
      <c r="W1040" t="s">
        <v>26009</v>
      </c>
    </row>
    <row r="1041" spans="1:23" x14ac:dyDescent="0.35">
      <c r="A1041">
        <v>291346</v>
      </c>
      <c r="B1041" t="s">
        <v>29856</v>
      </c>
      <c r="C1041" t="str">
        <f>"9780826173843"</f>
        <v>9780826173843</v>
      </c>
      <c r="D1041" t="str">
        <f>"9780826173850"</f>
        <v>9780826173850</v>
      </c>
      <c r="E1041" t="s">
        <v>1504</v>
      </c>
      <c r="F1041" t="s">
        <v>33</v>
      </c>
      <c r="G1041" t="s">
        <v>22179</v>
      </c>
      <c r="H1041" t="s">
        <v>26004</v>
      </c>
      <c r="I1041" s="26">
        <v>37257</v>
      </c>
      <c r="J1041">
        <v>2002</v>
      </c>
      <c r="K1041" t="s">
        <v>33</v>
      </c>
      <c r="L1041">
        <v>311</v>
      </c>
      <c r="M1041" t="s">
        <v>29857</v>
      </c>
      <c r="N1041">
        <v>1</v>
      </c>
      <c r="O1041" t="s">
        <v>29858</v>
      </c>
      <c r="P1041" t="s">
        <v>29859</v>
      </c>
      <c r="Q1041" t="s">
        <v>29860</v>
      </c>
      <c r="R1041" t="s">
        <v>29861</v>
      </c>
      <c r="S1041" t="s">
        <v>29862</v>
      </c>
      <c r="T1041" t="s">
        <v>30</v>
      </c>
      <c r="U1041" t="s">
        <v>26170</v>
      </c>
      <c r="W1041" t="s">
        <v>26009</v>
      </c>
    </row>
    <row r="1042" spans="1:23" x14ac:dyDescent="0.35">
      <c r="A1042">
        <v>292121</v>
      </c>
      <c r="B1042" t="s">
        <v>8959</v>
      </c>
      <c r="C1042" t="str">
        <f>"9780335215690"</f>
        <v>9780335215690</v>
      </c>
      <c r="D1042" t="str">
        <f>"9780335226641"</f>
        <v>9780335226641</v>
      </c>
      <c r="E1042" t="s">
        <v>29061</v>
      </c>
      <c r="F1042" t="s">
        <v>7477</v>
      </c>
      <c r="G1042" t="s">
        <v>29068</v>
      </c>
      <c r="H1042" t="s">
        <v>26011</v>
      </c>
      <c r="I1042" s="26">
        <v>38838</v>
      </c>
      <c r="J1042">
        <v>2006</v>
      </c>
      <c r="K1042" t="s">
        <v>29063</v>
      </c>
      <c r="L1042">
        <v>175</v>
      </c>
      <c r="M1042" t="s">
        <v>29863</v>
      </c>
      <c r="N1042">
        <v>1</v>
      </c>
      <c r="O1042" t="s">
        <v>29070</v>
      </c>
      <c r="Q1042" t="s">
        <v>29864</v>
      </c>
      <c r="R1042">
        <v>361.4</v>
      </c>
      <c r="S1042" t="s">
        <v>29865</v>
      </c>
      <c r="T1042" t="s">
        <v>30</v>
      </c>
      <c r="U1042" t="s">
        <v>26044</v>
      </c>
      <c r="W1042" t="s">
        <v>26009</v>
      </c>
    </row>
    <row r="1043" spans="1:23" x14ac:dyDescent="0.35">
      <c r="A1043">
        <v>292138</v>
      </c>
      <c r="B1043" t="s">
        <v>10019</v>
      </c>
      <c r="C1043" t="str">
        <f>"9780335208319"</f>
        <v>9780335208319</v>
      </c>
      <c r="D1043" t="str">
        <f>"9780335226504"</f>
        <v>9780335226504</v>
      </c>
      <c r="E1043" t="s">
        <v>29061</v>
      </c>
      <c r="F1043" t="s">
        <v>7477</v>
      </c>
      <c r="G1043" t="s">
        <v>29068</v>
      </c>
      <c r="H1043" t="s">
        <v>26011</v>
      </c>
      <c r="I1043" s="26">
        <v>37803</v>
      </c>
      <c r="J1043">
        <v>2003</v>
      </c>
      <c r="K1043" t="s">
        <v>29063</v>
      </c>
      <c r="L1043">
        <v>204</v>
      </c>
      <c r="M1043" t="s">
        <v>26450</v>
      </c>
      <c r="N1043">
        <v>1</v>
      </c>
      <c r="O1043" t="s">
        <v>29141</v>
      </c>
      <c r="Q1043" t="s">
        <v>29866</v>
      </c>
      <c r="R1043">
        <v>301</v>
      </c>
      <c r="S1043" t="s">
        <v>29867</v>
      </c>
      <c r="T1043" t="s">
        <v>30</v>
      </c>
      <c r="U1043" t="s">
        <v>26228</v>
      </c>
      <c r="W1043" t="s">
        <v>26009</v>
      </c>
    </row>
    <row r="1044" spans="1:23" x14ac:dyDescent="0.35">
      <c r="A1044">
        <v>292140</v>
      </c>
      <c r="B1044" t="s">
        <v>10168</v>
      </c>
      <c r="C1044" t="str">
        <f>"9780335211197"</f>
        <v>9780335211197</v>
      </c>
      <c r="D1044" t="str">
        <f>"9780335226436"</f>
        <v>9780335226436</v>
      </c>
      <c r="E1044" t="s">
        <v>29061</v>
      </c>
      <c r="F1044" t="s">
        <v>7477</v>
      </c>
      <c r="G1044" t="s">
        <v>29068</v>
      </c>
      <c r="H1044" t="s">
        <v>26011</v>
      </c>
      <c r="I1044" s="26">
        <v>38231</v>
      </c>
      <c r="J1044">
        <v>2004</v>
      </c>
      <c r="K1044" t="s">
        <v>29063</v>
      </c>
      <c r="L1044">
        <v>298</v>
      </c>
      <c r="M1044" t="s">
        <v>29868</v>
      </c>
      <c r="N1044">
        <v>1</v>
      </c>
      <c r="O1044" t="s">
        <v>29088</v>
      </c>
      <c r="Q1044" t="s">
        <v>29869</v>
      </c>
      <c r="R1044">
        <v>364.3</v>
      </c>
      <c r="S1044" t="s">
        <v>29870</v>
      </c>
      <c r="T1044" t="s">
        <v>30</v>
      </c>
      <c r="U1044" t="s">
        <v>26044</v>
      </c>
      <c r="W1044" t="s">
        <v>26009</v>
      </c>
    </row>
    <row r="1045" spans="1:23" x14ac:dyDescent="0.35">
      <c r="A1045">
        <v>292357</v>
      </c>
      <c r="B1045" t="s">
        <v>29871</v>
      </c>
      <c r="C1045" t="str">
        <f>"9780748623433"</f>
        <v>9780748623433</v>
      </c>
      <c r="D1045" t="str">
        <f>"9780748626731"</f>
        <v>9780748626731</v>
      </c>
      <c r="E1045" t="s">
        <v>8107</v>
      </c>
      <c r="F1045" t="s">
        <v>8107</v>
      </c>
      <c r="G1045" t="s">
        <v>24494</v>
      </c>
      <c r="H1045" t="s">
        <v>26011</v>
      </c>
      <c r="I1045" s="26">
        <v>38810</v>
      </c>
      <c r="J1045">
        <v>2006</v>
      </c>
      <c r="K1045" t="s">
        <v>8107</v>
      </c>
      <c r="L1045">
        <v>233</v>
      </c>
      <c r="M1045" t="s">
        <v>29872</v>
      </c>
      <c r="N1045">
        <v>1</v>
      </c>
      <c r="Q1045" t="s">
        <v>29873</v>
      </c>
      <c r="R1045">
        <v>128.19999999999999</v>
      </c>
      <c r="S1045" t="s">
        <v>29874</v>
      </c>
      <c r="T1045" t="s">
        <v>30</v>
      </c>
      <c r="U1045" t="s">
        <v>26679</v>
      </c>
      <c r="W1045" t="s">
        <v>26009</v>
      </c>
    </row>
    <row r="1046" spans="1:23" x14ac:dyDescent="0.35">
      <c r="A1046">
        <v>293505</v>
      </c>
      <c r="B1046" t="s">
        <v>29875</v>
      </c>
      <c r="C1046" t="str">
        <f>"9780120885121"</f>
        <v>9780120885121</v>
      </c>
      <c r="D1046" t="str">
        <f>"9780080468549"</f>
        <v>9780080468549</v>
      </c>
      <c r="E1046" t="s">
        <v>27482</v>
      </c>
      <c r="F1046" t="s">
        <v>7447</v>
      </c>
      <c r="G1046" t="s">
        <v>22689</v>
      </c>
      <c r="H1046" t="s">
        <v>26004</v>
      </c>
      <c r="I1046" s="26">
        <v>38657</v>
      </c>
      <c r="J1046">
        <v>2005</v>
      </c>
      <c r="K1046" t="s">
        <v>946</v>
      </c>
      <c r="L1046">
        <v>281</v>
      </c>
      <c r="M1046" t="s">
        <v>29876</v>
      </c>
      <c r="N1046">
        <v>1</v>
      </c>
      <c r="Q1046" t="s">
        <v>29877</v>
      </c>
      <c r="R1046">
        <v>364.3</v>
      </c>
      <c r="S1046" t="s">
        <v>29878</v>
      </c>
      <c r="T1046" t="s">
        <v>30</v>
      </c>
      <c r="U1046" t="s">
        <v>26044</v>
      </c>
      <c r="W1046" t="s">
        <v>26009</v>
      </c>
    </row>
    <row r="1047" spans="1:23" x14ac:dyDescent="0.35">
      <c r="A1047">
        <v>293638</v>
      </c>
      <c r="B1047" t="s">
        <v>29879</v>
      </c>
      <c r="C1047" t="str">
        <f>"9780415954464"</f>
        <v>9780415954464</v>
      </c>
      <c r="D1047" t="str">
        <f>"9781135918989"</f>
        <v>9781135918989</v>
      </c>
      <c r="E1047" t="s">
        <v>26010</v>
      </c>
      <c r="F1047" t="s">
        <v>35</v>
      </c>
      <c r="G1047" t="s">
        <v>22174</v>
      </c>
      <c r="H1047" t="s">
        <v>26011</v>
      </c>
      <c r="I1047" s="26">
        <v>39043</v>
      </c>
      <c r="J1047">
        <v>2007</v>
      </c>
      <c r="K1047" t="s">
        <v>26012</v>
      </c>
      <c r="L1047">
        <v>261</v>
      </c>
      <c r="M1047" t="s">
        <v>29880</v>
      </c>
      <c r="N1047">
        <v>1</v>
      </c>
      <c r="Q1047" t="s">
        <v>29881</v>
      </c>
      <c r="R1047" t="s">
        <v>26967</v>
      </c>
      <c r="S1047" t="s">
        <v>8202</v>
      </c>
      <c r="T1047" t="s">
        <v>30</v>
      </c>
      <c r="U1047" t="s">
        <v>46</v>
      </c>
      <c r="W1047" t="s">
        <v>26009</v>
      </c>
    </row>
    <row r="1048" spans="1:23" x14ac:dyDescent="0.35">
      <c r="A1048">
        <v>293830</v>
      </c>
      <c r="B1048" t="s">
        <v>29882</v>
      </c>
      <c r="C1048" t="str">
        <f>"9780520256576"</f>
        <v>9780520256576</v>
      </c>
      <c r="D1048" t="str">
        <f>"9780520941793"</f>
        <v>9780520941793</v>
      </c>
      <c r="E1048" t="s">
        <v>1612</v>
      </c>
      <c r="F1048" t="s">
        <v>1612</v>
      </c>
      <c r="G1048" t="s">
        <v>22630</v>
      </c>
      <c r="H1048" t="s">
        <v>26004</v>
      </c>
      <c r="I1048" s="26">
        <v>39206</v>
      </c>
      <c r="J1048">
        <v>2007</v>
      </c>
      <c r="K1048" t="s">
        <v>1612</v>
      </c>
      <c r="L1048">
        <v>316</v>
      </c>
      <c r="M1048" t="s">
        <v>29883</v>
      </c>
      <c r="N1048">
        <v>1</v>
      </c>
      <c r="R1048" t="s">
        <v>29884</v>
      </c>
      <c r="S1048" t="s">
        <v>29885</v>
      </c>
      <c r="T1048" t="s">
        <v>30</v>
      </c>
      <c r="U1048" t="s">
        <v>26044</v>
      </c>
      <c r="W1048" t="s">
        <v>26009</v>
      </c>
    </row>
    <row r="1049" spans="1:23" x14ac:dyDescent="0.35">
      <c r="A1049">
        <v>294037</v>
      </c>
      <c r="B1049" t="s">
        <v>7857</v>
      </c>
      <c r="C1049" t="str">
        <f>"9780120884162"</f>
        <v>9780120884162</v>
      </c>
      <c r="D1049" t="str">
        <f>"9780080476568"</f>
        <v>9780080476568</v>
      </c>
      <c r="E1049" t="s">
        <v>27482</v>
      </c>
      <c r="F1049" t="s">
        <v>7447</v>
      </c>
      <c r="G1049" t="s">
        <v>22689</v>
      </c>
      <c r="H1049" t="s">
        <v>26004</v>
      </c>
      <c r="I1049" s="26">
        <v>38808</v>
      </c>
      <c r="J1049">
        <v>2006</v>
      </c>
      <c r="K1049" t="s">
        <v>946</v>
      </c>
      <c r="L1049">
        <v>367</v>
      </c>
      <c r="M1049" t="s">
        <v>29886</v>
      </c>
      <c r="N1049">
        <v>1</v>
      </c>
      <c r="O1049" t="s">
        <v>27484</v>
      </c>
      <c r="Q1049" t="s">
        <v>29887</v>
      </c>
      <c r="S1049" t="s">
        <v>7648</v>
      </c>
      <c r="T1049" t="s">
        <v>30</v>
      </c>
      <c r="U1049" t="s">
        <v>26019</v>
      </c>
      <c r="W1049" t="s">
        <v>26009</v>
      </c>
    </row>
    <row r="1050" spans="1:23" x14ac:dyDescent="0.35">
      <c r="A1050">
        <v>294303</v>
      </c>
      <c r="B1050" t="s">
        <v>29888</v>
      </c>
      <c r="C1050" t="str">
        <f>"9781558606432"</f>
        <v>9781558606432</v>
      </c>
      <c r="D1050" t="str">
        <f>"9780080479941"</f>
        <v>9780080479941</v>
      </c>
      <c r="E1050" t="s">
        <v>27482</v>
      </c>
      <c r="F1050" t="s">
        <v>7447</v>
      </c>
      <c r="G1050" t="s">
        <v>22689</v>
      </c>
      <c r="H1050" t="s">
        <v>26004</v>
      </c>
      <c r="I1050" s="26">
        <v>37625</v>
      </c>
      <c r="J1050">
        <v>2002</v>
      </c>
      <c r="K1050" t="s">
        <v>29889</v>
      </c>
      <c r="L1050">
        <v>311</v>
      </c>
      <c r="M1050" t="s">
        <v>29890</v>
      </c>
      <c r="N1050">
        <v>1</v>
      </c>
      <c r="O1050" t="s">
        <v>29891</v>
      </c>
      <c r="Q1050" t="s">
        <v>29892</v>
      </c>
      <c r="R1050" t="s">
        <v>29893</v>
      </c>
      <c r="S1050" t="s">
        <v>29894</v>
      </c>
      <c r="T1050" t="s">
        <v>30</v>
      </c>
      <c r="U1050" t="s">
        <v>46</v>
      </c>
      <c r="W1050" t="s">
        <v>26009</v>
      </c>
    </row>
    <row r="1051" spans="1:23" x14ac:dyDescent="0.35">
      <c r="A1051">
        <v>294423</v>
      </c>
      <c r="B1051" t="s">
        <v>10093</v>
      </c>
      <c r="C1051" t="str">
        <f>"9780080449272"</f>
        <v>9780080449272</v>
      </c>
      <c r="D1051" t="str">
        <f>"9780080489810"</f>
        <v>9780080489810</v>
      </c>
      <c r="E1051" t="s">
        <v>27482</v>
      </c>
      <c r="F1051" t="s">
        <v>7447</v>
      </c>
      <c r="G1051" t="s">
        <v>22689</v>
      </c>
      <c r="H1051" t="s">
        <v>26011</v>
      </c>
      <c r="I1051" s="26">
        <v>39216</v>
      </c>
      <c r="J1051">
        <v>2007</v>
      </c>
      <c r="K1051" t="s">
        <v>29895</v>
      </c>
      <c r="L1051">
        <v>513</v>
      </c>
      <c r="M1051" t="s">
        <v>29896</v>
      </c>
      <c r="N1051">
        <v>1</v>
      </c>
      <c r="Q1051" t="s">
        <v>29897</v>
      </c>
      <c r="R1051">
        <v>616.86059999999998</v>
      </c>
      <c r="S1051" t="s">
        <v>29898</v>
      </c>
      <c r="T1051" t="s">
        <v>30</v>
      </c>
      <c r="U1051" t="s">
        <v>26116</v>
      </c>
      <c r="W1051" t="s">
        <v>26009</v>
      </c>
    </row>
    <row r="1052" spans="1:23" x14ac:dyDescent="0.35">
      <c r="A1052">
        <v>294552</v>
      </c>
      <c r="B1052" t="s">
        <v>7847</v>
      </c>
      <c r="C1052" t="str">
        <f>"9780127035703"</f>
        <v>9780127035703</v>
      </c>
      <c r="D1052" t="str">
        <f>"9780080490663"</f>
        <v>9780080490663</v>
      </c>
      <c r="E1052" t="s">
        <v>27482</v>
      </c>
      <c r="F1052" t="s">
        <v>7447</v>
      </c>
      <c r="G1052" t="s">
        <v>22689</v>
      </c>
      <c r="H1052" t="s">
        <v>26004</v>
      </c>
      <c r="I1052" s="26">
        <v>37921</v>
      </c>
      <c r="J1052">
        <v>2003</v>
      </c>
      <c r="K1052" t="s">
        <v>946</v>
      </c>
      <c r="L1052">
        <v>651</v>
      </c>
      <c r="M1052" t="s">
        <v>29899</v>
      </c>
      <c r="N1052">
        <v>1</v>
      </c>
      <c r="O1052" t="s">
        <v>27484</v>
      </c>
      <c r="R1052" t="s">
        <v>28305</v>
      </c>
      <c r="S1052" t="s">
        <v>7848</v>
      </c>
      <c r="T1052" t="s">
        <v>30</v>
      </c>
      <c r="U1052" t="s">
        <v>46</v>
      </c>
      <c r="W1052" t="s">
        <v>26009</v>
      </c>
    </row>
    <row r="1053" spans="1:23" x14ac:dyDescent="0.35">
      <c r="A1053">
        <v>294553</v>
      </c>
      <c r="B1053" t="s">
        <v>7872</v>
      </c>
      <c r="C1053" t="str">
        <f>"9780123430144"</f>
        <v>9780123430144</v>
      </c>
      <c r="D1053" t="str">
        <f>"9780080490670"</f>
        <v>9780080490670</v>
      </c>
      <c r="E1053" t="s">
        <v>27482</v>
      </c>
      <c r="F1053" t="s">
        <v>7447</v>
      </c>
      <c r="G1053" t="s">
        <v>22689</v>
      </c>
      <c r="H1053" t="s">
        <v>26004</v>
      </c>
      <c r="I1053" s="26">
        <v>38698</v>
      </c>
      <c r="J1053">
        <v>2006</v>
      </c>
      <c r="K1053" t="s">
        <v>946</v>
      </c>
      <c r="L1053">
        <v>705</v>
      </c>
      <c r="M1053" t="s">
        <v>11346</v>
      </c>
      <c r="N1053">
        <v>1</v>
      </c>
      <c r="O1053" t="s">
        <v>27484</v>
      </c>
      <c r="Q1053" t="s">
        <v>29900</v>
      </c>
      <c r="R1053" t="s">
        <v>27913</v>
      </c>
      <c r="S1053" t="s">
        <v>29901</v>
      </c>
      <c r="T1053" t="s">
        <v>30</v>
      </c>
      <c r="U1053" t="s">
        <v>26116</v>
      </c>
      <c r="W1053" t="s">
        <v>26009</v>
      </c>
    </row>
    <row r="1054" spans="1:23" x14ac:dyDescent="0.35">
      <c r="A1054">
        <v>294609</v>
      </c>
      <c r="B1054" t="s">
        <v>8584</v>
      </c>
      <c r="C1054" t="str">
        <f>"9780120883875"</f>
        <v>9780120883875</v>
      </c>
      <c r="D1054" t="str">
        <f>"9780080491400"</f>
        <v>9780080491400</v>
      </c>
      <c r="E1054" t="s">
        <v>27482</v>
      </c>
      <c r="F1054" t="s">
        <v>7447</v>
      </c>
      <c r="G1054" t="s">
        <v>28361</v>
      </c>
      <c r="H1054" t="s">
        <v>26004</v>
      </c>
      <c r="I1054" s="26">
        <v>38723</v>
      </c>
      <c r="J1054">
        <v>2005</v>
      </c>
      <c r="K1054" t="s">
        <v>946</v>
      </c>
      <c r="L1054">
        <v>681</v>
      </c>
      <c r="M1054" t="s">
        <v>29902</v>
      </c>
      <c r="N1054">
        <v>6</v>
      </c>
      <c r="O1054" t="s">
        <v>29903</v>
      </c>
      <c r="Q1054" t="s">
        <v>29904</v>
      </c>
      <c r="R1054">
        <v>612.66999999999996</v>
      </c>
      <c r="S1054" t="s">
        <v>8585</v>
      </c>
      <c r="T1054" t="s">
        <v>30</v>
      </c>
      <c r="U1054" t="s">
        <v>28991</v>
      </c>
      <c r="W1054" t="s">
        <v>26009</v>
      </c>
    </row>
    <row r="1055" spans="1:23" x14ac:dyDescent="0.35">
      <c r="A1055">
        <v>294649</v>
      </c>
      <c r="B1055" t="s">
        <v>29905</v>
      </c>
      <c r="C1055" t="str">
        <f>"9780122699306"</f>
        <v>9780122699306</v>
      </c>
      <c r="D1055" t="str">
        <f>"9780080492063"</f>
        <v>9780080492063</v>
      </c>
      <c r="E1055" t="s">
        <v>27482</v>
      </c>
      <c r="F1055" t="s">
        <v>7447</v>
      </c>
      <c r="G1055" t="s">
        <v>22689</v>
      </c>
      <c r="H1055" t="s">
        <v>26004</v>
      </c>
      <c r="I1055" s="26">
        <v>36388</v>
      </c>
      <c r="J1055">
        <v>1999</v>
      </c>
      <c r="K1055" t="s">
        <v>946</v>
      </c>
      <c r="L1055">
        <v>255</v>
      </c>
      <c r="M1055" t="s">
        <v>29906</v>
      </c>
      <c r="N1055">
        <v>1</v>
      </c>
      <c r="Q1055" t="s">
        <v>29907</v>
      </c>
      <c r="R1055" t="s">
        <v>29833</v>
      </c>
      <c r="S1055" t="s">
        <v>9386</v>
      </c>
      <c r="T1055" t="s">
        <v>30</v>
      </c>
      <c r="U1055" t="s">
        <v>46</v>
      </c>
      <c r="W1055" t="s">
        <v>26009</v>
      </c>
    </row>
    <row r="1056" spans="1:23" x14ac:dyDescent="0.35">
      <c r="A1056">
        <v>294805</v>
      </c>
      <c r="B1056" t="s">
        <v>9794</v>
      </c>
      <c r="C1056" t="str">
        <f>"9781841694184"</f>
        <v>9781841694184</v>
      </c>
      <c r="D1056" t="str">
        <f>"9780203943250"</f>
        <v>9780203943250</v>
      </c>
      <c r="E1056" t="s">
        <v>26010</v>
      </c>
      <c r="F1056" t="s">
        <v>35</v>
      </c>
      <c r="G1056" t="s">
        <v>22267</v>
      </c>
      <c r="H1056" t="s">
        <v>26011</v>
      </c>
      <c r="I1056" s="26">
        <v>38614</v>
      </c>
      <c r="J1056">
        <v>2006</v>
      </c>
      <c r="K1056" t="s">
        <v>660</v>
      </c>
      <c r="L1056">
        <v>305</v>
      </c>
      <c r="M1056" t="s">
        <v>29908</v>
      </c>
      <c r="N1056">
        <v>1</v>
      </c>
      <c r="O1056" t="s">
        <v>27129</v>
      </c>
      <c r="Q1056" t="s">
        <v>29909</v>
      </c>
      <c r="R1056">
        <v>155.19999999999999</v>
      </c>
      <c r="S1056" t="s">
        <v>9795</v>
      </c>
      <c r="T1056" t="s">
        <v>30</v>
      </c>
      <c r="U1056" t="s">
        <v>46</v>
      </c>
      <c r="W1056" t="s">
        <v>26009</v>
      </c>
    </row>
    <row r="1057" spans="1:23" x14ac:dyDescent="0.35">
      <c r="A1057">
        <v>294955</v>
      </c>
      <c r="B1057" t="s">
        <v>29910</v>
      </c>
      <c r="C1057" t="str">
        <f>"9780826102782"</f>
        <v>9780826102782</v>
      </c>
      <c r="D1057" t="str">
        <f>"9780826103062"</f>
        <v>9780826103062</v>
      </c>
      <c r="E1057" t="s">
        <v>1504</v>
      </c>
      <c r="F1057" t="s">
        <v>33</v>
      </c>
      <c r="G1057" t="s">
        <v>22179</v>
      </c>
      <c r="H1057" t="s">
        <v>26004</v>
      </c>
      <c r="I1057" s="26">
        <v>39114</v>
      </c>
      <c r="J1057">
        <v>2007</v>
      </c>
      <c r="K1057" t="s">
        <v>33</v>
      </c>
      <c r="L1057">
        <v>246</v>
      </c>
      <c r="M1057" t="s">
        <v>29911</v>
      </c>
      <c r="N1057">
        <v>1</v>
      </c>
      <c r="Q1057" t="s">
        <v>29912</v>
      </c>
      <c r="S1057" t="s">
        <v>29913</v>
      </c>
      <c r="T1057" t="s">
        <v>30</v>
      </c>
      <c r="U1057" t="s">
        <v>26116</v>
      </c>
      <c r="W1057" t="s">
        <v>26009</v>
      </c>
    </row>
    <row r="1058" spans="1:23" x14ac:dyDescent="0.35">
      <c r="A1058">
        <v>294957</v>
      </c>
      <c r="B1058" t="s">
        <v>29914</v>
      </c>
      <c r="C1058" t="str">
        <f>"9780826120915"</f>
        <v>9780826120915</v>
      </c>
      <c r="D1058" t="str">
        <f>"9780826121110"</f>
        <v>9780826121110</v>
      </c>
      <c r="E1058" t="s">
        <v>1504</v>
      </c>
      <c r="F1058" t="s">
        <v>33</v>
      </c>
      <c r="G1058" t="s">
        <v>22179</v>
      </c>
      <c r="H1058" t="s">
        <v>26004</v>
      </c>
      <c r="I1058" s="26">
        <v>37257</v>
      </c>
      <c r="J1058">
        <v>1977</v>
      </c>
      <c r="K1058" t="s">
        <v>33</v>
      </c>
      <c r="L1058">
        <v>365</v>
      </c>
      <c r="M1058" t="s">
        <v>29915</v>
      </c>
      <c r="N1058">
        <v>1</v>
      </c>
      <c r="Q1058" t="s">
        <v>29916</v>
      </c>
      <c r="S1058" t="s">
        <v>29917</v>
      </c>
      <c r="T1058" t="s">
        <v>30</v>
      </c>
      <c r="U1058" t="s">
        <v>26019</v>
      </c>
      <c r="W1058" t="s">
        <v>26009</v>
      </c>
    </row>
    <row r="1059" spans="1:23" x14ac:dyDescent="0.35">
      <c r="A1059">
        <v>294958</v>
      </c>
      <c r="B1059" t="s">
        <v>29918</v>
      </c>
      <c r="C1059" t="str">
        <f>"9780826120939"</f>
        <v>9780826120939</v>
      </c>
      <c r="D1059" t="str">
        <f>"9780826121158"</f>
        <v>9780826121158</v>
      </c>
      <c r="E1059" t="s">
        <v>1504</v>
      </c>
      <c r="F1059" t="s">
        <v>33</v>
      </c>
      <c r="G1059" t="s">
        <v>22179</v>
      </c>
      <c r="H1059" t="s">
        <v>26004</v>
      </c>
      <c r="I1059" s="26">
        <v>38718</v>
      </c>
      <c r="J1059">
        <v>2006</v>
      </c>
      <c r="K1059" t="s">
        <v>33</v>
      </c>
      <c r="L1059">
        <v>527</v>
      </c>
      <c r="M1059" t="s">
        <v>29919</v>
      </c>
      <c r="N1059">
        <v>1</v>
      </c>
      <c r="S1059" t="s">
        <v>29920</v>
      </c>
      <c r="T1059" t="s">
        <v>30</v>
      </c>
      <c r="U1059" t="s">
        <v>46</v>
      </c>
      <c r="W1059" t="s">
        <v>26009</v>
      </c>
    </row>
    <row r="1060" spans="1:23" x14ac:dyDescent="0.35">
      <c r="A1060">
        <v>294959</v>
      </c>
      <c r="B1060" t="s">
        <v>29921</v>
      </c>
      <c r="C1060" t="str">
        <f>"9780826120946"</f>
        <v>9780826120946</v>
      </c>
      <c r="D1060" t="str">
        <f>"9780826121134"</f>
        <v>9780826121134</v>
      </c>
      <c r="E1060" t="s">
        <v>1504</v>
      </c>
      <c r="F1060" t="s">
        <v>33</v>
      </c>
      <c r="G1060" t="s">
        <v>22179</v>
      </c>
      <c r="H1060" t="s">
        <v>26004</v>
      </c>
      <c r="I1060" s="26">
        <v>39234</v>
      </c>
      <c r="J1060">
        <v>2007</v>
      </c>
      <c r="K1060" t="s">
        <v>33</v>
      </c>
      <c r="L1060">
        <v>314</v>
      </c>
      <c r="M1060" t="s">
        <v>29922</v>
      </c>
      <c r="N1060">
        <v>1</v>
      </c>
      <c r="Q1060" t="s">
        <v>29923</v>
      </c>
      <c r="S1060" t="s">
        <v>29924</v>
      </c>
      <c r="T1060" t="s">
        <v>30</v>
      </c>
      <c r="U1060" t="s">
        <v>26116</v>
      </c>
      <c r="W1060" t="s">
        <v>26009</v>
      </c>
    </row>
    <row r="1061" spans="1:23" x14ac:dyDescent="0.35">
      <c r="A1061">
        <v>294960</v>
      </c>
      <c r="B1061" t="s">
        <v>29925</v>
      </c>
      <c r="C1061" t="str">
        <f>"9780826120922"</f>
        <v>9780826120922</v>
      </c>
      <c r="D1061" t="str">
        <f>"9780826101129"</f>
        <v>9780826101129</v>
      </c>
      <c r="E1061" t="s">
        <v>1504</v>
      </c>
      <c r="F1061" t="s">
        <v>1504</v>
      </c>
      <c r="G1061" t="s">
        <v>22179</v>
      </c>
      <c r="H1061" t="s">
        <v>26004</v>
      </c>
      <c r="I1061" s="26">
        <v>38513</v>
      </c>
      <c r="J1061">
        <v>2000</v>
      </c>
      <c r="K1061" t="s">
        <v>1504</v>
      </c>
      <c r="L1061">
        <v>432</v>
      </c>
      <c r="M1061" t="s">
        <v>29926</v>
      </c>
      <c r="N1061">
        <v>1</v>
      </c>
      <c r="Q1061" t="s">
        <v>29927</v>
      </c>
      <c r="R1061" t="s">
        <v>28066</v>
      </c>
      <c r="S1061" t="s">
        <v>29928</v>
      </c>
      <c r="T1061" t="s">
        <v>30</v>
      </c>
      <c r="U1061" t="s">
        <v>26116</v>
      </c>
      <c r="W1061" t="s">
        <v>26009</v>
      </c>
    </row>
    <row r="1062" spans="1:23" x14ac:dyDescent="0.35">
      <c r="A1062">
        <v>294961</v>
      </c>
      <c r="B1062" t="s">
        <v>29929</v>
      </c>
      <c r="C1062" t="str">
        <f>"9780826120953"</f>
        <v>9780826120953</v>
      </c>
      <c r="D1062" t="str">
        <f>"9780826121127"</f>
        <v>9780826121127</v>
      </c>
      <c r="E1062" t="s">
        <v>1504</v>
      </c>
      <c r="F1062" t="s">
        <v>1504</v>
      </c>
      <c r="G1062" t="s">
        <v>22179</v>
      </c>
      <c r="H1062" t="s">
        <v>26004</v>
      </c>
      <c r="I1062" s="26">
        <v>36161</v>
      </c>
      <c r="J1062">
        <v>1999</v>
      </c>
      <c r="K1062" t="s">
        <v>1504</v>
      </c>
      <c r="L1062">
        <v>298</v>
      </c>
      <c r="M1062" t="s">
        <v>29930</v>
      </c>
      <c r="N1062">
        <v>1</v>
      </c>
      <c r="Q1062" t="s">
        <v>29931</v>
      </c>
      <c r="R1062" t="s">
        <v>28628</v>
      </c>
      <c r="S1062" t="s">
        <v>29932</v>
      </c>
      <c r="T1062" t="s">
        <v>30</v>
      </c>
      <c r="U1062" t="s">
        <v>26019</v>
      </c>
      <c r="W1062" t="s">
        <v>26009</v>
      </c>
    </row>
    <row r="1063" spans="1:23" x14ac:dyDescent="0.35">
      <c r="A1063">
        <v>294963</v>
      </c>
      <c r="B1063" t="s">
        <v>29933</v>
      </c>
      <c r="C1063" t="str">
        <f>"9780826102492"</f>
        <v>9780826102492</v>
      </c>
      <c r="D1063" t="str">
        <f>"9780826101082"</f>
        <v>9780826101082</v>
      </c>
      <c r="E1063" t="s">
        <v>1504</v>
      </c>
      <c r="F1063" t="s">
        <v>33</v>
      </c>
      <c r="G1063" t="s">
        <v>22179</v>
      </c>
      <c r="H1063" t="s">
        <v>26004</v>
      </c>
      <c r="I1063" s="26">
        <v>39114</v>
      </c>
      <c r="J1063">
        <v>2007</v>
      </c>
      <c r="K1063" t="s">
        <v>33</v>
      </c>
      <c r="L1063">
        <v>457</v>
      </c>
      <c r="M1063" t="s">
        <v>29934</v>
      </c>
      <c r="N1063">
        <v>1</v>
      </c>
      <c r="Q1063" t="s">
        <v>29935</v>
      </c>
      <c r="S1063" t="s">
        <v>29936</v>
      </c>
      <c r="T1063" t="s">
        <v>30</v>
      </c>
      <c r="U1063" t="s">
        <v>26116</v>
      </c>
      <c r="W1063" t="s">
        <v>26009</v>
      </c>
    </row>
    <row r="1064" spans="1:23" x14ac:dyDescent="0.35">
      <c r="A1064">
        <v>294966</v>
      </c>
      <c r="B1064" t="s">
        <v>29937</v>
      </c>
      <c r="C1064" t="str">
        <f>"9780826115140"</f>
        <v>9780826115140</v>
      </c>
      <c r="D1064" t="str">
        <f>"9780826101136"</f>
        <v>9780826101136</v>
      </c>
      <c r="E1064" t="s">
        <v>1504</v>
      </c>
      <c r="F1064" t="s">
        <v>33</v>
      </c>
      <c r="G1064" t="s">
        <v>22179</v>
      </c>
      <c r="H1064" t="s">
        <v>26004</v>
      </c>
      <c r="I1064" s="26">
        <v>39083</v>
      </c>
      <c r="J1064">
        <v>2007</v>
      </c>
      <c r="K1064" t="s">
        <v>33</v>
      </c>
      <c r="L1064">
        <v>640</v>
      </c>
      <c r="M1064" t="s">
        <v>29938</v>
      </c>
      <c r="N1064">
        <v>1</v>
      </c>
      <c r="O1064" t="s">
        <v>29939</v>
      </c>
      <c r="Q1064" t="s">
        <v>29940</v>
      </c>
      <c r="R1064" t="s">
        <v>29941</v>
      </c>
      <c r="S1064" t="s">
        <v>29942</v>
      </c>
      <c r="T1064" t="s">
        <v>30</v>
      </c>
      <c r="U1064" t="s">
        <v>26044</v>
      </c>
      <c r="W1064" t="s">
        <v>26009</v>
      </c>
    </row>
    <row r="1065" spans="1:23" x14ac:dyDescent="0.35">
      <c r="A1065">
        <v>294967</v>
      </c>
      <c r="B1065" t="s">
        <v>29943</v>
      </c>
      <c r="C1065" t="str">
        <f>"9780826115751"</f>
        <v>9780826115751</v>
      </c>
      <c r="D1065" t="str">
        <f>"9780826115768"</f>
        <v>9780826115768</v>
      </c>
      <c r="E1065" t="s">
        <v>1504</v>
      </c>
      <c r="F1065" t="s">
        <v>33</v>
      </c>
      <c r="G1065" t="s">
        <v>22179</v>
      </c>
      <c r="H1065" t="s">
        <v>26004</v>
      </c>
      <c r="I1065" s="26">
        <v>39203</v>
      </c>
      <c r="J1065">
        <v>2007</v>
      </c>
      <c r="K1065" t="s">
        <v>33</v>
      </c>
      <c r="L1065">
        <v>247</v>
      </c>
      <c r="M1065" t="s">
        <v>29944</v>
      </c>
      <c r="N1065">
        <v>1</v>
      </c>
      <c r="Q1065" t="s">
        <v>29945</v>
      </c>
      <c r="R1065">
        <v>610.73</v>
      </c>
      <c r="S1065" t="s">
        <v>29946</v>
      </c>
      <c r="T1065" t="s">
        <v>30</v>
      </c>
      <c r="U1065" t="s">
        <v>26174</v>
      </c>
      <c r="W1065" t="s">
        <v>26009</v>
      </c>
    </row>
    <row r="1066" spans="1:23" x14ac:dyDescent="0.35">
      <c r="A1066">
        <v>294971</v>
      </c>
      <c r="B1066" t="s">
        <v>29947</v>
      </c>
      <c r="C1066" t="str">
        <f>"9780826101303"</f>
        <v>9780826101303</v>
      </c>
      <c r="D1066" t="str">
        <f>"9780826101310"</f>
        <v>9780826101310</v>
      </c>
      <c r="E1066" t="s">
        <v>1504</v>
      </c>
      <c r="F1066" t="s">
        <v>33</v>
      </c>
      <c r="G1066" t="s">
        <v>22179</v>
      </c>
      <c r="H1066" t="s">
        <v>26004</v>
      </c>
      <c r="I1066" s="26">
        <v>39203</v>
      </c>
      <c r="J1066">
        <v>2007</v>
      </c>
      <c r="K1066" t="s">
        <v>33</v>
      </c>
      <c r="L1066">
        <v>217</v>
      </c>
      <c r="M1066" t="s">
        <v>29948</v>
      </c>
      <c r="N1066">
        <v>1</v>
      </c>
      <c r="Q1066" t="s">
        <v>29949</v>
      </c>
      <c r="S1066" t="s">
        <v>29898</v>
      </c>
      <c r="T1066" t="s">
        <v>30</v>
      </c>
      <c r="U1066" t="s">
        <v>26116</v>
      </c>
      <c r="W1066" t="s">
        <v>26009</v>
      </c>
    </row>
    <row r="1067" spans="1:23" x14ac:dyDescent="0.35">
      <c r="A1067">
        <v>294973</v>
      </c>
      <c r="B1067" t="s">
        <v>29950</v>
      </c>
      <c r="C1067" t="str">
        <f>"9780826102478"</f>
        <v>9780826102478</v>
      </c>
      <c r="D1067" t="str">
        <f>"9780826101112"</f>
        <v>9780826101112</v>
      </c>
      <c r="E1067" t="s">
        <v>1504</v>
      </c>
      <c r="F1067" t="s">
        <v>33</v>
      </c>
      <c r="G1067" t="s">
        <v>22179</v>
      </c>
      <c r="H1067" t="s">
        <v>26004</v>
      </c>
      <c r="I1067" s="26">
        <v>39114</v>
      </c>
      <c r="J1067">
        <v>2007</v>
      </c>
      <c r="K1067" t="s">
        <v>33</v>
      </c>
      <c r="L1067">
        <v>301</v>
      </c>
      <c r="M1067" t="s">
        <v>29951</v>
      </c>
      <c r="N1067">
        <v>3</v>
      </c>
      <c r="Q1067" t="s">
        <v>29952</v>
      </c>
      <c r="S1067" t="s">
        <v>29953</v>
      </c>
      <c r="T1067" t="s">
        <v>30</v>
      </c>
      <c r="U1067" t="s">
        <v>26019</v>
      </c>
      <c r="W1067" t="s">
        <v>26009</v>
      </c>
    </row>
    <row r="1068" spans="1:23" x14ac:dyDescent="0.35">
      <c r="A1068">
        <v>294975</v>
      </c>
      <c r="B1068" t="s">
        <v>29954</v>
      </c>
      <c r="C1068" t="str">
        <f>"9780826127563"</f>
        <v>9780826127563</v>
      </c>
      <c r="D1068" t="str">
        <f>"9780826101044"</f>
        <v>9780826101044</v>
      </c>
      <c r="E1068" t="s">
        <v>1504</v>
      </c>
      <c r="F1068" t="s">
        <v>33</v>
      </c>
      <c r="G1068" t="s">
        <v>22179</v>
      </c>
      <c r="H1068" t="s">
        <v>26004</v>
      </c>
      <c r="I1068" s="26">
        <v>39173</v>
      </c>
      <c r="J1068">
        <v>2007</v>
      </c>
      <c r="K1068" t="s">
        <v>33</v>
      </c>
      <c r="L1068">
        <v>241</v>
      </c>
      <c r="M1068" t="s">
        <v>29955</v>
      </c>
      <c r="N1068">
        <v>1</v>
      </c>
      <c r="Q1068" t="s">
        <v>29956</v>
      </c>
      <c r="R1068" t="s">
        <v>29957</v>
      </c>
      <c r="S1068" t="s">
        <v>29958</v>
      </c>
      <c r="T1068" t="s">
        <v>30</v>
      </c>
      <c r="U1068" t="s">
        <v>26044</v>
      </c>
      <c r="W1068" t="s">
        <v>26009</v>
      </c>
    </row>
    <row r="1069" spans="1:23" x14ac:dyDescent="0.35">
      <c r="A1069">
        <v>294977</v>
      </c>
      <c r="B1069" t="s">
        <v>29959</v>
      </c>
      <c r="C1069" t="str">
        <f>"9780826115409"</f>
        <v>9780826115409</v>
      </c>
      <c r="D1069" t="str">
        <f>"9780826101051"</f>
        <v>9780826101051</v>
      </c>
      <c r="E1069" t="s">
        <v>1504</v>
      </c>
      <c r="F1069" t="s">
        <v>33</v>
      </c>
      <c r="G1069" t="s">
        <v>22179</v>
      </c>
      <c r="H1069" t="s">
        <v>26004</v>
      </c>
      <c r="I1069" s="26">
        <v>27454</v>
      </c>
      <c r="J1069">
        <v>1975</v>
      </c>
      <c r="K1069" t="s">
        <v>33</v>
      </c>
      <c r="L1069">
        <v>245</v>
      </c>
      <c r="M1069" t="s">
        <v>29960</v>
      </c>
      <c r="N1069">
        <v>1</v>
      </c>
      <c r="Q1069" t="s">
        <v>29961</v>
      </c>
      <c r="S1069" t="s">
        <v>29962</v>
      </c>
      <c r="T1069" t="s">
        <v>30</v>
      </c>
      <c r="U1069" t="s">
        <v>46</v>
      </c>
      <c r="W1069" t="s">
        <v>26009</v>
      </c>
    </row>
    <row r="1070" spans="1:23" x14ac:dyDescent="0.35">
      <c r="A1070">
        <v>295423</v>
      </c>
      <c r="B1070" t="s">
        <v>29963</v>
      </c>
      <c r="C1070" t="str">
        <f>"9780335215461"</f>
        <v>9780335215461</v>
      </c>
      <c r="D1070" t="str">
        <f>"9780335227310"</f>
        <v>9780335227310</v>
      </c>
      <c r="E1070" t="s">
        <v>29061</v>
      </c>
      <c r="F1070" t="s">
        <v>7477</v>
      </c>
      <c r="G1070" t="s">
        <v>29068</v>
      </c>
      <c r="H1070" t="s">
        <v>26011</v>
      </c>
      <c r="I1070" s="26">
        <v>38869</v>
      </c>
      <c r="J1070">
        <v>2006</v>
      </c>
      <c r="K1070" t="s">
        <v>29063</v>
      </c>
      <c r="L1070">
        <v>252</v>
      </c>
      <c r="M1070" t="s">
        <v>29964</v>
      </c>
      <c r="N1070">
        <v>1</v>
      </c>
      <c r="O1070" t="s">
        <v>29070</v>
      </c>
      <c r="S1070" t="s">
        <v>29965</v>
      </c>
      <c r="T1070" t="s">
        <v>30</v>
      </c>
      <c r="U1070" t="s">
        <v>46</v>
      </c>
      <c r="W1070" t="s">
        <v>26009</v>
      </c>
    </row>
    <row r="1071" spans="1:23" x14ac:dyDescent="0.35">
      <c r="A1071">
        <v>295444</v>
      </c>
      <c r="B1071" t="s">
        <v>29966</v>
      </c>
      <c r="C1071" t="str">
        <f>"9780335210329"</f>
        <v>9780335210329</v>
      </c>
      <c r="D1071" t="str">
        <f>"9780335227525"</f>
        <v>9780335227525</v>
      </c>
      <c r="E1071" t="s">
        <v>29061</v>
      </c>
      <c r="F1071" t="s">
        <v>7477</v>
      </c>
      <c r="G1071" t="s">
        <v>29062</v>
      </c>
      <c r="H1071" t="s">
        <v>26011</v>
      </c>
      <c r="I1071" s="26">
        <v>38108</v>
      </c>
      <c r="J1071">
        <v>2004</v>
      </c>
      <c r="K1071" t="s">
        <v>29063</v>
      </c>
      <c r="L1071">
        <v>240</v>
      </c>
      <c r="M1071" t="s">
        <v>29967</v>
      </c>
      <c r="N1071">
        <v>1</v>
      </c>
      <c r="O1071" t="s">
        <v>29065</v>
      </c>
      <c r="Q1071" t="s">
        <v>29968</v>
      </c>
      <c r="R1071">
        <v>362.76</v>
      </c>
      <c r="S1071" t="s">
        <v>29969</v>
      </c>
      <c r="T1071" t="s">
        <v>30</v>
      </c>
      <c r="U1071" t="s">
        <v>26044</v>
      </c>
      <c r="W1071" t="s">
        <v>26009</v>
      </c>
    </row>
    <row r="1072" spans="1:23" x14ac:dyDescent="0.35">
      <c r="A1072">
        <v>295460</v>
      </c>
      <c r="B1072" t="s">
        <v>9599</v>
      </c>
      <c r="C1072" t="str">
        <f>"9780335212767"</f>
        <v>9780335212767</v>
      </c>
      <c r="D1072" t="str">
        <f>"9780335227686"</f>
        <v>9780335227686</v>
      </c>
      <c r="E1072" t="s">
        <v>29061</v>
      </c>
      <c r="F1072" t="s">
        <v>7477</v>
      </c>
      <c r="G1072" t="s">
        <v>29068</v>
      </c>
      <c r="H1072" t="s">
        <v>26011</v>
      </c>
      <c r="I1072" s="26">
        <v>38657</v>
      </c>
      <c r="J1072">
        <v>2005</v>
      </c>
      <c r="K1072" t="s">
        <v>29063</v>
      </c>
      <c r="L1072">
        <v>257</v>
      </c>
      <c r="M1072" t="s">
        <v>29970</v>
      </c>
      <c r="N1072">
        <v>1</v>
      </c>
      <c r="O1072" t="s">
        <v>29074</v>
      </c>
      <c r="R1072">
        <v>155.91</v>
      </c>
      <c r="S1072" t="s">
        <v>29971</v>
      </c>
      <c r="T1072" t="s">
        <v>30</v>
      </c>
      <c r="U1072" t="s">
        <v>46</v>
      </c>
      <c r="W1072" t="s">
        <v>26009</v>
      </c>
    </row>
    <row r="1073" spans="1:23" x14ac:dyDescent="0.35">
      <c r="A1073">
        <v>295474</v>
      </c>
      <c r="B1073" t="s">
        <v>8017</v>
      </c>
      <c r="C1073" t="str">
        <f>"9780335216499"</f>
        <v>9780335216499</v>
      </c>
      <c r="D1073" t="str">
        <f>"9780335227822"</f>
        <v>9780335227822</v>
      </c>
      <c r="E1073" t="s">
        <v>29061</v>
      </c>
      <c r="F1073" t="s">
        <v>7477</v>
      </c>
      <c r="G1073" t="s">
        <v>29068</v>
      </c>
      <c r="H1073" t="s">
        <v>26011</v>
      </c>
      <c r="I1073" s="26">
        <v>38384</v>
      </c>
      <c r="J1073">
        <v>2005</v>
      </c>
      <c r="K1073" t="s">
        <v>29063</v>
      </c>
      <c r="L1073">
        <v>189</v>
      </c>
      <c r="M1073" t="s">
        <v>29972</v>
      </c>
      <c r="N1073">
        <v>2</v>
      </c>
      <c r="O1073" t="s">
        <v>29070</v>
      </c>
      <c r="R1073" t="s">
        <v>26491</v>
      </c>
      <c r="S1073" t="s">
        <v>29973</v>
      </c>
      <c r="T1073" t="s">
        <v>30</v>
      </c>
      <c r="U1073" t="s">
        <v>26044</v>
      </c>
      <c r="W1073" t="s">
        <v>26009</v>
      </c>
    </row>
    <row r="1074" spans="1:23" x14ac:dyDescent="0.35">
      <c r="A1074">
        <v>295479</v>
      </c>
      <c r="B1074" t="s">
        <v>9387</v>
      </c>
      <c r="C1074" t="str">
        <f>"9780335206353"</f>
        <v>9780335206353</v>
      </c>
      <c r="D1074" t="str">
        <f>"9780335227877"</f>
        <v>9780335227877</v>
      </c>
      <c r="E1074" t="s">
        <v>29061</v>
      </c>
      <c r="F1074" t="s">
        <v>7477</v>
      </c>
      <c r="G1074" t="s">
        <v>29068</v>
      </c>
      <c r="H1074" t="s">
        <v>26011</v>
      </c>
      <c r="I1074" s="26">
        <v>37895</v>
      </c>
      <c r="J1074">
        <v>2003</v>
      </c>
      <c r="K1074" t="s">
        <v>29063</v>
      </c>
      <c r="L1074">
        <v>172</v>
      </c>
      <c r="M1074" t="s">
        <v>29974</v>
      </c>
      <c r="N1074">
        <v>1</v>
      </c>
      <c r="O1074" t="s">
        <v>29070</v>
      </c>
      <c r="R1074">
        <v>126</v>
      </c>
      <c r="T1074" t="s">
        <v>30</v>
      </c>
      <c r="U1074" t="s">
        <v>152</v>
      </c>
      <c r="W1074" t="s">
        <v>26009</v>
      </c>
    </row>
    <row r="1075" spans="1:23" x14ac:dyDescent="0.35">
      <c r="A1075">
        <v>295502</v>
      </c>
      <c r="B1075" t="s">
        <v>7710</v>
      </c>
      <c r="C1075" t="str">
        <f>"9780335210381"</f>
        <v>9780335210381</v>
      </c>
      <c r="D1075" t="str">
        <f>"9780335228119"</f>
        <v>9780335228119</v>
      </c>
      <c r="E1075" t="s">
        <v>29061</v>
      </c>
      <c r="F1075" t="s">
        <v>7477</v>
      </c>
      <c r="G1075" t="s">
        <v>29068</v>
      </c>
      <c r="H1075" t="s">
        <v>26011</v>
      </c>
      <c r="I1075" s="26">
        <v>37681</v>
      </c>
      <c r="J1075">
        <v>2003</v>
      </c>
      <c r="K1075" t="s">
        <v>29063</v>
      </c>
      <c r="L1075">
        <v>199</v>
      </c>
      <c r="M1075" t="s">
        <v>29975</v>
      </c>
      <c r="N1075">
        <v>1</v>
      </c>
      <c r="O1075" t="s">
        <v>29070</v>
      </c>
      <c r="Q1075" t="s">
        <v>29976</v>
      </c>
      <c r="R1075">
        <v>616.89139999999998</v>
      </c>
      <c r="S1075" t="s">
        <v>29977</v>
      </c>
      <c r="T1075" t="s">
        <v>30</v>
      </c>
      <c r="U1075" t="s">
        <v>26116</v>
      </c>
      <c r="W1075" t="s">
        <v>26009</v>
      </c>
    </row>
    <row r="1076" spans="1:23" x14ac:dyDescent="0.35">
      <c r="A1076">
        <v>295503</v>
      </c>
      <c r="B1076" t="s">
        <v>9237</v>
      </c>
      <c r="C1076" t="str">
        <f>"9780335215928"</f>
        <v>9780335215928</v>
      </c>
      <c r="D1076" t="str">
        <f>"9780335228126"</f>
        <v>9780335228126</v>
      </c>
      <c r="E1076" t="s">
        <v>29061</v>
      </c>
      <c r="F1076" t="s">
        <v>7477</v>
      </c>
      <c r="G1076" t="s">
        <v>29062</v>
      </c>
      <c r="H1076" t="s">
        <v>26011</v>
      </c>
      <c r="I1076" s="26">
        <v>38596</v>
      </c>
      <c r="J1076">
        <v>2005</v>
      </c>
      <c r="K1076" t="s">
        <v>29063</v>
      </c>
      <c r="L1076">
        <v>213</v>
      </c>
      <c r="M1076" t="s">
        <v>29975</v>
      </c>
      <c r="N1076">
        <v>1</v>
      </c>
      <c r="O1076" t="s">
        <v>29070</v>
      </c>
      <c r="Q1076" t="s">
        <v>29978</v>
      </c>
      <c r="R1076">
        <v>616.89139999999998</v>
      </c>
      <c r="S1076" t="s">
        <v>29979</v>
      </c>
      <c r="T1076" t="s">
        <v>30</v>
      </c>
      <c r="U1076" t="s">
        <v>26116</v>
      </c>
      <c r="W1076" t="s">
        <v>26009</v>
      </c>
    </row>
    <row r="1077" spans="1:23" x14ac:dyDescent="0.35">
      <c r="A1077">
        <v>295527</v>
      </c>
      <c r="B1077" t="s">
        <v>29980</v>
      </c>
      <c r="C1077" t="str">
        <f>"9780335200863"</f>
        <v>9780335200863</v>
      </c>
      <c r="D1077" t="str">
        <f>"9780335228379"</f>
        <v>9780335228379</v>
      </c>
      <c r="E1077" t="s">
        <v>29061</v>
      </c>
      <c r="F1077" t="s">
        <v>7477</v>
      </c>
      <c r="G1077" t="s">
        <v>29068</v>
      </c>
      <c r="H1077" t="s">
        <v>26011</v>
      </c>
      <c r="I1077" s="26">
        <v>38169</v>
      </c>
      <c r="J1077">
        <v>2004</v>
      </c>
      <c r="K1077" t="s">
        <v>29063</v>
      </c>
      <c r="L1077">
        <v>189</v>
      </c>
      <c r="M1077" t="s">
        <v>29981</v>
      </c>
      <c r="N1077">
        <v>1</v>
      </c>
      <c r="O1077" t="s">
        <v>29982</v>
      </c>
      <c r="R1077">
        <v>305.8</v>
      </c>
      <c r="T1077" t="s">
        <v>30</v>
      </c>
      <c r="U1077" t="s">
        <v>26044</v>
      </c>
      <c r="W1077" t="s">
        <v>26009</v>
      </c>
    </row>
    <row r="1078" spans="1:23" x14ac:dyDescent="0.35">
      <c r="A1078">
        <v>296016</v>
      </c>
      <c r="B1078" t="s">
        <v>29983</v>
      </c>
      <c r="C1078" t="str">
        <f>"9781843105183"</f>
        <v>9781843105183</v>
      </c>
      <c r="D1078" t="str">
        <f>"9781846425783"</f>
        <v>9781846425783</v>
      </c>
      <c r="E1078" t="s">
        <v>146</v>
      </c>
      <c r="F1078" t="s">
        <v>146</v>
      </c>
      <c r="G1078" t="s">
        <v>22174</v>
      </c>
      <c r="H1078" t="s">
        <v>26011</v>
      </c>
      <c r="I1078" s="26">
        <v>39036</v>
      </c>
      <c r="J1078">
        <v>2006</v>
      </c>
      <c r="K1078" t="s">
        <v>146</v>
      </c>
      <c r="L1078">
        <v>258</v>
      </c>
      <c r="M1078" t="s">
        <v>29984</v>
      </c>
      <c r="N1078">
        <v>2</v>
      </c>
      <c r="Q1078" t="s">
        <v>29985</v>
      </c>
      <c r="R1078" t="s">
        <v>28543</v>
      </c>
      <c r="S1078" t="s">
        <v>29986</v>
      </c>
      <c r="T1078" t="s">
        <v>30</v>
      </c>
      <c r="U1078" t="s">
        <v>26116</v>
      </c>
      <c r="W1078" t="s">
        <v>28347</v>
      </c>
    </row>
    <row r="1079" spans="1:23" x14ac:dyDescent="0.35">
      <c r="A1079">
        <v>296017</v>
      </c>
      <c r="B1079" t="s">
        <v>29987</v>
      </c>
      <c r="C1079" t="str">
        <f>"9781843107989"</f>
        <v>9781843107989</v>
      </c>
      <c r="D1079" t="str">
        <f>"9781846425516"</f>
        <v>9781846425516</v>
      </c>
      <c r="E1079" t="s">
        <v>146</v>
      </c>
      <c r="F1079" t="s">
        <v>146</v>
      </c>
      <c r="G1079" t="s">
        <v>22174</v>
      </c>
      <c r="H1079" t="s">
        <v>26011</v>
      </c>
      <c r="I1079" s="26">
        <v>38975</v>
      </c>
      <c r="J1079">
        <v>2006</v>
      </c>
      <c r="K1079" t="s">
        <v>146</v>
      </c>
      <c r="L1079">
        <v>274</v>
      </c>
      <c r="M1079" t="s">
        <v>29988</v>
      </c>
      <c r="N1079">
        <v>1</v>
      </c>
      <c r="Q1079" t="s">
        <v>29989</v>
      </c>
      <c r="T1079" t="s">
        <v>30</v>
      </c>
      <c r="U1079" t="s">
        <v>26019</v>
      </c>
      <c r="W1079" t="s">
        <v>28347</v>
      </c>
    </row>
    <row r="1080" spans="1:23" x14ac:dyDescent="0.35">
      <c r="A1080">
        <v>296022</v>
      </c>
      <c r="B1080" t="s">
        <v>8206</v>
      </c>
      <c r="C1080" t="str">
        <f>"9781843104032"</f>
        <v>9781843104032</v>
      </c>
      <c r="D1080" t="str">
        <f>"9781846425653"</f>
        <v>9781846425653</v>
      </c>
      <c r="E1080" t="s">
        <v>146</v>
      </c>
      <c r="F1080" t="s">
        <v>146</v>
      </c>
      <c r="G1080" t="s">
        <v>22174</v>
      </c>
      <c r="H1080" t="s">
        <v>26011</v>
      </c>
      <c r="I1080" s="26">
        <v>39005</v>
      </c>
      <c r="J1080">
        <v>2006</v>
      </c>
      <c r="K1080" t="s">
        <v>146</v>
      </c>
      <c r="L1080">
        <v>177</v>
      </c>
      <c r="M1080" t="s">
        <v>29990</v>
      </c>
      <c r="N1080">
        <v>1</v>
      </c>
      <c r="Q1080" t="s">
        <v>29991</v>
      </c>
      <c r="R1080">
        <v>681.11309200000005</v>
      </c>
      <c r="T1080" t="s">
        <v>30</v>
      </c>
      <c r="U1080" t="s">
        <v>29992</v>
      </c>
      <c r="W1080" t="s">
        <v>28347</v>
      </c>
    </row>
    <row r="1081" spans="1:23" x14ac:dyDescent="0.35">
      <c r="A1081">
        <v>296023</v>
      </c>
      <c r="B1081" t="s">
        <v>29993</v>
      </c>
      <c r="C1081" t="str">
        <f>"9781843103851"</f>
        <v>9781843103851</v>
      </c>
      <c r="D1081" t="str">
        <f>"9781846425639"</f>
        <v>9781846425639</v>
      </c>
      <c r="E1081" t="s">
        <v>146</v>
      </c>
      <c r="F1081" t="s">
        <v>146</v>
      </c>
      <c r="G1081" t="s">
        <v>22174</v>
      </c>
      <c r="H1081" t="s">
        <v>26011</v>
      </c>
      <c r="I1081" s="26">
        <v>39005</v>
      </c>
      <c r="J1081">
        <v>2006</v>
      </c>
      <c r="K1081" t="s">
        <v>146</v>
      </c>
      <c r="L1081">
        <v>290</v>
      </c>
      <c r="M1081" t="s">
        <v>29994</v>
      </c>
      <c r="N1081">
        <v>1</v>
      </c>
      <c r="O1081" t="s">
        <v>29242</v>
      </c>
      <c r="Q1081" t="s">
        <v>29995</v>
      </c>
      <c r="R1081">
        <v>365.66</v>
      </c>
      <c r="S1081" t="s">
        <v>29996</v>
      </c>
      <c r="T1081" t="s">
        <v>30</v>
      </c>
      <c r="U1081" t="s">
        <v>26044</v>
      </c>
      <c r="W1081" t="s">
        <v>28347</v>
      </c>
    </row>
    <row r="1082" spans="1:23" x14ac:dyDescent="0.35">
      <c r="A1082">
        <v>296030</v>
      </c>
      <c r="B1082" t="s">
        <v>29997</v>
      </c>
      <c r="C1082" t="str">
        <f>"9781843104490"</f>
        <v>9781843104490</v>
      </c>
      <c r="D1082" t="str">
        <f>"9781846425578"</f>
        <v>9781846425578</v>
      </c>
      <c r="E1082" t="s">
        <v>146</v>
      </c>
      <c r="F1082" t="s">
        <v>146</v>
      </c>
      <c r="G1082" t="s">
        <v>22174</v>
      </c>
      <c r="H1082" t="s">
        <v>26011</v>
      </c>
      <c r="I1082" s="26">
        <v>38975</v>
      </c>
      <c r="J1082">
        <v>2006</v>
      </c>
      <c r="K1082" t="s">
        <v>146</v>
      </c>
      <c r="L1082">
        <v>354</v>
      </c>
      <c r="M1082" t="s">
        <v>29998</v>
      </c>
      <c r="N1082">
        <v>1</v>
      </c>
      <c r="Q1082" t="s">
        <v>29999</v>
      </c>
      <c r="T1082" t="s">
        <v>30</v>
      </c>
      <c r="U1082" t="s">
        <v>26019</v>
      </c>
      <c r="W1082" t="s">
        <v>28347</v>
      </c>
    </row>
    <row r="1083" spans="1:23" x14ac:dyDescent="0.35">
      <c r="A1083">
        <v>296034</v>
      </c>
      <c r="B1083" t="s">
        <v>30000</v>
      </c>
      <c r="C1083" t="str">
        <f>"9781843104308"</f>
        <v>9781843104308</v>
      </c>
      <c r="D1083" t="str">
        <f>"9781846425714"</f>
        <v>9781846425714</v>
      </c>
      <c r="E1083" t="s">
        <v>146</v>
      </c>
      <c r="F1083" t="s">
        <v>146</v>
      </c>
      <c r="G1083" t="s">
        <v>22174</v>
      </c>
      <c r="H1083" t="s">
        <v>26011</v>
      </c>
      <c r="I1083" s="26">
        <v>39036</v>
      </c>
      <c r="J1083">
        <v>2006</v>
      </c>
      <c r="K1083" t="s">
        <v>146</v>
      </c>
      <c r="L1083">
        <v>274</v>
      </c>
      <c r="M1083" t="s">
        <v>30001</v>
      </c>
      <c r="N1083">
        <v>1</v>
      </c>
      <c r="Q1083" t="s">
        <v>30002</v>
      </c>
      <c r="R1083">
        <v>792.0222</v>
      </c>
      <c r="S1083" t="s">
        <v>30003</v>
      </c>
      <c r="T1083" t="s">
        <v>30</v>
      </c>
      <c r="U1083" t="s">
        <v>27699</v>
      </c>
      <c r="W1083" t="s">
        <v>28347</v>
      </c>
    </row>
    <row r="1084" spans="1:23" x14ac:dyDescent="0.35">
      <c r="A1084">
        <v>296039</v>
      </c>
      <c r="B1084" t="s">
        <v>30004</v>
      </c>
      <c r="C1084" t="str">
        <f>"9781843103646"</f>
        <v>9781843103646</v>
      </c>
      <c r="D1084" t="str">
        <f>"9781846425554"</f>
        <v>9781846425554</v>
      </c>
      <c r="E1084" t="s">
        <v>146</v>
      </c>
      <c r="F1084" t="s">
        <v>146</v>
      </c>
      <c r="G1084" t="s">
        <v>22174</v>
      </c>
      <c r="H1084" t="s">
        <v>26011</v>
      </c>
      <c r="I1084" s="26">
        <v>38975</v>
      </c>
      <c r="J1084">
        <v>2006</v>
      </c>
      <c r="K1084" t="s">
        <v>146</v>
      </c>
      <c r="L1084">
        <v>178</v>
      </c>
      <c r="M1084" t="s">
        <v>30005</v>
      </c>
      <c r="N1084">
        <v>1</v>
      </c>
      <c r="Q1084" t="s">
        <v>30006</v>
      </c>
      <c r="R1084" t="s">
        <v>29581</v>
      </c>
      <c r="S1084" t="s">
        <v>30007</v>
      </c>
      <c r="T1084" t="s">
        <v>30</v>
      </c>
      <c r="U1084" t="s">
        <v>26044</v>
      </c>
      <c r="W1084" t="s">
        <v>28347</v>
      </c>
    </row>
    <row r="1085" spans="1:23" x14ac:dyDescent="0.35">
      <c r="A1085">
        <v>296041</v>
      </c>
      <c r="B1085" t="s">
        <v>30008</v>
      </c>
      <c r="C1085" t="str">
        <f>"9781843105015"</f>
        <v>9781843105015</v>
      </c>
      <c r="D1085" t="str">
        <f>"9781846425806"</f>
        <v>9781846425806</v>
      </c>
      <c r="E1085" t="s">
        <v>146</v>
      </c>
      <c r="F1085" t="s">
        <v>146</v>
      </c>
      <c r="G1085" t="s">
        <v>22174</v>
      </c>
      <c r="H1085" t="s">
        <v>26011</v>
      </c>
      <c r="I1085" s="26">
        <v>39051</v>
      </c>
      <c r="J1085">
        <v>2006</v>
      </c>
      <c r="K1085" t="s">
        <v>146</v>
      </c>
      <c r="L1085">
        <v>191</v>
      </c>
      <c r="M1085" t="s">
        <v>30009</v>
      </c>
      <c r="N1085">
        <v>1</v>
      </c>
      <c r="Q1085" t="s">
        <v>30010</v>
      </c>
      <c r="R1085">
        <v>155.937083</v>
      </c>
      <c r="S1085" t="s">
        <v>30011</v>
      </c>
      <c r="T1085" t="s">
        <v>30</v>
      </c>
      <c r="U1085" t="s">
        <v>46</v>
      </c>
      <c r="W1085" t="s">
        <v>28347</v>
      </c>
    </row>
    <row r="1086" spans="1:23" x14ac:dyDescent="0.35">
      <c r="A1086">
        <v>297554</v>
      </c>
      <c r="B1086" t="s">
        <v>30012</v>
      </c>
      <c r="C1086" t="str">
        <f>"9780253347824"</f>
        <v>9780253347824</v>
      </c>
      <c r="D1086" t="str">
        <f>"9780253112200"</f>
        <v>9780253112200</v>
      </c>
      <c r="E1086" t="s">
        <v>7540</v>
      </c>
      <c r="F1086" t="s">
        <v>7540</v>
      </c>
      <c r="G1086" t="s">
        <v>24303</v>
      </c>
      <c r="H1086" t="s">
        <v>26004</v>
      </c>
      <c r="I1086" s="26">
        <v>38960</v>
      </c>
      <c r="J1086">
        <v>2006</v>
      </c>
      <c r="K1086" t="s">
        <v>7540</v>
      </c>
      <c r="L1086">
        <v>281</v>
      </c>
      <c r="M1086" t="s">
        <v>30013</v>
      </c>
      <c r="N1086">
        <v>1</v>
      </c>
      <c r="Q1086" t="s">
        <v>30014</v>
      </c>
      <c r="R1086" t="s">
        <v>30015</v>
      </c>
      <c r="S1086" t="s">
        <v>30016</v>
      </c>
      <c r="T1086" t="s">
        <v>30</v>
      </c>
      <c r="U1086" t="s">
        <v>30017</v>
      </c>
      <c r="W1086" t="s">
        <v>26009</v>
      </c>
    </row>
    <row r="1087" spans="1:23" x14ac:dyDescent="0.35">
      <c r="A1087">
        <v>297557</v>
      </c>
      <c r="B1087" t="s">
        <v>30018</v>
      </c>
      <c r="C1087" t="str">
        <f>"9780253348036"</f>
        <v>9780253348036</v>
      </c>
      <c r="D1087" t="str">
        <f>"9780253112231"</f>
        <v>9780253112231</v>
      </c>
      <c r="E1087" t="s">
        <v>7540</v>
      </c>
      <c r="F1087" t="s">
        <v>7540</v>
      </c>
      <c r="G1087" t="s">
        <v>24303</v>
      </c>
      <c r="H1087" t="s">
        <v>26004</v>
      </c>
      <c r="I1087" s="26">
        <v>39029</v>
      </c>
      <c r="J1087">
        <v>2007</v>
      </c>
      <c r="K1087" t="s">
        <v>7540</v>
      </c>
      <c r="L1087">
        <v>241</v>
      </c>
      <c r="M1087" t="s">
        <v>30019</v>
      </c>
      <c r="N1087">
        <v>1</v>
      </c>
      <c r="Q1087" t="s">
        <v>30020</v>
      </c>
      <c r="R1087" t="s">
        <v>30021</v>
      </c>
      <c r="S1087" t="s">
        <v>30022</v>
      </c>
      <c r="T1087" t="s">
        <v>30</v>
      </c>
      <c r="U1087" t="s">
        <v>26044</v>
      </c>
      <c r="W1087" t="s">
        <v>26009</v>
      </c>
    </row>
    <row r="1088" spans="1:23" x14ac:dyDescent="0.35">
      <c r="A1088">
        <v>298294</v>
      </c>
      <c r="B1088" t="s">
        <v>30023</v>
      </c>
      <c r="C1088" t="str">
        <f>"9780125649315"</f>
        <v>9780125649315</v>
      </c>
      <c r="D1088" t="str">
        <f>"9780080521732"</f>
        <v>9780080521732</v>
      </c>
      <c r="E1088" t="s">
        <v>27482</v>
      </c>
      <c r="F1088" t="s">
        <v>7447</v>
      </c>
      <c r="G1088" t="s">
        <v>28361</v>
      </c>
      <c r="H1088" t="s">
        <v>26004</v>
      </c>
      <c r="I1088" s="26">
        <v>38336</v>
      </c>
      <c r="J1088">
        <v>2005</v>
      </c>
      <c r="K1088" t="s">
        <v>946</v>
      </c>
      <c r="L1088">
        <v>505</v>
      </c>
      <c r="M1088" t="s">
        <v>30024</v>
      </c>
      <c r="N1088">
        <v>1</v>
      </c>
      <c r="O1088" t="s">
        <v>27484</v>
      </c>
      <c r="Q1088" t="s">
        <v>30025</v>
      </c>
      <c r="R1088" t="s">
        <v>28305</v>
      </c>
      <c r="S1088" t="s">
        <v>10243</v>
      </c>
      <c r="T1088" t="s">
        <v>30</v>
      </c>
      <c r="U1088" t="s">
        <v>46</v>
      </c>
      <c r="W1088" t="s">
        <v>26009</v>
      </c>
    </row>
    <row r="1089" spans="1:23" x14ac:dyDescent="0.35">
      <c r="A1089">
        <v>298865</v>
      </c>
      <c r="B1089" t="s">
        <v>30026</v>
      </c>
      <c r="C1089" t="str">
        <f>"9781592135455"</f>
        <v>9781592135455</v>
      </c>
      <c r="D1089" t="str">
        <f>"9781592135479"</f>
        <v>9781592135479</v>
      </c>
      <c r="E1089" t="s">
        <v>7659</v>
      </c>
      <c r="F1089" t="s">
        <v>7659</v>
      </c>
      <c r="G1089" t="s">
        <v>22190</v>
      </c>
      <c r="H1089" t="s">
        <v>26004</v>
      </c>
      <c r="I1089" s="26">
        <v>38931</v>
      </c>
      <c r="J1089">
        <v>2006</v>
      </c>
      <c r="K1089" t="s">
        <v>7659</v>
      </c>
      <c r="L1089">
        <v>320</v>
      </c>
      <c r="M1089" t="s">
        <v>30027</v>
      </c>
      <c r="N1089">
        <v>1</v>
      </c>
      <c r="O1089" t="s">
        <v>30028</v>
      </c>
      <c r="Q1089" t="s">
        <v>30029</v>
      </c>
      <c r="R1089">
        <v>658.4</v>
      </c>
      <c r="S1089" t="s">
        <v>30030</v>
      </c>
      <c r="T1089" t="s">
        <v>30</v>
      </c>
      <c r="U1089" t="s">
        <v>30031</v>
      </c>
      <c r="W1089" t="s">
        <v>26009</v>
      </c>
    </row>
    <row r="1090" spans="1:23" x14ac:dyDescent="0.35">
      <c r="A1090">
        <v>298872</v>
      </c>
      <c r="B1090" t="s">
        <v>30032</v>
      </c>
      <c r="C1090" t="str">
        <f>"9781592134717"</f>
        <v>9781592134717</v>
      </c>
      <c r="D1090" t="str">
        <f>"9781592134731"</f>
        <v>9781592134731</v>
      </c>
      <c r="E1090" t="s">
        <v>7659</v>
      </c>
      <c r="F1090" t="s">
        <v>7659</v>
      </c>
      <c r="G1090" t="s">
        <v>22190</v>
      </c>
      <c r="H1090" t="s">
        <v>26004</v>
      </c>
      <c r="I1090" s="26">
        <v>38884</v>
      </c>
      <c r="J1090">
        <v>2006</v>
      </c>
      <c r="K1090" t="s">
        <v>7659</v>
      </c>
      <c r="L1090">
        <v>232</v>
      </c>
      <c r="M1090" t="s">
        <v>30033</v>
      </c>
      <c r="N1090">
        <v>1</v>
      </c>
      <c r="O1090" t="s">
        <v>30034</v>
      </c>
      <c r="Q1090" t="s">
        <v>30035</v>
      </c>
      <c r="R1090" t="s">
        <v>30036</v>
      </c>
      <c r="S1090" t="s">
        <v>30037</v>
      </c>
      <c r="T1090" t="s">
        <v>30</v>
      </c>
      <c r="U1090" t="s">
        <v>26135</v>
      </c>
      <c r="W1090" t="s">
        <v>26009</v>
      </c>
    </row>
    <row r="1091" spans="1:23" x14ac:dyDescent="0.35">
      <c r="A1091">
        <v>298879</v>
      </c>
      <c r="B1091" t="s">
        <v>30038</v>
      </c>
      <c r="C1091" t="str">
        <f>"9781592134038"</f>
        <v>9781592134038</v>
      </c>
      <c r="D1091" t="str">
        <f>"9781592134052"</f>
        <v>9781592134052</v>
      </c>
      <c r="E1091" t="s">
        <v>7659</v>
      </c>
      <c r="F1091" t="s">
        <v>7659</v>
      </c>
      <c r="G1091" t="s">
        <v>22190</v>
      </c>
      <c r="H1091" t="s">
        <v>26004</v>
      </c>
      <c r="I1091" s="26">
        <v>38627</v>
      </c>
      <c r="J1091">
        <v>2005</v>
      </c>
      <c r="K1091" t="s">
        <v>7659</v>
      </c>
      <c r="L1091">
        <v>248</v>
      </c>
      <c r="M1091" t="s">
        <v>30039</v>
      </c>
      <c r="N1091">
        <v>1</v>
      </c>
      <c r="Q1091" t="s">
        <v>30040</v>
      </c>
      <c r="R1091" t="s">
        <v>30041</v>
      </c>
      <c r="S1091" t="s">
        <v>30042</v>
      </c>
      <c r="T1091" t="s">
        <v>30</v>
      </c>
      <c r="U1091" t="s">
        <v>26094</v>
      </c>
      <c r="W1091" t="s">
        <v>26009</v>
      </c>
    </row>
    <row r="1092" spans="1:23" x14ac:dyDescent="0.35">
      <c r="A1092">
        <v>299031</v>
      </c>
      <c r="B1092" t="s">
        <v>9258</v>
      </c>
      <c r="C1092" t="str">
        <f>"9780080450735"</f>
        <v>9780080450735</v>
      </c>
      <c r="D1092" t="str">
        <f>"9780080545363"</f>
        <v>9780080545363</v>
      </c>
      <c r="E1092" t="s">
        <v>27482</v>
      </c>
      <c r="F1092" t="s">
        <v>7447</v>
      </c>
      <c r="G1092" t="s">
        <v>22689</v>
      </c>
      <c r="H1092" t="s">
        <v>26011</v>
      </c>
      <c r="I1092" s="26">
        <v>39325</v>
      </c>
      <c r="J1092">
        <v>2007</v>
      </c>
      <c r="K1092" t="s">
        <v>7447</v>
      </c>
      <c r="L1092">
        <v>397</v>
      </c>
      <c r="M1092" t="s">
        <v>30043</v>
      </c>
      <c r="N1092">
        <v>1</v>
      </c>
      <c r="O1092" t="s">
        <v>27484</v>
      </c>
      <c r="Q1092" t="s">
        <v>30044</v>
      </c>
      <c r="R1092" t="s">
        <v>30045</v>
      </c>
      <c r="S1092" t="s">
        <v>30046</v>
      </c>
      <c r="T1092" t="s">
        <v>30</v>
      </c>
      <c r="U1092" t="s">
        <v>26019</v>
      </c>
      <c r="W1092" t="s">
        <v>26009</v>
      </c>
    </row>
    <row r="1093" spans="1:23" x14ac:dyDescent="0.35">
      <c r="A1093">
        <v>299038</v>
      </c>
      <c r="B1093" t="s">
        <v>30047</v>
      </c>
      <c r="C1093" t="str">
        <f>"9780122678066"</f>
        <v>9780122678066</v>
      </c>
      <c r="D1093" t="str">
        <f>"9780080527635"</f>
        <v>9780080527635</v>
      </c>
      <c r="E1093" t="s">
        <v>27482</v>
      </c>
      <c r="F1093" t="s">
        <v>7447</v>
      </c>
      <c r="G1093" t="s">
        <v>22689</v>
      </c>
      <c r="H1093" t="s">
        <v>26004</v>
      </c>
      <c r="I1093" s="26">
        <v>37057</v>
      </c>
      <c r="J1093">
        <v>2001</v>
      </c>
      <c r="K1093" t="s">
        <v>946</v>
      </c>
      <c r="L1093">
        <v>355</v>
      </c>
      <c r="M1093" t="s">
        <v>30048</v>
      </c>
      <c r="N1093">
        <v>1</v>
      </c>
      <c r="Q1093" t="s">
        <v>30049</v>
      </c>
      <c r="R1093">
        <v>616.89</v>
      </c>
      <c r="S1093" t="s">
        <v>30050</v>
      </c>
      <c r="T1093" t="s">
        <v>30</v>
      </c>
      <c r="U1093" t="s">
        <v>26019</v>
      </c>
      <c r="W1093" t="s">
        <v>26009</v>
      </c>
    </row>
    <row r="1094" spans="1:23" x14ac:dyDescent="0.35">
      <c r="A1094">
        <v>299425</v>
      </c>
      <c r="B1094" t="s">
        <v>9632</v>
      </c>
      <c r="C1094" t="str">
        <f>"9781483299624"</f>
        <v>9781483299624</v>
      </c>
      <c r="D1094" t="str">
        <f>"9780080530130"</f>
        <v>9780080530130</v>
      </c>
      <c r="E1094" t="s">
        <v>27482</v>
      </c>
      <c r="F1094" t="s">
        <v>7447</v>
      </c>
      <c r="G1094" t="s">
        <v>22222</v>
      </c>
      <c r="H1094" t="s">
        <v>26011</v>
      </c>
      <c r="I1094" s="26">
        <v>38636</v>
      </c>
      <c r="J1094">
        <v>2005</v>
      </c>
      <c r="K1094" t="s">
        <v>7447</v>
      </c>
      <c r="L1094">
        <v>399</v>
      </c>
      <c r="M1094" t="s">
        <v>30051</v>
      </c>
      <c r="N1094">
        <v>1</v>
      </c>
      <c r="Q1094" t="s">
        <v>30052</v>
      </c>
      <c r="R1094">
        <v>616.89</v>
      </c>
      <c r="S1094" t="s">
        <v>30053</v>
      </c>
      <c r="T1094" t="s">
        <v>30</v>
      </c>
      <c r="U1094" t="s">
        <v>26116</v>
      </c>
      <c r="W1094" t="s">
        <v>26009</v>
      </c>
    </row>
    <row r="1095" spans="1:23" x14ac:dyDescent="0.35">
      <c r="A1095">
        <v>299604</v>
      </c>
      <c r="B1095" t="s">
        <v>30054</v>
      </c>
      <c r="C1095" t="str">
        <f>"9781894663106"</f>
        <v>9781894663106</v>
      </c>
      <c r="D1095" t="str">
        <f>"9781897415726"</f>
        <v>9781897415726</v>
      </c>
      <c r="E1095" t="s">
        <v>8295</v>
      </c>
      <c r="F1095" t="s">
        <v>8295</v>
      </c>
      <c r="G1095" t="s">
        <v>22174</v>
      </c>
      <c r="H1095" t="s">
        <v>28207</v>
      </c>
      <c r="I1095" s="26">
        <v>36610</v>
      </c>
      <c r="J1095">
        <v>2001</v>
      </c>
      <c r="K1095" t="s">
        <v>30055</v>
      </c>
      <c r="L1095">
        <v>160</v>
      </c>
      <c r="M1095" t="s">
        <v>30056</v>
      </c>
      <c r="Q1095" t="s">
        <v>30057</v>
      </c>
      <c r="R1095" t="s">
        <v>30058</v>
      </c>
      <c r="S1095" t="s">
        <v>30059</v>
      </c>
      <c r="T1095" t="s">
        <v>30</v>
      </c>
      <c r="U1095" t="s">
        <v>26044</v>
      </c>
      <c r="W1095" t="s">
        <v>26009</v>
      </c>
    </row>
    <row r="1096" spans="1:23" x14ac:dyDescent="0.35">
      <c r="A1096">
        <v>299658</v>
      </c>
      <c r="B1096" t="s">
        <v>30060</v>
      </c>
      <c r="C1096" t="str">
        <f>"9781895837452"</f>
        <v>9781895837452</v>
      </c>
      <c r="D1096" t="str">
        <f>"9781897414484"</f>
        <v>9781897414484</v>
      </c>
      <c r="E1096" t="s">
        <v>8295</v>
      </c>
      <c r="F1096" t="s">
        <v>8295</v>
      </c>
      <c r="G1096" t="s">
        <v>22634</v>
      </c>
      <c r="H1096" t="s">
        <v>28207</v>
      </c>
      <c r="I1096" s="26">
        <v>36053</v>
      </c>
      <c r="J1096">
        <v>1998</v>
      </c>
      <c r="K1096" t="s">
        <v>30055</v>
      </c>
      <c r="L1096">
        <v>485</v>
      </c>
      <c r="M1096" t="s">
        <v>30061</v>
      </c>
      <c r="Q1096" t="s">
        <v>30062</v>
      </c>
      <c r="R1096">
        <v>303.39999999999998</v>
      </c>
      <c r="S1096" t="s">
        <v>30063</v>
      </c>
      <c r="T1096" t="s">
        <v>30</v>
      </c>
      <c r="U1096" t="s">
        <v>26044</v>
      </c>
      <c r="W1096" t="s">
        <v>26009</v>
      </c>
    </row>
    <row r="1097" spans="1:23" x14ac:dyDescent="0.35">
      <c r="A1097">
        <v>299693</v>
      </c>
      <c r="B1097" t="s">
        <v>9457</v>
      </c>
      <c r="C1097" t="str">
        <f>"9781897178225"</f>
        <v>9781897178225</v>
      </c>
      <c r="D1097" t="str">
        <f>"9781897414934"</f>
        <v>9781897414934</v>
      </c>
      <c r="E1097" t="s">
        <v>8295</v>
      </c>
      <c r="F1097" t="s">
        <v>8295</v>
      </c>
      <c r="G1097" t="s">
        <v>22174</v>
      </c>
      <c r="H1097" t="s">
        <v>26004</v>
      </c>
      <c r="I1097" s="26">
        <v>38991</v>
      </c>
      <c r="J1097">
        <v>2006</v>
      </c>
      <c r="K1097" t="s">
        <v>8295</v>
      </c>
      <c r="L1097">
        <v>213</v>
      </c>
      <c r="M1097" t="s">
        <v>30064</v>
      </c>
      <c r="Q1097" t="s">
        <v>30065</v>
      </c>
      <c r="R1097">
        <v>158</v>
      </c>
      <c r="S1097" t="s">
        <v>30066</v>
      </c>
      <c r="T1097" t="s">
        <v>30</v>
      </c>
      <c r="U1097" t="s">
        <v>46</v>
      </c>
      <c r="W1097" t="s">
        <v>26009</v>
      </c>
    </row>
    <row r="1098" spans="1:23" x14ac:dyDescent="0.35">
      <c r="A1098">
        <v>300517</v>
      </c>
      <c r="B1098" t="s">
        <v>30067</v>
      </c>
      <c r="C1098" t="str">
        <f>"9781841694245"</f>
        <v>9781841694245</v>
      </c>
      <c r="D1098" t="str">
        <f>"9780203942888"</f>
        <v>9780203942888</v>
      </c>
      <c r="E1098" t="s">
        <v>26010</v>
      </c>
      <c r="F1098" t="s">
        <v>35</v>
      </c>
      <c r="G1098" t="s">
        <v>22267</v>
      </c>
      <c r="H1098" t="s">
        <v>26004</v>
      </c>
      <c r="I1098" s="26">
        <v>38520</v>
      </c>
      <c r="J1098">
        <v>2005</v>
      </c>
      <c r="K1098" t="s">
        <v>660</v>
      </c>
      <c r="L1098">
        <v>389</v>
      </c>
      <c r="M1098" t="s">
        <v>30068</v>
      </c>
      <c r="N1098">
        <v>1</v>
      </c>
      <c r="O1098" t="s">
        <v>30069</v>
      </c>
      <c r="P1098">
        <v>7</v>
      </c>
      <c r="Q1098" t="s">
        <v>30070</v>
      </c>
      <c r="R1098">
        <v>302.3</v>
      </c>
      <c r="S1098" t="s">
        <v>30071</v>
      </c>
      <c r="T1098" t="s">
        <v>30</v>
      </c>
      <c r="U1098" t="s">
        <v>26044</v>
      </c>
      <c r="W1098" t="s">
        <v>26009</v>
      </c>
    </row>
    <row r="1099" spans="1:23" x14ac:dyDescent="0.35">
      <c r="A1099">
        <v>300559</v>
      </c>
      <c r="B1099" t="s">
        <v>30072</v>
      </c>
      <c r="C1099" t="str">
        <f>"9780123785961"</f>
        <v>9780123785961</v>
      </c>
      <c r="D1099" t="str">
        <f>"9780123785978"</f>
        <v>9780123785978</v>
      </c>
      <c r="E1099" t="s">
        <v>27482</v>
      </c>
      <c r="F1099" t="s">
        <v>7447</v>
      </c>
      <c r="G1099" t="s">
        <v>22689</v>
      </c>
      <c r="H1099" t="s">
        <v>26004</v>
      </c>
      <c r="I1099" s="26">
        <v>40528</v>
      </c>
      <c r="J1099">
        <v>2011</v>
      </c>
      <c r="K1099" t="s">
        <v>946</v>
      </c>
      <c r="L1099">
        <v>311</v>
      </c>
      <c r="M1099" t="s">
        <v>30073</v>
      </c>
      <c r="N1099">
        <v>2</v>
      </c>
      <c r="O1099" t="s">
        <v>27484</v>
      </c>
      <c r="R1099" t="s">
        <v>30074</v>
      </c>
      <c r="S1099" t="s">
        <v>9300</v>
      </c>
      <c r="T1099" t="s">
        <v>30</v>
      </c>
      <c r="U1099" t="s">
        <v>26094</v>
      </c>
      <c r="W1099" t="s">
        <v>26009</v>
      </c>
    </row>
    <row r="1100" spans="1:23" x14ac:dyDescent="0.35">
      <c r="A1100">
        <v>300598</v>
      </c>
      <c r="B1100" t="s">
        <v>30075</v>
      </c>
      <c r="C1100" t="str">
        <f>"9780080434100"</f>
        <v>9780080434100</v>
      </c>
      <c r="D1100" t="str">
        <f>"9780080502182"</f>
        <v>9780080502182</v>
      </c>
      <c r="E1100" t="s">
        <v>27482</v>
      </c>
      <c r="F1100" t="s">
        <v>7447</v>
      </c>
      <c r="G1100" t="s">
        <v>22689</v>
      </c>
      <c r="H1100" t="s">
        <v>26011</v>
      </c>
      <c r="I1100" s="26">
        <v>37407</v>
      </c>
      <c r="J1100">
        <v>2002</v>
      </c>
      <c r="K1100" t="s">
        <v>29895</v>
      </c>
      <c r="L1100">
        <v>531</v>
      </c>
      <c r="M1100" t="s">
        <v>30076</v>
      </c>
      <c r="N1100">
        <v>1</v>
      </c>
      <c r="Q1100" t="s">
        <v>30077</v>
      </c>
      <c r="R1100" t="s">
        <v>30078</v>
      </c>
      <c r="S1100" t="s">
        <v>7889</v>
      </c>
      <c r="T1100" t="s">
        <v>30</v>
      </c>
      <c r="U1100" t="s">
        <v>26116</v>
      </c>
      <c r="W1100" t="s">
        <v>26009</v>
      </c>
    </row>
    <row r="1101" spans="1:23" x14ac:dyDescent="0.35">
      <c r="A1101">
        <v>300645</v>
      </c>
      <c r="B1101" t="s">
        <v>8656</v>
      </c>
      <c r="C1101" t="str">
        <f>"9780121098902"</f>
        <v>9780121098902</v>
      </c>
      <c r="D1101" t="str">
        <f>"9780080533209"</f>
        <v>9780080533209</v>
      </c>
      <c r="E1101" t="s">
        <v>27482</v>
      </c>
      <c r="F1101" t="s">
        <v>7447</v>
      </c>
      <c r="G1101" t="s">
        <v>22689</v>
      </c>
      <c r="H1101" t="s">
        <v>26004</v>
      </c>
      <c r="I1101" s="26">
        <v>36486</v>
      </c>
      <c r="J1101">
        <v>2000</v>
      </c>
      <c r="K1101" t="s">
        <v>946</v>
      </c>
      <c r="L1101">
        <v>816</v>
      </c>
      <c r="M1101" t="s">
        <v>30079</v>
      </c>
      <c r="N1101">
        <v>1</v>
      </c>
      <c r="Q1101" t="s">
        <v>30080</v>
      </c>
      <c r="R1101" t="s">
        <v>26420</v>
      </c>
      <c r="S1101" t="s">
        <v>7720</v>
      </c>
      <c r="T1101" t="s">
        <v>30</v>
      </c>
      <c r="U1101" t="s">
        <v>46</v>
      </c>
      <c r="W1101" t="s">
        <v>26009</v>
      </c>
    </row>
    <row r="1102" spans="1:23" x14ac:dyDescent="0.35">
      <c r="A1102">
        <v>300912</v>
      </c>
      <c r="B1102" t="s">
        <v>30081</v>
      </c>
      <c r="C1102" t="str">
        <f>"9780123706324"</f>
        <v>9780123706324</v>
      </c>
      <c r="D1102" t="str">
        <f>"9780080525297"</f>
        <v>9780080525297</v>
      </c>
      <c r="E1102" t="s">
        <v>27482</v>
      </c>
      <c r="F1102" t="s">
        <v>7447</v>
      </c>
      <c r="G1102" t="s">
        <v>22689</v>
      </c>
      <c r="H1102" t="s">
        <v>26011</v>
      </c>
      <c r="I1102" s="26">
        <v>39139</v>
      </c>
      <c r="J1102">
        <v>2007</v>
      </c>
      <c r="K1102" t="s">
        <v>946</v>
      </c>
      <c r="L1102">
        <v>453</v>
      </c>
      <c r="M1102" t="s">
        <v>30082</v>
      </c>
      <c r="N1102">
        <v>1</v>
      </c>
      <c r="Q1102" t="s">
        <v>30083</v>
      </c>
      <c r="S1102" t="s">
        <v>9961</v>
      </c>
      <c r="T1102" t="s">
        <v>30</v>
      </c>
      <c r="U1102" t="s">
        <v>26019</v>
      </c>
      <c r="W1102" t="s">
        <v>26009</v>
      </c>
    </row>
    <row r="1103" spans="1:23" x14ac:dyDescent="0.35">
      <c r="A1103">
        <v>301059</v>
      </c>
      <c r="B1103" t="s">
        <v>10257</v>
      </c>
      <c r="C1103" t="str">
        <f>"9781403970992"</f>
        <v>9781403970992</v>
      </c>
      <c r="D1103" t="str">
        <f>"9780230601437"</f>
        <v>9780230601437</v>
      </c>
      <c r="E1103" t="s">
        <v>30084</v>
      </c>
      <c r="F1103" t="s">
        <v>483</v>
      </c>
      <c r="G1103" t="s">
        <v>22179</v>
      </c>
      <c r="H1103" t="s">
        <v>26004</v>
      </c>
      <c r="I1103" s="26">
        <v>39239</v>
      </c>
      <c r="J1103">
        <v>2006</v>
      </c>
      <c r="K1103" t="s">
        <v>483</v>
      </c>
      <c r="L1103">
        <v>248</v>
      </c>
      <c r="M1103" t="s">
        <v>30085</v>
      </c>
      <c r="N1103">
        <v>1</v>
      </c>
      <c r="O1103" t="s">
        <v>30086</v>
      </c>
      <c r="Q1103" t="s">
        <v>30087</v>
      </c>
      <c r="S1103" t="s">
        <v>30088</v>
      </c>
      <c r="T1103" t="s">
        <v>30</v>
      </c>
      <c r="U1103" t="s">
        <v>26019</v>
      </c>
      <c r="W1103" t="s">
        <v>26009</v>
      </c>
    </row>
    <row r="1104" spans="1:23" x14ac:dyDescent="0.35">
      <c r="A1104">
        <v>301305</v>
      </c>
      <c r="B1104" t="s">
        <v>7599</v>
      </c>
      <c r="C1104" t="str">
        <f>"9780881634662"</f>
        <v>9780881634662</v>
      </c>
      <c r="D1104" t="str">
        <f>"9780203837566"</f>
        <v>9780203837566</v>
      </c>
      <c r="E1104" t="s">
        <v>26010</v>
      </c>
      <c r="F1104" t="s">
        <v>35</v>
      </c>
      <c r="G1104" t="s">
        <v>22251</v>
      </c>
      <c r="H1104" t="s">
        <v>26004</v>
      </c>
      <c r="I1104" s="26">
        <v>39275</v>
      </c>
      <c r="J1104">
        <v>2008</v>
      </c>
      <c r="K1104" t="s">
        <v>26012</v>
      </c>
      <c r="L1104">
        <v>281</v>
      </c>
      <c r="M1104" t="s">
        <v>30089</v>
      </c>
      <c r="N1104">
        <v>1</v>
      </c>
      <c r="O1104" t="s">
        <v>30090</v>
      </c>
      <c r="P1104">
        <v>21</v>
      </c>
      <c r="Q1104" t="s">
        <v>30091</v>
      </c>
      <c r="R1104">
        <v>155.30000000000001</v>
      </c>
      <c r="S1104" t="s">
        <v>7600</v>
      </c>
      <c r="T1104" t="s">
        <v>30</v>
      </c>
      <c r="U1104" t="s">
        <v>46</v>
      </c>
      <c r="W1104" t="s">
        <v>26009</v>
      </c>
    </row>
    <row r="1105" spans="1:23" x14ac:dyDescent="0.35">
      <c r="A1105">
        <v>306123</v>
      </c>
      <c r="B1105" t="s">
        <v>30092</v>
      </c>
      <c r="C1105" t="str">
        <f>"9780826124777"</f>
        <v>9780826124777</v>
      </c>
      <c r="D1105" t="str">
        <f>"9780826124784"</f>
        <v>9780826124784</v>
      </c>
      <c r="E1105" t="s">
        <v>1504</v>
      </c>
      <c r="F1105" t="s">
        <v>33</v>
      </c>
      <c r="G1105" t="s">
        <v>22179</v>
      </c>
      <c r="H1105" t="s">
        <v>26004</v>
      </c>
      <c r="I1105" s="26">
        <v>39387</v>
      </c>
      <c r="J1105">
        <v>2007</v>
      </c>
      <c r="K1105" t="s">
        <v>33</v>
      </c>
      <c r="L1105">
        <v>321</v>
      </c>
      <c r="M1105" t="s">
        <v>30093</v>
      </c>
      <c r="N1105">
        <v>1</v>
      </c>
      <c r="Q1105" t="s">
        <v>30094</v>
      </c>
      <c r="R1105" t="s">
        <v>30095</v>
      </c>
      <c r="S1105" t="s">
        <v>30096</v>
      </c>
      <c r="T1105" t="s">
        <v>30</v>
      </c>
      <c r="U1105" t="s">
        <v>26044</v>
      </c>
      <c r="W1105" t="s">
        <v>26009</v>
      </c>
    </row>
    <row r="1106" spans="1:23" x14ac:dyDescent="0.35">
      <c r="A1106">
        <v>306132</v>
      </c>
      <c r="B1106" t="s">
        <v>30097</v>
      </c>
      <c r="C1106" t="str">
        <f>"9780826102515"</f>
        <v>9780826102515</v>
      </c>
      <c r="D1106" t="str">
        <f>"9780826103123"</f>
        <v>9780826103123</v>
      </c>
      <c r="E1106" t="s">
        <v>1504</v>
      </c>
      <c r="F1106" t="s">
        <v>33</v>
      </c>
      <c r="G1106" t="s">
        <v>22179</v>
      </c>
      <c r="H1106" t="s">
        <v>26004</v>
      </c>
      <c r="I1106" s="26">
        <v>39356</v>
      </c>
      <c r="J1106">
        <v>2008</v>
      </c>
      <c r="K1106" t="s">
        <v>33</v>
      </c>
      <c r="L1106">
        <v>856</v>
      </c>
      <c r="M1106" t="s">
        <v>30098</v>
      </c>
      <c r="N1106">
        <v>3</v>
      </c>
      <c r="Q1106" t="s">
        <v>30099</v>
      </c>
      <c r="R1106">
        <v>616.89</v>
      </c>
      <c r="S1106" t="s">
        <v>30100</v>
      </c>
      <c r="T1106" t="s">
        <v>30</v>
      </c>
      <c r="U1106" t="s">
        <v>26040</v>
      </c>
      <c r="W1106" t="s">
        <v>26009</v>
      </c>
    </row>
    <row r="1107" spans="1:23" x14ac:dyDescent="0.35">
      <c r="A1107">
        <v>306244</v>
      </c>
      <c r="B1107" t="s">
        <v>30101</v>
      </c>
      <c r="C1107" t="str">
        <f>"9781846634765"</f>
        <v>9781846634765</v>
      </c>
      <c r="D1107" t="str">
        <f>"9781846634772"</f>
        <v>9781846634772</v>
      </c>
      <c r="E1107" t="s">
        <v>7442</v>
      </c>
      <c r="F1107" t="s">
        <v>7442</v>
      </c>
      <c r="G1107" t="s">
        <v>23125</v>
      </c>
      <c r="H1107" t="s">
        <v>26011</v>
      </c>
      <c r="I1107" s="26">
        <v>39173</v>
      </c>
      <c r="J1107">
        <v>2007</v>
      </c>
      <c r="K1107" t="s">
        <v>264</v>
      </c>
      <c r="L1107">
        <v>173</v>
      </c>
      <c r="M1107" t="s">
        <v>30102</v>
      </c>
      <c r="N1107">
        <v>1</v>
      </c>
      <c r="Q1107" t="s">
        <v>30103</v>
      </c>
      <c r="R1107" t="s">
        <v>30104</v>
      </c>
      <c r="S1107" t="s">
        <v>30105</v>
      </c>
      <c r="T1107" t="s">
        <v>30</v>
      </c>
      <c r="U1107" t="s">
        <v>26044</v>
      </c>
      <c r="W1107" t="s">
        <v>26009</v>
      </c>
    </row>
    <row r="1108" spans="1:23" x14ac:dyDescent="0.35">
      <c r="A1108">
        <v>306692</v>
      </c>
      <c r="B1108" t="s">
        <v>30106</v>
      </c>
      <c r="C1108" t="str">
        <f>"9780123705907"</f>
        <v>9780123705907</v>
      </c>
      <c r="D1108" t="str">
        <f>"9780080549385"</f>
        <v>9780080549385</v>
      </c>
      <c r="E1108" t="s">
        <v>27482</v>
      </c>
      <c r="F1108" t="s">
        <v>7447</v>
      </c>
      <c r="G1108" t="s">
        <v>22689</v>
      </c>
      <c r="H1108" t="s">
        <v>26011</v>
      </c>
      <c r="I1108" s="26">
        <v>39237</v>
      </c>
      <c r="J1108">
        <v>2007</v>
      </c>
      <c r="K1108" t="s">
        <v>946</v>
      </c>
      <c r="L1108">
        <v>512</v>
      </c>
      <c r="M1108" t="s">
        <v>30107</v>
      </c>
      <c r="N1108">
        <v>1</v>
      </c>
      <c r="Q1108" t="s">
        <v>30108</v>
      </c>
      <c r="S1108" t="s">
        <v>30109</v>
      </c>
      <c r="T1108" t="s">
        <v>30</v>
      </c>
      <c r="U1108" t="s">
        <v>30110</v>
      </c>
      <c r="W1108" t="s">
        <v>26009</v>
      </c>
    </row>
    <row r="1109" spans="1:23" x14ac:dyDescent="0.35">
      <c r="A1109">
        <v>306728</v>
      </c>
      <c r="B1109" t="s">
        <v>30111</v>
      </c>
      <c r="C1109" t="str">
        <f>"9781593853716"</f>
        <v>9781593853716</v>
      </c>
      <c r="D1109" t="str">
        <f>"9781593856182"</f>
        <v>9781593856182</v>
      </c>
      <c r="E1109" t="s">
        <v>30112</v>
      </c>
      <c r="F1109" t="s">
        <v>7420</v>
      </c>
      <c r="G1109" t="s">
        <v>22179</v>
      </c>
      <c r="H1109" t="s">
        <v>26004</v>
      </c>
      <c r="I1109" s="26">
        <v>39070</v>
      </c>
      <c r="J1109">
        <v>2007</v>
      </c>
      <c r="K1109" t="s">
        <v>30113</v>
      </c>
      <c r="L1109">
        <v>272</v>
      </c>
      <c r="M1109" t="s">
        <v>30114</v>
      </c>
      <c r="N1109">
        <v>2</v>
      </c>
      <c r="Q1109" t="s">
        <v>30115</v>
      </c>
      <c r="R1109" t="s">
        <v>26957</v>
      </c>
      <c r="S1109" t="s">
        <v>30116</v>
      </c>
      <c r="T1109" t="s">
        <v>30</v>
      </c>
      <c r="U1109" t="s">
        <v>26116</v>
      </c>
      <c r="W1109" t="s">
        <v>28347</v>
      </c>
    </row>
    <row r="1110" spans="1:23" x14ac:dyDescent="0.35">
      <c r="A1110">
        <v>306732</v>
      </c>
      <c r="B1110" t="s">
        <v>7605</v>
      </c>
      <c r="C1110" t="str">
        <f>"9781572308732"</f>
        <v>9781572308732</v>
      </c>
      <c r="D1110" t="str">
        <f>"9781593855574"</f>
        <v>9781593855574</v>
      </c>
      <c r="E1110" t="s">
        <v>30112</v>
      </c>
      <c r="F1110" t="s">
        <v>7420</v>
      </c>
      <c r="G1110" t="s">
        <v>22179</v>
      </c>
      <c r="H1110" t="s">
        <v>26004</v>
      </c>
      <c r="I1110" s="26">
        <v>37781</v>
      </c>
      <c r="J1110">
        <v>2003</v>
      </c>
      <c r="K1110" t="s">
        <v>30113</v>
      </c>
      <c r="L1110">
        <v>432</v>
      </c>
      <c r="M1110" t="s">
        <v>30117</v>
      </c>
      <c r="N1110">
        <v>1</v>
      </c>
      <c r="Q1110" t="s">
        <v>30118</v>
      </c>
      <c r="R1110" t="s">
        <v>28066</v>
      </c>
      <c r="S1110" t="s">
        <v>30119</v>
      </c>
      <c r="T1110" t="s">
        <v>30</v>
      </c>
      <c r="U1110" t="s">
        <v>26019</v>
      </c>
      <c r="W1110" t="s">
        <v>28347</v>
      </c>
    </row>
    <row r="1111" spans="1:23" x14ac:dyDescent="0.35">
      <c r="A1111">
        <v>306734</v>
      </c>
      <c r="B1111" t="s">
        <v>7685</v>
      </c>
      <c r="C1111" t="str">
        <f>"9781593852528"</f>
        <v>9781593852528</v>
      </c>
      <c r="D1111" t="str">
        <f>"9781593855048"</f>
        <v>9781593855048</v>
      </c>
      <c r="E1111" t="s">
        <v>30112</v>
      </c>
      <c r="F1111" t="s">
        <v>7420</v>
      </c>
      <c r="G1111" t="s">
        <v>22179</v>
      </c>
      <c r="H1111" t="s">
        <v>26004</v>
      </c>
      <c r="I1111" s="26">
        <v>38740</v>
      </c>
      <c r="J1111">
        <v>2006</v>
      </c>
      <c r="K1111" t="s">
        <v>30113</v>
      </c>
      <c r="L1111">
        <v>480</v>
      </c>
      <c r="M1111" t="s">
        <v>30120</v>
      </c>
      <c r="N1111">
        <v>1</v>
      </c>
      <c r="Q1111" t="s">
        <v>30121</v>
      </c>
      <c r="R1111">
        <v>612.79999999999995</v>
      </c>
      <c r="S1111" t="s">
        <v>30122</v>
      </c>
      <c r="T1111" t="s">
        <v>30</v>
      </c>
      <c r="U1111" t="s">
        <v>27252</v>
      </c>
      <c r="W1111" t="s">
        <v>28347</v>
      </c>
    </row>
    <row r="1112" spans="1:23" x14ac:dyDescent="0.35">
      <c r="A1112">
        <v>306736</v>
      </c>
      <c r="B1112" t="s">
        <v>30123</v>
      </c>
      <c r="C1112" t="str">
        <f>"9781593855925"</f>
        <v>9781593855925</v>
      </c>
      <c r="D1112" t="str">
        <f>"9781593855055"</f>
        <v>9781593855055</v>
      </c>
      <c r="E1112" t="s">
        <v>30112</v>
      </c>
      <c r="F1112" t="s">
        <v>7420</v>
      </c>
      <c r="G1112" t="s">
        <v>22179</v>
      </c>
      <c r="H1112" t="s">
        <v>26004</v>
      </c>
      <c r="I1112" s="26">
        <v>38894</v>
      </c>
      <c r="J1112">
        <v>2006</v>
      </c>
      <c r="K1112" t="s">
        <v>30113</v>
      </c>
      <c r="L1112">
        <v>240</v>
      </c>
      <c r="M1112" t="s">
        <v>30124</v>
      </c>
      <c r="N1112">
        <v>1</v>
      </c>
      <c r="Q1112" t="s">
        <v>30125</v>
      </c>
      <c r="R1112">
        <v>158</v>
      </c>
      <c r="S1112" t="s">
        <v>30126</v>
      </c>
      <c r="T1112" t="s">
        <v>30</v>
      </c>
      <c r="U1112" t="s">
        <v>46</v>
      </c>
      <c r="W1112" t="s">
        <v>30127</v>
      </c>
    </row>
    <row r="1113" spans="1:23" x14ac:dyDescent="0.35">
      <c r="A1113">
        <v>306737</v>
      </c>
      <c r="B1113" t="s">
        <v>30128</v>
      </c>
      <c r="C1113" t="str">
        <f>"9781593851354"</f>
        <v>9781593851354</v>
      </c>
      <c r="D1113" t="str">
        <f>"9781593855475"</f>
        <v>9781593855475</v>
      </c>
      <c r="E1113" t="s">
        <v>30112</v>
      </c>
      <c r="F1113" t="s">
        <v>7420</v>
      </c>
      <c r="G1113" t="s">
        <v>22179</v>
      </c>
      <c r="H1113" t="s">
        <v>26004</v>
      </c>
      <c r="I1113" s="26">
        <v>38420</v>
      </c>
      <c r="J1113">
        <v>2005</v>
      </c>
      <c r="K1113" t="s">
        <v>30113</v>
      </c>
      <c r="L1113">
        <v>304</v>
      </c>
      <c r="M1113" t="s">
        <v>30129</v>
      </c>
      <c r="N1113">
        <v>1</v>
      </c>
      <c r="Q1113" t="s">
        <v>30130</v>
      </c>
      <c r="R1113" t="s">
        <v>30131</v>
      </c>
      <c r="S1113" t="s">
        <v>30132</v>
      </c>
      <c r="T1113" t="s">
        <v>30</v>
      </c>
      <c r="U1113" t="s">
        <v>26116</v>
      </c>
      <c r="W1113" t="s">
        <v>28347</v>
      </c>
    </row>
    <row r="1114" spans="1:23" x14ac:dyDescent="0.35">
      <c r="A1114">
        <v>306738</v>
      </c>
      <c r="B1114" t="s">
        <v>30133</v>
      </c>
      <c r="C1114" t="str">
        <f>"9781593852634"</f>
        <v>9781593852634</v>
      </c>
      <c r="D1114" t="str">
        <f>"9781593855062"</f>
        <v>9781593855062</v>
      </c>
      <c r="E1114" t="s">
        <v>30112</v>
      </c>
      <c r="F1114" t="s">
        <v>7420</v>
      </c>
      <c r="G1114" t="s">
        <v>22179</v>
      </c>
      <c r="H1114" t="s">
        <v>26004</v>
      </c>
      <c r="I1114" s="26">
        <v>38792</v>
      </c>
      <c r="J1114">
        <v>2006</v>
      </c>
      <c r="K1114" t="s">
        <v>30113</v>
      </c>
      <c r="L1114">
        <v>542</v>
      </c>
      <c r="M1114" t="s">
        <v>30134</v>
      </c>
      <c r="N1114">
        <v>2</v>
      </c>
      <c r="Q1114" t="s">
        <v>30135</v>
      </c>
      <c r="R1114" t="s">
        <v>30136</v>
      </c>
      <c r="S1114" t="s">
        <v>30137</v>
      </c>
      <c r="T1114" t="s">
        <v>30</v>
      </c>
      <c r="U1114" t="s">
        <v>26019</v>
      </c>
      <c r="W1114" t="s">
        <v>28347</v>
      </c>
    </row>
    <row r="1115" spans="1:23" x14ac:dyDescent="0.35">
      <c r="A1115">
        <v>306740</v>
      </c>
      <c r="B1115" t="s">
        <v>7908</v>
      </c>
      <c r="C1115" t="str">
        <f>"9781593852474"</f>
        <v>9781593852474</v>
      </c>
      <c r="D1115" t="str">
        <f>"9781593855086"</f>
        <v>9781593855086</v>
      </c>
      <c r="E1115" t="s">
        <v>30112</v>
      </c>
      <c r="F1115" t="s">
        <v>7420</v>
      </c>
      <c r="G1115" t="s">
        <v>22179</v>
      </c>
      <c r="H1115" t="s">
        <v>26004</v>
      </c>
      <c r="I1115" s="26">
        <v>38734</v>
      </c>
      <c r="J1115">
        <v>2006</v>
      </c>
      <c r="K1115" t="s">
        <v>30113</v>
      </c>
      <c r="L1115">
        <v>492</v>
      </c>
      <c r="M1115" t="s">
        <v>30138</v>
      </c>
      <c r="N1115">
        <v>2</v>
      </c>
      <c r="Q1115" t="s">
        <v>26963</v>
      </c>
      <c r="R1115" t="s">
        <v>30139</v>
      </c>
      <c r="S1115" t="s">
        <v>30140</v>
      </c>
      <c r="T1115" t="s">
        <v>30</v>
      </c>
      <c r="U1115" t="s">
        <v>26116</v>
      </c>
      <c r="W1115" t="s">
        <v>28347</v>
      </c>
    </row>
    <row r="1116" spans="1:23" x14ac:dyDescent="0.35">
      <c r="A1116">
        <v>306744</v>
      </c>
      <c r="B1116" t="s">
        <v>30141</v>
      </c>
      <c r="C1116" t="str">
        <f>"9781593852733"</f>
        <v>9781593852733</v>
      </c>
      <c r="D1116" t="str">
        <f>"9781593855109"</f>
        <v>9781593855109</v>
      </c>
      <c r="E1116" t="s">
        <v>30112</v>
      </c>
      <c r="F1116" t="s">
        <v>7420</v>
      </c>
      <c r="G1116" t="s">
        <v>22179</v>
      </c>
      <c r="H1116" t="s">
        <v>26004</v>
      </c>
      <c r="I1116" s="26">
        <v>38862</v>
      </c>
      <c r="J1116">
        <v>2006</v>
      </c>
      <c r="K1116" t="s">
        <v>30113</v>
      </c>
      <c r="L1116">
        <v>496</v>
      </c>
      <c r="M1116" t="s">
        <v>30142</v>
      </c>
      <c r="N1116">
        <v>1</v>
      </c>
      <c r="Q1116" t="s">
        <v>30143</v>
      </c>
      <c r="R1116" t="s">
        <v>30144</v>
      </c>
      <c r="S1116" t="s">
        <v>30145</v>
      </c>
      <c r="T1116" t="s">
        <v>30</v>
      </c>
      <c r="U1116" t="s">
        <v>26019</v>
      </c>
      <c r="W1116" t="s">
        <v>28347</v>
      </c>
    </row>
    <row r="1117" spans="1:23" x14ac:dyDescent="0.35">
      <c r="A1117">
        <v>306750</v>
      </c>
      <c r="B1117" t="s">
        <v>30146</v>
      </c>
      <c r="C1117" t="str">
        <f>"9781593852702"</f>
        <v>9781593852702</v>
      </c>
      <c r="D1117" t="str">
        <f>"9781593855147"</f>
        <v>9781593855147</v>
      </c>
      <c r="E1117" t="s">
        <v>30112</v>
      </c>
      <c r="F1117" t="s">
        <v>7420</v>
      </c>
      <c r="G1117" t="s">
        <v>22179</v>
      </c>
      <c r="H1117" t="s">
        <v>26004</v>
      </c>
      <c r="I1117" s="26">
        <v>38790</v>
      </c>
      <c r="J1117">
        <v>2006</v>
      </c>
      <c r="K1117" t="s">
        <v>30113</v>
      </c>
      <c r="L1117">
        <v>480</v>
      </c>
      <c r="M1117" t="s">
        <v>30147</v>
      </c>
      <c r="N1117">
        <v>1</v>
      </c>
      <c r="Q1117" t="s">
        <v>30148</v>
      </c>
      <c r="R1117" t="s">
        <v>30149</v>
      </c>
      <c r="S1117" t="s">
        <v>30150</v>
      </c>
      <c r="T1117" t="s">
        <v>30</v>
      </c>
      <c r="U1117" t="s">
        <v>46</v>
      </c>
      <c r="W1117" t="s">
        <v>28347</v>
      </c>
    </row>
    <row r="1118" spans="1:23" x14ac:dyDescent="0.35">
      <c r="A1118">
        <v>306751</v>
      </c>
      <c r="B1118" t="s">
        <v>30151</v>
      </c>
      <c r="C1118" t="str">
        <f>"9781593852955"</f>
        <v>9781593852955</v>
      </c>
      <c r="D1118" t="str">
        <f>"9781593855154"</f>
        <v>9781593855154</v>
      </c>
      <c r="E1118" t="s">
        <v>30112</v>
      </c>
      <c r="F1118" t="s">
        <v>7420</v>
      </c>
      <c r="G1118" t="s">
        <v>22179</v>
      </c>
      <c r="H1118" t="s">
        <v>26004</v>
      </c>
      <c r="I1118" s="26">
        <v>38792</v>
      </c>
      <c r="J1118">
        <v>2006</v>
      </c>
      <c r="K1118" t="s">
        <v>30113</v>
      </c>
      <c r="L1118">
        <v>272</v>
      </c>
      <c r="M1118" t="s">
        <v>30152</v>
      </c>
      <c r="N1118">
        <v>1</v>
      </c>
      <c r="Q1118" t="s">
        <v>30153</v>
      </c>
      <c r="R1118" t="s">
        <v>30154</v>
      </c>
      <c r="S1118" t="s">
        <v>30155</v>
      </c>
      <c r="T1118" t="s">
        <v>30</v>
      </c>
      <c r="U1118" t="s">
        <v>27319</v>
      </c>
      <c r="W1118" t="s">
        <v>28347</v>
      </c>
    </row>
    <row r="1119" spans="1:23" x14ac:dyDescent="0.35">
      <c r="A1119">
        <v>306752</v>
      </c>
      <c r="B1119" t="s">
        <v>30156</v>
      </c>
      <c r="C1119" t="str">
        <f>"9781593852948"</f>
        <v>9781593852948</v>
      </c>
      <c r="D1119" t="str">
        <f>"9781593855161"</f>
        <v>9781593855161</v>
      </c>
      <c r="E1119" t="s">
        <v>30112</v>
      </c>
      <c r="F1119" t="s">
        <v>7420</v>
      </c>
      <c r="G1119" t="s">
        <v>22179</v>
      </c>
      <c r="H1119" t="s">
        <v>26004</v>
      </c>
      <c r="I1119" s="26">
        <v>38882</v>
      </c>
      <c r="J1119">
        <v>2006</v>
      </c>
      <c r="K1119" t="s">
        <v>30113</v>
      </c>
      <c r="L1119">
        <v>224</v>
      </c>
      <c r="M1119" t="s">
        <v>30157</v>
      </c>
      <c r="N1119">
        <v>1</v>
      </c>
      <c r="Q1119" t="s">
        <v>30158</v>
      </c>
      <c r="R1119">
        <v>646.70000000000005</v>
      </c>
      <c r="S1119" t="s">
        <v>8407</v>
      </c>
      <c r="T1119" t="s">
        <v>30</v>
      </c>
      <c r="U1119" t="s">
        <v>29259</v>
      </c>
      <c r="W1119" t="s">
        <v>28347</v>
      </c>
    </row>
    <row r="1120" spans="1:23" x14ac:dyDescent="0.35">
      <c r="A1120">
        <v>306758</v>
      </c>
      <c r="B1120" t="s">
        <v>30159</v>
      </c>
      <c r="C1120" t="str">
        <f>"9781593853341"</f>
        <v>9781593853341</v>
      </c>
      <c r="D1120" t="str">
        <f>"9781593855185"</f>
        <v>9781593855185</v>
      </c>
      <c r="E1120" t="s">
        <v>30112</v>
      </c>
      <c r="F1120" t="s">
        <v>7420</v>
      </c>
      <c r="G1120" t="s">
        <v>22179</v>
      </c>
      <c r="H1120" t="s">
        <v>26004</v>
      </c>
      <c r="I1120" s="26">
        <v>38957</v>
      </c>
      <c r="J1120">
        <v>2006</v>
      </c>
      <c r="K1120" t="s">
        <v>30113</v>
      </c>
      <c r="L1120">
        <v>272</v>
      </c>
      <c r="M1120" t="s">
        <v>30160</v>
      </c>
      <c r="N1120">
        <v>1</v>
      </c>
      <c r="Q1120" t="s">
        <v>30161</v>
      </c>
      <c r="R1120" t="s">
        <v>29454</v>
      </c>
      <c r="S1120" t="s">
        <v>30162</v>
      </c>
      <c r="T1120" t="s">
        <v>30</v>
      </c>
      <c r="U1120" t="s">
        <v>26116</v>
      </c>
      <c r="W1120" t="s">
        <v>28347</v>
      </c>
    </row>
    <row r="1121" spans="1:23" x14ac:dyDescent="0.35">
      <c r="A1121">
        <v>306761</v>
      </c>
      <c r="B1121" t="s">
        <v>30163</v>
      </c>
      <c r="C1121" t="str">
        <f>"9781593851675"</f>
        <v>9781593851675</v>
      </c>
      <c r="D1121" t="str">
        <f>"9781593855529"</f>
        <v>9781593855529</v>
      </c>
      <c r="E1121" t="s">
        <v>30112</v>
      </c>
      <c r="F1121" t="s">
        <v>7420</v>
      </c>
      <c r="G1121" t="s">
        <v>22179</v>
      </c>
      <c r="H1121" t="s">
        <v>26004</v>
      </c>
      <c r="I1121" s="26">
        <v>38510</v>
      </c>
      <c r="J1121">
        <v>2005</v>
      </c>
      <c r="K1121" t="s">
        <v>30113</v>
      </c>
      <c r="L1121">
        <v>336</v>
      </c>
      <c r="M1121" t="s">
        <v>30164</v>
      </c>
      <c r="N1121">
        <v>1</v>
      </c>
      <c r="Q1121" t="s">
        <v>30165</v>
      </c>
      <c r="R1121">
        <v>618.92849999999999</v>
      </c>
      <c r="S1121" t="s">
        <v>30166</v>
      </c>
      <c r="T1121" t="s">
        <v>30</v>
      </c>
      <c r="U1121" t="s">
        <v>26116</v>
      </c>
      <c r="W1121" t="s">
        <v>28347</v>
      </c>
    </row>
    <row r="1122" spans="1:23" x14ac:dyDescent="0.35">
      <c r="A1122">
        <v>306766</v>
      </c>
      <c r="B1122" t="s">
        <v>30167</v>
      </c>
      <c r="C1122" t="str">
        <f>"9781593851460"</f>
        <v>9781593851460</v>
      </c>
      <c r="D1122" t="str">
        <f>"9781593855512"</f>
        <v>9781593855512</v>
      </c>
      <c r="E1122" t="s">
        <v>30112</v>
      </c>
      <c r="F1122" t="s">
        <v>7420</v>
      </c>
      <c r="G1122" t="s">
        <v>22179</v>
      </c>
      <c r="H1122" t="s">
        <v>26004</v>
      </c>
      <c r="I1122" s="26">
        <v>38476</v>
      </c>
      <c r="J1122">
        <v>2005</v>
      </c>
      <c r="K1122" t="s">
        <v>30113</v>
      </c>
      <c r="L1122">
        <v>224</v>
      </c>
      <c r="M1122" t="s">
        <v>30168</v>
      </c>
      <c r="N1122">
        <v>1</v>
      </c>
      <c r="Q1122" t="s">
        <v>30169</v>
      </c>
      <c r="R1122">
        <v>616.85839999999996</v>
      </c>
      <c r="S1122" t="s">
        <v>30170</v>
      </c>
      <c r="T1122" t="s">
        <v>30</v>
      </c>
      <c r="U1122" t="s">
        <v>26116</v>
      </c>
      <c r="W1122" t="s">
        <v>28347</v>
      </c>
    </row>
    <row r="1123" spans="1:23" x14ac:dyDescent="0.35">
      <c r="A1123">
        <v>306772</v>
      </c>
      <c r="B1123" t="s">
        <v>9121</v>
      </c>
      <c r="C1123" t="str">
        <f>"9781593853105"</f>
        <v>9781593853105</v>
      </c>
      <c r="D1123" t="str">
        <f>"9781593855239"</f>
        <v>9781593855239</v>
      </c>
      <c r="E1123" t="s">
        <v>30112</v>
      </c>
      <c r="F1123" t="s">
        <v>7420</v>
      </c>
      <c r="G1123" t="s">
        <v>22179</v>
      </c>
      <c r="H1123" t="s">
        <v>26004</v>
      </c>
      <c r="I1123" s="26">
        <v>38932</v>
      </c>
      <c r="J1123">
        <v>2006</v>
      </c>
      <c r="K1123" t="s">
        <v>30113</v>
      </c>
      <c r="L1123">
        <v>352</v>
      </c>
      <c r="M1123" t="s">
        <v>30171</v>
      </c>
      <c r="N1123">
        <v>1</v>
      </c>
      <c r="Q1123" t="s">
        <v>26963</v>
      </c>
      <c r="R1123" t="s">
        <v>27184</v>
      </c>
      <c r="S1123" t="s">
        <v>30172</v>
      </c>
      <c r="T1123" t="s">
        <v>30</v>
      </c>
      <c r="U1123" t="s">
        <v>26019</v>
      </c>
      <c r="W1123" t="s">
        <v>28347</v>
      </c>
    </row>
    <row r="1124" spans="1:23" x14ac:dyDescent="0.35">
      <c r="A1124">
        <v>306780</v>
      </c>
      <c r="B1124" t="s">
        <v>30173</v>
      </c>
      <c r="C1124" t="str">
        <f>"9781593852986"</f>
        <v>9781593852986</v>
      </c>
      <c r="D1124" t="str">
        <f>"9781593855284"</f>
        <v>9781593855284</v>
      </c>
      <c r="E1124" t="s">
        <v>30112</v>
      </c>
      <c r="F1124" t="s">
        <v>7420</v>
      </c>
      <c r="G1124" t="s">
        <v>22179</v>
      </c>
      <c r="H1124" t="s">
        <v>26004</v>
      </c>
      <c r="I1124" s="26">
        <v>38855</v>
      </c>
      <c r="J1124">
        <v>2006</v>
      </c>
      <c r="K1124" t="s">
        <v>30113</v>
      </c>
      <c r="L1124">
        <v>399</v>
      </c>
      <c r="M1124" t="s">
        <v>30174</v>
      </c>
      <c r="N1124">
        <v>1</v>
      </c>
      <c r="Q1124" t="s">
        <v>30175</v>
      </c>
      <c r="R1124">
        <v>155.19999999999999</v>
      </c>
      <c r="S1124" t="s">
        <v>30176</v>
      </c>
      <c r="T1124" t="s">
        <v>30</v>
      </c>
      <c r="U1124" t="s">
        <v>46</v>
      </c>
      <c r="W1124" t="s">
        <v>28347</v>
      </c>
    </row>
    <row r="1125" spans="1:23" x14ac:dyDescent="0.35">
      <c r="A1125">
        <v>306782</v>
      </c>
      <c r="B1125" t="s">
        <v>30177</v>
      </c>
      <c r="C1125" t="str">
        <f>"9781572309838"</f>
        <v>9781572309838</v>
      </c>
      <c r="D1125" t="str">
        <f>"9781593855611"</f>
        <v>9781593855611</v>
      </c>
      <c r="E1125" t="s">
        <v>30112</v>
      </c>
      <c r="F1125" t="s">
        <v>7420</v>
      </c>
      <c r="G1125" t="s">
        <v>22179</v>
      </c>
      <c r="H1125" t="s">
        <v>26004</v>
      </c>
      <c r="I1125" s="26">
        <v>38014</v>
      </c>
      <c r="J1125">
        <v>2004</v>
      </c>
      <c r="K1125" t="s">
        <v>30113</v>
      </c>
      <c r="L1125">
        <v>368</v>
      </c>
      <c r="M1125" t="s">
        <v>30178</v>
      </c>
      <c r="N1125">
        <v>2</v>
      </c>
      <c r="Q1125" t="s">
        <v>30179</v>
      </c>
      <c r="R1125">
        <v>155.33000000000001</v>
      </c>
      <c r="S1125" t="s">
        <v>9613</v>
      </c>
      <c r="T1125" t="s">
        <v>30</v>
      </c>
      <c r="U1125" t="s">
        <v>46</v>
      </c>
      <c r="W1125" t="s">
        <v>28347</v>
      </c>
    </row>
    <row r="1126" spans="1:23" x14ac:dyDescent="0.35">
      <c r="A1126">
        <v>306783</v>
      </c>
      <c r="B1126" t="s">
        <v>9653</v>
      </c>
      <c r="C1126" t="str">
        <f>"9781593852139"</f>
        <v>9781593852139</v>
      </c>
      <c r="D1126" t="str">
        <f>"9781593856298"</f>
        <v>9781593856298</v>
      </c>
      <c r="E1126" t="s">
        <v>30112</v>
      </c>
      <c r="F1126" t="s">
        <v>7420</v>
      </c>
      <c r="G1126" t="s">
        <v>22179</v>
      </c>
      <c r="H1126" t="s">
        <v>26004</v>
      </c>
      <c r="I1126" s="26">
        <v>38971</v>
      </c>
      <c r="J1126">
        <v>2007</v>
      </c>
      <c r="K1126" t="s">
        <v>30113</v>
      </c>
      <c r="L1126">
        <v>431</v>
      </c>
      <c r="M1126" t="s">
        <v>30180</v>
      </c>
      <c r="N1126">
        <v>2</v>
      </c>
      <c r="Q1126" t="s">
        <v>30161</v>
      </c>
      <c r="R1126" t="s">
        <v>30181</v>
      </c>
      <c r="S1126" t="s">
        <v>29674</v>
      </c>
      <c r="T1126" t="s">
        <v>30</v>
      </c>
      <c r="U1126" t="s">
        <v>26019</v>
      </c>
      <c r="W1126" t="s">
        <v>28347</v>
      </c>
    </row>
    <row r="1127" spans="1:23" x14ac:dyDescent="0.35">
      <c r="A1127">
        <v>306787</v>
      </c>
      <c r="B1127" t="s">
        <v>30182</v>
      </c>
      <c r="C1127" t="str">
        <f>"9781572302310"</f>
        <v>9781572302310</v>
      </c>
      <c r="D1127" t="str">
        <f>"9781593855314"</f>
        <v>9781593855314</v>
      </c>
      <c r="E1127" t="s">
        <v>30112</v>
      </c>
      <c r="F1127" t="s">
        <v>7420</v>
      </c>
      <c r="G1127" t="s">
        <v>22179</v>
      </c>
      <c r="H1127" t="s">
        <v>26004</v>
      </c>
      <c r="I1127" s="26">
        <v>38763</v>
      </c>
      <c r="J1127">
        <v>2006</v>
      </c>
      <c r="K1127" t="s">
        <v>30113</v>
      </c>
      <c r="L1127">
        <v>336</v>
      </c>
      <c r="M1127" t="s">
        <v>30183</v>
      </c>
      <c r="N1127">
        <v>1</v>
      </c>
      <c r="Q1127" t="s">
        <v>30184</v>
      </c>
      <c r="R1127">
        <v>362.29</v>
      </c>
      <c r="S1127" t="s">
        <v>9742</v>
      </c>
      <c r="T1127" t="s">
        <v>30</v>
      </c>
      <c r="U1127" t="s">
        <v>30185</v>
      </c>
      <c r="W1127" t="s">
        <v>28347</v>
      </c>
    </row>
    <row r="1128" spans="1:23" x14ac:dyDescent="0.35">
      <c r="A1128">
        <v>306791</v>
      </c>
      <c r="B1128" t="s">
        <v>30186</v>
      </c>
      <c r="C1128" t="str">
        <f>"9781593852849"</f>
        <v>9781593852849</v>
      </c>
      <c r="D1128" t="str">
        <f>"9781593855352"</f>
        <v>9781593855352</v>
      </c>
      <c r="E1128" t="s">
        <v>30112</v>
      </c>
      <c r="F1128" t="s">
        <v>7420</v>
      </c>
      <c r="G1128" t="s">
        <v>22179</v>
      </c>
      <c r="H1128" t="s">
        <v>26004</v>
      </c>
      <c r="I1128" s="26">
        <v>38835</v>
      </c>
      <c r="J1128">
        <v>2006</v>
      </c>
      <c r="K1128" t="s">
        <v>30113</v>
      </c>
      <c r="L1128">
        <v>368</v>
      </c>
      <c r="M1128" t="s">
        <v>30187</v>
      </c>
      <c r="N1128">
        <v>1</v>
      </c>
      <c r="Q1128" t="s">
        <v>30188</v>
      </c>
      <c r="R1128" t="s">
        <v>28378</v>
      </c>
      <c r="S1128" t="s">
        <v>30189</v>
      </c>
      <c r="T1128" t="s">
        <v>30</v>
      </c>
      <c r="U1128" t="s">
        <v>26019</v>
      </c>
      <c r="W1128" t="s">
        <v>28347</v>
      </c>
    </row>
    <row r="1129" spans="1:23" x14ac:dyDescent="0.35">
      <c r="A1129">
        <v>306796</v>
      </c>
      <c r="B1129" t="s">
        <v>30190</v>
      </c>
      <c r="C1129" t="str">
        <f>"9781593853563"</f>
        <v>9781593853563</v>
      </c>
      <c r="D1129" t="str">
        <f>"9781593856304"</f>
        <v>9781593856304</v>
      </c>
      <c r="E1129" t="s">
        <v>30112</v>
      </c>
      <c r="F1129" t="s">
        <v>7420</v>
      </c>
      <c r="G1129" t="s">
        <v>22179</v>
      </c>
      <c r="H1129" t="s">
        <v>26004</v>
      </c>
      <c r="I1129" s="26">
        <v>39078</v>
      </c>
      <c r="J1129">
        <v>2007</v>
      </c>
      <c r="K1129" t="s">
        <v>30113</v>
      </c>
      <c r="L1129">
        <v>288</v>
      </c>
      <c r="M1129" t="s">
        <v>30191</v>
      </c>
      <c r="N1129">
        <v>1</v>
      </c>
      <c r="Q1129" t="s">
        <v>30192</v>
      </c>
      <c r="R1129" t="s">
        <v>30193</v>
      </c>
      <c r="S1129" t="s">
        <v>30194</v>
      </c>
      <c r="T1129" t="s">
        <v>30</v>
      </c>
      <c r="U1129" t="s">
        <v>26019</v>
      </c>
      <c r="W1129" t="s">
        <v>28347</v>
      </c>
    </row>
    <row r="1130" spans="1:23" x14ac:dyDescent="0.35">
      <c r="A1130">
        <v>306799</v>
      </c>
      <c r="B1130" t="s">
        <v>30195</v>
      </c>
      <c r="C1130" t="str">
        <f>"9781593853501"</f>
        <v>9781593853501</v>
      </c>
      <c r="D1130" t="str">
        <f>"9781593856311"</f>
        <v>9781593856311</v>
      </c>
      <c r="E1130" t="s">
        <v>30112</v>
      </c>
      <c r="F1130" t="s">
        <v>7420</v>
      </c>
      <c r="G1130" t="s">
        <v>22179</v>
      </c>
      <c r="H1130" t="s">
        <v>26004</v>
      </c>
      <c r="I1130" s="26">
        <v>39003</v>
      </c>
      <c r="J1130">
        <v>2007</v>
      </c>
      <c r="K1130" t="s">
        <v>30113</v>
      </c>
      <c r="L1130">
        <v>240</v>
      </c>
      <c r="M1130" t="s">
        <v>30196</v>
      </c>
      <c r="N1130">
        <v>1</v>
      </c>
      <c r="Q1130" t="s">
        <v>30197</v>
      </c>
      <c r="R1130" t="s">
        <v>30198</v>
      </c>
      <c r="S1130" t="s">
        <v>30199</v>
      </c>
      <c r="T1130" t="s">
        <v>30</v>
      </c>
      <c r="U1130" t="s">
        <v>26116</v>
      </c>
      <c r="W1130" t="s">
        <v>28347</v>
      </c>
    </row>
    <row r="1131" spans="1:23" x14ac:dyDescent="0.35">
      <c r="A1131">
        <v>306804</v>
      </c>
      <c r="B1131" t="s">
        <v>30200</v>
      </c>
      <c r="C1131" t="str">
        <f>"9781572307858"</f>
        <v>9781572307858</v>
      </c>
      <c r="D1131" t="str">
        <f>"9781593855567"</f>
        <v>9781593855567</v>
      </c>
      <c r="E1131" t="s">
        <v>30112</v>
      </c>
      <c r="F1131" t="s">
        <v>7420</v>
      </c>
      <c r="G1131" t="s">
        <v>22179</v>
      </c>
      <c r="H1131" t="s">
        <v>26004</v>
      </c>
      <c r="I1131" s="26">
        <v>37487</v>
      </c>
      <c r="J1131">
        <v>2002</v>
      </c>
      <c r="K1131" t="s">
        <v>30113</v>
      </c>
      <c r="L1131">
        <v>464</v>
      </c>
      <c r="M1131" t="s">
        <v>30201</v>
      </c>
      <c r="N1131">
        <v>1</v>
      </c>
      <c r="O1131" t="s">
        <v>30202</v>
      </c>
      <c r="Q1131" t="s">
        <v>30203</v>
      </c>
      <c r="R1131">
        <v>152.4</v>
      </c>
      <c r="S1131" t="s">
        <v>8269</v>
      </c>
      <c r="T1131" t="s">
        <v>30</v>
      </c>
      <c r="U1131" t="s">
        <v>46</v>
      </c>
      <c r="W1131" t="s">
        <v>28347</v>
      </c>
    </row>
    <row r="1132" spans="1:23" x14ac:dyDescent="0.35">
      <c r="A1132">
        <v>306805</v>
      </c>
      <c r="B1132" t="s">
        <v>10273</v>
      </c>
      <c r="C1132" t="str">
        <f>"9781593854058"</f>
        <v>9781593854058</v>
      </c>
      <c r="D1132" t="str">
        <f>"9781593856328"</f>
        <v>9781593856328</v>
      </c>
      <c r="E1132" t="s">
        <v>30112</v>
      </c>
      <c r="F1132" t="s">
        <v>7420</v>
      </c>
      <c r="G1132" t="s">
        <v>22179</v>
      </c>
      <c r="H1132" t="s">
        <v>26004</v>
      </c>
      <c r="I1132" s="26">
        <v>39070</v>
      </c>
      <c r="J1132">
        <v>2007</v>
      </c>
      <c r="K1132" t="s">
        <v>30113</v>
      </c>
      <c r="L1132">
        <v>273</v>
      </c>
      <c r="M1132" t="s">
        <v>30204</v>
      </c>
      <c r="N1132">
        <v>2</v>
      </c>
      <c r="O1132" t="s">
        <v>30205</v>
      </c>
      <c r="Q1132" t="s">
        <v>30206</v>
      </c>
      <c r="R1132">
        <v>362.5</v>
      </c>
      <c r="S1132" t="s">
        <v>30207</v>
      </c>
      <c r="T1132" t="s">
        <v>30</v>
      </c>
      <c r="U1132" t="s">
        <v>26044</v>
      </c>
      <c r="W1132" t="s">
        <v>28347</v>
      </c>
    </row>
    <row r="1133" spans="1:23" x14ac:dyDescent="0.35">
      <c r="A1133">
        <v>307053</v>
      </c>
      <c r="B1133" t="s">
        <v>30208</v>
      </c>
      <c r="C1133" t="str">
        <f>"9780521849296"</f>
        <v>9780521849296</v>
      </c>
      <c r="D1133" t="str">
        <f>"9780511294266"</f>
        <v>9780511294266</v>
      </c>
      <c r="E1133" t="s">
        <v>167</v>
      </c>
      <c r="F1133" t="s">
        <v>167</v>
      </c>
      <c r="G1133" t="s">
        <v>22218</v>
      </c>
      <c r="H1133" t="s">
        <v>26011</v>
      </c>
      <c r="I1133" s="26">
        <v>39275</v>
      </c>
      <c r="J1133">
        <v>2007</v>
      </c>
      <c r="K1133" t="s">
        <v>167</v>
      </c>
      <c r="L1133">
        <v>334</v>
      </c>
      <c r="M1133" t="s">
        <v>30209</v>
      </c>
      <c r="N1133">
        <v>1</v>
      </c>
      <c r="Q1133" t="s">
        <v>30210</v>
      </c>
      <c r="R1133" t="s">
        <v>26416</v>
      </c>
      <c r="S1133" t="s">
        <v>8178</v>
      </c>
      <c r="T1133" t="s">
        <v>30</v>
      </c>
      <c r="U1133" t="s">
        <v>46</v>
      </c>
      <c r="W1133" t="s">
        <v>26020</v>
      </c>
    </row>
    <row r="1134" spans="1:23" x14ac:dyDescent="0.35">
      <c r="A1134">
        <v>307295</v>
      </c>
      <c r="B1134" t="s">
        <v>8670</v>
      </c>
      <c r="C1134" t="str">
        <f>"9780415947428"</f>
        <v>9780415947428</v>
      </c>
      <c r="D1134" t="str">
        <f>"9780203955154"</f>
        <v>9780203955154</v>
      </c>
      <c r="E1134" t="s">
        <v>26010</v>
      </c>
      <c r="F1134" t="s">
        <v>35</v>
      </c>
      <c r="G1134" t="s">
        <v>26201</v>
      </c>
      <c r="H1134" t="s">
        <v>26004</v>
      </c>
      <c r="I1134" s="26">
        <v>38346</v>
      </c>
      <c r="J1134">
        <v>2005</v>
      </c>
      <c r="K1134" t="s">
        <v>26012</v>
      </c>
      <c r="L1134">
        <v>297</v>
      </c>
      <c r="M1134" t="s">
        <v>30211</v>
      </c>
      <c r="N1134">
        <v>1</v>
      </c>
      <c r="O1134" t="s">
        <v>27182</v>
      </c>
      <c r="P1134">
        <v>30</v>
      </c>
      <c r="Q1134" t="s">
        <v>30212</v>
      </c>
      <c r="R1134" t="s">
        <v>30213</v>
      </c>
      <c r="S1134" t="s">
        <v>30214</v>
      </c>
      <c r="T1134" t="s">
        <v>30</v>
      </c>
      <c r="U1134" t="s">
        <v>26116</v>
      </c>
      <c r="W1134" t="s">
        <v>26009</v>
      </c>
    </row>
    <row r="1135" spans="1:23" x14ac:dyDescent="0.35">
      <c r="A1135">
        <v>307300</v>
      </c>
      <c r="B1135" t="s">
        <v>30215</v>
      </c>
      <c r="C1135" t="str">
        <f>"9781853599729"</f>
        <v>9781853599729</v>
      </c>
      <c r="D1135" t="str">
        <f>"9781853599736"</f>
        <v>9781853599736</v>
      </c>
      <c r="E1135" t="s">
        <v>30216</v>
      </c>
      <c r="F1135" t="s">
        <v>30217</v>
      </c>
      <c r="G1135" t="s">
        <v>30218</v>
      </c>
      <c r="H1135" t="s">
        <v>26011</v>
      </c>
      <c r="I1135" s="26">
        <v>39274</v>
      </c>
      <c r="J1135">
        <v>2007</v>
      </c>
      <c r="K1135" t="s">
        <v>30217</v>
      </c>
      <c r="L1135">
        <v>320</v>
      </c>
      <c r="M1135" t="s">
        <v>30219</v>
      </c>
      <c r="N1135">
        <v>1</v>
      </c>
      <c r="O1135" t="s">
        <v>30220</v>
      </c>
      <c r="P1135">
        <v>1</v>
      </c>
      <c r="Q1135" t="s">
        <v>30221</v>
      </c>
      <c r="R1135" t="s">
        <v>30222</v>
      </c>
      <c r="S1135" t="s">
        <v>30223</v>
      </c>
      <c r="T1135" t="s">
        <v>30</v>
      </c>
      <c r="U1135" t="s">
        <v>26282</v>
      </c>
      <c r="W1135" t="s">
        <v>26009</v>
      </c>
    </row>
    <row r="1136" spans="1:23" x14ac:dyDescent="0.35">
      <c r="A1136">
        <v>307425</v>
      </c>
      <c r="B1136" t="s">
        <v>7479</v>
      </c>
      <c r="C1136" t="str">
        <f>"9780521868815"</f>
        <v>9780521868815</v>
      </c>
      <c r="D1136" t="str">
        <f>"9780511333606"</f>
        <v>9780511333606</v>
      </c>
      <c r="E1136" t="s">
        <v>167</v>
      </c>
      <c r="F1136" t="s">
        <v>167</v>
      </c>
      <c r="G1136" t="s">
        <v>22218</v>
      </c>
      <c r="H1136" t="s">
        <v>26011</v>
      </c>
      <c r="I1136" s="26">
        <v>39307</v>
      </c>
      <c r="J1136">
        <v>2007</v>
      </c>
      <c r="K1136" t="s">
        <v>167</v>
      </c>
      <c r="L1136">
        <v>201</v>
      </c>
      <c r="M1136" t="s">
        <v>30224</v>
      </c>
      <c r="N1136">
        <v>1</v>
      </c>
      <c r="Q1136" t="s">
        <v>30225</v>
      </c>
      <c r="R1136" t="s">
        <v>30226</v>
      </c>
      <c r="S1136" t="s">
        <v>7480</v>
      </c>
      <c r="T1136" t="s">
        <v>30</v>
      </c>
      <c r="U1136" t="s">
        <v>46</v>
      </c>
      <c r="W1136" t="s">
        <v>26020</v>
      </c>
    </row>
    <row r="1137" spans="1:23" x14ac:dyDescent="0.35">
      <c r="A1137">
        <v>307617</v>
      </c>
      <c r="B1137" t="s">
        <v>7634</v>
      </c>
      <c r="C1137" t="str">
        <f>"9781403969460"</f>
        <v>9781403969460</v>
      </c>
      <c r="D1137" t="str">
        <f>"9781403977120"</f>
        <v>9781403977120</v>
      </c>
      <c r="E1137" t="s">
        <v>30084</v>
      </c>
      <c r="F1137" t="s">
        <v>483</v>
      </c>
      <c r="G1137" t="s">
        <v>22179</v>
      </c>
      <c r="H1137" t="s">
        <v>26004</v>
      </c>
      <c r="I1137" s="26">
        <v>38698</v>
      </c>
      <c r="J1137">
        <v>2005</v>
      </c>
      <c r="K1137" t="s">
        <v>483</v>
      </c>
      <c r="L1137">
        <v>233</v>
      </c>
      <c r="M1137" t="s">
        <v>30227</v>
      </c>
      <c r="N1137">
        <v>1</v>
      </c>
      <c r="Q1137" t="s">
        <v>30228</v>
      </c>
      <c r="R1137">
        <v>355.03300000000002</v>
      </c>
      <c r="S1137" t="s">
        <v>30229</v>
      </c>
      <c r="T1137" t="s">
        <v>30</v>
      </c>
      <c r="U1137" t="s">
        <v>30230</v>
      </c>
      <c r="W1137" t="s">
        <v>26009</v>
      </c>
    </row>
    <row r="1138" spans="1:23" x14ac:dyDescent="0.35">
      <c r="A1138">
        <v>307722</v>
      </c>
      <c r="B1138" t="s">
        <v>8071</v>
      </c>
      <c r="C1138" t="str">
        <f>"9781403969682"</f>
        <v>9781403969682</v>
      </c>
      <c r="D1138" t="str">
        <f>"9780230601208"</f>
        <v>9780230601208</v>
      </c>
      <c r="E1138" t="s">
        <v>30084</v>
      </c>
      <c r="F1138" t="s">
        <v>483</v>
      </c>
      <c r="G1138" t="s">
        <v>22179</v>
      </c>
      <c r="H1138" t="s">
        <v>26004</v>
      </c>
      <c r="I1138" s="26">
        <v>39043</v>
      </c>
      <c r="J1138">
        <v>2006</v>
      </c>
      <c r="K1138" t="s">
        <v>483</v>
      </c>
      <c r="L1138">
        <v>230</v>
      </c>
      <c r="M1138" t="s">
        <v>30231</v>
      </c>
      <c r="N1138">
        <v>1</v>
      </c>
      <c r="Q1138" t="s">
        <v>30232</v>
      </c>
      <c r="R1138" t="s">
        <v>26308</v>
      </c>
      <c r="S1138" t="s">
        <v>8072</v>
      </c>
      <c r="T1138" t="s">
        <v>30</v>
      </c>
      <c r="U1138" t="s">
        <v>26019</v>
      </c>
      <c r="W1138" t="s">
        <v>26009</v>
      </c>
    </row>
    <row r="1139" spans="1:23" x14ac:dyDescent="0.35">
      <c r="A1139">
        <v>307783</v>
      </c>
      <c r="B1139" t="s">
        <v>30233</v>
      </c>
      <c r="C1139" t="str">
        <f>"9781403971784"</f>
        <v>9781403971784</v>
      </c>
      <c r="D1139" t="str">
        <f>"9781403983114"</f>
        <v>9781403983114</v>
      </c>
      <c r="E1139" t="s">
        <v>30084</v>
      </c>
      <c r="F1139" t="s">
        <v>483</v>
      </c>
      <c r="G1139" t="s">
        <v>22179</v>
      </c>
      <c r="H1139" t="s">
        <v>26004</v>
      </c>
      <c r="I1139" s="26">
        <v>38926</v>
      </c>
      <c r="J1139">
        <v>2006</v>
      </c>
      <c r="K1139" t="s">
        <v>483</v>
      </c>
      <c r="L1139">
        <v>279</v>
      </c>
      <c r="M1139" t="s">
        <v>30234</v>
      </c>
      <c r="N1139">
        <v>1</v>
      </c>
      <c r="Q1139" t="s">
        <v>30235</v>
      </c>
      <c r="R1139" t="s">
        <v>30236</v>
      </c>
      <c r="S1139" t="s">
        <v>30237</v>
      </c>
      <c r="T1139" t="s">
        <v>30</v>
      </c>
      <c r="U1139" t="s">
        <v>5222</v>
      </c>
      <c r="W1139" t="s">
        <v>26009</v>
      </c>
    </row>
    <row r="1140" spans="1:23" x14ac:dyDescent="0.35">
      <c r="A1140">
        <v>307808</v>
      </c>
      <c r="B1140" t="s">
        <v>30238</v>
      </c>
      <c r="C1140" t="str">
        <f>"9781403972194"</f>
        <v>9781403972194</v>
      </c>
      <c r="D1140" t="str">
        <f>"9780230601765"</f>
        <v>9780230601765</v>
      </c>
      <c r="E1140" t="s">
        <v>30084</v>
      </c>
      <c r="F1140" t="s">
        <v>483</v>
      </c>
      <c r="G1140" t="s">
        <v>22179</v>
      </c>
      <c r="H1140" t="s">
        <v>26004</v>
      </c>
      <c r="I1140" s="26">
        <v>39128</v>
      </c>
      <c r="J1140">
        <v>2007</v>
      </c>
      <c r="K1140" t="s">
        <v>483</v>
      </c>
      <c r="L1140">
        <v>275</v>
      </c>
      <c r="M1140" t="s">
        <v>30239</v>
      </c>
      <c r="N1140">
        <v>1</v>
      </c>
      <c r="Q1140" t="s">
        <v>30240</v>
      </c>
      <c r="R1140">
        <v>794.8</v>
      </c>
      <c r="S1140" t="s">
        <v>30241</v>
      </c>
      <c r="T1140" t="s">
        <v>30</v>
      </c>
      <c r="U1140" t="s">
        <v>30242</v>
      </c>
      <c r="W1140" t="s">
        <v>26009</v>
      </c>
    </row>
    <row r="1141" spans="1:23" x14ac:dyDescent="0.35">
      <c r="A1141">
        <v>307938</v>
      </c>
      <c r="B1141" t="s">
        <v>30243</v>
      </c>
      <c r="C1141" t="str">
        <f>"9781403963048"</f>
        <v>9781403963048</v>
      </c>
      <c r="D1141" t="str">
        <f>"9781403982384"</f>
        <v>9781403982384</v>
      </c>
      <c r="E1141" t="s">
        <v>30084</v>
      </c>
      <c r="F1141" t="s">
        <v>483</v>
      </c>
      <c r="G1141" t="s">
        <v>22179</v>
      </c>
      <c r="H1141" t="s">
        <v>26004</v>
      </c>
      <c r="I1141" s="26">
        <v>37468</v>
      </c>
      <c r="J1141">
        <v>2004</v>
      </c>
      <c r="K1141" t="s">
        <v>483</v>
      </c>
      <c r="L1141">
        <v>273</v>
      </c>
      <c r="M1141" t="s">
        <v>30244</v>
      </c>
      <c r="N1141">
        <v>1</v>
      </c>
      <c r="Q1141" t="s">
        <v>30245</v>
      </c>
      <c r="S1141" t="s">
        <v>30246</v>
      </c>
      <c r="T1141" t="s">
        <v>30</v>
      </c>
      <c r="U1141" t="s">
        <v>337</v>
      </c>
      <c r="W1141" t="s">
        <v>26009</v>
      </c>
    </row>
    <row r="1142" spans="1:23" x14ac:dyDescent="0.35">
      <c r="A1142">
        <v>308066</v>
      </c>
      <c r="B1142" t="s">
        <v>30247</v>
      </c>
      <c r="C1142" t="str">
        <f>"9780230621114"</f>
        <v>9780230621114</v>
      </c>
      <c r="D1142" t="str">
        <f>"9780230601468"</f>
        <v>9780230601468</v>
      </c>
      <c r="E1142" t="s">
        <v>30084</v>
      </c>
      <c r="F1142" t="s">
        <v>483</v>
      </c>
      <c r="G1142" t="s">
        <v>22179</v>
      </c>
      <c r="H1142" t="s">
        <v>26004</v>
      </c>
      <c r="I1142" s="26">
        <v>39015</v>
      </c>
      <c r="J1142">
        <v>2006</v>
      </c>
      <c r="K1142" t="s">
        <v>483</v>
      </c>
      <c r="L1142">
        <v>231</v>
      </c>
      <c r="M1142" t="s">
        <v>30248</v>
      </c>
      <c r="N1142">
        <v>1</v>
      </c>
      <c r="O1142" t="s">
        <v>30249</v>
      </c>
      <c r="Q1142" t="s">
        <v>30250</v>
      </c>
      <c r="R1142" t="s">
        <v>30251</v>
      </c>
      <c r="S1142" t="s">
        <v>30252</v>
      </c>
      <c r="T1142" t="s">
        <v>30</v>
      </c>
      <c r="U1142" t="s">
        <v>30253</v>
      </c>
      <c r="W1142" t="s">
        <v>26009</v>
      </c>
    </row>
    <row r="1143" spans="1:23" x14ac:dyDescent="0.35">
      <c r="A1143">
        <v>308253</v>
      </c>
      <c r="B1143" t="s">
        <v>30254</v>
      </c>
      <c r="C1143" t="str">
        <f>"9781403975706"</f>
        <v>9781403975706</v>
      </c>
      <c r="D1143" t="str">
        <f>"9780230603479"</f>
        <v>9780230603479</v>
      </c>
      <c r="E1143" t="s">
        <v>30084</v>
      </c>
      <c r="F1143" t="s">
        <v>483</v>
      </c>
      <c r="G1143" t="s">
        <v>22179</v>
      </c>
      <c r="H1143" t="s">
        <v>26004</v>
      </c>
      <c r="I1143" s="26">
        <v>39547</v>
      </c>
      <c r="J1143">
        <v>2007</v>
      </c>
      <c r="K1143" t="s">
        <v>483</v>
      </c>
      <c r="L1143">
        <v>266</v>
      </c>
      <c r="M1143" t="s">
        <v>30255</v>
      </c>
      <c r="N1143">
        <v>1</v>
      </c>
      <c r="Q1143" t="s">
        <v>30256</v>
      </c>
      <c r="R1143" t="s">
        <v>26164</v>
      </c>
      <c r="S1143" t="s">
        <v>30257</v>
      </c>
      <c r="T1143" t="s">
        <v>30</v>
      </c>
      <c r="U1143" t="s">
        <v>26044</v>
      </c>
      <c r="W1143" t="s">
        <v>26009</v>
      </c>
    </row>
    <row r="1144" spans="1:23" x14ac:dyDescent="0.35">
      <c r="A1144">
        <v>308843</v>
      </c>
      <c r="B1144" t="s">
        <v>9798</v>
      </c>
      <c r="C1144" t="str">
        <f>"9780415364874"</f>
        <v>9780415364874</v>
      </c>
      <c r="D1144" t="str">
        <f>"9780203015902"</f>
        <v>9780203015902</v>
      </c>
      <c r="E1144" t="s">
        <v>26010</v>
      </c>
      <c r="F1144" t="s">
        <v>35</v>
      </c>
      <c r="G1144" t="s">
        <v>26201</v>
      </c>
      <c r="H1144" t="s">
        <v>26004</v>
      </c>
      <c r="I1144" s="26">
        <v>38546</v>
      </c>
      <c r="J1144">
        <v>2005</v>
      </c>
      <c r="K1144" t="s">
        <v>26012</v>
      </c>
      <c r="L1144">
        <v>175</v>
      </c>
      <c r="M1144" t="s">
        <v>30258</v>
      </c>
      <c r="N1144">
        <v>1</v>
      </c>
      <c r="O1144" t="s">
        <v>30259</v>
      </c>
      <c r="Q1144" t="s">
        <v>30260</v>
      </c>
      <c r="R1144">
        <v>155.25</v>
      </c>
      <c r="S1144" t="s">
        <v>30261</v>
      </c>
      <c r="T1144" t="s">
        <v>30</v>
      </c>
      <c r="U1144" t="s">
        <v>46</v>
      </c>
      <c r="W1144" t="s">
        <v>26009</v>
      </c>
    </row>
    <row r="1145" spans="1:23" x14ac:dyDescent="0.35">
      <c r="A1145">
        <v>308861</v>
      </c>
      <c r="B1145" t="s">
        <v>9002</v>
      </c>
      <c r="C1145" t="str">
        <f>"9780415364850"</f>
        <v>9780415364850</v>
      </c>
      <c r="D1145" t="str">
        <f>"9780203015865"</f>
        <v>9780203015865</v>
      </c>
      <c r="E1145" t="s">
        <v>26010</v>
      </c>
      <c r="F1145" t="s">
        <v>35</v>
      </c>
      <c r="G1145" t="s">
        <v>26201</v>
      </c>
      <c r="H1145" t="s">
        <v>26004</v>
      </c>
      <c r="I1145" s="26">
        <v>38510</v>
      </c>
      <c r="J1145">
        <v>2005</v>
      </c>
      <c r="K1145" t="s">
        <v>26012</v>
      </c>
      <c r="L1145">
        <v>169</v>
      </c>
      <c r="M1145" t="s">
        <v>30262</v>
      </c>
      <c r="N1145">
        <v>1</v>
      </c>
      <c r="O1145" t="s">
        <v>27341</v>
      </c>
      <c r="Q1145" t="s">
        <v>30263</v>
      </c>
      <c r="R1145">
        <v>306.76400000000001</v>
      </c>
      <c r="S1145" t="s">
        <v>30264</v>
      </c>
      <c r="T1145" t="s">
        <v>30</v>
      </c>
      <c r="U1145" t="s">
        <v>26044</v>
      </c>
      <c r="W1145" t="s">
        <v>26009</v>
      </c>
    </row>
    <row r="1146" spans="1:23" x14ac:dyDescent="0.35">
      <c r="A1146">
        <v>309255</v>
      </c>
      <c r="B1146" t="s">
        <v>9811</v>
      </c>
      <c r="C1146" t="str">
        <f>"9780881634747"</f>
        <v>9780881634747</v>
      </c>
      <c r="D1146" t="str">
        <f>"9780203927014"</f>
        <v>9780203927014</v>
      </c>
      <c r="E1146" t="s">
        <v>26010</v>
      </c>
      <c r="F1146" t="s">
        <v>35</v>
      </c>
      <c r="G1146" t="s">
        <v>26201</v>
      </c>
      <c r="H1146" t="s">
        <v>26004</v>
      </c>
      <c r="I1146" s="26">
        <v>39325</v>
      </c>
      <c r="J1146">
        <v>2008</v>
      </c>
      <c r="K1146" t="s">
        <v>26012</v>
      </c>
      <c r="L1146">
        <v>175</v>
      </c>
      <c r="M1146" t="s">
        <v>30265</v>
      </c>
      <c r="N1146">
        <v>1</v>
      </c>
      <c r="O1146" t="s">
        <v>30090</v>
      </c>
      <c r="P1146">
        <v>25</v>
      </c>
      <c r="Q1146" t="s">
        <v>30266</v>
      </c>
      <c r="R1146">
        <v>616.89170000000001</v>
      </c>
      <c r="S1146" t="s">
        <v>30267</v>
      </c>
      <c r="T1146" t="s">
        <v>30</v>
      </c>
      <c r="U1146" t="s">
        <v>26116</v>
      </c>
      <c r="W1146" t="s">
        <v>26009</v>
      </c>
    </row>
    <row r="1147" spans="1:23" x14ac:dyDescent="0.35">
      <c r="A1147">
        <v>310214</v>
      </c>
      <c r="B1147" t="s">
        <v>7897</v>
      </c>
      <c r="C1147" t="str">
        <f>"9780816619795"</f>
        <v>9780816619795</v>
      </c>
      <c r="D1147" t="str">
        <f>"9780816683963"</f>
        <v>9780816683963</v>
      </c>
      <c r="E1147" t="s">
        <v>7471</v>
      </c>
      <c r="F1147" t="s">
        <v>7471</v>
      </c>
      <c r="G1147" t="s">
        <v>23536</v>
      </c>
      <c r="H1147" t="s">
        <v>26004</v>
      </c>
      <c r="I1147" s="26">
        <v>33695</v>
      </c>
      <c r="J1147">
        <v>1992</v>
      </c>
      <c r="K1147" t="s">
        <v>7471</v>
      </c>
      <c r="L1147">
        <v>537</v>
      </c>
      <c r="M1147" t="s">
        <v>30268</v>
      </c>
      <c r="N1147">
        <v>1</v>
      </c>
      <c r="O1147" t="s">
        <v>30269</v>
      </c>
      <c r="Q1147" t="s">
        <v>30270</v>
      </c>
      <c r="R1147" t="s">
        <v>30271</v>
      </c>
      <c r="S1147" t="s">
        <v>30272</v>
      </c>
      <c r="T1147" t="s">
        <v>30</v>
      </c>
      <c r="U1147" t="s">
        <v>30273</v>
      </c>
      <c r="W1147" t="s">
        <v>26009</v>
      </c>
    </row>
    <row r="1148" spans="1:23" x14ac:dyDescent="0.35">
      <c r="A1148">
        <v>310237</v>
      </c>
      <c r="B1148" t="s">
        <v>30274</v>
      </c>
      <c r="C1148" t="str">
        <f>"9780816622320"</f>
        <v>9780816622320</v>
      </c>
      <c r="D1148" t="str">
        <f>"9780816684977"</f>
        <v>9780816684977</v>
      </c>
      <c r="E1148" t="s">
        <v>7471</v>
      </c>
      <c r="F1148" t="s">
        <v>7471</v>
      </c>
      <c r="G1148" t="s">
        <v>23536</v>
      </c>
      <c r="H1148" t="s">
        <v>26004</v>
      </c>
      <c r="I1148" s="26">
        <v>34017</v>
      </c>
      <c r="J1148">
        <v>1993</v>
      </c>
      <c r="K1148" t="s">
        <v>7471</v>
      </c>
      <c r="L1148">
        <v>239</v>
      </c>
      <c r="M1148" t="s">
        <v>30275</v>
      </c>
      <c r="N1148">
        <v>1</v>
      </c>
      <c r="Q1148" t="s">
        <v>30276</v>
      </c>
      <c r="R1148" t="s">
        <v>30277</v>
      </c>
      <c r="S1148" t="s">
        <v>30278</v>
      </c>
      <c r="T1148" t="s">
        <v>30</v>
      </c>
      <c r="U1148" t="s">
        <v>30279</v>
      </c>
      <c r="W1148" t="s">
        <v>26009</v>
      </c>
    </row>
    <row r="1149" spans="1:23" x14ac:dyDescent="0.35">
      <c r="A1149">
        <v>310291</v>
      </c>
      <c r="B1149" t="s">
        <v>30280</v>
      </c>
      <c r="C1149" t="str">
        <f>"9780816624348"</f>
        <v>9780816624348</v>
      </c>
      <c r="D1149" t="str">
        <f>"9780816685868"</f>
        <v>9780816685868</v>
      </c>
      <c r="E1149" t="s">
        <v>7471</v>
      </c>
      <c r="F1149" t="s">
        <v>7471</v>
      </c>
      <c r="G1149" t="s">
        <v>23536</v>
      </c>
      <c r="H1149" t="s">
        <v>26004</v>
      </c>
      <c r="I1149" s="26">
        <v>34578</v>
      </c>
      <c r="J1149">
        <v>1994</v>
      </c>
      <c r="K1149" t="s">
        <v>7471</v>
      </c>
      <c r="L1149">
        <v>176</v>
      </c>
      <c r="M1149" t="s">
        <v>30281</v>
      </c>
      <c r="N1149">
        <v>1</v>
      </c>
      <c r="Q1149" t="s">
        <v>30282</v>
      </c>
      <c r="R1149" t="s">
        <v>30283</v>
      </c>
      <c r="S1149" t="s">
        <v>30284</v>
      </c>
      <c r="T1149" t="s">
        <v>30</v>
      </c>
      <c r="U1149" t="s">
        <v>26019</v>
      </c>
      <c r="W1149" t="s">
        <v>26009</v>
      </c>
    </row>
    <row r="1150" spans="1:23" x14ac:dyDescent="0.35">
      <c r="A1150">
        <v>310358</v>
      </c>
      <c r="B1150" t="s">
        <v>30285</v>
      </c>
      <c r="C1150" t="str">
        <f>"9780816626564"</f>
        <v>9780816626564</v>
      </c>
      <c r="D1150" t="str">
        <f>"9780816686728"</f>
        <v>9780816686728</v>
      </c>
      <c r="E1150" t="s">
        <v>7471</v>
      </c>
      <c r="F1150" t="s">
        <v>7471</v>
      </c>
      <c r="G1150" t="s">
        <v>23536</v>
      </c>
      <c r="H1150" t="s">
        <v>26004</v>
      </c>
      <c r="I1150" s="26">
        <v>35170</v>
      </c>
      <c r="J1150">
        <v>1996</v>
      </c>
      <c r="K1150" t="s">
        <v>7471</v>
      </c>
      <c r="L1150">
        <v>267</v>
      </c>
      <c r="M1150" t="s">
        <v>30286</v>
      </c>
      <c r="N1150">
        <v>1</v>
      </c>
      <c r="Q1150" t="s">
        <v>30287</v>
      </c>
      <c r="R1150" t="s">
        <v>30288</v>
      </c>
      <c r="S1150" t="s">
        <v>30289</v>
      </c>
      <c r="T1150" t="s">
        <v>30</v>
      </c>
      <c r="U1150" t="s">
        <v>28111</v>
      </c>
      <c r="W1150" t="s">
        <v>26009</v>
      </c>
    </row>
    <row r="1151" spans="1:23" x14ac:dyDescent="0.35">
      <c r="A1151">
        <v>310364</v>
      </c>
      <c r="B1151" t="s">
        <v>30290</v>
      </c>
      <c r="C1151" t="str">
        <f>"9780816626403"</f>
        <v>9780816626403</v>
      </c>
      <c r="D1151" t="str">
        <f>"9780816686643"</f>
        <v>9780816686643</v>
      </c>
      <c r="E1151" t="s">
        <v>7471</v>
      </c>
      <c r="F1151" t="s">
        <v>7471</v>
      </c>
      <c r="G1151" t="s">
        <v>23536</v>
      </c>
      <c r="H1151" t="s">
        <v>26004</v>
      </c>
      <c r="I1151" s="26">
        <v>35216</v>
      </c>
      <c r="J1151">
        <v>1996</v>
      </c>
      <c r="K1151" t="s">
        <v>7471</v>
      </c>
      <c r="L1151">
        <v>249</v>
      </c>
      <c r="M1151" t="s">
        <v>30291</v>
      </c>
      <c r="N1151">
        <v>1</v>
      </c>
      <c r="Q1151" t="s">
        <v>30292</v>
      </c>
      <c r="R1151" t="s">
        <v>30293</v>
      </c>
      <c r="S1151" t="s">
        <v>30294</v>
      </c>
      <c r="T1151" t="s">
        <v>30</v>
      </c>
      <c r="U1151" t="s">
        <v>26044</v>
      </c>
      <c r="W1151" t="s">
        <v>26009</v>
      </c>
    </row>
    <row r="1152" spans="1:23" x14ac:dyDescent="0.35">
      <c r="A1152">
        <v>310375</v>
      </c>
      <c r="B1152" t="s">
        <v>30295</v>
      </c>
      <c r="C1152" t="str">
        <f>"9780816627868"</f>
        <v>9780816627868</v>
      </c>
      <c r="D1152" t="str">
        <f>"9780816687329"</f>
        <v>9780816687329</v>
      </c>
      <c r="E1152" t="s">
        <v>7471</v>
      </c>
      <c r="F1152" t="s">
        <v>7471</v>
      </c>
      <c r="G1152" t="s">
        <v>23536</v>
      </c>
      <c r="H1152" t="s">
        <v>26004</v>
      </c>
      <c r="I1152" s="26">
        <v>35384</v>
      </c>
      <c r="J1152">
        <v>1996</v>
      </c>
      <c r="K1152" t="s">
        <v>7471</v>
      </c>
      <c r="L1152">
        <v>206</v>
      </c>
      <c r="M1152" t="s">
        <v>30296</v>
      </c>
      <c r="N1152">
        <v>1</v>
      </c>
      <c r="Q1152" t="s">
        <v>30297</v>
      </c>
      <c r="R1152">
        <v>305.3</v>
      </c>
      <c r="S1152" t="s">
        <v>30298</v>
      </c>
      <c r="T1152" t="s">
        <v>30</v>
      </c>
      <c r="U1152" t="s">
        <v>26044</v>
      </c>
      <c r="W1152" t="s">
        <v>26009</v>
      </c>
    </row>
    <row r="1153" spans="1:23" x14ac:dyDescent="0.35">
      <c r="A1153">
        <v>310388</v>
      </c>
      <c r="B1153" t="s">
        <v>30299</v>
      </c>
      <c r="C1153" t="str">
        <f>"9780816628704"</f>
        <v>9780816628704</v>
      </c>
      <c r="D1153" t="str">
        <f>"9780816687725"</f>
        <v>9780816687725</v>
      </c>
      <c r="E1153" t="s">
        <v>7471</v>
      </c>
      <c r="F1153" t="s">
        <v>7471</v>
      </c>
      <c r="G1153" t="s">
        <v>23536</v>
      </c>
      <c r="H1153" t="s">
        <v>26004</v>
      </c>
      <c r="I1153" s="26">
        <v>35504</v>
      </c>
      <c r="J1153">
        <v>1997</v>
      </c>
      <c r="K1153" t="s">
        <v>7471</v>
      </c>
      <c r="L1153">
        <v>154</v>
      </c>
      <c r="M1153" t="s">
        <v>30300</v>
      </c>
      <c r="N1153">
        <v>1</v>
      </c>
      <c r="O1153" t="s">
        <v>30301</v>
      </c>
      <c r="Q1153" t="s">
        <v>30302</v>
      </c>
      <c r="R1153" t="s">
        <v>30303</v>
      </c>
      <c r="S1153" t="s">
        <v>30304</v>
      </c>
      <c r="T1153" t="s">
        <v>30</v>
      </c>
      <c r="U1153" t="s">
        <v>26008</v>
      </c>
      <c r="W1153" t="s">
        <v>26009</v>
      </c>
    </row>
    <row r="1154" spans="1:23" x14ac:dyDescent="0.35">
      <c r="A1154">
        <v>310428</v>
      </c>
      <c r="B1154" t="s">
        <v>30305</v>
      </c>
      <c r="C1154" t="str">
        <f>"9780816629367"</f>
        <v>9780816629367</v>
      </c>
      <c r="D1154" t="str">
        <f>"9780816688043"</f>
        <v>9780816688043</v>
      </c>
      <c r="E1154" t="s">
        <v>7471</v>
      </c>
      <c r="F1154" t="s">
        <v>7471</v>
      </c>
      <c r="G1154" t="s">
        <v>23536</v>
      </c>
      <c r="H1154" t="s">
        <v>26004</v>
      </c>
      <c r="I1154" s="26">
        <v>36039</v>
      </c>
      <c r="J1154">
        <v>1998</v>
      </c>
      <c r="K1154" t="s">
        <v>7471</v>
      </c>
      <c r="L1154">
        <v>322</v>
      </c>
      <c r="M1154" t="s">
        <v>30306</v>
      </c>
      <c r="N1154">
        <v>1</v>
      </c>
      <c r="Q1154" t="s">
        <v>30307</v>
      </c>
      <c r="R1154">
        <v>302</v>
      </c>
      <c r="S1154" t="s">
        <v>30308</v>
      </c>
      <c r="T1154" t="s">
        <v>30</v>
      </c>
      <c r="U1154" t="s">
        <v>26044</v>
      </c>
      <c r="W1154" t="s">
        <v>26009</v>
      </c>
    </row>
    <row r="1155" spans="1:23" x14ac:dyDescent="0.35">
      <c r="A1155">
        <v>310444</v>
      </c>
      <c r="B1155" t="s">
        <v>30309</v>
      </c>
      <c r="C1155" t="str">
        <f>"9780816631315"</f>
        <v>9780816631315</v>
      </c>
      <c r="D1155" t="str">
        <f>"9780816689057"</f>
        <v>9780816689057</v>
      </c>
      <c r="E1155" t="s">
        <v>7471</v>
      </c>
      <c r="F1155" t="s">
        <v>7471</v>
      </c>
      <c r="G1155" t="s">
        <v>23536</v>
      </c>
      <c r="H1155" t="s">
        <v>26004</v>
      </c>
      <c r="I1155" s="26">
        <v>36192</v>
      </c>
      <c r="J1155">
        <v>1999</v>
      </c>
      <c r="K1155" t="s">
        <v>7471</v>
      </c>
      <c r="L1155">
        <v>234</v>
      </c>
      <c r="M1155" t="s">
        <v>30310</v>
      </c>
      <c r="N1155">
        <v>1</v>
      </c>
      <c r="O1155" t="s">
        <v>30311</v>
      </c>
      <c r="Q1155" t="s">
        <v>30312</v>
      </c>
      <c r="R1155" t="s">
        <v>30313</v>
      </c>
      <c r="S1155" t="s">
        <v>30314</v>
      </c>
      <c r="T1155" t="s">
        <v>30</v>
      </c>
      <c r="U1155" t="s">
        <v>26044</v>
      </c>
      <c r="W1155" t="s">
        <v>26009</v>
      </c>
    </row>
    <row r="1156" spans="1:23" x14ac:dyDescent="0.35">
      <c r="A1156">
        <v>310491</v>
      </c>
      <c r="B1156" t="s">
        <v>30315</v>
      </c>
      <c r="C1156" t="str">
        <f>"9780816628889"</f>
        <v>9780816628889</v>
      </c>
      <c r="D1156" t="str">
        <f>"9780816687800"</f>
        <v>9780816687800</v>
      </c>
      <c r="E1156" t="s">
        <v>7471</v>
      </c>
      <c r="F1156" t="s">
        <v>7471</v>
      </c>
      <c r="G1156" t="s">
        <v>23536</v>
      </c>
      <c r="H1156" t="s">
        <v>26004</v>
      </c>
      <c r="I1156" s="26">
        <v>36647</v>
      </c>
      <c r="J1156">
        <v>2000</v>
      </c>
      <c r="K1156" t="s">
        <v>7471</v>
      </c>
      <c r="L1156">
        <v>226</v>
      </c>
      <c r="M1156" t="s">
        <v>30316</v>
      </c>
      <c r="N1156">
        <v>1</v>
      </c>
      <c r="Q1156" t="s">
        <v>30317</v>
      </c>
      <c r="R1156" t="s">
        <v>27449</v>
      </c>
      <c r="S1156" t="s">
        <v>30318</v>
      </c>
      <c r="T1156" t="s">
        <v>30</v>
      </c>
      <c r="U1156" t="s">
        <v>26044</v>
      </c>
      <c r="W1156" t="s">
        <v>26009</v>
      </c>
    </row>
    <row r="1157" spans="1:23" x14ac:dyDescent="0.35">
      <c r="A1157">
        <v>310547</v>
      </c>
      <c r="B1157" t="s">
        <v>30319</v>
      </c>
      <c r="C1157" t="str">
        <f>"9780816637188"</f>
        <v>9780816637188</v>
      </c>
      <c r="D1157" t="str">
        <f>"9780816692361"</f>
        <v>9780816692361</v>
      </c>
      <c r="E1157" t="s">
        <v>7471</v>
      </c>
      <c r="F1157" t="s">
        <v>7471</v>
      </c>
      <c r="G1157" t="s">
        <v>23536</v>
      </c>
      <c r="H1157" t="s">
        <v>26004</v>
      </c>
      <c r="I1157" s="26">
        <v>37126</v>
      </c>
      <c r="J1157">
        <v>2001</v>
      </c>
      <c r="K1157" t="s">
        <v>7471</v>
      </c>
      <c r="L1157">
        <v>388</v>
      </c>
      <c r="M1157" t="s">
        <v>30320</v>
      </c>
      <c r="N1157">
        <v>1</v>
      </c>
      <c r="Q1157" t="s">
        <v>30321</v>
      </c>
      <c r="R1157" t="s">
        <v>29774</v>
      </c>
      <c r="S1157" t="s">
        <v>30322</v>
      </c>
      <c r="T1157" t="s">
        <v>30</v>
      </c>
      <c r="U1157" t="s">
        <v>26019</v>
      </c>
      <c r="W1157" t="s">
        <v>26009</v>
      </c>
    </row>
    <row r="1158" spans="1:23" x14ac:dyDescent="0.35">
      <c r="A1158">
        <v>310679</v>
      </c>
      <c r="B1158" t="s">
        <v>30323</v>
      </c>
      <c r="C1158" t="str">
        <f>"9780816644735"</f>
        <v>9780816644735</v>
      </c>
      <c r="D1158" t="str">
        <f>"9780816696710"</f>
        <v>9780816696710</v>
      </c>
      <c r="E1158" t="s">
        <v>7471</v>
      </c>
      <c r="F1158" t="s">
        <v>7471</v>
      </c>
      <c r="G1158" t="s">
        <v>23536</v>
      </c>
      <c r="H1158" t="s">
        <v>26004</v>
      </c>
      <c r="I1158" s="26">
        <v>38275</v>
      </c>
      <c r="J1158">
        <v>2004</v>
      </c>
      <c r="K1158" t="s">
        <v>7471</v>
      </c>
      <c r="L1158">
        <v>272</v>
      </c>
      <c r="M1158" t="s">
        <v>30324</v>
      </c>
      <c r="N1158">
        <v>1</v>
      </c>
      <c r="Q1158" t="s">
        <v>30325</v>
      </c>
      <c r="R1158" t="s">
        <v>27170</v>
      </c>
      <c r="S1158" t="s">
        <v>30326</v>
      </c>
      <c r="T1158" t="s">
        <v>30</v>
      </c>
      <c r="U1158" t="s">
        <v>26044</v>
      </c>
      <c r="W1158" t="s">
        <v>26009</v>
      </c>
    </row>
    <row r="1159" spans="1:23" x14ac:dyDescent="0.35">
      <c r="A1159">
        <v>310698</v>
      </c>
      <c r="B1159" t="s">
        <v>30327</v>
      </c>
      <c r="C1159" t="str">
        <f>"9780816627202"</f>
        <v>9780816627202</v>
      </c>
      <c r="D1159" t="str">
        <f>"9780816687022"</f>
        <v>9780816687022</v>
      </c>
      <c r="E1159" t="s">
        <v>7471</v>
      </c>
      <c r="F1159" t="s">
        <v>7471</v>
      </c>
      <c r="G1159" t="s">
        <v>23536</v>
      </c>
      <c r="H1159" t="s">
        <v>26004</v>
      </c>
      <c r="I1159" s="26">
        <v>38450</v>
      </c>
      <c r="J1159">
        <v>2005</v>
      </c>
      <c r="K1159" t="s">
        <v>7471</v>
      </c>
      <c r="L1159">
        <v>218</v>
      </c>
      <c r="M1159" t="s">
        <v>30328</v>
      </c>
      <c r="N1159">
        <v>1</v>
      </c>
      <c r="Q1159" t="s">
        <v>30329</v>
      </c>
      <c r="R1159" t="s">
        <v>30330</v>
      </c>
      <c r="S1159" t="s">
        <v>7698</v>
      </c>
      <c r="T1159" t="s">
        <v>30</v>
      </c>
      <c r="U1159" t="s">
        <v>46</v>
      </c>
      <c r="W1159" t="s">
        <v>26009</v>
      </c>
    </row>
    <row r="1160" spans="1:23" x14ac:dyDescent="0.35">
      <c r="A1160">
        <v>310711</v>
      </c>
      <c r="B1160" t="s">
        <v>30331</v>
      </c>
      <c r="C1160" t="str">
        <f>"9780816644797"</f>
        <v>9780816644797</v>
      </c>
      <c r="D1160" t="str">
        <f>"9780816696741"</f>
        <v>9780816696741</v>
      </c>
      <c r="E1160" t="s">
        <v>7471</v>
      </c>
      <c r="F1160" t="s">
        <v>7471</v>
      </c>
      <c r="G1160" t="s">
        <v>23536</v>
      </c>
      <c r="H1160" t="s">
        <v>26004</v>
      </c>
      <c r="I1160" s="26">
        <v>38572</v>
      </c>
      <c r="J1160">
        <v>2005</v>
      </c>
      <c r="K1160" t="s">
        <v>7471</v>
      </c>
      <c r="L1160">
        <v>328</v>
      </c>
      <c r="M1160" t="s">
        <v>30332</v>
      </c>
      <c r="N1160">
        <v>1</v>
      </c>
      <c r="O1160" t="s">
        <v>30311</v>
      </c>
      <c r="P1160" t="s">
        <v>30333</v>
      </c>
      <c r="Q1160" t="s">
        <v>30334</v>
      </c>
      <c r="R1160">
        <v>322.44097299999999</v>
      </c>
      <c r="S1160" t="s">
        <v>30335</v>
      </c>
      <c r="T1160" t="s">
        <v>30</v>
      </c>
      <c r="U1160" t="s">
        <v>30336</v>
      </c>
      <c r="W1160" t="s">
        <v>26009</v>
      </c>
    </row>
    <row r="1161" spans="1:23" x14ac:dyDescent="0.35">
      <c r="A1161">
        <v>310740</v>
      </c>
      <c r="B1161" t="s">
        <v>30337</v>
      </c>
      <c r="C1161" t="str">
        <f>"9780816647019"</f>
        <v>9780816647019</v>
      </c>
      <c r="D1161" t="str">
        <f>"9780816697946"</f>
        <v>9780816697946</v>
      </c>
      <c r="E1161" t="s">
        <v>7471</v>
      </c>
      <c r="F1161" t="s">
        <v>7471</v>
      </c>
      <c r="G1161" t="s">
        <v>23536</v>
      </c>
      <c r="H1161" t="s">
        <v>26004</v>
      </c>
      <c r="I1161" s="26">
        <v>38840</v>
      </c>
      <c r="J1161">
        <v>2006</v>
      </c>
      <c r="K1161" t="s">
        <v>7471</v>
      </c>
      <c r="L1161">
        <v>224</v>
      </c>
      <c r="M1161" t="s">
        <v>30338</v>
      </c>
      <c r="N1161">
        <v>1</v>
      </c>
      <c r="Q1161" t="s">
        <v>30339</v>
      </c>
      <c r="R1161" t="s">
        <v>30340</v>
      </c>
      <c r="S1161" t="s">
        <v>30341</v>
      </c>
      <c r="T1161" t="s">
        <v>30</v>
      </c>
      <c r="U1161" t="s">
        <v>30342</v>
      </c>
      <c r="W1161" t="s">
        <v>26009</v>
      </c>
    </row>
    <row r="1162" spans="1:23" x14ac:dyDescent="0.35">
      <c r="A1162">
        <v>310813</v>
      </c>
      <c r="B1162" t="s">
        <v>8762</v>
      </c>
      <c r="C1162" t="str">
        <f>"9780938586906"</f>
        <v>9780938586906</v>
      </c>
      <c r="D1162" t="str">
        <f>"9780816699735"</f>
        <v>9780816699735</v>
      </c>
      <c r="E1162" t="s">
        <v>7471</v>
      </c>
      <c r="F1162" t="s">
        <v>7471</v>
      </c>
      <c r="G1162" t="s">
        <v>23536</v>
      </c>
      <c r="H1162" t="s">
        <v>26004</v>
      </c>
      <c r="I1162" s="26">
        <v>35551</v>
      </c>
      <c r="J1162">
        <v>1994</v>
      </c>
      <c r="K1162" t="s">
        <v>7471</v>
      </c>
      <c r="L1162">
        <v>192</v>
      </c>
      <c r="M1162" t="s">
        <v>30343</v>
      </c>
      <c r="N1162">
        <v>1</v>
      </c>
      <c r="Q1162" t="s">
        <v>30344</v>
      </c>
      <c r="R1162" t="s">
        <v>30345</v>
      </c>
      <c r="S1162" t="s">
        <v>30346</v>
      </c>
      <c r="T1162" t="s">
        <v>30</v>
      </c>
      <c r="U1162" t="s">
        <v>366</v>
      </c>
      <c r="W1162" t="s">
        <v>26009</v>
      </c>
    </row>
    <row r="1163" spans="1:23" x14ac:dyDescent="0.35">
      <c r="A1163">
        <v>310835</v>
      </c>
      <c r="B1163" t="s">
        <v>9259</v>
      </c>
      <c r="C1163" t="str">
        <f>"9780816643158"</f>
        <v>9780816643158</v>
      </c>
      <c r="D1163" t="str">
        <f>"9780816695768"</f>
        <v>9780816695768</v>
      </c>
      <c r="E1163" t="s">
        <v>7471</v>
      </c>
      <c r="F1163" t="s">
        <v>7471</v>
      </c>
      <c r="G1163" t="s">
        <v>23536</v>
      </c>
      <c r="H1163" t="s">
        <v>26004</v>
      </c>
      <c r="I1163" s="26">
        <v>37390</v>
      </c>
      <c r="J1163">
        <v>1996</v>
      </c>
      <c r="K1163" t="s">
        <v>7471</v>
      </c>
      <c r="L1163">
        <v>111</v>
      </c>
      <c r="M1163" t="s">
        <v>30347</v>
      </c>
      <c r="N1163">
        <v>1</v>
      </c>
      <c r="Q1163" t="s">
        <v>30348</v>
      </c>
      <c r="R1163" t="s">
        <v>30349</v>
      </c>
      <c r="S1163" t="s">
        <v>30350</v>
      </c>
      <c r="T1163" t="s">
        <v>30</v>
      </c>
      <c r="U1163" t="s">
        <v>27028</v>
      </c>
      <c r="W1163" t="s">
        <v>26009</v>
      </c>
    </row>
    <row r="1164" spans="1:23" x14ac:dyDescent="0.35">
      <c r="A1164">
        <v>312697</v>
      </c>
      <c r="B1164" t="s">
        <v>30351</v>
      </c>
      <c r="C1164" t="str">
        <f>"9780937004135"</f>
        <v>9780937004135</v>
      </c>
      <c r="D1164" t="str">
        <f>"9781605570174"</f>
        <v>9781605570174</v>
      </c>
      <c r="E1164" t="s">
        <v>30352</v>
      </c>
      <c r="F1164" t="s">
        <v>7690</v>
      </c>
      <c r="G1164" t="s">
        <v>30353</v>
      </c>
      <c r="H1164" t="s">
        <v>26004</v>
      </c>
      <c r="I1164" s="26">
        <v>35796</v>
      </c>
      <c r="J1164">
        <v>2005</v>
      </c>
      <c r="K1164" t="s">
        <v>7690</v>
      </c>
      <c r="L1164">
        <v>49</v>
      </c>
      <c r="M1164" t="s">
        <v>30354</v>
      </c>
      <c r="N1164">
        <v>4</v>
      </c>
      <c r="Q1164" t="s">
        <v>30355</v>
      </c>
      <c r="S1164" t="s">
        <v>7691</v>
      </c>
      <c r="T1164" t="s">
        <v>30</v>
      </c>
      <c r="U1164" t="s">
        <v>26019</v>
      </c>
      <c r="W1164" t="s">
        <v>26009</v>
      </c>
    </row>
    <row r="1165" spans="1:23" x14ac:dyDescent="0.35">
      <c r="A1165">
        <v>312698</v>
      </c>
      <c r="B1165" t="s">
        <v>30356</v>
      </c>
      <c r="C1165" t="str">
        <f>"9780937004128"</f>
        <v>9780937004128</v>
      </c>
      <c r="D1165" t="str">
        <f>"9781605570181"</f>
        <v>9781605570181</v>
      </c>
      <c r="E1165" t="s">
        <v>30352</v>
      </c>
      <c r="F1165" t="s">
        <v>7690</v>
      </c>
      <c r="G1165" t="s">
        <v>30353</v>
      </c>
      <c r="H1165" t="s">
        <v>26004</v>
      </c>
      <c r="I1165" s="26">
        <v>36039</v>
      </c>
      <c r="J1165">
        <v>2005</v>
      </c>
      <c r="K1165" t="s">
        <v>7690</v>
      </c>
      <c r="L1165">
        <v>98</v>
      </c>
      <c r="M1165" t="s">
        <v>30354</v>
      </c>
      <c r="Q1165" t="s">
        <v>30357</v>
      </c>
      <c r="S1165" t="s">
        <v>8356</v>
      </c>
      <c r="T1165" t="s">
        <v>30</v>
      </c>
      <c r="U1165" t="s">
        <v>46</v>
      </c>
      <c r="W1165" t="s">
        <v>26009</v>
      </c>
    </row>
    <row r="1166" spans="1:23" x14ac:dyDescent="0.35">
      <c r="A1166">
        <v>312898</v>
      </c>
      <c r="B1166" t="s">
        <v>30358</v>
      </c>
      <c r="C1166" t="str">
        <f>"9781593854485"</f>
        <v>9781593854485</v>
      </c>
      <c r="D1166" t="str">
        <f>"9781593856571"</f>
        <v>9781593856571</v>
      </c>
      <c r="E1166" t="s">
        <v>30112</v>
      </c>
      <c r="F1166" t="s">
        <v>7420</v>
      </c>
      <c r="G1166" t="s">
        <v>22179</v>
      </c>
      <c r="H1166" t="s">
        <v>26004</v>
      </c>
      <c r="I1166" s="26">
        <v>39149</v>
      </c>
      <c r="J1166">
        <v>2007</v>
      </c>
      <c r="K1166" t="s">
        <v>30113</v>
      </c>
      <c r="L1166">
        <v>274</v>
      </c>
      <c r="M1166" t="s">
        <v>30359</v>
      </c>
      <c r="N1166">
        <v>1</v>
      </c>
      <c r="Q1166" t="s">
        <v>30360</v>
      </c>
      <c r="R1166" t="s">
        <v>30361</v>
      </c>
      <c r="S1166" t="s">
        <v>30362</v>
      </c>
      <c r="T1166" t="s">
        <v>30</v>
      </c>
      <c r="U1166" t="s">
        <v>26116</v>
      </c>
      <c r="W1166" t="s">
        <v>28347</v>
      </c>
    </row>
    <row r="1167" spans="1:23" x14ac:dyDescent="0.35">
      <c r="A1167">
        <v>312903</v>
      </c>
      <c r="B1167" t="s">
        <v>30363</v>
      </c>
      <c r="C1167" t="str">
        <f>"9781593854089"</f>
        <v>9781593854089</v>
      </c>
      <c r="D1167" t="str">
        <f>"9781593856625"</f>
        <v>9781593856625</v>
      </c>
      <c r="E1167" t="s">
        <v>30112</v>
      </c>
      <c r="F1167" t="s">
        <v>7420</v>
      </c>
      <c r="G1167" t="s">
        <v>22179</v>
      </c>
      <c r="H1167" t="s">
        <v>26004</v>
      </c>
      <c r="I1167" s="26">
        <v>39108</v>
      </c>
      <c r="J1167">
        <v>2007</v>
      </c>
      <c r="K1167" t="s">
        <v>30113</v>
      </c>
      <c r="L1167">
        <v>466</v>
      </c>
      <c r="M1167" t="s">
        <v>30364</v>
      </c>
      <c r="N1167">
        <v>1</v>
      </c>
      <c r="Q1167" t="s">
        <v>30365</v>
      </c>
      <c r="R1167">
        <v>155.69999999999999</v>
      </c>
      <c r="S1167" t="s">
        <v>30366</v>
      </c>
      <c r="T1167" t="s">
        <v>30</v>
      </c>
      <c r="U1167" t="s">
        <v>46</v>
      </c>
      <c r="W1167" t="s">
        <v>28347</v>
      </c>
    </row>
    <row r="1168" spans="1:23" x14ac:dyDescent="0.35">
      <c r="A1168">
        <v>312905</v>
      </c>
      <c r="B1168" t="s">
        <v>8621</v>
      </c>
      <c r="C1168" t="str">
        <f>"9781593850579"</f>
        <v>9781593850579</v>
      </c>
      <c r="D1168" t="str">
        <f>"9781593856649"</f>
        <v>9781593856649</v>
      </c>
      <c r="E1168" t="s">
        <v>30112</v>
      </c>
      <c r="F1168" t="s">
        <v>7420</v>
      </c>
      <c r="G1168" t="s">
        <v>22179</v>
      </c>
      <c r="H1168" t="s">
        <v>26004</v>
      </c>
      <c r="I1168" s="26">
        <v>39108</v>
      </c>
      <c r="J1168">
        <v>2007</v>
      </c>
      <c r="K1168" t="s">
        <v>30113</v>
      </c>
      <c r="L1168">
        <v>466</v>
      </c>
      <c r="M1168" t="s">
        <v>30367</v>
      </c>
      <c r="N1168">
        <v>1</v>
      </c>
      <c r="Q1168" t="s">
        <v>30368</v>
      </c>
      <c r="R1168" t="s">
        <v>30369</v>
      </c>
      <c r="S1168" t="s">
        <v>30370</v>
      </c>
      <c r="T1168" t="s">
        <v>30</v>
      </c>
      <c r="U1168" t="s">
        <v>29740</v>
      </c>
      <c r="W1168" t="s">
        <v>28347</v>
      </c>
    </row>
    <row r="1169" spans="1:23" x14ac:dyDescent="0.35">
      <c r="A1169">
        <v>312907</v>
      </c>
      <c r="B1169" t="s">
        <v>30371</v>
      </c>
      <c r="C1169" t="str">
        <f>"9781593851378"</f>
        <v>9781593851378</v>
      </c>
      <c r="D1169" t="str">
        <f>"9781593856670"</f>
        <v>9781593856670</v>
      </c>
      <c r="E1169" t="s">
        <v>30112</v>
      </c>
      <c r="F1169" t="s">
        <v>7420</v>
      </c>
      <c r="G1169" t="s">
        <v>22179</v>
      </c>
      <c r="H1169" t="s">
        <v>26004</v>
      </c>
      <c r="I1169" s="26">
        <v>39114</v>
      </c>
      <c r="J1169">
        <v>2007</v>
      </c>
      <c r="K1169" t="s">
        <v>30113</v>
      </c>
      <c r="L1169">
        <v>398</v>
      </c>
      <c r="M1169" t="s">
        <v>30372</v>
      </c>
      <c r="N1169">
        <v>1</v>
      </c>
      <c r="Q1169" t="s">
        <v>30373</v>
      </c>
      <c r="R1169" t="s">
        <v>28597</v>
      </c>
      <c r="S1169" t="s">
        <v>30374</v>
      </c>
      <c r="T1169" t="s">
        <v>30</v>
      </c>
      <c r="U1169" t="s">
        <v>26019</v>
      </c>
      <c r="W1169" t="s">
        <v>28347</v>
      </c>
    </row>
    <row r="1170" spans="1:23" x14ac:dyDescent="0.35">
      <c r="A1170">
        <v>312910</v>
      </c>
      <c r="B1170" t="s">
        <v>30375</v>
      </c>
      <c r="C1170" t="str">
        <f>"9781593854041"</f>
        <v>9781593854041</v>
      </c>
      <c r="D1170" t="str">
        <f>"9781593856700"</f>
        <v>9781593856700</v>
      </c>
      <c r="E1170" t="s">
        <v>30112</v>
      </c>
      <c r="F1170" t="s">
        <v>7420</v>
      </c>
      <c r="G1170" t="s">
        <v>22179</v>
      </c>
      <c r="H1170" t="s">
        <v>26004</v>
      </c>
      <c r="I1170" s="26">
        <v>39094</v>
      </c>
      <c r="J1170">
        <v>2007</v>
      </c>
      <c r="K1170" t="s">
        <v>30113</v>
      </c>
      <c r="L1170">
        <v>530</v>
      </c>
      <c r="M1170" t="s">
        <v>30376</v>
      </c>
      <c r="N1170">
        <v>1</v>
      </c>
      <c r="Q1170" t="s">
        <v>30377</v>
      </c>
      <c r="R1170">
        <v>612.79999999999995</v>
      </c>
      <c r="S1170" t="s">
        <v>30378</v>
      </c>
      <c r="T1170" t="s">
        <v>30</v>
      </c>
      <c r="U1170" t="s">
        <v>26141</v>
      </c>
      <c r="W1170" t="s">
        <v>28347</v>
      </c>
    </row>
    <row r="1171" spans="1:23" x14ac:dyDescent="0.35">
      <c r="A1171">
        <v>312911</v>
      </c>
      <c r="B1171" t="s">
        <v>30379</v>
      </c>
      <c r="C1171" t="str">
        <f>"9781593854140"</f>
        <v>9781593854140</v>
      </c>
      <c r="D1171" t="str">
        <f>"9781593856717"</f>
        <v>9781593856717</v>
      </c>
      <c r="E1171" t="s">
        <v>30112</v>
      </c>
      <c r="F1171" t="s">
        <v>7420</v>
      </c>
      <c r="G1171" t="s">
        <v>22179</v>
      </c>
      <c r="H1171" t="s">
        <v>26004</v>
      </c>
      <c r="I1171" s="26">
        <v>39098</v>
      </c>
      <c r="J1171">
        <v>2007</v>
      </c>
      <c r="K1171" t="s">
        <v>30113</v>
      </c>
      <c r="L1171">
        <v>274</v>
      </c>
      <c r="M1171" t="s">
        <v>30380</v>
      </c>
      <c r="N1171">
        <v>1</v>
      </c>
      <c r="Q1171" t="s">
        <v>30381</v>
      </c>
      <c r="S1171" t="s">
        <v>30382</v>
      </c>
      <c r="T1171" t="s">
        <v>30</v>
      </c>
      <c r="U1171" t="s">
        <v>26019</v>
      </c>
      <c r="W1171" t="s">
        <v>28347</v>
      </c>
    </row>
    <row r="1172" spans="1:23" x14ac:dyDescent="0.35">
      <c r="A1172">
        <v>313298</v>
      </c>
      <c r="B1172" t="s">
        <v>7494</v>
      </c>
      <c r="C1172" t="str">
        <f>"9780803211353"</f>
        <v>9780803211353</v>
      </c>
      <c r="D1172" t="str">
        <f>"9780803215795"</f>
        <v>9780803215795</v>
      </c>
      <c r="E1172" t="s">
        <v>30383</v>
      </c>
      <c r="F1172" t="s">
        <v>6414</v>
      </c>
      <c r="G1172" t="s">
        <v>25437</v>
      </c>
      <c r="H1172" t="s">
        <v>26004</v>
      </c>
      <c r="I1172" s="26">
        <v>39356</v>
      </c>
      <c r="J1172">
        <v>2007</v>
      </c>
      <c r="K1172" t="s">
        <v>30384</v>
      </c>
      <c r="L1172">
        <v>233</v>
      </c>
      <c r="M1172" t="s">
        <v>30385</v>
      </c>
      <c r="N1172">
        <v>1</v>
      </c>
      <c r="O1172" t="s">
        <v>30386</v>
      </c>
      <c r="Q1172" t="s">
        <v>30387</v>
      </c>
      <c r="R1172" t="s">
        <v>30388</v>
      </c>
      <c r="S1172" t="s">
        <v>7495</v>
      </c>
      <c r="T1172" t="s">
        <v>30</v>
      </c>
      <c r="U1172" t="s">
        <v>30389</v>
      </c>
      <c r="W1172" t="s">
        <v>26009</v>
      </c>
    </row>
    <row r="1173" spans="1:23" x14ac:dyDescent="0.35">
      <c r="A1173">
        <v>313318</v>
      </c>
      <c r="B1173" t="s">
        <v>8788</v>
      </c>
      <c r="C1173" t="str">
        <f>"9780803239692"</f>
        <v>9780803239692</v>
      </c>
      <c r="D1173" t="str">
        <f>"9780803213999"</f>
        <v>9780803213999</v>
      </c>
      <c r="E1173" t="s">
        <v>30383</v>
      </c>
      <c r="F1173" t="s">
        <v>6414</v>
      </c>
      <c r="G1173" t="s">
        <v>25437</v>
      </c>
      <c r="H1173" t="s">
        <v>26004</v>
      </c>
      <c r="I1173" s="26">
        <v>39387</v>
      </c>
      <c r="J1173">
        <v>2007</v>
      </c>
      <c r="K1173" t="s">
        <v>30384</v>
      </c>
      <c r="L1173">
        <v>209</v>
      </c>
      <c r="M1173" t="s">
        <v>30390</v>
      </c>
      <c r="N1173">
        <v>1</v>
      </c>
      <c r="O1173" t="s">
        <v>30391</v>
      </c>
      <c r="Q1173" t="s">
        <v>30392</v>
      </c>
      <c r="R1173" t="s">
        <v>30393</v>
      </c>
      <c r="S1173" t="s">
        <v>30394</v>
      </c>
      <c r="T1173" t="s">
        <v>30</v>
      </c>
      <c r="U1173" t="s">
        <v>152</v>
      </c>
      <c r="W1173" t="s">
        <v>26009</v>
      </c>
    </row>
    <row r="1174" spans="1:23" x14ac:dyDescent="0.35">
      <c r="A1174">
        <v>313321</v>
      </c>
      <c r="B1174" t="s">
        <v>8920</v>
      </c>
      <c r="C1174" t="str">
        <f>"9780803210950"</f>
        <v>9780803210950</v>
      </c>
      <c r="D1174" t="str">
        <f>"9780803209183"</f>
        <v>9780803209183</v>
      </c>
      <c r="E1174" t="s">
        <v>30383</v>
      </c>
      <c r="F1174" t="s">
        <v>6414</v>
      </c>
      <c r="G1174" t="s">
        <v>25437</v>
      </c>
      <c r="H1174" t="s">
        <v>26004</v>
      </c>
      <c r="I1174" s="26">
        <v>39326</v>
      </c>
      <c r="J1174">
        <v>2007</v>
      </c>
      <c r="K1174" t="s">
        <v>30384</v>
      </c>
      <c r="L1174">
        <v>282</v>
      </c>
      <c r="M1174" t="s">
        <v>30395</v>
      </c>
      <c r="N1174">
        <v>1</v>
      </c>
      <c r="O1174" t="s">
        <v>30396</v>
      </c>
      <c r="Q1174" t="s">
        <v>30397</v>
      </c>
      <c r="R1174" t="s">
        <v>30398</v>
      </c>
      <c r="S1174" t="s">
        <v>30399</v>
      </c>
      <c r="T1174" t="s">
        <v>30</v>
      </c>
      <c r="U1174" t="s">
        <v>30400</v>
      </c>
      <c r="W1174" t="s">
        <v>26009</v>
      </c>
    </row>
    <row r="1175" spans="1:23" x14ac:dyDescent="0.35">
      <c r="A1175">
        <v>315143</v>
      </c>
      <c r="B1175" t="s">
        <v>8434</v>
      </c>
      <c r="C1175" t="str">
        <f>"9780195145847"</f>
        <v>9780195145847</v>
      </c>
      <c r="D1175" t="str">
        <f>"9780198033363"</f>
        <v>9780198033363</v>
      </c>
      <c r="E1175" t="s">
        <v>371</v>
      </c>
      <c r="F1175" t="s">
        <v>31</v>
      </c>
      <c r="G1175" t="s">
        <v>22703</v>
      </c>
      <c r="H1175" t="s">
        <v>26004</v>
      </c>
      <c r="I1175" s="26">
        <v>38792</v>
      </c>
      <c r="J1175">
        <v>2006</v>
      </c>
      <c r="K1175" t="s">
        <v>31</v>
      </c>
      <c r="L1175">
        <v>495</v>
      </c>
      <c r="M1175" t="s">
        <v>30401</v>
      </c>
      <c r="Q1175" t="s">
        <v>30402</v>
      </c>
      <c r="R1175">
        <v>821.7</v>
      </c>
      <c r="S1175" t="s">
        <v>30403</v>
      </c>
      <c r="T1175" t="s">
        <v>30</v>
      </c>
      <c r="U1175" t="s">
        <v>30404</v>
      </c>
      <c r="W1175" t="s">
        <v>26009</v>
      </c>
    </row>
    <row r="1176" spans="1:23" x14ac:dyDescent="0.35">
      <c r="A1176">
        <v>315144</v>
      </c>
      <c r="B1176" t="s">
        <v>8446</v>
      </c>
      <c r="C1176" t="str">
        <f>"9780195139594"</f>
        <v>9780195139594</v>
      </c>
      <c r="D1176" t="str">
        <f>"9780198031949"</f>
        <v>9780198031949</v>
      </c>
      <c r="E1176" t="s">
        <v>371</v>
      </c>
      <c r="F1176" t="s">
        <v>31</v>
      </c>
      <c r="G1176" t="s">
        <v>22703</v>
      </c>
      <c r="H1176" t="s">
        <v>26004</v>
      </c>
      <c r="I1176" s="26">
        <v>38960</v>
      </c>
      <c r="J1176">
        <v>2007</v>
      </c>
      <c r="K1176" t="s">
        <v>31</v>
      </c>
      <c r="L1176">
        <v>413</v>
      </c>
      <c r="M1176" t="s">
        <v>30405</v>
      </c>
      <c r="Q1176" t="s">
        <v>30406</v>
      </c>
      <c r="R1176">
        <v>610.19000000000005</v>
      </c>
      <c r="S1176" t="s">
        <v>8447</v>
      </c>
      <c r="T1176" t="s">
        <v>30</v>
      </c>
      <c r="U1176" t="s">
        <v>26040</v>
      </c>
      <c r="W1176" t="s">
        <v>26009</v>
      </c>
    </row>
    <row r="1177" spans="1:23" x14ac:dyDescent="0.35">
      <c r="A1177">
        <v>316094</v>
      </c>
      <c r="B1177" t="s">
        <v>30407</v>
      </c>
      <c r="C1177" t="str">
        <f>"9781574411621"</f>
        <v>9781574411621</v>
      </c>
      <c r="D1177" t="str">
        <f>"9781574414271"</f>
        <v>9781574414271</v>
      </c>
      <c r="E1177" t="s">
        <v>30408</v>
      </c>
      <c r="F1177" t="s">
        <v>9754</v>
      </c>
      <c r="G1177" t="s">
        <v>30409</v>
      </c>
      <c r="H1177" t="s">
        <v>26004</v>
      </c>
      <c r="I1177" s="26">
        <v>37695</v>
      </c>
      <c r="J1177">
        <v>2002</v>
      </c>
      <c r="K1177" t="s">
        <v>9754</v>
      </c>
      <c r="L1177">
        <v>185</v>
      </c>
      <c r="M1177" t="s">
        <v>30410</v>
      </c>
      <c r="N1177">
        <v>1</v>
      </c>
      <c r="Q1177" t="s">
        <v>30411</v>
      </c>
      <c r="R1177" t="s">
        <v>26759</v>
      </c>
      <c r="S1177" t="s">
        <v>30412</v>
      </c>
      <c r="T1177" t="s">
        <v>30</v>
      </c>
      <c r="U1177" t="s">
        <v>46</v>
      </c>
      <c r="W1177" t="s">
        <v>26009</v>
      </c>
    </row>
    <row r="1178" spans="1:23" x14ac:dyDescent="0.35">
      <c r="A1178">
        <v>316152</v>
      </c>
      <c r="B1178" t="s">
        <v>9800</v>
      </c>
      <c r="C1178" t="str">
        <f>"9781593853235"</f>
        <v>9781593853235</v>
      </c>
      <c r="D1178" t="str">
        <f>"9781593855338"</f>
        <v>9781593855338</v>
      </c>
      <c r="E1178" t="s">
        <v>30112</v>
      </c>
      <c r="F1178" t="s">
        <v>7420</v>
      </c>
      <c r="G1178" t="s">
        <v>22179</v>
      </c>
      <c r="H1178" t="s">
        <v>26004</v>
      </c>
      <c r="I1178" s="26">
        <v>38915</v>
      </c>
      <c r="J1178">
        <v>2006</v>
      </c>
      <c r="K1178" t="s">
        <v>30113</v>
      </c>
      <c r="L1178">
        <v>256</v>
      </c>
      <c r="M1178" t="s">
        <v>30413</v>
      </c>
      <c r="N1178">
        <v>1</v>
      </c>
      <c r="Q1178" t="s">
        <v>30414</v>
      </c>
      <c r="R1178">
        <v>616.89139999999998</v>
      </c>
      <c r="S1178" t="s">
        <v>30415</v>
      </c>
      <c r="T1178" t="s">
        <v>30</v>
      </c>
      <c r="U1178" t="s">
        <v>26116</v>
      </c>
      <c r="W1178" t="s">
        <v>28347</v>
      </c>
    </row>
    <row r="1179" spans="1:23" x14ac:dyDescent="0.35">
      <c r="A1179">
        <v>316245</v>
      </c>
      <c r="B1179" t="s">
        <v>8874</v>
      </c>
      <c r="C1179" t="str">
        <f>"9780335221349"</f>
        <v>9780335221349</v>
      </c>
      <c r="D1179" t="str">
        <f>"9780335229444"</f>
        <v>9780335229444</v>
      </c>
      <c r="E1179" t="s">
        <v>29061</v>
      </c>
      <c r="F1179" t="s">
        <v>7477</v>
      </c>
      <c r="G1179" t="s">
        <v>29068</v>
      </c>
      <c r="H1179" t="s">
        <v>26011</v>
      </c>
      <c r="I1179" s="26">
        <v>39114</v>
      </c>
      <c r="J1179">
        <v>2007</v>
      </c>
      <c r="K1179" t="s">
        <v>29063</v>
      </c>
      <c r="L1179">
        <v>200</v>
      </c>
      <c r="M1179" t="s">
        <v>30416</v>
      </c>
      <c r="N1179">
        <v>1</v>
      </c>
      <c r="O1179" t="s">
        <v>29074</v>
      </c>
      <c r="Q1179" t="s">
        <v>30417</v>
      </c>
      <c r="R1179">
        <v>150.72</v>
      </c>
      <c r="S1179" t="s">
        <v>30418</v>
      </c>
      <c r="T1179" t="s">
        <v>30</v>
      </c>
      <c r="U1179" t="s">
        <v>46</v>
      </c>
      <c r="W1179" t="s">
        <v>26009</v>
      </c>
    </row>
    <row r="1180" spans="1:23" x14ac:dyDescent="0.35">
      <c r="A1180">
        <v>316251</v>
      </c>
      <c r="B1180" t="s">
        <v>10262</v>
      </c>
      <c r="C1180" t="str">
        <f>"9780335213610"</f>
        <v>9780335213610</v>
      </c>
      <c r="D1180" t="str">
        <f>"9780335229505"</f>
        <v>9780335229505</v>
      </c>
      <c r="E1180" t="s">
        <v>29061</v>
      </c>
      <c r="F1180" t="s">
        <v>7477</v>
      </c>
      <c r="G1180" t="s">
        <v>30419</v>
      </c>
      <c r="H1180" t="s">
        <v>26011</v>
      </c>
      <c r="I1180" s="26">
        <v>39052</v>
      </c>
      <c r="J1180">
        <v>2006</v>
      </c>
      <c r="K1180" t="s">
        <v>29063</v>
      </c>
      <c r="L1180">
        <v>146</v>
      </c>
      <c r="M1180" t="s">
        <v>30420</v>
      </c>
      <c r="N1180">
        <v>1</v>
      </c>
      <c r="O1180" t="s">
        <v>29070</v>
      </c>
      <c r="Q1180" t="s">
        <v>30421</v>
      </c>
      <c r="R1180">
        <v>616.89139999999998</v>
      </c>
      <c r="S1180" t="s">
        <v>30422</v>
      </c>
      <c r="T1180" t="s">
        <v>30</v>
      </c>
      <c r="U1180" t="s">
        <v>26019</v>
      </c>
      <c r="W1180" t="s">
        <v>26009</v>
      </c>
    </row>
    <row r="1181" spans="1:23" x14ac:dyDescent="0.35">
      <c r="A1181">
        <v>316252</v>
      </c>
      <c r="B1181" t="s">
        <v>30423</v>
      </c>
      <c r="C1181" t="str">
        <f>"9780335218707"</f>
        <v>9780335218707</v>
      </c>
      <c r="D1181" t="str">
        <f>"9780335229512"</f>
        <v>9780335229512</v>
      </c>
      <c r="E1181" t="s">
        <v>29061</v>
      </c>
      <c r="F1181" t="s">
        <v>7477</v>
      </c>
      <c r="G1181" t="s">
        <v>29068</v>
      </c>
      <c r="H1181" t="s">
        <v>26011</v>
      </c>
      <c r="I1181" s="26">
        <v>38991</v>
      </c>
      <c r="J1181">
        <v>2006</v>
      </c>
      <c r="K1181" t="s">
        <v>29063</v>
      </c>
      <c r="L1181">
        <v>165</v>
      </c>
      <c r="M1181" t="s">
        <v>30424</v>
      </c>
      <c r="N1181">
        <v>1</v>
      </c>
      <c r="O1181" t="s">
        <v>29074</v>
      </c>
      <c r="Q1181" t="s">
        <v>30425</v>
      </c>
      <c r="T1181" t="s">
        <v>30</v>
      </c>
      <c r="U1181" t="s">
        <v>26040</v>
      </c>
      <c r="W1181" t="s">
        <v>26009</v>
      </c>
    </row>
    <row r="1182" spans="1:23" x14ac:dyDescent="0.35">
      <c r="A1182">
        <v>316255</v>
      </c>
      <c r="B1182" t="s">
        <v>9573</v>
      </c>
      <c r="C1182" t="str">
        <f>"9780335220618"</f>
        <v>9780335220618</v>
      </c>
      <c r="D1182" t="str">
        <f>"9780335229543"</f>
        <v>9780335229543</v>
      </c>
      <c r="E1182" t="s">
        <v>29061</v>
      </c>
      <c r="F1182" t="s">
        <v>7477</v>
      </c>
      <c r="G1182" t="s">
        <v>29068</v>
      </c>
      <c r="H1182" t="s">
        <v>26011</v>
      </c>
      <c r="I1182" s="26">
        <v>38991</v>
      </c>
      <c r="J1182">
        <v>2006</v>
      </c>
      <c r="K1182" t="s">
        <v>29063</v>
      </c>
      <c r="L1182">
        <v>174</v>
      </c>
      <c r="M1182" t="s">
        <v>30426</v>
      </c>
      <c r="N1182">
        <v>1</v>
      </c>
      <c r="O1182" t="s">
        <v>29070</v>
      </c>
      <c r="R1182">
        <v>658.40712399999995</v>
      </c>
      <c r="S1182" t="s">
        <v>30427</v>
      </c>
      <c r="T1182" t="s">
        <v>30</v>
      </c>
      <c r="U1182" t="s">
        <v>30031</v>
      </c>
      <c r="W1182" t="s">
        <v>26009</v>
      </c>
    </row>
    <row r="1183" spans="1:23" x14ac:dyDescent="0.35">
      <c r="A1183">
        <v>316258</v>
      </c>
      <c r="B1183" t="s">
        <v>9103</v>
      </c>
      <c r="C1183" t="str">
        <f>"9780335219667"</f>
        <v>9780335219667</v>
      </c>
      <c r="D1183" t="str">
        <f>"9780335229574"</f>
        <v>9780335229574</v>
      </c>
      <c r="E1183" t="s">
        <v>29061</v>
      </c>
      <c r="F1183" t="s">
        <v>7477</v>
      </c>
      <c r="G1183" t="s">
        <v>30419</v>
      </c>
      <c r="H1183" t="s">
        <v>26011</v>
      </c>
      <c r="I1183" s="26">
        <v>39052</v>
      </c>
      <c r="J1183">
        <v>2006</v>
      </c>
      <c r="K1183" t="s">
        <v>29063</v>
      </c>
      <c r="L1183">
        <v>265</v>
      </c>
      <c r="M1183" t="s">
        <v>30428</v>
      </c>
      <c r="N1183">
        <v>1</v>
      </c>
      <c r="O1183" t="s">
        <v>29065</v>
      </c>
      <c r="Q1183" t="s">
        <v>30429</v>
      </c>
      <c r="R1183">
        <v>362.20425</v>
      </c>
      <c r="S1183" t="s">
        <v>30430</v>
      </c>
      <c r="T1183" t="s">
        <v>30</v>
      </c>
      <c r="U1183" t="s">
        <v>26250</v>
      </c>
      <c r="W1183" t="s">
        <v>26009</v>
      </c>
    </row>
    <row r="1184" spans="1:23" x14ac:dyDescent="0.35">
      <c r="A1184">
        <v>316299</v>
      </c>
      <c r="B1184" t="s">
        <v>10288</v>
      </c>
      <c r="C1184" t="str">
        <f>"9780335216642"</f>
        <v>9780335216642</v>
      </c>
      <c r="D1184" t="str">
        <f>"9780335229994"</f>
        <v>9780335229994</v>
      </c>
      <c r="E1184" t="s">
        <v>29061</v>
      </c>
      <c r="F1184" t="s">
        <v>7477</v>
      </c>
      <c r="G1184" t="s">
        <v>30419</v>
      </c>
      <c r="H1184" t="s">
        <v>26011</v>
      </c>
      <c r="I1184" s="26">
        <v>39022</v>
      </c>
      <c r="J1184">
        <v>2006</v>
      </c>
      <c r="K1184" t="s">
        <v>29063</v>
      </c>
      <c r="L1184">
        <v>264</v>
      </c>
      <c r="M1184" t="s">
        <v>30431</v>
      </c>
      <c r="N1184">
        <v>1</v>
      </c>
      <c r="O1184" t="s">
        <v>29065</v>
      </c>
      <c r="Q1184" t="s">
        <v>30432</v>
      </c>
      <c r="R1184" t="s">
        <v>30433</v>
      </c>
      <c r="S1184" t="s">
        <v>30434</v>
      </c>
      <c r="T1184" t="s">
        <v>30</v>
      </c>
      <c r="U1184" t="s">
        <v>46</v>
      </c>
      <c r="W1184" t="s">
        <v>26009</v>
      </c>
    </row>
    <row r="1185" spans="1:23" x14ac:dyDescent="0.35">
      <c r="A1185">
        <v>316330</v>
      </c>
      <c r="B1185" t="s">
        <v>30435</v>
      </c>
      <c r="C1185" t="str">
        <f>"9780335216574"</f>
        <v>9780335216574</v>
      </c>
      <c r="D1185" t="str">
        <f>"9780335230303"</f>
        <v>9780335230303</v>
      </c>
      <c r="E1185" t="s">
        <v>29061</v>
      </c>
      <c r="F1185" t="s">
        <v>7477</v>
      </c>
      <c r="G1185" t="s">
        <v>29068</v>
      </c>
      <c r="H1185" t="s">
        <v>26011</v>
      </c>
      <c r="I1185" s="26">
        <v>38961</v>
      </c>
      <c r="J1185">
        <v>2006</v>
      </c>
      <c r="K1185" t="s">
        <v>29063</v>
      </c>
      <c r="L1185">
        <v>225</v>
      </c>
      <c r="M1185" t="s">
        <v>30436</v>
      </c>
      <c r="N1185">
        <v>1</v>
      </c>
      <c r="O1185" t="s">
        <v>29065</v>
      </c>
      <c r="T1185" t="s">
        <v>30</v>
      </c>
      <c r="U1185" t="s">
        <v>26040</v>
      </c>
      <c r="W1185" t="s">
        <v>26009</v>
      </c>
    </row>
    <row r="1186" spans="1:23" x14ac:dyDescent="0.35">
      <c r="A1186">
        <v>316332</v>
      </c>
      <c r="B1186" t="s">
        <v>10040</v>
      </c>
      <c r="C1186" t="str">
        <f>"9780335220519"</f>
        <v>9780335220519</v>
      </c>
      <c r="D1186" t="str">
        <f>"9780335230327"</f>
        <v>9780335230327</v>
      </c>
      <c r="E1186" t="s">
        <v>29061</v>
      </c>
      <c r="F1186" t="s">
        <v>7477</v>
      </c>
      <c r="G1186" t="s">
        <v>29068</v>
      </c>
      <c r="H1186" t="s">
        <v>26011</v>
      </c>
      <c r="I1186" s="26">
        <v>39052</v>
      </c>
      <c r="J1186">
        <v>2006</v>
      </c>
      <c r="K1186" t="s">
        <v>29063</v>
      </c>
      <c r="L1186">
        <v>165</v>
      </c>
      <c r="M1186" t="s">
        <v>30437</v>
      </c>
      <c r="N1186">
        <v>1</v>
      </c>
      <c r="O1186" t="s">
        <v>29070</v>
      </c>
      <c r="R1186">
        <v>158.30000000000001</v>
      </c>
      <c r="S1186" t="s">
        <v>30438</v>
      </c>
      <c r="T1186" t="s">
        <v>30</v>
      </c>
      <c r="U1186" t="s">
        <v>46</v>
      </c>
      <c r="W1186" t="s">
        <v>26009</v>
      </c>
    </row>
    <row r="1187" spans="1:23" x14ac:dyDescent="0.35">
      <c r="A1187">
        <v>316408</v>
      </c>
      <c r="B1187" t="s">
        <v>10210</v>
      </c>
      <c r="C1187" t="str">
        <f>"9780195136708"</f>
        <v>9780195136708</v>
      </c>
      <c r="D1187" t="str">
        <f>"9780198031253"</f>
        <v>9780198031253</v>
      </c>
      <c r="E1187" t="s">
        <v>371</v>
      </c>
      <c r="F1187" t="s">
        <v>31</v>
      </c>
      <c r="G1187" t="s">
        <v>22703</v>
      </c>
      <c r="H1187" t="s">
        <v>26004</v>
      </c>
      <c r="I1187" s="26">
        <v>37931</v>
      </c>
      <c r="J1187">
        <v>2003</v>
      </c>
      <c r="K1187" t="s">
        <v>31</v>
      </c>
      <c r="L1187">
        <v>468</v>
      </c>
      <c r="M1187" t="s">
        <v>30439</v>
      </c>
      <c r="N1187">
        <v>2</v>
      </c>
      <c r="Q1187" t="s">
        <v>30440</v>
      </c>
      <c r="R1187">
        <v>362.7097</v>
      </c>
      <c r="S1187" t="s">
        <v>30441</v>
      </c>
      <c r="T1187" t="s">
        <v>30</v>
      </c>
      <c r="U1187" t="s">
        <v>26044</v>
      </c>
      <c r="W1187" t="s">
        <v>26009</v>
      </c>
    </row>
    <row r="1188" spans="1:23" x14ac:dyDescent="0.35">
      <c r="A1188">
        <v>316424</v>
      </c>
      <c r="B1188" t="s">
        <v>8344</v>
      </c>
      <c r="C1188" t="str">
        <f>"9780826163653"</f>
        <v>9780826163653</v>
      </c>
      <c r="D1188" t="str">
        <f>"9780826163660"</f>
        <v>9780826163660</v>
      </c>
      <c r="E1188" t="s">
        <v>1504</v>
      </c>
      <c r="F1188" t="s">
        <v>33</v>
      </c>
      <c r="G1188" t="s">
        <v>22179</v>
      </c>
      <c r="H1188" t="s">
        <v>26004</v>
      </c>
      <c r="I1188" s="26">
        <v>39264</v>
      </c>
      <c r="J1188">
        <v>2007</v>
      </c>
      <c r="K1188" t="s">
        <v>33</v>
      </c>
      <c r="L1188">
        <v>481</v>
      </c>
      <c r="M1188" t="s">
        <v>30442</v>
      </c>
      <c r="N1188">
        <v>1</v>
      </c>
      <c r="Q1188" t="s">
        <v>30443</v>
      </c>
      <c r="S1188" t="s">
        <v>30444</v>
      </c>
      <c r="T1188" t="s">
        <v>30</v>
      </c>
      <c r="U1188" t="s">
        <v>26116</v>
      </c>
      <c r="W1188" t="s">
        <v>26009</v>
      </c>
    </row>
    <row r="1189" spans="1:23" x14ac:dyDescent="0.35">
      <c r="A1189">
        <v>316425</v>
      </c>
      <c r="B1189" t="s">
        <v>30445</v>
      </c>
      <c r="C1189" t="str">
        <f>"9780826102607"</f>
        <v>9780826102607</v>
      </c>
      <c r="D1189" t="str">
        <f>"9780826103369"</f>
        <v>9780826103369</v>
      </c>
      <c r="E1189" t="s">
        <v>1504</v>
      </c>
      <c r="F1189" t="s">
        <v>33</v>
      </c>
      <c r="G1189" t="s">
        <v>22179</v>
      </c>
      <c r="H1189" t="s">
        <v>26004</v>
      </c>
      <c r="I1189" s="26">
        <v>39264</v>
      </c>
      <c r="J1189">
        <v>2007</v>
      </c>
      <c r="K1189" t="s">
        <v>33</v>
      </c>
      <c r="L1189">
        <v>312</v>
      </c>
      <c r="M1189" t="s">
        <v>30446</v>
      </c>
      <c r="N1189">
        <v>1</v>
      </c>
      <c r="Q1189" t="s">
        <v>30447</v>
      </c>
      <c r="S1189" t="s">
        <v>30448</v>
      </c>
      <c r="T1189" t="s">
        <v>30</v>
      </c>
      <c r="U1189" t="s">
        <v>26008</v>
      </c>
      <c r="W1189" t="s">
        <v>26009</v>
      </c>
    </row>
    <row r="1190" spans="1:23" x14ac:dyDescent="0.35">
      <c r="A1190">
        <v>316428</v>
      </c>
      <c r="B1190" t="s">
        <v>30449</v>
      </c>
      <c r="C1190" t="str">
        <f>"9780826102577"</f>
        <v>9780826102577</v>
      </c>
      <c r="D1190" t="str">
        <f>"9780826103376"</f>
        <v>9780826103376</v>
      </c>
      <c r="E1190" t="s">
        <v>1504</v>
      </c>
      <c r="F1190" t="s">
        <v>33</v>
      </c>
      <c r="G1190" t="s">
        <v>22179</v>
      </c>
      <c r="H1190" t="s">
        <v>26004</v>
      </c>
      <c r="I1190" s="26">
        <v>39295</v>
      </c>
      <c r="J1190">
        <v>2007</v>
      </c>
      <c r="K1190" t="s">
        <v>33</v>
      </c>
      <c r="L1190">
        <v>288</v>
      </c>
      <c r="M1190" t="s">
        <v>30450</v>
      </c>
      <c r="N1190">
        <v>1</v>
      </c>
      <c r="Q1190" t="s">
        <v>30451</v>
      </c>
      <c r="S1190" t="s">
        <v>30452</v>
      </c>
      <c r="T1190" t="s">
        <v>30</v>
      </c>
      <c r="U1190" t="s">
        <v>26044</v>
      </c>
      <c r="W1190" t="s">
        <v>26009</v>
      </c>
    </row>
    <row r="1191" spans="1:23" x14ac:dyDescent="0.35">
      <c r="A1191">
        <v>316567</v>
      </c>
      <c r="B1191" t="s">
        <v>30453</v>
      </c>
      <c r="C1191" t="str">
        <f>"9780816608119"</f>
        <v>9780816608119</v>
      </c>
      <c r="D1191" t="str">
        <f>"9780816681587"</f>
        <v>9780816681587</v>
      </c>
      <c r="E1191" t="s">
        <v>7471</v>
      </c>
      <c r="F1191" t="s">
        <v>7471</v>
      </c>
      <c r="G1191" t="s">
        <v>23536</v>
      </c>
      <c r="H1191" t="s">
        <v>26004</v>
      </c>
      <c r="I1191" s="26">
        <v>26876</v>
      </c>
      <c r="J1191">
        <v>1977</v>
      </c>
      <c r="K1191" t="s">
        <v>7471</v>
      </c>
      <c r="L1191">
        <v>427</v>
      </c>
      <c r="M1191" t="s">
        <v>30454</v>
      </c>
      <c r="N1191">
        <v>1</v>
      </c>
      <c r="Q1191" t="s">
        <v>30455</v>
      </c>
      <c r="R1191" t="s">
        <v>30456</v>
      </c>
      <c r="S1191" t="s">
        <v>30457</v>
      </c>
      <c r="T1191" t="s">
        <v>30</v>
      </c>
      <c r="U1191" t="s">
        <v>46</v>
      </c>
      <c r="W1191" t="s">
        <v>26009</v>
      </c>
    </row>
    <row r="1192" spans="1:23" x14ac:dyDescent="0.35">
      <c r="A1192">
        <v>316579</v>
      </c>
      <c r="B1192" t="s">
        <v>30458</v>
      </c>
      <c r="C1192" t="str">
        <f>"9780816609918"</f>
        <v>9780816609918</v>
      </c>
      <c r="D1192" t="str">
        <f>"9780816655212"</f>
        <v>9780816655212</v>
      </c>
      <c r="E1192" t="s">
        <v>7471</v>
      </c>
      <c r="F1192" t="s">
        <v>7471</v>
      </c>
      <c r="G1192" t="s">
        <v>23536</v>
      </c>
      <c r="H1192" t="s">
        <v>26004</v>
      </c>
      <c r="I1192" s="26">
        <v>28619</v>
      </c>
      <c r="J1192">
        <v>1982</v>
      </c>
      <c r="K1192" t="s">
        <v>7471</v>
      </c>
      <c r="L1192">
        <v>668</v>
      </c>
      <c r="M1192" t="s">
        <v>30459</v>
      </c>
      <c r="N1192">
        <v>1</v>
      </c>
      <c r="O1192" t="s">
        <v>30460</v>
      </c>
      <c r="Q1192" t="s">
        <v>30461</v>
      </c>
      <c r="R1192" t="s">
        <v>30462</v>
      </c>
      <c r="S1192" t="s">
        <v>30463</v>
      </c>
      <c r="T1192" t="s">
        <v>30</v>
      </c>
      <c r="U1192" t="s">
        <v>26044</v>
      </c>
      <c r="W1192" t="s">
        <v>26009</v>
      </c>
    </row>
    <row r="1193" spans="1:23" x14ac:dyDescent="0.35">
      <c r="A1193">
        <v>316588</v>
      </c>
      <c r="B1193" t="s">
        <v>30464</v>
      </c>
      <c r="C1193" t="str">
        <f>"9780816610914"</f>
        <v>9780816610914</v>
      </c>
      <c r="D1193" t="str">
        <f>"9780816655243"</f>
        <v>9780816655243</v>
      </c>
      <c r="E1193" t="s">
        <v>7471</v>
      </c>
      <c r="F1193" t="s">
        <v>7471</v>
      </c>
      <c r="G1193" t="s">
        <v>23536</v>
      </c>
      <c r="H1193" t="s">
        <v>26004</v>
      </c>
      <c r="I1193" s="26">
        <v>28851</v>
      </c>
      <c r="J1193">
        <v>1982</v>
      </c>
      <c r="K1193" t="s">
        <v>7471</v>
      </c>
      <c r="L1193">
        <v>350</v>
      </c>
      <c r="M1193" t="s">
        <v>30465</v>
      </c>
      <c r="N1193">
        <v>1</v>
      </c>
      <c r="Q1193" t="s">
        <v>30466</v>
      </c>
      <c r="R1193" t="s">
        <v>30467</v>
      </c>
      <c r="S1193" t="s">
        <v>30468</v>
      </c>
      <c r="T1193" t="s">
        <v>30</v>
      </c>
      <c r="U1193" t="s">
        <v>26044</v>
      </c>
      <c r="W1193" t="s">
        <v>26009</v>
      </c>
    </row>
    <row r="1194" spans="1:23" x14ac:dyDescent="0.35">
      <c r="A1194">
        <v>316589</v>
      </c>
      <c r="B1194" t="s">
        <v>30469</v>
      </c>
      <c r="C1194" t="str">
        <f>"9780816610969"</f>
        <v>9780816610969</v>
      </c>
      <c r="D1194" t="str">
        <f>"9780816655236"</f>
        <v>9780816655236</v>
      </c>
      <c r="E1194" t="s">
        <v>7471</v>
      </c>
      <c r="F1194" t="s">
        <v>7471</v>
      </c>
      <c r="G1194" t="s">
        <v>23536</v>
      </c>
      <c r="H1194" t="s">
        <v>26004</v>
      </c>
      <c r="I1194" s="26">
        <v>28808</v>
      </c>
      <c r="J1194">
        <v>1982</v>
      </c>
      <c r="K1194" t="s">
        <v>7471</v>
      </c>
      <c r="L1194">
        <v>574</v>
      </c>
      <c r="M1194" t="s">
        <v>30459</v>
      </c>
      <c r="N1194">
        <v>1</v>
      </c>
      <c r="Q1194" t="s">
        <v>30470</v>
      </c>
      <c r="R1194" t="s">
        <v>30462</v>
      </c>
      <c r="S1194" t="s">
        <v>30471</v>
      </c>
      <c r="T1194" t="s">
        <v>30</v>
      </c>
      <c r="U1194" t="s">
        <v>26044</v>
      </c>
      <c r="W1194" t="s">
        <v>26009</v>
      </c>
    </row>
    <row r="1195" spans="1:23" x14ac:dyDescent="0.35">
      <c r="A1195">
        <v>316636</v>
      </c>
      <c r="B1195" t="s">
        <v>7744</v>
      </c>
      <c r="C1195" t="str">
        <f>"9780816616268"</f>
        <v>9780816616268</v>
      </c>
      <c r="D1195" t="str">
        <f>"9780816682690"</f>
        <v>9780816682690</v>
      </c>
      <c r="E1195" t="s">
        <v>7471</v>
      </c>
      <c r="F1195" t="s">
        <v>7471</v>
      </c>
      <c r="G1195" t="s">
        <v>23536</v>
      </c>
      <c r="H1195" t="s">
        <v>26004</v>
      </c>
      <c r="I1195" s="26">
        <v>31470</v>
      </c>
      <c r="J1195">
        <v>1990</v>
      </c>
      <c r="K1195" t="s">
        <v>7471</v>
      </c>
      <c r="L1195">
        <v>190</v>
      </c>
      <c r="M1195" t="s">
        <v>30472</v>
      </c>
      <c r="N1195">
        <v>1</v>
      </c>
      <c r="Q1195" t="s">
        <v>30473</v>
      </c>
      <c r="R1195">
        <v>616.85262999999998</v>
      </c>
      <c r="S1195" t="s">
        <v>30474</v>
      </c>
      <c r="T1195" t="s">
        <v>30</v>
      </c>
      <c r="U1195" t="s">
        <v>26019</v>
      </c>
      <c r="W1195" t="s">
        <v>26009</v>
      </c>
    </row>
    <row r="1196" spans="1:23" x14ac:dyDescent="0.35">
      <c r="A1196">
        <v>316654</v>
      </c>
      <c r="B1196" t="s">
        <v>7520</v>
      </c>
      <c r="C1196" t="str">
        <f>"9780816618231"</f>
        <v>9780816618231</v>
      </c>
      <c r="D1196" t="str">
        <f>"9780816655403"</f>
        <v>9780816655403</v>
      </c>
      <c r="E1196" t="s">
        <v>7471</v>
      </c>
      <c r="F1196" t="s">
        <v>7471</v>
      </c>
      <c r="G1196" t="s">
        <v>23536</v>
      </c>
      <c r="H1196" t="s">
        <v>26004</v>
      </c>
      <c r="I1196" s="26">
        <v>31500</v>
      </c>
      <c r="J1196">
        <v>1990</v>
      </c>
      <c r="K1196" t="s">
        <v>7471</v>
      </c>
      <c r="L1196">
        <v>382</v>
      </c>
      <c r="M1196" t="s">
        <v>30475</v>
      </c>
      <c r="N1196">
        <v>1</v>
      </c>
      <c r="Q1196" t="s">
        <v>30476</v>
      </c>
      <c r="R1196" t="s">
        <v>27152</v>
      </c>
      <c r="S1196" t="s">
        <v>30477</v>
      </c>
      <c r="T1196" t="s">
        <v>30</v>
      </c>
      <c r="U1196" t="s">
        <v>152</v>
      </c>
      <c r="W1196" t="s">
        <v>26009</v>
      </c>
    </row>
    <row r="1197" spans="1:23" x14ac:dyDescent="0.35">
      <c r="A1197">
        <v>316663</v>
      </c>
      <c r="B1197" t="s">
        <v>30478</v>
      </c>
      <c r="C1197" t="str">
        <f>"9780816618910"</f>
        <v>9780816618910</v>
      </c>
      <c r="D1197" t="str">
        <f>"9780816683550"</f>
        <v>9780816683550</v>
      </c>
      <c r="E1197" t="s">
        <v>7471</v>
      </c>
      <c r="F1197" t="s">
        <v>7471</v>
      </c>
      <c r="G1197" t="s">
        <v>23536</v>
      </c>
      <c r="H1197" t="s">
        <v>26004</v>
      </c>
      <c r="I1197" s="26">
        <v>32081</v>
      </c>
      <c r="J1197">
        <v>1991</v>
      </c>
      <c r="K1197" t="s">
        <v>7471</v>
      </c>
      <c r="L1197">
        <v>297</v>
      </c>
      <c r="M1197" t="s">
        <v>30479</v>
      </c>
      <c r="N1197">
        <v>1</v>
      </c>
      <c r="O1197" t="s">
        <v>10051</v>
      </c>
      <c r="Q1197" t="s">
        <v>30480</v>
      </c>
      <c r="R1197">
        <v>150</v>
      </c>
      <c r="S1197" t="s">
        <v>30481</v>
      </c>
      <c r="T1197" t="s">
        <v>30</v>
      </c>
      <c r="U1197" t="s">
        <v>26116</v>
      </c>
      <c r="W1197" t="s">
        <v>26009</v>
      </c>
    </row>
    <row r="1198" spans="1:23" x14ac:dyDescent="0.35">
      <c r="A1198">
        <v>316664</v>
      </c>
      <c r="B1198" t="s">
        <v>30482</v>
      </c>
      <c r="C1198" t="str">
        <f>"9780816618927"</f>
        <v>9780816618927</v>
      </c>
      <c r="D1198" t="str">
        <f>"9780816683567"</f>
        <v>9780816683567</v>
      </c>
      <c r="E1198" t="s">
        <v>7471</v>
      </c>
      <c r="F1198" t="s">
        <v>7471</v>
      </c>
      <c r="G1198" t="s">
        <v>23536</v>
      </c>
      <c r="H1198" t="s">
        <v>26004</v>
      </c>
      <c r="I1198" s="26">
        <v>32111</v>
      </c>
      <c r="J1198">
        <v>1991</v>
      </c>
      <c r="K1198" t="s">
        <v>7471</v>
      </c>
      <c r="L1198">
        <v>475</v>
      </c>
      <c r="M1198" t="s">
        <v>30479</v>
      </c>
      <c r="N1198">
        <v>1</v>
      </c>
      <c r="O1198" t="s">
        <v>10051</v>
      </c>
      <c r="Q1198" t="s">
        <v>30483</v>
      </c>
      <c r="R1198">
        <v>150</v>
      </c>
      <c r="S1198" t="s">
        <v>30484</v>
      </c>
      <c r="T1198" t="s">
        <v>30</v>
      </c>
      <c r="U1198" t="s">
        <v>26019</v>
      </c>
      <c r="W1198" t="s">
        <v>26009</v>
      </c>
    </row>
    <row r="1199" spans="1:23" x14ac:dyDescent="0.35">
      <c r="A1199">
        <v>316723</v>
      </c>
      <c r="B1199" t="s">
        <v>30485</v>
      </c>
      <c r="C1199" t="str">
        <f>"9780816616572"</f>
        <v>9780816616572</v>
      </c>
      <c r="D1199" t="str">
        <f>"9780816655762"</f>
        <v>9780816655762</v>
      </c>
      <c r="E1199" t="s">
        <v>7471</v>
      </c>
      <c r="F1199" t="s">
        <v>7471</v>
      </c>
      <c r="G1199" t="s">
        <v>23536</v>
      </c>
      <c r="H1199" t="s">
        <v>26004</v>
      </c>
      <c r="I1199" s="26">
        <v>25540</v>
      </c>
      <c r="J1199">
        <v>1979</v>
      </c>
      <c r="K1199" t="s">
        <v>7471</v>
      </c>
      <c r="L1199">
        <v>312</v>
      </c>
      <c r="M1199" t="s">
        <v>30486</v>
      </c>
      <c r="N1199">
        <v>1</v>
      </c>
      <c r="Q1199" t="s">
        <v>30487</v>
      </c>
      <c r="R1199" t="s">
        <v>30488</v>
      </c>
      <c r="S1199" t="s">
        <v>30489</v>
      </c>
      <c r="T1199" t="s">
        <v>30</v>
      </c>
      <c r="U1199" t="s">
        <v>30490</v>
      </c>
      <c r="W1199" t="s">
        <v>26009</v>
      </c>
    </row>
    <row r="1200" spans="1:23" x14ac:dyDescent="0.35">
      <c r="A1200">
        <v>316986</v>
      </c>
      <c r="B1200" t="s">
        <v>8639</v>
      </c>
      <c r="C1200" t="str">
        <f>"9780121346454"</f>
        <v>9780121346454</v>
      </c>
      <c r="D1200" t="str">
        <f>"9780080533179"</f>
        <v>9780080533179</v>
      </c>
      <c r="E1200" t="s">
        <v>27482</v>
      </c>
      <c r="F1200" t="s">
        <v>7447</v>
      </c>
      <c r="G1200" t="s">
        <v>22689</v>
      </c>
      <c r="H1200" t="s">
        <v>26004</v>
      </c>
      <c r="I1200" s="26">
        <v>35569</v>
      </c>
      <c r="J1200">
        <v>1997</v>
      </c>
      <c r="K1200" t="s">
        <v>946</v>
      </c>
      <c r="L1200">
        <v>1012</v>
      </c>
      <c r="M1200" t="s">
        <v>30491</v>
      </c>
      <c r="N1200">
        <v>1</v>
      </c>
      <c r="Q1200" t="s">
        <v>30492</v>
      </c>
      <c r="R1200">
        <v>155.19999999999999</v>
      </c>
      <c r="S1200" t="s">
        <v>30493</v>
      </c>
      <c r="T1200" t="s">
        <v>30</v>
      </c>
      <c r="U1200" t="s">
        <v>46</v>
      </c>
      <c r="W1200" t="s">
        <v>26009</v>
      </c>
    </row>
    <row r="1201" spans="1:23" x14ac:dyDescent="0.35">
      <c r="A1201">
        <v>317002</v>
      </c>
      <c r="B1201" t="s">
        <v>30494</v>
      </c>
      <c r="C1201" t="str">
        <f>"9780122678059"</f>
        <v>9780122678059</v>
      </c>
      <c r="D1201" t="str">
        <f>"9780080542423"</f>
        <v>9780080542423</v>
      </c>
      <c r="E1201" t="s">
        <v>27482</v>
      </c>
      <c r="F1201" t="s">
        <v>7447</v>
      </c>
      <c r="G1201" t="s">
        <v>22689</v>
      </c>
      <c r="H1201" t="s">
        <v>26004</v>
      </c>
      <c r="I1201" s="26">
        <v>37109</v>
      </c>
      <c r="J1201">
        <v>2001</v>
      </c>
      <c r="K1201" t="s">
        <v>946</v>
      </c>
      <c r="L1201">
        <v>465</v>
      </c>
      <c r="M1201" t="s">
        <v>30048</v>
      </c>
      <c r="N1201">
        <v>1</v>
      </c>
      <c r="Q1201" t="s">
        <v>30495</v>
      </c>
      <c r="R1201">
        <v>616.89</v>
      </c>
      <c r="S1201" t="s">
        <v>30496</v>
      </c>
      <c r="T1201" t="s">
        <v>30</v>
      </c>
      <c r="U1201" t="s">
        <v>26019</v>
      </c>
      <c r="W1201" t="s">
        <v>26009</v>
      </c>
    </row>
    <row r="1202" spans="1:23" x14ac:dyDescent="0.35">
      <c r="A1202">
        <v>317048</v>
      </c>
      <c r="B1202" t="s">
        <v>30497</v>
      </c>
      <c r="C1202" t="str">
        <f>"9780125542555"</f>
        <v>9780125542555</v>
      </c>
      <c r="D1202" t="str">
        <f>"9780080532936"</f>
        <v>9780080532936</v>
      </c>
      <c r="E1202" t="s">
        <v>27482</v>
      </c>
      <c r="F1202" t="s">
        <v>7447</v>
      </c>
      <c r="G1202" t="s">
        <v>22689</v>
      </c>
      <c r="H1202" t="s">
        <v>26004</v>
      </c>
      <c r="I1202" s="26">
        <v>35438</v>
      </c>
      <c r="J1202">
        <v>1997</v>
      </c>
      <c r="K1202" t="s">
        <v>946</v>
      </c>
      <c r="L1202">
        <v>633</v>
      </c>
      <c r="M1202" t="s">
        <v>30498</v>
      </c>
      <c r="N1202">
        <v>1</v>
      </c>
      <c r="O1202" t="s">
        <v>27484</v>
      </c>
      <c r="P1202" t="s">
        <v>30499</v>
      </c>
      <c r="Q1202" t="s">
        <v>30500</v>
      </c>
      <c r="R1202" t="s">
        <v>30501</v>
      </c>
      <c r="S1202" t="s">
        <v>30502</v>
      </c>
      <c r="T1202" t="s">
        <v>30</v>
      </c>
      <c r="U1202" t="s">
        <v>337</v>
      </c>
      <c r="W1202" t="s">
        <v>26009</v>
      </c>
    </row>
    <row r="1203" spans="1:23" x14ac:dyDescent="0.35">
      <c r="A1203">
        <v>317118</v>
      </c>
      <c r="B1203" t="s">
        <v>30503</v>
      </c>
      <c r="C1203" t="str">
        <f>"9780444506375"</f>
        <v>9780444506375</v>
      </c>
      <c r="D1203" t="str">
        <f>"9780080531434"</f>
        <v>9780080531434</v>
      </c>
      <c r="E1203" t="s">
        <v>27482</v>
      </c>
      <c r="F1203" t="s">
        <v>7447</v>
      </c>
      <c r="G1203" t="s">
        <v>22179</v>
      </c>
      <c r="H1203" t="s">
        <v>27983</v>
      </c>
      <c r="I1203" s="26">
        <v>36871</v>
      </c>
      <c r="J1203">
        <v>2000</v>
      </c>
      <c r="K1203" t="s">
        <v>1154</v>
      </c>
      <c r="L1203">
        <v>297</v>
      </c>
      <c r="M1203" t="s">
        <v>30504</v>
      </c>
      <c r="N1203">
        <v>1</v>
      </c>
      <c r="O1203" t="s">
        <v>30505</v>
      </c>
      <c r="P1203">
        <v>14</v>
      </c>
      <c r="Q1203" t="s">
        <v>30506</v>
      </c>
      <c r="R1203" t="s">
        <v>30507</v>
      </c>
      <c r="S1203" t="s">
        <v>30508</v>
      </c>
      <c r="T1203" t="s">
        <v>30</v>
      </c>
      <c r="U1203" t="s">
        <v>26040</v>
      </c>
      <c r="W1203" t="s">
        <v>26009</v>
      </c>
    </row>
    <row r="1204" spans="1:23" x14ac:dyDescent="0.35">
      <c r="A1204">
        <v>317411</v>
      </c>
      <c r="B1204" t="s">
        <v>8564</v>
      </c>
      <c r="C1204" t="str">
        <f>"9789275326657"</f>
        <v>9789275326657</v>
      </c>
      <c r="D1204" t="str">
        <f>"9789275328125"</f>
        <v>9789275328125</v>
      </c>
      <c r="E1204" t="s">
        <v>7576</v>
      </c>
      <c r="F1204" t="s">
        <v>7576</v>
      </c>
      <c r="G1204" t="s">
        <v>22254</v>
      </c>
      <c r="H1204" t="s">
        <v>26004</v>
      </c>
      <c r="I1204" s="26">
        <v>32143</v>
      </c>
      <c r="J1204">
        <v>2006</v>
      </c>
      <c r="K1204" t="s">
        <v>28557</v>
      </c>
      <c r="L1204">
        <v>200</v>
      </c>
      <c r="M1204" t="s">
        <v>30509</v>
      </c>
      <c r="N1204">
        <v>1</v>
      </c>
      <c r="Q1204" t="s">
        <v>30510</v>
      </c>
      <c r="R1204">
        <v>155.935</v>
      </c>
      <c r="S1204" t="s">
        <v>30511</v>
      </c>
      <c r="T1204" t="s">
        <v>142</v>
      </c>
      <c r="U1204" t="s">
        <v>46</v>
      </c>
      <c r="W1204" t="s">
        <v>26009</v>
      </c>
    </row>
    <row r="1205" spans="1:23" x14ac:dyDescent="0.35">
      <c r="A1205">
        <v>318299</v>
      </c>
      <c r="B1205" t="s">
        <v>9805</v>
      </c>
      <c r="C1205" t="str">
        <f>"9780080448893"</f>
        <v>9780080448893</v>
      </c>
      <c r="D1205" t="str">
        <f>"9780080553320"</f>
        <v>9780080553320</v>
      </c>
      <c r="E1205" t="s">
        <v>27482</v>
      </c>
      <c r="F1205" t="s">
        <v>7447</v>
      </c>
      <c r="G1205" t="s">
        <v>22242</v>
      </c>
      <c r="H1205" t="s">
        <v>26011</v>
      </c>
      <c r="I1205" s="26">
        <v>39388</v>
      </c>
      <c r="J1205">
        <v>2008</v>
      </c>
      <c r="K1205" t="s">
        <v>7447</v>
      </c>
      <c r="L1205">
        <v>313</v>
      </c>
      <c r="M1205" t="s">
        <v>30512</v>
      </c>
      <c r="N1205">
        <v>1</v>
      </c>
      <c r="O1205" t="s">
        <v>27484</v>
      </c>
      <c r="P1205" t="s">
        <v>30513</v>
      </c>
      <c r="Q1205" t="s">
        <v>30514</v>
      </c>
      <c r="R1205">
        <v>616.85820000000001</v>
      </c>
      <c r="S1205" t="s">
        <v>30515</v>
      </c>
      <c r="T1205" t="s">
        <v>30</v>
      </c>
      <c r="U1205" t="s">
        <v>26019</v>
      </c>
      <c r="W1205" t="s">
        <v>26009</v>
      </c>
    </row>
    <row r="1206" spans="1:23" x14ac:dyDescent="0.35">
      <c r="A1206">
        <v>318317</v>
      </c>
      <c r="B1206" t="s">
        <v>7871</v>
      </c>
      <c r="C1206" t="str">
        <f>"9780123430137"</f>
        <v>9780123430137</v>
      </c>
      <c r="D1206" t="str">
        <f>"9780080529202"</f>
        <v>9780080529202</v>
      </c>
      <c r="E1206" t="s">
        <v>27482</v>
      </c>
      <c r="F1206" t="s">
        <v>7447</v>
      </c>
      <c r="G1206" t="s">
        <v>22689</v>
      </c>
      <c r="H1206" t="s">
        <v>26004</v>
      </c>
      <c r="I1206" s="26">
        <v>38716</v>
      </c>
      <c r="J1206">
        <v>2006</v>
      </c>
      <c r="K1206" t="s">
        <v>946</v>
      </c>
      <c r="L1206">
        <v>697</v>
      </c>
      <c r="M1206" t="s">
        <v>11346</v>
      </c>
      <c r="N1206">
        <v>1</v>
      </c>
      <c r="O1206" t="s">
        <v>27484</v>
      </c>
      <c r="Q1206" t="s">
        <v>30516</v>
      </c>
      <c r="R1206" t="s">
        <v>27789</v>
      </c>
      <c r="S1206" t="s">
        <v>30517</v>
      </c>
      <c r="T1206" t="s">
        <v>30</v>
      </c>
      <c r="U1206" t="s">
        <v>26019</v>
      </c>
      <c r="W1206" t="s">
        <v>26009</v>
      </c>
    </row>
    <row r="1207" spans="1:23" x14ac:dyDescent="0.35">
      <c r="A1207">
        <v>318606</v>
      </c>
      <c r="B1207" t="s">
        <v>30518</v>
      </c>
      <c r="C1207" t="str">
        <f>"9781892941046"</f>
        <v>9781892941046</v>
      </c>
      <c r="D1207" t="str">
        <f>"9781892941381"</f>
        <v>9781892941381</v>
      </c>
      <c r="E1207" t="s">
        <v>7561</v>
      </c>
      <c r="F1207" t="s">
        <v>7561</v>
      </c>
      <c r="G1207" t="s">
        <v>22179</v>
      </c>
      <c r="H1207" t="s">
        <v>26004</v>
      </c>
      <c r="I1207" s="26">
        <v>36526</v>
      </c>
      <c r="J1207">
        <v>2000</v>
      </c>
      <c r="K1207" t="s">
        <v>7561</v>
      </c>
      <c r="L1207">
        <v>310</v>
      </c>
      <c r="M1207" t="s">
        <v>30519</v>
      </c>
      <c r="N1207">
        <v>1</v>
      </c>
      <c r="Q1207" t="s">
        <v>30520</v>
      </c>
      <c r="R1207">
        <v>291.89999999999998</v>
      </c>
      <c r="S1207" t="s">
        <v>30521</v>
      </c>
      <c r="T1207" t="s">
        <v>30</v>
      </c>
      <c r="U1207" t="s">
        <v>11247</v>
      </c>
      <c r="W1207" t="s">
        <v>26009</v>
      </c>
    </row>
    <row r="1208" spans="1:23" x14ac:dyDescent="0.35">
      <c r="A1208">
        <v>318607</v>
      </c>
      <c r="B1208" t="s">
        <v>10124</v>
      </c>
      <c r="C1208" t="str">
        <f>"9781892941053"</f>
        <v>9781892941053</v>
      </c>
      <c r="D1208" t="str">
        <f>"9781892941152"</f>
        <v>9781892941152</v>
      </c>
      <c r="E1208" t="s">
        <v>7561</v>
      </c>
      <c r="F1208" t="s">
        <v>7561</v>
      </c>
      <c r="G1208" t="s">
        <v>22179</v>
      </c>
      <c r="H1208" t="s">
        <v>26004</v>
      </c>
      <c r="I1208" s="26">
        <v>36465</v>
      </c>
      <c r="J1208">
        <v>1999</v>
      </c>
      <c r="K1208" t="s">
        <v>7561</v>
      </c>
      <c r="L1208">
        <v>372</v>
      </c>
      <c r="M1208" t="s">
        <v>30522</v>
      </c>
      <c r="N1208">
        <v>1</v>
      </c>
      <c r="Q1208" t="s">
        <v>30523</v>
      </c>
      <c r="R1208">
        <v>176</v>
      </c>
      <c r="S1208" t="s">
        <v>10125</v>
      </c>
      <c r="T1208" t="s">
        <v>30</v>
      </c>
      <c r="U1208" t="s">
        <v>26135</v>
      </c>
      <c r="W1208" t="s">
        <v>26009</v>
      </c>
    </row>
    <row r="1209" spans="1:23" x14ac:dyDescent="0.35">
      <c r="A1209">
        <v>318616</v>
      </c>
      <c r="B1209" t="s">
        <v>30524</v>
      </c>
      <c r="C1209" t="str">
        <f>"9781892941589"</f>
        <v>9781892941589</v>
      </c>
      <c r="D1209" t="str">
        <f>"9781892941275"</f>
        <v>9781892941275</v>
      </c>
      <c r="E1209" t="s">
        <v>7561</v>
      </c>
      <c r="F1209" t="s">
        <v>7561</v>
      </c>
      <c r="G1209" t="s">
        <v>22179</v>
      </c>
      <c r="H1209" t="s">
        <v>26004</v>
      </c>
      <c r="I1209" s="26">
        <v>36861</v>
      </c>
      <c r="J1209">
        <v>2000</v>
      </c>
      <c r="K1209" t="s">
        <v>7561</v>
      </c>
      <c r="L1209">
        <v>248</v>
      </c>
      <c r="M1209" t="s">
        <v>30525</v>
      </c>
      <c r="N1209">
        <v>1</v>
      </c>
      <c r="Q1209" t="s">
        <v>30526</v>
      </c>
      <c r="R1209" t="s">
        <v>30527</v>
      </c>
      <c r="S1209" t="s">
        <v>30528</v>
      </c>
      <c r="T1209" t="s">
        <v>30</v>
      </c>
      <c r="U1209" t="s">
        <v>26044</v>
      </c>
      <c r="W1209" t="s">
        <v>26009</v>
      </c>
    </row>
    <row r="1210" spans="1:23" x14ac:dyDescent="0.35">
      <c r="A1210">
        <v>318687</v>
      </c>
      <c r="B1210" t="s">
        <v>8745</v>
      </c>
      <c r="C1210" t="str">
        <f>"9780875862507"</f>
        <v>9780875862507</v>
      </c>
      <c r="D1210" t="str">
        <f>"9780875861982"</f>
        <v>9780875861982</v>
      </c>
      <c r="E1210" t="s">
        <v>7561</v>
      </c>
      <c r="F1210" t="s">
        <v>7561</v>
      </c>
      <c r="G1210" t="s">
        <v>22179</v>
      </c>
      <c r="H1210" t="s">
        <v>26004</v>
      </c>
      <c r="I1210" s="26">
        <v>37956</v>
      </c>
      <c r="J1210">
        <v>2004</v>
      </c>
      <c r="K1210" t="s">
        <v>7561</v>
      </c>
      <c r="L1210">
        <v>230</v>
      </c>
      <c r="M1210" t="s">
        <v>30529</v>
      </c>
      <c r="N1210">
        <v>1</v>
      </c>
      <c r="Q1210" t="s">
        <v>30530</v>
      </c>
      <c r="R1210" t="s">
        <v>30531</v>
      </c>
      <c r="S1210" t="s">
        <v>30532</v>
      </c>
      <c r="T1210" t="s">
        <v>30</v>
      </c>
      <c r="U1210" t="s">
        <v>26044</v>
      </c>
      <c r="W1210" t="s">
        <v>26009</v>
      </c>
    </row>
    <row r="1211" spans="1:23" x14ac:dyDescent="0.35">
      <c r="A1211">
        <v>318706</v>
      </c>
      <c r="B1211" t="s">
        <v>30533</v>
      </c>
      <c r="C1211" t="str">
        <f>"9780875863436"</f>
        <v>9780875863436</v>
      </c>
      <c r="D1211" t="str">
        <f>"9780875863450"</f>
        <v>9780875863450</v>
      </c>
      <c r="E1211" t="s">
        <v>7561</v>
      </c>
      <c r="F1211" t="s">
        <v>7561</v>
      </c>
      <c r="G1211" t="s">
        <v>22179</v>
      </c>
      <c r="H1211" t="s">
        <v>26004</v>
      </c>
      <c r="I1211" s="26">
        <v>38231</v>
      </c>
      <c r="J1211">
        <v>2004</v>
      </c>
      <c r="K1211" t="s">
        <v>7561</v>
      </c>
      <c r="L1211">
        <v>415</v>
      </c>
      <c r="M1211" t="s">
        <v>30534</v>
      </c>
      <c r="N1211">
        <v>1</v>
      </c>
      <c r="Q1211" t="s">
        <v>30535</v>
      </c>
      <c r="R1211" t="s">
        <v>30536</v>
      </c>
      <c r="S1211" t="s">
        <v>30537</v>
      </c>
      <c r="T1211" t="s">
        <v>30</v>
      </c>
      <c r="U1211" t="s">
        <v>26019</v>
      </c>
      <c r="W1211" t="s">
        <v>26009</v>
      </c>
    </row>
    <row r="1212" spans="1:23" x14ac:dyDescent="0.35">
      <c r="A1212">
        <v>318733</v>
      </c>
      <c r="B1212" t="s">
        <v>30538</v>
      </c>
      <c r="C1212" t="str">
        <f>"9780875864105"</f>
        <v>9780875864105</v>
      </c>
      <c r="D1212" t="str">
        <f>"9780875864129"</f>
        <v>9780875864129</v>
      </c>
      <c r="E1212" t="s">
        <v>7561</v>
      </c>
      <c r="F1212" t="s">
        <v>7561</v>
      </c>
      <c r="G1212" t="s">
        <v>22179</v>
      </c>
      <c r="H1212" t="s">
        <v>26004</v>
      </c>
      <c r="I1212" s="26">
        <v>38657</v>
      </c>
      <c r="J1212">
        <v>2006</v>
      </c>
      <c r="K1212" t="s">
        <v>7561</v>
      </c>
      <c r="L1212">
        <v>328</v>
      </c>
      <c r="M1212" t="s">
        <v>30534</v>
      </c>
      <c r="N1212">
        <v>1</v>
      </c>
      <c r="Q1212" t="s">
        <v>30539</v>
      </c>
      <c r="R1212" t="s">
        <v>30536</v>
      </c>
      <c r="S1212" t="s">
        <v>30540</v>
      </c>
      <c r="T1212" t="s">
        <v>30</v>
      </c>
      <c r="U1212" t="s">
        <v>26116</v>
      </c>
      <c r="W1212" t="s">
        <v>26009</v>
      </c>
    </row>
    <row r="1213" spans="1:23" x14ac:dyDescent="0.35">
      <c r="A1213">
        <v>319074</v>
      </c>
      <c r="B1213" t="s">
        <v>7446</v>
      </c>
      <c r="C1213" t="str">
        <f>"9780123055606"</f>
        <v>9780123055606</v>
      </c>
      <c r="D1213" t="str">
        <f>"9780080542362"</f>
        <v>9780080542362</v>
      </c>
      <c r="E1213" t="s">
        <v>27482</v>
      </c>
      <c r="F1213" t="s">
        <v>7447</v>
      </c>
      <c r="G1213" t="s">
        <v>22689</v>
      </c>
      <c r="H1213" t="s">
        <v>26004</v>
      </c>
      <c r="I1213" s="26">
        <v>36458</v>
      </c>
      <c r="J1213">
        <v>2000</v>
      </c>
      <c r="K1213" t="s">
        <v>946</v>
      </c>
      <c r="L1213">
        <v>589</v>
      </c>
      <c r="M1213" t="s">
        <v>30541</v>
      </c>
      <c r="N1213">
        <v>4</v>
      </c>
      <c r="Q1213" t="s">
        <v>30542</v>
      </c>
      <c r="R1213">
        <v>305.23500000000001</v>
      </c>
      <c r="S1213" t="s">
        <v>7448</v>
      </c>
      <c r="T1213" t="s">
        <v>30</v>
      </c>
      <c r="U1213" t="s">
        <v>26044</v>
      </c>
      <c r="W1213" t="s">
        <v>26009</v>
      </c>
    </row>
    <row r="1214" spans="1:23" x14ac:dyDescent="0.35">
      <c r="A1214">
        <v>319081</v>
      </c>
      <c r="B1214" t="s">
        <v>9492</v>
      </c>
      <c r="C1214" t="str">
        <f>"9780123737434"</f>
        <v>9780123737434</v>
      </c>
      <c r="D1214" t="str">
        <f>"9780080554068"</f>
        <v>9780080554068</v>
      </c>
      <c r="E1214" t="s">
        <v>27482</v>
      </c>
      <c r="F1214" t="s">
        <v>7447</v>
      </c>
      <c r="G1214" t="s">
        <v>22689</v>
      </c>
      <c r="H1214" t="s">
        <v>26004</v>
      </c>
      <c r="I1214" s="26">
        <v>39393</v>
      </c>
      <c r="J1214">
        <v>2008</v>
      </c>
      <c r="K1214" t="s">
        <v>946</v>
      </c>
      <c r="L1214">
        <v>480</v>
      </c>
      <c r="M1214" t="s">
        <v>30543</v>
      </c>
      <c r="N1214">
        <v>1</v>
      </c>
      <c r="Q1214" t="s">
        <v>30544</v>
      </c>
      <c r="S1214" t="s">
        <v>30545</v>
      </c>
      <c r="T1214" t="s">
        <v>30</v>
      </c>
      <c r="U1214" t="s">
        <v>26040</v>
      </c>
      <c r="W1214" t="s">
        <v>26009</v>
      </c>
    </row>
    <row r="1215" spans="1:23" x14ac:dyDescent="0.35">
      <c r="A1215">
        <v>319254</v>
      </c>
      <c r="B1215" t="s">
        <v>30546</v>
      </c>
      <c r="C1215" t="str">
        <f>"9780875865638"</f>
        <v>9780875865638</v>
      </c>
      <c r="D1215" t="str">
        <f>"9780875865652"</f>
        <v>9780875865652</v>
      </c>
      <c r="E1215" t="s">
        <v>7561</v>
      </c>
      <c r="F1215" t="s">
        <v>7561</v>
      </c>
      <c r="G1215" t="s">
        <v>22179</v>
      </c>
      <c r="H1215" t="s">
        <v>26004</v>
      </c>
      <c r="I1215" s="26">
        <v>39387</v>
      </c>
      <c r="J1215">
        <v>2007</v>
      </c>
      <c r="K1215" t="s">
        <v>7561</v>
      </c>
      <c r="L1215">
        <v>231</v>
      </c>
      <c r="M1215" t="s">
        <v>30547</v>
      </c>
      <c r="N1215">
        <v>1</v>
      </c>
      <c r="Q1215" t="s">
        <v>30548</v>
      </c>
      <c r="R1215">
        <v>364.97300000000001</v>
      </c>
      <c r="S1215" t="s">
        <v>30549</v>
      </c>
      <c r="T1215" t="s">
        <v>30</v>
      </c>
      <c r="U1215" t="s">
        <v>26044</v>
      </c>
      <c r="W1215" t="s">
        <v>26009</v>
      </c>
    </row>
    <row r="1216" spans="1:23" x14ac:dyDescent="0.35">
      <c r="A1216">
        <v>319375</v>
      </c>
      <c r="B1216" t="s">
        <v>30550</v>
      </c>
      <c r="C1216" t="str">
        <f>"9781576754276"</f>
        <v>9781576754276</v>
      </c>
      <c r="D1216" t="str">
        <f>"9781576755259"</f>
        <v>9781576755259</v>
      </c>
      <c r="E1216" t="s">
        <v>30551</v>
      </c>
      <c r="F1216" t="s">
        <v>7718</v>
      </c>
      <c r="G1216" t="s">
        <v>23047</v>
      </c>
      <c r="H1216" t="s">
        <v>26004</v>
      </c>
      <c r="I1216" s="26">
        <v>39180</v>
      </c>
      <c r="J1216">
        <v>2007</v>
      </c>
      <c r="K1216" t="s">
        <v>7718</v>
      </c>
      <c r="L1216">
        <v>138</v>
      </c>
      <c r="M1216" t="s">
        <v>30552</v>
      </c>
      <c r="N1216">
        <v>1</v>
      </c>
      <c r="Q1216" t="s">
        <v>30553</v>
      </c>
      <c r="R1216">
        <v>158.1</v>
      </c>
      <c r="S1216" t="s">
        <v>30554</v>
      </c>
      <c r="T1216" t="s">
        <v>30</v>
      </c>
      <c r="U1216" t="s">
        <v>46</v>
      </c>
      <c r="W1216" t="s">
        <v>26009</v>
      </c>
    </row>
    <row r="1217" spans="1:23" x14ac:dyDescent="0.35">
      <c r="A1217">
        <v>320306</v>
      </c>
      <c r="B1217" t="s">
        <v>30555</v>
      </c>
      <c r="C1217" t="str">
        <f>"9781586037048"</f>
        <v>9781586037048</v>
      </c>
      <c r="D1217" t="str">
        <f>"9781607502203"</f>
        <v>9781607502203</v>
      </c>
      <c r="E1217" t="s">
        <v>28275</v>
      </c>
      <c r="F1217" t="s">
        <v>7658</v>
      </c>
      <c r="G1217" t="s">
        <v>22222</v>
      </c>
      <c r="H1217" t="s">
        <v>27983</v>
      </c>
      <c r="I1217" s="26">
        <v>39083</v>
      </c>
      <c r="J1217">
        <v>2007</v>
      </c>
      <c r="K1217" t="s">
        <v>7658</v>
      </c>
      <c r="L1217">
        <v>264</v>
      </c>
      <c r="M1217" t="s">
        <v>30556</v>
      </c>
      <c r="N1217">
        <v>1</v>
      </c>
      <c r="O1217" t="s">
        <v>28283</v>
      </c>
      <c r="P1217">
        <v>15</v>
      </c>
      <c r="S1217" t="s">
        <v>30557</v>
      </c>
      <c r="T1217" t="s">
        <v>30</v>
      </c>
      <c r="U1217" t="s">
        <v>30558</v>
      </c>
      <c r="W1217" t="s">
        <v>26009</v>
      </c>
    </row>
    <row r="1218" spans="1:23" x14ac:dyDescent="0.35">
      <c r="A1218">
        <v>320577</v>
      </c>
      <c r="B1218" t="s">
        <v>30559</v>
      </c>
      <c r="C1218" t="str">
        <f>"9781593854591"</f>
        <v>9781593854591</v>
      </c>
      <c r="D1218" t="str">
        <f>"9781593857318"</f>
        <v>9781593857318</v>
      </c>
      <c r="E1218" t="s">
        <v>30112</v>
      </c>
      <c r="F1218" t="s">
        <v>7420</v>
      </c>
      <c r="G1218" t="s">
        <v>22179</v>
      </c>
      <c r="H1218" t="s">
        <v>26004</v>
      </c>
      <c r="I1218" s="26">
        <v>39197</v>
      </c>
      <c r="J1218">
        <v>2007</v>
      </c>
      <c r="K1218" t="s">
        <v>30113</v>
      </c>
      <c r="L1218">
        <v>320</v>
      </c>
      <c r="M1218" t="s">
        <v>30560</v>
      </c>
      <c r="N1218">
        <v>1</v>
      </c>
      <c r="Q1218" t="s">
        <v>30188</v>
      </c>
      <c r="R1218" t="s">
        <v>28378</v>
      </c>
      <c r="S1218" t="s">
        <v>30561</v>
      </c>
      <c r="T1218" t="s">
        <v>30</v>
      </c>
      <c r="U1218" t="s">
        <v>26019</v>
      </c>
      <c r="W1218" t="s">
        <v>28347</v>
      </c>
    </row>
    <row r="1219" spans="1:23" x14ac:dyDescent="0.35">
      <c r="A1219">
        <v>320580</v>
      </c>
      <c r="B1219" t="s">
        <v>8651</v>
      </c>
      <c r="C1219" t="str">
        <f>"9781593851118"</f>
        <v>9781593851118</v>
      </c>
      <c r="D1219" t="str">
        <f>"9781593857349"</f>
        <v>9781593857349</v>
      </c>
      <c r="E1219" t="s">
        <v>30112</v>
      </c>
      <c r="F1219" t="s">
        <v>7420</v>
      </c>
      <c r="G1219" t="s">
        <v>22179</v>
      </c>
      <c r="H1219" t="s">
        <v>26004</v>
      </c>
      <c r="I1219" s="26">
        <v>39204</v>
      </c>
      <c r="J1219">
        <v>2007</v>
      </c>
      <c r="K1219" t="s">
        <v>30113</v>
      </c>
      <c r="L1219">
        <v>736</v>
      </c>
      <c r="M1219" t="s">
        <v>30562</v>
      </c>
      <c r="N1219">
        <v>1</v>
      </c>
      <c r="Q1219" t="s">
        <v>30563</v>
      </c>
      <c r="R1219">
        <v>155.2072</v>
      </c>
      <c r="S1219" t="s">
        <v>8652</v>
      </c>
      <c r="T1219" t="s">
        <v>30</v>
      </c>
      <c r="U1219" t="s">
        <v>46</v>
      </c>
      <c r="W1219" t="s">
        <v>28347</v>
      </c>
    </row>
    <row r="1220" spans="1:23" x14ac:dyDescent="0.35">
      <c r="A1220">
        <v>320581</v>
      </c>
      <c r="B1220" t="s">
        <v>8774</v>
      </c>
      <c r="C1220" t="str">
        <f>"9781593854034"</f>
        <v>9781593854034</v>
      </c>
      <c r="D1220" t="str">
        <f>"9781593857356"</f>
        <v>9781593857356</v>
      </c>
      <c r="E1220" t="s">
        <v>30112</v>
      </c>
      <c r="F1220" t="s">
        <v>7420</v>
      </c>
      <c r="G1220" t="s">
        <v>22179</v>
      </c>
      <c r="H1220" t="s">
        <v>26004</v>
      </c>
      <c r="I1220" s="26">
        <v>39211</v>
      </c>
      <c r="J1220">
        <v>2007</v>
      </c>
      <c r="K1220" t="s">
        <v>30113</v>
      </c>
      <c r="L1220">
        <v>352</v>
      </c>
      <c r="M1220" t="s">
        <v>30564</v>
      </c>
      <c r="N1220">
        <v>1</v>
      </c>
      <c r="Q1220" t="s">
        <v>30565</v>
      </c>
      <c r="R1220">
        <v>304.8</v>
      </c>
      <c r="S1220" t="s">
        <v>30566</v>
      </c>
      <c r="T1220" t="s">
        <v>30</v>
      </c>
      <c r="U1220" t="s">
        <v>30336</v>
      </c>
      <c r="W1220" t="s">
        <v>28347</v>
      </c>
    </row>
    <row r="1221" spans="1:23" x14ac:dyDescent="0.35">
      <c r="A1221">
        <v>320592</v>
      </c>
      <c r="B1221" t="s">
        <v>30567</v>
      </c>
      <c r="C1221" t="str">
        <f>"9781593854805"</f>
        <v>9781593854805</v>
      </c>
      <c r="D1221" t="str">
        <f>"9781593857462"</f>
        <v>9781593857462</v>
      </c>
      <c r="E1221" t="s">
        <v>30112</v>
      </c>
      <c r="F1221" t="s">
        <v>7420</v>
      </c>
      <c r="G1221" t="s">
        <v>22179</v>
      </c>
      <c r="H1221" t="s">
        <v>26004</v>
      </c>
      <c r="I1221" s="26">
        <v>39220</v>
      </c>
      <c r="J1221">
        <v>2007</v>
      </c>
      <c r="K1221" t="s">
        <v>30113</v>
      </c>
      <c r="L1221">
        <v>303</v>
      </c>
      <c r="M1221" t="s">
        <v>30568</v>
      </c>
      <c r="N1221">
        <v>1</v>
      </c>
      <c r="Q1221" t="s">
        <v>30569</v>
      </c>
      <c r="R1221" t="s">
        <v>26038</v>
      </c>
      <c r="S1221" t="s">
        <v>30570</v>
      </c>
      <c r="T1221" t="s">
        <v>30</v>
      </c>
      <c r="U1221" t="s">
        <v>26040</v>
      </c>
      <c r="W1221" t="s">
        <v>28347</v>
      </c>
    </row>
    <row r="1222" spans="1:23" x14ac:dyDescent="0.35">
      <c r="A1222">
        <v>321320</v>
      </c>
      <c r="B1222" t="s">
        <v>9820</v>
      </c>
      <c r="C1222" t="str">
        <f>"9780521856515"</f>
        <v>9780521856515</v>
      </c>
      <c r="D1222" t="str">
        <f>"9780511354328"</f>
        <v>9780511354328</v>
      </c>
      <c r="E1222" t="s">
        <v>167</v>
      </c>
      <c r="F1222" t="s">
        <v>167</v>
      </c>
      <c r="G1222" t="s">
        <v>22218</v>
      </c>
      <c r="H1222" t="s">
        <v>26011</v>
      </c>
      <c r="I1222" s="26">
        <v>39331</v>
      </c>
      <c r="J1222">
        <v>2007</v>
      </c>
      <c r="K1222" t="s">
        <v>167</v>
      </c>
      <c r="L1222">
        <v>263</v>
      </c>
      <c r="M1222" t="s">
        <v>30571</v>
      </c>
      <c r="N1222">
        <v>1</v>
      </c>
      <c r="Q1222" t="s">
        <v>30572</v>
      </c>
      <c r="R1222">
        <v>616.85810600000002</v>
      </c>
      <c r="S1222" t="s">
        <v>9821</v>
      </c>
      <c r="T1222" t="s">
        <v>30</v>
      </c>
      <c r="U1222" t="s">
        <v>26019</v>
      </c>
      <c r="W1222" t="s">
        <v>26020</v>
      </c>
    </row>
    <row r="1223" spans="1:23" x14ac:dyDescent="0.35">
      <c r="A1223">
        <v>321539</v>
      </c>
      <c r="B1223" t="s">
        <v>8662</v>
      </c>
      <c r="C1223" t="str">
        <f>"9780415947541"</f>
        <v>9780415947541</v>
      </c>
      <c r="D1223" t="str">
        <f>"9780203644157"</f>
        <v>9780203644157</v>
      </c>
      <c r="E1223" t="s">
        <v>26010</v>
      </c>
      <c r="F1223" t="s">
        <v>35</v>
      </c>
      <c r="G1223" t="s">
        <v>26201</v>
      </c>
      <c r="H1223" t="s">
        <v>26004</v>
      </c>
      <c r="I1223" s="26">
        <v>38187</v>
      </c>
      <c r="J1223">
        <v>2004</v>
      </c>
      <c r="K1223" t="s">
        <v>26012</v>
      </c>
      <c r="L1223">
        <v>565</v>
      </c>
      <c r="M1223" t="s">
        <v>30573</v>
      </c>
      <c r="N1223">
        <v>1</v>
      </c>
      <c r="O1223" t="s">
        <v>27182</v>
      </c>
      <c r="Q1223" t="s">
        <v>30574</v>
      </c>
      <c r="R1223">
        <v>616.85209999999995</v>
      </c>
      <c r="S1223" t="s">
        <v>30575</v>
      </c>
      <c r="T1223" t="s">
        <v>30</v>
      </c>
      <c r="U1223" t="s">
        <v>26116</v>
      </c>
      <c r="W1223" t="s">
        <v>26009</v>
      </c>
    </row>
    <row r="1224" spans="1:23" x14ac:dyDescent="0.35">
      <c r="A1224">
        <v>321543</v>
      </c>
      <c r="B1224" t="s">
        <v>30576</v>
      </c>
      <c r="C1224" t="str">
        <f>"9780415951883"</f>
        <v>9780415951883</v>
      </c>
      <c r="D1224" t="str">
        <f>"9781135433000"</f>
        <v>9781135433000</v>
      </c>
      <c r="E1224" t="s">
        <v>26010</v>
      </c>
      <c r="F1224" t="s">
        <v>35</v>
      </c>
      <c r="G1224" t="s">
        <v>26201</v>
      </c>
      <c r="H1224" t="s">
        <v>26011</v>
      </c>
      <c r="I1224" s="26">
        <v>38483</v>
      </c>
      <c r="J1224">
        <v>2005</v>
      </c>
      <c r="K1224" t="s">
        <v>26012</v>
      </c>
      <c r="L1224">
        <v>263</v>
      </c>
      <c r="M1224" t="s">
        <v>30577</v>
      </c>
      <c r="N1224">
        <v>1</v>
      </c>
      <c r="Q1224" t="s">
        <v>30578</v>
      </c>
      <c r="R1224">
        <v>362.25</v>
      </c>
      <c r="S1224" t="s">
        <v>7475</v>
      </c>
      <c r="T1224" t="s">
        <v>30</v>
      </c>
      <c r="U1224" t="s">
        <v>30185</v>
      </c>
      <c r="W1224" t="s">
        <v>26009</v>
      </c>
    </row>
    <row r="1225" spans="1:23" x14ac:dyDescent="0.35">
      <c r="A1225">
        <v>321876</v>
      </c>
      <c r="B1225" t="s">
        <v>30579</v>
      </c>
      <c r="C1225" t="str">
        <f>"9780415947978"</f>
        <v>9780415947978</v>
      </c>
      <c r="D1225" t="str">
        <f>"9780203955321"</f>
        <v>9780203955321</v>
      </c>
      <c r="E1225" t="s">
        <v>26010</v>
      </c>
      <c r="F1225" t="s">
        <v>35</v>
      </c>
      <c r="G1225" t="s">
        <v>26201</v>
      </c>
      <c r="H1225" t="s">
        <v>26004</v>
      </c>
      <c r="I1225" s="26">
        <v>38552</v>
      </c>
      <c r="J1225">
        <v>2005</v>
      </c>
      <c r="K1225" t="s">
        <v>26012</v>
      </c>
      <c r="L1225">
        <v>369</v>
      </c>
      <c r="M1225" t="s">
        <v>30580</v>
      </c>
      <c r="N1225">
        <v>1</v>
      </c>
      <c r="Q1225" t="s">
        <v>30581</v>
      </c>
      <c r="R1225" t="s">
        <v>30045</v>
      </c>
      <c r="S1225" t="s">
        <v>7800</v>
      </c>
      <c r="T1225" t="s">
        <v>30</v>
      </c>
      <c r="U1225" t="s">
        <v>26019</v>
      </c>
      <c r="W1225" t="s">
        <v>26009</v>
      </c>
    </row>
    <row r="1226" spans="1:23" x14ac:dyDescent="0.35">
      <c r="A1226">
        <v>322121</v>
      </c>
      <c r="B1226" t="s">
        <v>30582</v>
      </c>
      <c r="C1226" t="str">
        <f>"9781576754511"</f>
        <v>9781576754511</v>
      </c>
      <c r="D1226" t="str">
        <f>"9781576755273"</f>
        <v>9781576755273</v>
      </c>
      <c r="E1226" t="s">
        <v>30551</v>
      </c>
      <c r="F1226" t="s">
        <v>7718</v>
      </c>
      <c r="G1226" t="s">
        <v>23047</v>
      </c>
      <c r="H1226" t="s">
        <v>26004</v>
      </c>
      <c r="I1226" s="26">
        <v>39265</v>
      </c>
      <c r="J1226">
        <v>2007</v>
      </c>
      <c r="K1226" t="s">
        <v>7718</v>
      </c>
      <c r="L1226">
        <v>145</v>
      </c>
      <c r="M1226" t="s">
        <v>30583</v>
      </c>
      <c r="N1226">
        <v>1</v>
      </c>
      <c r="O1226" t="s">
        <v>30584</v>
      </c>
      <c r="Q1226" t="s">
        <v>30585</v>
      </c>
      <c r="R1226" t="s">
        <v>26937</v>
      </c>
      <c r="S1226" t="s">
        <v>9063</v>
      </c>
      <c r="T1226" t="s">
        <v>30</v>
      </c>
      <c r="U1226" t="s">
        <v>26170</v>
      </c>
      <c r="W1226" t="s">
        <v>26009</v>
      </c>
    </row>
    <row r="1227" spans="1:23" x14ac:dyDescent="0.35">
      <c r="A1227">
        <v>322447</v>
      </c>
      <c r="B1227" t="s">
        <v>30586</v>
      </c>
      <c r="C1227" t="str">
        <f>"9780874255225"</f>
        <v>9780874255225</v>
      </c>
      <c r="D1227" t="str">
        <f>"9781599967622"</f>
        <v>9781599967622</v>
      </c>
      <c r="E1227" t="s">
        <v>9030</v>
      </c>
      <c r="F1227" t="s">
        <v>9030</v>
      </c>
      <c r="G1227" t="s">
        <v>24718</v>
      </c>
      <c r="H1227" t="s">
        <v>26004</v>
      </c>
      <c r="I1227" s="26">
        <v>36526</v>
      </c>
      <c r="J1227">
        <v>2000</v>
      </c>
      <c r="K1227" t="s">
        <v>9030</v>
      </c>
      <c r="L1227">
        <v>196</v>
      </c>
      <c r="M1227" t="s">
        <v>30587</v>
      </c>
      <c r="O1227" t="s">
        <v>30588</v>
      </c>
      <c r="Q1227" t="s">
        <v>30589</v>
      </c>
      <c r="R1227" t="s">
        <v>30590</v>
      </c>
      <c r="S1227" t="s">
        <v>30591</v>
      </c>
      <c r="T1227" t="s">
        <v>30</v>
      </c>
      <c r="U1227" t="s">
        <v>30592</v>
      </c>
      <c r="W1227" t="s">
        <v>26009</v>
      </c>
    </row>
    <row r="1228" spans="1:23" x14ac:dyDescent="0.35">
      <c r="A1228">
        <v>322450</v>
      </c>
      <c r="B1228" t="s">
        <v>30593</v>
      </c>
      <c r="C1228" t="str">
        <f>"9780874255997"</f>
        <v>9780874255997</v>
      </c>
      <c r="D1228" t="str">
        <f>"9781599967592"</f>
        <v>9781599967592</v>
      </c>
      <c r="E1228" t="s">
        <v>9030</v>
      </c>
      <c r="F1228" t="s">
        <v>9030</v>
      </c>
      <c r="G1228" t="s">
        <v>24718</v>
      </c>
      <c r="H1228" t="s">
        <v>26004</v>
      </c>
      <c r="I1228" s="26">
        <v>36526</v>
      </c>
      <c r="J1228">
        <v>2000</v>
      </c>
      <c r="K1228" t="s">
        <v>9030</v>
      </c>
      <c r="L1228">
        <v>143</v>
      </c>
      <c r="M1228" t="s">
        <v>30594</v>
      </c>
      <c r="O1228" t="s">
        <v>30588</v>
      </c>
      <c r="Q1228" t="s">
        <v>30595</v>
      </c>
      <c r="R1228">
        <v>152.4</v>
      </c>
      <c r="S1228" t="s">
        <v>30596</v>
      </c>
      <c r="T1228" t="s">
        <v>30</v>
      </c>
      <c r="U1228" t="s">
        <v>46</v>
      </c>
      <c r="W1228" t="s">
        <v>26009</v>
      </c>
    </row>
    <row r="1229" spans="1:23" x14ac:dyDescent="0.35">
      <c r="A1229">
        <v>322478</v>
      </c>
      <c r="B1229" t="s">
        <v>30597</v>
      </c>
      <c r="C1229" t="str">
        <f>"9781933864044"</f>
        <v>9781933864044</v>
      </c>
      <c r="D1229" t="str">
        <f>"9781934559888"</f>
        <v>9781934559888</v>
      </c>
      <c r="E1229" t="s">
        <v>1504</v>
      </c>
      <c r="F1229" t="s">
        <v>33</v>
      </c>
      <c r="G1229" t="s">
        <v>22179</v>
      </c>
      <c r="H1229" t="s">
        <v>26004</v>
      </c>
      <c r="I1229" s="26">
        <v>39356</v>
      </c>
      <c r="J1229">
        <v>2008</v>
      </c>
      <c r="K1229" t="s">
        <v>9010</v>
      </c>
      <c r="L1229">
        <v>554</v>
      </c>
      <c r="M1229" t="s">
        <v>30598</v>
      </c>
      <c r="N1229">
        <v>1</v>
      </c>
      <c r="Q1229" t="s">
        <v>30599</v>
      </c>
      <c r="R1229" t="s">
        <v>26711</v>
      </c>
      <c r="S1229" t="s">
        <v>30600</v>
      </c>
      <c r="T1229" t="s">
        <v>30</v>
      </c>
      <c r="U1229" t="s">
        <v>26040</v>
      </c>
      <c r="W1229" t="s">
        <v>26009</v>
      </c>
    </row>
    <row r="1230" spans="1:23" x14ac:dyDescent="0.35">
      <c r="A1230">
        <v>322565</v>
      </c>
      <c r="B1230" t="s">
        <v>30601</v>
      </c>
      <c r="C1230" t="str">
        <f>"9780833040374"</f>
        <v>9780833040374</v>
      </c>
      <c r="D1230" t="str">
        <f>"9780833042866"</f>
        <v>9780833042866</v>
      </c>
      <c r="E1230" t="s">
        <v>30602</v>
      </c>
      <c r="F1230" t="s">
        <v>8236</v>
      </c>
      <c r="G1230" t="s">
        <v>22307</v>
      </c>
      <c r="H1230" t="s">
        <v>26004</v>
      </c>
      <c r="I1230" s="26">
        <v>39015</v>
      </c>
      <c r="J1230">
        <v>2006</v>
      </c>
      <c r="K1230" t="s">
        <v>30603</v>
      </c>
      <c r="L1230">
        <v>75</v>
      </c>
      <c r="M1230" t="s">
        <v>30604</v>
      </c>
      <c r="N1230">
        <v>1</v>
      </c>
      <c r="Q1230" t="s">
        <v>30605</v>
      </c>
      <c r="R1230" t="s">
        <v>27831</v>
      </c>
      <c r="S1230" t="s">
        <v>30606</v>
      </c>
      <c r="T1230" t="s">
        <v>30</v>
      </c>
      <c r="U1230" t="s">
        <v>26116</v>
      </c>
      <c r="W1230" t="s">
        <v>26009</v>
      </c>
    </row>
    <row r="1231" spans="1:23" x14ac:dyDescent="0.35">
      <c r="A1231">
        <v>322586</v>
      </c>
      <c r="B1231" t="s">
        <v>30607</v>
      </c>
      <c r="C1231" t="str">
        <f>"9780816643349"</f>
        <v>9780816643349</v>
      </c>
      <c r="D1231" t="str">
        <f>"9780816695867"</f>
        <v>9780816695867</v>
      </c>
      <c r="E1231" t="s">
        <v>7471</v>
      </c>
      <c r="F1231" t="s">
        <v>7471</v>
      </c>
      <c r="G1231" t="s">
        <v>23536</v>
      </c>
      <c r="H1231" t="s">
        <v>26004</v>
      </c>
      <c r="I1231" s="26">
        <v>38126</v>
      </c>
      <c r="J1231">
        <v>2004</v>
      </c>
      <c r="K1231" t="s">
        <v>7471</v>
      </c>
      <c r="L1231">
        <v>248</v>
      </c>
      <c r="M1231" t="s">
        <v>30608</v>
      </c>
      <c r="N1231">
        <v>1</v>
      </c>
      <c r="O1231" t="s">
        <v>30609</v>
      </c>
      <c r="Q1231" t="s">
        <v>30610</v>
      </c>
      <c r="R1231" t="s">
        <v>27152</v>
      </c>
      <c r="S1231" t="s">
        <v>30611</v>
      </c>
      <c r="T1231" t="s">
        <v>30</v>
      </c>
      <c r="U1231" t="s">
        <v>152</v>
      </c>
      <c r="W1231" t="s">
        <v>26009</v>
      </c>
    </row>
    <row r="1232" spans="1:23" x14ac:dyDescent="0.35">
      <c r="A1232">
        <v>322587</v>
      </c>
      <c r="B1232" t="s">
        <v>30612</v>
      </c>
      <c r="C1232" t="str">
        <f>"9780816644490"</f>
        <v>9780816644490</v>
      </c>
      <c r="D1232" t="str">
        <f>"9780816696574"</f>
        <v>9780816696574</v>
      </c>
      <c r="E1232" t="s">
        <v>7471</v>
      </c>
      <c r="F1232" t="s">
        <v>7471</v>
      </c>
      <c r="G1232" t="s">
        <v>23536</v>
      </c>
      <c r="H1232" t="s">
        <v>26004</v>
      </c>
      <c r="I1232" s="26">
        <v>38971</v>
      </c>
      <c r="J1232">
        <v>2006</v>
      </c>
      <c r="K1232" t="s">
        <v>7471</v>
      </c>
      <c r="L1232">
        <v>240</v>
      </c>
      <c r="M1232" t="s">
        <v>30613</v>
      </c>
      <c r="N1232">
        <v>1</v>
      </c>
      <c r="Q1232" t="s">
        <v>30614</v>
      </c>
      <c r="R1232" t="s">
        <v>30615</v>
      </c>
      <c r="S1232" t="s">
        <v>30616</v>
      </c>
      <c r="T1232" t="s">
        <v>30</v>
      </c>
      <c r="U1232" t="s">
        <v>27699</v>
      </c>
      <c r="W1232" t="s">
        <v>26009</v>
      </c>
    </row>
    <row r="1233" spans="1:23" x14ac:dyDescent="0.35">
      <c r="A1233">
        <v>322588</v>
      </c>
      <c r="B1233" t="s">
        <v>8940</v>
      </c>
      <c r="C1233" t="str">
        <f>"9780816645152"</f>
        <v>9780816645152</v>
      </c>
      <c r="D1233" t="str">
        <f>"9780816696949"</f>
        <v>9780816696949</v>
      </c>
      <c r="E1233" t="s">
        <v>7471</v>
      </c>
      <c r="F1233" t="s">
        <v>7471</v>
      </c>
      <c r="G1233" t="s">
        <v>23536</v>
      </c>
      <c r="H1233" t="s">
        <v>26004</v>
      </c>
      <c r="I1233" s="26">
        <v>38969</v>
      </c>
      <c r="J1233">
        <v>2006</v>
      </c>
      <c r="K1233" t="s">
        <v>7471</v>
      </c>
      <c r="L1233">
        <v>280</v>
      </c>
      <c r="M1233" t="s">
        <v>30617</v>
      </c>
      <c r="N1233">
        <v>1</v>
      </c>
      <c r="Q1233" t="s">
        <v>30618</v>
      </c>
      <c r="R1233" t="s">
        <v>30619</v>
      </c>
      <c r="S1233" t="s">
        <v>30620</v>
      </c>
      <c r="T1233" t="s">
        <v>30</v>
      </c>
      <c r="U1233" t="s">
        <v>26520</v>
      </c>
      <c r="W1233" t="s">
        <v>26009</v>
      </c>
    </row>
    <row r="1234" spans="1:23" x14ac:dyDescent="0.35">
      <c r="A1234">
        <v>322593</v>
      </c>
      <c r="B1234" t="s">
        <v>30621</v>
      </c>
      <c r="C1234" t="str">
        <f>"9780816648443"</f>
        <v>9780816648443</v>
      </c>
      <c r="D1234" t="str">
        <f>"9780816698608"</f>
        <v>9780816698608</v>
      </c>
      <c r="E1234" t="s">
        <v>7471</v>
      </c>
      <c r="F1234" t="s">
        <v>7471</v>
      </c>
      <c r="G1234" t="s">
        <v>23536</v>
      </c>
      <c r="H1234" t="s">
        <v>26004</v>
      </c>
      <c r="I1234" s="26">
        <v>39062</v>
      </c>
      <c r="J1234">
        <v>2007</v>
      </c>
      <c r="K1234" t="s">
        <v>7471</v>
      </c>
      <c r="L1234">
        <v>222</v>
      </c>
      <c r="M1234" t="s">
        <v>30622</v>
      </c>
      <c r="N1234">
        <v>1</v>
      </c>
      <c r="Q1234" t="s">
        <v>30623</v>
      </c>
      <c r="R1234" t="s">
        <v>30236</v>
      </c>
      <c r="S1234" t="s">
        <v>30624</v>
      </c>
      <c r="T1234" t="s">
        <v>30</v>
      </c>
      <c r="U1234" t="s">
        <v>5222</v>
      </c>
      <c r="W1234" t="s">
        <v>26009</v>
      </c>
    </row>
    <row r="1235" spans="1:23" x14ac:dyDescent="0.35">
      <c r="A1235">
        <v>322594</v>
      </c>
      <c r="B1235" t="s">
        <v>30625</v>
      </c>
      <c r="C1235" t="str">
        <f>"9780816648665"</f>
        <v>9780816648665</v>
      </c>
      <c r="D1235" t="str">
        <f>"9780816654413"</f>
        <v>9780816654413</v>
      </c>
      <c r="E1235" t="s">
        <v>7471</v>
      </c>
      <c r="F1235" t="s">
        <v>7471</v>
      </c>
      <c r="G1235" t="s">
        <v>23536</v>
      </c>
      <c r="H1235" t="s">
        <v>26004</v>
      </c>
      <c r="I1235" s="26">
        <v>39121</v>
      </c>
      <c r="J1235">
        <v>2007</v>
      </c>
      <c r="K1235" t="s">
        <v>7471</v>
      </c>
      <c r="L1235">
        <v>362</v>
      </c>
      <c r="M1235" t="s">
        <v>30626</v>
      </c>
      <c r="N1235">
        <v>1</v>
      </c>
      <c r="Q1235" t="s">
        <v>30627</v>
      </c>
      <c r="R1235">
        <v>612.61</v>
      </c>
      <c r="S1235" t="s">
        <v>30628</v>
      </c>
      <c r="T1235" t="s">
        <v>30</v>
      </c>
      <c r="U1235" t="s">
        <v>28876</v>
      </c>
      <c r="W1235" t="s">
        <v>26009</v>
      </c>
    </row>
    <row r="1236" spans="1:23" x14ac:dyDescent="0.35">
      <c r="A1236">
        <v>325632</v>
      </c>
      <c r="B1236" t="s">
        <v>30629</v>
      </c>
      <c r="C1236" t="str">
        <f>"9783110189834"</f>
        <v>9783110189834</v>
      </c>
      <c r="D1236" t="str">
        <f>"9783110202106"</f>
        <v>9783110202106</v>
      </c>
      <c r="E1236" t="s">
        <v>30630</v>
      </c>
      <c r="F1236" t="s">
        <v>7451</v>
      </c>
      <c r="G1236" t="s">
        <v>30631</v>
      </c>
      <c r="H1236" t="s">
        <v>30632</v>
      </c>
      <c r="I1236" s="26">
        <v>38950</v>
      </c>
      <c r="J1236">
        <v>2006</v>
      </c>
      <c r="K1236" t="s">
        <v>7451</v>
      </c>
      <c r="L1236">
        <v>240</v>
      </c>
      <c r="M1236" t="s">
        <v>30633</v>
      </c>
      <c r="N1236">
        <v>1</v>
      </c>
      <c r="O1236" t="s">
        <v>30634</v>
      </c>
      <c r="P1236">
        <v>5</v>
      </c>
      <c r="Q1236" t="s">
        <v>30635</v>
      </c>
      <c r="T1236" t="s">
        <v>2583</v>
      </c>
      <c r="U1236" t="s">
        <v>46</v>
      </c>
      <c r="W1236" t="s">
        <v>26009</v>
      </c>
    </row>
    <row r="1237" spans="1:23" x14ac:dyDescent="0.35">
      <c r="A1237">
        <v>325697</v>
      </c>
      <c r="B1237" t="s">
        <v>30636</v>
      </c>
      <c r="C1237" t="str">
        <f>"9783110180084"</f>
        <v>9783110180084</v>
      </c>
      <c r="D1237" t="str">
        <f>"9783110201789"</f>
        <v>9783110201789</v>
      </c>
      <c r="E1237" t="s">
        <v>30630</v>
      </c>
      <c r="F1237" t="s">
        <v>3143</v>
      </c>
      <c r="G1237" t="s">
        <v>30631</v>
      </c>
      <c r="H1237" t="s">
        <v>30632</v>
      </c>
      <c r="I1237" s="26">
        <v>38162</v>
      </c>
      <c r="J1237">
        <v>2004</v>
      </c>
      <c r="K1237" t="s">
        <v>3143</v>
      </c>
      <c r="L1237">
        <v>320</v>
      </c>
      <c r="M1237" t="s">
        <v>30637</v>
      </c>
      <c r="N1237">
        <v>1</v>
      </c>
      <c r="O1237" t="s">
        <v>30634</v>
      </c>
      <c r="P1237">
        <v>1</v>
      </c>
      <c r="Q1237" t="s">
        <v>30638</v>
      </c>
      <c r="T1237" t="s">
        <v>2583</v>
      </c>
      <c r="U1237" t="s">
        <v>46</v>
      </c>
      <c r="W1237" t="s">
        <v>26009</v>
      </c>
    </row>
    <row r="1238" spans="1:23" x14ac:dyDescent="0.35">
      <c r="A1238">
        <v>325991</v>
      </c>
      <c r="B1238" t="s">
        <v>7755</v>
      </c>
      <c r="C1238" t="str">
        <f>"9780521845670"</f>
        <v>9780521845670</v>
      </c>
      <c r="D1238" t="str">
        <f>"9780511340994"</f>
        <v>9780511340994</v>
      </c>
      <c r="E1238" t="s">
        <v>167</v>
      </c>
      <c r="F1238" t="s">
        <v>167</v>
      </c>
      <c r="G1238" t="s">
        <v>22218</v>
      </c>
      <c r="H1238" t="s">
        <v>26011</v>
      </c>
      <c r="I1238" s="26">
        <v>39328</v>
      </c>
      <c r="J1238">
        <v>2007</v>
      </c>
      <c r="K1238" t="s">
        <v>167</v>
      </c>
      <c r="L1238">
        <v>839</v>
      </c>
      <c r="M1238" t="s">
        <v>30639</v>
      </c>
      <c r="N1238">
        <v>1</v>
      </c>
      <c r="O1238" t="s">
        <v>30640</v>
      </c>
      <c r="Q1238" t="s">
        <v>30641</v>
      </c>
      <c r="R1238">
        <v>303.601</v>
      </c>
      <c r="S1238" t="s">
        <v>7756</v>
      </c>
      <c r="T1238" t="s">
        <v>30</v>
      </c>
      <c r="U1238" t="s">
        <v>26044</v>
      </c>
      <c r="W1238" t="s">
        <v>26020</v>
      </c>
    </row>
    <row r="1239" spans="1:23" x14ac:dyDescent="0.35">
      <c r="A1239">
        <v>326281</v>
      </c>
      <c r="B1239" t="s">
        <v>30642</v>
      </c>
      <c r="C1239" t="str">
        <f>"9780826115461"</f>
        <v>9780826115461</v>
      </c>
      <c r="D1239" t="str">
        <f>"9780826115492"</f>
        <v>9780826115492</v>
      </c>
      <c r="E1239" t="s">
        <v>1504</v>
      </c>
      <c r="F1239" t="s">
        <v>33</v>
      </c>
      <c r="G1239" t="s">
        <v>22179</v>
      </c>
      <c r="H1239" t="s">
        <v>26004</v>
      </c>
      <c r="I1239" s="26">
        <v>39326</v>
      </c>
      <c r="J1239">
        <v>2007</v>
      </c>
      <c r="K1239" t="s">
        <v>33</v>
      </c>
      <c r="L1239">
        <v>232</v>
      </c>
      <c r="M1239" t="s">
        <v>30643</v>
      </c>
      <c r="N1239">
        <v>1</v>
      </c>
      <c r="Q1239" t="s">
        <v>30644</v>
      </c>
      <c r="S1239" t="s">
        <v>30645</v>
      </c>
      <c r="T1239" t="s">
        <v>30</v>
      </c>
      <c r="U1239" t="s">
        <v>26116</v>
      </c>
      <c r="W1239" t="s">
        <v>26009</v>
      </c>
    </row>
    <row r="1240" spans="1:23" x14ac:dyDescent="0.35">
      <c r="A1240">
        <v>326364</v>
      </c>
      <c r="B1240" t="s">
        <v>9652</v>
      </c>
      <c r="C1240" t="str">
        <f>"9780521880176"</f>
        <v>9780521880176</v>
      </c>
      <c r="D1240" t="str">
        <f>"9780511369476"</f>
        <v>9780511369476</v>
      </c>
      <c r="E1240" t="s">
        <v>167</v>
      </c>
      <c r="F1240" t="s">
        <v>167</v>
      </c>
      <c r="G1240" t="s">
        <v>22218</v>
      </c>
      <c r="H1240" t="s">
        <v>26011</v>
      </c>
      <c r="I1240" s="26">
        <v>39419</v>
      </c>
      <c r="J1240">
        <v>2007</v>
      </c>
      <c r="K1240" t="s">
        <v>167</v>
      </c>
      <c r="L1240">
        <v>350</v>
      </c>
      <c r="M1240" t="s">
        <v>30646</v>
      </c>
      <c r="N1240">
        <v>1</v>
      </c>
      <c r="O1240" t="s">
        <v>30647</v>
      </c>
      <c r="Q1240" t="s">
        <v>30648</v>
      </c>
      <c r="R1240" t="s">
        <v>27122</v>
      </c>
      <c r="S1240" t="s">
        <v>7648</v>
      </c>
      <c r="T1240" t="s">
        <v>30</v>
      </c>
      <c r="U1240" t="s">
        <v>26116</v>
      </c>
      <c r="W1240" t="s">
        <v>26020</v>
      </c>
    </row>
    <row r="1241" spans="1:23" x14ac:dyDescent="0.35">
      <c r="A1241">
        <v>326388</v>
      </c>
      <c r="B1241" t="s">
        <v>30649</v>
      </c>
      <c r="C1241" t="str">
        <f>"9780816646524"</f>
        <v>9780816646524</v>
      </c>
      <c r="D1241" t="str">
        <f>"9780816697687"</f>
        <v>9780816697687</v>
      </c>
      <c r="E1241" t="s">
        <v>7471</v>
      </c>
      <c r="F1241" t="s">
        <v>7471</v>
      </c>
      <c r="G1241" t="s">
        <v>23536</v>
      </c>
      <c r="H1241" t="s">
        <v>26004</v>
      </c>
      <c r="I1241" s="26">
        <v>39107</v>
      </c>
      <c r="J1241">
        <v>2007</v>
      </c>
      <c r="K1241" t="s">
        <v>7471</v>
      </c>
      <c r="L1241">
        <v>272</v>
      </c>
      <c r="M1241" t="s">
        <v>30650</v>
      </c>
      <c r="N1241">
        <v>1</v>
      </c>
      <c r="Q1241" t="s">
        <v>30651</v>
      </c>
      <c r="R1241">
        <v>709.05</v>
      </c>
      <c r="S1241" t="s">
        <v>30652</v>
      </c>
      <c r="T1241" t="s">
        <v>30</v>
      </c>
      <c r="U1241" t="s">
        <v>27699</v>
      </c>
      <c r="W1241" t="s">
        <v>26009</v>
      </c>
    </row>
    <row r="1242" spans="1:23" x14ac:dyDescent="0.35">
      <c r="A1242">
        <v>327862</v>
      </c>
      <c r="B1242" t="s">
        <v>30653</v>
      </c>
      <c r="C1242" t="str">
        <f>"9781841501710"</f>
        <v>9781841501710</v>
      </c>
      <c r="D1242" t="str">
        <f>"9781841509952"</f>
        <v>9781841509952</v>
      </c>
      <c r="E1242" t="s">
        <v>28153</v>
      </c>
      <c r="F1242" t="s">
        <v>29018</v>
      </c>
      <c r="G1242" t="s">
        <v>24532</v>
      </c>
      <c r="H1242" t="s">
        <v>26011</v>
      </c>
      <c r="I1242" s="26">
        <v>39356</v>
      </c>
      <c r="J1242">
        <v>2007</v>
      </c>
      <c r="K1242" t="s">
        <v>29018</v>
      </c>
      <c r="L1242">
        <v>154</v>
      </c>
      <c r="M1242" t="s">
        <v>30654</v>
      </c>
      <c r="N1242">
        <v>1</v>
      </c>
      <c r="Q1242" t="s">
        <v>30655</v>
      </c>
      <c r="R1242">
        <v>791.43010000000004</v>
      </c>
      <c r="S1242" t="s">
        <v>30656</v>
      </c>
      <c r="T1242" t="s">
        <v>30</v>
      </c>
      <c r="U1242" t="s">
        <v>30657</v>
      </c>
      <c r="W1242" t="s">
        <v>26009</v>
      </c>
    </row>
    <row r="1243" spans="1:23" x14ac:dyDescent="0.35">
      <c r="A1243">
        <v>328375</v>
      </c>
      <c r="B1243" t="s">
        <v>30658</v>
      </c>
      <c r="C1243" t="str">
        <f>"9780816646975"</f>
        <v>9780816646975</v>
      </c>
      <c r="D1243" t="str">
        <f>"9780816654154"</f>
        <v>9780816654154</v>
      </c>
      <c r="E1243" t="s">
        <v>7471</v>
      </c>
      <c r="F1243" t="s">
        <v>7471</v>
      </c>
      <c r="G1243" t="s">
        <v>23536</v>
      </c>
      <c r="H1243" t="s">
        <v>26004</v>
      </c>
      <c r="I1243" s="26">
        <v>39226</v>
      </c>
      <c r="J1243">
        <v>2007</v>
      </c>
      <c r="K1243" t="s">
        <v>7471</v>
      </c>
      <c r="L1243">
        <v>250</v>
      </c>
      <c r="M1243" t="s">
        <v>30659</v>
      </c>
      <c r="N1243">
        <v>1</v>
      </c>
      <c r="Q1243" t="s">
        <v>30660</v>
      </c>
      <c r="R1243">
        <v>610</v>
      </c>
      <c r="S1243" t="s">
        <v>30661</v>
      </c>
      <c r="T1243" t="s">
        <v>30</v>
      </c>
      <c r="U1243" t="s">
        <v>26040</v>
      </c>
      <c r="W1243" t="s">
        <v>26009</v>
      </c>
    </row>
    <row r="1244" spans="1:23" x14ac:dyDescent="0.35">
      <c r="A1244">
        <v>328379</v>
      </c>
      <c r="B1244" t="s">
        <v>30662</v>
      </c>
      <c r="C1244" t="str">
        <f>"9780816647996"</f>
        <v>9780816647996</v>
      </c>
      <c r="D1244" t="str">
        <f>"9780816654130"</f>
        <v>9780816654130</v>
      </c>
      <c r="E1244" t="s">
        <v>7471</v>
      </c>
      <c r="F1244" t="s">
        <v>7471</v>
      </c>
      <c r="G1244" t="s">
        <v>23536</v>
      </c>
      <c r="H1244" t="s">
        <v>26004</v>
      </c>
      <c r="I1244" s="26">
        <v>39302</v>
      </c>
      <c r="J1244">
        <v>2007</v>
      </c>
      <c r="K1244" t="s">
        <v>7471</v>
      </c>
      <c r="L1244">
        <v>406</v>
      </c>
      <c r="M1244" t="s">
        <v>30663</v>
      </c>
      <c r="N1244">
        <v>1</v>
      </c>
      <c r="Q1244" t="s">
        <v>30664</v>
      </c>
      <c r="R1244" t="s">
        <v>26967</v>
      </c>
      <c r="S1244" t="s">
        <v>30665</v>
      </c>
      <c r="T1244" t="s">
        <v>30</v>
      </c>
      <c r="U1244" t="s">
        <v>46</v>
      </c>
      <c r="W1244" t="s">
        <v>26009</v>
      </c>
    </row>
    <row r="1245" spans="1:23" x14ac:dyDescent="0.35">
      <c r="A1245">
        <v>328558</v>
      </c>
      <c r="B1245" t="s">
        <v>9114</v>
      </c>
      <c r="C1245" t="str">
        <f>"9780123742407"</f>
        <v>9780123742407</v>
      </c>
      <c r="D1245" t="str">
        <f>"9780080556529"</f>
        <v>9780080556529</v>
      </c>
      <c r="E1245" t="s">
        <v>27482</v>
      </c>
      <c r="F1245" t="s">
        <v>7447</v>
      </c>
      <c r="G1245" t="s">
        <v>22689</v>
      </c>
      <c r="H1245" t="s">
        <v>26004</v>
      </c>
      <c r="I1245" s="26">
        <v>39435</v>
      </c>
      <c r="J1245">
        <v>2008</v>
      </c>
      <c r="K1245" t="s">
        <v>946</v>
      </c>
      <c r="L1245">
        <v>221</v>
      </c>
      <c r="M1245" t="s">
        <v>30666</v>
      </c>
      <c r="N1245">
        <v>1</v>
      </c>
      <c r="Q1245" t="s">
        <v>30667</v>
      </c>
      <c r="R1245">
        <v>616.89071000000001</v>
      </c>
      <c r="S1245" t="s">
        <v>30668</v>
      </c>
      <c r="T1245" t="s">
        <v>30</v>
      </c>
      <c r="U1245" t="s">
        <v>26040</v>
      </c>
      <c r="W1245" t="s">
        <v>26009</v>
      </c>
    </row>
    <row r="1246" spans="1:23" x14ac:dyDescent="0.35">
      <c r="A1246">
        <v>328688</v>
      </c>
      <c r="B1246" t="s">
        <v>30669</v>
      </c>
      <c r="C1246" t="str">
        <f>""</f>
        <v/>
      </c>
      <c r="D1246" t="str">
        <f>"9780813541501"</f>
        <v>9780813541501</v>
      </c>
      <c r="E1246" t="s">
        <v>3024</v>
      </c>
      <c r="F1246" t="s">
        <v>3024</v>
      </c>
      <c r="G1246" t="s">
        <v>23807</v>
      </c>
      <c r="H1246" t="s">
        <v>26004</v>
      </c>
      <c r="I1246" s="26">
        <v>39240</v>
      </c>
      <c r="J1246">
        <v>2007</v>
      </c>
      <c r="K1246" t="s">
        <v>3024</v>
      </c>
      <c r="L1246">
        <v>209</v>
      </c>
      <c r="M1246" t="s">
        <v>30670</v>
      </c>
      <c r="N1246">
        <v>1</v>
      </c>
      <c r="Q1246" t="s">
        <v>30671</v>
      </c>
      <c r="R1246" t="s">
        <v>30672</v>
      </c>
      <c r="S1246" t="s">
        <v>30673</v>
      </c>
      <c r="T1246" t="s">
        <v>30</v>
      </c>
      <c r="U1246" t="s">
        <v>27699</v>
      </c>
      <c r="W1246" t="s">
        <v>26009</v>
      </c>
    </row>
    <row r="1247" spans="1:23" x14ac:dyDescent="0.35">
      <c r="A1247">
        <v>328690</v>
      </c>
      <c r="B1247" t="s">
        <v>7834</v>
      </c>
      <c r="C1247" t="str">
        <f>"9789062991600"</f>
        <v>9789062991600</v>
      </c>
      <c r="D1247" t="str">
        <f>"9789062998036"</f>
        <v>9789062998036</v>
      </c>
      <c r="E1247" t="s">
        <v>30674</v>
      </c>
      <c r="F1247" t="s">
        <v>30675</v>
      </c>
      <c r="G1247" t="s">
        <v>22222</v>
      </c>
      <c r="H1247" t="s">
        <v>27983</v>
      </c>
      <c r="I1247" s="26">
        <v>36552</v>
      </c>
      <c r="J1247">
        <v>2000</v>
      </c>
      <c r="K1247" t="s">
        <v>30674</v>
      </c>
      <c r="L1247">
        <v>452</v>
      </c>
      <c r="M1247" t="s">
        <v>30676</v>
      </c>
      <c r="N1247">
        <v>1</v>
      </c>
      <c r="Q1247" t="s">
        <v>30677</v>
      </c>
      <c r="R1247" t="s">
        <v>30678</v>
      </c>
      <c r="S1247" t="s">
        <v>30679</v>
      </c>
      <c r="T1247" t="s">
        <v>30</v>
      </c>
      <c r="U1247" t="s">
        <v>26040</v>
      </c>
      <c r="W1247" t="s">
        <v>26009</v>
      </c>
    </row>
    <row r="1248" spans="1:23" x14ac:dyDescent="0.35">
      <c r="A1248">
        <v>328772</v>
      </c>
      <c r="B1248" t="s">
        <v>30680</v>
      </c>
      <c r="C1248" t="str">
        <f>"9781894584098"</f>
        <v>9781894584098</v>
      </c>
      <c r="D1248" t="str">
        <f>"9781605571355"</f>
        <v>9781605571355</v>
      </c>
      <c r="E1248" t="s">
        <v>30352</v>
      </c>
      <c r="F1248" t="s">
        <v>7690</v>
      </c>
      <c r="G1248" t="s">
        <v>22634</v>
      </c>
      <c r="H1248" t="s">
        <v>26004</v>
      </c>
      <c r="I1248" s="26">
        <v>37257</v>
      </c>
      <c r="J1248">
        <v>2002</v>
      </c>
      <c r="K1248" t="s">
        <v>7690</v>
      </c>
      <c r="L1248">
        <v>209</v>
      </c>
      <c r="M1248" t="s">
        <v>30681</v>
      </c>
      <c r="Q1248" t="s">
        <v>30682</v>
      </c>
      <c r="R1248" t="s">
        <v>30683</v>
      </c>
      <c r="S1248" t="s">
        <v>30684</v>
      </c>
      <c r="T1248" t="s">
        <v>30</v>
      </c>
      <c r="U1248" t="s">
        <v>30685</v>
      </c>
      <c r="W1248" t="s">
        <v>26009</v>
      </c>
    </row>
    <row r="1249" spans="1:23" x14ac:dyDescent="0.35">
      <c r="A1249">
        <v>328898</v>
      </c>
      <c r="B1249" t="s">
        <v>10017</v>
      </c>
      <c r="C1249" t="str">
        <f>"9780521852357"</f>
        <v>9780521852357</v>
      </c>
      <c r="D1249" t="str">
        <f>"9780511375750"</f>
        <v>9780511375750</v>
      </c>
      <c r="E1249" t="s">
        <v>167</v>
      </c>
      <c r="F1249" t="s">
        <v>167</v>
      </c>
      <c r="G1249" t="s">
        <v>22218</v>
      </c>
      <c r="H1249" t="s">
        <v>26011</v>
      </c>
      <c r="I1249" s="26">
        <v>39387</v>
      </c>
      <c r="J1249">
        <v>2007</v>
      </c>
      <c r="K1249" t="s">
        <v>167</v>
      </c>
      <c r="L1249">
        <v>360</v>
      </c>
      <c r="M1249" t="s">
        <v>30686</v>
      </c>
      <c r="N1249">
        <v>1</v>
      </c>
      <c r="Q1249" t="s">
        <v>30687</v>
      </c>
      <c r="R1249">
        <v>616.85210651</v>
      </c>
      <c r="S1249" t="s">
        <v>8172</v>
      </c>
      <c r="T1249" t="s">
        <v>30</v>
      </c>
      <c r="U1249" t="s">
        <v>26019</v>
      </c>
      <c r="W1249" t="s">
        <v>26020</v>
      </c>
    </row>
    <row r="1250" spans="1:23" x14ac:dyDescent="0.35">
      <c r="A1250">
        <v>330086</v>
      </c>
      <c r="B1250" t="s">
        <v>9514</v>
      </c>
      <c r="C1250" t="str">
        <f>"9780080450896"</f>
        <v>9780080450896</v>
      </c>
      <c r="D1250" t="str">
        <f>"9780080556789"</f>
        <v>9780080556789</v>
      </c>
      <c r="E1250" t="s">
        <v>27482</v>
      </c>
      <c r="F1250" t="s">
        <v>7447</v>
      </c>
      <c r="G1250" t="s">
        <v>22689</v>
      </c>
      <c r="H1250" t="s">
        <v>26011</v>
      </c>
      <c r="I1250" s="26">
        <v>39434</v>
      </c>
      <c r="J1250">
        <v>2007</v>
      </c>
      <c r="K1250" t="s">
        <v>7447</v>
      </c>
      <c r="L1250">
        <v>687</v>
      </c>
      <c r="M1250" t="s">
        <v>30688</v>
      </c>
      <c r="N1250">
        <v>1</v>
      </c>
      <c r="Q1250" t="s">
        <v>30689</v>
      </c>
      <c r="R1250">
        <v>658.83420000000001</v>
      </c>
      <c r="S1250" t="s">
        <v>30690</v>
      </c>
      <c r="T1250" t="s">
        <v>30</v>
      </c>
      <c r="U1250" t="s">
        <v>30031</v>
      </c>
      <c r="W1250" t="s">
        <v>26009</v>
      </c>
    </row>
    <row r="1251" spans="1:23" x14ac:dyDescent="0.35">
      <c r="A1251">
        <v>330117</v>
      </c>
      <c r="B1251" t="s">
        <v>30691</v>
      </c>
      <c r="C1251" t="str">
        <f>"9780123741752"</f>
        <v>9780123741752</v>
      </c>
      <c r="D1251" t="str">
        <f>"9780080557328"</f>
        <v>9780080557328</v>
      </c>
      <c r="E1251" t="s">
        <v>27482</v>
      </c>
      <c r="F1251" t="s">
        <v>7447</v>
      </c>
      <c r="G1251" t="s">
        <v>22689</v>
      </c>
      <c r="H1251" t="s">
        <v>26004</v>
      </c>
      <c r="I1251" s="26">
        <v>39518</v>
      </c>
      <c r="J1251">
        <v>2008</v>
      </c>
      <c r="K1251" t="s">
        <v>946</v>
      </c>
      <c r="L1251">
        <v>333</v>
      </c>
      <c r="M1251" t="s">
        <v>30692</v>
      </c>
      <c r="N1251">
        <v>2</v>
      </c>
      <c r="O1251" t="s">
        <v>27484</v>
      </c>
      <c r="Q1251" t="s">
        <v>30693</v>
      </c>
      <c r="R1251" t="s">
        <v>27122</v>
      </c>
      <c r="S1251" t="s">
        <v>8192</v>
      </c>
      <c r="T1251" t="s">
        <v>30</v>
      </c>
      <c r="U1251" t="s">
        <v>26019</v>
      </c>
      <c r="W1251" t="s">
        <v>26009</v>
      </c>
    </row>
    <row r="1252" spans="1:23" x14ac:dyDescent="0.35">
      <c r="A1252">
        <v>330505</v>
      </c>
      <c r="B1252" t="s">
        <v>30694</v>
      </c>
      <c r="C1252" t="str">
        <f>"9781593852184"</f>
        <v>9781593852184</v>
      </c>
      <c r="D1252" t="str">
        <f>"9781593859534"</f>
        <v>9781593859534</v>
      </c>
      <c r="E1252" t="s">
        <v>30112</v>
      </c>
      <c r="F1252" t="s">
        <v>7420</v>
      </c>
      <c r="G1252" t="s">
        <v>22179</v>
      </c>
      <c r="H1252" t="s">
        <v>26004</v>
      </c>
      <c r="I1252" s="26">
        <v>38699</v>
      </c>
      <c r="J1252">
        <v>2006</v>
      </c>
      <c r="K1252" t="s">
        <v>30113</v>
      </c>
      <c r="L1252">
        <v>352</v>
      </c>
      <c r="M1252" t="s">
        <v>30695</v>
      </c>
      <c r="N1252">
        <v>1</v>
      </c>
      <c r="Q1252" t="s">
        <v>30696</v>
      </c>
      <c r="R1252" t="s">
        <v>30697</v>
      </c>
      <c r="S1252" t="s">
        <v>30698</v>
      </c>
      <c r="T1252" t="s">
        <v>30</v>
      </c>
      <c r="U1252" t="s">
        <v>29704</v>
      </c>
      <c r="W1252" t="s">
        <v>28347</v>
      </c>
    </row>
    <row r="1253" spans="1:23" x14ac:dyDescent="0.35">
      <c r="A1253">
        <v>330507</v>
      </c>
      <c r="B1253" t="s">
        <v>30699</v>
      </c>
      <c r="C1253" t="str">
        <f>"9781593852191"</f>
        <v>9781593852191</v>
      </c>
      <c r="D1253" t="str">
        <f>"9781593859558"</f>
        <v>9781593859558</v>
      </c>
      <c r="E1253" t="s">
        <v>30112</v>
      </c>
      <c r="F1253" t="s">
        <v>7420</v>
      </c>
      <c r="G1253" t="s">
        <v>22179</v>
      </c>
      <c r="H1253" t="s">
        <v>26004</v>
      </c>
      <c r="I1253" s="26">
        <v>38666</v>
      </c>
      <c r="J1253">
        <v>2006</v>
      </c>
      <c r="K1253" t="s">
        <v>30113</v>
      </c>
      <c r="L1253">
        <v>288</v>
      </c>
      <c r="M1253" t="s">
        <v>30700</v>
      </c>
      <c r="N1253">
        <v>1</v>
      </c>
      <c r="Q1253" t="s">
        <v>30701</v>
      </c>
      <c r="R1253" t="s">
        <v>30045</v>
      </c>
      <c r="S1253" t="s">
        <v>8686</v>
      </c>
      <c r="T1253" t="s">
        <v>30</v>
      </c>
      <c r="U1253" t="s">
        <v>26116</v>
      </c>
      <c r="W1253" t="s">
        <v>28347</v>
      </c>
    </row>
    <row r="1254" spans="1:23" x14ac:dyDescent="0.35">
      <c r="A1254">
        <v>330510</v>
      </c>
      <c r="B1254" t="s">
        <v>9019</v>
      </c>
      <c r="C1254" t="str">
        <f>"9781572308701"</f>
        <v>9781572308701</v>
      </c>
      <c r="D1254" t="str">
        <f>"9781593859589"</f>
        <v>9781593859589</v>
      </c>
      <c r="E1254" t="s">
        <v>30112</v>
      </c>
      <c r="F1254" t="s">
        <v>7420</v>
      </c>
      <c r="G1254" t="s">
        <v>22179</v>
      </c>
      <c r="H1254" t="s">
        <v>26004</v>
      </c>
      <c r="I1254" s="26">
        <v>38159</v>
      </c>
      <c r="J1254">
        <v>2004</v>
      </c>
      <c r="K1254" t="s">
        <v>30113</v>
      </c>
      <c r="L1254">
        <v>296</v>
      </c>
      <c r="M1254" t="s">
        <v>30702</v>
      </c>
      <c r="N1254">
        <v>1</v>
      </c>
      <c r="O1254" t="s">
        <v>30703</v>
      </c>
      <c r="Q1254" t="s">
        <v>30704</v>
      </c>
      <c r="R1254">
        <v>618.92858899999999</v>
      </c>
      <c r="S1254" t="s">
        <v>9020</v>
      </c>
      <c r="T1254" t="s">
        <v>30</v>
      </c>
      <c r="U1254" t="s">
        <v>26019</v>
      </c>
      <c r="W1254" t="s">
        <v>28347</v>
      </c>
    </row>
    <row r="1255" spans="1:23" x14ac:dyDescent="0.35">
      <c r="A1255">
        <v>330512</v>
      </c>
      <c r="B1255" t="s">
        <v>30705</v>
      </c>
      <c r="C1255" t="str">
        <f>"9781593851798"</f>
        <v>9781593851798</v>
      </c>
      <c r="D1255" t="str">
        <f>"9781593858810"</f>
        <v>9781593858810</v>
      </c>
      <c r="E1255" t="s">
        <v>30112</v>
      </c>
      <c r="F1255" t="s">
        <v>7420</v>
      </c>
      <c r="G1255" t="s">
        <v>22179</v>
      </c>
      <c r="H1255" t="s">
        <v>26004</v>
      </c>
      <c r="I1255" s="26">
        <v>38538</v>
      </c>
      <c r="J1255">
        <v>2005</v>
      </c>
      <c r="K1255" t="s">
        <v>30113</v>
      </c>
      <c r="L1255">
        <v>320</v>
      </c>
      <c r="M1255" t="s">
        <v>30706</v>
      </c>
      <c r="N1255">
        <v>1</v>
      </c>
      <c r="Q1255" t="s">
        <v>30707</v>
      </c>
      <c r="R1255" t="s">
        <v>30708</v>
      </c>
      <c r="S1255" t="s">
        <v>9161</v>
      </c>
      <c r="T1255" t="s">
        <v>30</v>
      </c>
      <c r="U1255" t="s">
        <v>26040</v>
      </c>
      <c r="W1255" t="s">
        <v>28347</v>
      </c>
    </row>
    <row r="1256" spans="1:23" x14ac:dyDescent="0.35">
      <c r="A1256">
        <v>330515</v>
      </c>
      <c r="B1256" t="s">
        <v>30709</v>
      </c>
      <c r="C1256" t="str">
        <f>"9781572308718"</f>
        <v>9781572308718</v>
      </c>
      <c r="D1256" t="str">
        <f>"9781593859626"</f>
        <v>9781593859626</v>
      </c>
      <c r="E1256" t="s">
        <v>30112</v>
      </c>
      <c r="F1256" t="s">
        <v>7420</v>
      </c>
      <c r="G1256" t="s">
        <v>22179</v>
      </c>
      <c r="H1256" t="s">
        <v>26004</v>
      </c>
      <c r="I1256" s="26">
        <v>37923</v>
      </c>
      <c r="J1256">
        <v>2004</v>
      </c>
      <c r="K1256" t="s">
        <v>30113</v>
      </c>
      <c r="L1256">
        <v>272</v>
      </c>
      <c r="M1256" t="s">
        <v>30710</v>
      </c>
      <c r="N1256">
        <v>1</v>
      </c>
      <c r="Q1256" t="s">
        <v>30711</v>
      </c>
      <c r="R1256" t="s">
        <v>30712</v>
      </c>
      <c r="S1256" t="s">
        <v>9677</v>
      </c>
      <c r="T1256" t="s">
        <v>30</v>
      </c>
      <c r="U1256" t="s">
        <v>26019</v>
      </c>
      <c r="W1256" t="s">
        <v>28347</v>
      </c>
    </row>
    <row r="1257" spans="1:23" x14ac:dyDescent="0.35">
      <c r="A1257">
        <v>330517</v>
      </c>
      <c r="B1257" t="s">
        <v>30713</v>
      </c>
      <c r="C1257" t="str">
        <f>"9781593850036"</f>
        <v>9781593850036</v>
      </c>
      <c r="D1257" t="str">
        <f>"9781593859640"</f>
        <v>9781593859640</v>
      </c>
      <c r="E1257" t="s">
        <v>30112</v>
      </c>
      <c r="F1257" t="s">
        <v>7420</v>
      </c>
      <c r="G1257" t="s">
        <v>22179</v>
      </c>
      <c r="H1257" t="s">
        <v>26004</v>
      </c>
      <c r="I1257" s="26">
        <v>38056</v>
      </c>
      <c r="J1257">
        <v>2004</v>
      </c>
      <c r="K1257" t="s">
        <v>30113</v>
      </c>
      <c r="L1257">
        <v>240</v>
      </c>
      <c r="M1257" t="s">
        <v>30714</v>
      </c>
      <c r="N1257">
        <v>1</v>
      </c>
      <c r="Q1257" t="s">
        <v>30715</v>
      </c>
      <c r="R1257">
        <v>646.78</v>
      </c>
      <c r="S1257" t="s">
        <v>30716</v>
      </c>
      <c r="T1257" t="s">
        <v>30</v>
      </c>
      <c r="U1257" t="s">
        <v>29704</v>
      </c>
      <c r="W1257" t="s">
        <v>28347</v>
      </c>
    </row>
    <row r="1258" spans="1:23" x14ac:dyDescent="0.35">
      <c r="A1258">
        <v>330518</v>
      </c>
      <c r="B1258" t="s">
        <v>9957</v>
      </c>
      <c r="C1258" t="str">
        <f>"9781572309487"</f>
        <v>9781572309487</v>
      </c>
      <c r="D1258" t="str">
        <f>"9781593859657"</f>
        <v>9781593859657</v>
      </c>
      <c r="E1258" t="s">
        <v>30112</v>
      </c>
      <c r="F1258" t="s">
        <v>7420</v>
      </c>
      <c r="G1258" t="s">
        <v>22179</v>
      </c>
      <c r="H1258" t="s">
        <v>26004</v>
      </c>
      <c r="I1258" s="26">
        <v>37950</v>
      </c>
      <c r="J1258">
        <v>2004</v>
      </c>
      <c r="K1258" t="s">
        <v>30113</v>
      </c>
      <c r="L1258">
        <v>271</v>
      </c>
      <c r="M1258" t="s">
        <v>30717</v>
      </c>
      <c r="N1258">
        <v>1</v>
      </c>
      <c r="Q1258" t="s">
        <v>30718</v>
      </c>
      <c r="R1258" t="s">
        <v>27913</v>
      </c>
      <c r="S1258" t="s">
        <v>9958</v>
      </c>
      <c r="T1258" t="s">
        <v>30</v>
      </c>
      <c r="U1258" t="s">
        <v>26019</v>
      </c>
      <c r="W1258" t="s">
        <v>28347</v>
      </c>
    </row>
    <row r="1259" spans="1:23" x14ac:dyDescent="0.35">
      <c r="A1259">
        <v>330536</v>
      </c>
      <c r="B1259" t="s">
        <v>7583</v>
      </c>
      <c r="C1259" t="str">
        <f>"9781593850357"</f>
        <v>9781593850357</v>
      </c>
      <c r="D1259" t="str">
        <f>"9781593858957"</f>
        <v>9781593858957</v>
      </c>
      <c r="E1259" t="s">
        <v>30112</v>
      </c>
      <c r="F1259" t="s">
        <v>7420</v>
      </c>
      <c r="G1259" t="s">
        <v>22179</v>
      </c>
      <c r="H1259" t="s">
        <v>26004</v>
      </c>
      <c r="I1259" s="26">
        <v>38180</v>
      </c>
      <c r="J1259">
        <v>2004</v>
      </c>
      <c r="K1259" t="s">
        <v>30113</v>
      </c>
      <c r="L1259">
        <v>693</v>
      </c>
      <c r="M1259" t="s">
        <v>30719</v>
      </c>
      <c r="N1259">
        <v>2</v>
      </c>
      <c r="Q1259" t="s">
        <v>30720</v>
      </c>
      <c r="R1259" t="s">
        <v>27184</v>
      </c>
      <c r="S1259" t="s">
        <v>30721</v>
      </c>
      <c r="T1259" t="s">
        <v>30</v>
      </c>
      <c r="U1259" t="s">
        <v>26019</v>
      </c>
      <c r="W1259" t="s">
        <v>28347</v>
      </c>
    </row>
    <row r="1260" spans="1:23" x14ac:dyDescent="0.35">
      <c r="A1260">
        <v>330539</v>
      </c>
      <c r="B1260" t="s">
        <v>7601</v>
      </c>
      <c r="C1260" t="str">
        <f>"9781593850883"</f>
        <v>9781593850883</v>
      </c>
      <c r="D1260" t="str">
        <f>"9781593858971"</f>
        <v>9781593858971</v>
      </c>
      <c r="E1260" t="s">
        <v>30112</v>
      </c>
      <c r="F1260" t="s">
        <v>7420</v>
      </c>
      <c r="G1260" t="s">
        <v>22179</v>
      </c>
      <c r="H1260" t="s">
        <v>26004</v>
      </c>
      <c r="I1260" s="26">
        <v>38278</v>
      </c>
      <c r="J1260">
        <v>2005</v>
      </c>
      <c r="K1260" t="s">
        <v>30113</v>
      </c>
      <c r="L1260">
        <v>416</v>
      </c>
      <c r="M1260" t="s">
        <v>30722</v>
      </c>
      <c r="N1260">
        <v>1</v>
      </c>
      <c r="Q1260" t="s">
        <v>30723</v>
      </c>
      <c r="R1260">
        <v>200.19</v>
      </c>
      <c r="S1260" t="s">
        <v>30724</v>
      </c>
      <c r="T1260" t="s">
        <v>30</v>
      </c>
      <c r="U1260" t="s">
        <v>11247</v>
      </c>
      <c r="W1260" t="s">
        <v>28347</v>
      </c>
    </row>
    <row r="1261" spans="1:23" x14ac:dyDescent="0.35">
      <c r="A1261">
        <v>330555</v>
      </c>
      <c r="B1261" t="s">
        <v>8262</v>
      </c>
      <c r="C1261" t="str">
        <f>"9781593851880"</f>
        <v>9781593851880</v>
      </c>
      <c r="D1261" t="str">
        <f>"9781593859152"</f>
        <v>9781593859152</v>
      </c>
      <c r="E1261" t="s">
        <v>30112</v>
      </c>
      <c r="F1261" t="s">
        <v>7420</v>
      </c>
      <c r="G1261" t="s">
        <v>22179</v>
      </c>
      <c r="H1261" t="s">
        <v>26004</v>
      </c>
      <c r="I1261" s="26">
        <v>38540</v>
      </c>
      <c r="J1261">
        <v>2005</v>
      </c>
      <c r="K1261" t="s">
        <v>30113</v>
      </c>
      <c r="L1261">
        <v>432</v>
      </c>
      <c r="M1261" t="s">
        <v>30725</v>
      </c>
      <c r="N1261">
        <v>1</v>
      </c>
      <c r="Q1261" t="s">
        <v>30726</v>
      </c>
      <c r="R1261">
        <v>152.4</v>
      </c>
      <c r="S1261" t="s">
        <v>30727</v>
      </c>
      <c r="T1261" t="s">
        <v>30</v>
      </c>
      <c r="U1261" t="s">
        <v>46</v>
      </c>
      <c r="W1261" t="s">
        <v>28347</v>
      </c>
    </row>
    <row r="1262" spans="1:23" x14ac:dyDescent="0.35">
      <c r="A1262">
        <v>330557</v>
      </c>
      <c r="B1262" t="s">
        <v>30728</v>
      </c>
      <c r="C1262" t="str">
        <f>"9781593852269"</f>
        <v>9781593852269</v>
      </c>
      <c r="D1262" t="str">
        <f>"9781593856861"</f>
        <v>9781593856861</v>
      </c>
      <c r="E1262" t="s">
        <v>30112</v>
      </c>
      <c r="F1262" t="s">
        <v>7420</v>
      </c>
      <c r="G1262" t="s">
        <v>22179</v>
      </c>
      <c r="H1262" t="s">
        <v>26004</v>
      </c>
      <c r="I1262" s="26">
        <v>38686</v>
      </c>
      <c r="J1262">
        <v>2006</v>
      </c>
      <c r="K1262" t="s">
        <v>30113</v>
      </c>
      <c r="L1262">
        <v>481</v>
      </c>
      <c r="M1262" t="s">
        <v>30729</v>
      </c>
      <c r="N1262">
        <v>1</v>
      </c>
      <c r="Q1262" t="s">
        <v>30730</v>
      </c>
      <c r="R1262">
        <v>618.97680000000003</v>
      </c>
      <c r="S1262" t="s">
        <v>30731</v>
      </c>
      <c r="T1262" t="s">
        <v>30</v>
      </c>
      <c r="U1262" t="s">
        <v>26019</v>
      </c>
      <c r="W1262" t="s">
        <v>28347</v>
      </c>
    </row>
    <row r="1263" spans="1:23" x14ac:dyDescent="0.35">
      <c r="A1263">
        <v>330563</v>
      </c>
      <c r="B1263" t="s">
        <v>8614</v>
      </c>
      <c r="C1263" t="str">
        <f>"9781593850401"</f>
        <v>9781593850401</v>
      </c>
      <c r="D1263" t="str">
        <f>"9781593859220"</f>
        <v>9781593859220</v>
      </c>
      <c r="E1263" t="s">
        <v>30112</v>
      </c>
      <c r="F1263" t="s">
        <v>7420</v>
      </c>
      <c r="G1263" t="s">
        <v>22179</v>
      </c>
      <c r="H1263" t="s">
        <v>26004</v>
      </c>
      <c r="I1263" s="26">
        <v>38133</v>
      </c>
      <c r="J1263">
        <v>2004</v>
      </c>
      <c r="K1263" t="s">
        <v>30113</v>
      </c>
      <c r="L1263">
        <v>546</v>
      </c>
      <c r="M1263" t="s">
        <v>30732</v>
      </c>
      <c r="N1263">
        <v>1</v>
      </c>
      <c r="Q1263" t="s">
        <v>30733</v>
      </c>
      <c r="R1263">
        <v>150.19200000000001</v>
      </c>
      <c r="S1263" t="s">
        <v>30734</v>
      </c>
      <c r="T1263" t="s">
        <v>30</v>
      </c>
      <c r="U1263" t="s">
        <v>46</v>
      </c>
      <c r="W1263" t="s">
        <v>28347</v>
      </c>
    </row>
    <row r="1264" spans="1:23" x14ac:dyDescent="0.35">
      <c r="A1264">
        <v>330568</v>
      </c>
      <c r="B1264" t="s">
        <v>30735</v>
      </c>
      <c r="C1264" t="str">
        <f>"9781572308848"</f>
        <v>9781572308848</v>
      </c>
      <c r="D1264" t="str">
        <f>"9781593859282"</f>
        <v>9781593859282</v>
      </c>
      <c r="E1264" t="s">
        <v>30112</v>
      </c>
      <c r="F1264" t="s">
        <v>7420</v>
      </c>
      <c r="G1264" t="s">
        <v>22179</v>
      </c>
      <c r="H1264" t="s">
        <v>26004</v>
      </c>
      <c r="I1264" s="26">
        <v>37831</v>
      </c>
      <c r="J1264">
        <v>2003</v>
      </c>
      <c r="K1264" t="s">
        <v>30113</v>
      </c>
      <c r="L1264">
        <v>556</v>
      </c>
      <c r="M1264" t="s">
        <v>30736</v>
      </c>
      <c r="N1264">
        <v>2</v>
      </c>
      <c r="Q1264" t="s">
        <v>30737</v>
      </c>
      <c r="R1264" t="s">
        <v>30738</v>
      </c>
      <c r="S1264" t="s">
        <v>30739</v>
      </c>
      <c r="T1264" t="s">
        <v>30</v>
      </c>
      <c r="U1264" t="s">
        <v>46</v>
      </c>
      <c r="W1264" t="s">
        <v>28347</v>
      </c>
    </row>
    <row r="1265" spans="1:23" x14ac:dyDescent="0.35">
      <c r="A1265">
        <v>330575</v>
      </c>
      <c r="B1265" t="s">
        <v>8853</v>
      </c>
      <c r="C1265" t="str">
        <f>"9781593851125"</f>
        <v>9781593851125</v>
      </c>
      <c r="D1265" t="str">
        <f>"9781593859350"</f>
        <v>9781593859350</v>
      </c>
      <c r="E1265" t="s">
        <v>30112</v>
      </c>
      <c r="F1265" t="s">
        <v>7420</v>
      </c>
      <c r="G1265" t="s">
        <v>22179</v>
      </c>
      <c r="H1265" t="s">
        <v>26004</v>
      </c>
      <c r="I1265" s="26">
        <v>38344</v>
      </c>
      <c r="J1265">
        <v>2005</v>
      </c>
      <c r="K1265" t="s">
        <v>30113</v>
      </c>
      <c r="L1265">
        <v>480</v>
      </c>
      <c r="M1265" t="s">
        <v>30740</v>
      </c>
      <c r="N1265">
        <v>1</v>
      </c>
      <c r="Q1265" t="s">
        <v>30741</v>
      </c>
      <c r="R1265">
        <v>158.19999999999999</v>
      </c>
      <c r="S1265" t="s">
        <v>8854</v>
      </c>
      <c r="T1265" t="s">
        <v>30</v>
      </c>
      <c r="U1265" t="s">
        <v>46</v>
      </c>
      <c r="W1265" t="s">
        <v>28347</v>
      </c>
    </row>
    <row r="1266" spans="1:23" x14ac:dyDescent="0.35">
      <c r="A1266">
        <v>330576</v>
      </c>
      <c r="B1266" t="s">
        <v>30742</v>
      </c>
      <c r="C1266" t="str">
        <f>"9781572305380"</f>
        <v>9781572305380</v>
      </c>
      <c r="D1266" t="str">
        <f>"9781593859367"</f>
        <v>9781593859367</v>
      </c>
      <c r="E1266" t="s">
        <v>30112</v>
      </c>
      <c r="F1266" t="s">
        <v>7420</v>
      </c>
      <c r="G1266" t="s">
        <v>22179</v>
      </c>
      <c r="H1266" t="s">
        <v>26004</v>
      </c>
      <c r="I1266" s="26">
        <v>37649</v>
      </c>
      <c r="J1266">
        <v>2003</v>
      </c>
      <c r="K1266" t="s">
        <v>30113</v>
      </c>
      <c r="L1266">
        <v>383</v>
      </c>
      <c r="M1266" t="s">
        <v>30743</v>
      </c>
      <c r="N1266">
        <v>1</v>
      </c>
      <c r="Q1266" t="s">
        <v>30744</v>
      </c>
      <c r="R1266">
        <v>616.89139999999998</v>
      </c>
      <c r="S1266" t="s">
        <v>30745</v>
      </c>
      <c r="T1266" t="s">
        <v>30</v>
      </c>
      <c r="U1266" t="s">
        <v>26116</v>
      </c>
      <c r="W1266" t="s">
        <v>28347</v>
      </c>
    </row>
    <row r="1267" spans="1:23" x14ac:dyDescent="0.35">
      <c r="A1267">
        <v>330579</v>
      </c>
      <c r="B1267" t="s">
        <v>9008</v>
      </c>
      <c r="C1267" t="str">
        <f>"9781593851088"</f>
        <v>9781593851088</v>
      </c>
      <c r="D1267" t="str">
        <f>"9781593859381"</f>
        <v>9781593859381</v>
      </c>
      <c r="E1267" t="s">
        <v>30112</v>
      </c>
      <c r="F1267" t="s">
        <v>7420</v>
      </c>
      <c r="G1267" t="s">
        <v>22179</v>
      </c>
      <c r="H1267" t="s">
        <v>26004</v>
      </c>
      <c r="I1267" s="26">
        <v>38296</v>
      </c>
      <c r="J1267">
        <v>2005</v>
      </c>
      <c r="K1267" t="s">
        <v>30113</v>
      </c>
      <c r="L1267">
        <v>481</v>
      </c>
      <c r="M1267" t="s">
        <v>30746</v>
      </c>
      <c r="N1267">
        <v>2</v>
      </c>
      <c r="Q1267" t="s">
        <v>30747</v>
      </c>
      <c r="R1267">
        <v>616.85810000000004</v>
      </c>
      <c r="S1267" t="s">
        <v>9009</v>
      </c>
      <c r="T1267" t="s">
        <v>30</v>
      </c>
      <c r="U1267" t="s">
        <v>26019</v>
      </c>
      <c r="W1267" t="s">
        <v>28347</v>
      </c>
    </row>
    <row r="1268" spans="1:23" x14ac:dyDescent="0.35">
      <c r="A1268">
        <v>330580</v>
      </c>
      <c r="B1268" t="s">
        <v>30748</v>
      </c>
      <c r="C1268" t="str">
        <f>"9781593850661"</f>
        <v>9781593850661</v>
      </c>
      <c r="D1268" t="str">
        <f>"9781593859398"</f>
        <v>9781593859398</v>
      </c>
      <c r="E1268" t="s">
        <v>30112</v>
      </c>
      <c r="F1268" t="s">
        <v>7420</v>
      </c>
      <c r="G1268" t="s">
        <v>22179</v>
      </c>
      <c r="H1268" t="s">
        <v>26004</v>
      </c>
      <c r="I1268" s="26">
        <v>38230</v>
      </c>
      <c r="J1268">
        <v>2004</v>
      </c>
      <c r="K1268" t="s">
        <v>30113</v>
      </c>
      <c r="L1268">
        <v>336</v>
      </c>
      <c r="M1268" t="s">
        <v>30749</v>
      </c>
      <c r="N1268">
        <v>1</v>
      </c>
      <c r="Q1268" t="s">
        <v>30750</v>
      </c>
      <c r="R1268" t="s">
        <v>30751</v>
      </c>
      <c r="S1268" t="s">
        <v>8482</v>
      </c>
      <c r="T1268" t="s">
        <v>30</v>
      </c>
      <c r="U1268" t="s">
        <v>26116</v>
      </c>
      <c r="W1268" t="s">
        <v>28347</v>
      </c>
    </row>
    <row r="1269" spans="1:23" x14ac:dyDescent="0.35">
      <c r="A1269">
        <v>330583</v>
      </c>
      <c r="B1269" t="s">
        <v>30752</v>
      </c>
      <c r="C1269" t="str">
        <f>"9781593851736"</f>
        <v>9781593851736</v>
      </c>
      <c r="D1269" t="str">
        <f>"9781593856847"</f>
        <v>9781593856847</v>
      </c>
      <c r="E1269" t="s">
        <v>30112</v>
      </c>
      <c r="F1269" t="s">
        <v>7420</v>
      </c>
      <c r="G1269" t="s">
        <v>22179</v>
      </c>
      <c r="H1269" t="s">
        <v>26004</v>
      </c>
      <c r="I1269" s="26">
        <v>38492</v>
      </c>
      <c r="J1269">
        <v>2005</v>
      </c>
      <c r="K1269" t="s">
        <v>30113</v>
      </c>
      <c r="L1269">
        <v>352</v>
      </c>
      <c r="M1269" t="s">
        <v>30753</v>
      </c>
      <c r="N1269">
        <v>1</v>
      </c>
      <c r="Q1269" t="s">
        <v>26963</v>
      </c>
      <c r="R1269" t="s">
        <v>27184</v>
      </c>
      <c r="S1269" t="s">
        <v>30754</v>
      </c>
      <c r="T1269" t="s">
        <v>30</v>
      </c>
      <c r="U1269" t="s">
        <v>26019</v>
      </c>
      <c r="W1269" t="s">
        <v>28347</v>
      </c>
    </row>
    <row r="1270" spans="1:23" x14ac:dyDescent="0.35">
      <c r="A1270">
        <v>330587</v>
      </c>
      <c r="B1270" t="s">
        <v>9627</v>
      </c>
      <c r="C1270" t="str">
        <f>"9781572309296"</f>
        <v>9781572309296</v>
      </c>
      <c r="D1270" t="str">
        <f>"9781593859459"</f>
        <v>9781593859459</v>
      </c>
      <c r="E1270" t="s">
        <v>30112</v>
      </c>
      <c r="F1270" t="s">
        <v>7420</v>
      </c>
      <c r="G1270" t="s">
        <v>22179</v>
      </c>
      <c r="H1270" t="s">
        <v>26004</v>
      </c>
      <c r="I1270" s="26">
        <v>37921</v>
      </c>
      <c r="J1270">
        <v>2004</v>
      </c>
      <c r="K1270" t="s">
        <v>30113</v>
      </c>
      <c r="L1270">
        <v>722</v>
      </c>
      <c r="M1270" t="s">
        <v>30755</v>
      </c>
      <c r="N1270">
        <v>1</v>
      </c>
      <c r="O1270" t="s">
        <v>30756</v>
      </c>
      <c r="Q1270" t="s">
        <v>30757</v>
      </c>
      <c r="R1270" t="s">
        <v>27277</v>
      </c>
      <c r="S1270" t="s">
        <v>30758</v>
      </c>
      <c r="T1270" t="s">
        <v>30</v>
      </c>
      <c r="U1270" t="s">
        <v>26228</v>
      </c>
      <c r="W1270" t="s">
        <v>28347</v>
      </c>
    </row>
    <row r="1271" spans="1:23" x14ac:dyDescent="0.35">
      <c r="A1271">
        <v>330591</v>
      </c>
      <c r="B1271" t="s">
        <v>9838</v>
      </c>
      <c r="C1271" t="str">
        <f>"9781572307155"</f>
        <v>9781572307155</v>
      </c>
      <c r="D1271" t="str">
        <f>"9781593859480"</f>
        <v>9781593859480</v>
      </c>
      <c r="E1271" t="s">
        <v>30112</v>
      </c>
      <c r="F1271" t="s">
        <v>7420</v>
      </c>
      <c r="G1271" t="s">
        <v>22179</v>
      </c>
      <c r="H1271" t="s">
        <v>26004</v>
      </c>
      <c r="I1271" s="26">
        <v>37265</v>
      </c>
      <c r="J1271">
        <v>2002</v>
      </c>
      <c r="K1271" t="s">
        <v>30113</v>
      </c>
      <c r="L1271">
        <v>292</v>
      </c>
      <c r="M1271" t="s">
        <v>30759</v>
      </c>
      <c r="N1271">
        <v>2</v>
      </c>
      <c r="O1271" t="s">
        <v>30202</v>
      </c>
      <c r="Q1271" t="s">
        <v>30760</v>
      </c>
      <c r="R1271">
        <v>152</v>
      </c>
      <c r="S1271" t="s">
        <v>30761</v>
      </c>
      <c r="T1271" t="s">
        <v>30</v>
      </c>
      <c r="U1271" t="s">
        <v>46</v>
      </c>
      <c r="W1271" t="s">
        <v>28347</v>
      </c>
    </row>
    <row r="1272" spans="1:23" x14ac:dyDescent="0.35">
      <c r="A1272">
        <v>330593</v>
      </c>
      <c r="B1272" t="s">
        <v>30762</v>
      </c>
      <c r="C1272" t="str">
        <f>"9781572307490"</f>
        <v>9781572307490</v>
      </c>
      <c r="D1272" t="str">
        <f>"9781593856885"</f>
        <v>9781593856885</v>
      </c>
      <c r="E1272" t="s">
        <v>30112</v>
      </c>
      <c r="F1272" t="s">
        <v>7420</v>
      </c>
      <c r="G1272" t="s">
        <v>22179</v>
      </c>
      <c r="H1272" t="s">
        <v>26004</v>
      </c>
      <c r="I1272" s="26">
        <v>38428</v>
      </c>
      <c r="J1272">
        <v>2005</v>
      </c>
      <c r="K1272" t="s">
        <v>30113</v>
      </c>
      <c r="L1272">
        <v>288</v>
      </c>
      <c r="M1272" t="s">
        <v>30763</v>
      </c>
      <c r="N1272">
        <v>1</v>
      </c>
      <c r="Q1272" t="s">
        <v>30764</v>
      </c>
      <c r="R1272" t="s">
        <v>30765</v>
      </c>
      <c r="S1272" t="s">
        <v>30766</v>
      </c>
      <c r="T1272" t="s">
        <v>30</v>
      </c>
      <c r="U1272" t="s">
        <v>26019</v>
      </c>
      <c r="W1272" t="s">
        <v>28347</v>
      </c>
    </row>
    <row r="1273" spans="1:23" x14ac:dyDescent="0.35">
      <c r="A1273">
        <v>330596</v>
      </c>
      <c r="B1273" t="s">
        <v>30767</v>
      </c>
      <c r="C1273" t="str">
        <f>"9781572306998"</f>
        <v>9781572306998</v>
      </c>
      <c r="D1273" t="str">
        <f>"9781593859510"</f>
        <v>9781593859510</v>
      </c>
      <c r="E1273" t="s">
        <v>30112</v>
      </c>
      <c r="F1273" t="s">
        <v>7420</v>
      </c>
      <c r="G1273" t="s">
        <v>22179</v>
      </c>
      <c r="H1273" t="s">
        <v>26004</v>
      </c>
      <c r="I1273" s="26">
        <v>37358</v>
      </c>
      <c r="J1273">
        <v>2002</v>
      </c>
      <c r="K1273" t="s">
        <v>30113</v>
      </c>
      <c r="L1273">
        <v>657</v>
      </c>
      <c r="M1273" t="s">
        <v>30768</v>
      </c>
      <c r="N1273">
        <v>1</v>
      </c>
      <c r="Q1273" t="s">
        <v>30769</v>
      </c>
      <c r="R1273" t="s">
        <v>30770</v>
      </c>
      <c r="S1273" t="s">
        <v>30771</v>
      </c>
      <c r="T1273" t="s">
        <v>30</v>
      </c>
      <c r="U1273" t="s">
        <v>26116</v>
      </c>
      <c r="W1273" t="s">
        <v>28347</v>
      </c>
    </row>
    <row r="1274" spans="1:23" x14ac:dyDescent="0.35">
      <c r="A1274">
        <v>332720</v>
      </c>
      <c r="B1274" t="s">
        <v>8928</v>
      </c>
      <c r="C1274" t="str">
        <f>"9780335220533"</f>
        <v>9780335220533</v>
      </c>
      <c r="D1274" t="str">
        <f>"9780335235179"</f>
        <v>9780335235179</v>
      </c>
      <c r="E1274" t="s">
        <v>29061</v>
      </c>
      <c r="F1274" t="s">
        <v>7477</v>
      </c>
      <c r="G1274" t="s">
        <v>29068</v>
      </c>
      <c r="H1274" t="s">
        <v>26011</v>
      </c>
      <c r="I1274" s="26">
        <v>39387</v>
      </c>
      <c r="J1274">
        <v>2007</v>
      </c>
      <c r="K1274" t="s">
        <v>29063</v>
      </c>
      <c r="L1274">
        <v>230</v>
      </c>
      <c r="M1274" t="s">
        <v>30772</v>
      </c>
      <c r="N1274">
        <v>1</v>
      </c>
      <c r="O1274" t="s">
        <v>29982</v>
      </c>
      <c r="Q1274" t="s">
        <v>30773</v>
      </c>
      <c r="R1274">
        <v>302.2</v>
      </c>
      <c r="S1274" t="s">
        <v>30774</v>
      </c>
      <c r="T1274" t="s">
        <v>30</v>
      </c>
      <c r="U1274" t="s">
        <v>26228</v>
      </c>
      <c r="W1274" t="s">
        <v>26009</v>
      </c>
    </row>
    <row r="1275" spans="1:23" x14ac:dyDescent="0.35">
      <c r="A1275">
        <v>332726</v>
      </c>
      <c r="B1275" t="s">
        <v>30775</v>
      </c>
      <c r="C1275" t="str">
        <f>"9780335220977"</f>
        <v>9780335220977</v>
      </c>
      <c r="D1275" t="str">
        <f>"9780335235230"</f>
        <v>9780335235230</v>
      </c>
      <c r="E1275" t="s">
        <v>29061</v>
      </c>
      <c r="F1275" t="s">
        <v>7477</v>
      </c>
      <c r="G1275" t="s">
        <v>29068</v>
      </c>
      <c r="H1275" t="s">
        <v>26011</v>
      </c>
      <c r="I1275" s="26">
        <v>39417</v>
      </c>
      <c r="J1275">
        <v>2007</v>
      </c>
      <c r="K1275" t="s">
        <v>29063</v>
      </c>
      <c r="L1275">
        <v>255</v>
      </c>
      <c r="M1275" t="s">
        <v>30776</v>
      </c>
      <c r="N1275">
        <v>1</v>
      </c>
      <c r="O1275" t="s">
        <v>30777</v>
      </c>
      <c r="Q1275" t="s">
        <v>30778</v>
      </c>
      <c r="S1275" t="s">
        <v>30779</v>
      </c>
      <c r="T1275" t="s">
        <v>30</v>
      </c>
      <c r="U1275" t="s">
        <v>26044</v>
      </c>
      <c r="W1275" t="s">
        <v>26009</v>
      </c>
    </row>
    <row r="1276" spans="1:23" x14ac:dyDescent="0.35">
      <c r="A1276">
        <v>332729</v>
      </c>
      <c r="B1276" t="s">
        <v>7498</v>
      </c>
      <c r="C1276" t="str">
        <f>"9780335222490"</f>
        <v>9780335222490</v>
      </c>
      <c r="D1276" t="str">
        <f>"9780335235261"</f>
        <v>9780335235261</v>
      </c>
      <c r="E1276" t="s">
        <v>29061</v>
      </c>
      <c r="F1276" t="s">
        <v>7477</v>
      </c>
      <c r="G1276" t="s">
        <v>29068</v>
      </c>
      <c r="H1276" t="s">
        <v>26011</v>
      </c>
      <c r="I1276" s="26">
        <v>39387</v>
      </c>
      <c r="J1276">
        <v>2007</v>
      </c>
      <c r="K1276" t="s">
        <v>29063</v>
      </c>
      <c r="L1276">
        <v>161</v>
      </c>
      <c r="M1276" t="s">
        <v>30780</v>
      </c>
      <c r="N1276">
        <v>1</v>
      </c>
      <c r="O1276" t="s">
        <v>29141</v>
      </c>
      <c r="Q1276" t="s">
        <v>30781</v>
      </c>
      <c r="R1276" t="s">
        <v>30782</v>
      </c>
      <c r="S1276" t="s">
        <v>30783</v>
      </c>
      <c r="T1276" t="s">
        <v>30</v>
      </c>
      <c r="U1276" t="s">
        <v>152</v>
      </c>
      <c r="W1276" t="s">
        <v>26009</v>
      </c>
    </row>
    <row r="1277" spans="1:23" x14ac:dyDescent="0.35">
      <c r="A1277">
        <v>332732</v>
      </c>
      <c r="B1277" t="s">
        <v>9369</v>
      </c>
      <c r="C1277" t="str">
        <f>"9780335221950"</f>
        <v>9780335221950</v>
      </c>
      <c r="D1277" t="str">
        <f>"9780335235292"</f>
        <v>9780335235292</v>
      </c>
      <c r="E1277" t="s">
        <v>29061</v>
      </c>
      <c r="F1277" t="s">
        <v>7477</v>
      </c>
      <c r="G1277" t="s">
        <v>29068</v>
      </c>
      <c r="H1277" t="s">
        <v>26011</v>
      </c>
      <c r="I1277" s="26">
        <v>39417</v>
      </c>
      <c r="J1277">
        <v>2007</v>
      </c>
      <c r="K1277" t="s">
        <v>29063</v>
      </c>
      <c r="L1277">
        <v>332</v>
      </c>
      <c r="M1277" t="s">
        <v>30784</v>
      </c>
      <c r="N1277">
        <v>1</v>
      </c>
      <c r="O1277" t="s">
        <v>29065</v>
      </c>
      <c r="Q1277" t="s">
        <v>30785</v>
      </c>
      <c r="R1277">
        <v>362.94099999999997</v>
      </c>
      <c r="S1277" t="s">
        <v>30786</v>
      </c>
      <c r="T1277" t="s">
        <v>30</v>
      </c>
      <c r="U1277" t="s">
        <v>26044</v>
      </c>
      <c r="W1277" t="s">
        <v>26009</v>
      </c>
    </row>
    <row r="1278" spans="1:23" x14ac:dyDescent="0.35">
      <c r="A1278">
        <v>332743</v>
      </c>
      <c r="B1278" t="s">
        <v>30787</v>
      </c>
      <c r="C1278" t="str">
        <f>"9780415949682"</f>
        <v>9780415949682</v>
      </c>
      <c r="D1278" t="str">
        <f>"9781135412562"</f>
        <v>9781135412562</v>
      </c>
      <c r="E1278" t="s">
        <v>26010</v>
      </c>
      <c r="F1278" t="s">
        <v>35</v>
      </c>
      <c r="G1278" t="s">
        <v>22174</v>
      </c>
      <c r="H1278" t="s">
        <v>26011</v>
      </c>
      <c r="I1278" s="26">
        <v>38406</v>
      </c>
      <c r="J1278">
        <v>2005</v>
      </c>
      <c r="K1278" t="s">
        <v>26012</v>
      </c>
      <c r="L1278">
        <v>257</v>
      </c>
      <c r="M1278" t="s">
        <v>30788</v>
      </c>
      <c r="N1278">
        <v>1</v>
      </c>
      <c r="Q1278" t="s">
        <v>30789</v>
      </c>
      <c r="R1278">
        <v>152.4</v>
      </c>
      <c r="S1278" t="s">
        <v>9787</v>
      </c>
      <c r="T1278" t="s">
        <v>30</v>
      </c>
      <c r="U1278" t="s">
        <v>46</v>
      </c>
      <c r="W1278" t="s">
        <v>26009</v>
      </c>
    </row>
    <row r="1279" spans="1:23" x14ac:dyDescent="0.35">
      <c r="A1279">
        <v>332745</v>
      </c>
      <c r="B1279" t="s">
        <v>7470</v>
      </c>
      <c r="C1279" t="str">
        <f>"9780415951517"</f>
        <v>9780415951517</v>
      </c>
      <c r="D1279" t="str">
        <f>"9781136773686"</f>
        <v>9781136773686</v>
      </c>
      <c r="E1279" t="s">
        <v>26010</v>
      </c>
      <c r="F1279" t="s">
        <v>35</v>
      </c>
      <c r="G1279" t="s">
        <v>26201</v>
      </c>
      <c r="H1279" t="s">
        <v>26004</v>
      </c>
      <c r="I1279" s="26">
        <v>41507</v>
      </c>
      <c r="J1279">
        <v>2005</v>
      </c>
      <c r="K1279" t="s">
        <v>26012</v>
      </c>
      <c r="L1279">
        <v>225</v>
      </c>
      <c r="M1279" t="s">
        <v>30790</v>
      </c>
      <c r="N1279">
        <v>1</v>
      </c>
      <c r="O1279" t="s">
        <v>26892</v>
      </c>
      <c r="Q1279" t="s">
        <v>30791</v>
      </c>
      <c r="R1279" t="s">
        <v>30792</v>
      </c>
      <c r="S1279" t="s">
        <v>30793</v>
      </c>
      <c r="T1279" t="s">
        <v>30</v>
      </c>
      <c r="U1279" t="s">
        <v>26019</v>
      </c>
      <c r="W1279" t="s">
        <v>26009</v>
      </c>
    </row>
    <row r="1280" spans="1:23" x14ac:dyDescent="0.35">
      <c r="A1280">
        <v>332841</v>
      </c>
      <c r="B1280" t="s">
        <v>30794</v>
      </c>
      <c r="C1280" t="str">
        <f>"9780881634549"</f>
        <v>9780881634549</v>
      </c>
      <c r="D1280" t="str">
        <f>"9780203927359"</f>
        <v>9780203927359</v>
      </c>
      <c r="E1280" t="s">
        <v>26010</v>
      </c>
      <c r="F1280" t="s">
        <v>35</v>
      </c>
      <c r="G1280" t="s">
        <v>22251</v>
      </c>
      <c r="H1280" t="s">
        <v>26004</v>
      </c>
      <c r="I1280" s="26">
        <v>39470</v>
      </c>
      <c r="J1280">
        <v>2008</v>
      </c>
      <c r="K1280" t="s">
        <v>26012</v>
      </c>
      <c r="L1280">
        <v>231</v>
      </c>
      <c r="M1280" t="s">
        <v>30795</v>
      </c>
      <c r="N1280">
        <v>1</v>
      </c>
      <c r="Q1280" t="s">
        <v>30796</v>
      </c>
      <c r="R1280" t="s">
        <v>26420</v>
      </c>
      <c r="S1280" t="s">
        <v>9518</v>
      </c>
      <c r="T1280" t="s">
        <v>30</v>
      </c>
      <c r="U1280" t="s">
        <v>26520</v>
      </c>
      <c r="W1280" t="s">
        <v>26009</v>
      </c>
    </row>
    <row r="1281" spans="1:23" x14ac:dyDescent="0.35">
      <c r="A1281">
        <v>332842</v>
      </c>
      <c r="B1281" t="s">
        <v>9421</v>
      </c>
      <c r="C1281" t="str">
        <f>"9780415956185"</f>
        <v>9780415956185</v>
      </c>
      <c r="D1281" t="str">
        <f>"9780203933220"</f>
        <v>9780203933220</v>
      </c>
      <c r="E1281" t="s">
        <v>26010</v>
      </c>
      <c r="F1281" t="s">
        <v>35</v>
      </c>
      <c r="G1281" t="s">
        <v>22174</v>
      </c>
      <c r="H1281" t="s">
        <v>26011</v>
      </c>
      <c r="I1281" s="26">
        <v>39454</v>
      </c>
      <c r="J1281">
        <v>2008</v>
      </c>
      <c r="K1281" t="s">
        <v>26012</v>
      </c>
      <c r="L1281">
        <v>295</v>
      </c>
      <c r="M1281" t="s">
        <v>30797</v>
      </c>
      <c r="N1281">
        <v>1</v>
      </c>
      <c r="Q1281" t="s">
        <v>30798</v>
      </c>
      <c r="R1281">
        <v>615.5</v>
      </c>
      <c r="S1281" t="s">
        <v>9422</v>
      </c>
      <c r="T1281" t="s">
        <v>30</v>
      </c>
      <c r="U1281" t="s">
        <v>30799</v>
      </c>
      <c r="W1281" t="s">
        <v>26009</v>
      </c>
    </row>
    <row r="1282" spans="1:23" x14ac:dyDescent="0.35">
      <c r="A1282">
        <v>332846</v>
      </c>
      <c r="B1282" t="s">
        <v>30800</v>
      </c>
      <c r="C1282" t="str">
        <f>"9780415949347"</f>
        <v>9780415949347</v>
      </c>
      <c r="D1282" t="str">
        <f>"9781136748769"</f>
        <v>9781136748769</v>
      </c>
      <c r="E1282" t="s">
        <v>26010</v>
      </c>
      <c r="F1282" t="s">
        <v>35</v>
      </c>
      <c r="G1282" t="s">
        <v>26201</v>
      </c>
      <c r="H1282" t="s">
        <v>26011</v>
      </c>
      <c r="I1282" s="26">
        <v>38141</v>
      </c>
      <c r="J1282">
        <v>2004</v>
      </c>
      <c r="K1282" t="s">
        <v>26012</v>
      </c>
      <c r="L1282">
        <v>320</v>
      </c>
      <c r="M1282" t="s">
        <v>30801</v>
      </c>
      <c r="N1282">
        <v>1</v>
      </c>
      <c r="O1282" t="s">
        <v>30802</v>
      </c>
      <c r="Q1282" t="s">
        <v>30803</v>
      </c>
      <c r="R1282" t="s">
        <v>30804</v>
      </c>
      <c r="S1282" t="s">
        <v>30805</v>
      </c>
      <c r="T1282" t="s">
        <v>30</v>
      </c>
      <c r="U1282" t="s">
        <v>26019</v>
      </c>
      <c r="W1282" t="s">
        <v>26009</v>
      </c>
    </row>
    <row r="1283" spans="1:23" x14ac:dyDescent="0.35">
      <c r="A1283">
        <v>334044</v>
      </c>
      <c r="B1283" t="s">
        <v>30806</v>
      </c>
      <c r="C1283" t="str">
        <f>"9780415957656"</f>
        <v>9780415957656</v>
      </c>
      <c r="D1283" t="str">
        <f>"9780203927533"</f>
        <v>9780203927533</v>
      </c>
      <c r="E1283" t="s">
        <v>26010</v>
      </c>
      <c r="F1283" t="s">
        <v>35</v>
      </c>
      <c r="G1283" t="s">
        <v>22174</v>
      </c>
      <c r="H1283" t="s">
        <v>26011</v>
      </c>
      <c r="I1283" s="26">
        <v>39552</v>
      </c>
      <c r="J1283">
        <v>2008</v>
      </c>
      <c r="K1283" t="s">
        <v>26012</v>
      </c>
      <c r="L1283">
        <v>200</v>
      </c>
      <c r="M1283" t="s">
        <v>30807</v>
      </c>
      <c r="N1283">
        <v>1</v>
      </c>
      <c r="Q1283" t="s">
        <v>30808</v>
      </c>
      <c r="R1283" t="s">
        <v>30809</v>
      </c>
      <c r="S1283" t="s">
        <v>7819</v>
      </c>
      <c r="T1283" t="s">
        <v>30</v>
      </c>
      <c r="U1283" t="s">
        <v>46</v>
      </c>
      <c r="W1283" t="s">
        <v>26009</v>
      </c>
    </row>
    <row r="1284" spans="1:23" x14ac:dyDescent="0.35">
      <c r="A1284">
        <v>334088</v>
      </c>
      <c r="B1284" t="s">
        <v>30810</v>
      </c>
      <c r="C1284" t="str">
        <f>"9781843108450"</f>
        <v>9781843108450</v>
      </c>
      <c r="D1284" t="str">
        <f>"9781846425899"</f>
        <v>9781846425899</v>
      </c>
      <c r="E1284" t="s">
        <v>146</v>
      </c>
      <c r="F1284" t="s">
        <v>146</v>
      </c>
      <c r="G1284" t="s">
        <v>22174</v>
      </c>
      <c r="H1284" t="s">
        <v>26011</v>
      </c>
      <c r="I1284" s="26">
        <v>39066</v>
      </c>
      <c r="J1284">
        <v>2006</v>
      </c>
      <c r="K1284" t="s">
        <v>146</v>
      </c>
      <c r="L1284">
        <v>193</v>
      </c>
      <c r="M1284" t="s">
        <v>30811</v>
      </c>
      <c r="N1284">
        <v>1</v>
      </c>
      <c r="Q1284" t="s">
        <v>30812</v>
      </c>
      <c r="R1284" t="s">
        <v>29382</v>
      </c>
      <c r="S1284" t="s">
        <v>30813</v>
      </c>
      <c r="T1284" t="s">
        <v>30</v>
      </c>
      <c r="U1284" t="s">
        <v>26019</v>
      </c>
      <c r="W1284" t="s">
        <v>28347</v>
      </c>
    </row>
    <row r="1285" spans="1:23" x14ac:dyDescent="0.35">
      <c r="A1285">
        <v>334092</v>
      </c>
      <c r="B1285" t="s">
        <v>30814</v>
      </c>
      <c r="C1285" t="str">
        <f>"9781843103691"</f>
        <v>9781843103691</v>
      </c>
      <c r="D1285" t="str">
        <f>"9781846426049"</f>
        <v>9781846426049</v>
      </c>
      <c r="E1285" t="s">
        <v>146</v>
      </c>
      <c r="F1285" t="s">
        <v>146</v>
      </c>
      <c r="G1285" t="s">
        <v>22174</v>
      </c>
      <c r="H1285" t="s">
        <v>26011</v>
      </c>
      <c r="I1285" s="26">
        <v>39156</v>
      </c>
      <c r="J1285">
        <v>2007</v>
      </c>
      <c r="K1285" t="s">
        <v>146</v>
      </c>
      <c r="L1285">
        <v>210</v>
      </c>
      <c r="M1285" t="s">
        <v>30815</v>
      </c>
      <c r="N1285">
        <v>1</v>
      </c>
      <c r="Q1285" t="s">
        <v>30816</v>
      </c>
      <c r="R1285" t="s">
        <v>26700</v>
      </c>
      <c r="S1285" t="s">
        <v>30817</v>
      </c>
      <c r="T1285" t="s">
        <v>30</v>
      </c>
      <c r="U1285" t="s">
        <v>30818</v>
      </c>
      <c r="W1285" t="s">
        <v>28347</v>
      </c>
    </row>
    <row r="1286" spans="1:23" x14ac:dyDescent="0.35">
      <c r="A1286">
        <v>334094</v>
      </c>
      <c r="B1286" t="s">
        <v>30819</v>
      </c>
      <c r="C1286" t="str">
        <f>"9781843108467"</f>
        <v>9781843108467</v>
      </c>
      <c r="D1286" t="str">
        <f>"9781846426353"</f>
        <v>9781846426353</v>
      </c>
      <c r="E1286" t="s">
        <v>146</v>
      </c>
      <c r="F1286" t="s">
        <v>146</v>
      </c>
      <c r="G1286" t="s">
        <v>22174</v>
      </c>
      <c r="H1286" t="s">
        <v>26011</v>
      </c>
      <c r="I1286" s="26">
        <v>39248</v>
      </c>
      <c r="J1286">
        <v>2007</v>
      </c>
      <c r="K1286" t="s">
        <v>146</v>
      </c>
      <c r="L1286">
        <v>177</v>
      </c>
      <c r="M1286" t="s">
        <v>30820</v>
      </c>
      <c r="N1286">
        <v>1</v>
      </c>
      <c r="R1286" t="s">
        <v>30821</v>
      </c>
      <c r="S1286" t="s">
        <v>30822</v>
      </c>
      <c r="T1286" t="s">
        <v>30</v>
      </c>
      <c r="U1286" t="s">
        <v>26094</v>
      </c>
      <c r="W1286" t="s">
        <v>28347</v>
      </c>
    </row>
    <row r="1287" spans="1:23" x14ac:dyDescent="0.35">
      <c r="A1287">
        <v>334096</v>
      </c>
      <c r="B1287" t="s">
        <v>30823</v>
      </c>
      <c r="C1287" t="str">
        <f>"9781843108597"</f>
        <v>9781843108597</v>
      </c>
      <c r="D1287" t="str">
        <f>"9781846426582"</f>
        <v>9781846426582</v>
      </c>
      <c r="E1287" t="s">
        <v>146</v>
      </c>
      <c r="F1287" t="s">
        <v>146</v>
      </c>
      <c r="G1287" t="s">
        <v>22174</v>
      </c>
      <c r="H1287" t="s">
        <v>26011</v>
      </c>
      <c r="I1287" s="26">
        <v>39248</v>
      </c>
      <c r="J1287">
        <v>2007</v>
      </c>
      <c r="K1287" t="s">
        <v>146</v>
      </c>
      <c r="L1287">
        <v>226</v>
      </c>
      <c r="M1287" t="s">
        <v>30824</v>
      </c>
      <c r="N1287">
        <v>2</v>
      </c>
      <c r="S1287" t="s">
        <v>30825</v>
      </c>
      <c r="T1287" t="s">
        <v>30</v>
      </c>
      <c r="U1287" t="s">
        <v>30826</v>
      </c>
      <c r="W1287" t="s">
        <v>28347</v>
      </c>
    </row>
    <row r="1288" spans="1:23" x14ac:dyDescent="0.35">
      <c r="A1288">
        <v>334104</v>
      </c>
      <c r="B1288" t="s">
        <v>30827</v>
      </c>
      <c r="C1288" t="str">
        <f>"9781843105084"</f>
        <v>9781843105084</v>
      </c>
      <c r="D1288" t="str">
        <f>"9781846426605"</f>
        <v>9781846426605</v>
      </c>
      <c r="E1288" t="s">
        <v>146</v>
      </c>
      <c r="F1288" t="s">
        <v>146</v>
      </c>
      <c r="G1288" t="s">
        <v>22174</v>
      </c>
      <c r="H1288" t="s">
        <v>26011</v>
      </c>
      <c r="I1288" s="26">
        <v>39248</v>
      </c>
      <c r="J1288">
        <v>2007</v>
      </c>
      <c r="K1288" t="s">
        <v>146</v>
      </c>
      <c r="L1288">
        <v>147</v>
      </c>
      <c r="M1288" t="s">
        <v>30828</v>
      </c>
      <c r="N1288">
        <v>1</v>
      </c>
      <c r="O1288" t="s">
        <v>29177</v>
      </c>
      <c r="R1288">
        <v>618.9289</v>
      </c>
      <c r="S1288" t="s">
        <v>30829</v>
      </c>
      <c r="T1288" t="s">
        <v>30</v>
      </c>
      <c r="U1288" t="s">
        <v>26040</v>
      </c>
      <c r="W1288" t="s">
        <v>28347</v>
      </c>
    </row>
    <row r="1289" spans="1:23" x14ac:dyDescent="0.35">
      <c r="A1289">
        <v>334107</v>
      </c>
      <c r="B1289" t="s">
        <v>30830</v>
      </c>
      <c r="C1289" t="str">
        <f>"9781843104940"</f>
        <v>9781843104940</v>
      </c>
      <c r="D1289" t="str">
        <f>"9781846426575"</f>
        <v>9781846426575</v>
      </c>
      <c r="E1289" t="s">
        <v>146</v>
      </c>
      <c r="F1289" t="s">
        <v>146</v>
      </c>
      <c r="G1289" t="s">
        <v>22174</v>
      </c>
      <c r="H1289" t="s">
        <v>26011</v>
      </c>
      <c r="I1289" s="26">
        <v>34790</v>
      </c>
      <c r="J1289">
        <v>2007</v>
      </c>
      <c r="K1289" t="s">
        <v>146</v>
      </c>
      <c r="L1289">
        <v>289</v>
      </c>
      <c r="M1289" t="s">
        <v>29984</v>
      </c>
      <c r="N1289">
        <v>2</v>
      </c>
      <c r="Q1289" t="s">
        <v>30831</v>
      </c>
      <c r="R1289">
        <v>616.89</v>
      </c>
      <c r="S1289" t="s">
        <v>30832</v>
      </c>
      <c r="T1289" t="s">
        <v>30</v>
      </c>
      <c r="U1289" t="s">
        <v>26116</v>
      </c>
      <c r="W1289" t="s">
        <v>28347</v>
      </c>
    </row>
    <row r="1290" spans="1:23" x14ac:dyDescent="0.35">
      <c r="A1290">
        <v>334109</v>
      </c>
      <c r="B1290" t="s">
        <v>30833</v>
      </c>
      <c r="C1290" t="str">
        <f>"9781843107897"</f>
        <v>9781843107897</v>
      </c>
      <c r="D1290" t="str">
        <f>"9781846426247"</f>
        <v>9781846426247</v>
      </c>
      <c r="E1290" t="s">
        <v>146</v>
      </c>
      <c r="F1290" t="s">
        <v>146</v>
      </c>
      <c r="G1290" t="s">
        <v>22174</v>
      </c>
      <c r="H1290" t="s">
        <v>26011</v>
      </c>
      <c r="I1290" s="26">
        <v>39248</v>
      </c>
      <c r="J1290">
        <v>2007</v>
      </c>
      <c r="K1290" t="s">
        <v>146</v>
      </c>
      <c r="L1290">
        <v>179</v>
      </c>
      <c r="M1290" t="s">
        <v>30834</v>
      </c>
      <c r="N1290">
        <v>1</v>
      </c>
      <c r="S1290" t="s">
        <v>30835</v>
      </c>
      <c r="T1290" t="s">
        <v>30</v>
      </c>
      <c r="U1290" t="s">
        <v>46</v>
      </c>
      <c r="W1290" t="s">
        <v>28347</v>
      </c>
    </row>
    <row r="1291" spans="1:23" x14ac:dyDescent="0.35">
      <c r="A1291">
        <v>334112</v>
      </c>
      <c r="B1291" t="s">
        <v>30836</v>
      </c>
      <c r="C1291" t="str">
        <f>"9781843105008"</f>
        <v>9781843105008</v>
      </c>
      <c r="D1291" t="str">
        <f>"9781846426186"</f>
        <v>9781846426186</v>
      </c>
      <c r="E1291" t="s">
        <v>146</v>
      </c>
      <c r="F1291" t="s">
        <v>146</v>
      </c>
      <c r="G1291" t="s">
        <v>22174</v>
      </c>
      <c r="H1291" t="s">
        <v>26011</v>
      </c>
      <c r="I1291" s="26">
        <v>39156</v>
      </c>
      <c r="J1291">
        <v>2007</v>
      </c>
      <c r="K1291" t="s">
        <v>146</v>
      </c>
      <c r="L1291">
        <v>192</v>
      </c>
      <c r="M1291" t="s">
        <v>30837</v>
      </c>
      <c r="N1291">
        <v>1</v>
      </c>
      <c r="Q1291" t="s">
        <v>30838</v>
      </c>
      <c r="R1291">
        <v>616.85882059999994</v>
      </c>
      <c r="S1291" t="s">
        <v>30839</v>
      </c>
      <c r="T1291" t="s">
        <v>30</v>
      </c>
      <c r="U1291" t="s">
        <v>26019</v>
      </c>
      <c r="W1291" t="s">
        <v>28347</v>
      </c>
    </row>
    <row r="1292" spans="1:23" x14ac:dyDescent="0.35">
      <c r="A1292">
        <v>334113</v>
      </c>
      <c r="B1292" t="s">
        <v>30840</v>
      </c>
      <c r="C1292" t="str">
        <f>"9781843104926"</f>
        <v>9781843104926</v>
      </c>
      <c r="D1292" t="str">
        <f>"9781846426612"</f>
        <v>9781846426612</v>
      </c>
      <c r="E1292" t="s">
        <v>146</v>
      </c>
      <c r="F1292" t="s">
        <v>146</v>
      </c>
      <c r="G1292" t="s">
        <v>22174</v>
      </c>
      <c r="H1292" t="s">
        <v>26011</v>
      </c>
      <c r="I1292" s="26">
        <v>39248</v>
      </c>
      <c r="J1292">
        <v>2007</v>
      </c>
      <c r="K1292" t="s">
        <v>146</v>
      </c>
      <c r="L1292">
        <v>138</v>
      </c>
      <c r="M1292" t="s">
        <v>30841</v>
      </c>
      <c r="N1292">
        <v>1</v>
      </c>
      <c r="R1292">
        <v>616.85209999999995</v>
      </c>
      <c r="S1292" t="s">
        <v>30842</v>
      </c>
      <c r="T1292" t="s">
        <v>30</v>
      </c>
      <c r="U1292" t="s">
        <v>26040</v>
      </c>
      <c r="W1292" t="s">
        <v>28347</v>
      </c>
    </row>
    <row r="1293" spans="1:23" x14ac:dyDescent="0.35">
      <c r="A1293">
        <v>334115</v>
      </c>
      <c r="B1293" t="s">
        <v>30843</v>
      </c>
      <c r="C1293" t="str">
        <f>"9781843108245"</f>
        <v>9781843108245</v>
      </c>
      <c r="D1293" t="str">
        <f>"9781846426360"</f>
        <v>9781846426360</v>
      </c>
      <c r="E1293" t="s">
        <v>146</v>
      </c>
      <c r="F1293" t="s">
        <v>146</v>
      </c>
      <c r="G1293" t="s">
        <v>22174</v>
      </c>
      <c r="H1293" t="s">
        <v>26011</v>
      </c>
      <c r="I1293" s="26">
        <v>39217</v>
      </c>
      <c r="J1293">
        <v>2007</v>
      </c>
      <c r="K1293" t="s">
        <v>146</v>
      </c>
      <c r="L1293">
        <v>322</v>
      </c>
      <c r="M1293" t="s">
        <v>30844</v>
      </c>
      <c r="N1293">
        <v>1</v>
      </c>
      <c r="Q1293" t="s">
        <v>30845</v>
      </c>
      <c r="R1293" t="s">
        <v>29493</v>
      </c>
      <c r="S1293" t="s">
        <v>30846</v>
      </c>
      <c r="T1293" t="s">
        <v>30</v>
      </c>
      <c r="U1293" t="s">
        <v>26116</v>
      </c>
      <c r="W1293" t="s">
        <v>28347</v>
      </c>
    </row>
    <row r="1294" spans="1:23" x14ac:dyDescent="0.35">
      <c r="A1294">
        <v>334118</v>
      </c>
      <c r="B1294" t="s">
        <v>30847</v>
      </c>
      <c r="C1294" t="str">
        <f>"9781843105299"</f>
        <v>9781843105299</v>
      </c>
      <c r="D1294" t="str">
        <f>"9781846426285"</f>
        <v>9781846426285</v>
      </c>
      <c r="E1294" t="s">
        <v>146</v>
      </c>
      <c r="F1294" t="s">
        <v>146</v>
      </c>
      <c r="G1294" t="s">
        <v>22174</v>
      </c>
      <c r="H1294" t="s">
        <v>26011</v>
      </c>
      <c r="I1294" s="26">
        <v>39248</v>
      </c>
      <c r="J1294">
        <v>2007</v>
      </c>
      <c r="K1294" t="s">
        <v>146</v>
      </c>
      <c r="L1294">
        <v>164</v>
      </c>
      <c r="M1294" t="s">
        <v>30848</v>
      </c>
      <c r="N1294">
        <v>1</v>
      </c>
      <c r="T1294" t="s">
        <v>30</v>
      </c>
      <c r="U1294" t="s">
        <v>46</v>
      </c>
      <c r="W1294" t="s">
        <v>28347</v>
      </c>
    </row>
    <row r="1295" spans="1:23" x14ac:dyDescent="0.35">
      <c r="A1295">
        <v>334119</v>
      </c>
      <c r="B1295" t="s">
        <v>30849</v>
      </c>
      <c r="C1295" t="str">
        <f>"9781843105480"</f>
        <v>9781843105480</v>
      </c>
      <c r="D1295" t="str">
        <f>"9781846426698"</f>
        <v>9781846426698</v>
      </c>
      <c r="E1295" t="s">
        <v>146</v>
      </c>
      <c r="F1295" t="s">
        <v>146</v>
      </c>
      <c r="G1295" t="s">
        <v>22174</v>
      </c>
      <c r="H1295" t="s">
        <v>26011</v>
      </c>
      <c r="I1295" s="26">
        <v>39278</v>
      </c>
      <c r="J1295">
        <v>2007</v>
      </c>
      <c r="K1295" t="s">
        <v>146</v>
      </c>
      <c r="L1295">
        <v>255</v>
      </c>
      <c r="M1295" t="s">
        <v>30850</v>
      </c>
      <c r="N1295">
        <v>1</v>
      </c>
      <c r="Q1295" t="s">
        <v>30851</v>
      </c>
      <c r="R1295">
        <v>618.92858820000004</v>
      </c>
      <c r="S1295" t="s">
        <v>30852</v>
      </c>
      <c r="T1295" t="s">
        <v>30</v>
      </c>
      <c r="U1295" t="s">
        <v>26116</v>
      </c>
      <c r="W1295" t="s">
        <v>28347</v>
      </c>
    </row>
    <row r="1296" spans="1:23" x14ac:dyDescent="0.35">
      <c r="A1296">
        <v>334123</v>
      </c>
      <c r="B1296" t="s">
        <v>30853</v>
      </c>
      <c r="C1296" t="str">
        <f>"9781843103288"</f>
        <v>9781843103288</v>
      </c>
      <c r="D1296" t="str">
        <f>"9781846425813"</f>
        <v>9781846425813</v>
      </c>
      <c r="E1296" t="s">
        <v>146</v>
      </c>
      <c r="F1296" t="s">
        <v>146</v>
      </c>
      <c r="G1296" t="s">
        <v>22174</v>
      </c>
      <c r="H1296" t="s">
        <v>26011</v>
      </c>
      <c r="I1296" s="26">
        <v>39066</v>
      </c>
      <c r="J1296">
        <v>2006</v>
      </c>
      <c r="K1296" t="s">
        <v>146</v>
      </c>
      <c r="L1296">
        <v>147</v>
      </c>
      <c r="M1296" t="s">
        <v>30854</v>
      </c>
      <c r="N1296">
        <v>1</v>
      </c>
      <c r="O1296" t="s">
        <v>29231</v>
      </c>
      <c r="Q1296" t="s">
        <v>30855</v>
      </c>
      <c r="R1296">
        <v>618.92858222999996</v>
      </c>
      <c r="S1296" t="s">
        <v>30856</v>
      </c>
      <c r="T1296" t="s">
        <v>30</v>
      </c>
      <c r="U1296" t="s">
        <v>26116</v>
      </c>
      <c r="W1296" t="s">
        <v>28347</v>
      </c>
    </row>
    <row r="1297" spans="1:23" x14ac:dyDescent="0.35">
      <c r="A1297">
        <v>334124</v>
      </c>
      <c r="B1297" t="s">
        <v>30857</v>
      </c>
      <c r="C1297" t="str">
        <f>"9781843105367"</f>
        <v>9781843105367</v>
      </c>
      <c r="D1297" t="str">
        <f>"9781846426292"</f>
        <v>9781846426292</v>
      </c>
      <c r="E1297" t="s">
        <v>146</v>
      </c>
      <c r="F1297" t="s">
        <v>146</v>
      </c>
      <c r="G1297" t="s">
        <v>22174</v>
      </c>
      <c r="H1297" t="s">
        <v>26011</v>
      </c>
      <c r="I1297" s="26">
        <v>39187</v>
      </c>
      <c r="J1297">
        <v>2007</v>
      </c>
      <c r="K1297" t="s">
        <v>146</v>
      </c>
      <c r="L1297">
        <v>163</v>
      </c>
      <c r="M1297" t="s">
        <v>30858</v>
      </c>
      <c r="N1297">
        <v>1</v>
      </c>
      <c r="R1297" t="s">
        <v>29123</v>
      </c>
      <c r="T1297" t="s">
        <v>30</v>
      </c>
      <c r="U1297" t="s">
        <v>26040</v>
      </c>
      <c r="W1297" t="s">
        <v>28347</v>
      </c>
    </row>
    <row r="1298" spans="1:23" x14ac:dyDescent="0.35">
      <c r="A1298">
        <v>334127</v>
      </c>
      <c r="B1298" t="s">
        <v>30859</v>
      </c>
      <c r="C1298" t="str">
        <f>"9781843105640"</f>
        <v>9781843105640</v>
      </c>
      <c r="D1298" t="str">
        <f>"9781846426261"</f>
        <v>9781846426261</v>
      </c>
      <c r="E1298" t="s">
        <v>146</v>
      </c>
      <c r="F1298" t="s">
        <v>146</v>
      </c>
      <c r="G1298" t="s">
        <v>22174</v>
      </c>
      <c r="H1298" t="s">
        <v>26011</v>
      </c>
      <c r="I1298" s="26">
        <v>39187</v>
      </c>
      <c r="J1298">
        <v>2007</v>
      </c>
      <c r="K1298" t="s">
        <v>146</v>
      </c>
      <c r="L1298">
        <v>275</v>
      </c>
      <c r="M1298" t="s">
        <v>30860</v>
      </c>
      <c r="N1298">
        <v>1</v>
      </c>
      <c r="R1298" t="s">
        <v>30861</v>
      </c>
      <c r="T1298" t="s">
        <v>30</v>
      </c>
      <c r="U1298" t="s">
        <v>26250</v>
      </c>
      <c r="W1298" t="s">
        <v>30862</v>
      </c>
    </row>
    <row r="1299" spans="1:23" x14ac:dyDescent="0.35">
      <c r="A1299">
        <v>334128</v>
      </c>
      <c r="B1299" t="s">
        <v>30863</v>
      </c>
      <c r="C1299" t="str">
        <f>"9781843104698"</f>
        <v>9781843104698</v>
      </c>
      <c r="D1299" t="str">
        <f>"9781846426674"</f>
        <v>9781846426674</v>
      </c>
      <c r="E1299" t="s">
        <v>146</v>
      </c>
      <c r="F1299" t="s">
        <v>146</v>
      </c>
      <c r="G1299" t="s">
        <v>22174</v>
      </c>
      <c r="H1299" t="s">
        <v>26011</v>
      </c>
      <c r="I1299" s="26">
        <v>39278</v>
      </c>
      <c r="J1299">
        <v>2007</v>
      </c>
      <c r="K1299" t="s">
        <v>146</v>
      </c>
      <c r="L1299">
        <v>330</v>
      </c>
      <c r="M1299" t="s">
        <v>30864</v>
      </c>
      <c r="N1299">
        <v>1</v>
      </c>
      <c r="Q1299" t="s">
        <v>30865</v>
      </c>
      <c r="R1299">
        <v>615.85154</v>
      </c>
      <c r="S1299" t="s">
        <v>30866</v>
      </c>
      <c r="T1299" t="s">
        <v>30</v>
      </c>
      <c r="U1299" t="s">
        <v>29679</v>
      </c>
      <c r="W1299" t="s">
        <v>28347</v>
      </c>
    </row>
    <row r="1300" spans="1:23" x14ac:dyDescent="0.35">
      <c r="A1300">
        <v>334129</v>
      </c>
      <c r="B1300" t="s">
        <v>30867</v>
      </c>
      <c r="C1300" t="str">
        <f>"9781843107224"</f>
        <v>9781843107224</v>
      </c>
      <c r="D1300" t="str">
        <f>"9781846425837"</f>
        <v>9781846425837</v>
      </c>
      <c r="E1300" t="s">
        <v>146</v>
      </c>
      <c r="F1300" t="s">
        <v>146</v>
      </c>
      <c r="G1300" t="s">
        <v>22174</v>
      </c>
      <c r="H1300" t="s">
        <v>26011</v>
      </c>
      <c r="I1300" s="26">
        <v>39097</v>
      </c>
      <c r="J1300">
        <v>2007</v>
      </c>
      <c r="K1300" t="s">
        <v>146</v>
      </c>
      <c r="L1300">
        <v>322</v>
      </c>
      <c r="M1300" t="s">
        <v>30868</v>
      </c>
      <c r="N1300">
        <v>1</v>
      </c>
      <c r="Q1300" t="s">
        <v>30869</v>
      </c>
      <c r="S1300" t="s">
        <v>30870</v>
      </c>
      <c r="T1300" t="s">
        <v>30</v>
      </c>
      <c r="U1300" t="s">
        <v>26116</v>
      </c>
      <c r="W1300" t="s">
        <v>28347</v>
      </c>
    </row>
    <row r="1301" spans="1:23" x14ac:dyDescent="0.35">
      <c r="A1301">
        <v>334133</v>
      </c>
      <c r="B1301" t="s">
        <v>30871</v>
      </c>
      <c r="C1301" t="str">
        <f>"9781843108573"</f>
        <v>9781843108573</v>
      </c>
      <c r="D1301" t="str">
        <f>"9781846426063"</f>
        <v>9781846426063</v>
      </c>
      <c r="E1301" t="s">
        <v>146</v>
      </c>
      <c r="F1301" t="s">
        <v>146</v>
      </c>
      <c r="G1301" t="s">
        <v>22174</v>
      </c>
      <c r="H1301" t="s">
        <v>26011</v>
      </c>
      <c r="I1301" s="26">
        <v>39187</v>
      </c>
      <c r="J1301">
        <v>2007</v>
      </c>
      <c r="K1301" t="s">
        <v>146</v>
      </c>
      <c r="L1301">
        <v>130</v>
      </c>
      <c r="M1301" t="s">
        <v>30872</v>
      </c>
      <c r="N1301">
        <v>1</v>
      </c>
      <c r="Q1301" t="s">
        <v>30873</v>
      </c>
      <c r="R1301">
        <v>155.93700000000001</v>
      </c>
      <c r="T1301" t="s">
        <v>30</v>
      </c>
      <c r="U1301" t="s">
        <v>46</v>
      </c>
      <c r="W1301" t="s">
        <v>28347</v>
      </c>
    </row>
    <row r="1302" spans="1:23" x14ac:dyDescent="0.35">
      <c r="A1302">
        <v>334137</v>
      </c>
      <c r="B1302" t="s">
        <v>30874</v>
      </c>
      <c r="C1302" t="str">
        <f>"9781843105619"</f>
        <v>9781843105619</v>
      </c>
      <c r="D1302" t="str">
        <f>"9781846426667"</f>
        <v>9781846426667</v>
      </c>
      <c r="E1302" t="s">
        <v>146</v>
      </c>
      <c r="F1302" t="s">
        <v>146</v>
      </c>
      <c r="G1302" t="s">
        <v>22174</v>
      </c>
      <c r="H1302" t="s">
        <v>26011</v>
      </c>
      <c r="I1302" s="26">
        <v>39278</v>
      </c>
      <c r="J1302">
        <v>2007</v>
      </c>
      <c r="K1302" t="s">
        <v>146</v>
      </c>
      <c r="L1302">
        <v>146</v>
      </c>
      <c r="M1302" t="s">
        <v>30875</v>
      </c>
      <c r="N1302">
        <v>1</v>
      </c>
      <c r="Q1302" t="s">
        <v>30876</v>
      </c>
      <c r="R1302" t="s">
        <v>28378</v>
      </c>
      <c r="S1302" t="s">
        <v>30877</v>
      </c>
      <c r="T1302" t="s">
        <v>30</v>
      </c>
      <c r="U1302" t="s">
        <v>26116</v>
      </c>
      <c r="W1302" t="s">
        <v>28347</v>
      </c>
    </row>
    <row r="1303" spans="1:23" x14ac:dyDescent="0.35">
      <c r="A1303">
        <v>334138</v>
      </c>
      <c r="B1303" t="s">
        <v>30878</v>
      </c>
      <c r="C1303" t="str">
        <f>"9781843104216"</f>
        <v>9781843104216</v>
      </c>
      <c r="D1303" t="str">
        <f>"9781846425820"</f>
        <v>9781846425820</v>
      </c>
      <c r="E1303" t="s">
        <v>146</v>
      </c>
      <c r="F1303" t="s">
        <v>146</v>
      </c>
      <c r="G1303" t="s">
        <v>22174</v>
      </c>
      <c r="H1303" t="s">
        <v>26011</v>
      </c>
      <c r="I1303" s="26">
        <v>39097</v>
      </c>
      <c r="J1303">
        <v>2007</v>
      </c>
      <c r="K1303" t="s">
        <v>146</v>
      </c>
      <c r="L1303">
        <v>210</v>
      </c>
      <c r="M1303" t="s">
        <v>30879</v>
      </c>
      <c r="N1303">
        <v>1</v>
      </c>
      <c r="Q1303" t="s">
        <v>30880</v>
      </c>
      <c r="R1303" t="s">
        <v>30881</v>
      </c>
      <c r="S1303" t="s">
        <v>30882</v>
      </c>
      <c r="T1303" t="s">
        <v>30</v>
      </c>
      <c r="U1303" t="s">
        <v>27699</v>
      </c>
      <c r="W1303" t="s">
        <v>28347</v>
      </c>
    </row>
    <row r="1304" spans="1:23" x14ac:dyDescent="0.35">
      <c r="A1304">
        <v>334140</v>
      </c>
      <c r="B1304" t="s">
        <v>30883</v>
      </c>
      <c r="C1304" t="str">
        <f>"9781843104131"</f>
        <v>9781843104131</v>
      </c>
      <c r="D1304" t="str">
        <f>"9781846425851"</f>
        <v>9781846425851</v>
      </c>
      <c r="E1304" t="s">
        <v>146</v>
      </c>
      <c r="F1304" t="s">
        <v>146</v>
      </c>
      <c r="G1304" t="s">
        <v>22174</v>
      </c>
      <c r="H1304" t="s">
        <v>26011</v>
      </c>
      <c r="I1304" s="26">
        <v>39066</v>
      </c>
      <c r="J1304">
        <v>2006</v>
      </c>
      <c r="K1304" t="s">
        <v>146</v>
      </c>
      <c r="L1304">
        <v>273</v>
      </c>
      <c r="M1304" t="s">
        <v>30884</v>
      </c>
      <c r="N1304">
        <v>1</v>
      </c>
      <c r="Q1304" t="s">
        <v>30885</v>
      </c>
      <c r="S1304" t="s">
        <v>30886</v>
      </c>
      <c r="T1304" t="s">
        <v>30</v>
      </c>
      <c r="U1304" t="s">
        <v>27699</v>
      </c>
      <c r="W1304" t="s">
        <v>28347</v>
      </c>
    </row>
    <row r="1305" spans="1:23" x14ac:dyDescent="0.35">
      <c r="A1305">
        <v>334144</v>
      </c>
      <c r="B1305" t="s">
        <v>30887</v>
      </c>
      <c r="C1305" t="str">
        <f>"9781843108474"</f>
        <v>9781843108474</v>
      </c>
      <c r="D1305" t="str">
        <f>"9781846426100"</f>
        <v>9781846426100</v>
      </c>
      <c r="E1305" t="s">
        <v>146</v>
      </c>
      <c r="F1305" t="s">
        <v>146</v>
      </c>
      <c r="G1305" t="s">
        <v>22174</v>
      </c>
      <c r="H1305" t="s">
        <v>26011</v>
      </c>
      <c r="I1305" s="26">
        <v>39187</v>
      </c>
      <c r="J1305">
        <v>2007</v>
      </c>
      <c r="K1305" t="s">
        <v>146</v>
      </c>
      <c r="L1305">
        <v>222</v>
      </c>
      <c r="M1305" t="s">
        <v>30888</v>
      </c>
      <c r="N1305">
        <v>1</v>
      </c>
      <c r="Q1305" t="s">
        <v>30889</v>
      </c>
      <c r="R1305">
        <v>306.88</v>
      </c>
      <c r="T1305" t="s">
        <v>30</v>
      </c>
      <c r="U1305" t="s">
        <v>26044</v>
      </c>
      <c r="W1305" t="s">
        <v>28347</v>
      </c>
    </row>
    <row r="1306" spans="1:23" x14ac:dyDescent="0.35">
      <c r="A1306">
        <v>334146</v>
      </c>
      <c r="B1306" t="s">
        <v>9918</v>
      </c>
      <c r="C1306" t="str">
        <f>"9781843104469"</f>
        <v>9781843104469</v>
      </c>
      <c r="D1306" t="str">
        <f>"9781846426162"</f>
        <v>9781846426162</v>
      </c>
      <c r="E1306" t="s">
        <v>146</v>
      </c>
      <c r="F1306" t="s">
        <v>146</v>
      </c>
      <c r="G1306" t="s">
        <v>22174</v>
      </c>
      <c r="H1306" t="s">
        <v>26011</v>
      </c>
      <c r="I1306" s="26">
        <v>39217</v>
      </c>
      <c r="J1306">
        <v>2007</v>
      </c>
      <c r="K1306" t="s">
        <v>146</v>
      </c>
      <c r="L1306">
        <v>195</v>
      </c>
      <c r="M1306" t="s">
        <v>30890</v>
      </c>
      <c r="N1306">
        <v>1</v>
      </c>
      <c r="R1306">
        <v>362.1968521</v>
      </c>
      <c r="S1306" t="s">
        <v>30891</v>
      </c>
      <c r="T1306" t="s">
        <v>30</v>
      </c>
      <c r="U1306" t="s">
        <v>26094</v>
      </c>
      <c r="W1306" t="s">
        <v>28347</v>
      </c>
    </row>
    <row r="1307" spans="1:23" x14ac:dyDescent="0.35">
      <c r="A1307">
        <v>334149</v>
      </c>
      <c r="B1307" t="s">
        <v>30892</v>
      </c>
      <c r="C1307" t="str">
        <f>"9781843104315"</f>
        <v>9781843104315</v>
      </c>
      <c r="D1307" t="str">
        <f>"9781846426155"</f>
        <v>9781846426155</v>
      </c>
      <c r="E1307" t="s">
        <v>146</v>
      </c>
      <c r="F1307" t="s">
        <v>146</v>
      </c>
      <c r="G1307" t="s">
        <v>22174</v>
      </c>
      <c r="H1307" t="s">
        <v>26011</v>
      </c>
      <c r="I1307" s="26">
        <v>39168</v>
      </c>
      <c r="J1307">
        <v>2007</v>
      </c>
      <c r="K1307" t="s">
        <v>146</v>
      </c>
      <c r="L1307">
        <v>160</v>
      </c>
      <c r="M1307" t="s">
        <v>30893</v>
      </c>
      <c r="N1307">
        <v>1</v>
      </c>
      <c r="R1307" t="s">
        <v>30894</v>
      </c>
      <c r="S1307" t="s">
        <v>30895</v>
      </c>
      <c r="T1307" t="s">
        <v>30</v>
      </c>
      <c r="U1307" t="s">
        <v>26044</v>
      </c>
      <c r="W1307" t="s">
        <v>28347</v>
      </c>
    </row>
    <row r="1308" spans="1:23" x14ac:dyDescent="0.35">
      <c r="A1308">
        <v>334152</v>
      </c>
      <c r="B1308" t="s">
        <v>30896</v>
      </c>
      <c r="C1308" t="str">
        <f>"9781843108443"</f>
        <v>9781843108443</v>
      </c>
      <c r="D1308" t="str">
        <f>"9781846425875"</f>
        <v>9781846425875</v>
      </c>
      <c r="E1308" t="s">
        <v>146</v>
      </c>
      <c r="F1308" t="s">
        <v>146</v>
      </c>
      <c r="G1308" t="s">
        <v>22174</v>
      </c>
      <c r="H1308" t="s">
        <v>26011</v>
      </c>
      <c r="I1308" s="26">
        <v>39097</v>
      </c>
      <c r="J1308">
        <v>2007</v>
      </c>
      <c r="K1308" t="s">
        <v>146</v>
      </c>
      <c r="L1308">
        <v>219</v>
      </c>
      <c r="M1308" t="s">
        <v>29147</v>
      </c>
      <c r="N1308">
        <v>1</v>
      </c>
      <c r="Q1308" t="s">
        <v>30897</v>
      </c>
      <c r="R1308" t="s">
        <v>29382</v>
      </c>
      <c r="S1308" t="s">
        <v>30898</v>
      </c>
      <c r="T1308" t="s">
        <v>30</v>
      </c>
      <c r="U1308" t="s">
        <v>26019</v>
      </c>
      <c r="W1308" t="s">
        <v>28347</v>
      </c>
    </row>
    <row r="1309" spans="1:23" x14ac:dyDescent="0.35">
      <c r="A1309">
        <v>334155</v>
      </c>
      <c r="B1309" t="s">
        <v>30899</v>
      </c>
      <c r="C1309" t="str">
        <f>"9781843108528"</f>
        <v>9781843108528</v>
      </c>
      <c r="D1309" t="str">
        <f>"9781846426537"</f>
        <v>9781846426537</v>
      </c>
      <c r="E1309" t="s">
        <v>146</v>
      </c>
      <c r="F1309" t="s">
        <v>146</v>
      </c>
      <c r="G1309" t="s">
        <v>22174</v>
      </c>
      <c r="H1309" t="s">
        <v>26011</v>
      </c>
      <c r="I1309" s="26">
        <v>39217</v>
      </c>
      <c r="J1309">
        <v>2007</v>
      </c>
      <c r="K1309" t="s">
        <v>146</v>
      </c>
      <c r="L1309">
        <v>201</v>
      </c>
      <c r="M1309" t="s">
        <v>30900</v>
      </c>
      <c r="N1309">
        <v>1</v>
      </c>
      <c r="S1309" t="s">
        <v>30901</v>
      </c>
      <c r="T1309" t="s">
        <v>30</v>
      </c>
      <c r="U1309" t="s">
        <v>30253</v>
      </c>
      <c r="W1309" t="s">
        <v>28347</v>
      </c>
    </row>
    <row r="1310" spans="1:23" x14ac:dyDescent="0.35">
      <c r="A1310">
        <v>334157</v>
      </c>
      <c r="B1310" t="s">
        <v>30902</v>
      </c>
      <c r="C1310" t="str">
        <f>"9781843105091"</f>
        <v>9781843105091</v>
      </c>
      <c r="D1310" t="str">
        <f>"9781846426377"</f>
        <v>9781846426377</v>
      </c>
      <c r="E1310" t="s">
        <v>146</v>
      </c>
      <c r="F1310" t="s">
        <v>146</v>
      </c>
      <c r="G1310" t="s">
        <v>22174</v>
      </c>
      <c r="H1310" t="s">
        <v>26011</v>
      </c>
      <c r="I1310" s="26">
        <v>39217</v>
      </c>
      <c r="J1310">
        <v>2007</v>
      </c>
      <c r="K1310" t="s">
        <v>146</v>
      </c>
      <c r="L1310">
        <v>417</v>
      </c>
      <c r="M1310" t="s">
        <v>30903</v>
      </c>
      <c r="N1310">
        <v>1</v>
      </c>
      <c r="Q1310" t="s">
        <v>30904</v>
      </c>
      <c r="R1310">
        <v>362.88</v>
      </c>
      <c r="S1310" t="s">
        <v>30905</v>
      </c>
      <c r="T1310" t="s">
        <v>30</v>
      </c>
      <c r="U1310" t="s">
        <v>26044</v>
      </c>
      <c r="W1310" t="s">
        <v>28347</v>
      </c>
    </row>
    <row r="1311" spans="1:23" x14ac:dyDescent="0.35">
      <c r="A1311">
        <v>334316</v>
      </c>
      <c r="B1311" t="s">
        <v>9840</v>
      </c>
      <c r="C1311" t="str">
        <f>"9780761947691"</f>
        <v>9780761947691</v>
      </c>
      <c r="D1311" t="str">
        <f>"9781847877338"</f>
        <v>9781847877338</v>
      </c>
      <c r="E1311" t="s">
        <v>28007</v>
      </c>
      <c r="F1311" t="s">
        <v>7430</v>
      </c>
      <c r="G1311" t="s">
        <v>22174</v>
      </c>
      <c r="H1311" t="s">
        <v>26011</v>
      </c>
      <c r="I1311" s="26">
        <v>38132</v>
      </c>
      <c r="J1311">
        <v>2004</v>
      </c>
      <c r="K1311" t="s">
        <v>7430</v>
      </c>
      <c r="L1311">
        <v>142</v>
      </c>
      <c r="M1311" t="s">
        <v>30906</v>
      </c>
      <c r="N1311">
        <v>1</v>
      </c>
      <c r="O1311" t="s">
        <v>28093</v>
      </c>
      <c r="Q1311" t="s">
        <v>30907</v>
      </c>
      <c r="R1311">
        <v>616.89</v>
      </c>
      <c r="S1311" t="s">
        <v>9841</v>
      </c>
      <c r="T1311" t="s">
        <v>30</v>
      </c>
      <c r="U1311" t="s">
        <v>26116</v>
      </c>
      <c r="W1311" t="s">
        <v>26009</v>
      </c>
    </row>
    <row r="1312" spans="1:23" x14ac:dyDescent="0.35">
      <c r="A1312">
        <v>334325</v>
      </c>
      <c r="B1312" t="s">
        <v>7572</v>
      </c>
      <c r="C1312" t="str">
        <f>"9780761941149"</f>
        <v>9780761941149</v>
      </c>
      <c r="D1312" t="str">
        <f>"9781847877413"</f>
        <v>9781847877413</v>
      </c>
      <c r="E1312" t="s">
        <v>28007</v>
      </c>
      <c r="F1312" t="s">
        <v>7430</v>
      </c>
      <c r="G1312" t="s">
        <v>22174</v>
      </c>
      <c r="H1312" t="s">
        <v>26011</v>
      </c>
      <c r="I1312" s="26">
        <v>39042</v>
      </c>
      <c r="J1312">
        <v>2007</v>
      </c>
      <c r="K1312" t="s">
        <v>7430</v>
      </c>
      <c r="L1312">
        <v>177</v>
      </c>
      <c r="M1312" t="s">
        <v>30908</v>
      </c>
      <c r="N1312">
        <v>1</v>
      </c>
      <c r="Q1312" t="s">
        <v>30909</v>
      </c>
      <c r="R1312">
        <v>616.89165600000001</v>
      </c>
      <c r="S1312" t="s">
        <v>7573</v>
      </c>
      <c r="T1312" t="s">
        <v>30</v>
      </c>
      <c r="U1312" t="s">
        <v>26116</v>
      </c>
      <c r="W1312" t="s">
        <v>26009</v>
      </c>
    </row>
    <row r="1313" spans="1:23" x14ac:dyDescent="0.35">
      <c r="A1313">
        <v>334332</v>
      </c>
      <c r="B1313" t="s">
        <v>30910</v>
      </c>
      <c r="C1313" t="str">
        <f>"9781412920216"</f>
        <v>9781412920216</v>
      </c>
      <c r="D1313" t="str">
        <f>"9781847878748"</f>
        <v>9781847878748</v>
      </c>
      <c r="E1313" t="s">
        <v>28007</v>
      </c>
      <c r="F1313" t="s">
        <v>7430</v>
      </c>
      <c r="G1313" t="s">
        <v>22174</v>
      </c>
      <c r="H1313" t="s">
        <v>26011</v>
      </c>
      <c r="I1313" s="26">
        <v>38763</v>
      </c>
      <c r="J1313">
        <v>2006</v>
      </c>
      <c r="K1313" t="s">
        <v>7430</v>
      </c>
      <c r="L1313">
        <v>193</v>
      </c>
      <c r="M1313" t="s">
        <v>30911</v>
      </c>
      <c r="N1313">
        <v>1</v>
      </c>
      <c r="O1313" t="s">
        <v>30912</v>
      </c>
      <c r="Q1313" t="s">
        <v>30913</v>
      </c>
      <c r="R1313">
        <v>616.85262008351003</v>
      </c>
      <c r="S1313" t="s">
        <v>30914</v>
      </c>
      <c r="T1313" t="s">
        <v>30</v>
      </c>
      <c r="U1313" t="s">
        <v>26019</v>
      </c>
      <c r="W1313" t="s">
        <v>26009</v>
      </c>
    </row>
    <row r="1314" spans="1:23" x14ac:dyDescent="0.35">
      <c r="A1314">
        <v>334339</v>
      </c>
      <c r="B1314" t="s">
        <v>30915</v>
      </c>
      <c r="C1314" t="str">
        <f>"9780761947479"</f>
        <v>9780761947479</v>
      </c>
      <c r="D1314" t="str">
        <f>"9781847871282"</f>
        <v>9781847871282</v>
      </c>
      <c r="E1314" t="s">
        <v>28007</v>
      </c>
      <c r="F1314" t="s">
        <v>7430</v>
      </c>
      <c r="G1314" t="s">
        <v>22174</v>
      </c>
      <c r="H1314" t="s">
        <v>26011</v>
      </c>
      <c r="I1314" s="26">
        <v>37302</v>
      </c>
      <c r="J1314">
        <v>2002</v>
      </c>
      <c r="K1314" t="s">
        <v>7430</v>
      </c>
      <c r="L1314">
        <v>310</v>
      </c>
      <c r="M1314" t="s">
        <v>30916</v>
      </c>
      <c r="N1314">
        <v>1</v>
      </c>
      <c r="Q1314" t="s">
        <v>30917</v>
      </c>
      <c r="R1314">
        <v>153</v>
      </c>
      <c r="S1314" t="s">
        <v>7902</v>
      </c>
      <c r="T1314" t="s">
        <v>30</v>
      </c>
      <c r="U1314" t="s">
        <v>46</v>
      </c>
      <c r="W1314" t="s">
        <v>26009</v>
      </c>
    </row>
    <row r="1315" spans="1:23" x14ac:dyDescent="0.35">
      <c r="A1315">
        <v>334346</v>
      </c>
      <c r="B1315" t="s">
        <v>8008</v>
      </c>
      <c r="C1315" t="str">
        <f>"9781412920995"</f>
        <v>9781412920995</v>
      </c>
      <c r="D1315" t="str">
        <f>"9781847878458"</f>
        <v>9781847878458</v>
      </c>
      <c r="E1315" t="s">
        <v>28007</v>
      </c>
      <c r="F1315" t="s">
        <v>7430</v>
      </c>
      <c r="G1315" t="s">
        <v>22174</v>
      </c>
      <c r="H1315" t="s">
        <v>26011</v>
      </c>
      <c r="I1315" s="26">
        <v>38925</v>
      </c>
      <c r="J1315">
        <v>2006</v>
      </c>
      <c r="K1315" t="s">
        <v>7430</v>
      </c>
      <c r="L1315">
        <v>159</v>
      </c>
      <c r="M1315" t="s">
        <v>30918</v>
      </c>
      <c r="N1315">
        <v>3</v>
      </c>
      <c r="O1315" t="s">
        <v>28080</v>
      </c>
      <c r="Q1315" t="s">
        <v>30919</v>
      </c>
      <c r="R1315" t="s">
        <v>27184</v>
      </c>
      <c r="S1315" t="s">
        <v>8009</v>
      </c>
      <c r="T1315" t="s">
        <v>30</v>
      </c>
      <c r="U1315" t="s">
        <v>26019</v>
      </c>
      <c r="W1315" t="s">
        <v>26009</v>
      </c>
    </row>
    <row r="1316" spans="1:23" x14ac:dyDescent="0.35">
      <c r="A1316">
        <v>334347</v>
      </c>
      <c r="B1316" t="s">
        <v>30920</v>
      </c>
      <c r="C1316" t="str">
        <f>"9781412922395"</f>
        <v>9781412922395</v>
      </c>
      <c r="D1316" t="str">
        <f>"9781847878762"</f>
        <v>9781847878762</v>
      </c>
      <c r="E1316" t="s">
        <v>28007</v>
      </c>
      <c r="F1316" t="s">
        <v>7430</v>
      </c>
      <c r="G1316" t="s">
        <v>22174</v>
      </c>
      <c r="H1316" t="s">
        <v>26011</v>
      </c>
      <c r="I1316" s="26">
        <v>38855</v>
      </c>
      <c r="J1316">
        <v>2006</v>
      </c>
      <c r="K1316" t="s">
        <v>7430</v>
      </c>
      <c r="L1316">
        <v>152</v>
      </c>
      <c r="M1316" t="s">
        <v>30921</v>
      </c>
      <c r="N1316">
        <v>3</v>
      </c>
      <c r="O1316" t="s">
        <v>28080</v>
      </c>
      <c r="Q1316" t="s">
        <v>30922</v>
      </c>
      <c r="R1316" t="s">
        <v>30923</v>
      </c>
      <c r="S1316" t="s">
        <v>30924</v>
      </c>
      <c r="T1316" t="s">
        <v>30</v>
      </c>
      <c r="U1316" t="s">
        <v>26019</v>
      </c>
      <c r="W1316" t="s">
        <v>30925</v>
      </c>
    </row>
    <row r="1317" spans="1:23" x14ac:dyDescent="0.35">
      <c r="A1317">
        <v>334364</v>
      </c>
      <c r="B1317" t="s">
        <v>30926</v>
      </c>
      <c r="C1317" t="str">
        <f>"9781412910408"</f>
        <v>9781412910408</v>
      </c>
      <c r="D1317" t="str">
        <f>"9781847878205"</f>
        <v>9781847878205</v>
      </c>
      <c r="E1317" t="s">
        <v>28007</v>
      </c>
      <c r="F1317" t="s">
        <v>7430</v>
      </c>
      <c r="G1317" t="s">
        <v>22174</v>
      </c>
      <c r="H1317" t="s">
        <v>26011</v>
      </c>
      <c r="I1317" s="26">
        <v>38709</v>
      </c>
      <c r="J1317">
        <v>2006</v>
      </c>
      <c r="K1317" t="s">
        <v>7430</v>
      </c>
      <c r="L1317">
        <v>168</v>
      </c>
      <c r="M1317" t="s">
        <v>30927</v>
      </c>
      <c r="N1317">
        <v>1</v>
      </c>
      <c r="Q1317" t="s">
        <v>30928</v>
      </c>
      <c r="R1317">
        <v>370.15339999999998</v>
      </c>
      <c r="S1317" t="s">
        <v>8129</v>
      </c>
      <c r="T1317" t="s">
        <v>30</v>
      </c>
      <c r="U1317" t="s">
        <v>30253</v>
      </c>
      <c r="W1317" t="s">
        <v>26009</v>
      </c>
    </row>
    <row r="1318" spans="1:23" x14ac:dyDescent="0.35">
      <c r="A1318">
        <v>334386</v>
      </c>
      <c r="B1318" t="s">
        <v>30929</v>
      </c>
      <c r="C1318" t="str">
        <f>"9781412920162"</f>
        <v>9781412920162</v>
      </c>
      <c r="D1318" t="str">
        <f>"9781847878724"</f>
        <v>9781847878724</v>
      </c>
      <c r="E1318" t="s">
        <v>28007</v>
      </c>
      <c r="F1318" t="s">
        <v>7430</v>
      </c>
      <c r="G1318" t="s">
        <v>22174</v>
      </c>
      <c r="H1318" t="s">
        <v>26011</v>
      </c>
      <c r="I1318" s="26">
        <v>39079</v>
      </c>
      <c r="J1318">
        <v>2007</v>
      </c>
      <c r="K1318" t="s">
        <v>7430</v>
      </c>
      <c r="L1318">
        <v>137</v>
      </c>
      <c r="M1318" t="s">
        <v>30930</v>
      </c>
      <c r="N1318">
        <v>1</v>
      </c>
      <c r="O1318" t="s">
        <v>30912</v>
      </c>
      <c r="Q1318" t="s">
        <v>30931</v>
      </c>
      <c r="R1318">
        <v>155.90420710000001</v>
      </c>
      <c r="S1318" t="s">
        <v>30932</v>
      </c>
      <c r="T1318" t="s">
        <v>30</v>
      </c>
      <c r="U1318" t="s">
        <v>26116</v>
      </c>
      <c r="W1318" t="s">
        <v>26009</v>
      </c>
    </row>
    <row r="1319" spans="1:23" x14ac:dyDescent="0.35">
      <c r="A1319">
        <v>334388</v>
      </c>
      <c r="B1319" t="s">
        <v>8292</v>
      </c>
      <c r="C1319" t="str">
        <f>"9780761954941"</f>
        <v>9780761954941</v>
      </c>
      <c r="D1319" t="str">
        <f>"9781847877178"</f>
        <v>9781847877178</v>
      </c>
      <c r="E1319" t="s">
        <v>28007</v>
      </c>
      <c r="F1319" t="s">
        <v>7430</v>
      </c>
      <c r="G1319" t="s">
        <v>22174</v>
      </c>
      <c r="H1319" t="s">
        <v>26011</v>
      </c>
      <c r="I1319" s="26">
        <v>37680</v>
      </c>
      <c r="J1319">
        <v>2003</v>
      </c>
      <c r="K1319" t="s">
        <v>7430</v>
      </c>
      <c r="L1319">
        <v>1209</v>
      </c>
      <c r="M1319" t="s">
        <v>30933</v>
      </c>
      <c r="N1319">
        <v>1</v>
      </c>
      <c r="Q1319" t="s">
        <v>30934</v>
      </c>
      <c r="R1319">
        <v>150.28700000000001</v>
      </c>
      <c r="S1319" t="s">
        <v>30935</v>
      </c>
      <c r="T1319" t="s">
        <v>30</v>
      </c>
      <c r="U1319" t="s">
        <v>46</v>
      </c>
      <c r="W1319" t="s">
        <v>26009</v>
      </c>
    </row>
    <row r="1320" spans="1:23" x14ac:dyDescent="0.35">
      <c r="A1320">
        <v>334406</v>
      </c>
      <c r="B1320" t="s">
        <v>30936</v>
      </c>
      <c r="C1320" t="str">
        <f>"9781412901482"</f>
        <v>9781412901482</v>
      </c>
      <c r="D1320" t="str">
        <f>"9781847877796"</f>
        <v>9781847877796</v>
      </c>
      <c r="E1320" t="s">
        <v>28007</v>
      </c>
      <c r="F1320" t="s">
        <v>7430</v>
      </c>
      <c r="G1320" t="s">
        <v>22174</v>
      </c>
      <c r="H1320" t="s">
        <v>26011</v>
      </c>
      <c r="I1320" s="26">
        <v>38994</v>
      </c>
      <c r="J1320">
        <v>2006</v>
      </c>
      <c r="K1320" t="s">
        <v>7430</v>
      </c>
      <c r="L1320">
        <v>122</v>
      </c>
      <c r="M1320" t="s">
        <v>30937</v>
      </c>
      <c r="N1320">
        <v>1</v>
      </c>
      <c r="Q1320" t="s">
        <v>30938</v>
      </c>
      <c r="R1320">
        <v>155.32</v>
      </c>
      <c r="S1320" t="s">
        <v>8572</v>
      </c>
      <c r="T1320" t="s">
        <v>30</v>
      </c>
      <c r="U1320" t="s">
        <v>26116</v>
      </c>
      <c r="W1320" t="s">
        <v>26009</v>
      </c>
    </row>
    <row r="1321" spans="1:23" x14ac:dyDescent="0.35">
      <c r="A1321">
        <v>334429</v>
      </c>
      <c r="B1321" t="s">
        <v>30939</v>
      </c>
      <c r="C1321" t="str">
        <f>"9781412903202"</f>
        <v>9781412903202</v>
      </c>
      <c r="D1321" t="str">
        <f>"9781847877932"</f>
        <v>9781847877932</v>
      </c>
      <c r="E1321" t="s">
        <v>28007</v>
      </c>
      <c r="F1321" t="s">
        <v>7430</v>
      </c>
      <c r="G1321" t="s">
        <v>22174</v>
      </c>
      <c r="H1321" t="s">
        <v>26011</v>
      </c>
      <c r="I1321" s="26">
        <v>38880</v>
      </c>
      <c r="J1321">
        <v>2006</v>
      </c>
      <c r="K1321" t="s">
        <v>7430</v>
      </c>
      <c r="L1321">
        <v>257</v>
      </c>
      <c r="M1321" t="s">
        <v>30940</v>
      </c>
      <c r="N1321">
        <v>1</v>
      </c>
      <c r="Q1321" t="s">
        <v>30941</v>
      </c>
      <c r="R1321" t="s">
        <v>27170</v>
      </c>
      <c r="S1321" t="s">
        <v>8799</v>
      </c>
      <c r="T1321" t="s">
        <v>30</v>
      </c>
      <c r="U1321" t="s">
        <v>26044</v>
      </c>
      <c r="W1321" t="s">
        <v>26009</v>
      </c>
    </row>
    <row r="1322" spans="1:23" x14ac:dyDescent="0.35">
      <c r="A1322">
        <v>334431</v>
      </c>
      <c r="B1322" t="s">
        <v>8837</v>
      </c>
      <c r="C1322" t="str">
        <f>"9780761962694"</f>
        <v>9780761962694</v>
      </c>
      <c r="D1322" t="str">
        <f>"9781847876133"</f>
        <v>9781847876133</v>
      </c>
      <c r="E1322" t="s">
        <v>28007</v>
      </c>
      <c r="F1322" t="s">
        <v>7430</v>
      </c>
      <c r="G1322" t="s">
        <v>22174</v>
      </c>
      <c r="H1322" t="s">
        <v>26011</v>
      </c>
      <c r="I1322" s="26">
        <v>37732</v>
      </c>
      <c r="J1322">
        <v>2003</v>
      </c>
      <c r="K1322" t="s">
        <v>7430</v>
      </c>
      <c r="L1322">
        <v>195</v>
      </c>
      <c r="M1322" t="s">
        <v>30942</v>
      </c>
      <c r="N1322">
        <v>1</v>
      </c>
      <c r="O1322" t="s">
        <v>30943</v>
      </c>
      <c r="Q1322" t="s">
        <v>30944</v>
      </c>
      <c r="R1322">
        <v>302</v>
      </c>
      <c r="S1322" t="s">
        <v>8838</v>
      </c>
      <c r="T1322" t="s">
        <v>30</v>
      </c>
      <c r="U1322" t="s">
        <v>26044</v>
      </c>
      <c r="W1322" t="s">
        <v>26009</v>
      </c>
    </row>
    <row r="1323" spans="1:23" x14ac:dyDescent="0.35">
      <c r="A1323">
        <v>334443</v>
      </c>
      <c r="B1323" t="s">
        <v>30945</v>
      </c>
      <c r="C1323" t="str">
        <f>"9781412902502"</f>
        <v>9781412902502</v>
      </c>
      <c r="D1323" t="str">
        <f>"9781847877949"</f>
        <v>9781847877949</v>
      </c>
      <c r="E1323" t="s">
        <v>28007</v>
      </c>
      <c r="F1323" t="s">
        <v>7430</v>
      </c>
      <c r="G1323" t="s">
        <v>22174</v>
      </c>
      <c r="H1323" t="s">
        <v>26011</v>
      </c>
      <c r="I1323" s="26">
        <v>38628</v>
      </c>
      <c r="J1323">
        <v>2005</v>
      </c>
      <c r="K1323" t="s">
        <v>7430</v>
      </c>
      <c r="L1323">
        <v>240</v>
      </c>
      <c r="M1323" t="s">
        <v>27285</v>
      </c>
      <c r="N1323">
        <v>1</v>
      </c>
      <c r="O1323" t="s">
        <v>28088</v>
      </c>
      <c r="Q1323" t="s">
        <v>30946</v>
      </c>
      <c r="R1323" t="s">
        <v>30947</v>
      </c>
      <c r="S1323" t="s">
        <v>8954</v>
      </c>
      <c r="T1323" t="s">
        <v>30</v>
      </c>
      <c r="U1323" t="s">
        <v>46</v>
      </c>
      <c r="W1323" t="s">
        <v>26009</v>
      </c>
    </row>
    <row r="1324" spans="1:23" x14ac:dyDescent="0.35">
      <c r="A1324">
        <v>334454</v>
      </c>
      <c r="B1324" t="s">
        <v>30948</v>
      </c>
      <c r="C1324" t="str">
        <f>"9781412933933"</f>
        <v>9781412933933</v>
      </c>
      <c r="D1324" t="str">
        <f>"9781847878847"</f>
        <v>9781847878847</v>
      </c>
      <c r="E1324" t="s">
        <v>28007</v>
      </c>
      <c r="F1324" t="s">
        <v>7430</v>
      </c>
      <c r="G1324" t="s">
        <v>22174</v>
      </c>
      <c r="H1324" t="s">
        <v>26011</v>
      </c>
      <c r="I1324" s="26">
        <v>39055</v>
      </c>
      <c r="J1324">
        <v>2007</v>
      </c>
      <c r="K1324" t="s">
        <v>7430</v>
      </c>
      <c r="L1324">
        <v>192</v>
      </c>
      <c r="M1324" t="s">
        <v>30949</v>
      </c>
      <c r="N1324">
        <v>1</v>
      </c>
      <c r="Q1324" t="s">
        <v>30950</v>
      </c>
      <c r="R1324">
        <v>158.30000000000001</v>
      </c>
      <c r="S1324" t="s">
        <v>7879</v>
      </c>
      <c r="T1324" t="s">
        <v>30</v>
      </c>
      <c r="U1324" t="s">
        <v>46</v>
      </c>
      <c r="W1324" t="s">
        <v>26009</v>
      </c>
    </row>
    <row r="1325" spans="1:23" x14ac:dyDescent="0.35">
      <c r="A1325">
        <v>334477</v>
      </c>
      <c r="B1325" t="s">
        <v>9183</v>
      </c>
      <c r="C1325" t="str">
        <f>"9780761957775"</f>
        <v>9780761957775</v>
      </c>
      <c r="D1325" t="str">
        <f>"9781847876317"</f>
        <v>9781847876317</v>
      </c>
      <c r="E1325" t="s">
        <v>28007</v>
      </c>
      <c r="F1325" t="s">
        <v>7430</v>
      </c>
      <c r="G1325" t="s">
        <v>22174</v>
      </c>
      <c r="H1325" t="s">
        <v>26011</v>
      </c>
      <c r="I1325" s="26">
        <v>37670</v>
      </c>
      <c r="J1325">
        <v>2003</v>
      </c>
      <c r="K1325" t="s">
        <v>7430</v>
      </c>
      <c r="L1325">
        <v>123</v>
      </c>
      <c r="M1325" t="s">
        <v>30951</v>
      </c>
      <c r="N1325">
        <v>1</v>
      </c>
      <c r="O1325" t="s">
        <v>28053</v>
      </c>
      <c r="Q1325" t="s">
        <v>30952</v>
      </c>
      <c r="R1325">
        <v>615.85154</v>
      </c>
      <c r="S1325" t="s">
        <v>8846</v>
      </c>
      <c r="T1325" t="s">
        <v>30</v>
      </c>
      <c r="U1325" t="s">
        <v>30953</v>
      </c>
      <c r="W1325" t="s">
        <v>26009</v>
      </c>
    </row>
    <row r="1326" spans="1:23" x14ac:dyDescent="0.35">
      <c r="A1326">
        <v>334478</v>
      </c>
      <c r="B1326" t="s">
        <v>9199</v>
      </c>
      <c r="C1326" t="str">
        <f>"9781412920124"</f>
        <v>9781412920124</v>
      </c>
      <c r="D1326" t="str">
        <f>"9781847878403"</f>
        <v>9781847878403</v>
      </c>
      <c r="E1326" t="s">
        <v>28007</v>
      </c>
      <c r="F1326" t="s">
        <v>7430</v>
      </c>
      <c r="G1326" t="s">
        <v>22174</v>
      </c>
      <c r="H1326" t="s">
        <v>26011</v>
      </c>
      <c r="I1326" s="26">
        <v>38779</v>
      </c>
      <c r="J1326">
        <v>2006</v>
      </c>
      <c r="K1326" t="s">
        <v>7430</v>
      </c>
      <c r="L1326">
        <v>219</v>
      </c>
      <c r="M1326" t="s">
        <v>30954</v>
      </c>
      <c r="N1326">
        <v>2</v>
      </c>
      <c r="Q1326" t="s">
        <v>30955</v>
      </c>
      <c r="R1326">
        <v>616.89139999999998</v>
      </c>
      <c r="S1326" t="s">
        <v>9200</v>
      </c>
      <c r="T1326" t="s">
        <v>30</v>
      </c>
      <c r="U1326" t="s">
        <v>26019</v>
      </c>
      <c r="W1326" t="s">
        <v>26009</v>
      </c>
    </row>
    <row r="1327" spans="1:23" x14ac:dyDescent="0.35">
      <c r="A1327">
        <v>334496</v>
      </c>
      <c r="B1327" t="s">
        <v>9455</v>
      </c>
      <c r="C1327" t="str">
        <f>"9780761943914"</f>
        <v>9780761943914</v>
      </c>
      <c r="D1327" t="str">
        <f>"9781847877499"</f>
        <v>9781847877499</v>
      </c>
      <c r="E1327" t="s">
        <v>28007</v>
      </c>
      <c r="F1327" t="s">
        <v>7430</v>
      </c>
      <c r="G1327" t="s">
        <v>22174</v>
      </c>
      <c r="H1327" t="s">
        <v>26011</v>
      </c>
      <c r="I1327" s="26">
        <v>38936</v>
      </c>
      <c r="J1327">
        <v>2006</v>
      </c>
      <c r="K1327" t="s">
        <v>7430</v>
      </c>
      <c r="L1327">
        <v>442</v>
      </c>
      <c r="M1327" t="s">
        <v>30956</v>
      </c>
      <c r="N1327">
        <v>1</v>
      </c>
      <c r="O1327" t="s">
        <v>30957</v>
      </c>
      <c r="Q1327" t="s">
        <v>30958</v>
      </c>
      <c r="R1327" t="s">
        <v>30531</v>
      </c>
      <c r="S1327" t="s">
        <v>9456</v>
      </c>
      <c r="T1327" t="s">
        <v>30</v>
      </c>
      <c r="U1327" t="s">
        <v>26044</v>
      </c>
      <c r="W1327" t="s">
        <v>26009</v>
      </c>
    </row>
    <row r="1328" spans="1:23" x14ac:dyDescent="0.35">
      <c r="A1328">
        <v>334513</v>
      </c>
      <c r="B1328" t="s">
        <v>30959</v>
      </c>
      <c r="C1328" t="str">
        <f>"9780761970422"</f>
        <v>9780761970422</v>
      </c>
      <c r="D1328" t="str">
        <f>"9781847871541"</f>
        <v>9781847871541</v>
      </c>
      <c r="E1328" t="s">
        <v>28007</v>
      </c>
      <c r="F1328" t="s">
        <v>7430</v>
      </c>
      <c r="G1328" t="s">
        <v>22174</v>
      </c>
      <c r="H1328" t="s">
        <v>26011</v>
      </c>
      <c r="I1328" s="26">
        <v>38473</v>
      </c>
      <c r="J1328">
        <v>2005</v>
      </c>
      <c r="K1328" t="s">
        <v>7430</v>
      </c>
      <c r="L1328">
        <v>229</v>
      </c>
      <c r="M1328" t="s">
        <v>30960</v>
      </c>
      <c r="N1328">
        <v>1</v>
      </c>
      <c r="Q1328" t="s">
        <v>30961</v>
      </c>
      <c r="R1328">
        <v>307.76</v>
      </c>
      <c r="S1328" t="s">
        <v>9687</v>
      </c>
      <c r="T1328" t="s">
        <v>30</v>
      </c>
      <c r="U1328" t="s">
        <v>26170</v>
      </c>
      <c r="W1328" t="s">
        <v>26009</v>
      </c>
    </row>
    <row r="1329" spans="1:23" x14ac:dyDescent="0.35">
      <c r="A1329">
        <v>334533</v>
      </c>
      <c r="B1329" t="s">
        <v>6862</v>
      </c>
      <c r="C1329" t="str">
        <f>"9781412918411"</f>
        <v>9781412918411</v>
      </c>
      <c r="D1329" t="str">
        <f>"9781847878441"</f>
        <v>9781847878441</v>
      </c>
      <c r="E1329" t="s">
        <v>28007</v>
      </c>
      <c r="F1329" t="s">
        <v>7430</v>
      </c>
      <c r="G1329" t="s">
        <v>22174</v>
      </c>
      <c r="H1329" t="s">
        <v>26011</v>
      </c>
      <c r="I1329" s="26">
        <v>38805</v>
      </c>
      <c r="J1329">
        <v>2006</v>
      </c>
      <c r="K1329" t="s">
        <v>7430</v>
      </c>
      <c r="L1329">
        <v>209</v>
      </c>
      <c r="M1329" t="s">
        <v>30962</v>
      </c>
      <c r="N1329">
        <v>1</v>
      </c>
      <c r="O1329" t="s">
        <v>30963</v>
      </c>
      <c r="Q1329" t="s">
        <v>30964</v>
      </c>
      <c r="R1329">
        <v>302</v>
      </c>
      <c r="S1329" t="s">
        <v>8735</v>
      </c>
      <c r="T1329" t="s">
        <v>30</v>
      </c>
      <c r="U1329" t="s">
        <v>26044</v>
      </c>
      <c r="W1329" t="s">
        <v>26009</v>
      </c>
    </row>
    <row r="1330" spans="1:23" x14ac:dyDescent="0.35">
      <c r="A1330">
        <v>334541</v>
      </c>
      <c r="B1330" t="s">
        <v>9936</v>
      </c>
      <c r="C1330" t="str">
        <f>"9781412919579"</f>
        <v>9781412919579</v>
      </c>
      <c r="D1330" t="str">
        <f>"9781847878519"</f>
        <v>9781847878519</v>
      </c>
      <c r="E1330" t="s">
        <v>28007</v>
      </c>
      <c r="F1330" t="s">
        <v>7430</v>
      </c>
      <c r="G1330" t="s">
        <v>22174</v>
      </c>
      <c r="H1330" t="s">
        <v>26011</v>
      </c>
      <c r="I1330" s="26">
        <v>39042</v>
      </c>
      <c r="J1330">
        <v>2007</v>
      </c>
      <c r="K1330" t="s">
        <v>7430</v>
      </c>
      <c r="L1330">
        <v>208</v>
      </c>
      <c r="M1330" t="s">
        <v>30965</v>
      </c>
      <c r="N1330">
        <v>1</v>
      </c>
      <c r="Q1330" t="s">
        <v>30966</v>
      </c>
      <c r="R1330">
        <v>616.89139999999998</v>
      </c>
      <c r="S1330" t="s">
        <v>9937</v>
      </c>
      <c r="T1330" t="s">
        <v>30</v>
      </c>
      <c r="U1330" t="s">
        <v>26019</v>
      </c>
      <c r="W1330" t="s">
        <v>26009</v>
      </c>
    </row>
    <row r="1331" spans="1:23" x14ac:dyDescent="0.35">
      <c r="A1331">
        <v>334546</v>
      </c>
      <c r="B1331" t="s">
        <v>30967</v>
      </c>
      <c r="C1331" t="str">
        <f>"9780761942405"</f>
        <v>9780761942405</v>
      </c>
      <c r="D1331" t="str">
        <f>"9781847877482"</f>
        <v>9781847877482</v>
      </c>
      <c r="E1331" t="s">
        <v>28007</v>
      </c>
      <c r="F1331" t="s">
        <v>7430</v>
      </c>
      <c r="G1331" t="s">
        <v>22174</v>
      </c>
      <c r="H1331" t="s">
        <v>26011</v>
      </c>
      <c r="I1331" s="26">
        <v>38869</v>
      </c>
      <c r="J1331">
        <v>2006</v>
      </c>
      <c r="K1331" t="s">
        <v>7430</v>
      </c>
      <c r="L1331">
        <v>153</v>
      </c>
      <c r="M1331" t="s">
        <v>30968</v>
      </c>
      <c r="N1331">
        <v>1</v>
      </c>
      <c r="O1331" t="s">
        <v>30969</v>
      </c>
      <c r="Q1331" t="s">
        <v>30970</v>
      </c>
      <c r="R1331">
        <v>150.71100000000001</v>
      </c>
      <c r="S1331" t="s">
        <v>9970</v>
      </c>
      <c r="T1331" t="s">
        <v>30</v>
      </c>
      <c r="U1331" t="s">
        <v>46</v>
      </c>
      <c r="W1331" t="s">
        <v>26009</v>
      </c>
    </row>
    <row r="1332" spans="1:23" x14ac:dyDescent="0.35">
      <c r="A1332">
        <v>334549</v>
      </c>
      <c r="B1332" t="s">
        <v>30971</v>
      </c>
      <c r="C1332" t="str">
        <f>"9780761968719"</f>
        <v>9780761968719</v>
      </c>
      <c r="D1332" t="str">
        <f>"9781847876355"</f>
        <v>9781847876355</v>
      </c>
      <c r="E1332" t="s">
        <v>28007</v>
      </c>
      <c r="F1332" t="s">
        <v>7430</v>
      </c>
      <c r="G1332" t="s">
        <v>22174</v>
      </c>
      <c r="H1332" t="s">
        <v>26011</v>
      </c>
      <c r="I1332" s="26">
        <v>37344</v>
      </c>
      <c r="J1332">
        <v>2002</v>
      </c>
      <c r="K1332" t="s">
        <v>7430</v>
      </c>
      <c r="L1332">
        <v>156</v>
      </c>
      <c r="M1332" t="s">
        <v>30972</v>
      </c>
      <c r="N1332">
        <v>1</v>
      </c>
      <c r="Q1332" t="s">
        <v>30973</v>
      </c>
      <c r="R1332" t="s">
        <v>27122</v>
      </c>
      <c r="S1332" t="s">
        <v>9980</v>
      </c>
      <c r="T1332" t="s">
        <v>30</v>
      </c>
      <c r="U1332" t="s">
        <v>26116</v>
      </c>
      <c r="W1332" t="s">
        <v>26009</v>
      </c>
    </row>
    <row r="1333" spans="1:23" x14ac:dyDescent="0.35">
      <c r="A1333">
        <v>334573</v>
      </c>
      <c r="B1333" t="s">
        <v>8848</v>
      </c>
      <c r="C1333" t="str">
        <f>"9780761953296"</f>
        <v>9780761953296</v>
      </c>
      <c r="D1333" t="str">
        <f>"9781847876645"</f>
        <v>9781847876645</v>
      </c>
      <c r="E1333" t="s">
        <v>28007</v>
      </c>
      <c r="F1333" t="s">
        <v>7430</v>
      </c>
      <c r="G1333" t="s">
        <v>22174</v>
      </c>
      <c r="H1333" t="s">
        <v>26011</v>
      </c>
      <c r="I1333" s="26">
        <v>36843</v>
      </c>
      <c r="J1333">
        <v>2000</v>
      </c>
      <c r="K1333" t="s">
        <v>7430</v>
      </c>
      <c r="L1333">
        <v>663</v>
      </c>
      <c r="M1333" t="s">
        <v>30974</v>
      </c>
      <c r="N1333">
        <v>1</v>
      </c>
      <c r="Q1333" t="s">
        <v>30975</v>
      </c>
      <c r="R1333">
        <v>150</v>
      </c>
      <c r="S1333" t="s">
        <v>30976</v>
      </c>
      <c r="T1333" t="s">
        <v>30</v>
      </c>
      <c r="U1333" t="s">
        <v>46</v>
      </c>
      <c r="W1333" t="s">
        <v>26009</v>
      </c>
    </row>
    <row r="1334" spans="1:23" x14ac:dyDescent="0.35">
      <c r="A1334">
        <v>334591</v>
      </c>
      <c r="B1334" t="s">
        <v>30977</v>
      </c>
      <c r="C1334" t="str">
        <f>"9780803977563"</f>
        <v>9780803977563</v>
      </c>
      <c r="D1334" t="str">
        <f>"9781847877024"</f>
        <v>9781847877024</v>
      </c>
      <c r="E1334" t="s">
        <v>28007</v>
      </c>
      <c r="F1334" t="s">
        <v>7430</v>
      </c>
      <c r="G1334" t="s">
        <v>22174</v>
      </c>
      <c r="H1334" t="s">
        <v>26011</v>
      </c>
      <c r="I1334" s="26">
        <v>38492</v>
      </c>
      <c r="J1334">
        <v>2005</v>
      </c>
      <c r="K1334" t="s">
        <v>7430</v>
      </c>
      <c r="L1334">
        <v>216</v>
      </c>
      <c r="M1334" t="s">
        <v>30978</v>
      </c>
      <c r="N1334">
        <v>1</v>
      </c>
      <c r="O1334" t="s">
        <v>30979</v>
      </c>
      <c r="Q1334" t="s">
        <v>30980</v>
      </c>
      <c r="R1334">
        <v>153</v>
      </c>
      <c r="S1334" t="s">
        <v>9891</v>
      </c>
      <c r="T1334" t="s">
        <v>30</v>
      </c>
      <c r="U1334" t="s">
        <v>46</v>
      </c>
      <c r="W1334" t="s">
        <v>26009</v>
      </c>
    </row>
    <row r="1335" spans="1:23" x14ac:dyDescent="0.35">
      <c r="A1335">
        <v>334607</v>
      </c>
      <c r="B1335" t="s">
        <v>30981</v>
      </c>
      <c r="C1335" t="str">
        <f>"9780761942214"</f>
        <v>9780761942214</v>
      </c>
      <c r="D1335" t="str">
        <f>"9781847871220"</f>
        <v>9781847871220</v>
      </c>
      <c r="E1335" t="s">
        <v>28007</v>
      </c>
      <c r="F1335" t="s">
        <v>7430</v>
      </c>
      <c r="G1335" t="s">
        <v>22174</v>
      </c>
      <c r="H1335" t="s">
        <v>26011</v>
      </c>
      <c r="I1335" s="26">
        <v>38473</v>
      </c>
      <c r="J1335">
        <v>2005</v>
      </c>
      <c r="K1335" t="s">
        <v>7430</v>
      </c>
      <c r="L1335">
        <v>376</v>
      </c>
      <c r="M1335" t="s">
        <v>30982</v>
      </c>
      <c r="N1335">
        <v>1</v>
      </c>
      <c r="Q1335" t="s">
        <v>30983</v>
      </c>
      <c r="R1335">
        <v>302</v>
      </c>
      <c r="S1335" t="s">
        <v>10171</v>
      </c>
      <c r="T1335" t="s">
        <v>30</v>
      </c>
      <c r="U1335" t="s">
        <v>26044</v>
      </c>
      <c r="W1335" t="s">
        <v>26009</v>
      </c>
    </row>
    <row r="1336" spans="1:23" x14ac:dyDescent="0.35">
      <c r="A1336">
        <v>334939</v>
      </c>
      <c r="B1336" t="s">
        <v>8118</v>
      </c>
      <c r="C1336" t="str">
        <f>"9781843105718"</f>
        <v>9781843105718</v>
      </c>
      <c r="D1336" t="str">
        <f>"9781846426766"</f>
        <v>9781846426766</v>
      </c>
      <c r="E1336" t="s">
        <v>146</v>
      </c>
      <c r="F1336" t="s">
        <v>146</v>
      </c>
      <c r="G1336" t="s">
        <v>22174</v>
      </c>
      <c r="H1336" t="s">
        <v>26011</v>
      </c>
      <c r="I1336" s="26">
        <v>39340</v>
      </c>
      <c r="J1336">
        <v>2007</v>
      </c>
      <c r="K1336" t="s">
        <v>146</v>
      </c>
      <c r="L1336">
        <v>183</v>
      </c>
      <c r="M1336" t="s">
        <v>30984</v>
      </c>
      <c r="N1336">
        <v>1</v>
      </c>
      <c r="O1336" t="s">
        <v>30985</v>
      </c>
      <c r="Q1336" t="s">
        <v>30986</v>
      </c>
      <c r="R1336">
        <v>616.83000000000004</v>
      </c>
      <c r="T1336" t="s">
        <v>30</v>
      </c>
      <c r="U1336" t="s">
        <v>26116</v>
      </c>
      <c r="W1336" t="s">
        <v>28347</v>
      </c>
    </row>
    <row r="1337" spans="1:23" x14ac:dyDescent="0.35">
      <c r="A1337">
        <v>334941</v>
      </c>
      <c r="B1337" t="s">
        <v>30987</v>
      </c>
      <c r="C1337" t="str">
        <f>"9781843102298"</f>
        <v>9781843102298</v>
      </c>
      <c r="D1337" t="str">
        <f>"9781846426780"</f>
        <v>9781846426780</v>
      </c>
      <c r="E1337" t="s">
        <v>146</v>
      </c>
      <c r="F1337" t="s">
        <v>146</v>
      </c>
      <c r="G1337" t="s">
        <v>22174</v>
      </c>
      <c r="H1337" t="s">
        <v>26011</v>
      </c>
      <c r="I1337" s="26">
        <v>39340</v>
      </c>
      <c r="J1337">
        <v>2007</v>
      </c>
      <c r="K1337" t="s">
        <v>146</v>
      </c>
      <c r="L1337">
        <v>147</v>
      </c>
      <c r="M1337" t="s">
        <v>30988</v>
      </c>
      <c r="N1337">
        <v>1</v>
      </c>
      <c r="O1337" t="s">
        <v>30985</v>
      </c>
      <c r="Q1337" t="s">
        <v>30989</v>
      </c>
      <c r="R1337">
        <v>362.19682999999998</v>
      </c>
      <c r="S1337" t="s">
        <v>30990</v>
      </c>
      <c r="T1337" t="s">
        <v>30</v>
      </c>
      <c r="U1337" t="s">
        <v>29688</v>
      </c>
      <c r="W1337" t="s">
        <v>28347</v>
      </c>
    </row>
    <row r="1338" spans="1:23" x14ac:dyDescent="0.35">
      <c r="A1338">
        <v>334943</v>
      </c>
      <c r="B1338" t="s">
        <v>30991</v>
      </c>
      <c r="C1338" t="str">
        <f>"9781843105138"</f>
        <v>9781843105138</v>
      </c>
      <c r="D1338" t="str">
        <f>"9781846426858"</f>
        <v>9781846426858</v>
      </c>
      <c r="E1338" t="s">
        <v>146</v>
      </c>
      <c r="F1338" t="s">
        <v>146</v>
      </c>
      <c r="G1338" t="s">
        <v>22174</v>
      </c>
      <c r="H1338" t="s">
        <v>26011</v>
      </c>
      <c r="I1338" s="26">
        <v>39340</v>
      </c>
      <c r="J1338">
        <v>2007</v>
      </c>
      <c r="K1338" t="s">
        <v>146</v>
      </c>
      <c r="L1338">
        <v>162</v>
      </c>
      <c r="M1338" t="s">
        <v>30992</v>
      </c>
      <c r="N1338">
        <v>1</v>
      </c>
      <c r="Q1338" t="s">
        <v>30993</v>
      </c>
      <c r="T1338" t="s">
        <v>30</v>
      </c>
      <c r="U1338" t="s">
        <v>26116</v>
      </c>
      <c r="W1338" t="s">
        <v>28347</v>
      </c>
    </row>
    <row r="1339" spans="1:23" x14ac:dyDescent="0.35">
      <c r="A1339">
        <v>334944</v>
      </c>
      <c r="B1339" t="s">
        <v>30994</v>
      </c>
      <c r="C1339" t="str">
        <f>"9781843104933"</f>
        <v>9781843104933</v>
      </c>
      <c r="D1339" t="str">
        <f>"9781846426797"</f>
        <v>9781846426797</v>
      </c>
      <c r="E1339" t="s">
        <v>146</v>
      </c>
      <c r="F1339" t="s">
        <v>146</v>
      </c>
      <c r="G1339" t="s">
        <v>22174</v>
      </c>
      <c r="H1339" t="s">
        <v>26011</v>
      </c>
      <c r="I1339" s="26">
        <v>39340</v>
      </c>
      <c r="J1339">
        <v>2007</v>
      </c>
      <c r="K1339" t="s">
        <v>146</v>
      </c>
      <c r="L1339">
        <v>227</v>
      </c>
      <c r="M1339" t="s">
        <v>30995</v>
      </c>
      <c r="N1339">
        <v>1</v>
      </c>
      <c r="Q1339" t="s">
        <v>30996</v>
      </c>
      <c r="R1339">
        <v>362.29092200000002</v>
      </c>
      <c r="S1339" t="s">
        <v>30997</v>
      </c>
      <c r="T1339" t="s">
        <v>30</v>
      </c>
      <c r="U1339" t="s">
        <v>28484</v>
      </c>
      <c r="W1339" t="s">
        <v>28347</v>
      </c>
    </row>
    <row r="1340" spans="1:23" x14ac:dyDescent="0.35">
      <c r="A1340">
        <v>334946</v>
      </c>
      <c r="B1340" t="s">
        <v>30998</v>
      </c>
      <c r="C1340" t="str">
        <f>"9781843103707"</f>
        <v>9781843103707</v>
      </c>
      <c r="D1340" t="str">
        <f>"9781846426841"</f>
        <v>9781846426841</v>
      </c>
      <c r="E1340" t="s">
        <v>146</v>
      </c>
      <c r="F1340" t="s">
        <v>146</v>
      </c>
      <c r="G1340" t="s">
        <v>22174</v>
      </c>
      <c r="H1340" t="s">
        <v>26011</v>
      </c>
      <c r="I1340" s="26">
        <v>39340</v>
      </c>
      <c r="J1340">
        <v>2007</v>
      </c>
      <c r="K1340" t="s">
        <v>146</v>
      </c>
      <c r="L1340">
        <v>180</v>
      </c>
      <c r="M1340" t="s">
        <v>30999</v>
      </c>
      <c r="N1340">
        <v>1</v>
      </c>
      <c r="Q1340" t="s">
        <v>31000</v>
      </c>
      <c r="R1340">
        <v>362.73301900000001</v>
      </c>
      <c r="S1340" t="s">
        <v>31001</v>
      </c>
      <c r="T1340" t="s">
        <v>30</v>
      </c>
      <c r="U1340" t="s">
        <v>26044</v>
      </c>
      <c r="W1340" t="s">
        <v>28347</v>
      </c>
    </row>
    <row r="1341" spans="1:23" x14ac:dyDescent="0.35">
      <c r="A1341">
        <v>334947</v>
      </c>
      <c r="B1341" t="s">
        <v>31002</v>
      </c>
      <c r="C1341" t="str">
        <f>"9781843108696"</f>
        <v>9781843108696</v>
      </c>
      <c r="D1341" t="str">
        <f>"9781846426810"</f>
        <v>9781846426810</v>
      </c>
      <c r="E1341" t="s">
        <v>146</v>
      </c>
      <c r="F1341" t="s">
        <v>146</v>
      </c>
      <c r="G1341" t="s">
        <v>22174</v>
      </c>
      <c r="H1341" t="s">
        <v>26011</v>
      </c>
      <c r="I1341" s="26">
        <v>39340</v>
      </c>
      <c r="J1341">
        <v>2007</v>
      </c>
      <c r="K1341" t="s">
        <v>146</v>
      </c>
      <c r="L1341">
        <v>162</v>
      </c>
      <c r="M1341" t="s">
        <v>31003</v>
      </c>
      <c r="N1341">
        <v>1</v>
      </c>
      <c r="Q1341" t="s">
        <v>31004</v>
      </c>
      <c r="R1341" t="s">
        <v>29458</v>
      </c>
      <c r="S1341" t="s">
        <v>31005</v>
      </c>
      <c r="T1341" t="s">
        <v>30</v>
      </c>
      <c r="U1341" t="s">
        <v>26116</v>
      </c>
      <c r="W1341" t="s">
        <v>28347</v>
      </c>
    </row>
    <row r="1342" spans="1:23" x14ac:dyDescent="0.35">
      <c r="A1342">
        <v>334989</v>
      </c>
      <c r="B1342" t="s">
        <v>9022</v>
      </c>
      <c r="C1342" t="str">
        <f>"9780521609777"</f>
        <v>9780521609777</v>
      </c>
      <c r="D1342" t="str">
        <f>"9780511384707"</f>
        <v>9780511384707</v>
      </c>
      <c r="E1342" t="s">
        <v>167</v>
      </c>
      <c r="F1342" t="s">
        <v>167</v>
      </c>
      <c r="G1342" t="s">
        <v>22218</v>
      </c>
      <c r="H1342" t="s">
        <v>26011</v>
      </c>
      <c r="I1342" s="26">
        <v>39513</v>
      </c>
      <c r="J1342">
        <v>2008</v>
      </c>
      <c r="K1342" t="s">
        <v>167</v>
      </c>
      <c r="L1342">
        <v>234</v>
      </c>
      <c r="M1342" t="s">
        <v>31006</v>
      </c>
      <c r="N1342">
        <v>1</v>
      </c>
      <c r="Q1342" t="s">
        <v>31007</v>
      </c>
      <c r="R1342">
        <v>618.92399999999998</v>
      </c>
      <c r="S1342" t="s">
        <v>9023</v>
      </c>
      <c r="T1342" t="s">
        <v>30</v>
      </c>
      <c r="U1342" t="s">
        <v>26040</v>
      </c>
      <c r="W1342" t="s">
        <v>26020</v>
      </c>
    </row>
    <row r="1343" spans="1:23" x14ac:dyDescent="0.35">
      <c r="A1343">
        <v>334991</v>
      </c>
      <c r="B1343" t="s">
        <v>9913</v>
      </c>
      <c r="C1343" t="str">
        <f>"9780521689595"</f>
        <v>9780521689595</v>
      </c>
      <c r="D1343" t="str">
        <f>"9780511384714"</f>
        <v>9780511384714</v>
      </c>
      <c r="E1343" t="s">
        <v>167</v>
      </c>
      <c r="F1343" t="s">
        <v>167</v>
      </c>
      <c r="G1343" t="s">
        <v>22218</v>
      </c>
      <c r="H1343" t="s">
        <v>26011</v>
      </c>
      <c r="I1343" s="26">
        <v>39527</v>
      </c>
      <c r="J1343">
        <v>2008</v>
      </c>
      <c r="K1343" t="s">
        <v>167</v>
      </c>
      <c r="L1343">
        <v>267</v>
      </c>
      <c r="M1343" t="s">
        <v>31008</v>
      </c>
      <c r="N1343">
        <v>1</v>
      </c>
      <c r="Q1343" t="s">
        <v>31009</v>
      </c>
      <c r="R1343">
        <v>362.20420000000001</v>
      </c>
      <c r="S1343" t="s">
        <v>9914</v>
      </c>
      <c r="T1343" t="s">
        <v>30</v>
      </c>
      <c r="U1343" t="s">
        <v>26079</v>
      </c>
      <c r="W1343" t="s">
        <v>26020</v>
      </c>
    </row>
    <row r="1344" spans="1:23" x14ac:dyDescent="0.35">
      <c r="A1344">
        <v>335034</v>
      </c>
      <c r="B1344" t="s">
        <v>31010</v>
      </c>
      <c r="C1344" t="str">
        <f>"9780521873147"</f>
        <v>9780521873147</v>
      </c>
      <c r="D1344" t="str">
        <f>"9780511384912"</f>
        <v>9780511384912</v>
      </c>
      <c r="E1344" t="s">
        <v>167</v>
      </c>
      <c r="F1344" t="s">
        <v>167</v>
      </c>
      <c r="G1344" t="s">
        <v>22218</v>
      </c>
      <c r="H1344" t="s">
        <v>26011</v>
      </c>
      <c r="I1344" s="26">
        <v>39476</v>
      </c>
      <c r="J1344">
        <v>2008</v>
      </c>
      <c r="K1344" t="s">
        <v>167</v>
      </c>
      <c r="L1344">
        <v>320</v>
      </c>
      <c r="M1344" t="s">
        <v>31011</v>
      </c>
      <c r="N1344">
        <v>1</v>
      </c>
      <c r="Q1344" t="s">
        <v>31012</v>
      </c>
      <c r="R1344" t="s">
        <v>28830</v>
      </c>
      <c r="S1344" t="s">
        <v>31013</v>
      </c>
      <c r="T1344" t="s">
        <v>30</v>
      </c>
      <c r="U1344" t="s">
        <v>26116</v>
      </c>
      <c r="W1344" t="s">
        <v>26020</v>
      </c>
    </row>
    <row r="1345" spans="1:23" x14ac:dyDescent="0.35">
      <c r="A1345">
        <v>335403</v>
      </c>
      <c r="B1345" t="s">
        <v>31014</v>
      </c>
      <c r="C1345" t="str">
        <f>"9780816649402"</f>
        <v>9780816649402</v>
      </c>
      <c r="D1345" t="str">
        <f>"9780816654352"</f>
        <v>9780816654352</v>
      </c>
      <c r="E1345" t="s">
        <v>7471</v>
      </c>
      <c r="F1345" t="s">
        <v>7471</v>
      </c>
      <c r="G1345" t="s">
        <v>23536</v>
      </c>
      <c r="H1345" t="s">
        <v>26004</v>
      </c>
      <c r="I1345" s="26">
        <v>39184</v>
      </c>
      <c r="J1345">
        <v>2007</v>
      </c>
      <c r="K1345" t="s">
        <v>7471</v>
      </c>
      <c r="L1345">
        <v>206</v>
      </c>
      <c r="M1345" t="s">
        <v>31015</v>
      </c>
      <c r="N1345">
        <v>1</v>
      </c>
      <c r="O1345" t="s">
        <v>31016</v>
      </c>
      <c r="Q1345" t="s">
        <v>31017</v>
      </c>
      <c r="R1345" t="s">
        <v>31018</v>
      </c>
      <c r="S1345" t="s">
        <v>31019</v>
      </c>
      <c r="T1345" t="s">
        <v>30</v>
      </c>
      <c r="U1345" t="s">
        <v>31020</v>
      </c>
      <c r="W1345" t="s">
        <v>26009</v>
      </c>
    </row>
    <row r="1346" spans="1:23" x14ac:dyDescent="0.35">
      <c r="A1346">
        <v>335491</v>
      </c>
      <c r="B1346" t="s">
        <v>31021</v>
      </c>
      <c r="C1346" t="str">
        <f>"9780805837124"</f>
        <v>9780805837124</v>
      </c>
      <c r="D1346" t="str">
        <f>"9781410609656"</f>
        <v>9781410609656</v>
      </c>
      <c r="E1346" t="s">
        <v>26010</v>
      </c>
      <c r="F1346" t="s">
        <v>35</v>
      </c>
      <c r="G1346" t="s">
        <v>26128</v>
      </c>
      <c r="H1346" t="s">
        <v>26011</v>
      </c>
      <c r="I1346" s="26">
        <v>35065</v>
      </c>
      <c r="J1346">
        <v>2003</v>
      </c>
      <c r="K1346" t="s">
        <v>26012</v>
      </c>
      <c r="L1346">
        <v>273</v>
      </c>
      <c r="M1346" t="s">
        <v>31022</v>
      </c>
      <c r="N1346">
        <v>1</v>
      </c>
      <c r="O1346" t="s">
        <v>27533</v>
      </c>
      <c r="Q1346" t="s">
        <v>31023</v>
      </c>
      <c r="R1346">
        <v>302</v>
      </c>
      <c r="S1346" t="s">
        <v>8266</v>
      </c>
      <c r="T1346" t="s">
        <v>30</v>
      </c>
      <c r="U1346" t="s">
        <v>26044</v>
      </c>
      <c r="W1346" t="s">
        <v>26009</v>
      </c>
    </row>
    <row r="1347" spans="1:23" x14ac:dyDescent="0.35">
      <c r="A1347">
        <v>335498</v>
      </c>
      <c r="B1347" t="s">
        <v>31024</v>
      </c>
      <c r="C1347" t="str">
        <f>"9780805842999"</f>
        <v>9780805842999</v>
      </c>
      <c r="D1347" t="str">
        <f>"9781410609861"</f>
        <v>9781410609861</v>
      </c>
      <c r="E1347" t="s">
        <v>26010</v>
      </c>
      <c r="F1347" t="s">
        <v>35</v>
      </c>
      <c r="G1347" t="s">
        <v>22174</v>
      </c>
      <c r="H1347" t="s">
        <v>26011</v>
      </c>
      <c r="I1347" s="26">
        <v>37956</v>
      </c>
      <c r="J1347">
        <v>2003</v>
      </c>
      <c r="K1347" t="s">
        <v>660</v>
      </c>
      <c r="L1347">
        <v>390</v>
      </c>
      <c r="M1347" t="s">
        <v>31025</v>
      </c>
      <c r="N1347">
        <v>1</v>
      </c>
      <c r="Q1347" t="s">
        <v>31026</v>
      </c>
      <c r="R1347" t="s">
        <v>31027</v>
      </c>
      <c r="S1347" t="s">
        <v>9339</v>
      </c>
      <c r="T1347" t="s">
        <v>30</v>
      </c>
      <c r="U1347" t="s">
        <v>46</v>
      </c>
      <c r="W1347" t="s">
        <v>26009</v>
      </c>
    </row>
    <row r="1348" spans="1:23" x14ac:dyDescent="0.35">
      <c r="A1348">
        <v>335501</v>
      </c>
      <c r="B1348" t="s">
        <v>9730</v>
      </c>
      <c r="C1348" t="str">
        <f>"9780805844863"</f>
        <v>9780805844863</v>
      </c>
      <c r="D1348" t="str">
        <f>"9781410609816"</f>
        <v>9781410609816</v>
      </c>
      <c r="E1348" t="s">
        <v>26010</v>
      </c>
      <c r="F1348" t="s">
        <v>35</v>
      </c>
      <c r="G1348" t="s">
        <v>22436</v>
      </c>
      <c r="H1348" t="s">
        <v>26004</v>
      </c>
      <c r="I1348" s="26">
        <v>37956</v>
      </c>
      <c r="J1348">
        <v>2003</v>
      </c>
      <c r="K1348" t="s">
        <v>660</v>
      </c>
      <c r="L1348">
        <v>350</v>
      </c>
      <c r="M1348" t="s">
        <v>31028</v>
      </c>
      <c r="N1348">
        <v>1</v>
      </c>
      <c r="Q1348" t="s">
        <v>31029</v>
      </c>
      <c r="R1348" t="s">
        <v>31030</v>
      </c>
      <c r="S1348" t="s">
        <v>31031</v>
      </c>
      <c r="T1348" t="s">
        <v>30</v>
      </c>
      <c r="U1348" t="s">
        <v>26044</v>
      </c>
      <c r="W1348" t="s">
        <v>26009</v>
      </c>
    </row>
    <row r="1349" spans="1:23" x14ac:dyDescent="0.35">
      <c r="A1349">
        <v>335502</v>
      </c>
      <c r="B1349" t="s">
        <v>31032</v>
      </c>
      <c r="C1349" t="str">
        <f>"9780805842180"</f>
        <v>9780805842180</v>
      </c>
      <c r="D1349" t="str">
        <f>"9781410609984"</f>
        <v>9781410609984</v>
      </c>
      <c r="E1349" t="s">
        <v>26010</v>
      </c>
      <c r="F1349" t="s">
        <v>35</v>
      </c>
      <c r="G1349" t="s">
        <v>22436</v>
      </c>
      <c r="H1349" t="s">
        <v>26004</v>
      </c>
      <c r="I1349" s="26">
        <v>37956</v>
      </c>
      <c r="J1349">
        <v>2003</v>
      </c>
      <c r="K1349" t="s">
        <v>660</v>
      </c>
      <c r="L1349">
        <v>367</v>
      </c>
      <c r="M1349" t="s">
        <v>31033</v>
      </c>
      <c r="N1349">
        <v>1</v>
      </c>
      <c r="Q1349" t="s">
        <v>31034</v>
      </c>
      <c r="R1349" t="s">
        <v>27131</v>
      </c>
      <c r="S1349" t="s">
        <v>31035</v>
      </c>
      <c r="T1349" t="s">
        <v>30</v>
      </c>
      <c r="U1349" t="s">
        <v>46</v>
      </c>
      <c r="W1349" t="s">
        <v>26009</v>
      </c>
    </row>
    <row r="1350" spans="1:23" x14ac:dyDescent="0.35">
      <c r="A1350">
        <v>335506</v>
      </c>
      <c r="B1350" t="s">
        <v>8598</v>
      </c>
      <c r="C1350" t="str">
        <f>"9780805840704"</f>
        <v>9780805840704</v>
      </c>
      <c r="D1350" t="str">
        <f>"9781410610171"</f>
        <v>9781410610171</v>
      </c>
      <c r="E1350" t="s">
        <v>26010</v>
      </c>
      <c r="F1350" t="s">
        <v>35</v>
      </c>
      <c r="G1350" t="s">
        <v>26128</v>
      </c>
      <c r="H1350" t="s">
        <v>26011</v>
      </c>
      <c r="I1350" s="26">
        <v>38008</v>
      </c>
      <c r="J1350">
        <v>2004</v>
      </c>
      <c r="K1350" t="s">
        <v>26012</v>
      </c>
      <c r="L1350">
        <v>617</v>
      </c>
      <c r="M1350" t="s">
        <v>31036</v>
      </c>
      <c r="N1350">
        <v>2</v>
      </c>
      <c r="R1350">
        <v>305.26</v>
      </c>
      <c r="S1350" t="s">
        <v>31037</v>
      </c>
      <c r="T1350" t="s">
        <v>30</v>
      </c>
      <c r="U1350" t="s">
        <v>26044</v>
      </c>
      <c r="W1350" t="s">
        <v>26009</v>
      </c>
    </row>
    <row r="1351" spans="1:23" x14ac:dyDescent="0.35">
      <c r="A1351">
        <v>335512</v>
      </c>
      <c r="B1351" t="s">
        <v>9940</v>
      </c>
      <c r="C1351" t="str">
        <f>"9780805848267"</f>
        <v>9780805848267</v>
      </c>
      <c r="D1351" t="str">
        <f>"9781410610003"</f>
        <v>9781410610003</v>
      </c>
      <c r="E1351" t="s">
        <v>26010</v>
      </c>
      <c r="F1351" t="s">
        <v>35</v>
      </c>
      <c r="G1351" t="s">
        <v>22436</v>
      </c>
      <c r="H1351" t="s">
        <v>26004</v>
      </c>
      <c r="I1351" s="26">
        <v>38027</v>
      </c>
      <c r="J1351">
        <v>2004</v>
      </c>
      <c r="K1351" t="s">
        <v>660</v>
      </c>
      <c r="L1351">
        <v>442</v>
      </c>
      <c r="M1351" t="s">
        <v>31038</v>
      </c>
      <c r="N1351">
        <v>1</v>
      </c>
      <c r="Q1351" t="s">
        <v>31039</v>
      </c>
      <c r="R1351">
        <v>338.4</v>
      </c>
      <c r="S1351" t="s">
        <v>31040</v>
      </c>
      <c r="T1351" t="s">
        <v>30</v>
      </c>
      <c r="U1351" t="s">
        <v>31041</v>
      </c>
      <c r="W1351" t="s">
        <v>26009</v>
      </c>
    </row>
    <row r="1352" spans="1:23" x14ac:dyDescent="0.35">
      <c r="A1352">
        <v>335513</v>
      </c>
      <c r="B1352" t="s">
        <v>8595</v>
      </c>
      <c r="C1352" t="str">
        <f>"9780805842845"</f>
        <v>9780805842845</v>
      </c>
      <c r="D1352" t="str">
        <f>"9781410610010"</f>
        <v>9781410610010</v>
      </c>
      <c r="E1352" t="s">
        <v>26010</v>
      </c>
      <c r="F1352" t="s">
        <v>35</v>
      </c>
      <c r="G1352" t="s">
        <v>22436</v>
      </c>
      <c r="H1352" t="s">
        <v>26004</v>
      </c>
      <c r="I1352" s="26">
        <v>38028</v>
      </c>
      <c r="J1352">
        <v>2004</v>
      </c>
      <c r="K1352" t="s">
        <v>660</v>
      </c>
      <c r="L1352">
        <v>465</v>
      </c>
      <c r="M1352" t="s">
        <v>31042</v>
      </c>
      <c r="N1352">
        <v>1</v>
      </c>
      <c r="Q1352" t="s">
        <v>31043</v>
      </c>
      <c r="R1352">
        <v>158.19999999999999</v>
      </c>
      <c r="S1352" t="s">
        <v>7876</v>
      </c>
      <c r="T1352" t="s">
        <v>30</v>
      </c>
      <c r="U1352" t="s">
        <v>46</v>
      </c>
      <c r="W1352" t="s">
        <v>26009</v>
      </c>
    </row>
    <row r="1353" spans="1:23" x14ac:dyDescent="0.35">
      <c r="A1353">
        <v>335514</v>
      </c>
      <c r="B1353" t="s">
        <v>9383</v>
      </c>
      <c r="C1353" t="str">
        <f>"9780805837582"</f>
        <v>9780805837582</v>
      </c>
      <c r="D1353" t="str">
        <f>"9781410610034"</f>
        <v>9781410610034</v>
      </c>
      <c r="E1353" t="s">
        <v>26010</v>
      </c>
      <c r="F1353" t="s">
        <v>35</v>
      </c>
      <c r="G1353" t="s">
        <v>22436</v>
      </c>
      <c r="H1353" t="s">
        <v>26004</v>
      </c>
      <c r="I1353" s="26">
        <v>38047</v>
      </c>
      <c r="J1353">
        <v>2004</v>
      </c>
      <c r="K1353" t="s">
        <v>660</v>
      </c>
      <c r="L1353">
        <v>464</v>
      </c>
      <c r="M1353" t="s">
        <v>31044</v>
      </c>
      <c r="N1353">
        <v>1</v>
      </c>
      <c r="O1353" t="s">
        <v>27657</v>
      </c>
      <c r="Q1353" t="s">
        <v>31045</v>
      </c>
      <c r="R1353">
        <v>158.69999999999999</v>
      </c>
      <c r="S1353" t="s">
        <v>9384</v>
      </c>
      <c r="T1353" t="s">
        <v>30</v>
      </c>
      <c r="U1353" t="s">
        <v>46</v>
      </c>
      <c r="W1353" t="s">
        <v>26009</v>
      </c>
    </row>
    <row r="1354" spans="1:23" x14ac:dyDescent="0.35">
      <c r="A1354">
        <v>335516</v>
      </c>
      <c r="B1354" t="s">
        <v>31046</v>
      </c>
      <c r="C1354" t="str">
        <f>"9780805842661"</f>
        <v>9780805842661</v>
      </c>
      <c r="D1354" t="str">
        <f>"9781410610089"</f>
        <v>9781410610089</v>
      </c>
      <c r="E1354" t="s">
        <v>26010</v>
      </c>
      <c r="F1354" t="s">
        <v>35</v>
      </c>
      <c r="G1354" t="s">
        <v>22436</v>
      </c>
      <c r="H1354" t="s">
        <v>26004</v>
      </c>
      <c r="I1354" s="26">
        <v>38040</v>
      </c>
      <c r="J1354">
        <v>2004</v>
      </c>
      <c r="K1354" t="s">
        <v>660</v>
      </c>
      <c r="L1354">
        <v>290</v>
      </c>
      <c r="M1354" t="s">
        <v>31047</v>
      </c>
      <c r="N1354">
        <v>1</v>
      </c>
      <c r="Q1354" t="s">
        <v>31048</v>
      </c>
      <c r="R1354">
        <v>302</v>
      </c>
      <c r="S1354" t="s">
        <v>31049</v>
      </c>
      <c r="T1354" t="s">
        <v>30</v>
      </c>
      <c r="U1354" t="s">
        <v>26044</v>
      </c>
      <c r="W1354" t="s">
        <v>26009</v>
      </c>
    </row>
    <row r="1355" spans="1:23" x14ac:dyDescent="0.35">
      <c r="A1355">
        <v>335522</v>
      </c>
      <c r="B1355" t="s">
        <v>8658</v>
      </c>
      <c r="C1355" t="str">
        <f>"9780805845488"</f>
        <v>9780805845488</v>
      </c>
      <c r="D1355" t="str">
        <f>"9781410610249"</f>
        <v>9781410610249</v>
      </c>
      <c r="E1355" t="s">
        <v>26010</v>
      </c>
      <c r="F1355" t="s">
        <v>35</v>
      </c>
      <c r="G1355" t="s">
        <v>22436</v>
      </c>
      <c r="H1355" t="s">
        <v>26004</v>
      </c>
      <c r="I1355" s="26">
        <v>38061</v>
      </c>
      <c r="J1355">
        <v>2005</v>
      </c>
      <c r="K1355" t="s">
        <v>660</v>
      </c>
      <c r="L1355">
        <v>697</v>
      </c>
      <c r="M1355" t="s">
        <v>31050</v>
      </c>
      <c r="N1355">
        <v>1</v>
      </c>
      <c r="Q1355" t="s">
        <v>31051</v>
      </c>
      <c r="R1355">
        <v>306.7</v>
      </c>
      <c r="S1355" t="s">
        <v>31052</v>
      </c>
      <c r="T1355" t="s">
        <v>30</v>
      </c>
      <c r="U1355" t="s">
        <v>26044</v>
      </c>
      <c r="W1355" t="s">
        <v>26009</v>
      </c>
    </row>
    <row r="1356" spans="1:23" x14ac:dyDescent="0.35">
      <c r="A1356">
        <v>335525</v>
      </c>
      <c r="B1356" t="s">
        <v>31053</v>
      </c>
      <c r="C1356" t="str">
        <f>"9780805842821"</f>
        <v>9780805842821</v>
      </c>
      <c r="D1356" t="str">
        <f>"9781410610300"</f>
        <v>9781410610300</v>
      </c>
      <c r="E1356" t="s">
        <v>26010</v>
      </c>
      <c r="F1356" t="s">
        <v>35</v>
      </c>
      <c r="G1356" t="s">
        <v>22436</v>
      </c>
      <c r="H1356" t="s">
        <v>26004</v>
      </c>
      <c r="I1356" s="26">
        <v>38062</v>
      </c>
      <c r="J1356">
        <v>2004</v>
      </c>
      <c r="K1356" t="s">
        <v>26012</v>
      </c>
      <c r="L1356">
        <v>451</v>
      </c>
      <c r="M1356" t="s">
        <v>31054</v>
      </c>
      <c r="N1356">
        <v>1</v>
      </c>
      <c r="Q1356" t="s">
        <v>31055</v>
      </c>
      <c r="R1356">
        <v>306.85000000000002</v>
      </c>
      <c r="S1356" t="s">
        <v>31056</v>
      </c>
      <c r="T1356" t="s">
        <v>30</v>
      </c>
      <c r="U1356" t="s">
        <v>26044</v>
      </c>
      <c r="W1356" t="s">
        <v>26009</v>
      </c>
    </row>
    <row r="1357" spans="1:23" x14ac:dyDescent="0.35">
      <c r="A1357">
        <v>335529</v>
      </c>
      <c r="B1357" t="s">
        <v>31057</v>
      </c>
      <c r="C1357" t="str">
        <f>"9780805833706"</f>
        <v>9780805833706</v>
      </c>
      <c r="D1357" t="str">
        <f>"9781410607225"</f>
        <v>9781410607225</v>
      </c>
      <c r="E1357" t="s">
        <v>26010</v>
      </c>
      <c r="F1357" t="s">
        <v>35</v>
      </c>
      <c r="G1357" t="s">
        <v>22436</v>
      </c>
      <c r="H1357" t="s">
        <v>26004</v>
      </c>
      <c r="I1357" s="26">
        <v>37622</v>
      </c>
      <c r="J1357">
        <v>2003</v>
      </c>
      <c r="K1357" t="s">
        <v>660</v>
      </c>
      <c r="L1357">
        <v>353</v>
      </c>
      <c r="M1357" t="s">
        <v>31058</v>
      </c>
      <c r="N1357">
        <v>1</v>
      </c>
      <c r="Q1357" t="s">
        <v>31059</v>
      </c>
      <c r="R1357" t="s">
        <v>31060</v>
      </c>
      <c r="S1357" t="s">
        <v>31061</v>
      </c>
      <c r="T1357" t="s">
        <v>30</v>
      </c>
      <c r="U1357" t="s">
        <v>26116</v>
      </c>
      <c r="W1357" t="s">
        <v>26009</v>
      </c>
    </row>
    <row r="1358" spans="1:23" x14ac:dyDescent="0.35">
      <c r="A1358">
        <v>335531</v>
      </c>
      <c r="B1358" t="s">
        <v>9396</v>
      </c>
      <c r="C1358" t="str">
        <f>"9780805842692"</f>
        <v>9780805842692</v>
      </c>
      <c r="D1358" t="str">
        <f>"9781410607447"</f>
        <v>9781410607447</v>
      </c>
      <c r="E1358" t="s">
        <v>26010</v>
      </c>
      <c r="F1358" t="s">
        <v>35</v>
      </c>
      <c r="G1358" t="s">
        <v>26128</v>
      </c>
      <c r="H1358" t="s">
        <v>26011</v>
      </c>
      <c r="I1358" s="26">
        <v>37681</v>
      </c>
      <c r="J1358">
        <v>2003</v>
      </c>
      <c r="K1358" t="s">
        <v>660</v>
      </c>
      <c r="L1358">
        <v>350</v>
      </c>
      <c r="M1358" t="s">
        <v>31062</v>
      </c>
      <c r="N1358">
        <v>1</v>
      </c>
      <c r="R1358">
        <v>419</v>
      </c>
      <c r="S1358" t="s">
        <v>31063</v>
      </c>
      <c r="T1358" t="s">
        <v>30</v>
      </c>
      <c r="U1358" t="s">
        <v>28384</v>
      </c>
      <c r="W1358" t="s">
        <v>26009</v>
      </c>
    </row>
    <row r="1359" spans="1:23" x14ac:dyDescent="0.35">
      <c r="A1359">
        <v>335532</v>
      </c>
      <c r="B1359" t="s">
        <v>31064</v>
      </c>
      <c r="C1359" t="str">
        <f>"9780805842029"</f>
        <v>9780805842029</v>
      </c>
      <c r="D1359" t="str">
        <f>"9781410607256"</f>
        <v>9781410607256</v>
      </c>
      <c r="E1359" t="s">
        <v>26010</v>
      </c>
      <c r="F1359" t="s">
        <v>35</v>
      </c>
      <c r="G1359" t="s">
        <v>22436</v>
      </c>
      <c r="H1359" t="s">
        <v>26004</v>
      </c>
      <c r="I1359" s="26">
        <v>37653</v>
      </c>
      <c r="J1359">
        <v>2003</v>
      </c>
      <c r="K1359" t="s">
        <v>26012</v>
      </c>
      <c r="L1359">
        <v>441</v>
      </c>
      <c r="M1359" t="s">
        <v>31065</v>
      </c>
      <c r="N1359">
        <v>1</v>
      </c>
      <c r="Q1359" t="s">
        <v>31066</v>
      </c>
      <c r="R1359" t="s">
        <v>27561</v>
      </c>
      <c r="S1359" t="s">
        <v>31067</v>
      </c>
      <c r="T1359" t="s">
        <v>30</v>
      </c>
      <c r="U1359" t="s">
        <v>46</v>
      </c>
      <c r="W1359" t="s">
        <v>26009</v>
      </c>
    </row>
    <row r="1360" spans="1:23" x14ac:dyDescent="0.35">
      <c r="A1360">
        <v>335535</v>
      </c>
      <c r="B1360" t="s">
        <v>31068</v>
      </c>
      <c r="C1360" t="str">
        <f>"9780805843866"</f>
        <v>9780805843866</v>
      </c>
      <c r="D1360" t="str">
        <f>"9781410607317"</f>
        <v>9781410607317</v>
      </c>
      <c r="E1360" t="s">
        <v>26010</v>
      </c>
      <c r="F1360" t="s">
        <v>35</v>
      </c>
      <c r="G1360" t="s">
        <v>22436</v>
      </c>
      <c r="H1360" t="s">
        <v>26004</v>
      </c>
      <c r="I1360" s="26">
        <v>37653</v>
      </c>
      <c r="J1360">
        <v>2003</v>
      </c>
      <c r="K1360" t="s">
        <v>26012</v>
      </c>
      <c r="L1360">
        <v>318</v>
      </c>
      <c r="M1360" t="s">
        <v>31069</v>
      </c>
      <c r="N1360">
        <v>1</v>
      </c>
      <c r="O1360" t="s">
        <v>31070</v>
      </c>
      <c r="Q1360" t="s">
        <v>31071</v>
      </c>
      <c r="R1360" t="s">
        <v>31072</v>
      </c>
      <c r="S1360" t="s">
        <v>31073</v>
      </c>
      <c r="T1360" t="s">
        <v>30</v>
      </c>
      <c r="U1360" t="s">
        <v>26044</v>
      </c>
      <c r="W1360" t="s">
        <v>26009</v>
      </c>
    </row>
    <row r="1361" spans="1:23" x14ac:dyDescent="0.35">
      <c r="A1361">
        <v>335540</v>
      </c>
      <c r="B1361" t="s">
        <v>31074</v>
      </c>
      <c r="C1361" t="str">
        <f>"9780805842715"</f>
        <v>9780805842715</v>
      </c>
      <c r="D1361" t="str">
        <f>"9781410607430"</f>
        <v>9781410607430</v>
      </c>
      <c r="E1361" t="s">
        <v>26010</v>
      </c>
      <c r="F1361" t="s">
        <v>35</v>
      </c>
      <c r="G1361" t="s">
        <v>22436</v>
      </c>
      <c r="H1361" t="s">
        <v>26004</v>
      </c>
      <c r="I1361" s="26">
        <v>37681</v>
      </c>
      <c r="J1361">
        <v>2003</v>
      </c>
      <c r="K1361" t="s">
        <v>26012</v>
      </c>
      <c r="L1361">
        <v>280</v>
      </c>
      <c r="M1361" t="s">
        <v>31075</v>
      </c>
      <c r="N1361">
        <v>1</v>
      </c>
      <c r="O1361" t="s">
        <v>27590</v>
      </c>
      <c r="Q1361" t="s">
        <v>31076</v>
      </c>
      <c r="R1361">
        <v>306.85000000000002</v>
      </c>
      <c r="S1361" t="s">
        <v>31077</v>
      </c>
      <c r="T1361" t="s">
        <v>30</v>
      </c>
      <c r="U1361" t="s">
        <v>26044</v>
      </c>
      <c r="W1361" t="s">
        <v>26009</v>
      </c>
    </row>
    <row r="1362" spans="1:23" x14ac:dyDescent="0.35">
      <c r="A1362">
        <v>335542</v>
      </c>
      <c r="B1362" t="s">
        <v>31078</v>
      </c>
      <c r="C1362" t="str">
        <f>"9780805837568"</f>
        <v>9780805837568</v>
      </c>
      <c r="D1362" t="str">
        <f>"9781410607478"</f>
        <v>9781410607478</v>
      </c>
      <c r="E1362" t="s">
        <v>26010</v>
      </c>
      <c r="F1362" t="s">
        <v>35</v>
      </c>
      <c r="G1362" t="s">
        <v>22436</v>
      </c>
      <c r="H1362" t="s">
        <v>26004</v>
      </c>
      <c r="I1362" s="26">
        <v>37681</v>
      </c>
      <c r="J1362">
        <v>2003</v>
      </c>
      <c r="K1362" t="s">
        <v>660</v>
      </c>
      <c r="L1362">
        <v>257</v>
      </c>
      <c r="M1362" t="s">
        <v>31079</v>
      </c>
      <c r="N1362">
        <v>1</v>
      </c>
      <c r="Q1362" t="s">
        <v>31080</v>
      </c>
      <c r="R1362" t="s">
        <v>27131</v>
      </c>
      <c r="S1362" t="s">
        <v>31081</v>
      </c>
      <c r="T1362" t="s">
        <v>30</v>
      </c>
      <c r="U1362" t="s">
        <v>46</v>
      </c>
      <c r="W1362" t="s">
        <v>26009</v>
      </c>
    </row>
    <row r="1363" spans="1:23" x14ac:dyDescent="0.35">
      <c r="A1363">
        <v>335560</v>
      </c>
      <c r="B1363" t="s">
        <v>31082</v>
      </c>
      <c r="C1363" t="str">
        <f>"9780805838305"</f>
        <v>9780805838305</v>
      </c>
      <c r="D1363" t="str">
        <f>"9781410607782"</f>
        <v>9781410607782</v>
      </c>
      <c r="E1363" t="s">
        <v>26010</v>
      </c>
      <c r="F1363" t="s">
        <v>35</v>
      </c>
      <c r="G1363" t="s">
        <v>22436</v>
      </c>
      <c r="H1363" t="s">
        <v>26004</v>
      </c>
      <c r="I1363" s="26">
        <v>37773</v>
      </c>
      <c r="J1363">
        <v>2003</v>
      </c>
      <c r="K1363" t="s">
        <v>660</v>
      </c>
      <c r="L1363">
        <v>419</v>
      </c>
      <c r="M1363" t="s">
        <v>31083</v>
      </c>
      <c r="N1363">
        <v>1</v>
      </c>
      <c r="Q1363" t="s">
        <v>31084</v>
      </c>
      <c r="R1363" t="s">
        <v>28811</v>
      </c>
      <c r="S1363" t="s">
        <v>31085</v>
      </c>
      <c r="T1363" t="s">
        <v>30</v>
      </c>
      <c r="U1363" t="s">
        <v>26044</v>
      </c>
      <c r="W1363" t="s">
        <v>26009</v>
      </c>
    </row>
    <row r="1364" spans="1:23" x14ac:dyDescent="0.35">
      <c r="A1364">
        <v>335561</v>
      </c>
      <c r="B1364" t="s">
        <v>9504</v>
      </c>
      <c r="C1364" t="str">
        <f>"9780805842326"</f>
        <v>9780805842326</v>
      </c>
      <c r="D1364" t="str">
        <f>"9781410607799"</f>
        <v>9781410607799</v>
      </c>
      <c r="E1364" t="s">
        <v>26010</v>
      </c>
      <c r="F1364" t="s">
        <v>35</v>
      </c>
      <c r="G1364" t="s">
        <v>22436</v>
      </c>
      <c r="H1364" t="s">
        <v>26004</v>
      </c>
      <c r="I1364" s="26">
        <v>37773</v>
      </c>
      <c r="J1364">
        <v>2003</v>
      </c>
      <c r="K1364" t="s">
        <v>26012</v>
      </c>
      <c r="L1364">
        <v>448</v>
      </c>
      <c r="M1364" t="s">
        <v>31086</v>
      </c>
      <c r="N1364">
        <v>2</v>
      </c>
      <c r="Q1364" t="s">
        <v>31087</v>
      </c>
      <c r="R1364">
        <v>155.19999999999999</v>
      </c>
      <c r="S1364" t="s">
        <v>9505</v>
      </c>
      <c r="T1364" t="s">
        <v>30</v>
      </c>
      <c r="U1364" t="s">
        <v>26116</v>
      </c>
      <c r="W1364" t="s">
        <v>26009</v>
      </c>
    </row>
    <row r="1365" spans="1:23" x14ac:dyDescent="0.35">
      <c r="A1365">
        <v>335564</v>
      </c>
      <c r="B1365" t="s">
        <v>8957</v>
      </c>
      <c r="C1365" t="str">
        <f>"9780805838923"</f>
        <v>9780805838923</v>
      </c>
      <c r="D1365" t="str">
        <f>"9781410608864"</f>
        <v>9781410608864</v>
      </c>
      <c r="E1365" t="s">
        <v>26010</v>
      </c>
      <c r="F1365" t="s">
        <v>35</v>
      </c>
      <c r="G1365" t="s">
        <v>22436</v>
      </c>
      <c r="H1365" t="s">
        <v>26004</v>
      </c>
      <c r="I1365" s="26">
        <v>37803</v>
      </c>
      <c r="J1365">
        <v>2003</v>
      </c>
      <c r="K1365" t="s">
        <v>660</v>
      </c>
      <c r="L1365">
        <v>263</v>
      </c>
      <c r="M1365" t="s">
        <v>31088</v>
      </c>
      <c r="N1365">
        <v>1</v>
      </c>
      <c r="O1365" t="s">
        <v>27657</v>
      </c>
      <c r="Q1365" t="s">
        <v>31089</v>
      </c>
      <c r="R1365" t="s">
        <v>27659</v>
      </c>
      <c r="S1365" t="s">
        <v>31090</v>
      </c>
      <c r="T1365" t="s">
        <v>30</v>
      </c>
      <c r="U1365" t="s">
        <v>26228</v>
      </c>
      <c r="W1365" t="s">
        <v>26009</v>
      </c>
    </row>
    <row r="1366" spans="1:23" x14ac:dyDescent="0.35">
      <c r="A1366">
        <v>335571</v>
      </c>
      <c r="B1366" t="s">
        <v>9574</v>
      </c>
      <c r="C1366" t="str">
        <f>"9780805838398"</f>
        <v>9780805838398</v>
      </c>
      <c r="D1366" t="str">
        <f>"9781410608994"</f>
        <v>9781410608994</v>
      </c>
      <c r="E1366" t="s">
        <v>26010</v>
      </c>
      <c r="F1366" t="s">
        <v>35</v>
      </c>
      <c r="G1366" t="s">
        <v>22436</v>
      </c>
      <c r="H1366" t="s">
        <v>26004</v>
      </c>
      <c r="I1366" s="26">
        <v>37834</v>
      </c>
      <c r="J1366">
        <v>2003</v>
      </c>
      <c r="K1366" t="s">
        <v>660</v>
      </c>
      <c r="L1366">
        <v>394</v>
      </c>
      <c r="M1366" t="s">
        <v>31091</v>
      </c>
      <c r="N1366">
        <v>1</v>
      </c>
      <c r="Q1366" t="s">
        <v>31092</v>
      </c>
      <c r="R1366">
        <v>306</v>
      </c>
      <c r="S1366" t="s">
        <v>31093</v>
      </c>
      <c r="T1366" t="s">
        <v>30</v>
      </c>
      <c r="U1366" t="s">
        <v>26044</v>
      </c>
      <c r="W1366" t="s">
        <v>26009</v>
      </c>
    </row>
    <row r="1367" spans="1:23" x14ac:dyDescent="0.35">
      <c r="A1367">
        <v>335572</v>
      </c>
      <c r="B1367" t="s">
        <v>31094</v>
      </c>
      <c r="C1367" t="str">
        <f>"9780805841909"</f>
        <v>9780805841909</v>
      </c>
      <c r="D1367" t="str">
        <f>"9781410609007"</f>
        <v>9781410609007</v>
      </c>
      <c r="E1367" t="s">
        <v>26010</v>
      </c>
      <c r="F1367" t="s">
        <v>35</v>
      </c>
      <c r="G1367" t="s">
        <v>22436</v>
      </c>
      <c r="H1367" t="s">
        <v>26004</v>
      </c>
      <c r="I1367" s="26">
        <v>37803</v>
      </c>
      <c r="J1367">
        <v>2003</v>
      </c>
      <c r="K1367" t="s">
        <v>660</v>
      </c>
      <c r="L1367">
        <v>437</v>
      </c>
      <c r="M1367" t="s">
        <v>31095</v>
      </c>
      <c r="N1367">
        <v>1</v>
      </c>
      <c r="Q1367" t="s">
        <v>31096</v>
      </c>
      <c r="R1367">
        <v>153.4</v>
      </c>
      <c r="S1367" t="s">
        <v>31097</v>
      </c>
      <c r="T1367" t="s">
        <v>30</v>
      </c>
      <c r="U1367" t="s">
        <v>46</v>
      </c>
      <c r="W1367" t="s">
        <v>26009</v>
      </c>
    </row>
    <row r="1368" spans="1:23" x14ac:dyDescent="0.35">
      <c r="A1368">
        <v>335585</v>
      </c>
      <c r="B1368" t="s">
        <v>31098</v>
      </c>
      <c r="C1368" t="str">
        <f>"9780805840995"</f>
        <v>9780805840995</v>
      </c>
      <c r="D1368" t="str">
        <f>"9781410609359"</f>
        <v>9781410609359</v>
      </c>
      <c r="E1368" t="s">
        <v>26010</v>
      </c>
      <c r="F1368" t="s">
        <v>35</v>
      </c>
      <c r="G1368" t="s">
        <v>22436</v>
      </c>
      <c r="H1368" t="s">
        <v>26004</v>
      </c>
      <c r="I1368" s="26">
        <v>37865</v>
      </c>
      <c r="J1368">
        <v>2003</v>
      </c>
      <c r="K1368" t="s">
        <v>26012</v>
      </c>
      <c r="L1368">
        <v>246</v>
      </c>
      <c r="M1368" t="s">
        <v>31099</v>
      </c>
      <c r="N1368">
        <v>1</v>
      </c>
      <c r="Q1368" t="s">
        <v>31100</v>
      </c>
      <c r="R1368" t="s">
        <v>31101</v>
      </c>
      <c r="S1368" t="s">
        <v>31102</v>
      </c>
      <c r="T1368" t="s">
        <v>30</v>
      </c>
      <c r="U1368" t="s">
        <v>26044</v>
      </c>
      <c r="W1368" t="s">
        <v>26009</v>
      </c>
    </row>
    <row r="1369" spans="1:23" x14ac:dyDescent="0.35">
      <c r="A1369">
        <v>335586</v>
      </c>
      <c r="B1369" t="s">
        <v>31103</v>
      </c>
      <c r="C1369" t="str">
        <f>"9780805846416"</f>
        <v>9780805846416</v>
      </c>
      <c r="D1369" t="str">
        <f>"9781410609366"</f>
        <v>9781410609366</v>
      </c>
      <c r="E1369" t="s">
        <v>26010</v>
      </c>
      <c r="F1369" t="s">
        <v>9607</v>
      </c>
      <c r="G1369" t="s">
        <v>22436</v>
      </c>
      <c r="H1369" t="s">
        <v>26004</v>
      </c>
      <c r="I1369" s="26">
        <v>37865</v>
      </c>
      <c r="J1369">
        <v>2003</v>
      </c>
      <c r="K1369" t="s">
        <v>9607</v>
      </c>
      <c r="L1369">
        <v>363</v>
      </c>
      <c r="M1369" t="s">
        <v>31104</v>
      </c>
      <c r="N1369">
        <v>1</v>
      </c>
      <c r="Q1369" t="s">
        <v>31105</v>
      </c>
      <c r="R1369" t="s">
        <v>31106</v>
      </c>
      <c r="S1369" t="s">
        <v>31107</v>
      </c>
      <c r="T1369" t="s">
        <v>30</v>
      </c>
      <c r="U1369" t="s">
        <v>30031</v>
      </c>
      <c r="W1369" t="s">
        <v>26009</v>
      </c>
    </row>
    <row r="1370" spans="1:23" x14ac:dyDescent="0.35">
      <c r="A1370">
        <v>335695</v>
      </c>
      <c r="B1370" t="s">
        <v>7463</v>
      </c>
      <c r="C1370" t="str">
        <f>"9781875378791"</f>
        <v>9781875378791</v>
      </c>
      <c r="D1370" t="str">
        <f>"9781875378951"</f>
        <v>9781875378951</v>
      </c>
      <c r="E1370" t="s">
        <v>7422</v>
      </c>
      <c r="F1370" t="s">
        <v>7422</v>
      </c>
      <c r="G1370" t="s">
        <v>22511</v>
      </c>
      <c r="H1370" t="s">
        <v>31108</v>
      </c>
      <c r="I1370" s="26">
        <v>39083</v>
      </c>
      <c r="J1370">
        <v>2007</v>
      </c>
      <c r="K1370" t="s">
        <v>7422</v>
      </c>
      <c r="L1370">
        <v>538</v>
      </c>
      <c r="M1370" t="s">
        <v>31109</v>
      </c>
      <c r="N1370">
        <v>1</v>
      </c>
      <c r="Q1370" t="s">
        <v>31110</v>
      </c>
      <c r="R1370">
        <v>658.00189999999998</v>
      </c>
      <c r="S1370" t="s">
        <v>31111</v>
      </c>
      <c r="T1370" t="s">
        <v>30</v>
      </c>
      <c r="U1370" t="s">
        <v>30031</v>
      </c>
      <c r="W1370" t="s">
        <v>26009</v>
      </c>
    </row>
    <row r="1371" spans="1:23" x14ac:dyDescent="0.35">
      <c r="A1371">
        <v>336061</v>
      </c>
      <c r="B1371" t="s">
        <v>8823</v>
      </c>
      <c r="C1371" t="str">
        <f>"9780521689809"</f>
        <v>9780521689809</v>
      </c>
      <c r="D1371" t="str">
        <f>"9780511392238"</f>
        <v>9780511392238</v>
      </c>
      <c r="E1371" t="s">
        <v>167</v>
      </c>
      <c r="F1371" t="s">
        <v>167</v>
      </c>
      <c r="G1371" t="s">
        <v>22218</v>
      </c>
      <c r="H1371" t="s">
        <v>26011</v>
      </c>
      <c r="I1371" s="26">
        <v>39541</v>
      </c>
      <c r="J1371">
        <v>2008</v>
      </c>
      <c r="K1371" t="s">
        <v>167</v>
      </c>
      <c r="L1371">
        <v>202</v>
      </c>
      <c r="M1371" t="s">
        <v>31112</v>
      </c>
      <c r="N1371">
        <v>1</v>
      </c>
      <c r="Q1371" t="s">
        <v>31113</v>
      </c>
      <c r="R1371">
        <v>618.97685269999999</v>
      </c>
      <c r="S1371" t="s">
        <v>8824</v>
      </c>
      <c r="T1371" t="s">
        <v>30</v>
      </c>
      <c r="U1371" t="s">
        <v>26019</v>
      </c>
      <c r="W1371" t="s">
        <v>26020</v>
      </c>
    </row>
    <row r="1372" spans="1:23" x14ac:dyDescent="0.35">
      <c r="A1372">
        <v>336069</v>
      </c>
      <c r="B1372" t="s">
        <v>31114</v>
      </c>
      <c r="C1372" t="str">
        <f>"9780521803847"</f>
        <v>9780521803847</v>
      </c>
      <c r="D1372" t="str">
        <f>"9780511391941"</f>
        <v>9780511391941</v>
      </c>
      <c r="E1372" t="s">
        <v>167</v>
      </c>
      <c r="F1372" t="s">
        <v>167</v>
      </c>
      <c r="G1372" t="s">
        <v>22218</v>
      </c>
      <c r="H1372" t="s">
        <v>26011</v>
      </c>
      <c r="I1372" s="26">
        <v>39503</v>
      </c>
      <c r="J1372">
        <v>2008</v>
      </c>
      <c r="K1372" t="s">
        <v>167</v>
      </c>
      <c r="L1372">
        <v>327</v>
      </c>
      <c r="M1372" t="s">
        <v>31115</v>
      </c>
      <c r="N1372">
        <v>1</v>
      </c>
      <c r="Q1372" t="s">
        <v>31116</v>
      </c>
      <c r="R1372">
        <v>305.23308900000001</v>
      </c>
      <c r="S1372" t="s">
        <v>8342</v>
      </c>
      <c r="T1372" t="s">
        <v>30</v>
      </c>
      <c r="U1372" t="s">
        <v>26044</v>
      </c>
      <c r="W1372" t="s">
        <v>26020</v>
      </c>
    </row>
    <row r="1373" spans="1:23" x14ac:dyDescent="0.35">
      <c r="A1373">
        <v>336076</v>
      </c>
      <c r="B1373" t="s">
        <v>7757</v>
      </c>
      <c r="C1373" t="str">
        <f>"9780521842280"</f>
        <v>9780521842280</v>
      </c>
      <c r="D1373" t="str">
        <f>"9780511391712"</f>
        <v>9780511391712</v>
      </c>
      <c r="E1373" t="s">
        <v>167</v>
      </c>
      <c r="F1373" t="s">
        <v>167</v>
      </c>
      <c r="G1373" t="s">
        <v>22218</v>
      </c>
      <c r="H1373" t="s">
        <v>26011</v>
      </c>
      <c r="I1373" s="26">
        <v>39471</v>
      </c>
      <c r="J1373">
        <v>2008</v>
      </c>
      <c r="K1373" t="s">
        <v>167</v>
      </c>
      <c r="L1373">
        <v>922</v>
      </c>
      <c r="M1373" t="s">
        <v>31117</v>
      </c>
      <c r="N1373">
        <v>1</v>
      </c>
      <c r="Q1373" t="s">
        <v>31118</v>
      </c>
      <c r="R1373">
        <v>616.89099999999996</v>
      </c>
      <c r="S1373" t="s">
        <v>7758</v>
      </c>
      <c r="T1373" t="s">
        <v>30</v>
      </c>
      <c r="U1373" t="s">
        <v>26116</v>
      </c>
      <c r="W1373" t="s">
        <v>26020</v>
      </c>
    </row>
    <row r="1374" spans="1:23" x14ac:dyDescent="0.35">
      <c r="A1374">
        <v>336083</v>
      </c>
      <c r="B1374" t="s">
        <v>9176</v>
      </c>
      <c r="C1374" t="str">
        <f>"9780521852593"</f>
        <v>9780521852593</v>
      </c>
      <c r="D1374" t="str">
        <f>"9780511391965"</f>
        <v>9780511391965</v>
      </c>
      <c r="E1374" t="s">
        <v>167</v>
      </c>
      <c r="F1374" t="s">
        <v>167</v>
      </c>
      <c r="G1374" t="s">
        <v>22218</v>
      </c>
      <c r="H1374" t="s">
        <v>26011</v>
      </c>
      <c r="I1374" s="26">
        <v>39496</v>
      </c>
      <c r="J1374">
        <v>2008</v>
      </c>
      <c r="K1374" t="s">
        <v>167</v>
      </c>
      <c r="L1374">
        <v>528</v>
      </c>
      <c r="M1374" t="s">
        <v>31119</v>
      </c>
      <c r="N1374">
        <v>2</v>
      </c>
      <c r="Q1374" t="s">
        <v>31120</v>
      </c>
      <c r="R1374">
        <v>153.80000000000001</v>
      </c>
      <c r="S1374" t="s">
        <v>8633</v>
      </c>
      <c r="T1374" t="s">
        <v>30</v>
      </c>
      <c r="U1374" t="s">
        <v>46</v>
      </c>
      <c r="W1374" t="s">
        <v>26020</v>
      </c>
    </row>
    <row r="1375" spans="1:23" x14ac:dyDescent="0.35">
      <c r="A1375">
        <v>336092</v>
      </c>
      <c r="B1375" t="s">
        <v>31121</v>
      </c>
      <c r="C1375" t="str">
        <f>"9780521858922"</f>
        <v>9780521858922</v>
      </c>
      <c r="D1375" t="str">
        <f>"9780511391972"</f>
        <v>9780511391972</v>
      </c>
      <c r="E1375" t="s">
        <v>167</v>
      </c>
      <c r="F1375" t="s">
        <v>167</v>
      </c>
      <c r="G1375" t="s">
        <v>22218</v>
      </c>
      <c r="H1375" t="s">
        <v>26011</v>
      </c>
      <c r="I1375" s="26">
        <v>39496</v>
      </c>
      <c r="J1375">
        <v>2008</v>
      </c>
      <c r="K1375" t="s">
        <v>167</v>
      </c>
      <c r="L1375">
        <v>366</v>
      </c>
      <c r="M1375" t="s">
        <v>31122</v>
      </c>
      <c r="N1375">
        <v>1</v>
      </c>
      <c r="O1375" t="s">
        <v>26054</v>
      </c>
      <c r="Q1375" t="s">
        <v>31123</v>
      </c>
      <c r="R1375">
        <v>362.29</v>
      </c>
      <c r="S1375" t="s">
        <v>7929</v>
      </c>
      <c r="T1375" t="s">
        <v>30</v>
      </c>
      <c r="U1375" t="s">
        <v>31124</v>
      </c>
      <c r="W1375" t="s">
        <v>26020</v>
      </c>
    </row>
    <row r="1376" spans="1:23" x14ac:dyDescent="0.35">
      <c r="A1376">
        <v>337032</v>
      </c>
      <c r="B1376" t="s">
        <v>7932</v>
      </c>
      <c r="C1376" t="str">
        <f>"9781489994059"</f>
        <v>9781489994059</v>
      </c>
      <c r="D1376" t="str">
        <f>"9780387718941"</f>
        <v>9780387718941</v>
      </c>
      <c r="E1376" t="s">
        <v>30084</v>
      </c>
      <c r="F1376" t="s">
        <v>31125</v>
      </c>
      <c r="G1376" t="s">
        <v>31126</v>
      </c>
      <c r="H1376" t="s">
        <v>26004</v>
      </c>
      <c r="I1376" s="26">
        <v>39434</v>
      </c>
      <c r="J1376">
        <v>2008</v>
      </c>
      <c r="K1376" t="s">
        <v>31125</v>
      </c>
      <c r="L1376">
        <v>726</v>
      </c>
      <c r="M1376" t="s">
        <v>31127</v>
      </c>
      <c r="N1376">
        <v>1</v>
      </c>
      <c r="Q1376" t="s">
        <v>31128</v>
      </c>
      <c r="S1376" t="s">
        <v>31129</v>
      </c>
      <c r="T1376" t="s">
        <v>30</v>
      </c>
      <c r="U1376" t="s">
        <v>46</v>
      </c>
      <c r="W1376" t="s">
        <v>26009</v>
      </c>
    </row>
    <row r="1377" spans="1:23" x14ac:dyDescent="0.35">
      <c r="A1377">
        <v>337323</v>
      </c>
      <c r="B1377" t="s">
        <v>8995</v>
      </c>
      <c r="C1377" t="str">
        <f>"9780387710877"</f>
        <v>9780387710877</v>
      </c>
      <c r="D1377" t="str">
        <f>"9780387711652"</f>
        <v>9780387711652</v>
      </c>
      <c r="E1377" t="s">
        <v>30084</v>
      </c>
      <c r="F1377" t="s">
        <v>7813</v>
      </c>
      <c r="G1377" t="s">
        <v>31126</v>
      </c>
      <c r="H1377" t="s">
        <v>26004</v>
      </c>
      <c r="I1377" s="26">
        <v>39393</v>
      </c>
      <c r="J1377">
        <v>2008</v>
      </c>
      <c r="K1377" t="s">
        <v>31125</v>
      </c>
      <c r="L1377">
        <v>323</v>
      </c>
      <c r="M1377" t="s">
        <v>31130</v>
      </c>
      <c r="N1377">
        <v>1</v>
      </c>
      <c r="Q1377" t="s">
        <v>31131</v>
      </c>
      <c r="R1377">
        <v>364.072</v>
      </c>
      <c r="S1377" t="s">
        <v>31132</v>
      </c>
      <c r="T1377" t="s">
        <v>30</v>
      </c>
      <c r="U1377" t="s">
        <v>26044</v>
      </c>
      <c r="W1377" t="s">
        <v>26009</v>
      </c>
    </row>
    <row r="1378" spans="1:23" x14ac:dyDescent="0.35">
      <c r="A1378">
        <v>338841</v>
      </c>
      <c r="B1378" t="s">
        <v>31133</v>
      </c>
      <c r="C1378" t="str">
        <f>"9780976156314"</f>
        <v>9780976156314</v>
      </c>
      <c r="D1378" t="str">
        <f>"9781605570334"</f>
        <v>9781605570334</v>
      </c>
      <c r="E1378" t="s">
        <v>30352</v>
      </c>
      <c r="F1378" t="s">
        <v>7690</v>
      </c>
      <c r="G1378" t="s">
        <v>31134</v>
      </c>
      <c r="H1378" t="s">
        <v>26004</v>
      </c>
      <c r="I1378" s="26">
        <v>38353</v>
      </c>
      <c r="J1378">
        <v>2004</v>
      </c>
      <c r="K1378" t="s">
        <v>7690</v>
      </c>
      <c r="L1378">
        <v>103</v>
      </c>
      <c r="M1378" t="s">
        <v>31135</v>
      </c>
      <c r="Q1378" t="s">
        <v>31136</v>
      </c>
      <c r="S1378" t="s">
        <v>31137</v>
      </c>
      <c r="T1378" t="s">
        <v>30</v>
      </c>
      <c r="U1378" t="s">
        <v>46</v>
      </c>
      <c r="W1378" t="s">
        <v>26009</v>
      </c>
    </row>
    <row r="1379" spans="1:23" x14ac:dyDescent="0.35">
      <c r="A1379">
        <v>338844</v>
      </c>
      <c r="B1379" t="s">
        <v>31138</v>
      </c>
      <c r="C1379" t="str">
        <f>"9780976156345"</f>
        <v>9780976156345</v>
      </c>
      <c r="D1379" t="str">
        <f>"9781605570365"</f>
        <v>9781605570365</v>
      </c>
      <c r="E1379" t="s">
        <v>30352</v>
      </c>
      <c r="F1379" t="s">
        <v>7690</v>
      </c>
      <c r="G1379" t="s">
        <v>31134</v>
      </c>
      <c r="H1379" t="s">
        <v>26004</v>
      </c>
      <c r="I1379" s="26">
        <v>38718</v>
      </c>
      <c r="J1379">
        <v>2006</v>
      </c>
      <c r="K1379" t="s">
        <v>7690</v>
      </c>
      <c r="L1379">
        <v>103</v>
      </c>
      <c r="M1379" t="s">
        <v>31135</v>
      </c>
      <c r="Q1379" t="s">
        <v>31139</v>
      </c>
      <c r="R1379">
        <v>158.38999999999999</v>
      </c>
      <c r="S1379" t="s">
        <v>31140</v>
      </c>
      <c r="T1379" t="s">
        <v>30</v>
      </c>
      <c r="U1379" t="s">
        <v>26116</v>
      </c>
      <c r="W1379" t="s">
        <v>26009</v>
      </c>
    </row>
    <row r="1380" spans="1:23" x14ac:dyDescent="0.35">
      <c r="A1380">
        <v>339110</v>
      </c>
      <c r="B1380" t="s">
        <v>9633</v>
      </c>
      <c r="C1380" t="str">
        <f>"9780253348982"</f>
        <v>9780253348982</v>
      </c>
      <c r="D1380" t="str">
        <f>"9780253117045"</f>
        <v>9780253117045</v>
      </c>
      <c r="E1380" t="s">
        <v>7540</v>
      </c>
      <c r="F1380" t="s">
        <v>7540</v>
      </c>
      <c r="G1380" t="s">
        <v>24303</v>
      </c>
      <c r="H1380" t="s">
        <v>26004</v>
      </c>
      <c r="I1380" s="26">
        <v>39352</v>
      </c>
      <c r="J1380">
        <v>2007</v>
      </c>
      <c r="K1380" t="s">
        <v>7540</v>
      </c>
      <c r="L1380">
        <v>553</v>
      </c>
      <c r="M1380" t="s">
        <v>31141</v>
      </c>
      <c r="N1380">
        <v>1</v>
      </c>
      <c r="Q1380" t="s">
        <v>31142</v>
      </c>
      <c r="R1380" t="s">
        <v>31143</v>
      </c>
      <c r="S1380" t="s">
        <v>31144</v>
      </c>
      <c r="T1380" t="s">
        <v>30</v>
      </c>
      <c r="U1380" t="s">
        <v>26116</v>
      </c>
      <c r="W1380" t="s">
        <v>26009</v>
      </c>
    </row>
    <row r="1381" spans="1:23" x14ac:dyDescent="0.35">
      <c r="A1381">
        <v>339113</v>
      </c>
      <c r="B1381" t="s">
        <v>31145</v>
      </c>
      <c r="C1381" t="str">
        <f>"9780253348418"</f>
        <v>9780253348418</v>
      </c>
      <c r="D1381" t="str">
        <f>"9780253117076"</f>
        <v>9780253117076</v>
      </c>
      <c r="E1381" t="s">
        <v>7540</v>
      </c>
      <c r="F1381" t="s">
        <v>7540</v>
      </c>
      <c r="G1381" t="s">
        <v>24303</v>
      </c>
      <c r="H1381" t="s">
        <v>26004</v>
      </c>
      <c r="I1381" s="26">
        <v>39205</v>
      </c>
      <c r="J1381">
        <v>2007</v>
      </c>
      <c r="K1381" t="s">
        <v>7540</v>
      </c>
      <c r="L1381">
        <v>225</v>
      </c>
      <c r="M1381" t="s">
        <v>31146</v>
      </c>
      <c r="N1381">
        <v>1</v>
      </c>
      <c r="Q1381" t="s">
        <v>31147</v>
      </c>
      <c r="R1381">
        <v>305.89600000000002</v>
      </c>
      <c r="S1381" t="s">
        <v>31148</v>
      </c>
      <c r="T1381" t="s">
        <v>30</v>
      </c>
      <c r="U1381" t="s">
        <v>26044</v>
      </c>
      <c r="W1381" t="s">
        <v>26009</v>
      </c>
    </row>
    <row r="1382" spans="1:23" x14ac:dyDescent="0.35">
      <c r="A1382">
        <v>339423</v>
      </c>
      <c r="B1382" t="s">
        <v>7623</v>
      </c>
      <c r="C1382" t="str">
        <f>"9781843104339"</f>
        <v>9781843104339</v>
      </c>
      <c r="D1382" t="str">
        <f>"9781846427152"</f>
        <v>9781846427152</v>
      </c>
      <c r="E1382" t="s">
        <v>146</v>
      </c>
      <c r="F1382" t="s">
        <v>146</v>
      </c>
      <c r="G1382" t="s">
        <v>22174</v>
      </c>
      <c r="H1382" t="s">
        <v>26011</v>
      </c>
      <c r="I1382" s="26">
        <v>39370</v>
      </c>
      <c r="J1382">
        <v>2007</v>
      </c>
      <c r="K1382" t="s">
        <v>146</v>
      </c>
      <c r="L1382">
        <v>211</v>
      </c>
      <c r="M1382" t="s">
        <v>31149</v>
      </c>
      <c r="N1382">
        <v>1</v>
      </c>
      <c r="Q1382" t="s">
        <v>31150</v>
      </c>
      <c r="R1382">
        <v>362.1986</v>
      </c>
      <c r="S1382" t="s">
        <v>31151</v>
      </c>
      <c r="T1382" t="s">
        <v>30</v>
      </c>
      <c r="U1382" t="s">
        <v>28484</v>
      </c>
      <c r="W1382" t="s">
        <v>28347</v>
      </c>
    </row>
    <row r="1383" spans="1:23" x14ac:dyDescent="0.35">
      <c r="A1383">
        <v>339425</v>
      </c>
      <c r="B1383" t="s">
        <v>8216</v>
      </c>
      <c r="C1383" t="str">
        <f>"9781843105169"</f>
        <v>9781843105169</v>
      </c>
      <c r="D1383" t="str">
        <f>"9781846426803"</f>
        <v>9781846426803</v>
      </c>
      <c r="E1383" t="s">
        <v>146</v>
      </c>
      <c r="F1383" t="s">
        <v>146</v>
      </c>
      <c r="G1383" t="s">
        <v>22174</v>
      </c>
      <c r="H1383" t="s">
        <v>26011</v>
      </c>
      <c r="I1383" s="26">
        <v>39370</v>
      </c>
      <c r="J1383">
        <v>2007</v>
      </c>
      <c r="K1383" t="s">
        <v>146</v>
      </c>
      <c r="L1383">
        <v>220</v>
      </c>
      <c r="M1383" t="s">
        <v>31152</v>
      </c>
      <c r="N1383">
        <v>1</v>
      </c>
      <c r="Q1383" t="s">
        <v>31153</v>
      </c>
      <c r="T1383" t="s">
        <v>30</v>
      </c>
      <c r="U1383" t="s">
        <v>26019</v>
      </c>
      <c r="W1383" t="s">
        <v>28347</v>
      </c>
    </row>
    <row r="1384" spans="1:23" x14ac:dyDescent="0.35">
      <c r="A1384">
        <v>339426</v>
      </c>
      <c r="B1384" t="s">
        <v>31154</v>
      </c>
      <c r="C1384" t="str">
        <f>"9781843108627"</f>
        <v>9781843108627</v>
      </c>
      <c r="D1384" t="str">
        <f>"9781846426773"</f>
        <v>9781846426773</v>
      </c>
      <c r="E1384" t="s">
        <v>146</v>
      </c>
      <c r="F1384" t="s">
        <v>146</v>
      </c>
      <c r="G1384" t="s">
        <v>22174</v>
      </c>
      <c r="H1384" t="s">
        <v>26011</v>
      </c>
      <c r="I1384" s="26">
        <v>39370</v>
      </c>
      <c r="J1384">
        <v>2007</v>
      </c>
      <c r="K1384" t="s">
        <v>146</v>
      </c>
      <c r="L1384">
        <v>105</v>
      </c>
      <c r="M1384" t="s">
        <v>31155</v>
      </c>
      <c r="N1384">
        <v>1</v>
      </c>
      <c r="Q1384" t="s">
        <v>31156</v>
      </c>
      <c r="R1384" t="s">
        <v>31157</v>
      </c>
      <c r="T1384" t="s">
        <v>30</v>
      </c>
      <c r="U1384" t="s">
        <v>26127</v>
      </c>
      <c r="W1384" t="s">
        <v>28347</v>
      </c>
    </row>
    <row r="1385" spans="1:23" x14ac:dyDescent="0.35">
      <c r="A1385">
        <v>339430</v>
      </c>
      <c r="B1385" t="s">
        <v>31158</v>
      </c>
      <c r="C1385" t="str">
        <f>"9781843106159"</f>
        <v>9781843106159</v>
      </c>
      <c r="D1385" t="str">
        <f>"9781846427183"</f>
        <v>9781846427183</v>
      </c>
      <c r="E1385" t="s">
        <v>146</v>
      </c>
      <c r="F1385" t="s">
        <v>146</v>
      </c>
      <c r="G1385" t="s">
        <v>22174</v>
      </c>
      <c r="H1385" t="s">
        <v>26011</v>
      </c>
      <c r="I1385" s="26">
        <v>39370</v>
      </c>
      <c r="J1385">
        <v>2007</v>
      </c>
      <c r="K1385" t="s">
        <v>146</v>
      </c>
      <c r="L1385">
        <v>178</v>
      </c>
      <c r="M1385" t="s">
        <v>31159</v>
      </c>
      <c r="N1385">
        <v>1</v>
      </c>
      <c r="R1385" t="s">
        <v>27122</v>
      </c>
      <c r="S1385" t="s">
        <v>31160</v>
      </c>
      <c r="T1385" t="s">
        <v>30</v>
      </c>
      <c r="U1385" t="s">
        <v>26040</v>
      </c>
      <c r="W1385" t="s">
        <v>28347</v>
      </c>
    </row>
    <row r="1386" spans="1:23" x14ac:dyDescent="0.35">
      <c r="A1386">
        <v>339433</v>
      </c>
      <c r="B1386" t="s">
        <v>31161</v>
      </c>
      <c r="C1386" t="str">
        <f>"9781843105930"</f>
        <v>9781843105930</v>
      </c>
      <c r="D1386" t="str">
        <f>"9781846426742"</f>
        <v>9781846426742</v>
      </c>
      <c r="E1386" t="s">
        <v>146</v>
      </c>
      <c r="F1386" t="s">
        <v>146</v>
      </c>
      <c r="G1386" t="s">
        <v>22174</v>
      </c>
      <c r="H1386" t="s">
        <v>26011</v>
      </c>
      <c r="I1386" s="26">
        <v>39370</v>
      </c>
      <c r="J1386">
        <v>2007</v>
      </c>
      <c r="K1386" t="s">
        <v>146</v>
      </c>
      <c r="L1386">
        <v>178</v>
      </c>
      <c r="M1386" t="s">
        <v>31162</v>
      </c>
      <c r="N1386">
        <v>1</v>
      </c>
      <c r="O1386" t="s">
        <v>31163</v>
      </c>
      <c r="Q1386" t="s">
        <v>31164</v>
      </c>
      <c r="R1386" t="s">
        <v>31165</v>
      </c>
      <c r="S1386" t="s">
        <v>31166</v>
      </c>
      <c r="T1386" t="s">
        <v>30</v>
      </c>
      <c r="U1386" t="s">
        <v>26019</v>
      </c>
      <c r="W1386" t="s">
        <v>28347</v>
      </c>
    </row>
    <row r="1387" spans="1:23" x14ac:dyDescent="0.35">
      <c r="A1387">
        <v>340611</v>
      </c>
      <c r="B1387" t="s">
        <v>31167</v>
      </c>
      <c r="C1387" t="str">
        <f>"9780122870491"</f>
        <v>9780122870491</v>
      </c>
      <c r="D1387" t="str">
        <f>"9780080502076"</f>
        <v>9780080502076</v>
      </c>
      <c r="E1387" t="s">
        <v>27482</v>
      </c>
      <c r="F1387" t="s">
        <v>7447</v>
      </c>
      <c r="G1387" t="s">
        <v>22689</v>
      </c>
      <c r="H1387" t="s">
        <v>26004</v>
      </c>
      <c r="I1387" s="26">
        <v>37537</v>
      </c>
      <c r="J1387">
        <v>2002</v>
      </c>
      <c r="K1387" t="s">
        <v>946</v>
      </c>
      <c r="L1387">
        <v>327</v>
      </c>
      <c r="M1387" t="s">
        <v>31168</v>
      </c>
      <c r="N1387">
        <v>1</v>
      </c>
      <c r="O1387" t="s">
        <v>27484</v>
      </c>
      <c r="Q1387" t="s">
        <v>31169</v>
      </c>
      <c r="R1387" t="s">
        <v>31170</v>
      </c>
      <c r="S1387" t="s">
        <v>7862</v>
      </c>
      <c r="T1387" t="s">
        <v>30</v>
      </c>
      <c r="U1387" t="s">
        <v>26040</v>
      </c>
      <c r="W1387" t="s">
        <v>26009</v>
      </c>
    </row>
    <row r="1388" spans="1:23" x14ac:dyDescent="0.35">
      <c r="A1388">
        <v>340770</v>
      </c>
      <c r="B1388" t="s">
        <v>31171</v>
      </c>
      <c r="C1388" t="str">
        <f>"9780816649150"</f>
        <v>9780816649150</v>
      </c>
      <c r="D1388" t="str">
        <f>"9780816698981"</f>
        <v>9780816698981</v>
      </c>
      <c r="E1388" t="s">
        <v>7471</v>
      </c>
      <c r="F1388" t="s">
        <v>7471</v>
      </c>
      <c r="G1388" t="s">
        <v>23536</v>
      </c>
      <c r="H1388" t="s">
        <v>26004</v>
      </c>
      <c r="I1388" s="26">
        <v>39070</v>
      </c>
      <c r="J1388">
        <v>2007</v>
      </c>
      <c r="K1388" t="s">
        <v>7471</v>
      </c>
      <c r="L1388">
        <v>224</v>
      </c>
      <c r="M1388" t="s">
        <v>31172</v>
      </c>
      <c r="N1388">
        <v>1</v>
      </c>
      <c r="Q1388" t="s">
        <v>31173</v>
      </c>
      <c r="R1388" t="s">
        <v>31174</v>
      </c>
      <c r="S1388" t="s">
        <v>31175</v>
      </c>
      <c r="T1388" t="s">
        <v>30</v>
      </c>
      <c r="U1388" t="s">
        <v>26044</v>
      </c>
      <c r="W1388" t="s">
        <v>26009</v>
      </c>
    </row>
    <row r="1389" spans="1:23" x14ac:dyDescent="0.35">
      <c r="A1389">
        <v>340794</v>
      </c>
      <c r="B1389" t="s">
        <v>31176</v>
      </c>
      <c r="C1389" t="str">
        <f>"9781593856380"</f>
        <v>9781593856380</v>
      </c>
      <c r="D1389" t="str">
        <f>"9781606230039"</f>
        <v>9781606230039</v>
      </c>
      <c r="E1389" t="s">
        <v>30112</v>
      </c>
      <c r="F1389" t="s">
        <v>7420</v>
      </c>
      <c r="G1389" t="s">
        <v>22179</v>
      </c>
      <c r="H1389" t="s">
        <v>26004</v>
      </c>
      <c r="I1389" s="26">
        <v>39483</v>
      </c>
      <c r="J1389">
        <v>2008</v>
      </c>
      <c r="K1389" t="s">
        <v>30113</v>
      </c>
      <c r="L1389">
        <v>464</v>
      </c>
      <c r="M1389" t="s">
        <v>31177</v>
      </c>
      <c r="N1389">
        <v>1</v>
      </c>
      <c r="Q1389" t="s">
        <v>31178</v>
      </c>
      <c r="R1389" t="s">
        <v>28522</v>
      </c>
      <c r="S1389" t="s">
        <v>31179</v>
      </c>
      <c r="T1389" t="s">
        <v>30</v>
      </c>
      <c r="U1389" t="s">
        <v>26019</v>
      </c>
      <c r="W1389" t="s">
        <v>28347</v>
      </c>
    </row>
    <row r="1390" spans="1:23" x14ac:dyDescent="0.35">
      <c r="A1390">
        <v>340800</v>
      </c>
      <c r="B1390" t="s">
        <v>31180</v>
      </c>
      <c r="C1390" t="str">
        <f>"9781593856342"</f>
        <v>9781593856342</v>
      </c>
      <c r="D1390" t="str">
        <f>"9781606230091"</f>
        <v>9781606230091</v>
      </c>
      <c r="E1390" t="s">
        <v>30112</v>
      </c>
      <c r="F1390" t="s">
        <v>7420</v>
      </c>
      <c r="G1390" t="s">
        <v>22179</v>
      </c>
      <c r="H1390" t="s">
        <v>26004</v>
      </c>
      <c r="I1390" s="26">
        <v>39455</v>
      </c>
      <c r="J1390">
        <v>2008</v>
      </c>
      <c r="K1390" t="s">
        <v>30113</v>
      </c>
      <c r="L1390">
        <v>288</v>
      </c>
      <c r="M1390" t="s">
        <v>31181</v>
      </c>
      <c r="N1390">
        <v>1</v>
      </c>
      <c r="Q1390" t="s">
        <v>31182</v>
      </c>
      <c r="R1390" t="s">
        <v>27027</v>
      </c>
      <c r="S1390" t="s">
        <v>9222</v>
      </c>
      <c r="T1390" t="s">
        <v>30</v>
      </c>
      <c r="U1390" t="s">
        <v>28308</v>
      </c>
      <c r="W1390" t="s">
        <v>28347</v>
      </c>
    </row>
    <row r="1391" spans="1:23" x14ac:dyDescent="0.35">
      <c r="A1391">
        <v>340802</v>
      </c>
      <c r="B1391" t="s">
        <v>9708</v>
      </c>
      <c r="C1391" t="str">
        <f>"9781593856144"</f>
        <v>9781593856144</v>
      </c>
      <c r="D1391" t="str">
        <f>"9781606230114"</f>
        <v>9781606230114</v>
      </c>
      <c r="E1391" t="s">
        <v>30112</v>
      </c>
      <c r="F1391" t="s">
        <v>7420</v>
      </c>
      <c r="G1391" t="s">
        <v>22179</v>
      </c>
      <c r="H1391" t="s">
        <v>26004</v>
      </c>
      <c r="I1391" s="26">
        <v>39430</v>
      </c>
      <c r="J1391">
        <v>2008</v>
      </c>
      <c r="K1391" t="s">
        <v>30113</v>
      </c>
      <c r="L1391">
        <v>352</v>
      </c>
      <c r="M1391" t="s">
        <v>31183</v>
      </c>
      <c r="N1391">
        <v>1</v>
      </c>
      <c r="Q1391" t="s">
        <v>31184</v>
      </c>
      <c r="R1391" t="s">
        <v>27122</v>
      </c>
      <c r="S1391" t="s">
        <v>8266</v>
      </c>
      <c r="T1391" t="s">
        <v>30</v>
      </c>
      <c r="U1391" t="s">
        <v>26116</v>
      </c>
      <c r="W1391" t="s">
        <v>28347</v>
      </c>
    </row>
    <row r="1392" spans="1:23" x14ac:dyDescent="0.35">
      <c r="A1392">
        <v>340803</v>
      </c>
      <c r="B1392" t="s">
        <v>31185</v>
      </c>
      <c r="C1392" t="str">
        <f>"9781593856052"</f>
        <v>9781593856052</v>
      </c>
      <c r="D1392" t="str">
        <f>"9781606230121"</f>
        <v>9781606230121</v>
      </c>
      <c r="E1392" t="s">
        <v>30112</v>
      </c>
      <c r="F1392" t="s">
        <v>7420</v>
      </c>
      <c r="G1392" t="s">
        <v>22179</v>
      </c>
      <c r="H1392" t="s">
        <v>26004</v>
      </c>
      <c r="I1392" s="26">
        <v>39454</v>
      </c>
      <c r="J1392">
        <v>2008</v>
      </c>
      <c r="K1392" t="s">
        <v>30113</v>
      </c>
      <c r="L1392">
        <v>656</v>
      </c>
      <c r="M1392" t="s">
        <v>31186</v>
      </c>
      <c r="N1392">
        <v>2</v>
      </c>
      <c r="Q1392" t="s">
        <v>31187</v>
      </c>
      <c r="R1392" t="s">
        <v>31188</v>
      </c>
      <c r="S1392" t="s">
        <v>31189</v>
      </c>
      <c r="T1392" t="s">
        <v>30</v>
      </c>
      <c r="U1392" t="s">
        <v>26116</v>
      </c>
      <c r="W1392" t="s">
        <v>28347</v>
      </c>
    </row>
    <row r="1393" spans="1:23" x14ac:dyDescent="0.35">
      <c r="A1393">
        <v>340804</v>
      </c>
      <c r="B1393" t="s">
        <v>10109</v>
      </c>
      <c r="C1393" t="str">
        <f>"9781593856397"</f>
        <v>9781593856397</v>
      </c>
      <c r="D1393" t="str">
        <f>"9781606230138"</f>
        <v>9781606230138</v>
      </c>
      <c r="E1393" t="s">
        <v>30112</v>
      </c>
      <c r="F1393" t="s">
        <v>7420</v>
      </c>
      <c r="G1393" t="s">
        <v>22179</v>
      </c>
      <c r="H1393" t="s">
        <v>26004</v>
      </c>
      <c r="I1393" s="26">
        <v>39455</v>
      </c>
      <c r="J1393">
        <v>2008</v>
      </c>
      <c r="K1393" t="s">
        <v>30113</v>
      </c>
      <c r="L1393">
        <v>304</v>
      </c>
      <c r="M1393" t="s">
        <v>31190</v>
      </c>
      <c r="N1393">
        <v>1</v>
      </c>
      <c r="Q1393" t="s">
        <v>31191</v>
      </c>
      <c r="R1393">
        <v>364.360973</v>
      </c>
      <c r="S1393" t="s">
        <v>31192</v>
      </c>
      <c r="T1393" t="s">
        <v>30</v>
      </c>
      <c r="U1393" t="s">
        <v>26044</v>
      </c>
      <c r="W1393" t="s">
        <v>28347</v>
      </c>
    </row>
    <row r="1394" spans="1:23" x14ac:dyDescent="0.35">
      <c r="A1394">
        <v>343603</v>
      </c>
      <c r="B1394" t="s">
        <v>9272</v>
      </c>
      <c r="C1394" t="str">
        <f>"9780080447018"</f>
        <v>9780080447018</v>
      </c>
      <c r="D1394" t="str">
        <f>"9780080550497"</f>
        <v>9780080550497</v>
      </c>
      <c r="E1394" t="s">
        <v>27482</v>
      </c>
      <c r="F1394" t="s">
        <v>7447</v>
      </c>
      <c r="G1394" t="s">
        <v>22689</v>
      </c>
      <c r="H1394" t="s">
        <v>26011</v>
      </c>
      <c r="I1394" s="26">
        <v>39325</v>
      </c>
      <c r="J1394">
        <v>2007</v>
      </c>
      <c r="K1394" t="s">
        <v>7447</v>
      </c>
      <c r="L1394">
        <v>334</v>
      </c>
      <c r="M1394" t="s">
        <v>31193</v>
      </c>
      <c r="N1394">
        <v>1</v>
      </c>
      <c r="Q1394" t="s">
        <v>31194</v>
      </c>
      <c r="S1394" t="s">
        <v>10059</v>
      </c>
      <c r="T1394" t="s">
        <v>30</v>
      </c>
      <c r="U1394" t="s">
        <v>26019</v>
      </c>
      <c r="W1394" t="s">
        <v>26009</v>
      </c>
    </row>
    <row r="1395" spans="1:23" x14ac:dyDescent="0.35">
      <c r="A1395">
        <v>343946</v>
      </c>
      <c r="B1395" t="s">
        <v>9751</v>
      </c>
      <c r="C1395" t="str">
        <f>"9780761947400"</f>
        <v>9780761947400</v>
      </c>
      <c r="D1395" t="str">
        <f>"9781848600584"</f>
        <v>9781848600584</v>
      </c>
      <c r="E1395" t="s">
        <v>28007</v>
      </c>
      <c r="F1395" t="s">
        <v>7430</v>
      </c>
      <c r="G1395" t="s">
        <v>22174</v>
      </c>
      <c r="H1395" t="s">
        <v>26011</v>
      </c>
      <c r="I1395" s="26">
        <v>38628</v>
      </c>
      <c r="J1395">
        <v>2005</v>
      </c>
      <c r="K1395" t="s">
        <v>7430</v>
      </c>
      <c r="L1395">
        <v>229</v>
      </c>
      <c r="M1395" t="s">
        <v>31195</v>
      </c>
      <c r="N1395">
        <v>1</v>
      </c>
      <c r="Q1395" t="s">
        <v>31196</v>
      </c>
      <c r="R1395">
        <v>302.12</v>
      </c>
      <c r="S1395" t="s">
        <v>31197</v>
      </c>
      <c r="T1395" t="s">
        <v>30</v>
      </c>
      <c r="U1395" t="s">
        <v>26044</v>
      </c>
      <c r="W1395" t="s">
        <v>26009</v>
      </c>
    </row>
    <row r="1396" spans="1:23" x14ac:dyDescent="0.35">
      <c r="A1396">
        <v>343948</v>
      </c>
      <c r="B1396" t="s">
        <v>31198</v>
      </c>
      <c r="C1396" t="str">
        <f>"9780761953456"</f>
        <v>9780761953456</v>
      </c>
      <c r="D1396" t="str">
        <f>"9781847876812"</f>
        <v>9781847876812</v>
      </c>
      <c r="E1396" t="s">
        <v>28007</v>
      </c>
      <c r="F1396" t="s">
        <v>7430</v>
      </c>
      <c r="G1396" t="s">
        <v>22174</v>
      </c>
      <c r="H1396" t="s">
        <v>26011</v>
      </c>
      <c r="I1396" s="26">
        <v>35936</v>
      </c>
      <c r="J1396">
        <v>1998</v>
      </c>
      <c r="K1396" t="s">
        <v>7430</v>
      </c>
      <c r="L1396">
        <v>127</v>
      </c>
      <c r="M1396" t="s">
        <v>31199</v>
      </c>
      <c r="N1396">
        <v>1</v>
      </c>
      <c r="Q1396" t="s">
        <v>31200</v>
      </c>
      <c r="R1396">
        <v>361.06</v>
      </c>
      <c r="S1396" t="s">
        <v>9389</v>
      </c>
      <c r="T1396" t="s">
        <v>30</v>
      </c>
      <c r="U1396" t="s">
        <v>26228</v>
      </c>
      <c r="W1396" t="s">
        <v>26009</v>
      </c>
    </row>
    <row r="1397" spans="1:23" x14ac:dyDescent="0.35">
      <c r="A1397">
        <v>345097</v>
      </c>
      <c r="B1397" t="s">
        <v>31201</v>
      </c>
      <c r="C1397" t="str">
        <f>"9780805840353"</f>
        <v>9780805840353</v>
      </c>
      <c r="D1397" t="str">
        <f>"9781410607171"</f>
        <v>9781410607171</v>
      </c>
      <c r="E1397" t="s">
        <v>26010</v>
      </c>
      <c r="F1397" t="s">
        <v>35</v>
      </c>
      <c r="G1397" t="s">
        <v>26128</v>
      </c>
      <c r="H1397" t="s">
        <v>26011</v>
      </c>
      <c r="I1397" s="26">
        <v>37622</v>
      </c>
      <c r="J1397">
        <v>2003</v>
      </c>
      <c r="K1397" t="s">
        <v>660</v>
      </c>
      <c r="L1397">
        <v>591</v>
      </c>
      <c r="M1397" t="s">
        <v>31202</v>
      </c>
      <c r="N1397">
        <v>1</v>
      </c>
      <c r="O1397" t="s">
        <v>31203</v>
      </c>
      <c r="R1397">
        <v>155</v>
      </c>
      <c r="S1397" t="s">
        <v>31204</v>
      </c>
      <c r="T1397" t="s">
        <v>30</v>
      </c>
      <c r="U1397" t="s">
        <v>46</v>
      </c>
      <c r="W1397" t="s">
        <v>26009</v>
      </c>
    </row>
    <row r="1398" spans="1:23" x14ac:dyDescent="0.35">
      <c r="A1398">
        <v>345137</v>
      </c>
      <c r="B1398" t="s">
        <v>9484</v>
      </c>
      <c r="C1398" t="str">
        <f>"9780335225477"</f>
        <v>9780335225477</v>
      </c>
      <c r="D1398" t="str">
        <f>"9780335235506"</f>
        <v>9780335235506</v>
      </c>
      <c r="E1398" t="s">
        <v>29061</v>
      </c>
      <c r="F1398" t="s">
        <v>7477</v>
      </c>
      <c r="G1398" t="s">
        <v>29068</v>
      </c>
      <c r="H1398" t="s">
        <v>26011</v>
      </c>
      <c r="I1398" s="26">
        <v>39539</v>
      </c>
      <c r="J1398">
        <v>2008</v>
      </c>
      <c r="K1398" t="s">
        <v>29063</v>
      </c>
      <c r="L1398">
        <v>232</v>
      </c>
      <c r="M1398" t="s">
        <v>31205</v>
      </c>
      <c r="N1398">
        <v>1</v>
      </c>
      <c r="O1398" t="s">
        <v>29065</v>
      </c>
      <c r="Q1398" t="s">
        <v>31206</v>
      </c>
      <c r="R1398">
        <v>616.85519999999997</v>
      </c>
      <c r="S1398" t="s">
        <v>31207</v>
      </c>
      <c r="T1398" t="s">
        <v>30</v>
      </c>
      <c r="U1398" t="s">
        <v>31208</v>
      </c>
      <c r="W1398" t="s">
        <v>26009</v>
      </c>
    </row>
    <row r="1399" spans="1:23" x14ac:dyDescent="0.35">
      <c r="A1399">
        <v>345181</v>
      </c>
      <c r="B1399" t="s">
        <v>31209</v>
      </c>
      <c r="C1399" t="str">
        <f>"9780833041432"</f>
        <v>9780833041432</v>
      </c>
      <c r="D1399" t="str">
        <f>"9780833044389"</f>
        <v>9780833044389</v>
      </c>
      <c r="E1399" t="s">
        <v>30602</v>
      </c>
      <c r="F1399" t="s">
        <v>8236</v>
      </c>
      <c r="G1399" t="s">
        <v>22307</v>
      </c>
      <c r="H1399" t="s">
        <v>26004</v>
      </c>
      <c r="I1399" s="26">
        <v>39429</v>
      </c>
      <c r="J1399">
        <v>2007</v>
      </c>
      <c r="K1399" t="s">
        <v>30603</v>
      </c>
      <c r="L1399">
        <v>65</v>
      </c>
      <c r="M1399" t="s">
        <v>31210</v>
      </c>
      <c r="N1399">
        <v>1</v>
      </c>
      <c r="Q1399" t="s">
        <v>31211</v>
      </c>
      <c r="R1399">
        <v>362.88</v>
      </c>
      <c r="S1399" t="s">
        <v>31212</v>
      </c>
      <c r="T1399" t="s">
        <v>30</v>
      </c>
      <c r="U1399" t="s">
        <v>26044</v>
      </c>
      <c r="W1399" t="s">
        <v>26009</v>
      </c>
    </row>
    <row r="1400" spans="1:23" x14ac:dyDescent="0.35">
      <c r="A1400">
        <v>345184</v>
      </c>
      <c r="B1400" t="s">
        <v>31213</v>
      </c>
      <c r="C1400" t="str">
        <f>"9780833042965"</f>
        <v>9780833042965</v>
      </c>
      <c r="D1400" t="str">
        <f>"9780833044341"</f>
        <v>9780833044341</v>
      </c>
      <c r="E1400" t="s">
        <v>30602</v>
      </c>
      <c r="F1400" t="s">
        <v>8236</v>
      </c>
      <c r="G1400" t="s">
        <v>22307</v>
      </c>
      <c r="H1400" t="s">
        <v>26004</v>
      </c>
      <c r="I1400" s="26">
        <v>39387</v>
      </c>
      <c r="J1400">
        <v>2007</v>
      </c>
      <c r="K1400" t="s">
        <v>30603</v>
      </c>
      <c r="L1400">
        <v>109</v>
      </c>
      <c r="M1400" t="s">
        <v>31214</v>
      </c>
      <c r="N1400">
        <v>1</v>
      </c>
      <c r="Q1400" t="s">
        <v>31215</v>
      </c>
      <c r="R1400">
        <v>364.15</v>
      </c>
      <c r="S1400" t="s">
        <v>31216</v>
      </c>
      <c r="T1400" t="s">
        <v>30</v>
      </c>
      <c r="U1400" t="s">
        <v>26044</v>
      </c>
      <c r="W1400" t="s">
        <v>26009</v>
      </c>
    </row>
    <row r="1401" spans="1:23" x14ac:dyDescent="0.35">
      <c r="A1401">
        <v>345327</v>
      </c>
      <c r="B1401" t="s">
        <v>31217</v>
      </c>
      <c r="C1401" t="str">
        <f>"9780816602483"</f>
        <v>9780816602483</v>
      </c>
      <c r="D1401" t="str">
        <f>"9780816663552"</f>
        <v>9780816663552</v>
      </c>
      <c r="E1401" t="s">
        <v>7471</v>
      </c>
      <c r="F1401" t="s">
        <v>7471</v>
      </c>
      <c r="G1401" t="s">
        <v>23536</v>
      </c>
      <c r="H1401" t="s">
        <v>26004</v>
      </c>
      <c r="I1401" s="26">
        <v>22282</v>
      </c>
      <c r="J1401">
        <v>1961</v>
      </c>
      <c r="K1401" t="s">
        <v>7471</v>
      </c>
      <c r="L1401">
        <v>216</v>
      </c>
      <c r="M1401" t="s">
        <v>31218</v>
      </c>
      <c r="N1401">
        <v>1</v>
      </c>
      <c r="Q1401" t="s">
        <v>31219</v>
      </c>
      <c r="R1401" t="s">
        <v>31220</v>
      </c>
      <c r="S1401" t="s">
        <v>31221</v>
      </c>
      <c r="T1401" t="s">
        <v>30</v>
      </c>
      <c r="U1401" t="s">
        <v>46</v>
      </c>
      <c r="W1401" t="s">
        <v>26009</v>
      </c>
    </row>
    <row r="1402" spans="1:23" x14ac:dyDescent="0.35">
      <c r="A1402">
        <v>345337</v>
      </c>
      <c r="B1402" t="s">
        <v>31222</v>
      </c>
      <c r="C1402" t="str">
        <f>"9780816603152"</f>
        <v>9780816603152</v>
      </c>
      <c r="D1402" t="str">
        <f>"9780816663897"</f>
        <v>9780816663897</v>
      </c>
      <c r="E1402" t="s">
        <v>7471</v>
      </c>
      <c r="F1402" t="s">
        <v>7471</v>
      </c>
      <c r="G1402" t="s">
        <v>23536</v>
      </c>
      <c r="H1402" t="s">
        <v>26004</v>
      </c>
      <c r="I1402" s="26">
        <v>23377</v>
      </c>
      <c r="J1402">
        <v>1964</v>
      </c>
      <c r="K1402" t="s">
        <v>7471</v>
      </c>
      <c r="L1402">
        <v>488</v>
      </c>
      <c r="M1402" t="s">
        <v>31223</v>
      </c>
      <c r="N1402">
        <v>1</v>
      </c>
      <c r="Q1402" t="s">
        <v>31224</v>
      </c>
      <c r="R1402">
        <v>153.19999999999999</v>
      </c>
      <c r="S1402" t="s">
        <v>31225</v>
      </c>
      <c r="T1402" t="s">
        <v>30</v>
      </c>
      <c r="U1402" t="s">
        <v>26070</v>
      </c>
      <c r="W1402" t="s">
        <v>26009</v>
      </c>
    </row>
    <row r="1403" spans="1:23" x14ac:dyDescent="0.35">
      <c r="A1403">
        <v>345366</v>
      </c>
      <c r="B1403" t="s">
        <v>31226</v>
      </c>
      <c r="C1403" t="str">
        <f>"9780816604180"</f>
        <v>9780816604180</v>
      </c>
      <c r="D1403" t="str">
        <f>"9780816662814"</f>
        <v>9780816662814</v>
      </c>
      <c r="E1403" t="s">
        <v>7471</v>
      </c>
      <c r="F1403" t="s">
        <v>7471</v>
      </c>
      <c r="G1403" t="s">
        <v>23536</v>
      </c>
      <c r="H1403" t="s">
        <v>26004</v>
      </c>
      <c r="I1403" s="26">
        <v>20821</v>
      </c>
      <c r="J1403">
        <v>1957</v>
      </c>
      <c r="K1403" t="s">
        <v>7471</v>
      </c>
      <c r="L1403">
        <v>298</v>
      </c>
      <c r="M1403" t="s">
        <v>31227</v>
      </c>
      <c r="N1403">
        <v>1</v>
      </c>
      <c r="Q1403" t="s">
        <v>31228</v>
      </c>
      <c r="R1403" t="s">
        <v>31229</v>
      </c>
      <c r="S1403" t="s">
        <v>31230</v>
      </c>
      <c r="T1403" t="s">
        <v>30</v>
      </c>
      <c r="U1403" t="s">
        <v>31231</v>
      </c>
      <c r="W1403" t="s">
        <v>26009</v>
      </c>
    </row>
    <row r="1404" spans="1:23" x14ac:dyDescent="0.35">
      <c r="A1404">
        <v>345378</v>
      </c>
      <c r="B1404" t="s">
        <v>9145</v>
      </c>
      <c r="C1404" t="str">
        <f>"9780816604623"</f>
        <v>9780816604623</v>
      </c>
      <c r="D1404" t="str">
        <f>"9780816662937"</f>
        <v>9780816662937</v>
      </c>
      <c r="E1404" t="s">
        <v>7471</v>
      </c>
      <c r="F1404" t="s">
        <v>7471</v>
      </c>
      <c r="G1404" t="s">
        <v>23536</v>
      </c>
      <c r="H1404" t="s">
        <v>26004</v>
      </c>
      <c r="I1404" s="26">
        <v>24473</v>
      </c>
      <c r="J1404">
        <v>1967</v>
      </c>
      <c r="K1404" t="s">
        <v>7471</v>
      </c>
      <c r="L1404">
        <v>254</v>
      </c>
      <c r="M1404" t="s">
        <v>31232</v>
      </c>
      <c r="N1404">
        <v>1</v>
      </c>
      <c r="O1404" t="s">
        <v>31233</v>
      </c>
      <c r="P1404">
        <v>1</v>
      </c>
      <c r="Q1404" t="s">
        <v>31234</v>
      </c>
      <c r="R1404">
        <v>155.4</v>
      </c>
      <c r="S1404" t="s">
        <v>31235</v>
      </c>
      <c r="T1404" t="s">
        <v>30</v>
      </c>
      <c r="U1404" t="s">
        <v>46</v>
      </c>
      <c r="W1404" t="s">
        <v>26009</v>
      </c>
    </row>
    <row r="1405" spans="1:23" x14ac:dyDescent="0.35">
      <c r="A1405">
        <v>345391</v>
      </c>
      <c r="B1405" t="s">
        <v>9145</v>
      </c>
      <c r="C1405" t="str">
        <f>"9780816605064"</f>
        <v>9780816605064</v>
      </c>
      <c r="D1405" t="str">
        <f>"9780816662890"</f>
        <v>9780816662890</v>
      </c>
      <c r="E1405" t="s">
        <v>7471</v>
      </c>
      <c r="F1405" t="s">
        <v>7471</v>
      </c>
      <c r="G1405" t="s">
        <v>23536</v>
      </c>
      <c r="H1405" t="s">
        <v>26004</v>
      </c>
      <c r="I1405" s="26">
        <v>25204</v>
      </c>
      <c r="J1405">
        <v>1969</v>
      </c>
      <c r="K1405" t="s">
        <v>7471</v>
      </c>
      <c r="L1405">
        <v>183</v>
      </c>
      <c r="M1405" t="s">
        <v>31232</v>
      </c>
      <c r="N1405">
        <v>1</v>
      </c>
      <c r="O1405" t="s">
        <v>31236</v>
      </c>
      <c r="P1405">
        <v>2</v>
      </c>
      <c r="Q1405" t="s">
        <v>31237</v>
      </c>
      <c r="R1405">
        <v>155.4</v>
      </c>
      <c r="S1405" t="s">
        <v>31235</v>
      </c>
      <c r="T1405" t="s">
        <v>30</v>
      </c>
      <c r="U1405" t="s">
        <v>46</v>
      </c>
      <c r="W1405" t="s">
        <v>26009</v>
      </c>
    </row>
    <row r="1406" spans="1:23" x14ac:dyDescent="0.35">
      <c r="A1406">
        <v>345406</v>
      </c>
      <c r="B1406" t="s">
        <v>31238</v>
      </c>
      <c r="C1406" t="str">
        <f>"9780816605682"</f>
        <v>9780816605682</v>
      </c>
      <c r="D1406" t="str">
        <f>"9780816662913"</f>
        <v>9780816662913</v>
      </c>
      <c r="E1406" t="s">
        <v>7471</v>
      </c>
      <c r="F1406" t="s">
        <v>7471</v>
      </c>
      <c r="G1406" t="s">
        <v>23536</v>
      </c>
      <c r="H1406" t="s">
        <v>26004</v>
      </c>
      <c r="I1406" s="26">
        <v>25569</v>
      </c>
      <c r="J1406">
        <v>1970</v>
      </c>
      <c r="K1406" t="s">
        <v>7471</v>
      </c>
      <c r="L1406">
        <v>288</v>
      </c>
      <c r="M1406" t="s">
        <v>31232</v>
      </c>
      <c r="N1406">
        <v>1</v>
      </c>
      <c r="O1406" t="s">
        <v>31239</v>
      </c>
      <c r="P1406">
        <v>4</v>
      </c>
      <c r="Q1406" t="s">
        <v>31240</v>
      </c>
      <c r="R1406">
        <v>155.4</v>
      </c>
      <c r="S1406" t="s">
        <v>31235</v>
      </c>
      <c r="T1406" t="s">
        <v>30</v>
      </c>
      <c r="U1406" t="s">
        <v>46</v>
      </c>
      <c r="W1406" t="s">
        <v>26009</v>
      </c>
    </row>
    <row r="1407" spans="1:23" x14ac:dyDescent="0.35">
      <c r="A1407">
        <v>345419</v>
      </c>
      <c r="B1407" t="s">
        <v>9145</v>
      </c>
      <c r="C1407" t="str">
        <f>"9780816606146"</f>
        <v>9780816606146</v>
      </c>
      <c r="D1407" t="str">
        <f>"9780816662920"</f>
        <v>9780816662920</v>
      </c>
      <c r="E1407" t="s">
        <v>7471</v>
      </c>
      <c r="F1407" t="s">
        <v>7471</v>
      </c>
      <c r="G1407" t="s">
        <v>23536</v>
      </c>
      <c r="H1407" t="s">
        <v>26004</v>
      </c>
      <c r="I1407" s="26">
        <v>25934</v>
      </c>
      <c r="J1407">
        <v>1971</v>
      </c>
      <c r="K1407" t="s">
        <v>7471</v>
      </c>
      <c r="L1407">
        <v>231</v>
      </c>
      <c r="M1407" t="s">
        <v>31232</v>
      </c>
      <c r="N1407">
        <v>1</v>
      </c>
      <c r="O1407" t="s">
        <v>31241</v>
      </c>
      <c r="P1407">
        <v>5</v>
      </c>
      <c r="Q1407" t="s">
        <v>31240</v>
      </c>
      <c r="R1407">
        <v>155.4</v>
      </c>
      <c r="S1407" t="s">
        <v>31235</v>
      </c>
      <c r="T1407" t="s">
        <v>30</v>
      </c>
      <c r="U1407" t="s">
        <v>46</v>
      </c>
      <c r="W1407" t="s">
        <v>26009</v>
      </c>
    </row>
    <row r="1408" spans="1:23" x14ac:dyDescent="0.35">
      <c r="A1408">
        <v>345425</v>
      </c>
      <c r="B1408" t="s">
        <v>9145</v>
      </c>
      <c r="C1408" t="str">
        <f>"9780816606412"</f>
        <v>9780816606412</v>
      </c>
      <c r="D1408" t="str">
        <f>"9780816664023"</f>
        <v>9780816664023</v>
      </c>
      <c r="E1408" t="s">
        <v>7471</v>
      </c>
      <c r="F1408" t="s">
        <v>7471</v>
      </c>
      <c r="G1408" t="s">
        <v>23536</v>
      </c>
      <c r="H1408" t="s">
        <v>26004</v>
      </c>
      <c r="I1408" s="26">
        <v>26299</v>
      </c>
      <c r="J1408">
        <v>1972</v>
      </c>
      <c r="K1408" t="s">
        <v>7471</v>
      </c>
      <c r="L1408">
        <v>181</v>
      </c>
      <c r="M1408" t="s">
        <v>31242</v>
      </c>
      <c r="N1408">
        <v>1</v>
      </c>
      <c r="O1408" t="s">
        <v>31243</v>
      </c>
      <c r="P1408">
        <v>6</v>
      </c>
      <c r="Q1408" t="s">
        <v>31244</v>
      </c>
      <c r="R1408">
        <v>155.4</v>
      </c>
      <c r="S1408" t="s">
        <v>31235</v>
      </c>
      <c r="T1408" t="s">
        <v>30</v>
      </c>
      <c r="U1408" t="s">
        <v>46</v>
      </c>
      <c r="W1408" t="s">
        <v>26009</v>
      </c>
    </row>
    <row r="1409" spans="1:23" x14ac:dyDescent="0.35">
      <c r="A1409">
        <v>345433</v>
      </c>
      <c r="B1409" t="s">
        <v>9866</v>
      </c>
      <c r="C1409" t="str">
        <f>"9780816606603"</f>
        <v>9780816606603</v>
      </c>
      <c r="D1409" t="str">
        <f>"9780816664191"</f>
        <v>9780816664191</v>
      </c>
      <c r="E1409" t="s">
        <v>7471</v>
      </c>
      <c r="F1409" t="s">
        <v>7471</v>
      </c>
      <c r="G1409" t="s">
        <v>23536</v>
      </c>
      <c r="H1409" t="s">
        <v>26004</v>
      </c>
      <c r="I1409" s="26">
        <v>26299</v>
      </c>
      <c r="J1409">
        <v>1972</v>
      </c>
      <c r="K1409" t="s">
        <v>7471</v>
      </c>
      <c r="L1409">
        <v>217</v>
      </c>
      <c r="M1409" t="s">
        <v>31245</v>
      </c>
      <c r="N1409">
        <v>1</v>
      </c>
      <c r="Q1409" t="s">
        <v>31246</v>
      </c>
      <c r="R1409" t="s">
        <v>31247</v>
      </c>
      <c r="S1409" t="s">
        <v>31248</v>
      </c>
      <c r="T1409" t="s">
        <v>30</v>
      </c>
      <c r="U1409" t="s">
        <v>26228</v>
      </c>
      <c r="W1409" t="s">
        <v>26009</v>
      </c>
    </row>
    <row r="1410" spans="1:23" x14ac:dyDescent="0.35">
      <c r="A1410">
        <v>345441</v>
      </c>
      <c r="B1410" t="s">
        <v>9145</v>
      </c>
      <c r="C1410" t="str">
        <f>"9780816606993"</f>
        <v>9780816606993</v>
      </c>
      <c r="D1410" t="str">
        <f>"9780816664030"</f>
        <v>9780816664030</v>
      </c>
      <c r="E1410" t="s">
        <v>7471</v>
      </c>
      <c r="F1410" t="s">
        <v>7471</v>
      </c>
      <c r="G1410" t="s">
        <v>23536</v>
      </c>
      <c r="H1410" t="s">
        <v>26004</v>
      </c>
      <c r="I1410" s="26">
        <v>26665</v>
      </c>
      <c r="J1410">
        <v>1973</v>
      </c>
      <c r="K1410" t="s">
        <v>7471</v>
      </c>
      <c r="L1410">
        <v>225</v>
      </c>
      <c r="M1410" t="s">
        <v>31242</v>
      </c>
      <c r="N1410">
        <v>1</v>
      </c>
      <c r="O1410" t="s">
        <v>31249</v>
      </c>
      <c r="P1410">
        <v>7</v>
      </c>
      <c r="Q1410" t="s">
        <v>31250</v>
      </c>
      <c r="R1410">
        <v>155.4</v>
      </c>
      <c r="S1410" t="s">
        <v>31235</v>
      </c>
      <c r="T1410" t="s">
        <v>30</v>
      </c>
      <c r="U1410" t="s">
        <v>46</v>
      </c>
      <c r="W1410" t="s">
        <v>26009</v>
      </c>
    </row>
    <row r="1411" spans="1:23" x14ac:dyDescent="0.35">
      <c r="A1411">
        <v>345457</v>
      </c>
      <c r="B1411" t="s">
        <v>9145</v>
      </c>
      <c r="C1411" t="str">
        <f>"9780816607914"</f>
        <v>9780816607914</v>
      </c>
      <c r="D1411" t="str">
        <f>"9780816664016"</f>
        <v>9780816664016</v>
      </c>
      <c r="E1411" t="s">
        <v>7471</v>
      </c>
      <c r="F1411" t="s">
        <v>7471</v>
      </c>
      <c r="G1411" t="s">
        <v>23536</v>
      </c>
      <c r="H1411" t="s">
        <v>26004</v>
      </c>
      <c r="I1411" s="26">
        <v>27760</v>
      </c>
      <c r="J1411">
        <v>1976</v>
      </c>
      <c r="K1411" t="s">
        <v>7471</v>
      </c>
      <c r="L1411">
        <v>254</v>
      </c>
      <c r="M1411" t="s">
        <v>31242</v>
      </c>
      <c r="N1411">
        <v>1</v>
      </c>
      <c r="O1411" t="s">
        <v>31251</v>
      </c>
      <c r="P1411">
        <v>10</v>
      </c>
      <c r="Q1411" t="s">
        <v>31252</v>
      </c>
      <c r="R1411">
        <v>155.4</v>
      </c>
      <c r="S1411" t="s">
        <v>31235</v>
      </c>
      <c r="T1411" t="s">
        <v>30</v>
      </c>
      <c r="U1411" t="s">
        <v>46</v>
      </c>
      <c r="W1411" t="s">
        <v>26009</v>
      </c>
    </row>
    <row r="1412" spans="1:23" x14ac:dyDescent="0.35">
      <c r="A1412">
        <v>345556</v>
      </c>
      <c r="B1412" t="s">
        <v>9995</v>
      </c>
      <c r="C1412" t="str">
        <f>"9780520252929"</f>
        <v>9780520252929</v>
      </c>
      <c r="D1412" t="str">
        <f>"9780520941182"</f>
        <v>9780520941182</v>
      </c>
      <c r="E1412" t="s">
        <v>1612</v>
      </c>
      <c r="F1412" t="s">
        <v>1612</v>
      </c>
      <c r="G1412" t="s">
        <v>22630</v>
      </c>
      <c r="H1412" t="s">
        <v>26004</v>
      </c>
      <c r="I1412" s="26">
        <v>39545</v>
      </c>
      <c r="J1412">
        <v>2008</v>
      </c>
      <c r="K1412" t="s">
        <v>1612</v>
      </c>
      <c r="L1412">
        <v>334</v>
      </c>
      <c r="M1412" t="s">
        <v>31253</v>
      </c>
      <c r="N1412">
        <v>1</v>
      </c>
      <c r="R1412" t="s">
        <v>31254</v>
      </c>
      <c r="S1412" t="s">
        <v>31255</v>
      </c>
      <c r="T1412" t="s">
        <v>30</v>
      </c>
      <c r="U1412" t="s">
        <v>26094</v>
      </c>
      <c r="W1412" t="s">
        <v>26009</v>
      </c>
    </row>
    <row r="1413" spans="1:23" x14ac:dyDescent="0.35">
      <c r="A1413">
        <v>345559</v>
      </c>
      <c r="B1413" t="s">
        <v>31256</v>
      </c>
      <c r="C1413" t="str">
        <f>"9780520259850"</f>
        <v>9780520259850</v>
      </c>
      <c r="D1413" t="str">
        <f>"9780520934818"</f>
        <v>9780520934818</v>
      </c>
      <c r="E1413" t="s">
        <v>1612</v>
      </c>
      <c r="F1413" t="s">
        <v>1612</v>
      </c>
      <c r="G1413" t="s">
        <v>22630</v>
      </c>
      <c r="H1413" t="s">
        <v>26004</v>
      </c>
      <c r="I1413" s="26">
        <v>39539</v>
      </c>
      <c r="J1413">
        <v>2008</v>
      </c>
      <c r="K1413" t="s">
        <v>1612</v>
      </c>
      <c r="L1413">
        <v>191</v>
      </c>
      <c r="M1413" t="s">
        <v>31257</v>
      </c>
      <c r="N1413">
        <v>1</v>
      </c>
      <c r="Q1413" t="s">
        <v>31258</v>
      </c>
      <c r="R1413" t="s">
        <v>31259</v>
      </c>
      <c r="S1413" t="s">
        <v>31260</v>
      </c>
      <c r="T1413" t="s">
        <v>30</v>
      </c>
      <c r="U1413" t="s">
        <v>26116</v>
      </c>
      <c r="W1413" t="s">
        <v>26009</v>
      </c>
    </row>
    <row r="1414" spans="1:23" x14ac:dyDescent="0.35">
      <c r="A1414">
        <v>345569</v>
      </c>
      <c r="B1414" t="s">
        <v>31261</v>
      </c>
      <c r="C1414" t="str">
        <f>"9780520253735"</f>
        <v>9780520253735</v>
      </c>
      <c r="D1414" t="str">
        <f>"9780520941311"</f>
        <v>9780520941311</v>
      </c>
      <c r="E1414" t="s">
        <v>1612</v>
      </c>
      <c r="F1414" t="s">
        <v>1612</v>
      </c>
      <c r="G1414" t="s">
        <v>22630</v>
      </c>
      <c r="H1414" t="s">
        <v>26004</v>
      </c>
      <c r="I1414" s="26">
        <v>39511</v>
      </c>
      <c r="J1414">
        <v>2008</v>
      </c>
      <c r="K1414" t="s">
        <v>1612</v>
      </c>
      <c r="L1414">
        <v>305</v>
      </c>
      <c r="M1414" t="s">
        <v>31262</v>
      </c>
      <c r="N1414">
        <v>1</v>
      </c>
      <c r="R1414" t="s">
        <v>26857</v>
      </c>
      <c r="S1414" t="s">
        <v>31263</v>
      </c>
      <c r="T1414" t="s">
        <v>30</v>
      </c>
      <c r="U1414" t="s">
        <v>26044</v>
      </c>
      <c r="W1414" t="s">
        <v>26009</v>
      </c>
    </row>
    <row r="1415" spans="1:23" x14ac:dyDescent="0.35">
      <c r="A1415">
        <v>348633</v>
      </c>
      <c r="B1415" t="s">
        <v>31264</v>
      </c>
      <c r="C1415" t="str">
        <f>"9781846637483"</f>
        <v>9781846637483</v>
      </c>
      <c r="D1415" t="str">
        <f>"9781846637490"</f>
        <v>9781846637490</v>
      </c>
      <c r="E1415" t="s">
        <v>7442</v>
      </c>
      <c r="F1415" t="s">
        <v>7442</v>
      </c>
      <c r="G1415" t="s">
        <v>23125</v>
      </c>
      <c r="H1415" t="s">
        <v>26011</v>
      </c>
      <c r="I1415" s="26">
        <v>39451</v>
      </c>
      <c r="J1415">
        <v>2008</v>
      </c>
      <c r="K1415" t="s">
        <v>264</v>
      </c>
      <c r="L1415">
        <v>95</v>
      </c>
      <c r="M1415" t="s">
        <v>31265</v>
      </c>
      <c r="N1415">
        <v>1</v>
      </c>
      <c r="O1415" t="s">
        <v>31266</v>
      </c>
      <c r="P1415">
        <v>108</v>
      </c>
      <c r="Q1415" t="s">
        <v>31267</v>
      </c>
      <c r="R1415" t="s">
        <v>31268</v>
      </c>
      <c r="S1415" t="s">
        <v>31269</v>
      </c>
      <c r="T1415" t="s">
        <v>30</v>
      </c>
      <c r="U1415" t="s">
        <v>31270</v>
      </c>
      <c r="W1415" t="s">
        <v>26009</v>
      </c>
    </row>
    <row r="1416" spans="1:23" x14ac:dyDescent="0.35">
      <c r="A1416">
        <v>348648</v>
      </c>
      <c r="B1416" t="s">
        <v>31271</v>
      </c>
      <c r="C1416" t="str">
        <f>"9781846637827"</f>
        <v>9781846637827</v>
      </c>
      <c r="D1416" t="str">
        <f>"9781846637834"</f>
        <v>9781846637834</v>
      </c>
      <c r="E1416" t="s">
        <v>7442</v>
      </c>
      <c r="F1416" t="s">
        <v>7442</v>
      </c>
      <c r="G1416" t="s">
        <v>23125</v>
      </c>
      <c r="H1416" t="s">
        <v>26011</v>
      </c>
      <c r="I1416" s="26">
        <v>39500</v>
      </c>
      <c r="J1416">
        <v>2008</v>
      </c>
      <c r="K1416" t="s">
        <v>264</v>
      </c>
      <c r="L1416">
        <v>100</v>
      </c>
      <c r="M1416" t="s">
        <v>31272</v>
      </c>
      <c r="N1416">
        <v>1</v>
      </c>
      <c r="O1416" t="s">
        <v>31273</v>
      </c>
      <c r="P1416">
        <v>23</v>
      </c>
      <c r="Q1416" t="s">
        <v>31274</v>
      </c>
      <c r="R1416">
        <v>302</v>
      </c>
      <c r="S1416" t="s">
        <v>31275</v>
      </c>
      <c r="T1416" t="s">
        <v>30</v>
      </c>
      <c r="U1416" t="s">
        <v>27171</v>
      </c>
      <c r="W1416" t="s">
        <v>26009</v>
      </c>
    </row>
    <row r="1417" spans="1:23" x14ac:dyDescent="0.35">
      <c r="A1417">
        <v>348827</v>
      </c>
      <c r="B1417" t="s">
        <v>31276</v>
      </c>
      <c r="C1417" t="str">
        <f>"9780813542089"</f>
        <v>9780813542089</v>
      </c>
      <c r="D1417" t="str">
        <f>"9780813544632"</f>
        <v>9780813544632</v>
      </c>
      <c r="E1417" t="s">
        <v>3024</v>
      </c>
      <c r="F1417" t="s">
        <v>3024</v>
      </c>
      <c r="G1417" t="s">
        <v>23823</v>
      </c>
      <c r="H1417" t="s">
        <v>26004</v>
      </c>
      <c r="I1417" s="26">
        <v>39469</v>
      </c>
      <c r="J1417">
        <v>2008</v>
      </c>
      <c r="K1417" t="s">
        <v>3024</v>
      </c>
      <c r="L1417">
        <v>244</v>
      </c>
      <c r="M1417" t="s">
        <v>31277</v>
      </c>
      <c r="N1417">
        <v>1</v>
      </c>
      <c r="O1417" t="s">
        <v>31278</v>
      </c>
      <c r="Q1417" t="s">
        <v>31279</v>
      </c>
      <c r="R1417">
        <v>362.29082</v>
      </c>
      <c r="S1417" t="s">
        <v>31280</v>
      </c>
      <c r="T1417" t="s">
        <v>30</v>
      </c>
      <c r="U1417" t="s">
        <v>26250</v>
      </c>
      <c r="W1417" t="s">
        <v>26009</v>
      </c>
    </row>
    <row r="1418" spans="1:23" x14ac:dyDescent="0.35">
      <c r="A1418">
        <v>349966</v>
      </c>
      <c r="B1418" t="s">
        <v>8428</v>
      </c>
      <c r="C1418" t="str">
        <f>"9780816643547"</f>
        <v>9780816643547</v>
      </c>
      <c r="D1418" t="str">
        <f>"9780816656431"</f>
        <v>9780816656431</v>
      </c>
      <c r="E1418" t="s">
        <v>7471</v>
      </c>
      <c r="F1418" t="s">
        <v>7471</v>
      </c>
      <c r="G1418" t="s">
        <v>23536</v>
      </c>
      <c r="H1418" t="s">
        <v>26004</v>
      </c>
      <c r="I1418" s="26">
        <v>39630</v>
      </c>
      <c r="J1418">
        <v>2008</v>
      </c>
      <c r="K1418" t="s">
        <v>7471</v>
      </c>
      <c r="L1418">
        <v>240</v>
      </c>
      <c r="M1418" t="s">
        <v>31281</v>
      </c>
      <c r="N1418">
        <v>1</v>
      </c>
      <c r="O1418" t="s">
        <v>31282</v>
      </c>
      <c r="Q1418" t="s">
        <v>31283</v>
      </c>
      <c r="R1418" t="s">
        <v>31284</v>
      </c>
      <c r="S1418" t="s">
        <v>31285</v>
      </c>
      <c r="T1418" t="s">
        <v>30</v>
      </c>
      <c r="U1418" t="s">
        <v>27699</v>
      </c>
      <c r="W1418" t="s">
        <v>26009</v>
      </c>
    </row>
    <row r="1419" spans="1:23" x14ac:dyDescent="0.35">
      <c r="A1419">
        <v>350315</v>
      </c>
      <c r="B1419" t="s">
        <v>7523</v>
      </c>
      <c r="C1419" t="str">
        <f>"9781843106289"</f>
        <v>9781843106289</v>
      </c>
      <c r="D1419" t="str">
        <f>"9781846427756"</f>
        <v>9781846427756</v>
      </c>
      <c r="E1419" t="s">
        <v>146</v>
      </c>
      <c r="F1419" t="s">
        <v>146</v>
      </c>
      <c r="G1419" t="s">
        <v>22174</v>
      </c>
      <c r="H1419" t="s">
        <v>26011</v>
      </c>
      <c r="I1419" s="26">
        <v>39522</v>
      </c>
      <c r="J1419">
        <v>2008</v>
      </c>
      <c r="K1419" t="s">
        <v>146</v>
      </c>
      <c r="L1419">
        <v>163</v>
      </c>
      <c r="M1419" t="s">
        <v>31286</v>
      </c>
      <c r="N1419">
        <v>1</v>
      </c>
      <c r="Q1419" t="s">
        <v>31287</v>
      </c>
      <c r="R1419" t="s">
        <v>28835</v>
      </c>
      <c r="S1419" t="s">
        <v>31288</v>
      </c>
      <c r="T1419" t="s">
        <v>30</v>
      </c>
      <c r="U1419" t="s">
        <v>46</v>
      </c>
      <c r="W1419" t="s">
        <v>28347</v>
      </c>
    </row>
    <row r="1420" spans="1:23" x14ac:dyDescent="0.35">
      <c r="A1420">
        <v>350316</v>
      </c>
      <c r="B1420" t="s">
        <v>7524</v>
      </c>
      <c r="C1420" t="str">
        <f>"9781843108672"</f>
        <v>9781843108672</v>
      </c>
      <c r="D1420" t="str">
        <f>"9781846427954"</f>
        <v>9781846427954</v>
      </c>
      <c r="E1420" t="s">
        <v>146</v>
      </c>
      <c r="F1420" t="s">
        <v>146</v>
      </c>
      <c r="G1420" t="s">
        <v>22174</v>
      </c>
      <c r="H1420" t="s">
        <v>26011</v>
      </c>
      <c r="I1420" s="26">
        <v>39553</v>
      </c>
      <c r="J1420">
        <v>2008</v>
      </c>
      <c r="K1420" t="s">
        <v>146</v>
      </c>
      <c r="L1420">
        <v>212</v>
      </c>
      <c r="M1420" t="s">
        <v>31289</v>
      </c>
      <c r="N1420">
        <v>1</v>
      </c>
      <c r="Q1420" t="s">
        <v>31290</v>
      </c>
      <c r="R1420">
        <v>616.99400000000003</v>
      </c>
      <c r="S1420" t="s">
        <v>31291</v>
      </c>
      <c r="T1420" t="s">
        <v>30</v>
      </c>
      <c r="U1420" t="s">
        <v>26116</v>
      </c>
      <c r="W1420" t="s">
        <v>28347</v>
      </c>
    </row>
    <row r="1421" spans="1:23" x14ac:dyDescent="0.35">
      <c r="A1421">
        <v>350317</v>
      </c>
      <c r="B1421" t="s">
        <v>31292</v>
      </c>
      <c r="C1421" t="str">
        <f>"9781843106388"</f>
        <v>9781843106388</v>
      </c>
      <c r="D1421" t="str">
        <f>"9781846427930"</f>
        <v>9781846427930</v>
      </c>
      <c r="E1421" t="s">
        <v>146</v>
      </c>
      <c r="F1421" t="s">
        <v>146</v>
      </c>
      <c r="G1421" t="s">
        <v>22174</v>
      </c>
      <c r="H1421" t="s">
        <v>26011</v>
      </c>
      <c r="I1421" s="26">
        <v>39553</v>
      </c>
      <c r="J1421">
        <v>2008</v>
      </c>
      <c r="K1421" t="s">
        <v>146</v>
      </c>
      <c r="L1421">
        <v>179</v>
      </c>
      <c r="M1421" t="s">
        <v>31293</v>
      </c>
      <c r="N1421">
        <v>1</v>
      </c>
      <c r="Q1421" t="s">
        <v>31294</v>
      </c>
      <c r="R1421" t="s">
        <v>26873</v>
      </c>
      <c r="S1421" t="s">
        <v>31295</v>
      </c>
      <c r="T1421" t="s">
        <v>30</v>
      </c>
      <c r="U1421" t="s">
        <v>46</v>
      </c>
      <c r="W1421" t="s">
        <v>28347</v>
      </c>
    </row>
    <row r="1422" spans="1:23" x14ac:dyDescent="0.35">
      <c r="A1422">
        <v>350318</v>
      </c>
      <c r="B1422" t="s">
        <v>31296</v>
      </c>
      <c r="C1422" t="str">
        <f>"9781843106302"</f>
        <v>9781843106302</v>
      </c>
      <c r="D1422" t="str">
        <f>"9781846427565"</f>
        <v>9781846427565</v>
      </c>
      <c r="E1422" t="s">
        <v>146</v>
      </c>
      <c r="F1422" t="s">
        <v>146</v>
      </c>
      <c r="G1422" t="s">
        <v>22174</v>
      </c>
      <c r="H1422" t="s">
        <v>26011</v>
      </c>
      <c r="I1422" s="26">
        <v>39462</v>
      </c>
      <c r="J1422">
        <v>2008</v>
      </c>
      <c r="K1422" t="s">
        <v>146</v>
      </c>
      <c r="L1422">
        <v>113</v>
      </c>
      <c r="M1422" t="s">
        <v>31297</v>
      </c>
      <c r="N1422">
        <v>1</v>
      </c>
      <c r="Q1422" t="s">
        <v>31298</v>
      </c>
      <c r="R1422">
        <v>362.19685883199998</v>
      </c>
      <c r="T1422" t="s">
        <v>30</v>
      </c>
      <c r="U1422" t="s">
        <v>29302</v>
      </c>
      <c r="W1422" t="s">
        <v>28347</v>
      </c>
    </row>
    <row r="1423" spans="1:23" x14ac:dyDescent="0.35">
      <c r="A1423">
        <v>350319</v>
      </c>
      <c r="B1423" t="s">
        <v>31299</v>
      </c>
      <c r="C1423" t="str">
        <f>"9781843106487"</f>
        <v>9781843106487</v>
      </c>
      <c r="D1423" t="str">
        <f>"9781846427701"</f>
        <v>9781846427701</v>
      </c>
      <c r="E1423" t="s">
        <v>146</v>
      </c>
      <c r="F1423" t="s">
        <v>146</v>
      </c>
      <c r="G1423" t="s">
        <v>22174</v>
      </c>
      <c r="H1423" t="s">
        <v>26011</v>
      </c>
      <c r="I1423" s="26">
        <v>39522</v>
      </c>
      <c r="J1423">
        <v>2008</v>
      </c>
      <c r="K1423" t="s">
        <v>146</v>
      </c>
      <c r="L1423">
        <v>180</v>
      </c>
      <c r="M1423" t="s">
        <v>31300</v>
      </c>
      <c r="N1423">
        <v>1</v>
      </c>
      <c r="Q1423" t="s">
        <v>31301</v>
      </c>
      <c r="R1423">
        <v>362.38400000000001</v>
      </c>
      <c r="T1423" t="s">
        <v>30</v>
      </c>
      <c r="U1423" t="s">
        <v>29407</v>
      </c>
      <c r="W1423" t="s">
        <v>28347</v>
      </c>
    </row>
    <row r="1424" spans="1:23" x14ac:dyDescent="0.35">
      <c r="A1424">
        <v>350320</v>
      </c>
      <c r="B1424" t="s">
        <v>31302</v>
      </c>
      <c r="C1424" t="str">
        <f>"9781843106470"</f>
        <v>9781843106470</v>
      </c>
      <c r="D1424" t="str">
        <f>"9781846427770"</f>
        <v>9781846427770</v>
      </c>
      <c r="E1424" t="s">
        <v>146</v>
      </c>
      <c r="F1424" t="s">
        <v>146</v>
      </c>
      <c r="G1424" t="s">
        <v>22174</v>
      </c>
      <c r="H1424" t="s">
        <v>26011</v>
      </c>
      <c r="I1424" s="26">
        <v>39522</v>
      </c>
      <c r="J1424">
        <v>2008</v>
      </c>
      <c r="K1424" t="s">
        <v>146</v>
      </c>
      <c r="L1424">
        <v>178</v>
      </c>
      <c r="M1424" t="s">
        <v>31303</v>
      </c>
      <c r="N1424">
        <v>1</v>
      </c>
      <c r="Q1424" t="s">
        <v>31304</v>
      </c>
      <c r="R1424" t="s">
        <v>31305</v>
      </c>
      <c r="T1424" t="s">
        <v>30</v>
      </c>
      <c r="U1424" t="s">
        <v>31306</v>
      </c>
      <c r="W1424" t="s">
        <v>28347</v>
      </c>
    </row>
    <row r="1425" spans="1:23" x14ac:dyDescent="0.35">
      <c r="A1425">
        <v>350321</v>
      </c>
      <c r="B1425" t="s">
        <v>31307</v>
      </c>
      <c r="C1425" t="str">
        <f>"9781843108344"</f>
        <v>9781843108344</v>
      </c>
      <c r="D1425" t="str">
        <f>"9781846427947"</f>
        <v>9781846427947</v>
      </c>
      <c r="E1425" t="s">
        <v>146</v>
      </c>
      <c r="F1425" t="s">
        <v>146</v>
      </c>
      <c r="G1425" t="s">
        <v>22174</v>
      </c>
      <c r="H1425" t="s">
        <v>26011</v>
      </c>
      <c r="I1425" s="26">
        <v>39553</v>
      </c>
      <c r="J1425">
        <v>2008</v>
      </c>
      <c r="K1425" t="s">
        <v>146</v>
      </c>
      <c r="L1425">
        <v>224</v>
      </c>
      <c r="M1425" t="s">
        <v>31308</v>
      </c>
      <c r="N1425">
        <v>1</v>
      </c>
      <c r="Q1425" t="s">
        <v>31309</v>
      </c>
      <c r="R1425">
        <v>618.92858820000004</v>
      </c>
      <c r="S1425" t="s">
        <v>31310</v>
      </c>
      <c r="T1425" t="s">
        <v>30</v>
      </c>
      <c r="U1425" t="s">
        <v>26116</v>
      </c>
      <c r="W1425" t="s">
        <v>28347</v>
      </c>
    </row>
    <row r="1426" spans="1:23" x14ac:dyDescent="0.35">
      <c r="A1426">
        <v>350323</v>
      </c>
      <c r="B1426" t="s">
        <v>31311</v>
      </c>
      <c r="C1426" t="str">
        <f>"9781843108818"</f>
        <v>9781843108818</v>
      </c>
      <c r="D1426" t="str">
        <f>"9781846427633"</f>
        <v>9781846427633</v>
      </c>
      <c r="E1426" t="s">
        <v>146</v>
      </c>
      <c r="F1426" t="s">
        <v>146</v>
      </c>
      <c r="G1426" t="s">
        <v>22174</v>
      </c>
      <c r="H1426" t="s">
        <v>26011</v>
      </c>
      <c r="I1426" s="26">
        <v>39493</v>
      </c>
      <c r="J1426">
        <v>2008</v>
      </c>
      <c r="K1426" t="s">
        <v>146</v>
      </c>
      <c r="L1426">
        <v>129</v>
      </c>
      <c r="M1426" t="s">
        <v>31312</v>
      </c>
      <c r="N1426">
        <v>1</v>
      </c>
      <c r="Q1426" t="s">
        <v>31313</v>
      </c>
      <c r="R1426" t="s">
        <v>30821</v>
      </c>
      <c r="T1426" t="s">
        <v>30</v>
      </c>
      <c r="U1426" t="s">
        <v>30185</v>
      </c>
      <c r="W1426" t="s">
        <v>28347</v>
      </c>
    </row>
    <row r="1427" spans="1:23" x14ac:dyDescent="0.35">
      <c r="A1427">
        <v>350324</v>
      </c>
      <c r="B1427" t="s">
        <v>31314</v>
      </c>
      <c r="C1427" t="str">
        <f>"9781843103400"</f>
        <v>9781843103400</v>
      </c>
      <c r="D1427" t="str">
        <f>"9781846427596"</f>
        <v>9781846427596</v>
      </c>
      <c r="E1427" t="s">
        <v>146</v>
      </c>
      <c r="F1427" t="s">
        <v>146</v>
      </c>
      <c r="G1427" t="s">
        <v>22174</v>
      </c>
      <c r="H1427" t="s">
        <v>26011</v>
      </c>
      <c r="I1427" s="26">
        <v>39465</v>
      </c>
      <c r="J1427">
        <v>2008</v>
      </c>
      <c r="K1427" t="s">
        <v>146</v>
      </c>
      <c r="L1427">
        <v>224</v>
      </c>
      <c r="M1427" t="s">
        <v>31315</v>
      </c>
      <c r="N1427">
        <v>1</v>
      </c>
      <c r="Q1427" t="s">
        <v>31316</v>
      </c>
      <c r="R1427" t="s">
        <v>29774</v>
      </c>
      <c r="S1427" t="s">
        <v>31317</v>
      </c>
      <c r="T1427" t="s">
        <v>30</v>
      </c>
      <c r="U1427" t="s">
        <v>26116</v>
      </c>
      <c r="W1427" t="s">
        <v>28347</v>
      </c>
    </row>
    <row r="1428" spans="1:23" x14ac:dyDescent="0.35">
      <c r="A1428">
        <v>350329</v>
      </c>
      <c r="B1428" t="s">
        <v>31318</v>
      </c>
      <c r="C1428" t="str">
        <f>"9781843103301"</f>
        <v>9781843103301</v>
      </c>
      <c r="D1428" t="str">
        <f>"9781846427404"</f>
        <v>9781846427404</v>
      </c>
      <c r="E1428" t="s">
        <v>146</v>
      </c>
      <c r="F1428" t="s">
        <v>146</v>
      </c>
      <c r="G1428" t="s">
        <v>22174</v>
      </c>
      <c r="H1428" t="s">
        <v>26011</v>
      </c>
      <c r="I1428" s="26">
        <v>39431</v>
      </c>
      <c r="J1428">
        <v>2007</v>
      </c>
      <c r="K1428" t="s">
        <v>146</v>
      </c>
      <c r="L1428">
        <v>164</v>
      </c>
      <c r="M1428" t="s">
        <v>31319</v>
      </c>
      <c r="N1428">
        <v>1</v>
      </c>
      <c r="O1428" t="s">
        <v>29231</v>
      </c>
      <c r="Q1428" t="s">
        <v>31320</v>
      </c>
      <c r="T1428" t="s">
        <v>30</v>
      </c>
      <c r="U1428" t="s">
        <v>26019</v>
      </c>
      <c r="W1428" t="s">
        <v>28347</v>
      </c>
    </row>
    <row r="1429" spans="1:23" x14ac:dyDescent="0.35">
      <c r="A1429">
        <v>350332</v>
      </c>
      <c r="B1429" t="s">
        <v>31321</v>
      </c>
      <c r="C1429" t="str">
        <f>"9781843105763"</f>
        <v>9781843105763</v>
      </c>
      <c r="D1429" t="str">
        <f>"9781846428005"</f>
        <v>9781846428005</v>
      </c>
      <c r="E1429" t="s">
        <v>146</v>
      </c>
      <c r="F1429" t="s">
        <v>146</v>
      </c>
      <c r="G1429" t="s">
        <v>22174</v>
      </c>
      <c r="H1429" t="s">
        <v>26011</v>
      </c>
      <c r="I1429" s="26">
        <v>39583</v>
      </c>
      <c r="J1429">
        <v>2008</v>
      </c>
      <c r="K1429" t="s">
        <v>146</v>
      </c>
      <c r="L1429">
        <v>247</v>
      </c>
      <c r="M1429" t="s">
        <v>31322</v>
      </c>
      <c r="N1429">
        <v>1</v>
      </c>
      <c r="Q1429" t="s">
        <v>31323</v>
      </c>
      <c r="R1429" t="s">
        <v>29630</v>
      </c>
      <c r="S1429" t="s">
        <v>31324</v>
      </c>
      <c r="T1429" t="s">
        <v>30</v>
      </c>
      <c r="U1429" t="s">
        <v>26116</v>
      </c>
      <c r="W1429" t="s">
        <v>28347</v>
      </c>
    </row>
    <row r="1430" spans="1:23" x14ac:dyDescent="0.35">
      <c r="A1430">
        <v>350335</v>
      </c>
      <c r="B1430" t="s">
        <v>8030</v>
      </c>
      <c r="C1430" t="str">
        <f>"9781843105916"</f>
        <v>9781843105916</v>
      </c>
      <c r="D1430" t="str">
        <f>"9781846428029"</f>
        <v>9781846428029</v>
      </c>
      <c r="E1430" t="s">
        <v>146</v>
      </c>
      <c r="F1430" t="s">
        <v>146</v>
      </c>
      <c r="G1430" t="s">
        <v>22174</v>
      </c>
      <c r="H1430" t="s">
        <v>26011</v>
      </c>
      <c r="I1430" s="26">
        <v>39583</v>
      </c>
      <c r="J1430">
        <v>2008</v>
      </c>
      <c r="K1430" t="s">
        <v>146</v>
      </c>
      <c r="L1430">
        <v>207</v>
      </c>
      <c r="M1430" t="s">
        <v>31325</v>
      </c>
      <c r="N1430">
        <v>1</v>
      </c>
      <c r="Q1430" t="s">
        <v>31326</v>
      </c>
      <c r="R1430">
        <v>616.07569999999998</v>
      </c>
      <c r="T1430" t="s">
        <v>30</v>
      </c>
      <c r="U1430" t="s">
        <v>26019</v>
      </c>
      <c r="W1430" t="s">
        <v>28347</v>
      </c>
    </row>
    <row r="1431" spans="1:23" x14ac:dyDescent="0.35">
      <c r="A1431">
        <v>350339</v>
      </c>
      <c r="B1431" t="s">
        <v>31327</v>
      </c>
      <c r="C1431" t="str">
        <f>"9781843108771"</f>
        <v>9781843108771</v>
      </c>
      <c r="D1431" t="str">
        <f>"9781846427329"</f>
        <v>9781846427329</v>
      </c>
      <c r="E1431" t="s">
        <v>146</v>
      </c>
      <c r="F1431" t="s">
        <v>146</v>
      </c>
      <c r="G1431" t="s">
        <v>22174</v>
      </c>
      <c r="H1431" t="s">
        <v>26011</v>
      </c>
      <c r="I1431" s="26">
        <v>39401</v>
      </c>
      <c r="J1431">
        <v>2007</v>
      </c>
      <c r="K1431" t="s">
        <v>146</v>
      </c>
      <c r="L1431">
        <v>196</v>
      </c>
      <c r="M1431" t="s">
        <v>31328</v>
      </c>
      <c r="N1431">
        <v>1</v>
      </c>
      <c r="Q1431" t="s">
        <v>31329</v>
      </c>
      <c r="T1431" t="s">
        <v>30</v>
      </c>
      <c r="U1431" t="s">
        <v>26116</v>
      </c>
      <c r="W1431" t="s">
        <v>28347</v>
      </c>
    </row>
    <row r="1432" spans="1:23" x14ac:dyDescent="0.35">
      <c r="A1432">
        <v>350341</v>
      </c>
      <c r="B1432" t="s">
        <v>31330</v>
      </c>
      <c r="C1432" t="str">
        <f>"9781843106197"</f>
        <v>9781843106197</v>
      </c>
      <c r="D1432" t="str">
        <f>"9781846427725"</f>
        <v>9781846427725</v>
      </c>
      <c r="E1432" t="s">
        <v>146</v>
      </c>
      <c r="F1432" t="s">
        <v>146</v>
      </c>
      <c r="G1432" t="s">
        <v>22174</v>
      </c>
      <c r="H1432" t="s">
        <v>26011</v>
      </c>
      <c r="I1432" s="26">
        <v>39522</v>
      </c>
      <c r="J1432">
        <v>2008</v>
      </c>
      <c r="K1432" t="s">
        <v>146</v>
      </c>
      <c r="L1432">
        <v>211</v>
      </c>
      <c r="M1432" t="s">
        <v>31331</v>
      </c>
      <c r="N1432">
        <v>1</v>
      </c>
      <c r="Q1432" t="s">
        <v>31332</v>
      </c>
      <c r="R1432">
        <v>618.91999999999996</v>
      </c>
      <c r="S1432" t="s">
        <v>31333</v>
      </c>
      <c r="T1432" t="s">
        <v>30</v>
      </c>
      <c r="U1432" t="s">
        <v>26040</v>
      </c>
      <c r="W1432" t="s">
        <v>28347</v>
      </c>
    </row>
    <row r="1433" spans="1:23" x14ac:dyDescent="0.35">
      <c r="A1433">
        <v>350342</v>
      </c>
      <c r="B1433" t="s">
        <v>31334</v>
      </c>
      <c r="C1433" t="str">
        <f>"9781843108856"</f>
        <v>9781843108856</v>
      </c>
      <c r="D1433" t="str">
        <f>"9781846427664"</f>
        <v>9781846427664</v>
      </c>
      <c r="E1433" t="s">
        <v>146</v>
      </c>
      <c r="F1433" t="s">
        <v>146</v>
      </c>
      <c r="G1433" t="s">
        <v>22174</v>
      </c>
      <c r="H1433" t="s">
        <v>26011</v>
      </c>
      <c r="I1433" s="26">
        <v>39493</v>
      </c>
      <c r="J1433">
        <v>2008</v>
      </c>
      <c r="K1433" t="s">
        <v>146</v>
      </c>
      <c r="L1433">
        <v>193</v>
      </c>
      <c r="M1433" t="s">
        <v>31335</v>
      </c>
      <c r="N1433">
        <v>1</v>
      </c>
      <c r="Q1433" t="s">
        <v>31336</v>
      </c>
      <c r="R1433" t="s">
        <v>29251</v>
      </c>
      <c r="S1433" t="s">
        <v>31337</v>
      </c>
      <c r="T1433" t="s">
        <v>30</v>
      </c>
      <c r="U1433" t="s">
        <v>26019</v>
      </c>
      <c r="W1433" t="s">
        <v>28347</v>
      </c>
    </row>
    <row r="1434" spans="1:23" x14ac:dyDescent="0.35">
      <c r="A1434">
        <v>350344</v>
      </c>
      <c r="B1434" t="s">
        <v>31338</v>
      </c>
      <c r="C1434" t="str">
        <f>"9781843106128"</f>
        <v>9781843106128</v>
      </c>
      <c r="D1434" t="str">
        <f>"9781846427817"</f>
        <v>9781846427817</v>
      </c>
      <c r="E1434" t="s">
        <v>146</v>
      </c>
      <c r="F1434" t="s">
        <v>146</v>
      </c>
      <c r="G1434" t="s">
        <v>22174</v>
      </c>
      <c r="H1434" t="s">
        <v>26011</v>
      </c>
      <c r="I1434" s="26">
        <v>33359</v>
      </c>
      <c r="J1434">
        <v>2008</v>
      </c>
      <c r="K1434" t="s">
        <v>146</v>
      </c>
      <c r="L1434">
        <v>210</v>
      </c>
      <c r="M1434" t="s">
        <v>31339</v>
      </c>
      <c r="N1434">
        <v>2</v>
      </c>
      <c r="Q1434" t="s">
        <v>31340</v>
      </c>
      <c r="R1434" t="s">
        <v>30809</v>
      </c>
      <c r="T1434" t="s">
        <v>30</v>
      </c>
      <c r="U1434" t="s">
        <v>46</v>
      </c>
      <c r="W1434" t="s">
        <v>28347</v>
      </c>
    </row>
    <row r="1435" spans="1:23" x14ac:dyDescent="0.35">
      <c r="A1435">
        <v>350346</v>
      </c>
      <c r="B1435" t="s">
        <v>31341</v>
      </c>
      <c r="C1435" t="str">
        <f>"9781843109143"</f>
        <v>9781843109143</v>
      </c>
      <c r="D1435" t="str">
        <f>"9781846427435"</f>
        <v>9781846427435</v>
      </c>
      <c r="E1435" t="s">
        <v>146</v>
      </c>
      <c r="F1435" t="s">
        <v>146</v>
      </c>
      <c r="G1435" t="s">
        <v>22174</v>
      </c>
      <c r="H1435" t="s">
        <v>26011</v>
      </c>
      <c r="I1435" s="26">
        <v>39431</v>
      </c>
      <c r="J1435">
        <v>2007</v>
      </c>
      <c r="K1435" t="s">
        <v>146</v>
      </c>
      <c r="L1435">
        <v>292</v>
      </c>
      <c r="M1435" t="s">
        <v>31342</v>
      </c>
      <c r="N1435">
        <v>1</v>
      </c>
      <c r="Q1435" t="s">
        <v>31343</v>
      </c>
      <c r="R1435">
        <v>618.9289</v>
      </c>
      <c r="S1435" t="s">
        <v>31344</v>
      </c>
      <c r="T1435" t="s">
        <v>30</v>
      </c>
      <c r="U1435" t="s">
        <v>26116</v>
      </c>
      <c r="W1435" t="s">
        <v>28347</v>
      </c>
    </row>
    <row r="1436" spans="1:23" x14ac:dyDescent="0.35">
      <c r="A1436">
        <v>350351</v>
      </c>
      <c r="B1436" t="s">
        <v>31345</v>
      </c>
      <c r="C1436" t="str">
        <f>"9781843105497"</f>
        <v>9781843105497</v>
      </c>
      <c r="D1436" t="str">
        <f>"9781846427848"</f>
        <v>9781846427848</v>
      </c>
      <c r="E1436" t="s">
        <v>146</v>
      </c>
      <c r="F1436" t="s">
        <v>146</v>
      </c>
      <c r="G1436" t="s">
        <v>22174</v>
      </c>
      <c r="H1436" t="s">
        <v>26011</v>
      </c>
      <c r="I1436" s="26">
        <v>39553</v>
      </c>
      <c r="J1436">
        <v>2008</v>
      </c>
      <c r="K1436" t="s">
        <v>146</v>
      </c>
      <c r="L1436">
        <v>226</v>
      </c>
      <c r="M1436" t="s">
        <v>31346</v>
      </c>
      <c r="N1436">
        <v>1</v>
      </c>
      <c r="Q1436" t="s">
        <v>31347</v>
      </c>
      <c r="R1436" t="s">
        <v>31348</v>
      </c>
      <c r="S1436" t="s">
        <v>31349</v>
      </c>
      <c r="T1436" t="s">
        <v>30</v>
      </c>
      <c r="U1436" t="s">
        <v>46</v>
      </c>
      <c r="W1436" t="s">
        <v>28347</v>
      </c>
    </row>
    <row r="1437" spans="1:23" x14ac:dyDescent="0.35">
      <c r="A1437">
        <v>350353</v>
      </c>
      <c r="B1437" t="s">
        <v>31350</v>
      </c>
      <c r="C1437" t="str">
        <f>"9781843106050"</f>
        <v>9781843106050</v>
      </c>
      <c r="D1437" t="str">
        <f>"9781846427640"</f>
        <v>9781846427640</v>
      </c>
      <c r="E1437" t="s">
        <v>146</v>
      </c>
      <c r="F1437" t="s">
        <v>146</v>
      </c>
      <c r="G1437" t="s">
        <v>22174</v>
      </c>
      <c r="H1437" t="s">
        <v>26011</v>
      </c>
      <c r="I1437" s="26">
        <v>39493</v>
      </c>
      <c r="J1437">
        <v>2008</v>
      </c>
      <c r="K1437" t="s">
        <v>146</v>
      </c>
      <c r="L1437">
        <v>148</v>
      </c>
      <c r="M1437" t="s">
        <v>31351</v>
      </c>
      <c r="N1437">
        <v>1</v>
      </c>
      <c r="Q1437" t="s">
        <v>31352</v>
      </c>
      <c r="R1437">
        <v>616.85883200000001</v>
      </c>
      <c r="S1437" t="s">
        <v>31353</v>
      </c>
      <c r="T1437" t="s">
        <v>30</v>
      </c>
      <c r="U1437" t="s">
        <v>26019</v>
      </c>
      <c r="W1437" t="s">
        <v>28347</v>
      </c>
    </row>
    <row r="1438" spans="1:23" x14ac:dyDescent="0.35">
      <c r="A1438">
        <v>350357</v>
      </c>
      <c r="B1438" t="s">
        <v>31354</v>
      </c>
      <c r="C1438" t="str">
        <f>"9781853027550"</f>
        <v>9781853027550</v>
      </c>
      <c r="D1438" t="str">
        <f>"9781846427626"</f>
        <v>9781846427626</v>
      </c>
      <c r="E1438" t="s">
        <v>146</v>
      </c>
      <c r="F1438" t="s">
        <v>146</v>
      </c>
      <c r="G1438" t="s">
        <v>22174</v>
      </c>
      <c r="H1438" t="s">
        <v>26011</v>
      </c>
      <c r="I1438" s="26">
        <v>39493</v>
      </c>
      <c r="J1438">
        <v>2008</v>
      </c>
      <c r="K1438" t="s">
        <v>146</v>
      </c>
      <c r="L1438">
        <v>346</v>
      </c>
      <c r="M1438" t="s">
        <v>31355</v>
      </c>
      <c r="N1438">
        <v>1</v>
      </c>
      <c r="Q1438" t="s">
        <v>31356</v>
      </c>
      <c r="R1438">
        <v>615.85154</v>
      </c>
      <c r="T1438" t="s">
        <v>30</v>
      </c>
      <c r="U1438" t="s">
        <v>29679</v>
      </c>
      <c r="W1438" t="s">
        <v>28347</v>
      </c>
    </row>
    <row r="1439" spans="1:23" x14ac:dyDescent="0.35">
      <c r="A1439">
        <v>350358</v>
      </c>
      <c r="B1439" t="s">
        <v>9101</v>
      </c>
      <c r="C1439" t="str">
        <f>"9781843104896"</f>
        <v>9781843104896</v>
      </c>
      <c r="D1439" t="str">
        <f>"9781846427220"</f>
        <v>9781846427220</v>
      </c>
      <c r="E1439" t="s">
        <v>146</v>
      </c>
      <c r="F1439" t="s">
        <v>146</v>
      </c>
      <c r="G1439" t="s">
        <v>22174</v>
      </c>
      <c r="H1439" t="s">
        <v>26011</v>
      </c>
      <c r="I1439" s="26">
        <v>39401</v>
      </c>
      <c r="J1439">
        <v>2007</v>
      </c>
      <c r="K1439" t="s">
        <v>146</v>
      </c>
      <c r="L1439">
        <v>299</v>
      </c>
      <c r="M1439" t="s">
        <v>31357</v>
      </c>
      <c r="N1439">
        <v>1</v>
      </c>
      <c r="Q1439" t="s">
        <v>31358</v>
      </c>
      <c r="R1439">
        <v>618.9289</v>
      </c>
      <c r="T1439" t="s">
        <v>30</v>
      </c>
      <c r="U1439" t="s">
        <v>26019</v>
      </c>
      <c r="W1439" t="s">
        <v>28347</v>
      </c>
    </row>
    <row r="1440" spans="1:23" x14ac:dyDescent="0.35">
      <c r="A1440">
        <v>350359</v>
      </c>
      <c r="B1440" t="s">
        <v>31359</v>
      </c>
      <c r="C1440" t="str">
        <f>"9781843108757"</f>
        <v>9781843108757</v>
      </c>
      <c r="D1440" t="str">
        <f>"9781846428050"</f>
        <v>9781846428050</v>
      </c>
      <c r="E1440" t="s">
        <v>146</v>
      </c>
      <c r="F1440" t="s">
        <v>146</v>
      </c>
      <c r="G1440" t="s">
        <v>22174</v>
      </c>
      <c r="H1440" t="s">
        <v>26011</v>
      </c>
      <c r="I1440" s="26">
        <v>39583</v>
      </c>
      <c r="J1440">
        <v>2008</v>
      </c>
      <c r="K1440" t="s">
        <v>146</v>
      </c>
      <c r="L1440">
        <v>153</v>
      </c>
      <c r="M1440" t="s">
        <v>31360</v>
      </c>
      <c r="N1440">
        <v>1</v>
      </c>
      <c r="Q1440" t="s">
        <v>31361</v>
      </c>
      <c r="R1440">
        <v>616.85883206200003</v>
      </c>
      <c r="S1440" t="s">
        <v>31362</v>
      </c>
      <c r="T1440" t="s">
        <v>30</v>
      </c>
      <c r="U1440" t="s">
        <v>26019</v>
      </c>
      <c r="W1440" t="s">
        <v>28347</v>
      </c>
    </row>
    <row r="1441" spans="1:23" x14ac:dyDescent="0.35">
      <c r="A1441">
        <v>350360</v>
      </c>
      <c r="B1441" t="s">
        <v>9184</v>
      </c>
      <c r="C1441" t="str">
        <f>"9781843105817"</f>
        <v>9781843105817</v>
      </c>
      <c r="D1441" t="str">
        <f>"9781846428012"</f>
        <v>9781846428012</v>
      </c>
      <c r="E1441" t="s">
        <v>146</v>
      </c>
      <c r="F1441" t="s">
        <v>146</v>
      </c>
      <c r="G1441" t="s">
        <v>22174</v>
      </c>
      <c r="H1441" t="s">
        <v>26011</v>
      </c>
      <c r="I1441" s="26">
        <v>39583</v>
      </c>
      <c r="J1441">
        <v>2008</v>
      </c>
      <c r="K1441" t="s">
        <v>146</v>
      </c>
      <c r="L1441">
        <v>208</v>
      </c>
      <c r="M1441" t="s">
        <v>31363</v>
      </c>
      <c r="N1441">
        <v>1</v>
      </c>
      <c r="Q1441" t="s">
        <v>31364</v>
      </c>
      <c r="R1441">
        <v>616.07899999999995</v>
      </c>
      <c r="T1441" t="s">
        <v>30</v>
      </c>
      <c r="U1441" t="s">
        <v>29679</v>
      </c>
      <c r="W1441" t="s">
        <v>28347</v>
      </c>
    </row>
    <row r="1442" spans="1:23" x14ac:dyDescent="0.35">
      <c r="A1442">
        <v>350361</v>
      </c>
      <c r="B1442" t="s">
        <v>9189</v>
      </c>
      <c r="C1442" t="str">
        <f>"9781843108832"</f>
        <v>9781843108832</v>
      </c>
      <c r="D1442" t="str">
        <f>"9781846427787"</f>
        <v>9781846427787</v>
      </c>
      <c r="E1442" t="s">
        <v>146</v>
      </c>
      <c r="F1442" t="s">
        <v>146</v>
      </c>
      <c r="G1442" t="s">
        <v>22174</v>
      </c>
      <c r="H1442" t="s">
        <v>26011</v>
      </c>
      <c r="I1442" s="26">
        <v>39522</v>
      </c>
      <c r="J1442">
        <v>2008</v>
      </c>
      <c r="K1442" t="s">
        <v>146</v>
      </c>
      <c r="L1442">
        <v>178</v>
      </c>
      <c r="M1442" t="s">
        <v>31365</v>
      </c>
      <c r="N1442">
        <v>1</v>
      </c>
      <c r="Q1442" t="s">
        <v>31366</v>
      </c>
      <c r="R1442" t="s">
        <v>29639</v>
      </c>
      <c r="S1442" t="s">
        <v>31367</v>
      </c>
      <c r="T1442" t="s">
        <v>30</v>
      </c>
      <c r="U1442" t="s">
        <v>26116</v>
      </c>
      <c r="W1442" t="s">
        <v>28347</v>
      </c>
    </row>
    <row r="1443" spans="1:23" x14ac:dyDescent="0.35">
      <c r="A1443">
        <v>350362</v>
      </c>
      <c r="B1443" t="s">
        <v>9195</v>
      </c>
      <c r="C1443" t="str">
        <f>"9781843105886"</f>
        <v>9781843105886</v>
      </c>
      <c r="D1443" t="str">
        <f>"9781846427343"</f>
        <v>9781846427343</v>
      </c>
      <c r="E1443" t="s">
        <v>146</v>
      </c>
      <c r="F1443" t="s">
        <v>146</v>
      </c>
      <c r="G1443" t="s">
        <v>22174</v>
      </c>
      <c r="H1443" t="s">
        <v>26011</v>
      </c>
      <c r="I1443" s="26">
        <v>39401</v>
      </c>
      <c r="J1443">
        <v>2007</v>
      </c>
      <c r="K1443" t="s">
        <v>146</v>
      </c>
      <c r="L1443">
        <v>211</v>
      </c>
      <c r="M1443" t="s">
        <v>31368</v>
      </c>
      <c r="N1443">
        <v>1</v>
      </c>
      <c r="Q1443" t="s">
        <v>31369</v>
      </c>
      <c r="R1443">
        <v>618.9289</v>
      </c>
      <c r="S1443" t="s">
        <v>31370</v>
      </c>
      <c r="T1443" t="s">
        <v>30</v>
      </c>
      <c r="U1443" t="s">
        <v>26019</v>
      </c>
      <c r="W1443" t="s">
        <v>28347</v>
      </c>
    </row>
    <row r="1444" spans="1:23" x14ac:dyDescent="0.35">
      <c r="A1444">
        <v>350365</v>
      </c>
      <c r="B1444" t="s">
        <v>9349</v>
      </c>
      <c r="C1444" t="str">
        <f>"9781843105565"</f>
        <v>9781843105565</v>
      </c>
      <c r="D1444" t="str">
        <f>"9781846427497"</f>
        <v>9781846427497</v>
      </c>
      <c r="E1444" t="s">
        <v>146</v>
      </c>
      <c r="F1444" t="s">
        <v>146</v>
      </c>
      <c r="G1444" t="s">
        <v>22174</v>
      </c>
      <c r="H1444" t="s">
        <v>26011</v>
      </c>
      <c r="I1444" s="26">
        <v>39431</v>
      </c>
      <c r="J1444">
        <v>2007</v>
      </c>
      <c r="K1444" t="s">
        <v>146</v>
      </c>
      <c r="L1444">
        <v>224</v>
      </c>
      <c r="M1444" t="s">
        <v>31371</v>
      </c>
      <c r="N1444">
        <v>1</v>
      </c>
      <c r="Q1444" t="s">
        <v>31372</v>
      </c>
      <c r="R1444">
        <v>362.29599999999999</v>
      </c>
      <c r="S1444" t="s">
        <v>31373</v>
      </c>
      <c r="T1444" t="s">
        <v>30</v>
      </c>
      <c r="U1444" t="s">
        <v>27102</v>
      </c>
      <c r="W1444" t="s">
        <v>28347</v>
      </c>
    </row>
    <row r="1445" spans="1:23" x14ac:dyDescent="0.35">
      <c r="A1445">
        <v>350366</v>
      </c>
      <c r="B1445" t="s">
        <v>31374</v>
      </c>
      <c r="C1445" t="str">
        <f>"9781843105879"</f>
        <v>9781843105879</v>
      </c>
      <c r="D1445" t="str">
        <f>"9781846427824"</f>
        <v>9781846427824</v>
      </c>
      <c r="E1445" t="s">
        <v>146</v>
      </c>
      <c r="F1445" t="s">
        <v>146</v>
      </c>
      <c r="G1445" t="s">
        <v>22174</v>
      </c>
      <c r="H1445" t="s">
        <v>26011</v>
      </c>
      <c r="I1445" s="26">
        <v>33997</v>
      </c>
      <c r="J1445">
        <v>2008</v>
      </c>
      <c r="K1445" t="s">
        <v>146</v>
      </c>
      <c r="L1445">
        <v>199</v>
      </c>
      <c r="M1445" t="s">
        <v>27060</v>
      </c>
      <c r="N1445">
        <v>2</v>
      </c>
      <c r="Q1445" t="s">
        <v>31375</v>
      </c>
      <c r="R1445">
        <v>615.85153086945002</v>
      </c>
      <c r="T1445" t="s">
        <v>30</v>
      </c>
      <c r="U1445" t="s">
        <v>26116</v>
      </c>
      <c r="W1445" t="s">
        <v>28347</v>
      </c>
    </row>
    <row r="1446" spans="1:23" x14ac:dyDescent="0.35">
      <c r="A1446">
        <v>350369</v>
      </c>
      <c r="B1446" t="s">
        <v>31376</v>
      </c>
      <c r="C1446" t="str">
        <f>"9781843105190"</f>
        <v>9781843105190</v>
      </c>
      <c r="D1446" t="str">
        <f>"9781846427510"</f>
        <v>9781846427510</v>
      </c>
      <c r="E1446" t="s">
        <v>146</v>
      </c>
      <c r="F1446" t="s">
        <v>146</v>
      </c>
      <c r="G1446" t="s">
        <v>22174</v>
      </c>
      <c r="H1446" t="s">
        <v>26011</v>
      </c>
      <c r="I1446" s="26">
        <v>39431</v>
      </c>
      <c r="J1446">
        <v>2007</v>
      </c>
      <c r="K1446" t="s">
        <v>146</v>
      </c>
      <c r="L1446">
        <v>225</v>
      </c>
      <c r="M1446" t="s">
        <v>31377</v>
      </c>
      <c r="N1446">
        <v>1</v>
      </c>
      <c r="O1446" t="s">
        <v>31378</v>
      </c>
      <c r="Q1446" t="s">
        <v>31379</v>
      </c>
      <c r="R1446">
        <v>616.89139999999998</v>
      </c>
      <c r="S1446" t="s">
        <v>31380</v>
      </c>
      <c r="T1446" t="s">
        <v>30</v>
      </c>
      <c r="U1446" t="s">
        <v>26019</v>
      </c>
      <c r="W1446" t="s">
        <v>28347</v>
      </c>
    </row>
    <row r="1447" spans="1:23" x14ac:dyDescent="0.35">
      <c r="A1447">
        <v>350371</v>
      </c>
      <c r="B1447" t="s">
        <v>31381</v>
      </c>
      <c r="C1447" t="str">
        <f>"9781843105657"</f>
        <v>9781843105657</v>
      </c>
      <c r="D1447" t="str">
        <f>"9781846427732"</f>
        <v>9781846427732</v>
      </c>
      <c r="E1447" t="s">
        <v>146</v>
      </c>
      <c r="F1447" t="s">
        <v>146</v>
      </c>
      <c r="G1447" t="s">
        <v>22174</v>
      </c>
      <c r="H1447" t="s">
        <v>26011</v>
      </c>
      <c r="I1447" s="26">
        <v>39522</v>
      </c>
      <c r="J1447">
        <v>2008</v>
      </c>
      <c r="K1447" t="s">
        <v>146</v>
      </c>
      <c r="L1447">
        <v>179</v>
      </c>
      <c r="M1447" t="s">
        <v>31382</v>
      </c>
      <c r="N1447">
        <v>1</v>
      </c>
      <c r="O1447" t="s">
        <v>31383</v>
      </c>
      <c r="Q1447" t="s">
        <v>31384</v>
      </c>
      <c r="R1447">
        <v>370.15300000000002</v>
      </c>
      <c r="T1447" t="s">
        <v>30</v>
      </c>
      <c r="U1447" t="s">
        <v>337</v>
      </c>
      <c r="W1447" t="s">
        <v>28347</v>
      </c>
    </row>
    <row r="1448" spans="1:23" x14ac:dyDescent="0.35">
      <c r="A1448">
        <v>350373</v>
      </c>
      <c r="B1448" t="s">
        <v>31385</v>
      </c>
      <c r="C1448" t="str">
        <f>"9781843105770"</f>
        <v>9781843105770</v>
      </c>
      <c r="D1448" t="str">
        <f>"9781846427879"</f>
        <v>9781846427879</v>
      </c>
      <c r="E1448" t="s">
        <v>146</v>
      </c>
      <c r="F1448" t="s">
        <v>146</v>
      </c>
      <c r="G1448" t="s">
        <v>22174</v>
      </c>
      <c r="H1448" t="s">
        <v>26011</v>
      </c>
      <c r="I1448" s="26">
        <v>39553</v>
      </c>
      <c r="J1448">
        <v>2008</v>
      </c>
      <c r="K1448" t="s">
        <v>146</v>
      </c>
      <c r="L1448">
        <v>196</v>
      </c>
      <c r="M1448" t="s">
        <v>31386</v>
      </c>
      <c r="N1448">
        <v>1</v>
      </c>
      <c r="Q1448" t="s">
        <v>31387</v>
      </c>
      <c r="R1448" t="s">
        <v>30821</v>
      </c>
      <c r="S1448" t="s">
        <v>31388</v>
      </c>
      <c r="T1448" t="s">
        <v>30</v>
      </c>
      <c r="U1448" t="s">
        <v>30818</v>
      </c>
      <c r="W1448" t="s">
        <v>28347</v>
      </c>
    </row>
    <row r="1449" spans="1:23" x14ac:dyDescent="0.35">
      <c r="A1449">
        <v>350374</v>
      </c>
      <c r="B1449" t="s">
        <v>31389</v>
      </c>
      <c r="C1449" t="str">
        <f>"9781843104148"</f>
        <v>9781843104148</v>
      </c>
      <c r="D1449" t="str">
        <f>"9781846420849"</f>
        <v>9781846420849</v>
      </c>
      <c r="E1449" t="s">
        <v>146</v>
      </c>
      <c r="F1449" t="s">
        <v>146</v>
      </c>
      <c r="G1449" t="s">
        <v>22174</v>
      </c>
      <c r="H1449" t="s">
        <v>26011</v>
      </c>
      <c r="I1449" s="26">
        <v>39431</v>
      </c>
      <c r="J1449">
        <v>2007</v>
      </c>
      <c r="K1449" t="s">
        <v>146</v>
      </c>
      <c r="L1449">
        <v>208</v>
      </c>
      <c r="M1449" t="s">
        <v>31390</v>
      </c>
      <c r="N1449">
        <v>1</v>
      </c>
      <c r="Q1449" t="s">
        <v>31391</v>
      </c>
      <c r="R1449" t="s">
        <v>31392</v>
      </c>
      <c r="T1449" t="s">
        <v>30</v>
      </c>
      <c r="U1449" t="s">
        <v>26044</v>
      </c>
      <c r="W1449" t="s">
        <v>28347</v>
      </c>
    </row>
    <row r="1450" spans="1:23" x14ac:dyDescent="0.35">
      <c r="A1450">
        <v>350376</v>
      </c>
      <c r="B1450" t="s">
        <v>31393</v>
      </c>
      <c r="C1450" t="str">
        <f>"9781843106166"</f>
        <v>9781843106166</v>
      </c>
      <c r="D1450" t="str">
        <f>"9781846427602"</f>
        <v>9781846427602</v>
      </c>
      <c r="E1450" t="s">
        <v>146</v>
      </c>
      <c r="F1450" t="s">
        <v>146</v>
      </c>
      <c r="G1450" t="s">
        <v>22174</v>
      </c>
      <c r="H1450" t="s">
        <v>26011</v>
      </c>
      <c r="I1450" s="26">
        <v>39465</v>
      </c>
      <c r="J1450">
        <v>2008</v>
      </c>
      <c r="K1450" t="s">
        <v>146</v>
      </c>
      <c r="L1450">
        <v>163</v>
      </c>
      <c r="M1450" t="s">
        <v>31394</v>
      </c>
      <c r="N1450">
        <v>1</v>
      </c>
      <c r="Q1450" t="s">
        <v>31395</v>
      </c>
      <c r="R1450">
        <v>365.66</v>
      </c>
      <c r="S1450" t="s">
        <v>31396</v>
      </c>
      <c r="T1450" t="s">
        <v>30</v>
      </c>
      <c r="U1450" t="s">
        <v>26044</v>
      </c>
      <c r="W1450" t="s">
        <v>28347</v>
      </c>
    </row>
    <row r="1451" spans="1:23" x14ac:dyDescent="0.35">
      <c r="A1451">
        <v>350377</v>
      </c>
      <c r="B1451" t="s">
        <v>31397</v>
      </c>
      <c r="C1451" t="str">
        <f>"9781843106234"</f>
        <v>9781843106234</v>
      </c>
      <c r="D1451" t="str">
        <f>"9781846427923"</f>
        <v>9781846427923</v>
      </c>
      <c r="E1451" t="s">
        <v>146</v>
      </c>
      <c r="F1451" t="s">
        <v>146</v>
      </c>
      <c r="G1451" t="s">
        <v>22174</v>
      </c>
      <c r="H1451" t="s">
        <v>26011</v>
      </c>
      <c r="I1451" s="26">
        <v>39553</v>
      </c>
      <c r="J1451">
        <v>2008</v>
      </c>
      <c r="K1451" t="s">
        <v>146</v>
      </c>
      <c r="L1451">
        <v>274</v>
      </c>
      <c r="M1451" t="s">
        <v>31398</v>
      </c>
      <c r="N1451">
        <v>1</v>
      </c>
      <c r="Q1451" t="s">
        <v>31399</v>
      </c>
      <c r="R1451">
        <v>371.94</v>
      </c>
      <c r="T1451" t="s">
        <v>30</v>
      </c>
      <c r="U1451" t="s">
        <v>31400</v>
      </c>
      <c r="W1451" t="s">
        <v>28347</v>
      </c>
    </row>
    <row r="1452" spans="1:23" x14ac:dyDescent="0.35">
      <c r="A1452">
        <v>350378</v>
      </c>
      <c r="B1452" t="s">
        <v>31401</v>
      </c>
      <c r="C1452" t="str">
        <f>"9781843106494"</f>
        <v>9781843106494</v>
      </c>
      <c r="D1452" t="str">
        <f>"9781846428043"</f>
        <v>9781846428043</v>
      </c>
      <c r="E1452" t="s">
        <v>146</v>
      </c>
      <c r="F1452" t="s">
        <v>146</v>
      </c>
      <c r="G1452" t="s">
        <v>22174</v>
      </c>
      <c r="H1452" t="s">
        <v>26011</v>
      </c>
      <c r="I1452" s="26">
        <v>39583</v>
      </c>
      <c r="J1452">
        <v>2008</v>
      </c>
      <c r="K1452" t="s">
        <v>146</v>
      </c>
      <c r="L1452">
        <v>226</v>
      </c>
      <c r="M1452" t="s">
        <v>31402</v>
      </c>
      <c r="N1452">
        <v>1</v>
      </c>
      <c r="O1452" t="s">
        <v>30985</v>
      </c>
      <c r="Q1452" t="s">
        <v>31403</v>
      </c>
      <c r="R1452">
        <v>616.83199999999999</v>
      </c>
      <c r="S1452" t="s">
        <v>31404</v>
      </c>
      <c r="T1452" t="s">
        <v>30</v>
      </c>
      <c r="U1452" t="s">
        <v>26116</v>
      </c>
      <c r="W1452" t="s">
        <v>28347</v>
      </c>
    </row>
    <row r="1453" spans="1:23" x14ac:dyDescent="0.35">
      <c r="A1453">
        <v>350381</v>
      </c>
      <c r="B1453" t="s">
        <v>31405</v>
      </c>
      <c r="C1453" t="str">
        <f>"9781843108795"</f>
        <v>9781843108795</v>
      </c>
      <c r="D1453" t="str">
        <f>"9781846427961"</f>
        <v>9781846427961</v>
      </c>
      <c r="E1453" t="s">
        <v>146</v>
      </c>
      <c r="F1453" t="s">
        <v>146</v>
      </c>
      <c r="G1453" t="s">
        <v>22174</v>
      </c>
      <c r="H1453" t="s">
        <v>26011</v>
      </c>
      <c r="I1453" s="26">
        <v>39578</v>
      </c>
      <c r="J1453">
        <v>2008</v>
      </c>
      <c r="K1453" t="s">
        <v>146</v>
      </c>
      <c r="L1453">
        <v>162</v>
      </c>
      <c r="M1453" t="s">
        <v>31406</v>
      </c>
      <c r="N1453">
        <v>1</v>
      </c>
      <c r="Q1453" t="s">
        <v>31407</v>
      </c>
      <c r="R1453" t="s">
        <v>29813</v>
      </c>
      <c r="T1453" t="s">
        <v>30</v>
      </c>
      <c r="U1453" t="s">
        <v>26116</v>
      </c>
      <c r="W1453" t="s">
        <v>28347</v>
      </c>
    </row>
    <row r="1454" spans="1:23" x14ac:dyDescent="0.35">
      <c r="A1454">
        <v>350386</v>
      </c>
      <c r="B1454" t="s">
        <v>31408</v>
      </c>
      <c r="C1454" t="str">
        <f>"9781843108641"</f>
        <v>9781843108641</v>
      </c>
      <c r="D1454" t="str">
        <f>"9781846427619"</f>
        <v>9781846427619</v>
      </c>
      <c r="E1454" t="s">
        <v>146</v>
      </c>
      <c r="F1454" t="s">
        <v>146</v>
      </c>
      <c r="G1454" t="s">
        <v>22174</v>
      </c>
      <c r="H1454" t="s">
        <v>26011</v>
      </c>
      <c r="I1454" s="26">
        <v>39493</v>
      </c>
      <c r="J1454">
        <v>2008</v>
      </c>
      <c r="K1454" t="s">
        <v>146</v>
      </c>
      <c r="L1454">
        <v>212</v>
      </c>
      <c r="M1454" t="s">
        <v>29584</v>
      </c>
      <c r="N1454">
        <v>1</v>
      </c>
      <c r="O1454" t="s">
        <v>31163</v>
      </c>
      <c r="Q1454" t="s">
        <v>31409</v>
      </c>
      <c r="R1454" t="s">
        <v>31165</v>
      </c>
      <c r="T1454" t="s">
        <v>30</v>
      </c>
      <c r="U1454" t="s">
        <v>26040</v>
      </c>
      <c r="W1454" t="s">
        <v>28347</v>
      </c>
    </row>
    <row r="1455" spans="1:23" x14ac:dyDescent="0.35">
      <c r="A1455">
        <v>350388</v>
      </c>
      <c r="B1455" t="s">
        <v>31410</v>
      </c>
      <c r="C1455" t="str">
        <f>"9781843106265"</f>
        <v>9781843106265</v>
      </c>
      <c r="D1455" t="str">
        <f>"9781846428074"</f>
        <v>9781846428074</v>
      </c>
      <c r="E1455" t="s">
        <v>146</v>
      </c>
      <c r="F1455" t="s">
        <v>146</v>
      </c>
      <c r="G1455" t="s">
        <v>22174</v>
      </c>
      <c r="H1455" t="s">
        <v>26011</v>
      </c>
      <c r="I1455" s="26">
        <v>39614</v>
      </c>
      <c r="J1455">
        <v>2008</v>
      </c>
      <c r="K1455" t="s">
        <v>146</v>
      </c>
      <c r="L1455">
        <v>115</v>
      </c>
      <c r="M1455" t="s">
        <v>31411</v>
      </c>
      <c r="N1455">
        <v>1</v>
      </c>
      <c r="Q1455" t="s">
        <v>31412</v>
      </c>
      <c r="R1455" t="s">
        <v>29251</v>
      </c>
      <c r="S1455" t="s">
        <v>31413</v>
      </c>
      <c r="T1455" t="s">
        <v>30</v>
      </c>
      <c r="U1455" t="s">
        <v>26019</v>
      </c>
      <c r="W1455" t="s">
        <v>28347</v>
      </c>
    </row>
    <row r="1456" spans="1:23" x14ac:dyDescent="0.35">
      <c r="A1456">
        <v>352271</v>
      </c>
      <c r="B1456" t="s">
        <v>7838</v>
      </c>
      <c r="C1456" t="str">
        <f>"9781593856960"</f>
        <v>9781593856960</v>
      </c>
      <c r="D1456" t="str">
        <f>"9781606230435"</f>
        <v>9781606230435</v>
      </c>
      <c r="E1456" t="s">
        <v>30112</v>
      </c>
      <c r="F1456" t="s">
        <v>7420</v>
      </c>
      <c r="G1456" t="s">
        <v>22179</v>
      </c>
      <c r="H1456" t="s">
        <v>26004</v>
      </c>
      <c r="I1456" s="26">
        <v>39510</v>
      </c>
      <c r="J1456">
        <v>2008</v>
      </c>
      <c r="K1456" t="s">
        <v>30113</v>
      </c>
      <c r="L1456">
        <v>529</v>
      </c>
      <c r="M1456" t="s">
        <v>31414</v>
      </c>
      <c r="N1456">
        <v>1</v>
      </c>
      <c r="Q1456" t="s">
        <v>30118</v>
      </c>
      <c r="R1456" t="s">
        <v>28543</v>
      </c>
      <c r="S1456" t="s">
        <v>31415</v>
      </c>
      <c r="T1456" t="s">
        <v>30</v>
      </c>
      <c r="U1456" t="s">
        <v>26116</v>
      </c>
      <c r="W1456" t="s">
        <v>28347</v>
      </c>
    </row>
    <row r="1457" spans="1:23" x14ac:dyDescent="0.35">
      <c r="A1457">
        <v>352273</v>
      </c>
      <c r="B1457" t="s">
        <v>7845</v>
      </c>
      <c r="C1457" t="str">
        <f>"9781593856526"</f>
        <v>9781593856526</v>
      </c>
      <c r="D1457" t="str">
        <f>"9781606230459"</f>
        <v>9781606230459</v>
      </c>
      <c r="E1457" t="s">
        <v>30112</v>
      </c>
      <c r="F1457" t="s">
        <v>7420</v>
      </c>
      <c r="G1457" t="s">
        <v>22179</v>
      </c>
      <c r="H1457" t="s">
        <v>26004</v>
      </c>
      <c r="I1457" s="26">
        <v>39534</v>
      </c>
      <c r="J1457">
        <v>2008</v>
      </c>
      <c r="K1457" t="s">
        <v>30113</v>
      </c>
      <c r="L1457">
        <v>672</v>
      </c>
      <c r="M1457" t="s">
        <v>31416</v>
      </c>
      <c r="N1457">
        <v>1</v>
      </c>
      <c r="Q1457" t="s">
        <v>31417</v>
      </c>
      <c r="R1457" t="s">
        <v>30144</v>
      </c>
      <c r="S1457" t="s">
        <v>7846</v>
      </c>
      <c r="T1457" t="s">
        <v>30</v>
      </c>
      <c r="U1457" t="s">
        <v>26019</v>
      </c>
      <c r="W1457" t="s">
        <v>28347</v>
      </c>
    </row>
    <row r="1458" spans="1:23" x14ac:dyDescent="0.35">
      <c r="A1458">
        <v>352278</v>
      </c>
      <c r="B1458" t="s">
        <v>8427</v>
      </c>
      <c r="C1458" t="str">
        <f>"9781593857165"</f>
        <v>9781593857165</v>
      </c>
      <c r="D1458" t="str">
        <f>"9781606230503"</f>
        <v>9781606230503</v>
      </c>
      <c r="E1458" t="s">
        <v>30112</v>
      </c>
      <c r="F1458" t="s">
        <v>7420</v>
      </c>
      <c r="G1458" t="s">
        <v>22179</v>
      </c>
      <c r="H1458" t="s">
        <v>26004</v>
      </c>
      <c r="I1458" s="26">
        <v>39591</v>
      </c>
      <c r="J1458">
        <v>2008</v>
      </c>
      <c r="K1458" t="s">
        <v>30113</v>
      </c>
      <c r="L1458">
        <v>384</v>
      </c>
      <c r="M1458" t="s">
        <v>31418</v>
      </c>
      <c r="N1458">
        <v>1</v>
      </c>
      <c r="Q1458" t="s">
        <v>31419</v>
      </c>
      <c r="R1458" t="s">
        <v>31420</v>
      </c>
      <c r="S1458" t="s">
        <v>31421</v>
      </c>
      <c r="T1458" t="s">
        <v>30</v>
      </c>
      <c r="U1458" t="s">
        <v>46</v>
      </c>
      <c r="W1458" t="s">
        <v>28347</v>
      </c>
    </row>
    <row r="1459" spans="1:23" x14ac:dyDescent="0.35">
      <c r="A1459">
        <v>352282</v>
      </c>
      <c r="B1459" t="s">
        <v>31422</v>
      </c>
      <c r="C1459" t="str">
        <f>"9781593856748"</f>
        <v>9781593856748</v>
      </c>
      <c r="D1459" t="str">
        <f>"9781606230541"</f>
        <v>9781606230541</v>
      </c>
      <c r="E1459" t="s">
        <v>30112</v>
      </c>
      <c r="F1459" t="s">
        <v>7420</v>
      </c>
      <c r="G1459" t="s">
        <v>22179</v>
      </c>
      <c r="H1459" t="s">
        <v>26004</v>
      </c>
      <c r="I1459" s="26">
        <v>39556</v>
      </c>
      <c r="J1459">
        <v>2008</v>
      </c>
      <c r="K1459" t="s">
        <v>30113</v>
      </c>
      <c r="L1459">
        <v>752</v>
      </c>
      <c r="M1459" t="s">
        <v>31423</v>
      </c>
      <c r="N1459">
        <v>2</v>
      </c>
      <c r="Q1459" t="s">
        <v>31424</v>
      </c>
      <c r="R1459" t="s">
        <v>29833</v>
      </c>
      <c r="S1459" t="s">
        <v>9131</v>
      </c>
      <c r="T1459" t="s">
        <v>30</v>
      </c>
      <c r="U1459" t="s">
        <v>26116</v>
      </c>
      <c r="W1459" t="s">
        <v>28347</v>
      </c>
    </row>
    <row r="1460" spans="1:23" x14ac:dyDescent="0.35">
      <c r="A1460">
        <v>352283</v>
      </c>
      <c r="B1460" t="s">
        <v>9487</v>
      </c>
      <c r="C1460" t="str">
        <f>"9781593856915"</f>
        <v>9781593856915</v>
      </c>
      <c r="D1460" t="str">
        <f>"9781606230558"</f>
        <v>9781606230558</v>
      </c>
      <c r="E1460" t="s">
        <v>30112</v>
      </c>
      <c r="F1460" t="s">
        <v>7420</v>
      </c>
      <c r="G1460" t="s">
        <v>22179</v>
      </c>
      <c r="H1460" t="s">
        <v>26004</v>
      </c>
      <c r="I1460" s="26">
        <v>39553</v>
      </c>
      <c r="J1460">
        <v>2008</v>
      </c>
      <c r="K1460" t="s">
        <v>30113</v>
      </c>
      <c r="L1460">
        <v>352</v>
      </c>
      <c r="M1460" t="s">
        <v>31425</v>
      </c>
      <c r="N1460">
        <v>1</v>
      </c>
      <c r="Q1460" t="s">
        <v>31426</v>
      </c>
      <c r="R1460" t="s">
        <v>27122</v>
      </c>
      <c r="S1460" t="s">
        <v>31427</v>
      </c>
      <c r="T1460" t="s">
        <v>30</v>
      </c>
      <c r="U1460" t="s">
        <v>26019</v>
      </c>
      <c r="W1460" t="s">
        <v>28347</v>
      </c>
    </row>
    <row r="1461" spans="1:23" x14ac:dyDescent="0.35">
      <c r="A1461">
        <v>352291</v>
      </c>
      <c r="B1461" t="s">
        <v>31428</v>
      </c>
      <c r="C1461" t="str">
        <f>"9781593857066"</f>
        <v>9781593857066</v>
      </c>
      <c r="D1461" t="str">
        <f>"9781606230633"</f>
        <v>9781606230633</v>
      </c>
      <c r="E1461" t="s">
        <v>30112</v>
      </c>
      <c r="F1461" t="s">
        <v>7420</v>
      </c>
      <c r="G1461" t="s">
        <v>22179</v>
      </c>
      <c r="H1461" t="s">
        <v>26004</v>
      </c>
      <c r="I1461" s="26">
        <v>39575</v>
      </c>
      <c r="J1461">
        <v>2008</v>
      </c>
      <c r="K1461" t="s">
        <v>30113</v>
      </c>
      <c r="L1461">
        <v>288</v>
      </c>
      <c r="M1461" t="s">
        <v>31429</v>
      </c>
      <c r="N1461">
        <v>1</v>
      </c>
      <c r="Q1461" t="s">
        <v>31430</v>
      </c>
      <c r="R1461" t="s">
        <v>31431</v>
      </c>
      <c r="S1461" t="s">
        <v>10221</v>
      </c>
      <c r="T1461" t="s">
        <v>30</v>
      </c>
      <c r="U1461" t="s">
        <v>26019</v>
      </c>
      <c r="W1461" t="s">
        <v>28347</v>
      </c>
    </row>
    <row r="1462" spans="1:23" x14ac:dyDescent="0.35">
      <c r="A1462">
        <v>354897</v>
      </c>
      <c r="B1462" t="s">
        <v>9567</v>
      </c>
      <c r="C1462" t="str">
        <f>"9780761948704"</f>
        <v>9780761948704</v>
      </c>
      <c r="D1462" t="str">
        <f>"9781848604841"</f>
        <v>9781848604841</v>
      </c>
      <c r="E1462" t="s">
        <v>28007</v>
      </c>
      <c r="F1462" t="s">
        <v>7430</v>
      </c>
      <c r="G1462" t="s">
        <v>22174</v>
      </c>
      <c r="H1462" t="s">
        <v>26011</v>
      </c>
      <c r="I1462" s="26">
        <v>38051</v>
      </c>
      <c r="J1462">
        <v>2004</v>
      </c>
      <c r="K1462" t="s">
        <v>7430</v>
      </c>
      <c r="L1462">
        <v>159</v>
      </c>
      <c r="M1462" t="s">
        <v>31432</v>
      </c>
      <c r="N1462">
        <v>1</v>
      </c>
      <c r="O1462" t="s">
        <v>28029</v>
      </c>
      <c r="Q1462" t="s">
        <v>31433</v>
      </c>
      <c r="R1462" t="s">
        <v>27122</v>
      </c>
      <c r="S1462" t="s">
        <v>9568</v>
      </c>
      <c r="T1462" t="s">
        <v>30</v>
      </c>
      <c r="U1462" t="s">
        <v>26116</v>
      </c>
      <c r="W1462" t="s">
        <v>26009</v>
      </c>
    </row>
    <row r="1463" spans="1:23" x14ac:dyDescent="0.35">
      <c r="A1463">
        <v>354923</v>
      </c>
      <c r="B1463" t="s">
        <v>9899</v>
      </c>
      <c r="C1463" t="str">
        <f>"9781412923125"</f>
        <v>9781412923125</v>
      </c>
      <c r="D1463" t="str">
        <f>"9781848605107"</f>
        <v>9781848605107</v>
      </c>
      <c r="E1463" t="s">
        <v>28007</v>
      </c>
      <c r="F1463" t="s">
        <v>7430</v>
      </c>
      <c r="G1463" t="s">
        <v>22174</v>
      </c>
      <c r="H1463" t="s">
        <v>26011</v>
      </c>
      <c r="I1463" s="26">
        <v>39129</v>
      </c>
      <c r="J1463">
        <v>2007</v>
      </c>
      <c r="K1463" t="s">
        <v>7430</v>
      </c>
      <c r="L1463">
        <v>97</v>
      </c>
      <c r="M1463" t="s">
        <v>31434</v>
      </c>
      <c r="N1463">
        <v>1</v>
      </c>
      <c r="O1463" t="s">
        <v>31435</v>
      </c>
      <c r="Q1463" t="s">
        <v>31436</v>
      </c>
      <c r="R1463" t="s">
        <v>30821</v>
      </c>
      <c r="S1463" t="s">
        <v>31437</v>
      </c>
      <c r="T1463" t="s">
        <v>30</v>
      </c>
      <c r="U1463" t="s">
        <v>29209</v>
      </c>
      <c r="W1463" t="s">
        <v>26009</v>
      </c>
    </row>
    <row r="1464" spans="1:23" x14ac:dyDescent="0.35">
      <c r="A1464">
        <v>354942</v>
      </c>
      <c r="B1464" t="s">
        <v>9843</v>
      </c>
      <c r="C1464" t="str">
        <f>"9780761973034"</f>
        <v>9780761973034</v>
      </c>
      <c r="D1464" t="str">
        <f>"9781848605312"</f>
        <v>9781848605312</v>
      </c>
      <c r="E1464" t="s">
        <v>28007</v>
      </c>
      <c r="F1464" t="s">
        <v>7430</v>
      </c>
      <c r="G1464" t="s">
        <v>22174</v>
      </c>
      <c r="H1464" t="s">
        <v>26011</v>
      </c>
      <c r="I1464" s="26">
        <v>39284</v>
      </c>
      <c r="J1464">
        <v>2007</v>
      </c>
      <c r="K1464" t="s">
        <v>7430</v>
      </c>
      <c r="L1464">
        <v>132</v>
      </c>
      <c r="M1464" t="s">
        <v>31438</v>
      </c>
      <c r="N1464">
        <v>1</v>
      </c>
      <c r="O1464" t="s">
        <v>28093</v>
      </c>
      <c r="Q1464" t="s">
        <v>31439</v>
      </c>
      <c r="R1464">
        <v>616.89139999999998</v>
      </c>
      <c r="S1464" t="s">
        <v>9844</v>
      </c>
      <c r="T1464" t="s">
        <v>30</v>
      </c>
      <c r="U1464" t="s">
        <v>26019</v>
      </c>
      <c r="W1464" t="s">
        <v>26009</v>
      </c>
    </row>
    <row r="1465" spans="1:23" x14ac:dyDescent="0.35">
      <c r="A1465">
        <v>354969</v>
      </c>
      <c r="B1465" t="s">
        <v>31440</v>
      </c>
      <c r="C1465" t="str">
        <f>"9781412923583"</f>
        <v>9781412923583</v>
      </c>
      <c r="D1465" t="str">
        <f>"9781848605633"</f>
        <v>9781848605633</v>
      </c>
      <c r="E1465" t="s">
        <v>28007</v>
      </c>
      <c r="F1465" t="s">
        <v>7430</v>
      </c>
      <c r="G1465" t="s">
        <v>22174</v>
      </c>
      <c r="H1465" t="s">
        <v>26011</v>
      </c>
      <c r="I1465" s="26">
        <v>39185</v>
      </c>
      <c r="J1465">
        <v>2007</v>
      </c>
      <c r="K1465" t="s">
        <v>7430</v>
      </c>
      <c r="L1465">
        <v>311</v>
      </c>
      <c r="M1465" t="s">
        <v>31441</v>
      </c>
      <c r="N1465">
        <v>1</v>
      </c>
      <c r="O1465" t="s">
        <v>30912</v>
      </c>
      <c r="Q1465" t="s">
        <v>31442</v>
      </c>
      <c r="R1465">
        <v>303.37207124100001</v>
      </c>
      <c r="S1465" t="s">
        <v>31443</v>
      </c>
      <c r="T1465" t="s">
        <v>30</v>
      </c>
      <c r="U1465" t="s">
        <v>27827</v>
      </c>
      <c r="W1465" t="s">
        <v>26009</v>
      </c>
    </row>
    <row r="1466" spans="1:23" x14ac:dyDescent="0.35">
      <c r="A1466">
        <v>355053</v>
      </c>
      <c r="B1466" t="s">
        <v>31444</v>
      </c>
      <c r="C1466" t="str">
        <f>"9781412900751"</f>
        <v>9781412900751</v>
      </c>
      <c r="D1466" t="str">
        <f>"9781848606043"</f>
        <v>9781848606043</v>
      </c>
      <c r="E1466" t="s">
        <v>28007</v>
      </c>
      <c r="F1466" t="s">
        <v>7430</v>
      </c>
      <c r="G1466" t="s">
        <v>22174</v>
      </c>
      <c r="H1466" t="s">
        <v>26011</v>
      </c>
      <c r="I1466" s="26">
        <v>38131</v>
      </c>
      <c r="J1466">
        <v>2004</v>
      </c>
      <c r="K1466" t="s">
        <v>7430</v>
      </c>
      <c r="L1466">
        <v>263</v>
      </c>
      <c r="M1466" t="s">
        <v>30949</v>
      </c>
      <c r="N1466">
        <v>1</v>
      </c>
      <c r="Q1466" t="s">
        <v>31445</v>
      </c>
      <c r="R1466" t="s">
        <v>30751</v>
      </c>
      <c r="S1466" t="s">
        <v>31446</v>
      </c>
      <c r="T1466" t="s">
        <v>30</v>
      </c>
      <c r="U1466" t="s">
        <v>26116</v>
      </c>
      <c r="W1466" t="s">
        <v>26009</v>
      </c>
    </row>
    <row r="1467" spans="1:23" x14ac:dyDescent="0.35">
      <c r="A1467">
        <v>355054</v>
      </c>
      <c r="B1467" t="s">
        <v>31447</v>
      </c>
      <c r="C1467" t="str">
        <f>"9780761944881"</f>
        <v>9780761944881</v>
      </c>
      <c r="D1467" t="str">
        <f>"9781848606036"</f>
        <v>9781848606036</v>
      </c>
      <c r="E1467" t="s">
        <v>28007</v>
      </c>
      <c r="F1467" t="s">
        <v>7430</v>
      </c>
      <c r="G1467" t="s">
        <v>22174</v>
      </c>
      <c r="H1467" t="s">
        <v>26011</v>
      </c>
      <c r="I1467" s="26">
        <v>38073</v>
      </c>
      <c r="J1467">
        <v>2004</v>
      </c>
      <c r="K1467" t="s">
        <v>7430</v>
      </c>
      <c r="L1467">
        <v>174</v>
      </c>
      <c r="M1467" t="s">
        <v>28023</v>
      </c>
      <c r="N1467">
        <v>1</v>
      </c>
      <c r="Q1467" t="s">
        <v>31448</v>
      </c>
      <c r="R1467">
        <v>155.19999999999999</v>
      </c>
      <c r="S1467" t="s">
        <v>7949</v>
      </c>
      <c r="T1467" t="s">
        <v>30</v>
      </c>
      <c r="U1467" t="s">
        <v>46</v>
      </c>
      <c r="W1467" t="s">
        <v>26009</v>
      </c>
    </row>
    <row r="1468" spans="1:23" x14ac:dyDescent="0.35">
      <c r="A1468">
        <v>355268</v>
      </c>
      <c r="B1468" t="s">
        <v>31449</v>
      </c>
      <c r="C1468" t="str">
        <f>"9781843106272"</f>
        <v>9781843106272</v>
      </c>
      <c r="D1468" t="str">
        <f>"9781846427688"</f>
        <v>9781846427688</v>
      </c>
      <c r="E1468" t="s">
        <v>146</v>
      </c>
      <c r="F1468" t="s">
        <v>146</v>
      </c>
      <c r="G1468" t="s">
        <v>22174</v>
      </c>
      <c r="H1468" t="s">
        <v>26011</v>
      </c>
      <c r="I1468" s="26">
        <v>39493</v>
      </c>
      <c r="J1468">
        <v>2008</v>
      </c>
      <c r="K1468" t="s">
        <v>146</v>
      </c>
      <c r="L1468">
        <v>145</v>
      </c>
      <c r="M1468" t="s">
        <v>31450</v>
      </c>
      <c r="N1468">
        <v>1</v>
      </c>
      <c r="Q1468" t="s">
        <v>31451</v>
      </c>
      <c r="R1468" t="s">
        <v>31452</v>
      </c>
      <c r="S1468" t="s">
        <v>31453</v>
      </c>
      <c r="T1468" t="s">
        <v>30</v>
      </c>
      <c r="U1468" t="s">
        <v>28748</v>
      </c>
      <c r="W1468" t="s">
        <v>28347</v>
      </c>
    </row>
    <row r="1469" spans="1:23" x14ac:dyDescent="0.35">
      <c r="A1469">
        <v>355270</v>
      </c>
      <c r="B1469" t="s">
        <v>31454</v>
      </c>
      <c r="C1469" t="str">
        <f>"9781843106821"</f>
        <v>9781843106821</v>
      </c>
      <c r="D1469" t="str">
        <f>"9781846428197"</f>
        <v>9781846428197</v>
      </c>
      <c r="E1469" t="s">
        <v>146</v>
      </c>
      <c r="F1469" t="s">
        <v>146</v>
      </c>
      <c r="G1469" t="s">
        <v>22174</v>
      </c>
      <c r="H1469" t="s">
        <v>26011</v>
      </c>
      <c r="I1469" s="26">
        <v>39614</v>
      </c>
      <c r="J1469">
        <v>2008</v>
      </c>
      <c r="K1469" t="s">
        <v>146</v>
      </c>
      <c r="L1469">
        <v>164</v>
      </c>
      <c r="M1469" t="s">
        <v>29767</v>
      </c>
      <c r="N1469">
        <v>1</v>
      </c>
      <c r="Q1469" t="s">
        <v>31455</v>
      </c>
      <c r="R1469">
        <v>155.51820000000001</v>
      </c>
      <c r="T1469" t="s">
        <v>30</v>
      </c>
      <c r="U1469" t="s">
        <v>46</v>
      </c>
      <c r="W1469" t="s">
        <v>28347</v>
      </c>
    </row>
    <row r="1470" spans="1:23" x14ac:dyDescent="0.35">
      <c r="A1470">
        <v>355272</v>
      </c>
      <c r="B1470" t="s">
        <v>31456</v>
      </c>
      <c r="C1470" t="str">
        <f>"9781843104513"</f>
        <v>9781843104513</v>
      </c>
      <c r="D1470" t="str">
        <f>"9781846427381"</f>
        <v>9781846427381</v>
      </c>
      <c r="E1470" t="s">
        <v>146</v>
      </c>
      <c r="F1470" t="s">
        <v>146</v>
      </c>
      <c r="G1470" t="s">
        <v>22174</v>
      </c>
      <c r="H1470" t="s">
        <v>26011</v>
      </c>
      <c r="I1470" s="26">
        <v>39401</v>
      </c>
      <c r="J1470">
        <v>2007</v>
      </c>
      <c r="K1470" t="s">
        <v>146</v>
      </c>
      <c r="L1470">
        <v>128</v>
      </c>
      <c r="M1470" t="s">
        <v>31457</v>
      </c>
      <c r="N1470">
        <v>1</v>
      </c>
      <c r="Q1470" t="s">
        <v>31458</v>
      </c>
      <c r="R1470">
        <v>618.92858820000004</v>
      </c>
      <c r="S1470" t="s">
        <v>31459</v>
      </c>
      <c r="T1470" t="s">
        <v>30</v>
      </c>
      <c r="U1470" t="s">
        <v>26116</v>
      </c>
      <c r="W1470" t="s">
        <v>28347</v>
      </c>
    </row>
    <row r="1471" spans="1:23" x14ac:dyDescent="0.35">
      <c r="A1471">
        <v>355273</v>
      </c>
      <c r="B1471" t="s">
        <v>31460</v>
      </c>
      <c r="C1471" t="str">
        <f>"9781843105978"</f>
        <v>9781843105978</v>
      </c>
      <c r="D1471" t="str">
        <f>"9781846427398"</f>
        <v>9781846427398</v>
      </c>
      <c r="E1471" t="s">
        <v>146</v>
      </c>
      <c r="F1471" t="s">
        <v>146</v>
      </c>
      <c r="G1471" t="s">
        <v>22174</v>
      </c>
      <c r="H1471" t="s">
        <v>26011</v>
      </c>
      <c r="I1471" s="26">
        <v>39431</v>
      </c>
      <c r="J1471">
        <v>2007</v>
      </c>
      <c r="K1471" t="s">
        <v>146</v>
      </c>
      <c r="L1471">
        <v>208</v>
      </c>
      <c r="M1471" t="s">
        <v>31461</v>
      </c>
      <c r="N1471">
        <v>1</v>
      </c>
      <c r="Q1471" t="s">
        <v>31462</v>
      </c>
      <c r="R1471">
        <v>362.19685262000002</v>
      </c>
      <c r="T1471" t="s">
        <v>30</v>
      </c>
      <c r="U1471" t="s">
        <v>29740</v>
      </c>
      <c r="W1471" t="s">
        <v>28347</v>
      </c>
    </row>
    <row r="1472" spans="1:23" x14ac:dyDescent="0.35">
      <c r="A1472">
        <v>355276</v>
      </c>
      <c r="B1472" t="s">
        <v>7568</v>
      </c>
      <c r="C1472" t="str">
        <f>"9781843104254"</f>
        <v>9781843104254</v>
      </c>
      <c r="D1472" t="str">
        <f>"9781846428104"</f>
        <v>9781846428104</v>
      </c>
      <c r="E1472" t="s">
        <v>146</v>
      </c>
      <c r="F1472" t="s">
        <v>146</v>
      </c>
      <c r="G1472" t="s">
        <v>22174</v>
      </c>
      <c r="H1472" t="s">
        <v>26011</v>
      </c>
      <c r="I1472" s="26">
        <v>39614</v>
      </c>
      <c r="J1472">
        <v>2008</v>
      </c>
      <c r="K1472" t="s">
        <v>146</v>
      </c>
      <c r="L1472">
        <v>280</v>
      </c>
      <c r="M1472" t="s">
        <v>31463</v>
      </c>
      <c r="N1472">
        <v>1</v>
      </c>
      <c r="Q1472" t="s">
        <v>31464</v>
      </c>
      <c r="R1472">
        <v>616.99400000000003</v>
      </c>
      <c r="T1472" t="s">
        <v>30</v>
      </c>
      <c r="U1472" t="s">
        <v>26019</v>
      </c>
      <c r="W1472" t="s">
        <v>28347</v>
      </c>
    </row>
    <row r="1473" spans="1:23" x14ac:dyDescent="0.35">
      <c r="A1473">
        <v>355277</v>
      </c>
      <c r="B1473" t="s">
        <v>31465</v>
      </c>
      <c r="C1473" t="str">
        <f>"9781843106098"</f>
        <v>9781843106098</v>
      </c>
      <c r="D1473" t="str">
        <f>"9781846428142"</f>
        <v>9781846428142</v>
      </c>
      <c r="E1473" t="s">
        <v>146</v>
      </c>
      <c r="F1473" t="s">
        <v>146</v>
      </c>
      <c r="G1473" t="s">
        <v>22174</v>
      </c>
      <c r="H1473" t="s">
        <v>26011</v>
      </c>
      <c r="I1473" s="26">
        <v>39614</v>
      </c>
      <c r="J1473">
        <v>2008</v>
      </c>
      <c r="K1473" t="s">
        <v>146</v>
      </c>
      <c r="L1473">
        <v>147</v>
      </c>
      <c r="M1473" t="s">
        <v>31466</v>
      </c>
      <c r="N1473">
        <v>1</v>
      </c>
      <c r="Q1473" t="s">
        <v>31467</v>
      </c>
      <c r="R1473">
        <v>362.29</v>
      </c>
      <c r="S1473" t="s">
        <v>31468</v>
      </c>
      <c r="T1473" t="s">
        <v>30</v>
      </c>
      <c r="U1473" t="s">
        <v>28898</v>
      </c>
      <c r="W1473" t="s">
        <v>28347</v>
      </c>
    </row>
    <row r="1474" spans="1:23" x14ac:dyDescent="0.35">
      <c r="A1474">
        <v>355278</v>
      </c>
      <c r="B1474" t="s">
        <v>31469</v>
      </c>
      <c r="C1474" t="str">
        <f>"9781843108863"</f>
        <v>9781843108863</v>
      </c>
      <c r="D1474" t="str">
        <f>"9781846428128"</f>
        <v>9781846428128</v>
      </c>
      <c r="E1474" t="s">
        <v>146</v>
      </c>
      <c r="F1474" t="s">
        <v>146</v>
      </c>
      <c r="G1474" t="s">
        <v>22174</v>
      </c>
      <c r="H1474" t="s">
        <v>26011</v>
      </c>
      <c r="I1474" s="26">
        <v>39614</v>
      </c>
      <c r="J1474">
        <v>2008</v>
      </c>
      <c r="K1474" t="s">
        <v>146</v>
      </c>
      <c r="L1474">
        <v>176</v>
      </c>
      <c r="M1474" t="s">
        <v>31470</v>
      </c>
      <c r="N1474">
        <v>1</v>
      </c>
      <c r="Q1474" t="s">
        <v>31471</v>
      </c>
      <c r="R1474" t="s">
        <v>30809</v>
      </c>
      <c r="T1474" t="s">
        <v>30</v>
      </c>
      <c r="U1474" t="s">
        <v>46</v>
      </c>
      <c r="W1474" t="s">
        <v>28347</v>
      </c>
    </row>
    <row r="1475" spans="1:23" x14ac:dyDescent="0.35">
      <c r="A1475">
        <v>355279</v>
      </c>
      <c r="B1475" t="s">
        <v>8018</v>
      </c>
      <c r="C1475" t="str">
        <f>"9781843106067"</f>
        <v>9781843106067</v>
      </c>
      <c r="D1475" t="str">
        <f>"9781846428111"</f>
        <v>9781846428111</v>
      </c>
      <c r="E1475" t="s">
        <v>146</v>
      </c>
      <c r="F1475" t="s">
        <v>146</v>
      </c>
      <c r="G1475" t="s">
        <v>22174</v>
      </c>
      <c r="H1475" t="s">
        <v>26011</v>
      </c>
      <c r="I1475" s="26">
        <v>39614</v>
      </c>
      <c r="J1475">
        <v>2008</v>
      </c>
      <c r="K1475" t="s">
        <v>146</v>
      </c>
      <c r="L1475">
        <v>276</v>
      </c>
      <c r="M1475" t="s">
        <v>31472</v>
      </c>
      <c r="N1475">
        <v>1</v>
      </c>
      <c r="Q1475" t="s">
        <v>31473</v>
      </c>
      <c r="R1475">
        <v>363.73869999999999</v>
      </c>
      <c r="T1475" t="s">
        <v>30</v>
      </c>
      <c r="U1475" t="s">
        <v>31474</v>
      </c>
      <c r="W1475" t="s">
        <v>28347</v>
      </c>
    </row>
    <row r="1476" spans="1:23" x14ac:dyDescent="0.35">
      <c r="A1476">
        <v>355282</v>
      </c>
      <c r="B1476" t="s">
        <v>31475</v>
      </c>
      <c r="C1476" t="str">
        <f>"9781843108887"</f>
        <v>9781843108887</v>
      </c>
      <c r="D1476" t="str">
        <f>"9781846428166"</f>
        <v>9781846428166</v>
      </c>
      <c r="E1476" t="s">
        <v>146</v>
      </c>
      <c r="F1476" t="s">
        <v>146</v>
      </c>
      <c r="G1476" t="s">
        <v>22174</v>
      </c>
      <c r="H1476" t="s">
        <v>26011</v>
      </c>
      <c r="I1476" s="26">
        <v>39614</v>
      </c>
      <c r="J1476">
        <v>2008</v>
      </c>
      <c r="K1476" t="s">
        <v>146</v>
      </c>
      <c r="L1476">
        <v>195</v>
      </c>
      <c r="M1476" t="s">
        <v>31476</v>
      </c>
      <c r="N1476">
        <v>1</v>
      </c>
      <c r="Q1476" t="s">
        <v>31477</v>
      </c>
      <c r="T1476" t="s">
        <v>30</v>
      </c>
      <c r="U1476" t="s">
        <v>26019</v>
      </c>
      <c r="W1476" t="s">
        <v>28347</v>
      </c>
    </row>
    <row r="1477" spans="1:23" x14ac:dyDescent="0.35">
      <c r="A1477">
        <v>355283</v>
      </c>
      <c r="B1477" t="s">
        <v>31478</v>
      </c>
      <c r="C1477" t="str">
        <f>"9781843106463"</f>
        <v>9781843106463</v>
      </c>
      <c r="D1477" t="str">
        <f>"9781846428135"</f>
        <v>9781846428135</v>
      </c>
      <c r="E1477" t="s">
        <v>146</v>
      </c>
      <c r="F1477" t="s">
        <v>146</v>
      </c>
      <c r="G1477" t="s">
        <v>22174</v>
      </c>
      <c r="H1477" t="s">
        <v>26011</v>
      </c>
      <c r="I1477" s="26">
        <v>39614</v>
      </c>
      <c r="J1477">
        <v>2008</v>
      </c>
      <c r="K1477" t="s">
        <v>146</v>
      </c>
      <c r="L1477">
        <v>144</v>
      </c>
      <c r="M1477" t="s">
        <v>31479</v>
      </c>
      <c r="N1477">
        <v>1</v>
      </c>
      <c r="Q1477" t="s">
        <v>31480</v>
      </c>
      <c r="R1477" t="s">
        <v>31481</v>
      </c>
      <c r="S1477" t="s">
        <v>31482</v>
      </c>
      <c r="T1477" t="s">
        <v>30</v>
      </c>
      <c r="U1477" t="s">
        <v>46</v>
      </c>
      <c r="W1477" t="s">
        <v>28347</v>
      </c>
    </row>
    <row r="1478" spans="1:23" x14ac:dyDescent="0.35">
      <c r="A1478">
        <v>355432</v>
      </c>
      <c r="B1478" t="s">
        <v>8042</v>
      </c>
      <c r="C1478" t="str">
        <f>"9780521678759"</f>
        <v>9780521678759</v>
      </c>
      <c r="D1478" t="str">
        <f>"9780511422379"</f>
        <v>9780511422379</v>
      </c>
      <c r="E1478" t="s">
        <v>167</v>
      </c>
      <c r="F1478" t="s">
        <v>167</v>
      </c>
      <c r="G1478" t="s">
        <v>22218</v>
      </c>
      <c r="H1478" t="s">
        <v>26011</v>
      </c>
      <c r="I1478" s="26">
        <v>39660</v>
      </c>
      <c r="J1478">
        <v>2008</v>
      </c>
      <c r="K1478" t="s">
        <v>167</v>
      </c>
      <c r="L1478">
        <v>354</v>
      </c>
      <c r="M1478" t="s">
        <v>31483</v>
      </c>
      <c r="N1478">
        <v>1</v>
      </c>
      <c r="Q1478" t="s">
        <v>31484</v>
      </c>
      <c r="R1478">
        <v>363.32119999999998</v>
      </c>
      <c r="S1478" t="s">
        <v>8043</v>
      </c>
      <c r="T1478" t="s">
        <v>30</v>
      </c>
      <c r="U1478" t="s">
        <v>26509</v>
      </c>
      <c r="W1478" t="s">
        <v>26020</v>
      </c>
    </row>
    <row r="1479" spans="1:23" x14ac:dyDescent="0.35">
      <c r="A1479">
        <v>356279</v>
      </c>
      <c r="B1479" t="s">
        <v>31485</v>
      </c>
      <c r="C1479" t="str">
        <f>"9780805841848"</f>
        <v>9780805841848</v>
      </c>
      <c r="D1479" t="str">
        <f>"9781410606556"</f>
        <v>9781410606556</v>
      </c>
      <c r="E1479" t="s">
        <v>26010</v>
      </c>
      <c r="F1479" t="s">
        <v>35</v>
      </c>
      <c r="G1479" t="s">
        <v>22436</v>
      </c>
      <c r="H1479" t="s">
        <v>26004</v>
      </c>
      <c r="I1479" s="26">
        <v>37469</v>
      </c>
      <c r="J1479">
        <v>2002</v>
      </c>
      <c r="K1479" t="s">
        <v>26012</v>
      </c>
      <c r="L1479">
        <v>219</v>
      </c>
      <c r="M1479" t="s">
        <v>31486</v>
      </c>
      <c r="N1479">
        <v>1</v>
      </c>
      <c r="O1479" t="s">
        <v>27738</v>
      </c>
      <c r="Q1479" t="s">
        <v>31487</v>
      </c>
      <c r="R1479">
        <v>361</v>
      </c>
      <c r="S1479" t="s">
        <v>31488</v>
      </c>
      <c r="T1479" t="s">
        <v>30</v>
      </c>
      <c r="U1479" t="s">
        <v>26044</v>
      </c>
      <c r="W1479" t="s">
        <v>26009</v>
      </c>
    </row>
    <row r="1480" spans="1:23" x14ac:dyDescent="0.35">
      <c r="A1480">
        <v>356282</v>
      </c>
      <c r="B1480" t="s">
        <v>8599</v>
      </c>
      <c r="C1480" t="str">
        <f>"9780805834178"</f>
        <v>9780805834178</v>
      </c>
      <c r="D1480" t="str">
        <f>"9781410607133"</f>
        <v>9781410607133</v>
      </c>
      <c r="E1480" t="s">
        <v>26010</v>
      </c>
      <c r="F1480" t="s">
        <v>35</v>
      </c>
      <c r="G1480" t="s">
        <v>22436</v>
      </c>
      <c r="H1480" t="s">
        <v>26004</v>
      </c>
      <c r="I1480" s="26">
        <v>37622</v>
      </c>
      <c r="J1480">
        <v>2003</v>
      </c>
      <c r="K1480" t="s">
        <v>26012</v>
      </c>
      <c r="L1480">
        <v>1051</v>
      </c>
      <c r="M1480" t="s">
        <v>31489</v>
      </c>
      <c r="N1480">
        <v>1</v>
      </c>
      <c r="O1480" t="s">
        <v>27663</v>
      </c>
      <c r="Q1480" t="s">
        <v>31490</v>
      </c>
      <c r="R1480">
        <v>302</v>
      </c>
      <c r="S1480" t="s">
        <v>31491</v>
      </c>
      <c r="T1480" t="s">
        <v>30</v>
      </c>
      <c r="U1480" t="s">
        <v>26044</v>
      </c>
      <c r="W1480" t="s">
        <v>26009</v>
      </c>
    </row>
    <row r="1481" spans="1:23" x14ac:dyDescent="0.35">
      <c r="A1481">
        <v>356307</v>
      </c>
      <c r="B1481" t="s">
        <v>31492</v>
      </c>
      <c r="C1481" t="str">
        <f>"9780805838152"</f>
        <v>9780805838152</v>
      </c>
      <c r="D1481" t="str">
        <f>"9781410602411"</f>
        <v>9781410602411</v>
      </c>
      <c r="E1481" t="s">
        <v>26010</v>
      </c>
      <c r="F1481" t="s">
        <v>35</v>
      </c>
      <c r="G1481" t="s">
        <v>22436</v>
      </c>
      <c r="H1481" t="s">
        <v>26004</v>
      </c>
      <c r="I1481" s="26">
        <v>37316</v>
      </c>
      <c r="J1481">
        <v>2002</v>
      </c>
      <c r="K1481" t="s">
        <v>660</v>
      </c>
      <c r="L1481">
        <v>355</v>
      </c>
      <c r="M1481" t="s">
        <v>31493</v>
      </c>
      <c r="N1481">
        <v>1</v>
      </c>
      <c r="O1481" t="s">
        <v>27657</v>
      </c>
      <c r="Q1481" t="s">
        <v>31494</v>
      </c>
      <c r="R1481">
        <v>158.69999999999999</v>
      </c>
      <c r="S1481" t="s">
        <v>7919</v>
      </c>
      <c r="T1481" t="s">
        <v>30</v>
      </c>
      <c r="U1481" t="s">
        <v>46</v>
      </c>
      <c r="W1481" t="s">
        <v>26009</v>
      </c>
    </row>
    <row r="1482" spans="1:23" x14ac:dyDescent="0.35">
      <c r="A1482">
        <v>356315</v>
      </c>
      <c r="B1482" t="s">
        <v>31495</v>
      </c>
      <c r="C1482" t="str">
        <f>"9780805841176"</f>
        <v>9780805841176</v>
      </c>
      <c r="D1482" t="str">
        <f>"9781410607065"</f>
        <v>9781410607065</v>
      </c>
      <c r="E1482" t="s">
        <v>26010</v>
      </c>
      <c r="F1482" t="s">
        <v>35</v>
      </c>
      <c r="G1482" t="s">
        <v>22436</v>
      </c>
      <c r="H1482" t="s">
        <v>26004</v>
      </c>
      <c r="I1482" s="26">
        <v>37591</v>
      </c>
      <c r="J1482">
        <v>2002</v>
      </c>
      <c r="K1482" t="s">
        <v>26012</v>
      </c>
      <c r="L1482">
        <v>307</v>
      </c>
      <c r="M1482" t="s">
        <v>31496</v>
      </c>
      <c r="N1482">
        <v>1</v>
      </c>
      <c r="O1482" t="s">
        <v>27663</v>
      </c>
      <c r="Q1482" t="s">
        <v>31497</v>
      </c>
      <c r="R1482">
        <v>306.7</v>
      </c>
      <c r="S1482" t="s">
        <v>9824</v>
      </c>
      <c r="T1482" t="s">
        <v>30</v>
      </c>
      <c r="U1482" t="s">
        <v>27817</v>
      </c>
      <c r="W1482" t="s">
        <v>26009</v>
      </c>
    </row>
    <row r="1483" spans="1:23" x14ac:dyDescent="0.35">
      <c r="A1483">
        <v>356320</v>
      </c>
      <c r="B1483" t="s">
        <v>8834</v>
      </c>
      <c r="C1483" t="str">
        <f>"9780805838251"</f>
        <v>9780805838251</v>
      </c>
      <c r="D1483" t="str">
        <f>"9781410606716"</f>
        <v>9781410606716</v>
      </c>
      <c r="E1483" t="s">
        <v>26010</v>
      </c>
      <c r="F1483" t="s">
        <v>35</v>
      </c>
      <c r="G1483" t="s">
        <v>22436</v>
      </c>
      <c r="H1483" t="s">
        <v>26004</v>
      </c>
      <c r="I1483" s="26">
        <v>37530</v>
      </c>
      <c r="J1483">
        <v>2002</v>
      </c>
      <c r="K1483" t="s">
        <v>26012</v>
      </c>
      <c r="L1483">
        <v>489</v>
      </c>
      <c r="M1483" t="s">
        <v>31498</v>
      </c>
      <c r="N1483">
        <v>1</v>
      </c>
      <c r="Q1483" t="s">
        <v>31499</v>
      </c>
      <c r="R1483">
        <v>153.4</v>
      </c>
      <c r="S1483" t="s">
        <v>31500</v>
      </c>
      <c r="T1483" t="s">
        <v>30</v>
      </c>
      <c r="U1483" t="s">
        <v>46</v>
      </c>
      <c r="W1483" t="s">
        <v>26009</v>
      </c>
    </row>
    <row r="1484" spans="1:23" x14ac:dyDescent="0.35">
      <c r="A1484">
        <v>356325</v>
      </c>
      <c r="B1484" t="s">
        <v>31501</v>
      </c>
      <c r="C1484" t="str">
        <f>"9780805840476"</f>
        <v>9780805840476</v>
      </c>
      <c r="D1484" t="str">
        <f>"9781410606853"</f>
        <v>9781410606853</v>
      </c>
      <c r="E1484" t="s">
        <v>26010</v>
      </c>
      <c r="F1484" t="s">
        <v>35</v>
      </c>
      <c r="G1484" t="s">
        <v>22436</v>
      </c>
      <c r="H1484" t="s">
        <v>26004</v>
      </c>
      <c r="I1484" s="26">
        <v>37561</v>
      </c>
      <c r="J1484">
        <v>2002</v>
      </c>
      <c r="K1484" t="s">
        <v>660</v>
      </c>
      <c r="L1484">
        <v>431</v>
      </c>
      <c r="M1484" t="s">
        <v>31502</v>
      </c>
      <c r="N1484">
        <v>1</v>
      </c>
      <c r="Q1484" t="s">
        <v>31503</v>
      </c>
      <c r="R1484">
        <v>152.4</v>
      </c>
      <c r="S1484" t="s">
        <v>8268</v>
      </c>
      <c r="T1484" t="s">
        <v>30</v>
      </c>
      <c r="U1484" t="s">
        <v>46</v>
      </c>
      <c r="W1484" t="s">
        <v>26009</v>
      </c>
    </row>
    <row r="1485" spans="1:23" x14ac:dyDescent="0.35">
      <c r="A1485">
        <v>357899</v>
      </c>
      <c r="B1485" t="s">
        <v>31504</v>
      </c>
      <c r="C1485" t="str">
        <f>"9780833044532"</f>
        <v>9780833044532</v>
      </c>
      <c r="D1485" t="str">
        <f>"9780833045980"</f>
        <v>9780833045980</v>
      </c>
      <c r="E1485" t="s">
        <v>30602</v>
      </c>
      <c r="F1485" t="s">
        <v>8236</v>
      </c>
      <c r="G1485" t="s">
        <v>22307</v>
      </c>
      <c r="H1485" t="s">
        <v>26004</v>
      </c>
      <c r="I1485" s="26">
        <v>39520</v>
      </c>
      <c r="J1485">
        <v>2008</v>
      </c>
      <c r="K1485" t="s">
        <v>30603</v>
      </c>
      <c r="L1485">
        <v>499</v>
      </c>
      <c r="M1485" t="s">
        <v>31505</v>
      </c>
      <c r="N1485">
        <v>1</v>
      </c>
      <c r="Q1485" t="s">
        <v>31506</v>
      </c>
      <c r="R1485" t="s">
        <v>31507</v>
      </c>
      <c r="S1485" t="s">
        <v>31508</v>
      </c>
      <c r="T1485" t="s">
        <v>30</v>
      </c>
      <c r="U1485" t="s">
        <v>26116</v>
      </c>
      <c r="W1485" t="s">
        <v>26009</v>
      </c>
    </row>
    <row r="1486" spans="1:23" x14ac:dyDescent="0.35">
      <c r="A1486">
        <v>357923</v>
      </c>
      <c r="B1486" t="s">
        <v>31509</v>
      </c>
      <c r="C1486" t="str">
        <f>"9780805832259"</f>
        <v>9780805832259</v>
      </c>
      <c r="D1486" t="str">
        <f>"9781410607089"</f>
        <v>9781410607089</v>
      </c>
      <c r="E1486" t="s">
        <v>26010</v>
      </c>
      <c r="F1486" t="s">
        <v>35</v>
      </c>
      <c r="G1486" t="s">
        <v>22436</v>
      </c>
      <c r="H1486" t="s">
        <v>26004</v>
      </c>
      <c r="I1486" s="26">
        <v>37591</v>
      </c>
      <c r="J1486">
        <v>2002</v>
      </c>
      <c r="K1486" t="s">
        <v>660</v>
      </c>
      <c r="L1486">
        <v>308</v>
      </c>
      <c r="M1486" t="s">
        <v>31510</v>
      </c>
      <c r="N1486">
        <v>1</v>
      </c>
      <c r="Q1486" t="s">
        <v>31511</v>
      </c>
      <c r="R1486" t="s">
        <v>31512</v>
      </c>
      <c r="S1486" t="s">
        <v>31513</v>
      </c>
      <c r="T1486" t="s">
        <v>30</v>
      </c>
      <c r="U1486" t="s">
        <v>26019</v>
      </c>
      <c r="W1486" t="s">
        <v>26009</v>
      </c>
    </row>
    <row r="1487" spans="1:23" x14ac:dyDescent="0.35">
      <c r="A1487">
        <v>357926</v>
      </c>
      <c r="B1487" t="s">
        <v>31514</v>
      </c>
      <c r="C1487" t="str">
        <f>"9780805845846"</f>
        <v>9780805845846</v>
      </c>
      <c r="D1487" t="str">
        <f>"9781410607614"</f>
        <v>9781410607614</v>
      </c>
      <c r="E1487" t="s">
        <v>26010</v>
      </c>
      <c r="F1487" t="s">
        <v>35</v>
      </c>
      <c r="G1487" t="s">
        <v>22436</v>
      </c>
      <c r="H1487" t="s">
        <v>26004</v>
      </c>
      <c r="I1487" s="26">
        <v>37712</v>
      </c>
      <c r="J1487">
        <v>2003</v>
      </c>
      <c r="K1487" t="s">
        <v>660</v>
      </c>
      <c r="L1487">
        <v>219</v>
      </c>
      <c r="M1487" t="s">
        <v>27585</v>
      </c>
      <c r="N1487">
        <v>1</v>
      </c>
      <c r="Q1487" t="s">
        <v>31515</v>
      </c>
      <c r="R1487" t="s">
        <v>26035</v>
      </c>
      <c r="S1487" t="s">
        <v>31516</v>
      </c>
      <c r="T1487" t="s">
        <v>30</v>
      </c>
      <c r="U1487" t="s">
        <v>46</v>
      </c>
      <c r="W1487" t="s">
        <v>26009</v>
      </c>
    </row>
    <row r="1488" spans="1:23" x14ac:dyDescent="0.35">
      <c r="A1488">
        <v>357932</v>
      </c>
      <c r="B1488" t="s">
        <v>31517</v>
      </c>
      <c r="C1488" t="str">
        <f>"9780805844351"</f>
        <v>9780805844351</v>
      </c>
      <c r="D1488" t="str">
        <f>"9781410609090"</f>
        <v>9781410609090</v>
      </c>
      <c r="E1488" t="s">
        <v>26010</v>
      </c>
      <c r="F1488" t="s">
        <v>35</v>
      </c>
      <c r="G1488" t="s">
        <v>26128</v>
      </c>
      <c r="H1488" t="s">
        <v>26011</v>
      </c>
      <c r="I1488" s="26">
        <v>37712</v>
      </c>
      <c r="J1488">
        <v>2003</v>
      </c>
      <c r="K1488" t="s">
        <v>660</v>
      </c>
      <c r="L1488">
        <v>225</v>
      </c>
      <c r="M1488" t="s">
        <v>31518</v>
      </c>
      <c r="N1488">
        <v>1</v>
      </c>
      <c r="R1488" t="s">
        <v>31519</v>
      </c>
      <c r="S1488" t="s">
        <v>31520</v>
      </c>
      <c r="T1488" t="s">
        <v>30</v>
      </c>
      <c r="U1488" t="s">
        <v>26044</v>
      </c>
      <c r="W1488" t="s">
        <v>26009</v>
      </c>
    </row>
    <row r="1489" spans="1:23" x14ac:dyDescent="0.35">
      <c r="A1489">
        <v>357990</v>
      </c>
      <c r="B1489" t="s">
        <v>31521</v>
      </c>
      <c r="C1489" t="str">
        <f>"9780833044549"</f>
        <v>9780833044549</v>
      </c>
      <c r="D1489" t="str">
        <f>"9780833045294"</f>
        <v>9780833045294</v>
      </c>
      <c r="E1489" t="s">
        <v>30602</v>
      </c>
      <c r="F1489" t="s">
        <v>8236</v>
      </c>
      <c r="G1489" t="s">
        <v>22307</v>
      </c>
      <c r="H1489" t="s">
        <v>26004</v>
      </c>
      <c r="I1489" s="26">
        <v>39553</v>
      </c>
      <c r="J1489">
        <v>2008</v>
      </c>
      <c r="K1489" t="s">
        <v>30603</v>
      </c>
      <c r="L1489">
        <v>538</v>
      </c>
      <c r="M1489" t="s">
        <v>31522</v>
      </c>
      <c r="N1489">
        <v>1</v>
      </c>
      <c r="Q1489" t="s">
        <v>31523</v>
      </c>
      <c r="R1489" t="s">
        <v>31524</v>
      </c>
      <c r="S1489" t="s">
        <v>31525</v>
      </c>
      <c r="T1489" t="s">
        <v>30</v>
      </c>
      <c r="U1489" t="s">
        <v>29302</v>
      </c>
      <c r="W1489" t="s">
        <v>26009</v>
      </c>
    </row>
    <row r="1490" spans="1:23" x14ac:dyDescent="0.35">
      <c r="A1490">
        <v>358847</v>
      </c>
      <c r="B1490" t="s">
        <v>31526</v>
      </c>
      <c r="C1490" t="str">
        <f>"9780521517911"</f>
        <v>9780521517911</v>
      </c>
      <c r="D1490" t="str">
        <f>"9780511428241"</f>
        <v>9780511428241</v>
      </c>
      <c r="E1490" t="s">
        <v>167</v>
      </c>
      <c r="F1490" t="s">
        <v>167</v>
      </c>
      <c r="G1490" t="s">
        <v>22179</v>
      </c>
      <c r="H1490" t="s">
        <v>26004</v>
      </c>
      <c r="I1490" s="26">
        <v>39713</v>
      </c>
      <c r="J1490">
        <v>2008</v>
      </c>
      <c r="K1490" t="s">
        <v>167</v>
      </c>
      <c r="L1490">
        <v>210</v>
      </c>
      <c r="M1490" t="s">
        <v>28927</v>
      </c>
      <c r="N1490">
        <v>1</v>
      </c>
      <c r="Q1490" t="s">
        <v>31527</v>
      </c>
      <c r="R1490">
        <v>153</v>
      </c>
      <c r="S1490" t="s">
        <v>7887</v>
      </c>
      <c r="T1490" t="s">
        <v>30</v>
      </c>
      <c r="U1490" t="s">
        <v>46</v>
      </c>
      <c r="W1490" t="s">
        <v>26020</v>
      </c>
    </row>
    <row r="1491" spans="1:23" x14ac:dyDescent="0.35">
      <c r="A1491">
        <v>358885</v>
      </c>
      <c r="B1491" t="s">
        <v>31528</v>
      </c>
      <c r="C1491" t="str">
        <f>"9780521898157"</f>
        <v>9780521898157</v>
      </c>
      <c r="D1491" t="str">
        <f>"9780511428180"</f>
        <v>9780511428180</v>
      </c>
      <c r="E1491" t="s">
        <v>167</v>
      </c>
      <c r="F1491" t="s">
        <v>167</v>
      </c>
      <c r="G1491" t="s">
        <v>22218</v>
      </c>
      <c r="H1491" t="s">
        <v>26011</v>
      </c>
      <c r="I1491" s="26">
        <v>39716</v>
      </c>
      <c r="J1491">
        <v>2008</v>
      </c>
      <c r="K1491" t="s">
        <v>167</v>
      </c>
      <c r="L1491">
        <v>315</v>
      </c>
      <c r="M1491" t="s">
        <v>31529</v>
      </c>
      <c r="N1491">
        <v>1</v>
      </c>
      <c r="Q1491" t="s">
        <v>31530</v>
      </c>
      <c r="R1491" t="s">
        <v>31531</v>
      </c>
      <c r="S1491" t="s">
        <v>31532</v>
      </c>
      <c r="T1491" t="s">
        <v>30</v>
      </c>
      <c r="U1491" t="s">
        <v>46</v>
      </c>
      <c r="W1491" t="s">
        <v>26020</v>
      </c>
    </row>
    <row r="1492" spans="1:23" x14ac:dyDescent="0.35">
      <c r="A1492">
        <v>361033</v>
      </c>
      <c r="B1492" t="s">
        <v>31533</v>
      </c>
      <c r="C1492" t="str">
        <f>"9781416606888"</f>
        <v>9781416606888</v>
      </c>
      <c r="D1492" t="str">
        <f>"9781416607946"</f>
        <v>9781416607946</v>
      </c>
      <c r="E1492" t="s">
        <v>31534</v>
      </c>
      <c r="F1492" t="s">
        <v>9181</v>
      </c>
      <c r="G1492" t="s">
        <v>22256</v>
      </c>
      <c r="H1492" t="s">
        <v>26004</v>
      </c>
      <c r="I1492" s="26">
        <v>39661</v>
      </c>
      <c r="J1492">
        <v>2008</v>
      </c>
      <c r="K1492" t="s">
        <v>9181</v>
      </c>
      <c r="L1492">
        <v>194</v>
      </c>
      <c r="M1492" t="s">
        <v>31535</v>
      </c>
      <c r="N1492">
        <v>1</v>
      </c>
      <c r="Q1492" t="s">
        <v>31536</v>
      </c>
      <c r="R1492">
        <v>428.4</v>
      </c>
      <c r="S1492" t="s">
        <v>31537</v>
      </c>
      <c r="T1492" t="s">
        <v>30</v>
      </c>
      <c r="U1492" t="s">
        <v>31538</v>
      </c>
      <c r="W1492" t="s">
        <v>26009</v>
      </c>
    </row>
    <row r="1493" spans="1:23" x14ac:dyDescent="0.35">
      <c r="A1493">
        <v>361655</v>
      </c>
      <c r="B1493" t="s">
        <v>31539</v>
      </c>
      <c r="C1493" t="str">
        <f>"9780813543376"</f>
        <v>9780813543376</v>
      </c>
      <c r="D1493" t="str">
        <f>"9780813545080"</f>
        <v>9780813545080</v>
      </c>
      <c r="E1493" t="s">
        <v>3024</v>
      </c>
      <c r="F1493" t="s">
        <v>3024</v>
      </c>
      <c r="G1493" t="s">
        <v>23823</v>
      </c>
      <c r="H1493" t="s">
        <v>26004</v>
      </c>
      <c r="I1493" s="26">
        <v>39647</v>
      </c>
      <c r="J1493">
        <v>2008</v>
      </c>
      <c r="K1493" t="s">
        <v>3024</v>
      </c>
      <c r="L1493">
        <v>238</v>
      </c>
      <c r="M1493" t="s">
        <v>31540</v>
      </c>
      <c r="N1493">
        <v>1</v>
      </c>
      <c r="O1493" t="s">
        <v>31278</v>
      </c>
      <c r="Q1493" t="s">
        <v>31541</v>
      </c>
      <c r="R1493" t="s">
        <v>28587</v>
      </c>
      <c r="T1493" t="s">
        <v>30</v>
      </c>
      <c r="U1493" t="s">
        <v>28308</v>
      </c>
      <c r="W1493" t="s">
        <v>26009</v>
      </c>
    </row>
    <row r="1494" spans="1:23" x14ac:dyDescent="0.35">
      <c r="A1494">
        <v>362232</v>
      </c>
      <c r="B1494" t="s">
        <v>31542</v>
      </c>
      <c r="C1494" t="str">
        <f>"9780875866185"</f>
        <v>9780875866185</v>
      </c>
      <c r="D1494" t="str">
        <f>"9780875866208"</f>
        <v>9780875866208</v>
      </c>
      <c r="E1494" t="s">
        <v>7561</v>
      </c>
      <c r="F1494" t="s">
        <v>7561</v>
      </c>
      <c r="G1494" t="s">
        <v>22179</v>
      </c>
      <c r="H1494" t="s">
        <v>26004</v>
      </c>
      <c r="I1494" s="26">
        <v>39588</v>
      </c>
      <c r="J1494">
        <v>2008</v>
      </c>
      <c r="K1494" t="s">
        <v>7561</v>
      </c>
      <c r="L1494">
        <v>173</v>
      </c>
      <c r="M1494" t="s">
        <v>31543</v>
      </c>
      <c r="N1494">
        <v>1</v>
      </c>
      <c r="Q1494" t="s">
        <v>31544</v>
      </c>
      <c r="R1494">
        <v>613</v>
      </c>
      <c r="S1494" t="s">
        <v>31545</v>
      </c>
      <c r="T1494" t="s">
        <v>30</v>
      </c>
      <c r="U1494" t="s">
        <v>26250</v>
      </c>
      <c r="W1494" t="s">
        <v>26009</v>
      </c>
    </row>
    <row r="1495" spans="1:23" x14ac:dyDescent="0.35">
      <c r="A1495">
        <v>362334</v>
      </c>
      <c r="B1495" t="s">
        <v>31546</v>
      </c>
      <c r="C1495" t="str">
        <f>"9780805828788"</f>
        <v>9780805828788</v>
      </c>
      <c r="D1495" t="str">
        <f>"9781410600707"</f>
        <v>9781410600707</v>
      </c>
      <c r="E1495" t="s">
        <v>26010</v>
      </c>
      <c r="F1495" t="s">
        <v>35</v>
      </c>
      <c r="G1495" t="s">
        <v>22179</v>
      </c>
      <c r="H1495" t="s">
        <v>26004</v>
      </c>
      <c r="I1495" s="26">
        <v>37012</v>
      </c>
      <c r="J1495">
        <v>2001</v>
      </c>
      <c r="K1495" t="s">
        <v>26012</v>
      </c>
      <c r="L1495">
        <v>301</v>
      </c>
      <c r="M1495" t="s">
        <v>31547</v>
      </c>
      <c r="N1495">
        <v>1</v>
      </c>
      <c r="Q1495" t="s">
        <v>31548</v>
      </c>
      <c r="R1495">
        <v>616.89139999999998</v>
      </c>
      <c r="S1495" t="s">
        <v>7486</v>
      </c>
      <c r="T1495" t="s">
        <v>30</v>
      </c>
      <c r="U1495" t="s">
        <v>26019</v>
      </c>
      <c r="W1495" t="s">
        <v>26009</v>
      </c>
    </row>
    <row r="1496" spans="1:23" x14ac:dyDescent="0.35">
      <c r="A1496">
        <v>362538</v>
      </c>
      <c r="B1496" t="s">
        <v>31549</v>
      </c>
      <c r="C1496" t="str">
        <f>"9781593851453"</f>
        <v>9781593851453</v>
      </c>
      <c r="D1496" t="str">
        <f>"9781606231272"</f>
        <v>9781606231272</v>
      </c>
      <c r="E1496" t="s">
        <v>30112</v>
      </c>
      <c r="F1496" t="s">
        <v>7420</v>
      </c>
      <c r="G1496" t="s">
        <v>22179</v>
      </c>
      <c r="H1496" t="s">
        <v>26004</v>
      </c>
      <c r="I1496" s="26">
        <v>38432</v>
      </c>
      <c r="J1496">
        <v>2005</v>
      </c>
      <c r="K1496" t="s">
        <v>30113</v>
      </c>
      <c r="L1496">
        <v>349</v>
      </c>
      <c r="M1496" t="s">
        <v>31550</v>
      </c>
      <c r="N1496">
        <v>1</v>
      </c>
      <c r="Q1496" t="s">
        <v>31551</v>
      </c>
      <c r="R1496">
        <v>155.19999999999999</v>
      </c>
      <c r="S1496" t="s">
        <v>7602</v>
      </c>
      <c r="T1496" t="s">
        <v>30</v>
      </c>
      <c r="U1496" t="s">
        <v>46</v>
      </c>
      <c r="W1496" t="s">
        <v>28347</v>
      </c>
    </row>
    <row r="1497" spans="1:23" x14ac:dyDescent="0.35">
      <c r="A1497">
        <v>362540</v>
      </c>
      <c r="B1497" t="s">
        <v>31552</v>
      </c>
      <c r="C1497" t="str">
        <f>"9781593852252"</f>
        <v>9781593852252</v>
      </c>
      <c r="D1497" t="str">
        <f>"9781606231289"</f>
        <v>9781606231289</v>
      </c>
      <c r="E1497" t="s">
        <v>30112</v>
      </c>
      <c r="F1497" t="s">
        <v>7420</v>
      </c>
      <c r="G1497" t="s">
        <v>22179</v>
      </c>
      <c r="H1497" t="s">
        <v>26004</v>
      </c>
      <c r="I1497" s="26">
        <v>38685</v>
      </c>
      <c r="J1497">
        <v>2006</v>
      </c>
      <c r="K1497" t="s">
        <v>30113</v>
      </c>
      <c r="L1497">
        <v>737</v>
      </c>
      <c r="M1497" t="s">
        <v>31553</v>
      </c>
      <c r="N1497">
        <v>1</v>
      </c>
      <c r="Q1497" t="s">
        <v>31554</v>
      </c>
      <c r="R1497" t="s">
        <v>29630</v>
      </c>
      <c r="S1497" t="s">
        <v>31555</v>
      </c>
      <c r="T1497" t="s">
        <v>30</v>
      </c>
      <c r="U1497" t="s">
        <v>26019</v>
      </c>
      <c r="W1497" t="s">
        <v>28347</v>
      </c>
    </row>
    <row r="1498" spans="1:23" x14ac:dyDescent="0.35">
      <c r="A1498">
        <v>362541</v>
      </c>
      <c r="B1498" t="s">
        <v>31556</v>
      </c>
      <c r="C1498" t="str">
        <f>"9781593855949"</f>
        <v>9781593855949</v>
      </c>
      <c r="D1498" t="str">
        <f>"9781606231890"</f>
        <v>9781606231890</v>
      </c>
      <c r="E1498" t="s">
        <v>30112</v>
      </c>
      <c r="F1498" t="s">
        <v>7420</v>
      </c>
      <c r="G1498" t="s">
        <v>22179</v>
      </c>
      <c r="H1498" t="s">
        <v>26004</v>
      </c>
      <c r="I1498" s="26">
        <v>39373</v>
      </c>
      <c r="J1498">
        <v>2008</v>
      </c>
      <c r="K1498" t="s">
        <v>30113</v>
      </c>
      <c r="L1498">
        <v>225</v>
      </c>
      <c r="M1498" t="s">
        <v>31557</v>
      </c>
      <c r="N1498">
        <v>1</v>
      </c>
      <c r="Q1498" t="s">
        <v>31558</v>
      </c>
      <c r="R1498" t="s">
        <v>28279</v>
      </c>
      <c r="S1498" t="s">
        <v>7682</v>
      </c>
      <c r="T1498" t="s">
        <v>30</v>
      </c>
      <c r="U1498" t="s">
        <v>26019</v>
      </c>
      <c r="W1498" t="s">
        <v>28347</v>
      </c>
    </row>
    <row r="1499" spans="1:23" x14ac:dyDescent="0.35">
      <c r="A1499">
        <v>362548</v>
      </c>
      <c r="B1499" t="s">
        <v>7966</v>
      </c>
      <c r="C1499" t="str">
        <f>"9781593855710"</f>
        <v>9781593855710</v>
      </c>
      <c r="D1499" t="str">
        <f>"9781606231562"</f>
        <v>9781606231562</v>
      </c>
      <c r="E1499" t="s">
        <v>30112</v>
      </c>
      <c r="F1499" t="s">
        <v>7420</v>
      </c>
      <c r="G1499" t="s">
        <v>22179</v>
      </c>
      <c r="H1499" t="s">
        <v>26004</v>
      </c>
      <c r="I1499" s="26">
        <v>39351</v>
      </c>
      <c r="J1499">
        <v>2008</v>
      </c>
      <c r="K1499" t="s">
        <v>30113</v>
      </c>
      <c r="L1499">
        <v>401</v>
      </c>
      <c r="M1499" t="s">
        <v>31559</v>
      </c>
      <c r="N1499">
        <v>1</v>
      </c>
      <c r="Q1499" t="s">
        <v>31560</v>
      </c>
      <c r="R1499" t="s">
        <v>28628</v>
      </c>
      <c r="S1499" t="s">
        <v>31561</v>
      </c>
      <c r="T1499" t="s">
        <v>30</v>
      </c>
      <c r="U1499" t="s">
        <v>26116</v>
      </c>
      <c r="W1499" t="s">
        <v>28347</v>
      </c>
    </row>
    <row r="1500" spans="1:23" x14ac:dyDescent="0.35">
      <c r="A1500">
        <v>362551</v>
      </c>
      <c r="B1500" t="s">
        <v>31562</v>
      </c>
      <c r="C1500" t="str">
        <f>"9781572309968"</f>
        <v>9781572309968</v>
      </c>
      <c r="D1500" t="str">
        <f>"9781606231340"</f>
        <v>9781606231340</v>
      </c>
      <c r="E1500" t="s">
        <v>30112</v>
      </c>
      <c r="F1500" t="s">
        <v>7420</v>
      </c>
      <c r="G1500" t="s">
        <v>22179</v>
      </c>
      <c r="H1500" t="s">
        <v>26004</v>
      </c>
      <c r="I1500" s="26">
        <v>38525</v>
      </c>
      <c r="J1500">
        <v>2005</v>
      </c>
      <c r="K1500" t="s">
        <v>30113</v>
      </c>
      <c r="L1500">
        <v>383</v>
      </c>
      <c r="M1500" t="s">
        <v>31563</v>
      </c>
      <c r="N1500">
        <v>1</v>
      </c>
      <c r="Q1500" t="s">
        <v>31564</v>
      </c>
      <c r="R1500" t="s">
        <v>31565</v>
      </c>
      <c r="S1500" t="s">
        <v>31566</v>
      </c>
      <c r="T1500" t="s">
        <v>30</v>
      </c>
      <c r="U1500" t="s">
        <v>26116</v>
      </c>
      <c r="W1500" t="s">
        <v>28347</v>
      </c>
    </row>
    <row r="1501" spans="1:23" x14ac:dyDescent="0.35">
      <c r="A1501">
        <v>362563</v>
      </c>
      <c r="B1501" t="s">
        <v>31567</v>
      </c>
      <c r="C1501" t="str">
        <f>"9781593852566"</f>
        <v>9781593852566</v>
      </c>
      <c r="D1501" t="str">
        <f>"9781606231401"</f>
        <v>9781606231401</v>
      </c>
      <c r="E1501" t="s">
        <v>30112</v>
      </c>
      <c r="F1501" t="s">
        <v>7420</v>
      </c>
      <c r="G1501" t="s">
        <v>22179</v>
      </c>
      <c r="H1501" t="s">
        <v>26004</v>
      </c>
      <c r="I1501" s="26">
        <v>38709</v>
      </c>
      <c r="J1501">
        <v>2006</v>
      </c>
      <c r="K1501" t="s">
        <v>30113</v>
      </c>
      <c r="L1501">
        <v>448</v>
      </c>
      <c r="M1501" t="s">
        <v>31568</v>
      </c>
      <c r="N1501">
        <v>1</v>
      </c>
      <c r="Q1501" t="s">
        <v>31569</v>
      </c>
      <c r="R1501" t="s">
        <v>27184</v>
      </c>
      <c r="S1501" t="s">
        <v>31570</v>
      </c>
      <c r="T1501" t="s">
        <v>30</v>
      </c>
      <c r="U1501" t="s">
        <v>26116</v>
      </c>
      <c r="W1501" t="s">
        <v>28347</v>
      </c>
    </row>
    <row r="1502" spans="1:23" x14ac:dyDescent="0.35">
      <c r="A1502">
        <v>362564</v>
      </c>
      <c r="B1502" t="s">
        <v>31571</v>
      </c>
      <c r="C1502" t="str">
        <f>"9781593851989"</f>
        <v>9781593851989</v>
      </c>
      <c r="D1502" t="str">
        <f>"9781606231418"</f>
        <v>9781606231418</v>
      </c>
      <c r="E1502" t="s">
        <v>30112</v>
      </c>
      <c r="F1502" t="s">
        <v>7420</v>
      </c>
      <c r="G1502" t="s">
        <v>22179</v>
      </c>
      <c r="H1502" t="s">
        <v>26004</v>
      </c>
      <c r="I1502" s="26">
        <v>38638</v>
      </c>
      <c r="J1502">
        <v>2006</v>
      </c>
      <c r="K1502" t="s">
        <v>30113</v>
      </c>
      <c r="L1502">
        <v>417</v>
      </c>
      <c r="M1502" t="s">
        <v>31572</v>
      </c>
      <c r="N1502">
        <v>2</v>
      </c>
      <c r="Q1502" t="s">
        <v>31573</v>
      </c>
      <c r="R1502" t="s">
        <v>31574</v>
      </c>
      <c r="S1502" t="s">
        <v>8922</v>
      </c>
      <c r="T1502" t="s">
        <v>30</v>
      </c>
      <c r="U1502" t="s">
        <v>29407</v>
      </c>
      <c r="W1502" t="s">
        <v>28347</v>
      </c>
    </row>
    <row r="1503" spans="1:23" x14ac:dyDescent="0.35">
      <c r="A1503">
        <v>362568</v>
      </c>
      <c r="B1503" t="s">
        <v>31575</v>
      </c>
      <c r="C1503" t="str">
        <f>"9781593853945"</f>
        <v>9781593853945</v>
      </c>
      <c r="D1503" t="str">
        <f>"9781606232217"</f>
        <v>9781606232217</v>
      </c>
      <c r="E1503" t="s">
        <v>30112</v>
      </c>
      <c r="F1503" t="s">
        <v>7420</v>
      </c>
      <c r="G1503" t="s">
        <v>22179</v>
      </c>
      <c r="H1503" t="s">
        <v>26004</v>
      </c>
      <c r="I1503" s="26">
        <v>39168</v>
      </c>
      <c r="J1503">
        <v>2007</v>
      </c>
      <c r="K1503" t="s">
        <v>30113</v>
      </c>
      <c r="L1503">
        <v>269</v>
      </c>
      <c r="M1503" t="s">
        <v>31576</v>
      </c>
      <c r="N1503">
        <v>1</v>
      </c>
      <c r="O1503" t="s">
        <v>31577</v>
      </c>
      <c r="Q1503" t="s">
        <v>31578</v>
      </c>
      <c r="R1503">
        <v>300.72000000000003</v>
      </c>
      <c r="S1503" t="s">
        <v>9148</v>
      </c>
      <c r="T1503" t="s">
        <v>30</v>
      </c>
      <c r="U1503" t="s">
        <v>26044</v>
      </c>
      <c r="W1503" t="s">
        <v>28347</v>
      </c>
    </row>
    <row r="1504" spans="1:23" x14ac:dyDescent="0.35">
      <c r="A1504">
        <v>362569</v>
      </c>
      <c r="B1504" t="s">
        <v>9159</v>
      </c>
      <c r="C1504" t="str">
        <f>"9781593853631"</f>
        <v>9781593853631</v>
      </c>
      <c r="D1504" t="str">
        <f>"9781606231999"</f>
        <v>9781606231999</v>
      </c>
      <c r="E1504" t="s">
        <v>30112</v>
      </c>
      <c r="F1504" t="s">
        <v>7420</v>
      </c>
      <c r="G1504" t="s">
        <v>22179</v>
      </c>
      <c r="H1504" t="s">
        <v>26004</v>
      </c>
      <c r="I1504" s="26">
        <v>39024</v>
      </c>
      <c r="J1504">
        <v>2007</v>
      </c>
      <c r="K1504" t="s">
        <v>30113</v>
      </c>
      <c r="L1504">
        <v>353</v>
      </c>
      <c r="M1504" t="s">
        <v>31579</v>
      </c>
      <c r="N1504">
        <v>1</v>
      </c>
      <c r="O1504" t="s">
        <v>31580</v>
      </c>
      <c r="Q1504" t="s">
        <v>31581</v>
      </c>
      <c r="R1504">
        <v>618.92849999999999</v>
      </c>
      <c r="S1504" t="s">
        <v>31582</v>
      </c>
      <c r="T1504" t="s">
        <v>30</v>
      </c>
      <c r="U1504" t="s">
        <v>26116</v>
      </c>
      <c r="W1504" t="s">
        <v>28347</v>
      </c>
    </row>
    <row r="1505" spans="1:23" x14ac:dyDescent="0.35">
      <c r="A1505">
        <v>362573</v>
      </c>
      <c r="B1505" t="s">
        <v>31583</v>
      </c>
      <c r="C1505" t="str">
        <f>"9781593851873"</f>
        <v>9781593851873</v>
      </c>
      <c r="D1505" t="str">
        <f>"9781606231449"</f>
        <v>9781606231449</v>
      </c>
      <c r="E1505" t="s">
        <v>30112</v>
      </c>
      <c r="F1505" t="s">
        <v>7420</v>
      </c>
      <c r="G1505" t="s">
        <v>22179</v>
      </c>
      <c r="H1505" t="s">
        <v>26004</v>
      </c>
      <c r="I1505" s="26">
        <v>38554</v>
      </c>
      <c r="J1505">
        <v>2005</v>
      </c>
      <c r="K1505" t="s">
        <v>30113</v>
      </c>
      <c r="L1505">
        <v>369</v>
      </c>
      <c r="M1505" t="s">
        <v>31584</v>
      </c>
      <c r="N1505">
        <v>1</v>
      </c>
      <c r="Q1505" t="s">
        <v>31585</v>
      </c>
      <c r="R1505" t="s">
        <v>31586</v>
      </c>
      <c r="S1505" t="s">
        <v>31587</v>
      </c>
      <c r="T1505" t="s">
        <v>30</v>
      </c>
      <c r="U1505" t="s">
        <v>26679</v>
      </c>
      <c r="W1505" t="s">
        <v>28347</v>
      </c>
    </row>
    <row r="1506" spans="1:23" x14ac:dyDescent="0.35">
      <c r="A1506">
        <v>362576</v>
      </c>
      <c r="B1506" t="s">
        <v>31588</v>
      </c>
      <c r="C1506" t="str">
        <f>"9781593855673"</f>
        <v>9781593855673</v>
      </c>
      <c r="D1506" t="str">
        <f>"9781606231746"</f>
        <v>9781606231746</v>
      </c>
      <c r="E1506" t="s">
        <v>30112</v>
      </c>
      <c r="F1506" t="s">
        <v>7420</v>
      </c>
      <c r="G1506" t="s">
        <v>22179</v>
      </c>
      <c r="H1506" t="s">
        <v>26004</v>
      </c>
      <c r="I1506" s="26">
        <v>39330</v>
      </c>
      <c r="J1506">
        <v>2008</v>
      </c>
      <c r="K1506" t="s">
        <v>30113</v>
      </c>
      <c r="L1506">
        <v>353</v>
      </c>
      <c r="M1506" t="s">
        <v>31589</v>
      </c>
      <c r="N1506">
        <v>1</v>
      </c>
      <c r="Q1506" t="s">
        <v>31590</v>
      </c>
      <c r="R1506">
        <v>155.19999999999999</v>
      </c>
      <c r="S1506" t="s">
        <v>31591</v>
      </c>
      <c r="T1506" t="s">
        <v>30</v>
      </c>
      <c r="U1506" t="s">
        <v>46</v>
      </c>
      <c r="W1506" t="s">
        <v>28347</v>
      </c>
    </row>
    <row r="1507" spans="1:23" x14ac:dyDescent="0.35">
      <c r="A1507">
        <v>362582</v>
      </c>
      <c r="B1507" t="s">
        <v>31592</v>
      </c>
      <c r="C1507" t="str">
        <f>"9781593851316"</f>
        <v>9781593851316</v>
      </c>
      <c r="D1507" t="str">
        <f>"9781606231456"</f>
        <v>9781606231456</v>
      </c>
      <c r="E1507" t="s">
        <v>30112</v>
      </c>
      <c r="F1507" t="s">
        <v>7420</v>
      </c>
      <c r="G1507" t="s">
        <v>22179</v>
      </c>
      <c r="H1507" t="s">
        <v>26004</v>
      </c>
      <c r="I1507" s="26">
        <v>38408</v>
      </c>
      <c r="J1507">
        <v>2005</v>
      </c>
      <c r="K1507" t="s">
        <v>30113</v>
      </c>
      <c r="L1507">
        <v>321</v>
      </c>
      <c r="M1507" t="s">
        <v>31593</v>
      </c>
      <c r="N1507">
        <v>1</v>
      </c>
      <c r="Q1507" t="s">
        <v>31594</v>
      </c>
      <c r="R1507" t="s">
        <v>30045</v>
      </c>
      <c r="S1507" t="s">
        <v>31595</v>
      </c>
      <c r="T1507" t="s">
        <v>30</v>
      </c>
      <c r="U1507" t="s">
        <v>26019</v>
      </c>
      <c r="W1507" t="s">
        <v>28347</v>
      </c>
    </row>
    <row r="1508" spans="1:23" x14ac:dyDescent="0.35">
      <c r="A1508">
        <v>362591</v>
      </c>
      <c r="B1508" t="s">
        <v>31596</v>
      </c>
      <c r="C1508" t="str">
        <f>"9781593852078"</f>
        <v>9781593852078</v>
      </c>
      <c r="D1508" t="str">
        <f>"9781606231852"</f>
        <v>9781606231852</v>
      </c>
      <c r="E1508" t="s">
        <v>30112</v>
      </c>
      <c r="F1508" t="s">
        <v>7420</v>
      </c>
      <c r="G1508" t="s">
        <v>22179</v>
      </c>
      <c r="H1508" t="s">
        <v>26004</v>
      </c>
      <c r="I1508" s="26">
        <v>38604</v>
      </c>
      <c r="J1508">
        <v>2005</v>
      </c>
      <c r="K1508" t="s">
        <v>30113</v>
      </c>
      <c r="L1508">
        <v>305</v>
      </c>
      <c r="M1508" t="s">
        <v>31597</v>
      </c>
      <c r="N1508">
        <v>1</v>
      </c>
      <c r="Q1508" t="s">
        <v>31598</v>
      </c>
      <c r="R1508" t="s">
        <v>27731</v>
      </c>
      <c r="S1508" t="s">
        <v>31599</v>
      </c>
      <c r="T1508" t="s">
        <v>30</v>
      </c>
      <c r="U1508" t="s">
        <v>29407</v>
      </c>
      <c r="W1508" t="s">
        <v>28347</v>
      </c>
    </row>
    <row r="1509" spans="1:23" x14ac:dyDescent="0.35">
      <c r="A1509">
        <v>362718</v>
      </c>
      <c r="B1509" t="s">
        <v>31600</v>
      </c>
      <c r="C1509" t="str">
        <f>"9780253350725"</f>
        <v>9780253350725</v>
      </c>
      <c r="D1509" t="str">
        <f>"9780253000347"</f>
        <v>9780253000347</v>
      </c>
      <c r="E1509" t="s">
        <v>7540</v>
      </c>
      <c r="F1509" t="s">
        <v>7540</v>
      </c>
      <c r="G1509" t="s">
        <v>24303</v>
      </c>
      <c r="H1509" t="s">
        <v>26004</v>
      </c>
      <c r="I1509" s="26">
        <v>39580</v>
      </c>
      <c r="J1509">
        <v>2008</v>
      </c>
      <c r="K1509" t="s">
        <v>7540</v>
      </c>
      <c r="L1509">
        <v>464</v>
      </c>
      <c r="M1509" t="s">
        <v>31601</v>
      </c>
      <c r="N1509">
        <v>1</v>
      </c>
      <c r="Q1509" t="s">
        <v>31602</v>
      </c>
      <c r="R1509">
        <v>306</v>
      </c>
      <c r="S1509" t="s">
        <v>31603</v>
      </c>
      <c r="T1509" t="s">
        <v>30</v>
      </c>
      <c r="U1509" t="s">
        <v>26044</v>
      </c>
      <c r="W1509" t="s">
        <v>26009</v>
      </c>
    </row>
    <row r="1510" spans="1:23" x14ac:dyDescent="0.35">
      <c r="A1510">
        <v>363297</v>
      </c>
      <c r="B1510" t="s">
        <v>31604</v>
      </c>
      <c r="C1510" t="str">
        <f>"9781574412338"</f>
        <v>9781574412338</v>
      </c>
      <c r="D1510" t="str">
        <f>"9781574413861"</f>
        <v>9781574413861</v>
      </c>
      <c r="E1510" t="s">
        <v>30408</v>
      </c>
      <c r="F1510" t="s">
        <v>9754</v>
      </c>
      <c r="G1510" t="s">
        <v>23095</v>
      </c>
      <c r="H1510" t="s">
        <v>26004</v>
      </c>
      <c r="I1510" s="26">
        <v>39309</v>
      </c>
      <c r="J1510">
        <v>2007</v>
      </c>
      <c r="K1510" t="s">
        <v>9754</v>
      </c>
      <c r="L1510">
        <v>280</v>
      </c>
      <c r="M1510" t="s">
        <v>31605</v>
      </c>
      <c r="N1510">
        <v>1</v>
      </c>
      <c r="Q1510" t="s">
        <v>31606</v>
      </c>
      <c r="R1510" t="s">
        <v>31607</v>
      </c>
      <c r="S1510" t="s">
        <v>31608</v>
      </c>
      <c r="T1510" t="s">
        <v>30</v>
      </c>
      <c r="U1510" t="s">
        <v>366</v>
      </c>
      <c r="W1510" t="s">
        <v>26009</v>
      </c>
    </row>
    <row r="1511" spans="1:23" x14ac:dyDescent="0.35">
      <c r="A1511">
        <v>364673</v>
      </c>
      <c r="B1511" t="s">
        <v>8254</v>
      </c>
      <c r="C1511" t="str">
        <f>"9783110193275"</f>
        <v>9783110193275</v>
      </c>
      <c r="D1511" t="str">
        <f>"9783110207507"</f>
        <v>9783110207507</v>
      </c>
      <c r="E1511" t="s">
        <v>30630</v>
      </c>
      <c r="F1511" t="s">
        <v>7451</v>
      </c>
      <c r="G1511" t="s">
        <v>30631</v>
      </c>
      <c r="H1511" t="s">
        <v>30632</v>
      </c>
      <c r="I1511" s="26">
        <v>39342</v>
      </c>
      <c r="J1511">
        <v>2007</v>
      </c>
      <c r="K1511" t="s">
        <v>31609</v>
      </c>
      <c r="L1511">
        <v>474</v>
      </c>
      <c r="M1511" t="s">
        <v>31610</v>
      </c>
      <c r="N1511">
        <v>1</v>
      </c>
      <c r="O1511" t="s">
        <v>31611</v>
      </c>
      <c r="P1511">
        <v>35.1</v>
      </c>
      <c r="Q1511" t="s">
        <v>31612</v>
      </c>
      <c r="T1511" t="s">
        <v>30</v>
      </c>
      <c r="U1511" t="s">
        <v>28384</v>
      </c>
      <c r="W1511" t="s">
        <v>26009</v>
      </c>
    </row>
    <row r="1512" spans="1:23" x14ac:dyDescent="0.35">
      <c r="A1512">
        <v>364719</v>
      </c>
      <c r="B1512" t="s">
        <v>9917</v>
      </c>
      <c r="C1512" t="str">
        <f>"9783110196184"</f>
        <v>9783110196184</v>
      </c>
      <c r="D1512" t="str">
        <f>"9783110199116"</f>
        <v>9783110199116</v>
      </c>
      <c r="E1512" t="s">
        <v>30630</v>
      </c>
      <c r="F1512" t="s">
        <v>7451</v>
      </c>
      <c r="G1512" t="s">
        <v>30631</v>
      </c>
      <c r="H1512" t="s">
        <v>30632</v>
      </c>
      <c r="I1512" s="26">
        <v>39525</v>
      </c>
      <c r="J1512">
        <v>2008</v>
      </c>
      <c r="K1512" t="s">
        <v>31609</v>
      </c>
      <c r="L1512">
        <v>452</v>
      </c>
      <c r="M1512" t="s">
        <v>31613</v>
      </c>
      <c r="N1512">
        <v>1</v>
      </c>
      <c r="O1512" t="s">
        <v>31611</v>
      </c>
      <c r="P1512">
        <v>35.200000000000003</v>
      </c>
      <c r="S1512" t="s">
        <v>31614</v>
      </c>
      <c r="T1512" t="s">
        <v>30</v>
      </c>
      <c r="U1512" t="s">
        <v>28384</v>
      </c>
      <c r="W1512" t="s">
        <v>26009</v>
      </c>
    </row>
    <row r="1513" spans="1:23" x14ac:dyDescent="0.35">
      <c r="A1513">
        <v>364722</v>
      </c>
      <c r="B1513" t="s">
        <v>31615</v>
      </c>
      <c r="C1513" t="str">
        <f>"9783110195200"</f>
        <v>9783110195200</v>
      </c>
      <c r="D1513" t="str">
        <f>"9783110198829"</f>
        <v>9783110198829</v>
      </c>
      <c r="E1513" t="s">
        <v>30630</v>
      </c>
      <c r="F1513" t="s">
        <v>7451</v>
      </c>
      <c r="G1513" t="s">
        <v>30631</v>
      </c>
      <c r="H1513" t="s">
        <v>30632</v>
      </c>
      <c r="I1513" s="26">
        <v>39220</v>
      </c>
      <c r="J1513">
        <v>2007</v>
      </c>
      <c r="K1513" t="s">
        <v>31609</v>
      </c>
      <c r="L1513">
        <v>353</v>
      </c>
      <c r="M1513" t="s">
        <v>31616</v>
      </c>
      <c r="N1513">
        <v>1</v>
      </c>
      <c r="O1513" t="s">
        <v>31611</v>
      </c>
      <c r="P1513">
        <v>36</v>
      </c>
      <c r="Q1513" t="s">
        <v>31617</v>
      </c>
      <c r="R1513">
        <v>415</v>
      </c>
      <c r="S1513" t="s">
        <v>31618</v>
      </c>
      <c r="T1513" t="s">
        <v>30</v>
      </c>
      <c r="U1513" t="s">
        <v>28384</v>
      </c>
      <c r="W1513" t="s">
        <v>26009</v>
      </c>
    </row>
    <row r="1514" spans="1:23" x14ac:dyDescent="0.35">
      <c r="A1514">
        <v>365182</v>
      </c>
      <c r="B1514" t="s">
        <v>8508</v>
      </c>
      <c r="C1514" t="str">
        <f>"9780805841701"</f>
        <v>9780805841701</v>
      </c>
      <c r="D1514" t="str">
        <f>"9780203889756"</f>
        <v>9780203889756</v>
      </c>
      <c r="E1514" t="s">
        <v>26010</v>
      </c>
      <c r="F1514" t="s">
        <v>35</v>
      </c>
      <c r="G1514" t="s">
        <v>22190</v>
      </c>
      <c r="H1514" t="s">
        <v>26004</v>
      </c>
      <c r="I1514" s="26">
        <v>39730</v>
      </c>
      <c r="J1514">
        <v>2009</v>
      </c>
      <c r="K1514" t="s">
        <v>660</v>
      </c>
      <c r="L1514">
        <v>527</v>
      </c>
      <c r="M1514" t="s">
        <v>31619</v>
      </c>
      <c r="N1514">
        <v>1</v>
      </c>
      <c r="Q1514" t="s">
        <v>31620</v>
      </c>
      <c r="R1514">
        <v>305.3</v>
      </c>
      <c r="S1514" t="s">
        <v>8509</v>
      </c>
      <c r="T1514" t="s">
        <v>30</v>
      </c>
      <c r="U1514" t="s">
        <v>26044</v>
      </c>
      <c r="W1514" t="s">
        <v>26009</v>
      </c>
    </row>
    <row r="1515" spans="1:23" x14ac:dyDescent="0.35">
      <c r="A1515">
        <v>365186</v>
      </c>
      <c r="B1515" t="s">
        <v>31621</v>
      </c>
      <c r="C1515" t="str">
        <f>"9780415993357"</f>
        <v>9780415993357</v>
      </c>
      <c r="D1515" t="str">
        <f>"9780203889428"</f>
        <v>9780203889428</v>
      </c>
      <c r="E1515" t="s">
        <v>26010</v>
      </c>
      <c r="F1515" t="s">
        <v>35</v>
      </c>
      <c r="G1515" t="s">
        <v>26201</v>
      </c>
      <c r="H1515" t="s">
        <v>26004</v>
      </c>
      <c r="I1515" s="26">
        <v>39734</v>
      </c>
      <c r="J1515">
        <v>2009</v>
      </c>
      <c r="K1515" t="s">
        <v>26012</v>
      </c>
      <c r="L1515">
        <v>301</v>
      </c>
      <c r="M1515" t="s">
        <v>31622</v>
      </c>
      <c r="N1515">
        <v>1</v>
      </c>
      <c r="O1515" t="s">
        <v>31623</v>
      </c>
      <c r="Q1515" t="s">
        <v>31624</v>
      </c>
      <c r="R1515" t="s">
        <v>29813</v>
      </c>
      <c r="S1515" t="s">
        <v>31625</v>
      </c>
      <c r="T1515" t="s">
        <v>30</v>
      </c>
      <c r="U1515" t="s">
        <v>26019</v>
      </c>
      <c r="W1515" t="s">
        <v>26009</v>
      </c>
    </row>
    <row r="1516" spans="1:23" x14ac:dyDescent="0.35">
      <c r="A1516">
        <v>366367</v>
      </c>
      <c r="B1516" t="s">
        <v>7994</v>
      </c>
      <c r="C1516" t="str">
        <f>"9780805839982"</f>
        <v>9780805839982</v>
      </c>
      <c r="D1516" t="str">
        <f>"9781410609205"</f>
        <v>9781410609205</v>
      </c>
      <c r="E1516" t="s">
        <v>26010</v>
      </c>
      <c r="F1516" t="s">
        <v>35</v>
      </c>
      <c r="G1516" t="s">
        <v>22436</v>
      </c>
      <c r="H1516" t="s">
        <v>26004</v>
      </c>
      <c r="I1516" s="26">
        <v>37742</v>
      </c>
      <c r="J1516">
        <v>2003</v>
      </c>
      <c r="K1516" t="s">
        <v>26012</v>
      </c>
      <c r="L1516">
        <v>338</v>
      </c>
      <c r="M1516" t="s">
        <v>31626</v>
      </c>
      <c r="N1516">
        <v>1</v>
      </c>
      <c r="O1516" t="s">
        <v>31627</v>
      </c>
      <c r="Q1516" t="s">
        <v>31628</v>
      </c>
      <c r="R1516" t="s">
        <v>26873</v>
      </c>
      <c r="S1516" t="s">
        <v>7995</v>
      </c>
      <c r="T1516" t="s">
        <v>30</v>
      </c>
      <c r="U1516" t="s">
        <v>46</v>
      </c>
      <c r="W1516" t="s">
        <v>26009</v>
      </c>
    </row>
    <row r="1517" spans="1:23" x14ac:dyDescent="0.35">
      <c r="A1517">
        <v>366687</v>
      </c>
      <c r="B1517" t="s">
        <v>7569</v>
      </c>
      <c r="C1517" t="str">
        <f>"9781843108689"</f>
        <v>9781843108689</v>
      </c>
      <c r="D1517" t="str">
        <f>"9781846428395"</f>
        <v>9781846428395</v>
      </c>
      <c r="E1517" t="s">
        <v>146</v>
      </c>
      <c r="F1517" t="s">
        <v>146</v>
      </c>
      <c r="G1517" t="s">
        <v>22174</v>
      </c>
      <c r="H1517" t="s">
        <v>26011</v>
      </c>
      <c r="I1517" s="26">
        <v>39736</v>
      </c>
      <c r="J1517">
        <v>2008</v>
      </c>
      <c r="K1517" t="s">
        <v>146</v>
      </c>
      <c r="L1517">
        <v>339</v>
      </c>
      <c r="M1517" t="s">
        <v>31629</v>
      </c>
      <c r="N1517">
        <v>1</v>
      </c>
      <c r="R1517" t="s">
        <v>27110</v>
      </c>
      <c r="T1517" t="s">
        <v>30</v>
      </c>
      <c r="U1517" t="s">
        <v>26040</v>
      </c>
      <c r="W1517" t="s">
        <v>28347</v>
      </c>
    </row>
    <row r="1518" spans="1:23" x14ac:dyDescent="0.35">
      <c r="A1518">
        <v>366688</v>
      </c>
      <c r="B1518" t="s">
        <v>7745</v>
      </c>
      <c r="C1518" t="str">
        <f>"9781843106685"</f>
        <v>9781843106685</v>
      </c>
      <c r="D1518" t="str">
        <f>"9781846428456"</f>
        <v>9781846428456</v>
      </c>
      <c r="E1518" t="s">
        <v>146</v>
      </c>
      <c r="F1518" t="s">
        <v>146</v>
      </c>
      <c r="G1518" t="s">
        <v>22174</v>
      </c>
      <c r="H1518" t="s">
        <v>26011</v>
      </c>
      <c r="I1518" s="26">
        <v>39706</v>
      </c>
      <c r="J1518">
        <v>2008</v>
      </c>
      <c r="K1518" t="s">
        <v>146</v>
      </c>
      <c r="L1518">
        <v>162</v>
      </c>
      <c r="M1518" t="s">
        <v>31630</v>
      </c>
      <c r="N1518">
        <v>1</v>
      </c>
      <c r="R1518">
        <v>616.85260000000005</v>
      </c>
      <c r="S1518" t="s">
        <v>31631</v>
      </c>
      <c r="T1518" t="s">
        <v>30</v>
      </c>
      <c r="U1518" t="s">
        <v>26040</v>
      </c>
      <c r="W1518" t="s">
        <v>28347</v>
      </c>
    </row>
    <row r="1519" spans="1:23" x14ac:dyDescent="0.35">
      <c r="A1519">
        <v>366690</v>
      </c>
      <c r="B1519" t="s">
        <v>31632</v>
      </c>
      <c r="C1519" t="str">
        <f>"9781843106043"</f>
        <v>9781843106043</v>
      </c>
      <c r="D1519" t="str">
        <f>"9781846428296"</f>
        <v>9781846428296</v>
      </c>
      <c r="E1519" t="s">
        <v>146</v>
      </c>
      <c r="F1519" t="s">
        <v>146</v>
      </c>
      <c r="G1519" t="s">
        <v>22174</v>
      </c>
      <c r="H1519" t="s">
        <v>26011</v>
      </c>
      <c r="I1519" s="26">
        <v>39644</v>
      </c>
      <c r="J1519">
        <v>2008</v>
      </c>
      <c r="K1519" t="s">
        <v>146</v>
      </c>
      <c r="L1519">
        <v>161</v>
      </c>
      <c r="M1519" t="s">
        <v>31633</v>
      </c>
      <c r="N1519">
        <v>1</v>
      </c>
      <c r="Q1519" t="s">
        <v>31634</v>
      </c>
      <c r="R1519" t="s">
        <v>29251</v>
      </c>
      <c r="T1519" t="s">
        <v>30</v>
      </c>
      <c r="U1519" t="s">
        <v>26116</v>
      </c>
      <c r="W1519" t="s">
        <v>28347</v>
      </c>
    </row>
    <row r="1520" spans="1:23" x14ac:dyDescent="0.35">
      <c r="A1520">
        <v>366692</v>
      </c>
      <c r="B1520" t="s">
        <v>31635</v>
      </c>
      <c r="C1520" t="str">
        <f>"9781853028663"</f>
        <v>9781853028663</v>
      </c>
      <c r="D1520" t="str">
        <f>"9781846428425"</f>
        <v>9781846428425</v>
      </c>
      <c r="E1520" t="s">
        <v>146</v>
      </c>
      <c r="F1520" t="s">
        <v>146</v>
      </c>
      <c r="G1520" t="s">
        <v>22174</v>
      </c>
      <c r="H1520" t="s">
        <v>26011</v>
      </c>
      <c r="I1520" s="26">
        <v>39706</v>
      </c>
      <c r="J1520">
        <v>2008</v>
      </c>
      <c r="K1520" t="s">
        <v>146</v>
      </c>
      <c r="L1520">
        <v>179</v>
      </c>
      <c r="M1520" t="s">
        <v>31636</v>
      </c>
      <c r="N1520">
        <v>1</v>
      </c>
      <c r="Q1520" t="s">
        <v>31637</v>
      </c>
      <c r="R1520">
        <v>616.34199999999998</v>
      </c>
      <c r="S1520" t="s">
        <v>31638</v>
      </c>
      <c r="T1520" t="s">
        <v>30</v>
      </c>
      <c r="U1520" t="s">
        <v>26040</v>
      </c>
      <c r="W1520" t="s">
        <v>28347</v>
      </c>
    </row>
    <row r="1521" spans="1:23" x14ac:dyDescent="0.35">
      <c r="A1521">
        <v>366693</v>
      </c>
      <c r="B1521" t="s">
        <v>8007</v>
      </c>
      <c r="C1521" t="str">
        <f>"9781843105442"</f>
        <v>9781843105442</v>
      </c>
      <c r="D1521" t="str">
        <f>"9781846428319"</f>
        <v>9781846428319</v>
      </c>
      <c r="E1521" t="s">
        <v>146</v>
      </c>
      <c r="F1521" t="s">
        <v>146</v>
      </c>
      <c r="G1521" t="s">
        <v>22174</v>
      </c>
      <c r="H1521" t="s">
        <v>26011</v>
      </c>
      <c r="I1521" s="26">
        <v>39675</v>
      </c>
      <c r="J1521">
        <v>2008</v>
      </c>
      <c r="K1521" t="s">
        <v>146</v>
      </c>
      <c r="L1521">
        <v>148</v>
      </c>
      <c r="M1521" t="s">
        <v>31639</v>
      </c>
      <c r="N1521">
        <v>1</v>
      </c>
      <c r="T1521" t="s">
        <v>30</v>
      </c>
      <c r="U1521" t="s">
        <v>26228</v>
      </c>
      <c r="W1521" t="s">
        <v>28347</v>
      </c>
    </row>
    <row r="1522" spans="1:23" x14ac:dyDescent="0.35">
      <c r="A1522">
        <v>366695</v>
      </c>
      <c r="B1522" t="s">
        <v>31640</v>
      </c>
      <c r="C1522" t="str">
        <f>"9781843106678"</f>
        <v>9781843106678</v>
      </c>
      <c r="D1522" t="str">
        <f>"9781846428333"</f>
        <v>9781846428333</v>
      </c>
      <c r="E1522" t="s">
        <v>146</v>
      </c>
      <c r="F1522" t="s">
        <v>146</v>
      </c>
      <c r="G1522" t="s">
        <v>22174</v>
      </c>
      <c r="H1522" t="s">
        <v>26011</v>
      </c>
      <c r="I1522" s="26">
        <v>39675</v>
      </c>
      <c r="J1522">
        <v>2008</v>
      </c>
      <c r="K1522" t="s">
        <v>146</v>
      </c>
      <c r="L1522">
        <v>273</v>
      </c>
      <c r="M1522" t="s">
        <v>31641</v>
      </c>
      <c r="N1522">
        <v>1</v>
      </c>
      <c r="R1522" t="s">
        <v>26759</v>
      </c>
      <c r="T1522" t="s">
        <v>30</v>
      </c>
      <c r="U1522" t="s">
        <v>46</v>
      </c>
      <c r="W1522" t="s">
        <v>28347</v>
      </c>
    </row>
    <row r="1523" spans="1:23" x14ac:dyDescent="0.35">
      <c r="A1523">
        <v>366697</v>
      </c>
      <c r="B1523" t="s">
        <v>31642</v>
      </c>
      <c r="C1523" t="str">
        <f>"9781843108894"</f>
        <v>9781843108894</v>
      </c>
      <c r="D1523" t="str">
        <f>"9781846428418"</f>
        <v>9781846428418</v>
      </c>
      <c r="E1523" t="s">
        <v>146</v>
      </c>
      <c r="F1523" t="s">
        <v>146</v>
      </c>
      <c r="G1523" t="s">
        <v>22174</v>
      </c>
      <c r="H1523" t="s">
        <v>26011</v>
      </c>
      <c r="I1523" s="26">
        <v>39736</v>
      </c>
      <c r="J1523">
        <v>2008</v>
      </c>
      <c r="K1523" t="s">
        <v>146</v>
      </c>
      <c r="L1523">
        <v>218</v>
      </c>
      <c r="M1523" t="s">
        <v>31643</v>
      </c>
      <c r="N1523">
        <v>1</v>
      </c>
      <c r="Q1523" t="s">
        <v>31644</v>
      </c>
      <c r="R1523">
        <v>618.92891559999998</v>
      </c>
      <c r="S1523" t="s">
        <v>31645</v>
      </c>
      <c r="T1523" t="s">
        <v>30</v>
      </c>
      <c r="U1523" t="s">
        <v>26019</v>
      </c>
      <c r="W1523" t="s">
        <v>28347</v>
      </c>
    </row>
    <row r="1524" spans="1:23" x14ac:dyDescent="0.35">
      <c r="A1524">
        <v>366699</v>
      </c>
      <c r="B1524" t="s">
        <v>31646</v>
      </c>
      <c r="C1524" t="str">
        <f>"9781843106647"</f>
        <v>9781843106647</v>
      </c>
      <c r="D1524" t="str">
        <f>"9781846428340"</f>
        <v>9781846428340</v>
      </c>
      <c r="E1524" t="s">
        <v>146</v>
      </c>
      <c r="F1524" t="s">
        <v>146</v>
      </c>
      <c r="G1524" t="s">
        <v>22174</v>
      </c>
      <c r="H1524" t="s">
        <v>26011</v>
      </c>
      <c r="I1524" s="26">
        <v>39675</v>
      </c>
      <c r="J1524">
        <v>2008</v>
      </c>
      <c r="K1524" t="s">
        <v>146</v>
      </c>
      <c r="L1524">
        <v>130</v>
      </c>
      <c r="M1524" t="s">
        <v>31647</v>
      </c>
      <c r="N1524">
        <v>1</v>
      </c>
      <c r="Q1524" t="s">
        <v>31648</v>
      </c>
      <c r="R1524">
        <v>371.94</v>
      </c>
      <c r="S1524" t="s">
        <v>31649</v>
      </c>
      <c r="T1524" t="s">
        <v>30</v>
      </c>
      <c r="U1524" t="s">
        <v>337</v>
      </c>
      <c r="W1524" t="s">
        <v>28347</v>
      </c>
    </row>
    <row r="1525" spans="1:23" x14ac:dyDescent="0.35">
      <c r="A1525">
        <v>366702</v>
      </c>
      <c r="B1525" t="s">
        <v>31650</v>
      </c>
      <c r="C1525" t="str">
        <f>"9781843106654"</f>
        <v>9781843106654</v>
      </c>
      <c r="D1525" t="str">
        <f>"9781846428289"</f>
        <v>9781846428289</v>
      </c>
      <c r="E1525" t="s">
        <v>146</v>
      </c>
      <c r="F1525" t="s">
        <v>146</v>
      </c>
      <c r="G1525" t="s">
        <v>22174</v>
      </c>
      <c r="H1525" t="s">
        <v>26011</v>
      </c>
      <c r="I1525" s="26">
        <v>39644</v>
      </c>
      <c r="J1525">
        <v>2008</v>
      </c>
      <c r="K1525" t="s">
        <v>146</v>
      </c>
      <c r="L1525">
        <v>161</v>
      </c>
      <c r="M1525" t="s">
        <v>31651</v>
      </c>
      <c r="N1525">
        <v>1</v>
      </c>
      <c r="Q1525" t="s">
        <v>31652</v>
      </c>
      <c r="S1525" t="s">
        <v>31653</v>
      </c>
      <c r="T1525" t="s">
        <v>30</v>
      </c>
      <c r="U1525" t="s">
        <v>26040</v>
      </c>
      <c r="W1525" t="s">
        <v>28347</v>
      </c>
    </row>
    <row r="1526" spans="1:23" x14ac:dyDescent="0.35">
      <c r="A1526">
        <v>366707</v>
      </c>
      <c r="B1526" t="s">
        <v>31654</v>
      </c>
      <c r="C1526" t="str">
        <f>"9781843108764"</f>
        <v>9781843108764</v>
      </c>
      <c r="D1526" t="str">
        <f>"9781846428449"</f>
        <v>9781846428449</v>
      </c>
      <c r="E1526" t="s">
        <v>146</v>
      </c>
      <c r="F1526" t="s">
        <v>146</v>
      </c>
      <c r="G1526" t="s">
        <v>22174</v>
      </c>
      <c r="H1526" t="s">
        <v>26011</v>
      </c>
      <c r="I1526" s="26">
        <v>39706</v>
      </c>
      <c r="J1526">
        <v>2008</v>
      </c>
      <c r="K1526" t="s">
        <v>146</v>
      </c>
      <c r="L1526">
        <v>210</v>
      </c>
      <c r="M1526" t="s">
        <v>31655</v>
      </c>
      <c r="N1526">
        <v>1</v>
      </c>
      <c r="T1526" t="s">
        <v>30</v>
      </c>
      <c r="U1526" t="s">
        <v>29259</v>
      </c>
      <c r="W1526" t="s">
        <v>28347</v>
      </c>
    </row>
    <row r="1527" spans="1:23" x14ac:dyDescent="0.35">
      <c r="A1527">
        <v>366710</v>
      </c>
      <c r="B1527" t="s">
        <v>31656</v>
      </c>
      <c r="C1527" t="str">
        <f>"9781843106784"</f>
        <v>9781843106784</v>
      </c>
      <c r="D1527" t="str">
        <f>"9781846428494"</f>
        <v>9781846428494</v>
      </c>
      <c r="E1527" t="s">
        <v>146</v>
      </c>
      <c r="F1527" t="s">
        <v>146</v>
      </c>
      <c r="G1527" t="s">
        <v>22174</v>
      </c>
      <c r="H1527" t="s">
        <v>26011</v>
      </c>
      <c r="I1527" s="26">
        <v>39706</v>
      </c>
      <c r="J1527">
        <v>2008</v>
      </c>
      <c r="K1527" t="s">
        <v>146</v>
      </c>
      <c r="L1527">
        <v>194</v>
      </c>
      <c r="M1527" t="s">
        <v>31657</v>
      </c>
      <c r="N1527">
        <v>1</v>
      </c>
      <c r="R1527">
        <v>616.029</v>
      </c>
      <c r="T1527" t="s">
        <v>30</v>
      </c>
      <c r="U1527" t="s">
        <v>26040</v>
      </c>
      <c r="W1527" t="s">
        <v>28347</v>
      </c>
    </row>
    <row r="1528" spans="1:23" x14ac:dyDescent="0.35">
      <c r="A1528">
        <v>366712</v>
      </c>
      <c r="B1528" t="s">
        <v>31658</v>
      </c>
      <c r="C1528" t="str">
        <f>"9781843106432"</f>
        <v>9781843106432</v>
      </c>
      <c r="D1528" t="str">
        <f>"9781846428388"</f>
        <v>9781846428388</v>
      </c>
      <c r="E1528" t="s">
        <v>146</v>
      </c>
      <c r="F1528" t="s">
        <v>146</v>
      </c>
      <c r="G1528" t="s">
        <v>22174</v>
      </c>
      <c r="H1528" t="s">
        <v>26011</v>
      </c>
      <c r="I1528" s="26">
        <v>39675</v>
      </c>
      <c r="J1528">
        <v>2008</v>
      </c>
      <c r="K1528" t="s">
        <v>146</v>
      </c>
      <c r="L1528">
        <v>258</v>
      </c>
      <c r="M1528" t="s">
        <v>31659</v>
      </c>
      <c r="N1528">
        <v>1</v>
      </c>
      <c r="R1528" t="s">
        <v>29630</v>
      </c>
      <c r="T1528" t="s">
        <v>30</v>
      </c>
      <c r="U1528" t="s">
        <v>26040</v>
      </c>
      <c r="W1528" t="s">
        <v>28347</v>
      </c>
    </row>
    <row r="1529" spans="1:23" x14ac:dyDescent="0.35">
      <c r="A1529">
        <v>366714</v>
      </c>
      <c r="B1529" t="s">
        <v>10134</v>
      </c>
      <c r="C1529" t="str">
        <f>"9781843106739"</f>
        <v>9781843106739</v>
      </c>
      <c r="D1529" t="str">
        <f>"9781846428234"</f>
        <v>9781846428234</v>
      </c>
      <c r="E1529" t="s">
        <v>146</v>
      </c>
      <c r="F1529" t="s">
        <v>146</v>
      </c>
      <c r="G1529" t="s">
        <v>22174</v>
      </c>
      <c r="H1529" t="s">
        <v>26011</v>
      </c>
      <c r="I1529" s="26">
        <v>39644</v>
      </c>
      <c r="J1529">
        <v>2008</v>
      </c>
      <c r="K1529" t="s">
        <v>146</v>
      </c>
      <c r="L1529">
        <v>82</v>
      </c>
      <c r="M1529" t="s">
        <v>31660</v>
      </c>
      <c r="N1529">
        <v>1</v>
      </c>
      <c r="O1529" t="s">
        <v>29180</v>
      </c>
      <c r="Q1529" t="s">
        <v>31661</v>
      </c>
      <c r="T1529" t="s">
        <v>30</v>
      </c>
      <c r="U1529" t="s">
        <v>46</v>
      </c>
      <c r="W1529" t="s">
        <v>28347</v>
      </c>
    </row>
    <row r="1530" spans="1:23" x14ac:dyDescent="0.35">
      <c r="A1530">
        <v>367071</v>
      </c>
      <c r="B1530" t="s">
        <v>31662</v>
      </c>
      <c r="C1530" t="str">
        <f>"9780521879477"</f>
        <v>9780521879477</v>
      </c>
      <c r="D1530" t="str">
        <f>"9780511436062"</f>
        <v>9780511436062</v>
      </c>
      <c r="E1530" t="s">
        <v>167</v>
      </c>
      <c r="F1530" t="s">
        <v>167</v>
      </c>
      <c r="G1530" t="s">
        <v>22179</v>
      </c>
      <c r="H1530" t="s">
        <v>26004</v>
      </c>
      <c r="I1530" s="26">
        <v>39678</v>
      </c>
      <c r="J1530">
        <v>2008</v>
      </c>
      <c r="K1530" t="s">
        <v>167</v>
      </c>
      <c r="L1530">
        <v>304</v>
      </c>
      <c r="M1530" t="s">
        <v>31663</v>
      </c>
      <c r="N1530">
        <v>1</v>
      </c>
      <c r="Q1530" t="s">
        <v>31664</v>
      </c>
      <c r="R1530" t="s">
        <v>27831</v>
      </c>
      <c r="S1530" t="s">
        <v>8232</v>
      </c>
      <c r="T1530" t="s">
        <v>30</v>
      </c>
      <c r="U1530" t="s">
        <v>26116</v>
      </c>
      <c r="W1530" t="s">
        <v>26020</v>
      </c>
    </row>
    <row r="1531" spans="1:23" x14ac:dyDescent="0.35">
      <c r="A1531">
        <v>367073</v>
      </c>
      <c r="B1531" t="s">
        <v>31665</v>
      </c>
      <c r="C1531" t="str">
        <f>"9780521880435"</f>
        <v>9780521880435</v>
      </c>
      <c r="D1531" t="str">
        <f>"9780511436406"</f>
        <v>9780511436406</v>
      </c>
      <c r="E1531" t="s">
        <v>167</v>
      </c>
      <c r="F1531" t="s">
        <v>167</v>
      </c>
      <c r="G1531" t="s">
        <v>22179</v>
      </c>
      <c r="H1531" t="s">
        <v>26004</v>
      </c>
      <c r="I1531" s="26">
        <v>39762</v>
      </c>
      <c r="J1531">
        <v>2008</v>
      </c>
      <c r="K1531" t="s">
        <v>167</v>
      </c>
      <c r="L1531">
        <v>512</v>
      </c>
      <c r="M1531" t="s">
        <v>31666</v>
      </c>
      <c r="N1531">
        <v>1</v>
      </c>
      <c r="O1531" t="s">
        <v>31667</v>
      </c>
      <c r="Q1531" t="s">
        <v>31668</v>
      </c>
      <c r="R1531" t="s">
        <v>27603</v>
      </c>
      <c r="S1531" t="s">
        <v>31669</v>
      </c>
      <c r="T1531" t="s">
        <v>30</v>
      </c>
      <c r="U1531" t="s">
        <v>26044</v>
      </c>
      <c r="W1531" t="s">
        <v>26020</v>
      </c>
    </row>
    <row r="1532" spans="1:23" x14ac:dyDescent="0.35">
      <c r="A1532">
        <v>368677</v>
      </c>
      <c r="B1532" t="s">
        <v>31670</v>
      </c>
      <c r="C1532" t="str">
        <f>"9781842779804"</f>
        <v>9781842779804</v>
      </c>
      <c r="D1532" t="str">
        <f>"9781848133426"</f>
        <v>9781848133426</v>
      </c>
      <c r="E1532" t="s">
        <v>31671</v>
      </c>
      <c r="F1532" t="s">
        <v>7474</v>
      </c>
      <c r="G1532" t="s">
        <v>22174</v>
      </c>
      <c r="H1532" t="s">
        <v>26011</v>
      </c>
      <c r="I1532" s="26">
        <v>39563</v>
      </c>
      <c r="J1532">
        <v>2008</v>
      </c>
      <c r="K1532" t="s">
        <v>31672</v>
      </c>
      <c r="L1532">
        <v>234</v>
      </c>
      <c r="M1532" t="s">
        <v>31673</v>
      </c>
      <c r="N1532">
        <v>1</v>
      </c>
      <c r="Q1532" t="s">
        <v>31674</v>
      </c>
      <c r="R1532">
        <v>327.10820000000001</v>
      </c>
      <c r="S1532" t="s">
        <v>31675</v>
      </c>
      <c r="T1532" t="s">
        <v>30</v>
      </c>
      <c r="U1532" t="s">
        <v>5222</v>
      </c>
      <c r="W1532" t="s">
        <v>28347</v>
      </c>
    </row>
    <row r="1533" spans="1:23" x14ac:dyDescent="0.35">
      <c r="A1533">
        <v>369496</v>
      </c>
      <c r="B1533" t="s">
        <v>10120</v>
      </c>
      <c r="C1533" t="str">
        <f>"9780335222834"</f>
        <v>9780335222834</v>
      </c>
      <c r="D1533" t="str">
        <f>"9780335236381"</f>
        <v>9780335236381</v>
      </c>
      <c r="E1533" t="s">
        <v>29061</v>
      </c>
      <c r="F1533" t="s">
        <v>7477</v>
      </c>
      <c r="G1533" t="s">
        <v>29068</v>
      </c>
      <c r="H1533" t="s">
        <v>26011</v>
      </c>
      <c r="I1533" s="26">
        <v>39661</v>
      </c>
      <c r="J1533">
        <v>2008</v>
      </c>
      <c r="K1533" t="s">
        <v>29063</v>
      </c>
      <c r="L1533">
        <v>223</v>
      </c>
      <c r="M1533" t="s">
        <v>31676</v>
      </c>
      <c r="N1533">
        <v>1</v>
      </c>
      <c r="O1533" t="s">
        <v>29065</v>
      </c>
      <c r="T1533" t="s">
        <v>30</v>
      </c>
      <c r="U1533" t="s">
        <v>26040</v>
      </c>
      <c r="W1533" t="s">
        <v>26009</v>
      </c>
    </row>
    <row r="1534" spans="1:23" x14ac:dyDescent="0.35">
      <c r="A1534">
        <v>369503</v>
      </c>
      <c r="B1534" t="s">
        <v>10217</v>
      </c>
      <c r="C1534" t="str">
        <f>"9780335222223"</f>
        <v>9780335222223</v>
      </c>
      <c r="D1534" t="str">
        <f>"9780335236459"</f>
        <v>9780335236459</v>
      </c>
      <c r="E1534" t="s">
        <v>29061</v>
      </c>
      <c r="F1534" t="s">
        <v>7477</v>
      </c>
      <c r="G1534" t="s">
        <v>29068</v>
      </c>
      <c r="H1534" t="s">
        <v>26011</v>
      </c>
      <c r="I1534" s="26">
        <v>39661</v>
      </c>
      <c r="J1534">
        <v>2008</v>
      </c>
      <c r="K1534" t="s">
        <v>29063</v>
      </c>
      <c r="L1534">
        <v>199</v>
      </c>
      <c r="M1534" t="s">
        <v>31677</v>
      </c>
      <c r="N1534">
        <v>1</v>
      </c>
      <c r="O1534" t="s">
        <v>31678</v>
      </c>
      <c r="T1534" t="s">
        <v>30</v>
      </c>
      <c r="U1534" t="s">
        <v>337</v>
      </c>
      <c r="W1534" t="s">
        <v>26009</v>
      </c>
    </row>
    <row r="1535" spans="1:23" x14ac:dyDescent="0.35">
      <c r="A1535">
        <v>370489</v>
      </c>
      <c r="B1535" t="s">
        <v>7647</v>
      </c>
      <c r="C1535" t="str">
        <f>"9780761964308"</f>
        <v>9780761964308</v>
      </c>
      <c r="D1535" t="str">
        <f>"9781848608603"</f>
        <v>9781848608603</v>
      </c>
      <c r="E1535" t="s">
        <v>28007</v>
      </c>
      <c r="F1535" t="s">
        <v>7430</v>
      </c>
      <c r="G1535" t="s">
        <v>22174</v>
      </c>
      <c r="H1535" t="s">
        <v>26011</v>
      </c>
      <c r="I1535" s="26">
        <v>37245</v>
      </c>
      <c r="J1535">
        <v>2001</v>
      </c>
      <c r="K1535" t="s">
        <v>7430</v>
      </c>
      <c r="L1535">
        <v>199</v>
      </c>
      <c r="M1535" t="s">
        <v>31679</v>
      </c>
      <c r="N1535">
        <v>1</v>
      </c>
      <c r="Q1535" t="s">
        <v>31680</v>
      </c>
      <c r="R1535">
        <v>158.30000000000001</v>
      </c>
      <c r="S1535" t="s">
        <v>7648</v>
      </c>
      <c r="T1535" t="s">
        <v>30</v>
      </c>
      <c r="U1535" t="s">
        <v>46</v>
      </c>
      <c r="W1535" t="s">
        <v>26009</v>
      </c>
    </row>
    <row r="1536" spans="1:23" x14ac:dyDescent="0.35">
      <c r="A1536">
        <v>370492</v>
      </c>
      <c r="B1536" t="s">
        <v>7547</v>
      </c>
      <c r="C1536" t="str">
        <f>"9781412922883"</f>
        <v>9781412922883</v>
      </c>
      <c r="D1536" t="str">
        <f>"9781848607606"</f>
        <v>9781848607606</v>
      </c>
      <c r="E1536" t="s">
        <v>28007</v>
      </c>
      <c r="F1536" t="s">
        <v>7430</v>
      </c>
      <c r="G1536" t="s">
        <v>22174</v>
      </c>
      <c r="H1536" t="s">
        <v>26011</v>
      </c>
      <c r="I1536" s="26">
        <v>39343</v>
      </c>
      <c r="J1536">
        <v>2007</v>
      </c>
      <c r="K1536" t="s">
        <v>7430</v>
      </c>
      <c r="L1536">
        <v>355</v>
      </c>
      <c r="M1536" t="s">
        <v>31681</v>
      </c>
      <c r="N1536">
        <v>1</v>
      </c>
      <c r="Q1536" t="s">
        <v>31682</v>
      </c>
      <c r="R1536">
        <v>363.70699999999999</v>
      </c>
      <c r="S1536" t="s">
        <v>7548</v>
      </c>
      <c r="T1536" t="s">
        <v>30</v>
      </c>
      <c r="U1536" t="s">
        <v>26429</v>
      </c>
      <c r="W1536" t="s">
        <v>26009</v>
      </c>
    </row>
    <row r="1537" spans="1:23" x14ac:dyDescent="0.35">
      <c r="A1537">
        <v>370499</v>
      </c>
      <c r="B1537" t="s">
        <v>31683</v>
      </c>
      <c r="C1537" t="str">
        <f>"9781412923811"</f>
        <v>9781412923811</v>
      </c>
      <c r="D1537" t="str">
        <f>"9781848607545"</f>
        <v>9781848607545</v>
      </c>
      <c r="E1537" t="s">
        <v>28007</v>
      </c>
      <c r="F1537" t="s">
        <v>7430</v>
      </c>
      <c r="G1537" t="s">
        <v>22174</v>
      </c>
      <c r="H1537" t="s">
        <v>26011</v>
      </c>
      <c r="I1537" s="26">
        <v>39370</v>
      </c>
      <c r="J1537">
        <v>2007</v>
      </c>
      <c r="K1537" t="s">
        <v>7430</v>
      </c>
      <c r="L1537">
        <v>169</v>
      </c>
      <c r="M1537" t="s">
        <v>31684</v>
      </c>
      <c r="N1537">
        <v>1</v>
      </c>
      <c r="Q1537" t="s">
        <v>31685</v>
      </c>
      <c r="R1537">
        <v>362.19685881999999</v>
      </c>
      <c r="S1537" t="s">
        <v>8240</v>
      </c>
      <c r="T1537" t="s">
        <v>30</v>
      </c>
      <c r="U1537" t="s">
        <v>29209</v>
      </c>
      <c r="W1537" t="s">
        <v>26009</v>
      </c>
    </row>
    <row r="1538" spans="1:23" x14ac:dyDescent="0.35">
      <c r="A1538">
        <v>370513</v>
      </c>
      <c r="B1538" t="s">
        <v>8933</v>
      </c>
      <c r="C1538" t="str">
        <f>"9780761943068"</f>
        <v>9780761943068</v>
      </c>
      <c r="D1538" t="str">
        <f>"9781848607590"</f>
        <v>9781848607590</v>
      </c>
      <c r="E1538" t="s">
        <v>28007</v>
      </c>
      <c r="F1538" t="s">
        <v>7430</v>
      </c>
      <c r="G1538" t="s">
        <v>22174</v>
      </c>
      <c r="H1538" t="s">
        <v>26011</v>
      </c>
      <c r="I1538" s="26">
        <v>39304</v>
      </c>
      <c r="J1538">
        <v>2007</v>
      </c>
      <c r="K1538" t="s">
        <v>7430</v>
      </c>
      <c r="L1538">
        <v>209</v>
      </c>
      <c r="M1538" t="s">
        <v>31686</v>
      </c>
      <c r="N1538">
        <v>1</v>
      </c>
      <c r="O1538" t="s">
        <v>31687</v>
      </c>
      <c r="Q1538" t="s">
        <v>31688</v>
      </c>
      <c r="R1538">
        <v>306.42</v>
      </c>
      <c r="S1538" t="s">
        <v>8934</v>
      </c>
      <c r="T1538" t="s">
        <v>30</v>
      </c>
      <c r="U1538" t="s">
        <v>26044</v>
      </c>
      <c r="W1538" t="s">
        <v>26009</v>
      </c>
    </row>
    <row r="1539" spans="1:23" x14ac:dyDescent="0.35">
      <c r="A1539">
        <v>370518</v>
      </c>
      <c r="B1539" t="s">
        <v>9069</v>
      </c>
      <c r="C1539" t="str">
        <f>"9781412923996"</f>
        <v>9781412923996</v>
      </c>
      <c r="D1539" t="str">
        <f>"9781848607552"</f>
        <v>9781848607552</v>
      </c>
      <c r="E1539" t="s">
        <v>28007</v>
      </c>
      <c r="F1539" t="s">
        <v>7430</v>
      </c>
      <c r="G1539" t="s">
        <v>22174</v>
      </c>
      <c r="H1539" t="s">
        <v>26011</v>
      </c>
      <c r="I1539" s="26">
        <v>39370</v>
      </c>
      <c r="J1539">
        <v>2008</v>
      </c>
      <c r="K1539" t="s">
        <v>7430</v>
      </c>
      <c r="L1539">
        <v>147</v>
      </c>
      <c r="M1539" t="s">
        <v>31689</v>
      </c>
      <c r="N1539">
        <v>2</v>
      </c>
      <c r="O1539" t="s">
        <v>28068</v>
      </c>
      <c r="Q1539" t="s">
        <v>31690</v>
      </c>
      <c r="R1539">
        <v>361.06</v>
      </c>
      <c r="S1539" t="s">
        <v>9070</v>
      </c>
      <c r="T1539" t="s">
        <v>30</v>
      </c>
      <c r="U1539" t="s">
        <v>26170</v>
      </c>
      <c r="W1539" t="s">
        <v>26009</v>
      </c>
    </row>
    <row r="1540" spans="1:23" x14ac:dyDescent="0.35">
      <c r="A1540">
        <v>370526</v>
      </c>
      <c r="B1540" t="s">
        <v>9860</v>
      </c>
      <c r="C1540" t="str">
        <f>"9780761956969"</f>
        <v>9780761956969</v>
      </c>
      <c r="D1540" t="str">
        <f>"9781848608597"</f>
        <v>9781848608597</v>
      </c>
      <c r="E1540" t="s">
        <v>28007</v>
      </c>
      <c r="F1540" t="s">
        <v>7430</v>
      </c>
      <c r="G1540" t="s">
        <v>22174</v>
      </c>
      <c r="H1540" t="s">
        <v>26011</v>
      </c>
      <c r="I1540" s="26">
        <v>37461</v>
      </c>
      <c r="J1540">
        <v>2002</v>
      </c>
      <c r="K1540" t="s">
        <v>7430</v>
      </c>
      <c r="L1540">
        <v>199</v>
      </c>
      <c r="M1540" t="s">
        <v>31438</v>
      </c>
      <c r="N1540">
        <v>1</v>
      </c>
      <c r="O1540" t="s">
        <v>31691</v>
      </c>
      <c r="Q1540" t="s">
        <v>31692</v>
      </c>
      <c r="R1540" t="s">
        <v>31693</v>
      </c>
      <c r="S1540" t="s">
        <v>8135</v>
      </c>
      <c r="T1540" t="s">
        <v>30</v>
      </c>
      <c r="U1540" t="s">
        <v>26019</v>
      </c>
      <c r="W1540" t="s">
        <v>26009</v>
      </c>
    </row>
    <row r="1541" spans="1:23" x14ac:dyDescent="0.35">
      <c r="A1541">
        <v>370530</v>
      </c>
      <c r="B1541" t="s">
        <v>9982</v>
      </c>
      <c r="C1541" t="str">
        <f>"9781412913119"</f>
        <v>9781412913119</v>
      </c>
      <c r="D1541" t="str">
        <f>"9781848608481"</f>
        <v>9781848608481</v>
      </c>
      <c r="E1541" t="s">
        <v>28007</v>
      </c>
      <c r="F1541" t="s">
        <v>7430</v>
      </c>
      <c r="G1541" t="s">
        <v>22174</v>
      </c>
      <c r="H1541" t="s">
        <v>26011</v>
      </c>
      <c r="I1541" s="26">
        <v>38897</v>
      </c>
      <c r="J1541">
        <v>2006</v>
      </c>
      <c r="K1541" t="s">
        <v>7430</v>
      </c>
      <c r="L1541">
        <v>145</v>
      </c>
      <c r="M1541" t="s">
        <v>31694</v>
      </c>
      <c r="N1541">
        <v>1</v>
      </c>
      <c r="O1541" t="s">
        <v>30912</v>
      </c>
      <c r="Q1541" t="s">
        <v>31695</v>
      </c>
      <c r="R1541">
        <v>155.937083</v>
      </c>
      <c r="S1541" t="s">
        <v>31696</v>
      </c>
      <c r="T1541" t="s">
        <v>30</v>
      </c>
      <c r="U1541" t="s">
        <v>46</v>
      </c>
      <c r="W1541" t="s">
        <v>26009</v>
      </c>
    </row>
    <row r="1542" spans="1:23" x14ac:dyDescent="0.35">
      <c r="A1542">
        <v>370531</v>
      </c>
      <c r="B1542" t="s">
        <v>10000</v>
      </c>
      <c r="C1542" t="str">
        <f>"9781412919357"</f>
        <v>9781412919357</v>
      </c>
      <c r="D1542" t="str">
        <f>"9781848608498"</f>
        <v>9781848608498</v>
      </c>
      <c r="E1542" t="s">
        <v>28007</v>
      </c>
      <c r="F1542" t="s">
        <v>7430</v>
      </c>
      <c r="G1542" t="s">
        <v>22174</v>
      </c>
      <c r="H1542" t="s">
        <v>26011</v>
      </c>
      <c r="I1542" s="26">
        <v>38846</v>
      </c>
      <c r="J1542">
        <v>2006</v>
      </c>
      <c r="K1542" t="s">
        <v>7430</v>
      </c>
      <c r="L1542">
        <v>139</v>
      </c>
      <c r="M1542" t="s">
        <v>31697</v>
      </c>
      <c r="N1542">
        <v>1</v>
      </c>
      <c r="O1542" t="s">
        <v>30912</v>
      </c>
      <c r="Q1542" t="s">
        <v>31698</v>
      </c>
      <c r="R1542">
        <v>379.0917</v>
      </c>
      <c r="S1542" t="s">
        <v>31699</v>
      </c>
      <c r="T1542" t="s">
        <v>30</v>
      </c>
      <c r="U1542" t="s">
        <v>30253</v>
      </c>
      <c r="W1542" t="s">
        <v>26009</v>
      </c>
    </row>
    <row r="1543" spans="1:23" x14ac:dyDescent="0.35">
      <c r="A1543">
        <v>370532</v>
      </c>
      <c r="B1543" t="s">
        <v>31700</v>
      </c>
      <c r="C1543" t="str">
        <f>"9781412920247"</f>
        <v>9781412920247</v>
      </c>
      <c r="D1543" t="str">
        <f>"9781848608467"</f>
        <v>9781848608467</v>
      </c>
      <c r="E1543" t="s">
        <v>28007</v>
      </c>
      <c r="F1543" t="s">
        <v>7430</v>
      </c>
      <c r="G1543" t="s">
        <v>22174</v>
      </c>
      <c r="H1543" t="s">
        <v>26011</v>
      </c>
      <c r="I1543" s="26">
        <v>38905</v>
      </c>
      <c r="J1543">
        <v>2006</v>
      </c>
      <c r="K1543" t="s">
        <v>7430</v>
      </c>
      <c r="L1543">
        <v>121</v>
      </c>
      <c r="M1543" t="s">
        <v>31701</v>
      </c>
      <c r="N1543">
        <v>1</v>
      </c>
      <c r="O1543" t="s">
        <v>30912</v>
      </c>
      <c r="Q1543" t="s">
        <v>31702</v>
      </c>
      <c r="R1543">
        <v>371.9</v>
      </c>
      <c r="S1543" t="s">
        <v>31703</v>
      </c>
      <c r="T1543" t="s">
        <v>30</v>
      </c>
      <c r="U1543" t="s">
        <v>31704</v>
      </c>
      <c r="W1543" t="s">
        <v>26009</v>
      </c>
    </row>
    <row r="1544" spans="1:23" x14ac:dyDescent="0.35">
      <c r="A1544">
        <v>370536</v>
      </c>
      <c r="B1544" t="s">
        <v>9388</v>
      </c>
      <c r="C1544" t="str">
        <f>"9780761948698"</f>
        <v>9780761948698</v>
      </c>
      <c r="D1544" t="str">
        <f>"9781848608573"</f>
        <v>9781848608573</v>
      </c>
      <c r="E1544" t="s">
        <v>28007</v>
      </c>
      <c r="F1544" t="s">
        <v>7430</v>
      </c>
      <c r="G1544" t="s">
        <v>22174</v>
      </c>
      <c r="H1544" t="s">
        <v>26011</v>
      </c>
      <c r="I1544" s="26">
        <v>38051</v>
      </c>
      <c r="J1544">
        <v>2004</v>
      </c>
      <c r="K1544" t="s">
        <v>7430</v>
      </c>
      <c r="L1544">
        <v>90</v>
      </c>
      <c r="M1544" t="s">
        <v>31705</v>
      </c>
      <c r="N1544">
        <v>1</v>
      </c>
      <c r="O1544" t="s">
        <v>28029</v>
      </c>
      <c r="Q1544" t="s">
        <v>31706</v>
      </c>
      <c r="R1544">
        <v>616.89139999999998</v>
      </c>
      <c r="S1544" t="s">
        <v>7732</v>
      </c>
      <c r="T1544" t="s">
        <v>30</v>
      </c>
      <c r="U1544" t="s">
        <v>26019</v>
      </c>
      <c r="W1544" t="s">
        <v>26009</v>
      </c>
    </row>
    <row r="1545" spans="1:23" x14ac:dyDescent="0.35">
      <c r="A1545">
        <v>371113</v>
      </c>
      <c r="B1545" t="s">
        <v>31707</v>
      </c>
      <c r="C1545" t="str">
        <f>"9781932841169"</f>
        <v>9781932841169</v>
      </c>
      <c r="D1545" t="str">
        <f>"9781572846333"</f>
        <v>9781572846333</v>
      </c>
      <c r="E1545" t="s">
        <v>31708</v>
      </c>
      <c r="F1545" t="s">
        <v>10291</v>
      </c>
      <c r="G1545" t="s">
        <v>22352</v>
      </c>
      <c r="H1545" t="s">
        <v>26004</v>
      </c>
      <c r="I1545" s="26">
        <v>38499</v>
      </c>
      <c r="J1545">
        <v>2006</v>
      </c>
      <c r="K1545" t="s">
        <v>31709</v>
      </c>
      <c r="L1545">
        <v>210</v>
      </c>
      <c r="M1545" t="s">
        <v>31710</v>
      </c>
      <c r="Q1545" t="s">
        <v>31711</v>
      </c>
      <c r="R1545">
        <v>658.31449999999995</v>
      </c>
      <c r="S1545" t="s">
        <v>31712</v>
      </c>
      <c r="T1545" t="s">
        <v>30</v>
      </c>
      <c r="U1545" t="s">
        <v>30031</v>
      </c>
      <c r="W1545" t="s">
        <v>26009</v>
      </c>
    </row>
    <row r="1546" spans="1:23" x14ac:dyDescent="0.35">
      <c r="A1546">
        <v>371186</v>
      </c>
      <c r="B1546" t="s">
        <v>31713</v>
      </c>
      <c r="C1546" t="str">
        <f>"9781593859763"</f>
        <v>9781593859763</v>
      </c>
      <c r="D1546" t="str">
        <f>"9781606232729"</f>
        <v>9781606232729</v>
      </c>
      <c r="E1546" t="s">
        <v>30112</v>
      </c>
      <c r="F1546" t="s">
        <v>7420</v>
      </c>
      <c r="G1546" t="s">
        <v>22179</v>
      </c>
      <c r="H1546" t="s">
        <v>26004</v>
      </c>
      <c r="I1546" s="26">
        <v>39730</v>
      </c>
      <c r="J1546">
        <v>2009</v>
      </c>
      <c r="K1546" t="s">
        <v>30113</v>
      </c>
      <c r="L1546">
        <v>432</v>
      </c>
      <c r="M1546" t="s">
        <v>31714</v>
      </c>
      <c r="N1546">
        <v>1</v>
      </c>
      <c r="Q1546" t="s">
        <v>31715</v>
      </c>
      <c r="R1546">
        <v>618.92891425000005</v>
      </c>
      <c r="S1546" t="s">
        <v>31716</v>
      </c>
      <c r="T1546" t="s">
        <v>30</v>
      </c>
      <c r="U1546" t="s">
        <v>26019</v>
      </c>
      <c r="W1546" t="s">
        <v>28347</v>
      </c>
    </row>
    <row r="1547" spans="1:23" x14ac:dyDescent="0.35">
      <c r="A1547">
        <v>371193</v>
      </c>
      <c r="B1547" t="s">
        <v>9724</v>
      </c>
      <c r="C1547" t="str">
        <f>"9781593859961"</f>
        <v>9781593859961</v>
      </c>
      <c r="D1547" t="str">
        <f>"9781606231036"</f>
        <v>9781606231036</v>
      </c>
      <c r="E1547" t="s">
        <v>30112</v>
      </c>
      <c r="F1547" t="s">
        <v>7420</v>
      </c>
      <c r="G1547" t="s">
        <v>22179</v>
      </c>
      <c r="H1547" t="s">
        <v>26004</v>
      </c>
      <c r="I1547" s="26">
        <v>39754</v>
      </c>
      <c r="J1547">
        <v>2009</v>
      </c>
      <c r="K1547" t="s">
        <v>30113</v>
      </c>
      <c r="L1547">
        <v>208</v>
      </c>
      <c r="M1547" t="s">
        <v>31717</v>
      </c>
      <c r="N1547">
        <v>1</v>
      </c>
      <c r="Q1547" t="s">
        <v>31718</v>
      </c>
      <c r="R1547">
        <v>155.40719999999999</v>
      </c>
      <c r="S1547" t="s">
        <v>31719</v>
      </c>
      <c r="T1547" t="s">
        <v>30</v>
      </c>
      <c r="U1547" t="s">
        <v>46</v>
      </c>
      <c r="W1547" t="s">
        <v>28347</v>
      </c>
    </row>
    <row r="1548" spans="1:23" x14ac:dyDescent="0.35">
      <c r="A1548">
        <v>371532</v>
      </c>
      <c r="B1548" t="s">
        <v>31720</v>
      </c>
      <c r="C1548" t="str">
        <f>"9780387756257"</f>
        <v>9780387756257</v>
      </c>
      <c r="D1548" t="str">
        <f>"9780387756264"</f>
        <v>9780387756264</v>
      </c>
      <c r="E1548" t="s">
        <v>30084</v>
      </c>
      <c r="F1548" t="s">
        <v>7813</v>
      </c>
      <c r="G1548" t="s">
        <v>31126</v>
      </c>
      <c r="H1548" t="s">
        <v>26004</v>
      </c>
      <c r="I1548" s="26">
        <v>39541</v>
      </c>
      <c r="J1548">
        <v>2008</v>
      </c>
      <c r="K1548" t="s">
        <v>31125</v>
      </c>
      <c r="L1548">
        <v>156</v>
      </c>
      <c r="M1548" t="s">
        <v>31721</v>
      </c>
      <c r="N1548">
        <v>1</v>
      </c>
      <c r="Q1548" t="s">
        <v>31722</v>
      </c>
      <c r="R1548">
        <v>303.60829999999999</v>
      </c>
      <c r="S1548" t="s">
        <v>1451</v>
      </c>
      <c r="T1548" t="s">
        <v>30</v>
      </c>
      <c r="U1548" t="s">
        <v>26179</v>
      </c>
      <c r="W1548" t="s">
        <v>26009</v>
      </c>
    </row>
    <row r="1549" spans="1:23" x14ac:dyDescent="0.35">
      <c r="A1549">
        <v>375434</v>
      </c>
      <c r="B1549" t="s">
        <v>9791</v>
      </c>
      <c r="C1549" t="str">
        <f>"9780826112675"</f>
        <v>9780826112675</v>
      </c>
      <c r="D1549" t="str">
        <f>"9780826117151"</f>
        <v>9780826117151</v>
      </c>
      <c r="E1549" t="s">
        <v>1504</v>
      </c>
      <c r="F1549" t="s">
        <v>33</v>
      </c>
      <c r="G1549" t="s">
        <v>22179</v>
      </c>
      <c r="H1549" t="s">
        <v>26004</v>
      </c>
      <c r="I1549" s="26">
        <v>36161</v>
      </c>
      <c r="J1549">
        <v>1999</v>
      </c>
      <c r="K1549" t="s">
        <v>33</v>
      </c>
      <c r="L1549">
        <v>504</v>
      </c>
      <c r="M1549" t="s">
        <v>31723</v>
      </c>
      <c r="N1549">
        <v>1</v>
      </c>
      <c r="Q1549" t="s">
        <v>31724</v>
      </c>
      <c r="R1549">
        <v>305.26</v>
      </c>
      <c r="S1549" t="s">
        <v>31725</v>
      </c>
      <c r="T1549" t="s">
        <v>30</v>
      </c>
      <c r="U1549" t="s">
        <v>26044</v>
      </c>
      <c r="W1549" t="s">
        <v>26009</v>
      </c>
    </row>
    <row r="1550" spans="1:23" x14ac:dyDescent="0.35">
      <c r="A1550">
        <v>377866</v>
      </c>
      <c r="B1550" t="s">
        <v>7669</v>
      </c>
      <c r="C1550" t="str">
        <f>"9780521689465"</f>
        <v>9780521689465</v>
      </c>
      <c r="D1550" t="str">
        <f>"9780511454653"</f>
        <v>9780511454653</v>
      </c>
      <c r="E1550" t="s">
        <v>167</v>
      </c>
      <c r="F1550" t="s">
        <v>167</v>
      </c>
      <c r="G1550" t="s">
        <v>22218</v>
      </c>
      <c r="H1550" t="s">
        <v>26011</v>
      </c>
      <c r="I1550" s="26">
        <v>39758</v>
      </c>
      <c r="J1550">
        <v>2008</v>
      </c>
      <c r="K1550" t="s">
        <v>167</v>
      </c>
      <c r="L1550">
        <v>196</v>
      </c>
      <c r="M1550" t="s">
        <v>31726</v>
      </c>
      <c r="N1550">
        <v>1</v>
      </c>
      <c r="Q1550" t="s">
        <v>31727</v>
      </c>
      <c r="R1550">
        <v>362.2</v>
      </c>
      <c r="S1550" t="s">
        <v>7670</v>
      </c>
      <c r="T1550" t="s">
        <v>30</v>
      </c>
      <c r="U1550" t="s">
        <v>26250</v>
      </c>
      <c r="W1550" t="s">
        <v>26020</v>
      </c>
    </row>
    <row r="1551" spans="1:23" x14ac:dyDescent="0.35">
      <c r="A1551">
        <v>377907</v>
      </c>
      <c r="B1551" t="s">
        <v>31728</v>
      </c>
      <c r="C1551" t="str">
        <f>"9780521717922"</f>
        <v>9780521717922</v>
      </c>
      <c r="D1551" t="str">
        <f>"9780511454165"</f>
        <v>9780511454165</v>
      </c>
      <c r="E1551" t="s">
        <v>167</v>
      </c>
      <c r="F1551" t="s">
        <v>167</v>
      </c>
      <c r="G1551" t="s">
        <v>22218</v>
      </c>
      <c r="H1551" t="s">
        <v>26011</v>
      </c>
      <c r="I1551" s="26">
        <v>39562</v>
      </c>
      <c r="J1551">
        <v>2008</v>
      </c>
      <c r="K1551" t="s">
        <v>167</v>
      </c>
      <c r="L1551">
        <v>244</v>
      </c>
      <c r="M1551" t="s">
        <v>31729</v>
      </c>
      <c r="N1551">
        <v>1</v>
      </c>
      <c r="Q1551" t="s">
        <v>31730</v>
      </c>
      <c r="R1551">
        <v>616.79999999999995</v>
      </c>
      <c r="S1551" t="s">
        <v>31731</v>
      </c>
      <c r="T1551" t="s">
        <v>30</v>
      </c>
      <c r="U1551" t="s">
        <v>26116</v>
      </c>
      <c r="W1551" t="s">
        <v>26020</v>
      </c>
    </row>
    <row r="1552" spans="1:23" x14ac:dyDescent="0.35">
      <c r="A1552">
        <v>377920</v>
      </c>
      <c r="B1552" t="s">
        <v>9943</v>
      </c>
      <c r="C1552" t="str">
        <f>"9780521732413"</f>
        <v>9780521732413</v>
      </c>
      <c r="D1552" t="str">
        <f>"9780511454684"</f>
        <v>9780511454684</v>
      </c>
      <c r="E1552" t="s">
        <v>167</v>
      </c>
      <c r="F1552" t="s">
        <v>167</v>
      </c>
      <c r="G1552" t="s">
        <v>22218</v>
      </c>
      <c r="H1552" t="s">
        <v>26011</v>
      </c>
      <c r="I1552" s="26">
        <v>39765</v>
      </c>
      <c r="J1552">
        <v>2008</v>
      </c>
      <c r="K1552" t="s">
        <v>167</v>
      </c>
      <c r="L1552">
        <v>335</v>
      </c>
      <c r="M1552" t="s">
        <v>31732</v>
      </c>
      <c r="N1552">
        <v>2</v>
      </c>
      <c r="Q1552" t="s">
        <v>31733</v>
      </c>
      <c r="R1552">
        <v>362.88</v>
      </c>
      <c r="S1552" t="s">
        <v>9944</v>
      </c>
      <c r="T1552" t="s">
        <v>30</v>
      </c>
      <c r="U1552" t="s">
        <v>26044</v>
      </c>
      <c r="W1552" t="s">
        <v>26020</v>
      </c>
    </row>
    <row r="1553" spans="1:23" x14ac:dyDescent="0.35">
      <c r="A1553">
        <v>377932</v>
      </c>
      <c r="B1553" t="s">
        <v>31734</v>
      </c>
      <c r="C1553" t="str">
        <f>"9780521709255"</f>
        <v>9780521709255</v>
      </c>
      <c r="D1553" t="str">
        <f>"9780511454516"</f>
        <v>9780511454516</v>
      </c>
      <c r="E1553" t="s">
        <v>167</v>
      </c>
      <c r="F1553" t="s">
        <v>167</v>
      </c>
      <c r="G1553" t="s">
        <v>22218</v>
      </c>
      <c r="H1553" t="s">
        <v>26011</v>
      </c>
      <c r="I1553" s="26">
        <v>39751</v>
      </c>
      <c r="J1553">
        <v>2008</v>
      </c>
      <c r="K1553" t="s">
        <v>167</v>
      </c>
      <c r="L1553">
        <v>219</v>
      </c>
      <c r="M1553" t="s">
        <v>31735</v>
      </c>
      <c r="N1553">
        <v>1</v>
      </c>
      <c r="Q1553" t="s">
        <v>31736</v>
      </c>
      <c r="R1553" t="s">
        <v>31737</v>
      </c>
      <c r="S1553" t="s">
        <v>10113</v>
      </c>
      <c r="T1553" t="s">
        <v>30</v>
      </c>
      <c r="U1553" t="s">
        <v>26019</v>
      </c>
      <c r="W1553" t="s">
        <v>26020</v>
      </c>
    </row>
    <row r="1554" spans="1:23" x14ac:dyDescent="0.35">
      <c r="A1554">
        <v>380776</v>
      </c>
      <c r="B1554" t="s">
        <v>31738</v>
      </c>
      <c r="C1554" t="str">
        <f>"9781846310218"</f>
        <v>9781846310218</v>
      </c>
      <c r="D1554" t="str">
        <f>"9781846312823"</f>
        <v>9781846312823</v>
      </c>
      <c r="E1554" t="s">
        <v>4363</v>
      </c>
      <c r="F1554" t="s">
        <v>4363</v>
      </c>
      <c r="G1554" t="s">
        <v>24431</v>
      </c>
      <c r="H1554" t="s">
        <v>26011</v>
      </c>
      <c r="I1554" s="26">
        <v>38961</v>
      </c>
      <c r="J1554">
        <v>2006</v>
      </c>
      <c r="K1554" t="s">
        <v>4363</v>
      </c>
      <c r="L1554">
        <v>316</v>
      </c>
      <c r="M1554" t="s">
        <v>31739</v>
      </c>
      <c r="N1554">
        <v>1</v>
      </c>
      <c r="Q1554" t="s">
        <v>31740</v>
      </c>
      <c r="R1554">
        <v>155.937085</v>
      </c>
      <c r="S1554" t="s">
        <v>31741</v>
      </c>
      <c r="T1554" t="s">
        <v>30</v>
      </c>
      <c r="U1554" t="s">
        <v>26116</v>
      </c>
      <c r="W1554" t="s">
        <v>26009</v>
      </c>
    </row>
    <row r="1555" spans="1:23" x14ac:dyDescent="0.35">
      <c r="A1555">
        <v>381312</v>
      </c>
      <c r="B1555" t="s">
        <v>8624</v>
      </c>
      <c r="C1555" t="str">
        <f>"9781841698878"</f>
        <v>9781841698878</v>
      </c>
      <c r="D1555" t="str">
        <f>"9781841698885"</f>
        <v>9781841698885</v>
      </c>
      <c r="E1555" t="s">
        <v>26010</v>
      </c>
      <c r="F1555" t="s">
        <v>35</v>
      </c>
      <c r="G1555" t="s">
        <v>22267</v>
      </c>
      <c r="H1555" t="s">
        <v>26011</v>
      </c>
      <c r="I1555" s="26">
        <v>39797</v>
      </c>
      <c r="J1555">
        <v>2009</v>
      </c>
      <c r="K1555" t="s">
        <v>660</v>
      </c>
      <c r="L1555">
        <v>497</v>
      </c>
      <c r="M1555" t="s">
        <v>31742</v>
      </c>
      <c r="N1555">
        <v>1</v>
      </c>
      <c r="Q1555" t="s">
        <v>31743</v>
      </c>
      <c r="R1555">
        <v>153.30000000000001</v>
      </c>
      <c r="S1555" t="s">
        <v>8625</v>
      </c>
      <c r="T1555" t="s">
        <v>30</v>
      </c>
      <c r="U1555" t="s">
        <v>46</v>
      </c>
      <c r="W1555" t="s">
        <v>26009</v>
      </c>
    </row>
    <row r="1556" spans="1:23" x14ac:dyDescent="0.35">
      <c r="A1556">
        <v>405979</v>
      </c>
      <c r="B1556" t="s">
        <v>31744</v>
      </c>
      <c r="C1556" t="str">
        <f>"9781593850838"</f>
        <v>9781593850838</v>
      </c>
      <c r="D1556" t="str">
        <f>"9781606231661"</f>
        <v>9781606231661</v>
      </c>
      <c r="E1556" t="s">
        <v>30112</v>
      </c>
      <c r="F1556" t="s">
        <v>7420</v>
      </c>
      <c r="G1556" t="s">
        <v>22179</v>
      </c>
      <c r="H1556" t="s">
        <v>26004</v>
      </c>
      <c r="I1556" s="26">
        <v>38268</v>
      </c>
      <c r="J1556">
        <v>2005</v>
      </c>
      <c r="K1556" t="s">
        <v>30113</v>
      </c>
      <c r="L1556">
        <v>272</v>
      </c>
      <c r="M1556" t="s">
        <v>31745</v>
      </c>
      <c r="N1556">
        <v>1</v>
      </c>
      <c r="Q1556" t="s">
        <v>31746</v>
      </c>
      <c r="R1556">
        <v>616.89</v>
      </c>
      <c r="S1556" t="s">
        <v>31747</v>
      </c>
      <c r="T1556" t="s">
        <v>30</v>
      </c>
      <c r="U1556" t="s">
        <v>26019</v>
      </c>
      <c r="W1556" t="s">
        <v>28347</v>
      </c>
    </row>
    <row r="1557" spans="1:23" x14ac:dyDescent="0.35">
      <c r="A1557">
        <v>405980</v>
      </c>
      <c r="B1557" t="s">
        <v>31748</v>
      </c>
      <c r="C1557" t="str">
        <f>"9781593850432"</f>
        <v>9781593850432</v>
      </c>
      <c r="D1557" t="str">
        <f>"9781606231937"</f>
        <v>9781606231937</v>
      </c>
      <c r="E1557" t="s">
        <v>30112</v>
      </c>
      <c r="F1557" t="s">
        <v>7420</v>
      </c>
      <c r="G1557" t="s">
        <v>22179</v>
      </c>
      <c r="H1557" t="s">
        <v>26004</v>
      </c>
      <c r="I1557" s="26">
        <v>38140</v>
      </c>
      <c r="J1557">
        <v>2004</v>
      </c>
      <c r="K1557" t="s">
        <v>30113</v>
      </c>
      <c r="L1557">
        <v>192</v>
      </c>
      <c r="M1557" t="s">
        <v>31749</v>
      </c>
      <c r="N1557">
        <v>1</v>
      </c>
      <c r="O1557" t="s">
        <v>31750</v>
      </c>
      <c r="Q1557" t="s">
        <v>31751</v>
      </c>
      <c r="R1557">
        <v>371.71</v>
      </c>
      <c r="S1557" t="s">
        <v>31752</v>
      </c>
      <c r="T1557" t="s">
        <v>30</v>
      </c>
      <c r="U1557" t="s">
        <v>337</v>
      </c>
      <c r="W1557" t="s">
        <v>28347</v>
      </c>
    </row>
    <row r="1558" spans="1:23" x14ac:dyDescent="0.35">
      <c r="A1558">
        <v>405990</v>
      </c>
      <c r="B1558" t="s">
        <v>9775</v>
      </c>
      <c r="C1558" t="str">
        <f>"9781593855819"</f>
        <v>9781593855819</v>
      </c>
      <c r="D1558" t="str">
        <f>"9781593858636"</f>
        <v>9781593858636</v>
      </c>
      <c r="E1558" t="s">
        <v>30112</v>
      </c>
      <c r="F1558" t="s">
        <v>7420</v>
      </c>
      <c r="G1558" t="s">
        <v>22179</v>
      </c>
      <c r="H1558" t="s">
        <v>26004</v>
      </c>
      <c r="I1558" s="26">
        <v>39392</v>
      </c>
      <c r="J1558">
        <v>2008</v>
      </c>
      <c r="K1558" t="s">
        <v>30113</v>
      </c>
      <c r="L1558">
        <v>560</v>
      </c>
      <c r="M1558" t="s">
        <v>31753</v>
      </c>
      <c r="N1558">
        <v>1</v>
      </c>
      <c r="Q1558" t="s">
        <v>31754</v>
      </c>
      <c r="R1558">
        <v>158</v>
      </c>
      <c r="S1558" t="s">
        <v>31755</v>
      </c>
      <c r="T1558" t="s">
        <v>30</v>
      </c>
      <c r="U1558" t="s">
        <v>46</v>
      </c>
      <c r="W1558" t="s">
        <v>28347</v>
      </c>
    </row>
    <row r="1559" spans="1:23" x14ac:dyDescent="0.35">
      <c r="A1559">
        <v>405993</v>
      </c>
      <c r="B1559" t="s">
        <v>8288</v>
      </c>
      <c r="C1559" t="str">
        <f>"9781593851156"</f>
        <v>9781593851156</v>
      </c>
      <c r="D1559" t="str">
        <f>"9781606232125"</f>
        <v>9781606232125</v>
      </c>
      <c r="E1559" t="s">
        <v>30112</v>
      </c>
      <c r="F1559" t="s">
        <v>7420</v>
      </c>
      <c r="G1559" t="s">
        <v>22179</v>
      </c>
      <c r="H1559" t="s">
        <v>26004</v>
      </c>
      <c r="I1559" s="26">
        <v>38288</v>
      </c>
      <c r="J1559">
        <v>2005</v>
      </c>
      <c r="K1559" t="s">
        <v>30113</v>
      </c>
      <c r="L1559">
        <v>240</v>
      </c>
      <c r="M1559" t="s">
        <v>31756</v>
      </c>
      <c r="N1559">
        <v>1</v>
      </c>
      <c r="Q1559" t="s">
        <v>31757</v>
      </c>
      <c r="R1559" t="s">
        <v>31758</v>
      </c>
      <c r="S1559" t="s">
        <v>31759</v>
      </c>
      <c r="T1559" t="s">
        <v>30</v>
      </c>
      <c r="U1559" t="s">
        <v>26044</v>
      </c>
      <c r="W1559" t="s">
        <v>28347</v>
      </c>
    </row>
    <row r="1560" spans="1:23" x14ac:dyDescent="0.35">
      <c r="A1560">
        <v>405994</v>
      </c>
      <c r="B1560" t="s">
        <v>31760</v>
      </c>
      <c r="C1560" t="str">
        <f>"9781593850029"</f>
        <v>9781593850029</v>
      </c>
      <c r="D1560" t="str">
        <f>"9781606231586"</f>
        <v>9781606231586</v>
      </c>
      <c r="E1560" t="s">
        <v>30112</v>
      </c>
      <c r="F1560" t="s">
        <v>7420</v>
      </c>
      <c r="G1560" t="s">
        <v>22179</v>
      </c>
      <c r="H1560" t="s">
        <v>26004</v>
      </c>
      <c r="I1560" s="26">
        <v>38119</v>
      </c>
      <c r="J1560">
        <v>2004</v>
      </c>
      <c r="K1560" t="s">
        <v>30113</v>
      </c>
      <c r="L1560">
        <v>608</v>
      </c>
      <c r="M1560" t="s">
        <v>31761</v>
      </c>
      <c r="N1560">
        <v>1</v>
      </c>
      <c r="Q1560" t="s">
        <v>31762</v>
      </c>
      <c r="R1560" t="s">
        <v>31763</v>
      </c>
      <c r="S1560" t="s">
        <v>31764</v>
      </c>
      <c r="T1560" t="s">
        <v>30</v>
      </c>
      <c r="U1560" t="s">
        <v>28748</v>
      </c>
      <c r="W1560" t="s">
        <v>28347</v>
      </c>
    </row>
    <row r="1561" spans="1:23" x14ac:dyDescent="0.35">
      <c r="A1561">
        <v>406005</v>
      </c>
      <c r="B1561" t="s">
        <v>31765</v>
      </c>
      <c r="C1561" t="str">
        <f>"9781593850265"</f>
        <v>9781593850265</v>
      </c>
      <c r="D1561" t="str">
        <f>"9781606232071"</f>
        <v>9781606232071</v>
      </c>
      <c r="E1561" t="s">
        <v>30112</v>
      </c>
      <c r="F1561" t="s">
        <v>7420</v>
      </c>
      <c r="G1561" t="s">
        <v>22179</v>
      </c>
      <c r="H1561" t="s">
        <v>26004</v>
      </c>
      <c r="I1561" s="26">
        <v>38099</v>
      </c>
      <c r="J1561">
        <v>2004</v>
      </c>
      <c r="K1561" t="s">
        <v>30113</v>
      </c>
      <c r="L1561">
        <v>320</v>
      </c>
      <c r="M1561" t="s">
        <v>31766</v>
      </c>
      <c r="N1561">
        <v>1</v>
      </c>
      <c r="Q1561" t="s">
        <v>31767</v>
      </c>
      <c r="R1561" t="s">
        <v>27122</v>
      </c>
      <c r="S1561" t="s">
        <v>8266</v>
      </c>
      <c r="T1561" t="s">
        <v>30</v>
      </c>
      <c r="U1561" t="s">
        <v>26019</v>
      </c>
      <c r="W1561" t="s">
        <v>28347</v>
      </c>
    </row>
    <row r="1562" spans="1:23" x14ac:dyDescent="0.35">
      <c r="A1562">
        <v>406017</v>
      </c>
      <c r="B1562" t="s">
        <v>31768</v>
      </c>
      <c r="C1562" t="str">
        <f>"9781593855963"</f>
        <v>9781593855963</v>
      </c>
      <c r="D1562" t="str">
        <f>"9781593858469"</f>
        <v>9781593858469</v>
      </c>
      <c r="E1562" t="s">
        <v>30112</v>
      </c>
      <c r="F1562" t="s">
        <v>7420</v>
      </c>
      <c r="G1562" t="s">
        <v>22179</v>
      </c>
      <c r="H1562" t="s">
        <v>26004</v>
      </c>
      <c r="I1562" s="26">
        <v>39401</v>
      </c>
      <c r="J1562">
        <v>2008</v>
      </c>
      <c r="K1562" t="s">
        <v>30113</v>
      </c>
      <c r="L1562">
        <v>368</v>
      </c>
      <c r="M1562" t="s">
        <v>31769</v>
      </c>
      <c r="N1562">
        <v>1</v>
      </c>
      <c r="Q1562" t="s">
        <v>31770</v>
      </c>
      <c r="R1562" t="s">
        <v>31771</v>
      </c>
      <c r="S1562" t="s">
        <v>7694</v>
      </c>
      <c r="T1562" t="s">
        <v>30</v>
      </c>
      <c r="U1562" t="s">
        <v>26019</v>
      </c>
      <c r="W1562" t="s">
        <v>31772</v>
      </c>
    </row>
    <row r="1563" spans="1:23" x14ac:dyDescent="0.35">
      <c r="A1563">
        <v>406023</v>
      </c>
      <c r="B1563" t="s">
        <v>8604</v>
      </c>
      <c r="C1563" t="str">
        <f>"9781593854850"</f>
        <v>9781593854850</v>
      </c>
      <c r="D1563" t="str">
        <f>"9781593858551"</f>
        <v>9781593858551</v>
      </c>
      <c r="E1563" t="s">
        <v>30112</v>
      </c>
      <c r="F1563" t="s">
        <v>7420</v>
      </c>
      <c r="G1563" t="s">
        <v>22179</v>
      </c>
      <c r="H1563" t="s">
        <v>26004</v>
      </c>
      <c r="I1563" s="26">
        <v>39301</v>
      </c>
      <c r="J1563">
        <v>2007</v>
      </c>
      <c r="K1563" t="s">
        <v>30113</v>
      </c>
      <c r="L1563">
        <v>672</v>
      </c>
      <c r="M1563" t="s">
        <v>31773</v>
      </c>
      <c r="N1563">
        <v>1</v>
      </c>
      <c r="Q1563" t="s">
        <v>31774</v>
      </c>
      <c r="R1563" t="s">
        <v>28543</v>
      </c>
      <c r="S1563" t="s">
        <v>8605</v>
      </c>
      <c r="T1563" t="s">
        <v>30</v>
      </c>
      <c r="U1563" t="s">
        <v>26019</v>
      </c>
      <c r="W1563" t="s">
        <v>28347</v>
      </c>
    </row>
    <row r="1564" spans="1:23" x14ac:dyDescent="0.35">
      <c r="A1564">
        <v>406034</v>
      </c>
      <c r="B1564" t="s">
        <v>31775</v>
      </c>
      <c r="C1564" t="str">
        <f>"9781593850395"</f>
        <v>9781593850395</v>
      </c>
      <c r="D1564" t="str">
        <f>"9781606232033"</f>
        <v>9781606232033</v>
      </c>
      <c r="E1564" t="s">
        <v>30112</v>
      </c>
      <c r="F1564" t="s">
        <v>7420</v>
      </c>
      <c r="G1564" t="s">
        <v>22179</v>
      </c>
      <c r="H1564" t="s">
        <v>26004</v>
      </c>
      <c r="I1564" s="26">
        <v>38152</v>
      </c>
      <c r="J1564">
        <v>2004</v>
      </c>
      <c r="K1564" t="s">
        <v>30113</v>
      </c>
      <c r="L1564">
        <v>224</v>
      </c>
      <c r="M1564" t="s">
        <v>31776</v>
      </c>
      <c r="N1564">
        <v>1</v>
      </c>
      <c r="Q1564" t="s">
        <v>31777</v>
      </c>
      <c r="R1564" t="s">
        <v>31778</v>
      </c>
      <c r="S1564" t="s">
        <v>31779</v>
      </c>
      <c r="T1564" t="s">
        <v>30</v>
      </c>
      <c r="U1564" t="s">
        <v>26019</v>
      </c>
      <c r="W1564" t="s">
        <v>28347</v>
      </c>
    </row>
    <row r="1565" spans="1:23" x14ac:dyDescent="0.35">
      <c r="A1565">
        <v>406042</v>
      </c>
      <c r="B1565" t="s">
        <v>31780</v>
      </c>
      <c r="C1565" t="str">
        <f>"9781572309982"</f>
        <v>9781572309982</v>
      </c>
      <c r="D1565" t="str">
        <f>"9781606231838"</f>
        <v>9781606231838</v>
      </c>
      <c r="E1565" t="s">
        <v>30112</v>
      </c>
      <c r="F1565" t="s">
        <v>7420</v>
      </c>
      <c r="G1565" t="s">
        <v>22179</v>
      </c>
      <c r="H1565" t="s">
        <v>26004</v>
      </c>
      <c r="I1565" s="26">
        <v>38030</v>
      </c>
      <c r="J1565">
        <v>2004</v>
      </c>
      <c r="K1565" t="s">
        <v>30113</v>
      </c>
      <c r="L1565">
        <v>318</v>
      </c>
      <c r="M1565" t="s">
        <v>31781</v>
      </c>
      <c r="N1565">
        <v>1</v>
      </c>
      <c r="Q1565" t="s">
        <v>31782</v>
      </c>
      <c r="R1565" t="s">
        <v>28537</v>
      </c>
      <c r="S1565" t="s">
        <v>31783</v>
      </c>
      <c r="T1565" t="s">
        <v>30</v>
      </c>
      <c r="U1565" t="s">
        <v>26019</v>
      </c>
      <c r="W1565" t="s">
        <v>28347</v>
      </c>
    </row>
    <row r="1566" spans="1:23" x14ac:dyDescent="0.35">
      <c r="A1566">
        <v>406044</v>
      </c>
      <c r="B1566" t="s">
        <v>31784</v>
      </c>
      <c r="C1566" t="str">
        <f>"9781593854867"</f>
        <v>9781593854867</v>
      </c>
      <c r="D1566" t="str">
        <f>"9781593858643"</f>
        <v>9781593858643</v>
      </c>
      <c r="E1566" t="s">
        <v>30112</v>
      </c>
      <c r="F1566" t="s">
        <v>7420</v>
      </c>
      <c r="G1566" t="s">
        <v>22179</v>
      </c>
      <c r="H1566" t="s">
        <v>26004</v>
      </c>
      <c r="I1566" s="26">
        <v>39295</v>
      </c>
      <c r="J1566">
        <v>2007</v>
      </c>
      <c r="K1566" t="s">
        <v>30113</v>
      </c>
      <c r="L1566">
        <v>512</v>
      </c>
      <c r="M1566" t="s">
        <v>31785</v>
      </c>
      <c r="N1566">
        <v>1</v>
      </c>
      <c r="Q1566" t="s">
        <v>31786</v>
      </c>
      <c r="R1566">
        <v>152.4</v>
      </c>
      <c r="S1566" t="s">
        <v>31787</v>
      </c>
      <c r="T1566" t="s">
        <v>30</v>
      </c>
      <c r="U1566" t="s">
        <v>46</v>
      </c>
      <c r="W1566" t="s">
        <v>28347</v>
      </c>
    </row>
    <row r="1567" spans="1:23" x14ac:dyDescent="0.35">
      <c r="A1567">
        <v>406047</v>
      </c>
      <c r="B1567" t="s">
        <v>31788</v>
      </c>
      <c r="C1567" t="str">
        <f>"9781593850333"</f>
        <v>9781593850333</v>
      </c>
      <c r="D1567" t="str">
        <f>"9781606232187"</f>
        <v>9781606232187</v>
      </c>
      <c r="E1567" t="s">
        <v>30112</v>
      </c>
      <c r="F1567" t="s">
        <v>7420</v>
      </c>
      <c r="G1567" t="s">
        <v>22179</v>
      </c>
      <c r="H1567" t="s">
        <v>26004</v>
      </c>
      <c r="I1567" s="26">
        <v>38098</v>
      </c>
      <c r="J1567">
        <v>2004</v>
      </c>
      <c r="K1567" t="s">
        <v>30113</v>
      </c>
      <c r="L1567">
        <v>272</v>
      </c>
      <c r="M1567" t="s">
        <v>31789</v>
      </c>
      <c r="N1567">
        <v>1</v>
      </c>
      <c r="Q1567" t="s">
        <v>31790</v>
      </c>
      <c r="R1567" t="s">
        <v>27122</v>
      </c>
      <c r="S1567" t="s">
        <v>31791</v>
      </c>
      <c r="T1567" t="s">
        <v>30</v>
      </c>
      <c r="U1567" t="s">
        <v>26116</v>
      </c>
      <c r="W1567" t="s">
        <v>28347</v>
      </c>
    </row>
    <row r="1568" spans="1:23" x14ac:dyDescent="0.35">
      <c r="A1568">
        <v>407564</v>
      </c>
      <c r="B1568" t="s">
        <v>31792</v>
      </c>
      <c r="C1568" t="str">
        <f>"9781592136766"</f>
        <v>9781592136766</v>
      </c>
      <c r="D1568" t="str">
        <f>"9781592136780"</f>
        <v>9781592136780</v>
      </c>
      <c r="E1568" t="s">
        <v>7659</v>
      </c>
      <c r="F1568" t="s">
        <v>7659</v>
      </c>
      <c r="G1568" t="s">
        <v>22190</v>
      </c>
      <c r="H1568" t="s">
        <v>26004</v>
      </c>
      <c r="I1568" s="26">
        <v>39627</v>
      </c>
      <c r="J1568">
        <v>2008</v>
      </c>
      <c r="K1568" t="s">
        <v>7659</v>
      </c>
      <c r="L1568">
        <v>289</v>
      </c>
      <c r="M1568" t="s">
        <v>31793</v>
      </c>
      <c r="N1568">
        <v>1</v>
      </c>
      <c r="Q1568" t="s">
        <v>31794</v>
      </c>
      <c r="R1568" t="s">
        <v>31795</v>
      </c>
      <c r="S1568" t="s">
        <v>31796</v>
      </c>
      <c r="T1568" t="s">
        <v>30</v>
      </c>
      <c r="U1568" t="s">
        <v>337</v>
      </c>
      <c r="W1568" t="s">
        <v>26009</v>
      </c>
    </row>
    <row r="1569" spans="1:23" x14ac:dyDescent="0.35">
      <c r="A1569">
        <v>407837</v>
      </c>
      <c r="B1569" t="s">
        <v>31797</v>
      </c>
      <c r="C1569" t="str">
        <f>"9781576755594"</f>
        <v>9781576755594</v>
      </c>
      <c r="D1569" t="str">
        <f>"9781576757932"</f>
        <v>9781576757932</v>
      </c>
      <c r="E1569" t="s">
        <v>30551</v>
      </c>
      <c r="F1569" t="s">
        <v>7718</v>
      </c>
      <c r="G1569" t="s">
        <v>23047</v>
      </c>
      <c r="H1569" t="s">
        <v>26004</v>
      </c>
      <c r="I1569" s="26">
        <v>39722</v>
      </c>
      <c r="J1569">
        <v>2008</v>
      </c>
      <c r="K1569" t="s">
        <v>7718</v>
      </c>
      <c r="L1569">
        <v>206</v>
      </c>
      <c r="M1569" t="s">
        <v>31798</v>
      </c>
      <c r="N1569">
        <v>1</v>
      </c>
      <c r="O1569" t="s">
        <v>30584</v>
      </c>
      <c r="Q1569" t="s">
        <v>31799</v>
      </c>
      <c r="R1569" t="s">
        <v>31800</v>
      </c>
      <c r="S1569" t="s">
        <v>31801</v>
      </c>
      <c r="T1569" t="s">
        <v>30</v>
      </c>
      <c r="U1569" t="s">
        <v>46</v>
      </c>
      <c r="W1569" t="s">
        <v>26009</v>
      </c>
    </row>
    <row r="1570" spans="1:23" x14ac:dyDescent="0.35">
      <c r="A1570">
        <v>407846</v>
      </c>
      <c r="B1570" t="s">
        <v>31802</v>
      </c>
      <c r="C1570" t="str">
        <f>"9781576751169"</f>
        <v>9781576751169</v>
      </c>
      <c r="D1570" t="str">
        <f>"9781576759905"</f>
        <v>9781576759905</v>
      </c>
      <c r="E1570" t="s">
        <v>28146</v>
      </c>
      <c r="F1570" t="s">
        <v>7718</v>
      </c>
      <c r="G1570" t="s">
        <v>22179</v>
      </c>
      <c r="H1570" t="s">
        <v>26004</v>
      </c>
      <c r="I1570" s="26">
        <v>36892</v>
      </c>
      <c r="J1570">
        <v>2000</v>
      </c>
      <c r="K1570" t="s">
        <v>7718</v>
      </c>
      <c r="L1570">
        <v>149</v>
      </c>
      <c r="M1570" t="s">
        <v>31803</v>
      </c>
      <c r="N1570">
        <v>1</v>
      </c>
      <c r="R1570">
        <v>158.69999999999999</v>
      </c>
      <c r="S1570" t="s">
        <v>31804</v>
      </c>
      <c r="T1570" t="s">
        <v>30</v>
      </c>
      <c r="U1570" t="s">
        <v>46</v>
      </c>
      <c r="W1570" t="s">
        <v>28151</v>
      </c>
    </row>
    <row r="1571" spans="1:23" x14ac:dyDescent="0.35">
      <c r="A1571">
        <v>407848</v>
      </c>
      <c r="B1571" t="s">
        <v>31805</v>
      </c>
      <c r="C1571" t="str">
        <f>"9781576752302"</f>
        <v>9781576752302</v>
      </c>
      <c r="D1571" t="str">
        <f>"9781576759622"</f>
        <v>9781576759622</v>
      </c>
      <c r="E1571" t="s">
        <v>28146</v>
      </c>
      <c r="F1571" t="s">
        <v>7718</v>
      </c>
      <c r="G1571" t="s">
        <v>23047</v>
      </c>
      <c r="H1571" t="s">
        <v>26004</v>
      </c>
      <c r="I1571" s="26">
        <v>37692</v>
      </c>
      <c r="J1571">
        <v>2003</v>
      </c>
      <c r="K1571" t="s">
        <v>7718</v>
      </c>
      <c r="L1571">
        <v>164</v>
      </c>
      <c r="M1571" t="s">
        <v>31806</v>
      </c>
      <c r="N1571">
        <v>1</v>
      </c>
      <c r="Q1571" t="s">
        <v>31807</v>
      </c>
      <c r="R1571">
        <v>152.4</v>
      </c>
      <c r="S1571" t="s">
        <v>8269</v>
      </c>
      <c r="T1571" t="s">
        <v>30</v>
      </c>
      <c r="U1571" t="s">
        <v>46</v>
      </c>
      <c r="W1571" t="s">
        <v>28151</v>
      </c>
    </row>
    <row r="1572" spans="1:23" x14ac:dyDescent="0.35">
      <c r="A1572">
        <v>407882</v>
      </c>
      <c r="B1572" t="s">
        <v>31808</v>
      </c>
      <c r="C1572" t="str">
        <f>"9781576752630"</f>
        <v>9781576752630</v>
      </c>
      <c r="D1572" t="str">
        <f>"9781605092829"</f>
        <v>9781605092829</v>
      </c>
      <c r="E1572" t="s">
        <v>28146</v>
      </c>
      <c r="F1572" t="s">
        <v>7718</v>
      </c>
      <c r="G1572" t="s">
        <v>23047</v>
      </c>
      <c r="H1572" t="s">
        <v>26004</v>
      </c>
      <c r="I1572" s="26">
        <v>38026</v>
      </c>
      <c r="J1572">
        <v>2004</v>
      </c>
      <c r="K1572" t="s">
        <v>7718</v>
      </c>
      <c r="L1572">
        <v>141</v>
      </c>
      <c r="M1572" t="s">
        <v>31809</v>
      </c>
      <c r="N1572">
        <v>1</v>
      </c>
      <c r="Q1572" t="s">
        <v>31810</v>
      </c>
      <c r="R1572">
        <v>170</v>
      </c>
      <c r="S1572" t="s">
        <v>31811</v>
      </c>
      <c r="T1572" t="s">
        <v>30</v>
      </c>
      <c r="U1572" t="s">
        <v>152</v>
      </c>
      <c r="W1572" t="s">
        <v>28151</v>
      </c>
    </row>
    <row r="1573" spans="1:23" x14ac:dyDescent="0.35">
      <c r="A1573">
        <v>408213</v>
      </c>
      <c r="B1573" t="s">
        <v>31812</v>
      </c>
      <c r="C1573" t="str">
        <f>"9780226429724"</f>
        <v>9780226429724</v>
      </c>
      <c r="D1573" t="str">
        <f>"9780226429779"</f>
        <v>9780226429779</v>
      </c>
      <c r="E1573" t="s">
        <v>550</v>
      </c>
      <c r="F1573" t="s">
        <v>550</v>
      </c>
      <c r="G1573" t="s">
        <v>22352</v>
      </c>
      <c r="H1573" t="s">
        <v>26004</v>
      </c>
      <c r="I1573" s="26">
        <v>39203</v>
      </c>
      <c r="J1573">
        <v>2007</v>
      </c>
      <c r="K1573" t="s">
        <v>550</v>
      </c>
      <c r="L1573">
        <v>309</v>
      </c>
      <c r="M1573" t="s">
        <v>31813</v>
      </c>
      <c r="N1573">
        <v>1</v>
      </c>
      <c r="Q1573" t="s">
        <v>31814</v>
      </c>
      <c r="R1573" t="s">
        <v>31815</v>
      </c>
      <c r="S1573" t="s">
        <v>31816</v>
      </c>
      <c r="T1573" t="s">
        <v>30</v>
      </c>
      <c r="U1573" t="s">
        <v>26019</v>
      </c>
      <c r="W1573" t="s">
        <v>26009</v>
      </c>
    </row>
    <row r="1574" spans="1:23" x14ac:dyDescent="0.35">
      <c r="A1574">
        <v>408242</v>
      </c>
      <c r="B1574" t="s">
        <v>8189</v>
      </c>
      <c r="C1574" t="str">
        <f>"9780226891675"</f>
        <v>9780226891675</v>
      </c>
      <c r="D1574" t="str">
        <f>"9780226891699"</f>
        <v>9780226891699</v>
      </c>
      <c r="E1574" t="s">
        <v>550</v>
      </c>
      <c r="F1574" t="s">
        <v>550</v>
      </c>
      <c r="G1574" t="s">
        <v>22352</v>
      </c>
      <c r="H1574" t="s">
        <v>26004</v>
      </c>
      <c r="I1574" s="26">
        <v>35854</v>
      </c>
      <c r="J1574">
        <v>1997</v>
      </c>
      <c r="K1574" t="s">
        <v>550</v>
      </c>
      <c r="L1574">
        <v>190</v>
      </c>
      <c r="M1574" t="s">
        <v>31817</v>
      </c>
      <c r="N1574">
        <v>1</v>
      </c>
      <c r="Q1574" t="s">
        <v>31818</v>
      </c>
      <c r="S1574" t="s">
        <v>8213</v>
      </c>
      <c r="T1574" t="s">
        <v>30</v>
      </c>
      <c r="U1574" t="s">
        <v>26019</v>
      </c>
      <c r="W1574" t="s">
        <v>26009</v>
      </c>
    </row>
    <row r="1575" spans="1:23" x14ac:dyDescent="0.35">
      <c r="A1575">
        <v>408298</v>
      </c>
      <c r="B1575" t="s">
        <v>8526</v>
      </c>
      <c r="C1575" t="str">
        <f>"9780226514628"</f>
        <v>9780226514628</v>
      </c>
      <c r="D1575" t="str">
        <f>"9780226514642"</f>
        <v>9780226514642</v>
      </c>
      <c r="E1575" t="s">
        <v>550</v>
      </c>
      <c r="F1575" t="s">
        <v>550</v>
      </c>
      <c r="G1575" t="s">
        <v>22352</v>
      </c>
      <c r="H1575" t="s">
        <v>26004</v>
      </c>
      <c r="I1575" s="26">
        <v>38664</v>
      </c>
      <c r="J1575">
        <v>2005</v>
      </c>
      <c r="K1575" t="s">
        <v>550</v>
      </c>
      <c r="L1575">
        <v>332</v>
      </c>
      <c r="M1575" t="s">
        <v>31819</v>
      </c>
      <c r="N1575">
        <v>1</v>
      </c>
      <c r="Q1575" t="s">
        <v>31820</v>
      </c>
      <c r="R1575">
        <v>808.5</v>
      </c>
      <c r="S1575" t="s">
        <v>8360</v>
      </c>
      <c r="T1575" t="s">
        <v>30</v>
      </c>
      <c r="U1575" t="s">
        <v>31821</v>
      </c>
      <c r="W1575" t="s">
        <v>26009</v>
      </c>
    </row>
    <row r="1576" spans="1:23" x14ac:dyDescent="0.35">
      <c r="A1576">
        <v>408338</v>
      </c>
      <c r="B1576" t="s">
        <v>8866</v>
      </c>
      <c r="C1576" t="str">
        <f>"9780226043517"</f>
        <v>9780226043517</v>
      </c>
      <c r="D1576" t="str">
        <f>"9780226043562"</f>
        <v>9780226043562</v>
      </c>
      <c r="E1576" t="s">
        <v>550</v>
      </c>
      <c r="F1576" t="s">
        <v>550</v>
      </c>
      <c r="G1576" t="s">
        <v>22352</v>
      </c>
      <c r="H1576" t="s">
        <v>26004</v>
      </c>
      <c r="I1576" s="26">
        <v>39583</v>
      </c>
      <c r="J1576">
        <v>2008</v>
      </c>
      <c r="K1576" t="s">
        <v>550</v>
      </c>
      <c r="L1576">
        <v>135</v>
      </c>
      <c r="M1576" t="s">
        <v>31822</v>
      </c>
      <c r="N1576">
        <v>1</v>
      </c>
      <c r="Q1576" t="s">
        <v>27065</v>
      </c>
      <c r="R1576" t="s">
        <v>26308</v>
      </c>
      <c r="S1576" t="s">
        <v>7661</v>
      </c>
      <c r="T1576" t="s">
        <v>30</v>
      </c>
      <c r="U1576" t="s">
        <v>46</v>
      </c>
      <c r="W1576" t="s">
        <v>26009</v>
      </c>
    </row>
    <row r="1577" spans="1:23" x14ac:dyDescent="0.35">
      <c r="A1577">
        <v>408358</v>
      </c>
      <c r="B1577" t="s">
        <v>31823</v>
      </c>
      <c r="C1577" t="str">
        <f>"9780226501178"</f>
        <v>9780226501178</v>
      </c>
      <c r="D1577" t="str">
        <f>"9780226501215"</f>
        <v>9780226501215</v>
      </c>
      <c r="E1577" t="s">
        <v>550</v>
      </c>
      <c r="F1577" t="s">
        <v>550</v>
      </c>
      <c r="G1577" t="s">
        <v>22352</v>
      </c>
      <c r="H1577" t="s">
        <v>26004</v>
      </c>
      <c r="I1577" s="26">
        <v>39416</v>
      </c>
      <c r="J1577">
        <v>2007</v>
      </c>
      <c r="K1577" t="s">
        <v>550</v>
      </c>
      <c r="L1577">
        <v>206</v>
      </c>
      <c r="M1577" t="s">
        <v>31824</v>
      </c>
      <c r="N1577">
        <v>1</v>
      </c>
      <c r="Q1577" t="s">
        <v>31825</v>
      </c>
      <c r="R1577" t="s">
        <v>31826</v>
      </c>
      <c r="S1577" t="s">
        <v>8123</v>
      </c>
      <c r="T1577" t="s">
        <v>30</v>
      </c>
      <c r="U1577" t="s">
        <v>31827</v>
      </c>
      <c r="W1577" t="s">
        <v>26009</v>
      </c>
    </row>
    <row r="1578" spans="1:23" x14ac:dyDescent="0.35">
      <c r="A1578">
        <v>408382</v>
      </c>
      <c r="B1578" t="s">
        <v>31828</v>
      </c>
      <c r="C1578" t="str">
        <f>"9780226301204"</f>
        <v>9780226301204</v>
      </c>
      <c r="D1578" t="str">
        <f>"9780226301365"</f>
        <v>9780226301365</v>
      </c>
      <c r="E1578" t="s">
        <v>550</v>
      </c>
      <c r="F1578" t="s">
        <v>550</v>
      </c>
      <c r="G1578" t="s">
        <v>22352</v>
      </c>
      <c r="H1578" t="s">
        <v>26004</v>
      </c>
      <c r="I1578" s="26">
        <v>39128</v>
      </c>
      <c r="J1578">
        <v>2007</v>
      </c>
      <c r="K1578" t="s">
        <v>550</v>
      </c>
      <c r="L1578">
        <v>159</v>
      </c>
      <c r="M1578" t="s">
        <v>31829</v>
      </c>
      <c r="N1578">
        <v>1</v>
      </c>
      <c r="Q1578" t="s">
        <v>31830</v>
      </c>
      <c r="R1578" t="s">
        <v>27122</v>
      </c>
      <c r="S1578" t="s">
        <v>8266</v>
      </c>
      <c r="T1578" t="s">
        <v>30</v>
      </c>
      <c r="U1578" t="s">
        <v>26019</v>
      </c>
      <c r="W1578" t="s">
        <v>26009</v>
      </c>
    </row>
    <row r="1579" spans="1:23" x14ac:dyDescent="0.35">
      <c r="A1579">
        <v>408387</v>
      </c>
      <c r="B1579" t="s">
        <v>31831</v>
      </c>
      <c r="C1579" t="str">
        <f>"9780226100326"</f>
        <v>9780226100326</v>
      </c>
      <c r="D1579" t="str">
        <f>"9780226100296"</f>
        <v>9780226100296</v>
      </c>
      <c r="E1579" t="s">
        <v>550</v>
      </c>
      <c r="F1579" t="s">
        <v>550</v>
      </c>
      <c r="G1579" t="s">
        <v>22352</v>
      </c>
      <c r="H1579" t="s">
        <v>26004</v>
      </c>
      <c r="I1579" s="26">
        <v>38974</v>
      </c>
      <c r="J1579">
        <v>2006</v>
      </c>
      <c r="K1579" t="s">
        <v>550</v>
      </c>
      <c r="L1579">
        <v>345</v>
      </c>
      <c r="M1579" t="s">
        <v>31832</v>
      </c>
      <c r="N1579">
        <v>1</v>
      </c>
      <c r="Q1579" t="s">
        <v>31833</v>
      </c>
      <c r="R1579" t="s">
        <v>26164</v>
      </c>
      <c r="S1579" t="s">
        <v>8419</v>
      </c>
      <c r="T1579" t="s">
        <v>30</v>
      </c>
      <c r="U1579" t="s">
        <v>26135</v>
      </c>
      <c r="W1579" t="s">
        <v>26009</v>
      </c>
    </row>
    <row r="1580" spans="1:23" x14ac:dyDescent="0.35">
      <c r="A1580">
        <v>408394</v>
      </c>
      <c r="B1580" t="s">
        <v>31834</v>
      </c>
      <c r="C1580" t="str">
        <f>"9780226734873"</f>
        <v>9780226734873</v>
      </c>
      <c r="D1580" t="str">
        <f>"9780226734897"</f>
        <v>9780226734897</v>
      </c>
      <c r="E1580" t="s">
        <v>550</v>
      </c>
      <c r="F1580" t="s">
        <v>550</v>
      </c>
      <c r="G1580" t="s">
        <v>22352</v>
      </c>
      <c r="H1580" t="s">
        <v>26004</v>
      </c>
      <c r="I1580" s="26">
        <v>37012</v>
      </c>
      <c r="J1580">
        <v>2001</v>
      </c>
      <c r="K1580" t="s">
        <v>550</v>
      </c>
      <c r="L1580">
        <v>164</v>
      </c>
      <c r="M1580" t="s">
        <v>31835</v>
      </c>
      <c r="N1580">
        <v>1</v>
      </c>
      <c r="Q1580" t="s">
        <v>31836</v>
      </c>
      <c r="R1580" t="s">
        <v>27929</v>
      </c>
      <c r="S1580" t="s">
        <v>31837</v>
      </c>
      <c r="T1580" t="s">
        <v>30</v>
      </c>
      <c r="U1580" t="s">
        <v>26099</v>
      </c>
      <c r="W1580" t="s">
        <v>26009</v>
      </c>
    </row>
    <row r="1581" spans="1:23" x14ac:dyDescent="0.35">
      <c r="A1581">
        <v>408408</v>
      </c>
      <c r="B1581" t="s">
        <v>31838</v>
      </c>
      <c r="C1581" t="str">
        <f>"9780226774985"</f>
        <v>9780226774985</v>
      </c>
      <c r="D1581" t="str">
        <f>"9780226775005"</f>
        <v>9780226775005</v>
      </c>
      <c r="E1581" t="s">
        <v>550</v>
      </c>
      <c r="F1581" t="s">
        <v>550</v>
      </c>
      <c r="G1581" t="s">
        <v>22352</v>
      </c>
      <c r="H1581" t="s">
        <v>26004</v>
      </c>
      <c r="I1581" s="26">
        <v>39387</v>
      </c>
      <c r="J1581">
        <v>2007</v>
      </c>
      <c r="K1581" t="s">
        <v>550</v>
      </c>
      <c r="L1581">
        <v>298</v>
      </c>
      <c r="M1581" t="s">
        <v>31839</v>
      </c>
      <c r="N1581">
        <v>1</v>
      </c>
      <c r="Q1581" t="s">
        <v>31840</v>
      </c>
      <c r="R1581">
        <v>364.2</v>
      </c>
      <c r="S1581" t="s">
        <v>31841</v>
      </c>
      <c r="T1581" t="s">
        <v>30</v>
      </c>
      <c r="U1581" t="s">
        <v>26044</v>
      </c>
      <c r="W1581" t="s">
        <v>26009</v>
      </c>
    </row>
    <row r="1582" spans="1:23" x14ac:dyDescent="0.35">
      <c r="A1582">
        <v>408489</v>
      </c>
      <c r="B1582" t="s">
        <v>31842</v>
      </c>
      <c r="C1582" t="str">
        <f>"9780226574417"</f>
        <v>9780226574417</v>
      </c>
      <c r="D1582" t="str">
        <f>"9780226574431"</f>
        <v>9780226574431</v>
      </c>
      <c r="E1582" t="s">
        <v>550</v>
      </c>
      <c r="F1582" t="s">
        <v>550</v>
      </c>
      <c r="G1582" t="s">
        <v>22352</v>
      </c>
      <c r="H1582" t="s">
        <v>26004</v>
      </c>
      <c r="I1582" s="26">
        <v>39340</v>
      </c>
      <c r="J1582">
        <v>2007</v>
      </c>
      <c r="K1582" t="s">
        <v>550</v>
      </c>
      <c r="L1582">
        <v>461</v>
      </c>
      <c r="M1582" t="s">
        <v>31843</v>
      </c>
      <c r="N1582">
        <v>1</v>
      </c>
      <c r="Q1582" t="s">
        <v>31844</v>
      </c>
      <c r="R1582" t="s">
        <v>30236</v>
      </c>
      <c r="S1582" t="s">
        <v>31845</v>
      </c>
      <c r="T1582" t="s">
        <v>30</v>
      </c>
      <c r="U1582" t="s">
        <v>5222</v>
      </c>
      <c r="W1582" t="s">
        <v>26009</v>
      </c>
    </row>
    <row r="1583" spans="1:23" x14ac:dyDescent="0.35">
      <c r="A1583">
        <v>408546</v>
      </c>
      <c r="B1583" t="s">
        <v>31846</v>
      </c>
      <c r="C1583" t="str">
        <f>"9780226026114"</f>
        <v>9780226026114</v>
      </c>
      <c r="D1583" t="str">
        <f>"9780226026138"</f>
        <v>9780226026138</v>
      </c>
      <c r="E1583" t="s">
        <v>550</v>
      </c>
      <c r="F1583" t="s">
        <v>550</v>
      </c>
      <c r="G1583" t="s">
        <v>22352</v>
      </c>
      <c r="H1583" t="s">
        <v>26004</v>
      </c>
      <c r="I1583" s="26">
        <v>39431</v>
      </c>
      <c r="J1583">
        <v>2007</v>
      </c>
      <c r="K1583" t="s">
        <v>550</v>
      </c>
      <c r="L1583">
        <v>387</v>
      </c>
      <c r="M1583" t="s">
        <v>31847</v>
      </c>
      <c r="N1583">
        <v>1</v>
      </c>
      <c r="Q1583" t="s">
        <v>31848</v>
      </c>
      <c r="R1583" t="s">
        <v>31849</v>
      </c>
      <c r="S1583" t="s">
        <v>31850</v>
      </c>
      <c r="T1583" t="s">
        <v>30</v>
      </c>
      <c r="U1583" t="s">
        <v>28111</v>
      </c>
      <c r="W1583" t="s">
        <v>26009</v>
      </c>
    </row>
    <row r="1584" spans="1:23" x14ac:dyDescent="0.35">
      <c r="A1584">
        <v>408762</v>
      </c>
      <c r="B1584" t="s">
        <v>31851</v>
      </c>
      <c r="C1584" t="str">
        <f>"9780814480540"</f>
        <v>9780814480540</v>
      </c>
      <c r="D1584" t="str">
        <f>"9780814409695"</f>
        <v>9780814409695</v>
      </c>
      <c r="E1584" t="s">
        <v>27558</v>
      </c>
      <c r="F1584" t="s">
        <v>8308</v>
      </c>
      <c r="G1584" t="s">
        <v>31852</v>
      </c>
      <c r="H1584" t="s">
        <v>26004</v>
      </c>
      <c r="I1584" s="26">
        <v>39463</v>
      </c>
      <c r="J1584">
        <v>2008</v>
      </c>
      <c r="K1584" t="s">
        <v>8308</v>
      </c>
      <c r="L1584">
        <v>289</v>
      </c>
      <c r="M1584" t="s">
        <v>31853</v>
      </c>
      <c r="N1584">
        <v>1</v>
      </c>
      <c r="Q1584" t="s">
        <v>31854</v>
      </c>
      <c r="R1584" t="s">
        <v>26857</v>
      </c>
      <c r="S1584" t="s">
        <v>31855</v>
      </c>
      <c r="T1584" t="s">
        <v>30</v>
      </c>
      <c r="U1584" t="s">
        <v>26044</v>
      </c>
      <c r="W1584" t="s">
        <v>26009</v>
      </c>
    </row>
    <row r="1585" spans="1:23" x14ac:dyDescent="0.35">
      <c r="A1585">
        <v>408794</v>
      </c>
      <c r="B1585" t="s">
        <v>31856</v>
      </c>
      <c r="C1585" t="str">
        <f>"9780814409411"</f>
        <v>9780814409411</v>
      </c>
      <c r="D1585" t="str">
        <f>"9780814410899"</f>
        <v>9780814410899</v>
      </c>
      <c r="E1585" t="s">
        <v>27558</v>
      </c>
      <c r="F1585" t="s">
        <v>8308</v>
      </c>
      <c r="G1585" t="s">
        <v>31852</v>
      </c>
      <c r="H1585" t="s">
        <v>26004</v>
      </c>
      <c r="I1585" s="26">
        <v>39608</v>
      </c>
      <c r="J1585">
        <v>2008</v>
      </c>
      <c r="K1585" t="s">
        <v>8308</v>
      </c>
      <c r="L1585">
        <v>193</v>
      </c>
      <c r="M1585" t="s">
        <v>31857</v>
      </c>
      <c r="N1585">
        <v>1</v>
      </c>
      <c r="Q1585" t="s">
        <v>31858</v>
      </c>
      <c r="R1585" t="s">
        <v>31859</v>
      </c>
      <c r="S1585" t="s">
        <v>31860</v>
      </c>
      <c r="T1585" t="s">
        <v>30</v>
      </c>
      <c r="U1585" t="s">
        <v>30031</v>
      </c>
      <c r="W1585" t="s">
        <v>26009</v>
      </c>
    </row>
    <row r="1586" spans="1:23" x14ac:dyDescent="0.35">
      <c r="A1586">
        <v>408800</v>
      </c>
      <c r="B1586" t="s">
        <v>9459</v>
      </c>
      <c r="C1586" t="str">
        <f>"9780814410134"</f>
        <v>9780814410134</v>
      </c>
      <c r="D1586" t="str">
        <f>"9780814410141"</f>
        <v>9780814410141</v>
      </c>
      <c r="E1586" t="s">
        <v>27558</v>
      </c>
      <c r="F1586" t="s">
        <v>8308</v>
      </c>
      <c r="G1586" t="s">
        <v>31861</v>
      </c>
      <c r="H1586" t="s">
        <v>26004</v>
      </c>
      <c r="I1586" s="26">
        <v>39608</v>
      </c>
      <c r="J1586">
        <v>2008</v>
      </c>
      <c r="K1586" t="s">
        <v>8308</v>
      </c>
      <c r="L1586">
        <v>129</v>
      </c>
      <c r="M1586" t="s">
        <v>31862</v>
      </c>
      <c r="N1586">
        <v>1</v>
      </c>
      <c r="Q1586" t="s">
        <v>31863</v>
      </c>
      <c r="T1586" t="s">
        <v>30</v>
      </c>
      <c r="U1586" t="s">
        <v>30031</v>
      </c>
      <c r="W1586" t="s">
        <v>31864</v>
      </c>
    </row>
    <row r="1587" spans="1:23" x14ac:dyDescent="0.35">
      <c r="A1587">
        <v>408944</v>
      </c>
      <c r="B1587" t="s">
        <v>31865</v>
      </c>
      <c r="C1587" t="str">
        <f>"9780805839890"</f>
        <v>9780805839890</v>
      </c>
      <c r="D1587" t="str">
        <f>"9781410606990"</f>
        <v>9781410606990</v>
      </c>
      <c r="E1587" t="s">
        <v>26010</v>
      </c>
      <c r="F1587" t="s">
        <v>35</v>
      </c>
      <c r="G1587" t="s">
        <v>22436</v>
      </c>
      <c r="H1587" t="s">
        <v>26004</v>
      </c>
      <c r="I1587" s="26">
        <v>37561</v>
      </c>
      <c r="J1587">
        <v>2003</v>
      </c>
      <c r="K1587" t="s">
        <v>26012</v>
      </c>
      <c r="L1587">
        <v>362</v>
      </c>
      <c r="M1587" t="s">
        <v>31866</v>
      </c>
      <c r="N1587">
        <v>1</v>
      </c>
      <c r="O1587" t="s">
        <v>27533</v>
      </c>
      <c r="Q1587" t="s">
        <v>31867</v>
      </c>
      <c r="R1587">
        <v>302.2</v>
      </c>
      <c r="S1587" t="s">
        <v>27675</v>
      </c>
      <c r="T1587" t="s">
        <v>30</v>
      </c>
      <c r="U1587" t="s">
        <v>26044</v>
      </c>
      <c r="W1587" t="s">
        <v>26009</v>
      </c>
    </row>
    <row r="1588" spans="1:23" x14ac:dyDescent="0.35">
      <c r="A1588">
        <v>408948</v>
      </c>
      <c r="B1588" t="s">
        <v>9301</v>
      </c>
      <c r="C1588" t="str">
        <f>"9780805820935"</f>
        <v>9780805820935</v>
      </c>
      <c r="D1588" t="str">
        <f>"9781410606808"</f>
        <v>9781410606808</v>
      </c>
      <c r="E1588" t="s">
        <v>26010</v>
      </c>
      <c r="F1588" t="s">
        <v>35</v>
      </c>
      <c r="G1588" t="s">
        <v>22436</v>
      </c>
      <c r="H1588" t="s">
        <v>26004</v>
      </c>
      <c r="I1588" s="26">
        <v>37561</v>
      </c>
      <c r="J1588">
        <v>2002</v>
      </c>
      <c r="K1588" t="s">
        <v>660</v>
      </c>
      <c r="L1588">
        <v>241</v>
      </c>
      <c r="M1588" t="s">
        <v>31868</v>
      </c>
      <c r="N1588">
        <v>1</v>
      </c>
      <c r="Q1588" t="s">
        <v>31869</v>
      </c>
      <c r="R1588" t="s">
        <v>26032</v>
      </c>
      <c r="S1588" t="s">
        <v>31870</v>
      </c>
      <c r="T1588" t="s">
        <v>30</v>
      </c>
      <c r="U1588" t="s">
        <v>46</v>
      </c>
      <c r="W1588" t="s">
        <v>26009</v>
      </c>
    </row>
    <row r="1589" spans="1:23" x14ac:dyDescent="0.35">
      <c r="A1589">
        <v>409764</v>
      </c>
      <c r="B1589" t="s">
        <v>8875</v>
      </c>
      <c r="C1589" t="str">
        <f>"9780335228706"</f>
        <v>9780335228706</v>
      </c>
      <c r="D1589" t="str">
        <f>"9780335236800"</f>
        <v>9780335236800</v>
      </c>
      <c r="E1589" t="s">
        <v>29061</v>
      </c>
      <c r="F1589" t="s">
        <v>7477</v>
      </c>
      <c r="G1589" t="s">
        <v>29062</v>
      </c>
      <c r="H1589" t="s">
        <v>26011</v>
      </c>
      <c r="I1589" s="26">
        <v>39753</v>
      </c>
      <c r="J1589">
        <v>2009</v>
      </c>
      <c r="K1589" t="s">
        <v>29063</v>
      </c>
      <c r="L1589">
        <v>244</v>
      </c>
      <c r="M1589" t="s">
        <v>27825</v>
      </c>
      <c r="N1589">
        <v>2</v>
      </c>
      <c r="Q1589" t="s">
        <v>31871</v>
      </c>
      <c r="R1589">
        <v>305.23</v>
      </c>
      <c r="S1589" t="s">
        <v>31872</v>
      </c>
      <c r="T1589" t="s">
        <v>30</v>
      </c>
      <c r="U1589" t="s">
        <v>26044</v>
      </c>
      <c r="W1589" t="s">
        <v>26009</v>
      </c>
    </row>
    <row r="1590" spans="1:23" x14ac:dyDescent="0.35">
      <c r="A1590">
        <v>410118</v>
      </c>
      <c r="B1590" t="s">
        <v>31873</v>
      </c>
      <c r="C1590" t="str">
        <f>"9780521886307"</f>
        <v>9780521886307</v>
      </c>
      <c r="D1590" t="str">
        <f>"9780511454806"</f>
        <v>9780511454806</v>
      </c>
      <c r="E1590" t="s">
        <v>167</v>
      </c>
      <c r="F1590" t="s">
        <v>167</v>
      </c>
      <c r="G1590" t="s">
        <v>22218</v>
      </c>
      <c r="H1590" t="s">
        <v>26011</v>
      </c>
      <c r="I1590" s="26">
        <v>39765</v>
      </c>
      <c r="J1590">
        <v>2008</v>
      </c>
      <c r="K1590" t="s">
        <v>167</v>
      </c>
      <c r="L1590">
        <v>499</v>
      </c>
      <c r="M1590" t="s">
        <v>31874</v>
      </c>
      <c r="N1590">
        <v>1</v>
      </c>
      <c r="Q1590" t="s">
        <v>31875</v>
      </c>
      <c r="R1590" t="s">
        <v>27789</v>
      </c>
      <c r="S1590" t="s">
        <v>31876</v>
      </c>
      <c r="T1590" t="s">
        <v>30</v>
      </c>
      <c r="U1590" t="s">
        <v>26019</v>
      </c>
      <c r="W1590" t="s">
        <v>26020</v>
      </c>
    </row>
    <row r="1591" spans="1:23" x14ac:dyDescent="0.35">
      <c r="A1591">
        <v>410422</v>
      </c>
      <c r="B1591" t="s">
        <v>7705</v>
      </c>
      <c r="C1591" t="str">
        <f>"9781875559879"</f>
        <v>9781875559879</v>
      </c>
      <c r="D1591" t="str">
        <f>"9781742190280"</f>
        <v>9781742190280</v>
      </c>
      <c r="E1591" t="s">
        <v>27422</v>
      </c>
      <c r="F1591" t="s">
        <v>7706</v>
      </c>
      <c r="G1591" t="s">
        <v>31877</v>
      </c>
      <c r="H1591" t="s">
        <v>31108</v>
      </c>
      <c r="I1591" s="26">
        <v>37405</v>
      </c>
      <c r="J1591">
        <v>2000</v>
      </c>
      <c r="K1591" t="s">
        <v>7706</v>
      </c>
      <c r="L1591">
        <v>249</v>
      </c>
      <c r="M1591" t="s">
        <v>31878</v>
      </c>
      <c r="N1591">
        <v>1</v>
      </c>
      <c r="Q1591" t="s">
        <v>31879</v>
      </c>
      <c r="R1591">
        <v>306</v>
      </c>
      <c r="S1591" t="s">
        <v>7707</v>
      </c>
      <c r="T1591" t="s">
        <v>30</v>
      </c>
      <c r="U1591" t="s">
        <v>26044</v>
      </c>
      <c r="W1591" t="s">
        <v>31880</v>
      </c>
    </row>
    <row r="1592" spans="1:23" x14ac:dyDescent="0.35">
      <c r="A1592">
        <v>410446</v>
      </c>
      <c r="B1592" t="s">
        <v>9348</v>
      </c>
      <c r="C1592" t="str">
        <f>"9781876756086"</f>
        <v>9781876756086</v>
      </c>
      <c r="D1592" t="str">
        <f>"9781742191447"</f>
        <v>9781742191447</v>
      </c>
      <c r="E1592" t="s">
        <v>27422</v>
      </c>
      <c r="F1592" t="s">
        <v>7706</v>
      </c>
      <c r="G1592" t="s">
        <v>31877</v>
      </c>
      <c r="H1592" t="s">
        <v>26004</v>
      </c>
      <c r="I1592" s="26">
        <v>37135</v>
      </c>
      <c r="J1592">
        <v>2001</v>
      </c>
      <c r="K1592" t="s">
        <v>7706</v>
      </c>
      <c r="L1592">
        <v>298</v>
      </c>
      <c r="M1592" t="s">
        <v>31881</v>
      </c>
      <c r="N1592">
        <v>1</v>
      </c>
      <c r="Q1592" t="s">
        <v>31882</v>
      </c>
      <c r="R1592">
        <v>305.42</v>
      </c>
      <c r="S1592" t="s">
        <v>31883</v>
      </c>
      <c r="T1592" t="s">
        <v>30</v>
      </c>
      <c r="U1592" t="s">
        <v>26044</v>
      </c>
      <c r="W1592" t="s">
        <v>31880</v>
      </c>
    </row>
    <row r="1593" spans="1:23" x14ac:dyDescent="0.35">
      <c r="A1593">
        <v>410460</v>
      </c>
      <c r="B1593" t="s">
        <v>31884</v>
      </c>
      <c r="C1593" t="str">
        <f>"9781876756222"</f>
        <v>9781876756222</v>
      </c>
      <c r="D1593" t="str">
        <f>"9781742192086"</f>
        <v>9781742192086</v>
      </c>
      <c r="E1593" t="s">
        <v>27422</v>
      </c>
      <c r="F1593" t="s">
        <v>7706</v>
      </c>
      <c r="G1593" t="s">
        <v>31877</v>
      </c>
      <c r="H1593" t="s">
        <v>31108</v>
      </c>
      <c r="I1593" s="26">
        <v>37438</v>
      </c>
      <c r="J1593">
        <v>2002</v>
      </c>
      <c r="K1593" t="s">
        <v>7706</v>
      </c>
      <c r="L1593">
        <v>341</v>
      </c>
      <c r="M1593" t="s">
        <v>31885</v>
      </c>
      <c r="N1593">
        <v>1</v>
      </c>
      <c r="Q1593" t="s">
        <v>31886</v>
      </c>
      <c r="R1593">
        <v>306.0899915</v>
      </c>
      <c r="S1593" t="s">
        <v>10102</v>
      </c>
      <c r="T1593" t="s">
        <v>30</v>
      </c>
      <c r="U1593" t="s">
        <v>30342</v>
      </c>
      <c r="W1593" t="s">
        <v>31887</v>
      </c>
    </row>
    <row r="1594" spans="1:23" x14ac:dyDescent="0.35">
      <c r="A1594">
        <v>410465</v>
      </c>
      <c r="B1594" t="s">
        <v>31888</v>
      </c>
      <c r="C1594" t="str">
        <f>"9781876756123"</f>
        <v>9781876756123</v>
      </c>
      <c r="D1594" t="str">
        <f>"9781742192321"</f>
        <v>9781742192321</v>
      </c>
      <c r="E1594" t="s">
        <v>27422</v>
      </c>
      <c r="F1594" t="s">
        <v>7706</v>
      </c>
      <c r="G1594" t="s">
        <v>31877</v>
      </c>
      <c r="H1594" t="s">
        <v>26004</v>
      </c>
      <c r="I1594" s="26">
        <v>37104</v>
      </c>
      <c r="J1594">
        <v>2001</v>
      </c>
      <c r="K1594" t="s">
        <v>7706</v>
      </c>
      <c r="L1594">
        <v>546</v>
      </c>
      <c r="M1594" t="s">
        <v>31889</v>
      </c>
      <c r="N1594">
        <v>1</v>
      </c>
      <c r="Q1594" t="s">
        <v>31890</v>
      </c>
      <c r="R1594">
        <v>616.99449000000004</v>
      </c>
      <c r="S1594" t="s">
        <v>31891</v>
      </c>
      <c r="T1594" t="s">
        <v>30</v>
      </c>
      <c r="U1594" t="s">
        <v>26040</v>
      </c>
      <c r="W1594" t="s">
        <v>31880</v>
      </c>
    </row>
    <row r="1595" spans="1:23" x14ac:dyDescent="0.35">
      <c r="A1595">
        <v>410665</v>
      </c>
      <c r="B1595" t="s">
        <v>31892</v>
      </c>
      <c r="C1595" t="str">
        <f>"9789053566886"</f>
        <v>9789053566886</v>
      </c>
      <c r="D1595" t="str">
        <f>"9789048505333"</f>
        <v>9789048505333</v>
      </c>
      <c r="E1595" t="s">
        <v>7497</v>
      </c>
      <c r="F1595" t="s">
        <v>7497</v>
      </c>
      <c r="G1595" t="s">
        <v>22222</v>
      </c>
      <c r="H1595" t="s">
        <v>27983</v>
      </c>
      <c r="I1595" s="26">
        <v>37987</v>
      </c>
      <c r="J1595">
        <v>2004</v>
      </c>
      <c r="K1595" t="s">
        <v>31893</v>
      </c>
      <c r="L1595">
        <v>161</v>
      </c>
      <c r="M1595" t="s">
        <v>31894</v>
      </c>
      <c r="N1595">
        <v>1</v>
      </c>
      <c r="Q1595" t="s">
        <v>31895</v>
      </c>
      <c r="R1595" t="s">
        <v>31896</v>
      </c>
      <c r="S1595" t="s">
        <v>31897</v>
      </c>
      <c r="T1595" t="s">
        <v>30</v>
      </c>
      <c r="U1595" t="s">
        <v>28111</v>
      </c>
      <c r="W1595" t="s">
        <v>26009</v>
      </c>
    </row>
    <row r="1596" spans="1:23" x14ac:dyDescent="0.35">
      <c r="A1596">
        <v>410675</v>
      </c>
      <c r="B1596" t="s">
        <v>7606</v>
      </c>
      <c r="C1596" t="str">
        <f>"9781593859985"</f>
        <v>9781593859985</v>
      </c>
      <c r="D1596" t="str">
        <f>"9781606230817"</f>
        <v>9781606230817</v>
      </c>
      <c r="E1596" t="s">
        <v>30112</v>
      </c>
      <c r="F1596" t="s">
        <v>7420</v>
      </c>
      <c r="G1596" t="s">
        <v>22179</v>
      </c>
      <c r="H1596" t="s">
        <v>26004</v>
      </c>
      <c r="I1596" s="26">
        <v>39792</v>
      </c>
      <c r="J1596">
        <v>2009</v>
      </c>
      <c r="K1596" t="s">
        <v>30113</v>
      </c>
      <c r="L1596">
        <v>544</v>
      </c>
      <c r="M1596" t="s">
        <v>31898</v>
      </c>
      <c r="N1596">
        <v>1</v>
      </c>
      <c r="Q1596" t="s">
        <v>31899</v>
      </c>
      <c r="R1596" t="s">
        <v>28543</v>
      </c>
      <c r="S1596" t="s">
        <v>31900</v>
      </c>
      <c r="T1596" t="s">
        <v>30</v>
      </c>
      <c r="U1596" t="s">
        <v>26116</v>
      </c>
      <c r="W1596" t="s">
        <v>28347</v>
      </c>
    </row>
    <row r="1597" spans="1:23" x14ac:dyDescent="0.35">
      <c r="A1597">
        <v>412813</v>
      </c>
      <c r="B1597" t="s">
        <v>31901</v>
      </c>
      <c r="C1597" t="str">
        <f>"9780521884228"</f>
        <v>9780521884228</v>
      </c>
      <c r="D1597" t="str">
        <f>"9780511477287"</f>
        <v>9780511477287</v>
      </c>
      <c r="E1597" t="s">
        <v>167</v>
      </c>
      <c r="F1597" t="s">
        <v>167</v>
      </c>
      <c r="G1597" t="s">
        <v>22179</v>
      </c>
      <c r="H1597" t="s">
        <v>26004</v>
      </c>
      <c r="I1597" s="26">
        <v>39545</v>
      </c>
      <c r="J1597">
        <v>2008</v>
      </c>
      <c r="K1597" t="s">
        <v>167</v>
      </c>
      <c r="L1597">
        <v>254</v>
      </c>
      <c r="M1597" t="s">
        <v>31902</v>
      </c>
      <c r="N1597">
        <v>1</v>
      </c>
      <c r="Q1597" t="s">
        <v>31903</v>
      </c>
      <c r="R1597">
        <v>616.85209999999995</v>
      </c>
      <c r="S1597" t="s">
        <v>10047</v>
      </c>
      <c r="T1597" t="s">
        <v>30</v>
      </c>
      <c r="U1597" t="s">
        <v>26116</v>
      </c>
      <c r="W1597" t="s">
        <v>26020</v>
      </c>
    </row>
    <row r="1598" spans="1:23" x14ac:dyDescent="0.35">
      <c r="A1598">
        <v>412845</v>
      </c>
      <c r="B1598" t="s">
        <v>31904</v>
      </c>
      <c r="C1598" t="str">
        <f>"9781843109495"</f>
        <v>9781843109495</v>
      </c>
      <c r="D1598" t="str">
        <f>"9781846428906"</f>
        <v>9781846428906</v>
      </c>
      <c r="E1598" t="s">
        <v>146</v>
      </c>
      <c r="F1598" t="s">
        <v>146</v>
      </c>
      <c r="G1598" t="s">
        <v>22174</v>
      </c>
      <c r="H1598" t="s">
        <v>26011</v>
      </c>
      <c r="I1598" s="26">
        <v>39797</v>
      </c>
      <c r="J1598">
        <v>2008</v>
      </c>
      <c r="K1598" t="s">
        <v>146</v>
      </c>
      <c r="L1598">
        <v>242</v>
      </c>
      <c r="M1598" t="s">
        <v>31905</v>
      </c>
      <c r="N1598">
        <v>1</v>
      </c>
      <c r="O1598" t="s">
        <v>29188</v>
      </c>
      <c r="R1598" t="s">
        <v>28587</v>
      </c>
      <c r="S1598" t="s">
        <v>31906</v>
      </c>
      <c r="T1598" t="s">
        <v>30</v>
      </c>
      <c r="U1598" t="s">
        <v>26127</v>
      </c>
      <c r="W1598" t="s">
        <v>28347</v>
      </c>
    </row>
    <row r="1599" spans="1:23" x14ac:dyDescent="0.35">
      <c r="A1599">
        <v>412848</v>
      </c>
      <c r="B1599" t="s">
        <v>31907</v>
      </c>
      <c r="C1599" t="str">
        <f>"9781843106401"</f>
        <v>9781843106401</v>
      </c>
      <c r="D1599" t="str">
        <f>"9781846428647"</f>
        <v>9781846428647</v>
      </c>
      <c r="E1599" t="s">
        <v>146</v>
      </c>
      <c r="F1599" t="s">
        <v>146</v>
      </c>
      <c r="G1599" t="s">
        <v>22174</v>
      </c>
      <c r="H1599" t="s">
        <v>26011</v>
      </c>
      <c r="I1599" s="26">
        <v>39767</v>
      </c>
      <c r="J1599">
        <v>2008</v>
      </c>
      <c r="K1599" t="s">
        <v>146</v>
      </c>
      <c r="L1599">
        <v>280</v>
      </c>
      <c r="M1599" t="s">
        <v>31908</v>
      </c>
      <c r="N1599">
        <v>1</v>
      </c>
      <c r="O1599" t="s">
        <v>29188</v>
      </c>
      <c r="R1599">
        <v>616.85810000000004</v>
      </c>
      <c r="S1599" t="s">
        <v>31909</v>
      </c>
      <c r="T1599" t="s">
        <v>30</v>
      </c>
      <c r="U1599" t="s">
        <v>26040</v>
      </c>
      <c r="W1599" t="s">
        <v>28347</v>
      </c>
    </row>
    <row r="1600" spans="1:23" x14ac:dyDescent="0.35">
      <c r="A1600">
        <v>412850</v>
      </c>
      <c r="B1600" t="s">
        <v>31910</v>
      </c>
      <c r="C1600" t="str">
        <f>"9781843108559"</f>
        <v>9781843108559</v>
      </c>
      <c r="D1600" t="str">
        <f>"9781846428852"</f>
        <v>9781846428852</v>
      </c>
      <c r="E1600" t="s">
        <v>146</v>
      </c>
      <c r="F1600" t="s">
        <v>146</v>
      </c>
      <c r="G1600" t="s">
        <v>22174</v>
      </c>
      <c r="H1600" t="s">
        <v>26011</v>
      </c>
      <c r="I1600" s="26">
        <v>39828</v>
      </c>
      <c r="J1600">
        <v>2009</v>
      </c>
      <c r="K1600" t="s">
        <v>146</v>
      </c>
      <c r="L1600">
        <v>353</v>
      </c>
      <c r="M1600" t="s">
        <v>31911</v>
      </c>
      <c r="N1600">
        <v>1</v>
      </c>
      <c r="Q1600" t="s">
        <v>31912</v>
      </c>
      <c r="R1600" t="s">
        <v>28378</v>
      </c>
      <c r="S1600" t="s">
        <v>31913</v>
      </c>
      <c r="T1600" t="s">
        <v>30</v>
      </c>
      <c r="U1600" t="s">
        <v>26116</v>
      </c>
      <c r="W1600" t="s">
        <v>28347</v>
      </c>
    </row>
    <row r="1601" spans="1:23" x14ac:dyDescent="0.35">
      <c r="A1601">
        <v>412854</v>
      </c>
      <c r="B1601" t="s">
        <v>31914</v>
      </c>
      <c r="C1601" t="str">
        <f>"9781843105251"</f>
        <v>9781843105251</v>
      </c>
      <c r="D1601" t="str">
        <f>"9781846428838"</f>
        <v>9781846428838</v>
      </c>
      <c r="E1601" t="s">
        <v>146</v>
      </c>
      <c r="F1601" t="s">
        <v>146</v>
      </c>
      <c r="G1601" t="s">
        <v>22174</v>
      </c>
      <c r="H1601" t="s">
        <v>26011</v>
      </c>
      <c r="I1601" s="26">
        <v>39797</v>
      </c>
      <c r="J1601">
        <v>2008</v>
      </c>
      <c r="K1601" t="s">
        <v>146</v>
      </c>
      <c r="L1601">
        <v>193</v>
      </c>
      <c r="M1601" t="s">
        <v>31915</v>
      </c>
      <c r="N1601">
        <v>1</v>
      </c>
      <c r="R1601">
        <v>362.82083499999999</v>
      </c>
      <c r="S1601" t="s">
        <v>31916</v>
      </c>
      <c r="T1601" t="s">
        <v>30</v>
      </c>
      <c r="U1601" t="s">
        <v>26044</v>
      </c>
      <c r="W1601" t="s">
        <v>28347</v>
      </c>
    </row>
    <row r="1602" spans="1:23" x14ac:dyDescent="0.35">
      <c r="A1602">
        <v>412857</v>
      </c>
      <c r="B1602" t="s">
        <v>31917</v>
      </c>
      <c r="C1602" t="str">
        <f>"9781843109396"</f>
        <v>9781843109396</v>
      </c>
      <c r="D1602" t="str">
        <f>"9781846428609"</f>
        <v>9781846428609</v>
      </c>
      <c r="E1602" t="s">
        <v>146</v>
      </c>
      <c r="F1602" t="s">
        <v>146</v>
      </c>
      <c r="G1602" t="s">
        <v>22174</v>
      </c>
      <c r="H1602" t="s">
        <v>26011</v>
      </c>
      <c r="I1602" s="26">
        <v>39736</v>
      </c>
      <c r="J1602">
        <v>2008</v>
      </c>
      <c r="K1602" t="s">
        <v>146</v>
      </c>
      <c r="L1602">
        <v>274</v>
      </c>
      <c r="M1602" t="s">
        <v>31918</v>
      </c>
      <c r="N1602">
        <v>1</v>
      </c>
      <c r="Q1602" t="s">
        <v>31919</v>
      </c>
      <c r="R1602">
        <v>616.85882065400006</v>
      </c>
      <c r="S1602" t="s">
        <v>31920</v>
      </c>
      <c r="T1602" t="s">
        <v>30</v>
      </c>
      <c r="U1602" t="s">
        <v>26019</v>
      </c>
      <c r="W1602" t="s">
        <v>28347</v>
      </c>
    </row>
    <row r="1603" spans="1:23" x14ac:dyDescent="0.35">
      <c r="A1603">
        <v>412867</v>
      </c>
      <c r="B1603" t="s">
        <v>31921</v>
      </c>
      <c r="C1603" t="str">
        <f>"9781843106777"</f>
        <v>9781843106777</v>
      </c>
      <c r="D1603" t="str">
        <f>"9781846428791"</f>
        <v>9781846428791</v>
      </c>
      <c r="E1603" t="s">
        <v>146</v>
      </c>
      <c r="F1603" t="s">
        <v>146</v>
      </c>
      <c r="G1603" t="s">
        <v>22174</v>
      </c>
      <c r="H1603" t="s">
        <v>26011</v>
      </c>
      <c r="I1603" s="26">
        <v>38975</v>
      </c>
      <c r="J1603">
        <v>2008</v>
      </c>
      <c r="K1603" t="s">
        <v>146</v>
      </c>
      <c r="L1603">
        <v>151</v>
      </c>
      <c r="M1603" t="s">
        <v>31922</v>
      </c>
      <c r="N1603">
        <v>1</v>
      </c>
      <c r="Q1603" t="s">
        <v>31923</v>
      </c>
      <c r="R1603" t="s">
        <v>31305</v>
      </c>
      <c r="S1603" t="s">
        <v>31924</v>
      </c>
      <c r="T1603" t="s">
        <v>30</v>
      </c>
      <c r="U1603" t="s">
        <v>31925</v>
      </c>
      <c r="W1603" t="s">
        <v>28347</v>
      </c>
    </row>
    <row r="1604" spans="1:23" x14ac:dyDescent="0.35">
      <c r="A1604">
        <v>412868</v>
      </c>
      <c r="B1604" t="s">
        <v>31926</v>
      </c>
      <c r="C1604" t="str">
        <f>"9781843108948"</f>
        <v>9781843108948</v>
      </c>
      <c r="D1604" t="str">
        <f>"9781846428579"</f>
        <v>9781846428579</v>
      </c>
      <c r="E1604" t="s">
        <v>146</v>
      </c>
      <c r="F1604" t="s">
        <v>146</v>
      </c>
      <c r="G1604" t="s">
        <v>22174</v>
      </c>
      <c r="H1604" t="s">
        <v>26011</v>
      </c>
      <c r="I1604" s="26">
        <v>39736</v>
      </c>
      <c r="J1604">
        <v>2008</v>
      </c>
      <c r="K1604" t="s">
        <v>146</v>
      </c>
      <c r="L1604">
        <v>433</v>
      </c>
      <c r="M1604" t="s">
        <v>31927</v>
      </c>
      <c r="N1604">
        <v>1</v>
      </c>
      <c r="Q1604" t="s">
        <v>31928</v>
      </c>
      <c r="R1604" t="s">
        <v>28378</v>
      </c>
      <c r="S1604" t="s">
        <v>31929</v>
      </c>
      <c r="T1604" t="s">
        <v>30</v>
      </c>
      <c r="U1604" t="s">
        <v>26116</v>
      </c>
      <c r="W1604" t="s">
        <v>28347</v>
      </c>
    </row>
    <row r="1605" spans="1:23" x14ac:dyDescent="0.35">
      <c r="A1605">
        <v>412874</v>
      </c>
      <c r="B1605" t="s">
        <v>31930</v>
      </c>
      <c r="C1605" t="str">
        <f>"9781843109044"</f>
        <v>9781843109044</v>
      </c>
      <c r="D1605" t="str">
        <f>"9781846428708"</f>
        <v>9781846428708</v>
      </c>
      <c r="E1605" t="s">
        <v>146</v>
      </c>
      <c r="F1605" t="s">
        <v>146</v>
      </c>
      <c r="G1605" t="s">
        <v>22174</v>
      </c>
      <c r="H1605" t="s">
        <v>26011</v>
      </c>
      <c r="I1605" s="26">
        <v>39767</v>
      </c>
      <c r="J1605">
        <v>2008</v>
      </c>
      <c r="K1605" t="s">
        <v>146</v>
      </c>
      <c r="L1605">
        <v>274</v>
      </c>
      <c r="M1605" t="s">
        <v>31931</v>
      </c>
      <c r="N1605">
        <v>1</v>
      </c>
      <c r="R1605" t="s">
        <v>31932</v>
      </c>
      <c r="T1605" t="s">
        <v>30</v>
      </c>
      <c r="U1605" t="s">
        <v>26040</v>
      </c>
      <c r="W1605" t="s">
        <v>28347</v>
      </c>
    </row>
    <row r="1606" spans="1:23" x14ac:dyDescent="0.35">
      <c r="A1606">
        <v>412876</v>
      </c>
      <c r="B1606" t="s">
        <v>31933</v>
      </c>
      <c r="C1606" t="str">
        <f>"9781843107606"</f>
        <v>9781843107606</v>
      </c>
      <c r="D1606" t="str">
        <f>"9781846428524"</f>
        <v>9781846428524</v>
      </c>
      <c r="E1606" t="s">
        <v>146</v>
      </c>
      <c r="F1606" t="s">
        <v>146</v>
      </c>
      <c r="G1606" t="s">
        <v>22174</v>
      </c>
      <c r="H1606" t="s">
        <v>26011</v>
      </c>
      <c r="I1606" s="26">
        <v>39736</v>
      </c>
      <c r="J1606">
        <v>2008</v>
      </c>
      <c r="K1606" t="s">
        <v>146</v>
      </c>
      <c r="L1606">
        <v>253</v>
      </c>
      <c r="M1606" t="s">
        <v>31934</v>
      </c>
      <c r="N1606">
        <v>1</v>
      </c>
      <c r="Q1606" t="s">
        <v>31935</v>
      </c>
      <c r="R1606" t="s">
        <v>27110</v>
      </c>
      <c r="S1606" t="s">
        <v>31936</v>
      </c>
      <c r="T1606" t="s">
        <v>30</v>
      </c>
      <c r="U1606" t="s">
        <v>26019</v>
      </c>
      <c r="W1606" t="s">
        <v>28347</v>
      </c>
    </row>
    <row r="1607" spans="1:23" x14ac:dyDescent="0.35">
      <c r="A1607">
        <v>412877</v>
      </c>
      <c r="B1607" t="s">
        <v>31937</v>
      </c>
      <c r="C1607" t="str">
        <f>"9781843105756"</f>
        <v>9781843105756</v>
      </c>
      <c r="D1607" t="str">
        <f>"9781846428784"</f>
        <v>9781846428784</v>
      </c>
      <c r="E1607" t="s">
        <v>146</v>
      </c>
      <c r="F1607" t="s">
        <v>146</v>
      </c>
      <c r="G1607" t="s">
        <v>22174</v>
      </c>
      <c r="H1607" t="s">
        <v>26011</v>
      </c>
      <c r="I1607" s="26">
        <v>39767</v>
      </c>
      <c r="J1607">
        <v>2008</v>
      </c>
      <c r="K1607" t="s">
        <v>146</v>
      </c>
      <c r="L1607">
        <v>210</v>
      </c>
      <c r="M1607" t="s">
        <v>31938</v>
      </c>
      <c r="N1607">
        <v>1</v>
      </c>
      <c r="Q1607" t="s">
        <v>31939</v>
      </c>
      <c r="R1607" t="s">
        <v>28830</v>
      </c>
      <c r="S1607" t="s">
        <v>31940</v>
      </c>
      <c r="T1607" t="s">
        <v>30</v>
      </c>
      <c r="U1607" t="s">
        <v>26116</v>
      </c>
      <c r="W1607" t="s">
        <v>28347</v>
      </c>
    </row>
    <row r="1608" spans="1:23" x14ac:dyDescent="0.35">
      <c r="A1608">
        <v>412880</v>
      </c>
      <c r="B1608" t="s">
        <v>31941</v>
      </c>
      <c r="C1608" t="str">
        <f>"9781843108801"</f>
        <v>9781843108801</v>
      </c>
      <c r="D1608" t="str">
        <f>"9781846428876"</f>
        <v>9781846428876</v>
      </c>
      <c r="E1608" t="s">
        <v>146</v>
      </c>
      <c r="F1608" t="s">
        <v>146</v>
      </c>
      <c r="G1608" t="s">
        <v>22174</v>
      </c>
      <c r="H1608" t="s">
        <v>26011</v>
      </c>
      <c r="I1608" s="26">
        <v>39797</v>
      </c>
      <c r="J1608">
        <v>2008</v>
      </c>
      <c r="K1608" t="s">
        <v>146</v>
      </c>
      <c r="L1608">
        <v>482</v>
      </c>
      <c r="M1608" t="s">
        <v>31942</v>
      </c>
      <c r="N1608">
        <v>1</v>
      </c>
      <c r="T1608" t="s">
        <v>30</v>
      </c>
      <c r="U1608" t="s">
        <v>29259</v>
      </c>
      <c r="W1608" t="s">
        <v>28347</v>
      </c>
    </row>
    <row r="1609" spans="1:23" x14ac:dyDescent="0.35">
      <c r="A1609">
        <v>413035</v>
      </c>
      <c r="B1609" t="s">
        <v>31943</v>
      </c>
      <c r="C1609" t="str">
        <f>"9780972468282"</f>
        <v>9780972468282</v>
      </c>
      <c r="D1609" t="str">
        <f>"9781605571553"</f>
        <v>9781605571553</v>
      </c>
      <c r="E1609" t="s">
        <v>30352</v>
      </c>
      <c r="F1609" t="s">
        <v>7690</v>
      </c>
      <c r="G1609" t="s">
        <v>31944</v>
      </c>
      <c r="H1609" t="s">
        <v>26004</v>
      </c>
      <c r="I1609" s="26">
        <v>38718</v>
      </c>
      <c r="J1609">
        <v>2006</v>
      </c>
      <c r="K1609" t="s">
        <v>7690</v>
      </c>
      <c r="L1609">
        <v>275</v>
      </c>
      <c r="M1609" t="s">
        <v>31945</v>
      </c>
      <c r="N1609">
        <v>1</v>
      </c>
      <c r="Q1609" t="s">
        <v>31946</v>
      </c>
      <c r="R1609">
        <v>618.92858820000004</v>
      </c>
      <c r="S1609" t="s">
        <v>31947</v>
      </c>
      <c r="T1609" t="s">
        <v>30</v>
      </c>
      <c r="U1609" t="s">
        <v>26019</v>
      </c>
      <c r="W1609" t="s">
        <v>26009</v>
      </c>
    </row>
    <row r="1610" spans="1:23" x14ac:dyDescent="0.35">
      <c r="A1610">
        <v>413215</v>
      </c>
      <c r="B1610" t="s">
        <v>9676</v>
      </c>
      <c r="C1610" t="str">
        <f>"9780807854419"</f>
        <v>9780807854419</v>
      </c>
      <c r="D1610" t="str">
        <f>"9780807862315"</f>
        <v>9780807862315</v>
      </c>
      <c r="E1610" t="s">
        <v>31948</v>
      </c>
      <c r="F1610" t="s">
        <v>2866</v>
      </c>
      <c r="G1610" t="s">
        <v>23742</v>
      </c>
      <c r="H1610" t="s">
        <v>26004</v>
      </c>
      <c r="I1610" s="26">
        <v>37711</v>
      </c>
      <c r="J1610">
        <v>2003</v>
      </c>
      <c r="K1610" t="s">
        <v>2866</v>
      </c>
      <c r="L1610">
        <v>348</v>
      </c>
      <c r="M1610" t="s">
        <v>31949</v>
      </c>
      <c r="N1610">
        <v>1</v>
      </c>
      <c r="Q1610" t="s">
        <v>31950</v>
      </c>
      <c r="R1610" t="s">
        <v>31951</v>
      </c>
      <c r="S1610" t="s">
        <v>31952</v>
      </c>
      <c r="T1610" t="s">
        <v>30</v>
      </c>
      <c r="U1610" t="s">
        <v>31953</v>
      </c>
      <c r="W1610" t="s">
        <v>26009</v>
      </c>
    </row>
    <row r="1611" spans="1:23" x14ac:dyDescent="0.35">
      <c r="A1611">
        <v>413261</v>
      </c>
      <c r="B1611" t="s">
        <v>31954</v>
      </c>
      <c r="C1611" t="str">
        <f>"9780807853726"</f>
        <v>9780807853726</v>
      </c>
      <c r="D1611" t="str">
        <f>"9780807861479"</f>
        <v>9780807861479</v>
      </c>
      <c r="E1611" t="s">
        <v>31948</v>
      </c>
      <c r="F1611" t="s">
        <v>2866</v>
      </c>
      <c r="G1611" t="s">
        <v>23742</v>
      </c>
      <c r="H1611" t="s">
        <v>26004</v>
      </c>
      <c r="I1611" s="26">
        <v>37529</v>
      </c>
      <c r="J1611">
        <v>2002</v>
      </c>
      <c r="K1611" t="s">
        <v>2866</v>
      </c>
      <c r="L1611">
        <v>360</v>
      </c>
      <c r="M1611" t="s">
        <v>31955</v>
      </c>
      <c r="N1611">
        <v>1</v>
      </c>
      <c r="Q1611" t="s">
        <v>31956</v>
      </c>
      <c r="R1611">
        <v>972.95050000000003</v>
      </c>
      <c r="S1611" t="s">
        <v>31957</v>
      </c>
      <c r="T1611" t="s">
        <v>30</v>
      </c>
      <c r="U1611" t="s">
        <v>402</v>
      </c>
      <c r="W1611" t="s">
        <v>26009</v>
      </c>
    </row>
    <row r="1612" spans="1:23" x14ac:dyDescent="0.35">
      <c r="A1612">
        <v>413285</v>
      </c>
      <c r="B1612" t="s">
        <v>31958</v>
      </c>
      <c r="C1612" t="str">
        <f>"9780807856949"</f>
        <v>9780807856949</v>
      </c>
      <c r="D1612" t="str">
        <f>"9780807877104"</f>
        <v>9780807877104</v>
      </c>
      <c r="E1612" t="s">
        <v>31948</v>
      </c>
      <c r="F1612" t="s">
        <v>2866</v>
      </c>
      <c r="G1612" t="s">
        <v>23742</v>
      </c>
      <c r="H1612" t="s">
        <v>26004</v>
      </c>
      <c r="I1612" s="26">
        <v>38852</v>
      </c>
      <c r="J1612">
        <v>2006</v>
      </c>
      <c r="K1612" t="s">
        <v>2866</v>
      </c>
      <c r="L1612">
        <v>270</v>
      </c>
      <c r="M1612" t="s">
        <v>31959</v>
      </c>
      <c r="N1612">
        <v>1</v>
      </c>
      <c r="Q1612" t="s">
        <v>31960</v>
      </c>
      <c r="R1612">
        <v>306.70819999999998</v>
      </c>
      <c r="S1612" t="s">
        <v>31961</v>
      </c>
      <c r="T1612" t="s">
        <v>30</v>
      </c>
      <c r="U1612" t="s">
        <v>26044</v>
      </c>
      <c r="W1612" t="s">
        <v>26009</v>
      </c>
    </row>
    <row r="1613" spans="1:23" x14ac:dyDescent="0.35">
      <c r="A1613">
        <v>415032</v>
      </c>
      <c r="B1613" t="s">
        <v>31962</v>
      </c>
      <c r="C1613" t="str">
        <f>"9780195341638"</f>
        <v>9780195341638</v>
      </c>
      <c r="D1613" t="str">
        <f>"9780199712069"</f>
        <v>9780199712069</v>
      </c>
      <c r="E1613" t="s">
        <v>371</v>
      </c>
      <c r="F1613" t="s">
        <v>31</v>
      </c>
      <c r="G1613" t="s">
        <v>22703</v>
      </c>
      <c r="H1613" t="s">
        <v>26004</v>
      </c>
      <c r="I1613" s="26">
        <v>39503</v>
      </c>
      <c r="J1613">
        <v>2008</v>
      </c>
      <c r="K1613" t="s">
        <v>31</v>
      </c>
      <c r="L1613">
        <v>252</v>
      </c>
      <c r="M1613" t="s">
        <v>31963</v>
      </c>
      <c r="O1613" t="s">
        <v>28565</v>
      </c>
      <c r="Q1613" t="s">
        <v>31964</v>
      </c>
      <c r="R1613">
        <v>616.89142000000004</v>
      </c>
      <c r="S1613" t="s">
        <v>31965</v>
      </c>
      <c r="T1613" t="s">
        <v>30</v>
      </c>
      <c r="U1613" t="s">
        <v>26040</v>
      </c>
      <c r="W1613" t="s">
        <v>26009</v>
      </c>
    </row>
    <row r="1614" spans="1:23" x14ac:dyDescent="0.35">
      <c r="A1614">
        <v>415039</v>
      </c>
      <c r="B1614" t="s">
        <v>8566</v>
      </c>
      <c r="C1614" t="str">
        <f>"9780195310641"</f>
        <v>9780195310641</v>
      </c>
      <c r="D1614" t="str">
        <f>"9780198042457"</f>
        <v>9780198042457</v>
      </c>
      <c r="E1614" t="s">
        <v>371</v>
      </c>
      <c r="F1614" t="s">
        <v>31</v>
      </c>
      <c r="G1614" t="s">
        <v>22703</v>
      </c>
      <c r="H1614" t="s">
        <v>26004</v>
      </c>
      <c r="I1614" s="26">
        <v>39528</v>
      </c>
      <c r="J1614">
        <v>2008</v>
      </c>
      <c r="K1614" t="s">
        <v>31</v>
      </c>
      <c r="L1614">
        <v>2214</v>
      </c>
      <c r="M1614" t="s">
        <v>31966</v>
      </c>
      <c r="O1614" t="s">
        <v>31967</v>
      </c>
      <c r="Q1614" t="s">
        <v>31968</v>
      </c>
      <c r="R1614">
        <v>616.89075000000003</v>
      </c>
      <c r="S1614" t="s">
        <v>31969</v>
      </c>
      <c r="T1614" t="s">
        <v>30</v>
      </c>
      <c r="U1614" t="s">
        <v>26019</v>
      </c>
      <c r="W1614" t="s">
        <v>26009</v>
      </c>
    </row>
    <row r="1615" spans="1:23" x14ac:dyDescent="0.35">
      <c r="A1615">
        <v>415057</v>
      </c>
      <c r="B1615" t="s">
        <v>31970</v>
      </c>
      <c r="C1615" t="str">
        <f>"9780195306255"</f>
        <v>9780195306255</v>
      </c>
      <c r="D1615" t="str">
        <f>"9780198041801"</f>
        <v>9780198041801</v>
      </c>
      <c r="E1615" t="s">
        <v>371</v>
      </c>
      <c r="F1615" t="s">
        <v>31</v>
      </c>
      <c r="G1615" t="s">
        <v>22179</v>
      </c>
      <c r="H1615" t="s">
        <v>26004</v>
      </c>
      <c r="I1615" s="26">
        <v>39142</v>
      </c>
      <c r="J1615">
        <v>2007</v>
      </c>
      <c r="K1615" t="s">
        <v>31</v>
      </c>
      <c r="L1615">
        <v>525</v>
      </c>
      <c r="M1615" t="s">
        <v>31971</v>
      </c>
      <c r="O1615" t="s">
        <v>31972</v>
      </c>
      <c r="Q1615" t="s">
        <v>31973</v>
      </c>
      <c r="R1615">
        <v>616.89009999999996</v>
      </c>
      <c r="S1615" t="s">
        <v>31974</v>
      </c>
      <c r="T1615" t="s">
        <v>30</v>
      </c>
      <c r="U1615" t="s">
        <v>26116</v>
      </c>
      <c r="W1615" t="s">
        <v>26009</v>
      </c>
    </row>
    <row r="1616" spans="1:23" x14ac:dyDescent="0.35">
      <c r="A1616">
        <v>415058</v>
      </c>
      <c r="B1616" t="s">
        <v>31975</v>
      </c>
      <c r="C1616" t="str">
        <f>"9780195320442"</f>
        <v>9780195320442</v>
      </c>
      <c r="D1616" t="str">
        <f>"9780198043256"</f>
        <v>9780198043256</v>
      </c>
      <c r="E1616" t="s">
        <v>371</v>
      </c>
      <c r="F1616" t="s">
        <v>31</v>
      </c>
      <c r="G1616" t="s">
        <v>22179</v>
      </c>
      <c r="H1616" t="s">
        <v>26004</v>
      </c>
      <c r="I1616" s="26">
        <v>39251</v>
      </c>
      <c r="J1616">
        <v>2007</v>
      </c>
      <c r="K1616" t="s">
        <v>31</v>
      </c>
      <c r="L1616">
        <v>358</v>
      </c>
      <c r="M1616" t="s">
        <v>31976</v>
      </c>
      <c r="O1616" t="s">
        <v>28482</v>
      </c>
      <c r="Q1616" t="s">
        <v>31977</v>
      </c>
      <c r="R1616">
        <v>302.23083500000001</v>
      </c>
      <c r="S1616" t="s">
        <v>31978</v>
      </c>
      <c r="T1616" t="s">
        <v>30</v>
      </c>
      <c r="U1616" t="s">
        <v>26044</v>
      </c>
      <c r="W1616" t="s">
        <v>26009</v>
      </c>
    </row>
    <row r="1617" spans="1:23" x14ac:dyDescent="0.35">
      <c r="A1617">
        <v>415104</v>
      </c>
      <c r="B1617" t="s">
        <v>31979</v>
      </c>
      <c r="C1617" t="str">
        <f>"9780195305722"</f>
        <v>9780195305722</v>
      </c>
      <c r="D1617" t="str">
        <f>"9780198041641"</f>
        <v>9780198041641</v>
      </c>
      <c r="E1617" t="s">
        <v>371</v>
      </c>
      <c r="F1617" t="s">
        <v>31</v>
      </c>
      <c r="G1617" t="s">
        <v>22703</v>
      </c>
      <c r="H1617" t="s">
        <v>26004</v>
      </c>
      <c r="I1617" s="26">
        <v>39079</v>
      </c>
      <c r="J1617">
        <v>2007</v>
      </c>
      <c r="K1617" t="s">
        <v>31</v>
      </c>
      <c r="L1617">
        <v>287</v>
      </c>
      <c r="M1617" t="s">
        <v>31980</v>
      </c>
      <c r="O1617" t="s">
        <v>28464</v>
      </c>
      <c r="Q1617" t="s">
        <v>31981</v>
      </c>
      <c r="R1617" t="s">
        <v>31982</v>
      </c>
      <c r="S1617" t="s">
        <v>7608</v>
      </c>
      <c r="T1617" t="s">
        <v>30</v>
      </c>
      <c r="U1617" t="s">
        <v>46</v>
      </c>
      <c r="W1617" t="s">
        <v>26009</v>
      </c>
    </row>
    <row r="1618" spans="1:23" x14ac:dyDescent="0.35">
      <c r="A1618">
        <v>415106</v>
      </c>
      <c r="B1618" t="s">
        <v>31983</v>
      </c>
      <c r="C1618" t="str">
        <f>"9780199207565"</f>
        <v>9780199207565</v>
      </c>
      <c r="D1618" t="str">
        <f>"9780191548802"</f>
        <v>9780191548802</v>
      </c>
      <c r="E1618" t="s">
        <v>371</v>
      </c>
      <c r="F1618" t="s">
        <v>399</v>
      </c>
      <c r="G1618" t="s">
        <v>22242</v>
      </c>
      <c r="H1618" t="s">
        <v>26011</v>
      </c>
      <c r="I1618" s="26">
        <v>39744</v>
      </c>
      <c r="J1618">
        <v>2008</v>
      </c>
      <c r="K1618" t="s">
        <v>31984</v>
      </c>
      <c r="L1618">
        <v>109</v>
      </c>
      <c r="M1618" t="s">
        <v>31985</v>
      </c>
      <c r="Q1618" t="s">
        <v>31986</v>
      </c>
      <c r="R1618" t="s">
        <v>31987</v>
      </c>
      <c r="S1618" t="s">
        <v>31988</v>
      </c>
      <c r="T1618" t="s">
        <v>30</v>
      </c>
      <c r="U1618" t="s">
        <v>26019</v>
      </c>
      <c r="W1618" t="s">
        <v>26009</v>
      </c>
    </row>
    <row r="1619" spans="1:23" x14ac:dyDescent="0.35">
      <c r="A1619">
        <v>415113</v>
      </c>
      <c r="B1619" t="s">
        <v>31989</v>
      </c>
      <c r="C1619" t="str">
        <f>"9780195368741"</f>
        <v>9780195368741</v>
      </c>
      <c r="D1619" t="str">
        <f>"9780199709335"</f>
        <v>9780199709335</v>
      </c>
      <c r="E1619" t="s">
        <v>371</v>
      </c>
      <c r="F1619" t="s">
        <v>31</v>
      </c>
      <c r="G1619" t="s">
        <v>22242</v>
      </c>
      <c r="H1619" t="s">
        <v>26004</v>
      </c>
      <c r="I1619" s="26">
        <v>39749</v>
      </c>
      <c r="J1619">
        <v>2009</v>
      </c>
      <c r="K1619" t="s">
        <v>31</v>
      </c>
      <c r="L1619">
        <v>590</v>
      </c>
      <c r="M1619" t="s">
        <v>28408</v>
      </c>
      <c r="Q1619" t="s">
        <v>31990</v>
      </c>
      <c r="R1619" t="s">
        <v>31991</v>
      </c>
      <c r="S1619" t="s">
        <v>31992</v>
      </c>
      <c r="T1619" t="s">
        <v>30</v>
      </c>
      <c r="U1619" t="s">
        <v>26019</v>
      </c>
      <c r="W1619" t="s">
        <v>26009</v>
      </c>
    </row>
    <row r="1620" spans="1:23" x14ac:dyDescent="0.35">
      <c r="A1620">
        <v>415122</v>
      </c>
      <c r="B1620" t="s">
        <v>31993</v>
      </c>
      <c r="C1620" t="str">
        <f>"9780195311747"</f>
        <v>9780195311747</v>
      </c>
      <c r="D1620" t="str">
        <f>"9780195345506"</f>
        <v>9780195345506</v>
      </c>
      <c r="E1620" t="s">
        <v>371</v>
      </c>
      <c r="F1620" t="s">
        <v>31</v>
      </c>
      <c r="G1620" t="s">
        <v>22703</v>
      </c>
      <c r="H1620" t="s">
        <v>26004</v>
      </c>
      <c r="I1620" s="26">
        <v>39086</v>
      </c>
      <c r="J1620">
        <v>2007</v>
      </c>
      <c r="K1620" t="s">
        <v>31</v>
      </c>
      <c r="L1620">
        <v>363</v>
      </c>
      <c r="M1620" t="s">
        <v>31994</v>
      </c>
      <c r="Q1620" t="s">
        <v>31995</v>
      </c>
      <c r="R1620" t="s">
        <v>31996</v>
      </c>
      <c r="S1620" t="s">
        <v>31997</v>
      </c>
      <c r="T1620" t="s">
        <v>30</v>
      </c>
      <c r="U1620" t="s">
        <v>46</v>
      </c>
      <c r="W1620" t="s">
        <v>26009</v>
      </c>
    </row>
    <row r="1621" spans="1:23" x14ac:dyDescent="0.35">
      <c r="A1621">
        <v>415129</v>
      </c>
      <c r="B1621" t="s">
        <v>31998</v>
      </c>
      <c r="C1621" t="str">
        <f>"9780195341348"</f>
        <v>9780195341348</v>
      </c>
      <c r="D1621" t="str">
        <f>"9780199712274"</f>
        <v>9780199712274</v>
      </c>
      <c r="E1621" t="s">
        <v>371</v>
      </c>
      <c r="F1621" t="s">
        <v>31</v>
      </c>
      <c r="G1621" t="s">
        <v>22703</v>
      </c>
      <c r="H1621" t="s">
        <v>26004</v>
      </c>
      <c r="I1621" s="26">
        <v>39643</v>
      </c>
      <c r="J1621">
        <v>2008</v>
      </c>
      <c r="K1621" t="s">
        <v>31</v>
      </c>
      <c r="L1621">
        <v>224</v>
      </c>
      <c r="M1621" t="s">
        <v>31999</v>
      </c>
      <c r="O1621" t="s">
        <v>32000</v>
      </c>
      <c r="Q1621" t="s">
        <v>32001</v>
      </c>
      <c r="R1621">
        <v>616.80075999999997</v>
      </c>
      <c r="S1621" t="s">
        <v>7699</v>
      </c>
      <c r="T1621" t="s">
        <v>30</v>
      </c>
      <c r="U1621" t="s">
        <v>26040</v>
      </c>
      <c r="W1621" t="s">
        <v>26009</v>
      </c>
    </row>
    <row r="1622" spans="1:23" x14ac:dyDescent="0.35">
      <c r="A1622">
        <v>415133</v>
      </c>
      <c r="B1622" t="s">
        <v>32002</v>
      </c>
      <c r="C1622" t="str">
        <f>"9780195320268"</f>
        <v>9780195320268</v>
      </c>
      <c r="D1622" t="str">
        <f>"9780198043232"</f>
        <v>9780198043232</v>
      </c>
      <c r="E1622" t="s">
        <v>371</v>
      </c>
      <c r="F1622" t="s">
        <v>31</v>
      </c>
      <c r="G1622" t="s">
        <v>22242</v>
      </c>
      <c r="H1622" t="s">
        <v>26004</v>
      </c>
      <c r="I1622" s="26">
        <v>39455</v>
      </c>
      <c r="J1622">
        <v>2008</v>
      </c>
      <c r="K1622" t="s">
        <v>31</v>
      </c>
      <c r="L1622">
        <v>379</v>
      </c>
      <c r="M1622" t="s">
        <v>32003</v>
      </c>
      <c r="Q1622" t="s">
        <v>32004</v>
      </c>
      <c r="R1622">
        <v>616.89009199999998</v>
      </c>
      <c r="S1622" t="s">
        <v>32005</v>
      </c>
      <c r="T1622" t="s">
        <v>30</v>
      </c>
      <c r="U1622" t="s">
        <v>26116</v>
      </c>
      <c r="W1622" t="s">
        <v>26009</v>
      </c>
    </row>
    <row r="1623" spans="1:23" x14ac:dyDescent="0.35">
      <c r="A1623">
        <v>415138</v>
      </c>
      <c r="B1623" t="s">
        <v>32006</v>
      </c>
      <c r="C1623" t="str">
        <f>"9780195326420"</f>
        <v>9780195326420</v>
      </c>
      <c r="D1623" t="str">
        <f>"9780199716883"</f>
        <v>9780199716883</v>
      </c>
      <c r="E1623" t="s">
        <v>371</v>
      </c>
      <c r="F1623" t="s">
        <v>31</v>
      </c>
      <c r="G1623" t="s">
        <v>22179</v>
      </c>
      <c r="H1623" t="s">
        <v>26004</v>
      </c>
      <c r="I1623" s="26">
        <v>39689</v>
      </c>
      <c r="J1623">
        <v>2009</v>
      </c>
      <c r="K1623" t="s">
        <v>31</v>
      </c>
      <c r="L1623">
        <v>313</v>
      </c>
      <c r="M1623" t="s">
        <v>32007</v>
      </c>
      <c r="Q1623" t="s">
        <v>32008</v>
      </c>
      <c r="R1623" t="s">
        <v>32009</v>
      </c>
      <c r="S1623" t="s">
        <v>32010</v>
      </c>
      <c r="T1623" t="s">
        <v>30</v>
      </c>
      <c r="U1623" t="s">
        <v>46</v>
      </c>
      <c r="W1623" t="s">
        <v>26009</v>
      </c>
    </row>
    <row r="1624" spans="1:23" x14ac:dyDescent="0.35">
      <c r="A1624">
        <v>415148</v>
      </c>
      <c r="B1624" t="s">
        <v>32011</v>
      </c>
      <c r="C1624" t="str">
        <f>"9780195176803"</f>
        <v>9780195176803</v>
      </c>
      <c r="D1624" t="str">
        <f>"9780198039280"</f>
        <v>9780198039280</v>
      </c>
      <c r="E1624" t="s">
        <v>371</v>
      </c>
      <c r="F1624" t="s">
        <v>31</v>
      </c>
      <c r="G1624" t="s">
        <v>22179</v>
      </c>
      <c r="H1624" t="s">
        <v>26004</v>
      </c>
      <c r="I1624" s="26">
        <v>39163</v>
      </c>
      <c r="J1624">
        <v>2007</v>
      </c>
      <c r="K1624" t="s">
        <v>31</v>
      </c>
      <c r="L1624">
        <v>371</v>
      </c>
      <c r="M1624" t="s">
        <v>32012</v>
      </c>
      <c r="O1624" t="s">
        <v>32013</v>
      </c>
      <c r="Q1624" t="s">
        <v>32014</v>
      </c>
      <c r="R1624" t="s">
        <v>27417</v>
      </c>
      <c r="S1624" t="s">
        <v>32015</v>
      </c>
      <c r="T1624" t="s">
        <v>30</v>
      </c>
      <c r="U1624" t="s">
        <v>46</v>
      </c>
      <c r="W1624" t="s">
        <v>26009</v>
      </c>
    </row>
    <row r="1625" spans="1:23" x14ac:dyDescent="0.35">
      <c r="A1625">
        <v>415152</v>
      </c>
      <c r="B1625" t="s">
        <v>32016</v>
      </c>
      <c r="C1625" t="str">
        <f>"9780195314717"</f>
        <v>9780195314717</v>
      </c>
      <c r="D1625" t="str">
        <f>"9780198042952"</f>
        <v>9780198042952</v>
      </c>
      <c r="E1625" t="s">
        <v>371</v>
      </c>
      <c r="F1625" t="s">
        <v>31</v>
      </c>
      <c r="G1625" t="s">
        <v>22703</v>
      </c>
      <c r="H1625" t="s">
        <v>26004</v>
      </c>
      <c r="I1625" s="26">
        <v>39511</v>
      </c>
      <c r="J1625">
        <v>2008</v>
      </c>
      <c r="K1625" t="s">
        <v>31</v>
      </c>
      <c r="L1625">
        <v>114</v>
      </c>
      <c r="M1625" t="s">
        <v>32017</v>
      </c>
      <c r="O1625" t="s">
        <v>32018</v>
      </c>
      <c r="Q1625" t="s">
        <v>32019</v>
      </c>
      <c r="R1625" t="s">
        <v>32020</v>
      </c>
      <c r="S1625" t="s">
        <v>32021</v>
      </c>
      <c r="T1625" t="s">
        <v>30</v>
      </c>
      <c r="U1625" t="s">
        <v>26044</v>
      </c>
      <c r="W1625" t="s">
        <v>26009</v>
      </c>
    </row>
    <row r="1626" spans="1:23" x14ac:dyDescent="0.35">
      <c r="A1626">
        <v>415170</v>
      </c>
      <c r="B1626" t="s">
        <v>32022</v>
      </c>
      <c r="C1626" t="str">
        <f>"9780195335323"</f>
        <v>9780195335323</v>
      </c>
      <c r="D1626" t="str">
        <f>"9780199714964"</f>
        <v>9780199714964</v>
      </c>
      <c r="E1626" t="s">
        <v>371</v>
      </c>
      <c r="F1626" t="s">
        <v>31</v>
      </c>
      <c r="G1626" t="s">
        <v>22703</v>
      </c>
      <c r="H1626" t="s">
        <v>26004</v>
      </c>
      <c r="I1626" s="26">
        <v>39561</v>
      </c>
      <c r="J1626">
        <v>2008</v>
      </c>
      <c r="K1626" t="s">
        <v>31</v>
      </c>
      <c r="L1626">
        <v>353</v>
      </c>
      <c r="M1626" t="s">
        <v>32023</v>
      </c>
      <c r="Q1626" t="s">
        <v>32024</v>
      </c>
      <c r="R1626">
        <v>616.89</v>
      </c>
      <c r="S1626" t="s">
        <v>32025</v>
      </c>
      <c r="T1626" t="s">
        <v>30</v>
      </c>
      <c r="U1626" t="s">
        <v>26116</v>
      </c>
      <c r="W1626" t="s">
        <v>26009</v>
      </c>
    </row>
    <row r="1627" spans="1:23" x14ac:dyDescent="0.35">
      <c r="A1627">
        <v>415173</v>
      </c>
      <c r="B1627" t="s">
        <v>7906</v>
      </c>
      <c r="C1627" t="str">
        <f>"9780195336979"</f>
        <v>9780195336979</v>
      </c>
      <c r="D1627" t="str">
        <f>"9780199714230"</f>
        <v>9780199714230</v>
      </c>
      <c r="E1627" t="s">
        <v>371</v>
      </c>
      <c r="F1627" t="s">
        <v>31</v>
      </c>
      <c r="G1627" t="s">
        <v>22703</v>
      </c>
      <c r="H1627" t="s">
        <v>26004</v>
      </c>
      <c r="I1627" s="26">
        <v>39531</v>
      </c>
      <c r="J1627">
        <v>2008</v>
      </c>
      <c r="K1627" t="s">
        <v>31</v>
      </c>
      <c r="L1627">
        <v>224</v>
      </c>
      <c r="M1627" t="s">
        <v>32026</v>
      </c>
      <c r="O1627" t="s">
        <v>28565</v>
      </c>
      <c r="Q1627" t="s">
        <v>32027</v>
      </c>
      <c r="R1627" t="s">
        <v>32028</v>
      </c>
      <c r="S1627" t="s">
        <v>32029</v>
      </c>
      <c r="T1627" t="s">
        <v>30</v>
      </c>
      <c r="U1627" t="s">
        <v>26040</v>
      </c>
      <c r="W1627" t="s">
        <v>26009</v>
      </c>
    </row>
    <row r="1628" spans="1:23" x14ac:dyDescent="0.35">
      <c r="A1628">
        <v>415174</v>
      </c>
      <c r="B1628" t="s">
        <v>7907</v>
      </c>
      <c r="C1628" t="str">
        <f>"9780195336986"</f>
        <v>9780195336986</v>
      </c>
      <c r="D1628" t="str">
        <f>"9780199714223"</f>
        <v>9780199714223</v>
      </c>
      <c r="E1628" t="s">
        <v>371</v>
      </c>
      <c r="F1628" t="s">
        <v>31</v>
      </c>
      <c r="G1628" t="s">
        <v>22703</v>
      </c>
      <c r="H1628" t="s">
        <v>26004</v>
      </c>
      <c r="I1628" s="26">
        <v>39531</v>
      </c>
      <c r="J1628">
        <v>2008</v>
      </c>
      <c r="K1628" t="s">
        <v>31</v>
      </c>
      <c r="L1628">
        <v>161</v>
      </c>
      <c r="M1628" t="s">
        <v>32026</v>
      </c>
      <c r="O1628" t="s">
        <v>28565</v>
      </c>
      <c r="Q1628" t="s">
        <v>32027</v>
      </c>
      <c r="R1628">
        <v>616.99463000000003</v>
      </c>
      <c r="S1628" t="s">
        <v>32029</v>
      </c>
      <c r="T1628" t="s">
        <v>30</v>
      </c>
      <c r="U1628" t="s">
        <v>26040</v>
      </c>
      <c r="W1628" t="s">
        <v>26009</v>
      </c>
    </row>
    <row r="1629" spans="1:23" x14ac:dyDescent="0.35">
      <c r="A1629">
        <v>415175</v>
      </c>
      <c r="B1629" t="s">
        <v>32030</v>
      </c>
      <c r="C1629" t="str">
        <f>"9780195331202"</f>
        <v>9780195331202</v>
      </c>
      <c r="D1629" t="str">
        <f>"9780198044123"</f>
        <v>9780198044123</v>
      </c>
      <c r="E1629" t="s">
        <v>371</v>
      </c>
      <c r="F1629" t="s">
        <v>31</v>
      </c>
      <c r="G1629" t="s">
        <v>22703</v>
      </c>
      <c r="H1629" t="s">
        <v>26004</v>
      </c>
      <c r="I1629" s="26">
        <v>39580</v>
      </c>
      <c r="J1629">
        <v>2008</v>
      </c>
      <c r="K1629" t="s">
        <v>31</v>
      </c>
      <c r="L1629">
        <v>318</v>
      </c>
      <c r="M1629" t="s">
        <v>32031</v>
      </c>
      <c r="Q1629" t="s">
        <v>32032</v>
      </c>
      <c r="R1629">
        <v>618.91999999999996</v>
      </c>
      <c r="S1629" t="s">
        <v>32033</v>
      </c>
      <c r="T1629" t="s">
        <v>30</v>
      </c>
      <c r="U1629" t="s">
        <v>26116</v>
      </c>
      <c r="W1629" t="s">
        <v>26009</v>
      </c>
    </row>
    <row r="1630" spans="1:23" x14ac:dyDescent="0.35">
      <c r="A1630">
        <v>415185</v>
      </c>
      <c r="B1630" t="s">
        <v>7934</v>
      </c>
      <c r="C1630" t="str">
        <f>"9780195304350"</f>
        <v>9780195304350</v>
      </c>
      <c r="D1630" t="str">
        <f>"9780198041412"</f>
        <v>9780198041412</v>
      </c>
      <c r="E1630" t="s">
        <v>371</v>
      </c>
      <c r="F1630" t="s">
        <v>31</v>
      </c>
      <c r="G1630" t="s">
        <v>22703</v>
      </c>
      <c r="H1630" t="s">
        <v>26004</v>
      </c>
      <c r="I1630" s="26">
        <v>39352</v>
      </c>
      <c r="J1630">
        <v>2008</v>
      </c>
      <c r="K1630" t="s">
        <v>31</v>
      </c>
      <c r="L1630">
        <v>644</v>
      </c>
      <c r="M1630" t="s">
        <v>32034</v>
      </c>
      <c r="Q1630" t="s">
        <v>32035</v>
      </c>
      <c r="R1630">
        <v>616.97919999999999</v>
      </c>
      <c r="S1630" t="s">
        <v>32036</v>
      </c>
      <c r="T1630" t="s">
        <v>30</v>
      </c>
      <c r="U1630" t="s">
        <v>26040</v>
      </c>
      <c r="W1630" t="s">
        <v>26009</v>
      </c>
    </row>
    <row r="1631" spans="1:23" x14ac:dyDescent="0.35">
      <c r="A1631">
        <v>415186</v>
      </c>
      <c r="B1631" t="s">
        <v>32037</v>
      </c>
      <c r="C1631" t="str">
        <f>"9780195310559"</f>
        <v>9780195310559</v>
      </c>
      <c r="D1631" t="str">
        <f>"9780198042419"</f>
        <v>9780198042419</v>
      </c>
      <c r="E1631" t="s">
        <v>371</v>
      </c>
      <c r="F1631" t="s">
        <v>31</v>
      </c>
      <c r="G1631" t="s">
        <v>22703</v>
      </c>
      <c r="H1631" t="s">
        <v>26011</v>
      </c>
      <c r="I1631" s="26">
        <v>39058</v>
      </c>
      <c r="J1631">
        <v>2007</v>
      </c>
      <c r="K1631" t="s">
        <v>32038</v>
      </c>
      <c r="L1631">
        <v>206</v>
      </c>
      <c r="M1631" t="s">
        <v>32039</v>
      </c>
      <c r="Q1631" t="s">
        <v>32040</v>
      </c>
      <c r="R1631">
        <v>616.85226999999998</v>
      </c>
      <c r="S1631" t="s">
        <v>32041</v>
      </c>
      <c r="T1631" t="s">
        <v>30</v>
      </c>
      <c r="U1631" t="s">
        <v>26116</v>
      </c>
      <c r="W1631" t="s">
        <v>26009</v>
      </c>
    </row>
    <row r="1632" spans="1:23" x14ac:dyDescent="0.35">
      <c r="A1632">
        <v>415187</v>
      </c>
      <c r="B1632" t="s">
        <v>32042</v>
      </c>
      <c r="C1632" t="str">
        <f>"9780195309126"</f>
        <v>9780195309126</v>
      </c>
      <c r="D1632" t="str">
        <f>"9780198041078"</f>
        <v>9780198041078</v>
      </c>
      <c r="E1632" t="s">
        <v>371</v>
      </c>
      <c r="F1632" t="s">
        <v>31</v>
      </c>
      <c r="G1632" t="s">
        <v>22703</v>
      </c>
      <c r="H1632" t="s">
        <v>26004</v>
      </c>
      <c r="I1632" s="26">
        <v>39058</v>
      </c>
      <c r="J1632">
        <v>2007</v>
      </c>
      <c r="K1632" t="s">
        <v>31</v>
      </c>
      <c r="L1632">
        <v>237</v>
      </c>
      <c r="M1632" t="s">
        <v>32043</v>
      </c>
      <c r="O1632" t="s">
        <v>28565</v>
      </c>
      <c r="Q1632" t="s">
        <v>32044</v>
      </c>
      <c r="R1632">
        <v>616.85226999999998</v>
      </c>
      <c r="S1632" t="s">
        <v>32045</v>
      </c>
      <c r="T1632" t="s">
        <v>30</v>
      </c>
      <c r="U1632" t="s">
        <v>26116</v>
      </c>
      <c r="W1632" t="s">
        <v>26009</v>
      </c>
    </row>
    <row r="1633" spans="1:23" x14ac:dyDescent="0.35">
      <c r="A1633">
        <v>415193</v>
      </c>
      <c r="B1633" t="s">
        <v>32046</v>
      </c>
      <c r="C1633" t="str">
        <f>"9780195326581"</f>
        <v>9780195326581</v>
      </c>
      <c r="D1633" t="str">
        <f>"9780199716852"</f>
        <v>9780199716852</v>
      </c>
      <c r="E1633" t="s">
        <v>371</v>
      </c>
      <c r="F1633" t="s">
        <v>31</v>
      </c>
      <c r="G1633" t="s">
        <v>22703</v>
      </c>
      <c r="H1633" t="s">
        <v>26004</v>
      </c>
      <c r="I1633" s="26">
        <v>39735</v>
      </c>
      <c r="J1633">
        <v>2009</v>
      </c>
      <c r="K1633" t="s">
        <v>31</v>
      </c>
      <c r="L1633">
        <v>593</v>
      </c>
      <c r="M1633" t="s">
        <v>32047</v>
      </c>
      <c r="Q1633" t="s">
        <v>32048</v>
      </c>
      <c r="R1633" t="s">
        <v>32049</v>
      </c>
      <c r="S1633" t="s">
        <v>32050</v>
      </c>
      <c r="T1633" t="s">
        <v>30</v>
      </c>
      <c r="U1633" t="s">
        <v>46</v>
      </c>
      <c r="W1633" t="s">
        <v>26009</v>
      </c>
    </row>
    <row r="1634" spans="1:23" x14ac:dyDescent="0.35">
      <c r="A1634">
        <v>415202</v>
      </c>
      <c r="B1634" t="s">
        <v>32051</v>
      </c>
      <c r="C1634" t="str">
        <f>"9780195339727"</f>
        <v>9780195339727</v>
      </c>
      <c r="D1634" t="str">
        <f>"9780199713035"</f>
        <v>9780199713035</v>
      </c>
      <c r="E1634" t="s">
        <v>371</v>
      </c>
      <c r="F1634" t="s">
        <v>31</v>
      </c>
      <c r="G1634" t="s">
        <v>22703</v>
      </c>
      <c r="H1634" t="s">
        <v>26004</v>
      </c>
      <c r="I1634" s="26">
        <v>39741</v>
      </c>
      <c r="J1634">
        <v>2009</v>
      </c>
      <c r="K1634" t="s">
        <v>31</v>
      </c>
      <c r="L1634">
        <v>80</v>
      </c>
      <c r="M1634" t="s">
        <v>32052</v>
      </c>
      <c r="O1634" t="s">
        <v>28565</v>
      </c>
      <c r="Q1634" t="s">
        <v>32053</v>
      </c>
      <c r="R1634">
        <v>617.4</v>
      </c>
      <c r="S1634" t="s">
        <v>32054</v>
      </c>
      <c r="T1634" t="s">
        <v>30</v>
      </c>
      <c r="U1634" t="s">
        <v>26040</v>
      </c>
      <c r="W1634" t="s">
        <v>26009</v>
      </c>
    </row>
    <row r="1635" spans="1:23" x14ac:dyDescent="0.35">
      <c r="A1635">
        <v>415203</v>
      </c>
      <c r="B1635" t="s">
        <v>32055</v>
      </c>
      <c r="C1635" t="str">
        <f>"9780195339734"</f>
        <v>9780195339734</v>
      </c>
      <c r="D1635" t="str">
        <f>"9780199713028"</f>
        <v>9780199713028</v>
      </c>
      <c r="E1635" t="s">
        <v>371</v>
      </c>
      <c r="F1635" t="s">
        <v>31</v>
      </c>
      <c r="G1635" t="s">
        <v>22703</v>
      </c>
      <c r="H1635" t="s">
        <v>26004</v>
      </c>
      <c r="I1635" s="26">
        <v>39741</v>
      </c>
      <c r="J1635">
        <v>2009</v>
      </c>
      <c r="K1635" t="s">
        <v>31</v>
      </c>
      <c r="L1635">
        <v>123</v>
      </c>
      <c r="M1635" t="s">
        <v>32052</v>
      </c>
      <c r="O1635" t="s">
        <v>28565</v>
      </c>
      <c r="Q1635" t="s">
        <v>32056</v>
      </c>
      <c r="R1635" t="s">
        <v>32057</v>
      </c>
      <c r="S1635" t="s">
        <v>32054</v>
      </c>
      <c r="T1635" t="s">
        <v>30</v>
      </c>
      <c r="U1635" t="s">
        <v>26040</v>
      </c>
      <c r="W1635" t="s">
        <v>26009</v>
      </c>
    </row>
    <row r="1636" spans="1:23" x14ac:dyDescent="0.35">
      <c r="A1636">
        <v>415204</v>
      </c>
      <c r="B1636" t="s">
        <v>32058</v>
      </c>
      <c r="C1636" t="str">
        <f>"9780195327960"</f>
        <v>9780195327960</v>
      </c>
      <c r="D1636" t="str">
        <f>"9780198043911"</f>
        <v>9780198043911</v>
      </c>
      <c r="E1636" t="s">
        <v>371</v>
      </c>
      <c r="F1636" t="s">
        <v>31</v>
      </c>
      <c r="G1636" t="s">
        <v>22179</v>
      </c>
      <c r="H1636" t="s">
        <v>26004</v>
      </c>
      <c r="I1636" s="26">
        <v>39525</v>
      </c>
      <c r="J1636">
        <v>2008</v>
      </c>
      <c r="K1636" t="s">
        <v>31</v>
      </c>
      <c r="L1636">
        <v>119</v>
      </c>
      <c r="M1636" t="s">
        <v>32059</v>
      </c>
      <c r="O1636" t="s">
        <v>28565</v>
      </c>
      <c r="Q1636" t="s">
        <v>32060</v>
      </c>
      <c r="R1636">
        <v>618.9289</v>
      </c>
      <c r="S1636" t="s">
        <v>32061</v>
      </c>
      <c r="T1636" t="s">
        <v>30</v>
      </c>
      <c r="U1636" t="s">
        <v>26116</v>
      </c>
      <c r="W1636" t="s">
        <v>26009</v>
      </c>
    </row>
    <row r="1637" spans="1:23" x14ac:dyDescent="0.35">
      <c r="A1637">
        <v>415205</v>
      </c>
      <c r="B1637" t="s">
        <v>32062</v>
      </c>
      <c r="C1637" t="str">
        <f>"9780195327878"</f>
        <v>9780195327878</v>
      </c>
      <c r="D1637" t="str">
        <f>"9780198043881"</f>
        <v>9780198043881</v>
      </c>
      <c r="E1637" t="s">
        <v>371</v>
      </c>
      <c r="F1637" t="s">
        <v>31</v>
      </c>
      <c r="G1637" t="s">
        <v>22703</v>
      </c>
      <c r="H1637" t="s">
        <v>26004</v>
      </c>
      <c r="I1637" s="26">
        <v>39524</v>
      </c>
      <c r="J1637">
        <v>2008</v>
      </c>
      <c r="K1637" t="s">
        <v>31</v>
      </c>
      <c r="L1637">
        <v>289</v>
      </c>
      <c r="M1637" t="s">
        <v>32063</v>
      </c>
      <c r="O1637" t="s">
        <v>28565</v>
      </c>
      <c r="Q1637" t="s">
        <v>32064</v>
      </c>
      <c r="R1637" t="s">
        <v>29630</v>
      </c>
      <c r="S1637" t="s">
        <v>32065</v>
      </c>
      <c r="T1637" t="s">
        <v>30</v>
      </c>
      <c r="U1637" t="s">
        <v>26019</v>
      </c>
      <c r="W1637" t="s">
        <v>26009</v>
      </c>
    </row>
    <row r="1638" spans="1:23" x14ac:dyDescent="0.35">
      <c r="A1638">
        <v>415206</v>
      </c>
      <c r="B1638" t="s">
        <v>32066</v>
      </c>
      <c r="C1638" t="str">
        <f>"9780195327885"</f>
        <v>9780195327885</v>
      </c>
      <c r="D1638" t="str">
        <f>"9780198043898"</f>
        <v>9780198043898</v>
      </c>
      <c r="E1638" t="s">
        <v>371</v>
      </c>
      <c r="F1638" t="s">
        <v>31</v>
      </c>
      <c r="G1638" t="s">
        <v>22703</v>
      </c>
      <c r="H1638" t="s">
        <v>26004</v>
      </c>
      <c r="I1638" s="26">
        <v>39525</v>
      </c>
      <c r="J1638">
        <v>2008</v>
      </c>
      <c r="K1638" t="s">
        <v>31</v>
      </c>
      <c r="L1638">
        <v>185</v>
      </c>
      <c r="M1638" t="s">
        <v>32067</v>
      </c>
      <c r="O1638" t="s">
        <v>28565</v>
      </c>
      <c r="Q1638" t="s">
        <v>32064</v>
      </c>
      <c r="R1638" t="s">
        <v>29630</v>
      </c>
      <c r="S1638" t="s">
        <v>32065</v>
      </c>
      <c r="T1638" t="s">
        <v>30</v>
      </c>
      <c r="U1638" t="s">
        <v>26116</v>
      </c>
      <c r="W1638" t="s">
        <v>26009</v>
      </c>
    </row>
    <row r="1639" spans="1:23" x14ac:dyDescent="0.35">
      <c r="A1639">
        <v>415207</v>
      </c>
      <c r="B1639" t="s">
        <v>32068</v>
      </c>
      <c r="C1639" t="str">
        <f>"9780195342901"</f>
        <v>9780195342901</v>
      </c>
      <c r="D1639" t="str">
        <f>"9780199711413"</f>
        <v>9780199711413</v>
      </c>
      <c r="E1639" t="s">
        <v>371</v>
      </c>
      <c r="F1639" t="s">
        <v>31</v>
      </c>
      <c r="G1639" t="s">
        <v>22703</v>
      </c>
      <c r="H1639" t="s">
        <v>26004</v>
      </c>
      <c r="I1639" s="26">
        <v>39521</v>
      </c>
      <c r="J1639">
        <v>2008</v>
      </c>
      <c r="K1639" t="s">
        <v>31</v>
      </c>
      <c r="L1639">
        <v>128</v>
      </c>
      <c r="M1639" t="s">
        <v>32069</v>
      </c>
      <c r="O1639" t="s">
        <v>28565</v>
      </c>
      <c r="Q1639" t="s">
        <v>32070</v>
      </c>
      <c r="R1639" t="s">
        <v>32071</v>
      </c>
      <c r="S1639" t="s">
        <v>32072</v>
      </c>
      <c r="T1639" t="s">
        <v>30</v>
      </c>
      <c r="U1639" t="s">
        <v>26040</v>
      </c>
      <c r="W1639" t="s">
        <v>26009</v>
      </c>
    </row>
    <row r="1640" spans="1:23" x14ac:dyDescent="0.35">
      <c r="A1640">
        <v>415209</v>
      </c>
      <c r="B1640" t="s">
        <v>32073</v>
      </c>
      <c r="C1640" t="str">
        <f>"9780195315158"</f>
        <v>9780195315158</v>
      </c>
      <c r="D1640" t="str">
        <f>"9780198043034"</f>
        <v>9780198043034</v>
      </c>
      <c r="E1640" t="s">
        <v>371</v>
      </c>
      <c r="F1640" t="s">
        <v>31</v>
      </c>
      <c r="G1640" t="s">
        <v>22179</v>
      </c>
      <c r="H1640" t="s">
        <v>26004</v>
      </c>
      <c r="I1640" s="26">
        <v>39413</v>
      </c>
      <c r="J1640">
        <v>2008</v>
      </c>
      <c r="K1640" t="s">
        <v>31</v>
      </c>
      <c r="L1640">
        <v>131</v>
      </c>
      <c r="M1640" t="s">
        <v>32074</v>
      </c>
      <c r="O1640" t="s">
        <v>28565</v>
      </c>
      <c r="Q1640" t="s">
        <v>32075</v>
      </c>
      <c r="R1640">
        <v>616.00189999999998</v>
      </c>
      <c r="S1640" t="s">
        <v>32076</v>
      </c>
      <c r="T1640" t="s">
        <v>30</v>
      </c>
      <c r="U1640" t="s">
        <v>26040</v>
      </c>
      <c r="W1640" t="s">
        <v>26009</v>
      </c>
    </row>
    <row r="1641" spans="1:23" x14ac:dyDescent="0.35">
      <c r="A1641">
        <v>415210</v>
      </c>
      <c r="B1641" t="s">
        <v>32077</v>
      </c>
      <c r="C1641" t="str">
        <f>"9780195341089"</f>
        <v>9780195341089</v>
      </c>
      <c r="D1641" t="str">
        <f>"9780199712410"</f>
        <v>9780199712410</v>
      </c>
      <c r="E1641" t="s">
        <v>371</v>
      </c>
      <c r="F1641" t="s">
        <v>31</v>
      </c>
      <c r="G1641" t="s">
        <v>22703</v>
      </c>
      <c r="H1641" t="s">
        <v>26004</v>
      </c>
      <c r="I1641" s="26">
        <v>39706</v>
      </c>
      <c r="J1641">
        <v>2009</v>
      </c>
      <c r="K1641" t="s">
        <v>31</v>
      </c>
      <c r="L1641">
        <v>152</v>
      </c>
      <c r="M1641" t="s">
        <v>32078</v>
      </c>
      <c r="O1641" t="s">
        <v>28565</v>
      </c>
      <c r="Q1641" t="s">
        <v>32079</v>
      </c>
      <c r="R1641">
        <v>616.85</v>
      </c>
      <c r="S1641" t="s">
        <v>32080</v>
      </c>
      <c r="T1641" t="s">
        <v>30</v>
      </c>
      <c r="U1641" t="s">
        <v>26019</v>
      </c>
      <c r="W1641" t="s">
        <v>26009</v>
      </c>
    </row>
    <row r="1642" spans="1:23" x14ac:dyDescent="0.35">
      <c r="A1642">
        <v>415211</v>
      </c>
      <c r="B1642" t="s">
        <v>32081</v>
      </c>
      <c r="C1642" t="str">
        <f>"9780195341379"</f>
        <v>9780195341379</v>
      </c>
      <c r="D1642" t="str">
        <f>"9780199712250"</f>
        <v>9780199712250</v>
      </c>
      <c r="E1642" t="s">
        <v>371</v>
      </c>
      <c r="F1642" t="s">
        <v>31</v>
      </c>
      <c r="G1642" t="s">
        <v>22703</v>
      </c>
      <c r="H1642" t="s">
        <v>26004</v>
      </c>
      <c r="I1642" s="26">
        <v>39706</v>
      </c>
      <c r="J1642">
        <v>2009</v>
      </c>
      <c r="K1642" t="s">
        <v>31</v>
      </c>
      <c r="L1642">
        <v>113</v>
      </c>
      <c r="M1642" t="s">
        <v>32078</v>
      </c>
      <c r="O1642" t="s">
        <v>28565</v>
      </c>
      <c r="Q1642" t="s">
        <v>32082</v>
      </c>
      <c r="R1642">
        <v>616.85270000000003</v>
      </c>
      <c r="S1642" t="s">
        <v>32080</v>
      </c>
      <c r="T1642" t="s">
        <v>30</v>
      </c>
      <c r="U1642" t="s">
        <v>26116</v>
      </c>
      <c r="W1642" t="s">
        <v>26009</v>
      </c>
    </row>
    <row r="1643" spans="1:23" x14ac:dyDescent="0.35">
      <c r="A1643">
        <v>415219</v>
      </c>
      <c r="B1643" t="s">
        <v>8064</v>
      </c>
      <c r="C1643" t="str">
        <f>"9780195310030"</f>
        <v>9780195310030</v>
      </c>
      <c r="D1643" t="str">
        <f>"9780198042358"</f>
        <v>9780198042358</v>
      </c>
      <c r="E1643" t="s">
        <v>371</v>
      </c>
      <c r="F1643" t="s">
        <v>31</v>
      </c>
      <c r="G1643" t="s">
        <v>22703</v>
      </c>
      <c r="H1643" t="s">
        <v>26004</v>
      </c>
      <c r="I1643" s="26">
        <v>39128</v>
      </c>
      <c r="J1643">
        <v>2007</v>
      </c>
      <c r="K1643" t="s">
        <v>31</v>
      </c>
      <c r="L1643">
        <v>380</v>
      </c>
      <c r="M1643" t="s">
        <v>32083</v>
      </c>
      <c r="O1643" t="s">
        <v>32084</v>
      </c>
      <c r="Q1643" t="s">
        <v>32085</v>
      </c>
      <c r="R1643">
        <v>155.20964000000001</v>
      </c>
      <c r="S1643" t="s">
        <v>32086</v>
      </c>
      <c r="T1643" t="s">
        <v>30</v>
      </c>
      <c r="U1643" t="s">
        <v>46</v>
      </c>
      <c r="W1643" t="s">
        <v>26009</v>
      </c>
    </row>
    <row r="1644" spans="1:23" x14ac:dyDescent="0.35">
      <c r="A1644">
        <v>415242</v>
      </c>
      <c r="B1644" t="s">
        <v>8186</v>
      </c>
      <c r="C1644" t="str">
        <f>"9780195308181"</f>
        <v>9780195308181</v>
      </c>
      <c r="D1644" t="str">
        <f>"9780198042112"</f>
        <v>9780198042112</v>
      </c>
      <c r="E1644" t="s">
        <v>371</v>
      </c>
      <c r="F1644" t="s">
        <v>31</v>
      </c>
      <c r="G1644" t="s">
        <v>22703</v>
      </c>
      <c r="H1644" t="s">
        <v>26004</v>
      </c>
      <c r="I1644" s="26">
        <v>39412</v>
      </c>
      <c r="J1644">
        <v>2008</v>
      </c>
      <c r="K1644" t="s">
        <v>31</v>
      </c>
      <c r="L1644">
        <v>316</v>
      </c>
      <c r="M1644" t="s">
        <v>32087</v>
      </c>
      <c r="Q1644" t="s">
        <v>32088</v>
      </c>
      <c r="R1644">
        <v>823.91409999999996</v>
      </c>
      <c r="S1644" t="s">
        <v>32089</v>
      </c>
      <c r="T1644" t="s">
        <v>30</v>
      </c>
      <c r="U1644" t="s">
        <v>30404</v>
      </c>
      <c r="W1644" t="s">
        <v>26009</v>
      </c>
    </row>
    <row r="1645" spans="1:23" x14ac:dyDescent="0.35">
      <c r="A1645">
        <v>415261</v>
      </c>
      <c r="B1645" t="s">
        <v>32090</v>
      </c>
      <c r="C1645" t="str">
        <f>"9780195317046"</f>
        <v>9780195317046</v>
      </c>
      <c r="D1645" t="str">
        <f>"9780198043140"</f>
        <v>9780198043140</v>
      </c>
      <c r="E1645" t="s">
        <v>371</v>
      </c>
      <c r="F1645" t="s">
        <v>31</v>
      </c>
      <c r="G1645" t="s">
        <v>22703</v>
      </c>
      <c r="H1645" t="s">
        <v>26004</v>
      </c>
      <c r="I1645" s="26">
        <v>39520</v>
      </c>
      <c r="J1645">
        <v>2008</v>
      </c>
      <c r="K1645" t="s">
        <v>31</v>
      </c>
      <c r="L1645">
        <v>519</v>
      </c>
      <c r="M1645" t="s">
        <v>32091</v>
      </c>
      <c r="Q1645" t="s">
        <v>32092</v>
      </c>
      <c r="R1645">
        <v>618.92859999999996</v>
      </c>
      <c r="S1645" t="s">
        <v>32093</v>
      </c>
      <c r="T1645" t="s">
        <v>30</v>
      </c>
      <c r="U1645" t="s">
        <v>26116</v>
      </c>
      <c r="W1645" t="s">
        <v>26009</v>
      </c>
    </row>
    <row r="1646" spans="1:23" x14ac:dyDescent="0.35">
      <c r="A1646">
        <v>415264</v>
      </c>
      <c r="B1646" t="s">
        <v>32094</v>
      </c>
      <c r="C1646" t="str">
        <f>"9780195325560"</f>
        <v>9780195325560</v>
      </c>
      <c r="D1646" t="str">
        <f>"9780198043652"</f>
        <v>9780198043652</v>
      </c>
      <c r="E1646" t="s">
        <v>371</v>
      </c>
      <c r="F1646" t="s">
        <v>31</v>
      </c>
      <c r="G1646" t="s">
        <v>22703</v>
      </c>
      <c r="H1646" t="s">
        <v>26004</v>
      </c>
      <c r="I1646" s="26">
        <v>39552</v>
      </c>
      <c r="J1646">
        <v>2008</v>
      </c>
      <c r="K1646" t="s">
        <v>31</v>
      </c>
      <c r="L1646">
        <v>225</v>
      </c>
      <c r="M1646" t="s">
        <v>32095</v>
      </c>
      <c r="O1646" t="s">
        <v>32018</v>
      </c>
      <c r="Q1646" t="s">
        <v>32096</v>
      </c>
      <c r="R1646">
        <v>618.92859999999996</v>
      </c>
      <c r="S1646" t="s">
        <v>32097</v>
      </c>
      <c r="T1646" t="s">
        <v>30</v>
      </c>
      <c r="U1646" t="s">
        <v>26019</v>
      </c>
      <c r="W1646" t="s">
        <v>26009</v>
      </c>
    </row>
    <row r="1647" spans="1:23" x14ac:dyDescent="0.35">
      <c r="A1647">
        <v>415265</v>
      </c>
      <c r="B1647" t="s">
        <v>32098</v>
      </c>
      <c r="C1647" t="str">
        <f>"9780195365740"</f>
        <v>9780195365740</v>
      </c>
      <c r="D1647" t="str">
        <f>"9780199710942"</f>
        <v>9780199710942</v>
      </c>
      <c r="E1647" t="s">
        <v>371</v>
      </c>
      <c r="F1647" t="s">
        <v>31</v>
      </c>
      <c r="G1647" t="s">
        <v>22703</v>
      </c>
      <c r="H1647" t="s">
        <v>26004</v>
      </c>
      <c r="I1647" s="26">
        <v>36384</v>
      </c>
      <c r="J1647">
        <v>2009</v>
      </c>
      <c r="K1647" t="s">
        <v>31</v>
      </c>
      <c r="L1647">
        <v>177</v>
      </c>
      <c r="M1647" t="s">
        <v>27858</v>
      </c>
      <c r="N1647">
        <v>2</v>
      </c>
      <c r="Q1647" t="s">
        <v>32099</v>
      </c>
      <c r="R1647" t="s">
        <v>27860</v>
      </c>
      <c r="S1647" t="s">
        <v>32100</v>
      </c>
      <c r="T1647" t="s">
        <v>30</v>
      </c>
      <c r="U1647" t="s">
        <v>26116</v>
      </c>
      <c r="W1647" t="s">
        <v>26009</v>
      </c>
    </row>
    <row r="1648" spans="1:23" x14ac:dyDescent="0.35">
      <c r="A1648">
        <v>415269</v>
      </c>
      <c r="B1648" t="s">
        <v>8285</v>
      </c>
      <c r="C1648" t="str">
        <f>"9780195169324"</f>
        <v>9780195169324</v>
      </c>
      <c r="D1648" t="str">
        <f>"9780199721634"</f>
        <v>9780199721634</v>
      </c>
      <c r="E1648" t="s">
        <v>371</v>
      </c>
      <c r="F1648" t="s">
        <v>31</v>
      </c>
      <c r="G1648" t="s">
        <v>22703</v>
      </c>
      <c r="H1648" t="s">
        <v>26004</v>
      </c>
      <c r="I1648" s="26">
        <v>40817</v>
      </c>
      <c r="J1648">
        <v>2008</v>
      </c>
      <c r="K1648" t="s">
        <v>31</v>
      </c>
      <c r="L1648">
        <v>264</v>
      </c>
      <c r="M1648" t="s">
        <v>32101</v>
      </c>
      <c r="Q1648" t="s">
        <v>32102</v>
      </c>
      <c r="R1648" t="s">
        <v>32103</v>
      </c>
      <c r="S1648" t="s">
        <v>32104</v>
      </c>
      <c r="T1648" t="s">
        <v>30</v>
      </c>
      <c r="U1648" t="s">
        <v>26679</v>
      </c>
      <c r="W1648" t="s">
        <v>26009</v>
      </c>
    </row>
    <row r="1649" spans="1:23" x14ac:dyDescent="0.35">
      <c r="A1649">
        <v>415285</v>
      </c>
      <c r="B1649" t="s">
        <v>32105</v>
      </c>
      <c r="C1649" t="str">
        <f>"9780195304633"</f>
        <v>9780195304633</v>
      </c>
      <c r="D1649" t="str">
        <f>"9780198041450"</f>
        <v>9780198041450</v>
      </c>
      <c r="E1649" t="s">
        <v>371</v>
      </c>
      <c r="F1649" t="s">
        <v>31</v>
      </c>
      <c r="G1649" t="s">
        <v>22703</v>
      </c>
      <c r="H1649" t="s">
        <v>26004</v>
      </c>
      <c r="I1649" s="26">
        <v>39352</v>
      </c>
      <c r="J1649">
        <v>2008</v>
      </c>
      <c r="K1649" t="s">
        <v>31</v>
      </c>
      <c r="L1649">
        <v>946</v>
      </c>
      <c r="M1649" t="s">
        <v>32106</v>
      </c>
      <c r="Q1649" t="s">
        <v>32107</v>
      </c>
      <c r="R1649">
        <v>616.89007200000003</v>
      </c>
      <c r="S1649" t="s">
        <v>32108</v>
      </c>
      <c r="T1649" t="s">
        <v>30</v>
      </c>
      <c r="U1649" t="s">
        <v>26019</v>
      </c>
      <c r="W1649" t="s">
        <v>26009</v>
      </c>
    </row>
    <row r="1650" spans="1:23" x14ac:dyDescent="0.35">
      <c r="A1650">
        <v>415288</v>
      </c>
      <c r="B1650" t="s">
        <v>32109</v>
      </c>
      <c r="C1650" t="str">
        <f>"9780195325188"</f>
        <v>9780195325188</v>
      </c>
      <c r="D1650" t="str">
        <f>"9780199717156"</f>
        <v>9780199717156</v>
      </c>
      <c r="E1650" t="s">
        <v>371</v>
      </c>
      <c r="F1650" t="s">
        <v>31</v>
      </c>
      <c r="G1650" t="s">
        <v>22179</v>
      </c>
      <c r="H1650" t="s">
        <v>26004</v>
      </c>
      <c r="I1650" s="26">
        <v>39680</v>
      </c>
      <c r="J1650">
        <v>2008</v>
      </c>
      <c r="K1650" t="s">
        <v>31</v>
      </c>
      <c r="L1650">
        <v>329</v>
      </c>
      <c r="M1650" t="s">
        <v>32110</v>
      </c>
      <c r="Q1650" t="s">
        <v>32111</v>
      </c>
      <c r="R1650" t="s">
        <v>28587</v>
      </c>
      <c r="S1650" t="s">
        <v>32112</v>
      </c>
      <c r="T1650" t="s">
        <v>30</v>
      </c>
      <c r="U1650" t="s">
        <v>28308</v>
      </c>
      <c r="W1650" t="s">
        <v>26009</v>
      </c>
    </row>
    <row r="1651" spans="1:23" x14ac:dyDescent="0.35">
      <c r="A1651">
        <v>415293</v>
      </c>
      <c r="B1651" t="s">
        <v>8367</v>
      </c>
      <c r="C1651" t="str">
        <f>"9780195305067"</f>
        <v>9780195305067</v>
      </c>
      <c r="D1651" t="str">
        <f>"9780198041528"</f>
        <v>9780198041528</v>
      </c>
      <c r="E1651" t="s">
        <v>371</v>
      </c>
      <c r="F1651" t="s">
        <v>31</v>
      </c>
      <c r="G1651" t="s">
        <v>22703</v>
      </c>
      <c r="H1651" t="s">
        <v>26004</v>
      </c>
      <c r="I1651" s="26">
        <v>39387</v>
      </c>
      <c r="J1651">
        <v>2008</v>
      </c>
      <c r="K1651" t="s">
        <v>31</v>
      </c>
      <c r="L1651">
        <v>810</v>
      </c>
      <c r="M1651" t="s">
        <v>32113</v>
      </c>
      <c r="N1651">
        <v>70</v>
      </c>
      <c r="Q1651" t="s">
        <v>32114</v>
      </c>
      <c r="R1651">
        <v>155.19999999999999</v>
      </c>
      <c r="S1651" t="s">
        <v>32115</v>
      </c>
      <c r="T1651" t="s">
        <v>30</v>
      </c>
      <c r="U1651" t="s">
        <v>46</v>
      </c>
      <c r="W1651" t="s">
        <v>26009</v>
      </c>
    </row>
    <row r="1652" spans="1:23" x14ac:dyDescent="0.35">
      <c r="A1652">
        <v>415304</v>
      </c>
      <c r="B1652" t="s">
        <v>32116</v>
      </c>
      <c r="C1652" t="str">
        <f>"9780195098891"</f>
        <v>9780195098891</v>
      </c>
      <c r="D1652" t="str">
        <f>"9780198025917"</f>
        <v>9780198025917</v>
      </c>
      <c r="E1652" t="s">
        <v>371</v>
      </c>
      <c r="F1652" t="s">
        <v>31</v>
      </c>
      <c r="G1652" t="s">
        <v>22179</v>
      </c>
      <c r="H1652" t="s">
        <v>26004</v>
      </c>
      <c r="I1652" s="26">
        <v>39093</v>
      </c>
      <c r="J1652">
        <v>2007</v>
      </c>
      <c r="K1652" t="s">
        <v>31</v>
      </c>
      <c r="L1652">
        <v>271</v>
      </c>
      <c r="M1652" t="s">
        <v>32117</v>
      </c>
      <c r="O1652" t="s">
        <v>27886</v>
      </c>
      <c r="Q1652" t="s">
        <v>32118</v>
      </c>
      <c r="R1652">
        <v>152.4</v>
      </c>
      <c r="S1652" t="s">
        <v>32119</v>
      </c>
      <c r="T1652" t="s">
        <v>30</v>
      </c>
      <c r="U1652" t="s">
        <v>46</v>
      </c>
      <c r="W1652" t="s">
        <v>26009</v>
      </c>
    </row>
    <row r="1653" spans="1:23" x14ac:dyDescent="0.35">
      <c r="A1653">
        <v>415322</v>
      </c>
      <c r="B1653" t="s">
        <v>32120</v>
      </c>
      <c r="C1653" t="str">
        <f>"9780199270392"</f>
        <v>9780199270392</v>
      </c>
      <c r="D1653" t="str">
        <f>"9780191533662"</f>
        <v>9780191533662</v>
      </c>
      <c r="E1653" t="s">
        <v>371</v>
      </c>
      <c r="F1653" t="s">
        <v>31</v>
      </c>
      <c r="G1653" t="s">
        <v>22242</v>
      </c>
      <c r="H1653" t="s">
        <v>26011</v>
      </c>
      <c r="I1653" s="26">
        <v>39191</v>
      </c>
      <c r="J1653">
        <v>2007</v>
      </c>
      <c r="K1653" t="s">
        <v>31</v>
      </c>
      <c r="L1653">
        <v>260</v>
      </c>
      <c r="M1653" t="s">
        <v>32121</v>
      </c>
      <c r="Q1653" t="s">
        <v>32122</v>
      </c>
      <c r="R1653" t="s">
        <v>26047</v>
      </c>
      <c r="S1653" t="s">
        <v>32123</v>
      </c>
      <c r="T1653" t="s">
        <v>30</v>
      </c>
      <c r="U1653" t="s">
        <v>46</v>
      </c>
      <c r="W1653" t="s">
        <v>26009</v>
      </c>
    </row>
    <row r="1654" spans="1:23" x14ac:dyDescent="0.35">
      <c r="A1654">
        <v>415343</v>
      </c>
      <c r="B1654" t="s">
        <v>32124</v>
      </c>
      <c r="C1654" t="str">
        <f>"9780253352132"</f>
        <v>9780253352132</v>
      </c>
      <c r="D1654" t="str">
        <f>"9780253000682"</f>
        <v>9780253000682</v>
      </c>
      <c r="E1654" t="s">
        <v>7540</v>
      </c>
      <c r="F1654" t="s">
        <v>7540</v>
      </c>
      <c r="G1654" t="s">
        <v>24303</v>
      </c>
      <c r="H1654" t="s">
        <v>26004</v>
      </c>
      <c r="I1654" s="26">
        <v>39708</v>
      </c>
      <c r="J1654">
        <v>2008</v>
      </c>
      <c r="K1654" t="s">
        <v>7540</v>
      </c>
      <c r="L1654">
        <v>249</v>
      </c>
      <c r="M1654" t="s">
        <v>32125</v>
      </c>
      <c r="N1654">
        <v>1</v>
      </c>
      <c r="Q1654" t="s">
        <v>32126</v>
      </c>
      <c r="R1654" t="s">
        <v>32127</v>
      </c>
      <c r="S1654" t="s">
        <v>32128</v>
      </c>
      <c r="T1654" t="s">
        <v>30</v>
      </c>
      <c r="U1654" t="s">
        <v>26116</v>
      </c>
      <c r="W1654" t="s">
        <v>26009</v>
      </c>
    </row>
    <row r="1655" spans="1:23" x14ac:dyDescent="0.35">
      <c r="A1655">
        <v>415381</v>
      </c>
      <c r="B1655" t="s">
        <v>32129</v>
      </c>
      <c r="C1655" t="str">
        <f>"9780195306309"</f>
        <v>9780195306309</v>
      </c>
      <c r="D1655" t="str">
        <f>"9780199724444"</f>
        <v>9780199724444</v>
      </c>
      <c r="E1655" t="s">
        <v>371</v>
      </c>
      <c r="F1655" t="s">
        <v>31</v>
      </c>
      <c r="G1655" t="s">
        <v>22703</v>
      </c>
      <c r="H1655" t="s">
        <v>26004</v>
      </c>
      <c r="I1655" s="26">
        <v>39163</v>
      </c>
      <c r="J1655">
        <v>2007</v>
      </c>
      <c r="K1655" t="s">
        <v>31</v>
      </c>
      <c r="L1655">
        <v>283</v>
      </c>
      <c r="M1655" t="s">
        <v>32130</v>
      </c>
      <c r="Q1655" t="s">
        <v>32131</v>
      </c>
      <c r="R1655">
        <v>618.92852200000004</v>
      </c>
      <c r="S1655" t="s">
        <v>8529</v>
      </c>
      <c r="T1655" t="s">
        <v>30</v>
      </c>
      <c r="U1655" t="s">
        <v>26019</v>
      </c>
      <c r="W1655" t="s">
        <v>26009</v>
      </c>
    </row>
    <row r="1656" spans="1:23" x14ac:dyDescent="0.35">
      <c r="A1656">
        <v>415387</v>
      </c>
      <c r="B1656" t="s">
        <v>32132</v>
      </c>
      <c r="C1656" t="str">
        <f>"9780195306088"</f>
        <v>9780195306088</v>
      </c>
      <c r="D1656" t="str">
        <f>"9780199719310"</f>
        <v>9780199719310</v>
      </c>
      <c r="E1656" t="s">
        <v>371</v>
      </c>
      <c r="F1656" t="s">
        <v>31</v>
      </c>
      <c r="G1656" t="s">
        <v>22179</v>
      </c>
      <c r="H1656" t="s">
        <v>26004</v>
      </c>
      <c r="I1656" s="26">
        <v>39561</v>
      </c>
      <c r="J1656">
        <v>2008</v>
      </c>
      <c r="K1656" t="s">
        <v>31</v>
      </c>
      <c r="L1656">
        <v>272</v>
      </c>
      <c r="M1656" t="s">
        <v>32133</v>
      </c>
      <c r="Q1656" t="s">
        <v>32134</v>
      </c>
      <c r="R1656">
        <v>150.22999999999999</v>
      </c>
      <c r="S1656" t="s">
        <v>32135</v>
      </c>
      <c r="T1656" t="s">
        <v>30</v>
      </c>
      <c r="U1656" t="s">
        <v>46</v>
      </c>
      <c r="W1656" t="s">
        <v>26009</v>
      </c>
    </row>
    <row r="1657" spans="1:23" x14ac:dyDescent="0.35">
      <c r="A1657">
        <v>415399</v>
      </c>
      <c r="B1657" t="s">
        <v>8613</v>
      </c>
      <c r="C1657" t="str">
        <f>"9780195177411"</f>
        <v>9780195177411</v>
      </c>
      <c r="D1657" t="str">
        <f>"9780199720989"</f>
        <v>9780199720989</v>
      </c>
      <c r="E1657" t="s">
        <v>371</v>
      </c>
      <c r="F1657" t="s">
        <v>31</v>
      </c>
      <c r="G1657" t="s">
        <v>22703</v>
      </c>
      <c r="H1657" t="s">
        <v>26004</v>
      </c>
      <c r="I1657" s="26">
        <v>39556</v>
      </c>
      <c r="J1657">
        <v>2008</v>
      </c>
      <c r="K1657" t="s">
        <v>31</v>
      </c>
      <c r="L1657">
        <v>1391</v>
      </c>
      <c r="M1657" t="s">
        <v>32136</v>
      </c>
      <c r="N1657">
        <v>2</v>
      </c>
      <c r="Q1657" t="s">
        <v>32137</v>
      </c>
      <c r="R1657">
        <v>618.91999999999996</v>
      </c>
      <c r="S1657" t="s">
        <v>32138</v>
      </c>
      <c r="T1657" t="s">
        <v>30</v>
      </c>
      <c r="U1657" t="s">
        <v>26019</v>
      </c>
      <c r="W1657" t="s">
        <v>26009</v>
      </c>
    </row>
    <row r="1658" spans="1:23" x14ac:dyDescent="0.35">
      <c r="A1658">
        <v>415402</v>
      </c>
      <c r="B1658" t="s">
        <v>8692</v>
      </c>
      <c r="C1658" t="str">
        <f>"9780195332988"</f>
        <v>9780195332988</v>
      </c>
      <c r="D1658" t="str">
        <f>"9780199715633"</f>
        <v>9780199715633</v>
      </c>
      <c r="E1658" t="s">
        <v>371</v>
      </c>
      <c r="F1658" t="s">
        <v>31</v>
      </c>
      <c r="G1658" t="s">
        <v>22703</v>
      </c>
      <c r="H1658" t="s">
        <v>26004</v>
      </c>
      <c r="I1658" s="26">
        <v>39521</v>
      </c>
      <c r="J1658">
        <v>2008</v>
      </c>
      <c r="K1658" t="s">
        <v>31</v>
      </c>
      <c r="L1658">
        <v>145</v>
      </c>
      <c r="M1658" t="s">
        <v>32139</v>
      </c>
      <c r="N1658">
        <v>1</v>
      </c>
      <c r="O1658" t="s">
        <v>32140</v>
      </c>
      <c r="Q1658" t="s">
        <v>32141</v>
      </c>
      <c r="R1658">
        <v>618.91999999999996</v>
      </c>
      <c r="S1658" t="s">
        <v>32142</v>
      </c>
      <c r="T1658" t="s">
        <v>30</v>
      </c>
      <c r="U1658" t="s">
        <v>26019</v>
      </c>
      <c r="W1658" t="s">
        <v>26009</v>
      </c>
    </row>
    <row r="1659" spans="1:23" x14ac:dyDescent="0.35">
      <c r="A1659">
        <v>415422</v>
      </c>
      <c r="B1659" t="s">
        <v>32143</v>
      </c>
      <c r="C1659" t="str">
        <f>"9780195372076"</f>
        <v>9780195372076</v>
      </c>
      <c r="D1659" t="str">
        <f>"9780199707270"</f>
        <v>9780199707270</v>
      </c>
      <c r="E1659" t="s">
        <v>371</v>
      </c>
      <c r="F1659" t="s">
        <v>31</v>
      </c>
      <c r="G1659" t="s">
        <v>22179</v>
      </c>
      <c r="H1659" t="s">
        <v>26004</v>
      </c>
      <c r="I1659" s="26">
        <v>39874</v>
      </c>
      <c r="J1659">
        <v>2009</v>
      </c>
      <c r="K1659" t="s">
        <v>31</v>
      </c>
      <c r="L1659">
        <v>333</v>
      </c>
      <c r="M1659" t="s">
        <v>32144</v>
      </c>
      <c r="O1659" t="s">
        <v>32145</v>
      </c>
      <c r="Q1659" t="s">
        <v>32146</v>
      </c>
      <c r="R1659" t="s">
        <v>32147</v>
      </c>
      <c r="S1659" t="s">
        <v>32148</v>
      </c>
      <c r="T1659" t="s">
        <v>30</v>
      </c>
      <c r="U1659" t="s">
        <v>5222</v>
      </c>
      <c r="W1659" t="s">
        <v>26009</v>
      </c>
    </row>
    <row r="1660" spans="1:23" x14ac:dyDescent="0.35">
      <c r="A1660">
        <v>415424</v>
      </c>
      <c r="B1660" t="s">
        <v>32149</v>
      </c>
      <c r="C1660" t="str">
        <f>"9780199209149"</f>
        <v>9780199209149</v>
      </c>
      <c r="D1660" t="str">
        <f>"9780191526152"</f>
        <v>9780191526152</v>
      </c>
      <c r="E1660" t="s">
        <v>371</v>
      </c>
      <c r="F1660" t="s">
        <v>399</v>
      </c>
      <c r="G1660" t="s">
        <v>22242</v>
      </c>
      <c r="H1660" t="s">
        <v>26011</v>
      </c>
      <c r="I1660" s="26">
        <v>39380</v>
      </c>
      <c r="J1660">
        <v>2007</v>
      </c>
      <c r="K1660" t="s">
        <v>399</v>
      </c>
      <c r="L1660">
        <v>334</v>
      </c>
      <c r="M1660" t="s">
        <v>32150</v>
      </c>
      <c r="Q1660" t="s">
        <v>32151</v>
      </c>
      <c r="R1660">
        <v>306.77</v>
      </c>
      <c r="S1660" t="s">
        <v>8772</v>
      </c>
      <c r="T1660" t="s">
        <v>30</v>
      </c>
      <c r="U1660" t="s">
        <v>26044</v>
      </c>
      <c r="W1660" t="s">
        <v>26009</v>
      </c>
    </row>
    <row r="1661" spans="1:23" x14ac:dyDescent="0.35">
      <c r="A1661">
        <v>415428</v>
      </c>
      <c r="B1661" t="s">
        <v>32152</v>
      </c>
      <c r="C1661" t="str">
        <f>"9780195178845"</f>
        <v>9780195178845</v>
      </c>
      <c r="D1661" t="str">
        <f>"9780198039778"</f>
        <v>9780198039778</v>
      </c>
      <c r="E1661" t="s">
        <v>371</v>
      </c>
      <c r="F1661" t="s">
        <v>31</v>
      </c>
      <c r="G1661" t="s">
        <v>22179</v>
      </c>
      <c r="H1661" t="s">
        <v>26004</v>
      </c>
      <c r="I1661" s="26">
        <v>39293</v>
      </c>
      <c r="J1661">
        <v>2007</v>
      </c>
      <c r="K1661" t="s">
        <v>31</v>
      </c>
      <c r="L1661">
        <v>255</v>
      </c>
      <c r="M1661" t="s">
        <v>32153</v>
      </c>
      <c r="O1661" t="s">
        <v>32154</v>
      </c>
      <c r="P1661">
        <v>2</v>
      </c>
      <c r="Q1661" t="s">
        <v>32155</v>
      </c>
      <c r="R1661" t="s">
        <v>32156</v>
      </c>
      <c r="S1661" t="s">
        <v>8787</v>
      </c>
      <c r="T1661" t="s">
        <v>30</v>
      </c>
      <c r="U1661" t="s">
        <v>46</v>
      </c>
      <c r="W1661" t="s">
        <v>26009</v>
      </c>
    </row>
    <row r="1662" spans="1:23" x14ac:dyDescent="0.35">
      <c r="A1662">
        <v>415431</v>
      </c>
      <c r="B1662" t="s">
        <v>32157</v>
      </c>
      <c r="C1662" t="str">
        <f>"9780195176919"</f>
        <v>9780195176919</v>
      </c>
      <c r="D1662" t="str">
        <f>"9780195343595"</f>
        <v>9780195343595</v>
      </c>
      <c r="E1662" t="s">
        <v>371</v>
      </c>
      <c r="F1662" t="s">
        <v>31</v>
      </c>
      <c r="G1662" t="s">
        <v>22703</v>
      </c>
      <c r="H1662" t="s">
        <v>26004</v>
      </c>
      <c r="I1662" s="26">
        <v>39086</v>
      </c>
      <c r="J1662">
        <v>2007</v>
      </c>
      <c r="K1662" t="s">
        <v>31</v>
      </c>
      <c r="L1662">
        <v>657</v>
      </c>
      <c r="M1662" t="s">
        <v>32158</v>
      </c>
      <c r="Q1662" t="s">
        <v>32159</v>
      </c>
      <c r="R1662">
        <v>152.13999999999999</v>
      </c>
      <c r="S1662" t="s">
        <v>8786</v>
      </c>
      <c r="T1662" t="s">
        <v>30</v>
      </c>
      <c r="U1662" t="s">
        <v>46</v>
      </c>
      <c r="W1662" t="s">
        <v>26009</v>
      </c>
    </row>
    <row r="1663" spans="1:23" x14ac:dyDescent="0.35">
      <c r="A1663">
        <v>415441</v>
      </c>
      <c r="B1663" t="s">
        <v>8825</v>
      </c>
      <c r="C1663" t="str">
        <f>"9780195189193"</f>
        <v>9780195189193</v>
      </c>
      <c r="D1663" t="str">
        <f>"9780198040774"</f>
        <v>9780198040774</v>
      </c>
      <c r="E1663" t="s">
        <v>371</v>
      </c>
      <c r="F1663" t="s">
        <v>31</v>
      </c>
      <c r="G1663" t="s">
        <v>22179</v>
      </c>
      <c r="H1663" t="s">
        <v>26004</v>
      </c>
      <c r="I1663" s="26">
        <v>39191</v>
      </c>
      <c r="J1663">
        <v>2007</v>
      </c>
      <c r="K1663" t="s">
        <v>31</v>
      </c>
      <c r="L1663">
        <v>496</v>
      </c>
      <c r="M1663" t="s">
        <v>32160</v>
      </c>
      <c r="O1663" t="s">
        <v>32154</v>
      </c>
      <c r="P1663">
        <v>1</v>
      </c>
      <c r="Q1663" t="s">
        <v>32161</v>
      </c>
      <c r="R1663" t="s">
        <v>32162</v>
      </c>
      <c r="S1663" t="s">
        <v>32163</v>
      </c>
      <c r="T1663" t="s">
        <v>30</v>
      </c>
      <c r="U1663" t="s">
        <v>46</v>
      </c>
      <c r="W1663" t="s">
        <v>26009</v>
      </c>
    </row>
    <row r="1664" spans="1:23" x14ac:dyDescent="0.35">
      <c r="A1664">
        <v>415443</v>
      </c>
      <c r="B1664" t="s">
        <v>32164</v>
      </c>
      <c r="C1664" t="str">
        <f>"9780195189742"</f>
        <v>9780195189742</v>
      </c>
      <c r="D1664" t="str">
        <f>"9780198040903"</f>
        <v>9780198040903</v>
      </c>
      <c r="E1664" t="s">
        <v>371</v>
      </c>
      <c r="F1664" t="s">
        <v>31</v>
      </c>
      <c r="G1664" t="s">
        <v>22703</v>
      </c>
      <c r="H1664" t="s">
        <v>26004</v>
      </c>
      <c r="I1664" s="26">
        <v>39493</v>
      </c>
      <c r="J1664">
        <v>2008</v>
      </c>
      <c r="K1664" t="s">
        <v>31</v>
      </c>
      <c r="L1664">
        <v>853</v>
      </c>
      <c r="M1664" t="s">
        <v>32165</v>
      </c>
      <c r="Q1664" t="s">
        <v>32166</v>
      </c>
      <c r="R1664" t="s">
        <v>32167</v>
      </c>
      <c r="S1664" t="s">
        <v>32168</v>
      </c>
      <c r="T1664" t="s">
        <v>30</v>
      </c>
      <c r="U1664" t="s">
        <v>26044</v>
      </c>
      <c r="W1664" t="s">
        <v>26009</v>
      </c>
    </row>
    <row r="1665" spans="1:23" x14ac:dyDescent="0.35">
      <c r="A1665">
        <v>415502</v>
      </c>
      <c r="B1665" t="s">
        <v>32169</v>
      </c>
      <c r="C1665" t="str">
        <f>"9780199548774"</f>
        <v>9780199548774</v>
      </c>
      <c r="D1665" t="str">
        <f>"9780191563478"</f>
        <v>9780191563478</v>
      </c>
      <c r="E1665" t="s">
        <v>371</v>
      </c>
      <c r="F1665" t="s">
        <v>31</v>
      </c>
      <c r="G1665" t="s">
        <v>22242</v>
      </c>
      <c r="H1665" t="s">
        <v>26011</v>
      </c>
      <c r="I1665" s="26">
        <v>39736</v>
      </c>
      <c r="J1665">
        <v>2008</v>
      </c>
      <c r="K1665" t="s">
        <v>31</v>
      </c>
      <c r="L1665">
        <v>239</v>
      </c>
      <c r="M1665" t="s">
        <v>32170</v>
      </c>
      <c r="Q1665" t="s">
        <v>32171</v>
      </c>
      <c r="R1665">
        <v>153.4</v>
      </c>
      <c r="S1665" t="s">
        <v>32172</v>
      </c>
      <c r="T1665" t="s">
        <v>30</v>
      </c>
      <c r="U1665" t="s">
        <v>46</v>
      </c>
      <c r="W1665" t="s">
        <v>26009</v>
      </c>
    </row>
    <row r="1666" spans="1:23" x14ac:dyDescent="0.35">
      <c r="A1666">
        <v>415512</v>
      </c>
      <c r="B1666" t="s">
        <v>32173</v>
      </c>
      <c r="C1666" t="str">
        <f>"9780195329179"</f>
        <v>9780195329179</v>
      </c>
      <c r="D1666" t="str">
        <f>"9780199716333"</f>
        <v>9780199716333</v>
      </c>
      <c r="E1666" t="s">
        <v>371</v>
      </c>
      <c r="F1666" t="s">
        <v>31</v>
      </c>
      <c r="G1666" t="s">
        <v>22703</v>
      </c>
      <c r="H1666" t="s">
        <v>26004</v>
      </c>
      <c r="I1666" s="26">
        <v>39349</v>
      </c>
      <c r="J1666">
        <v>2007</v>
      </c>
      <c r="K1666" t="s">
        <v>31</v>
      </c>
      <c r="L1666">
        <v>92</v>
      </c>
      <c r="M1666" t="s">
        <v>32174</v>
      </c>
      <c r="O1666" t="s">
        <v>28565</v>
      </c>
      <c r="Q1666" t="s">
        <v>32175</v>
      </c>
      <c r="R1666">
        <v>616</v>
      </c>
      <c r="S1666" t="s">
        <v>32176</v>
      </c>
      <c r="T1666" t="s">
        <v>30</v>
      </c>
      <c r="U1666" t="s">
        <v>26040</v>
      </c>
      <c r="W1666" t="s">
        <v>26009</v>
      </c>
    </row>
    <row r="1667" spans="1:23" x14ac:dyDescent="0.35">
      <c r="A1667">
        <v>415516</v>
      </c>
      <c r="B1667" t="s">
        <v>32177</v>
      </c>
      <c r="C1667" t="str">
        <f>"9780195341287"</f>
        <v>9780195341287</v>
      </c>
      <c r="D1667" t="str">
        <f>"9780199712304"</f>
        <v>9780199712304</v>
      </c>
      <c r="E1667" t="s">
        <v>371</v>
      </c>
      <c r="F1667" t="s">
        <v>31</v>
      </c>
      <c r="G1667" t="s">
        <v>22703</v>
      </c>
      <c r="H1667" t="s">
        <v>26004</v>
      </c>
      <c r="I1667" s="26">
        <v>39694</v>
      </c>
      <c r="J1667">
        <v>2008</v>
      </c>
      <c r="K1667" t="s">
        <v>31</v>
      </c>
      <c r="L1667">
        <v>143</v>
      </c>
      <c r="M1667" t="s">
        <v>32178</v>
      </c>
      <c r="O1667" t="s">
        <v>28565</v>
      </c>
      <c r="Q1667" t="s">
        <v>32179</v>
      </c>
      <c r="R1667">
        <v>616.83000000000004</v>
      </c>
      <c r="S1667" t="s">
        <v>32180</v>
      </c>
      <c r="T1667" t="s">
        <v>30</v>
      </c>
      <c r="U1667" t="s">
        <v>26040</v>
      </c>
      <c r="W1667" t="s">
        <v>26009</v>
      </c>
    </row>
    <row r="1668" spans="1:23" x14ac:dyDescent="0.35">
      <c r="A1668">
        <v>415517</v>
      </c>
      <c r="B1668" t="s">
        <v>32181</v>
      </c>
      <c r="C1668" t="str">
        <f>"9780195341300"</f>
        <v>9780195341300</v>
      </c>
      <c r="D1668" t="str">
        <f>"9780199712281"</f>
        <v>9780199712281</v>
      </c>
      <c r="E1668" t="s">
        <v>371</v>
      </c>
      <c r="F1668" t="s">
        <v>31</v>
      </c>
      <c r="G1668" t="s">
        <v>22703</v>
      </c>
      <c r="H1668" t="s">
        <v>26004</v>
      </c>
      <c r="I1668" s="26">
        <v>39680</v>
      </c>
      <c r="J1668">
        <v>2008</v>
      </c>
      <c r="K1668" t="s">
        <v>31</v>
      </c>
      <c r="L1668">
        <v>81</v>
      </c>
      <c r="M1668" t="s">
        <v>32182</v>
      </c>
      <c r="Q1668" t="s">
        <v>32179</v>
      </c>
      <c r="R1668">
        <v>616.83000000000004</v>
      </c>
      <c r="S1668" t="s">
        <v>30570</v>
      </c>
      <c r="T1668" t="s">
        <v>30</v>
      </c>
      <c r="U1668" t="s">
        <v>26040</v>
      </c>
      <c r="W1668" t="s">
        <v>26009</v>
      </c>
    </row>
    <row r="1669" spans="1:23" x14ac:dyDescent="0.35">
      <c r="A1669">
        <v>415524</v>
      </c>
      <c r="B1669" t="s">
        <v>32183</v>
      </c>
      <c r="C1669" t="str">
        <f>"9780195335804"</f>
        <v>9780195335804</v>
      </c>
      <c r="D1669" t="str">
        <f>"9780199714711"</f>
        <v>9780199714711</v>
      </c>
      <c r="E1669" t="s">
        <v>371</v>
      </c>
      <c r="F1669" t="s">
        <v>31</v>
      </c>
      <c r="G1669" t="s">
        <v>22703</v>
      </c>
      <c r="H1669" t="s">
        <v>26004</v>
      </c>
      <c r="I1669" s="26">
        <v>39535</v>
      </c>
      <c r="J1669">
        <v>2008</v>
      </c>
      <c r="K1669" t="s">
        <v>31</v>
      </c>
      <c r="L1669">
        <v>231</v>
      </c>
      <c r="M1669" t="s">
        <v>32184</v>
      </c>
      <c r="O1669" t="s">
        <v>28565</v>
      </c>
      <c r="Q1669" t="s">
        <v>32185</v>
      </c>
      <c r="R1669" t="s">
        <v>27848</v>
      </c>
      <c r="S1669" t="s">
        <v>32186</v>
      </c>
      <c r="T1669" t="s">
        <v>30</v>
      </c>
      <c r="U1669" t="s">
        <v>26116</v>
      </c>
      <c r="W1669" t="s">
        <v>26009</v>
      </c>
    </row>
    <row r="1670" spans="1:23" x14ac:dyDescent="0.35">
      <c r="A1670">
        <v>415530</v>
      </c>
      <c r="B1670" t="s">
        <v>32187</v>
      </c>
      <c r="C1670" t="str">
        <f>"9780195311235"</f>
        <v>9780195311235</v>
      </c>
      <c r="D1670" t="str">
        <f>"9780198042518"</f>
        <v>9780198042518</v>
      </c>
      <c r="E1670" t="s">
        <v>371</v>
      </c>
      <c r="F1670" t="s">
        <v>31</v>
      </c>
      <c r="G1670" t="s">
        <v>22703</v>
      </c>
      <c r="H1670" t="s">
        <v>26011</v>
      </c>
      <c r="I1670" s="26">
        <v>39384</v>
      </c>
      <c r="J1670">
        <v>2007</v>
      </c>
      <c r="K1670" t="s">
        <v>32038</v>
      </c>
      <c r="L1670">
        <v>234</v>
      </c>
      <c r="M1670" t="s">
        <v>32188</v>
      </c>
      <c r="O1670" t="s">
        <v>31972</v>
      </c>
      <c r="Q1670" t="s">
        <v>32189</v>
      </c>
      <c r="R1670" t="s">
        <v>32190</v>
      </c>
      <c r="S1670" t="s">
        <v>32191</v>
      </c>
      <c r="T1670" t="s">
        <v>30</v>
      </c>
      <c r="U1670" t="s">
        <v>26019</v>
      </c>
      <c r="W1670" t="s">
        <v>26009</v>
      </c>
    </row>
    <row r="1671" spans="1:23" x14ac:dyDescent="0.35">
      <c r="A1671">
        <v>415534</v>
      </c>
      <c r="B1671" t="s">
        <v>32192</v>
      </c>
      <c r="C1671" t="str">
        <f>"9780192806758"</f>
        <v>9780192806758</v>
      </c>
      <c r="D1671" t="str">
        <f>"9780191539688"</f>
        <v>9780191539688</v>
      </c>
      <c r="E1671" t="s">
        <v>371</v>
      </c>
      <c r="F1671" t="s">
        <v>399</v>
      </c>
      <c r="G1671" t="s">
        <v>22242</v>
      </c>
      <c r="H1671" t="s">
        <v>26011</v>
      </c>
      <c r="I1671" s="26">
        <v>39758</v>
      </c>
      <c r="J1671">
        <v>2009</v>
      </c>
      <c r="K1671" t="s">
        <v>31984</v>
      </c>
      <c r="L1671">
        <v>117</v>
      </c>
      <c r="M1671" t="s">
        <v>32193</v>
      </c>
      <c r="Q1671" t="s">
        <v>32194</v>
      </c>
      <c r="R1671">
        <v>153.12</v>
      </c>
      <c r="S1671" t="s">
        <v>32195</v>
      </c>
      <c r="T1671" t="s">
        <v>30</v>
      </c>
      <c r="U1671" t="s">
        <v>32196</v>
      </c>
      <c r="W1671" t="s">
        <v>26009</v>
      </c>
    </row>
    <row r="1672" spans="1:23" x14ac:dyDescent="0.35">
      <c r="A1672">
        <v>415548</v>
      </c>
      <c r="B1672" t="s">
        <v>32197</v>
      </c>
      <c r="C1672" t="str">
        <f>"9780195338287"</f>
        <v>9780195338287</v>
      </c>
      <c r="D1672" t="str">
        <f>"9780199713646"</f>
        <v>9780199713646</v>
      </c>
      <c r="E1672" t="s">
        <v>371</v>
      </c>
      <c r="F1672" t="s">
        <v>31</v>
      </c>
      <c r="G1672" t="s">
        <v>22703</v>
      </c>
      <c r="H1672" t="s">
        <v>26004</v>
      </c>
      <c r="I1672" s="26">
        <v>39825</v>
      </c>
      <c r="J1672">
        <v>2009</v>
      </c>
      <c r="K1672" t="s">
        <v>31</v>
      </c>
      <c r="L1672">
        <v>209</v>
      </c>
      <c r="M1672" t="s">
        <v>32198</v>
      </c>
      <c r="Q1672" t="s">
        <v>32199</v>
      </c>
      <c r="R1672" t="s">
        <v>32200</v>
      </c>
      <c r="S1672" t="s">
        <v>32201</v>
      </c>
      <c r="T1672" t="s">
        <v>30</v>
      </c>
      <c r="U1672" t="s">
        <v>26679</v>
      </c>
      <c r="W1672" t="s">
        <v>26009</v>
      </c>
    </row>
    <row r="1673" spans="1:23" x14ac:dyDescent="0.35">
      <c r="A1673">
        <v>415550</v>
      </c>
      <c r="B1673" t="s">
        <v>9169</v>
      </c>
      <c r="C1673" t="str">
        <f>"9780195305845"</f>
        <v>9780195305845</v>
      </c>
      <c r="D1673" t="str">
        <f>"9780198041702"</f>
        <v>9780198041702</v>
      </c>
      <c r="E1673" t="s">
        <v>371</v>
      </c>
      <c r="F1673" t="s">
        <v>31</v>
      </c>
      <c r="G1673" t="s">
        <v>22703</v>
      </c>
      <c r="H1673" t="s">
        <v>26004</v>
      </c>
      <c r="I1673" s="26">
        <v>39430</v>
      </c>
      <c r="J1673">
        <v>2007</v>
      </c>
      <c r="K1673" t="s">
        <v>31</v>
      </c>
      <c r="L1673">
        <v>334</v>
      </c>
      <c r="M1673" t="s">
        <v>32202</v>
      </c>
      <c r="N1673">
        <v>1</v>
      </c>
      <c r="Q1673" t="s">
        <v>32203</v>
      </c>
      <c r="R1673" t="s">
        <v>32204</v>
      </c>
      <c r="S1673" t="s">
        <v>32205</v>
      </c>
      <c r="T1673" t="s">
        <v>30</v>
      </c>
      <c r="U1673" t="s">
        <v>152</v>
      </c>
      <c r="W1673" t="s">
        <v>26009</v>
      </c>
    </row>
    <row r="1674" spans="1:23" x14ac:dyDescent="0.35">
      <c r="A1674">
        <v>415581</v>
      </c>
      <c r="B1674" t="s">
        <v>9219</v>
      </c>
      <c r="C1674" t="str">
        <f>"9780195378542"</f>
        <v>9780195378542</v>
      </c>
      <c r="D1674" t="str">
        <f>"9780199702800"</f>
        <v>9780199702800</v>
      </c>
      <c r="E1674" t="s">
        <v>371</v>
      </c>
      <c r="F1674" t="s">
        <v>31</v>
      </c>
      <c r="G1674" t="s">
        <v>22703</v>
      </c>
      <c r="H1674" t="s">
        <v>26004</v>
      </c>
      <c r="I1674" s="26">
        <v>39882</v>
      </c>
      <c r="J1674">
        <v>2009</v>
      </c>
      <c r="K1674" t="s">
        <v>31</v>
      </c>
      <c r="L1674">
        <v>759</v>
      </c>
      <c r="M1674" t="s">
        <v>32206</v>
      </c>
      <c r="N1674">
        <v>3</v>
      </c>
      <c r="Q1674" t="s">
        <v>32207</v>
      </c>
      <c r="R1674" t="s">
        <v>27789</v>
      </c>
      <c r="S1674" t="s">
        <v>32208</v>
      </c>
      <c r="T1674" t="s">
        <v>30</v>
      </c>
      <c r="U1674" t="s">
        <v>26019</v>
      </c>
      <c r="W1674" t="s">
        <v>26009</v>
      </c>
    </row>
    <row r="1675" spans="1:23" x14ac:dyDescent="0.35">
      <c r="A1675">
        <v>415589</v>
      </c>
      <c r="B1675" t="s">
        <v>32209</v>
      </c>
      <c r="C1675" t="str">
        <f>"9780195309652"</f>
        <v>9780195309652</v>
      </c>
      <c r="D1675" t="str">
        <f>"9780198042297"</f>
        <v>9780198042297</v>
      </c>
      <c r="E1675" t="s">
        <v>371</v>
      </c>
      <c r="F1675" t="s">
        <v>31</v>
      </c>
      <c r="G1675" t="s">
        <v>22703</v>
      </c>
      <c r="H1675" t="s">
        <v>26011</v>
      </c>
      <c r="I1675" s="26">
        <v>39297</v>
      </c>
      <c r="J1675">
        <v>2007</v>
      </c>
      <c r="K1675" t="s">
        <v>32038</v>
      </c>
      <c r="L1675">
        <v>190</v>
      </c>
      <c r="M1675" t="s">
        <v>32210</v>
      </c>
      <c r="O1675" t="s">
        <v>31972</v>
      </c>
      <c r="Q1675" t="s">
        <v>32211</v>
      </c>
      <c r="R1675" t="s">
        <v>32212</v>
      </c>
      <c r="S1675" t="s">
        <v>32213</v>
      </c>
      <c r="T1675" t="s">
        <v>30</v>
      </c>
      <c r="U1675" t="s">
        <v>26116</v>
      </c>
      <c r="W1675" t="s">
        <v>26009</v>
      </c>
    </row>
    <row r="1676" spans="1:23" x14ac:dyDescent="0.35">
      <c r="A1676">
        <v>415616</v>
      </c>
      <c r="B1676" t="s">
        <v>9305</v>
      </c>
      <c r="C1676" t="str">
        <f>"9780195130492"</f>
        <v>9780195130492</v>
      </c>
      <c r="D1676" t="str">
        <f>"9780198029977"</f>
        <v>9780198029977</v>
      </c>
      <c r="E1676" t="s">
        <v>371</v>
      </c>
      <c r="F1676" t="s">
        <v>31</v>
      </c>
      <c r="G1676" t="s">
        <v>22703</v>
      </c>
      <c r="H1676" t="s">
        <v>26004</v>
      </c>
      <c r="I1676" s="26">
        <v>39554</v>
      </c>
      <c r="J1676">
        <v>2008</v>
      </c>
      <c r="K1676" t="s">
        <v>31</v>
      </c>
      <c r="L1676">
        <v>304</v>
      </c>
      <c r="M1676" t="s">
        <v>32214</v>
      </c>
      <c r="Q1676" t="s">
        <v>32215</v>
      </c>
      <c r="R1676">
        <v>153.733</v>
      </c>
      <c r="S1676" t="s">
        <v>32216</v>
      </c>
      <c r="T1676" t="s">
        <v>30</v>
      </c>
      <c r="U1676" t="s">
        <v>46</v>
      </c>
      <c r="W1676" t="s">
        <v>26009</v>
      </c>
    </row>
    <row r="1677" spans="1:23" x14ac:dyDescent="0.35">
      <c r="A1677">
        <v>415619</v>
      </c>
      <c r="B1677" t="s">
        <v>32217</v>
      </c>
      <c r="C1677" t="str">
        <f>"9780195322767"</f>
        <v>9780195322767</v>
      </c>
      <c r="D1677" t="str">
        <f>"9780198043409"</f>
        <v>9780198043409</v>
      </c>
      <c r="E1677" t="s">
        <v>371</v>
      </c>
      <c r="F1677" t="s">
        <v>31</v>
      </c>
      <c r="G1677" t="s">
        <v>22703</v>
      </c>
      <c r="H1677" t="s">
        <v>26004</v>
      </c>
      <c r="I1677" s="26">
        <v>39784</v>
      </c>
      <c r="J1677">
        <v>2009</v>
      </c>
      <c r="K1677" t="s">
        <v>31</v>
      </c>
      <c r="L1677">
        <v>287</v>
      </c>
      <c r="M1677" t="s">
        <v>32218</v>
      </c>
      <c r="O1677" t="s">
        <v>28565</v>
      </c>
      <c r="Q1677" t="s">
        <v>32219</v>
      </c>
      <c r="R1677">
        <v>616.86106510000002</v>
      </c>
      <c r="S1677" t="s">
        <v>32220</v>
      </c>
      <c r="T1677" t="s">
        <v>30</v>
      </c>
      <c r="U1677" t="s">
        <v>26116</v>
      </c>
      <c r="W1677" t="s">
        <v>26009</v>
      </c>
    </row>
    <row r="1678" spans="1:23" x14ac:dyDescent="0.35">
      <c r="A1678">
        <v>415620</v>
      </c>
      <c r="B1678" t="s">
        <v>32221</v>
      </c>
      <c r="C1678" t="str">
        <f>"9780195365894"</f>
        <v>9780195365894</v>
      </c>
      <c r="D1678" t="str">
        <f>"9780199710829"</f>
        <v>9780199710829</v>
      </c>
      <c r="E1678" t="s">
        <v>371</v>
      </c>
      <c r="F1678" t="s">
        <v>31</v>
      </c>
      <c r="G1678" t="s">
        <v>22703</v>
      </c>
      <c r="H1678" t="s">
        <v>26004</v>
      </c>
      <c r="I1678" s="26">
        <v>39534</v>
      </c>
      <c r="J1678">
        <v>2008</v>
      </c>
      <c r="K1678" t="s">
        <v>31</v>
      </c>
      <c r="L1678">
        <v>126</v>
      </c>
      <c r="M1678" t="s">
        <v>32222</v>
      </c>
      <c r="O1678" t="s">
        <v>28565</v>
      </c>
      <c r="Q1678" t="s">
        <v>32223</v>
      </c>
      <c r="R1678" t="s">
        <v>32224</v>
      </c>
      <c r="S1678" t="s">
        <v>32225</v>
      </c>
      <c r="T1678" t="s">
        <v>30</v>
      </c>
      <c r="U1678" t="s">
        <v>26116</v>
      </c>
      <c r="W1678" t="s">
        <v>26009</v>
      </c>
    </row>
    <row r="1679" spans="1:23" x14ac:dyDescent="0.35">
      <c r="A1679">
        <v>415621</v>
      </c>
      <c r="B1679" t="s">
        <v>32226</v>
      </c>
      <c r="C1679" t="str">
        <f>"9780195365900"</f>
        <v>9780195365900</v>
      </c>
      <c r="D1679" t="str">
        <f>"9780199710812"</f>
        <v>9780199710812</v>
      </c>
      <c r="E1679" t="s">
        <v>371</v>
      </c>
      <c r="F1679" t="s">
        <v>31</v>
      </c>
      <c r="G1679" t="s">
        <v>22703</v>
      </c>
      <c r="H1679" t="s">
        <v>26011</v>
      </c>
      <c r="I1679" s="26">
        <v>39534</v>
      </c>
      <c r="J1679">
        <v>2008</v>
      </c>
      <c r="K1679" t="s">
        <v>32038</v>
      </c>
      <c r="L1679">
        <v>79</v>
      </c>
      <c r="M1679" t="s">
        <v>32227</v>
      </c>
      <c r="O1679" t="s">
        <v>32228</v>
      </c>
      <c r="Q1679" t="s">
        <v>32229</v>
      </c>
      <c r="R1679" t="s">
        <v>32230</v>
      </c>
      <c r="S1679" t="s">
        <v>32225</v>
      </c>
      <c r="T1679" t="s">
        <v>30</v>
      </c>
      <c r="U1679" t="s">
        <v>26019</v>
      </c>
      <c r="W1679" t="s">
        <v>26009</v>
      </c>
    </row>
    <row r="1680" spans="1:23" x14ac:dyDescent="0.35">
      <c r="A1680">
        <v>415622</v>
      </c>
      <c r="B1680" t="s">
        <v>9319</v>
      </c>
      <c r="C1680" t="str">
        <f>"9780195317022"</f>
        <v>9780195317022</v>
      </c>
      <c r="D1680" t="str">
        <f>"9780198043133"</f>
        <v>9780198043133</v>
      </c>
      <c r="E1680" t="s">
        <v>371</v>
      </c>
      <c r="F1680" t="s">
        <v>31</v>
      </c>
      <c r="G1680" t="s">
        <v>22703</v>
      </c>
      <c r="H1680" t="s">
        <v>26004</v>
      </c>
      <c r="I1680" s="26">
        <v>39065</v>
      </c>
      <c r="J1680">
        <v>2007</v>
      </c>
      <c r="K1680" t="s">
        <v>31</v>
      </c>
      <c r="L1680">
        <v>139</v>
      </c>
      <c r="M1680" t="s">
        <v>32231</v>
      </c>
      <c r="O1680" t="s">
        <v>28565</v>
      </c>
      <c r="Q1680" t="s">
        <v>32232</v>
      </c>
      <c r="R1680">
        <v>616.85841059999996</v>
      </c>
      <c r="S1680" t="s">
        <v>9320</v>
      </c>
      <c r="T1680" t="s">
        <v>30</v>
      </c>
      <c r="U1680" t="s">
        <v>26116</v>
      </c>
      <c r="W1680" t="s">
        <v>26009</v>
      </c>
    </row>
    <row r="1681" spans="1:23" x14ac:dyDescent="0.35">
      <c r="A1681">
        <v>415623</v>
      </c>
      <c r="B1681" t="s">
        <v>32233</v>
      </c>
      <c r="C1681" t="str">
        <f>"9780195334562"</f>
        <v>9780195334562</v>
      </c>
      <c r="D1681" t="str">
        <f>"9780199715176"</f>
        <v>9780199715176</v>
      </c>
      <c r="E1681" t="s">
        <v>371</v>
      </c>
      <c r="F1681" t="s">
        <v>31</v>
      </c>
      <c r="G1681" t="s">
        <v>22703</v>
      </c>
      <c r="H1681" t="s">
        <v>26004</v>
      </c>
      <c r="I1681" s="26">
        <v>39342</v>
      </c>
      <c r="J1681">
        <v>2008</v>
      </c>
      <c r="K1681" t="s">
        <v>31</v>
      </c>
      <c r="L1681">
        <v>109</v>
      </c>
      <c r="M1681" t="s">
        <v>32234</v>
      </c>
      <c r="O1681" t="s">
        <v>28565</v>
      </c>
      <c r="Q1681" t="s">
        <v>32235</v>
      </c>
      <c r="R1681">
        <v>616.85260000000005</v>
      </c>
      <c r="S1681" t="s">
        <v>32236</v>
      </c>
      <c r="T1681" t="s">
        <v>30</v>
      </c>
      <c r="U1681" t="s">
        <v>26019</v>
      </c>
      <c r="W1681" t="s">
        <v>26009</v>
      </c>
    </row>
    <row r="1682" spans="1:23" x14ac:dyDescent="0.35">
      <c r="A1682">
        <v>415624</v>
      </c>
      <c r="B1682" t="s">
        <v>9322</v>
      </c>
      <c r="C1682" t="str">
        <f>"9780195317015"</f>
        <v>9780195317015</v>
      </c>
      <c r="D1682" t="str">
        <f>"9780198043126"</f>
        <v>9780198043126</v>
      </c>
      <c r="E1682" t="s">
        <v>371</v>
      </c>
      <c r="F1682" t="s">
        <v>31</v>
      </c>
      <c r="G1682" t="s">
        <v>22703</v>
      </c>
      <c r="H1682" t="s">
        <v>26004</v>
      </c>
      <c r="I1682" s="26">
        <v>39079</v>
      </c>
      <c r="J1682">
        <v>2007</v>
      </c>
      <c r="K1682" t="s">
        <v>31</v>
      </c>
      <c r="L1682">
        <v>92</v>
      </c>
      <c r="M1682" t="s">
        <v>32237</v>
      </c>
      <c r="O1682" t="s">
        <v>28565</v>
      </c>
      <c r="Q1682" t="s">
        <v>32238</v>
      </c>
      <c r="R1682">
        <v>616.85841059999996</v>
      </c>
      <c r="S1682" t="s">
        <v>9323</v>
      </c>
      <c r="T1682" t="s">
        <v>30</v>
      </c>
      <c r="U1682" t="s">
        <v>26116</v>
      </c>
      <c r="W1682" t="s">
        <v>26009</v>
      </c>
    </row>
    <row r="1683" spans="1:23" x14ac:dyDescent="0.35">
      <c r="A1683">
        <v>415641</v>
      </c>
      <c r="B1683" t="s">
        <v>32239</v>
      </c>
      <c r="C1683" t="str">
        <f>"9780199237500"</f>
        <v>9780199237500</v>
      </c>
      <c r="D1683" t="str">
        <f>"9780191553349"</f>
        <v>9780191553349</v>
      </c>
      <c r="E1683" t="s">
        <v>371</v>
      </c>
      <c r="F1683" t="s">
        <v>31</v>
      </c>
      <c r="G1683" t="s">
        <v>22242</v>
      </c>
      <c r="H1683" t="s">
        <v>26011</v>
      </c>
      <c r="I1683" s="26">
        <v>39783</v>
      </c>
      <c r="J1683">
        <v>2008</v>
      </c>
      <c r="K1683" t="s">
        <v>31</v>
      </c>
      <c r="L1683">
        <v>198</v>
      </c>
      <c r="M1683" t="s">
        <v>32240</v>
      </c>
      <c r="Q1683" t="s">
        <v>32241</v>
      </c>
      <c r="R1683" t="s">
        <v>32242</v>
      </c>
      <c r="S1683" t="s">
        <v>32243</v>
      </c>
      <c r="T1683" t="s">
        <v>30</v>
      </c>
      <c r="U1683" t="s">
        <v>26116</v>
      </c>
      <c r="W1683" t="s">
        <v>26009</v>
      </c>
    </row>
    <row r="1684" spans="1:23" x14ac:dyDescent="0.35">
      <c r="A1684">
        <v>415644</v>
      </c>
      <c r="B1684" t="s">
        <v>32244</v>
      </c>
      <c r="C1684" t="str">
        <f>"9780198505709"</f>
        <v>9780198505709</v>
      </c>
      <c r="D1684" t="str">
        <f>"9780191523113"</f>
        <v>9780191523113</v>
      </c>
      <c r="E1684" t="s">
        <v>371</v>
      </c>
      <c r="F1684" t="s">
        <v>31</v>
      </c>
      <c r="G1684" t="s">
        <v>22242</v>
      </c>
      <c r="H1684" t="s">
        <v>26011</v>
      </c>
      <c r="I1684" s="26">
        <v>39121</v>
      </c>
      <c r="J1684">
        <v>2007</v>
      </c>
      <c r="K1684" t="s">
        <v>31</v>
      </c>
      <c r="L1684">
        <v>633</v>
      </c>
      <c r="M1684" t="s">
        <v>32245</v>
      </c>
      <c r="Q1684" t="s">
        <v>32246</v>
      </c>
      <c r="R1684">
        <v>511.33</v>
      </c>
      <c r="S1684" t="s">
        <v>32247</v>
      </c>
      <c r="T1684" t="s">
        <v>30</v>
      </c>
      <c r="U1684" t="s">
        <v>32248</v>
      </c>
      <c r="W1684" t="s">
        <v>26009</v>
      </c>
    </row>
    <row r="1685" spans="1:23" x14ac:dyDescent="0.35">
      <c r="A1685">
        <v>415645</v>
      </c>
      <c r="B1685" t="s">
        <v>9363</v>
      </c>
      <c r="C1685" t="str">
        <f>"9780195381344"</f>
        <v>9780195381344</v>
      </c>
      <c r="D1685" t="str">
        <f>"9780199700899"</f>
        <v>9780199700899</v>
      </c>
      <c r="E1685" t="s">
        <v>371</v>
      </c>
      <c r="F1685" t="s">
        <v>31</v>
      </c>
      <c r="G1685" t="s">
        <v>22179</v>
      </c>
      <c r="H1685" t="s">
        <v>26004</v>
      </c>
      <c r="I1685" s="26">
        <v>39910</v>
      </c>
      <c r="J1685">
        <v>2009</v>
      </c>
      <c r="K1685" t="s">
        <v>31</v>
      </c>
      <c r="L1685">
        <v>209</v>
      </c>
      <c r="M1685" t="s">
        <v>32249</v>
      </c>
      <c r="O1685" t="s">
        <v>28674</v>
      </c>
      <c r="Q1685" t="s">
        <v>32250</v>
      </c>
      <c r="R1685" t="s">
        <v>32251</v>
      </c>
      <c r="S1685" t="s">
        <v>32252</v>
      </c>
      <c r="T1685" t="s">
        <v>30</v>
      </c>
      <c r="U1685" t="s">
        <v>26679</v>
      </c>
      <c r="W1685" t="s">
        <v>26009</v>
      </c>
    </row>
    <row r="1686" spans="1:23" x14ac:dyDescent="0.35">
      <c r="A1686">
        <v>415649</v>
      </c>
      <c r="B1686" t="s">
        <v>32253</v>
      </c>
      <c r="C1686" t="str">
        <f>"9780199211425"</f>
        <v>9780199211425</v>
      </c>
      <c r="D1686" t="str">
        <f>"9780191526329"</f>
        <v>9780191526329</v>
      </c>
      <c r="E1686" t="s">
        <v>371</v>
      </c>
      <c r="F1686" t="s">
        <v>399</v>
      </c>
      <c r="G1686" t="s">
        <v>22242</v>
      </c>
      <c r="H1686" t="s">
        <v>26011</v>
      </c>
      <c r="I1686" s="26">
        <v>39933</v>
      </c>
      <c r="J1686">
        <v>2007</v>
      </c>
      <c r="K1686" t="s">
        <v>399</v>
      </c>
      <c r="L1686">
        <v>305</v>
      </c>
      <c r="M1686" t="s">
        <v>32254</v>
      </c>
      <c r="O1686" t="s">
        <v>32255</v>
      </c>
      <c r="Q1686" t="s">
        <v>32256</v>
      </c>
      <c r="R1686">
        <v>155.19999999999999</v>
      </c>
      <c r="S1686" t="s">
        <v>8888</v>
      </c>
      <c r="T1686" t="s">
        <v>30</v>
      </c>
      <c r="U1686" t="s">
        <v>46</v>
      </c>
      <c r="W1686" t="s">
        <v>26009</v>
      </c>
    </row>
    <row r="1687" spans="1:23" x14ac:dyDescent="0.35">
      <c r="A1687">
        <v>415650</v>
      </c>
      <c r="B1687" t="s">
        <v>32257</v>
      </c>
      <c r="C1687" t="str">
        <f>"9780195330977"</f>
        <v>9780195330977</v>
      </c>
      <c r="D1687" t="str">
        <f>"9780198044109"</f>
        <v>9780198044109</v>
      </c>
      <c r="E1687" t="s">
        <v>371</v>
      </c>
      <c r="F1687" t="s">
        <v>31</v>
      </c>
      <c r="G1687" t="s">
        <v>22703</v>
      </c>
      <c r="H1687" t="s">
        <v>26004</v>
      </c>
      <c r="I1687" s="26">
        <v>39527</v>
      </c>
      <c r="J1687">
        <v>2008</v>
      </c>
      <c r="K1687" t="s">
        <v>31</v>
      </c>
      <c r="L1687">
        <v>259</v>
      </c>
      <c r="M1687" t="s">
        <v>32258</v>
      </c>
      <c r="O1687" t="s">
        <v>31967</v>
      </c>
      <c r="Q1687" t="s">
        <v>32259</v>
      </c>
      <c r="R1687" t="s">
        <v>27789</v>
      </c>
      <c r="S1687" t="s">
        <v>32260</v>
      </c>
      <c r="T1687" t="s">
        <v>30</v>
      </c>
      <c r="U1687" t="s">
        <v>26019</v>
      </c>
      <c r="W1687" t="s">
        <v>26009</v>
      </c>
    </row>
    <row r="1688" spans="1:23" x14ac:dyDescent="0.35">
      <c r="A1688">
        <v>415678</v>
      </c>
      <c r="B1688" t="s">
        <v>32261</v>
      </c>
      <c r="C1688" t="str">
        <f>"9780195331745"</f>
        <v>9780195331745</v>
      </c>
      <c r="D1688" t="str">
        <f>"9780190450274"</f>
        <v>9780190450274</v>
      </c>
      <c r="E1688" t="s">
        <v>371</v>
      </c>
      <c r="F1688" t="s">
        <v>31</v>
      </c>
      <c r="G1688" t="s">
        <v>22703</v>
      </c>
      <c r="H1688" t="s">
        <v>26004</v>
      </c>
      <c r="I1688" s="26">
        <v>39713</v>
      </c>
      <c r="J1688">
        <v>2009</v>
      </c>
      <c r="K1688" t="s">
        <v>31</v>
      </c>
      <c r="L1688">
        <v>297</v>
      </c>
      <c r="M1688" t="s">
        <v>32262</v>
      </c>
      <c r="O1688" t="s">
        <v>28565</v>
      </c>
      <c r="Q1688" t="s">
        <v>32263</v>
      </c>
      <c r="R1688" t="s">
        <v>27831</v>
      </c>
      <c r="S1688" t="s">
        <v>32264</v>
      </c>
      <c r="T1688" t="s">
        <v>30</v>
      </c>
      <c r="U1688" t="s">
        <v>26116</v>
      </c>
      <c r="W1688" t="s">
        <v>26009</v>
      </c>
    </row>
    <row r="1689" spans="1:23" x14ac:dyDescent="0.35">
      <c r="A1689">
        <v>415689</v>
      </c>
      <c r="B1689" t="s">
        <v>32265</v>
      </c>
      <c r="C1689" t="str">
        <f>"9780195314588"</f>
        <v>9780195314588</v>
      </c>
      <c r="D1689" t="str">
        <f>"9780199724468"</f>
        <v>9780199724468</v>
      </c>
      <c r="E1689" t="s">
        <v>371</v>
      </c>
      <c r="F1689" t="s">
        <v>31</v>
      </c>
      <c r="G1689" t="s">
        <v>22703</v>
      </c>
      <c r="H1689" t="s">
        <v>26004</v>
      </c>
      <c r="I1689" s="26">
        <v>39109</v>
      </c>
      <c r="J1689">
        <v>2007</v>
      </c>
      <c r="K1689" t="s">
        <v>31</v>
      </c>
      <c r="L1689">
        <v>290</v>
      </c>
      <c r="M1689" t="s">
        <v>32266</v>
      </c>
      <c r="N1689">
        <v>2</v>
      </c>
      <c r="Q1689" t="s">
        <v>32267</v>
      </c>
      <c r="R1689" t="s">
        <v>32268</v>
      </c>
      <c r="S1689" t="s">
        <v>32269</v>
      </c>
      <c r="T1689" t="s">
        <v>30</v>
      </c>
      <c r="U1689" t="s">
        <v>29704</v>
      </c>
      <c r="W1689" t="s">
        <v>26009</v>
      </c>
    </row>
    <row r="1690" spans="1:23" x14ac:dyDescent="0.35">
      <c r="A1690">
        <v>415692</v>
      </c>
      <c r="B1690" t="s">
        <v>32270</v>
      </c>
      <c r="C1690" t="str">
        <f>"9780199747092"</f>
        <v>9780199747092</v>
      </c>
      <c r="D1690" t="str">
        <f>"9780199716418"</f>
        <v>9780199716418</v>
      </c>
      <c r="E1690" t="s">
        <v>371</v>
      </c>
      <c r="F1690" t="s">
        <v>31</v>
      </c>
      <c r="G1690" t="s">
        <v>22703</v>
      </c>
      <c r="H1690" t="s">
        <v>26004</v>
      </c>
      <c r="I1690" s="26">
        <v>39570</v>
      </c>
      <c r="J1690">
        <v>2008</v>
      </c>
      <c r="K1690" t="s">
        <v>31</v>
      </c>
      <c r="L1690">
        <v>257</v>
      </c>
      <c r="M1690" t="s">
        <v>32271</v>
      </c>
      <c r="O1690" t="s">
        <v>32272</v>
      </c>
      <c r="Q1690" t="s">
        <v>32273</v>
      </c>
      <c r="R1690" t="s">
        <v>32274</v>
      </c>
      <c r="S1690" t="s">
        <v>32275</v>
      </c>
      <c r="T1690" t="s">
        <v>30</v>
      </c>
      <c r="U1690" t="s">
        <v>46</v>
      </c>
      <c r="W1690" t="s">
        <v>26009</v>
      </c>
    </row>
    <row r="1691" spans="1:23" x14ac:dyDescent="0.35">
      <c r="A1691">
        <v>415705</v>
      </c>
      <c r="B1691" t="s">
        <v>32276</v>
      </c>
      <c r="C1691" t="str">
        <f>"9780195313673"</f>
        <v>9780195313673</v>
      </c>
      <c r="D1691" t="str">
        <f>"9780195345490"</f>
        <v>9780195345490</v>
      </c>
      <c r="E1691" t="s">
        <v>371</v>
      </c>
      <c r="F1691" t="s">
        <v>31</v>
      </c>
      <c r="G1691" t="s">
        <v>22703</v>
      </c>
      <c r="H1691" t="s">
        <v>26004</v>
      </c>
      <c r="I1691" s="26">
        <v>39121</v>
      </c>
      <c r="J1691">
        <v>2007</v>
      </c>
      <c r="K1691" t="s">
        <v>31</v>
      </c>
      <c r="L1691">
        <v>391</v>
      </c>
      <c r="M1691" t="s">
        <v>32277</v>
      </c>
      <c r="Q1691" t="s">
        <v>32278</v>
      </c>
      <c r="R1691">
        <v>362.26</v>
      </c>
      <c r="S1691" t="s">
        <v>32279</v>
      </c>
      <c r="T1691" t="s">
        <v>30</v>
      </c>
      <c r="U1691" t="s">
        <v>30818</v>
      </c>
      <c r="W1691" t="s">
        <v>26009</v>
      </c>
    </row>
    <row r="1692" spans="1:23" x14ac:dyDescent="0.35">
      <c r="A1692">
        <v>415757</v>
      </c>
      <c r="B1692" t="s">
        <v>32280</v>
      </c>
      <c r="C1692" t="str">
        <f>"9780195311587"</f>
        <v>9780195311587</v>
      </c>
      <c r="D1692" t="str">
        <f>"9780198042556"</f>
        <v>9780198042556</v>
      </c>
      <c r="E1692" t="s">
        <v>371</v>
      </c>
      <c r="F1692" t="s">
        <v>31</v>
      </c>
      <c r="G1692" t="s">
        <v>22179</v>
      </c>
      <c r="H1692" t="s">
        <v>26004</v>
      </c>
      <c r="I1692" s="26">
        <v>39420</v>
      </c>
      <c r="J1692">
        <v>2008</v>
      </c>
      <c r="K1692" t="s">
        <v>31</v>
      </c>
      <c r="L1692">
        <v>505</v>
      </c>
      <c r="M1692" t="s">
        <v>32281</v>
      </c>
      <c r="Q1692" t="s">
        <v>32282</v>
      </c>
      <c r="R1692" t="s">
        <v>28874</v>
      </c>
      <c r="S1692" t="s">
        <v>32283</v>
      </c>
      <c r="T1692" t="s">
        <v>30</v>
      </c>
      <c r="U1692" t="s">
        <v>26141</v>
      </c>
      <c r="W1692" t="s">
        <v>26009</v>
      </c>
    </row>
    <row r="1693" spans="1:23" x14ac:dyDescent="0.35">
      <c r="A1693">
        <v>415758</v>
      </c>
      <c r="B1693" t="s">
        <v>32284</v>
      </c>
      <c r="C1693" t="str">
        <f>"9780195177046"</f>
        <v>9780195177046</v>
      </c>
      <c r="D1693" t="str">
        <f>"9780198039334"</f>
        <v>9780198039334</v>
      </c>
      <c r="E1693" t="s">
        <v>371</v>
      </c>
      <c r="F1693" t="s">
        <v>31</v>
      </c>
      <c r="G1693" t="s">
        <v>22703</v>
      </c>
      <c r="H1693" t="s">
        <v>26004</v>
      </c>
      <c r="I1693" s="26">
        <v>39855</v>
      </c>
      <c r="J1693">
        <v>2008</v>
      </c>
      <c r="K1693" t="s">
        <v>31</v>
      </c>
      <c r="L1693">
        <v>476</v>
      </c>
      <c r="M1693" t="s">
        <v>32285</v>
      </c>
      <c r="Q1693" t="s">
        <v>32286</v>
      </c>
      <c r="R1693">
        <v>362.88299999999998</v>
      </c>
      <c r="S1693" t="s">
        <v>32287</v>
      </c>
      <c r="T1693" t="s">
        <v>30</v>
      </c>
      <c r="U1693" t="s">
        <v>29407</v>
      </c>
      <c r="W1693" t="s">
        <v>26009</v>
      </c>
    </row>
    <row r="1694" spans="1:23" x14ac:dyDescent="0.35">
      <c r="A1694">
        <v>415759</v>
      </c>
      <c r="B1694" t="s">
        <v>32288</v>
      </c>
      <c r="C1694" t="str">
        <f>"9780199298020"</f>
        <v>9780199298020</v>
      </c>
      <c r="D1694" t="str">
        <f>"9780191538247"</f>
        <v>9780191538247</v>
      </c>
      <c r="E1694" t="s">
        <v>371</v>
      </c>
      <c r="F1694" t="s">
        <v>399</v>
      </c>
      <c r="G1694" t="s">
        <v>22242</v>
      </c>
      <c r="H1694" t="s">
        <v>26011</v>
      </c>
      <c r="I1694" s="26">
        <v>39562</v>
      </c>
      <c r="J1694">
        <v>2008</v>
      </c>
      <c r="K1694" t="s">
        <v>31984</v>
      </c>
      <c r="L1694">
        <v>125</v>
      </c>
      <c r="M1694" t="s">
        <v>32289</v>
      </c>
      <c r="Q1694" t="s">
        <v>32290</v>
      </c>
      <c r="R1694">
        <v>306.709</v>
      </c>
      <c r="S1694" t="s">
        <v>32291</v>
      </c>
      <c r="T1694" t="s">
        <v>30</v>
      </c>
      <c r="U1694" t="s">
        <v>26044</v>
      </c>
      <c r="W1694" t="s">
        <v>26009</v>
      </c>
    </row>
    <row r="1695" spans="1:23" x14ac:dyDescent="0.35">
      <c r="A1695">
        <v>415790</v>
      </c>
      <c r="B1695" t="s">
        <v>32292</v>
      </c>
      <c r="C1695" t="str">
        <f>"9780195189841"</f>
        <v>9780195189841</v>
      </c>
      <c r="D1695" t="str">
        <f>"9780198040927"</f>
        <v>9780198040927</v>
      </c>
      <c r="E1695" t="s">
        <v>371</v>
      </c>
      <c r="F1695" t="s">
        <v>31</v>
      </c>
      <c r="G1695" t="s">
        <v>22703</v>
      </c>
      <c r="H1695" t="s">
        <v>26004</v>
      </c>
      <c r="I1695" s="26">
        <v>39258</v>
      </c>
      <c r="J1695">
        <v>2007</v>
      </c>
      <c r="K1695" t="s">
        <v>31</v>
      </c>
      <c r="L1695">
        <v>281</v>
      </c>
      <c r="M1695" t="s">
        <v>32293</v>
      </c>
      <c r="Q1695" t="s">
        <v>32294</v>
      </c>
      <c r="R1695">
        <v>364.15</v>
      </c>
      <c r="S1695" t="s">
        <v>32295</v>
      </c>
      <c r="T1695" t="s">
        <v>30</v>
      </c>
      <c r="U1695" t="s">
        <v>26509</v>
      </c>
      <c r="W1695" t="s">
        <v>26009</v>
      </c>
    </row>
    <row r="1696" spans="1:23" x14ac:dyDescent="0.35">
      <c r="A1696">
        <v>415791</v>
      </c>
      <c r="B1696" t="s">
        <v>32296</v>
      </c>
      <c r="C1696" t="str">
        <f>"9780195326383"</f>
        <v>9780195326383</v>
      </c>
      <c r="D1696" t="str">
        <f>"9780198043713"</f>
        <v>9780198043713</v>
      </c>
      <c r="E1696" t="s">
        <v>371</v>
      </c>
      <c r="F1696" t="s">
        <v>31</v>
      </c>
      <c r="G1696" t="s">
        <v>22703</v>
      </c>
      <c r="H1696" t="s">
        <v>26004</v>
      </c>
      <c r="I1696" s="26">
        <v>39611</v>
      </c>
      <c r="J1696">
        <v>2008</v>
      </c>
      <c r="K1696" t="s">
        <v>31</v>
      </c>
      <c r="L1696">
        <v>493</v>
      </c>
      <c r="M1696" t="s">
        <v>32297</v>
      </c>
      <c r="Q1696" t="s">
        <v>32298</v>
      </c>
      <c r="R1696">
        <v>364.15</v>
      </c>
      <c r="S1696" t="s">
        <v>32299</v>
      </c>
      <c r="T1696" t="s">
        <v>30</v>
      </c>
      <c r="U1696" t="s">
        <v>26044</v>
      </c>
      <c r="W1696" t="s">
        <v>26009</v>
      </c>
    </row>
    <row r="1697" spans="1:23" x14ac:dyDescent="0.35">
      <c r="A1697">
        <v>415831</v>
      </c>
      <c r="B1697" t="s">
        <v>32300</v>
      </c>
      <c r="C1697" t="str">
        <f>"9780195306361"</f>
        <v>9780195306361</v>
      </c>
      <c r="D1697" t="str">
        <f>"9780195345636"</f>
        <v>9780195345636</v>
      </c>
      <c r="E1697" t="s">
        <v>371</v>
      </c>
      <c r="F1697" t="s">
        <v>31</v>
      </c>
      <c r="G1697" t="s">
        <v>22179</v>
      </c>
      <c r="H1697" t="s">
        <v>26004</v>
      </c>
      <c r="I1697" s="26">
        <v>39016</v>
      </c>
      <c r="J1697">
        <v>2006</v>
      </c>
      <c r="K1697" t="s">
        <v>31</v>
      </c>
      <c r="L1697">
        <v>331</v>
      </c>
      <c r="M1697" t="s">
        <v>32301</v>
      </c>
      <c r="Q1697" t="s">
        <v>32302</v>
      </c>
      <c r="R1697">
        <v>701.15</v>
      </c>
      <c r="S1697" t="s">
        <v>32303</v>
      </c>
      <c r="T1697" t="s">
        <v>30</v>
      </c>
      <c r="U1697" t="s">
        <v>27699</v>
      </c>
      <c r="W1697" t="s">
        <v>26009</v>
      </c>
    </row>
    <row r="1698" spans="1:23" x14ac:dyDescent="0.35">
      <c r="A1698">
        <v>415839</v>
      </c>
      <c r="B1698" t="s">
        <v>7795</v>
      </c>
      <c r="C1698" t="str">
        <f>"9780195342956"</f>
        <v>9780195342956</v>
      </c>
      <c r="D1698" t="str">
        <f>"9780199711390"</f>
        <v>9780199711390</v>
      </c>
      <c r="E1698" t="s">
        <v>371</v>
      </c>
      <c r="F1698" t="s">
        <v>31</v>
      </c>
      <c r="G1698" t="s">
        <v>22179</v>
      </c>
      <c r="H1698" t="s">
        <v>26004</v>
      </c>
      <c r="I1698" s="26">
        <v>39651</v>
      </c>
      <c r="J1698">
        <v>2008</v>
      </c>
      <c r="K1698" t="s">
        <v>31</v>
      </c>
      <c r="L1698">
        <v>481</v>
      </c>
      <c r="M1698" t="s">
        <v>32304</v>
      </c>
      <c r="Q1698" t="s">
        <v>32305</v>
      </c>
      <c r="R1698">
        <v>302.23083500000001</v>
      </c>
      <c r="S1698" t="s">
        <v>32306</v>
      </c>
      <c r="T1698" t="s">
        <v>30</v>
      </c>
      <c r="U1698" t="s">
        <v>26044</v>
      </c>
      <c r="W1698" t="s">
        <v>26009</v>
      </c>
    </row>
    <row r="1699" spans="1:23" x14ac:dyDescent="0.35">
      <c r="A1699">
        <v>415865</v>
      </c>
      <c r="B1699" t="s">
        <v>8261</v>
      </c>
      <c r="C1699" t="str">
        <f>"9780195189223"</f>
        <v>9780195189223</v>
      </c>
      <c r="D1699" t="str">
        <f>"9780195345940"</f>
        <v>9780195345940</v>
      </c>
      <c r="E1699" t="s">
        <v>371</v>
      </c>
      <c r="F1699" t="s">
        <v>31</v>
      </c>
      <c r="G1699" t="s">
        <v>22179</v>
      </c>
      <c r="H1699" t="s">
        <v>26004</v>
      </c>
      <c r="I1699" s="26">
        <v>39184</v>
      </c>
      <c r="J1699">
        <v>2007</v>
      </c>
      <c r="K1699" t="s">
        <v>31</v>
      </c>
      <c r="L1699">
        <v>429</v>
      </c>
      <c r="M1699" t="s">
        <v>32307</v>
      </c>
      <c r="Q1699" t="s">
        <v>32308</v>
      </c>
      <c r="R1699" t="s">
        <v>28592</v>
      </c>
      <c r="S1699" t="s">
        <v>32309</v>
      </c>
      <c r="T1699" t="s">
        <v>30</v>
      </c>
      <c r="U1699" t="s">
        <v>46</v>
      </c>
      <c r="W1699" t="s">
        <v>26009</v>
      </c>
    </row>
    <row r="1700" spans="1:23" x14ac:dyDescent="0.35">
      <c r="A1700">
        <v>415872</v>
      </c>
      <c r="B1700" t="s">
        <v>32310</v>
      </c>
      <c r="C1700" t="str">
        <f>"9780195316902"</f>
        <v>9780195316902</v>
      </c>
      <c r="D1700" t="str">
        <f>"9780198043096"</f>
        <v>9780198043096</v>
      </c>
      <c r="E1700" t="s">
        <v>371</v>
      </c>
      <c r="F1700" t="s">
        <v>31</v>
      </c>
      <c r="G1700" t="s">
        <v>22703</v>
      </c>
      <c r="H1700" t="s">
        <v>26004</v>
      </c>
      <c r="I1700" s="26">
        <v>40652</v>
      </c>
      <c r="J1700">
        <v>2007</v>
      </c>
      <c r="K1700" t="s">
        <v>31</v>
      </c>
      <c r="L1700">
        <v>140</v>
      </c>
      <c r="M1700" t="s">
        <v>32311</v>
      </c>
      <c r="N1700">
        <v>2</v>
      </c>
      <c r="Q1700" t="s">
        <v>32312</v>
      </c>
      <c r="R1700">
        <v>153.03</v>
      </c>
      <c r="S1700" t="s">
        <v>32313</v>
      </c>
      <c r="T1700" t="s">
        <v>30</v>
      </c>
      <c r="U1700" t="s">
        <v>46</v>
      </c>
      <c r="W1700" t="s">
        <v>26009</v>
      </c>
    </row>
    <row r="1701" spans="1:23" x14ac:dyDescent="0.35">
      <c r="A1701">
        <v>415876</v>
      </c>
      <c r="B1701" t="s">
        <v>8417</v>
      </c>
      <c r="C1701" t="str">
        <f>"9780195325522"</f>
        <v>9780195325522</v>
      </c>
      <c r="D1701" t="str">
        <f>"9780199724147"</f>
        <v>9780199724147</v>
      </c>
      <c r="E1701" t="s">
        <v>371</v>
      </c>
      <c r="F1701" t="s">
        <v>31</v>
      </c>
      <c r="G1701" t="s">
        <v>22179</v>
      </c>
      <c r="H1701" t="s">
        <v>26004</v>
      </c>
      <c r="I1701" s="26">
        <v>39906</v>
      </c>
      <c r="J1701">
        <v>2009</v>
      </c>
      <c r="K1701" t="s">
        <v>31</v>
      </c>
      <c r="L1701">
        <v>279</v>
      </c>
      <c r="M1701" t="s">
        <v>32314</v>
      </c>
      <c r="Q1701" t="s">
        <v>32315</v>
      </c>
      <c r="R1701" t="s">
        <v>32316</v>
      </c>
      <c r="S1701" t="s">
        <v>32317</v>
      </c>
      <c r="T1701" t="s">
        <v>30</v>
      </c>
      <c r="U1701" t="s">
        <v>26044</v>
      </c>
      <c r="W1701" t="s">
        <v>26009</v>
      </c>
    </row>
    <row r="1702" spans="1:23" x14ac:dyDescent="0.35">
      <c r="A1702">
        <v>415907</v>
      </c>
      <c r="B1702" t="s">
        <v>32318</v>
      </c>
      <c r="C1702" t="str">
        <f>"9780195313048"</f>
        <v>9780195313048</v>
      </c>
      <c r="D1702" t="str">
        <f>"9780198042693"</f>
        <v>9780198042693</v>
      </c>
      <c r="E1702" t="s">
        <v>371</v>
      </c>
      <c r="F1702" t="s">
        <v>31</v>
      </c>
      <c r="G1702" t="s">
        <v>22703</v>
      </c>
      <c r="H1702" t="s">
        <v>26004</v>
      </c>
      <c r="I1702" s="26">
        <v>39251</v>
      </c>
      <c r="J1702">
        <v>2007</v>
      </c>
      <c r="K1702" t="s">
        <v>31</v>
      </c>
      <c r="L1702">
        <v>304</v>
      </c>
      <c r="M1702" t="s">
        <v>32319</v>
      </c>
      <c r="Q1702" t="s">
        <v>32320</v>
      </c>
      <c r="R1702">
        <v>616.89</v>
      </c>
      <c r="S1702" t="s">
        <v>32321</v>
      </c>
      <c r="T1702" t="s">
        <v>30</v>
      </c>
      <c r="U1702" t="s">
        <v>26116</v>
      </c>
      <c r="W1702" t="s">
        <v>26009</v>
      </c>
    </row>
    <row r="1703" spans="1:23" x14ac:dyDescent="0.35">
      <c r="A1703">
        <v>415914</v>
      </c>
      <c r="B1703" t="s">
        <v>32322</v>
      </c>
      <c r="C1703" t="str">
        <f>"9780195308440"</f>
        <v>9780195308440</v>
      </c>
      <c r="D1703" t="str">
        <f>"9780198042150"</f>
        <v>9780198042150</v>
      </c>
      <c r="E1703" t="s">
        <v>371</v>
      </c>
      <c r="F1703" t="s">
        <v>31</v>
      </c>
      <c r="G1703" t="s">
        <v>22179</v>
      </c>
      <c r="H1703" t="s">
        <v>26004</v>
      </c>
      <c r="I1703" s="26">
        <v>39079</v>
      </c>
      <c r="J1703">
        <v>2007</v>
      </c>
      <c r="K1703" t="s">
        <v>31</v>
      </c>
      <c r="L1703">
        <v>699</v>
      </c>
      <c r="M1703" t="s">
        <v>32323</v>
      </c>
      <c r="Q1703" t="s">
        <v>32324</v>
      </c>
      <c r="R1703">
        <v>616.89</v>
      </c>
      <c r="S1703" t="s">
        <v>32325</v>
      </c>
      <c r="T1703" t="s">
        <v>30</v>
      </c>
      <c r="U1703" t="s">
        <v>26019</v>
      </c>
      <c r="W1703" t="s">
        <v>26009</v>
      </c>
    </row>
    <row r="1704" spans="1:23" x14ac:dyDescent="0.35">
      <c r="A1704">
        <v>415934</v>
      </c>
      <c r="B1704" t="s">
        <v>32326</v>
      </c>
      <c r="C1704" t="str">
        <f>"9780195372885"</f>
        <v>9780195372885</v>
      </c>
      <c r="D1704" t="str">
        <f>"9780199706723"</f>
        <v>9780199706723</v>
      </c>
      <c r="E1704" t="s">
        <v>371</v>
      </c>
      <c r="F1704" t="s">
        <v>31</v>
      </c>
      <c r="G1704" t="s">
        <v>22703</v>
      </c>
      <c r="H1704" t="s">
        <v>26004</v>
      </c>
      <c r="I1704" s="26">
        <v>39759</v>
      </c>
      <c r="J1704">
        <v>2009</v>
      </c>
      <c r="K1704" t="s">
        <v>31</v>
      </c>
      <c r="L1704">
        <v>217</v>
      </c>
      <c r="M1704" t="s">
        <v>32327</v>
      </c>
      <c r="Q1704" t="s">
        <v>32328</v>
      </c>
      <c r="R1704">
        <v>160</v>
      </c>
      <c r="S1704" t="s">
        <v>32329</v>
      </c>
      <c r="T1704" t="s">
        <v>30</v>
      </c>
      <c r="U1704" t="s">
        <v>26679</v>
      </c>
      <c r="W1704" t="s">
        <v>26009</v>
      </c>
    </row>
    <row r="1705" spans="1:23" x14ac:dyDescent="0.35">
      <c r="A1705">
        <v>415956</v>
      </c>
      <c r="B1705" t="s">
        <v>32330</v>
      </c>
      <c r="C1705" t="str">
        <f>"9780199545988"</f>
        <v>9780199545988</v>
      </c>
      <c r="D1705" t="str">
        <f>"9780191562914"</f>
        <v>9780191562914</v>
      </c>
      <c r="E1705" t="s">
        <v>371</v>
      </c>
      <c r="F1705" t="s">
        <v>31</v>
      </c>
      <c r="G1705" t="s">
        <v>22242</v>
      </c>
      <c r="H1705" t="s">
        <v>26011</v>
      </c>
      <c r="I1705" s="26">
        <v>39767</v>
      </c>
      <c r="J1705">
        <v>2008</v>
      </c>
      <c r="K1705" t="s">
        <v>31</v>
      </c>
      <c r="L1705">
        <v>376</v>
      </c>
      <c r="M1705" t="s">
        <v>32331</v>
      </c>
      <c r="Q1705" t="s">
        <v>32332</v>
      </c>
      <c r="R1705">
        <v>150.1</v>
      </c>
      <c r="S1705" t="s">
        <v>31755</v>
      </c>
      <c r="T1705" t="s">
        <v>30</v>
      </c>
      <c r="U1705" t="s">
        <v>46</v>
      </c>
      <c r="W1705" t="s">
        <v>26009</v>
      </c>
    </row>
    <row r="1706" spans="1:23" x14ac:dyDescent="0.35">
      <c r="A1706">
        <v>415960</v>
      </c>
      <c r="B1706" t="s">
        <v>32333</v>
      </c>
      <c r="C1706" t="str">
        <f>"9780195316971"</f>
        <v>9780195316971</v>
      </c>
      <c r="D1706" t="str">
        <f>"9780199724499"</f>
        <v>9780199724499</v>
      </c>
      <c r="E1706" t="s">
        <v>371</v>
      </c>
      <c r="F1706" t="s">
        <v>31</v>
      </c>
      <c r="G1706" t="s">
        <v>22703</v>
      </c>
      <c r="H1706" t="s">
        <v>26004</v>
      </c>
      <c r="I1706" s="26">
        <v>39338</v>
      </c>
      <c r="J1706">
        <v>2008</v>
      </c>
      <c r="K1706" t="s">
        <v>31</v>
      </c>
      <c r="L1706">
        <v>268</v>
      </c>
      <c r="M1706" t="s">
        <v>32334</v>
      </c>
      <c r="N1706">
        <v>1</v>
      </c>
      <c r="Q1706" t="s">
        <v>32335</v>
      </c>
      <c r="R1706">
        <v>616.89139999999998</v>
      </c>
      <c r="S1706" t="s">
        <v>32336</v>
      </c>
      <c r="T1706" t="s">
        <v>30</v>
      </c>
      <c r="U1706" t="s">
        <v>26116</v>
      </c>
      <c r="W1706" t="s">
        <v>26009</v>
      </c>
    </row>
    <row r="1707" spans="1:23" x14ac:dyDescent="0.35">
      <c r="A1707">
        <v>415972</v>
      </c>
      <c r="B1707" t="s">
        <v>32337</v>
      </c>
      <c r="C1707" t="str">
        <f>"9780195326789"</f>
        <v>9780195326789</v>
      </c>
      <c r="D1707" t="str">
        <f>"9780199716777"</f>
        <v>9780199716777</v>
      </c>
      <c r="E1707" t="s">
        <v>371</v>
      </c>
      <c r="F1707" t="s">
        <v>31</v>
      </c>
      <c r="G1707" t="s">
        <v>22179</v>
      </c>
      <c r="H1707" t="s">
        <v>26004</v>
      </c>
      <c r="I1707" s="26">
        <v>39878</v>
      </c>
      <c r="J1707">
        <v>2009</v>
      </c>
      <c r="K1707" t="s">
        <v>31</v>
      </c>
      <c r="L1707">
        <v>497</v>
      </c>
      <c r="M1707" t="s">
        <v>32338</v>
      </c>
      <c r="O1707" t="s">
        <v>32339</v>
      </c>
      <c r="Q1707" t="s">
        <v>32340</v>
      </c>
      <c r="R1707">
        <v>306.76609000000002</v>
      </c>
      <c r="S1707" t="s">
        <v>32341</v>
      </c>
      <c r="T1707" t="s">
        <v>30</v>
      </c>
      <c r="U1707" t="s">
        <v>26044</v>
      </c>
      <c r="W1707" t="s">
        <v>26009</v>
      </c>
    </row>
    <row r="1708" spans="1:23" x14ac:dyDescent="0.35">
      <c r="A1708">
        <v>415976</v>
      </c>
      <c r="B1708" t="s">
        <v>32342</v>
      </c>
      <c r="C1708" t="str">
        <f>"9780195316889"</f>
        <v>9780195316889</v>
      </c>
      <c r="D1708" t="str">
        <f>"9780199724215"</f>
        <v>9780199724215</v>
      </c>
      <c r="E1708" t="s">
        <v>371</v>
      </c>
      <c r="F1708" t="s">
        <v>31</v>
      </c>
      <c r="G1708" t="s">
        <v>22703</v>
      </c>
      <c r="H1708" t="s">
        <v>26004</v>
      </c>
      <c r="I1708" s="26">
        <v>39511</v>
      </c>
      <c r="J1708">
        <v>2008</v>
      </c>
      <c r="K1708" t="s">
        <v>31</v>
      </c>
      <c r="L1708">
        <v>186</v>
      </c>
      <c r="M1708" t="s">
        <v>32343</v>
      </c>
      <c r="O1708" t="s">
        <v>32018</v>
      </c>
      <c r="Q1708" t="s">
        <v>32344</v>
      </c>
      <c r="R1708">
        <v>616.85227009200003</v>
      </c>
      <c r="S1708" t="s">
        <v>32345</v>
      </c>
      <c r="T1708" t="s">
        <v>30</v>
      </c>
      <c r="U1708" t="s">
        <v>26116</v>
      </c>
      <c r="W1708" t="s">
        <v>26009</v>
      </c>
    </row>
    <row r="1709" spans="1:23" x14ac:dyDescent="0.35">
      <c r="A1709">
        <v>416011</v>
      </c>
      <c r="B1709" t="s">
        <v>32346</v>
      </c>
      <c r="C1709" t="str">
        <f>"9780199217915"</f>
        <v>9780199217915</v>
      </c>
      <c r="D1709" t="str">
        <f>"9780191551116"</f>
        <v>9780191551116</v>
      </c>
      <c r="E1709" t="s">
        <v>371</v>
      </c>
      <c r="F1709" t="s">
        <v>399</v>
      </c>
      <c r="G1709" t="s">
        <v>22242</v>
      </c>
      <c r="H1709" t="s">
        <v>26011</v>
      </c>
      <c r="I1709" s="26">
        <v>40126</v>
      </c>
      <c r="J1709">
        <v>2008</v>
      </c>
      <c r="K1709" t="s">
        <v>399</v>
      </c>
      <c r="L1709">
        <v>161</v>
      </c>
      <c r="M1709" t="s">
        <v>32347</v>
      </c>
      <c r="Q1709" t="s">
        <v>32348</v>
      </c>
      <c r="R1709" t="s">
        <v>28453</v>
      </c>
      <c r="S1709" t="s">
        <v>32349</v>
      </c>
      <c r="T1709" t="s">
        <v>30</v>
      </c>
      <c r="U1709" t="s">
        <v>32350</v>
      </c>
      <c r="W1709" t="s">
        <v>26009</v>
      </c>
    </row>
    <row r="1710" spans="1:23" x14ac:dyDescent="0.35">
      <c r="A1710">
        <v>416018</v>
      </c>
      <c r="B1710" t="s">
        <v>10148</v>
      </c>
      <c r="C1710" t="str">
        <f>"9780195379402"</f>
        <v>9780195379402</v>
      </c>
      <c r="D1710" t="str">
        <f>"9780199702183"</f>
        <v>9780199702183</v>
      </c>
      <c r="E1710" t="s">
        <v>371</v>
      </c>
      <c r="F1710" t="s">
        <v>31</v>
      </c>
      <c r="G1710" t="s">
        <v>22242</v>
      </c>
      <c r="H1710" t="s">
        <v>26004</v>
      </c>
      <c r="I1710" s="26">
        <v>39864</v>
      </c>
      <c r="J1710">
        <v>2009</v>
      </c>
      <c r="K1710" t="s">
        <v>31</v>
      </c>
      <c r="L1710">
        <v>316</v>
      </c>
      <c r="M1710" t="s">
        <v>32351</v>
      </c>
      <c r="Q1710" t="s">
        <v>32352</v>
      </c>
      <c r="R1710" t="s">
        <v>29038</v>
      </c>
      <c r="S1710" t="s">
        <v>32353</v>
      </c>
      <c r="T1710" t="s">
        <v>30</v>
      </c>
      <c r="U1710" t="s">
        <v>26019</v>
      </c>
      <c r="W1710" t="s">
        <v>26009</v>
      </c>
    </row>
    <row r="1711" spans="1:23" x14ac:dyDescent="0.35">
      <c r="A1711">
        <v>416029</v>
      </c>
      <c r="B1711" t="s">
        <v>32354</v>
      </c>
      <c r="C1711" t="str">
        <f>"9780195309836"</f>
        <v>9780195309836</v>
      </c>
      <c r="D1711" t="str">
        <f>"9780195345568"</f>
        <v>9780195345568</v>
      </c>
      <c r="E1711" t="s">
        <v>371</v>
      </c>
      <c r="F1711" t="s">
        <v>31</v>
      </c>
      <c r="G1711" t="s">
        <v>22179</v>
      </c>
      <c r="H1711" t="s">
        <v>26004</v>
      </c>
      <c r="I1711" s="26">
        <v>39093</v>
      </c>
      <c r="J1711">
        <v>2007</v>
      </c>
      <c r="K1711" t="s">
        <v>31</v>
      </c>
      <c r="L1711">
        <v>199</v>
      </c>
      <c r="M1711" t="s">
        <v>32355</v>
      </c>
      <c r="Q1711" t="s">
        <v>32356</v>
      </c>
      <c r="R1711">
        <v>302.23099999999999</v>
      </c>
      <c r="S1711" t="s">
        <v>32357</v>
      </c>
      <c r="T1711" t="s">
        <v>30</v>
      </c>
      <c r="U1711" t="s">
        <v>26044</v>
      </c>
      <c r="W1711" t="s">
        <v>26009</v>
      </c>
    </row>
    <row r="1712" spans="1:23" x14ac:dyDescent="0.35">
      <c r="A1712">
        <v>416041</v>
      </c>
      <c r="B1712" t="s">
        <v>32358</v>
      </c>
      <c r="C1712" t="str">
        <f>"9780195313024"</f>
        <v>9780195313024</v>
      </c>
      <c r="D1712" t="str">
        <f>"9780198042686"</f>
        <v>9780198042686</v>
      </c>
      <c r="E1712" t="s">
        <v>371</v>
      </c>
      <c r="F1712" t="s">
        <v>31</v>
      </c>
      <c r="G1712" t="s">
        <v>22703</v>
      </c>
      <c r="H1712" t="s">
        <v>26004</v>
      </c>
      <c r="I1712" s="26">
        <v>39273</v>
      </c>
      <c r="J1712">
        <v>2007</v>
      </c>
      <c r="K1712" t="s">
        <v>31</v>
      </c>
      <c r="L1712">
        <v>177</v>
      </c>
      <c r="M1712" t="s">
        <v>32359</v>
      </c>
      <c r="O1712" t="s">
        <v>32018</v>
      </c>
      <c r="Q1712" t="s">
        <v>32360</v>
      </c>
      <c r="R1712" t="s">
        <v>32361</v>
      </c>
      <c r="S1712" t="s">
        <v>10222</v>
      </c>
      <c r="T1712" t="s">
        <v>30</v>
      </c>
      <c r="U1712" t="s">
        <v>26116</v>
      </c>
      <c r="W1712" t="s">
        <v>26009</v>
      </c>
    </row>
    <row r="1713" spans="1:23" x14ac:dyDescent="0.35">
      <c r="A1713">
        <v>416043</v>
      </c>
      <c r="B1713" t="s">
        <v>32362</v>
      </c>
      <c r="C1713" t="str">
        <f>"9780195329483"</f>
        <v>9780195329483</v>
      </c>
      <c r="D1713" t="str">
        <f>"9780199716265"</f>
        <v>9780199716265</v>
      </c>
      <c r="E1713" t="s">
        <v>371</v>
      </c>
      <c r="F1713" t="s">
        <v>31</v>
      </c>
      <c r="G1713" t="s">
        <v>22703</v>
      </c>
      <c r="H1713" t="s">
        <v>26004</v>
      </c>
      <c r="I1713" s="26">
        <v>39517</v>
      </c>
      <c r="J1713">
        <v>2008</v>
      </c>
      <c r="K1713" t="s">
        <v>31</v>
      </c>
      <c r="L1713">
        <v>105</v>
      </c>
      <c r="M1713" t="s">
        <v>32363</v>
      </c>
      <c r="O1713" t="s">
        <v>28565</v>
      </c>
      <c r="Q1713" t="s">
        <v>32364</v>
      </c>
      <c r="R1713">
        <v>618.92849799999999</v>
      </c>
      <c r="S1713" t="s">
        <v>32365</v>
      </c>
      <c r="T1713" t="s">
        <v>30</v>
      </c>
      <c r="U1713" t="s">
        <v>26116</v>
      </c>
      <c r="W1713" t="s">
        <v>26009</v>
      </c>
    </row>
    <row r="1714" spans="1:23" x14ac:dyDescent="0.35">
      <c r="A1714">
        <v>416044</v>
      </c>
      <c r="B1714" t="s">
        <v>32366</v>
      </c>
      <c r="C1714" t="str">
        <f>"9780195329476"</f>
        <v>9780195329476</v>
      </c>
      <c r="D1714" t="str">
        <f>"9780199716272"</f>
        <v>9780199716272</v>
      </c>
      <c r="E1714" t="s">
        <v>371</v>
      </c>
      <c r="F1714" t="s">
        <v>31</v>
      </c>
      <c r="G1714" t="s">
        <v>22703</v>
      </c>
      <c r="H1714" t="s">
        <v>26004</v>
      </c>
      <c r="I1714" s="26">
        <v>39517</v>
      </c>
      <c r="J1714">
        <v>2008</v>
      </c>
      <c r="K1714" t="s">
        <v>31</v>
      </c>
      <c r="L1714">
        <v>160</v>
      </c>
      <c r="M1714" t="s">
        <v>32363</v>
      </c>
      <c r="O1714" t="s">
        <v>28565</v>
      </c>
      <c r="Q1714" t="s">
        <v>32367</v>
      </c>
      <c r="R1714">
        <v>618.91999999999996</v>
      </c>
      <c r="S1714" t="s">
        <v>10225</v>
      </c>
      <c r="T1714" t="s">
        <v>30</v>
      </c>
      <c r="U1714" t="s">
        <v>26019</v>
      </c>
      <c r="W1714" t="s">
        <v>26009</v>
      </c>
    </row>
    <row r="1715" spans="1:23" x14ac:dyDescent="0.35">
      <c r="A1715">
        <v>419331</v>
      </c>
      <c r="B1715" t="s">
        <v>32368</v>
      </c>
      <c r="C1715" t="str">
        <f>"9781861349408"</f>
        <v>9781861349408</v>
      </c>
      <c r="D1715" t="str">
        <f>"9781847423573"</f>
        <v>9781847423573</v>
      </c>
      <c r="E1715" t="s">
        <v>4632</v>
      </c>
      <c r="F1715" t="s">
        <v>4632</v>
      </c>
      <c r="G1715" t="s">
        <v>24532</v>
      </c>
      <c r="H1715" t="s">
        <v>26011</v>
      </c>
      <c r="I1715" s="26">
        <v>39638</v>
      </c>
      <c r="J1715">
        <v>2008</v>
      </c>
      <c r="K1715" t="s">
        <v>4632</v>
      </c>
      <c r="L1715">
        <v>159</v>
      </c>
      <c r="M1715" t="s">
        <v>32369</v>
      </c>
      <c r="N1715">
        <v>1</v>
      </c>
      <c r="Q1715" t="s">
        <v>32370</v>
      </c>
      <c r="R1715">
        <v>364.15</v>
      </c>
      <c r="S1715" t="s">
        <v>32371</v>
      </c>
      <c r="T1715" t="s">
        <v>30</v>
      </c>
      <c r="U1715" t="s">
        <v>26044</v>
      </c>
      <c r="W1715" t="s">
        <v>26009</v>
      </c>
    </row>
    <row r="1716" spans="1:23" x14ac:dyDescent="0.35">
      <c r="A1716">
        <v>419356</v>
      </c>
      <c r="B1716" t="s">
        <v>9739</v>
      </c>
      <c r="C1716" t="str">
        <f>"9781861349224"</f>
        <v>9781861349224</v>
      </c>
      <c r="D1716" t="str">
        <f>"9781847422347"</f>
        <v>9781847422347</v>
      </c>
      <c r="E1716" t="s">
        <v>4632</v>
      </c>
      <c r="F1716" t="s">
        <v>4632</v>
      </c>
      <c r="G1716" t="s">
        <v>24532</v>
      </c>
      <c r="H1716" t="s">
        <v>26011</v>
      </c>
      <c r="I1716" s="26">
        <v>39176</v>
      </c>
      <c r="J1716">
        <v>2007</v>
      </c>
      <c r="K1716" t="s">
        <v>4632</v>
      </c>
      <c r="L1716">
        <v>257</v>
      </c>
      <c r="M1716" t="s">
        <v>32372</v>
      </c>
      <c r="N1716">
        <v>1</v>
      </c>
      <c r="Q1716" t="s">
        <v>32373</v>
      </c>
      <c r="T1716" t="s">
        <v>30</v>
      </c>
      <c r="U1716" t="s">
        <v>26040</v>
      </c>
      <c r="W1716" t="s">
        <v>26009</v>
      </c>
    </row>
    <row r="1717" spans="1:23" x14ac:dyDescent="0.35">
      <c r="A1717">
        <v>419766</v>
      </c>
      <c r="B1717" t="s">
        <v>7944</v>
      </c>
      <c r="C1717" t="str">
        <f>"9789085553915"</f>
        <v>9789085553915</v>
      </c>
      <c r="D1717" t="str">
        <f>"9789048502080"</f>
        <v>9789048502080</v>
      </c>
      <c r="E1717" t="s">
        <v>7497</v>
      </c>
      <c r="F1717" t="s">
        <v>7497</v>
      </c>
      <c r="G1717" t="s">
        <v>22222</v>
      </c>
      <c r="H1717" t="s">
        <v>27983</v>
      </c>
      <c r="I1717" s="26">
        <v>39083</v>
      </c>
      <c r="J1717">
        <v>2007</v>
      </c>
      <c r="K1717" t="s">
        <v>32374</v>
      </c>
      <c r="L1717">
        <v>638</v>
      </c>
      <c r="M1717" t="s">
        <v>32375</v>
      </c>
      <c r="N1717">
        <v>1</v>
      </c>
      <c r="Q1717" t="s">
        <v>32376</v>
      </c>
      <c r="R1717">
        <v>200</v>
      </c>
      <c r="S1717" t="s">
        <v>32377</v>
      </c>
      <c r="T1717" t="s">
        <v>30</v>
      </c>
      <c r="U1717" t="s">
        <v>27931</v>
      </c>
      <c r="W1717" t="s">
        <v>26009</v>
      </c>
    </row>
    <row r="1718" spans="1:23" x14ac:dyDescent="0.35">
      <c r="A1718">
        <v>419775</v>
      </c>
      <c r="B1718" t="s">
        <v>32378</v>
      </c>
      <c r="C1718" t="str">
        <f>"9789056294427"</f>
        <v>9789056294427</v>
      </c>
      <c r="D1718" t="str">
        <f>"9789048503414"</f>
        <v>9789048503414</v>
      </c>
      <c r="E1718" t="s">
        <v>7497</v>
      </c>
      <c r="F1718" t="s">
        <v>7497</v>
      </c>
      <c r="G1718" t="s">
        <v>22222</v>
      </c>
      <c r="H1718" t="s">
        <v>27983</v>
      </c>
      <c r="I1718" s="26">
        <v>38718</v>
      </c>
      <c r="J1718">
        <v>2006</v>
      </c>
      <c r="K1718" t="s">
        <v>32379</v>
      </c>
      <c r="L1718">
        <v>216</v>
      </c>
      <c r="M1718" t="s">
        <v>32380</v>
      </c>
      <c r="N1718">
        <v>1</v>
      </c>
      <c r="Q1718" t="s">
        <v>32381</v>
      </c>
      <c r="R1718">
        <v>780</v>
      </c>
      <c r="S1718" t="s">
        <v>7914</v>
      </c>
      <c r="T1718" t="s">
        <v>30</v>
      </c>
      <c r="U1718" t="s">
        <v>27699</v>
      </c>
      <c r="W1718" t="s">
        <v>26009</v>
      </c>
    </row>
    <row r="1719" spans="1:23" x14ac:dyDescent="0.35">
      <c r="A1719">
        <v>419941</v>
      </c>
      <c r="B1719" t="s">
        <v>32382</v>
      </c>
      <c r="C1719" t="str">
        <f>"9789056294458"</f>
        <v>9789056294458</v>
      </c>
      <c r="D1719" t="str">
        <f>"9789048504688"</f>
        <v>9789048504688</v>
      </c>
      <c r="E1719" t="s">
        <v>7497</v>
      </c>
      <c r="F1719" t="s">
        <v>7497</v>
      </c>
      <c r="G1719" t="s">
        <v>22222</v>
      </c>
      <c r="H1719" t="s">
        <v>27983</v>
      </c>
      <c r="I1719" s="26">
        <v>38718</v>
      </c>
      <c r="J1719">
        <v>2006</v>
      </c>
      <c r="K1719" t="s">
        <v>32379</v>
      </c>
      <c r="L1719">
        <v>350</v>
      </c>
      <c r="M1719" t="s">
        <v>32383</v>
      </c>
      <c r="N1719">
        <v>1</v>
      </c>
      <c r="Q1719" t="s">
        <v>32384</v>
      </c>
      <c r="R1719">
        <v>796.33399999999995</v>
      </c>
      <c r="S1719" t="s">
        <v>10160</v>
      </c>
      <c r="T1719" t="s">
        <v>30</v>
      </c>
      <c r="U1719" t="s">
        <v>26008</v>
      </c>
      <c r="W1719" t="s">
        <v>26009</v>
      </c>
    </row>
    <row r="1720" spans="1:23" x14ac:dyDescent="0.35">
      <c r="A1720">
        <v>420004</v>
      </c>
      <c r="B1720" t="s">
        <v>32385</v>
      </c>
      <c r="C1720" t="str">
        <f>"9789053565018"</f>
        <v>9789053565018</v>
      </c>
      <c r="D1720" t="str">
        <f>"9789048505074"</f>
        <v>9789048505074</v>
      </c>
      <c r="E1720" t="s">
        <v>7497</v>
      </c>
      <c r="F1720" t="s">
        <v>7497</v>
      </c>
      <c r="G1720" t="s">
        <v>22222</v>
      </c>
      <c r="H1720" t="s">
        <v>27983</v>
      </c>
      <c r="I1720" s="26">
        <v>37622</v>
      </c>
      <c r="J1720">
        <v>2003</v>
      </c>
      <c r="K1720" t="s">
        <v>7497</v>
      </c>
      <c r="L1720">
        <v>325</v>
      </c>
      <c r="M1720" t="s">
        <v>32386</v>
      </c>
      <c r="N1720">
        <v>1</v>
      </c>
      <c r="Q1720" t="s">
        <v>32387</v>
      </c>
      <c r="R1720">
        <v>610.73680949200002</v>
      </c>
      <c r="S1720" t="s">
        <v>32388</v>
      </c>
      <c r="T1720" t="s">
        <v>30</v>
      </c>
      <c r="U1720" t="s">
        <v>32389</v>
      </c>
      <c r="W1720" t="s">
        <v>26009</v>
      </c>
    </row>
    <row r="1721" spans="1:23" x14ac:dyDescent="0.35">
      <c r="A1721">
        <v>420133</v>
      </c>
      <c r="B1721" t="s">
        <v>32390</v>
      </c>
      <c r="C1721" t="str">
        <f>"9789089640628"</f>
        <v>9789089640628</v>
      </c>
      <c r="D1721" t="str">
        <f>"9789048506491"</f>
        <v>9789048506491</v>
      </c>
      <c r="E1721" t="s">
        <v>7497</v>
      </c>
      <c r="F1721" t="s">
        <v>7497</v>
      </c>
      <c r="G1721" t="s">
        <v>22222</v>
      </c>
      <c r="H1721" t="s">
        <v>27983</v>
      </c>
      <c r="I1721" s="26">
        <v>39448</v>
      </c>
      <c r="J1721">
        <v>2008</v>
      </c>
      <c r="K1721" t="s">
        <v>7497</v>
      </c>
      <c r="L1721">
        <v>280</v>
      </c>
      <c r="M1721" t="s">
        <v>32391</v>
      </c>
      <c r="N1721">
        <v>1</v>
      </c>
      <c r="O1721" t="s">
        <v>32392</v>
      </c>
      <c r="Q1721" t="s">
        <v>32393</v>
      </c>
      <c r="R1721">
        <v>305.24200000000002</v>
      </c>
      <c r="S1721" t="s">
        <v>32394</v>
      </c>
      <c r="T1721" t="s">
        <v>30</v>
      </c>
      <c r="U1721" t="s">
        <v>26044</v>
      </c>
      <c r="W1721" t="s">
        <v>26009</v>
      </c>
    </row>
    <row r="1722" spans="1:23" x14ac:dyDescent="0.35">
      <c r="A1722">
        <v>420238</v>
      </c>
      <c r="B1722" t="s">
        <v>32395</v>
      </c>
      <c r="C1722" t="str">
        <f>"9789053567999"</f>
        <v>9789053567999</v>
      </c>
      <c r="D1722" t="str">
        <f>"9789048503919"</f>
        <v>9789048503919</v>
      </c>
      <c r="E1722" t="s">
        <v>7497</v>
      </c>
      <c r="F1722" t="s">
        <v>7497</v>
      </c>
      <c r="G1722" t="s">
        <v>22222</v>
      </c>
      <c r="H1722" t="s">
        <v>27983</v>
      </c>
      <c r="I1722" s="26">
        <v>38353</v>
      </c>
      <c r="J1722">
        <v>2005</v>
      </c>
      <c r="K1722" t="s">
        <v>7497</v>
      </c>
      <c r="L1722">
        <v>457</v>
      </c>
      <c r="M1722" t="s">
        <v>32396</v>
      </c>
      <c r="N1722">
        <v>1</v>
      </c>
      <c r="Q1722" t="s">
        <v>32397</v>
      </c>
      <c r="R1722">
        <v>616.89</v>
      </c>
      <c r="S1722" t="s">
        <v>32398</v>
      </c>
      <c r="T1722" t="s">
        <v>30</v>
      </c>
      <c r="U1722" t="s">
        <v>26116</v>
      </c>
      <c r="W1722" t="s">
        <v>26009</v>
      </c>
    </row>
    <row r="1723" spans="1:23" x14ac:dyDescent="0.35">
      <c r="A1723">
        <v>420251</v>
      </c>
      <c r="B1723" t="s">
        <v>32399</v>
      </c>
      <c r="C1723" t="str">
        <f>"9789053567708"</f>
        <v>9789053567708</v>
      </c>
      <c r="D1723" t="str">
        <f>"9789048503872"</f>
        <v>9789048503872</v>
      </c>
      <c r="E1723" t="s">
        <v>7497</v>
      </c>
      <c r="F1723" t="s">
        <v>7497</v>
      </c>
      <c r="G1723" t="s">
        <v>22222</v>
      </c>
      <c r="H1723" t="s">
        <v>27983</v>
      </c>
      <c r="I1723" s="26">
        <v>38353</v>
      </c>
      <c r="J1723">
        <v>2005</v>
      </c>
      <c r="K1723" t="s">
        <v>7497</v>
      </c>
      <c r="L1723">
        <v>289</v>
      </c>
      <c r="M1723" t="s">
        <v>32400</v>
      </c>
      <c r="N1723">
        <v>1</v>
      </c>
      <c r="Q1723" t="s">
        <v>32401</v>
      </c>
      <c r="R1723">
        <v>345.73039999999997</v>
      </c>
      <c r="S1723" t="s">
        <v>32402</v>
      </c>
      <c r="T1723" t="s">
        <v>30</v>
      </c>
      <c r="U1723" t="s">
        <v>28748</v>
      </c>
      <c r="W1723" t="s">
        <v>26009</v>
      </c>
    </row>
    <row r="1724" spans="1:23" x14ac:dyDescent="0.35">
      <c r="A1724">
        <v>420260</v>
      </c>
      <c r="B1724" t="s">
        <v>32403</v>
      </c>
      <c r="C1724" t="str">
        <f>"9789053568606"</f>
        <v>9789053568606</v>
      </c>
      <c r="D1724" t="str">
        <f>"9789048504169"</f>
        <v>9789048504169</v>
      </c>
      <c r="E1724" t="s">
        <v>7497</v>
      </c>
      <c r="F1724" t="s">
        <v>7497</v>
      </c>
      <c r="G1724" t="s">
        <v>22222</v>
      </c>
      <c r="H1724" t="s">
        <v>27983</v>
      </c>
      <c r="I1724" s="26">
        <v>38718</v>
      </c>
      <c r="J1724">
        <v>2005</v>
      </c>
      <c r="K1724" t="s">
        <v>7497</v>
      </c>
      <c r="L1724">
        <v>241</v>
      </c>
      <c r="M1724" t="s">
        <v>32404</v>
      </c>
      <c r="N1724">
        <v>1</v>
      </c>
      <c r="O1724" t="s">
        <v>32405</v>
      </c>
      <c r="Q1724" t="s">
        <v>32406</v>
      </c>
      <c r="R1724">
        <v>304.80189999999999</v>
      </c>
      <c r="S1724" t="s">
        <v>32407</v>
      </c>
      <c r="T1724" t="s">
        <v>30</v>
      </c>
      <c r="U1724" t="s">
        <v>26170</v>
      </c>
      <c r="W1724" t="s">
        <v>26009</v>
      </c>
    </row>
    <row r="1725" spans="1:23" x14ac:dyDescent="0.35">
      <c r="A1725">
        <v>420658</v>
      </c>
      <c r="B1725" t="s">
        <v>32408</v>
      </c>
      <c r="C1725" t="str">
        <f>"9781845201364"</f>
        <v>9781845201364</v>
      </c>
      <c r="D1725" t="str">
        <f>"9781847884565"</f>
        <v>9781847884565</v>
      </c>
      <c r="E1725" t="s">
        <v>31671</v>
      </c>
      <c r="F1725" t="s">
        <v>7760</v>
      </c>
      <c r="G1725" t="s">
        <v>22174</v>
      </c>
      <c r="H1725" t="s">
        <v>26011</v>
      </c>
      <c r="I1725" s="26">
        <v>39692</v>
      </c>
      <c r="J1725">
        <v>2008</v>
      </c>
      <c r="K1725" t="s">
        <v>32409</v>
      </c>
      <c r="L1725">
        <v>191</v>
      </c>
      <c r="M1725" t="s">
        <v>32410</v>
      </c>
      <c r="N1725">
        <v>1</v>
      </c>
      <c r="Q1725" t="s">
        <v>32411</v>
      </c>
      <c r="R1725" t="s">
        <v>32412</v>
      </c>
      <c r="S1725" t="s">
        <v>32413</v>
      </c>
      <c r="T1725" t="s">
        <v>30</v>
      </c>
      <c r="U1725" t="s">
        <v>26008</v>
      </c>
      <c r="W1725" t="s">
        <v>28347</v>
      </c>
    </row>
    <row r="1726" spans="1:23" x14ac:dyDescent="0.35">
      <c r="A1726">
        <v>420676</v>
      </c>
      <c r="B1726" t="s">
        <v>32414</v>
      </c>
      <c r="C1726" t="str">
        <f>"9780748623655"</f>
        <v>9780748623655</v>
      </c>
      <c r="D1726" t="str">
        <f>"9780748632541"</f>
        <v>9780748632541</v>
      </c>
      <c r="E1726" t="s">
        <v>8107</v>
      </c>
      <c r="F1726" t="s">
        <v>8107</v>
      </c>
      <c r="G1726" t="s">
        <v>24494</v>
      </c>
      <c r="H1726" t="s">
        <v>26011</v>
      </c>
      <c r="I1726" s="26">
        <v>39798</v>
      </c>
      <c r="J1726">
        <v>2009</v>
      </c>
      <c r="K1726" t="s">
        <v>8107</v>
      </c>
      <c r="L1726">
        <v>209</v>
      </c>
      <c r="M1726" t="s">
        <v>32415</v>
      </c>
      <c r="N1726">
        <v>1</v>
      </c>
      <c r="Q1726" t="s">
        <v>32416</v>
      </c>
      <c r="R1726" t="s">
        <v>32417</v>
      </c>
      <c r="S1726" t="s">
        <v>32418</v>
      </c>
      <c r="T1726" t="s">
        <v>30</v>
      </c>
      <c r="U1726" t="s">
        <v>30657</v>
      </c>
      <c r="W1726" t="s">
        <v>26009</v>
      </c>
    </row>
    <row r="1727" spans="1:23" x14ac:dyDescent="0.35">
      <c r="A1727">
        <v>420822</v>
      </c>
      <c r="B1727" t="s">
        <v>32419</v>
      </c>
      <c r="C1727" t="str">
        <f>""</f>
        <v/>
      </c>
      <c r="D1727" t="str">
        <f>"9780813546520"</f>
        <v>9780813546520</v>
      </c>
      <c r="E1727" t="s">
        <v>3024</v>
      </c>
      <c r="F1727" t="s">
        <v>3024</v>
      </c>
      <c r="G1727" t="s">
        <v>23807</v>
      </c>
      <c r="H1727" t="s">
        <v>26004</v>
      </c>
      <c r="I1727" s="26">
        <v>39848</v>
      </c>
      <c r="J1727">
        <v>2009</v>
      </c>
      <c r="K1727" t="s">
        <v>3024</v>
      </c>
      <c r="L1727">
        <v>376</v>
      </c>
      <c r="M1727" t="s">
        <v>32420</v>
      </c>
      <c r="N1727">
        <v>1</v>
      </c>
      <c r="Q1727" t="s">
        <v>32421</v>
      </c>
      <c r="R1727" t="s">
        <v>32422</v>
      </c>
      <c r="T1727" t="s">
        <v>30</v>
      </c>
      <c r="U1727" t="s">
        <v>26116</v>
      </c>
      <c r="W1727" t="s">
        <v>26009</v>
      </c>
    </row>
    <row r="1728" spans="1:23" x14ac:dyDescent="0.35">
      <c r="A1728">
        <v>420902</v>
      </c>
      <c r="B1728" t="s">
        <v>7997</v>
      </c>
      <c r="C1728" t="str">
        <f>""</f>
        <v/>
      </c>
      <c r="D1728" t="str">
        <f>"9781849202275"</f>
        <v>9781849202275</v>
      </c>
      <c r="E1728" t="s">
        <v>28007</v>
      </c>
      <c r="F1728" t="s">
        <v>7430</v>
      </c>
      <c r="G1728" t="s">
        <v>22174</v>
      </c>
      <c r="H1728" t="s">
        <v>26011</v>
      </c>
      <c r="I1728" s="26">
        <v>38869</v>
      </c>
      <c r="J1728">
        <v>2006</v>
      </c>
      <c r="K1728" t="s">
        <v>7430</v>
      </c>
      <c r="L1728">
        <v>173</v>
      </c>
      <c r="M1728" t="s">
        <v>30921</v>
      </c>
      <c r="N1728">
        <v>3</v>
      </c>
      <c r="O1728" t="s">
        <v>28080</v>
      </c>
      <c r="R1728">
        <v>362.7</v>
      </c>
      <c r="S1728" t="s">
        <v>32423</v>
      </c>
      <c r="T1728" t="s">
        <v>30</v>
      </c>
      <c r="U1728" t="s">
        <v>26044</v>
      </c>
      <c r="W1728" t="s">
        <v>32424</v>
      </c>
    </row>
    <row r="1729" spans="1:23" x14ac:dyDescent="0.35">
      <c r="A1729">
        <v>420909</v>
      </c>
      <c r="B1729" t="s">
        <v>32425</v>
      </c>
      <c r="C1729" t="str">
        <f>"9780761955313"</f>
        <v>9780761955313</v>
      </c>
      <c r="D1729" t="str">
        <f>"9781849202107"</f>
        <v>9781849202107</v>
      </c>
      <c r="E1729" t="s">
        <v>28007</v>
      </c>
      <c r="F1729" t="s">
        <v>7430</v>
      </c>
      <c r="G1729" t="s">
        <v>22174</v>
      </c>
      <c r="H1729" t="s">
        <v>26011</v>
      </c>
      <c r="I1729" s="26">
        <v>37012</v>
      </c>
      <c r="J1729">
        <v>2001</v>
      </c>
      <c r="K1729" t="s">
        <v>7430</v>
      </c>
      <c r="L1729">
        <v>232</v>
      </c>
      <c r="M1729" t="s">
        <v>32426</v>
      </c>
      <c r="N1729">
        <v>1</v>
      </c>
      <c r="Q1729" t="s">
        <v>32427</v>
      </c>
      <c r="R1729" t="s">
        <v>30488</v>
      </c>
      <c r="S1729" t="s">
        <v>8903</v>
      </c>
      <c r="T1729" t="s">
        <v>30</v>
      </c>
      <c r="U1729" t="s">
        <v>28384</v>
      </c>
      <c r="W1729" t="s">
        <v>26009</v>
      </c>
    </row>
    <row r="1730" spans="1:23" x14ac:dyDescent="0.35">
      <c r="A1730">
        <v>420917</v>
      </c>
      <c r="B1730" t="s">
        <v>32428</v>
      </c>
      <c r="C1730" t="str">
        <f>"9781412919104"</f>
        <v>9781412919104</v>
      </c>
      <c r="D1730" t="str">
        <f>"9781849202893"</f>
        <v>9781849202893</v>
      </c>
      <c r="E1730" t="s">
        <v>28007</v>
      </c>
      <c r="F1730" t="s">
        <v>7430</v>
      </c>
      <c r="G1730" t="s">
        <v>22174</v>
      </c>
      <c r="H1730" t="s">
        <v>26011</v>
      </c>
      <c r="I1730" s="26">
        <v>38701</v>
      </c>
      <c r="J1730">
        <v>2006</v>
      </c>
      <c r="K1730" t="s">
        <v>7430</v>
      </c>
      <c r="L1730">
        <v>91</v>
      </c>
      <c r="M1730" t="s">
        <v>31701</v>
      </c>
      <c r="N1730">
        <v>1</v>
      </c>
      <c r="O1730" t="s">
        <v>30912</v>
      </c>
      <c r="Q1730" t="s">
        <v>32429</v>
      </c>
      <c r="R1730">
        <v>306.70875000000001</v>
      </c>
      <c r="S1730" t="s">
        <v>7578</v>
      </c>
      <c r="T1730" t="s">
        <v>30</v>
      </c>
      <c r="U1730" t="s">
        <v>32430</v>
      </c>
      <c r="W1730" t="s">
        <v>26009</v>
      </c>
    </row>
    <row r="1731" spans="1:23" x14ac:dyDescent="0.35">
      <c r="A1731">
        <v>420920</v>
      </c>
      <c r="B1731" t="s">
        <v>32431</v>
      </c>
      <c r="C1731" t="str">
        <f>"9781412947244"</f>
        <v>9781412947244</v>
      </c>
      <c r="D1731" t="str">
        <f>"9781849202138"</f>
        <v>9781849202138</v>
      </c>
      <c r="E1731" t="s">
        <v>28007</v>
      </c>
      <c r="F1731" t="s">
        <v>7430</v>
      </c>
      <c r="G1731" t="s">
        <v>22174</v>
      </c>
      <c r="H1731" t="s">
        <v>26011</v>
      </c>
      <c r="I1731" s="26">
        <v>39504</v>
      </c>
      <c r="J1731">
        <v>2008</v>
      </c>
      <c r="K1731" t="s">
        <v>7430</v>
      </c>
      <c r="L1731">
        <v>185</v>
      </c>
      <c r="M1731" t="s">
        <v>27285</v>
      </c>
      <c r="N1731">
        <v>1</v>
      </c>
      <c r="Q1731" t="s">
        <v>32432</v>
      </c>
      <c r="R1731">
        <v>150.19809000000001</v>
      </c>
      <c r="S1731" t="s">
        <v>8705</v>
      </c>
      <c r="T1731" t="s">
        <v>30</v>
      </c>
      <c r="U1731" t="s">
        <v>46</v>
      </c>
      <c r="W1731" t="s">
        <v>26009</v>
      </c>
    </row>
    <row r="1732" spans="1:23" x14ac:dyDescent="0.35">
      <c r="A1732">
        <v>420933</v>
      </c>
      <c r="B1732" t="s">
        <v>32433</v>
      </c>
      <c r="C1732" t="str">
        <f>"9781412903356"</f>
        <v>9781412903356</v>
      </c>
      <c r="D1732" t="str">
        <f>"9781849202435"</f>
        <v>9781849202435</v>
      </c>
      <c r="E1732" t="s">
        <v>28007</v>
      </c>
      <c r="F1732" t="s">
        <v>7430</v>
      </c>
      <c r="G1732" t="s">
        <v>22174</v>
      </c>
      <c r="H1732" t="s">
        <v>26011</v>
      </c>
      <c r="I1732" s="26">
        <v>39479</v>
      </c>
      <c r="J1732">
        <v>2008</v>
      </c>
      <c r="K1732" t="s">
        <v>7430</v>
      </c>
      <c r="L1732">
        <v>318</v>
      </c>
      <c r="M1732" t="s">
        <v>32434</v>
      </c>
      <c r="N1732">
        <v>1</v>
      </c>
      <c r="Q1732" t="s">
        <v>32435</v>
      </c>
      <c r="R1732">
        <v>155</v>
      </c>
      <c r="S1732" t="s">
        <v>7433</v>
      </c>
      <c r="T1732" t="s">
        <v>30</v>
      </c>
      <c r="U1732" t="s">
        <v>46</v>
      </c>
      <c r="W1732" t="s">
        <v>26009</v>
      </c>
    </row>
    <row r="1733" spans="1:23" x14ac:dyDescent="0.35">
      <c r="A1733">
        <v>420937</v>
      </c>
      <c r="B1733" t="s">
        <v>8275</v>
      </c>
      <c r="C1733" t="str">
        <f>"9781412911559"</f>
        <v>9781412911559</v>
      </c>
      <c r="D1733" t="str">
        <f>"9781849202558"</f>
        <v>9781849202558</v>
      </c>
      <c r="E1733" t="s">
        <v>28007</v>
      </c>
      <c r="F1733" t="s">
        <v>7430</v>
      </c>
      <c r="G1733" t="s">
        <v>22174</v>
      </c>
      <c r="H1733" t="s">
        <v>26011</v>
      </c>
      <c r="I1733" s="26">
        <v>38959</v>
      </c>
      <c r="J1733">
        <v>2006</v>
      </c>
      <c r="K1733" t="s">
        <v>7430</v>
      </c>
      <c r="L1733">
        <v>209</v>
      </c>
      <c r="M1733" t="s">
        <v>32436</v>
      </c>
      <c r="N1733">
        <v>1</v>
      </c>
      <c r="O1733" t="s">
        <v>30912</v>
      </c>
      <c r="Q1733" t="s">
        <v>32437</v>
      </c>
      <c r="R1733">
        <v>370.15339999999998</v>
      </c>
      <c r="S1733" t="s">
        <v>32438</v>
      </c>
      <c r="T1733" t="s">
        <v>30</v>
      </c>
      <c r="U1733" t="s">
        <v>30253</v>
      </c>
      <c r="W1733" t="s">
        <v>26009</v>
      </c>
    </row>
    <row r="1734" spans="1:23" x14ac:dyDescent="0.35">
      <c r="A1734">
        <v>420939</v>
      </c>
      <c r="B1734" t="s">
        <v>9565</v>
      </c>
      <c r="C1734" t="str">
        <f>"9780761960058"</f>
        <v>9780761960058</v>
      </c>
      <c r="D1734" t="str">
        <f>"9781847876553"</f>
        <v>9781847876553</v>
      </c>
      <c r="E1734" t="s">
        <v>28007</v>
      </c>
      <c r="F1734" t="s">
        <v>7430</v>
      </c>
      <c r="G1734" t="s">
        <v>22174</v>
      </c>
      <c r="H1734" t="s">
        <v>26011</v>
      </c>
      <c r="I1734" s="26">
        <v>36610</v>
      </c>
      <c r="J1734">
        <v>2000</v>
      </c>
      <c r="K1734" t="s">
        <v>7430</v>
      </c>
      <c r="L1734">
        <v>154</v>
      </c>
      <c r="M1734" t="s">
        <v>32439</v>
      </c>
      <c r="N1734">
        <v>1</v>
      </c>
      <c r="O1734" t="s">
        <v>28049</v>
      </c>
      <c r="Q1734" t="s">
        <v>32440</v>
      </c>
      <c r="R1734" t="s">
        <v>27122</v>
      </c>
      <c r="S1734" t="s">
        <v>9566</v>
      </c>
      <c r="T1734" t="s">
        <v>30</v>
      </c>
      <c r="U1734" t="s">
        <v>26116</v>
      </c>
      <c r="W1734" t="s">
        <v>26009</v>
      </c>
    </row>
    <row r="1735" spans="1:23" x14ac:dyDescent="0.35">
      <c r="A1735">
        <v>420951</v>
      </c>
      <c r="B1735" t="s">
        <v>32441</v>
      </c>
      <c r="C1735" t="str">
        <f>"9780761960300"</f>
        <v>9780761960300</v>
      </c>
      <c r="D1735" t="str">
        <f>"9781849202732"</f>
        <v>9781849202732</v>
      </c>
      <c r="E1735" t="s">
        <v>28007</v>
      </c>
      <c r="F1735" t="s">
        <v>7430</v>
      </c>
      <c r="G1735" t="s">
        <v>22174</v>
      </c>
      <c r="H1735" t="s">
        <v>26011</v>
      </c>
      <c r="I1735" s="26">
        <v>36553</v>
      </c>
      <c r="J1735">
        <v>2000</v>
      </c>
      <c r="K1735" t="s">
        <v>7430</v>
      </c>
      <c r="L1735">
        <v>461</v>
      </c>
      <c r="M1735" t="s">
        <v>32442</v>
      </c>
      <c r="N1735">
        <v>1</v>
      </c>
      <c r="O1735" t="s">
        <v>32443</v>
      </c>
      <c r="Q1735" t="s">
        <v>32444</v>
      </c>
      <c r="R1735" t="s">
        <v>32445</v>
      </c>
      <c r="S1735" t="s">
        <v>8476</v>
      </c>
      <c r="T1735" t="s">
        <v>30</v>
      </c>
      <c r="U1735" t="s">
        <v>46</v>
      </c>
      <c r="W1735" t="s">
        <v>26009</v>
      </c>
    </row>
    <row r="1736" spans="1:23" x14ac:dyDescent="0.35">
      <c r="A1736">
        <v>420956</v>
      </c>
      <c r="B1736" t="s">
        <v>32446</v>
      </c>
      <c r="C1736" t="str">
        <f>"9781412923903"</f>
        <v>9781412923903</v>
      </c>
      <c r="D1736" t="str">
        <f>"9781849202831"</f>
        <v>9781849202831</v>
      </c>
      <c r="E1736" t="s">
        <v>28007</v>
      </c>
      <c r="F1736" t="s">
        <v>7430</v>
      </c>
      <c r="G1736" t="s">
        <v>22174</v>
      </c>
      <c r="H1736" t="s">
        <v>26011</v>
      </c>
      <c r="I1736" s="26">
        <v>39423</v>
      </c>
      <c r="J1736">
        <v>2008</v>
      </c>
      <c r="K1736" t="s">
        <v>7430</v>
      </c>
      <c r="L1736">
        <v>158</v>
      </c>
      <c r="M1736" t="s">
        <v>32447</v>
      </c>
      <c r="N1736">
        <v>1</v>
      </c>
      <c r="Q1736" t="s">
        <v>32448</v>
      </c>
      <c r="R1736">
        <v>155.93700000000001</v>
      </c>
      <c r="S1736" t="s">
        <v>10275</v>
      </c>
      <c r="T1736" t="s">
        <v>30</v>
      </c>
      <c r="U1736" t="s">
        <v>46</v>
      </c>
      <c r="W1736" t="s">
        <v>26009</v>
      </c>
    </row>
    <row r="1737" spans="1:23" x14ac:dyDescent="0.35">
      <c r="A1737">
        <v>421330</v>
      </c>
      <c r="B1737" t="s">
        <v>32449</v>
      </c>
      <c r="C1737" t="str">
        <f>"9780868409016"</f>
        <v>9780868409016</v>
      </c>
      <c r="D1737" t="str">
        <f>"9781742230382"</f>
        <v>9781742230382</v>
      </c>
      <c r="E1737" t="s">
        <v>32450</v>
      </c>
      <c r="F1737" t="s">
        <v>7473</v>
      </c>
      <c r="G1737" t="s">
        <v>22522</v>
      </c>
      <c r="H1737" t="s">
        <v>31108</v>
      </c>
      <c r="I1737" s="26">
        <v>39356</v>
      </c>
      <c r="J1737">
        <v>2007</v>
      </c>
      <c r="K1737" t="s">
        <v>7473</v>
      </c>
      <c r="L1737">
        <v>352</v>
      </c>
      <c r="M1737" t="s">
        <v>32451</v>
      </c>
      <c r="N1737">
        <v>1</v>
      </c>
      <c r="Q1737" t="s">
        <v>32452</v>
      </c>
      <c r="R1737" t="s">
        <v>32453</v>
      </c>
      <c r="S1737" t="s">
        <v>32454</v>
      </c>
      <c r="T1737" t="s">
        <v>30</v>
      </c>
      <c r="U1737" t="s">
        <v>26044</v>
      </c>
      <c r="W1737" t="s">
        <v>26009</v>
      </c>
    </row>
    <row r="1738" spans="1:23" x14ac:dyDescent="0.35">
      <c r="A1738">
        <v>421346</v>
      </c>
      <c r="B1738" t="s">
        <v>10213</v>
      </c>
      <c r="C1738" t="str">
        <f>"9780868408521"</f>
        <v>9780868408521</v>
      </c>
      <c r="D1738" t="str">
        <f>"9781742230269"</f>
        <v>9781742230269</v>
      </c>
      <c r="E1738" t="s">
        <v>32450</v>
      </c>
      <c r="F1738" t="s">
        <v>7473</v>
      </c>
      <c r="G1738" t="s">
        <v>32455</v>
      </c>
      <c r="H1738" t="s">
        <v>31108</v>
      </c>
      <c r="I1738" s="26">
        <v>39326</v>
      </c>
      <c r="J1738">
        <v>2007</v>
      </c>
      <c r="K1738" t="s">
        <v>32456</v>
      </c>
      <c r="L1738">
        <v>213</v>
      </c>
      <c r="M1738" t="s">
        <v>32457</v>
      </c>
      <c r="N1738">
        <v>1</v>
      </c>
      <c r="Q1738" t="s">
        <v>32458</v>
      </c>
      <c r="R1738">
        <v>306.76609944099903</v>
      </c>
      <c r="S1738" t="s">
        <v>32459</v>
      </c>
      <c r="T1738" t="s">
        <v>30</v>
      </c>
      <c r="U1738" t="s">
        <v>26044</v>
      </c>
      <c r="W1738" t="s">
        <v>26009</v>
      </c>
    </row>
    <row r="1739" spans="1:23" x14ac:dyDescent="0.35">
      <c r="A1739">
        <v>422363</v>
      </c>
      <c r="B1739" t="s">
        <v>32460</v>
      </c>
      <c r="C1739" t="str">
        <f>"9780195173642"</f>
        <v>9780195173642</v>
      </c>
      <c r="D1739" t="str">
        <f>"9780198038719"</f>
        <v>9780198038719</v>
      </c>
      <c r="E1739" t="s">
        <v>371</v>
      </c>
      <c r="F1739" t="s">
        <v>31</v>
      </c>
      <c r="G1739" t="s">
        <v>22703</v>
      </c>
      <c r="H1739" t="s">
        <v>26004</v>
      </c>
      <c r="I1739" s="26">
        <v>38547</v>
      </c>
      <c r="J1739">
        <v>2005</v>
      </c>
      <c r="K1739" t="s">
        <v>31</v>
      </c>
      <c r="L1739">
        <v>859</v>
      </c>
      <c r="M1739" t="s">
        <v>32461</v>
      </c>
      <c r="O1739" t="s">
        <v>32018</v>
      </c>
      <c r="Q1739" t="s">
        <v>32462</v>
      </c>
      <c r="R1739">
        <v>616.89008349999995</v>
      </c>
      <c r="S1739" t="s">
        <v>32463</v>
      </c>
      <c r="T1739" t="s">
        <v>30</v>
      </c>
      <c r="U1739" t="s">
        <v>26116</v>
      </c>
      <c r="W1739" t="s">
        <v>26009</v>
      </c>
    </row>
    <row r="1740" spans="1:23" x14ac:dyDescent="0.35">
      <c r="A1740">
        <v>422374</v>
      </c>
      <c r="B1740" t="s">
        <v>8850</v>
      </c>
      <c r="C1740" t="str">
        <f>"9780195178425"</f>
        <v>9780195178425</v>
      </c>
      <c r="D1740" t="str">
        <f>"9780195346343"</f>
        <v>9780195346343</v>
      </c>
      <c r="E1740" t="s">
        <v>371</v>
      </c>
      <c r="F1740" t="s">
        <v>31</v>
      </c>
      <c r="G1740" t="s">
        <v>22179</v>
      </c>
      <c r="H1740" t="s">
        <v>26004</v>
      </c>
      <c r="I1740" s="26">
        <v>38806</v>
      </c>
      <c r="J1740">
        <v>2006</v>
      </c>
      <c r="K1740" t="s">
        <v>31</v>
      </c>
      <c r="L1740">
        <v>357</v>
      </c>
      <c r="M1740" t="s">
        <v>32464</v>
      </c>
      <c r="Q1740" t="s">
        <v>32465</v>
      </c>
      <c r="R1740">
        <v>305.2350869</v>
      </c>
      <c r="S1740" t="s">
        <v>32466</v>
      </c>
      <c r="T1740" t="s">
        <v>30</v>
      </c>
      <c r="U1740" t="s">
        <v>26044</v>
      </c>
      <c r="W1740" t="s">
        <v>26009</v>
      </c>
    </row>
    <row r="1741" spans="1:23" x14ac:dyDescent="0.35">
      <c r="A1741">
        <v>422380</v>
      </c>
      <c r="B1741" t="s">
        <v>32467</v>
      </c>
      <c r="C1741" t="str">
        <f>"9780199245642"</f>
        <v>9780199245642</v>
      </c>
      <c r="D1741" t="str">
        <f>"9780191514302"</f>
        <v>9780191514302</v>
      </c>
      <c r="E1741" t="s">
        <v>371</v>
      </c>
      <c r="F1741" t="s">
        <v>31</v>
      </c>
      <c r="G1741" t="s">
        <v>22242</v>
      </c>
      <c r="H1741" t="s">
        <v>26011</v>
      </c>
      <c r="I1741" s="26">
        <v>38477</v>
      </c>
      <c r="J1741">
        <v>2005</v>
      </c>
      <c r="K1741" t="s">
        <v>31</v>
      </c>
      <c r="L1741">
        <v>345</v>
      </c>
      <c r="M1741" t="s">
        <v>32468</v>
      </c>
      <c r="O1741" t="s">
        <v>32469</v>
      </c>
      <c r="Q1741" t="s">
        <v>32470</v>
      </c>
      <c r="R1741" t="s">
        <v>31982</v>
      </c>
      <c r="S1741" t="s">
        <v>8905</v>
      </c>
      <c r="T1741" t="s">
        <v>30</v>
      </c>
      <c r="U1741" t="s">
        <v>46</v>
      </c>
      <c r="W1741" t="s">
        <v>26009</v>
      </c>
    </row>
    <row r="1742" spans="1:23" x14ac:dyDescent="0.35">
      <c r="A1742">
        <v>422399</v>
      </c>
      <c r="B1742" t="s">
        <v>32471</v>
      </c>
      <c r="C1742" t="str">
        <f>"9780195160079"</f>
        <v>9780195160079</v>
      </c>
      <c r="D1742" t="str">
        <f>"9780198036289"</f>
        <v>9780198036289</v>
      </c>
      <c r="E1742" t="s">
        <v>371</v>
      </c>
      <c r="F1742" t="s">
        <v>31</v>
      </c>
      <c r="G1742" t="s">
        <v>22703</v>
      </c>
      <c r="H1742" t="s">
        <v>26004</v>
      </c>
      <c r="I1742" s="26">
        <v>38428</v>
      </c>
      <c r="J1742">
        <v>2005</v>
      </c>
      <c r="K1742" t="s">
        <v>31</v>
      </c>
      <c r="L1742">
        <v>357</v>
      </c>
      <c r="M1742" t="s">
        <v>32472</v>
      </c>
      <c r="Q1742" t="s">
        <v>32473</v>
      </c>
      <c r="R1742" t="s">
        <v>32474</v>
      </c>
      <c r="S1742" t="s">
        <v>32475</v>
      </c>
      <c r="T1742" t="s">
        <v>30</v>
      </c>
      <c r="U1742" t="s">
        <v>26044</v>
      </c>
      <c r="W1742" t="s">
        <v>26009</v>
      </c>
    </row>
    <row r="1743" spans="1:23" x14ac:dyDescent="0.35">
      <c r="A1743">
        <v>422447</v>
      </c>
      <c r="B1743" t="s">
        <v>32476</v>
      </c>
      <c r="C1743" t="str">
        <f>"9780195173413"</f>
        <v>9780195173413</v>
      </c>
      <c r="D1743" t="str">
        <f>"9780198038641"</f>
        <v>9780198038641</v>
      </c>
      <c r="E1743" t="s">
        <v>371</v>
      </c>
      <c r="F1743" t="s">
        <v>31</v>
      </c>
      <c r="G1743" t="s">
        <v>22179</v>
      </c>
      <c r="H1743" t="s">
        <v>26004</v>
      </c>
      <c r="I1743" s="26">
        <v>38547</v>
      </c>
      <c r="J1743">
        <v>2005</v>
      </c>
      <c r="K1743" t="s">
        <v>31</v>
      </c>
      <c r="L1743">
        <v>288</v>
      </c>
      <c r="M1743" t="s">
        <v>32477</v>
      </c>
      <c r="Q1743" t="s">
        <v>32478</v>
      </c>
      <c r="R1743">
        <v>616.79999999999995</v>
      </c>
      <c r="S1743" t="s">
        <v>32479</v>
      </c>
      <c r="T1743" t="s">
        <v>30</v>
      </c>
      <c r="U1743" t="s">
        <v>26116</v>
      </c>
      <c r="W1743" t="s">
        <v>26009</v>
      </c>
    </row>
    <row r="1744" spans="1:23" x14ac:dyDescent="0.35">
      <c r="A1744">
        <v>422494</v>
      </c>
      <c r="B1744" t="s">
        <v>32480</v>
      </c>
      <c r="C1744" t="str">
        <f>"9780195176186"</f>
        <v>9780195176186</v>
      </c>
      <c r="D1744" t="str">
        <f>"9780198039167"</f>
        <v>9780198039167</v>
      </c>
      <c r="E1744" t="s">
        <v>371</v>
      </c>
      <c r="F1744" t="s">
        <v>31</v>
      </c>
      <c r="G1744" t="s">
        <v>22179</v>
      </c>
      <c r="H1744" t="s">
        <v>26004</v>
      </c>
      <c r="I1744" s="26">
        <v>38274</v>
      </c>
      <c r="J1744">
        <v>2005</v>
      </c>
      <c r="K1744" t="s">
        <v>31</v>
      </c>
      <c r="L1744">
        <v>738</v>
      </c>
      <c r="M1744" t="s">
        <v>32481</v>
      </c>
      <c r="Q1744" t="s">
        <v>32482</v>
      </c>
      <c r="R1744">
        <v>152.13999999999999</v>
      </c>
      <c r="S1744" t="s">
        <v>32483</v>
      </c>
      <c r="T1744" t="s">
        <v>30</v>
      </c>
      <c r="U1744" t="s">
        <v>28671</v>
      </c>
      <c r="W1744" t="s">
        <v>26009</v>
      </c>
    </row>
    <row r="1745" spans="1:23" x14ac:dyDescent="0.35">
      <c r="A1745">
        <v>422573</v>
      </c>
      <c r="B1745" t="s">
        <v>32484</v>
      </c>
      <c r="C1745" t="str">
        <f>"9780195176698"</f>
        <v>9780195176698</v>
      </c>
      <c r="D1745" t="str">
        <f>"9780198039242"</f>
        <v>9780198039242</v>
      </c>
      <c r="E1745" t="s">
        <v>371</v>
      </c>
      <c r="F1745" t="s">
        <v>31</v>
      </c>
      <c r="G1745" t="s">
        <v>22703</v>
      </c>
      <c r="H1745" t="s">
        <v>26004</v>
      </c>
      <c r="I1745" s="26">
        <v>38540</v>
      </c>
      <c r="J1745">
        <v>2005</v>
      </c>
      <c r="K1745" t="s">
        <v>31</v>
      </c>
      <c r="L1745">
        <v>303</v>
      </c>
      <c r="M1745" t="s">
        <v>32485</v>
      </c>
      <c r="Q1745" t="s">
        <v>32486</v>
      </c>
      <c r="R1745" t="s">
        <v>27122</v>
      </c>
      <c r="S1745" t="s">
        <v>32487</v>
      </c>
      <c r="T1745" t="s">
        <v>30</v>
      </c>
      <c r="U1745" t="s">
        <v>26019</v>
      </c>
      <c r="W1745" t="s">
        <v>26009</v>
      </c>
    </row>
    <row r="1746" spans="1:23" x14ac:dyDescent="0.35">
      <c r="A1746">
        <v>422678</v>
      </c>
      <c r="B1746" t="s">
        <v>32488</v>
      </c>
      <c r="C1746" t="str">
        <f>"9780192805584"</f>
        <v>9780192805584</v>
      </c>
      <c r="D1746" t="str">
        <f>"9780191566714"</f>
        <v>9780191566714</v>
      </c>
      <c r="E1746" t="s">
        <v>371</v>
      </c>
      <c r="F1746" t="s">
        <v>31</v>
      </c>
      <c r="G1746" t="s">
        <v>22242</v>
      </c>
      <c r="H1746" t="s">
        <v>26011</v>
      </c>
      <c r="I1746" s="26">
        <v>38967</v>
      </c>
      <c r="J1746">
        <v>2005</v>
      </c>
      <c r="K1746" t="s">
        <v>31</v>
      </c>
      <c r="L1746">
        <v>225</v>
      </c>
      <c r="M1746" t="s">
        <v>32489</v>
      </c>
      <c r="Q1746" t="s">
        <v>32490</v>
      </c>
      <c r="R1746" t="s">
        <v>32491</v>
      </c>
      <c r="S1746" t="s">
        <v>8677</v>
      </c>
      <c r="T1746" t="s">
        <v>30</v>
      </c>
      <c r="U1746" t="s">
        <v>46</v>
      </c>
      <c r="W1746" t="s">
        <v>26009</v>
      </c>
    </row>
    <row r="1747" spans="1:23" x14ac:dyDescent="0.35">
      <c r="A1747">
        <v>422692</v>
      </c>
      <c r="B1747" t="s">
        <v>32492</v>
      </c>
      <c r="C1747" t="str">
        <f>"9780195172454"</f>
        <v>9780195172454</v>
      </c>
      <c r="D1747" t="str">
        <f>"9780198038528"</f>
        <v>9780198038528</v>
      </c>
      <c r="E1747" t="s">
        <v>371</v>
      </c>
      <c r="F1747" t="s">
        <v>31</v>
      </c>
      <c r="G1747" t="s">
        <v>22179</v>
      </c>
      <c r="H1747" t="s">
        <v>26004</v>
      </c>
      <c r="I1747" s="26">
        <v>38680</v>
      </c>
      <c r="J1747">
        <v>2006</v>
      </c>
      <c r="K1747" t="s">
        <v>31</v>
      </c>
      <c r="L1747">
        <v>337</v>
      </c>
      <c r="M1747" t="s">
        <v>32493</v>
      </c>
      <c r="Q1747" t="s">
        <v>32494</v>
      </c>
      <c r="R1747">
        <v>616.85231999999996</v>
      </c>
      <c r="S1747" t="s">
        <v>7505</v>
      </c>
      <c r="T1747" t="s">
        <v>30</v>
      </c>
      <c r="U1747" t="s">
        <v>26040</v>
      </c>
      <c r="W1747" t="s">
        <v>26009</v>
      </c>
    </row>
    <row r="1748" spans="1:23" x14ac:dyDescent="0.35">
      <c r="A1748">
        <v>422703</v>
      </c>
      <c r="B1748" t="s">
        <v>32495</v>
      </c>
      <c r="C1748" t="str">
        <f>"9780199276578"</f>
        <v>9780199276578</v>
      </c>
      <c r="D1748" t="str">
        <f>"9780191534836"</f>
        <v>9780191534836</v>
      </c>
      <c r="E1748" t="s">
        <v>371</v>
      </c>
      <c r="F1748" t="s">
        <v>31</v>
      </c>
      <c r="G1748" t="s">
        <v>22242</v>
      </c>
      <c r="H1748" t="s">
        <v>26011</v>
      </c>
      <c r="I1748" s="26">
        <v>38687</v>
      </c>
      <c r="J1748">
        <v>2005</v>
      </c>
      <c r="K1748" t="s">
        <v>32496</v>
      </c>
      <c r="L1748">
        <v>386</v>
      </c>
      <c r="M1748" t="s">
        <v>32497</v>
      </c>
      <c r="O1748" t="s">
        <v>32498</v>
      </c>
      <c r="Q1748" t="s">
        <v>32499</v>
      </c>
      <c r="R1748">
        <v>138.0940903</v>
      </c>
      <c r="S1748" t="s">
        <v>32500</v>
      </c>
      <c r="T1748" t="s">
        <v>30</v>
      </c>
      <c r="U1748" t="s">
        <v>26679</v>
      </c>
      <c r="W1748" t="s">
        <v>26009</v>
      </c>
    </row>
    <row r="1749" spans="1:23" x14ac:dyDescent="0.35">
      <c r="A1749">
        <v>422709</v>
      </c>
      <c r="B1749" t="s">
        <v>32501</v>
      </c>
      <c r="C1749" t="str">
        <f>"9780195309362"</f>
        <v>9780195309362</v>
      </c>
      <c r="D1749" t="str">
        <f>"9780195348590"</f>
        <v>9780195348590</v>
      </c>
      <c r="E1749" t="s">
        <v>371</v>
      </c>
      <c r="F1749" t="s">
        <v>31</v>
      </c>
      <c r="G1749" t="s">
        <v>22703</v>
      </c>
      <c r="H1749" t="s">
        <v>26004</v>
      </c>
      <c r="I1749" s="26">
        <v>38904</v>
      </c>
      <c r="J1749">
        <v>2004</v>
      </c>
      <c r="K1749" t="s">
        <v>31</v>
      </c>
      <c r="L1749">
        <v>284</v>
      </c>
      <c r="M1749" t="s">
        <v>32502</v>
      </c>
      <c r="O1749" t="s">
        <v>28674</v>
      </c>
      <c r="Q1749" t="s">
        <v>32503</v>
      </c>
      <c r="R1749">
        <v>152.4</v>
      </c>
      <c r="S1749" t="s">
        <v>32504</v>
      </c>
      <c r="T1749" t="s">
        <v>30</v>
      </c>
      <c r="U1749" t="s">
        <v>46</v>
      </c>
      <c r="W1749" t="s">
        <v>26009</v>
      </c>
    </row>
    <row r="1750" spans="1:23" x14ac:dyDescent="0.35">
      <c r="A1750">
        <v>422742</v>
      </c>
      <c r="B1750" t="s">
        <v>32505</v>
      </c>
      <c r="C1750" t="str">
        <f>"9780195174328"</f>
        <v>9780195174328</v>
      </c>
      <c r="D1750" t="str">
        <f>"9780198038856"</f>
        <v>9780198038856</v>
      </c>
      <c r="E1750" t="s">
        <v>371</v>
      </c>
      <c r="F1750" t="s">
        <v>31</v>
      </c>
      <c r="G1750" t="s">
        <v>22703</v>
      </c>
      <c r="H1750" t="s">
        <v>26004</v>
      </c>
      <c r="I1750" s="26">
        <v>38652</v>
      </c>
      <c r="J1750">
        <v>2006</v>
      </c>
      <c r="K1750" t="s">
        <v>31</v>
      </c>
      <c r="L1750">
        <v>338</v>
      </c>
      <c r="M1750" t="s">
        <v>32506</v>
      </c>
      <c r="O1750" t="s">
        <v>32507</v>
      </c>
      <c r="Q1750" t="s">
        <v>32508</v>
      </c>
      <c r="R1750" t="s">
        <v>32509</v>
      </c>
      <c r="S1750" t="s">
        <v>32510</v>
      </c>
      <c r="T1750" t="s">
        <v>30</v>
      </c>
      <c r="U1750" t="s">
        <v>26019</v>
      </c>
      <c r="W1750" t="s">
        <v>26009</v>
      </c>
    </row>
    <row r="1751" spans="1:23" x14ac:dyDescent="0.35">
      <c r="A1751">
        <v>422791</v>
      </c>
      <c r="B1751" t="s">
        <v>9134</v>
      </c>
      <c r="C1751" t="str">
        <f>"9780195176377"</f>
        <v>9780195176377</v>
      </c>
      <c r="D1751" t="str">
        <f>"9780198039198"</f>
        <v>9780198039198</v>
      </c>
      <c r="E1751" t="s">
        <v>371</v>
      </c>
      <c r="F1751" t="s">
        <v>31</v>
      </c>
      <c r="G1751" t="s">
        <v>22703</v>
      </c>
      <c r="H1751" t="s">
        <v>26004</v>
      </c>
      <c r="I1751" s="26">
        <v>38631</v>
      </c>
      <c r="J1751">
        <v>2006</v>
      </c>
      <c r="K1751" t="s">
        <v>31</v>
      </c>
      <c r="L1751">
        <v>293</v>
      </c>
      <c r="M1751" t="s">
        <v>32511</v>
      </c>
      <c r="Q1751" t="s">
        <v>32512</v>
      </c>
      <c r="R1751">
        <v>616.89800000000002</v>
      </c>
      <c r="S1751" t="s">
        <v>32513</v>
      </c>
      <c r="T1751" t="s">
        <v>30</v>
      </c>
      <c r="U1751" t="s">
        <v>26019</v>
      </c>
      <c r="W1751" t="s">
        <v>26009</v>
      </c>
    </row>
    <row r="1752" spans="1:23" x14ac:dyDescent="0.35">
      <c r="A1752">
        <v>422825</v>
      </c>
      <c r="B1752" t="s">
        <v>9364</v>
      </c>
      <c r="C1752" t="str">
        <f>"9780199289769"</f>
        <v>9780199289769</v>
      </c>
      <c r="D1752" t="str">
        <f>"9780191537271"</f>
        <v>9780191537271</v>
      </c>
      <c r="E1752" t="s">
        <v>371</v>
      </c>
      <c r="F1752" t="s">
        <v>31</v>
      </c>
      <c r="G1752" t="s">
        <v>22242</v>
      </c>
      <c r="H1752" t="s">
        <v>26011</v>
      </c>
      <c r="I1752" s="26">
        <v>38785</v>
      </c>
      <c r="J1752">
        <v>2006</v>
      </c>
      <c r="K1752" t="s">
        <v>31</v>
      </c>
      <c r="L1752">
        <v>561</v>
      </c>
      <c r="M1752" t="s">
        <v>32514</v>
      </c>
      <c r="Q1752" t="s">
        <v>32515</v>
      </c>
      <c r="R1752">
        <v>121.34</v>
      </c>
      <c r="S1752" t="s">
        <v>32516</v>
      </c>
      <c r="T1752" t="s">
        <v>30</v>
      </c>
      <c r="U1752" t="s">
        <v>152</v>
      </c>
      <c r="W1752" t="s">
        <v>26009</v>
      </c>
    </row>
    <row r="1753" spans="1:23" x14ac:dyDescent="0.35">
      <c r="A1753">
        <v>422845</v>
      </c>
      <c r="B1753" t="s">
        <v>32517</v>
      </c>
      <c r="C1753" t="str">
        <f>"9780199264339"</f>
        <v>9780199264339</v>
      </c>
      <c r="D1753" t="str">
        <f>"9780191514708"</f>
        <v>9780191514708</v>
      </c>
      <c r="E1753" t="s">
        <v>371</v>
      </c>
      <c r="F1753" t="s">
        <v>31</v>
      </c>
      <c r="G1753" t="s">
        <v>22242</v>
      </c>
      <c r="H1753" t="s">
        <v>26011</v>
      </c>
      <c r="I1753" s="26">
        <v>38400</v>
      </c>
      <c r="J1753">
        <v>2005</v>
      </c>
      <c r="K1753" t="s">
        <v>31</v>
      </c>
      <c r="L1753">
        <v>401</v>
      </c>
      <c r="M1753" t="s">
        <v>32518</v>
      </c>
      <c r="O1753" t="s">
        <v>32519</v>
      </c>
      <c r="P1753">
        <v>2</v>
      </c>
      <c r="Q1753" t="s">
        <v>32520</v>
      </c>
      <c r="R1753">
        <v>401.9</v>
      </c>
      <c r="S1753" t="s">
        <v>8484</v>
      </c>
      <c r="T1753" t="s">
        <v>30</v>
      </c>
      <c r="U1753" t="s">
        <v>28384</v>
      </c>
      <c r="W1753" t="s">
        <v>26009</v>
      </c>
    </row>
    <row r="1754" spans="1:23" x14ac:dyDescent="0.35">
      <c r="A1754">
        <v>422917</v>
      </c>
      <c r="B1754" t="s">
        <v>9280</v>
      </c>
      <c r="C1754" t="str">
        <f>"9780195189117"</f>
        <v>9780195189117</v>
      </c>
      <c r="D1754" t="str">
        <f>"9780198038658"</f>
        <v>9780198038658</v>
      </c>
      <c r="E1754" t="s">
        <v>371</v>
      </c>
      <c r="F1754" t="s">
        <v>31</v>
      </c>
      <c r="G1754" t="s">
        <v>22703</v>
      </c>
      <c r="H1754" t="s">
        <v>26011</v>
      </c>
      <c r="I1754" s="26">
        <v>38659</v>
      </c>
      <c r="J1754">
        <v>2004</v>
      </c>
      <c r="K1754" t="s">
        <v>32038</v>
      </c>
      <c r="L1754">
        <v>207</v>
      </c>
      <c r="M1754" t="s">
        <v>32521</v>
      </c>
      <c r="Q1754" t="s">
        <v>32522</v>
      </c>
      <c r="R1754">
        <v>155.91999999999999</v>
      </c>
      <c r="S1754" t="s">
        <v>32523</v>
      </c>
      <c r="T1754" t="s">
        <v>30</v>
      </c>
      <c r="U1754" t="s">
        <v>46</v>
      </c>
      <c r="W1754" t="s">
        <v>26009</v>
      </c>
    </row>
    <row r="1755" spans="1:23" x14ac:dyDescent="0.35">
      <c r="A1755">
        <v>423223</v>
      </c>
      <c r="B1755" t="s">
        <v>32524</v>
      </c>
      <c r="C1755" t="str">
        <f>"9780826115744"</f>
        <v>9780826115744</v>
      </c>
      <c r="D1755" t="str">
        <f>"9780826115737"</f>
        <v>9780826115737</v>
      </c>
      <c r="E1755" t="s">
        <v>1504</v>
      </c>
      <c r="F1755" t="s">
        <v>33</v>
      </c>
      <c r="G1755" t="s">
        <v>22179</v>
      </c>
      <c r="H1755" t="s">
        <v>26004</v>
      </c>
      <c r="I1755" s="26">
        <v>37622</v>
      </c>
      <c r="J1755">
        <v>2003</v>
      </c>
      <c r="K1755" t="s">
        <v>33</v>
      </c>
      <c r="L1755">
        <v>449</v>
      </c>
      <c r="M1755" t="s">
        <v>32525</v>
      </c>
      <c r="N1755">
        <v>1</v>
      </c>
      <c r="Q1755" t="s">
        <v>32526</v>
      </c>
      <c r="R1755" t="s">
        <v>32527</v>
      </c>
      <c r="S1755" t="s">
        <v>32528</v>
      </c>
      <c r="T1755" t="s">
        <v>30</v>
      </c>
      <c r="U1755" t="s">
        <v>26040</v>
      </c>
      <c r="W1755" t="s">
        <v>26009</v>
      </c>
    </row>
    <row r="1756" spans="1:23" x14ac:dyDescent="0.35">
      <c r="A1756">
        <v>423229</v>
      </c>
      <c r="B1756" t="s">
        <v>32529</v>
      </c>
      <c r="C1756" t="str">
        <f>"9780826124630"</f>
        <v>9780826124630</v>
      </c>
      <c r="D1756" t="str">
        <f>"9780826124647"</f>
        <v>9780826124647</v>
      </c>
      <c r="E1756" t="s">
        <v>1504</v>
      </c>
      <c r="F1756" t="s">
        <v>33</v>
      </c>
      <c r="G1756" t="s">
        <v>22179</v>
      </c>
      <c r="H1756" t="s">
        <v>26004</v>
      </c>
      <c r="I1756" s="26">
        <v>38169</v>
      </c>
      <c r="J1756">
        <v>2004</v>
      </c>
      <c r="K1756" t="s">
        <v>33</v>
      </c>
      <c r="L1756">
        <v>205</v>
      </c>
      <c r="M1756" t="s">
        <v>32530</v>
      </c>
      <c r="N1756">
        <v>1</v>
      </c>
      <c r="Q1756" t="s">
        <v>32531</v>
      </c>
      <c r="R1756" t="s">
        <v>32532</v>
      </c>
      <c r="S1756" t="s">
        <v>32533</v>
      </c>
      <c r="T1756" t="s">
        <v>30</v>
      </c>
      <c r="U1756" t="s">
        <v>26116</v>
      </c>
      <c r="W1756" t="s">
        <v>26009</v>
      </c>
    </row>
    <row r="1757" spans="1:23" x14ac:dyDescent="0.35">
      <c r="A1757">
        <v>423232</v>
      </c>
      <c r="B1757" t="s">
        <v>32534</v>
      </c>
      <c r="C1757" t="str">
        <f>"9780826122254"</f>
        <v>9780826122254</v>
      </c>
      <c r="D1757" t="str">
        <f>"9780826122261"</f>
        <v>9780826122261</v>
      </c>
      <c r="E1757" t="s">
        <v>1504</v>
      </c>
      <c r="F1757" t="s">
        <v>33</v>
      </c>
      <c r="G1757" t="s">
        <v>22179</v>
      </c>
      <c r="H1757" t="s">
        <v>26004</v>
      </c>
      <c r="I1757" s="26">
        <v>38078</v>
      </c>
      <c r="J1757">
        <v>2004</v>
      </c>
      <c r="K1757" t="s">
        <v>33</v>
      </c>
      <c r="L1757">
        <v>401</v>
      </c>
      <c r="M1757" t="s">
        <v>32535</v>
      </c>
      <c r="N1757">
        <v>2</v>
      </c>
      <c r="Q1757" t="s">
        <v>32536</v>
      </c>
      <c r="R1757">
        <v>616.89</v>
      </c>
      <c r="S1757" t="s">
        <v>7886</v>
      </c>
      <c r="T1757" t="s">
        <v>30</v>
      </c>
      <c r="U1757" t="s">
        <v>26116</v>
      </c>
      <c r="W1757" t="s">
        <v>26009</v>
      </c>
    </row>
    <row r="1758" spans="1:23" x14ac:dyDescent="0.35">
      <c r="A1758">
        <v>423235</v>
      </c>
      <c r="B1758" t="s">
        <v>32537</v>
      </c>
      <c r="C1758" t="str">
        <f>"9780826126757"</f>
        <v>9780826126757</v>
      </c>
      <c r="D1758" t="str">
        <f>"9780826126764"</f>
        <v>9780826126764</v>
      </c>
      <c r="E1758" t="s">
        <v>1504</v>
      </c>
      <c r="F1758" t="s">
        <v>33</v>
      </c>
      <c r="G1758" t="s">
        <v>22179</v>
      </c>
      <c r="H1758" t="s">
        <v>26004</v>
      </c>
      <c r="I1758" s="26">
        <v>38353</v>
      </c>
      <c r="J1758">
        <v>2005</v>
      </c>
      <c r="K1758" t="s">
        <v>33</v>
      </c>
      <c r="L1758">
        <v>249</v>
      </c>
      <c r="M1758" t="s">
        <v>32538</v>
      </c>
      <c r="N1758">
        <v>1</v>
      </c>
      <c r="Q1758" t="s">
        <v>32539</v>
      </c>
      <c r="S1758" t="s">
        <v>32540</v>
      </c>
      <c r="T1758" t="s">
        <v>30</v>
      </c>
      <c r="U1758" t="s">
        <v>46</v>
      </c>
      <c r="W1758" t="s">
        <v>26009</v>
      </c>
    </row>
    <row r="1759" spans="1:23" x14ac:dyDescent="0.35">
      <c r="A1759">
        <v>423239</v>
      </c>
      <c r="B1759" t="s">
        <v>32541</v>
      </c>
      <c r="C1759" t="str">
        <f>"9780826115041"</f>
        <v>9780826115041</v>
      </c>
      <c r="D1759" t="str">
        <f>"9780826197238"</f>
        <v>9780826197238</v>
      </c>
      <c r="E1759" t="s">
        <v>1504</v>
      </c>
      <c r="F1759" t="s">
        <v>33</v>
      </c>
      <c r="G1759" t="s">
        <v>22179</v>
      </c>
      <c r="H1759" t="s">
        <v>26004</v>
      </c>
      <c r="I1759" s="26">
        <v>37257</v>
      </c>
      <c r="J1759">
        <v>2002</v>
      </c>
      <c r="K1759" t="s">
        <v>33</v>
      </c>
      <c r="L1759">
        <v>369</v>
      </c>
      <c r="M1759" t="s">
        <v>32542</v>
      </c>
      <c r="N1759">
        <v>1</v>
      </c>
      <c r="O1759" t="s">
        <v>32543</v>
      </c>
      <c r="Q1759" t="s">
        <v>32544</v>
      </c>
      <c r="R1759" t="s">
        <v>32545</v>
      </c>
      <c r="S1759" t="s">
        <v>32546</v>
      </c>
      <c r="T1759" t="s">
        <v>30</v>
      </c>
      <c r="U1759" t="s">
        <v>30185</v>
      </c>
      <c r="W1759" t="s">
        <v>26009</v>
      </c>
    </row>
    <row r="1760" spans="1:23" x14ac:dyDescent="0.35">
      <c r="A1760">
        <v>423241</v>
      </c>
      <c r="B1760" t="s">
        <v>32547</v>
      </c>
      <c r="C1760" t="str">
        <f>"9780826114037"</f>
        <v>9780826114037</v>
      </c>
      <c r="D1760" t="str">
        <f>"9780826116246"</f>
        <v>9780826116246</v>
      </c>
      <c r="E1760" t="s">
        <v>1504</v>
      </c>
      <c r="F1760" t="s">
        <v>33</v>
      </c>
      <c r="G1760" t="s">
        <v>22179</v>
      </c>
      <c r="H1760" t="s">
        <v>26004</v>
      </c>
      <c r="I1760" s="26">
        <v>36892</v>
      </c>
      <c r="J1760">
        <v>2001</v>
      </c>
      <c r="K1760" t="s">
        <v>33</v>
      </c>
      <c r="L1760">
        <v>153</v>
      </c>
      <c r="M1760" t="s">
        <v>32548</v>
      </c>
      <c r="N1760">
        <v>1</v>
      </c>
      <c r="Q1760" t="s">
        <v>32549</v>
      </c>
      <c r="R1760" t="s">
        <v>32550</v>
      </c>
      <c r="S1760" t="s">
        <v>32551</v>
      </c>
      <c r="T1760" t="s">
        <v>30</v>
      </c>
      <c r="U1760" t="s">
        <v>26019</v>
      </c>
      <c r="W1760" t="s">
        <v>26009</v>
      </c>
    </row>
    <row r="1761" spans="1:23" x14ac:dyDescent="0.35">
      <c r="A1761">
        <v>423249</v>
      </c>
      <c r="B1761" t="s">
        <v>7904</v>
      </c>
      <c r="C1761" t="str">
        <f>"9780826147455"</f>
        <v>9780826147455</v>
      </c>
      <c r="D1761" t="str">
        <f>"9780826147462"</f>
        <v>9780826147462</v>
      </c>
      <c r="E1761" t="s">
        <v>1504</v>
      </c>
      <c r="F1761" t="s">
        <v>33</v>
      </c>
      <c r="G1761" t="s">
        <v>22179</v>
      </c>
      <c r="H1761" t="s">
        <v>26004</v>
      </c>
      <c r="I1761" s="26">
        <v>37622</v>
      </c>
      <c r="J1761">
        <v>2004</v>
      </c>
      <c r="K1761" t="s">
        <v>33</v>
      </c>
      <c r="L1761">
        <v>218</v>
      </c>
      <c r="M1761" t="s">
        <v>32552</v>
      </c>
      <c r="N1761">
        <v>1</v>
      </c>
      <c r="Q1761" t="s">
        <v>32553</v>
      </c>
      <c r="R1761" t="s">
        <v>30751</v>
      </c>
      <c r="S1761" t="s">
        <v>32554</v>
      </c>
      <c r="T1761" t="s">
        <v>30</v>
      </c>
      <c r="U1761" t="s">
        <v>26019</v>
      </c>
      <c r="W1761" t="s">
        <v>26009</v>
      </c>
    </row>
    <row r="1762" spans="1:23" x14ac:dyDescent="0.35">
      <c r="A1762">
        <v>423251</v>
      </c>
      <c r="B1762" t="s">
        <v>32555</v>
      </c>
      <c r="C1762" t="str">
        <f>"9780826122551"</f>
        <v>9780826122551</v>
      </c>
      <c r="D1762" t="str">
        <f>"9780826122568"</f>
        <v>9780826122568</v>
      </c>
      <c r="E1762" t="s">
        <v>1504</v>
      </c>
      <c r="F1762" t="s">
        <v>33</v>
      </c>
      <c r="G1762" t="s">
        <v>22179</v>
      </c>
      <c r="H1762" t="s">
        <v>26004</v>
      </c>
      <c r="I1762" s="26">
        <v>38078</v>
      </c>
      <c r="J1762">
        <v>2004</v>
      </c>
      <c r="K1762" t="s">
        <v>33</v>
      </c>
      <c r="L1762">
        <v>258</v>
      </c>
      <c r="M1762" t="s">
        <v>32556</v>
      </c>
      <c r="N1762">
        <v>1</v>
      </c>
      <c r="Q1762" t="s">
        <v>32557</v>
      </c>
      <c r="R1762" t="s">
        <v>32558</v>
      </c>
      <c r="S1762" t="s">
        <v>32559</v>
      </c>
      <c r="T1762" t="s">
        <v>30</v>
      </c>
      <c r="U1762" t="s">
        <v>26019</v>
      </c>
      <c r="W1762" t="s">
        <v>26009</v>
      </c>
    </row>
    <row r="1763" spans="1:23" x14ac:dyDescent="0.35">
      <c r="A1763">
        <v>423258</v>
      </c>
      <c r="B1763" t="s">
        <v>8296</v>
      </c>
      <c r="C1763" t="str">
        <f>"9780826164155"</f>
        <v>9780826164155</v>
      </c>
      <c r="D1763" t="str">
        <f>"9780826164162"</f>
        <v>9780826164162</v>
      </c>
      <c r="E1763" t="s">
        <v>1504</v>
      </c>
      <c r="F1763" t="s">
        <v>33</v>
      </c>
      <c r="G1763" t="s">
        <v>22179</v>
      </c>
      <c r="H1763" t="s">
        <v>26004</v>
      </c>
      <c r="I1763" s="26">
        <v>38718</v>
      </c>
      <c r="J1763">
        <v>2006</v>
      </c>
      <c r="K1763" t="s">
        <v>33</v>
      </c>
      <c r="L1763">
        <v>313</v>
      </c>
      <c r="M1763" t="s">
        <v>32560</v>
      </c>
      <c r="N1763">
        <v>1</v>
      </c>
      <c r="Q1763" t="s">
        <v>32561</v>
      </c>
      <c r="S1763" t="s">
        <v>8297</v>
      </c>
      <c r="T1763" t="s">
        <v>30</v>
      </c>
      <c r="U1763" t="s">
        <v>26044</v>
      </c>
      <c r="W1763" t="s">
        <v>26009</v>
      </c>
    </row>
    <row r="1764" spans="1:23" x14ac:dyDescent="0.35">
      <c r="A1764">
        <v>423262</v>
      </c>
      <c r="B1764" t="s">
        <v>32562</v>
      </c>
      <c r="C1764" t="str">
        <f>"9780826157652"</f>
        <v>9780826157652</v>
      </c>
      <c r="D1764" t="str">
        <f>"9780826157690"</f>
        <v>9780826157690</v>
      </c>
      <c r="E1764" t="s">
        <v>1504</v>
      </c>
      <c r="F1764" t="s">
        <v>33</v>
      </c>
      <c r="G1764" t="s">
        <v>22179</v>
      </c>
      <c r="H1764" t="s">
        <v>26004</v>
      </c>
      <c r="I1764" s="26">
        <v>38412</v>
      </c>
      <c r="J1764">
        <v>2005</v>
      </c>
      <c r="K1764" t="s">
        <v>33</v>
      </c>
      <c r="L1764">
        <v>161</v>
      </c>
      <c r="M1764" t="s">
        <v>32563</v>
      </c>
      <c r="N1764">
        <v>1</v>
      </c>
      <c r="Q1764" t="s">
        <v>32564</v>
      </c>
      <c r="R1764" t="s">
        <v>32565</v>
      </c>
      <c r="S1764" t="s">
        <v>32566</v>
      </c>
      <c r="T1764" t="s">
        <v>30</v>
      </c>
      <c r="U1764" t="s">
        <v>26116</v>
      </c>
      <c r="W1764" t="s">
        <v>26009</v>
      </c>
    </row>
    <row r="1765" spans="1:23" x14ac:dyDescent="0.35">
      <c r="A1765">
        <v>423267</v>
      </c>
      <c r="B1765" t="s">
        <v>32567</v>
      </c>
      <c r="C1765" t="str">
        <f>"9780826122858"</f>
        <v>9780826122858</v>
      </c>
      <c r="D1765" t="str">
        <f>"9780826122865"</f>
        <v>9780826122865</v>
      </c>
      <c r="E1765" t="s">
        <v>1504</v>
      </c>
      <c r="F1765" t="s">
        <v>33</v>
      </c>
      <c r="G1765" t="s">
        <v>22179</v>
      </c>
      <c r="H1765" t="s">
        <v>26004</v>
      </c>
      <c r="I1765" s="26">
        <v>38047</v>
      </c>
      <c r="J1765">
        <v>2004</v>
      </c>
      <c r="K1765" t="s">
        <v>33</v>
      </c>
      <c r="L1765">
        <v>303</v>
      </c>
      <c r="M1765" t="s">
        <v>32568</v>
      </c>
      <c r="N1765">
        <v>1</v>
      </c>
      <c r="Q1765" t="s">
        <v>32569</v>
      </c>
      <c r="S1765" t="s">
        <v>32570</v>
      </c>
      <c r="T1765" t="s">
        <v>30</v>
      </c>
      <c r="U1765" t="s">
        <v>26116</v>
      </c>
      <c r="W1765" t="s">
        <v>26009</v>
      </c>
    </row>
    <row r="1766" spans="1:23" x14ac:dyDescent="0.35">
      <c r="A1766">
        <v>423268</v>
      </c>
      <c r="B1766" t="s">
        <v>32571</v>
      </c>
      <c r="C1766" t="str">
        <f>"9780826115355"</f>
        <v>9780826115355</v>
      </c>
      <c r="D1766" t="str">
        <f>"9780826115324"</f>
        <v>9780826115324</v>
      </c>
      <c r="E1766" t="s">
        <v>1504</v>
      </c>
      <c r="F1766" t="s">
        <v>33</v>
      </c>
      <c r="G1766" t="s">
        <v>22179</v>
      </c>
      <c r="H1766" t="s">
        <v>26004</v>
      </c>
      <c r="I1766" s="26">
        <v>37226</v>
      </c>
      <c r="J1766">
        <v>2002</v>
      </c>
      <c r="K1766" t="s">
        <v>33</v>
      </c>
      <c r="L1766">
        <v>401</v>
      </c>
      <c r="M1766" t="s">
        <v>32572</v>
      </c>
      <c r="N1766">
        <v>1</v>
      </c>
      <c r="Q1766" t="s">
        <v>32573</v>
      </c>
      <c r="R1766">
        <v>364.15</v>
      </c>
      <c r="S1766" t="s">
        <v>32574</v>
      </c>
      <c r="T1766" t="s">
        <v>30</v>
      </c>
      <c r="U1766" t="s">
        <v>26044</v>
      </c>
      <c r="W1766" t="s">
        <v>26009</v>
      </c>
    </row>
    <row r="1767" spans="1:23" x14ac:dyDescent="0.35">
      <c r="A1767">
        <v>423269</v>
      </c>
      <c r="B1767" t="s">
        <v>7927</v>
      </c>
      <c r="C1767" t="str">
        <f>"9780826148353"</f>
        <v>9780826148353</v>
      </c>
      <c r="D1767" t="str">
        <f>"9780826148360"</f>
        <v>9780826148360</v>
      </c>
      <c r="E1767" t="s">
        <v>1504</v>
      </c>
      <c r="F1767" t="s">
        <v>33</v>
      </c>
      <c r="G1767" t="s">
        <v>22179</v>
      </c>
      <c r="H1767" t="s">
        <v>26004</v>
      </c>
      <c r="I1767" s="26">
        <v>38169</v>
      </c>
      <c r="J1767">
        <v>2005</v>
      </c>
      <c r="K1767" t="s">
        <v>33</v>
      </c>
      <c r="L1767">
        <v>314</v>
      </c>
      <c r="M1767" t="s">
        <v>29922</v>
      </c>
      <c r="N1767">
        <v>1</v>
      </c>
      <c r="O1767" t="s">
        <v>32575</v>
      </c>
      <c r="Q1767" t="s">
        <v>32576</v>
      </c>
      <c r="R1767" t="s">
        <v>32577</v>
      </c>
      <c r="S1767" t="s">
        <v>32578</v>
      </c>
      <c r="T1767" t="s">
        <v>30</v>
      </c>
      <c r="U1767" t="s">
        <v>26116</v>
      </c>
      <c r="W1767" t="s">
        <v>26009</v>
      </c>
    </row>
    <row r="1768" spans="1:23" x14ac:dyDescent="0.35">
      <c r="A1768">
        <v>423278</v>
      </c>
      <c r="B1768" t="s">
        <v>7481</v>
      </c>
      <c r="C1768" t="str">
        <f>"9780826184306"</f>
        <v>9780826184306</v>
      </c>
      <c r="D1768" t="str">
        <f>"9780826197931"</f>
        <v>9780826197931</v>
      </c>
      <c r="E1768" t="s">
        <v>1504</v>
      </c>
      <c r="F1768" t="s">
        <v>33</v>
      </c>
      <c r="G1768" t="s">
        <v>22179</v>
      </c>
      <c r="H1768" t="s">
        <v>26004</v>
      </c>
      <c r="I1768" s="26">
        <v>34335</v>
      </c>
      <c r="J1768">
        <v>1994</v>
      </c>
      <c r="K1768" t="s">
        <v>33</v>
      </c>
      <c r="L1768">
        <v>393</v>
      </c>
      <c r="M1768" t="s">
        <v>32579</v>
      </c>
      <c r="N1768">
        <v>1</v>
      </c>
      <c r="O1768" t="s">
        <v>32580</v>
      </c>
      <c r="Q1768" t="s">
        <v>32581</v>
      </c>
      <c r="R1768" t="s">
        <v>32582</v>
      </c>
      <c r="S1768" t="s">
        <v>32583</v>
      </c>
      <c r="T1768" t="s">
        <v>30</v>
      </c>
      <c r="U1768" t="s">
        <v>26044</v>
      </c>
      <c r="W1768" t="s">
        <v>26009</v>
      </c>
    </row>
    <row r="1769" spans="1:23" x14ac:dyDescent="0.35">
      <c r="A1769">
        <v>423283</v>
      </c>
      <c r="B1769" t="s">
        <v>8620</v>
      </c>
      <c r="C1769" t="str">
        <f>"9780826115454"</f>
        <v>9780826115454</v>
      </c>
      <c r="D1769" t="str">
        <f>"9780826117519"</f>
        <v>9780826117519</v>
      </c>
      <c r="E1769" t="s">
        <v>1504</v>
      </c>
      <c r="F1769" t="s">
        <v>33</v>
      </c>
      <c r="G1769" t="s">
        <v>22179</v>
      </c>
      <c r="H1769" t="s">
        <v>26004</v>
      </c>
      <c r="I1769" s="26">
        <v>39692</v>
      </c>
      <c r="J1769">
        <v>2008</v>
      </c>
      <c r="K1769" t="s">
        <v>33</v>
      </c>
      <c r="L1769">
        <v>860</v>
      </c>
      <c r="M1769" t="s">
        <v>32584</v>
      </c>
      <c r="N1769">
        <v>3</v>
      </c>
      <c r="Q1769" t="s">
        <v>32585</v>
      </c>
      <c r="S1769" t="s">
        <v>32586</v>
      </c>
      <c r="T1769" t="s">
        <v>30</v>
      </c>
      <c r="U1769" t="s">
        <v>26250</v>
      </c>
      <c r="W1769" t="s">
        <v>26009</v>
      </c>
    </row>
    <row r="1770" spans="1:23" x14ac:dyDescent="0.35">
      <c r="A1770">
        <v>423286</v>
      </c>
      <c r="B1770" t="s">
        <v>32587</v>
      </c>
      <c r="C1770" t="str">
        <f>"9780826102287"</f>
        <v>9780826102287</v>
      </c>
      <c r="D1770" t="str">
        <f>"9780826103352"</f>
        <v>9780826103352</v>
      </c>
      <c r="E1770" t="s">
        <v>1504</v>
      </c>
      <c r="F1770" t="s">
        <v>33</v>
      </c>
      <c r="G1770" t="s">
        <v>22179</v>
      </c>
      <c r="H1770" t="s">
        <v>26004</v>
      </c>
      <c r="I1770" s="26">
        <v>39083</v>
      </c>
      <c r="J1770">
        <v>2007</v>
      </c>
      <c r="K1770" t="s">
        <v>33</v>
      </c>
      <c r="L1770">
        <v>369</v>
      </c>
      <c r="M1770" t="s">
        <v>32588</v>
      </c>
      <c r="N1770">
        <v>1</v>
      </c>
      <c r="Q1770" t="s">
        <v>32589</v>
      </c>
      <c r="R1770" t="s">
        <v>32590</v>
      </c>
      <c r="S1770" t="s">
        <v>32591</v>
      </c>
      <c r="T1770" t="s">
        <v>30</v>
      </c>
      <c r="U1770" t="s">
        <v>28289</v>
      </c>
      <c r="W1770" t="s">
        <v>26009</v>
      </c>
    </row>
    <row r="1771" spans="1:23" x14ac:dyDescent="0.35">
      <c r="A1771">
        <v>423292</v>
      </c>
      <c r="B1771" t="s">
        <v>32592</v>
      </c>
      <c r="C1771" t="str">
        <f>"9780826148018"</f>
        <v>9780826148018</v>
      </c>
      <c r="D1771" t="str">
        <f>"9780826148025"</f>
        <v>9780826148025</v>
      </c>
      <c r="E1771" t="s">
        <v>1504</v>
      </c>
      <c r="F1771" t="s">
        <v>33</v>
      </c>
      <c r="G1771" t="s">
        <v>22179</v>
      </c>
      <c r="H1771" t="s">
        <v>26004</v>
      </c>
      <c r="I1771" s="26">
        <v>37257</v>
      </c>
      <c r="J1771">
        <v>2003</v>
      </c>
      <c r="K1771" t="s">
        <v>33</v>
      </c>
      <c r="L1771">
        <v>329</v>
      </c>
      <c r="M1771" t="s">
        <v>32593</v>
      </c>
      <c r="N1771">
        <v>1</v>
      </c>
      <c r="Q1771" t="s">
        <v>32594</v>
      </c>
      <c r="R1771" t="s">
        <v>32595</v>
      </c>
      <c r="S1771" t="s">
        <v>32596</v>
      </c>
      <c r="T1771" t="s">
        <v>30</v>
      </c>
      <c r="U1771" t="s">
        <v>26245</v>
      </c>
      <c r="W1771" t="s">
        <v>26009</v>
      </c>
    </row>
    <row r="1772" spans="1:23" x14ac:dyDescent="0.35">
      <c r="A1772">
        <v>423293</v>
      </c>
      <c r="B1772" t="s">
        <v>32597</v>
      </c>
      <c r="C1772" t="str">
        <f>"9780826102720"</f>
        <v>9780826102720</v>
      </c>
      <c r="D1772" t="str">
        <f>"9780826196835"</f>
        <v>9780826196835</v>
      </c>
      <c r="E1772" t="s">
        <v>1504</v>
      </c>
      <c r="F1772" t="s">
        <v>33</v>
      </c>
      <c r="G1772" t="s">
        <v>22179</v>
      </c>
      <c r="H1772" t="s">
        <v>26004</v>
      </c>
      <c r="I1772" s="26">
        <v>37257</v>
      </c>
      <c r="J1772">
        <v>2002</v>
      </c>
      <c r="K1772" t="s">
        <v>33</v>
      </c>
      <c r="L1772">
        <v>233</v>
      </c>
      <c r="M1772" t="s">
        <v>32598</v>
      </c>
      <c r="N1772">
        <v>1</v>
      </c>
      <c r="Q1772" t="s">
        <v>32599</v>
      </c>
      <c r="R1772">
        <v>616.83000000000004</v>
      </c>
      <c r="S1772" t="s">
        <v>32600</v>
      </c>
      <c r="T1772" t="s">
        <v>30</v>
      </c>
      <c r="U1772" t="s">
        <v>26019</v>
      </c>
      <c r="W1772" t="s">
        <v>26009</v>
      </c>
    </row>
    <row r="1773" spans="1:23" x14ac:dyDescent="0.35">
      <c r="A1773">
        <v>423298</v>
      </c>
      <c r="B1773" t="s">
        <v>9941</v>
      </c>
      <c r="C1773" t="str">
        <f>"9780826142443"</f>
        <v>9780826142443</v>
      </c>
      <c r="D1773" t="str">
        <f>"9780826142450"</f>
        <v>9780826142450</v>
      </c>
      <c r="E1773" t="s">
        <v>1504</v>
      </c>
      <c r="F1773" t="s">
        <v>33</v>
      </c>
      <c r="G1773" t="s">
        <v>22179</v>
      </c>
      <c r="H1773" t="s">
        <v>26004</v>
      </c>
      <c r="I1773" s="26">
        <v>38718</v>
      </c>
      <c r="J1773">
        <v>2006</v>
      </c>
      <c r="K1773" t="s">
        <v>33</v>
      </c>
      <c r="L1773">
        <v>369</v>
      </c>
      <c r="M1773" t="s">
        <v>32601</v>
      </c>
      <c r="N1773">
        <v>1</v>
      </c>
      <c r="Q1773" t="s">
        <v>32602</v>
      </c>
      <c r="R1773" t="s">
        <v>32603</v>
      </c>
      <c r="S1773" t="s">
        <v>32604</v>
      </c>
      <c r="T1773" t="s">
        <v>30</v>
      </c>
      <c r="U1773" t="s">
        <v>46</v>
      </c>
      <c r="W1773" t="s">
        <v>26009</v>
      </c>
    </row>
    <row r="1774" spans="1:23" x14ac:dyDescent="0.35">
      <c r="A1774">
        <v>423300</v>
      </c>
      <c r="B1774" t="s">
        <v>32605</v>
      </c>
      <c r="C1774" t="str">
        <f>"9780826124081"</f>
        <v>9780826124081</v>
      </c>
      <c r="D1774" t="str">
        <f>"9780826124098"</f>
        <v>9780826124098</v>
      </c>
      <c r="E1774" t="s">
        <v>1504</v>
      </c>
      <c r="F1774" t="s">
        <v>33</v>
      </c>
      <c r="G1774" t="s">
        <v>22179</v>
      </c>
      <c r="H1774" t="s">
        <v>26004</v>
      </c>
      <c r="I1774" s="26">
        <v>39600</v>
      </c>
      <c r="J1774">
        <v>2008</v>
      </c>
      <c r="K1774" t="s">
        <v>33</v>
      </c>
      <c r="L1774">
        <v>416</v>
      </c>
      <c r="M1774" t="s">
        <v>32606</v>
      </c>
      <c r="N1774">
        <v>1</v>
      </c>
      <c r="O1774" t="s">
        <v>32607</v>
      </c>
      <c r="Q1774" t="s">
        <v>32608</v>
      </c>
      <c r="R1774">
        <v>305.26097299999998</v>
      </c>
      <c r="S1774" t="s">
        <v>32609</v>
      </c>
      <c r="T1774" t="s">
        <v>30</v>
      </c>
      <c r="U1774" t="s">
        <v>26044</v>
      </c>
      <c r="W1774" t="s">
        <v>26009</v>
      </c>
    </row>
    <row r="1775" spans="1:23" x14ac:dyDescent="0.35">
      <c r="A1775">
        <v>423301</v>
      </c>
      <c r="B1775" t="s">
        <v>32610</v>
      </c>
      <c r="C1775" t="str">
        <f>"9780826113825"</f>
        <v>9780826113825</v>
      </c>
      <c r="D1775" t="str">
        <f>"9780826116581"</f>
        <v>9780826116581</v>
      </c>
      <c r="E1775" t="s">
        <v>1504</v>
      </c>
      <c r="F1775" t="s">
        <v>33</v>
      </c>
      <c r="G1775" t="s">
        <v>22179</v>
      </c>
      <c r="H1775" t="s">
        <v>26004</v>
      </c>
      <c r="I1775" s="26">
        <v>36892</v>
      </c>
      <c r="J1775">
        <v>2001</v>
      </c>
      <c r="K1775" t="s">
        <v>33</v>
      </c>
      <c r="L1775">
        <v>232</v>
      </c>
      <c r="M1775" t="s">
        <v>32611</v>
      </c>
      <c r="N1775">
        <v>1</v>
      </c>
      <c r="O1775" t="s">
        <v>29939</v>
      </c>
      <c r="Q1775" t="s">
        <v>32612</v>
      </c>
      <c r="R1775" t="s">
        <v>28788</v>
      </c>
      <c r="S1775" t="s">
        <v>32613</v>
      </c>
      <c r="T1775" t="s">
        <v>30</v>
      </c>
      <c r="U1775" t="s">
        <v>28289</v>
      </c>
      <c r="W1775" t="s">
        <v>26009</v>
      </c>
    </row>
    <row r="1776" spans="1:23" x14ac:dyDescent="0.35">
      <c r="A1776">
        <v>423303</v>
      </c>
      <c r="B1776" t="s">
        <v>32614</v>
      </c>
      <c r="C1776" t="str">
        <f>"9780826102652"</f>
        <v>9780826102652</v>
      </c>
      <c r="D1776" t="str">
        <f>"9780826103826"</f>
        <v>9780826103826</v>
      </c>
      <c r="E1776" t="s">
        <v>1504</v>
      </c>
      <c r="F1776" t="s">
        <v>33</v>
      </c>
      <c r="G1776" t="s">
        <v>22179</v>
      </c>
      <c r="H1776" t="s">
        <v>26004</v>
      </c>
      <c r="I1776" s="26">
        <v>36892</v>
      </c>
      <c r="J1776">
        <v>2001</v>
      </c>
      <c r="K1776" t="s">
        <v>33</v>
      </c>
      <c r="L1776">
        <v>277</v>
      </c>
      <c r="M1776" t="s">
        <v>32615</v>
      </c>
      <c r="N1776">
        <v>1</v>
      </c>
      <c r="Q1776" t="s">
        <v>32616</v>
      </c>
      <c r="S1776" t="s">
        <v>32617</v>
      </c>
      <c r="T1776" t="s">
        <v>30</v>
      </c>
      <c r="U1776" t="s">
        <v>26044</v>
      </c>
      <c r="W1776" t="s">
        <v>26009</v>
      </c>
    </row>
    <row r="1777" spans="1:23" x14ac:dyDescent="0.35">
      <c r="A1777">
        <v>423306</v>
      </c>
      <c r="B1777" t="s">
        <v>32618</v>
      </c>
      <c r="C1777" t="str">
        <f>"9780826120540"</f>
        <v>9780826120540</v>
      </c>
      <c r="D1777" t="str">
        <f>"9780826197375"</f>
        <v>9780826197375</v>
      </c>
      <c r="E1777" t="s">
        <v>1504</v>
      </c>
      <c r="F1777" t="s">
        <v>33</v>
      </c>
      <c r="G1777" t="s">
        <v>22179</v>
      </c>
      <c r="H1777" t="s">
        <v>26004</v>
      </c>
      <c r="I1777" s="26">
        <v>37622</v>
      </c>
      <c r="J1777">
        <v>2003</v>
      </c>
      <c r="K1777" t="s">
        <v>33</v>
      </c>
      <c r="L1777">
        <v>329</v>
      </c>
      <c r="M1777" t="s">
        <v>32619</v>
      </c>
      <c r="N1777">
        <v>1</v>
      </c>
      <c r="Q1777" t="s">
        <v>32620</v>
      </c>
      <c r="R1777" t="s">
        <v>32621</v>
      </c>
      <c r="S1777" t="s">
        <v>32622</v>
      </c>
      <c r="T1777" t="s">
        <v>30</v>
      </c>
      <c r="U1777" t="s">
        <v>26044</v>
      </c>
      <c r="W1777" t="s">
        <v>26009</v>
      </c>
    </row>
    <row r="1778" spans="1:23" x14ac:dyDescent="0.35">
      <c r="A1778">
        <v>423307</v>
      </c>
      <c r="B1778" t="s">
        <v>32623</v>
      </c>
      <c r="C1778" t="str">
        <f>"9780826111753"</f>
        <v>9780826111753</v>
      </c>
      <c r="D1778" t="str">
        <f>"9780826196941"</f>
        <v>9780826196941</v>
      </c>
      <c r="E1778" t="s">
        <v>1504</v>
      </c>
      <c r="F1778" t="s">
        <v>33</v>
      </c>
      <c r="G1778" t="s">
        <v>22179</v>
      </c>
      <c r="H1778" t="s">
        <v>26004</v>
      </c>
      <c r="I1778" s="26">
        <v>35827</v>
      </c>
      <c r="J1778">
        <v>1998</v>
      </c>
      <c r="K1778" t="s">
        <v>33</v>
      </c>
      <c r="L1778">
        <v>224</v>
      </c>
      <c r="M1778" t="s">
        <v>32624</v>
      </c>
      <c r="N1778">
        <v>1</v>
      </c>
      <c r="Q1778" t="s">
        <v>32625</v>
      </c>
      <c r="R1778">
        <v>616.89</v>
      </c>
      <c r="S1778" t="s">
        <v>32626</v>
      </c>
      <c r="T1778" t="s">
        <v>30</v>
      </c>
      <c r="U1778" t="s">
        <v>26116</v>
      </c>
      <c r="W1778" t="s">
        <v>26009</v>
      </c>
    </row>
    <row r="1779" spans="1:23" x14ac:dyDescent="0.35">
      <c r="A1779">
        <v>423308</v>
      </c>
      <c r="B1779" t="s">
        <v>32627</v>
      </c>
      <c r="C1779" t="str">
        <f>"9780826114686"</f>
        <v>9780826114686</v>
      </c>
      <c r="D1779" t="str">
        <f>"9780826116086"</f>
        <v>9780826116086</v>
      </c>
      <c r="E1779" t="s">
        <v>1504</v>
      </c>
      <c r="F1779" t="s">
        <v>33</v>
      </c>
      <c r="G1779" t="s">
        <v>22179</v>
      </c>
      <c r="H1779" t="s">
        <v>26004</v>
      </c>
      <c r="I1779" s="26">
        <v>37257</v>
      </c>
      <c r="J1779">
        <v>2002</v>
      </c>
      <c r="K1779" t="s">
        <v>33</v>
      </c>
      <c r="L1779">
        <v>287</v>
      </c>
      <c r="M1779" t="s">
        <v>32628</v>
      </c>
      <c r="N1779">
        <v>1</v>
      </c>
      <c r="O1779" t="s">
        <v>32629</v>
      </c>
      <c r="Q1779" t="s">
        <v>32630</v>
      </c>
      <c r="R1779">
        <v>618.9768914082</v>
      </c>
      <c r="S1779" t="s">
        <v>32631</v>
      </c>
      <c r="T1779" t="s">
        <v>30</v>
      </c>
      <c r="U1779" t="s">
        <v>26019</v>
      </c>
      <c r="W1779" t="s">
        <v>26009</v>
      </c>
    </row>
    <row r="1780" spans="1:23" x14ac:dyDescent="0.35">
      <c r="A1780">
        <v>423313</v>
      </c>
      <c r="B1780" t="s">
        <v>32632</v>
      </c>
      <c r="C1780" t="str">
        <f>"9780826127150"</f>
        <v>9780826127150</v>
      </c>
      <c r="D1780" t="str">
        <f>"9780826127167"</f>
        <v>9780826127167</v>
      </c>
      <c r="E1780" t="s">
        <v>1504</v>
      </c>
      <c r="F1780" t="s">
        <v>33</v>
      </c>
      <c r="G1780" t="s">
        <v>22179</v>
      </c>
      <c r="H1780" t="s">
        <v>26004</v>
      </c>
      <c r="I1780" s="26">
        <v>38353</v>
      </c>
      <c r="J1780">
        <v>2005</v>
      </c>
      <c r="K1780" t="s">
        <v>33</v>
      </c>
      <c r="L1780">
        <v>416</v>
      </c>
      <c r="M1780" t="s">
        <v>32633</v>
      </c>
      <c r="N1780">
        <v>1</v>
      </c>
      <c r="Q1780" t="s">
        <v>32634</v>
      </c>
      <c r="R1780">
        <v>155.66999999999999</v>
      </c>
      <c r="S1780" t="s">
        <v>32635</v>
      </c>
      <c r="T1780" t="s">
        <v>30</v>
      </c>
      <c r="U1780" t="s">
        <v>46</v>
      </c>
      <c r="W1780" t="s">
        <v>26009</v>
      </c>
    </row>
    <row r="1781" spans="1:23" x14ac:dyDescent="0.35">
      <c r="A1781">
        <v>423317</v>
      </c>
      <c r="B1781" t="s">
        <v>8592</v>
      </c>
      <c r="C1781" t="str">
        <f>"9780826193216"</f>
        <v>9780826193216</v>
      </c>
      <c r="D1781" t="str">
        <f>"9780826193223"</f>
        <v>9780826193223</v>
      </c>
      <c r="E1781" t="s">
        <v>1504</v>
      </c>
      <c r="F1781" t="s">
        <v>33</v>
      </c>
      <c r="G1781" t="s">
        <v>22179</v>
      </c>
      <c r="H1781" t="s">
        <v>26004</v>
      </c>
      <c r="I1781" s="26">
        <v>38231</v>
      </c>
      <c r="J1781">
        <v>1996</v>
      </c>
      <c r="K1781" t="s">
        <v>33</v>
      </c>
      <c r="L1781">
        <v>401</v>
      </c>
      <c r="M1781" t="s">
        <v>32636</v>
      </c>
      <c r="N1781">
        <v>1</v>
      </c>
      <c r="Q1781" t="s">
        <v>32637</v>
      </c>
      <c r="R1781" t="s">
        <v>32638</v>
      </c>
      <c r="S1781" t="s">
        <v>32639</v>
      </c>
      <c r="T1781" t="s">
        <v>30</v>
      </c>
      <c r="U1781" t="s">
        <v>46</v>
      </c>
      <c r="W1781" t="s">
        <v>26009</v>
      </c>
    </row>
    <row r="1782" spans="1:23" x14ac:dyDescent="0.35">
      <c r="A1782">
        <v>423318</v>
      </c>
      <c r="B1782" t="s">
        <v>9859</v>
      </c>
      <c r="C1782" t="str">
        <f>"9780826102645"</f>
        <v>9780826102645</v>
      </c>
      <c r="D1782" t="str">
        <f>"9780826116734"</f>
        <v>9780826116734</v>
      </c>
      <c r="E1782" t="s">
        <v>1504</v>
      </c>
      <c r="F1782" t="s">
        <v>33</v>
      </c>
      <c r="G1782" t="s">
        <v>22179</v>
      </c>
      <c r="H1782" t="s">
        <v>26004</v>
      </c>
      <c r="I1782" s="26">
        <v>36526</v>
      </c>
      <c r="J1782">
        <v>2000</v>
      </c>
      <c r="K1782" t="s">
        <v>33</v>
      </c>
      <c r="L1782">
        <v>353</v>
      </c>
      <c r="M1782" t="s">
        <v>32640</v>
      </c>
      <c r="N1782">
        <v>2</v>
      </c>
      <c r="Q1782" t="s">
        <v>32641</v>
      </c>
      <c r="R1782">
        <v>616.89139999999998</v>
      </c>
      <c r="S1782" t="s">
        <v>32642</v>
      </c>
      <c r="T1782" t="s">
        <v>30</v>
      </c>
      <c r="U1782" t="s">
        <v>26019</v>
      </c>
      <c r="W1782" t="s">
        <v>26009</v>
      </c>
    </row>
    <row r="1783" spans="1:23" x14ac:dyDescent="0.35">
      <c r="A1783">
        <v>423326</v>
      </c>
      <c r="B1783" t="s">
        <v>32643</v>
      </c>
      <c r="C1783" t="str">
        <f>"9780826123060"</f>
        <v>9780826123060</v>
      </c>
      <c r="D1783" t="str">
        <f>"9780826123077"</f>
        <v>9780826123077</v>
      </c>
      <c r="E1783" t="s">
        <v>1504</v>
      </c>
      <c r="F1783" t="s">
        <v>33</v>
      </c>
      <c r="G1783" t="s">
        <v>22179</v>
      </c>
      <c r="H1783" t="s">
        <v>26004</v>
      </c>
      <c r="I1783" s="26">
        <v>37257</v>
      </c>
      <c r="J1783">
        <v>2002</v>
      </c>
      <c r="K1783" t="s">
        <v>33</v>
      </c>
      <c r="L1783">
        <v>465</v>
      </c>
      <c r="M1783" t="s">
        <v>32644</v>
      </c>
      <c r="N1783">
        <v>1</v>
      </c>
      <c r="Q1783" t="s">
        <v>32645</v>
      </c>
      <c r="R1783">
        <v>616.89142000000004</v>
      </c>
      <c r="S1783" t="s">
        <v>32646</v>
      </c>
      <c r="T1783" t="s">
        <v>30</v>
      </c>
      <c r="U1783" t="s">
        <v>26019</v>
      </c>
      <c r="W1783" t="s">
        <v>26009</v>
      </c>
    </row>
    <row r="1784" spans="1:23" x14ac:dyDescent="0.35">
      <c r="A1784">
        <v>423330</v>
      </c>
      <c r="B1784" t="s">
        <v>8710</v>
      </c>
      <c r="C1784" t="str">
        <f>"9780826124050"</f>
        <v>9780826124050</v>
      </c>
      <c r="D1784" t="str">
        <f>"9780826197443"</f>
        <v>9780826197443</v>
      </c>
      <c r="E1784" t="s">
        <v>1504</v>
      </c>
      <c r="F1784" t="s">
        <v>33</v>
      </c>
      <c r="G1784" t="s">
        <v>22179</v>
      </c>
      <c r="H1784" t="s">
        <v>26004</v>
      </c>
      <c r="I1784" s="26">
        <v>38353</v>
      </c>
      <c r="J1784">
        <v>2005</v>
      </c>
      <c r="K1784" t="s">
        <v>33</v>
      </c>
      <c r="L1784">
        <v>324</v>
      </c>
      <c r="M1784" t="s">
        <v>32647</v>
      </c>
      <c r="N1784">
        <v>1</v>
      </c>
      <c r="O1784" t="s">
        <v>32648</v>
      </c>
      <c r="Q1784" t="s">
        <v>32649</v>
      </c>
      <c r="R1784" t="s">
        <v>32650</v>
      </c>
      <c r="S1784" t="s">
        <v>32651</v>
      </c>
      <c r="T1784" t="s">
        <v>30</v>
      </c>
      <c r="U1784" t="s">
        <v>26044</v>
      </c>
      <c r="W1784" t="s">
        <v>26009</v>
      </c>
    </row>
    <row r="1785" spans="1:23" x14ac:dyDescent="0.35">
      <c r="A1785">
        <v>423340</v>
      </c>
      <c r="B1785" t="s">
        <v>32652</v>
      </c>
      <c r="C1785" t="str">
        <f>""</f>
        <v/>
      </c>
      <c r="D1785" t="str">
        <f>"9780826197757"</f>
        <v>9780826197757</v>
      </c>
      <c r="E1785" t="s">
        <v>1504</v>
      </c>
      <c r="F1785" t="s">
        <v>33</v>
      </c>
      <c r="G1785" t="s">
        <v>22179</v>
      </c>
      <c r="H1785" t="s">
        <v>26004</v>
      </c>
      <c r="I1785" s="26">
        <v>32082</v>
      </c>
      <c r="J1785">
        <v>1987</v>
      </c>
      <c r="K1785" t="s">
        <v>33</v>
      </c>
      <c r="L1785">
        <v>263</v>
      </c>
      <c r="M1785" t="s">
        <v>32653</v>
      </c>
      <c r="N1785">
        <v>1</v>
      </c>
      <c r="Q1785" t="s">
        <v>32654</v>
      </c>
      <c r="S1785" t="s">
        <v>32655</v>
      </c>
      <c r="T1785" t="s">
        <v>30</v>
      </c>
      <c r="U1785" t="s">
        <v>26019</v>
      </c>
      <c r="W1785" t="s">
        <v>26009</v>
      </c>
    </row>
    <row r="1786" spans="1:23" x14ac:dyDescent="0.35">
      <c r="A1786">
        <v>423341</v>
      </c>
      <c r="B1786" t="s">
        <v>7890</v>
      </c>
      <c r="C1786" t="str">
        <f>"9780826127068"</f>
        <v>9780826127068</v>
      </c>
      <c r="D1786" t="str">
        <f>"9780826127075"</f>
        <v>9780826127075</v>
      </c>
      <c r="E1786" t="s">
        <v>1504</v>
      </c>
      <c r="F1786" t="s">
        <v>33</v>
      </c>
      <c r="G1786" t="s">
        <v>22179</v>
      </c>
      <c r="H1786" t="s">
        <v>26004</v>
      </c>
      <c r="I1786" s="26">
        <v>38261</v>
      </c>
      <c r="J1786">
        <v>2005</v>
      </c>
      <c r="K1786" t="s">
        <v>33</v>
      </c>
      <c r="L1786">
        <v>441</v>
      </c>
      <c r="M1786" t="s">
        <v>32656</v>
      </c>
      <c r="N1786">
        <v>1</v>
      </c>
      <c r="Q1786" t="s">
        <v>32657</v>
      </c>
      <c r="R1786" t="s">
        <v>30751</v>
      </c>
      <c r="S1786" t="s">
        <v>32658</v>
      </c>
      <c r="T1786" t="s">
        <v>30</v>
      </c>
      <c r="U1786" t="s">
        <v>26019</v>
      </c>
      <c r="W1786" t="s">
        <v>26009</v>
      </c>
    </row>
    <row r="1787" spans="1:23" x14ac:dyDescent="0.35">
      <c r="A1787">
        <v>423357</v>
      </c>
      <c r="B1787" t="s">
        <v>32659</v>
      </c>
      <c r="C1787" t="str">
        <f>"9780826169921"</f>
        <v>9780826169921</v>
      </c>
      <c r="D1787" t="str">
        <f>"9780826197832"</f>
        <v>9780826197832</v>
      </c>
      <c r="E1787" t="s">
        <v>1504</v>
      </c>
      <c r="F1787" t="s">
        <v>33</v>
      </c>
      <c r="G1787" t="s">
        <v>22179</v>
      </c>
      <c r="H1787" t="s">
        <v>26004</v>
      </c>
      <c r="I1787" s="26">
        <v>37257</v>
      </c>
      <c r="J1787">
        <v>2002</v>
      </c>
      <c r="K1787" t="s">
        <v>33</v>
      </c>
      <c r="L1787">
        <v>391</v>
      </c>
      <c r="M1787" t="s">
        <v>32660</v>
      </c>
      <c r="N1787">
        <v>1</v>
      </c>
      <c r="Q1787" t="s">
        <v>32661</v>
      </c>
      <c r="R1787">
        <v>155.66999999999999</v>
      </c>
      <c r="S1787" t="s">
        <v>32662</v>
      </c>
      <c r="T1787" t="s">
        <v>30</v>
      </c>
      <c r="U1787" t="s">
        <v>46</v>
      </c>
      <c r="W1787" t="s">
        <v>26009</v>
      </c>
    </row>
    <row r="1788" spans="1:23" x14ac:dyDescent="0.35">
      <c r="A1788">
        <v>423361</v>
      </c>
      <c r="B1788" t="s">
        <v>8617</v>
      </c>
      <c r="C1788" t="str">
        <f>"9780826118844"</f>
        <v>9780826118844</v>
      </c>
      <c r="D1788" t="str">
        <f>"9780826118837"</f>
        <v>9780826118837</v>
      </c>
      <c r="E1788" t="s">
        <v>1504</v>
      </c>
      <c r="F1788" t="s">
        <v>1504</v>
      </c>
      <c r="G1788" t="s">
        <v>22179</v>
      </c>
      <c r="H1788" t="s">
        <v>26004</v>
      </c>
      <c r="I1788" s="26">
        <v>37844</v>
      </c>
      <c r="J1788">
        <v>2003</v>
      </c>
      <c r="K1788" t="s">
        <v>1504</v>
      </c>
      <c r="L1788">
        <v>569</v>
      </c>
      <c r="M1788" t="s">
        <v>32663</v>
      </c>
      <c r="N1788">
        <v>1</v>
      </c>
      <c r="Q1788" t="s">
        <v>32664</v>
      </c>
      <c r="R1788">
        <v>614</v>
      </c>
      <c r="S1788" t="s">
        <v>32665</v>
      </c>
      <c r="T1788" t="s">
        <v>30</v>
      </c>
      <c r="U1788" t="s">
        <v>27028</v>
      </c>
      <c r="W1788" t="s">
        <v>26009</v>
      </c>
    </row>
    <row r="1789" spans="1:23" x14ac:dyDescent="0.35">
      <c r="A1789">
        <v>423362</v>
      </c>
      <c r="B1789" t="s">
        <v>32666</v>
      </c>
      <c r="C1789" t="str">
        <f>"9780826144713"</f>
        <v>9780826144713</v>
      </c>
      <c r="D1789" t="str">
        <f>"9780826144720"</f>
        <v>9780826144720</v>
      </c>
      <c r="E1789" t="s">
        <v>1504</v>
      </c>
      <c r="F1789" t="s">
        <v>33</v>
      </c>
      <c r="G1789" t="s">
        <v>22179</v>
      </c>
      <c r="H1789" t="s">
        <v>26004</v>
      </c>
      <c r="I1789" s="26">
        <v>39600</v>
      </c>
      <c r="J1789">
        <v>2008</v>
      </c>
      <c r="K1789" t="s">
        <v>33</v>
      </c>
      <c r="L1789">
        <v>361</v>
      </c>
      <c r="M1789" t="s">
        <v>32667</v>
      </c>
      <c r="N1789">
        <v>2</v>
      </c>
      <c r="Q1789" t="s">
        <v>32668</v>
      </c>
      <c r="R1789" t="s">
        <v>32669</v>
      </c>
      <c r="S1789" t="s">
        <v>32670</v>
      </c>
      <c r="T1789" t="s">
        <v>30</v>
      </c>
      <c r="U1789" t="s">
        <v>26040</v>
      </c>
      <c r="W1789" t="s">
        <v>26009</v>
      </c>
    </row>
    <row r="1790" spans="1:23" x14ac:dyDescent="0.35">
      <c r="A1790">
        <v>423363</v>
      </c>
      <c r="B1790" t="s">
        <v>32671</v>
      </c>
      <c r="C1790" t="str">
        <f>"9780826120342"</f>
        <v>9780826120342</v>
      </c>
      <c r="D1790" t="str">
        <f>"9780826120335"</f>
        <v>9780826120335</v>
      </c>
      <c r="E1790" t="s">
        <v>1504</v>
      </c>
      <c r="F1790" t="s">
        <v>33</v>
      </c>
      <c r="G1790" t="s">
        <v>22179</v>
      </c>
      <c r="H1790" t="s">
        <v>26004</v>
      </c>
      <c r="I1790" s="26">
        <v>37622</v>
      </c>
      <c r="J1790">
        <v>2003</v>
      </c>
      <c r="K1790" t="s">
        <v>33</v>
      </c>
      <c r="L1790">
        <v>264</v>
      </c>
      <c r="M1790" t="s">
        <v>32672</v>
      </c>
      <c r="N1790">
        <v>1</v>
      </c>
      <c r="Q1790" t="s">
        <v>32673</v>
      </c>
      <c r="R1790">
        <v>616.89139999999998</v>
      </c>
      <c r="S1790" t="s">
        <v>32674</v>
      </c>
      <c r="T1790" t="s">
        <v>30</v>
      </c>
      <c r="U1790" t="s">
        <v>26116</v>
      </c>
      <c r="W1790" t="s">
        <v>26009</v>
      </c>
    </row>
    <row r="1791" spans="1:23" x14ac:dyDescent="0.35">
      <c r="A1791">
        <v>423364</v>
      </c>
      <c r="B1791" t="s">
        <v>8054</v>
      </c>
      <c r="C1791" t="str">
        <f>"9780826127969"</f>
        <v>9780826127969</v>
      </c>
      <c r="D1791" t="str">
        <f>"9780826127976"</f>
        <v>9780826127976</v>
      </c>
      <c r="E1791" t="s">
        <v>1504</v>
      </c>
      <c r="F1791" t="s">
        <v>33</v>
      </c>
      <c r="G1791" t="s">
        <v>22179</v>
      </c>
      <c r="H1791" t="s">
        <v>26004</v>
      </c>
      <c r="I1791" s="26">
        <v>38353</v>
      </c>
      <c r="J1791">
        <v>2005</v>
      </c>
      <c r="K1791" t="s">
        <v>33</v>
      </c>
      <c r="L1791">
        <v>208</v>
      </c>
      <c r="M1791" t="s">
        <v>32675</v>
      </c>
      <c r="N1791">
        <v>1</v>
      </c>
      <c r="O1791" t="s">
        <v>32676</v>
      </c>
      <c r="Q1791" t="s">
        <v>32677</v>
      </c>
      <c r="R1791">
        <v>306.89999999999998</v>
      </c>
      <c r="S1791" t="s">
        <v>32678</v>
      </c>
      <c r="T1791" t="s">
        <v>30</v>
      </c>
      <c r="U1791" t="s">
        <v>26044</v>
      </c>
      <c r="W1791" t="s">
        <v>26009</v>
      </c>
    </row>
    <row r="1792" spans="1:23" x14ac:dyDescent="0.35">
      <c r="A1792">
        <v>423365</v>
      </c>
      <c r="B1792" t="s">
        <v>8583</v>
      </c>
      <c r="C1792" t="str">
        <f>"9780826132550"</f>
        <v>9780826132550</v>
      </c>
      <c r="D1792" t="str">
        <f>"9780826132567"</f>
        <v>9780826132567</v>
      </c>
      <c r="E1792" t="s">
        <v>1504</v>
      </c>
      <c r="F1792" t="s">
        <v>33</v>
      </c>
      <c r="G1792" t="s">
        <v>22179</v>
      </c>
      <c r="H1792" t="s">
        <v>26004</v>
      </c>
      <c r="I1792" s="26">
        <v>38718</v>
      </c>
      <c r="J1792">
        <v>2006</v>
      </c>
      <c r="K1792" t="s">
        <v>33</v>
      </c>
      <c r="L1792">
        <v>313</v>
      </c>
      <c r="M1792" t="s">
        <v>32679</v>
      </c>
      <c r="N1792">
        <v>1</v>
      </c>
      <c r="Q1792" t="s">
        <v>32680</v>
      </c>
      <c r="S1792" t="s">
        <v>32681</v>
      </c>
      <c r="T1792" t="s">
        <v>30</v>
      </c>
      <c r="U1792" t="s">
        <v>26116</v>
      </c>
      <c r="W1792" t="s">
        <v>26009</v>
      </c>
    </row>
    <row r="1793" spans="1:23" x14ac:dyDescent="0.35">
      <c r="A1793">
        <v>423370</v>
      </c>
      <c r="B1793" t="s">
        <v>32682</v>
      </c>
      <c r="C1793" t="str">
        <f>"9780826113740"</f>
        <v>9780826113740</v>
      </c>
      <c r="D1793" t="str">
        <f>"9780826197139"</f>
        <v>9780826197139</v>
      </c>
      <c r="E1793" t="s">
        <v>1504</v>
      </c>
      <c r="F1793" t="s">
        <v>33</v>
      </c>
      <c r="G1793" t="s">
        <v>22179</v>
      </c>
      <c r="H1793" t="s">
        <v>26004</v>
      </c>
      <c r="I1793" s="26">
        <v>36861</v>
      </c>
      <c r="J1793">
        <v>2001</v>
      </c>
      <c r="K1793" t="s">
        <v>33</v>
      </c>
      <c r="L1793">
        <v>329</v>
      </c>
      <c r="M1793" t="s">
        <v>32683</v>
      </c>
      <c r="N1793">
        <v>1</v>
      </c>
      <c r="O1793" t="s">
        <v>32543</v>
      </c>
      <c r="Q1793" t="s">
        <v>32684</v>
      </c>
      <c r="R1793" t="s">
        <v>32685</v>
      </c>
      <c r="S1793" t="s">
        <v>32686</v>
      </c>
      <c r="T1793" t="s">
        <v>30</v>
      </c>
      <c r="U1793" t="s">
        <v>337</v>
      </c>
      <c r="W1793" t="s">
        <v>26009</v>
      </c>
    </row>
    <row r="1794" spans="1:23" x14ac:dyDescent="0.35">
      <c r="A1794">
        <v>423374</v>
      </c>
      <c r="B1794" t="s">
        <v>32687</v>
      </c>
      <c r="C1794" t="str">
        <f>"9780826114297"</f>
        <v>9780826114297</v>
      </c>
      <c r="D1794" t="str">
        <f>"9780826197184"</f>
        <v>9780826197184</v>
      </c>
      <c r="E1794" t="s">
        <v>1504</v>
      </c>
      <c r="F1794" t="s">
        <v>1504</v>
      </c>
      <c r="G1794" t="s">
        <v>22179</v>
      </c>
      <c r="H1794" t="s">
        <v>26004</v>
      </c>
      <c r="I1794" s="26">
        <v>37125</v>
      </c>
      <c r="J1794">
        <v>2001</v>
      </c>
      <c r="K1794" t="s">
        <v>1504</v>
      </c>
      <c r="L1794">
        <v>119</v>
      </c>
      <c r="M1794" t="s">
        <v>32688</v>
      </c>
      <c r="N1794">
        <v>1</v>
      </c>
      <c r="O1794" t="s">
        <v>32689</v>
      </c>
      <c r="Q1794" t="s">
        <v>32690</v>
      </c>
      <c r="R1794" t="s">
        <v>26735</v>
      </c>
      <c r="S1794" t="s">
        <v>32691</v>
      </c>
      <c r="T1794" t="s">
        <v>30</v>
      </c>
      <c r="U1794" t="s">
        <v>26040</v>
      </c>
      <c r="W1794" t="s">
        <v>26009</v>
      </c>
    </row>
    <row r="1795" spans="1:23" x14ac:dyDescent="0.35">
      <c r="A1795">
        <v>423377</v>
      </c>
      <c r="B1795" t="s">
        <v>32692</v>
      </c>
      <c r="C1795" t="str">
        <f>"9780826122995"</f>
        <v>9780826122995</v>
      </c>
      <c r="D1795" t="str">
        <f>"9780826197986"</f>
        <v>9780826197986</v>
      </c>
      <c r="E1795" t="s">
        <v>1504</v>
      </c>
      <c r="F1795" t="s">
        <v>33</v>
      </c>
      <c r="G1795" t="s">
        <v>22179</v>
      </c>
      <c r="H1795" t="s">
        <v>26004</v>
      </c>
      <c r="I1795" s="26">
        <v>36892</v>
      </c>
      <c r="J1795">
        <v>2001</v>
      </c>
      <c r="K1795" t="s">
        <v>33</v>
      </c>
      <c r="L1795">
        <v>273</v>
      </c>
      <c r="M1795" t="s">
        <v>32693</v>
      </c>
      <c r="N1795">
        <v>1</v>
      </c>
      <c r="Q1795" t="s">
        <v>32694</v>
      </c>
      <c r="R1795">
        <v>616.89142000000004</v>
      </c>
      <c r="S1795" t="s">
        <v>32695</v>
      </c>
      <c r="T1795" t="s">
        <v>30</v>
      </c>
      <c r="U1795" t="s">
        <v>26116</v>
      </c>
      <c r="W1795" t="s">
        <v>26009</v>
      </c>
    </row>
    <row r="1796" spans="1:23" x14ac:dyDescent="0.35">
      <c r="A1796">
        <v>423380</v>
      </c>
      <c r="B1796" t="s">
        <v>32696</v>
      </c>
      <c r="C1796" t="str">
        <f>"9780826116857"</f>
        <v>9780826116857</v>
      </c>
      <c r="D1796" t="str">
        <f>"9780826116888"</f>
        <v>9780826116888</v>
      </c>
      <c r="E1796" t="s">
        <v>1504</v>
      </c>
      <c r="F1796" t="s">
        <v>33</v>
      </c>
      <c r="G1796" t="s">
        <v>22179</v>
      </c>
      <c r="H1796" t="s">
        <v>26004</v>
      </c>
      <c r="I1796" s="26">
        <v>39448</v>
      </c>
      <c r="J1796">
        <v>2008</v>
      </c>
      <c r="K1796" t="s">
        <v>33</v>
      </c>
      <c r="L1796">
        <v>327</v>
      </c>
      <c r="M1796" t="s">
        <v>32697</v>
      </c>
      <c r="N1796">
        <v>1</v>
      </c>
      <c r="Q1796" t="s">
        <v>32698</v>
      </c>
      <c r="R1796" t="s">
        <v>32699</v>
      </c>
      <c r="S1796" t="s">
        <v>32700</v>
      </c>
      <c r="T1796" t="s">
        <v>30</v>
      </c>
      <c r="U1796" t="s">
        <v>26044</v>
      </c>
      <c r="W1796" t="s">
        <v>26009</v>
      </c>
    </row>
    <row r="1797" spans="1:23" x14ac:dyDescent="0.35">
      <c r="A1797">
        <v>423382</v>
      </c>
      <c r="B1797" t="s">
        <v>32701</v>
      </c>
      <c r="C1797" t="str">
        <f>"9780826132055"</f>
        <v>9780826132055</v>
      </c>
      <c r="D1797" t="str">
        <f>"9780826132048"</f>
        <v>9780826132048</v>
      </c>
      <c r="E1797" t="s">
        <v>1504</v>
      </c>
      <c r="F1797" t="s">
        <v>33</v>
      </c>
      <c r="G1797" t="s">
        <v>22179</v>
      </c>
      <c r="H1797" t="s">
        <v>26004</v>
      </c>
      <c r="I1797" s="26">
        <v>38718</v>
      </c>
      <c r="J1797">
        <v>2006</v>
      </c>
      <c r="K1797" t="s">
        <v>33</v>
      </c>
      <c r="L1797">
        <v>448</v>
      </c>
      <c r="M1797" t="s">
        <v>32702</v>
      </c>
      <c r="N1797">
        <v>1</v>
      </c>
      <c r="Q1797" t="s">
        <v>32703</v>
      </c>
      <c r="R1797" t="s">
        <v>32704</v>
      </c>
      <c r="S1797" t="s">
        <v>32705</v>
      </c>
      <c r="T1797" t="s">
        <v>30</v>
      </c>
      <c r="U1797" t="s">
        <v>46</v>
      </c>
      <c r="W1797" t="s">
        <v>26009</v>
      </c>
    </row>
    <row r="1798" spans="1:23" x14ac:dyDescent="0.35">
      <c r="A1798">
        <v>423403</v>
      </c>
      <c r="B1798" t="s">
        <v>32706</v>
      </c>
      <c r="C1798" t="str">
        <f>"9780826116949"</f>
        <v>9780826116949</v>
      </c>
      <c r="D1798" t="str">
        <f>"9780826197283"</f>
        <v>9780826197283</v>
      </c>
      <c r="E1798" t="s">
        <v>1504</v>
      </c>
      <c r="F1798" t="s">
        <v>33</v>
      </c>
      <c r="G1798" t="s">
        <v>22179</v>
      </c>
      <c r="H1798" t="s">
        <v>26004</v>
      </c>
      <c r="I1798" s="26">
        <v>37622</v>
      </c>
      <c r="J1798">
        <v>2003</v>
      </c>
      <c r="K1798" t="s">
        <v>33</v>
      </c>
      <c r="L1798">
        <v>401</v>
      </c>
      <c r="M1798" t="s">
        <v>32707</v>
      </c>
      <c r="N1798">
        <v>2</v>
      </c>
      <c r="Q1798" t="s">
        <v>32708</v>
      </c>
      <c r="R1798" t="s">
        <v>32709</v>
      </c>
      <c r="S1798" t="s">
        <v>32710</v>
      </c>
      <c r="T1798" t="s">
        <v>30</v>
      </c>
      <c r="U1798" t="s">
        <v>26019</v>
      </c>
      <c r="W1798" t="s">
        <v>26009</v>
      </c>
    </row>
    <row r="1799" spans="1:23" x14ac:dyDescent="0.35">
      <c r="A1799">
        <v>423406</v>
      </c>
      <c r="B1799" t="s">
        <v>32711</v>
      </c>
      <c r="C1799" t="str">
        <f>"9780826101167"</f>
        <v>9780826101167</v>
      </c>
      <c r="D1799" t="str">
        <f>"9780826101174"</f>
        <v>9780826101174</v>
      </c>
      <c r="E1799" t="s">
        <v>1504</v>
      </c>
      <c r="F1799" t="s">
        <v>33</v>
      </c>
      <c r="G1799" t="s">
        <v>22179</v>
      </c>
      <c r="H1799" t="s">
        <v>26004</v>
      </c>
      <c r="I1799" s="26">
        <v>39580</v>
      </c>
      <c r="J1799">
        <v>2008</v>
      </c>
      <c r="K1799" t="s">
        <v>33</v>
      </c>
      <c r="L1799">
        <v>401</v>
      </c>
      <c r="M1799" t="s">
        <v>32712</v>
      </c>
      <c r="N1799">
        <v>1</v>
      </c>
      <c r="Q1799" t="s">
        <v>32713</v>
      </c>
      <c r="R1799">
        <v>618.76</v>
      </c>
      <c r="S1799" t="s">
        <v>32714</v>
      </c>
      <c r="T1799" t="s">
        <v>30</v>
      </c>
      <c r="U1799" t="s">
        <v>26040</v>
      </c>
      <c r="W1799" t="s">
        <v>26009</v>
      </c>
    </row>
    <row r="1800" spans="1:23" x14ac:dyDescent="0.35">
      <c r="A1800">
        <v>423424</v>
      </c>
      <c r="B1800" t="s">
        <v>32715</v>
      </c>
      <c r="C1800" t="str">
        <f>"9780826112613"</f>
        <v>9780826112613</v>
      </c>
      <c r="D1800" t="str">
        <f>"9780826117168"</f>
        <v>9780826117168</v>
      </c>
      <c r="E1800" t="s">
        <v>1504</v>
      </c>
      <c r="F1800" t="s">
        <v>33</v>
      </c>
      <c r="G1800" t="s">
        <v>22179</v>
      </c>
      <c r="H1800" t="s">
        <v>26004</v>
      </c>
      <c r="I1800" s="26">
        <v>36526</v>
      </c>
      <c r="J1800">
        <v>2000</v>
      </c>
      <c r="K1800" t="s">
        <v>33</v>
      </c>
      <c r="L1800">
        <v>289</v>
      </c>
      <c r="M1800" t="s">
        <v>32716</v>
      </c>
      <c r="N1800">
        <v>2</v>
      </c>
      <c r="Q1800" t="s">
        <v>32717</v>
      </c>
      <c r="R1800" t="s">
        <v>26038</v>
      </c>
      <c r="S1800" t="s">
        <v>32718</v>
      </c>
      <c r="T1800" t="s">
        <v>30</v>
      </c>
      <c r="U1800" t="s">
        <v>26116</v>
      </c>
      <c r="W1800" t="s">
        <v>26009</v>
      </c>
    </row>
    <row r="1801" spans="1:23" x14ac:dyDescent="0.35">
      <c r="A1801">
        <v>423430</v>
      </c>
      <c r="B1801" t="s">
        <v>32719</v>
      </c>
      <c r="C1801" t="str">
        <f>"9780826126153"</f>
        <v>9780826126153</v>
      </c>
      <c r="D1801" t="str">
        <f>"9780826197566"</f>
        <v>9780826197566</v>
      </c>
      <c r="E1801" t="s">
        <v>1504</v>
      </c>
      <c r="F1801" t="s">
        <v>33</v>
      </c>
      <c r="G1801" t="s">
        <v>22179</v>
      </c>
      <c r="H1801" t="s">
        <v>26004</v>
      </c>
      <c r="I1801" s="26">
        <v>38504</v>
      </c>
      <c r="J1801">
        <v>2005</v>
      </c>
      <c r="K1801" t="s">
        <v>33</v>
      </c>
      <c r="L1801">
        <v>208</v>
      </c>
      <c r="M1801" t="s">
        <v>32720</v>
      </c>
      <c r="N1801">
        <v>1</v>
      </c>
      <c r="O1801" t="s">
        <v>32580</v>
      </c>
      <c r="Q1801" t="s">
        <v>32721</v>
      </c>
      <c r="R1801" t="s">
        <v>32722</v>
      </c>
      <c r="S1801" t="s">
        <v>32723</v>
      </c>
      <c r="T1801" t="s">
        <v>30</v>
      </c>
      <c r="U1801" t="s">
        <v>26094</v>
      </c>
      <c r="W1801" t="s">
        <v>26009</v>
      </c>
    </row>
    <row r="1802" spans="1:23" x14ac:dyDescent="0.35">
      <c r="A1802">
        <v>423431</v>
      </c>
      <c r="B1802" t="s">
        <v>8194</v>
      </c>
      <c r="C1802" t="str">
        <f>"9780826190918"</f>
        <v>9780826190918</v>
      </c>
      <c r="D1802" t="str">
        <f>"9780826190925"</f>
        <v>9780826190925</v>
      </c>
      <c r="E1802" t="s">
        <v>1504</v>
      </c>
      <c r="F1802" t="s">
        <v>33</v>
      </c>
      <c r="G1802" t="s">
        <v>22179</v>
      </c>
      <c r="H1802" t="s">
        <v>26004</v>
      </c>
      <c r="I1802" s="26">
        <v>35217</v>
      </c>
      <c r="J1802">
        <v>1996</v>
      </c>
      <c r="K1802" t="s">
        <v>33</v>
      </c>
      <c r="L1802">
        <v>248</v>
      </c>
      <c r="M1802" t="s">
        <v>32724</v>
      </c>
      <c r="N1802">
        <v>1</v>
      </c>
      <c r="Q1802" t="s">
        <v>32725</v>
      </c>
      <c r="S1802" t="s">
        <v>32726</v>
      </c>
      <c r="T1802" t="s">
        <v>30</v>
      </c>
      <c r="U1802" t="s">
        <v>26044</v>
      </c>
      <c r="W1802" t="s">
        <v>26009</v>
      </c>
    </row>
    <row r="1803" spans="1:23" x14ac:dyDescent="0.35">
      <c r="A1803">
        <v>423433</v>
      </c>
      <c r="B1803" t="s">
        <v>32727</v>
      </c>
      <c r="C1803" t="str">
        <f>"9780826125088"</f>
        <v>9780826125088</v>
      </c>
      <c r="D1803" t="str">
        <f>"9780826125095"</f>
        <v>9780826125095</v>
      </c>
      <c r="E1803" t="s">
        <v>1504</v>
      </c>
      <c r="F1803" t="s">
        <v>33</v>
      </c>
      <c r="G1803" t="s">
        <v>22179</v>
      </c>
      <c r="H1803" t="s">
        <v>26004</v>
      </c>
      <c r="I1803" s="26">
        <v>39600</v>
      </c>
      <c r="J1803">
        <v>2008</v>
      </c>
      <c r="K1803" t="s">
        <v>33</v>
      </c>
      <c r="L1803">
        <v>279</v>
      </c>
      <c r="M1803" t="s">
        <v>32728</v>
      </c>
      <c r="N1803">
        <v>1</v>
      </c>
      <c r="O1803" t="s">
        <v>29939</v>
      </c>
      <c r="Q1803" t="s">
        <v>32729</v>
      </c>
      <c r="R1803">
        <v>362.88</v>
      </c>
      <c r="S1803" t="s">
        <v>32730</v>
      </c>
      <c r="T1803" t="s">
        <v>30</v>
      </c>
      <c r="U1803" t="s">
        <v>29407</v>
      </c>
      <c r="W1803" t="s">
        <v>26009</v>
      </c>
    </row>
    <row r="1804" spans="1:23" x14ac:dyDescent="0.35">
      <c r="A1804">
        <v>423437</v>
      </c>
      <c r="B1804" t="s">
        <v>32731</v>
      </c>
      <c r="C1804" t="str">
        <f>"9780826180117"</f>
        <v>9780826180117</v>
      </c>
      <c r="D1804" t="str">
        <f>"9780826197894"</f>
        <v>9780826197894</v>
      </c>
      <c r="E1804" t="s">
        <v>1504</v>
      </c>
      <c r="F1804" t="s">
        <v>33</v>
      </c>
      <c r="G1804" t="s">
        <v>22179</v>
      </c>
      <c r="H1804" t="s">
        <v>26004</v>
      </c>
      <c r="I1804" s="26">
        <v>38565</v>
      </c>
      <c r="J1804">
        <v>2005</v>
      </c>
      <c r="K1804" t="s">
        <v>33</v>
      </c>
      <c r="L1804">
        <v>300</v>
      </c>
      <c r="M1804" t="s">
        <v>32732</v>
      </c>
      <c r="N1804">
        <v>2</v>
      </c>
      <c r="Q1804" t="s">
        <v>32733</v>
      </c>
      <c r="S1804" t="s">
        <v>32734</v>
      </c>
      <c r="T1804" t="s">
        <v>30</v>
      </c>
      <c r="U1804" t="s">
        <v>26019</v>
      </c>
      <c r="W1804" t="s">
        <v>26009</v>
      </c>
    </row>
    <row r="1805" spans="1:23" x14ac:dyDescent="0.35">
      <c r="A1805">
        <v>423440</v>
      </c>
      <c r="B1805" t="s">
        <v>8257</v>
      </c>
      <c r="C1805" t="str">
        <f>"9780826111173"</f>
        <v>9780826111173</v>
      </c>
      <c r="D1805" t="str">
        <f>"9780826111180"</f>
        <v>9780826111180</v>
      </c>
      <c r="E1805" t="s">
        <v>1504</v>
      </c>
      <c r="F1805" t="s">
        <v>33</v>
      </c>
      <c r="G1805" t="s">
        <v>22179</v>
      </c>
      <c r="H1805" t="s">
        <v>26004</v>
      </c>
      <c r="I1805" s="26">
        <v>39692</v>
      </c>
      <c r="J1805">
        <v>2008</v>
      </c>
      <c r="K1805" t="s">
        <v>33</v>
      </c>
      <c r="L1805">
        <v>409</v>
      </c>
      <c r="M1805" t="s">
        <v>32735</v>
      </c>
      <c r="N1805">
        <v>1</v>
      </c>
      <c r="Q1805" t="s">
        <v>32736</v>
      </c>
      <c r="S1805" t="s">
        <v>32737</v>
      </c>
      <c r="T1805" t="s">
        <v>30</v>
      </c>
      <c r="U1805" t="s">
        <v>26019</v>
      </c>
      <c r="W1805" t="s">
        <v>26009</v>
      </c>
    </row>
    <row r="1806" spans="1:23" x14ac:dyDescent="0.35">
      <c r="A1806">
        <v>423443</v>
      </c>
      <c r="B1806" t="s">
        <v>32738</v>
      </c>
      <c r="C1806" t="str">
        <f>"9780826115638"</f>
        <v>9780826115638</v>
      </c>
      <c r="D1806" t="str">
        <f>"9780826115591"</f>
        <v>9780826115591</v>
      </c>
      <c r="E1806" t="s">
        <v>1504</v>
      </c>
      <c r="F1806" t="s">
        <v>33</v>
      </c>
      <c r="G1806" t="s">
        <v>22179</v>
      </c>
      <c r="H1806" t="s">
        <v>26004</v>
      </c>
      <c r="I1806" s="26">
        <v>37347</v>
      </c>
      <c r="J1806">
        <v>2002</v>
      </c>
      <c r="K1806" t="s">
        <v>33</v>
      </c>
      <c r="L1806">
        <v>129</v>
      </c>
      <c r="M1806" t="s">
        <v>32739</v>
      </c>
      <c r="N1806">
        <v>1</v>
      </c>
      <c r="Q1806" t="s">
        <v>32740</v>
      </c>
      <c r="S1806" t="s">
        <v>9456</v>
      </c>
      <c r="T1806" t="s">
        <v>30</v>
      </c>
      <c r="U1806" t="s">
        <v>26174</v>
      </c>
      <c r="W1806" t="s">
        <v>26009</v>
      </c>
    </row>
    <row r="1807" spans="1:23" x14ac:dyDescent="0.35">
      <c r="A1807">
        <v>423447</v>
      </c>
      <c r="B1807" t="s">
        <v>9575</v>
      </c>
      <c r="C1807" t="str">
        <f>"9780826132253"</f>
        <v>9780826132253</v>
      </c>
      <c r="D1807" t="str">
        <f>"9780826132260"</f>
        <v>9780826132260</v>
      </c>
      <c r="E1807" t="s">
        <v>1504</v>
      </c>
      <c r="F1807" t="s">
        <v>33</v>
      </c>
      <c r="G1807" t="s">
        <v>22179</v>
      </c>
      <c r="H1807" t="s">
        <v>26004</v>
      </c>
      <c r="I1807" s="26">
        <v>38718</v>
      </c>
      <c r="J1807">
        <v>2006</v>
      </c>
      <c r="K1807" t="s">
        <v>33</v>
      </c>
      <c r="L1807">
        <v>320</v>
      </c>
      <c r="M1807" t="s">
        <v>32741</v>
      </c>
      <c r="N1807">
        <v>1</v>
      </c>
      <c r="Q1807" t="s">
        <v>32742</v>
      </c>
      <c r="R1807" t="s">
        <v>27122</v>
      </c>
      <c r="S1807" t="s">
        <v>32743</v>
      </c>
      <c r="T1807" t="s">
        <v>30</v>
      </c>
      <c r="U1807" t="s">
        <v>26019</v>
      </c>
      <c r="W1807" t="s">
        <v>26009</v>
      </c>
    </row>
    <row r="1808" spans="1:23" x14ac:dyDescent="0.35">
      <c r="A1808">
        <v>423452</v>
      </c>
      <c r="B1808" t="s">
        <v>32744</v>
      </c>
      <c r="C1808" t="str">
        <f>"9780826114860"</f>
        <v>9780826114860</v>
      </c>
      <c r="D1808" t="str">
        <f>"9780826114761"</f>
        <v>9780826114761</v>
      </c>
      <c r="E1808" t="s">
        <v>1504</v>
      </c>
      <c r="F1808" t="s">
        <v>33</v>
      </c>
      <c r="G1808" t="s">
        <v>22179</v>
      </c>
      <c r="H1808" t="s">
        <v>26004</v>
      </c>
      <c r="I1808" s="26">
        <v>37257</v>
      </c>
      <c r="J1808">
        <v>2002</v>
      </c>
      <c r="K1808" t="s">
        <v>33</v>
      </c>
      <c r="L1808">
        <v>257</v>
      </c>
      <c r="M1808" t="s">
        <v>32745</v>
      </c>
      <c r="N1808">
        <v>1</v>
      </c>
      <c r="O1808" t="s">
        <v>32746</v>
      </c>
      <c r="Q1808" t="s">
        <v>32747</v>
      </c>
      <c r="S1808" t="s">
        <v>32748</v>
      </c>
      <c r="T1808" t="s">
        <v>30</v>
      </c>
      <c r="U1808" t="s">
        <v>26044</v>
      </c>
      <c r="W1808" t="s">
        <v>26009</v>
      </c>
    </row>
    <row r="1809" spans="1:23" x14ac:dyDescent="0.35">
      <c r="A1809">
        <v>423456</v>
      </c>
      <c r="B1809" t="s">
        <v>32749</v>
      </c>
      <c r="C1809" t="str">
        <f>"9780826128416"</f>
        <v>9780826128416</v>
      </c>
      <c r="D1809" t="str">
        <f>"9780826128423"</f>
        <v>9780826128423</v>
      </c>
      <c r="E1809" t="s">
        <v>1504</v>
      </c>
      <c r="F1809" t="s">
        <v>33</v>
      </c>
      <c r="G1809" t="s">
        <v>22179</v>
      </c>
      <c r="H1809" t="s">
        <v>26004</v>
      </c>
      <c r="I1809" s="26">
        <v>29221</v>
      </c>
      <c r="J1809">
        <v>1980</v>
      </c>
      <c r="K1809" t="s">
        <v>33</v>
      </c>
      <c r="L1809">
        <v>225</v>
      </c>
      <c r="M1809" t="s">
        <v>32750</v>
      </c>
      <c r="N1809">
        <v>1</v>
      </c>
      <c r="O1809" t="s">
        <v>32751</v>
      </c>
      <c r="P1809" t="s">
        <v>28376</v>
      </c>
      <c r="Q1809" t="s">
        <v>32752</v>
      </c>
      <c r="S1809" t="s">
        <v>32753</v>
      </c>
      <c r="T1809" t="s">
        <v>30</v>
      </c>
      <c r="U1809" t="s">
        <v>26040</v>
      </c>
      <c r="W1809" t="s">
        <v>26009</v>
      </c>
    </row>
    <row r="1810" spans="1:23" x14ac:dyDescent="0.35">
      <c r="A1810">
        <v>423458</v>
      </c>
      <c r="B1810" t="s">
        <v>32754</v>
      </c>
      <c r="C1810" t="str">
        <f>"9780826111784"</f>
        <v>9780826111784</v>
      </c>
      <c r="D1810" t="str">
        <f>"9780826117557"</f>
        <v>9780826117557</v>
      </c>
      <c r="E1810" t="s">
        <v>1504</v>
      </c>
      <c r="F1810" t="s">
        <v>33</v>
      </c>
      <c r="G1810" t="s">
        <v>22179</v>
      </c>
      <c r="H1810" t="s">
        <v>26004</v>
      </c>
      <c r="I1810" s="26">
        <v>39661</v>
      </c>
      <c r="J1810">
        <v>2008</v>
      </c>
      <c r="K1810" t="s">
        <v>33</v>
      </c>
      <c r="L1810">
        <v>250</v>
      </c>
      <c r="M1810" t="s">
        <v>32755</v>
      </c>
      <c r="N1810">
        <v>2</v>
      </c>
      <c r="Q1810" t="s">
        <v>32756</v>
      </c>
      <c r="S1810" t="s">
        <v>32757</v>
      </c>
      <c r="T1810" t="s">
        <v>30</v>
      </c>
      <c r="U1810" t="s">
        <v>26044</v>
      </c>
      <c r="W1810" t="s">
        <v>26009</v>
      </c>
    </row>
    <row r="1811" spans="1:23" x14ac:dyDescent="0.35">
      <c r="A1811">
        <v>423465</v>
      </c>
      <c r="B1811" t="s">
        <v>32758</v>
      </c>
      <c r="C1811" t="str">
        <f>"9780826136053"</f>
        <v>9780826136053</v>
      </c>
      <c r="D1811" t="str">
        <f>"9780826197610"</f>
        <v>9780826197610</v>
      </c>
      <c r="E1811" t="s">
        <v>1504</v>
      </c>
      <c r="F1811" t="s">
        <v>33</v>
      </c>
      <c r="G1811" t="s">
        <v>22179</v>
      </c>
      <c r="H1811" t="s">
        <v>26004</v>
      </c>
      <c r="I1811" s="26">
        <v>38718</v>
      </c>
      <c r="J1811">
        <v>2006</v>
      </c>
      <c r="K1811" t="s">
        <v>33</v>
      </c>
      <c r="L1811">
        <v>271</v>
      </c>
      <c r="M1811" t="s">
        <v>32759</v>
      </c>
      <c r="N1811">
        <v>1</v>
      </c>
      <c r="Q1811" t="s">
        <v>32760</v>
      </c>
      <c r="S1811" t="s">
        <v>8266</v>
      </c>
      <c r="T1811" t="s">
        <v>30</v>
      </c>
      <c r="U1811" t="s">
        <v>26044</v>
      </c>
      <c r="W1811" t="s">
        <v>26009</v>
      </c>
    </row>
    <row r="1812" spans="1:23" x14ac:dyDescent="0.35">
      <c r="A1812">
        <v>423473</v>
      </c>
      <c r="B1812" t="s">
        <v>8209</v>
      </c>
      <c r="C1812" t="str">
        <f>"9780826148995"</f>
        <v>9780826148995</v>
      </c>
      <c r="D1812" t="str">
        <f>"9780826148988"</f>
        <v>9780826148988</v>
      </c>
      <c r="E1812" t="s">
        <v>1504</v>
      </c>
      <c r="F1812" t="s">
        <v>33</v>
      </c>
      <c r="G1812" t="s">
        <v>22179</v>
      </c>
      <c r="H1812" t="s">
        <v>26004</v>
      </c>
      <c r="I1812" s="26">
        <v>37257</v>
      </c>
      <c r="J1812">
        <v>2002</v>
      </c>
      <c r="K1812" t="s">
        <v>33</v>
      </c>
      <c r="L1812">
        <v>536</v>
      </c>
      <c r="M1812" t="s">
        <v>32761</v>
      </c>
      <c r="N1812">
        <v>1</v>
      </c>
      <c r="Q1812" t="s">
        <v>32762</v>
      </c>
      <c r="S1812" t="s">
        <v>28906</v>
      </c>
      <c r="T1812" t="s">
        <v>30</v>
      </c>
      <c r="U1812" t="s">
        <v>26019</v>
      </c>
      <c r="W1812" t="s">
        <v>26009</v>
      </c>
    </row>
    <row r="1813" spans="1:23" x14ac:dyDescent="0.35">
      <c r="A1813">
        <v>423480</v>
      </c>
      <c r="B1813" t="s">
        <v>32763</v>
      </c>
      <c r="C1813" t="str">
        <f>"9780826199034"</f>
        <v>9780826199034</v>
      </c>
      <c r="D1813" t="str">
        <f>"9780826199041"</f>
        <v>9780826199041</v>
      </c>
      <c r="E1813" t="s">
        <v>1504</v>
      </c>
      <c r="F1813" t="s">
        <v>33</v>
      </c>
      <c r="G1813" t="s">
        <v>22179</v>
      </c>
      <c r="H1813" t="s">
        <v>26004</v>
      </c>
      <c r="I1813" s="26">
        <v>39873</v>
      </c>
      <c r="J1813">
        <v>2009</v>
      </c>
      <c r="K1813" t="s">
        <v>33</v>
      </c>
      <c r="L1813">
        <v>681</v>
      </c>
      <c r="M1813" t="s">
        <v>32764</v>
      </c>
      <c r="N1813">
        <v>1</v>
      </c>
      <c r="Q1813" t="s">
        <v>32765</v>
      </c>
      <c r="S1813" t="s">
        <v>32766</v>
      </c>
      <c r="T1813" t="s">
        <v>30</v>
      </c>
      <c r="U1813" t="s">
        <v>26094</v>
      </c>
      <c r="W1813" t="s">
        <v>26009</v>
      </c>
    </row>
    <row r="1814" spans="1:23" x14ac:dyDescent="0.35">
      <c r="A1814">
        <v>423481</v>
      </c>
      <c r="B1814" t="s">
        <v>32767</v>
      </c>
      <c r="C1814" t="str">
        <f>"9780826132147"</f>
        <v>9780826132147</v>
      </c>
      <c r="D1814" t="str">
        <f>"9780826132154"</f>
        <v>9780826132154</v>
      </c>
      <c r="E1814" t="s">
        <v>1504</v>
      </c>
      <c r="F1814" t="s">
        <v>33</v>
      </c>
      <c r="G1814" t="s">
        <v>22179</v>
      </c>
      <c r="H1814" t="s">
        <v>26004</v>
      </c>
      <c r="I1814" s="26">
        <v>38718</v>
      </c>
      <c r="J1814">
        <v>2006</v>
      </c>
      <c r="K1814" t="s">
        <v>33</v>
      </c>
      <c r="L1814">
        <v>260</v>
      </c>
      <c r="M1814" t="s">
        <v>32768</v>
      </c>
      <c r="N1814">
        <v>1</v>
      </c>
      <c r="Q1814" t="s">
        <v>32769</v>
      </c>
      <c r="R1814" t="s">
        <v>32770</v>
      </c>
      <c r="S1814" t="s">
        <v>32771</v>
      </c>
      <c r="T1814" t="s">
        <v>30</v>
      </c>
      <c r="U1814" t="s">
        <v>32772</v>
      </c>
      <c r="W1814" t="s">
        <v>26009</v>
      </c>
    </row>
    <row r="1815" spans="1:23" x14ac:dyDescent="0.35">
      <c r="A1815">
        <v>423483</v>
      </c>
      <c r="B1815" t="s">
        <v>32773</v>
      </c>
      <c r="C1815" t="str">
        <f>"9780826191823"</f>
        <v>9780826191823</v>
      </c>
      <c r="D1815" t="str">
        <f>"9780826191830"</f>
        <v>9780826191830</v>
      </c>
      <c r="E1815" t="s">
        <v>1504</v>
      </c>
      <c r="F1815" t="s">
        <v>1504</v>
      </c>
      <c r="G1815" t="s">
        <v>22179</v>
      </c>
      <c r="H1815" t="s">
        <v>26004</v>
      </c>
      <c r="I1815" s="26">
        <v>37622</v>
      </c>
      <c r="J1815">
        <v>2006</v>
      </c>
      <c r="K1815" t="s">
        <v>1504</v>
      </c>
      <c r="L1815">
        <v>217</v>
      </c>
      <c r="M1815" t="s">
        <v>32774</v>
      </c>
      <c r="N1815">
        <v>2</v>
      </c>
      <c r="Q1815" t="s">
        <v>32775</v>
      </c>
      <c r="R1815" t="s">
        <v>32776</v>
      </c>
      <c r="S1815" t="s">
        <v>32777</v>
      </c>
      <c r="T1815" t="s">
        <v>30</v>
      </c>
      <c r="U1815" t="s">
        <v>26174</v>
      </c>
      <c r="W1815" t="s">
        <v>26009</v>
      </c>
    </row>
    <row r="1816" spans="1:23" x14ac:dyDescent="0.35">
      <c r="A1816">
        <v>423485</v>
      </c>
      <c r="B1816" t="s">
        <v>32778</v>
      </c>
      <c r="C1816" t="str">
        <f>"9780826192707"</f>
        <v>9780826192707</v>
      </c>
      <c r="D1816" t="str">
        <f>"9780826192714"</f>
        <v>9780826192714</v>
      </c>
      <c r="E1816" t="s">
        <v>1504</v>
      </c>
      <c r="F1816" t="s">
        <v>33</v>
      </c>
      <c r="G1816" t="s">
        <v>22179</v>
      </c>
      <c r="H1816" t="s">
        <v>26004</v>
      </c>
      <c r="I1816" s="26">
        <v>35247</v>
      </c>
      <c r="J1816">
        <v>1996</v>
      </c>
      <c r="K1816" t="s">
        <v>33</v>
      </c>
      <c r="L1816">
        <v>416</v>
      </c>
      <c r="M1816" t="s">
        <v>32779</v>
      </c>
      <c r="N1816">
        <v>1</v>
      </c>
      <c r="Q1816" t="s">
        <v>32780</v>
      </c>
      <c r="R1816">
        <v>305.24</v>
      </c>
      <c r="S1816" t="s">
        <v>32781</v>
      </c>
      <c r="T1816" t="s">
        <v>30</v>
      </c>
      <c r="U1816" t="s">
        <v>26228</v>
      </c>
      <c r="W1816" t="s">
        <v>26009</v>
      </c>
    </row>
    <row r="1817" spans="1:23" x14ac:dyDescent="0.35">
      <c r="A1817">
        <v>423489</v>
      </c>
      <c r="B1817" t="s">
        <v>32782</v>
      </c>
      <c r="C1817" t="str">
        <f>"9780826175625"</f>
        <v>9780826175625</v>
      </c>
      <c r="D1817" t="str">
        <f>"9780826175632"</f>
        <v>9780826175632</v>
      </c>
      <c r="E1817" t="s">
        <v>1504</v>
      </c>
      <c r="F1817" t="s">
        <v>33</v>
      </c>
      <c r="G1817" t="s">
        <v>22179</v>
      </c>
      <c r="H1817" t="s">
        <v>26004</v>
      </c>
      <c r="I1817" s="26">
        <v>35796</v>
      </c>
      <c r="J1817">
        <v>1998</v>
      </c>
      <c r="K1817" t="s">
        <v>33</v>
      </c>
      <c r="L1817">
        <v>281</v>
      </c>
      <c r="M1817" t="s">
        <v>32783</v>
      </c>
      <c r="N1817">
        <v>2</v>
      </c>
      <c r="Q1817" t="s">
        <v>32784</v>
      </c>
      <c r="S1817" t="s">
        <v>8716</v>
      </c>
      <c r="T1817" t="s">
        <v>30</v>
      </c>
      <c r="U1817" t="s">
        <v>26116</v>
      </c>
      <c r="W1817" t="s">
        <v>26009</v>
      </c>
    </row>
    <row r="1818" spans="1:23" x14ac:dyDescent="0.35">
      <c r="A1818">
        <v>423490</v>
      </c>
      <c r="B1818" t="s">
        <v>8346</v>
      </c>
      <c r="C1818" t="str">
        <f>"9780826113481"</f>
        <v>9780826113481</v>
      </c>
      <c r="D1818" t="str">
        <f>"9780826116680"</f>
        <v>9780826116680</v>
      </c>
      <c r="E1818" t="s">
        <v>1504</v>
      </c>
      <c r="F1818" t="s">
        <v>33</v>
      </c>
      <c r="G1818" t="s">
        <v>22179</v>
      </c>
      <c r="H1818" t="s">
        <v>26004</v>
      </c>
      <c r="I1818" s="26">
        <v>36739</v>
      </c>
      <c r="J1818">
        <v>2000</v>
      </c>
      <c r="K1818" t="s">
        <v>33</v>
      </c>
      <c r="L1818">
        <v>358</v>
      </c>
      <c r="M1818" t="s">
        <v>32785</v>
      </c>
      <c r="N1818">
        <v>1</v>
      </c>
      <c r="Q1818" t="s">
        <v>32786</v>
      </c>
      <c r="S1818" t="s">
        <v>32787</v>
      </c>
      <c r="T1818" t="s">
        <v>30</v>
      </c>
      <c r="U1818" t="s">
        <v>46</v>
      </c>
      <c r="W1818" t="s">
        <v>26009</v>
      </c>
    </row>
    <row r="1819" spans="1:23" x14ac:dyDescent="0.35">
      <c r="A1819">
        <v>423497</v>
      </c>
      <c r="B1819" t="s">
        <v>32788</v>
      </c>
      <c r="C1819" t="str">
        <f>"9780826138828"</f>
        <v>9780826138828</v>
      </c>
      <c r="D1819" t="str">
        <f>"9780826197658"</f>
        <v>9780826197658</v>
      </c>
      <c r="E1819" t="s">
        <v>1504</v>
      </c>
      <c r="F1819" t="s">
        <v>33</v>
      </c>
      <c r="G1819" t="s">
        <v>22179</v>
      </c>
      <c r="H1819" t="s">
        <v>26004</v>
      </c>
      <c r="I1819" s="26">
        <v>37408</v>
      </c>
      <c r="J1819">
        <v>2002</v>
      </c>
      <c r="K1819" t="s">
        <v>33</v>
      </c>
      <c r="L1819">
        <v>483</v>
      </c>
      <c r="M1819" t="s">
        <v>32789</v>
      </c>
      <c r="N1819">
        <v>1</v>
      </c>
      <c r="Q1819" t="s">
        <v>32790</v>
      </c>
      <c r="R1819" t="s">
        <v>32791</v>
      </c>
      <c r="S1819" t="s">
        <v>32792</v>
      </c>
      <c r="T1819" t="s">
        <v>30</v>
      </c>
      <c r="U1819" t="s">
        <v>32793</v>
      </c>
      <c r="W1819" t="s">
        <v>26009</v>
      </c>
    </row>
    <row r="1820" spans="1:23" x14ac:dyDescent="0.35">
      <c r="A1820">
        <v>423498</v>
      </c>
      <c r="B1820" t="s">
        <v>32794</v>
      </c>
      <c r="C1820" t="str">
        <f>"9780826124722"</f>
        <v>9780826124722</v>
      </c>
      <c r="D1820" t="str">
        <f>"9780826124739"</f>
        <v>9780826124739</v>
      </c>
      <c r="E1820" t="s">
        <v>1504</v>
      </c>
      <c r="F1820" t="s">
        <v>33</v>
      </c>
      <c r="G1820" t="s">
        <v>22179</v>
      </c>
      <c r="H1820" t="s">
        <v>26004</v>
      </c>
      <c r="I1820" s="26">
        <v>39539</v>
      </c>
      <c r="J1820">
        <v>2008</v>
      </c>
      <c r="K1820" t="s">
        <v>33</v>
      </c>
      <c r="L1820">
        <v>545</v>
      </c>
      <c r="M1820" t="s">
        <v>32795</v>
      </c>
      <c r="N1820">
        <v>1</v>
      </c>
      <c r="Q1820" t="s">
        <v>32796</v>
      </c>
      <c r="R1820" t="s">
        <v>28597</v>
      </c>
      <c r="S1820" t="s">
        <v>32797</v>
      </c>
      <c r="T1820" t="s">
        <v>30</v>
      </c>
      <c r="U1820" t="s">
        <v>26040</v>
      </c>
      <c r="W1820" t="s">
        <v>26009</v>
      </c>
    </row>
    <row r="1821" spans="1:23" x14ac:dyDescent="0.35">
      <c r="A1821">
        <v>423500</v>
      </c>
      <c r="B1821" t="s">
        <v>32798</v>
      </c>
      <c r="C1821" t="str">
        <f>"9780826128843"</f>
        <v>9780826128843</v>
      </c>
      <c r="D1821" t="str">
        <f>"9780826128850"</f>
        <v>9780826128850</v>
      </c>
      <c r="E1821" t="s">
        <v>1504</v>
      </c>
      <c r="F1821" t="s">
        <v>33</v>
      </c>
      <c r="G1821" t="s">
        <v>22179</v>
      </c>
      <c r="H1821" t="s">
        <v>26004</v>
      </c>
      <c r="I1821" s="26">
        <v>38718</v>
      </c>
      <c r="J1821">
        <v>2006</v>
      </c>
      <c r="K1821" t="s">
        <v>33</v>
      </c>
      <c r="L1821">
        <v>369</v>
      </c>
      <c r="M1821" t="s">
        <v>32799</v>
      </c>
      <c r="N1821">
        <v>1</v>
      </c>
      <c r="Q1821" t="s">
        <v>32800</v>
      </c>
      <c r="R1821" t="s">
        <v>32801</v>
      </c>
      <c r="S1821" t="s">
        <v>32802</v>
      </c>
      <c r="T1821" t="s">
        <v>30</v>
      </c>
      <c r="U1821" t="s">
        <v>26019</v>
      </c>
      <c r="W1821" t="s">
        <v>26009</v>
      </c>
    </row>
    <row r="1822" spans="1:23" x14ac:dyDescent="0.35">
      <c r="A1822">
        <v>423501</v>
      </c>
      <c r="B1822" t="s">
        <v>9278</v>
      </c>
      <c r="C1822" t="str">
        <f>"9780826170132"</f>
        <v>9780826170132</v>
      </c>
      <c r="D1822" t="str">
        <f>"9780826170149"</f>
        <v>9780826170149</v>
      </c>
      <c r="E1822" t="s">
        <v>1504</v>
      </c>
      <c r="F1822" t="s">
        <v>33</v>
      </c>
      <c r="G1822" t="s">
        <v>22179</v>
      </c>
      <c r="H1822" t="s">
        <v>26004</v>
      </c>
      <c r="I1822" s="26">
        <v>38838</v>
      </c>
      <c r="J1822">
        <v>2002</v>
      </c>
      <c r="K1822" t="s">
        <v>33</v>
      </c>
      <c r="L1822">
        <v>401</v>
      </c>
      <c r="M1822" t="s">
        <v>32803</v>
      </c>
      <c r="N1822">
        <v>1</v>
      </c>
      <c r="Q1822" t="s">
        <v>32804</v>
      </c>
      <c r="R1822">
        <v>155.93708459999999</v>
      </c>
      <c r="S1822" t="s">
        <v>32805</v>
      </c>
      <c r="T1822" t="s">
        <v>30</v>
      </c>
      <c r="U1822" t="s">
        <v>46</v>
      </c>
      <c r="W1822" t="s">
        <v>26009</v>
      </c>
    </row>
    <row r="1823" spans="1:23" x14ac:dyDescent="0.35">
      <c r="A1823">
        <v>423502</v>
      </c>
      <c r="B1823" t="s">
        <v>10117</v>
      </c>
      <c r="C1823" t="str">
        <f>"9780826159953"</f>
        <v>9780826159953</v>
      </c>
      <c r="D1823" t="str">
        <f>"9780826159960"</f>
        <v>9780826159960</v>
      </c>
      <c r="E1823" t="s">
        <v>1504</v>
      </c>
      <c r="F1823" t="s">
        <v>33</v>
      </c>
      <c r="G1823" t="s">
        <v>22179</v>
      </c>
      <c r="H1823" t="s">
        <v>26004</v>
      </c>
      <c r="I1823" s="26">
        <v>39630</v>
      </c>
      <c r="J1823">
        <v>2008</v>
      </c>
      <c r="K1823" t="s">
        <v>33</v>
      </c>
      <c r="L1823">
        <v>225</v>
      </c>
      <c r="M1823" t="s">
        <v>32806</v>
      </c>
      <c r="N1823">
        <v>1</v>
      </c>
      <c r="Q1823" t="s">
        <v>32807</v>
      </c>
      <c r="S1823" t="s">
        <v>32808</v>
      </c>
      <c r="T1823" t="s">
        <v>30</v>
      </c>
      <c r="U1823" t="s">
        <v>26019</v>
      </c>
      <c r="W1823" t="s">
        <v>26009</v>
      </c>
    </row>
    <row r="1824" spans="1:23" x14ac:dyDescent="0.35">
      <c r="A1824">
        <v>423504</v>
      </c>
      <c r="B1824" t="s">
        <v>32809</v>
      </c>
      <c r="C1824" t="str">
        <f>"9780826117144"</f>
        <v>9780826117144</v>
      </c>
      <c r="D1824" t="str">
        <f>"9780826197290"</f>
        <v>9780826197290</v>
      </c>
      <c r="E1824" t="s">
        <v>1504</v>
      </c>
      <c r="F1824" t="s">
        <v>33</v>
      </c>
      <c r="G1824" t="s">
        <v>22179</v>
      </c>
      <c r="H1824" t="s">
        <v>26004</v>
      </c>
      <c r="I1824" s="26">
        <v>37773</v>
      </c>
      <c r="J1824">
        <v>2003</v>
      </c>
      <c r="K1824" t="s">
        <v>33</v>
      </c>
      <c r="L1824">
        <v>247</v>
      </c>
      <c r="M1824" t="s">
        <v>32810</v>
      </c>
      <c r="N1824">
        <v>1</v>
      </c>
      <c r="Q1824" t="s">
        <v>32811</v>
      </c>
      <c r="R1824" t="s">
        <v>32812</v>
      </c>
      <c r="S1824" t="s">
        <v>32813</v>
      </c>
      <c r="T1824" t="s">
        <v>30</v>
      </c>
      <c r="U1824" t="s">
        <v>26174</v>
      </c>
      <c r="W1824" t="s">
        <v>26009</v>
      </c>
    </row>
    <row r="1825" spans="1:23" x14ac:dyDescent="0.35">
      <c r="A1825">
        <v>423509</v>
      </c>
      <c r="B1825" t="s">
        <v>32814</v>
      </c>
      <c r="C1825" t="str">
        <f>"9780826102621"</f>
        <v>9780826102621</v>
      </c>
      <c r="D1825" t="str">
        <f>"9780826104908"</f>
        <v>9780826104908</v>
      </c>
      <c r="E1825" t="s">
        <v>1504</v>
      </c>
      <c r="F1825" t="s">
        <v>33</v>
      </c>
      <c r="G1825" t="s">
        <v>22179</v>
      </c>
      <c r="H1825" t="s">
        <v>26004</v>
      </c>
      <c r="I1825" s="26">
        <v>38777</v>
      </c>
      <c r="J1825">
        <v>1999</v>
      </c>
      <c r="K1825" t="s">
        <v>33</v>
      </c>
      <c r="L1825">
        <v>288</v>
      </c>
      <c r="M1825" t="s">
        <v>32815</v>
      </c>
      <c r="N1825">
        <v>1</v>
      </c>
      <c r="Q1825" t="s">
        <v>32816</v>
      </c>
      <c r="R1825" t="s">
        <v>32817</v>
      </c>
      <c r="S1825" t="s">
        <v>32818</v>
      </c>
      <c r="T1825" t="s">
        <v>30</v>
      </c>
      <c r="U1825" t="s">
        <v>46</v>
      </c>
      <c r="W1825" t="s">
        <v>26009</v>
      </c>
    </row>
    <row r="1826" spans="1:23" x14ac:dyDescent="0.35">
      <c r="A1826">
        <v>423519</v>
      </c>
      <c r="B1826" t="s">
        <v>32819</v>
      </c>
      <c r="C1826" t="str">
        <f>"9780826102751"</f>
        <v>9780826102751</v>
      </c>
      <c r="D1826" t="str">
        <f>"9780826117236"</f>
        <v>9780826117236</v>
      </c>
      <c r="E1826" t="s">
        <v>1504</v>
      </c>
      <c r="F1826" t="s">
        <v>33</v>
      </c>
      <c r="G1826" t="s">
        <v>22179</v>
      </c>
      <c r="H1826" t="s">
        <v>26004</v>
      </c>
      <c r="I1826" s="26">
        <v>36161</v>
      </c>
      <c r="J1826">
        <v>2006</v>
      </c>
      <c r="K1826" t="s">
        <v>33</v>
      </c>
      <c r="L1826">
        <v>311</v>
      </c>
      <c r="M1826" t="s">
        <v>32820</v>
      </c>
      <c r="N1826">
        <v>1</v>
      </c>
      <c r="O1826" t="s">
        <v>32821</v>
      </c>
      <c r="Q1826" t="s">
        <v>32822</v>
      </c>
      <c r="R1826">
        <v>362.6</v>
      </c>
      <c r="S1826" t="s">
        <v>32823</v>
      </c>
      <c r="T1826" t="s">
        <v>30</v>
      </c>
      <c r="U1826" t="s">
        <v>26044</v>
      </c>
      <c r="W1826" t="s">
        <v>26009</v>
      </c>
    </row>
    <row r="1827" spans="1:23" x14ac:dyDescent="0.35">
      <c r="A1827">
        <v>423522</v>
      </c>
      <c r="B1827" t="s">
        <v>7986</v>
      </c>
      <c r="C1827" t="str">
        <f>"9780826115416"</f>
        <v>9780826115416</v>
      </c>
      <c r="D1827" t="str">
        <f>"9780826117328"</f>
        <v>9780826117328</v>
      </c>
      <c r="E1827" t="s">
        <v>1504</v>
      </c>
      <c r="F1827" t="s">
        <v>33</v>
      </c>
      <c r="G1827" t="s">
        <v>22179</v>
      </c>
      <c r="H1827" t="s">
        <v>26004</v>
      </c>
      <c r="I1827" s="26">
        <v>27454</v>
      </c>
      <c r="J1827">
        <v>1975</v>
      </c>
      <c r="K1827" t="s">
        <v>33</v>
      </c>
      <c r="L1827">
        <v>314</v>
      </c>
      <c r="M1827" t="s">
        <v>32824</v>
      </c>
      <c r="N1827">
        <v>1</v>
      </c>
      <c r="Q1827" t="s">
        <v>32825</v>
      </c>
      <c r="S1827" t="s">
        <v>32826</v>
      </c>
      <c r="T1827" t="s">
        <v>30</v>
      </c>
      <c r="U1827" t="s">
        <v>26040</v>
      </c>
      <c r="W1827" t="s">
        <v>26009</v>
      </c>
    </row>
    <row r="1828" spans="1:23" x14ac:dyDescent="0.35">
      <c r="A1828">
        <v>423525</v>
      </c>
      <c r="B1828" t="s">
        <v>32827</v>
      </c>
      <c r="C1828" t="str">
        <f>"9780826100887"</f>
        <v>9780826100887</v>
      </c>
      <c r="D1828" t="str">
        <f>"9780826171313"</f>
        <v>9780826171313</v>
      </c>
      <c r="E1828" t="s">
        <v>1504</v>
      </c>
      <c r="F1828" t="s">
        <v>33</v>
      </c>
      <c r="G1828" t="s">
        <v>22179</v>
      </c>
      <c r="H1828" t="s">
        <v>26004</v>
      </c>
      <c r="I1828" s="26">
        <v>33604</v>
      </c>
      <c r="J1828">
        <v>1992</v>
      </c>
      <c r="K1828" t="s">
        <v>33</v>
      </c>
      <c r="L1828">
        <v>225</v>
      </c>
      <c r="M1828" t="s">
        <v>32828</v>
      </c>
      <c r="N1828">
        <v>1</v>
      </c>
      <c r="Q1828" t="s">
        <v>32829</v>
      </c>
      <c r="R1828" t="s">
        <v>32830</v>
      </c>
      <c r="S1828" t="s">
        <v>32831</v>
      </c>
      <c r="T1828" t="s">
        <v>30</v>
      </c>
      <c r="U1828" t="s">
        <v>26044</v>
      </c>
      <c r="W1828" t="s">
        <v>26009</v>
      </c>
    </row>
    <row r="1829" spans="1:23" x14ac:dyDescent="0.35">
      <c r="A1829">
        <v>423541</v>
      </c>
      <c r="B1829" t="s">
        <v>32832</v>
      </c>
      <c r="C1829" t="str">
        <f>"9780826121752"</f>
        <v>9780826121752</v>
      </c>
      <c r="D1829" t="str">
        <f>"9780826197399"</f>
        <v>9780826197399</v>
      </c>
      <c r="E1829" t="s">
        <v>1504</v>
      </c>
      <c r="F1829" t="s">
        <v>33</v>
      </c>
      <c r="G1829" t="s">
        <v>22179</v>
      </c>
      <c r="H1829" t="s">
        <v>26004</v>
      </c>
      <c r="I1829" s="26">
        <v>37926</v>
      </c>
      <c r="J1829">
        <v>2003</v>
      </c>
      <c r="K1829" t="s">
        <v>33</v>
      </c>
      <c r="L1829">
        <v>313</v>
      </c>
      <c r="M1829" t="s">
        <v>32833</v>
      </c>
      <c r="N1829">
        <v>1</v>
      </c>
      <c r="Q1829" t="s">
        <v>32834</v>
      </c>
      <c r="R1829" t="s">
        <v>26980</v>
      </c>
      <c r="S1829" t="s">
        <v>32835</v>
      </c>
      <c r="T1829" t="s">
        <v>30</v>
      </c>
      <c r="U1829" t="s">
        <v>26019</v>
      </c>
      <c r="W1829" t="s">
        <v>26009</v>
      </c>
    </row>
    <row r="1830" spans="1:23" x14ac:dyDescent="0.35">
      <c r="A1830">
        <v>423543</v>
      </c>
      <c r="B1830" t="s">
        <v>8354</v>
      </c>
      <c r="C1830" t="str">
        <f>"9780826121875"</f>
        <v>9780826121875</v>
      </c>
      <c r="D1830" t="str">
        <f>"9780826121882"</f>
        <v>9780826121882</v>
      </c>
      <c r="E1830" t="s">
        <v>1504</v>
      </c>
      <c r="F1830" t="s">
        <v>33</v>
      </c>
      <c r="G1830" t="s">
        <v>22179</v>
      </c>
      <c r="H1830" t="s">
        <v>26004</v>
      </c>
      <c r="I1830" s="26">
        <v>38169</v>
      </c>
      <c r="J1830">
        <v>2004</v>
      </c>
      <c r="K1830" t="s">
        <v>33</v>
      </c>
      <c r="L1830">
        <v>209</v>
      </c>
      <c r="M1830" t="s">
        <v>32836</v>
      </c>
      <c r="N1830">
        <v>1</v>
      </c>
      <c r="Q1830" t="s">
        <v>32837</v>
      </c>
      <c r="R1830" t="s">
        <v>30751</v>
      </c>
      <c r="S1830" t="s">
        <v>32838</v>
      </c>
      <c r="T1830" t="s">
        <v>30</v>
      </c>
      <c r="U1830" t="s">
        <v>26116</v>
      </c>
      <c r="W1830" t="s">
        <v>26009</v>
      </c>
    </row>
    <row r="1831" spans="1:23" x14ac:dyDescent="0.35">
      <c r="A1831">
        <v>423547</v>
      </c>
      <c r="B1831" t="s">
        <v>32839</v>
      </c>
      <c r="C1831" t="str">
        <f>"9780826102188"</f>
        <v>9780826102188</v>
      </c>
      <c r="D1831" t="str">
        <f>"9780826103475"</f>
        <v>9780826103475</v>
      </c>
      <c r="E1831" t="s">
        <v>1504</v>
      </c>
      <c r="F1831" t="s">
        <v>33</v>
      </c>
      <c r="G1831" t="s">
        <v>22179</v>
      </c>
      <c r="H1831" t="s">
        <v>26004</v>
      </c>
      <c r="I1831" s="26">
        <v>39083</v>
      </c>
      <c r="J1831">
        <v>2007</v>
      </c>
      <c r="K1831" t="s">
        <v>33</v>
      </c>
      <c r="L1831">
        <v>232</v>
      </c>
      <c r="M1831" t="s">
        <v>32840</v>
      </c>
      <c r="N1831">
        <v>1</v>
      </c>
      <c r="Q1831" t="s">
        <v>32841</v>
      </c>
      <c r="S1831" t="s">
        <v>32842</v>
      </c>
      <c r="T1831" t="s">
        <v>30</v>
      </c>
      <c r="U1831" t="s">
        <v>26040</v>
      </c>
      <c r="W1831" t="s">
        <v>26009</v>
      </c>
    </row>
    <row r="1832" spans="1:23" x14ac:dyDescent="0.35">
      <c r="A1832">
        <v>423548</v>
      </c>
      <c r="B1832" t="s">
        <v>32843</v>
      </c>
      <c r="C1832" t="str">
        <f>"9780826149428"</f>
        <v>9780826149428</v>
      </c>
      <c r="D1832" t="str">
        <f>"9780826149435"</f>
        <v>9780826149435</v>
      </c>
      <c r="E1832" t="s">
        <v>1504</v>
      </c>
      <c r="F1832" t="s">
        <v>33</v>
      </c>
      <c r="G1832" t="s">
        <v>22179</v>
      </c>
      <c r="H1832" t="s">
        <v>26004</v>
      </c>
      <c r="I1832" s="26">
        <v>37257</v>
      </c>
      <c r="J1832">
        <v>2002</v>
      </c>
      <c r="K1832" t="s">
        <v>33</v>
      </c>
      <c r="L1832">
        <v>239</v>
      </c>
      <c r="M1832" t="s">
        <v>32844</v>
      </c>
      <c r="N1832">
        <v>1</v>
      </c>
      <c r="Q1832" t="s">
        <v>32845</v>
      </c>
      <c r="S1832" t="s">
        <v>32846</v>
      </c>
      <c r="T1832" t="s">
        <v>30</v>
      </c>
      <c r="U1832" t="s">
        <v>26019</v>
      </c>
      <c r="W1832" t="s">
        <v>26009</v>
      </c>
    </row>
    <row r="1833" spans="1:23" x14ac:dyDescent="0.35">
      <c r="A1833">
        <v>423550</v>
      </c>
      <c r="B1833" t="s">
        <v>32847</v>
      </c>
      <c r="C1833" t="str">
        <f>"9780826134455"</f>
        <v>9780826134455</v>
      </c>
      <c r="D1833" t="str">
        <f>"9780826134462"</f>
        <v>9780826134462</v>
      </c>
      <c r="E1833" t="s">
        <v>1504</v>
      </c>
      <c r="F1833" t="s">
        <v>33</v>
      </c>
      <c r="G1833" t="s">
        <v>22179</v>
      </c>
      <c r="H1833" t="s">
        <v>26004</v>
      </c>
      <c r="I1833" s="26">
        <v>38108</v>
      </c>
      <c r="J1833">
        <v>2004</v>
      </c>
      <c r="K1833" t="s">
        <v>33</v>
      </c>
      <c r="L1833">
        <v>321</v>
      </c>
      <c r="M1833" t="s">
        <v>32848</v>
      </c>
      <c r="N1833">
        <v>1</v>
      </c>
      <c r="Q1833" t="s">
        <v>32849</v>
      </c>
      <c r="R1833" t="s">
        <v>32850</v>
      </c>
      <c r="S1833" t="s">
        <v>32851</v>
      </c>
      <c r="T1833" t="s">
        <v>30</v>
      </c>
      <c r="U1833" t="s">
        <v>26174</v>
      </c>
      <c r="W1833" t="s">
        <v>26009</v>
      </c>
    </row>
    <row r="1834" spans="1:23" x14ac:dyDescent="0.35">
      <c r="A1834">
        <v>423551</v>
      </c>
      <c r="B1834" t="s">
        <v>32852</v>
      </c>
      <c r="C1834" t="str">
        <f>"9780826116437"</f>
        <v>9780826116437</v>
      </c>
      <c r="D1834" t="str">
        <f>"9780826116376"</f>
        <v>9780826116376</v>
      </c>
      <c r="E1834" t="s">
        <v>1504</v>
      </c>
      <c r="F1834" t="s">
        <v>33</v>
      </c>
      <c r="G1834" t="s">
        <v>22179</v>
      </c>
      <c r="H1834" t="s">
        <v>26004</v>
      </c>
      <c r="I1834" s="26">
        <v>37622</v>
      </c>
      <c r="J1834">
        <v>2003</v>
      </c>
      <c r="K1834" t="s">
        <v>33</v>
      </c>
      <c r="L1834">
        <v>177</v>
      </c>
      <c r="M1834" t="s">
        <v>32853</v>
      </c>
      <c r="N1834">
        <v>1</v>
      </c>
      <c r="Q1834" t="s">
        <v>32854</v>
      </c>
      <c r="R1834">
        <v>362.6</v>
      </c>
      <c r="S1834" t="s">
        <v>32855</v>
      </c>
      <c r="T1834" t="s">
        <v>30</v>
      </c>
      <c r="U1834" t="s">
        <v>26094</v>
      </c>
      <c r="W1834" t="s">
        <v>26009</v>
      </c>
    </row>
    <row r="1835" spans="1:23" x14ac:dyDescent="0.35">
      <c r="A1835">
        <v>423557</v>
      </c>
      <c r="B1835" t="s">
        <v>9604</v>
      </c>
      <c r="C1835" t="str">
        <f>""</f>
        <v/>
      </c>
      <c r="D1835" t="str">
        <f>"9780826117014"</f>
        <v>9780826117014</v>
      </c>
      <c r="E1835" t="s">
        <v>1504</v>
      </c>
      <c r="F1835" t="s">
        <v>33</v>
      </c>
      <c r="G1835" t="s">
        <v>22179</v>
      </c>
      <c r="H1835" t="s">
        <v>26004</v>
      </c>
      <c r="I1835" s="26">
        <v>36526</v>
      </c>
      <c r="J1835">
        <v>2000</v>
      </c>
      <c r="K1835" t="s">
        <v>33</v>
      </c>
      <c r="L1835">
        <v>329</v>
      </c>
      <c r="M1835" t="s">
        <v>32856</v>
      </c>
      <c r="N1835">
        <v>3</v>
      </c>
      <c r="Q1835" t="s">
        <v>32857</v>
      </c>
      <c r="R1835">
        <v>155.93700000000001</v>
      </c>
      <c r="S1835" t="s">
        <v>32858</v>
      </c>
      <c r="T1835" t="s">
        <v>30</v>
      </c>
      <c r="U1835" t="s">
        <v>46</v>
      </c>
      <c r="W1835" t="s">
        <v>26009</v>
      </c>
    </row>
    <row r="1836" spans="1:23" x14ac:dyDescent="0.35">
      <c r="A1836">
        <v>423572</v>
      </c>
      <c r="B1836" t="s">
        <v>32859</v>
      </c>
      <c r="C1836" t="str">
        <f>"9780826150424"</f>
        <v>9780826150424</v>
      </c>
      <c r="D1836" t="str">
        <f>"9780826150431"</f>
        <v>9780826150431</v>
      </c>
      <c r="E1836" t="s">
        <v>1504</v>
      </c>
      <c r="F1836" t="s">
        <v>33</v>
      </c>
      <c r="G1836" t="s">
        <v>22179</v>
      </c>
      <c r="H1836" t="s">
        <v>26004</v>
      </c>
      <c r="I1836" s="26">
        <v>37622</v>
      </c>
      <c r="J1836">
        <v>2003</v>
      </c>
      <c r="K1836" t="s">
        <v>33</v>
      </c>
      <c r="L1836">
        <v>249</v>
      </c>
      <c r="M1836" t="s">
        <v>32860</v>
      </c>
      <c r="N1836">
        <v>1</v>
      </c>
      <c r="Q1836" t="s">
        <v>32861</v>
      </c>
      <c r="R1836" t="s">
        <v>32862</v>
      </c>
      <c r="S1836" t="s">
        <v>32863</v>
      </c>
      <c r="T1836" t="s">
        <v>30</v>
      </c>
      <c r="U1836" t="s">
        <v>32864</v>
      </c>
      <c r="W1836" t="s">
        <v>26009</v>
      </c>
    </row>
    <row r="1837" spans="1:23" x14ac:dyDescent="0.35">
      <c r="A1837">
        <v>423573</v>
      </c>
      <c r="B1837" t="s">
        <v>7868</v>
      </c>
      <c r="C1837" t="str">
        <f>"9780826122636"</f>
        <v>9780826122636</v>
      </c>
      <c r="D1837" t="str">
        <f>"9780826122643"</f>
        <v>9780826122643</v>
      </c>
      <c r="E1837" t="s">
        <v>1504</v>
      </c>
      <c r="F1837" t="s">
        <v>33</v>
      </c>
      <c r="G1837" t="s">
        <v>22179</v>
      </c>
      <c r="H1837" t="s">
        <v>26004</v>
      </c>
      <c r="I1837" s="26">
        <v>36951</v>
      </c>
      <c r="J1837">
        <v>2001</v>
      </c>
      <c r="K1837" t="s">
        <v>33</v>
      </c>
      <c r="L1837">
        <v>222</v>
      </c>
      <c r="M1837" t="s">
        <v>32865</v>
      </c>
      <c r="N1837">
        <v>3</v>
      </c>
      <c r="Q1837" t="s">
        <v>32866</v>
      </c>
      <c r="R1837" t="s">
        <v>26980</v>
      </c>
      <c r="S1837" t="s">
        <v>32835</v>
      </c>
      <c r="T1837" t="s">
        <v>30</v>
      </c>
      <c r="U1837" t="s">
        <v>26116</v>
      </c>
      <c r="W1837" t="s">
        <v>26009</v>
      </c>
    </row>
    <row r="1838" spans="1:23" x14ac:dyDescent="0.35">
      <c r="A1838">
        <v>423574</v>
      </c>
      <c r="B1838" t="s">
        <v>32867</v>
      </c>
      <c r="C1838" t="str">
        <f>"9780826123930"</f>
        <v>9780826123930</v>
      </c>
      <c r="D1838" t="str">
        <f>"9780826197429"</f>
        <v>9780826197429</v>
      </c>
      <c r="E1838" t="s">
        <v>1504</v>
      </c>
      <c r="F1838" t="s">
        <v>33</v>
      </c>
      <c r="G1838" t="s">
        <v>22179</v>
      </c>
      <c r="H1838" t="s">
        <v>26004</v>
      </c>
      <c r="I1838" s="26">
        <v>37257</v>
      </c>
      <c r="J1838">
        <v>2002</v>
      </c>
      <c r="K1838" t="s">
        <v>33</v>
      </c>
      <c r="L1838">
        <v>224</v>
      </c>
      <c r="M1838" t="s">
        <v>32868</v>
      </c>
      <c r="N1838">
        <v>1</v>
      </c>
      <c r="O1838" t="s">
        <v>32869</v>
      </c>
      <c r="Q1838" t="s">
        <v>32870</v>
      </c>
      <c r="R1838">
        <v>361.30680000000001</v>
      </c>
      <c r="S1838" t="s">
        <v>32871</v>
      </c>
      <c r="T1838" t="s">
        <v>30</v>
      </c>
      <c r="U1838" t="s">
        <v>26044</v>
      </c>
      <c r="W1838" t="s">
        <v>26009</v>
      </c>
    </row>
    <row r="1839" spans="1:23" x14ac:dyDescent="0.35">
      <c r="A1839">
        <v>423579</v>
      </c>
      <c r="B1839" t="s">
        <v>32872</v>
      </c>
      <c r="C1839" t="str">
        <f>"9780826186119"</f>
        <v>9780826186119</v>
      </c>
      <c r="D1839" t="str">
        <f>"9780826186126"</f>
        <v>9780826186126</v>
      </c>
      <c r="E1839" t="s">
        <v>1504</v>
      </c>
      <c r="F1839" t="s">
        <v>33</v>
      </c>
      <c r="G1839" t="s">
        <v>22179</v>
      </c>
      <c r="H1839" t="s">
        <v>26004</v>
      </c>
      <c r="I1839" s="26">
        <v>34700</v>
      </c>
      <c r="J1839">
        <v>1995</v>
      </c>
      <c r="K1839" t="s">
        <v>33</v>
      </c>
      <c r="L1839">
        <v>233</v>
      </c>
      <c r="M1839" t="s">
        <v>32873</v>
      </c>
      <c r="N1839">
        <v>1</v>
      </c>
      <c r="Q1839" t="s">
        <v>32874</v>
      </c>
      <c r="R1839" t="s">
        <v>27122</v>
      </c>
      <c r="S1839" t="s">
        <v>32875</v>
      </c>
      <c r="T1839" t="s">
        <v>30</v>
      </c>
      <c r="U1839" t="s">
        <v>26116</v>
      </c>
      <c r="W1839" t="s">
        <v>26009</v>
      </c>
    </row>
    <row r="1840" spans="1:23" x14ac:dyDescent="0.35">
      <c r="A1840">
        <v>423588</v>
      </c>
      <c r="B1840" t="s">
        <v>32876</v>
      </c>
      <c r="C1840" t="str">
        <f>"9780826115195"</f>
        <v>9780826115195</v>
      </c>
      <c r="D1840" t="str">
        <f>"9780826116529"</f>
        <v>9780826116529</v>
      </c>
      <c r="E1840" t="s">
        <v>1504</v>
      </c>
      <c r="F1840" t="s">
        <v>33</v>
      </c>
      <c r="G1840" t="s">
        <v>22179</v>
      </c>
      <c r="H1840" t="s">
        <v>26004</v>
      </c>
      <c r="I1840" s="26">
        <v>39539</v>
      </c>
      <c r="J1840">
        <v>2008</v>
      </c>
      <c r="K1840" t="s">
        <v>33</v>
      </c>
      <c r="L1840">
        <v>444</v>
      </c>
      <c r="M1840" t="s">
        <v>32877</v>
      </c>
      <c r="N1840">
        <v>1</v>
      </c>
      <c r="Q1840" t="s">
        <v>32878</v>
      </c>
      <c r="R1840" t="s">
        <v>27122</v>
      </c>
      <c r="S1840" t="s">
        <v>32879</v>
      </c>
      <c r="T1840" t="s">
        <v>30</v>
      </c>
      <c r="U1840" t="s">
        <v>26019</v>
      </c>
      <c r="W1840" t="s">
        <v>26009</v>
      </c>
    </row>
    <row r="1841" spans="1:23" x14ac:dyDescent="0.35">
      <c r="A1841">
        <v>423594</v>
      </c>
      <c r="B1841" t="s">
        <v>32880</v>
      </c>
      <c r="C1841" t="str">
        <f>"9780826179111"</f>
        <v>9780826179111</v>
      </c>
      <c r="D1841" t="str">
        <f>"9780826197863"</f>
        <v>9780826197863</v>
      </c>
      <c r="E1841" t="s">
        <v>1504</v>
      </c>
      <c r="F1841" t="s">
        <v>33</v>
      </c>
      <c r="G1841" t="s">
        <v>22179</v>
      </c>
      <c r="H1841" t="s">
        <v>26004</v>
      </c>
      <c r="I1841" s="26">
        <v>33239</v>
      </c>
      <c r="J1841">
        <v>1991</v>
      </c>
      <c r="K1841" t="s">
        <v>33</v>
      </c>
      <c r="L1841">
        <v>356</v>
      </c>
      <c r="M1841" t="s">
        <v>32881</v>
      </c>
      <c r="N1841">
        <v>1</v>
      </c>
      <c r="Q1841" t="s">
        <v>32882</v>
      </c>
      <c r="R1841">
        <v>610.73</v>
      </c>
      <c r="S1841" t="s">
        <v>32883</v>
      </c>
      <c r="T1841" t="s">
        <v>30</v>
      </c>
      <c r="U1841" t="s">
        <v>26174</v>
      </c>
      <c r="W1841" t="s">
        <v>26009</v>
      </c>
    </row>
    <row r="1842" spans="1:23" x14ac:dyDescent="0.35">
      <c r="A1842">
        <v>423600</v>
      </c>
      <c r="B1842" t="s">
        <v>8163</v>
      </c>
      <c r="C1842" t="str">
        <f>"9780826116659"</f>
        <v>9780826116659</v>
      </c>
      <c r="D1842" t="str">
        <f>"9780826197276"</f>
        <v>9780826197276</v>
      </c>
      <c r="E1842" t="s">
        <v>1504</v>
      </c>
      <c r="F1842" t="s">
        <v>33</v>
      </c>
      <c r="G1842" t="s">
        <v>22179</v>
      </c>
      <c r="H1842" t="s">
        <v>26004</v>
      </c>
      <c r="I1842" s="26">
        <v>38322</v>
      </c>
      <c r="J1842">
        <v>2004</v>
      </c>
      <c r="K1842" t="s">
        <v>33</v>
      </c>
      <c r="L1842">
        <v>481</v>
      </c>
      <c r="M1842" t="s">
        <v>32884</v>
      </c>
      <c r="N1842">
        <v>1</v>
      </c>
      <c r="Q1842" t="s">
        <v>32885</v>
      </c>
      <c r="R1842" t="s">
        <v>32669</v>
      </c>
      <c r="S1842" t="s">
        <v>32886</v>
      </c>
      <c r="T1842" t="s">
        <v>30</v>
      </c>
      <c r="U1842" t="s">
        <v>26040</v>
      </c>
      <c r="W1842" t="s">
        <v>26009</v>
      </c>
    </row>
    <row r="1843" spans="1:23" x14ac:dyDescent="0.35">
      <c r="A1843">
        <v>423602</v>
      </c>
      <c r="B1843" t="s">
        <v>9445</v>
      </c>
      <c r="C1843" t="str">
        <f>"9780826101181"</f>
        <v>9780826101181</v>
      </c>
      <c r="D1843" t="str">
        <f>"9780826101198"</f>
        <v>9780826101198</v>
      </c>
      <c r="E1843" t="s">
        <v>1504</v>
      </c>
      <c r="F1843" t="s">
        <v>33</v>
      </c>
      <c r="G1843" t="s">
        <v>22179</v>
      </c>
      <c r="H1843" t="s">
        <v>26004</v>
      </c>
      <c r="I1843" s="26">
        <v>39448</v>
      </c>
      <c r="J1843">
        <v>2008</v>
      </c>
      <c r="K1843" t="s">
        <v>33</v>
      </c>
      <c r="L1843">
        <v>415</v>
      </c>
      <c r="M1843" t="s">
        <v>32887</v>
      </c>
      <c r="N1843">
        <v>1</v>
      </c>
      <c r="Q1843" t="s">
        <v>32888</v>
      </c>
      <c r="S1843" t="s">
        <v>32889</v>
      </c>
      <c r="T1843" t="s">
        <v>30</v>
      </c>
      <c r="U1843" t="s">
        <v>26019</v>
      </c>
      <c r="W1843" t="s">
        <v>26009</v>
      </c>
    </row>
    <row r="1844" spans="1:23" x14ac:dyDescent="0.35">
      <c r="A1844">
        <v>423603</v>
      </c>
      <c r="B1844" t="s">
        <v>10189</v>
      </c>
      <c r="C1844" t="str">
        <f>"9780826102690"</f>
        <v>9780826102690</v>
      </c>
      <c r="D1844" t="str">
        <f>"9780826101327"</f>
        <v>9780826101327</v>
      </c>
      <c r="E1844" t="s">
        <v>1504</v>
      </c>
      <c r="F1844" t="s">
        <v>33</v>
      </c>
      <c r="G1844" t="s">
        <v>22179</v>
      </c>
      <c r="H1844" t="s">
        <v>26004</v>
      </c>
      <c r="I1844" s="26">
        <v>39083</v>
      </c>
      <c r="J1844">
        <v>2007</v>
      </c>
      <c r="K1844" t="s">
        <v>33</v>
      </c>
      <c r="L1844">
        <v>368</v>
      </c>
      <c r="M1844" t="s">
        <v>32887</v>
      </c>
      <c r="N1844">
        <v>1</v>
      </c>
      <c r="Q1844" t="s">
        <v>32890</v>
      </c>
      <c r="R1844" t="s">
        <v>29454</v>
      </c>
      <c r="S1844" t="s">
        <v>7671</v>
      </c>
      <c r="T1844" t="s">
        <v>30</v>
      </c>
      <c r="U1844" t="s">
        <v>26116</v>
      </c>
      <c r="W1844" t="s">
        <v>26009</v>
      </c>
    </row>
    <row r="1845" spans="1:23" x14ac:dyDescent="0.35">
      <c r="A1845">
        <v>423606</v>
      </c>
      <c r="B1845" t="s">
        <v>7981</v>
      </c>
      <c r="C1845" t="str">
        <f>"9780826122766"</f>
        <v>9780826122766</v>
      </c>
      <c r="D1845" t="str">
        <f>"9780826122742"</f>
        <v>9780826122742</v>
      </c>
      <c r="E1845" t="s">
        <v>1504</v>
      </c>
      <c r="F1845" t="s">
        <v>33</v>
      </c>
      <c r="G1845" t="s">
        <v>22179</v>
      </c>
      <c r="H1845" t="s">
        <v>26004</v>
      </c>
      <c r="I1845" s="26">
        <v>37987</v>
      </c>
      <c r="J1845">
        <v>2004</v>
      </c>
      <c r="K1845" t="s">
        <v>33</v>
      </c>
      <c r="L1845">
        <v>83</v>
      </c>
      <c r="M1845" t="s">
        <v>32891</v>
      </c>
      <c r="N1845">
        <v>1</v>
      </c>
      <c r="Q1845" t="s">
        <v>32892</v>
      </c>
      <c r="S1845" t="s">
        <v>32893</v>
      </c>
      <c r="T1845" t="s">
        <v>30</v>
      </c>
      <c r="U1845" t="s">
        <v>26040</v>
      </c>
      <c r="W1845" t="s">
        <v>26009</v>
      </c>
    </row>
    <row r="1846" spans="1:23" x14ac:dyDescent="0.35">
      <c r="A1846">
        <v>423607</v>
      </c>
      <c r="B1846" t="s">
        <v>7982</v>
      </c>
      <c r="C1846" t="str">
        <f>"9780826122759"</f>
        <v>9780826122759</v>
      </c>
      <c r="D1846" t="str">
        <f>"9780826197412"</f>
        <v>9780826197412</v>
      </c>
      <c r="E1846" t="s">
        <v>1504</v>
      </c>
      <c r="F1846" t="s">
        <v>33</v>
      </c>
      <c r="G1846" t="s">
        <v>22179</v>
      </c>
      <c r="H1846" t="s">
        <v>26004</v>
      </c>
      <c r="I1846" s="26">
        <v>37987</v>
      </c>
      <c r="J1846">
        <v>2004</v>
      </c>
      <c r="K1846" t="s">
        <v>33</v>
      </c>
      <c r="L1846">
        <v>206</v>
      </c>
      <c r="M1846" t="s">
        <v>32891</v>
      </c>
      <c r="N1846">
        <v>1</v>
      </c>
      <c r="Q1846" t="s">
        <v>32894</v>
      </c>
      <c r="R1846" t="s">
        <v>30751</v>
      </c>
      <c r="S1846" t="s">
        <v>32895</v>
      </c>
      <c r="T1846" t="s">
        <v>30</v>
      </c>
      <c r="U1846" t="s">
        <v>26019</v>
      </c>
      <c r="W1846" t="s">
        <v>26009</v>
      </c>
    </row>
    <row r="1847" spans="1:23" x14ac:dyDescent="0.35">
      <c r="A1847">
        <v>423608</v>
      </c>
      <c r="B1847" t="s">
        <v>32896</v>
      </c>
      <c r="C1847" t="str">
        <f>"9780826114440"</f>
        <v>9780826114440</v>
      </c>
      <c r="D1847" t="str">
        <f>"9780826115270"</f>
        <v>9780826115270</v>
      </c>
      <c r="E1847" t="s">
        <v>1504</v>
      </c>
      <c r="F1847" t="s">
        <v>33</v>
      </c>
      <c r="G1847" t="s">
        <v>22179</v>
      </c>
      <c r="H1847" t="s">
        <v>26004</v>
      </c>
      <c r="I1847" s="26">
        <v>36892</v>
      </c>
      <c r="J1847">
        <v>2001</v>
      </c>
      <c r="K1847" t="s">
        <v>33</v>
      </c>
      <c r="L1847">
        <v>305</v>
      </c>
      <c r="M1847" t="s">
        <v>32897</v>
      </c>
      <c r="N1847">
        <v>1</v>
      </c>
      <c r="O1847" t="s">
        <v>29858</v>
      </c>
      <c r="Q1847" t="s">
        <v>32898</v>
      </c>
      <c r="S1847" t="s">
        <v>32899</v>
      </c>
      <c r="T1847" t="s">
        <v>30</v>
      </c>
      <c r="U1847" t="s">
        <v>26116</v>
      </c>
      <c r="W1847" t="s">
        <v>26009</v>
      </c>
    </row>
    <row r="1848" spans="1:23" x14ac:dyDescent="0.35">
      <c r="A1848">
        <v>423610</v>
      </c>
      <c r="B1848" t="s">
        <v>32900</v>
      </c>
      <c r="C1848" t="str">
        <f>"9780826149473"</f>
        <v>9780826149473</v>
      </c>
      <c r="D1848" t="str">
        <f>"9780826149480"</f>
        <v>9780826149480</v>
      </c>
      <c r="E1848" t="s">
        <v>1504</v>
      </c>
      <c r="F1848" t="s">
        <v>33</v>
      </c>
      <c r="G1848" t="s">
        <v>22179</v>
      </c>
      <c r="H1848" t="s">
        <v>26004</v>
      </c>
      <c r="I1848" s="26">
        <v>37257</v>
      </c>
      <c r="J1848">
        <v>2002</v>
      </c>
      <c r="K1848" t="s">
        <v>33</v>
      </c>
      <c r="L1848">
        <v>279</v>
      </c>
      <c r="M1848" t="s">
        <v>32901</v>
      </c>
      <c r="N1848">
        <v>1</v>
      </c>
      <c r="Q1848" t="s">
        <v>32902</v>
      </c>
      <c r="R1848" t="s">
        <v>26817</v>
      </c>
      <c r="S1848" t="s">
        <v>32903</v>
      </c>
      <c r="T1848" t="s">
        <v>30</v>
      </c>
      <c r="U1848" t="s">
        <v>32904</v>
      </c>
      <c r="W1848" t="s">
        <v>26009</v>
      </c>
    </row>
    <row r="1849" spans="1:23" x14ac:dyDescent="0.35">
      <c r="A1849">
        <v>423612</v>
      </c>
      <c r="B1849" t="s">
        <v>32905</v>
      </c>
      <c r="C1849" t="str">
        <f>"9780826112828"</f>
        <v>9780826112828</v>
      </c>
      <c r="D1849" t="str">
        <f>"9780826117090"</f>
        <v>9780826117090</v>
      </c>
      <c r="E1849" t="s">
        <v>1504</v>
      </c>
      <c r="F1849" t="s">
        <v>33</v>
      </c>
      <c r="G1849" t="s">
        <v>22179</v>
      </c>
      <c r="H1849" t="s">
        <v>26004</v>
      </c>
      <c r="I1849" s="26">
        <v>36161</v>
      </c>
      <c r="J1849">
        <v>1999</v>
      </c>
      <c r="K1849" t="s">
        <v>33</v>
      </c>
      <c r="L1849">
        <v>329</v>
      </c>
      <c r="M1849" t="s">
        <v>32901</v>
      </c>
      <c r="N1849">
        <v>1</v>
      </c>
      <c r="Q1849" t="s">
        <v>32906</v>
      </c>
      <c r="R1849" t="s">
        <v>32907</v>
      </c>
      <c r="S1849" t="s">
        <v>32908</v>
      </c>
      <c r="T1849" t="s">
        <v>30</v>
      </c>
      <c r="U1849" t="s">
        <v>32909</v>
      </c>
      <c r="W1849" t="s">
        <v>26009</v>
      </c>
    </row>
    <row r="1850" spans="1:23" x14ac:dyDescent="0.35">
      <c r="A1850">
        <v>423613</v>
      </c>
      <c r="B1850" t="s">
        <v>32910</v>
      </c>
      <c r="C1850" t="str">
        <f>"9780826112835"</f>
        <v>9780826112835</v>
      </c>
      <c r="D1850" t="str">
        <f>"9780826116796"</f>
        <v>9780826116796</v>
      </c>
      <c r="E1850" t="s">
        <v>1504</v>
      </c>
      <c r="F1850" t="s">
        <v>33</v>
      </c>
      <c r="G1850" t="s">
        <v>22179</v>
      </c>
      <c r="H1850" t="s">
        <v>26004</v>
      </c>
      <c r="I1850" s="26">
        <v>36161</v>
      </c>
      <c r="J1850">
        <v>1999</v>
      </c>
      <c r="K1850" t="s">
        <v>33</v>
      </c>
      <c r="L1850">
        <v>233</v>
      </c>
      <c r="M1850" t="s">
        <v>32901</v>
      </c>
      <c r="N1850">
        <v>1</v>
      </c>
      <c r="Q1850" t="s">
        <v>32911</v>
      </c>
      <c r="R1850" t="s">
        <v>32907</v>
      </c>
      <c r="S1850" t="s">
        <v>32908</v>
      </c>
      <c r="T1850" t="s">
        <v>30</v>
      </c>
      <c r="U1850" t="s">
        <v>32912</v>
      </c>
      <c r="W1850" t="s">
        <v>26009</v>
      </c>
    </row>
    <row r="1851" spans="1:23" x14ac:dyDescent="0.35">
      <c r="A1851">
        <v>423614</v>
      </c>
      <c r="B1851" t="s">
        <v>32913</v>
      </c>
      <c r="C1851" t="str">
        <f>"9780826113979"</f>
        <v>9780826113979</v>
      </c>
      <c r="D1851" t="str">
        <f>"9780826116543"</f>
        <v>9780826116543</v>
      </c>
      <c r="E1851" t="s">
        <v>1504</v>
      </c>
      <c r="F1851" t="s">
        <v>33</v>
      </c>
      <c r="G1851" t="s">
        <v>22179</v>
      </c>
      <c r="H1851" t="s">
        <v>26004</v>
      </c>
      <c r="I1851" s="26">
        <v>36892</v>
      </c>
      <c r="J1851">
        <v>2001</v>
      </c>
      <c r="K1851" t="s">
        <v>33</v>
      </c>
      <c r="L1851">
        <v>319</v>
      </c>
      <c r="M1851" t="s">
        <v>32901</v>
      </c>
      <c r="N1851">
        <v>1</v>
      </c>
      <c r="Q1851" t="s">
        <v>32914</v>
      </c>
      <c r="S1851" t="s">
        <v>9923</v>
      </c>
      <c r="T1851" t="s">
        <v>30</v>
      </c>
      <c r="U1851" t="s">
        <v>46</v>
      </c>
      <c r="W1851" t="s">
        <v>26009</v>
      </c>
    </row>
    <row r="1852" spans="1:23" x14ac:dyDescent="0.35">
      <c r="A1852">
        <v>423615</v>
      </c>
      <c r="B1852" t="s">
        <v>32915</v>
      </c>
      <c r="C1852" t="str">
        <f>"9780826129956"</f>
        <v>9780826129956</v>
      </c>
      <c r="D1852" t="str">
        <f>"9780826129963"</f>
        <v>9780826129963</v>
      </c>
      <c r="E1852" t="s">
        <v>1504</v>
      </c>
      <c r="F1852" t="s">
        <v>33</v>
      </c>
      <c r="G1852" t="s">
        <v>22179</v>
      </c>
      <c r="H1852" t="s">
        <v>26004</v>
      </c>
      <c r="I1852" s="26">
        <v>38718</v>
      </c>
      <c r="J1852">
        <v>2006</v>
      </c>
      <c r="K1852" t="s">
        <v>33</v>
      </c>
      <c r="L1852">
        <v>209</v>
      </c>
      <c r="M1852" t="s">
        <v>32916</v>
      </c>
      <c r="N1852">
        <v>1</v>
      </c>
      <c r="Q1852" t="s">
        <v>32917</v>
      </c>
      <c r="R1852" t="s">
        <v>26422</v>
      </c>
      <c r="S1852" t="s">
        <v>32918</v>
      </c>
      <c r="T1852" t="s">
        <v>30</v>
      </c>
      <c r="U1852" t="s">
        <v>26019</v>
      </c>
      <c r="W1852" t="s">
        <v>26009</v>
      </c>
    </row>
    <row r="1853" spans="1:23" x14ac:dyDescent="0.35">
      <c r="A1853">
        <v>423617</v>
      </c>
      <c r="B1853" t="s">
        <v>32919</v>
      </c>
      <c r="C1853" t="str">
        <f>"9780826193117"</f>
        <v>9780826193117</v>
      </c>
      <c r="D1853" t="str">
        <f>"9780826193124"</f>
        <v>9780826193124</v>
      </c>
      <c r="E1853" t="s">
        <v>1504</v>
      </c>
      <c r="F1853" t="s">
        <v>33</v>
      </c>
      <c r="G1853" t="s">
        <v>22179</v>
      </c>
      <c r="H1853" t="s">
        <v>26004</v>
      </c>
      <c r="I1853" s="26">
        <v>35065</v>
      </c>
      <c r="J1853">
        <v>1996</v>
      </c>
      <c r="K1853" t="s">
        <v>33</v>
      </c>
      <c r="L1853">
        <v>465</v>
      </c>
      <c r="M1853" t="s">
        <v>32920</v>
      </c>
      <c r="N1853">
        <v>1</v>
      </c>
      <c r="O1853" t="s">
        <v>32921</v>
      </c>
      <c r="Q1853" t="s">
        <v>32922</v>
      </c>
      <c r="R1853" t="s">
        <v>32923</v>
      </c>
      <c r="S1853" t="s">
        <v>32924</v>
      </c>
      <c r="T1853" t="s">
        <v>30</v>
      </c>
      <c r="U1853" t="s">
        <v>46</v>
      </c>
      <c r="W1853" t="s">
        <v>26009</v>
      </c>
    </row>
    <row r="1854" spans="1:23" x14ac:dyDescent="0.35">
      <c r="A1854">
        <v>423618</v>
      </c>
      <c r="B1854" t="s">
        <v>32925</v>
      </c>
      <c r="C1854" t="str">
        <f>"9780826115447"</f>
        <v>9780826115447</v>
      </c>
      <c r="D1854" t="str">
        <f>"9780826115553"</f>
        <v>9780826115553</v>
      </c>
      <c r="E1854" t="s">
        <v>1504</v>
      </c>
      <c r="F1854" t="s">
        <v>33</v>
      </c>
      <c r="G1854" t="s">
        <v>22179</v>
      </c>
      <c r="H1854" t="s">
        <v>26004</v>
      </c>
      <c r="I1854" s="26">
        <v>39587</v>
      </c>
      <c r="J1854">
        <v>2008</v>
      </c>
      <c r="K1854" t="s">
        <v>33</v>
      </c>
      <c r="L1854">
        <v>255</v>
      </c>
      <c r="M1854" t="s">
        <v>32926</v>
      </c>
      <c r="N1854">
        <v>1</v>
      </c>
      <c r="Q1854" t="s">
        <v>32927</v>
      </c>
      <c r="R1854" t="s">
        <v>26873</v>
      </c>
      <c r="S1854" t="s">
        <v>11605</v>
      </c>
      <c r="T1854" t="s">
        <v>30</v>
      </c>
      <c r="U1854" t="s">
        <v>46</v>
      </c>
      <c r="W1854" t="s">
        <v>26009</v>
      </c>
    </row>
    <row r="1855" spans="1:23" x14ac:dyDescent="0.35">
      <c r="A1855">
        <v>423619</v>
      </c>
      <c r="B1855" t="s">
        <v>32928</v>
      </c>
      <c r="C1855" t="str">
        <f>"9780826178459"</f>
        <v>9780826178459</v>
      </c>
      <c r="D1855" t="str">
        <f>"9780826197856"</f>
        <v>9780826197856</v>
      </c>
      <c r="E1855" t="s">
        <v>1504</v>
      </c>
      <c r="F1855" t="s">
        <v>33</v>
      </c>
      <c r="G1855" t="s">
        <v>22179</v>
      </c>
      <c r="H1855" t="s">
        <v>26004</v>
      </c>
      <c r="I1855" s="26">
        <v>38718</v>
      </c>
      <c r="J1855">
        <v>2006</v>
      </c>
      <c r="K1855" t="s">
        <v>33</v>
      </c>
      <c r="L1855">
        <v>183</v>
      </c>
      <c r="M1855" t="s">
        <v>32929</v>
      </c>
      <c r="N1855">
        <v>1</v>
      </c>
      <c r="Q1855" t="s">
        <v>32930</v>
      </c>
      <c r="R1855" t="s">
        <v>27492</v>
      </c>
      <c r="S1855" t="s">
        <v>7558</v>
      </c>
      <c r="T1855" t="s">
        <v>30</v>
      </c>
      <c r="U1855" t="s">
        <v>46</v>
      </c>
      <c r="W1855" t="s">
        <v>26009</v>
      </c>
    </row>
    <row r="1856" spans="1:23" x14ac:dyDescent="0.35">
      <c r="A1856">
        <v>423620</v>
      </c>
      <c r="B1856" t="s">
        <v>32931</v>
      </c>
      <c r="C1856" t="str">
        <f>"9780826189608"</f>
        <v>9780826189608</v>
      </c>
      <c r="D1856" t="str">
        <f>"9780826189615"</f>
        <v>9780826189615</v>
      </c>
      <c r="E1856" t="s">
        <v>1504</v>
      </c>
      <c r="F1856" t="s">
        <v>33</v>
      </c>
      <c r="G1856" t="s">
        <v>22179</v>
      </c>
      <c r="H1856" t="s">
        <v>26004</v>
      </c>
      <c r="I1856" s="26">
        <v>34943</v>
      </c>
      <c r="J1856">
        <v>1995</v>
      </c>
      <c r="K1856" t="s">
        <v>33</v>
      </c>
      <c r="L1856">
        <v>305</v>
      </c>
      <c r="M1856" t="s">
        <v>32932</v>
      </c>
      <c r="N1856">
        <v>1</v>
      </c>
      <c r="Q1856" t="s">
        <v>32933</v>
      </c>
      <c r="R1856" t="s">
        <v>26957</v>
      </c>
      <c r="S1856" t="s">
        <v>7596</v>
      </c>
      <c r="T1856" t="s">
        <v>30</v>
      </c>
      <c r="U1856" t="s">
        <v>26116</v>
      </c>
      <c r="W1856" t="s">
        <v>26009</v>
      </c>
    </row>
    <row r="1857" spans="1:23" x14ac:dyDescent="0.35">
      <c r="A1857">
        <v>423621</v>
      </c>
      <c r="B1857" t="s">
        <v>32934</v>
      </c>
      <c r="C1857" t="str">
        <f>"9780826120472"</f>
        <v>9780826120472</v>
      </c>
      <c r="D1857" t="str">
        <f>"9780826120489"</f>
        <v>9780826120489</v>
      </c>
      <c r="E1857" t="s">
        <v>1504</v>
      </c>
      <c r="F1857" t="s">
        <v>33</v>
      </c>
      <c r="G1857" t="s">
        <v>22179</v>
      </c>
      <c r="H1857" t="s">
        <v>26004</v>
      </c>
      <c r="I1857" s="26">
        <v>38169</v>
      </c>
      <c r="J1857">
        <v>2004</v>
      </c>
      <c r="K1857" t="s">
        <v>33</v>
      </c>
      <c r="L1857">
        <v>345</v>
      </c>
      <c r="M1857" t="s">
        <v>32935</v>
      </c>
      <c r="N1857">
        <v>1</v>
      </c>
      <c r="Q1857" t="s">
        <v>32936</v>
      </c>
      <c r="R1857" t="s">
        <v>27184</v>
      </c>
      <c r="S1857" t="s">
        <v>7889</v>
      </c>
      <c r="T1857" t="s">
        <v>30</v>
      </c>
      <c r="U1857" t="s">
        <v>26019</v>
      </c>
      <c r="W1857" t="s">
        <v>26009</v>
      </c>
    </row>
    <row r="1858" spans="1:23" x14ac:dyDescent="0.35">
      <c r="A1858">
        <v>423622</v>
      </c>
      <c r="B1858" t="s">
        <v>32937</v>
      </c>
      <c r="C1858" t="str">
        <f>"9780826125422"</f>
        <v>9780826125422</v>
      </c>
      <c r="D1858" t="str">
        <f>"9780826125439"</f>
        <v>9780826125439</v>
      </c>
      <c r="E1858" t="s">
        <v>1504</v>
      </c>
      <c r="F1858" t="s">
        <v>33</v>
      </c>
      <c r="G1858" t="s">
        <v>22179</v>
      </c>
      <c r="H1858" t="s">
        <v>26004</v>
      </c>
      <c r="I1858" s="26">
        <v>39783</v>
      </c>
      <c r="J1858">
        <v>2008</v>
      </c>
      <c r="K1858" t="s">
        <v>33</v>
      </c>
      <c r="L1858">
        <v>294</v>
      </c>
      <c r="M1858" t="s">
        <v>32938</v>
      </c>
      <c r="N1858">
        <v>3</v>
      </c>
      <c r="Q1858" t="s">
        <v>32939</v>
      </c>
      <c r="R1858" t="s">
        <v>32940</v>
      </c>
      <c r="S1858" t="s">
        <v>32941</v>
      </c>
      <c r="T1858" t="s">
        <v>30</v>
      </c>
      <c r="U1858" t="s">
        <v>26174</v>
      </c>
      <c r="W1858" t="s">
        <v>26009</v>
      </c>
    </row>
    <row r="1859" spans="1:23" x14ac:dyDescent="0.35">
      <c r="A1859">
        <v>423623</v>
      </c>
      <c r="B1859" t="s">
        <v>32937</v>
      </c>
      <c r="C1859" t="str">
        <f>"9780826128959"</f>
        <v>9780826128959</v>
      </c>
      <c r="D1859" t="str">
        <f>"9780826128966"</f>
        <v>9780826128966</v>
      </c>
      <c r="E1859" t="s">
        <v>1504</v>
      </c>
      <c r="F1859" t="s">
        <v>1504</v>
      </c>
      <c r="G1859" t="s">
        <v>22179</v>
      </c>
      <c r="H1859" t="s">
        <v>26004</v>
      </c>
      <c r="I1859" s="26">
        <v>38047</v>
      </c>
      <c r="J1859">
        <v>2004</v>
      </c>
      <c r="K1859" t="s">
        <v>1504</v>
      </c>
      <c r="L1859">
        <v>333</v>
      </c>
      <c r="M1859" t="s">
        <v>32938</v>
      </c>
      <c r="N1859">
        <v>2</v>
      </c>
      <c r="Q1859" t="s">
        <v>32942</v>
      </c>
      <c r="R1859" t="s">
        <v>32943</v>
      </c>
      <c r="S1859" t="s">
        <v>32944</v>
      </c>
      <c r="T1859" t="s">
        <v>30</v>
      </c>
      <c r="U1859" t="s">
        <v>26174</v>
      </c>
      <c r="W1859" t="s">
        <v>26009</v>
      </c>
    </row>
    <row r="1860" spans="1:23" x14ac:dyDescent="0.35">
      <c r="A1860">
        <v>423625</v>
      </c>
      <c r="B1860" t="s">
        <v>32945</v>
      </c>
      <c r="C1860" t="str">
        <f>"9780826104960"</f>
        <v>9780826104960</v>
      </c>
      <c r="D1860" t="str">
        <f>"9780826196897"</f>
        <v>9780826196897</v>
      </c>
      <c r="E1860" t="s">
        <v>1504</v>
      </c>
      <c r="F1860" t="s">
        <v>33</v>
      </c>
      <c r="G1860" t="s">
        <v>22179</v>
      </c>
      <c r="H1860" t="s">
        <v>26004</v>
      </c>
      <c r="I1860" s="26">
        <v>33909</v>
      </c>
      <c r="J1860">
        <v>1992</v>
      </c>
      <c r="K1860" t="s">
        <v>33</v>
      </c>
      <c r="L1860">
        <v>322</v>
      </c>
      <c r="M1860" t="s">
        <v>32946</v>
      </c>
      <c r="N1860">
        <v>4</v>
      </c>
      <c r="Q1860" t="s">
        <v>32947</v>
      </c>
      <c r="R1860" t="s">
        <v>26627</v>
      </c>
      <c r="S1860" t="s">
        <v>8616</v>
      </c>
      <c r="T1860" t="s">
        <v>30</v>
      </c>
      <c r="U1860" t="s">
        <v>46</v>
      </c>
      <c r="W1860" t="s">
        <v>26009</v>
      </c>
    </row>
    <row r="1861" spans="1:23" x14ac:dyDescent="0.35">
      <c r="A1861">
        <v>423626</v>
      </c>
      <c r="B1861" t="s">
        <v>32948</v>
      </c>
      <c r="C1861" t="str">
        <f>"9780826144089"</f>
        <v>9780826144089</v>
      </c>
      <c r="D1861" t="str">
        <f>"9780826144096"</f>
        <v>9780826144096</v>
      </c>
      <c r="E1861" t="s">
        <v>1504</v>
      </c>
      <c r="F1861" t="s">
        <v>33</v>
      </c>
      <c r="G1861" t="s">
        <v>22179</v>
      </c>
      <c r="H1861" t="s">
        <v>26004</v>
      </c>
      <c r="I1861" s="26">
        <v>39448</v>
      </c>
      <c r="J1861">
        <v>2008</v>
      </c>
      <c r="K1861" t="s">
        <v>33</v>
      </c>
      <c r="L1861">
        <v>1349</v>
      </c>
      <c r="M1861" t="s">
        <v>32949</v>
      </c>
      <c r="N1861">
        <v>1</v>
      </c>
      <c r="Q1861" t="s">
        <v>32950</v>
      </c>
      <c r="R1861">
        <v>152.4</v>
      </c>
      <c r="S1861" t="s">
        <v>32951</v>
      </c>
      <c r="T1861" t="s">
        <v>30</v>
      </c>
      <c r="U1861" t="s">
        <v>46</v>
      </c>
      <c r="W1861" t="s">
        <v>26009</v>
      </c>
    </row>
    <row r="1862" spans="1:23" x14ac:dyDescent="0.35">
      <c r="A1862">
        <v>423629</v>
      </c>
      <c r="B1862" t="s">
        <v>7636</v>
      </c>
      <c r="C1862" t="str">
        <f>"9780826102522"</f>
        <v>9780826102522</v>
      </c>
      <c r="D1862" t="str">
        <f>"9780826143150"</f>
        <v>9780826143150</v>
      </c>
      <c r="E1862" t="s">
        <v>1504</v>
      </c>
      <c r="F1862" t="s">
        <v>33</v>
      </c>
      <c r="G1862" t="s">
        <v>22179</v>
      </c>
      <c r="H1862" t="s">
        <v>26004</v>
      </c>
      <c r="I1862" s="26">
        <v>39264</v>
      </c>
      <c r="J1862">
        <v>2007</v>
      </c>
      <c r="K1862" t="s">
        <v>33</v>
      </c>
      <c r="L1862">
        <v>511</v>
      </c>
      <c r="M1862" t="s">
        <v>32952</v>
      </c>
      <c r="N1862">
        <v>3</v>
      </c>
      <c r="Q1862" t="s">
        <v>32953</v>
      </c>
      <c r="S1862" t="s">
        <v>32954</v>
      </c>
      <c r="T1862" t="s">
        <v>30</v>
      </c>
      <c r="U1862" t="s">
        <v>26044</v>
      </c>
      <c r="W1862" t="s">
        <v>26009</v>
      </c>
    </row>
    <row r="1863" spans="1:23" x14ac:dyDescent="0.35">
      <c r="A1863">
        <v>423630</v>
      </c>
      <c r="B1863" t="s">
        <v>32955</v>
      </c>
      <c r="C1863" t="str">
        <f>"9780826102249"</f>
        <v>9780826102249</v>
      </c>
      <c r="D1863" t="str">
        <f>"9780826103444"</f>
        <v>9780826103444</v>
      </c>
      <c r="E1863" t="s">
        <v>1504</v>
      </c>
      <c r="F1863" t="s">
        <v>33</v>
      </c>
      <c r="G1863" t="s">
        <v>22179</v>
      </c>
      <c r="H1863" t="s">
        <v>26004</v>
      </c>
      <c r="I1863" s="26">
        <v>21002</v>
      </c>
      <c r="J1863">
        <v>1957</v>
      </c>
      <c r="K1863" t="s">
        <v>33</v>
      </c>
      <c r="L1863">
        <v>375</v>
      </c>
      <c r="M1863" t="s">
        <v>32956</v>
      </c>
      <c r="N1863">
        <v>1</v>
      </c>
      <c r="O1863" t="s">
        <v>32751</v>
      </c>
      <c r="Q1863" t="s">
        <v>32957</v>
      </c>
      <c r="S1863" t="s">
        <v>32958</v>
      </c>
      <c r="T1863" t="s">
        <v>30</v>
      </c>
      <c r="U1863" t="s">
        <v>26174</v>
      </c>
      <c r="W1863" t="s">
        <v>26009</v>
      </c>
    </row>
    <row r="1864" spans="1:23" x14ac:dyDescent="0.35">
      <c r="A1864">
        <v>423641</v>
      </c>
      <c r="B1864" t="s">
        <v>32959</v>
      </c>
      <c r="C1864" t="str">
        <f>"9780826193612"</f>
        <v>9780826193612</v>
      </c>
      <c r="D1864" t="str">
        <f>"9780826193629"</f>
        <v>9780826193629</v>
      </c>
      <c r="E1864" t="s">
        <v>1504</v>
      </c>
      <c r="F1864" t="s">
        <v>33</v>
      </c>
      <c r="G1864" t="s">
        <v>22179</v>
      </c>
      <c r="H1864" t="s">
        <v>26004</v>
      </c>
      <c r="I1864" s="26">
        <v>37257</v>
      </c>
      <c r="J1864">
        <v>2002</v>
      </c>
      <c r="K1864" t="s">
        <v>33</v>
      </c>
      <c r="L1864">
        <v>393</v>
      </c>
      <c r="M1864" t="s">
        <v>32960</v>
      </c>
      <c r="N1864">
        <v>2</v>
      </c>
      <c r="Q1864" t="s">
        <v>32961</v>
      </c>
      <c r="S1864" t="s">
        <v>31037</v>
      </c>
      <c r="T1864" t="s">
        <v>30</v>
      </c>
      <c r="U1864" t="s">
        <v>46</v>
      </c>
      <c r="W1864" t="s">
        <v>26009</v>
      </c>
    </row>
    <row r="1865" spans="1:23" x14ac:dyDescent="0.35">
      <c r="A1865">
        <v>424555</v>
      </c>
      <c r="B1865" t="s">
        <v>7688</v>
      </c>
      <c r="C1865" t="str">
        <f>"9780521848138"</f>
        <v>9780521848138</v>
      </c>
      <c r="D1865" t="str">
        <f>"9780511504570"</f>
        <v>9780511504570</v>
      </c>
      <c r="E1865" t="s">
        <v>167</v>
      </c>
      <c r="F1865" t="s">
        <v>167</v>
      </c>
      <c r="G1865" t="s">
        <v>22179</v>
      </c>
      <c r="H1865" t="s">
        <v>26004</v>
      </c>
      <c r="I1865" s="26">
        <v>39860</v>
      </c>
      <c r="J1865">
        <v>2009</v>
      </c>
      <c r="K1865" t="s">
        <v>167</v>
      </c>
      <c r="L1865">
        <v>353</v>
      </c>
      <c r="M1865" t="s">
        <v>32962</v>
      </c>
      <c r="N1865">
        <v>1</v>
      </c>
      <c r="Q1865" t="s">
        <v>32963</v>
      </c>
      <c r="R1865" t="s">
        <v>29630</v>
      </c>
      <c r="S1865" t="s">
        <v>7689</v>
      </c>
      <c r="T1865" t="s">
        <v>30</v>
      </c>
      <c r="U1865" t="s">
        <v>26116</v>
      </c>
      <c r="W1865" t="s">
        <v>26020</v>
      </c>
    </row>
    <row r="1866" spans="1:23" x14ac:dyDescent="0.35">
      <c r="A1866">
        <v>425236</v>
      </c>
      <c r="B1866" t="s">
        <v>32964</v>
      </c>
      <c r="C1866" t="str">
        <f>"9780805831290"</f>
        <v>9780805831290</v>
      </c>
      <c r="D1866" t="str">
        <f>"9781410606822"</f>
        <v>9781410606822</v>
      </c>
      <c r="E1866" t="s">
        <v>26010</v>
      </c>
      <c r="F1866" t="s">
        <v>35</v>
      </c>
      <c r="G1866" t="s">
        <v>22436</v>
      </c>
      <c r="H1866" t="s">
        <v>26004</v>
      </c>
      <c r="I1866" s="26">
        <v>37561</v>
      </c>
      <c r="J1866">
        <v>2002</v>
      </c>
      <c r="K1866" t="s">
        <v>660</v>
      </c>
      <c r="L1866">
        <v>233</v>
      </c>
      <c r="M1866" t="s">
        <v>32965</v>
      </c>
      <c r="N1866">
        <v>1</v>
      </c>
      <c r="O1866" t="s">
        <v>32966</v>
      </c>
      <c r="Q1866" t="s">
        <v>32967</v>
      </c>
      <c r="R1866">
        <v>155</v>
      </c>
      <c r="S1866" t="s">
        <v>32968</v>
      </c>
      <c r="T1866" t="s">
        <v>30</v>
      </c>
      <c r="U1866" t="s">
        <v>46</v>
      </c>
      <c r="W1866" t="s">
        <v>26009</v>
      </c>
    </row>
    <row r="1867" spans="1:23" x14ac:dyDescent="0.35">
      <c r="A1867">
        <v>425380</v>
      </c>
      <c r="B1867" t="s">
        <v>9693</v>
      </c>
      <c r="C1867" t="str">
        <f>"9780805840698"</f>
        <v>9780805840698</v>
      </c>
      <c r="D1867" t="str">
        <f>"9781410606952"</f>
        <v>9781410606952</v>
      </c>
      <c r="E1867" t="s">
        <v>26010</v>
      </c>
      <c r="F1867" t="s">
        <v>35</v>
      </c>
      <c r="G1867" t="s">
        <v>26128</v>
      </c>
      <c r="H1867" t="s">
        <v>26011</v>
      </c>
      <c r="I1867" s="26">
        <v>37561</v>
      </c>
      <c r="J1867">
        <v>2002</v>
      </c>
      <c r="K1867" t="s">
        <v>660</v>
      </c>
      <c r="L1867">
        <v>248</v>
      </c>
      <c r="M1867" t="s">
        <v>32969</v>
      </c>
      <c r="N1867">
        <v>1</v>
      </c>
      <c r="O1867" t="s">
        <v>27622</v>
      </c>
      <c r="R1867">
        <v>146</v>
      </c>
      <c r="S1867" t="s">
        <v>32970</v>
      </c>
      <c r="T1867" t="s">
        <v>30</v>
      </c>
      <c r="U1867" t="s">
        <v>152</v>
      </c>
      <c r="W1867" t="s">
        <v>26009</v>
      </c>
    </row>
    <row r="1868" spans="1:23" x14ac:dyDescent="0.35">
      <c r="A1868">
        <v>425393</v>
      </c>
      <c r="B1868" t="s">
        <v>8743</v>
      </c>
      <c r="C1868" t="str">
        <f>"9780805843958"</f>
        <v>9780805843958</v>
      </c>
      <c r="D1868" t="str">
        <f>"9781410606600"</f>
        <v>9781410606600</v>
      </c>
      <c r="E1868" t="s">
        <v>26010</v>
      </c>
      <c r="F1868" t="s">
        <v>35</v>
      </c>
      <c r="G1868" t="s">
        <v>26128</v>
      </c>
      <c r="H1868" t="s">
        <v>26011</v>
      </c>
      <c r="I1868" s="26">
        <v>37408</v>
      </c>
      <c r="J1868">
        <v>2002</v>
      </c>
      <c r="K1868" t="s">
        <v>660</v>
      </c>
      <c r="L1868">
        <v>401</v>
      </c>
      <c r="M1868" t="s">
        <v>32971</v>
      </c>
      <c r="N1868">
        <v>1</v>
      </c>
      <c r="Q1868" t="s">
        <v>32972</v>
      </c>
      <c r="R1868">
        <v>152.13999999999999</v>
      </c>
      <c r="S1868" t="s">
        <v>32973</v>
      </c>
      <c r="T1868" t="s">
        <v>30</v>
      </c>
      <c r="U1868" t="s">
        <v>46</v>
      </c>
      <c r="W1868" t="s">
        <v>26009</v>
      </c>
    </row>
    <row r="1869" spans="1:23" x14ac:dyDescent="0.35">
      <c r="A1869">
        <v>425409</v>
      </c>
      <c r="B1869" t="s">
        <v>9401</v>
      </c>
      <c r="C1869" t="str">
        <f>"9780805834307"</f>
        <v>9780805834307</v>
      </c>
      <c r="D1869" t="str">
        <f>"9781410605986"</f>
        <v>9781410605986</v>
      </c>
      <c r="E1869" t="s">
        <v>26010</v>
      </c>
      <c r="F1869" t="s">
        <v>35</v>
      </c>
      <c r="G1869" t="s">
        <v>22436</v>
      </c>
      <c r="H1869" t="s">
        <v>26004</v>
      </c>
      <c r="I1869" s="26">
        <v>36892</v>
      </c>
      <c r="J1869">
        <v>2001</v>
      </c>
      <c r="K1869" t="s">
        <v>26012</v>
      </c>
      <c r="L1869">
        <v>287</v>
      </c>
      <c r="M1869" t="s">
        <v>32974</v>
      </c>
      <c r="N1869">
        <v>1</v>
      </c>
      <c r="O1869" t="s">
        <v>27630</v>
      </c>
      <c r="Q1869" t="s">
        <v>32975</v>
      </c>
      <c r="R1869">
        <v>153</v>
      </c>
      <c r="S1869" t="s">
        <v>8360</v>
      </c>
      <c r="T1869" t="s">
        <v>30</v>
      </c>
      <c r="U1869" t="s">
        <v>46</v>
      </c>
      <c r="W1869" t="s">
        <v>26009</v>
      </c>
    </row>
    <row r="1870" spans="1:23" x14ac:dyDescent="0.35">
      <c r="A1870">
        <v>425519</v>
      </c>
      <c r="B1870" t="s">
        <v>9701</v>
      </c>
      <c r="C1870" t="str">
        <f>"9780805840988"</f>
        <v>9780805840988</v>
      </c>
      <c r="D1870" t="str">
        <f>"9781410609144"</f>
        <v>9781410609144</v>
      </c>
      <c r="E1870" t="s">
        <v>26010</v>
      </c>
      <c r="F1870" t="s">
        <v>35</v>
      </c>
      <c r="G1870" t="s">
        <v>22436</v>
      </c>
      <c r="H1870" t="s">
        <v>26004</v>
      </c>
      <c r="I1870" s="26">
        <v>37742</v>
      </c>
      <c r="J1870">
        <v>2003</v>
      </c>
      <c r="K1870" t="s">
        <v>660</v>
      </c>
      <c r="L1870">
        <v>235</v>
      </c>
      <c r="M1870" t="s">
        <v>32976</v>
      </c>
      <c r="N1870">
        <v>1</v>
      </c>
      <c r="Q1870" t="s">
        <v>32977</v>
      </c>
      <c r="R1870" t="s">
        <v>32978</v>
      </c>
      <c r="S1870" t="s">
        <v>32979</v>
      </c>
      <c r="T1870" t="s">
        <v>30</v>
      </c>
      <c r="U1870" t="s">
        <v>46</v>
      </c>
      <c r="W1870" t="s">
        <v>26009</v>
      </c>
    </row>
    <row r="1871" spans="1:23" x14ac:dyDescent="0.35">
      <c r="A1871">
        <v>425568</v>
      </c>
      <c r="B1871" t="s">
        <v>32980</v>
      </c>
      <c r="C1871" t="str">
        <f>"9780805846140"</f>
        <v>9780805846140</v>
      </c>
      <c r="D1871" t="str">
        <f>"9781410609120"</f>
        <v>9781410609120</v>
      </c>
      <c r="E1871" t="s">
        <v>26010</v>
      </c>
      <c r="F1871" t="s">
        <v>35</v>
      </c>
      <c r="G1871" t="s">
        <v>22436</v>
      </c>
      <c r="H1871" t="s">
        <v>26004</v>
      </c>
      <c r="I1871" s="26">
        <v>37742</v>
      </c>
      <c r="J1871">
        <v>2003</v>
      </c>
      <c r="K1871" t="s">
        <v>660</v>
      </c>
      <c r="L1871">
        <v>241</v>
      </c>
      <c r="M1871" t="s">
        <v>32981</v>
      </c>
      <c r="N1871">
        <v>1</v>
      </c>
      <c r="Q1871" t="s">
        <v>32982</v>
      </c>
      <c r="R1871">
        <v>310</v>
      </c>
      <c r="S1871" t="s">
        <v>9954</v>
      </c>
      <c r="T1871" t="s">
        <v>30</v>
      </c>
      <c r="U1871" t="s">
        <v>32983</v>
      </c>
      <c r="W1871" t="s">
        <v>26009</v>
      </c>
    </row>
    <row r="1872" spans="1:23" x14ac:dyDescent="0.35">
      <c r="A1872">
        <v>426099</v>
      </c>
      <c r="B1872" t="s">
        <v>8734</v>
      </c>
      <c r="C1872" t="str">
        <f>"9781606230336"</f>
        <v>9781606230336</v>
      </c>
      <c r="D1872" t="str">
        <f>"9781606230947"</f>
        <v>9781606230947</v>
      </c>
      <c r="E1872" t="s">
        <v>30112</v>
      </c>
      <c r="F1872" t="s">
        <v>7420</v>
      </c>
      <c r="G1872" t="s">
        <v>22179</v>
      </c>
      <c r="H1872" t="s">
        <v>26004</v>
      </c>
      <c r="I1872" s="26">
        <v>39847</v>
      </c>
      <c r="J1872">
        <v>2009</v>
      </c>
      <c r="K1872" t="s">
        <v>30113</v>
      </c>
      <c r="L1872">
        <v>461</v>
      </c>
      <c r="M1872" t="s">
        <v>32984</v>
      </c>
      <c r="N1872">
        <v>1</v>
      </c>
      <c r="Q1872" t="s">
        <v>32985</v>
      </c>
      <c r="R1872" t="s">
        <v>28874</v>
      </c>
      <c r="S1872" t="s">
        <v>32986</v>
      </c>
      <c r="T1872" t="s">
        <v>30</v>
      </c>
      <c r="U1872" t="s">
        <v>28991</v>
      </c>
      <c r="W1872" t="s">
        <v>28347</v>
      </c>
    </row>
    <row r="1873" spans="1:23" x14ac:dyDescent="0.35">
      <c r="A1873">
        <v>427113</v>
      </c>
      <c r="B1873" t="s">
        <v>32987</v>
      </c>
      <c r="C1873" t="str">
        <f>"9780807848593"</f>
        <v>9780807848593</v>
      </c>
      <c r="D1873" t="str">
        <f>"9780807860601"</f>
        <v>9780807860601</v>
      </c>
      <c r="E1873" t="s">
        <v>31948</v>
      </c>
      <c r="F1873" t="s">
        <v>2866</v>
      </c>
      <c r="G1873" t="s">
        <v>23742</v>
      </c>
      <c r="H1873" t="s">
        <v>26004</v>
      </c>
      <c r="I1873" s="26">
        <v>36707</v>
      </c>
      <c r="J1873">
        <v>2000</v>
      </c>
      <c r="K1873" t="s">
        <v>2866</v>
      </c>
      <c r="L1873">
        <v>326</v>
      </c>
      <c r="M1873" t="s">
        <v>32988</v>
      </c>
      <c r="N1873">
        <v>1</v>
      </c>
      <c r="Q1873" t="s">
        <v>32989</v>
      </c>
      <c r="R1873" t="s">
        <v>32990</v>
      </c>
      <c r="S1873" t="s">
        <v>32991</v>
      </c>
      <c r="T1873" t="s">
        <v>30</v>
      </c>
      <c r="U1873" t="s">
        <v>366</v>
      </c>
      <c r="W1873" t="s">
        <v>26009</v>
      </c>
    </row>
    <row r="1874" spans="1:23" x14ac:dyDescent="0.35">
      <c r="A1874">
        <v>428890</v>
      </c>
      <c r="B1874" t="s">
        <v>32992</v>
      </c>
      <c r="C1874" t="str">
        <f>"9784431751786"</f>
        <v>9784431751786</v>
      </c>
      <c r="D1874" t="str">
        <f>"9784431751793"</f>
        <v>9784431751793</v>
      </c>
      <c r="E1874" t="s">
        <v>30084</v>
      </c>
      <c r="F1874" t="s">
        <v>9309</v>
      </c>
      <c r="G1874" t="s">
        <v>24979</v>
      </c>
      <c r="H1874" t="s">
        <v>32993</v>
      </c>
      <c r="I1874" s="26">
        <v>39692</v>
      </c>
      <c r="J1874">
        <v>2008</v>
      </c>
      <c r="K1874" t="s">
        <v>31125</v>
      </c>
      <c r="L1874">
        <v>217</v>
      </c>
      <c r="M1874" t="s">
        <v>32994</v>
      </c>
      <c r="N1874">
        <v>1</v>
      </c>
      <c r="Q1874" t="s">
        <v>30240</v>
      </c>
      <c r="R1874">
        <v>155.69999999999999</v>
      </c>
      <c r="S1874" t="s">
        <v>32995</v>
      </c>
      <c r="T1874" t="s">
        <v>30</v>
      </c>
      <c r="U1874" t="s">
        <v>46</v>
      </c>
      <c r="W1874" t="s">
        <v>26009</v>
      </c>
    </row>
    <row r="1875" spans="1:23" x14ac:dyDescent="0.35">
      <c r="A1875">
        <v>429187</v>
      </c>
      <c r="B1875" t="s">
        <v>32996</v>
      </c>
      <c r="C1875" t="str">
        <f>"9783110190182"</f>
        <v>9783110190182</v>
      </c>
      <c r="D1875" t="str">
        <f>"9783110215113"</f>
        <v>9783110215113</v>
      </c>
      <c r="E1875" t="s">
        <v>30630</v>
      </c>
      <c r="F1875" t="s">
        <v>7451</v>
      </c>
      <c r="G1875" t="s">
        <v>30631</v>
      </c>
      <c r="H1875" t="s">
        <v>30632</v>
      </c>
      <c r="I1875" s="26">
        <v>39015</v>
      </c>
      <c r="J1875">
        <v>2006</v>
      </c>
      <c r="K1875" t="s">
        <v>7451</v>
      </c>
      <c r="L1875">
        <v>380</v>
      </c>
      <c r="M1875" t="s">
        <v>32997</v>
      </c>
      <c r="N1875">
        <v>1</v>
      </c>
      <c r="Q1875" t="s">
        <v>32998</v>
      </c>
      <c r="S1875" t="s">
        <v>7918</v>
      </c>
      <c r="T1875" t="s">
        <v>30</v>
      </c>
      <c r="U1875" t="s">
        <v>26040</v>
      </c>
      <c r="W1875" t="s">
        <v>26009</v>
      </c>
    </row>
    <row r="1876" spans="1:23" x14ac:dyDescent="0.35">
      <c r="A1876">
        <v>429550</v>
      </c>
      <c r="B1876" t="s">
        <v>8271</v>
      </c>
      <c r="C1876" t="str">
        <f>"9780754643753"</f>
        <v>9780754643753</v>
      </c>
      <c r="D1876" t="str">
        <f>"9780754680123"</f>
        <v>9780754680123</v>
      </c>
      <c r="E1876" t="s">
        <v>26010</v>
      </c>
      <c r="F1876" t="s">
        <v>35</v>
      </c>
      <c r="G1876" t="s">
        <v>22184</v>
      </c>
      <c r="H1876" t="s">
        <v>26011</v>
      </c>
      <c r="I1876" s="26">
        <v>38623</v>
      </c>
      <c r="J1876">
        <v>2006</v>
      </c>
      <c r="K1876" t="s">
        <v>26012</v>
      </c>
      <c r="L1876">
        <v>273</v>
      </c>
      <c r="M1876" t="s">
        <v>32999</v>
      </c>
      <c r="N1876">
        <v>1</v>
      </c>
      <c r="Q1876" t="s">
        <v>33000</v>
      </c>
      <c r="R1876">
        <v>304.2</v>
      </c>
      <c r="S1876" t="s">
        <v>33001</v>
      </c>
      <c r="T1876" t="s">
        <v>30</v>
      </c>
      <c r="U1876" t="s">
        <v>26228</v>
      </c>
      <c r="W1876" t="s">
        <v>26009</v>
      </c>
    </row>
    <row r="1877" spans="1:23" x14ac:dyDescent="0.35">
      <c r="A1877">
        <v>429551</v>
      </c>
      <c r="B1877" t="s">
        <v>33002</v>
      </c>
      <c r="C1877" t="str">
        <f>"9780754647614"</f>
        <v>9780754647614</v>
      </c>
      <c r="D1877" t="str">
        <f>"9780754684787"</f>
        <v>9780754684787</v>
      </c>
      <c r="E1877" t="s">
        <v>26010</v>
      </c>
      <c r="F1877" t="s">
        <v>35</v>
      </c>
      <c r="G1877" t="s">
        <v>33003</v>
      </c>
      <c r="H1877" t="s">
        <v>26011</v>
      </c>
      <c r="I1877" s="26">
        <v>39264</v>
      </c>
      <c r="J1877">
        <v>2007</v>
      </c>
      <c r="K1877" t="s">
        <v>26012</v>
      </c>
      <c r="L1877">
        <v>279</v>
      </c>
      <c r="M1877" t="s">
        <v>33004</v>
      </c>
      <c r="N1877">
        <v>1</v>
      </c>
      <c r="Q1877" t="s">
        <v>33005</v>
      </c>
      <c r="R1877">
        <v>306.76</v>
      </c>
      <c r="S1877" t="s">
        <v>33006</v>
      </c>
      <c r="T1877" t="s">
        <v>30</v>
      </c>
      <c r="U1877" t="s">
        <v>26044</v>
      </c>
      <c r="W1877" t="s">
        <v>26009</v>
      </c>
    </row>
    <row r="1878" spans="1:23" x14ac:dyDescent="0.35">
      <c r="A1878">
        <v>429672</v>
      </c>
      <c r="B1878" t="s">
        <v>9516</v>
      </c>
      <c r="C1878" t="str">
        <f>"9781840147797"</f>
        <v>9781840147797</v>
      </c>
      <c r="D1878" t="str">
        <f>"9780754680765"</f>
        <v>9780754680765</v>
      </c>
      <c r="E1878" t="s">
        <v>26010</v>
      </c>
      <c r="F1878" t="s">
        <v>35</v>
      </c>
      <c r="G1878" t="s">
        <v>22184</v>
      </c>
      <c r="H1878" t="s">
        <v>26011</v>
      </c>
      <c r="I1878" s="26">
        <v>36455</v>
      </c>
      <c r="J1878">
        <v>1999</v>
      </c>
      <c r="K1878" t="s">
        <v>26012</v>
      </c>
      <c r="L1878">
        <v>274</v>
      </c>
      <c r="M1878" t="s">
        <v>33007</v>
      </c>
      <c r="N1878">
        <v>1</v>
      </c>
      <c r="O1878" t="s">
        <v>33008</v>
      </c>
      <c r="Q1878" t="s">
        <v>33009</v>
      </c>
      <c r="R1878">
        <v>364.3</v>
      </c>
      <c r="S1878" t="s">
        <v>33010</v>
      </c>
      <c r="T1878" t="s">
        <v>30</v>
      </c>
      <c r="U1878" t="s">
        <v>26044</v>
      </c>
      <c r="W1878" t="s">
        <v>26009</v>
      </c>
    </row>
    <row r="1879" spans="1:23" x14ac:dyDescent="0.35">
      <c r="A1879">
        <v>429676</v>
      </c>
      <c r="B1879" t="s">
        <v>33011</v>
      </c>
      <c r="C1879" t="str">
        <f>"9780754647720"</f>
        <v>9780754647720</v>
      </c>
      <c r="D1879" t="str">
        <f>"9780754683988"</f>
        <v>9780754683988</v>
      </c>
      <c r="E1879" t="s">
        <v>26010</v>
      </c>
      <c r="F1879" t="s">
        <v>35</v>
      </c>
      <c r="G1879" t="s">
        <v>22184</v>
      </c>
      <c r="H1879" t="s">
        <v>26011</v>
      </c>
      <c r="I1879" s="26">
        <v>39141</v>
      </c>
      <c r="J1879">
        <v>2007</v>
      </c>
      <c r="K1879" t="s">
        <v>26012</v>
      </c>
      <c r="L1879">
        <v>301</v>
      </c>
      <c r="M1879" t="s">
        <v>33012</v>
      </c>
      <c r="N1879">
        <v>1</v>
      </c>
      <c r="O1879" t="s">
        <v>33013</v>
      </c>
      <c r="Q1879" t="s">
        <v>33014</v>
      </c>
      <c r="R1879">
        <v>302</v>
      </c>
      <c r="S1879" t="s">
        <v>33015</v>
      </c>
      <c r="T1879" t="s">
        <v>30</v>
      </c>
      <c r="U1879" t="s">
        <v>26044</v>
      </c>
      <c r="W1879" t="s">
        <v>26009</v>
      </c>
    </row>
    <row r="1880" spans="1:23" x14ac:dyDescent="0.35">
      <c r="A1880">
        <v>429685</v>
      </c>
      <c r="B1880" t="s">
        <v>33016</v>
      </c>
      <c r="C1880" t="str">
        <f>"9780754646563"</f>
        <v>9780754646563</v>
      </c>
      <c r="D1880" t="str">
        <f>"9780754680109"</f>
        <v>9780754680109</v>
      </c>
      <c r="E1880" t="s">
        <v>26010</v>
      </c>
      <c r="F1880" t="s">
        <v>35</v>
      </c>
      <c r="G1880" t="s">
        <v>22184</v>
      </c>
      <c r="H1880" t="s">
        <v>26011</v>
      </c>
      <c r="I1880" s="26">
        <v>39018</v>
      </c>
      <c r="J1880">
        <v>2006</v>
      </c>
      <c r="K1880" t="s">
        <v>26012</v>
      </c>
      <c r="L1880">
        <v>253</v>
      </c>
      <c r="M1880" t="s">
        <v>33017</v>
      </c>
      <c r="N1880">
        <v>1</v>
      </c>
      <c r="O1880" t="s">
        <v>33018</v>
      </c>
      <c r="Q1880" t="s">
        <v>33019</v>
      </c>
      <c r="R1880">
        <v>306.45999999999998</v>
      </c>
      <c r="S1880" t="s">
        <v>33020</v>
      </c>
      <c r="T1880" t="s">
        <v>30</v>
      </c>
      <c r="U1880" t="s">
        <v>26044</v>
      </c>
      <c r="W1880" t="s">
        <v>26009</v>
      </c>
    </row>
    <row r="1881" spans="1:23" x14ac:dyDescent="0.35">
      <c r="A1881">
        <v>429693</v>
      </c>
      <c r="B1881" t="s">
        <v>33021</v>
      </c>
      <c r="C1881" t="str">
        <f>"9780754649984"</f>
        <v>9780754649984</v>
      </c>
      <c r="D1881" t="str">
        <f>"9780754685296"</f>
        <v>9780754685296</v>
      </c>
      <c r="E1881" t="s">
        <v>26010</v>
      </c>
      <c r="F1881" t="s">
        <v>35</v>
      </c>
      <c r="G1881" t="s">
        <v>22184</v>
      </c>
      <c r="H1881" t="s">
        <v>26011</v>
      </c>
      <c r="I1881" s="26">
        <v>39291</v>
      </c>
      <c r="J1881">
        <v>2007</v>
      </c>
      <c r="K1881" t="s">
        <v>26012</v>
      </c>
      <c r="L1881">
        <v>198</v>
      </c>
      <c r="M1881" t="s">
        <v>33022</v>
      </c>
      <c r="N1881">
        <v>1</v>
      </c>
      <c r="Q1881" t="s">
        <v>33023</v>
      </c>
      <c r="R1881">
        <v>306.87409182099998</v>
      </c>
      <c r="S1881" t="s">
        <v>33024</v>
      </c>
      <c r="T1881" t="s">
        <v>30</v>
      </c>
      <c r="U1881" t="s">
        <v>26044</v>
      </c>
      <c r="W1881" t="s">
        <v>26009</v>
      </c>
    </row>
    <row r="1882" spans="1:23" x14ac:dyDescent="0.35">
      <c r="A1882">
        <v>429790</v>
      </c>
      <c r="B1882" t="s">
        <v>33025</v>
      </c>
      <c r="C1882" t="str">
        <f>"9780754648802"</f>
        <v>9780754648802</v>
      </c>
      <c r="D1882" t="str">
        <f>"9780754685876"</f>
        <v>9780754685876</v>
      </c>
      <c r="E1882" t="s">
        <v>26010</v>
      </c>
      <c r="F1882" t="s">
        <v>35</v>
      </c>
      <c r="G1882" t="s">
        <v>26128</v>
      </c>
      <c r="H1882" t="s">
        <v>26011</v>
      </c>
      <c r="I1882" s="26">
        <v>43068</v>
      </c>
      <c r="J1882">
        <v>2007</v>
      </c>
      <c r="K1882" t="s">
        <v>26012</v>
      </c>
      <c r="L1882">
        <v>330</v>
      </c>
      <c r="M1882" t="s">
        <v>33026</v>
      </c>
      <c r="N1882">
        <v>1</v>
      </c>
      <c r="R1882">
        <v>302.17</v>
      </c>
      <c r="S1882" t="s">
        <v>8220</v>
      </c>
      <c r="T1882" t="s">
        <v>30</v>
      </c>
      <c r="U1882" t="s">
        <v>26044</v>
      </c>
      <c r="W1882" t="s">
        <v>26009</v>
      </c>
    </row>
    <row r="1883" spans="1:23" x14ac:dyDescent="0.35">
      <c r="A1883">
        <v>429837</v>
      </c>
      <c r="B1883" t="s">
        <v>33027</v>
      </c>
      <c r="C1883" t="str">
        <f>"9780754646990"</f>
        <v>9780754646990</v>
      </c>
      <c r="D1883" t="str">
        <f>"9780754680574"</f>
        <v>9780754680574</v>
      </c>
      <c r="E1883" t="s">
        <v>26010</v>
      </c>
      <c r="F1883" t="s">
        <v>35</v>
      </c>
      <c r="G1883" t="s">
        <v>22184</v>
      </c>
      <c r="H1883" t="s">
        <v>26011</v>
      </c>
      <c r="I1883" s="26">
        <v>38926</v>
      </c>
      <c r="J1883">
        <v>2006</v>
      </c>
      <c r="K1883" t="s">
        <v>26012</v>
      </c>
      <c r="L1883">
        <v>215</v>
      </c>
      <c r="M1883" t="s">
        <v>33028</v>
      </c>
      <c r="N1883">
        <v>1</v>
      </c>
      <c r="Q1883" t="s">
        <v>33029</v>
      </c>
      <c r="R1883">
        <v>306.10000000000002</v>
      </c>
      <c r="S1883" t="s">
        <v>33030</v>
      </c>
      <c r="T1883" t="s">
        <v>30</v>
      </c>
      <c r="U1883" t="s">
        <v>26044</v>
      </c>
      <c r="W1883" t="s">
        <v>26009</v>
      </c>
    </row>
    <row r="1884" spans="1:23" x14ac:dyDescent="0.35">
      <c r="A1884">
        <v>429876</v>
      </c>
      <c r="B1884" t="s">
        <v>33031</v>
      </c>
      <c r="C1884" t="str">
        <f>"9780754623557"</f>
        <v>9780754623557</v>
      </c>
      <c r="D1884" t="str">
        <f>"9780754680499"</f>
        <v>9780754680499</v>
      </c>
      <c r="E1884" t="s">
        <v>26010</v>
      </c>
      <c r="F1884" t="s">
        <v>35</v>
      </c>
      <c r="G1884" t="s">
        <v>22184</v>
      </c>
      <c r="H1884" t="s">
        <v>26011</v>
      </c>
      <c r="I1884" s="26">
        <v>39049</v>
      </c>
      <c r="J1884">
        <v>2013</v>
      </c>
      <c r="K1884" t="s">
        <v>33032</v>
      </c>
      <c r="L1884">
        <v>158</v>
      </c>
      <c r="M1884" t="s">
        <v>33033</v>
      </c>
      <c r="N1884">
        <v>1</v>
      </c>
      <c r="O1884" t="s">
        <v>33034</v>
      </c>
      <c r="Q1884" t="s">
        <v>33035</v>
      </c>
      <c r="R1884">
        <v>362</v>
      </c>
      <c r="S1884" t="s">
        <v>33036</v>
      </c>
      <c r="T1884" t="s">
        <v>30</v>
      </c>
      <c r="U1884" t="s">
        <v>33037</v>
      </c>
      <c r="W1884" t="s">
        <v>26009</v>
      </c>
    </row>
    <row r="1885" spans="1:23" x14ac:dyDescent="0.35">
      <c r="A1885">
        <v>430272</v>
      </c>
      <c r="B1885" t="s">
        <v>33038</v>
      </c>
      <c r="C1885" t="str">
        <f>"9780195189179"</f>
        <v>9780195189179</v>
      </c>
      <c r="D1885" t="str">
        <f>"9780198040750"</f>
        <v>9780198040750</v>
      </c>
      <c r="E1885" t="s">
        <v>371</v>
      </c>
      <c r="F1885" t="s">
        <v>31</v>
      </c>
      <c r="G1885" t="s">
        <v>22703</v>
      </c>
      <c r="H1885" t="s">
        <v>26004</v>
      </c>
      <c r="I1885" s="26">
        <v>38967</v>
      </c>
      <c r="J1885">
        <v>2006</v>
      </c>
      <c r="K1885" t="s">
        <v>31</v>
      </c>
      <c r="L1885">
        <v>221</v>
      </c>
      <c r="M1885" t="s">
        <v>33039</v>
      </c>
      <c r="N1885">
        <v>2</v>
      </c>
      <c r="O1885" t="s">
        <v>28565</v>
      </c>
      <c r="Q1885" t="s">
        <v>33040</v>
      </c>
      <c r="R1885" t="s">
        <v>32162</v>
      </c>
      <c r="S1885" t="s">
        <v>33041</v>
      </c>
      <c r="T1885" t="s">
        <v>30</v>
      </c>
      <c r="U1885" t="s">
        <v>26019</v>
      </c>
      <c r="W1885" t="s">
        <v>26009</v>
      </c>
    </row>
    <row r="1886" spans="1:23" x14ac:dyDescent="0.35">
      <c r="A1886">
        <v>430273</v>
      </c>
      <c r="B1886" t="s">
        <v>33042</v>
      </c>
      <c r="C1886" t="str">
        <f>"9780195189186"</f>
        <v>9780195189186</v>
      </c>
      <c r="D1886" t="str">
        <f>"9780198040767"</f>
        <v>9780198040767</v>
      </c>
      <c r="E1886" t="s">
        <v>371</v>
      </c>
      <c r="F1886" t="s">
        <v>31</v>
      </c>
      <c r="G1886" t="s">
        <v>22703</v>
      </c>
      <c r="H1886" t="s">
        <v>26004</v>
      </c>
      <c r="I1886" s="26">
        <v>38960</v>
      </c>
      <c r="J1886">
        <v>2006</v>
      </c>
      <c r="K1886" t="s">
        <v>31</v>
      </c>
      <c r="L1886">
        <v>198</v>
      </c>
      <c r="M1886" t="s">
        <v>33043</v>
      </c>
      <c r="N1886">
        <v>2</v>
      </c>
      <c r="O1886" t="s">
        <v>28565</v>
      </c>
      <c r="P1886" t="s">
        <v>33044</v>
      </c>
      <c r="Q1886" t="s">
        <v>33040</v>
      </c>
      <c r="R1886">
        <v>616.85</v>
      </c>
      <c r="S1886" t="s">
        <v>33041</v>
      </c>
      <c r="T1886" t="s">
        <v>30</v>
      </c>
      <c r="U1886" t="s">
        <v>26019</v>
      </c>
      <c r="W1886" t="s">
        <v>26009</v>
      </c>
    </row>
    <row r="1887" spans="1:23" x14ac:dyDescent="0.35">
      <c r="A1887">
        <v>430296</v>
      </c>
      <c r="B1887" t="s">
        <v>33045</v>
      </c>
      <c r="C1887" t="str">
        <f>"9780195126709"</f>
        <v>9780195126709</v>
      </c>
      <c r="D1887" t="str">
        <f>"9780198029229"</f>
        <v>9780198029229</v>
      </c>
      <c r="E1887" t="s">
        <v>371</v>
      </c>
      <c r="F1887" t="s">
        <v>31</v>
      </c>
      <c r="G1887" t="s">
        <v>22703</v>
      </c>
      <c r="H1887" t="s">
        <v>26004</v>
      </c>
      <c r="I1887" s="26">
        <v>36818</v>
      </c>
      <c r="J1887">
        <v>2000</v>
      </c>
      <c r="K1887" t="s">
        <v>31</v>
      </c>
      <c r="L1887">
        <v>358</v>
      </c>
      <c r="M1887" t="s">
        <v>33046</v>
      </c>
      <c r="Q1887" t="s">
        <v>33047</v>
      </c>
      <c r="R1887" t="s">
        <v>33048</v>
      </c>
      <c r="S1887" t="s">
        <v>33049</v>
      </c>
      <c r="T1887" t="s">
        <v>30</v>
      </c>
      <c r="U1887" t="s">
        <v>26057</v>
      </c>
      <c r="W1887" t="s">
        <v>26009</v>
      </c>
    </row>
    <row r="1888" spans="1:23" x14ac:dyDescent="0.35">
      <c r="A1888">
        <v>430304</v>
      </c>
      <c r="B1888" t="s">
        <v>33050</v>
      </c>
      <c r="C1888" t="str">
        <f>"9780195130072"</f>
        <v>9780195130072</v>
      </c>
      <c r="D1888" t="str">
        <f>"9780195351545"</f>
        <v>9780195351545</v>
      </c>
      <c r="E1888" t="s">
        <v>371</v>
      </c>
      <c r="F1888" t="s">
        <v>31</v>
      </c>
      <c r="G1888" t="s">
        <v>22179</v>
      </c>
      <c r="H1888" t="s">
        <v>26004</v>
      </c>
      <c r="I1888" s="26">
        <v>37014</v>
      </c>
      <c r="J1888">
        <v>2001</v>
      </c>
      <c r="K1888" t="s">
        <v>31</v>
      </c>
      <c r="L1888">
        <v>493</v>
      </c>
      <c r="M1888" t="s">
        <v>33051</v>
      </c>
      <c r="O1888" t="s">
        <v>27886</v>
      </c>
      <c r="Q1888" t="s">
        <v>33052</v>
      </c>
      <c r="R1888">
        <v>152.4</v>
      </c>
      <c r="S1888" t="s">
        <v>33053</v>
      </c>
      <c r="T1888" t="s">
        <v>30</v>
      </c>
      <c r="U1888" t="s">
        <v>46</v>
      </c>
      <c r="W1888" t="s">
        <v>26009</v>
      </c>
    </row>
    <row r="1889" spans="1:23" x14ac:dyDescent="0.35">
      <c r="A1889">
        <v>430308</v>
      </c>
      <c r="B1889" t="s">
        <v>7873</v>
      </c>
      <c r="C1889" t="str">
        <f>"9780195309416"</f>
        <v>9780195309416</v>
      </c>
      <c r="D1889" t="str">
        <f>"9780199725854"</f>
        <v>9780199725854</v>
      </c>
      <c r="E1889" t="s">
        <v>371</v>
      </c>
      <c r="F1889" t="s">
        <v>31</v>
      </c>
      <c r="G1889" t="s">
        <v>22179</v>
      </c>
      <c r="H1889" t="s">
        <v>26004</v>
      </c>
      <c r="I1889" s="26">
        <v>39128</v>
      </c>
      <c r="J1889">
        <v>2005</v>
      </c>
      <c r="K1889" t="s">
        <v>31</v>
      </c>
      <c r="L1889">
        <v>198</v>
      </c>
      <c r="M1889" t="s">
        <v>33054</v>
      </c>
      <c r="Q1889" t="s">
        <v>33055</v>
      </c>
      <c r="R1889" t="s">
        <v>27122</v>
      </c>
      <c r="S1889" t="s">
        <v>7874</v>
      </c>
      <c r="T1889" t="s">
        <v>30</v>
      </c>
      <c r="U1889" t="s">
        <v>26019</v>
      </c>
      <c r="W1889" t="s">
        <v>26009</v>
      </c>
    </row>
    <row r="1890" spans="1:23" x14ac:dyDescent="0.35">
      <c r="A1890">
        <v>430319</v>
      </c>
      <c r="B1890" t="s">
        <v>33056</v>
      </c>
      <c r="C1890" t="str">
        <f>"9780198566410"</f>
        <v>9780198566410</v>
      </c>
      <c r="D1890" t="str">
        <f>"9780191568626"</f>
        <v>9780191568626</v>
      </c>
      <c r="E1890" t="s">
        <v>371</v>
      </c>
      <c r="F1890" t="s">
        <v>31</v>
      </c>
      <c r="G1890" t="s">
        <v>22242</v>
      </c>
      <c r="H1890" t="s">
        <v>26011</v>
      </c>
      <c r="I1890" s="26">
        <v>38610</v>
      </c>
      <c r="J1890">
        <v>2005</v>
      </c>
      <c r="K1890" t="s">
        <v>31</v>
      </c>
      <c r="L1890">
        <v>417</v>
      </c>
      <c r="M1890" t="s">
        <v>33057</v>
      </c>
      <c r="Q1890" t="s">
        <v>33058</v>
      </c>
      <c r="R1890">
        <v>153</v>
      </c>
      <c r="S1890" t="s">
        <v>33059</v>
      </c>
      <c r="T1890" t="s">
        <v>30</v>
      </c>
      <c r="U1890" t="s">
        <v>46</v>
      </c>
      <c r="W1890" t="s">
        <v>26009</v>
      </c>
    </row>
    <row r="1891" spans="1:23" x14ac:dyDescent="0.35">
      <c r="A1891">
        <v>430325</v>
      </c>
      <c r="B1891" t="s">
        <v>33060</v>
      </c>
      <c r="C1891" t="str">
        <f>"9780195188196"</f>
        <v>9780195188196</v>
      </c>
      <c r="D1891" t="str">
        <f>"9780199727384"</f>
        <v>9780199727384</v>
      </c>
      <c r="E1891" t="s">
        <v>371</v>
      </c>
      <c r="F1891" t="s">
        <v>31</v>
      </c>
      <c r="G1891" t="s">
        <v>22179</v>
      </c>
      <c r="H1891" t="s">
        <v>26011</v>
      </c>
      <c r="I1891" s="26">
        <v>38519</v>
      </c>
      <c r="J1891">
        <v>2005</v>
      </c>
      <c r="K1891" t="s">
        <v>31984</v>
      </c>
      <c r="L1891">
        <v>141</v>
      </c>
      <c r="M1891" t="s">
        <v>33061</v>
      </c>
      <c r="O1891" t="s">
        <v>32228</v>
      </c>
      <c r="Q1891" t="s">
        <v>33062</v>
      </c>
      <c r="R1891">
        <v>616.85890600000005</v>
      </c>
      <c r="S1891" t="s">
        <v>9055</v>
      </c>
      <c r="T1891" t="s">
        <v>30</v>
      </c>
      <c r="U1891" t="s">
        <v>26040</v>
      </c>
      <c r="W1891" t="s">
        <v>26009</v>
      </c>
    </row>
    <row r="1892" spans="1:23" x14ac:dyDescent="0.35">
      <c r="A1892">
        <v>430330</v>
      </c>
      <c r="B1892" t="s">
        <v>9482</v>
      </c>
      <c r="C1892" t="str">
        <f>"9780195309270"</f>
        <v>9780195309270</v>
      </c>
      <c r="D1892" t="str">
        <f>"9780198042235"</f>
        <v>9780198042235</v>
      </c>
      <c r="E1892" t="s">
        <v>371</v>
      </c>
      <c r="F1892" t="s">
        <v>31</v>
      </c>
      <c r="G1892" t="s">
        <v>22703</v>
      </c>
      <c r="H1892" t="s">
        <v>26004</v>
      </c>
      <c r="I1892" s="26">
        <v>38960</v>
      </c>
      <c r="J1892">
        <v>2006</v>
      </c>
      <c r="K1892" t="s">
        <v>31</v>
      </c>
      <c r="L1892">
        <v>133</v>
      </c>
      <c r="M1892" t="s">
        <v>33063</v>
      </c>
      <c r="O1892" t="s">
        <v>28565</v>
      </c>
      <c r="Q1892" t="s">
        <v>33064</v>
      </c>
      <c r="R1892">
        <v>617.42999999999995</v>
      </c>
      <c r="S1892" t="s">
        <v>33065</v>
      </c>
      <c r="T1892" t="s">
        <v>30</v>
      </c>
      <c r="U1892" t="s">
        <v>26040</v>
      </c>
      <c r="W1892" t="s">
        <v>26009</v>
      </c>
    </row>
    <row r="1893" spans="1:23" x14ac:dyDescent="0.35">
      <c r="A1893">
        <v>430343</v>
      </c>
      <c r="B1893" t="s">
        <v>33066</v>
      </c>
      <c r="C1893" t="str">
        <f>"9780195313444"</f>
        <v>9780195313444</v>
      </c>
      <c r="D1893" t="str">
        <f>"9780199726042"</f>
        <v>9780199726042</v>
      </c>
      <c r="E1893" t="s">
        <v>371</v>
      </c>
      <c r="F1893" t="s">
        <v>31</v>
      </c>
      <c r="G1893" t="s">
        <v>22703</v>
      </c>
      <c r="H1893" t="s">
        <v>26004</v>
      </c>
      <c r="I1893" s="26">
        <v>39798</v>
      </c>
      <c r="J1893">
        <v>2009</v>
      </c>
      <c r="K1893" t="s">
        <v>31</v>
      </c>
      <c r="L1893">
        <v>254</v>
      </c>
      <c r="M1893" t="s">
        <v>33067</v>
      </c>
      <c r="O1893" t="s">
        <v>28565</v>
      </c>
      <c r="Q1893" t="s">
        <v>33068</v>
      </c>
      <c r="R1893">
        <v>616.89499999999998</v>
      </c>
      <c r="S1893" t="s">
        <v>33069</v>
      </c>
      <c r="T1893" t="s">
        <v>30</v>
      </c>
      <c r="U1893" t="s">
        <v>26019</v>
      </c>
      <c r="W1893" t="s">
        <v>26009</v>
      </c>
    </row>
    <row r="1894" spans="1:23" x14ac:dyDescent="0.35">
      <c r="A1894">
        <v>430360</v>
      </c>
      <c r="B1894" t="s">
        <v>33070</v>
      </c>
      <c r="C1894" t="str">
        <f>"9780195315189"</f>
        <v>9780195315189</v>
      </c>
      <c r="D1894" t="str">
        <f>"9780199717996"</f>
        <v>9780199717996</v>
      </c>
      <c r="E1894" t="s">
        <v>371</v>
      </c>
      <c r="F1894" t="s">
        <v>31</v>
      </c>
      <c r="G1894" t="s">
        <v>22703</v>
      </c>
      <c r="H1894" t="s">
        <v>26004</v>
      </c>
      <c r="I1894" s="26">
        <v>39413</v>
      </c>
      <c r="J1894">
        <v>2008</v>
      </c>
      <c r="K1894" t="s">
        <v>31</v>
      </c>
      <c r="L1894">
        <v>169</v>
      </c>
      <c r="M1894" t="s">
        <v>33071</v>
      </c>
      <c r="O1894" t="s">
        <v>28565</v>
      </c>
      <c r="Q1894" t="s">
        <v>33072</v>
      </c>
      <c r="R1894">
        <v>616.89</v>
      </c>
      <c r="S1894" t="s">
        <v>33073</v>
      </c>
      <c r="T1894" t="s">
        <v>30</v>
      </c>
      <c r="U1894" t="s">
        <v>26040</v>
      </c>
      <c r="W1894" t="s">
        <v>26009</v>
      </c>
    </row>
    <row r="1895" spans="1:23" x14ac:dyDescent="0.35">
      <c r="A1895">
        <v>430362</v>
      </c>
      <c r="B1895" t="s">
        <v>33074</v>
      </c>
      <c r="C1895" t="str">
        <f>"9780195300581"</f>
        <v>9780195300581</v>
      </c>
      <c r="D1895" t="str">
        <f>"9780199727261"</f>
        <v>9780199727261</v>
      </c>
      <c r="E1895" t="s">
        <v>371</v>
      </c>
      <c r="F1895" t="s">
        <v>31</v>
      </c>
      <c r="H1895" t="s">
        <v>26011</v>
      </c>
      <c r="I1895" s="26">
        <v>39121</v>
      </c>
      <c r="J1895">
        <v>2007</v>
      </c>
      <c r="K1895" t="s">
        <v>31984</v>
      </c>
      <c r="L1895">
        <v>190</v>
      </c>
      <c r="M1895" t="s">
        <v>33075</v>
      </c>
      <c r="Q1895" t="s">
        <v>33076</v>
      </c>
      <c r="R1895" t="s">
        <v>31259</v>
      </c>
      <c r="S1895" t="s">
        <v>7750</v>
      </c>
      <c r="T1895" t="s">
        <v>30</v>
      </c>
      <c r="U1895" t="s">
        <v>26116</v>
      </c>
      <c r="W1895" t="s">
        <v>26009</v>
      </c>
    </row>
    <row r="1896" spans="1:23" x14ac:dyDescent="0.35">
      <c r="A1896">
        <v>430390</v>
      </c>
      <c r="B1896" t="s">
        <v>33077</v>
      </c>
      <c r="C1896" t="str">
        <f>"9780195127300"</f>
        <v>9780195127300</v>
      </c>
      <c r="D1896" t="str">
        <f>"9780198029298"</f>
        <v>9780198029298</v>
      </c>
      <c r="E1896" t="s">
        <v>371</v>
      </c>
      <c r="F1896" t="s">
        <v>31</v>
      </c>
      <c r="G1896" t="s">
        <v>22703</v>
      </c>
      <c r="H1896" t="s">
        <v>26004</v>
      </c>
      <c r="I1896" s="26">
        <v>36223</v>
      </c>
      <c r="J1896">
        <v>1999</v>
      </c>
      <c r="K1896" t="s">
        <v>31</v>
      </c>
      <c r="L1896">
        <v>294</v>
      </c>
      <c r="M1896" t="s">
        <v>33078</v>
      </c>
      <c r="O1896" t="s">
        <v>27881</v>
      </c>
      <c r="P1896" t="s">
        <v>30513</v>
      </c>
      <c r="Q1896" t="s">
        <v>33079</v>
      </c>
      <c r="R1896" t="s">
        <v>33080</v>
      </c>
      <c r="S1896" t="s">
        <v>33081</v>
      </c>
      <c r="T1896" t="s">
        <v>30</v>
      </c>
      <c r="U1896" t="s">
        <v>26040</v>
      </c>
      <c r="W1896" t="s">
        <v>26009</v>
      </c>
    </row>
    <row r="1897" spans="1:23" x14ac:dyDescent="0.35">
      <c r="A1897">
        <v>430409</v>
      </c>
      <c r="B1897" t="s">
        <v>33082</v>
      </c>
      <c r="C1897" t="str">
        <f>"9780195372496"</f>
        <v>9780195372496</v>
      </c>
      <c r="D1897" t="str">
        <f>"9780199707003"</f>
        <v>9780199707003</v>
      </c>
      <c r="E1897" t="s">
        <v>371</v>
      </c>
      <c r="F1897" t="s">
        <v>31</v>
      </c>
      <c r="G1897" t="s">
        <v>22703</v>
      </c>
      <c r="H1897" t="s">
        <v>26004</v>
      </c>
      <c r="I1897" s="26">
        <v>39931</v>
      </c>
      <c r="J1897">
        <v>2009</v>
      </c>
      <c r="K1897" t="s">
        <v>31</v>
      </c>
      <c r="L1897">
        <v>286</v>
      </c>
      <c r="M1897" t="s">
        <v>33083</v>
      </c>
      <c r="Q1897" t="s">
        <v>33084</v>
      </c>
      <c r="R1897">
        <v>616.89</v>
      </c>
      <c r="S1897" t="s">
        <v>33085</v>
      </c>
      <c r="T1897" t="s">
        <v>30</v>
      </c>
      <c r="U1897" t="s">
        <v>26116</v>
      </c>
      <c r="W1897" t="s">
        <v>26009</v>
      </c>
    </row>
    <row r="1898" spans="1:23" x14ac:dyDescent="0.35">
      <c r="A1898">
        <v>430423</v>
      </c>
      <c r="B1898" t="s">
        <v>33086</v>
      </c>
      <c r="C1898" t="str">
        <f>"9780195181906"</f>
        <v>9780195181906</v>
      </c>
      <c r="D1898" t="str">
        <f>"9780199726677"</f>
        <v>9780199726677</v>
      </c>
      <c r="E1898" t="s">
        <v>371</v>
      </c>
      <c r="F1898" t="s">
        <v>31</v>
      </c>
      <c r="H1898" t="s">
        <v>26011</v>
      </c>
      <c r="I1898" s="26">
        <v>39065</v>
      </c>
      <c r="J1898">
        <v>2007</v>
      </c>
      <c r="K1898" t="s">
        <v>31984</v>
      </c>
      <c r="L1898">
        <v>681</v>
      </c>
      <c r="M1898" t="s">
        <v>33087</v>
      </c>
      <c r="N1898">
        <v>4</v>
      </c>
      <c r="Q1898" t="s">
        <v>33088</v>
      </c>
      <c r="R1898" t="s">
        <v>28243</v>
      </c>
      <c r="S1898" t="s">
        <v>9067</v>
      </c>
      <c r="T1898" t="s">
        <v>30</v>
      </c>
      <c r="U1898" t="s">
        <v>46</v>
      </c>
      <c r="W1898" t="s">
        <v>26009</v>
      </c>
    </row>
    <row r="1899" spans="1:23" x14ac:dyDescent="0.35">
      <c r="A1899">
        <v>430424</v>
      </c>
      <c r="B1899" t="s">
        <v>33089</v>
      </c>
      <c r="C1899" t="str">
        <f>"9780195181913"</f>
        <v>9780195181913</v>
      </c>
      <c r="D1899" t="str">
        <f>"9780199726691"</f>
        <v>9780199726691</v>
      </c>
      <c r="E1899" t="s">
        <v>371</v>
      </c>
      <c r="F1899" t="s">
        <v>31</v>
      </c>
      <c r="H1899" t="s">
        <v>26011</v>
      </c>
      <c r="I1899" s="26">
        <v>39093</v>
      </c>
      <c r="J1899">
        <v>2007</v>
      </c>
      <c r="K1899" t="s">
        <v>31984</v>
      </c>
      <c r="L1899">
        <v>948</v>
      </c>
      <c r="M1899" t="s">
        <v>33087</v>
      </c>
      <c r="N1899">
        <v>4</v>
      </c>
      <c r="Q1899" t="s">
        <v>33088</v>
      </c>
      <c r="R1899">
        <v>150.28700000000001</v>
      </c>
      <c r="S1899" t="s">
        <v>9067</v>
      </c>
      <c r="T1899" t="s">
        <v>30</v>
      </c>
      <c r="U1899" t="s">
        <v>46</v>
      </c>
      <c r="W1899" t="s">
        <v>26009</v>
      </c>
    </row>
    <row r="1900" spans="1:23" x14ac:dyDescent="0.35">
      <c r="A1900">
        <v>430441</v>
      </c>
      <c r="B1900" t="s">
        <v>33090</v>
      </c>
      <c r="C1900" t="str">
        <f>"9780195114898"</f>
        <v>9780195114898</v>
      </c>
      <c r="D1900" t="str">
        <f>"9780198027430"</f>
        <v>9780198027430</v>
      </c>
      <c r="E1900" t="s">
        <v>371</v>
      </c>
      <c r="F1900" t="s">
        <v>31</v>
      </c>
      <c r="G1900" t="s">
        <v>22703</v>
      </c>
      <c r="H1900" t="s">
        <v>26011</v>
      </c>
      <c r="I1900" s="26">
        <v>36265</v>
      </c>
      <c r="J1900">
        <v>1999</v>
      </c>
      <c r="K1900" t="s">
        <v>31984</v>
      </c>
      <c r="L1900">
        <v>664</v>
      </c>
      <c r="M1900" t="s">
        <v>32218</v>
      </c>
      <c r="Q1900" t="s">
        <v>33091</v>
      </c>
      <c r="R1900">
        <v>616.86</v>
      </c>
      <c r="S1900" t="s">
        <v>33092</v>
      </c>
      <c r="T1900" t="s">
        <v>30</v>
      </c>
      <c r="U1900" t="s">
        <v>26019</v>
      </c>
      <c r="W1900" t="s">
        <v>26009</v>
      </c>
    </row>
    <row r="1901" spans="1:23" x14ac:dyDescent="0.35">
      <c r="A1901">
        <v>430450</v>
      </c>
      <c r="B1901" t="s">
        <v>33093</v>
      </c>
      <c r="C1901" t="str">
        <f>"9780195326932"</f>
        <v>9780195326932</v>
      </c>
      <c r="D1901" t="str">
        <f>"9780199716746"</f>
        <v>9780199716746</v>
      </c>
      <c r="E1901" t="s">
        <v>371</v>
      </c>
      <c r="F1901" t="s">
        <v>31</v>
      </c>
      <c r="G1901" t="s">
        <v>22179</v>
      </c>
      <c r="H1901" t="s">
        <v>26004</v>
      </c>
      <c r="I1901" s="26">
        <v>39912</v>
      </c>
      <c r="J1901">
        <v>2009</v>
      </c>
      <c r="K1901" t="s">
        <v>31</v>
      </c>
      <c r="L1901">
        <v>449</v>
      </c>
      <c r="M1901" t="s">
        <v>33094</v>
      </c>
      <c r="O1901" t="s">
        <v>27886</v>
      </c>
      <c r="Q1901" t="s">
        <v>33095</v>
      </c>
      <c r="R1901" t="s">
        <v>33096</v>
      </c>
      <c r="S1901" t="s">
        <v>33097</v>
      </c>
      <c r="T1901" t="s">
        <v>30</v>
      </c>
      <c r="U1901" t="s">
        <v>46</v>
      </c>
      <c r="W1901" t="s">
        <v>26009</v>
      </c>
    </row>
    <row r="1902" spans="1:23" x14ac:dyDescent="0.35">
      <c r="A1902">
        <v>430451</v>
      </c>
      <c r="B1902" t="s">
        <v>33098</v>
      </c>
      <c r="C1902" t="str">
        <f>"9780195121933"</f>
        <v>9780195121933</v>
      </c>
      <c r="D1902" t="str">
        <f>"9780198028451"</f>
        <v>9780198028451</v>
      </c>
      <c r="E1902" t="s">
        <v>371</v>
      </c>
      <c r="F1902" t="s">
        <v>31</v>
      </c>
      <c r="G1902" t="s">
        <v>22703</v>
      </c>
      <c r="H1902" t="s">
        <v>26004</v>
      </c>
      <c r="I1902" s="26">
        <v>36356</v>
      </c>
      <c r="J1902">
        <v>1999</v>
      </c>
      <c r="K1902" t="s">
        <v>31</v>
      </c>
      <c r="L1902">
        <v>430</v>
      </c>
      <c r="M1902" t="s">
        <v>33099</v>
      </c>
      <c r="Q1902" t="s">
        <v>33100</v>
      </c>
      <c r="R1902" t="s">
        <v>28597</v>
      </c>
      <c r="S1902" t="s">
        <v>33101</v>
      </c>
      <c r="T1902" t="s">
        <v>30</v>
      </c>
      <c r="U1902" t="s">
        <v>26040</v>
      </c>
      <c r="W1902" t="s">
        <v>26009</v>
      </c>
    </row>
    <row r="1903" spans="1:23" x14ac:dyDescent="0.35">
      <c r="A1903">
        <v>430452</v>
      </c>
      <c r="B1903" t="s">
        <v>33102</v>
      </c>
      <c r="C1903" t="str">
        <f>"9780195300000"</f>
        <v>9780195300000</v>
      </c>
      <c r="D1903" t="str">
        <f>"9780199724697"</f>
        <v>9780199724697</v>
      </c>
      <c r="E1903" t="s">
        <v>371</v>
      </c>
      <c r="F1903" t="s">
        <v>31</v>
      </c>
      <c r="G1903" t="s">
        <v>22703</v>
      </c>
      <c r="H1903" t="s">
        <v>26004</v>
      </c>
      <c r="I1903" s="26">
        <v>39927</v>
      </c>
      <c r="J1903">
        <v>2009</v>
      </c>
      <c r="K1903" t="s">
        <v>31</v>
      </c>
      <c r="L1903">
        <v>222</v>
      </c>
      <c r="M1903" t="s">
        <v>33103</v>
      </c>
      <c r="N1903">
        <v>2</v>
      </c>
      <c r="O1903" t="s">
        <v>28565</v>
      </c>
      <c r="Q1903" t="s">
        <v>33104</v>
      </c>
      <c r="R1903">
        <v>616.85270000000003</v>
      </c>
      <c r="S1903" t="s">
        <v>33105</v>
      </c>
      <c r="T1903" t="s">
        <v>30</v>
      </c>
      <c r="U1903" t="s">
        <v>26019</v>
      </c>
      <c r="W1903" t="s">
        <v>26009</v>
      </c>
    </row>
    <row r="1904" spans="1:23" x14ac:dyDescent="0.35">
      <c r="A1904">
        <v>430454</v>
      </c>
      <c r="B1904" t="s">
        <v>8349</v>
      </c>
      <c r="C1904" t="str">
        <f>"9780195340990"</f>
        <v>9780195340990</v>
      </c>
      <c r="D1904" t="str">
        <f>"9780199712489"</f>
        <v>9780199712489</v>
      </c>
      <c r="E1904" t="s">
        <v>371</v>
      </c>
      <c r="F1904" t="s">
        <v>31</v>
      </c>
      <c r="G1904" t="s">
        <v>22703</v>
      </c>
      <c r="H1904" t="s">
        <v>26004</v>
      </c>
      <c r="I1904" s="26">
        <v>39716</v>
      </c>
      <c r="J1904">
        <v>2008</v>
      </c>
      <c r="K1904" t="s">
        <v>31</v>
      </c>
      <c r="L1904">
        <v>422</v>
      </c>
      <c r="M1904" t="s">
        <v>33106</v>
      </c>
      <c r="Q1904" t="s">
        <v>33107</v>
      </c>
      <c r="R1904">
        <v>306.70819999999998</v>
      </c>
      <c r="S1904" t="s">
        <v>33108</v>
      </c>
      <c r="T1904" t="s">
        <v>30</v>
      </c>
      <c r="U1904" t="s">
        <v>26044</v>
      </c>
      <c r="W1904" t="s">
        <v>26009</v>
      </c>
    </row>
    <row r="1905" spans="1:23" x14ac:dyDescent="0.35">
      <c r="A1905">
        <v>430455</v>
      </c>
      <c r="B1905" t="s">
        <v>33109</v>
      </c>
      <c r="C1905" t="str">
        <f>"9780195373639"</f>
        <v>9780195373639</v>
      </c>
      <c r="D1905" t="str">
        <f>"9780199706235"</f>
        <v>9780199706235</v>
      </c>
      <c r="E1905" t="s">
        <v>371</v>
      </c>
      <c r="F1905" t="s">
        <v>31</v>
      </c>
      <c r="G1905" t="s">
        <v>22703</v>
      </c>
      <c r="H1905" t="s">
        <v>26004</v>
      </c>
      <c r="I1905" s="26">
        <v>39701</v>
      </c>
      <c r="J1905">
        <v>2009</v>
      </c>
      <c r="K1905" t="s">
        <v>31</v>
      </c>
      <c r="L1905">
        <v>208</v>
      </c>
      <c r="M1905" t="s">
        <v>33110</v>
      </c>
      <c r="O1905" t="s">
        <v>28565</v>
      </c>
      <c r="Q1905" t="s">
        <v>33111</v>
      </c>
      <c r="R1905" t="s">
        <v>33112</v>
      </c>
      <c r="S1905" t="s">
        <v>33113</v>
      </c>
      <c r="T1905" t="s">
        <v>30</v>
      </c>
      <c r="U1905" t="s">
        <v>26116</v>
      </c>
      <c r="W1905" t="s">
        <v>26009</v>
      </c>
    </row>
    <row r="1906" spans="1:23" x14ac:dyDescent="0.35">
      <c r="A1906">
        <v>430456</v>
      </c>
      <c r="B1906" t="s">
        <v>8396</v>
      </c>
      <c r="C1906" t="str">
        <f>"9780195373646"</f>
        <v>9780195373646</v>
      </c>
      <c r="D1906" t="str">
        <f>"9780199706228"</f>
        <v>9780199706228</v>
      </c>
      <c r="E1906" t="s">
        <v>371</v>
      </c>
      <c r="F1906" t="s">
        <v>31</v>
      </c>
      <c r="G1906" t="s">
        <v>22703</v>
      </c>
      <c r="H1906" t="s">
        <v>26004</v>
      </c>
      <c r="I1906" s="26">
        <v>39706</v>
      </c>
      <c r="J1906">
        <v>2009</v>
      </c>
      <c r="K1906" t="s">
        <v>31</v>
      </c>
      <c r="L1906">
        <v>113</v>
      </c>
      <c r="M1906" t="s">
        <v>33114</v>
      </c>
      <c r="Q1906" t="s">
        <v>33115</v>
      </c>
      <c r="R1906">
        <v>618.92852270000003</v>
      </c>
      <c r="S1906" t="s">
        <v>33113</v>
      </c>
      <c r="T1906" t="s">
        <v>30</v>
      </c>
      <c r="U1906" t="s">
        <v>26019</v>
      </c>
      <c r="W1906" t="s">
        <v>26009</v>
      </c>
    </row>
    <row r="1907" spans="1:23" x14ac:dyDescent="0.35">
      <c r="A1907">
        <v>430464</v>
      </c>
      <c r="B1907" t="s">
        <v>33116</v>
      </c>
      <c r="C1907" t="str">
        <f>"9780195077186"</f>
        <v>9780195077186</v>
      </c>
      <c r="D1907" t="str">
        <f>"9780195360240"</f>
        <v>9780195360240</v>
      </c>
      <c r="E1907" t="s">
        <v>371</v>
      </c>
      <c r="F1907" t="s">
        <v>31</v>
      </c>
      <c r="G1907" t="s">
        <v>22703</v>
      </c>
      <c r="H1907" t="s">
        <v>26004</v>
      </c>
      <c r="I1907" s="26">
        <v>33780</v>
      </c>
      <c r="J1907">
        <v>1989</v>
      </c>
      <c r="K1907" t="s">
        <v>31</v>
      </c>
      <c r="L1907">
        <v>317</v>
      </c>
      <c r="M1907" t="s">
        <v>33117</v>
      </c>
      <c r="Q1907" t="s">
        <v>33118</v>
      </c>
      <c r="R1907" t="s">
        <v>27492</v>
      </c>
      <c r="S1907" t="s">
        <v>33119</v>
      </c>
      <c r="T1907" t="s">
        <v>30</v>
      </c>
      <c r="U1907" t="s">
        <v>46</v>
      </c>
      <c r="W1907" t="s">
        <v>26009</v>
      </c>
    </row>
    <row r="1908" spans="1:23" x14ac:dyDescent="0.35">
      <c r="A1908">
        <v>430505</v>
      </c>
      <c r="B1908" t="s">
        <v>33120</v>
      </c>
      <c r="C1908" t="str">
        <f>"9780195136159"</f>
        <v>9780195136159</v>
      </c>
      <c r="D1908" t="str">
        <f>"9780198031161"</f>
        <v>9780198031161</v>
      </c>
      <c r="E1908" t="s">
        <v>371</v>
      </c>
      <c r="F1908" t="s">
        <v>31</v>
      </c>
      <c r="G1908" t="s">
        <v>22179</v>
      </c>
      <c r="H1908" t="s">
        <v>26004</v>
      </c>
      <c r="I1908" s="26">
        <v>36622</v>
      </c>
      <c r="J1908">
        <v>2000</v>
      </c>
      <c r="K1908" t="s">
        <v>31</v>
      </c>
      <c r="L1908">
        <v>279</v>
      </c>
      <c r="M1908" t="s">
        <v>33121</v>
      </c>
      <c r="Q1908" t="s">
        <v>33122</v>
      </c>
      <c r="R1908" t="s">
        <v>33123</v>
      </c>
      <c r="S1908" t="s">
        <v>33124</v>
      </c>
      <c r="T1908" t="s">
        <v>30</v>
      </c>
      <c r="U1908" t="s">
        <v>33125</v>
      </c>
      <c r="W1908" t="s">
        <v>26009</v>
      </c>
    </row>
    <row r="1909" spans="1:23" x14ac:dyDescent="0.35">
      <c r="A1909">
        <v>430515</v>
      </c>
      <c r="B1909" t="s">
        <v>33126</v>
      </c>
      <c r="C1909" t="str">
        <f>"9780195095814"</f>
        <v>9780195095814</v>
      </c>
      <c r="D1909" t="str">
        <f>"9780195355994"</f>
        <v>9780195355994</v>
      </c>
      <c r="E1909" t="s">
        <v>371</v>
      </c>
      <c r="F1909" t="s">
        <v>31</v>
      </c>
      <c r="G1909" t="s">
        <v>22703</v>
      </c>
      <c r="H1909" t="s">
        <v>26011</v>
      </c>
      <c r="I1909" s="26">
        <v>35166</v>
      </c>
      <c r="J1909">
        <v>1996</v>
      </c>
      <c r="K1909" t="s">
        <v>31984</v>
      </c>
      <c r="L1909">
        <v>346</v>
      </c>
      <c r="M1909" t="s">
        <v>33127</v>
      </c>
      <c r="Q1909" t="s">
        <v>33128</v>
      </c>
      <c r="R1909" t="s">
        <v>33129</v>
      </c>
      <c r="S1909" t="s">
        <v>33130</v>
      </c>
      <c r="T1909" t="s">
        <v>30</v>
      </c>
      <c r="U1909" t="s">
        <v>26044</v>
      </c>
      <c r="W1909" t="s">
        <v>26009</v>
      </c>
    </row>
    <row r="1910" spans="1:23" x14ac:dyDescent="0.35">
      <c r="A1910">
        <v>430518</v>
      </c>
      <c r="B1910" t="s">
        <v>33131</v>
      </c>
      <c r="C1910" t="str">
        <f>"9780195174595"</f>
        <v>9780195174595</v>
      </c>
      <c r="D1910" t="str">
        <f>"9780199721269"</f>
        <v>9780199721269</v>
      </c>
      <c r="E1910" t="s">
        <v>371</v>
      </c>
      <c r="F1910" t="s">
        <v>31</v>
      </c>
      <c r="G1910" t="s">
        <v>22703</v>
      </c>
      <c r="H1910" t="s">
        <v>26004</v>
      </c>
      <c r="I1910" s="26">
        <v>39906</v>
      </c>
      <c r="J1910">
        <v>2009</v>
      </c>
      <c r="K1910" t="s">
        <v>31</v>
      </c>
      <c r="L1910">
        <v>299</v>
      </c>
      <c r="M1910" t="s">
        <v>33132</v>
      </c>
      <c r="O1910" t="s">
        <v>33133</v>
      </c>
      <c r="Q1910" t="s">
        <v>33134</v>
      </c>
      <c r="R1910" t="s">
        <v>33135</v>
      </c>
      <c r="S1910" t="s">
        <v>33136</v>
      </c>
      <c r="T1910" t="s">
        <v>30</v>
      </c>
      <c r="U1910" t="s">
        <v>26044</v>
      </c>
      <c r="W1910" t="s">
        <v>26009</v>
      </c>
    </row>
    <row r="1911" spans="1:23" x14ac:dyDescent="0.35">
      <c r="A1911">
        <v>430522</v>
      </c>
      <c r="B1911" t="s">
        <v>33137</v>
      </c>
      <c r="C1911" t="str">
        <f>"9780195322804"</f>
        <v>9780195322804</v>
      </c>
      <c r="D1911" t="str">
        <f>""</f>
        <v/>
      </c>
      <c r="E1911" t="s">
        <v>371</v>
      </c>
      <c r="F1911" t="s">
        <v>31</v>
      </c>
      <c r="G1911" t="s">
        <v>22703</v>
      </c>
      <c r="H1911" t="s">
        <v>26011</v>
      </c>
      <c r="I1911" s="26">
        <v>39927</v>
      </c>
      <c r="J1911">
        <v>2009</v>
      </c>
      <c r="K1911" t="s">
        <v>31984</v>
      </c>
      <c r="L1911">
        <v>271</v>
      </c>
      <c r="M1911" t="s">
        <v>33138</v>
      </c>
      <c r="O1911" t="s">
        <v>32228</v>
      </c>
      <c r="Q1911" t="s">
        <v>33139</v>
      </c>
      <c r="R1911">
        <v>262.29199999999997</v>
      </c>
      <c r="S1911" t="s">
        <v>32220</v>
      </c>
      <c r="T1911" t="s">
        <v>30</v>
      </c>
      <c r="U1911" t="s">
        <v>33140</v>
      </c>
      <c r="W1911" t="s">
        <v>26009</v>
      </c>
    </row>
    <row r="1912" spans="1:23" x14ac:dyDescent="0.35">
      <c r="A1912">
        <v>430523</v>
      </c>
      <c r="B1912" t="s">
        <v>33141</v>
      </c>
      <c r="C1912" t="str">
        <f>"9780195322798"</f>
        <v>9780195322798</v>
      </c>
      <c r="D1912" t="str">
        <f>"9780198043423"</f>
        <v>9780198043423</v>
      </c>
      <c r="E1912" t="s">
        <v>371</v>
      </c>
      <c r="F1912" t="s">
        <v>31</v>
      </c>
      <c r="G1912" t="s">
        <v>22703</v>
      </c>
      <c r="H1912" t="s">
        <v>26004</v>
      </c>
      <c r="I1912" s="26">
        <v>39927</v>
      </c>
      <c r="J1912">
        <v>2009</v>
      </c>
      <c r="K1912" t="s">
        <v>31</v>
      </c>
      <c r="L1912">
        <v>208</v>
      </c>
      <c r="M1912" t="s">
        <v>33138</v>
      </c>
      <c r="O1912" t="s">
        <v>28565</v>
      </c>
      <c r="Q1912" t="s">
        <v>33142</v>
      </c>
      <c r="R1912">
        <v>616.86106510000002</v>
      </c>
      <c r="S1912" t="s">
        <v>32220</v>
      </c>
      <c r="T1912" t="s">
        <v>30</v>
      </c>
      <c r="U1912" t="s">
        <v>26019</v>
      </c>
      <c r="W1912" t="s">
        <v>26009</v>
      </c>
    </row>
    <row r="1913" spans="1:23" x14ac:dyDescent="0.35">
      <c r="A1913">
        <v>430553</v>
      </c>
      <c r="B1913" t="s">
        <v>33143</v>
      </c>
      <c r="C1913" t="str">
        <f>"9780195319897"</f>
        <v>9780195319897</v>
      </c>
      <c r="D1913" t="str">
        <f>"9780199727438"</f>
        <v>9780199727438</v>
      </c>
      <c r="E1913" t="s">
        <v>371</v>
      </c>
      <c r="F1913" t="s">
        <v>31</v>
      </c>
      <c r="H1913" t="s">
        <v>26011</v>
      </c>
      <c r="I1913" s="26">
        <v>39184</v>
      </c>
      <c r="J1913">
        <v>2007</v>
      </c>
      <c r="K1913" t="s">
        <v>31984</v>
      </c>
      <c r="L1913">
        <v>149</v>
      </c>
      <c r="M1913" t="s">
        <v>33144</v>
      </c>
      <c r="O1913" t="s">
        <v>32228</v>
      </c>
      <c r="Q1913" t="s">
        <v>33145</v>
      </c>
      <c r="R1913" t="s">
        <v>28279</v>
      </c>
      <c r="S1913" t="s">
        <v>7709</v>
      </c>
      <c r="T1913" t="s">
        <v>30</v>
      </c>
      <c r="U1913" t="s">
        <v>26116</v>
      </c>
      <c r="W1913" t="s">
        <v>26009</v>
      </c>
    </row>
    <row r="1914" spans="1:23" x14ac:dyDescent="0.35">
      <c r="A1914">
        <v>430560</v>
      </c>
      <c r="B1914" t="s">
        <v>8339</v>
      </c>
      <c r="C1914" t="str">
        <f>"9780195323054"</f>
        <v>9780195323054</v>
      </c>
      <c r="D1914" t="str">
        <f>"9780199724161"</f>
        <v>9780199724161</v>
      </c>
      <c r="E1914" t="s">
        <v>371</v>
      </c>
      <c r="F1914" t="s">
        <v>31</v>
      </c>
      <c r="G1914" t="s">
        <v>22703</v>
      </c>
      <c r="H1914" t="s">
        <v>26004</v>
      </c>
      <c r="I1914" s="26">
        <v>39801</v>
      </c>
      <c r="J1914">
        <v>2008</v>
      </c>
      <c r="K1914" t="s">
        <v>31</v>
      </c>
      <c r="L1914">
        <v>224</v>
      </c>
      <c r="M1914" t="s">
        <v>33146</v>
      </c>
      <c r="O1914" t="s">
        <v>33147</v>
      </c>
      <c r="Q1914" t="s">
        <v>33148</v>
      </c>
      <c r="R1914" t="s">
        <v>27027</v>
      </c>
      <c r="S1914" t="s">
        <v>33149</v>
      </c>
      <c r="T1914" t="s">
        <v>30</v>
      </c>
      <c r="U1914" t="s">
        <v>29740</v>
      </c>
      <c r="W1914" t="s">
        <v>26009</v>
      </c>
    </row>
    <row r="1915" spans="1:23" x14ac:dyDescent="0.35">
      <c r="A1915">
        <v>430564</v>
      </c>
      <c r="B1915" t="s">
        <v>33150</v>
      </c>
      <c r="C1915" t="str">
        <f>"9780195136326"</f>
        <v>9780195136326</v>
      </c>
      <c r="D1915" t="str">
        <f>"9780195350456"</f>
        <v>9780195350456</v>
      </c>
      <c r="E1915" t="s">
        <v>371</v>
      </c>
      <c r="F1915" t="s">
        <v>31</v>
      </c>
      <c r="G1915" t="s">
        <v>22179</v>
      </c>
      <c r="H1915" t="s">
        <v>26004</v>
      </c>
      <c r="I1915" s="26">
        <v>37014</v>
      </c>
      <c r="J1915">
        <v>2001</v>
      </c>
      <c r="K1915" t="s">
        <v>31</v>
      </c>
      <c r="L1915">
        <v>311</v>
      </c>
      <c r="M1915" t="s">
        <v>33151</v>
      </c>
      <c r="Q1915" t="s">
        <v>33152</v>
      </c>
      <c r="R1915" t="s">
        <v>31982</v>
      </c>
      <c r="S1915" t="s">
        <v>33153</v>
      </c>
      <c r="T1915" t="s">
        <v>30</v>
      </c>
      <c r="U1915" t="s">
        <v>46</v>
      </c>
      <c r="W1915" t="s">
        <v>26009</v>
      </c>
    </row>
    <row r="1916" spans="1:23" x14ac:dyDescent="0.35">
      <c r="A1916">
        <v>430567</v>
      </c>
      <c r="B1916" t="s">
        <v>33154</v>
      </c>
      <c r="C1916" t="str">
        <f>"9780195309065"</f>
        <v>9780195309065</v>
      </c>
      <c r="D1916" t="str">
        <f>"9780199728473"</f>
        <v>9780199728473</v>
      </c>
      <c r="E1916" t="s">
        <v>371</v>
      </c>
      <c r="F1916" t="s">
        <v>31</v>
      </c>
      <c r="G1916" t="s">
        <v>22179</v>
      </c>
      <c r="H1916" t="s">
        <v>26004</v>
      </c>
      <c r="I1916" s="26">
        <v>38944</v>
      </c>
      <c r="J1916">
        <v>2006</v>
      </c>
      <c r="K1916" t="s">
        <v>31</v>
      </c>
      <c r="L1916">
        <v>193</v>
      </c>
      <c r="M1916" t="s">
        <v>33155</v>
      </c>
      <c r="O1916" t="s">
        <v>32018</v>
      </c>
      <c r="Q1916" t="s">
        <v>33156</v>
      </c>
      <c r="R1916">
        <v>616.89499999999998</v>
      </c>
      <c r="S1916" t="s">
        <v>9136</v>
      </c>
      <c r="T1916" t="s">
        <v>30</v>
      </c>
      <c r="U1916" t="s">
        <v>26116</v>
      </c>
      <c r="W1916" t="s">
        <v>26009</v>
      </c>
    </row>
    <row r="1917" spans="1:23" x14ac:dyDescent="0.35">
      <c r="A1917">
        <v>430573</v>
      </c>
      <c r="B1917" t="s">
        <v>33157</v>
      </c>
      <c r="C1917" t="str">
        <f>"9780195118872"</f>
        <v>9780195118872</v>
      </c>
      <c r="D1917" t="str">
        <f>"9780199723027"</f>
        <v>9780199723027</v>
      </c>
      <c r="E1917" t="s">
        <v>371</v>
      </c>
      <c r="F1917" t="s">
        <v>31</v>
      </c>
      <c r="G1917" t="s">
        <v>22179</v>
      </c>
      <c r="H1917" t="s">
        <v>26004</v>
      </c>
      <c r="I1917" s="26">
        <v>36405</v>
      </c>
      <c r="J1917">
        <v>1999</v>
      </c>
      <c r="K1917" t="s">
        <v>31</v>
      </c>
      <c r="L1917">
        <v>343</v>
      </c>
      <c r="M1917" t="s">
        <v>33158</v>
      </c>
      <c r="O1917" t="s">
        <v>27886</v>
      </c>
      <c r="Q1917" t="s">
        <v>33159</v>
      </c>
      <c r="R1917">
        <v>616.85225000000003</v>
      </c>
      <c r="S1917" t="s">
        <v>33160</v>
      </c>
      <c r="T1917" t="s">
        <v>30</v>
      </c>
      <c r="U1917" t="s">
        <v>26019</v>
      </c>
      <c r="W1917" t="s">
        <v>26009</v>
      </c>
    </row>
    <row r="1918" spans="1:23" x14ac:dyDescent="0.35">
      <c r="A1918">
        <v>430630</v>
      </c>
      <c r="B1918" t="s">
        <v>9362</v>
      </c>
      <c r="C1918" t="str">
        <f>"9780195084627"</f>
        <v>9780195084627</v>
      </c>
      <c r="D1918" t="str">
        <f>"9780195359169"</f>
        <v>9780195359169</v>
      </c>
      <c r="E1918" t="s">
        <v>371</v>
      </c>
      <c r="F1918" t="s">
        <v>31</v>
      </c>
      <c r="G1918" t="s">
        <v>22179</v>
      </c>
      <c r="H1918" t="s">
        <v>26004</v>
      </c>
      <c r="I1918" s="26">
        <v>35110</v>
      </c>
      <c r="J1918">
        <v>1996</v>
      </c>
      <c r="K1918" t="s">
        <v>31</v>
      </c>
      <c r="L1918">
        <v>350</v>
      </c>
      <c r="M1918" t="s">
        <v>33161</v>
      </c>
      <c r="O1918" t="s">
        <v>28469</v>
      </c>
      <c r="P1918" t="s">
        <v>33162</v>
      </c>
      <c r="Q1918" t="s">
        <v>33163</v>
      </c>
      <c r="R1918">
        <v>152.13999999999999</v>
      </c>
      <c r="S1918" t="s">
        <v>33164</v>
      </c>
      <c r="T1918" t="s">
        <v>30</v>
      </c>
      <c r="U1918" t="s">
        <v>46</v>
      </c>
      <c r="W1918" t="s">
        <v>26009</v>
      </c>
    </row>
    <row r="1919" spans="1:23" x14ac:dyDescent="0.35">
      <c r="A1919">
        <v>430647</v>
      </c>
      <c r="B1919" t="s">
        <v>33165</v>
      </c>
      <c r="C1919" t="str">
        <f>"9780195343359"</f>
        <v>9780195343359</v>
      </c>
      <c r="D1919" t="str">
        <f>"9780199711109"</f>
        <v>9780199711109</v>
      </c>
      <c r="E1919" t="s">
        <v>371</v>
      </c>
      <c r="F1919" t="s">
        <v>31</v>
      </c>
      <c r="G1919" t="s">
        <v>22179</v>
      </c>
      <c r="H1919" t="s">
        <v>26004</v>
      </c>
      <c r="I1919" s="26">
        <v>39695</v>
      </c>
      <c r="J1919">
        <v>2009</v>
      </c>
      <c r="K1919" t="s">
        <v>31</v>
      </c>
      <c r="L1919">
        <v>345</v>
      </c>
      <c r="M1919" t="s">
        <v>33166</v>
      </c>
      <c r="Q1919" t="s">
        <v>33167</v>
      </c>
      <c r="R1919">
        <v>303.60834999999997</v>
      </c>
      <c r="S1919" t="s">
        <v>33168</v>
      </c>
      <c r="T1919" t="s">
        <v>30</v>
      </c>
      <c r="U1919" t="s">
        <v>26044</v>
      </c>
      <c r="W1919" t="s">
        <v>26009</v>
      </c>
    </row>
    <row r="1920" spans="1:23" x14ac:dyDescent="0.35">
      <c r="A1920">
        <v>430649</v>
      </c>
      <c r="B1920" t="s">
        <v>33169</v>
      </c>
      <c r="C1920" t="str">
        <f>"9780195366860"</f>
        <v>9780195366860</v>
      </c>
      <c r="D1920" t="str">
        <f>"9780199710508"</f>
        <v>9780199710508</v>
      </c>
      <c r="E1920" t="s">
        <v>371</v>
      </c>
      <c r="F1920" t="s">
        <v>31</v>
      </c>
      <c r="G1920" t="s">
        <v>22703</v>
      </c>
      <c r="H1920" t="s">
        <v>26004</v>
      </c>
      <c r="I1920" s="26">
        <v>39913</v>
      </c>
      <c r="J1920">
        <v>2009</v>
      </c>
      <c r="K1920" t="s">
        <v>31</v>
      </c>
      <c r="L1920">
        <v>208</v>
      </c>
      <c r="M1920" t="s">
        <v>33170</v>
      </c>
      <c r="Q1920" t="s">
        <v>33171</v>
      </c>
      <c r="R1920">
        <v>618.91999999999996</v>
      </c>
      <c r="S1920" t="s">
        <v>33172</v>
      </c>
      <c r="T1920" t="s">
        <v>30</v>
      </c>
      <c r="U1920" t="s">
        <v>26019</v>
      </c>
      <c r="W1920" t="s">
        <v>26009</v>
      </c>
    </row>
    <row r="1921" spans="1:23" x14ac:dyDescent="0.35">
      <c r="A1921">
        <v>430656</v>
      </c>
      <c r="B1921" t="s">
        <v>33173</v>
      </c>
      <c r="C1921" t="str">
        <f>"9780195336412"</f>
        <v>9780195336412</v>
      </c>
      <c r="D1921" t="str">
        <f>"9780199714445"</f>
        <v>9780199714445</v>
      </c>
      <c r="E1921" t="s">
        <v>371</v>
      </c>
      <c r="F1921" t="s">
        <v>31</v>
      </c>
      <c r="G1921" t="s">
        <v>22179</v>
      </c>
      <c r="H1921" t="s">
        <v>26004</v>
      </c>
      <c r="I1921" s="26">
        <v>39766</v>
      </c>
      <c r="J1921">
        <v>2005</v>
      </c>
      <c r="K1921" t="s">
        <v>31</v>
      </c>
      <c r="L1921">
        <v>433</v>
      </c>
      <c r="M1921" t="s">
        <v>33174</v>
      </c>
      <c r="Q1921" t="s">
        <v>33175</v>
      </c>
      <c r="R1921">
        <v>821.00900000000001</v>
      </c>
      <c r="S1921" t="s">
        <v>9133</v>
      </c>
      <c r="T1921" t="s">
        <v>30</v>
      </c>
      <c r="U1921" t="s">
        <v>366</v>
      </c>
      <c r="W1921" t="s">
        <v>26009</v>
      </c>
    </row>
    <row r="1922" spans="1:23" x14ac:dyDescent="0.35">
      <c r="A1922">
        <v>430745</v>
      </c>
      <c r="B1922" t="s">
        <v>33176</v>
      </c>
      <c r="C1922" t="str">
        <f>"9780195386660"</f>
        <v>9780195386660</v>
      </c>
      <c r="D1922" t="str">
        <f>"9780199728299"</f>
        <v>9780199728299</v>
      </c>
      <c r="E1922" t="s">
        <v>371</v>
      </c>
      <c r="F1922" t="s">
        <v>31</v>
      </c>
      <c r="G1922" t="s">
        <v>22703</v>
      </c>
      <c r="H1922" t="s">
        <v>26004</v>
      </c>
      <c r="I1922" s="26">
        <v>37707</v>
      </c>
      <c r="J1922">
        <v>2009</v>
      </c>
      <c r="K1922" t="s">
        <v>31</v>
      </c>
      <c r="L1922">
        <v>375</v>
      </c>
      <c r="M1922" t="s">
        <v>33177</v>
      </c>
      <c r="Q1922" t="s">
        <v>33178</v>
      </c>
      <c r="R1922" t="s">
        <v>33179</v>
      </c>
      <c r="S1922" t="s">
        <v>33180</v>
      </c>
      <c r="T1922" t="s">
        <v>30</v>
      </c>
      <c r="U1922" t="s">
        <v>29740</v>
      </c>
      <c r="W1922" t="s">
        <v>26009</v>
      </c>
    </row>
    <row r="1923" spans="1:23" x14ac:dyDescent="0.35">
      <c r="A1923">
        <v>430822</v>
      </c>
      <c r="B1923" t="s">
        <v>33181</v>
      </c>
      <c r="C1923" t="str">
        <f>"9780195383829"</f>
        <v>9780195383829</v>
      </c>
      <c r="D1923" t="str">
        <f>"9780199724932"</f>
        <v>9780199724932</v>
      </c>
      <c r="E1923" t="s">
        <v>371</v>
      </c>
      <c r="F1923" t="s">
        <v>31</v>
      </c>
      <c r="G1923" t="s">
        <v>22703</v>
      </c>
      <c r="H1923" t="s">
        <v>26004</v>
      </c>
      <c r="I1923" s="26">
        <v>39916</v>
      </c>
      <c r="J1923">
        <v>2009</v>
      </c>
      <c r="K1923" t="s">
        <v>31</v>
      </c>
      <c r="L1923">
        <v>176</v>
      </c>
      <c r="M1923" t="s">
        <v>33182</v>
      </c>
      <c r="Q1923" t="s">
        <v>33183</v>
      </c>
      <c r="R1923" t="s">
        <v>33184</v>
      </c>
      <c r="S1923" t="s">
        <v>33185</v>
      </c>
      <c r="T1923" t="s">
        <v>30</v>
      </c>
      <c r="U1923" t="s">
        <v>26040</v>
      </c>
      <c r="W1923" t="s">
        <v>26009</v>
      </c>
    </row>
    <row r="1924" spans="1:23" x14ac:dyDescent="0.35">
      <c r="A1924">
        <v>430834</v>
      </c>
      <c r="B1924" t="s">
        <v>9475</v>
      </c>
      <c r="C1924" t="str">
        <f>"9780195114355"</f>
        <v>9780195114355</v>
      </c>
      <c r="D1924" t="str">
        <f>"9780195354218"</f>
        <v>9780195354218</v>
      </c>
      <c r="E1924" t="s">
        <v>371</v>
      </c>
      <c r="F1924" t="s">
        <v>31</v>
      </c>
      <c r="G1924" t="s">
        <v>22703</v>
      </c>
      <c r="H1924" t="s">
        <v>26004</v>
      </c>
      <c r="I1924" s="26">
        <v>36566</v>
      </c>
      <c r="J1924">
        <v>2000</v>
      </c>
      <c r="K1924" t="s">
        <v>31</v>
      </c>
      <c r="L1924">
        <v>167</v>
      </c>
      <c r="M1924" t="s">
        <v>33186</v>
      </c>
      <c r="Q1924" t="s">
        <v>33187</v>
      </c>
      <c r="R1924">
        <v>415</v>
      </c>
      <c r="S1924" t="s">
        <v>33188</v>
      </c>
      <c r="T1924" t="s">
        <v>30</v>
      </c>
      <c r="U1924" t="s">
        <v>28384</v>
      </c>
      <c r="W1924" t="s">
        <v>26009</v>
      </c>
    </row>
    <row r="1925" spans="1:23" x14ac:dyDescent="0.35">
      <c r="A1925">
        <v>430875</v>
      </c>
      <c r="B1925" t="s">
        <v>33189</v>
      </c>
      <c r="C1925" t="str">
        <f>"9780195153729"</f>
        <v>9780195153729</v>
      </c>
      <c r="D1925" t="str">
        <f>"9780198031178"</f>
        <v>9780198031178</v>
      </c>
      <c r="E1925" t="s">
        <v>371</v>
      </c>
      <c r="F1925" t="s">
        <v>31</v>
      </c>
      <c r="G1925" t="s">
        <v>22179</v>
      </c>
      <c r="H1925" t="s">
        <v>26004</v>
      </c>
      <c r="I1925" s="26">
        <v>37322</v>
      </c>
      <c r="J1925">
        <v>2000</v>
      </c>
      <c r="K1925" t="s">
        <v>31</v>
      </c>
      <c r="L1925">
        <v>359</v>
      </c>
      <c r="M1925" t="s">
        <v>32271</v>
      </c>
      <c r="O1925" t="s">
        <v>32272</v>
      </c>
      <c r="Q1925" t="s">
        <v>33190</v>
      </c>
      <c r="R1925" t="s">
        <v>32103</v>
      </c>
      <c r="S1925" t="s">
        <v>33191</v>
      </c>
      <c r="T1925" t="s">
        <v>30</v>
      </c>
      <c r="U1925" t="s">
        <v>152</v>
      </c>
      <c r="W1925" t="s">
        <v>26009</v>
      </c>
    </row>
    <row r="1926" spans="1:23" x14ac:dyDescent="0.35">
      <c r="A1926">
        <v>430883</v>
      </c>
      <c r="B1926" t="s">
        <v>33192</v>
      </c>
      <c r="C1926" t="str">
        <f>"9780195169430"</f>
        <v>9780195169430</v>
      </c>
      <c r="D1926" t="str">
        <f>"9780198030409"</f>
        <v>9780198030409</v>
      </c>
      <c r="E1926" t="s">
        <v>371</v>
      </c>
      <c r="F1926" t="s">
        <v>31</v>
      </c>
      <c r="G1926" t="s">
        <v>22179</v>
      </c>
      <c r="H1926" t="s">
        <v>26004</v>
      </c>
      <c r="I1926" s="26">
        <v>37924</v>
      </c>
      <c r="J1926">
        <v>2001</v>
      </c>
      <c r="K1926" t="s">
        <v>31</v>
      </c>
      <c r="L1926">
        <v>289</v>
      </c>
      <c r="M1926" t="s">
        <v>33193</v>
      </c>
      <c r="Q1926" t="s">
        <v>33194</v>
      </c>
      <c r="R1926">
        <v>291.447</v>
      </c>
      <c r="S1926" t="s">
        <v>33195</v>
      </c>
      <c r="T1926" t="s">
        <v>30</v>
      </c>
      <c r="U1926" t="s">
        <v>11247</v>
      </c>
      <c r="W1926" t="s">
        <v>26009</v>
      </c>
    </row>
    <row r="1927" spans="1:23" x14ac:dyDescent="0.35">
      <c r="A1927">
        <v>430888</v>
      </c>
      <c r="B1927" t="s">
        <v>33196</v>
      </c>
      <c r="C1927" t="str">
        <f>"9780195065893"</f>
        <v>9780195065893</v>
      </c>
      <c r="D1927" t="str">
        <f>"9780195357370"</f>
        <v>9780195357370</v>
      </c>
      <c r="E1927" t="s">
        <v>371</v>
      </c>
      <c r="F1927" t="s">
        <v>31</v>
      </c>
      <c r="G1927" t="s">
        <v>22703</v>
      </c>
      <c r="H1927" t="s">
        <v>26004</v>
      </c>
      <c r="I1927" s="26">
        <v>34830</v>
      </c>
      <c r="J1927">
        <v>1995</v>
      </c>
      <c r="K1927" t="s">
        <v>31</v>
      </c>
      <c r="L1927">
        <v>384</v>
      </c>
      <c r="M1927" t="s">
        <v>33197</v>
      </c>
      <c r="Q1927" t="s">
        <v>33198</v>
      </c>
      <c r="R1927" t="s">
        <v>33199</v>
      </c>
      <c r="S1927" t="s">
        <v>33200</v>
      </c>
      <c r="T1927" t="s">
        <v>30</v>
      </c>
      <c r="U1927" t="s">
        <v>46</v>
      </c>
      <c r="W1927" t="s">
        <v>26009</v>
      </c>
    </row>
    <row r="1928" spans="1:23" x14ac:dyDescent="0.35">
      <c r="A1928">
        <v>430889</v>
      </c>
      <c r="B1928" t="s">
        <v>33201</v>
      </c>
      <c r="C1928" t="str">
        <f>"9780195146639"</f>
        <v>9780195146639</v>
      </c>
      <c r="D1928" t="str">
        <f>"9780198033523"</f>
        <v>9780198033523</v>
      </c>
      <c r="E1928" t="s">
        <v>371</v>
      </c>
      <c r="F1928" t="s">
        <v>31</v>
      </c>
      <c r="G1928" t="s">
        <v>22703</v>
      </c>
      <c r="H1928" t="s">
        <v>26004</v>
      </c>
      <c r="I1928" s="26">
        <v>37140</v>
      </c>
      <c r="J1928">
        <v>2001</v>
      </c>
      <c r="K1928" t="s">
        <v>31</v>
      </c>
      <c r="L1928">
        <v>368</v>
      </c>
      <c r="M1928" t="s">
        <v>33202</v>
      </c>
      <c r="N1928">
        <v>2</v>
      </c>
      <c r="Q1928" t="s">
        <v>33203</v>
      </c>
      <c r="R1928">
        <v>616.86</v>
      </c>
      <c r="S1928" t="s">
        <v>33204</v>
      </c>
      <c r="T1928" t="s">
        <v>30</v>
      </c>
      <c r="U1928" t="s">
        <v>26116</v>
      </c>
      <c r="W1928" t="s">
        <v>26009</v>
      </c>
    </row>
    <row r="1929" spans="1:23" x14ac:dyDescent="0.35">
      <c r="A1929">
        <v>430979</v>
      </c>
      <c r="B1929" t="s">
        <v>8031</v>
      </c>
      <c r="C1929" t="str">
        <f>"9780195067941"</f>
        <v>9780195067941</v>
      </c>
      <c r="D1929" t="str">
        <f>"9780198023258"</f>
        <v>9780198023258</v>
      </c>
      <c r="E1929" t="s">
        <v>371</v>
      </c>
      <c r="F1929" t="s">
        <v>31</v>
      </c>
      <c r="G1929" t="s">
        <v>22703</v>
      </c>
      <c r="H1929" t="s">
        <v>26004</v>
      </c>
      <c r="I1929" s="26">
        <v>38932</v>
      </c>
      <c r="J1929">
        <v>2000</v>
      </c>
      <c r="K1929" t="s">
        <v>31</v>
      </c>
      <c r="L1929">
        <v>276</v>
      </c>
      <c r="M1929" t="s">
        <v>28603</v>
      </c>
      <c r="Q1929" t="s">
        <v>33205</v>
      </c>
      <c r="R1929" t="s">
        <v>27492</v>
      </c>
      <c r="S1929" t="s">
        <v>33206</v>
      </c>
      <c r="T1929" t="s">
        <v>30</v>
      </c>
      <c r="U1929" t="s">
        <v>46</v>
      </c>
      <c r="W1929" t="s">
        <v>26009</v>
      </c>
    </row>
    <row r="1930" spans="1:23" x14ac:dyDescent="0.35">
      <c r="A1930">
        <v>430986</v>
      </c>
      <c r="B1930" t="s">
        <v>33207</v>
      </c>
      <c r="C1930" t="str">
        <f>"9780195123159"</f>
        <v>9780195123159</v>
      </c>
      <c r="D1930" t="str">
        <f>"9780198028703"</f>
        <v>9780198028703</v>
      </c>
      <c r="E1930" t="s">
        <v>371</v>
      </c>
      <c r="F1930" t="s">
        <v>31</v>
      </c>
      <c r="G1930" t="s">
        <v>22703</v>
      </c>
      <c r="H1930" t="s">
        <v>26004</v>
      </c>
      <c r="I1930" s="26">
        <v>36811</v>
      </c>
      <c r="J1930">
        <v>2001</v>
      </c>
      <c r="K1930" t="s">
        <v>31</v>
      </c>
      <c r="L1930">
        <v>332</v>
      </c>
      <c r="M1930" t="s">
        <v>33208</v>
      </c>
      <c r="Q1930" t="s">
        <v>33209</v>
      </c>
      <c r="R1930" t="s">
        <v>33210</v>
      </c>
      <c r="S1930" t="s">
        <v>33211</v>
      </c>
      <c r="T1930" t="s">
        <v>30</v>
      </c>
      <c r="U1930" t="s">
        <v>31306</v>
      </c>
      <c r="W1930" t="s">
        <v>26009</v>
      </c>
    </row>
    <row r="1931" spans="1:23" x14ac:dyDescent="0.35">
      <c r="A1931">
        <v>430990</v>
      </c>
      <c r="B1931" t="s">
        <v>33212</v>
      </c>
      <c r="C1931" t="str">
        <f>"9780195320237"</f>
        <v>9780195320237</v>
      </c>
      <c r="D1931" t="str">
        <f>"9780199717736"</f>
        <v>9780199717736</v>
      </c>
      <c r="E1931" t="s">
        <v>371</v>
      </c>
      <c r="F1931" t="s">
        <v>31</v>
      </c>
      <c r="H1931" t="s">
        <v>26004</v>
      </c>
      <c r="I1931" s="26">
        <v>39526</v>
      </c>
      <c r="J1931">
        <v>2008</v>
      </c>
      <c r="K1931" t="s">
        <v>31</v>
      </c>
      <c r="L1931">
        <v>192</v>
      </c>
      <c r="M1931" t="s">
        <v>32130</v>
      </c>
      <c r="Q1931" t="s">
        <v>33213</v>
      </c>
      <c r="R1931">
        <v>618.92852200000004</v>
      </c>
      <c r="S1931" t="s">
        <v>8529</v>
      </c>
      <c r="T1931" t="s">
        <v>30</v>
      </c>
      <c r="U1931" t="s">
        <v>33214</v>
      </c>
      <c r="W1931" t="s">
        <v>26009</v>
      </c>
    </row>
    <row r="1932" spans="1:23" x14ac:dyDescent="0.35">
      <c r="A1932">
        <v>431116</v>
      </c>
      <c r="B1932" t="s">
        <v>33215</v>
      </c>
      <c r="C1932" t="str">
        <f>"9780195384260"</f>
        <v>9780195384260</v>
      </c>
      <c r="D1932" t="str">
        <f>"9780199724987"</f>
        <v>9780199724987</v>
      </c>
      <c r="E1932" t="s">
        <v>371</v>
      </c>
      <c r="F1932" t="s">
        <v>31</v>
      </c>
      <c r="G1932" t="s">
        <v>22179</v>
      </c>
      <c r="H1932" t="s">
        <v>26004</v>
      </c>
      <c r="I1932" s="26">
        <v>39925</v>
      </c>
      <c r="J1932">
        <v>2009</v>
      </c>
      <c r="K1932" t="s">
        <v>31</v>
      </c>
      <c r="L1932">
        <v>193</v>
      </c>
      <c r="M1932" t="s">
        <v>33216</v>
      </c>
      <c r="Q1932" t="s">
        <v>33217</v>
      </c>
      <c r="R1932" t="s">
        <v>27152</v>
      </c>
      <c r="S1932" t="s">
        <v>33218</v>
      </c>
      <c r="T1932" t="s">
        <v>30</v>
      </c>
      <c r="U1932" t="s">
        <v>26679</v>
      </c>
      <c r="W1932" t="s">
        <v>26009</v>
      </c>
    </row>
    <row r="1933" spans="1:23" x14ac:dyDescent="0.35">
      <c r="A1933">
        <v>431174</v>
      </c>
      <c r="B1933" t="s">
        <v>8340</v>
      </c>
      <c r="C1933" t="str">
        <f>"9780195324853"</f>
        <v>9780195324853</v>
      </c>
      <c r="D1933" t="str">
        <f>"9780199724055"</f>
        <v>9780199724055</v>
      </c>
      <c r="E1933" t="s">
        <v>371</v>
      </c>
      <c r="F1933" t="s">
        <v>31</v>
      </c>
      <c r="G1933" t="s">
        <v>22703</v>
      </c>
      <c r="H1933" t="s">
        <v>26004</v>
      </c>
      <c r="I1933" s="26">
        <v>39888</v>
      </c>
      <c r="J1933">
        <v>2009</v>
      </c>
      <c r="K1933" t="s">
        <v>31</v>
      </c>
      <c r="L1933">
        <v>212</v>
      </c>
      <c r="M1933" t="s">
        <v>33219</v>
      </c>
      <c r="O1933" t="s">
        <v>33147</v>
      </c>
      <c r="Q1933" t="s">
        <v>33220</v>
      </c>
      <c r="R1933" t="s">
        <v>27027</v>
      </c>
      <c r="S1933" t="s">
        <v>33221</v>
      </c>
      <c r="T1933" t="s">
        <v>30</v>
      </c>
      <c r="U1933" t="s">
        <v>29740</v>
      </c>
      <c r="W1933" t="s">
        <v>26009</v>
      </c>
    </row>
    <row r="1934" spans="1:23" x14ac:dyDescent="0.35">
      <c r="A1934">
        <v>431176</v>
      </c>
      <c r="B1934" t="s">
        <v>33222</v>
      </c>
      <c r="C1934" t="str">
        <f>"9780195178050"</f>
        <v>9780195178050</v>
      </c>
      <c r="D1934" t="str">
        <f>"9780198025672"</f>
        <v>9780198025672</v>
      </c>
      <c r="E1934" t="s">
        <v>371</v>
      </c>
      <c r="F1934" t="s">
        <v>31</v>
      </c>
      <c r="G1934" t="s">
        <v>22179</v>
      </c>
      <c r="H1934" t="s">
        <v>26004</v>
      </c>
      <c r="I1934" s="26">
        <v>38260</v>
      </c>
      <c r="J1934">
        <v>1998</v>
      </c>
      <c r="K1934" t="s">
        <v>31</v>
      </c>
      <c r="L1934">
        <v>481</v>
      </c>
      <c r="M1934" t="s">
        <v>33223</v>
      </c>
      <c r="O1934" t="s">
        <v>27886</v>
      </c>
      <c r="Q1934" t="s">
        <v>33224</v>
      </c>
      <c r="R1934" t="s">
        <v>33225</v>
      </c>
      <c r="S1934" t="s">
        <v>7468</v>
      </c>
      <c r="T1934" t="s">
        <v>30</v>
      </c>
      <c r="U1934" t="s">
        <v>46</v>
      </c>
      <c r="W1934" t="s">
        <v>26009</v>
      </c>
    </row>
    <row r="1935" spans="1:23" x14ac:dyDescent="0.35">
      <c r="A1935">
        <v>431183</v>
      </c>
      <c r="B1935" t="s">
        <v>33226</v>
      </c>
      <c r="C1935" t="str">
        <f>"9780195115086"</f>
        <v>9780195115086</v>
      </c>
      <c r="D1935" t="str">
        <f>"9780195354089"</f>
        <v>9780195354089</v>
      </c>
      <c r="E1935" t="s">
        <v>371</v>
      </c>
      <c r="F1935" t="s">
        <v>31</v>
      </c>
      <c r="G1935" t="s">
        <v>22703</v>
      </c>
      <c r="H1935" t="s">
        <v>26004</v>
      </c>
      <c r="I1935" s="26">
        <v>36328</v>
      </c>
      <c r="J1935">
        <v>1999</v>
      </c>
      <c r="K1935" t="s">
        <v>31</v>
      </c>
      <c r="L1935">
        <v>265</v>
      </c>
      <c r="M1935" t="s">
        <v>33227</v>
      </c>
      <c r="Q1935" t="s">
        <v>33228</v>
      </c>
      <c r="R1935" t="s">
        <v>33229</v>
      </c>
      <c r="S1935" t="s">
        <v>33230</v>
      </c>
      <c r="T1935" t="s">
        <v>30</v>
      </c>
      <c r="U1935" t="s">
        <v>33231</v>
      </c>
      <c r="W1935" t="s">
        <v>26009</v>
      </c>
    </row>
    <row r="1936" spans="1:23" x14ac:dyDescent="0.35">
      <c r="A1936">
        <v>431206</v>
      </c>
      <c r="B1936" t="s">
        <v>33232</v>
      </c>
      <c r="C1936" t="str">
        <f>"9780195151657"</f>
        <v>9780195151657</v>
      </c>
      <c r="D1936" t="str">
        <f>"9780198029670"</f>
        <v>9780198029670</v>
      </c>
      <c r="E1936" t="s">
        <v>371</v>
      </c>
      <c r="F1936" t="s">
        <v>31</v>
      </c>
      <c r="G1936" t="s">
        <v>22179</v>
      </c>
      <c r="H1936" t="s">
        <v>26004</v>
      </c>
      <c r="I1936" s="26">
        <v>37350</v>
      </c>
      <c r="J1936">
        <v>2000</v>
      </c>
      <c r="K1936" t="s">
        <v>31</v>
      </c>
      <c r="L1936">
        <v>390</v>
      </c>
      <c r="M1936" t="s">
        <v>32198</v>
      </c>
      <c r="Q1936" t="s">
        <v>33233</v>
      </c>
      <c r="R1936">
        <v>152.4</v>
      </c>
      <c r="S1936" t="s">
        <v>32201</v>
      </c>
      <c r="T1936" t="s">
        <v>30</v>
      </c>
      <c r="U1936" t="s">
        <v>46</v>
      </c>
      <c r="W1936" t="s">
        <v>26009</v>
      </c>
    </row>
    <row r="1937" spans="1:23" x14ac:dyDescent="0.35">
      <c r="A1937">
        <v>431291</v>
      </c>
      <c r="B1937" t="s">
        <v>33234</v>
      </c>
      <c r="C1937" t="str">
        <f>"9780195027358"</f>
        <v>9780195027358</v>
      </c>
      <c r="D1937" t="str">
        <f>"9780195365375"</f>
        <v>9780195365375</v>
      </c>
      <c r="E1937" t="s">
        <v>371</v>
      </c>
      <c r="F1937" t="s">
        <v>31</v>
      </c>
      <c r="G1937" t="s">
        <v>22703</v>
      </c>
      <c r="H1937" t="s">
        <v>26004</v>
      </c>
      <c r="I1937" s="26">
        <v>29377</v>
      </c>
      <c r="J1937">
        <v>1980</v>
      </c>
      <c r="K1937" t="s">
        <v>31</v>
      </c>
      <c r="L1937">
        <v>208</v>
      </c>
      <c r="M1937" t="s">
        <v>33235</v>
      </c>
      <c r="Q1937" t="s">
        <v>33236</v>
      </c>
      <c r="R1937" t="s">
        <v>33237</v>
      </c>
      <c r="S1937" t="s">
        <v>33238</v>
      </c>
      <c r="T1937" t="s">
        <v>30</v>
      </c>
      <c r="U1937" t="s">
        <v>33239</v>
      </c>
      <c r="W1937" t="s">
        <v>26009</v>
      </c>
    </row>
    <row r="1938" spans="1:23" x14ac:dyDescent="0.35">
      <c r="A1938">
        <v>431298</v>
      </c>
      <c r="B1938" t="s">
        <v>33240</v>
      </c>
      <c r="C1938" t="str">
        <f>"9780195106428"</f>
        <v>9780195106428</v>
      </c>
      <c r="D1938" t="str">
        <f>"9780198026594"</f>
        <v>9780198026594</v>
      </c>
      <c r="E1938" t="s">
        <v>371</v>
      </c>
      <c r="F1938" t="s">
        <v>31</v>
      </c>
      <c r="G1938" t="s">
        <v>22703</v>
      </c>
      <c r="H1938" t="s">
        <v>26004</v>
      </c>
      <c r="I1938" s="26">
        <v>35838</v>
      </c>
      <c r="J1938">
        <v>1998</v>
      </c>
      <c r="K1938" t="s">
        <v>31</v>
      </c>
      <c r="L1938">
        <v>253</v>
      </c>
      <c r="M1938" t="s">
        <v>27368</v>
      </c>
      <c r="Q1938" t="s">
        <v>33241</v>
      </c>
      <c r="R1938" t="s">
        <v>30149</v>
      </c>
      <c r="S1938" t="s">
        <v>33242</v>
      </c>
      <c r="T1938" t="s">
        <v>30</v>
      </c>
      <c r="U1938" t="s">
        <v>46</v>
      </c>
      <c r="W1938" t="s">
        <v>26009</v>
      </c>
    </row>
    <row r="1939" spans="1:23" x14ac:dyDescent="0.35">
      <c r="A1939">
        <v>431341</v>
      </c>
      <c r="B1939" t="s">
        <v>33243</v>
      </c>
      <c r="C1939" t="str">
        <f>"9780195187557"</f>
        <v>9780195187557</v>
      </c>
      <c r="D1939" t="str">
        <f>"9780198040606"</f>
        <v>9780198040606</v>
      </c>
      <c r="E1939" t="s">
        <v>371</v>
      </c>
      <c r="F1939" t="s">
        <v>31</v>
      </c>
      <c r="H1939" t="s">
        <v>26011</v>
      </c>
      <c r="I1939" s="26">
        <v>38113</v>
      </c>
      <c r="J1939">
        <v>2004</v>
      </c>
      <c r="K1939" t="s">
        <v>31984</v>
      </c>
      <c r="L1939">
        <v>252</v>
      </c>
      <c r="M1939" t="s">
        <v>33244</v>
      </c>
      <c r="Q1939" t="s">
        <v>33245</v>
      </c>
      <c r="R1939">
        <v>306.87</v>
      </c>
      <c r="S1939" t="s">
        <v>8735</v>
      </c>
      <c r="T1939" t="s">
        <v>30</v>
      </c>
      <c r="U1939" t="s">
        <v>26044</v>
      </c>
      <c r="W1939" t="s">
        <v>26009</v>
      </c>
    </row>
    <row r="1940" spans="1:23" x14ac:dyDescent="0.35">
      <c r="A1940">
        <v>431365</v>
      </c>
      <c r="B1940" t="s">
        <v>33246</v>
      </c>
      <c r="C1940" t="str">
        <f>"9780195113495"</f>
        <v>9780195113495</v>
      </c>
      <c r="D1940" t="str">
        <f>"9780198027331"</f>
        <v>9780198027331</v>
      </c>
      <c r="E1940" t="s">
        <v>371</v>
      </c>
      <c r="F1940" t="s">
        <v>31</v>
      </c>
      <c r="G1940" t="s">
        <v>22703</v>
      </c>
      <c r="H1940" t="s">
        <v>26011</v>
      </c>
      <c r="I1940" s="26">
        <v>37245</v>
      </c>
      <c r="J1940">
        <v>2000</v>
      </c>
      <c r="K1940" t="s">
        <v>31984</v>
      </c>
      <c r="L1940">
        <v>353</v>
      </c>
      <c r="M1940" t="s">
        <v>33247</v>
      </c>
      <c r="Q1940" t="s">
        <v>33248</v>
      </c>
      <c r="R1940" t="s">
        <v>31170</v>
      </c>
      <c r="S1940" t="s">
        <v>33249</v>
      </c>
      <c r="T1940" t="s">
        <v>30</v>
      </c>
      <c r="U1940" t="s">
        <v>26019</v>
      </c>
      <c r="W1940" t="s">
        <v>26009</v>
      </c>
    </row>
    <row r="1941" spans="1:23" x14ac:dyDescent="0.35">
      <c r="A1941">
        <v>431366</v>
      </c>
      <c r="B1941" t="s">
        <v>33250</v>
      </c>
      <c r="C1941" t="str">
        <f>"9780195140873"</f>
        <v>9780195140873</v>
      </c>
      <c r="D1941" t="str">
        <f>"9780195349764"</f>
        <v>9780195349764</v>
      </c>
      <c r="E1941" t="s">
        <v>371</v>
      </c>
      <c r="F1941" t="s">
        <v>31</v>
      </c>
      <c r="G1941" t="s">
        <v>22703</v>
      </c>
      <c r="H1941" t="s">
        <v>26004</v>
      </c>
      <c r="I1941" s="26">
        <v>37168</v>
      </c>
      <c r="J1941">
        <v>2001</v>
      </c>
      <c r="K1941" t="s">
        <v>31</v>
      </c>
      <c r="L1941">
        <v>301</v>
      </c>
      <c r="M1941" t="s">
        <v>33251</v>
      </c>
      <c r="Q1941" t="s">
        <v>33252</v>
      </c>
      <c r="R1941" t="s">
        <v>26735</v>
      </c>
      <c r="S1941" t="s">
        <v>33253</v>
      </c>
      <c r="T1941" t="s">
        <v>30</v>
      </c>
      <c r="U1941" t="s">
        <v>26040</v>
      </c>
      <c r="W1941" t="s">
        <v>26009</v>
      </c>
    </row>
    <row r="1942" spans="1:23" x14ac:dyDescent="0.35">
      <c r="A1942">
        <v>431383</v>
      </c>
      <c r="B1942" t="s">
        <v>33254</v>
      </c>
      <c r="C1942" t="str">
        <f>"9780195315073"</f>
        <v>9780195315073</v>
      </c>
      <c r="D1942" t="str">
        <f>"9780199718023"</f>
        <v>9780199718023</v>
      </c>
      <c r="E1942" t="s">
        <v>371</v>
      </c>
      <c r="F1942" t="s">
        <v>31</v>
      </c>
      <c r="G1942" t="s">
        <v>22703</v>
      </c>
      <c r="H1942" t="s">
        <v>26004</v>
      </c>
      <c r="I1942" s="26">
        <v>39927</v>
      </c>
      <c r="J1942">
        <v>2009</v>
      </c>
      <c r="K1942" t="s">
        <v>31</v>
      </c>
      <c r="L1942">
        <v>145</v>
      </c>
      <c r="M1942" t="s">
        <v>33255</v>
      </c>
      <c r="N1942">
        <v>2</v>
      </c>
      <c r="O1942" t="s">
        <v>28565</v>
      </c>
      <c r="Q1942" t="s">
        <v>33256</v>
      </c>
      <c r="R1942">
        <v>616.85830599999997</v>
      </c>
      <c r="S1942" t="s">
        <v>33257</v>
      </c>
      <c r="T1942" t="s">
        <v>30</v>
      </c>
      <c r="U1942" t="s">
        <v>26116</v>
      </c>
      <c r="W1942" t="s">
        <v>26009</v>
      </c>
    </row>
    <row r="1943" spans="1:23" x14ac:dyDescent="0.35">
      <c r="A1943">
        <v>431384</v>
      </c>
      <c r="B1943" t="s">
        <v>33258</v>
      </c>
      <c r="C1943" t="str">
        <f>"9780195315080"</f>
        <v>9780195315080</v>
      </c>
      <c r="D1943" t="str">
        <f>"9780198043003"</f>
        <v>9780198043003</v>
      </c>
      <c r="E1943" t="s">
        <v>371</v>
      </c>
      <c r="F1943" t="s">
        <v>31</v>
      </c>
      <c r="G1943" t="s">
        <v>22703</v>
      </c>
      <c r="H1943" t="s">
        <v>26004</v>
      </c>
      <c r="I1943" s="26">
        <v>39930</v>
      </c>
      <c r="J1943">
        <v>2009</v>
      </c>
      <c r="K1943" t="s">
        <v>31</v>
      </c>
      <c r="L1943">
        <v>213</v>
      </c>
      <c r="M1943" t="s">
        <v>33255</v>
      </c>
      <c r="N1943">
        <v>2</v>
      </c>
      <c r="O1943" t="s">
        <v>28565</v>
      </c>
      <c r="Q1943" t="s">
        <v>33256</v>
      </c>
      <c r="R1943">
        <v>616.85830599999997</v>
      </c>
      <c r="S1943" t="s">
        <v>33257</v>
      </c>
      <c r="T1943" t="s">
        <v>30</v>
      </c>
      <c r="U1943" t="s">
        <v>26019</v>
      </c>
      <c r="W1943" t="s">
        <v>26009</v>
      </c>
    </row>
    <row r="1944" spans="1:23" x14ac:dyDescent="0.35">
      <c r="A1944">
        <v>432061</v>
      </c>
      <c r="B1944" t="s">
        <v>33259</v>
      </c>
      <c r="C1944" t="str">
        <f>"9780521506359"</f>
        <v>9780521506359</v>
      </c>
      <c r="D1944" t="str">
        <f>"9780511515170"</f>
        <v>9780511515170</v>
      </c>
      <c r="E1944" t="s">
        <v>167</v>
      </c>
      <c r="F1944" t="s">
        <v>167</v>
      </c>
      <c r="G1944" t="s">
        <v>22179</v>
      </c>
      <c r="H1944" t="s">
        <v>26004</v>
      </c>
      <c r="I1944" s="26">
        <v>39853</v>
      </c>
      <c r="J1944">
        <v>2009</v>
      </c>
      <c r="K1944" t="s">
        <v>167</v>
      </c>
      <c r="L1944">
        <v>265</v>
      </c>
      <c r="M1944" t="s">
        <v>33260</v>
      </c>
      <c r="N1944">
        <v>1</v>
      </c>
      <c r="Q1944" t="s">
        <v>33261</v>
      </c>
      <c r="R1944">
        <v>155.19999999999999</v>
      </c>
      <c r="S1944" t="s">
        <v>9312</v>
      </c>
      <c r="T1944" t="s">
        <v>30</v>
      </c>
      <c r="U1944" t="s">
        <v>46</v>
      </c>
      <c r="W1944" t="s">
        <v>26020</v>
      </c>
    </row>
    <row r="1945" spans="1:23" x14ac:dyDescent="0.35">
      <c r="A1945">
        <v>432195</v>
      </c>
      <c r="B1945" t="s">
        <v>8543</v>
      </c>
      <c r="C1945" t="str">
        <f>"9780226071527"</f>
        <v>9780226071527</v>
      </c>
      <c r="D1945" t="str">
        <f>"9780226071534"</f>
        <v>9780226071534</v>
      </c>
      <c r="E1945" t="s">
        <v>550</v>
      </c>
      <c r="F1945" t="s">
        <v>550</v>
      </c>
      <c r="G1945" t="s">
        <v>22352</v>
      </c>
      <c r="H1945" t="s">
        <v>26004</v>
      </c>
      <c r="I1945" s="26">
        <v>39371</v>
      </c>
      <c r="J1945">
        <v>2007</v>
      </c>
      <c r="K1945" t="s">
        <v>550</v>
      </c>
      <c r="L1945">
        <v>228</v>
      </c>
      <c r="M1945" t="s">
        <v>33262</v>
      </c>
      <c r="N1945">
        <v>1</v>
      </c>
      <c r="Q1945" t="s">
        <v>33263</v>
      </c>
      <c r="R1945">
        <v>133.80000000000001</v>
      </c>
      <c r="S1945" t="s">
        <v>33264</v>
      </c>
      <c r="T1945" t="s">
        <v>30</v>
      </c>
      <c r="U1945" t="s">
        <v>26520</v>
      </c>
      <c r="W1945" t="s">
        <v>26009</v>
      </c>
    </row>
    <row r="1946" spans="1:23" x14ac:dyDescent="0.35">
      <c r="A1946">
        <v>432228</v>
      </c>
      <c r="B1946" t="s">
        <v>33265</v>
      </c>
      <c r="C1946" t="str">
        <f>"9780226309798"</f>
        <v>9780226309798</v>
      </c>
      <c r="D1946" t="str">
        <f>"9780226309934"</f>
        <v>9780226309934</v>
      </c>
      <c r="E1946" t="s">
        <v>550</v>
      </c>
      <c r="F1946" t="s">
        <v>550</v>
      </c>
      <c r="G1946" t="s">
        <v>22352</v>
      </c>
      <c r="H1946" t="s">
        <v>26004</v>
      </c>
      <c r="I1946" s="26">
        <v>38852</v>
      </c>
      <c r="J1946">
        <v>2006</v>
      </c>
      <c r="K1946" t="s">
        <v>550</v>
      </c>
      <c r="L1946">
        <v>205</v>
      </c>
      <c r="M1946" t="s">
        <v>33266</v>
      </c>
      <c r="N1946">
        <v>1</v>
      </c>
      <c r="Q1946" t="s">
        <v>33267</v>
      </c>
      <c r="R1946">
        <v>152.40899999999999</v>
      </c>
      <c r="S1946" t="s">
        <v>33268</v>
      </c>
      <c r="T1946" t="s">
        <v>30</v>
      </c>
      <c r="U1946" t="s">
        <v>46</v>
      </c>
      <c r="W1946" t="s">
        <v>26009</v>
      </c>
    </row>
    <row r="1947" spans="1:23" x14ac:dyDescent="0.35">
      <c r="A1947">
        <v>432229</v>
      </c>
      <c r="B1947" t="s">
        <v>33269</v>
      </c>
      <c r="C1947" t="str">
        <f>"9780226310138"</f>
        <v>9780226310138</v>
      </c>
      <c r="D1947" t="str">
        <f>"9780226309972"</f>
        <v>9780226309972</v>
      </c>
      <c r="E1947" t="s">
        <v>550</v>
      </c>
      <c r="F1947" t="s">
        <v>550</v>
      </c>
      <c r="G1947" t="s">
        <v>22352</v>
      </c>
      <c r="H1947" t="s">
        <v>26004</v>
      </c>
      <c r="I1947" s="26">
        <v>36965</v>
      </c>
      <c r="J1947">
        <v>2001</v>
      </c>
      <c r="K1947" t="s">
        <v>550</v>
      </c>
      <c r="L1947">
        <v>551</v>
      </c>
      <c r="M1947" t="s">
        <v>33270</v>
      </c>
      <c r="N1947">
        <v>1</v>
      </c>
      <c r="O1947" t="s">
        <v>33271</v>
      </c>
      <c r="Q1947" t="s">
        <v>33272</v>
      </c>
      <c r="R1947">
        <v>305.23500000000001</v>
      </c>
      <c r="S1947" t="s">
        <v>33273</v>
      </c>
      <c r="T1947" t="s">
        <v>30</v>
      </c>
      <c r="U1947" t="s">
        <v>26044</v>
      </c>
      <c r="W1947" t="s">
        <v>26009</v>
      </c>
    </row>
    <row r="1948" spans="1:23" x14ac:dyDescent="0.35">
      <c r="A1948">
        <v>432234</v>
      </c>
      <c r="B1948" t="s">
        <v>33274</v>
      </c>
      <c r="C1948" t="str">
        <f>"9780226327273"</f>
        <v>9780226327273</v>
      </c>
      <c r="D1948" t="str">
        <f>"9780226327297"</f>
        <v>9780226327297</v>
      </c>
      <c r="E1948" t="s">
        <v>550</v>
      </c>
      <c r="F1948" t="s">
        <v>550</v>
      </c>
      <c r="G1948" t="s">
        <v>22352</v>
      </c>
      <c r="H1948" t="s">
        <v>26004</v>
      </c>
      <c r="I1948" s="26">
        <v>39644</v>
      </c>
      <c r="J1948">
        <v>2008</v>
      </c>
      <c r="K1948" t="s">
        <v>550</v>
      </c>
      <c r="L1948">
        <v>254</v>
      </c>
      <c r="M1948" t="s">
        <v>33275</v>
      </c>
      <c r="N1948">
        <v>1</v>
      </c>
      <c r="Q1948" t="s">
        <v>33276</v>
      </c>
      <c r="R1948" t="s">
        <v>33277</v>
      </c>
      <c r="S1948" t="s">
        <v>33278</v>
      </c>
      <c r="T1948" t="s">
        <v>30</v>
      </c>
      <c r="U1948" t="s">
        <v>26044</v>
      </c>
      <c r="W1948" t="s">
        <v>26009</v>
      </c>
    </row>
    <row r="1949" spans="1:23" x14ac:dyDescent="0.35">
      <c r="A1949">
        <v>432245</v>
      </c>
      <c r="B1949" t="s">
        <v>33279</v>
      </c>
      <c r="C1949" t="str">
        <f>"9780226394756"</f>
        <v>9780226394756</v>
      </c>
      <c r="D1949" t="str">
        <f>"9780226394749"</f>
        <v>9780226394749</v>
      </c>
      <c r="E1949" t="s">
        <v>550</v>
      </c>
      <c r="F1949" t="s">
        <v>550</v>
      </c>
      <c r="G1949" t="s">
        <v>22352</v>
      </c>
      <c r="H1949" t="s">
        <v>26004</v>
      </c>
      <c r="I1949" s="26">
        <v>38985</v>
      </c>
      <c r="J1949">
        <v>2006</v>
      </c>
      <c r="K1949" t="s">
        <v>550</v>
      </c>
      <c r="L1949">
        <v>252</v>
      </c>
      <c r="M1949" t="s">
        <v>33280</v>
      </c>
      <c r="N1949">
        <v>1</v>
      </c>
      <c r="Q1949" t="s">
        <v>33281</v>
      </c>
      <c r="R1949" t="s">
        <v>31030</v>
      </c>
      <c r="S1949" t="s">
        <v>8530</v>
      </c>
      <c r="T1949" t="s">
        <v>30</v>
      </c>
      <c r="U1949" t="s">
        <v>26044</v>
      </c>
      <c r="W1949" t="s">
        <v>26009</v>
      </c>
    </row>
    <row r="1950" spans="1:23" x14ac:dyDescent="0.35">
      <c r="A1950">
        <v>432353</v>
      </c>
      <c r="B1950" t="s">
        <v>7508</v>
      </c>
      <c r="C1950" t="str">
        <f>""</f>
        <v/>
      </c>
      <c r="D1950" t="str">
        <f>"9781775567257"</f>
        <v>9781775567257</v>
      </c>
      <c r="E1950" t="s">
        <v>33282</v>
      </c>
      <c r="F1950" t="s">
        <v>33283</v>
      </c>
      <c r="G1950" t="s">
        <v>22748</v>
      </c>
      <c r="H1950" t="s">
        <v>33284</v>
      </c>
      <c r="I1950" s="26">
        <v>39661</v>
      </c>
      <c r="J1950">
        <v>2008</v>
      </c>
      <c r="K1950" t="s">
        <v>33283</v>
      </c>
      <c r="L1950">
        <v>407</v>
      </c>
      <c r="M1950" t="s">
        <v>33285</v>
      </c>
      <c r="N1950">
        <v>1</v>
      </c>
      <c r="Q1950" t="s">
        <v>33286</v>
      </c>
      <c r="R1950">
        <v>150</v>
      </c>
      <c r="S1950" t="s">
        <v>7509</v>
      </c>
      <c r="T1950" t="s">
        <v>30</v>
      </c>
      <c r="U1950" t="s">
        <v>46</v>
      </c>
      <c r="W1950" t="s">
        <v>33287</v>
      </c>
    </row>
    <row r="1951" spans="1:23" x14ac:dyDescent="0.35">
      <c r="A1951">
        <v>433038</v>
      </c>
      <c r="B1951" t="s">
        <v>9712</v>
      </c>
      <c r="C1951" t="str">
        <f>"9780521889520"</f>
        <v>9780521889520</v>
      </c>
      <c r="D1951" t="str">
        <f>"9780511532955"</f>
        <v>9780511532955</v>
      </c>
      <c r="E1951" t="s">
        <v>167</v>
      </c>
      <c r="F1951" t="s">
        <v>167</v>
      </c>
      <c r="G1951" t="s">
        <v>22179</v>
      </c>
      <c r="H1951" t="s">
        <v>26004</v>
      </c>
      <c r="I1951" s="26">
        <v>39902</v>
      </c>
      <c r="J1951">
        <v>2009</v>
      </c>
      <c r="K1951" t="s">
        <v>167</v>
      </c>
      <c r="L1951">
        <v>386</v>
      </c>
      <c r="M1951" t="s">
        <v>33288</v>
      </c>
      <c r="N1951">
        <v>1</v>
      </c>
      <c r="Q1951" t="s">
        <v>33289</v>
      </c>
      <c r="R1951">
        <v>616.89</v>
      </c>
      <c r="S1951" t="s">
        <v>9713</v>
      </c>
      <c r="T1951" t="s">
        <v>30</v>
      </c>
      <c r="U1951" t="s">
        <v>26019</v>
      </c>
      <c r="W1951" t="s">
        <v>26020</v>
      </c>
    </row>
    <row r="1952" spans="1:23" x14ac:dyDescent="0.35">
      <c r="A1952">
        <v>433171</v>
      </c>
      <c r="B1952" t="s">
        <v>33290</v>
      </c>
      <c r="C1952" t="str">
        <f>"9780816647835"</f>
        <v>9780816647835</v>
      </c>
      <c r="D1952" t="str">
        <f>"9780816666294"</f>
        <v>9780816666294</v>
      </c>
      <c r="E1952" t="s">
        <v>7471</v>
      </c>
      <c r="F1952" t="s">
        <v>7471</v>
      </c>
      <c r="G1952" t="s">
        <v>23536</v>
      </c>
      <c r="H1952" t="s">
        <v>26004</v>
      </c>
      <c r="I1952" s="26">
        <v>39723</v>
      </c>
      <c r="J1952">
        <v>2008</v>
      </c>
      <c r="K1952" t="s">
        <v>7471</v>
      </c>
      <c r="L1952">
        <v>410</v>
      </c>
      <c r="M1952" t="s">
        <v>33291</v>
      </c>
      <c r="N1952">
        <v>1</v>
      </c>
      <c r="O1952" t="s">
        <v>33292</v>
      </c>
      <c r="Q1952" t="s">
        <v>33293</v>
      </c>
      <c r="R1952" t="s">
        <v>33294</v>
      </c>
      <c r="S1952" t="s">
        <v>33295</v>
      </c>
      <c r="T1952" t="s">
        <v>30</v>
      </c>
      <c r="U1952" t="s">
        <v>402</v>
      </c>
      <c r="W1952" t="s">
        <v>26009</v>
      </c>
    </row>
    <row r="1953" spans="1:23" x14ac:dyDescent="0.35">
      <c r="A1953">
        <v>433172</v>
      </c>
      <c r="B1953" t="s">
        <v>33296</v>
      </c>
      <c r="C1953" t="str">
        <f>"9780816652754"</f>
        <v>9780816652754</v>
      </c>
      <c r="D1953" t="str">
        <f>"9780816666461"</f>
        <v>9780816666461</v>
      </c>
      <c r="E1953" t="s">
        <v>7471</v>
      </c>
      <c r="F1953" t="s">
        <v>7471</v>
      </c>
      <c r="G1953" t="s">
        <v>23536</v>
      </c>
      <c r="H1953" t="s">
        <v>26004</v>
      </c>
      <c r="I1953" s="26">
        <v>39763</v>
      </c>
      <c r="J1953">
        <v>2008</v>
      </c>
      <c r="K1953" t="s">
        <v>7471</v>
      </c>
      <c r="L1953">
        <v>262</v>
      </c>
      <c r="M1953" t="s">
        <v>33297</v>
      </c>
      <c r="N1953">
        <v>1</v>
      </c>
      <c r="Q1953" t="s">
        <v>33298</v>
      </c>
      <c r="R1953" t="s">
        <v>33299</v>
      </c>
      <c r="S1953" t="s">
        <v>33300</v>
      </c>
      <c r="T1953" t="s">
        <v>30</v>
      </c>
      <c r="U1953" t="s">
        <v>402</v>
      </c>
      <c r="W1953" t="s">
        <v>26009</v>
      </c>
    </row>
    <row r="1954" spans="1:23" x14ac:dyDescent="0.35">
      <c r="A1954">
        <v>433196</v>
      </c>
      <c r="B1954" t="s">
        <v>8151</v>
      </c>
      <c r="C1954" t="str">
        <f>"9780816650514"</f>
        <v>9780816650514</v>
      </c>
      <c r="D1954" t="str">
        <f>"9780816666348"</f>
        <v>9780816666348</v>
      </c>
      <c r="E1954" t="s">
        <v>7471</v>
      </c>
      <c r="F1954" t="s">
        <v>7471</v>
      </c>
      <c r="G1954" t="s">
        <v>23536</v>
      </c>
      <c r="H1954" t="s">
        <v>26004</v>
      </c>
      <c r="I1954" s="26">
        <v>39722</v>
      </c>
      <c r="J1954">
        <v>2008</v>
      </c>
      <c r="K1954" t="s">
        <v>7471</v>
      </c>
      <c r="L1954">
        <v>396</v>
      </c>
      <c r="M1954" t="s">
        <v>33301</v>
      </c>
      <c r="N1954">
        <v>1</v>
      </c>
      <c r="Q1954" t="s">
        <v>33302</v>
      </c>
      <c r="R1954" t="s">
        <v>33303</v>
      </c>
      <c r="S1954" t="s">
        <v>33304</v>
      </c>
      <c r="T1954" t="s">
        <v>30</v>
      </c>
      <c r="U1954" t="s">
        <v>26520</v>
      </c>
      <c r="W1954" t="s">
        <v>26009</v>
      </c>
    </row>
    <row r="1955" spans="1:23" x14ac:dyDescent="0.35">
      <c r="A1955">
        <v>434119</v>
      </c>
      <c r="B1955" t="s">
        <v>33305</v>
      </c>
      <c r="C1955" t="str">
        <f>"9781932603422"</f>
        <v>9781932603422</v>
      </c>
      <c r="D1955" t="str">
        <f>"9781935281092"</f>
        <v>9781935281092</v>
      </c>
      <c r="E1955" t="s">
        <v>1504</v>
      </c>
      <c r="F1955" t="s">
        <v>9010</v>
      </c>
      <c r="G1955" t="s">
        <v>22179</v>
      </c>
      <c r="H1955" t="s">
        <v>26004</v>
      </c>
      <c r="I1955" s="26">
        <v>39402</v>
      </c>
      <c r="J1955">
        <v>2008</v>
      </c>
      <c r="K1955" t="s">
        <v>33306</v>
      </c>
      <c r="L1955">
        <v>218</v>
      </c>
      <c r="M1955" t="s">
        <v>33307</v>
      </c>
      <c r="N1955">
        <v>1</v>
      </c>
      <c r="Q1955" t="s">
        <v>33308</v>
      </c>
      <c r="R1955" t="s">
        <v>33309</v>
      </c>
      <c r="S1955" t="s">
        <v>33310</v>
      </c>
      <c r="T1955" t="s">
        <v>30</v>
      </c>
      <c r="U1955" t="s">
        <v>26040</v>
      </c>
      <c r="W1955" t="s">
        <v>26009</v>
      </c>
    </row>
    <row r="1956" spans="1:23" x14ac:dyDescent="0.35">
      <c r="A1956">
        <v>435116</v>
      </c>
      <c r="B1956" t="s">
        <v>33311</v>
      </c>
      <c r="C1956" t="str">
        <f>"9780826112583"</f>
        <v>9780826112583</v>
      </c>
      <c r="D1956" t="str">
        <f>"9780826197023"</f>
        <v>9780826197023</v>
      </c>
      <c r="E1956" t="s">
        <v>1504</v>
      </c>
      <c r="F1956" t="s">
        <v>33</v>
      </c>
      <c r="G1956" t="s">
        <v>22179</v>
      </c>
      <c r="H1956" t="s">
        <v>26004</v>
      </c>
      <c r="I1956" s="26">
        <v>36251</v>
      </c>
      <c r="J1956">
        <v>1999</v>
      </c>
      <c r="K1956" t="s">
        <v>33</v>
      </c>
      <c r="L1956">
        <v>161</v>
      </c>
      <c r="M1956" t="s">
        <v>33312</v>
      </c>
      <c r="N1956">
        <v>1</v>
      </c>
      <c r="Q1956" t="s">
        <v>33313</v>
      </c>
      <c r="R1956" t="s">
        <v>33314</v>
      </c>
      <c r="S1956" t="s">
        <v>33315</v>
      </c>
      <c r="T1956" t="s">
        <v>30</v>
      </c>
      <c r="U1956" t="s">
        <v>26019</v>
      </c>
      <c r="W1956" t="s">
        <v>26009</v>
      </c>
    </row>
    <row r="1957" spans="1:23" x14ac:dyDescent="0.35">
      <c r="A1957">
        <v>435137</v>
      </c>
      <c r="B1957" t="s">
        <v>33316</v>
      </c>
      <c r="C1957" t="str">
        <f>"9780826118738"</f>
        <v>9780826118738</v>
      </c>
      <c r="D1957" t="str">
        <f>"9780826197368"</f>
        <v>9780826197368</v>
      </c>
      <c r="E1957" t="s">
        <v>1504</v>
      </c>
      <c r="F1957" t="s">
        <v>33</v>
      </c>
      <c r="G1957" t="s">
        <v>22179</v>
      </c>
      <c r="H1957" t="s">
        <v>26004</v>
      </c>
      <c r="I1957" s="26">
        <v>38353</v>
      </c>
      <c r="J1957">
        <v>2005</v>
      </c>
      <c r="K1957" t="s">
        <v>33</v>
      </c>
      <c r="L1957">
        <v>329</v>
      </c>
      <c r="M1957" t="s">
        <v>33317</v>
      </c>
      <c r="N1957">
        <v>1</v>
      </c>
      <c r="Q1957" t="s">
        <v>33318</v>
      </c>
      <c r="S1957" t="s">
        <v>33319</v>
      </c>
      <c r="T1957" t="s">
        <v>30</v>
      </c>
      <c r="U1957" t="s">
        <v>26019</v>
      </c>
      <c r="W1957" t="s">
        <v>26009</v>
      </c>
    </row>
    <row r="1958" spans="1:23" x14ac:dyDescent="0.35">
      <c r="A1958">
        <v>435140</v>
      </c>
      <c r="B1958" t="s">
        <v>33320</v>
      </c>
      <c r="C1958" t="str">
        <f>"9780826102614"</f>
        <v>9780826102614</v>
      </c>
      <c r="D1958" t="str">
        <f>"9780826103802"</f>
        <v>9780826103802</v>
      </c>
      <c r="E1958" t="s">
        <v>1504</v>
      </c>
      <c r="F1958" t="s">
        <v>33</v>
      </c>
      <c r="G1958" t="s">
        <v>22179</v>
      </c>
      <c r="H1958" t="s">
        <v>26004</v>
      </c>
      <c r="I1958" s="26">
        <v>36161</v>
      </c>
      <c r="J1958">
        <v>1999</v>
      </c>
      <c r="K1958" t="s">
        <v>33</v>
      </c>
      <c r="L1958">
        <v>357</v>
      </c>
      <c r="M1958" t="s">
        <v>33321</v>
      </c>
      <c r="N1958">
        <v>1</v>
      </c>
      <c r="Q1958" t="s">
        <v>33322</v>
      </c>
      <c r="R1958">
        <v>155.9042</v>
      </c>
      <c r="S1958" t="s">
        <v>33323</v>
      </c>
      <c r="T1958" t="s">
        <v>30</v>
      </c>
      <c r="U1958" t="s">
        <v>46</v>
      </c>
      <c r="W1958" t="s">
        <v>26009</v>
      </c>
    </row>
    <row r="1959" spans="1:23" x14ac:dyDescent="0.35">
      <c r="A1959">
        <v>435313</v>
      </c>
      <c r="B1959" t="s">
        <v>33324</v>
      </c>
      <c r="C1959" t="str">
        <f>"9781606231074"</f>
        <v>9781606231074</v>
      </c>
      <c r="D1959" t="str">
        <f>"9781606232392"</f>
        <v>9781606232392</v>
      </c>
      <c r="E1959" t="s">
        <v>30112</v>
      </c>
      <c r="F1959" t="s">
        <v>7420</v>
      </c>
      <c r="G1959" t="s">
        <v>22179</v>
      </c>
      <c r="H1959" t="s">
        <v>26004</v>
      </c>
      <c r="I1959" s="26">
        <v>39905</v>
      </c>
      <c r="J1959">
        <v>2009</v>
      </c>
      <c r="K1959" t="s">
        <v>30113</v>
      </c>
      <c r="L1959">
        <v>545</v>
      </c>
      <c r="M1959" t="s">
        <v>33325</v>
      </c>
      <c r="N1959">
        <v>1</v>
      </c>
      <c r="Q1959" t="s">
        <v>33326</v>
      </c>
      <c r="R1959">
        <v>616.86008200000003</v>
      </c>
      <c r="S1959" t="s">
        <v>33327</v>
      </c>
      <c r="T1959" t="s">
        <v>30</v>
      </c>
      <c r="U1959" t="s">
        <v>28289</v>
      </c>
      <c r="W1959" t="s">
        <v>28347</v>
      </c>
    </row>
    <row r="1960" spans="1:23" x14ac:dyDescent="0.35">
      <c r="A1960">
        <v>435314</v>
      </c>
      <c r="B1960" t="s">
        <v>8606</v>
      </c>
      <c r="C1960" t="str">
        <f>"9781606231173"</f>
        <v>9781606231173</v>
      </c>
      <c r="D1960" t="str">
        <f>"9781606232408"</f>
        <v>9781606232408</v>
      </c>
      <c r="E1960" t="s">
        <v>30112</v>
      </c>
      <c r="F1960" t="s">
        <v>7420</v>
      </c>
      <c r="G1960" t="s">
        <v>22179</v>
      </c>
      <c r="H1960" t="s">
        <v>26004</v>
      </c>
      <c r="I1960" s="26">
        <v>39905</v>
      </c>
      <c r="J1960">
        <v>2009</v>
      </c>
      <c r="K1960" t="s">
        <v>30113</v>
      </c>
      <c r="L1960">
        <v>581</v>
      </c>
      <c r="M1960" t="s">
        <v>33328</v>
      </c>
      <c r="N1960">
        <v>1</v>
      </c>
      <c r="Q1960" t="s">
        <v>33329</v>
      </c>
      <c r="R1960">
        <v>612.79999999999995</v>
      </c>
      <c r="S1960" t="s">
        <v>33330</v>
      </c>
      <c r="T1960" t="s">
        <v>30</v>
      </c>
      <c r="U1960" t="s">
        <v>27252</v>
      </c>
      <c r="W1960" t="s">
        <v>28347</v>
      </c>
    </row>
    <row r="1961" spans="1:23" x14ac:dyDescent="0.35">
      <c r="A1961">
        <v>435487</v>
      </c>
      <c r="B1961" t="s">
        <v>9151</v>
      </c>
      <c r="C1961" t="str">
        <f>"9789056295455"</f>
        <v>9789056295455</v>
      </c>
      <c r="D1961" t="str">
        <f>"9789048508020"</f>
        <v>9789048508020</v>
      </c>
      <c r="E1961" t="s">
        <v>7497</v>
      </c>
      <c r="F1961" t="s">
        <v>7497</v>
      </c>
      <c r="G1961" t="s">
        <v>22222</v>
      </c>
      <c r="H1961" t="s">
        <v>27983</v>
      </c>
      <c r="I1961" s="26">
        <v>39873</v>
      </c>
      <c r="J1961">
        <v>2008</v>
      </c>
      <c r="K1961" t="s">
        <v>32379</v>
      </c>
      <c r="L1961">
        <v>38</v>
      </c>
      <c r="M1961" t="s">
        <v>33331</v>
      </c>
      <c r="N1961">
        <v>1</v>
      </c>
      <c r="O1961" t="s">
        <v>33332</v>
      </c>
      <c r="Q1961" t="s">
        <v>33333</v>
      </c>
      <c r="R1961">
        <v>152.4</v>
      </c>
      <c r="S1961" t="s">
        <v>30976</v>
      </c>
      <c r="T1961" t="s">
        <v>8494</v>
      </c>
      <c r="U1961" t="s">
        <v>46</v>
      </c>
      <c r="W1961" t="s">
        <v>26009</v>
      </c>
    </row>
    <row r="1962" spans="1:23" x14ac:dyDescent="0.35">
      <c r="A1962">
        <v>435495</v>
      </c>
      <c r="B1962" t="s">
        <v>9908</v>
      </c>
      <c r="C1962" t="str">
        <f>"9789056295707"</f>
        <v>9789056295707</v>
      </c>
      <c r="D1962" t="str">
        <f>"9789048510566"</f>
        <v>9789048510566</v>
      </c>
      <c r="E1962" t="s">
        <v>7497</v>
      </c>
      <c r="F1962" t="s">
        <v>7497</v>
      </c>
      <c r="G1962" t="s">
        <v>22222</v>
      </c>
      <c r="H1962" t="s">
        <v>27983</v>
      </c>
      <c r="I1962" s="26">
        <v>39934</v>
      </c>
      <c r="J1962">
        <v>2009</v>
      </c>
      <c r="K1962" t="s">
        <v>32379</v>
      </c>
      <c r="L1962">
        <v>27</v>
      </c>
      <c r="M1962" t="s">
        <v>33334</v>
      </c>
      <c r="N1962">
        <v>1</v>
      </c>
      <c r="Q1962" t="s">
        <v>33335</v>
      </c>
      <c r="R1962">
        <v>305.39999999999998</v>
      </c>
      <c r="S1962" t="s">
        <v>33336</v>
      </c>
      <c r="T1962" t="s">
        <v>30</v>
      </c>
      <c r="U1962" t="s">
        <v>26044</v>
      </c>
      <c r="W1962" t="s">
        <v>26009</v>
      </c>
    </row>
    <row r="1963" spans="1:23" x14ac:dyDescent="0.35">
      <c r="A1963">
        <v>435960</v>
      </c>
      <c r="B1963" t="s">
        <v>33337</v>
      </c>
      <c r="C1963" t="str">
        <f>"9780304705191"</f>
        <v>9780304705191</v>
      </c>
      <c r="D1963" t="str">
        <f>"9780826433282"</f>
        <v>9780826433282</v>
      </c>
      <c r="E1963" t="s">
        <v>31671</v>
      </c>
      <c r="F1963" t="s">
        <v>7760</v>
      </c>
      <c r="G1963" t="s">
        <v>22174</v>
      </c>
      <c r="H1963" t="s">
        <v>26011</v>
      </c>
      <c r="I1963" s="26">
        <v>36434</v>
      </c>
      <c r="J1963">
        <v>1999</v>
      </c>
      <c r="K1963" t="s">
        <v>33338</v>
      </c>
      <c r="L1963">
        <v>287</v>
      </c>
      <c r="M1963" t="s">
        <v>33339</v>
      </c>
      <c r="N1963">
        <v>1</v>
      </c>
      <c r="Q1963" t="s">
        <v>33340</v>
      </c>
      <c r="R1963" t="s">
        <v>33341</v>
      </c>
      <c r="S1963" t="s">
        <v>33342</v>
      </c>
      <c r="T1963" t="s">
        <v>30</v>
      </c>
      <c r="U1963" t="s">
        <v>337</v>
      </c>
      <c r="W1963" t="s">
        <v>28347</v>
      </c>
    </row>
    <row r="1964" spans="1:23" x14ac:dyDescent="0.35">
      <c r="A1964">
        <v>436195</v>
      </c>
      <c r="B1964" t="s">
        <v>7823</v>
      </c>
      <c r="C1964" t="str">
        <f>"9780826479112"</f>
        <v>9780826479112</v>
      </c>
      <c r="D1964" t="str">
        <f>"9781441156792"</f>
        <v>9781441156792</v>
      </c>
      <c r="E1964" t="s">
        <v>31671</v>
      </c>
      <c r="F1964" t="s">
        <v>7760</v>
      </c>
      <c r="G1964" t="s">
        <v>22174</v>
      </c>
      <c r="H1964" t="s">
        <v>26011</v>
      </c>
      <c r="I1964" s="26">
        <v>38645</v>
      </c>
      <c r="J1964">
        <v>2005</v>
      </c>
      <c r="K1964" t="s">
        <v>33338</v>
      </c>
      <c r="L1964">
        <v>193</v>
      </c>
      <c r="M1964" t="s">
        <v>33343</v>
      </c>
      <c r="N1964">
        <v>1</v>
      </c>
      <c r="Q1964" t="s">
        <v>33344</v>
      </c>
      <c r="R1964">
        <v>372.7</v>
      </c>
      <c r="S1964" t="s">
        <v>33345</v>
      </c>
      <c r="T1964" t="s">
        <v>30</v>
      </c>
      <c r="U1964" t="s">
        <v>33346</v>
      </c>
      <c r="W1964" t="s">
        <v>28347</v>
      </c>
    </row>
    <row r="1965" spans="1:23" x14ac:dyDescent="0.35">
      <c r="A1965">
        <v>436206</v>
      </c>
      <c r="B1965" t="s">
        <v>8459</v>
      </c>
      <c r="C1965" t="str">
        <f>"9780826482990"</f>
        <v>9780826482990</v>
      </c>
      <c r="D1965" t="str">
        <f>"9781847144256"</f>
        <v>9781847144256</v>
      </c>
      <c r="E1965" t="s">
        <v>31671</v>
      </c>
      <c r="F1965" t="s">
        <v>7760</v>
      </c>
      <c r="G1965" t="s">
        <v>22174</v>
      </c>
      <c r="H1965" t="s">
        <v>26011</v>
      </c>
      <c r="I1965" s="26">
        <v>39063</v>
      </c>
      <c r="J1965">
        <v>2006</v>
      </c>
      <c r="K1965" t="s">
        <v>7760</v>
      </c>
      <c r="L1965">
        <v>279</v>
      </c>
      <c r="M1965" t="s">
        <v>33347</v>
      </c>
      <c r="N1965">
        <v>1</v>
      </c>
      <c r="Q1965" t="s">
        <v>33348</v>
      </c>
      <c r="R1965">
        <v>193</v>
      </c>
      <c r="S1965" t="s">
        <v>8460</v>
      </c>
      <c r="T1965" t="s">
        <v>30</v>
      </c>
      <c r="U1965" t="s">
        <v>152</v>
      </c>
      <c r="W1965" t="s">
        <v>28347</v>
      </c>
    </row>
    <row r="1966" spans="1:23" x14ac:dyDescent="0.35">
      <c r="A1966">
        <v>436491</v>
      </c>
      <c r="B1966" t="s">
        <v>8386</v>
      </c>
      <c r="C1966" t="str">
        <f>"9780304336142"</f>
        <v>9780304336142</v>
      </c>
      <c r="D1966" t="str">
        <f>"9781847143341"</f>
        <v>9781847143341</v>
      </c>
      <c r="E1966" t="s">
        <v>31671</v>
      </c>
      <c r="F1966" t="s">
        <v>7760</v>
      </c>
      <c r="G1966" t="s">
        <v>22174</v>
      </c>
      <c r="H1966" t="s">
        <v>26011</v>
      </c>
      <c r="I1966" s="26">
        <v>35907</v>
      </c>
      <c r="J1966">
        <v>2010</v>
      </c>
      <c r="K1966" t="s">
        <v>7760</v>
      </c>
      <c r="L1966">
        <v>95</v>
      </c>
      <c r="M1966" t="s">
        <v>33349</v>
      </c>
      <c r="N1966">
        <v>1</v>
      </c>
      <c r="Q1966" t="s">
        <v>33350</v>
      </c>
      <c r="R1966" t="s">
        <v>33351</v>
      </c>
      <c r="S1966" t="s">
        <v>33352</v>
      </c>
      <c r="T1966" t="s">
        <v>30</v>
      </c>
      <c r="U1966" t="s">
        <v>26044</v>
      </c>
      <c r="W1966" t="s">
        <v>28347</v>
      </c>
    </row>
    <row r="1967" spans="1:23" x14ac:dyDescent="0.35">
      <c r="A1967">
        <v>436499</v>
      </c>
      <c r="B1967" t="s">
        <v>10249</v>
      </c>
      <c r="C1967" t="str">
        <f>"9781441120014"</f>
        <v>9781441120014</v>
      </c>
      <c r="D1967" t="str">
        <f>"9781847142009"</f>
        <v>9781847142009</v>
      </c>
      <c r="E1967" t="s">
        <v>31671</v>
      </c>
      <c r="F1967" t="s">
        <v>7760</v>
      </c>
      <c r="G1967" t="s">
        <v>22174</v>
      </c>
      <c r="H1967" t="s">
        <v>26011</v>
      </c>
      <c r="I1967" s="26">
        <v>40528</v>
      </c>
      <c r="J1967">
        <v>2006</v>
      </c>
      <c r="K1967" t="s">
        <v>7760</v>
      </c>
      <c r="L1967">
        <v>193</v>
      </c>
      <c r="M1967" t="s">
        <v>33353</v>
      </c>
      <c r="N1967">
        <v>1</v>
      </c>
      <c r="O1967" t="s">
        <v>33354</v>
      </c>
      <c r="Q1967" t="s">
        <v>33355</v>
      </c>
      <c r="R1967" t="s">
        <v>33356</v>
      </c>
      <c r="S1967" t="s">
        <v>33357</v>
      </c>
      <c r="T1967" t="s">
        <v>30</v>
      </c>
      <c r="U1967" t="s">
        <v>152</v>
      </c>
      <c r="W1967" t="s">
        <v>28347</v>
      </c>
    </row>
    <row r="1968" spans="1:23" x14ac:dyDescent="0.35">
      <c r="A1968">
        <v>436786</v>
      </c>
      <c r="B1968" t="s">
        <v>8207</v>
      </c>
      <c r="C1968" t="str">
        <f>""</f>
        <v/>
      </c>
      <c r="D1968" t="str">
        <f>"9781847142399"</f>
        <v>9781847142399</v>
      </c>
      <c r="E1968" t="s">
        <v>31671</v>
      </c>
      <c r="F1968" t="s">
        <v>7760</v>
      </c>
      <c r="G1968" t="s">
        <v>22174</v>
      </c>
      <c r="H1968" t="s">
        <v>26011</v>
      </c>
      <c r="I1968" s="26">
        <v>35796</v>
      </c>
      <c r="J1968">
        <v>1998</v>
      </c>
      <c r="K1968" t="s">
        <v>7760</v>
      </c>
      <c r="L1968">
        <v>129</v>
      </c>
      <c r="M1968" t="s">
        <v>33358</v>
      </c>
      <c r="N1968">
        <v>1</v>
      </c>
      <c r="Q1968" t="s">
        <v>33359</v>
      </c>
      <c r="S1968" t="s">
        <v>33360</v>
      </c>
      <c r="T1968" t="s">
        <v>30</v>
      </c>
      <c r="U1968" t="s">
        <v>26044</v>
      </c>
      <c r="W1968" t="s">
        <v>28347</v>
      </c>
    </row>
    <row r="1969" spans="1:23" x14ac:dyDescent="0.35">
      <c r="A1969">
        <v>436841</v>
      </c>
      <c r="B1969" t="s">
        <v>33361</v>
      </c>
      <c r="C1969" t="str">
        <f>"9780826448118"</f>
        <v>9780826448118</v>
      </c>
      <c r="D1969" t="str">
        <f>"9781847141460"</f>
        <v>9781847141460</v>
      </c>
      <c r="E1969" t="s">
        <v>31671</v>
      </c>
      <c r="F1969" t="s">
        <v>7760</v>
      </c>
      <c r="G1969" t="s">
        <v>22174</v>
      </c>
      <c r="H1969" t="s">
        <v>26011</v>
      </c>
      <c r="I1969" s="26">
        <v>36892</v>
      </c>
      <c r="J1969">
        <v>2000</v>
      </c>
      <c r="K1969" t="s">
        <v>33338</v>
      </c>
      <c r="L1969">
        <v>257</v>
      </c>
      <c r="M1969" t="s">
        <v>33362</v>
      </c>
      <c r="N1969">
        <v>1</v>
      </c>
      <c r="Q1969" t="s">
        <v>33363</v>
      </c>
      <c r="R1969">
        <v>618.9289</v>
      </c>
      <c r="S1969" t="s">
        <v>33364</v>
      </c>
      <c r="T1969" t="s">
        <v>30</v>
      </c>
      <c r="U1969" t="s">
        <v>26019</v>
      </c>
      <c r="W1969" t="s">
        <v>28347</v>
      </c>
    </row>
    <row r="1970" spans="1:23" x14ac:dyDescent="0.35">
      <c r="A1970">
        <v>436891</v>
      </c>
      <c r="B1970" t="s">
        <v>33365</v>
      </c>
      <c r="C1970" t="str">
        <f>"9780304704781"</f>
        <v>9780304704781</v>
      </c>
      <c r="D1970" t="str">
        <f>"9781847141989"</f>
        <v>9781847141989</v>
      </c>
      <c r="E1970" t="s">
        <v>31671</v>
      </c>
      <c r="F1970" t="s">
        <v>7760</v>
      </c>
      <c r="G1970" t="s">
        <v>22174</v>
      </c>
      <c r="H1970" t="s">
        <v>26011</v>
      </c>
      <c r="I1970" s="26">
        <v>36342</v>
      </c>
      <c r="J1970">
        <v>1999</v>
      </c>
      <c r="K1970" t="s">
        <v>7760</v>
      </c>
      <c r="L1970">
        <v>240</v>
      </c>
      <c r="M1970" t="s">
        <v>33366</v>
      </c>
      <c r="N1970">
        <v>1</v>
      </c>
      <c r="Q1970" t="s">
        <v>33367</v>
      </c>
      <c r="R1970">
        <v>305.8</v>
      </c>
      <c r="S1970" t="s">
        <v>33368</v>
      </c>
      <c r="T1970" t="s">
        <v>30</v>
      </c>
      <c r="U1970" t="s">
        <v>30342</v>
      </c>
      <c r="W1970" t="s">
        <v>28347</v>
      </c>
    </row>
    <row r="1971" spans="1:23" x14ac:dyDescent="0.35">
      <c r="A1971">
        <v>437044</v>
      </c>
      <c r="B1971" t="s">
        <v>8199</v>
      </c>
      <c r="C1971" t="str">
        <f>"9780304700158"</f>
        <v>9780304700158</v>
      </c>
      <c r="D1971" t="str">
        <f>"9781847143426"</f>
        <v>9781847143426</v>
      </c>
      <c r="E1971" t="s">
        <v>31671</v>
      </c>
      <c r="F1971" t="s">
        <v>7760</v>
      </c>
      <c r="G1971" t="s">
        <v>22174</v>
      </c>
      <c r="H1971" t="s">
        <v>26011</v>
      </c>
      <c r="I1971" s="26">
        <v>36164</v>
      </c>
      <c r="J1971">
        <v>1999</v>
      </c>
      <c r="K1971" t="s">
        <v>7760</v>
      </c>
      <c r="L1971">
        <v>385</v>
      </c>
      <c r="M1971" t="s">
        <v>33369</v>
      </c>
      <c r="N1971">
        <v>1</v>
      </c>
      <c r="Q1971" t="s">
        <v>33370</v>
      </c>
      <c r="R1971" t="s">
        <v>33371</v>
      </c>
      <c r="S1971" t="s">
        <v>33372</v>
      </c>
      <c r="T1971" t="s">
        <v>30</v>
      </c>
      <c r="U1971" t="s">
        <v>337</v>
      </c>
      <c r="W1971" t="s">
        <v>28347</v>
      </c>
    </row>
    <row r="1972" spans="1:23" x14ac:dyDescent="0.35">
      <c r="A1972">
        <v>437584</v>
      </c>
      <c r="B1972" t="s">
        <v>10056</v>
      </c>
      <c r="C1972" t="str">
        <f>"9789053569986"</f>
        <v>9789053569986</v>
      </c>
      <c r="D1972" t="str">
        <f>"9789048501915"</f>
        <v>9789048501915</v>
      </c>
      <c r="E1972" t="s">
        <v>7497</v>
      </c>
      <c r="F1972" t="s">
        <v>7497</v>
      </c>
      <c r="G1972" t="s">
        <v>22222</v>
      </c>
      <c r="H1972" t="s">
        <v>27983</v>
      </c>
      <c r="I1972" s="26">
        <v>39661</v>
      </c>
      <c r="J1972">
        <v>2008</v>
      </c>
      <c r="K1972" t="s">
        <v>7497</v>
      </c>
      <c r="L1972">
        <v>485</v>
      </c>
      <c r="M1972" t="s">
        <v>33373</v>
      </c>
      <c r="N1972">
        <v>1</v>
      </c>
      <c r="O1972" t="s">
        <v>32405</v>
      </c>
      <c r="Q1972" t="s">
        <v>33374</v>
      </c>
      <c r="R1972">
        <v>794.1019</v>
      </c>
      <c r="S1972" t="s">
        <v>33375</v>
      </c>
      <c r="T1972" t="s">
        <v>30</v>
      </c>
      <c r="U1972" t="s">
        <v>26008</v>
      </c>
      <c r="W1972" t="s">
        <v>26009</v>
      </c>
    </row>
    <row r="1973" spans="1:23" x14ac:dyDescent="0.35">
      <c r="A1973">
        <v>437591</v>
      </c>
      <c r="B1973" t="s">
        <v>33376</v>
      </c>
      <c r="C1973" t="str">
        <f>"9789053568545"</f>
        <v>9789053568545</v>
      </c>
      <c r="D1973" t="str">
        <f>"9789048504107"</f>
        <v>9789048504107</v>
      </c>
      <c r="E1973" t="s">
        <v>7497</v>
      </c>
      <c r="F1973" t="s">
        <v>7497</v>
      </c>
      <c r="G1973" t="s">
        <v>22222</v>
      </c>
      <c r="H1973" t="s">
        <v>27983</v>
      </c>
      <c r="I1973" s="26">
        <v>38777</v>
      </c>
      <c r="J1973">
        <v>2005</v>
      </c>
      <c r="K1973" t="s">
        <v>7497</v>
      </c>
      <c r="L1973">
        <v>141</v>
      </c>
      <c r="M1973" t="s">
        <v>33377</v>
      </c>
      <c r="N1973">
        <v>1</v>
      </c>
      <c r="O1973" t="s">
        <v>32405</v>
      </c>
      <c r="Q1973" t="s">
        <v>33378</v>
      </c>
      <c r="R1973">
        <v>306.81094919999998</v>
      </c>
      <c r="S1973" t="s">
        <v>33379</v>
      </c>
      <c r="T1973" t="s">
        <v>8494</v>
      </c>
      <c r="U1973" t="s">
        <v>26044</v>
      </c>
      <c r="W1973" t="s">
        <v>26009</v>
      </c>
    </row>
    <row r="1974" spans="1:23" x14ac:dyDescent="0.35">
      <c r="A1974">
        <v>437622</v>
      </c>
      <c r="B1974" t="s">
        <v>33380</v>
      </c>
      <c r="C1974" t="str">
        <f>"9780253352989"</f>
        <v>9780253352989</v>
      </c>
      <c r="D1974" t="str">
        <f>"9780253002907"</f>
        <v>9780253002907</v>
      </c>
      <c r="E1974" t="s">
        <v>7540</v>
      </c>
      <c r="F1974" t="s">
        <v>7540</v>
      </c>
      <c r="G1974" t="s">
        <v>24303</v>
      </c>
      <c r="H1974" t="s">
        <v>26004</v>
      </c>
      <c r="I1974" s="26">
        <v>39898</v>
      </c>
      <c r="J1974">
        <v>2009</v>
      </c>
      <c r="K1974" t="s">
        <v>7540</v>
      </c>
      <c r="L1974">
        <v>353</v>
      </c>
      <c r="M1974" t="s">
        <v>33381</v>
      </c>
      <c r="N1974">
        <v>1</v>
      </c>
      <c r="Q1974" t="s">
        <v>33382</v>
      </c>
      <c r="R1974" t="s">
        <v>26937</v>
      </c>
      <c r="S1974" t="s">
        <v>33383</v>
      </c>
      <c r="T1974" t="s">
        <v>30</v>
      </c>
      <c r="U1974" t="s">
        <v>26520</v>
      </c>
      <c r="W1974" t="s">
        <v>26009</v>
      </c>
    </row>
    <row r="1975" spans="1:23" x14ac:dyDescent="0.35">
      <c r="A1975">
        <v>437631</v>
      </c>
      <c r="B1975" t="s">
        <v>33384</v>
      </c>
      <c r="C1975" t="str">
        <f>"9780253352293"</f>
        <v>9780253352293</v>
      </c>
      <c r="D1975" t="str">
        <f>"9780253002785"</f>
        <v>9780253002785</v>
      </c>
      <c r="E1975" t="s">
        <v>7540</v>
      </c>
      <c r="F1975" t="s">
        <v>7540</v>
      </c>
      <c r="G1975" t="s">
        <v>24303</v>
      </c>
      <c r="H1975" t="s">
        <v>26004</v>
      </c>
      <c r="I1975" s="26">
        <v>39749</v>
      </c>
      <c r="J1975">
        <v>2008</v>
      </c>
      <c r="K1975" t="s">
        <v>7540</v>
      </c>
      <c r="L1975">
        <v>433</v>
      </c>
      <c r="M1975" t="s">
        <v>33385</v>
      </c>
      <c r="N1975">
        <v>1</v>
      </c>
      <c r="Q1975" t="s">
        <v>33386</v>
      </c>
      <c r="R1975">
        <v>193</v>
      </c>
      <c r="S1975" t="s">
        <v>33387</v>
      </c>
      <c r="T1975" t="s">
        <v>30</v>
      </c>
      <c r="U1975" t="s">
        <v>152</v>
      </c>
      <c r="W1975" t="s">
        <v>26009</v>
      </c>
    </row>
    <row r="1976" spans="1:23" x14ac:dyDescent="0.35">
      <c r="A1976">
        <v>438180</v>
      </c>
      <c r="B1976" t="s">
        <v>33388</v>
      </c>
      <c r="C1976" t="str">
        <f>"9780817304744"</f>
        <v>9780817304744</v>
      </c>
      <c r="D1976" t="str">
        <f>"9780817381943"</f>
        <v>9780817381943</v>
      </c>
      <c r="E1976" t="s">
        <v>8681</v>
      </c>
      <c r="F1976" t="s">
        <v>8681</v>
      </c>
      <c r="G1976" t="s">
        <v>24716</v>
      </c>
      <c r="H1976" t="s">
        <v>26004</v>
      </c>
      <c r="I1976" s="26">
        <v>33055</v>
      </c>
      <c r="J1976">
        <v>1993</v>
      </c>
      <c r="K1976" t="s">
        <v>8681</v>
      </c>
      <c r="L1976">
        <v>269</v>
      </c>
      <c r="M1976" t="s">
        <v>33389</v>
      </c>
      <c r="N1976">
        <v>1</v>
      </c>
      <c r="O1976" t="s">
        <v>33390</v>
      </c>
      <c r="Q1976" t="s">
        <v>33391</v>
      </c>
      <c r="R1976" t="s">
        <v>33392</v>
      </c>
      <c r="S1976" t="s">
        <v>33393</v>
      </c>
      <c r="T1976" t="s">
        <v>30</v>
      </c>
      <c r="U1976" t="s">
        <v>28748</v>
      </c>
      <c r="W1976" t="s">
        <v>26009</v>
      </c>
    </row>
    <row r="1977" spans="1:23" x14ac:dyDescent="0.35">
      <c r="A1977">
        <v>438314</v>
      </c>
      <c r="B1977" t="s">
        <v>9207</v>
      </c>
      <c r="C1977" t="str">
        <f>"9780754670209"</f>
        <v>9780754670209</v>
      </c>
      <c r="D1977" t="str">
        <f>"9780754680192"</f>
        <v>9780754680192</v>
      </c>
      <c r="E1977" t="s">
        <v>26010</v>
      </c>
      <c r="F1977" t="s">
        <v>35</v>
      </c>
      <c r="G1977" t="s">
        <v>22184</v>
      </c>
      <c r="H1977" t="s">
        <v>26011</v>
      </c>
      <c r="I1977" s="26">
        <v>39650</v>
      </c>
      <c r="J1977">
        <v>2008</v>
      </c>
      <c r="K1977" t="s">
        <v>26470</v>
      </c>
      <c r="L1977">
        <v>438</v>
      </c>
      <c r="M1977" t="s">
        <v>33394</v>
      </c>
      <c r="N1977">
        <v>1</v>
      </c>
      <c r="Q1977" t="s">
        <v>33395</v>
      </c>
      <c r="R1977">
        <v>294.3091</v>
      </c>
      <c r="S1977" t="s">
        <v>33396</v>
      </c>
      <c r="T1977" t="s">
        <v>30</v>
      </c>
      <c r="U1977" t="s">
        <v>33231</v>
      </c>
      <c r="W1977" t="s">
        <v>26009</v>
      </c>
    </row>
    <row r="1978" spans="1:23" x14ac:dyDescent="0.35">
      <c r="A1978">
        <v>438341</v>
      </c>
      <c r="B1978" t="s">
        <v>33397</v>
      </c>
      <c r="C1978" t="str">
        <f>"9780754673255"</f>
        <v>9780754673255</v>
      </c>
      <c r="D1978" t="str">
        <f>"9780754691921"</f>
        <v>9780754691921</v>
      </c>
      <c r="E1978" t="s">
        <v>26010</v>
      </c>
      <c r="F1978" t="s">
        <v>35</v>
      </c>
      <c r="G1978" t="s">
        <v>22184</v>
      </c>
      <c r="H1978" t="s">
        <v>26011</v>
      </c>
      <c r="I1978" s="26">
        <v>39710</v>
      </c>
      <c r="J1978">
        <v>2008</v>
      </c>
      <c r="K1978" t="s">
        <v>26470</v>
      </c>
      <c r="L1978">
        <v>447</v>
      </c>
      <c r="M1978" t="s">
        <v>33398</v>
      </c>
      <c r="N1978">
        <v>1</v>
      </c>
      <c r="O1978" t="s">
        <v>33399</v>
      </c>
      <c r="Q1978" t="s">
        <v>33400</v>
      </c>
      <c r="R1978" t="s">
        <v>33401</v>
      </c>
      <c r="S1978" t="s">
        <v>33402</v>
      </c>
      <c r="T1978" t="s">
        <v>30</v>
      </c>
      <c r="U1978" t="s">
        <v>30031</v>
      </c>
      <c r="W1978" t="s">
        <v>26009</v>
      </c>
    </row>
    <row r="1979" spans="1:23" x14ac:dyDescent="0.35">
      <c r="A1979">
        <v>438353</v>
      </c>
      <c r="B1979" t="s">
        <v>33403</v>
      </c>
      <c r="C1979" t="str">
        <f>"9780754676096"</f>
        <v>9780754676096</v>
      </c>
      <c r="D1979" t="str">
        <f>"9780754694113"</f>
        <v>9780754694113</v>
      </c>
      <c r="E1979" t="s">
        <v>26010</v>
      </c>
      <c r="F1979" t="s">
        <v>35</v>
      </c>
      <c r="G1979" t="s">
        <v>22184</v>
      </c>
      <c r="H1979" t="s">
        <v>26011</v>
      </c>
      <c r="I1979" s="26">
        <v>39913</v>
      </c>
      <c r="J1979">
        <v>2009</v>
      </c>
      <c r="K1979" t="s">
        <v>26470</v>
      </c>
      <c r="L1979">
        <v>226</v>
      </c>
      <c r="M1979" t="s">
        <v>33404</v>
      </c>
      <c r="N1979">
        <v>1</v>
      </c>
      <c r="Q1979" t="s">
        <v>33405</v>
      </c>
      <c r="R1979">
        <v>363.11</v>
      </c>
      <c r="S1979" t="s">
        <v>33406</v>
      </c>
      <c r="T1979" t="s">
        <v>30</v>
      </c>
      <c r="U1979" t="s">
        <v>27817</v>
      </c>
      <c r="W1979" t="s">
        <v>26009</v>
      </c>
    </row>
    <row r="1980" spans="1:23" x14ac:dyDescent="0.35">
      <c r="A1980">
        <v>438400</v>
      </c>
      <c r="B1980" t="s">
        <v>33407</v>
      </c>
      <c r="C1980" t="str">
        <f>"9780754671503"</f>
        <v>9780754671503</v>
      </c>
      <c r="D1980" t="str">
        <f>"9780754688464"</f>
        <v>9780754688464</v>
      </c>
      <c r="E1980" t="s">
        <v>26010</v>
      </c>
      <c r="F1980" t="s">
        <v>35</v>
      </c>
      <c r="G1980" t="s">
        <v>22184</v>
      </c>
      <c r="H1980" t="s">
        <v>26011</v>
      </c>
      <c r="I1980" s="26">
        <v>39688</v>
      </c>
      <c r="J1980">
        <v>2008</v>
      </c>
      <c r="K1980" t="s">
        <v>26012</v>
      </c>
      <c r="L1980">
        <v>217</v>
      </c>
      <c r="M1980" t="s">
        <v>33408</v>
      </c>
      <c r="N1980">
        <v>1</v>
      </c>
      <c r="Q1980" t="s">
        <v>33409</v>
      </c>
      <c r="R1980">
        <v>306.74094100000002</v>
      </c>
      <c r="S1980" t="s">
        <v>33410</v>
      </c>
      <c r="T1980" t="s">
        <v>30</v>
      </c>
      <c r="U1980" t="s">
        <v>33411</v>
      </c>
      <c r="W1980" t="s">
        <v>26009</v>
      </c>
    </row>
    <row r="1981" spans="1:23" x14ac:dyDescent="0.35">
      <c r="A1981">
        <v>438500</v>
      </c>
      <c r="B1981" t="s">
        <v>9367</v>
      </c>
      <c r="C1981" t="str">
        <f>"9780754670599"</f>
        <v>9780754670599</v>
      </c>
      <c r="D1981" t="str">
        <f>"9780754684756"</f>
        <v>9780754684756</v>
      </c>
      <c r="E1981" t="s">
        <v>26010</v>
      </c>
      <c r="F1981" t="s">
        <v>35</v>
      </c>
      <c r="G1981" t="s">
        <v>22184</v>
      </c>
      <c r="H1981" t="s">
        <v>26011</v>
      </c>
      <c r="I1981" s="26">
        <v>39475</v>
      </c>
      <c r="J1981">
        <v>2008</v>
      </c>
      <c r="K1981" t="s">
        <v>26470</v>
      </c>
      <c r="L1981">
        <v>406</v>
      </c>
      <c r="M1981" t="s">
        <v>33412</v>
      </c>
      <c r="N1981">
        <v>1</v>
      </c>
      <c r="O1981" t="s">
        <v>33399</v>
      </c>
      <c r="Q1981" t="s">
        <v>33413</v>
      </c>
      <c r="R1981">
        <v>355.12299999999999</v>
      </c>
      <c r="S1981" t="s">
        <v>33414</v>
      </c>
      <c r="T1981" t="s">
        <v>30</v>
      </c>
      <c r="U1981" t="s">
        <v>33415</v>
      </c>
      <c r="W1981" t="s">
        <v>26009</v>
      </c>
    </row>
    <row r="1982" spans="1:23" x14ac:dyDescent="0.35">
      <c r="A1982">
        <v>438519</v>
      </c>
      <c r="B1982" t="s">
        <v>33416</v>
      </c>
      <c r="C1982" t="str">
        <f>"9780754626565"</f>
        <v>9780754626565</v>
      </c>
      <c r="D1982" t="str">
        <f>"9780754685364"</f>
        <v>9780754685364</v>
      </c>
      <c r="E1982" t="s">
        <v>26010</v>
      </c>
      <c r="F1982" t="s">
        <v>35</v>
      </c>
      <c r="G1982" t="s">
        <v>22184</v>
      </c>
      <c r="H1982" t="s">
        <v>26011</v>
      </c>
      <c r="I1982" s="26">
        <v>39506</v>
      </c>
      <c r="J1982">
        <v>2008</v>
      </c>
      <c r="K1982" t="s">
        <v>26012</v>
      </c>
      <c r="L1982">
        <v>277</v>
      </c>
      <c r="M1982" t="s">
        <v>33417</v>
      </c>
      <c r="N1982">
        <v>1</v>
      </c>
      <c r="O1982" t="s">
        <v>33418</v>
      </c>
      <c r="Q1982" t="s">
        <v>33419</v>
      </c>
      <c r="R1982" t="s">
        <v>33420</v>
      </c>
      <c r="S1982" t="s">
        <v>33421</v>
      </c>
      <c r="T1982" t="s">
        <v>30</v>
      </c>
      <c r="U1982" t="s">
        <v>28748</v>
      </c>
      <c r="W1982" t="s">
        <v>26009</v>
      </c>
    </row>
    <row r="1983" spans="1:23" x14ac:dyDescent="0.35">
      <c r="A1983">
        <v>438534</v>
      </c>
      <c r="B1983" t="s">
        <v>33422</v>
      </c>
      <c r="C1983" t="str">
        <f>"9780754658382"</f>
        <v>9780754658382</v>
      </c>
      <c r="D1983" t="str">
        <f>"9780754687030"</f>
        <v>9780754687030</v>
      </c>
      <c r="E1983" t="s">
        <v>26010</v>
      </c>
      <c r="F1983" t="s">
        <v>35</v>
      </c>
      <c r="G1983" t="s">
        <v>22184</v>
      </c>
      <c r="H1983" t="s">
        <v>26011</v>
      </c>
      <c r="I1983" s="26">
        <v>39308</v>
      </c>
      <c r="J1983">
        <v>2007</v>
      </c>
      <c r="K1983" t="s">
        <v>26012</v>
      </c>
      <c r="L1983">
        <v>147</v>
      </c>
      <c r="M1983" t="s">
        <v>33423</v>
      </c>
      <c r="N1983">
        <v>1</v>
      </c>
      <c r="O1983" t="s">
        <v>33424</v>
      </c>
      <c r="Q1983" t="s">
        <v>33425</v>
      </c>
      <c r="R1983">
        <v>173</v>
      </c>
      <c r="S1983" t="s">
        <v>33426</v>
      </c>
      <c r="T1983" t="s">
        <v>30</v>
      </c>
      <c r="U1983" t="s">
        <v>32350</v>
      </c>
      <c r="W1983" t="s">
        <v>26009</v>
      </c>
    </row>
    <row r="1984" spans="1:23" x14ac:dyDescent="0.35">
      <c r="A1984">
        <v>438761</v>
      </c>
      <c r="B1984" t="s">
        <v>33427</v>
      </c>
      <c r="C1984" t="str">
        <f>"9780754632757"</f>
        <v>9780754632757</v>
      </c>
      <c r="D1984" t="str">
        <f>"9780754688488"</f>
        <v>9780754688488</v>
      </c>
      <c r="E1984" t="s">
        <v>26010</v>
      </c>
      <c r="F1984" t="s">
        <v>35</v>
      </c>
      <c r="G1984" t="s">
        <v>22184</v>
      </c>
      <c r="H1984" t="s">
        <v>26011</v>
      </c>
      <c r="I1984" s="26">
        <v>39169</v>
      </c>
      <c r="J1984">
        <v>2012</v>
      </c>
      <c r="K1984" t="s">
        <v>33032</v>
      </c>
      <c r="L1984">
        <v>227</v>
      </c>
      <c r="M1984" t="s">
        <v>33428</v>
      </c>
      <c r="N1984">
        <v>1</v>
      </c>
      <c r="Q1984" t="s">
        <v>33429</v>
      </c>
      <c r="R1984" t="s">
        <v>33430</v>
      </c>
      <c r="S1984" t="s">
        <v>33431</v>
      </c>
      <c r="T1984" t="s">
        <v>30</v>
      </c>
      <c r="U1984" t="s">
        <v>33432</v>
      </c>
      <c r="W1984" t="s">
        <v>26009</v>
      </c>
    </row>
    <row r="1985" spans="1:23" x14ac:dyDescent="0.35">
      <c r="A1985">
        <v>438762</v>
      </c>
      <c r="B1985" t="s">
        <v>33433</v>
      </c>
      <c r="C1985" t="str">
        <f>"9780754648703"</f>
        <v>9780754648703</v>
      </c>
      <c r="D1985" t="str">
        <f>"9780754688105"</f>
        <v>9780754688105</v>
      </c>
      <c r="E1985" t="s">
        <v>26010</v>
      </c>
      <c r="F1985" t="s">
        <v>35</v>
      </c>
      <c r="G1985" t="s">
        <v>22184</v>
      </c>
      <c r="H1985" t="s">
        <v>26011</v>
      </c>
      <c r="I1985" s="26">
        <v>39533</v>
      </c>
      <c r="J1985">
        <v>2008</v>
      </c>
      <c r="K1985" t="s">
        <v>26012</v>
      </c>
      <c r="L1985">
        <v>170</v>
      </c>
      <c r="M1985" t="s">
        <v>33434</v>
      </c>
      <c r="N1985">
        <v>1</v>
      </c>
      <c r="O1985" t="s">
        <v>33435</v>
      </c>
      <c r="Q1985" t="s">
        <v>33436</v>
      </c>
      <c r="R1985">
        <v>307.33600000000001</v>
      </c>
      <c r="S1985" t="s">
        <v>33437</v>
      </c>
      <c r="T1985" t="s">
        <v>30</v>
      </c>
      <c r="U1985" t="s">
        <v>27171</v>
      </c>
      <c r="W1985" t="s">
        <v>26009</v>
      </c>
    </row>
    <row r="1986" spans="1:23" x14ac:dyDescent="0.35">
      <c r="A1986">
        <v>438856</v>
      </c>
      <c r="B1986" t="s">
        <v>33438</v>
      </c>
      <c r="C1986" t="str">
        <f>"9780754660842"</f>
        <v>9780754660842</v>
      </c>
      <c r="D1986" t="str">
        <f>"9780754692348"</f>
        <v>9780754692348</v>
      </c>
      <c r="E1986" t="s">
        <v>26010</v>
      </c>
      <c r="F1986" t="s">
        <v>35</v>
      </c>
      <c r="G1986" t="s">
        <v>22184</v>
      </c>
      <c r="H1986" t="s">
        <v>26011</v>
      </c>
      <c r="I1986" s="26">
        <v>39701</v>
      </c>
      <c r="J1986">
        <v>2008</v>
      </c>
      <c r="K1986" t="s">
        <v>26012</v>
      </c>
      <c r="L1986">
        <v>260</v>
      </c>
      <c r="M1986" t="s">
        <v>33439</v>
      </c>
      <c r="N1986">
        <v>1</v>
      </c>
      <c r="Q1986" t="s">
        <v>33440</v>
      </c>
      <c r="R1986" t="s">
        <v>33441</v>
      </c>
      <c r="S1986" t="s">
        <v>33442</v>
      </c>
      <c r="T1986" t="s">
        <v>30</v>
      </c>
      <c r="U1986" t="s">
        <v>26679</v>
      </c>
      <c r="W1986" t="s">
        <v>26009</v>
      </c>
    </row>
    <row r="1987" spans="1:23" x14ac:dyDescent="0.35">
      <c r="A1987">
        <v>438867</v>
      </c>
      <c r="B1987" t="s">
        <v>33443</v>
      </c>
      <c r="C1987" t="str">
        <f>"9780754657460"</f>
        <v>9780754657460</v>
      </c>
      <c r="D1987" t="str">
        <f>"9780754692959"</f>
        <v>9780754692959</v>
      </c>
      <c r="E1987" t="s">
        <v>26010</v>
      </c>
      <c r="F1987" t="s">
        <v>35</v>
      </c>
      <c r="G1987" t="s">
        <v>22184</v>
      </c>
      <c r="H1987" t="s">
        <v>26011</v>
      </c>
      <c r="I1987" s="26">
        <v>39566</v>
      </c>
      <c r="J1987">
        <v>2008</v>
      </c>
      <c r="K1987" t="s">
        <v>26012</v>
      </c>
      <c r="L1987">
        <v>228</v>
      </c>
      <c r="M1987" t="s">
        <v>33444</v>
      </c>
      <c r="N1987">
        <v>1</v>
      </c>
      <c r="O1987" t="s">
        <v>33445</v>
      </c>
      <c r="Q1987" t="s">
        <v>33446</v>
      </c>
      <c r="R1987">
        <v>179.7</v>
      </c>
      <c r="S1987" t="s">
        <v>33447</v>
      </c>
      <c r="T1987" t="s">
        <v>30</v>
      </c>
      <c r="U1987" t="s">
        <v>30017</v>
      </c>
      <c r="W1987" t="s">
        <v>26009</v>
      </c>
    </row>
    <row r="1988" spans="1:23" x14ac:dyDescent="0.35">
      <c r="A1988">
        <v>438874</v>
      </c>
      <c r="B1988" t="s">
        <v>9052</v>
      </c>
      <c r="C1988" t="str">
        <f>"9780754647348"</f>
        <v>9780754647348</v>
      </c>
      <c r="D1988" t="str">
        <f>"9780754690849"</f>
        <v>9780754690849</v>
      </c>
      <c r="E1988" t="s">
        <v>26010</v>
      </c>
      <c r="F1988" t="s">
        <v>35</v>
      </c>
      <c r="G1988" t="s">
        <v>22184</v>
      </c>
      <c r="H1988" t="s">
        <v>26011</v>
      </c>
      <c r="I1988" s="26">
        <v>39692</v>
      </c>
      <c r="J1988">
        <v>2012</v>
      </c>
      <c r="K1988" t="s">
        <v>33032</v>
      </c>
      <c r="L1988">
        <v>169</v>
      </c>
      <c r="M1988" t="s">
        <v>33448</v>
      </c>
      <c r="N1988">
        <v>1</v>
      </c>
      <c r="O1988" t="s">
        <v>33449</v>
      </c>
      <c r="Q1988" t="s">
        <v>33450</v>
      </c>
      <c r="R1988" t="s">
        <v>33451</v>
      </c>
      <c r="S1988" t="s">
        <v>33452</v>
      </c>
      <c r="T1988" t="s">
        <v>30</v>
      </c>
      <c r="U1988" t="s">
        <v>26044</v>
      </c>
      <c r="W1988" t="s">
        <v>26009</v>
      </c>
    </row>
    <row r="1989" spans="1:23" x14ac:dyDescent="0.35">
      <c r="A1989">
        <v>438892</v>
      </c>
      <c r="B1989" t="s">
        <v>33453</v>
      </c>
      <c r="C1989" t="str">
        <f>"9780754646242"</f>
        <v>9780754646242</v>
      </c>
      <c r="D1989" t="str">
        <f>"9780754688594"</f>
        <v>9780754688594</v>
      </c>
      <c r="E1989" t="s">
        <v>26010</v>
      </c>
      <c r="F1989" t="s">
        <v>35</v>
      </c>
      <c r="G1989" t="s">
        <v>26128</v>
      </c>
      <c r="H1989" t="s">
        <v>26011</v>
      </c>
      <c r="I1989" s="26">
        <v>43049</v>
      </c>
      <c r="J1989">
        <v>2008</v>
      </c>
      <c r="K1989" t="s">
        <v>26012</v>
      </c>
      <c r="L1989">
        <v>293</v>
      </c>
      <c r="M1989" t="s">
        <v>33454</v>
      </c>
      <c r="N1989">
        <v>3</v>
      </c>
      <c r="R1989">
        <v>346.4</v>
      </c>
      <c r="S1989" t="s">
        <v>33455</v>
      </c>
      <c r="T1989" t="s">
        <v>30</v>
      </c>
      <c r="U1989" t="s">
        <v>28748</v>
      </c>
      <c r="W1989" t="s">
        <v>26009</v>
      </c>
    </row>
    <row r="1990" spans="1:23" x14ac:dyDescent="0.35">
      <c r="A1990">
        <v>439156</v>
      </c>
      <c r="B1990" t="s">
        <v>26251</v>
      </c>
      <c r="C1990" t="str">
        <f>"9780415463683"</f>
        <v>9780415463683</v>
      </c>
      <c r="D1990" t="str">
        <f>"9780203877616"</f>
        <v>9780203877616</v>
      </c>
      <c r="E1990" t="s">
        <v>26010</v>
      </c>
      <c r="F1990" t="s">
        <v>35</v>
      </c>
      <c r="G1990" t="s">
        <v>22174</v>
      </c>
      <c r="H1990" t="s">
        <v>26011</v>
      </c>
      <c r="I1990" s="26">
        <v>40028</v>
      </c>
      <c r="J1990">
        <v>2008</v>
      </c>
      <c r="K1990" t="s">
        <v>26012</v>
      </c>
      <c r="L1990">
        <v>481</v>
      </c>
      <c r="M1990" t="s">
        <v>26252</v>
      </c>
      <c r="N1990">
        <v>2</v>
      </c>
      <c r="Q1990" t="s">
        <v>33456</v>
      </c>
      <c r="R1990">
        <v>618.92891399999996</v>
      </c>
      <c r="S1990" t="s">
        <v>8590</v>
      </c>
      <c r="T1990" t="s">
        <v>30</v>
      </c>
      <c r="U1990" t="s">
        <v>26019</v>
      </c>
      <c r="W1990" t="s">
        <v>26009</v>
      </c>
    </row>
    <row r="1991" spans="1:23" x14ac:dyDescent="0.35">
      <c r="A1991">
        <v>442858</v>
      </c>
      <c r="B1991" t="s">
        <v>9081</v>
      </c>
      <c r="C1991" t="str">
        <f>"9780521760782"</f>
        <v>9780521760782</v>
      </c>
      <c r="D1991" t="str">
        <f>"9780511539466"</f>
        <v>9780511539466</v>
      </c>
      <c r="E1991" t="s">
        <v>167</v>
      </c>
      <c r="F1991" t="s">
        <v>167</v>
      </c>
      <c r="G1991" t="s">
        <v>22179</v>
      </c>
      <c r="H1991" t="s">
        <v>26004</v>
      </c>
      <c r="I1991" s="26">
        <v>39972</v>
      </c>
      <c r="J1991">
        <v>2009</v>
      </c>
      <c r="K1991" t="s">
        <v>167</v>
      </c>
      <c r="L1991">
        <v>333</v>
      </c>
      <c r="M1991" t="s">
        <v>33457</v>
      </c>
      <c r="N1991">
        <v>1</v>
      </c>
      <c r="Q1991" t="s">
        <v>33458</v>
      </c>
      <c r="R1991" t="s">
        <v>26562</v>
      </c>
      <c r="S1991" t="s">
        <v>9082</v>
      </c>
      <c r="T1991" t="s">
        <v>30</v>
      </c>
      <c r="U1991" t="s">
        <v>46</v>
      </c>
      <c r="W1991" t="s">
        <v>26020</v>
      </c>
    </row>
    <row r="1992" spans="1:23" x14ac:dyDescent="0.35">
      <c r="A1992">
        <v>443678</v>
      </c>
      <c r="B1992" t="s">
        <v>9500</v>
      </c>
      <c r="C1992" t="str">
        <f>"9781606231739"</f>
        <v>9781606231739</v>
      </c>
      <c r="D1992" t="str">
        <f>"9781606232545"</f>
        <v>9781606232545</v>
      </c>
      <c r="E1992" t="s">
        <v>30112</v>
      </c>
      <c r="F1992" t="s">
        <v>7420</v>
      </c>
      <c r="G1992" t="s">
        <v>22179</v>
      </c>
      <c r="H1992" t="s">
        <v>26004</v>
      </c>
      <c r="I1992" s="26">
        <v>39937</v>
      </c>
      <c r="J1992">
        <v>2009</v>
      </c>
      <c r="K1992" t="s">
        <v>30113</v>
      </c>
      <c r="L1992">
        <v>240</v>
      </c>
      <c r="M1992" t="s">
        <v>33459</v>
      </c>
      <c r="N1992">
        <v>1</v>
      </c>
      <c r="Q1992" t="s">
        <v>33460</v>
      </c>
      <c r="R1992">
        <v>808.06660999999997</v>
      </c>
      <c r="S1992" t="s">
        <v>33461</v>
      </c>
      <c r="T1992" t="s">
        <v>30</v>
      </c>
      <c r="U1992" t="s">
        <v>33462</v>
      </c>
      <c r="W1992" t="s">
        <v>28347</v>
      </c>
    </row>
    <row r="1993" spans="1:23" x14ac:dyDescent="0.35">
      <c r="A1993">
        <v>443685</v>
      </c>
      <c r="B1993" t="s">
        <v>33463</v>
      </c>
      <c r="C1993" t="str">
        <f>"9781606232668"</f>
        <v>9781606232668</v>
      </c>
      <c r="D1993" t="str">
        <f>"9781606232927"</f>
        <v>9781606232927</v>
      </c>
      <c r="E1993" t="s">
        <v>30112</v>
      </c>
      <c r="F1993" t="s">
        <v>7420</v>
      </c>
      <c r="G1993" t="s">
        <v>22179</v>
      </c>
      <c r="H1993" t="s">
        <v>26004</v>
      </c>
      <c r="I1993" s="26">
        <v>39953</v>
      </c>
      <c r="J1993">
        <v>2009</v>
      </c>
      <c r="K1993" t="s">
        <v>30113</v>
      </c>
      <c r="L1993">
        <v>256</v>
      </c>
      <c r="M1993" t="s">
        <v>33464</v>
      </c>
      <c r="N1993">
        <v>1</v>
      </c>
      <c r="Q1993" t="s">
        <v>33465</v>
      </c>
      <c r="R1993" t="s">
        <v>33466</v>
      </c>
      <c r="S1993" t="s">
        <v>11951</v>
      </c>
      <c r="T1993" t="s">
        <v>30</v>
      </c>
      <c r="U1993" t="s">
        <v>26019</v>
      </c>
      <c r="W1993" t="s">
        <v>28347</v>
      </c>
    </row>
    <row r="1994" spans="1:23" x14ac:dyDescent="0.35">
      <c r="A1994">
        <v>445460</v>
      </c>
      <c r="B1994" t="s">
        <v>33467</v>
      </c>
      <c r="C1994" t="str">
        <f>"9780691095554"</f>
        <v>9780691095554</v>
      </c>
      <c r="D1994" t="str">
        <f>"9781400826674"</f>
        <v>9781400826674</v>
      </c>
      <c r="E1994" t="s">
        <v>33468</v>
      </c>
      <c r="F1994" t="s">
        <v>7517</v>
      </c>
      <c r="G1994" t="s">
        <v>23592</v>
      </c>
      <c r="H1994" t="s">
        <v>26004</v>
      </c>
      <c r="I1994" s="26">
        <v>38445</v>
      </c>
      <c r="J1994">
        <v>2005</v>
      </c>
      <c r="K1994" t="s">
        <v>7517</v>
      </c>
      <c r="L1994">
        <v>331</v>
      </c>
      <c r="M1994" t="s">
        <v>33469</v>
      </c>
      <c r="N1994">
        <v>1</v>
      </c>
      <c r="Q1994" t="s">
        <v>33470</v>
      </c>
      <c r="R1994">
        <v>823.80935799999997</v>
      </c>
      <c r="T1994" t="s">
        <v>30</v>
      </c>
      <c r="U1994" t="s">
        <v>366</v>
      </c>
      <c r="W1994" t="s">
        <v>28347</v>
      </c>
    </row>
    <row r="1995" spans="1:23" x14ac:dyDescent="0.35">
      <c r="A1995">
        <v>445562</v>
      </c>
      <c r="B1995" t="s">
        <v>8955</v>
      </c>
      <c r="C1995" t="str">
        <f>"9780691086989"</f>
        <v>9780691086989</v>
      </c>
      <c r="D1995" t="str">
        <f>"9781400825561"</f>
        <v>9781400825561</v>
      </c>
      <c r="E1995" t="s">
        <v>33468</v>
      </c>
      <c r="F1995" t="s">
        <v>7517</v>
      </c>
      <c r="G1995" t="s">
        <v>23592</v>
      </c>
      <c r="H1995" t="s">
        <v>26004</v>
      </c>
      <c r="I1995" s="26">
        <v>37745</v>
      </c>
      <c r="J1995">
        <v>2003</v>
      </c>
      <c r="K1995" t="s">
        <v>7517</v>
      </c>
      <c r="L1995">
        <v>209</v>
      </c>
      <c r="M1995" t="s">
        <v>33471</v>
      </c>
      <c r="N1995">
        <v>1</v>
      </c>
      <c r="O1995" t="s">
        <v>33472</v>
      </c>
      <c r="Q1995" t="s">
        <v>33473</v>
      </c>
      <c r="R1995">
        <v>796.75</v>
      </c>
      <c r="T1995" t="s">
        <v>30</v>
      </c>
      <c r="U1995" t="s">
        <v>33474</v>
      </c>
      <c r="W1995" t="s">
        <v>28347</v>
      </c>
    </row>
    <row r="1996" spans="1:23" x14ac:dyDescent="0.35">
      <c r="A1996">
        <v>445572</v>
      </c>
      <c r="B1996" t="s">
        <v>33475</v>
      </c>
      <c r="C1996" t="str">
        <f>"9780691095226"</f>
        <v>9780691095226</v>
      </c>
      <c r="D1996" t="str">
        <f>"9781400825295"</f>
        <v>9781400825295</v>
      </c>
      <c r="E1996" t="s">
        <v>33468</v>
      </c>
      <c r="F1996" t="s">
        <v>7517</v>
      </c>
      <c r="G1996" t="s">
        <v>23592</v>
      </c>
      <c r="H1996" t="s">
        <v>26004</v>
      </c>
      <c r="I1996" s="26">
        <v>37605</v>
      </c>
      <c r="J1996">
        <v>2003</v>
      </c>
      <c r="K1996" t="s">
        <v>7517</v>
      </c>
      <c r="L1996">
        <v>293</v>
      </c>
      <c r="M1996" t="s">
        <v>33476</v>
      </c>
      <c r="N1996">
        <v>1</v>
      </c>
      <c r="Q1996" t="s">
        <v>33477</v>
      </c>
      <c r="R1996" t="s">
        <v>33478</v>
      </c>
      <c r="T1996" t="s">
        <v>30</v>
      </c>
      <c r="U1996" t="s">
        <v>5222</v>
      </c>
      <c r="W1996" t="s">
        <v>28347</v>
      </c>
    </row>
    <row r="1997" spans="1:23" x14ac:dyDescent="0.35">
      <c r="A1997">
        <v>445586</v>
      </c>
      <c r="B1997" t="s">
        <v>33479</v>
      </c>
      <c r="C1997" t="str">
        <f>"9780826123862"</f>
        <v>9780826123862</v>
      </c>
      <c r="D1997" t="str">
        <f>"9780826123879"</f>
        <v>9780826123879</v>
      </c>
      <c r="E1997" t="s">
        <v>1504</v>
      </c>
      <c r="F1997" t="s">
        <v>33</v>
      </c>
      <c r="G1997" t="s">
        <v>22179</v>
      </c>
      <c r="H1997" t="s">
        <v>26004</v>
      </c>
      <c r="I1997" s="26">
        <v>39934</v>
      </c>
      <c r="J1997">
        <v>2009</v>
      </c>
      <c r="K1997" t="s">
        <v>33</v>
      </c>
      <c r="L1997">
        <v>605</v>
      </c>
      <c r="M1997" t="s">
        <v>33480</v>
      </c>
      <c r="N1997">
        <v>1</v>
      </c>
      <c r="R1997">
        <v>362.4</v>
      </c>
      <c r="S1997" t="s">
        <v>32895</v>
      </c>
      <c r="T1997" t="s">
        <v>30</v>
      </c>
      <c r="U1997" t="s">
        <v>26044</v>
      </c>
      <c r="W1997" t="s">
        <v>26009</v>
      </c>
    </row>
    <row r="1998" spans="1:23" x14ac:dyDescent="0.35">
      <c r="A1998">
        <v>445588</v>
      </c>
      <c r="B1998" t="s">
        <v>33481</v>
      </c>
      <c r="C1998" t="str">
        <f>"9780826111272"</f>
        <v>9780826111272</v>
      </c>
      <c r="D1998" t="str">
        <f>"9780826111289"</f>
        <v>9780826111289</v>
      </c>
      <c r="E1998" t="s">
        <v>1504</v>
      </c>
      <c r="F1998" t="s">
        <v>33</v>
      </c>
      <c r="G1998" t="s">
        <v>22179</v>
      </c>
      <c r="H1998" t="s">
        <v>26004</v>
      </c>
      <c r="I1998" s="26">
        <v>39965</v>
      </c>
      <c r="J1998">
        <v>2009</v>
      </c>
      <c r="K1998" t="s">
        <v>33</v>
      </c>
      <c r="L1998">
        <v>489</v>
      </c>
      <c r="M1998" t="s">
        <v>33482</v>
      </c>
      <c r="N1998">
        <v>2</v>
      </c>
      <c r="Q1998" t="s">
        <v>33483</v>
      </c>
      <c r="S1998" t="s">
        <v>7671</v>
      </c>
      <c r="T1998" t="s">
        <v>30</v>
      </c>
      <c r="U1998" t="s">
        <v>26019</v>
      </c>
      <c r="W1998" t="s">
        <v>26009</v>
      </c>
    </row>
    <row r="1999" spans="1:23" x14ac:dyDescent="0.35">
      <c r="A1999">
        <v>445591</v>
      </c>
      <c r="B1999" t="s">
        <v>33484</v>
      </c>
      <c r="C1999" t="str">
        <f>"9780826132475"</f>
        <v>9780826132475</v>
      </c>
      <c r="D1999" t="str">
        <f>"9780826132482"</f>
        <v>9780826132482</v>
      </c>
      <c r="E1999" t="s">
        <v>1504</v>
      </c>
      <c r="F1999" t="s">
        <v>33</v>
      </c>
      <c r="G1999" t="s">
        <v>22179</v>
      </c>
      <c r="H1999" t="s">
        <v>26004</v>
      </c>
      <c r="I1999" s="26">
        <v>39995</v>
      </c>
      <c r="J1999">
        <v>2009</v>
      </c>
      <c r="K1999" t="s">
        <v>33</v>
      </c>
      <c r="L1999">
        <v>551</v>
      </c>
      <c r="M1999" t="s">
        <v>33485</v>
      </c>
      <c r="N1999">
        <v>1</v>
      </c>
      <c r="Q1999" t="s">
        <v>33486</v>
      </c>
      <c r="S1999" t="s">
        <v>33487</v>
      </c>
      <c r="T1999" t="s">
        <v>30</v>
      </c>
      <c r="U1999" t="s">
        <v>26019</v>
      </c>
      <c r="W1999" t="s">
        <v>26009</v>
      </c>
    </row>
    <row r="2000" spans="1:23" x14ac:dyDescent="0.35">
      <c r="A2000">
        <v>445597</v>
      </c>
      <c r="B2000" t="s">
        <v>7562</v>
      </c>
      <c r="C2000" t="str">
        <f>"9780826117373"</f>
        <v>9780826117373</v>
      </c>
      <c r="D2000" t="str">
        <f>"9780826117380"</f>
        <v>9780826117380</v>
      </c>
      <c r="E2000" t="s">
        <v>1504</v>
      </c>
      <c r="F2000" t="s">
        <v>33</v>
      </c>
      <c r="G2000" t="s">
        <v>22179</v>
      </c>
      <c r="H2000" t="s">
        <v>26004</v>
      </c>
      <c r="I2000" s="26">
        <v>39995</v>
      </c>
      <c r="J2000">
        <v>2009</v>
      </c>
      <c r="K2000" t="s">
        <v>33</v>
      </c>
      <c r="L2000">
        <v>328</v>
      </c>
      <c r="M2000" t="s">
        <v>33488</v>
      </c>
      <c r="N2000">
        <v>1</v>
      </c>
      <c r="Q2000" t="s">
        <v>33489</v>
      </c>
      <c r="R2000" t="s">
        <v>27122</v>
      </c>
      <c r="S2000" t="s">
        <v>9925</v>
      </c>
      <c r="T2000" t="s">
        <v>30</v>
      </c>
      <c r="U2000" t="s">
        <v>26019</v>
      </c>
      <c r="W2000" t="s">
        <v>26009</v>
      </c>
    </row>
    <row r="2001" spans="1:23" x14ac:dyDescent="0.35">
      <c r="A2001">
        <v>445599</v>
      </c>
      <c r="B2001" t="s">
        <v>33490</v>
      </c>
      <c r="C2001" t="str">
        <f>"9780826116864"</f>
        <v>9780826116864</v>
      </c>
      <c r="D2001" t="str">
        <f>"9780826116871"</f>
        <v>9780826116871</v>
      </c>
      <c r="E2001" t="s">
        <v>1504</v>
      </c>
      <c r="F2001" t="s">
        <v>33</v>
      </c>
      <c r="G2001" t="s">
        <v>22179</v>
      </c>
      <c r="H2001" t="s">
        <v>26004</v>
      </c>
      <c r="I2001" s="26">
        <v>39965</v>
      </c>
      <c r="J2001">
        <v>2009</v>
      </c>
      <c r="K2001" t="s">
        <v>33</v>
      </c>
      <c r="L2001">
        <v>609</v>
      </c>
      <c r="M2001" t="s">
        <v>33491</v>
      </c>
      <c r="N2001">
        <v>1</v>
      </c>
      <c r="Q2001" t="s">
        <v>33492</v>
      </c>
      <c r="S2001" t="s">
        <v>33493</v>
      </c>
      <c r="T2001" t="s">
        <v>30</v>
      </c>
      <c r="U2001" t="s">
        <v>26019</v>
      </c>
      <c r="W2001" t="s">
        <v>26009</v>
      </c>
    </row>
    <row r="2002" spans="1:23" x14ac:dyDescent="0.35">
      <c r="A2002">
        <v>445608</v>
      </c>
      <c r="B2002" t="s">
        <v>8571</v>
      </c>
      <c r="C2002" t="str">
        <f>"9780826115515"</f>
        <v>9780826115515</v>
      </c>
      <c r="D2002" t="str">
        <f>"9780826115522"</f>
        <v>9780826115522</v>
      </c>
      <c r="E2002" t="s">
        <v>1504</v>
      </c>
      <c r="F2002" t="s">
        <v>33</v>
      </c>
      <c r="G2002" t="s">
        <v>22179</v>
      </c>
      <c r="H2002" t="s">
        <v>26004</v>
      </c>
      <c r="I2002" s="26">
        <v>39965</v>
      </c>
      <c r="J2002">
        <v>2009</v>
      </c>
      <c r="K2002" t="s">
        <v>33</v>
      </c>
      <c r="L2002">
        <v>423</v>
      </c>
      <c r="M2002" t="s">
        <v>33494</v>
      </c>
      <c r="N2002">
        <v>1</v>
      </c>
      <c r="Q2002" t="s">
        <v>33495</v>
      </c>
      <c r="R2002" t="s">
        <v>27122</v>
      </c>
      <c r="S2002" t="s">
        <v>33496</v>
      </c>
      <c r="T2002" t="s">
        <v>30</v>
      </c>
      <c r="U2002" t="s">
        <v>26019</v>
      </c>
      <c r="W2002" t="s">
        <v>26009</v>
      </c>
    </row>
    <row r="2003" spans="1:23" x14ac:dyDescent="0.35">
      <c r="A2003">
        <v>446639</v>
      </c>
      <c r="B2003" t="s">
        <v>10022</v>
      </c>
      <c r="C2003" t="str">
        <f>"9780415961332"</f>
        <v>9780415961332</v>
      </c>
      <c r="D2003" t="str">
        <f>"9780203874875"</f>
        <v>9780203874875</v>
      </c>
      <c r="E2003" t="s">
        <v>26010</v>
      </c>
      <c r="F2003" t="s">
        <v>35</v>
      </c>
      <c r="G2003" t="s">
        <v>22174</v>
      </c>
      <c r="H2003" t="s">
        <v>26011</v>
      </c>
      <c r="I2003" s="26">
        <v>39990</v>
      </c>
      <c r="J2003">
        <v>2009</v>
      </c>
      <c r="K2003" t="s">
        <v>26012</v>
      </c>
      <c r="L2003">
        <v>235</v>
      </c>
      <c r="M2003" t="s">
        <v>33497</v>
      </c>
      <c r="N2003">
        <v>1</v>
      </c>
      <c r="O2003" t="s">
        <v>33498</v>
      </c>
      <c r="Q2003" t="s">
        <v>33499</v>
      </c>
      <c r="R2003" t="s">
        <v>33500</v>
      </c>
      <c r="S2003" t="s">
        <v>10023</v>
      </c>
      <c r="T2003" t="s">
        <v>30</v>
      </c>
      <c r="U2003" t="s">
        <v>26044</v>
      </c>
      <c r="W2003" t="s">
        <v>26009</v>
      </c>
    </row>
    <row r="2004" spans="1:23" x14ac:dyDescent="0.35">
      <c r="A2004">
        <v>446680</v>
      </c>
      <c r="B2004" t="s">
        <v>33501</v>
      </c>
      <c r="C2004" t="str">
        <f>"9780415479479"</f>
        <v>9780415479479</v>
      </c>
      <c r="D2004" t="str">
        <f>"9780203092125"</f>
        <v>9780203092125</v>
      </c>
      <c r="E2004" t="s">
        <v>26010</v>
      </c>
      <c r="F2004" t="s">
        <v>35</v>
      </c>
      <c r="G2004" t="s">
        <v>26201</v>
      </c>
      <c r="H2004" t="s">
        <v>26011</v>
      </c>
      <c r="I2004" s="26">
        <v>40042</v>
      </c>
      <c r="J2004">
        <v>2010</v>
      </c>
      <c r="K2004" t="s">
        <v>26012</v>
      </c>
      <c r="L2004">
        <v>209</v>
      </c>
      <c r="M2004" t="s">
        <v>33502</v>
      </c>
      <c r="N2004">
        <v>1</v>
      </c>
      <c r="Q2004" t="s">
        <v>33503</v>
      </c>
      <c r="R2004">
        <v>371.9</v>
      </c>
      <c r="S2004" t="s">
        <v>10139</v>
      </c>
      <c r="T2004" t="s">
        <v>30</v>
      </c>
      <c r="U2004" t="s">
        <v>337</v>
      </c>
      <c r="W2004" t="s">
        <v>26009</v>
      </c>
    </row>
    <row r="2005" spans="1:23" x14ac:dyDescent="0.35">
      <c r="A2005">
        <v>446690</v>
      </c>
      <c r="B2005" t="s">
        <v>33504</v>
      </c>
      <c r="C2005" t="str">
        <f>"9780415444910"</f>
        <v>9780415444910</v>
      </c>
      <c r="D2005" t="str">
        <f>"9780203873632"</f>
        <v>9780203873632</v>
      </c>
      <c r="E2005" t="s">
        <v>26010</v>
      </c>
      <c r="F2005" t="s">
        <v>35</v>
      </c>
      <c r="G2005" t="s">
        <v>22174</v>
      </c>
      <c r="H2005" t="s">
        <v>26011</v>
      </c>
      <c r="I2005" s="26">
        <v>40011</v>
      </c>
      <c r="J2005">
        <v>2010</v>
      </c>
      <c r="K2005" t="s">
        <v>26012</v>
      </c>
      <c r="L2005">
        <v>249</v>
      </c>
      <c r="M2005" t="s">
        <v>33505</v>
      </c>
      <c r="N2005">
        <v>1</v>
      </c>
      <c r="Q2005" t="s">
        <v>33506</v>
      </c>
      <c r="R2005" t="s">
        <v>30923</v>
      </c>
      <c r="S2005" t="s">
        <v>9084</v>
      </c>
      <c r="T2005" t="s">
        <v>30</v>
      </c>
      <c r="U2005" t="s">
        <v>26019</v>
      </c>
      <c r="W2005" t="s">
        <v>26009</v>
      </c>
    </row>
    <row r="2006" spans="1:23" x14ac:dyDescent="0.35">
      <c r="A2006">
        <v>446808</v>
      </c>
      <c r="B2006" t="s">
        <v>7767</v>
      </c>
      <c r="C2006" t="str">
        <f>"9780415438025"</f>
        <v>9780415438025</v>
      </c>
      <c r="D2006" t="str">
        <f>"9780203874318"</f>
        <v>9780203874318</v>
      </c>
      <c r="E2006" t="s">
        <v>26010</v>
      </c>
      <c r="F2006" t="s">
        <v>35</v>
      </c>
      <c r="G2006" t="s">
        <v>22174</v>
      </c>
      <c r="H2006" t="s">
        <v>26011</v>
      </c>
      <c r="I2006" s="26">
        <v>40039</v>
      </c>
      <c r="J2006">
        <v>2009</v>
      </c>
      <c r="K2006" t="s">
        <v>26012</v>
      </c>
      <c r="L2006">
        <v>327</v>
      </c>
      <c r="M2006" t="s">
        <v>33507</v>
      </c>
      <c r="N2006">
        <v>1</v>
      </c>
      <c r="Q2006" t="s">
        <v>33508</v>
      </c>
      <c r="R2006">
        <v>616.89142500000003</v>
      </c>
      <c r="S2006" t="s">
        <v>7768</v>
      </c>
      <c r="T2006" t="s">
        <v>30</v>
      </c>
      <c r="U2006" t="s">
        <v>26019</v>
      </c>
      <c r="W2006" t="s">
        <v>26009</v>
      </c>
    </row>
    <row r="2007" spans="1:23" x14ac:dyDescent="0.35">
      <c r="A2007">
        <v>446886</v>
      </c>
      <c r="B2007" t="s">
        <v>33509</v>
      </c>
      <c r="C2007" t="str">
        <f>"9781583917046"</f>
        <v>9781583917046</v>
      </c>
      <c r="D2007" t="str">
        <f>"9780203875780"</f>
        <v>9780203875780</v>
      </c>
      <c r="E2007" t="s">
        <v>26010</v>
      </c>
      <c r="F2007" t="s">
        <v>35</v>
      </c>
      <c r="G2007" t="s">
        <v>26201</v>
      </c>
      <c r="H2007" t="s">
        <v>26004</v>
      </c>
      <c r="I2007" s="26">
        <v>40042</v>
      </c>
      <c r="J2007">
        <v>2009</v>
      </c>
      <c r="K2007" t="s">
        <v>26012</v>
      </c>
      <c r="L2007">
        <v>247</v>
      </c>
      <c r="M2007" t="s">
        <v>33510</v>
      </c>
      <c r="N2007">
        <v>1</v>
      </c>
      <c r="Q2007" t="s">
        <v>33511</v>
      </c>
      <c r="R2007" t="s">
        <v>26957</v>
      </c>
      <c r="S2007" t="s">
        <v>9039</v>
      </c>
      <c r="T2007" t="s">
        <v>30</v>
      </c>
      <c r="U2007" t="s">
        <v>26019</v>
      </c>
      <c r="W2007" t="s">
        <v>26009</v>
      </c>
    </row>
    <row r="2008" spans="1:23" x14ac:dyDescent="0.35">
      <c r="A2008">
        <v>448315</v>
      </c>
      <c r="B2008" t="s">
        <v>33512</v>
      </c>
      <c r="C2008" t="str">
        <f>"9780415484244"</f>
        <v>9780415484244</v>
      </c>
      <c r="D2008" t="str">
        <f>"9780203864685"</f>
        <v>9780203864685</v>
      </c>
      <c r="E2008" t="s">
        <v>26010</v>
      </c>
      <c r="F2008" t="s">
        <v>35</v>
      </c>
      <c r="G2008" t="s">
        <v>22174</v>
      </c>
      <c r="H2008" t="s">
        <v>26011</v>
      </c>
      <c r="I2008" s="26">
        <v>40088</v>
      </c>
      <c r="J2008">
        <v>2010</v>
      </c>
      <c r="K2008" t="s">
        <v>26012</v>
      </c>
      <c r="L2008">
        <v>301</v>
      </c>
      <c r="M2008" t="s">
        <v>33513</v>
      </c>
      <c r="N2008">
        <v>1</v>
      </c>
      <c r="Q2008" t="s">
        <v>33514</v>
      </c>
      <c r="R2008" t="s">
        <v>28279</v>
      </c>
      <c r="S2008" t="s">
        <v>7865</v>
      </c>
      <c r="T2008" t="s">
        <v>30</v>
      </c>
      <c r="U2008" t="s">
        <v>26116</v>
      </c>
      <c r="W2008" t="s">
        <v>26009</v>
      </c>
    </row>
    <row r="2009" spans="1:23" x14ac:dyDescent="0.35">
      <c r="A2009">
        <v>449223</v>
      </c>
      <c r="B2009" t="s">
        <v>33515</v>
      </c>
      <c r="C2009" t="str">
        <f>"9780754675365"</f>
        <v>9780754675365</v>
      </c>
      <c r="D2009" t="str">
        <f>"9780754695776"</f>
        <v>9780754695776</v>
      </c>
      <c r="E2009" t="s">
        <v>26010</v>
      </c>
      <c r="F2009" t="s">
        <v>35</v>
      </c>
      <c r="G2009" t="s">
        <v>33516</v>
      </c>
      <c r="H2009" t="s">
        <v>26011</v>
      </c>
      <c r="I2009" s="26">
        <v>40085</v>
      </c>
      <c r="J2009">
        <v>2009</v>
      </c>
      <c r="K2009" t="s">
        <v>26470</v>
      </c>
      <c r="L2009">
        <v>483</v>
      </c>
      <c r="M2009" t="s">
        <v>33517</v>
      </c>
      <c r="N2009">
        <v>1</v>
      </c>
      <c r="Q2009" t="s">
        <v>33518</v>
      </c>
      <c r="R2009">
        <v>617</v>
      </c>
      <c r="S2009" t="s">
        <v>33519</v>
      </c>
      <c r="T2009" t="s">
        <v>30</v>
      </c>
      <c r="U2009" t="s">
        <v>26040</v>
      </c>
      <c r="W2009" t="s">
        <v>26009</v>
      </c>
    </row>
    <row r="2010" spans="1:23" x14ac:dyDescent="0.35">
      <c r="A2010">
        <v>449229</v>
      </c>
      <c r="B2010" t="s">
        <v>33520</v>
      </c>
      <c r="C2010" t="str">
        <f>"9780754664758"</f>
        <v>9780754664758</v>
      </c>
      <c r="D2010" t="str">
        <f>"9780754696148"</f>
        <v>9780754696148</v>
      </c>
      <c r="E2010" t="s">
        <v>26010</v>
      </c>
      <c r="F2010" t="s">
        <v>35</v>
      </c>
      <c r="G2010" t="s">
        <v>33516</v>
      </c>
      <c r="H2010" t="s">
        <v>26011</v>
      </c>
      <c r="I2010" s="26">
        <v>40084</v>
      </c>
      <c r="J2010">
        <v>2009</v>
      </c>
      <c r="K2010" t="s">
        <v>26012</v>
      </c>
      <c r="L2010">
        <v>194</v>
      </c>
      <c r="M2010" t="s">
        <v>33521</v>
      </c>
      <c r="N2010">
        <v>1</v>
      </c>
      <c r="Q2010" t="s">
        <v>33522</v>
      </c>
      <c r="R2010">
        <v>782.00834099999997</v>
      </c>
      <c r="S2010" t="s">
        <v>33523</v>
      </c>
      <c r="T2010" t="s">
        <v>30</v>
      </c>
      <c r="U2010" t="s">
        <v>27699</v>
      </c>
      <c r="W2010" t="s">
        <v>26009</v>
      </c>
    </row>
    <row r="2011" spans="1:23" x14ac:dyDescent="0.35">
      <c r="A2011">
        <v>449232</v>
      </c>
      <c r="B2011" t="s">
        <v>33524</v>
      </c>
      <c r="C2011" t="str">
        <f>"9780754674832"</f>
        <v>9780754674832</v>
      </c>
      <c r="D2011" t="str">
        <f>"9780754697756"</f>
        <v>9780754697756</v>
      </c>
      <c r="E2011" t="s">
        <v>26010</v>
      </c>
      <c r="F2011" t="s">
        <v>35</v>
      </c>
      <c r="G2011" t="s">
        <v>33516</v>
      </c>
      <c r="H2011" t="s">
        <v>26011</v>
      </c>
      <c r="I2011" s="26">
        <v>40066</v>
      </c>
      <c r="J2011">
        <v>2009</v>
      </c>
      <c r="K2011" t="s">
        <v>26012</v>
      </c>
      <c r="L2011">
        <v>189</v>
      </c>
      <c r="M2011" t="s">
        <v>27938</v>
      </c>
      <c r="N2011">
        <v>1</v>
      </c>
      <c r="Q2011" t="s">
        <v>33525</v>
      </c>
      <c r="R2011" t="s">
        <v>33526</v>
      </c>
      <c r="S2011" t="s">
        <v>33527</v>
      </c>
      <c r="T2011" t="s">
        <v>30</v>
      </c>
      <c r="U2011" t="s">
        <v>26044</v>
      </c>
      <c r="W2011" t="s">
        <v>26009</v>
      </c>
    </row>
    <row r="2012" spans="1:23" x14ac:dyDescent="0.35">
      <c r="A2012">
        <v>449461</v>
      </c>
      <c r="B2012" t="s">
        <v>33528</v>
      </c>
      <c r="C2012" t="str">
        <f>"9780415474702"</f>
        <v>9780415474702</v>
      </c>
      <c r="D2012" t="str">
        <f>"9780203872253"</f>
        <v>9780203872253</v>
      </c>
      <c r="E2012" t="s">
        <v>26010</v>
      </c>
      <c r="F2012" t="s">
        <v>35</v>
      </c>
      <c r="G2012" t="s">
        <v>22174</v>
      </c>
      <c r="H2012" t="s">
        <v>26011</v>
      </c>
      <c r="I2012" s="26">
        <v>40105</v>
      </c>
      <c r="J2012">
        <v>2010</v>
      </c>
      <c r="K2012" t="s">
        <v>26012</v>
      </c>
      <c r="L2012">
        <v>268</v>
      </c>
      <c r="M2012" t="s">
        <v>33529</v>
      </c>
      <c r="N2012">
        <v>1</v>
      </c>
      <c r="Q2012" t="s">
        <v>33530</v>
      </c>
      <c r="R2012">
        <v>362.29149999999998</v>
      </c>
      <c r="S2012" t="s">
        <v>9733</v>
      </c>
      <c r="T2012" t="s">
        <v>30</v>
      </c>
      <c r="U2012" t="s">
        <v>26094</v>
      </c>
      <c r="W2012" t="s">
        <v>26009</v>
      </c>
    </row>
    <row r="2013" spans="1:23" x14ac:dyDescent="0.35">
      <c r="A2013">
        <v>449589</v>
      </c>
      <c r="B2013" t="s">
        <v>8242</v>
      </c>
      <c r="C2013" t="str">
        <f>"9781843920939"</f>
        <v>9781843920939</v>
      </c>
      <c r="D2013" t="str">
        <f>"9781843926030"</f>
        <v>9781843926030</v>
      </c>
      <c r="E2013" t="s">
        <v>26010</v>
      </c>
      <c r="F2013" t="s">
        <v>7748</v>
      </c>
      <c r="G2013" t="s">
        <v>33531</v>
      </c>
      <c r="H2013" t="s">
        <v>26011</v>
      </c>
      <c r="I2013" s="26">
        <v>38534</v>
      </c>
      <c r="J2013">
        <v>2005</v>
      </c>
      <c r="K2013" t="s">
        <v>7748</v>
      </c>
      <c r="L2013">
        <v>513</v>
      </c>
      <c r="M2013" t="s">
        <v>33532</v>
      </c>
      <c r="N2013">
        <v>1</v>
      </c>
      <c r="O2013" t="s">
        <v>33533</v>
      </c>
      <c r="Q2013" t="s">
        <v>33534</v>
      </c>
      <c r="R2013">
        <v>365.01900000000001</v>
      </c>
      <c r="S2013" t="s">
        <v>33535</v>
      </c>
      <c r="T2013" t="s">
        <v>30</v>
      </c>
      <c r="U2013" t="s">
        <v>26044</v>
      </c>
      <c r="W2013" t="s">
        <v>26009</v>
      </c>
    </row>
    <row r="2014" spans="1:23" x14ac:dyDescent="0.35">
      <c r="A2014">
        <v>449625</v>
      </c>
      <c r="B2014" t="s">
        <v>33536</v>
      </c>
      <c r="C2014" t="str">
        <f>"9781843920106"</f>
        <v>9781843920106</v>
      </c>
      <c r="D2014" t="str">
        <f>"9781843924494"</f>
        <v>9781843924494</v>
      </c>
      <c r="E2014" t="s">
        <v>26010</v>
      </c>
      <c r="F2014" t="s">
        <v>7748</v>
      </c>
      <c r="G2014" t="s">
        <v>33531</v>
      </c>
      <c r="H2014" t="s">
        <v>26011</v>
      </c>
      <c r="I2014" s="26">
        <v>37987</v>
      </c>
      <c r="J2014">
        <v>2004</v>
      </c>
      <c r="K2014" t="s">
        <v>7748</v>
      </c>
      <c r="L2014">
        <v>352</v>
      </c>
      <c r="M2014" t="s">
        <v>33537</v>
      </c>
      <c r="N2014">
        <v>1</v>
      </c>
      <c r="Q2014" t="s">
        <v>33538</v>
      </c>
      <c r="R2014">
        <v>614.15</v>
      </c>
      <c r="S2014" t="s">
        <v>8435</v>
      </c>
      <c r="T2014" t="s">
        <v>30</v>
      </c>
      <c r="U2014" t="s">
        <v>33539</v>
      </c>
      <c r="W2014" t="s">
        <v>26009</v>
      </c>
    </row>
    <row r="2015" spans="1:23" x14ac:dyDescent="0.35">
      <c r="A2015">
        <v>449667</v>
      </c>
      <c r="B2015" t="s">
        <v>33540</v>
      </c>
      <c r="C2015" t="str">
        <f>"9781843921219"</f>
        <v>9781843921219</v>
      </c>
      <c r="D2015" t="str">
        <f>"9781843925750"</f>
        <v>9781843925750</v>
      </c>
      <c r="E2015" t="s">
        <v>26010</v>
      </c>
      <c r="F2015" t="s">
        <v>7748</v>
      </c>
      <c r="G2015" t="s">
        <v>33531</v>
      </c>
      <c r="H2015" t="s">
        <v>26011</v>
      </c>
      <c r="I2015" s="26">
        <v>38504</v>
      </c>
      <c r="J2015">
        <v>2005</v>
      </c>
      <c r="K2015" t="s">
        <v>7748</v>
      </c>
      <c r="L2015">
        <v>219</v>
      </c>
      <c r="M2015" t="s">
        <v>33541</v>
      </c>
      <c r="N2015">
        <v>1</v>
      </c>
      <c r="Q2015" t="s">
        <v>33542</v>
      </c>
      <c r="R2015">
        <v>155.96199999999999</v>
      </c>
      <c r="S2015" t="s">
        <v>33543</v>
      </c>
      <c r="T2015" t="s">
        <v>30</v>
      </c>
      <c r="U2015" t="s">
        <v>26228</v>
      </c>
      <c r="W2015" t="s">
        <v>26009</v>
      </c>
    </row>
    <row r="2016" spans="1:23" x14ac:dyDescent="0.35">
      <c r="A2016">
        <v>449807</v>
      </c>
      <c r="B2016" t="s">
        <v>33544</v>
      </c>
      <c r="C2016" t="str">
        <f>"9781592136674"</f>
        <v>9781592136674</v>
      </c>
      <c r="D2016" t="str">
        <f>"9781592136698"</f>
        <v>9781592136698</v>
      </c>
      <c r="E2016" t="s">
        <v>7659</v>
      </c>
      <c r="F2016" t="s">
        <v>7659</v>
      </c>
      <c r="G2016" t="s">
        <v>22190</v>
      </c>
      <c r="H2016" t="s">
        <v>26004</v>
      </c>
      <c r="I2016" s="26">
        <v>40022</v>
      </c>
      <c r="J2016">
        <v>2009</v>
      </c>
      <c r="K2016" t="s">
        <v>7659</v>
      </c>
      <c r="L2016">
        <v>195</v>
      </c>
      <c r="M2016" t="s">
        <v>33545</v>
      </c>
      <c r="N2016">
        <v>1</v>
      </c>
      <c r="Q2016" t="s">
        <v>33546</v>
      </c>
      <c r="R2016" t="s">
        <v>33547</v>
      </c>
      <c r="S2016" t="s">
        <v>33548</v>
      </c>
      <c r="T2016" t="s">
        <v>30</v>
      </c>
      <c r="U2016" t="s">
        <v>26170</v>
      </c>
      <c r="W2016" t="s">
        <v>26009</v>
      </c>
    </row>
    <row r="2017" spans="1:23" x14ac:dyDescent="0.35">
      <c r="A2017">
        <v>451982</v>
      </c>
      <c r="B2017" t="s">
        <v>33549</v>
      </c>
      <c r="C2017" t="str">
        <f>"9780521709583"</f>
        <v>9780521709583</v>
      </c>
      <c r="D2017" t="str">
        <f>"9780511579516"</f>
        <v>9780511579516</v>
      </c>
      <c r="E2017" t="s">
        <v>167</v>
      </c>
      <c r="F2017" t="s">
        <v>167</v>
      </c>
      <c r="G2017" t="s">
        <v>22218</v>
      </c>
      <c r="H2017" t="s">
        <v>26011</v>
      </c>
      <c r="I2017" s="26">
        <v>40003</v>
      </c>
      <c r="J2017">
        <v>2009</v>
      </c>
      <c r="K2017" t="s">
        <v>167</v>
      </c>
      <c r="L2017">
        <v>167</v>
      </c>
      <c r="M2017" t="s">
        <v>33550</v>
      </c>
      <c r="N2017">
        <v>1</v>
      </c>
      <c r="Q2017" t="s">
        <v>33551</v>
      </c>
      <c r="R2017" t="s">
        <v>33210</v>
      </c>
      <c r="S2017" t="s">
        <v>7869</v>
      </c>
      <c r="T2017" t="s">
        <v>30</v>
      </c>
      <c r="U2017" t="s">
        <v>33552</v>
      </c>
      <c r="W2017" t="s">
        <v>26020</v>
      </c>
    </row>
    <row r="2018" spans="1:23" x14ac:dyDescent="0.35">
      <c r="A2018">
        <v>452317</v>
      </c>
      <c r="B2018" t="s">
        <v>33553</v>
      </c>
      <c r="C2018" t="str">
        <f>"9780805841763"</f>
        <v>9780805841763</v>
      </c>
      <c r="D2018" t="str">
        <f>"9781410606549"</f>
        <v>9781410606549</v>
      </c>
      <c r="E2018" t="s">
        <v>26010</v>
      </c>
      <c r="F2018" t="s">
        <v>35</v>
      </c>
      <c r="G2018" t="s">
        <v>22436</v>
      </c>
      <c r="H2018" t="s">
        <v>26004</v>
      </c>
      <c r="I2018" s="26">
        <v>37469</v>
      </c>
      <c r="J2018">
        <v>2002</v>
      </c>
      <c r="K2018" t="s">
        <v>660</v>
      </c>
      <c r="L2018">
        <v>313</v>
      </c>
      <c r="M2018" t="s">
        <v>33554</v>
      </c>
      <c r="N2018">
        <v>1</v>
      </c>
      <c r="Q2018" t="s">
        <v>33555</v>
      </c>
      <c r="R2018">
        <v>153.69999999999999</v>
      </c>
      <c r="S2018" t="s">
        <v>33556</v>
      </c>
      <c r="T2018" t="s">
        <v>30</v>
      </c>
      <c r="U2018" t="s">
        <v>46</v>
      </c>
      <c r="W2018" t="s">
        <v>26009</v>
      </c>
    </row>
    <row r="2019" spans="1:23" x14ac:dyDescent="0.35">
      <c r="A2019">
        <v>453195</v>
      </c>
      <c r="B2019" t="s">
        <v>9720</v>
      </c>
      <c r="C2019" t="str">
        <f>"9781848555440"</f>
        <v>9781848555440</v>
      </c>
      <c r="D2019" t="str">
        <f>"9781848555457"</f>
        <v>9781848555457</v>
      </c>
      <c r="E2019" t="s">
        <v>7442</v>
      </c>
      <c r="F2019" t="s">
        <v>7442</v>
      </c>
      <c r="G2019" t="s">
        <v>22261</v>
      </c>
      <c r="H2019" t="s">
        <v>26011</v>
      </c>
      <c r="I2019" s="26">
        <v>39924</v>
      </c>
      <c r="J2019">
        <v>2009</v>
      </c>
      <c r="K2019" t="s">
        <v>7442</v>
      </c>
      <c r="L2019">
        <v>292</v>
      </c>
      <c r="M2019" t="s">
        <v>33557</v>
      </c>
      <c r="N2019">
        <v>1</v>
      </c>
      <c r="O2019" t="s">
        <v>33558</v>
      </c>
      <c r="P2019">
        <v>7</v>
      </c>
      <c r="R2019">
        <v>158.72</v>
      </c>
      <c r="S2019" t="s">
        <v>9324</v>
      </c>
      <c r="T2019" t="s">
        <v>30</v>
      </c>
      <c r="U2019" t="s">
        <v>46</v>
      </c>
      <c r="W2019" t="s">
        <v>33559</v>
      </c>
    </row>
    <row r="2020" spans="1:23" x14ac:dyDescent="0.35">
      <c r="A2020">
        <v>453264</v>
      </c>
      <c r="B2020" t="s">
        <v>33560</v>
      </c>
      <c r="C2020" t="str">
        <f>"9780762314799"</f>
        <v>9780762314799</v>
      </c>
      <c r="D2020" t="str">
        <f>"9781849505710"</f>
        <v>9781849505710</v>
      </c>
      <c r="E2020" t="s">
        <v>7442</v>
      </c>
      <c r="F2020" t="s">
        <v>7442</v>
      </c>
      <c r="G2020" t="s">
        <v>22261</v>
      </c>
      <c r="H2020" t="s">
        <v>26011</v>
      </c>
      <c r="I2020" s="26">
        <v>39626</v>
      </c>
      <c r="J2020">
        <v>2008</v>
      </c>
      <c r="K2020" t="s">
        <v>33561</v>
      </c>
      <c r="L2020">
        <v>371</v>
      </c>
      <c r="M2020" t="s">
        <v>33562</v>
      </c>
      <c r="N2020">
        <v>1</v>
      </c>
      <c r="O2020" t="s">
        <v>33563</v>
      </c>
      <c r="P2020">
        <v>18</v>
      </c>
      <c r="Q2020" t="s">
        <v>33564</v>
      </c>
      <c r="R2020">
        <v>658.40200000000004</v>
      </c>
      <c r="S2020" t="s">
        <v>33565</v>
      </c>
      <c r="T2020" t="s">
        <v>30</v>
      </c>
      <c r="U2020" t="s">
        <v>30031</v>
      </c>
      <c r="W2020" t="s">
        <v>33559</v>
      </c>
    </row>
    <row r="2021" spans="1:23" x14ac:dyDescent="0.35">
      <c r="A2021">
        <v>453325</v>
      </c>
      <c r="B2021" t="s">
        <v>8282</v>
      </c>
      <c r="C2021" t="str">
        <f>"9781846639401"</f>
        <v>9781846639401</v>
      </c>
      <c r="D2021" t="str">
        <f>"9781846639418"</f>
        <v>9781846639418</v>
      </c>
      <c r="E2021" t="s">
        <v>7442</v>
      </c>
      <c r="F2021" t="s">
        <v>7442</v>
      </c>
      <c r="G2021" t="s">
        <v>22261</v>
      </c>
      <c r="H2021" t="s">
        <v>26011</v>
      </c>
      <c r="I2021" s="26">
        <v>39615</v>
      </c>
      <c r="J2021">
        <v>2008</v>
      </c>
      <c r="K2021" t="s">
        <v>7442</v>
      </c>
      <c r="L2021">
        <v>365</v>
      </c>
      <c r="M2021" t="s">
        <v>33566</v>
      </c>
      <c r="N2021">
        <v>1</v>
      </c>
      <c r="O2021" t="s">
        <v>33567</v>
      </c>
      <c r="P2021">
        <v>4</v>
      </c>
      <c r="R2021">
        <v>158.69999999999999</v>
      </c>
      <c r="S2021" t="s">
        <v>33568</v>
      </c>
      <c r="T2021" t="s">
        <v>30</v>
      </c>
      <c r="U2021" t="s">
        <v>46</v>
      </c>
      <c r="W2021" t="s">
        <v>33559</v>
      </c>
    </row>
    <row r="2022" spans="1:23" x14ac:dyDescent="0.35">
      <c r="A2022">
        <v>453571</v>
      </c>
      <c r="B2022" t="s">
        <v>8841</v>
      </c>
      <c r="C2022" t="str">
        <f>"9780199282951"</f>
        <v>9780199282951</v>
      </c>
      <c r="D2022" t="str">
        <f>"9780191569388"</f>
        <v>9780191569388</v>
      </c>
      <c r="E2022" t="s">
        <v>371</v>
      </c>
      <c r="F2022" t="s">
        <v>31</v>
      </c>
      <c r="G2022" t="s">
        <v>22242</v>
      </c>
      <c r="H2022" t="s">
        <v>26011</v>
      </c>
      <c r="I2022" s="26">
        <v>40020</v>
      </c>
      <c r="J2022">
        <v>2009</v>
      </c>
      <c r="K2022" t="s">
        <v>31</v>
      </c>
      <c r="L2022">
        <v>432</v>
      </c>
      <c r="M2022" t="s">
        <v>33569</v>
      </c>
      <c r="Q2022" t="s">
        <v>33570</v>
      </c>
      <c r="R2022" t="s">
        <v>33571</v>
      </c>
      <c r="S2022" t="s">
        <v>33572</v>
      </c>
      <c r="T2022" t="s">
        <v>30</v>
      </c>
      <c r="U2022" t="s">
        <v>33573</v>
      </c>
      <c r="W2022" t="s">
        <v>26009</v>
      </c>
    </row>
    <row r="2023" spans="1:23" x14ac:dyDescent="0.35">
      <c r="A2023">
        <v>453604</v>
      </c>
      <c r="B2023" t="s">
        <v>33102</v>
      </c>
      <c r="C2023" t="str">
        <f>"9780195371024"</f>
        <v>9780195371024</v>
      </c>
      <c r="D2023" t="str">
        <f>"9780199707911"</f>
        <v>9780199707911</v>
      </c>
      <c r="E2023" t="s">
        <v>371</v>
      </c>
      <c r="F2023" t="s">
        <v>31</v>
      </c>
      <c r="G2023" t="s">
        <v>22703</v>
      </c>
      <c r="H2023" t="s">
        <v>26004</v>
      </c>
      <c r="I2023" s="26">
        <v>39930</v>
      </c>
      <c r="J2023">
        <v>2009</v>
      </c>
      <c r="K2023" t="s">
        <v>31</v>
      </c>
      <c r="L2023">
        <v>209</v>
      </c>
      <c r="M2023" t="s">
        <v>33574</v>
      </c>
      <c r="N2023">
        <v>2</v>
      </c>
      <c r="O2023" t="s">
        <v>28565</v>
      </c>
      <c r="Q2023" t="s">
        <v>33575</v>
      </c>
      <c r="R2023">
        <v>616.85270000000003</v>
      </c>
      <c r="S2023" t="s">
        <v>33105</v>
      </c>
      <c r="T2023" t="s">
        <v>30</v>
      </c>
      <c r="U2023" t="s">
        <v>26019</v>
      </c>
      <c r="W2023" t="s">
        <v>26009</v>
      </c>
    </row>
    <row r="2024" spans="1:23" x14ac:dyDescent="0.35">
      <c r="A2024">
        <v>453615</v>
      </c>
      <c r="B2024" t="s">
        <v>8337</v>
      </c>
      <c r="C2024" t="str">
        <f>"9780195369816"</f>
        <v>9780195369816</v>
      </c>
      <c r="D2024" t="str">
        <f>"9780199708666"</f>
        <v>9780199708666</v>
      </c>
      <c r="E2024" t="s">
        <v>371</v>
      </c>
      <c r="F2024" t="s">
        <v>31</v>
      </c>
      <c r="G2024" t="s">
        <v>22703</v>
      </c>
      <c r="H2024" t="s">
        <v>26004</v>
      </c>
      <c r="I2024" s="26">
        <v>39967</v>
      </c>
      <c r="J2024">
        <v>2009</v>
      </c>
      <c r="K2024" t="s">
        <v>31</v>
      </c>
      <c r="L2024">
        <v>200</v>
      </c>
      <c r="M2024" t="s">
        <v>33576</v>
      </c>
      <c r="O2024" t="s">
        <v>33147</v>
      </c>
      <c r="Q2024" t="s">
        <v>33577</v>
      </c>
      <c r="R2024" t="s">
        <v>28587</v>
      </c>
      <c r="S2024" t="s">
        <v>33578</v>
      </c>
      <c r="T2024" t="s">
        <v>30</v>
      </c>
      <c r="U2024" t="s">
        <v>33579</v>
      </c>
      <c r="W2024" t="s">
        <v>26009</v>
      </c>
    </row>
    <row r="2025" spans="1:23" x14ac:dyDescent="0.35">
      <c r="A2025">
        <v>453629</v>
      </c>
      <c r="B2025" t="s">
        <v>33580</v>
      </c>
      <c r="C2025" t="str">
        <f>"9780195179323"</f>
        <v>9780195179323</v>
      </c>
      <c r="D2025" t="str">
        <f>"9780199720729"</f>
        <v>9780199720729</v>
      </c>
      <c r="E2025" t="s">
        <v>371</v>
      </c>
      <c r="F2025" t="s">
        <v>31</v>
      </c>
      <c r="G2025" t="s">
        <v>22703</v>
      </c>
      <c r="H2025" t="s">
        <v>26004</v>
      </c>
      <c r="I2025" s="26">
        <v>39994</v>
      </c>
      <c r="J2025">
        <v>2009</v>
      </c>
      <c r="K2025" t="s">
        <v>31</v>
      </c>
      <c r="L2025">
        <v>597</v>
      </c>
      <c r="M2025" t="s">
        <v>33581</v>
      </c>
      <c r="Q2025" t="s">
        <v>33582</v>
      </c>
      <c r="R2025">
        <v>362.82920000000001</v>
      </c>
      <c r="S2025" t="s">
        <v>33583</v>
      </c>
      <c r="T2025" t="s">
        <v>30</v>
      </c>
      <c r="U2025" t="s">
        <v>33584</v>
      </c>
      <c r="W2025" t="s">
        <v>26009</v>
      </c>
    </row>
    <row r="2026" spans="1:23" x14ac:dyDescent="0.35">
      <c r="A2026">
        <v>453721</v>
      </c>
      <c r="B2026" t="s">
        <v>33585</v>
      </c>
      <c r="C2026" t="str">
        <f>"9780415413121"</f>
        <v>9780415413121</v>
      </c>
      <c r="D2026" t="str">
        <f>"9780203866733"</f>
        <v>9780203866733</v>
      </c>
      <c r="E2026" t="s">
        <v>26010</v>
      </c>
      <c r="F2026" t="s">
        <v>35</v>
      </c>
      <c r="G2026" t="s">
        <v>22174</v>
      </c>
      <c r="H2026" t="s">
        <v>26011</v>
      </c>
      <c r="I2026" s="26">
        <v>40116</v>
      </c>
      <c r="J2026">
        <v>2010</v>
      </c>
      <c r="K2026" t="s">
        <v>26012</v>
      </c>
      <c r="L2026">
        <v>231</v>
      </c>
      <c r="M2026" t="s">
        <v>33586</v>
      </c>
      <c r="N2026">
        <v>1</v>
      </c>
      <c r="O2026" t="s">
        <v>26940</v>
      </c>
      <c r="Q2026" t="s">
        <v>33587</v>
      </c>
      <c r="R2026" t="s">
        <v>33588</v>
      </c>
      <c r="S2026" t="s">
        <v>7952</v>
      </c>
      <c r="T2026" t="s">
        <v>30</v>
      </c>
      <c r="U2026" t="s">
        <v>26116</v>
      </c>
      <c r="W2026" t="s">
        <v>26009</v>
      </c>
    </row>
    <row r="2027" spans="1:23" x14ac:dyDescent="0.35">
      <c r="A2027">
        <v>454528</v>
      </c>
      <c r="B2027" t="s">
        <v>8714</v>
      </c>
      <c r="C2027" t="str">
        <f>"9780817304041"</f>
        <v>9780817304041</v>
      </c>
      <c r="D2027" t="str">
        <f>"9780817382674"</f>
        <v>9780817382674</v>
      </c>
      <c r="E2027" t="s">
        <v>8681</v>
      </c>
      <c r="F2027" t="s">
        <v>8681</v>
      </c>
      <c r="G2027" t="s">
        <v>24716</v>
      </c>
      <c r="H2027" t="s">
        <v>26004</v>
      </c>
      <c r="I2027" s="26">
        <v>32507</v>
      </c>
      <c r="J2027">
        <v>1989</v>
      </c>
      <c r="K2027" t="s">
        <v>8681</v>
      </c>
      <c r="L2027">
        <v>194</v>
      </c>
      <c r="M2027" t="s">
        <v>33589</v>
      </c>
      <c r="N2027">
        <v>1</v>
      </c>
      <c r="O2027" t="s">
        <v>33590</v>
      </c>
      <c r="Q2027" t="s">
        <v>33591</v>
      </c>
      <c r="R2027">
        <v>614.1</v>
      </c>
      <c r="S2027" t="s">
        <v>33592</v>
      </c>
      <c r="T2027" t="s">
        <v>30</v>
      </c>
      <c r="U2027" t="s">
        <v>26282</v>
      </c>
      <c r="W2027" t="s">
        <v>26009</v>
      </c>
    </row>
    <row r="2028" spans="1:23" x14ac:dyDescent="0.35">
      <c r="A2028">
        <v>454787</v>
      </c>
      <c r="B2028" t="s">
        <v>33593</v>
      </c>
      <c r="C2028" t="str">
        <f>"9781606233023"</f>
        <v>9781606233023</v>
      </c>
      <c r="D2028" t="str">
        <f>"9781606233061"</f>
        <v>9781606233061</v>
      </c>
      <c r="E2028" t="s">
        <v>30112</v>
      </c>
      <c r="F2028" t="s">
        <v>7420</v>
      </c>
      <c r="G2028" t="s">
        <v>22179</v>
      </c>
      <c r="H2028" t="s">
        <v>26004</v>
      </c>
      <c r="I2028" s="26">
        <v>40002</v>
      </c>
      <c r="J2028">
        <v>2009</v>
      </c>
      <c r="K2028" t="s">
        <v>30113</v>
      </c>
      <c r="L2028">
        <v>641</v>
      </c>
      <c r="M2028" t="s">
        <v>33594</v>
      </c>
      <c r="N2028">
        <v>1</v>
      </c>
      <c r="Q2028" t="s">
        <v>33595</v>
      </c>
      <c r="R2028">
        <v>372.21</v>
      </c>
      <c r="S2028" t="s">
        <v>8591</v>
      </c>
      <c r="T2028" t="s">
        <v>30</v>
      </c>
      <c r="U2028" t="s">
        <v>27827</v>
      </c>
      <c r="W2028" t="s">
        <v>28347</v>
      </c>
    </row>
    <row r="2029" spans="1:23" x14ac:dyDescent="0.35">
      <c r="A2029">
        <v>454831</v>
      </c>
      <c r="B2029" t="s">
        <v>9592</v>
      </c>
      <c r="C2029" t="str">
        <f>"9780807832813"</f>
        <v>9780807832813</v>
      </c>
      <c r="D2029" t="str">
        <f>"9780807894095"</f>
        <v>9780807894095</v>
      </c>
      <c r="E2029" t="s">
        <v>31948</v>
      </c>
      <c r="F2029" t="s">
        <v>7733</v>
      </c>
      <c r="G2029" t="s">
        <v>23742</v>
      </c>
      <c r="H2029" t="s">
        <v>26004</v>
      </c>
      <c r="I2029" s="26">
        <v>39979</v>
      </c>
      <c r="J2029">
        <v>2009</v>
      </c>
      <c r="K2029" t="s">
        <v>7733</v>
      </c>
      <c r="L2029">
        <v>320</v>
      </c>
      <c r="M2029" t="s">
        <v>33596</v>
      </c>
      <c r="N2029">
        <v>1</v>
      </c>
      <c r="Q2029" t="s">
        <v>33597</v>
      </c>
      <c r="R2029" t="s">
        <v>33598</v>
      </c>
      <c r="S2029" t="s">
        <v>9593</v>
      </c>
      <c r="T2029" t="s">
        <v>30</v>
      </c>
      <c r="U2029" t="s">
        <v>46</v>
      </c>
      <c r="W2029" t="s">
        <v>26009</v>
      </c>
    </row>
    <row r="2030" spans="1:23" x14ac:dyDescent="0.35">
      <c r="A2030">
        <v>455745</v>
      </c>
      <c r="B2030" t="s">
        <v>7642</v>
      </c>
      <c r="C2030" t="str">
        <f>"9781875378739"</f>
        <v>9781875378739</v>
      </c>
      <c r="D2030" t="str">
        <f>"9781921513305"</f>
        <v>9781921513305</v>
      </c>
      <c r="E2030" t="s">
        <v>7422</v>
      </c>
      <c r="F2030" t="s">
        <v>7422</v>
      </c>
      <c r="G2030" t="s">
        <v>22511</v>
      </c>
      <c r="H2030" t="s">
        <v>31108</v>
      </c>
      <c r="I2030" s="26">
        <v>38718</v>
      </c>
      <c r="J2030">
        <v>2006</v>
      </c>
      <c r="K2030" t="s">
        <v>7422</v>
      </c>
      <c r="L2030">
        <v>77</v>
      </c>
      <c r="M2030" t="s">
        <v>33599</v>
      </c>
      <c r="N2030">
        <v>1</v>
      </c>
      <c r="Q2030" t="s">
        <v>33600</v>
      </c>
      <c r="R2030">
        <v>150.22999999999999</v>
      </c>
      <c r="S2030" t="s">
        <v>7643</v>
      </c>
      <c r="T2030" t="s">
        <v>30</v>
      </c>
      <c r="U2030" t="s">
        <v>46</v>
      </c>
      <c r="W2030" t="s">
        <v>26009</v>
      </c>
    </row>
    <row r="2031" spans="1:23" x14ac:dyDescent="0.35">
      <c r="A2031">
        <v>455784</v>
      </c>
      <c r="B2031" t="s">
        <v>10126</v>
      </c>
      <c r="C2031" t="str">
        <f>"9780253353559"</f>
        <v>9780253353559</v>
      </c>
      <c r="D2031" t="str">
        <f>"9780253003379"</f>
        <v>9780253003379</v>
      </c>
      <c r="E2031" t="s">
        <v>7540</v>
      </c>
      <c r="F2031" t="s">
        <v>7540</v>
      </c>
      <c r="G2031" t="s">
        <v>24303</v>
      </c>
      <c r="H2031" t="s">
        <v>26004</v>
      </c>
      <c r="I2031" s="26">
        <v>40057</v>
      </c>
      <c r="J2031">
        <v>2009</v>
      </c>
      <c r="K2031" t="s">
        <v>7540</v>
      </c>
      <c r="L2031">
        <v>337</v>
      </c>
      <c r="M2031" t="s">
        <v>33601</v>
      </c>
      <c r="N2031">
        <v>1</v>
      </c>
      <c r="Q2031" t="s">
        <v>33602</v>
      </c>
      <c r="R2031">
        <v>341.23</v>
      </c>
      <c r="S2031" t="s">
        <v>33603</v>
      </c>
      <c r="T2031" t="s">
        <v>30</v>
      </c>
      <c r="U2031" t="s">
        <v>33604</v>
      </c>
      <c r="W2031" t="s">
        <v>26009</v>
      </c>
    </row>
    <row r="2032" spans="1:23" x14ac:dyDescent="0.35">
      <c r="A2032">
        <v>456671</v>
      </c>
      <c r="B2032" t="s">
        <v>9202</v>
      </c>
      <c r="C2032" t="str">
        <f>"9780415480475"</f>
        <v>9780415480475</v>
      </c>
      <c r="D2032" t="str">
        <f>"9780203864678"</f>
        <v>9780203864678</v>
      </c>
      <c r="E2032" t="s">
        <v>26010</v>
      </c>
      <c r="F2032" t="s">
        <v>35</v>
      </c>
      <c r="G2032" t="s">
        <v>22174</v>
      </c>
      <c r="H2032" t="s">
        <v>26011</v>
      </c>
      <c r="I2032" s="26">
        <v>40140</v>
      </c>
      <c r="J2032">
        <v>2010</v>
      </c>
      <c r="K2032" t="s">
        <v>26012</v>
      </c>
      <c r="L2032">
        <v>161</v>
      </c>
      <c r="M2032" t="s">
        <v>33605</v>
      </c>
      <c r="N2032">
        <v>1</v>
      </c>
      <c r="Q2032" t="s">
        <v>33606</v>
      </c>
      <c r="R2032">
        <v>302</v>
      </c>
      <c r="S2032" t="s">
        <v>9203</v>
      </c>
      <c r="T2032" t="s">
        <v>30</v>
      </c>
      <c r="U2032" t="s">
        <v>26044</v>
      </c>
      <c r="W2032" t="s">
        <v>26009</v>
      </c>
    </row>
    <row r="2033" spans="1:23" x14ac:dyDescent="0.35">
      <c r="A2033">
        <v>456727</v>
      </c>
      <c r="B2033" t="s">
        <v>33607</v>
      </c>
      <c r="C2033" t="str">
        <f>"9781412945776"</f>
        <v>9781412945776</v>
      </c>
      <c r="D2033" t="str">
        <f>"9781849206341"</f>
        <v>9781849206341</v>
      </c>
      <c r="E2033" t="s">
        <v>28007</v>
      </c>
      <c r="F2033" t="s">
        <v>7430</v>
      </c>
      <c r="G2033" t="s">
        <v>22174</v>
      </c>
      <c r="H2033" t="s">
        <v>26011</v>
      </c>
      <c r="I2033" s="26">
        <v>39604</v>
      </c>
      <c r="J2033">
        <v>2008</v>
      </c>
      <c r="K2033" t="s">
        <v>7430</v>
      </c>
      <c r="L2033">
        <v>249</v>
      </c>
      <c r="M2033" t="s">
        <v>33608</v>
      </c>
      <c r="N2033">
        <v>2</v>
      </c>
      <c r="Q2033" t="s">
        <v>33609</v>
      </c>
      <c r="R2033">
        <v>361.06</v>
      </c>
      <c r="S2033" t="s">
        <v>36</v>
      </c>
      <c r="T2033" t="s">
        <v>30</v>
      </c>
      <c r="U2033" t="s">
        <v>26170</v>
      </c>
      <c r="W2033" t="s">
        <v>26009</v>
      </c>
    </row>
    <row r="2034" spans="1:23" x14ac:dyDescent="0.35">
      <c r="A2034">
        <v>456731</v>
      </c>
      <c r="B2034" t="s">
        <v>7545</v>
      </c>
      <c r="C2034" t="str">
        <f>"9780803979253"</f>
        <v>9780803979253</v>
      </c>
      <c r="D2034" t="str">
        <f>"9781849207133"</f>
        <v>9781849207133</v>
      </c>
      <c r="E2034" t="s">
        <v>28007</v>
      </c>
      <c r="F2034" t="s">
        <v>7430</v>
      </c>
      <c r="G2034" t="s">
        <v>22174</v>
      </c>
      <c r="H2034" t="s">
        <v>26011</v>
      </c>
      <c r="I2034" s="26">
        <v>35299</v>
      </c>
      <c r="J2034">
        <v>1996</v>
      </c>
      <c r="K2034" t="s">
        <v>7430</v>
      </c>
      <c r="L2034">
        <v>505</v>
      </c>
      <c r="M2034" t="s">
        <v>33610</v>
      </c>
      <c r="N2034">
        <v>1</v>
      </c>
      <c r="Q2034">
        <v>96068908</v>
      </c>
      <c r="R2034">
        <v>302</v>
      </c>
      <c r="S2034" t="s">
        <v>7546</v>
      </c>
      <c r="T2034" t="s">
        <v>30</v>
      </c>
      <c r="U2034" t="s">
        <v>26044</v>
      </c>
      <c r="W2034" t="s">
        <v>26009</v>
      </c>
    </row>
    <row r="2035" spans="1:23" x14ac:dyDescent="0.35">
      <c r="A2035">
        <v>456736</v>
      </c>
      <c r="B2035" t="s">
        <v>33611</v>
      </c>
      <c r="C2035" t="str">
        <f>"9780761951551"</f>
        <v>9780761951551</v>
      </c>
      <c r="D2035" t="str">
        <f>"9781849206785"</f>
        <v>9781849206785</v>
      </c>
      <c r="E2035" t="s">
        <v>28007</v>
      </c>
      <c r="F2035" t="s">
        <v>7430</v>
      </c>
      <c r="G2035" t="s">
        <v>22174</v>
      </c>
      <c r="H2035" t="s">
        <v>26011</v>
      </c>
      <c r="I2035" s="26">
        <v>36164</v>
      </c>
      <c r="J2035">
        <v>1999</v>
      </c>
      <c r="K2035" t="s">
        <v>7430</v>
      </c>
      <c r="L2035">
        <v>257</v>
      </c>
      <c r="M2035" t="s">
        <v>33612</v>
      </c>
      <c r="N2035">
        <v>1</v>
      </c>
      <c r="Q2035" t="s">
        <v>33613</v>
      </c>
      <c r="R2035" t="s">
        <v>26538</v>
      </c>
      <c r="S2035" t="s">
        <v>33614</v>
      </c>
      <c r="T2035" t="s">
        <v>30</v>
      </c>
      <c r="U2035" t="s">
        <v>26116</v>
      </c>
      <c r="W2035" t="s">
        <v>26009</v>
      </c>
    </row>
    <row r="2036" spans="1:23" x14ac:dyDescent="0.35">
      <c r="A2036">
        <v>456738</v>
      </c>
      <c r="B2036" t="s">
        <v>9749</v>
      </c>
      <c r="C2036" t="str">
        <f>"9780761947585"</f>
        <v>9780761947585</v>
      </c>
      <c r="D2036" t="str">
        <f>"9781849206563"</f>
        <v>9781849206563</v>
      </c>
      <c r="E2036" t="s">
        <v>28007</v>
      </c>
      <c r="F2036" t="s">
        <v>7430</v>
      </c>
      <c r="G2036" t="s">
        <v>22174</v>
      </c>
      <c r="H2036" t="s">
        <v>26011</v>
      </c>
      <c r="I2036" s="26">
        <v>37851</v>
      </c>
      <c r="J2036">
        <v>2003</v>
      </c>
      <c r="K2036" t="s">
        <v>7430</v>
      </c>
      <c r="L2036">
        <v>135</v>
      </c>
      <c r="M2036" t="s">
        <v>33615</v>
      </c>
      <c r="N2036">
        <v>1</v>
      </c>
      <c r="Q2036" t="s">
        <v>33616</v>
      </c>
      <c r="R2036">
        <v>302.12</v>
      </c>
      <c r="S2036" t="s">
        <v>9750</v>
      </c>
      <c r="T2036" t="s">
        <v>30</v>
      </c>
      <c r="U2036" t="s">
        <v>26170</v>
      </c>
      <c r="W2036" t="s">
        <v>26009</v>
      </c>
    </row>
    <row r="2037" spans="1:23" x14ac:dyDescent="0.35">
      <c r="A2037">
        <v>456742</v>
      </c>
      <c r="B2037" t="s">
        <v>8050</v>
      </c>
      <c r="C2037" t="str">
        <f>"9780761952893"</f>
        <v>9780761952893</v>
      </c>
      <c r="D2037" t="str">
        <f>"9781848608917"</f>
        <v>9781848608917</v>
      </c>
      <c r="E2037" t="s">
        <v>28007</v>
      </c>
      <c r="F2037" t="s">
        <v>7430</v>
      </c>
      <c r="G2037" t="s">
        <v>22174</v>
      </c>
      <c r="H2037" t="s">
        <v>26011</v>
      </c>
      <c r="I2037" s="26">
        <v>35604</v>
      </c>
      <c r="J2037">
        <v>1997</v>
      </c>
      <c r="K2037" t="s">
        <v>7430</v>
      </c>
      <c r="L2037">
        <v>317</v>
      </c>
      <c r="M2037" t="s">
        <v>33617</v>
      </c>
      <c r="N2037">
        <v>1</v>
      </c>
      <c r="Q2037">
        <v>97065924</v>
      </c>
      <c r="R2037">
        <v>302</v>
      </c>
      <c r="S2037" t="s">
        <v>7546</v>
      </c>
      <c r="T2037" t="s">
        <v>30</v>
      </c>
      <c r="U2037" t="s">
        <v>26044</v>
      </c>
      <c r="W2037" t="s">
        <v>26009</v>
      </c>
    </row>
    <row r="2038" spans="1:23" x14ac:dyDescent="0.35">
      <c r="A2038">
        <v>456768</v>
      </c>
      <c r="B2038" t="s">
        <v>33618</v>
      </c>
      <c r="C2038" t="str">
        <f>"9780761951094"</f>
        <v>9780761951094</v>
      </c>
      <c r="D2038" t="str">
        <f>"9781849207102"</f>
        <v>9781849207102</v>
      </c>
      <c r="E2038" t="s">
        <v>28007</v>
      </c>
      <c r="F2038" t="s">
        <v>7430</v>
      </c>
      <c r="G2038" t="s">
        <v>22174</v>
      </c>
      <c r="H2038" t="s">
        <v>26011</v>
      </c>
      <c r="I2038" s="26">
        <v>35653</v>
      </c>
      <c r="J2038">
        <v>1997</v>
      </c>
      <c r="K2038" t="s">
        <v>7430</v>
      </c>
      <c r="L2038">
        <v>102</v>
      </c>
      <c r="M2038" t="s">
        <v>33619</v>
      </c>
      <c r="N2038">
        <v>1</v>
      </c>
      <c r="Q2038" t="s">
        <v>33620</v>
      </c>
      <c r="R2038" t="s">
        <v>26538</v>
      </c>
      <c r="S2038" t="s">
        <v>8359</v>
      </c>
      <c r="T2038" t="s">
        <v>30</v>
      </c>
      <c r="U2038" t="s">
        <v>26116</v>
      </c>
      <c r="W2038" t="s">
        <v>26009</v>
      </c>
    </row>
    <row r="2039" spans="1:23" x14ac:dyDescent="0.35">
      <c r="A2039">
        <v>456771</v>
      </c>
      <c r="B2039" t="s">
        <v>33621</v>
      </c>
      <c r="C2039" t="str">
        <f>"9780803979123"</f>
        <v>9780803979123</v>
      </c>
      <c r="D2039" t="str">
        <f>"9781849206914"</f>
        <v>9781849206914</v>
      </c>
      <c r="E2039" t="s">
        <v>28007</v>
      </c>
      <c r="F2039" t="s">
        <v>7430</v>
      </c>
      <c r="G2039" t="s">
        <v>22174</v>
      </c>
      <c r="H2039" t="s">
        <v>26011</v>
      </c>
      <c r="I2039" s="26">
        <v>35352</v>
      </c>
      <c r="J2039">
        <v>1996</v>
      </c>
      <c r="K2039" t="s">
        <v>7430</v>
      </c>
      <c r="L2039">
        <v>283</v>
      </c>
      <c r="M2039" t="s">
        <v>33622</v>
      </c>
      <c r="N2039">
        <v>1</v>
      </c>
      <c r="R2039" t="s">
        <v>26538</v>
      </c>
      <c r="S2039" t="s">
        <v>33623</v>
      </c>
      <c r="T2039" t="s">
        <v>30</v>
      </c>
      <c r="U2039" t="s">
        <v>26040</v>
      </c>
      <c r="W2039" t="s">
        <v>26009</v>
      </c>
    </row>
    <row r="2040" spans="1:23" x14ac:dyDescent="0.35">
      <c r="A2040">
        <v>456772</v>
      </c>
      <c r="B2040" t="s">
        <v>33624</v>
      </c>
      <c r="C2040" t="str">
        <f>"9780803978416"</f>
        <v>9780803978416</v>
      </c>
      <c r="D2040" t="str">
        <f>"9781849206945"</f>
        <v>9781849206945</v>
      </c>
      <c r="E2040" t="s">
        <v>28007</v>
      </c>
      <c r="F2040" t="s">
        <v>7430</v>
      </c>
      <c r="G2040" t="s">
        <v>22174</v>
      </c>
      <c r="H2040" t="s">
        <v>26011</v>
      </c>
      <c r="I2040" s="26">
        <v>35206</v>
      </c>
      <c r="J2040">
        <v>1996</v>
      </c>
      <c r="K2040" t="s">
        <v>7430</v>
      </c>
      <c r="L2040">
        <v>277</v>
      </c>
      <c r="M2040" t="s">
        <v>33622</v>
      </c>
      <c r="N2040">
        <v>1</v>
      </c>
      <c r="S2040" t="s">
        <v>9719</v>
      </c>
      <c r="T2040" t="s">
        <v>30</v>
      </c>
      <c r="U2040" t="s">
        <v>46</v>
      </c>
      <c r="W2040" t="s">
        <v>26009</v>
      </c>
    </row>
    <row r="2041" spans="1:23" x14ac:dyDescent="0.35">
      <c r="A2041">
        <v>456777</v>
      </c>
      <c r="B2041" t="s">
        <v>33625</v>
      </c>
      <c r="C2041" t="str">
        <f>"9780803979918"</f>
        <v>9780803979918</v>
      </c>
      <c r="D2041" t="str">
        <f>"9781849207218"</f>
        <v>9781849207218</v>
      </c>
      <c r="E2041" t="s">
        <v>28007</v>
      </c>
      <c r="F2041" t="s">
        <v>7430</v>
      </c>
      <c r="G2041" t="s">
        <v>22174</v>
      </c>
      <c r="H2041" t="s">
        <v>26011</v>
      </c>
      <c r="I2041" s="26">
        <v>35181</v>
      </c>
      <c r="J2041">
        <v>1996</v>
      </c>
      <c r="K2041" t="s">
        <v>7430</v>
      </c>
      <c r="L2041">
        <v>225</v>
      </c>
      <c r="M2041" t="s">
        <v>26293</v>
      </c>
      <c r="N2041">
        <v>1</v>
      </c>
      <c r="Q2041">
        <v>96067702</v>
      </c>
      <c r="R2041" t="s">
        <v>30488</v>
      </c>
      <c r="S2041" t="s">
        <v>9618</v>
      </c>
      <c r="T2041" t="s">
        <v>30</v>
      </c>
      <c r="U2041" t="s">
        <v>28384</v>
      </c>
      <c r="W2041" t="s">
        <v>26009</v>
      </c>
    </row>
    <row r="2042" spans="1:23" x14ac:dyDescent="0.35">
      <c r="A2042">
        <v>456784</v>
      </c>
      <c r="B2042" t="s">
        <v>8886</v>
      </c>
      <c r="C2042" t="str">
        <f>"9780803974715"</f>
        <v>9780803974715</v>
      </c>
      <c r="D2042" t="str">
        <f>"9781849206587"</f>
        <v>9781849206587</v>
      </c>
      <c r="E2042" t="s">
        <v>28007</v>
      </c>
      <c r="F2042" t="s">
        <v>7430</v>
      </c>
      <c r="G2042" t="s">
        <v>22174</v>
      </c>
      <c r="H2042" t="s">
        <v>26011</v>
      </c>
      <c r="I2042" s="26">
        <v>35299</v>
      </c>
      <c r="J2042">
        <v>1996</v>
      </c>
      <c r="K2042" t="s">
        <v>7430</v>
      </c>
      <c r="L2042">
        <v>199</v>
      </c>
      <c r="M2042" t="s">
        <v>33626</v>
      </c>
      <c r="N2042">
        <v>1</v>
      </c>
      <c r="Q2042" t="s">
        <v>33627</v>
      </c>
      <c r="R2042">
        <v>616.89</v>
      </c>
      <c r="S2042" t="s">
        <v>8072</v>
      </c>
      <c r="T2042" t="s">
        <v>30</v>
      </c>
      <c r="U2042" t="s">
        <v>26116</v>
      </c>
      <c r="W2042" t="s">
        <v>26009</v>
      </c>
    </row>
    <row r="2043" spans="1:23" x14ac:dyDescent="0.35">
      <c r="A2043">
        <v>456788</v>
      </c>
      <c r="B2043" t="s">
        <v>33628</v>
      </c>
      <c r="C2043" t="str">
        <f>"9780803989511"</f>
        <v>9780803989511</v>
      </c>
      <c r="D2043" t="str">
        <f>"9781849206648"</f>
        <v>9781849206648</v>
      </c>
      <c r="E2043" t="s">
        <v>28007</v>
      </c>
      <c r="F2043" t="s">
        <v>7430</v>
      </c>
      <c r="G2043" t="s">
        <v>22174</v>
      </c>
      <c r="H2043" t="s">
        <v>26011</v>
      </c>
      <c r="I2043" s="26">
        <v>35165</v>
      </c>
      <c r="J2043">
        <v>1996</v>
      </c>
      <c r="K2043" t="s">
        <v>7430</v>
      </c>
      <c r="L2043">
        <v>188</v>
      </c>
      <c r="M2043" t="s">
        <v>33629</v>
      </c>
      <c r="N2043">
        <v>1</v>
      </c>
      <c r="Q2043" t="s">
        <v>33630</v>
      </c>
      <c r="R2043">
        <v>302</v>
      </c>
      <c r="S2043" t="s">
        <v>7949</v>
      </c>
      <c r="T2043" t="s">
        <v>30</v>
      </c>
      <c r="U2043" t="s">
        <v>26044</v>
      </c>
      <c r="W2043" t="s">
        <v>26009</v>
      </c>
    </row>
    <row r="2044" spans="1:23" x14ac:dyDescent="0.35">
      <c r="A2044">
        <v>456791</v>
      </c>
      <c r="B2044" t="s">
        <v>9922</v>
      </c>
      <c r="C2044" t="str">
        <f>"9780826453112"</f>
        <v>9780826453112</v>
      </c>
      <c r="D2044" t="str">
        <f>"9781847871527"</f>
        <v>9781847871527</v>
      </c>
      <c r="E2044" t="s">
        <v>28007</v>
      </c>
      <c r="F2044" t="s">
        <v>7430</v>
      </c>
      <c r="G2044" t="s">
        <v>22174</v>
      </c>
      <c r="H2044" t="s">
        <v>26011</v>
      </c>
      <c r="I2044" s="26">
        <v>37856</v>
      </c>
      <c r="J2044">
        <v>2001</v>
      </c>
      <c r="K2044" t="s">
        <v>7430</v>
      </c>
      <c r="L2044">
        <v>158</v>
      </c>
      <c r="M2044" t="s">
        <v>33631</v>
      </c>
      <c r="N2044">
        <v>1</v>
      </c>
      <c r="O2044" t="s">
        <v>33632</v>
      </c>
      <c r="Q2044">
        <v>2005296608</v>
      </c>
      <c r="R2044" t="s">
        <v>26817</v>
      </c>
      <c r="S2044" t="s">
        <v>9923</v>
      </c>
      <c r="T2044" t="s">
        <v>30</v>
      </c>
      <c r="U2044" t="s">
        <v>46</v>
      </c>
      <c r="W2044" t="s">
        <v>26009</v>
      </c>
    </row>
    <row r="2045" spans="1:23" x14ac:dyDescent="0.35">
      <c r="A2045">
        <v>456801</v>
      </c>
      <c r="B2045" t="s">
        <v>9146</v>
      </c>
      <c r="C2045" t="str">
        <f>"9781412901789"</f>
        <v>9781412901789</v>
      </c>
      <c r="D2045" t="str">
        <f>"9781849206624"</f>
        <v>9781849206624</v>
      </c>
      <c r="E2045" t="s">
        <v>28007</v>
      </c>
      <c r="F2045" t="s">
        <v>7430</v>
      </c>
      <c r="G2045" t="s">
        <v>22174</v>
      </c>
      <c r="H2045" t="s">
        <v>26011</v>
      </c>
      <c r="I2045" s="26">
        <v>38154</v>
      </c>
      <c r="J2045">
        <v>2002</v>
      </c>
      <c r="K2045" t="s">
        <v>7430</v>
      </c>
      <c r="L2045">
        <v>203</v>
      </c>
      <c r="M2045" t="s">
        <v>33633</v>
      </c>
      <c r="N2045">
        <v>1</v>
      </c>
      <c r="Q2045" t="s">
        <v>33634</v>
      </c>
      <c r="R2045">
        <v>616.89139999999998</v>
      </c>
      <c r="S2045" t="s">
        <v>33635</v>
      </c>
      <c r="T2045" t="s">
        <v>30</v>
      </c>
      <c r="U2045" t="s">
        <v>26019</v>
      </c>
      <c r="W2045" t="s">
        <v>26009</v>
      </c>
    </row>
    <row r="2046" spans="1:23" x14ac:dyDescent="0.35">
      <c r="A2046">
        <v>456809</v>
      </c>
      <c r="B2046" t="s">
        <v>9434</v>
      </c>
      <c r="C2046" t="str">
        <f>"9780761957027"</f>
        <v>9780761957027</v>
      </c>
      <c r="D2046" t="str">
        <f>"9781849206822"</f>
        <v>9781849206822</v>
      </c>
      <c r="E2046" t="s">
        <v>28007</v>
      </c>
      <c r="F2046" t="s">
        <v>7430</v>
      </c>
      <c r="G2046" t="s">
        <v>22174</v>
      </c>
      <c r="H2046" t="s">
        <v>26011</v>
      </c>
      <c r="I2046" s="26">
        <v>36507</v>
      </c>
      <c r="J2046">
        <v>1999</v>
      </c>
      <c r="K2046" t="s">
        <v>7430</v>
      </c>
      <c r="L2046">
        <v>158</v>
      </c>
      <c r="M2046" t="s">
        <v>33636</v>
      </c>
      <c r="N2046">
        <v>1</v>
      </c>
      <c r="O2046" t="s">
        <v>28053</v>
      </c>
      <c r="Q2046" t="s">
        <v>33637</v>
      </c>
      <c r="R2046">
        <v>616.89152300000001</v>
      </c>
      <c r="S2046" t="s">
        <v>9434</v>
      </c>
      <c r="T2046" t="s">
        <v>30</v>
      </c>
      <c r="U2046" t="s">
        <v>26019</v>
      </c>
      <c r="W2046" t="s">
        <v>26009</v>
      </c>
    </row>
    <row r="2047" spans="1:23" x14ac:dyDescent="0.35">
      <c r="A2047">
        <v>459940</v>
      </c>
      <c r="B2047" t="s">
        <v>8108</v>
      </c>
      <c r="C2047" t="str">
        <f>""</f>
        <v/>
      </c>
      <c r="D2047" t="str">
        <f>"9788122429237"</f>
        <v>9788122429237</v>
      </c>
      <c r="E2047" t="s">
        <v>33638</v>
      </c>
      <c r="F2047" t="s">
        <v>33639</v>
      </c>
      <c r="G2047" t="s">
        <v>33640</v>
      </c>
      <c r="H2047" t="s">
        <v>33641</v>
      </c>
      <c r="I2047" s="26">
        <v>39904</v>
      </c>
      <c r="J2047">
        <v>2009</v>
      </c>
      <c r="K2047" t="s">
        <v>33642</v>
      </c>
      <c r="L2047">
        <v>153</v>
      </c>
      <c r="M2047" t="s">
        <v>33643</v>
      </c>
      <c r="N2047">
        <v>1</v>
      </c>
      <c r="Q2047" t="s">
        <v>33644</v>
      </c>
      <c r="R2047">
        <v>157</v>
      </c>
      <c r="S2047" t="s">
        <v>32398</v>
      </c>
      <c r="T2047" t="s">
        <v>30</v>
      </c>
      <c r="U2047" t="s">
        <v>26019</v>
      </c>
      <c r="W2047" t="s">
        <v>26009</v>
      </c>
    </row>
    <row r="2048" spans="1:23" x14ac:dyDescent="0.35">
      <c r="A2048">
        <v>460254</v>
      </c>
      <c r="B2048" t="s">
        <v>33645</v>
      </c>
      <c r="C2048" t="str">
        <f>"9780415480956"</f>
        <v>9780415480956</v>
      </c>
      <c r="D2048" t="str">
        <f>"9780203886441"</f>
        <v>9780203886441</v>
      </c>
      <c r="E2048" t="s">
        <v>26010</v>
      </c>
      <c r="F2048" t="s">
        <v>35</v>
      </c>
      <c r="G2048" t="s">
        <v>22174</v>
      </c>
      <c r="H2048" t="s">
        <v>26011</v>
      </c>
      <c r="I2048" s="26">
        <v>40137</v>
      </c>
      <c r="J2048">
        <v>2009</v>
      </c>
      <c r="K2048" t="s">
        <v>26012</v>
      </c>
      <c r="L2048">
        <v>273</v>
      </c>
      <c r="M2048" t="s">
        <v>33646</v>
      </c>
      <c r="N2048">
        <v>1</v>
      </c>
      <c r="O2048" t="s">
        <v>33647</v>
      </c>
      <c r="Q2048" t="s">
        <v>33648</v>
      </c>
      <c r="R2048">
        <v>331.25</v>
      </c>
      <c r="S2048" t="s">
        <v>9927</v>
      </c>
      <c r="T2048" t="s">
        <v>30</v>
      </c>
      <c r="U2048" t="s">
        <v>33649</v>
      </c>
      <c r="W2048" t="s">
        <v>26009</v>
      </c>
    </row>
    <row r="2049" spans="1:23" x14ac:dyDescent="0.35">
      <c r="A2049">
        <v>460301</v>
      </c>
      <c r="B2049" t="s">
        <v>33650</v>
      </c>
      <c r="C2049" t="str">
        <f>"9780710313522"</f>
        <v>9780710313522</v>
      </c>
      <c r="D2049" t="str">
        <f>"9780203870051"</f>
        <v>9780203870051</v>
      </c>
      <c r="E2049" t="s">
        <v>26010</v>
      </c>
      <c r="F2049" t="s">
        <v>35</v>
      </c>
      <c r="G2049" t="s">
        <v>22174</v>
      </c>
      <c r="H2049" t="s">
        <v>26011</v>
      </c>
      <c r="I2049" s="26">
        <v>40130</v>
      </c>
      <c r="J2049">
        <v>2010</v>
      </c>
      <c r="K2049" t="s">
        <v>26012</v>
      </c>
      <c r="L2049">
        <v>247</v>
      </c>
      <c r="M2049" t="s">
        <v>33651</v>
      </c>
      <c r="N2049">
        <v>1</v>
      </c>
      <c r="Q2049" t="s">
        <v>33652</v>
      </c>
      <c r="R2049" t="s">
        <v>33653</v>
      </c>
      <c r="S2049" t="s">
        <v>8477</v>
      </c>
      <c r="T2049" t="s">
        <v>30</v>
      </c>
      <c r="U2049" t="s">
        <v>402</v>
      </c>
      <c r="W2049" t="s">
        <v>26009</v>
      </c>
    </row>
    <row r="2050" spans="1:23" x14ac:dyDescent="0.35">
      <c r="A2050">
        <v>460331</v>
      </c>
      <c r="B2050" t="s">
        <v>33654</v>
      </c>
      <c r="C2050" t="str">
        <f>"9780415801232"</f>
        <v>9780415801232</v>
      </c>
      <c r="D2050" t="str">
        <f>"9780203863190"</f>
        <v>9780203863190</v>
      </c>
      <c r="E2050" t="s">
        <v>26010</v>
      </c>
      <c r="F2050" t="s">
        <v>35</v>
      </c>
      <c r="G2050" t="s">
        <v>26201</v>
      </c>
      <c r="H2050" t="s">
        <v>26004</v>
      </c>
      <c r="I2050" s="26">
        <v>40119</v>
      </c>
      <c r="J2050">
        <v>2010</v>
      </c>
      <c r="K2050" t="s">
        <v>26012</v>
      </c>
      <c r="L2050">
        <v>233</v>
      </c>
      <c r="M2050" t="s">
        <v>33655</v>
      </c>
      <c r="N2050">
        <v>1</v>
      </c>
      <c r="O2050" t="s">
        <v>33656</v>
      </c>
      <c r="Q2050" t="s">
        <v>33657</v>
      </c>
      <c r="R2050">
        <v>302.23</v>
      </c>
      <c r="S2050" t="s">
        <v>33658</v>
      </c>
      <c r="T2050" t="s">
        <v>30</v>
      </c>
      <c r="U2050" t="s">
        <v>26044</v>
      </c>
      <c r="W2050" t="s">
        <v>26009</v>
      </c>
    </row>
    <row r="2051" spans="1:23" x14ac:dyDescent="0.35">
      <c r="A2051">
        <v>460344</v>
      </c>
      <c r="B2051" t="s">
        <v>33659</v>
      </c>
      <c r="C2051" t="str">
        <f>"9780415570893"</f>
        <v>9780415570893</v>
      </c>
      <c r="D2051" t="str">
        <f>"9780203857311"</f>
        <v>9780203857311</v>
      </c>
      <c r="E2051" t="s">
        <v>26010</v>
      </c>
      <c r="F2051" t="s">
        <v>35</v>
      </c>
      <c r="G2051" t="s">
        <v>26201</v>
      </c>
      <c r="H2051" t="s">
        <v>26004</v>
      </c>
      <c r="I2051" s="26">
        <v>40116</v>
      </c>
      <c r="J2051">
        <v>1991</v>
      </c>
      <c r="K2051" t="s">
        <v>26012</v>
      </c>
      <c r="L2051">
        <v>258</v>
      </c>
      <c r="M2051" t="s">
        <v>33660</v>
      </c>
      <c r="N2051">
        <v>1</v>
      </c>
      <c r="O2051" t="s">
        <v>33661</v>
      </c>
      <c r="Q2051" t="s">
        <v>33662</v>
      </c>
      <c r="R2051">
        <v>305.31</v>
      </c>
      <c r="S2051" t="s">
        <v>33663</v>
      </c>
      <c r="T2051" t="s">
        <v>30</v>
      </c>
      <c r="U2051" t="s">
        <v>26044</v>
      </c>
      <c r="W2051" t="s">
        <v>26009</v>
      </c>
    </row>
    <row r="2052" spans="1:23" x14ac:dyDescent="0.35">
      <c r="A2052">
        <v>460405</v>
      </c>
      <c r="B2052" t="s">
        <v>33664</v>
      </c>
      <c r="C2052" t="str">
        <f>"9781606233320"</f>
        <v>9781606233320</v>
      </c>
      <c r="D2052" t="str">
        <f>"9781606233337"</f>
        <v>9781606233337</v>
      </c>
      <c r="E2052" t="s">
        <v>30112</v>
      </c>
      <c r="F2052" t="s">
        <v>7420</v>
      </c>
      <c r="G2052" t="s">
        <v>22179</v>
      </c>
      <c r="H2052" t="s">
        <v>26004</v>
      </c>
      <c r="I2052" s="26">
        <v>40035</v>
      </c>
      <c r="J2052">
        <v>2009</v>
      </c>
      <c r="K2052" t="s">
        <v>30113</v>
      </c>
      <c r="L2052">
        <v>433</v>
      </c>
      <c r="M2052" t="s">
        <v>33665</v>
      </c>
      <c r="N2052">
        <v>1</v>
      </c>
      <c r="Q2052" t="s">
        <v>33666</v>
      </c>
      <c r="R2052">
        <v>362.88083</v>
      </c>
      <c r="S2052" t="s">
        <v>33667</v>
      </c>
      <c r="T2052" t="s">
        <v>30</v>
      </c>
      <c r="U2052" t="s">
        <v>26044</v>
      </c>
      <c r="W2052" t="s">
        <v>28347</v>
      </c>
    </row>
    <row r="2053" spans="1:23" x14ac:dyDescent="0.35">
      <c r="A2053">
        <v>460406</v>
      </c>
      <c r="B2053" t="s">
        <v>8027</v>
      </c>
      <c r="C2053" t="str">
        <f>"9781606233214"</f>
        <v>9781606233214</v>
      </c>
      <c r="D2053" t="str">
        <f>"9781606233221"</f>
        <v>9781606233221</v>
      </c>
      <c r="E2053" t="s">
        <v>30112</v>
      </c>
      <c r="F2053" t="s">
        <v>7420</v>
      </c>
      <c r="G2053" t="s">
        <v>22179</v>
      </c>
      <c r="H2053" t="s">
        <v>26004</v>
      </c>
      <c r="I2053" s="26">
        <v>40028</v>
      </c>
      <c r="J2053">
        <v>2009</v>
      </c>
      <c r="K2053" t="s">
        <v>30113</v>
      </c>
      <c r="L2053">
        <v>385</v>
      </c>
      <c r="M2053" t="s">
        <v>33668</v>
      </c>
      <c r="N2053">
        <v>1</v>
      </c>
      <c r="Q2053" t="s">
        <v>33669</v>
      </c>
      <c r="R2053">
        <v>305.2</v>
      </c>
      <c r="S2053" t="s">
        <v>33670</v>
      </c>
      <c r="T2053" t="s">
        <v>30</v>
      </c>
      <c r="U2053" t="s">
        <v>26044</v>
      </c>
      <c r="W2053" t="s">
        <v>28347</v>
      </c>
    </row>
    <row r="2054" spans="1:23" x14ac:dyDescent="0.35">
      <c r="A2054">
        <v>460409</v>
      </c>
      <c r="B2054" t="s">
        <v>7888</v>
      </c>
      <c r="C2054" t="str">
        <f>"9781606233429"</f>
        <v>9781606233429</v>
      </c>
      <c r="D2054" t="str">
        <f>"9781606233436"</f>
        <v>9781606233436</v>
      </c>
      <c r="E2054" t="s">
        <v>30112</v>
      </c>
      <c r="F2054" t="s">
        <v>7420</v>
      </c>
      <c r="G2054" t="s">
        <v>22179</v>
      </c>
      <c r="H2054" t="s">
        <v>26004</v>
      </c>
      <c r="I2054" s="26">
        <v>40102</v>
      </c>
      <c r="J2054">
        <v>2010</v>
      </c>
      <c r="K2054" t="s">
        <v>30113</v>
      </c>
      <c r="L2054">
        <v>402</v>
      </c>
      <c r="M2054" t="s">
        <v>33671</v>
      </c>
      <c r="N2054">
        <v>1</v>
      </c>
      <c r="Q2054" t="s">
        <v>33672</v>
      </c>
      <c r="R2054">
        <v>616.89142500000003</v>
      </c>
      <c r="S2054" t="s">
        <v>32646</v>
      </c>
      <c r="T2054" t="s">
        <v>30</v>
      </c>
      <c r="U2054" t="s">
        <v>26019</v>
      </c>
      <c r="W2054" t="s">
        <v>28347</v>
      </c>
    </row>
    <row r="2055" spans="1:23" x14ac:dyDescent="0.35">
      <c r="A2055">
        <v>460412</v>
      </c>
      <c r="B2055" t="s">
        <v>33673</v>
      </c>
      <c r="C2055" t="str">
        <f>"9781606233252"</f>
        <v>9781606233252</v>
      </c>
      <c r="D2055" t="str">
        <f>"9781606233269"</f>
        <v>9781606233269</v>
      </c>
      <c r="E2055" t="s">
        <v>30112</v>
      </c>
      <c r="F2055" t="s">
        <v>7420</v>
      </c>
      <c r="G2055" t="s">
        <v>22179</v>
      </c>
      <c r="H2055" t="s">
        <v>26004</v>
      </c>
      <c r="I2055" s="26">
        <v>40035</v>
      </c>
      <c r="J2055">
        <v>2009</v>
      </c>
      <c r="K2055" t="s">
        <v>30113</v>
      </c>
      <c r="L2055">
        <v>240</v>
      </c>
      <c r="M2055" t="s">
        <v>33674</v>
      </c>
      <c r="N2055">
        <v>1</v>
      </c>
      <c r="Q2055" t="s">
        <v>33675</v>
      </c>
      <c r="R2055" t="s">
        <v>33676</v>
      </c>
      <c r="S2055" t="s">
        <v>26636</v>
      </c>
      <c r="T2055" t="s">
        <v>30</v>
      </c>
      <c r="U2055" t="s">
        <v>26019</v>
      </c>
      <c r="W2055" t="s">
        <v>28347</v>
      </c>
    </row>
    <row r="2056" spans="1:23" x14ac:dyDescent="0.35">
      <c r="A2056">
        <v>460413</v>
      </c>
      <c r="B2056" t="s">
        <v>33677</v>
      </c>
      <c r="C2056" t="str">
        <f>"9781606234112"</f>
        <v>9781606234112</v>
      </c>
      <c r="D2056" t="str">
        <f>"9781606234136"</f>
        <v>9781606234136</v>
      </c>
      <c r="E2056" t="s">
        <v>30112</v>
      </c>
      <c r="F2056" t="s">
        <v>7420</v>
      </c>
      <c r="G2056" t="s">
        <v>22179</v>
      </c>
      <c r="H2056" t="s">
        <v>26004</v>
      </c>
      <c r="I2056" s="26">
        <v>40093</v>
      </c>
      <c r="J2056">
        <v>2010</v>
      </c>
      <c r="K2056" t="s">
        <v>30113</v>
      </c>
      <c r="L2056">
        <v>417</v>
      </c>
      <c r="M2056" t="s">
        <v>33678</v>
      </c>
      <c r="N2056">
        <v>1</v>
      </c>
      <c r="Q2056" t="s">
        <v>33679</v>
      </c>
      <c r="R2056">
        <v>150.72</v>
      </c>
      <c r="S2056" t="s">
        <v>33680</v>
      </c>
      <c r="T2056" t="s">
        <v>30</v>
      </c>
      <c r="U2056" t="s">
        <v>46</v>
      </c>
      <c r="W2056" t="s">
        <v>28347</v>
      </c>
    </row>
    <row r="2057" spans="1:23" x14ac:dyDescent="0.35">
      <c r="A2057">
        <v>460414</v>
      </c>
      <c r="B2057" t="s">
        <v>9117</v>
      </c>
      <c r="C2057" t="str">
        <f>"9781606233344"</f>
        <v>9781606233344</v>
      </c>
      <c r="D2057" t="str">
        <f>"9781606233351"</f>
        <v>9781606233351</v>
      </c>
      <c r="E2057" t="s">
        <v>30112</v>
      </c>
      <c r="F2057" t="s">
        <v>7420</v>
      </c>
      <c r="G2057" t="s">
        <v>22179</v>
      </c>
      <c r="H2057" t="s">
        <v>26004</v>
      </c>
      <c r="I2057" s="26">
        <v>40057</v>
      </c>
      <c r="J2057">
        <v>2010</v>
      </c>
      <c r="K2057" t="s">
        <v>30113</v>
      </c>
      <c r="L2057">
        <v>321</v>
      </c>
      <c r="M2057" t="s">
        <v>33681</v>
      </c>
      <c r="N2057">
        <v>1</v>
      </c>
      <c r="Q2057" t="s">
        <v>33682</v>
      </c>
      <c r="R2057">
        <v>370.15230000000003</v>
      </c>
      <c r="S2057" t="s">
        <v>33683</v>
      </c>
      <c r="T2057" t="s">
        <v>30</v>
      </c>
      <c r="U2057" t="s">
        <v>337</v>
      </c>
      <c r="W2057" t="s">
        <v>28347</v>
      </c>
    </row>
    <row r="2058" spans="1:23" x14ac:dyDescent="0.35">
      <c r="A2058">
        <v>461110</v>
      </c>
      <c r="B2058" t="s">
        <v>9268</v>
      </c>
      <c r="C2058" t="str">
        <f>"9780521732468"</f>
        <v>9780521732468</v>
      </c>
      <c r="D2058" t="str">
        <f>"9780511603730"</f>
        <v>9780511603730</v>
      </c>
      <c r="E2058" t="s">
        <v>167</v>
      </c>
      <c r="F2058" t="s">
        <v>167</v>
      </c>
      <c r="G2058" t="s">
        <v>22218</v>
      </c>
      <c r="H2058" t="s">
        <v>26011</v>
      </c>
      <c r="I2058" s="26">
        <v>40052</v>
      </c>
      <c r="J2058">
        <v>2009</v>
      </c>
      <c r="K2058" t="s">
        <v>167</v>
      </c>
      <c r="L2058">
        <v>209</v>
      </c>
      <c r="M2058" t="s">
        <v>33684</v>
      </c>
      <c r="N2058">
        <v>1</v>
      </c>
      <c r="Q2058" t="s">
        <v>33685</v>
      </c>
      <c r="R2058" t="s">
        <v>33686</v>
      </c>
      <c r="S2058" t="s">
        <v>9269</v>
      </c>
      <c r="T2058" t="s">
        <v>30</v>
      </c>
      <c r="U2058" t="s">
        <v>26040</v>
      </c>
      <c r="W2058" t="s">
        <v>26020</v>
      </c>
    </row>
    <row r="2059" spans="1:23" x14ac:dyDescent="0.35">
      <c r="A2059">
        <v>461130</v>
      </c>
      <c r="B2059" t="s">
        <v>33687</v>
      </c>
      <c r="C2059" t="str">
        <f>"9780521880077"</f>
        <v>9780521880077</v>
      </c>
      <c r="D2059" t="str">
        <f>"9780511603341"</f>
        <v>9780511603341</v>
      </c>
      <c r="E2059" t="s">
        <v>167</v>
      </c>
      <c r="F2059" t="s">
        <v>167</v>
      </c>
      <c r="G2059" t="s">
        <v>22218</v>
      </c>
      <c r="H2059" t="s">
        <v>26011</v>
      </c>
      <c r="I2059" s="26">
        <v>39321</v>
      </c>
      <c r="J2059">
        <v>2007</v>
      </c>
      <c r="K2059" t="s">
        <v>167</v>
      </c>
      <c r="L2059">
        <v>230</v>
      </c>
      <c r="M2059" t="s">
        <v>33688</v>
      </c>
      <c r="N2059">
        <v>1</v>
      </c>
      <c r="Q2059" t="s">
        <v>33689</v>
      </c>
      <c r="R2059">
        <v>153.9</v>
      </c>
      <c r="S2059" t="s">
        <v>8895</v>
      </c>
      <c r="T2059" t="s">
        <v>30</v>
      </c>
      <c r="U2059" t="s">
        <v>46</v>
      </c>
      <c r="W2059" t="s">
        <v>26020</v>
      </c>
    </row>
    <row r="2060" spans="1:23" x14ac:dyDescent="0.35">
      <c r="A2060">
        <v>464852</v>
      </c>
      <c r="B2060" t="s">
        <v>9228</v>
      </c>
      <c r="C2060" t="str">
        <f>"9780521862899"</f>
        <v>9780521862899</v>
      </c>
      <c r="D2060" t="str">
        <f>"9780511639180"</f>
        <v>9780511639180</v>
      </c>
      <c r="E2060" t="s">
        <v>167</v>
      </c>
      <c r="F2060" t="s">
        <v>167</v>
      </c>
      <c r="G2060" t="s">
        <v>22218</v>
      </c>
      <c r="H2060" t="s">
        <v>26011</v>
      </c>
      <c r="I2060" s="26">
        <v>40087</v>
      </c>
      <c r="J2060">
        <v>2009</v>
      </c>
      <c r="K2060" t="s">
        <v>167</v>
      </c>
      <c r="L2060">
        <v>469</v>
      </c>
      <c r="M2060" t="s">
        <v>33690</v>
      </c>
      <c r="N2060">
        <v>1</v>
      </c>
      <c r="Q2060" t="s">
        <v>33691</v>
      </c>
      <c r="R2060">
        <v>616.89</v>
      </c>
      <c r="S2060" t="s">
        <v>9229</v>
      </c>
      <c r="T2060" t="s">
        <v>30</v>
      </c>
      <c r="U2060" t="s">
        <v>26019</v>
      </c>
      <c r="W2060" t="s">
        <v>26020</v>
      </c>
    </row>
    <row r="2061" spans="1:23" x14ac:dyDescent="0.35">
      <c r="A2061">
        <v>464909</v>
      </c>
      <c r="B2061" t="s">
        <v>33692</v>
      </c>
      <c r="C2061" t="str">
        <f>"9781606234464"</f>
        <v>9781606234464</v>
      </c>
      <c r="D2061" t="str">
        <f>"9781606234488"</f>
        <v>9781606234488</v>
      </c>
      <c r="E2061" t="s">
        <v>30112</v>
      </c>
      <c r="F2061" t="s">
        <v>7420</v>
      </c>
      <c r="G2061" t="s">
        <v>22179</v>
      </c>
      <c r="H2061" t="s">
        <v>26004</v>
      </c>
      <c r="I2061" s="26">
        <v>40113</v>
      </c>
      <c r="J2061">
        <v>2010</v>
      </c>
      <c r="K2061" t="s">
        <v>30113</v>
      </c>
      <c r="L2061">
        <v>625</v>
      </c>
      <c r="M2061" t="s">
        <v>33693</v>
      </c>
      <c r="N2061">
        <v>1</v>
      </c>
      <c r="Q2061" t="s">
        <v>33694</v>
      </c>
      <c r="R2061">
        <v>616.85260600000004</v>
      </c>
      <c r="S2061" t="s">
        <v>33695</v>
      </c>
      <c r="T2061" t="s">
        <v>30</v>
      </c>
      <c r="U2061" t="s">
        <v>26019</v>
      </c>
      <c r="W2061" t="s">
        <v>28347</v>
      </c>
    </row>
    <row r="2062" spans="1:23" x14ac:dyDescent="0.35">
      <c r="A2062">
        <v>464910</v>
      </c>
      <c r="B2062" t="s">
        <v>33696</v>
      </c>
      <c r="C2062" t="str">
        <f>"9781606234501"</f>
        <v>9781606234501</v>
      </c>
      <c r="D2062" t="str">
        <f>"9781606234525"</f>
        <v>9781606234525</v>
      </c>
      <c r="E2062" t="s">
        <v>30112</v>
      </c>
      <c r="F2062" t="s">
        <v>7420</v>
      </c>
      <c r="G2062" t="s">
        <v>22179</v>
      </c>
      <c r="H2062" t="s">
        <v>26004</v>
      </c>
      <c r="I2062" s="26">
        <v>40113</v>
      </c>
      <c r="J2062">
        <v>2010</v>
      </c>
      <c r="K2062" t="s">
        <v>30113</v>
      </c>
      <c r="L2062">
        <v>479</v>
      </c>
      <c r="M2062" t="s">
        <v>33697</v>
      </c>
      <c r="N2062">
        <v>1</v>
      </c>
      <c r="Q2062" t="s">
        <v>33698</v>
      </c>
      <c r="R2062">
        <v>616.89</v>
      </c>
      <c r="S2062" t="s">
        <v>8072</v>
      </c>
      <c r="T2062" t="s">
        <v>30</v>
      </c>
      <c r="U2062" t="s">
        <v>26019</v>
      </c>
      <c r="W2062" t="s">
        <v>28347</v>
      </c>
    </row>
    <row r="2063" spans="1:23" x14ac:dyDescent="0.35">
      <c r="A2063">
        <v>465079</v>
      </c>
      <c r="B2063" t="s">
        <v>33699</v>
      </c>
      <c r="C2063" t="str">
        <f>"9780761974536"</f>
        <v>9780761974536</v>
      </c>
      <c r="D2063" t="str">
        <f>"9781849208437"</f>
        <v>9781849208437</v>
      </c>
      <c r="E2063" t="s">
        <v>28007</v>
      </c>
      <c r="F2063" t="s">
        <v>7430</v>
      </c>
      <c r="G2063" t="s">
        <v>22174</v>
      </c>
      <c r="H2063" t="s">
        <v>26011</v>
      </c>
      <c r="I2063" s="26">
        <v>37291</v>
      </c>
      <c r="J2063">
        <v>2002</v>
      </c>
      <c r="K2063" t="s">
        <v>7430</v>
      </c>
      <c r="L2063">
        <v>385</v>
      </c>
      <c r="M2063" t="s">
        <v>33700</v>
      </c>
      <c r="N2063">
        <v>18</v>
      </c>
      <c r="O2063" t="s">
        <v>33701</v>
      </c>
      <c r="Q2063" t="s">
        <v>33702</v>
      </c>
      <c r="R2063" t="s">
        <v>33703</v>
      </c>
      <c r="S2063" t="s">
        <v>7736</v>
      </c>
      <c r="T2063" t="s">
        <v>30</v>
      </c>
      <c r="U2063" t="s">
        <v>26044</v>
      </c>
      <c r="W2063" t="s">
        <v>26009</v>
      </c>
    </row>
    <row r="2064" spans="1:23" x14ac:dyDescent="0.35">
      <c r="A2064">
        <v>465080</v>
      </c>
      <c r="B2064" t="s">
        <v>33704</v>
      </c>
      <c r="C2064" t="str">
        <f>"9780761974543"</f>
        <v>9780761974543</v>
      </c>
      <c r="D2064" t="str">
        <f>"9781849208444"</f>
        <v>9781849208444</v>
      </c>
      <c r="E2064" t="s">
        <v>28007</v>
      </c>
      <c r="F2064" t="s">
        <v>7430</v>
      </c>
      <c r="G2064" t="s">
        <v>22174</v>
      </c>
      <c r="H2064" t="s">
        <v>26011</v>
      </c>
      <c r="I2064" s="26">
        <v>37676</v>
      </c>
      <c r="J2064">
        <v>2003</v>
      </c>
      <c r="K2064" t="s">
        <v>7430</v>
      </c>
      <c r="L2064">
        <v>359</v>
      </c>
      <c r="M2064" t="s">
        <v>33705</v>
      </c>
      <c r="N2064">
        <v>19</v>
      </c>
      <c r="O2064" t="s">
        <v>33701</v>
      </c>
      <c r="Q2064">
        <v>2106571</v>
      </c>
      <c r="R2064" t="s">
        <v>33703</v>
      </c>
      <c r="S2064" t="s">
        <v>7735</v>
      </c>
      <c r="T2064" t="s">
        <v>30</v>
      </c>
      <c r="U2064" t="s">
        <v>26044</v>
      </c>
      <c r="W2064" t="s">
        <v>26009</v>
      </c>
    </row>
    <row r="2065" spans="1:23" x14ac:dyDescent="0.35">
      <c r="A2065">
        <v>465084</v>
      </c>
      <c r="B2065" t="s">
        <v>33706</v>
      </c>
      <c r="C2065" t="str">
        <f>"9780761952596"</f>
        <v>9780761952596</v>
      </c>
      <c r="D2065" t="str">
        <f>"9781849208185"</f>
        <v>9781849208185</v>
      </c>
      <c r="E2065" t="s">
        <v>28007</v>
      </c>
      <c r="F2065" t="s">
        <v>7430</v>
      </c>
      <c r="G2065" t="s">
        <v>22174</v>
      </c>
      <c r="H2065" t="s">
        <v>26011</v>
      </c>
      <c r="I2065" s="26">
        <v>36005</v>
      </c>
      <c r="J2065">
        <v>1998</v>
      </c>
      <c r="K2065" t="s">
        <v>7430</v>
      </c>
      <c r="L2065">
        <v>269</v>
      </c>
      <c r="M2065" t="s">
        <v>33707</v>
      </c>
      <c r="N2065">
        <v>1</v>
      </c>
      <c r="Q2065">
        <v>98060527</v>
      </c>
      <c r="R2065">
        <v>153</v>
      </c>
      <c r="S2065" t="s">
        <v>9116</v>
      </c>
      <c r="T2065" t="s">
        <v>30</v>
      </c>
      <c r="U2065" t="s">
        <v>46</v>
      </c>
      <c r="W2065" t="s">
        <v>26009</v>
      </c>
    </row>
    <row r="2066" spans="1:23" x14ac:dyDescent="0.35">
      <c r="A2066">
        <v>465089</v>
      </c>
      <c r="B2066" t="s">
        <v>8962</v>
      </c>
      <c r="C2066" t="str">
        <f>"9780761950622"</f>
        <v>9780761950622</v>
      </c>
      <c r="D2066" t="str">
        <f>"9781849206853"</f>
        <v>9781849206853</v>
      </c>
      <c r="E2066" t="s">
        <v>28007</v>
      </c>
      <c r="F2066" t="s">
        <v>7430</v>
      </c>
      <c r="G2066" t="s">
        <v>22174</v>
      </c>
      <c r="H2066" t="s">
        <v>26011</v>
      </c>
      <c r="I2066" s="26">
        <v>35899</v>
      </c>
      <c r="J2066">
        <v>1998</v>
      </c>
      <c r="K2066" t="s">
        <v>7430</v>
      </c>
      <c r="L2066">
        <v>201</v>
      </c>
      <c r="M2066" t="s">
        <v>33708</v>
      </c>
      <c r="N2066">
        <v>1</v>
      </c>
      <c r="O2066" t="s">
        <v>28068</v>
      </c>
      <c r="Q2066" t="s">
        <v>33709</v>
      </c>
      <c r="R2066">
        <v>361.06</v>
      </c>
      <c r="S2066" t="s">
        <v>8963</v>
      </c>
      <c r="T2066" t="s">
        <v>30</v>
      </c>
      <c r="U2066" t="s">
        <v>26228</v>
      </c>
      <c r="W2066" t="s">
        <v>26009</v>
      </c>
    </row>
    <row r="2067" spans="1:23" x14ac:dyDescent="0.35">
      <c r="A2067">
        <v>465102</v>
      </c>
      <c r="B2067" t="s">
        <v>8679</v>
      </c>
      <c r="C2067" t="str">
        <f>"9780803986695"</f>
        <v>9780803986695</v>
      </c>
      <c r="D2067" t="str">
        <f>"9781849207195"</f>
        <v>9781849207195</v>
      </c>
      <c r="E2067" t="s">
        <v>28007</v>
      </c>
      <c r="F2067" t="s">
        <v>7430</v>
      </c>
      <c r="G2067" t="s">
        <v>22174</v>
      </c>
      <c r="H2067" t="s">
        <v>26011</v>
      </c>
      <c r="I2067" s="26">
        <v>33910</v>
      </c>
      <c r="J2067">
        <v>1992</v>
      </c>
      <c r="K2067" t="s">
        <v>7430</v>
      </c>
      <c r="L2067">
        <v>119</v>
      </c>
      <c r="M2067" t="s">
        <v>33622</v>
      </c>
      <c r="N2067">
        <v>1</v>
      </c>
      <c r="O2067" t="s">
        <v>28009</v>
      </c>
      <c r="R2067">
        <v>616.89</v>
      </c>
      <c r="S2067" t="s">
        <v>7836</v>
      </c>
      <c r="T2067" t="s">
        <v>30</v>
      </c>
      <c r="U2067" t="s">
        <v>26040</v>
      </c>
      <c r="W2067" t="s">
        <v>26009</v>
      </c>
    </row>
    <row r="2068" spans="1:23" x14ac:dyDescent="0.35">
      <c r="A2068">
        <v>465113</v>
      </c>
      <c r="B2068" t="s">
        <v>9862</v>
      </c>
      <c r="C2068" t="str">
        <f>"9781412901802"</f>
        <v>9781412901802</v>
      </c>
      <c r="D2068" t="str">
        <f>"9781849208284"</f>
        <v>9781849208284</v>
      </c>
      <c r="E2068" t="s">
        <v>28007</v>
      </c>
      <c r="F2068" t="s">
        <v>7430</v>
      </c>
      <c r="G2068" t="s">
        <v>22174</v>
      </c>
      <c r="H2068" t="s">
        <v>26011</v>
      </c>
      <c r="I2068" s="26">
        <v>35094</v>
      </c>
      <c r="J2068">
        <v>1996</v>
      </c>
      <c r="K2068" t="s">
        <v>7430</v>
      </c>
      <c r="L2068">
        <v>129</v>
      </c>
      <c r="M2068" t="s">
        <v>33710</v>
      </c>
      <c r="N2068">
        <v>1</v>
      </c>
      <c r="O2068" t="s">
        <v>33711</v>
      </c>
      <c r="Q2068" t="s">
        <v>33712</v>
      </c>
      <c r="R2068">
        <v>158</v>
      </c>
      <c r="S2068" t="s">
        <v>26188</v>
      </c>
      <c r="T2068" t="s">
        <v>30</v>
      </c>
      <c r="U2068" t="s">
        <v>46</v>
      </c>
      <c r="W2068" t="s">
        <v>26009</v>
      </c>
    </row>
    <row r="2069" spans="1:23" x14ac:dyDescent="0.35">
      <c r="A2069">
        <v>465116</v>
      </c>
      <c r="B2069" t="s">
        <v>9390</v>
      </c>
      <c r="C2069" t="str">
        <f>"9780761952916"</f>
        <v>9780761952916</v>
      </c>
      <c r="D2069" t="str">
        <f>"9781849208208"</f>
        <v>9781849208208</v>
      </c>
      <c r="E2069" t="s">
        <v>28007</v>
      </c>
      <c r="F2069" t="s">
        <v>7430</v>
      </c>
      <c r="G2069" t="s">
        <v>22174</v>
      </c>
      <c r="H2069" t="s">
        <v>26011</v>
      </c>
      <c r="I2069" s="26">
        <v>35807</v>
      </c>
      <c r="J2069">
        <v>1998</v>
      </c>
      <c r="K2069" t="s">
        <v>7430</v>
      </c>
      <c r="L2069">
        <v>247</v>
      </c>
      <c r="M2069" t="s">
        <v>28036</v>
      </c>
      <c r="N2069">
        <v>1</v>
      </c>
      <c r="Q2069" t="s">
        <v>33713</v>
      </c>
      <c r="R2069">
        <v>616.89140710000004</v>
      </c>
      <c r="S2069" t="s">
        <v>9391</v>
      </c>
      <c r="T2069" t="s">
        <v>30</v>
      </c>
      <c r="U2069" t="s">
        <v>26116</v>
      </c>
      <c r="W2069" t="s">
        <v>26009</v>
      </c>
    </row>
    <row r="2070" spans="1:23" x14ac:dyDescent="0.35">
      <c r="A2070">
        <v>465127</v>
      </c>
      <c r="B2070" t="s">
        <v>9024</v>
      </c>
      <c r="C2070" t="str">
        <f>"9789290222927"</f>
        <v>9789290222927</v>
      </c>
      <c r="D2070" t="str">
        <f>"9789290223382"</f>
        <v>9789290223382</v>
      </c>
      <c r="E2070" t="s">
        <v>29044</v>
      </c>
      <c r="F2070" t="s">
        <v>9025</v>
      </c>
      <c r="G2070" t="s">
        <v>25709</v>
      </c>
      <c r="H2070" t="s">
        <v>29045</v>
      </c>
      <c r="I2070" s="26">
        <v>39448</v>
      </c>
      <c r="J2070">
        <v>2008</v>
      </c>
      <c r="K2070" t="s">
        <v>33714</v>
      </c>
      <c r="L2070">
        <v>139</v>
      </c>
      <c r="M2070" t="s">
        <v>29044</v>
      </c>
      <c r="N2070">
        <v>1</v>
      </c>
      <c r="O2070" t="s">
        <v>33715</v>
      </c>
      <c r="Q2070" t="s">
        <v>33716</v>
      </c>
      <c r="R2070">
        <v>614</v>
      </c>
      <c r="S2070" t="s">
        <v>33717</v>
      </c>
      <c r="T2070" t="s">
        <v>30</v>
      </c>
      <c r="U2070" t="s">
        <v>33718</v>
      </c>
      <c r="W2070" t="s">
        <v>26009</v>
      </c>
    </row>
    <row r="2071" spans="1:23" x14ac:dyDescent="0.35">
      <c r="A2071">
        <v>465311</v>
      </c>
      <c r="B2071" t="s">
        <v>33719</v>
      </c>
      <c r="C2071" t="str">
        <f>"9780415413282"</f>
        <v>9780415413282</v>
      </c>
      <c r="D2071" t="str">
        <f>"9780203854280"</f>
        <v>9780203854280</v>
      </c>
      <c r="E2071" t="s">
        <v>26010</v>
      </c>
      <c r="F2071" t="s">
        <v>35</v>
      </c>
      <c r="G2071" t="s">
        <v>26201</v>
      </c>
      <c r="H2071" t="s">
        <v>26004</v>
      </c>
      <c r="I2071" s="26">
        <v>40109</v>
      </c>
      <c r="J2071">
        <v>2010</v>
      </c>
      <c r="K2071" t="s">
        <v>26012</v>
      </c>
      <c r="L2071">
        <v>372</v>
      </c>
      <c r="M2071" t="s">
        <v>33720</v>
      </c>
      <c r="N2071">
        <v>1</v>
      </c>
      <c r="O2071" t="s">
        <v>33721</v>
      </c>
      <c r="Q2071" t="s">
        <v>33722</v>
      </c>
      <c r="R2071" t="s">
        <v>27649</v>
      </c>
      <c r="S2071" t="s">
        <v>33723</v>
      </c>
      <c r="T2071" t="s">
        <v>30</v>
      </c>
      <c r="U2071" t="s">
        <v>29704</v>
      </c>
      <c r="W2071" t="s">
        <v>26009</v>
      </c>
    </row>
    <row r="2072" spans="1:23" x14ac:dyDescent="0.35">
      <c r="A2072">
        <v>465335</v>
      </c>
      <c r="B2072" t="s">
        <v>33724</v>
      </c>
      <c r="C2072" t="str">
        <f>"9780415468886"</f>
        <v>9780415468886</v>
      </c>
      <c r="D2072" t="str">
        <f>"9780203864982"</f>
        <v>9780203864982</v>
      </c>
      <c r="E2072" t="s">
        <v>26010</v>
      </c>
      <c r="F2072" t="s">
        <v>35</v>
      </c>
      <c r="G2072" t="s">
        <v>26201</v>
      </c>
      <c r="H2072" t="s">
        <v>26004</v>
      </c>
      <c r="I2072" s="26">
        <v>40151</v>
      </c>
      <c r="J2072">
        <v>2010</v>
      </c>
      <c r="K2072" t="s">
        <v>26012</v>
      </c>
      <c r="L2072">
        <v>232</v>
      </c>
      <c r="M2072" t="s">
        <v>33725</v>
      </c>
      <c r="N2072">
        <v>1</v>
      </c>
      <c r="Q2072" t="s">
        <v>33726</v>
      </c>
      <c r="R2072">
        <v>305.23099999999999</v>
      </c>
      <c r="S2072" t="s">
        <v>33727</v>
      </c>
      <c r="T2072" t="s">
        <v>30</v>
      </c>
      <c r="U2072" t="s">
        <v>26044</v>
      </c>
      <c r="W2072" t="s">
        <v>26009</v>
      </c>
    </row>
    <row r="2073" spans="1:23" x14ac:dyDescent="0.35">
      <c r="A2073">
        <v>465358</v>
      </c>
      <c r="B2073" t="s">
        <v>33728</v>
      </c>
      <c r="C2073" t="str">
        <f>"9781841695945"</f>
        <v>9781841695945</v>
      </c>
      <c r="D2073" t="str">
        <f>"9780203865552"</f>
        <v>9780203865552</v>
      </c>
      <c r="E2073" t="s">
        <v>26010</v>
      </c>
      <c r="F2073" t="s">
        <v>35</v>
      </c>
      <c r="G2073" t="s">
        <v>22174</v>
      </c>
      <c r="H2073" t="s">
        <v>26004</v>
      </c>
      <c r="I2073" s="26">
        <v>40200</v>
      </c>
      <c r="J2073">
        <v>2010</v>
      </c>
      <c r="K2073" t="s">
        <v>660</v>
      </c>
      <c r="L2073">
        <v>425</v>
      </c>
      <c r="M2073" t="s">
        <v>33729</v>
      </c>
      <c r="N2073">
        <v>1</v>
      </c>
      <c r="Q2073" t="s">
        <v>33730</v>
      </c>
      <c r="R2073">
        <v>302.13</v>
      </c>
      <c r="S2073" t="s">
        <v>33731</v>
      </c>
      <c r="T2073" t="s">
        <v>30</v>
      </c>
      <c r="U2073" t="s">
        <v>26044</v>
      </c>
      <c r="W2073" t="s">
        <v>26009</v>
      </c>
    </row>
    <row r="2074" spans="1:23" x14ac:dyDescent="0.35">
      <c r="A2074">
        <v>465370</v>
      </c>
      <c r="B2074" t="s">
        <v>10163</v>
      </c>
      <c r="C2074" t="str">
        <f>"9780415800556"</f>
        <v>9780415800556</v>
      </c>
      <c r="D2074" t="str">
        <f>"9780203869802"</f>
        <v>9780203869802</v>
      </c>
      <c r="E2074" t="s">
        <v>26010</v>
      </c>
      <c r="F2074" t="s">
        <v>35</v>
      </c>
      <c r="G2074" t="s">
        <v>22174</v>
      </c>
      <c r="H2074" t="s">
        <v>26011</v>
      </c>
      <c r="I2074" s="26">
        <v>40155</v>
      </c>
      <c r="J2074">
        <v>2010</v>
      </c>
      <c r="K2074" t="s">
        <v>26012</v>
      </c>
      <c r="L2074">
        <v>325</v>
      </c>
      <c r="M2074" t="s">
        <v>33732</v>
      </c>
      <c r="N2074">
        <v>1</v>
      </c>
      <c r="O2074" t="s">
        <v>33498</v>
      </c>
      <c r="Q2074" t="s">
        <v>33733</v>
      </c>
      <c r="R2074" t="s">
        <v>33734</v>
      </c>
      <c r="S2074" t="s">
        <v>10164</v>
      </c>
      <c r="T2074" t="s">
        <v>30</v>
      </c>
      <c r="U2074" t="s">
        <v>26044</v>
      </c>
      <c r="W2074" t="s">
        <v>26009</v>
      </c>
    </row>
    <row r="2075" spans="1:23" x14ac:dyDescent="0.35">
      <c r="A2075">
        <v>465421</v>
      </c>
      <c r="B2075" t="s">
        <v>8074</v>
      </c>
      <c r="C2075" t="str">
        <f>"9781841697277"</f>
        <v>9781841697277</v>
      </c>
      <c r="D2075" t="str">
        <f>"9780203869611"</f>
        <v>9780203869611</v>
      </c>
      <c r="E2075" t="s">
        <v>26010</v>
      </c>
      <c r="F2075" t="s">
        <v>35</v>
      </c>
      <c r="G2075" t="s">
        <v>22174</v>
      </c>
      <c r="H2075" t="s">
        <v>26004</v>
      </c>
      <c r="I2075" s="26">
        <v>40142</v>
      </c>
      <c r="J2075">
        <v>2010</v>
      </c>
      <c r="K2075" t="s">
        <v>660</v>
      </c>
      <c r="L2075">
        <v>277</v>
      </c>
      <c r="M2075" t="s">
        <v>33735</v>
      </c>
      <c r="N2075">
        <v>1</v>
      </c>
      <c r="O2075" t="s">
        <v>33736</v>
      </c>
      <c r="Q2075" t="s">
        <v>33737</v>
      </c>
      <c r="R2075">
        <v>153.12</v>
      </c>
      <c r="S2075" t="s">
        <v>33738</v>
      </c>
      <c r="T2075" t="s">
        <v>30</v>
      </c>
      <c r="U2075" t="s">
        <v>46</v>
      </c>
      <c r="W2075" t="s">
        <v>26009</v>
      </c>
    </row>
    <row r="2076" spans="1:23" x14ac:dyDescent="0.35">
      <c r="A2076">
        <v>465497</v>
      </c>
      <c r="B2076" t="s">
        <v>33739</v>
      </c>
      <c r="C2076" t="str">
        <f>"9780415450409"</f>
        <v>9780415450409</v>
      </c>
      <c r="D2076" t="str">
        <f>"9780203864975"</f>
        <v>9780203864975</v>
      </c>
      <c r="E2076" t="s">
        <v>26010</v>
      </c>
      <c r="F2076" t="s">
        <v>35</v>
      </c>
      <c r="G2076" t="s">
        <v>22174</v>
      </c>
      <c r="H2076" t="s">
        <v>26011</v>
      </c>
      <c r="I2076" s="26">
        <v>40150</v>
      </c>
      <c r="J2076">
        <v>2010</v>
      </c>
      <c r="K2076" t="s">
        <v>26012</v>
      </c>
      <c r="L2076">
        <v>256</v>
      </c>
      <c r="M2076" t="s">
        <v>33740</v>
      </c>
      <c r="N2076">
        <v>1</v>
      </c>
      <c r="Q2076" t="s">
        <v>33741</v>
      </c>
      <c r="R2076" t="s">
        <v>33742</v>
      </c>
      <c r="S2076" t="s">
        <v>7938</v>
      </c>
      <c r="T2076" t="s">
        <v>30</v>
      </c>
      <c r="U2076" t="s">
        <v>30031</v>
      </c>
      <c r="W2076" t="s">
        <v>26159</v>
      </c>
    </row>
    <row r="2077" spans="1:23" x14ac:dyDescent="0.35">
      <c r="A2077">
        <v>465650</v>
      </c>
      <c r="B2077" t="s">
        <v>9512</v>
      </c>
      <c r="C2077" t="str">
        <f>"9781606234624"</f>
        <v>9781606234624</v>
      </c>
      <c r="D2077" t="str">
        <f>"9781606234792"</f>
        <v>9781606234792</v>
      </c>
      <c r="E2077" t="s">
        <v>30112</v>
      </c>
      <c r="F2077" t="s">
        <v>7420</v>
      </c>
      <c r="G2077" t="s">
        <v>22179</v>
      </c>
      <c r="H2077" t="s">
        <v>26004</v>
      </c>
      <c r="I2077" s="26">
        <v>40167</v>
      </c>
      <c r="J2077">
        <v>2010</v>
      </c>
      <c r="K2077" t="s">
        <v>30113</v>
      </c>
      <c r="L2077">
        <v>193</v>
      </c>
      <c r="M2077" t="s">
        <v>33743</v>
      </c>
      <c r="N2077">
        <v>1</v>
      </c>
      <c r="Q2077" t="s">
        <v>33744</v>
      </c>
      <c r="R2077" t="s">
        <v>26888</v>
      </c>
      <c r="S2077" t="s">
        <v>33745</v>
      </c>
      <c r="T2077" t="s">
        <v>30</v>
      </c>
      <c r="U2077" t="s">
        <v>46</v>
      </c>
      <c r="W2077" t="s">
        <v>28347</v>
      </c>
    </row>
    <row r="2078" spans="1:23" x14ac:dyDescent="0.35">
      <c r="A2078">
        <v>465656</v>
      </c>
      <c r="B2078" t="s">
        <v>9122</v>
      </c>
      <c r="C2078" t="str">
        <f>"9781606230404"</f>
        <v>9781606230404</v>
      </c>
      <c r="D2078" t="str">
        <f>"9781606230992"</f>
        <v>9781606230992</v>
      </c>
      <c r="E2078" t="s">
        <v>30112</v>
      </c>
      <c r="F2078" t="s">
        <v>7420</v>
      </c>
      <c r="G2078" t="s">
        <v>22179</v>
      </c>
      <c r="H2078" t="s">
        <v>26004</v>
      </c>
      <c r="I2078" s="26">
        <v>39822</v>
      </c>
      <c r="J2078">
        <v>2009</v>
      </c>
      <c r="K2078" t="s">
        <v>30113</v>
      </c>
      <c r="L2078">
        <v>371</v>
      </c>
      <c r="M2078" t="s">
        <v>33746</v>
      </c>
      <c r="N2078">
        <v>1</v>
      </c>
      <c r="Q2078" t="s">
        <v>30377</v>
      </c>
      <c r="R2078" t="s">
        <v>28874</v>
      </c>
      <c r="S2078" t="s">
        <v>33747</v>
      </c>
      <c r="T2078" t="s">
        <v>30</v>
      </c>
      <c r="U2078" t="s">
        <v>33748</v>
      </c>
      <c r="W2078" t="s">
        <v>28347</v>
      </c>
    </row>
    <row r="2079" spans="1:23" x14ac:dyDescent="0.35">
      <c r="A2079">
        <v>465657</v>
      </c>
      <c r="B2079" t="s">
        <v>33749</v>
      </c>
      <c r="C2079" t="str">
        <f>"9781606233474"</f>
        <v>9781606233474</v>
      </c>
      <c r="D2079" t="str">
        <f>"9781606233481"</f>
        <v>9781606233481</v>
      </c>
      <c r="E2079" t="s">
        <v>30112</v>
      </c>
      <c r="F2079" t="s">
        <v>7420</v>
      </c>
      <c r="G2079" t="s">
        <v>22179</v>
      </c>
      <c r="H2079" t="s">
        <v>26004</v>
      </c>
      <c r="I2079" s="26">
        <v>40123</v>
      </c>
      <c r="J2079">
        <v>2010</v>
      </c>
      <c r="K2079" t="s">
        <v>30113</v>
      </c>
      <c r="L2079">
        <v>545</v>
      </c>
      <c r="M2079" t="s">
        <v>33750</v>
      </c>
      <c r="N2079">
        <v>2</v>
      </c>
      <c r="Q2079" t="s">
        <v>33751</v>
      </c>
      <c r="R2079" t="s">
        <v>27855</v>
      </c>
      <c r="S2079" t="s">
        <v>33752</v>
      </c>
      <c r="T2079" t="s">
        <v>30</v>
      </c>
      <c r="U2079" t="s">
        <v>26116</v>
      </c>
      <c r="W2079" t="s">
        <v>28347</v>
      </c>
    </row>
    <row r="2080" spans="1:23" x14ac:dyDescent="0.35">
      <c r="A2080">
        <v>465664</v>
      </c>
      <c r="B2080" t="s">
        <v>8578</v>
      </c>
      <c r="C2080" t="str">
        <f>"9781606234884"</f>
        <v>9781606234884</v>
      </c>
      <c r="D2080" t="str">
        <f>"9781606234907"</f>
        <v>9781606234907</v>
      </c>
      <c r="E2080" t="s">
        <v>30112</v>
      </c>
      <c r="F2080" t="s">
        <v>7420</v>
      </c>
      <c r="G2080" t="s">
        <v>22179</v>
      </c>
      <c r="H2080" t="s">
        <v>26004</v>
      </c>
      <c r="I2080" s="26">
        <v>40182</v>
      </c>
      <c r="J2080">
        <v>2010</v>
      </c>
      <c r="K2080" t="s">
        <v>30113</v>
      </c>
      <c r="L2080">
        <v>561</v>
      </c>
      <c r="M2080" t="s">
        <v>33753</v>
      </c>
      <c r="N2080">
        <v>1</v>
      </c>
      <c r="Q2080" t="s">
        <v>33754</v>
      </c>
      <c r="R2080" t="s">
        <v>27838</v>
      </c>
      <c r="S2080" t="s">
        <v>33755</v>
      </c>
      <c r="T2080" t="s">
        <v>30</v>
      </c>
      <c r="U2080" t="s">
        <v>46</v>
      </c>
      <c r="W2080" t="s">
        <v>28347</v>
      </c>
    </row>
    <row r="2081" spans="1:23" x14ac:dyDescent="0.35">
      <c r="A2081">
        <v>465665</v>
      </c>
      <c r="B2081" t="s">
        <v>33756</v>
      </c>
      <c r="C2081" t="str">
        <f>"9781606234563"</f>
        <v>9781606234563</v>
      </c>
      <c r="D2081" t="str">
        <f>"9781606234587"</f>
        <v>9781606234587</v>
      </c>
      <c r="E2081" t="s">
        <v>30112</v>
      </c>
      <c r="F2081" t="s">
        <v>7420</v>
      </c>
      <c r="G2081" t="s">
        <v>22179</v>
      </c>
      <c r="H2081" t="s">
        <v>26004</v>
      </c>
      <c r="I2081" s="26">
        <v>40125</v>
      </c>
      <c r="J2081">
        <v>2010</v>
      </c>
      <c r="K2081" t="s">
        <v>30113</v>
      </c>
      <c r="L2081">
        <v>369</v>
      </c>
      <c r="M2081" t="s">
        <v>33757</v>
      </c>
      <c r="N2081">
        <v>1</v>
      </c>
      <c r="Q2081" t="s">
        <v>33758</v>
      </c>
      <c r="R2081" t="s">
        <v>33759</v>
      </c>
      <c r="S2081" t="s">
        <v>33760</v>
      </c>
      <c r="T2081" t="s">
        <v>30</v>
      </c>
      <c r="U2081" t="s">
        <v>46</v>
      </c>
      <c r="W2081" t="s">
        <v>28347</v>
      </c>
    </row>
    <row r="2082" spans="1:23" x14ac:dyDescent="0.35">
      <c r="A2082">
        <v>465754</v>
      </c>
      <c r="B2082" t="s">
        <v>33761</v>
      </c>
      <c r="C2082" t="str">
        <f>"9781843109389"</f>
        <v>9781843109389</v>
      </c>
      <c r="D2082" t="str">
        <f>"9781846429385"</f>
        <v>9781846429385</v>
      </c>
      <c r="E2082" t="s">
        <v>146</v>
      </c>
      <c r="F2082" t="s">
        <v>146</v>
      </c>
      <c r="G2082" t="s">
        <v>22174</v>
      </c>
      <c r="H2082" t="s">
        <v>26011</v>
      </c>
      <c r="I2082" s="26">
        <v>39918</v>
      </c>
      <c r="J2082">
        <v>2009</v>
      </c>
      <c r="K2082" t="s">
        <v>146</v>
      </c>
      <c r="L2082">
        <v>353</v>
      </c>
      <c r="M2082" t="s">
        <v>33762</v>
      </c>
      <c r="N2082">
        <v>1</v>
      </c>
      <c r="O2082" t="s">
        <v>33763</v>
      </c>
      <c r="Q2082" t="s">
        <v>33764</v>
      </c>
      <c r="S2082" t="s">
        <v>33765</v>
      </c>
      <c r="T2082" t="s">
        <v>30</v>
      </c>
      <c r="U2082" t="s">
        <v>26044</v>
      </c>
      <c r="W2082" t="s">
        <v>28347</v>
      </c>
    </row>
    <row r="2083" spans="1:23" x14ac:dyDescent="0.35">
      <c r="A2083">
        <v>465774</v>
      </c>
      <c r="B2083" t="s">
        <v>33766</v>
      </c>
      <c r="C2083" t="str">
        <f>"9781843109754"</f>
        <v>9781843109754</v>
      </c>
      <c r="D2083" t="str">
        <f>"9781846429620"</f>
        <v>9781846429620</v>
      </c>
      <c r="E2083" t="s">
        <v>146</v>
      </c>
      <c r="F2083" t="s">
        <v>146</v>
      </c>
      <c r="G2083" t="s">
        <v>22174</v>
      </c>
      <c r="H2083" t="s">
        <v>26011</v>
      </c>
      <c r="I2083" s="26">
        <v>40009</v>
      </c>
      <c r="J2083">
        <v>2009</v>
      </c>
      <c r="K2083" t="s">
        <v>146</v>
      </c>
      <c r="L2083">
        <v>164</v>
      </c>
      <c r="M2083" t="s">
        <v>33767</v>
      </c>
      <c r="N2083">
        <v>1</v>
      </c>
      <c r="Q2083" t="s">
        <v>33768</v>
      </c>
      <c r="R2083" t="s">
        <v>33769</v>
      </c>
      <c r="S2083" t="s">
        <v>33770</v>
      </c>
      <c r="T2083" t="s">
        <v>30</v>
      </c>
      <c r="U2083" t="s">
        <v>337</v>
      </c>
      <c r="W2083" t="s">
        <v>28347</v>
      </c>
    </row>
    <row r="2084" spans="1:23" x14ac:dyDescent="0.35">
      <c r="A2084">
        <v>465778</v>
      </c>
      <c r="B2084" t="s">
        <v>33771</v>
      </c>
      <c r="C2084" t="str">
        <f>"9781849050319"</f>
        <v>9781849050319</v>
      </c>
      <c r="D2084" t="str">
        <f>"9780857001894"</f>
        <v>9780857001894</v>
      </c>
      <c r="E2084" t="s">
        <v>146</v>
      </c>
      <c r="F2084" t="s">
        <v>146</v>
      </c>
      <c r="G2084" t="s">
        <v>22174</v>
      </c>
      <c r="H2084" t="s">
        <v>26011</v>
      </c>
      <c r="I2084" s="26">
        <v>40040</v>
      </c>
      <c r="J2084">
        <v>2009</v>
      </c>
      <c r="K2084" t="s">
        <v>146</v>
      </c>
      <c r="L2084">
        <v>272</v>
      </c>
      <c r="M2084" t="s">
        <v>33772</v>
      </c>
      <c r="N2084">
        <v>1</v>
      </c>
      <c r="Q2084" t="s">
        <v>33773</v>
      </c>
      <c r="T2084" t="s">
        <v>30</v>
      </c>
      <c r="U2084" t="s">
        <v>26116</v>
      </c>
      <c r="W2084" t="s">
        <v>28347</v>
      </c>
    </row>
    <row r="2085" spans="1:23" x14ac:dyDescent="0.35">
      <c r="A2085">
        <v>465780</v>
      </c>
      <c r="B2085" t="s">
        <v>33774</v>
      </c>
      <c r="C2085" t="str">
        <f>"9781849050234"</f>
        <v>9781849050234</v>
      </c>
      <c r="D2085" t="str">
        <f>"9781846429507"</f>
        <v>9781846429507</v>
      </c>
      <c r="E2085" t="s">
        <v>146</v>
      </c>
      <c r="F2085" t="s">
        <v>146</v>
      </c>
      <c r="G2085" t="s">
        <v>22174</v>
      </c>
      <c r="H2085" t="s">
        <v>26011</v>
      </c>
      <c r="I2085" s="26">
        <v>39948</v>
      </c>
      <c r="J2085">
        <v>2009</v>
      </c>
      <c r="K2085" t="s">
        <v>146</v>
      </c>
      <c r="L2085">
        <v>260</v>
      </c>
      <c r="M2085" t="s">
        <v>33775</v>
      </c>
      <c r="N2085">
        <v>1</v>
      </c>
      <c r="Q2085" t="s">
        <v>33776</v>
      </c>
      <c r="S2085" t="s">
        <v>33777</v>
      </c>
      <c r="T2085" t="s">
        <v>30</v>
      </c>
      <c r="U2085" t="s">
        <v>26019</v>
      </c>
      <c r="W2085" t="s">
        <v>28347</v>
      </c>
    </row>
    <row r="2086" spans="1:23" x14ac:dyDescent="0.35">
      <c r="A2086">
        <v>465789</v>
      </c>
      <c r="B2086" t="s">
        <v>33778</v>
      </c>
      <c r="C2086" t="str">
        <f>"9781843106661"</f>
        <v>9781843106661</v>
      </c>
      <c r="D2086" t="str">
        <f>"9780857001917"</f>
        <v>9780857001917</v>
      </c>
      <c r="E2086" t="s">
        <v>146</v>
      </c>
      <c r="F2086" t="s">
        <v>146</v>
      </c>
      <c r="G2086" t="s">
        <v>22174</v>
      </c>
      <c r="H2086" t="s">
        <v>26011</v>
      </c>
      <c r="I2086" s="26">
        <v>40040</v>
      </c>
      <c r="J2086">
        <v>2009</v>
      </c>
      <c r="K2086" t="s">
        <v>146</v>
      </c>
      <c r="L2086">
        <v>155</v>
      </c>
      <c r="M2086" t="s">
        <v>33779</v>
      </c>
      <c r="N2086">
        <v>1</v>
      </c>
      <c r="Q2086" t="s">
        <v>33780</v>
      </c>
      <c r="T2086" t="s">
        <v>30</v>
      </c>
      <c r="U2086" t="s">
        <v>26116</v>
      </c>
      <c r="W2086" t="s">
        <v>28347</v>
      </c>
    </row>
    <row r="2087" spans="1:23" x14ac:dyDescent="0.35">
      <c r="A2087">
        <v>465799</v>
      </c>
      <c r="B2087" t="s">
        <v>33781</v>
      </c>
      <c r="C2087" t="str">
        <f>"9781849050166"</f>
        <v>9781849050166</v>
      </c>
      <c r="D2087" t="str">
        <f>"9781846429521"</f>
        <v>9781846429521</v>
      </c>
      <c r="E2087" t="s">
        <v>146</v>
      </c>
      <c r="F2087" t="s">
        <v>146</v>
      </c>
      <c r="G2087" t="s">
        <v>22174</v>
      </c>
      <c r="H2087" t="s">
        <v>26011</v>
      </c>
      <c r="I2087" s="26">
        <v>39979</v>
      </c>
      <c r="J2087">
        <v>2009</v>
      </c>
      <c r="K2087" t="s">
        <v>146</v>
      </c>
      <c r="L2087">
        <v>130</v>
      </c>
      <c r="M2087" t="s">
        <v>33782</v>
      </c>
      <c r="N2087">
        <v>1</v>
      </c>
      <c r="Q2087" t="s">
        <v>33783</v>
      </c>
      <c r="R2087">
        <v>362.19680799999998</v>
      </c>
      <c r="S2087" t="s">
        <v>33784</v>
      </c>
      <c r="T2087" t="s">
        <v>30</v>
      </c>
      <c r="U2087" t="s">
        <v>26094</v>
      </c>
      <c r="W2087" t="s">
        <v>28347</v>
      </c>
    </row>
    <row r="2088" spans="1:23" x14ac:dyDescent="0.35">
      <c r="A2088">
        <v>465800</v>
      </c>
      <c r="B2088" t="s">
        <v>33785</v>
      </c>
      <c r="C2088" t="str">
        <f>"9781843109815"</f>
        <v>9781843109815</v>
      </c>
      <c r="D2088" t="str">
        <f>"9780857000873"</f>
        <v>9780857000873</v>
      </c>
      <c r="E2088" t="s">
        <v>146</v>
      </c>
      <c r="F2088" t="s">
        <v>146</v>
      </c>
      <c r="G2088" t="s">
        <v>22174</v>
      </c>
      <c r="H2088" t="s">
        <v>26011</v>
      </c>
      <c r="I2088" s="26">
        <v>40071</v>
      </c>
      <c r="J2088">
        <v>2009</v>
      </c>
      <c r="K2088" t="s">
        <v>146</v>
      </c>
      <c r="L2088">
        <v>226</v>
      </c>
      <c r="M2088" t="s">
        <v>33786</v>
      </c>
      <c r="N2088">
        <v>1</v>
      </c>
      <c r="Q2088" t="s">
        <v>33787</v>
      </c>
      <c r="R2088">
        <v>364.6</v>
      </c>
      <c r="S2088" t="s">
        <v>33788</v>
      </c>
      <c r="T2088" t="s">
        <v>30</v>
      </c>
      <c r="U2088" t="s">
        <v>26044</v>
      </c>
      <c r="W2088" t="s">
        <v>28347</v>
      </c>
    </row>
    <row r="2089" spans="1:23" x14ac:dyDescent="0.35">
      <c r="A2089">
        <v>465802</v>
      </c>
      <c r="B2089" t="s">
        <v>33789</v>
      </c>
      <c r="C2089" t="str">
        <f>"9781843106548"</f>
        <v>9781843106548</v>
      </c>
      <c r="D2089" t="str">
        <f>"9781846429637"</f>
        <v>9781846429637</v>
      </c>
      <c r="E2089" t="s">
        <v>146</v>
      </c>
      <c r="F2089" t="s">
        <v>146</v>
      </c>
      <c r="G2089" t="s">
        <v>22174</v>
      </c>
      <c r="H2089" t="s">
        <v>26011</v>
      </c>
      <c r="I2089" s="26">
        <v>40009</v>
      </c>
      <c r="J2089">
        <v>2009</v>
      </c>
      <c r="K2089" t="s">
        <v>146</v>
      </c>
      <c r="L2089">
        <v>274</v>
      </c>
      <c r="M2089" t="s">
        <v>33790</v>
      </c>
      <c r="N2089">
        <v>1</v>
      </c>
      <c r="Q2089" t="s">
        <v>33791</v>
      </c>
      <c r="R2089" t="s">
        <v>29454</v>
      </c>
      <c r="S2089" t="s">
        <v>33792</v>
      </c>
      <c r="T2089" t="s">
        <v>30</v>
      </c>
      <c r="U2089" t="s">
        <v>26116</v>
      </c>
      <c r="W2089" t="s">
        <v>28347</v>
      </c>
    </row>
    <row r="2090" spans="1:23" x14ac:dyDescent="0.35">
      <c r="A2090">
        <v>465809</v>
      </c>
      <c r="B2090" t="s">
        <v>33793</v>
      </c>
      <c r="C2090" t="str">
        <f>"9781849050388"</f>
        <v>9781849050388</v>
      </c>
      <c r="D2090" t="str">
        <f>"9780857001849"</f>
        <v>9780857001849</v>
      </c>
      <c r="E2090" t="s">
        <v>146</v>
      </c>
      <c r="F2090" t="s">
        <v>146</v>
      </c>
      <c r="G2090" t="s">
        <v>22174</v>
      </c>
      <c r="H2090" t="s">
        <v>26011</v>
      </c>
      <c r="I2090" s="26">
        <v>40071</v>
      </c>
      <c r="J2090">
        <v>2009</v>
      </c>
      <c r="K2090" t="s">
        <v>146</v>
      </c>
      <c r="L2090">
        <v>179</v>
      </c>
      <c r="M2090" t="s">
        <v>33794</v>
      </c>
      <c r="N2090">
        <v>1</v>
      </c>
      <c r="Q2090" t="s">
        <v>33795</v>
      </c>
      <c r="R2090" t="s">
        <v>28378</v>
      </c>
      <c r="S2090" t="s">
        <v>30561</v>
      </c>
      <c r="T2090" t="s">
        <v>30</v>
      </c>
      <c r="U2090" t="s">
        <v>26019</v>
      </c>
      <c r="W2090" t="s">
        <v>28347</v>
      </c>
    </row>
    <row r="2091" spans="1:23" x14ac:dyDescent="0.35">
      <c r="A2091">
        <v>465811</v>
      </c>
      <c r="B2091" t="s">
        <v>33796</v>
      </c>
      <c r="C2091" t="str">
        <f>"9781843109747"</f>
        <v>9781843109747</v>
      </c>
      <c r="D2091" t="str">
        <f>"9781846429194"</f>
        <v>9781846429194</v>
      </c>
      <c r="E2091" t="s">
        <v>146</v>
      </c>
      <c r="F2091" t="s">
        <v>146</v>
      </c>
      <c r="G2091" t="s">
        <v>22174</v>
      </c>
      <c r="H2091" t="s">
        <v>26011</v>
      </c>
      <c r="I2091" s="26">
        <v>39859</v>
      </c>
      <c r="J2091">
        <v>2009</v>
      </c>
      <c r="K2091" t="s">
        <v>146</v>
      </c>
      <c r="L2091">
        <v>340</v>
      </c>
      <c r="M2091" t="s">
        <v>33797</v>
      </c>
      <c r="N2091">
        <v>1</v>
      </c>
      <c r="Q2091" t="s">
        <v>33798</v>
      </c>
      <c r="R2091" t="s">
        <v>29789</v>
      </c>
      <c r="T2091" t="s">
        <v>30</v>
      </c>
      <c r="U2091" t="s">
        <v>26116</v>
      </c>
      <c r="W2091" t="s">
        <v>28347</v>
      </c>
    </row>
    <row r="2092" spans="1:23" x14ac:dyDescent="0.35">
      <c r="A2092">
        <v>465818</v>
      </c>
      <c r="B2092" t="s">
        <v>33799</v>
      </c>
      <c r="C2092" t="str">
        <f>"9781843106944"</f>
        <v>9781843106944</v>
      </c>
      <c r="D2092" t="str">
        <f>"9781846429361"</f>
        <v>9781846429361</v>
      </c>
      <c r="E2092" t="s">
        <v>146</v>
      </c>
      <c r="F2092" t="s">
        <v>146</v>
      </c>
      <c r="G2092" t="s">
        <v>22174</v>
      </c>
      <c r="H2092" t="s">
        <v>26011</v>
      </c>
      <c r="I2092" s="26">
        <v>39918</v>
      </c>
      <c r="J2092">
        <v>2009</v>
      </c>
      <c r="K2092" t="s">
        <v>146</v>
      </c>
      <c r="L2092">
        <v>260</v>
      </c>
      <c r="M2092" t="s">
        <v>33800</v>
      </c>
      <c r="N2092">
        <v>1</v>
      </c>
      <c r="R2092" t="s">
        <v>29251</v>
      </c>
      <c r="S2092" t="s">
        <v>33801</v>
      </c>
      <c r="T2092" t="s">
        <v>30</v>
      </c>
      <c r="U2092" t="s">
        <v>26040</v>
      </c>
      <c r="W2092" t="s">
        <v>28347</v>
      </c>
    </row>
    <row r="2093" spans="1:23" x14ac:dyDescent="0.35">
      <c r="A2093">
        <v>466797</v>
      </c>
      <c r="B2093" t="s">
        <v>33802</v>
      </c>
      <c r="C2093" t="str">
        <f>"9780742564251"</f>
        <v>9780742564251</v>
      </c>
      <c r="D2093" t="str">
        <f>"9780742566125"</f>
        <v>9780742566125</v>
      </c>
      <c r="E2093" t="s">
        <v>33803</v>
      </c>
      <c r="F2093" t="s">
        <v>38</v>
      </c>
      <c r="G2093" t="s">
        <v>33804</v>
      </c>
      <c r="H2093" t="s">
        <v>26004</v>
      </c>
      <c r="I2093" s="26">
        <v>39888</v>
      </c>
      <c r="J2093">
        <v>2009</v>
      </c>
      <c r="K2093" t="s">
        <v>38</v>
      </c>
      <c r="L2093">
        <v>181</v>
      </c>
      <c r="M2093" t="s">
        <v>33805</v>
      </c>
      <c r="N2093">
        <v>1</v>
      </c>
      <c r="Q2093" t="s">
        <v>33806</v>
      </c>
      <c r="R2093" t="s">
        <v>33807</v>
      </c>
      <c r="S2093" t="s">
        <v>33808</v>
      </c>
      <c r="T2093" t="s">
        <v>30</v>
      </c>
      <c r="U2093" t="s">
        <v>26044</v>
      </c>
      <c r="W2093" t="s">
        <v>26009</v>
      </c>
    </row>
    <row r="2094" spans="1:23" x14ac:dyDescent="0.35">
      <c r="A2094">
        <v>467114</v>
      </c>
      <c r="B2094" t="s">
        <v>33809</v>
      </c>
      <c r="C2094" t="str">
        <f>"9780765706348"</f>
        <v>9780765706348</v>
      </c>
      <c r="D2094" t="str">
        <f>"9780765706355"</f>
        <v>9780765706355</v>
      </c>
      <c r="E2094" t="s">
        <v>33803</v>
      </c>
      <c r="F2094" t="s">
        <v>38</v>
      </c>
      <c r="G2094" t="s">
        <v>33810</v>
      </c>
      <c r="H2094" t="s">
        <v>26004</v>
      </c>
      <c r="I2094" s="26">
        <v>39798</v>
      </c>
      <c r="J2094">
        <v>2010</v>
      </c>
      <c r="K2094" t="s">
        <v>33811</v>
      </c>
      <c r="L2094">
        <v>287</v>
      </c>
      <c r="M2094" t="s">
        <v>33812</v>
      </c>
      <c r="N2094">
        <v>1</v>
      </c>
      <c r="Q2094" t="s">
        <v>33813</v>
      </c>
      <c r="R2094" t="s">
        <v>26422</v>
      </c>
      <c r="S2094" t="s">
        <v>33814</v>
      </c>
      <c r="T2094" t="s">
        <v>30</v>
      </c>
      <c r="U2094" t="s">
        <v>26116</v>
      </c>
      <c r="W2094" t="s">
        <v>26009</v>
      </c>
    </row>
    <row r="2095" spans="1:23" x14ac:dyDescent="0.35">
      <c r="A2095">
        <v>467771</v>
      </c>
      <c r="B2095" t="s">
        <v>7525</v>
      </c>
      <c r="C2095" t="str">
        <f>"9789004168671"</f>
        <v>9789004168671</v>
      </c>
      <c r="D2095" t="str">
        <f>"9789047442585"</f>
        <v>9789047442585</v>
      </c>
      <c r="E2095" t="s">
        <v>4602</v>
      </c>
      <c r="F2095" t="s">
        <v>27</v>
      </c>
      <c r="G2095" t="s">
        <v>22231</v>
      </c>
      <c r="H2095" t="s">
        <v>26004</v>
      </c>
      <c r="I2095" s="26">
        <v>39839</v>
      </c>
      <c r="J2095">
        <v>2009</v>
      </c>
      <c r="K2095" t="s">
        <v>27</v>
      </c>
      <c r="L2095">
        <v>280</v>
      </c>
      <c r="M2095" t="s">
        <v>33815</v>
      </c>
      <c r="N2095">
        <v>1</v>
      </c>
      <c r="O2095" t="s">
        <v>33816</v>
      </c>
      <c r="P2095">
        <v>6</v>
      </c>
      <c r="Q2095" t="s">
        <v>33817</v>
      </c>
      <c r="R2095" t="s">
        <v>30036</v>
      </c>
      <c r="T2095" t="s">
        <v>30</v>
      </c>
      <c r="U2095" t="s">
        <v>33818</v>
      </c>
      <c r="W2095" t="s">
        <v>26009</v>
      </c>
    </row>
    <row r="2096" spans="1:23" x14ac:dyDescent="0.35">
      <c r="A2096">
        <v>467941</v>
      </c>
      <c r="B2096" t="s">
        <v>33819</v>
      </c>
      <c r="C2096" t="str">
        <f>""</f>
        <v/>
      </c>
      <c r="D2096" t="str">
        <f>"9789047421436"</f>
        <v>9789047421436</v>
      </c>
      <c r="E2096" t="s">
        <v>4602</v>
      </c>
      <c r="F2096" t="s">
        <v>27</v>
      </c>
      <c r="G2096" t="s">
        <v>22231</v>
      </c>
      <c r="H2096" t="s">
        <v>26004</v>
      </c>
      <c r="I2096" s="26">
        <v>39307</v>
      </c>
      <c r="J2096">
        <v>2007</v>
      </c>
      <c r="K2096" t="s">
        <v>27</v>
      </c>
      <c r="L2096">
        <v>290</v>
      </c>
      <c r="M2096" t="s">
        <v>33820</v>
      </c>
      <c r="N2096">
        <v>1</v>
      </c>
      <c r="O2096" t="s">
        <v>33821</v>
      </c>
      <c r="P2096">
        <v>110</v>
      </c>
      <c r="Q2096" t="s">
        <v>33822</v>
      </c>
      <c r="R2096" t="s">
        <v>27152</v>
      </c>
      <c r="S2096" t="s">
        <v>33823</v>
      </c>
      <c r="T2096" t="s">
        <v>30</v>
      </c>
      <c r="U2096" t="s">
        <v>152</v>
      </c>
      <c r="W2096" t="s">
        <v>26009</v>
      </c>
    </row>
    <row r="2097" spans="1:23" x14ac:dyDescent="0.35">
      <c r="A2097">
        <v>467959</v>
      </c>
      <c r="B2097" t="s">
        <v>33824</v>
      </c>
      <c r="C2097" t="str">
        <f>"9789004153059"</f>
        <v>9789004153059</v>
      </c>
      <c r="D2097" t="str">
        <f>"9789047410607"</f>
        <v>9789047410607</v>
      </c>
      <c r="E2097" t="s">
        <v>4602</v>
      </c>
      <c r="F2097" t="s">
        <v>27</v>
      </c>
      <c r="G2097" t="s">
        <v>22231</v>
      </c>
      <c r="H2097" t="s">
        <v>26004</v>
      </c>
      <c r="I2097" s="26">
        <v>39050</v>
      </c>
      <c r="J2097">
        <v>2007</v>
      </c>
      <c r="K2097" t="s">
        <v>27</v>
      </c>
      <c r="L2097">
        <v>271</v>
      </c>
      <c r="M2097" t="s">
        <v>33825</v>
      </c>
      <c r="N2097">
        <v>1</v>
      </c>
      <c r="O2097" t="s">
        <v>33826</v>
      </c>
      <c r="P2097">
        <v>68</v>
      </c>
      <c r="Q2097" t="s">
        <v>33827</v>
      </c>
      <c r="S2097" t="s">
        <v>33828</v>
      </c>
      <c r="T2097" t="s">
        <v>30</v>
      </c>
      <c r="U2097" t="s">
        <v>26044</v>
      </c>
      <c r="W2097" t="s">
        <v>26009</v>
      </c>
    </row>
    <row r="2098" spans="1:23" x14ac:dyDescent="0.35">
      <c r="A2098">
        <v>468207</v>
      </c>
      <c r="B2098" t="s">
        <v>8753</v>
      </c>
      <c r="C2098" t="str">
        <f>"9789004174443"</f>
        <v>9789004174443</v>
      </c>
      <c r="D2098" t="str">
        <f>"9789047427902"</f>
        <v>9789047427902</v>
      </c>
      <c r="E2098" t="s">
        <v>4602</v>
      </c>
      <c r="F2098" t="s">
        <v>27</v>
      </c>
      <c r="G2098" t="s">
        <v>33829</v>
      </c>
      <c r="H2098" t="s">
        <v>26004</v>
      </c>
      <c r="I2098" s="26">
        <v>39897</v>
      </c>
      <c r="J2098">
        <v>2009</v>
      </c>
      <c r="K2098" t="s">
        <v>27</v>
      </c>
      <c r="L2098">
        <v>370</v>
      </c>
      <c r="M2098" t="s">
        <v>33830</v>
      </c>
      <c r="N2098">
        <v>1</v>
      </c>
      <c r="O2098" t="s">
        <v>33831</v>
      </c>
      <c r="P2098">
        <v>28</v>
      </c>
      <c r="Q2098" t="s">
        <v>33832</v>
      </c>
      <c r="T2098" t="s">
        <v>30</v>
      </c>
      <c r="U2098" t="s">
        <v>46</v>
      </c>
      <c r="W2098" t="s">
        <v>26009</v>
      </c>
    </row>
    <row r="2099" spans="1:23" x14ac:dyDescent="0.35">
      <c r="A2099">
        <v>468329</v>
      </c>
      <c r="B2099" t="s">
        <v>33833</v>
      </c>
      <c r="C2099" t="str">
        <f>"9789004155961"</f>
        <v>9789004155961</v>
      </c>
      <c r="D2099" t="str">
        <f>"9789047411819"</f>
        <v>9789047411819</v>
      </c>
      <c r="E2099" t="s">
        <v>4602</v>
      </c>
      <c r="F2099" t="s">
        <v>27</v>
      </c>
      <c r="G2099" t="s">
        <v>22231</v>
      </c>
      <c r="H2099" t="s">
        <v>26004</v>
      </c>
      <c r="I2099" s="26">
        <v>39072</v>
      </c>
      <c r="J2099">
        <v>2007</v>
      </c>
      <c r="K2099" t="s">
        <v>27</v>
      </c>
      <c r="L2099">
        <v>266</v>
      </c>
      <c r="M2099" t="s">
        <v>33834</v>
      </c>
      <c r="N2099">
        <v>1</v>
      </c>
      <c r="O2099" t="s">
        <v>33835</v>
      </c>
      <c r="P2099">
        <v>13</v>
      </c>
      <c r="Q2099" t="s">
        <v>33836</v>
      </c>
      <c r="R2099" t="s">
        <v>33837</v>
      </c>
      <c r="S2099" t="s">
        <v>33838</v>
      </c>
      <c r="T2099" t="s">
        <v>30</v>
      </c>
      <c r="U2099" t="s">
        <v>402</v>
      </c>
      <c r="W2099" t="s">
        <v>26009</v>
      </c>
    </row>
    <row r="2100" spans="1:23" x14ac:dyDescent="0.35">
      <c r="A2100">
        <v>468352</v>
      </c>
      <c r="B2100" t="s">
        <v>33839</v>
      </c>
      <c r="C2100" t="str">
        <f>"9789004162358"</f>
        <v>9789004162358</v>
      </c>
      <c r="D2100" t="str">
        <f>"9789047441892"</f>
        <v>9789047441892</v>
      </c>
      <c r="E2100" t="s">
        <v>4602</v>
      </c>
      <c r="F2100" t="s">
        <v>27</v>
      </c>
      <c r="G2100" t="s">
        <v>22231</v>
      </c>
      <c r="H2100" t="s">
        <v>26004</v>
      </c>
      <c r="I2100" s="26">
        <v>39682</v>
      </c>
      <c r="J2100">
        <v>2008</v>
      </c>
      <c r="K2100" t="s">
        <v>27</v>
      </c>
      <c r="L2100">
        <v>218</v>
      </c>
      <c r="M2100" t="s">
        <v>33840</v>
      </c>
      <c r="N2100">
        <v>1</v>
      </c>
      <c r="O2100" t="s">
        <v>33841</v>
      </c>
      <c r="P2100">
        <v>17</v>
      </c>
      <c r="Q2100" t="s">
        <v>33842</v>
      </c>
      <c r="R2100">
        <v>306.4409</v>
      </c>
      <c r="T2100" t="s">
        <v>30</v>
      </c>
      <c r="U2100" t="s">
        <v>26044</v>
      </c>
      <c r="W2100" t="s">
        <v>26009</v>
      </c>
    </row>
    <row r="2101" spans="1:23" x14ac:dyDescent="0.35">
      <c r="A2101">
        <v>470848</v>
      </c>
      <c r="B2101" t="s">
        <v>8820</v>
      </c>
      <c r="C2101" t="str">
        <f>"9780520259966"</f>
        <v>9780520259966</v>
      </c>
      <c r="D2101" t="str">
        <f>"9780520932371"</f>
        <v>9780520932371</v>
      </c>
      <c r="E2101" t="s">
        <v>1612</v>
      </c>
      <c r="F2101" t="s">
        <v>1612</v>
      </c>
      <c r="G2101" t="s">
        <v>22630</v>
      </c>
      <c r="H2101" t="s">
        <v>26004</v>
      </c>
      <c r="I2101" s="26">
        <v>39517</v>
      </c>
      <c r="J2101">
        <v>2008</v>
      </c>
      <c r="K2101" t="s">
        <v>1612</v>
      </c>
      <c r="L2101">
        <v>417</v>
      </c>
      <c r="M2101" t="s">
        <v>33843</v>
      </c>
      <c r="N2101">
        <v>1</v>
      </c>
      <c r="Q2101" t="s">
        <v>33844</v>
      </c>
      <c r="R2101" t="s">
        <v>33845</v>
      </c>
      <c r="S2101" t="s">
        <v>33846</v>
      </c>
      <c r="T2101" t="s">
        <v>30</v>
      </c>
      <c r="U2101" t="s">
        <v>26019</v>
      </c>
      <c r="W2101" t="s">
        <v>33847</v>
      </c>
    </row>
    <row r="2102" spans="1:23" x14ac:dyDescent="0.35">
      <c r="A2102">
        <v>470851</v>
      </c>
      <c r="B2102" t="s">
        <v>33848</v>
      </c>
      <c r="C2102" t="str">
        <f>"9780520050174"</f>
        <v>9780520050174</v>
      </c>
      <c r="D2102" t="str">
        <f>"9780520907324"</f>
        <v>9780520907324</v>
      </c>
      <c r="E2102" t="s">
        <v>1612</v>
      </c>
      <c r="F2102" t="s">
        <v>1612</v>
      </c>
      <c r="G2102" t="s">
        <v>22630</v>
      </c>
      <c r="H2102" t="s">
        <v>26004</v>
      </c>
      <c r="I2102" s="26">
        <v>31397</v>
      </c>
      <c r="J2102">
        <v>1985</v>
      </c>
      <c r="K2102" t="s">
        <v>1612</v>
      </c>
      <c r="L2102">
        <v>325</v>
      </c>
      <c r="M2102" t="s">
        <v>33849</v>
      </c>
      <c r="N2102">
        <v>1</v>
      </c>
      <c r="O2102" t="s">
        <v>33850</v>
      </c>
      <c r="P2102">
        <v>2</v>
      </c>
      <c r="Q2102" t="s">
        <v>33851</v>
      </c>
      <c r="R2102" t="s">
        <v>26047</v>
      </c>
      <c r="S2102" t="s">
        <v>33852</v>
      </c>
      <c r="T2102" t="s">
        <v>30</v>
      </c>
      <c r="U2102" t="s">
        <v>46</v>
      </c>
      <c r="W2102" t="s">
        <v>26009</v>
      </c>
    </row>
    <row r="2103" spans="1:23" x14ac:dyDescent="0.35">
      <c r="A2103">
        <v>471027</v>
      </c>
      <c r="B2103" t="s">
        <v>33853</v>
      </c>
      <c r="C2103" t="str">
        <f>"9780875867144"</f>
        <v>9780875867144</v>
      </c>
      <c r="D2103" t="str">
        <f>"9780875867168"</f>
        <v>9780875867168</v>
      </c>
      <c r="E2103" t="s">
        <v>7561</v>
      </c>
      <c r="F2103" t="s">
        <v>7561</v>
      </c>
      <c r="G2103" t="s">
        <v>22179</v>
      </c>
      <c r="H2103" t="s">
        <v>26004</v>
      </c>
      <c r="I2103" s="26">
        <v>40040</v>
      </c>
      <c r="J2103">
        <v>2009</v>
      </c>
      <c r="K2103" t="s">
        <v>7561</v>
      </c>
      <c r="L2103">
        <v>176</v>
      </c>
      <c r="M2103" t="s">
        <v>33854</v>
      </c>
      <c r="N2103">
        <v>1</v>
      </c>
      <c r="Q2103" t="s">
        <v>33855</v>
      </c>
      <c r="R2103">
        <v>302.23</v>
      </c>
      <c r="S2103" t="s">
        <v>33856</v>
      </c>
      <c r="T2103" t="s">
        <v>30</v>
      </c>
      <c r="U2103" t="s">
        <v>26044</v>
      </c>
      <c r="W2103" t="s">
        <v>26009</v>
      </c>
    </row>
    <row r="2104" spans="1:23" x14ac:dyDescent="0.35">
      <c r="A2104">
        <v>471108</v>
      </c>
      <c r="B2104" t="s">
        <v>9967</v>
      </c>
      <c r="C2104" t="str">
        <f>"9781848557840"</f>
        <v>9781848557840</v>
      </c>
      <c r="D2104" t="str">
        <f>"9781848557857"</f>
        <v>9781848557857</v>
      </c>
      <c r="E2104" t="s">
        <v>7442</v>
      </c>
      <c r="F2104" t="s">
        <v>7442</v>
      </c>
      <c r="G2104" t="s">
        <v>22261</v>
      </c>
      <c r="H2104" t="s">
        <v>26011</v>
      </c>
      <c r="I2104" s="26">
        <v>40087</v>
      </c>
      <c r="J2104">
        <v>2009</v>
      </c>
      <c r="K2104" t="s">
        <v>7442</v>
      </c>
      <c r="L2104">
        <v>477</v>
      </c>
      <c r="M2104" t="s">
        <v>33857</v>
      </c>
      <c r="N2104">
        <v>1</v>
      </c>
      <c r="O2104" t="s">
        <v>33858</v>
      </c>
      <c r="P2104">
        <v>33</v>
      </c>
      <c r="Q2104" t="s">
        <v>33859</v>
      </c>
      <c r="R2104">
        <v>303.39999999999998</v>
      </c>
      <c r="S2104" t="s">
        <v>7546</v>
      </c>
      <c r="T2104" t="s">
        <v>30</v>
      </c>
      <c r="U2104" t="s">
        <v>26044</v>
      </c>
      <c r="W2104" t="s">
        <v>33559</v>
      </c>
    </row>
    <row r="2105" spans="1:23" x14ac:dyDescent="0.35">
      <c r="A2105">
        <v>471110</v>
      </c>
      <c r="B2105" t="s">
        <v>33860</v>
      </c>
      <c r="C2105" t="str">
        <f>"9781848559363"</f>
        <v>9781848559363</v>
      </c>
      <c r="D2105" t="str">
        <f>"9781848559370"</f>
        <v>9781848559370</v>
      </c>
      <c r="E2105" t="s">
        <v>7442</v>
      </c>
      <c r="F2105" t="s">
        <v>7442</v>
      </c>
      <c r="G2105" t="s">
        <v>22261</v>
      </c>
      <c r="H2105" t="s">
        <v>26011</v>
      </c>
      <c r="I2105" s="26">
        <v>40087</v>
      </c>
      <c r="J2105">
        <v>2009</v>
      </c>
      <c r="K2105" t="s">
        <v>7442</v>
      </c>
      <c r="L2105">
        <v>955</v>
      </c>
      <c r="M2105" t="s">
        <v>33861</v>
      </c>
      <c r="N2105">
        <v>1</v>
      </c>
      <c r="Q2105" t="s">
        <v>33862</v>
      </c>
      <c r="R2105">
        <v>388</v>
      </c>
      <c r="S2105" t="s">
        <v>33863</v>
      </c>
      <c r="T2105" t="s">
        <v>30</v>
      </c>
      <c r="U2105" t="s">
        <v>30031</v>
      </c>
      <c r="W2105" t="s">
        <v>33559</v>
      </c>
    </row>
    <row r="2106" spans="1:23" x14ac:dyDescent="0.35">
      <c r="A2106">
        <v>471853</v>
      </c>
      <c r="B2106" t="s">
        <v>7646</v>
      </c>
      <c r="C2106" t="str">
        <f>"9780226729886"</f>
        <v>9780226729886</v>
      </c>
      <c r="D2106" t="str">
        <f>"9780226729909"</f>
        <v>9780226729909</v>
      </c>
      <c r="E2106" t="s">
        <v>550</v>
      </c>
      <c r="F2106" t="s">
        <v>550</v>
      </c>
      <c r="G2106" t="s">
        <v>22352</v>
      </c>
      <c r="H2106" t="s">
        <v>26004</v>
      </c>
      <c r="I2106" s="26">
        <v>38657</v>
      </c>
      <c r="J2106">
        <v>2005</v>
      </c>
      <c r="K2106" t="s">
        <v>550</v>
      </c>
      <c r="L2106">
        <v>221</v>
      </c>
      <c r="M2106" t="s">
        <v>33864</v>
      </c>
      <c r="N2106">
        <v>1</v>
      </c>
      <c r="Q2106" t="s">
        <v>33276</v>
      </c>
      <c r="R2106">
        <v>306.7660917</v>
      </c>
      <c r="S2106" t="s">
        <v>33865</v>
      </c>
      <c r="T2106" t="s">
        <v>30</v>
      </c>
      <c r="U2106" t="s">
        <v>26044</v>
      </c>
      <c r="W2106" t="s">
        <v>26009</v>
      </c>
    </row>
    <row r="2107" spans="1:23" x14ac:dyDescent="0.35">
      <c r="A2107">
        <v>472051</v>
      </c>
      <c r="B2107" t="s">
        <v>8715</v>
      </c>
      <c r="C2107" t="str">
        <f>"9780195380354"</f>
        <v>9780195380354</v>
      </c>
      <c r="D2107" t="str">
        <f>"9780199701599"</f>
        <v>9780199701599</v>
      </c>
      <c r="E2107" t="s">
        <v>371</v>
      </c>
      <c r="F2107" t="s">
        <v>31</v>
      </c>
      <c r="G2107" t="s">
        <v>22703</v>
      </c>
      <c r="H2107" t="s">
        <v>26004</v>
      </c>
      <c r="I2107" s="26">
        <v>40059</v>
      </c>
      <c r="J2107">
        <v>2009</v>
      </c>
      <c r="K2107" t="s">
        <v>31</v>
      </c>
      <c r="L2107">
        <v>440</v>
      </c>
      <c r="M2107" t="s">
        <v>33866</v>
      </c>
      <c r="Q2107" t="s">
        <v>33867</v>
      </c>
      <c r="R2107">
        <v>149.5</v>
      </c>
      <c r="S2107" t="s">
        <v>33868</v>
      </c>
      <c r="T2107" t="s">
        <v>30</v>
      </c>
      <c r="U2107" t="s">
        <v>26520</v>
      </c>
      <c r="W2107" t="s">
        <v>26009</v>
      </c>
    </row>
    <row r="2108" spans="1:23" x14ac:dyDescent="0.35">
      <c r="A2108">
        <v>472054</v>
      </c>
      <c r="B2108" t="s">
        <v>33869</v>
      </c>
      <c r="C2108" t="str">
        <f>"9780195314533"</f>
        <v>9780195314533</v>
      </c>
      <c r="D2108" t="str">
        <f>"9780199739431"</f>
        <v>9780199739431</v>
      </c>
      <c r="E2108" t="s">
        <v>371</v>
      </c>
      <c r="F2108" t="s">
        <v>31</v>
      </c>
      <c r="H2108" t="s">
        <v>26004</v>
      </c>
      <c r="I2108" s="26">
        <v>39149</v>
      </c>
      <c r="J2108">
        <v>2003</v>
      </c>
      <c r="K2108" t="s">
        <v>31</v>
      </c>
      <c r="L2108">
        <v>545</v>
      </c>
      <c r="M2108" t="s">
        <v>33870</v>
      </c>
      <c r="N2108">
        <v>2</v>
      </c>
      <c r="Q2108" t="s">
        <v>33871</v>
      </c>
      <c r="R2108">
        <v>158</v>
      </c>
      <c r="S2108" t="s">
        <v>8688</v>
      </c>
      <c r="T2108" t="s">
        <v>30</v>
      </c>
      <c r="U2108" t="s">
        <v>32904</v>
      </c>
      <c r="W2108" t="s">
        <v>26009</v>
      </c>
    </row>
    <row r="2109" spans="1:23" x14ac:dyDescent="0.35">
      <c r="A2109">
        <v>472069</v>
      </c>
      <c r="B2109" t="s">
        <v>33872</v>
      </c>
      <c r="C2109" t="str">
        <f>"9780195305388"</f>
        <v>9780195305388</v>
      </c>
      <c r="D2109" t="str">
        <f>"9780199719402"</f>
        <v>9780199719402</v>
      </c>
      <c r="E2109" t="s">
        <v>371</v>
      </c>
      <c r="F2109" t="s">
        <v>31</v>
      </c>
      <c r="G2109" t="s">
        <v>22703</v>
      </c>
      <c r="H2109" t="s">
        <v>26004</v>
      </c>
      <c r="I2109" s="26">
        <v>40024</v>
      </c>
      <c r="J2109">
        <v>2009</v>
      </c>
      <c r="K2109" t="s">
        <v>31</v>
      </c>
      <c r="L2109">
        <v>449</v>
      </c>
      <c r="M2109" t="s">
        <v>28077</v>
      </c>
      <c r="Q2109" t="s">
        <v>33873</v>
      </c>
      <c r="R2109">
        <v>150.1</v>
      </c>
      <c r="S2109" t="s">
        <v>33874</v>
      </c>
      <c r="T2109" t="s">
        <v>30</v>
      </c>
      <c r="U2109" t="s">
        <v>46</v>
      </c>
      <c r="W2109" t="s">
        <v>26009</v>
      </c>
    </row>
    <row r="2110" spans="1:23" x14ac:dyDescent="0.35">
      <c r="A2110">
        <v>472095</v>
      </c>
      <c r="B2110" t="s">
        <v>33875</v>
      </c>
      <c r="C2110" t="str">
        <f>"9780195378214"</f>
        <v>9780195378214</v>
      </c>
      <c r="D2110" t="str">
        <f>"9780199703050"</f>
        <v>9780199703050</v>
      </c>
      <c r="E2110" t="s">
        <v>371</v>
      </c>
      <c r="F2110" t="s">
        <v>31</v>
      </c>
      <c r="G2110" t="s">
        <v>22703</v>
      </c>
      <c r="H2110" t="s">
        <v>26004</v>
      </c>
      <c r="I2110" s="26">
        <v>40190</v>
      </c>
      <c r="J2110">
        <v>2010</v>
      </c>
      <c r="K2110" t="s">
        <v>31</v>
      </c>
      <c r="L2110">
        <v>411</v>
      </c>
      <c r="M2110" t="s">
        <v>33876</v>
      </c>
      <c r="Q2110" t="s">
        <v>33877</v>
      </c>
      <c r="R2110" t="s">
        <v>33878</v>
      </c>
      <c r="S2110" t="s">
        <v>33879</v>
      </c>
      <c r="T2110" t="s">
        <v>30</v>
      </c>
      <c r="U2110" t="s">
        <v>46</v>
      </c>
      <c r="W2110" t="s">
        <v>26009</v>
      </c>
    </row>
    <row r="2111" spans="1:23" x14ac:dyDescent="0.35">
      <c r="A2111">
        <v>472113</v>
      </c>
      <c r="B2111" t="s">
        <v>33880</v>
      </c>
      <c r="C2111" t="str">
        <f>"9780195385212"</f>
        <v>9780195385212</v>
      </c>
      <c r="D2111" t="str">
        <f>"9780199750405"</f>
        <v>9780199750405</v>
      </c>
      <c r="E2111" t="s">
        <v>371</v>
      </c>
      <c r="F2111" t="s">
        <v>31</v>
      </c>
      <c r="G2111" t="s">
        <v>22703</v>
      </c>
      <c r="H2111" t="s">
        <v>26004</v>
      </c>
      <c r="I2111" s="26">
        <v>39759</v>
      </c>
      <c r="J2111">
        <v>2006</v>
      </c>
      <c r="K2111" t="s">
        <v>31</v>
      </c>
      <c r="L2111">
        <v>201</v>
      </c>
      <c r="M2111" t="s">
        <v>33881</v>
      </c>
      <c r="Q2111" t="s">
        <v>33882</v>
      </c>
      <c r="R2111">
        <v>155.19999999999999</v>
      </c>
      <c r="S2111" t="s">
        <v>33883</v>
      </c>
      <c r="T2111" t="s">
        <v>30</v>
      </c>
      <c r="U2111" t="s">
        <v>26019</v>
      </c>
      <c r="W2111" t="s">
        <v>26009</v>
      </c>
    </row>
    <row r="2112" spans="1:23" x14ac:dyDescent="0.35">
      <c r="A2112">
        <v>472116</v>
      </c>
      <c r="B2112" t="s">
        <v>8338</v>
      </c>
      <c r="C2112" t="str">
        <f>"9780195370416"</f>
        <v>9780195370416</v>
      </c>
      <c r="D2112" t="str">
        <f>"9780199708215"</f>
        <v>9780199708215</v>
      </c>
      <c r="E2112" t="s">
        <v>371</v>
      </c>
      <c r="F2112" t="s">
        <v>31</v>
      </c>
      <c r="G2112" t="s">
        <v>22703</v>
      </c>
      <c r="H2112" t="s">
        <v>26004</v>
      </c>
      <c r="I2112" s="26">
        <v>40183</v>
      </c>
      <c r="J2112">
        <v>2010</v>
      </c>
      <c r="K2112" t="s">
        <v>31</v>
      </c>
      <c r="L2112">
        <v>183</v>
      </c>
      <c r="M2112" t="s">
        <v>33884</v>
      </c>
      <c r="O2112" t="s">
        <v>33147</v>
      </c>
      <c r="Q2112" t="s">
        <v>33885</v>
      </c>
      <c r="R2112">
        <v>155.5</v>
      </c>
      <c r="S2112" t="s">
        <v>33886</v>
      </c>
      <c r="T2112" t="s">
        <v>30</v>
      </c>
      <c r="U2112" t="s">
        <v>26228</v>
      </c>
      <c r="W2112" t="s">
        <v>26009</v>
      </c>
    </row>
    <row r="2113" spans="1:23" x14ac:dyDescent="0.35">
      <c r="A2113">
        <v>472119</v>
      </c>
      <c r="B2113" t="s">
        <v>33887</v>
      </c>
      <c r="C2113" t="str">
        <f>"9780199733033"</f>
        <v>9780199733033</v>
      </c>
      <c r="D2113" t="str">
        <f>"9780199742448"</f>
        <v>9780199742448</v>
      </c>
      <c r="E2113" t="s">
        <v>371</v>
      </c>
      <c r="F2113" t="s">
        <v>31</v>
      </c>
      <c r="G2113" t="s">
        <v>22703</v>
      </c>
      <c r="H2113" t="s">
        <v>26004</v>
      </c>
      <c r="I2113" s="26">
        <v>40204</v>
      </c>
      <c r="J2113">
        <v>2010</v>
      </c>
      <c r="K2113" t="s">
        <v>31</v>
      </c>
      <c r="L2113">
        <v>304</v>
      </c>
      <c r="M2113" t="s">
        <v>33888</v>
      </c>
      <c r="Q2113" t="s">
        <v>33889</v>
      </c>
      <c r="R2113" t="s">
        <v>29813</v>
      </c>
      <c r="S2113" t="s">
        <v>33890</v>
      </c>
      <c r="T2113" t="s">
        <v>30</v>
      </c>
      <c r="U2113" t="s">
        <v>26019</v>
      </c>
      <c r="W2113" t="s">
        <v>26009</v>
      </c>
    </row>
    <row r="2114" spans="1:23" x14ac:dyDescent="0.35">
      <c r="A2114">
        <v>472181</v>
      </c>
      <c r="B2114" t="s">
        <v>8546</v>
      </c>
      <c r="C2114" t="str">
        <f>"9780195144291"</f>
        <v>9780195144291</v>
      </c>
      <c r="D2114" t="str">
        <f>"9780199722570"</f>
        <v>9780199722570</v>
      </c>
      <c r="E2114" t="s">
        <v>371</v>
      </c>
      <c r="F2114" t="s">
        <v>31</v>
      </c>
      <c r="G2114" t="s">
        <v>22703</v>
      </c>
      <c r="H2114" t="s">
        <v>26004</v>
      </c>
      <c r="I2114" s="26">
        <v>40210</v>
      </c>
      <c r="J2114">
        <v>2010</v>
      </c>
      <c r="K2114" t="s">
        <v>31</v>
      </c>
      <c r="L2114">
        <v>431</v>
      </c>
      <c r="M2114" t="s">
        <v>33891</v>
      </c>
      <c r="N2114">
        <v>6</v>
      </c>
      <c r="Q2114" t="s">
        <v>33892</v>
      </c>
      <c r="R2114">
        <v>616.89</v>
      </c>
      <c r="S2114" t="s">
        <v>33893</v>
      </c>
      <c r="T2114" t="s">
        <v>30</v>
      </c>
      <c r="U2114" t="s">
        <v>26116</v>
      </c>
      <c r="W2114" t="s">
        <v>26009</v>
      </c>
    </row>
    <row r="2115" spans="1:23" x14ac:dyDescent="0.35">
      <c r="A2115">
        <v>472182</v>
      </c>
      <c r="B2115" t="s">
        <v>33894</v>
      </c>
      <c r="C2115" t="str">
        <f>"9780195393897"</f>
        <v>9780195393897</v>
      </c>
      <c r="D2115" t="str">
        <f>"9780199742080"</f>
        <v>9780199742080</v>
      </c>
      <c r="E2115" t="s">
        <v>371</v>
      </c>
      <c r="F2115" t="s">
        <v>31</v>
      </c>
      <c r="G2115" t="s">
        <v>22242</v>
      </c>
      <c r="H2115" t="s">
        <v>26004</v>
      </c>
      <c r="I2115" s="26">
        <v>40211</v>
      </c>
      <c r="J2115">
        <v>2010</v>
      </c>
      <c r="K2115" t="s">
        <v>31</v>
      </c>
      <c r="L2115">
        <v>157</v>
      </c>
      <c r="M2115" t="s">
        <v>33895</v>
      </c>
      <c r="Q2115" t="s">
        <v>33896</v>
      </c>
      <c r="R2115">
        <v>176</v>
      </c>
      <c r="S2115" t="s">
        <v>33897</v>
      </c>
      <c r="T2115" t="s">
        <v>30</v>
      </c>
      <c r="U2115" t="s">
        <v>26135</v>
      </c>
      <c r="W2115" t="s">
        <v>26009</v>
      </c>
    </row>
    <row r="2116" spans="1:23" x14ac:dyDescent="0.35">
      <c r="A2116">
        <v>472232</v>
      </c>
      <c r="B2116" t="s">
        <v>33898</v>
      </c>
      <c r="C2116" t="str">
        <f>"9780199556168"</f>
        <v>9780199556168</v>
      </c>
      <c r="D2116" t="str">
        <f>"9780191570001"</f>
        <v>9780191570001</v>
      </c>
      <c r="E2116" t="s">
        <v>371</v>
      </c>
      <c r="F2116" t="s">
        <v>31</v>
      </c>
      <c r="G2116" t="s">
        <v>22242</v>
      </c>
      <c r="H2116" t="s">
        <v>26011</v>
      </c>
      <c r="I2116" s="26">
        <v>40056</v>
      </c>
      <c r="J2116">
        <v>2009</v>
      </c>
      <c r="K2116" t="s">
        <v>31</v>
      </c>
      <c r="L2116">
        <v>281</v>
      </c>
      <c r="M2116" t="s">
        <v>33899</v>
      </c>
      <c r="Q2116" t="s">
        <v>33900</v>
      </c>
      <c r="R2116">
        <v>111</v>
      </c>
      <c r="S2116" t="s">
        <v>33901</v>
      </c>
      <c r="T2116" t="s">
        <v>30</v>
      </c>
      <c r="U2116" t="s">
        <v>152</v>
      </c>
      <c r="W2116" t="s">
        <v>26009</v>
      </c>
    </row>
    <row r="2117" spans="1:23" x14ac:dyDescent="0.35">
      <c r="A2117">
        <v>472244</v>
      </c>
      <c r="B2117" t="s">
        <v>9832</v>
      </c>
      <c r="C2117" t="str">
        <f>"9780199559428"</f>
        <v>9780199559428</v>
      </c>
      <c r="D2117" t="str">
        <f>"9780191569739"</f>
        <v>9780191569739</v>
      </c>
      <c r="E2117" t="s">
        <v>371</v>
      </c>
      <c r="F2117" t="s">
        <v>399</v>
      </c>
      <c r="G2117" t="s">
        <v>22242</v>
      </c>
      <c r="H2117" t="s">
        <v>26011</v>
      </c>
      <c r="I2117" s="26">
        <v>40009</v>
      </c>
      <c r="J2117">
        <v>2009</v>
      </c>
      <c r="K2117" t="s">
        <v>399</v>
      </c>
      <c r="L2117">
        <v>229</v>
      </c>
      <c r="M2117" t="s">
        <v>33902</v>
      </c>
      <c r="Q2117" t="s">
        <v>33903</v>
      </c>
      <c r="R2117" t="s">
        <v>33904</v>
      </c>
      <c r="S2117" t="s">
        <v>33905</v>
      </c>
      <c r="T2117" t="s">
        <v>30</v>
      </c>
      <c r="U2117" t="s">
        <v>33906</v>
      </c>
      <c r="W2117" t="s">
        <v>26009</v>
      </c>
    </row>
    <row r="2118" spans="1:23" x14ac:dyDescent="0.35">
      <c r="A2118">
        <v>472272</v>
      </c>
      <c r="B2118" t="s">
        <v>33907</v>
      </c>
      <c r="C2118" t="str">
        <f>"9780195329407"</f>
        <v>9780195329407</v>
      </c>
      <c r="D2118" t="str">
        <f>"9780199734429"</f>
        <v>9780199734429</v>
      </c>
      <c r="E2118" t="s">
        <v>371</v>
      </c>
      <c r="F2118" t="s">
        <v>31</v>
      </c>
      <c r="G2118" t="s">
        <v>22179</v>
      </c>
      <c r="H2118" t="s">
        <v>26004</v>
      </c>
      <c r="I2118" s="26">
        <v>40037</v>
      </c>
      <c r="J2118">
        <v>2009</v>
      </c>
      <c r="K2118" t="s">
        <v>31</v>
      </c>
      <c r="L2118">
        <v>352</v>
      </c>
      <c r="M2118" t="s">
        <v>33908</v>
      </c>
      <c r="Q2118" t="s">
        <v>33909</v>
      </c>
      <c r="R2118" t="s">
        <v>33910</v>
      </c>
      <c r="S2118" t="s">
        <v>33911</v>
      </c>
      <c r="T2118" t="s">
        <v>30</v>
      </c>
      <c r="U2118" t="s">
        <v>26141</v>
      </c>
      <c r="W2118" t="s">
        <v>26009</v>
      </c>
    </row>
    <row r="2119" spans="1:23" x14ac:dyDescent="0.35">
      <c r="A2119">
        <v>472285</v>
      </c>
      <c r="B2119" t="s">
        <v>33912</v>
      </c>
      <c r="C2119" t="str">
        <f>"9780199570782"</f>
        <v>9780199570782</v>
      </c>
      <c r="D2119" t="str">
        <f>"9780191570995"</f>
        <v>9780191570995</v>
      </c>
      <c r="E2119" t="s">
        <v>371</v>
      </c>
      <c r="F2119" t="s">
        <v>31</v>
      </c>
      <c r="G2119" t="s">
        <v>22242</v>
      </c>
      <c r="H2119" t="s">
        <v>26011</v>
      </c>
      <c r="I2119" s="26">
        <v>40084</v>
      </c>
      <c r="J2119">
        <v>2009</v>
      </c>
      <c r="K2119" t="s">
        <v>31</v>
      </c>
      <c r="L2119">
        <v>158</v>
      </c>
      <c r="M2119" t="s">
        <v>33913</v>
      </c>
      <c r="Q2119" t="s">
        <v>33914</v>
      </c>
      <c r="R2119">
        <v>300.72000000000003</v>
      </c>
      <c r="S2119" t="s">
        <v>8833</v>
      </c>
      <c r="T2119" t="s">
        <v>30</v>
      </c>
      <c r="U2119" t="s">
        <v>26044</v>
      </c>
      <c r="W2119" t="s">
        <v>26009</v>
      </c>
    </row>
    <row r="2120" spans="1:23" x14ac:dyDescent="0.35">
      <c r="A2120">
        <v>472375</v>
      </c>
      <c r="B2120" t="s">
        <v>33915</v>
      </c>
      <c r="C2120" t="str">
        <f>"9780199692989"</f>
        <v>9780199692989</v>
      </c>
      <c r="D2120" t="str">
        <f>"9780191571800"</f>
        <v>9780191571800</v>
      </c>
      <c r="E2120" t="s">
        <v>371</v>
      </c>
      <c r="F2120" t="s">
        <v>31</v>
      </c>
      <c r="G2120" t="s">
        <v>22242</v>
      </c>
      <c r="H2120" t="s">
        <v>26011</v>
      </c>
      <c r="I2120" s="26">
        <v>40909</v>
      </c>
      <c r="J2120">
        <v>2009</v>
      </c>
      <c r="K2120" t="s">
        <v>31</v>
      </c>
      <c r="L2120">
        <v>232</v>
      </c>
      <c r="M2120" t="s">
        <v>33916</v>
      </c>
      <c r="O2120" t="s">
        <v>33917</v>
      </c>
      <c r="Q2120" t="s">
        <v>33918</v>
      </c>
      <c r="R2120">
        <v>616.85239999999999</v>
      </c>
      <c r="S2120" t="s">
        <v>33919</v>
      </c>
      <c r="T2120" t="s">
        <v>30</v>
      </c>
      <c r="U2120" t="s">
        <v>26116</v>
      </c>
      <c r="W2120" t="s">
        <v>26009</v>
      </c>
    </row>
    <row r="2121" spans="1:23" x14ac:dyDescent="0.35">
      <c r="A2121">
        <v>472388</v>
      </c>
      <c r="B2121" t="s">
        <v>33920</v>
      </c>
      <c r="C2121" t="str">
        <f>"9780195391220"</f>
        <v>9780195391220</v>
      </c>
      <c r="D2121" t="str">
        <f>"9780199741564"</f>
        <v>9780199741564</v>
      </c>
      <c r="E2121" t="s">
        <v>371</v>
      </c>
      <c r="F2121" t="s">
        <v>31</v>
      </c>
      <c r="G2121" t="s">
        <v>22179</v>
      </c>
      <c r="H2121" t="s">
        <v>26004</v>
      </c>
      <c r="I2121" s="26">
        <v>40220</v>
      </c>
      <c r="J2121">
        <v>2010</v>
      </c>
      <c r="K2121" t="s">
        <v>31</v>
      </c>
      <c r="L2121">
        <v>224</v>
      </c>
      <c r="M2121" t="s">
        <v>33921</v>
      </c>
      <c r="Q2121" t="s">
        <v>33922</v>
      </c>
      <c r="R2121">
        <v>700.1</v>
      </c>
      <c r="S2121" t="s">
        <v>33923</v>
      </c>
      <c r="T2121" t="s">
        <v>30</v>
      </c>
      <c r="U2121" t="s">
        <v>27699</v>
      </c>
      <c r="W2121" t="s">
        <v>26009</v>
      </c>
    </row>
    <row r="2122" spans="1:23" x14ac:dyDescent="0.35">
      <c r="A2122">
        <v>472479</v>
      </c>
      <c r="B2122" t="s">
        <v>33924</v>
      </c>
      <c r="C2122" t="str">
        <f>"9781848720404"</f>
        <v>9781848720404</v>
      </c>
      <c r="D2122" t="str">
        <f>"9780203856086"</f>
        <v>9780203856086</v>
      </c>
      <c r="E2122" t="s">
        <v>26010</v>
      </c>
      <c r="F2122" t="s">
        <v>35</v>
      </c>
      <c r="G2122" t="s">
        <v>22267</v>
      </c>
      <c r="H2122" t="s">
        <v>26011</v>
      </c>
      <c r="I2122" s="26">
        <v>40192</v>
      </c>
      <c r="J2122">
        <v>2010</v>
      </c>
      <c r="K2122" t="s">
        <v>660</v>
      </c>
      <c r="L2122">
        <v>169</v>
      </c>
      <c r="M2122" t="s">
        <v>29109</v>
      </c>
      <c r="N2122">
        <v>1</v>
      </c>
      <c r="O2122" t="s">
        <v>27963</v>
      </c>
      <c r="Q2122" t="s">
        <v>33925</v>
      </c>
      <c r="R2122">
        <v>362.2</v>
      </c>
      <c r="S2122" t="s">
        <v>9106</v>
      </c>
      <c r="T2122" t="s">
        <v>30</v>
      </c>
      <c r="U2122" t="s">
        <v>29209</v>
      </c>
      <c r="W2122" t="s">
        <v>26009</v>
      </c>
    </row>
    <row r="2123" spans="1:23" x14ac:dyDescent="0.35">
      <c r="A2123">
        <v>472507</v>
      </c>
      <c r="B2123" t="s">
        <v>33926</v>
      </c>
      <c r="C2123" t="str">
        <f>"9780415580953"</f>
        <v>9780415580953</v>
      </c>
      <c r="D2123" t="str">
        <f>"9780203850350"</f>
        <v>9780203850350</v>
      </c>
      <c r="E2123" t="s">
        <v>26010</v>
      </c>
      <c r="F2123" t="s">
        <v>35</v>
      </c>
      <c r="G2123" t="s">
        <v>22174</v>
      </c>
      <c r="H2123" t="s">
        <v>26011</v>
      </c>
      <c r="I2123" s="26">
        <v>40240</v>
      </c>
      <c r="J2123">
        <v>1924</v>
      </c>
      <c r="K2123" t="s">
        <v>26012</v>
      </c>
      <c r="L2123">
        <v>353</v>
      </c>
      <c r="M2123" t="s">
        <v>33927</v>
      </c>
      <c r="N2123">
        <v>1</v>
      </c>
      <c r="O2123" t="s">
        <v>33661</v>
      </c>
      <c r="Q2123" t="s">
        <v>33928</v>
      </c>
      <c r="R2123">
        <v>301</v>
      </c>
      <c r="S2123" t="s">
        <v>33929</v>
      </c>
      <c r="T2123" t="s">
        <v>30</v>
      </c>
      <c r="U2123" t="s">
        <v>26044</v>
      </c>
      <c r="W2123" t="s">
        <v>26009</v>
      </c>
    </row>
    <row r="2124" spans="1:23" x14ac:dyDescent="0.35">
      <c r="A2124">
        <v>472781</v>
      </c>
      <c r="B2124" t="s">
        <v>33930</v>
      </c>
      <c r="C2124" t="str">
        <f>"9781441133151"</f>
        <v>9781441133151</v>
      </c>
      <c r="D2124" t="str">
        <f>"9781441116338"</f>
        <v>9781441116338</v>
      </c>
      <c r="E2124" t="s">
        <v>31671</v>
      </c>
      <c r="F2124" t="s">
        <v>7760</v>
      </c>
      <c r="G2124" t="s">
        <v>22174</v>
      </c>
      <c r="H2124" t="s">
        <v>26011</v>
      </c>
      <c r="I2124" s="26">
        <v>40899</v>
      </c>
      <c r="J2124">
        <v>2009</v>
      </c>
      <c r="K2124" t="s">
        <v>33338</v>
      </c>
      <c r="L2124">
        <v>232</v>
      </c>
      <c r="M2124" t="s">
        <v>33931</v>
      </c>
      <c r="N2124">
        <v>1</v>
      </c>
      <c r="Q2124" t="s">
        <v>33932</v>
      </c>
      <c r="R2124" t="s">
        <v>33933</v>
      </c>
      <c r="S2124" t="s">
        <v>33934</v>
      </c>
      <c r="T2124" t="s">
        <v>30</v>
      </c>
      <c r="U2124" t="s">
        <v>33935</v>
      </c>
      <c r="W2124" t="s">
        <v>28347</v>
      </c>
    </row>
    <row r="2125" spans="1:23" x14ac:dyDescent="0.35">
      <c r="A2125">
        <v>473731</v>
      </c>
      <c r="B2125" t="s">
        <v>33936</v>
      </c>
      <c r="C2125" t="str">
        <f>"9781556527807"</f>
        <v>9781556527807</v>
      </c>
      <c r="D2125" t="str">
        <f>"9781569765500"</f>
        <v>9781569765500</v>
      </c>
      <c r="E2125" t="s">
        <v>27422</v>
      </c>
      <c r="F2125" t="s">
        <v>7972</v>
      </c>
      <c r="G2125" t="s">
        <v>22352</v>
      </c>
      <c r="H2125" t="s">
        <v>26004</v>
      </c>
      <c r="I2125" s="26">
        <v>40182</v>
      </c>
      <c r="J2125">
        <v>2010</v>
      </c>
      <c r="K2125" t="s">
        <v>33937</v>
      </c>
      <c r="L2125">
        <v>209</v>
      </c>
      <c r="M2125" t="s">
        <v>33938</v>
      </c>
      <c r="Q2125" t="s">
        <v>33939</v>
      </c>
      <c r="R2125">
        <v>305.896073</v>
      </c>
      <c r="S2125" t="s">
        <v>33940</v>
      </c>
      <c r="T2125" t="s">
        <v>30</v>
      </c>
      <c r="U2125" t="s">
        <v>28111</v>
      </c>
      <c r="W2125" t="s">
        <v>31887</v>
      </c>
    </row>
    <row r="2126" spans="1:23" x14ac:dyDescent="0.35">
      <c r="A2126">
        <v>473818</v>
      </c>
      <c r="B2126" t="s">
        <v>33941</v>
      </c>
      <c r="C2126" t="str">
        <f>"9781886941625"</f>
        <v>9781886941625</v>
      </c>
      <c r="D2126" t="str">
        <f>"9781886941953"</f>
        <v>9781886941953</v>
      </c>
      <c r="E2126" t="s">
        <v>27422</v>
      </c>
      <c r="F2126" t="s">
        <v>7439</v>
      </c>
      <c r="G2126" t="s">
        <v>33942</v>
      </c>
      <c r="H2126" t="s">
        <v>26004</v>
      </c>
      <c r="I2126" s="26">
        <v>38718</v>
      </c>
      <c r="J2126">
        <v>2006</v>
      </c>
      <c r="K2126" t="s">
        <v>7439</v>
      </c>
      <c r="L2126">
        <v>188</v>
      </c>
      <c r="M2126" t="s">
        <v>33943</v>
      </c>
      <c r="Q2126" t="s">
        <v>33944</v>
      </c>
      <c r="R2126" t="s">
        <v>27485</v>
      </c>
      <c r="S2126" t="s">
        <v>33945</v>
      </c>
      <c r="T2126" t="s">
        <v>30</v>
      </c>
      <c r="U2126" t="s">
        <v>26697</v>
      </c>
      <c r="W2126" t="s">
        <v>26009</v>
      </c>
    </row>
    <row r="2127" spans="1:23" x14ac:dyDescent="0.35">
      <c r="A2127">
        <v>473819</v>
      </c>
      <c r="B2127" t="s">
        <v>33946</v>
      </c>
      <c r="C2127" t="str">
        <f>"9781886941298"</f>
        <v>9781886941298</v>
      </c>
      <c r="D2127" t="str">
        <f>"9781886941922"</f>
        <v>9781886941922</v>
      </c>
      <c r="E2127" t="s">
        <v>27422</v>
      </c>
      <c r="F2127" t="s">
        <v>7439</v>
      </c>
      <c r="G2127" t="s">
        <v>33942</v>
      </c>
      <c r="H2127" t="s">
        <v>26004</v>
      </c>
      <c r="I2127" s="26">
        <v>36982</v>
      </c>
      <c r="J2127">
        <v>2001</v>
      </c>
      <c r="K2127" t="s">
        <v>7439</v>
      </c>
      <c r="L2127">
        <v>188</v>
      </c>
      <c r="M2127" t="s">
        <v>33943</v>
      </c>
      <c r="Q2127" t="s">
        <v>33947</v>
      </c>
      <c r="R2127">
        <v>371.93</v>
      </c>
      <c r="S2127" t="s">
        <v>33948</v>
      </c>
      <c r="T2127" t="s">
        <v>30</v>
      </c>
      <c r="U2127" t="s">
        <v>337</v>
      </c>
      <c r="W2127" t="s">
        <v>26009</v>
      </c>
    </row>
    <row r="2128" spans="1:23" x14ac:dyDescent="0.35">
      <c r="A2128">
        <v>474283</v>
      </c>
      <c r="B2128" t="s">
        <v>10209</v>
      </c>
      <c r="C2128" t="str">
        <f>"9789056295806"</f>
        <v>9789056295806</v>
      </c>
      <c r="D2128" t="str">
        <f>"9789048510863"</f>
        <v>9789048510863</v>
      </c>
      <c r="E2128" t="s">
        <v>7497</v>
      </c>
      <c r="F2128" t="s">
        <v>7497</v>
      </c>
      <c r="G2128" t="s">
        <v>22222</v>
      </c>
      <c r="H2128" t="s">
        <v>27983</v>
      </c>
      <c r="I2128" s="26">
        <v>39814</v>
      </c>
      <c r="J2128">
        <v>2009</v>
      </c>
      <c r="K2128" t="s">
        <v>32379</v>
      </c>
      <c r="L2128">
        <v>9</v>
      </c>
      <c r="M2128" t="s">
        <v>33949</v>
      </c>
      <c r="N2128">
        <v>1</v>
      </c>
      <c r="O2128" t="s">
        <v>33950</v>
      </c>
      <c r="P2128" t="s">
        <v>33951</v>
      </c>
      <c r="Q2128" t="s">
        <v>33952</v>
      </c>
      <c r="R2128" t="s">
        <v>33953</v>
      </c>
      <c r="S2128" t="s">
        <v>33954</v>
      </c>
      <c r="T2128" t="s">
        <v>8494</v>
      </c>
      <c r="U2128" t="s">
        <v>26116</v>
      </c>
      <c r="W2128" t="s">
        <v>26009</v>
      </c>
    </row>
    <row r="2129" spans="1:23" x14ac:dyDescent="0.35">
      <c r="A2129">
        <v>474295</v>
      </c>
      <c r="B2129" t="s">
        <v>8701</v>
      </c>
      <c r="C2129" t="str">
        <f>"9789056295929"</f>
        <v>9789056295929</v>
      </c>
      <c r="D2129" t="str">
        <f>"9789048511273"</f>
        <v>9789048511273</v>
      </c>
      <c r="E2129" t="s">
        <v>7497</v>
      </c>
      <c r="F2129" t="s">
        <v>7497</v>
      </c>
      <c r="G2129" t="s">
        <v>22222</v>
      </c>
      <c r="H2129" t="s">
        <v>27983</v>
      </c>
      <c r="I2129" s="26">
        <v>39814</v>
      </c>
      <c r="J2129">
        <v>2009</v>
      </c>
      <c r="K2129" t="s">
        <v>32379</v>
      </c>
      <c r="L2129">
        <v>37</v>
      </c>
      <c r="M2129" t="s">
        <v>33955</v>
      </c>
      <c r="N2129">
        <v>1</v>
      </c>
      <c r="O2129" t="s">
        <v>33956</v>
      </c>
      <c r="Q2129" t="s">
        <v>33957</v>
      </c>
      <c r="R2129" t="s">
        <v>33958</v>
      </c>
      <c r="S2129" t="s">
        <v>33959</v>
      </c>
      <c r="T2129" t="s">
        <v>8494</v>
      </c>
      <c r="U2129" t="s">
        <v>26228</v>
      </c>
      <c r="W2129" t="s">
        <v>26009</v>
      </c>
    </row>
    <row r="2130" spans="1:23" x14ac:dyDescent="0.35">
      <c r="A2130">
        <v>474310</v>
      </c>
      <c r="B2130" t="s">
        <v>9075</v>
      </c>
      <c r="C2130" t="str">
        <f>"9789056295448"</f>
        <v>9789056295448</v>
      </c>
      <c r="D2130" t="str">
        <f>"9789048508006"</f>
        <v>9789048508006</v>
      </c>
      <c r="E2130" t="s">
        <v>7497</v>
      </c>
      <c r="F2130" t="s">
        <v>7497</v>
      </c>
      <c r="G2130" t="s">
        <v>22222</v>
      </c>
      <c r="H2130" t="s">
        <v>27983</v>
      </c>
      <c r="I2130" s="26">
        <v>39448</v>
      </c>
      <c r="J2130">
        <v>2008</v>
      </c>
      <c r="K2130" t="s">
        <v>32379</v>
      </c>
      <c r="L2130">
        <v>24</v>
      </c>
      <c r="M2130" t="s">
        <v>33960</v>
      </c>
      <c r="N2130">
        <v>1</v>
      </c>
      <c r="O2130" t="s">
        <v>33961</v>
      </c>
      <c r="Q2130" t="s">
        <v>33962</v>
      </c>
      <c r="R2130" t="s">
        <v>33963</v>
      </c>
      <c r="S2130" t="s">
        <v>33964</v>
      </c>
      <c r="T2130" t="s">
        <v>8494</v>
      </c>
      <c r="U2130" t="s">
        <v>33965</v>
      </c>
      <c r="W2130" t="s">
        <v>26009</v>
      </c>
    </row>
    <row r="2131" spans="1:23" x14ac:dyDescent="0.35">
      <c r="A2131">
        <v>474341</v>
      </c>
      <c r="B2131" t="s">
        <v>33966</v>
      </c>
      <c r="C2131" t="str">
        <f>"9789056295585"</f>
        <v>9789056295585</v>
      </c>
      <c r="D2131" t="str">
        <f>"9789048508648"</f>
        <v>9789048508648</v>
      </c>
      <c r="E2131" t="s">
        <v>7497</v>
      </c>
      <c r="F2131" t="s">
        <v>7497</v>
      </c>
      <c r="G2131" t="s">
        <v>22222</v>
      </c>
      <c r="H2131" t="s">
        <v>27983</v>
      </c>
      <c r="I2131" s="26">
        <v>39448</v>
      </c>
      <c r="J2131">
        <v>2008</v>
      </c>
      <c r="K2131" t="s">
        <v>32379</v>
      </c>
      <c r="L2131">
        <v>29</v>
      </c>
      <c r="M2131" t="s">
        <v>33967</v>
      </c>
      <c r="N2131">
        <v>1</v>
      </c>
      <c r="O2131" t="s">
        <v>33968</v>
      </c>
      <c r="Q2131" t="s">
        <v>33969</v>
      </c>
      <c r="R2131" t="s">
        <v>33970</v>
      </c>
      <c r="S2131" t="s">
        <v>33971</v>
      </c>
      <c r="T2131" t="s">
        <v>8494</v>
      </c>
      <c r="U2131" t="s">
        <v>26019</v>
      </c>
      <c r="W2131" t="s">
        <v>26009</v>
      </c>
    </row>
    <row r="2132" spans="1:23" x14ac:dyDescent="0.35">
      <c r="A2132">
        <v>474342</v>
      </c>
      <c r="B2132" t="s">
        <v>8112</v>
      </c>
      <c r="C2132" t="str">
        <f>"9789085550266"</f>
        <v>9789085550266</v>
      </c>
      <c r="D2132" t="str">
        <f>"9789048511396"</f>
        <v>9789048511396</v>
      </c>
      <c r="E2132" t="s">
        <v>7497</v>
      </c>
      <c r="F2132" t="s">
        <v>7497</v>
      </c>
      <c r="G2132" t="s">
        <v>22222</v>
      </c>
      <c r="H2132" t="s">
        <v>27983</v>
      </c>
      <c r="I2132" s="26">
        <v>39814</v>
      </c>
      <c r="J2132">
        <v>2009</v>
      </c>
      <c r="K2132" t="s">
        <v>32374</v>
      </c>
      <c r="L2132">
        <v>180</v>
      </c>
      <c r="M2132" t="s">
        <v>33972</v>
      </c>
      <c r="N2132">
        <v>1</v>
      </c>
      <c r="Q2132" t="s">
        <v>33973</v>
      </c>
      <c r="R2132" t="s">
        <v>33974</v>
      </c>
      <c r="S2132" t="s">
        <v>33975</v>
      </c>
      <c r="T2132" t="s">
        <v>30</v>
      </c>
      <c r="U2132" t="s">
        <v>26040</v>
      </c>
      <c r="W2132" t="s">
        <v>26009</v>
      </c>
    </row>
    <row r="2133" spans="1:23" x14ac:dyDescent="0.35">
      <c r="A2133">
        <v>474550</v>
      </c>
      <c r="B2133" t="s">
        <v>33976</v>
      </c>
      <c r="C2133" t="str">
        <f>"9780805831733"</f>
        <v>9780805831733</v>
      </c>
      <c r="D2133" t="str">
        <f>"9781410609281"</f>
        <v>9781410609281</v>
      </c>
      <c r="E2133" t="s">
        <v>26010</v>
      </c>
      <c r="F2133" t="s">
        <v>35</v>
      </c>
      <c r="G2133" t="s">
        <v>22436</v>
      </c>
      <c r="H2133" t="s">
        <v>26004</v>
      </c>
      <c r="I2133" s="26">
        <v>37834</v>
      </c>
      <c r="J2133">
        <v>2004</v>
      </c>
      <c r="K2133" t="s">
        <v>26012</v>
      </c>
      <c r="L2133">
        <v>291</v>
      </c>
      <c r="M2133" t="s">
        <v>33977</v>
      </c>
      <c r="N2133">
        <v>1</v>
      </c>
      <c r="Q2133" t="s">
        <v>33978</v>
      </c>
      <c r="R2133" t="s">
        <v>33979</v>
      </c>
      <c r="S2133" t="s">
        <v>33980</v>
      </c>
      <c r="T2133" t="s">
        <v>30</v>
      </c>
      <c r="U2133" t="s">
        <v>26040</v>
      </c>
      <c r="W2133" t="s">
        <v>26009</v>
      </c>
    </row>
    <row r="2134" spans="1:23" x14ac:dyDescent="0.35">
      <c r="A2134">
        <v>474562</v>
      </c>
      <c r="B2134" t="s">
        <v>10016</v>
      </c>
      <c r="C2134" t="str">
        <f>"9780805823806"</f>
        <v>9780805823806</v>
      </c>
      <c r="D2134" t="str">
        <f>"9781410604323"</f>
        <v>9781410604323</v>
      </c>
      <c r="E2134" t="s">
        <v>26010</v>
      </c>
      <c r="F2134" t="s">
        <v>35</v>
      </c>
      <c r="G2134" t="s">
        <v>22242</v>
      </c>
      <c r="H2134" t="s">
        <v>26004</v>
      </c>
      <c r="I2134" s="26">
        <v>36373</v>
      </c>
      <c r="J2134">
        <v>2000</v>
      </c>
      <c r="K2134" t="s">
        <v>26012</v>
      </c>
      <c r="L2134">
        <v>535</v>
      </c>
      <c r="M2134" t="s">
        <v>33981</v>
      </c>
      <c r="N2134">
        <v>2</v>
      </c>
      <c r="O2134" t="s">
        <v>33982</v>
      </c>
      <c r="Q2134" t="s">
        <v>33983</v>
      </c>
      <c r="R2134" t="s">
        <v>26032</v>
      </c>
      <c r="S2134" t="s">
        <v>33984</v>
      </c>
      <c r="T2134" t="s">
        <v>30</v>
      </c>
      <c r="U2134" t="s">
        <v>46</v>
      </c>
      <c r="W2134" t="s">
        <v>26009</v>
      </c>
    </row>
    <row r="2135" spans="1:23" x14ac:dyDescent="0.35">
      <c r="A2135">
        <v>474626</v>
      </c>
      <c r="B2135" t="s">
        <v>8726</v>
      </c>
      <c r="C2135" t="str">
        <f>"9780805836110"</f>
        <v>9780805836110</v>
      </c>
      <c r="D2135" t="str">
        <f>"9781410600608"</f>
        <v>9781410600608</v>
      </c>
      <c r="E2135" t="s">
        <v>26010</v>
      </c>
      <c r="F2135" t="s">
        <v>35</v>
      </c>
      <c r="G2135" t="s">
        <v>22242</v>
      </c>
      <c r="H2135" t="s">
        <v>26004</v>
      </c>
      <c r="I2135" s="26">
        <v>36982</v>
      </c>
      <c r="J2135">
        <v>2001</v>
      </c>
      <c r="K2135" t="s">
        <v>660</v>
      </c>
      <c r="L2135">
        <v>424</v>
      </c>
      <c r="M2135" t="s">
        <v>33985</v>
      </c>
      <c r="N2135">
        <v>1</v>
      </c>
      <c r="O2135" t="s">
        <v>33986</v>
      </c>
      <c r="Q2135" t="s">
        <v>33987</v>
      </c>
      <c r="R2135">
        <v>158.69999999999999</v>
      </c>
      <c r="S2135" t="s">
        <v>33988</v>
      </c>
      <c r="T2135" t="s">
        <v>30</v>
      </c>
      <c r="U2135" t="s">
        <v>33989</v>
      </c>
      <c r="W2135" t="s">
        <v>26009</v>
      </c>
    </row>
    <row r="2136" spans="1:23" x14ac:dyDescent="0.35">
      <c r="A2136">
        <v>474649</v>
      </c>
      <c r="B2136" t="s">
        <v>33990</v>
      </c>
      <c r="C2136" t="str">
        <f>"9780805843231"</f>
        <v>9780805843231</v>
      </c>
      <c r="D2136" t="str">
        <f>"9781410606570"</f>
        <v>9781410606570</v>
      </c>
      <c r="E2136" t="s">
        <v>26010</v>
      </c>
      <c r="F2136" t="s">
        <v>35</v>
      </c>
      <c r="G2136" t="s">
        <v>22436</v>
      </c>
      <c r="H2136" t="s">
        <v>26004</v>
      </c>
      <c r="I2136" s="26">
        <v>37408</v>
      </c>
      <c r="J2136">
        <v>2002</v>
      </c>
      <c r="K2136" t="s">
        <v>660</v>
      </c>
      <c r="L2136">
        <v>471</v>
      </c>
      <c r="M2136" t="s">
        <v>33991</v>
      </c>
      <c r="N2136">
        <v>1</v>
      </c>
      <c r="Q2136" t="s">
        <v>33992</v>
      </c>
      <c r="R2136">
        <v>150</v>
      </c>
      <c r="S2136" t="s">
        <v>33993</v>
      </c>
      <c r="T2136" t="s">
        <v>30</v>
      </c>
      <c r="U2136" t="s">
        <v>46</v>
      </c>
      <c r="W2136" t="s">
        <v>26009</v>
      </c>
    </row>
    <row r="2137" spans="1:23" x14ac:dyDescent="0.35">
      <c r="A2137">
        <v>474757</v>
      </c>
      <c r="B2137" t="s">
        <v>7817</v>
      </c>
      <c r="C2137" t="str">
        <f>"9781847421845"</f>
        <v>9781847421845</v>
      </c>
      <c r="D2137" t="str">
        <f>"9781847421852"</f>
        <v>9781847421852</v>
      </c>
      <c r="E2137" t="s">
        <v>4632</v>
      </c>
      <c r="F2137" t="s">
        <v>4632</v>
      </c>
      <c r="G2137" t="s">
        <v>24532</v>
      </c>
      <c r="H2137" t="s">
        <v>26011</v>
      </c>
      <c r="I2137" s="26">
        <v>39939</v>
      </c>
      <c r="J2137">
        <v>2009</v>
      </c>
      <c r="K2137" t="s">
        <v>4632</v>
      </c>
      <c r="L2137">
        <v>217</v>
      </c>
      <c r="M2137" t="s">
        <v>33994</v>
      </c>
      <c r="N2137">
        <v>1</v>
      </c>
      <c r="Q2137" t="s">
        <v>33995</v>
      </c>
      <c r="T2137" t="s">
        <v>30</v>
      </c>
      <c r="U2137" t="s">
        <v>46</v>
      </c>
      <c r="W2137" t="s">
        <v>26009</v>
      </c>
    </row>
    <row r="2138" spans="1:23" x14ac:dyDescent="0.35">
      <c r="A2138">
        <v>475141</v>
      </c>
      <c r="B2138" t="s">
        <v>33996</v>
      </c>
      <c r="C2138" t="str">
        <f>"9780826110947"</f>
        <v>9780826110947</v>
      </c>
      <c r="D2138" t="str">
        <f>"9780826110954"</f>
        <v>9780826110954</v>
      </c>
      <c r="E2138" t="s">
        <v>1504</v>
      </c>
      <c r="F2138" t="s">
        <v>33</v>
      </c>
      <c r="G2138" t="s">
        <v>22179</v>
      </c>
      <c r="H2138" t="s">
        <v>26004</v>
      </c>
      <c r="I2138" s="26">
        <v>40148</v>
      </c>
      <c r="J2138">
        <v>2010</v>
      </c>
      <c r="K2138" t="s">
        <v>33</v>
      </c>
      <c r="L2138">
        <v>910</v>
      </c>
      <c r="M2138" t="s">
        <v>33997</v>
      </c>
      <c r="N2138">
        <v>1</v>
      </c>
      <c r="Q2138" t="s">
        <v>33998</v>
      </c>
      <c r="R2138" t="s">
        <v>33999</v>
      </c>
      <c r="S2138" t="s">
        <v>34000</v>
      </c>
      <c r="T2138" t="s">
        <v>30</v>
      </c>
      <c r="U2138" t="s">
        <v>26094</v>
      </c>
      <c r="W2138" t="s">
        <v>26009</v>
      </c>
    </row>
    <row r="2139" spans="1:23" x14ac:dyDescent="0.35">
      <c r="A2139">
        <v>475142</v>
      </c>
      <c r="B2139" t="s">
        <v>34001</v>
      </c>
      <c r="C2139" t="str">
        <f>"9780826102171"</f>
        <v>9780826102171</v>
      </c>
      <c r="D2139" t="str">
        <f>"9780826103468"</f>
        <v>9780826103468</v>
      </c>
      <c r="E2139" t="s">
        <v>1504</v>
      </c>
      <c r="F2139" t="s">
        <v>33</v>
      </c>
      <c r="G2139" t="s">
        <v>22179</v>
      </c>
      <c r="H2139" t="s">
        <v>26004</v>
      </c>
      <c r="I2139" s="26">
        <v>40148</v>
      </c>
      <c r="J2139">
        <v>2010</v>
      </c>
      <c r="K2139" t="s">
        <v>33</v>
      </c>
      <c r="L2139">
        <v>552</v>
      </c>
      <c r="M2139" t="s">
        <v>34002</v>
      </c>
      <c r="N2139">
        <v>2</v>
      </c>
      <c r="Q2139" t="s">
        <v>34003</v>
      </c>
      <c r="R2139" t="s">
        <v>34004</v>
      </c>
      <c r="S2139" t="s">
        <v>34005</v>
      </c>
      <c r="T2139" t="s">
        <v>30</v>
      </c>
      <c r="U2139" t="s">
        <v>26250</v>
      </c>
      <c r="W2139" t="s">
        <v>26009</v>
      </c>
    </row>
    <row r="2140" spans="1:23" x14ac:dyDescent="0.35">
      <c r="A2140">
        <v>475175</v>
      </c>
      <c r="B2140" t="s">
        <v>34006</v>
      </c>
      <c r="C2140" t="str">
        <f>"9780807833476"</f>
        <v>9780807833476</v>
      </c>
      <c r="D2140" t="str">
        <f>"9780807898512"</f>
        <v>9780807898512</v>
      </c>
      <c r="E2140" t="s">
        <v>31948</v>
      </c>
      <c r="F2140" t="s">
        <v>7733</v>
      </c>
      <c r="G2140" t="s">
        <v>23742</v>
      </c>
      <c r="H2140" t="s">
        <v>26004</v>
      </c>
      <c r="I2140" s="26">
        <v>40162</v>
      </c>
      <c r="J2140">
        <v>2009</v>
      </c>
      <c r="K2140" t="s">
        <v>7733</v>
      </c>
      <c r="L2140">
        <v>213</v>
      </c>
      <c r="M2140" t="s">
        <v>34007</v>
      </c>
      <c r="N2140">
        <v>1</v>
      </c>
      <c r="R2140" t="s">
        <v>34008</v>
      </c>
      <c r="S2140" t="s">
        <v>34009</v>
      </c>
      <c r="T2140" t="s">
        <v>30</v>
      </c>
      <c r="U2140" t="s">
        <v>26008</v>
      </c>
      <c r="W2140" t="s">
        <v>26009</v>
      </c>
    </row>
    <row r="2141" spans="1:23" x14ac:dyDescent="0.35">
      <c r="A2141">
        <v>476276</v>
      </c>
      <c r="B2141" t="s">
        <v>34010</v>
      </c>
      <c r="C2141" t="str">
        <f>"9780754677673"</f>
        <v>9780754677673</v>
      </c>
      <c r="D2141" t="str">
        <f>"9780754695158"</f>
        <v>9780754695158</v>
      </c>
      <c r="E2141" t="s">
        <v>26010</v>
      </c>
      <c r="F2141" t="s">
        <v>35</v>
      </c>
      <c r="G2141" t="s">
        <v>33516</v>
      </c>
      <c r="H2141" t="s">
        <v>26011</v>
      </c>
      <c r="I2141" s="26">
        <v>40206</v>
      </c>
      <c r="J2141">
        <v>2010</v>
      </c>
      <c r="K2141" t="s">
        <v>26470</v>
      </c>
      <c r="L2141">
        <v>398</v>
      </c>
      <c r="M2141" t="s">
        <v>34011</v>
      </c>
      <c r="N2141">
        <v>1</v>
      </c>
      <c r="O2141" t="s">
        <v>33399</v>
      </c>
      <c r="Q2141" t="s">
        <v>34012</v>
      </c>
      <c r="R2141">
        <v>355.42200000000003</v>
      </c>
      <c r="S2141" t="s">
        <v>34013</v>
      </c>
      <c r="T2141" t="s">
        <v>30</v>
      </c>
      <c r="U2141" t="s">
        <v>33415</v>
      </c>
      <c r="W2141" t="s">
        <v>26009</v>
      </c>
    </row>
    <row r="2142" spans="1:23" x14ac:dyDescent="0.35">
      <c r="A2142">
        <v>476396</v>
      </c>
      <c r="B2142" t="s">
        <v>34014</v>
      </c>
      <c r="C2142" t="str">
        <f>"9780754664581"</f>
        <v>9780754664581</v>
      </c>
      <c r="D2142" t="str">
        <f>"9780754696353"</f>
        <v>9780754696353</v>
      </c>
      <c r="E2142" t="s">
        <v>26010</v>
      </c>
      <c r="F2142" t="s">
        <v>35</v>
      </c>
      <c r="G2142" t="s">
        <v>33516</v>
      </c>
      <c r="H2142" t="s">
        <v>26011</v>
      </c>
      <c r="I2142" s="26">
        <v>40114</v>
      </c>
      <c r="J2142">
        <v>2009</v>
      </c>
      <c r="K2142" t="s">
        <v>26012</v>
      </c>
      <c r="L2142">
        <v>188</v>
      </c>
      <c r="M2142" t="s">
        <v>34015</v>
      </c>
      <c r="N2142">
        <v>1</v>
      </c>
      <c r="O2142" t="s">
        <v>34016</v>
      </c>
      <c r="Q2142" t="s">
        <v>34017</v>
      </c>
      <c r="R2142" t="s">
        <v>26196</v>
      </c>
      <c r="S2142" t="s">
        <v>34018</v>
      </c>
      <c r="T2142" t="s">
        <v>30</v>
      </c>
      <c r="U2142" t="s">
        <v>11247</v>
      </c>
      <c r="W2142" t="s">
        <v>26009</v>
      </c>
    </row>
    <row r="2143" spans="1:23" x14ac:dyDescent="0.35">
      <c r="A2143">
        <v>476545</v>
      </c>
      <c r="B2143" t="s">
        <v>34019</v>
      </c>
      <c r="C2143" t="str">
        <f>"9781441175670"</f>
        <v>9781441175670</v>
      </c>
      <c r="D2143" t="str">
        <f>"9781441115836"</f>
        <v>9781441115836</v>
      </c>
      <c r="E2143" t="s">
        <v>31671</v>
      </c>
      <c r="F2143" t="s">
        <v>7760</v>
      </c>
      <c r="G2143" t="s">
        <v>22174</v>
      </c>
      <c r="H2143" t="s">
        <v>26011</v>
      </c>
      <c r="I2143" s="26">
        <v>40906</v>
      </c>
      <c r="J2143">
        <v>2009</v>
      </c>
      <c r="K2143" t="s">
        <v>33338</v>
      </c>
      <c r="L2143">
        <v>237</v>
      </c>
      <c r="M2143" t="s">
        <v>34020</v>
      </c>
      <c r="N2143">
        <v>1</v>
      </c>
      <c r="O2143" t="s">
        <v>34021</v>
      </c>
      <c r="Q2143" t="s">
        <v>34022</v>
      </c>
      <c r="R2143">
        <v>200.92</v>
      </c>
      <c r="S2143" t="s">
        <v>34023</v>
      </c>
      <c r="T2143" t="s">
        <v>30</v>
      </c>
      <c r="U2143" t="s">
        <v>11247</v>
      </c>
      <c r="W2143" t="s">
        <v>28347</v>
      </c>
    </row>
    <row r="2144" spans="1:23" x14ac:dyDescent="0.35">
      <c r="A2144">
        <v>476554</v>
      </c>
      <c r="B2144" t="s">
        <v>34024</v>
      </c>
      <c r="C2144" t="str">
        <f>"9781441104274"</f>
        <v>9781441104274</v>
      </c>
      <c r="D2144" t="str">
        <f>"9781441193841"</f>
        <v>9781441193841</v>
      </c>
      <c r="E2144" t="s">
        <v>31671</v>
      </c>
      <c r="F2144" t="s">
        <v>7760</v>
      </c>
      <c r="G2144" t="s">
        <v>22174</v>
      </c>
      <c r="H2144" t="s">
        <v>26011</v>
      </c>
      <c r="I2144" s="26">
        <v>40913</v>
      </c>
      <c r="J2144">
        <v>2009</v>
      </c>
      <c r="K2144" t="s">
        <v>33338</v>
      </c>
      <c r="L2144">
        <v>190</v>
      </c>
      <c r="M2144" t="s">
        <v>34025</v>
      </c>
      <c r="N2144">
        <v>1</v>
      </c>
      <c r="Q2144" t="s">
        <v>34026</v>
      </c>
      <c r="R2144">
        <v>615.78</v>
      </c>
      <c r="S2144" t="s">
        <v>34027</v>
      </c>
      <c r="T2144" t="s">
        <v>30</v>
      </c>
      <c r="U2144" t="s">
        <v>30799</v>
      </c>
      <c r="W2144" t="s">
        <v>28347</v>
      </c>
    </row>
    <row r="2145" spans="1:23" x14ac:dyDescent="0.35">
      <c r="A2145">
        <v>476951</v>
      </c>
      <c r="B2145" t="s">
        <v>34028</v>
      </c>
      <c r="C2145" t="str">
        <f>"9780874627626"</f>
        <v>9780874627626</v>
      </c>
      <c r="D2145" t="str">
        <f>"9780874628449"</f>
        <v>9780874628449</v>
      </c>
      <c r="E2145" t="s">
        <v>8409</v>
      </c>
      <c r="F2145" t="s">
        <v>8409</v>
      </c>
      <c r="G2145" t="s">
        <v>23528</v>
      </c>
      <c r="H2145" t="s">
        <v>26004</v>
      </c>
      <c r="I2145" s="26">
        <v>39753</v>
      </c>
      <c r="J2145">
        <v>2009</v>
      </c>
      <c r="K2145" t="s">
        <v>8409</v>
      </c>
      <c r="L2145">
        <v>301</v>
      </c>
      <c r="M2145" t="s">
        <v>34029</v>
      </c>
      <c r="N2145">
        <v>1</v>
      </c>
      <c r="O2145" t="s">
        <v>34030</v>
      </c>
      <c r="P2145">
        <v>64</v>
      </c>
      <c r="Q2145" t="s">
        <v>34031</v>
      </c>
      <c r="R2145">
        <v>150.1</v>
      </c>
      <c r="S2145" t="s">
        <v>34032</v>
      </c>
      <c r="T2145" t="s">
        <v>30</v>
      </c>
      <c r="U2145" t="s">
        <v>46</v>
      </c>
      <c r="W2145" t="s">
        <v>26009</v>
      </c>
    </row>
    <row r="2146" spans="1:23" x14ac:dyDescent="0.35">
      <c r="A2146">
        <v>477035</v>
      </c>
      <c r="B2146" t="s">
        <v>34033</v>
      </c>
      <c r="C2146" t="str">
        <f>"9780195380187"</f>
        <v>9780195380187</v>
      </c>
      <c r="D2146" t="str">
        <f>"9780199701667"</f>
        <v>9780199701667</v>
      </c>
      <c r="E2146" t="s">
        <v>371</v>
      </c>
      <c r="F2146" t="s">
        <v>31</v>
      </c>
      <c r="G2146" t="s">
        <v>22703</v>
      </c>
      <c r="H2146" t="s">
        <v>26004</v>
      </c>
      <c r="I2146" s="26">
        <v>40238</v>
      </c>
      <c r="J2146">
        <v>2010</v>
      </c>
      <c r="K2146" t="s">
        <v>31</v>
      </c>
      <c r="L2146">
        <v>238</v>
      </c>
      <c r="M2146" t="s">
        <v>34034</v>
      </c>
      <c r="N2146">
        <v>1</v>
      </c>
      <c r="O2146" t="s">
        <v>32000</v>
      </c>
      <c r="Q2146" t="s">
        <v>34035</v>
      </c>
      <c r="R2146">
        <v>616.79999999999995</v>
      </c>
      <c r="S2146" t="s">
        <v>34036</v>
      </c>
      <c r="T2146" t="s">
        <v>30</v>
      </c>
      <c r="U2146" t="s">
        <v>26040</v>
      </c>
      <c r="W2146" t="s">
        <v>26009</v>
      </c>
    </row>
    <row r="2147" spans="1:23" x14ac:dyDescent="0.35">
      <c r="A2147">
        <v>477036</v>
      </c>
      <c r="B2147" t="s">
        <v>34037</v>
      </c>
      <c r="C2147" t="str">
        <f>"9780195394269"</f>
        <v>9780195394269</v>
      </c>
      <c r="D2147" t="str">
        <f>"9780199745432"</f>
        <v>9780199745432</v>
      </c>
      <c r="E2147" t="s">
        <v>371</v>
      </c>
      <c r="F2147" t="s">
        <v>31</v>
      </c>
      <c r="G2147" t="s">
        <v>22703</v>
      </c>
      <c r="H2147" t="s">
        <v>26004</v>
      </c>
      <c r="I2147" s="26">
        <v>40280</v>
      </c>
      <c r="J2147">
        <v>2010</v>
      </c>
      <c r="K2147" t="s">
        <v>31</v>
      </c>
      <c r="L2147">
        <v>281</v>
      </c>
      <c r="M2147" t="s">
        <v>34038</v>
      </c>
      <c r="Q2147" t="s">
        <v>34039</v>
      </c>
      <c r="R2147">
        <v>152.13999999999999</v>
      </c>
      <c r="S2147" t="s">
        <v>34040</v>
      </c>
      <c r="T2147" t="s">
        <v>30</v>
      </c>
      <c r="U2147" t="s">
        <v>46</v>
      </c>
      <c r="W2147" t="s">
        <v>26009</v>
      </c>
    </row>
    <row r="2148" spans="1:23" x14ac:dyDescent="0.35">
      <c r="A2148">
        <v>478315</v>
      </c>
      <c r="B2148" t="s">
        <v>34041</v>
      </c>
      <c r="C2148" t="str">
        <f>"9781555915162"</f>
        <v>9781555915162</v>
      </c>
      <c r="D2148" t="str">
        <f>"9781555917760"</f>
        <v>9781555917760</v>
      </c>
      <c r="E2148" t="s">
        <v>27422</v>
      </c>
      <c r="F2148" t="s">
        <v>7972</v>
      </c>
      <c r="G2148" t="s">
        <v>34042</v>
      </c>
      <c r="H2148" t="s">
        <v>26004</v>
      </c>
      <c r="I2148" s="26">
        <v>42690</v>
      </c>
      <c r="J2148">
        <v>2009</v>
      </c>
      <c r="K2148" t="s">
        <v>34043</v>
      </c>
      <c r="L2148">
        <v>249</v>
      </c>
      <c r="M2148" t="s">
        <v>34044</v>
      </c>
      <c r="N2148">
        <v>1</v>
      </c>
      <c r="Q2148" t="s">
        <v>34045</v>
      </c>
      <c r="R2148">
        <v>305.48897073000001</v>
      </c>
      <c r="S2148" t="s">
        <v>34046</v>
      </c>
      <c r="T2148" t="s">
        <v>30</v>
      </c>
      <c r="U2148" t="s">
        <v>28111</v>
      </c>
      <c r="W2148" t="s">
        <v>31887</v>
      </c>
    </row>
    <row r="2149" spans="1:23" x14ac:dyDescent="0.35">
      <c r="A2149">
        <v>479603</v>
      </c>
      <c r="B2149" t="s">
        <v>9135</v>
      </c>
      <c r="C2149" t="str">
        <f>"9781606235539"</f>
        <v>9781606235539</v>
      </c>
      <c r="D2149" t="str">
        <f>"9781606235553"</f>
        <v>9781606235553</v>
      </c>
      <c r="E2149" t="s">
        <v>30112</v>
      </c>
      <c r="F2149" t="s">
        <v>7420</v>
      </c>
      <c r="G2149" t="s">
        <v>22179</v>
      </c>
      <c r="H2149" t="s">
        <v>26004</v>
      </c>
      <c r="I2149" s="26">
        <v>40207</v>
      </c>
      <c r="J2149">
        <v>2010</v>
      </c>
      <c r="K2149" t="s">
        <v>30113</v>
      </c>
      <c r="L2149">
        <v>383</v>
      </c>
      <c r="M2149" t="s">
        <v>34047</v>
      </c>
      <c r="N2149">
        <v>1</v>
      </c>
      <c r="Q2149" t="s">
        <v>34048</v>
      </c>
      <c r="R2149">
        <v>153.69999999999999</v>
      </c>
      <c r="S2149" t="s">
        <v>34049</v>
      </c>
      <c r="T2149" t="s">
        <v>30</v>
      </c>
      <c r="U2149" t="s">
        <v>46</v>
      </c>
      <c r="W2149" t="s">
        <v>28347</v>
      </c>
    </row>
    <row r="2150" spans="1:23" x14ac:dyDescent="0.35">
      <c r="A2150">
        <v>480087</v>
      </c>
      <c r="B2150" t="s">
        <v>34050</v>
      </c>
      <c r="C2150" t="str">
        <f>"9780761849476"</f>
        <v>9780761849476</v>
      </c>
      <c r="D2150" t="str">
        <f>"9780761849483"</f>
        <v>9780761849483</v>
      </c>
      <c r="E2150" t="s">
        <v>33803</v>
      </c>
      <c r="F2150" t="s">
        <v>34051</v>
      </c>
      <c r="G2150" t="s">
        <v>33804</v>
      </c>
      <c r="H2150" t="s">
        <v>26004</v>
      </c>
      <c r="I2150" s="26">
        <v>40168</v>
      </c>
      <c r="J2150">
        <v>2009</v>
      </c>
      <c r="K2150" t="s">
        <v>34051</v>
      </c>
      <c r="L2150">
        <v>139</v>
      </c>
      <c r="M2150" t="s">
        <v>34052</v>
      </c>
      <c r="N2150">
        <v>1</v>
      </c>
      <c r="Q2150" t="s">
        <v>34053</v>
      </c>
      <c r="S2150" t="s">
        <v>7521</v>
      </c>
      <c r="T2150" t="s">
        <v>30</v>
      </c>
      <c r="U2150" t="s">
        <v>26044</v>
      </c>
      <c r="W2150" t="s">
        <v>26009</v>
      </c>
    </row>
    <row r="2151" spans="1:23" x14ac:dyDescent="0.35">
      <c r="A2151">
        <v>480663</v>
      </c>
      <c r="B2151" t="s">
        <v>9227</v>
      </c>
      <c r="C2151" t="str">
        <f>"9780195372502"</f>
        <v>9780195372502</v>
      </c>
      <c r="D2151" t="str">
        <f>"9780199706990"</f>
        <v>9780199706990</v>
      </c>
      <c r="E2151" t="s">
        <v>371</v>
      </c>
      <c r="F2151" t="s">
        <v>31</v>
      </c>
      <c r="G2151" t="s">
        <v>22703</v>
      </c>
      <c r="H2151" t="s">
        <v>26004</v>
      </c>
      <c r="I2151" s="26">
        <v>40238</v>
      </c>
      <c r="J2151">
        <v>2010</v>
      </c>
      <c r="K2151" t="s">
        <v>31</v>
      </c>
      <c r="L2151">
        <v>373</v>
      </c>
      <c r="M2151" t="s">
        <v>34054</v>
      </c>
      <c r="N2151">
        <v>1</v>
      </c>
      <c r="O2151" t="s">
        <v>32000</v>
      </c>
      <c r="Q2151" t="s">
        <v>34055</v>
      </c>
      <c r="R2151">
        <v>616.85299999999995</v>
      </c>
      <c r="S2151" t="s">
        <v>34056</v>
      </c>
      <c r="T2151" t="s">
        <v>30</v>
      </c>
      <c r="U2151" t="s">
        <v>26040</v>
      </c>
      <c r="W2151" t="s">
        <v>26009</v>
      </c>
    </row>
    <row r="2152" spans="1:23" x14ac:dyDescent="0.35">
      <c r="A2152">
        <v>480974</v>
      </c>
      <c r="B2152" t="s">
        <v>7563</v>
      </c>
      <c r="C2152" t="str">
        <f>"9781861891051"</f>
        <v>9781861891051</v>
      </c>
      <c r="D2152" t="str">
        <f>"9781861896865"</f>
        <v>9781861896865</v>
      </c>
      <c r="E2152" t="s">
        <v>34057</v>
      </c>
      <c r="F2152" t="s">
        <v>7564</v>
      </c>
      <c r="G2152" t="s">
        <v>22174</v>
      </c>
      <c r="H2152" t="s">
        <v>26011</v>
      </c>
      <c r="I2152" s="26">
        <v>37988</v>
      </c>
      <c r="J2152">
        <v>2001</v>
      </c>
      <c r="K2152" t="s">
        <v>7564</v>
      </c>
      <c r="L2152">
        <v>255</v>
      </c>
      <c r="M2152" t="s">
        <v>34058</v>
      </c>
      <c r="N2152">
        <v>1</v>
      </c>
      <c r="O2152" t="s">
        <v>34059</v>
      </c>
      <c r="Q2152" t="s">
        <v>34060</v>
      </c>
      <c r="R2152" t="s">
        <v>34061</v>
      </c>
      <c r="S2152" t="s">
        <v>34062</v>
      </c>
      <c r="T2152" t="s">
        <v>30</v>
      </c>
      <c r="U2152" t="s">
        <v>30657</v>
      </c>
      <c r="W2152" t="s">
        <v>26009</v>
      </c>
    </row>
    <row r="2153" spans="1:23" x14ac:dyDescent="0.35">
      <c r="A2153">
        <v>481003</v>
      </c>
      <c r="B2153" t="s">
        <v>34063</v>
      </c>
      <c r="C2153" t="str">
        <f>"9781848728813"</f>
        <v>9781848728813</v>
      </c>
      <c r="D2153" t="str">
        <f>"9780203848777"</f>
        <v>9780203848777</v>
      </c>
      <c r="E2153" t="s">
        <v>26010</v>
      </c>
      <c r="F2153" t="s">
        <v>35</v>
      </c>
      <c r="G2153" t="s">
        <v>22174</v>
      </c>
      <c r="H2153" t="s">
        <v>26004</v>
      </c>
      <c r="I2153" s="26">
        <v>40148</v>
      </c>
      <c r="J2153">
        <v>2010</v>
      </c>
      <c r="K2153" t="s">
        <v>660</v>
      </c>
      <c r="L2153">
        <v>417</v>
      </c>
      <c r="M2153" t="s">
        <v>34064</v>
      </c>
      <c r="N2153">
        <v>2</v>
      </c>
      <c r="Q2153" t="s">
        <v>34065</v>
      </c>
      <c r="R2153">
        <v>320.01900000000001</v>
      </c>
      <c r="S2153" t="s">
        <v>34066</v>
      </c>
      <c r="T2153" t="s">
        <v>30</v>
      </c>
      <c r="U2153" t="s">
        <v>5222</v>
      </c>
      <c r="W2153" t="s">
        <v>26009</v>
      </c>
    </row>
    <row r="2154" spans="1:23" x14ac:dyDescent="0.35">
      <c r="A2154">
        <v>481011</v>
      </c>
      <c r="B2154" t="s">
        <v>10292</v>
      </c>
      <c r="C2154" t="str">
        <f>"9780415374712"</f>
        <v>9780415374712</v>
      </c>
      <c r="D2154" t="str">
        <f>"9780203929414"</f>
        <v>9780203929414</v>
      </c>
      <c r="E2154" t="s">
        <v>26010</v>
      </c>
      <c r="F2154" t="s">
        <v>35</v>
      </c>
      <c r="G2154" t="s">
        <v>22174</v>
      </c>
      <c r="H2154" t="s">
        <v>26011</v>
      </c>
      <c r="I2154" s="26">
        <v>40218</v>
      </c>
      <c r="J2154">
        <v>2010</v>
      </c>
      <c r="K2154" t="s">
        <v>26012</v>
      </c>
      <c r="L2154">
        <v>285</v>
      </c>
      <c r="M2154" t="s">
        <v>34067</v>
      </c>
      <c r="N2154">
        <v>1</v>
      </c>
      <c r="Q2154" t="s">
        <v>34068</v>
      </c>
      <c r="R2154">
        <v>306.10000000000002</v>
      </c>
      <c r="S2154" t="s">
        <v>10293</v>
      </c>
      <c r="T2154" t="s">
        <v>30</v>
      </c>
      <c r="U2154" t="s">
        <v>26044</v>
      </c>
      <c r="W2154" t="s">
        <v>26009</v>
      </c>
    </row>
    <row r="2155" spans="1:23" x14ac:dyDescent="0.35">
      <c r="A2155">
        <v>481016</v>
      </c>
      <c r="B2155" t="s">
        <v>34069</v>
      </c>
      <c r="C2155" t="str">
        <f>"9781848720077"</f>
        <v>9781848720077</v>
      </c>
      <c r="D2155" t="str">
        <f>"9780203868706"</f>
        <v>9780203868706</v>
      </c>
      <c r="E2155" t="s">
        <v>26010</v>
      </c>
      <c r="F2155" t="s">
        <v>35</v>
      </c>
      <c r="G2155" t="s">
        <v>22267</v>
      </c>
      <c r="H2155" t="s">
        <v>26011</v>
      </c>
      <c r="I2155" s="26">
        <v>40088</v>
      </c>
      <c r="J2155">
        <v>2009</v>
      </c>
      <c r="K2155" t="s">
        <v>660</v>
      </c>
      <c r="L2155">
        <v>281</v>
      </c>
      <c r="M2155" t="s">
        <v>34070</v>
      </c>
      <c r="N2155">
        <v>1</v>
      </c>
      <c r="Q2155" t="s">
        <v>34071</v>
      </c>
      <c r="R2155">
        <v>618.9289</v>
      </c>
      <c r="S2155" t="s">
        <v>8138</v>
      </c>
      <c r="T2155" t="s">
        <v>30</v>
      </c>
      <c r="U2155" t="s">
        <v>26116</v>
      </c>
      <c r="W2155" t="s">
        <v>26009</v>
      </c>
    </row>
    <row r="2156" spans="1:23" x14ac:dyDescent="0.35">
      <c r="A2156">
        <v>481092</v>
      </c>
      <c r="B2156" t="s">
        <v>9357</v>
      </c>
      <c r="C2156" t="str">
        <f>"9780415548861"</f>
        <v>9780415548861</v>
      </c>
      <c r="D2156" t="str">
        <f>"9780203855461"</f>
        <v>9780203855461</v>
      </c>
      <c r="E2156" t="s">
        <v>26010</v>
      </c>
      <c r="F2156" t="s">
        <v>35</v>
      </c>
      <c r="G2156" t="s">
        <v>22174</v>
      </c>
      <c r="H2156" t="s">
        <v>26011</v>
      </c>
      <c r="I2156" s="26">
        <v>40259</v>
      </c>
      <c r="J2156">
        <v>2010</v>
      </c>
      <c r="K2156" t="s">
        <v>26012</v>
      </c>
      <c r="L2156">
        <v>161</v>
      </c>
      <c r="M2156" t="s">
        <v>34072</v>
      </c>
      <c r="N2156">
        <v>1</v>
      </c>
      <c r="Q2156" t="s">
        <v>34073</v>
      </c>
      <c r="R2156">
        <v>370.15699999999998</v>
      </c>
      <c r="S2156" t="s">
        <v>9358</v>
      </c>
      <c r="T2156" t="s">
        <v>30</v>
      </c>
      <c r="U2156" t="s">
        <v>337</v>
      </c>
      <c r="W2156" t="s">
        <v>26009</v>
      </c>
    </row>
    <row r="2157" spans="1:23" x14ac:dyDescent="0.35">
      <c r="A2157">
        <v>481231</v>
      </c>
      <c r="B2157" t="s">
        <v>34074</v>
      </c>
      <c r="C2157" t="str">
        <f>"9780226349510"</f>
        <v>9780226349510</v>
      </c>
      <c r="D2157" t="str">
        <f>"9780226349466"</f>
        <v>9780226349466</v>
      </c>
      <c r="E2157" t="s">
        <v>550</v>
      </c>
      <c r="F2157" t="s">
        <v>550</v>
      </c>
      <c r="G2157" t="s">
        <v>22352</v>
      </c>
      <c r="H2157" t="s">
        <v>26004</v>
      </c>
      <c r="I2157" s="26">
        <v>37257</v>
      </c>
      <c r="J2157">
        <v>2001</v>
      </c>
      <c r="K2157" t="s">
        <v>550</v>
      </c>
      <c r="L2157">
        <v>388</v>
      </c>
      <c r="M2157" t="s">
        <v>34075</v>
      </c>
      <c r="N2157">
        <v>1</v>
      </c>
      <c r="O2157" t="s">
        <v>34076</v>
      </c>
      <c r="Q2157" t="s">
        <v>34077</v>
      </c>
      <c r="R2157" t="s">
        <v>34078</v>
      </c>
      <c r="S2157" t="s">
        <v>34079</v>
      </c>
      <c r="T2157" t="s">
        <v>30</v>
      </c>
      <c r="U2157" t="s">
        <v>11247</v>
      </c>
      <c r="W2157" t="s">
        <v>26009</v>
      </c>
    </row>
    <row r="2158" spans="1:23" x14ac:dyDescent="0.35">
      <c r="A2158">
        <v>483191</v>
      </c>
      <c r="B2158" t="s">
        <v>9589</v>
      </c>
      <c r="C2158" t="str">
        <f>"9781903240441"</f>
        <v>9781903240441</v>
      </c>
      <c r="D2158" t="str">
        <f>"9781135997908"</f>
        <v>9781135997908</v>
      </c>
      <c r="E2158" t="s">
        <v>26010</v>
      </c>
      <c r="F2158" t="s">
        <v>7748</v>
      </c>
      <c r="G2158" t="s">
        <v>33531</v>
      </c>
      <c r="H2158" t="s">
        <v>26011</v>
      </c>
      <c r="I2158" s="26">
        <v>37316</v>
      </c>
      <c r="J2158">
        <v>2002</v>
      </c>
      <c r="K2158" t="s">
        <v>7748</v>
      </c>
      <c r="L2158">
        <v>193</v>
      </c>
      <c r="M2158" t="s">
        <v>34080</v>
      </c>
      <c r="N2158">
        <v>1</v>
      </c>
      <c r="Q2158" t="s">
        <v>34081</v>
      </c>
      <c r="R2158">
        <v>300.10000000000002</v>
      </c>
      <c r="S2158" t="s">
        <v>9590</v>
      </c>
      <c r="T2158" t="s">
        <v>30</v>
      </c>
      <c r="U2158" t="s">
        <v>26044</v>
      </c>
      <c r="W2158" t="s">
        <v>26009</v>
      </c>
    </row>
    <row r="2159" spans="1:23" x14ac:dyDescent="0.35">
      <c r="A2159">
        <v>483308</v>
      </c>
      <c r="B2159" t="s">
        <v>8100</v>
      </c>
      <c r="C2159" t="str">
        <f>"9780803974814"</f>
        <v>9780803974814</v>
      </c>
      <c r="D2159" t="str">
        <f>"9780857022783"</f>
        <v>9780857022783</v>
      </c>
      <c r="E2159" t="s">
        <v>28007</v>
      </c>
      <c r="F2159" t="s">
        <v>7430</v>
      </c>
      <c r="G2159" t="s">
        <v>22174</v>
      </c>
      <c r="H2159" t="s">
        <v>26011</v>
      </c>
      <c r="I2159" s="26">
        <v>35082</v>
      </c>
      <c r="J2159">
        <v>1996</v>
      </c>
      <c r="K2159" t="s">
        <v>7430</v>
      </c>
      <c r="L2159">
        <v>169</v>
      </c>
      <c r="M2159" t="s">
        <v>34082</v>
      </c>
      <c r="N2159">
        <v>1</v>
      </c>
      <c r="Q2159">
        <v>95071356</v>
      </c>
      <c r="R2159" t="s">
        <v>34083</v>
      </c>
      <c r="S2159" t="s">
        <v>8101</v>
      </c>
      <c r="T2159" t="s">
        <v>30</v>
      </c>
      <c r="U2159" t="s">
        <v>26040</v>
      </c>
      <c r="W2159" t="s">
        <v>26009</v>
      </c>
    </row>
    <row r="2160" spans="1:23" x14ac:dyDescent="0.35">
      <c r="A2160">
        <v>483340</v>
      </c>
      <c r="B2160" t="s">
        <v>34084</v>
      </c>
      <c r="C2160" t="str">
        <f>"9780761964087"</f>
        <v>9780761964087</v>
      </c>
      <c r="D2160" t="str">
        <f>"9780857022196"</f>
        <v>9780857022196</v>
      </c>
      <c r="E2160" t="s">
        <v>28007</v>
      </c>
      <c r="F2160" t="s">
        <v>7430</v>
      </c>
      <c r="G2160" t="s">
        <v>22174</v>
      </c>
      <c r="H2160" t="s">
        <v>26011</v>
      </c>
      <c r="I2160" s="26">
        <v>37013</v>
      </c>
      <c r="J2160">
        <v>2001</v>
      </c>
      <c r="K2160" t="s">
        <v>7430</v>
      </c>
      <c r="L2160">
        <v>172</v>
      </c>
      <c r="M2160" t="s">
        <v>34085</v>
      </c>
      <c r="N2160">
        <v>1</v>
      </c>
      <c r="Q2160">
        <v>2001269600</v>
      </c>
      <c r="R2160" t="s">
        <v>34086</v>
      </c>
      <c r="S2160" t="s">
        <v>9979</v>
      </c>
      <c r="T2160" t="s">
        <v>30</v>
      </c>
      <c r="U2160" t="s">
        <v>26044</v>
      </c>
      <c r="W2160" t="s">
        <v>26009</v>
      </c>
    </row>
    <row r="2161" spans="1:23" x14ac:dyDescent="0.35">
      <c r="A2161">
        <v>483341</v>
      </c>
      <c r="B2161" t="s">
        <v>8012</v>
      </c>
      <c r="C2161" t="str">
        <f>"9780761950653"</f>
        <v>9780761950653</v>
      </c>
      <c r="D2161" t="str">
        <f>"9780857021878"</f>
        <v>9780857021878</v>
      </c>
      <c r="E2161" t="s">
        <v>28007</v>
      </c>
      <c r="F2161" t="s">
        <v>7430</v>
      </c>
      <c r="G2161" t="s">
        <v>22174</v>
      </c>
      <c r="H2161" t="s">
        <v>26011</v>
      </c>
      <c r="I2161" s="26">
        <v>36214</v>
      </c>
      <c r="J2161">
        <v>1999</v>
      </c>
      <c r="K2161" t="s">
        <v>7430</v>
      </c>
      <c r="L2161">
        <v>206</v>
      </c>
      <c r="M2161" t="s">
        <v>34087</v>
      </c>
      <c r="N2161">
        <v>1</v>
      </c>
      <c r="O2161" t="s">
        <v>34088</v>
      </c>
      <c r="Q2161" t="s">
        <v>34089</v>
      </c>
      <c r="R2161" t="s">
        <v>26873</v>
      </c>
      <c r="S2161" t="s">
        <v>8013</v>
      </c>
      <c r="T2161" t="s">
        <v>30</v>
      </c>
      <c r="U2161" t="s">
        <v>46</v>
      </c>
      <c r="W2161" t="s">
        <v>26009</v>
      </c>
    </row>
    <row r="2162" spans="1:23" x14ac:dyDescent="0.35">
      <c r="A2162">
        <v>483346</v>
      </c>
      <c r="B2162" t="s">
        <v>10086</v>
      </c>
      <c r="C2162" t="str">
        <f>"9780761963158"</f>
        <v>9780761963158</v>
      </c>
      <c r="D2162" t="str">
        <f>"9780857022165"</f>
        <v>9780857022165</v>
      </c>
      <c r="E2162" t="s">
        <v>28007</v>
      </c>
      <c r="F2162" t="s">
        <v>7430</v>
      </c>
      <c r="G2162" t="s">
        <v>22174</v>
      </c>
      <c r="H2162" t="s">
        <v>26011</v>
      </c>
      <c r="I2162" s="26">
        <v>36423</v>
      </c>
      <c r="J2162">
        <v>1999</v>
      </c>
      <c r="K2162" t="s">
        <v>7430</v>
      </c>
      <c r="L2162">
        <v>128</v>
      </c>
      <c r="M2162" t="s">
        <v>34090</v>
      </c>
      <c r="N2162">
        <v>2</v>
      </c>
      <c r="O2162" t="s">
        <v>28009</v>
      </c>
      <c r="Q2162" t="s">
        <v>34091</v>
      </c>
      <c r="R2162">
        <v>616.89139999999998</v>
      </c>
      <c r="S2162" t="s">
        <v>8780</v>
      </c>
      <c r="T2162" t="s">
        <v>30</v>
      </c>
      <c r="U2162" t="s">
        <v>26019</v>
      </c>
      <c r="W2162" t="s">
        <v>26009</v>
      </c>
    </row>
    <row r="2163" spans="1:23" x14ac:dyDescent="0.35">
      <c r="A2163">
        <v>483347</v>
      </c>
      <c r="B2163" t="s">
        <v>7835</v>
      </c>
      <c r="C2163" t="str">
        <f>"9780803975033"</f>
        <v>9780803975033</v>
      </c>
      <c r="D2163" t="str">
        <f>"9780857022806"</f>
        <v>9780857022806</v>
      </c>
      <c r="E2163" t="s">
        <v>28007</v>
      </c>
      <c r="F2163" t="s">
        <v>7430</v>
      </c>
      <c r="G2163" t="s">
        <v>22174</v>
      </c>
      <c r="H2163" t="s">
        <v>26011</v>
      </c>
      <c r="I2163" s="26">
        <v>35555</v>
      </c>
      <c r="J2163">
        <v>1997</v>
      </c>
      <c r="K2163" t="s">
        <v>7430</v>
      </c>
      <c r="L2163">
        <v>209</v>
      </c>
      <c r="M2163" t="s">
        <v>34092</v>
      </c>
      <c r="N2163">
        <v>1</v>
      </c>
      <c r="O2163" t="s">
        <v>28068</v>
      </c>
      <c r="P2163">
        <v>5</v>
      </c>
      <c r="Q2163" t="s">
        <v>34093</v>
      </c>
      <c r="R2163">
        <v>158.30000000000001</v>
      </c>
      <c r="S2163" t="s">
        <v>7836</v>
      </c>
      <c r="T2163" t="s">
        <v>30</v>
      </c>
      <c r="U2163" t="s">
        <v>46</v>
      </c>
      <c r="W2163" t="s">
        <v>26009</v>
      </c>
    </row>
    <row r="2164" spans="1:23" x14ac:dyDescent="0.35">
      <c r="A2164">
        <v>483348</v>
      </c>
      <c r="B2164" t="s">
        <v>34094</v>
      </c>
      <c r="C2164" t="str">
        <f>"9780761940791"</f>
        <v>9780761940791</v>
      </c>
      <c r="D2164" t="str">
        <f>"9781849204354"</f>
        <v>9781849204354</v>
      </c>
      <c r="E2164" t="s">
        <v>28007</v>
      </c>
      <c r="F2164" t="s">
        <v>7430</v>
      </c>
      <c r="G2164" t="s">
        <v>22174</v>
      </c>
      <c r="H2164" t="s">
        <v>26011</v>
      </c>
      <c r="I2164" s="26">
        <v>40165</v>
      </c>
      <c r="J2164">
        <v>2010</v>
      </c>
      <c r="K2164" t="s">
        <v>7430</v>
      </c>
      <c r="L2164">
        <v>167</v>
      </c>
      <c r="M2164" t="s">
        <v>34095</v>
      </c>
      <c r="N2164">
        <v>1</v>
      </c>
      <c r="Q2164" t="s">
        <v>34096</v>
      </c>
      <c r="R2164">
        <v>25.066168913999999</v>
      </c>
      <c r="S2164" t="s">
        <v>34097</v>
      </c>
      <c r="T2164" t="s">
        <v>30</v>
      </c>
      <c r="U2164" t="s">
        <v>34098</v>
      </c>
      <c r="W2164" t="s">
        <v>26009</v>
      </c>
    </row>
    <row r="2165" spans="1:23" x14ac:dyDescent="0.35">
      <c r="A2165">
        <v>483357</v>
      </c>
      <c r="B2165" t="s">
        <v>10082</v>
      </c>
      <c r="C2165" t="str">
        <f>"9780803983366"</f>
        <v>9780803983366</v>
      </c>
      <c r="D2165" t="str">
        <f>"9780857022943"</f>
        <v>9780857022943</v>
      </c>
      <c r="E2165" t="s">
        <v>28007</v>
      </c>
      <c r="F2165" t="s">
        <v>7430</v>
      </c>
      <c r="G2165" t="s">
        <v>22174</v>
      </c>
      <c r="H2165" t="s">
        <v>26011</v>
      </c>
      <c r="I2165" s="26">
        <v>33359</v>
      </c>
      <c r="J2165">
        <v>1991</v>
      </c>
      <c r="K2165" t="s">
        <v>7430</v>
      </c>
      <c r="L2165">
        <v>168</v>
      </c>
      <c r="M2165" t="s">
        <v>34099</v>
      </c>
      <c r="N2165">
        <v>1</v>
      </c>
      <c r="O2165" t="s">
        <v>28009</v>
      </c>
      <c r="R2165">
        <v>361.32306999999997</v>
      </c>
      <c r="S2165" t="s">
        <v>10083</v>
      </c>
      <c r="T2165" t="s">
        <v>30</v>
      </c>
      <c r="U2165" t="s">
        <v>26044</v>
      </c>
      <c r="W2165" t="s">
        <v>26009</v>
      </c>
    </row>
    <row r="2166" spans="1:23" x14ac:dyDescent="0.35">
      <c r="A2166">
        <v>483373</v>
      </c>
      <c r="B2166" t="s">
        <v>34100</v>
      </c>
      <c r="C2166" t="str">
        <f>"9780803975286"</f>
        <v>9780803975286</v>
      </c>
      <c r="D2166" t="str">
        <f>"9780857022844"</f>
        <v>9780857022844</v>
      </c>
      <c r="E2166" t="s">
        <v>28007</v>
      </c>
      <c r="F2166" t="s">
        <v>7430</v>
      </c>
      <c r="G2166" t="s">
        <v>22174</v>
      </c>
      <c r="H2166" t="s">
        <v>26011</v>
      </c>
      <c r="I2166" s="26">
        <v>35653</v>
      </c>
      <c r="J2166">
        <v>1997</v>
      </c>
      <c r="K2166" t="s">
        <v>7430</v>
      </c>
      <c r="L2166">
        <v>173</v>
      </c>
      <c r="M2166" t="s">
        <v>34101</v>
      </c>
      <c r="N2166">
        <v>1</v>
      </c>
      <c r="Q2166" t="s">
        <v>34102</v>
      </c>
      <c r="R2166" t="s">
        <v>26873</v>
      </c>
      <c r="S2166" t="s">
        <v>7836</v>
      </c>
      <c r="T2166" t="s">
        <v>30</v>
      </c>
      <c r="U2166" t="s">
        <v>46</v>
      </c>
      <c r="W2166" t="s">
        <v>26009</v>
      </c>
    </row>
    <row r="2167" spans="1:23" x14ac:dyDescent="0.35">
      <c r="A2167">
        <v>483376</v>
      </c>
      <c r="B2167" t="s">
        <v>8175</v>
      </c>
      <c r="C2167" t="str">
        <f>"9780803976962"</f>
        <v>9780803976962</v>
      </c>
      <c r="D2167" t="str">
        <f>"9780857022905"</f>
        <v>9780857022905</v>
      </c>
      <c r="E2167" t="s">
        <v>28007</v>
      </c>
      <c r="F2167" t="s">
        <v>7430</v>
      </c>
      <c r="G2167" t="s">
        <v>22174</v>
      </c>
      <c r="H2167" t="s">
        <v>26011</v>
      </c>
      <c r="I2167" s="26">
        <v>35471</v>
      </c>
      <c r="J2167">
        <v>1997</v>
      </c>
      <c r="K2167" t="s">
        <v>7430</v>
      </c>
      <c r="L2167">
        <v>367</v>
      </c>
      <c r="M2167" t="s">
        <v>34103</v>
      </c>
      <c r="N2167">
        <v>1</v>
      </c>
      <c r="Q2167">
        <v>96071381</v>
      </c>
      <c r="R2167">
        <v>153</v>
      </c>
      <c r="S2167" t="s">
        <v>8036</v>
      </c>
      <c r="T2167" t="s">
        <v>30</v>
      </c>
      <c r="U2167" t="s">
        <v>46</v>
      </c>
      <c r="W2167" t="s">
        <v>26009</v>
      </c>
    </row>
    <row r="2168" spans="1:23" x14ac:dyDescent="0.35">
      <c r="A2168">
        <v>483379</v>
      </c>
      <c r="B2168" t="s">
        <v>7971</v>
      </c>
      <c r="C2168" t="str">
        <f>"9780761956419"</f>
        <v>9780761956419</v>
      </c>
      <c r="D2168" t="str">
        <f>"9780857022004"</f>
        <v>9780857022004</v>
      </c>
      <c r="E2168" t="s">
        <v>28007</v>
      </c>
      <c r="F2168" t="s">
        <v>7430</v>
      </c>
      <c r="G2168" t="s">
        <v>22174</v>
      </c>
      <c r="H2168" t="s">
        <v>26011</v>
      </c>
      <c r="I2168" s="26">
        <v>36437</v>
      </c>
      <c r="J2168">
        <v>1999</v>
      </c>
      <c r="K2168" t="s">
        <v>7430</v>
      </c>
      <c r="L2168">
        <v>321</v>
      </c>
      <c r="M2168" t="s">
        <v>34104</v>
      </c>
      <c r="N2168">
        <v>1</v>
      </c>
      <c r="Q2168" t="s">
        <v>34105</v>
      </c>
      <c r="R2168" t="s">
        <v>26873</v>
      </c>
      <c r="S2168" t="s">
        <v>7836</v>
      </c>
      <c r="T2168" t="s">
        <v>30</v>
      </c>
      <c r="U2168" t="s">
        <v>46</v>
      </c>
      <c r="W2168" t="s">
        <v>26009</v>
      </c>
    </row>
    <row r="2169" spans="1:23" x14ac:dyDescent="0.35">
      <c r="A2169">
        <v>483383</v>
      </c>
      <c r="B2169" t="s">
        <v>34106</v>
      </c>
      <c r="C2169" t="str">
        <f>"9780803976849"</f>
        <v>9780803976849</v>
      </c>
      <c r="D2169" t="str">
        <f>"9780857022899"</f>
        <v>9780857022899</v>
      </c>
      <c r="E2169" t="s">
        <v>28007</v>
      </c>
      <c r="F2169" t="s">
        <v>7430</v>
      </c>
      <c r="G2169" t="s">
        <v>22174</v>
      </c>
      <c r="H2169" t="s">
        <v>26011</v>
      </c>
      <c r="I2169" s="26">
        <v>35403</v>
      </c>
      <c r="J2169">
        <v>1995</v>
      </c>
      <c r="K2169" t="s">
        <v>7430</v>
      </c>
      <c r="L2169">
        <v>213</v>
      </c>
      <c r="M2169" t="s">
        <v>34107</v>
      </c>
      <c r="N2169">
        <v>1</v>
      </c>
      <c r="Q2169">
        <v>96070157</v>
      </c>
      <c r="R2169" t="s">
        <v>34108</v>
      </c>
      <c r="S2169" t="s">
        <v>7976</v>
      </c>
      <c r="T2169" t="s">
        <v>30</v>
      </c>
      <c r="U2169" t="s">
        <v>26044</v>
      </c>
      <c r="W2169" t="s">
        <v>26009</v>
      </c>
    </row>
    <row r="2170" spans="1:23" x14ac:dyDescent="0.35">
      <c r="A2170">
        <v>483407</v>
      </c>
      <c r="B2170" t="s">
        <v>8134</v>
      </c>
      <c r="C2170" t="str">
        <f>"9780803979024"</f>
        <v>9780803979024</v>
      </c>
      <c r="D2170" t="str">
        <f>"9780857022929"</f>
        <v>9780857022929</v>
      </c>
      <c r="E2170" t="s">
        <v>28007</v>
      </c>
      <c r="F2170" t="s">
        <v>7430</v>
      </c>
      <c r="G2170" t="s">
        <v>22174</v>
      </c>
      <c r="H2170" t="s">
        <v>26011</v>
      </c>
      <c r="I2170" s="26">
        <v>35277</v>
      </c>
      <c r="J2170">
        <v>1996</v>
      </c>
      <c r="K2170" t="s">
        <v>7430</v>
      </c>
      <c r="L2170">
        <v>225</v>
      </c>
      <c r="M2170" t="s">
        <v>34109</v>
      </c>
      <c r="N2170">
        <v>1</v>
      </c>
      <c r="O2170" t="s">
        <v>28037</v>
      </c>
      <c r="P2170">
        <v>7</v>
      </c>
      <c r="Q2170">
        <v>96068415</v>
      </c>
      <c r="R2170">
        <v>361.32299999999998</v>
      </c>
      <c r="S2170" t="s">
        <v>8135</v>
      </c>
      <c r="T2170" t="s">
        <v>30</v>
      </c>
      <c r="U2170" t="s">
        <v>26044</v>
      </c>
      <c r="W2170" t="s">
        <v>26009</v>
      </c>
    </row>
    <row r="2171" spans="1:23" x14ac:dyDescent="0.35">
      <c r="A2171">
        <v>483408</v>
      </c>
      <c r="B2171" t="s">
        <v>34110</v>
      </c>
      <c r="C2171" t="str">
        <f>"9780761960874"</f>
        <v>9780761960874</v>
      </c>
      <c r="D2171" t="str">
        <f>"9780857022134"</f>
        <v>9780857022134</v>
      </c>
      <c r="E2171" t="s">
        <v>28007</v>
      </c>
      <c r="F2171" t="s">
        <v>7430</v>
      </c>
      <c r="G2171" t="s">
        <v>22174</v>
      </c>
      <c r="H2171" t="s">
        <v>26011</v>
      </c>
      <c r="I2171" s="26">
        <v>37854</v>
      </c>
      <c r="J2171">
        <v>2003</v>
      </c>
      <c r="K2171" t="s">
        <v>7430</v>
      </c>
      <c r="L2171">
        <v>141</v>
      </c>
      <c r="M2171" t="s">
        <v>34111</v>
      </c>
      <c r="N2171">
        <v>1</v>
      </c>
      <c r="O2171" t="s">
        <v>34112</v>
      </c>
      <c r="Q2171" t="s">
        <v>34113</v>
      </c>
      <c r="R2171" t="s">
        <v>27122</v>
      </c>
      <c r="S2171" t="s">
        <v>8210</v>
      </c>
      <c r="T2171" t="s">
        <v>30</v>
      </c>
      <c r="U2171" t="s">
        <v>26116</v>
      </c>
      <c r="W2171" t="s">
        <v>26009</v>
      </c>
    </row>
    <row r="2172" spans="1:23" x14ac:dyDescent="0.35">
      <c r="A2172">
        <v>483409</v>
      </c>
      <c r="B2172" t="s">
        <v>9721</v>
      </c>
      <c r="C2172" t="str">
        <f>"9781412945790"</f>
        <v>9781412945790</v>
      </c>
      <c r="D2172" t="str">
        <f>"9780857023117"</f>
        <v>9780857023117</v>
      </c>
      <c r="E2172" t="s">
        <v>28007</v>
      </c>
      <c r="F2172" t="s">
        <v>7430</v>
      </c>
      <c r="G2172" t="s">
        <v>22174</v>
      </c>
      <c r="H2172" t="s">
        <v>26011</v>
      </c>
      <c r="I2172" s="26">
        <v>39786</v>
      </c>
      <c r="J2172">
        <v>2009</v>
      </c>
      <c r="K2172" t="s">
        <v>7430</v>
      </c>
      <c r="L2172">
        <v>206</v>
      </c>
      <c r="M2172" t="s">
        <v>34114</v>
      </c>
      <c r="N2172">
        <v>1</v>
      </c>
      <c r="Q2172" t="s">
        <v>34115</v>
      </c>
      <c r="R2172">
        <v>616.8914072</v>
      </c>
      <c r="S2172" t="s">
        <v>9719</v>
      </c>
      <c r="T2172" t="s">
        <v>30</v>
      </c>
      <c r="U2172" t="s">
        <v>26040</v>
      </c>
      <c r="W2172" t="s">
        <v>26009</v>
      </c>
    </row>
    <row r="2173" spans="1:23" x14ac:dyDescent="0.35">
      <c r="A2173">
        <v>483411</v>
      </c>
      <c r="B2173" t="s">
        <v>7731</v>
      </c>
      <c r="C2173" t="str">
        <f>"9781847873460"</f>
        <v>9781847873460</v>
      </c>
      <c r="D2173" t="str">
        <f>"9780857023186"</f>
        <v>9780857023186</v>
      </c>
      <c r="E2173" t="s">
        <v>28007</v>
      </c>
      <c r="F2173" t="s">
        <v>7430</v>
      </c>
      <c r="G2173" t="s">
        <v>22174</v>
      </c>
      <c r="H2173" t="s">
        <v>26011</v>
      </c>
      <c r="I2173" s="26">
        <v>39614</v>
      </c>
      <c r="J2173">
        <v>2008</v>
      </c>
      <c r="K2173" t="s">
        <v>7430</v>
      </c>
      <c r="L2173">
        <v>178</v>
      </c>
      <c r="M2173" t="s">
        <v>28048</v>
      </c>
      <c r="N2173">
        <v>1</v>
      </c>
      <c r="O2173" t="s">
        <v>28049</v>
      </c>
      <c r="Q2173" t="s">
        <v>34116</v>
      </c>
      <c r="R2173">
        <v>616.89139999999998</v>
      </c>
      <c r="S2173" t="s">
        <v>7732</v>
      </c>
      <c r="T2173" t="s">
        <v>30</v>
      </c>
      <c r="U2173" t="s">
        <v>26116</v>
      </c>
      <c r="W2173" t="s">
        <v>26009</v>
      </c>
    </row>
    <row r="2174" spans="1:23" x14ac:dyDescent="0.35">
      <c r="A2174">
        <v>483412</v>
      </c>
      <c r="B2174" t="s">
        <v>8556</v>
      </c>
      <c r="C2174" t="str">
        <f>"9780803976207"</f>
        <v>9780803976207</v>
      </c>
      <c r="D2174" t="str">
        <f>"9780857022882"</f>
        <v>9780857022882</v>
      </c>
      <c r="E2174" t="s">
        <v>28007</v>
      </c>
      <c r="F2174" t="s">
        <v>7430</v>
      </c>
      <c r="G2174" t="s">
        <v>22174</v>
      </c>
      <c r="H2174" t="s">
        <v>26011</v>
      </c>
      <c r="I2174" s="26">
        <v>36333</v>
      </c>
      <c r="J2174">
        <v>1999</v>
      </c>
      <c r="K2174" t="s">
        <v>7430</v>
      </c>
      <c r="L2174">
        <v>206</v>
      </c>
      <c r="M2174" t="s">
        <v>28048</v>
      </c>
      <c r="N2174">
        <v>1</v>
      </c>
      <c r="O2174" t="s">
        <v>28068</v>
      </c>
      <c r="Q2174">
        <v>99070885</v>
      </c>
      <c r="R2174">
        <v>158.30000000000001</v>
      </c>
      <c r="S2174" t="s">
        <v>8557</v>
      </c>
      <c r="T2174" t="s">
        <v>30</v>
      </c>
      <c r="U2174" t="s">
        <v>46</v>
      </c>
      <c r="W2174" t="s">
        <v>26009</v>
      </c>
    </row>
    <row r="2175" spans="1:23" x14ac:dyDescent="0.35">
      <c r="A2175">
        <v>483414</v>
      </c>
      <c r="B2175" t="s">
        <v>8063</v>
      </c>
      <c r="C2175" t="str">
        <f>"9780761956846"</f>
        <v>9780761956846</v>
      </c>
      <c r="D2175" t="str">
        <f>"9780857022042"</f>
        <v>9780857022042</v>
      </c>
      <c r="E2175" t="s">
        <v>28007</v>
      </c>
      <c r="F2175" t="s">
        <v>7430</v>
      </c>
      <c r="G2175" t="s">
        <v>22174</v>
      </c>
      <c r="H2175" t="s">
        <v>26011</v>
      </c>
      <c r="I2175" s="26">
        <v>36558</v>
      </c>
      <c r="J2175">
        <v>2000</v>
      </c>
      <c r="K2175" t="s">
        <v>7430</v>
      </c>
      <c r="L2175">
        <v>484</v>
      </c>
      <c r="M2175" t="s">
        <v>34117</v>
      </c>
      <c r="N2175">
        <v>1</v>
      </c>
      <c r="O2175" t="s">
        <v>34118</v>
      </c>
      <c r="Q2175" t="s">
        <v>34119</v>
      </c>
      <c r="R2175">
        <v>302.23</v>
      </c>
      <c r="S2175" t="s">
        <v>7546</v>
      </c>
      <c r="T2175" t="s">
        <v>30</v>
      </c>
      <c r="U2175" t="s">
        <v>26044</v>
      </c>
      <c r="W2175" t="s">
        <v>26009</v>
      </c>
    </row>
    <row r="2176" spans="1:23" x14ac:dyDescent="0.35">
      <c r="A2176">
        <v>483550</v>
      </c>
      <c r="B2176" t="s">
        <v>8495</v>
      </c>
      <c r="C2176" t="str">
        <f>"9780691140971"</f>
        <v>9780691140971</v>
      </c>
      <c r="D2176" t="str">
        <f>"9781400830343"</f>
        <v>9781400830343</v>
      </c>
      <c r="E2176" t="s">
        <v>33468</v>
      </c>
      <c r="F2176" t="s">
        <v>7517</v>
      </c>
      <c r="G2176" t="s">
        <v>23592</v>
      </c>
      <c r="H2176" t="s">
        <v>26004</v>
      </c>
      <c r="I2176" s="26">
        <v>38970</v>
      </c>
      <c r="J2176">
        <v>2006</v>
      </c>
      <c r="K2176" t="s">
        <v>7517</v>
      </c>
      <c r="L2176">
        <v>328</v>
      </c>
      <c r="M2176" t="s">
        <v>34120</v>
      </c>
      <c r="N2176">
        <v>1</v>
      </c>
      <c r="O2176" t="s">
        <v>34121</v>
      </c>
      <c r="P2176">
        <v>55</v>
      </c>
      <c r="Q2176" t="s">
        <v>34122</v>
      </c>
      <c r="R2176">
        <v>179.7</v>
      </c>
      <c r="T2176" t="s">
        <v>30</v>
      </c>
      <c r="U2176" t="s">
        <v>30017</v>
      </c>
      <c r="W2176" t="s">
        <v>28347</v>
      </c>
    </row>
    <row r="2177" spans="1:23" x14ac:dyDescent="0.35">
      <c r="A2177">
        <v>483565</v>
      </c>
      <c r="B2177" t="s">
        <v>34123</v>
      </c>
      <c r="C2177" t="str">
        <f>"9780691143323"</f>
        <v>9780691143323</v>
      </c>
      <c r="D2177" t="str">
        <f>"9781400827985"</f>
        <v>9781400827985</v>
      </c>
      <c r="E2177" t="s">
        <v>33468</v>
      </c>
      <c r="F2177" t="s">
        <v>7517</v>
      </c>
      <c r="G2177" t="s">
        <v>23592</v>
      </c>
      <c r="H2177" t="s">
        <v>26004</v>
      </c>
      <c r="I2177" s="26">
        <v>39271</v>
      </c>
      <c r="J2177">
        <v>2007</v>
      </c>
      <c r="K2177" t="s">
        <v>7517</v>
      </c>
      <c r="L2177">
        <v>204</v>
      </c>
      <c r="M2177" t="s">
        <v>34124</v>
      </c>
      <c r="N2177">
        <v>1</v>
      </c>
      <c r="O2177" t="s">
        <v>34125</v>
      </c>
      <c r="P2177">
        <v>8</v>
      </c>
      <c r="Q2177" t="s">
        <v>34126</v>
      </c>
      <c r="R2177" t="s">
        <v>26972</v>
      </c>
      <c r="T2177" t="s">
        <v>30</v>
      </c>
      <c r="U2177" t="s">
        <v>46</v>
      </c>
      <c r="W2177" t="s">
        <v>28347</v>
      </c>
    </row>
    <row r="2178" spans="1:23" x14ac:dyDescent="0.35">
      <c r="A2178">
        <v>483752</v>
      </c>
      <c r="B2178" t="s">
        <v>34127</v>
      </c>
      <c r="C2178" t="str">
        <f>"9781576759011"</f>
        <v>9781576759011</v>
      </c>
      <c r="D2178" t="str">
        <f>"9781605091396"</f>
        <v>9781605091396</v>
      </c>
      <c r="E2178" t="s">
        <v>30551</v>
      </c>
      <c r="F2178" t="s">
        <v>7718</v>
      </c>
      <c r="G2178" t="s">
        <v>23047</v>
      </c>
      <c r="H2178" t="s">
        <v>26004</v>
      </c>
      <c r="I2178" s="26">
        <v>39944</v>
      </c>
      <c r="J2178">
        <v>2009</v>
      </c>
      <c r="K2178" t="s">
        <v>7718</v>
      </c>
      <c r="L2178">
        <v>210</v>
      </c>
      <c r="M2178" t="s">
        <v>34128</v>
      </c>
      <c r="N2178">
        <v>1</v>
      </c>
      <c r="O2178" t="s">
        <v>34129</v>
      </c>
      <c r="Q2178" t="s">
        <v>34130</v>
      </c>
      <c r="R2178">
        <v>659.2</v>
      </c>
      <c r="S2178" t="s">
        <v>34131</v>
      </c>
      <c r="T2178" t="s">
        <v>30</v>
      </c>
      <c r="U2178" t="s">
        <v>30031</v>
      </c>
      <c r="W2178" t="s">
        <v>26009</v>
      </c>
    </row>
    <row r="2179" spans="1:23" x14ac:dyDescent="0.35">
      <c r="A2179">
        <v>483807</v>
      </c>
      <c r="B2179" t="s">
        <v>34132</v>
      </c>
      <c r="C2179" t="str">
        <f>"9780765706997"</f>
        <v>9780765706997</v>
      </c>
      <c r="D2179" t="str">
        <f>"9780765707017"</f>
        <v>9780765707017</v>
      </c>
      <c r="E2179" t="s">
        <v>33803</v>
      </c>
      <c r="F2179" t="s">
        <v>38</v>
      </c>
      <c r="G2179" t="s">
        <v>33804</v>
      </c>
      <c r="H2179" t="s">
        <v>26004</v>
      </c>
      <c r="I2179" s="26">
        <v>40200</v>
      </c>
      <c r="J2179">
        <v>2010</v>
      </c>
      <c r="K2179" t="s">
        <v>33811</v>
      </c>
      <c r="L2179">
        <v>192</v>
      </c>
      <c r="M2179" t="s">
        <v>34133</v>
      </c>
      <c r="N2179">
        <v>1</v>
      </c>
      <c r="O2179" t="s">
        <v>34134</v>
      </c>
      <c r="Q2179" t="s">
        <v>34135</v>
      </c>
      <c r="R2179" t="s">
        <v>26759</v>
      </c>
      <c r="S2179" t="s">
        <v>34136</v>
      </c>
      <c r="T2179" t="s">
        <v>30</v>
      </c>
      <c r="U2179" t="s">
        <v>46</v>
      </c>
      <c r="W2179" t="s">
        <v>26009</v>
      </c>
    </row>
    <row r="2180" spans="1:23" x14ac:dyDescent="0.35">
      <c r="A2180">
        <v>483832</v>
      </c>
      <c r="B2180" t="s">
        <v>34137</v>
      </c>
      <c r="C2180" t="str">
        <f>"9780765707451"</f>
        <v>9780765707451</v>
      </c>
      <c r="D2180" t="str">
        <f>"9780765707475"</f>
        <v>9780765707475</v>
      </c>
      <c r="E2180" t="s">
        <v>33803</v>
      </c>
      <c r="F2180" t="s">
        <v>38</v>
      </c>
      <c r="G2180" t="s">
        <v>34138</v>
      </c>
      <c r="H2180" t="s">
        <v>26004</v>
      </c>
      <c r="I2180" s="26">
        <v>40175</v>
      </c>
      <c r="J2180">
        <v>2009</v>
      </c>
      <c r="K2180" t="s">
        <v>33811</v>
      </c>
      <c r="L2180">
        <v>113</v>
      </c>
      <c r="M2180" t="s">
        <v>34139</v>
      </c>
      <c r="N2180">
        <v>1</v>
      </c>
      <c r="Q2180" t="s">
        <v>34140</v>
      </c>
      <c r="R2180" t="s">
        <v>27122</v>
      </c>
      <c r="S2180" t="s">
        <v>34141</v>
      </c>
      <c r="T2180" t="s">
        <v>30</v>
      </c>
      <c r="U2180" t="s">
        <v>26019</v>
      </c>
      <c r="W2180" t="s">
        <v>26009</v>
      </c>
    </row>
    <row r="2181" spans="1:23" x14ac:dyDescent="0.35">
      <c r="A2181">
        <v>483852</v>
      </c>
      <c r="B2181" t="s">
        <v>34142</v>
      </c>
      <c r="C2181" t="str">
        <f>"9780765706003"</f>
        <v>9780765706003</v>
      </c>
      <c r="D2181" t="str">
        <f>"9780765707215"</f>
        <v>9780765707215</v>
      </c>
      <c r="E2181" t="s">
        <v>33803</v>
      </c>
      <c r="F2181" t="s">
        <v>38</v>
      </c>
      <c r="G2181" t="s">
        <v>34138</v>
      </c>
      <c r="H2181" t="s">
        <v>26004</v>
      </c>
      <c r="I2181" s="26">
        <v>40112</v>
      </c>
      <c r="J2181">
        <v>2009</v>
      </c>
      <c r="K2181" t="s">
        <v>33811</v>
      </c>
      <c r="L2181">
        <v>211</v>
      </c>
      <c r="M2181" t="s">
        <v>34143</v>
      </c>
      <c r="N2181">
        <v>1</v>
      </c>
      <c r="Q2181" t="s">
        <v>34144</v>
      </c>
      <c r="R2181" t="s">
        <v>34145</v>
      </c>
      <c r="S2181" t="s">
        <v>34146</v>
      </c>
      <c r="T2181" t="s">
        <v>30</v>
      </c>
      <c r="U2181" t="s">
        <v>46</v>
      </c>
      <c r="W2181" t="s">
        <v>26009</v>
      </c>
    </row>
    <row r="2182" spans="1:23" x14ac:dyDescent="0.35">
      <c r="A2182">
        <v>483881</v>
      </c>
      <c r="B2182" t="s">
        <v>34147</v>
      </c>
      <c r="C2182" t="str">
        <f>"9780765707581"</f>
        <v>9780765707581</v>
      </c>
      <c r="D2182" t="str">
        <f>"9780765707598"</f>
        <v>9780765707598</v>
      </c>
      <c r="E2182" t="s">
        <v>33803</v>
      </c>
      <c r="F2182" t="s">
        <v>38</v>
      </c>
      <c r="G2182" t="s">
        <v>34138</v>
      </c>
      <c r="H2182" t="s">
        <v>26004</v>
      </c>
      <c r="I2182" s="26">
        <v>40203</v>
      </c>
      <c r="J2182">
        <v>2010</v>
      </c>
      <c r="K2182" t="s">
        <v>33811</v>
      </c>
      <c r="L2182">
        <v>164</v>
      </c>
      <c r="M2182" t="s">
        <v>34148</v>
      </c>
      <c r="N2182">
        <v>1</v>
      </c>
      <c r="Q2182" t="s">
        <v>34149</v>
      </c>
      <c r="R2182" t="s">
        <v>26422</v>
      </c>
      <c r="S2182" t="s">
        <v>34150</v>
      </c>
      <c r="T2182" t="s">
        <v>30</v>
      </c>
      <c r="U2182" t="s">
        <v>26019</v>
      </c>
      <c r="W2182" t="s">
        <v>26009</v>
      </c>
    </row>
    <row r="2183" spans="1:23" x14ac:dyDescent="0.35">
      <c r="A2183">
        <v>485498</v>
      </c>
      <c r="B2183" t="s">
        <v>9180</v>
      </c>
      <c r="C2183" t="str">
        <f>"9781416607892"</f>
        <v>9781416607892</v>
      </c>
      <c r="D2183" t="str">
        <f>"9781416609070"</f>
        <v>9781416609070</v>
      </c>
      <c r="E2183" t="s">
        <v>31534</v>
      </c>
      <c r="F2183" t="s">
        <v>9181</v>
      </c>
      <c r="G2183" t="s">
        <v>22256</v>
      </c>
      <c r="H2183" t="s">
        <v>26004</v>
      </c>
      <c r="I2183" s="26">
        <v>39948</v>
      </c>
      <c r="J2183">
        <v>2009</v>
      </c>
      <c r="K2183" t="s">
        <v>31534</v>
      </c>
      <c r="L2183">
        <v>259</v>
      </c>
      <c r="M2183" t="s">
        <v>34151</v>
      </c>
      <c r="N2183">
        <v>3</v>
      </c>
      <c r="Q2183" t="s">
        <v>34152</v>
      </c>
      <c r="R2183" t="s">
        <v>30501</v>
      </c>
      <c r="S2183" t="s">
        <v>34153</v>
      </c>
      <c r="T2183" t="s">
        <v>30</v>
      </c>
      <c r="U2183" t="s">
        <v>337</v>
      </c>
      <c r="W2183" t="s">
        <v>26009</v>
      </c>
    </row>
    <row r="2184" spans="1:23" x14ac:dyDescent="0.35">
      <c r="A2184">
        <v>485784</v>
      </c>
      <c r="B2184" t="s">
        <v>34154</v>
      </c>
      <c r="C2184" t="str">
        <f>"9780691145990"</f>
        <v>9780691145990</v>
      </c>
      <c r="D2184" t="str">
        <f>"9781400833955"</f>
        <v>9781400833955</v>
      </c>
      <c r="E2184" t="s">
        <v>33468</v>
      </c>
      <c r="F2184" t="s">
        <v>7517</v>
      </c>
      <c r="G2184" t="s">
        <v>23592</v>
      </c>
      <c r="H2184" t="s">
        <v>26004</v>
      </c>
      <c r="I2184" s="26">
        <v>39229</v>
      </c>
      <c r="J2184">
        <v>2007</v>
      </c>
      <c r="K2184" t="s">
        <v>7517</v>
      </c>
      <c r="L2184">
        <v>321</v>
      </c>
      <c r="M2184" t="s">
        <v>34155</v>
      </c>
      <c r="N2184">
        <v>1</v>
      </c>
      <c r="Q2184" t="s">
        <v>34156</v>
      </c>
      <c r="R2184">
        <v>510.92</v>
      </c>
      <c r="T2184" t="s">
        <v>30</v>
      </c>
      <c r="U2184" t="s">
        <v>34157</v>
      </c>
      <c r="W2184" t="s">
        <v>28347</v>
      </c>
    </row>
    <row r="2185" spans="1:23" x14ac:dyDescent="0.35">
      <c r="A2185">
        <v>485940</v>
      </c>
      <c r="B2185" t="s">
        <v>8609</v>
      </c>
      <c r="C2185" t="str">
        <f>"9780826117052"</f>
        <v>9780826117052</v>
      </c>
      <c r="D2185" t="str">
        <f>"9780826117069"</f>
        <v>9780826117069</v>
      </c>
      <c r="E2185" t="s">
        <v>1504</v>
      </c>
      <c r="F2185" t="s">
        <v>33</v>
      </c>
      <c r="G2185" t="s">
        <v>22179</v>
      </c>
      <c r="H2185" t="s">
        <v>26004</v>
      </c>
      <c r="I2185" s="26">
        <v>40118</v>
      </c>
      <c r="J2185">
        <v>2009</v>
      </c>
      <c r="K2185" t="s">
        <v>33</v>
      </c>
      <c r="L2185">
        <v>625</v>
      </c>
      <c r="M2185" t="s">
        <v>34158</v>
      </c>
      <c r="N2185">
        <v>1</v>
      </c>
      <c r="Q2185" t="s">
        <v>34159</v>
      </c>
      <c r="S2185" t="s">
        <v>34160</v>
      </c>
      <c r="T2185" t="s">
        <v>30</v>
      </c>
      <c r="U2185" t="s">
        <v>46</v>
      </c>
      <c r="W2185" t="s">
        <v>26009</v>
      </c>
    </row>
    <row r="2186" spans="1:23" x14ac:dyDescent="0.35">
      <c r="A2186">
        <v>485991</v>
      </c>
      <c r="B2186" t="s">
        <v>34161</v>
      </c>
      <c r="C2186" t="str">
        <f>"9780226752877"</f>
        <v>9780226752877</v>
      </c>
      <c r="D2186" t="str">
        <f>"9780226752846"</f>
        <v>9780226752846</v>
      </c>
      <c r="E2186" t="s">
        <v>550</v>
      </c>
      <c r="F2186" t="s">
        <v>550</v>
      </c>
      <c r="G2186" t="s">
        <v>22352</v>
      </c>
      <c r="H2186" t="s">
        <v>26004</v>
      </c>
      <c r="I2186" s="26">
        <v>38001</v>
      </c>
      <c r="J2186">
        <v>2004</v>
      </c>
      <c r="K2186" t="s">
        <v>550</v>
      </c>
      <c r="L2186">
        <v>318</v>
      </c>
      <c r="M2186" t="s">
        <v>34162</v>
      </c>
      <c r="N2186">
        <v>1</v>
      </c>
      <c r="Q2186" t="s">
        <v>34163</v>
      </c>
      <c r="R2186" t="s">
        <v>34164</v>
      </c>
      <c r="S2186" t="s">
        <v>34165</v>
      </c>
      <c r="T2186" t="s">
        <v>30</v>
      </c>
      <c r="U2186" t="s">
        <v>27699</v>
      </c>
      <c r="W2186" t="s">
        <v>26009</v>
      </c>
    </row>
    <row r="2187" spans="1:23" x14ac:dyDescent="0.35">
      <c r="A2187">
        <v>487285</v>
      </c>
      <c r="B2187" t="s">
        <v>9498</v>
      </c>
      <c r="C2187" t="str">
        <f>"9780521896221"</f>
        <v>9780521896221</v>
      </c>
      <c r="D2187" t="str">
        <f>"9780511672330"</f>
        <v>9780511672330</v>
      </c>
      <c r="E2187" t="s">
        <v>167</v>
      </c>
      <c r="F2187" t="s">
        <v>167</v>
      </c>
      <c r="G2187" t="s">
        <v>22218</v>
      </c>
      <c r="H2187" t="s">
        <v>26011</v>
      </c>
      <c r="I2187" s="26">
        <v>40192</v>
      </c>
      <c r="J2187">
        <v>2010</v>
      </c>
      <c r="K2187" t="s">
        <v>167</v>
      </c>
      <c r="L2187">
        <v>503</v>
      </c>
      <c r="M2187" t="s">
        <v>34166</v>
      </c>
      <c r="N2187">
        <v>1</v>
      </c>
      <c r="Q2187" t="s">
        <v>34167</v>
      </c>
      <c r="R2187">
        <v>618.928</v>
      </c>
      <c r="S2187" t="s">
        <v>9499</v>
      </c>
      <c r="T2187" t="s">
        <v>30</v>
      </c>
      <c r="U2187" t="s">
        <v>26040</v>
      </c>
      <c r="W2187" t="s">
        <v>26020</v>
      </c>
    </row>
    <row r="2188" spans="1:23" x14ac:dyDescent="0.35">
      <c r="A2188">
        <v>487782</v>
      </c>
      <c r="B2188" t="s">
        <v>9697</v>
      </c>
      <c r="C2188" t="str">
        <f>"9780335233618"</f>
        <v>9780335233618</v>
      </c>
      <c r="D2188" t="str">
        <f>"9780335240517"</f>
        <v>9780335240517</v>
      </c>
      <c r="E2188" t="s">
        <v>29061</v>
      </c>
      <c r="F2188" t="s">
        <v>7477</v>
      </c>
      <c r="G2188" t="s">
        <v>29068</v>
      </c>
      <c r="H2188" t="s">
        <v>26011</v>
      </c>
      <c r="I2188" s="26">
        <v>40087</v>
      </c>
      <c r="J2188">
        <v>2009</v>
      </c>
      <c r="K2188" t="s">
        <v>29063</v>
      </c>
      <c r="L2188">
        <v>244</v>
      </c>
      <c r="M2188" t="s">
        <v>34168</v>
      </c>
      <c r="N2188">
        <v>1</v>
      </c>
      <c r="O2188" t="s">
        <v>29070</v>
      </c>
      <c r="Q2188" t="s">
        <v>34169</v>
      </c>
      <c r="S2188" t="s">
        <v>34170</v>
      </c>
      <c r="T2188" t="s">
        <v>30</v>
      </c>
      <c r="U2188" t="s">
        <v>26019</v>
      </c>
      <c r="W2188" t="s">
        <v>26009</v>
      </c>
    </row>
    <row r="2189" spans="1:23" x14ac:dyDescent="0.35">
      <c r="A2189">
        <v>487978</v>
      </c>
      <c r="B2189" t="s">
        <v>34</v>
      </c>
      <c r="C2189" t="str">
        <f>"9780415473330"</f>
        <v>9780415473330</v>
      </c>
      <c r="D2189" t="str">
        <f>"9780203854419"</f>
        <v>9780203854419</v>
      </c>
      <c r="E2189" t="s">
        <v>26010</v>
      </c>
      <c r="F2189" t="s">
        <v>35</v>
      </c>
      <c r="G2189" t="s">
        <v>22174</v>
      </c>
      <c r="H2189" t="s">
        <v>26011</v>
      </c>
      <c r="I2189" s="26">
        <v>40235</v>
      </c>
      <c r="J2189">
        <v>2010</v>
      </c>
      <c r="K2189" t="s">
        <v>26012</v>
      </c>
      <c r="L2189">
        <v>325</v>
      </c>
      <c r="M2189" t="s">
        <v>34171</v>
      </c>
      <c r="N2189">
        <v>1</v>
      </c>
      <c r="O2189" t="s">
        <v>34172</v>
      </c>
      <c r="Q2189" t="s">
        <v>34173</v>
      </c>
      <c r="R2189">
        <v>158.30000000000001</v>
      </c>
      <c r="S2189" t="s">
        <v>36</v>
      </c>
      <c r="T2189" t="s">
        <v>30</v>
      </c>
      <c r="U2189" t="s">
        <v>46</v>
      </c>
      <c r="W2189" t="s">
        <v>26159</v>
      </c>
    </row>
    <row r="2190" spans="1:23" x14ac:dyDescent="0.35">
      <c r="A2190">
        <v>487995</v>
      </c>
      <c r="B2190" t="s">
        <v>34174</v>
      </c>
      <c r="C2190" t="str">
        <f>"9780415481397"</f>
        <v>9780415481397</v>
      </c>
      <c r="D2190" t="str">
        <f>"9780203885925"</f>
        <v>9780203885925</v>
      </c>
      <c r="E2190" t="s">
        <v>26010</v>
      </c>
      <c r="F2190" t="s">
        <v>35</v>
      </c>
      <c r="G2190" t="s">
        <v>26201</v>
      </c>
      <c r="H2190" t="s">
        <v>26011</v>
      </c>
      <c r="I2190" s="26">
        <v>40246</v>
      </c>
      <c r="J2190">
        <v>2009</v>
      </c>
      <c r="K2190" t="s">
        <v>26012</v>
      </c>
      <c r="L2190">
        <v>209</v>
      </c>
      <c r="M2190" t="s">
        <v>34175</v>
      </c>
      <c r="N2190">
        <v>1</v>
      </c>
      <c r="O2190" t="s">
        <v>27157</v>
      </c>
      <c r="Q2190" t="s">
        <v>34176</v>
      </c>
      <c r="R2190">
        <v>305.42</v>
      </c>
      <c r="S2190" t="s">
        <v>34177</v>
      </c>
      <c r="T2190" t="s">
        <v>30</v>
      </c>
      <c r="U2190" t="s">
        <v>26228</v>
      </c>
      <c r="W2190" t="s">
        <v>26009</v>
      </c>
    </row>
    <row r="2191" spans="1:23" x14ac:dyDescent="0.35">
      <c r="A2191">
        <v>491340</v>
      </c>
      <c r="B2191" t="s">
        <v>2893</v>
      </c>
      <c r="C2191" t="str">
        <f>"9780313364860"</f>
        <v>9780313364860</v>
      </c>
      <c r="D2191" t="str">
        <f>"9780313364877"</f>
        <v>9780313364877</v>
      </c>
      <c r="E2191" t="s">
        <v>28336</v>
      </c>
      <c r="F2191" t="s">
        <v>28340</v>
      </c>
      <c r="G2191" t="s">
        <v>22179</v>
      </c>
      <c r="H2191" t="s">
        <v>26004</v>
      </c>
      <c r="I2191" s="26">
        <v>39782</v>
      </c>
      <c r="J2191">
        <v>2009</v>
      </c>
      <c r="K2191" t="s">
        <v>34178</v>
      </c>
      <c r="L2191">
        <v>177</v>
      </c>
      <c r="M2191" t="s">
        <v>34179</v>
      </c>
      <c r="N2191">
        <v>1</v>
      </c>
      <c r="R2191">
        <v>158</v>
      </c>
      <c r="S2191" t="s">
        <v>34180</v>
      </c>
      <c r="T2191" t="s">
        <v>30</v>
      </c>
      <c r="U2191" t="s">
        <v>46</v>
      </c>
      <c r="W2191" t="s">
        <v>28347</v>
      </c>
    </row>
    <row r="2192" spans="1:23" x14ac:dyDescent="0.35">
      <c r="A2192">
        <v>491352</v>
      </c>
      <c r="B2192" t="s">
        <v>34181</v>
      </c>
      <c r="C2192" t="str">
        <f>"9780275974671"</f>
        <v>9780275974671</v>
      </c>
      <c r="D2192" t="str">
        <f>"9780313057038"</f>
        <v>9780313057038</v>
      </c>
      <c r="E2192" t="s">
        <v>28336</v>
      </c>
      <c r="F2192" t="s">
        <v>28340</v>
      </c>
      <c r="G2192" t="s">
        <v>22179</v>
      </c>
      <c r="H2192" t="s">
        <v>26004</v>
      </c>
      <c r="I2192" s="26">
        <v>37710</v>
      </c>
      <c r="J2192">
        <v>2003</v>
      </c>
      <c r="K2192" t="s">
        <v>28341</v>
      </c>
      <c r="L2192">
        <v>303</v>
      </c>
      <c r="M2192" t="s">
        <v>34182</v>
      </c>
      <c r="N2192">
        <v>1</v>
      </c>
      <c r="O2192" t="s">
        <v>34183</v>
      </c>
      <c r="Q2192" t="s">
        <v>34184</v>
      </c>
      <c r="R2192">
        <v>303.60000000000002</v>
      </c>
      <c r="S2192" t="s">
        <v>34185</v>
      </c>
      <c r="T2192" t="s">
        <v>30</v>
      </c>
      <c r="U2192" t="s">
        <v>26044</v>
      </c>
      <c r="W2192" t="s">
        <v>28347</v>
      </c>
    </row>
    <row r="2193" spans="1:23" x14ac:dyDescent="0.35">
      <c r="A2193">
        <v>491408</v>
      </c>
      <c r="B2193" t="s">
        <v>34186</v>
      </c>
      <c r="C2193" t="str">
        <f>"9780275976408"</f>
        <v>9780275976408</v>
      </c>
      <c r="D2193" t="str">
        <f>"9780313093586"</f>
        <v>9780313093586</v>
      </c>
      <c r="E2193" t="s">
        <v>28336</v>
      </c>
      <c r="F2193" t="s">
        <v>28340</v>
      </c>
      <c r="G2193" t="s">
        <v>22179</v>
      </c>
      <c r="H2193" t="s">
        <v>26004</v>
      </c>
      <c r="I2193" s="26">
        <v>37924</v>
      </c>
      <c r="J2193">
        <v>2004</v>
      </c>
      <c r="K2193" t="s">
        <v>28341</v>
      </c>
      <c r="L2193">
        <v>355</v>
      </c>
      <c r="M2193" t="s">
        <v>34187</v>
      </c>
      <c r="N2193">
        <v>1</v>
      </c>
      <c r="O2193" t="s">
        <v>34188</v>
      </c>
      <c r="Q2193" t="s">
        <v>34189</v>
      </c>
      <c r="R2193" t="s">
        <v>26817</v>
      </c>
      <c r="S2193" t="s">
        <v>9058</v>
      </c>
      <c r="T2193" t="s">
        <v>30</v>
      </c>
      <c r="U2193" t="s">
        <v>26019</v>
      </c>
      <c r="W2193" t="s">
        <v>28347</v>
      </c>
    </row>
    <row r="2194" spans="1:23" x14ac:dyDescent="0.35">
      <c r="A2194">
        <v>492063</v>
      </c>
      <c r="B2194" t="s">
        <v>34190</v>
      </c>
      <c r="C2194" t="str">
        <f>"9780313372377"</f>
        <v>9780313372377</v>
      </c>
      <c r="D2194" t="str">
        <f>"9780313372384"</f>
        <v>9780313372384</v>
      </c>
      <c r="E2194" t="s">
        <v>28336</v>
      </c>
      <c r="F2194" t="s">
        <v>28340</v>
      </c>
      <c r="G2194" t="s">
        <v>22179</v>
      </c>
      <c r="H2194" t="s">
        <v>26004</v>
      </c>
      <c r="I2194" s="26">
        <v>39892</v>
      </c>
      <c r="J2194">
        <v>2009</v>
      </c>
      <c r="K2194" t="s">
        <v>28341</v>
      </c>
      <c r="L2194">
        <v>293</v>
      </c>
      <c r="M2194" t="s">
        <v>34191</v>
      </c>
      <c r="N2194">
        <v>1</v>
      </c>
      <c r="O2194" t="s">
        <v>34192</v>
      </c>
      <c r="Q2194" t="s">
        <v>34193</v>
      </c>
      <c r="R2194">
        <v>303.60000000000002</v>
      </c>
      <c r="S2194" t="s">
        <v>34194</v>
      </c>
      <c r="T2194" t="s">
        <v>30</v>
      </c>
      <c r="U2194" t="s">
        <v>26228</v>
      </c>
      <c r="W2194" t="s">
        <v>28347</v>
      </c>
    </row>
    <row r="2195" spans="1:23" x14ac:dyDescent="0.35">
      <c r="A2195">
        <v>492082</v>
      </c>
      <c r="B2195" t="s">
        <v>34195</v>
      </c>
      <c r="C2195" t="str">
        <f>"9780275981433"</f>
        <v>9780275981433</v>
      </c>
      <c r="D2195" t="str">
        <f>"9780313057724"</f>
        <v>9780313057724</v>
      </c>
      <c r="E2195" t="s">
        <v>28336</v>
      </c>
      <c r="F2195" t="s">
        <v>28340</v>
      </c>
      <c r="G2195" t="s">
        <v>22179</v>
      </c>
      <c r="H2195" t="s">
        <v>26004</v>
      </c>
      <c r="I2195" s="26">
        <v>38198</v>
      </c>
      <c r="J2195">
        <v>2004</v>
      </c>
      <c r="K2195" t="s">
        <v>28341</v>
      </c>
      <c r="L2195">
        <v>282</v>
      </c>
      <c r="M2195" t="s">
        <v>34196</v>
      </c>
      <c r="N2195">
        <v>1</v>
      </c>
      <c r="O2195" t="s">
        <v>34192</v>
      </c>
      <c r="Q2195" t="s">
        <v>34197</v>
      </c>
      <c r="R2195" t="s">
        <v>34198</v>
      </c>
      <c r="S2195" t="s">
        <v>34199</v>
      </c>
      <c r="T2195" t="s">
        <v>30</v>
      </c>
      <c r="U2195" t="s">
        <v>28308</v>
      </c>
      <c r="W2195" t="s">
        <v>28347</v>
      </c>
    </row>
    <row r="2196" spans="1:23" x14ac:dyDescent="0.35">
      <c r="A2196">
        <v>492198</v>
      </c>
      <c r="B2196" t="s">
        <v>9474</v>
      </c>
      <c r="C2196" t="str">
        <f>"9780275982447"</f>
        <v>9780275982447</v>
      </c>
      <c r="D2196" t="str">
        <f>"9780313014420"</f>
        <v>9780313014420</v>
      </c>
      <c r="E2196" t="s">
        <v>28336</v>
      </c>
      <c r="F2196" t="s">
        <v>28340</v>
      </c>
      <c r="G2196" t="s">
        <v>22179</v>
      </c>
      <c r="H2196" t="s">
        <v>26004</v>
      </c>
      <c r="I2196" s="26">
        <v>38321</v>
      </c>
      <c r="J2196">
        <v>2005</v>
      </c>
      <c r="K2196" t="s">
        <v>28341</v>
      </c>
      <c r="L2196">
        <v>346</v>
      </c>
      <c r="M2196" t="s">
        <v>34200</v>
      </c>
      <c r="N2196">
        <v>1</v>
      </c>
      <c r="O2196" t="s">
        <v>34201</v>
      </c>
      <c r="Q2196" t="s">
        <v>34202</v>
      </c>
      <c r="R2196" t="s">
        <v>28519</v>
      </c>
      <c r="S2196" t="s">
        <v>34203</v>
      </c>
      <c r="T2196" t="s">
        <v>30</v>
      </c>
      <c r="U2196" t="s">
        <v>46</v>
      </c>
      <c r="W2196" t="s">
        <v>28347</v>
      </c>
    </row>
    <row r="2197" spans="1:23" x14ac:dyDescent="0.35">
      <c r="A2197">
        <v>492229</v>
      </c>
      <c r="B2197" t="s">
        <v>34204</v>
      </c>
      <c r="C2197" t="str">
        <f>"9780313346002"</f>
        <v>9780313346002</v>
      </c>
      <c r="D2197" t="str">
        <f>"9780313346019"</f>
        <v>9780313346019</v>
      </c>
      <c r="E2197" t="s">
        <v>28336</v>
      </c>
      <c r="F2197" t="s">
        <v>28340</v>
      </c>
      <c r="G2197" t="s">
        <v>22179</v>
      </c>
      <c r="H2197" t="s">
        <v>26004</v>
      </c>
      <c r="I2197" s="26">
        <v>39751</v>
      </c>
      <c r="J2197">
        <v>2009</v>
      </c>
      <c r="K2197" t="s">
        <v>28341</v>
      </c>
      <c r="L2197">
        <v>208</v>
      </c>
      <c r="M2197" t="s">
        <v>34205</v>
      </c>
      <c r="N2197">
        <v>1</v>
      </c>
      <c r="Q2197" t="s">
        <v>34206</v>
      </c>
      <c r="S2197" t="s">
        <v>34207</v>
      </c>
      <c r="T2197" t="s">
        <v>30</v>
      </c>
      <c r="U2197" t="s">
        <v>26044</v>
      </c>
      <c r="W2197" t="s">
        <v>28347</v>
      </c>
    </row>
    <row r="2198" spans="1:23" x14ac:dyDescent="0.35">
      <c r="A2198">
        <v>492413</v>
      </c>
      <c r="B2198" t="s">
        <v>34208</v>
      </c>
      <c r="C2198" t="str">
        <f>"9780313377563"</f>
        <v>9780313377563</v>
      </c>
      <c r="D2198" t="str">
        <f>"9780313377570"</f>
        <v>9780313377570</v>
      </c>
      <c r="E2198" t="s">
        <v>28336</v>
      </c>
      <c r="F2198" t="s">
        <v>28340</v>
      </c>
      <c r="G2198" t="s">
        <v>22179</v>
      </c>
      <c r="H2198" t="s">
        <v>26004</v>
      </c>
      <c r="I2198" s="26">
        <v>40168</v>
      </c>
      <c r="J2198">
        <v>2010</v>
      </c>
      <c r="K2198" t="s">
        <v>28341</v>
      </c>
      <c r="L2198">
        <v>196</v>
      </c>
      <c r="M2198" t="s">
        <v>34209</v>
      </c>
      <c r="N2198">
        <v>1</v>
      </c>
      <c r="Q2198" t="s">
        <v>34210</v>
      </c>
      <c r="R2198" t="s">
        <v>34211</v>
      </c>
      <c r="S2198" t="s">
        <v>34212</v>
      </c>
      <c r="T2198" t="s">
        <v>30</v>
      </c>
      <c r="U2198" t="s">
        <v>26008</v>
      </c>
      <c r="W2198" t="s">
        <v>28347</v>
      </c>
    </row>
    <row r="2199" spans="1:23" x14ac:dyDescent="0.35">
      <c r="A2199">
        <v>494689</v>
      </c>
      <c r="B2199" t="s">
        <v>34213</v>
      </c>
      <c r="C2199" t="str">
        <f>"9781606235324"</f>
        <v>9781606235324</v>
      </c>
      <c r="D2199" t="str">
        <f>"9781606235348"</f>
        <v>9781606235348</v>
      </c>
      <c r="E2199" t="s">
        <v>30112</v>
      </c>
      <c r="F2199" t="s">
        <v>7420</v>
      </c>
      <c r="G2199" t="s">
        <v>22179</v>
      </c>
      <c r="H2199" t="s">
        <v>26004</v>
      </c>
      <c r="I2199" s="26">
        <v>40234</v>
      </c>
      <c r="J2199">
        <v>2010</v>
      </c>
      <c r="K2199" t="s">
        <v>30113</v>
      </c>
      <c r="L2199">
        <v>639</v>
      </c>
      <c r="M2199" t="s">
        <v>34214</v>
      </c>
      <c r="N2199">
        <v>1</v>
      </c>
      <c r="Q2199" t="s">
        <v>34215</v>
      </c>
      <c r="R2199">
        <v>616.89</v>
      </c>
      <c r="S2199" t="s">
        <v>34216</v>
      </c>
      <c r="T2199" t="s">
        <v>30</v>
      </c>
      <c r="U2199" t="s">
        <v>26116</v>
      </c>
      <c r="W2199" t="s">
        <v>28347</v>
      </c>
    </row>
    <row r="2200" spans="1:23" x14ac:dyDescent="0.35">
      <c r="A2200">
        <v>494691</v>
      </c>
      <c r="B2200" t="s">
        <v>7913</v>
      </c>
      <c r="C2200" t="str">
        <f>"9781606235683"</f>
        <v>9781606235683</v>
      </c>
      <c r="D2200" t="str">
        <f>"9781606235706"</f>
        <v>9781606235706</v>
      </c>
      <c r="E2200" t="s">
        <v>30112</v>
      </c>
      <c r="F2200" t="s">
        <v>7420</v>
      </c>
      <c r="G2200" t="s">
        <v>22179</v>
      </c>
      <c r="H2200" t="s">
        <v>26004</v>
      </c>
      <c r="I2200" s="26">
        <v>40255</v>
      </c>
      <c r="J2200">
        <v>2010</v>
      </c>
      <c r="K2200" t="s">
        <v>30113</v>
      </c>
      <c r="L2200">
        <v>348</v>
      </c>
      <c r="M2200" t="s">
        <v>34217</v>
      </c>
      <c r="N2200">
        <v>1</v>
      </c>
      <c r="Q2200" t="s">
        <v>34218</v>
      </c>
      <c r="R2200">
        <v>618.92891399999996</v>
      </c>
      <c r="S2200" t="s">
        <v>34219</v>
      </c>
      <c r="T2200" t="s">
        <v>30</v>
      </c>
      <c r="U2200" t="s">
        <v>26116</v>
      </c>
      <c r="W2200" t="s">
        <v>28347</v>
      </c>
    </row>
    <row r="2201" spans="1:23" x14ac:dyDescent="0.35">
      <c r="A2201">
        <v>494786</v>
      </c>
      <c r="B2201" t="s">
        <v>34220</v>
      </c>
      <c r="C2201" t="str">
        <f>"9780313380662"</f>
        <v>9780313380662</v>
      </c>
      <c r="D2201" t="str">
        <f>"9780313380679"</f>
        <v>9780313380679</v>
      </c>
      <c r="E2201" t="s">
        <v>28336</v>
      </c>
      <c r="F2201" t="s">
        <v>28340</v>
      </c>
      <c r="G2201" t="s">
        <v>22179</v>
      </c>
      <c r="H2201" t="s">
        <v>26004</v>
      </c>
      <c r="I2201" s="26">
        <v>40017</v>
      </c>
      <c r="J2201">
        <v>2009</v>
      </c>
      <c r="K2201" t="s">
        <v>28341</v>
      </c>
      <c r="L2201">
        <v>176</v>
      </c>
      <c r="M2201" t="s">
        <v>34221</v>
      </c>
      <c r="N2201">
        <v>1</v>
      </c>
      <c r="Q2201" t="s">
        <v>34222</v>
      </c>
      <c r="R2201">
        <v>362.28</v>
      </c>
      <c r="S2201" t="s">
        <v>34223</v>
      </c>
      <c r="T2201" t="s">
        <v>30</v>
      </c>
      <c r="U2201" t="s">
        <v>33552</v>
      </c>
      <c r="W2201" t="s">
        <v>28347</v>
      </c>
    </row>
    <row r="2202" spans="1:23" x14ac:dyDescent="0.35">
      <c r="A2202">
        <v>494838</v>
      </c>
      <c r="B2202" t="s">
        <v>34224</v>
      </c>
      <c r="C2202" t="str">
        <f>"9780275993115"</f>
        <v>9780275993115</v>
      </c>
      <c r="D2202" t="str">
        <f>"9780313087356"</f>
        <v>9780313087356</v>
      </c>
      <c r="E2202" t="s">
        <v>28336</v>
      </c>
      <c r="F2202" t="s">
        <v>28340</v>
      </c>
      <c r="G2202" t="s">
        <v>22179</v>
      </c>
      <c r="H2202" t="s">
        <v>26004</v>
      </c>
      <c r="I2202" s="26">
        <v>39629</v>
      </c>
      <c r="J2202">
        <v>2008</v>
      </c>
      <c r="K2202" t="s">
        <v>28341</v>
      </c>
      <c r="L2202">
        <v>182</v>
      </c>
      <c r="M2202" t="s">
        <v>34225</v>
      </c>
      <c r="N2202">
        <v>1</v>
      </c>
      <c r="Q2202" t="s">
        <v>34226</v>
      </c>
      <c r="R2202">
        <v>306.89</v>
      </c>
      <c r="S2202" t="s">
        <v>34227</v>
      </c>
      <c r="T2202" t="s">
        <v>30</v>
      </c>
      <c r="U2202" t="s">
        <v>26044</v>
      </c>
      <c r="W2202" t="s">
        <v>28347</v>
      </c>
    </row>
    <row r="2203" spans="1:23" x14ac:dyDescent="0.35">
      <c r="A2203">
        <v>494859</v>
      </c>
      <c r="B2203" t="s">
        <v>34228</v>
      </c>
      <c r="C2203" t="str">
        <f>"9780275983208"</f>
        <v>9780275983208</v>
      </c>
      <c r="D2203" t="str">
        <f>"9780313057892"</f>
        <v>9780313057892</v>
      </c>
      <c r="E2203" t="s">
        <v>28336</v>
      </c>
      <c r="F2203" t="s">
        <v>28340</v>
      </c>
      <c r="G2203" t="s">
        <v>22179</v>
      </c>
      <c r="H2203" t="s">
        <v>26004</v>
      </c>
      <c r="I2203" s="26">
        <v>38168</v>
      </c>
      <c r="J2203">
        <v>2004</v>
      </c>
      <c r="K2203" t="s">
        <v>28341</v>
      </c>
      <c r="L2203">
        <v>177</v>
      </c>
      <c r="M2203" t="s">
        <v>34229</v>
      </c>
      <c r="N2203">
        <v>1</v>
      </c>
      <c r="O2203" t="s">
        <v>34192</v>
      </c>
      <c r="Q2203" t="s">
        <v>34230</v>
      </c>
      <c r="R2203" t="s">
        <v>28439</v>
      </c>
      <c r="S2203" t="s">
        <v>34231</v>
      </c>
      <c r="T2203" t="s">
        <v>30</v>
      </c>
      <c r="U2203" t="s">
        <v>26094</v>
      </c>
      <c r="W2203" t="s">
        <v>28347</v>
      </c>
    </row>
    <row r="2204" spans="1:23" x14ac:dyDescent="0.35">
      <c r="A2204">
        <v>494938</v>
      </c>
      <c r="B2204" t="s">
        <v>34232</v>
      </c>
      <c r="C2204" t="str">
        <f>"9780275989545"</f>
        <v>9780275989545</v>
      </c>
      <c r="D2204" t="str">
        <f>"9780313065446"</f>
        <v>9780313065446</v>
      </c>
      <c r="E2204" t="s">
        <v>28336</v>
      </c>
      <c r="F2204" t="s">
        <v>28340</v>
      </c>
      <c r="G2204" t="s">
        <v>22179</v>
      </c>
      <c r="H2204" t="s">
        <v>26004</v>
      </c>
      <c r="I2204" s="26">
        <v>39892</v>
      </c>
      <c r="J2204">
        <v>2009</v>
      </c>
      <c r="K2204" t="s">
        <v>28341</v>
      </c>
      <c r="L2204">
        <v>166</v>
      </c>
      <c r="M2204" t="s">
        <v>34233</v>
      </c>
      <c r="N2204">
        <v>1</v>
      </c>
      <c r="O2204" t="s">
        <v>34234</v>
      </c>
      <c r="Q2204" t="s">
        <v>34235</v>
      </c>
      <c r="R2204">
        <v>305.8</v>
      </c>
      <c r="S2204" t="s">
        <v>34236</v>
      </c>
      <c r="T2204" t="s">
        <v>30</v>
      </c>
      <c r="U2204" t="s">
        <v>26044</v>
      </c>
      <c r="W2204" t="s">
        <v>28347</v>
      </c>
    </row>
    <row r="2205" spans="1:23" x14ac:dyDescent="0.35">
      <c r="A2205">
        <v>495113</v>
      </c>
      <c r="B2205" t="s">
        <v>34237</v>
      </c>
      <c r="C2205" t="str">
        <f>"9780275996475"</f>
        <v>9780275996475</v>
      </c>
      <c r="D2205" t="str">
        <f>"9780275996482"</f>
        <v>9780275996482</v>
      </c>
      <c r="E2205" t="s">
        <v>28336</v>
      </c>
      <c r="F2205" t="s">
        <v>28340</v>
      </c>
      <c r="G2205" t="s">
        <v>22179</v>
      </c>
      <c r="H2205" t="s">
        <v>26004</v>
      </c>
      <c r="I2205" s="26">
        <v>40108</v>
      </c>
      <c r="J2205">
        <v>2009</v>
      </c>
      <c r="K2205" t="s">
        <v>28341</v>
      </c>
      <c r="L2205">
        <v>1213</v>
      </c>
      <c r="M2205" t="s">
        <v>34238</v>
      </c>
      <c r="N2205">
        <v>1</v>
      </c>
      <c r="Q2205" t="s">
        <v>34239</v>
      </c>
      <c r="R2205">
        <v>303.60939999999999</v>
      </c>
      <c r="S2205" t="s">
        <v>34240</v>
      </c>
      <c r="T2205" t="s">
        <v>30</v>
      </c>
      <c r="U2205" t="s">
        <v>26044</v>
      </c>
      <c r="W2205" t="s">
        <v>28347</v>
      </c>
    </row>
    <row r="2206" spans="1:23" x14ac:dyDescent="0.35">
      <c r="A2206">
        <v>495155</v>
      </c>
      <c r="B2206" t="s">
        <v>9253</v>
      </c>
      <c r="C2206" t="str">
        <f>"9780275985226"</f>
        <v>9780275985226</v>
      </c>
      <c r="D2206" t="str">
        <f>"9780313041952"</f>
        <v>9780313041952</v>
      </c>
      <c r="E2206" t="s">
        <v>28336</v>
      </c>
      <c r="F2206" t="s">
        <v>28340</v>
      </c>
      <c r="G2206" t="s">
        <v>22179</v>
      </c>
      <c r="H2206" t="s">
        <v>26004</v>
      </c>
      <c r="I2206" s="26">
        <v>38747</v>
      </c>
      <c r="J2206">
        <v>2006</v>
      </c>
      <c r="K2206" t="s">
        <v>28341</v>
      </c>
      <c r="L2206">
        <v>256</v>
      </c>
      <c r="M2206" t="s">
        <v>34241</v>
      </c>
      <c r="N2206">
        <v>1</v>
      </c>
      <c r="O2206" t="s">
        <v>34242</v>
      </c>
      <c r="Q2206" t="s">
        <v>34243</v>
      </c>
      <c r="R2206">
        <v>618.9289</v>
      </c>
      <c r="S2206" t="s">
        <v>34244</v>
      </c>
      <c r="T2206" t="s">
        <v>30</v>
      </c>
      <c r="U2206" t="s">
        <v>26019</v>
      </c>
      <c r="W2206" t="s">
        <v>28347</v>
      </c>
    </row>
    <row r="2207" spans="1:23" x14ac:dyDescent="0.35">
      <c r="A2207">
        <v>495242</v>
      </c>
      <c r="B2207" t="s">
        <v>34245</v>
      </c>
      <c r="C2207" t="str">
        <f>"9780313364389"</f>
        <v>9780313364389</v>
      </c>
      <c r="D2207" t="str">
        <f>"9780313364396"</f>
        <v>9780313364396</v>
      </c>
      <c r="E2207" t="s">
        <v>28336</v>
      </c>
      <c r="F2207" t="s">
        <v>28340</v>
      </c>
      <c r="G2207" t="s">
        <v>22179</v>
      </c>
      <c r="H2207" t="s">
        <v>26004</v>
      </c>
      <c r="I2207" s="26">
        <v>39812</v>
      </c>
      <c r="J2207">
        <v>2009</v>
      </c>
      <c r="K2207" t="s">
        <v>28341</v>
      </c>
      <c r="L2207">
        <v>274</v>
      </c>
      <c r="M2207" t="s">
        <v>34246</v>
      </c>
      <c r="N2207">
        <v>1</v>
      </c>
      <c r="O2207" t="s">
        <v>34247</v>
      </c>
      <c r="R2207" t="s">
        <v>27838</v>
      </c>
      <c r="S2207" t="s">
        <v>34248</v>
      </c>
      <c r="T2207" t="s">
        <v>30</v>
      </c>
      <c r="U2207" t="s">
        <v>46</v>
      </c>
      <c r="W2207" t="s">
        <v>28347</v>
      </c>
    </row>
    <row r="2208" spans="1:23" x14ac:dyDescent="0.35">
      <c r="A2208">
        <v>495315</v>
      </c>
      <c r="B2208" t="s">
        <v>34249</v>
      </c>
      <c r="C2208" t="str">
        <f>"9780754677321"</f>
        <v>9780754677321</v>
      </c>
      <c r="D2208" t="str">
        <f>"9780754694502"</f>
        <v>9780754694502</v>
      </c>
      <c r="E2208" t="s">
        <v>26010</v>
      </c>
      <c r="F2208" t="s">
        <v>35</v>
      </c>
      <c r="G2208" t="s">
        <v>26128</v>
      </c>
      <c r="H2208" t="s">
        <v>26011</v>
      </c>
      <c r="I2208" s="26">
        <v>40265</v>
      </c>
      <c r="J2208">
        <v>2010</v>
      </c>
      <c r="K2208" t="s">
        <v>26012</v>
      </c>
      <c r="L2208">
        <v>167</v>
      </c>
      <c r="M2208" t="s">
        <v>34250</v>
      </c>
      <c r="N2208">
        <v>1</v>
      </c>
      <c r="Q2208" t="s">
        <v>34251</v>
      </c>
      <c r="R2208">
        <v>770</v>
      </c>
      <c r="S2208" t="s">
        <v>8616</v>
      </c>
      <c r="T2208" t="s">
        <v>30</v>
      </c>
      <c r="U2208" t="s">
        <v>27699</v>
      </c>
      <c r="W2208" t="s">
        <v>26009</v>
      </c>
    </row>
    <row r="2209" spans="1:23" x14ac:dyDescent="0.35">
      <c r="A2209">
        <v>495339</v>
      </c>
      <c r="B2209" t="s">
        <v>34252</v>
      </c>
      <c r="C2209" t="str">
        <f>"9781441116666"</f>
        <v>9781441116666</v>
      </c>
      <c r="D2209" t="str">
        <f>"9781441185655"</f>
        <v>9781441185655</v>
      </c>
      <c r="E2209" t="s">
        <v>31671</v>
      </c>
      <c r="F2209" t="s">
        <v>7760</v>
      </c>
      <c r="G2209" t="s">
        <v>22174</v>
      </c>
      <c r="H2209" t="s">
        <v>26011</v>
      </c>
      <c r="I2209" s="26">
        <v>40920</v>
      </c>
      <c r="J2209">
        <v>2010</v>
      </c>
      <c r="K2209" t="s">
        <v>33338</v>
      </c>
      <c r="L2209">
        <v>193</v>
      </c>
      <c r="M2209" t="s">
        <v>34253</v>
      </c>
      <c r="N2209">
        <v>1</v>
      </c>
      <c r="Q2209" t="s">
        <v>34254</v>
      </c>
      <c r="R2209">
        <v>372.18</v>
      </c>
      <c r="S2209" t="s">
        <v>34255</v>
      </c>
      <c r="T2209" t="s">
        <v>30</v>
      </c>
      <c r="U2209" t="s">
        <v>337</v>
      </c>
      <c r="W2209" t="s">
        <v>28347</v>
      </c>
    </row>
    <row r="2210" spans="1:23" x14ac:dyDescent="0.35">
      <c r="A2210">
        <v>495362</v>
      </c>
      <c r="B2210" t="s">
        <v>34256</v>
      </c>
      <c r="C2210" t="str">
        <f>"9781441144157"</f>
        <v>9781441144157</v>
      </c>
      <c r="D2210" t="str">
        <f>"9781441149350"</f>
        <v>9781441149350</v>
      </c>
      <c r="E2210" t="s">
        <v>28336</v>
      </c>
      <c r="F2210" t="s">
        <v>7474</v>
      </c>
      <c r="G2210" t="s">
        <v>22179</v>
      </c>
      <c r="H2210" t="s">
        <v>26004</v>
      </c>
      <c r="I2210" s="26">
        <v>40899</v>
      </c>
      <c r="J2210">
        <v>2009</v>
      </c>
      <c r="K2210" t="s">
        <v>33338</v>
      </c>
      <c r="L2210">
        <v>206</v>
      </c>
      <c r="M2210" t="s">
        <v>34257</v>
      </c>
      <c r="N2210">
        <v>1</v>
      </c>
      <c r="Q2210" t="s">
        <v>34258</v>
      </c>
      <c r="R2210">
        <v>320.01</v>
      </c>
      <c r="S2210" t="s">
        <v>34259</v>
      </c>
      <c r="T2210" t="s">
        <v>30</v>
      </c>
      <c r="U2210" t="s">
        <v>5222</v>
      </c>
      <c r="W2210" t="s">
        <v>28347</v>
      </c>
    </row>
    <row r="2211" spans="1:23" x14ac:dyDescent="0.35">
      <c r="A2211">
        <v>495948</v>
      </c>
      <c r="B2211" t="s">
        <v>34260</v>
      </c>
      <c r="C2211" t="str">
        <f>"9781556529474"</f>
        <v>9781556529474</v>
      </c>
      <c r="D2211" t="str">
        <f>"9781569765531"</f>
        <v>9781569765531</v>
      </c>
      <c r="E2211" t="s">
        <v>27422</v>
      </c>
      <c r="F2211" t="s">
        <v>7972</v>
      </c>
      <c r="G2211" t="s">
        <v>22352</v>
      </c>
      <c r="H2211" t="s">
        <v>26004</v>
      </c>
      <c r="I2211" s="26">
        <v>40182</v>
      </c>
      <c r="J2211">
        <v>2010</v>
      </c>
      <c r="K2211" t="s">
        <v>7972</v>
      </c>
      <c r="L2211">
        <v>316</v>
      </c>
      <c r="M2211" t="s">
        <v>34261</v>
      </c>
      <c r="Q2211" t="s">
        <v>34262</v>
      </c>
      <c r="R2211" t="s">
        <v>34263</v>
      </c>
      <c r="S2211" t="s">
        <v>34264</v>
      </c>
      <c r="T2211" t="s">
        <v>30</v>
      </c>
      <c r="U2211" t="s">
        <v>26044</v>
      </c>
      <c r="W2211" t="s">
        <v>31887</v>
      </c>
    </row>
    <row r="2212" spans="1:23" x14ac:dyDescent="0.35">
      <c r="A2212">
        <v>496118</v>
      </c>
      <c r="B2212" t="s">
        <v>34265</v>
      </c>
      <c r="C2212" t="str">
        <f>"9781403983756"</f>
        <v>9781403983756</v>
      </c>
      <c r="D2212" t="str">
        <f>"9780230605671"</f>
        <v>9780230605671</v>
      </c>
      <c r="E2212" t="s">
        <v>30084</v>
      </c>
      <c r="F2212" t="s">
        <v>483</v>
      </c>
      <c r="G2212" t="s">
        <v>22179</v>
      </c>
      <c r="H2212" t="s">
        <v>26004</v>
      </c>
      <c r="I2212" s="26">
        <v>39304</v>
      </c>
      <c r="J2212">
        <v>2007</v>
      </c>
      <c r="K2212" t="s">
        <v>483</v>
      </c>
      <c r="L2212">
        <v>271</v>
      </c>
      <c r="M2212" t="s">
        <v>34266</v>
      </c>
      <c r="N2212">
        <v>1</v>
      </c>
      <c r="Q2212" t="s">
        <v>34267</v>
      </c>
      <c r="S2212" t="s">
        <v>7938</v>
      </c>
      <c r="T2212" t="s">
        <v>30</v>
      </c>
      <c r="U2212" t="s">
        <v>26044</v>
      </c>
      <c r="W2212" t="s">
        <v>26009</v>
      </c>
    </row>
    <row r="2213" spans="1:23" x14ac:dyDescent="0.35">
      <c r="A2213">
        <v>496275</v>
      </c>
      <c r="B2213" t="s">
        <v>8617</v>
      </c>
      <c r="C2213" t="str">
        <f>"9780826118851"</f>
        <v>9780826118851</v>
      </c>
      <c r="D2213" t="str">
        <f>"9780826118868"</f>
        <v>9780826118868</v>
      </c>
      <c r="E2213" t="s">
        <v>1504</v>
      </c>
      <c r="F2213" t="s">
        <v>33</v>
      </c>
      <c r="G2213" t="s">
        <v>22179</v>
      </c>
      <c r="H2213" t="s">
        <v>26004</v>
      </c>
      <c r="I2213" s="26">
        <v>40210</v>
      </c>
      <c r="J2213">
        <v>2010</v>
      </c>
      <c r="K2213" t="s">
        <v>33</v>
      </c>
      <c r="L2213">
        <v>609</v>
      </c>
      <c r="M2213" t="s">
        <v>34268</v>
      </c>
      <c r="N2213">
        <v>2</v>
      </c>
      <c r="Q2213" t="s">
        <v>34269</v>
      </c>
      <c r="S2213" t="s">
        <v>32665</v>
      </c>
      <c r="T2213" t="s">
        <v>30</v>
      </c>
      <c r="U2213" t="s">
        <v>26250</v>
      </c>
      <c r="W2213" t="s">
        <v>26009</v>
      </c>
    </row>
    <row r="2214" spans="1:23" x14ac:dyDescent="0.35">
      <c r="A2214">
        <v>496276</v>
      </c>
      <c r="B2214" t="s">
        <v>9128</v>
      </c>
      <c r="C2214" t="str">
        <f>"9780826104489"</f>
        <v>9780826104489</v>
      </c>
      <c r="D2214" t="str">
        <f>"9780826104496"</f>
        <v>9780826104496</v>
      </c>
      <c r="E2214" t="s">
        <v>1504</v>
      </c>
      <c r="F2214" t="s">
        <v>33</v>
      </c>
      <c r="G2214" t="s">
        <v>22179</v>
      </c>
      <c r="H2214" t="s">
        <v>26004</v>
      </c>
      <c r="I2214" s="26">
        <v>40238</v>
      </c>
      <c r="J2214">
        <v>2010</v>
      </c>
      <c r="K2214" t="s">
        <v>33</v>
      </c>
      <c r="L2214">
        <v>433</v>
      </c>
      <c r="M2214" t="s">
        <v>34270</v>
      </c>
      <c r="N2214">
        <v>1</v>
      </c>
      <c r="Q2214" t="s">
        <v>34271</v>
      </c>
      <c r="R2214">
        <v>616.80024355</v>
      </c>
      <c r="S2214" t="s">
        <v>34272</v>
      </c>
      <c r="T2214" t="s">
        <v>30</v>
      </c>
      <c r="U2214" t="s">
        <v>34273</v>
      </c>
      <c r="W2214" t="s">
        <v>26009</v>
      </c>
    </row>
    <row r="2215" spans="1:23" x14ac:dyDescent="0.35">
      <c r="A2215">
        <v>496290</v>
      </c>
      <c r="B2215" t="s">
        <v>34274</v>
      </c>
      <c r="C2215" t="str">
        <f>"9780415478632"</f>
        <v>9780415478632</v>
      </c>
      <c r="D2215" t="str">
        <f>"9780203888100"</f>
        <v>9780203888100</v>
      </c>
      <c r="E2215" t="s">
        <v>26010</v>
      </c>
      <c r="F2215" t="s">
        <v>35</v>
      </c>
      <c r="G2215" t="s">
        <v>26201</v>
      </c>
      <c r="H2215" t="s">
        <v>26011</v>
      </c>
      <c r="I2215" s="26">
        <v>40282</v>
      </c>
      <c r="J2215">
        <v>2010</v>
      </c>
      <c r="K2215" t="s">
        <v>26012</v>
      </c>
      <c r="L2215">
        <v>264</v>
      </c>
      <c r="M2215" t="s">
        <v>34275</v>
      </c>
      <c r="N2215">
        <v>1</v>
      </c>
      <c r="Q2215" t="s">
        <v>34276</v>
      </c>
      <c r="R2215" t="s">
        <v>34277</v>
      </c>
      <c r="S2215" t="s">
        <v>9178</v>
      </c>
      <c r="T2215" t="s">
        <v>30</v>
      </c>
      <c r="U2215" t="s">
        <v>34278</v>
      </c>
      <c r="W2215" t="s">
        <v>26009</v>
      </c>
    </row>
    <row r="2216" spans="1:23" x14ac:dyDescent="0.35">
      <c r="A2216">
        <v>496300</v>
      </c>
      <c r="B2216" t="s">
        <v>34279</v>
      </c>
      <c r="C2216" t="str">
        <f>"9781841698717"</f>
        <v>9781841698717</v>
      </c>
      <c r="D2216" t="str">
        <f>"9780203853054"</f>
        <v>9780203853054</v>
      </c>
      <c r="E2216" t="s">
        <v>26010</v>
      </c>
      <c r="F2216" t="s">
        <v>35</v>
      </c>
      <c r="G2216" t="s">
        <v>22267</v>
      </c>
      <c r="H2216" t="s">
        <v>26011</v>
      </c>
      <c r="I2216" s="26">
        <v>40249</v>
      </c>
      <c r="J2216">
        <v>2010</v>
      </c>
      <c r="K2216" t="s">
        <v>660</v>
      </c>
      <c r="L2216">
        <v>358</v>
      </c>
      <c r="M2216" t="s">
        <v>34280</v>
      </c>
      <c r="N2216">
        <v>1</v>
      </c>
      <c r="Q2216" t="s">
        <v>34281</v>
      </c>
      <c r="R2216">
        <v>153</v>
      </c>
      <c r="S2216" t="s">
        <v>7468</v>
      </c>
      <c r="T2216" t="s">
        <v>30</v>
      </c>
      <c r="U2216" t="s">
        <v>46</v>
      </c>
      <c r="W2216" t="s">
        <v>26009</v>
      </c>
    </row>
    <row r="2217" spans="1:23" x14ac:dyDescent="0.35">
      <c r="A2217">
        <v>496303</v>
      </c>
      <c r="B2217" t="s">
        <v>9513</v>
      </c>
      <c r="C2217" t="str">
        <f>"9780415429412"</f>
        <v>9780415429412</v>
      </c>
      <c r="D2217" t="str">
        <f>"9780203854525"</f>
        <v>9780203854525</v>
      </c>
      <c r="E2217" t="s">
        <v>26010</v>
      </c>
      <c r="F2217" t="s">
        <v>35</v>
      </c>
      <c r="G2217" t="s">
        <v>22174</v>
      </c>
      <c r="H2217" t="s">
        <v>26004</v>
      </c>
      <c r="I2217" s="26">
        <v>40346</v>
      </c>
      <c r="J2217">
        <v>2010</v>
      </c>
      <c r="K2217" t="s">
        <v>26012</v>
      </c>
      <c r="L2217">
        <v>236</v>
      </c>
      <c r="M2217" t="s">
        <v>34282</v>
      </c>
      <c r="N2217">
        <v>1</v>
      </c>
      <c r="Q2217" t="s">
        <v>34283</v>
      </c>
      <c r="R2217">
        <v>720</v>
      </c>
      <c r="S2217" t="s">
        <v>34284</v>
      </c>
      <c r="T2217" t="s">
        <v>30</v>
      </c>
      <c r="U2217" t="s">
        <v>34285</v>
      </c>
      <c r="W2217" t="s">
        <v>26009</v>
      </c>
    </row>
    <row r="2218" spans="1:23" x14ac:dyDescent="0.35">
      <c r="A2218">
        <v>496304</v>
      </c>
      <c r="B2218" t="s">
        <v>34286</v>
      </c>
      <c r="C2218" t="str">
        <f>"9780415484237"</f>
        <v>9780415484237</v>
      </c>
      <c r="D2218" t="str">
        <f>"9780203855782"</f>
        <v>9780203855782</v>
      </c>
      <c r="E2218" t="s">
        <v>26010</v>
      </c>
      <c r="F2218" t="s">
        <v>35</v>
      </c>
      <c r="G2218" t="s">
        <v>22174</v>
      </c>
      <c r="H2218" t="s">
        <v>26011</v>
      </c>
      <c r="I2218" s="26">
        <v>40360</v>
      </c>
      <c r="J2218">
        <v>2010</v>
      </c>
      <c r="K2218" t="s">
        <v>26012</v>
      </c>
      <c r="L2218">
        <v>340</v>
      </c>
      <c r="M2218" t="s">
        <v>34287</v>
      </c>
      <c r="N2218">
        <v>1</v>
      </c>
      <c r="Q2218" t="s">
        <v>34288</v>
      </c>
      <c r="R2218">
        <v>616.89</v>
      </c>
      <c r="S2218" t="s">
        <v>7633</v>
      </c>
      <c r="T2218" t="s">
        <v>30</v>
      </c>
      <c r="U2218" t="s">
        <v>26019</v>
      </c>
      <c r="W2218" t="s">
        <v>26009</v>
      </c>
    </row>
    <row r="2219" spans="1:23" x14ac:dyDescent="0.35">
      <c r="A2219">
        <v>496308</v>
      </c>
      <c r="B2219" t="s">
        <v>34289</v>
      </c>
      <c r="C2219" t="str">
        <f>"9780415476140"</f>
        <v>9780415476140</v>
      </c>
      <c r="D2219" t="str">
        <f>"9780203855614"</f>
        <v>9780203855614</v>
      </c>
      <c r="E2219" t="s">
        <v>26010</v>
      </c>
      <c r="F2219" t="s">
        <v>35</v>
      </c>
      <c r="G2219" t="s">
        <v>26201</v>
      </c>
      <c r="H2219" t="s">
        <v>26004</v>
      </c>
      <c r="I2219" s="26">
        <v>40282</v>
      </c>
      <c r="J2219">
        <v>2010</v>
      </c>
      <c r="K2219" t="s">
        <v>26012</v>
      </c>
      <c r="L2219">
        <v>237</v>
      </c>
      <c r="M2219" t="s">
        <v>34290</v>
      </c>
      <c r="N2219">
        <v>1</v>
      </c>
      <c r="Q2219" t="s">
        <v>34291</v>
      </c>
      <c r="R2219" t="s">
        <v>26422</v>
      </c>
      <c r="S2219" t="s">
        <v>34292</v>
      </c>
      <c r="T2219" t="s">
        <v>30</v>
      </c>
      <c r="U2219" t="s">
        <v>26282</v>
      </c>
      <c r="W2219" t="s">
        <v>26009</v>
      </c>
    </row>
    <row r="2220" spans="1:23" x14ac:dyDescent="0.35">
      <c r="A2220">
        <v>496309</v>
      </c>
      <c r="B2220" t="s">
        <v>34293</v>
      </c>
      <c r="C2220" t="str">
        <f>"9780415996396"</f>
        <v>9780415996396</v>
      </c>
      <c r="D2220" t="str">
        <f>"9780203855423"</f>
        <v>9780203855423</v>
      </c>
      <c r="E2220" t="s">
        <v>26010</v>
      </c>
      <c r="F2220" t="s">
        <v>35</v>
      </c>
      <c r="G2220" t="s">
        <v>26201</v>
      </c>
      <c r="H2220" t="s">
        <v>26004</v>
      </c>
      <c r="I2220" s="26">
        <v>40262</v>
      </c>
      <c r="J2220">
        <v>2010</v>
      </c>
      <c r="K2220" t="s">
        <v>26012</v>
      </c>
      <c r="L2220">
        <v>449</v>
      </c>
      <c r="M2220" t="s">
        <v>34294</v>
      </c>
      <c r="N2220">
        <v>1</v>
      </c>
      <c r="Q2220" t="s">
        <v>34295</v>
      </c>
      <c r="R2220">
        <v>303.601</v>
      </c>
      <c r="S2220" t="s">
        <v>34296</v>
      </c>
      <c r="T2220" t="s">
        <v>30</v>
      </c>
      <c r="U2220" t="s">
        <v>26044</v>
      </c>
      <c r="W2220" t="s">
        <v>26009</v>
      </c>
    </row>
    <row r="2221" spans="1:23" x14ac:dyDescent="0.35">
      <c r="A2221">
        <v>496345</v>
      </c>
      <c r="B2221" t="s">
        <v>34297</v>
      </c>
      <c r="C2221" t="str">
        <f>"9780415401708"</f>
        <v>9780415401708</v>
      </c>
      <c r="D2221" t="str">
        <f>"9780203929896"</f>
        <v>9780203929896</v>
      </c>
      <c r="E2221" t="s">
        <v>26010</v>
      </c>
      <c r="F2221" t="s">
        <v>35</v>
      </c>
      <c r="G2221" t="s">
        <v>26201</v>
      </c>
      <c r="H2221" t="s">
        <v>26004</v>
      </c>
      <c r="I2221" s="26">
        <v>40298</v>
      </c>
      <c r="J2221">
        <v>2010</v>
      </c>
      <c r="K2221" t="s">
        <v>26012</v>
      </c>
      <c r="L2221">
        <v>207</v>
      </c>
      <c r="M2221" t="s">
        <v>34298</v>
      </c>
      <c r="N2221">
        <v>1</v>
      </c>
      <c r="O2221" t="s">
        <v>26855</v>
      </c>
      <c r="Q2221" t="s">
        <v>34299</v>
      </c>
      <c r="R2221" t="s">
        <v>34300</v>
      </c>
      <c r="S2221" t="s">
        <v>34301</v>
      </c>
      <c r="T2221" t="s">
        <v>30</v>
      </c>
      <c r="U2221" t="s">
        <v>46</v>
      </c>
      <c r="W2221" t="s">
        <v>26009</v>
      </c>
    </row>
    <row r="2222" spans="1:23" x14ac:dyDescent="0.35">
      <c r="A2222">
        <v>496390</v>
      </c>
      <c r="B2222" t="s">
        <v>34302</v>
      </c>
      <c r="C2222" t="str">
        <f>"9780415567244"</f>
        <v>9780415567244</v>
      </c>
      <c r="D2222" t="str">
        <f>"9780203860885"</f>
        <v>9780203860885</v>
      </c>
      <c r="E2222" t="s">
        <v>26010</v>
      </c>
      <c r="F2222" t="s">
        <v>35</v>
      </c>
      <c r="G2222" t="s">
        <v>22174</v>
      </c>
      <c r="H2222" t="s">
        <v>26011</v>
      </c>
      <c r="I2222" s="26">
        <v>40282</v>
      </c>
      <c r="J2222">
        <v>2010</v>
      </c>
      <c r="K2222" t="s">
        <v>26012</v>
      </c>
      <c r="L2222">
        <v>326</v>
      </c>
      <c r="M2222" t="s">
        <v>34303</v>
      </c>
      <c r="N2222">
        <v>1</v>
      </c>
      <c r="O2222" t="s">
        <v>27341</v>
      </c>
      <c r="Q2222" t="s">
        <v>34304</v>
      </c>
      <c r="R2222">
        <v>302</v>
      </c>
      <c r="S2222" t="s">
        <v>9361</v>
      </c>
      <c r="T2222" t="s">
        <v>30</v>
      </c>
      <c r="U2222" t="s">
        <v>26044</v>
      </c>
      <c r="W2222" t="s">
        <v>26009</v>
      </c>
    </row>
    <row r="2223" spans="1:23" x14ac:dyDescent="0.35">
      <c r="A2223">
        <v>496649</v>
      </c>
      <c r="B2223" t="s">
        <v>8696</v>
      </c>
      <c r="C2223" t="str">
        <f>"9780708322048"</f>
        <v>9780708322048</v>
      </c>
      <c r="D2223" t="str">
        <f>"9780708322796"</f>
        <v>9780708322796</v>
      </c>
      <c r="E2223" t="s">
        <v>28153</v>
      </c>
      <c r="F2223" t="s">
        <v>34305</v>
      </c>
      <c r="G2223" t="s">
        <v>34306</v>
      </c>
      <c r="H2223" t="s">
        <v>26011</v>
      </c>
      <c r="I2223" s="26">
        <v>40117</v>
      </c>
      <c r="J2223">
        <v>2009</v>
      </c>
      <c r="K2223" t="s">
        <v>34305</v>
      </c>
      <c r="L2223">
        <v>282</v>
      </c>
      <c r="M2223" t="s">
        <v>34307</v>
      </c>
      <c r="N2223">
        <v>1</v>
      </c>
      <c r="O2223" t="s">
        <v>34308</v>
      </c>
      <c r="Q2223" t="s">
        <v>34309</v>
      </c>
      <c r="R2223">
        <v>616.69400946090298</v>
      </c>
      <c r="S2223" t="s">
        <v>8697</v>
      </c>
      <c r="T2223" t="s">
        <v>30</v>
      </c>
      <c r="U2223" t="s">
        <v>26040</v>
      </c>
      <c r="W2223" t="s">
        <v>26009</v>
      </c>
    </row>
    <row r="2224" spans="1:23" x14ac:dyDescent="0.35">
      <c r="A2224">
        <v>496913</v>
      </c>
      <c r="B2224" t="s">
        <v>34310</v>
      </c>
      <c r="C2224" t="str">
        <f>"9780313355288"</f>
        <v>9780313355288</v>
      </c>
      <c r="D2224" t="str">
        <f>"9780313355295"</f>
        <v>9780313355295</v>
      </c>
      <c r="E2224" t="s">
        <v>28336</v>
      </c>
      <c r="F2224" t="s">
        <v>28340</v>
      </c>
      <c r="G2224" t="s">
        <v>22179</v>
      </c>
      <c r="H2224" t="s">
        <v>26004</v>
      </c>
      <c r="I2224" s="26">
        <v>39861</v>
      </c>
      <c r="J2224">
        <v>2009</v>
      </c>
      <c r="K2224" t="s">
        <v>28341</v>
      </c>
      <c r="L2224">
        <v>160</v>
      </c>
      <c r="M2224" t="s">
        <v>34311</v>
      </c>
      <c r="N2224">
        <v>1</v>
      </c>
      <c r="Q2224" t="s">
        <v>34312</v>
      </c>
      <c r="R2224">
        <v>306.89999999999998</v>
      </c>
      <c r="S2224" t="s">
        <v>34313</v>
      </c>
      <c r="T2224" t="s">
        <v>30</v>
      </c>
      <c r="U2224" t="s">
        <v>26228</v>
      </c>
      <c r="W2224" t="s">
        <v>28347</v>
      </c>
    </row>
    <row r="2225" spans="1:23" x14ac:dyDescent="0.35">
      <c r="A2225">
        <v>497579</v>
      </c>
      <c r="B2225" t="s">
        <v>6026</v>
      </c>
      <c r="C2225" t="str">
        <f>"9780195372748"</f>
        <v>9780195372748</v>
      </c>
      <c r="D2225" t="str">
        <f>"9780199706822"</f>
        <v>9780199706822</v>
      </c>
      <c r="E2225" t="s">
        <v>371</v>
      </c>
      <c r="F2225" t="s">
        <v>31</v>
      </c>
      <c r="H2225" t="s">
        <v>26011</v>
      </c>
      <c r="I2225" s="26">
        <v>40297</v>
      </c>
      <c r="J2225">
        <v>2010</v>
      </c>
      <c r="K2225" t="s">
        <v>32038</v>
      </c>
      <c r="L2225">
        <v>679</v>
      </c>
      <c r="M2225" t="s">
        <v>34314</v>
      </c>
      <c r="N2225">
        <v>2</v>
      </c>
      <c r="Q2225" t="s">
        <v>34315</v>
      </c>
      <c r="R2225">
        <v>616.89</v>
      </c>
      <c r="S2225" t="s">
        <v>34316</v>
      </c>
      <c r="T2225" t="s">
        <v>30</v>
      </c>
      <c r="U2225" t="s">
        <v>26116</v>
      </c>
      <c r="W2225" t="s">
        <v>26009</v>
      </c>
    </row>
    <row r="2226" spans="1:23" x14ac:dyDescent="0.35">
      <c r="A2226">
        <v>497651</v>
      </c>
      <c r="B2226" t="s">
        <v>9969</v>
      </c>
      <c r="C2226" t="str">
        <f>"9780195379099"</f>
        <v>9780195379099</v>
      </c>
      <c r="D2226" t="str">
        <f>"9780199702442"</f>
        <v>9780199702442</v>
      </c>
      <c r="E2226" t="s">
        <v>371</v>
      </c>
      <c r="F2226" t="s">
        <v>31</v>
      </c>
      <c r="G2226" t="s">
        <v>22179</v>
      </c>
      <c r="H2226" t="s">
        <v>26004</v>
      </c>
      <c r="I2226" s="26">
        <v>40289</v>
      </c>
      <c r="J2226">
        <v>2009</v>
      </c>
      <c r="K2226" t="s">
        <v>31</v>
      </c>
      <c r="L2226">
        <v>556</v>
      </c>
      <c r="M2226" t="s">
        <v>28639</v>
      </c>
      <c r="N2226">
        <v>1</v>
      </c>
      <c r="Q2226" t="s">
        <v>34317</v>
      </c>
      <c r="R2226" t="s">
        <v>34318</v>
      </c>
      <c r="S2226" t="s">
        <v>34319</v>
      </c>
      <c r="T2226" t="s">
        <v>30</v>
      </c>
      <c r="U2226" t="s">
        <v>26116</v>
      </c>
      <c r="W2226" t="s">
        <v>26009</v>
      </c>
    </row>
    <row r="2227" spans="1:23" x14ac:dyDescent="0.35">
      <c r="A2227">
        <v>497658</v>
      </c>
      <c r="B2227" t="s">
        <v>8445</v>
      </c>
      <c r="C2227" t="str">
        <f>"9780195323092"</f>
        <v>9780195323092</v>
      </c>
      <c r="D2227" t="str">
        <f>"9780199724154"</f>
        <v>9780199724154</v>
      </c>
      <c r="E2227" t="s">
        <v>371</v>
      </c>
      <c r="F2227" t="s">
        <v>31</v>
      </c>
      <c r="G2227" t="s">
        <v>22703</v>
      </c>
      <c r="H2227" t="s">
        <v>26004</v>
      </c>
      <c r="I2227" s="26">
        <v>39695</v>
      </c>
      <c r="J2227">
        <v>2009</v>
      </c>
      <c r="K2227" t="s">
        <v>31</v>
      </c>
      <c r="L2227">
        <v>193</v>
      </c>
      <c r="M2227" t="s">
        <v>34320</v>
      </c>
      <c r="O2227" t="s">
        <v>33147</v>
      </c>
      <c r="Q2227" t="s">
        <v>34321</v>
      </c>
      <c r="R2227">
        <v>614.15</v>
      </c>
      <c r="S2227" t="s">
        <v>34322</v>
      </c>
      <c r="T2227" t="s">
        <v>30</v>
      </c>
      <c r="U2227" t="s">
        <v>27028</v>
      </c>
      <c r="W2227" t="s">
        <v>26009</v>
      </c>
    </row>
    <row r="2228" spans="1:23" x14ac:dyDescent="0.35">
      <c r="A2228">
        <v>497659</v>
      </c>
      <c r="B2228" t="s">
        <v>6051</v>
      </c>
      <c r="C2228" t="str">
        <f>"9780195367430"</f>
        <v>9780195367430</v>
      </c>
      <c r="D2228" t="str">
        <f>"9780199710164"</f>
        <v>9780199710164</v>
      </c>
      <c r="E2228" t="s">
        <v>371</v>
      </c>
      <c r="F2228" t="s">
        <v>31</v>
      </c>
      <c r="G2228" t="s">
        <v>22703</v>
      </c>
      <c r="H2228" t="s">
        <v>26011</v>
      </c>
      <c r="I2228" s="26">
        <v>40299</v>
      </c>
      <c r="J2228">
        <v>2010</v>
      </c>
      <c r="K2228" t="s">
        <v>32038</v>
      </c>
      <c r="L2228">
        <v>712</v>
      </c>
      <c r="M2228" t="s">
        <v>34323</v>
      </c>
      <c r="N2228">
        <v>2</v>
      </c>
      <c r="Q2228" t="s">
        <v>34324</v>
      </c>
      <c r="R2228" t="s">
        <v>34325</v>
      </c>
      <c r="S2228" t="s">
        <v>34326</v>
      </c>
      <c r="T2228" t="s">
        <v>30</v>
      </c>
      <c r="U2228" t="s">
        <v>26040</v>
      </c>
      <c r="W2228" t="s">
        <v>26009</v>
      </c>
    </row>
    <row r="2229" spans="1:23" x14ac:dyDescent="0.35">
      <c r="A2229">
        <v>500759</v>
      </c>
      <c r="B2229" t="s">
        <v>34327</v>
      </c>
      <c r="C2229" t="str">
        <f>"9781442200777"</f>
        <v>9781442200777</v>
      </c>
      <c r="D2229" t="str">
        <f>"9781442200791"</f>
        <v>9781442200791</v>
      </c>
      <c r="E2229" t="s">
        <v>33803</v>
      </c>
      <c r="F2229" t="s">
        <v>38</v>
      </c>
      <c r="G2229" t="s">
        <v>34328</v>
      </c>
      <c r="H2229" t="s">
        <v>26004</v>
      </c>
      <c r="I2229" s="26">
        <v>40284</v>
      </c>
      <c r="J2229">
        <v>2010</v>
      </c>
      <c r="K2229" t="s">
        <v>38</v>
      </c>
      <c r="L2229">
        <v>143</v>
      </c>
      <c r="M2229" t="s">
        <v>34329</v>
      </c>
      <c r="N2229">
        <v>1</v>
      </c>
      <c r="Q2229" t="s">
        <v>34330</v>
      </c>
      <c r="R2229" t="s">
        <v>34331</v>
      </c>
      <c r="S2229" t="s">
        <v>34332</v>
      </c>
      <c r="T2229" t="s">
        <v>30</v>
      </c>
      <c r="U2229" t="s">
        <v>26044</v>
      </c>
      <c r="W2229" t="s">
        <v>26009</v>
      </c>
    </row>
    <row r="2230" spans="1:23" x14ac:dyDescent="0.35">
      <c r="A2230">
        <v>500901</v>
      </c>
      <c r="B2230" t="s">
        <v>34333</v>
      </c>
      <c r="C2230" t="str">
        <f>"9780765707727"</f>
        <v>9780765707727</v>
      </c>
      <c r="D2230" t="str">
        <f>"9780765707741"</f>
        <v>9780765707741</v>
      </c>
      <c r="E2230" t="s">
        <v>33803</v>
      </c>
      <c r="F2230" t="s">
        <v>38</v>
      </c>
      <c r="G2230" t="s">
        <v>34138</v>
      </c>
      <c r="H2230" t="s">
        <v>26004</v>
      </c>
      <c r="I2230" s="26">
        <v>40255</v>
      </c>
      <c r="J2230">
        <v>2010</v>
      </c>
      <c r="K2230" t="s">
        <v>33811</v>
      </c>
      <c r="L2230">
        <v>178</v>
      </c>
      <c r="M2230" t="s">
        <v>34334</v>
      </c>
      <c r="N2230">
        <v>1</v>
      </c>
      <c r="Q2230" t="s">
        <v>34335</v>
      </c>
      <c r="R2230" t="s">
        <v>27831</v>
      </c>
      <c r="S2230" t="s">
        <v>34336</v>
      </c>
      <c r="T2230" t="s">
        <v>30</v>
      </c>
      <c r="U2230" t="s">
        <v>26019</v>
      </c>
      <c r="W2230" t="s">
        <v>26009</v>
      </c>
    </row>
    <row r="2231" spans="1:23" x14ac:dyDescent="0.35">
      <c r="A2231">
        <v>500953</v>
      </c>
      <c r="B2231" t="s">
        <v>34337</v>
      </c>
      <c r="C2231" t="str">
        <f>"9780765707024"</f>
        <v>9780765707024</v>
      </c>
      <c r="D2231" t="str">
        <f>"9780765707048"</f>
        <v>9780765707048</v>
      </c>
      <c r="E2231" t="s">
        <v>33803</v>
      </c>
      <c r="F2231" t="s">
        <v>38</v>
      </c>
      <c r="G2231" t="s">
        <v>34138</v>
      </c>
      <c r="H2231" t="s">
        <v>26004</v>
      </c>
      <c r="I2231" s="26">
        <v>40224</v>
      </c>
      <c r="J2231">
        <v>2010</v>
      </c>
      <c r="K2231" t="s">
        <v>33811</v>
      </c>
      <c r="L2231">
        <v>558</v>
      </c>
      <c r="M2231" t="s">
        <v>34338</v>
      </c>
      <c r="N2231">
        <v>1</v>
      </c>
      <c r="Q2231" t="s">
        <v>34339</v>
      </c>
      <c r="R2231" t="s">
        <v>26308</v>
      </c>
      <c r="S2231" t="s">
        <v>34340</v>
      </c>
      <c r="T2231" t="s">
        <v>30</v>
      </c>
      <c r="U2231" t="s">
        <v>26679</v>
      </c>
      <c r="W2231" t="s">
        <v>26009</v>
      </c>
    </row>
    <row r="2232" spans="1:23" x14ac:dyDescent="0.35">
      <c r="A2232">
        <v>501250</v>
      </c>
      <c r="B2232" t="s">
        <v>34341</v>
      </c>
      <c r="C2232" t="str">
        <f>"9780521895033"</f>
        <v>9780521895033</v>
      </c>
      <c r="D2232" t="str">
        <f>"9780511714535"</f>
        <v>9780511714535</v>
      </c>
      <c r="E2232" t="s">
        <v>167</v>
      </c>
      <c r="F2232" t="s">
        <v>167</v>
      </c>
      <c r="G2232" t="s">
        <v>22218</v>
      </c>
      <c r="H2232" t="s">
        <v>26011</v>
      </c>
      <c r="I2232" s="26">
        <v>40275</v>
      </c>
      <c r="J2232">
        <v>2010</v>
      </c>
      <c r="K2232" t="s">
        <v>167</v>
      </c>
      <c r="L2232">
        <v>623</v>
      </c>
      <c r="M2232" t="s">
        <v>34342</v>
      </c>
      <c r="N2232">
        <v>1</v>
      </c>
      <c r="Q2232" t="s">
        <v>34343</v>
      </c>
      <c r="R2232" t="s">
        <v>27649</v>
      </c>
      <c r="S2232" t="s">
        <v>34344</v>
      </c>
      <c r="T2232" t="s">
        <v>30</v>
      </c>
      <c r="U2232" t="s">
        <v>29704</v>
      </c>
      <c r="W2232" t="s">
        <v>26020</v>
      </c>
    </row>
    <row r="2233" spans="1:23" x14ac:dyDescent="0.35">
      <c r="A2233">
        <v>501294</v>
      </c>
      <c r="B2233" t="s">
        <v>34345</v>
      </c>
      <c r="C2233" t="str">
        <f>"9780521889780"</f>
        <v>9780521889780</v>
      </c>
      <c r="D2233" t="str">
        <f>"9780511682179"</f>
        <v>9780511682179</v>
      </c>
      <c r="E2233" t="s">
        <v>167</v>
      </c>
      <c r="F2233" t="s">
        <v>167</v>
      </c>
      <c r="G2233" t="s">
        <v>22218</v>
      </c>
      <c r="H2233" t="s">
        <v>26011</v>
      </c>
      <c r="I2233" s="26">
        <v>40213</v>
      </c>
      <c r="J2233">
        <v>2010</v>
      </c>
      <c r="K2233" t="s">
        <v>167</v>
      </c>
      <c r="L2233">
        <v>271</v>
      </c>
      <c r="M2233" t="s">
        <v>34346</v>
      </c>
      <c r="N2233">
        <v>1</v>
      </c>
      <c r="Q2233" t="s">
        <v>34347</v>
      </c>
      <c r="R2233" t="s">
        <v>34348</v>
      </c>
      <c r="S2233" t="s">
        <v>10227</v>
      </c>
      <c r="T2233" t="s">
        <v>30</v>
      </c>
      <c r="U2233" t="s">
        <v>26040</v>
      </c>
      <c r="W2233" t="s">
        <v>26020</v>
      </c>
    </row>
    <row r="2234" spans="1:23" x14ac:dyDescent="0.35">
      <c r="A2234">
        <v>501352</v>
      </c>
      <c r="B2234" t="s">
        <v>34349</v>
      </c>
      <c r="C2234" t="str">
        <f>"9780521763325"</f>
        <v>9780521763325</v>
      </c>
      <c r="D2234" t="str">
        <f>"9780511681806"</f>
        <v>9780511681806</v>
      </c>
      <c r="E2234" t="s">
        <v>167</v>
      </c>
      <c r="F2234" t="s">
        <v>167</v>
      </c>
      <c r="G2234" t="s">
        <v>22218</v>
      </c>
      <c r="H2234" t="s">
        <v>26011</v>
      </c>
      <c r="I2234" s="26">
        <v>40213</v>
      </c>
      <c r="J2234">
        <v>2010</v>
      </c>
      <c r="K2234" t="s">
        <v>167</v>
      </c>
      <c r="L2234">
        <v>247</v>
      </c>
      <c r="M2234" t="s">
        <v>34350</v>
      </c>
      <c r="N2234">
        <v>1</v>
      </c>
      <c r="Q2234" t="s">
        <v>34351</v>
      </c>
      <c r="R2234" t="s">
        <v>28597</v>
      </c>
      <c r="S2234" t="s">
        <v>9360</v>
      </c>
      <c r="T2234" t="s">
        <v>30</v>
      </c>
      <c r="U2234" t="s">
        <v>26040</v>
      </c>
      <c r="W2234" t="s">
        <v>26020</v>
      </c>
    </row>
    <row r="2235" spans="1:23" x14ac:dyDescent="0.35">
      <c r="A2235">
        <v>501354</v>
      </c>
      <c r="B2235" t="s">
        <v>34352</v>
      </c>
      <c r="C2235" t="str">
        <f>"9780521878357"</f>
        <v>9780521878357</v>
      </c>
      <c r="D2235" t="str">
        <f>"9780511692598"</f>
        <v>9780511692598</v>
      </c>
      <c r="E2235" t="s">
        <v>167</v>
      </c>
      <c r="F2235" t="s">
        <v>167</v>
      </c>
      <c r="G2235" t="s">
        <v>22218</v>
      </c>
      <c r="H2235" t="s">
        <v>26011</v>
      </c>
      <c r="I2235" s="26">
        <v>40157</v>
      </c>
      <c r="J2235">
        <v>2009</v>
      </c>
      <c r="K2235" t="s">
        <v>167</v>
      </c>
      <c r="L2235">
        <v>366</v>
      </c>
      <c r="M2235" t="s">
        <v>34353</v>
      </c>
      <c r="N2235">
        <v>1</v>
      </c>
      <c r="Q2235" t="s">
        <v>34354</v>
      </c>
      <c r="R2235" t="s">
        <v>27277</v>
      </c>
      <c r="S2235" t="s">
        <v>7663</v>
      </c>
      <c r="T2235" t="s">
        <v>30</v>
      </c>
      <c r="U2235" t="s">
        <v>26044</v>
      </c>
      <c r="W2235" t="s">
        <v>26020</v>
      </c>
    </row>
    <row r="2236" spans="1:23" x14ac:dyDescent="0.35">
      <c r="A2236">
        <v>501367</v>
      </c>
      <c r="B2236" t="s">
        <v>34355</v>
      </c>
      <c r="C2236" t="str">
        <f>"9780521758932"</f>
        <v>9780521758932</v>
      </c>
      <c r="D2236" t="str">
        <f>"9780511692178"</f>
        <v>9780511692178</v>
      </c>
      <c r="E2236" t="s">
        <v>167</v>
      </c>
      <c r="F2236" t="s">
        <v>167</v>
      </c>
      <c r="G2236" t="s">
        <v>22519</v>
      </c>
      <c r="H2236" t="s">
        <v>31108</v>
      </c>
      <c r="I2236" s="26">
        <v>40106</v>
      </c>
      <c r="J2236">
        <v>2009</v>
      </c>
      <c r="K2236" t="s">
        <v>167</v>
      </c>
      <c r="L2236">
        <v>216</v>
      </c>
      <c r="M2236" t="s">
        <v>34356</v>
      </c>
      <c r="N2236">
        <v>1</v>
      </c>
      <c r="Q2236" t="s">
        <v>34357</v>
      </c>
      <c r="R2236">
        <v>130</v>
      </c>
      <c r="S2236" t="s">
        <v>34358</v>
      </c>
      <c r="T2236" t="s">
        <v>30</v>
      </c>
      <c r="U2236" t="s">
        <v>26520</v>
      </c>
      <c r="W2236" t="s">
        <v>26020</v>
      </c>
    </row>
    <row r="2237" spans="1:23" x14ac:dyDescent="0.35">
      <c r="A2237">
        <v>501424</v>
      </c>
      <c r="B2237" t="s">
        <v>34359</v>
      </c>
      <c r="C2237" t="str">
        <f>"9780253353788"</f>
        <v>9780253353788</v>
      </c>
      <c r="D2237" t="str">
        <f>"9780253003911"</f>
        <v>9780253003911</v>
      </c>
      <c r="E2237" t="s">
        <v>7540</v>
      </c>
      <c r="F2237" t="s">
        <v>7540</v>
      </c>
      <c r="G2237" t="s">
        <v>24303</v>
      </c>
      <c r="H2237" t="s">
        <v>26004</v>
      </c>
      <c r="I2237" s="26">
        <v>40137</v>
      </c>
      <c r="J2237">
        <v>2009</v>
      </c>
      <c r="K2237" t="s">
        <v>7540</v>
      </c>
      <c r="L2237">
        <v>376</v>
      </c>
      <c r="M2237" t="s">
        <v>34360</v>
      </c>
      <c r="N2237">
        <v>1</v>
      </c>
      <c r="O2237" t="s">
        <v>34361</v>
      </c>
      <c r="Q2237" t="s">
        <v>34362</v>
      </c>
      <c r="R2237" t="s">
        <v>34363</v>
      </c>
      <c r="S2237" t="s">
        <v>34364</v>
      </c>
      <c r="T2237" t="s">
        <v>30</v>
      </c>
      <c r="U2237" t="s">
        <v>28111</v>
      </c>
      <c r="W2237" t="s">
        <v>26009</v>
      </c>
    </row>
    <row r="2238" spans="1:23" x14ac:dyDescent="0.35">
      <c r="A2238">
        <v>510397</v>
      </c>
      <c r="B2238" t="s">
        <v>10151</v>
      </c>
      <c r="C2238" t="str">
        <f>"9780833046918"</f>
        <v>9780833046918</v>
      </c>
      <c r="D2238" t="str">
        <f>"9780833049360"</f>
        <v>9780833049360</v>
      </c>
      <c r="E2238" t="s">
        <v>30602</v>
      </c>
      <c r="F2238" t="s">
        <v>8236</v>
      </c>
      <c r="G2238" t="s">
        <v>22307</v>
      </c>
      <c r="H2238" t="s">
        <v>26004</v>
      </c>
      <c r="I2238" s="26">
        <v>39814</v>
      </c>
      <c r="J2238">
        <v>2009</v>
      </c>
      <c r="K2238" t="s">
        <v>30603</v>
      </c>
      <c r="L2238">
        <v>165</v>
      </c>
      <c r="M2238" t="s">
        <v>34365</v>
      </c>
      <c r="N2238">
        <v>1</v>
      </c>
      <c r="Q2238" t="s">
        <v>34366</v>
      </c>
      <c r="R2238" t="s">
        <v>34367</v>
      </c>
      <c r="S2238" t="s">
        <v>34368</v>
      </c>
      <c r="T2238" t="s">
        <v>30</v>
      </c>
      <c r="U2238" t="s">
        <v>33415</v>
      </c>
      <c r="W2238" t="s">
        <v>26009</v>
      </c>
    </row>
    <row r="2239" spans="1:23" x14ac:dyDescent="0.35">
      <c r="A2239">
        <v>511763</v>
      </c>
      <c r="B2239" t="s">
        <v>34369</v>
      </c>
      <c r="C2239" t="str">
        <f>"9780702236037"</f>
        <v>9780702236037</v>
      </c>
      <c r="D2239" t="str">
        <f>"9780702244322"</f>
        <v>9780702244322</v>
      </c>
      <c r="E2239" t="s">
        <v>27422</v>
      </c>
      <c r="F2239" t="s">
        <v>7723</v>
      </c>
      <c r="G2239" t="s">
        <v>34370</v>
      </c>
      <c r="H2239" t="s">
        <v>26004</v>
      </c>
      <c r="I2239" s="26">
        <v>39448</v>
      </c>
      <c r="J2239">
        <v>2008</v>
      </c>
      <c r="K2239" t="s">
        <v>7723</v>
      </c>
      <c r="L2239">
        <v>206</v>
      </c>
      <c r="M2239" t="s">
        <v>34371</v>
      </c>
      <c r="Q2239" t="s">
        <v>34372</v>
      </c>
      <c r="R2239">
        <v>306.44099399999999</v>
      </c>
      <c r="S2239" t="s">
        <v>34373</v>
      </c>
      <c r="T2239" t="s">
        <v>30</v>
      </c>
      <c r="U2239" t="s">
        <v>28168</v>
      </c>
      <c r="W2239" t="s">
        <v>26009</v>
      </c>
    </row>
    <row r="2240" spans="1:23" x14ac:dyDescent="0.35">
      <c r="A2240">
        <v>513946</v>
      </c>
      <c r="B2240" t="s">
        <v>34374</v>
      </c>
      <c r="C2240" t="str">
        <f>"9780754676836"</f>
        <v>9780754676836</v>
      </c>
      <c r="D2240" t="str">
        <f>"9780754693611"</f>
        <v>9780754693611</v>
      </c>
      <c r="E2240" t="s">
        <v>26010</v>
      </c>
      <c r="F2240" t="s">
        <v>35</v>
      </c>
      <c r="G2240" t="s">
        <v>33516</v>
      </c>
      <c r="H2240" t="s">
        <v>26011</v>
      </c>
      <c r="I2240" s="26">
        <v>40296</v>
      </c>
      <c r="J2240">
        <v>2010</v>
      </c>
      <c r="K2240" t="s">
        <v>26012</v>
      </c>
      <c r="L2240">
        <v>251</v>
      </c>
      <c r="M2240" t="s">
        <v>34375</v>
      </c>
      <c r="N2240">
        <v>1</v>
      </c>
      <c r="Q2240" t="s">
        <v>34376</v>
      </c>
      <c r="R2240">
        <v>616.89170865999995</v>
      </c>
      <c r="S2240" t="s">
        <v>34377</v>
      </c>
      <c r="T2240" t="s">
        <v>30</v>
      </c>
      <c r="U2240" t="s">
        <v>26019</v>
      </c>
      <c r="W2240" t="s">
        <v>26009</v>
      </c>
    </row>
    <row r="2241" spans="1:23" x14ac:dyDescent="0.35">
      <c r="A2241">
        <v>515330</v>
      </c>
      <c r="B2241" t="s">
        <v>34378</v>
      </c>
      <c r="C2241" t="str">
        <f>"9780415476058"</f>
        <v>9780415476058</v>
      </c>
      <c r="D2241" t="str">
        <f>"9780203885543"</f>
        <v>9780203885543</v>
      </c>
      <c r="E2241" t="s">
        <v>26010</v>
      </c>
      <c r="F2241" t="s">
        <v>35</v>
      </c>
      <c r="G2241" t="s">
        <v>22174</v>
      </c>
      <c r="H2241" t="s">
        <v>26011</v>
      </c>
      <c r="I2241" s="26">
        <v>40298</v>
      </c>
      <c r="J2241">
        <v>2010</v>
      </c>
      <c r="K2241" t="s">
        <v>26012</v>
      </c>
      <c r="L2241">
        <v>239</v>
      </c>
      <c r="M2241" t="s">
        <v>34379</v>
      </c>
      <c r="N2241">
        <v>1</v>
      </c>
      <c r="O2241" t="s">
        <v>34380</v>
      </c>
      <c r="Q2241" t="s">
        <v>34381</v>
      </c>
      <c r="R2241" t="s">
        <v>34382</v>
      </c>
      <c r="S2241" t="s">
        <v>8357</v>
      </c>
      <c r="T2241" t="s">
        <v>30</v>
      </c>
      <c r="U2241" t="s">
        <v>26116</v>
      </c>
      <c r="W2241" t="s">
        <v>26009</v>
      </c>
    </row>
    <row r="2242" spans="1:23" x14ac:dyDescent="0.35">
      <c r="A2242">
        <v>515335</v>
      </c>
      <c r="B2242" t="s">
        <v>9919</v>
      </c>
      <c r="C2242" t="str">
        <f>"9780805842425"</f>
        <v>9780805842425</v>
      </c>
      <c r="D2242" t="str">
        <f>"9781410607027"</f>
        <v>9781410607027</v>
      </c>
      <c r="E2242" t="s">
        <v>26010</v>
      </c>
      <c r="F2242" t="s">
        <v>35</v>
      </c>
      <c r="G2242" t="s">
        <v>26128</v>
      </c>
      <c r="H2242" t="s">
        <v>26011</v>
      </c>
      <c r="I2242" s="26">
        <v>37561</v>
      </c>
      <c r="J2242">
        <v>2003</v>
      </c>
      <c r="K2242" t="s">
        <v>26012</v>
      </c>
      <c r="L2242">
        <v>300</v>
      </c>
      <c r="M2242" t="s">
        <v>34383</v>
      </c>
      <c r="N2242">
        <v>1</v>
      </c>
      <c r="O2242" t="s">
        <v>27647</v>
      </c>
      <c r="R2242" t="s">
        <v>27649</v>
      </c>
      <c r="S2242" t="s">
        <v>34384</v>
      </c>
      <c r="T2242" t="s">
        <v>30</v>
      </c>
      <c r="U2242" t="s">
        <v>11356</v>
      </c>
      <c r="W2242" t="s">
        <v>26009</v>
      </c>
    </row>
    <row r="2243" spans="1:23" x14ac:dyDescent="0.35">
      <c r="A2243">
        <v>515344</v>
      </c>
      <c r="B2243" t="s">
        <v>34385</v>
      </c>
      <c r="C2243" t="str">
        <f>"9780415549639"</f>
        <v>9780415549639</v>
      </c>
      <c r="D2243" t="str">
        <f>"9780203852644"</f>
        <v>9780203852644</v>
      </c>
      <c r="E2243" t="s">
        <v>26010</v>
      </c>
      <c r="F2243" t="s">
        <v>35</v>
      </c>
      <c r="G2243" t="s">
        <v>22174</v>
      </c>
      <c r="H2243" t="s">
        <v>26011</v>
      </c>
      <c r="I2243" s="26">
        <v>40308</v>
      </c>
      <c r="J2243">
        <v>2010</v>
      </c>
      <c r="K2243" t="s">
        <v>26012</v>
      </c>
      <c r="L2243">
        <v>243</v>
      </c>
      <c r="M2243" t="s">
        <v>34386</v>
      </c>
      <c r="N2243">
        <v>1</v>
      </c>
      <c r="Q2243" t="s">
        <v>34387</v>
      </c>
      <c r="R2243" t="s">
        <v>26746</v>
      </c>
      <c r="S2243" t="s">
        <v>8070</v>
      </c>
      <c r="T2243" t="s">
        <v>30</v>
      </c>
      <c r="U2243" t="s">
        <v>46</v>
      </c>
      <c r="W2243" t="s">
        <v>26009</v>
      </c>
    </row>
    <row r="2244" spans="1:23" x14ac:dyDescent="0.35">
      <c r="A2244">
        <v>515347</v>
      </c>
      <c r="B2244" t="s">
        <v>9894</v>
      </c>
      <c r="C2244" t="str">
        <f>"9781848728042"</f>
        <v>9781848728042</v>
      </c>
      <c r="D2244" t="str">
        <f>"9780203848043"</f>
        <v>9780203848043</v>
      </c>
      <c r="E2244" t="s">
        <v>26010</v>
      </c>
      <c r="F2244" t="s">
        <v>35</v>
      </c>
      <c r="G2244" t="s">
        <v>22174</v>
      </c>
      <c r="H2244" t="s">
        <v>26004</v>
      </c>
      <c r="I2244" s="26">
        <v>40280</v>
      </c>
      <c r="J2244">
        <v>2010</v>
      </c>
      <c r="K2244" t="s">
        <v>660</v>
      </c>
      <c r="L2244">
        <v>351</v>
      </c>
      <c r="M2244" t="s">
        <v>34388</v>
      </c>
      <c r="N2244">
        <v>1</v>
      </c>
      <c r="Q2244" t="s">
        <v>34389</v>
      </c>
      <c r="R2244">
        <v>152.13999999999999</v>
      </c>
      <c r="S2244" t="s">
        <v>34390</v>
      </c>
      <c r="T2244" t="s">
        <v>30</v>
      </c>
      <c r="U2244" t="s">
        <v>26228</v>
      </c>
      <c r="W2244" t="s">
        <v>26009</v>
      </c>
    </row>
    <row r="2245" spans="1:23" x14ac:dyDescent="0.35">
      <c r="A2245">
        <v>515378</v>
      </c>
      <c r="B2245" t="s">
        <v>34391</v>
      </c>
      <c r="C2245" t="str">
        <f>"9780415448062"</f>
        <v>9780415448062</v>
      </c>
      <c r="D2245" t="str">
        <f>"9780203851197"</f>
        <v>9780203851197</v>
      </c>
      <c r="E2245" t="s">
        <v>26010</v>
      </c>
      <c r="F2245" t="s">
        <v>35</v>
      </c>
      <c r="G2245" t="s">
        <v>26201</v>
      </c>
      <c r="H2245" t="s">
        <v>26004</v>
      </c>
      <c r="I2245" s="26">
        <v>40309</v>
      </c>
      <c r="J2245">
        <v>2010</v>
      </c>
      <c r="K2245" t="s">
        <v>26012</v>
      </c>
      <c r="L2245">
        <v>246</v>
      </c>
      <c r="M2245" t="s">
        <v>32836</v>
      </c>
      <c r="N2245">
        <v>1</v>
      </c>
      <c r="O2245" t="s">
        <v>34392</v>
      </c>
      <c r="Q2245" t="s">
        <v>34393</v>
      </c>
      <c r="R2245">
        <v>616.89139999999998</v>
      </c>
      <c r="S2245" t="s">
        <v>34394</v>
      </c>
      <c r="T2245" t="s">
        <v>30</v>
      </c>
      <c r="U2245" t="s">
        <v>26116</v>
      </c>
      <c r="W2245" t="s">
        <v>26009</v>
      </c>
    </row>
    <row r="2246" spans="1:23" x14ac:dyDescent="0.35">
      <c r="A2246">
        <v>515527</v>
      </c>
      <c r="B2246" t="s">
        <v>34395</v>
      </c>
      <c r="C2246" t="str">
        <f>"9781578066476"</f>
        <v>9781578066476</v>
      </c>
      <c r="D2246" t="str">
        <f>"9781604730531"</f>
        <v>9781604730531</v>
      </c>
      <c r="E2246" t="s">
        <v>8533</v>
      </c>
      <c r="F2246" t="s">
        <v>8533</v>
      </c>
      <c r="G2246" t="s">
        <v>34396</v>
      </c>
      <c r="H2246" t="s">
        <v>26004</v>
      </c>
      <c r="I2246" s="26">
        <v>38142</v>
      </c>
      <c r="J2246">
        <v>2004</v>
      </c>
      <c r="K2246" t="s">
        <v>8533</v>
      </c>
      <c r="L2246">
        <v>212</v>
      </c>
      <c r="M2246" t="s">
        <v>34397</v>
      </c>
      <c r="N2246">
        <v>1</v>
      </c>
      <c r="O2246" t="s">
        <v>34398</v>
      </c>
      <c r="Q2246" t="s">
        <v>34399</v>
      </c>
      <c r="R2246" t="s">
        <v>28543</v>
      </c>
      <c r="S2246" t="s">
        <v>34400</v>
      </c>
      <c r="T2246" t="s">
        <v>30</v>
      </c>
      <c r="U2246" t="s">
        <v>26116</v>
      </c>
      <c r="W2246" t="s">
        <v>26009</v>
      </c>
    </row>
    <row r="2247" spans="1:23" x14ac:dyDescent="0.35">
      <c r="A2247">
        <v>515556</v>
      </c>
      <c r="B2247" t="s">
        <v>10156</v>
      </c>
      <c r="C2247" t="str">
        <f>"9781578061693"</f>
        <v>9781578061693</v>
      </c>
      <c r="D2247" t="str">
        <f>"9781604730630"</f>
        <v>9781604730630</v>
      </c>
      <c r="E2247" t="s">
        <v>8533</v>
      </c>
      <c r="F2247" t="s">
        <v>8533</v>
      </c>
      <c r="G2247" t="s">
        <v>34396</v>
      </c>
      <c r="H2247" t="s">
        <v>26004</v>
      </c>
      <c r="I2247" s="26">
        <v>36526</v>
      </c>
      <c r="J2247">
        <v>2000</v>
      </c>
      <c r="K2247" t="s">
        <v>8533</v>
      </c>
      <c r="L2247">
        <v>187</v>
      </c>
      <c r="M2247" t="s">
        <v>34401</v>
      </c>
      <c r="N2247">
        <v>1</v>
      </c>
      <c r="O2247" t="s">
        <v>34402</v>
      </c>
      <c r="Q2247" t="s">
        <v>34403</v>
      </c>
      <c r="R2247" t="s">
        <v>28830</v>
      </c>
      <c r="S2247" t="s">
        <v>34400</v>
      </c>
      <c r="T2247" t="s">
        <v>30</v>
      </c>
      <c r="U2247" t="s">
        <v>26019</v>
      </c>
      <c r="W2247" t="s">
        <v>26009</v>
      </c>
    </row>
    <row r="2248" spans="1:23" x14ac:dyDescent="0.35">
      <c r="A2248">
        <v>515572</v>
      </c>
      <c r="B2248" t="s">
        <v>8532</v>
      </c>
      <c r="C2248" t="str">
        <f>"9781578068937"</f>
        <v>9781578068937</v>
      </c>
      <c r="D2248" t="str">
        <f>"9781604731446"</f>
        <v>9781604731446</v>
      </c>
      <c r="E2248" t="s">
        <v>8533</v>
      </c>
      <c r="F2248" t="s">
        <v>8533</v>
      </c>
      <c r="G2248" t="s">
        <v>34396</v>
      </c>
      <c r="H2248" t="s">
        <v>26004</v>
      </c>
      <c r="I2248" s="26">
        <v>38992</v>
      </c>
      <c r="J2248">
        <v>2006</v>
      </c>
      <c r="K2248" t="s">
        <v>8533</v>
      </c>
      <c r="L2248">
        <v>420</v>
      </c>
      <c r="M2248" t="s">
        <v>34404</v>
      </c>
      <c r="N2248">
        <v>1</v>
      </c>
      <c r="R2248">
        <v>133.10974999999999</v>
      </c>
      <c r="T2248" t="s">
        <v>30</v>
      </c>
      <c r="U2248" t="s">
        <v>152</v>
      </c>
      <c r="W2248" t="s">
        <v>28347</v>
      </c>
    </row>
    <row r="2249" spans="1:23" x14ac:dyDescent="0.35">
      <c r="A2249">
        <v>515574</v>
      </c>
      <c r="B2249" t="s">
        <v>10143</v>
      </c>
      <c r="C2249" t="str">
        <f>"9781578068821"</f>
        <v>9781578068821</v>
      </c>
      <c r="D2249" t="str">
        <f>"9781604731521"</f>
        <v>9781604731521</v>
      </c>
      <c r="E2249" t="s">
        <v>8533</v>
      </c>
      <c r="F2249" t="s">
        <v>8533</v>
      </c>
      <c r="G2249" t="s">
        <v>34396</v>
      </c>
      <c r="H2249" t="s">
        <v>26004</v>
      </c>
      <c r="I2249" s="26">
        <v>39185</v>
      </c>
      <c r="J2249">
        <v>2007</v>
      </c>
      <c r="K2249" t="s">
        <v>8533</v>
      </c>
      <c r="L2249">
        <v>140</v>
      </c>
      <c r="M2249" t="s">
        <v>34405</v>
      </c>
      <c r="N2249">
        <v>1</v>
      </c>
      <c r="O2249" t="s">
        <v>34406</v>
      </c>
      <c r="Q2249" t="s">
        <v>34407</v>
      </c>
      <c r="R2249" t="s">
        <v>33466</v>
      </c>
      <c r="S2249" t="s">
        <v>10144</v>
      </c>
      <c r="T2249" t="s">
        <v>30</v>
      </c>
      <c r="U2249" t="s">
        <v>26019</v>
      </c>
      <c r="W2249" t="s">
        <v>26009</v>
      </c>
    </row>
    <row r="2250" spans="1:23" x14ac:dyDescent="0.35">
      <c r="A2250">
        <v>515603</v>
      </c>
      <c r="B2250" t="s">
        <v>10135</v>
      </c>
      <c r="C2250" t="str">
        <f>"9781578062409"</f>
        <v>9781578062409</v>
      </c>
      <c r="D2250" t="str">
        <f>"9781604730272"</f>
        <v>9781604730272</v>
      </c>
      <c r="E2250" t="s">
        <v>8533</v>
      </c>
      <c r="F2250" t="s">
        <v>8533</v>
      </c>
      <c r="G2250" t="s">
        <v>34396</v>
      </c>
      <c r="H2250" t="s">
        <v>26004</v>
      </c>
      <c r="I2250" s="26">
        <v>36899</v>
      </c>
      <c r="J2250">
        <v>2000</v>
      </c>
      <c r="K2250" t="s">
        <v>8533</v>
      </c>
      <c r="L2250">
        <v>161</v>
      </c>
      <c r="M2250" t="s">
        <v>34408</v>
      </c>
      <c r="N2250">
        <v>1</v>
      </c>
      <c r="Q2250" t="s">
        <v>34409</v>
      </c>
      <c r="R2250">
        <v>362.29</v>
      </c>
      <c r="S2250" t="s">
        <v>34410</v>
      </c>
      <c r="T2250" t="s">
        <v>30</v>
      </c>
      <c r="U2250" t="s">
        <v>26579</v>
      </c>
      <c r="W2250" t="s">
        <v>26009</v>
      </c>
    </row>
    <row r="2251" spans="1:23" x14ac:dyDescent="0.35">
      <c r="A2251">
        <v>515642</v>
      </c>
      <c r="B2251" t="s">
        <v>34411</v>
      </c>
      <c r="C2251" t="str">
        <f>"9781578062454"</f>
        <v>9781578062454</v>
      </c>
      <c r="D2251" t="str">
        <f>"9781604730289"</f>
        <v>9781604730289</v>
      </c>
      <c r="E2251" t="s">
        <v>8533</v>
      </c>
      <c r="F2251" t="s">
        <v>8533</v>
      </c>
      <c r="G2251" t="s">
        <v>34396</v>
      </c>
      <c r="H2251" t="s">
        <v>26004</v>
      </c>
      <c r="I2251" s="26">
        <v>36708</v>
      </c>
      <c r="J2251">
        <v>2000</v>
      </c>
      <c r="K2251" t="s">
        <v>8533</v>
      </c>
      <c r="L2251">
        <v>78</v>
      </c>
      <c r="M2251" t="s">
        <v>34412</v>
      </c>
      <c r="N2251">
        <v>1</v>
      </c>
      <c r="Q2251" t="s">
        <v>34413</v>
      </c>
      <c r="R2251" t="s">
        <v>27848</v>
      </c>
      <c r="S2251" t="s">
        <v>34400</v>
      </c>
      <c r="T2251" t="s">
        <v>30</v>
      </c>
      <c r="U2251" t="s">
        <v>26019</v>
      </c>
      <c r="W2251" t="s">
        <v>26009</v>
      </c>
    </row>
    <row r="2252" spans="1:23" x14ac:dyDescent="0.35">
      <c r="A2252">
        <v>515652</v>
      </c>
      <c r="B2252" t="s">
        <v>10150</v>
      </c>
      <c r="C2252" t="str">
        <f>"9781578061341"</f>
        <v>9781578061341</v>
      </c>
      <c r="D2252" t="str">
        <f>"9781604737028"</f>
        <v>9781604737028</v>
      </c>
      <c r="E2252" t="s">
        <v>8533</v>
      </c>
      <c r="F2252" t="s">
        <v>8533</v>
      </c>
      <c r="G2252" t="s">
        <v>34396</v>
      </c>
      <c r="H2252" t="s">
        <v>26004</v>
      </c>
      <c r="I2252" s="26">
        <v>36161</v>
      </c>
      <c r="J2252">
        <v>1999</v>
      </c>
      <c r="K2252" t="s">
        <v>8533</v>
      </c>
      <c r="L2252">
        <v>129</v>
      </c>
      <c r="M2252" t="s">
        <v>34414</v>
      </c>
      <c r="N2252">
        <v>1</v>
      </c>
      <c r="O2252" t="s">
        <v>34398</v>
      </c>
      <c r="Q2252" t="s">
        <v>34415</v>
      </c>
      <c r="R2252" t="s">
        <v>34416</v>
      </c>
      <c r="S2252" t="s">
        <v>34400</v>
      </c>
      <c r="T2252" t="s">
        <v>30</v>
      </c>
      <c r="U2252" t="s">
        <v>26040</v>
      </c>
      <c r="W2252" t="s">
        <v>26009</v>
      </c>
    </row>
    <row r="2253" spans="1:23" x14ac:dyDescent="0.35">
      <c r="A2253">
        <v>515662</v>
      </c>
      <c r="B2253" t="s">
        <v>34417</v>
      </c>
      <c r="C2253" t="str">
        <f>"9781578069064"</f>
        <v>9781578069064</v>
      </c>
      <c r="D2253" t="str">
        <f>"9781604731514"</f>
        <v>9781604731514</v>
      </c>
      <c r="E2253" t="s">
        <v>8533</v>
      </c>
      <c r="F2253" t="s">
        <v>8533</v>
      </c>
      <c r="G2253" t="s">
        <v>34396</v>
      </c>
      <c r="H2253" t="s">
        <v>26004</v>
      </c>
      <c r="I2253" s="26">
        <v>39101</v>
      </c>
      <c r="J2253">
        <v>2007</v>
      </c>
      <c r="K2253" t="s">
        <v>8533</v>
      </c>
      <c r="L2253">
        <v>204</v>
      </c>
      <c r="M2253" t="s">
        <v>34418</v>
      </c>
      <c r="N2253">
        <v>1</v>
      </c>
      <c r="Q2253" t="s">
        <v>34419</v>
      </c>
      <c r="R2253" t="s">
        <v>34420</v>
      </c>
      <c r="S2253" t="s">
        <v>34421</v>
      </c>
      <c r="T2253" t="s">
        <v>30</v>
      </c>
      <c r="U2253" t="s">
        <v>28111</v>
      </c>
      <c r="W2253" t="s">
        <v>26009</v>
      </c>
    </row>
    <row r="2254" spans="1:23" x14ac:dyDescent="0.35">
      <c r="A2254">
        <v>515883</v>
      </c>
      <c r="B2254" t="s">
        <v>9893</v>
      </c>
      <c r="C2254" t="str">
        <f>"9781606236192"</f>
        <v>9781606236192</v>
      </c>
      <c r="D2254" t="str">
        <f>"9781606236215"</f>
        <v>9781606236215</v>
      </c>
      <c r="E2254" t="s">
        <v>30112</v>
      </c>
      <c r="F2254" t="s">
        <v>7420</v>
      </c>
      <c r="G2254" t="s">
        <v>22179</v>
      </c>
      <c r="H2254" t="s">
        <v>26004</v>
      </c>
      <c r="I2254" s="26">
        <v>40295</v>
      </c>
      <c r="J2254">
        <v>2010</v>
      </c>
      <c r="K2254" t="s">
        <v>30113</v>
      </c>
      <c r="L2254">
        <v>482</v>
      </c>
      <c r="M2254" t="s">
        <v>34422</v>
      </c>
      <c r="N2254">
        <v>1</v>
      </c>
      <c r="Q2254" t="s">
        <v>34423</v>
      </c>
      <c r="R2254">
        <v>303.3</v>
      </c>
      <c r="S2254" t="s">
        <v>34424</v>
      </c>
      <c r="T2254" t="s">
        <v>30</v>
      </c>
      <c r="U2254" t="s">
        <v>26044</v>
      </c>
      <c r="W2254" t="s">
        <v>28347</v>
      </c>
    </row>
    <row r="2255" spans="1:23" x14ac:dyDescent="0.35">
      <c r="A2255">
        <v>515890</v>
      </c>
      <c r="B2255" t="s">
        <v>34425</v>
      </c>
      <c r="C2255" t="str">
        <f>"9781606236222"</f>
        <v>9781606236222</v>
      </c>
      <c r="D2255" t="str">
        <f>"9781606236246"</f>
        <v>9781606236246</v>
      </c>
      <c r="E2255" t="s">
        <v>30112</v>
      </c>
      <c r="F2255" t="s">
        <v>7420</v>
      </c>
      <c r="G2255" t="s">
        <v>22179</v>
      </c>
      <c r="H2255" t="s">
        <v>26004</v>
      </c>
      <c r="I2255" s="26">
        <v>40302</v>
      </c>
      <c r="J2255">
        <v>2010</v>
      </c>
      <c r="K2255" t="s">
        <v>30113</v>
      </c>
      <c r="L2255">
        <v>594</v>
      </c>
      <c r="M2255" t="s">
        <v>34426</v>
      </c>
      <c r="N2255">
        <v>1</v>
      </c>
      <c r="Q2255" t="s">
        <v>34427</v>
      </c>
      <c r="R2255" t="s">
        <v>34428</v>
      </c>
      <c r="S2255" t="s">
        <v>34429</v>
      </c>
      <c r="T2255" t="s">
        <v>30</v>
      </c>
      <c r="U2255" t="s">
        <v>26019</v>
      </c>
      <c r="W2255" t="s">
        <v>28347</v>
      </c>
    </row>
    <row r="2256" spans="1:23" x14ac:dyDescent="0.35">
      <c r="A2256">
        <v>516284</v>
      </c>
      <c r="B2256" t="s">
        <v>34430</v>
      </c>
      <c r="C2256" t="str">
        <f>"9780199551019"</f>
        <v>9780199551019</v>
      </c>
      <c r="D2256" t="str">
        <f>"9780191564147"</f>
        <v>9780191564147</v>
      </c>
      <c r="E2256" t="s">
        <v>371</v>
      </c>
      <c r="F2256" t="s">
        <v>399</v>
      </c>
      <c r="G2256" t="s">
        <v>22242</v>
      </c>
      <c r="H2256" t="s">
        <v>26011</v>
      </c>
      <c r="I2256" s="26">
        <v>39737</v>
      </c>
      <c r="J2256">
        <v>2008</v>
      </c>
      <c r="K2256" t="s">
        <v>399</v>
      </c>
      <c r="L2256">
        <v>224</v>
      </c>
      <c r="M2256" t="s">
        <v>34431</v>
      </c>
      <c r="N2256">
        <v>6</v>
      </c>
      <c r="Q2256" t="s">
        <v>34432</v>
      </c>
      <c r="R2256" t="s">
        <v>28279</v>
      </c>
      <c r="S2256" t="s">
        <v>34433</v>
      </c>
      <c r="T2256" t="s">
        <v>30</v>
      </c>
      <c r="U2256" t="s">
        <v>26019</v>
      </c>
      <c r="W2256" t="s">
        <v>26009</v>
      </c>
    </row>
    <row r="2257" spans="1:23" x14ac:dyDescent="0.35">
      <c r="A2257">
        <v>516726</v>
      </c>
      <c r="B2257" t="s">
        <v>34434</v>
      </c>
      <c r="C2257" t="str">
        <f>"9781441108289"</f>
        <v>9781441108289</v>
      </c>
      <c r="D2257" t="str">
        <f>"9781441171825"</f>
        <v>9781441171825</v>
      </c>
      <c r="E2257" t="s">
        <v>31671</v>
      </c>
      <c r="F2257" t="s">
        <v>7760</v>
      </c>
      <c r="G2257" t="s">
        <v>22174</v>
      </c>
      <c r="H2257" t="s">
        <v>26011</v>
      </c>
      <c r="I2257" s="26">
        <v>40913</v>
      </c>
      <c r="J2257">
        <v>2010</v>
      </c>
      <c r="K2257" t="s">
        <v>33338</v>
      </c>
      <c r="L2257">
        <v>257</v>
      </c>
      <c r="M2257" t="s">
        <v>34435</v>
      </c>
      <c r="N2257">
        <v>1</v>
      </c>
      <c r="O2257" t="s">
        <v>34021</v>
      </c>
      <c r="Q2257" t="s">
        <v>34436</v>
      </c>
      <c r="R2257">
        <v>204.2</v>
      </c>
      <c r="S2257" t="s">
        <v>34437</v>
      </c>
      <c r="T2257" t="s">
        <v>30</v>
      </c>
      <c r="U2257" t="s">
        <v>11247</v>
      </c>
      <c r="W2257" t="s">
        <v>28347</v>
      </c>
    </row>
    <row r="2258" spans="1:23" x14ac:dyDescent="0.35">
      <c r="A2258">
        <v>516731</v>
      </c>
      <c r="B2258" t="s">
        <v>34438</v>
      </c>
      <c r="C2258" t="str">
        <f>"9781441195586"</f>
        <v>9781441195586</v>
      </c>
      <c r="D2258" t="str">
        <f>"9781441113146"</f>
        <v>9781441113146</v>
      </c>
      <c r="E2258" t="s">
        <v>31671</v>
      </c>
      <c r="F2258" t="s">
        <v>7760</v>
      </c>
      <c r="G2258" t="s">
        <v>22174</v>
      </c>
      <c r="H2258" t="s">
        <v>26011</v>
      </c>
      <c r="I2258" s="26">
        <v>40906</v>
      </c>
      <c r="J2258">
        <v>2010</v>
      </c>
      <c r="K2258" t="s">
        <v>33338</v>
      </c>
      <c r="L2258">
        <v>161</v>
      </c>
      <c r="M2258" t="s">
        <v>34439</v>
      </c>
      <c r="N2258">
        <v>1</v>
      </c>
      <c r="O2258" t="s">
        <v>33354</v>
      </c>
      <c r="Q2258" t="s">
        <v>34440</v>
      </c>
      <c r="R2258">
        <v>126.092</v>
      </c>
      <c r="S2258" t="s">
        <v>34441</v>
      </c>
      <c r="T2258" t="s">
        <v>30</v>
      </c>
      <c r="U2258" t="s">
        <v>152</v>
      </c>
      <c r="W2258" t="s">
        <v>28347</v>
      </c>
    </row>
    <row r="2259" spans="1:23" x14ac:dyDescent="0.35">
      <c r="A2259">
        <v>516736</v>
      </c>
      <c r="B2259" t="s">
        <v>34442</v>
      </c>
      <c r="C2259" t="str">
        <f>"9781441196941"</f>
        <v>9781441196941</v>
      </c>
      <c r="D2259" t="str">
        <f>"9781441186447"</f>
        <v>9781441186447</v>
      </c>
      <c r="E2259" t="s">
        <v>31671</v>
      </c>
      <c r="F2259" t="s">
        <v>7760</v>
      </c>
      <c r="G2259" t="s">
        <v>22174</v>
      </c>
      <c r="H2259" t="s">
        <v>26011</v>
      </c>
      <c r="I2259" s="26">
        <v>40913</v>
      </c>
      <c r="J2259">
        <v>2010</v>
      </c>
      <c r="K2259" t="s">
        <v>33338</v>
      </c>
      <c r="L2259">
        <v>273</v>
      </c>
      <c r="M2259" t="s">
        <v>34443</v>
      </c>
      <c r="N2259">
        <v>1</v>
      </c>
      <c r="O2259" t="s">
        <v>34021</v>
      </c>
      <c r="Q2259" t="s">
        <v>34444</v>
      </c>
      <c r="R2259" t="s">
        <v>34445</v>
      </c>
      <c r="S2259" t="s">
        <v>34446</v>
      </c>
      <c r="T2259" t="s">
        <v>30</v>
      </c>
      <c r="U2259" t="s">
        <v>34447</v>
      </c>
      <c r="W2259" t="s">
        <v>28347</v>
      </c>
    </row>
    <row r="2260" spans="1:23" x14ac:dyDescent="0.35">
      <c r="A2260">
        <v>516831</v>
      </c>
      <c r="B2260" t="s">
        <v>9306</v>
      </c>
      <c r="C2260" t="str">
        <f>"9780253354389"</f>
        <v>9780253354389</v>
      </c>
      <c r="D2260" t="str">
        <f>"9780253004222"</f>
        <v>9780253004222</v>
      </c>
      <c r="E2260" t="s">
        <v>7540</v>
      </c>
      <c r="F2260" t="s">
        <v>7540</v>
      </c>
      <c r="G2260" t="s">
        <v>24303</v>
      </c>
      <c r="H2260" t="s">
        <v>26004</v>
      </c>
      <c r="I2260" s="26">
        <v>40281</v>
      </c>
      <c r="J2260">
        <v>2010</v>
      </c>
      <c r="K2260" t="s">
        <v>7540</v>
      </c>
      <c r="L2260">
        <v>361</v>
      </c>
      <c r="M2260" t="s">
        <v>34448</v>
      </c>
      <c r="N2260">
        <v>1</v>
      </c>
      <c r="O2260" t="s">
        <v>34449</v>
      </c>
      <c r="Q2260" t="s">
        <v>34450</v>
      </c>
      <c r="R2260">
        <v>170</v>
      </c>
      <c r="S2260" t="s">
        <v>34451</v>
      </c>
      <c r="T2260" t="s">
        <v>30</v>
      </c>
      <c r="U2260" t="s">
        <v>152</v>
      </c>
      <c r="W2260" t="s">
        <v>26009</v>
      </c>
    </row>
    <row r="2261" spans="1:23" x14ac:dyDescent="0.35">
      <c r="A2261">
        <v>516915</v>
      </c>
      <c r="B2261" t="s">
        <v>34452</v>
      </c>
      <c r="C2261" t="str">
        <f>"9781879651487"</f>
        <v>9781879651487</v>
      </c>
      <c r="D2261" t="str">
        <f>"9781617220906"</f>
        <v>9781617220906</v>
      </c>
      <c r="E2261" t="s">
        <v>27422</v>
      </c>
      <c r="F2261" t="s">
        <v>8575</v>
      </c>
      <c r="G2261" t="s">
        <v>25680</v>
      </c>
      <c r="H2261" t="s">
        <v>26004</v>
      </c>
      <c r="I2261" s="26">
        <v>38687</v>
      </c>
      <c r="J2261">
        <v>2005</v>
      </c>
      <c r="K2261" t="s">
        <v>8575</v>
      </c>
      <c r="L2261">
        <v>128</v>
      </c>
      <c r="M2261" t="s">
        <v>34453</v>
      </c>
      <c r="O2261" t="s">
        <v>34454</v>
      </c>
      <c r="Q2261" t="s">
        <v>34455</v>
      </c>
      <c r="R2261">
        <v>155.93700000000001</v>
      </c>
      <c r="S2261" t="s">
        <v>34456</v>
      </c>
      <c r="T2261" t="s">
        <v>30</v>
      </c>
      <c r="U2261" t="s">
        <v>46</v>
      </c>
      <c r="W2261" t="s">
        <v>31887</v>
      </c>
    </row>
    <row r="2262" spans="1:23" x14ac:dyDescent="0.35">
      <c r="A2262">
        <v>516920</v>
      </c>
      <c r="B2262" t="s">
        <v>34457</v>
      </c>
      <c r="C2262" t="str">
        <f>"9781879651517"</f>
        <v>9781879651517</v>
      </c>
      <c r="D2262" t="str">
        <f>"9781617220142"</f>
        <v>9781617220142</v>
      </c>
      <c r="E2262" t="s">
        <v>27422</v>
      </c>
      <c r="F2262" t="s">
        <v>8575</v>
      </c>
      <c r="G2262" t="s">
        <v>25680</v>
      </c>
      <c r="H2262" t="s">
        <v>26004</v>
      </c>
      <c r="I2262" s="26">
        <v>39234</v>
      </c>
      <c r="J2262">
        <v>2007</v>
      </c>
      <c r="K2262" t="s">
        <v>8575</v>
      </c>
      <c r="L2262">
        <v>162</v>
      </c>
      <c r="M2262" t="s">
        <v>34458</v>
      </c>
      <c r="Q2262" t="s">
        <v>34459</v>
      </c>
      <c r="R2262">
        <v>152.4</v>
      </c>
      <c r="S2262" t="s">
        <v>34460</v>
      </c>
      <c r="T2262" t="s">
        <v>30</v>
      </c>
      <c r="U2262" t="s">
        <v>46</v>
      </c>
      <c r="W2262" t="s">
        <v>31887</v>
      </c>
    </row>
    <row r="2263" spans="1:23" x14ac:dyDescent="0.35">
      <c r="A2263">
        <v>516926</v>
      </c>
      <c r="B2263" t="s">
        <v>34461</v>
      </c>
      <c r="C2263" t="str">
        <f>"9781879651616"</f>
        <v>9781879651616</v>
      </c>
      <c r="D2263" t="str">
        <f>"9781617220395"</f>
        <v>9781617220395</v>
      </c>
      <c r="E2263" t="s">
        <v>27422</v>
      </c>
      <c r="F2263" t="s">
        <v>8575</v>
      </c>
      <c r="G2263" t="s">
        <v>25680</v>
      </c>
      <c r="H2263" t="s">
        <v>26004</v>
      </c>
      <c r="I2263" s="26">
        <v>39904</v>
      </c>
      <c r="J2263">
        <v>2009</v>
      </c>
      <c r="K2263" t="s">
        <v>8575</v>
      </c>
      <c r="L2263">
        <v>130</v>
      </c>
      <c r="M2263" t="s">
        <v>34453</v>
      </c>
      <c r="O2263" t="s">
        <v>34462</v>
      </c>
      <c r="Q2263" t="s">
        <v>34463</v>
      </c>
      <c r="R2263">
        <v>155.93700000000001</v>
      </c>
      <c r="S2263" t="s">
        <v>34464</v>
      </c>
      <c r="T2263" t="s">
        <v>30</v>
      </c>
      <c r="U2263" t="s">
        <v>46</v>
      </c>
      <c r="W2263" t="s">
        <v>31887</v>
      </c>
    </row>
    <row r="2264" spans="1:23" x14ac:dyDescent="0.35">
      <c r="A2264">
        <v>530342</v>
      </c>
      <c r="B2264" t="s">
        <v>34465</v>
      </c>
      <c r="C2264" t="str">
        <f>"9780415479394"</f>
        <v>9780415479394</v>
      </c>
      <c r="D2264" t="str">
        <f>"9780203851722"</f>
        <v>9780203851722</v>
      </c>
      <c r="E2264" t="s">
        <v>26010</v>
      </c>
      <c r="F2264" t="s">
        <v>35</v>
      </c>
      <c r="G2264" t="s">
        <v>22174</v>
      </c>
      <c r="H2264" t="s">
        <v>26011</v>
      </c>
      <c r="I2264" s="26">
        <v>40346</v>
      </c>
      <c r="J2264">
        <v>2010</v>
      </c>
      <c r="K2264" t="s">
        <v>26012</v>
      </c>
      <c r="L2264">
        <v>193</v>
      </c>
      <c r="M2264" t="s">
        <v>34466</v>
      </c>
      <c r="N2264">
        <v>1</v>
      </c>
      <c r="Q2264" t="s">
        <v>34467</v>
      </c>
      <c r="R2264" t="s">
        <v>34468</v>
      </c>
      <c r="S2264" t="s">
        <v>10211</v>
      </c>
      <c r="T2264" t="s">
        <v>30</v>
      </c>
      <c r="U2264" t="s">
        <v>26044</v>
      </c>
      <c r="W2264" t="s">
        <v>26009</v>
      </c>
    </row>
    <row r="2265" spans="1:23" x14ac:dyDescent="0.35">
      <c r="A2265">
        <v>533634</v>
      </c>
      <c r="B2265" t="s">
        <v>34469</v>
      </c>
      <c r="C2265" t="str">
        <f>"9781921410901"</f>
        <v>9781921410901</v>
      </c>
      <c r="D2265" t="str">
        <f>"9781742231747"</f>
        <v>9781742231747</v>
      </c>
      <c r="E2265" t="s">
        <v>32450</v>
      </c>
      <c r="F2265" t="s">
        <v>7473</v>
      </c>
      <c r="G2265" t="s">
        <v>22522</v>
      </c>
      <c r="H2265" t="s">
        <v>31108</v>
      </c>
      <c r="I2265" s="26">
        <v>39326</v>
      </c>
      <c r="J2265">
        <v>2007</v>
      </c>
      <c r="K2265" t="s">
        <v>7473</v>
      </c>
      <c r="L2265">
        <v>223</v>
      </c>
      <c r="M2265" t="s">
        <v>34470</v>
      </c>
      <c r="N2265">
        <v>1</v>
      </c>
      <c r="Q2265" t="s">
        <v>34471</v>
      </c>
      <c r="R2265">
        <v>362.73099450000001</v>
      </c>
      <c r="S2265" t="s">
        <v>34472</v>
      </c>
      <c r="T2265" t="s">
        <v>30</v>
      </c>
      <c r="U2265" t="s">
        <v>26044</v>
      </c>
      <c r="W2265" t="s">
        <v>26009</v>
      </c>
    </row>
    <row r="2266" spans="1:23" x14ac:dyDescent="0.35">
      <c r="A2266">
        <v>533774</v>
      </c>
      <c r="B2266" t="s">
        <v>7462</v>
      </c>
      <c r="C2266" t="str">
        <f>"9780849373916"</f>
        <v>9780849373916</v>
      </c>
      <c r="D2266" t="str">
        <f>"9781420007350"</f>
        <v>9781420007350</v>
      </c>
      <c r="E2266" t="s">
        <v>26010</v>
      </c>
      <c r="F2266" t="s">
        <v>35</v>
      </c>
      <c r="G2266" t="s">
        <v>28272</v>
      </c>
      <c r="H2266" t="s">
        <v>26004</v>
      </c>
      <c r="I2266" s="26">
        <v>40280</v>
      </c>
      <c r="J2266">
        <v>2010</v>
      </c>
      <c r="K2266" t="s">
        <v>26470</v>
      </c>
      <c r="L2266">
        <v>244</v>
      </c>
      <c r="M2266" t="s">
        <v>34473</v>
      </c>
      <c r="N2266">
        <v>1</v>
      </c>
      <c r="O2266" t="s">
        <v>34474</v>
      </c>
      <c r="Q2266" t="s">
        <v>34475</v>
      </c>
      <c r="R2266">
        <v>616.86</v>
      </c>
      <c r="S2266" t="s">
        <v>34476</v>
      </c>
      <c r="T2266" t="s">
        <v>30</v>
      </c>
      <c r="U2266" t="s">
        <v>26019</v>
      </c>
      <c r="W2266" t="s">
        <v>26009</v>
      </c>
    </row>
    <row r="2267" spans="1:23" x14ac:dyDescent="0.35">
      <c r="A2267">
        <v>533820</v>
      </c>
      <c r="B2267" t="s">
        <v>34477</v>
      </c>
      <c r="C2267" t="str">
        <f>"9781921410130"</f>
        <v>9781921410130</v>
      </c>
      <c r="D2267" t="str">
        <f>"9781742232058"</f>
        <v>9781742232058</v>
      </c>
      <c r="E2267" t="s">
        <v>32450</v>
      </c>
      <c r="F2267" t="s">
        <v>7473</v>
      </c>
      <c r="G2267" t="s">
        <v>22522</v>
      </c>
      <c r="H2267" t="s">
        <v>31108</v>
      </c>
      <c r="I2267" s="26">
        <v>40118</v>
      </c>
      <c r="J2267">
        <v>2010</v>
      </c>
      <c r="K2267" t="s">
        <v>7473</v>
      </c>
      <c r="L2267">
        <v>229</v>
      </c>
      <c r="M2267" t="s">
        <v>34478</v>
      </c>
      <c r="N2267">
        <v>1</v>
      </c>
      <c r="Q2267" t="s">
        <v>34479</v>
      </c>
      <c r="R2267">
        <v>361.61099400000001</v>
      </c>
      <c r="S2267" t="s">
        <v>34480</v>
      </c>
      <c r="T2267" t="s">
        <v>30</v>
      </c>
      <c r="U2267" t="s">
        <v>26044</v>
      </c>
      <c r="W2267" t="s">
        <v>26009</v>
      </c>
    </row>
    <row r="2268" spans="1:23" x14ac:dyDescent="0.35">
      <c r="A2268">
        <v>533823</v>
      </c>
      <c r="B2268" t="s">
        <v>34481</v>
      </c>
      <c r="C2268" t="str">
        <f>"9781742231105"</f>
        <v>9781742231105</v>
      </c>
      <c r="D2268" t="str">
        <f>"9781742231136"</f>
        <v>9781742231136</v>
      </c>
      <c r="E2268" t="s">
        <v>32450</v>
      </c>
      <c r="F2268" t="s">
        <v>7473</v>
      </c>
      <c r="G2268" t="s">
        <v>22522</v>
      </c>
      <c r="H2268" t="s">
        <v>31108</v>
      </c>
      <c r="I2268" s="26">
        <v>40087</v>
      </c>
      <c r="J2268">
        <v>2009</v>
      </c>
      <c r="K2268" t="s">
        <v>32456</v>
      </c>
      <c r="L2268">
        <v>352</v>
      </c>
      <c r="M2268" t="s">
        <v>34482</v>
      </c>
      <c r="N2268">
        <v>1</v>
      </c>
      <c r="Q2268" t="s">
        <v>34483</v>
      </c>
      <c r="R2268" t="s">
        <v>34484</v>
      </c>
      <c r="S2268" t="s">
        <v>34485</v>
      </c>
      <c r="T2268" t="s">
        <v>30</v>
      </c>
      <c r="U2268" t="s">
        <v>26044</v>
      </c>
      <c r="W2268" t="s">
        <v>26009</v>
      </c>
    </row>
    <row r="2269" spans="1:23" x14ac:dyDescent="0.35">
      <c r="A2269">
        <v>533830</v>
      </c>
      <c r="B2269" t="s">
        <v>34486</v>
      </c>
      <c r="C2269" t="str">
        <f>"9781742230849"</f>
        <v>9781742230849</v>
      </c>
      <c r="D2269" t="str">
        <f>"9781742230856"</f>
        <v>9781742230856</v>
      </c>
      <c r="E2269" t="s">
        <v>32450</v>
      </c>
      <c r="F2269" t="s">
        <v>7473</v>
      </c>
      <c r="G2269" t="s">
        <v>22522</v>
      </c>
      <c r="H2269" t="s">
        <v>31108</v>
      </c>
      <c r="I2269" s="26">
        <v>40026</v>
      </c>
      <c r="J2269">
        <v>2009</v>
      </c>
      <c r="K2269" t="s">
        <v>7473</v>
      </c>
      <c r="L2269">
        <v>300</v>
      </c>
      <c r="M2269" t="s">
        <v>34487</v>
      </c>
      <c r="N2269">
        <v>1</v>
      </c>
      <c r="Q2269" t="s">
        <v>34488</v>
      </c>
      <c r="R2269" t="s">
        <v>34489</v>
      </c>
      <c r="S2269" t="s">
        <v>34490</v>
      </c>
      <c r="T2269" t="s">
        <v>30</v>
      </c>
      <c r="U2269" t="s">
        <v>34491</v>
      </c>
      <c r="W2269" t="s">
        <v>26009</v>
      </c>
    </row>
    <row r="2270" spans="1:23" x14ac:dyDescent="0.35">
      <c r="A2270">
        <v>533834</v>
      </c>
      <c r="B2270" t="s">
        <v>34492</v>
      </c>
      <c r="C2270" t="str">
        <f>"9781742230139"</f>
        <v>9781742230139</v>
      </c>
      <c r="D2270" t="str">
        <f>"9781742231891"</f>
        <v>9781742231891</v>
      </c>
      <c r="E2270" t="s">
        <v>32450</v>
      </c>
      <c r="F2270" t="s">
        <v>7473</v>
      </c>
      <c r="G2270" t="s">
        <v>32455</v>
      </c>
      <c r="H2270" t="s">
        <v>31108</v>
      </c>
      <c r="I2270" s="26">
        <v>39995</v>
      </c>
      <c r="J2270">
        <v>2009</v>
      </c>
      <c r="K2270" t="s">
        <v>7473</v>
      </c>
      <c r="L2270">
        <v>350</v>
      </c>
      <c r="M2270" t="s">
        <v>34493</v>
      </c>
      <c r="N2270">
        <v>1</v>
      </c>
      <c r="Q2270" t="s">
        <v>34494</v>
      </c>
      <c r="R2270" t="s">
        <v>34495</v>
      </c>
      <c r="S2270" t="s">
        <v>34496</v>
      </c>
      <c r="T2270" t="s">
        <v>30</v>
      </c>
      <c r="U2270" t="s">
        <v>26116</v>
      </c>
      <c r="W2270" t="s">
        <v>26009</v>
      </c>
    </row>
    <row r="2271" spans="1:23" x14ac:dyDescent="0.35">
      <c r="A2271">
        <v>533873</v>
      </c>
      <c r="B2271" t="s">
        <v>8588</v>
      </c>
      <c r="C2271" t="str">
        <f>"9781606236826"</f>
        <v>9781606236826</v>
      </c>
      <c r="D2271" t="str">
        <f>"9781606237021"</f>
        <v>9781606237021</v>
      </c>
      <c r="E2271" t="s">
        <v>30112</v>
      </c>
      <c r="F2271" t="s">
        <v>7420</v>
      </c>
      <c r="G2271" t="s">
        <v>22179</v>
      </c>
      <c r="H2271" t="s">
        <v>26004</v>
      </c>
      <c r="I2271" s="26">
        <v>40317</v>
      </c>
      <c r="J2271">
        <v>2010</v>
      </c>
      <c r="K2271" t="s">
        <v>30113</v>
      </c>
      <c r="L2271">
        <v>464</v>
      </c>
      <c r="M2271" t="s">
        <v>34497</v>
      </c>
      <c r="N2271">
        <v>1</v>
      </c>
      <c r="Q2271" t="s">
        <v>34498</v>
      </c>
      <c r="R2271" t="s">
        <v>29630</v>
      </c>
      <c r="S2271" t="s">
        <v>34499</v>
      </c>
      <c r="T2271" t="s">
        <v>30</v>
      </c>
      <c r="U2271" t="s">
        <v>26116</v>
      </c>
      <c r="W2271" t="s">
        <v>28347</v>
      </c>
    </row>
    <row r="2272" spans="1:23" x14ac:dyDescent="0.35">
      <c r="A2272">
        <v>533874</v>
      </c>
      <c r="B2272" t="s">
        <v>34500</v>
      </c>
      <c r="C2272" t="str">
        <f>"9781606236703"</f>
        <v>9781606236703</v>
      </c>
      <c r="D2272" t="str">
        <f>"9781606236727"</f>
        <v>9781606236727</v>
      </c>
      <c r="E2272" t="s">
        <v>30112</v>
      </c>
      <c r="F2272" t="s">
        <v>7420</v>
      </c>
      <c r="G2272" t="s">
        <v>22179</v>
      </c>
      <c r="H2272" t="s">
        <v>26004</v>
      </c>
      <c r="I2272" s="26">
        <v>40311</v>
      </c>
      <c r="J2272">
        <v>2010</v>
      </c>
      <c r="K2272" t="s">
        <v>30113</v>
      </c>
      <c r="L2272">
        <v>272</v>
      </c>
      <c r="M2272" t="s">
        <v>34501</v>
      </c>
      <c r="N2272">
        <v>1</v>
      </c>
      <c r="O2272" t="s">
        <v>31750</v>
      </c>
      <c r="Q2272" t="s">
        <v>34502</v>
      </c>
      <c r="R2272">
        <v>371.94</v>
      </c>
      <c r="S2272" t="s">
        <v>34503</v>
      </c>
      <c r="T2272" t="s">
        <v>30</v>
      </c>
      <c r="U2272" t="s">
        <v>337</v>
      </c>
      <c r="W2272" t="s">
        <v>28347</v>
      </c>
    </row>
    <row r="2273" spans="1:23" x14ac:dyDescent="0.35">
      <c r="A2273">
        <v>534175</v>
      </c>
      <c r="B2273" t="s">
        <v>9683</v>
      </c>
      <c r="C2273" t="str">
        <f>"9781841697123"</f>
        <v>9781841697123</v>
      </c>
      <c r="D2273" t="str">
        <f>"9780203858462"</f>
        <v>9780203858462</v>
      </c>
      <c r="E2273" t="s">
        <v>26010</v>
      </c>
      <c r="F2273" t="s">
        <v>35</v>
      </c>
      <c r="G2273" t="s">
        <v>22267</v>
      </c>
      <c r="H2273" t="s">
        <v>26011</v>
      </c>
      <c r="I2273" s="26">
        <v>40367</v>
      </c>
      <c r="J2273">
        <v>2010</v>
      </c>
      <c r="K2273" t="s">
        <v>660</v>
      </c>
      <c r="L2273">
        <v>333</v>
      </c>
      <c r="M2273" t="s">
        <v>34504</v>
      </c>
      <c r="N2273">
        <v>1</v>
      </c>
      <c r="Q2273" t="s">
        <v>34505</v>
      </c>
      <c r="R2273">
        <v>371.33446780000003</v>
      </c>
      <c r="S2273" t="s">
        <v>9684</v>
      </c>
      <c r="T2273" t="s">
        <v>30</v>
      </c>
      <c r="U2273" t="s">
        <v>337</v>
      </c>
      <c r="W2273" t="s">
        <v>26009</v>
      </c>
    </row>
    <row r="2274" spans="1:23" x14ac:dyDescent="0.35">
      <c r="A2274">
        <v>534195</v>
      </c>
      <c r="B2274" t="s">
        <v>34506</v>
      </c>
      <c r="C2274" t="str">
        <f>"9780415404808"</f>
        <v>9780415404808</v>
      </c>
      <c r="D2274" t="str">
        <f>"9780203841150"</f>
        <v>9780203841150</v>
      </c>
      <c r="E2274" t="s">
        <v>26010</v>
      </c>
      <c r="F2274" t="s">
        <v>35</v>
      </c>
      <c r="G2274" t="s">
        <v>22174</v>
      </c>
      <c r="H2274" t="s">
        <v>26011</v>
      </c>
      <c r="I2274" s="26">
        <v>40368</v>
      </c>
      <c r="J2274">
        <v>2010</v>
      </c>
      <c r="K2274" t="s">
        <v>26012</v>
      </c>
      <c r="L2274">
        <v>321</v>
      </c>
      <c r="M2274" t="s">
        <v>34507</v>
      </c>
      <c r="N2274">
        <v>1</v>
      </c>
      <c r="Q2274" t="s">
        <v>34508</v>
      </c>
      <c r="R2274">
        <v>362.19685809999999</v>
      </c>
      <c r="S2274" t="s">
        <v>10110</v>
      </c>
      <c r="T2274" t="s">
        <v>30</v>
      </c>
      <c r="U2274" t="s">
        <v>29288</v>
      </c>
      <c r="W2274" t="s">
        <v>26009</v>
      </c>
    </row>
    <row r="2275" spans="1:23" x14ac:dyDescent="0.35">
      <c r="A2275">
        <v>534196</v>
      </c>
      <c r="B2275" t="s">
        <v>34509</v>
      </c>
      <c r="C2275" t="str">
        <f>"9780415548168"</f>
        <v>9780415548168</v>
      </c>
      <c r="D2275" t="str">
        <f>"9780203850428"</f>
        <v>9780203850428</v>
      </c>
      <c r="E2275" t="s">
        <v>26010</v>
      </c>
      <c r="F2275" t="s">
        <v>35</v>
      </c>
      <c r="G2275" t="s">
        <v>22174</v>
      </c>
      <c r="H2275" t="s">
        <v>26011</v>
      </c>
      <c r="I2275" s="26">
        <v>40367</v>
      </c>
      <c r="J2275">
        <v>2010</v>
      </c>
      <c r="K2275" t="s">
        <v>26012</v>
      </c>
      <c r="L2275">
        <v>268</v>
      </c>
      <c r="M2275" t="s">
        <v>34510</v>
      </c>
      <c r="N2275">
        <v>1</v>
      </c>
      <c r="Q2275" t="s">
        <v>34511</v>
      </c>
      <c r="R2275">
        <v>616.85226999999998</v>
      </c>
      <c r="S2275" t="s">
        <v>7895</v>
      </c>
      <c r="T2275" t="s">
        <v>30</v>
      </c>
      <c r="U2275" t="s">
        <v>26116</v>
      </c>
      <c r="W2275" t="s">
        <v>26009</v>
      </c>
    </row>
    <row r="2276" spans="1:23" x14ac:dyDescent="0.35">
      <c r="A2276">
        <v>534222</v>
      </c>
      <c r="B2276" t="s">
        <v>34512</v>
      </c>
      <c r="C2276" t="str">
        <f>"9780415563383"</f>
        <v>9780415563383</v>
      </c>
      <c r="D2276" t="str">
        <f>"9780203857465"</f>
        <v>9780203857465</v>
      </c>
      <c r="E2276" t="s">
        <v>26010</v>
      </c>
      <c r="F2276" t="s">
        <v>35</v>
      </c>
      <c r="G2276" t="s">
        <v>22174</v>
      </c>
      <c r="H2276" t="s">
        <v>26011</v>
      </c>
      <c r="I2276" s="26">
        <v>40346</v>
      </c>
      <c r="J2276">
        <v>2010</v>
      </c>
      <c r="K2276" t="s">
        <v>26012</v>
      </c>
      <c r="L2276">
        <v>209</v>
      </c>
      <c r="M2276" t="s">
        <v>34513</v>
      </c>
      <c r="N2276">
        <v>1</v>
      </c>
      <c r="O2276" t="s">
        <v>26855</v>
      </c>
      <c r="Q2276" t="s">
        <v>34514</v>
      </c>
      <c r="R2276" t="s">
        <v>34515</v>
      </c>
      <c r="S2276" t="s">
        <v>8678</v>
      </c>
      <c r="T2276" t="s">
        <v>30</v>
      </c>
      <c r="U2276" t="s">
        <v>26044</v>
      </c>
      <c r="W2276" t="s">
        <v>26009</v>
      </c>
    </row>
    <row r="2277" spans="1:23" x14ac:dyDescent="0.35">
      <c r="A2277">
        <v>534233</v>
      </c>
      <c r="B2277" t="s">
        <v>34516</v>
      </c>
      <c r="C2277" t="str">
        <f>"9780415552424"</f>
        <v>9780415552424</v>
      </c>
      <c r="D2277" t="str">
        <f>"9780203841136"</f>
        <v>9780203841136</v>
      </c>
      <c r="E2277" t="s">
        <v>26010</v>
      </c>
      <c r="F2277" t="s">
        <v>35</v>
      </c>
      <c r="G2277" t="s">
        <v>22174</v>
      </c>
      <c r="H2277" t="s">
        <v>26011</v>
      </c>
      <c r="I2277" s="26">
        <v>40367</v>
      </c>
      <c r="J2277">
        <v>2010</v>
      </c>
      <c r="K2277" t="s">
        <v>26012</v>
      </c>
      <c r="L2277">
        <v>193</v>
      </c>
      <c r="M2277" t="s">
        <v>34517</v>
      </c>
      <c r="N2277">
        <v>1</v>
      </c>
      <c r="Q2277" t="s">
        <v>34518</v>
      </c>
      <c r="R2277">
        <v>618.9289</v>
      </c>
      <c r="S2277" t="s">
        <v>7984</v>
      </c>
      <c r="T2277" t="s">
        <v>30</v>
      </c>
      <c r="U2277" t="s">
        <v>26019</v>
      </c>
      <c r="W2277" t="s">
        <v>26009</v>
      </c>
    </row>
    <row r="2278" spans="1:23" x14ac:dyDescent="0.35">
      <c r="A2278">
        <v>534240</v>
      </c>
      <c r="B2278" t="s">
        <v>8436</v>
      </c>
      <c r="C2278" t="str">
        <f>"9781848720121"</f>
        <v>9781848720121</v>
      </c>
      <c r="D2278" t="str">
        <f>"9780203851647"</f>
        <v>9780203851647</v>
      </c>
      <c r="E2278" t="s">
        <v>26010</v>
      </c>
      <c r="F2278" t="s">
        <v>35</v>
      </c>
      <c r="G2278" t="s">
        <v>22267</v>
      </c>
      <c r="H2278" t="s">
        <v>26011</v>
      </c>
      <c r="I2278" s="26">
        <v>40350</v>
      </c>
      <c r="J2278">
        <v>2010</v>
      </c>
      <c r="K2278" t="s">
        <v>660</v>
      </c>
      <c r="L2278">
        <v>353</v>
      </c>
      <c r="M2278" t="s">
        <v>34519</v>
      </c>
      <c r="N2278">
        <v>1</v>
      </c>
      <c r="O2278" t="s">
        <v>33736</v>
      </c>
      <c r="Q2278" t="s">
        <v>34520</v>
      </c>
      <c r="R2278" t="s">
        <v>34521</v>
      </c>
      <c r="S2278" t="s">
        <v>8437</v>
      </c>
      <c r="T2278" t="s">
        <v>30</v>
      </c>
      <c r="U2278" t="s">
        <v>46</v>
      </c>
      <c r="W2278" t="s">
        <v>26009</v>
      </c>
    </row>
    <row r="2279" spans="1:23" x14ac:dyDescent="0.35">
      <c r="A2279">
        <v>534584</v>
      </c>
      <c r="B2279" t="s">
        <v>8195</v>
      </c>
      <c r="C2279" t="str">
        <f>"9780226317915"</f>
        <v>9780226317915</v>
      </c>
      <c r="D2279" t="str">
        <f>"9780226317922"</f>
        <v>9780226317922</v>
      </c>
      <c r="E2279" t="s">
        <v>550</v>
      </c>
      <c r="F2279" t="s">
        <v>550</v>
      </c>
      <c r="G2279" t="s">
        <v>22352</v>
      </c>
      <c r="H2279" t="s">
        <v>26004</v>
      </c>
      <c r="I2279" s="26">
        <v>37940</v>
      </c>
      <c r="J2279">
        <v>2003</v>
      </c>
      <c r="K2279" t="s">
        <v>550</v>
      </c>
      <c r="L2279">
        <v>224</v>
      </c>
      <c r="M2279" t="s">
        <v>34522</v>
      </c>
      <c r="N2279">
        <v>1</v>
      </c>
      <c r="Q2279" t="s">
        <v>34523</v>
      </c>
      <c r="R2279">
        <v>306.89999999999998</v>
      </c>
      <c r="S2279" t="s">
        <v>34524</v>
      </c>
      <c r="T2279" t="s">
        <v>30</v>
      </c>
      <c r="U2279" t="s">
        <v>26170</v>
      </c>
      <c r="W2279" t="s">
        <v>26009</v>
      </c>
    </row>
    <row r="2280" spans="1:23" x14ac:dyDescent="0.35">
      <c r="A2280">
        <v>534762</v>
      </c>
      <c r="B2280" t="s">
        <v>34525</v>
      </c>
      <c r="C2280" t="str">
        <f>"9780521133470"</f>
        <v>9780521133470</v>
      </c>
      <c r="D2280" t="str">
        <f>"9780511743061"</f>
        <v>9780511743061</v>
      </c>
      <c r="E2280" t="s">
        <v>167</v>
      </c>
      <c r="F2280" t="s">
        <v>167</v>
      </c>
      <c r="G2280" t="s">
        <v>22218</v>
      </c>
      <c r="H2280" t="s">
        <v>26011</v>
      </c>
      <c r="I2280" s="26">
        <v>40248</v>
      </c>
      <c r="J2280">
        <v>2010</v>
      </c>
      <c r="K2280" t="s">
        <v>167</v>
      </c>
      <c r="L2280">
        <v>397</v>
      </c>
      <c r="M2280" t="s">
        <v>34526</v>
      </c>
      <c r="N2280">
        <v>1</v>
      </c>
      <c r="Q2280" t="s">
        <v>34527</v>
      </c>
      <c r="R2280">
        <v>362.29</v>
      </c>
      <c r="S2280" t="s">
        <v>34528</v>
      </c>
      <c r="T2280" t="s">
        <v>30</v>
      </c>
      <c r="U2280" t="s">
        <v>33552</v>
      </c>
      <c r="W2280" t="s">
        <v>26020</v>
      </c>
    </row>
    <row r="2281" spans="1:23" x14ac:dyDescent="0.35">
      <c r="A2281">
        <v>534870</v>
      </c>
      <c r="B2281" t="s">
        <v>8038</v>
      </c>
      <c r="C2281" t="str">
        <f>"9780123749468"</f>
        <v>9780123749468</v>
      </c>
      <c r="D2281" t="str">
        <f>"9780080959009"</f>
        <v>9780080959009</v>
      </c>
      <c r="E2281" t="s">
        <v>27482</v>
      </c>
      <c r="F2281" t="s">
        <v>7447</v>
      </c>
      <c r="G2281" t="s">
        <v>28361</v>
      </c>
      <c r="H2281" t="s">
        <v>26004</v>
      </c>
      <c r="I2281" s="26">
        <v>40198</v>
      </c>
      <c r="J2281">
        <v>2010</v>
      </c>
      <c r="K2281" t="s">
        <v>946</v>
      </c>
      <c r="L2281">
        <v>525</v>
      </c>
      <c r="M2281" t="s">
        <v>34529</v>
      </c>
      <c r="N2281">
        <v>2</v>
      </c>
      <c r="Q2281" t="s">
        <v>34530</v>
      </c>
      <c r="R2281">
        <v>629.13252</v>
      </c>
      <c r="S2281" t="s">
        <v>34531</v>
      </c>
      <c r="T2281" t="s">
        <v>30</v>
      </c>
      <c r="U2281" t="s">
        <v>34532</v>
      </c>
      <c r="W2281" t="s">
        <v>26009</v>
      </c>
    </row>
    <row r="2282" spans="1:23" x14ac:dyDescent="0.35">
      <c r="A2282">
        <v>537038</v>
      </c>
      <c r="B2282" t="s">
        <v>34533</v>
      </c>
      <c r="C2282" t="str">
        <f>"9781589015050"</f>
        <v>9781589015050</v>
      </c>
      <c r="D2282" t="str">
        <f>"9781589017184"</f>
        <v>9781589017184</v>
      </c>
      <c r="E2282" t="s">
        <v>7550</v>
      </c>
      <c r="F2282" t="s">
        <v>7550</v>
      </c>
      <c r="G2282" t="s">
        <v>22254</v>
      </c>
      <c r="H2282" t="s">
        <v>26004</v>
      </c>
      <c r="I2282" s="26">
        <v>40101</v>
      </c>
      <c r="J2282">
        <v>2009</v>
      </c>
      <c r="K2282" t="s">
        <v>7550</v>
      </c>
      <c r="L2282">
        <v>299</v>
      </c>
      <c r="M2282" t="s">
        <v>34534</v>
      </c>
      <c r="N2282">
        <v>1</v>
      </c>
      <c r="O2282" t="s">
        <v>34535</v>
      </c>
      <c r="Q2282" t="s">
        <v>34536</v>
      </c>
      <c r="R2282" t="s">
        <v>34537</v>
      </c>
      <c r="T2282" t="s">
        <v>30</v>
      </c>
      <c r="U2282" t="s">
        <v>27931</v>
      </c>
      <c r="W2282" t="s">
        <v>26009</v>
      </c>
    </row>
    <row r="2283" spans="1:23" x14ac:dyDescent="0.35">
      <c r="A2283">
        <v>537680</v>
      </c>
      <c r="B2283" t="s">
        <v>34538</v>
      </c>
      <c r="C2283" t="str">
        <f>"9780691048253"</f>
        <v>9780691048253</v>
      </c>
      <c r="D2283" t="str">
        <f>"9781400821693"</f>
        <v>9781400821693</v>
      </c>
      <c r="E2283" t="s">
        <v>33468</v>
      </c>
      <c r="F2283" t="s">
        <v>7517</v>
      </c>
      <c r="G2283" t="s">
        <v>23592</v>
      </c>
      <c r="H2283" t="s">
        <v>26004</v>
      </c>
      <c r="I2283" s="26">
        <v>34812</v>
      </c>
      <c r="J2283">
        <v>1995</v>
      </c>
      <c r="K2283" t="s">
        <v>7517</v>
      </c>
      <c r="L2283">
        <v>303</v>
      </c>
      <c r="M2283" t="s">
        <v>34539</v>
      </c>
      <c r="N2283">
        <v>1</v>
      </c>
      <c r="R2283">
        <v>305</v>
      </c>
      <c r="T2283" t="s">
        <v>30</v>
      </c>
      <c r="U2283" t="s">
        <v>26044</v>
      </c>
      <c r="W2283" t="s">
        <v>28347</v>
      </c>
    </row>
    <row r="2284" spans="1:23" x14ac:dyDescent="0.35">
      <c r="A2284">
        <v>537732</v>
      </c>
      <c r="B2284" t="s">
        <v>34540</v>
      </c>
      <c r="C2284" t="str">
        <f>"9780761955238"</f>
        <v>9780761955238</v>
      </c>
      <c r="D2284" t="str">
        <f>"9780857026101"</f>
        <v>9780857026101</v>
      </c>
      <c r="E2284" t="s">
        <v>28007</v>
      </c>
      <c r="F2284" t="s">
        <v>7430</v>
      </c>
      <c r="G2284" t="s">
        <v>22174</v>
      </c>
      <c r="H2284" t="s">
        <v>26011</v>
      </c>
      <c r="I2284" s="26">
        <v>35936</v>
      </c>
      <c r="J2284">
        <v>1998</v>
      </c>
      <c r="K2284" t="s">
        <v>7430</v>
      </c>
      <c r="L2284">
        <v>284</v>
      </c>
      <c r="M2284" t="s">
        <v>34541</v>
      </c>
      <c r="N2284">
        <v>1</v>
      </c>
      <c r="O2284" t="s">
        <v>6862</v>
      </c>
      <c r="Q2284">
        <v>97062469</v>
      </c>
      <c r="R2284">
        <v>305</v>
      </c>
      <c r="S2284" t="s">
        <v>7507</v>
      </c>
      <c r="T2284" t="s">
        <v>30</v>
      </c>
      <c r="U2284" t="s">
        <v>26044</v>
      </c>
      <c r="W2284" t="s">
        <v>26009</v>
      </c>
    </row>
    <row r="2285" spans="1:23" x14ac:dyDescent="0.35">
      <c r="A2285">
        <v>537740</v>
      </c>
      <c r="B2285" t="s">
        <v>10031</v>
      </c>
      <c r="C2285" t="str">
        <f>"9780803976412"</f>
        <v>9780803976412</v>
      </c>
      <c r="D2285" t="str">
        <f>"9780857026040"</f>
        <v>9780857026040</v>
      </c>
      <c r="E2285" t="s">
        <v>28007</v>
      </c>
      <c r="F2285" t="s">
        <v>7430</v>
      </c>
      <c r="G2285" t="s">
        <v>22174</v>
      </c>
      <c r="H2285" t="s">
        <v>26011</v>
      </c>
      <c r="I2285" s="26">
        <v>36213</v>
      </c>
      <c r="J2285">
        <v>1999</v>
      </c>
      <c r="K2285" t="s">
        <v>7430</v>
      </c>
      <c r="L2285">
        <v>313</v>
      </c>
      <c r="M2285" t="s">
        <v>34542</v>
      </c>
      <c r="N2285">
        <v>1</v>
      </c>
      <c r="Q2285" t="s">
        <v>34543</v>
      </c>
      <c r="R2285">
        <v>615.851</v>
      </c>
      <c r="S2285" t="s">
        <v>10032</v>
      </c>
      <c r="T2285" t="s">
        <v>30</v>
      </c>
      <c r="U2285" t="s">
        <v>26019</v>
      </c>
      <c r="W2285" t="s">
        <v>26009</v>
      </c>
    </row>
    <row r="2286" spans="1:23" x14ac:dyDescent="0.35">
      <c r="A2286">
        <v>537749</v>
      </c>
      <c r="B2286" t="s">
        <v>34544</v>
      </c>
      <c r="C2286" t="str">
        <f>"9780761960867"</f>
        <v>9780761960867</v>
      </c>
      <c r="D2286" t="str">
        <f>"9780857026392"</f>
        <v>9780857026392</v>
      </c>
      <c r="E2286" t="s">
        <v>28007</v>
      </c>
      <c r="F2286" t="s">
        <v>7430</v>
      </c>
      <c r="G2286" t="s">
        <v>22174</v>
      </c>
      <c r="H2286" t="s">
        <v>26011</v>
      </c>
      <c r="I2286" s="26">
        <v>36647</v>
      </c>
      <c r="J2286">
        <v>2000</v>
      </c>
      <c r="K2286" t="s">
        <v>7430</v>
      </c>
      <c r="L2286">
        <v>242</v>
      </c>
      <c r="M2286" t="s">
        <v>34545</v>
      </c>
      <c r="N2286">
        <v>1</v>
      </c>
      <c r="Q2286">
        <v>99076906</v>
      </c>
      <c r="R2286">
        <v>302.39999999999998</v>
      </c>
      <c r="S2286" t="s">
        <v>7461</v>
      </c>
      <c r="T2286" t="s">
        <v>30</v>
      </c>
      <c r="U2286" t="s">
        <v>26044</v>
      </c>
      <c r="W2286" t="s">
        <v>26009</v>
      </c>
    </row>
    <row r="2287" spans="1:23" x14ac:dyDescent="0.35">
      <c r="A2287">
        <v>537750</v>
      </c>
      <c r="B2287" t="s">
        <v>34546</v>
      </c>
      <c r="C2287" t="str">
        <f>"9780761957874"</f>
        <v>9780761957874</v>
      </c>
      <c r="D2287" t="str">
        <f>"9780857026293"</f>
        <v>9780857026293</v>
      </c>
      <c r="E2287" t="s">
        <v>28007</v>
      </c>
      <c r="F2287" t="s">
        <v>7430</v>
      </c>
      <c r="G2287" t="s">
        <v>22174</v>
      </c>
      <c r="H2287" t="s">
        <v>26011</v>
      </c>
      <c r="I2287" s="26">
        <v>36347</v>
      </c>
      <c r="J2287">
        <v>1999</v>
      </c>
      <c r="K2287" t="s">
        <v>7430</v>
      </c>
      <c r="L2287">
        <v>203</v>
      </c>
      <c r="M2287" t="s">
        <v>34547</v>
      </c>
      <c r="N2287">
        <v>1</v>
      </c>
      <c r="O2287" t="s">
        <v>34548</v>
      </c>
      <c r="P2287">
        <v>2</v>
      </c>
      <c r="Q2287">
        <v>98061794</v>
      </c>
      <c r="R2287">
        <v>361.06071500000002</v>
      </c>
      <c r="S2287" t="s">
        <v>10083</v>
      </c>
      <c r="T2287" t="s">
        <v>30</v>
      </c>
      <c r="U2287" t="s">
        <v>26044</v>
      </c>
      <c r="W2287" t="s">
        <v>26009</v>
      </c>
    </row>
    <row r="2288" spans="1:23" x14ac:dyDescent="0.35">
      <c r="A2288">
        <v>537755</v>
      </c>
      <c r="B2288" t="s">
        <v>8761</v>
      </c>
      <c r="C2288" t="str">
        <f>"9781412922432"</f>
        <v>9781412922432</v>
      </c>
      <c r="D2288" t="str">
        <f>"9780857026644"</f>
        <v>9780857026644</v>
      </c>
      <c r="E2288" t="s">
        <v>28007</v>
      </c>
      <c r="F2288" t="s">
        <v>7430</v>
      </c>
      <c r="G2288" t="s">
        <v>22174</v>
      </c>
      <c r="H2288" t="s">
        <v>26011</v>
      </c>
      <c r="I2288" s="26">
        <v>39884</v>
      </c>
      <c r="J2288">
        <v>2009</v>
      </c>
      <c r="K2288" t="s">
        <v>7430</v>
      </c>
      <c r="L2288">
        <v>201</v>
      </c>
      <c r="M2288" t="s">
        <v>34549</v>
      </c>
      <c r="N2288">
        <v>1</v>
      </c>
      <c r="Q2288" t="s">
        <v>34550</v>
      </c>
      <c r="R2288">
        <v>306</v>
      </c>
      <c r="S2288" t="s">
        <v>34551</v>
      </c>
      <c r="T2288" t="s">
        <v>30</v>
      </c>
      <c r="U2288" t="s">
        <v>26044</v>
      </c>
      <c r="W2288" t="s">
        <v>26009</v>
      </c>
    </row>
    <row r="2289" spans="1:23" x14ac:dyDescent="0.35">
      <c r="A2289">
        <v>537764</v>
      </c>
      <c r="B2289" t="s">
        <v>9410</v>
      </c>
      <c r="C2289" t="str">
        <f>"9780761953050"</f>
        <v>9780761953050</v>
      </c>
      <c r="D2289" t="str">
        <f>"9780857026125"</f>
        <v>9780857026125</v>
      </c>
      <c r="E2289" t="s">
        <v>28007</v>
      </c>
      <c r="F2289" t="s">
        <v>7430</v>
      </c>
      <c r="G2289" t="s">
        <v>22174</v>
      </c>
      <c r="H2289" t="s">
        <v>26011</v>
      </c>
      <c r="I2289" s="26">
        <v>35422</v>
      </c>
      <c r="J2289">
        <v>1996</v>
      </c>
      <c r="K2289" t="s">
        <v>7430</v>
      </c>
      <c r="L2289">
        <v>416</v>
      </c>
      <c r="M2289" t="s">
        <v>34552</v>
      </c>
      <c r="N2289">
        <v>1</v>
      </c>
      <c r="Q2289">
        <v>96070152</v>
      </c>
      <c r="R2289">
        <v>150.1</v>
      </c>
      <c r="S2289" t="s">
        <v>9411</v>
      </c>
      <c r="T2289" t="s">
        <v>30</v>
      </c>
      <c r="U2289" t="s">
        <v>46</v>
      </c>
      <c r="W2289" t="s">
        <v>26009</v>
      </c>
    </row>
    <row r="2290" spans="1:23" x14ac:dyDescent="0.35">
      <c r="A2290">
        <v>537765</v>
      </c>
      <c r="B2290" t="s">
        <v>9026</v>
      </c>
      <c r="C2290" t="str">
        <f>"9780803979956"</f>
        <v>9780803979956</v>
      </c>
      <c r="D2290" t="str">
        <f>"9780857025982"</f>
        <v>9780857025982</v>
      </c>
      <c r="E2290" t="s">
        <v>28007</v>
      </c>
      <c r="F2290" t="s">
        <v>7430</v>
      </c>
      <c r="G2290" t="s">
        <v>22174</v>
      </c>
      <c r="H2290" t="s">
        <v>26011</v>
      </c>
      <c r="I2290" s="26">
        <v>36220</v>
      </c>
      <c r="J2290">
        <v>1999</v>
      </c>
      <c r="K2290" t="s">
        <v>7430</v>
      </c>
      <c r="L2290">
        <v>161</v>
      </c>
      <c r="M2290" t="s">
        <v>34553</v>
      </c>
      <c r="N2290">
        <v>1</v>
      </c>
      <c r="O2290" t="s">
        <v>28068</v>
      </c>
      <c r="Q2290">
        <v>98061248</v>
      </c>
      <c r="R2290">
        <v>361</v>
      </c>
      <c r="S2290" t="s">
        <v>9027</v>
      </c>
      <c r="T2290" t="s">
        <v>30</v>
      </c>
      <c r="U2290" t="s">
        <v>26044</v>
      </c>
      <c r="W2290" t="s">
        <v>26009</v>
      </c>
    </row>
    <row r="2291" spans="1:23" x14ac:dyDescent="0.35">
      <c r="A2291">
        <v>537775</v>
      </c>
      <c r="B2291" t="s">
        <v>34554</v>
      </c>
      <c r="C2291" t="str">
        <f>"9780803976146"</f>
        <v>9780803976146</v>
      </c>
      <c r="D2291" t="str">
        <f>"9780857026019"</f>
        <v>9780857026019</v>
      </c>
      <c r="E2291" t="s">
        <v>28007</v>
      </c>
      <c r="F2291" t="s">
        <v>7430</v>
      </c>
      <c r="G2291" t="s">
        <v>22174</v>
      </c>
      <c r="H2291" t="s">
        <v>26011</v>
      </c>
      <c r="I2291" s="26">
        <v>35807</v>
      </c>
      <c r="J2291">
        <v>1998</v>
      </c>
      <c r="K2291" t="s">
        <v>7430</v>
      </c>
      <c r="L2291">
        <v>245</v>
      </c>
      <c r="M2291" t="s">
        <v>34555</v>
      </c>
      <c r="N2291">
        <v>1</v>
      </c>
      <c r="O2291" t="s">
        <v>30979</v>
      </c>
      <c r="P2291">
        <v>19</v>
      </c>
      <c r="Q2291" t="s">
        <v>34556</v>
      </c>
      <c r="R2291">
        <v>150</v>
      </c>
      <c r="S2291" t="s">
        <v>9690</v>
      </c>
      <c r="T2291" t="s">
        <v>30</v>
      </c>
      <c r="U2291" t="s">
        <v>46</v>
      </c>
      <c r="W2291" t="s">
        <v>26009</v>
      </c>
    </row>
    <row r="2292" spans="1:23" x14ac:dyDescent="0.35">
      <c r="A2292">
        <v>537791</v>
      </c>
      <c r="B2292" t="s">
        <v>8098</v>
      </c>
      <c r="C2292" t="str">
        <f>"9780803976405"</f>
        <v>9780803976405</v>
      </c>
      <c r="D2292" t="str">
        <f>"9780857026026"</f>
        <v>9780857026026</v>
      </c>
      <c r="E2292" t="s">
        <v>28007</v>
      </c>
      <c r="F2292" t="s">
        <v>7430</v>
      </c>
      <c r="G2292" t="s">
        <v>22174</v>
      </c>
      <c r="H2292" t="s">
        <v>26011</v>
      </c>
      <c r="I2292" s="26">
        <v>35807</v>
      </c>
      <c r="J2292">
        <v>1998</v>
      </c>
      <c r="K2292" t="s">
        <v>7430</v>
      </c>
      <c r="L2292">
        <v>222</v>
      </c>
      <c r="M2292" t="s">
        <v>34557</v>
      </c>
      <c r="N2292">
        <v>1</v>
      </c>
      <c r="O2292" t="s">
        <v>34558</v>
      </c>
      <c r="P2292">
        <v>10</v>
      </c>
      <c r="Q2292">
        <v>97068906</v>
      </c>
      <c r="R2292" t="s">
        <v>34559</v>
      </c>
      <c r="S2292" t="s">
        <v>8099</v>
      </c>
      <c r="T2292" t="s">
        <v>30</v>
      </c>
      <c r="U2292" t="s">
        <v>46</v>
      </c>
      <c r="W2292" t="s">
        <v>26009</v>
      </c>
    </row>
    <row r="2293" spans="1:23" x14ac:dyDescent="0.35">
      <c r="A2293">
        <v>537794</v>
      </c>
      <c r="B2293" t="s">
        <v>8362</v>
      </c>
      <c r="C2293" t="str">
        <f>"9780803976924"</f>
        <v>9780803976924</v>
      </c>
      <c r="D2293" t="str">
        <f>"9780857026064"</f>
        <v>9780857026064</v>
      </c>
      <c r="E2293" t="s">
        <v>28007</v>
      </c>
      <c r="F2293" t="s">
        <v>7430</v>
      </c>
      <c r="G2293" t="s">
        <v>22174</v>
      </c>
      <c r="H2293" t="s">
        <v>26011</v>
      </c>
      <c r="I2293" s="26">
        <v>36031</v>
      </c>
      <c r="J2293">
        <v>1998</v>
      </c>
      <c r="K2293" t="s">
        <v>7430</v>
      </c>
      <c r="L2293">
        <v>199</v>
      </c>
      <c r="M2293" t="s">
        <v>26306</v>
      </c>
      <c r="N2293">
        <v>1</v>
      </c>
      <c r="O2293" t="s">
        <v>34560</v>
      </c>
      <c r="Q2293" t="s">
        <v>34561</v>
      </c>
      <c r="R2293">
        <v>301.01</v>
      </c>
      <c r="S2293" t="s">
        <v>34562</v>
      </c>
      <c r="T2293" t="s">
        <v>30</v>
      </c>
      <c r="U2293" t="s">
        <v>26170</v>
      </c>
      <c r="W2293" t="s">
        <v>26009</v>
      </c>
    </row>
    <row r="2294" spans="1:23" x14ac:dyDescent="0.35">
      <c r="A2294">
        <v>537800</v>
      </c>
      <c r="B2294" t="s">
        <v>9646</v>
      </c>
      <c r="C2294" t="str">
        <f>"9780761944119"</f>
        <v>9780761944119</v>
      </c>
      <c r="D2294" t="str">
        <f>"9780857026538"</f>
        <v>9780857026538</v>
      </c>
      <c r="E2294" t="s">
        <v>28007</v>
      </c>
      <c r="F2294" t="s">
        <v>7430</v>
      </c>
      <c r="G2294" t="s">
        <v>22174</v>
      </c>
      <c r="H2294" t="s">
        <v>26011</v>
      </c>
      <c r="I2294" s="26">
        <v>39801</v>
      </c>
      <c r="J2294">
        <v>2009</v>
      </c>
      <c r="K2294" t="s">
        <v>7430</v>
      </c>
      <c r="L2294">
        <v>193</v>
      </c>
      <c r="M2294" t="s">
        <v>34563</v>
      </c>
      <c r="N2294">
        <v>1</v>
      </c>
      <c r="Q2294" t="s">
        <v>34564</v>
      </c>
      <c r="R2294">
        <v>616.89140099999997</v>
      </c>
      <c r="S2294" t="s">
        <v>8103</v>
      </c>
      <c r="T2294" t="s">
        <v>30</v>
      </c>
      <c r="U2294" t="s">
        <v>26019</v>
      </c>
      <c r="W2294" t="s">
        <v>26009</v>
      </c>
    </row>
    <row r="2295" spans="1:23" x14ac:dyDescent="0.35">
      <c r="A2295">
        <v>537808</v>
      </c>
      <c r="B2295" t="s">
        <v>7804</v>
      </c>
      <c r="C2295" t="str">
        <f>"9781412920551"</f>
        <v>9781412920551</v>
      </c>
      <c r="D2295" t="str">
        <f>"9780857026637"</f>
        <v>9780857026637</v>
      </c>
      <c r="E2295" t="s">
        <v>28007</v>
      </c>
      <c r="F2295" t="s">
        <v>7430</v>
      </c>
      <c r="G2295" t="s">
        <v>22174</v>
      </c>
      <c r="H2295" t="s">
        <v>26011</v>
      </c>
      <c r="I2295" s="26">
        <v>39786</v>
      </c>
      <c r="J2295">
        <v>2009</v>
      </c>
      <c r="K2295" t="s">
        <v>7430</v>
      </c>
      <c r="L2295">
        <v>223</v>
      </c>
      <c r="M2295" t="s">
        <v>34565</v>
      </c>
      <c r="N2295">
        <v>1</v>
      </c>
      <c r="Q2295" t="s">
        <v>34566</v>
      </c>
      <c r="R2295">
        <v>362.70940999999999</v>
      </c>
      <c r="S2295" t="s">
        <v>7805</v>
      </c>
      <c r="T2295" t="s">
        <v>30</v>
      </c>
      <c r="U2295" t="s">
        <v>26044</v>
      </c>
      <c r="W2295" t="s">
        <v>26009</v>
      </c>
    </row>
    <row r="2296" spans="1:23" x14ac:dyDescent="0.35">
      <c r="A2296">
        <v>537811</v>
      </c>
      <c r="B2296" t="s">
        <v>9647</v>
      </c>
      <c r="C2296" t="str">
        <f>"9780761956167"</f>
        <v>9780761956167</v>
      </c>
      <c r="D2296" t="str">
        <f>"9780857026194"</f>
        <v>9780857026194</v>
      </c>
      <c r="E2296" t="s">
        <v>28007</v>
      </c>
      <c r="F2296" t="s">
        <v>7430</v>
      </c>
      <c r="G2296" t="s">
        <v>22174</v>
      </c>
      <c r="H2296" t="s">
        <v>26011</v>
      </c>
      <c r="I2296" s="26">
        <v>36500</v>
      </c>
      <c r="J2296">
        <v>1999</v>
      </c>
      <c r="K2296" t="s">
        <v>7430</v>
      </c>
      <c r="L2296">
        <v>209</v>
      </c>
      <c r="M2296" t="s">
        <v>34567</v>
      </c>
      <c r="N2296">
        <v>1</v>
      </c>
      <c r="O2296" t="s">
        <v>34568</v>
      </c>
      <c r="Q2296" t="s">
        <v>34569</v>
      </c>
      <c r="R2296">
        <v>616.89139999999998</v>
      </c>
      <c r="S2296" t="s">
        <v>7648</v>
      </c>
      <c r="T2296" t="s">
        <v>30</v>
      </c>
      <c r="U2296" t="s">
        <v>26019</v>
      </c>
      <c r="W2296" t="s">
        <v>26009</v>
      </c>
    </row>
    <row r="2297" spans="1:23" x14ac:dyDescent="0.35">
      <c r="A2297">
        <v>537812</v>
      </c>
      <c r="B2297" t="s">
        <v>9694</v>
      </c>
      <c r="C2297" t="str">
        <f>"9780803974753"</f>
        <v>9780803974753</v>
      </c>
      <c r="D2297" t="str">
        <f>"9780857025999"</f>
        <v>9780857025999</v>
      </c>
      <c r="E2297" t="s">
        <v>28007</v>
      </c>
      <c r="F2297" t="s">
        <v>7430</v>
      </c>
      <c r="G2297" t="s">
        <v>22174</v>
      </c>
      <c r="H2297" t="s">
        <v>26011</v>
      </c>
      <c r="I2297" s="26">
        <v>36005</v>
      </c>
      <c r="J2297">
        <v>1998</v>
      </c>
      <c r="K2297" t="s">
        <v>7430</v>
      </c>
      <c r="L2297">
        <v>161</v>
      </c>
      <c r="M2297" t="s">
        <v>34570</v>
      </c>
      <c r="N2297">
        <v>1</v>
      </c>
      <c r="O2297" t="s">
        <v>28068</v>
      </c>
      <c r="Q2297">
        <v>98060212</v>
      </c>
      <c r="R2297">
        <v>158.32</v>
      </c>
      <c r="S2297" t="s">
        <v>7836</v>
      </c>
      <c r="T2297" t="s">
        <v>30</v>
      </c>
      <c r="U2297" t="s">
        <v>46</v>
      </c>
      <c r="W2297" t="s">
        <v>26009</v>
      </c>
    </row>
    <row r="2298" spans="1:23" x14ac:dyDescent="0.35">
      <c r="A2298">
        <v>537831</v>
      </c>
      <c r="B2298" t="s">
        <v>34571</v>
      </c>
      <c r="C2298" t="str">
        <f>"9780761967750"</f>
        <v>9780761967750</v>
      </c>
      <c r="D2298" t="str">
        <f>"9780857026491"</f>
        <v>9780857026491</v>
      </c>
      <c r="E2298" t="s">
        <v>28007</v>
      </c>
      <c r="F2298" t="s">
        <v>7430</v>
      </c>
      <c r="G2298" t="s">
        <v>22174</v>
      </c>
      <c r="H2298" t="s">
        <v>26011</v>
      </c>
      <c r="I2298" s="26">
        <v>36843</v>
      </c>
      <c r="J2298">
        <v>2000</v>
      </c>
      <c r="K2298" t="s">
        <v>7430</v>
      </c>
      <c r="L2298">
        <v>201</v>
      </c>
      <c r="M2298" t="s">
        <v>34572</v>
      </c>
      <c r="N2298">
        <v>1</v>
      </c>
      <c r="Q2298">
        <v>2001267952</v>
      </c>
      <c r="R2298">
        <v>153</v>
      </c>
      <c r="S2298" t="s">
        <v>10152</v>
      </c>
      <c r="T2298" t="s">
        <v>30</v>
      </c>
      <c r="U2298" t="s">
        <v>46</v>
      </c>
      <c r="W2298" t="s">
        <v>26009</v>
      </c>
    </row>
    <row r="2299" spans="1:23" x14ac:dyDescent="0.35">
      <c r="A2299">
        <v>537832</v>
      </c>
      <c r="B2299" t="s">
        <v>7704</v>
      </c>
      <c r="C2299" t="str">
        <f>"9780761955337"</f>
        <v>9780761955337</v>
      </c>
      <c r="D2299" t="str">
        <f>"9780857026200"</f>
        <v>9780857026200</v>
      </c>
      <c r="E2299" t="s">
        <v>28007</v>
      </c>
      <c r="F2299" t="s">
        <v>7430</v>
      </c>
      <c r="G2299" t="s">
        <v>22174</v>
      </c>
      <c r="H2299" t="s">
        <v>26011</v>
      </c>
      <c r="I2299" s="26">
        <v>35964</v>
      </c>
      <c r="J2299">
        <v>1998</v>
      </c>
      <c r="K2299" t="s">
        <v>7430</v>
      </c>
      <c r="L2299">
        <v>251</v>
      </c>
      <c r="M2299" t="s">
        <v>34573</v>
      </c>
      <c r="N2299">
        <v>1</v>
      </c>
      <c r="O2299" t="s">
        <v>6862</v>
      </c>
      <c r="Q2299" t="s">
        <v>34574</v>
      </c>
      <c r="R2299">
        <v>150</v>
      </c>
      <c r="S2299" t="s">
        <v>46</v>
      </c>
      <c r="T2299" t="s">
        <v>30</v>
      </c>
      <c r="U2299" t="s">
        <v>28671</v>
      </c>
      <c r="W2299" t="s">
        <v>26009</v>
      </c>
    </row>
    <row r="2300" spans="1:23" x14ac:dyDescent="0.35">
      <c r="A2300">
        <v>537836</v>
      </c>
      <c r="B2300" t="s">
        <v>9644</v>
      </c>
      <c r="C2300" t="str">
        <f>"9780761958505"</f>
        <v>9780761958505</v>
      </c>
      <c r="D2300" t="str">
        <f>"9780857026330"</f>
        <v>9780857026330</v>
      </c>
      <c r="E2300" t="s">
        <v>28007</v>
      </c>
      <c r="F2300" t="s">
        <v>7430</v>
      </c>
      <c r="G2300" t="s">
        <v>22174</v>
      </c>
      <c r="H2300" t="s">
        <v>26011</v>
      </c>
      <c r="I2300" s="26">
        <v>36661</v>
      </c>
      <c r="J2300">
        <v>2000</v>
      </c>
      <c r="K2300" t="s">
        <v>7430</v>
      </c>
      <c r="L2300">
        <v>193</v>
      </c>
      <c r="M2300" t="s">
        <v>29975</v>
      </c>
      <c r="N2300">
        <v>1</v>
      </c>
      <c r="O2300" t="s">
        <v>34568</v>
      </c>
      <c r="Q2300">
        <v>267384</v>
      </c>
      <c r="R2300">
        <v>616.89139999999998</v>
      </c>
      <c r="S2300" t="s">
        <v>9645</v>
      </c>
      <c r="T2300" t="s">
        <v>30</v>
      </c>
      <c r="U2300" t="s">
        <v>26040</v>
      </c>
      <c r="W2300" t="s">
        <v>26009</v>
      </c>
    </row>
    <row r="2301" spans="1:23" x14ac:dyDescent="0.35">
      <c r="A2301">
        <v>537837</v>
      </c>
      <c r="B2301" t="s">
        <v>34575</v>
      </c>
      <c r="C2301" t="str">
        <f>"9781412918800"</f>
        <v>9781412918800</v>
      </c>
      <c r="D2301" t="str">
        <f>"9780857026613"</f>
        <v>9780857026613</v>
      </c>
      <c r="E2301" t="s">
        <v>28007</v>
      </c>
      <c r="F2301" t="s">
        <v>7430</v>
      </c>
      <c r="G2301" t="s">
        <v>22174</v>
      </c>
      <c r="H2301" t="s">
        <v>26011</v>
      </c>
      <c r="I2301" s="26">
        <v>38834</v>
      </c>
      <c r="J2301">
        <v>2006</v>
      </c>
      <c r="K2301" t="s">
        <v>7430</v>
      </c>
      <c r="L2301">
        <v>225</v>
      </c>
      <c r="M2301" t="s">
        <v>34576</v>
      </c>
      <c r="N2301">
        <v>2</v>
      </c>
      <c r="Q2301" t="s">
        <v>34577</v>
      </c>
      <c r="R2301" t="s">
        <v>29581</v>
      </c>
      <c r="S2301" t="s">
        <v>34578</v>
      </c>
      <c r="T2301" t="s">
        <v>30</v>
      </c>
      <c r="U2301" t="s">
        <v>26044</v>
      </c>
      <c r="W2301" t="s">
        <v>34579</v>
      </c>
    </row>
    <row r="2302" spans="1:23" x14ac:dyDescent="0.35">
      <c r="A2302">
        <v>538040</v>
      </c>
      <c r="B2302" t="s">
        <v>34580</v>
      </c>
      <c r="C2302" t="str">
        <f>"9781604734881"</f>
        <v>9781604734881</v>
      </c>
      <c r="D2302" t="str">
        <f>"9781604734898"</f>
        <v>9781604734898</v>
      </c>
      <c r="E2302" t="s">
        <v>8533</v>
      </c>
      <c r="F2302" t="s">
        <v>8533</v>
      </c>
      <c r="G2302" t="s">
        <v>34396</v>
      </c>
      <c r="H2302" t="s">
        <v>26004</v>
      </c>
      <c r="I2302" s="26">
        <v>40330</v>
      </c>
      <c r="J2302">
        <v>2010</v>
      </c>
      <c r="K2302" t="s">
        <v>8533</v>
      </c>
      <c r="L2302">
        <v>139</v>
      </c>
      <c r="M2302" t="s">
        <v>34581</v>
      </c>
      <c r="N2302">
        <v>1</v>
      </c>
      <c r="Q2302" t="s">
        <v>34582</v>
      </c>
      <c r="R2302" t="s">
        <v>34583</v>
      </c>
      <c r="S2302" t="s">
        <v>34584</v>
      </c>
      <c r="T2302" t="s">
        <v>30</v>
      </c>
      <c r="U2302" t="s">
        <v>26044</v>
      </c>
      <c r="W2302" t="s">
        <v>26009</v>
      </c>
    </row>
    <row r="2303" spans="1:23" x14ac:dyDescent="0.35">
      <c r="A2303">
        <v>539839</v>
      </c>
      <c r="B2303" t="s">
        <v>34585</v>
      </c>
      <c r="C2303" t="str">
        <f>"9781409403258"</f>
        <v>9781409403258</v>
      </c>
      <c r="D2303" t="str">
        <f>"9781409403265"</f>
        <v>9781409403265</v>
      </c>
      <c r="E2303" t="s">
        <v>26010</v>
      </c>
      <c r="F2303" t="s">
        <v>35</v>
      </c>
      <c r="G2303" t="s">
        <v>33516</v>
      </c>
      <c r="H2303" t="s">
        <v>26011</v>
      </c>
      <c r="I2303" s="26">
        <v>40387</v>
      </c>
      <c r="J2303">
        <v>2013</v>
      </c>
      <c r="K2303" t="s">
        <v>26012</v>
      </c>
      <c r="L2303">
        <v>251</v>
      </c>
      <c r="M2303" t="s">
        <v>34586</v>
      </c>
      <c r="N2303">
        <v>1</v>
      </c>
      <c r="O2303" t="s">
        <v>34587</v>
      </c>
      <c r="Q2303" t="s">
        <v>34588</v>
      </c>
      <c r="R2303" t="s">
        <v>34589</v>
      </c>
      <c r="S2303" t="s">
        <v>34590</v>
      </c>
      <c r="T2303" t="s">
        <v>30</v>
      </c>
      <c r="U2303" t="s">
        <v>34591</v>
      </c>
      <c r="W2303" t="s">
        <v>26009</v>
      </c>
    </row>
    <row r="2304" spans="1:23" x14ac:dyDescent="0.35">
      <c r="A2304">
        <v>542765</v>
      </c>
      <c r="B2304" t="s">
        <v>8084</v>
      </c>
      <c r="C2304" t="str">
        <f>"9780521191715"</f>
        <v>9780521191715</v>
      </c>
      <c r="D2304" t="str">
        <f>"9780511774157"</f>
        <v>9780511774157</v>
      </c>
      <c r="E2304" t="s">
        <v>167</v>
      </c>
      <c r="F2304" t="s">
        <v>167</v>
      </c>
      <c r="G2304" t="s">
        <v>22179</v>
      </c>
      <c r="H2304" t="s">
        <v>26004</v>
      </c>
      <c r="I2304" s="26">
        <v>40359</v>
      </c>
      <c r="J2304">
        <v>2010</v>
      </c>
      <c r="K2304" t="s">
        <v>167</v>
      </c>
      <c r="L2304">
        <v>406</v>
      </c>
      <c r="M2304" t="s">
        <v>34592</v>
      </c>
      <c r="N2304">
        <v>1</v>
      </c>
      <c r="Q2304" t="s">
        <v>34593</v>
      </c>
      <c r="R2304" t="s">
        <v>27492</v>
      </c>
      <c r="S2304" t="s">
        <v>34594</v>
      </c>
      <c r="T2304" t="s">
        <v>30</v>
      </c>
      <c r="U2304" t="s">
        <v>46</v>
      </c>
      <c r="W2304" t="s">
        <v>26020</v>
      </c>
    </row>
    <row r="2305" spans="1:23" x14ac:dyDescent="0.35">
      <c r="A2305">
        <v>542808</v>
      </c>
      <c r="B2305" t="s">
        <v>34595</v>
      </c>
      <c r="C2305" t="str">
        <f>"9780521106658"</f>
        <v>9780521106658</v>
      </c>
      <c r="D2305" t="str">
        <f>"9780511773563"</f>
        <v>9780511773563</v>
      </c>
      <c r="E2305" t="s">
        <v>167</v>
      </c>
      <c r="F2305" t="s">
        <v>167</v>
      </c>
      <c r="G2305" t="s">
        <v>22218</v>
      </c>
      <c r="H2305" t="s">
        <v>26011</v>
      </c>
      <c r="I2305" s="26">
        <v>40325</v>
      </c>
      <c r="J2305">
        <v>2010</v>
      </c>
      <c r="K2305" t="s">
        <v>167</v>
      </c>
      <c r="L2305">
        <v>291</v>
      </c>
      <c r="M2305" t="s">
        <v>34596</v>
      </c>
      <c r="N2305">
        <v>1</v>
      </c>
      <c r="Q2305" t="s">
        <v>34597</v>
      </c>
      <c r="R2305">
        <v>616.89</v>
      </c>
      <c r="S2305" t="s">
        <v>34598</v>
      </c>
      <c r="T2305" t="s">
        <v>30</v>
      </c>
      <c r="U2305" t="s">
        <v>26040</v>
      </c>
      <c r="W2305" t="s">
        <v>26020</v>
      </c>
    </row>
    <row r="2306" spans="1:23" x14ac:dyDescent="0.35">
      <c r="A2306">
        <v>542825</v>
      </c>
      <c r="B2306" t="s">
        <v>34599</v>
      </c>
      <c r="C2306" t="str">
        <f>"9780521685368"</f>
        <v>9780521685368</v>
      </c>
      <c r="D2306" t="str">
        <f>"9780511766893"</f>
        <v>9780511766893</v>
      </c>
      <c r="E2306" t="s">
        <v>167</v>
      </c>
      <c r="F2306" t="s">
        <v>167</v>
      </c>
      <c r="G2306" t="s">
        <v>22218</v>
      </c>
      <c r="H2306" t="s">
        <v>26011</v>
      </c>
      <c r="I2306" s="26">
        <v>40185</v>
      </c>
      <c r="J2306">
        <v>2010</v>
      </c>
      <c r="K2306" t="s">
        <v>167</v>
      </c>
      <c r="L2306">
        <v>238</v>
      </c>
      <c r="M2306" t="s">
        <v>34600</v>
      </c>
      <c r="N2306">
        <v>1</v>
      </c>
      <c r="O2306" t="s">
        <v>34601</v>
      </c>
      <c r="Q2306" t="s">
        <v>34602</v>
      </c>
      <c r="R2306" t="s">
        <v>32509</v>
      </c>
      <c r="S2306" t="s">
        <v>34603</v>
      </c>
      <c r="T2306" t="s">
        <v>30</v>
      </c>
      <c r="U2306" t="s">
        <v>26116</v>
      </c>
      <c r="W2306" t="s">
        <v>26020</v>
      </c>
    </row>
    <row r="2307" spans="1:23" x14ac:dyDescent="0.35">
      <c r="A2307">
        <v>542851</v>
      </c>
      <c r="B2307" t="s">
        <v>34604</v>
      </c>
      <c r="C2307" t="str">
        <f>"9780521898829"</f>
        <v>9780521898829</v>
      </c>
      <c r="D2307" t="str">
        <f>"9780511767128"</f>
        <v>9780511767128</v>
      </c>
      <c r="E2307" t="s">
        <v>167</v>
      </c>
      <c r="F2307" t="s">
        <v>167</v>
      </c>
      <c r="G2307" t="s">
        <v>22218</v>
      </c>
      <c r="H2307" t="s">
        <v>26011</v>
      </c>
      <c r="I2307" s="26">
        <v>40220</v>
      </c>
      <c r="J2307">
        <v>2010</v>
      </c>
      <c r="K2307" t="s">
        <v>167</v>
      </c>
      <c r="L2307">
        <v>392</v>
      </c>
      <c r="M2307" t="s">
        <v>34605</v>
      </c>
      <c r="N2307">
        <v>4</v>
      </c>
      <c r="Q2307" t="s">
        <v>34606</v>
      </c>
      <c r="R2307" t="s">
        <v>28628</v>
      </c>
      <c r="S2307" t="s">
        <v>8531</v>
      </c>
      <c r="T2307" t="s">
        <v>30</v>
      </c>
      <c r="U2307" t="s">
        <v>26019</v>
      </c>
      <c r="W2307" t="s">
        <v>26020</v>
      </c>
    </row>
    <row r="2308" spans="1:23" x14ac:dyDescent="0.35">
      <c r="A2308">
        <v>543989</v>
      </c>
      <c r="B2308" t="s">
        <v>34607</v>
      </c>
      <c r="C2308" t="str">
        <f>"9780804769396"</f>
        <v>9780804769396</v>
      </c>
      <c r="D2308" t="str">
        <f>"9780804774260"</f>
        <v>9780804774260</v>
      </c>
      <c r="E2308" t="s">
        <v>8284</v>
      </c>
      <c r="F2308" t="s">
        <v>8284</v>
      </c>
      <c r="G2308" t="s">
        <v>23524</v>
      </c>
      <c r="H2308" t="s">
        <v>26004</v>
      </c>
      <c r="I2308" s="26">
        <v>40245</v>
      </c>
      <c r="J2308">
        <v>2010</v>
      </c>
      <c r="K2308" t="s">
        <v>8284</v>
      </c>
      <c r="L2308">
        <v>289</v>
      </c>
      <c r="M2308" t="s">
        <v>34608</v>
      </c>
      <c r="N2308">
        <v>1</v>
      </c>
      <c r="Q2308" t="s">
        <v>34609</v>
      </c>
      <c r="R2308" t="s">
        <v>34610</v>
      </c>
      <c r="S2308" t="s">
        <v>34611</v>
      </c>
      <c r="T2308" t="s">
        <v>30</v>
      </c>
      <c r="U2308" t="s">
        <v>26044</v>
      </c>
      <c r="W2308" t="s">
        <v>26009</v>
      </c>
    </row>
    <row r="2309" spans="1:23" x14ac:dyDescent="0.35">
      <c r="A2309">
        <v>544012</v>
      </c>
      <c r="B2309" t="s">
        <v>9443</v>
      </c>
      <c r="C2309" t="str">
        <f>"9780415880541"</f>
        <v>9780415880541</v>
      </c>
      <c r="D2309" t="str">
        <f>"9780203849538"</f>
        <v>9780203849538</v>
      </c>
      <c r="E2309" t="s">
        <v>26010</v>
      </c>
      <c r="F2309" t="s">
        <v>35</v>
      </c>
      <c r="G2309" t="s">
        <v>22174</v>
      </c>
      <c r="H2309" t="s">
        <v>26011</v>
      </c>
      <c r="I2309" s="26">
        <v>40337</v>
      </c>
      <c r="J2309">
        <v>2010</v>
      </c>
      <c r="K2309" t="s">
        <v>26012</v>
      </c>
      <c r="L2309">
        <v>273</v>
      </c>
      <c r="M2309" t="s">
        <v>34612</v>
      </c>
      <c r="N2309">
        <v>1</v>
      </c>
      <c r="O2309" t="s">
        <v>34613</v>
      </c>
      <c r="Q2309" t="s">
        <v>34614</v>
      </c>
      <c r="R2309" t="s">
        <v>34615</v>
      </c>
      <c r="S2309" t="s">
        <v>9365</v>
      </c>
      <c r="T2309" t="s">
        <v>30</v>
      </c>
      <c r="U2309" t="s">
        <v>5222</v>
      </c>
      <c r="W2309" t="s">
        <v>26009</v>
      </c>
    </row>
    <row r="2310" spans="1:23" x14ac:dyDescent="0.35">
      <c r="A2310">
        <v>544027</v>
      </c>
      <c r="B2310" t="s">
        <v>34616</v>
      </c>
      <c r="C2310" t="str">
        <f>"9780415580045"</f>
        <v>9780415580045</v>
      </c>
      <c r="D2310" t="str">
        <f>"9780203847084"</f>
        <v>9780203847084</v>
      </c>
      <c r="E2310" t="s">
        <v>26010</v>
      </c>
      <c r="F2310" t="s">
        <v>35</v>
      </c>
      <c r="G2310" t="s">
        <v>22174</v>
      </c>
      <c r="H2310" t="s">
        <v>26011</v>
      </c>
      <c r="I2310" s="26">
        <v>40368</v>
      </c>
      <c r="J2310">
        <v>2010</v>
      </c>
      <c r="K2310" t="s">
        <v>26012</v>
      </c>
      <c r="L2310">
        <v>220</v>
      </c>
      <c r="M2310" t="s">
        <v>34617</v>
      </c>
      <c r="N2310">
        <v>1</v>
      </c>
      <c r="O2310" t="s">
        <v>34618</v>
      </c>
      <c r="Q2310" t="s">
        <v>34619</v>
      </c>
      <c r="R2310" t="s">
        <v>34620</v>
      </c>
      <c r="S2310" t="s">
        <v>8844</v>
      </c>
      <c r="T2310" t="s">
        <v>30</v>
      </c>
      <c r="U2310" t="s">
        <v>30336</v>
      </c>
      <c r="W2310" t="s">
        <v>26009</v>
      </c>
    </row>
    <row r="2311" spans="1:23" x14ac:dyDescent="0.35">
      <c r="A2311">
        <v>544076</v>
      </c>
      <c r="B2311" t="s">
        <v>34621</v>
      </c>
      <c r="C2311" t="str">
        <f>"9780226808550"</f>
        <v>9780226808550</v>
      </c>
      <c r="D2311" t="str">
        <f>"9780226808796"</f>
        <v>9780226808796</v>
      </c>
      <c r="E2311" t="s">
        <v>550</v>
      </c>
      <c r="F2311" t="s">
        <v>550</v>
      </c>
      <c r="G2311" t="s">
        <v>22352</v>
      </c>
      <c r="H2311" t="s">
        <v>26004</v>
      </c>
      <c r="I2311" s="26">
        <v>38473</v>
      </c>
      <c r="J2311">
        <v>2005</v>
      </c>
      <c r="K2311" t="s">
        <v>550</v>
      </c>
      <c r="L2311">
        <v>242</v>
      </c>
      <c r="M2311" t="s">
        <v>34622</v>
      </c>
      <c r="N2311">
        <v>1</v>
      </c>
      <c r="Q2311" t="s">
        <v>34623</v>
      </c>
      <c r="R2311" t="s">
        <v>34624</v>
      </c>
      <c r="S2311" t="s">
        <v>34625</v>
      </c>
      <c r="T2311" t="s">
        <v>30</v>
      </c>
      <c r="U2311" t="s">
        <v>402</v>
      </c>
      <c r="W2311" t="s">
        <v>26009</v>
      </c>
    </row>
    <row r="2312" spans="1:23" x14ac:dyDescent="0.35">
      <c r="A2312">
        <v>544121</v>
      </c>
      <c r="B2312" t="s">
        <v>34626</v>
      </c>
      <c r="C2312" t="str">
        <f>"9781606236734"</f>
        <v>9781606236734</v>
      </c>
      <c r="D2312" t="str">
        <f>"9781606236758"</f>
        <v>9781606236758</v>
      </c>
      <c r="E2312" t="s">
        <v>30112</v>
      </c>
      <c r="F2312" t="s">
        <v>7420</v>
      </c>
      <c r="G2312" t="s">
        <v>22179</v>
      </c>
      <c r="H2312" t="s">
        <v>26004</v>
      </c>
      <c r="I2312" s="26">
        <v>40317</v>
      </c>
      <c r="J2312">
        <v>2010</v>
      </c>
      <c r="K2312" t="s">
        <v>30113</v>
      </c>
      <c r="L2312">
        <v>609</v>
      </c>
      <c r="M2312" t="s">
        <v>34627</v>
      </c>
      <c r="N2312">
        <v>1</v>
      </c>
      <c r="Q2312" t="s">
        <v>34628</v>
      </c>
      <c r="R2312" t="s">
        <v>26164</v>
      </c>
      <c r="S2312" t="s">
        <v>34629</v>
      </c>
      <c r="T2312" t="s">
        <v>30</v>
      </c>
      <c r="U2312" t="s">
        <v>26170</v>
      </c>
      <c r="W2312" t="s">
        <v>28347</v>
      </c>
    </row>
    <row r="2313" spans="1:23" x14ac:dyDescent="0.35">
      <c r="A2313">
        <v>544122</v>
      </c>
      <c r="B2313" t="s">
        <v>34630</v>
      </c>
      <c r="C2313" t="str">
        <f>"9781606238615"</f>
        <v>9781606238615</v>
      </c>
      <c r="D2313" t="str">
        <f>"9781606238639"</f>
        <v>9781606238639</v>
      </c>
      <c r="E2313" t="s">
        <v>30112</v>
      </c>
      <c r="F2313" t="s">
        <v>7420</v>
      </c>
      <c r="G2313" t="s">
        <v>22179</v>
      </c>
      <c r="H2313" t="s">
        <v>26004</v>
      </c>
      <c r="I2313" s="26">
        <v>40338</v>
      </c>
      <c r="J2313">
        <v>2010</v>
      </c>
      <c r="K2313" t="s">
        <v>30113</v>
      </c>
      <c r="L2313">
        <v>305</v>
      </c>
      <c r="M2313" t="s">
        <v>34631</v>
      </c>
      <c r="N2313">
        <v>1</v>
      </c>
      <c r="Q2313" t="s">
        <v>34632</v>
      </c>
      <c r="R2313" t="s">
        <v>34633</v>
      </c>
      <c r="S2313" t="s">
        <v>34634</v>
      </c>
      <c r="T2313" t="s">
        <v>30</v>
      </c>
      <c r="U2313" t="s">
        <v>26040</v>
      </c>
      <c r="W2313" t="s">
        <v>28347</v>
      </c>
    </row>
    <row r="2314" spans="1:23" x14ac:dyDescent="0.35">
      <c r="A2314">
        <v>544276</v>
      </c>
      <c r="B2314" t="s">
        <v>34635</v>
      </c>
      <c r="C2314" t="str">
        <f>""</f>
        <v/>
      </c>
      <c r="D2314" t="str">
        <f>"9780857450593"</f>
        <v>9780857450593</v>
      </c>
      <c r="E2314" t="s">
        <v>34636</v>
      </c>
      <c r="F2314" t="s">
        <v>7472</v>
      </c>
      <c r="G2314" t="s">
        <v>31126</v>
      </c>
      <c r="H2314" t="s">
        <v>26004</v>
      </c>
      <c r="I2314" s="26">
        <v>39508</v>
      </c>
      <c r="J2314">
        <v>2008</v>
      </c>
      <c r="K2314" t="s">
        <v>7472</v>
      </c>
      <c r="L2314">
        <v>364</v>
      </c>
      <c r="M2314" t="s">
        <v>34637</v>
      </c>
      <c r="N2314">
        <v>1</v>
      </c>
      <c r="Q2314" t="s">
        <v>34638</v>
      </c>
      <c r="R2314">
        <v>355.02</v>
      </c>
      <c r="S2314" t="s">
        <v>34639</v>
      </c>
      <c r="T2314" t="s">
        <v>30</v>
      </c>
      <c r="U2314" t="s">
        <v>33415</v>
      </c>
      <c r="W2314" t="s">
        <v>26009</v>
      </c>
    </row>
    <row r="2315" spans="1:23" x14ac:dyDescent="0.35">
      <c r="A2315">
        <v>544321</v>
      </c>
      <c r="B2315" t="s">
        <v>34640</v>
      </c>
      <c r="C2315" t="str">
        <f>""</f>
        <v/>
      </c>
      <c r="D2315" t="str">
        <f>"9781845459703"</f>
        <v>9781845459703</v>
      </c>
      <c r="E2315" t="s">
        <v>34636</v>
      </c>
      <c r="F2315" t="s">
        <v>7472</v>
      </c>
      <c r="G2315" t="s">
        <v>31126</v>
      </c>
      <c r="H2315" t="s">
        <v>26004</v>
      </c>
      <c r="I2315" s="26">
        <v>40148</v>
      </c>
      <c r="J2315">
        <v>2010</v>
      </c>
      <c r="K2315" t="s">
        <v>7472</v>
      </c>
      <c r="L2315">
        <v>269</v>
      </c>
      <c r="M2315" t="s">
        <v>34641</v>
      </c>
      <c r="N2315">
        <v>1</v>
      </c>
      <c r="Q2315" t="s">
        <v>34642</v>
      </c>
      <c r="R2315">
        <v>303.60000000000002</v>
      </c>
      <c r="S2315" t="s">
        <v>34643</v>
      </c>
      <c r="T2315" t="s">
        <v>30</v>
      </c>
      <c r="U2315" t="s">
        <v>26044</v>
      </c>
      <c r="W2315" t="s">
        <v>26009</v>
      </c>
    </row>
    <row r="2316" spans="1:23" x14ac:dyDescent="0.35">
      <c r="A2316">
        <v>544420</v>
      </c>
      <c r="B2316" t="s">
        <v>34644</v>
      </c>
      <c r="C2316" t="str">
        <f>""</f>
        <v/>
      </c>
      <c r="D2316" t="str">
        <f>"9780857450364"</f>
        <v>9780857450364</v>
      </c>
      <c r="E2316" t="s">
        <v>34636</v>
      </c>
      <c r="F2316" t="s">
        <v>7472</v>
      </c>
      <c r="G2316" t="s">
        <v>31126</v>
      </c>
      <c r="H2316" t="s">
        <v>26004</v>
      </c>
      <c r="I2316" s="26">
        <v>39508</v>
      </c>
      <c r="J2316">
        <v>2008</v>
      </c>
      <c r="K2316" t="s">
        <v>7472</v>
      </c>
      <c r="L2316">
        <v>292</v>
      </c>
      <c r="M2316" t="s">
        <v>34645</v>
      </c>
      <c r="N2316">
        <v>1</v>
      </c>
      <c r="Q2316" t="s">
        <v>34646</v>
      </c>
      <c r="R2316">
        <v>306.46100000000001</v>
      </c>
      <c r="S2316" t="s">
        <v>34647</v>
      </c>
      <c r="T2316" t="s">
        <v>30</v>
      </c>
      <c r="U2316" t="s">
        <v>26044</v>
      </c>
      <c r="W2316" t="s">
        <v>26009</v>
      </c>
    </row>
    <row r="2317" spans="1:23" x14ac:dyDescent="0.35">
      <c r="A2317">
        <v>544425</v>
      </c>
      <c r="B2317" t="s">
        <v>34648</v>
      </c>
      <c r="C2317" t="str">
        <f>""</f>
        <v/>
      </c>
      <c r="D2317" t="str">
        <f>"9781845459314"</f>
        <v>9781845459314</v>
      </c>
      <c r="E2317" t="s">
        <v>34636</v>
      </c>
      <c r="F2317" t="s">
        <v>7472</v>
      </c>
      <c r="G2317" t="s">
        <v>31126</v>
      </c>
      <c r="H2317" t="s">
        <v>26004</v>
      </c>
      <c r="I2317" s="26">
        <v>39995</v>
      </c>
      <c r="J2317">
        <v>2009</v>
      </c>
      <c r="K2317" t="s">
        <v>7472</v>
      </c>
      <c r="L2317">
        <v>239</v>
      </c>
      <c r="M2317" t="s">
        <v>34649</v>
      </c>
      <c r="N2317">
        <v>1</v>
      </c>
      <c r="Q2317" t="s">
        <v>34650</v>
      </c>
      <c r="R2317">
        <v>155.849839</v>
      </c>
      <c r="S2317" t="s">
        <v>34651</v>
      </c>
      <c r="T2317" t="s">
        <v>30</v>
      </c>
      <c r="U2317" t="s">
        <v>34652</v>
      </c>
      <c r="W2317" t="s">
        <v>26009</v>
      </c>
    </row>
    <row r="2318" spans="1:23" x14ac:dyDescent="0.35">
      <c r="A2318">
        <v>544488</v>
      </c>
      <c r="B2318" t="s">
        <v>34653</v>
      </c>
      <c r="C2318" t="str">
        <f>"9780195381207"</f>
        <v>9780195381207</v>
      </c>
      <c r="D2318" t="str">
        <f>"9780199701001"</f>
        <v>9780199701001</v>
      </c>
      <c r="E2318" t="s">
        <v>371</v>
      </c>
      <c r="F2318" t="s">
        <v>31</v>
      </c>
      <c r="G2318" t="s">
        <v>22703</v>
      </c>
      <c r="H2318" t="s">
        <v>26004</v>
      </c>
      <c r="I2318" s="26">
        <v>40358</v>
      </c>
      <c r="J2318">
        <v>2010</v>
      </c>
      <c r="K2318" t="s">
        <v>31</v>
      </c>
      <c r="L2318">
        <v>822</v>
      </c>
      <c r="M2318" t="s">
        <v>34654</v>
      </c>
      <c r="N2318">
        <v>1</v>
      </c>
      <c r="Q2318" t="s">
        <v>34655</v>
      </c>
      <c r="R2318">
        <v>302</v>
      </c>
      <c r="S2318" t="s">
        <v>34656</v>
      </c>
      <c r="T2318" t="s">
        <v>30</v>
      </c>
      <c r="U2318" t="s">
        <v>26044</v>
      </c>
      <c r="W2318" t="s">
        <v>26009</v>
      </c>
    </row>
    <row r="2319" spans="1:23" x14ac:dyDescent="0.35">
      <c r="A2319">
        <v>544783</v>
      </c>
      <c r="B2319" t="s">
        <v>8465</v>
      </c>
      <c r="C2319" t="str">
        <f>"9780691145525"</f>
        <v>9780691145525</v>
      </c>
      <c r="D2319" t="str">
        <f>"9781400836925"</f>
        <v>9781400836925</v>
      </c>
      <c r="E2319" t="s">
        <v>33468</v>
      </c>
      <c r="F2319" t="s">
        <v>7517</v>
      </c>
      <c r="G2319" t="s">
        <v>23592</v>
      </c>
      <c r="H2319" t="s">
        <v>26004</v>
      </c>
      <c r="I2319" s="26">
        <v>40380</v>
      </c>
      <c r="J2319">
        <v>2010</v>
      </c>
      <c r="K2319" t="s">
        <v>7517</v>
      </c>
      <c r="L2319">
        <v>287</v>
      </c>
      <c r="M2319" t="s">
        <v>34657</v>
      </c>
      <c r="N2319">
        <v>1</v>
      </c>
      <c r="Q2319" t="s">
        <v>34658</v>
      </c>
      <c r="R2319" t="s">
        <v>34145</v>
      </c>
      <c r="T2319" t="s">
        <v>30</v>
      </c>
      <c r="U2319" t="s">
        <v>46</v>
      </c>
      <c r="W2319" t="s">
        <v>28347</v>
      </c>
    </row>
    <row r="2320" spans="1:23" x14ac:dyDescent="0.35">
      <c r="A2320">
        <v>546580</v>
      </c>
      <c r="B2320" t="s">
        <v>8439</v>
      </c>
      <c r="C2320" t="str">
        <f>"9789042029958"</f>
        <v>9789042029958</v>
      </c>
      <c r="D2320" t="str">
        <f>"9789042029965"</f>
        <v>9789042029965</v>
      </c>
      <c r="E2320" t="s">
        <v>4602</v>
      </c>
      <c r="F2320" t="s">
        <v>27</v>
      </c>
      <c r="G2320" t="s">
        <v>22231</v>
      </c>
      <c r="H2320" t="s">
        <v>26004</v>
      </c>
      <c r="I2320" s="26">
        <v>40179</v>
      </c>
      <c r="J2320">
        <v>2010</v>
      </c>
      <c r="K2320" t="s">
        <v>34659</v>
      </c>
      <c r="L2320">
        <v>224</v>
      </c>
      <c r="M2320" t="s">
        <v>34660</v>
      </c>
      <c r="N2320">
        <v>1</v>
      </c>
      <c r="O2320" t="s">
        <v>34661</v>
      </c>
      <c r="P2320">
        <v>66</v>
      </c>
      <c r="Q2320" t="s">
        <v>34662</v>
      </c>
      <c r="R2320">
        <v>179.9</v>
      </c>
      <c r="S2320" t="s">
        <v>34663</v>
      </c>
      <c r="T2320" t="s">
        <v>30</v>
      </c>
      <c r="U2320" t="s">
        <v>26520</v>
      </c>
      <c r="W2320" t="s">
        <v>26009</v>
      </c>
    </row>
    <row r="2321" spans="1:23" x14ac:dyDescent="0.35">
      <c r="A2321">
        <v>547297</v>
      </c>
      <c r="B2321" t="s">
        <v>34664</v>
      </c>
      <c r="C2321" t="str">
        <f>"9780826110756"</f>
        <v>9780826110756</v>
      </c>
      <c r="D2321" t="str">
        <f>"9780826110763"</f>
        <v>9780826110763</v>
      </c>
      <c r="E2321" t="s">
        <v>1504</v>
      </c>
      <c r="F2321" t="s">
        <v>33</v>
      </c>
      <c r="G2321" t="s">
        <v>22179</v>
      </c>
      <c r="H2321" t="s">
        <v>26004</v>
      </c>
      <c r="I2321" s="26">
        <v>40269</v>
      </c>
      <c r="J2321">
        <v>2010</v>
      </c>
      <c r="K2321" t="s">
        <v>33</v>
      </c>
      <c r="L2321">
        <v>257</v>
      </c>
      <c r="M2321" t="s">
        <v>34665</v>
      </c>
      <c r="N2321">
        <v>3</v>
      </c>
      <c r="Q2321" t="s">
        <v>34666</v>
      </c>
      <c r="S2321" t="s">
        <v>34667</v>
      </c>
      <c r="T2321" t="s">
        <v>30</v>
      </c>
      <c r="U2321" t="s">
        <v>26040</v>
      </c>
      <c r="W2321" t="s">
        <v>26009</v>
      </c>
    </row>
    <row r="2322" spans="1:23" x14ac:dyDescent="0.35">
      <c r="A2322">
        <v>547301</v>
      </c>
      <c r="B2322" t="s">
        <v>8520</v>
      </c>
      <c r="C2322" t="str">
        <f>"9780826122216"</f>
        <v>9780826122216</v>
      </c>
      <c r="D2322" t="str">
        <f>"9780826122223"</f>
        <v>9780826122223</v>
      </c>
      <c r="E2322" t="s">
        <v>1504</v>
      </c>
      <c r="F2322" t="s">
        <v>33</v>
      </c>
      <c r="G2322" t="s">
        <v>22179</v>
      </c>
      <c r="H2322" t="s">
        <v>26004</v>
      </c>
      <c r="I2322" s="26">
        <v>40238</v>
      </c>
      <c r="J2322">
        <v>2010</v>
      </c>
      <c r="K2322" t="s">
        <v>33</v>
      </c>
      <c r="L2322">
        <v>449</v>
      </c>
      <c r="M2322" t="s">
        <v>34668</v>
      </c>
      <c r="N2322">
        <v>1</v>
      </c>
      <c r="Q2322" t="s">
        <v>34669</v>
      </c>
      <c r="S2322" t="s">
        <v>34670</v>
      </c>
      <c r="T2322" t="s">
        <v>30</v>
      </c>
      <c r="U2322" t="s">
        <v>26116</v>
      </c>
      <c r="W2322" t="s">
        <v>26009</v>
      </c>
    </row>
    <row r="2323" spans="1:23" x14ac:dyDescent="0.35">
      <c r="A2323">
        <v>547308</v>
      </c>
      <c r="B2323" t="s">
        <v>10073</v>
      </c>
      <c r="C2323" t="str">
        <f>"9780804768870"</f>
        <v>9780804768870</v>
      </c>
      <c r="D2323" t="str">
        <f>"9780804773775"</f>
        <v>9780804773775</v>
      </c>
      <c r="E2323" t="s">
        <v>8284</v>
      </c>
      <c r="F2323" t="s">
        <v>8284</v>
      </c>
      <c r="G2323" t="s">
        <v>23524</v>
      </c>
      <c r="H2323" t="s">
        <v>26004</v>
      </c>
      <c r="I2323" s="26">
        <v>40219</v>
      </c>
      <c r="J2323">
        <v>2010</v>
      </c>
      <c r="K2323" t="s">
        <v>8284</v>
      </c>
      <c r="L2323">
        <v>236</v>
      </c>
      <c r="M2323" t="s">
        <v>34671</v>
      </c>
      <c r="N2323">
        <v>1</v>
      </c>
      <c r="Q2323" t="s">
        <v>34672</v>
      </c>
      <c r="R2323" t="s">
        <v>34673</v>
      </c>
      <c r="S2323" t="s">
        <v>34674</v>
      </c>
      <c r="T2323" t="s">
        <v>30</v>
      </c>
      <c r="U2323" t="s">
        <v>26170</v>
      </c>
      <c r="W2323" t="s">
        <v>26009</v>
      </c>
    </row>
    <row r="2324" spans="1:23" x14ac:dyDescent="0.35">
      <c r="A2324">
        <v>547326</v>
      </c>
      <c r="B2324" t="s">
        <v>34675</v>
      </c>
      <c r="C2324" t="str">
        <f>"9780415476119"</f>
        <v>9780415476119</v>
      </c>
      <c r="D2324" t="str">
        <f>"9780203841112"</f>
        <v>9780203841112</v>
      </c>
      <c r="E2324" t="s">
        <v>26010</v>
      </c>
      <c r="F2324" t="s">
        <v>35</v>
      </c>
      <c r="G2324" t="s">
        <v>26201</v>
      </c>
      <c r="H2324" t="s">
        <v>26004</v>
      </c>
      <c r="I2324" s="26">
        <v>40385</v>
      </c>
      <c r="J2324">
        <v>2010</v>
      </c>
      <c r="K2324" t="s">
        <v>26012</v>
      </c>
      <c r="L2324">
        <v>357</v>
      </c>
      <c r="M2324" t="s">
        <v>34676</v>
      </c>
      <c r="N2324">
        <v>4</v>
      </c>
      <c r="Q2324" t="s">
        <v>34677</v>
      </c>
      <c r="R2324">
        <v>616.89139999999998</v>
      </c>
      <c r="S2324" t="s">
        <v>33635</v>
      </c>
      <c r="T2324" t="s">
        <v>30</v>
      </c>
      <c r="U2324" t="s">
        <v>26019</v>
      </c>
      <c r="W2324" t="s">
        <v>26009</v>
      </c>
    </row>
    <row r="2325" spans="1:23" x14ac:dyDescent="0.35">
      <c r="A2325">
        <v>547339</v>
      </c>
      <c r="B2325" t="s">
        <v>34678</v>
      </c>
      <c r="C2325" t="str">
        <f>"9780415557801"</f>
        <v>9780415557801</v>
      </c>
      <c r="D2325" t="str">
        <f>"9780203841143"</f>
        <v>9780203841143</v>
      </c>
      <c r="E2325" t="s">
        <v>26010</v>
      </c>
      <c r="F2325" t="s">
        <v>35</v>
      </c>
      <c r="G2325" t="s">
        <v>22174</v>
      </c>
      <c r="H2325" t="s">
        <v>26011</v>
      </c>
      <c r="I2325" s="26">
        <v>40392</v>
      </c>
      <c r="J2325">
        <v>2010</v>
      </c>
      <c r="K2325" t="s">
        <v>26012</v>
      </c>
      <c r="L2325">
        <v>179</v>
      </c>
      <c r="M2325" t="s">
        <v>34679</v>
      </c>
      <c r="N2325">
        <v>1</v>
      </c>
      <c r="Q2325" t="s">
        <v>34680</v>
      </c>
      <c r="R2325">
        <v>616.89156000000003</v>
      </c>
      <c r="S2325" t="s">
        <v>2529</v>
      </c>
      <c r="T2325" t="s">
        <v>30</v>
      </c>
      <c r="U2325" t="s">
        <v>26019</v>
      </c>
      <c r="W2325" t="s">
        <v>26009</v>
      </c>
    </row>
    <row r="2326" spans="1:23" x14ac:dyDescent="0.35">
      <c r="A2326">
        <v>547360</v>
      </c>
      <c r="B2326" t="s">
        <v>34681</v>
      </c>
      <c r="C2326" t="str">
        <f>"9780415467056"</f>
        <v>9780415467056</v>
      </c>
      <c r="D2326" t="str">
        <f>"9780203841129"</f>
        <v>9780203841129</v>
      </c>
      <c r="E2326" t="s">
        <v>26010</v>
      </c>
      <c r="F2326" t="s">
        <v>35</v>
      </c>
      <c r="G2326" t="s">
        <v>22174</v>
      </c>
      <c r="H2326" t="s">
        <v>26011</v>
      </c>
      <c r="I2326" s="26">
        <v>40380</v>
      </c>
      <c r="J2326">
        <v>2010</v>
      </c>
      <c r="K2326" t="s">
        <v>26012</v>
      </c>
      <c r="L2326">
        <v>190</v>
      </c>
      <c r="M2326" t="s">
        <v>34682</v>
      </c>
      <c r="N2326">
        <v>1</v>
      </c>
      <c r="Q2326" t="s">
        <v>34683</v>
      </c>
      <c r="R2326" t="s">
        <v>34684</v>
      </c>
      <c r="S2326" t="s">
        <v>7574</v>
      </c>
      <c r="T2326" t="s">
        <v>30</v>
      </c>
      <c r="U2326" t="s">
        <v>27699</v>
      </c>
      <c r="W2326" t="s">
        <v>26009</v>
      </c>
    </row>
    <row r="2327" spans="1:23" x14ac:dyDescent="0.35">
      <c r="A2327">
        <v>547364</v>
      </c>
      <c r="B2327" t="s">
        <v>34685</v>
      </c>
      <c r="C2327" t="str">
        <f>"9780415553391"</f>
        <v>9780415553391</v>
      </c>
      <c r="D2327" t="str">
        <f>"9781136923418"</f>
        <v>9781136923418</v>
      </c>
      <c r="E2327" t="s">
        <v>26010</v>
      </c>
      <c r="F2327" t="s">
        <v>35</v>
      </c>
      <c r="G2327" t="s">
        <v>22174</v>
      </c>
      <c r="H2327" t="s">
        <v>26011</v>
      </c>
      <c r="I2327" s="26">
        <v>40407</v>
      </c>
      <c r="J2327">
        <v>2010</v>
      </c>
      <c r="K2327" t="s">
        <v>26012</v>
      </c>
      <c r="L2327">
        <v>181</v>
      </c>
      <c r="M2327" t="s">
        <v>34686</v>
      </c>
      <c r="N2327">
        <v>1</v>
      </c>
      <c r="O2327" t="s">
        <v>26855</v>
      </c>
      <c r="Q2327" t="s">
        <v>34687</v>
      </c>
      <c r="R2327">
        <v>618.20083499999998</v>
      </c>
      <c r="S2327" t="s">
        <v>7440</v>
      </c>
      <c r="T2327" t="s">
        <v>30</v>
      </c>
      <c r="U2327" t="s">
        <v>28289</v>
      </c>
      <c r="W2327" t="s">
        <v>26009</v>
      </c>
    </row>
    <row r="2328" spans="1:23" x14ac:dyDescent="0.35">
      <c r="A2328">
        <v>547369</v>
      </c>
      <c r="B2328" t="s">
        <v>34688</v>
      </c>
      <c r="C2328" t="str">
        <f>"9780415549981"</f>
        <v>9780415549981</v>
      </c>
      <c r="D2328" t="str">
        <f>"9780203874585"</f>
        <v>9780203874585</v>
      </c>
      <c r="E2328" t="s">
        <v>26010</v>
      </c>
      <c r="F2328" t="s">
        <v>35</v>
      </c>
      <c r="G2328" t="s">
        <v>22174</v>
      </c>
      <c r="H2328" t="s">
        <v>26011</v>
      </c>
      <c r="I2328" s="26">
        <v>40380</v>
      </c>
      <c r="J2328">
        <v>2010</v>
      </c>
      <c r="K2328" t="s">
        <v>26012</v>
      </c>
      <c r="L2328">
        <v>217</v>
      </c>
      <c r="M2328" t="s">
        <v>26859</v>
      </c>
      <c r="N2328">
        <v>1</v>
      </c>
      <c r="Q2328" t="s">
        <v>34689</v>
      </c>
      <c r="R2328">
        <v>796.33200999999997</v>
      </c>
      <c r="S2328" t="s">
        <v>9596</v>
      </c>
      <c r="T2328" t="s">
        <v>30</v>
      </c>
      <c r="U2328" t="s">
        <v>26008</v>
      </c>
      <c r="W2328" t="s">
        <v>26009</v>
      </c>
    </row>
    <row r="2329" spans="1:23" x14ac:dyDescent="0.35">
      <c r="A2329">
        <v>547375</v>
      </c>
      <c r="B2329" t="s">
        <v>34690</v>
      </c>
      <c r="C2329" t="str">
        <f>"9780415493987"</f>
        <v>9780415493987</v>
      </c>
      <c r="D2329" t="str">
        <f>"9780203851425"</f>
        <v>9780203851425</v>
      </c>
      <c r="E2329" t="s">
        <v>26010</v>
      </c>
      <c r="F2329" t="s">
        <v>35</v>
      </c>
      <c r="G2329" t="s">
        <v>22174</v>
      </c>
      <c r="H2329" t="s">
        <v>26011</v>
      </c>
      <c r="I2329" s="26">
        <v>40392</v>
      </c>
      <c r="J2329">
        <v>2010</v>
      </c>
      <c r="K2329" t="s">
        <v>26012</v>
      </c>
      <c r="L2329">
        <v>139</v>
      </c>
      <c r="M2329" t="s">
        <v>34691</v>
      </c>
      <c r="N2329">
        <v>1</v>
      </c>
      <c r="Q2329" t="s">
        <v>34692</v>
      </c>
      <c r="R2329">
        <v>370.15</v>
      </c>
      <c r="S2329" t="s">
        <v>7964</v>
      </c>
      <c r="T2329" t="s">
        <v>30</v>
      </c>
      <c r="U2329" t="s">
        <v>337</v>
      </c>
      <c r="W2329" t="s">
        <v>26009</v>
      </c>
    </row>
    <row r="2330" spans="1:23" x14ac:dyDescent="0.35">
      <c r="A2330">
        <v>547440</v>
      </c>
      <c r="B2330" t="s">
        <v>10090</v>
      </c>
      <c r="C2330" t="str">
        <f>"9781592131310"</f>
        <v>9781592131310</v>
      </c>
      <c r="D2330" t="str">
        <f>"9781439904763"</f>
        <v>9781439904763</v>
      </c>
      <c r="E2330" t="s">
        <v>7659</v>
      </c>
      <c r="F2330" t="s">
        <v>7659</v>
      </c>
      <c r="G2330" t="s">
        <v>22190</v>
      </c>
      <c r="H2330" t="s">
        <v>26004</v>
      </c>
      <c r="I2330" s="26">
        <v>38336</v>
      </c>
      <c r="J2330">
        <v>2004</v>
      </c>
      <c r="K2330" t="s">
        <v>7659</v>
      </c>
      <c r="L2330">
        <v>313</v>
      </c>
      <c r="M2330" t="s">
        <v>34693</v>
      </c>
      <c r="N2330">
        <v>2</v>
      </c>
      <c r="Q2330" t="s">
        <v>34694</v>
      </c>
      <c r="R2330" t="s">
        <v>28798</v>
      </c>
      <c r="S2330" t="s">
        <v>34695</v>
      </c>
      <c r="T2330" t="s">
        <v>30</v>
      </c>
      <c r="U2330" t="s">
        <v>32350</v>
      </c>
      <c r="W2330" t="s">
        <v>26009</v>
      </c>
    </row>
    <row r="2331" spans="1:23" x14ac:dyDescent="0.35">
      <c r="A2331">
        <v>547626</v>
      </c>
      <c r="B2331" t="s">
        <v>9379</v>
      </c>
      <c r="C2331" t="str">
        <f>"9780817356347"</f>
        <v>9780817356347</v>
      </c>
      <c r="D2331" t="str">
        <f>"9780817384081"</f>
        <v>9780817384081</v>
      </c>
      <c r="E2331" t="s">
        <v>8681</v>
      </c>
      <c r="F2331" t="s">
        <v>8681</v>
      </c>
      <c r="G2331" t="s">
        <v>24716</v>
      </c>
      <c r="H2331" t="s">
        <v>26004</v>
      </c>
      <c r="I2331" s="26">
        <v>40328</v>
      </c>
      <c r="J2331">
        <v>1990</v>
      </c>
      <c r="K2331" t="s">
        <v>8681</v>
      </c>
      <c r="L2331">
        <v>416</v>
      </c>
      <c r="M2331" t="s">
        <v>34696</v>
      </c>
      <c r="N2331">
        <v>1</v>
      </c>
      <c r="R2331">
        <v>155.80000000000001</v>
      </c>
      <c r="T2331" t="s">
        <v>30</v>
      </c>
      <c r="U2331" t="s">
        <v>46</v>
      </c>
      <c r="W2331" t="s">
        <v>26009</v>
      </c>
    </row>
    <row r="2332" spans="1:23" x14ac:dyDescent="0.35">
      <c r="A2332">
        <v>547712</v>
      </c>
      <c r="B2332" t="s">
        <v>7638</v>
      </c>
      <c r="C2332" t="str">
        <f>"9780226524016"</f>
        <v>9780226524016</v>
      </c>
      <c r="D2332" t="str">
        <f>"9780226524047"</f>
        <v>9780226524047</v>
      </c>
      <c r="E2332" t="s">
        <v>550</v>
      </c>
      <c r="F2332" t="s">
        <v>550</v>
      </c>
      <c r="G2332" t="s">
        <v>22352</v>
      </c>
      <c r="H2332" t="s">
        <v>26004</v>
      </c>
      <c r="I2332" s="26">
        <v>36053</v>
      </c>
      <c r="J2332">
        <v>1998</v>
      </c>
      <c r="K2332" t="s">
        <v>550</v>
      </c>
      <c r="L2332">
        <v>263</v>
      </c>
      <c r="M2332" t="s">
        <v>34697</v>
      </c>
      <c r="N2332">
        <v>1</v>
      </c>
      <c r="Q2332" t="s">
        <v>34698</v>
      </c>
      <c r="S2332" t="s">
        <v>34699</v>
      </c>
      <c r="T2332" t="s">
        <v>30</v>
      </c>
      <c r="U2332" t="s">
        <v>26044</v>
      </c>
      <c r="W2332" t="s">
        <v>26009</v>
      </c>
    </row>
    <row r="2333" spans="1:23" x14ac:dyDescent="0.35">
      <c r="A2333">
        <v>547797</v>
      </c>
      <c r="B2333" t="s">
        <v>34700</v>
      </c>
      <c r="C2333" t="str">
        <f>"9781589011830"</f>
        <v>9781589011830</v>
      </c>
      <c r="D2333" t="str">
        <f>"9781589012776"</f>
        <v>9781589012776</v>
      </c>
      <c r="E2333" t="s">
        <v>7550</v>
      </c>
      <c r="F2333" t="s">
        <v>7550</v>
      </c>
      <c r="G2333" t="s">
        <v>22254</v>
      </c>
      <c r="H2333" t="s">
        <v>26004</v>
      </c>
      <c r="I2333" s="26">
        <v>39359</v>
      </c>
      <c r="J2333">
        <v>2007</v>
      </c>
      <c r="K2333" t="s">
        <v>7550</v>
      </c>
      <c r="L2333">
        <v>334</v>
      </c>
      <c r="M2333" t="s">
        <v>34701</v>
      </c>
      <c r="N2333">
        <v>1</v>
      </c>
      <c r="O2333" t="s">
        <v>34702</v>
      </c>
      <c r="R2333">
        <v>320.97300000000001</v>
      </c>
      <c r="T2333" t="s">
        <v>30</v>
      </c>
      <c r="U2333" t="s">
        <v>5222</v>
      </c>
      <c r="W2333" t="s">
        <v>26009</v>
      </c>
    </row>
    <row r="2334" spans="1:23" x14ac:dyDescent="0.35">
      <c r="A2334">
        <v>547826</v>
      </c>
      <c r="B2334" t="s">
        <v>34703</v>
      </c>
      <c r="C2334" t="str">
        <f>"9781589010703"</f>
        <v>9781589010703</v>
      </c>
      <c r="D2334" t="str">
        <f>"9781589013735"</f>
        <v>9781589013735</v>
      </c>
      <c r="E2334" t="s">
        <v>7550</v>
      </c>
      <c r="F2334" t="s">
        <v>7550</v>
      </c>
      <c r="G2334" t="s">
        <v>22254</v>
      </c>
      <c r="H2334" t="s">
        <v>26004</v>
      </c>
      <c r="I2334" s="26">
        <v>38658</v>
      </c>
      <c r="J2334">
        <v>2005</v>
      </c>
      <c r="K2334" t="s">
        <v>7550</v>
      </c>
      <c r="L2334">
        <v>345</v>
      </c>
      <c r="M2334" t="s">
        <v>34704</v>
      </c>
      <c r="N2334">
        <v>1</v>
      </c>
      <c r="R2334">
        <v>418</v>
      </c>
      <c r="T2334" t="s">
        <v>30</v>
      </c>
      <c r="U2334" t="s">
        <v>28384</v>
      </c>
      <c r="W2334" t="s">
        <v>26009</v>
      </c>
    </row>
    <row r="2335" spans="1:23" x14ac:dyDescent="0.35">
      <c r="A2335">
        <v>547968</v>
      </c>
      <c r="B2335" t="s">
        <v>34705</v>
      </c>
      <c r="C2335" t="str">
        <f>"9780195388541"</f>
        <v>9780195388541</v>
      </c>
      <c r="D2335" t="str">
        <f>"9780199750955"</f>
        <v>9780199750955</v>
      </c>
      <c r="E2335" t="s">
        <v>371</v>
      </c>
      <c r="F2335" t="s">
        <v>31</v>
      </c>
      <c r="G2335" t="s">
        <v>22703</v>
      </c>
      <c r="H2335" t="s">
        <v>26011</v>
      </c>
      <c r="I2335" s="26">
        <v>40452</v>
      </c>
      <c r="J2335">
        <v>2010</v>
      </c>
      <c r="K2335" t="s">
        <v>32038</v>
      </c>
      <c r="L2335">
        <v>196</v>
      </c>
      <c r="M2335" t="s">
        <v>34706</v>
      </c>
      <c r="Q2335" t="s">
        <v>34707</v>
      </c>
      <c r="R2335" t="s">
        <v>28995</v>
      </c>
      <c r="S2335" t="s">
        <v>34708</v>
      </c>
      <c r="T2335" t="s">
        <v>30</v>
      </c>
      <c r="U2335" t="s">
        <v>31208</v>
      </c>
      <c r="W2335" t="s">
        <v>26009</v>
      </c>
    </row>
    <row r="2336" spans="1:23" x14ac:dyDescent="0.35">
      <c r="A2336">
        <v>548063</v>
      </c>
      <c r="B2336" t="s">
        <v>34709</v>
      </c>
      <c r="C2336" t="str">
        <f>"9780816666775"</f>
        <v>9780816666775</v>
      </c>
      <c r="D2336" t="str">
        <f>"9780816673735"</f>
        <v>9780816673735</v>
      </c>
      <c r="E2336" t="s">
        <v>7471</v>
      </c>
      <c r="F2336" t="s">
        <v>7471</v>
      </c>
      <c r="G2336" t="s">
        <v>23536</v>
      </c>
      <c r="H2336" t="s">
        <v>26004</v>
      </c>
      <c r="I2336" s="26">
        <v>40308</v>
      </c>
      <c r="J2336">
        <v>2010</v>
      </c>
      <c r="K2336" t="s">
        <v>7471</v>
      </c>
      <c r="L2336">
        <v>236</v>
      </c>
      <c r="M2336" t="s">
        <v>34710</v>
      </c>
      <c r="N2336">
        <v>1</v>
      </c>
      <c r="O2336" t="s">
        <v>34711</v>
      </c>
      <c r="Q2336" t="s">
        <v>34712</v>
      </c>
      <c r="R2336">
        <v>305.89699999999999</v>
      </c>
      <c r="S2336" t="s">
        <v>34713</v>
      </c>
      <c r="T2336" t="s">
        <v>30</v>
      </c>
      <c r="U2336" t="s">
        <v>28111</v>
      </c>
      <c r="W2336" t="s">
        <v>26009</v>
      </c>
    </row>
    <row r="2337" spans="1:23" x14ac:dyDescent="0.35">
      <c r="A2337">
        <v>554269</v>
      </c>
      <c r="B2337" t="s">
        <v>7534</v>
      </c>
      <c r="C2337" t="str">
        <f>"9780313362422"</f>
        <v>9780313362422</v>
      </c>
      <c r="D2337" t="str">
        <f>"9780313362439"</f>
        <v>9780313362439</v>
      </c>
      <c r="E2337" t="s">
        <v>28336</v>
      </c>
      <c r="F2337" t="s">
        <v>28340</v>
      </c>
      <c r="G2337" t="s">
        <v>22179</v>
      </c>
      <c r="H2337" t="s">
        <v>26004</v>
      </c>
      <c r="I2337" s="26">
        <v>40283</v>
      </c>
      <c r="J2337">
        <v>2010</v>
      </c>
      <c r="K2337" t="s">
        <v>34178</v>
      </c>
      <c r="L2337">
        <v>176</v>
      </c>
      <c r="M2337" t="s">
        <v>34714</v>
      </c>
      <c r="N2337">
        <v>1</v>
      </c>
      <c r="O2337" t="s">
        <v>33917</v>
      </c>
      <c r="Q2337" t="s">
        <v>34715</v>
      </c>
      <c r="R2337" t="s">
        <v>28942</v>
      </c>
      <c r="S2337" t="s">
        <v>34716</v>
      </c>
      <c r="T2337" t="s">
        <v>30</v>
      </c>
      <c r="U2337" t="s">
        <v>26116</v>
      </c>
      <c r="W2337" t="s">
        <v>28347</v>
      </c>
    </row>
    <row r="2338" spans="1:23" x14ac:dyDescent="0.35">
      <c r="A2338">
        <v>554296</v>
      </c>
      <c r="B2338" t="s">
        <v>34717</v>
      </c>
      <c r="C2338" t="str">
        <f>"9780313359255"</f>
        <v>9780313359255</v>
      </c>
      <c r="D2338" t="str">
        <f>"9780313359262"</f>
        <v>9780313359262</v>
      </c>
      <c r="E2338" t="s">
        <v>28336</v>
      </c>
      <c r="F2338" t="s">
        <v>28340</v>
      </c>
      <c r="G2338" t="s">
        <v>22179</v>
      </c>
      <c r="H2338" t="s">
        <v>26004</v>
      </c>
      <c r="I2338" s="26">
        <v>39861</v>
      </c>
      <c r="J2338">
        <v>2009</v>
      </c>
      <c r="K2338" t="s">
        <v>28341</v>
      </c>
      <c r="L2338">
        <v>212</v>
      </c>
      <c r="M2338" t="s">
        <v>28340</v>
      </c>
      <c r="N2338">
        <v>2</v>
      </c>
      <c r="Q2338" t="s">
        <v>34718</v>
      </c>
      <c r="R2338" t="s">
        <v>34719</v>
      </c>
      <c r="S2338" t="s">
        <v>34720</v>
      </c>
      <c r="T2338" t="s">
        <v>30</v>
      </c>
      <c r="U2338" t="s">
        <v>26044</v>
      </c>
      <c r="W2338" t="s">
        <v>28347</v>
      </c>
    </row>
    <row r="2339" spans="1:23" x14ac:dyDescent="0.35">
      <c r="A2339">
        <v>554814</v>
      </c>
      <c r="B2339" t="s">
        <v>8389</v>
      </c>
      <c r="C2339" t="str">
        <f>"9780857241610"</f>
        <v>9780857241610</v>
      </c>
      <c r="D2339" t="str">
        <f>"9780857241627"</f>
        <v>9780857241627</v>
      </c>
      <c r="E2339" t="s">
        <v>7442</v>
      </c>
      <c r="F2339" t="s">
        <v>7442</v>
      </c>
      <c r="G2339" t="s">
        <v>22261</v>
      </c>
      <c r="H2339" t="s">
        <v>26011</v>
      </c>
      <c r="I2339" s="26">
        <v>40339</v>
      </c>
      <c r="J2339">
        <v>2010</v>
      </c>
      <c r="K2339" t="s">
        <v>7442</v>
      </c>
      <c r="L2339">
        <v>393</v>
      </c>
      <c r="M2339" t="s">
        <v>34721</v>
      </c>
      <c r="N2339">
        <v>1</v>
      </c>
      <c r="O2339" t="s">
        <v>34722</v>
      </c>
      <c r="P2339">
        <v>13</v>
      </c>
      <c r="Q2339" t="s">
        <v>34723</v>
      </c>
      <c r="R2339">
        <v>302.3</v>
      </c>
      <c r="S2339" t="s">
        <v>34724</v>
      </c>
      <c r="T2339" t="s">
        <v>30</v>
      </c>
      <c r="U2339" t="s">
        <v>26044</v>
      </c>
      <c r="W2339" t="s">
        <v>33559</v>
      </c>
    </row>
    <row r="2340" spans="1:23" x14ac:dyDescent="0.35">
      <c r="A2340">
        <v>554837</v>
      </c>
      <c r="B2340" t="s">
        <v>8580</v>
      </c>
      <c r="C2340" t="str">
        <f>"9781606237168"</f>
        <v>9781606237168</v>
      </c>
      <c r="D2340" t="str">
        <f>"9781606237182"</f>
        <v>9781606237182</v>
      </c>
      <c r="E2340" t="s">
        <v>30112</v>
      </c>
      <c r="F2340" t="s">
        <v>7420</v>
      </c>
      <c r="G2340" t="s">
        <v>22179</v>
      </c>
      <c r="H2340" t="s">
        <v>26004</v>
      </c>
      <c r="I2340" s="26">
        <v>40375</v>
      </c>
      <c r="J2340">
        <v>2010</v>
      </c>
      <c r="K2340" t="s">
        <v>30113</v>
      </c>
      <c r="L2340">
        <v>625</v>
      </c>
      <c r="M2340" t="s">
        <v>34725</v>
      </c>
      <c r="N2340">
        <v>1</v>
      </c>
      <c r="Q2340" t="s">
        <v>34726</v>
      </c>
      <c r="R2340" t="s">
        <v>34727</v>
      </c>
      <c r="S2340" t="s">
        <v>34728</v>
      </c>
      <c r="T2340" t="s">
        <v>30</v>
      </c>
      <c r="U2340" t="s">
        <v>26094</v>
      </c>
      <c r="W2340" t="s">
        <v>28347</v>
      </c>
    </row>
    <row r="2341" spans="1:23" x14ac:dyDescent="0.35">
      <c r="A2341">
        <v>554839</v>
      </c>
      <c r="B2341" t="s">
        <v>34729</v>
      </c>
      <c r="C2341" t="str">
        <f>"9781606238653"</f>
        <v>9781606238653</v>
      </c>
      <c r="D2341" t="str">
        <f>"9781606238677"</f>
        <v>9781606238677</v>
      </c>
      <c r="E2341" t="s">
        <v>30112</v>
      </c>
      <c r="F2341" t="s">
        <v>7420</v>
      </c>
      <c r="G2341" t="s">
        <v>22179</v>
      </c>
      <c r="H2341" t="s">
        <v>26004</v>
      </c>
      <c r="I2341" s="26">
        <v>40368</v>
      </c>
      <c r="J2341">
        <v>2010</v>
      </c>
      <c r="K2341" t="s">
        <v>30113</v>
      </c>
      <c r="L2341">
        <v>465</v>
      </c>
      <c r="M2341" t="s">
        <v>34730</v>
      </c>
      <c r="N2341">
        <v>1</v>
      </c>
      <c r="Q2341" t="s">
        <v>34731</v>
      </c>
      <c r="R2341" t="s">
        <v>28761</v>
      </c>
      <c r="S2341" t="s">
        <v>34732</v>
      </c>
      <c r="T2341" t="s">
        <v>30</v>
      </c>
      <c r="U2341" t="s">
        <v>26019</v>
      </c>
      <c r="W2341" t="s">
        <v>28347</v>
      </c>
    </row>
    <row r="2342" spans="1:23" x14ac:dyDescent="0.35">
      <c r="A2342">
        <v>555723</v>
      </c>
      <c r="B2342" t="s">
        <v>9996</v>
      </c>
      <c r="C2342" t="str">
        <f>"9781847423344"</f>
        <v>9781847423344</v>
      </c>
      <c r="D2342" t="str">
        <f>"9781847423351"</f>
        <v>9781847423351</v>
      </c>
      <c r="E2342" t="s">
        <v>4632</v>
      </c>
      <c r="F2342" t="s">
        <v>4632</v>
      </c>
      <c r="G2342" t="s">
        <v>24532</v>
      </c>
      <c r="H2342" t="s">
        <v>26011</v>
      </c>
      <c r="I2342" s="26">
        <v>40317</v>
      </c>
      <c r="J2342">
        <v>2010</v>
      </c>
      <c r="K2342" t="s">
        <v>4632</v>
      </c>
      <c r="L2342">
        <v>281</v>
      </c>
      <c r="M2342" t="s">
        <v>34733</v>
      </c>
      <c r="N2342">
        <v>1</v>
      </c>
      <c r="Q2342" t="s">
        <v>34734</v>
      </c>
      <c r="R2342">
        <v>306.77</v>
      </c>
      <c r="T2342" t="s">
        <v>30</v>
      </c>
      <c r="U2342" t="s">
        <v>26044</v>
      </c>
      <c r="W2342" t="s">
        <v>26009</v>
      </c>
    </row>
    <row r="2343" spans="1:23" x14ac:dyDescent="0.35">
      <c r="A2343">
        <v>555777</v>
      </c>
      <c r="B2343" t="s">
        <v>9631</v>
      </c>
      <c r="C2343" t="str">
        <f>"9783110213829"</f>
        <v>9783110213829</v>
      </c>
      <c r="D2343" t="str">
        <f>"9783110213836"</f>
        <v>9783110213836</v>
      </c>
      <c r="E2343" t="s">
        <v>30630</v>
      </c>
      <c r="F2343" t="s">
        <v>3143</v>
      </c>
      <c r="G2343" t="s">
        <v>30631</v>
      </c>
      <c r="H2343" t="s">
        <v>30632</v>
      </c>
      <c r="I2343" s="26">
        <v>40357</v>
      </c>
      <c r="J2343">
        <v>2010</v>
      </c>
      <c r="K2343" t="s">
        <v>3143</v>
      </c>
      <c r="L2343">
        <v>116</v>
      </c>
      <c r="M2343" t="s">
        <v>34735</v>
      </c>
      <c r="N2343">
        <v>1</v>
      </c>
      <c r="O2343" t="s">
        <v>34736</v>
      </c>
      <c r="Q2343" t="s">
        <v>34737</v>
      </c>
      <c r="R2343" t="s">
        <v>34738</v>
      </c>
      <c r="S2343" t="s">
        <v>34739</v>
      </c>
      <c r="T2343" t="s">
        <v>2583</v>
      </c>
      <c r="U2343" t="s">
        <v>26040</v>
      </c>
      <c r="W2343" t="s">
        <v>26009</v>
      </c>
    </row>
    <row r="2344" spans="1:23" x14ac:dyDescent="0.35">
      <c r="A2344">
        <v>556345</v>
      </c>
      <c r="B2344" t="s">
        <v>34740</v>
      </c>
      <c r="C2344" t="str">
        <f>"9789042023444"</f>
        <v>9789042023444</v>
      </c>
      <c r="D2344" t="str">
        <f>"9789042028418"</f>
        <v>9789042028418</v>
      </c>
      <c r="E2344" t="s">
        <v>4602</v>
      </c>
      <c r="F2344" t="s">
        <v>27</v>
      </c>
      <c r="G2344" t="s">
        <v>22231</v>
      </c>
      <c r="H2344" t="s">
        <v>26004</v>
      </c>
      <c r="I2344" s="26">
        <v>39448</v>
      </c>
      <c r="J2344">
        <v>2008</v>
      </c>
      <c r="K2344" t="s">
        <v>34659</v>
      </c>
      <c r="L2344">
        <v>159</v>
      </c>
      <c r="M2344" t="s">
        <v>34741</v>
      </c>
      <c r="N2344">
        <v>1</v>
      </c>
      <c r="O2344" t="s">
        <v>1729</v>
      </c>
      <c r="P2344">
        <v>7</v>
      </c>
      <c r="T2344" t="s">
        <v>30</v>
      </c>
      <c r="U2344" t="s">
        <v>34742</v>
      </c>
      <c r="W2344" t="s">
        <v>26009</v>
      </c>
    </row>
    <row r="2345" spans="1:23" x14ac:dyDescent="0.35">
      <c r="A2345">
        <v>556351</v>
      </c>
      <c r="B2345" t="s">
        <v>34743</v>
      </c>
      <c r="C2345" t="str">
        <f>"9789042025226"</f>
        <v>9789042025226</v>
      </c>
      <c r="D2345" t="str">
        <f>"9789401206778"</f>
        <v>9789401206778</v>
      </c>
      <c r="E2345" t="s">
        <v>4602</v>
      </c>
      <c r="F2345" t="s">
        <v>27</v>
      </c>
      <c r="G2345" t="s">
        <v>22231</v>
      </c>
      <c r="H2345" t="s">
        <v>26004</v>
      </c>
      <c r="I2345" s="26">
        <v>39814</v>
      </c>
      <c r="J2345">
        <v>2009</v>
      </c>
      <c r="K2345" t="s">
        <v>34659</v>
      </c>
      <c r="L2345">
        <v>130</v>
      </c>
      <c r="M2345" t="s">
        <v>34744</v>
      </c>
      <c r="N2345">
        <v>1</v>
      </c>
      <c r="O2345" t="s">
        <v>34745</v>
      </c>
      <c r="P2345">
        <v>200</v>
      </c>
      <c r="Q2345" t="s">
        <v>34746</v>
      </c>
      <c r="T2345" t="s">
        <v>30</v>
      </c>
      <c r="U2345" t="s">
        <v>152</v>
      </c>
      <c r="W2345" t="s">
        <v>26009</v>
      </c>
    </row>
    <row r="2346" spans="1:23" x14ac:dyDescent="0.35">
      <c r="A2346">
        <v>556355</v>
      </c>
      <c r="B2346" t="s">
        <v>34747</v>
      </c>
      <c r="C2346" t="str">
        <f>"9789042023338"</f>
        <v>9789042023338</v>
      </c>
      <c r="D2346" t="str">
        <f>"9789401205344"</f>
        <v>9789401205344</v>
      </c>
      <c r="E2346" t="s">
        <v>4602</v>
      </c>
      <c r="F2346" t="s">
        <v>27</v>
      </c>
      <c r="G2346" t="s">
        <v>22231</v>
      </c>
      <c r="H2346" t="s">
        <v>26004</v>
      </c>
      <c r="I2346" s="26">
        <v>39083</v>
      </c>
      <c r="J2346">
        <v>2007</v>
      </c>
      <c r="K2346" t="s">
        <v>34659</v>
      </c>
      <c r="L2346">
        <v>129</v>
      </c>
      <c r="M2346" t="s">
        <v>34748</v>
      </c>
      <c r="N2346">
        <v>1</v>
      </c>
      <c r="O2346" t="s">
        <v>34749</v>
      </c>
      <c r="P2346">
        <v>10</v>
      </c>
      <c r="Q2346" t="s">
        <v>34750</v>
      </c>
      <c r="R2346">
        <v>152.4</v>
      </c>
      <c r="S2346" t="s">
        <v>34751</v>
      </c>
      <c r="T2346" t="s">
        <v>30</v>
      </c>
      <c r="U2346" t="s">
        <v>46</v>
      </c>
      <c r="W2346" t="s">
        <v>26009</v>
      </c>
    </row>
    <row r="2347" spans="1:23" x14ac:dyDescent="0.35">
      <c r="A2347">
        <v>556359</v>
      </c>
      <c r="B2347" t="s">
        <v>34752</v>
      </c>
      <c r="C2347" t="str">
        <f>"9789042025738"</f>
        <v>9789042025738</v>
      </c>
      <c r="D2347" t="str">
        <f>"9789042028906"</f>
        <v>9789042028906</v>
      </c>
      <c r="E2347" t="s">
        <v>4602</v>
      </c>
      <c r="F2347" t="s">
        <v>27</v>
      </c>
      <c r="G2347" t="s">
        <v>22231</v>
      </c>
      <c r="H2347" t="s">
        <v>26004</v>
      </c>
      <c r="I2347" s="26">
        <v>39814</v>
      </c>
      <c r="J2347">
        <v>2009</v>
      </c>
      <c r="K2347" t="s">
        <v>34659</v>
      </c>
      <c r="L2347">
        <v>193</v>
      </c>
      <c r="M2347" t="s">
        <v>34753</v>
      </c>
      <c r="N2347">
        <v>1</v>
      </c>
      <c r="O2347" t="s">
        <v>1729</v>
      </c>
      <c r="P2347">
        <v>9</v>
      </c>
      <c r="T2347" t="s">
        <v>30</v>
      </c>
      <c r="U2347" t="s">
        <v>46</v>
      </c>
      <c r="W2347" t="s">
        <v>26009</v>
      </c>
    </row>
    <row r="2348" spans="1:23" x14ac:dyDescent="0.35">
      <c r="A2348">
        <v>556362</v>
      </c>
      <c r="B2348" t="s">
        <v>34754</v>
      </c>
      <c r="C2348" t="str">
        <f>"9789042026629"</f>
        <v>9789042026629</v>
      </c>
      <c r="D2348" t="str">
        <f>"9789042026636"</f>
        <v>9789042026636</v>
      </c>
      <c r="E2348" t="s">
        <v>4602</v>
      </c>
      <c r="F2348" t="s">
        <v>27</v>
      </c>
      <c r="G2348" t="s">
        <v>22231</v>
      </c>
      <c r="H2348" t="s">
        <v>26004</v>
      </c>
      <c r="I2348" s="26">
        <v>39814</v>
      </c>
      <c r="J2348">
        <v>2009</v>
      </c>
      <c r="K2348" t="s">
        <v>34659</v>
      </c>
      <c r="L2348">
        <v>154</v>
      </c>
      <c r="M2348" t="s">
        <v>34755</v>
      </c>
      <c r="N2348">
        <v>1</v>
      </c>
      <c r="O2348" t="s">
        <v>34745</v>
      </c>
      <c r="P2348">
        <v>209</v>
      </c>
      <c r="Q2348" t="s">
        <v>34756</v>
      </c>
      <c r="S2348" t="s">
        <v>34757</v>
      </c>
      <c r="T2348" t="s">
        <v>30</v>
      </c>
      <c r="U2348" t="s">
        <v>26116</v>
      </c>
      <c r="W2348" t="s">
        <v>26009</v>
      </c>
    </row>
    <row r="2349" spans="1:23" x14ac:dyDescent="0.35">
      <c r="A2349">
        <v>556384</v>
      </c>
      <c r="B2349" t="s">
        <v>9710</v>
      </c>
      <c r="C2349" t="str">
        <f>"9789042019973"</f>
        <v>9789042019973</v>
      </c>
      <c r="D2349" t="str">
        <f>"9789401202954"</f>
        <v>9789401202954</v>
      </c>
      <c r="E2349" t="s">
        <v>4602</v>
      </c>
      <c r="F2349" t="s">
        <v>27</v>
      </c>
      <c r="G2349" t="s">
        <v>22231</v>
      </c>
      <c r="H2349" t="s">
        <v>26004</v>
      </c>
      <c r="I2349" s="26">
        <v>38353</v>
      </c>
      <c r="J2349">
        <v>2005</v>
      </c>
      <c r="K2349" t="s">
        <v>27</v>
      </c>
      <c r="L2349">
        <v>181</v>
      </c>
      <c r="M2349" t="s">
        <v>34758</v>
      </c>
      <c r="N2349">
        <v>1</v>
      </c>
      <c r="O2349" t="s">
        <v>34759</v>
      </c>
      <c r="P2349">
        <v>14</v>
      </c>
      <c r="Q2349" t="s">
        <v>34760</v>
      </c>
      <c r="R2349">
        <v>362.20425599999999</v>
      </c>
      <c r="T2349" t="s">
        <v>30</v>
      </c>
      <c r="U2349" t="s">
        <v>30818</v>
      </c>
      <c r="W2349" t="s">
        <v>26009</v>
      </c>
    </row>
    <row r="2350" spans="1:23" x14ac:dyDescent="0.35">
      <c r="A2350">
        <v>556403</v>
      </c>
      <c r="B2350" t="s">
        <v>7668</v>
      </c>
      <c r="C2350" t="str">
        <f>"9789042023802"</f>
        <v>9789042023802</v>
      </c>
      <c r="D2350" t="str">
        <f>"9789401205702"</f>
        <v>9789401205702</v>
      </c>
      <c r="E2350" t="s">
        <v>4602</v>
      </c>
      <c r="F2350" t="s">
        <v>27</v>
      </c>
      <c r="G2350" t="s">
        <v>22231</v>
      </c>
      <c r="H2350" t="s">
        <v>26004</v>
      </c>
      <c r="I2350" s="26">
        <v>39448</v>
      </c>
      <c r="J2350">
        <v>2008</v>
      </c>
      <c r="K2350" t="s">
        <v>34659</v>
      </c>
      <c r="L2350">
        <v>191</v>
      </c>
      <c r="M2350" t="s">
        <v>34761</v>
      </c>
      <c r="N2350">
        <v>1</v>
      </c>
      <c r="O2350" t="s">
        <v>1729</v>
      </c>
      <c r="P2350">
        <v>8</v>
      </c>
      <c r="Q2350" t="s">
        <v>34762</v>
      </c>
      <c r="R2350">
        <v>618.92890092000005</v>
      </c>
      <c r="T2350" t="s">
        <v>30</v>
      </c>
      <c r="U2350" t="s">
        <v>26116</v>
      </c>
      <c r="W2350" t="s">
        <v>26009</v>
      </c>
    </row>
    <row r="2351" spans="1:23" x14ac:dyDescent="0.35">
      <c r="A2351">
        <v>556429</v>
      </c>
      <c r="B2351" t="s">
        <v>34763</v>
      </c>
      <c r="C2351" t="str">
        <f>"9789042018563"</f>
        <v>9789042018563</v>
      </c>
      <c r="D2351" t="str">
        <f>"9789042033009"</f>
        <v>9789042033009</v>
      </c>
      <c r="E2351" t="s">
        <v>4602</v>
      </c>
      <c r="F2351" t="s">
        <v>27</v>
      </c>
      <c r="G2351" t="s">
        <v>22222</v>
      </c>
      <c r="H2351" t="s">
        <v>27983</v>
      </c>
      <c r="I2351" s="26">
        <v>38353</v>
      </c>
      <c r="J2351">
        <v>2005</v>
      </c>
      <c r="K2351" t="s">
        <v>34764</v>
      </c>
      <c r="L2351">
        <v>176</v>
      </c>
      <c r="M2351" t="s">
        <v>34682</v>
      </c>
      <c r="N2351">
        <v>1</v>
      </c>
      <c r="O2351" t="s">
        <v>34765</v>
      </c>
      <c r="P2351" t="s">
        <v>34766</v>
      </c>
      <c r="Q2351" t="s">
        <v>34767</v>
      </c>
      <c r="R2351">
        <v>111.85</v>
      </c>
      <c r="S2351" t="s">
        <v>34768</v>
      </c>
      <c r="T2351" t="s">
        <v>30</v>
      </c>
      <c r="U2351" t="s">
        <v>152</v>
      </c>
      <c r="W2351" t="s">
        <v>26009</v>
      </c>
    </row>
    <row r="2352" spans="1:23" x14ac:dyDescent="0.35">
      <c r="A2352">
        <v>556452</v>
      </c>
      <c r="B2352" t="s">
        <v>34769</v>
      </c>
      <c r="C2352" t="str">
        <f>"9789042021877"</f>
        <v>9789042021877</v>
      </c>
      <c r="D2352" t="str">
        <f>"9789401204279"</f>
        <v>9789401204279</v>
      </c>
      <c r="E2352" t="s">
        <v>4602</v>
      </c>
      <c r="F2352" t="s">
        <v>27</v>
      </c>
      <c r="G2352" t="s">
        <v>22231</v>
      </c>
      <c r="H2352" t="s">
        <v>26004</v>
      </c>
      <c r="I2352" s="26">
        <v>39083</v>
      </c>
      <c r="J2352">
        <v>2007</v>
      </c>
      <c r="K2352" t="s">
        <v>34659</v>
      </c>
      <c r="L2352">
        <v>254</v>
      </c>
      <c r="M2352" t="s">
        <v>34770</v>
      </c>
      <c r="N2352">
        <v>1</v>
      </c>
      <c r="O2352" t="s">
        <v>34771</v>
      </c>
      <c r="P2352">
        <v>91</v>
      </c>
      <c r="Q2352" t="s">
        <v>34772</v>
      </c>
      <c r="S2352" t="s">
        <v>34773</v>
      </c>
      <c r="T2352" t="s">
        <v>30</v>
      </c>
      <c r="U2352" t="s">
        <v>366</v>
      </c>
      <c r="W2352" t="s">
        <v>26009</v>
      </c>
    </row>
    <row r="2353" spans="1:23" x14ac:dyDescent="0.35">
      <c r="A2353">
        <v>556456</v>
      </c>
      <c r="B2353" t="s">
        <v>34774</v>
      </c>
      <c r="C2353" t="str">
        <f>"9789042026254"</f>
        <v>9789042026254</v>
      </c>
      <c r="D2353" t="str">
        <f>"9789042026261"</f>
        <v>9789042026261</v>
      </c>
      <c r="E2353" t="s">
        <v>4602</v>
      </c>
      <c r="F2353" t="s">
        <v>27</v>
      </c>
      <c r="G2353" t="s">
        <v>22231</v>
      </c>
      <c r="H2353" t="s">
        <v>26004</v>
      </c>
      <c r="I2353" s="26">
        <v>39814</v>
      </c>
      <c r="J2353">
        <v>2009</v>
      </c>
      <c r="K2353" t="s">
        <v>34659</v>
      </c>
      <c r="L2353">
        <v>213</v>
      </c>
      <c r="M2353" t="s">
        <v>34775</v>
      </c>
      <c r="N2353">
        <v>1</v>
      </c>
      <c r="O2353" t="s">
        <v>1729</v>
      </c>
      <c r="P2353">
        <v>10</v>
      </c>
      <c r="Q2353" t="s">
        <v>34776</v>
      </c>
      <c r="T2353" t="s">
        <v>30</v>
      </c>
      <c r="U2353" t="s">
        <v>46</v>
      </c>
      <c r="W2353" t="s">
        <v>26009</v>
      </c>
    </row>
    <row r="2354" spans="1:23" x14ac:dyDescent="0.35">
      <c r="A2354">
        <v>556531</v>
      </c>
      <c r="B2354" t="s">
        <v>8977</v>
      </c>
      <c r="C2354" t="str">
        <f>"9789042016590"</f>
        <v>9789042016590</v>
      </c>
      <c r="D2354" t="str">
        <f>"9789401201407"</f>
        <v>9789401201407</v>
      </c>
      <c r="E2354" t="s">
        <v>4602</v>
      </c>
      <c r="F2354" t="s">
        <v>27</v>
      </c>
      <c r="G2354" t="s">
        <v>22231</v>
      </c>
      <c r="H2354" t="s">
        <v>26004</v>
      </c>
      <c r="I2354" s="26">
        <v>38718</v>
      </c>
      <c r="J2354">
        <v>2006</v>
      </c>
      <c r="K2354" t="s">
        <v>27</v>
      </c>
      <c r="L2354">
        <v>237</v>
      </c>
      <c r="M2354" t="s">
        <v>34777</v>
      </c>
      <c r="N2354">
        <v>1</v>
      </c>
      <c r="O2354" t="s">
        <v>1729</v>
      </c>
      <c r="P2354">
        <v>6</v>
      </c>
      <c r="Q2354" t="s">
        <v>34778</v>
      </c>
      <c r="R2354">
        <v>128</v>
      </c>
      <c r="T2354" t="s">
        <v>30</v>
      </c>
      <c r="U2354" t="s">
        <v>152</v>
      </c>
      <c r="W2354" t="s">
        <v>26009</v>
      </c>
    </row>
    <row r="2355" spans="1:23" x14ac:dyDescent="0.35">
      <c r="A2355">
        <v>556570</v>
      </c>
      <c r="B2355" t="s">
        <v>34779</v>
      </c>
      <c r="C2355" t="str">
        <f>"9789042021488"</f>
        <v>9789042021488</v>
      </c>
      <c r="D2355" t="str">
        <f>"9789401203951"</f>
        <v>9789401203951</v>
      </c>
      <c r="E2355" t="s">
        <v>4602</v>
      </c>
      <c r="F2355" t="s">
        <v>27</v>
      </c>
      <c r="G2355" t="s">
        <v>22231</v>
      </c>
      <c r="H2355" t="s">
        <v>26004</v>
      </c>
      <c r="I2355" s="26">
        <v>39083</v>
      </c>
      <c r="J2355">
        <v>2007</v>
      </c>
      <c r="K2355" t="s">
        <v>34659</v>
      </c>
      <c r="L2355">
        <v>245</v>
      </c>
      <c r="M2355" t="s">
        <v>34780</v>
      </c>
      <c r="N2355">
        <v>1</v>
      </c>
      <c r="O2355" t="s">
        <v>34661</v>
      </c>
      <c r="P2355">
        <v>31</v>
      </c>
      <c r="Q2355" t="s">
        <v>34781</v>
      </c>
      <c r="T2355" t="s">
        <v>30</v>
      </c>
      <c r="U2355" t="s">
        <v>34782</v>
      </c>
      <c r="W2355" t="s">
        <v>26009</v>
      </c>
    </row>
    <row r="2356" spans="1:23" x14ac:dyDescent="0.35">
      <c r="A2356">
        <v>556588</v>
      </c>
      <c r="B2356" t="s">
        <v>10194</v>
      </c>
      <c r="C2356" t="str">
        <f>"9789042024038"</f>
        <v>9789042024038</v>
      </c>
      <c r="D2356" t="str">
        <f>"9789401200653"</f>
        <v>9789401200653</v>
      </c>
      <c r="E2356" t="s">
        <v>4602</v>
      </c>
      <c r="F2356" t="s">
        <v>27</v>
      </c>
      <c r="G2356" t="s">
        <v>22231</v>
      </c>
      <c r="H2356" t="s">
        <v>26004</v>
      </c>
      <c r="I2356" s="26">
        <v>39448</v>
      </c>
      <c r="J2356">
        <v>2008</v>
      </c>
      <c r="K2356" t="s">
        <v>34659</v>
      </c>
      <c r="L2356">
        <v>260</v>
      </c>
      <c r="M2356" t="s">
        <v>34783</v>
      </c>
      <c r="N2356">
        <v>1</v>
      </c>
      <c r="O2356" t="s">
        <v>34661</v>
      </c>
      <c r="P2356">
        <v>47</v>
      </c>
      <c r="Q2356" t="s">
        <v>34784</v>
      </c>
      <c r="T2356" t="s">
        <v>30</v>
      </c>
      <c r="U2356" t="s">
        <v>46</v>
      </c>
      <c r="W2356" t="s">
        <v>26009</v>
      </c>
    </row>
    <row r="2357" spans="1:23" x14ac:dyDescent="0.35">
      <c r="A2357">
        <v>556633</v>
      </c>
      <c r="B2357" t="s">
        <v>34785</v>
      </c>
      <c r="C2357" t="str">
        <f>"9789042024199"</f>
        <v>9789042024199</v>
      </c>
      <c r="D2357" t="str">
        <f>"9789401206013"</f>
        <v>9789401206013</v>
      </c>
      <c r="E2357" t="s">
        <v>4602</v>
      </c>
      <c r="F2357" t="s">
        <v>27</v>
      </c>
      <c r="G2357" t="s">
        <v>22231</v>
      </c>
      <c r="H2357" t="s">
        <v>26004</v>
      </c>
      <c r="I2357" s="26">
        <v>39448</v>
      </c>
      <c r="J2357">
        <v>2008</v>
      </c>
      <c r="K2357" t="s">
        <v>34659</v>
      </c>
      <c r="L2357">
        <v>272</v>
      </c>
      <c r="M2357" t="s">
        <v>34786</v>
      </c>
      <c r="N2357">
        <v>1</v>
      </c>
      <c r="O2357" t="s">
        <v>34787</v>
      </c>
      <c r="P2357">
        <v>84</v>
      </c>
      <c r="Q2357" t="s">
        <v>31830</v>
      </c>
      <c r="T2357" t="s">
        <v>30</v>
      </c>
      <c r="U2357" t="s">
        <v>26019</v>
      </c>
      <c r="W2357" t="s">
        <v>26009</v>
      </c>
    </row>
    <row r="2358" spans="1:23" x14ac:dyDescent="0.35">
      <c r="A2358">
        <v>556642</v>
      </c>
      <c r="B2358" t="s">
        <v>34788</v>
      </c>
      <c r="C2358" t="str">
        <f>"9789042020641"</f>
        <v>9789042020641</v>
      </c>
      <c r="D2358" t="str">
        <f>"9789401203333"</f>
        <v>9789401203333</v>
      </c>
      <c r="E2358" t="s">
        <v>4602</v>
      </c>
      <c r="F2358" t="s">
        <v>27</v>
      </c>
      <c r="G2358" t="s">
        <v>22222</v>
      </c>
      <c r="H2358" t="s">
        <v>27983</v>
      </c>
      <c r="I2358" s="26">
        <v>38718</v>
      </c>
      <c r="J2358">
        <v>2006</v>
      </c>
      <c r="K2358" t="s">
        <v>34764</v>
      </c>
      <c r="L2358">
        <v>282</v>
      </c>
      <c r="M2358" t="s">
        <v>34789</v>
      </c>
      <c r="N2358">
        <v>1</v>
      </c>
      <c r="O2358" t="s">
        <v>34790</v>
      </c>
      <c r="P2358">
        <v>11</v>
      </c>
      <c r="Q2358" t="s">
        <v>34791</v>
      </c>
      <c r="R2358">
        <v>302.39999999999998</v>
      </c>
      <c r="S2358" t="s">
        <v>34792</v>
      </c>
      <c r="T2358" t="s">
        <v>30</v>
      </c>
      <c r="U2358" t="s">
        <v>26044</v>
      </c>
      <c r="W2358" t="s">
        <v>26009</v>
      </c>
    </row>
    <row r="2359" spans="1:23" x14ac:dyDescent="0.35">
      <c r="A2359">
        <v>556659</v>
      </c>
      <c r="B2359" t="s">
        <v>34793</v>
      </c>
      <c r="C2359" t="str">
        <f>"9789042024632"</f>
        <v>9789042024632</v>
      </c>
      <c r="D2359" t="str">
        <f>"9789401206310"</f>
        <v>9789401206310</v>
      </c>
      <c r="E2359" t="s">
        <v>4602</v>
      </c>
      <c r="F2359" t="s">
        <v>27</v>
      </c>
      <c r="G2359" t="s">
        <v>22231</v>
      </c>
      <c r="H2359" t="s">
        <v>26004</v>
      </c>
      <c r="I2359" s="26">
        <v>39448</v>
      </c>
      <c r="J2359">
        <v>2008</v>
      </c>
      <c r="K2359" t="s">
        <v>34659</v>
      </c>
      <c r="L2359">
        <v>291</v>
      </c>
      <c r="M2359" t="s">
        <v>34794</v>
      </c>
      <c r="N2359">
        <v>1</v>
      </c>
      <c r="O2359" t="s">
        <v>34787</v>
      </c>
      <c r="P2359">
        <v>85</v>
      </c>
      <c r="Q2359" t="s">
        <v>34795</v>
      </c>
      <c r="T2359" t="s">
        <v>30</v>
      </c>
      <c r="U2359" t="s">
        <v>34796</v>
      </c>
      <c r="W2359" t="s">
        <v>26009</v>
      </c>
    </row>
    <row r="2360" spans="1:23" x14ac:dyDescent="0.35">
      <c r="A2360">
        <v>556701</v>
      </c>
      <c r="B2360" t="s">
        <v>34797</v>
      </c>
      <c r="C2360" t="str">
        <f>"9789042025868"</f>
        <v>9789042025868</v>
      </c>
      <c r="D2360" t="str">
        <f>"9789042029033"</f>
        <v>9789042029033</v>
      </c>
      <c r="E2360" t="s">
        <v>4602</v>
      </c>
      <c r="F2360" t="s">
        <v>27</v>
      </c>
      <c r="G2360" t="s">
        <v>22231</v>
      </c>
      <c r="H2360" t="s">
        <v>26004</v>
      </c>
      <c r="I2360" s="26">
        <v>39814</v>
      </c>
      <c r="J2360">
        <v>2009</v>
      </c>
      <c r="K2360" t="s">
        <v>34659</v>
      </c>
      <c r="L2360">
        <v>300</v>
      </c>
      <c r="M2360" t="s">
        <v>34798</v>
      </c>
      <c r="N2360">
        <v>1</v>
      </c>
      <c r="O2360" t="s">
        <v>34799</v>
      </c>
      <c r="P2360">
        <v>12</v>
      </c>
      <c r="T2360" t="s">
        <v>30</v>
      </c>
      <c r="U2360" t="s">
        <v>34800</v>
      </c>
      <c r="W2360" t="s">
        <v>26009</v>
      </c>
    </row>
    <row r="2361" spans="1:23" x14ac:dyDescent="0.35">
      <c r="A2361">
        <v>556728</v>
      </c>
      <c r="B2361" t="s">
        <v>34801</v>
      </c>
      <c r="C2361" t="str">
        <f>"9789042022164"</f>
        <v>9789042022164</v>
      </c>
      <c r="D2361" t="str">
        <f>"9789401204491"</f>
        <v>9789401204491</v>
      </c>
      <c r="E2361" t="s">
        <v>4602</v>
      </c>
      <c r="F2361" t="s">
        <v>27</v>
      </c>
      <c r="G2361" t="s">
        <v>22231</v>
      </c>
      <c r="H2361" t="s">
        <v>26004</v>
      </c>
      <c r="I2361" s="26">
        <v>39083</v>
      </c>
      <c r="J2361">
        <v>2007</v>
      </c>
      <c r="K2361" t="s">
        <v>34659</v>
      </c>
      <c r="L2361">
        <v>335</v>
      </c>
      <c r="M2361" t="s">
        <v>34802</v>
      </c>
      <c r="N2361">
        <v>1</v>
      </c>
      <c r="O2361" t="s">
        <v>34745</v>
      </c>
      <c r="P2361">
        <v>190</v>
      </c>
      <c r="Q2361" t="s">
        <v>34803</v>
      </c>
      <c r="T2361" t="s">
        <v>30</v>
      </c>
      <c r="U2361" t="s">
        <v>30110</v>
      </c>
      <c r="W2361" t="s">
        <v>26009</v>
      </c>
    </row>
    <row r="2362" spans="1:23" x14ac:dyDescent="0.35">
      <c r="A2362">
        <v>556779</v>
      </c>
      <c r="B2362" t="s">
        <v>34804</v>
      </c>
      <c r="C2362" t="str">
        <f>"9789042025998"</f>
        <v>9789042025998</v>
      </c>
      <c r="D2362" t="str">
        <f>"9789042026322"</f>
        <v>9789042026322</v>
      </c>
      <c r="E2362" t="s">
        <v>4602</v>
      </c>
      <c r="F2362" t="s">
        <v>27</v>
      </c>
      <c r="G2362" t="s">
        <v>22231</v>
      </c>
      <c r="H2362" t="s">
        <v>26004</v>
      </c>
      <c r="I2362" s="26">
        <v>39814</v>
      </c>
      <c r="J2362">
        <v>2009</v>
      </c>
      <c r="K2362" t="s">
        <v>34659</v>
      </c>
      <c r="L2362">
        <v>358</v>
      </c>
      <c r="M2362" t="s">
        <v>34805</v>
      </c>
      <c r="N2362">
        <v>1</v>
      </c>
      <c r="O2362" t="s">
        <v>34787</v>
      </c>
      <c r="P2362">
        <v>86</v>
      </c>
      <c r="Q2362" t="s">
        <v>34806</v>
      </c>
      <c r="R2362">
        <v>362.11090000000002</v>
      </c>
      <c r="S2362" t="s">
        <v>34807</v>
      </c>
      <c r="T2362" t="s">
        <v>30</v>
      </c>
      <c r="U2362" t="s">
        <v>26250</v>
      </c>
      <c r="W2362" t="s">
        <v>26009</v>
      </c>
    </row>
    <row r="2363" spans="1:23" x14ac:dyDescent="0.35">
      <c r="A2363">
        <v>556786</v>
      </c>
      <c r="B2363" t="s">
        <v>9168</v>
      </c>
      <c r="C2363" t="str">
        <f>"9789042022263"</f>
        <v>9789042022263</v>
      </c>
      <c r="D2363" t="str">
        <f>"9789401204576"</f>
        <v>9789401204576</v>
      </c>
      <c r="E2363" t="s">
        <v>4602</v>
      </c>
      <c r="F2363" t="s">
        <v>27</v>
      </c>
      <c r="G2363" t="s">
        <v>22231</v>
      </c>
      <c r="H2363" t="s">
        <v>26004</v>
      </c>
      <c r="I2363" s="26">
        <v>39083</v>
      </c>
      <c r="J2363">
        <v>2007</v>
      </c>
      <c r="K2363" t="s">
        <v>34659</v>
      </c>
      <c r="L2363">
        <v>343</v>
      </c>
      <c r="M2363" t="s">
        <v>34808</v>
      </c>
      <c r="N2363">
        <v>1</v>
      </c>
      <c r="O2363" t="s">
        <v>34809</v>
      </c>
      <c r="P2363">
        <v>94</v>
      </c>
      <c r="Q2363" t="s">
        <v>34810</v>
      </c>
      <c r="S2363" t="s">
        <v>34811</v>
      </c>
      <c r="T2363" t="s">
        <v>30</v>
      </c>
      <c r="U2363" t="s">
        <v>152</v>
      </c>
      <c r="W2363" t="s">
        <v>26009</v>
      </c>
    </row>
    <row r="2364" spans="1:23" x14ac:dyDescent="0.35">
      <c r="A2364">
        <v>556840</v>
      </c>
      <c r="B2364" t="s">
        <v>7630</v>
      </c>
      <c r="C2364" t="str">
        <f>"9789042025684"</f>
        <v>9789042025684</v>
      </c>
      <c r="D2364" t="str">
        <f>"9789042029125"</f>
        <v>9789042029125</v>
      </c>
      <c r="E2364" t="s">
        <v>4602</v>
      </c>
      <c r="F2364" t="s">
        <v>27</v>
      </c>
      <c r="G2364" t="s">
        <v>22231</v>
      </c>
      <c r="H2364" t="s">
        <v>26004</v>
      </c>
      <c r="I2364" s="26">
        <v>39448</v>
      </c>
      <c r="J2364">
        <v>2008</v>
      </c>
      <c r="K2364" t="s">
        <v>34659</v>
      </c>
      <c r="L2364">
        <v>388</v>
      </c>
      <c r="M2364" t="s">
        <v>34812</v>
      </c>
      <c r="N2364">
        <v>1</v>
      </c>
      <c r="O2364" t="s">
        <v>34759</v>
      </c>
      <c r="P2364">
        <v>15</v>
      </c>
      <c r="T2364" t="s">
        <v>30</v>
      </c>
      <c r="U2364" t="s">
        <v>11247</v>
      </c>
      <c r="W2364" t="s">
        <v>26009</v>
      </c>
    </row>
    <row r="2365" spans="1:23" x14ac:dyDescent="0.35">
      <c r="A2365">
        <v>556844</v>
      </c>
      <c r="B2365" t="s">
        <v>34813</v>
      </c>
      <c r="C2365" t="str">
        <f>"9789042025776"</f>
        <v>9789042025776</v>
      </c>
      <c r="D2365" t="str">
        <f>"9789042029217"</f>
        <v>9789042029217</v>
      </c>
      <c r="E2365" t="s">
        <v>4602</v>
      </c>
      <c r="F2365" t="s">
        <v>27</v>
      </c>
      <c r="G2365" t="s">
        <v>22231</v>
      </c>
      <c r="H2365" t="s">
        <v>26004</v>
      </c>
      <c r="I2365" s="26">
        <v>39814</v>
      </c>
      <c r="J2365">
        <v>2009</v>
      </c>
      <c r="K2365" t="s">
        <v>34659</v>
      </c>
      <c r="L2365">
        <v>402</v>
      </c>
      <c r="M2365" t="s">
        <v>34814</v>
      </c>
      <c r="N2365">
        <v>1</v>
      </c>
      <c r="O2365" t="s">
        <v>34745</v>
      </c>
      <c r="P2365">
        <v>203</v>
      </c>
      <c r="T2365" t="s">
        <v>30</v>
      </c>
      <c r="U2365" t="s">
        <v>366</v>
      </c>
      <c r="W2365" t="s">
        <v>26009</v>
      </c>
    </row>
    <row r="2366" spans="1:23" x14ac:dyDescent="0.35">
      <c r="A2366">
        <v>556846</v>
      </c>
      <c r="B2366" t="s">
        <v>9249</v>
      </c>
      <c r="C2366" t="str">
        <f>"9789042018266"</f>
        <v>9789042018266</v>
      </c>
      <c r="D2366" t="str">
        <f>"9789401202169"</f>
        <v>9789401202169</v>
      </c>
      <c r="E2366" t="s">
        <v>4602</v>
      </c>
      <c r="F2366" t="s">
        <v>27</v>
      </c>
      <c r="G2366" t="s">
        <v>22231</v>
      </c>
      <c r="H2366" t="s">
        <v>26004</v>
      </c>
      <c r="I2366" s="26">
        <v>38353</v>
      </c>
      <c r="J2366">
        <v>2005</v>
      </c>
      <c r="K2366" t="s">
        <v>27</v>
      </c>
      <c r="L2366">
        <v>390</v>
      </c>
      <c r="M2366" t="s">
        <v>34815</v>
      </c>
      <c r="N2366">
        <v>1</v>
      </c>
      <c r="O2366" t="s">
        <v>34745</v>
      </c>
      <c r="P2366">
        <v>169</v>
      </c>
      <c r="Q2366" t="s">
        <v>34816</v>
      </c>
      <c r="T2366" t="s">
        <v>30</v>
      </c>
      <c r="U2366" t="s">
        <v>46</v>
      </c>
      <c r="W2366" t="s">
        <v>26009</v>
      </c>
    </row>
    <row r="2367" spans="1:23" x14ac:dyDescent="0.35">
      <c r="A2367">
        <v>556942</v>
      </c>
      <c r="B2367" t="s">
        <v>34817</v>
      </c>
      <c r="C2367" t="str">
        <f>"9789042030466"</f>
        <v>9789042030466</v>
      </c>
      <c r="D2367" t="str">
        <f>"9789042030473"</f>
        <v>9789042030473</v>
      </c>
      <c r="E2367" t="s">
        <v>4602</v>
      </c>
      <c r="F2367" t="s">
        <v>27</v>
      </c>
      <c r="G2367" t="s">
        <v>22231</v>
      </c>
      <c r="H2367" t="s">
        <v>26004</v>
      </c>
      <c r="I2367" s="26">
        <v>40179</v>
      </c>
      <c r="J2367">
        <v>2010</v>
      </c>
      <c r="K2367" t="s">
        <v>34659</v>
      </c>
      <c r="L2367">
        <v>530</v>
      </c>
      <c r="M2367" t="s">
        <v>34818</v>
      </c>
      <c r="N2367">
        <v>1</v>
      </c>
      <c r="O2367" t="s">
        <v>34819</v>
      </c>
      <c r="P2367">
        <v>23</v>
      </c>
      <c r="Q2367" t="s">
        <v>34820</v>
      </c>
      <c r="R2367">
        <v>362.19689009470898</v>
      </c>
      <c r="S2367" t="s">
        <v>34821</v>
      </c>
      <c r="T2367" t="s">
        <v>30</v>
      </c>
      <c r="U2367" t="s">
        <v>29302</v>
      </c>
      <c r="W2367" t="s">
        <v>26009</v>
      </c>
    </row>
    <row r="2368" spans="1:23" x14ac:dyDescent="0.35">
      <c r="A2368">
        <v>557093</v>
      </c>
      <c r="B2368" t="s">
        <v>34822</v>
      </c>
      <c r="C2368" t="str">
        <f>"9780335216123"</f>
        <v>9780335216123</v>
      </c>
      <c r="D2368" t="str">
        <f>"9780335242511"</f>
        <v>9780335242511</v>
      </c>
      <c r="E2368" t="s">
        <v>29061</v>
      </c>
      <c r="F2368" t="s">
        <v>7477</v>
      </c>
      <c r="G2368" t="s">
        <v>29068</v>
      </c>
      <c r="H2368" t="s">
        <v>26011</v>
      </c>
      <c r="I2368" s="26">
        <v>40087</v>
      </c>
      <c r="J2368">
        <v>2009</v>
      </c>
      <c r="K2368" t="s">
        <v>29063</v>
      </c>
      <c r="L2368">
        <v>174</v>
      </c>
      <c r="M2368" t="s">
        <v>34823</v>
      </c>
      <c r="N2368">
        <v>1</v>
      </c>
      <c r="Q2368" t="s">
        <v>34824</v>
      </c>
      <c r="R2368">
        <v>158.69999999999999</v>
      </c>
      <c r="S2368" t="s">
        <v>34825</v>
      </c>
      <c r="T2368" t="s">
        <v>30</v>
      </c>
      <c r="U2368" t="s">
        <v>33989</v>
      </c>
      <c r="W2368" t="s">
        <v>26009</v>
      </c>
    </row>
    <row r="2369" spans="1:23" x14ac:dyDescent="0.35">
      <c r="A2369">
        <v>557106</v>
      </c>
      <c r="B2369" t="s">
        <v>9594</v>
      </c>
      <c r="C2369" t="str">
        <f>"9780335234332"</f>
        <v>9780335234332</v>
      </c>
      <c r="D2369" t="str">
        <f>"9780335240340"</f>
        <v>9780335240340</v>
      </c>
      <c r="E2369" t="s">
        <v>29061</v>
      </c>
      <c r="F2369" t="s">
        <v>7477</v>
      </c>
      <c r="G2369" t="s">
        <v>29068</v>
      </c>
      <c r="H2369" t="s">
        <v>26011</v>
      </c>
      <c r="I2369" s="26">
        <v>40269</v>
      </c>
      <c r="J2369">
        <v>2010</v>
      </c>
      <c r="K2369" t="s">
        <v>29063</v>
      </c>
      <c r="L2369">
        <v>208</v>
      </c>
      <c r="M2369" t="s">
        <v>34826</v>
      </c>
      <c r="N2369">
        <v>1</v>
      </c>
      <c r="O2369" t="s">
        <v>29065</v>
      </c>
      <c r="Q2369" t="s">
        <v>34827</v>
      </c>
      <c r="S2369" t="s">
        <v>34828</v>
      </c>
      <c r="T2369" t="s">
        <v>30</v>
      </c>
      <c r="U2369" t="s">
        <v>26040</v>
      </c>
      <c r="W2369" t="s">
        <v>26009</v>
      </c>
    </row>
    <row r="2370" spans="1:23" x14ac:dyDescent="0.35">
      <c r="A2370">
        <v>557107</v>
      </c>
      <c r="B2370" t="s">
        <v>8384</v>
      </c>
      <c r="C2370" t="str">
        <f>"9780335240968"</f>
        <v>9780335240968</v>
      </c>
      <c r="D2370" t="str">
        <f>"9780335240982"</f>
        <v>9780335240982</v>
      </c>
      <c r="E2370" t="s">
        <v>29061</v>
      </c>
      <c r="F2370" t="s">
        <v>7477</v>
      </c>
      <c r="G2370" t="s">
        <v>29068</v>
      </c>
      <c r="H2370" t="s">
        <v>26011</v>
      </c>
      <c r="I2370" s="26">
        <v>40269</v>
      </c>
      <c r="J2370">
        <v>2010</v>
      </c>
      <c r="K2370" t="s">
        <v>29063</v>
      </c>
      <c r="L2370">
        <v>201</v>
      </c>
      <c r="M2370" t="s">
        <v>34829</v>
      </c>
      <c r="N2370">
        <v>1</v>
      </c>
      <c r="O2370" t="s">
        <v>29070</v>
      </c>
      <c r="Q2370" t="s">
        <v>34830</v>
      </c>
      <c r="R2370">
        <v>658.40219999999999</v>
      </c>
      <c r="S2370" t="s">
        <v>34831</v>
      </c>
      <c r="T2370" t="s">
        <v>30</v>
      </c>
      <c r="U2370" t="s">
        <v>27817</v>
      </c>
      <c r="W2370" t="s">
        <v>26009</v>
      </c>
    </row>
    <row r="2371" spans="1:23" x14ac:dyDescent="0.35">
      <c r="A2371">
        <v>557140</v>
      </c>
      <c r="B2371" t="s">
        <v>34832</v>
      </c>
      <c r="C2371" t="str">
        <f>"9780691159645"</f>
        <v>9780691159645</v>
      </c>
      <c r="D2371" t="str">
        <f>"9781400836680"</f>
        <v>9781400836680</v>
      </c>
      <c r="E2371" t="s">
        <v>33468</v>
      </c>
      <c r="F2371" t="s">
        <v>7517</v>
      </c>
      <c r="G2371" t="s">
        <v>23592</v>
      </c>
      <c r="H2371" t="s">
        <v>26004</v>
      </c>
      <c r="I2371" s="26">
        <v>40426</v>
      </c>
      <c r="J2371">
        <v>2010</v>
      </c>
      <c r="K2371" t="s">
        <v>7517</v>
      </c>
      <c r="L2371">
        <v>165</v>
      </c>
      <c r="M2371" t="s">
        <v>34833</v>
      </c>
      <c r="N2371">
        <v>1</v>
      </c>
      <c r="Q2371" t="s">
        <v>34834</v>
      </c>
      <c r="R2371">
        <v>303.37209730000001</v>
      </c>
      <c r="T2371" t="s">
        <v>30</v>
      </c>
      <c r="U2371" t="s">
        <v>26044</v>
      </c>
      <c r="W2371" t="s">
        <v>28347</v>
      </c>
    </row>
    <row r="2372" spans="1:23" x14ac:dyDescent="0.35">
      <c r="A2372">
        <v>557245</v>
      </c>
      <c r="B2372" t="s">
        <v>34835</v>
      </c>
      <c r="C2372" t="str">
        <f>"9780415499132"</f>
        <v>9780415499132</v>
      </c>
      <c r="D2372" t="str">
        <f>"9780203849149"</f>
        <v>9780203849149</v>
      </c>
      <c r="E2372" t="s">
        <v>26010</v>
      </c>
      <c r="F2372" t="s">
        <v>35</v>
      </c>
      <c r="G2372" t="s">
        <v>22174</v>
      </c>
      <c r="H2372" t="s">
        <v>26011</v>
      </c>
      <c r="I2372" s="26">
        <v>40408</v>
      </c>
      <c r="J2372">
        <v>2011</v>
      </c>
      <c r="K2372" t="s">
        <v>26012</v>
      </c>
      <c r="L2372">
        <v>282</v>
      </c>
      <c r="M2372" t="s">
        <v>34836</v>
      </c>
      <c r="N2372">
        <v>1</v>
      </c>
      <c r="Q2372" t="s">
        <v>34837</v>
      </c>
      <c r="R2372" t="s">
        <v>34838</v>
      </c>
      <c r="S2372" t="s">
        <v>8691</v>
      </c>
      <c r="T2372" t="s">
        <v>30</v>
      </c>
      <c r="U2372" t="s">
        <v>26019</v>
      </c>
      <c r="W2372" t="s">
        <v>26009</v>
      </c>
    </row>
    <row r="2373" spans="1:23" x14ac:dyDescent="0.35">
      <c r="A2373">
        <v>557271</v>
      </c>
      <c r="B2373" t="s">
        <v>9901</v>
      </c>
      <c r="C2373" t="str">
        <f>"9780415551090"</f>
        <v>9780415551090</v>
      </c>
      <c r="D2373" t="str">
        <f>"9780203849736"</f>
        <v>9780203849736</v>
      </c>
      <c r="E2373" t="s">
        <v>26010</v>
      </c>
      <c r="F2373" t="s">
        <v>35</v>
      </c>
      <c r="G2373" t="s">
        <v>22174</v>
      </c>
      <c r="H2373" t="s">
        <v>26011</v>
      </c>
      <c r="I2373" s="26">
        <v>40406</v>
      </c>
      <c r="J2373">
        <v>2010</v>
      </c>
      <c r="K2373" t="s">
        <v>26012</v>
      </c>
      <c r="L2373">
        <v>158</v>
      </c>
      <c r="M2373" t="s">
        <v>34839</v>
      </c>
      <c r="N2373">
        <v>1</v>
      </c>
      <c r="O2373" t="s">
        <v>34840</v>
      </c>
      <c r="Q2373" t="s">
        <v>34841</v>
      </c>
      <c r="R2373">
        <v>306.09500000000003</v>
      </c>
      <c r="S2373" t="s">
        <v>34842</v>
      </c>
      <c r="T2373" t="s">
        <v>30</v>
      </c>
      <c r="U2373" t="s">
        <v>26044</v>
      </c>
      <c r="W2373" t="s">
        <v>26009</v>
      </c>
    </row>
    <row r="2374" spans="1:23" x14ac:dyDescent="0.35">
      <c r="A2374">
        <v>557286</v>
      </c>
      <c r="B2374" t="s">
        <v>34843</v>
      </c>
      <c r="C2374" t="str">
        <f>"9780415567480"</f>
        <v>9780415567480</v>
      </c>
      <c r="D2374" t="str">
        <f>"9780203860281"</f>
        <v>9780203860281</v>
      </c>
      <c r="E2374" t="s">
        <v>26010</v>
      </c>
      <c r="F2374" t="s">
        <v>35</v>
      </c>
      <c r="G2374" t="s">
        <v>22174</v>
      </c>
      <c r="H2374" t="s">
        <v>26011</v>
      </c>
      <c r="I2374" s="26">
        <v>40409</v>
      </c>
      <c r="J2374">
        <v>2011</v>
      </c>
      <c r="K2374" t="s">
        <v>26012</v>
      </c>
      <c r="L2374">
        <v>273</v>
      </c>
      <c r="M2374" t="s">
        <v>34844</v>
      </c>
      <c r="N2374">
        <v>1</v>
      </c>
      <c r="Q2374" t="s">
        <v>34845</v>
      </c>
      <c r="R2374">
        <v>301.01</v>
      </c>
      <c r="S2374" t="s">
        <v>184</v>
      </c>
      <c r="T2374" t="s">
        <v>30</v>
      </c>
      <c r="U2374" t="s">
        <v>26044</v>
      </c>
      <c r="W2374" t="s">
        <v>26159</v>
      </c>
    </row>
    <row r="2375" spans="1:23" x14ac:dyDescent="0.35">
      <c r="A2375">
        <v>557301</v>
      </c>
      <c r="B2375" t="s">
        <v>34846</v>
      </c>
      <c r="C2375" t="str">
        <f>"9780415451895"</f>
        <v>9780415451895</v>
      </c>
      <c r="D2375" t="str">
        <f>"9780203849200"</f>
        <v>9780203849200</v>
      </c>
      <c r="E2375" t="s">
        <v>26010</v>
      </c>
      <c r="F2375" t="s">
        <v>35</v>
      </c>
      <c r="G2375" t="s">
        <v>22174</v>
      </c>
      <c r="H2375" t="s">
        <v>26011</v>
      </c>
      <c r="I2375" s="26">
        <v>40408</v>
      </c>
      <c r="J2375">
        <v>2010</v>
      </c>
      <c r="K2375" t="s">
        <v>26012</v>
      </c>
      <c r="L2375">
        <v>321</v>
      </c>
      <c r="M2375" t="s">
        <v>34847</v>
      </c>
      <c r="N2375">
        <v>1</v>
      </c>
      <c r="O2375" t="s">
        <v>34848</v>
      </c>
      <c r="Q2375" t="s">
        <v>34849</v>
      </c>
      <c r="R2375">
        <v>306.76620951000001</v>
      </c>
      <c r="S2375" t="s">
        <v>7830</v>
      </c>
      <c r="T2375" t="s">
        <v>30</v>
      </c>
      <c r="U2375" t="s">
        <v>26044</v>
      </c>
      <c r="W2375" t="s">
        <v>26009</v>
      </c>
    </row>
    <row r="2376" spans="1:23" x14ac:dyDescent="0.35">
      <c r="A2376">
        <v>557317</v>
      </c>
      <c r="B2376" t="s">
        <v>9283</v>
      </c>
      <c r="C2376" t="str">
        <f>"9780415774475"</f>
        <v>9780415774475</v>
      </c>
      <c r="D2376" t="str">
        <f>"9780203846513"</f>
        <v>9780203846513</v>
      </c>
      <c r="E2376" t="s">
        <v>26010</v>
      </c>
      <c r="F2376" t="s">
        <v>35</v>
      </c>
      <c r="G2376" t="s">
        <v>22174</v>
      </c>
      <c r="H2376" t="s">
        <v>26011</v>
      </c>
      <c r="I2376" s="26">
        <v>40417</v>
      </c>
      <c r="J2376">
        <v>2011</v>
      </c>
      <c r="K2376" t="s">
        <v>26012</v>
      </c>
      <c r="L2376">
        <v>185</v>
      </c>
      <c r="M2376" t="s">
        <v>32198</v>
      </c>
      <c r="N2376">
        <v>1</v>
      </c>
      <c r="O2376" t="s">
        <v>34850</v>
      </c>
      <c r="Q2376" t="s">
        <v>34851</v>
      </c>
      <c r="R2376">
        <v>616.89</v>
      </c>
      <c r="S2376" t="s">
        <v>8110</v>
      </c>
      <c r="T2376" t="s">
        <v>30</v>
      </c>
      <c r="U2376" t="s">
        <v>26116</v>
      </c>
      <c r="W2376" t="s">
        <v>26009</v>
      </c>
    </row>
    <row r="2377" spans="1:23" x14ac:dyDescent="0.35">
      <c r="A2377">
        <v>557320</v>
      </c>
      <c r="B2377" t="s">
        <v>34852</v>
      </c>
      <c r="C2377" t="str">
        <f>"9780415558815"</f>
        <v>9780415558815</v>
      </c>
      <c r="D2377" t="str">
        <f>"9780203851999"</f>
        <v>9780203851999</v>
      </c>
      <c r="E2377" t="s">
        <v>26010</v>
      </c>
      <c r="F2377" t="s">
        <v>35</v>
      </c>
      <c r="G2377" t="s">
        <v>22174</v>
      </c>
      <c r="H2377" t="s">
        <v>26011</v>
      </c>
      <c r="I2377" s="26">
        <v>40417</v>
      </c>
      <c r="J2377">
        <v>2011</v>
      </c>
      <c r="K2377" t="s">
        <v>26012</v>
      </c>
      <c r="L2377">
        <v>152</v>
      </c>
      <c r="M2377" t="s">
        <v>34853</v>
      </c>
      <c r="N2377">
        <v>1</v>
      </c>
      <c r="Q2377" t="s">
        <v>34854</v>
      </c>
      <c r="R2377" t="s">
        <v>26603</v>
      </c>
      <c r="S2377" t="s">
        <v>9433</v>
      </c>
      <c r="T2377" t="s">
        <v>30</v>
      </c>
      <c r="U2377" t="s">
        <v>30253</v>
      </c>
      <c r="W2377" t="s">
        <v>26009</v>
      </c>
    </row>
    <row r="2378" spans="1:23" x14ac:dyDescent="0.35">
      <c r="A2378">
        <v>557322</v>
      </c>
      <c r="B2378" t="s">
        <v>34855</v>
      </c>
      <c r="C2378" t="str">
        <f>"9780415408752"</f>
        <v>9780415408752</v>
      </c>
      <c r="D2378" t="str">
        <f>"9780203841044"</f>
        <v>9780203841044</v>
      </c>
      <c r="E2378" t="s">
        <v>26010</v>
      </c>
      <c r="F2378" t="s">
        <v>35</v>
      </c>
      <c r="G2378" t="s">
        <v>22174</v>
      </c>
      <c r="H2378" t="s">
        <v>26004</v>
      </c>
      <c r="I2378" s="26">
        <v>40417</v>
      </c>
      <c r="J2378">
        <v>2011</v>
      </c>
      <c r="K2378" t="s">
        <v>26012</v>
      </c>
      <c r="L2378">
        <v>209</v>
      </c>
      <c r="M2378" t="s">
        <v>34856</v>
      </c>
      <c r="N2378">
        <v>1</v>
      </c>
      <c r="Q2378" t="s">
        <v>34857</v>
      </c>
      <c r="R2378">
        <v>616.86099999999999</v>
      </c>
      <c r="S2378" t="s">
        <v>32220</v>
      </c>
      <c r="T2378" t="s">
        <v>30</v>
      </c>
      <c r="U2378" t="s">
        <v>26019</v>
      </c>
      <c r="W2378" t="s">
        <v>26009</v>
      </c>
    </row>
    <row r="2379" spans="1:23" x14ac:dyDescent="0.35">
      <c r="A2379">
        <v>557566</v>
      </c>
      <c r="B2379" t="s">
        <v>34858</v>
      </c>
      <c r="C2379" t="str">
        <f>"9780226260150"</f>
        <v>9780226260150</v>
      </c>
      <c r="D2379" t="str">
        <f>"9780226260259"</f>
        <v>9780226260259</v>
      </c>
      <c r="E2379" t="s">
        <v>550</v>
      </c>
      <c r="F2379" t="s">
        <v>550</v>
      </c>
      <c r="G2379" t="s">
        <v>22352</v>
      </c>
      <c r="H2379" t="s">
        <v>26004</v>
      </c>
      <c r="I2379" s="26">
        <v>38108</v>
      </c>
      <c r="J2379">
        <v>2004</v>
      </c>
      <c r="K2379" t="s">
        <v>550</v>
      </c>
      <c r="L2379">
        <v>176</v>
      </c>
      <c r="M2379" t="s">
        <v>34859</v>
      </c>
      <c r="N2379">
        <v>1</v>
      </c>
      <c r="Q2379" t="s">
        <v>34860</v>
      </c>
      <c r="R2379" t="s">
        <v>26735</v>
      </c>
      <c r="S2379" t="s">
        <v>34861</v>
      </c>
      <c r="T2379" t="s">
        <v>30</v>
      </c>
      <c r="U2379" t="s">
        <v>26040</v>
      </c>
      <c r="W2379" t="s">
        <v>26009</v>
      </c>
    </row>
    <row r="2380" spans="1:23" x14ac:dyDescent="0.35">
      <c r="A2380">
        <v>564239</v>
      </c>
      <c r="B2380" t="s">
        <v>34862</v>
      </c>
      <c r="C2380" t="str">
        <f>"9781441155566"</f>
        <v>9781441155566</v>
      </c>
      <c r="D2380" t="str">
        <f>"9781441119230"</f>
        <v>9781441119230</v>
      </c>
      <c r="E2380" t="s">
        <v>28336</v>
      </c>
      <c r="F2380" t="s">
        <v>7474</v>
      </c>
      <c r="G2380" t="s">
        <v>22179</v>
      </c>
      <c r="H2380" t="s">
        <v>26004</v>
      </c>
      <c r="I2380" s="26">
        <v>40962</v>
      </c>
      <c r="J2380">
        <v>2010</v>
      </c>
      <c r="K2380" t="s">
        <v>33338</v>
      </c>
      <c r="L2380">
        <v>228</v>
      </c>
      <c r="M2380" t="s">
        <v>34863</v>
      </c>
      <c r="N2380">
        <v>1</v>
      </c>
      <c r="Q2380" t="s">
        <v>34864</v>
      </c>
      <c r="R2380" t="s">
        <v>30236</v>
      </c>
      <c r="S2380" t="s">
        <v>34865</v>
      </c>
      <c r="T2380" t="s">
        <v>30</v>
      </c>
      <c r="U2380" t="s">
        <v>5222</v>
      </c>
      <c r="W2380" t="s">
        <v>28347</v>
      </c>
    </row>
    <row r="2381" spans="1:23" x14ac:dyDescent="0.35">
      <c r="A2381">
        <v>564264</v>
      </c>
      <c r="B2381" t="s">
        <v>9032</v>
      </c>
      <c r="C2381" t="str">
        <f>"9780826484659"</f>
        <v>9780826484659</v>
      </c>
      <c r="D2381" t="str">
        <f>"9781441160034"</f>
        <v>9781441160034</v>
      </c>
      <c r="E2381" t="s">
        <v>31671</v>
      </c>
      <c r="F2381" t="s">
        <v>7760</v>
      </c>
      <c r="G2381" t="s">
        <v>22174</v>
      </c>
      <c r="H2381" t="s">
        <v>26011</v>
      </c>
      <c r="I2381" s="26">
        <v>38657</v>
      </c>
      <c r="J2381">
        <v>2010</v>
      </c>
      <c r="K2381" t="s">
        <v>33338</v>
      </c>
      <c r="L2381">
        <v>206</v>
      </c>
      <c r="M2381" t="s">
        <v>34866</v>
      </c>
      <c r="N2381">
        <v>1</v>
      </c>
      <c r="Q2381" t="s">
        <v>34867</v>
      </c>
      <c r="R2381">
        <v>649.64</v>
      </c>
      <c r="S2381" t="s">
        <v>9033</v>
      </c>
      <c r="T2381" t="s">
        <v>30</v>
      </c>
      <c r="U2381" t="s">
        <v>27319</v>
      </c>
      <c r="W2381" t="s">
        <v>28347</v>
      </c>
    </row>
    <row r="2382" spans="1:23" x14ac:dyDescent="0.35">
      <c r="A2382">
        <v>564405</v>
      </c>
      <c r="B2382" t="s">
        <v>34868</v>
      </c>
      <c r="C2382" t="str">
        <f>"9780521198462"</f>
        <v>9780521198462</v>
      </c>
      <c r="D2382" t="str">
        <f>"9780511799198"</f>
        <v>9780511799198</v>
      </c>
      <c r="E2382" t="s">
        <v>167</v>
      </c>
      <c r="F2382" t="s">
        <v>167</v>
      </c>
      <c r="G2382" t="s">
        <v>22179</v>
      </c>
      <c r="H2382" t="s">
        <v>26004</v>
      </c>
      <c r="I2382" s="26">
        <v>40420</v>
      </c>
      <c r="J2382">
        <v>2010</v>
      </c>
      <c r="K2382" t="s">
        <v>167</v>
      </c>
      <c r="L2382">
        <v>544</v>
      </c>
      <c r="M2382" t="s">
        <v>34869</v>
      </c>
      <c r="N2382">
        <v>1</v>
      </c>
      <c r="Q2382" t="s">
        <v>34870</v>
      </c>
      <c r="R2382">
        <v>362.70972999999998</v>
      </c>
      <c r="S2382" t="s">
        <v>34871</v>
      </c>
      <c r="T2382" t="s">
        <v>30</v>
      </c>
      <c r="U2382" t="s">
        <v>26044</v>
      </c>
      <c r="W2382" t="s">
        <v>26020</v>
      </c>
    </row>
    <row r="2383" spans="1:23" x14ac:dyDescent="0.35">
      <c r="A2383">
        <v>564419</v>
      </c>
      <c r="B2383" t="s">
        <v>9781</v>
      </c>
      <c r="C2383" t="str">
        <f>"9780521856973"</f>
        <v>9780521856973</v>
      </c>
      <c r="D2383" t="str">
        <f>"9780511786679"</f>
        <v>9780511786679</v>
      </c>
      <c r="E2383" t="s">
        <v>167</v>
      </c>
      <c r="F2383" t="s">
        <v>167</v>
      </c>
      <c r="G2383" t="s">
        <v>22218</v>
      </c>
      <c r="H2383" t="s">
        <v>26011</v>
      </c>
      <c r="I2383" s="26">
        <v>40213</v>
      </c>
      <c r="J2383">
        <v>2010</v>
      </c>
      <c r="K2383" t="s">
        <v>167</v>
      </c>
      <c r="L2383">
        <v>454</v>
      </c>
      <c r="M2383" t="s">
        <v>34872</v>
      </c>
      <c r="N2383">
        <v>1</v>
      </c>
      <c r="Q2383" t="s">
        <v>34873</v>
      </c>
      <c r="R2383" t="s">
        <v>30144</v>
      </c>
      <c r="S2383" t="s">
        <v>9782</v>
      </c>
      <c r="T2383" t="s">
        <v>30</v>
      </c>
      <c r="U2383" t="s">
        <v>26116</v>
      </c>
      <c r="W2383" t="s">
        <v>26020</v>
      </c>
    </row>
    <row r="2384" spans="1:23" x14ac:dyDescent="0.35">
      <c r="A2384">
        <v>564827</v>
      </c>
      <c r="B2384" t="s">
        <v>8312</v>
      </c>
      <c r="C2384" t="str">
        <f>"9780340762738"</f>
        <v>9780340762738</v>
      </c>
      <c r="D2384" t="str">
        <f>"9781444118742"</f>
        <v>9781444118742</v>
      </c>
      <c r="E2384" t="s">
        <v>26010</v>
      </c>
      <c r="F2384" t="s">
        <v>35</v>
      </c>
      <c r="G2384" t="s">
        <v>22174</v>
      </c>
      <c r="H2384" t="s">
        <v>26011</v>
      </c>
      <c r="I2384" s="26">
        <v>37364</v>
      </c>
      <c r="J2384">
        <v>2002</v>
      </c>
      <c r="K2384" t="s">
        <v>26012</v>
      </c>
      <c r="L2384">
        <v>241</v>
      </c>
      <c r="M2384" t="s">
        <v>34874</v>
      </c>
      <c r="N2384">
        <v>1</v>
      </c>
      <c r="O2384" t="s">
        <v>34875</v>
      </c>
      <c r="Q2384" t="s">
        <v>34876</v>
      </c>
      <c r="R2384">
        <v>150.1943</v>
      </c>
      <c r="S2384" t="s">
        <v>7964</v>
      </c>
      <c r="T2384" t="s">
        <v>30</v>
      </c>
      <c r="U2384" t="s">
        <v>46</v>
      </c>
      <c r="W2384" t="s">
        <v>26009</v>
      </c>
    </row>
    <row r="2385" spans="1:23" x14ac:dyDescent="0.35">
      <c r="A2385">
        <v>565421</v>
      </c>
      <c r="B2385" t="s">
        <v>34877</v>
      </c>
      <c r="C2385" t="str">
        <f>"9780415874434"</f>
        <v>9780415874434</v>
      </c>
      <c r="D2385" t="str">
        <f>"9780203853115"</f>
        <v>9780203853115</v>
      </c>
      <c r="E2385" t="s">
        <v>26010</v>
      </c>
      <c r="F2385" t="s">
        <v>35</v>
      </c>
      <c r="G2385" t="s">
        <v>26201</v>
      </c>
      <c r="H2385" t="s">
        <v>26004</v>
      </c>
      <c r="I2385" s="26">
        <v>40378</v>
      </c>
      <c r="J2385">
        <v>2011</v>
      </c>
      <c r="K2385" t="s">
        <v>26012</v>
      </c>
      <c r="L2385">
        <v>177</v>
      </c>
      <c r="M2385" t="s">
        <v>34878</v>
      </c>
      <c r="N2385">
        <v>1</v>
      </c>
      <c r="Q2385" t="s">
        <v>34879</v>
      </c>
      <c r="R2385" t="s">
        <v>34880</v>
      </c>
      <c r="S2385" t="s">
        <v>7678</v>
      </c>
      <c r="T2385" t="s">
        <v>30</v>
      </c>
      <c r="U2385" t="s">
        <v>27827</v>
      </c>
      <c r="W2385" t="s">
        <v>26009</v>
      </c>
    </row>
    <row r="2386" spans="1:23" x14ac:dyDescent="0.35">
      <c r="A2386">
        <v>565443</v>
      </c>
      <c r="B2386" t="s">
        <v>8815</v>
      </c>
      <c r="C2386" t="str">
        <f>"9780415879842"</f>
        <v>9780415879842</v>
      </c>
      <c r="D2386" t="str">
        <f>"9780203845004"</f>
        <v>9780203845004</v>
      </c>
      <c r="E2386" t="s">
        <v>26010</v>
      </c>
      <c r="F2386" t="s">
        <v>35</v>
      </c>
      <c r="G2386" t="s">
        <v>22174</v>
      </c>
      <c r="H2386" t="s">
        <v>26011</v>
      </c>
      <c r="I2386" s="26">
        <v>40392</v>
      </c>
      <c r="J2386">
        <v>2011</v>
      </c>
      <c r="K2386" t="s">
        <v>26012</v>
      </c>
      <c r="L2386">
        <v>209</v>
      </c>
      <c r="M2386" t="s">
        <v>34881</v>
      </c>
      <c r="N2386">
        <v>1</v>
      </c>
      <c r="Q2386" t="s">
        <v>34882</v>
      </c>
      <c r="R2386">
        <v>618.92891399999996</v>
      </c>
      <c r="S2386" t="s">
        <v>8816</v>
      </c>
      <c r="T2386" t="s">
        <v>30</v>
      </c>
      <c r="U2386" t="s">
        <v>26116</v>
      </c>
      <c r="W2386" t="s">
        <v>26009</v>
      </c>
    </row>
    <row r="2387" spans="1:23" x14ac:dyDescent="0.35">
      <c r="A2387">
        <v>565716</v>
      </c>
      <c r="B2387" t="s">
        <v>34883</v>
      </c>
      <c r="C2387" t="str">
        <f>"9780817317065"</f>
        <v>9780817317065</v>
      </c>
      <c r="D2387" t="str">
        <f>"9780817383602"</f>
        <v>9780817383602</v>
      </c>
      <c r="E2387" t="s">
        <v>8681</v>
      </c>
      <c r="F2387" t="s">
        <v>8681</v>
      </c>
      <c r="G2387" t="s">
        <v>24716</v>
      </c>
      <c r="H2387" t="s">
        <v>26004</v>
      </c>
      <c r="I2387" s="26">
        <v>40392</v>
      </c>
      <c r="J2387">
        <v>2010</v>
      </c>
      <c r="K2387" t="s">
        <v>8681</v>
      </c>
      <c r="L2387">
        <v>296</v>
      </c>
      <c r="M2387" t="s">
        <v>34884</v>
      </c>
      <c r="N2387">
        <v>1</v>
      </c>
      <c r="O2387" t="s">
        <v>34885</v>
      </c>
      <c r="Q2387" t="s">
        <v>34886</v>
      </c>
      <c r="R2387">
        <v>69.010000000000005</v>
      </c>
      <c r="S2387" t="s">
        <v>34887</v>
      </c>
      <c r="T2387" t="s">
        <v>30</v>
      </c>
      <c r="U2387" t="s">
        <v>34888</v>
      </c>
      <c r="W2387" t="s">
        <v>26009</v>
      </c>
    </row>
    <row r="2388" spans="1:23" x14ac:dyDescent="0.35">
      <c r="A2388">
        <v>566747</v>
      </c>
      <c r="B2388" t="s">
        <v>34889</v>
      </c>
      <c r="C2388" t="str">
        <f>"9780520258297"</f>
        <v>9780520258297</v>
      </c>
      <c r="D2388" t="str">
        <f>"9780520947825"</f>
        <v>9780520947825</v>
      </c>
      <c r="E2388" t="s">
        <v>1612</v>
      </c>
      <c r="F2388" t="s">
        <v>1612</v>
      </c>
      <c r="G2388" t="s">
        <v>22630</v>
      </c>
      <c r="H2388" t="s">
        <v>26004</v>
      </c>
      <c r="I2388" s="26">
        <v>40337</v>
      </c>
      <c r="J2388">
        <v>2010</v>
      </c>
      <c r="K2388" t="s">
        <v>1612</v>
      </c>
      <c r="L2388">
        <v>197</v>
      </c>
      <c r="M2388" t="s">
        <v>34890</v>
      </c>
      <c r="N2388">
        <v>1</v>
      </c>
      <c r="Q2388" t="s">
        <v>34891</v>
      </c>
      <c r="R2388">
        <v>362.29309236807802</v>
      </c>
      <c r="T2388" t="s">
        <v>30</v>
      </c>
      <c r="U2388" t="s">
        <v>26094</v>
      </c>
      <c r="W2388" t="s">
        <v>26009</v>
      </c>
    </row>
    <row r="2389" spans="1:23" x14ac:dyDescent="0.35">
      <c r="A2389">
        <v>566750</v>
      </c>
      <c r="B2389" t="s">
        <v>34892</v>
      </c>
      <c r="C2389" t="str">
        <f>"9780520267138"</f>
        <v>9780520267138</v>
      </c>
      <c r="D2389" t="str">
        <f>"9780520947207"</f>
        <v>9780520947207</v>
      </c>
      <c r="E2389" t="s">
        <v>1612</v>
      </c>
      <c r="F2389" t="s">
        <v>1612</v>
      </c>
      <c r="G2389" t="s">
        <v>22630</v>
      </c>
      <c r="H2389" t="s">
        <v>26004</v>
      </c>
      <c r="I2389" s="26">
        <v>40455</v>
      </c>
      <c r="J2389">
        <v>2010</v>
      </c>
      <c r="K2389" t="s">
        <v>1612</v>
      </c>
      <c r="L2389">
        <v>176</v>
      </c>
      <c r="M2389" t="s">
        <v>34893</v>
      </c>
      <c r="N2389">
        <v>1</v>
      </c>
      <c r="Q2389" t="s">
        <v>34894</v>
      </c>
      <c r="R2389" t="s">
        <v>29884</v>
      </c>
      <c r="S2389" t="s">
        <v>34895</v>
      </c>
      <c r="T2389" t="s">
        <v>30</v>
      </c>
      <c r="U2389" t="s">
        <v>26044</v>
      </c>
      <c r="W2389" t="s">
        <v>26009</v>
      </c>
    </row>
    <row r="2390" spans="1:23" x14ac:dyDescent="0.35">
      <c r="A2390">
        <v>570365</v>
      </c>
      <c r="B2390" t="s">
        <v>34896</v>
      </c>
      <c r="C2390" t="str">
        <f>"9781606238585"</f>
        <v>9781606238585</v>
      </c>
      <c r="D2390" t="str">
        <f>"9781606238608"</f>
        <v>9781606238608</v>
      </c>
      <c r="E2390" t="s">
        <v>30112</v>
      </c>
      <c r="F2390" t="s">
        <v>7420</v>
      </c>
      <c r="G2390" t="s">
        <v>22179</v>
      </c>
      <c r="H2390" t="s">
        <v>26004</v>
      </c>
      <c r="I2390" s="26">
        <v>40401</v>
      </c>
      <c r="J2390">
        <v>2010</v>
      </c>
      <c r="K2390" t="s">
        <v>30113</v>
      </c>
      <c r="L2390">
        <v>320</v>
      </c>
      <c r="M2390" t="s">
        <v>34897</v>
      </c>
      <c r="N2390">
        <v>1</v>
      </c>
      <c r="Q2390" t="s">
        <v>34898</v>
      </c>
      <c r="R2390">
        <v>1.4</v>
      </c>
      <c r="S2390" t="s">
        <v>34899</v>
      </c>
      <c r="T2390" t="s">
        <v>30</v>
      </c>
      <c r="U2390" t="s">
        <v>34900</v>
      </c>
      <c r="W2390" t="s">
        <v>28347</v>
      </c>
    </row>
    <row r="2391" spans="1:23" x14ac:dyDescent="0.35">
      <c r="A2391">
        <v>570366</v>
      </c>
      <c r="B2391" t="s">
        <v>34901</v>
      </c>
      <c r="C2391" t="str">
        <f>"9781606238738"</f>
        <v>9781606238738</v>
      </c>
      <c r="D2391" t="str">
        <f>"9781606238882"</f>
        <v>9781606238882</v>
      </c>
      <c r="E2391" t="s">
        <v>30112</v>
      </c>
      <c r="F2391" t="s">
        <v>7420</v>
      </c>
      <c r="G2391" t="s">
        <v>22179</v>
      </c>
      <c r="H2391" t="s">
        <v>26004</v>
      </c>
      <c r="I2391" s="26">
        <v>40401</v>
      </c>
      <c r="J2391">
        <v>2010</v>
      </c>
      <c r="K2391" t="s">
        <v>30113</v>
      </c>
      <c r="L2391">
        <v>385</v>
      </c>
      <c r="M2391" t="s">
        <v>34902</v>
      </c>
      <c r="N2391">
        <v>1</v>
      </c>
      <c r="Q2391" t="s">
        <v>34903</v>
      </c>
      <c r="R2391" t="s">
        <v>27122</v>
      </c>
      <c r="S2391" t="s">
        <v>34904</v>
      </c>
      <c r="T2391" t="s">
        <v>30</v>
      </c>
      <c r="U2391" t="s">
        <v>26116</v>
      </c>
      <c r="W2391" t="s">
        <v>28347</v>
      </c>
    </row>
    <row r="2392" spans="1:23" x14ac:dyDescent="0.35">
      <c r="A2392">
        <v>574451</v>
      </c>
      <c r="B2392" t="s">
        <v>34905</v>
      </c>
      <c r="C2392" t="str">
        <f>"9780691146904"</f>
        <v>9780691146904</v>
      </c>
      <c r="D2392" t="str">
        <f>"9781400836666"</f>
        <v>9781400836666</v>
      </c>
      <c r="E2392" t="s">
        <v>33468</v>
      </c>
      <c r="F2392" t="s">
        <v>7517</v>
      </c>
      <c r="G2392" t="s">
        <v>23592</v>
      </c>
      <c r="H2392" t="s">
        <v>26004</v>
      </c>
      <c r="I2392" s="26">
        <v>40468</v>
      </c>
      <c r="J2392">
        <v>2010</v>
      </c>
      <c r="K2392" t="s">
        <v>7517</v>
      </c>
      <c r="L2392">
        <v>172</v>
      </c>
      <c r="M2392" t="s">
        <v>34906</v>
      </c>
      <c r="N2392">
        <v>1</v>
      </c>
      <c r="Q2392" t="s">
        <v>34907</v>
      </c>
      <c r="R2392" t="s">
        <v>27740</v>
      </c>
      <c r="T2392" t="s">
        <v>30</v>
      </c>
      <c r="U2392" t="s">
        <v>26170</v>
      </c>
      <c r="W2392" t="s">
        <v>28347</v>
      </c>
    </row>
    <row r="2393" spans="1:23" x14ac:dyDescent="0.35">
      <c r="A2393">
        <v>574502</v>
      </c>
      <c r="B2393" t="s">
        <v>34908</v>
      </c>
      <c r="C2393" t="str">
        <f>"9780415878043"</f>
        <v>9780415878043</v>
      </c>
      <c r="D2393" t="str">
        <f>"9780203854990"</f>
        <v>9780203854990</v>
      </c>
      <c r="E2393" t="s">
        <v>26010</v>
      </c>
      <c r="F2393" t="s">
        <v>35</v>
      </c>
      <c r="G2393" t="s">
        <v>22174</v>
      </c>
      <c r="H2393" t="s">
        <v>26011</v>
      </c>
      <c r="I2393" s="26">
        <v>40413</v>
      </c>
      <c r="J2393">
        <v>2011</v>
      </c>
      <c r="K2393" t="s">
        <v>26012</v>
      </c>
      <c r="L2393">
        <v>277</v>
      </c>
      <c r="M2393" t="s">
        <v>34909</v>
      </c>
      <c r="N2393">
        <v>1</v>
      </c>
      <c r="Q2393" t="s">
        <v>34910</v>
      </c>
      <c r="R2393">
        <v>320.01900000000001</v>
      </c>
      <c r="S2393" t="s">
        <v>9043</v>
      </c>
      <c r="T2393" t="s">
        <v>30</v>
      </c>
      <c r="U2393" t="s">
        <v>5222</v>
      </c>
      <c r="W2393" t="s">
        <v>26009</v>
      </c>
    </row>
    <row r="2394" spans="1:23" x14ac:dyDescent="0.35">
      <c r="A2394">
        <v>574507</v>
      </c>
      <c r="B2394" t="s">
        <v>34911</v>
      </c>
      <c r="C2394" t="str">
        <f>"9781848728400"</f>
        <v>9781848728400</v>
      </c>
      <c r="D2394" t="str">
        <f>"9780203852927"</f>
        <v>9780203852927</v>
      </c>
      <c r="E2394" t="s">
        <v>26010</v>
      </c>
      <c r="F2394" t="s">
        <v>35</v>
      </c>
      <c r="G2394" t="s">
        <v>22267</v>
      </c>
      <c r="H2394" t="s">
        <v>26011</v>
      </c>
      <c r="I2394" s="26">
        <v>40280</v>
      </c>
      <c r="J2394">
        <v>2010</v>
      </c>
      <c r="K2394" t="s">
        <v>660</v>
      </c>
      <c r="L2394">
        <v>386</v>
      </c>
      <c r="M2394" t="s">
        <v>34912</v>
      </c>
      <c r="N2394">
        <v>1</v>
      </c>
      <c r="Q2394" t="s">
        <v>34913</v>
      </c>
      <c r="R2394">
        <v>362.76</v>
      </c>
      <c r="S2394" t="s">
        <v>9526</v>
      </c>
      <c r="T2394" t="s">
        <v>30</v>
      </c>
      <c r="U2394" t="s">
        <v>26044</v>
      </c>
      <c r="W2394" t="s">
        <v>26009</v>
      </c>
    </row>
    <row r="2395" spans="1:23" x14ac:dyDescent="0.35">
      <c r="A2395">
        <v>574511</v>
      </c>
      <c r="B2395" t="s">
        <v>34914</v>
      </c>
      <c r="C2395" t="str">
        <f>"9780415494281"</f>
        <v>9780415494281</v>
      </c>
      <c r="D2395" t="str">
        <f>"9780203844755"</f>
        <v>9780203844755</v>
      </c>
      <c r="E2395" t="s">
        <v>26010</v>
      </c>
      <c r="F2395" t="s">
        <v>35</v>
      </c>
      <c r="G2395" t="s">
        <v>22174</v>
      </c>
      <c r="H2395" t="s">
        <v>26011</v>
      </c>
      <c r="I2395" s="26">
        <v>40438</v>
      </c>
      <c r="J2395">
        <v>2011</v>
      </c>
      <c r="K2395" t="s">
        <v>26012</v>
      </c>
      <c r="L2395">
        <v>221</v>
      </c>
      <c r="M2395" t="s">
        <v>34915</v>
      </c>
      <c r="N2395">
        <v>1</v>
      </c>
      <c r="Q2395" t="s">
        <v>34916</v>
      </c>
      <c r="R2395" t="s">
        <v>26933</v>
      </c>
      <c r="S2395" t="s">
        <v>9094</v>
      </c>
      <c r="T2395" t="s">
        <v>30</v>
      </c>
      <c r="U2395" t="s">
        <v>26019</v>
      </c>
      <c r="W2395" t="s">
        <v>26009</v>
      </c>
    </row>
    <row r="2396" spans="1:23" x14ac:dyDescent="0.35">
      <c r="A2396">
        <v>574570</v>
      </c>
      <c r="B2396" t="s">
        <v>34917</v>
      </c>
      <c r="C2396" t="str">
        <f>"9780415570510"</f>
        <v>9780415570510</v>
      </c>
      <c r="D2396" t="str">
        <f>"9780203841075"</f>
        <v>9780203841075</v>
      </c>
      <c r="E2396" t="s">
        <v>26010</v>
      </c>
      <c r="F2396" t="s">
        <v>35</v>
      </c>
      <c r="G2396" t="s">
        <v>22174</v>
      </c>
      <c r="H2396" t="s">
        <v>26011</v>
      </c>
      <c r="I2396" s="26">
        <v>40448</v>
      </c>
      <c r="J2396">
        <v>2011</v>
      </c>
      <c r="K2396" t="s">
        <v>26012</v>
      </c>
      <c r="L2396">
        <v>220</v>
      </c>
      <c r="M2396" t="s">
        <v>34918</v>
      </c>
      <c r="N2396">
        <v>1</v>
      </c>
      <c r="Q2396" t="s">
        <v>34919</v>
      </c>
      <c r="R2396" t="s">
        <v>34920</v>
      </c>
      <c r="S2396" t="s">
        <v>7456</v>
      </c>
      <c r="T2396" t="s">
        <v>30</v>
      </c>
      <c r="U2396" t="s">
        <v>26019</v>
      </c>
      <c r="W2396" t="s">
        <v>26009</v>
      </c>
    </row>
    <row r="2397" spans="1:23" x14ac:dyDescent="0.35">
      <c r="A2397">
        <v>574592</v>
      </c>
      <c r="B2397" t="s">
        <v>34921</v>
      </c>
      <c r="C2397" t="str">
        <f>"9780415493154"</f>
        <v>9780415493154</v>
      </c>
      <c r="D2397" t="str">
        <f>"9780203840900"</f>
        <v>9780203840900</v>
      </c>
      <c r="E2397" t="s">
        <v>26010</v>
      </c>
      <c r="F2397" t="s">
        <v>35</v>
      </c>
      <c r="G2397" t="s">
        <v>22174</v>
      </c>
      <c r="H2397" t="s">
        <v>26011</v>
      </c>
      <c r="I2397" s="26">
        <v>40417</v>
      </c>
      <c r="J2397">
        <v>2010</v>
      </c>
      <c r="K2397" t="s">
        <v>26012</v>
      </c>
      <c r="L2397">
        <v>246</v>
      </c>
      <c r="M2397" t="s">
        <v>34922</v>
      </c>
      <c r="N2397">
        <v>1</v>
      </c>
      <c r="Q2397" t="s">
        <v>34923</v>
      </c>
      <c r="R2397">
        <v>150.19540000000001</v>
      </c>
      <c r="S2397" t="s">
        <v>7751</v>
      </c>
      <c r="T2397" t="s">
        <v>30</v>
      </c>
      <c r="U2397" t="s">
        <v>46</v>
      </c>
      <c r="W2397" t="s">
        <v>26009</v>
      </c>
    </row>
    <row r="2398" spans="1:23" x14ac:dyDescent="0.35">
      <c r="A2398">
        <v>574670</v>
      </c>
      <c r="B2398" t="s">
        <v>34924</v>
      </c>
      <c r="C2398" t="str">
        <f>"9780415558921"</f>
        <v>9780415558921</v>
      </c>
      <c r="D2398" t="str">
        <f>"9780203841068"</f>
        <v>9780203841068</v>
      </c>
      <c r="E2398" t="s">
        <v>26010</v>
      </c>
      <c r="F2398" t="s">
        <v>35</v>
      </c>
      <c r="G2398" t="s">
        <v>22174</v>
      </c>
      <c r="H2398" t="s">
        <v>26011</v>
      </c>
      <c r="I2398" s="26">
        <v>40458</v>
      </c>
      <c r="J2398">
        <v>2011</v>
      </c>
      <c r="K2398" t="s">
        <v>26012</v>
      </c>
      <c r="L2398">
        <v>349</v>
      </c>
      <c r="M2398" t="s">
        <v>26962</v>
      </c>
      <c r="N2398">
        <v>1</v>
      </c>
      <c r="Q2398" t="s">
        <v>34925</v>
      </c>
      <c r="R2398" t="s">
        <v>27184</v>
      </c>
      <c r="S2398" t="s">
        <v>9041</v>
      </c>
      <c r="T2398" t="s">
        <v>30</v>
      </c>
      <c r="U2398" t="s">
        <v>26019</v>
      </c>
      <c r="W2398" t="s">
        <v>26009</v>
      </c>
    </row>
    <row r="2399" spans="1:23" x14ac:dyDescent="0.35">
      <c r="A2399">
        <v>574767</v>
      </c>
      <c r="B2399" t="s">
        <v>34926</v>
      </c>
      <c r="C2399" t="str">
        <f>"9780226581453"</f>
        <v>9780226581453</v>
      </c>
      <c r="D2399" t="str">
        <f>"9780226581477"</f>
        <v>9780226581477</v>
      </c>
      <c r="E2399" t="s">
        <v>550</v>
      </c>
      <c r="F2399" t="s">
        <v>550</v>
      </c>
      <c r="G2399" t="s">
        <v>22352</v>
      </c>
      <c r="H2399" t="s">
        <v>26004</v>
      </c>
      <c r="I2399" s="26">
        <v>35217</v>
      </c>
      <c r="J2399">
        <v>1996</v>
      </c>
      <c r="K2399" t="s">
        <v>550</v>
      </c>
      <c r="L2399">
        <v>345</v>
      </c>
      <c r="M2399" t="s">
        <v>34927</v>
      </c>
      <c r="N2399">
        <v>1</v>
      </c>
      <c r="Q2399" t="s">
        <v>34928</v>
      </c>
      <c r="R2399" t="s">
        <v>34929</v>
      </c>
      <c r="S2399" t="s">
        <v>9910</v>
      </c>
      <c r="T2399" t="s">
        <v>30</v>
      </c>
      <c r="U2399" t="s">
        <v>26044</v>
      </c>
      <c r="W2399" t="s">
        <v>26009</v>
      </c>
    </row>
    <row r="2400" spans="1:23" x14ac:dyDescent="0.35">
      <c r="A2400">
        <v>578613</v>
      </c>
      <c r="B2400" t="s">
        <v>34930</v>
      </c>
      <c r="C2400" t="str">
        <f>"9780313385735"</f>
        <v>9780313385735</v>
      </c>
      <c r="D2400" t="str">
        <f>"9780313385742"</f>
        <v>9780313385742</v>
      </c>
      <c r="E2400" t="s">
        <v>28336</v>
      </c>
      <c r="F2400" t="s">
        <v>28340</v>
      </c>
      <c r="G2400" t="s">
        <v>22179</v>
      </c>
      <c r="H2400" t="s">
        <v>26004</v>
      </c>
      <c r="I2400" s="26">
        <v>40409</v>
      </c>
      <c r="J2400">
        <v>2010</v>
      </c>
      <c r="K2400" t="s">
        <v>28341</v>
      </c>
      <c r="L2400">
        <v>201</v>
      </c>
      <c r="N2400">
        <v>1</v>
      </c>
      <c r="O2400" t="s">
        <v>34931</v>
      </c>
      <c r="Q2400" t="s">
        <v>34932</v>
      </c>
      <c r="R2400">
        <v>155.30000000000001</v>
      </c>
      <c r="S2400" t="s">
        <v>34933</v>
      </c>
      <c r="T2400" t="s">
        <v>30</v>
      </c>
      <c r="U2400" t="s">
        <v>46</v>
      </c>
      <c r="W2400" t="s">
        <v>28347</v>
      </c>
    </row>
    <row r="2401" spans="1:23" x14ac:dyDescent="0.35">
      <c r="A2401">
        <v>578981</v>
      </c>
      <c r="B2401" t="s">
        <v>34934</v>
      </c>
      <c r="C2401" t="str">
        <f>"9781566396714"</f>
        <v>9781566396714</v>
      </c>
      <c r="D2401" t="str">
        <f>"9781592138074"</f>
        <v>9781592138074</v>
      </c>
      <c r="E2401" t="s">
        <v>7659</v>
      </c>
      <c r="F2401" t="s">
        <v>7659</v>
      </c>
      <c r="G2401" t="s">
        <v>22190</v>
      </c>
      <c r="H2401" t="s">
        <v>26004</v>
      </c>
      <c r="I2401" s="26">
        <v>36208</v>
      </c>
      <c r="J2401">
        <v>1999</v>
      </c>
      <c r="K2401" t="s">
        <v>7659</v>
      </c>
      <c r="L2401">
        <v>256</v>
      </c>
      <c r="M2401" t="s">
        <v>34935</v>
      </c>
      <c r="N2401">
        <v>1</v>
      </c>
      <c r="Q2401" t="s">
        <v>34936</v>
      </c>
      <c r="T2401" t="s">
        <v>30</v>
      </c>
      <c r="U2401" t="s">
        <v>26044</v>
      </c>
      <c r="W2401" t="s">
        <v>26009</v>
      </c>
    </row>
    <row r="2402" spans="1:23" x14ac:dyDescent="0.35">
      <c r="A2402">
        <v>579112</v>
      </c>
      <c r="B2402" t="s">
        <v>34937</v>
      </c>
      <c r="C2402" t="str">
        <f>"9781842779118"</f>
        <v>9781842779118</v>
      </c>
      <c r="D2402" t="str">
        <f>"9781848138353"</f>
        <v>9781848138353</v>
      </c>
      <c r="E2402" t="s">
        <v>31671</v>
      </c>
      <c r="F2402" t="s">
        <v>7474</v>
      </c>
      <c r="G2402" t="s">
        <v>22174</v>
      </c>
      <c r="H2402" t="s">
        <v>26011</v>
      </c>
      <c r="I2402" s="26">
        <v>40339</v>
      </c>
      <c r="J2402">
        <v>2010</v>
      </c>
      <c r="K2402" t="s">
        <v>31672</v>
      </c>
      <c r="L2402">
        <v>184</v>
      </c>
      <c r="M2402" t="s">
        <v>34938</v>
      </c>
      <c r="N2402">
        <v>1</v>
      </c>
      <c r="O2402" t="s">
        <v>34939</v>
      </c>
      <c r="Q2402" t="s">
        <v>34940</v>
      </c>
      <c r="R2402">
        <v>338.91</v>
      </c>
      <c r="S2402" t="s">
        <v>34941</v>
      </c>
      <c r="T2402" t="s">
        <v>30</v>
      </c>
      <c r="U2402" t="s">
        <v>33432</v>
      </c>
      <c r="W2402" t="s">
        <v>28347</v>
      </c>
    </row>
    <row r="2403" spans="1:23" x14ac:dyDescent="0.35">
      <c r="A2403">
        <v>581066</v>
      </c>
      <c r="B2403" t="s">
        <v>34942</v>
      </c>
      <c r="C2403" t="str">
        <f>"9780521132374"</f>
        <v>9780521132374</v>
      </c>
      <c r="D2403" t="str">
        <f>"9780511906749"</f>
        <v>9780511906749</v>
      </c>
      <c r="E2403" t="s">
        <v>167</v>
      </c>
      <c r="F2403" t="s">
        <v>167</v>
      </c>
      <c r="G2403" t="s">
        <v>22218</v>
      </c>
      <c r="H2403" t="s">
        <v>26011</v>
      </c>
      <c r="I2403" s="26">
        <v>40451</v>
      </c>
      <c r="J2403">
        <v>2010</v>
      </c>
      <c r="K2403" t="s">
        <v>167</v>
      </c>
      <c r="L2403">
        <v>278</v>
      </c>
      <c r="M2403" t="s">
        <v>34943</v>
      </c>
      <c r="N2403">
        <v>5</v>
      </c>
      <c r="Q2403" t="s">
        <v>34944</v>
      </c>
      <c r="R2403" t="s">
        <v>34945</v>
      </c>
      <c r="S2403" t="s">
        <v>34946</v>
      </c>
      <c r="T2403" t="s">
        <v>30</v>
      </c>
      <c r="U2403" t="s">
        <v>26116</v>
      </c>
      <c r="W2403" t="s">
        <v>26020</v>
      </c>
    </row>
    <row r="2404" spans="1:23" x14ac:dyDescent="0.35">
      <c r="A2404">
        <v>581403</v>
      </c>
      <c r="B2404" t="s">
        <v>34947</v>
      </c>
      <c r="C2404" t="str">
        <f>""</f>
        <v/>
      </c>
      <c r="D2404" t="str">
        <f>"9780857241184"</f>
        <v>9780857241184</v>
      </c>
      <c r="E2404" t="s">
        <v>7442</v>
      </c>
      <c r="F2404" t="s">
        <v>7442</v>
      </c>
      <c r="G2404" t="s">
        <v>22261</v>
      </c>
      <c r="H2404" t="s">
        <v>26011</v>
      </c>
      <c r="I2404" s="26">
        <v>40408</v>
      </c>
      <c r="J2404">
        <v>2010</v>
      </c>
      <c r="K2404" t="s">
        <v>7442</v>
      </c>
      <c r="L2404">
        <v>368</v>
      </c>
      <c r="M2404" t="s">
        <v>34948</v>
      </c>
      <c r="N2404">
        <v>1</v>
      </c>
      <c r="O2404" t="s">
        <v>34949</v>
      </c>
      <c r="P2404">
        <v>30</v>
      </c>
      <c r="Q2404" t="s">
        <v>34950</v>
      </c>
      <c r="R2404">
        <v>306.3</v>
      </c>
      <c r="S2404" t="s">
        <v>34951</v>
      </c>
      <c r="T2404" t="s">
        <v>30</v>
      </c>
      <c r="U2404" t="s">
        <v>26044</v>
      </c>
      <c r="W2404" t="s">
        <v>33559</v>
      </c>
    </row>
    <row r="2405" spans="1:23" x14ac:dyDescent="0.35">
      <c r="A2405">
        <v>581447</v>
      </c>
      <c r="B2405" t="s">
        <v>34952</v>
      </c>
      <c r="C2405" t="str">
        <f>"9781843109792"</f>
        <v>9781843109792</v>
      </c>
      <c r="D2405" t="str">
        <f>"9780857002112"</f>
        <v>9780857002112</v>
      </c>
      <c r="E2405" t="s">
        <v>146</v>
      </c>
      <c r="F2405" t="s">
        <v>146</v>
      </c>
      <c r="G2405" t="s">
        <v>22174</v>
      </c>
      <c r="H2405" t="s">
        <v>26011</v>
      </c>
      <c r="I2405" s="26">
        <v>40132</v>
      </c>
      <c r="J2405">
        <v>2009</v>
      </c>
      <c r="K2405" t="s">
        <v>146</v>
      </c>
      <c r="L2405">
        <v>212</v>
      </c>
      <c r="M2405" t="s">
        <v>34953</v>
      </c>
      <c r="N2405">
        <v>1</v>
      </c>
      <c r="Q2405" t="s">
        <v>34954</v>
      </c>
      <c r="R2405">
        <v>364.68</v>
      </c>
      <c r="S2405" t="s">
        <v>34955</v>
      </c>
      <c r="T2405" t="s">
        <v>30</v>
      </c>
      <c r="U2405" t="s">
        <v>26044</v>
      </c>
      <c r="W2405" t="s">
        <v>28347</v>
      </c>
    </row>
    <row r="2406" spans="1:23" x14ac:dyDescent="0.35">
      <c r="A2406">
        <v>581448</v>
      </c>
      <c r="B2406" t="s">
        <v>34956</v>
      </c>
      <c r="C2406" t="str">
        <f>"9781843104377"</f>
        <v>9781843104377</v>
      </c>
      <c r="D2406" t="str">
        <f>"9780857003560"</f>
        <v>9780857003560</v>
      </c>
      <c r="E2406" t="s">
        <v>146</v>
      </c>
      <c r="F2406" t="s">
        <v>146</v>
      </c>
      <c r="G2406" t="s">
        <v>22174</v>
      </c>
      <c r="H2406" t="s">
        <v>26011</v>
      </c>
      <c r="I2406" s="26">
        <v>40193</v>
      </c>
      <c r="J2406">
        <v>2010</v>
      </c>
      <c r="K2406" t="s">
        <v>146</v>
      </c>
      <c r="L2406">
        <v>258</v>
      </c>
      <c r="M2406" t="s">
        <v>34957</v>
      </c>
      <c r="N2406">
        <v>1</v>
      </c>
      <c r="O2406" t="s">
        <v>29242</v>
      </c>
      <c r="Q2406" t="s">
        <v>34958</v>
      </c>
      <c r="S2406" t="s">
        <v>34959</v>
      </c>
      <c r="T2406" t="s">
        <v>30</v>
      </c>
      <c r="U2406" t="s">
        <v>26019</v>
      </c>
      <c r="W2406" t="s">
        <v>28347</v>
      </c>
    </row>
    <row r="2407" spans="1:23" x14ac:dyDescent="0.35">
      <c r="A2407">
        <v>581450</v>
      </c>
      <c r="B2407" t="s">
        <v>34960</v>
      </c>
      <c r="C2407" t="str">
        <f>"9781843109822"</f>
        <v>9781843109822</v>
      </c>
      <c r="D2407" t="str">
        <f>"9780857003591"</f>
        <v>9780857003591</v>
      </c>
      <c r="E2407" t="s">
        <v>146</v>
      </c>
      <c r="F2407" t="s">
        <v>146</v>
      </c>
      <c r="G2407" t="s">
        <v>22174</v>
      </c>
      <c r="H2407" t="s">
        <v>26011</v>
      </c>
      <c r="I2407" s="26">
        <v>40193</v>
      </c>
      <c r="J2407">
        <v>2010</v>
      </c>
      <c r="K2407" t="s">
        <v>146</v>
      </c>
      <c r="L2407">
        <v>242</v>
      </c>
      <c r="M2407" t="s">
        <v>34961</v>
      </c>
      <c r="N2407">
        <v>1</v>
      </c>
      <c r="Q2407" t="s">
        <v>34962</v>
      </c>
      <c r="S2407" t="s">
        <v>34963</v>
      </c>
      <c r="T2407" t="s">
        <v>30</v>
      </c>
      <c r="U2407" t="s">
        <v>26044</v>
      </c>
      <c r="W2407" t="s">
        <v>28347</v>
      </c>
    </row>
    <row r="2408" spans="1:23" x14ac:dyDescent="0.35">
      <c r="A2408">
        <v>581452</v>
      </c>
      <c r="B2408" t="s">
        <v>34964</v>
      </c>
      <c r="C2408" t="str">
        <f>"9781843109600"</f>
        <v>9781843109600</v>
      </c>
      <c r="D2408" t="str">
        <f>"9780857003669"</f>
        <v>9780857003669</v>
      </c>
      <c r="E2408" t="s">
        <v>146</v>
      </c>
      <c r="F2408" t="s">
        <v>146</v>
      </c>
      <c r="G2408" t="s">
        <v>22174</v>
      </c>
      <c r="H2408" t="s">
        <v>26011</v>
      </c>
      <c r="I2408" s="26">
        <v>40224</v>
      </c>
      <c r="J2408">
        <v>2010</v>
      </c>
      <c r="K2408" t="s">
        <v>146</v>
      </c>
      <c r="L2408">
        <v>146</v>
      </c>
      <c r="M2408" t="s">
        <v>34965</v>
      </c>
      <c r="N2408">
        <v>1</v>
      </c>
      <c r="Q2408" t="s">
        <v>34966</v>
      </c>
      <c r="R2408">
        <v>155.41800000000001</v>
      </c>
      <c r="S2408" t="s">
        <v>34967</v>
      </c>
      <c r="T2408" t="s">
        <v>30</v>
      </c>
      <c r="U2408" t="s">
        <v>46</v>
      </c>
      <c r="W2408" t="s">
        <v>28347</v>
      </c>
    </row>
    <row r="2409" spans="1:23" x14ac:dyDescent="0.35">
      <c r="A2409">
        <v>581455</v>
      </c>
      <c r="B2409" t="s">
        <v>34968</v>
      </c>
      <c r="C2409" t="str">
        <f>"9781843106968"</f>
        <v>9781843106968</v>
      </c>
      <c r="D2409" t="str">
        <f>"9780857002198"</f>
        <v>9780857002198</v>
      </c>
      <c r="E2409" t="s">
        <v>146</v>
      </c>
      <c r="F2409" t="s">
        <v>146</v>
      </c>
      <c r="G2409" t="s">
        <v>22174</v>
      </c>
      <c r="H2409" t="s">
        <v>26011</v>
      </c>
      <c r="I2409" s="26">
        <v>40162</v>
      </c>
      <c r="J2409">
        <v>2009</v>
      </c>
      <c r="K2409" t="s">
        <v>146</v>
      </c>
      <c r="L2409">
        <v>242</v>
      </c>
      <c r="M2409" t="s">
        <v>34969</v>
      </c>
      <c r="N2409">
        <v>1</v>
      </c>
      <c r="O2409" t="s">
        <v>34970</v>
      </c>
      <c r="Q2409" t="s">
        <v>34971</v>
      </c>
      <c r="R2409">
        <v>362.29</v>
      </c>
      <c r="T2409" t="s">
        <v>30</v>
      </c>
      <c r="U2409" t="s">
        <v>26094</v>
      </c>
      <c r="W2409" t="s">
        <v>28347</v>
      </c>
    </row>
    <row r="2410" spans="1:23" x14ac:dyDescent="0.35">
      <c r="A2410">
        <v>581456</v>
      </c>
      <c r="B2410" t="s">
        <v>34972</v>
      </c>
      <c r="C2410" t="str">
        <f>"9781849050531"</f>
        <v>9781849050531</v>
      </c>
      <c r="D2410" t="str">
        <f>"9780857003645"</f>
        <v>9780857003645</v>
      </c>
      <c r="E2410" t="s">
        <v>146</v>
      </c>
      <c r="F2410" t="s">
        <v>146</v>
      </c>
      <c r="G2410" t="s">
        <v>22174</v>
      </c>
      <c r="H2410" t="s">
        <v>26011</v>
      </c>
      <c r="I2410" s="26">
        <v>40224</v>
      </c>
      <c r="J2410">
        <v>2010</v>
      </c>
      <c r="K2410" t="s">
        <v>146</v>
      </c>
      <c r="L2410">
        <v>180</v>
      </c>
      <c r="M2410" t="s">
        <v>34973</v>
      </c>
      <c r="N2410">
        <v>1</v>
      </c>
      <c r="O2410" t="s">
        <v>34974</v>
      </c>
      <c r="Q2410" t="s">
        <v>34975</v>
      </c>
      <c r="R2410" t="s">
        <v>26957</v>
      </c>
      <c r="T2410" t="s">
        <v>30</v>
      </c>
      <c r="U2410" t="s">
        <v>26019</v>
      </c>
      <c r="W2410" t="s">
        <v>28347</v>
      </c>
    </row>
    <row r="2411" spans="1:23" x14ac:dyDescent="0.35">
      <c r="A2411">
        <v>581461</v>
      </c>
      <c r="B2411" t="s">
        <v>34976</v>
      </c>
      <c r="C2411" t="str">
        <f>"9781843109686"</f>
        <v>9781843109686</v>
      </c>
      <c r="D2411" t="str">
        <f>"9780857003614"</f>
        <v>9780857003614</v>
      </c>
      <c r="E2411" t="s">
        <v>146</v>
      </c>
      <c r="F2411" t="s">
        <v>146</v>
      </c>
      <c r="G2411" t="s">
        <v>22174</v>
      </c>
      <c r="H2411" t="s">
        <v>26011</v>
      </c>
      <c r="I2411" s="26">
        <v>40224</v>
      </c>
      <c r="J2411">
        <v>2010</v>
      </c>
      <c r="K2411" t="s">
        <v>146</v>
      </c>
      <c r="L2411">
        <v>212</v>
      </c>
      <c r="M2411" t="s">
        <v>34977</v>
      </c>
      <c r="N2411">
        <v>1</v>
      </c>
      <c r="Q2411" t="s">
        <v>34978</v>
      </c>
      <c r="R2411">
        <v>201.76219685882</v>
      </c>
      <c r="S2411" t="s">
        <v>34979</v>
      </c>
      <c r="T2411" t="s">
        <v>30</v>
      </c>
      <c r="U2411" t="s">
        <v>34980</v>
      </c>
      <c r="W2411" t="s">
        <v>28347</v>
      </c>
    </row>
    <row r="2412" spans="1:23" x14ac:dyDescent="0.35">
      <c r="A2412">
        <v>581462</v>
      </c>
      <c r="B2412" t="s">
        <v>34981</v>
      </c>
      <c r="C2412" t="str">
        <f>"9781849050135"</f>
        <v>9781849050135</v>
      </c>
      <c r="D2412" t="str">
        <f>"9780857002167"</f>
        <v>9780857002167</v>
      </c>
      <c r="E2412" t="s">
        <v>146</v>
      </c>
      <c r="F2412" t="s">
        <v>146</v>
      </c>
      <c r="G2412" t="s">
        <v>22174</v>
      </c>
      <c r="H2412" t="s">
        <v>26011</v>
      </c>
      <c r="I2412" s="26">
        <v>40132</v>
      </c>
      <c r="J2412">
        <v>2009</v>
      </c>
      <c r="K2412" t="s">
        <v>146</v>
      </c>
      <c r="L2412">
        <v>194</v>
      </c>
      <c r="M2412" t="s">
        <v>34982</v>
      </c>
      <c r="N2412">
        <v>1</v>
      </c>
      <c r="Q2412" t="s">
        <v>34983</v>
      </c>
      <c r="R2412" t="s">
        <v>30821</v>
      </c>
      <c r="S2412" t="s">
        <v>34984</v>
      </c>
      <c r="T2412" t="s">
        <v>30</v>
      </c>
      <c r="U2412" t="s">
        <v>29688</v>
      </c>
      <c r="W2412" t="s">
        <v>28347</v>
      </c>
    </row>
    <row r="2413" spans="1:23" x14ac:dyDescent="0.35">
      <c r="A2413">
        <v>581464</v>
      </c>
      <c r="B2413" t="s">
        <v>34985</v>
      </c>
      <c r="C2413" t="str">
        <f>"9781843109136"</f>
        <v>9781843109136</v>
      </c>
      <c r="D2413" t="str">
        <f>"9780857002181"</f>
        <v>9780857002181</v>
      </c>
      <c r="E2413" t="s">
        <v>146</v>
      </c>
      <c r="F2413" t="s">
        <v>146</v>
      </c>
      <c r="G2413" t="s">
        <v>22174</v>
      </c>
      <c r="H2413" t="s">
        <v>26011</v>
      </c>
      <c r="I2413" s="26">
        <v>40162</v>
      </c>
      <c r="J2413">
        <v>2009</v>
      </c>
      <c r="K2413" t="s">
        <v>146</v>
      </c>
      <c r="L2413">
        <v>244</v>
      </c>
      <c r="M2413" t="s">
        <v>34986</v>
      </c>
      <c r="N2413">
        <v>1</v>
      </c>
      <c r="Q2413" t="s">
        <v>34987</v>
      </c>
      <c r="R2413">
        <v>820.93526999999995</v>
      </c>
      <c r="T2413" t="s">
        <v>30</v>
      </c>
      <c r="U2413" t="s">
        <v>366</v>
      </c>
      <c r="W2413" t="s">
        <v>28347</v>
      </c>
    </row>
    <row r="2414" spans="1:23" x14ac:dyDescent="0.35">
      <c r="A2414">
        <v>581468</v>
      </c>
      <c r="B2414" t="s">
        <v>34988</v>
      </c>
      <c r="C2414" t="str">
        <f>"9781849050203"</f>
        <v>9781849050203</v>
      </c>
      <c r="D2414" t="str">
        <f>"9780857003638"</f>
        <v>9780857003638</v>
      </c>
      <c r="E2414" t="s">
        <v>146</v>
      </c>
      <c r="F2414" t="s">
        <v>146</v>
      </c>
      <c r="G2414" t="s">
        <v>22174</v>
      </c>
      <c r="H2414" t="s">
        <v>26011</v>
      </c>
      <c r="I2414" s="26">
        <v>40224</v>
      </c>
      <c r="J2414">
        <v>2010</v>
      </c>
      <c r="K2414" t="s">
        <v>146</v>
      </c>
      <c r="L2414">
        <v>178</v>
      </c>
      <c r="M2414" t="s">
        <v>34989</v>
      </c>
      <c r="N2414">
        <v>1</v>
      </c>
      <c r="Q2414" t="s">
        <v>34990</v>
      </c>
      <c r="R2414" t="s">
        <v>34991</v>
      </c>
      <c r="T2414" t="s">
        <v>30</v>
      </c>
      <c r="U2414" t="s">
        <v>46</v>
      </c>
      <c r="W2414" t="s">
        <v>28347</v>
      </c>
    </row>
    <row r="2415" spans="1:23" x14ac:dyDescent="0.35">
      <c r="A2415">
        <v>581469</v>
      </c>
      <c r="B2415" t="s">
        <v>34992</v>
      </c>
      <c r="C2415" t="str">
        <f>"9781843109808"</f>
        <v>9781843109808</v>
      </c>
      <c r="D2415" t="str">
        <f>"9780857002204"</f>
        <v>9780857002204</v>
      </c>
      <c r="E2415" t="s">
        <v>146</v>
      </c>
      <c r="F2415" t="s">
        <v>146</v>
      </c>
      <c r="G2415" t="s">
        <v>22174</v>
      </c>
      <c r="H2415" t="s">
        <v>26011</v>
      </c>
      <c r="I2415" s="26">
        <v>40162</v>
      </c>
      <c r="J2415">
        <v>2009</v>
      </c>
      <c r="K2415" t="s">
        <v>146</v>
      </c>
      <c r="L2415">
        <v>194</v>
      </c>
      <c r="M2415" t="s">
        <v>34993</v>
      </c>
      <c r="N2415">
        <v>1</v>
      </c>
      <c r="Q2415" t="s">
        <v>34994</v>
      </c>
      <c r="S2415" t="s">
        <v>34995</v>
      </c>
      <c r="T2415" t="s">
        <v>30</v>
      </c>
      <c r="U2415" t="s">
        <v>26116</v>
      </c>
      <c r="W2415" t="s">
        <v>28347</v>
      </c>
    </row>
    <row r="2416" spans="1:23" x14ac:dyDescent="0.35">
      <c r="A2416">
        <v>581471</v>
      </c>
      <c r="B2416" t="s">
        <v>34996</v>
      </c>
      <c r="C2416" t="str">
        <f>"9781849050524"</f>
        <v>9781849050524</v>
      </c>
      <c r="D2416" t="str">
        <f>"9780857003584"</f>
        <v>9780857003584</v>
      </c>
      <c r="E2416" t="s">
        <v>146</v>
      </c>
      <c r="F2416" t="s">
        <v>146</v>
      </c>
      <c r="G2416" t="s">
        <v>22174</v>
      </c>
      <c r="H2416" t="s">
        <v>26011</v>
      </c>
      <c r="I2416" s="26">
        <v>40193</v>
      </c>
      <c r="J2416">
        <v>2010</v>
      </c>
      <c r="K2416" t="s">
        <v>146</v>
      </c>
      <c r="L2416">
        <v>164</v>
      </c>
      <c r="M2416" t="s">
        <v>34997</v>
      </c>
      <c r="N2416">
        <v>1</v>
      </c>
      <c r="Q2416" t="s">
        <v>34998</v>
      </c>
      <c r="R2416">
        <v>371.94</v>
      </c>
      <c r="S2416" t="s">
        <v>34999</v>
      </c>
      <c r="T2416" t="s">
        <v>30</v>
      </c>
      <c r="U2416" t="s">
        <v>337</v>
      </c>
      <c r="W2416" t="s">
        <v>28347</v>
      </c>
    </row>
    <row r="2417" spans="1:23" x14ac:dyDescent="0.35">
      <c r="A2417">
        <v>581472</v>
      </c>
      <c r="B2417" t="s">
        <v>8876</v>
      </c>
      <c r="C2417" t="str">
        <f>"9781843109624"</f>
        <v>9781843109624</v>
      </c>
      <c r="D2417" t="str">
        <f>"9780857002136"</f>
        <v>9780857002136</v>
      </c>
      <c r="E2417" t="s">
        <v>146</v>
      </c>
      <c r="F2417" t="s">
        <v>146</v>
      </c>
      <c r="G2417" t="s">
        <v>22174</v>
      </c>
      <c r="H2417" t="s">
        <v>26011</v>
      </c>
      <c r="I2417" s="26">
        <v>40132</v>
      </c>
      <c r="J2417">
        <v>2009</v>
      </c>
      <c r="K2417" t="s">
        <v>146</v>
      </c>
      <c r="L2417">
        <v>324</v>
      </c>
      <c r="M2417" t="s">
        <v>31472</v>
      </c>
      <c r="N2417">
        <v>1</v>
      </c>
      <c r="Q2417" t="s">
        <v>35000</v>
      </c>
      <c r="R2417">
        <v>616.85210649999999</v>
      </c>
      <c r="S2417" t="s">
        <v>35001</v>
      </c>
      <c r="T2417" t="s">
        <v>30</v>
      </c>
      <c r="U2417" t="s">
        <v>26019</v>
      </c>
      <c r="W2417" t="s">
        <v>28347</v>
      </c>
    </row>
    <row r="2418" spans="1:23" x14ac:dyDescent="0.35">
      <c r="A2418">
        <v>581474</v>
      </c>
      <c r="B2418" t="s">
        <v>9466</v>
      </c>
      <c r="C2418" t="str">
        <f>"9781849050814"</f>
        <v>9781849050814</v>
      </c>
      <c r="D2418" t="str">
        <f>"9780857003676"</f>
        <v>9780857003676</v>
      </c>
      <c r="E2418" t="s">
        <v>146</v>
      </c>
      <c r="F2418" t="s">
        <v>146</v>
      </c>
      <c r="G2418" t="s">
        <v>22174</v>
      </c>
      <c r="H2418" t="s">
        <v>26011</v>
      </c>
      <c r="I2418" s="26">
        <v>40224</v>
      </c>
      <c r="J2418">
        <v>2010</v>
      </c>
      <c r="K2418" t="s">
        <v>146</v>
      </c>
      <c r="L2418">
        <v>226</v>
      </c>
      <c r="M2418" t="s">
        <v>35002</v>
      </c>
      <c r="N2418">
        <v>1</v>
      </c>
      <c r="Q2418" t="s">
        <v>35003</v>
      </c>
      <c r="R2418">
        <v>362.74</v>
      </c>
      <c r="T2418" t="s">
        <v>30</v>
      </c>
      <c r="U2418" t="s">
        <v>26170</v>
      </c>
      <c r="W2418" t="s">
        <v>28347</v>
      </c>
    </row>
    <row r="2419" spans="1:23" x14ac:dyDescent="0.35">
      <c r="A2419">
        <v>581667</v>
      </c>
      <c r="B2419" t="s">
        <v>8471</v>
      </c>
      <c r="C2419" t="str">
        <f>"9780691037189"</f>
        <v>9780691037189</v>
      </c>
      <c r="D2419" t="str">
        <f>"9781400821365"</f>
        <v>9781400821365</v>
      </c>
      <c r="E2419" t="s">
        <v>33468</v>
      </c>
      <c r="F2419" t="s">
        <v>7517</v>
      </c>
      <c r="G2419" t="s">
        <v>23592</v>
      </c>
      <c r="H2419" t="s">
        <v>26004</v>
      </c>
      <c r="I2419" s="26">
        <v>34616</v>
      </c>
      <c r="J2419">
        <v>1995</v>
      </c>
      <c r="K2419" t="s">
        <v>7517</v>
      </c>
      <c r="L2419">
        <v>158</v>
      </c>
      <c r="M2419" t="s">
        <v>35004</v>
      </c>
      <c r="N2419">
        <v>1</v>
      </c>
      <c r="R2419" t="s">
        <v>35005</v>
      </c>
      <c r="T2419" t="s">
        <v>30</v>
      </c>
      <c r="U2419" t="s">
        <v>46</v>
      </c>
      <c r="W2419" t="s">
        <v>28347</v>
      </c>
    </row>
    <row r="2420" spans="1:23" x14ac:dyDescent="0.35">
      <c r="A2420">
        <v>582009</v>
      </c>
      <c r="B2420" t="s">
        <v>9060</v>
      </c>
      <c r="C2420" t="str">
        <f>"9780123748829"</f>
        <v>9780123748829</v>
      </c>
      <c r="D2420" t="str">
        <f>"9780080890494"</f>
        <v>9780080890494</v>
      </c>
      <c r="E2420" t="s">
        <v>27482</v>
      </c>
      <c r="F2420" t="s">
        <v>7447</v>
      </c>
      <c r="G2420" t="s">
        <v>22689</v>
      </c>
      <c r="H2420" t="s">
        <v>26004</v>
      </c>
      <c r="I2420" s="26">
        <v>40437</v>
      </c>
      <c r="J2420">
        <v>2010</v>
      </c>
      <c r="K2420" t="s">
        <v>946</v>
      </c>
      <c r="L2420">
        <v>505</v>
      </c>
      <c r="M2420" t="s">
        <v>35006</v>
      </c>
      <c r="N2420">
        <v>1</v>
      </c>
      <c r="R2420">
        <v>612.80151000000001</v>
      </c>
      <c r="S2420" t="s">
        <v>9234</v>
      </c>
      <c r="T2420" t="s">
        <v>30</v>
      </c>
      <c r="U2420" t="s">
        <v>35007</v>
      </c>
      <c r="W2420" t="s">
        <v>26009</v>
      </c>
    </row>
    <row r="2421" spans="1:23" x14ac:dyDescent="0.35">
      <c r="A2421">
        <v>584890</v>
      </c>
      <c r="B2421" t="s">
        <v>35008</v>
      </c>
      <c r="C2421" t="str">
        <f>"9780813331973"</f>
        <v>9780813331973</v>
      </c>
      <c r="D2421" t="str">
        <f>"9780813345420"</f>
        <v>9780813345420</v>
      </c>
      <c r="E2421" t="s">
        <v>26010</v>
      </c>
      <c r="F2421" t="s">
        <v>35</v>
      </c>
      <c r="G2421" t="s">
        <v>35009</v>
      </c>
      <c r="H2421" t="s">
        <v>26004</v>
      </c>
      <c r="I2421" s="26">
        <v>35551</v>
      </c>
      <c r="J2421">
        <v>1997</v>
      </c>
      <c r="K2421" t="s">
        <v>26012</v>
      </c>
      <c r="L2421">
        <v>208</v>
      </c>
      <c r="M2421" t="s">
        <v>35010</v>
      </c>
      <c r="N2421">
        <v>1</v>
      </c>
      <c r="Q2421" t="s">
        <v>35011</v>
      </c>
      <c r="R2421" t="s">
        <v>35012</v>
      </c>
      <c r="S2421" t="s">
        <v>35013</v>
      </c>
      <c r="T2421" t="s">
        <v>30</v>
      </c>
      <c r="U2421" t="s">
        <v>28111</v>
      </c>
      <c r="W2421" t="s">
        <v>26009</v>
      </c>
    </row>
    <row r="2422" spans="1:23" x14ac:dyDescent="0.35">
      <c r="A2422">
        <v>585320</v>
      </c>
      <c r="B2422" t="s">
        <v>35014</v>
      </c>
      <c r="C2422" t="str">
        <f>"9780521760041"</f>
        <v>9780521760041</v>
      </c>
      <c r="D2422" t="str">
        <f>"9780511914843"</f>
        <v>9780511914843</v>
      </c>
      <c r="E2422" t="s">
        <v>167</v>
      </c>
      <c r="F2422" t="s">
        <v>167</v>
      </c>
      <c r="G2422" t="s">
        <v>22218</v>
      </c>
      <c r="H2422" t="s">
        <v>26011</v>
      </c>
      <c r="I2422" s="26">
        <v>40465</v>
      </c>
      <c r="J2422">
        <v>2010</v>
      </c>
      <c r="K2422" t="s">
        <v>167</v>
      </c>
      <c r="L2422">
        <v>468</v>
      </c>
      <c r="M2422" t="s">
        <v>35015</v>
      </c>
      <c r="N2422">
        <v>1</v>
      </c>
      <c r="O2422" t="s">
        <v>35016</v>
      </c>
      <c r="P2422">
        <v>16</v>
      </c>
      <c r="Q2422" t="s">
        <v>35017</v>
      </c>
      <c r="R2422">
        <v>306.70942000000002</v>
      </c>
      <c r="S2422" t="s">
        <v>35018</v>
      </c>
      <c r="T2422" t="s">
        <v>30</v>
      </c>
      <c r="U2422" t="s">
        <v>26044</v>
      </c>
      <c r="W2422" t="s">
        <v>26020</v>
      </c>
    </row>
    <row r="2423" spans="1:23" x14ac:dyDescent="0.35">
      <c r="A2423">
        <v>585329</v>
      </c>
      <c r="B2423" t="s">
        <v>7650</v>
      </c>
      <c r="C2423" t="str">
        <f>"9780521884341"</f>
        <v>9780521884341</v>
      </c>
      <c r="D2423" t="str">
        <f>"9780511915345"</f>
        <v>9780511915345</v>
      </c>
      <c r="E2423" t="s">
        <v>167</v>
      </c>
      <c r="F2423" t="s">
        <v>167</v>
      </c>
      <c r="G2423" t="s">
        <v>22218</v>
      </c>
      <c r="H2423" t="s">
        <v>26011</v>
      </c>
      <c r="I2423" s="26">
        <v>40507</v>
      </c>
      <c r="J2423">
        <v>2010</v>
      </c>
      <c r="K2423" t="s">
        <v>167</v>
      </c>
      <c r="L2423">
        <v>507</v>
      </c>
      <c r="M2423" t="s">
        <v>35019</v>
      </c>
      <c r="N2423">
        <v>1</v>
      </c>
      <c r="Q2423" t="s">
        <v>35020</v>
      </c>
      <c r="R2423">
        <v>616.04719999999998</v>
      </c>
      <c r="S2423" t="s">
        <v>35021</v>
      </c>
      <c r="T2423" t="s">
        <v>30</v>
      </c>
      <c r="U2423" t="s">
        <v>26040</v>
      </c>
      <c r="W2423" t="s">
        <v>26020</v>
      </c>
    </row>
    <row r="2424" spans="1:23" x14ac:dyDescent="0.35">
      <c r="A2424">
        <v>587910</v>
      </c>
      <c r="B2424" t="s">
        <v>35022</v>
      </c>
      <c r="C2424" t="str">
        <f>"9789042028456"</f>
        <v>9789042028456</v>
      </c>
      <c r="D2424" t="str">
        <f>"9789042028463"</f>
        <v>9789042028463</v>
      </c>
      <c r="E2424" t="s">
        <v>4602</v>
      </c>
      <c r="F2424" t="s">
        <v>27</v>
      </c>
      <c r="G2424" t="s">
        <v>22231</v>
      </c>
      <c r="H2424" t="s">
        <v>26004</v>
      </c>
      <c r="I2424" s="26">
        <v>40179</v>
      </c>
      <c r="J2424">
        <v>2010</v>
      </c>
      <c r="K2424" t="s">
        <v>34659</v>
      </c>
      <c r="L2424">
        <v>263</v>
      </c>
      <c r="M2424" t="s">
        <v>35023</v>
      </c>
      <c r="N2424">
        <v>1</v>
      </c>
      <c r="O2424" t="s">
        <v>35024</v>
      </c>
      <c r="P2424">
        <v>20</v>
      </c>
      <c r="Q2424" t="s">
        <v>35025</v>
      </c>
      <c r="R2424">
        <v>305.8</v>
      </c>
      <c r="S2424" t="s">
        <v>35026</v>
      </c>
      <c r="T2424" t="s">
        <v>30</v>
      </c>
      <c r="U2424" t="s">
        <v>26044</v>
      </c>
      <c r="W2424" t="s">
        <v>26009</v>
      </c>
    </row>
    <row r="2425" spans="1:23" x14ac:dyDescent="0.35">
      <c r="A2425">
        <v>587929</v>
      </c>
      <c r="B2425" t="s">
        <v>8867</v>
      </c>
      <c r="C2425" t="str">
        <f>"9789042031395"</f>
        <v>9789042031395</v>
      </c>
      <c r="D2425" t="str">
        <f>"9789042031401"</f>
        <v>9789042031401</v>
      </c>
      <c r="E2425" t="s">
        <v>4602</v>
      </c>
      <c r="F2425" t="s">
        <v>27</v>
      </c>
      <c r="G2425" t="s">
        <v>22231</v>
      </c>
      <c r="H2425" t="s">
        <v>26004</v>
      </c>
      <c r="I2425" s="26">
        <v>40179</v>
      </c>
      <c r="J2425">
        <v>2010</v>
      </c>
      <c r="K2425" t="s">
        <v>34659</v>
      </c>
      <c r="L2425">
        <v>486</v>
      </c>
      <c r="M2425" t="s">
        <v>35027</v>
      </c>
      <c r="N2425">
        <v>1</v>
      </c>
      <c r="O2425" t="s">
        <v>34745</v>
      </c>
      <c r="P2425">
        <v>221</v>
      </c>
      <c r="S2425" t="s">
        <v>35028</v>
      </c>
      <c r="T2425" t="s">
        <v>30</v>
      </c>
      <c r="U2425" t="s">
        <v>35029</v>
      </c>
      <c r="W2425" t="s">
        <v>26009</v>
      </c>
    </row>
    <row r="2426" spans="1:23" x14ac:dyDescent="0.35">
      <c r="A2426">
        <v>589566</v>
      </c>
      <c r="B2426" t="s">
        <v>35030</v>
      </c>
      <c r="C2426" t="str">
        <f>"9780415462983"</f>
        <v>9780415462983</v>
      </c>
      <c r="D2426" t="str">
        <f>"9780203841709"</f>
        <v>9780203841709</v>
      </c>
      <c r="E2426" t="s">
        <v>26010</v>
      </c>
      <c r="F2426" t="s">
        <v>35</v>
      </c>
      <c r="G2426" t="s">
        <v>22174</v>
      </c>
      <c r="H2426" t="s">
        <v>26011</v>
      </c>
      <c r="I2426" s="26">
        <v>40472</v>
      </c>
      <c r="J2426">
        <v>2011</v>
      </c>
      <c r="K2426" t="s">
        <v>26012</v>
      </c>
      <c r="L2426">
        <v>183</v>
      </c>
      <c r="M2426" t="s">
        <v>35031</v>
      </c>
      <c r="N2426">
        <v>1</v>
      </c>
      <c r="O2426" t="s">
        <v>34392</v>
      </c>
      <c r="Q2426" t="s">
        <v>35032</v>
      </c>
      <c r="R2426">
        <v>616.89139999999998</v>
      </c>
      <c r="S2426" t="s">
        <v>9768</v>
      </c>
      <c r="T2426" t="s">
        <v>30</v>
      </c>
      <c r="U2426" t="s">
        <v>26019</v>
      </c>
      <c r="W2426" t="s">
        <v>26009</v>
      </c>
    </row>
    <row r="2427" spans="1:23" x14ac:dyDescent="0.35">
      <c r="A2427">
        <v>589638</v>
      </c>
      <c r="B2427" t="s">
        <v>35033</v>
      </c>
      <c r="C2427" t="str">
        <f>"9780415565608"</f>
        <v>9780415565608</v>
      </c>
      <c r="D2427" t="str">
        <f>"9780203842881"</f>
        <v>9780203842881</v>
      </c>
      <c r="E2427" t="s">
        <v>26010</v>
      </c>
      <c r="F2427" t="s">
        <v>35</v>
      </c>
      <c r="G2427" t="s">
        <v>22174</v>
      </c>
      <c r="H2427" t="s">
        <v>26011</v>
      </c>
      <c r="I2427" s="26">
        <v>40476</v>
      </c>
      <c r="J2427">
        <v>2011</v>
      </c>
      <c r="K2427" t="s">
        <v>26012</v>
      </c>
      <c r="L2427">
        <v>133</v>
      </c>
      <c r="M2427" t="s">
        <v>30776</v>
      </c>
      <c r="N2427">
        <v>1</v>
      </c>
      <c r="Q2427" t="s">
        <v>35034</v>
      </c>
      <c r="R2427">
        <v>305.23099999999999</v>
      </c>
      <c r="S2427" t="s">
        <v>10145</v>
      </c>
      <c r="T2427" t="s">
        <v>30</v>
      </c>
      <c r="U2427" t="s">
        <v>27827</v>
      </c>
      <c r="W2427" t="s">
        <v>26009</v>
      </c>
    </row>
    <row r="2428" spans="1:23" x14ac:dyDescent="0.35">
      <c r="A2428">
        <v>592374</v>
      </c>
      <c r="B2428" t="s">
        <v>7974</v>
      </c>
      <c r="C2428" t="str">
        <f>"9781409401865"</f>
        <v>9781409401865</v>
      </c>
      <c r="D2428" t="str">
        <f>"9781409401872"</f>
        <v>9781409401872</v>
      </c>
      <c r="E2428" t="s">
        <v>26010</v>
      </c>
      <c r="F2428" t="s">
        <v>35</v>
      </c>
      <c r="G2428" t="s">
        <v>33516</v>
      </c>
      <c r="H2428" t="s">
        <v>26011</v>
      </c>
      <c r="I2428" s="26">
        <v>40510</v>
      </c>
      <c r="J2428">
        <v>2012</v>
      </c>
      <c r="K2428" t="s">
        <v>26012</v>
      </c>
      <c r="L2428">
        <v>277</v>
      </c>
      <c r="M2428" t="s">
        <v>35035</v>
      </c>
      <c r="N2428">
        <v>1</v>
      </c>
      <c r="O2428" t="s">
        <v>35036</v>
      </c>
      <c r="Q2428" t="s">
        <v>35037</v>
      </c>
      <c r="R2428">
        <v>304.2</v>
      </c>
      <c r="S2428" t="s">
        <v>28495</v>
      </c>
      <c r="T2428" t="s">
        <v>30</v>
      </c>
      <c r="U2428" t="s">
        <v>26228</v>
      </c>
      <c r="W2428" t="s">
        <v>26009</v>
      </c>
    </row>
    <row r="2429" spans="1:23" x14ac:dyDescent="0.35">
      <c r="A2429">
        <v>592912</v>
      </c>
      <c r="B2429" t="s">
        <v>35038</v>
      </c>
      <c r="C2429" t="str">
        <f>"9780415555319"</f>
        <v>9780415555319</v>
      </c>
      <c r="D2429" t="str">
        <f>"9780203842201"</f>
        <v>9780203842201</v>
      </c>
      <c r="E2429" t="s">
        <v>26010</v>
      </c>
      <c r="F2429" t="s">
        <v>35</v>
      </c>
      <c r="G2429" t="s">
        <v>22174</v>
      </c>
      <c r="H2429" t="s">
        <v>26011</v>
      </c>
      <c r="I2429" s="26">
        <v>40492</v>
      </c>
      <c r="J2429">
        <v>2011</v>
      </c>
      <c r="K2429" t="s">
        <v>26012</v>
      </c>
      <c r="L2429">
        <v>241</v>
      </c>
      <c r="M2429" t="s">
        <v>35039</v>
      </c>
      <c r="N2429">
        <v>1</v>
      </c>
      <c r="Q2429" t="s">
        <v>35040</v>
      </c>
      <c r="R2429" t="s">
        <v>27731</v>
      </c>
      <c r="S2429" t="s">
        <v>8193</v>
      </c>
      <c r="T2429" t="s">
        <v>30</v>
      </c>
      <c r="U2429" t="s">
        <v>32430</v>
      </c>
      <c r="W2429" t="s">
        <v>26009</v>
      </c>
    </row>
    <row r="2430" spans="1:23" x14ac:dyDescent="0.35">
      <c r="A2430">
        <v>592960</v>
      </c>
      <c r="B2430" t="s">
        <v>35041</v>
      </c>
      <c r="C2430" t="str">
        <f>"9780415559546"</f>
        <v>9780415559546</v>
      </c>
      <c r="D2430" t="str">
        <f>"9780203865767"</f>
        <v>9780203865767</v>
      </c>
      <c r="E2430" t="s">
        <v>26010</v>
      </c>
      <c r="F2430" t="s">
        <v>35</v>
      </c>
      <c r="G2430" t="s">
        <v>22174</v>
      </c>
      <c r="H2430" t="s">
        <v>26011</v>
      </c>
      <c r="I2430" s="26">
        <v>40494</v>
      </c>
      <c r="J2430">
        <v>2011</v>
      </c>
      <c r="K2430" t="s">
        <v>26012</v>
      </c>
      <c r="L2430">
        <v>302</v>
      </c>
      <c r="M2430" t="s">
        <v>35042</v>
      </c>
      <c r="N2430">
        <v>1</v>
      </c>
      <c r="O2430" t="s">
        <v>35043</v>
      </c>
      <c r="Q2430" t="s">
        <v>35044</v>
      </c>
      <c r="R2430">
        <v>355.4</v>
      </c>
      <c r="S2430" t="s">
        <v>8971</v>
      </c>
      <c r="T2430" t="s">
        <v>30</v>
      </c>
      <c r="U2430" t="s">
        <v>35045</v>
      </c>
      <c r="W2430" t="s">
        <v>26009</v>
      </c>
    </row>
    <row r="2431" spans="1:23" x14ac:dyDescent="0.35">
      <c r="A2431">
        <v>592992</v>
      </c>
      <c r="B2431" t="s">
        <v>35046</v>
      </c>
      <c r="C2431" t="str">
        <f>"9780415615211"</f>
        <v>9780415615211</v>
      </c>
      <c r="D2431" t="str">
        <f>"9780203830383"</f>
        <v>9780203830383</v>
      </c>
      <c r="E2431" t="s">
        <v>26010</v>
      </c>
      <c r="F2431" t="s">
        <v>35</v>
      </c>
      <c r="G2431" t="s">
        <v>22174</v>
      </c>
      <c r="H2431" t="s">
        <v>26011</v>
      </c>
      <c r="I2431" s="26">
        <v>40582</v>
      </c>
      <c r="J2431">
        <v>2010</v>
      </c>
      <c r="K2431" t="s">
        <v>26012</v>
      </c>
      <c r="L2431">
        <v>209</v>
      </c>
      <c r="M2431" t="s">
        <v>35047</v>
      </c>
      <c r="N2431">
        <v>1</v>
      </c>
      <c r="O2431" t="s">
        <v>35048</v>
      </c>
      <c r="Q2431" t="s">
        <v>35049</v>
      </c>
      <c r="R2431">
        <v>301</v>
      </c>
      <c r="S2431" t="s">
        <v>35050</v>
      </c>
      <c r="T2431" t="s">
        <v>30</v>
      </c>
      <c r="U2431" t="s">
        <v>26044</v>
      </c>
      <c r="W2431" t="s">
        <v>26009</v>
      </c>
    </row>
    <row r="2432" spans="1:23" x14ac:dyDescent="0.35">
      <c r="A2432">
        <v>593765</v>
      </c>
      <c r="B2432" t="s">
        <v>7870</v>
      </c>
      <c r="C2432" t="str">
        <f>"9781606239841"</f>
        <v>9781606239841</v>
      </c>
      <c r="D2432" t="str">
        <f>"9781606239865"</f>
        <v>9781606239865</v>
      </c>
      <c r="E2432" t="s">
        <v>30112</v>
      </c>
      <c r="F2432" t="s">
        <v>7420</v>
      </c>
      <c r="G2432" t="s">
        <v>22179</v>
      </c>
      <c r="H2432" t="s">
        <v>26004</v>
      </c>
      <c r="I2432" s="26">
        <v>40478</v>
      </c>
      <c r="J2432">
        <v>2011</v>
      </c>
      <c r="K2432" t="s">
        <v>30113</v>
      </c>
      <c r="L2432">
        <v>257</v>
      </c>
      <c r="M2432" t="s">
        <v>35051</v>
      </c>
      <c r="N2432">
        <v>1</v>
      </c>
      <c r="Q2432" t="s">
        <v>35052</v>
      </c>
      <c r="R2432">
        <v>618.85820750000005</v>
      </c>
      <c r="S2432" t="s">
        <v>35053</v>
      </c>
      <c r="T2432" t="s">
        <v>30</v>
      </c>
      <c r="U2432" t="s">
        <v>26116</v>
      </c>
      <c r="W2432" t="s">
        <v>28347</v>
      </c>
    </row>
    <row r="2433" spans="1:23" x14ac:dyDescent="0.35">
      <c r="A2433">
        <v>593766</v>
      </c>
      <c r="B2433" t="s">
        <v>35054</v>
      </c>
      <c r="C2433" t="str">
        <f>"9781606239353"</f>
        <v>9781606239353</v>
      </c>
      <c r="D2433" t="str">
        <f>"9781606239377"</f>
        <v>9781606239377</v>
      </c>
      <c r="E2433" t="s">
        <v>30112</v>
      </c>
      <c r="F2433" t="s">
        <v>7420</v>
      </c>
      <c r="G2433" t="s">
        <v>22179</v>
      </c>
      <c r="H2433" t="s">
        <v>26004</v>
      </c>
      <c r="I2433" s="26">
        <v>40450</v>
      </c>
      <c r="J2433">
        <v>2010</v>
      </c>
      <c r="K2433" t="s">
        <v>30113</v>
      </c>
      <c r="L2433">
        <v>321</v>
      </c>
      <c r="M2433" t="s">
        <v>35055</v>
      </c>
      <c r="N2433">
        <v>1</v>
      </c>
      <c r="Q2433" t="s">
        <v>35056</v>
      </c>
      <c r="R2433" t="s">
        <v>35057</v>
      </c>
      <c r="S2433" t="s">
        <v>35058</v>
      </c>
      <c r="T2433" t="s">
        <v>30</v>
      </c>
      <c r="U2433" t="s">
        <v>26044</v>
      </c>
      <c r="W2433" t="s">
        <v>28347</v>
      </c>
    </row>
    <row r="2434" spans="1:23" x14ac:dyDescent="0.35">
      <c r="A2434">
        <v>593770</v>
      </c>
      <c r="B2434" t="s">
        <v>35059</v>
      </c>
      <c r="C2434" t="str">
        <f>"9781606239735"</f>
        <v>9781606239735</v>
      </c>
      <c r="D2434" t="str">
        <f>"9781606239759"</f>
        <v>9781606239759</v>
      </c>
      <c r="E2434" t="s">
        <v>30112</v>
      </c>
      <c r="F2434" t="s">
        <v>7420</v>
      </c>
      <c r="G2434" t="s">
        <v>22179</v>
      </c>
      <c r="H2434" t="s">
        <v>26004</v>
      </c>
      <c r="I2434" s="26">
        <v>40470</v>
      </c>
      <c r="J2434">
        <v>2011</v>
      </c>
      <c r="K2434" t="s">
        <v>30113</v>
      </c>
      <c r="L2434">
        <v>241</v>
      </c>
      <c r="M2434" t="s">
        <v>35060</v>
      </c>
      <c r="N2434">
        <v>2</v>
      </c>
      <c r="Q2434" t="s">
        <v>35061</v>
      </c>
      <c r="R2434" t="s">
        <v>29630</v>
      </c>
      <c r="S2434" t="s">
        <v>35062</v>
      </c>
      <c r="T2434" t="s">
        <v>30</v>
      </c>
      <c r="U2434" t="s">
        <v>26019</v>
      </c>
      <c r="W2434" t="s">
        <v>28347</v>
      </c>
    </row>
    <row r="2435" spans="1:23" x14ac:dyDescent="0.35">
      <c r="A2435">
        <v>594655</v>
      </c>
      <c r="B2435" t="s">
        <v>35063</v>
      </c>
      <c r="C2435" t="str">
        <f>"9783836661416"</f>
        <v>9783836661416</v>
      </c>
      <c r="D2435" t="str">
        <f>"9783836611411"</f>
        <v>9783836611411</v>
      </c>
      <c r="E2435" t="s">
        <v>35064</v>
      </c>
      <c r="F2435" t="s">
        <v>9476</v>
      </c>
      <c r="G2435" t="s">
        <v>23457</v>
      </c>
      <c r="H2435" t="s">
        <v>30632</v>
      </c>
      <c r="I2435" s="26">
        <v>39594</v>
      </c>
      <c r="J2435">
        <v>2008</v>
      </c>
      <c r="K2435" t="s">
        <v>9476</v>
      </c>
      <c r="L2435">
        <v>240</v>
      </c>
      <c r="M2435" t="s">
        <v>35065</v>
      </c>
      <c r="N2435">
        <v>1</v>
      </c>
      <c r="Q2435" t="s">
        <v>35066</v>
      </c>
      <c r="R2435">
        <v>155.9042</v>
      </c>
      <c r="S2435" t="s">
        <v>35067</v>
      </c>
      <c r="T2435" t="s">
        <v>30</v>
      </c>
      <c r="U2435" t="s">
        <v>46</v>
      </c>
      <c r="W2435" t="s">
        <v>26009</v>
      </c>
    </row>
    <row r="2436" spans="1:23" x14ac:dyDescent="0.35">
      <c r="A2436">
        <v>595902</v>
      </c>
      <c r="B2436" t="s">
        <v>35068</v>
      </c>
      <c r="C2436" t="str">
        <f>"9781574412697"</f>
        <v>9781574412697</v>
      </c>
      <c r="D2436" t="str">
        <f>"9781574413366"</f>
        <v>9781574413366</v>
      </c>
      <c r="E2436" t="s">
        <v>30408</v>
      </c>
      <c r="F2436" t="s">
        <v>9754</v>
      </c>
      <c r="G2436" t="s">
        <v>23095</v>
      </c>
      <c r="H2436" t="s">
        <v>26004</v>
      </c>
      <c r="I2436" s="26">
        <v>40040</v>
      </c>
      <c r="J2436">
        <v>2009</v>
      </c>
      <c r="K2436" t="s">
        <v>9754</v>
      </c>
      <c r="L2436">
        <v>134</v>
      </c>
      <c r="M2436" t="s">
        <v>35069</v>
      </c>
      <c r="N2436">
        <v>1</v>
      </c>
      <c r="O2436" t="s">
        <v>35070</v>
      </c>
      <c r="Q2436" t="s">
        <v>35071</v>
      </c>
      <c r="R2436" t="s">
        <v>35072</v>
      </c>
      <c r="S2436" t="s">
        <v>35073</v>
      </c>
      <c r="T2436" t="s">
        <v>30</v>
      </c>
      <c r="U2436" t="s">
        <v>35074</v>
      </c>
      <c r="W2436" t="s">
        <v>26009</v>
      </c>
    </row>
    <row r="2437" spans="1:23" x14ac:dyDescent="0.35">
      <c r="A2437">
        <v>601628</v>
      </c>
      <c r="B2437" t="s">
        <v>35075</v>
      </c>
      <c r="C2437" t="str">
        <f>"9781441149305"</f>
        <v>9781441149305</v>
      </c>
      <c r="D2437" t="str">
        <f>"9781441139016"</f>
        <v>9781441139016</v>
      </c>
      <c r="E2437" t="s">
        <v>31671</v>
      </c>
      <c r="F2437" t="s">
        <v>7760</v>
      </c>
      <c r="G2437" t="s">
        <v>22174</v>
      </c>
      <c r="H2437" t="s">
        <v>26011</v>
      </c>
      <c r="I2437" s="26">
        <v>40906</v>
      </c>
      <c r="J2437">
        <v>2008</v>
      </c>
      <c r="K2437" t="s">
        <v>33338</v>
      </c>
      <c r="L2437">
        <v>216</v>
      </c>
      <c r="M2437" t="s">
        <v>35076</v>
      </c>
      <c r="N2437">
        <v>1</v>
      </c>
      <c r="O2437" t="s">
        <v>35077</v>
      </c>
      <c r="Q2437" t="s">
        <v>35078</v>
      </c>
      <c r="R2437" t="s">
        <v>30619</v>
      </c>
      <c r="S2437" t="s">
        <v>35079</v>
      </c>
      <c r="T2437" t="s">
        <v>30</v>
      </c>
      <c r="U2437" t="s">
        <v>46</v>
      </c>
      <c r="W2437" t="s">
        <v>28347</v>
      </c>
    </row>
    <row r="2438" spans="1:23" x14ac:dyDescent="0.35">
      <c r="A2438">
        <v>601714</v>
      </c>
      <c r="B2438" t="s">
        <v>35080</v>
      </c>
      <c r="C2438" t="str">
        <f>"9781441103635"</f>
        <v>9781441103635</v>
      </c>
      <c r="D2438" t="str">
        <f>"9781441193360"</f>
        <v>9781441193360</v>
      </c>
      <c r="E2438" t="s">
        <v>31671</v>
      </c>
      <c r="F2438" t="s">
        <v>7760</v>
      </c>
      <c r="G2438" t="s">
        <v>22174</v>
      </c>
      <c r="H2438" t="s">
        <v>26011</v>
      </c>
      <c r="I2438" s="26">
        <v>40948</v>
      </c>
      <c r="J2438">
        <v>2009</v>
      </c>
      <c r="K2438" t="s">
        <v>33338</v>
      </c>
      <c r="L2438">
        <v>192</v>
      </c>
      <c r="M2438" t="s">
        <v>35081</v>
      </c>
      <c r="N2438">
        <v>1</v>
      </c>
      <c r="Q2438" t="s">
        <v>35082</v>
      </c>
      <c r="R2438">
        <v>194</v>
      </c>
      <c r="S2438" t="s">
        <v>35083</v>
      </c>
      <c r="T2438" t="s">
        <v>30</v>
      </c>
      <c r="U2438" t="s">
        <v>152</v>
      </c>
      <c r="W2438" t="s">
        <v>28347</v>
      </c>
    </row>
    <row r="2439" spans="1:23" x14ac:dyDescent="0.35">
      <c r="A2439">
        <v>601770</v>
      </c>
      <c r="B2439" t="s">
        <v>35084</v>
      </c>
      <c r="C2439" t="str">
        <f>"9781441181619"</f>
        <v>9781441181619</v>
      </c>
      <c r="D2439" t="str">
        <f>"9781441126108"</f>
        <v>9781441126108</v>
      </c>
      <c r="E2439" t="s">
        <v>31671</v>
      </c>
      <c r="F2439" t="s">
        <v>7760</v>
      </c>
      <c r="G2439" t="s">
        <v>22174</v>
      </c>
      <c r="H2439" t="s">
        <v>26011</v>
      </c>
      <c r="I2439" s="26">
        <v>40913</v>
      </c>
      <c r="J2439">
        <v>2009</v>
      </c>
      <c r="K2439" t="s">
        <v>33338</v>
      </c>
      <c r="L2439">
        <v>385</v>
      </c>
      <c r="M2439" t="s">
        <v>35085</v>
      </c>
      <c r="N2439">
        <v>1</v>
      </c>
      <c r="Q2439" t="s">
        <v>35086</v>
      </c>
      <c r="R2439">
        <v>150</v>
      </c>
      <c r="S2439" t="s">
        <v>35087</v>
      </c>
      <c r="T2439" t="s">
        <v>30</v>
      </c>
      <c r="U2439" t="s">
        <v>46</v>
      </c>
      <c r="W2439" t="s">
        <v>28347</v>
      </c>
    </row>
    <row r="2440" spans="1:23" x14ac:dyDescent="0.35">
      <c r="A2440">
        <v>605314</v>
      </c>
      <c r="B2440" t="s">
        <v>35088</v>
      </c>
      <c r="C2440" t="str">
        <f>"9789042027282"</f>
        <v>9789042027282</v>
      </c>
      <c r="D2440" t="str">
        <f>"9789042027299"</f>
        <v>9789042027299</v>
      </c>
      <c r="E2440" t="s">
        <v>4602</v>
      </c>
      <c r="F2440" t="s">
        <v>27</v>
      </c>
      <c r="G2440" t="s">
        <v>22231</v>
      </c>
      <c r="H2440" t="s">
        <v>26004</v>
      </c>
      <c r="I2440" s="26">
        <v>39814</v>
      </c>
      <c r="J2440">
        <v>2009</v>
      </c>
      <c r="K2440" t="s">
        <v>34659</v>
      </c>
      <c r="L2440">
        <v>340</v>
      </c>
      <c r="M2440" t="s">
        <v>35089</v>
      </c>
      <c r="N2440">
        <v>1</v>
      </c>
      <c r="O2440" t="s">
        <v>34787</v>
      </c>
      <c r="P2440">
        <v>88</v>
      </c>
      <c r="Q2440" t="s">
        <v>35090</v>
      </c>
      <c r="R2440">
        <v>133.0943</v>
      </c>
      <c r="S2440" t="s">
        <v>35091</v>
      </c>
      <c r="T2440" t="s">
        <v>30</v>
      </c>
      <c r="U2440" t="s">
        <v>26679</v>
      </c>
      <c r="W2440" t="s">
        <v>26009</v>
      </c>
    </row>
    <row r="2441" spans="1:23" x14ac:dyDescent="0.35">
      <c r="A2441">
        <v>605324</v>
      </c>
      <c r="B2441" t="s">
        <v>7459</v>
      </c>
      <c r="C2441" t="str">
        <f>"9780857243294"</f>
        <v>9780857243294</v>
      </c>
      <c r="D2441" t="str">
        <f>"9780857243300"</f>
        <v>9780857243300</v>
      </c>
      <c r="E2441" t="s">
        <v>7442</v>
      </c>
      <c r="F2441" t="s">
        <v>7442</v>
      </c>
      <c r="G2441" t="s">
        <v>22261</v>
      </c>
      <c r="H2441" t="s">
        <v>26011</v>
      </c>
      <c r="I2441" s="26">
        <v>40476</v>
      </c>
      <c r="J2441">
        <v>2010</v>
      </c>
      <c r="K2441" t="s">
        <v>7442</v>
      </c>
      <c r="L2441">
        <v>309</v>
      </c>
      <c r="M2441" t="s">
        <v>35092</v>
      </c>
      <c r="N2441">
        <v>1</v>
      </c>
      <c r="O2441" t="s">
        <v>35093</v>
      </c>
      <c r="P2441">
        <v>27</v>
      </c>
      <c r="Q2441" t="s">
        <v>33281</v>
      </c>
      <c r="R2441">
        <v>302.3</v>
      </c>
      <c r="S2441" t="s">
        <v>8562</v>
      </c>
      <c r="T2441" t="s">
        <v>30</v>
      </c>
      <c r="U2441" t="s">
        <v>26044</v>
      </c>
      <c r="W2441" t="s">
        <v>33559</v>
      </c>
    </row>
    <row r="2442" spans="1:23" x14ac:dyDescent="0.35">
      <c r="A2442">
        <v>605346</v>
      </c>
      <c r="B2442" t="s">
        <v>8654</v>
      </c>
      <c r="C2442" t="str">
        <f>"9781609180027"</f>
        <v>9781609180027</v>
      </c>
      <c r="D2442" t="str">
        <f>"9781609180041"</f>
        <v>9781609180041</v>
      </c>
      <c r="E2442" t="s">
        <v>30112</v>
      </c>
      <c r="F2442" t="s">
        <v>7420</v>
      </c>
      <c r="G2442" t="s">
        <v>22179</v>
      </c>
      <c r="H2442" t="s">
        <v>26004</v>
      </c>
      <c r="I2442" s="26">
        <v>40499</v>
      </c>
      <c r="J2442">
        <v>2011</v>
      </c>
      <c r="K2442" t="s">
        <v>30113</v>
      </c>
      <c r="L2442">
        <v>541</v>
      </c>
      <c r="M2442" t="s">
        <v>35094</v>
      </c>
      <c r="N2442">
        <v>1</v>
      </c>
      <c r="Q2442" t="s">
        <v>35095</v>
      </c>
      <c r="R2442">
        <v>155.19999999999999</v>
      </c>
      <c r="S2442" t="s">
        <v>35096</v>
      </c>
      <c r="T2442" t="s">
        <v>30</v>
      </c>
      <c r="U2442" t="s">
        <v>46</v>
      </c>
      <c r="W2442" t="s">
        <v>28347</v>
      </c>
    </row>
    <row r="2443" spans="1:23" x14ac:dyDescent="0.35">
      <c r="A2443">
        <v>605353</v>
      </c>
      <c r="B2443" t="s">
        <v>35097</v>
      </c>
      <c r="C2443" t="str">
        <f>"9781609180386"</f>
        <v>9781609180386</v>
      </c>
      <c r="D2443" t="str">
        <f>"9781609180393"</f>
        <v>9781609180393</v>
      </c>
      <c r="E2443" t="s">
        <v>30112</v>
      </c>
      <c r="F2443" t="s">
        <v>7420</v>
      </c>
      <c r="G2443" t="s">
        <v>22179</v>
      </c>
      <c r="H2443" t="s">
        <v>26004</v>
      </c>
      <c r="I2443" s="26">
        <v>40498</v>
      </c>
      <c r="J2443">
        <v>2011</v>
      </c>
      <c r="K2443" t="s">
        <v>30113</v>
      </c>
      <c r="L2443">
        <v>305</v>
      </c>
      <c r="M2443" t="s">
        <v>35098</v>
      </c>
      <c r="N2443">
        <v>1</v>
      </c>
      <c r="Q2443" t="s">
        <v>35099</v>
      </c>
      <c r="R2443">
        <v>616.89</v>
      </c>
      <c r="S2443" t="s">
        <v>35100</v>
      </c>
      <c r="T2443" t="s">
        <v>30</v>
      </c>
      <c r="U2443" t="s">
        <v>26116</v>
      </c>
      <c r="W2443" t="s">
        <v>28347</v>
      </c>
    </row>
    <row r="2444" spans="1:23" x14ac:dyDescent="0.35">
      <c r="A2444">
        <v>605887</v>
      </c>
      <c r="B2444" t="s">
        <v>35101</v>
      </c>
      <c r="C2444" t="str">
        <f>"9780826171023"</f>
        <v>9780826171023</v>
      </c>
      <c r="D2444" t="str">
        <f>"9780826171030"</f>
        <v>9780826171030</v>
      </c>
      <c r="E2444" t="s">
        <v>1504</v>
      </c>
      <c r="F2444" t="s">
        <v>33</v>
      </c>
      <c r="G2444" t="s">
        <v>22179</v>
      </c>
      <c r="H2444" t="s">
        <v>26004</v>
      </c>
      <c r="I2444" s="26">
        <v>40391</v>
      </c>
      <c r="J2444">
        <v>2011</v>
      </c>
      <c r="K2444" t="s">
        <v>33</v>
      </c>
      <c r="L2444">
        <v>250</v>
      </c>
      <c r="M2444" t="s">
        <v>35102</v>
      </c>
      <c r="N2444">
        <v>1</v>
      </c>
      <c r="Q2444" t="s">
        <v>35103</v>
      </c>
      <c r="R2444" t="s">
        <v>35104</v>
      </c>
      <c r="S2444" t="s">
        <v>35105</v>
      </c>
      <c r="T2444" t="s">
        <v>30</v>
      </c>
      <c r="U2444" t="s">
        <v>26019</v>
      </c>
      <c r="W2444" t="s">
        <v>26009</v>
      </c>
    </row>
    <row r="2445" spans="1:23" x14ac:dyDescent="0.35">
      <c r="A2445">
        <v>610538</v>
      </c>
      <c r="B2445" t="s">
        <v>8649</v>
      </c>
      <c r="C2445" t="str">
        <f>"9780123808820"</f>
        <v>9780123808820</v>
      </c>
      <c r="D2445" t="str">
        <f>"9780123808837"</f>
        <v>9780123808837</v>
      </c>
      <c r="E2445" t="s">
        <v>27482</v>
      </c>
      <c r="F2445" t="s">
        <v>7447</v>
      </c>
      <c r="G2445" t="s">
        <v>22689</v>
      </c>
      <c r="H2445" t="s">
        <v>26004</v>
      </c>
      <c r="I2445" s="26">
        <v>40533</v>
      </c>
      <c r="J2445">
        <v>2011</v>
      </c>
      <c r="K2445" t="s">
        <v>946</v>
      </c>
      <c r="L2445">
        <v>436</v>
      </c>
      <c r="M2445" t="s">
        <v>35106</v>
      </c>
      <c r="N2445">
        <v>7</v>
      </c>
      <c r="O2445" t="s">
        <v>29903</v>
      </c>
      <c r="Q2445" t="s">
        <v>35107</v>
      </c>
      <c r="R2445">
        <v>155.66999999999999</v>
      </c>
      <c r="S2445" t="s">
        <v>31037</v>
      </c>
      <c r="T2445" t="s">
        <v>30</v>
      </c>
      <c r="U2445" t="s">
        <v>46</v>
      </c>
      <c r="W2445" t="s">
        <v>26009</v>
      </c>
    </row>
    <row r="2446" spans="1:23" x14ac:dyDescent="0.35">
      <c r="A2446">
        <v>614735</v>
      </c>
      <c r="B2446" t="s">
        <v>35108</v>
      </c>
      <c r="C2446" t="str">
        <f>"9781848729018"</f>
        <v>9781848729018</v>
      </c>
      <c r="D2446" t="str">
        <f>"9780203841228"</f>
        <v>9780203841228</v>
      </c>
      <c r="E2446" t="s">
        <v>26010</v>
      </c>
      <c r="F2446" t="s">
        <v>35</v>
      </c>
      <c r="G2446" t="s">
        <v>22267</v>
      </c>
      <c r="H2446" t="s">
        <v>26011</v>
      </c>
      <c r="I2446" s="26">
        <v>40497</v>
      </c>
      <c r="J2446">
        <v>2011</v>
      </c>
      <c r="K2446" t="s">
        <v>660</v>
      </c>
      <c r="L2446">
        <v>529</v>
      </c>
      <c r="M2446" t="s">
        <v>35109</v>
      </c>
      <c r="N2446">
        <v>1</v>
      </c>
      <c r="Q2446" t="s">
        <v>35110</v>
      </c>
      <c r="R2446">
        <v>404.20190000000002</v>
      </c>
      <c r="S2446" t="s">
        <v>8946</v>
      </c>
      <c r="T2446" t="s">
        <v>30</v>
      </c>
      <c r="U2446" t="s">
        <v>28384</v>
      </c>
      <c r="W2446" t="s">
        <v>26009</v>
      </c>
    </row>
    <row r="2447" spans="1:23" x14ac:dyDescent="0.35">
      <c r="A2447">
        <v>614752</v>
      </c>
      <c r="B2447" t="s">
        <v>8944</v>
      </c>
      <c r="C2447" t="str">
        <f>"9781848729247"</f>
        <v>9781848729247</v>
      </c>
      <c r="D2447" t="str">
        <f>"9780203836859"</f>
        <v>9780203836859</v>
      </c>
      <c r="E2447" t="s">
        <v>26010</v>
      </c>
      <c r="F2447" t="s">
        <v>35</v>
      </c>
      <c r="G2447" t="s">
        <v>22267</v>
      </c>
      <c r="H2447" t="s">
        <v>26011</v>
      </c>
      <c r="I2447" s="26">
        <v>40497</v>
      </c>
      <c r="J2447">
        <v>2011</v>
      </c>
      <c r="K2447" t="s">
        <v>660</v>
      </c>
      <c r="L2447">
        <v>606</v>
      </c>
      <c r="M2447" t="s">
        <v>35111</v>
      </c>
      <c r="N2447">
        <v>1</v>
      </c>
      <c r="Q2447" t="s">
        <v>35112</v>
      </c>
      <c r="R2447">
        <v>404.20190000000002</v>
      </c>
      <c r="S2447" t="s">
        <v>8945</v>
      </c>
      <c r="T2447" t="s">
        <v>30</v>
      </c>
      <c r="U2447" t="s">
        <v>28384</v>
      </c>
      <c r="W2447" t="s">
        <v>26009</v>
      </c>
    </row>
    <row r="2448" spans="1:23" x14ac:dyDescent="0.35">
      <c r="A2448">
        <v>614758</v>
      </c>
      <c r="B2448" t="s">
        <v>35113</v>
      </c>
      <c r="C2448" t="str">
        <f>"9781841696973"</f>
        <v>9781841696973</v>
      </c>
      <c r="D2448" t="str">
        <f>"9780203833926"</f>
        <v>9780203833926</v>
      </c>
      <c r="E2448" t="s">
        <v>26010</v>
      </c>
      <c r="F2448" t="s">
        <v>35</v>
      </c>
      <c r="G2448" t="s">
        <v>22267</v>
      </c>
      <c r="H2448" t="s">
        <v>26011</v>
      </c>
      <c r="I2448" s="26">
        <v>40533</v>
      </c>
      <c r="J2448">
        <v>2011</v>
      </c>
      <c r="K2448" t="s">
        <v>660</v>
      </c>
      <c r="L2448">
        <v>232</v>
      </c>
      <c r="M2448" t="s">
        <v>35114</v>
      </c>
      <c r="N2448">
        <v>1</v>
      </c>
      <c r="Q2448" t="s">
        <v>35115</v>
      </c>
      <c r="R2448">
        <v>153</v>
      </c>
      <c r="S2448" t="s">
        <v>9144</v>
      </c>
      <c r="T2448" t="s">
        <v>30</v>
      </c>
      <c r="U2448" t="s">
        <v>46</v>
      </c>
      <c r="W2448" t="s">
        <v>26009</v>
      </c>
    </row>
    <row r="2449" spans="1:23" x14ac:dyDescent="0.35">
      <c r="A2449">
        <v>615747</v>
      </c>
      <c r="B2449" t="s">
        <v>7749</v>
      </c>
      <c r="C2449" t="str">
        <f>"9780521114813"</f>
        <v>9780521114813</v>
      </c>
      <c r="D2449" t="str">
        <f>"9780511858215"</f>
        <v>9780511858215</v>
      </c>
      <c r="E2449" t="s">
        <v>167</v>
      </c>
      <c r="F2449" t="s">
        <v>167</v>
      </c>
      <c r="G2449" t="s">
        <v>22218</v>
      </c>
      <c r="H2449" t="s">
        <v>26011</v>
      </c>
      <c r="I2449" s="26">
        <v>40577</v>
      </c>
      <c r="J2449">
        <v>2011</v>
      </c>
      <c r="K2449" t="s">
        <v>167</v>
      </c>
      <c r="L2449">
        <v>277</v>
      </c>
      <c r="M2449" t="s">
        <v>35116</v>
      </c>
      <c r="N2449">
        <v>1</v>
      </c>
      <c r="Q2449" t="s">
        <v>35117</v>
      </c>
      <c r="R2449">
        <v>302.3</v>
      </c>
      <c r="S2449" t="s">
        <v>35118</v>
      </c>
      <c r="T2449" t="s">
        <v>30</v>
      </c>
      <c r="U2449" t="s">
        <v>26170</v>
      </c>
      <c r="W2449" t="s">
        <v>26020</v>
      </c>
    </row>
    <row r="2450" spans="1:23" x14ac:dyDescent="0.35">
      <c r="A2450">
        <v>615765</v>
      </c>
      <c r="B2450" t="s">
        <v>8440</v>
      </c>
      <c r="C2450" t="str">
        <f>"9780521190480"</f>
        <v>9780521190480</v>
      </c>
      <c r="D2450" t="str">
        <f>"9780511858239"</f>
        <v>9780511858239</v>
      </c>
      <c r="E2450" t="s">
        <v>167</v>
      </c>
      <c r="F2450" t="s">
        <v>167</v>
      </c>
      <c r="G2450" t="s">
        <v>22218</v>
      </c>
      <c r="H2450" t="s">
        <v>26011</v>
      </c>
      <c r="I2450" s="26">
        <v>40570</v>
      </c>
      <c r="J2450">
        <v>2011</v>
      </c>
      <c r="K2450" t="s">
        <v>167</v>
      </c>
      <c r="L2450">
        <v>350</v>
      </c>
      <c r="M2450" t="s">
        <v>35119</v>
      </c>
      <c r="N2450">
        <v>1</v>
      </c>
      <c r="Q2450" t="s">
        <v>35120</v>
      </c>
      <c r="R2450">
        <v>153.19999999999999</v>
      </c>
      <c r="S2450" t="s">
        <v>35121</v>
      </c>
      <c r="T2450" t="s">
        <v>30</v>
      </c>
      <c r="U2450" t="s">
        <v>46</v>
      </c>
      <c r="W2450" t="s">
        <v>26020</v>
      </c>
    </row>
    <row r="2451" spans="1:23" x14ac:dyDescent="0.35">
      <c r="A2451">
        <v>615860</v>
      </c>
      <c r="B2451" t="s">
        <v>35122</v>
      </c>
      <c r="C2451" t="str">
        <f>"9781444104875"</f>
        <v>9781444104875</v>
      </c>
      <c r="D2451" t="str">
        <f>"9781444128277"</f>
        <v>9781444128277</v>
      </c>
      <c r="E2451" t="s">
        <v>26010</v>
      </c>
      <c r="F2451" t="s">
        <v>35</v>
      </c>
      <c r="G2451" t="s">
        <v>22174</v>
      </c>
      <c r="H2451" t="s">
        <v>26011</v>
      </c>
      <c r="I2451" s="26">
        <v>40354</v>
      </c>
      <c r="J2451">
        <v>2010</v>
      </c>
      <c r="K2451" t="s">
        <v>26012</v>
      </c>
      <c r="L2451">
        <v>555</v>
      </c>
      <c r="M2451" t="s">
        <v>35123</v>
      </c>
      <c r="N2451">
        <v>2</v>
      </c>
      <c r="Q2451" t="s">
        <v>35124</v>
      </c>
      <c r="R2451">
        <v>153</v>
      </c>
      <c r="S2451" t="s">
        <v>7945</v>
      </c>
      <c r="T2451" t="s">
        <v>30</v>
      </c>
      <c r="U2451" t="s">
        <v>26520</v>
      </c>
      <c r="W2451" t="s">
        <v>26009</v>
      </c>
    </row>
    <row r="2452" spans="1:23" x14ac:dyDescent="0.35">
      <c r="A2452">
        <v>616214</v>
      </c>
      <c r="B2452" t="s">
        <v>35125</v>
      </c>
      <c r="C2452" t="str">
        <f>"9780739142127"</f>
        <v>9780739142127</v>
      </c>
      <c r="D2452" t="str">
        <f>"9780739142141"</f>
        <v>9780739142141</v>
      </c>
      <c r="E2452" t="s">
        <v>33803</v>
      </c>
      <c r="F2452" t="s">
        <v>8174</v>
      </c>
      <c r="G2452" t="s">
        <v>34328</v>
      </c>
      <c r="H2452" t="s">
        <v>26004</v>
      </c>
      <c r="I2452" s="26">
        <v>40394</v>
      </c>
      <c r="J2452">
        <v>2010</v>
      </c>
      <c r="K2452" t="s">
        <v>8174</v>
      </c>
      <c r="L2452">
        <v>173</v>
      </c>
      <c r="M2452" t="s">
        <v>35126</v>
      </c>
      <c r="N2452">
        <v>1</v>
      </c>
      <c r="Q2452" t="s">
        <v>35127</v>
      </c>
      <c r="R2452">
        <v>200.92</v>
      </c>
      <c r="S2452" t="s">
        <v>35128</v>
      </c>
      <c r="T2452" t="s">
        <v>30</v>
      </c>
      <c r="U2452" t="s">
        <v>33231</v>
      </c>
      <c r="W2452" t="s">
        <v>26009</v>
      </c>
    </row>
    <row r="2453" spans="1:23" x14ac:dyDescent="0.35">
      <c r="A2453">
        <v>616260</v>
      </c>
      <c r="B2453" t="s">
        <v>35129</v>
      </c>
      <c r="C2453" t="str">
        <f>"9780761846369"</f>
        <v>9780761846369</v>
      </c>
      <c r="D2453" t="str">
        <f>"9780761846376"</f>
        <v>9780761846376</v>
      </c>
      <c r="E2453" t="s">
        <v>33803</v>
      </c>
      <c r="F2453" t="s">
        <v>34051</v>
      </c>
      <c r="G2453" t="s">
        <v>33804</v>
      </c>
      <c r="H2453" t="s">
        <v>26004</v>
      </c>
      <c r="I2453" s="26">
        <v>40295</v>
      </c>
      <c r="J2453">
        <v>2010</v>
      </c>
      <c r="K2453" t="s">
        <v>34051</v>
      </c>
      <c r="L2453">
        <v>390</v>
      </c>
      <c r="M2453" t="s">
        <v>35130</v>
      </c>
      <c r="N2453">
        <v>2</v>
      </c>
      <c r="Q2453" t="s">
        <v>35131</v>
      </c>
      <c r="R2453">
        <v>616.89152000000001</v>
      </c>
      <c r="S2453" t="s">
        <v>35132</v>
      </c>
      <c r="T2453" t="s">
        <v>30</v>
      </c>
      <c r="U2453" t="s">
        <v>26019</v>
      </c>
      <c r="W2453" t="s">
        <v>26009</v>
      </c>
    </row>
    <row r="2454" spans="1:23" x14ac:dyDescent="0.35">
      <c r="A2454">
        <v>616268</v>
      </c>
      <c r="B2454" t="s">
        <v>35133</v>
      </c>
      <c r="C2454" t="str">
        <f>"9780761850304"</f>
        <v>9780761850304</v>
      </c>
      <c r="D2454" t="str">
        <f>"9780761850311"</f>
        <v>9780761850311</v>
      </c>
      <c r="E2454" t="s">
        <v>33803</v>
      </c>
      <c r="F2454" t="s">
        <v>34051</v>
      </c>
      <c r="G2454" t="s">
        <v>33804</v>
      </c>
      <c r="H2454" t="s">
        <v>26004</v>
      </c>
      <c r="I2454" s="26">
        <v>40295</v>
      </c>
      <c r="J2454">
        <v>2010</v>
      </c>
      <c r="K2454" t="s">
        <v>34051</v>
      </c>
      <c r="L2454">
        <v>154</v>
      </c>
      <c r="M2454" t="s">
        <v>35134</v>
      </c>
      <c r="N2454">
        <v>1</v>
      </c>
      <c r="Q2454" t="s">
        <v>35135</v>
      </c>
      <c r="R2454" t="s">
        <v>27350</v>
      </c>
      <c r="S2454" t="s">
        <v>35136</v>
      </c>
      <c r="T2454" t="s">
        <v>30</v>
      </c>
      <c r="U2454" t="s">
        <v>26019</v>
      </c>
      <c r="W2454" t="s">
        <v>26009</v>
      </c>
    </row>
    <row r="2455" spans="1:23" x14ac:dyDescent="0.35">
      <c r="A2455">
        <v>616286</v>
      </c>
      <c r="B2455" t="s">
        <v>8794</v>
      </c>
      <c r="C2455" t="str">
        <f>"9780765706621"</f>
        <v>9780765706621</v>
      </c>
      <c r="D2455" t="str">
        <f>"9780765706638"</f>
        <v>9780765706638</v>
      </c>
      <c r="E2455" t="s">
        <v>33803</v>
      </c>
      <c r="F2455" t="s">
        <v>38</v>
      </c>
      <c r="G2455" t="s">
        <v>33804</v>
      </c>
      <c r="H2455" t="s">
        <v>26004</v>
      </c>
      <c r="I2455" s="26">
        <v>40240</v>
      </c>
      <c r="J2455">
        <v>2010</v>
      </c>
      <c r="K2455" t="s">
        <v>33811</v>
      </c>
      <c r="L2455">
        <v>302</v>
      </c>
      <c r="M2455" t="s">
        <v>35137</v>
      </c>
      <c r="N2455">
        <v>1</v>
      </c>
      <c r="Q2455" t="s">
        <v>35138</v>
      </c>
      <c r="R2455">
        <v>618.9289</v>
      </c>
      <c r="S2455" t="s">
        <v>35139</v>
      </c>
      <c r="T2455" t="s">
        <v>30</v>
      </c>
      <c r="U2455" t="s">
        <v>26019</v>
      </c>
      <c r="W2455" t="s">
        <v>26009</v>
      </c>
    </row>
    <row r="2456" spans="1:23" x14ac:dyDescent="0.35">
      <c r="A2456">
        <v>616287</v>
      </c>
      <c r="B2456" t="s">
        <v>35140</v>
      </c>
      <c r="C2456" t="str">
        <f>"9780765706775"</f>
        <v>9780765706775</v>
      </c>
      <c r="D2456" t="str">
        <f>"9780765706799"</f>
        <v>9780765706799</v>
      </c>
      <c r="E2456" t="s">
        <v>33803</v>
      </c>
      <c r="F2456" t="s">
        <v>38</v>
      </c>
      <c r="G2456" t="s">
        <v>34138</v>
      </c>
      <c r="H2456" t="s">
        <v>26004</v>
      </c>
      <c r="I2456" s="26">
        <v>40255</v>
      </c>
      <c r="J2456">
        <v>2010</v>
      </c>
      <c r="K2456" t="s">
        <v>33811</v>
      </c>
      <c r="L2456">
        <v>197</v>
      </c>
      <c r="M2456" t="s">
        <v>35141</v>
      </c>
      <c r="N2456">
        <v>1</v>
      </c>
      <c r="O2456" t="s">
        <v>35142</v>
      </c>
      <c r="Q2456" t="s">
        <v>35143</v>
      </c>
      <c r="R2456" t="s">
        <v>26937</v>
      </c>
      <c r="S2456" t="s">
        <v>35144</v>
      </c>
      <c r="T2456" t="s">
        <v>30</v>
      </c>
      <c r="U2456" t="s">
        <v>26679</v>
      </c>
      <c r="W2456" t="s">
        <v>26009</v>
      </c>
    </row>
    <row r="2457" spans="1:23" x14ac:dyDescent="0.35">
      <c r="A2457">
        <v>616288</v>
      </c>
      <c r="B2457" t="s">
        <v>35145</v>
      </c>
      <c r="C2457" t="str">
        <f>"9780765707543"</f>
        <v>9780765707543</v>
      </c>
      <c r="D2457" t="str">
        <f>"9780765707567"</f>
        <v>9780765707567</v>
      </c>
      <c r="E2457" t="s">
        <v>33803</v>
      </c>
      <c r="F2457" t="s">
        <v>38</v>
      </c>
      <c r="G2457" t="s">
        <v>34138</v>
      </c>
      <c r="H2457" t="s">
        <v>26004</v>
      </c>
      <c r="I2457" s="26">
        <v>40331</v>
      </c>
      <c r="J2457">
        <v>2010</v>
      </c>
      <c r="K2457" t="s">
        <v>33811</v>
      </c>
      <c r="L2457">
        <v>270</v>
      </c>
      <c r="M2457" t="s">
        <v>35146</v>
      </c>
      <c r="N2457">
        <v>1</v>
      </c>
      <c r="Q2457" t="s">
        <v>35147</v>
      </c>
      <c r="R2457" t="s">
        <v>30361</v>
      </c>
      <c r="S2457" t="s">
        <v>35148</v>
      </c>
      <c r="T2457" t="s">
        <v>30</v>
      </c>
      <c r="U2457" t="s">
        <v>26116</v>
      </c>
      <c r="W2457" t="s">
        <v>26009</v>
      </c>
    </row>
    <row r="2458" spans="1:23" x14ac:dyDescent="0.35">
      <c r="A2458">
        <v>616289</v>
      </c>
      <c r="B2458" t="s">
        <v>35149</v>
      </c>
      <c r="C2458" t="str">
        <f>"9780765707635"</f>
        <v>9780765707635</v>
      </c>
      <c r="D2458" t="str">
        <f>"9780765707659"</f>
        <v>9780765707659</v>
      </c>
      <c r="E2458" t="s">
        <v>33803</v>
      </c>
      <c r="F2458" t="s">
        <v>38</v>
      </c>
      <c r="G2458" t="s">
        <v>33804</v>
      </c>
      <c r="H2458" t="s">
        <v>26004</v>
      </c>
      <c r="I2458" s="26">
        <v>40298</v>
      </c>
      <c r="J2458">
        <v>2010</v>
      </c>
      <c r="K2458" t="s">
        <v>33811</v>
      </c>
      <c r="L2458">
        <v>159</v>
      </c>
      <c r="M2458" t="s">
        <v>35150</v>
      </c>
      <c r="N2458">
        <v>1</v>
      </c>
      <c r="Q2458" t="s">
        <v>35151</v>
      </c>
      <c r="R2458" t="s">
        <v>35152</v>
      </c>
      <c r="S2458" t="s">
        <v>35153</v>
      </c>
      <c r="T2458" t="s">
        <v>30</v>
      </c>
      <c r="U2458" t="s">
        <v>29704</v>
      </c>
      <c r="W2458" t="s">
        <v>26009</v>
      </c>
    </row>
    <row r="2459" spans="1:23" x14ac:dyDescent="0.35">
      <c r="A2459">
        <v>616290</v>
      </c>
      <c r="B2459" t="s">
        <v>35154</v>
      </c>
      <c r="C2459" t="str">
        <f>"9780765707666"</f>
        <v>9780765707666</v>
      </c>
      <c r="D2459" t="str">
        <f>"9780765707680"</f>
        <v>9780765707680</v>
      </c>
      <c r="E2459" t="s">
        <v>33803</v>
      </c>
      <c r="F2459" t="s">
        <v>38</v>
      </c>
      <c r="G2459" t="s">
        <v>33804</v>
      </c>
      <c r="H2459" t="s">
        <v>26004</v>
      </c>
      <c r="I2459" s="26">
        <v>40396</v>
      </c>
      <c r="J2459">
        <v>2010</v>
      </c>
      <c r="K2459" t="s">
        <v>33811</v>
      </c>
      <c r="L2459">
        <v>156</v>
      </c>
      <c r="M2459" t="s">
        <v>35155</v>
      </c>
      <c r="N2459">
        <v>1</v>
      </c>
      <c r="Q2459" t="s">
        <v>35156</v>
      </c>
      <c r="R2459" t="s">
        <v>35157</v>
      </c>
      <c r="S2459" t="s">
        <v>35158</v>
      </c>
      <c r="T2459" t="s">
        <v>30</v>
      </c>
      <c r="U2459" t="s">
        <v>26116</v>
      </c>
      <c r="W2459" t="s">
        <v>26009</v>
      </c>
    </row>
    <row r="2460" spans="1:23" x14ac:dyDescent="0.35">
      <c r="A2460">
        <v>616291</v>
      </c>
      <c r="B2460" t="s">
        <v>35159</v>
      </c>
      <c r="C2460" t="str">
        <f>"9780765707789"</f>
        <v>9780765707789</v>
      </c>
      <c r="D2460" t="str">
        <f>"9780765707802"</f>
        <v>9780765707802</v>
      </c>
      <c r="E2460" t="s">
        <v>33803</v>
      </c>
      <c r="F2460" t="s">
        <v>38</v>
      </c>
      <c r="G2460" t="s">
        <v>34138</v>
      </c>
      <c r="H2460" t="s">
        <v>26004</v>
      </c>
      <c r="I2460" s="26">
        <v>40331</v>
      </c>
      <c r="J2460">
        <v>2010</v>
      </c>
      <c r="K2460" t="s">
        <v>33811</v>
      </c>
      <c r="L2460">
        <v>307</v>
      </c>
      <c r="M2460" t="s">
        <v>35160</v>
      </c>
      <c r="N2460">
        <v>1</v>
      </c>
      <c r="Q2460" t="s">
        <v>35161</v>
      </c>
      <c r="R2460" t="s">
        <v>27122</v>
      </c>
      <c r="S2460" t="s">
        <v>35162</v>
      </c>
      <c r="T2460" t="s">
        <v>30</v>
      </c>
      <c r="U2460" t="s">
        <v>26116</v>
      </c>
      <c r="W2460" t="s">
        <v>26009</v>
      </c>
    </row>
    <row r="2461" spans="1:23" x14ac:dyDescent="0.35">
      <c r="A2461">
        <v>616293</v>
      </c>
      <c r="B2461" t="s">
        <v>35163</v>
      </c>
      <c r="C2461" t="str">
        <f>"9780765707840"</f>
        <v>9780765707840</v>
      </c>
      <c r="D2461" t="str">
        <f>"9780765707864"</f>
        <v>9780765707864</v>
      </c>
      <c r="E2461" t="s">
        <v>33803</v>
      </c>
      <c r="F2461" t="s">
        <v>38</v>
      </c>
      <c r="G2461" t="s">
        <v>34138</v>
      </c>
      <c r="H2461" t="s">
        <v>26004</v>
      </c>
      <c r="I2461" s="26">
        <v>40310</v>
      </c>
      <c r="J2461">
        <v>2010</v>
      </c>
      <c r="K2461" t="s">
        <v>33811</v>
      </c>
      <c r="L2461">
        <v>181</v>
      </c>
      <c r="M2461" t="s">
        <v>35164</v>
      </c>
      <c r="N2461">
        <v>1</v>
      </c>
      <c r="Q2461" t="s">
        <v>35165</v>
      </c>
      <c r="R2461" t="s">
        <v>26422</v>
      </c>
      <c r="S2461" t="s">
        <v>35166</v>
      </c>
      <c r="T2461" t="s">
        <v>30</v>
      </c>
      <c r="U2461" t="s">
        <v>26116</v>
      </c>
      <c r="W2461" t="s">
        <v>26009</v>
      </c>
    </row>
    <row r="2462" spans="1:23" x14ac:dyDescent="0.35">
      <c r="A2462">
        <v>616339</v>
      </c>
      <c r="B2462" t="s">
        <v>8462</v>
      </c>
      <c r="C2462" t="str">
        <f>"9781442204034"</f>
        <v>9781442204034</v>
      </c>
      <c r="D2462" t="str">
        <f>"9781442204058"</f>
        <v>9781442204058</v>
      </c>
      <c r="E2462" t="s">
        <v>33803</v>
      </c>
      <c r="F2462" t="s">
        <v>38</v>
      </c>
      <c r="G2462" t="s">
        <v>34328</v>
      </c>
      <c r="H2462" t="s">
        <v>26004</v>
      </c>
      <c r="I2462" s="26">
        <v>40314</v>
      </c>
      <c r="J2462">
        <v>2010</v>
      </c>
      <c r="K2462" t="s">
        <v>38</v>
      </c>
      <c r="L2462">
        <v>135</v>
      </c>
      <c r="M2462" t="s">
        <v>35167</v>
      </c>
      <c r="N2462">
        <v>1</v>
      </c>
      <c r="Q2462" t="s">
        <v>35168</v>
      </c>
      <c r="R2462" t="s">
        <v>26047</v>
      </c>
      <c r="S2462" t="s">
        <v>35169</v>
      </c>
      <c r="T2462" t="s">
        <v>30</v>
      </c>
      <c r="U2462" t="s">
        <v>46</v>
      </c>
      <c r="W2462" t="s">
        <v>26009</v>
      </c>
    </row>
    <row r="2463" spans="1:23" x14ac:dyDescent="0.35">
      <c r="A2463">
        <v>617055</v>
      </c>
      <c r="B2463" t="s">
        <v>35170</v>
      </c>
      <c r="C2463" t="str">
        <f>"9780313346644"</f>
        <v>9780313346644</v>
      </c>
      <c r="D2463" t="str">
        <f>"9780313346651"</f>
        <v>9780313346651</v>
      </c>
      <c r="E2463" t="s">
        <v>28336</v>
      </c>
      <c r="F2463" t="s">
        <v>28340</v>
      </c>
      <c r="G2463" t="s">
        <v>22179</v>
      </c>
      <c r="H2463" t="s">
        <v>26004</v>
      </c>
      <c r="I2463" s="26">
        <v>40513</v>
      </c>
      <c r="J2463">
        <v>2011</v>
      </c>
      <c r="K2463" t="s">
        <v>28341</v>
      </c>
      <c r="L2463">
        <v>191</v>
      </c>
      <c r="M2463" t="s">
        <v>35171</v>
      </c>
      <c r="N2463">
        <v>1</v>
      </c>
      <c r="Q2463" t="s">
        <v>35172</v>
      </c>
      <c r="R2463">
        <v>617.70000000000005</v>
      </c>
      <c r="S2463" t="s">
        <v>35173</v>
      </c>
      <c r="T2463" t="s">
        <v>30</v>
      </c>
      <c r="U2463" t="s">
        <v>26040</v>
      </c>
      <c r="W2463" t="s">
        <v>28347</v>
      </c>
    </row>
    <row r="2464" spans="1:23" x14ac:dyDescent="0.35">
      <c r="A2464">
        <v>617125</v>
      </c>
      <c r="B2464" t="s">
        <v>35174</v>
      </c>
      <c r="C2464" t="str">
        <f>"9780313385551"</f>
        <v>9780313385551</v>
      </c>
      <c r="D2464" t="str">
        <f>"9780313385568"</f>
        <v>9780313385568</v>
      </c>
      <c r="E2464" t="s">
        <v>28336</v>
      </c>
      <c r="F2464" t="s">
        <v>28340</v>
      </c>
      <c r="G2464" t="s">
        <v>22179</v>
      </c>
      <c r="H2464" t="s">
        <v>26004</v>
      </c>
      <c r="I2464" s="26">
        <v>40484</v>
      </c>
      <c r="J2464">
        <v>2011</v>
      </c>
      <c r="K2464" t="s">
        <v>28341</v>
      </c>
      <c r="L2464">
        <v>192</v>
      </c>
      <c r="M2464" t="s">
        <v>35175</v>
      </c>
      <c r="N2464">
        <v>1</v>
      </c>
      <c r="Q2464" t="s">
        <v>35176</v>
      </c>
      <c r="R2464">
        <v>158.19999999999999</v>
      </c>
      <c r="S2464" t="s">
        <v>35177</v>
      </c>
      <c r="T2464" t="s">
        <v>30</v>
      </c>
      <c r="U2464" t="s">
        <v>46</v>
      </c>
      <c r="W2464" t="s">
        <v>28347</v>
      </c>
    </row>
    <row r="2465" spans="1:23" x14ac:dyDescent="0.35">
      <c r="A2465">
        <v>617126</v>
      </c>
      <c r="B2465" t="s">
        <v>35178</v>
      </c>
      <c r="C2465" t="str">
        <f>"9780313356322"</f>
        <v>9780313356322</v>
      </c>
      <c r="D2465" t="str">
        <f>"9780313356339"</f>
        <v>9780313356339</v>
      </c>
      <c r="E2465" t="s">
        <v>28336</v>
      </c>
      <c r="F2465" t="s">
        <v>28340</v>
      </c>
      <c r="G2465" t="s">
        <v>22179</v>
      </c>
      <c r="H2465" t="s">
        <v>26004</v>
      </c>
      <c r="I2465" s="26">
        <v>40472</v>
      </c>
      <c r="J2465">
        <v>2010</v>
      </c>
      <c r="K2465" t="s">
        <v>28341</v>
      </c>
      <c r="L2465">
        <v>412</v>
      </c>
      <c r="M2465" t="s">
        <v>35179</v>
      </c>
      <c r="N2465">
        <v>1</v>
      </c>
      <c r="Q2465" t="s">
        <v>35180</v>
      </c>
      <c r="R2465">
        <v>615.85119999999995</v>
      </c>
      <c r="S2465" t="s">
        <v>35181</v>
      </c>
      <c r="T2465" t="s">
        <v>30</v>
      </c>
      <c r="U2465" t="s">
        <v>26116</v>
      </c>
      <c r="W2465" t="s">
        <v>28347</v>
      </c>
    </row>
    <row r="2466" spans="1:23" x14ac:dyDescent="0.35">
      <c r="A2466">
        <v>617260</v>
      </c>
      <c r="B2466" t="s">
        <v>35182</v>
      </c>
      <c r="C2466" t="str">
        <f>"9780691144504"</f>
        <v>9780691144504</v>
      </c>
      <c r="D2466" t="str">
        <f>"9781400836659"</f>
        <v>9781400836659</v>
      </c>
      <c r="E2466" t="s">
        <v>33468</v>
      </c>
      <c r="F2466" t="s">
        <v>7517</v>
      </c>
      <c r="G2466" t="s">
        <v>23592</v>
      </c>
      <c r="H2466" t="s">
        <v>26004</v>
      </c>
      <c r="I2466" s="26">
        <v>40489</v>
      </c>
      <c r="J2466">
        <v>2011</v>
      </c>
      <c r="K2466" t="s">
        <v>7517</v>
      </c>
      <c r="L2466">
        <v>266</v>
      </c>
      <c r="M2466" t="s">
        <v>35183</v>
      </c>
      <c r="N2466">
        <v>1</v>
      </c>
      <c r="R2466">
        <v>362.29</v>
      </c>
      <c r="T2466" t="s">
        <v>30</v>
      </c>
      <c r="U2466" t="s">
        <v>26094</v>
      </c>
      <c r="W2466" t="s">
        <v>28347</v>
      </c>
    </row>
    <row r="2467" spans="1:23" x14ac:dyDescent="0.35">
      <c r="A2467">
        <v>617264</v>
      </c>
      <c r="B2467" t="s">
        <v>35184</v>
      </c>
      <c r="C2467" t="str">
        <f>"9780691086323"</f>
        <v>9780691086323</v>
      </c>
      <c r="D2467" t="str">
        <f>"9781400820788"</f>
        <v>9781400820788</v>
      </c>
      <c r="E2467" t="s">
        <v>33468</v>
      </c>
      <c r="F2467" t="s">
        <v>7517</v>
      </c>
      <c r="G2467" t="s">
        <v>23592</v>
      </c>
      <c r="H2467" t="s">
        <v>26004</v>
      </c>
      <c r="I2467" s="26">
        <v>33853</v>
      </c>
      <c r="J2467">
        <v>1993</v>
      </c>
      <c r="K2467" t="s">
        <v>7517</v>
      </c>
      <c r="L2467">
        <v>225</v>
      </c>
      <c r="M2467" t="s">
        <v>35185</v>
      </c>
      <c r="N2467">
        <v>1</v>
      </c>
      <c r="R2467" t="s">
        <v>35186</v>
      </c>
      <c r="T2467" t="s">
        <v>30</v>
      </c>
      <c r="U2467" t="s">
        <v>46</v>
      </c>
      <c r="W2467" t="s">
        <v>28347</v>
      </c>
    </row>
    <row r="2468" spans="1:23" x14ac:dyDescent="0.35">
      <c r="A2468">
        <v>617285</v>
      </c>
      <c r="B2468" t="s">
        <v>35187</v>
      </c>
      <c r="C2468" t="str">
        <f>"9780691059082"</f>
        <v>9780691059082</v>
      </c>
      <c r="D2468" t="str">
        <f>"9781400821686"</f>
        <v>9781400821686</v>
      </c>
      <c r="E2468" t="s">
        <v>33468</v>
      </c>
      <c r="F2468" t="s">
        <v>7517</v>
      </c>
      <c r="G2468" t="s">
        <v>23592</v>
      </c>
      <c r="H2468" t="s">
        <v>26004</v>
      </c>
      <c r="I2468" s="26">
        <v>34812</v>
      </c>
      <c r="J2468">
        <v>1995</v>
      </c>
      <c r="K2468" t="s">
        <v>7517</v>
      </c>
      <c r="L2468">
        <v>293</v>
      </c>
      <c r="M2468" t="s">
        <v>35188</v>
      </c>
      <c r="N2468">
        <v>1</v>
      </c>
      <c r="T2468" t="s">
        <v>30</v>
      </c>
      <c r="U2468" t="s">
        <v>46</v>
      </c>
      <c r="W2468" t="s">
        <v>28347</v>
      </c>
    </row>
    <row r="2469" spans="1:23" x14ac:dyDescent="0.35">
      <c r="A2469">
        <v>617289</v>
      </c>
      <c r="B2469" t="s">
        <v>35189</v>
      </c>
      <c r="C2469" t="str">
        <f>"9780691026275"</f>
        <v>9780691026275</v>
      </c>
      <c r="D2469" t="str">
        <f>"9781400821891"</f>
        <v>9781400821891</v>
      </c>
      <c r="E2469" t="s">
        <v>33468</v>
      </c>
      <c r="F2469" t="s">
        <v>7517</v>
      </c>
      <c r="G2469" t="s">
        <v>23592</v>
      </c>
      <c r="H2469" t="s">
        <v>26004</v>
      </c>
      <c r="I2469" s="26">
        <v>35190</v>
      </c>
      <c r="J2469">
        <v>1996</v>
      </c>
      <c r="K2469" t="s">
        <v>7517</v>
      </c>
      <c r="L2469">
        <v>215</v>
      </c>
      <c r="M2469" t="s">
        <v>31835</v>
      </c>
      <c r="N2469">
        <v>1</v>
      </c>
      <c r="R2469" t="s">
        <v>35190</v>
      </c>
      <c r="S2469" t="s">
        <v>35191</v>
      </c>
      <c r="T2469" t="s">
        <v>30</v>
      </c>
      <c r="U2469" t="s">
        <v>26040</v>
      </c>
      <c r="W2469" t="s">
        <v>28347</v>
      </c>
    </row>
    <row r="2470" spans="1:23" x14ac:dyDescent="0.35">
      <c r="A2470">
        <v>617290</v>
      </c>
      <c r="B2470" t="s">
        <v>35192</v>
      </c>
      <c r="C2470" t="str">
        <f>"9780691017235"</f>
        <v>9780691017235</v>
      </c>
      <c r="D2470" t="str">
        <f>"9781400821938"</f>
        <v>9781400821938</v>
      </c>
      <c r="E2470" t="s">
        <v>33468</v>
      </c>
      <c r="F2470" t="s">
        <v>7517</v>
      </c>
      <c r="G2470" t="s">
        <v>23592</v>
      </c>
      <c r="H2470" t="s">
        <v>26004</v>
      </c>
      <c r="I2470" s="26">
        <v>35075</v>
      </c>
      <c r="J2470">
        <v>1996</v>
      </c>
      <c r="K2470" t="s">
        <v>7517</v>
      </c>
      <c r="L2470">
        <v>338</v>
      </c>
      <c r="M2470" t="s">
        <v>35193</v>
      </c>
      <c r="N2470">
        <v>1</v>
      </c>
      <c r="R2470" t="s">
        <v>27184</v>
      </c>
      <c r="T2470" t="s">
        <v>30</v>
      </c>
      <c r="U2470" t="s">
        <v>26040</v>
      </c>
      <c r="W2470" t="s">
        <v>28347</v>
      </c>
    </row>
    <row r="2471" spans="1:23" x14ac:dyDescent="0.35">
      <c r="A2471">
        <v>617403</v>
      </c>
      <c r="B2471" t="s">
        <v>35194</v>
      </c>
      <c r="C2471" t="str">
        <f>"9780875866543"</f>
        <v>9780875866543</v>
      </c>
      <c r="D2471" t="str">
        <f>"9780875866550"</f>
        <v>9780875866550</v>
      </c>
      <c r="E2471" t="s">
        <v>7561</v>
      </c>
      <c r="F2471" t="s">
        <v>7561</v>
      </c>
      <c r="G2471" t="s">
        <v>22179</v>
      </c>
      <c r="H2471" t="s">
        <v>26004</v>
      </c>
      <c r="I2471" s="26">
        <v>40179</v>
      </c>
      <c r="J2471">
        <v>2010</v>
      </c>
      <c r="K2471" t="s">
        <v>7561</v>
      </c>
      <c r="L2471">
        <v>107</v>
      </c>
      <c r="M2471" t="s">
        <v>35195</v>
      </c>
      <c r="N2471">
        <v>1</v>
      </c>
      <c r="Q2471" t="s">
        <v>35196</v>
      </c>
      <c r="R2471" t="s">
        <v>27122</v>
      </c>
      <c r="S2471" t="s">
        <v>35197</v>
      </c>
      <c r="T2471" t="s">
        <v>30</v>
      </c>
      <c r="U2471" t="s">
        <v>26019</v>
      </c>
      <c r="W2471" t="s">
        <v>26009</v>
      </c>
    </row>
    <row r="2472" spans="1:23" x14ac:dyDescent="0.35">
      <c r="A2472">
        <v>618617</v>
      </c>
      <c r="B2472" t="s">
        <v>35198</v>
      </c>
      <c r="C2472" t="str">
        <f>"9780199772667"</f>
        <v>9780199772667</v>
      </c>
      <c r="D2472" t="str">
        <f>"9780199813339"</f>
        <v>9780199813339</v>
      </c>
      <c r="E2472" t="s">
        <v>371</v>
      </c>
      <c r="F2472" t="s">
        <v>31</v>
      </c>
      <c r="G2472" t="s">
        <v>22179</v>
      </c>
      <c r="H2472" t="s">
        <v>26004</v>
      </c>
      <c r="I2472" s="26">
        <v>40526</v>
      </c>
      <c r="J2472">
        <v>2010</v>
      </c>
      <c r="K2472" t="s">
        <v>31</v>
      </c>
      <c r="L2472">
        <v>172</v>
      </c>
      <c r="M2472" t="s">
        <v>35199</v>
      </c>
      <c r="O2472" t="s">
        <v>28565</v>
      </c>
      <c r="Q2472" t="s">
        <v>35200</v>
      </c>
      <c r="R2472" t="s">
        <v>28830</v>
      </c>
      <c r="S2472" t="s">
        <v>35201</v>
      </c>
      <c r="T2472" t="s">
        <v>30</v>
      </c>
      <c r="U2472" t="s">
        <v>26116</v>
      </c>
      <c r="W2472" t="s">
        <v>26009</v>
      </c>
    </row>
    <row r="2473" spans="1:23" x14ac:dyDescent="0.35">
      <c r="A2473">
        <v>619188</v>
      </c>
      <c r="B2473" t="s">
        <v>9031</v>
      </c>
      <c r="C2473" t="str">
        <f>"9781861348869"</f>
        <v>9781861348869</v>
      </c>
      <c r="D2473" t="str">
        <f>"9781847428981"</f>
        <v>9781847428981</v>
      </c>
      <c r="E2473" t="s">
        <v>4632</v>
      </c>
      <c r="F2473" t="s">
        <v>4632</v>
      </c>
      <c r="G2473" t="s">
        <v>24532</v>
      </c>
      <c r="H2473" t="s">
        <v>26011</v>
      </c>
      <c r="I2473" s="26">
        <v>40422</v>
      </c>
      <c r="J2473">
        <v>2010</v>
      </c>
      <c r="K2473" t="s">
        <v>4632</v>
      </c>
      <c r="L2473">
        <v>249</v>
      </c>
      <c r="M2473" t="s">
        <v>35202</v>
      </c>
      <c r="N2473">
        <v>1</v>
      </c>
      <c r="O2473" t="s">
        <v>35203</v>
      </c>
      <c r="R2473">
        <v>362.60941000000003</v>
      </c>
      <c r="T2473" t="s">
        <v>30</v>
      </c>
      <c r="U2473" t="s">
        <v>26044</v>
      </c>
      <c r="W2473" t="s">
        <v>26009</v>
      </c>
    </row>
    <row r="2474" spans="1:23" x14ac:dyDescent="0.35">
      <c r="A2474">
        <v>619240</v>
      </c>
      <c r="B2474" t="s">
        <v>9054</v>
      </c>
      <c r="C2474" t="str">
        <f>"9780816624447"</f>
        <v>9780816624447</v>
      </c>
      <c r="D2474" t="str">
        <f>"9780816675203"</f>
        <v>9780816675203</v>
      </c>
      <c r="E2474" t="s">
        <v>7471</v>
      </c>
      <c r="F2474" t="s">
        <v>7471</v>
      </c>
      <c r="G2474" t="s">
        <v>23536</v>
      </c>
      <c r="H2474" t="s">
        <v>26004</v>
      </c>
      <c r="I2474" s="26">
        <v>40492</v>
      </c>
      <c r="J2474">
        <v>2010</v>
      </c>
      <c r="K2474" t="s">
        <v>7471</v>
      </c>
      <c r="L2474">
        <v>332</v>
      </c>
      <c r="M2474" t="s">
        <v>35204</v>
      </c>
      <c r="N2474">
        <v>1</v>
      </c>
      <c r="Q2474" t="s">
        <v>35205</v>
      </c>
      <c r="R2474" t="s">
        <v>35206</v>
      </c>
      <c r="S2474" t="s">
        <v>35207</v>
      </c>
      <c r="T2474" t="s">
        <v>30</v>
      </c>
      <c r="U2474" t="s">
        <v>46</v>
      </c>
      <c r="W2474" t="s">
        <v>26009</v>
      </c>
    </row>
    <row r="2475" spans="1:23" x14ac:dyDescent="0.35">
      <c r="A2475">
        <v>619256</v>
      </c>
      <c r="B2475" t="s">
        <v>8335</v>
      </c>
      <c r="C2475" t="str">
        <f>"9781848135604"</f>
        <v>9781848135604</v>
      </c>
      <c r="D2475" t="str">
        <f>"9781848135666"</f>
        <v>9781848135666</v>
      </c>
      <c r="E2475" t="s">
        <v>31671</v>
      </c>
      <c r="F2475" t="s">
        <v>7474</v>
      </c>
      <c r="G2475" t="s">
        <v>22174</v>
      </c>
      <c r="H2475" t="s">
        <v>26011</v>
      </c>
      <c r="I2475" s="26">
        <v>40452</v>
      </c>
      <c r="J2475">
        <v>2010</v>
      </c>
      <c r="K2475" t="s">
        <v>31672</v>
      </c>
      <c r="L2475">
        <v>274</v>
      </c>
      <c r="M2475" t="s">
        <v>35208</v>
      </c>
      <c r="N2475">
        <v>1</v>
      </c>
      <c r="Q2475" t="s">
        <v>35209</v>
      </c>
      <c r="R2475">
        <v>305.80094000000003</v>
      </c>
      <c r="S2475" t="s">
        <v>35210</v>
      </c>
      <c r="T2475" t="s">
        <v>30</v>
      </c>
      <c r="U2475" t="s">
        <v>26044</v>
      </c>
      <c r="W2475" t="s">
        <v>28347</v>
      </c>
    </row>
    <row r="2476" spans="1:23" x14ac:dyDescent="0.35">
      <c r="A2476">
        <v>622256</v>
      </c>
      <c r="B2476" t="s">
        <v>7609</v>
      </c>
      <c r="C2476" t="str">
        <f>"9789027251756"</f>
        <v>9789027251756</v>
      </c>
      <c r="D2476" t="str">
        <f>"9789027296405"</f>
        <v>9789027296405</v>
      </c>
      <c r="E2476" t="s">
        <v>35211</v>
      </c>
      <c r="F2476" t="s">
        <v>7610</v>
      </c>
      <c r="G2476" t="s">
        <v>22190</v>
      </c>
      <c r="H2476" t="s">
        <v>27983</v>
      </c>
      <c r="I2476" s="26">
        <v>37591</v>
      </c>
      <c r="J2476">
        <v>2003</v>
      </c>
      <c r="K2476" t="s">
        <v>7610</v>
      </c>
      <c r="L2476">
        <v>395</v>
      </c>
      <c r="M2476" t="s">
        <v>35212</v>
      </c>
      <c r="N2476">
        <v>1</v>
      </c>
      <c r="Q2476" t="s">
        <v>35213</v>
      </c>
      <c r="R2476" t="s">
        <v>27417</v>
      </c>
      <c r="S2476" t="s">
        <v>35214</v>
      </c>
      <c r="T2476" t="s">
        <v>30</v>
      </c>
      <c r="U2476" t="s">
        <v>46</v>
      </c>
      <c r="W2476" t="s">
        <v>26009</v>
      </c>
    </row>
    <row r="2477" spans="1:23" x14ac:dyDescent="0.35">
      <c r="A2477">
        <v>622260</v>
      </c>
      <c r="B2477" t="s">
        <v>7632</v>
      </c>
      <c r="C2477" t="str">
        <f>"9789027251589"</f>
        <v>9789027251589</v>
      </c>
      <c r="D2477" t="str">
        <f>"9789027297884"</f>
        <v>9789027297884</v>
      </c>
      <c r="E2477" t="s">
        <v>35211</v>
      </c>
      <c r="F2477" t="s">
        <v>7610</v>
      </c>
      <c r="G2477" t="s">
        <v>22190</v>
      </c>
      <c r="H2477" t="s">
        <v>27983</v>
      </c>
      <c r="I2477" s="26">
        <v>37405</v>
      </c>
      <c r="J2477">
        <v>2002</v>
      </c>
      <c r="K2477" t="s">
        <v>7610</v>
      </c>
      <c r="L2477">
        <v>289</v>
      </c>
      <c r="M2477" t="s">
        <v>35215</v>
      </c>
      <c r="N2477">
        <v>1</v>
      </c>
      <c r="Q2477" t="s">
        <v>35216</v>
      </c>
      <c r="R2477" t="s">
        <v>35217</v>
      </c>
      <c r="S2477" t="s">
        <v>35218</v>
      </c>
      <c r="T2477" t="s">
        <v>30</v>
      </c>
      <c r="U2477" t="s">
        <v>28991</v>
      </c>
      <c r="W2477" t="s">
        <v>26009</v>
      </c>
    </row>
    <row r="2478" spans="1:23" x14ac:dyDescent="0.35">
      <c r="A2478">
        <v>622270</v>
      </c>
      <c r="B2478" t="s">
        <v>35219</v>
      </c>
      <c r="C2478" t="str">
        <f>"9789027251428"</f>
        <v>9789027251428</v>
      </c>
      <c r="D2478" t="str">
        <f>"9789027299925"</f>
        <v>9789027299925</v>
      </c>
      <c r="E2478" t="s">
        <v>35211</v>
      </c>
      <c r="F2478" t="s">
        <v>7610</v>
      </c>
      <c r="G2478" t="s">
        <v>22190</v>
      </c>
      <c r="H2478" t="s">
        <v>27983</v>
      </c>
      <c r="I2478" s="26">
        <v>36844</v>
      </c>
      <c r="J2478">
        <v>2000</v>
      </c>
      <c r="K2478" t="s">
        <v>7610</v>
      </c>
      <c r="L2478">
        <v>384</v>
      </c>
      <c r="M2478" t="s">
        <v>35220</v>
      </c>
      <c r="N2478">
        <v>1</v>
      </c>
      <c r="Q2478" t="s">
        <v>35221</v>
      </c>
      <c r="R2478">
        <v>153</v>
      </c>
      <c r="S2478" t="s">
        <v>35222</v>
      </c>
      <c r="T2478" t="s">
        <v>30</v>
      </c>
      <c r="U2478" t="s">
        <v>28671</v>
      </c>
      <c r="W2478" t="s">
        <v>26009</v>
      </c>
    </row>
    <row r="2479" spans="1:23" x14ac:dyDescent="0.35">
      <c r="A2479">
        <v>622279</v>
      </c>
      <c r="B2479" t="s">
        <v>35223</v>
      </c>
      <c r="C2479" t="str">
        <f>"9789027251985"</f>
        <v>9789027251985</v>
      </c>
      <c r="D2479" t="str">
        <f>"9789027294401"</f>
        <v>9789027294401</v>
      </c>
      <c r="E2479" t="s">
        <v>35211</v>
      </c>
      <c r="F2479" t="s">
        <v>7610</v>
      </c>
      <c r="G2479" t="s">
        <v>22190</v>
      </c>
      <c r="H2479" t="s">
        <v>27983</v>
      </c>
      <c r="I2479" s="26">
        <v>38561</v>
      </c>
      <c r="J2479">
        <v>2005</v>
      </c>
      <c r="K2479" t="s">
        <v>7610</v>
      </c>
      <c r="L2479">
        <v>356</v>
      </c>
      <c r="M2479" t="s">
        <v>35224</v>
      </c>
      <c r="N2479">
        <v>1</v>
      </c>
      <c r="Q2479" t="s">
        <v>35225</v>
      </c>
      <c r="R2479">
        <v>153.69999999999999</v>
      </c>
      <c r="S2479" t="s">
        <v>35226</v>
      </c>
      <c r="T2479" t="s">
        <v>30</v>
      </c>
      <c r="U2479" t="s">
        <v>46</v>
      </c>
      <c r="W2479" t="s">
        <v>26009</v>
      </c>
    </row>
    <row r="2480" spans="1:23" x14ac:dyDescent="0.35">
      <c r="A2480">
        <v>622280</v>
      </c>
      <c r="B2480" t="s">
        <v>35227</v>
      </c>
      <c r="C2480" t="str">
        <f>"9789027251947"</f>
        <v>9789027251947</v>
      </c>
      <c r="D2480" t="str">
        <f>"9789027295361"</f>
        <v>9789027295361</v>
      </c>
      <c r="E2480" t="s">
        <v>35211</v>
      </c>
      <c r="F2480" t="s">
        <v>7610</v>
      </c>
      <c r="G2480" t="s">
        <v>22190</v>
      </c>
      <c r="H2480" t="s">
        <v>27983</v>
      </c>
      <c r="I2480" s="26">
        <v>38247</v>
      </c>
      <c r="J2480">
        <v>2004</v>
      </c>
      <c r="K2480" t="s">
        <v>7610</v>
      </c>
      <c r="L2480">
        <v>368</v>
      </c>
      <c r="M2480" t="s">
        <v>35228</v>
      </c>
      <c r="N2480">
        <v>1</v>
      </c>
      <c r="Q2480" t="s">
        <v>35229</v>
      </c>
      <c r="R2480">
        <v>153</v>
      </c>
      <c r="S2480" t="s">
        <v>35230</v>
      </c>
      <c r="T2480" t="s">
        <v>30</v>
      </c>
      <c r="U2480" t="s">
        <v>28671</v>
      </c>
      <c r="W2480" t="s">
        <v>26009</v>
      </c>
    </row>
    <row r="2481" spans="1:23" x14ac:dyDescent="0.35">
      <c r="A2481">
        <v>622287</v>
      </c>
      <c r="B2481" t="s">
        <v>35231</v>
      </c>
      <c r="C2481" t="str">
        <f>"9789027251367"</f>
        <v>9789027251367</v>
      </c>
      <c r="D2481" t="str">
        <f>"9789027299963"</f>
        <v>9789027299963</v>
      </c>
      <c r="E2481" t="s">
        <v>35211</v>
      </c>
      <c r="F2481" t="s">
        <v>7610</v>
      </c>
      <c r="G2481" t="s">
        <v>22190</v>
      </c>
      <c r="H2481" t="s">
        <v>27983</v>
      </c>
      <c r="I2481" s="26">
        <v>36844</v>
      </c>
      <c r="J2481">
        <v>2000</v>
      </c>
      <c r="K2481" t="s">
        <v>7610</v>
      </c>
      <c r="L2481">
        <v>302</v>
      </c>
      <c r="M2481" t="s">
        <v>35232</v>
      </c>
      <c r="N2481">
        <v>1</v>
      </c>
      <c r="Q2481" t="s">
        <v>35233</v>
      </c>
      <c r="R2481">
        <v>153</v>
      </c>
      <c r="S2481" t="s">
        <v>35234</v>
      </c>
      <c r="T2481" t="s">
        <v>30</v>
      </c>
      <c r="U2481" t="s">
        <v>46</v>
      </c>
      <c r="W2481" t="s">
        <v>26009</v>
      </c>
    </row>
    <row r="2482" spans="1:23" x14ac:dyDescent="0.35">
      <c r="A2482">
        <v>622293</v>
      </c>
      <c r="B2482" t="s">
        <v>7776</v>
      </c>
      <c r="C2482" t="str">
        <f>"9789027223746"</f>
        <v>9789027223746</v>
      </c>
      <c r="D2482" t="str">
        <f>"9789027292674"</f>
        <v>9789027292674</v>
      </c>
      <c r="E2482" t="s">
        <v>35211</v>
      </c>
      <c r="F2482" t="s">
        <v>7610</v>
      </c>
      <c r="G2482" t="s">
        <v>22222</v>
      </c>
      <c r="H2482" t="s">
        <v>27983</v>
      </c>
      <c r="I2482" s="26">
        <v>39190</v>
      </c>
      <c r="J2482">
        <v>2007</v>
      </c>
      <c r="K2482" t="s">
        <v>7610</v>
      </c>
      <c r="L2482">
        <v>380</v>
      </c>
      <c r="M2482" t="s">
        <v>35235</v>
      </c>
      <c r="N2482">
        <v>1</v>
      </c>
      <c r="Q2482" t="s">
        <v>35236</v>
      </c>
      <c r="R2482">
        <v>401.9</v>
      </c>
      <c r="S2482" t="s">
        <v>35237</v>
      </c>
      <c r="T2482" t="s">
        <v>30</v>
      </c>
      <c r="U2482" t="s">
        <v>28384</v>
      </c>
      <c r="W2482" t="s">
        <v>26009</v>
      </c>
    </row>
    <row r="2483" spans="1:23" x14ac:dyDescent="0.35">
      <c r="A2483">
        <v>622315</v>
      </c>
      <c r="B2483" t="s">
        <v>35238</v>
      </c>
      <c r="C2483" t="str">
        <f>"9789027222466"</f>
        <v>9789027222466</v>
      </c>
      <c r="D2483" t="str">
        <f>"9789027289643"</f>
        <v>9789027289643</v>
      </c>
      <c r="E2483" t="s">
        <v>35211</v>
      </c>
      <c r="F2483" t="s">
        <v>7610</v>
      </c>
      <c r="G2483" t="s">
        <v>22222</v>
      </c>
      <c r="H2483" t="s">
        <v>27983</v>
      </c>
      <c r="I2483" s="26">
        <v>39799</v>
      </c>
      <c r="J2483">
        <v>2008</v>
      </c>
      <c r="K2483" t="s">
        <v>7610</v>
      </c>
      <c r="L2483">
        <v>274</v>
      </c>
      <c r="M2483" t="s">
        <v>35239</v>
      </c>
      <c r="N2483">
        <v>1</v>
      </c>
      <c r="Q2483" t="s">
        <v>35240</v>
      </c>
      <c r="R2483">
        <v>153</v>
      </c>
      <c r="S2483" t="s">
        <v>35241</v>
      </c>
      <c r="T2483" t="s">
        <v>30</v>
      </c>
      <c r="U2483" t="s">
        <v>46</v>
      </c>
      <c r="W2483" t="s">
        <v>26009</v>
      </c>
    </row>
    <row r="2484" spans="1:23" x14ac:dyDescent="0.35">
      <c r="A2484">
        <v>622347</v>
      </c>
      <c r="B2484" t="s">
        <v>35242</v>
      </c>
      <c r="C2484" t="str">
        <f>"9789027232281"</f>
        <v>9789027232281</v>
      </c>
      <c r="D2484" t="str">
        <f>"9789027294616"</f>
        <v>9789027294616</v>
      </c>
      <c r="E2484" t="s">
        <v>35211</v>
      </c>
      <c r="F2484" t="s">
        <v>7610</v>
      </c>
      <c r="G2484" t="s">
        <v>22190</v>
      </c>
      <c r="H2484" t="s">
        <v>27983</v>
      </c>
      <c r="I2484" s="26">
        <v>38429</v>
      </c>
      <c r="J2484">
        <v>2005</v>
      </c>
      <c r="K2484" t="s">
        <v>7610</v>
      </c>
      <c r="L2484">
        <v>342</v>
      </c>
      <c r="M2484" t="s">
        <v>35232</v>
      </c>
      <c r="N2484">
        <v>1</v>
      </c>
      <c r="Q2484" t="s">
        <v>35243</v>
      </c>
      <c r="R2484">
        <v>152.4</v>
      </c>
      <c r="S2484" t="s">
        <v>35244</v>
      </c>
      <c r="T2484" t="s">
        <v>30</v>
      </c>
      <c r="U2484" t="s">
        <v>46</v>
      </c>
      <c r="W2484" t="s">
        <v>26009</v>
      </c>
    </row>
    <row r="2485" spans="1:23" x14ac:dyDescent="0.35">
      <c r="A2485">
        <v>622350</v>
      </c>
      <c r="B2485" t="s">
        <v>35245</v>
      </c>
      <c r="C2485" t="str">
        <f>"9789027251596"</f>
        <v>9789027251596</v>
      </c>
      <c r="D2485" t="str">
        <f>"9789027297877"</f>
        <v>9789027297877</v>
      </c>
      <c r="E2485" t="s">
        <v>35211</v>
      </c>
      <c r="F2485" t="s">
        <v>7610</v>
      </c>
      <c r="G2485" t="s">
        <v>22190</v>
      </c>
      <c r="H2485" t="s">
        <v>27983</v>
      </c>
      <c r="I2485" s="26">
        <v>37354</v>
      </c>
      <c r="J2485">
        <v>2002</v>
      </c>
      <c r="K2485" t="s">
        <v>7610</v>
      </c>
      <c r="L2485">
        <v>268</v>
      </c>
      <c r="M2485" t="s">
        <v>35246</v>
      </c>
      <c r="N2485">
        <v>1</v>
      </c>
      <c r="Q2485" t="s">
        <v>35247</v>
      </c>
      <c r="R2485">
        <v>153</v>
      </c>
      <c r="S2485" t="s">
        <v>35248</v>
      </c>
      <c r="T2485" t="s">
        <v>30</v>
      </c>
      <c r="U2485" t="s">
        <v>46</v>
      </c>
      <c r="W2485" t="s">
        <v>26009</v>
      </c>
    </row>
    <row r="2486" spans="1:23" x14ac:dyDescent="0.35">
      <c r="A2486">
        <v>622352</v>
      </c>
      <c r="B2486" t="s">
        <v>35249</v>
      </c>
      <c r="C2486" t="str">
        <f>"9789027251602"</f>
        <v>9789027251602</v>
      </c>
      <c r="D2486" t="str">
        <f>"9789027297860"</f>
        <v>9789027297860</v>
      </c>
      <c r="E2486" t="s">
        <v>35211</v>
      </c>
      <c r="F2486" t="s">
        <v>7610</v>
      </c>
      <c r="G2486" t="s">
        <v>22190</v>
      </c>
      <c r="H2486" t="s">
        <v>27983</v>
      </c>
      <c r="I2486" s="26">
        <v>37399</v>
      </c>
      <c r="J2486">
        <v>2002</v>
      </c>
      <c r="K2486" t="s">
        <v>7610</v>
      </c>
      <c r="L2486">
        <v>154</v>
      </c>
      <c r="M2486" t="s">
        <v>35250</v>
      </c>
      <c r="N2486">
        <v>1</v>
      </c>
      <c r="Q2486" t="s">
        <v>35251</v>
      </c>
      <c r="R2486">
        <v>153</v>
      </c>
      <c r="S2486" t="s">
        <v>7945</v>
      </c>
      <c r="T2486" t="s">
        <v>30</v>
      </c>
      <c r="U2486" t="s">
        <v>46</v>
      </c>
      <c r="W2486" t="s">
        <v>26009</v>
      </c>
    </row>
    <row r="2487" spans="1:23" x14ac:dyDescent="0.35">
      <c r="A2487">
        <v>622353</v>
      </c>
      <c r="B2487" t="s">
        <v>7946</v>
      </c>
      <c r="C2487" t="str">
        <f>"9789027251879"</f>
        <v>9789027251879</v>
      </c>
      <c r="D2487" t="str">
        <f>"9789027295866"</f>
        <v>9789027295866</v>
      </c>
      <c r="E2487" t="s">
        <v>35211</v>
      </c>
      <c r="F2487" t="s">
        <v>7610</v>
      </c>
      <c r="G2487" t="s">
        <v>22190</v>
      </c>
      <c r="H2487" t="s">
        <v>27983</v>
      </c>
      <c r="I2487" s="26">
        <v>38008</v>
      </c>
      <c r="J2487">
        <v>2004</v>
      </c>
      <c r="K2487" t="s">
        <v>7610</v>
      </c>
      <c r="L2487">
        <v>306</v>
      </c>
      <c r="M2487" t="s">
        <v>35252</v>
      </c>
      <c r="N2487">
        <v>1</v>
      </c>
      <c r="Q2487" t="s">
        <v>35253</v>
      </c>
      <c r="R2487">
        <v>616.79999999999995</v>
      </c>
      <c r="S2487" t="s">
        <v>35254</v>
      </c>
      <c r="T2487" t="s">
        <v>30</v>
      </c>
      <c r="U2487" t="s">
        <v>26040</v>
      </c>
      <c r="W2487" t="s">
        <v>26009</v>
      </c>
    </row>
    <row r="2488" spans="1:23" x14ac:dyDescent="0.35">
      <c r="A2488">
        <v>622370</v>
      </c>
      <c r="B2488" t="s">
        <v>7967</v>
      </c>
      <c r="C2488" t="str">
        <f>"9789027218810"</f>
        <v>9789027218810</v>
      </c>
      <c r="D2488" t="str">
        <f>"9789027294258"</f>
        <v>9789027294258</v>
      </c>
      <c r="E2488" t="s">
        <v>35211</v>
      </c>
      <c r="F2488" t="s">
        <v>7610</v>
      </c>
      <c r="G2488" t="s">
        <v>22190</v>
      </c>
      <c r="H2488" t="s">
        <v>27983</v>
      </c>
      <c r="I2488" s="26">
        <v>38617</v>
      </c>
      <c r="J2488">
        <v>2005</v>
      </c>
      <c r="K2488" t="s">
        <v>7610</v>
      </c>
      <c r="L2488">
        <v>422</v>
      </c>
      <c r="M2488" t="s">
        <v>35255</v>
      </c>
      <c r="N2488">
        <v>1</v>
      </c>
      <c r="Q2488" t="s">
        <v>35256</v>
      </c>
      <c r="R2488">
        <v>126</v>
      </c>
      <c r="S2488" t="s">
        <v>35257</v>
      </c>
      <c r="T2488" t="s">
        <v>30</v>
      </c>
      <c r="U2488" t="s">
        <v>26520</v>
      </c>
      <c r="W2488" t="s">
        <v>26009</v>
      </c>
    </row>
    <row r="2489" spans="1:23" x14ac:dyDescent="0.35">
      <c r="A2489">
        <v>622414</v>
      </c>
      <c r="B2489" t="s">
        <v>35258</v>
      </c>
      <c r="C2489" t="str">
        <f>"9789027251978"</f>
        <v>9789027251978</v>
      </c>
      <c r="D2489" t="str">
        <f>"9789027294555"</f>
        <v>9789027294555</v>
      </c>
      <c r="E2489" t="s">
        <v>35211</v>
      </c>
      <c r="F2489" t="s">
        <v>7610</v>
      </c>
      <c r="G2489" t="s">
        <v>22190</v>
      </c>
      <c r="H2489" t="s">
        <v>27983</v>
      </c>
      <c r="I2489" s="26">
        <v>38468</v>
      </c>
      <c r="J2489">
        <v>2005</v>
      </c>
      <c r="K2489" t="s">
        <v>7610</v>
      </c>
      <c r="L2489">
        <v>248</v>
      </c>
      <c r="M2489" t="s">
        <v>35259</v>
      </c>
      <c r="N2489">
        <v>1</v>
      </c>
      <c r="Q2489" t="s">
        <v>35260</v>
      </c>
      <c r="R2489">
        <v>152.4</v>
      </c>
      <c r="S2489" t="s">
        <v>35234</v>
      </c>
      <c r="T2489" t="s">
        <v>30</v>
      </c>
      <c r="U2489" t="s">
        <v>46</v>
      </c>
      <c r="W2489" t="s">
        <v>26009</v>
      </c>
    </row>
    <row r="2490" spans="1:23" x14ac:dyDescent="0.35">
      <c r="A2490">
        <v>622441</v>
      </c>
      <c r="B2490" t="s">
        <v>8139</v>
      </c>
      <c r="C2490" t="str">
        <f>"9789027251442"</f>
        <v>9789027251442</v>
      </c>
      <c r="D2490" t="str">
        <f>"9789027299901"</f>
        <v>9789027299901</v>
      </c>
      <c r="E2490" t="s">
        <v>35211</v>
      </c>
      <c r="F2490" t="s">
        <v>7610</v>
      </c>
      <c r="G2490" t="s">
        <v>22190</v>
      </c>
      <c r="H2490" t="s">
        <v>27983</v>
      </c>
      <c r="I2490" s="26">
        <v>36861</v>
      </c>
      <c r="J2490">
        <v>2001</v>
      </c>
      <c r="K2490" t="s">
        <v>7610</v>
      </c>
      <c r="L2490">
        <v>334</v>
      </c>
      <c r="M2490" t="s">
        <v>35261</v>
      </c>
      <c r="N2490">
        <v>1</v>
      </c>
      <c r="Q2490" t="s">
        <v>35262</v>
      </c>
      <c r="R2490" t="s">
        <v>27131</v>
      </c>
      <c r="S2490" t="s">
        <v>35263</v>
      </c>
      <c r="T2490" t="s">
        <v>30</v>
      </c>
      <c r="U2490" t="s">
        <v>46</v>
      </c>
      <c r="W2490" t="s">
        <v>26009</v>
      </c>
    </row>
    <row r="2491" spans="1:23" x14ac:dyDescent="0.35">
      <c r="A2491">
        <v>622445</v>
      </c>
      <c r="B2491" t="s">
        <v>35264</v>
      </c>
      <c r="C2491" t="str">
        <f>"9789027253040"</f>
        <v>9789027253040</v>
      </c>
      <c r="D2491" t="str">
        <f>"9789027291509"</f>
        <v>9789027291509</v>
      </c>
      <c r="E2491" t="s">
        <v>35211</v>
      </c>
      <c r="F2491" t="s">
        <v>7610</v>
      </c>
      <c r="G2491" t="s">
        <v>22222</v>
      </c>
      <c r="H2491" t="s">
        <v>27983</v>
      </c>
      <c r="I2491" s="26">
        <v>39456</v>
      </c>
      <c r="J2491">
        <v>2008</v>
      </c>
      <c r="K2491" t="s">
        <v>7610</v>
      </c>
      <c r="L2491">
        <v>210</v>
      </c>
      <c r="M2491" t="s">
        <v>35265</v>
      </c>
      <c r="N2491">
        <v>1</v>
      </c>
      <c r="Q2491" t="s">
        <v>35266</v>
      </c>
      <c r="R2491" t="s">
        <v>35267</v>
      </c>
      <c r="S2491" t="s">
        <v>35268</v>
      </c>
      <c r="T2491" t="s">
        <v>30</v>
      </c>
      <c r="U2491" t="s">
        <v>28384</v>
      </c>
      <c r="W2491" t="s">
        <v>26009</v>
      </c>
    </row>
    <row r="2492" spans="1:23" x14ac:dyDescent="0.35">
      <c r="A2492">
        <v>622459</v>
      </c>
      <c r="B2492" t="s">
        <v>8166</v>
      </c>
      <c r="C2492" t="str">
        <f>"9789027251572"</f>
        <v>9789027251572</v>
      </c>
      <c r="D2492" t="str">
        <f>"9789027298379"</f>
        <v>9789027298379</v>
      </c>
      <c r="E2492" t="s">
        <v>35211</v>
      </c>
      <c r="F2492" t="s">
        <v>7610</v>
      </c>
      <c r="G2492" t="s">
        <v>22190</v>
      </c>
      <c r="H2492" t="s">
        <v>27983</v>
      </c>
      <c r="I2492" s="26">
        <v>37239</v>
      </c>
      <c r="J2492">
        <v>2001</v>
      </c>
      <c r="K2492" t="s">
        <v>7610</v>
      </c>
      <c r="L2492">
        <v>223</v>
      </c>
      <c r="M2492" t="s">
        <v>35269</v>
      </c>
      <c r="N2492">
        <v>1</v>
      </c>
      <c r="Q2492" t="s">
        <v>35270</v>
      </c>
      <c r="R2492">
        <v>153</v>
      </c>
      <c r="S2492" t="s">
        <v>8167</v>
      </c>
      <c r="T2492" t="s">
        <v>30</v>
      </c>
      <c r="U2492" t="s">
        <v>46</v>
      </c>
      <c r="W2492" t="s">
        <v>26009</v>
      </c>
    </row>
    <row r="2493" spans="1:23" x14ac:dyDescent="0.35">
      <c r="A2493">
        <v>622475</v>
      </c>
      <c r="B2493" t="s">
        <v>8176</v>
      </c>
      <c r="C2493" t="str">
        <f>"9789027218599"</f>
        <v>9789027218599</v>
      </c>
      <c r="D2493" t="str">
        <f>"9789027292650"</f>
        <v>9789027292650</v>
      </c>
      <c r="E2493" t="s">
        <v>35211</v>
      </c>
      <c r="F2493" t="s">
        <v>7610</v>
      </c>
      <c r="G2493" t="s">
        <v>22222</v>
      </c>
      <c r="H2493" t="s">
        <v>27983</v>
      </c>
      <c r="I2493" s="26">
        <v>39141</v>
      </c>
      <c r="J2493">
        <v>2007</v>
      </c>
      <c r="K2493" t="s">
        <v>7610</v>
      </c>
      <c r="L2493">
        <v>157</v>
      </c>
      <c r="M2493" t="s">
        <v>35271</v>
      </c>
      <c r="N2493">
        <v>1</v>
      </c>
      <c r="Q2493" t="s">
        <v>35272</v>
      </c>
      <c r="R2493">
        <v>362.7</v>
      </c>
      <c r="S2493" t="s">
        <v>35273</v>
      </c>
      <c r="T2493" t="s">
        <v>30</v>
      </c>
      <c r="U2493" t="s">
        <v>26044</v>
      </c>
      <c r="W2493" t="s">
        <v>26009</v>
      </c>
    </row>
    <row r="2494" spans="1:23" x14ac:dyDescent="0.35">
      <c r="A2494">
        <v>622496</v>
      </c>
      <c r="B2494" t="s">
        <v>35274</v>
      </c>
      <c r="C2494" t="str">
        <f>"9789027234759"</f>
        <v>9789027234759</v>
      </c>
      <c r="D2494" t="str">
        <f>"9789027291332"</f>
        <v>9789027291332</v>
      </c>
      <c r="E2494" t="s">
        <v>35211</v>
      </c>
      <c r="F2494" t="s">
        <v>7610</v>
      </c>
      <c r="G2494" t="s">
        <v>22222</v>
      </c>
      <c r="H2494" t="s">
        <v>27983</v>
      </c>
      <c r="I2494" s="26">
        <v>39492</v>
      </c>
      <c r="J2494">
        <v>2008</v>
      </c>
      <c r="K2494" t="s">
        <v>7610</v>
      </c>
      <c r="L2494">
        <v>279</v>
      </c>
      <c r="M2494" t="s">
        <v>35275</v>
      </c>
      <c r="N2494">
        <v>1</v>
      </c>
      <c r="Q2494" t="s">
        <v>35276</v>
      </c>
      <c r="R2494" t="s">
        <v>35277</v>
      </c>
      <c r="S2494" t="s">
        <v>35278</v>
      </c>
      <c r="T2494" t="s">
        <v>30</v>
      </c>
      <c r="U2494" t="s">
        <v>28384</v>
      </c>
      <c r="W2494" t="s">
        <v>26009</v>
      </c>
    </row>
    <row r="2495" spans="1:23" x14ac:dyDescent="0.35">
      <c r="A2495">
        <v>622503</v>
      </c>
      <c r="B2495" t="s">
        <v>8255</v>
      </c>
      <c r="C2495" t="str">
        <f>"9789027252074"</f>
        <v>9789027252074</v>
      </c>
      <c r="D2495" t="str">
        <f>"9789027292193"</f>
        <v>9789027292193</v>
      </c>
      <c r="E2495" t="s">
        <v>35211</v>
      </c>
      <c r="F2495" t="s">
        <v>7610</v>
      </c>
      <c r="G2495" t="s">
        <v>22222</v>
      </c>
      <c r="H2495" t="s">
        <v>27983</v>
      </c>
      <c r="I2495" s="26">
        <v>39302</v>
      </c>
      <c r="J2495">
        <v>2007</v>
      </c>
      <c r="K2495" t="s">
        <v>7610</v>
      </c>
      <c r="L2495">
        <v>328</v>
      </c>
      <c r="M2495" t="s">
        <v>35279</v>
      </c>
      <c r="N2495">
        <v>1</v>
      </c>
      <c r="Q2495" t="s">
        <v>35280</v>
      </c>
      <c r="R2495">
        <v>153</v>
      </c>
      <c r="S2495" t="s">
        <v>35281</v>
      </c>
      <c r="T2495" t="s">
        <v>30</v>
      </c>
      <c r="U2495" t="s">
        <v>46</v>
      </c>
      <c r="W2495" t="s">
        <v>26009</v>
      </c>
    </row>
    <row r="2496" spans="1:23" x14ac:dyDescent="0.35">
      <c r="A2496">
        <v>622509</v>
      </c>
      <c r="B2496" t="s">
        <v>35282</v>
      </c>
      <c r="C2496" t="str">
        <f>"9789027251688"</f>
        <v>9789027251688</v>
      </c>
      <c r="D2496" t="str">
        <f>"9789027297846"</f>
        <v>9789027297846</v>
      </c>
      <c r="E2496" t="s">
        <v>35211</v>
      </c>
      <c r="F2496" t="s">
        <v>7610</v>
      </c>
      <c r="G2496" t="s">
        <v>22190</v>
      </c>
      <c r="H2496" t="s">
        <v>27983</v>
      </c>
      <c r="I2496" s="26">
        <v>37476</v>
      </c>
      <c r="J2496">
        <v>2002</v>
      </c>
      <c r="K2496" t="s">
        <v>7610</v>
      </c>
      <c r="L2496">
        <v>356</v>
      </c>
      <c r="M2496" t="s">
        <v>35283</v>
      </c>
      <c r="N2496">
        <v>1</v>
      </c>
      <c r="Q2496" t="s">
        <v>35284</v>
      </c>
      <c r="R2496">
        <v>152.4</v>
      </c>
      <c r="S2496" t="s">
        <v>8268</v>
      </c>
      <c r="T2496" t="s">
        <v>30</v>
      </c>
      <c r="U2496" t="s">
        <v>46</v>
      </c>
      <c r="W2496" t="s">
        <v>26009</v>
      </c>
    </row>
    <row r="2497" spans="1:23" x14ac:dyDescent="0.35">
      <c r="A2497">
        <v>622510</v>
      </c>
      <c r="B2497" t="s">
        <v>8281</v>
      </c>
      <c r="C2497" t="str">
        <f>"9789027241559"</f>
        <v>9789027241559</v>
      </c>
      <c r="D2497" t="str">
        <f>"9789027288752"</f>
        <v>9789027288752</v>
      </c>
      <c r="E2497" t="s">
        <v>35211</v>
      </c>
      <c r="F2497" t="s">
        <v>7610</v>
      </c>
      <c r="G2497" t="s">
        <v>22222</v>
      </c>
      <c r="H2497" t="s">
        <v>27983</v>
      </c>
      <c r="I2497" s="26">
        <v>40147</v>
      </c>
      <c r="J2497">
        <v>2009</v>
      </c>
      <c r="K2497" t="s">
        <v>7610</v>
      </c>
      <c r="L2497">
        <v>244</v>
      </c>
      <c r="M2497" t="s">
        <v>35285</v>
      </c>
      <c r="N2497">
        <v>1</v>
      </c>
      <c r="Q2497" t="s">
        <v>35286</v>
      </c>
      <c r="R2497">
        <v>152.4</v>
      </c>
      <c r="S2497" t="s">
        <v>35287</v>
      </c>
      <c r="T2497" t="s">
        <v>30</v>
      </c>
      <c r="U2497" t="s">
        <v>46</v>
      </c>
      <c r="W2497" t="s">
        <v>26009</v>
      </c>
    </row>
    <row r="2498" spans="1:23" x14ac:dyDescent="0.35">
      <c r="A2498">
        <v>622550</v>
      </c>
      <c r="B2498" t="s">
        <v>35288</v>
      </c>
      <c r="C2498" t="str">
        <f>"9789027252005"</f>
        <v>9789027252005</v>
      </c>
      <c r="D2498" t="str">
        <f>"9789027293879"</f>
        <v>9789027293879</v>
      </c>
      <c r="E2498" t="s">
        <v>35211</v>
      </c>
      <c r="F2498" t="s">
        <v>7610</v>
      </c>
      <c r="G2498" t="s">
        <v>22190</v>
      </c>
      <c r="H2498" t="s">
        <v>27983</v>
      </c>
      <c r="I2498" s="26">
        <v>38791</v>
      </c>
      <c r="J2498">
        <v>2006</v>
      </c>
      <c r="K2498" t="s">
        <v>7610</v>
      </c>
      <c r="L2498">
        <v>290</v>
      </c>
      <c r="M2498" t="s">
        <v>35289</v>
      </c>
      <c r="N2498">
        <v>1</v>
      </c>
      <c r="Q2498" t="s">
        <v>35290</v>
      </c>
      <c r="R2498">
        <v>153</v>
      </c>
      <c r="S2498" t="s">
        <v>8373</v>
      </c>
      <c r="T2498" t="s">
        <v>30</v>
      </c>
      <c r="U2498" t="s">
        <v>46</v>
      </c>
      <c r="W2498" t="s">
        <v>26009</v>
      </c>
    </row>
    <row r="2499" spans="1:23" x14ac:dyDescent="0.35">
      <c r="A2499">
        <v>622553</v>
      </c>
      <c r="B2499" t="s">
        <v>35291</v>
      </c>
      <c r="C2499" t="str">
        <f>"9789027251435"</f>
        <v>9789027251435</v>
      </c>
      <c r="D2499" t="str">
        <f>"9789027299918"</f>
        <v>9789027299918</v>
      </c>
      <c r="E2499" t="s">
        <v>35211</v>
      </c>
      <c r="F2499" t="s">
        <v>7610</v>
      </c>
      <c r="G2499" t="s">
        <v>22190</v>
      </c>
      <c r="H2499" t="s">
        <v>27983</v>
      </c>
      <c r="I2499" s="26">
        <v>36814</v>
      </c>
      <c r="J2499">
        <v>2000</v>
      </c>
      <c r="K2499" t="s">
        <v>7610</v>
      </c>
      <c r="L2499">
        <v>309</v>
      </c>
      <c r="M2499" t="s">
        <v>35292</v>
      </c>
      <c r="N2499">
        <v>1</v>
      </c>
      <c r="Q2499" t="s">
        <v>35293</v>
      </c>
      <c r="R2499">
        <v>616.89</v>
      </c>
      <c r="S2499" t="s">
        <v>35294</v>
      </c>
      <c r="T2499" t="s">
        <v>30</v>
      </c>
      <c r="U2499" t="s">
        <v>26019</v>
      </c>
      <c r="W2499" t="s">
        <v>26009</v>
      </c>
    </row>
    <row r="2500" spans="1:23" x14ac:dyDescent="0.35">
      <c r="A2500">
        <v>622557</v>
      </c>
      <c r="B2500" t="s">
        <v>35295</v>
      </c>
      <c r="C2500" t="str">
        <f>"9789027251510"</f>
        <v>9789027251510</v>
      </c>
      <c r="D2500" t="str">
        <f>"9789027298393"</f>
        <v>9789027298393</v>
      </c>
      <c r="E2500" t="s">
        <v>35211</v>
      </c>
      <c r="F2500" t="s">
        <v>7610</v>
      </c>
      <c r="G2500" t="s">
        <v>22190</v>
      </c>
      <c r="H2500" t="s">
        <v>27983</v>
      </c>
      <c r="I2500" s="26">
        <v>37176</v>
      </c>
      <c r="J2500">
        <v>2001</v>
      </c>
      <c r="K2500" t="s">
        <v>7610</v>
      </c>
      <c r="L2500">
        <v>316</v>
      </c>
      <c r="M2500" t="s">
        <v>35296</v>
      </c>
      <c r="N2500">
        <v>1</v>
      </c>
      <c r="Q2500" t="s">
        <v>35297</v>
      </c>
      <c r="R2500" t="s">
        <v>35298</v>
      </c>
      <c r="S2500" t="s">
        <v>8382</v>
      </c>
      <c r="T2500" t="s">
        <v>30</v>
      </c>
      <c r="U2500" t="s">
        <v>46</v>
      </c>
      <c r="W2500" t="s">
        <v>26009</v>
      </c>
    </row>
    <row r="2501" spans="1:23" x14ac:dyDescent="0.35">
      <c r="A2501">
        <v>622558</v>
      </c>
      <c r="B2501" t="s">
        <v>8385</v>
      </c>
      <c r="C2501" t="str">
        <f>"9789027241535"</f>
        <v>9789027241535</v>
      </c>
      <c r="D2501" t="str">
        <f>"9789027291660"</f>
        <v>9789027291660</v>
      </c>
      <c r="E2501" t="s">
        <v>35211</v>
      </c>
      <c r="F2501" t="s">
        <v>7610</v>
      </c>
      <c r="G2501" t="s">
        <v>22222</v>
      </c>
      <c r="H2501" t="s">
        <v>27983</v>
      </c>
      <c r="I2501" s="26">
        <v>39513</v>
      </c>
      <c r="J2501">
        <v>2008</v>
      </c>
      <c r="K2501" t="s">
        <v>7610</v>
      </c>
      <c r="L2501">
        <v>219</v>
      </c>
      <c r="M2501" t="s">
        <v>35299</v>
      </c>
      <c r="N2501">
        <v>1</v>
      </c>
      <c r="Q2501" t="s">
        <v>35300</v>
      </c>
      <c r="R2501" t="s">
        <v>32200</v>
      </c>
      <c r="S2501" t="s">
        <v>35301</v>
      </c>
      <c r="T2501" t="s">
        <v>30</v>
      </c>
      <c r="U2501" t="s">
        <v>26520</v>
      </c>
      <c r="W2501" t="s">
        <v>26009</v>
      </c>
    </row>
    <row r="2502" spans="1:23" x14ac:dyDescent="0.35">
      <c r="A2502">
        <v>622564</v>
      </c>
      <c r="B2502" t="s">
        <v>35302</v>
      </c>
      <c r="C2502" t="str">
        <f>"9789027251282"</f>
        <v>9789027251282</v>
      </c>
      <c r="D2502" t="str">
        <f>"9789027299833"</f>
        <v>9789027299833</v>
      </c>
      <c r="E2502" t="s">
        <v>35211</v>
      </c>
      <c r="F2502" t="s">
        <v>7610</v>
      </c>
      <c r="G2502" t="s">
        <v>22190</v>
      </c>
      <c r="H2502" t="s">
        <v>27983</v>
      </c>
      <c r="I2502" s="26">
        <v>37026</v>
      </c>
      <c r="J2502">
        <v>2001</v>
      </c>
      <c r="K2502" t="s">
        <v>7610</v>
      </c>
      <c r="L2502">
        <v>344</v>
      </c>
      <c r="M2502" t="s">
        <v>35303</v>
      </c>
      <c r="N2502">
        <v>1</v>
      </c>
      <c r="Q2502" t="s">
        <v>35304</v>
      </c>
      <c r="R2502">
        <v>612.82000000000005</v>
      </c>
      <c r="S2502" t="s">
        <v>8424</v>
      </c>
      <c r="T2502" t="s">
        <v>30</v>
      </c>
      <c r="U2502" t="s">
        <v>28991</v>
      </c>
      <c r="W2502" t="s">
        <v>26009</v>
      </c>
    </row>
    <row r="2503" spans="1:23" x14ac:dyDescent="0.35">
      <c r="A2503">
        <v>622610</v>
      </c>
      <c r="B2503" t="s">
        <v>8525</v>
      </c>
      <c r="C2503" t="str">
        <f>"9789027222404"</f>
        <v>9789027222404</v>
      </c>
      <c r="D2503" t="str">
        <f>"9789027291868"</f>
        <v>9789027291868</v>
      </c>
      <c r="E2503" t="s">
        <v>35211</v>
      </c>
      <c r="F2503" t="s">
        <v>7610</v>
      </c>
      <c r="G2503" t="s">
        <v>22222</v>
      </c>
      <c r="H2503" t="s">
        <v>27983</v>
      </c>
      <c r="I2503" s="26">
        <v>39407</v>
      </c>
      <c r="J2503">
        <v>2007</v>
      </c>
      <c r="K2503" t="s">
        <v>7610</v>
      </c>
      <c r="L2503">
        <v>299</v>
      </c>
      <c r="M2503" t="s">
        <v>35305</v>
      </c>
      <c r="N2503">
        <v>1</v>
      </c>
      <c r="Q2503" t="s">
        <v>35306</v>
      </c>
      <c r="R2503">
        <v>808.5</v>
      </c>
      <c r="S2503" t="s">
        <v>35307</v>
      </c>
      <c r="T2503" t="s">
        <v>30</v>
      </c>
      <c r="U2503" t="s">
        <v>31821</v>
      </c>
      <c r="W2503" t="s">
        <v>26009</v>
      </c>
    </row>
    <row r="2504" spans="1:23" x14ac:dyDescent="0.35">
      <c r="A2504">
        <v>622667</v>
      </c>
      <c r="B2504" t="s">
        <v>8736</v>
      </c>
      <c r="C2504" t="str">
        <f>"9789027251398"</f>
        <v>9789027251398</v>
      </c>
      <c r="D2504" t="str">
        <f>"9789027299949"</f>
        <v>9789027299949</v>
      </c>
      <c r="E2504" t="s">
        <v>35211</v>
      </c>
      <c r="F2504" t="s">
        <v>7610</v>
      </c>
      <c r="G2504" t="s">
        <v>22190</v>
      </c>
      <c r="H2504" t="s">
        <v>27983</v>
      </c>
      <c r="I2504" s="26">
        <v>36600</v>
      </c>
      <c r="J2504">
        <v>2000</v>
      </c>
      <c r="K2504" t="s">
        <v>7610</v>
      </c>
      <c r="L2504">
        <v>473</v>
      </c>
      <c r="M2504" t="s">
        <v>35308</v>
      </c>
      <c r="N2504">
        <v>1</v>
      </c>
      <c r="Q2504" t="s">
        <v>35309</v>
      </c>
      <c r="R2504">
        <v>153</v>
      </c>
      <c r="S2504" t="s">
        <v>35310</v>
      </c>
      <c r="T2504" t="s">
        <v>30</v>
      </c>
      <c r="U2504" t="s">
        <v>46</v>
      </c>
      <c r="W2504" t="s">
        <v>26009</v>
      </c>
    </row>
    <row r="2505" spans="1:23" x14ac:dyDescent="0.35">
      <c r="A2505">
        <v>622676</v>
      </c>
      <c r="B2505" t="s">
        <v>35311</v>
      </c>
      <c r="C2505" t="str">
        <f>"9789027252029"</f>
        <v>9789027252029</v>
      </c>
      <c r="D2505" t="str">
        <f>"9789027293435"</f>
        <v>9789027293435</v>
      </c>
      <c r="E2505" t="s">
        <v>35211</v>
      </c>
      <c r="F2505" t="s">
        <v>7610</v>
      </c>
      <c r="G2505" t="s">
        <v>22222</v>
      </c>
      <c r="H2505" t="s">
        <v>27983</v>
      </c>
      <c r="I2505" s="26">
        <v>38951</v>
      </c>
      <c r="J2505">
        <v>2006</v>
      </c>
      <c r="K2505" t="s">
        <v>7610</v>
      </c>
      <c r="L2505">
        <v>452</v>
      </c>
      <c r="M2505" t="s">
        <v>35312</v>
      </c>
      <c r="N2505">
        <v>1</v>
      </c>
      <c r="Q2505" t="s">
        <v>35313</v>
      </c>
      <c r="R2505" t="s">
        <v>28592</v>
      </c>
      <c r="S2505" t="s">
        <v>35314</v>
      </c>
      <c r="T2505" t="s">
        <v>30</v>
      </c>
      <c r="U2505" t="s">
        <v>46</v>
      </c>
      <c r="W2505" t="s">
        <v>26009</v>
      </c>
    </row>
    <row r="2506" spans="1:23" x14ac:dyDescent="0.35">
      <c r="A2506">
        <v>622680</v>
      </c>
      <c r="B2506" t="s">
        <v>35315</v>
      </c>
      <c r="C2506" t="str">
        <f>"9789027241528"</f>
        <v>9789027241528</v>
      </c>
      <c r="D2506" t="str">
        <f>"9789027292971"</f>
        <v>9789027292971</v>
      </c>
      <c r="E2506" t="s">
        <v>35211</v>
      </c>
      <c r="F2506" t="s">
        <v>7610</v>
      </c>
      <c r="G2506" t="s">
        <v>22222</v>
      </c>
      <c r="H2506" t="s">
        <v>27983</v>
      </c>
      <c r="I2506" s="26">
        <v>39114</v>
      </c>
      <c r="J2506">
        <v>2007</v>
      </c>
      <c r="K2506" t="s">
        <v>7610</v>
      </c>
      <c r="L2506">
        <v>182</v>
      </c>
      <c r="M2506" t="s">
        <v>35316</v>
      </c>
      <c r="N2506">
        <v>1</v>
      </c>
      <c r="Q2506" t="s">
        <v>35317</v>
      </c>
      <c r="R2506">
        <v>809.7</v>
      </c>
      <c r="S2506" t="s">
        <v>35318</v>
      </c>
      <c r="T2506" t="s">
        <v>30</v>
      </c>
      <c r="U2506" t="s">
        <v>366</v>
      </c>
      <c r="W2506" t="s">
        <v>26009</v>
      </c>
    </row>
    <row r="2507" spans="1:23" x14ac:dyDescent="0.35">
      <c r="A2507">
        <v>622686</v>
      </c>
      <c r="B2507" t="s">
        <v>8797</v>
      </c>
      <c r="C2507" t="str">
        <f>"9789027251404"</f>
        <v>9789027251404</v>
      </c>
      <c r="D2507" t="str">
        <f>"9789027299932"</f>
        <v>9789027299932</v>
      </c>
      <c r="E2507" t="s">
        <v>35211</v>
      </c>
      <c r="F2507" t="s">
        <v>7610</v>
      </c>
      <c r="G2507" t="s">
        <v>22190</v>
      </c>
      <c r="H2507" t="s">
        <v>27983</v>
      </c>
      <c r="I2507" s="26">
        <v>36571</v>
      </c>
      <c r="J2507">
        <v>2000</v>
      </c>
      <c r="K2507" t="s">
        <v>7610</v>
      </c>
      <c r="L2507">
        <v>425</v>
      </c>
      <c r="M2507" t="s">
        <v>35319</v>
      </c>
      <c r="N2507">
        <v>1</v>
      </c>
      <c r="Q2507" t="s">
        <v>35320</v>
      </c>
      <c r="R2507">
        <v>155.22</v>
      </c>
      <c r="S2507" t="s">
        <v>35321</v>
      </c>
      <c r="T2507" t="s">
        <v>30</v>
      </c>
      <c r="U2507" t="s">
        <v>46</v>
      </c>
      <c r="W2507" t="s">
        <v>26009</v>
      </c>
    </row>
    <row r="2508" spans="1:23" x14ac:dyDescent="0.35">
      <c r="A2508">
        <v>622710</v>
      </c>
      <c r="B2508" t="s">
        <v>8862</v>
      </c>
      <c r="C2508" t="str">
        <f>"9789027252128"</f>
        <v>9789027252128</v>
      </c>
      <c r="D2508" t="str">
        <f>"9789027289230"</f>
        <v>9789027289230</v>
      </c>
      <c r="E2508" t="s">
        <v>35211</v>
      </c>
      <c r="F2508" t="s">
        <v>7610</v>
      </c>
      <c r="G2508" t="s">
        <v>22222</v>
      </c>
      <c r="H2508" t="s">
        <v>27983</v>
      </c>
      <c r="I2508" s="26">
        <v>40023</v>
      </c>
      <c r="J2508">
        <v>2009</v>
      </c>
      <c r="K2508" t="s">
        <v>7610</v>
      </c>
      <c r="L2508">
        <v>376</v>
      </c>
      <c r="M2508" t="s">
        <v>35322</v>
      </c>
      <c r="N2508">
        <v>1</v>
      </c>
      <c r="Q2508" t="s">
        <v>35323</v>
      </c>
      <c r="R2508" t="s">
        <v>31565</v>
      </c>
      <c r="S2508" t="s">
        <v>35324</v>
      </c>
      <c r="T2508" t="s">
        <v>30</v>
      </c>
      <c r="U2508" t="s">
        <v>46</v>
      </c>
      <c r="W2508" t="s">
        <v>26009</v>
      </c>
    </row>
    <row r="2509" spans="1:23" x14ac:dyDescent="0.35">
      <c r="A2509">
        <v>622718</v>
      </c>
      <c r="B2509" t="s">
        <v>35325</v>
      </c>
      <c r="C2509" t="str">
        <f>"9789027251336"</f>
        <v>9789027251336</v>
      </c>
      <c r="D2509" t="str">
        <f>"9789027299994"</f>
        <v>9789027299994</v>
      </c>
      <c r="E2509" t="s">
        <v>35211</v>
      </c>
      <c r="F2509" t="s">
        <v>7610</v>
      </c>
      <c r="G2509" t="s">
        <v>22190</v>
      </c>
      <c r="H2509" t="s">
        <v>27983</v>
      </c>
      <c r="I2509" s="26">
        <v>36859</v>
      </c>
      <c r="J2509">
        <v>2000</v>
      </c>
      <c r="K2509" t="s">
        <v>7610</v>
      </c>
      <c r="L2509">
        <v>396</v>
      </c>
      <c r="M2509" t="s">
        <v>35326</v>
      </c>
      <c r="N2509">
        <v>1</v>
      </c>
      <c r="Q2509" t="s">
        <v>35327</v>
      </c>
      <c r="R2509">
        <v>153</v>
      </c>
      <c r="S2509" t="s">
        <v>35328</v>
      </c>
      <c r="T2509" t="s">
        <v>30</v>
      </c>
      <c r="U2509" t="s">
        <v>46</v>
      </c>
      <c r="W2509" t="s">
        <v>26009</v>
      </c>
    </row>
    <row r="2510" spans="1:23" x14ac:dyDescent="0.35">
      <c r="A2510">
        <v>622747</v>
      </c>
      <c r="B2510" t="s">
        <v>8949</v>
      </c>
      <c r="C2510" t="str">
        <f>"9789027234735"</f>
        <v>9789027234735</v>
      </c>
      <c r="D2510" t="str">
        <f>"9789027295002"</f>
        <v>9789027295002</v>
      </c>
      <c r="E2510" t="s">
        <v>35211</v>
      </c>
      <c r="F2510" t="s">
        <v>7610</v>
      </c>
      <c r="G2510" t="s">
        <v>22222</v>
      </c>
      <c r="H2510" t="s">
        <v>27983</v>
      </c>
      <c r="I2510" s="26">
        <v>38321</v>
      </c>
      <c r="J2510">
        <v>2004</v>
      </c>
      <c r="K2510" t="s">
        <v>7610</v>
      </c>
      <c r="L2510">
        <v>322</v>
      </c>
      <c r="M2510" t="s">
        <v>35329</v>
      </c>
      <c r="N2510">
        <v>1</v>
      </c>
      <c r="Q2510" t="s">
        <v>35330</v>
      </c>
      <c r="R2510" t="s">
        <v>35277</v>
      </c>
      <c r="S2510" t="s">
        <v>35331</v>
      </c>
      <c r="T2510" t="s">
        <v>30</v>
      </c>
      <c r="U2510" t="s">
        <v>28384</v>
      </c>
      <c r="W2510" t="s">
        <v>26009</v>
      </c>
    </row>
    <row r="2511" spans="1:23" x14ac:dyDescent="0.35">
      <c r="A2511">
        <v>622754</v>
      </c>
      <c r="B2511" t="s">
        <v>8951</v>
      </c>
      <c r="C2511" t="str">
        <f>"9789027223753"</f>
        <v>9789027223753</v>
      </c>
      <c r="D2511" t="str">
        <f>"9789027291790"</f>
        <v>9789027291790</v>
      </c>
      <c r="E2511" t="s">
        <v>35211</v>
      </c>
      <c r="F2511" t="s">
        <v>7610</v>
      </c>
      <c r="G2511" t="s">
        <v>22222</v>
      </c>
      <c r="H2511" t="s">
        <v>27983</v>
      </c>
      <c r="I2511" s="26">
        <v>39400</v>
      </c>
      <c r="J2511">
        <v>2007</v>
      </c>
      <c r="K2511" t="s">
        <v>7610</v>
      </c>
      <c r="L2511">
        <v>298</v>
      </c>
      <c r="M2511" t="s">
        <v>35332</v>
      </c>
      <c r="N2511">
        <v>1</v>
      </c>
      <c r="Q2511" t="s">
        <v>35333</v>
      </c>
      <c r="R2511" t="s">
        <v>30488</v>
      </c>
      <c r="S2511" t="s">
        <v>35334</v>
      </c>
      <c r="T2511" t="s">
        <v>30</v>
      </c>
      <c r="U2511" t="s">
        <v>28384</v>
      </c>
      <c r="W2511" t="s">
        <v>26009</v>
      </c>
    </row>
    <row r="2512" spans="1:23" x14ac:dyDescent="0.35">
      <c r="A2512">
        <v>622818</v>
      </c>
      <c r="B2512" t="s">
        <v>35335</v>
      </c>
      <c r="C2512" t="str">
        <f>"9789027222343"</f>
        <v>9789027222343</v>
      </c>
      <c r="D2512" t="str">
        <f>"9789027292742"</f>
        <v>9789027292742</v>
      </c>
      <c r="E2512" t="s">
        <v>35211</v>
      </c>
      <c r="F2512" t="s">
        <v>7610</v>
      </c>
      <c r="G2512" t="s">
        <v>22222</v>
      </c>
      <c r="H2512" t="s">
        <v>27983</v>
      </c>
      <c r="I2512" s="26">
        <v>39163</v>
      </c>
      <c r="J2512">
        <v>2007</v>
      </c>
      <c r="K2512" t="s">
        <v>7610</v>
      </c>
      <c r="L2512">
        <v>286</v>
      </c>
      <c r="M2512" t="s">
        <v>35336</v>
      </c>
      <c r="N2512">
        <v>1</v>
      </c>
      <c r="Q2512" t="s">
        <v>35337</v>
      </c>
      <c r="R2512">
        <v>302</v>
      </c>
      <c r="S2512" t="s">
        <v>35338</v>
      </c>
      <c r="T2512" t="s">
        <v>30</v>
      </c>
      <c r="U2512" t="s">
        <v>26044</v>
      </c>
      <c r="W2512" t="s">
        <v>26009</v>
      </c>
    </row>
    <row r="2513" spans="1:23" x14ac:dyDescent="0.35">
      <c r="A2513">
        <v>622832</v>
      </c>
      <c r="B2513" t="s">
        <v>35339</v>
      </c>
      <c r="C2513" t="str">
        <f>"9789027231024"</f>
        <v>9789027231024</v>
      </c>
      <c r="D2513" t="str">
        <f>"9789027291219"</f>
        <v>9789027291219</v>
      </c>
      <c r="E2513" t="s">
        <v>35211</v>
      </c>
      <c r="F2513" t="s">
        <v>7610</v>
      </c>
      <c r="G2513" t="s">
        <v>22222</v>
      </c>
      <c r="H2513" t="s">
        <v>27983</v>
      </c>
      <c r="I2513" s="26">
        <v>39429</v>
      </c>
      <c r="J2513">
        <v>2007</v>
      </c>
      <c r="K2513" t="s">
        <v>7610</v>
      </c>
      <c r="L2513">
        <v>320</v>
      </c>
      <c r="M2513" t="s">
        <v>35340</v>
      </c>
      <c r="N2513">
        <v>1</v>
      </c>
      <c r="Q2513" t="s">
        <v>35341</v>
      </c>
      <c r="R2513" t="s">
        <v>30488</v>
      </c>
      <c r="S2513" t="s">
        <v>35342</v>
      </c>
      <c r="T2513" t="s">
        <v>30</v>
      </c>
      <c r="U2513" t="s">
        <v>28384</v>
      </c>
      <c r="W2513" t="s">
        <v>26009</v>
      </c>
    </row>
    <row r="2514" spans="1:23" x14ac:dyDescent="0.35">
      <c r="A2514">
        <v>622833</v>
      </c>
      <c r="B2514" t="s">
        <v>35343</v>
      </c>
      <c r="C2514" t="str">
        <f>"9789027231031"</f>
        <v>9789027231031</v>
      </c>
      <c r="D2514" t="str">
        <f>"9789027291202"</f>
        <v>9789027291202</v>
      </c>
      <c r="E2514" t="s">
        <v>35211</v>
      </c>
      <c r="F2514" t="s">
        <v>7610</v>
      </c>
      <c r="G2514" t="s">
        <v>22222</v>
      </c>
      <c r="H2514" t="s">
        <v>27983</v>
      </c>
      <c r="I2514" s="26">
        <v>39429</v>
      </c>
      <c r="J2514">
        <v>2007</v>
      </c>
      <c r="K2514" t="s">
        <v>7610</v>
      </c>
      <c r="L2514">
        <v>376</v>
      </c>
      <c r="M2514" t="s">
        <v>35340</v>
      </c>
      <c r="N2514">
        <v>1</v>
      </c>
      <c r="Q2514" t="s">
        <v>35344</v>
      </c>
      <c r="R2514" t="s">
        <v>35345</v>
      </c>
      <c r="S2514" t="s">
        <v>35346</v>
      </c>
      <c r="T2514" t="s">
        <v>30</v>
      </c>
      <c r="U2514" t="s">
        <v>28384</v>
      </c>
      <c r="W2514" t="s">
        <v>26009</v>
      </c>
    </row>
    <row r="2515" spans="1:23" x14ac:dyDescent="0.35">
      <c r="A2515">
        <v>622838</v>
      </c>
      <c r="B2515" t="s">
        <v>9119</v>
      </c>
      <c r="C2515" t="str">
        <f>"9789027228437"</f>
        <v>9789027228437</v>
      </c>
      <c r="D2515" t="str">
        <f>"9789027290809"</f>
        <v>9789027290809</v>
      </c>
      <c r="E2515" t="s">
        <v>35211</v>
      </c>
      <c r="F2515" t="s">
        <v>7610</v>
      </c>
      <c r="G2515" t="s">
        <v>22222</v>
      </c>
      <c r="H2515" t="s">
        <v>27983</v>
      </c>
      <c r="I2515" s="26">
        <v>39603</v>
      </c>
      <c r="J2515">
        <v>2008</v>
      </c>
      <c r="K2515" t="s">
        <v>7610</v>
      </c>
      <c r="L2515">
        <v>316</v>
      </c>
      <c r="M2515" t="s">
        <v>35347</v>
      </c>
      <c r="N2515">
        <v>1</v>
      </c>
      <c r="Q2515" t="s">
        <v>35348</v>
      </c>
      <c r="R2515">
        <v>808.5</v>
      </c>
      <c r="S2515" t="s">
        <v>35349</v>
      </c>
      <c r="T2515" t="s">
        <v>30</v>
      </c>
      <c r="U2515" t="s">
        <v>31821</v>
      </c>
      <c r="W2515" t="s">
        <v>26009</v>
      </c>
    </row>
    <row r="2516" spans="1:23" x14ac:dyDescent="0.35">
      <c r="A2516">
        <v>622846</v>
      </c>
      <c r="B2516" t="s">
        <v>9123</v>
      </c>
      <c r="C2516" t="str">
        <f>"9789027251459"</f>
        <v>9789027251459</v>
      </c>
      <c r="D2516" t="str">
        <f>"9789027299895"</f>
        <v>9789027299895</v>
      </c>
      <c r="E2516" t="s">
        <v>35211</v>
      </c>
      <c r="F2516" t="s">
        <v>7610</v>
      </c>
      <c r="G2516" t="s">
        <v>22190</v>
      </c>
      <c r="H2516" t="s">
        <v>27983</v>
      </c>
      <c r="I2516" s="26">
        <v>36852</v>
      </c>
      <c r="J2516">
        <v>2000</v>
      </c>
      <c r="K2516" t="s">
        <v>7610</v>
      </c>
      <c r="L2516">
        <v>314</v>
      </c>
      <c r="M2516" t="s">
        <v>35350</v>
      </c>
      <c r="N2516">
        <v>1</v>
      </c>
      <c r="Q2516" t="s">
        <v>35351</v>
      </c>
      <c r="R2516">
        <v>153</v>
      </c>
      <c r="S2516" t="s">
        <v>35352</v>
      </c>
      <c r="T2516" t="s">
        <v>30</v>
      </c>
      <c r="U2516" t="s">
        <v>46</v>
      </c>
      <c r="W2516" t="s">
        <v>26009</v>
      </c>
    </row>
    <row r="2517" spans="1:23" x14ac:dyDescent="0.35">
      <c r="A2517">
        <v>622855</v>
      </c>
      <c r="B2517" t="s">
        <v>9147</v>
      </c>
      <c r="C2517" t="str">
        <f>"9789027251664"</f>
        <v>9789027251664</v>
      </c>
      <c r="D2517" t="str">
        <f>"9789027297082"</f>
        <v>9789027297082</v>
      </c>
      <c r="E2517" t="s">
        <v>35211</v>
      </c>
      <c r="F2517" t="s">
        <v>7610</v>
      </c>
      <c r="G2517" t="s">
        <v>22190</v>
      </c>
      <c r="H2517" t="s">
        <v>27983</v>
      </c>
      <c r="I2517" s="26">
        <v>37607</v>
      </c>
      <c r="J2517">
        <v>2002</v>
      </c>
      <c r="K2517" t="s">
        <v>7610</v>
      </c>
      <c r="L2517">
        <v>400</v>
      </c>
      <c r="M2517" t="s">
        <v>35353</v>
      </c>
      <c r="N2517">
        <v>1</v>
      </c>
      <c r="O2517" t="s">
        <v>35354</v>
      </c>
      <c r="P2517">
        <v>42</v>
      </c>
      <c r="Q2517" t="s">
        <v>35355</v>
      </c>
      <c r="R2517">
        <v>153</v>
      </c>
      <c r="S2517" t="s">
        <v>35356</v>
      </c>
      <c r="T2517" t="s">
        <v>30</v>
      </c>
      <c r="U2517" t="s">
        <v>35357</v>
      </c>
      <c r="W2517" t="s">
        <v>26009</v>
      </c>
    </row>
    <row r="2518" spans="1:23" x14ac:dyDescent="0.35">
      <c r="A2518">
        <v>622889</v>
      </c>
      <c r="B2518" t="s">
        <v>35358</v>
      </c>
      <c r="C2518" t="str">
        <f>"9789027227010"</f>
        <v>9789027227010</v>
      </c>
      <c r="D2518" t="str">
        <f>"9789027295347"</f>
        <v>9789027295347</v>
      </c>
      <c r="E2518" t="s">
        <v>35211</v>
      </c>
      <c r="F2518" t="s">
        <v>7610</v>
      </c>
      <c r="G2518" t="s">
        <v>22190</v>
      </c>
      <c r="H2518" t="s">
        <v>27983</v>
      </c>
      <c r="I2518" s="26">
        <v>38197</v>
      </c>
      <c r="J2518">
        <v>2004</v>
      </c>
      <c r="K2518" t="s">
        <v>7610</v>
      </c>
      <c r="L2518">
        <v>357</v>
      </c>
      <c r="M2518" t="s">
        <v>35359</v>
      </c>
      <c r="N2518">
        <v>1</v>
      </c>
      <c r="Q2518" t="s">
        <v>35360</v>
      </c>
      <c r="R2518">
        <v>302.2</v>
      </c>
      <c r="S2518" t="s">
        <v>35361</v>
      </c>
      <c r="T2518" t="s">
        <v>30</v>
      </c>
      <c r="U2518" t="s">
        <v>26044</v>
      </c>
      <c r="W2518" t="s">
        <v>26009</v>
      </c>
    </row>
    <row r="2519" spans="1:23" x14ac:dyDescent="0.35">
      <c r="A2519">
        <v>622891</v>
      </c>
      <c r="B2519" t="s">
        <v>9198</v>
      </c>
      <c r="C2519" t="str">
        <f>"9789027251718"</f>
        <v>9789027251718</v>
      </c>
      <c r="D2519" t="str">
        <f>"9789027297068"</f>
        <v>9789027297068</v>
      </c>
      <c r="E2519" t="s">
        <v>35211</v>
      </c>
      <c r="F2519" t="s">
        <v>7610</v>
      </c>
      <c r="G2519" t="s">
        <v>22190</v>
      </c>
      <c r="H2519" t="s">
        <v>27983</v>
      </c>
      <c r="I2519" s="26">
        <v>37679</v>
      </c>
      <c r="J2519">
        <v>2002</v>
      </c>
      <c r="K2519" t="s">
        <v>7610</v>
      </c>
      <c r="L2519">
        <v>350</v>
      </c>
      <c r="M2519" t="s">
        <v>35362</v>
      </c>
      <c r="N2519">
        <v>1</v>
      </c>
      <c r="Q2519" t="s">
        <v>35363</v>
      </c>
      <c r="R2519">
        <v>153</v>
      </c>
      <c r="S2519" t="s">
        <v>35364</v>
      </c>
      <c r="T2519" t="s">
        <v>30</v>
      </c>
      <c r="U2519" t="s">
        <v>46</v>
      </c>
      <c r="W2519" t="s">
        <v>26009</v>
      </c>
    </row>
    <row r="2520" spans="1:23" x14ac:dyDescent="0.35">
      <c r="A2520">
        <v>622903</v>
      </c>
      <c r="B2520" t="s">
        <v>9213</v>
      </c>
      <c r="C2520" t="str">
        <f>"9789027251770"</f>
        <v>9789027251770</v>
      </c>
      <c r="D2520" t="str">
        <f>"9789027296399"</f>
        <v>9789027296399</v>
      </c>
      <c r="E2520" t="s">
        <v>35211</v>
      </c>
      <c r="F2520" t="s">
        <v>7610</v>
      </c>
      <c r="G2520" t="s">
        <v>22190</v>
      </c>
      <c r="H2520" t="s">
        <v>27983</v>
      </c>
      <c r="I2520" s="26">
        <v>37651</v>
      </c>
      <c r="J2520">
        <v>2003</v>
      </c>
      <c r="K2520" t="s">
        <v>7610</v>
      </c>
      <c r="L2520">
        <v>235</v>
      </c>
      <c r="M2520" t="s">
        <v>35365</v>
      </c>
      <c r="N2520">
        <v>1</v>
      </c>
      <c r="Q2520" t="s">
        <v>35366</v>
      </c>
      <c r="R2520">
        <v>153</v>
      </c>
      <c r="S2520" t="s">
        <v>35367</v>
      </c>
      <c r="T2520" t="s">
        <v>30</v>
      </c>
      <c r="U2520" t="s">
        <v>28935</v>
      </c>
      <c r="W2520" t="s">
        <v>26009</v>
      </c>
    </row>
    <row r="2521" spans="1:23" x14ac:dyDescent="0.35">
      <c r="A2521">
        <v>622904</v>
      </c>
      <c r="B2521" t="s">
        <v>35368</v>
      </c>
      <c r="C2521" t="str">
        <f>"9789027251565"</f>
        <v>9789027251565</v>
      </c>
      <c r="D2521" t="str">
        <f>"9789027297891"</f>
        <v>9789027297891</v>
      </c>
      <c r="E2521" t="s">
        <v>35211</v>
      </c>
      <c r="F2521" t="s">
        <v>7610</v>
      </c>
      <c r="G2521" t="s">
        <v>22190</v>
      </c>
      <c r="H2521" t="s">
        <v>27983</v>
      </c>
      <c r="I2521" s="26">
        <v>37273</v>
      </c>
      <c r="J2521">
        <v>2002</v>
      </c>
      <c r="K2521" t="s">
        <v>7610</v>
      </c>
      <c r="L2521">
        <v>356</v>
      </c>
      <c r="M2521" t="s">
        <v>35369</v>
      </c>
      <c r="N2521">
        <v>1</v>
      </c>
      <c r="O2521" t="s">
        <v>35354</v>
      </c>
      <c r="Q2521" t="s">
        <v>35370</v>
      </c>
      <c r="R2521">
        <v>153</v>
      </c>
      <c r="S2521" t="s">
        <v>35371</v>
      </c>
      <c r="T2521" t="s">
        <v>30</v>
      </c>
      <c r="U2521" t="s">
        <v>35357</v>
      </c>
      <c r="W2521" t="s">
        <v>26009</v>
      </c>
    </row>
    <row r="2522" spans="1:23" x14ac:dyDescent="0.35">
      <c r="A2522">
        <v>622913</v>
      </c>
      <c r="B2522" t="s">
        <v>35372</v>
      </c>
      <c r="C2522" t="str">
        <f>"9789027251534"</f>
        <v>9789027251534</v>
      </c>
      <c r="D2522" t="str">
        <f>"9789027297914"</f>
        <v>9789027297914</v>
      </c>
      <c r="E2522" t="s">
        <v>35211</v>
      </c>
      <c r="F2522" t="s">
        <v>7610</v>
      </c>
      <c r="G2522" t="s">
        <v>22190</v>
      </c>
      <c r="H2522" t="s">
        <v>27983</v>
      </c>
      <c r="I2522" s="26">
        <v>37337</v>
      </c>
      <c r="J2522">
        <v>2002</v>
      </c>
      <c r="K2522" t="s">
        <v>7610</v>
      </c>
      <c r="L2522">
        <v>407</v>
      </c>
      <c r="M2522" t="s">
        <v>35373</v>
      </c>
      <c r="N2522">
        <v>1</v>
      </c>
      <c r="Q2522" t="s">
        <v>35374</v>
      </c>
      <c r="R2522" t="s">
        <v>28874</v>
      </c>
      <c r="S2522" t="s">
        <v>8167</v>
      </c>
      <c r="T2522" t="s">
        <v>30</v>
      </c>
      <c r="U2522" t="s">
        <v>28991</v>
      </c>
      <c r="W2522" t="s">
        <v>26009</v>
      </c>
    </row>
    <row r="2523" spans="1:23" x14ac:dyDescent="0.35">
      <c r="A2523">
        <v>622927</v>
      </c>
      <c r="B2523" t="s">
        <v>9279</v>
      </c>
      <c r="C2523" t="str">
        <f>"9789027254351"</f>
        <v>9789027254351</v>
      </c>
      <c r="D2523" t="str">
        <f>"9789027288899"</f>
        <v>9789027288899</v>
      </c>
      <c r="E2523" t="s">
        <v>35211</v>
      </c>
      <c r="F2523" t="s">
        <v>7610</v>
      </c>
      <c r="G2523" t="s">
        <v>22222</v>
      </c>
      <c r="H2523" t="s">
        <v>27983</v>
      </c>
      <c r="I2523" s="26">
        <v>40114</v>
      </c>
      <c r="J2523">
        <v>2009</v>
      </c>
      <c r="K2523" t="s">
        <v>7610</v>
      </c>
      <c r="L2523">
        <v>312</v>
      </c>
      <c r="M2523" t="s">
        <v>35375</v>
      </c>
      <c r="N2523">
        <v>1</v>
      </c>
      <c r="Q2523" t="s">
        <v>35376</v>
      </c>
      <c r="R2523">
        <v>306.44</v>
      </c>
      <c r="S2523" t="s">
        <v>35377</v>
      </c>
      <c r="T2523" t="s">
        <v>30</v>
      </c>
      <c r="U2523" t="s">
        <v>26228</v>
      </c>
      <c r="W2523" t="s">
        <v>26009</v>
      </c>
    </row>
    <row r="2524" spans="1:23" x14ac:dyDescent="0.35">
      <c r="A2524">
        <v>622929</v>
      </c>
      <c r="B2524" t="s">
        <v>35378</v>
      </c>
      <c r="C2524" t="str">
        <f>"9789027252043"</f>
        <v>9789027252043</v>
      </c>
      <c r="D2524" t="str">
        <f>"9789027292759"</f>
        <v>9789027292759</v>
      </c>
      <c r="E2524" t="s">
        <v>35211</v>
      </c>
      <c r="F2524" t="s">
        <v>7610</v>
      </c>
      <c r="G2524" t="s">
        <v>22222</v>
      </c>
      <c r="H2524" t="s">
        <v>27983</v>
      </c>
      <c r="I2524" s="26">
        <v>39191</v>
      </c>
      <c r="J2524">
        <v>2007</v>
      </c>
      <c r="K2524" t="s">
        <v>7610</v>
      </c>
      <c r="L2524">
        <v>348</v>
      </c>
      <c r="M2524" t="s">
        <v>35322</v>
      </c>
      <c r="N2524">
        <v>1</v>
      </c>
      <c r="Q2524" t="s">
        <v>35379</v>
      </c>
      <c r="R2524">
        <v>612.79999999999995</v>
      </c>
      <c r="S2524" t="s">
        <v>35380</v>
      </c>
      <c r="T2524" t="s">
        <v>30</v>
      </c>
      <c r="U2524" t="s">
        <v>27252</v>
      </c>
      <c r="W2524" t="s">
        <v>26009</v>
      </c>
    </row>
    <row r="2525" spans="1:23" x14ac:dyDescent="0.35">
      <c r="A2525">
        <v>623019</v>
      </c>
      <c r="B2525" t="s">
        <v>35381</v>
      </c>
      <c r="C2525" t="str">
        <f>"9789027233394"</f>
        <v>9789027233394</v>
      </c>
      <c r="D2525" t="str">
        <f>"9789027289452"</f>
        <v>9789027289452</v>
      </c>
      <c r="E2525" t="s">
        <v>35211</v>
      </c>
      <c r="F2525" t="s">
        <v>7610</v>
      </c>
      <c r="G2525" t="s">
        <v>22222</v>
      </c>
      <c r="H2525" t="s">
        <v>27983</v>
      </c>
      <c r="I2525" s="26">
        <v>39975</v>
      </c>
      <c r="J2525">
        <v>2009</v>
      </c>
      <c r="K2525" t="s">
        <v>7610</v>
      </c>
      <c r="L2525">
        <v>224</v>
      </c>
      <c r="M2525" t="s">
        <v>35382</v>
      </c>
      <c r="N2525">
        <v>1</v>
      </c>
      <c r="Q2525" t="s">
        <v>35383</v>
      </c>
      <c r="R2525" t="s">
        <v>35384</v>
      </c>
      <c r="S2525" t="s">
        <v>35385</v>
      </c>
      <c r="T2525" t="s">
        <v>30</v>
      </c>
      <c r="U2525" t="s">
        <v>366</v>
      </c>
      <c r="W2525" t="s">
        <v>26009</v>
      </c>
    </row>
    <row r="2526" spans="1:23" x14ac:dyDescent="0.35">
      <c r="A2526">
        <v>623020</v>
      </c>
      <c r="B2526" t="s">
        <v>35386</v>
      </c>
      <c r="C2526" t="str">
        <f>"9789027251480"</f>
        <v>9789027251480</v>
      </c>
      <c r="D2526" t="str">
        <f>"9789027299864"</f>
        <v>9789027299864</v>
      </c>
      <c r="E2526" t="s">
        <v>35211</v>
      </c>
      <c r="F2526" t="s">
        <v>7610</v>
      </c>
      <c r="G2526" t="s">
        <v>22190</v>
      </c>
      <c r="H2526" t="s">
        <v>27983</v>
      </c>
      <c r="I2526" s="26">
        <v>36853</v>
      </c>
      <c r="J2526">
        <v>2000</v>
      </c>
      <c r="K2526" t="s">
        <v>7610</v>
      </c>
      <c r="L2526">
        <v>362</v>
      </c>
      <c r="M2526" t="s">
        <v>35387</v>
      </c>
      <c r="N2526">
        <v>1</v>
      </c>
      <c r="Q2526" t="s">
        <v>35388</v>
      </c>
      <c r="R2526" t="s">
        <v>26035</v>
      </c>
      <c r="S2526" t="s">
        <v>35389</v>
      </c>
      <c r="T2526" t="s">
        <v>30</v>
      </c>
      <c r="U2526" t="s">
        <v>46</v>
      </c>
      <c r="W2526" t="s">
        <v>26009</v>
      </c>
    </row>
    <row r="2527" spans="1:23" x14ac:dyDescent="0.35">
      <c r="A2527">
        <v>623028</v>
      </c>
      <c r="B2527" t="s">
        <v>35390</v>
      </c>
      <c r="C2527" t="str">
        <f>"9789027241511"</f>
        <v>9789027241511</v>
      </c>
      <c r="D2527" t="str">
        <f>"9789027293091"</f>
        <v>9789027293091</v>
      </c>
      <c r="E2527" t="s">
        <v>35211</v>
      </c>
      <c r="F2527" t="s">
        <v>7610</v>
      </c>
      <c r="G2527" t="s">
        <v>22222</v>
      </c>
      <c r="H2527" t="s">
        <v>27983</v>
      </c>
      <c r="I2527" s="26">
        <v>39050</v>
      </c>
      <c r="J2527">
        <v>2006</v>
      </c>
      <c r="K2527" t="s">
        <v>7610</v>
      </c>
      <c r="L2527">
        <v>268</v>
      </c>
      <c r="M2527" t="s">
        <v>35391</v>
      </c>
      <c r="N2527">
        <v>1</v>
      </c>
      <c r="Q2527" t="s">
        <v>35392</v>
      </c>
      <c r="R2527">
        <v>153</v>
      </c>
      <c r="S2527" t="s">
        <v>35393</v>
      </c>
      <c r="T2527" t="s">
        <v>30</v>
      </c>
      <c r="U2527" t="s">
        <v>46</v>
      </c>
      <c r="W2527" t="s">
        <v>26009</v>
      </c>
    </row>
    <row r="2528" spans="1:23" x14ac:dyDescent="0.35">
      <c r="A2528">
        <v>623106</v>
      </c>
      <c r="B2528" t="s">
        <v>9855</v>
      </c>
      <c r="C2528" t="str">
        <f>"9789027251695"</f>
        <v>9789027251695</v>
      </c>
      <c r="D2528" t="str">
        <f>"9789027297075"</f>
        <v>9789027297075</v>
      </c>
      <c r="E2528" t="s">
        <v>35211</v>
      </c>
      <c r="F2528" t="s">
        <v>7610</v>
      </c>
      <c r="G2528" t="s">
        <v>22190</v>
      </c>
      <c r="H2528" t="s">
        <v>27983</v>
      </c>
      <c r="I2528" s="26">
        <v>37565</v>
      </c>
      <c r="J2528">
        <v>2002</v>
      </c>
      <c r="K2528" t="s">
        <v>7610</v>
      </c>
      <c r="L2528">
        <v>293</v>
      </c>
      <c r="M2528" t="s">
        <v>35394</v>
      </c>
      <c r="N2528">
        <v>1</v>
      </c>
      <c r="Q2528" t="s">
        <v>35395</v>
      </c>
      <c r="R2528" t="s">
        <v>35396</v>
      </c>
      <c r="S2528" t="s">
        <v>9856</v>
      </c>
      <c r="T2528" t="s">
        <v>30</v>
      </c>
      <c r="U2528" t="s">
        <v>26679</v>
      </c>
      <c r="W2528" t="s">
        <v>26009</v>
      </c>
    </row>
    <row r="2529" spans="1:23" x14ac:dyDescent="0.35">
      <c r="A2529">
        <v>623127</v>
      </c>
      <c r="B2529" t="s">
        <v>35397</v>
      </c>
      <c r="C2529" t="str">
        <f>"9789027229779"</f>
        <v>9789027229779</v>
      </c>
      <c r="D2529" t="str">
        <f>"9789027293558"</f>
        <v>9789027293558</v>
      </c>
      <c r="E2529" t="s">
        <v>35211</v>
      </c>
      <c r="F2529" t="s">
        <v>7610</v>
      </c>
      <c r="G2529" t="s">
        <v>22222</v>
      </c>
      <c r="H2529" t="s">
        <v>27983</v>
      </c>
      <c r="I2529" s="26">
        <v>38853</v>
      </c>
      <c r="J2529">
        <v>2006</v>
      </c>
      <c r="K2529" t="s">
        <v>7610</v>
      </c>
      <c r="L2529">
        <v>374</v>
      </c>
      <c r="M2529" t="s">
        <v>35398</v>
      </c>
      <c r="N2529">
        <v>1</v>
      </c>
      <c r="O2529" t="s">
        <v>35399</v>
      </c>
      <c r="P2529">
        <v>66</v>
      </c>
      <c r="Q2529" t="s">
        <v>35400</v>
      </c>
      <c r="R2529">
        <v>410.1</v>
      </c>
      <c r="S2529" t="s">
        <v>35401</v>
      </c>
      <c r="T2529" t="s">
        <v>30</v>
      </c>
      <c r="U2529" t="s">
        <v>28384</v>
      </c>
      <c r="W2529" t="s">
        <v>26009</v>
      </c>
    </row>
    <row r="2530" spans="1:23" x14ac:dyDescent="0.35">
      <c r="A2530">
        <v>623147</v>
      </c>
      <c r="B2530" t="s">
        <v>9960</v>
      </c>
      <c r="C2530" t="str">
        <f>"9789027251350"</f>
        <v>9789027251350</v>
      </c>
      <c r="D2530" t="str">
        <f>"9789027299970"</f>
        <v>9789027299970</v>
      </c>
      <c r="E2530" t="s">
        <v>35211</v>
      </c>
      <c r="F2530" t="s">
        <v>7610</v>
      </c>
      <c r="G2530" t="s">
        <v>22190</v>
      </c>
      <c r="H2530" t="s">
        <v>27983</v>
      </c>
      <c r="I2530" s="26">
        <v>36479</v>
      </c>
      <c r="J2530">
        <v>1999</v>
      </c>
      <c r="K2530" t="s">
        <v>7610</v>
      </c>
      <c r="L2530">
        <v>304</v>
      </c>
      <c r="M2530" t="s">
        <v>35402</v>
      </c>
      <c r="N2530">
        <v>1</v>
      </c>
      <c r="O2530" t="s">
        <v>35354</v>
      </c>
      <c r="Q2530" t="s">
        <v>35403</v>
      </c>
      <c r="R2530">
        <v>153</v>
      </c>
      <c r="S2530" t="s">
        <v>35404</v>
      </c>
      <c r="T2530" t="s">
        <v>30</v>
      </c>
      <c r="U2530" t="s">
        <v>46</v>
      </c>
      <c r="W2530" t="s">
        <v>26009</v>
      </c>
    </row>
    <row r="2531" spans="1:23" x14ac:dyDescent="0.35">
      <c r="A2531">
        <v>623150</v>
      </c>
      <c r="B2531" t="s">
        <v>35405</v>
      </c>
      <c r="C2531" t="str">
        <f>"9789027251954"</f>
        <v>9789027251954</v>
      </c>
      <c r="D2531" t="str">
        <f>"9789027295132"</f>
        <v>9789027295132</v>
      </c>
      <c r="E2531" t="s">
        <v>35211</v>
      </c>
      <c r="F2531" t="s">
        <v>7610</v>
      </c>
      <c r="G2531" t="s">
        <v>22190</v>
      </c>
      <c r="H2531" t="s">
        <v>27983</v>
      </c>
      <c r="I2531" s="26">
        <v>38253</v>
      </c>
      <c r="J2531">
        <v>2004</v>
      </c>
      <c r="K2531" t="s">
        <v>7610</v>
      </c>
      <c r="L2531">
        <v>176</v>
      </c>
      <c r="M2531" t="s">
        <v>35406</v>
      </c>
      <c r="N2531">
        <v>1</v>
      </c>
      <c r="Q2531" t="s">
        <v>35407</v>
      </c>
      <c r="R2531" t="s">
        <v>35298</v>
      </c>
      <c r="S2531" t="s">
        <v>9966</v>
      </c>
      <c r="T2531" t="s">
        <v>30</v>
      </c>
      <c r="U2531" t="s">
        <v>46</v>
      </c>
      <c r="W2531" t="s">
        <v>26009</v>
      </c>
    </row>
    <row r="2532" spans="1:23" x14ac:dyDescent="0.35">
      <c r="A2532">
        <v>623226</v>
      </c>
      <c r="B2532" t="s">
        <v>35408</v>
      </c>
      <c r="C2532" t="str">
        <f>"9789027251732"</f>
        <v>9789027251732</v>
      </c>
      <c r="D2532" t="str">
        <f>"9789027297839"</f>
        <v>9789027297839</v>
      </c>
      <c r="E2532" t="s">
        <v>35211</v>
      </c>
      <c r="F2532" t="s">
        <v>7610</v>
      </c>
      <c r="G2532" t="s">
        <v>22190</v>
      </c>
      <c r="H2532" t="s">
        <v>27983</v>
      </c>
      <c r="I2532" s="26">
        <v>37501</v>
      </c>
      <c r="J2532">
        <v>2002</v>
      </c>
      <c r="K2532" t="s">
        <v>7610</v>
      </c>
      <c r="L2532">
        <v>303</v>
      </c>
      <c r="M2532" t="s">
        <v>35409</v>
      </c>
      <c r="N2532">
        <v>1</v>
      </c>
      <c r="Q2532" t="s">
        <v>35410</v>
      </c>
      <c r="R2532">
        <v>153</v>
      </c>
      <c r="S2532" t="s">
        <v>35411</v>
      </c>
      <c r="T2532" t="s">
        <v>30</v>
      </c>
      <c r="U2532" t="s">
        <v>35412</v>
      </c>
      <c r="W2532" t="s">
        <v>26009</v>
      </c>
    </row>
    <row r="2533" spans="1:23" x14ac:dyDescent="0.35">
      <c r="A2533">
        <v>623230</v>
      </c>
      <c r="B2533" t="s">
        <v>35413</v>
      </c>
      <c r="C2533" t="str">
        <f>"9789027251855"</f>
        <v>9789027251855</v>
      </c>
      <c r="D2533" t="str">
        <f>"9789027296382"</f>
        <v>9789027296382</v>
      </c>
      <c r="E2533" t="s">
        <v>35211</v>
      </c>
      <c r="F2533" t="s">
        <v>7610</v>
      </c>
      <c r="G2533" t="s">
        <v>22190</v>
      </c>
      <c r="H2533" t="s">
        <v>27983</v>
      </c>
      <c r="I2533" s="26">
        <v>37873</v>
      </c>
      <c r="J2533">
        <v>2003</v>
      </c>
      <c r="K2533" t="s">
        <v>7610</v>
      </c>
      <c r="L2533">
        <v>332</v>
      </c>
      <c r="M2533" t="s">
        <v>35414</v>
      </c>
      <c r="N2533">
        <v>1</v>
      </c>
      <c r="Q2533" t="s">
        <v>35415</v>
      </c>
      <c r="R2533" t="s">
        <v>35416</v>
      </c>
      <c r="S2533" t="s">
        <v>35417</v>
      </c>
      <c r="T2533" t="s">
        <v>30</v>
      </c>
      <c r="U2533" t="s">
        <v>46</v>
      </c>
      <c r="W2533" t="s">
        <v>26009</v>
      </c>
    </row>
    <row r="2534" spans="1:23" x14ac:dyDescent="0.35">
      <c r="A2534">
        <v>623288</v>
      </c>
      <c r="B2534" t="s">
        <v>35418</v>
      </c>
      <c r="C2534" t="str">
        <f>"9789027221865"</f>
        <v>9789027221865</v>
      </c>
      <c r="D2534" t="str">
        <f>"9789027298485"</f>
        <v>9789027298485</v>
      </c>
      <c r="E2534" t="s">
        <v>35211</v>
      </c>
      <c r="F2534" t="s">
        <v>7610</v>
      </c>
      <c r="G2534" t="s">
        <v>35419</v>
      </c>
      <c r="H2534" t="s">
        <v>27983</v>
      </c>
      <c r="I2534" s="26">
        <v>36509</v>
      </c>
      <c r="J2534">
        <v>2000</v>
      </c>
      <c r="K2534" t="s">
        <v>7610</v>
      </c>
      <c r="L2534">
        <v>344</v>
      </c>
      <c r="M2534" t="s">
        <v>35420</v>
      </c>
      <c r="N2534">
        <v>1</v>
      </c>
      <c r="Q2534" t="s">
        <v>35421</v>
      </c>
      <c r="R2534" t="s">
        <v>30488</v>
      </c>
      <c r="S2534" t="s">
        <v>35422</v>
      </c>
      <c r="T2534" t="s">
        <v>30</v>
      </c>
      <c r="U2534" t="s">
        <v>30490</v>
      </c>
      <c r="W2534" t="s">
        <v>26009</v>
      </c>
    </row>
    <row r="2535" spans="1:23" x14ac:dyDescent="0.35">
      <c r="A2535">
        <v>623423</v>
      </c>
      <c r="B2535" t="s">
        <v>35423</v>
      </c>
      <c r="C2535" t="str">
        <f>"9789027252142"</f>
        <v>9789027252142</v>
      </c>
      <c r="D2535" t="str">
        <f>"9789027288356"</f>
        <v>9789027288356</v>
      </c>
      <c r="E2535" t="s">
        <v>35211</v>
      </c>
      <c r="F2535" t="s">
        <v>7610</v>
      </c>
      <c r="G2535" t="s">
        <v>22222</v>
      </c>
      <c r="H2535" t="s">
        <v>27983</v>
      </c>
      <c r="I2535" s="26">
        <v>40304</v>
      </c>
      <c r="J2535">
        <v>2010</v>
      </c>
      <c r="K2535" t="s">
        <v>7610</v>
      </c>
      <c r="L2535">
        <v>287</v>
      </c>
      <c r="M2535" t="s">
        <v>35424</v>
      </c>
      <c r="N2535">
        <v>1</v>
      </c>
      <c r="Q2535" t="s">
        <v>35425</v>
      </c>
      <c r="R2535" t="s">
        <v>27131</v>
      </c>
      <c r="S2535" t="s">
        <v>35426</v>
      </c>
      <c r="T2535" t="s">
        <v>30</v>
      </c>
      <c r="U2535" t="s">
        <v>46</v>
      </c>
      <c r="W2535" t="s">
        <v>26009</v>
      </c>
    </row>
    <row r="2536" spans="1:23" x14ac:dyDescent="0.35">
      <c r="A2536">
        <v>624251</v>
      </c>
      <c r="B2536" t="s">
        <v>35427</v>
      </c>
      <c r="C2536" t="str">
        <f>"9781844079285"</f>
        <v>9781844079285</v>
      </c>
      <c r="D2536" t="str">
        <f>"9781849775243"</f>
        <v>9781849775243</v>
      </c>
      <c r="E2536" t="s">
        <v>26010</v>
      </c>
      <c r="F2536" t="s">
        <v>35</v>
      </c>
      <c r="G2536" t="s">
        <v>22174</v>
      </c>
      <c r="H2536" t="s">
        <v>26011</v>
      </c>
      <c r="I2536" s="26">
        <v>40501</v>
      </c>
      <c r="J2536">
        <v>2010</v>
      </c>
      <c r="K2536" t="s">
        <v>26012</v>
      </c>
      <c r="L2536">
        <v>321</v>
      </c>
      <c r="M2536" t="s">
        <v>35428</v>
      </c>
      <c r="N2536">
        <v>1</v>
      </c>
      <c r="Q2536" t="s">
        <v>35429</v>
      </c>
      <c r="R2536">
        <v>304.2</v>
      </c>
      <c r="S2536" t="s">
        <v>8302</v>
      </c>
      <c r="T2536" t="s">
        <v>30</v>
      </c>
      <c r="U2536" t="s">
        <v>26228</v>
      </c>
      <c r="W2536" t="s">
        <v>26009</v>
      </c>
    </row>
    <row r="2537" spans="1:23" x14ac:dyDescent="0.35">
      <c r="A2537">
        <v>624282</v>
      </c>
      <c r="B2537" t="s">
        <v>35430</v>
      </c>
      <c r="C2537" t="str">
        <f>"9789042032415"</f>
        <v>9789042032415</v>
      </c>
      <c r="D2537" t="str">
        <f>"9789042032422"</f>
        <v>9789042032422</v>
      </c>
      <c r="E2537" t="s">
        <v>4602</v>
      </c>
      <c r="F2537" t="s">
        <v>27</v>
      </c>
      <c r="G2537" t="s">
        <v>22231</v>
      </c>
      <c r="H2537" t="s">
        <v>26004</v>
      </c>
      <c r="I2537" s="26">
        <v>40544</v>
      </c>
      <c r="J2537">
        <v>2011</v>
      </c>
      <c r="K2537" t="s">
        <v>34659</v>
      </c>
      <c r="L2537">
        <v>246</v>
      </c>
      <c r="M2537" t="s">
        <v>35431</v>
      </c>
      <c r="N2537">
        <v>1</v>
      </c>
      <c r="O2537" t="s">
        <v>35432</v>
      </c>
      <c r="P2537">
        <v>34</v>
      </c>
      <c r="Q2537" t="s">
        <v>35433</v>
      </c>
      <c r="R2537">
        <v>155.30000000000001</v>
      </c>
      <c r="S2537" t="s">
        <v>35434</v>
      </c>
      <c r="T2537" t="s">
        <v>30</v>
      </c>
      <c r="U2537" t="s">
        <v>46</v>
      </c>
      <c r="W2537" t="s">
        <v>26009</v>
      </c>
    </row>
    <row r="2538" spans="1:23" x14ac:dyDescent="0.35">
      <c r="A2538">
        <v>629941</v>
      </c>
      <c r="B2538" t="s">
        <v>28785</v>
      </c>
      <c r="C2538" t="str">
        <f>"9780123814531"</f>
        <v>9780123814531</v>
      </c>
      <c r="D2538" t="str">
        <f>"9780123814548"</f>
        <v>9780123814548</v>
      </c>
      <c r="E2538" t="s">
        <v>27482</v>
      </c>
      <c r="F2538" t="s">
        <v>7447</v>
      </c>
      <c r="G2538" t="s">
        <v>22689</v>
      </c>
      <c r="H2538" t="s">
        <v>26004</v>
      </c>
      <c r="I2538" s="26">
        <v>40442</v>
      </c>
      <c r="J2538">
        <v>2010</v>
      </c>
      <c r="K2538" t="s">
        <v>946</v>
      </c>
      <c r="L2538">
        <v>613</v>
      </c>
      <c r="M2538" t="s">
        <v>35435</v>
      </c>
      <c r="N2538">
        <v>3</v>
      </c>
      <c r="Q2538" t="s">
        <v>35436</v>
      </c>
      <c r="R2538" t="s">
        <v>28788</v>
      </c>
      <c r="S2538" t="s">
        <v>35437</v>
      </c>
      <c r="T2538" t="s">
        <v>30</v>
      </c>
      <c r="U2538" t="s">
        <v>26040</v>
      </c>
      <c r="W2538" t="s">
        <v>26009</v>
      </c>
    </row>
    <row r="2539" spans="1:23" x14ac:dyDescent="0.35">
      <c r="A2539">
        <v>629997</v>
      </c>
      <c r="B2539" t="s">
        <v>35438</v>
      </c>
      <c r="C2539" t="str">
        <f>"9780123743879"</f>
        <v>9780123743879</v>
      </c>
      <c r="D2539" t="str">
        <f>"9780080922096"</f>
        <v>9780080922096</v>
      </c>
      <c r="E2539" t="s">
        <v>27482</v>
      </c>
      <c r="F2539" t="s">
        <v>7447</v>
      </c>
      <c r="G2539" t="s">
        <v>22689</v>
      </c>
      <c r="H2539" t="s">
        <v>26004</v>
      </c>
      <c r="I2539" s="26">
        <v>40354</v>
      </c>
      <c r="J2539">
        <v>2010</v>
      </c>
      <c r="K2539" t="s">
        <v>946</v>
      </c>
      <c r="L2539">
        <v>832</v>
      </c>
      <c r="M2539" t="s">
        <v>35439</v>
      </c>
      <c r="N2539">
        <v>1</v>
      </c>
      <c r="Q2539" t="s">
        <v>35440</v>
      </c>
      <c r="R2539">
        <v>362.19639799999999</v>
      </c>
      <c r="S2539" t="s">
        <v>11233</v>
      </c>
      <c r="T2539" t="s">
        <v>30</v>
      </c>
      <c r="U2539" t="s">
        <v>26057</v>
      </c>
      <c r="W2539" t="s">
        <v>26009</v>
      </c>
    </row>
    <row r="2540" spans="1:23" x14ac:dyDescent="0.35">
      <c r="A2540">
        <v>631047</v>
      </c>
      <c r="B2540" t="s">
        <v>35441</v>
      </c>
      <c r="C2540" t="str">
        <f>"9780520267343"</f>
        <v>9780520267343</v>
      </c>
      <c r="D2540" t="str">
        <f>"9780520948235"</f>
        <v>9780520948235</v>
      </c>
      <c r="E2540" t="s">
        <v>1612</v>
      </c>
      <c r="F2540" t="s">
        <v>1612</v>
      </c>
      <c r="G2540" t="s">
        <v>22630</v>
      </c>
      <c r="H2540" t="s">
        <v>26004</v>
      </c>
      <c r="I2540" s="26">
        <v>40514</v>
      </c>
      <c r="J2540">
        <v>2010</v>
      </c>
      <c r="K2540" t="s">
        <v>1612</v>
      </c>
      <c r="L2540">
        <v>202</v>
      </c>
      <c r="M2540" t="s">
        <v>35442</v>
      </c>
      <c r="N2540">
        <v>1</v>
      </c>
      <c r="R2540" t="s">
        <v>35443</v>
      </c>
      <c r="S2540" t="s">
        <v>35444</v>
      </c>
      <c r="T2540" t="s">
        <v>30</v>
      </c>
      <c r="U2540" t="s">
        <v>26094</v>
      </c>
      <c r="W2540" t="s">
        <v>26009</v>
      </c>
    </row>
    <row r="2541" spans="1:23" x14ac:dyDescent="0.35">
      <c r="A2541">
        <v>631049</v>
      </c>
      <c r="B2541" t="s">
        <v>35445</v>
      </c>
      <c r="C2541" t="str">
        <f>"9780520267169"</f>
        <v>9780520267169</v>
      </c>
      <c r="D2541" t="str">
        <f>"9780520948488"</f>
        <v>9780520948488</v>
      </c>
      <c r="E2541" t="s">
        <v>1612</v>
      </c>
      <c r="F2541" t="s">
        <v>1612</v>
      </c>
      <c r="G2541" t="s">
        <v>22630</v>
      </c>
      <c r="H2541" t="s">
        <v>26004</v>
      </c>
      <c r="I2541" s="26">
        <v>40609</v>
      </c>
      <c r="J2541">
        <v>2011</v>
      </c>
      <c r="K2541" t="s">
        <v>1612</v>
      </c>
      <c r="L2541">
        <v>113</v>
      </c>
      <c r="M2541" t="s">
        <v>35446</v>
      </c>
      <c r="N2541">
        <v>1</v>
      </c>
      <c r="R2541">
        <v>305</v>
      </c>
      <c r="S2541" t="s">
        <v>35447</v>
      </c>
      <c r="T2541" t="s">
        <v>30</v>
      </c>
      <c r="U2541" t="s">
        <v>26044</v>
      </c>
      <c r="W2541" t="s">
        <v>26009</v>
      </c>
    </row>
    <row r="2542" spans="1:23" x14ac:dyDescent="0.35">
      <c r="A2542">
        <v>634202</v>
      </c>
      <c r="B2542" t="s">
        <v>8569</v>
      </c>
      <c r="C2542" t="str">
        <f>"9781590771358"</f>
        <v>9781590771358</v>
      </c>
      <c r="D2542" t="str">
        <f>"9781590771877"</f>
        <v>9781590771877</v>
      </c>
      <c r="E2542" t="s">
        <v>33803</v>
      </c>
      <c r="F2542" t="s">
        <v>35448</v>
      </c>
      <c r="G2542" t="s">
        <v>33804</v>
      </c>
      <c r="H2542" t="s">
        <v>26004</v>
      </c>
      <c r="I2542" s="26">
        <v>40498</v>
      </c>
      <c r="J2542">
        <v>2010</v>
      </c>
      <c r="K2542" t="s">
        <v>35448</v>
      </c>
      <c r="L2542">
        <v>261</v>
      </c>
      <c r="M2542" t="s">
        <v>35449</v>
      </c>
      <c r="N2542">
        <v>1</v>
      </c>
      <c r="Q2542" t="s">
        <v>35450</v>
      </c>
      <c r="R2542" t="s">
        <v>27122</v>
      </c>
      <c r="S2542" t="s">
        <v>32642</v>
      </c>
      <c r="T2542" t="s">
        <v>30</v>
      </c>
      <c r="U2542" t="s">
        <v>26019</v>
      </c>
      <c r="W2542" t="s">
        <v>26009</v>
      </c>
    </row>
    <row r="2543" spans="1:23" x14ac:dyDescent="0.35">
      <c r="A2543">
        <v>634227</v>
      </c>
      <c r="B2543" t="s">
        <v>35451</v>
      </c>
      <c r="C2543" t="str">
        <f>"9780765707932"</f>
        <v>9780765707932</v>
      </c>
      <c r="D2543" t="str">
        <f>"9780765707956"</f>
        <v>9780765707956</v>
      </c>
      <c r="E2543" t="s">
        <v>33803</v>
      </c>
      <c r="F2543" t="s">
        <v>38</v>
      </c>
      <c r="G2543" t="s">
        <v>34138</v>
      </c>
      <c r="H2543" t="s">
        <v>26004</v>
      </c>
      <c r="I2543" s="26">
        <v>40508</v>
      </c>
      <c r="J2543">
        <v>2011</v>
      </c>
      <c r="K2543" t="s">
        <v>33811</v>
      </c>
      <c r="L2543">
        <v>146</v>
      </c>
      <c r="M2543" t="s">
        <v>35452</v>
      </c>
      <c r="N2543">
        <v>1</v>
      </c>
      <c r="Q2543" t="s">
        <v>35453</v>
      </c>
      <c r="R2543" t="s">
        <v>28035</v>
      </c>
      <c r="S2543" t="s">
        <v>35454</v>
      </c>
      <c r="T2543" t="s">
        <v>30</v>
      </c>
      <c r="U2543" t="s">
        <v>26019</v>
      </c>
      <c r="W2543" t="s">
        <v>26009</v>
      </c>
    </row>
    <row r="2544" spans="1:23" x14ac:dyDescent="0.35">
      <c r="A2544">
        <v>634228</v>
      </c>
      <c r="B2544" t="s">
        <v>35455</v>
      </c>
      <c r="C2544" t="str">
        <f>"9781442206496"</f>
        <v>9781442206496</v>
      </c>
      <c r="D2544" t="str">
        <f>"9781442206502"</f>
        <v>9781442206502</v>
      </c>
      <c r="E2544" t="s">
        <v>33803</v>
      </c>
      <c r="F2544" t="s">
        <v>38</v>
      </c>
      <c r="G2544" t="s">
        <v>33804</v>
      </c>
      <c r="H2544" t="s">
        <v>26004</v>
      </c>
      <c r="I2544" s="26">
        <v>40984</v>
      </c>
      <c r="J2544">
        <v>2010</v>
      </c>
      <c r="K2544" t="s">
        <v>38</v>
      </c>
      <c r="L2544">
        <v>142</v>
      </c>
      <c r="M2544" t="s">
        <v>35456</v>
      </c>
      <c r="N2544">
        <v>1</v>
      </c>
      <c r="Q2544" t="s">
        <v>35457</v>
      </c>
      <c r="R2544" t="s">
        <v>35458</v>
      </c>
      <c r="S2544" t="s">
        <v>35459</v>
      </c>
      <c r="T2544" t="s">
        <v>30</v>
      </c>
      <c r="U2544" t="s">
        <v>26044</v>
      </c>
      <c r="W2544" t="s">
        <v>26009</v>
      </c>
    </row>
    <row r="2545" spans="1:23" x14ac:dyDescent="0.35">
      <c r="A2545">
        <v>634247</v>
      </c>
      <c r="B2545" t="s">
        <v>35460</v>
      </c>
      <c r="C2545" t="str">
        <f>"9780739140017"</f>
        <v>9780739140017</v>
      </c>
      <c r="D2545" t="str">
        <f>"9780739140024"</f>
        <v>9780739140024</v>
      </c>
      <c r="E2545" t="s">
        <v>33803</v>
      </c>
      <c r="F2545" t="s">
        <v>8174</v>
      </c>
      <c r="G2545" t="s">
        <v>34328</v>
      </c>
      <c r="H2545" t="s">
        <v>26004</v>
      </c>
      <c r="I2545" s="26">
        <v>40441</v>
      </c>
      <c r="J2545">
        <v>2010</v>
      </c>
      <c r="K2545" t="s">
        <v>8174</v>
      </c>
      <c r="L2545">
        <v>204</v>
      </c>
      <c r="M2545" t="s">
        <v>35461</v>
      </c>
      <c r="N2545">
        <v>1</v>
      </c>
      <c r="O2545" t="s">
        <v>35462</v>
      </c>
      <c r="Q2545" t="s">
        <v>35463</v>
      </c>
      <c r="R2545">
        <v>153.6</v>
      </c>
      <c r="S2545" t="s">
        <v>35464</v>
      </c>
      <c r="T2545" t="s">
        <v>30</v>
      </c>
      <c r="U2545" t="s">
        <v>46</v>
      </c>
      <c r="W2545" t="s">
        <v>26009</v>
      </c>
    </row>
    <row r="2546" spans="1:23" x14ac:dyDescent="0.35">
      <c r="A2546">
        <v>634254</v>
      </c>
      <c r="B2546" t="s">
        <v>35465</v>
      </c>
      <c r="C2546" t="str">
        <f>"9780739147009"</f>
        <v>9780739147009</v>
      </c>
      <c r="D2546" t="str">
        <f>"9780739147023"</f>
        <v>9780739147023</v>
      </c>
      <c r="E2546" t="s">
        <v>33803</v>
      </c>
      <c r="F2546" t="s">
        <v>8174</v>
      </c>
      <c r="G2546" t="s">
        <v>33804</v>
      </c>
      <c r="H2546" t="s">
        <v>26004</v>
      </c>
      <c r="I2546" s="26">
        <v>40446</v>
      </c>
      <c r="J2546">
        <v>2010</v>
      </c>
      <c r="K2546" t="s">
        <v>8174</v>
      </c>
      <c r="L2546">
        <v>199</v>
      </c>
      <c r="M2546" t="s">
        <v>35466</v>
      </c>
      <c r="N2546">
        <v>1</v>
      </c>
      <c r="Q2546" t="s">
        <v>35467</v>
      </c>
      <c r="R2546">
        <v>794.8</v>
      </c>
      <c r="S2546" t="s">
        <v>35468</v>
      </c>
      <c r="T2546" t="s">
        <v>30</v>
      </c>
      <c r="U2546" t="s">
        <v>26008</v>
      </c>
      <c r="W2546" t="s">
        <v>26009</v>
      </c>
    </row>
    <row r="2547" spans="1:23" x14ac:dyDescent="0.35">
      <c r="A2547">
        <v>634270</v>
      </c>
      <c r="B2547" t="s">
        <v>35469</v>
      </c>
      <c r="C2547" t="str">
        <f>"9780761851790"</f>
        <v>9780761851790</v>
      </c>
      <c r="D2547" t="str">
        <f>"9780761851806"</f>
        <v>9780761851806</v>
      </c>
      <c r="E2547" t="s">
        <v>33803</v>
      </c>
      <c r="F2547" t="s">
        <v>34051</v>
      </c>
      <c r="G2547" t="s">
        <v>34328</v>
      </c>
      <c r="H2547" t="s">
        <v>26004</v>
      </c>
      <c r="I2547" s="26">
        <v>40444</v>
      </c>
      <c r="J2547">
        <v>2010</v>
      </c>
      <c r="K2547" t="s">
        <v>34051</v>
      </c>
      <c r="L2547">
        <v>155</v>
      </c>
      <c r="M2547" t="s">
        <v>35470</v>
      </c>
      <c r="N2547">
        <v>1</v>
      </c>
      <c r="Q2547" t="s">
        <v>35471</v>
      </c>
      <c r="R2547">
        <v>155</v>
      </c>
      <c r="S2547" t="s">
        <v>35472</v>
      </c>
      <c r="T2547" t="s">
        <v>30</v>
      </c>
      <c r="U2547" t="s">
        <v>26520</v>
      </c>
      <c r="W2547" t="s">
        <v>26009</v>
      </c>
    </row>
    <row r="2548" spans="1:23" x14ac:dyDescent="0.35">
      <c r="A2548">
        <v>634271</v>
      </c>
      <c r="B2548" t="s">
        <v>8908</v>
      </c>
      <c r="C2548" t="str">
        <f>"9780761851837"</f>
        <v>9780761851837</v>
      </c>
      <c r="D2548" t="str">
        <f>"9780761851844"</f>
        <v>9780761851844</v>
      </c>
      <c r="E2548" t="s">
        <v>33803</v>
      </c>
      <c r="F2548" t="s">
        <v>34051</v>
      </c>
      <c r="G2548" t="s">
        <v>33804</v>
      </c>
      <c r="H2548" t="s">
        <v>26004</v>
      </c>
      <c r="I2548" s="26">
        <v>40444</v>
      </c>
      <c r="J2548">
        <v>2010</v>
      </c>
      <c r="K2548" t="s">
        <v>34051</v>
      </c>
      <c r="L2548">
        <v>72</v>
      </c>
      <c r="M2548" t="s">
        <v>35473</v>
      </c>
      <c r="N2548">
        <v>1</v>
      </c>
      <c r="Q2548" t="s">
        <v>35474</v>
      </c>
      <c r="R2548">
        <v>296</v>
      </c>
      <c r="S2548" t="s">
        <v>35475</v>
      </c>
      <c r="T2548" t="s">
        <v>30</v>
      </c>
      <c r="U2548" t="s">
        <v>11247</v>
      </c>
      <c r="W2548" t="s">
        <v>26009</v>
      </c>
    </row>
    <row r="2549" spans="1:23" x14ac:dyDescent="0.35">
      <c r="A2549">
        <v>634318</v>
      </c>
      <c r="B2549" t="s">
        <v>8111</v>
      </c>
      <c r="C2549" t="str">
        <f>"9781442206052"</f>
        <v>9781442206052</v>
      </c>
      <c r="D2549" t="str">
        <f>"9781442206076"</f>
        <v>9781442206076</v>
      </c>
      <c r="E2549" t="s">
        <v>33803</v>
      </c>
      <c r="F2549" t="s">
        <v>38</v>
      </c>
      <c r="G2549" t="s">
        <v>33804</v>
      </c>
      <c r="H2549" t="s">
        <v>26004</v>
      </c>
      <c r="I2549" s="26">
        <v>40498</v>
      </c>
      <c r="J2549">
        <v>2010</v>
      </c>
      <c r="K2549" t="s">
        <v>38</v>
      </c>
      <c r="L2549">
        <v>180</v>
      </c>
      <c r="M2549" t="s">
        <v>35476</v>
      </c>
      <c r="N2549">
        <v>1</v>
      </c>
      <c r="Q2549" t="s">
        <v>35477</v>
      </c>
      <c r="R2549" t="s">
        <v>35478</v>
      </c>
      <c r="S2549" t="s">
        <v>35479</v>
      </c>
      <c r="T2549" t="s">
        <v>30</v>
      </c>
      <c r="U2549" t="s">
        <v>26044</v>
      </c>
      <c r="W2549" t="s">
        <v>26009</v>
      </c>
    </row>
    <row r="2550" spans="1:23" x14ac:dyDescent="0.35">
      <c r="A2550">
        <v>634864</v>
      </c>
      <c r="B2550" t="s">
        <v>8581</v>
      </c>
      <c r="C2550" t="str">
        <f>"9780123808806"</f>
        <v>9780123808806</v>
      </c>
      <c r="D2550" t="str">
        <f>"9780123808813"</f>
        <v>9780123808813</v>
      </c>
      <c r="E2550" t="s">
        <v>27482</v>
      </c>
      <c r="F2550" t="s">
        <v>7447</v>
      </c>
      <c r="G2550" t="s">
        <v>35480</v>
      </c>
      <c r="H2550" t="s">
        <v>26004</v>
      </c>
      <c r="I2550" s="26">
        <v>40508</v>
      </c>
      <c r="J2550">
        <v>2011</v>
      </c>
      <c r="K2550" t="s">
        <v>946</v>
      </c>
      <c r="L2550">
        <v>407</v>
      </c>
      <c r="M2550" t="s">
        <v>35481</v>
      </c>
      <c r="N2550">
        <v>7</v>
      </c>
      <c r="O2550" t="s">
        <v>29903</v>
      </c>
      <c r="Q2550" t="s">
        <v>35482</v>
      </c>
      <c r="R2550">
        <v>305.26</v>
      </c>
      <c r="S2550" t="s">
        <v>35483</v>
      </c>
      <c r="T2550" t="s">
        <v>30</v>
      </c>
      <c r="U2550" t="s">
        <v>26044</v>
      </c>
      <c r="W2550" t="s">
        <v>26009</v>
      </c>
    </row>
    <row r="2551" spans="1:23" x14ac:dyDescent="0.35">
      <c r="A2551">
        <v>635041</v>
      </c>
      <c r="B2551" t="s">
        <v>35484</v>
      </c>
      <c r="C2551" t="str">
        <f>"9789004185364"</f>
        <v>9789004185364</v>
      </c>
      <c r="D2551" t="str">
        <f>"9789004185418"</f>
        <v>9789004185418</v>
      </c>
      <c r="E2551" t="s">
        <v>4602</v>
      </c>
      <c r="F2551" t="s">
        <v>27</v>
      </c>
      <c r="G2551" t="s">
        <v>22231</v>
      </c>
      <c r="H2551" t="s">
        <v>26004</v>
      </c>
      <c r="I2551" s="26">
        <v>40329</v>
      </c>
      <c r="J2551">
        <v>2010</v>
      </c>
      <c r="K2551" t="s">
        <v>27</v>
      </c>
      <c r="L2551">
        <v>283</v>
      </c>
      <c r="M2551" t="s">
        <v>35485</v>
      </c>
      <c r="N2551">
        <v>1</v>
      </c>
      <c r="O2551" t="s">
        <v>35486</v>
      </c>
      <c r="P2551">
        <v>5</v>
      </c>
      <c r="Q2551" t="s">
        <v>35487</v>
      </c>
      <c r="R2551" t="s">
        <v>35488</v>
      </c>
      <c r="S2551" t="s">
        <v>35489</v>
      </c>
      <c r="T2551" t="s">
        <v>30</v>
      </c>
      <c r="U2551" t="s">
        <v>26044</v>
      </c>
      <c r="W2551" t="s">
        <v>26009</v>
      </c>
    </row>
    <row r="2552" spans="1:23" x14ac:dyDescent="0.35">
      <c r="A2552">
        <v>635533</v>
      </c>
      <c r="B2552" t="s">
        <v>35490</v>
      </c>
      <c r="C2552" t="str">
        <f>"9780816670185"</f>
        <v>9780816670185</v>
      </c>
      <c r="D2552" t="str">
        <f>"9780816675265"</f>
        <v>9780816675265</v>
      </c>
      <c r="E2552" t="s">
        <v>7471</v>
      </c>
      <c r="F2552" t="s">
        <v>7471</v>
      </c>
      <c r="G2552" t="s">
        <v>23536</v>
      </c>
      <c r="H2552" t="s">
        <v>26004</v>
      </c>
      <c r="I2552" s="26">
        <v>40514</v>
      </c>
      <c r="J2552">
        <v>2010</v>
      </c>
      <c r="K2552" t="s">
        <v>7471</v>
      </c>
      <c r="L2552">
        <v>194</v>
      </c>
      <c r="M2552" t="s">
        <v>35491</v>
      </c>
      <c r="N2552">
        <v>1</v>
      </c>
      <c r="O2552" t="s">
        <v>35492</v>
      </c>
      <c r="Q2552" t="s">
        <v>35493</v>
      </c>
      <c r="R2552">
        <v>362.1</v>
      </c>
      <c r="S2552" t="s">
        <v>35494</v>
      </c>
      <c r="T2552" t="s">
        <v>30</v>
      </c>
      <c r="U2552" t="s">
        <v>26250</v>
      </c>
      <c r="W2552" t="s">
        <v>26009</v>
      </c>
    </row>
    <row r="2553" spans="1:23" x14ac:dyDescent="0.35">
      <c r="A2553">
        <v>646518</v>
      </c>
      <c r="B2553" t="s">
        <v>35495</v>
      </c>
      <c r="C2553" t="str">
        <f>"9780415876643"</f>
        <v>9780415876643</v>
      </c>
      <c r="D2553" t="str">
        <f>"9780203856857"</f>
        <v>9780203856857</v>
      </c>
      <c r="E2553" t="s">
        <v>26010</v>
      </c>
      <c r="F2553" t="s">
        <v>35</v>
      </c>
      <c r="G2553" t="s">
        <v>22174</v>
      </c>
      <c r="H2553" t="s">
        <v>26011</v>
      </c>
      <c r="I2553" s="26">
        <v>40463</v>
      </c>
      <c r="J2553">
        <v>2011</v>
      </c>
      <c r="K2553" t="s">
        <v>26012</v>
      </c>
      <c r="L2553">
        <v>302</v>
      </c>
      <c r="M2553" t="s">
        <v>35496</v>
      </c>
      <c r="N2553">
        <v>1</v>
      </c>
      <c r="Q2553" t="s">
        <v>35497</v>
      </c>
      <c r="R2553">
        <v>305.23099999999999</v>
      </c>
      <c r="S2553" t="s">
        <v>8907</v>
      </c>
      <c r="T2553" t="s">
        <v>30</v>
      </c>
      <c r="U2553" t="s">
        <v>26044</v>
      </c>
      <c r="W2553" t="s">
        <v>26009</v>
      </c>
    </row>
    <row r="2554" spans="1:23" x14ac:dyDescent="0.35">
      <c r="A2554">
        <v>646519</v>
      </c>
      <c r="B2554" t="s">
        <v>35498</v>
      </c>
      <c r="C2554" t="str">
        <f>"9780415876391"</f>
        <v>9780415876391</v>
      </c>
      <c r="D2554" t="str">
        <f>"9780203857472"</f>
        <v>9780203857472</v>
      </c>
      <c r="E2554" t="s">
        <v>26010</v>
      </c>
      <c r="F2554" t="s">
        <v>35</v>
      </c>
      <c r="G2554" t="s">
        <v>22174</v>
      </c>
      <c r="H2554" t="s">
        <v>26011</v>
      </c>
      <c r="I2554" s="26">
        <v>40462</v>
      </c>
      <c r="J2554">
        <v>2011</v>
      </c>
      <c r="K2554" t="s">
        <v>26012</v>
      </c>
      <c r="L2554">
        <v>199</v>
      </c>
      <c r="M2554" t="s">
        <v>35499</v>
      </c>
      <c r="N2554">
        <v>1</v>
      </c>
      <c r="Q2554" t="s">
        <v>35500</v>
      </c>
      <c r="R2554">
        <v>155.422</v>
      </c>
      <c r="S2554" t="s">
        <v>8429</v>
      </c>
      <c r="T2554" t="s">
        <v>30</v>
      </c>
      <c r="U2554" t="s">
        <v>46</v>
      </c>
      <c r="W2554" t="s">
        <v>26009</v>
      </c>
    </row>
    <row r="2555" spans="1:23" x14ac:dyDescent="0.35">
      <c r="A2555">
        <v>646522</v>
      </c>
      <c r="B2555" t="s">
        <v>35501</v>
      </c>
      <c r="C2555" t="str">
        <f>"9780415993135"</f>
        <v>9780415993135</v>
      </c>
      <c r="D2555" t="str">
        <f>"9780203858073"</f>
        <v>9780203858073</v>
      </c>
      <c r="E2555" t="s">
        <v>26010</v>
      </c>
      <c r="F2555" t="s">
        <v>35</v>
      </c>
      <c r="G2555" t="s">
        <v>22174</v>
      </c>
      <c r="H2555" t="s">
        <v>26011</v>
      </c>
      <c r="I2555" s="26">
        <v>40253</v>
      </c>
      <c r="J2555">
        <v>2010</v>
      </c>
      <c r="K2555" t="s">
        <v>26012</v>
      </c>
      <c r="L2555">
        <v>336</v>
      </c>
      <c r="M2555" t="s">
        <v>35502</v>
      </c>
      <c r="N2555">
        <v>1</v>
      </c>
      <c r="Q2555" t="s">
        <v>35503</v>
      </c>
      <c r="R2555" t="s">
        <v>27110</v>
      </c>
      <c r="S2555" t="s">
        <v>9059</v>
      </c>
      <c r="T2555" t="s">
        <v>30</v>
      </c>
      <c r="U2555" t="s">
        <v>26019</v>
      </c>
      <c r="W2555" t="s">
        <v>26009</v>
      </c>
    </row>
    <row r="2556" spans="1:23" x14ac:dyDescent="0.35">
      <c r="A2556">
        <v>646523</v>
      </c>
      <c r="B2556" t="s">
        <v>35504</v>
      </c>
      <c r="C2556" t="str">
        <f>"9780415876230"</f>
        <v>9780415876230</v>
      </c>
      <c r="D2556" t="str">
        <f>"9780203858349"</f>
        <v>9780203858349</v>
      </c>
      <c r="E2556" t="s">
        <v>26010</v>
      </c>
      <c r="F2556" t="s">
        <v>35</v>
      </c>
      <c r="G2556" t="s">
        <v>22174</v>
      </c>
      <c r="H2556" t="s">
        <v>26011</v>
      </c>
      <c r="I2556" s="26">
        <v>40513</v>
      </c>
      <c r="J2556">
        <v>2011</v>
      </c>
      <c r="K2556" t="s">
        <v>26012</v>
      </c>
      <c r="L2556">
        <v>299</v>
      </c>
      <c r="M2556" t="s">
        <v>35505</v>
      </c>
      <c r="N2556">
        <v>1</v>
      </c>
      <c r="Q2556" t="s">
        <v>35506</v>
      </c>
      <c r="R2556">
        <v>616.89139999999998</v>
      </c>
      <c r="S2556" t="s">
        <v>8213</v>
      </c>
      <c r="T2556" t="s">
        <v>30</v>
      </c>
      <c r="U2556" t="s">
        <v>26019</v>
      </c>
      <c r="W2556" t="s">
        <v>26009</v>
      </c>
    </row>
    <row r="2557" spans="1:23" x14ac:dyDescent="0.35">
      <c r="A2557">
        <v>646524</v>
      </c>
      <c r="B2557" t="s">
        <v>35507</v>
      </c>
      <c r="C2557" t="str">
        <f>"9780415875646"</f>
        <v>9780415875646</v>
      </c>
      <c r="D2557" t="str">
        <f>"9780203859971"</f>
        <v>9780203859971</v>
      </c>
      <c r="E2557" t="s">
        <v>26010</v>
      </c>
      <c r="F2557" t="s">
        <v>35</v>
      </c>
      <c r="G2557" t="s">
        <v>22174</v>
      </c>
      <c r="H2557" t="s">
        <v>26011</v>
      </c>
      <c r="I2557" s="26">
        <v>40413</v>
      </c>
      <c r="J2557">
        <v>2011</v>
      </c>
      <c r="K2557" t="s">
        <v>26012</v>
      </c>
      <c r="L2557">
        <v>239</v>
      </c>
      <c r="M2557" t="s">
        <v>35508</v>
      </c>
      <c r="N2557">
        <v>1</v>
      </c>
      <c r="O2557" t="s">
        <v>27182</v>
      </c>
      <c r="Q2557" t="s">
        <v>35509</v>
      </c>
      <c r="R2557">
        <v>616.85209999999995</v>
      </c>
      <c r="S2557" t="s">
        <v>9854</v>
      </c>
      <c r="T2557" t="s">
        <v>30</v>
      </c>
      <c r="U2557" t="s">
        <v>26116</v>
      </c>
      <c r="W2557" t="s">
        <v>26009</v>
      </c>
    </row>
    <row r="2558" spans="1:23" x14ac:dyDescent="0.35">
      <c r="A2558">
        <v>646527</v>
      </c>
      <c r="B2558" t="s">
        <v>35510</v>
      </c>
      <c r="C2558" t="str">
        <f>"9780415873048"</f>
        <v>9780415873048</v>
      </c>
      <c r="D2558" t="str">
        <f>"9780203865583"</f>
        <v>9780203865583</v>
      </c>
      <c r="E2558" t="s">
        <v>26010</v>
      </c>
      <c r="F2558" t="s">
        <v>35</v>
      </c>
      <c r="G2558" t="s">
        <v>22174</v>
      </c>
      <c r="H2558" t="s">
        <v>26011</v>
      </c>
      <c r="I2558" s="26">
        <v>40218</v>
      </c>
      <c r="J2558">
        <v>2010</v>
      </c>
      <c r="K2558" t="s">
        <v>26012</v>
      </c>
      <c r="L2558">
        <v>312</v>
      </c>
      <c r="M2558" t="s">
        <v>35511</v>
      </c>
      <c r="N2558">
        <v>2</v>
      </c>
      <c r="Q2558" t="s">
        <v>35512</v>
      </c>
      <c r="R2558">
        <v>616.89156000000003</v>
      </c>
      <c r="S2558" t="s">
        <v>8026</v>
      </c>
      <c r="T2558" t="s">
        <v>30</v>
      </c>
      <c r="U2558" t="s">
        <v>26019</v>
      </c>
      <c r="W2558" t="s">
        <v>26009</v>
      </c>
    </row>
    <row r="2559" spans="1:23" x14ac:dyDescent="0.35">
      <c r="A2559">
        <v>646529</v>
      </c>
      <c r="B2559" t="s">
        <v>35513</v>
      </c>
      <c r="C2559" t="str">
        <f>"9780415873055"</f>
        <v>9780415873055</v>
      </c>
      <c r="D2559" t="str">
        <f>"9780203865576"</f>
        <v>9780203865576</v>
      </c>
      <c r="E2559" t="s">
        <v>26010</v>
      </c>
      <c r="F2559" t="s">
        <v>35</v>
      </c>
      <c r="G2559" t="s">
        <v>22174</v>
      </c>
      <c r="H2559" t="s">
        <v>26011</v>
      </c>
      <c r="I2559" s="26">
        <v>40449</v>
      </c>
      <c r="J2559">
        <v>2011</v>
      </c>
      <c r="K2559" t="s">
        <v>26012</v>
      </c>
      <c r="L2559">
        <v>265</v>
      </c>
      <c r="M2559" t="s">
        <v>35514</v>
      </c>
      <c r="N2559">
        <v>1</v>
      </c>
      <c r="Q2559" t="s">
        <v>35515</v>
      </c>
      <c r="R2559" t="s">
        <v>33676</v>
      </c>
      <c r="S2559" t="s">
        <v>9212</v>
      </c>
      <c r="T2559" t="s">
        <v>30</v>
      </c>
      <c r="U2559" t="s">
        <v>26019</v>
      </c>
      <c r="W2559" t="s">
        <v>26009</v>
      </c>
    </row>
    <row r="2560" spans="1:23" x14ac:dyDescent="0.35">
      <c r="A2560">
        <v>646530</v>
      </c>
      <c r="B2560" t="s">
        <v>35516</v>
      </c>
      <c r="C2560" t="str">
        <f>"9780805859928"</f>
        <v>9780805859928</v>
      </c>
      <c r="D2560" t="str">
        <f>"9780203861264"</f>
        <v>9780203861264</v>
      </c>
      <c r="E2560" t="s">
        <v>26010</v>
      </c>
      <c r="F2560" t="s">
        <v>35</v>
      </c>
      <c r="G2560" t="s">
        <v>22179</v>
      </c>
      <c r="H2560" t="s">
        <v>26004</v>
      </c>
      <c r="I2560" s="26">
        <v>40274</v>
      </c>
      <c r="J2560">
        <v>2010</v>
      </c>
      <c r="K2560" t="s">
        <v>26012</v>
      </c>
      <c r="L2560">
        <v>307</v>
      </c>
      <c r="M2560" t="s">
        <v>35517</v>
      </c>
      <c r="N2560">
        <v>1</v>
      </c>
      <c r="Q2560" t="s">
        <v>35518</v>
      </c>
      <c r="R2560">
        <v>150.28</v>
      </c>
      <c r="S2560" t="s">
        <v>8642</v>
      </c>
      <c r="T2560" t="s">
        <v>30</v>
      </c>
      <c r="U2560" t="s">
        <v>26228</v>
      </c>
      <c r="W2560" t="s">
        <v>26009</v>
      </c>
    </row>
    <row r="2561" spans="1:23" x14ac:dyDescent="0.35">
      <c r="A2561">
        <v>646532</v>
      </c>
      <c r="B2561" t="s">
        <v>35519</v>
      </c>
      <c r="C2561" t="str">
        <f>"9780415873529"</f>
        <v>9780415873529</v>
      </c>
      <c r="D2561" t="str">
        <f>"9780203864562"</f>
        <v>9780203864562</v>
      </c>
      <c r="E2561" t="s">
        <v>26010</v>
      </c>
      <c r="F2561" t="s">
        <v>35</v>
      </c>
      <c r="G2561" t="s">
        <v>22174</v>
      </c>
      <c r="H2561" t="s">
        <v>26011</v>
      </c>
      <c r="I2561" s="26">
        <v>40463</v>
      </c>
      <c r="J2561">
        <v>2011</v>
      </c>
      <c r="K2561" t="s">
        <v>26012</v>
      </c>
      <c r="L2561">
        <v>235</v>
      </c>
      <c r="M2561" t="s">
        <v>35520</v>
      </c>
      <c r="N2561">
        <v>1</v>
      </c>
      <c r="Q2561" t="s">
        <v>35521</v>
      </c>
      <c r="R2561">
        <v>155.30000000000001</v>
      </c>
      <c r="S2561" t="s">
        <v>9825</v>
      </c>
      <c r="T2561" t="s">
        <v>30</v>
      </c>
      <c r="U2561" t="s">
        <v>46</v>
      </c>
      <c r="W2561" t="s">
        <v>26009</v>
      </c>
    </row>
    <row r="2562" spans="1:23" x14ac:dyDescent="0.35">
      <c r="A2562">
        <v>646533</v>
      </c>
      <c r="B2562" t="s">
        <v>35522</v>
      </c>
      <c r="C2562" t="str">
        <f>"9781848728851"</f>
        <v>9781848728851</v>
      </c>
      <c r="D2562" t="str">
        <f>"9780203865972"</f>
        <v>9780203865972</v>
      </c>
      <c r="E2562" t="s">
        <v>26010</v>
      </c>
      <c r="F2562" t="s">
        <v>35</v>
      </c>
      <c r="G2562" t="s">
        <v>22267</v>
      </c>
      <c r="H2562" t="s">
        <v>26011</v>
      </c>
      <c r="I2562" s="26">
        <v>40472</v>
      </c>
      <c r="J2562">
        <v>2011</v>
      </c>
      <c r="K2562" t="s">
        <v>660</v>
      </c>
      <c r="L2562">
        <v>275</v>
      </c>
      <c r="M2562" t="s">
        <v>35523</v>
      </c>
      <c r="N2562">
        <v>1</v>
      </c>
      <c r="O2562" t="s">
        <v>35524</v>
      </c>
      <c r="Q2562" t="s">
        <v>35525</v>
      </c>
      <c r="R2562" t="s">
        <v>28453</v>
      </c>
      <c r="S2562" t="s">
        <v>9773</v>
      </c>
      <c r="T2562" t="s">
        <v>30</v>
      </c>
      <c r="U2562" t="s">
        <v>32350</v>
      </c>
      <c r="W2562" t="s">
        <v>26009</v>
      </c>
    </row>
    <row r="2563" spans="1:23" x14ac:dyDescent="0.35">
      <c r="A2563">
        <v>646534</v>
      </c>
      <c r="B2563" t="s">
        <v>35526</v>
      </c>
      <c r="C2563" t="str">
        <f>"9780415875288"</f>
        <v>9780415875288</v>
      </c>
      <c r="D2563" t="str">
        <f>"9780203860731"</f>
        <v>9780203860731</v>
      </c>
      <c r="E2563" t="s">
        <v>26010</v>
      </c>
      <c r="F2563" t="s">
        <v>35</v>
      </c>
      <c r="G2563" t="s">
        <v>22174</v>
      </c>
      <c r="H2563" t="s">
        <v>26011</v>
      </c>
      <c r="I2563" s="26">
        <v>40530</v>
      </c>
      <c r="J2563">
        <v>2011</v>
      </c>
      <c r="K2563" t="s">
        <v>26012</v>
      </c>
      <c r="L2563">
        <v>292</v>
      </c>
      <c r="M2563" t="s">
        <v>35527</v>
      </c>
      <c r="N2563">
        <v>1</v>
      </c>
      <c r="O2563" t="s">
        <v>26892</v>
      </c>
      <c r="Q2563" t="s">
        <v>35528</v>
      </c>
      <c r="R2563">
        <v>155.93</v>
      </c>
      <c r="S2563" t="s">
        <v>7785</v>
      </c>
      <c r="T2563" t="s">
        <v>30</v>
      </c>
      <c r="U2563" t="s">
        <v>46</v>
      </c>
      <c r="W2563" t="s">
        <v>26009</v>
      </c>
    </row>
    <row r="2564" spans="1:23" x14ac:dyDescent="0.35">
      <c r="A2564">
        <v>646536</v>
      </c>
      <c r="B2564" t="s">
        <v>35529</v>
      </c>
      <c r="C2564" t="str">
        <f>"9780415801546"</f>
        <v>9780415801546</v>
      </c>
      <c r="D2564" t="str">
        <f>"9780203877579"</f>
        <v>9780203877579</v>
      </c>
      <c r="E2564" t="s">
        <v>26010</v>
      </c>
      <c r="F2564" t="s">
        <v>35</v>
      </c>
      <c r="G2564" t="s">
        <v>22174</v>
      </c>
      <c r="H2564" t="s">
        <v>26011</v>
      </c>
      <c r="I2564" s="26">
        <v>40317</v>
      </c>
      <c r="J2564">
        <v>2010</v>
      </c>
      <c r="K2564" t="s">
        <v>26012</v>
      </c>
      <c r="L2564">
        <v>347</v>
      </c>
      <c r="M2564" t="s">
        <v>35530</v>
      </c>
      <c r="N2564">
        <v>1</v>
      </c>
      <c r="Q2564" t="s">
        <v>35531</v>
      </c>
      <c r="R2564">
        <v>616.89075000000003</v>
      </c>
      <c r="S2564" t="s">
        <v>8527</v>
      </c>
      <c r="T2564" t="s">
        <v>30</v>
      </c>
      <c r="U2564" t="s">
        <v>26116</v>
      </c>
      <c r="W2564" t="s">
        <v>26009</v>
      </c>
    </row>
    <row r="2565" spans="1:23" x14ac:dyDescent="0.35">
      <c r="A2565">
        <v>646537</v>
      </c>
      <c r="B2565" t="s">
        <v>35532</v>
      </c>
      <c r="C2565" t="str">
        <f>"9780415871433"</f>
        <v>9780415871433</v>
      </c>
      <c r="D2565" t="str">
        <f>"9780203869321"</f>
        <v>9780203869321</v>
      </c>
      <c r="E2565" t="s">
        <v>26010</v>
      </c>
      <c r="F2565" t="s">
        <v>35</v>
      </c>
      <c r="G2565" t="s">
        <v>22174</v>
      </c>
      <c r="H2565" t="s">
        <v>26011</v>
      </c>
      <c r="I2565" s="26">
        <v>40414</v>
      </c>
      <c r="J2565">
        <v>2011</v>
      </c>
      <c r="K2565" t="s">
        <v>26012</v>
      </c>
      <c r="L2565">
        <v>183</v>
      </c>
      <c r="M2565" t="s">
        <v>35533</v>
      </c>
      <c r="N2565">
        <v>1</v>
      </c>
      <c r="O2565" t="s">
        <v>30090</v>
      </c>
      <c r="Q2565" t="s">
        <v>35534</v>
      </c>
      <c r="R2565">
        <v>155.19999999999999</v>
      </c>
      <c r="S2565" t="s">
        <v>9393</v>
      </c>
      <c r="T2565" t="s">
        <v>30</v>
      </c>
      <c r="U2565" t="s">
        <v>46</v>
      </c>
      <c r="W2565" t="s">
        <v>26009</v>
      </c>
    </row>
    <row r="2566" spans="1:23" x14ac:dyDescent="0.35">
      <c r="A2566">
        <v>646541</v>
      </c>
      <c r="B2566" t="s">
        <v>35535</v>
      </c>
      <c r="C2566" t="str">
        <f>"9780415806282"</f>
        <v>9780415806282</v>
      </c>
      <c r="D2566" t="str">
        <f>"9780203871782"</f>
        <v>9780203871782</v>
      </c>
      <c r="E2566" t="s">
        <v>26010</v>
      </c>
      <c r="F2566" t="s">
        <v>35</v>
      </c>
      <c r="G2566" t="s">
        <v>22174</v>
      </c>
      <c r="H2566" t="s">
        <v>26011</v>
      </c>
      <c r="I2566" s="26">
        <v>40378</v>
      </c>
      <c r="J2566">
        <v>2011</v>
      </c>
      <c r="K2566" t="s">
        <v>26012</v>
      </c>
      <c r="L2566">
        <v>250</v>
      </c>
      <c r="M2566" t="s">
        <v>35536</v>
      </c>
      <c r="N2566">
        <v>1</v>
      </c>
      <c r="O2566" t="s">
        <v>35537</v>
      </c>
      <c r="Q2566" t="s">
        <v>35538</v>
      </c>
      <c r="R2566" t="s">
        <v>26422</v>
      </c>
      <c r="S2566" t="s">
        <v>8185</v>
      </c>
      <c r="T2566" t="s">
        <v>30</v>
      </c>
      <c r="U2566" t="s">
        <v>26116</v>
      </c>
      <c r="W2566" t="s">
        <v>26009</v>
      </c>
    </row>
    <row r="2567" spans="1:23" x14ac:dyDescent="0.35">
      <c r="A2567">
        <v>646543</v>
      </c>
      <c r="B2567" t="s">
        <v>35539</v>
      </c>
      <c r="C2567" t="str">
        <f>"9780415806152"</f>
        <v>9780415806152</v>
      </c>
      <c r="D2567" t="str">
        <f>"9780203872222"</f>
        <v>9780203872222</v>
      </c>
      <c r="E2567" t="s">
        <v>26010</v>
      </c>
      <c r="F2567" t="s">
        <v>35</v>
      </c>
      <c r="G2567" t="s">
        <v>22174</v>
      </c>
      <c r="H2567" t="s">
        <v>26011</v>
      </c>
      <c r="I2567" s="26">
        <v>40193</v>
      </c>
      <c r="J2567">
        <v>2010</v>
      </c>
      <c r="K2567" t="s">
        <v>26012</v>
      </c>
      <c r="L2567">
        <v>297</v>
      </c>
      <c r="M2567" t="s">
        <v>35540</v>
      </c>
      <c r="N2567">
        <v>1</v>
      </c>
      <c r="Q2567" t="s">
        <v>35541</v>
      </c>
      <c r="R2567" t="s">
        <v>35542</v>
      </c>
      <c r="S2567" t="s">
        <v>9435</v>
      </c>
      <c r="T2567" t="s">
        <v>30</v>
      </c>
      <c r="U2567" t="s">
        <v>26044</v>
      </c>
      <c r="W2567" t="s">
        <v>26009</v>
      </c>
    </row>
    <row r="2568" spans="1:23" x14ac:dyDescent="0.35">
      <c r="A2568">
        <v>646544</v>
      </c>
      <c r="B2568" t="s">
        <v>35543</v>
      </c>
      <c r="C2568" t="str">
        <f>"9780415871044"</f>
        <v>9780415871044</v>
      </c>
      <c r="D2568" t="str">
        <f>"9781135196028"</f>
        <v>9781135196028</v>
      </c>
      <c r="E2568" t="s">
        <v>26010</v>
      </c>
      <c r="F2568" t="s">
        <v>35</v>
      </c>
      <c r="G2568" t="s">
        <v>22174</v>
      </c>
      <c r="H2568" t="s">
        <v>26011</v>
      </c>
      <c r="I2568" s="26">
        <v>40534</v>
      </c>
      <c r="J2568">
        <v>2011</v>
      </c>
      <c r="K2568" t="s">
        <v>26012</v>
      </c>
      <c r="L2568">
        <v>357</v>
      </c>
      <c r="M2568" t="s">
        <v>35544</v>
      </c>
      <c r="N2568">
        <v>2</v>
      </c>
      <c r="Q2568" t="s">
        <v>35545</v>
      </c>
      <c r="R2568">
        <v>158</v>
      </c>
      <c r="S2568" t="s">
        <v>7836</v>
      </c>
      <c r="T2568" t="s">
        <v>30</v>
      </c>
      <c r="U2568" t="s">
        <v>46</v>
      </c>
      <c r="W2568" t="s">
        <v>26009</v>
      </c>
    </row>
    <row r="2569" spans="1:23" x14ac:dyDescent="0.35">
      <c r="A2569">
        <v>646545</v>
      </c>
      <c r="B2569" t="s">
        <v>8020</v>
      </c>
      <c r="C2569" t="str">
        <f>"9780415801492"</f>
        <v>9780415801492</v>
      </c>
      <c r="D2569" t="str">
        <f>"9780203877630"</f>
        <v>9780203877630</v>
      </c>
      <c r="E2569" t="s">
        <v>26010</v>
      </c>
      <c r="F2569" t="s">
        <v>35</v>
      </c>
      <c r="G2569" t="s">
        <v>22174</v>
      </c>
      <c r="H2569" t="s">
        <v>26011</v>
      </c>
      <c r="I2569" s="26">
        <v>40297</v>
      </c>
      <c r="J2569">
        <v>2010</v>
      </c>
      <c r="K2569" t="s">
        <v>26012</v>
      </c>
      <c r="L2569">
        <v>478</v>
      </c>
      <c r="M2569" t="s">
        <v>35546</v>
      </c>
      <c r="N2569">
        <v>4</v>
      </c>
      <c r="Q2569" t="s">
        <v>35547</v>
      </c>
      <c r="R2569">
        <v>361</v>
      </c>
      <c r="S2569" t="s">
        <v>8021</v>
      </c>
      <c r="T2569" t="s">
        <v>30</v>
      </c>
      <c r="U2569" t="s">
        <v>26228</v>
      </c>
      <c r="W2569" t="s">
        <v>26009</v>
      </c>
    </row>
    <row r="2570" spans="1:23" x14ac:dyDescent="0.35">
      <c r="A2570">
        <v>646546</v>
      </c>
      <c r="B2570" t="s">
        <v>35548</v>
      </c>
      <c r="C2570" t="str">
        <f>"9780415800617"</f>
        <v>9780415800617</v>
      </c>
      <c r="D2570" t="str">
        <f>"9780203879283"</f>
        <v>9780203879283</v>
      </c>
      <c r="E2570" t="s">
        <v>26010</v>
      </c>
      <c r="F2570" t="s">
        <v>35</v>
      </c>
      <c r="G2570" t="s">
        <v>22174</v>
      </c>
      <c r="H2570" t="s">
        <v>26011</v>
      </c>
      <c r="I2570" s="26">
        <v>40497</v>
      </c>
      <c r="J2570">
        <v>2011</v>
      </c>
      <c r="K2570" t="s">
        <v>26012</v>
      </c>
      <c r="L2570">
        <v>296</v>
      </c>
      <c r="M2570" t="s">
        <v>35549</v>
      </c>
      <c r="N2570">
        <v>1</v>
      </c>
      <c r="O2570" t="s">
        <v>26909</v>
      </c>
      <c r="Q2570" t="s">
        <v>35550</v>
      </c>
      <c r="R2570" t="s">
        <v>35551</v>
      </c>
      <c r="S2570" t="s">
        <v>10274</v>
      </c>
      <c r="T2570" t="s">
        <v>30</v>
      </c>
      <c r="U2570" t="s">
        <v>46</v>
      </c>
      <c r="W2570" t="s">
        <v>26009</v>
      </c>
    </row>
    <row r="2571" spans="1:23" x14ac:dyDescent="0.35">
      <c r="A2571">
        <v>646547</v>
      </c>
      <c r="B2571" t="s">
        <v>35552</v>
      </c>
      <c r="C2571" t="str">
        <f>"9780415800396"</f>
        <v>9780415800396</v>
      </c>
      <c r="D2571" t="str">
        <f>"9780203877654"</f>
        <v>9780203877654</v>
      </c>
      <c r="E2571" t="s">
        <v>26010</v>
      </c>
      <c r="F2571" t="s">
        <v>35</v>
      </c>
      <c r="G2571" t="s">
        <v>22174</v>
      </c>
      <c r="H2571" t="s">
        <v>26011</v>
      </c>
      <c r="I2571" s="26">
        <v>40351</v>
      </c>
      <c r="J2571">
        <v>2010</v>
      </c>
      <c r="K2571" t="s">
        <v>26012</v>
      </c>
      <c r="L2571">
        <v>191</v>
      </c>
      <c r="M2571" t="s">
        <v>35553</v>
      </c>
      <c r="N2571">
        <v>1</v>
      </c>
      <c r="Q2571" t="s">
        <v>35554</v>
      </c>
      <c r="R2571" t="s">
        <v>35555</v>
      </c>
      <c r="S2571" t="s">
        <v>8425</v>
      </c>
      <c r="T2571" t="s">
        <v>30</v>
      </c>
      <c r="U2571" t="s">
        <v>46</v>
      </c>
      <c r="W2571" t="s">
        <v>26009</v>
      </c>
    </row>
    <row r="2572" spans="1:23" x14ac:dyDescent="0.35">
      <c r="A2572">
        <v>646550</v>
      </c>
      <c r="B2572" t="s">
        <v>35556</v>
      </c>
      <c r="C2572" t="str">
        <f>"9780415999137"</f>
        <v>9780415999137</v>
      </c>
      <c r="D2572" t="str">
        <f>"9780203881279"</f>
        <v>9780203881279</v>
      </c>
      <c r="E2572" t="s">
        <v>26010</v>
      </c>
      <c r="F2572" t="s">
        <v>35</v>
      </c>
      <c r="G2572" t="s">
        <v>22174</v>
      </c>
      <c r="H2572" t="s">
        <v>26011</v>
      </c>
      <c r="I2572" s="26">
        <v>40512</v>
      </c>
      <c r="J2572">
        <v>2011</v>
      </c>
      <c r="K2572" t="s">
        <v>26012</v>
      </c>
      <c r="L2572">
        <v>279</v>
      </c>
      <c r="M2572" t="s">
        <v>35557</v>
      </c>
      <c r="N2572">
        <v>1</v>
      </c>
      <c r="O2572" t="s">
        <v>35537</v>
      </c>
      <c r="Q2572" t="s">
        <v>35558</v>
      </c>
      <c r="R2572" t="s">
        <v>26308</v>
      </c>
      <c r="S2572" t="s">
        <v>10075</v>
      </c>
      <c r="T2572" t="s">
        <v>30</v>
      </c>
      <c r="U2572" t="s">
        <v>46</v>
      </c>
      <c r="W2572" t="s">
        <v>26009</v>
      </c>
    </row>
    <row r="2573" spans="1:23" x14ac:dyDescent="0.35">
      <c r="A2573">
        <v>646551</v>
      </c>
      <c r="B2573" t="s">
        <v>8060</v>
      </c>
      <c r="C2573" t="str">
        <f>"9780415800075"</f>
        <v>9780415800075</v>
      </c>
      <c r="D2573" t="str">
        <f>"9780203879870"</f>
        <v>9780203879870</v>
      </c>
      <c r="E2573" t="s">
        <v>26010</v>
      </c>
      <c r="F2573" t="s">
        <v>35</v>
      </c>
      <c r="G2573" t="s">
        <v>22174</v>
      </c>
      <c r="H2573" t="s">
        <v>26011</v>
      </c>
      <c r="I2573" s="26">
        <v>40232</v>
      </c>
      <c r="J2573">
        <v>2010</v>
      </c>
      <c r="K2573" t="s">
        <v>26012</v>
      </c>
      <c r="L2573">
        <v>369</v>
      </c>
      <c r="M2573" t="s">
        <v>35559</v>
      </c>
      <c r="N2573">
        <v>1</v>
      </c>
      <c r="O2573" t="s">
        <v>35560</v>
      </c>
      <c r="Q2573" t="s">
        <v>35561</v>
      </c>
      <c r="R2573">
        <v>158.30899507300001</v>
      </c>
      <c r="S2573" t="s">
        <v>8061</v>
      </c>
      <c r="T2573" t="s">
        <v>30</v>
      </c>
      <c r="U2573" t="s">
        <v>46</v>
      </c>
      <c r="W2573" t="s">
        <v>26009</v>
      </c>
    </row>
    <row r="2574" spans="1:23" x14ac:dyDescent="0.35">
      <c r="A2574">
        <v>646552</v>
      </c>
      <c r="B2574" t="s">
        <v>35562</v>
      </c>
      <c r="C2574" t="str">
        <f>"9780415800730"</f>
        <v>9780415800730</v>
      </c>
      <c r="D2574" t="str">
        <f>"9780203879085"</f>
        <v>9780203879085</v>
      </c>
      <c r="E2574" t="s">
        <v>26010</v>
      </c>
      <c r="F2574" t="s">
        <v>35</v>
      </c>
      <c r="G2574" t="s">
        <v>26201</v>
      </c>
      <c r="H2574" t="s">
        <v>26004</v>
      </c>
      <c r="I2574" s="26">
        <v>40331</v>
      </c>
      <c r="J2574">
        <v>2010</v>
      </c>
      <c r="K2574" t="s">
        <v>26012</v>
      </c>
      <c r="L2574">
        <v>289</v>
      </c>
      <c r="M2574" t="s">
        <v>35563</v>
      </c>
      <c r="N2574">
        <v>1</v>
      </c>
      <c r="Q2574" t="s">
        <v>35564</v>
      </c>
      <c r="R2574">
        <v>616.89139999999998</v>
      </c>
      <c r="S2574" t="s">
        <v>35565</v>
      </c>
      <c r="T2574" t="s">
        <v>30</v>
      </c>
      <c r="U2574" t="s">
        <v>26019</v>
      </c>
      <c r="W2574" t="s">
        <v>26009</v>
      </c>
    </row>
    <row r="2575" spans="1:23" x14ac:dyDescent="0.35">
      <c r="A2575">
        <v>646553</v>
      </c>
      <c r="B2575" t="s">
        <v>8231</v>
      </c>
      <c r="C2575" t="str">
        <f>"9780415998369"</f>
        <v>9780415998369</v>
      </c>
      <c r="D2575" t="str">
        <f>"9780203879856"</f>
        <v>9780203879856</v>
      </c>
      <c r="E2575" t="s">
        <v>26010</v>
      </c>
      <c r="F2575" t="s">
        <v>35</v>
      </c>
      <c r="G2575" t="s">
        <v>22174</v>
      </c>
      <c r="H2575" t="s">
        <v>26011</v>
      </c>
      <c r="I2575" s="26">
        <v>40198</v>
      </c>
      <c r="J2575">
        <v>2010</v>
      </c>
      <c r="K2575" t="s">
        <v>26012</v>
      </c>
      <c r="L2575">
        <v>301</v>
      </c>
      <c r="M2575" t="s">
        <v>35566</v>
      </c>
      <c r="N2575">
        <v>1</v>
      </c>
      <c r="Q2575" t="s">
        <v>35567</v>
      </c>
      <c r="R2575">
        <v>616.85260000000005</v>
      </c>
      <c r="S2575" t="s">
        <v>8228</v>
      </c>
      <c r="T2575" t="s">
        <v>30</v>
      </c>
      <c r="U2575" t="s">
        <v>26019</v>
      </c>
      <c r="W2575" t="s">
        <v>26009</v>
      </c>
    </row>
    <row r="2576" spans="1:23" x14ac:dyDescent="0.35">
      <c r="A2576">
        <v>646554</v>
      </c>
      <c r="B2576" t="s">
        <v>9654</v>
      </c>
      <c r="C2576" t="str">
        <f>"9780415998628"</f>
        <v>9780415998628</v>
      </c>
      <c r="D2576" t="str">
        <f>"9780203881651"</f>
        <v>9780203881651</v>
      </c>
      <c r="E2576" t="s">
        <v>26010</v>
      </c>
      <c r="F2576" t="s">
        <v>35</v>
      </c>
      <c r="G2576" t="s">
        <v>22174</v>
      </c>
      <c r="H2576" t="s">
        <v>26011</v>
      </c>
      <c r="I2576" s="26">
        <v>40400</v>
      </c>
      <c r="J2576">
        <v>2011</v>
      </c>
      <c r="K2576" t="s">
        <v>26012</v>
      </c>
      <c r="L2576">
        <v>214</v>
      </c>
      <c r="M2576" t="s">
        <v>35568</v>
      </c>
      <c r="N2576">
        <v>1</v>
      </c>
      <c r="O2576" t="s">
        <v>35560</v>
      </c>
      <c r="Q2576" t="s">
        <v>35569</v>
      </c>
      <c r="R2576">
        <v>616.89008100000001</v>
      </c>
      <c r="S2576" t="s">
        <v>9655</v>
      </c>
      <c r="T2576" t="s">
        <v>30</v>
      </c>
      <c r="U2576" t="s">
        <v>26019</v>
      </c>
      <c r="W2576" t="s">
        <v>26009</v>
      </c>
    </row>
    <row r="2577" spans="1:23" x14ac:dyDescent="0.35">
      <c r="A2577">
        <v>646556</v>
      </c>
      <c r="B2577" t="s">
        <v>35570</v>
      </c>
      <c r="C2577" t="str">
        <f>"9780415995733"</f>
        <v>9780415995733</v>
      </c>
      <c r="D2577" t="str">
        <f>"9780203886137"</f>
        <v>9780203886137</v>
      </c>
      <c r="E2577" t="s">
        <v>26010</v>
      </c>
      <c r="F2577" t="s">
        <v>35</v>
      </c>
      <c r="G2577" t="s">
        <v>22174</v>
      </c>
      <c r="H2577" t="s">
        <v>26011</v>
      </c>
      <c r="I2577" s="26">
        <v>40402</v>
      </c>
      <c r="J2577">
        <v>2011</v>
      </c>
      <c r="K2577" t="s">
        <v>26012</v>
      </c>
      <c r="L2577">
        <v>227</v>
      </c>
      <c r="M2577" t="s">
        <v>35571</v>
      </c>
      <c r="N2577">
        <v>1</v>
      </c>
      <c r="O2577" t="s">
        <v>26892</v>
      </c>
      <c r="Q2577" t="s">
        <v>35572</v>
      </c>
      <c r="R2577">
        <v>155.937085</v>
      </c>
      <c r="S2577" t="s">
        <v>35573</v>
      </c>
      <c r="T2577" t="s">
        <v>30</v>
      </c>
      <c r="U2577" t="s">
        <v>46</v>
      </c>
      <c r="W2577" t="s">
        <v>26009</v>
      </c>
    </row>
    <row r="2578" spans="1:23" x14ac:dyDescent="0.35">
      <c r="A2578">
        <v>646557</v>
      </c>
      <c r="B2578" t="s">
        <v>35574</v>
      </c>
      <c r="C2578" t="str">
        <f>"9780415995719"</f>
        <v>9780415995719</v>
      </c>
      <c r="D2578" t="str">
        <f>"9780203886069"</f>
        <v>9780203886069</v>
      </c>
      <c r="E2578" t="s">
        <v>26010</v>
      </c>
      <c r="F2578" t="s">
        <v>35</v>
      </c>
      <c r="G2578" t="s">
        <v>22174</v>
      </c>
      <c r="H2578" t="s">
        <v>26011</v>
      </c>
      <c r="I2578" s="26">
        <v>40274</v>
      </c>
      <c r="J2578">
        <v>2010</v>
      </c>
      <c r="K2578" t="s">
        <v>26012</v>
      </c>
      <c r="L2578">
        <v>259</v>
      </c>
      <c r="M2578" t="s">
        <v>35575</v>
      </c>
      <c r="N2578">
        <v>2</v>
      </c>
      <c r="O2578" t="s">
        <v>26892</v>
      </c>
      <c r="Q2578" t="s">
        <v>35576</v>
      </c>
      <c r="R2578">
        <v>155.93700000000001</v>
      </c>
      <c r="S2578" t="s">
        <v>7928</v>
      </c>
      <c r="T2578" t="s">
        <v>30</v>
      </c>
      <c r="U2578" t="s">
        <v>46</v>
      </c>
      <c r="W2578" t="s">
        <v>26009</v>
      </c>
    </row>
    <row r="2579" spans="1:23" x14ac:dyDescent="0.35">
      <c r="A2579">
        <v>646558</v>
      </c>
      <c r="B2579" t="s">
        <v>35577</v>
      </c>
      <c r="C2579" t="str">
        <f>"9780415995740"</f>
        <v>9780415995740</v>
      </c>
      <c r="D2579" t="str">
        <f>"9780203886052"</f>
        <v>9780203886052</v>
      </c>
      <c r="E2579" t="s">
        <v>26010</v>
      </c>
      <c r="F2579" t="s">
        <v>35</v>
      </c>
      <c r="G2579" t="s">
        <v>22174</v>
      </c>
      <c r="H2579" t="s">
        <v>26011</v>
      </c>
      <c r="I2579" s="26">
        <v>40254</v>
      </c>
      <c r="J2579">
        <v>2010</v>
      </c>
      <c r="K2579" t="s">
        <v>26012</v>
      </c>
      <c r="L2579">
        <v>295</v>
      </c>
      <c r="M2579" t="s">
        <v>35578</v>
      </c>
      <c r="N2579">
        <v>1</v>
      </c>
      <c r="Q2579" t="s">
        <v>35579</v>
      </c>
      <c r="R2579">
        <v>158.30000000000001</v>
      </c>
      <c r="S2579" t="s">
        <v>10200</v>
      </c>
      <c r="T2579" t="s">
        <v>30</v>
      </c>
      <c r="U2579" t="s">
        <v>46</v>
      </c>
      <c r="W2579" t="s">
        <v>26009</v>
      </c>
    </row>
    <row r="2580" spans="1:23" x14ac:dyDescent="0.35">
      <c r="A2580">
        <v>646560</v>
      </c>
      <c r="B2580" t="s">
        <v>35580</v>
      </c>
      <c r="C2580" t="str">
        <f>"9780415997836"</f>
        <v>9780415997836</v>
      </c>
      <c r="D2580" t="str">
        <f>"9780203883365"</f>
        <v>9780203883365</v>
      </c>
      <c r="E2580" t="s">
        <v>26010</v>
      </c>
      <c r="F2580" t="s">
        <v>35</v>
      </c>
      <c r="G2580" t="s">
        <v>22174</v>
      </c>
      <c r="H2580" t="s">
        <v>26011</v>
      </c>
      <c r="I2580" s="26">
        <v>40310</v>
      </c>
      <c r="J2580">
        <v>2010</v>
      </c>
      <c r="K2580" t="s">
        <v>26012</v>
      </c>
      <c r="L2580">
        <v>308</v>
      </c>
      <c r="M2580" t="s">
        <v>35581</v>
      </c>
      <c r="N2580">
        <v>1</v>
      </c>
      <c r="O2580" t="s">
        <v>30090</v>
      </c>
      <c r="Q2580" t="s">
        <v>35582</v>
      </c>
      <c r="R2580">
        <v>616.89170000000001</v>
      </c>
      <c r="S2580" t="s">
        <v>7661</v>
      </c>
      <c r="T2580" t="s">
        <v>30</v>
      </c>
      <c r="U2580" t="s">
        <v>26116</v>
      </c>
      <c r="W2580" t="s">
        <v>26009</v>
      </c>
    </row>
    <row r="2581" spans="1:23" x14ac:dyDescent="0.35">
      <c r="A2581">
        <v>646563</v>
      </c>
      <c r="B2581" t="s">
        <v>35583</v>
      </c>
      <c r="C2581" t="str">
        <f>"9780415996914"</f>
        <v>9780415996914</v>
      </c>
      <c r="D2581" t="str">
        <f>"9780203882665"</f>
        <v>9780203882665</v>
      </c>
      <c r="E2581" t="s">
        <v>26010</v>
      </c>
      <c r="F2581" t="s">
        <v>35</v>
      </c>
      <c r="G2581" t="s">
        <v>22174</v>
      </c>
      <c r="H2581" t="s">
        <v>26011</v>
      </c>
      <c r="I2581" s="26">
        <v>40378</v>
      </c>
      <c r="J2581">
        <v>2011</v>
      </c>
      <c r="K2581" t="s">
        <v>26012</v>
      </c>
      <c r="L2581">
        <v>268</v>
      </c>
      <c r="M2581" t="s">
        <v>35584</v>
      </c>
      <c r="N2581">
        <v>1</v>
      </c>
      <c r="Q2581" t="s">
        <v>35585</v>
      </c>
      <c r="R2581">
        <v>618.92891420000001</v>
      </c>
      <c r="S2581" t="s">
        <v>8483</v>
      </c>
      <c r="T2581" t="s">
        <v>30</v>
      </c>
      <c r="U2581" t="s">
        <v>26019</v>
      </c>
      <c r="W2581" t="s">
        <v>26009</v>
      </c>
    </row>
    <row r="2582" spans="1:23" x14ac:dyDescent="0.35">
      <c r="A2582">
        <v>646564</v>
      </c>
      <c r="B2582" t="s">
        <v>9839</v>
      </c>
      <c r="C2582" t="str">
        <f>"9780415997485"</f>
        <v>9780415997485</v>
      </c>
      <c r="D2582" t="str">
        <f>"9780203883600"</f>
        <v>9780203883600</v>
      </c>
      <c r="E2582" t="s">
        <v>26010</v>
      </c>
      <c r="F2582" t="s">
        <v>35</v>
      </c>
      <c r="G2582" t="s">
        <v>22174</v>
      </c>
      <c r="H2582" t="s">
        <v>26011</v>
      </c>
      <c r="I2582" s="26">
        <v>40233</v>
      </c>
      <c r="J2582">
        <v>2010</v>
      </c>
      <c r="K2582" t="s">
        <v>26012</v>
      </c>
      <c r="L2582">
        <v>234</v>
      </c>
      <c r="M2582" t="s">
        <v>35586</v>
      </c>
      <c r="N2582">
        <v>1</v>
      </c>
      <c r="Q2582" t="s">
        <v>35587</v>
      </c>
      <c r="R2582" t="s">
        <v>26759</v>
      </c>
      <c r="S2582" t="s">
        <v>9837</v>
      </c>
      <c r="T2582" t="s">
        <v>30</v>
      </c>
      <c r="U2582" t="s">
        <v>46</v>
      </c>
      <c r="W2582" t="s">
        <v>26009</v>
      </c>
    </row>
    <row r="2583" spans="1:23" x14ac:dyDescent="0.35">
      <c r="A2583">
        <v>646567</v>
      </c>
      <c r="B2583" t="s">
        <v>9673</v>
      </c>
      <c r="C2583" t="str">
        <f>"9780415965316"</f>
        <v>9780415965316</v>
      </c>
      <c r="D2583" t="str">
        <f>"9780203893975"</f>
        <v>9780203893975</v>
      </c>
      <c r="E2583" t="s">
        <v>26010</v>
      </c>
      <c r="F2583" t="s">
        <v>35</v>
      </c>
      <c r="G2583" t="s">
        <v>22174</v>
      </c>
      <c r="H2583" t="s">
        <v>26011</v>
      </c>
      <c r="I2583" s="26">
        <v>40337</v>
      </c>
      <c r="J2583">
        <v>2010</v>
      </c>
      <c r="K2583" t="s">
        <v>26012</v>
      </c>
      <c r="L2583">
        <v>315</v>
      </c>
      <c r="M2583" t="s">
        <v>35588</v>
      </c>
      <c r="N2583">
        <v>1</v>
      </c>
      <c r="Q2583" t="s">
        <v>35589</v>
      </c>
      <c r="R2583">
        <v>152.4</v>
      </c>
      <c r="S2583" t="s">
        <v>9674</v>
      </c>
      <c r="T2583" t="s">
        <v>30</v>
      </c>
      <c r="U2583" t="s">
        <v>46</v>
      </c>
      <c r="W2583" t="s">
        <v>26009</v>
      </c>
    </row>
    <row r="2584" spans="1:23" x14ac:dyDescent="0.35">
      <c r="A2584">
        <v>646568</v>
      </c>
      <c r="B2584" t="s">
        <v>35590</v>
      </c>
      <c r="C2584" t="str">
        <f>"9780415995467"</f>
        <v>9780415995467</v>
      </c>
      <c r="D2584" t="str">
        <f>"9781135844929"</f>
        <v>9781135844929</v>
      </c>
      <c r="E2584" t="s">
        <v>26010</v>
      </c>
      <c r="F2584" t="s">
        <v>35</v>
      </c>
      <c r="G2584" t="s">
        <v>22174</v>
      </c>
      <c r="H2584" t="s">
        <v>26011</v>
      </c>
      <c r="I2584" s="26">
        <v>40207</v>
      </c>
      <c r="J2584">
        <v>2010</v>
      </c>
      <c r="K2584" t="s">
        <v>26012</v>
      </c>
      <c r="L2584">
        <v>267</v>
      </c>
      <c r="M2584" t="s">
        <v>35591</v>
      </c>
      <c r="N2584">
        <v>1</v>
      </c>
      <c r="O2584" t="s">
        <v>35537</v>
      </c>
      <c r="Q2584" t="s">
        <v>35592</v>
      </c>
      <c r="R2584" t="s">
        <v>26422</v>
      </c>
      <c r="S2584" t="s">
        <v>8072</v>
      </c>
      <c r="T2584" t="s">
        <v>30</v>
      </c>
      <c r="U2584" t="s">
        <v>26019</v>
      </c>
      <c r="W2584" t="s">
        <v>26009</v>
      </c>
    </row>
    <row r="2585" spans="1:23" x14ac:dyDescent="0.35">
      <c r="A2585">
        <v>646570</v>
      </c>
      <c r="B2585" t="s">
        <v>35593</v>
      </c>
      <c r="C2585" t="str">
        <f>"9780415965224"</f>
        <v>9780415965224</v>
      </c>
      <c r="D2585" t="str">
        <f>"9780203893463"</f>
        <v>9780203893463</v>
      </c>
      <c r="E2585" t="s">
        <v>26010</v>
      </c>
      <c r="F2585" t="s">
        <v>35</v>
      </c>
      <c r="G2585" t="s">
        <v>22174</v>
      </c>
      <c r="H2585" t="s">
        <v>26011</v>
      </c>
      <c r="I2585" s="26">
        <v>40198</v>
      </c>
      <c r="J2585">
        <v>2010</v>
      </c>
      <c r="K2585" t="s">
        <v>26012</v>
      </c>
      <c r="L2585">
        <v>169</v>
      </c>
      <c r="M2585" t="s">
        <v>35594</v>
      </c>
      <c r="N2585">
        <v>1</v>
      </c>
      <c r="Q2585" t="s">
        <v>35595</v>
      </c>
      <c r="R2585" t="s">
        <v>32558</v>
      </c>
      <c r="S2585" t="s">
        <v>8557</v>
      </c>
      <c r="T2585" t="s">
        <v>30</v>
      </c>
      <c r="U2585" t="s">
        <v>46</v>
      </c>
      <c r="W2585" t="s">
        <v>26009</v>
      </c>
    </row>
    <row r="2586" spans="1:23" x14ac:dyDescent="0.35">
      <c r="A2586">
        <v>646572</v>
      </c>
      <c r="B2586" t="s">
        <v>7992</v>
      </c>
      <c r="C2586" t="str">
        <f>"9780415990516"</f>
        <v>9780415990516</v>
      </c>
      <c r="D2586" t="str">
        <f>"9780203893401"</f>
        <v>9780203893401</v>
      </c>
      <c r="E2586" t="s">
        <v>26010</v>
      </c>
      <c r="F2586" t="s">
        <v>35</v>
      </c>
      <c r="G2586" t="s">
        <v>22174</v>
      </c>
      <c r="H2586" t="s">
        <v>26011</v>
      </c>
      <c r="I2586" s="26">
        <v>40511</v>
      </c>
      <c r="J2586">
        <v>2011</v>
      </c>
      <c r="K2586" t="s">
        <v>26012</v>
      </c>
      <c r="L2586">
        <v>442</v>
      </c>
      <c r="M2586" t="s">
        <v>35596</v>
      </c>
      <c r="N2586">
        <v>1</v>
      </c>
      <c r="Q2586" t="s">
        <v>35597</v>
      </c>
      <c r="R2586">
        <v>362.66</v>
      </c>
      <c r="S2586" t="s">
        <v>7993</v>
      </c>
      <c r="T2586" t="s">
        <v>30</v>
      </c>
      <c r="U2586" t="s">
        <v>26044</v>
      </c>
      <c r="W2586" t="s">
        <v>26009</v>
      </c>
    </row>
    <row r="2587" spans="1:23" x14ac:dyDescent="0.35">
      <c r="A2587">
        <v>646575</v>
      </c>
      <c r="B2587" t="s">
        <v>8443</v>
      </c>
      <c r="C2587" t="str">
        <f>"9780415965415"</f>
        <v>9780415965415</v>
      </c>
      <c r="D2587" t="str">
        <f>"9780203893838"</f>
        <v>9780203893838</v>
      </c>
      <c r="E2587" t="s">
        <v>26010</v>
      </c>
      <c r="F2587" t="s">
        <v>35</v>
      </c>
      <c r="G2587" t="s">
        <v>22174</v>
      </c>
      <c r="H2587" t="s">
        <v>26011</v>
      </c>
      <c r="I2587" s="26">
        <v>40725</v>
      </c>
      <c r="J2587">
        <v>2011</v>
      </c>
      <c r="K2587" t="s">
        <v>26012</v>
      </c>
      <c r="L2587">
        <v>370</v>
      </c>
      <c r="M2587" t="s">
        <v>35598</v>
      </c>
      <c r="N2587">
        <v>2</v>
      </c>
      <c r="Q2587" t="s">
        <v>35599</v>
      </c>
      <c r="R2587">
        <v>174.91499999999999</v>
      </c>
      <c r="S2587" t="s">
        <v>8444</v>
      </c>
      <c r="T2587" t="s">
        <v>30</v>
      </c>
      <c r="U2587" t="s">
        <v>26520</v>
      </c>
      <c r="W2587" t="s">
        <v>26009</v>
      </c>
    </row>
    <row r="2588" spans="1:23" x14ac:dyDescent="0.35">
      <c r="A2588">
        <v>646754</v>
      </c>
      <c r="B2588" t="s">
        <v>35600</v>
      </c>
      <c r="C2588" t="str">
        <f>"9780691069982"</f>
        <v>9780691069982</v>
      </c>
      <c r="D2588" t="str">
        <f>"9781400829262"</f>
        <v>9781400829262</v>
      </c>
      <c r="E2588" t="s">
        <v>33468</v>
      </c>
      <c r="F2588" t="s">
        <v>7517</v>
      </c>
      <c r="G2588" t="s">
        <v>23592</v>
      </c>
      <c r="H2588" t="s">
        <v>26004</v>
      </c>
      <c r="I2588" s="26">
        <v>37227</v>
      </c>
      <c r="J2588">
        <v>2002</v>
      </c>
      <c r="K2588" t="s">
        <v>7517</v>
      </c>
      <c r="L2588">
        <v>233</v>
      </c>
      <c r="M2588" t="s">
        <v>35601</v>
      </c>
      <c r="N2588">
        <v>1</v>
      </c>
      <c r="R2588">
        <v>174</v>
      </c>
      <c r="T2588" t="s">
        <v>30</v>
      </c>
      <c r="U2588" t="s">
        <v>152</v>
      </c>
      <c r="W2588" t="s">
        <v>28347</v>
      </c>
    </row>
    <row r="2589" spans="1:23" x14ac:dyDescent="0.35">
      <c r="A2589">
        <v>646813</v>
      </c>
      <c r="B2589" t="s">
        <v>35602</v>
      </c>
      <c r="C2589" t="str">
        <f>"9780520258501"</f>
        <v>9780520258501</v>
      </c>
      <c r="D2589" t="str">
        <f>"9780520947856"</f>
        <v>9780520947856</v>
      </c>
      <c r="E2589" t="s">
        <v>1612</v>
      </c>
      <c r="F2589" t="s">
        <v>1612</v>
      </c>
      <c r="G2589" t="s">
        <v>22630</v>
      </c>
      <c r="H2589" t="s">
        <v>26004</v>
      </c>
      <c r="I2589" s="26">
        <v>40528</v>
      </c>
      <c r="J2589">
        <v>2010</v>
      </c>
      <c r="K2589" t="s">
        <v>1612</v>
      </c>
      <c r="L2589">
        <v>326</v>
      </c>
      <c r="M2589" t="s">
        <v>35603</v>
      </c>
      <c r="N2589">
        <v>1</v>
      </c>
      <c r="R2589" t="s">
        <v>35604</v>
      </c>
      <c r="T2589" t="s">
        <v>30</v>
      </c>
      <c r="U2589" t="s">
        <v>46</v>
      </c>
      <c r="W2589" t="s">
        <v>26009</v>
      </c>
    </row>
    <row r="2590" spans="1:23" x14ac:dyDescent="0.35">
      <c r="A2590">
        <v>647628</v>
      </c>
      <c r="B2590" t="s">
        <v>35605</v>
      </c>
      <c r="C2590" t="str">
        <f>"9781409422228"</f>
        <v>9781409422228</v>
      </c>
      <c r="D2590" t="str">
        <f>"9781409422235"</f>
        <v>9781409422235</v>
      </c>
      <c r="E2590" t="s">
        <v>26010</v>
      </c>
      <c r="F2590" t="s">
        <v>35</v>
      </c>
      <c r="G2590" t="s">
        <v>33516</v>
      </c>
      <c r="H2590" t="s">
        <v>26011</v>
      </c>
      <c r="I2590" s="26">
        <v>40602</v>
      </c>
      <c r="J2590">
        <v>2011</v>
      </c>
      <c r="K2590" t="s">
        <v>26470</v>
      </c>
      <c r="L2590">
        <v>235</v>
      </c>
      <c r="M2590" t="s">
        <v>35606</v>
      </c>
      <c r="N2590">
        <v>1</v>
      </c>
      <c r="Q2590" t="s">
        <v>35607</v>
      </c>
      <c r="R2590" t="s">
        <v>30531</v>
      </c>
      <c r="S2590" t="s">
        <v>35608</v>
      </c>
      <c r="T2590" t="s">
        <v>30</v>
      </c>
      <c r="U2590" t="s">
        <v>26044</v>
      </c>
      <c r="W2590" t="s">
        <v>26009</v>
      </c>
    </row>
    <row r="2591" spans="1:23" x14ac:dyDescent="0.35">
      <c r="A2591">
        <v>647735</v>
      </c>
      <c r="B2591" t="s">
        <v>35609</v>
      </c>
      <c r="C2591" t="str">
        <f>"9780857243676"</f>
        <v>9780857243676</v>
      </c>
      <c r="D2591" t="str">
        <f>"9780857243683"</f>
        <v>9780857243683</v>
      </c>
      <c r="E2591" t="s">
        <v>7442</v>
      </c>
      <c r="F2591" t="s">
        <v>7442</v>
      </c>
      <c r="G2591" t="s">
        <v>22261</v>
      </c>
      <c r="H2591" t="s">
        <v>26011</v>
      </c>
      <c r="I2591" s="26">
        <v>40528</v>
      </c>
      <c r="J2591">
        <v>2010</v>
      </c>
      <c r="K2591" t="s">
        <v>7442</v>
      </c>
      <c r="L2591">
        <v>190</v>
      </c>
      <c r="M2591" t="s">
        <v>35610</v>
      </c>
      <c r="N2591">
        <v>1</v>
      </c>
      <c r="Q2591" t="s">
        <v>35611</v>
      </c>
      <c r="R2591">
        <v>658.40920000000006</v>
      </c>
      <c r="S2591" t="s">
        <v>35612</v>
      </c>
      <c r="T2591" t="s">
        <v>30</v>
      </c>
      <c r="U2591" t="s">
        <v>30031</v>
      </c>
      <c r="W2591" t="s">
        <v>33559</v>
      </c>
    </row>
    <row r="2592" spans="1:23" x14ac:dyDescent="0.35">
      <c r="A2592">
        <v>647771</v>
      </c>
      <c r="B2592" t="s">
        <v>7851</v>
      </c>
      <c r="C2592" t="str">
        <f>"9781609180720"</f>
        <v>9781609180720</v>
      </c>
      <c r="D2592" t="str">
        <f>"9781609180737"</f>
        <v>9781609180737</v>
      </c>
      <c r="E2592" t="s">
        <v>30112</v>
      </c>
      <c r="F2592" t="s">
        <v>7420</v>
      </c>
      <c r="G2592" t="s">
        <v>22179</v>
      </c>
      <c r="H2592" t="s">
        <v>26004</v>
      </c>
      <c r="I2592" s="26">
        <v>40563</v>
      </c>
      <c r="J2592">
        <v>2011</v>
      </c>
      <c r="K2592" t="s">
        <v>30113</v>
      </c>
      <c r="L2592">
        <v>384</v>
      </c>
      <c r="M2592" t="s">
        <v>35613</v>
      </c>
      <c r="N2592">
        <v>1</v>
      </c>
      <c r="Q2592" t="s">
        <v>35614</v>
      </c>
      <c r="R2592">
        <v>612.82320000000004</v>
      </c>
      <c r="S2592" t="s">
        <v>35615</v>
      </c>
      <c r="T2592" t="s">
        <v>30</v>
      </c>
      <c r="U2592" t="s">
        <v>28991</v>
      </c>
      <c r="W2592" t="s">
        <v>28347</v>
      </c>
    </row>
    <row r="2593" spans="1:23" x14ac:dyDescent="0.35">
      <c r="A2593">
        <v>647772</v>
      </c>
      <c r="B2593" t="s">
        <v>35616</v>
      </c>
      <c r="C2593" t="str">
        <f>"9781609180515"</f>
        <v>9781609180515</v>
      </c>
      <c r="D2593" t="str">
        <f>"9781609180522"</f>
        <v>9781609180522</v>
      </c>
      <c r="E2593" t="s">
        <v>30112</v>
      </c>
      <c r="F2593" t="s">
        <v>7420</v>
      </c>
      <c r="G2593" t="s">
        <v>22179</v>
      </c>
      <c r="H2593" t="s">
        <v>26004</v>
      </c>
      <c r="I2593" s="26">
        <v>40563</v>
      </c>
      <c r="J2593">
        <v>2011</v>
      </c>
      <c r="K2593" t="s">
        <v>30113</v>
      </c>
      <c r="L2593">
        <v>258</v>
      </c>
      <c r="M2593" t="s">
        <v>35617</v>
      </c>
      <c r="N2593">
        <v>1</v>
      </c>
      <c r="Q2593" t="s">
        <v>35618</v>
      </c>
      <c r="R2593" t="s">
        <v>29524</v>
      </c>
      <c r="S2593" t="s">
        <v>35619</v>
      </c>
      <c r="T2593" t="s">
        <v>30</v>
      </c>
      <c r="U2593" t="s">
        <v>26116</v>
      </c>
      <c r="W2593" t="s">
        <v>28347</v>
      </c>
    </row>
    <row r="2594" spans="1:23" x14ac:dyDescent="0.35">
      <c r="A2594">
        <v>647882</v>
      </c>
      <c r="B2594" t="s">
        <v>8852</v>
      </c>
      <c r="C2594" t="str">
        <f>"9781607506256"</f>
        <v>9781607506256</v>
      </c>
      <c r="D2594" t="str">
        <f>"9781607506263"</f>
        <v>9781607506263</v>
      </c>
      <c r="E2594" t="s">
        <v>28275</v>
      </c>
      <c r="F2594" t="s">
        <v>7658</v>
      </c>
      <c r="G2594" t="s">
        <v>22222</v>
      </c>
      <c r="H2594" t="s">
        <v>27983</v>
      </c>
      <c r="I2594" s="26">
        <v>40466</v>
      </c>
      <c r="J2594">
        <v>2010</v>
      </c>
      <c r="K2594" t="s">
        <v>7658</v>
      </c>
      <c r="L2594">
        <v>328</v>
      </c>
      <c r="M2594" t="s">
        <v>35620</v>
      </c>
      <c r="N2594">
        <v>1</v>
      </c>
      <c r="O2594" t="s">
        <v>35621</v>
      </c>
      <c r="P2594">
        <v>72</v>
      </c>
      <c r="Q2594" t="s">
        <v>35622</v>
      </c>
      <c r="S2594" t="s">
        <v>35623</v>
      </c>
      <c r="T2594" t="s">
        <v>30</v>
      </c>
      <c r="U2594" t="s">
        <v>26040</v>
      </c>
      <c r="W2594" t="s">
        <v>26009</v>
      </c>
    </row>
    <row r="2595" spans="1:23" x14ac:dyDescent="0.35">
      <c r="A2595">
        <v>648028</v>
      </c>
      <c r="B2595" t="s">
        <v>9310</v>
      </c>
      <c r="C2595" t="str">
        <f>"9780199738663"</f>
        <v>9780199738663</v>
      </c>
      <c r="D2595" t="str">
        <f>"9780199753277"</f>
        <v>9780199753277</v>
      </c>
      <c r="E2595" t="s">
        <v>371</v>
      </c>
      <c r="F2595" t="s">
        <v>31</v>
      </c>
      <c r="G2595" t="s">
        <v>22703</v>
      </c>
      <c r="H2595" t="s">
        <v>26004</v>
      </c>
      <c r="I2595" s="26">
        <v>40591</v>
      </c>
      <c r="J2595">
        <v>2011</v>
      </c>
      <c r="K2595" t="s">
        <v>31</v>
      </c>
      <c r="L2595">
        <v>293</v>
      </c>
      <c r="M2595" t="s">
        <v>35624</v>
      </c>
      <c r="Q2595" t="s">
        <v>35625</v>
      </c>
      <c r="R2595">
        <v>363.32509199999998</v>
      </c>
      <c r="S2595" t="s">
        <v>35626</v>
      </c>
      <c r="T2595" t="s">
        <v>30</v>
      </c>
      <c r="U2595" t="s">
        <v>26044</v>
      </c>
      <c r="W2595" t="s">
        <v>26009</v>
      </c>
    </row>
    <row r="2596" spans="1:23" x14ac:dyDescent="0.35">
      <c r="A2596">
        <v>648039</v>
      </c>
      <c r="B2596" t="s">
        <v>8636</v>
      </c>
      <c r="C2596" t="str">
        <f>"9780195169300"</f>
        <v>9780195169300</v>
      </c>
      <c r="D2596" t="str">
        <f>"9780199771196"</f>
        <v>9780199771196</v>
      </c>
      <c r="E2596" t="s">
        <v>371</v>
      </c>
      <c r="F2596" t="s">
        <v>31</v>
      </c>
      <c r="G2596" t="s">
        <v>22179</v>
      </c>
      <c r="H2596" t="s">
        <v>26004</v>
      </c>
      <c r="I2596" s="26">
        <v>38393</v>
      </c>
      <c r="J2596">
        <v>2005</v>
      </c>
      <c r="K2596" t="s">
        <v>31</v>
      </c>
      <c r="L2596">
        <v>1052</v>
      </c>
      <c r="M2596" t="s">
        <v>35627</v>
      </c>
      <c r="N2596">
        <v>2</v>
      </c>
      <c r="Q2596" t="s">
        <v>35628</v>
      </c>
      <c r="R2596">
        <v>616.79999999999995</v>
      </c>
      <c r="S2596" t="s">
        <v>35629</v>
      </c>
      <c r="T2596" t="s">
        <v>30</v>
      </c>
      <c r="U2596" t="s">
        <v>26040</v>
      </c>
      <c r="W2596" t="s">
        <v>26009</v>
      </c>
    </row>
    <row r="2597" spans="1:23" x14ac:dyDescent="0.35">
      <c r="A2597">
        <v>648097</v>
      </c>
      <c r="B2597" t="s">
        <v>35630</v>
      </c>
      <c r="C2597" t="str">
        <f>"9780816658992"</f>
        <v>9780816658992</v>
      </c>
      <c r="D2597" t="str">
        <f>"9780816675388"</f>
        <v>9780816675388</v>
      </c>
      <c r="E2597" t="s">
        <v>7471</v>
      </c>
      <c r="F2597" t="s">
        <v>7471</v>
      </c>
      <c r="G2597" t="s">
        <v>23536</v>
      </c>
      <c r="H2597" t="s">
        <v>26004</v>
      </c>
      <c r="I2597" s="26">
        <v>40485</v>
      </c>
      <c r="J2597">
        <v>2010</v>
      </c>
      <c r="K2597" t="s">
        <v>7471</v>
      </c>
      <c r="L2597">
        <v>280</v>
      </c>
      <c r="M2597" t="s">
        <v>35631</v>
      </c>
      <c r="N2597">
        <v>1</v>
      </c>
      <c r="O2597" t="s">
        <v>35632</v>
      </c>
      <c r="Q2597" t="s">
        <v>35633</v>
      </c>
      <c r="R2597">
        <v>590.1</v>
      </c>
      <c r="S2597" t="s">
        <v>35634</v>
      </c>
      <c r="T2597" t="s">
        <v>30</v>
      </c>
      <c r="U2597" t="s">
        <v>35635</v>
      </c>
      <c r="W2597" t="s">
        <v>26009</v>
      </c>
    </row>
    <row r="2598" spans="1:23" x14ac:dyDescent="0.35">
      <c r="A2598">
        <v>648102</v>
      </c>
      <c r="B2598" t="s">
        <v>35636</v>
      </c>
      <c r="C2598" t="str">
        <f>"9780816645961"</f>
        <v>9780816645961</v>
      </c>
      <c r="D2598" t="str">
        <f>"9780816675098"</f>
        <v>9780816675098</v>
      </c>
      <c r="E2598" t="s">
        <v>7471</v>
      </c>
      <c r="F2598" t="s">
        <v>7471</v>
      </c>
      <c r="G2598" t="s">
        <v>23536</v>
      </c>
      <c r="H2598" t="s">
        <v>26004</v>
      </c>
      <c r="I2598" s="26">
        <v>40513</v>
      </c>
      <c r="J2598">
        <v>2010</v>
      </c>
      <c r="K2598" t="s">
        <v>7471</v>
      </c>
      <c r="L2598">
        <v>257</v>
      </c>
      <c r="M2598" t="s">
        <v>35637</v>
      </c>
      <c r="N2598">
        <v>1</v>
      </c>
      <c r="Q2598" t="s">
        <v>35638</v>
      </c>
      <c r="R2598" t="s">
        <v>35639</v>
      </c>
      <c r="S2598" t="s">
        <v>35640</v>
      </c>
      <c r="T2598" t="s">
        <v>30</v>
      </c>
      <c r="U2598" t="s">
        <v>26044</v>
      </c>
      <c r="W2598" t="s">
        <v>26009</v>
      </c>
    </row>
    <row r="2599" spans="1:23" x14ac:dyDescent="0.35">
      <c r="A2599">
        <v>648142</v>
      </c>
      <c r="B2599" t="s">
        <v>35641</v>
      </c>
      <c r="C2599" t="str">
        <f>"9780226477657"</f>
        <v>9780226477657</v>
      </c>
      <c r="D2599" t="str">
        <f>"9780226477541"</f>
        <v>9780226477541</v>
      </c>
      <c r="E2599" t="s">
        <v>550</v>
      </c>
      <c r="F2599" t="s">
        <v>550</v>
      </c>
      <c r="G2599" t="s">
        <v>22352</v>
      </c>
      <c r="H2599" t="s">
        <v>26004</v>
      </c>
      <c r="I2599" s="26">
        <v>36692</v>
      </c>
      <c r="J2599">
        <v>2000</v>
      </c>
      <c r="K2599" t="s">
        <v>550</v>
      </c>
      <c r="L2599">
        <v>329</v>
      </c>
      <c r="M2599" t="s">
        <v>34124</v>
      </c>
      <c r="N2599">
        <v>1</v>
      </c>
      <c r="Q2599" t="s">
        <v>35642</v>
      </c>
      <c r="R2599" t="s">
        <v>27184</v>
      </c>
      <c r="S2599" t="s">
        <v>35643</v>
      </c>
      <c r="T2599" t="s">
        <v>30</v>
      </c>
      <c r="U2599" t="s">
        <v>26019</v>
      </c>
      <c r="W2599" t="s">
        <v>26009</v>
      </c>
    </row>
    <row r="2600" spans="1:23" x14ac:dyDescent="0.35">
      <c r="A2600">
        <v>648596</v>
      </c>
      <c r="B2600" t="s">
        <v>35644</v>
      </c>
      <c r="C2600" t="str">
        <f>"9780765707338"</f>
        <v>9780765707338</v>
      </c>
      <c r="D2600" t="str">
        <f>"9780765707345"</f>
        <v>9780765707345</v>
      </c>
      <c r="E2600" t="s">
        <v>33803</v>
      </c>
      <c r="F2600" t="s">
        <v>38</v>
      </c>
      <c r="G2600" t="s">
        <v>34138</v>
      </c>
      <c r="H2600" t="s">
        <v>26004</v>
      </c>
      <c r="I2600" s="26">
        <v>40541</v>
      </c>
      <c r="J2600">
        <v>2011</v>
      </c>
      <c r="K2600" t="s">
        <v>33811</v>
      </c>
      <c r="L2600">
        <v>176</v>
      </c>
      <c r="M2600" t="s">
        <v>35645</v>
      </c>
      <c r="N2600">
        <v>1</v>
      </c>
      <c r="Q2600" t="s">
        <v>35646</v>
      </c>
      <c r="R2600" t="s">
        <v>26627</v>
      </c>
      <c r="S2600" t="s">
        <v>35647</v>
      </c>
      <c r="T2600" t="s">
        <v>30</v>
      </c>
      <c r="U2600" t="s">
        <v>46</v>
      </c>
      <c r="W2600" t="s">
        <v>26009</v>
      </c>
    </row>
    <row r="2601" spans="1:23" x14ac:dyDescent="0.35">
      <c r="A2601">
        <v>650307</v>
      </c>
      <c r="B2601" t="s">
        <v>10118</v>
      </c>
      <c r="C2601" t="str">
        <f>"9780335237913"</f>
        <v>9780335237913</v>
      </c>
      <c r="D2601" t="str">
        <f>"9780335239634"</f>
        <v>9780335239634</v>
      </c>
      <c r="E2601" t="s">
        <v>29061</v>
      </c>
      <c r="F2601" t="s">
        <v>7477</v>
      </c>
      <c r="G2601" t="s">
        <v>29068</v>
      </c>
      <c r="H2601" t="s">
        <v>26011</v>
      </c>
      <c r="I2601" s="26">
        <v>40452</v>
      </c>
      <c r="J2601">
        <v>2010</v>
      </c>
      <c r="K2601" t="s">
        <v>29063</v>
      </c>
      <c r="L2601">
        <v>142</v>
      </c>
      <c r="M2601" t="s">
        <v>35648</v>
      </c>
      <c r="N2601">
        <v>1</v>
      </c>
      <c r="O2601" t="s">
        <v>30777</v>
      </c>
      <c r="Q2601" t="s">
        <v>35649</v>
      </c>
      <c r="S2601" t="s">
        <v>35650</v>
      </c>
      <c r="T2601" t="s">
        <v>30</v>
      </c>
      <c r="U2601" t="s">
        <v>337</v>
      </c>
      <c r="W2601" t="s">
        <v>26009</v>
      </c>
    </row>
    <row r="2602" spans="1:23" x14ac:dyDescent="0.35">
      <c r="A2602">
        <v>650321</v>
      </c>
      <c r="B2602" t="s">
        <v>8227</v>
      </c>
      <c r="C2602" t="str">
        <f>"9780335235834"</f>
        <v>9780335235834</v>
      </c>
      <c r="D2602" t="str">
        <f>"9780335239405"</f>
        <v>9780335239405</v>
      </c>
      <c r="E2602" t="s">
        <v>29061</v>
      </c>
      <c r="F2602" t="s">
        <v>7477</v>
      </c>
      <c r="G2602" t="s">
        <v>29068</v>
      </c>
      <c r="H2602" t="s">
        <v>26011</v>
      </c>
      <c r="I2602" s="26">
        <v>40391</v>
      </c>
      <c r="J2602">
        <v>2010</v>
      </c>
      <c r="K2602" t="s">
        <v>29063</v>
      </c>
      <c r="L2602">
        <v>242</v>
      </c>
      <c r="M2602" t="s">
        <v>35651</v>
      </c>
      <c r="N2602">
        <v>1</v>
      </c>
      <c r="O2602" t="s">
        <v>29074</v>
      </c>
      <c r="Q2602" t="s">
        <v>35652</v>
      </c>
      <c r="R2602">
        <v>616.85260000000005</v>
      </c>
      <c r="S2602" t="s">
        <v>35653</v>
      </c>
      <c r="T2602" t="s">
        <v>30</v>
      </c>
      <c r="U2602" t="s">
        <v>26116</v>
      </c>
      <c r="W2602" t="s">
        <v>26009</v>
      </c>
    </row>
    <row r="2603" spans="1:23" x14ac:dyDescent="0.35">
      <c r="A2603">
        <v>652279</v>
      </c>
      <c r="B2603" t="s">
        <v>35654</v>
      </c>
      <c r="C2603" t="str">
        <f>"9781442206809"</f>
        <v>9781442206809</v>
      </c>
      <c r="D2603" t="str">
        <f>"9781442206823"</f>
        <v>9781442206823</v>
      </c>
      <c r="E2603" t="s">
        <v>33803</v>
      </c>
      <c r="F2603" t="s">
        <v>38</v>
      </c>
      <c r="G2603" t="s">
        <v>34328</v>
      </c>
      <c r="H2603" t="s">
        <v>26004</v>
      </c>
      <c r="I2603" s="26">
        <v>40618</v>
      </c>
      <c r="J2603">
        <v>2011</v>
      </c>
      <c r="K2603" t="s">
        <v>38</v>
      </c>
      <c r="L2603">
        <v>108</v>
      </c>
      <c r="M2603" t="s">
        <v>35655</v>
      </c>
      <c r="N2603">
        <v>1</v>
      </c>
      <c r="Q2603" t="s">
        <v>35656</v>
      </c>
      <c r="R2603" t="s">
        <v>35657</v>
      </c>
      <c r="S2603" t="s">
        <v>35658</v>
      </c>
      <c r="T2603" t="s">
        <v>30</v>
      </c>
      <c r="U2603" t="s">
        <v>46</v>
      </c>
      <c r="W2603" t="s">
        <v>26009</v>
      </c>
    </row>
    <row r="2604" spans="1:23" x14ac:dyDescent="0.35">
      <c r="A2604">
        <v>652860</v>
      </c>
      <c r="B2604" t="s">
        <v>9762</v>
      </c>
      <c r="C2604" t="str">
        <f>"9780415587747"</f>
        <v>9780415587747</v>
      </c>
      <c r="D2604" t="str">
        <f>"9780203823323"</f>
        <v>9780203823323</v>
      </c>
      <c r="E2604" t="s">
        <v>26010</v>
      </c>
      <c r="F2604" t="s">
        <v>35</v>
      </c>
      <c r="G2604" t="s">
        <v>22174</v>
      </c>
      <c r="H2604" t="s">
        <v>26011</v>
      </c>
      <c r="I2604" s="26">
        <v>40613</v>
      </c>
      <c r="J2604">
        <v>2011</v>
      </c>
      <c r="K2604" t="s">
        <v>26012</v>
      </c>
      <c r="L2604">
        <v>1201</v>
      </c>
      <c r="M2604" t="s">
        <v>35659</v>
      </c>
      <c r="N2604">
        <v>1</v>
      </c>
      <c r="Q2604" t="s">
        <v>35660</v>
      </c>
      <c r="R2604">
        <v>150.30000000000001</v>
      </c>
      <c r="S2604" t="s">
        <v>9763</v>
      </c>
      <c r="T2604" t="s">
        <v>30</v>
      </c>
      <c r="U2604" t="s">
        <v>46</v>
      </c>
      <c r="W2604" t="s">
        <v>26009</v>
      </c>
    </row>
    <row r="2605" spans="1:23" x14ac:dyDescent="0.35">
      <c r="A2605">
        <v>653311</v>
      </c>
      <c r="B2605" t="s">
        <v>35661</v>
      </c>
      <c r="C2605" t="str">
        <f>"9781605907239"</f>
        <v>9781605907239</v>
      </c>
      <c r="D2605" t="str">
        <f>"9781605907246"</f>
        <v>9781605907246</v>
      </c>
      <c r="E2605" t="s">
        <v>33803</v>
      </c>
      <c r="F2605" t="s">
        <v>35662</v>
      </c>
      <c r="G2605" t="s">
        <v>22372</v>
      </c>
      <c r="H2605" t="s">
        <v>26004</v>
      </c>
      <c r="I2605" s="26">
        <v>40559</v>
      </c>
      <c r="J2605">
        <v>2011</v>
      </c>
      <c r="K2605" t="s">
        <v>35662</v>
      </c>
      <c r="L2605">
        <v>221</v>
      </c>
      <c r="M2605" t="s">
        <v>35663</v>
      </c>
      <c r="N2605">
        <v>1</v>
      </c>
      <c r="O2605" t="s">
        <v>35664</v>
      </c>
      <c r="P2605">
        <v>3</v>
      </c>
      <c r="Q2605" t="s">
        <v>35665</v>
      </c>
      <c r="R2605">
        <v>616.85212000000001</v>
      </c>
      <c r="S2605" t="s">
        <v>7917</v>
      </c>
      <c r="T2605" t="s">
        <v>30</v>
      </c>
      <c r="U2605" t="s">
        <v>26116</v>
      </c>
      <c r="W2605" t="s">
        <v>26009</v>
      </c>
    </row>
    <row r="2606" spans="1:23" x14ac:dyDescent="0.35">
      <c r="A2606">
        <v>655453</v>
      </c>
      <c r="B2606" t="s">
        <v>7963</v>
      </c>
      <c r="C2606" t="str">
        <f>"9781409405511"</f>
        <v>9781409405511</v>
      </c>
      <c r="D2606" t="str">
        <f>"9781409405528"</f>
        <v>9781409405528</v>
      </c>
      <c r="E2606" t="s">
        <v>26010</v>
      </c>
      <c r="F2606" t="s">
        <v>35</v>
      </c>
      <c r="G2606" t="s">
        <v>33516</v>
      </c>
      <c r="H2606" t="s">
        <v>26011</v>
      </c>
      <c r="I2606" s="26">
        <v>40602</v>
      </c>
      <c r="J2606">
        <v>2011</v>
      </c>
      <c r="K2606" t="s">
        <v>26012</v>
      </c>
      <c r="L2606">
        <v>313</v>
      </c>
      <c r="M2606" t="s">
        <v>35666</v>
      </c>
      <c r="N2606">
        <v>1</v>
      </c>
      <c r="Q2606" t="s">
        <v>35667</v>
      </c>
      <c r="R2606">
        <v>305.52209399999998</v>
      </c>
      <c r="S2606" t="s">
        <v>35668</v>
      </c>
      <c r="T2606" t="s">
        <v>30</v>
      </c>
      <c r="U2606" t="s">
        <v>26044</v>
      </c>
      <c r="W2606" t="s">
        <v>26009</v>
      </c>
    </row>
    <row r="2607" spans="1:23" x14ac:dyDescent="0.35">
      <c r="A2607">
        <v>655564</v>
      </c>
      <c r="B2607" t="s">
        <v>35669</v>
      </c>
      <c r="C2607" t="str">
        <f>"9781609180768"</f>
        <v>9781609180768</v>
      </c>
      <c r="D2607" t="str">
        <f>"9781609180775"</f>
        <v>9781609180775</v>
      </c>
      <c r="E2607" t="s">
        <v>30112</v>
      </c>
      <c r="F2607" t="s">
        <v>7420</v>
      </c>
      <c r="G2607" t="s">
        <v>22179</v>
      </c>
      <c r="H2607" t="s">
        <v>26004</v>
      </c>
      <c r="I2607" s="26">
        <v>40568</v>
      </c>
      <c r="J2607">
        <v>2011</v>
      </c>
      <c r="K2607" t="s">
        <v>30113</v>
      </c>
      <c r="L2607">
        <v>416</v>
      </c>
      <c r="M2607" t="s">
        <v>35670</v>
      </c>
      <c r="N2607">
        <v>1</v>
      </c>
      <c r="O2607" t="s">
        <v>30756</v>
      </c>
      <c r="Q2607" t="s">
        <v>35671</v>
      </c>
      <c r="R2607" t="s">
        <v>35672</v>
      </c>
      <c r="S2607" t="s">
        <v>35673</v>
      </c>
      <c r="T2607" t="s">
        <v>30</v>
      </c>
      <c r="U2607" t="s">
        <v>29704</v>
      </c>
      <c r="W2607" t="s">
        <v>28347</v>
      </c>
    </row>
    <row r="2608" spans="1:23" x14ac:dyDescent="0.35">
      <c r="A2608">
        <v>655566</v>
      </c>
      <c r="B2608" t="s">
        <v>35674</v>
      </c>
      <c r="C2608" t="str">
        <f>"9781609180461"</f>
        <v>9781609180461</v>
      </c>
      <c r="D2608" t="str">
        <f>"9781609180478"</f>
        <v>9781609180478</v>
      </c>
      <c r="E2608" t="s">
        <v>30112</v>
      </c>
      <c r="F2608" t="s">
        <v>7420</v>
      </c>
      <c r="G2608" t="s">
        <v>22179</v>
      </c>
      <c r="H2608" t="s">
        <v>26004</v>
      </c>
      <c r="I2608" s="26">
        <v>40568</v>
      </c>
      <c r="J2608">
        <v>2011</v>
      </c>
      <c r="K2608" t="s">
        <v>30113</v>
      </c>
      <c r="L2608">
        <v>368</v>
      </c>
      <c r="M2608" t="s">
        <v>35675</v>
      </c>
      <c r="N2608">
        <v>1</v>
      </c>
      <c r="Q2608" t="s">
        <v>35676</v>
      </c>
      <c r="R2608" t="s">
        <v>29454</v>
      </c>
      <c r="S2608" t="s">
        <v>35677</v>
      </c>
      <c r="T2608" t="s">
        <v>30</v>
      </c>
      <c r="U2608" t="s">
        <v>26019</v>
      </c>
      <c r="W2608" t="s">
        <v>28347</v>
      </c>
    </row>
    <row r="2609" spans="1:23" x14ac:dyDescent="0.35">
      <c r="A2609">
        <v>655800</v>
      </c>
      <c r="B2609" t="s">
        <v>35678</v>
      </c>
      <c r="C2609" t="str">
        <f>"9780226532592"</f>
        <v>9780226532592</v>
      </c>
      <c r="D2609" t="str">
        <f>"9780226532615"</f>
        <v>9780226532615</v>
      </c>
      <c r="E2609" t="s">
        <v>550</v>
      </c>
      <c r="F2609" t="s">
        <v>550</v>
      </c>
      <c r="G2609" t="s">
        <v>22352</v>
      </c>
      <c r="H2609" t="s">
        <v>26004</v>
      </c>
      <c r="I2609" s="26">
        <v>40544</v>
      </c>
      <c r="J2609">
        <v>2010</v>
      </c>
      <c r="K2609" t="s">
        <v>550</v>
      </c>
      <c r="L2609">
        <v>240</v>
      </c>
      <c r="M2609" t="s">
        <v>35679</v>
      </c>
      <c r="N2609">
        <v>1</v>
      </c>
      <c r="Q2609" t="s">
        <v>35680</v>
      </c>
      <c r="R2609">
        <v>973.93100000000004</v>
      </c>
      <c r="S2609" t="s">
        <v>35681</v>
      </c>
      <c r="T2609" t="s">
        <v>30</v>
      </c>
      <c r="U2609" t="s">
        <v>28111</v>
      </c>
      <c r="W2609" t="s">
        <v>26009</v>
      </c>
    </row>
    <row r="2610" spans="1:23" x14ac:dyDescent="0.35">
      <c r="A2610">
        <v>655812</v>
      </c>
      <c r="B2610" t="s">
        <v>35682</v>
      </c>
      <c r="C2610" t="str">
        <f>"9780807834510"</f>
        <v>9780807834510</v>
      </c>
      <c r="D2610" t="str">
        <f>"9780807877753"</f>
        <v>9780807877753</v>
      </c>
      <c r="E2610" t="s">
        <v>31948</v>
      </c>
      <c r="F2610" t="s">
        <v>2866</v>
      </c>
      <c r="G2610" t="s">
        <v>23742</v>
      </c>
      <c r="H2610" t="s">
        <v>26004</v>
      </c>
      <c r="I2610" s="26">
        <v>40588</v>
      </c>
      <c r="J2610">
        <v>2011</v>
      </c>
      <c r="K2610" t="s">
        <v>2866</v>
      </c>
      <c r="L2610">
        <v>248</v>
      </c>
      <c r="M2610" t="s">
        <v>35683</v>
      </c>
      <c r="N2610">
        <v>1</v>
      </c>
      <c r="O2610" t="s">
        <v>35684</v>
      </c>
      <c r="Q2610" t="s">
        <v>35685</v>
      </c>
      <c r="R2610" t="s">
        <v>35686</v>
      </c>
      <c r="S2610" t="s">
        <v>35687</v>
      </c>
      <c r="T2610" t="s">
        <v>30</v>
      </c>
      <c r="U2610" t="s">
        <v>27699</v>
      </c>
      <c r="W2610" t="s">
        <v>26009</v>
      </c>
    </row>
    <row r="2611" spans="1:23" x14ac:dyDescent="0.35">
      <c r="A2611">
        <v>656350</v>
      </c>
      <c r="B2611" t="s">
        <v>35688</v>
      </c>
      <c r="C2611" t="str">
        <f>"9780520267398"</f>
        <v>9780520267398</v>
      </c>
      <c r="D2611" t="str">
        <f>"9780520948204"</f>
        <v>9780520948204</v>
      </c>
      <c r="E2611" t="s">
        <v>1612</v>
      </c>
      <c r="F2611" t="s">
        <v>1612</v>
      </c>
      <c r="G2611" t="s">
        <v>22630</v>
      </c>
      <c r="H2611" t="s">
        <v>26004</v>
      </c>
      <c r="I2611" s="26">
        <v>40624</v>
      </c>
      <c r="J2611">
        <v>2011</v>
      </c>
      <c r="K2611" t="s">
        <v>1612</v>
      </c>
      <c r="L2611">
        <v>219</v>
      </c>
      <c r="M2611" t="s">
        <v>35689</v>
      </c>
      <c r="N2611">
        <v>1</v>
      </c>
      <c r="R2611">
        <v>794.1</v>
      </c>
      <c r="S2611" t="s">
        <v>35690</v>
      </c>
      <c r="T2611" t="s">
        <v>30</v>
      </c>
      <c r="U2611" t="s">
        <v>26008</v>
      </c>
      <c r="W2611" t="s">
        <v>26009</v>
      </c>
    </row>
    <row r="2612" spans="1:23" x14ac:dyDescent="0.35">
      <c r="A2612">
        <v>660524</v>
      </c>
      <c r="B2612" t="s">
        <v>35691</v>
      </c>
      <c r="C2612" t="str">
        <f>"9780826120175"</f>
        <v>9780826120175</v>
      </c>
      <c r="D2612" t="str">
        <f>"9780826120182"</f>
        <v>9780826120182</v>
      </c>
      <c r="E2612" t="s">
        <v>1504</v>
      </c>
      <c r="F2612" t="s">
        <v>33</v>
      </c>
      <c r="G2612" t="s">
        <v>22179</v>
      </c>
      <c r="H2612" t="s">
        <v>26004</v>
      </c>
      <c r="I2612" s="26">
        <v>40513</v>
      </c>
      <c r="J2612">
        <v>2011</v>
      </c>
      <c r="K2612" t="s">
        <v>33</v>
      </c>
      <c r="L2612">
        <v>330</v>
      </c>
      <c r="M2612" t="s">
        <v>35692</v>
      </c>
      <c r="N2612">
        <v>1</v>
      </c>
      <c r="Q2612" t="s">
        <v>35693</v>
      </c>
      <c r="R2612" t="s">
        <v>28751</v>
      </c>
      <c r="S2612" t="s">
        <v>35694</v>
      </c>
      <c r="T2612" t="s">
        <v>30</v>
      </c>
      <c r="U2612" t="s">
        <v>26019</v>
      </c>
      <c r="W2612" t="s">
        <v>26009</v>
      </c>
    </row>
    <row r="2613" spans="1:23" x14ac:dyDescent="0.35">
      <c r="A2613">
        <v>661015</v>
      </c>
      <c r="B2613" t="s">
        <v>35695</v>
      </c>
      <c r="C2613" t="str">
        <f>"9780895560667"</f>
        <v>9780895560667</v>
      </c>
      <c r="D2613" t="str">
        <f>"9780895565099"</f>
        <v>9780895565099</v>
      </c>
      <c r="E2613" t="s">
        <v>27422</v>
      </c>
      <c r="F2613" t="s">
        <v>35696</v>
      </c>
      <c r="G2613" t="s">
        <v>35697</v>
      </c>
      <c r="H2613" t="s">
        <v>26004</v>
      </c>
      <c r="I2613" s="26">
        <v>34578</v>
      </c>
      <c r="J2613">
        <v>1994</v>
      </c>
      <c r="K2613" t="s">
        <v>35696</v>
      </c>
      <c r="L2613">
        <v>349</v>
      </c>
      <c r="M2613" t="s">
        <v>35698</v>
      </c>
      <c r="N2613">
        <v>2</v>
      </c>
      <c r="Q2613" t="s">
        <v>35699</v>
      </c>
      <c r="R2613" t="s">
        <v>35700</v>
      </c>
      <c r="S2613" t="s">
        <v>35701</v>
      </c>
      <c r="T2613" t="s">
        <v>30</v>
      </c>
      <c r="U2613" t="s">
        <v>26019</v>
      </c>
      <c r="W2613" t="s">
        <v>26009</v>
      </c>
    </row>
    <row r="2614" spans="1:23" x14ac:dyDescent="0.35">
      <c r="A2614">
        <v>661016</v>
      </c>
      <c r="B2614" t="s">
        <v>35702</v>
      </c>
      <c r="C2614" t="str">
        <f>"9780895561596"</f>
        <v>9780895561596</v>
      </c>
      <c r="D2614" t="str">
        <f>"9780895565150"</f>
        <v>9780895565150</v>
      </c>
      <c r="E2614" t="s">
        <v>27422</v>
      </c>
      <c r="F2614" t="s">
        <v>35696</v>
      </c>
      <c r="G2614" t="s">
        <v>35697</v>
      </c>
      <c r="H2614" t="s">
        <v>26004</v>
      </c>
      <c r="I2614" s="26">
        <v>38443</v>
      </c>
      <c r="J2614">
        <v>2005</v>
      </c>
      <c r="K2614" t="s">
        <v>35696</v>
      </c>
      <c r="L2614">
        <v>191</v>
      </c>
      <c r="M2614" t="s">
        <v>35698</v>
      </c>
      <c r="O2614" t="s">
        <v>35703</v>
      </c>
      <c r="Q2614" t="s">
        <v>35704</v>
      </c>
      <c r="R2614">
        <v>155.26</v>
      </c>
      <c r="S2614" t="s">
        <v>35705</v>
      </c>
      <c r="T2614" t="s">
        <v>30</v>
      </c>
      <c r="U2614" t="s">
        <v>46</v>
      </c>
      <c r="W2614" t="s">
        <v>26009</v>
      </c>
    </row>
    <row r="2615" spans="1:23" x14ac:dyDescent="0.35">
      <c r="A2615">
        <v>661049</v>
      </c>
      <c r="B2615" t="s">
        <v>35706</v>
      </c>
      <c r="C2615" t="str">
        <f>"9781441172686"</f>
        <v>9781441172686</v>
      </c>
      <c r="D2615" t="str">
        <f>"9781441137340"</f>
        <v>9781441137340</v>
      </c>
      <c r="E2615" t="s">
        <v>31671</v>
      </c>
      <c r="F2615" t="s">
        <v>7760</v>
      </c>
      <c r="G2615" t="s">
        <v>22174</v>
      </c>
      <c r="H2615" t="s">
        <v>26011</v>
      </c>
      <c r="I2615" s="26">
        <v>40654</v>
      </c>
      <c r="J2615">
        <v>2011</v>
      </c>
      <c r="K2615" t="s">
        <v>33338</v>
      </c>
      <c r="L2615">
        <v>253</v>
      </c>
      <c r="M2615" t="s">
        <v>35707</v>
      </c>
      <c r="N2615">
        <v>1</v>
      </c>
      <c r="O2615" t="s">
        <v>35708</v>
      </c>
      <c r="Q2615" t="s">
        <v>35709</v>
      </c>
      <c r="R2615">
        <v>418.02019000000001</v>
      </c>
      <c r="S2615" t="s">
        <v>35710</v>
      </c>
      <c r="T2615" t="s">
        <v>30</v>
      </c>
      <c r="U2615" t="s">
        <v>28384</v>
      </c>
      <c r="W2615" t="s">
        <v>28347</v>
      </c>
    </row>
    <row r="2616" spans="1:23" x14ac:dyDescent="0.35">
      <c r="A2616">
        <v>662207</v>
      </c>
      <c r="B2616" t="s">
        <v>35711</v>
      </c>
      <c r="C2616" t="str">
        <f>"9780765707765"</f>
        <v>9780765707765</v>
      </c>
      <c r="D2616" t="str">
        <f>"9780765707772"</f>
        <v>9780765707772</v>
      </c>
      <c r="E2616" t="s">
        <v>33803</v>
      </c>
      <c r="F2616" t="s">
        <v>38</v>
      </c>
      <c r="G2616" t="s">
        <v>34138</v>
      </c>
      <c r="H2616" t="s">
        <v>26004</v>
      </c>
      <c r="I2616" s="26">
        <v>40410</v>
      </c>
      <c r="J2616">
        <v>2010</v>
      </c>
      <c r="K2616" t="s">
        <v>33811</v>
      </c>
      <c r="L2616">
        <v>195</v>
      </c>
      <c r="M2616" t="s">
        <v>35712</v>
      </c>
      <c r="N2616">
        <v>1</v>
      </c>
      <c r="Q2616" t="s">
        <v>35713</v>
      </c>
      <c r="R2616" t="s">
        <v>35714</v>
      </c>
      <c r="S2616" t="s">
        <v>35715</v>
      </c>
      <c r="T2616" t="s">
        <v>30</v>
      </c>
      <c r="U2616" t="s">
        <v>28748</v>
      </c>
      <c r="W2616" t="s">
        <v>26009</v>
      </c>
    </row>
    <row r="2617" spans="1:23" x14ac:dyDescent="0.35">
      <c r="A2617">
        <v>662216</v>
      </c>
      <c r="B2617" t="s">
        <v>35716</v>
      </c>
      <c r="C2617" t="str">
        <f>"9781442235090"</f>
        <v>9781442235090</v>
      </c>
      <c r="D2617" t="str">
        <f>"9780765708267"</f>
        <v>9780765708267</v>
      </c>
      <c r="E2617" t="s">
        <v>33803</v>
      </c>
      <c r="F2617" t="s">
        <v>38</v>
      </c>
      <c r="G2617" t="s">
        <v>33804</v>
      </c>
      <c r="H2617" t="s">
        <v>26004</v>
      </c>
      <c r="I2617" s="26">
        <v>40514</v>
      </c>
      <c r="J2617">
        <v>2011</v>
      </c>
      <c r="K2617" t="s">
        <v>33811</v>
      </c>
      <c r="L2617">
        <v>201</v>
      </c>
      <c r="M2617" t="s">
        <v>35717</v>
      </c>
      <c r="N2617">
        <v>1</v>
      </c>
      <c r="Q2617" t="s">
        <v>35718</v>
      </c>
      <c r="R2617" t="s">
        <v>35719</v>
      </c>
      <c r="S2617" t="s">
        <v>35720</v>
      </c>
      <c r="T2617" t="s">
        <v>30</v>
      </c>
      <c r="U2617" t="s">
        <v>26044</v>
      </c>
      <c r="W2617" t="s">
        <v>26009</v>
      </c>
    </row>
    <row r="2618" spans="1:23" x14ac:dyDescent="0.35">
      <c r="A2618">
        <v>662220</v>
      </c>
      <c r="B2618" t="s">
        <v>35721</v>
      </c>
      <c r="C2618" t="str">
        <f>"9780765705778"</f>
        <v>9780765705778</v>
      </c>
      <c r="D2618" t="str">
        <f>"9780765707253"</f>
        <v>9780765707253</v>
      </c>
      <c r="E2618" t="s">
        <v>33803</v>
      </c>
      <c r="F2618" t="s">
        <v>38</v>
      </c>
      <c r="G2618" t="s">
        <v>34138</v>
      </c>
      <c r="H2618" t="s">
        <v>26004</v>
      </c>
      <c r="I2618" s="26">
        <v>40203</v>
      </c>
      <c r="J2618">
        <v>2010</v>
      </c>
      <c r="K2618" t="s">
        <v>33811</v>
      </c>
      <c r="L2618">
        <v>159</v>
      </c>
      <c r="M2618" t="s">
        <v>35722</v>
      </c>
      <c r="N2618">
        <v>1</v>
      </c>
      <c r="Q2618" t="s">
        <v>35723</v>
      </c>
      <c r="R2618" t="s">
        <v>26759</v>
      </c>
      <c r="S2618" t="s">
        <v>8996</v>
      </c>
      <c r="T2618" t="s">
        <v>30</v>
      </c>
      <c r="U2618" t="s">
        <v>46</v>
      </c>
      <c r="W2618" t="s">
        <v>26009</v>
      </c>
    </row>
    <row r="2619" spans="1:23" x14ac:dyDescent="0.35">
      <c r="A2619">
        <v>662227</v>
      </c>
      <c r="B2619" t="s">
        <v>35724</v>
      </c>
      <c r="C2619" t="str">
        <f>"9781442200227"</f>
        <v>9781442200227</v>
      </c>
      <c r="D2619" t="str">
        <f>"9781442200234"</f>
        <v>9781442200234</v>
      </c>
      <c r="E2619" t="s">
        <v>33803</v>
      </c>
      <c r="F2619" t="s">
        <v>38</v>
      </c>
      <c r="G2619" t="s">
        <v>33804</v>
      </c>
      <c r="H2619" t="s">
        <v>26004</v>
      </c>
      <c r="I2619" s="26">
        <v>40375</v>
      </c>
      <c r="J2619">
        <v>2010</v>
      </c>
      <c r="K2619" t="s">
        <v>38</v>
      </c>
      <c r="L2619">
        <v>209</v>
      </c>
      <c r="M2619" t="s">
        <v>35725</v>
      </c>
      <c r="N2619">
        <v>1</v>
      </c>
      <c r="Q2619" t="s">
        <v>35726</v>
      </c>
      <c r="R2619" t="s">
        <v>33734</v>
      </c>
      <c r="S2619" t="s">
        <v>35727</v>
      </c>
      <c r="T2619" t="s">
        <v>30</v>
      </c>
      <c r="U2619" t="s">
        <v>26044</v>
      </c>
      <c r="W2619" t="s">
        <v>26009</v>
      </c>
    </row>
    <row r="2620" spans="1:23" x14ac:dyDescent="0.35">
      <c r="A2620">
        <v>662232</v>
      </c>
      <c r="B2620" t="s">
        <v>35728</v>
      </c>
      <c r="C2620" t="str">
        <f>"9780765707697"</f>
        <v>9780765707697</v>
      </c>
      <c r="D2620" t="str">
        <f>"9780765707710"</f>
        <v>9780765707710</v>
      </c>
      <c r="E2620" t="s">
        <v>33803</v>
      </c>
      <c r="F2620" t="s">
        <v>38</v>
      </c>
      <c r="G2620" t="s">
        <v>34138</v>
      </c>
      <c r="H2620" t="s">
        <v>26004</v>
      </c>
      <c r="I2620" s="26">
        <v>40540</v>
      </c>
      <c r="J2620">
        <v>2011</v>
      </c>
      <c r="K2620" t="s">
        <v>33811</v>
      </c>
      <c r="L2620">
        <v>136</v>
      </c>
      <c r="M2620" t="s">
        <v>35729</v>
      </c>
      <c r="N2620">
        <v>1</v>
      </c>
      <c r="Q2620" t="s">
        <v>35730</v>
      </c>
      <c r="R2620" t="s">
        <v>27122</v>
      </c>
      <c r="S2620" t="s">
        <v>35731</v>
      </c>
      <c r="T2620" t="s">
        <v>30</v>
      </c>
      <c r="U2620" t="s">
        <v>26116</v>
      </c>
      <c r="W2620" t="s">
        <v>26009</v>
      </c>
    </row>
    <row r="2621" spans="1:23" x14ac:dyDescent="0.35">
      <c r="A2621">
        <v>662248</v>
      </c>
      <c r="B2621" t="s">
        <v>35732</v>
      </c>
      <c r="C2621" t="str">
        <f>"9781442205741"</f>
        <v>9781442205741</v>
      </c>
      <c r="D2621" t="str">
        <f>"9781442205765"</f>
        <v>9781442205765</v>
      </c>
      <c r="E2621" t="s">
        <v>33803</v>
      </c>
      <c r="F2621" t="s">
        <v>38</v>
      </c>
      <c r="G2621" t="s">
        <v>34328</v>
      </c>
      <c r="H2621" t="s">
        <v>26004</v>
      </c>
      <c r="I2621" s="26">
        <v>40437</v>
      </c>
      <c r="J2621">
        <v>2010</v>
      </c>
      <c r="K2621" t="s">
        <v>38</v>
      </c>
      <c r="L2621">
        <v>301</v>
      </c>
      <c r="M2621" t="s">
        <v>35733</v>
      </c>
      <c r="N2621">
        <v>1</v>
      </c>
      <c r="Q2621" t="s">
        <v>35734</v>
      </c>
      <c r="R2621" t="s">
        <v>35735</v>
      </c>
      <c r="S2621" t="s">
        <v>8307</v>
      </c>
      <c r="T2621" t="s">
        <v>30</v>
      </c>
      <c r="U2621" t="s">
        <v>46</v>
      </c>
      <c r="W2621" t="s">
        <v>26009</v>
      </c>
    </row>
    <row r="2622" spans="1:23" x14ac:dyDescent="0.35">
      <c r="A2622">
        <v>662275</v>
      </c>
      <c r="B2622" t="s">
        <v>35736</v>
      </c>
      <c r="C2622" t="str">
        <f>"9780761851738"</f>
        <v>9780761851738</v>
      </c>
      <c r="D2622" t="str">
        <f>"9780761851745"</f>
        <v>9780761851745</v>
      </c>
      <c r="E2622" t="s">
        <v>33803</v>
      </c>
      <c r="F2622" t="s">
        <v>34051</v>
      </c>
      <c r="G2622" t="s">
        <v>33804</v>
      </c>
      <c r="H2622" t="s">
        <v>26004</v>
      </c>
      <c r="I2622" s="26">
        <v>40530</v>
      </c>
      <c r="J2622">
        <v>2010</v>
      </c>
      <c r="K2622" t="s">
        <v>34051</v>
      </c>
      <c r="L2622">
        <v>80</v>
      </c>
      <c r="M2622" t="s">
        <v>35737</v>
      </c>
      <c r="N2622">
        <v>1</v>
      </c>
      <c r="S2622" t="s">
        <v>35738</v>
      </c>
      <c r="T2622" t="s">
        <v>30</v>
      </c>
      <c r="U2622" t="s">
        <v>26228</v>
      </c>
      <c r="W2622" t="s">
        <v>26009</v>
      </c>
    </row>
    <row r="2623" spans="1:23" x14ac:dyDescent="0.35">
      <c r="A2623">
        <v>662298</v>
      </c>
      <c r="B2623" t="s">
        <v>35739</v>
      </c>
      <c r="C2623" t="str">
        <f>"9781442200364"</f>
        <v>9781442200364</v>
      </c>
      <c r="D2623" t="str">
        <f>"9781442200388"</f>
        <v>9781442200388</v>
      </c>
      <c r="E2623" t="s">
        <v>33803</v>
      </c>
      <c r="F2623" t="s">
        <v>38</v>
      </c>
      <c r="G2623" t="s">
        <v>33804</v>
      </c>
      <c r="H2623" t="s">
        <v>26004</v>
      </c>
      <c r="I2623" s="26">
        <v>40284</v>
      </c>
      <c r="J2623">
        <v>2010</v>
      </c>
      <c r="K2623" t="s">
        <v>38</v>
      </c>
      <c r="L2623">
        <v>229</v>
      </c>
      <c r="M2623" t="s">
        <v>35740</v>
      </c>
      <c r="N2623">
        <v>1</v>
      </c>
      <c r="Q2623" t="s">
        <v>35741</v>
      </c>
      <c r="R2623">
        <v>306.7</v>
      </c>
      <c r="S2623" t="s">
        <v>8422</v>
      </c>
      <c r="T2623" t="s">
        <v>30</v>
      </c>
      <c r="U2623" t="s">
        <v>26044</v>
      </c>
      <c r="W2623" t="s">
        <v>26009</v>
      </c>
    </row>
    <row r="2624" spans="1:23" x14ac:dyDescent="0.35">
      <c r="A2624">
        <v>662310</v>
      </c>
      <c r="B2624" t="s">
        <v>35742</v>
      </c>
      <c r="C2624" t="str">
        <f>"9780765708014"</f>
        <v>9780765708014</v>
      </c>
      <c r="D2624" t="str">
        <f>"9780765708076"</f>
        <v>9780765708076</v>
      </c>
      <c r="E2624" t="s">
        <v>33803</v>
      </c>
      <c r="F2624" t="s">
        <v>38</v>
      </c>
      <c r="G2624" t="s">
        <v>34138</v>
      </c>
      <c r="H2624" t="s">
        <v>26004</v>
      </c>
      <c r="I2624" s="26">
        <v>38533</v>
      </c>
      <c r="J2624">
        <v>2010</v>
      </c>
      <c r="K2624" t="s">
        <v>33811</v>
      </c>
      <c r="L2624">
        <v>279</v>
      </c>
      <c r="M2624" t="s">
        <v>35743</v>
      </c>
      <c r="N2624">
        <v>2</v>
      </c>
      <c r="Q2624" t="s">
        <v>35744</v>
      </c>
      <c r="R2624" t="s">
        <v>29454</v>
      </c>
      <c r="S2624" t="s">
        <v>35745</v>
      </c>
      <c r="T2624" t="s">
        <v>30</v>
      </c>
      <c r="U2624" t="s">
        <v>26019</v>
      </c>
      <c r="W2624" t="s">
        <v>26009</v>
      </c>
    </row>
    <row r="2625" spans="1:23" x14ac:dyDescent="0.35">
      <c r="A2625">
        <v>662385</v>
      </c>
      <c r="B2625" t="s">
        <v>9408</v>
      </c>
      <c r="C2625" t="str">
        <f>"9780857245953"</f>
        <v>9780857245953</v>
      </c>
      <c r="D2625" t="str">
        <f>"9780857245960"</f>
        <v>9780857245960</v>
      </c>
      <c r="E2625" t="s">
        <v>7442</v>
      </c>
      <c r="F2625" t="s">
        <v>7442</v>
      </c>
      <c r="G2625" t="s">
        <v>22261</v>
      </c>
      <c r="H2625" t="s">
        <v>26011</v>
      </c>
      <c r="I2625" s="26">
        <v>40577</v>
      </c>
      <c r="J2625">
        <v>2011</v>
      </c>
      <c r="K2625" t="s">
        <v>7442</v>
      </c>
      <c r="L2625">
        <v>394</v>
      </c>
      <c r="M2625" t="s">
        <v>35746</v>
      </c>
      <c r="N2625">
        <v>1</v>
      </c>
      <c r="O2625" t="s">
        <v>35747</v>
      </c>
      <c r="P2625">
        <v>32</v>
      </c>
      <c r="Q2625" t="s">
        <v>35748</v>
      </c>
      <c r="R2625">
        <v>302.35000000000002</v>
      </c>
      <c r="S2625" t="s">
        <v>152</v>
      </c>
      <c r="T2625" t="s">
        <v>30</v>
      </c>
      <c r="U2625" t="s">
        <v>26044</v>
      </c>
      <c r="W2625" t="s">
        <v>33559</v>
      </c>
    </row>
    <row r="2626" spans="1:23" x14ac:dyDescent="0.35">
      <c r="A2626">
        <v>664530</v>
      </c>
      <c r="B2626" t="s">
        <v>35749</v>
      </c>
      <c r="C2626" t="str">
        <f>"9780313336966"</f>
        <v>9780313336966</v>
      </c>
      <c r="D2626" t="str">
        <f>"9780313064067"</f>
        <v>9780313064067</v>
      </c>
      <c r="E2626" t="s">
        <v>28336</v>
      </c>
      <c r="F2626" t="s">
        <v>28340</v>
      </c>
      <c r="G2626" t="s">
        <v>22179</v>
      </c>
      <c r="H2626" t="s">
        <v>26004</v>
      </c>
      <c r="I2626" s="26">
        <v>40623</v>
      </c>
      <c r="J2626">
        <v>2011</v>
      </c>
      <c r="K2626" t="s">
        <v>28341</v>
      </c>
      <c r="L2626">
        <v>229</v>
      </c>
      <c r="M2626" t="s">
        <v>28340</v>
      </c>
      <c r="N2626">
        <v>1</v>
      </c>
      <c r="O2626" t="s">
        <v>35750</v>
      </c>
      <c r="Q2626" t="s">
        <v>35751</v>
      </c>
      <c r="R2626" t="s">
        <v>29630</v>
      </c>
      <c r="S2626" t="s">
        <v>35752</v>
      </c>
      <c r="T2626" t="s">
        <v>30</v>
      </c>
      <c r="U2626" t="s">
        <v>26019</v>
      </c>
      <c r="W2626" t="s">
        <v>28347</v>
      </c>
    </row>
    <row r="2627" spans="1:23" x14ac:dyDescent="0.35">
      <c r="A2627">
        <v>665313</v>
      </c>
      <c r="B2627" t="s">
        <v>7922</v>
      </c>
      <c r="C2627" t="str">
        <f>""</f>
        <v/>
      </c>
      <c r="D2627" t="str">
        <f>"9781847429582"</f>
        <v>9781847429582</v>
      </c>
      <c r="E2627" t="s">
        <v>4632</v>
      </c>
      <c r="F2627" t="s">
        <v>4632</v>
      </c>
      <c r="G2627" t="s">
        <v>24532</v>
      </c>
      <c r="H2627" t="s">
        <v>26011</v>
      </c>
      <c r="I2627" s="26">
        <v>39407</v>
      </c>
      <c r="J2627">
        <v>2007</v>
      </c>
      <c r="K2627" t="s">
        <v>4632</v>
      </c>
      <c r="L2627">
        <v>249</v>
      </c>
      <c r="M2627" t="s">
        <v>35753</v>
      </c>
      <c r="N2627">
        <v>1</v>
      </c>
      <c r="R2627">
        <v>364.08</v>
      </c>
      <c r="T2627" t="s">
        <v>30</v>
      </c>
      <c r="U2627" t="s">
        <v>26044</v>
      </c>
      <c r="W2627" t="s">
        <v>26009</v>
      </c>
    </row>
    <row r="2628" spans="1:23" x14ac:dyDescent="0.35">
      <c r="A2628">
        <v>665334</v>
      </c>
      <c r="B2628" t="s">
        <v>9242</v>
      </c>
      <c r="C2628" t="str">
        <f>"9781409410829"</f>
        <v>9781409410829</v>
      </c>
      <c r="D2628" t="str">
        <f>"9781409410836"</f>
        <v>9781409410836</v>
      </c>
      <c r="E2628" t="s">
        <v>26010</v>
      </c>
      <c r="F2628" t="s">
        <v>35</v>
      </c>
      <c r="G2628" t="s">
        <v>26128</v>
      </c>
      <c r="H2628" t="s">
        <v>26011</v>
      </c>
      <c r="I2628" s="26">
        <v>40630</v>
      </c>
      <c r="J2628">
        <v>2011</v>
      </c>
      <c r="K2628" t="s">
        <v>26012</v>
      </c>
      <c r="L2628">
        <v>427</v>
      </c>
      <c r="M2628" t="s">
        <v>35754</v>
      </c>
      <c r="N2628">
        <v>1</v>
      </c>
      <c r="O2628" t="s">
        <v>35755</v>
      </c>
      <c r="S2628" t="s">
        <v>35756</v>
      </c>
      <c r="T2628" t="s">
        <v>30</v>
      </c>
      <c r="U2628" t="s">
        <v>46</v>
      </c>
      <c r="W2628" t="s">
        <v>26009</v>
      </c>
    </row>
    <row r="2629" spans="1:23" x14ac:dyDescent="0.35">
      <c r="A2629">
        <v>665394</v>
      </c>
      <c r="B2629" t="s">
        <v>8491</v>
      </c>
      <c r="C2629" t="str">
        <f>"9780199737956"</f>
        <v>9780199737956</v>
      </c>
      <c r="D2629" t="str">
        <f>"9780199838356"</f>
        <v>9780199838356</v>
      </c>
      <c r="E2629" t="s">
        <v>371</v>
      </c>
      <c r="F2629" t="s">
        <v>31</v>
      </c>
      <c r="G2629" t="s">
        <v>22703</v>
      </c>
      <c r="H2629" t="s">
        <v>26004</v>
      </c>
      <c r="I2629" s="26">
        <v>40620</v>
      </c>
      <c r="J2629">
        <v>2011</v>
      </c>
      <c r="K2629" t="s">
        <v>31</v>
      </c>
      <c r="L2629">
        <v>200</v>
      </c>
      <c r="M2629" t="s">
        <v>35757</v>
      </c>
      <c r="O2629" t="s">
        <v>35758</v>
      </c>
      <c r="Q2629" t="s">
        <v>35759</v>
      </c>
      <c r="R2629" t="s">
        <v>35760</v>
      </c>
      <c r="S2629" t="s">
        <v>35761</v>
      </c>
      <c r="T2629" t="s">
        <v>30</v>
      </c>
      <c r="U2629" t="s">
        <v>34900</v>
      </c>
      <c r="W2629" t="s">
        <v>26009</v>
      </c>
    </row>
    <row r="2630" spans="1:23" x14ac:dyDescent="0.35">
      <c r="A2630">
        <v>665415</v>
      </c>
      <c r="B2630" t="s">
        <v>35762</v>
      </c>
      <c r="C2630" t="str">
        <f>"9780195315912"</f>
        <v>9780195315912</v>
      </c>
      <c r="D2630" t="str">
        <f>"9780199760411"</f>
        <v>9780199760411</v>
      </c>
      <c r="E2630" t="s">
        <v>371</v>
      </c>
      <c r="F2630" t="s">
        <v>31</v>
      </c>
      <c r="G2630" t="s">
        <v>22179</v>
      </c>
      <c r="H2630" t="s">
        <v>26004</v>
      </c>
      <c r="I2630" s="26">
        <v>33997</v>
      </c>
      <c r="J2630">
        <v>2007</v>
      </c>
      <c r="K2630" t="s">
        <v>31</v>
      </c>
      <c r="L2630">
        <v>257</v>
      </c>
      <c r="M2630" t="s">
        <v>35763</v>
      </c>
      <c r="Q2630" t="s">
        <v>35764</v>
      </c>
      <c r="R2630">
        <v>188</v>
      </c>
      <c r="S2630" t="s">
        <v>35765</v>
      </c>
      <c r="T2630" t="s">
        <v>30</v>
      </c>
      <c r="U2630" t="s">
        <v>152</v>
      </c>
      <c r="W2630" t="s">
        <v>26009</v>
      </c>
    </row>
    <row r="2631" spans="1:23" x14ac:dyDescent="0.35">
      <c r="A2631">
        <v>665423</v>
      </c>
      <c r="B2631" t="s">
        <v>35766</v>
      </c>
      <c r="C2631" t="str">
        <f>"9780199754649"</f>
        <v>9780199754649</v>
      </c>
      <c r="D2631" t="str">
        <f>"9780199842506"</f>
        <v>9780199842506</v>
      </c>
      <c r="E2631" t="s">
        <v>371</v>
      </c>
      <c r="F2631" t="s">
        <v>31</v>
      </c>
      <c r="G2631" t="s">
        <v>22703</v>
      </c>
      <c r="H2631" t="s">
        <v>26004</v>
      </c>
      <c r="I2631" s="26">
        <v>40541</v>
      </c>
      <c r="J2631">
        <v>2011</v>
      </c>
      <c r="K2631" t="s">
        <v>31</v>
      </c>
      <c r="L2631">
        <v>377</v>
      </c>
      <c r="M2631" t="s">
        <v>35767</v>
      </c>
      <c r="O2631" t="s">
        <v>35768</v>
      </c>
      <c r="Q2631" t="s">
        <v>35769</v>
      </c>
      <c r="R2631">
        <v>616.89</v>
      </c>
      <c r="S2631" t="s">
        <v>35770</v>
      </c>
      <c r="T2631" t="s">
        <v>30</v>
      </c>
      <c r="U2631" t="s">
        <v>26019</v>
      </c>
      <c r="W2631" t="s">
        <v>26009</v>
      </c>
    </row>
    <row r="2632" spans="1:23" x14ac:dyDescent="0.35">
      <c r="A2632">
        <v>665430</v>
      </c>
      <c r="B2632" t="s">
        <v>35771</v>
      </c>
      <c r="C2632" t="str">
        <f>"9780199778188"</f>
        <v>9780199778188</v>
      </c>
      <c r="D2632" t="str">
        <f>"9780199842360"</f>
        <v>9780199842360</v>
      </c>
      <c r="E2632" t="s">
        <v>371</v>
      </c>
      <c r="F2632" t="s">
        <v>31</v>
      </c>
      <c r="G2632" t="s">
        <v>22703</v>
      </c>
      <c r="H2632" t="s">
        <v>26004</v>
      </c>
      <c r="I2632" s="26">
        <v>40590</v>
      </c>
      <c r="J2632">
        <v>2011</v>
      </c>
      <c r="K2632" t="s">
        <v>31</v>
      </c>
      <c r="L2632">
        <v>297</v>
      </c>
      <c r="M2632" t="s">
        <v>35772</v>
      </c>
      <c r="Q2632" t="s">
        <v>35773</v>
      </c>
      <c r="R2632" t="s">
        <v>35774</v>
      </c>
      <c r="S2632" t="s">
        <v>35775</v>
      </c>
      <c r="T2632" t="s">
        <v>30</v>
      </c>
      <c r="U2632" t="s">
        <v>26044</v>
      </c>
      <c r="W2632" t="s">
        <v>26009</v>
      </c>
    </row>
    <row r="2633" spans="1:23" x14ac:dyDescent="0.35">
      <c r="A2633">
        <v>665433</v>
      </c>
      <c r="B2633" t="s">
        <v>35776</v>
      </c>
      <c r="C2633" t="str">
        <f>"9780195320671"</f>
        <v>9780195320671</v>
      </c>
      <c r="D2633" t="str">
        <f>"9780199717637"</f>
        <v>9780199717637</v>
      </c>
      <c r="E2633" t="s">
        <v>371</v>
      </c>
      <c r="F2633" t="s">
        <v>31</v>
      </c>
      <c r="G2633" t="s">
        <v>22703</v>
      </c>
      <c r="H2633" t="s">
        <v>26004</v>
      </c>
      <c r="I2633" s="26">
        <v>39699</v>
      </c>
      <c r="J2633">
        <v>2008</v>
      </c>
      <c r="K2633" t="s">
        <v>31</v>
      </c>
      <c r="L2633">
        <v>628</v>
      </c>
      <c r="M2633" t="s">
        <v>35777</v>
      </c>
      <c r="Q2633" t="s">
        <v>35778</v>
      </c>
      <c r="R2633">
        <v>153</v>
      </c>
      <c r="S2633" t="s">
        <v>35779</v>
      </c>
      <c r="T2633" t="s">
        <v>30</v>
      </c>
      <c r="U2633" t="s">
        <v>46</v>
      </c>
      <c r="W2633" t="s">
        <v>26009</v>
      </c>
    </row>
    <row r="2634" spans="1:23" x14ac:dyDescent="0.35">
      <c r="A2634">
        <v>665458</v>
      </c>
      <c r="B2634" t="s">
        <v>9465</v>
      </c>
      <c r="C2634" t="str">
        <f>"9780195169782"</f>
        <v>9780195169782</v>
      </c>
      <c r="D2634" t="str">
        <f>"9780199837908"</f>
        <v>9780199837908</v>
      </c>
      <c r="E2634" t="s">
        <v>371</v>
      </c>
      <c r="F2634" t="s">
        <v>31</v>
      </c>
      <c r="G2634" t="s">
        <v>22703</v>
      </c>
      <c r="H2634" t="s">
        <v>26004</v>
      </c>
      <c r="I2634" s="26">
        <v>38736</v>
      </c>
      <c r="J2634">
        <v>2006</v>
      </c>
      <c r="K2634" t="s">
        <v>31</v>
      </c>
      <c r="L2634">
        <v>353</v>
      </c>
      <c r="M2634" t="s">
        <v>35780</v>
      </c>
      <c r="N2634">
        <v>2</v>
      </c>
      <c r="Q2634" t="s">
        <v>35781</v>
      </c>
      <c r="R2634" t="s">
        <v>26038</v>
      </c>
      <c r="S2634" t="s">
        <v>35782</v>
      </c>
      <c r="T2634" t="s">
        <v>30</v>
      </c>
      <c r="U2634" t="s">
        <v>26019</v>
      </c>
      <c r="W2634" t="s">
        <v>26009</v>
      </c>
    </row>
    <row r="2635" spans="1:23" x14ac:dyDescent="0.35">
      <c r="A2635">
        <v>665459</v>
      </c>
      <c r="B2635" t="s">
        <v>35783</v>
      </c>
      <c r="C2635" t="str">
        <f>"9780195189933"</f>
        <v>9780195189933</v>
      </c>
      <c r="D2635" t="str">
        <f>"9780199760510"</f>
        <v>9780199760510</v>
      </c>
      <c r="E2635" t="s">
        <v>371</v>
      </c>
      <c r="F2635" t="s">
        <v>31</v>
      </c>
      <c r="H2635" t="s">
        <v>26011</v>
      </c>
      <c r="I2635" s="26">
        <v>38813</v>
      </c>
      <c r="J2635">
        <v>2006</v>
      </c>
      <c r="K2635" t="s">
        <v>32038</v>
      </c>
      <c r="L2635">
        <v>201</v>
      </c>
      <c r="M2635" t="s">
        <v>35784</v>
      </c>
      <c r="O2635" t="s">
        <v>32228</v>
      </c>
      <c r="Q2635" t="s">
        <v>35785</v>
      </c>
      <c r="R2635" t="s">
        <v>35786</v>
      </c>
      <c r="S2635" t="s">
        <v>9040</v>
      </c>
      <c r="T2635" t="s">
        <v>30</v>
      </c>
      <c r="U2635" t="s">
        <v>26019</v>
      </c>
      <c r="W2635" t="s">
        <v>26009</v>
      </c>
    </row>
    <row r="2636" spans="1:23" x14ac:dyDescent="0.35">
      <c r="A2636">
        <v>667356</v>
      </c>
      <c r="B2636" t="s">
        <v>7484</v>
      </c>
      <c r="C2636" t="str">
        <f>"9780826119377"</f>
        <v>9780826119377</v>
      </c>
      <c r="D2636" t="str">
        <f>"9780826119384"</f>
        <v>9780826119384</v>
      </c>
      <c r="E2636" t="s">
        <v>1504</v>
      </c>
      <c r="F2636" t="s">
        <v>33</v>
      </c>
      <c r="G2636" t="s">
        <v>22179</v>
      </c>
      <c r="H2636" t="s">
        <v>26004</v>
      </c>
      <c r="I2636" s="26">
        <v>40603</v>
      </c>
      <c r="J2636">
        <v>2011</v>
      </c>
      <c r="K2636" t="s">
        <v>33</v>
      </c>
      <c r="L2636">
        <v>374</v>
      </c>
      <c r="M2636" t="s">
        <v>35787</v>
      </c>
      <c r="N2636">
        <v>4</v>
      </c>
      <c r="Q2636" t="s">
        <v>35788</v>
      </c>
      <c r="R2636">
        <v>305.26097299999998</v>
      </c>
      <c r="S2636" t="s">
        <v>35789</v>
      </c>
      <c r="T2636" t="s">
        <v>30</v>
      </c>
      <c r="U2636" t="s">
        <v>26044</v>
      </c>
      <c r="W2636" t="s">
        <v>26009</v>
      </c>
    </row>
    <row r="2637" spans="1:23" x14ac:dyDescent="0.35">
      <c r="A2637">
        <v>667623</v>
      </c>
      <c r="B2637" t="s">
        <v>9208</v>
      </c>
      <c r="C2637" t="str">
        <f>"9780521840408"</f>
        <v>9780521840408</v>
      </c>
      <c r="D2637" t="str">
        <f>"9781139007962"</f>
        <v>9781139007962</v>
      </c>
      <c r="E2637" t="s">
        <v>167</v>
      </c>
      <c r="F2637" t="s">
        <v>167</v>
      </c>
      <c r="G2637" t="s">
        <v>22179</v>
      </c>
      <c r="H2637" t="s">
        <v>26004</v>
      </c>
      <c r="I2637" s="26">
        <v>40543</v>
      </c>
      <c r="J2637">
        <v>2010</v>
      </c>
      <c r="K2637" t="s">
        <v>167</v>
      </c>
      <c r="L2637">
        <v>313</v>
      </c>
      <c r="M2637" t="s">
        <v>35790</v>
      </c>
      <c r="N2637">
        <v>1</v>
      </c>
      <c r="Q2637" t="s">
        <v>35791</v>
      </c>
      <c r="R2637" t="s">
        <v>31565</v>
      </c>
      <c r="S2637" t="s">
        <v>35792</v>
      </c>
      <c r="T2637" t="s">
        <v>30</v>
      </c>
      <c r="U2637" t="s">
        <v>46</v>
      </c>
      <c r="W2637" t="s">
        <v>26020</v>
      </c>
    </row>
    <row r="2638" spans="1:23" x14ac:dyDescent="0.35">
      <c r="A2638">
        <v>667790</v>
      </c>
      <c r="B2638" t="s">
        <v>35793</v>
      </c>
      <c r="C2638" t="str">
        <f>"9780415570435"</f>
        <v>9780415570435</v>
      </c>
      <c r="D2638" t="str">
        <f>"9780203834718"</f>
        <v>9780203834718</v>
      </c>
      <c r="E2638" t="s">
        <v>26010</v>
      </c>
      <c r="F2638" t="s">
        <v>35</v>
      </c>
      <c r="G2638" t="s">
        <v>22174</v>
      </c>
      <c r="H2638" t="s">
        <v>26011</v>
      </c>
      <c r="I2638" s="26">
        <v>40529</v>
      </c>
      <c r="J2638">
        <v>2011</v>
      </c>
      <c r="K2638" t="s">
        <v>26012</v>
      </c>
      <c r="L2638">
        <v>310</v>
      </c>
      <c r="M2638" t="s">
        <v>35794</v>
      </c>
      <c r="N2638">
        <v>1</v>
      </c>
      <c r="Q2638" t="s">
        <v>35795</v>
      </c>
      <c r="R2638">
        <v>150.19520919999999</v>
      </c>
      <c r="S2638" t="s">
        <v>35796</v>
      </c>
      <c r="T2638" t="s">
        <v>30</v>
      </c>
      <c r="U2638" t="s">
        <v>46</v>
      </c>
      <c r="W2638" t="s">
        <v>26009</v>
      </c>
    </row>
    <row r="2639" spans="1:23" x14ac:dyDescent="0.35">
      <c r="A2639">
        <v>667825</v>
      </c>
      <c r="B2639" t="s">
        <v>35797</v>
      </c>
      <c r="C2639" t="str">
        <f>"9780415494649"</f>
        <v>9780415494649</v>
      </c>
      <c r="D2639" t="str">
        <f>"9780203834701"</f>
        <v>9780203834701</v>
      </c>
      <c r="E2639" t="s">
        <v>26010</v>
      </c>
      <c r="F2639" t="s">
        <v>35</v>
      </c>
      <c r="G2639" t="s">
        <v>22174</v>
      </c>
      <c r="H2639" t="s">
        <v>26011</v>
      </c>
      <c r="I2639" s="26">
        <v>40494</v>
      </c>
      <c r="J2639">
        <v>2011</v>
      </c>
      <c r="K2639" t="s">
        <v>26012</v>
      </c>
      <c r="L2639">
        <v>327</v>
      </c>
      <c r="M2639" t="s">
        <v>35798</v>
      </c>
      <c r="N2639">
        <v>1</v>
      </c>
      <c r="Q2639" t="s">
        <v>35799</v>
      </c>
      <c r="R2639">
        <v>616.89</v>
      </c>
      <c r="S2639" t="s">
        <v>9508</v>
      </c>
      <c r="T2639" t="s">
        <v>30</v>
      </c>
      <c r="U2639" t="s">
        <v>26019</v>
      </c>
      <c r="W2639" t="s">
        <v>26009</v>
      </c>
    </row>
    <row r="2640" spans="1:23" x14ac:dyDescent="0.35">
      <c r="A2640">
        <v>667828</v>
      </c>
      <c r="B2640" t="s">
        <v>35800</v>
      </c>
      <c r="C2640" t="str">
        <f>"9780415413763"</f>
        <v>9780415413763</v>
      </c>
      <c r="D2640" t="str">
        <f>"9780203838327"</f>
        <v>9780203838327</v>
      </c>
      <c r="E2640" t="s">
        <v>26010</v>
      </c>
      <c r="F2640" t="s">
        <v>35</v>
      </c>
      <c r="G2640" t="s">
        <v>22174</v>
      </c>
      <c r="H2640" t="s">
        <v>26011</v>
      </c>
      <c r="I2640" s="26">
        <v>40530</v>
      </c>
      <c r="J2640">
        <v>2011</v>
      </c>
      <c r="K2640" t="s">
        <v>26012</v>
      </c>
      <c r="L2640">
        <v>265</v>
      </c>
      <c r="M2640" t="s">
        <v>35801</v>
      </c>
      <c r="N2640">
        <v>1</v>
      </c>
      <c r="O2640" t="s">
        <v>35802</v>
      </c>
      <c r="Q2640" t="s">
        <v>35803</v>
      </c>
      <c r="R2640">
        <v>616.89139999999998</v>
      </c>
      <c r="S2640" t="s">
        <v>8829</v>
      </c>
      <c r="T2640" t="s">
        <v>30</v>
      </c>
      <c r="U2640" t="s">
        <v>26116</v>
      </c>
      <c r="W2640" t="s">
        <v>26009</v>
      </c>
    </row>
    <row r="2641" spans="1:23" x14ac:dyDescent="0.35">
      <c r="A2641">
        <v>667829</v>
      </c>
      <c r="B2641" t="s">
        <v>35804</v>
      </c>
      <c r="C2641" t="str">
        <f>"9780415548847"</f>
        <v>9780415548847</v>
      </c>
      <c r="D2641" t="str">
        <f>"9780203838945"</f>
        <v>9780203838945</v>
      </c>
      <c r="E2641" t="s">
        <v>26010</v>
      </c>
      <c r="F2641" t="s">
        <v>35</v>
      </c>
      <c r="G2641" t="s">
        <v>22174</v>
      </c>
      <c r="H2641" t="s">
        <v>26011</v>
      </c>
      <c r="I2641" s="26">
        <v>40490</v>
      </c>
      <c r="J2641">
        <v>2011</v>
      </c>
      <c r="K2641" t="s">
        <v>26012</v>
      </c>
      <c r="L2641">
        <v>225</v>
      </c>
      <c r="M2641" t="s">
        <v>35805</v>
      </c>
      <c r="N2641">
        <v>1</v>
      </c>
      <c r="Q2641" t="s">
        <v>35806</v>
      </c>
      <c r="R2641" t="s">
        <v>35807</v>
      </c>
      <c r="S2641" t="s">
        <v>9725</v>
      </c>
      <c r="T2641" t="s">
        <v>30</v>
      </c>
      <c r="U2641" t="s">
        <v>337</v>
      </c>
      <c r="W2641" t="s">
        <v>26009</v>
      </c>
    </row>
    <row r="2642" spans="1:23" x14ac:dyDescent="0.35">
      <c r="A2642">
        <v>667847</v>
      </c>
      <c r="B2642" t="s">
        <v>35808</v>
      </c>
      <c r="C2642" t="str">
        <f>"9780415480758"</f>
        <v>9780415480758</v>
      </c>
      <c r="D2642" t="str">
        <f>"9780203839478"</f>
        <v>9780203839478</v>
      </c>
      <c r="E2642" t="s">
        <v>26010</v>
      </c>
      <c r="F2642" t="s">
        <v>35</v>
      </c>
      <c r="G2642" t="s">
        <v>22174</v>
      </c>
      <c r="H2642" t="s">
        <v>26011</v>
      </c>
      <c r="I2642" s="26">
        <v>40490</v>
      </c>
      <c r="J2642">
        <v>2011</v>
      </c>
      <c r="K2642" t="s">
        <v>26012</v>
      </c>
      <c r="L2642">
        <v>179</v>
      </c>
      <c r="M2642" t="s">
        <v>35809</v>
      </c>
      <c r="N2642">
        <v>1</v>
      </c>
      <c r="Q2642" t="s">
        <v>35810</v>
      </c>
      <c r="R2642">
        <v>372.21</v>
      </c>
      <c r="S2642" t="s">
        <v>9740</v>
      </c>
      <c r="T2642" t="s">
        <v>30</v>
      </c>
      <c r="U2642" t="s">
        <v>337</v>
      </c>
      <c r="W2642" t="s">
        <v>26009</v>
      </c>
    </row>
    <row r="2643" spans="1:23" x14ac:dyDescent="0.35">
      <c r="A2643">
        <v>667866</v>
      </c>
      <c r="B2643" t="s">
        <v>35811</v>
      </c>
      <c r="C2643" t="str">
        <f>"9781848720060"</f>
        <v>9781848720060</v>
      </c>
      <c r="D2643" t="str">
        <f>"9780203843253"</f>
        <v>9780203843253</v>
      </c>
      <c r="E2643" t="s">
        <v>26010</v>
      </c>
      <c r="F2643" t="s">
        <v>35</v>
      </c>
      <c r="G2643" t="s">
        <v>22267</v>
      </c>
      <c r="H2643" t="s">
        <v>26011</v>
      </c>
      <c r="I2643" s="26">
        <v>40534</v>
      </c>
      <c r="J2643">
        <v>2010</v>
      </c>
      <c r="K2643" t="s">
        <v>660</v>
      </c>
      <c r="L2643">
        <v>285</v>
      </c>
      <c r="M2643" t="s">
        <v>35812</v>
      </c>
      <c r="N2643">
        <v>2</v>
      </c>
      <c r="O2643" t="s">
        <v>35813</v>
      </c>
      <c r="Q2643" t="s">
        <v>35814</v>
      </c>
      <c r="R2643">
        <v>617.71</v>
      </c>
      <c r="S2643" t="s">
        <v>9705</v>
      </c>
      <c r="T2643" t="s">
        <v>30</v>
      </c>
      <c r="U2643" t="s">
        <v>26040</v>
      </c>
      <c r="W2643" t="s">
        <v>26009</v>
      </c>
    </row>
    <row r="2644" spans="1:23" x14ac:dyDescent="0.35">
      <c r="A2644">
        <v>667873</v>
      </c>
      <c r="B2644" t="s">
        <v>35815</v>
      </c>
      <c r="C2644" t="str">
        <f>"9780415493864"</f>
        <v>9780415493864</v>
      </c>
      <c r="D2644" t="str">
        <f>"9780203840603"</f>
        <v>9780203840603</v>
      </c>
      <c r="E2644" t="s">
        <v>26010</v>
      </c>
      <c r="F2644" t="s">
        <v>35</v>
      </c>
      <c r="G2644" t="s">
        <v>22174</v>
      </c>
      <c r="H2644" t="s">
        <v>26011</v>
      </c>
      <c r="I2644" s="26">
        <v>40512</v>
      </c>
      <c r="J2644">
        <v>2011</v>
      </c>
      <c r="K2644" t="s">
        <v>26012</v>
      </c>
      <c r="L2644">
        <v>533</v>
      </c>
      <c r="M2644" t="s">
        <v>35816</v>
      </c>
      <c r="N2644">
        <v>1</v>
      </c>
      <c r="Q2644" t="s">
        <v>35817</v>
      </c>
      <c r="R2644" t="s">
        <v>35818</v>
      </c>
      <c r="S2644" t="s">
        <v>6850</v>
      </c>
      <c r="T2644" t="s">
        <v>30</v>
      </c>
      <c r="U2644" t="s">
        <v>26094</v>
      </c>
      <c r="W2644" t="s">
        <v>26009</v>
      </c>
    </row>
    <row r="2645" spans="1:23" x14ac:dyDescent="0.35">
      <c r="A2645">
        <v>667888</v>
      </c>
      <c r="B2645" t="s">
        <v>35819</v>
      </c>
      <c r="C2645" t="str">
        <f>"9781841698762"</f>
        <v>9781841698762</v>
      </c>
      <c r="D2645" t="str">
        <f>"9780203833704"</f>
        <v>9780203833704</v>
      </c>
      <c r="E2645" t="s">
        <v>26010</v>
      </c>
      <c r="F2645" t="s">
        <v>35</v>
      </c>
      <c r="G2645" t="s">
        <v>22267</v>
      </c>
      <c r="H2645" t="s">
        <v>26011</v>
      </c>
      <c r="I2645" s="26">
        <v>40568</v>
      </c>
      <c r="J2645">
        <v>2011</v>
      </c>
      <c r="K2645" t="s">
        <v>660</v>
      </c>
      <c r="L2645">
        <v>191</v>
      </c>
      <c r="M2645" t="s">
        <v>35820</v>
      </c>
      <c r="N2645">
        <v>1</v>
      </c>
      <c r="O2645" t="s">
        <v>35821</v>
      </c>
      <c r="Q2645" t="s">
        <v>35822</v>
      </c>
      <c r="R2645">
        <v>155.5136</v>
      </c>
      <c r="S2645" t="s">
        <v>8095</v>
      </c>
      <c r="T2645" t="s">
        <v>30</v>
      </c>
      <c r="U2645" t="s">
        <v>46</v>
      </c>
      <c r="W2645" t="s">
        <v>26159</v>
      </c>
    </row>
    <row r="2646" spans="1:23" x14ac:dyDescent="0.35">
      <c r="A2646">
        <v>667899</v>
      </c>
      <c r="B2646" t="s">
        <v>9807</v>
      </c>
      <c r="C2646" t="str">
        <f>"9780415405256"</f>
        <v>9780415405256</v>
      </c>
      <c r="D2646" t="str">
        <f>"9780203835678"</f>
        <v>9780203835678</v>
      </c>
      <c r="E2646" t="s">
        <v>26010</v>
      </c>
      <c r="F2646" t="s">
        <v>35</v>
      </c>
      <c r="G2646" t="s">
        <v>22174</v>
      </c>
      <c r="H2646" t="s">
        <v>26011</v>
      </c>
      <c r="I2646" s="26">
        <v>40564</v>
      </c>
      <c r="J2646">
        <v>2011</v>
      </c>
      <c r="K2646" t="s">
        <v>26012</v>
      </c>
      <c r="L2646">
        <v>326</v>
      </c>
      <c r="M2646" t="s">
        <v>35823</v>
      </c>
      <c r="N2646">
        <v>1</v>
      </c>
      <c r="O2646" t="s">
        <v>35824</v>
      </c>
      <c r="Q2646" t="s">
        <v>35825</v>
      </c>
      <c r="R2646">
        <v>126</v>
      </c>
      <c r="S2646" t="s">
        <v>9808</v>
      </c>
      <c r="T2646" t="s">
        <v>30</v>
      </c>
      <c r="U2646" t="s">
        <v>152</v>
      </c>
      <c r="W2646" t="s">
        <v>26009</v>
      </c>
    </row>
    <row r="2647" spans="1:23" x14ac:dyDescent="0.35">
      <c r="A2647">
        <v>667930</v>
      </c>
      <c r="B2647" t="s">
        <v>35826</v>
      </c>
      <c r="C2647" t="str">
        <f>"9781848720411"</f>
        <v>9781848720411</v>
      </c>
      <c r="D2647" t="str">
        <f>"9780203839706"</f>
        <v>9780203839706</v>
      </c>
      <c r="E2647" t="s">
        <v>26010</v>
      </c>
      <c r="F2647" t="s">
        <v>35</v>
      </c>
      <c r="G2647" t="s">
        <v>22267</v>
      </c>
      <c r="H2647" t="s">
        <v>26011</v>
      </c>
      <c r="I2647" s="26">
        <v>40568</v>
      </c>
      <c r="J2647">
        <v>2011</v>
      </c>
      <c r="K2647" t="s">
        <v>660</v>
      </c>
      <c r="L2647">
        <v>305</v>
      </c>
      <c r="M2647" t="s">
        <v>35827</v>
      </c>
      <c r="N2647">
        <v>1</v>
      </c>
      <c r="Q2647" t="s">
        <v>35828</v>
      </c>
      <c r="R2647">
        <v>616.85505999999998</v>
      </c>
      <c r="S2647" t="s">
        <v>10030</v>
      </c>
      <c r="T2647" t="s">
        <v>30</v>
      </c>
      <c r="U2647" t="s">
        <v>26040</v>
      </c>
      <c r="W2647" t="s">
        <v>26009</v>
      </c>
    </row>
    <row r="2648" spans="1:23" x14ac:dyDescent="0.35">
      <c r="A2648">
        <v>668169</v>
      </c>
      <c r="B2648" t="s">
        <v>9235</v>
      </c>
      <c r="C2648" t="str">
        <f>"9780415592581"</f>
        <v>9780415592581</v>
      </c>
      <c r="D2648" t="str">
        <f>"9780203815762"</f>
        <v>9780203815762</v>
      </c>
      <c r="E2648" t="s">
        <v>26010</v>
      </c>
      <c r="F2648" t="s">
        <v>35</v>
      </c>
      <c r="G2648" t="s">
        <v>22174</v>
      </c>
      <c r="H2648" t="s">
        <v>26011</v>
      </c>
      <c r="I2648" s="26">
        <v>40612</v>
      </c>
      <c r="J2648">
        <v>2011</v>
      </c>
      <c r="K2648" t="s">
        <v>26012</v>
      </c>
      <c r="L2648">
        <v>573</v>
      </c>
      <c r="M2648" t="s">
        <v>35829</v>
      </c>
      <c r="N2648">
        <v>1</v>
      </c>
      <c r="Q2648" t="s">
        <v>35830</v>
      </c>
      <c r="R2648">
        <v>150.19509199999999</v>
      </c>
      <c r="S2648" t="s">
        <v>9236</v>
      </c>
      <c r="T2648" t="s">
        <v>30</v>
      </c>
      <c r="U2648" t="s">
        <v>26019</v>
      </c>
      <c r="W2648" t="s">
        <v>26009</v>
      </c>
    </row>
    <row r="2649" spans="1:23" x14ac:dyDescent="0.35">
      <c r="A2649">
        <v>668174</v>
      </c>
      <c r="B2649" t="s">
        <v>35831</v>
      </c>
      <c r="C2649" t="str">
        <f>"9780415572354"</f>
        <v>9780415572354</v>
      </c>
      <c r="D2649" t="str">
        <f>"9780203832059"</f>
        <v>9780203832059</v>
      </c>
      <c r="E2649" t="s">
        <v>26010</v>
      </c>
      <c r="F2649" t="s">
        <v>35</v>
      </c>
      <c r="G2649" t="s">
        <v>22174</v>
      </c>
      <c r="H2649" t="s">
        <v>26011</v>
      </c>
      <c r="I2649" s="26">
        <v>40575</v>
      </c>
      <c r="J2649">
        <v>2011</v>
      </c>
      <c r="K2649" t="s">
        <v>26012</v>
      </c>
      <c r="L2649">
        <v>191</v>
      </c>
      <c r="M2649" t="s">
        <v>35832</v>
      </c>
      <c r="N2649">
        <v>1</v>
      </c>
      <c r="O2649" t="s">
        <v>35833</v>
      </c>
      <c r="Q2649" t="s">
        <v>35834</v>
      </c>
      <c r="R2649">
        <v>341.50941</v>
      </c>
      <c r="S2649" t="s">
        <v>8332</v>
      </c>
      <c r="T2649" t="s">
        <v>30</v>
      </c>
      <c r="U2649" t="s">
        <v>33604</v>
      </c>
      <c r="W2649" t="s">
        <v>26009</v>
      </c>
    </row>
    <row r="2650" spans="1:23" x14ac:dyDescent="0.35">
      <c r="A2650">
        <v>668202</v>
      </c>
      <c r="B2650" t="s">
        <v>9871</v>
      </c>
      <c r="C2650" t="str">
        <f>"9780415615761"</f>
        <v>9780415615761</v>
      </c>
      <c r="D2650" t="str">
        <f>"9780203829547"</f>
        <v>9780203829547</v>
      </c>
      <c r="E2650" t="s">
        <v>26010</v>
      </c>
      <c r="F2650" t="s">
        <v>35</v>
      </c>
      <c r="G2650" t="s">
        <v>22174</v>
      </c>
      <c r="H2650" t="s">
        <v>26011</v>
      </c>
      <c r="I2650" s="26">
        <v>40599</v>
      </c>
      <c r="J2650">
        <v>1971</v>
      </c>
      <c r="K2650" t="s">
        <v>26012</v>
      </c>
      <c r="L2650">
        <v>441</v>
      </c>
      <c r="M2650" t="s">
        <v>35835</v>
      </c>
      <c r="N2650">
        <v>1</v>
      </c>
      <c r="O2650" t="s">
        <v>33661</v>
      </c>
      <c r="Q2650" t="s">
        <v>35836</v>
      </c>
      <c r="R2650">
        <v>302.13</v>
      </c>
      <c r="S2650" t="s">
        <v>35837</v>
      </c>
      <c r="T2650" t="s">
        <v>30</v>
      </c>
      <c r="U2650" t="s">
        <v>26170</v>
      </c>
      <c r="W2650" t="s">
        <v>26009</v>
      </c>
    </row>
    <row r="2651" spans="1:23" x14ac:dyDescent="0.35">
      <c r="A2651">
        <v>668269</v>
      </c>
      <c r="B2651" t="s">
        <v>9441</v>
      </c>
      <c r="C2651" t="str">
        <f>"9780415586269"</f>
        <v>9780415586269</v>
      </c>
      <c r="D2651" t="str">
        <f>"9780203835173"</f>
        <v>9780203835173</v>
      </c>
      <c r="E2651" t="s">
        <v>26010</v>
      </c>
      <c r="F2651" t="s">
        <v>35</v>
      </c>
      <c r="G2651" t="s">
        <v>22174</v>
      </c>
      <c r="H2651" t="s">
        <v>26011</v>
      </c>
      <c r="I2651" s="26">
        <v>40557</v>
      </c>
      <c r="J2651">
        <v>2011</v>
      </c>
      <c r="K2651" t="s">
        <v>26012</v>
      </c>
      <c r="L2651">
        <v>177</v>
      </c>
      <c r="M2651" t="s">
        <v>35838</v>
      </c>
      <c r="N2651">
        <v>1</v>
      </c>
      <c r="O2651" t="s">
        <v>35839</v>
      </c>
      <c r="Q2651" t="s">
        <v>35840</v>
      </c>
      <c r="R2651">
        <v>303.66000000000003</v>
      </c>
      <c r="S2651" t="s">
        <v>9442</v>
      </c>
      <c r="T2651" t="s">
        <v>30</v>
      </c>
      <c r="U2651" t="s">
        <v>30336</v>
      </c>
      <c r="W2651" t="s">
        <v>26009</v>
      </c>
    </row>
    <row r="2652" spans="1:23" x14ac:dyDescent="0.35">
      <c r="A2652">
        <v>668304</v>
      </c>
      <c r="B2652" t="s">
        <v>7875</v>
      </c>
      <c r="C2652" t="str">
        <f>"9780415877435"</f>
        <v>9780415877435</v>
      </c>
      <c r="D2652" t="str">
        <f>"9780203834749"</f>
        <v>9780203834749</v>
      </c>
      <c r="E2652" t="s">
        <v>26010</v>
      </c>
      <c r="F2652" t="s">
        <v>35</v>
      </c>
      <c r="G2652" t="s">
        <v>22174</v>
      </c>
      <c r="H2652" t="s">
        <v>26004</v>
      </c>
      <c r="I2652" s="26">
        <v>40549</v>
      </c>
      <c r="J2652">
        <v>2011</v>
      </c>
      <c r="K2652" t="s">
        <v>26012</v>
      </c>
      <c r="L2652">
        <v>408</v>
      </c>
      <c r="M2652" t="s">
        <v>35841</v>
      </c>
      <c r="N2652">
        <v>1</v>
      </c>
      <c r="Q2652" t="s">
        <v>35842</v>
      </c>
      <c r="R2652">
        <v>302.2</v>
      </c>
      <c r="S2652" t="s">
        <v>27675</v>
      </c>
      <c r="T2652" t="s">
        <v>30</v>
      </c>
      <c r="U2652" t="s">
        <v>26044</v>
      </c>
      <c r="W2652" t="s">
        <v>26009</v>
      </c>
    </row>
    <row r="2653" spans="1:23" x14ac:dyDescent="0.35">
      <c r="A2653">
        <v>668316</v>
      </c>
      <c r="B2653" t="s">
        <v>10122</v>
      </c>
      <c r="C2653" t="str">
        <f>"9781848728530"</f>
        <v>9781848728530</v>
      </c>
      <c r="D2653" t="str">
        <f>"9780203847305"</f>
        <v>9780203847305</v>
      </c>
      <c r="E2653" t="s">
        <v>26010</v>
      </c>
      <c r="F2653" t="s">
        <v>35</v>
      </c>
      <c r="G2653" t="s">
        <v>22267</v>
      </c>
      <c r="H2653" t="s">
        <v>26011</v>
      </c>
      <c r="I2653" s="26">
        <v>40205</v>
      </c>
      <c r="J2653">
        <v>2010</v>
      </c>
      <c r="K2653" t="s">
        <v>660</v>
      </c>
      <c r="L2653">
        <v>407</v>
      </c>
      <c r="M2653" t="s">
        <v>35843</v>
      </c>
      <c r="N2653">
        <v>1</v>
      </c>
      <c r="O2653" t="s">
        <v>35844</v>
      </c>
      <c r="Q2653" t="s">
        <v>35845</v>
      </c>
      <c r="R2653">
        <v>152.13999999999999</v>
      </c>
      <c r="S2653" t="s">
        <v>10123</v>
      </c>
      <c r="T2653" t="s">
        <v>30</v>
      </c>
      <c r="U2653" t="s">
        <v>46</v>
      </c>
      <c r="W2653" t="s">
        <v>26009</v>
      </c>
    </row>
    <row r="2654" spans="1:23" x14ac:dyDescent="0.35">
      <c r="A2654">
        <v>668318</v>
      </c>
      <c r="B2654" t="s">
        <v>35846</v>
      </c>
      <c r="C2654" t="str">
        <f>"9781848728981"</f>
        <v>9781848728981</v>
      </c>
      <c r="D2654" t="str">
        <f>"9780203848036"</f>
        <v>9780203848036</v>
      </c>
      <c r="E2654" t="s">
        <v>26010</v>
      </c>
      <c r="F2654" t="s">
        <v>35</v>
      </c>
      <c r="G2654" t="s">
        <v>22267</v>
      </c>
      <c r="H2654" t="s">
        <v>26011</v>
      </c>
      <c r="I2654" s="26">
        <v>40317</v>
      </c>
      <c r="J2654">
        <v>2010</v>
      </c>
      <c r="K2654" t="s">
        <v>660</v>
      </c>
      <c r="L2654">
        <v>380</v>
      </c>
      <c r="M2654" t="s">
        <v>35847</v>
      </c>
      <c r="N2654">
        <v>1</v>
      </c>
      <c r="Q2654" t="s">
        <v>35848</v>
      </c>
      <c r="R2654" t="s">
        <v>35849</v>
      </c>
      <c r="S2654" t="s">
        <v>8515</v>
      </c>
      <c r="T2654" t="s">
        <v>30</v>
      </c>
      <c r="U2654" t="s">
        <v>337</v>
      </c>
      <c r="W2654" t="s">
        <v>26009</v>
      </c>
    </row>
    <row r="2655" spans="1:23" x14ac:dyDescent="0.35">
      <c r="A2655">
        <v>668319</v>
      </c>
      <c r="B2655" t="s">
        <v>35850</v>
      </c>
      <c r="C2655" t="str">
        <f>"9780805860122"</f>
        <v>9780805860122</v>
      </c>
      <c r="D2655" t="str">
        <f>"9780203847992"</f>
        <v>9780203847992</v>
      </c>
      <c r="E2655" t="s">
        <v>26010</v>
      </c>
      <c r="F2655" t="s">
        <v>35</v>
      </c>
      <c r="G2655" t="s">
        <v>22190</v>
      </c>
      <c r="H2655" t="s">
        <v>26004</v>
      </c>
      <c r="I2655" s="26">
        <v>40443</v>
      </c>
      <c r="J2655">
        <v>2010</v>
      </c>
      <c r="K2655" t="s">
        <v>660</v>
      </c>
      <c r="L2655">
        <v>409</v>
      </c>
      <c r="M2655" t="s">
        <v>35851</v>
      </c>
      <c r="N2655">
        <v>1</v>
      </c>
      <c r="Q2655" t="s">
        <v>35852</v>
      </c>
      <c r="R2655">
        <v>155.69999999999999</v>
      </c>
      <c r="S2655" t="s">
        <v>7433</v>
      </c>
      <c r="T2655" t="s">
        <v>30</v>
      </c>
      <c r="U2655" t="s">
        <v>46</v>
      </c>
      <c r="W2655" t="s">
        <v>26009</v>
      </c>
    </row>
    <row r="2656" spans="1:23" x14ac:dyDescent="0.35">
      <c r="A2656">
        <v>668320</v>
      </c>
      <c r="B2656" t="s">
        <v>9691</v>
      </c>
      <c r="C2656" t="str">
        <f>"9781848729162"</f>
        <v>9781848729162</v>
      </c>
      <c r="D2656" t="str">
        <f>"9780203847404"</f>
        <v>9780203847404</v>
      </c>
      <c r="E2656" t="s">
        <v>26010</v>
      </c>
      <c r="F2656" t="s">
        <v>35</v>
      </c>
      <c r="G2656" t="s">
        <v>22267</v>
      </c>
      <c r="H2656" t="s">
        <v>26011</v>
      </c>
      <c r="I2656" s="26">
        <v>40491</v>
      </c>
      <c r="J2656">
        <v>2011</v>
      </c>
      <c r="K2656" t="s">
        <v>660</v>
      </c>
      <c r="L2656">
        <v>405</v>
      </c>
      <c r="M2656" t="s">
        <v>35853</v>
      </c>
      <c r="N2656">
        <v>1</v>
      </c>
      <c r="Q2656" t="s">
        <v>35854</v>
      </c>
      <c r="R2656">
        <v>616.85</v>
      </c>
      <c r="S2656" t="s">
        <v>9692</v>
      </c>
      <c r="T2656" t="s">
        <v>30</v>
      </c>
      <c r="U2656" t="s">
        <v>26040</v>
      </c>
      <c r="W2656" t="s">
        <v>26009</v>
      </c>
    </row>
    <row r="2657" spans="1:23" x14ac:dyDescent="0.35">
      <c r="A2657">
        <v>668321</v>
      </c>
      <c r="B2657" t="s">
        <v>35855</v>
      </c>
      <c r="C2657" t="str">
        <f>"9780415878951"</f>
        <v>9780415878951</v>
      </c>
      <c r="D2657" t="str">
        <f>"9780203846445"</f>
        <v>9780203846445</v>
      </c>
      <c r="E2657" t="s">
        <v>26010</v>
      </c>
      <c r="F2657" t="s">
        <v>35</v>
      </c>
      <c r="G2657" t="s">
        <v>22174</v>
      </c>
      <c r="H2657" t="s">
        <v>26011</v>
      </c>
      <c r="I2657" s="26">
        <v>40392</v>
      </c>
      <c r="J2657">
        <v>2010</v>
      </c>
      <c r="K2657" t="s">
        <v>26012</v>
      </c>
      <c r="L2657">
        <v>232</v>
      </c>
      <c r="M2657" t="s">
        <v>35856</v>
      </c>
      <c r="N2657">
        <v>1</v>
      </c>
      <c r="Q2657" t="s">
        <v>35857</v>
      </c>
      <c r="R2657">
        <v>616.85270000000003</v>
      </c>
      <c r="S2657" t="s">
        <v>8115</v>
      </c>
      <c r="T2657" t="s">
        <v>30</v>
      </c>
      <c r="U2657" t="s">
        <v>26116</v>
      </c>
      <c r="W2657" t="s">
        <v>26009</v>
      </c>
    </row>
    <row r="2658" spans="1:23" x14ac:dyDescent="0.35">
      <c r="A2658">
        <v>668323</v>
      </c>
      <c r="B2658" t="s">
        <v>35858</v>
      </c>
      <c r="C2658" t="str">
        <f>"9781848729117"</f>
        <v>9781848729117</v>
      </c>
      <c r="D2658" t="str">
        <f>"9780203847985"</f>
        <v>9780203847985</v>
      </c>
      <c r="E2658" t="s">
        <v>26010</v>
      </c>
      <c r="F2658" t="s">
        <v>35</v>
      </c>
      <c r="G2658" t="s">
        <v>22267</v>
      </c>
      <c r="H2658" t="s">
        <v>26011</v>
      </c>
      <c r="I2658" s="26">
        <v>40443</v>
      </c>
      <c r="J2658">
        <v>2011</v>
      </c>
      <c r="K2658" t="s">
        <v>660</v>
      </c>
      <c r="L2658">
        <v>433</v>
      </c>
      <c r="M2658" t="s">
        <v>35859</v>
      </c>
      <c r="N2658">
        <v>1</v>
      </c>
      <c r="O2658" t="s">
        <v>35860</v>
      </c>
      <c r="Q2658" t="s">
        <v>35861</v>
      </c>
      <c r="R2658" t="s">
        <v>35862</v>
      </c>
      <c r="S2658" t="s">
        <v>8811</v>
      </c>
      <c r="T2658" t="s">
        <v>30</v>
      </c>
      <c r="U2658" t="s">
        <v>35863</v>
      </c>
      <c r="W2658" t="s">
        <v>26009</v>
      </c>
    </row>
    <row r="2659" spans="1:23" x14ac:dyDescent="0.35">
      <c r="A2659">
        <v>668324</v>
      </c>
      <c r="B2659" t="s">
        <v>35864</v>
      </c>
      <c r="C2659" t="str">
        <f>"9781848729100"</f>
        <v>9781848729100</v>
      </c>
      <c r="D2659" t="str">
        <f>"9780203848005"</f>
        <v>9780203848005</v>
      </c>
      <c r="E2659" t="s">
        <v>26010</v>
      </c>
      <c r="F2659" t="s">
        <v>35</v>
      </c>
      <c r="G2659" t="s">
        <v>22174</v>
      </c>
      <c r="H2659" t="s">
        <v>26004</v>
      </c>
      <c r="I2659" s="26">
        <v>40428</v>
      </c>
      <c r="J2659">
        <v>2011</v>
      </c>
      <c r="K2659" t="s">
        <v>660</v>
      </c>
      <c r="L2659">
        <v>844</v>
      </c>
      <c r="M2659" t="s">
        <v>35865</v>
      </c>
      <c r="N2659">
        <v>1</v>
      </c>
      <c r="O2659" t="s">
        <v>35866</v>
      </c>
      <c r="Q2659" t="s">
        <v>35867</v>
      </c>
      <c r="R2659">
        <v>616.89139999999998</v>
      </c>
      <c r="S2659" t="s">
        <v>35868</v>
      </c>
      <c r="T2659" t="s">
        <v>30</v>
      </c>
      <c r="U2659" t="s">
        <v>26019</v>
      </c>
      <c r="W2659" t="s">
        <v>26009</v>
      </c>
    </row>
    <row r="2660" spans="1:23" x14ac:dyDescent="0.35">
      <c r="A2660">
        <v>668325</v>
      </c>
      <c r="B2660" t="s">
        <v>35869</v>
      </c>
      <c r="C2660" t="str">
        <f>"9781848728677"</f>
        <v>9781848728677</v>
      </c>
      <c r="D2660" t="str">
        <f>"9780203848012"</f>
        <v>9780203848012</v>
      </c>
      <c r="E2660" t="s">
        <v>26010</v>
      </c>
      <c r="F2660" t="s">
        <v>35</v>
      </c>
      <c r="G2660" t="s">
        <v>22267</v>
      </c>
      <c r="H2660" t="s">
        <v>26011</v>
      </c>
      <c r="I2660" s="26">
        <v>40303</v>
      </c>
      <c r="J2660">
        <v>2010</v>
      </c>
      <c r="K2660" t="s">
        <v>660</v>
      </c>
      <c r="L2660">
        <v>398</v>
      </c>
      <c r="M2660" t="s">
        <v>35870</v>
      </c>
      <c r="N2660">
        <v>1</v>
      </c>
      <c r="O2660" t="s">
        <v>35871</v>
      </c>
      <c r="Q2660" t="s">
        <v>35872</v>
      </c>
      <c r="R2660">
        <v>302.09199999999998</v>
      </c>
      <c r="S2660" t="s">
        <v>9777</v>
      </c>
      <c r="T2660" t="s">
        <v>30</v>
      </c>
      <c r="U2660" t="s">
        <v>26044</v>
      </c>
      <c r="W2660" t="s">
        <v>26009</v>
      </c>
    </row>
    <row r="2661" spans="1:23" x14ac:dyDescent="0.35">
      <c r="A2661">
        <v>668326</v>
      </c>
      <c r="B2661" t="s">
        <v>35873</v>
      </c>
      <c r="C2661" t="str">
        <f>"9780415883221"</f>
        <v>9780415883221</v>
      </c>
      <c r="D2661" t="str">
        <f>"9780203844748"</f>
        <v>9780203844748</v>
      </c>
      <c r="E2661" t="s">
        <v>26010</v>
      </c>
      <c r="F2661" t="s">
        <v>35</v>
      </c>
      <c r="G2661" t="s">
        <v>22174</v>
      </c>
      <c r="H2661" t="s">
        <v>26011</v>
      </c>
      <c r="I2661" s="26">
        <v>40414</v>
      </c>
      <c r="J2661">
        <v>2011</v>
      </c>
      <c r="K2661" t="s">
        <v>26012</v>
      </c>
      <c r="L2661">
        <v>157</v>
      </c>
      <c r="M2661" t="s">
        <v>35874</v>
      </c>
      <c r="N2661">
        <v>1</v>
      </c>
      <c r="O2661" t="s">
        <v>30090</v>
      </c>
      <c r="Q2661" t="s">
        <v>35875</v>
      </c>
      <c r="R2661">
        <v>153.80000000000001</v>
      </c>
      <c r="S2661" t="s">
        <v>8633</v>
      </c>
      <c r="T2661" t="s">
        <v>30</v>
      </c>
      <c r="U2661" t="s">
        <v>46</v>
      </c>
      <c r="W2661" t="s">
        <v>26009</v>
      </c>
    </row>
    <row r="2662" spans="1:23" x14ac:dyDescent="0.35">
      <c r="A2662">
        <v>668327</v>
      </c>
      <c r="B2662" t="s">
        <v>35876</v>
      </c>
      <c r="C2662" t="str">
        <f>"9780415992138"</f>
        <v>9780415992138</v>
      </c>
      <c r="D2662" t="str">
        <f>"9780203846407"</f>
        <v>9780203846407</v>
      </c>
      <c r="E2662" t="s">
        <v>26010</v>
      </c>
      <c r="F2662" t="s">
        <v>35</v>
      </c>
      <c r="G2662" t="s">
        <v>22174</v>
      </c>
      <c r="H2662" t="s">
        <v>26011</v>
      </c>
      <c r="I2662" s="26">
        <v>40393</v>
      </c>
      <c r="J2662">
        <v>2011</v>
      </c>
      <c r="K2662" t="s">
        <v>26012</v>
      </c>
      <c r="L2662">
        <v>209</v>
      </c>
      <c r="M2662" t="s">
        <v>35877</v>
      </c>
      <c r="N2662">
        <v>1</v>
      </c>
      <c r="O2662" t="s">
        <v>35878</v>
      </c>
      <c r="Q2662" t="s">
        <v>35879</v>
      </c>
      <c r="R2662">
        <v>362.29199999999997</v>
      </c>
      <c r="S2662" t="s">
        <v>8375</v>
      </c>
      <c r="T2662" t="s">
        <v>30</v>
      </c>
      <c r="U2662" t="s">
        <v>26094</v>
      </c>
      <c r="W2662" t="s">
        <v>26009</v>
      </c>
    </row>
    <row r="2663" spans="1:23" x14ac:dyDescent="0.35">
      <c r="A2663">
        <v>668328</v>
      </c>
      <c r="B2663" t="s">
        <v>35880</v>
      </c>
      <c r="C2663" t="str">
        <f>"9780415883412"</f>
        <v>9780415883412</v>
      </c>
      <c r="D2663" t="str">
        <f>"9780203844489"</f>
        <v>9780203844489</v>
      </c>
      <c r="E2663" t="s">
        <v>26010</v>
      </c>
      <c r="F2663" t="s">
        <v>35</v>
      </c>
      <c r="G2663" t="s">
        <v>22174</v>
      </c>
      <c r="H2663" t="s">
        <v>26011</v>
      </c>
      <c r="I2663" s="26">
        <v>40520</v>
      </c>
      <c r="J2663">
        <v>2011</v>
      </c>
      <c r="K2663" t="s">
        <v>26012</v>
      </c>
      <c r="L2663">
        <v>281</v>
      </c>
      <c r="M2663" t="s">
        <v>35881</v>
      </c>
      <c r="N2663">
        <v>1</v>
      </c>
      <c r="Q2663" t="s">
        <v>35882</v>
      </c>
      <c r="R2663">
        <v>154.63</v>
      </c>
      <c r="S2663" t="s">
        <v>7836</v>
      </c>
      <c r="T2663" t="s">
        <v>30</v>
      </c>
      <c r="U2663" t="s">
        <v>46</v>
      </c>
      <c r="W2663" t="s">
        <v>26009</v>
      </c>
    </row>
    <row r="2664" spans="1:23" x14ac:dyDescent="0.35">
      <c r="A2664">
        <v>668334</v>
      </c>
      <c r="B2664" t="s">
        <v>35883</v>
      </c>
      <c r="C2664" t="str">
        <f>"9781848728998"</f>
        <v>9781848728998</v>
      </c>
      <c r="D2664" t="str">
        <f>"9780203842553"</f>
        <v>9780203842553</v>
      </c>
      <c r="E2664" t="s">
        <v>26010</v>
      </c>
      <c r="F2664" t="s">
        <v>35</v>
      </c>
      <c r="G2664" t="s">
        <v>22267</v>
      </c>
      <c r="H2664" t="s">
        <v>26011</v>
      </c>
      <c r="I2664" s="26">
        <v>40490</v>
      </c>
      <c r="J2664">
        <v>2011</v>
      </c>
      <c r="K2664" t="s">
        <v>660</v>
      </c>
      <c r="L2664">
        <v>289</v>
      </c>
      <c r="M2664" t="s">
        <v>35884</v>
      </c>
      <c r="N2664">
        <v>1</v>
      </c>
      <c r="Q2664" t="s">
        <v>35885</v>
      </c>
      <c r="R2664">
        <v>303.32</v>
      </c>
      <c r="S2664" t="s">
        <v>8551</v>
      </c>
      <c r="T2664" t="s">
        <v>30</v>
      </c>
      <c r="U2664" t="s">
        <v>26044</v>
      </c>
      <c r="W2664" t="s">
        <v>26009</v>
      </c>
    </row>
    <row r="2665" spans="1:23" x14ac:dyDescent="0.35">
      <c r="A2665">
        <v>668335</v>
      </c>
      <c r="B2665" t="s">
        <v>35886</v>
      </c>
      <c r="C2665" t="str">
        <f>"9780415800464"</f>
        <v>9780415800464</v>
      </c>
      <c r="D2665" t="str">
        <f>"9780203842348"</f>
        <v>9780203842348</v>
      </c>
      <c r="E2665" t="s">
        <v>26010</v>
      </c>
      <c r="F2665" t="s">
        <v>35</v>
      </c>
      <c r="G2665" t="s">
        <v>26201</v>
      </c>
      <c r="H2665" t="s">
        <v>26004</v>
      </c>
      <c r="I2665" s="26">
        <v>40485</v>
      </c>
      <c r="J2665">
        <v>2011</v>
      </c>
      <c r="K2665" t="s">
        <v>26012</v>
      </c>
      <c r="L2665">
        <v>431</v>
      </c>
      <c r="M2665" t="s">
        <v>35887</v>
      </c>
      <c r="N2665">
        <v>1</v>
      </c>
      <c r="Q2665" t="s">
        <v>35888</v>
      </c>
      <c r="R2665" t="s">
        <v>28066</v>
      </c>
      <c r="S2665" t="s">
        <v>7734</v>
      </c>
      <c r="T2665" t="s">
        <v>30</v>
      </c>
      <c r="U2665" t="s">
        <v>26040</v>
      </c>
      <c r="W2665" t="s">
        <v>26009</v>
      </c>
    </row>
    <row r="2666" spans="1:23" x14ac:dyDescent="0.35">
      <c r="A2666">
        <v>668336</v>
      </c>
      <c r="B2666" t="s">
        <v>8884</v>
      </c>
      <c r="C2666" t="str">
        <f>"9780415878227"</f>
        <v>9780415878227</v>
      </c>
      <c r="D2666" t="str">
        <f>"9780203841624"</f>
        <v>9780203841624</v>
      </c>
      <c r="E2666" t="s">
        <v>26010</v>
      </c>
      <c r="F2666" t="s">
        <v>35</v>
      </c>
      <c r="G2666" t="s">
        <v>22174</v>
      </c>
      <c r="H2666" t="s">
        <v>26004</v>
      </c>
      <c r="I2666" s="26">
        <v>40443</v>
      </c>
      <c r="J2666">
        <v>2011</v>
      </c>
      <c r="K2666" t="s">
        <v>26012</v>
      </c>
      <c r="L2666">
        <v>348</v>
      </c>
      <c r="M2666" t="s">
        <v>35889</v>
      </c>
      <c r="N2666">
        <v>1</v>
      </c>
      <c r="Q2666" t="s">
        <v>35890</v>
      </c>
      <c r="R2666" t="s">
        <v>32445</v>
      </c>
      <c r="S2666" t="s">
        <v>8885</v>
      </c>
      <c r="T2666" t="s">
        <v>30</v>
      </c>
      <c r="U2666" t="s">
        <v>46</v>
      </c>
      <c r="W2666" t="s">
        <v>26009</v>
      </c>
    </row>
    <row r="2667" spans="1:23" x14ac:dyDescent="0.35">
      <c r="A2667">
        <v>668338</v>
      </c>
      <c r="B2667" t="s">
        <v>8728</v>
      </c>
      <c r="C2667" t="str">
        <f>"9780415876490"</f>
        <v>9780415876490</v>
      </c>
      <c r="D2667" t="str">
        <f>"9780203838334"</f>
        <v>9780203838334</v>
      </c>
      <c r="E2667" t="s">
        <v>26010</v>
      </c>
      <c r="F2667" t="s">
        <v>35</v>
      </c>
      <c r="G2667" t="s">
        <v>22174</v>
      </c>
      <c r="H2667" t="s">
        <v>26011</v>
      </c>
      <c r="I2667" s="26">
        <v>40500</v>
      </c>
      <c r="J2667">
        <v>2011</v>
      </c>
      <c r="K2667" t="s">
        <v>26012</v>
      </c>
      <c r="L2667">
        <v>197</v>
      </c>
      <c r="M2667" t="s">
        <v>26879</v>
      </c>
      <c r="N2667">
        <v>1</v>
      </c>
      <c r="Q2667" t="s">
        <v>35891</v>
      </c>
      <c r="R2667">
        <v>616.85852065100005</v>
      </c>
      <c r="S2667" t="s">
        <v>8729</v>
      </c>
      <c r="T2667" t="s">
        <v>30</v>
      </c>
      <c r="U2667" t="s">
        <v>26116</v>
      </c>
      <c r="W2667" t="s">
        <v>26009</v>
      </c>
    </row>
    <row r="2668" spans="1:23" x14ac:dyDescent="0.35">
      <c r="A2668">
        <v>668339</v>
      </c>
      <c r="B2668" t="s">
        <v>35892</v>
      </c>
      <c r="C2668" t="str">
        <f>"9781848728912"</f>
        <v>9781848728912</v>
      </c>
      <c r="D2668" t="str">
        <f>"9780203842539"</f>
        <v>9780203842539</v>
      </c>
      <c r="E2668" t="s">
        <v>26010</v>
      </c>
      <c r="F2668" t="s">
        <v>35</v>
      </c>
      <c r="G2668" t="s">
        <v>22267</v>
      </c>
      <c r="H2668" t="s">
        <v>26011</v>
      </c>
      <c r="I2668" s="26">
        <v>40501</v>
      </c>
      <c r="J2668">
        <v>2011</v>
      </c>
      <c r="K2668" t="s">
        <v>660</v>
      </c>
      <c r="L2668">
        <v>560</v>
      </c>
      <c r="M2668" t="s">
        <v>35893</v>
      </c>
      <c r="N2668">
        <v>1</v>
      </c>
      <c r="Q2668" t="s">
        <v>35894</v>
      </c>
      <c r="R2668" t="s">
        <v>26562</v>
      </c>
      <c r="S2668" t="s">
        <v>5208</v>
      </c>
      <c r="T2668" t="s">
        <v>30</v>
      </c>
      <c r="U2668" t="s">
        <v>46</v>
      </c>
      <c r="W2668" t="s">
        <v>26009</v>
      </c>
    </row>
    <row r="2669" spans="1:23" x14ac:dyDescent="0.35">
      <c r="A2669">
        <v>668341</v>
      </c>
      <c r="B2669" t="s">
        <v>9885</v>
      </c>
      <c r="C2669" t="str">
        <f>"9781841697543"</f>
        <v>9781841697543</v>
      </c>
      <c r="D2669" t="str">
        <f>"9780203833995"</f>
        <v>9780203833995</v>
      </c>
      <c r="E2669" t="s">
        <v>26010</v>
      </c>
      <c r="F2669" t="s">
        <v>35</v>
      </c>
      <c r="G2669" t="s">
        <v>22267</v>
      </c>
      <c r="H2669" t="s">
        <v>26011</v>
      </c>
      <c r="I2669" s="26">
        <v>40463</v>
      </c>
      <c r="J2669">
        <v>2011</v>
      </c>
      <c r="K2669" t="s">
        <v>660</v>
      </c>
      <c r="L2669">
        <v>293</v>
      </c>
      <c r="M2669" t="s">
        <v>27125</v>
      </c>
      <c r="N2669">
        <v>1</v>
      </c>
      <c r="O2669" t="s">
        <v>35895</v>
      </c>
      <c r="Q2669" t="s">
        <v>35896</v>
      </c>
      <c r="R2669">
        <v>153.80000000000001</v>
      </c>
      <c r="S2669" t="s">
        <v>9886</v>
      </c>
      <c r="T2669" t="s">
        <v>30</v>
      </c>
      <c r="U2669" t="s">
        <v>46</v>
      </c>
      <c r="W2669" t="s">
        <v>26009</v>
      </c>
    </row>
    <row r="2670" spans="1:23" x14ac:dyDescent="0.35">
      <c r="A2670">
        <v>668344</v>
      </c>
      <c r="B2670" t="s">
        <v>9600</v>
      </c>
      <c r="C2670" t="str">
        <f>"9781848729087"</f>
        <v>9781848729087</v>
      </c>
      <c r="D2670" t="str">
        <f>"9780203841303"</f>
        <v>9780203841303</v>
      </c>
      <c r="E2670" t="s">
        <v>26010</v>
      </c>
      <c r="F2670" t="s">
        <v>35</v>
      </c>
      <c r="G2670" t="s">
        <v>22267</v>
      </c>
      <c r="H2670" t="s">
        <v>26011</v>
      </c>
      <c r="I2670" s="26">
        <v>40317</v>
      </c>
      <c r="J2670">
        <v>2010</v>
      </c>
      <c r="K2670" t="s">
        <v>660</v>
      </c>
      <c r="L2670">
        <v>315</v>
      </c>
      <c r="M2670" t="s">
        <v>35897</v>
      </c>
      <c r="N2670">
        <v>1</v>
      </c>
      <c r="O2670" t="s">
        <v>30069</v>
      </c>
      <c r="Q2670" t="s">
        <v>35898</v>
      </c>
      <c r="R2670">
        <v>153.80000000000001</v>
      </c>
      <c r="S2670" t="s">
        <v>7735</v>
      </c>
      <c r="T2670" t="s">
        <v>30</v>
      </c>
      <c r="U2670" t="s">
        <v>46</v>
      </c>
      <c r="W2670" t="s">
        <v>26009</v>
      </c>
    </row>
    <row r="2671" spans="1:23" x14ac:dyDescent="0.35">
      <c r="A2671">
        <v>668345</v>
      </c>
      <c r="B2671" t="s">
        <v>35899</v>
      </c>
      <c r="C2671" t="str">
        <f>"9780415872560"</f>
        <v>9780415872560</v>
      </c>
      <c r="D2671" t="str">
        <f>"9780203848913"</f>
        <v>9780203848913</v>
      </c>
      <c r="E2671" t="s">
        <v>26010</v>
      </c>
      <c r="F2671" t="s">
        <v>35</v>
      </c>
      <c r="G2671" t="s">
        <v>22174</v>
      </c>
      <c r="H2671" t="s">
        <v>26011</v>
      </c>
      <c r="I2671" s="26">
        <v>40344</v>
      </c>
      <c r="J2671">
        <v>2010</v>
      </c>
      <c r="K2671" t="s">
        <v>26012</v>
      </c>
      <c r="L2671">
        <v>192</v>
      </c>
      <c r="M2671" t="s">
        <v>35900</v>
      </c>
      <c r="N2671">
        <v>2</v>
      </c>
      <c r="Q2671" t="s">
        <v>35901</v>
      </c>
      <c r="R2671">
        <v>155.92400000000001</v>
      </c>
      <c r="S2671" t="s">
        <v>7815</v>
      </c>
      <c r="T2671" t="s">
        <v>30</v>
      </c>
      <c r="U2671" t="s">
        <v>26228</v>
      </c>
      <c r="W2671" t="s">
        <v>26009</v>
      </c>
    </row>
    <row r="2672" spans="1:23" x14ac:dyDescent="0.35">
      <c r="A2672">
        <v>668348</v>
      </c>
      <c r="B2672" t="s">
        <v>8818</v>
      </c>
      <c r="C2672" t="str">
        <f>"9781848728585"</f>
        <v>9781848728585</v>
      </c>
      <c r="D2672" t="str">
        <f>"9780203849439"</f>
        <v>9780203849439</v>
      </c>
      <c r="E2672" t="s">
        <v>26010</v>
      </c>
      <c r="F2672" t="s">
        <v>35</v>
      </c>
      <c r="G2672" t="s">
        <v>22174</v>
      </c>
      <c r="H2672" t="s">
        <v>26011</v>
      </c>
      <c r="I2672" s="26">
        <v>40351</v>
      </c>
      <c r="J2672">
        <v>2010</v>
      </c>
      <c r="K2672" t="s">
        <v>26012</v>
      </c>
      <c r="L2672">
        <v>403</v>
      </c>
      <c r="M2672" t="s">
        <v>35902</v>
      </c>
      <c r="N2672">
        <v>1</v>
      </c>
      <c r="O2672" t="s">
        <v>33986</v>
      </c>
      <c r="Q2672" t="s">
        <v>35903</v>
      </c>
      <c r="R2672" t="s">
        <v>35904</v>
      </c>
      <c r="S2672" t="s">
        <v>35905</v>
      </c>
      <c r="T2672" t="s">
        <v>30</v>
      </c>
      <c r="U2672" t="s">
        <v>30031</v>
      </c>
      <c r="W2672" t="s">
        <v>26009</v>
      </c>
    </row>
    <row r="2673" spans="1:23" x14ac:dyDescent="0.35">
      <c r="A2673">
        <v>668351</v>
      </c>
      <c r="B2673" t="s">
        <v>9223</v>
      </c>
      <c r="C2673" t="str">
        <f>"9781841697840"</f>
        <v>9781841697840</v>
      </c>
      <c r="D2673" t="str">
        <f>"9780203848593"</f>
        <v>9780203848593</v>
      </c>
      <c r="E2673" t="s">
        <v>26010</v>
      </c>
      <c r="F2673" t="s">
        <v>35</v>
      </c>
      <c r="G2673" t="s">
        <v>22267</v>
      </c>
      <c r="H2673" t="s">
        <v>26011</v>
      </c>
      <c r="I2673" s="26">
        <v>40429</v>
      </c>
      <c r="J2673">
        <v>2011</v>
      </c>
      <c r="K2673" t="s">
        <v>660</v>
      </c>
      <c r="L2673">
        <v>324</v>
      </c>
      <c r="M2673" t="s">
        <v>35906</v>
      </c>
      <c r="N2673">
        <v>1</v>
      </c>
      <c r="O2673" t="s">
        <v>35907</v>
      </c>
      <c r="Q2673" t="s">
        <v>35908</v>
      </c>
      <c r="R2673">
        <v>612.80899507300001</v>
      </c>
      <c r="S2673" t="s">
        <v>9224</v>
      </c>
      <c r="T2673" t="s">
        <v>30</v>
      </c>
      <c r="U2673" t="s">
        <v>26141</v>
      </c>
      <c r="W2673" t="s">
        <v>26009</v>
      </c>
    </row>
    <row r="2674" spans="1:23" x14ac:dyDescent="0.35">
      <c r="A2674">
        <v>668356</v>
      </c>
      <c r="B2674" t="s">
        <v>7839</v>
      </c>
      <c r="C2674" t="str">
        <f>"9780415993234"</f>
        <v>9780415993234</v>
      </c>
      <c r="D2674" t="str">
        <f>"9780203856604"</f>
        <v>9780203856604</v>
      </c>
      <c r="E2674" t="s">
        <v>26010</v>
      </c>
      <c r="F2674" t="s">
        <v>35</v>
      </c>
      <c r="G2674" t="s">
        <v>22174</v>
      </c>
      <c r="H2674" t="s">
        <v>26011</v>
      </c>
      <c r="I2674" s="26">
        <v>40261</v>
      </c>
      <c r="J2674">
        <v>2010</v>
      </c>
      <c r="K2674" t="s">
        <v>26012</v>
      </c>
      <c r="L2674">
        <v>257</v>
      </c>
      <c r="M2674" t="s">
        <v>35909</v>
      </c>
      <c r="N2674">
        <v>1</v>
      </c>
      <c r="Q2674" t="s">
        <v>35910</v>
      </c>
      <c r="R2674" t="s">
        <v>28761</v>
      </c>
      <c r="S2674" t="s">
        <v>7840</v>
      </c>
      <c r="T2674" t="s">
        <v>30</v>
      </c>
      <c r="U2674" t="s">
        <v>26019</v>
      </c>
      <c r="W2674" t="s">
        <v>26009</v>
      </c>
    </row>
    <row r="2675" spans="1:23" x14ac:dyDescent="0.35">
      <c r="A2675">
        <v>668358</v>
      </c>
      <c r="B2675" t="s">
        <v>35911</v>
      </c>
      <c r="C2675" t="str">
        <f>"9781848728141"</f>
        <v>9781848728141</v>
      </c>
      <c r="D2675" t="str">
        <f>"9780203854181"</f>
        <v>9780203854181</v>
      </c>
      <c r="E2675" t="s">
        <v>26010</v>
      </c>
      <c r="F2675" t="s">
        <v>35</v>
      </c>
      <c r="G2675" t="s">
        <v>22267</v>
      </c>
      <c r="H2675" t="s">
        <v>26011</v>
      </c>
      <c r="I2675" s="26">
        <v>40295</v>
      </c>
      <c r="J2675">
        <v>2010</v>
      </c>
      <c r="K2675" t="s">
        <v>660</v>
      </c>
      <c r="L2675">
        <v>341</v>
      </c>
      <c r="M2675" t="s">
        <v>35912</v>
      </c>
      <c r="N2675">
        <v>1</v>
      </c>
      <c r="Q2675" t="s">
        <v>35913</v>
      </c>
      <c r="R2675">
        <v>155.40719999999999</v>
      </c>
      <c r="S2675" t="s">
        <v>7544</v>
      </c>
      <c r="T2675" t="s">
        <v>30</v>
      </c>
      <c r="U2675" t="s">
        <v>46</v>
      </c>
      <c r="W2675" t="s">
        <v>26159</v>
      </c>
    </row>
    <row r="2676" spans="1:23" x14ac:dyDescent="0.35">
      <c r="A2676">
        <v>668359</v>
      </c>
      <c r="B2676" t="s">
        <v>35914</v>
      </c>
      <c r="C2676" t="str">
        <f>"9781848728103"</f>
        <v>9781848728103</v>
      </c>
      <c r="D2676" t="str">
        <f>"9780203852941"</f>
        <v>9780203852941</v>
      </c>
      <c r="E2676" t="s">
        <v>26010</v>
      </c>
      <c r="F2676" t="s">
        <v>35</v>
      </c>
      <c r="G2676" t="s">
        <v>22174</v>
      </c>
      <c r="H2676" t="s">
        <v>26011</v>
      </c>
      <c r="I2676" s="26">
        <v>40337</v>
      </c>
      <c r="J2676">
        <v>2010</v>
      </c>
      <c r="K2676" t="s">
        <v>26012</v>
      </c>
      <c r="L2676">
        <v>324</v>
      </c>
      <c r="M2676" t="s">
        <v>35915</v>
      </c>
      <c r="N2676">
        <v>1</v>
      </c>
      <c r="O2676" t="s">
        <v>35916</v>
      </c>
      <c r="Q2676" t="s">
        <v>35917</v>
      </c>
      <c r="R2676" t="s">
        <v>35918</v>
      </c>
      <c r="S2676" t="s">
        <v>7482</v>
      </c>
      <c r="T2676" t="s">
        <v>30</v>
      </c>
      <c r="U2676" t="s">
        <v>30031</v>
      </c>
      <c r="W2676" t="s">
        <v>26009</v>
      </c>
    </row>
    <row r="2677" spans="1:23" x14ac:dyDescent="0.35">
      <c r="A2677">
        <v>668362</v>
      </c>
      <c r="B2677" t="s">
        <v>35919</v>
      </c>
      <c r="C2677" t="str">
        <f>"9780415990592"</f>
        <v>9780415990592</v>
      </c>
      <c r="D2677" t="str">
        <f>"9780203852828"</f>
        <v>9780203852828</v>
      </c>
      <c r="E2677" t="s">
        <v>26010</v>
      </c>
      <c r="F2677" t="s">
        <v>35</v>
      </c>
      <c r="G2677" t="s">
        <v>22174</v>
      </c>
      <c r="H2677" t="s">
        <v>26011</v>
      </c>
      <c r="I2677" s="26">
        <v>40316</v>
      </c>
      <c r="J2677">
        <v>2010</v>
      </c>
      <c r="K2677" t="s">
        <v>26012</v>
      </c>
      <c r="L2677">
        <v>346</v>
      </c>
      <c r="M2677" t="s">
        <v>35920</v>
      </c>
      <c r="N2677">
        <v>1</v>
      </c>
      <c r="O2677" t="s">
        <v>26909</v>
      </c>
      <c r="Q2677" t="s">
        <v>35921</v>
      </c>
      <c r="R2677">
        <v>155.91999999999999</v>
      </c>
      <c r="S2677" t="s">
        <v>7596</v>
      </c>
      <c r="T2677" t="s">
        <v>30</v>
      </c>
      <c r="U2677" t="s">
        <v>46</v>
      </c>
      <c r="W2677" t="s">
        <v>26009</v>
      </c>
    </row>
    <row r="2678" spans="1:23" x14ac:dyDescent="0.35">
      <c r="A2678">
        <v>668375</v>
      </c>
      <c r="B2678" t="s">
        <v>35922</v>
      </c>
      <c r="C2678" t="str">
        <f>"9780415564366"</f>
        <v>9780415564366</v>
      </c>
      <c r="D2678" t="str">
        <f>"9780203833711"</f>
        <v>9780203833711</v>
      </c>
      <c r="E2678" t="s">
        <v>26010</v>
      </c>
      <c r="F2678" t="s">
        <v>35</v>
      </c>
      <c r="G2678" t="s">
        <v>22174</v>
      </c>
      <c r="H2678" t="s">
        <v>26011</v>
      </c>
      <c r="I2678" s="26">
        <v>40599</v>
      </c>
      <c r="J2678">
        <v>2011</v>
      </c>
      <c r="K2678" t="s">
        <v>26012</v>
      </c>
      <c r="L2678">
        <v>302</v>
      </c>
      <c r="M2678" t="s">
        <v>35923</v>
      </c>
      <c r="N2678">
        <v>2</v>
      </c>
      <c r="Q2678" t="s">
        <v>35924</v>
      </c>
      <c r="R2678">
        <v>361.320941</v>
      </c>
      <c r="S2678" t="s">
        <v>6899</v>
      </c>
      <c r="T2678" t="s">
        <v>30</v>
      </c>
      <c r="U2678" t="s">
        <v>26044</v>
      </c>
      <c r="W2678" t="s">
        <v>26009</v>
      </c>
    </row>
    <row r="2679" spans="1:23" x14ac:dyDescent="0.35">
      <c r="A2679">
        <v>668392</v>
      </c>
      <c r="B2679" t="s">
        <v>8711</v>
      </c>
      <c r="C2679" t="str">
        <f>"9780415471985"</f>
        <v>9780415471985</v>
      </c>
      <c r="D2679" t="str">
        <f>"9780203832813"</f>
        <v>9780203832813</v>
      </c>
      <c r="E2679" t="s">
        <v>26010</v>
      </c>
      <c r="F2679" t="s">
        <v>35</v>
      </c>
      <c r="G2679" t="s">
        <v>26201</v>
      </c>
      <c r="H2679" t="s">
        <v>26011</v>
      </c>
      <c r="I2679" s="26">
        <v>40612</v>
      </c>
      <c r="J2679">
        <v>2010</v>
      </c>
      <c r="K2679" t="s">
        <v>26012</v>
      </c>
      <c r="L2679">
        <v>257</v>
      </c>
      <c r="M2679" t="s">
        <v>35925</v>
      </c>
      <c r="N2679">
        <v>1</v>
      </c>
      <c r="O2679" t="s">
        <v>35926</v>
      </c>
      <c r="Q2679" t="s">
        <v>35927</v>
      </c>
      <c r="R2679">
        <v>362.19697919999999</v>
      </c>
      <c r="S2679" t="s">
        <v>8712</v>
      </c>
      <c r="T2679" t="s">
        <v>30</v>
      </c>
      <c r="U2679" t="s">
        <v>26250</v>
      </c>
      <c r="W2679" t="s">
        <v>26009</v>
      </c>
    </row>
    <row r="2680" spans="1:23" x14ac:dyDescent="0.35">
      <c r="A2680">
        <v>668423</v>
      </c>
      <c r="B2680" t="s">
        <v>8127</v>
      </c>
      <c r="C2680" t="str">
        <f>"9780415569439"</f>
        <v>9780415569439</v>
      </c>
      <c r="D2680" t="str">
        <f>"9780203833162"</f>
        <v>9780203833162</v>
      </c>
      <c r="E2680" t="s">
        <v>26010</v>
      </c>
      <c r="F2680" t="s">
        <v>35</v>
      </c>
      <c r="G2680" t="s">
        <v>22174</v>
      </c>
      <c r="H2680" t="s">
        <v>26011</v>
      </c>
      <c r="I2680" s="26">
        <v>40613</v>
      </c>
      <c r="J2680">
        <v>2011</v>
      </c>
      <c r="K2680" t="s">
        <v>26012</v>
      </c>
      <c r="L2680">
        <v>173</v>
      </c>
      <c r="M2680" t="s">
        <v>35928</v>
      </c>
      <c r="N2680">
        <v>1</v>
      </c>
      <c r="Q2680" t="s">
        <v>35929</v>
      </c>
      <c r="R2680" t="s">
        <v>35930</v>
      </c>
      <c r="S2680" t="s">
        <v>8128</v>
      </c>
      <c r="T2680" t="s">
        <v>30</v>
      </c>
      <c r="U2680" t="s">
        <v>337</v>
      </c>
      <c r="W2680" t="s">
        <v>26159</v>
      </c>
    </row>
    <row r="2681" spans="1:23" x14ac:dyDescent="0.35">
      <c r="A2681">
        <v>668426</v>
      </c>
      <c r="B2681" t="s">
        <v>35931</v>
      </c>
      <c r="C2681" t="str">
        <f>"9781848720299"</f>
        <v>9781848720299</v>
      </c>
      <c r="D2681" t="str">
        <f>"9780203833421"</f>
        <v>9780203833421</v>
      </c>
      <c r="E2681" t="s">
        <v>26010</v>
      </c>
      <c r="F2681" t="s">
        <v>35</v>
      </c>
      <c r="G2681" t="s">
        <v>22267</v>
      </c>
      <c r="H2681" t="s">
        <v>26011</v>
      </c>
      <c r="I2681" s="26">
        <v>40639</v>
      </c>
      <c r="J2681">
        <v>2011</v>
      </c>
      <c r="K2681" t="s">
        <v>660</v>
      </c>
      <c r="L2681">
        <v>316</v>
      </c>
      <c r="M2681" t="s">
        <v>35932</v>
      </c>
      <c r="N2681">
        <v>1</v>
      </c>
      <c r="Q2681" t="s">
        <v>35933</v>
      </c>
      <c r="R2681">
        <v>616.85500000000002</v>
      </c>
      <c r="S2681" t="s">
        <v>7877</v>
      </c>
      <c r="T2681" t="s">
        <v>30</v>
      </c>
      <c r="U2681" t="s">
        <v>26040</v>
      </c>
      <c r="W2681" t="s">
        <v>26009</v>
      </c>
    </row>
    <row r="2682" spans="1:23" x14ac:dyDescent="0.35">
      <c r="A2682">
        <v>668451</v>
      </c>
      <c r="B2682" t="s">
        <v>7920</v>
      </c>
      <c r="C2682" t="str">
        <f>"9780415999908"</f>
        <v>9780415999908</v>
      </c>
      <c r="D2682" t="str">
        <f>"9780203874936"</f>
        <v>9780203874936</v>
      </c>
      <c r="E2682" t="s">
        <v>26010</v>
      </c>
      <c r="F2682" t="s">
        <v>35</v>
      </c>
      <c r="G2682" t="s">
        <v>22174</v>
      </c>
      <c r="H2682" t="s">
        <v>26011</v>
      </c>
      <c r="I2682" s="26">
        <v>40031</v>
      </c>
      <c r="J2682">
        <v>2010</v>
      </c>
      <c r="K2682" t="s">
        <v>26012</v>
      </c>
      <c r="L2682">
        <v>239</v>
      </c>
      <c r="M2682" t="s">
        <v>35934</v>
      </c>
      <c r="N2682">
        <v>1</v>
      </c>
      <c r="Q2682" t="s">
        <v>35935</v>
      </c>
      <c r="R2682" t="s">
        <v>33676</v>
      </c>
      <c r="S2682" t="s">
        <v>7921</v>
      </c>
      <c r="T2682" t="s">
        <v>30</v>
      </c>
      <c r="U2682" t="s">
        <v>26116</v>
      </c>
      <c r="W2682" t="s">
        <v>26009</v>
      </c>
    </row>
    <row r="2683" spans="1:23" x14ac:dyDescent="0.35">
      <c r="A2683">
        <v>668457</v>
      </c>
      <c r="B2683" t="s">
        <v>35936</v>
      </c>
      <c r="C2683" t="str">
        <f>"9780415960939"</f>
        <v>9780415960939</v>
      </c>
      <c r="D2683" t="str">
        <f>"9780203893968"</f>
        <v>9780203893968</v>
      </c>
      <c r="E2683" t="s">
        <v>26010</v>
      </c>
      <c r="F2683" t="s">
        <v>35</v>
      </c>
      <c r="G2683" t="s">
        <v>22174</v>
      </c>
      <c r="H2683" t="s">
        <v>26011</v>
      </c>
      <c r="I2683" s="26">
        <v>40030</v>
      </c>
      <c r="J2683">
        <v>2010</v>
      </c>
      <c r="K2683" t="s">
        <v>26012</v>
      </c>
      <c r="L2683">
        <v>366</v>
      </c>
      <c r="M2683" t="s">
        <v>35937</v>
      </c>
      <c r="N2683">
        <v>2</v>
      </c>
      <c r="Q2683" t="s">
        <v>35938</v>
      </c>
      <c r="R2683" t="s">
        <v>27110</v>
      </c>
      <c r="S2683" t="s">
        <v>7559</v>
      </c>
      <c r="T2683" t="s">
        <v>30</v>
      </c>
      <c r="U2683" t="s">
        <v>26019</v>
      </c>
      <c r="W2683" t="s">
        <v>26009</v>
      </c>
    </row>
    <row r="2684" spans="1:23" x14ac:dyDescent="0.35">
      <c r="A2684">
        <v>668464</v>
      </c>
      <c r="B2684" t="s">
        <v>35939</v>
      </c>
      <c r="C2684" t="str">
        <f>"9780415963831"</f>
        <v>9780415963831</v>
      </c>
      <c r="D2684" t="str">
        <f>"9780203893852"</f>
        <v>9780203893852</v>
      </c>
      <c r="E2684" t="s">
        <v>26010</v>
      </c>
      <c r="F2684" t="s">
        <v>35</v>
      </c>
      <c r="G2684" t="s">
        <v>22174</v>
      </c>
      <c r="H2684" t="s">
        <v>26011</v>
      </c>
      <c r="I2684" s="26">
        <v>39947</v>
      </c>
      <c r="J2684">
        <v>2009</v>
      </c>
      <c r="K2684" t="s">
        <v>26012</v>
      </c>
      <c r="L2684">
        <v>322</v>
      </c>
      <c r="M2684" t="s">
        <v>35940</v>
      </c>
      <c r="N2684">
        <v>1</v>
      </c>
      <c r="Q2684" t="s">
        <v>35941</v>
      </c>
      <c r="R2684" t="s">
        <v>35942</v>
      </c>
      <c r="S2684" t="s">
        <v>9643</v>
      </c>
      <c r="T2684" t="s">
        <v>30</v>
      </c>
      <c r="U2684" t="s">
        <v>26116</v>
      </c>
      <c r="W2684" t="s">
        <v>26009</v>
      </c>
    </row>
    <row r="2685" spans="1:23" x14ac:dyDescent="0.35">
      <c r="A2685">
        <v>668473</v>
      </c>
      <c r="B2685" t="s">
        <v>35943</v>
      </c>
      <c r="C2685" t="str">
        <f>"9780415994743"</f>
        <v>9780415994743</v>
      </c>
      <c r="D2685" t="str">
        <f>"9780203867532"</f>
        <v>9780203867532</v>
      </c>
      <c r="E2685" t="s">
        <v>26010</v>
      </c>
      <c r="F2685" t="s">
        <v>35</v>
      </c>
      <c r="G2685" t="s">
        <v>22174</v>
      </c>
      <c r="H2685" t="s">
        <v>26011</v>
      </c>
      <c r="I2685" s="26">
        <v>40116</v>
      </c>
      <c r="J2685">
        <v>2010</v>
      </c>
      <c r="K2685" t="s">
        <v>26012</v>
      </c>
      <c r="L2685">
        <v>312</v>
      </c>
      <c r="M2685" t="s">
        <v>35944</v>
      </c>
      <c r="N2685">
        <v>1</v>
      </c>
      <c r="Q2685" t="s">
        <v>35945</v>
      </c>
      <c r="R2685">
        <v>616.89</v>
      </c>
      <c r="S2685" t="s">
        <v>10190</v>
      </c>
      <c r="T2685" t="s">
        <v>30</v>
      </c>
      <c r="U2685" t="s">
        <v>26019</v>
      </c>
      <c r="W2685" t="s">
        <v>26009</v>
      </c>
    </row>
    <row r="2686" spans="1:23" x14ac:dyDescent="0.35">
      <c r="A2686">
        <v>668476</v>
      </c>
      <c r="B2686" t="s">
        <v>35946</v>
      </c>
      <c r="C2686" t="str">
        <f>"9780415988919"</f>
        <v>9780415988919</v>
      </c>
      <c r="D2686" t="str">
        <f>"9780203893869"</f>
        <v>9780203893869</v>
      </c>
      <c r="E2686" t="s">
        <v>26010</v>
      </c>
      <c r="F2686" t="s">
        <v>35</v>
      </c>
      <c r="G2686" t="s">
        <v>22174</v>
      </c>
      <c r="H2686" t="s">
        <v>26011</v>
      </c>
      <c r="I2686" s="26">
        <v>40070</v>
      </c>
      <c r="J2686">
        <v>2010</v>
      </c>
      <c r="K2686" t="s">
        <v>26012</v>
      </c>
      <c r="L2686">
        <v>381</v>
      </c>
      <c r="M2686" t="s">
        <v>35947</v>
      </c>
      <c r="N2686">
        <v>1</v>
      </c>
      <c r="Q2686" t="s">
        <v>35948</v>
      </c>
      <c r="R2686">
        <v>616.85220600000002</v>
      </c>
      <c r="S2686" t="s">
        <v>10116</v>
      </c>
      <c r="T2686" t="s">
        <v>30</v>
      </c>
      <c r="U2686" t="s">
        <v>26019</v>
      </c>
      <c r="W2686" t="s">
        <v>26009</v>
      </c>
    </row>
    <row r="2687" spans="1:23" x14ac:dyDescent="0.35">
      <c r="A2687">
        <v>668481</v>
      </c>
      <c r="B2687" t="s">
        <v>35949</v>
      </c>
      <c r="C2687" t="str">
        <f>"9780415996990"</f>
        <v>9780415996990</v>
      </c>
      <c r="D2687" t="str">
        <f>"9780203884324"</f>
        <v>9780203884324</v>
      </c>
      <c r="E2687" t="s">
        <v>26010</v>
      </c>
      <c r="F2687" t="s">
        <v>35</v>
      </c>
      <c r="G2687" t="s">
        <v>22174</v>
      </c>
      <c r="H2687" t="s">
        <v>26011</v>
      </c>
      <c r="I2687" s="26">
        <v>40113</v>
      </c>
      <c r="J2687">
        <v>2010</v>
      </c>
      <c r="K2687" t="s">
        <v>26012</v>
      </c>
      <c r="L2687">
        <v>371</v>
      </c>
      <c r="M2687" t="s">
        <v>35950</v>
      </c>
      <c r="N2687">
        <v>1</v>
      </c>
      <c r="Q2687" t="s">
        <v>35951</v>
      </c>
      <c r="R2687">
        <v>155.19999999999999</v>
      </c>
      <c r="S2687" t="s">
        <v>9802</v>
      </c>
      <c r="T2687" t="s">
        <v>30</v>
      </c>
      <c r="U2687" t="s">
        <v>46</v>
      </c>
      <c r="W2687" t="s">
        <v>26009</v>
      </c>
    </row>
    <row r="2688" spans="1:23" x14ac:dyDescent="0.35">
      <c r="A2688">
        <v>668483</v>
      </c>
      <c r="B2688" t="s">
        <v>35952</v>
      </c>
      <c r="C2688" t="str">
        <f>"9780415965194"</f>
        <v>9780415965194</v>
      </c>
      <c r="D2688" t="str">
        <f>"9780203893517"</f>
        <v>9780203893517</v>
      </c>
      <c r="E2688" t="s">
        <v>26010</v>
      </c>
      <c r="F2688" t="s">
        <v>35</v>
      </c>
      <c r="G2688" t="s">
        <v>22174</v>
      </c>
      <c r="H2688" t="s">
        <v>26011</v>
      </c>
      <c r="I2688" s="26">
        <v>40023</v>
      </c>
      <c r="J2688">
        <v>2010</v>
      </c>
      <c r="K2688" t="s">
        <v>26012</v>
      </c>
      <c r="L2688">
        <v>283</v>
      </c>
      <c r="M2688" t="s">
        <v>35953</v>
      </c>
      <c r="N2688">
        <v>1</v>
      </c>
      <c r="Q2688" t="s">
        <v>35954</v>
      </c>
      <c r="R2688" t="s">
        <v>35955</v>
      </c>
      <c r="S2688" t="s">
        <v>9282</v>
      </c>
      <c r="T2688" t="s">
        <v>30</v>
      </c>
      <c r="U2688" t="s">
        <v>46</v>
      </c>
      <c r="W2688" t="s">
        <v>26009</v>
      </c>
    </row>
    <row r="2689" spans="1:23" x14ac:dyDescent="0.35">
      <c r="A2689">
        <v>668501</v>
      </c>
      <c r="B2689" t="s">
        <v>35956</v>
      </c>
      <c r="C2689" t="str">
        <f>"9780805859249"</f>
        <v>9780805859249</v>
      </c>
      <c r="D2689" t="str">
        <f>"9780203838020"</f>
        <v>9780203838020</v>
      </c>
      <c r="E2689" t="s">
        <v>26010</v>
      </c>
      <c r="F2689" t="s">
        <v>35</v>
      </c>
      <c r="G2689" t="s">
        <v>22174</v>
      </c>
      <c r="H2689" t="s">
        <v>26004</v>
      </c>
      <c r="I2689" s="26">
        <v>40021</v>
      </c>
      <c r="J2689">
        <v>2010</v>
      </c>
      <c r="K2689" t="s">
        <v>660</v>
      </c>
      <c r="L2689">
        <v>527</v>
      </c>
      <c r="M2689" t="s">
        <v>35957</v>
      </c>
      <c r="N2689">
        <v>1</v>
      </c>
      <c r="Q2689" t="s">
        <v>35958</v>
      </c>
      <c r="R2689" t="s">
        <v>35959</v>
      </c>
      <c r="S2689" t="s">
        <v>35960</v>
      </c>
      <c r="T2689" t="s">
        <v>30</v>
      </c>
      <c r="U2689" t="s">
        <v>46</v>
      </c>
      <c r="W2689" t="s">
        <v>26009</v>
      </c>
    </row>
    <row r="2690" spans="1:23" x14ac:dyDescent="0.35">
      <c r="A2690">
        <v>668520</v>
      </c>
      <c r="B2690" t="s">
        <v>35961</v>
      </c>
      <c r="C2690" t="str">
        <f>"9780805863741"</f>
        <v>9780805863741</v>
      </c>
      <c r="D2690" t="str">
        <f>"9780203848418"</f>
        <v>9780203848418</v>
      </c>
      <c r="E2690" t="s">
        <v>26010</v>
      </c>
      <c r="F2690" t="s">
        <v>35</v>
      </c>
      <c r="G2690" t="s">
        <v>22179</v>
      </c>
      <c r="H2690" t="s">
        <v>26004</v>
      </c>
      <c r="I2690" s="26">
        <v>40043</v>
      </c>
      <c r="J2690">
        <v>2010</v>
      </c>
      <c r="K2690" t="s">
        <v>26012</v>
      </c>
      <c r="L2690">
        <v>564</v>
      </c>
      <c r="M2690" t="s">
        <v>35962</v>
      </c>
      <c r="N2690">
        <v>1</v>
      </c>
      <c r="O2690" t="s">
        <v>35963</v>
      </c>
      <c r="Q2690" t="s">
        <v>35964</v>
      </c>
      <c r="R2690">
        <v>658.31119999999999</v>
      </c>
      <c r="S2690" t="s">
        <v>7466</v>
      </c>
      <c r="T2690" t="s">
        <v>30</v>
      </c>
      <c r="U2690" t="s">
        <v>30031</v>
      </c>
      <c r="W2690" t="s">
        <v>26009</v>
      </c>
    </row>
    <row r="2691" spans="1:23" x14ac:dyDescent="0.35">
      <c r="A2691">
        <v>668523</v>
      </c>
      <c r="B2691" t="s">
        <v>8672</v>
      </c>
      <c r="C2691" t="str">
        <f>"9780805862522"</f>
        <v>9780805862522</v>
      </c>
      <c r="D2691" t="str">
        <f>"9780203837993"</f>
        <v>9780203837993</v>
      </c>
      <c r="E2691" t="s">
        <v>26010</v>
      </c>
      <c r="F2691" t="s">
        <v>35</v>
      </c>
      <c r="G2691" t="s">
        <v>22174</v>
      </c>
      <c r="H2691" t="s">
        <v>26004</v>
      </c>
      <c r="I2691" s="26">
        <v>40081</v>
      </c>
      <c r="J2691">
        <v>2010</v>
      </c>
      <c r="K2691" t="s">
        <v>660</v>
      </c>
      <c r="L2691">
        <v>335</v>
      </c>
      <c r="M2691" t="s">
        <v>35965</v>
      </c>
      <c r="N2691">
        <v>1</v>
      </c>
      <c r="Q2691" t="s">
        <v>35966</v>
      </c>
      <c r="R2691">
        <v>303.66070999999999</v>
      </c>
      <c r="S2691" t="s">
        <v>8673</v>
      </c>
      <c r="T2691" t="s">
        <v>30</v>
      </c>
      <c r="U2691" t="s">
        <v>30336</v>
      </c>
      <c r="W2691" t="s">
        <v>26009</v>
      </c>
    </row>
    <row r="2692" spans="1:23" x14ac:dyDescent="0.35">
      <c r="A2692">
        <v>668525</v>
      </c>
      <c r="B2692" t="s">
        <v>35967</v>
      </c>
      <c r="C2692" t="str">
        <f>"9780881634990"</f>
        <v>9780881634990</v>
      </c>
      <c r="D2692" t="str">
        <f>"9780203888278"</f>
        <v>9780203888278</v>
      </c>
      <c r="E2692" t="s">
        <v>26010</v>
      </c>
      <c r="F2692" t="s">
        <v>35</v>
      </c>
      <c r="G2692" t="s">
        <v>22251</v>
      </c>
      <c r="H2692" t="s">
        <v>26004</v>
      </c>
      <c r="I2692" s="26">
        <v>40092</v>
      </c>
      <c r="J2692">
        <v>2010</v>
      </c>
      <c r="K2692" t="s">
        <v>26012</v>
      </c>
      <c r="L2692">
        <v>397</v>
      </c>
      <c r="M2692" t="s">
        <v>35968</v>
      </c>
      <c r="N2692">
        <v>2</v>
      </c>
      <c r="O2692" t="s">
        <v>35537</v>
      </c>
      <c r="Q2692" t="s">
        <v>35969</v>
      </c>
      <c r="R2692" t="s">
        <v>26422</v>
      </c>
      <c r="S2692" t="s">
        <v>7510</v>
      </c>
      <c r="T2692" t="s">
        <v>30</v>
      </c>
      <c r="U2692" t="s">
        <v>26019</v>
      </c>
      <c r="W2692" t="s">
        <v>26009</v>
      </c>
    </row>
    <row r="2693" spans="1:23" x14ac:dyDescent="0.35">
      <c r="A2693">
        <v>668528</v>
      </c>
      <c r="B2693" t="s">
        <v>35970</v>
      </c>
      <c r="C2693" t="str">
        <f>"9780805861891"</f>
        <v>9780805861891</v>
      </c>
      <c r="D2693" t="str">
        <f>"9780203893333"</f>
        <v>9780203893333</v>
      </c>
      <c r="E2693" t="s">
        <v>26010</v>
      </c>
      <c r="F2693" t="s">
        <v>35</v>
      </c>
      <c r="G2693" t="s">
        <v>22179</v>
      </c>
      <c r="H2693" t="s">
        <v>26004</v>
      </c>
      <c r="I2693" s="26">
        <v>39926</v>
      </c>
      <c r="J2693">
        <v>2009</v>
      </c>
      <c r="K2693" t="s">
        <v>26012</v>
      </c>
      <c r="L2693">
        <v>395</v>
      </c>
      <c r="M2693" t="s">
        <v>35971</v>
      </c>
      <c r="N2693">
        <v>1</v>
      </c>
      <c r="O2693" t="s">
        <v>31623</v>
      </c>
      <c r="Q2693" t="s">
        <v>35972</v>
      </c>
      <c r="R2693">
        <v>616.89</v>
      </c>
      <c r="S2693" t="s">
        <v>8861</v>
      </c>
      <c r="T2693" t="s">
        <v>30</v>
      </c>
      <c r="U2693" t="s">
        <v>26019</v>
      </c>
      <c r="W2693" t="s">
        <v>26009</v>
      </c>
    </row>
    <row r="2694" spans="1:23" x14ac:dyDescent="0.35">
      <c r="A2694">
        <v>668536</v>
      </c>
      <c r="B2694" t="s">
        <v>35973</v>
      </c>
      <c r="C2694" t="str">
        <f>"9781841698946"</f>
        <v>9781841698946</v>
      </c>
      <c r="D2694" t="str">
        <f>"9780203834107"</f>
        <v>9780203834107</v>
      </c>
      <c r="E2694" t="s">
        <v>26010</v>
      </c>
      <c r="F2694" t="s">
        <v>35</v>
      </c>
      <c r="G2694" t="s">
        <v>22174</v>
      </c>
      <c r="H2694" t="s">
        <v>26004</v>
      </c>
      <c r="I2694" s="26">
        <v>40373</v>
      </c>
      <c r="J2694">
        <v>2011</v>
      </c>
      <c r="K2694" t="s">
        <v>660</v>
      </c>
      <c r="L2694">
        <v>172</v>
      </c>
      <c r="M2694" t="s">
        <v>35974</v>
      </c>
      <c r="N2694">
        <v>1</v>
      </c>
      <c r="O2694" t="s">
        <v>26988</v>
      </c>
      <c r="Q2694" t="s">
        <v>35975</v>
      </c>
      <c r="R2694">
        <v>153.13999999999999</v>
      </c>
      <c r="S2694" t="s">
        <v>9149</v>
      </c>
      <c r="T2694" t="s">
        <v>30</v>
      </c>
      <c r="U2694" t="s">
        <v>46</v>
      </c>
      <c r="W2694" t="s">
        <v>26009</v>
      </c>
    </row>
    <row r="2695" spans="1:23" x14ac:dyDescent="0.35">
      <c r="A2695">
        <v>668537</v>
      </c>
      <c r="B2695" t="s">
        <v>35976</v>
      </c>
      <c r="C2695" t="str">
        <f>"9781848728431"</f>
        <v>9781848728431</v>
      </c>
      <c r="D2695" t="str">
        <f>"9780203838006"</f>
        <v>9780203838006</v>
      </c>
      <c r="E2695" t="s">
        <v>26010</v>
      </c>
      <c r="F2695" t="s">
        <v>35</v>
      </c>
      <c r="G2695" t="s">
        <v>22174</v>
      </c>
      <c r="H2695" t="s">
        <v>26004</v>
      </c>
      <c r="I2695" s="26">
        <v>39965</v>
      </c>
      <c r="J2695">
        <v>2009</v>
      </c>
      <c r="K2695" t="s">
        <v>660</v>
      </c>
      <c r="L2695">
        <v>379</v>
      </c>
      <c r="M2695" t="s">
        <v>35977</v>
      </c>
      <c r="N2695">
        <v>1</v>
      </c>
      <c r="O2695" t="s">
        <v>35978</v>
      </c>
      <c r="Q2695" t="s">
        <v>35979</v>
      </c>
      <c r="R2695" t="s">
        <v>35980</v>
      </c>
      <c r="S2695" t="s">
        <v>35981</v>
      </c>
      <c r="T2695" t="s">
        <v>30</v>
      </c>
      <c r="U2695" t="s">
        <v>35982</v>
      </c>
      <c r="W2695" t="s">
        <v>26009</v>
      </c>
    </row>
    <row r="2696" spans="1:23" x14ac:dyDescent="0.35">
      <c r="A2696">
        <v>668541</v>
      </c>
      <c r="B2696" t="s">
        <v>35983</v>
      </c>
      <c r="C2696" t="str">
        <f>"9781848728271"</f>
        <v>9781848728271</v>
      </c>
      <c r="D2696" t="str">
        <f>"9780203848029"</f>
        <v>9780203848029</v>
      </c>
      <c r="E2696" t="s">
        <v>26010</v>
      </c>
      <c r="F2696" t="s">
        <v>35</v>
      </c>
      <c r="G2696" t="s">
        <v>22174</v>
      </c>
      <c r="H2696" t="s">
        <v>26004</v>
      </c>
      <c r="I2696" s="26">
        <v>40170</v>
      </c>
      <c r="J2696">
        <v>2010</v>
      </c>
      <c r="K2696" t="s">
        <v>660</v>
      </c>
      <c r="L2696">
        <v>597</v>
      </c>
      <c r="M2696" t="s">
        <v>35984</v>
      </c>
      <c r="N2696">
        <v>1</v>
      </c>
      <c r="Q2696" t="s">
        <v>35985</v>
      </c>
      <c r="R2696">
        <v>510.19</v>
      </c>
      <c r="S2696" t="s">
        <v>35986</v>
      </c>
      <c r="T2696" t="s">
        <v>30</v>
      </c>
      <c r="U2696" t="s">
        <v>28330</v>
      </c>
      <c r="W2696" t="s">
        <v>26009</v>
      </c>
    </row>
    <row r="2697" spans="1:23" x14ac:dyDescent="0.35">
      <c r="A2697">
        <v>668569</v>
      </c>
      <c r="B2697" t="s">
        <v>9999</v>
      </c>
      <c r="C2697" t="str">
        <f>"9781841698694"</f>
        <v>9781841698694</v>
      </c>
      <c r="D2697" t="str">
        <f>"9780203830529"</f>
        <v>9780203830529</v>
      </c>
      <c r="E2697" t="s">
        <v>26010</v>
      </c>
      <c r="F2697" t="s">
        <v>35</v>
      </c>
      <c r="G2697" t="s">
        <v>22267</v>
      </c>
      <c r="H2697" t="s">
        <v>26011</v>
      </c>
      <c r="I2697" s="26">
        <v>40639</v>
      </c>
      <c r="J2697">
        <v>2011</v>
      </c>
      <c r="K2697" t="s">
        <v>660</v>
      </c>
      <c r="L2697">
        <v>289</v>
      </c>
      <c r="M2697" t="s">
        <v>35987</v>
      </c>
      <c r="N2697">
        <v>1</v>
      </c>
      <c r="Q2697" t="s">
        <v>35988</v>
      </c>
      <c r="R2697">
        <v>153</v>
      </c>
      <c r="S2697" t="s">
        <v>9115</v>
      </c>
      <c r="T2697" t="s">
        <v>30</v>
      </c>
      <c r="U2697" t="s">
        <v>46</v>
      </c>
      <c r="W2697" t="s">
        <v>35989</v>
      </c>
    </row>
    <row r="2698" spans="1:23" x14ac:dyDescent="0.35">
      <c r="A2698">
        <v>668571</v>
      </c>
      <c r="B2698" t="s">
        <v>35990</v>
      </c>
      <c r="C2698" t="str">
        <f>"9780415495523"</f>
        <v>9780415495523</v>
      </c>
      <c r="D2698" t="str">
        <f>"9780203830468"</f>
        <v>9780203830468</v>
      </c>
      <c r="E2698" t="s">
        <v>26010</v>
      </c>
      <c r="F2698" t="s">
        <v>35</v>
      </c>
      <c r="G2698" t="s">
        <v>22174</v>
      </c>
      <c r="H2698" t="s">
        <v>26011</v>
      </c>
      <c r="I2698" s="26">
        <v>40640</v>
      </c>
      <c r="J2698">
        <v>2011</v>
      </c>
      <c r="K2698" t="s">
        <v>26012</v>
      </c>
      <c r="L2698">
        <v>273</v>
      </c>
      <c r="M2698" t="s">
        <v>35991</v>
      </c>
      <c r="N2698">
        <v>2</v>
      </c>
      <c r="O2698" t="s">
        <v>26125</v>
      </c>
      <c r="Q2698" t="s">
        <v>35992</v>
      </c>
      <c r="R2698">
        <v>362.291200835094</v>
      </c>
      <c r="S2698" t="s">
        <v>8763</v>
      </c>
      <c r="T2698" t="s">
        <v>30</v>
      </c>
      <c r="U2698" t="s">
        <v>26094</v>
      </c>
      <c r="W2698" t="s">
        <v>26009</v>
      </c>
    </row>
    <row r="2699" spans="1:23" x14ac:dyDescent="0.35">
      <c r="A2699">
        <v>668614</v>
      </c>
      <c r="B2699" t="s">
        <v>35993</v>
      </c>
      <c r="C2699" t="str">
        <f>"9780415497435"</f>
        <v>9780415497435</v>
      </c>
      <c r="D2699" t="str">
        <f>"9780203825815"</f>
        <v>9780203825815</v>
      </c>
      <c r="E2699" t="s">
        <v>26010</v>
      </c>
      <c r="F2699" t="s">
        <v>35</v>
      </c>
      <c r="G2699" t="s">
        <v>26201</v>
      </c>
      <c r="H2699" t="s">
        <v>26004</v>
      </c>
      <c r="I2699" s="26">
        <v>40640</v>
      </c>
      <c r="J2699">
        <v>2011</v>
      </c>
      <c r="K2699" t="s">
        <v>26012</v>
      </c>
      <c r="L2699">
        <v>161</v>
      </c>
      <c r="M2699" t="s">
        <v>35994</v>
      </c>
      <c r="N2699">
        <v>1</v>
      </c>
      <c r="O2699" t="s">
        <v>35995</v>
      </c>
      <c r="Q2699" t="s">
        <v>35996</v>
      </c>
      <c r="R2699" t="s">
        <v>35997</v>
      </c>
      <c r="S2699" t="s">
        <v>8974</v>
      </c>
      <c r="T2699" t="s">
        <v>30</v>
      </c>
      <c r="U2699" t="s">
        <v>5222</v>
      </c>
      <c r="W2699" t="s">
        <v>26009</v>
      </c>
    </row>
    <row r="2700" spans="1:23" x14ac:dyDescent="0.35">
      <c r="A2700">
        <v>668758</v>
      </c>
      <c r="B2700" t="s">
        <v>8594</v>
      </c>
      <c r="C2700" t="str">
        <f>"9780415804752"</f>
        <v>9780415804752</v>
      </c>
      <c r="D2700" t="str">
        <f>"9780203832592"</f>
        <v>9780203832592</v>
      </c>
      <c r="E2700" t="s">
        <v>26010</v>
      </c>
      <c r="F2700" t="s">
        <v>35</v>
      </c>
      <c r="G2700" t="s">
        <v>26201</v>
      </c>
      <c r="H2700" t="s">
        <v>26004</v>
      </c>
      <c r="I2700" s="26">
        <v>40578</v>
      </c>
      <c r="J2700">
        <v>2011</v>
      </c>
      <c r="K2700" t="s">
        <v>26012</v>
      </c>
      <c r="L2700">
        <v>373</v>
      </c>
      <c r="M2700" t="s">
        <v>35998</v>
      </c>
      <c r="N2700">
        <v>2</v>
      </c>
      <c r="Q2700" t="s">
        <v>35999</v>
      </c>
      <c r="R2700">
        <v>616.89156000000003</v>
      </c>
      <c r="S2700" t="s">
        <v>36000</v>
      </c>
      <c r="T2700" t="s">
        <v>30</v>
      </c>
      <c r="U2700" t="s">
        <v>26019</v>
      </c>
      <c r="W2700" t="s">
        <v>26009</v>
      </c>
    </row>
    <row r="2701" spans="1:23" x14ac:dyDescent="0.35">
      <c r="A2701">
        <v>668759</v>
      </c>
      <c r="B2701" t="s">
        <v>36001</v>
      </c>
      <c r="C2701" t="str">
        <f>"9780415888042"</f>
        <v>9780415888042</v>
      </c>
      <c r="D2701" t="str">
        <f>"9780203832738"</f>
        <v>9780203832738</v>
      </c>
      <c r="E2701" t="s">
        <v>26010</v>
      </c>
      <c r="F2701" t="s">
        <v>35</v>
      </c>
      <c r="G2701" t="s">
        <v>26201</v>
      </c>
      <c r="H2701" t="s">
        <v>26004</v>
      </c>
      <c r="I2701" s="26">
        <v>40557</v>
      </c>
      <c r="J2701">
        <v>2011</v>
      </c>
      <c r="K2701" t="s">
        <v>26012</v>
      </c>
      <c r="L2701">
        <v>211</v>
      </c>
      <c r="M2701" t="s">
        <v>36002</v>
      </c>
      <c r="N2701">
        <v>1</v>
      </c>
      <c r="O2701" t="s">
        <v>30090</v>
      </c>
      <c r="Q2701" t="s">
        <v>36003</v>
      </c>
      <c r="R2701">
        <v>616.89170000000001</v>
      </c>
      <c r="S2701" t="s">
        <v>7786</v>
      </c>
      <c r="T2701" t="s">
        <v>30</v>
      </c>
      <c r="U2701" t="s">
        <v>26019</v>
      </c>
      <c r="W2701" t="s">
        <v>26009</v>
      </c>
    </row>
    <row r="2702" spans="1:23" x14ac:dyDescent="0.35">
      <c r="A2702">
        <v>668760</v>
      </c>
      <c r="B2702" t="s">
        <v>36004</v>
      </c>
      <c r="C2702" t="str">
        <f>"9780415886048"</f>
        <v>9780415886048</v>
      </c>
      <c r="D2702" t="str">
        <f>"9780203837269"</f>
        <v>9780203837269</v>
      </c>
      <c r="E2702" t="s">
        <v>26010</v>
      </c>
      <c r="F2702" t="s">
        <v>35</v>
      </c>
      <c r="G2702" t="s">
        <v>22174</v>
      </c>
      <c r="H2702" t="s">
        <v>26011</v>
      </c>
      <c r="I2702" s="26">
        <v>40591</v>
      </c>
      <c r="J2702">
        <v>2011</v>
      </c>
      <c r="K2702" t="s">
        <v>26012</v>
      </c>
      <c r="L2702">
        <v>346</v>
      </c>
      <c r="M2702" t="s">
        <v>36005</v>
      </c>
      <c r="N2702">
        <v>1</v>
      </c>
      <c r="Q2702" t="s">
        <v>36006</v>
      </c>
      <c r="R2702" t="s">
        <v>29454</v>
      </c>
      <c r="S2702" t="s">
        <v>7456</v>
      </c>
      <c r="T2702" t="s">
        <v>30</v>
      </c>
      <c r="U2702" t="s">
        <v>26019</v>
      </c>
      <c r="W2702" t="s">
        <v>26009</v>
      </c>
    </row>
    <row r="2703" spans="1:23" x14ac:dyDescent="0.35">
      <c r="A2703">
        <v>668762</v>
      </c>
      <c r="B2703" t="s">
        <v>36007</v>
      </c>
      <c r="C2703" t="str">
        <f>"9780415873734"</f>
        <v>9780415873734</v>
      </c>
      <c r="D2703" t="str">
        <f>"9780203864258"</f>
        <v>9780203864258</v>
      </c>
      <c r="E2703" t="s">
        <v>26010</v>
      </c>
      <c r="F2703" t="s">
        <v>35</v>
      </c>
      <c r="G2703" t="s">
        <v>26201</v>
      </c>
      <c r="H2703" t="s">
        <v>26004</v>
      </c>
      <c r="I2703" s="26">
        <v>40562</v>
      </c>
      <c r="J2703">
        <v>2011</v>
      </c>
      <c r="K2703" t="s">
        <v>26012</v>
      </c>
      <c r="L2703">
        <v>545</v>
      </c>
      <c r="M2703" t="s">
        <v>36008</v>
      </c>
      <c r="N2703">
        <v>2</v>
      </c>
      <c r="Q2703" t="s">
        <v>36009</v>
      </c>
      <c r="R2703">
        <v>618.92852200000004</v>
      </c>
      <c r="S2703" t="s">
        <v>7800</v>
      </c>
      <c r="T2703" t="s">
        <v>30</v>
      </c>
      <c r="U2703" t="s">
        <v>26019</v>
      </c>
      <c r="W2703" t="s">
        <v>26009</v>
      </c>
    </row>
    <row r="2704" spans="1:23" x14ac:dyDescent="0.35">
      <c r="A2704">
        <v>668763</v>
      </c>
      <c r="B2704" t="s">
        <v>8612</v>
      </c>
      <c r="C2704" t="str">
        <f>"9781848728547"</f>
        <v>9781848728547</v>
      </c>
      <c r="D2704" t="str">
        <f>"9780203840023"</f>
        <v>9780203840023</v>
      </c>
      <c r="E2704" t="s">
        <v>26010</v>
      </c>
      <c r="F2704" t="s">
        <v>35</v>
      </c>
      <c r="G2704" t="s">
        <v>22174</v>
      </c>
      <c r="H2704" t="s">
        <v>26004</v>
      </c>
      <c r="I2704" s="26">
        <v>40557</v>
      </c>
      <c r="J2704">
        <v>2011</v>
      </c>
      <c r="K2704" t="s">
        <v>26012</v>
      </c>
      <c r="L2704">
        <v>541</v>
      </c>
      <c r="M2704" t="s">
        <v>36010</v>
      </c>
      <c r="N2704">
        <v>1</v>
      </c>
      <c r="O2704" t="s">
        <v>36011</v>
      </c>
      <c r="Q2704" t="s">
        <v>36012</v>
      </c>
      <c r="R2704">
        <v>174</v>
      </c>
      <c r="S2704" t="s">
        <v>36013</v>
      </c>
      <c r="T2704" t="s">
        <v>30</v>
      </c>
      <c r="U2704" t="s">
        <v>26135</v>
      </c>
      <c r="W2704" t="s">
        <v>26009</v>
      </c>
    </row>
    <row r="2705" spans="1:23" x14ac:dyDescent="0.35">
      <c r="A2705">
        <v>668764</v>
      </c>
      <c r="B2705" t="s">
        <v>36014</v>
      </c>
      <c r="C2705" t="str">
        <f>"9781848728608"</f>
        <v>9781848728608</v>
      </c>
      <c r="D2705" t="str">
        <f>"9780203835111"</f>
        <v>9780203835111</v>
      </c>
      <c r="E2705" t="s">
        <v>26010</v>
      </c>
      <c r="F2705" t="s">
        <v>35</v>
      </c>
      <c r="G2705" t="s">
        <v>22174</v>
      </c>
      <c r="H2705" t="s">
        <v>26011</v>
      </c>
      <c r="I2705" s="26">
        <v>40549</v>
      </c>
      <c r="J2705">
        <v>2011</v>
      </c>
      <c r="K2705" t="s">
        <v>660</v>
      </c>
      <c r="L2705">
        <v>303</v>
      </c>
      <c r="M2705" t="s">
        <v>36015</v>
      </c>
      <c r="N2705">
        <v>3</v>
      </c>
      <c r="Q2705" t="s">
        <v>36016</v>
      </c>
      <c r="R2705">
        <v>155.5</v>
      </c>
      <c r="S2705" t="s">
        <v>7453</v>
      </c>
      <c r="T2705" t="s">
        <v>30</v>
      </c>
      <c r="U2705" t="s">
        <v>46</v>
      </c>
      <c r="W2705" t="s">
        <v>36017</v>
      </c>
    </row>
    <row r="2706" spans="1:23" x14ac:dyDescent="0.35">
      <c r="A2706">
        <v>668765</v>
      </c>
      <c r="B2706" t="s">
        <v>36018</v>
      </c>
      <c r="C2706" t="str">
        <f>"9780415883733"</f>
        <v>9780415883733</v>
      </c>
      <c r="D2706" t="str">
        <f>"9780203843369"</f>
        <v>9780203843369</v>
      </c>
      <c r="E2706" t="s">
        <v>26010</v>
      </c>
      <c r="F2706" t="s">
        <v>35</v>
      </c>
      <c r="G2706" t="s">
        <v>22174</v>
      </c>
      <c r="H2706" t="s">
        <v>26011</v>
      </c>
      <c r="I2706" s="26">
        <v>40591</v>
      </c>
      <c r="J2706">
        <v>2011</v>
      </c>
      <c r="K2706" t="s">
        <v>26012</v>
      </c>
      <c r="L2706">
        <v>193</v>
      </c>
      <c r="M2706" t="s">
        <v>36019</v>
      </c>
      <c r="N2706">
        <v>1</v>
      </c>
      <c r="Q2706" t="s">
        <v>36020</v>
      </c>
      <c r="R2706" t="s">
        <v>26047</v>
      </c>
      <c r="S2706" t="s">
        <v>7676</v>
      </c>
      <c r="T2706" t="s">
        <v>30</v>
      </c>
      <c r="U2706" t="s">
        <v>46</v>
      </c>
      <c r="W2706" t="s">
        <v>26009</v>
      </c>
    </row>
    <row r="2707" spans="1:23" x14ac:dyDescent="0.35">
      <c r="A2707">
        <v>668767</v>
      </c>
      <c r="B2707" t="s">
        <v>36021</v>
      </c>
      <c r="C2707" t="str">
        <f>"9780415873932"</f>
        <v>9780415873932</v>
      </c>
      <c r="D2707" t="str">
        <f>"9780203864142"</f>
        <v>9780203864142</v>
      </c>
      <c r="E2707" t="s">
        <v>26010</v>
      </c>
      <c r="F2707" t="s">
        <v>35</v>
      </c>
      <c r="G2707" t="s">
        <v>22174</v>
      </c>
      <c r="H2707" t="s">
        <v>26011</v>
      </c>
      <c r="I2707" s="26">
        <v>40553</v>
      </c>
      <c r="J2707">
        <v>2011</v>
      </c>
      <c r="K2707" t="s">
        <v>26012</v>
      </c>
      <c r="L2707">
        <v>275</v>
      </c>
      <c r="M2707" t="s">
        <v>36022</v>
      </c>
      <c r="N2707">
        <v>1</v>
      </c>
      <c r="O2707" t="s">
        <v>36023</v>
      </c>
      <c r="Q2707" t="s">
        <v>36024</v>
      </c>
      <c r="R2707" t="s">
        <v>26308</v>
      </c>
      <c r="S2707" t="s">
        <v>8185</v>
      </c>
      <c r="T2707" t="s">
        <v>30</v>
      </c>
      <c r="U2707" t="s">
        <v>46</v>
      </c>
      <c r="W2707" t="s">
        <v>26009</v>
      </c>
    </row>
    <row r="2708" spans="1:23" x14ac:dyDescent="0.35">
      <c r="A2708">
        <v>668768</v>
      </c>
      <c r="B2708" t="s">
        <v>36025</v>
      </c>
      <c r="C2708" t="str">
        <f>"9780415871617"</f>
        <v>9780415871617</v>
      </c>
      <c r="D2708" t="str">
        <f>"9780203868553"</f>
        <v>9780203868553</v>
      </c>
      <c r="E2708" t="s">
        <v>26010</v>
      </c>
      <c r="F2708" t="s">
        <v>35</v>
      </c>
      <c r="G2708" t="s">
        <v>26201</v>
      </c>
      <c r="H2708" t="s">
        <v>26004</v>
      </c>
      <c r="I2708" s="26">
        <v>40532</v>
      </c>
      <c r="J2708">
        <v>2011</v>
      </c>
      <c r="K2708" t="s">
        <v>26012</v>
      </c>
      <c r="L2708">
        <v>341</v>
      </c>
      <c r="M2708" t="s">
        <v>36026</v>
      </c>
      <c r="N2708">
        <v>1</v>
      </c>
      <c r="O2708" t="s">
        <v>36023</v>
      </c>
      <c r="Q2708" t="s">
        <v>36027</v>
      </c>
      <c r="R2708">
        <v>150.1952</v>
      </c>
      <c r="S2708" t="s">
        <v>7661</v>
      </c>
      <c r="T2708" t="s">
        <v>30</v>
      </c>
      <c r="U2708" t="s">
        <v>46</v>
      </c>
      <c r="W2708" t="s">
        <v>26009</v>
      </c>
    </row>
    <row r="2709" spans="1:23" x14ac:dyDescent="0.35">
      <c r="A2709">
        <v>668799</v>
      </c>
      <c r="B2709" t="s">
        <v>9233</v>
      </c>
      <c r="C2709" t="str">
        <f>"9781841694894"</f>
        <v>9781841694894</v>
      </c>
      <c r="D2709" t="str">
        <f>"9780203835920"</f>
        <v>9780203835920</v>
      </c>
      <c r="E2709" t="s">
        <v>26010</v>
      </c>
      <c r="F2709" t="s">
        <v>35</v>
      </c>
      <c r="G2709" t="s">
        <v>22267</v>
      </c>
      <c r="H2709" t="s">
        <v>26011</v>
      </c>
      <c r="I2709" s="26">
        <v>40613</v>
      </c>
      <c r="J2709">
        <v>2011</v>
      </c>
      <c r="K2709" t="s">
        <v>660</v>
      </c>
      <c r="L2709">
        <v>369</v>
      </c>
      <c r="M2709" t="s">
        <v>36028</v>
      </c>
      <c r="N2709">
        <v>1</v>
      </c>
      <c r="O2709" t="s">
        <v>36029</v>
      </c>
      <c r="Q2709" t="s">
        <v>36030</v>
      </c>
      <c r="R2709">
        <v>612.82338300000004</v>
      </c>
      <c r="S2709" t="s">
        <v>9234</v>
      </c>
      <c r="T2709" t="s">
        <v>30</v>
      </c>
      <c r="U2709" t="s">
        <v>28784</v>
      </c>
      <c r="W2709" t="s">
        <v>26009</v>
      </c>
    </row>
    <row r="2710" spans="1:23" x14ac:dyDescent="0.35">
      <c r="A2710">
        <v>668854</v>
      </c>
      <c r="B2710" t="s">
        <v>36031</v>
      </c>
      <c r="C2710" t="str">
        <f>"9780415390385"</f>
        <v>9780415390385</v>
      </c>
      <c r="D2710" t="str">
        <f>"9780203816332"</f>
        <v>9780203816332</v>
      </c>
      <c r="E2710" t="s">
        <v>26010</v>
      </c>
      <c r="F2710" t="s">
        <v>35</v>
      </c>
      <c r="G2710" t="s">
        <v>22174</v>
      </c>
      <c r="H2710" t="s">
        <v>26011</v>
      </c>
      <c r="I2710" s="26">
        <v>40666</v>
      </c>
      <c r="J2710">
        <v>2011</v>
      </c>
      <c r="K2710" t="s">
        <v>26012</v>
      </c>
      <c r="L2710">
        <v>209</v>
      </c>
      <c r="M2710" t="s">
        <v>36032</v>
      </c>
      <c r="N2710">
        <v>1</v>
      </c>
      <c r="Q2710" t="s">
        <v>36033</v>
      </c>
      <c r="R2710">
        <v>150.19499999999999</v>
      </c>
      <c r="S2710" t="s">
        <v>7832</v>
      </c>
      <c r="T2710" t="s">
        <v>30</v>
      </c>
      <c r="U2710" t="s">
        <v>26520</v>
      </c>
      <c r="W2710" t="s">
        <v>26009</v>
      </c>
    </row>
    <row r="2711" spans="1:23" x14ac:dyDescent="0.35">
      <c r="A2711">
        <v>668865</v>
      </c>
      <c r="B2711" t="s">
        <v>36034</v>
      </c>
      <c r="C2711" t="str">
        <f>"9780415874052"</f>
        <v>9780415874052</v>
      </c>
      <c r="D2711" t="str">
        <f>"9780203863572"</f>
        <v>9780203863572</v>
      </c>
      <c r="E2711" t="s">
        <v>26010</v>
      </c>
      <c r="F2711" t="s">
        <v>35</v>
      </c>
      <c r="G2711" t="s">
        <v>26201</v>
      </c>
      <c r="H2711" t="s">
        <v>26004</v>
      </c>
      <c r="I2711" s="26">
        <v>40602</v>
      </c>
      <c r="J2711">
        <v>2011</v>
      </c>
      <c r="K2711" t="s">
        <v>26012</v>
      </c>
      <c r="L2711">
        <v>347</v>
      </c>
      <c r="M2711" t="s">
        <v>36035</v>
      </c>
      <c r="N2711">
        <v>1</v>
      </c>
      <c r="O2711" t="s">
        <v>35560</v>
      </c>
      <c r="Q2711" t="s">
        <v>36036</v>
      </c>
      <c r="R2711" t="s">
        <v>29813</v>
      </c>
      <c r="S2711" t="s">
        <v>36037</v>
      </c>
      <c r="T2711" t="s">
        <v>30</v>
      </c>
      <c r="U2711" t="s">
        <v>26019</v>
      </c>
      <c r="W2711" t="s">
        <v>26009</v>
      </c>
    </row>
    <row r="2712" spans="1:23" x14ac:dyDescent="0.35">
      <c r="A2712">
        <v>668868</v>
      </c>
      <c r="B2712" t="s">
        <v>36038</v>
      </c>
      <c r="C2712" t="str">
        <f>"9780415885577"</f>
        <v>9780415885577</v>
      </c>
      <c r="D2712" t="str">
        <f>"9780203839409"</f>
        <v>9780203839409</v>
      </c>
      <c r="E2712" t="s">
        <v>26010</v>
      </c>
      <c r="F2712" t="s">
        <v>35</v>
      </c>
      <c r="G2712" t="s">
        <v>26201</v>
      </c>
      <c r="H2712" t="s">
        <v>26004</v>
      </c>
      <c r="I2712" s="26">
        <v>40604</v>
      </c>
      <c r="J2712">
        <v>2011</v>
      </c>
      <c r="K2712" t="s">
        <v>26012</v>
      </c>
      <c r="L2712">
        <v>325</v>
      </c>
      <c r="M2712" t="s">
        <v>36039</v>
      </c>
      <c r="N2712">
        <v>1</v>
      </c>
      <c r="Q2712" t="s">
        <v>36040</v>
      </c>
      <c r="R2712">
        <v>618.92891399999996</v>
      </c>
      <c r="S2712" t="s">
        <v>36041</v>
      </c>
      <c r="T2712" t="s">
        <v>30</v>
      </c>
      <c r="U2712" t="s">
        <v>26019</v>
      </c>
      <c r="W2712" t="s">
        <v>26009</v>
      </c>
    </row>
    <row r="2713" spans="1:23" x14ac:dyDescent="0.35">
      <c r="A2713">
        <v>668962</v>
      </c>
      <c r="B2713" t="s">
        <v>36042</v>
      </c>
      <c r="C2713" t="str">
        <f>"9789042032590"</f>
        <v>9789042032590</v>
      </c>
      <c r="D2713" t="str">
        <f>"9789042032606"</f>
        <v>9789042032606</v>
      </c>
      <c r="E2713" t="s">
        <v>4602</v>
      </c>
      <c r="F2713" t="s">
        <v>27</v>
      </c>
      <c r="G2713" t="s">
        <v>22231</v>
      </c>
      <c r="H2713" t="s">
        <v>26004</v>
      </c>
      <c r="I2713" s="26">
        <v>40544</v>
      </c>
      <c r="J2713">
        <v>2011</v>
      </c>
      <c r="K2713" t="s">
        <v>34659</v>
      </c>
      <c r="L2713">
        <v>157</v>
      </c>
      <c r="M2713" t="s">
        <v>36043</v>
      </c>
      <c r="N2713">
        <v>1</v>
      </c>
      <c r="O2713" t="s">
        <v>34749</v>
      </c>
      <c r="P2713">
        <v>28</v>
      </c>
      <c r="Q2713" t="s">
        <v>36044</v>
      </c>
      <c r="S2713" t="s">
        <v>36045</v>
      </c>
      <c r="T2713" t="s">
        <v>30</v>
      </c>
      <c r="U2713" t="s">
        <v>46</v>
      </c>
      <c r="W2713" t="s">
        <v>26009</v>
      </c>
    </row>
    <row r="2714" spans="1:23" x14ac:dyDescent="0.35">
      <c r="A2714">
        <v>668993</v>
      </c>
      <c r="B2714" t="s">
        <v>36046</v>
      </c>
      <c r="C2714" t="str">
        <f>"9780415800662"</f>
        <v>9780415800662</v>
      </c>
      <c r="D2714" t="str">
        <f>"9780203877661"</f>
        <v>9780203877661</v>
      </c>
      <c r="E2714" t="s">
        <v>26010</v>
      </c>
      <c r="F2714" t="s">
        <v>35</v>
      </c>
      <c r="G2714" t="s">
        <v>22174</v>
      </c>
      <c r="H2714" t="s">
        <v>26011</v>
      </c>
      <c r="I2714" s="26">
        <v>40106</v>
      </c>
      <c r="J2714">
        <v>2010</v>
      </c>
      <c r="K2714" t="s">
        <v>26012</v>
      </c>
      <c r="L2714">
        <v>269</v>
      </c>
      <c r="M2714" t="s">
        <v>36047</v>
      </c>
      <c r="N2714">
        <v>1</v>
      </c>
      <c r="Q2714" t="s">
        <v>36048</v>
      </c>
      <c r="R2714">
        <v>158.1</v>
      </c>
      <c r="S2714" t="s">
        <v>7788</v>
      </c>
      <c r="T2714" t="s">
        <v>30</v>
      </c>
      <c r="U2714" t="s">
        <v>46</v>
      </c>
      <c r="W2714" t="s">
        <v>26009</v>
      </c>
    </row>
    <row r="2715" spans="1:23" x14ac:dyDescent="0.35">
      <c r="A2715">
        <v>669694</v>
      </c>
      <c r="B2715" t="s">
        <v>36049</v>
      </c>
      <c r="C2715" t="str">
        <f>"9780765627179"</f>
        <v>9780765627179</v>
      </c>
      <c r="D2715" t="str">
        <f>"9780765627193"</f>
        <v>9780765627193</v>
      </c>
      <c r="E2715" t="s">
        <v>26010</v>
      </c>
      <c r="F2715" t="s">
        <v>35</v>
      </c>
      <c r="G2715" t="s">
        <v>36050</v>
      </c>
      <c r="H2715" t="s">
        <v>26004</v>
      </c>
      <c r="I2715" s="26">
        <v>40589</v>
      </c>
      <c r="J2715">
        <v>2011</v>
      </c>
      <c r="K2715" t="s">
        <v>26012</v>
      </c>
      <c r="L2715">
        <v>421</v>
      </c>
      <c r="M2715" t="s">
        <v>36051</v>
      </c>
      <c r="N2715">
        <v>1</v>
      </c>
      <c r="Q2715" t="s">
        <v>36052</v>
      </c>
      <c r="R2715">
        <v>362.19639799999999</v>
      </c>
      <c r="S2715" t="s">
        <v>36053</v>
      </c>
      <c r="T2715" t="s">
        <v>30</v>
      </c>
      <c r="U2715" t="s">
        <v>26250</v>
      </c>
      <c r="W2715" t="s">
        <v>26009</v>
      </c>
    </row>
    <row r="2716" spans="1:23" x14ac:dyDescent="0.35">
      <c r="A2716">
        <v>669766</v>
      </c>
      <c r="B2716" t="s">
        <v>10074</v>
      </c>
      <c r="C2716" t="str">
        <f>"9780833051219"</f>
        <v>9780833051219</v>
      </c>
      <c r="D2716" t="str">
        <f>"9780833051608"</f>
        <v>9780833051608</v>
      </c>
      <c r="E2716" t="s">
        <v>30602</v>
      </c>
      <c r="F2716" t="s">
        <v>8236</v>
      </c>
      <c r="G2716" t="s">
        <v>22307</v>
      </c>
      <c r="H2716" t="s">
        <v>26004</v>
      </c>
      <c r="I2716" s="26">
        <v>40532</v>
      </c>
      <c r="J2716">
        <v>2011</v>
      </c>
      <c r="K2716" t="s">
        <v>30603</v>
      </c>
      <c r="L2716">
        <v>58</v>
      </c>
      <c r="M2716" t="s">
        <v>36054</v>
      </c>
      <c r="N2716">
        <v>1</v>
      </c>
      <c r="Q2716" t="s">
        <v>36055</v>
      </c>
      <c r="R2716" t="s">
        <v>36056</v>
      </c>
      <c r="S2716" t="s">
        <v>36057</v>
      </c>
      <c r="T2716" t="s">
        <v>30</v>
      </c>
      <c r="U2716" t="s">
        <v>26044</v>
      </c>
      <c r="W2716" t="s">
        <v>26009</v>
      </c>
    </row>
    <row r="2717" spans="1:23" x14ac:dyDescent="0.35">
      <c r="A2717">
        <v>669768</v>
      </c>
      <c r="B2717" t="s">
        <v>8235</v>
      </c>
      <c r="C2717" t="str">
        <f>"9780833050397"</f>
        <v>9780833050397</v>
      </c>
      <c r="D2717" t="str">
        <f>"9780833051622"</f>
        <v>9780833051622</v>
      </c>
      <c r="E2717" t="s">
        <v>30602</v>
      </c>
      <c r="F2717" t="s">
        <v>8236</v>
      </c>
      <c r="G2717" t="s">
        <v>22307</v>
      </c>
      <c r="H2717" t="s">
        <v>26004</v>
      </c>
      <c r="I2717" s="26">
        <v>40528</v>
      </c>
      <c r="J2717">
        <v>2010</v>
      </c>
      <c r="K2717" t="s">
        <v>30603</v>
      </c>
      <c r="L2717">
        <v>92</v>
      </c>
      <c r="M2717" t="s">
        <v>36058</v>
      </c>
      <c r="N2717">
        <v>1</v>
      </c>
      <c r="Q2717" t="s">
        <v>36059</v>
      </c>
      <c r="R2717">
        <v>363.32509567</v>
      </c>
      <c r="S2717" t="s">
        <v>36060</v>
      </c>
      <c r="T2717" t="s">
        <v>30</v>
      </c>
      <c r="U2717" t="s">
        <v>26044</v>
      </c>
      <c r="W2717" t="s">
        <v>26009</v>
      </c>
    </row>
    <row r="2718" spans="1:23" x14ac:dyDescent="0.35">
      <c r="A2718">
        <v>669796</v>
      </c>
      <c r="B2718" t="s">
        <v>8214</v>
      </c>
      <c r="C2718" t="str">
        <f>"9780765708151"</f>
        <v>9780765708151</v>
      </c>
      <c r="D2718" t="str">
        <f>"9780765708175"</f>
        <v>9780765708175</v>
      </c>
      <c r="E2718" t="s">
        <v>33803</v>
      </c>
      <c r="F2718" t="s">
        <v>38</v>
      </c>
      <c r="G2718" t="s">
        <v>34138</v>
      </c>
      <c r="H2718" t="s">
        <v>26004</v>
      </c>
      <c r="I2718" s="26">
        <v>40617</v>
      </c>
      <c r="J2718">
        <v>2011</v>
      </c>
      <c r="K2718" t="s">
        <v>33811</v>
      </c>
      <c r="L2718">
        <v>232</v>
      </c>
      <c r="M2718" t="s">
        <v>36061</v>
      </c>
      <c r="N2718">
        <v>1</v>
      </c>
      <c r="Q2718" t="s">
        <v>36062</v>
      </c>
      <c r="R2718" t="s">
        <v>28066</v>
      </c>
      <c r="S2718" t="s">
        <v>36063</v>
      </c>
      <c r="T2718" t="s">
        <v>30</v>
      </c>
      <c r="U2718" t="s">
        <v>26019</v>
      </c>
      <c r="W2718" t="s">
        <v>26009</v>
      </c>
    </row>
    <row r="2719" spans="1:23" x14ac:dyDescent="0.35">
      <c r="A2719">
        <v>670162</v>
      </c>
      <c r="B2719" t="s">
        <v>7905</v>
      </c>
      <c r="C2719" t="str">
        <f>"9781609181338"</f>
        <v>9781609181338</v>
      </c>
      <c r="D2719" t="str">
        <f>"9781609181345"</f>
        <v>9781609181345</v>
      </c>
      <c r="E2719" t="s">
        <v>30112</v>
      </c>
      <c r="F2719" t="s">
        <v>7420</v>
      </c>
      <c r="G2719" t="s">
        <v>22179</v>
      </c>
      <c r="H2719" t="s">
        <v>26004</v>
      </c>
      <c r="I2719" s="26">
        <v>40588</v>
      </c>
      <c r="J2719">
        <v>2011</v>
      </c>
      <c r="K2719" t="s">
        <v>30113</v>
      </c>
      <c r="L2719">
        <v>192</v>
      </c>
      <c r="M2719" t="s">
        <v>36064</v>
      </c>
      <c r="N2719">
        <v>1</v>
      </c>
      <c r="O2719" t="s">
        <v>31750</v>
      </c>
      <c r="R2719" t="s">
        <v>36065</v>
      </c>
      <c r="S2719" t="s">
        <v>36066</v>
      </c>
      <c r="T2719" t="s">
        <v>30</v>
      </c>
      <c r="U2719" t="s">
        <v>337</v>
      </c>
      <c r="W2719" t="s">
        <v>28347</v>
      </c>
    </row>
    <row r="2720" spans="1:23" x14ac:dyDescent="0.35">
      <c r="A2720">
        <v>670165</v>
      </c>
      <c r="B2720" t="s">
        <v>8822</v>
      </c>
      <c r="C2720" t="str">
        <f>"9781609180607"</f>
        <v>9781609180607</v>
      </c>
      <c r="D2720" t="str">
        <f>"9781609180614"</f>
        <v>9781609180614</v>
      </c>
      <c r="E2720" t="s">
        <v>30112</v>
      </c>
      <c r="F2720" t="s">
        <v>7420</v>
      </c>
      <c r="G2720" t="s">
        <v>22179</v>
      </c>
      <c r="H2720" t="s">
        <v>26004</v>
      </c>
      <c r="I2720" s="26">
        <v>40613</v>
      </c>
      <c r="J2720">
        <v>2011</v>
      </c>
      <c r="K2720" t="s">
        <v>30113</v>
      </c>
      <c r="L2720">
        <v>240</v>
      </c>
      <c r="M2720" t="s">
        <v>36067</v>
      </c>
      <c r="N2720">
        <v>1</v>
      </c>
      <c r="Q2720" t="s">
        <v>36068</v>
      </c>
      <c r="R2720" t="s">
        <v>36069</v>
      </c>
      <c r="S2720" t="s">
        <v>36070</v>
      </c>
      <c r="T2720" t="s">
        <v>30</v>
      </c>
      <c r="U2720" t="s">
        <v>26116</v>
      </c>
      <c r="W2720" t="s">
        <v>28347</v>
      </c>
    </row>
    <row r="2721" spans="1:23" x14ac:dyDescent="0.35">
      <c r="A2721">
        <v>670167</v>
      </c>
      <c r="B2721" t="s">
        <v>36071</v>
      </c>
      <c r="C2721" t="str">
        <f>"9781609181550"</f>
        <v>9781609181550</v>
      </c>
      <c r="D2721" t="str">
        <f>"9781609181567"</f>
        <v>9781609181567</v>
      </c>
      <c r="E2721" t="s">
        <v>30112</v>
      </c>
      <c r="F2721" t="s">
        <v>7420</v>
      </c>
      <c r="G2721" t="s">
        <v>22179</v>
      </c>
      <c r="H2721" t="s">
        <v>26004</v>
      </c>
      <c r="I2721" s="26">
        <v>40592</v>
      </c>
      <c r="J2721">
        <v>2011</v>
      </c>
      <c r="K2721" t="s">
        <v>30113</v>
      </c>
      <c r="L2721">
        <v>320</v>
      </c>
      <c r="M2721" t="s">
        <v>36072</v>
      </c>
      <c r="N2721">
        <v>1</v>
      </c>
      <c r="Q2721" t="s">
        <v>36073</v>
      </c>
      <c r="R2721" t="s">
        <v>36074</v>
      </c>
      <c r="S2721" t="s">
        <v>36075</v>
      </c>
      <c r="T2721" t="s">
        <v>30</v>
      </c>
      <c r="U2721" t="s">
        <v>27319</v>
      </c>
      <c r="W2721" t="s">
        <v>28347</v>
      </c>
    </row>
    <row r="2722" spans="1:23" x14ac:dyDescent="0.35">
      <c r="A2722">
        <v>670270</v>
      </c>
      <c r="B2722" t="s">
        <v>36076</v>
      </c>
      <c r="C2722" t="str">
        <f>"9780253355973"</f>
        <v>9780253355973</v>
      </c>
      <c r="D2722" t="str">
        <f>"9780253005120"</f>
        <v>9780253005120</v>
      </c>
      <c r="E2722" t="s">
        <v>7540</v>
      </c>
      <c r="F2722" t="s">
        <v>7540</v>
      </c>
      <c r="G2722" t="s">
        <v>24303</v>
      </c>
      <c r="H2722" t="s">
        <v>26004</v>
      </c>
      <c r="I2722" s="26">
        <v>40588</v>
      </c>
      <c r="J2722">
        <v>2011</v>
      </c>
      <c r="K2722" t="s">
        <v>7540</v>
      </c>
      <c r="L2722">
        <v>244</v>
      </c>
      <c r="M2722" t="s">
        <v>36077</v>
      </c>
      <c r="N2722">
        <v>1</v>
      </c>
      <c r="Q2722" t="s">
        <v>36078</v>
      </c>
      <c r="R2722" t="s">
        <v>36079</v>
      </c>
      <c r="S2722" t="s">
        <v>36080</v>
      </c>
      <c r="T2722" t="s">
        <v>30</v>
      </c>
      <c r="U2722" t="s">
        <v>26044</v>
      </c>
      <c r="W2722" t="s">
        <v>26009</v>
      </c>
    </row>
    <row r="2723" spans="1:23" x14ac:dyDescent="0.35">
      <c r="A2723">
        <v>670539</v>
      </c>
      <c r="B2723" t="s">
        <v>36081</v>
      </c>
      <c r="C2723" t="str">
        <f>"9789027221445"</f>
        <v>9789027221445</v>
      </c>
      <c r="D2723" t="str">
        <f>"9789027285805"</f>
        <v>9789027285805</v>
      </c>
      <c r="E2723" t="s">
        <v>35211</v>
      </c>
      <c r="F2723" t="s">
        <v>7610</v>
      </c>
      <c r="G2723" t="s">
        <v>22222</v>
      </c>
      <c r="H2723" t="s">
        <v>27983</v>
      </c>
      <c r="I2723" s="26">
        <v>34516</v>
      </c>
      <c r="J2723">
        <v>1994</v>
      </c>
      <c r="K2723" t="s">
        <v>7610</v>
      </c>
      <c r="L2723">
        <v>365</v>
      </c>
      <c r="M2723" t="s">
        <v>36082</v>
      </c>
      <c r="N2723">
        <v>1</v>
      </c>
      <c r="O2723" t="s">
        <v>36083</v>
      </c>
      <c r="Q2723" t="s">
        <v>36084</v>
      </c>
      <c r="R2723" t="s">
        <v>36085</v>
      </c>
      <c r="S2723" t="s">
        <v>36086</v>
      </c>
      <c r="T2723" t="s">
        <v>30</v>
      </c>
      <c r="U2723" t="s">
        <v>28384</v>
      </c>
      <c r="W2723" t="s">
        <v>26009</v>
      </c>
    </row>
    <row r="2724" spans="1:23" x14ac:dyDescent="0.35">
      <c r="A2724">
        <v>672401</v>
      </c>
      <c r="B2724" t="s">
        <v>8365</v>
      </c>
      <c r="C2724" t="str">
        <f>"9780415550666"</f>
        <v>9780415550666</v>
      </c>
      <c r="D2724" t="str">
        <f>"9780203816769"</f>
        <v>9780203816769</v>
      </c>
      <c r="E2724" t="s">
        <v>26010</v>
      </c>
      <c r="F2724" t="s">
        <v>35</v>
      </c>
      <c r="G2724" t="s">
        <v>26201</v>
      </c>
      <c r="H2724" t="s">
        <v>26004</v>
      </c>
      <c r="I2724" s="26">
        <v>40661</v>
      </c>
      <c r="J2724">
        <v>2011</v>
      </c>
      <c r="K2724" t="s">
        <v>26012</v>
      </c>
      <c r="L2724">
        <v>225</v>
      </c>
      <c r="M2724" t="s">
        <v>36087</v>
      </c>
      <c r="N2724">
        <v>1</v>
      </c>
      <c r="Q2724" t="s">
        <v>36088</v>
      </c>
      <c r="R2724" t="s">
        <v>36089</v>
      </c>
      <c r="S2724" t="s">
        <v>36090</v>
      </c>
      <c r="T2724" t="s">
        <v>30</v>
      </c>
      <c r="U2724" t="s">
        <v>36091</v>
      </c>
      <c r="W2724" t="s">
        <v>26009</v>
      </c>
    </row>
    <row r="2725" spans="1:23" x14ac:dyDescent="0.35">
      <c r="A2725">
        <v>672403</v>
      </c>
      <c r="B2725" t="s">
        <v>8980</v>
      </c>
      <c r="C2725" t="str">
        <f>"9780415550642"</f>
        <v>9780415550642</v>
      </c>
      <c r="D2725" t="str">
        <f>"9780203817193"</f>
        <v>9780203817193</v>
      </c>
      <c r="E2725" t="s">
        <v>26010</v>
      </c>
      <c r="F2725" t="s">
        <v>35</v>
      </c>
      <c r="G2725" t="s">
        <v>26201</v>
      </c>
      <c r="H2725" t="s">
        <v>26004</v>
      </c>
      <c r="I2725" s="26">
        <v>40665</v>
      </c>
      <c r="J2725">
        <v>2011</v>
      </c>
      <c r="K2725" t="s">
        <v>26012</v>
      </c>
      <c r="L2725">
        <v>225</v>
      </c>
      <c r="M2725" t="s">
        <v>36092</v>
      </c>
      <c r="N2725">
        <v>1</v>
      </c>
      <c r="Q2725" t="s">
        <v>36093</v>
      </c>
      <c r="R2725">
        <v>158.1</v>
      </c>
      <c r="S2725" t="s">
        <v>36094</v>
      </c>
      <c r="T2725" t="s">
        <v>30</v>
      </c>
      <c r="U2725" t="s">
        <v>46</v>
      </c>
      <c r="W2725" t="s">
        <v>26009</v>
      </c>
    </row>
    <row r="2726" spans="1:23" x14ac:dyDescent="0.35">
      <c r="A2726">
        <v>672405</v>
      </c>
      <c r="B2726" t="s">
        <v>36095</v>
      </c>
      <c r="C2726" t="str">
        <f>"9781848729254"</f>
        <v>9781848729254</v>
      </c>
      <c r="D2726" t="str">
        <f>"9780203813393"</f>
        <v>9780203813393</v>
      </c>
      <c r="E2726" t="s">
        <v>26010</v>
      </c>
      <c r="F2726" t="s">
        <v>35</v>
      </c>
      <c r="G2726" t="s">
        <v>22174</v>
      </c>
      <c r="H2726" t="s">
        <v>26004</v>
      </c>
      <c r="I2726" s="26">
        <v>40627</v>
      </c>
      <c r="J2726">
        <v>2011</v>
      </c>
      <c r="K2726" t="s">
        <v>660</v>
      </c>
      <c r="L2726">
        <v>489</v>
      </c>
      <c r="M2726" t="s">
        <v>36096</v>
      </c>
      <c r="N2726">
        <v>1</v>
      </c>
      <c r="Q2726" t="s">
        <v>36097</v>
      </c>
      <c r="R2726">
        <v>155</v>
      </c>
      <c r="S2726" t="s">
        <v>36098</v>
      </c>
      <c r="T2726" t="s">
        <v>30</v>
      </c>
      <c r="U2726" t="s">
        <v>46</v>
      </c>
      <c r="W2726" t="s">
        <v>26009</v>
      </c>
    </row>
    <row r="2727" spans="1:23" x14ac:dyDescent="0.35">
      <c r="A2727">
        <v>672406</v>
      </c>
      <c r="B2727" t="s">
        <v>36099</v>
      </c>
      <c r="C2727" t="str">
        <f>"9781848729261"</f>
        <v>9781848729261</v>
      </c>
      <c r="D2727" t="str">
        <f>"9780203813386"</f>
        <v>9780203813386</v>
      </c>
      <c r="E2727" t="s">
        <v>26010</v>
      </c>
      <c r="F2727" t="s">
        <v>35</v>
      </c>
      <c r="G2727" t="s">
        <v>26128</v>
      </c>
      <c r="H2727" t="s">
        <v>26011</v>
      </c>
      <c r="I2727" s="26">
        <v>40627</v>
      </c>
      <c r="J2727">
        <v>2011</v>
      </c>
      <c r="K2727" t="s">
        <v>660</v>
      </c>
      <c r="L2727">
        <v>537</v>
      </c>
      <c r="M2727" t="s">
        <v>36100</v>
      </c>
      <c r="N2727">
        <v>1</v>
      </c>
      <c r="R2727">
        <v>155.25</v>
      </c>
      <c r="S2727" t="s">
        <v>9869</v>
      </c>
      <c r="T2727" t="s">
        <v>30</v>
      </c>
      <c r="U2727" t="s">
        <v>46</v>
      </c>
      <c r="W2727" t="s">
        <v>26009</v>
      </c>
    </row>
    <row r="2728" spans="1:23" x14ac:dyDescent="0.35">
      <c r="A2728">
        <v>672407</v>
      </c>
      <c r="B2728" t="s">
        <v>36101</v>
      </c>
      <c r="C2728" t="str">
        <f>"9781841697352"</f>
        <v>9781841697352</v>
      </c>
      <c r="D2728" t="str">
        <f>"9780203813225"</f>
        <v>9780203813225</v>
      </c>
      <c r="E2728" t="s">
        <v>26010</v>
      </c>
      <c r="F2728" t="s">
        <v>35</v>
      </c>
      <c r="G2728" t="s">
        <v>22174</v>
      </c>
      <c r="H2728" t="s">
        <v>26004</v>
      </c>
      <c r="I2728" s="26">
        <v>40625</v>
      </c>
      <c r="J2728">
        <v>2011</v>
      </c>
      <c r="K2728" t="s">
        <v>660</v>
      </c>
      <c r="L2728">
        <v>257</v>
      </c>
      <c r="M2728" t="s">
        <v>36102</v>
      </c>
      <c r="N2728">
        <v>1</v>
      </c>
      <c r="O2728" t="s">
        <v>36103</v>
      </c>
      <c r="Q2728" t="s">
        <v>36104</v>
      </c>
      <c r="R2728" t="s">
        <v>36105</v>
      </c>
      <c r="S2728" t="s">
        <v>36106</v>
      </c>
      <c r="T2728" t="s">
        <v>30</v>
      </c>
      <c r="U2728" t="s">
        <v>46</v>
      </c>
      <c r="W2728" t="s">
        <v>26009</v>
      </c>
    </row>
    <row r="2729" spans="1:23" x14ac:dyDescent="0.35">
      <c r="A2729">
        <v>672420</v>
      </c>
      <c r="B2729" t="s">
        <v>36107</v>
      </c>
      <c r="C2729" t="str">
        <f>"9780415479257"</f>
        <v>9780415479257</v>
      </c>
      <c r="D2729" t="str">
        <f>"9780203882825"</f>
        <v>9780203882825</v>
      </c>
      <c r="E2729" t="s">
        <v>26010</v>
      </c>
      <c r="F2729" t="s">
        <v>35</v>
      </c>
      <c r="G2729" t="s">
        <v>22174</v>
      </c>
      <c r="H2729" t="s">
        <v>26011</v>
      </c>
      <c r="I2729" s="26">
        <v>40666</v>
      </c>
      <c r="J2729">
        <v>2011</v>
      </c>
      <c r="K2729" t="s">
        <v>26012</v>
      </c>
      <c r="L2729">
        <v>209</v>
      </c>
      <c r="M2729" t="s">
        <v>36108</v>
      </c>
      <c r="N2729">
        <v>1</v>
      </c>
      <c r="Q2729" t="s">
        <v>36109</v>
      </c>
      <c r="R2729" t="s">
        <v>26308</v>
      </c>
      <c r="S2729" t="s">
        <v>9544</v>
      </c>
      <c r="T2729" t="s">
        <v>30</v>
      </c>
      <c r="U2729" t="s">
        <v>46</v>
      </c>
      <c r="W2729" t="s">
        <v>26009</v>
      </c>
    </row>
    <row r="2730" spans="1:23" x14ac:dyDescent="0.35">
      <c r="A2730">
        <v>672423</v>
      </c>
      <c r="B2730" t="s">
        <v>8410</v>
      </c>
      <c r="C2730" t="str">
        <f>"9780415574839"</f>
        <v>9780415574839</v>
      </c>
      <c r="D2730" t="str">
        <f>"9780203854914"</f>
        <v>9780203854914</v>
      </c>
      <c r="E2730" t="s">
        <v>26010</v>
      </c>
      <c r="F2730" t="s">
        <v>35</v>
      </c>
      <c r="G2730" t="s">
        <v>22174</v>
      </c>
      <c r="H2730" t="s">
        <v>26011</v>
      </c>
      <c r="I2730" s="26">
        <v>40661</v>
      </c>
      <c r="J2730">
        <v>2011</v>
      </c>
      <c r="K2730" t="s">
        <v>26012</v>
      </c>
      <c r="L2730">
        <v>113</v>
      </c>
      <c r="M2730" t="s">
        <v>26181</v>
      </c>
      <c r="N2730">
        <v>1</v>
      </c>
      <c r="O2730" t="s">
        <v>36110</v>
      </c>
      <c r="Q2730" t="s">
        <v>36111</v>
      </c>
      <c r="R2730">
        <v>152.4</v>
      </c>
      <c r="S2730" t="s">
        <v>8411</v>
      </c>
      <c r="T2730" t="s">
        <v>30</v>
      </c>
      <c r="U2730" t="s">
        <v>46</v>
      </c>
      <c r="W2730" t="s">
        <v>26009</v>
      </c>
    </row>
    <row r="2731" spans="1:23" x14ac:dyDescent="0.35">
      <c r="A2731">
        <v>672430</v>
      </c>
      <c r="B2731" t="s">
        <v>36112</v>
      </c>
      <c r="C2731" t="str">
        <f>"9780805849851"</f>
        <v>9780805849851</v>
      </c>
      <c r="D2731" t="str">
        <f>"9780203829653"</f>
        <v>9780203829653</v>
      </c>
      <c r="E2731" t="s">
        <v>26010</v>
      </c>
      <c r="F2731" t="s">
        <v>35</v>
      </c>
      <c r="G2731" t="s">
        <v>22174</v>
      </c>
      <c r="H2731" t="s">
        <v>26004</v>
      </c>
      <c r="I2731" s="26">
        <v>40644</v>
      </c>
      <c r="J2731">
        <v>2011</v>
      </c>
      <c r="K2731" t="s">
        <v>660</v>
      </c>
      <c r="L2731">
        <v>319</v>
      </c>
      <c r="M2731" t="s">
        <v>36113</v>
      </c>
      <c r="N2731">
        <v>1</v>
      </c>
      <c r="Q2731" t="s">
        <v>36114</v>
      </c>
      <c r="R2731">
        <v>616.79999999999995</v>
      </c>
      <c r="S2731" t="s">
        <v>7959</v>
      </c>
      <c r="T2731" t="s">
        <v>30</v>
      </c>
      <c r="U2731" t="s">
        <v>26040</v>
      </c>
      <c r="W2731" t="s">
        <v>26009</v>
      </c>
    </row>
    <row r="2732" spans="1:23" x14ac:dyDescent="0.35">
      <c r="A2732">
        <v>672444</v>
      </c>
      <c r="B2732" t="s">
        <v>8370</v>
      </c>
      <c r="C2732" t="str">
        <f>"9780415565622"</f>
        <v>9780415565622</v>
      </c>
      <c r="D2732" t="str">
        <f>"9780203818923"</f>
        <v>9780203818923</v>
      </c>
      <c r="E2732" t="s">
        <v>26010</v>
      </c>
      <c r="F2732" t="s">
        <v>35</v>
      </c>
      <c r="G2732" t="s">
        <v>26201</v>
      </c>
      <c r="H2732" t="s">
        <v>26004</v>
      </c>
      <c r="I2732" s="26">
        <v>40665</v>
      </c>
      <c r="J2732">
        <v>2011</v>
      </c>
      <c r="K2732" t="s">
        <v>26012</v>
      </c>
      <c r="L2732">
        <v>305</v>
      </c>
      <c r="M2732" t="s">
        <v>36115</v>
      </c>
      <c r="N2732">
        <v>1</v>
      </c>
      <c r="Q2732" t="s">
        <v>36116</v>
      </c>
      <c r="R2732" t="s">
        <v>36117</v>
      </c>
      <c r="S2732" t="s">
        <v>8371</v>
      </c>
      <c r="T2732" t="s">
        <v>30</v>
      </c>
      <c r="U2732" t="s">
        <v>46</v>
      </c>
      <c r="W2732" t="s">
        <v>26009</v>
      </c>
    </row>
    <row r="2733" spans="1:23" x14ac:dyDescent="0.35">
      <c r="A2733">
        <v>674523</v>
      </c>
      <c r="B2733" t="s">
        <v>36118</v>
      </c>
      <c r="C2733" t="str">
        <f>"9781409405436"</f>
        <v>9781409405436</v>
      </c>
      <c r="D2733" t="str">
        <f>"9781409405443"</f>
        <v>9781409405443</v>
      </c>
      <c r="E2733" t="s">
        <v>26010</v>
      </c>
      <c r="F2733" t="s">
        <v>35</v>
      </c>
      <c r="G2733" t="s">
        <v>33516</v>
      </c>
      <c r="H2733" t="s">
        <v>26011</v>
      </c>
      <c r="I2733" s="26">
        <v>40672</v>
      </c>
      <c r="J2733">
        <v>2011</v>
      </c>
      <c r="K2733" t="s">
        <v>26012</v>
      </c>
      <c r="L2733">
        <v>324</v>
      </c>
      <c r="M2733" t="s">
        <v>36119</v>
      </c>
      <c r="N2733">
        <v>1</v>
      </c>
      <c r="Q2733" t="s">
        <v>36120</v>
      </c>
      <c r="R2733">
        <v>306.10000000000002</v>
      </c>
      <c r="S2733" t="s">
        <v>36121</v>
      </c>
      <c r="T2733" t="s">
        <v>30</v>
      </c>
      <c r="U2733" t="s">
        <v>26044</v>
      </c>
      <c r="W2733" t="s">
        <v>26009</v>
      </c>
    </row>
    <row r="2734" spans="1:23" x14ac:dyDescent="0.35">
      <c r="A2734">
        <v>674619</v>
      </c>
      <c r="B2734" t="s">
        <v>36122</v>
      </c>
      <c r="C2734" t="str">
        <f>"9780521769525"</f>
        <v>9780521769525</v>
      </c>
      <c r="D2734" t="str">
        <f>"9781139045001"</f>
        <v>9781139045001</v>
      </c>
      <c r="E2734" t="s">
        <v>167</v>
      </c>
      <c r="F2734" t="s">
        <v>167</v>
      </c>
      <c r="G2734" t="s">
        <v>22218</v>
      </c>
      <c r="H2734" t="s">
        <v>26011</v>
      </c>
      <c r="I2734" s="26">
        <v>40598</v>
      </c>
      <c r="J2734">
        <v>2011</v>
      </c>
      <c r="K2734" t="s">
        <v>167</v>
      </c>
      <c r="L2734">
        <v>339</v>
      </c>
      <c r="M2734" t="s">
        <v>36123</v>
      </c>
      <c r="N2734">
        <v>1</v>
      </c>
      <c r="Q2734" t="s">
        <v>36124</v>
      </c>
      <c r="R2734" t="s">
        <v>36125</v>
      </c>
      <c r="S2734" t="s">
        <v>36126</v>
      </c>
      <c r="T2734" t="s">
        <v>30</v>
      </c>
      <c r="U2734" t="s">
        <v>26044</v>
      </c>
      <c r="W2734" t="s">
        <v>26020</v>
      </c>
    </row>
    <row r="2735" spans="1:23" x14ac:dyDescent="0.35">
      <c r="A2735">
        <v>674627</v>
      </c>
      <c r="B2735" t="s">
        <v>9864</v>
      </c>
      <c r="C2735" t="str">
        <f>"9780521110501"</f>
        <v>9780521110501</v>
      </c>
      <c r="D2735" t="str">
        <f>"9781139044608"</f>
        <v>9781139044608</v>
      </c>
      <c r="E2735" t="s">
        <v>167</v>
      </c>
      <c r="F2735" t="s">
        <v>167</v>
      </c>
      <c r="G2735" t="s">
        <v>22218</v>
      </c>
      <c r="H2735" t="s">
        <v>26011</v>
      </c>
      <c r="I2735" s="26">
        <v>40269</v>
      </c>
      <c r="J2735">
        <v>2010</v>
      </c>
      <c r="K2735" t="s">
        <v>167</v>
      </c>
      <c r="L2735">
        <v>452</v>
      </c>
      <c r="M2735" t="s">
        <v>36127</v>
      </c>
      <c r="N2735">
        <v>1</v>
      </c>
      <c r="Q2735" t="s">
        <v>36128</v>
      </c>
      <c r="R2735">
        <v>616.89</v>
      </c>
      <c r="S2735" t="s">
        <v>36129</v>
      </c>
      <c r="T2735" t="s">
        <v>30</v>
      </c>
      <c r="U2735" t="s">
        <v>26019</v>
      </c>
      <c r="W2735" t="s">
        <v>26020</v>
      </c>
    </row>
    <row r="2736" spans="1:23" x14ac:dyDescent="0.35">
      <c r="A2736">
        <v>674632</v>
      </c>
      <c r="B2736" t="s">
        <v>36130</v>
      </c>
      <c r="C2736" t="str">
        <f>"9780521880008"</f>
        <v>9780521880008</v>
      </c>
      <c r="D2736" t="str">
        <f>"9781139045209"</f>
        <v>9781139045209</v>
      </c>
      <c r="E2736" t="s">
        <v>167</v>
      </c>
      <c r="F2736" t="s">
        <v>167</v>
      </c>
      <c r="G2736" t="s">
        <v>22218</v>
      </c>
      <c r="H2736" t="s">
        <v>26011</v>
      </c>
      <c r="I2736" s="26">
        <v>40605</v>
      </c>
      <c r="J2736">
        <v>2011</v>
      </c>
      <c r="K2736" t="s">
        <v>167</v>
      </c>
      <c r="L2736">
        <v>296</v>
      </c>
      <c r="M2736" t="s">
        <v>36131</v>
      </c>
      <c r="N2736">
        <v>1</v>
      </c>
      <c r="Q2736" t="s">
        <v>36132</v>
      </c>
      <c r="R2736" t="s">
        <v>27184</v>
      </c>
      <c r="S2736" t="s">
        <v>36133</v>
      </c>
      <c r="T2736" t="s">
        <v>30</v>
      </c>
      <c r="U2736" t="s">
        <v>26019</v>
      </c>
      <c r="W2736" t="s">
        <v>26020</v>
      </c>
    </row>
    <row r="2737" spans="1:23" x14ac:dyDescent="0.35">
      <c r="A2737">
        <v>674699</v>
      </c>
      <c r="B2737" t="s">
        <v>10146</v>
      </c>
      <c r="C2737" t="str">
        <f>"9781934155387"</f>
        <v>9781934155387</v>
      </c>
      <c r="D2737" t="str">
        <f>"9781934155646"</f>
        <v>9781934155646</v>
      </c>
      <c r="E2737" t="s">
        <v>27422</v>
      </c>
      <c r="F2737" t="s">
        <v>10147</v>
      </c>
      <c r="G2737" t="s">
        <v>22352</v>
      </c>
      <c r="H2737" t="s">
        <v>26004</v>
      </c>
      <c r="I2737" s="26">
        <v>40555</v>
      </c>
      <c r="J2737">
        <v>2011</v>
      </c>
      <c r="K2737" t="s">
        <v>10147</v>
      </c>
      <c r="L2737">
        <v>129</v>
      </c>
      <c r="M2737" t="s">
        <v>36134</v>
      </c>
      <c r="Q2737" t="s">
        <v>36135</v>
      </c>
      <c r="R2737">
        <v>370.15230810000003</v>
      </c>
      <c r="S2737" t="s">
        <v>36136</v>
      </c>
      <c r="T2737" t="s">
        <v>30</v>
      </c>
      <c r="U2737" t="s">
        <v>337</v>
      </c>
      <c r="W2737" t="s">
        <v>26009</v>
      </c>
    </row>
    <row r="2738" spans="1:23" x14ac:dyDescent="0.35">
      <c r="A2738">
        <v>674932</v>
      </c>
      <c r="B2738" t="s">
        <v>36137</v>
      </c>
      <c r="C2738" t="str">
        <f>"9781441101365"</f>
        <v>9781441101365</v>
      </c>
      <c r="D2738" t="str">
        <f>"9781441119490"</f>
        <v>9781441119490</v>
      </c>
      <c r="E2738" t="s">
        <v>31671</v>
      </c>
      <c r="F2738" t="s">
        <v>7760</v>
      </c>
      <c r="G2738" t="s">
        <v>22174</v>
      </c>
      <c r="H2738" t="s">
        <v>26011</v>
      </c>
      <c r="I2738" s="26">
        <v>40696</v>
      </c>
      <c r="J2738">
        <v>2011</v>
      </c>
      <c r="K2738" t="s">
        <v>33338</v>
      </c>
      <c r="L2738">
        <v>209</v>
      </c>
      <c r="M2738" t="s">
        <v>36138</v>
      </c>
      <c r="N2738">
        <v>1</v>
      </c>
      <c r="O2738" t="s">
        <v>36139</v>
      </c>
      <c r="Q2738" t="s">
        <v>36140</v>
      </c>
      <c r="R2738">
        <v>303.60000000000002</v>
      </c>
      <c r="S2738" t="s">
        <v>36141</v>
      </c>
      <c r="T2738" t="s">
        <v>30</v>
      </c>
      <c r="U2738" t="s">
        <v>33573</v>
      </c>
      <c r="W2738" t="s">
        <v>28347</v>
      </c>
    </row>
    <row r="2739" spans="1:23" x14ac:dyDescent="0.35">
      <c r="A2739">
        <v>674942</v>
      </c>
      <c r="B2739" t="s">
        <v>9416</v>
      </c>
      <c r="C2739" t="str">
        <f>"9780826468710"</f>
        <v>9780826468710</v>
      </c>
      <c r="D2739" t="str">
        <f>"9781441114631"</f>
        <v>9781441114631</v>
      </c>
      <c r="E2739" t="s">
        <v>31671</v>
      </c>
      <c r="F2739" t="s">
        <v>7760</v>
      </c>
      <c r="G2739" t="s">
        <v>22174</v>
      </c>
      <c r="H2739" t="s">
        <v>26011</v>
      </c>
      <c r="I2739" s="26">
        <v>38334</v>
      </c>
      <c r="J2739">
        <v>2004</v>
      </c>
      <c r="K2739" t="s">
        <v>33338</v>
      </c>
      <c r="L2739">
        <v>113</v>
      </c>
      <c r="M2739" t="s">
        <v>36142</v>
      </c>
      <c r="N2739">
        <v>1</v>
      </c>
      <c r="O2739" t="s">
        <v>36143</v>
      </c>
      <c r="Q2739" t="s">
        <v>36144</v>
      </c>
      <c r="R2739">
        <v>372.86049000000003</v>
      </c>
      <c r="S2739" t="s">
        <v>36145</v>
      </c>
      <c r="T2739" t="s">
        <v>30</v>
      </c>
      <c r="U2739" t="s">
        <v>36146</v>
      </c>
      <c r="W2739" t="s">
        <v>28347</v>
      </c>
    </row>
    <row r="2740" spans="1:23" x14ac:dyDescent="0.35">
      <c r="A2740">
        <v>674973</v>
      </c>
      <c r="B2740" t="s">
        <v>36147</v>
      </c>
      <c r="C2740" t="str">
        <f>"9781589015722"</f>
        <v>9781589015722</v>
      </c>
      <c r="D2740" t="str">
        <f>"9781589018839"</f>
        <v>9781589018839</v>
      </c>
      <c r="E2740" t="s">
        <v>7550</v>
      </c>
      <c r="F2740" t="s">
        <v>7550</v>
      </c>
      <c r="G2740" t="s">
        <v>22254</v>
      </c>
      <c r="H2740" t="s">
        <v>26004</v>
      </c>
      <c r="I2740" s="26">
        <v>40086</v>
      </c>
      <c r="J2740">
        <v>2009</v>
      </c>
      <c r="K2740" t="s">
        <v>7550</v>
      </c>
      <c r="L2740">
        <v>242</v>
      </c>
      <c r="M2740" t="s">
        <v>36148</v>
      </c>
      <c r="N2740">
        <v>1</v>
      </c>
      <c r="R2740" t="s">
        <v>36149</v>
      </c>
      <c r="T2740" t="s">
        <v>30</v>
      </c>
      <c r="U2740" t="s">
        <v>26044</v>
      </c>
      <c r="W2740" t="s">
        <v>36150</v>
      </c>
    </row>
    <row r="2741" spans="1:23" x14ac:dyDescent="0.35">
      <c r="A2741">
        <v>674982</v>
      </c>
      <c r="B2741" t="s">
        <v>8181</v>
      </c>
      <c r="C2741" t="str">
        <f>"9781609181284"</f>
        <v>9781609181284</v>
      </c>
      <c r="D2741" t="str">
        <f>"9781609181291"</f>
        <v>9781609181291</v>
      </c>
      <c r="E2741" t="s">
        <v>30112</v>
      </c>
      <c r="F2741" t="s">
        <v>7420</v>
      </c>
      <c r="G2741" t="s">
        <v>22179</v>
      </c>
      <c r="H2741" t="s">
        <v>26004</v>
      </c>
      <c r="I2741" s="26">
        <v>40627</v>
      </c>
      <c r="J2741">
        <v>2011</v>
      </c>
      <c r="K2741" t="s">
        <v>30113</v>
      </c>
      <c r="L2741">
        <v>448</v>
      </c>
      <c r="M2741" t="s">
        <v>36151</v>
      </c>
      <c r="N2741">
        <v>1</v>
      </c>
      <c r="R2741" t="s">
        <v>28543</v>
      </c>
      <c r="S2741" t="s">
        <v>36152</v>
      </c>
      <c r="T2741" t="s">
        <v>30</v>
      </c>
      <c r="U2741" t="s">
        <v>26040</v>
      </c>
      <c r="W2741" t="s">
        <v>28347</v>
      </c>
    </row>
    <row r="2742" spans="1:23" x14ac:dyDescent="0.35">
      <c r="A2742">
        <v>675608</v>
      </c>
      <c r="B2742" t="s">
        <v>36153</v>
      </c>
      <c r="C2742" t="str">
        <f>"9789052603711"</f>
        <v>9789052603711</v>
      </c>
      <c r="D2742" t="str">
        <f>"9789048514700"</f>
        <v>9789048514700</v>
      </c>
      <c r="E2742" t="s">
        <v>7497</v>
      </c>
      <c r="F2742" t="s">
        <v>7497</v>
      </c>
      <c r="G2742" t="s">
        <v>22222</v>
      </c>
      <c r="H2742" t="s">
        <v>27983</v>
      </c>
      <c r="I2742" s="26">
        <v>40179</v>
      </c>
      <c r="J2742">
        <v>2010</v>
      </c>
      <c r="K2742" t="s">
        <v>36154</v>
      </c>
      <c r="L2742">
        <v>385</v>
      </c>
      <c r="M2742" t="s">
        <v>36155</v>
      </c>
      <c r="N2742">
        <v>1</v>
      </c>
      <c r="O2742" t="s">
        <v>36156</v>
      </c>
      <c r="Q2742" t="s">
        <v>36157</v>
      </c>
      <c r="R2742" t="s">
        <v>36158</v>
      </c>
      <c r="S2742" t="s">
        <v>36159</v>
      </c>
      <c r="T2742" t="s">
        <v>30</v>
      </c>
      <c r="U2742" t="s">
        <v>36160</v>
      </c>
      <c r="W2742" t="s">
        <v>26009</v>
      </c>
    </row>
    <row r="2743" spans="1:23" x14ac:dyDescent="0.35">
      <c r="A2743">
        <v>675610</v>
      </c>
      <c r="B2743" t="s">
        <v>36161</v>
      </c>
      <c r="C2743" t="str">
        <f>"9789089643025"</f>
        <v>9789089643025</v>
      </c>
      <c r="D2743" t="str">
        <f>"9789048514014"</f>
        <v>9789048514014</v>
      </c>
      <c r="E2743" t="s">
        <v>7497</v>
      </c>
      <c r="F2743" t="s">
        <v>7497</v>
      </c>
      <c r="G2743" t="s">
        <v>22222</v>
      </c>
      <c r="H2743" t="s">
        <v>27983</v>
      </c>
      <c r="I2743" s="26">
        <v>40179</v>
      </c>
      <c r="J2743">
        <v>2011</v>
      </c>
      <c r="K2743" t="s">
        <v>7497</v>
      </c>
      <c r="L2743">
        <v>132</v>
      </c>
      <c r="M2743" t="s">
        <v>36162</v>
      </c>
      <c r="N2743">
        <v>1</v>
      </c>
      <c r="O2743" t="s">
        <v>36163</v>
      </c>
      <c r="Q2743" t="s">
        <v>36164</v>
      </c>
      <c r="R2743" t="s">
        <v>36165</v>
      </c>
      <c r="S2743" t="s">
        <v>36166</v>
      </c>
      <c r="T2743" t="s">
        <v>8494</v>
      </c>
      <c r="U2743" t="s">
        <v>26228</v>
      </c>
      <c r="W2743" t="s">
        <v>26009</v>
      </c>
    </row>
    <row r="2744" spans="1:23" x14ac:dyDescent="0.35">
      <c r="A2744">
        <v>675635</v>
      </c>
      <c r="B2744" t="s">
        <v>10039</v>
      </c>
      <c r="C2744" t="str">
        <f>"9789056296728"</f>
        <v>9789056296728</v>
      </c>
      <c r="D2744" t="str">
        <f>"9789048514397"</f>
        <v>9789048514397</v>
      </c>
      <c r="E2744" t="s">
        <v>7497</v>
      </c>
      <c r="F2744" t="s">
        <v>7497</v>
      </c>
      <c r="G2744" t="s">
        <v>22222</v>
      </c>
      <c r="H2744" t="s">
        <v>27983</v>
      </c>
      <c r="I2744" s="26">
        <v>40544</v>
      </c>
      <c r="J2744">
        <v>2011</v>
      </c>
      <c r="K2744" t="s">
        <v>32379</v>
      </c>
      <c r="L2744">
        <v>22</v>
      </c>
      <c r="M2744" t="s">
        <v>36167</v>
      </c>
      <c r="N2744">
        <v>1</v>
      </c>
      <c r="O2744" t="s">
        <v>36168</v>
      </c>
      <c r="Q2744" t="s">
        <v>36169</v>
      </c>
      <c r="R2744" t="s">
        <v>27789</v>
      </c>
      <c r="S2744" t="s">
        <v>36170</v>
      </c>
      <c r="T2744" t="s">
        <v>8494</v>
      </c>
      <c r="U2744" t="s">
        <v>26116</v>
      </c>
      <c r="W2744" t="s">
        <v>26009</v>
      </c>
    </row>
    <row r="2745" spans="1:23" x14ac:dyDescent="0.35">
      <c r="A2745">
        <v>675662</v>
      </c>
      <c r="B2745" t="s">
        <v>36171</v>
      </c>
      <c r="C2745" t="str">
        <f>"9789056296391"</f>
        <v>9789056296391</v>
      </c>
      <c r="D2745" t="str">
        <f>"9789048513321"</f>
        <v>9789048513321</v>
      </c>
      <c r="E2745" t="s">
        <v>7497</v>
      </c>
      <c r="F2745" t="s">
        <v>7497</v>
      </c>
      <c r="G2745" t="s">
        <v>22222</v>
      </c>
      <c r="H2745" t="s">
        <v>27983</v>
      </c>
      <c r="I2745" s="26">
        <v>40179</v>
      </c>
      <c r="J2745">
        <v>2010</v>
      </c>
      <c r="K2745" t="s">
        <v>32379</v>
      </c>
      <c r="L2745">
        <v>30</v>
      </c>
      <c r="M2745" t="s">
        <v>36172</v>
      </c>
      <c r="N2745">
        <v>1</v>
      </c>
      <c r="O2745" t="s">
        <v>36173</v>
      </c>
      <c r="Q2745" t="s">
        <v>36174</v>
      </c>
      <c r="R2745">
        <v>325.20999999999998</v>
      </c>
      <c r="S2745" t="s">
        <v>36175</v>
      </c>
      <c r="T2745" t="s">
        <v>30</v>
      </c>
      <c r="U2745" t="s">
        <v>30336</v>
      </c>
      <c r="W2745" t="s">
        <v>26009</v>
      </c>
    </row>
    <row r="2746" spans="1:23" x14ac:dyDescent="0.35">
      <c r="A2746">
        <v>675668</v>
      </c>
      <c r="B2746" t="s">
        <v>8313</v>
      </c>
      <c r="C2746" t="str">
        <f>"9780340808979"</f>
        <v>9780340808979</v>
      </c>
      <c r="D2746" t="str">
        <f>"9781444144659"</f>
        <v>9781444144659</v>
      </c>
      <c r="E2746" t="s">
        <v>26010</v>
      </c>
      <c r="F2746" t="s">
        <v>35</v>
      </c>
      <c r="G2746" t="s">
        <v>22174</v>
      </c>
      <c r="H2746" t="s">
        <v>26011</v>
      </c>
      <c r="I2746" s="26">
        <v>37771</v>
      </c>
      <c r="J2746">
        <v>2003</v>
      </c>
      <c r="K2746" t="s">
        <v>26012</v>
      </c>
      <c r="L2746">
        <v>342</v>
      </c>
      <c r="M2746" t="s">
        <v>36176</v>
      </c>
      <c r="N2746">
        <v>1</v>
      </c>
      <c r="O2746" t="s">
        <v>34875</v>
      </c>
      <c r="Q2746" t="s">
        <v>36177</v>
      </c>
      <c r="R2746">
        <v>612.79999999999995</v>
      </c>
      <c r="S2746" t="s">
        <v>8314</v>
      </c>
      <c r="T2746" t="s">
        <v>30</v>
      </c>
      <c r="U2746" t="s">
        <v>34278</v>
      </c>
      <c r="W2746" t="s">
        <v>26009</v>
      </c>
    </row>
    <row r="2747" spans="1:23" x14ac:dyDescent="0.35">
      <c r="A2747">
        <v>675854</v>
      </c>
      <c r="B2747" t="s">
        <v>36178</v>
      </c>
      <c r="C2747" t="str">
        <f>"9780520251021"</f>
        <v>9780520251021</v>
      </c>
      <c r="D2747" t="str">
        <f>"9780520949454"</f>
        <v>9780520949454</v>
      </c>
      <c r="E2747" t="s">
        <v>1612</v>
      </c>
      <c r="F2747" t="s">
        <v>1612</v>
      </c>
      <c r="G2747" t="s">
        <v>22630</v>
      </c>
      <c r="H2747" t="s">
        <v>26004</v>
      </c>
      <c r="I2747" s="26">
        <v>40696</v>
      </c>
      <c r="J2747">
        <v>2011</v>
      </c>
      <c r="K2747" t="s">
        <v>1612</v>
      </c>
      <c r="L2747">
        <v>269</v>
      </c>
      <c r="M2747" t="s">
        <v>36179</v>
      </c>
      <c r="N2747">
        <v>1</v>
      </c>
      <c r="R2747">
        <v>363.32499999999999</v>
      </c>
      <c r="S2747" t="s">
        <v>36180</v>
      </c>
      <c r="T2747" t="s">
        <v>30</v>
      </c>
      <c r="U2747" t="s">
        <v>26044</v>
      </c>
      <c r="W2747" t="s">
        <v>26009</v>
      </c>
    </row>
    <row r="2748" spans="1:23" x14ac:dyDescent="0.35">
      <c r="A2748">
        <v>677417</v>
      </c>
      <c r="B2748" t="s">
        <v>36181</v>
      </c>
      <c r="C2748" t="str">
        <f>"9789622096356"</f>
        <v>9789622096356</v>
      </c>
      <c r="D2748" t="str">
        <f>"9789882203068"</f>
        <v>9789882203068</v>
      </c>
      <c r="E2748" t="s">
        <v>8224</v>
      </c>
      <c r="F2748" t="s">
        <v>8224</v>
      </c>
      <c r="G2748" t="s">
        <v>24567</v>
      </c>
      <c r="H2748" t="s">
        <v>36182</v>
      </c>
      <c r="I2748" s="26">
        <v>37625</v>
      </c>
      <c r="J2748">
        <v>2004</v>
      </c>
      <c r="K2748" t="s">
        <v>8224</v>
      </c>
      <c r="L2748">
        <v>183</v>
      </c>
      <c r="M2748" t="s">
        <v>36183</v>
      </c>
      <c r="N2748">
        <v>1</v>
      </c>
      <c r="Q2748" t="s">
        <v>36184</v>
      </c>
      <c r="R2748" t="s">
        <v>36185</v>
      </c>
      <c r="S2748" t="s">
        <v>36186</v>
      </c>
      <c r="T2748" t="s">
        <v>30</v>
      </c>
      <c r="U2748" t="s">
        <v>26044</v>
      </c>
      <c r="W2748" t="s">
        <v>26009</v>
      </c>
    </row>
    <row r="2749" spans="1:23" x14ac:dyDescent="0.35">
      <c r="A2749">
        <v>677611</v>
      </c>
      <c r="B2749" t="s">
        <v>36187</v>
      </c>
      <c r="C2749" t="str">
        <f>"9781849050685"</f>
        <v>9781849050685</v>
      </c>
      <c r="D2749" t="str">
        <f>"9780857002457"</f>
        <v>9780857002457</v>
      </c>
      <c r="E2749" t="s">
        <v>146</v>
      </c>
      <c r="F2749" t="s">
        <v>146</v>
      </c>
      <c r="G2749" t="s">
        <v>22174</v>
      </c>
      <c r="H2749" t="s">
        <v>26011</v>
      </c>
      <c r="I2749" s="26">
        <v>36281</v>
      </c>
      <c r="J2749">
        <v>2011</v>
      </c>
      <c r="K2749" t="s">
        <v>146</v>
      </c>
      <c r="L2749">
        <v>291</v>
      </c>
      <c r="M2749" t="s">
        <v>36188</v>
      </c>
      <c r="N2749">
        <v>2</v>
      </c>
      <c r="Q2749" t="s">
        <v>36189</v>
      </c>
      <c r="R2749" t="s">
        <v>36190</v>
      </c>
      <c r="S2749" t="s">
        <v>36191</v>
      </c>
      <c r="T2749" t="s">
        <v>30</v>
      </c>
      <c r="U2749" t="s">
        <v>26044</v>
      </c>
      <c r="W2749" t="s">
        <v>28347</v>
      </c>
    </row>
    <row r="2750" spans="1:23" x14ac:dyDescent="0.35">
      <c r="A2750">
        <v>677613</v>
      </c>
      <c r="B2750" t="s">
        <v>36192</v>
      </c>
      <c r="C2750" t="str">
        <f>"9781843109648"</f>
        <v>9781843109648</v>
      </c>
      <c r="D2750" t="str">
        <f>"9780857003867"</f>
        <v>9780857003867</v>
      </c>
      <c r="E2750" t="s">
        <v>146</v>
      </c>
      <c r="F2750" t="s">
        <v>146</v>
      </c>
      <c r="G2750" t="s">
        <v>22174</v>
      </c>
      <c r="H2750" t="s">
        <v>26011</v>
      </c>
      <c r="I2750" s="26">
        <v>40344</v>
      </c>
      <c r="J2750">
        <v>2010</v>
      </c>
      <c r="K2750" t="s">
        <v>146</v>
      </c>
      <c r="L2750">
        <v>178</v>
      </c>
      <c r="M2750" t="s">
        <v>36193</v>
      </c>
      <c r="N2750">
        <v>1</v>
      </c>
      <c r="R2750">
        <v>371.94</v>
      </c>
      <c r="S2750" t="s">
        <v>36194</v>
      </c>
      <c r="T2750" t="s">
        <v>30</v>
      </c>
      <c r="U2750" t="s">
        <v>337</v>
      </c>
      <c r="W2750" t="s">
        <v>28347</v>
      </c>
    </row>
    <row r="2751" spans="1:23" x14ac:dyDescent="0.35">
      <c r="A2751">
        <v>677619</v>
      </c>
      <c r="B2751" t="s">
        <v>36195</v>
      </c>
      <c r="C2751" t="str">
        <f>"9781849050708"</f>
        <v>9781849050708</v>
      </c>
      <c r="D2751" t="str">
        <f>"9780857002358"</f>
        <v>9780857002358</v>
      </c>
      <c r="E2751" t="s">
        <v>146</v>
      </c>
      <c r="F2751" t="s">
        <v>146</v>
      </c>
      <c r="G2751" t="s">
        <v>22174</v>
      </c>
      <c r="H2751" t="s">
        <v>26011</v>
      </c>
      <c r="I2751" s="26">
        <v>40374</v>
      </c>
      <c r="J2751">
        <v>2011</v>
      </c>
      <c r="K2751" t="s">
        <v>146</v>
      </c>
      <c r="L2751">
        <v>162</v>
      </c>
      <c r="M2751" t="s">
        <v>36196</v>
      </c>
      <c r="N2751">
        <v>1</v>
      </c>
      <c r="R2751">
        <v>618.92858899999999</v>
      </c>
      <c r="S2751" t="s">
        <v>36197</v>
      </c>
      <c r="T2751" t="s">
        <v>30</v>
      </c>
      <c r="U2751" t="s">
        <v>26040</v>
      </c>
      <c r="W2751" t="s">
        <v>28347</v>
      </c>
    </row>
    <row r="2752" spans="1:23" x14ac:dyDescent="0.35">
      <c r="A2752">
        <v>677620</v>
      </c>
      <c r="B2752" t="s">
        <v>36198</v>
      </c>
      <c r="C2752" t="str">
        <f>"9781849050845"</f>
        <v>9781849050845</v>
      </c>
      <c r="D2752" t="str">
        <f>"9780857003058"</f>
        <v>9780857003058</v>
      </c>
      <c r="E2752" t="s">
        <v>146</v>
      </c>
      <c r="F2752" t="s">
        <v>146</v>
      </c>
      <c r="G2752" t="s">
        <v>22174</v>
      </c>
      <c r="H2752" t="s">
        <v>26011</v>
      </c>
      <c r="I2752" s="26">
        <v>40313</v>
      </c>
      <c r="J2752">
        <v>2010</v>
      </c>
      <c r="K2752" t="s">
        <v>146</v>
      </c>
      <c r="L2752">
        <v>96</v>
      </c>
      <c r="M2752" t="s">
        <v>36199</v>
      </c>
      <c r="N2752">
        <v>1</v>
      </c>
      <c r="R2752" t="s">
        <v>26695</v>
      </c>
      <c r="T2752" t="s">
        <v>30</v>
      </c>
      <c r="U2752" t="s">
        <v>11356</v>
      </c>
      <c r="W2752" t="s">
        <v>28347</v>
      </c>
    </row>
    <row r="2753" spans="1:23" x14ac:dyDescent="0.35">
      <c r="A2753">
        <v>677621</v>
      </c>
      <c r="B2753" t="s">
        <v>36200</v>
      </c>
      <c r="C2753" t="str">
        <f>"9781849050289"</f>
        <v>9781849050289</v>
      </c>
      <c r="D2753" t="str">
        <f>"9780857003904"</f>
        <v>9780857003904</v>
      </c>
      <c r="E2753" t="s">
        <v>146</v>
      </c>
      <c r="F2753" t="s">
        <v>146</v>
      </c>
      <c r="G2753" t="s">
        <v>22174</v>
      </c>
      <c r="H2753" t="s">
        <v>26011</v>
      </c>
      <c r="I2753" s="26">
        <v>40374</v>
      </c>
      <c r="J2753">
        <v>2011</v>
      </c>
      <c r="K2753" t="s">
        <v>146</v>
      </c>
      <c r="L2753">
        <v>210</v>
      </c>
      <c r="M2753" t="s">
        <v>36201</v>
      </c>
      <c r="N2753">
        <v>1</v>
      </c>
      <c r="R2753">
        <v>362.73399999999998</v>
      </c>
      <c r="T2753" t="s">
        <v>30</v>
      </c>
      <c r="U2753" t="s">
        <v>26044</v>
      </c>
      <c r="W2753" t="s">
        <v>28347</v>
      </c>
    </row>
    <row r="2754" spans="1:23" x14ac:dyDescent="0.35">
      <c r="A2754">
        <v>677635</v>
      </c>
      <c r="B2754" t="s">
        <v>36202</v>
      </c>
      <c r="C2754" t="str">
        <f>"9781849050173"</f>
        <v>9781849050173</v>
      </c>
      <c r="D2754" t="str">
        <f>"9780857003690"</f>
        <v>9780857003690</v>
      </c>
      <c r="E2754" t="s">
        <v>146</v>
      </c>
      <c r="F2754" t="s">
        <v>146</v>
      </c>
      <c r="G2754" t="s">
        <v>22174</v>
      </c>
      <c r="H2754" t="s">
        <v>26011</v>
      </c>
      <c r="I2754" s="26">
        <v>40252</v>
      </c>
      <c r="J2754">
        <v>2010</v>
      </c>
      <c r="K2754" t="s">
        <v>146</v>
      </c>
      <c r="L2754">
        <v>210</v>
      </c>
      <c r="M2754" t="s">
        <v>36203</v>
      </c>
      <c r="N2754">
        <v>1</v>
      </c>
      <c r="R2754" t="s">
        <v>28628</v>
      </c>
      <c r="T2754" t="s">
        <v>30</v>
      </c>
      <c r="U2754" t="s">
        <v>26040</v>
      </c>
      <c r="W2754" t="s">
        <v>28347</v>
      </c>
    </row>
    <row r="2755" spans="1:23" x14ac:dyDescent="0.35">
      <c r="A2755">
        <v>677637</v>
      </c>
      <c r="B2755" t="s">
        <v>36204</v>
      </c>
      <c r="C2755" t="str">
        <f>"9781849058315"</f>
        <v>9781849058315</v>
      </c>
      <c r="D2755" t="str">
        <f>"9780857002952"</f>
        <v>9780857002952</v>
      </c>
      <c r="E2755" t="s">
        <v>146</v>
      </c>
      <c r="F2755" t="s">
        <v>146</v>
      </c>
      <c r="G2755" t="s">
        <v>22174</v>
      </c>
      <c r="H2755" t="s">
        <v>26011</v>
      </c>
      <c r="I2755" s="26">
        <v>40344</v>
      </c>
      <c r="J2755">
        <v>2010</v>
      </c>
      <c r="K2755" t="s">
        <v>146</v>
      </c>
      <c r="L2755">
        <v>242</v>
      </c>
      <c r="M2755" t="s">
        <v>36205</v>
      </c>
      <c r="N2755">
        <v>1</v>
      </c>
      <c r="S2755" t="s">
        <v>36206</v>
      </c>
      <c r="T2755" t="s">
        <v>30</v>
      </c>
      <c r="U2755" t="s">
        <v>46</v>
      </c>
      <c r="W2755" t="s">
        <v>28347</v>
      </c>
    </row>
    <row r="2756" spans="1:23" x14ac:dyDescent="0.35">
      <c r="A2756">
        <v>677638</v>
      </c>
      <c r="B2756" t="s">
        <v>36207</v>
      </c>
      <c r="C2756" t="str">
        <f>"9781849050296"</f>
        <v>9781849050296</v>
      </c>
      <c r="D2756" t="str">
        <f>"9780857003966"</f>
        <v>9780857003966</v>
      </c>
      <c r="E2756" t="s">
        <v>146</v>
      </c>
      <c r="F2756" t="s">
        <v>146</v>
      </c>
      <c r="G2756" t="s">
        <v>22174</v>
      </c>
      <c r="H2756" t="s">
        <v>26011</v>
      </c>
      <c r="I2756" s="26">
        <v>40405</v>
      </c>
      <c r="J2756">
        <v>2010</v>
      </c>
      <c r="K2756" t="s">
        <v>146</v>
      </c>
      <c r="L2756">
        <v>274</v>
      </c>
      <c r="M2756" t="s">
        <v>36208</v>
      </c>
      <c r="N2756">
        <v>1</v>
      </c>
      <c r="O2756" t="s">
        <v>36209</v>
      </c>
      <c r="R2756" t="s">
        <v>36210</v>
      </c>
      <c r="T2756" t="s">
        <v>30</v>
      </c>
      <c r="U2756" t="s">
        <v>26094</v>
      </c>
      <c r="W2756" t="s">
        <v>28347</v>
      </c>
    </row>
    <row r="2757" spans="1:23" x14ac:dyDescent="0.35">
      <c r="A2757">
        <v>677641</v>
      </c>
      <c r="B2757" t="s">
        <v>36211</v>
      </c>
      <c r="C2757" t="str">
        <f>"9781849050869"</f>
        <v>9781849050869</v>
      </c>
      <c r="D2757" t="str">
        <f>"9780857002631"</f>
        <v>9780857002631</v>
      </c>
      <c r="E2757" t="s">
        <v>146</v>
      </c>
      <c r="F2757" t="s">
        <v>146</v>
      </c>
      <c r="G2757" t="s">
        <v>22174</v>
      </c>
      <c r="H2757" t="s">
        <v>26011</v>
      </c>
      <c r="I2757" s="26">
        <v>40313</v>
      </c>
      <c r="J2757">
        <v>2010</v>
      </c>
      <c r="K2757" t="s">
        <v>146</v>
      </c>
      <c r="L2757">
        <v>143</v>
      </c>
      <c r="M2757" t="s">
        <v>36212</v>
      </c>
      <c r="N2757">
        <v>1</v>
      </c>
      <c r="T2757" t="s">
        <v>30</v>
      </c>
      <c r="U2757" t="s">
        <v>46</v>
      </c>
      <c r="W2757" t="s">
        <v>28347</v>
      </c>
    </row>
    <row r="2758" spans="1:23" x14ac:dyDescent="0.35">
      <c r="A2758">
        <v>677645</v>
      </c>
      <c r="B2758" t="s">
        <v>9520</v>
      </c>
      <c r="C2758" t="str">
        <f>"9781843109679"</f>
        <v>9781843109679</v>
      </c>
      <c r="D2758" t="str">
        <f>"9780857003959"</f>
        <v>9780857003959</v>
      </c>
      <c r="E2758" t="s">
        <v>146</v>
      </c>
      <c r="F2758" t="s">
        <v>146</v>
      </c>
      <c r="G2758" t="s">
        <v>22174</v>
      </c>
      <c r="H2758" t="s">
        <v>26011</v>
      </c>
      <c r="I2758" s="26">
        <v>40405</v>
      </c>
      <c r="J2758">
        <v>2011</v>
      </c>
      <c r="K2758" t="s">
        <v>146</v>
      </c>
      <c r="L2758">
        <v>218</v>
      </c>
      <c r="M2758" t="s">
        <v>36213</v>
      </c>
      <c r="N2758">
        <v>1</v>
      </c>
      <c r="T2758" t="s">
        <v>30</v>
      </c>
      <c r="U2758" t="s">
        <v>46</v>
      </c>
      <c r="W2758" t="s">
        <v>28347</v>
      </c>
    </row>
    <row r="2759" spans="1:23" x14ac:dyDescent="0.35">
      <c r="A2759">
        <v>677646</v>
      </c>
      <c r="B2759" t="s">
        <v>36214</v>
      </c>
      <c r="C2759" t="str">
        <f>"9781849058377"</f>
        <v>9781849058377</v>
      </c>
      <c r="D2759" t="str">
        <f>"9780857003324"</f>
        <v>9780857003324</v>
      </c>
      <c r="E2759" t="s">
        <v>146</v>
      </c>
      <c r="F2759" t="s">
        <v>146</v>
      </c>
      <c r="G2759" t="s">
        <v>22174</v>
      </c>
      <c r="H2759" t="s">
        <v>26011</v>
      </c>
      <c r="I2759" s="26">
        <v>40497</v>
      </c>
      <c r="J2759">
        <v>2011</v>
      </c>
      <c r="K2759" t="s">
        <v>146</v>
      </c>
      <c r="L2759">
        <v>146</v>
      </c>
      <c r="M2759" t="s">
        <v>36215</v>
      </c>
      <c r="N2759">
        <v>1</v>
      </c>
      <c r="R2759">
        <v>371.94</v>
      </c>
      <c r="S2759" t="s">
        <v>36216</v>
      </c>
      <c r="T2759" t="s">
        <v>30</v>
      </c>
      <c r="U2759" t="s">
        <v>337</v>
      </c>
      <c r="W2759" t="s">
        <v>28347</v>
      </c>
    </row>
    <row r="2760" spans="1:23" x14ac:dyDescent="0.35">
      <c r="A2760">
        <v>677647</v>
      </c>
      <c r="B2760" t="s">
        <v>36217</v>
      </c>
      <c r="C2760" t="str">
        <f>"9781849058292"</f>
        <v>9781849058292</v>
      </c>
      <c r="D2760" t="str">
        <f>"9780857002815"</f>
        <v>9780857002815</v>
      </c>
      <c r="E2760" t="s">
        <v>146</v>
      </c>
      <c r="F2760" t="s">
        <v>146</v>
      </c>
      <c r="G2760" t="s">
        <v>22174</v>
      </c>
      <c r="H2760" t="s">
        <v>26011</v>
      </c>
      <c r="I2760" s="26">
        <v>40313</v>
      </c>
      <c r="J2760">
        <v>2010</v>
      </c>
      <c r="K2760" t="s">
        <v>146</v>
      </c>
      <c r="L2760">
        <v>100</v>
      </c>
      <c r="M2760" t="s">
        <v>36218</v>
      </c>
      <c r="N2760">
        <v>1</v>
      </c>
      <c r="S2760" t="s">
        <v>36219</v>
      </c>
      <c r="T2760" t="s">
        <v>30</v>
      </c>
      <c r="U2760" t="s">
        <v>46</v>
      </c>
      <c r="W2760" t="s">
        <v>28347</v>
      </c>
    </row>
    <row r="2761" spans="1:23" x14ac:dyDescent="0.35">
      <c r="A2761">
        <v>677656</v>
      </c>
      <c r="B2761" t="s">
        <v>36220</v>
      </c>
      <c r="C2761" t="str">
        <f>"9781843109617"</f>
        <v>9781843109617</v>
      </c>
      <c r="D2761" t="str">
        <f>"9780857003201"</f>
        <v>9780857003201</v>
      </c>
      <c r="E2761" t="s">
        <v>146</v>
      </c>
      <c r="F2761" t="s">
        <v>146</v>
      </c>
      <c r="G2761" t="s">
        <v>22174</v>
      </c>
      <c r="H2761" t="s">
        <v>26011</v>
      </c>
      <c r="I2761" s="26">
        <v>40313</v>
      </c>
      <c r="J2761">
        <v>2010</v>
      </c>
      <c r="K2761" t="s">
        <v>146</v>
      </c>
      <c r="L2761">
        <v>210</v>
      </c>
      <c r="M2761" t="s">
        <v>36221</v>
      </c>
      <c r="N2761">
        <v>1</v>
      </c>
      <c r="R2761" t="s">
        <v>27731</v>
      </c>
      <c r="S2761" t="s">
        <v>36222</v>
      </c>
      <c r="T2761" t="s">
        <v>30</v>
      </c>
      <c r="U2761" t="s">
        <v>26044</v>
      </c>
      <c r="W2761" t="s">
        <v>28347</v>
      </c>
    </row>
    <row r="2762" spans="1:23" x14ac:dyDescent="0.35">
      <c r="A2762">
        <v>677657</v>
      </c>
      <c r="B2762" t="s">
        <v>36223</v>
      </c>
      <c r="C2762" t="str">
        <f>"9781849050517"</f>
        <v>9781849050517</v>
      </c>
      <c r="D2762" t="str">
        <f>"9780857002433"</f>
        <v>9780857002433</v>
      </c>
      <c r="E2762" t="s">
        <v>146</v>
      </c>
      <c r="F2762" t="s">
        <v>146</v>
      </c>
      <c r="G2762" t="s">
        <v>22174</v>
      </c>
      <c r="H2762" t="s">
        <v>26011</v>
      </c>
      <c r="I2762" s="26">
        <v>40374</v>
      </c>
      <c r="J2762">
        <v>2011</v>
      </c>
      <c r="K2762" t="s">
        <v>146</v>
      </c>
      <c r="L2762">
        <v>178</v>
      </c>
      <c r="M2762" t="s">
        <v>36224</v>
      </c>
      <c r="N2762">
        <v>1</v>
      </c>
      <c r="R2762">
        <v>154.3083</v>
      </c>
      <c r="T2762" t="s">
        <v>30</v>
      </c>
      <c r="U2762" t="s">
        <v>46</v>
      </c>
      <c r="W2762" t="s">
        <v>28347</v>
      </c>
    </row>
    <row r="2763" spans="1:23" x14ac:dyDescent="0.35">
      <c r="A2763">
        <v>677658</v>
      </c>
      <c r="B2763" t="s">
        <v>36225</v>
      </c>
      <c r="C2763" t="str">
        <f>"9781843109358"</f>
        <v>9781843109358</v>
      </c>
      <c r="D2763" t="str">
        <f>"9780857003874"</f>
        <v>9780857003874</v>
      </c>
      <c r="E2763" t="s">
        <v>146</v>
      </c>
      <c r="F2763" t="s">
        <v>146</v>
      </c>
      <c r="G2763" t="s">
        <v>22174</v>
      </c>
      <c r="H2763" t="s">
        <v>26011</v>
      </c>
      <c r="I2763" s="26">
        <v>40344</v>
      </c>
      <c r="J2763">
        <v>2010</v>
      </c>
      <c r="K2763" t="s">
        <v>146</v>
      </c>
      <c r="L2763">
        <v>178</v>
      </c>
      <c r="M2763" t="s">
        <v>36226</v>
      </c>
      <c r="N2763">
        <v>1</v>
      </c>
      <c r="R2763" t="s">
        <v>36227</v>
      </c>
      <c r="S2763" t="s">
        <v>36228</v>
      </c>
      <c r="T2763" t="s">
        <v>30</v>
      </c>
      <c r="U2763" t="s">
        <v>26094</v>
      </c>
      <c r="W2763" t="s">
        <v>28347</v>
      </c>
    </row>
    <row r="2764" spans="1:23" x14ac:dyDescent="0.35">
      <c r="A2764">
        <v>677662</v>
      </c>
      <c r="B2764" t="s">
        <v>36229</v>
      </c>
      <c r="C2764" t="str">
        <f>"9781849051569"</f>
        <v>9781849051569</v>
      </c>
      <c r="D2764" t="str">
        <f>"9780857003539"</f>
        <v>9780857003539</v>
      </c>
      <c r="E2764" t="s">
        <v>146</v>
      </c>
      <c r="F2764" t="s">
        <v>146</v>
      </c>
      <c r="G2764" t="s">
        <v>22174</v>
      </c>
      <c r="H2764" t="s">
        <v>26011</v>
      </c>
      <c r="I2764" s="26">
        <v>40466</v>
      </c>
      <c r="J2764">
        <v>2011</v>
      </c>
      <c r="K2764" t="s">
        <v>146</v>
      </c>
      <c r="L2764">
        <v>178</v>
      </c>
      <c r="M2764" t="s">
        <v>36230</v>
      </c>
      <c r="N2764">
        <v>1</v>
      </c>
      <c r="R2764">
        <v>371.94</v>
      </c>
      <c r="S2764" t="s">
        <v>36231</v>
      </c>
      <c r="T2764" t="s">
        <v>30</v>
      </c>
      <c r="U2764" t="s">
        <v>337</v>
      </c>
      <c r="W2764" t="s">
        <v>28347</v>
      </c>
    </row>
    <row r="2765" spans="1:23" x14ac:dyDescent="0.35">
      <c r="A2765">
        <v>677667</v>
      </c>
      <c r="B2765" t="s">
        <v>36232</v>
      </c>
      <c r="C2765" t="str">
        <f>"9781849050425"</f>
        <v>9781849050425</v>
      </c>
      <c r="D2765" t="str">
        <f>"9780857002396"</f>
        <v>9780857002396</v>
      </c>
      <c r="E2765" t="s">
        <v>146</v>
      </c>
      <c r="F2765" t="s">
        <v>146</v>
      </c>
      <c r="G2765" t="s">
        <v>22174</v>
      </c>
      <c r="H2765" t="s">
        <v>26011</v>
      </c>
      <c r="I2765" s="26">
        <v>40374</v>
      </c>
      <c r="J2765">
        <v>2011</v>
      </c>
      <c r="K2765" t="s">
        <v>146</v>
      </c>
      <c r="L2765">
        <v>226</v>
      </c>
      <c r="M2765" t="s">
        <v>36233</v>
      </c>
      <c r="N2765">
        <v>1</v>
      </c>
      <c r="S2765" t="s">
        <v>36234</v>
      </c>
      <c r="T2765" t="s">
        <v>30</v>
      </c>
      <c r="U2765" t="s">
        <v>35982</v>
      </c>
      <c r="W2765" t="s">
        <v>28347</v>
      </c>
    </row>
    <row r="2766" spans="1:23" x14ac:dyDescent="0.35">
      <c r="A2766">
        <v>677668</v>
      </c>
      <c r="B2766" t="s">
        <v>36235</v>
      </c>
      <c r="C2766" t="str">
        <f>"9781849050692"</f>
        <v>9781849050692</v>
      </c>
      <c r="D2766" t="str">
        <f>"9780857002594"</f>
        <v>9780857002594</v>
      </c>
      <c r="E2766" t="s">
        <v>146</v>
      </c>
      <c r="F2766" t="s">
        <v>146</v>
      </c>
      <c r="G2766" t="s">
        <v>22174</v>
      </c>
      <c r="H2766" t="s">
        <v>26011</v>
      </c>
      <c r="I2766" s="26">
        <v>40374</v>
      </c>
      <c r="J2766">
        <v>2010</v>
      </c>
      <c r="K2766" t="s">
        <v>146</v>
      </c>
      <c r="L2766">
        <v>146</v>
      </c>
      <c r="M2766" t="s">
        <v>36236</v>
      </c>
      <c r="N2766">
        <v>1</v>
      </c>
      <c r="O2766" t="s">
        <v>31163</v>
      </c>
      <c r="R2766">
        <v>618.92855199999997</v>
      </c>
      <c r="T2766" t="s">
        <v>30</v>
      </c>
      <c r="U2766" t="s">
        <v>26040</v>
      </c>
      <c r="W2766" t="s">
        <v>28347</v>
      </c>
    </row>
    <row r="2767" spans="1:23" x14ac:dyDescent="0.35">
      <c r="A2767">
        <v>677669</v>
      </c>
      <c r="B2767" t="s">
        <v>36237</v>
      </c>
      <c r="C2767" t="str">
        <f>"9781849058391"</f>
        <v>9781849058391</v>
      </c>
      <c r="D2767" t="str">
        <f>"9780857003430"</f>
        <v>9780857003430</v>
      </c>
      <c r="E2767" t="s">
        <v>146</v>
      </c>
      <c r="F2767" t="s">
        <v>146</v>
      </c>
      <c r="G2767" t="s">
        <v>22174</v>
      </c>
      <c r="H2767" t="s">
        <v>26011</v>
      </c>
      <c r="I2767" s="26">
        <v>40466</v>
      </c>
      <c r="J2767">
        <v>2010</v>
      </c>
      <c r="K2767" t="s">
        <v>146</v>
      </c>
      <c r="L2767">
        <v>130</v>
      </c>
      <c r="M2767" t="s">
        <v>36238</v>
      </c>
      <c r="N2767">
        <v>1</v>
      </c>
      <c r="R2767" t="s">
        <v>33466</v>
      </c>
      <c r="S2767" t="s">
        <v>10144</v>
      </c>
      <c r="T2767" t="s">
        <v>30</v>
      </c>
      <c r="U2767" t="s">
        <v>26040</v>
      </c>
      <c r="W2767" t="s">
        <v>28347</v>
      </c>
    </row>
    <row r="2768" spans="1:23" x14ac:dyDescent="0.35">
      <c r="A2768">
        <v>677683</v>
      </c>
      <c r="B2768" t="s">
        <v>8126</v>
      </c>
      <c r="C2768" t="str">
        <f>"9781843109174"</f>
        <v>9781843109174</v>
      </c>
      <c r="D2768" t="str">
        <f>"9780857002921"</f>
        <v>9780857002921</v>
      </c>
      <c r="E2768" t="s">
        <v>146</v>
      </c>
      <c r="F2768" t="s">
        <v>146</v>
      </c>
      <c r="G2768" t="s">
        <v>22174</v>
      </c>
      <c r="H2768" t="s">
        <v>26011</v>
      </c>
      <c r="I2768" s="26">
        <v>40313</v>
      </c>
      <c r="J2768">
        <v>2010</v>
      </c>
      <c r="K2768" t="s">
        <v>146</v>
      </c>
      <c r="L2768">
        <v>228</v>
      </c>
      <c r="M2768" t="s">
        <v>36239</v>
      </c>
      <c r="N2768">
        <v>1</v>
      </c>
      <c r="R2768">
        <v>371.92</v>
      </c>
      <c r="S2768" t="s">
        <v>36240</v>
      </c>
      <c r="T2768" t="s">
        <v>30</v>
      </c>
      <c r="U2768" t="s">
        <v>337</v>
      </c>
      <c r="W2768" t="s">
        <v>28347</v>
      </c>
    </row>
    <row r="2769" spans="1:23" x14ac:dyDescent="0.35">
      <c r="A2769">
        <v>677686</v>
      </c>
      <c r="B2769" t="s">
        <v>36241</v>
      </c>
      <c r="C2769" t="str">
        <f>"9781849051064"</f>
        <v>9781849051064</v>
      </c>
      <c r="D2769" t="str">
        <f>"9780857002990"</f>
        <v>9780857002990</v>
      </c>
      <c r="E2769" t="s">
        <v>146</v>
      </c>
      <c r="F2769" t="s">
        <v>146</v>
      </c>
      <c r="G2769" t="s">
        <v>22174</v>
      </c>
      <c r="H2769" t="s">
        <v>26011</v>
      </c>
      <c r="I2769" s="26">
        <v>40374</v>
      </c>
      <c r="J2769">
        <v>2011</v>
      </c>
      <c r="K2769" t="s">
        <v>146</v>
      </c>
      <c r="L2769">
        <v>210</v>
      </c>
      <c r="M2769" t="s">
        <v>36242</v>
      </c>
      <c r="N2769">
        <v>1</v>
      </c>
      <c r="S2769" t="s">
        <v>36243</v>
      </c>
      <c r="T2769" t="s">
        <v>30</v>
      </c>
      <c r="U2769" t="s">
        <v>46</v>
      </c>
      <c r="W2769" t="s">
        <v>28347</v>
      </c>
    </row>
    <row r="2770" spans="1:23" x14ac:dyDescent="0.35">
      <c r="A2770">
        <v>677691</v>
      </c>
      <c r="B2770" t="s">
        <v>36244</v>
      </c>
      <c r="C2770" t="str">
        <f>"9781849051002"</f>
        <v>9781849051002</v>
      </c>
      <c r="D2770" t="str">
        <f>"9780857002839"</f>
        <v>9780857002839</v>
      </c>
      <c r="E2770" t="s">
        <v>146</v>
      </c>
      <c r="F2770" t="s">
        <v>146</v>
      </c>
      <c r="G2770" t="s">
        <v>22174</v>
      </c>
      <c r="H2770" t="s">
        <v>26011</v>
      </c>
      <c r="I2770" s="26">
        <v>40313</v>
      </c>
      <c r="J2770">
        <v>2010</v>
      </c>
      <c r="K2770" t="s">
        <v>146</v>
      </c>
      <c r="L2770">
        <v>260</v>
      </c>
      <c r="M2770" t="s">
        <v>36245</v>
      </c>
      <c r="N2770">
        <v>1</v>
      </c>
      <c r="R2770" t="s">
        <v>36246</v>
      </c>
      <c r="T2770" t="s">
        <v>30</v>
      </c>
      <c r="U2770" t="s">
        <v>26040</v>
      </c>
      <c r="W2770" t="s">
        <v>28347</v>
      </c>
    </row>
    <row r="2771" spans="1:23" x14ac:dyDescent="0.35">
      <c r="A2771">
        <v>677699</v>
      </c>
      <c r="B2771" t="s">
        <v>7476</v>
      </c>
      <c r="C2771" t="str">
        <f>"9781849050067"</f>
        <v>9781849050067</v>
      </c>
      <c r="D2771" t="str">
        <f>"9780857003744"</f>
        <v>9780857003744</v>
      </c>
      <c r="E2771" t="s">
        <v>146</v>
      </c>
      <c r="F2771" t="s">
        <v>146</v>
      </c>
      <c r="G2771" t="s">
        <v>22174</v>
      </c>
      <c r="H2771" t="s">
        <v>26011</v>
      </c>
      <c r="I2771" s="26">
        <v>40252</v>
      </c>
      <c r="J2771">
        <v>2010</v>
      </c>
      <c r="K2771" t="s">
        <v>146</v>
      </c>
      <c r="L2771">
        <v>276</v>
      </c>
      <c r="M2771" t="s">
        <v>36247</v>
      </c>
      <c r="N2771">
        <v>1</v>
      </c>
      <c r="R2771" t="s">
        <v>36248</v>
      </c>
      <c r="T2771" t="s">
        <v>30</v>
      </c>
      <c r="U2771" t="s">
        <v>11247</v>
      </c>
      <c r="W2771" t="s">
        <v>28347</v>
      </c>
    </row>
    <row r="2772" spans="1:23" x14ac:dyDescent="0.35">
      <c r="A2772">
        <v>677718</v>
      </c>
      <c r="B2772" t="s">
        <v>36249</v>
      </c>
      <c r="C2772" t="str">
        <f>"9781849051019"</f>
        <v>9781849051019</v>
      </c>
      <c r="D2772" t="str">
        <f>"9780857002822"</f>
        <v>9780857002822</v>
      </c>
      <c r="E2772" t="s">
        <v>146</v>
      </c>
      <c r="F2772" t="s">
        <v>146</v>
      </c>
      <c r="G2772" t="s">
        <v>22174</v>
      </c>
      <c r="H2772" t="s">
        <v>26011</v>
      </c>
      <c r="I2772" s="26">
        <v>40283</v>
      </c>
      <c r="J2772">
        <v>2010</v>
      </c>
      <c r="K2772" t="s">
        <v>146</v>
      </c>
      <c r="L2772">
        <v>178</v>
      </c>
      <c r="M2772" t="s">
        <v>36250</v>
      </c>
      <c r="N2772">
        <v>2</v>
      </c>
      <c r="Q2772" t="s">
        <v>36251</v>
      </c>
      <c r="R2772">
        <v>362.7</v>
      </c>
      <c r="S2772" t="s">
        <v>36252</v>
      </c>
      <c r="T2772" t="s">
        <v>30</v>
      </c>
      <c r="U2772" t="s">
        <v>26044</v>
      </c>
      <c r="W2772" t="s">
        <v>28347</v>
      </c>
    </row>
    <row r="2773" spans="1:23" x14ac:dyDescent="0.35">
      <c r="A2773">
        <v>677719</v>
      </c>
      <c r="B2773" t="s">
        <v>36253</v>
      </c>
      <c r="C2773" t="str">
        <f>"9781849051057"</f>
        <v>9781849051057</v>
      </c>
      <c r="D2773" t="str">
        <f>"9780857002280"</f>
        <v>9780857002280</v>
      </c>
      <c r="E2773" t="s">
        <v>146</v>
      </c>
      <c r="F2773" t="s">
        <v>146</v>
      </c>
      <c r="G2773" t="s">
        <v>22174</v>
      </c>
      <c r="H2773" t="s">
        <v>26011</v>
      </c>
      <c r="I2773" s="26">
        <v>40313</v>
      </c>
      <c r="J2773">
        <v>2010</v>
      </c>
      <c r="K2773" t="s">
        <v>146</v>
      </c>
      <c r="L2773">
        <v>130</v>
      </c>
      <c r="M2773" t="s">
        <v>36250</v>
      </c>
      <c r="N2773">
        <v>1</v>
      </c>
      <c r="R2773" t="s">
        <v>31519</v>
      </c>
      <c r="T2773" t="s">
        <v>30</v>
      </c>
      <c r="U2773" t="s">
        <v>26044</v>
      </c>
      <c r="W2773" t="s">
        <v>28347</v>
      </c>
    </row>
    <row r="2774" spans="1:23" x14ac:dyDescent="0.35">
      <c r="A2774">
        <v>677721</v>
      </c>
      <c r="B2774" t="s">
        <v>36254</v>
      </c>
      <c r="C2774" t="str">
        <f>"9781849058094"</f>
        <v>9781849058094</v>
      </c>
      <c r="D2774" t="str">
        <f>"9780857003850"</f>
        <v>9780857003850</v>
      </c>
      <c r="E2774" t="s">
        <v>146</v>
      </c>
      <c r="F2774" t="s">
        <v>146</v>
      </c>
      <c r="G2774" t="s">
        <v>22174</v>
      </c>
      <c r="H2774" t="s">
        <v>26011</v>
      </c>
      <c r="I2774" s="26">
        <v>40344</v>
      </c>
      <c r="J2774">
        <v>2010</v>
      </c>
      <c r="K2774" t="s">
        <v>146</v>
      </c>
      <c r="L2774">
        <v>258</v>
      </c>
      <c r="M2774" t="s">
        <v>36255</v>
      </c>
      <c r="N2774">
        <v>1</v>
      </c>
      <c r="Q2774" t="s">
        <v>36256</v>
      </c>
      <c r="R2774" t="s">
        <v>27485</v>
      </c>
      <c r="S2774" t="s">
        <v>36257</v>
      </c>
      <c r="T2774" t="s">
        <v>30</v>
      </c>
      <c r="U2774" t="s">
        <v>36258</v>
      </c>
      <c r="W2774" t="s">
        <v>28347</v>
      </c>
    </row>
    <row r="2775" spans="1:23" x14ac:dyDescent="0.35">
      <c r="A2775">
        <v>677728</v>
      </c>
      <c r="B2775" t="s">
        <v>36259</v>
      </c>
      <c r="C2775" t="str">
        <f>"9781849058100"</f>
        <v>9781849058100</v>
      </c>
      <c r="D2775" t="str">
        <f>"9780857003188"</f>
        <v>9780857003188</v>
      </c>
      <c r="E2775" t="s">
        <v>146</v>
      </c>
      <c r="F2775" t="s">
        <v>146</v>
      </c>
      <c r="G2775" t="s">
        <v>22174</v>
      </c>
      <c r="H2775" t="s">
        <v>26011</v>
      </c>
      <c r="I2775" s="26">
        <v>40313</v>
      </c>
      <c r="J2775">
        <v>2010</v>
      </c>
      <c r="K2775" t="s">
        <v>146</v>
      </c>
      <c r="L2775">
        <v>330</v>
      </c>
      <c r="M2775" t="s">
        <v>36260</v>
      </c>
      <c r="N2775">
        <v>1</v>
      </c>
      <c r="Q2775" t="s">
        <v>36261</v>
      </c>
      <c r="R2775">
        <v>153.9</v>
      </c>
      <c r="S2775" t="s">
        <v>36262</v>
      </c>
      <c r="T2775" t="s">
        <v>30</v>
      </c>
      <c r="U2775" t="s">
        <v>46</v>
      </c>
      <c r="W2775" t="s">
        <v>28347</v>
      </c>
    </row>
    <row r="2776" spans="1:23" x14ac:dyDescent="0.35">
      <c r="A2776">
        <v>677731</v>
      </c>
      <c r="B2776" t="s">
        <v>36263</v>
      </c>
      <c r="C2776" t="str">
        <f>"9781849050982"</f>
        <v>9781849050982</v>
      </c>
      <c r="D2776" t="str">
        <f>"9780857002723"</f>
        <v>9780857002723</v>
      </c>
      <c r="E2776" t="s">
        <v>146</v>
      </c>
      <c r="F2776" t="s">
        <v>146</v>
      </c>
      <c r="G2776" t="s">
        <v>22174</v>
      </c>
      <c r="H2776" t="s">
        <v>26011</v>
      </c>
      <c r="I2776" s="26">
        <v>40313</v>
      </c>
      <c r="J2776">
        <v>2010</v>
      </c>
      <c r="K2776" t="s">
        <v>146</v>
      </c>
      <c r="L2776">
        <v>226</v>
      </c>
      <c r="M2776" t="s">
        <v>36264</v>
      </c>
      <c r="N2776">
        <v>1</v>
      </c>
      <c r="Q2776" t="s">
        <v>36265</v>
      </c>
      <c r="R2776">
        <v>362.88083</v>
      </c>
      <c r="S2776" t="s">
        <v>36266</v>
      </c>
      <c r="T2776" t="s">
        <v>30</v>
      </c>
      <c r="U2776" t="s">
        <v>26044</v>
      </c>
      <c r="W2776" t="s">
        <v>28347</v>
      </c>
    </row>
    <row r="2777" spans="1:23" x14ac:dyDescent="0.35">
      <c r="A2777">
        <v>677764</v>
      </c>
      <c r="B2777" t="s">
        <v>9663</v>
      </c>
      <c r="C2777" t="str">
        <f>"9781598740455"</f>
        <v>9781598740455</v>
      </c>
      <c r="D2777" t="str">
        <f>"9781598746525"</f>
        <v>9781598746525</v>
      </c>
      <c r="E2777" t="s">
        <v>26010</v>
      </c>
      <c r="F2777" t="s">
        <v>35</v>
      </c>
      <c r="G2777" t="s">
        <v>36267</v>
      </c>
      <c r="H2777" t="s">
        <v>26004</v>
      </c>
      <c r="I2777" s="26">
        <v>38852</v>
      </c>
      <c r="J2777">
        <v>2006</v>
      </c>
      <c r="K2777" t="s">
        <v>26012</v>
      </c>
      <c r="L2777">
        <v>342</v>
      </c>
      <c r="M2777" t="s">
        <v>36268</v>
      </c>
      <c r="N2777">
        <v>1</v>
      </c>
      <c r="O2777" t="s">
        <v>36269</v>
      </c>
      <c r="Q2777" t="s">
        <v>36270</v>
      </c>
      <c r="R2777">
        <v>1.4</v>
      </c>
      <c r="S2777" t="s">
        <v>9664</v>
      </c>
      <c r="T2777" t="s">
        <v>30</v>
      </c>
      <c r="U2777" t="s">
        <v>34900</v>
      </c>
      <c r="W2777" t="s">
        <v>26009</v>
      </c>
    </row>
    <row r="2778" spans="1:23" x14ac:dyDescent="0.35">
      <c r="A2778">
        <v>677765</v>
      </c>
      <c r="B2778" t="s">
        <v>36271</v>
      </c>
      <c r="C2778" t="str">
        <f>"9781598744224"</f>
        <v>9781598744224</v>
      </c>
      <c r="D2778" t="str">
        <f>"9781598747331"</f>
        <v>9781598747331</v>
      </c>
      <c r="E2778" t="s">
        <v>26010</v>
      </c>
      <c r="F2778" t="s">
        <v>35</v>
      </c>
      <c r="G2778" t="s">
        <v>36267</v>
      </c>
      <c r="H2778" t="s">
        <v>26004</v>
      </c>
      <c r="I2778" s="26">
        <v>39964</v>
      </c>
      <c r="J2778">
        <v>2009</v>
      </c>
      <c r="K2778" t="s">
        <v>26012</v>
      </c>
      <c r="L2778">
        <v>320</v>
      </c>
      <c r="M2778" t="s">
        <v>36268</v>
      </c>
      <c r="N2778">
        <v>1</v>
      </c>
      <c r="O2778" t="s">
        <v>36269</v>
      </c>
      <c r="Q2778" t="s">
        <v>36272</v>
      </c>
      <c r="R2778">
        <v>300</v>
      </c>
      <c r="S2778" t="s">
        <v>36273</v>
      </c>
      <c r="T2778" t="s">
        <v>30</v>
      </c>
      <c r="U2778" t="s">
        <v>26044</v>
      </c>
      <c r="W2778" t="s">
        <v>26009</v>
      </c>
    </row>
    <row r="2779" spans="1:23" x14ac:dyDescent="0.35">
      <c r="A2779">
        <v>677766</v>
      </c>
      <c r="B2779" t="s">
        <v>9666</v>
      </c>
      <c r="C2779" t="str">
        <f>"9781598745375"</f>
        <v>9781598745375</v>
      </c>
      <c r="D2779" t="str">
        <f>"9781598747102"</f>
        <v>9781598747102</v>
      </c>
      <c r="E2779" t="s">
        <v>26010</v>
      </c>
      <c r="F2779" t="s">
        <v>35</v>
      </c>
      <c r="G2779" t="s">
        <v>36267</v>
      </c>
      <c r="H2779" t="s">
        <v>26004</v>
      </c>
      <c r="I2779" s="26">
        <v>40313</v>
      </c>
      <c r="J2779">
        <v>2010</v>
      </c>
      <c r="K2779" t="s">
        <v>26012</v>
      </c>
      <c r="L2779">
        <v>289</v>
      </c>
      <c r="M2779" t="s">
        <v>36274</v>
      </c>
      <c r="N2779">
        <v>1</v>
      </c>
      <c r="O2779" t="s">
        <v>36269</v>
      </c>
      <c r="Q2779" t="s">
        <v>36275</v>
      </c>
      <c r="R2779">
        <v>370.72</v>
      </c>
      <c r="S2779" t="s">
        <v>36276</v>
      </c>
      <c r="T2779" t="s">
        <v>30</v>
      </c>
      <c r="U2779" t="s">
        <v>27827</v>
      </c>
      <c r="W2779" t="s">
        <v>26009</v>
      </c>
    </row>
    <row r="2780" spans="1:23" x14ac:dyDescent="0.35">
      <c r="A2780">
        <v>677767</v>
      </c>
      <c r="B2780" t="s">
        <v>9668</v>
      </c>
      <c r="C2780" t="str">
        <f>"9781598743210"</f>
        <v>9781598743210</v>
      </c>
      <c r="D2780" t="str">
        <f>"9781598747348"</f>
        <v>9781598747348</v>
      </c>
      <c r="E2780" t="s">
        <v>26010</v>
      </c>
      <c r="F2780" t="s">
        <v>35</v>
      </c>
      <c r="G2780" t="s">
        <v>36267</v>
      </c>
      <c r="H2780" t="s">
        <v>26004</v>
      </c>
      <c r="I2780" s="26">
        <v>39583</v>
      </c>
      <c r="J2780">
        <v>2008</v>
      </c>
      <c r="K2780" t="s">
        <v>26012</v>
      </c>
      <c r="L2780">
        <v>353</v>
      </c>
      <c r="M2780" t="s">
        <v>36268</v>
      </c>
      <c r="N2780">
        <v>1</v>
      </c>
      <c r="O2780" t="s">
        <v>36269</v>
      </c>
      <c r="Q2780" t="s">
        <v>36277</v>
      </c>
      <c r="R2780" t="s">
        <v>36278</v>
      </c>
      <c r="S2780" t="s">
        <v>36279</v>
      </c>
      <c r="T2780" t="s">
        <v>30</v>
      </c>
      <c r="U2780" t="s">
        <v>28449</v>
      </c>
      <c r="W2780" t="s">
        <v>26009</v>
      </c>
    </row>
    <row r="2781" spans="1:23" x14ac:dyDescent="0.35">
      <c r="A2781">
        <v>677802</v>
      </c>
      <c r="B2781" t="s">
        <v>36280</v>
      </c>
      <c r="C2781" t="str">
        <f>"9781598744156"</f>
        <v>9781598744156</v>
      </c>
      <c r="D2781" t="str">
        <f>"9781598747355"</f>
        <v>9781598747355</v>
      </c>
      <c r="E2781" t="s">
        <v>26010</v>
      </c>
      <c r="F2781" t="s">
        <v>35</v>
      </c>
      <c r="G2781" t="s">
        <v>26128</v>
      </c>
      <c r="H2781" t="s">
        <v>26011</v>
      </c>
      <c r="I2781" s="26">
        <v>40009</v>
      </c>
      <c r="J2781">
        <v>2009</v>
      </c>
      <c r="K2781" t="s">
        <v>26012</v>
      </c>
      <c r="L2781">
        <v>401</v>
      </c>
      <c r="M2781" t="s">
        <v>33857</v>
      </c>
      <c r="N2781">
        <v>1</v>
      </c>
      <c r="R2781" t="s">
        <v>35760</v>
      </c>
      <c r="S2781" t="s">
        <v>36281</v>
      </c>
      <c r="T2781" t="s">
        <v>30</v>
      </c>
      <c r="U2781" t="s">
        <v>36282</v>
      </c>
      <c r="W2781" t="s">
        <v>26009</v>
      </c>
    </row>
    <row r="2782" spans="1:23" x14ac:dyDescent="0.35">
      <c r="A2782">
        <v>677811</v>
      </c>
      <c r="B2782" t="s">
        <v>36283</v>
      </c>
      <c r="C2782" t="str">
        <f>"9781598743982"</f>
        <v>9781598743982</v>
      </c>
      <c r="D2782" t="str">
        <f>"9781598747294"</f>
        <v>9781598747294</v>
      </c>
      <c r="E2782" t="s">
        <v>26010</v>
      </c>
      <c r="F2782" t="s">
        <v>35</v>
      </c>
      <c r="G2782" t="s">
        <v>36267</v>
      </c>
      <c r="H2782" t="s">
        <v>26004</v>
      </c>
      <c r="I2782" s="26">
        <v>40056</v>
      </c>
      <c r="J2782">
        <v>2009</v>
      </c>
      <c r="K2782" t="s">
        <v>26012</v>
      </c>
      <c r="L2782">
        <v>233</v>
      </c>
      <c r="M2782" t="s">
        <v>36284</v>
      </c>
      <c r="N2782">
        <v>1</v>
      </c>
      <c r="Q2782" t="s">
        <v>36285</v>
      </c>
      <c r="R2782" t="s">
        <v>36286</v>
      </c>
      <c r="S2782" t="s">
        <v>36287</v>
      </c>
      <c r="T2782" t="s">
        <v>30</v>
      </c>
      <c r="U2782" t="s">
        <v>28111</v>
      </c>
      <c r="W2782" t="s">
        <v>26009</v>
      </c>
    </row>
    <row r="2783" spans="1:23" x14ac:dyDescent="0.35">
      <c r="A2783">
        <v>677828</v>
      </c>
      <c r="B2783" t="s">
        <v>36288</v>
      </c>
      <c r="C2783" t="str">
        <f>"9781598741551"</f>
        <v>9781598741551</v>
      </c>
      <c r="D2783" t="str">
        <f>"9781598747812"</f>
        <v>9781598747812</v>
      </c>
      <c r="E2783" t="s">
        <v>26010</v>
      </c>
      <c r="F2783" t="s">
        <v>35</v>
      </c>
      <c r="G2783" t="s">
        <v>36267</v>
      </c>
      <c r="H2783" t="s">
        <v>26004</v>
      </c>
      <c r="I2783" s="26">
        <v>39752</v>
      </c>
      <c r="J2783">
        <v>2008</v>
      </c>
      <c r="K2783" t="s">
        <v>26012</v>
      </c>
      <c r="L2783">
        <v>257</v>
      </c>
      <c r="M2783" t="s">
        <v>36289</v>
      </c>
      <c r="N2783">
        <v>1</v>
      </c>
      <c r="O2783" t="s">
        <v>36290</v>
      </c>
      <c r="P2783">
        <v>59</v>
      </c>
      <c r="Q2783" t="s">
        <v>36291</v>
      </c>
      <c r="R2783">
        <v>970.01</v>
      </c>
      <c r="S2783" t="s">
        <v>36292</v>
      </c>
      <c r="T2783" t="s">
        <v>30</v>
      </c>
      <c r="U2783" t="s">
        <v>402</v>
      </c>
      <c r="W2783" t="s">
        <v>26009</v>
      </c>
    </row>
    <row r="2784" spans="1:23" x14ac:dyDescent="0.35">
      <c r="A2784">
        <v>677829</v>
      </c>
      <c r="B2784" t="s">
        <v>36293</v>
      </c>
      <c r="C2784" t="str">
        <f>"9781598740264"</f>
        <v>9781598740264</v>
      </c>
      <c r="D2784" t="str">
        <f>"9781598747997"</f>
        <v>9781598747997</v>
      </c>
      <c r="E2784" t="s">
        <v>26010</v>
      </c>
      <c r="F2784" t="s">
        <v>35</v>
      </c>
      <c r="G2784" t="s">
        <v>36267</v>
      </c>
      <c r="H2784" t="s">
        <v>26004</v>
      </c>
      <c r="I2784" s="26">
        <v>38701</v>
      </c>
      <c r="J2784">
        <v>2005</v>
      </c>
      <c r="K2784" t="s">
        <v>26012</v>
      </c>
      <c r="L2784">
        <v>326</v>
      </c>
      <c r="M2784" t="s">
        <v>36294</v>
      </c>
      <c r="N2784">
        <v>1</v>
      </c>
      <c r="O2784" t="s">
        <v>36295</v>
      </c>
      <c r="Q2784" t="s">
        <v>36296</v>
      </c>
      <c r="R2784">
        <v>378.00819999999999</v>
      </c>
      <c r="S2784" t="s">
        <v>36297</v>
      </c>
      <c r="T2784" t="s">
        <v>30</v>
      </c>
      <c r="U2784" t="s">
        <v>337</v>
      </c>
      <c r="W2784" t="s">
        <v>26009</v>
      </c>
    </row>
    <row r="2785" spans="1:23" x14ac:dyDescent="0.35">
      <c r="A2785">
        <v>678192</v>
      </c>
      <c r="B2785" t="s">
        <v>10276</v>
      </c>
      <c r="C2785" t="str">
        <f>"9780765701077"</f>
        <v>9780765701077</v>
      </c>
      <c r="D2785" t="str">
        <f>"9780765708489"</f>
        <v>9780765708489</v>
      </c>
      <c r="E2785" t="s">
        <v>33803</v>
      </c>
      <c r="F2785" t="s">
        <v>38</v>
      </c>
      <c r="G2785" t="s">
        <v>33804</v>
      </c>
      <c r="H2785" t="s">
        <v>26004</v>
      </c>
      <c r="I2785" s="26">
        <v>38428</v>
      </c>
      <c r="J2785">
        <v>2011</v>
      </c>
      <c r="K2785" t="s">
        <v>33811</v>
      </c>
      <c r="L2785">
        <v>146</v>
      </c>
      <c r="M2785" t="s">
        <v>36298</v>
      </c>
      <c r="N2785">
        <v>1</v>
      </c>
      <c r="Q2785" t="s">
        <v>36299</v>
      </c>
      <c r="R2785">
        <v>618.92891399999996</v>
      </c>
      <c r="S2785" t="s">
        <v>36300</v>
      </c>
      <c r="T2785" t="s">
        <v>30</v>
      </c>
      <c r="U2785" t="s">
        <v>26116</v>
      </c>
      <c r="W2785" t="s">
        <v>26009</v>
      </c>
    </row>
    <row r="2786" spans="1:23" x14ac:dyDescent="0.35">
      <c r="A2786">
        <v>678193</v>
      </c>
      <c r="B2786" t="s">
        <v>36301</v>
      </c>
      <c r="C2786" t="str">
        <f>"9780739167076"</f>
        <v>9780739167076</v>
      </c>
      <c r="D2786" t="str">
        <f>"9780739167083"</f>
        <v>9780739167083</v>
      </c>
      <c r="E2786" t="s">
        <v>33803</v>
      </c>
      <c r="F2786" t="s">
        <v>8174</v>
      </c>
      <c r="G2786" t="s">
        <v>34328</v>
      </c>
      <c r="H2786" t="s">
        <v>26004</v>
      </c>
      <c r="I2786" s="26">
        <v>40647</v>
      </c>
      <c r="J2786">
        <v>2011</v>
      </c>
      <c r="K2786" t="s">
        <v>8174</v>
      </c>
      <c r="L2786">
        <v>175</v>
      </c>
      <c r="M2786" t="s">
        <v>36302</v>
      </c>
      <c r="N2786">
        <v>1</v>
      </c>
      <c r="Q2786" t="s">
        <v>36303</v>
      </c>
      <c r="R2786" t="s">
        <v>36304</v>
      </c>
      <c r="S2786" t="s">
        <v>36305</v>
      </c>
      <c r="T2786" t="s">
        <v>30</v>
      </c>
      <c r="U2786" t="s">
        <v>26044</v>
      </c>
      <c r="W2786" t="s">
        <v>26009</v>
      </c>
    </row>
    <row r="2787" spans="1:23" x14ac:dyDescent="0.35">
      <c r="A2787">
        <v>678203</v>
      </c>
      <c r="B2787" t="s">
        <v>36306</v>
      </c>
      <c r="C2787" t="str">
        <f>"9780739164624"</f>
        <v>9780739164624</v>
      </c>
      <c r="D2787" t="str">
        <f>"9780739164648"</f>
        <v>9780739164648</v>
      </c>
      <c r="E2787" t="s">
        <v>33803</v>
      </c>
      <c r="F2787" t="s">
        <v>8174</v>
      </c>
      <c r="G2787" t="s">
        <v>34328</v>
      </c>
      <c r="H2787" t="s">
        <v>26004</v>
      </c>
      <c r="I2787" s="26">
        <v>40668</v>
      </c>
      <c r="J2787">
        <v>2011</v>
      </c>
      <c r="K2787" t="s">
        <v>8174</v>
      </c>
      <c r="L2787">
        <v>144</v>
      </c>
      <c r="M2787" t="s">
        <v>36307</v>
      </c>
      <c r="N2787">
        <v>1</v>
      </c>
      <c r="Q2787" t="s">
        <v>36308</v>
      </c>
      <c r="R2787">
        <v>301</v>
      </c>
      <c r="S2787" t="s">
        <v>36309</v>
      </c>
      <c r="T2787" t="s">
        <v>30</v>
      </c>
      <c r="U2787" t="s">
        <v>26170</v>
      </c>
      <c r="W2787" t="s">
        <v>26009</v>
      </c>
    </row>
    <row r="2788" spans="1:23" x14ac:dyDescent="0.35">
      <c r="A2788">
        <v>678276</v>
      </c>
      <c r="B2788" t="s">
        <v>36310</v>
      </c>
      <c r="C2788" t="str">
        <f>"9780313358685"</f>
        <v>9780313358685</v>
      </c>
      <c r="D2788" t="str">
        <f>"9780313358692"</f>
        <v>9780313358692</v>
      </c>
      <c r="E2788" t="s">
        <v>28336</v>
      </c>
      <c r="F2788" t="s">
        <v>28340</v>
      </c>
      <c r="G2788" t="s">
        <v>22179</v>
      </c>
      <c r="H2788" t="s">
        <v>26004</v>
      </c>
      <c r="I2788" s="26">
        <v>40605</v>
      </c>
      <c r="J2788">
        <v>2011</v>
      </c>
      <c r="K2788" t="s">
        <v>28341</v>
      </c>
      <c r="L2788">
        <v>216</v>
      </c>
      <c r="M2788" t="s">
        <v>32136</v>
      </c>
      <c r="N2788">
        <v>1</v>
      </c>
      <c r="Q2788" t="s">
        <v>36311</v>
      </c>
      <c r="R2788" t="s">
        <v>29630</v>
      </c>
      <c r="S2788" t="s">
        <v>36312</v>
      </c>
      <c r="T2788" t="s">
        <v>30</v>
      </c>
      <c r="U2788" t="s">
        <v>26019</v>
      </c>
      <c r="W2788" t="s">
        <v>28347</v>
      </c>
    </row>
    <row r="2789" spans="1:23" x14ac:dyDescent="0.35">
      <c r="A2789">
        <v>678649</v>
      </c>
      <c r="B2789" t="s">
        <v>36313</v>
      </c>
      <c r="C2789" t="str">
        <f>"9780826106193"</f>
        <v>9780826106193</v>
      </c>
      <c r="D2789" t="str">
        <f>"9780826106209"</f>
        <v>9780826106209</v>
      </c>
      <c r="E2789" t="s">
        <v>1504</v>
      </c>
      <c r="F2789" t="s">
        <v>33</v>
      </c>
      <c r="G2789" t="s">
        <v>22179</v>
      </c>
      <c r="H2789" t="s">
        <v>26004</v>
      </c>
      <c r="I2789" s="26">
        <v>40603</v>
      </c>
      <c r="J2789">
        <v>2011</v>
      </c>
      <c r="K2789" t="s">
        <v>33</v>
      </c>
      <c r="L2789">
        <v>498</v>
      </c>
      <c r="M2789" t="s">
        <v>36314</v>
      </c>
      <c r="N2789">
        <v>1</v>
      </c>
      <c r="Q2789" t="s">
        <v>36315</v>
      </c>
      <c r="S2789" t="s">
        <v>36316</v>
      </c>
      <c r="T2789" t="s">
        <v>30</v>
      </c>
      <c r="U2789" t="s">
        <v>26116</v>
      </c>
      <c r="W2789" t="s">
        <v>26009</v>
      </c>
    </row>
    <row r="2790" spans="1:23" x14ac:dyDescent="0.35">
      <c r="A2790">
        <v>678650</v>
      </c>
      <c r="B2790" t="s">
        <v>36317</v>
      </c>
      <c r="C2790" t="str">
        <f>"9780826106599"</f>
        <v>9780826106599</v>
      </c>
      <c r="D2790" t="str">
        <f>"9780826106605"</f>
        <v>9780826106605</v>
      </c>
      <c r="E2790" t="s">
        <v>1504</v>
      </c>
      <c r="F2790" t="s">
        <v>33</v>
      </c>
      <c r="G2790" t="s">
        <v>22179</v>
      </c>
      <c r="H2790" t="s">
        <v>26004</v>
      </c>
      <c r="I2790" s="26">
        <v>40563</v>
      </c>
      <c r="J2790">
        <v>2011</v>
      </c>
      <c r="K2790" t="s">
        <v>33</v>
      </c>
      <c r="L2790">
        <v>317</v>
      </c>
      <c r="M2790" t="s">
        <v>36318</v>
      </c>
      <c r="N2790">
        <v>1</v>
      </c>
      <c r="Q2790" t="s">
        <v>36319</v>
      </c>
      <c r="S2790" t="s">
        <v>36320</v>
      </c>
      <c r="T2790" t="s">
        <v>30</v>
      </c>
      <c r="U2790" t="s">
        <v>26116</v>
      </c>
      <c r="W2790" t="s">
        <v>26009</v>
      </c>
    </row>
    <row r="2791" spans="1:23" x14ac:dyDescent="0.35">
      <c r="A2791">
        <v>678696</v>
      </c>
      <c r="B2791" t="s">
        <v>36321</v>
      </c>
      <c r="C2791" t="str">
        <f>"9788472452855"</f>
        <v>9788472452855</v>
      </c>
      <c r="D2791" t="str">
        <f>"9788472457652"</f>
        <v>9788472457652</v>
      </c>
      <c r="E2791" t="s">
        <v>27422</v>
      </c>
      <c r="F2791" t="s">
        <v>8299</v>
      </c>
      <c r="G2791" t="s">
        <v>22428</v>
      </c>
      <c r="H2791" t="s">
        <v>26004</v>
      </c>
      <c r="I2791" s="26">
        <v>38504</v>
      </c>
      <c r="J2791">
        <v>2010</v>
      </c>
      <c r="K2791" t="s">
        <v>8299</v>
      </c>
      <c r="L2791">
        <v>498</v>
      </c>
      <c r="M2791" t="s">
        <v>36322</v>
      </c>
      <c r="Q2791" t="s">
        <v>36323</v>
      </c>
      <c r="R2791">
        <v>291.21140000000003</v>
      </c>
      <c r="S2791" t="s">
        <v>36324</v>
      </c>
      <c r="T2791" t="s">
        <v>142</v>
      </c>
      <c r="U2791" t="s">
        <v>11247</v>
      </c>
      <c r="W2791" t="s">
        <v>26009</v>
      </c>
    </row>
    <row r="2792" spans="1:23" x14ac:dyDescent="0.35">
      <c r="A2792">
        <v>678716</v>
      </c>
      <c r="B2792" t="s">
        <v>36325</v>
      </c>
      <c r="C2792" t="str">
        <f>"9788472455146"</f>
        <v>9788472455146</v>
      </c>
      <c r="D2792" t="str">
        <f>"9788472457942"</f>
        <v>9788472457942</v>
      </c>
      <c r="E2792" t="s">
        <v>27422</v>
      </c>
      <c r="F2792" t="s">
        <v>8299</v>
      </c>
      <c r="G2792" t="s">
        <v>22428</v>
      </c>
      <c r="H2792" t="s">
        <v>26004</v>
      </c>
      <c r="I2792" s="26">
        <v>40695</v>
      </c>
      <c r="J2792">
        <v>2010</v>
      </c>
      <c r="K2792" t="s">
        <v>8299</v>
      </c>
      <c r="L2792">
        <v>508</v>
      </c>
      <c r="M2792" t="s">
        <v>36326</v>
      </c>
      <c r="Q2792" t="s">
        <v>36327</v>
      </c>
      <c r="R2792">
        <v>155.33199999999999</v>
      </c>
      <c r="S2792" t="s">
        <v>36328</v>
      </c>
      <c r="T2792" t="s">
        <v>142</v>
      </c>
      <c r="U2792" t="s">
        <v>26228</v>
      </c>
      <c r="W2792" t="s">
        <v>28427</v>
      </c>
    </row>
    <row r="2793" spans="1:23" x14ac:dyDescent="0.35">
      <c r="A2793">
        <v>679236</v>
      </c>
      <c r="B2793" t="s">
        <v>36329</v>
      </c>
      <c r="C2793" t="str">
        <f>"9780754668251"</f>
        <v>9780754668251</v>
      </c>
      <c r="D2793" t="str">
        <f>"9781409426721"</f>
        <v>9781409426721</v>
      </c>
      <c r="E2793" t="s">
        <v>26010</v>
      </c>
      <c r="F2793" t="s">
        <v>35</v>
      </c>
      <c r="G2793" t="s">
        <v>22184</v>
      </c>
      <c r="H2793" t="s">
        <v>26011</v>
      </c>
      <c r="I2793" s="26">
        <v>40691</v>
      </c>
      <c r="J2793">
        <v>2011</v>
      </c>
      <c r="K2793" t="s">
        <v>26012</v>
      </c>
      <c r="L2793">
        <v>472</v>
      </c>
      <c r="M2793" t="s">
        <v>36330</v>
      </c>
      <c r="N2793">
        <v>1</v>
      </c>
      <c r="Q2793" t="s">
        <v>36331</v>
      </c>
      <c r="R2793" t="s">
        <v>36332</v>
      </c>
      <c r="S2793" t="s">
        <v>36333</v>
      </c>
      <c r="T2793" t="s">
        <v>30</v>
      </c>
      <c r="U2793" t="s">
        <v>27699</v>
      </c>
      <c r="W2793" t="s">
        <v>26009</v>
      </c>
    </row>
    <row r="2794" spans="1:23" x14ac:dyDescent="0.35">
      <c r="A2794">
        <v>679331</v>
      </c>
      <c r="B2794" t="s">
        <v>36334</v>
      </c>
      <c r="C2794" t="str">
        <f>"9780195186826"</f>
        <v>9780195186826</v>
      </c>
      <c r="D2794" t="str">
        <f>"9780199774968"</f>
        <v>9780199774968</v>
      </c>
      <c r="E2794" t="s">
        <v>371</v>
      </c>
      <c r="F2794" t="s">
        <v>31</v>
      </c>
      <c r="H2794" t="s">
        <v>26011</v>
      </c>
      <c r="I2794" s="26">
        <v>38302</v>
      </c>
      <c r="J2794">
        <v>2004</v>
      </c>
      <c r="K2794" t="s">
        <v>32038</v>
      </c>
      <c r="L2794">
        <v>192</v>
      </c>
      <c r="M2794" t="s">
        <v>36335</v>
      </c>
      <c r="O2794" t="s">
        <v>36336</v>
      </c>
      <c r="Q2794" t="s">
        <v>36337</v>
      </c>
      <c r="R2794">
        <v>616.85226999999895</v>
      </c>
      <c r="S2794" t="s">
        <v>7750</v>
      </c>
      <c r="T2794" t="s">
        <v>30</v>
      </c>
      <c r="U2794" t="s">
        <v>26019</v>
      </c>
      <c r="W2794" t="s">
        <v>26009</v>
      </c>
    </row>
    <row r="2795" spans="1:23" x14ac:dyDescent="0.35">
      <c r="A2795">
        <v>679339</v>
      </c>
      <c r="B2795" t="s">
        <v>36338</v>
      </c>
      <c r="C2795" t="str">
        <f>"9780195397765"</f>
        <v>9780195397765</v>
      </c>
      <c r="D2795" t="str">
        <f>"9780199792481"</f>
        <v>9780199792481</v>
      </c>
      <c r="E2795" t="s">
        <v>371</v>
      </c>
      <c r="F2795" t="s">
        <v>31</v>
      </c>
      <c r="G2795" t="s">
        <v>22179</v>
      </c>
      <c r="H2795" t="s">
        <v>26004</v>
      </c>
      <c r="I2795" s="26">
        <v>40632</v>
      </c>
      <c r="J2795">
        <v>2011</v>
      </c>
      <c r="K2795" t="s">
        <v>31</v>
      </c>
      <c r="L2795">
        <v>427</v>
      </c>
      <c r="M2795" t="s">
        <v>36339</v>
      </c>
      <c r="Q2795" t="s">
        <v>36340</v>
      </c>
      <c r="R2795">
        <v>796.35724000000005</v>
      </c>
      <c r="S2795" t="s">
        <v>36341</v>
      </c>
      <c r="T2795" t="s">
        <v>30</v>
      </c>
      <c r="U2795" t="s">
        <v>26008</v>
      </c>
      <c r="W2795" t="s">
        <v>26009</v>
      </c>
    </row>
    <row r="2796" spans="1:23" x14ac:dyDescent="0.35">
      <c r="A2796">
        <v>679382</v>
      </c>
      <c r="B2796" t="s">
        <v>36342</v>
      </c>
      <c r="C2796" t="str">
        <f>"9780195395143"</f>
        <v>9780195395143</v>
      </c>
      <c r="D2796" t="str">
        <f>"9780199753215"</f>
        <v>9780199753215</v>
      </c>
      <c r="E2796" t="s">
        <v>371</v>
      </c>
      <c r="F2796" t="s">
        <v>31</v>
      </c>
      <c r="G2796" t="s">
        <v>22703</v>
      </c>
      <c r="H2796" t="s">
        <v>26004</v>
      </c>
      <c r="I2796" s="26">
        <v>40682</v>
      </c>
      <c r="J2796">
        <v>2011</v>
      </c>
      <c r="K2796" t="s">
        <v>31</v>
      </c>
      <c r="L2796">
        <v>222</v>
      </c>
      <c r="M2796" t="s">
        <v>36343</v>
      </c>
      <c r="Q2796" t="s">
        <v>36344</v>
      </c>
      <c r="R2796" t="s">
        <v>26937</v>
      </c>
      <c r="S2796" t="s">
        <v>36345</v>
      </c>
      <c r="T2796" t="s">
        <v>30</v>
      </c>
      <c r="U2796" t="s">
        <v>46</v>
      </c>
      <c r="W2796" t="s">
        <v>26009</v>
      </c>
    </row>
    <row r="2797" spans="1:23" x14ac:dyDescent="0.35">
      <c r="A2797">
        <v>679415</v>
      </c>
      <c r="B2797" t="s">
        <v>36346</v>
      </c>
      <c r="C2797" t="str">
        <f>"9780195389395"</f>
        <v>9780195389395</v>
      </c>
      <c r="D2797" t="str">
        <f>"9780199736782"</f>
        <v>9780199736782</v>
      </c>
      <c r="E2797" t="s">
        <v>371</v>
      </c>
      <c r="F2797" t="s">
        <v>31</v>
      </c>
      <c r="G2797" t="s">
        <v>22703</v>
      </c>
      <c r="H2797" t="s">
        <v>26004</v>
      </c>
      <c r="I2797" s="26">
        <v>40058</v>
      </c>
      <c r="J2797">
        <v>2010</v>
      </c>
      <c r="K2797" t="s">
        <v>31</v>
      </c>
      <c r="L2797">
        <v>287</v>
      </c>
      <c r="M2797" t="s">
        <v>36347</v>
      </c>
      <c r="Q2797" t="s">
        <v>36348</v>
      </c>
      <c r="R2797" t="s">
        <v>36349</v>
      </c>
      <c r="S2797" t="s">
        <v>36350</v>
      </c>
      <c r="T2797" t="s">
        <v>30</v>
      </c>
      <c r="U2797" t="s">
        <v>26044</v>
      </c>
      <c r="W2797" t="s">
        <v>26009</v>
      </c>
    </row>
    <row r="2798" spans="1:23" x14ac:dyDescent="0.35">
      <c r="A2798">
        <v>679528</v>
      </c>
      <c r="B2798" t="s">
        <v>36351</v>
      </c>
      <c r="C2798" t="str">
        <f>"9780199736409"</f>
        <v>9780199736409</v>
      </c>
      <c r="D2798" t="str">
        <f>"9780199838349"</f>
        <v>9780199838349</v>
      </c>
      <c r="E2798" t="s">
        <v>371</v>
      </c>
      <c r="F2798" t="s">
        <v>31</v>
      </c>
      <c r="G2798" t="s">
        <v>22703</v>
      </c>
      <c r="H2798" t="s">
        <v>26004</v>
      </c>
      <c r="I2798" s="26">
        <v>40641</v>
      </c>
      <c r="J2798">
        <v>2011</v>
      </c>
      <c r="K2798" t="s">
        <v>31</v>
      </c>
      <c r="L2798">
        <v>239</v>
      </c>
      <c r="M2798" t="s">
        <v>36352</v>
      </c>
      <c r="N2798">
        <v>1</v>
      </c>
      <c r="Q2798" t="s">
        <v>36353</v>
      </c>
      <c r="R2798">
        <v>616.85882000000004</v>
      </c>
      <c r="S2798" t="s">
        <v>36354</v>
      </c>
      <c r="T2798" t="s">
        <v>30</v>
      </c>
      <c r="U2798" t="s">
        <v>26116</v>
      </c>
      <c r="W2798" t="s">
        <v>26009</v>
      </c>
    </row>
    <row r="2799" spans="1:23" x14ac:dyDescent="0.35">
      <c r="A2799">
        <v>680384</v>
      </c>
      <c r="B2799" t="s">
        <v>7965</v>
      </c>
      <c r="C2799" t="str">
        <f>"9789027250346"</f>
        <v>9789027250346</v>
      </c>
      <c r="D2799" t="str">
        <f>"9789027285928"</f>
        <v>9789027285928</v>
      </c>
      <c r="E2799" t="s">
        <v>35211</v>
      </c>
      <c r="F2799" t="s">
        <v>7610</v>
      </c>
      <c r="G2799" t="s">
        <v>22222</v>
      </c>
      <c r="H2799" t="s">
        <v>27983</v>
      </c>
      <c r="I2799" s="26">
        <v>33766</v>
      </c>
      <c r="J2799">
        <v>1992</v>
      </c>
      <c r="K2799" t="s">
        <v>7610</v>
      </c>
      <c r="L2799">
        <v>420</v>
      </c>
      <c r="M2799" t="s">
        <v>36355</v>
      </c>
      <c r="N2799">
        <v>1</v>
      </c>
      <c r="O2799" t="s">
        <v>36356</v>
      </c>
      <c r="Q2799" t="s">
        <v>36357</v>
      </c>
      <c r="R2799" t="s">
        <v>36358</v>
      </c>
      <c r="S2799" t="s">
        <v>36359</v>
      </c>
      <c r="T2799" t="s">
        <v>30</v>
      </c>
      <c r="U2799" t="s">
        <v>28168</v>
      </c>
      <c r="W2799" t="s">
        <v>26009</v>
      </c>
    </row>
    <row r="2800" spans="1:23" x14ac:dyDescent="0.35">
      <c r="A2800">
        <v>680709</v>
      </c>
      <c r="B2800" t="s">
        <v>36360</v>
      </c>
      <c r="C2800" t="str">
        <f>"9780226104386"</f>
        <v>9780226104386</v>
      </c>
      <c r="D2800" t="str">
        <f>"9780226104379"</f>
        <v>9780226104379</v>
      </c>
      <c r="E2800" t="s">
        <v>550</v>
      </c>
      <c r="F2800" t="s">
        <v>550</v>
      </c>
      <c r="G2800" t="s">
        <v>22352</v>
      </c>
      <c r="H2800" t="s">
        <v>26004</v>
      </c>
      <c r="I2800" s="26">
        <v>36617</v>
      </c>
      <c r="J2800">
        <v>2000</v>
      </c>
      <c r="K2800" t="s">
        <v>550</v>
      </c>
      <c r="L2800">
        <v>305</v>
      </c>
      <c r="M2800" t="s">
        <v>36361</v>
      </c>
      <c r="N2800">
        <v>1</v>
      </c>
      <c r="O2800" t="s">
        <v>36362</v>
      </c>
      <c r="Q2800" t="s">
        <v>36363</v>
      </c>
      <c r="R2800">
        <v>306.2</v>
      </c>
      <c r="S2800" t="s">
        <v>31845</v>
      </c>
      <c r="T2800" t="s">
        <v>30</v>
      </c>
      <c r="U2800" t="s">
        <v>26044</v>
      </c>
      <c r="W2800" t="s">
        <v>26009</v>
      </c>
    </row>
    <row r="2801" spans="1:23" x14ac:dyDescent="0.35">
      <c r="A2801">
        <v>680719</v>
      </c>
      <c r="B2801" t="s">
        <v>36364</v>
      </c>
      <c r="C2801" t="str">
        <f>"9780807834701"</f>
        <v>9780807834701</v>
      </c>
      <c r="D2801" t="str">
        <f>"9780807877692"</f>
        <v>9780807877692</v>
      </c>
      <c r="E2801" t="s">
        <v>31948</v>
      </c>
      <c r="F2801" t="s">
        <v>7733</v>
      </c>
      <c r="G2801" t="s">
        <v>23742</v>
      </c>
      <c r="H2801" t="s">
        <v>26004</v>
      </c>
      <c r="I2801" s="26">
        <v>40658</v>
      </c>
      <c r="J2801">
        <v>2011</v>
      </c>
      <c r="K2801" t="s">
        <v>7733</v>
      </c>
      <c r="L2801">
        <v>205</v>
      </c>
      <c r="M2801" t="s">
        <v>36365</v>
      </c>
      <c r="N2801">
        <v>1</v>
      </c>
      <c r="Q2801" t="s">
        <v>36366</v>
      </c>
      <c r="R2801" t="s">
        <v>36367</v>
      </c>
      <c r="S2801" t="s">
        <v>36368</v>
      </c>
      <c r="T2801" t="s">
        <v>30</v>
      </c>
      <c r="U2801" t="s">
        <v>26044</v>
      </c>
      <c r="W2801" t="s">
        <v>26009</v>
      </c>
    </row>
    <row r="2802" spans="1:23" x14ac:dyDescent="0.35">
      <c r="A2802">
        <v>680726</v>
      </c>
      <c r="B2802" t="s">
        <v>36369</v>
      </c>
      <c r="C2802" t="str">
        <f>"9780807834602"</f>
        <v>9780807834602</v>
      </c>
      <c r="D2802" t="str">
        <f>"9780807877951"</f>
        <v>9780807877951</v>
      </c>
      <c r="E2802" t="s">
        <v>31948</v>
      </c>
      <c r="F2802" t="s">
        <v>7733</v>
      </c>
      <c r="G2802" t="s">
        <v>23742</v>
      </c>
      <c r="H2802" t="s">
        <v>26004</v>
      </c>
      <c r="I2802" s="26">
        <v>40609</v>
      </c>
      <c r="J2802">
        <v>2011</v>
      </c>
      <c r="K2802" t="s">
        <v>7733</v>
      </c>
      <c r="L2802">
        <v>309</v>
      </c>
      <c r="M2802" t="s">
        <v>36370</v>
      </c>
      <c r="N2802">
        <v>1</v>
      </c>
      <c r="Q2802" t="s">
        <v>36371</v>
      </c>
      <c r="R2802" t="s">
        <v>36372</v>
      </c>
      <c r="S2802" t="s">
        <v>36373</v>
      </c>
      <c r="T2802" t="s">
        <v>30</v>
      </c>
      <c r="U2802" t="s">
        <v>26044</v>
      </c>
      <c r="W2802" t="s">
        <v>26009</v>
      </c>
    </row>
    <row r="2803" spans="1:23" x14ac:dyDescent="0.35">
      <c r="A2803">
        <v>681189</v>
      </c>
      <c r="B2803" t="s">
        <v>36374</v>
      </c>
      <c r="C2803" t="str">
        <f>"9780826118813"</f>
        <v>9780826118813</v>
      </c>
      <c r="D2803" t="str">
        <f>"9780826118820"</f>
        <v>9780826118820</v>
      </c>
      <c r="E2803" t="s">
        <v>1504</v>
      </c>
      <c r="F2803" t="s">
        <v>33</v>
      </c>
      <c r="G2803" t="s">
        <v>22179</v>
      </c>
      <c r="H2803" t="s">
        <v>26004</v>
      </c>
      <c r="I2803" s="26">
        <v>40634</v>
      </c>
      <c r="J2803">
        <v>2011</v>
      </c>
      <c r="K2803" t="s">
        <v>33</v>
      </c>
      <c r="L2803">
        <v>378</v>
      </c>
      <c r="M2803" t="s">
        <v>36375</v>
      </c>
      <c r="N2803">
        <v>1</v>
      </c>
      <c r="Q2803" t="s">
        <v>36376</v>
      </c>
      <c r="R2803">
        <v>616.89</v>
      </c>
      <c r="S2803" t="s">
        <v>36377</v>
      </c>
      <c r="T2803" t="s">
        <v>30</v>
      </c>
      <c r="U2803" t="s">
        <v>26116</v>
      </c>
      <c r="W2803" t="s">
        <v>26009</v>
      </c>
    </row>
    <row r="2804" spans="1:23" x14ac:dyDescent="0.35">
      <c r="A2804">
        <v>683903</v>
      </c>
      <c r="B2804" t="s">
        <v>36378</v>
      </c>
      <c r="C2804" t="str">
        <f>"9781604739282"</f>
        <v>9781604739282</v>
      </c>
      <c r="D2804" t="str">
        <f>"9781604739299"</f>
        <v>9781604739299</v>
      </c>
      <c r="E2804" t="s">
        <v>8533</v>
      </c>
      <c r="F2804" t="s">
        <v>8533</v>
      </c>
      <c r="G2804" t="s">
        <v>34396</v>
      </c>
      <c r="H2804" t="s">
        <v>26004</v>
      </c>
      <c r="I2804" s="26">
        <v>40664</v>
      </c>
      <c r="J2804">
        <v>2011</v>
      </c>
      <c r="K2804" t="s">
        <v>8533</v>
      </c>
      <c r="L2804">
        <v>241</v>
      </c>
      <c r="M2804" t="s">
        <v>36379</v>
      </c>
      <c r="N2804">
        <v>1</v>
      </c>
      <c r="Q2804" t="s">
        <v>36380</v>
      </c>
      <c r="R2804" t="s">
        <v>36381</v>
      </c>
      <c r="S2804" t="s">
        <v>36382</v>
      </c>
      <c r="T2804" t="s">
        <v>30</v>
      </c>
      <c r="U2804" t="s">
        <v>366</v>
      </c>
      <c r="W2804" t="s">
        <v>26009</v>
      </c>
    </row>
    <row r="2805" spans="1:23" x14ac:dyDescent="0.35">
      <c r="A2805">
        <v>683945</v>
      </c>
      <c r="B2805" t="s">
        <v>36383</v>
      </c>
      <c r="C2805" t="str">
        <f>"9780415592710"</f>
        <v>9780415592710</v>
      </c>
      <c r="D2805" t="str">
        <f>"9780203817957"</f>
        <v>9780203817957</v>
      </c>
      <c r="E2805" t="s">
        <v>26010</v>
      </c>
      <c r="F2805" t="s">
        <v>35</v>
      </c>
      <c r="G2805" t="s">
        <v>26201</v>
      </c>
      <c r="H2805" t="s">
        <v>26004</v>
      </c>
      <c r="I2805" s="26">
        <v>40687</v>
      </c>
      <c r="J2805">
        <v>2011</v>
      </c>
      <c r="K2805" t="s">
        <v>26012</v>
      </c>
      <c r="L2805">
        <v>209</v>
      </c>
      <c r="M2805" t="s">
        <v>36384</v>
      </c>
      <c r="N2805">
        <v>1</v>
      </c>
      <c r="Q2805" t="s">
        <v>36385</v>
      </c>
      <c r="R2805">
        <v>616.89165300000002</v>
      </c>
      <c r="S2805" t="s">
        <v>36386</v>
      </c>
      <c r="T2805" t="s">
        <v>30</v>
      </c>
      <c r="U2805" t="s">
        <v>26116</v>
      </c>
      <c r="W2805" t="s">
        <v>26009</v>
      </c>
    </row>
    <row r="2806" spans="1:23" x14ac:dyDescent="0.35">
      <c r="A2806">
        <v>683987</v>
      </c>
      <c r="B2806" t="s">
        <v>36387</v>
      </c>
      <c r="C2806" t="str">
        <f>"9780415575058"</f>
        <v>9780415575058</v>
      </c>
      <c r="D2806" t="str">
        <f>"9780203806364"</f>
        <v>9780203806364</v>
      </c>
      <c r="E2806" t="s">
        <v>26010</v>
      </c>
      <c r="F2806" t="s">
        <v>35</v>
      </c>
      <c r="G2806" t="s">
        <v>22174</v>
      </c>
      <c r="H2806" t="s">
        <v>26011</v>
      </c>
      <c r="I2806" s="26">
        <v>40639</v>
      </c>
      <c r="J2806">
        <v>2011</v>
      </c>
      <c r="K2806" t="s">
        <v>26012</v>
      </c>
      <c r="L2806">
        <v>206</v>
      </c>
      <c r="M2806" t="s">
        <v>26352</v>
      </c>
      <c r="N2806">
        <v>1</v>
      </c>
      <c r="O2806" t="s">
        <v>26344</v>
      </c>
      <c r="Q2806" t="s">
        <v>36388</v>
      </c>
      <c r="R2806" t="s">
        <v>26422</v>
      </c>
      <c r="S2806" t="s">
        <v>9785</v>
      </c>
      <c r="T2806" t="s">
        <v>30</v>
      </c>
      <c r="U2806" t="s">
        <v>26019</v>
      </c>
      <c r="W2806" t="s">
        <v>26009</v>
      </c>
    </row>
    <row r="2807" spans="1:23" x14ac:dyDescent="0.35">
      <c r="A2807">
        <v>683988</v>
      </c>
      <c r="B2807" t="s">
        <v>9210</v>
      </c>
      <c r="C2807" t="str">
        <f>"9780415564199"</f>
        <v>9780415564199</v>
      </c>
      <c r="D2807" t="str">
        <f>"9780203805633"</f>
        <v>9780203805633</v>
      </c>
      <c r="E2807" t="s">
        <v>26010</v>
      </c>
      <c r="F2807" t="s">
        <v>35</v>
      </c>
      <c r="G2807" t="s">
        <v>26201</v>
      </c>
      <c r="H2807" t="s">
        <v>26004</v>
      </c>
      <c r="I2807" s="26">
        <v>40568</v>
      </c>
      <c r="J2807">
        <v>2011</v>
      </c>
      <c r="K2807" t="s">
        <v>26012</v>
      </c>
      <c r="L2807">
        <v>277</v>
      </c>
      <c r="M2807" t="s">
        <v>36389</v>
      </c>
      <c r="N2807">
        <v>4</v>
      </c>
      <c r="O2807" t="s">
        <v>26125</v>
      </c>
      <c r="Q2807" t="s">
        <v>36390</v>
      </c>
      <c r="R2807">
        <v>305.23500000000001</v>
      </c>
      <c r="S2807" t="s">
        <v>36391</v>
      </c>
      <c r="T2807" t="s">
        <v>30</v>
      </c>
      <c r="U2807" t="s">
        <v>26044</v>
      </c>
      <c r="W2807" t="s">
        <v>26009</v>
      </c>
    </row>
    <row r="2808" spans="1:23" x14ac:dyDescent="0.35">
      <c r="A2808">
        <v>683992</v>
      </c>
      <c r="B2808" t="s">
        <v>36392</v>
      </c>
      <c r="C2808" t="str">
        <f>"9780415339278"</f>
        <v>9780415339278</v>
      </c>
      <c r="D2808" t="str">
        <f>"9780203806579"</f>
        <v>9780203806579</v>
      </c>
      <c r="E2808" t="s">
        <v>26010</v>
      </c>
      <c r="F2808" t="s">
        <v>35</v>
      </c>
      <c r="G2808" t="s">
        <v>26201</v>
      </c>
      <c r="H2808" t="s">
        <v>26004</v>
      </c>
      <c r="I2808" s="26">
        <v>38525</v>
      </c>
      <c r="J2808">
        <v>2011</v>
      </c>
      <c r="K2808" t="s">
        <v>26012</v>
      </c>
      <c r="L2808">
        <v>327</v>
      </c>
      <c r="M2808" t="s">
        <v>36393</v>
      </c>
      <c r="N2808">
        <v>1</v>
      </c>
      <c r="O2808" t="s">
        <v>26855</v>
      </c>
      <c r="Q2808" t="s">
        <v>36394</v>
      </c>
      <c r="R2808">
        <v>616.89008200000001</v>
      </c>
      <c r="S2808" t="s">
        <v>36395</v>
      </c>
      <c r="T2808" t="s">
        <v>30</v>
      </c>
      <c r="U2808" t="s">
        <v>26019</v>
      </c>
      <c r="W2808" t="s">
        <v>26009</v>
      </c>
    </row>
    <row r="2809" spans="1:23" x14ac:dyDescent="0.35">
      <c r="A2809">
        <v>684001</v>
      </c>
      <c r="B2809" t="s">
        <v>36396</v>
      </c>
      <c r="C2809" t="str">
        <f>"9780415606998"</f>
        <v>9780415606998</v>
      </c>
      <c r="D2809" t="str">
        <f>"9780203807316"</f>
        <v>9780203807316</v>
      </c>
      <c r="E2809" t="s">
        <v>26010</v>
      </c>
      <c r="F2809" t="s">
        <v>35</v>
      </c>
      <c r="G2809" t="s">
        <v>22174</v>
      </c>
      <c r="H2809" t="s">
        <v>26011</v>
      </c>
      <c r="I2809" s="26">
        <v>40613</v>
      </c>
      <c r="J2809">
        <v>2011</v>
      </c>
      <c r="K2809" t="s">
        <v>26012</v>
      </c>
      <c r="L2809">
        <v>283</v>
      </c>
      <c r="M2809" t="s">
        <v>36397</v>
      </c>
      <c r="N2809">
        <v>1</v>
      </c>
      <c r="O2809" t="s">
        <v>26344</v>
      </c>
      <c r="Q2809" t="s">
        <v>36398</v>
      </c>
      <c r="R2809">
        <v>150.19499999999999</v>
      </c>
      <c r="S2809" t="s">
        <v>8863</v>
      </c>
      <c r="T2809" t="s">
        <v>30</v>
      </c>
      <c r="U2809" t="s">
        <v>46</v>
      </c>
      <c r="W2809" t="s">
        <v>26009</v>
      </c>
    </row>
    <row r="2810" spans="1:23" x14ac:dyDescent="0.35">
      <c r="A2810">
        <v>684003</v>
      </c>
      <c r="B2810" t="s">
        <v>36399</v>
      </c>
      <c r="C2810" t="str">
        <f>"9781843928065"</f>
        <v>9781843928065</v>
      </c>
      <c r="D2810" t="str">
        <f>"9780203806098"</f>
        <v>9780203806098</v>
      </c>
      <c r="E2810" t="s">
        <v>26010</v>
      </c>
      <c r="F2810" t="s">
        <v>7748</v>
      </c>
      <c r="G2810" t="s">
        <v>22174</v>
      </c>
      <c r="H2810" t="s">
        <v>26004</v>
      </c>
      <c r="I2810" s="26">
        <v>40646</v>
      </c>
      <c r="J2810">
        <v>2011</v>
      </c>
      <c r="K2810" t="s">
        <v>7748</v>
      </c>
      <c r="L2810">
        <v>286</v>
      </c>
      <c r="M2810" t="s">
        <v>36400</v>
      </c>
      <c r="N2810">
        <v>1</v>
      </c>
      <c r="O2810" t="s">
        <v>36401</v>
      </c>
      <c r="Q2810" t="s">
        <v>36402</v>
      </c>
      <c r="R2810">
        <v>364.3</v>
      </c>
      <c r="S2810" t="s">
        <v>36403</v>
      </c>
      <c r="T2810" t="s">
        <v>30</v>
      </c>
      <c r="U2810" t="s">
        <v>26044</v>
      </c>
      <c r="W2810" t="s">
        <v>26009</v>
      </c>
    </row>
    <row r="2811" spans="1:23" x14ac:dyDescent="0.35">
      <c r="A2811">
        <v>684009</v>
      </c>
      <c r="B2811" t="s">
        <v>9977</v>
      </c>
      <c r="C2811" t="str">
        <f>"9780415588867"</f>
        <v>9780415588867</v>
      </c>
      <c r="D2811" t="str">
        <f>"9780203827888"</f>
        <v>9780203827888</v>
      </c>
      <c r="E2811" t="s">
        <v>26010</v>
      </c>
      <c r="F2811" t="s">
        <v>35</v>
      </c>
      <c r="G2811" t="s">
        <v>26201</v>
      </c>
      <c r="H2811" t="s">
        <v>26004</v>
      </c>
      <c r="I2811" s="26">
        <v>40680</v>
      </c>
      <c r="J2811">
        <v>2011</v>
      </c>
      <c r="K2811" t="s">
        <v>26012</v>
      </c>
      <c r="L2811">
        <v>128</v>
      </c>
      <c r="M2811" t="s">
        <v>36404</v>
      </c>
      <c r="N2811">
        <v>1</v>
      </c>
      <c r="O2811" t="s">
        <v>36110</v>
      </c>
      <c r="Q2811" t="s">
        <v>36405</v>
      </c>
      <c r="R2811">
        <v>363.32499999999999</v>
      </c>
      <c r="S2811" t="s">
        <v>36406</v>
      </c>
      <c r="T2811" t="s">
        <v>30</v>
      </c>
      <c r="U2811" t="s">
        <v>26044</v>
      </c>
      <c r="W2811" t="s">
        <v>26009</v>
      </c>
    </row>
    <row r="2812" spans="1:23" x14ac:dyDescent="0.35">
      <c r="A2812">
        <v>684031</v>
      </c>
      <c r="B2812" t="s">
        <v>36407</v>
      </c>
      <c r="C2812" t="str">
        <f>"9780415668781"</f>
        <v>9780415668781</v>
      </c>
      <c r="D2812" t="str">
        <f>"9780203809259"</f>
        <v>9780203809259</v>
      </c>
      <c r="E2812" t="s">
        <v>26010</v>
      </c>
      <c r="F2812" t="s">
        <v>35</v>
      </c>
      <c r="G2812" t="s">
        <v>26201</v>
      </c>
      <c r="H2812" t="s">
        <v>26004</v>
      </c>
      <c r="I2812" s="26">
        <v>40688</v>
      </c>
      <c r="J2812">
        <v>2011</v>
      </c>
      <c r="K2812" t="s">
        <v>26012</v>
      </c>
      <c r="L2812">
        <v>292</v>
      </c>
      <c r="M2812" t="s">
        <v>36408</v>
      </c>
      <c r="N2812">
        <v>1</v>
      </c>
      <c r="Q2812" t="s">
        <v>36409</v>
      </c>
      <c r="R2812" t="s">
        <v>36056</v>
      </c>
      <c r="S2812" t="s">
        <v>36410</v>
      </c>
      <c r="T2812" t="s">
        <v>30</v>
      </c>
      <c r="U2812" t="s">
        <v>26044</v>
      </c>
      <c r="W2812" t="s">
        <v>26009</v>
      </c>
    </row>
    <row r="2813" spans="1:23" x14ac:dyDescent="0.35">
      <c r="A2813">
        <v>684036</v>
      </c>
      <c r="B2813" t="s">
        <v>7821</v>
      </c>
      <c r="C2813" t="str">
        <f>"9780415545433"</f>
        <v>9780415545433</v>
      </c>
      <c r="D2813" t="str">
        <f>"9780203832615"</f>
        <v>9780203832615</v>
      </c>
      <c r="E2813" t="s">
        <v>26010</v>
      </c>
      <c r="F2813" t="s">
        <v>35</v>
      </c>
      <c r="G2813" t="s">
        <v>26201</v>
      </c>
      <c r="H2813" t="s">
        <v>26004</v>
      </c>
      <c r="I2813" s="26">
        <v>40619</v>
      </c>
      <c r="J2813">
        <v>2011</v>
      </c>
      <c r="K2813" t="s">
        <v>26012</v>
      </c>
      <c r="L2813">
        <v>217</v>
      </c>
      <c r="M2813" t="s">
        <v>36411</v>
      </c>
      <c r="N2813">
        <v>1</v>
      </c>
      <c r="O2813" t="s">
        <v>36412</v>
      </c>
      <c r="Q2813" t="s">
        <v>36413</v>
      </c>
      <c r="R2813" t="s">
        <v>36414</v>
      </c>
      <c r="S2813" t="s">
        <v>36415</v>
      </c>
      <c r="T2813" t="s">
        <v>30</v>
      </c>
      <c r="U2813" t="s">
        <v>36416</v>
      </c>
      <c r="W2813" t="s">
        <v>26009</v>
      </c>
    </row>
    <row r="2814" spans="1:23" x14ac:dyDescent="0.35">
      <c r="A2814">
        <v>684044</v>
      </c>
      <c r="B2814" t="s">
        <v>9857</v>
      </c>
      <c r="C2814" t="str">
        <f>"9780415565110"</f>
        <v>9780415565110</v>
      </c>
      <c r="D2814" t="str">
        <f>"9780203861882"</f>
        <v>9780203861882</v>
      </c>
      <c r="E2814" t="s">
        <v>26010</v>
      </c>
      <c r="F2814" t="s">
        <v>35</v>
      </c>
      <c r="G2814" t="s">
        <v>22174</v>
      </c>
      <c r="H2814" t="s">
        <v>26011</v>
      </c>
      <c r="I2814" s="26">
        <v>40680</v>
      </c>
      <c r="J2814">
        <v>2011</v>
      </c>
      <c r="K2814" t="s">
        <v>26012</v>
      </c>
      <c r="L2814">
        <v>225</v>
      </c>
      <c r="M2814" t="s">
        <v>36417</v>
      </c>
      <c r="N2814">
        <v>1</v>
      </c>
      <c r="Q2814" t="s">
        <v>36418</v>
      </c>
      <c r="R2814">
        <v>796.01</v>
      </c>
      <c r="S2814" t="s">
        <v>9858</v>
      </c>
      <c r="T2814" t="s">
        <v>30</v>
      </c>
      <c r="U2814" t="s">
        <v>26008</v>
      </c>
      <c r="W2814" t="s">
        <v>26009</v>
      </c>
    </row>
    <row r="2815" spans="1:23" x14ac:dyDescent="0.35">
      <c r="A2815">
        <v>684077</v>
      </c>
      <c r="B2815" t="s">
        <v>9497</v>
      </c>
      <c r="C2815" t="str">
        <f>"9780415486842"</f>
        <v>9780415486842</v>
      </c>
      <c r="D2815" t="str">
        <f>"9780203814819"</f>
        <v>9780203814819</v>
      </c>
      <c r="E2815" t="s">
        <v>26010</v>
      </c>
      <c r="F2815" t="s">
        <v>35</v>
      </c>
      <c r="G2815" t="s">
        <v>26201</v>
      </c>
      <c r="H2815" t="s">
        <v>26004</v>
      </c>
      <c r="I2815" s="26">
        <v>40703</v>
      </c>
      <c r="J2815">
        <v>2011</v>
      </c>
      <c r="K2815" t="s">
        <v>26012</v>
      </c>
      <c r="L2815">
        <v>273</v>
      </c>
      <c r="M2815" t="s">
        <v>36419</v>
      </c>
      <c r="N2815">
        <v>1</v>
      </c>
      <c r="Q2815" t="s">
        <v>36420</v>
      </c>
      <c r="R2815">
        <v>362.29</v>
      </c>
      <c r="S2815" t="s">
        <v>36421</v>
      </c>
      <c r="T2815" t="s">
        <v>30</v>
      </c>
      <c r="U2815" t="s">
        <v>29283</v>
      </c>
      <c r="W2815" t="s">
        <v>26009</v>
      </c>
    </row>
    <row r="2816" spans="1:23" x14ac:dyDescent="0.35">
      <c r="A2816">
        <v>684091</v>
      </c>
      <c r="B2816" t="s">
        <v>36422</v>
      </c>
      <c r="C2816" t="str">
        <f>"9780415602624"</f>
        <v>9780415602624</v>
      </c>
      <c r="D2816" t="str">
        <f>"9780203827475"</f>
        <v>9780203827475</v>
      </c>
      <c r="E2816" t="s">
        <v>26010</v>
      </c>
      <c r="F2816" t="s">
        <v>35</v>
      </c>
      <c r="G2816" t="s">
        <v>22174</v>
      </c>
      <c r="H2816" t="s">
        <v>26011</v>
      </c>
      <c r="I2816" s="26">
        <v>40687</v>
      </c>
      <c r="J2816">
        <v>2012</v>
      </c>
      <c r="K2816" t="s">
        <v>26012</v>
      </c>
      <c r="L2816">
        <v>209</v>
      </c>
      <c r="M2816" t="s">
        <v>36423</v>
      </c>
      <c r="N2816">
        <v>1</v>
      </c>
      <c r="Q2816" t="s">
        <v>36424</v>
      </c>
      <c r="R2816" t="s">
        <v>36425</v>
      </c>
      <c r="S2816" t="s">
        <v>9784</v>
      </c>
      <c r="T2816" t="s">
        <v>30</v>
      </c>
      <c r="U2816" t="s">
        <v>26044</v>
      </c>
      <c r="W2816" t="s">
        <v>26009</v>
      </c>
    </row>
    <row r="2817" spans="1:23" x14ac:dyDescent="0.35">
      <c r="A2817">
        <v>684291</v>
      </c>
      <c r="B2817" t="s">
        <v>9649</v>
      </c>
      <c r="C2817" t="str">
        <f>"9781609182014"</f>
        <v>9781609182014</v>
      </c>
      <c r="D2817" t="str">
        <f>"9781609182021"</f>
        <v>9781609182021</v>
      </c>
      <c r="E2817" t="s">
        <v>30112</v>
      </c>
      <c r="F2817" t="s">
        <v>7420</v>
      </c>
      <c r="G2817" t="s">
        <v>22179</v>
      </c>
      <c r="H2817" t="s">
        <v>26004</v>
      </c>
      <c r="I2817" s="26">
        <v>40679</v>
      </c>
      <c r="J2817">
        <v>2011</v>
      </c>
      <c r="K2817" t="s">
        <v>30113</v>
      </c>
      <c r="L2817">
        <v>448</v>
      </c>
      <c r="M2817" t="s">
        <v>36426</v>
      </c>
      <c r="N2817">
        <v>1</v>
      </c>
      <c r="Q2817" t="s">
        <v>36427</v>
      </c>
      <c r="R2817" t="s">
        <v>30712</v>
      </c>
      <c r="S2817" t="s">
        <v>36428</v>
      </c>
      <c r="T2817" t="s">
        <v>30</v>
      </c>
      <c r="U2817" t="s">
        <v>26116</v>
      </c>
      <c r="W2817" t="s">
        <v>28347</v>
      </c>
    </row>
    <row r="2818" spans="1:23" x14ac:dyDescent="0.35">
      <c r="A2818">
        <v>684295</v>
      </c>
      <c r="B2818" t="s">
        <v>9887</v>
      </c>
      <c r="C2818" t="str">
        <f>"9781609182137"</f>
        <v>9781609182137</v>
      </c>
      <c r="D2818" t="str">
        <f>"9781609182144"</f>
        <v>9781609182144</v>
      </c>
      <c r="E2818" t="s">
        <v>30112</v>
      </c>
      <c r="F2818" t="s">
        <v>7420</v>
      </c>
      <c r="G2818" t="s">
        <v>22179</v>
      </c>
      <c r="H2818" t="s">
        <v>26004</v>
      </c>
      <c r="I2818" s="26">
        <v>40674</v>
      </c>
      <c r="J2818">
        <v>2011</v>
      </c>
      <c r="K2818" t="s">
        <v>30113</v>
      </c>
      <c r="L2818">
        <v>432</v>
      </c>
      <c r="M2818" t="s">
        <v>36429</v>
      </c>
      <c r="N2818">
        <v>1</v>
      </c>
      <c r="Q2818" t="s">
        <v>36430</v>
      </c>
      <c r="R2818">
        <v>302.01</v>
      </c>
      <c r="S2818" t="s">
        <v>36431</v>
      </c>
      <c r="T2818" t="s">
        <v>30</v>
      </c>
      <c r="U2818" t="s">
        <v>26044</v>
      </c>
      <c r="W2818" t="s">
        <v>28347</v>
      </c>
    </row>
    <row r="2819" spans="1:23" x14ac:dyDescent="0.35">
      <c r="A2819">
        <v>684637</v>
      </c>
      <c r="B2819" t="s">
        <v>36432</v>
      </c>
      <c r="C2819" t="str">
        <f>"9780833049711"</f>
        <v>9780833049711</v>
      </c>
      <c r="D2819" t="str">
        <f>"9780833052315"</f>
        <v>9780833052315</v>
      </c>
      <c r="E2819" t="s">
        <v>30602</v>
      </c>
      <c r="F2819" t="s">
        <v>8236</v>
      </c>
      <c r="G2819" t="s">
        <v>22307</v>
      </c>
      <c r="H2819" t="s">
        <v>26004</v>
      </c>
      <c r="I2819" s="26">
        <v>40591</v>
      </c>
      <c r="J2819">
        <v>2011</v>
      </c>
      <c r="K2819" t="s">
        <v>30603</v>
      </c>
      <c r="L2819">
        <v>266</v>
      </c>
      <c r="M2819" t="s">
        <v>36433</v>
      </c>
      <c r="N2819">
        <v>1</v>
      </c>
      <c r="Q2819" t="s">
        <v>36434</v>
      </c>
      <c r="S2819" t="s">
        <v>36435</v>
      </c>
      <c r="T2819" t="s">
        <v>30</v>
      </c>
      <c r="U2819" t="s">
        <v>26044</v>
      </c>
      <c r="W2819" t="s">
        <v>26009</v>
      </c>
    </row>
    <row r="2820" spans="1:23" x14ac:dyDescent="0.35">
      <c r="A2820">
        <v>685215</v>
      </c>
      <c r="B2820" t="s">
        <v>36436</v>
      </c>
      <c r="C2820" t="str">
        <f>"9781605098821"</f>
        <v>9781605098821</v>
      </c>
      <c r="D2820" t="str">
        <f>"9781605098838"</f>
        <v>9781605098838</v>
      </c>
      <c r="E2820" t="s">
        <v>28146</v>
      </c>
      <c r="F2820" t="s">
        <v>7718</v>
      </c>
      <c r="G2820" t="s">
        <v>22179</v>
      </c>
      <c r="H2820" t="s">
        <v>26004</v>
      </c>
      <c r="I2820" s="26">
        <v>40679</v>
      </c>
      <c r="J2820">
        <v>2011</v>
      </c>
      <c r="K2820" t="s">
        <v>7718</v>
      </c>
      <c r="L2820">
        <v>169</v>
      </c>
      <c r="M2820" t="s">
        <v>36437</v>
      </c>
      <c r="N2820">
        <v>1</v>
      </c>
      <c r="R2820" t="s">
        <v>36438</v>
      </c>
      <c r="S2820" t="s">
        <v>36439</v>
      </c>
      <c r="T2820" t="s">
        <v>30</v>
      </c>
      <c r="U2820" t="s">
        <v>26044</v>
      </c>
      <c r="W2820" t="s">
        <v>28151</v>
      </c>
    </row>
    <row r="2821" spans="1:23" x14ac:dyDescent="0.35">
      <c r="A2821">
        <v>685409</v>
      </c>
      <c r="B2821" t="s">
        <v>36440</v>
      </c>
      <c r="C2821" t="str">
        <f>"9780520259713"</f>
        <v>9780520259713</v>
      </c>
      <c r="D2821" t="str">
        <f>"9780520945081"</f>
        <v>9780520945081</v>
      </c>
      <c r="E2821" t="s">
        <v>1612</v>
      </c>
      <c r="F2821" t="s">
        <v>1612</v>
      </c>
      <c r="G2821" t="s">
        <v>22630</v>
      </c>
      <c r="H2821" t="s">
        <v>26004</v>
      </c>
      <c r="I2821" s="26">
        <v>40141</v>
      </c>
      <c r="J2821">
        <v>2009</v>
      </c>
      <c r="K2821" t="s">
        <v>1612</v>
      </c>
      <c r="L2821">
        <v>387</v>
      </c>
      <c r="M2821" t="s">
        <v>36441</v>
      </c>
      <c r="N2821">
        <v>1</v>
      </c>
      <c r="R2821">
        <v>973.93</v>
      </c>
      <c r="T2821" t="s">
        <v>30</v>
      </c>
      <c r="U2821" t="s">
        <v>402</v>
      </c>
      <c r="W2821" t="s">
        <v>26009</v>
      </c>
    </row>
    <row r="2822" spans="1:23" x14ac:dyDescent="0.35">
      <c r="A2822">
        <v>686212</v>
      </c>
      <c r="B2822" t="s">
        <v>36442</v>
      </c>
      <c r="C2822" t="str">
        <f>"9780804763615"</f>
        <v>9780804763615</v>
      </c>
      <c r="D2822" t="str">
        <f>"9780804778435"</f>
        <v>9780804778435</v>
      </c>
      <c r="E2822" t="s">
        <v>8284</v>
      </c>
      <c r="F2822" t="s">
        <v>8284</v>
      </c>
      <c r="G2822" t="s">
        <v>23524</v>
      </c>
      <c r="H2822" t="s">
        <v>26004</v>
      </c>
      <c r="I2822" s="26">
        <v>40099</v>
      </c>
      <c r="J2822">
        <v>2009</v>
      </c>
      <c r="K2822" t="s">
        <v>36443</v>
      </c>
      <c r="L2822">
        <v>391</v>
      </c>
      <c r="M2822" t="s">
        <v>36444</v>
      </c>
      <c r="N2822">
        <v>1</v>
      </c>
      <c r="Q2822" t="s">
        <v>36445</v>
      </c>
      <c r="S2822" t="s">
        <v>36446</v>
      </c>
      <c r="T2822" t="s">
        <v>30</v>
      </c>
      <c r="U2822" t="s">
        <v>46</v>
      </c>
      <c r="W2822" t="s">
        <v>26009</v>
      </c>
    </row>
    <row r="2823" spans="1:23" x14ac:dyDescent="0.35">
      <c r="A2823">
        <v>686228</v>
      </c>
      <c r="B2823" t="s">
        <v>8597</v>
      </c>
      <c r="C2823" t="str">
        <f>"9780826103833"</f>
        <v>9780826103833</v>
      </c>
      <c r="D2823" t="str">
        <f>"9780826103840"</f>
        <v>9780826103840</v>
      </c>
      <c r="E2823" t="s">
        <v>1504</v>
      </c>
      <c r="F2823" t="s">
        <v>33</v>
      </c>
      <c r="G2823" t="s">
        <v>22179</v>
      </c>
      <c r="H2823" t="s">
        <v>26004</v>
      </c>
      <c r="I2823" s="26">
        <v>40148</v>
      </c>
      <c r="J2823">
        <v>2010</v>
      </c>
      <c r="K2823" t="s">
        <v>33</v>
      </c>
      <c r="L2823">
        <v>784</v>
      </c>
      <c r="M2823" t="s">
        <v>36447</v>
      </c>
      <c r="N2823">
        <v>1</v>
      </c>
      <c r="Q2823" t="s">
        <v>36448</v>
      </c>
      <c r="R2823" t="s">
        <v>33588</v>
      </c>
      <c r="S2823" t="s">
        <v>36449</v>
      </c>
      <c r="T2823" t="s">
        <v>30</v>
      </c>
      <c r="U2823" t="s">
        <v>26019</v>
      </c>
      <c r="W2823" t="s">
        <v>26009</v>
      </c>
    </row>
    <row r="2824" spans="1:23" x14ac:dyDescent="0.35">
      <c r="A2824">
        <v>686232</v>
      </c>
      <c r="B2824" t="s">
        <v>36450</v>
      </c>
      <c r="C2824" t="str">
        <f>"9780826107091"</f>
        <v>9780826107091</v>
      </c>
      <c r="D2824" t="str">
        <f>"9780826107107"</f>
        <v>9780826107107</v>
      </c>
      <c r="E2824" t="s">
        <v>1504</v>
      </c>
      <c r="F2824" t="s">
        <v>33</v>
      </c>
      <c r="G2824" t="s">
        <v>22179</v>
      </c>
      <c r="H2824" t="s">
        <v>26004</v>
      </c>
      <c r="I2824" s="26">
        <v>40634</v>
      </c>
      <c r="J2824">
        <v>2011</v>
      </c>
      <c r="K2824" t="s">
        <v>33</v>
      </c>
      <c r="L2824">
        <v>375</v>
      </c>
      <c r="M2824" t="s">
        <v>36451</v>
      </c>
      <c r="N2824">
        <v>1</v>
      </c>
      <c r="Q2824" t="s">
        <v>36452</v>
      </c>
      <c r="R2824" t="s">
        <v>27184</v>
      </c>
      <c r="S2824" t="s">
        <v>36453</v>
      </c>
      <c r="T2824" t="s">
        <v>30</v>
      </c>
      <c r="U2824" t="s">
        <v>26116</v>
      </c>
      <c r="W2824" t="s">
        <v>26009</v>
      </c>
    </row>
    <row r="2825" spans="1:23" x14ac:dyDescent="0.35">
      <c r="A2825">
        <v>686267</v>
      </c>
      <c r="B2825" t="s">
        <v>36454</v>
      </c>
      <c r="C2825" t="str">
        <f>"9780739129579"</f>
        <v>9780739129579</v>
      </c>
      <c r="D2825" t="str">
        <f>"9780739151105"</f>
        <v>9780739151105</v>
      </c>
      <c r="E2825" t="s">
        <v>33803</v>
      </c>
      <c r="F2825" t="s">
        <v>8174</v>
      </c>
      <c r="G2825" t="s">
        <v>34328</v>
      </c>
      <c r="H2825" t="s">
        <v>26004</v>
      </c>
      <c r="I2825" s="26">
        <v>40525</v>
      </c>
      <c r="J2825">
        <v>2010</v>
      </c>
      <c r="K2825" t="s">
        <v>8174</v>
      </c>
      <c r="L2825">
        <v>116</v>
      </c>
      <c r="M2825" t="s">
        <v>36455</v>
      </c>
      <c r="N2825">
        <v>1</v>
      </c>
      <c r="O2825" t="s">
        <v>36456</v>
      </c>
      <c r="Q2825" t="s">
        <v>36457</v>
      </c>
      <c r="R2825">
        <v>364.40973000000002</v>
      </c>
      <c r="S2825" t="s">
        <v>36458</v>
      </c>
      <c r="T2825" t="s">
        <v>30</v>
      </c>
      <c r="U2825" t="s">
        <v>26044</v>
      </c>
      <c r="W2825" t="s">
        <v>26009</v>
      </c>
    </row>
    <row r="2826" spans="1:23" x14ac:dyDescent="0.35">
      <c r="A2826">
        <v>686416</v>
      </c>
      <c r="B2826" t="s">
        <v>36459</v>
      </c>
      <c r="C2826" t="str">
        <f>"9780691160948"</f>
        <v>9780691160948</v>
      </c>
      <c r="D2826" t="str">
        <f>"9781400838332"</f>
        <v>9781400838332</v>
      </c>
      <c r="E2826" t="s">
        <v>33468</v>
      </c>
      <c r="F2826" t="s">
        <v>7517</v>
      </c>
      <c r="G2826" t="s">
        <v>23592</v>
      </c>
      <c r="H2826" t="s">
        <v>26004</v>
      </c>
      <c r="I2826" s="26">
        <v>41756</v>
      </c>
      <c r="J2826">
        <v>2014</v>
      </c>
      <c r="K2826" t="s">
        <v>7517</v>
      </c>
      <c r="L2826">
        <v>309</v>
      </c>
      <c r="M2826" t="s">
        <v>36460</v>
      </c>
      <c r="N2826">
        <v>1</v>
      </c>
      <c r="R2826">
        <v>155.69999999999999</v>
      </c>
      <c r="T2826" t="s">
        <v>30</v>
      </c>
      <c r="U2826" t="s">
        <v>46</v>
      </c>
      <c r="W2826" t="s">
        <v>28347</v>
      </c>
    </row>
    <row r="2827" spans="1:23" x14ac:dyDescent="0.35">
      <c r="A2827">
        <v>688320</v>
      </c>
      <c r="B2827" t="s">
        <v>8760</v>
      </c>
      <c r="C2827" t="str">
        <f>"9781846316890"</f>
        <v>9781846316890</v>
      </c>
      <c r="D2827" t="str">
        <f>"9781846314537"</f>
        <v>9781846314537</v>
      </c>
      <c r="E2827" t="s">
        <v>4363</v>
      </c>
      <c r="F2827" t="s">
        <v>4363</v>
      </c>
      <c r="G2827" t="s">
        <v>24431</v>
      </c>
      <c r="H2827" t="s">
        <v>26011</v>
      </c>
      <c r="I2827" s="26">
        <v>39743</v>
      </c>
      <c r="J2827">
        <v>2008</v>
      </c>
      <c r="K2827" t="s">
        <v>4363</v>
      </c>
      <c r="L2827">
        <v>341</v>
      </c>
      <c r="M2827" t="s">
        <v>36461</v>
      </c>
      <c r="N2827">
        <v>1</v>
      </c>
      <c r="O2827" t="s">
        <v>36462</v>
      </c>
      <c r="P2827">
        <v>17</v>
      </c>
      <c r="R2827">
        <v>304.83999999999997</v>
      </c>
      <c r="T2827" t="s">
        <v>30</v>
      </c>
      <c r="U2827" t="s">
        <v>26044</v>
      </c>
      <c r="W2827" t="s">
        <v>26009</v>
      </c>
    </row>
    <row r="2828" spans="1:23" x14ac:dyDescent="0.35">
      <c r="A2828">
        <v>688675</v>
      </c>
      <c r="B2828" t="s">
        <v>36463</v>
      </c>
      <c r="C2828" t="str">
        <f>"9780874627589"</f>
        <v>9780874627589</v>
      </c>
      <c r="D2828" t="str">
        <f>"9780874627695"</f>
        <v>9780874627695</v>
      </c>
      <c r="E2828" t="s">
        <v>8409</v>
      </c>
      <c r="F2828" t="s">
        <v>8409</v>
      </c>
      <c r="G2828" t="s">
        <v>23528</v>
      </c>
      <c r="H2828" t="s">
        <v>26004</v>
      </c>
      <c r="I2828" s="26">
        <v>40326</v>
      </c>
      <c r="J2828">
        <v>2010</v>
      </c>
      <c r="K2828" t="s">
        <v>8409</v>
      </c>
      <c r="L2828">
        <v>234</v>
      </c>
      <c r="M2828" t="s">
        <v>36464</v>
      </c>
      <c r="N2828">
        <v>1</v>
      </c>
      <c r="O2828" t="s">
        <v>36465</v>
      </c>
      <c r="Q2828" t="s">
        <v>36466</v>
      </c>
      <c r="R2828" t="s">
        <v>27122</v>
      </c>
      <c r="S2828" t="s">
        <v>36467</v>
      </c>
      <c r="T2828" t="s">
        <v>30</v>
      </c>
      <c r="U2828" t="s">
        <v>26019</v>
      </c>
      <c r="W2828" t="s">
        <v>26009</v>
      </c>
    </row>
    <row r="2829" spans="1:23" x14ac:dyDescent="0.35">
      <c r="A2829">
        <v>688706</v>
      </c>
      <c r="B2829" t="s">
        <v>10068</v>
      </c>
      <c r="C2829" t="str">
        <f>"9781921507502"</f>
        <v>9781921507502</v>
      </c>
      <c r="D2829" t="str">
        <f>"9781921507519"</f>
        <v>9781921507519</v>
      </c>
      <c r="E2829" t="s">
        <v>36468</v>
      </c>
      <c r="F2829" t="s">
        <v>8089</v>
      </c>
      <c r="G2829" t="s">
        <v>36469</v>
      </c>
      <c r="H2829" t="s">
        <v>31108</v>
      </c>
      <c r="I2829" s="26">
        <v>42826</v>
      </c>
      <c r="J2829">
        <v>2011</v>
      </c>
      <c r="K2829" t="s">
        <v>8089</v>
      </c>
      <c r="L2829">
        <v>65</v>
      </c>
      <c r="M2829" t="s">
        <v>36470</v>
      </c>
      <c r="N2829">
        <v>1</v>
      </c>
      <c r="O2829" t="s">
        <v>36471</v>
      </c>
      <c r="P2829">
        <v>329</v>
      </c>
      <c r="T2829" t="s">
        <v>30</v>
      </c>
      <c r="U2829" t="s">
        <v>32912</v>
      </c>
      <c r="W2829" t="s">
        <v>26009</v>
      </c>
    </row>
    <row r="2830" spans="1:23" x14ac:dyDescent="0.35">
      <c r="A2830">
        <v>688904</v>
      </c>
      <c r="B2830" t="s">
        <v>8993</v>
      </c>
      <c r="C2830" t="str">
        <f>"9789027251244"</f>
        <v>9789027251244</v>
      </c>
      <c r="D2830" t="str">
        <f>"9789027284914"</f>
        <v>9789027284914</v>
      </c>
      <c r="E2830" t="s">
        <v>35211</v>
      </c>
      <c r="F2830" t="s">
        <v>7610</v>
      </c>
      <c r="G2830" t="s">
        <v>22190</v>
      </c>
      <c r="H2830" t="s">
        <v>27983</v>
      </c>
      <c r="I2830" s="26">
        <v>35011</v>
      </c>
      <c r="J2830">
        <v>1995</v>
      </c>
      <c r="K2830" t="s">
        <v>7610</v>
      </c>
      <c r="L2830">
        <v>282</v>
      </c>
      <c r="M2830" t="s">
        <v>36472</v>
      </c>
      <c r="N2830">
        <v>1</v>
      </c>
      <c r="O2830" t="s">
        <v>35354</v>
      </c>
      <c r="P2830">
        <v>4</v>
      </c>
      <c r="Q2830" t="s">
        <v>36473</v>
      </c>
      <c r="R2830" t="s">
        <v>35396</v>
      </c>
      <c r="S2830" t="s">
        <v>36474</v>
      </c>
      <c r="T2830" t="s">
        <v>30</v>
      </c>
      <c r="U2830" t="s">
        <v>26520</v>
      </c>
      <c r="W2830" t="s">
        <v>26009</v>
      </c>
    </row>
    <row r="2831" spans="1:23" x14ac:dyDescent="0.35">
      <c r="A2831">
        <v>689288</v>
      </c>
      <c r="B2831" t="s">
        <v>36475</v>
      </c>
      <c r="C2831" t="str">
        <f>"9780199747436"</f>
        <v>9780199747436</v>
      </c>
      <c r="D2831" t="str">
        <f>"9780199781126"</f>
        <v>9780199781126</v>
      </c>
      <c r="E2831" t="s">
        <v>371</v>
      </c>
      <c r="F2831" t="s">
        <v>31</v>
      </c>
      <c r="G2831" t="s">
        <v>22179</v>
      </c>
      <c r="H2831" t="s">
        <v>26004</v>
      </c>
      <c r="I2831" s="26">
        <v>40604</v>
      </c>
      <c r="J2831">
        <v>2011</v>
      </c>
      <c r="K2831" t="s">
        <v>31</v>
      </c>
      <c r="L2831">
        <v>249</v>
      </c>
      <c r="M2831" t="s">
        <v>36476</v>
      </c>
      <c r="Q2831" t="s">
        <v>36477</v>
      </c>
      <c r="R2831">
        <v>303.625</v>
      </c>
      <c r="S2831" t="s">
        <v>36478</v>
      </c>
      <c r="T2831" t="s">
        <v>30</v>
      </c>
      <c r="U2831" t="s">
        <v>26044</v>
      </c>
      <c r="W2831" t="s">
        <v>26009</v>
      </c>
    </row>
    <row r="2832" spans="1:23" x14ac:dyDescent="0.35">
      <c r="A2832">
        <v>689290</v>
      </c>
      <c r="B2832" t="s">
        <v>36479</v>
      </c>
      <c r="C2832" t="str">
        <f>"9780199782024"</f>
        <v>9780199782024</v>
      </c>
      <c r="D2832" t="str">
        <f>"9780199843787"</f>
        <v>9780199843787</v>
      </c>
      <c r="E2832" t="s">
        <v>371</v>
      </c>
      <c r="F2832" t="s">
        <v>31</v>
      </c>
      <c r="G2832" t="s">
        <v>22703</v>
      </c>
      <c r="H2832" t="s">
        <v>26004</v>
      </c>
      <c r="I2832" s="26">
        <v>40632</v>
      </c>
      <c r="J2832">
        <v>2011</v>
      </c>
      <c r="K2832" t="s">
        <v>31</v>
      </c>
      <c r="L2832">
        <v>148</v>
      </c>
      <c r="M2832" t="s">
        <v>36480</v>
      </c>
      <c r="Q2832" t="s">
        <v>36481</v>
      </c>
      <c r="R2832">
        <v>616.89499999999998</v>
      </c>
      <c r="S2832" t="s">
        <v>8992</v>
      </c>
      <c r="T2832" t="s">
        <v>30</v>
      </c>
      <c r="U2832" t="s">
        <v>26019</v>
      </c>
      <c r="W2832" t="s">
        <v>26009</v>
      </c>
    </row>
    <row r="2833" spans="1:23" x14ac:dyDescent="0.35">
      <c r="A2833">
        <v>689296</v>
      </c>
      <c r="B2833" t="s">
        <v>36482</v>
      </c>
      <c r="C2833" t="str">
        <f>"9780199772377"</f>
        <v>9780199772377</v>
      </c>
      <c r="D2833" t="str">
        <f>"9780199877638"</f>
        <v>9780199877638</v>
      </c>
      <c r="E2833" t="s">
        <v>371</v>
      </c>
      <c r="F2833" t="s">
        <v>31</v>
      </c>
      <c r="G2833" t="s">
        <v>22179</v>
      </c>
      <c r="H2833" t="s">
        <v>26004</v>
      </c>
      <c r="I2833" s="26">
        <v>40638</v>
      </c>
      <c r="J2833">
        <v>2011</v>
      </c>
      <c r="K2833" t="s">
        <v>31</v>
      </c>
      <c r="L2833">
        <v>298</v>
      </c>
      <c r="M2833" t="s">
        <v>36483</v>
      </c>
      <c r="O2833" t="s">
        <v>28565</v>
      </c>
      <c r="Q2833" t="s">
        <v>36484</v>
      </c>
      <c r="R2833" t="s">
        <v>36485</v>
      </c>
      <c r="S2833" t="s">
        <v>8747</v>
      </c>
      <c r="T2833" t="s">
        <v>30</v>
      </c>
      <c r="U2833" t="s">
        <v>26040</v>
      </c>
      <c r="W2833" t="s">
        <v>26009</v>
      </c>
    </row>
    <row r="2834" spans="1:23" x14ac:dyDescent="0.35">
      <c r="A2834">
        <v>689297</v>
      </c>
      <c r="B2834" t="s">
        <v>36486</v>
      </c>
      <c r="C2834" t="str">
        <f>"9780199772384"</f>
        <v>9780199772384</v>
      </c>
      <c r="D2834" t="str">
        <f>"9780199877645"</f>
        <v>9780199877645</v>
      </c>
      <c r="E2834" t="s">
        <v>371</v>
      </c>
      <c r="F2834" t="s">
        <v>31</v>
      </c>
      <c r="G2834" t="s">
        <v>22703</v>
      </c>
      <c r="H2834" t="s">
        <v>26004</v>
      </c>
      <c r="I2834" s="26">
        <v>40638</v>
      </c>
      <c r="J2834">
        <v>2011</v>
      </c>
      <c r="K2834" t="s">
        <v>31</v>
      </c>
      <c r="L2834">
        <v>160</v>
      </c>
      <c r="M2834" t="s">
        <v>36483</v>
      </c>
      <c r="O2834" t="s">
        <v>28565</v>
      </c>
      <c r="Q2834" t="s">
        <v>36487</v>
      </c>
      <c r="R2834">
        <v>616.04719999999998</v>
      </c>
      <c r="S2834" t="s">
        <v>36488</v>
      </c>
      <c r="T2834" t="s">
        <v>30</v>
      </c>
      <c r="U2834" t="s">
        <v>26040</v>
      </c>
      <c r="W2834" t="s">
        <v>26009</v>
      </c>
    </row>
    <row r="2835" spans="1:23" x14ac:dyDescent="0.35">
      <c r="A2835">
        <v>689463</v>
      </c>
      <c r="B2835" t="s">
        <v>36489</v>
      </c>
      <c r="C2835" t="str">
        <f>"9781849205856"</f>
        <v>9781849205856</v>
      </c>
      <c r="D2835" t="str">
        <f>"9781446210246"</f>
        <v>9781446210246</v>
      </c>
      <c r="E2835" t="s">
        <v>28007</v>
      </c>
      <c r="F2835" t="s">
        <v>7430</v>
      </c>
      <c r="G2835" t="s">
        <v>22174</v>
      </c>
      <c r="H2835" t="s">
        <v>26011</v>
      </c>
      <c r="I2835" s="26">
        <v>40541</v>
      </c>
      <c r="J2835">
        <v>2011</v>
      </c>
      <c r="K2835" t="s">
        <v>7430</v>
      </c>
      <c r="L2835">
        <v>241</v>
      </c>
      <c r="M2835" t="s">
        <v>36490</v>
      </c>
      <c r="N2835">
        <v>1</v>
      </c>
      <c r="O2835" t="s">
        <v>28088</v>
      </c>
      <c r="Q2835" t="s">
        <v>36491</v>
      </c>
      <c r="R2835">
        <v>150.1952</v>
      </c>
      <c r="S2835" t="s">
        <v>36492</v>
      </c>
      <c r="T2835" t="s">
        <v>30</v>
      </c>
      <c r="U2835" t="s">
        <v>46</v>
      </c>
      <c r="W2835" t="s">
        <v>26009</v>
      </c>
    </row>
    <row r="2836" spans="1:23" x14ac:dyDescent="0.35">
      <c r="A2836">
        <v>689563</v>
      </c>
      <c r="B2836" t="s">
        <v>36493</v>
      </c>
      <c r="C2836" t="str">
        <f>"9781855755123"</f>
        <v>9781855755123</v>
      </c>
      <c r="D2836" t="str">
        <f>"9781849405492"</f>
        <v>9781849405492</v>
      </c>
      <c r="E2836" t="s">
        <v>26010</v>
      </c>
      <c r="F2836" t="s">
        <v>35</v>
      </c>
      <c r="G2836" t="s">
        <v>22174</v>
      </c>
      <c r="H2836" t="s">
        <v>26011</v>
      </c>
      <c r="I2836" s="26">
        <v>39447</v>
      </c>
      <c r="J2836">
        <v>2007</v>
      </c>
      <c r="K2836" t="s">
        <v>26012</v>
      </c>
      <c r="L2836">
        <v>503</v>
      </c>
      <c r="M2836" t="s">
        <v>36494</v>
      </c>
      <c r="N2836">
        <v>1</v>
      </c>
      <c r="O2836" t="s">
        <v>36495</v>
      </c>
      <c r="Q2836" t="s">
        <v>36496</v>
      </c>
      <c r="R2836">
        <v>305.90691399999997</v>
      </c>
      <c r="S2836" t="s">
        <v>36497</v>
      </c>
      <c r="T2836" t="s">
        <v>30</v>
      </c>
      <c r="U2836" t="s">
        <v>29407</v>
      </c>
      <c r="W2836" t="s">
        <v>26009</v>
      </c>
    </row>
    <row r="2837" spans="1:23" x14ac:dyDescent="0.35">
      <c r="A2837">
        <v>689564</v>
      </c>
      <c r="B2837" t="s">
        <v>36498</v>
      </c>
      <c r="C2837" t="str">
        <f>"9781855753402"</f>
        <v>9781855753402</v>
      </c>
      <c r="D2837" t="str">
        <f>"9781849406239"</f>
        <v>9781849406239</v>
      </c>
      <c r="E2837" t="s">
        <v>26010</v>
      </c>
      <c r="F2837" t="s">
        <v>35</v>
      </c>
      <c r="G2837" t="s">
        <v>22174</v>
      </c>
      <c r="H2837" t="s">
        <v>26011</v>
      </c>
      <c r="I2837" s="26">
        <v>39813</v>
      </c>
      <c r="J2837">
        <v>2008</v>
      </c>
      <c r="K2837" t="s">
        <v>26012</v>
      </c>
      <c r="L2837">
        <v>321</v>
      </c>
      <c r="M2837" t="s">
        <v>36499</v>
      </c>
      <c r="N2837">
        <v>1</v>
      </c>
      <c r="O2837" t="s">
        <v>36500</v>
      </c>
      <c r="Q2837" t="s">
        <v>36501</v>
      </c>
      <c r="R2837">
        <v>616.89156000000003</v>
      </c>
      <c r="S2837" t="s">
        <v>36502</v>
      </c>
      <c r="T2837" t="s">
        <v>30</v>
      </c>
      <c r="U2837" t="s">
        <v>26116</v>
      </c>
      <c r="W2837" t="s">
        <v>26009</v>
      </c>
    </row>
    <row r="2838" spans="1:23" x14ac:dyDescent="0.35">
      <c r="A2838">
        <v>689565</v>
      </c>
      <c r="B2838" t="s">
        <v>36503</v>
      </c>
      <c r="C2838" t="str">
        <f>"9781855757714"</f>
        <v>9781855757714</v>
      </c>
      <c r="D2838" t="str">
        <f>"9781849408639"</f>
        <v>9781849408639</v>
      </c>
      <c r="E2838" t="s">
        <v>26010</v>
      </c>
      <c r="F2838" t="s">
        <v>35</v>
      </c>
      <c r="G2838" t="s">
        <v>26128</v>
      </c>
      <c r="H2838" t="s">
        <v>26011</v>
      </c>
      <c r="I2838" s="26">
        <v>40543</v>
      </c>
      <c r="J2838">
        <v>2010</v>
      </c>
      <c r="K2838" t="s">
        <v>26012</v>
      </c>
      <c r="L2838">
        <v>265</v>
      </c>
      <c r="M2838" t="s">
        <v>36504</v>
      </c>
      <c r="N2838">
        <v>1</v>
      </c>
      <c r="O2838" t="s">
        <v>36505</v>
      </c>
      <c r="S2838" t="s">
        <v>7518</v>
      </c>
      <c r="T2838" t="s">
        <v>30</v>
      </c>
      <c r="U2838" t="s">
        <v>46</v>
      </c>
      <c r="W2838" t="s">
        <v>26009</v>
      </c>
    </row>
    <row r="2839" spans="1:23" x14ac:dyDescent="0.35">
      <c r="A2839">
        <v>689566</v>
      </c>
      <c r="B2839" t="s">
        <v>36506</v>
      </c>
      <c r="C2839" t="str">
        <f>"9781855752504"</f>
        <v>9781855752504</v>
      </c>
      <c r="D2839" t="str">
        <f>"9781849403009"</f>
        <v>9781849403009</v>
      </c>
      <c r="E2839" t="s">
        <v>26010</v>
      </c>
      <c r="F2839" t="s">
        <v>35</v>
      </c>
      <c r="G2839" t="s">
        <v>22174</v>
      </c>
      <c r="H2839" t="s">
        <v>26011</v>
      </c>
      <c r="I2839" s="26">
        <v>36891</v>
      </c>
      <c r="J2839">
        <v>2000</v>
      </c>
      <c r="K2839" t="s">
        <v>26012</v>
      </c>
      <c r="L2839">
        <v>225</v>
      </c>
      <c r="M2839" t="s">
        <v>36507</v>
      </c>
      <c r="N2839">
        <v>1</v>
      </c>
      <c r="Q2839" t="s">
        <v>36508</v>
      </c>
      <c r="R2839">
        <v>150.19499999999999</v>
      </c>
      <c r="S2839" t="s">
        <v>8898</v>
      </c>
      <c r="T2839" t="s">
        <v>30</v>
      </c>
      <c r="U2839" t="s">
        <v>46</v>
      </c>
      <c r="W2839" t="s">
        <v>26009</v>
      </c>
    </row>
    <row r="2840" spans="1:23" x14ac:dyDescent="0.35">
      <c r="A2840">
        <v>689567</v>
      </c>
      <c r="B2840" t="s">
        <v>53</v>
      </c>
      <c r="C2840" t="str">
        <f>"9781855757462"</f>
        <v>9781855757462</v>
      </c>
      <c r="D2840" t="str">
        <f>"9780429919961"</f>
        <v>9780429919961</v>
      </c>
      <c r="E2840" t="s">
        <v>26010</v>
      </c>
      <c r="F2840" t="s">
        <v>35</v>
      </c>
      <c r="G2840" t="s">
        <v>22174</v>
      </c>
      <c r="H2840" t="s">
        <v>26011</v>
      </c>
      <c r="I2840" s="26">
        <v>40178</v>
      </c>
      <c r="J2840">
        <v>2009</v>
      </c>
      <c r="K2840" t="s">
        <v>26012</v>
      </c>
      <c r="L2840">
        <v>122</v>
      </c>
      <c r="M2840" t="s">
        <v>36509</v>
      </c>
      <c r="N2840">
        <v>1</v>
      </c>
      <c r="O2840" t="s">
        <v>36510</v>
      </c>
      <c r="Q2840" t="s">
        <v>36511</v>
      </c>
      <c r="R2840">
        <v>616.89156000000003</v>
      </c>
      <c r="S2840" t="s">
        <v>36512</v>
      </c>
      <c r="T2840" t="s">
        <v>30</v>
      </c>
      <c r="U2840" t="s">
        <v>26116</v>
      </c>
      <c r="W2840" t="s">
        <v>26009</v>
      </c>
    </row>
    <row r="2841" spans="1:23" x14ac:dyDescent="0.35">
      <c r="A2841">
        <v>689851</v>
      </c>
      <c r="B2841" t="s">
        <v>36513</v>
      </c>
      <c r="C2841" t="str">
        <f>"9781855757936"</f>
        <v>9781855757936</v>
      </c>
      <c r="D2841" t="str">
        <f>"9781849408684"</f>
        <v>9781849408684</v>
      </c>
      <c r="E2841" t="s">
        <v>26010</v>
      </c>
      <c r="F2841" t="s">
        <v>35</v>
      </c>
      <c r="G2841" t="s">
        <v>22174</v>
      </c>
      <c r="H2841" t="s">
        <v>26011</v>
      </c>
      <c r="I2841" s="26">
        <v>40908</v>
      </c>
      <c r="J2841">
        <v>2011</v>
      </c>
      <c r="K2841" t="s">
        <v>26012</v>
      </c>
      <c r="L2841">
        <v>289</v>
      </c>
      <c r="M2841" t="s">
        <v>36514</v>
      </c>
      <c r="N2841">
        <v>1</v>
      </c>
      <c r="O2841" t="s">
        <v>36515</v>
      </c>
      <c r="Q2841" t="s">
        <v>36516</v>
      </c>
      <c r="R2841">
        <v>155.82</v>
      </c>
      <c r="S2841" t="s">
        <v>36517</v>
      </c>
      <c r="T2841" t="s">
        <v>30</v>
      </c>
      <c r="U2841" t="s">
        <v>46</v>
      </c>
      <c r="W2841" t="s">
        <v>26009</v>
      </c>
    </row>
    <row r="2842" spans="1:23" x14ac:dyDescent="0.35">
      <c r="A2842">
        <v>689852</v>
      </c>
      <c r="B2842" t="s">
        <v>8828</v>
      </c>
      <c r="C2842" t="str">
        <f>"9781855758308"</f>
        <v>9781855758308</v>
      </c>
      <c r="D2842" t="str">
        <f>"9781849408691"</f>
        <v>9781849408691</v>
      </c>
      <c r="E2842" t="s">
        <v>26010</v>
      </c>
      <c r="F2842" t="s">
        <v>35</v>
      </c>
      <c r="G2842" t="s">
        <v>22174</v>
      </c>
      <c r="H2842" t="s">
        <v>26011</v>
      </c>
      <c r="I2842" s="26">
        <v>40894</v>
      </c>
      <c r="J2842">
        <v>2011</v>
      </c>
      <c r="K2842" t="s">
        <v>26012</v>
      </c>
      <c r="L2842">
        <v>313</v>
      </c>
      <c r="M2842" t="s">
        <v>36518</v>
      </c>
      <c r="N2842">
        <v>1</v>
      </c>
      <c r="Q2842" t="s">
        <v>36519</v>
      </c>
      <c r="R2842">
        <v>616.89139999999998</v>
      </c>
      <c r="S2842" t="s">
        <v>28857</v>
      </c>
      <c r="T2842" t="s">
        <v>30</v>
      </c>
      <c r="U2842" t="s">
        <v>26019</v>
      </c>
      <c r="W2842" t="s">
        <v>26009</v>
      </c>
    </row>
    <row r="2843" spans="1:23" x14ac:dyDescent="0.35">
      <c r="A2843">
        <v>689854</v>
      </c>
      <c r="B2843" t="s">
        <v>36520</v>
      </c>
      <c r="C2843" t="str">
        <f>"9781855756212"</f>
        <v>9781855756212</v>
      </c>
      <c r="D2843" t="str">
        <f>"9781849407106"</f>
        <v>9781849407106</v>
      </c>
      <c r="E2843" t="s">
        <v>26010</v>
      </c>
      <c r="F2843" t="s">
        <v>35</v>
      </c>
      <c r="G2843" t="s">
        <v>26128</v>
      </c>
      <c r="H2843" t="s">
        <v>26011</v>
      </c>
      <c r="I2843" s="26">
        <v>40180</v>
      </c>
      <c r="J2843">
        <v>2010</v>
      </c>
      <c r="K2843" t="s">
        <v>26012</v>
      </c>
      <c r="L2843">
        <v>485</v>
      </c>
      <c r="M2843" t="s">
        <v>36521</v>
      </c>
      <c r="N2843">
        <v>1</v>
      </c>
      <c r="S2843" t="s">
        <v>36522</v>
      </c>
      <c r="T2843" t="s">
        <v>30</v>
      </c>
      <c r="U2843" t="s">
        <v>46</v>
      </c>
      <c r="W2843" t="s">
        <v>26009</v>
      </c>
    </row>
    <row r="2844" spans="1:23" x14ac:dyDescent="0.35">
      <c r="A2844">
        <v>689855</v>
      </c>
      <c r="B2844" t="s">
        <v>9542</v>
      </c>
      <c r="C2844" t="str">
        <f>"9781855756595"</f>
        <v>9781855756595</v>
      </c>
      <c r="D2844" t="str">
        <f>"9781849407113"</f>
        <v>9781849407113</v>
      </c>
      <c r="E2844" t="s">
        <v>26010</v>
      </c>
      <c r="F2844" t="s">
        <v>35</v>
      </c>
      <c r="G2844" t="s">
        <v>22174</v>
      </c>
      <c r="H2844" t="s">
        <v>26011</v>
      </c>
      <c r="I2844" s="26">
        <v>40179</v>
      </c>
      <c r="J2844">
        <v>2010</v>
      </c>
      <c r="K2844" t="s">
        <v>26012</v>
      </c>
      <c r="L2844">
        <v>169</v>
      </c>
      <c r="M2844" t="s">
        <v>36523</v>
      </c>
      <c r="N2844">
        <v>1</v>
      </c>
      <c r="Q2844" t="s">
        <v>36524</v>
      </c>
      <c r="R2844" t="s">
        <v>36525</v>
      </c>
      <c r="S2844" t="s">
        <v>36526</v>
      </c>
      <c r="T2844" t="s">
        <v>30</v>
      </c>
      <c r="U2844" t="s">
        <v>46</v>
      </c>
      <c r="W2844" t="s">
        <v>26009</v>
      </c>
    </row>
    <row r="2845" spans="1:23" x14ac:dyDescent="0.35">
      <c r="A2845">
        <v>689856</v>
      </c>
      <c r="B2845" t="s">
        <v>36527</v>
      </c>
      <c r="C2845" t="str">
        <f>"9781855758087"</f>
        <v>9781855758087</v>
      </c>
      <c r="D2845" t="str">
        <f>"9781849407120"</f>
        <v>9781849407120</v>
      </c>
      <c r="E2845" t="s">
        <v>26010</v>
      </c>
      <c r="F2845" t="s">
        <v>35</v>
      </c>
      <c r="G2845" t="s">
        <v>22174</v>
      </c>
      <c r="H2845" t="s">
        <v>26011</v>
      </c>
      <c r="I2845" s="26">
        <v>40512</v>
      </c>
      <c r="J2845">
        <v>2010</v>
      </c>
      <c r="K2845" t="s">
        <v>26012</v>
      </c>
      <c r="L2845">
        <v>408</v>
      </c>
      <c r="M2845" t="s">
        <v>36528</v>
      </c>
      <c r="N2845">
        <v>2</v>
      </c>
      <c r="Q2845" t="s">
        <v>36529</v>
      </c>
      <c r="R2845">
        <v>616.85829999999999</v>
      </c>
      <c r="S2845" t="s">
        <v>36530</v>
      </c>
      <c r="T2845" t="s">
        <v>30</v>
      </c>
      <c r="U2845" t="s">
        <v>26116</v>
      </c>
      <c r="W2845" t="s">
        <v>26009</v>
      </c>
    </row>
    <row r="2846" spans="1:23" x14ac:dyDescent="0.35">
      <c r="A2846">
        <v>689857</v>
      </c>
      <c r="B2846" t="s">
        <v>36531</v>
      </c>
      <c r="C2846" t="str">
        <f>"9781855757189"</f>
        <v>9781855757189</v>
      </c>
      <c r="D2846" t="str">
        <f>"9781849407137"</f>
        <v>9781849407137</v>
      </c>
      <c r="E2846" t="s">
        <v>26010</v>
      </c>
      <c r="F2846" t="s">
        <v>35</v>
      </c>
      <c r="G2846" t="s">
        <v>22174</v>
      </c>
      <c r="H2846" t="s">
        <v>26011</v>
      </c>
      <c r="I2846" s="26">
        <v>40908</v>
      </c>
      <c r="J2846">
        <v>2011</v>
      </c>
      <c r="K2846" t="s">
        <v>26012</v>
      </c>
      <c r="L2846">
        <v>251</v>
      </c>
      <c r="M2846" t="s">
        <v>36532</v>
      </c>
      <c r="N2846">
        <v>1</v>
      </c>
      <c r="Q2846" t="s">
        <v>36533</v>
      </c>
      <c r="R2846">
        <v>616.89170000000001</v>
      </c>
      <c r="S2846" t="s">
        <v>36534</v>
      </c>
      <c r="T2846" t="s">
        <v>30</v>
      </c>
      <c r="U2846" t="s">
        <v>26019</v>
      </c>
      <c r="W2846" t="s">
        <v>26009</v>
      </c>
    </row>
    <row r="2847" spans="1:23" x14ac:dyDescent="0.35">
      <c r="A2847">
        <v>689858</v>
      </c>
      <c r="B2847" t="s">
        <v>8865</v>
      </c>
      <c r="C2847" t="str">
        <f>"9781855756267"</f>
        <v>9781855756267</v>
      </c>
      <c r="D2847" t="str">
        <f>"9781849407144"</f>
        <v>9781849407144</v>
      </c>
      <c r="E2847" t="s">
        <v>26010</v>
      </c>
      <c r="F2847" t="s">
        <v>35</v>
      </c>
      <c r="G2847" t="s">
        <v>26128</v>
      </c>
      <c r="H2847" t="s">
        <v>26011</v>
      </c>
      <c r="I2847" s="26">
        <v>40242</v>
      </c>
      <c r="J2847">
        <v>2010</v>
      </c>
      <c r="K2847" t="s">
        <v>26012</v>
      </c>
      <c r="L2847">
        <v>267</v>
      </c>
      <c r="M2847" t="s">
        <v>36535</v>
      </c>
      <c r="N2847">
        <v>1</v>
      </c>
      <c r="R2847">
        <v>154.63</v>
      </c>
      <c r="S2847" t="s">
        <v>36536</v>
      </c>
      <c r="T2847" t="s">
        <v>30</v>
      </c>
      <c r="U2847" t="s">
        <v>46</v>
      </c>
      <c r="W2847" t="s">
        <v>26009</v>
      </c>
    </row>
    <row r="2848" spans="1:23" x14ac:dyDescent="0.35">
      <c r="A2848">
        <v>689859</v>
      </c>
      <c r="B2848" t="s">
        <v>36537</v>
      </c>
      <c r="C2848" t="str">
        <f>"9781855757745"</f>
        <v>9781855757745</v>
      </c>
      <c r="D2848" t="str">
        <f>"9781849407151"</f>
        <v>9781849407151</v>
      </c>
      <c r="E2848" t="s">
        <v>26010</v>
      </c>
      <c r="F2848" t="s">
        <v>35</v>
      </c>
      <c r="G2848" t="s">
        <v>22174</v>
      </c>
      <c r="H2848" t="s">
        <v>26011</v>
      </c>
      <c r="I2848" s="26">
        <v>40543</v>
      </c>
      <c r="J2848">
        <v>2010</v>
      </c>
      <c r="K2848" t="s">
        <v>26012</v>
      </c>
      <c r="L2848">
        <v>389</v>
      </c>
      <c r="M2848" t="s">
        <v>36538</v>
      </c>
      <c r="N2848">
        <v>1</v>
      </c>
      <c r="O2848" t="s">
        <v>36539</v>
      </c>
      <c r="Q2848" t="s">
        <v>36540</v>
      </c>
      <c r="R2848">
        <v>616.89152000000001</v>
      </c>
      <c r="S2848" t="s">
        <v>36541</v>
      </c>
      <c r="T2848" t="s">
        <v>30</v>
      </c>
      <c r="U2848" t="s">
        <v>26019</v>
      </c>
      <c r="W2848" t="s">
        <v>26009</v>
      </c>
    </row>
    <row r="2849" spans="1:23" x14ac:dyDescent="0.35">
      <c r="A2849">
        <v>689860</v>
      </c>
      <c r="B2849" t="s">
        <v>10104</v>
      </c>
      <c r="C2849" t="str">
        <f>"9781855757431"</f>
        <v>9781855757431</v>
      </c>
      <c r="D2849" t="str">
        <f>"9781849407168"</f>
        <v>9781849407168</v>
      </c>
      <c r="E2849" t="s">
        <v>26010</v>
      </c>
      <c r="F2849" t="s">
        <v>35</v>
      </c>
      <c r="G2849" t="s">
        <v>22174</v>
      </c>
      <c r="H2849" t="s">
        <v>26011</v>
      </c>
      <c r="I2849" s="26">
        <v>40544</v>
      </c>
      <c r="J2849">
        <v>2011</v>
      </c>
      <c r="K2849" t="s">
        <v>26012</v>
      </c>
      <c r="L2849">
        <v>211</v>
      </c>
      <c r="M2849" t="s">
        <v>36542</v>
      </c>
      <c r="N2849">
        <v>1</v>
      </c>
      <c r="Q2849" t="s">
        <v>36543</v>
      </c>
      <c r="R2849">
        <v>616.85209999999995</v>
      </c>
      <c r="S2849" t="s">
        <v>36544</v>
      </c>
      <c r="T2849" t="s">
        <v>30</v>
      </c>
      <c r="U2849" t="s">
        <v>26116</v>
      </c>
      <c r="W2849" t="s">
        <v>26009</v>
      </c>
    </row>
    <row r="2850" spans="1:23" x14ac:dyDescent="0.35">
      <c r="A2850">
        <v>689861</v>
      </c>
      <c r="B2850" t="s">
        <v>36545</v>
      </c>
      <c r="C2850" t="str">
        <f>"9781855756724"</f>
        <v>9781855756724</v>
      </c>
      <c r="D2850" t="str">
        <f>"9781849407175"</f>
        <v>9781849407175</v>
      </c>
      <c r="E2850" t="s">
        <v>26010</v>
      </c>
      <c r="F2850" t="s">
        <v>35</v>
      </c>
      <c r="G2850" t="s">
        <v>22174</v>
      </c>
      <c r="H2850" t="s">
        <v>26011</v>
      </c>
      <c r="I2850" s="26">
        <v>40543</v>
      </c>
      <c r="J2850">
        <v>2010</v>
      </c>
      <c r="K2850" t="s">
        <v>26012</v>
      </c>
      <c r="L2850">
        <v>338</v>
      </c>
      <c r="M2850" t="s">
        <v>36546</v>
      </c>
      <c r="N2850">
        <v>1</v>
      </c>
      <c r="O2850" t="s">
        <v>36547</v>
      </c>
      <c r="Q2850" t="s">
        <v>36548</v>
      </c>
      <c r="R2850">
        <v>150.19499999999999</v>
      </c>
      <c r="S2850" t="s">
        <v>36549</v>
      </c>
      <c r="T2850" t="s">
        <v>30</v>
      </c>
      <c r="U2850" t="s">
        <v>26019</v>
      </c>
      <c r="W2850" t="s">
        <v>26009</v>
      </c>
    </row>
    <row r="2851" spans="1:23" x14ac:dyDescent="0.35">
      <c r="A2851">
        <v>689862</v>
      </c>
      <c r="B2851" t="s">
        <v>36550</v>
      </c>
      <c r="C2851" t="str">
        <f>"9781855757486"</f>
        <v>9781855757486</v>
      </c>
      <c r="D2851" t="str">
        <f>"9780429896255"</f>
        <v>9780429896255</v>
      </c>
      <c r="E2851" t="s">
        <v>26010</v>
      </c>
      <c r="F2851" t="s">
        <v>35</v>
      </c>
      <c r="G2851" t="s">
        <v>22174</v>
      </c>
      <c r="H2851" t="s">
        <v>26011</v>
      </c>
      <c r="I2851" s="26">
        <v>40543</v>
      </c>
      <c r="J2851">
        <v>2010</v>
      </c>
      <c r="K2851" t="s">
        <v>26012</v>
      </c>
      <c r="L2851">
        <v>557</v>
      </c>
      <c r="M2851" t="s">
        <v>36551</v>
      </c>
      <c r="N2851">
        <v>1</v>
      </c>
      <c r="O2851" t="s">
        <v>36552</v>
      </c>
      <c r="Q2851" t="s">
        <v>36553</v>
      </c>
      <c r="R2851">
        <v>617.48104430000001</v>
      </c>
      <c r="S2851" t="s">
        <v>9707</v>
      </c>
      <c r="T2851" t="s">
        <v>30</v>
      </c>
      <c r="U2851" t="s">
        <v>26040</v>
      </c>
      <c r="W2851" t="s">
        <v>26009</v>
      </c>
    </row>
    <row r="2852" spans="1:23" x14ac:dyDescent="0.35">
      <c r="A2852">
        <v>689863</v>
      </c>
      <c r="B2852" t="s">
        <v>36554</v>
      </c>
      <c r="C2852" t="str">
        <f>"9781855756007"</f>
        <v>9781855756007</v>
      </c>
      <c r="D2852" t="str">
        <f>"9781849407229"</f>
        <v>9781849407229</v>
      </c>
      <c r="E2852" t="s">
        <v>26010</v>
      </c>
      <c r="F2852" t="s">
        <v>35</v>
      </c>
      <c r="G2852" t="s">
        <v>22174</v>
      </c>
      <c r="H2852" t="s">
        <v>26011</v>
      </c>
      <c r="I2852" s="26">
        <v>40543</v>
      </c>
      <c r="J2852">
        <v>2010</v>
      </c>
      <c r="K2852" t="s">
        <v>26012</v>
      </c>
      <c r="L2852">
        <v>418</v>
      </c>
      <c r="M2852" t="s">
        <v>36555</v>
      </c>
      <c r="N2852">
        <v>1</v>
      </c>
      <c r="O2852" t="s">
        <v>36505</v>
      </c>
      <c r="Q2852" t="s">
        <v>36556</v>
      </c>
      <c r="R2852">
        <v>616.80460000000005</v>
      </c>
      <c r="S2852" t="s">
        <v>36557</v>
      </c>
      <c r="T2852" t="s">
        <v>30</v>
      </c>
      <c r="U2852" t="s">
        <v>26019</v>
      </c>
      <c r="W2852" t="s">
        <v>26009</v>
      </c>
    </row>
    <row r="2853" spans="1:23" x14ac:dyDescent="0.35">
      <c r="A2853">
        <v>689864</v>
      </c>
      <c r="B2853" t="s">
        <v>36558</v>
      </c>
      <c r="C2853" t="str">
        <f>"9781855758193"</f>
        <v>9781855758193</v>
      </c>
      <c r="D2853" t="str">
        <f>"9781849407397"</f>
        <v>9781849407397</v>
      </c>
      <c r="E2853" t="s">
        <v>26010</v>
      </c>
      <c r="F2853" t="s">
        <v>35</v>
      </c>
      <c r="G2853" t="s">
        <v>22174</v>
      </c>
      <c r="H2853" t="s">
        <v>26011</v>
      </c>
      <c r="I2853" s="26">
        <v>40451</v>
      </c>
      <c r="J2853">
        <v>2010</v>
      </c>
      <c r="K2853" t="s">
        <v>26012</v>
      </c>
      <c r="L2853">
        <v>130</v>
      </c>
      <c r="M2853" t="s">
        <v>36559</v>
      </c>
      <c r="N2853">
        <v>1</v>
      </c>
      <c r="Q2853" t="s">
        <v>36560</v>
      </c>
      <c r="R2853">
        <v>150.19499999999999</v>
      </c>
      <c r="S2853" t="s">
        <v>36561</v>
      </c>
      <c r="T2853" t="s">
        <v>30</v>
      </c>
      <c r="U2853" t="s">
        <v>26019</v>
      </c>
      <c r="W2853" t="s">
        <v>26009</v>
      </c>
    </row>
    <row r="2854" spans="1:23" x14ac:dyDescent="0.35">
      <c r="A2854">
        <v>689865</v>
      </c>
      <c r="B2854" t="s">
        <v>36562</v>
      </c>
      <c r="C2854" t="str">
        <f>"9781855758957"</f>
        <v>9781855758957</v>
      </c>
      <c r="D2854" t="str">
        <f>"9781849407410"</f>
        <v>9781849407410</v>
      </c>
      <c r="E2854" t="s">
        <v>26010</v>
      </c>
      <c r="F2854" t="s">
        <v>35</v>
      </c>
      <c r="G2854" t="s">
        <v>22174</v>
      </c>
      <c r="H2854" t="s">
        <v>26011</v>
      </c>
      <c r="I2854" s="26">
        <v>40372</v>
      </c>
      <c r="J2854">
        <v>2010</v>
      </c>
      <c r="K2854" t="s">
        <v>26012</v>
      </c>
      <c r="L2854">
        <v>211</v>
      </c>
      <c r="M2854" t="s">
        <v>36563</v>
      </c>
      <c r="N2854">
        <v>1</v>
      </c>
      <c r="Q2854" t="s">
        <v>36564</v>
      </c>
      <c r="R2854">
        <v>150.19499999999999</v>
      </c>
      <c r="S2854" t="s">
        <v>36565</v>
      </c>
      <c r="T2854" t="s">
        <v>30</v>
      </c>
      <c r="U2854" t="s">
        <v>26116</v>
      </c>
      <c r="W2854" t="s">
        <v>26009</v>
      </c>
    </row>
    <row r="2855" spans="1:23" x14ac:dyDescent="0.35">
      <c r="A2855">
        <v>689866</v>
      </c>
      <c r="B2855" t="s">
        <v>36566</v>
      </c>
      <c r="C2855" t="str">
        <f>"9781855758681"</f>
        <v>9781855758681</v>
      </c>
      <c r="D2855" t="str">
        <f>"9781849407427"</f>
        <v>9781849407427</v>
      </c>
      <c r="E2855" t="s">
        <v>26010</v>
      </c>
      <c r="F2855" t="s">
        <v>35</v>
      </c>
      <c r="G2855" t="s">
        <v>22174</v>
      </c>
      <c r="H2855" t="s">
        <v>26011</v>
      </c>
      <c r="I2855" s="26">
        <v>40543</v>
      </c>
      <c r="J2855">
        <v>2010</v>
      </c>
      <c r="K2855" t="s">
        <v>26012</v>
      </c>
      <c r="L2855">
        <v>735</v>
      </c>
      <c r="M2855" t="s">
        <v>36567</v>
      </c>
      <c r="N2855">
        <v>1</v>
      </c>
      <c r="O2855" t="s">
        <v>36568</v>
      </c>
      <c r="Q2855" t="s">
        <v>36569</v>
      </c>
      <c r="R2855">
        <v>150.19499999999999</v>
      </c>
      <c r="S2855" t="s">
        <v>36570</v>
      </c>
      <c r="T2855" t="s">
        <v>30</v>
      </c>
      <c r="U2855" t="s">
        <v>46</v>
      </c>
      <c r="W2855" t="s">
        <v>26009</v>
      </c>
    </row>
    <row r="2856" spans="1:23" x14ac:dyDescent="0.35">
      <c r="A2856">
        <v>689867</v>
      </c>
      <c r="B2856" t="s">
        <v>36571</v>
      </c>
      <c r="C2856" t="str">
        <f>"9781855757400"</f>
        <v>9781855757400</v>
      </c>
      <c r="D2856" t="str">
        <f>"9781849407489"</f>
        <v>9781849407489</v>
      </c>
      <c r="E2856" t="s">
        <v>26010</v>
      </c>
      <c r="F2856" t="s">
        <v>35</v>
      </c>
      <c r="G2856" t="s">
        <v>22174</v>
      </c>
      <c r="H2856" t="s">
        <v>26011</v>
      </c>
      <c r="I2856" s="26">
        <v>40424</v>
      </c>
      <c r="J2856">
        <v>2010</v>
      </c>
      <c r="K2856" t="s">
        <v>26012</v>
      </c>
      <c r="L2856">
        <v>224</v>
      </c>
      <c r="M2856" t="s">
        <v>36572</v>
      </c>
      <c r="N2856">
        <v>1</v>
      </c>
      <c r="Q2856" t="s">
        <v>36573</v>
      </c>
      <c r="R2856">
        <v>150.1952</v>
      </c>
      <c r="S2856" t="s">
        <v>36574</v>
      </c>
      <c r="T2856" t="s">
        <v>30</v>
      </c>
      <c r="U2856" t="s">
        <v>46</v>
      </c>
      <c r="W2856" t="s">
        <v>26009</v>
      </c>
    </row>
    <row r="2857" spans="1:23" x14ac:dyDescent="0.35">
      <c r="A2857">
        <v>689868</v>
      </c>
      <c r="B2857" t="s">
        <v>36575</v>
      </c>
      <c r="C2857" t="str">
        <f>"9781855757967"</f>
        <v>9781855757967</v>
      </c>
      <c r="D2857" t="str">
        <f>"9780429911217"</f>
        <v>9780429911217</v>
      </c>
      <c r="E2857" t="s">
        <v>26010</v>
      </c>
      <c r="F2857" t="s">
        <v>35</v>
      </c>
      <c r="G2857" t="s">
        <v>22174</v>
      </c>
      <c r="H2857" t="s">
        <v>26011</v>
      </c>
      <c r="I2857" s="26">
        <v>40543</v>
      </c>
      <c r="J2857">
        <v>2010</v>
      </c>
      <c r="K2857" t="s">
        <v>26012</v>
      </c>
      <c r="L2857">
        <v>263</v>
      </c>
      <c r="M2857" t="s">
        <v>36576</v>
      </c>
      <c r="N2857">
        <v>1</v>
      </c>
      <c r="O2857" t="s">
        <v>36577</v>
      </c>
      <c r="Q2857" t="s">
        <v>36578</v>
      </c>
      <c r="R2857">
        <v>616.85209999999995</v>
      </c>
      <c r="S2857" t="s">
        <v>36579</v>
      </c>
      <c r="T2857" t="s">
        <v>30</v>
      </c>
      <c r="U2857" t="s">
        <v>26019</v>
      </c>
      <c r="W2857" t="s">
        <v>26009</v>
      </c>
    </row>
    <row r="2858" spans="1:23" x14ac:dyDescent="0.35">
      <c r="A2858">
        <v>689869</v>
      </c>
      <c r="B2858" t="s">
        <v>36580</v>
      </c>
      <c r="C2858" t="str">
        <f>"9781855757172"</f>
        <v>9781855757172</v>
      </c>
      <c r="D2858" t="str">
        <f>"9781849405775"</f>
        <v>9781849405775</v>
      </c>
      <c r="E2858" t="s">
        <v>26010</v>
      </c>
      <c r="F2858" t="s">
        <v>35</v>
      </c>
      <c r="G2858" t="s">
        <v>26128</v>
      </c>
      <c r="H2858" t="s">
        <v>26011</v>
      </c>
      <c r="I2858" s="26">
        <v>40515</v>
      </c>
      <c r="J2858">
        <v>2010</v>
      </c>
      <c r="K2858" t="s">
        <v>26012</v>
      </c>
      <c r="L2858">
        <v>310</v>
      </c>
      <c r="M2858" t="s">
        <v>36581</v>
      </c>
      <c r="N2858">
        <v>1</v>
      </c>
      <c r="R2858">
        <v>616.89139999999998</v>
      </c>
      <c r="S2858" t="s">
        <v>36582</v>
      </c>
      <c r="T2858" t="s">
        <v>30</v>
      </c>
      <c r="U2858" t="s">
        <v>26040</v>
      </c>
      <c r="W2858" t="s">
        <v>26009</v>
      </c>
    </row>
    <row r="2859" spans="1:23" x14ac:dyDescent="0.35">
      <c r="A2859">
        <v>689870</v>
      </c>
      <c r="B2859" t="s">
        <v>36583</v>
      </c>
      <c r="C2859" t="str">
        <f>"9781855757455"</f>
        <v>9781855757455</v>
      </c>
      <c r="D2859" t="str">
        <f>"9781849407632"</f>
        <v>9781849407632</v>
      </c>
      <c r="E2859" t="s">
        <v>26010</v>
      </c>
      <c r="F2859" t="s">
        <v>35</v>
      </c>
      <c r="G2859" t="s">
        <v>22174</v>
      </c>
      <c r="H2859" t="s">
        <v>26011</v>
      </c>
      <c r="I2859" s="26">
        <v>40543</v>
      </c>
      <c r="J2859">
        <v>2010</v>
      </c>
      <c r="K2859" t="s">
        <v>26012</v>
      </c>
      <c r="L2859">
        <v>311</v>
      </c>
      <c r="M2859" t="s">
        <v>36584</v>
      </c>
      <c r="N2859">
        <v>1</v>
      </c>
      <c r="O2859" t="s">
        <v>36547</v>
      </c>
      <c r="Q2859" t="s">
        <v>36585</v>
      </c>
      <c r="R2859">
        <v>618.92849999999999</v>
      </c>
      <c r="S2859" t="s">
        <v>36586</v>
      </c>
      <c r="T2859" t="s">
        <v>30</v>
      </c>
      <c r="U2859" t="s">
        <v>26019</v>
      </c>
      <c r="W2859" t="s">
        <v>26009</v>
      </c>
    </row>
    <row r="2860" spans="1:23" x14ac:dyDescent="0.35">
      <c r="A2860">
        <v>689872</v>
      </c>
      <c r="B2860" t="s">
        <v>7708</v>
      </c>
      <c r="C2860" t="str">
        <f>"9781855757769"</f>
        <v>9781855757769</v>
      </c>
      <c r="D2860" t="str">
        <f>"9781849407700"</f>
        <v>9781849407700</v>
      </c>
      <c r="E2860" t="s">
        <v>26010</v>
      </c>
      <c r="F2860" t="s">
        <v>35</v>
      </c>
      <c r="G2860" t="s">
        <v>22174</v>
      </c>
      <c r="H2860" t="s">
        <v>26011</v>
      </c>
      <c r="I2860" s="26">
        <v>40389</v>
      </c>
      <c r="J2860">
        <v>2010</v>
      </c>
      <c r="K2860" t="s">
        <v>26012</v>
      </c>
      <c r="L2860">
        <v>317</v>
      </c>
      <c r="M2860" t="s">
        <v>36587</v>
      </c>
      <c r="N2860">
        <v>1</v>
      </c>
      <c r="Q2860" t="s">
        <v>36588</v>
      </c>
      <c r="R2860">
        <v>158.69999999999999</v>
      </c>
      <c r="S2860" t="s">
        <v>36589</v>
      </c>
      <c r="T2860" t="s">
        <v>30</v>
      </c>
      <c r="U2860" t="s">
        <v>26116</v>
      </c>
      <c r="W2860" t="s">
        <v>26009</v>
      </c>
    </row>
    <row r="2861" spans="1:23" x14ac:dyDescent="0.35">
      <c r="A2861">
        <v>689873</v>
      </c>
      <c r="B2861" t="s">
        <v>36590</v>
      </c>
      <c r="C2861" t="str">
        <f>"9781855757530"</f>
        <v>9781855757530</v>
      </c>
      <c r="D2861" t="str">
        <f>"9781849407892"</f>
        <v>9781849407892</v>
      </c>
      <c r="E2861" t="s">
        <v>26010</v>
      </c>
      <c r="F2861" t="s">
        <v>35</v>
      </c>
      <c r="G2861" t="s">
        <v>22174</v>
      </c>
      <c r="H2861" t="s">
        <v>26011</v>
      </c>
      <c r="I2861" s="26">
        <v>40421</v>
      </c>
      <c r="J2861">
        <v>2010</v>
      </c>
      <c r="K2861" t="s">
        <v>26012</v>
      </c>
      <c r="L2861">
        <v>271</v>
      </c>
      <c r="M2861" t="s">
        <v>35164</v>
      </c>
      <c r="N2861">
        <v>1</v>
      </c>
      <c r="Q2861" t="s">
        <v>36591</v>
      </c>
      <c r="R2861">
        <v>616.89170000000001</v>
      </c>
      <c r="S2861" t="s">
        <v>36592</v>
      </c>
      <c r="T2861" t="s">
        <v>30</v>
      </c>
      <c r="U2861" t="s">
        <v>26019</v>
      </c>
      <c r="W2861" t="s">
        <v>26009</v>
      </c>
    </row>
    <row r="2862" spans="1:23" x14ac:dyDescent="0.35">
      <c r="A2862">
        <v>689874</v>
      </c>
      <c r="B2862" t="s">
        <v>36593</v>
      </c>
      <c r="C2862" t="str">
        <f>"9781855757202"</f>
        <v>9781855757202</v>
      </c>
      <c r="D2862" t="str">
        <f>"9781849407908"</f>
        <v>9781849407908</v>
      </c>
      <c r="E2862" t="s">
        <v>26010</v>
      </c>
      <c r="F2862" t="s">
        <v>35</v>
      </c>
      <c r="G2862" t="s">
        <v>22174</v>
      </c>
      <c r="H2862" t="s">
        <v>26011</v>
      </c>
      <c r="I2862" s="26">
        <v>40443</v>
      </c>
      <c r="J2862">
        <v>2010</v>
      </c>
      <c r="K2862" t="s">
        <v>26012</v>
      </c>
      <c r="L2862">
        <v>267</v>
      </c>
      <c r="M2862" t="s">
        <v>35164</v>
      </c>
      <c r="N2862">
        <v>1</v>
      </c>
      <c r="Q2862" t="s">
        <v>36594</v>
      </c>
      <c r="R2862" t="s">
        <v>27122</v>
      </c>
      <c r="S2862" t="s">
        <v>36595</v>
      </c>
      <c r="T2862" t="s">
        <v>30</v>
      </c>
      <c r="U2862" t="s">
        <v>26116</v>
      </c>
      <c r="W2862" t="s">
        <v>26009</v>
      </c>
    </row>
    <row r="2863" spans="1:23" x14ac:dyDescent="0.35">
      <c r="A2863">
        <v>689875</v>
      </c>
      <c r="B2863" t="s">
        <v>7930</v>
      </c>
      <c r="C2863" t="str">
        <f>"9781855758605"</f>
        <v>9781855758605</v>
      </c>
      <c r="D2863" t="str">
        <f>"9781849407984"</f>
        <v>9781849407984</v>
      </c>
      <c r="E2863" t="s">
        <v>26010</v>
      </c>
      <c r="F2863" t="s">
        <v>35</v>
      </c>
      <c r="G2863" t="s">
        <v>22174</v>
      </c>
      <c r="H2863" t="s">
        <v>26011</v>
      </c>
      <c r="I2863" s="26">
        <v>40056</v>
      </c>
      <c r="J2863">
        <v>2009</v>
      </c>
      <c r="K2863" t="s">
        <v>26012</v>
      </c>
      <c r="L2863">
        <v>1264</v>
      </c>
      <c r="M2863" t="s">
        <v>35717</v>
      </c>
      <c r="N2863">
        <v>1</v>
      </c>
      <c r="Q2863" t="s">
        <v>36596</v>
      </c>
      <c r="R2863">
        <v>150.19499999999999</v>
      </c>
      <c r="S2863" t="s">
        <v>7931</v>
      </c>
      <c r="T2863" t="s">
        <v>30</v>
      </c>
      <c r="U2863" t="s">
        <v>46</v>
      </c>
      <c r="W2863" t="s">
        <v>26009</v>
      </c>
    </row>
    <row r="2864" spans="1:23" x14ac:dyDescent="0.35">
      <c r="A2864">
        <v>689876</v>
      </c>
      <c r="B2864" t="s">
        <v>36597</v>
      </c>
      <c r="C2864" t="str">
        <f>"9781855756182"</f>
        <v>9781855756182</v>
      </c>
      <c r="D2864" t="str">
        <f>"9781849408103"</f>
        <v>9781849408103</v>
      </c>
      <c r="E2864" t="s">
        <v>26010</v>
      </c>
      <c r="F2864" t="s">
        <v>35</v>
      </c>
      <c r="G2864" t="s">
        <v>22174</v>
      </c>
      <c r="H2864" t="s">
        <v>26011</v>
      </c>
      <c r="I2864" s="26">
        <v>39948</v>
      </c>
      <c r="J2864">
        <v>2009</v>
      </c>
      <c r="K2864" t="s">
        <v>26012</v>
      </c>
      <c r="L2864">
        <v>287</v>
      </c>
      <c r="M2864" t="s">
        <v>36598</v>
      </c>
      <c r="N2864">
        <v>1</v>
      </c>
      <c r="O2864" t="s">
        <v>36515</v>
      </c>
      <c r="Q2864" t="s">
        <v>36599</v>
      </c>
      <c r="R2864">
        <v>302</v>
      </c>
      <c r="S2864" t="s">
        <v>36600</v>
      </c>
      <c r="T2864" t="s">
        <v>30</v>
      </c>
      <c r="U2864" t="s">
        <v>26044</v>
      </c>
      <c r="W2864" t="s">
        <v>26009</v>
      </c>
    </row>
    <row r="2865" spans="1:23" x14ac:dyDescent="0.35">
      <c r="A2865">
        <v>689877</v>
      </c>
      <c r="B2865" t="s">
        <v>36601</v>
      </c>
      <c r="C2865" t="str">
        <f>"9781855755581"</f>
        <v>9781855755581</v>
      </c>
      <c r="D2865" t="str">
        <f>"9781849408110"</f>
        <v>9781849408110</v>
      </c>
      <c r="E2865" t="s">
        <v>26010</v>
      </c>
      <c r="F2865" t="s">
        <v>35</v>
      </c>
      <c r="G2865" t="s">
        <v>26128</v>
      </c>
      <c r="H2865" t="s">
        <v>26011</v>
      </c>
      <c r="I2865" s="26">
        <v>40178</v>
      </c>
      <c r="J2865">
        <v>2009</v>
      </c>
      <c r="K2865" t="s">
        <v>26012</v>
      </c>
      <c r="L2865">
        <v>437</v>
      </c>
      <c r="M2865" t="s">
        <v>36602</v>
      </c>
      <c r="N2865">
        <v>1</v>
      </c>
      <c r="O2865" t="s">
        <v>36603</v>
      </c>
      <c r="R2865">
        <v>155.34</v>
      </c>
      <c r="S2865" t="s">
        <v>26636</v>
      </c>
      <c r="T2865" t="s">
        <v>30</v>
      </c>
      <c r="U2865" t="s">
        <v>46</v>
      </c>
      <c r="W2865" t="s">
        <v>26009</v>
      </c>
    </row>
    <row r="2866" spans="1:23" x14ac:dyDescent="0.35">
      <c r="A2866">
        <v>689878</v>
      </c>
      <c r="B2866" t="s">
        <v>36604</v>
      </c>
      <c r="C2866" t="str">
        <f>"9781855757868"</f>
        <v>9781855757868</v>
      </c>
      <c r="D2866" t="str">
        <f>"9781849408363"</f>
        <v>9781849408363</v>
      </c>
      <c r="E2866" t="s">
        <v>26010</v>
      </c>
      <c r="F2866" t="s">
        <v>35</v>
      </c>
      <c r="G2866" t="s">
        <v>22174</v>
      </c>
      <c r="H2866" t="s">
        <v>26011</v>
      </c>
      <c r="I2866" s="26">
        <v>40002</v>
      </c>
      <c r="J2866">
        <v>2009</v>
      </c>
      <c r="K2866" t="s">
        <v>26012</v>
      </c>
      <c r="L2866">
        <v>401</v>
      </c>
      <c r="M2866" t="s">
        <v>36605</v>
      </c>
      <c r="N2866">
        <v>1</v>
      </c>
      <c r="Q2866" t="s">
        <v>36606</v>
      </c>
      <c r="R2866">
        <v>616.89</v>
      </c>
      <c r="S2866" t="s">
        <v>36607</v>
      </c>
      <c r="T2866" t="s">
        <v>30</v>
      </c>
      <c r="U2866" t="s">
        <v>26116</v>
      </c>
      <c r="W2866" t="s">
        <v>26009</v>
      </c>
    </row>
    <row r="2867" spans="1:23" x14ac:dyDescent="0.35">
      <c r="A2867">
        <v>689879</v>
      </c>
      <c r="B2867" t="s">
        <v>36608</v>
      </c>
      <c r="C2867" t="str">
        <f>"9781855757608"</f>
        <v>9781855757608</v>
      </c>
      <c r="D2867" t="str">
        <f>"9781849408370"</f>
        <v>9781849408370</v>
      </c>
      <c r="E2867" t="s">
        <v>26010</v>
      </c>
      <c r="F2867" t="s">
        <v>35</v>
      </c>
      <c r="G2867" t="s">
        <v>26128</v>
      </c>
      <c r="H2867" t="s">
        <v>26011</v>
      </c>
      <c r="I2867" s="26">
        <v>40002</v>
      </c>
      <c r="J2867">
        <v>2009</v>
      </c>
      <c r="K2867" t="s">
        <v>26012</v>
      </c>
      <c r="L2867">
        <v>471</v>
      </c>
      <c r="M2867" t="s">
        <v>36605</v>
      </c>
      <c r="N2867">
        <v>1</v>
      </c>
      <c r="S2867" t="s">
        <v>7661</v>
      </c>
      <c r="T2867" t="s">
        <v>30</v>
      </c>
      <c r="U2867" t="s">
        <v>46</v>
      </c>
      <c r="W2867" t="s">
        <v>26009</v>
      </c>
    </row>
    <row r="2868" spans="1:23" x14ac:dyDescent="0.35">
      <c r="A2868">
        <v>689880</v>
      </c>
      <c r="B2868" t="s">
        <v>36609</v>
      </c>
      <c r="C2868" t="str">
        <f>"9781855755253"</f>
        <v>9781855755253</v>
      </c>
      <c r="D2868" t="str">
        <f>"9781849406895"</f>
        <v>9781849406895</v>
      </c>
      <c r="E2868" t="s">
        <v>26010</v>
      </c>
      <c r="F2868" t="s">
        <v>35</v>
      </c>
      <c r="G2868" t="s">
        <v>22174</v>
      </c>
      <c r="H2868" t="s">
        <v>26011</v>
      </c>
      <c r="I2868" s="26">
        <v>40178</v>
      </c>
      <c r="J2868">
        <v>2009</v>
      </c>
      <c r="K2868" t="s">
        <v>26012</v>
      </c>
      <c r="L2868">
        <v>205</v>
      </c>
      <c r="M2868" t="s">
        <v>36610</v>
      </c>
      <c r="N2868">
        <v>1</v>
      </c>
      <c r="O2868" t="s">
        <v>36510</v>
      </c>
      <c r="Q2868" t="s">
        <v>36611</v>
      </c>
      <c r="R2868">
        <v>616.89143000000001</v>
      </c>
      <c r="S2868" t="s">
        <v>36612</v>
      </c>
      <c r="T2868" t="s">
        <v>30</v>
      </c>
      <c r="U2868" t="s">
        <v>28504</v>
      </c>
      <c r="W2868" t="s">
        <v>26009</v>
      </c>
    </row>
    <row r="2869" spans="1:23" x14ac:dyDescent="0.35">
      <c r="A2869">
        <v>689881</v>
      </c>
      <c r="B2869" t="s">
        <v>36613</v>
      </c>
      <c r="C2869" t="str">
        <f>"9781855755888"</f>
        <v>9781855755888</v>
      </c>
      <c r="D2869" t="str">
        <f>"9781849406307"</f>
        <v>9781849406307</v>
      </c>
      <c r="E2869" t="s">
        <v>26010</v>
      </c>
      <c r="F2869" t="s">
        <v>35</v>
      </c>
      <c r="G2869" t="s">
        <v>22174</v>
      </c>
      <c r="H2869" t="s">
        <v>26011</v>
      </c>
      <c r="I2869" s="26">
        <v>39689</v>
      </c>
      <c r="J2869">
        <v>2008</v>
      </c>
      <c r="K2869" t="s">
        <v>26012</v>
      </c>
      <c r="L2869">
        <v>554</v>
      </c>
      <c r="M2869" t="s">
        <v>36614</v>
      </c>
      <c r="N2869">
        <v>1</v>
      </c>
      <c r="Q2869" t="s">
        <v>36615</v>
      </c>
      <c r="R2869">
        <v>152.4</v>
      </c>
      <c r="S2869" t="s">
        <v>36616</v>
      </c>
      <c r="T2869" t="s">
        <v>30</v>
      </c>
      <c r="U2869" t="s">
        <v>46</v>
      </c>
      <c r="W2869" t="s">
        <v>26009</v>
      </c>
    </row>
    <row r="2870" spans="1:23" x14ac:dyDescent="0.35">
      <c r="A2870">
        <v>689882</v>
      </c>
      <c r="B2870" t="s">
        <v>7531</v>
      </c>
      <c r="C2870" t="str">
        <f>"9781855753839"</f>
        <v>9781855753839</v>
      </c>
      <c r="D2870" t="str">
        <f>"9781849406413"</f>
        <v>9781849406413</v>
      </c>
      <c r="E2870" t="s">
        <v>26010</v>
      </c>
      <c r="F2870" t="s">
        <v>35</v>
      </c>
      <c r="G2870" t="s">
        <v>22174</v>
      </c>
      <c r="H2870" t="s">
        <v>26011</v>
      </c>
      <c r="I2870" s="26">
        <v>39478</v>
      </c>
      <c r="J2870">
        <v>2008</v>
      </c>
      <c r="K2870" t="s">
        <v>26012</v>
      </c>
      <c r="L2870">
        <v>160</v>
      </c>
      <c r="M2870" t="s">
        <v>36617</v>
      </c>
      <c r="N2870">
        <v>1</v>
      </c>
      <c r="O2870" t="s">
        <v>36500</v>
      </c>
      <c r="Q2870" t="s">
        <v>36618</v>
      </c>
      <c r="R2870">
        <v>616.85262</v>
      </c>
      <c r="S2870" t="s">
        <v>36619</v>
      </c>
      <c r="T2870" t="s">
        <v>30</v>
      </c>
      <c r="U2870" t="s">
        <v>26116</v>
      </c>
      <c r="W2870" t="s">
        <v>26009</v>
      </c>
    </row>
    <row r="2871" spans="1:23" x14ac:dyDescent="0.35">
      <c r="A2871">
        <v>689883</v>
      </c>
      <c r="B2871" t="s">
        <v>7762</v>
      </c>
      <c r="C2871" t="str">
        <f>"9781855754683"</f>
        <v>9781855754683</v>
      </c>
      <c r="D2871" t="str">
        <f>"9781849406420"</f>
        <v>9781849406420</v>
      </c>
      <c r="E2871" t="s">
        <v>26010</v>
      </c>
      <c r="F2871" t="s">
        <v>35</v>
      </c>
      <c r="G2871" t="s">
        <v>22174</v>
      </c>
      <c r="H2871" t="s">
        <v>26011</v>
      </c>
      <c r="I2871" s="26">
        <v>39463</v>
      </c>
      <c r="J2871">
        <v>2008</v>
      </c>
      <c r="K2871" t="s">
        <v>26012</v>
      </c>
      <c r="L2871">
        <v>317</v>
      </c>
      <c r="M2871" t="s">
        <v>36620</v>
      </c>
      <c r="N2871">
        <v>1</v>
      </c>
      <c r="Q2871" t="s">
        <v>36621</v>
      </c>
      <c r="R2871" t="s">
        <v>36622</v>
      </c>
      <c r="S2871" t="s">
        <v>36623</v>
      </c>
      <c r="T2871" t="s">
        <v>30</v>
      </c>
      <c r="U2871" t="s">
        <v>46</v>
      </c>
      <c r="W2871" t="s">
        <v>26009</v>
      </c>
    </row>
    <row r="2872" spans="1:23" x14ac:dyDescent="0.35">
      <c r="A2872">
        <v>689884</v>
      </c>
      <c r="B2872" t="s">
        <v>36624</v>
      </c>
      <c r="C2872" t="str">
        <f>"9781855755383"</f>
        <v>9781855755383</v>
      </c>
      <c r="D2872" t="str">
        <f>"9781849406437"</f>
        <v>9781849406437</v>
      </c>
      <c r="E2872" t="s">
        <v>26010</v>
      </c>
      <c r="F2872" t="s">
        <v>35</v>
      </c>
      <c r="G2872" t="s">
        <v>22174</v>
      </c>
      <c r="H2872" t="s">
        <v>26011</v>
      </c>
      <c r="I2872" s="26">
        <v>39797</v>
      </c>
      <c r="J2872">
        <v>2008</v>
      </c>
      <c r="K2872" t="s">
        <v>26012</v>
      </c>
      <c r="L2872">
        <v>252</v>
      </c>
      <c r="M2872" t="s">
        <v>36625</v>
      </c>
      <c r="N2872">
        <v>1</v>
      </c>
      <c r="Q2872" t="s">
        <v>36626</v>
      </c>
      <c r="R2872">
        <v>362.1</v>
      </c>
      <c r="S2872" t="s">
        <v>36627</v>
      </c>
      <c r="T2872" t="s">
        <v>30</v>
      </c>
      <c r="U2872" t="s">
        <v>29740</v>
      </c>
      <c r="W2872" t="s">
        <v>26009</v>
      </c>
    </row>
    <row r="2873" spans="1:23" x14ac:dyDescent="0.35">
      <c r="A2873">
        <v>689885</v>
      </c>
      <c r="B2873" t="s">
        <v>36628</v>
      </c>
      <c r="C2873" t="str">
        <f>"9781855755352"</f>
        <v>9781855755352</v>
      </c>
      <c r="D2873" t="str">
        <f>"9781849406581"</f>
        <v>9781849406581</v>
      </c>
      <c r="E2873" t="s">
        <v>26010</v>
      </c>
      <c r="F2873" t="s">
        <v>35</v>
      </c>
      <c r="G2873" t="s">
        <v>22174</v>
      </c>
      <c r="H2873" t="s">
        <v>26011</v>
      </c>
      <c r="I2873" s="26">
        <v>39491</v>
      </c>
      <c r="J2873">
        <v>2008</v>
      </c>
      <c r="K2873" t="s">
        <v>26012</v>
      </c>
      <c r="L2873">
        <v>166</v>
      </c>
      <c r="M2873" t="s">
        <v>36629</v>
      </c>
      <c r="N2873">
        <v>1</v>
      </c>
      <c r="Q2873" t="s">
        <v>36630</v>
      </c>
      <c r="R2873">
        <v>616.89152000000001</v>
      </c>
      <c r="S2873" t="s">
        <v>36631</v>
      </c>
      <c r="T2873" t="s">
        <v>30</v>
      </c>
      <c r="U2873" t="s">
        <v>26019</v>
      </c>
      <c r="W2873" t="s">
        <v>26009</v>
      </c>
    </row>
    <row r="2874" spans="1:23" x14ac:dyDescent="0.35">
      <c r="A2874">
        <v>689886</v>
      </c>
      <c r="B2874" t="s">
        <v>8306</v>
      </c>
      <c r="C2874" t="str">
        <f>"9781855757356"</f>
        <v>9781855757356</v>
      </c>
      <c r="D2874" t="str">
        <f>"9781849406598"</f>
        <v>9781849406598</v>
      </c>
      <c r="E2874" t="s">
        <v>26010</v>
      </c>
      <c r="F2874" t="s">
        <v>35</v>
      </c>
      <c r="G2874" t="s">
        <v>22174</v>
      </c>
      <c r="H2874" t="s">
        <v>26011</v>
      </c>
      <c r="I2874" s="26">
        <v>39539</v>
      </c>
      <c r="J2874">
        <v>2008</v>
      </c>
      <c r="K2874" t="s">
        <v>26012</v>
      </c>
      <c r="L2874">
        <v>273</v>
      </c>
      <c r="M2874" t="s">
        <v>36632</v>
      </c>
      <c r="N2874">
        <v>1</v>
      </c>
      <c r="O2874" t="s">
        <v>36633</v>
      </c>
      <c r="Q2874" t="s">
        <v>36634</v>
      </c>
      <c r="R2874">
        <v>152.47999999999999</v>
      </c>
      <c r="S2874" t="s">
        <v>36635</v>
      </c>
      <c r="T2874" t="s">
        <v>30</v>
      </c>
      <c r="U2874" t="s">
        <v>46</v>
      </c>
      <c r="W2874" t="s">
        <v>26009</v>
      </c>
    </row>
    <row r="2875" spans="1:23" x14ac:dyDescent="0.35">
      <c r="A2875">
        <v>689887</v>
      </c>
      <c r="B2875" t="s">
        <v>36636</v>
      </c>
      <c r="C2875" t="str">
        <f>"9781855754485"</f>
        <v>9781855754485</v>
      </c>
      <c r="D2875" t="str">
        <f>"9781849405737"</f>
        <v>9781849405737</v>
      </c>
      <c r="E2875" t="s">
        <v>26010</v>
      </c>
      <c r="F2875" t="s">
        <v>35</v>
      </c>
      <c r="G2875" t="s">
        <v>22174</v>
      </c>
      <c r="H2875" t="s">
        <v>26011</v>
      </c>
      <c r="I2875" s="26">
        <v>39276</v>
      </c>
      <c r="J2875">
        <v>2007</v>
      </c>
      <c r="K2875" t="s">
        <v>26012</v>
      </c>
      <c r="L2875">
        <v>651</v>
      </c>
      <c r="M2875" t="s">
        <v>36637</v>
      </c>
      <c r="N2875">
        <v>1</v>
      </c>
      <c r="Q2875" t="s">
        <v>36638</v>
      </c>
      <c r="R2875">
        <v>150.19499999999999</v>
      </c>
      <c r="S2875" t="s">
        <v>36639</v>
      </c>
      <c r="T2875" t="s">
        <v>30</v>
      </c>
      <c r="U2875" t="s">
        <v>26019</v>
      </c>
      <c r="W2875" t="s">
        <v>26009</v>
      </c>
    </row>
    <row r="2876" spans="1:23" x14ac:dyDescent="0.35">
      <c r="A2876">
        <v>689888</v>
      </c>
      <c r="B2876" t="s">
        <v>7641</v>
      </c>
      <c r="C2876" t="str">
        <f>"9781855755406"</f>
        <v>9781855755406</v>
      </c>
      <c r="D2876" t="str">
        <f>"9781849406017"</f>
        <v>9781849406017</v>
      </c>
      <c r="E2876" t="s">
        <v>26010</v>
      </c>
      <c r="F2876" t="s">
        <v>35</v>
      </c>
      <c r="G2876" t="s">
        <v>22174</v>
      </c>
      <c r="H2876" t="s">
        <v>26011</v>
      </c>
      <c r="I2876" s="26">
        <v>39276</v>
      </c>
      <c r="J2876">
        <v>2007</v>
      </c>
      <c r="K2876" t="s">
        <v>26012</v>
      </c>
      <c r="L2876">
        <v>383</v>
      </c>
      <c r="M2876" t="s">
        <v>36640</v>
      </c>
      <c r="N2876">
        <v>1</v>
      </c>
      <c r="Q2876" t="s">
        <v>36641</v>
      </c>
      <c r="R2876">
        <v>616.89170000000001</v>
      </c>
      <c r="S2876" t="s">
        <v>36642</v>
      </c>
      <c r="T2876" t="s">
        <v>30</v>
      </c>
      <c r="U2876" t="s">
        <v>26116</v>
      </c>
      <c r="W2876" t="s">
        <v>26009</v>
      </c>
    </row>
    <row r="2877" spans="1:23" x14ac:dyDescent="0.35">
      <c r="A2877">
        <v>689890</v>
      </c>
      <c r="B2877" t="s">
        <v>36643</v>
      </c>
      <c r="C2877" t="str">
        <f>"9781855753853"</f>
        <v>9781855753853</v>
      </c>
      <c r="D2877" t="str">
        <f>"9781849404228"</f>
        <v>9781849404228</v>
      </c>
      <c r="E2877" t="s">
        <v>26010</v>
      </c>
      <c r="F2877" t="s">
        <v>35</v>
      </c>
      <c r="G2877" t="s">
        <v>26128</v>
      </c>
      <c r="H2877" t="s">
        <v>26011</v>
      </c>
      <c r="I2877" s="26">
        <v>38352</v>
      </c>
      <c r="J2877">
        <v>2004</v>
      </c>
      <c r="K2877" t="s">
        <v>26012</v>
      </c>
      <c r="L2877">
        <v>54</v>
      </c>
      <c r="M2877" t="s">
        <v>36644</v>
      </c>
      <c r="N2877">
        <v>1</v>
      </c>
      <c r="O2877" t="s">
        <v>36645</v>
      </c>
      <c r="R2877">
        <v>155.41800000000001</v>
      </c>
      <c r="S2877" t="s">
        <v>7648</v>
      </c>
      <c r="T2877" t="s">
        <v>30</v>
      </c>
      <c r="U2877" t="s">
        <v>46</v>
      </c>
      <c r="W2877" t="s">
        <v>26009</v>
      </c>
    </row>
    <row r="2878" spans="1:23" x14ac:dyDescent="0.35">
      <c r="A2878">
        <v>689891</v>
      </c>
      <c r="B2878" t="s">
        <v>36646</v>
      </c>
      <c r="C2878" t="str">
        <f>"9781855753020"</f>
        <v>9781855753020</v>
      </c>
      <c r="D2878" t="str">
        <f>"9781849404273"</f>
        <v>9781849404273</v>
      </c>
      <c r="E2878" t="s">
        <v>26010</v>
      </c>
      <c r="F2878" t="s">
        <v>35</v>
      </c>
      <c r="G2878" t="s">
        <v>22174</v>
      </c>
      <c r="H2878" t="s">
        <v>26011</v>
      </c>
      <c r="I2878" s="26">
        <v>38100</v>
      </c>
      <c r="J2878">
        <v>2004</v>
      </c>
      <c r="K2878" t="s">
        <v>26012</v>
      </c>
      <c r="L2878">
        <v>272</v>
      </c>
      <c r="M2878" t="s">
        <v>36647</v>
      </c>
      <c r="N2878">
        <v>1</v>
      </c>
      <c r="Q2878" t="s">
        <v>36648</v>
      </c>
      <c r="R2878">
        <v>616.89139999999998</v>
      </c>
      <c r="S2878" t="s">
        <v>36649</v>
      </c>
      <c r="T2878" t="s">
        <v>30</v>
      </c>
      <c r="U2878" t="s">
        <v>26116</v>
      </c>
      <c r="W2878" t="s">
        <v>26009</v>
      </c>
    </row>
    <row r="2879" spans="1:23" x14ac:dyDescent="0.35">
      <c r="A2879">
        <v>689892</v>
      </c>
      <c r="B2879" t="s">
        <v>36650</v>
      </c>
      <c r="C2879" t="str">
        <f>"9781855759961"</f>
        <v>9781855759961</v>
      </c>
      <c r="D2879" t="str">
        <f>"9781849403870"</f>
        <v>9781849403870</v>
      </c>
      <c r="E2879" t="s">
        <v>26010</v>
      </c>
      <c r="F2879" t="s">
        <v>35</v>
      </c>
      <c r="G2879" t="s">
        <v>22174</v>
      </c>
      <c r="H2879" t="s">
        <v>26011</v>
      </c>
      <c r="I2879" s="26">
        <v>37630</v>
      </c>
      <c r="J2879">
        <v>2003</v>
      </c>
      <c r="K2879" t="s">
        <v>26012</v>
      </c>
      <c r="L2879">
        <v>349</v>
      </c>
      <c r="M2879" t="s">
        <v>36651</v>
      </c>
      <c r="N2879">
        <v>1</v>
      </c>
      <c r="Q2879" t="s">
        <v>36652</v>
      </c>
      <c r="R2879" t="s">
        <v>36653</v>
      </c>
      <c r="S2879" t="s">
        <v>8213</v>
      </c>
      <c r="T2879" t="s">
        <v>30</v>
      </c>
      <c r="U2879" t="s">
        <v>26116</v>
      </c>
      <c r="W2879" t="s">
        <v>26009</v>
      </c>
    </row>
    <row r="2880" spans="1:23" x14ac:dyDescent="0.35">
      <c r="A2880">
        <v>689893</v>
      </c>
      <c r="B2880" t="s">
        <v>36654</v>
      </c>
      <c r="C2880" t="str">
        <f>"9781855759770"</f>
        <v>9781855759770</v>
      </c>
      <c r="D2880" t="str">
        <f>"9781849403467"</f>
        <v>9781849403467</v>
      </c>
      <c r="E2880" t="s">
        <v>26010</v>
      </c>
      <c r="F2880" t="s">
        <v>35</v>
      </c>
      <c r="G2880" t="s">
        <v>22174</v>
      </c>
      <c r="H2880" t="s">
        <v>26011</v>
      </c>
      <c r="I2880" s="26">
        <v>37621</v>
      </c>
      <c r="J2880">
        <v>2002</v>
      </c>
      <c r="K2880" t="s">
        <v>26012</v>
      </c>
      <c r="L2880">
        <v>242</v>
      </c>
      <c r="M2880" t="s">
        <v>36655</v>
      </c>
      <c r="N2880">
        <v>2</v>
      </c>
      <c r="O2880" t="s">
        <v>36500</v>
      </c>
      <c r="Q2880" t="s">
        <v>36656</v>
      </c>
      <c r="R2880" t="s">
        <v>27184</v>
      </c>
      <c r="S2880" t="s">
        <v>7567</v>
      </c>
      <c r="T2880" t="s">
        <v>30</v>
      </c>
      <c r="U2880" t="s">
        <v>26019</v>
      </c>
      <c r="W2880" t="s">
        <v>26009</v>
      </c>
    </row>
    <row r="2881" spans="1:23" x14ac:dyDescent="0.35">
      <c r="A2881">
        <v>689894</v>
      </c>
      <c r="B2881" t="s">
        <v>9285</v>
      </c>
      <c r="C2881" t="str">
        <f>""</f>
        <v/>
      </c>
      <c r="D2881" t="str">
        <f>"9781849407090"</f>
        <v>9781849407090</v>
      </c>
      <c r="E2881" t="s">
        <v>26010</v>
      </c>
      <c r="F2881" t="s">
        <v>35</v>
      </c>
      <c r="G2881" t="s">
        <v>22174</v>
      </c>
      <c r="H2881" t="s">
        <v>26011</v>
      </c>
      <c r="I2881" s="26">
        <v>40908</v>
      </c>
      <c r="J2881">
        <v>2011</v>
      </c>
      <c r="K2881" t="s">
        <v>26012</v>
      </c>
      <c r="L2881">
        <v>416</v>
      </c>
      <c r="M2881" t="s">
        <v>36657</v>
      </c>
      <c r="N2881">
        <v>1</v>
      </c>
      <c r="O2881" t="s">
        <v>36658</v>
      </c>
      <c r="Q2881" t="s">
        <v>36659</v>
      </c>
      <c r="R2881">
        <v>150.1952</v>
      </c>
      <c r="S2881" t="s">
        <v>36660</v>
      </c>
      <c r="T2881" t="s">
        <v>30</v>
      </c>
      <c r="U2881" t="s">
        <v>46</v>
      </c>
      <c r="W2881" t="s">
        <v>26009</v>
      </c>
    </row>
    <row r="2882" spans="1:23" x14ac:dyDescent="0.35">
      <c r="A2882">
        <v>689895</v>
      </c>
      <c r="B2882" t="s">
        <v>8565</v>
      </c>
      <c r="C2882" t="str">
        <f>"9781855755529"</f>
        <v>9781855755529</v>
      </c>
      <c r="D2882" t="str">
        <f>"9781849406208"</f>
        <v>9781849406208</v>
      </c>
      <c r="E2882" t="s">
        <v>26010</v>
      </c>
      <c r="F2882" t="s">
        <v>35</v>
      </c>
      <c r="G2882" t="s">
        <v>22174</v>
      </c>
      <c r="H2882" t="s">
        <v>26011</v>
      </c>
      <c r="I2882" s="26">
        <v>40554</v>
      </c>
      <c r="J2882">
        <v>2011</v>
      </c>
      <c r="K2882" t="s">
        <v>26012</v>
      </c>
      <c r="L2882">
        <v>71</v>
      </c>
      <c r="M2882" t="s">
        <v>36661</v>
      </c>
      <c r="N2882">
        <v>1</v>
      </c>
      <c r="Q2882" t="s">
        <v>36662</v>
      </c>
      <c r="R2882">
        <v>616.89139999999998</v>
      </c>
      <c r="S2882" t="s">
        <v>36663</v>
      </c>
      <c r="T2882" t="s">
        <v>30</v>
      </c>
      <c r="U2882" t="s">
        <v>26019</v>
      </c>
      <c r="W2882" t="s">
        <v>26009</v>
      </c>
    </row>
    <row r="2883" spans="1:23" x14ac:dyDescent="0.35">
      <c r="A2883">
        <v>689897</v>
      </c>
      <c r="B2883" t="s">
        <v>36664</v>
      </c>
      <c r="C2883" t="str">
        <f>"9781855758018"</f>
        <v>9781855758018</v>
      </c>
      <c r="D2883" t="str">
        <f>"9781849407083"</f>
        <v>9781849407083</v>
      </c>
      <c r="E2883" t="s">
        <v>26010</v>
      </c>
      <c r="F2883" t="s">
        <v>35</v>
      </c>
      <c r="G2883" t="s">
        <v>26128</v>
      </c>
      <c r="H2883" t="s">
        <v>26011</v>
      </c>
      <c r="I2883" s="26">
        <v>40561</v>
      </c>
      <c r="J2883">
        <v>2011</v>
      </c>
      <c r="K2883" t="s">
        <v>26012</v>
      </c>
      <c r="L2883">
        <v>317</v>
      </c>
      <c r="M2883" t="s">
        <v>35717</v>
      </c>
      <c r="N2883">
        <v>1</v>
      </c>
      <c r="R2883">
        <v>150.19499999999999</v>
      </c>
      <c r="S2883" t="s">
        <v>36665</v>
      </c>
      <c r="T2883" t="s">
        <v>30</v>
      </c>
      <c r="U2883" t="s">
        <v>46</v>
      </c>
      <c r="W2883" t="s">
        <v>26009</v>
      </c>
    </row>
    <row r="2884" spans="1:23" x14ac:dyDescent="0.35">
      <c r="A2884">
        <v>689898</v>
      </c>
      <c r="B2884" t="s">
        <v>36666</v>
      </c>
      <c r="C2884" t="str">
        <f>"9781855758261"</f>
        <v>9781855758261</v>
      </c>
      <c r="D2884" t="str">
        <f>"9781849407663"</f>
        <v>9781849407663</v>
      </c>
      <c r="E2884" t="s">
        <v>26010</v>
      </c>
      <c r="F2884" t="s">
        <v>35</v>
      </c>
      <c r="G2884" t="s">
        <v>22174</v>
      </c>
      <c r="H2884" t="s">
        <v>26011</v>
      </c>
      <c r="I2884" s="26">
        <v>40451</v>
      </c>
      <c r="J2884">
        <v>2010</v>
      </c>
      <c r="K2884" t="s">
        <v>26012</v>
      </c>
      <c r="L2884">
        <v>238</v>
      </c>
      <c r="M2884" t="s">
        <v>36667</v>
      </c>
      <c r="N2884">
        <v>1</v>
      </c>
      <c r="O2884" t="s">
        <v>36510</v>
      </c>
      <c r="Q2884" t="s">
        <v>36668</v>
      </c>
      <c r="R2884">
        <v>616.8914092</v>
      </c>
      <c r="S2884" t="s">
        <v>36669</v>
      </c>
      <c r="T2884" t="s">
        <v>30</v>
      </c>
      <c r="U2884" t="s">
        <v>26116</v>
      </c>
      <c r="W2884" t="s">
        <v>26009</v>
      </c>
    </row>
    <row r="2885" spans="1:23" x14ac:dyDescent="0.35">
      <c r="A2885">
        <v>689899</v>
      </c>
      <c r="B2885" t="s">
        <v>36670</v>
      </c>
      <c r="C2885" t="str">
        <f>"9781855758759"</f>
        <v>9781855758759</v>
      </c>
      <c r="D2885" t="str">
        <f>"9781849408622"</f>
        <v>9781849408622</v>
      </c>
      <c r="E2885" t="s">
        <v>26010</v>
      </c>
      <c r="F2885" t="s">
        <v>35</v>
      </c>
      <c r="G2885" t="s">
        <v>22174</v>
      </c>
      <c r="H2885" t="s">
        <v>26011</v>
      </c>
      <c r="I2885" s="26">
        <v>40434</v>
      </c>
      <c r="J2885">
        <v>2010</v>
      </c>
      <c r="K2885" t="s">
        <v>26012</v>
      </c>
      <c r="L2885">
        <v>154</v>
      </c>
      <c r="M2885" t="s">
        <v>36671</v>
      </c>
      <c r="N2885">
        <v>1</v>
      </c>
      <c r="Q2885" t="s">
        <v>36672</v>
      </c>
      <c r="R2885">
        <v>616.89</v>
      </c>
      <c r="S2885" t="s">
        <v>36673</v>
      </c>
      <c r="T2885" t="s">
        <v>30</v>
      </c>
      <c r="U2885" t="s">
        <v>26019</v>
      </c>
      <c r="W2885" t="s">
        <v>26009</v>
      </c>
    </row>
    <row r="2886" spans="1:23" x14ac:dyDescent="0.35">
      <c r="A2886">
        <v>689900</v>
      </c>
      <c r="B2886" t="s">
        <v>36674</v>
      </c>
      <c r="C2886" t="str">
        <f>"9781855758285"</f>
        <v>9781855758285</v>
      </c>
      <c r="D2886" t="str">
        <f>"9781849408653"</f>
        <v>9781849408653</v>
      </c>
      <c r="E2886" t="s">
        <v>26010</v>
      </c>
      <c r="F2886" t="s">
        <v>35</v>
      </c>
      <c r="G2886" t="s">
        <v>22174</v>
      </c>
      <c r="H2886" t="s">
        <v>26011</v>
      </c>
      <c r="I2886" s="26">
        <v>40512</v>
      </c>
      <c r="J2886">
        <v>2011</v>
      </c>
      <c r="K2886" t="s">
        <v>26012</v>
      </c>
      <c r="L2886">
        <v>245</v>
      </c>
      <c r="M2886" t="s">
        <v>36675</v>
      </c>
      <c r="N2886">
        <v>1</v>
      </c>
      <c r="Q2886" t="s">
        <v>36676</v>
      </c>
      <c r="R2886">
        <v>616.89139999999998</v>
      </c>
      <c r="S2886" t="s">
        <v>36677</v>
      </c>
      <c r="T2886" t="s">
        <v>30</v>
      </c>
      <c r="U2886" t="s">
        <v>26019</v>
      </c>
      <c r="W2886" t="s">
        <v>26009</v>
      </c>
    </row>
    <row r="2887" spans="1:23" x14ac:dyDescent="0.35">
      <c r="A2887">
        <v>689901</v>
      </c>
      <c r="B2887" t="s">
        <v>55</v>
      </c>
      <c r="C2887" t="str">
        <f>"9781855757035"</f>
        <v>9781855757035</v>
      </c>
      <c r="D2887" t="str">
        <f>"9781849407212"</f>
        <v>9781849407212</v>
      </c>
      <c r="E2887" t="s">
        <v>26010</v>
      </c>
      <c r="F2887" t="s">
        <v>35</v>
      </c>
      <c r="G2887" t="s">
        <v>22174</v>
      </c>
      <c r="H2887" t="s">
        <v>26011</v>
      </c>
      <c r="I2887" s="26">
        <v>40543</v>
      </c>
      <c r="J2887">
        <v>2010</v>
      </c>
      <c r="K2887" t="s">
        <v>26012</v>
      </c>
      <c r="L2887">
        <v>121</v>
      </c>
      <c r="M2887" t="s">
        <v>36675</v>
      </c>
      <c r="N2887">
        <v>1</v>
      </c>
      <c r="O2887" t="s">
        <v>36678</v>
      </c>
      <c r="Q2887" t="s">
        <v>36679</v>
      </c>
      <c r="R2887" t="s">
        <v>36680</v>
      </c>
      <c r="S2887" t="s">
        <v>36681</v>
      </c>
      <c r="T2887" t="s">
        <v>30</v>
      </c>
      <c r="U2887" t="s">
        <v>46</v>
      </c>
      <c r="W2887" t="s">
        <v>26009</v>
      </c>
    </row>
    <row r="2888" spans="1:23" x14ac:dyDescent="0.35">
      <c r="A2888">
        <v>689903</v>
      </c>
      <c r="B2888" t="s">
        <v>36682</v>
      </c>
      <c r="C2888" t="str">
        <f>"9781855756472"</f>
        <v>9781855756472</v>
      </c>
      <c r="D2888" t="str">
        <f>"9781849407250"</f>
        <v>9781849407250</v>
      </c>
      <c r="E2888" t="s">
        <v>26010</v>
      </c>
      <c r="F2888" t="s">
        <v>35</v>
      </c>
      <c r="G2888" t="s">
        <v>22174</v>
      </c>
      <c r="H2888" t="s">
        <v>26011</v>
      </c>
      <c r="I2888" s="26">
        <v>40543</v>
      </c>
      <c r="J2888">
        <v>2010</v>
      </c>
      <c r="K2888" t="s">
        <v>26012</v>
      </c>
      <c r="L2888">
        <v>433</v>
      </c>
      <c r="M2888" t="s">
        <v>36683</v>
      </c>
      <c r="N2888">
        <v>1</v>
      </c>
      <c r="O2888" t="s">
        <v>36552</v>
      </c>
      <c r="Q2888" t="s">
        <v>36684</v>
      </c>
      <c r="R2888">
        <v>616.85220000000004</v>
      </c>
      <c r="S2888" t="s">
        <v>36685</v>
      </c>
      <c r="T2888" t="s">
        <v>30</v>
      </c>
      <c r="U2888" t="s">
        <v>26116</v>
      </c>
      <c r="W2888" t="s">
        <v>26009</v>
      </c>
    </row>
    <row r="2889" spans="1:23" x14ac:dyDescent="0.35">
      <c r="A2889">
        <v>689904</v>
      </c>
      <c r="B2889" t="s">
        <v>36686</v>
      </c>
      <c r="C2889" t="str">
        <f>"9781855756366"</f>
        <v>9781855756366</v>
      </c>
      <c r="D2889" t="str">
        <f>"9781849407274"</f>
        <v>9781849407274</v>
      </c>
      <c r="E2889" t="s">
        <v>26010</v>
      </c>
      <c r="F2889" t="s">
        <v>35</v>
      </c>
      <c r="G2889" t="s">
        <v>26128</v>
      </c>
      <c r="H2889" t="s">
        <v>26011</v>
      </c>
      <c r="I2889" s="26">
        <v>40266</v>
      </c>
      <c r="J2889">
        <v>2010</v>
      </c>
      <c r="K2889" t="s">
        <v>26012</v>
      </c>
      <c r="L2889">
        <v>320</v>
      </c>
      <c r="M2889" t="s">
        <v>36687</v>
      </c>
      <c r="N2889">
        <v>1</v>
      </c>
      <c r="R2889">
        <v>154.63083499999999</v>
      </c>
      <c r="S2889" t="s">
        <v>7822</v>
      </c>
      <c r="T2889" t="s">
        <v>30</v>
      </c>
      <c r="U2889" t="s">
        <v>46</v>
      </c>
      <c r="W2889" t="s">
        <v>26009</v>
      </c>
    </row>
    <row r="2890" spans="1:23" x14ac:dyDescent="0.35">
      <c r="A2890">
        <v>689905</v>
      </c>
      <c r="B2890" t="s">
        <v>36688</v>
      </c>
      <c r="C2890" t="str">
        <f>"9781855756427"</f>
        <v>9781855756427</v>
      </c>
      <c r="D2890" t="str">
        <f>"9781849407281"</f>
        <v>9781849407281</v>
      </c>
      <c r="E2890" t="s">
        <v>26010</v>
      </c>
      <c r="F2890" t="s">
        <v>35</v>
      </c>
      <c r="G2890" t="s">
        <v>26128</v>
      </c>
      <c r="H2890" t="s">
        <v>26011</v>
      </c>
      <c r="I2890" s="26">
        <v>40543</v>
      </c>
      <c r="J2890">
        <v>2010</v>
      </c>
      <c r="K2890" t="s">
        <v>26012</v>
      </c>
      <c r="L2890">
        <v>604</v>
      </c>
      <c r="M2890" t="s">
        <v>36689</v>
      </c>
      <c r="N2890">
        <v>1</v>
      </c>
      <c r="R2890">
        <v>616.89139999999998</v>
      </c>
      <c r="S2890" t="s">
        <v>32570</v>
      </c>
      <c r="T2890" t="s">
        <v>30</v>
      </c>
      <c r="U2890" t="s">
        <v>26040</v>
      </c>
      <c r="W2890" t="s">
        <v>26009</v>
      </c>
    </row>
    <row r="2891" spans="1:23" x14ac:dyDescent="0.35">
      <c r="A2891">
        <v>689906</v>
      </c>
      <c r="B2891" t="s">
        <v>36690</v>
      </c>
      <c r="C2891" t="str">
        <f>"9781855758889"</f>
        <v>9781855758889</v>
      </c>
      <c r="D2891" t="str">
        <f>"9781849407304"</f>
        <v>9781849407304</v>
      </c>
      <c r="E2891" t="s">
        <v>26010</v>
      </c>
      <c r="F2891" t="s">
        <v>35</v>
      </c>
      <c r="G2891" t="s">
        <v>22174</v>
      </c>
      <c r="H2891" t="s">
        <v>26011</v>
      </c>
      <c r="I2891" s="26">
        <v>40543</v>
      </c>
      <c r="J2891">
        <v>2010</v>
      </c>
      <c r="K2891" t="s">
        <v>26012</v>
      </c>
      <c r="L2891">
        <v>257</v>
      </c>
      <c r="M2891" t="s">
        <v>36691</v>
      </c>
      <c r="N2891">
        <v>1</v>
      </c>
      <c r="O2891" t="s">
        <v>36500</v>
      </c>
      <c r="Q2891" t="s">
        <v>36692</v>
      </c>
      <c r="R2891">
        <v>362.94099999999997</v>
      </c>
      <c r="S2891" t="s">
        <v>36693</v>
      </c>
      <c r="T2891" t="s">
        <v>30</v>
      </c>
      <c r="U2891" t="s">
        <v>26044</v>
      </c>
      <c r="W2891" t="s">
        <v>26009</v>
      </c>
    </row>
    <row r="2892" spans="1:23" x14ac:dyDescent="0.35">
      <c r="A2892">
        <v>689907</v>
      </c>
      <c r="B2892" t="s">
        <v>9264</v>
      </c>
      <c r="C2892" t="str">
        <f>"9781855757950"</f>
        <v>9781855757950</v>
      </c>
      <c r="D2892" t="str">
        <f>"9781849407311"</f>
        <v>9781849407311</v>
      </c>
      <c r="E2892" t="s">
        <v>26010</v>
      </c>
      <c r="F2892" t="s">
        <v>35</v>
      </c>
      <c r="G2892" t="s">
        <v>22174</v>
      </c>
      <c r="H2892" t="s">
        <v>26011</v>
      </c>
      <c r="I2892" s="26">
        <v>40543</v>
      </c>
      <c r="J2892">
        <v>2010</v>
      </c>
      <c r="K2892" t="s">
        <v>26012</v>
      </c>
      <c r="L2892">
        <v>99</v>
      </c>
      <c r="M2892" t="s">
        <v>36694</v>
      </c>
      <c r="N2892">
        <v>1</v>
      </c>
      <c r="O2892" t="s">
        <v>36678</v>
      </c>
      <c r="Q2892" t="s">
        <v>36695</v>
      </c>
      <c r="R2892">
        <v>155.423</v>
      </c>
      <c r="S2892" t="s">
        <v>36696</v>
      </c>
      <c r="T2892" t="s">
        <v>30</v>
      </c>
      <c r="U2892" t="s">
        <v>26228</v>
      </c>
      <c r="W2892" t="s">
        <v>26009</v>
      </c>
    </row>
    <row r="2893" spans="1:23" x14ac:dyDescent="0.35">
      <c r="A2893">
        <v>689908</v>
      </c>
      <c r="B2893" t="s">
        <v>36697</v>
      </c>
      <c r="C2893" t="str">
        <f>"9781855755154"</f>
        <v>9781855755154</v>
      </c>
      <c r="D2893" t="str">
        <f>"9781849407328"</f>
        <v>9781849407328</v>
      </c>
      <c r="E2893" t="s">
        <v>26010</v>
      </c>
      <c r="F2893" t="s">
        <v>35</v>
      </c>
      <c r="G2893" t="s">
        <v>26128</v>
      </c>
      <c r="H2893" t="s">
        <v>26011</v>
      </c>
      <c r="I2893" s="26">
        <v>40226</v>
      </c>
      <c r="J2893">
        <v>2010</v>
      </c>
      <c r="K2893" t="s">
        <v>26012</v>
      </c>
      <c r="L2893">
        <v>193</v>
      </c>
      <c r="M2893" t="s">
        <v>36509</v>
      </c>
      <c r="N2893">
        <v>1</v>
      </c>
      <c r="S2893" t="s">
        <v>7661</v>
      </c>
      <c r="T2893" t="s">
        <v>30</v>
      </c>
      <c r="U2893" t="s">
        <v>46</v>
      </c>
      <c r="W2893" t="s">
        <v>26009</v>
      </c>
    </row>
    <row r="2894" spans="1:23" x14ac:dyDescent="0.35">
      <c r="A2894">
        <v>689909</v>
      </c>
      <c r="B2894" t="s">
        <v>36698</v>
      </c>
      <c r="C2894" t="str">
        <f>"9781855757103"</f>
        <v>9781855757103</v>
      </c>
      <c r="D2894" t="str">
        <f>"9781849407335"</f>
        <v>9781849407335</v>
      </c>
      <c r="E2894" t="s">
        <v>26010</v>
      </c>
      <c r="F2894" t="s">
        <v>35</v>
      </c>
      <c r="G2894" t="s">
        <v>26128</v>
      </c>
      <c r="H2894" t="s">
        <v>26011</v>
      </c>
      <c r="I2894" s="26">
        <v>40550</v>
      </c>
      <c r="J2894">
        <v>2011</v>
      </c>
      <c r="K2894" t="s">
        <v>26012</v>
      </c>
      <c r="L2894">
        <v>471</v>
      </c>
      <c r="M2894" t="s">
        <v>36699</v>
      </c>
      <c r="N2894">
        <v>1</v>
      </c>
      <c r="R2894">
        <v>155.4</v>
      </c>
      <c r="S2894" t="s">
        <v>7671</v>
      </c>
      <c r="T2894" t="s">
        <v>30</v>
      </c>
      <c r="U2894" t="s">
        <v>46</v>
      </c>
      <c r="W2894" t="s">
        <v>26009</v>
      </c>
    </row>
    <row r="2895" spans="1:23" x14ac:dyDescent="0.35">
      <c r="A2895">
        <v>689910</v>
      </c>
      <c r="B2895" t="s">
        <v>36700</v>
      </c>
      <c r="C2895" t="str">
        <f>"9781855758650"</f>
        <v>9781855758650</v>
      </c>
      <c r="D2895" t="str">
        <f>"9781849407359"</f>
        <v>9781849407359</v>
      </c>
      <c r="E2895" t="s">
        <v>26010</v>
      </c>
      <c r="F2895" t="s">
        <v>35</v>
      </c>
      <c r="G2895" t="s">
        <v>22174</v>
      </c>
      <c r="H2895" t="s">
        <v>26011</v>
      </c>
      <c r="I2895" s="26">
        <v>40908</v>
      </c>
      <c r="J2895">
        <v>2011</v>
      </c>
      <c r="K2895" t="s">
        <v>26012</v>
      </c>
      <c r="L2895">
        <v>427</v>
      </c>
      <c r="M2895" t="s">
        <v>36701</v>
      </c>
      <c r="N2895">
        <v>1</v>
      </c>
      <c r="O2895" t="s">
        <v>36568</v>
      </c>
      <c r="Q2895" t="s">
        <v>36702</v>
      </c>
      <c r="R2895">
        <v>150.1952</v>
      </c>
      <c r="S2895" t="s">
        <v>36663</v>
      </c>
      <c r="T2895" t="s">
        <v>30</v>
      </c>
      <c r="U2895" t="s">
        <v>46</v>
      </c>
      <c r="W2895" t="s">
        <v>26009</v>
      </c>
    </row>
    <row r="2896" spans="1:23" x14ac:dyDescent="0.35">
      <c r="A2896">
        <v>689911</v>
      </c>
      <c r="B2896" t="s">
        <v>36703</v>
      </c>
      <c r="C2896" t="str">
        <f>"9781855756465"</f>
        <v>9781855756465</v>
      </c>
      <c r="D2896" t="str">
        <f>"9781849407366"</f>
        <v>9781849407366</v>
      </c>
      <c r="E2896" t="s">
        <v>26010</v>
      </c>
      <c r="F2896" t="s">
        <v>35</v>
      </c>
      <c r="G2896" t="s">
        <v>22174</v>
      </c>
      <c r="H2896" t="s">
        <v>26011</v>
      </c>
      <c r="I2896" s="26">
        <v>40908</v>
      </c>
      <c r="J2896">
        <v>2011</v>
      </c>
      <c r="K2896" t="s">
        <v>26012</v>
      </c>
      <c r="L2896">
        <v>613</v>
      </c>
      <c r="M2896" t="s">
        <v>36704</v>
      </c>
      <c r="N2896">
        <v>1</v>
      </c>
      <c r="O2896" t="s">
        <v>36705</v>
      </c>
      <c r="Q2896" t="s">
        <v>36706</v>
      </c>
      <c r="R2896">
        <v>150.19499999999999</v>
      </c>
      <c r="S2896" t="s">
        <v>36707</v>
      </c>
      <c r="T2896" t="s">
        <v>30</v>
      </c>
      <c r="U2896" t="s">
        <v>46</v>
      </c>
      <c r="W2896" t="s">
        <v>26009</v>
      </c>
    </row>
    <row r="2897" spans="1:23" x14ac:dyDescent="0.35">
      <c r="A2897">
        <v>689912</v>
      </c>
      <c r="B2897" t="s">
        <v>36708</v>
      </c>
      <c r="C2897" t="str">
        <f>"9781855756533"</f>
        <v>9781855756533</v>
      </c>
      <c r="D2897" t="str">
        <f>"9781849407373"</f>
        <v>9781849407373</v>
      </c>
      <c r="E2897" t="s">
        <v>26010</v>
      </c>
      <c r="F2897" t="s">
        <v>35</v>
      </c>
      <c r="G2897" t="s">
        <v>26128</v>
      </c>
      <c r="H2897" t="s">
        <v>26011</v>
      </c>
      <c r="I2897" s="26">
        <v>40295</v>
      </c>
      <c r="J2897">
        <v>2010</v>
      </c>
      <c r="K2897" t="s">
        <v>26012</v>
      </c>
      <c r="L2897">
        <v>228</v>
      </c>
      <c r="M2897" t="s">
        <v>36709</v>
      </c>
      <c r="N2897">
        <v>1</v>
      </c>
      <c r="R2897">
        <v>150.19509199999999</v>
      </c>
      <c r="S2897" t="s">
        <v>36710</v>
      </c>
      <c r="T2897" t="s">
        <v>30</v>
      </c>
      <c r="U2897" t="s">
        <v>46</v>
      </c>
      <c r="W2897" t="s">
        <v>26009</v>
      </c>
    </row>
    <row r="2898" spans="1:23" x14ac:dyDescent="0.35">
      <c r="A2898">
        <v>689913</v>
      </c>
      <c r="B2898" t="s">
        <v>36711</v>
      </c>
      <c r="C2898" t="str">
        <f>"9781855758384"</f>
        <v>9781855758384</v>
      </c>
      <c r="D2898" t="str">
        <f>"9781849407380"</f>
        <v>9781849407380</v>
      </c>
      <c r="E2898" t="s">
        <v>26010</v>
      </c>
      <c r="F2898" t="s">
        <v>35</v>
      </c>
      <c r="G2898" t="s">
        <v>22174</v>
      </c>
      <c r="H2898" t="s">
        <v>26011</v>
      </c>
      <c r="I2898" s="26">
        <v>40161</v>
      </c>
      <c r="J2898">
        <v>2010</v>
      </c>
      <c r="K2898" t="s">
        <v>26012</v>
      </c>
      <c r="L2898">
        <v>141</v>
      </c>
      <c r="M2898" t="s">
        <v>36712</v>
      </c>
      <c r="N2898">
        <v>1</v>
      </c>
      <c r="Q2898" t="s">
        <v>36713</v>
      </c>
      <c r="R2898">
        <v>616.89139999999998</v>
      </c>
      <c r="S2898" t="s">
        <v>32642</v>
      </c>
      <c r="T2898" t="s">
        <v>30</v>
      </c>
      <c r="U2898" t="s">
        <v>26019</v>
      </c>
      <c r="W2898" t="s">
        <v>26009</v>
      </c>
    </row>
    <row r="2899" spans="1:23" x14ac:dyDescent="0.35">
      <c r="A2899">
        <v>689914</v>
      </c>
      <c r="B2899" t="s">
        <v>36714</v>
      </c>
      <c r="C2899" t="str">
        <f>"9781855756250"</f>
        <v>9781855756250</v>
      </c>
      <c r="D2899" t="str">
        <f>"9781849407403"</f>
        <v>9781849407403</v>
      </c>
      <c r="E2899" t="s">
        <v>26010</v>
      </c>
      <c r="F2899" t="s">
        <v>35</v>
      </c>
      <c r="G2899" t="s">
        <v>26128</v>
      </c>
      <c r="H2899" t="s">
        <v>26011</v>
      </c>
      <c r="I2899" s="26">
        <v>40394</v>
      </c>
      <c r="J2899">
        <v>2010</v>
      </c>
      <c r="K2899" t="s">
        <v>26012</v>
      </c>
      <c r="L2899">
        <v>314</v>
      </c>
      <c r="M2899" t="s">
        <v>36715</v>
      </c>
      <c r="N2899">
        <v>1</v>
      </c>
      <c r="R2899">
        <v>616.89139999999998</v>
      </c>
      <c r="S2899" t="s">
        <v>36716</v>
      </c>
      <c r="T2899" t="s">
        <v>30</v>
      </c>
      <c r="U2899" t="s">
        <v>26040</v>
      </c>
      <c r="W2899" t="s">
        <v>26009</v>
      </c>
    </row>
    <row r="2900" spans="1:23" x14ac:dyDescent="0.35">
      <c r="A2900">
        <v>689915</v>
      </c>
      <c r="B2900" t="s">
        <v>36717</v>
      </c>
      <c r="C2900" t="str">
        <f>"9781855756625"</f>
        <v>9781855756625</v>
      </c>
      <c r="D2900" t="str">
        <f>"9781849407434"</f>
        <v>9781849407434</v>
      </c>
      <c r="E2900" t="s">
        <v>26010</v>
      </c>
      <c r="F2900" t="s">
        <v>35</v>
      </c>
      <c r="G2900" t="s">
        <v>22174</v>
      </c>
      <c r="H2900" t="s">
        <v>26011</v>
      </c>
      <c r="I2900" s="26">
        <v>40332</v>
      </c>
      <c r="J2900">
        <v>2010</v>
      </c>
      <c r="K2900" t="s">
        <v>26012</v>
      </c>
      <c r="L2900">
        <v>337</v>
      </c>
      <c r="M2900" t="s">
        <v>36718</v>
      </c>
      <c r="N2900">
        <v>1</v>
      </c>
      <c r="Q2900" t="s">
        <v>36719</v>
      </c>
      <c r="R2900">
        <v>616.89170000000001</v>
      </c>
      <c r="S2900" t="s">
        <v>36720</v>
      </c>
      <c r="T2900" t="s">
        <v>30</v>
      </c>
      <c r="U2900" t="s">
        <v>26019</v>
      </c>
      <c r="W2900" t="s">
        <v>26009</v>
      </c>
    </row>
    <row r="2901" spans="1:23" x14ac:dyDescent="0.35">
      <c r="A2901">
        <v>689916</v>
      </c>
      <c r="B2901" t="s">
        <v>36721</v>
      </c>
      <c r="C2901" t="str">
        <f>"9781855757332"</f>
        <v>9781855757332</v>
      </c>
      <c r="D2901" t="str">
        <f>"9781849408578"</f>
        <v>9781849408578</v>
      </c>
      <c r="E2901" t="s">
        <v>26010</v>
      </c>
      <c r="F2901" t="s">
        <v>35</v>
      </c>
      <c r="G2901" t="s">
        <v>22174</v>
      </c>
      <c r="H2901" t="s">
        <v>26011</v>
      </c>
      <c r="I2901" s="26">
        <v>40373</v>
      </c>
      <c r="J2901">
        <v>2010</v>
      </c>
      <c r="K2901" t="s">
        <v>26012</v>
      </c>
      <c r="L2901">
        <v>238</v>
      </c>
      <c r="M2901" t="s">
        <v>36722</v>
      </c>
      <c r="N2901">
        <v>1</v>
      </c>
      <c r="Q2901" t="s">
        <v>36723</v>
      </c>
      <c r="R2901">
        <v>150.19499999999999</v>
      </c>
      <c r="S2901" t="s">
        <v>7514</v>
      </c>
      <c r="T2901" t="s">
        <v>30</v>
      </c>
      <c r="U2901" t="s">
        <v>26116</v>
      </c>
      <c r="W2901" t="s">
        <v>26009</v>
      </c>
    </row>
    <row r="2902" spans="1:23" x14ac:dyDescent="0.35">
      <c r="A2902">
        <v>689918</v>
      </c>
      <c r="B2902" t="s">
        <v>36724</v>
      </c>
      <c r="C2902" t="str">
        <f>"9781855755642"</f>
        <v>9781855755642</v>
      </c>
      <c r="D2902" t="str">
        <f>"9781849407472"</f>
        <v>9781849407472</v>
      </c>
      <c r="E2902" t="s">
        <v>26010</v>
      </c>
      <c r="F2902" t="s">
        <v>35</v>
      </c>
      <c r="G2902" t="s">
        <v>22174</v>
      </c>
      <c r="H2902" t="s">
        <v>26011</v>
      </c>
      <c r="I2902" s="26">
        <v>40179</v>
      </c>
      <c r="J2902">
        <v>2010</v>
      </c>
      <c r="K2902" t="s">
        <v>26012</v>
      </c>
      <c r="L2902">
        <v>169</v>
      </c>
      <c r="M2902" t="s">
        <v>36725</v>
      </c>
      <c r="N2902">
        <v>1</v>
      </c>
      <c r="Q2902" t="s">
        <v>36726</v>
      </c>
      <c r="R2902">
        <v>155.44300000000001</v>
      </c>
      <c r="S2902" t="s">
        <v>9827</v>
      </c>
      <c r="T2902" t="s">
        <v>30</v>
      </c>
      <c r="U2902" t="s">
        <v>46</v>
      </c>
      <c r="W2902" t="s">
        <v>26009</v>
      </c>
    </row>
    <row r="2903" spans="1:23" x14ac:dyDescent="0.35">
      <c r="A2903">
        <v>689920</v>
      </c>
      <c r="B2903" t="s">
        <v>36727</v>
      </c>
      <c r="C2903" t="str">
        <f>"9781855757691"</f>
        <v>9781855757691</v>
      </c>
      <c r="D2903" t="str">
        <f>"9781849407502"</f>
        <v>9781849407502</v>
      </c>
      <c r="E2903" t="s">
        <v>26010</v>
      </c>
      <c r="F2903" t="s">
        <v>35</v>
      </c>
      <c r="G2903" t="s">
        <v>22174</v>
      </c>
      <c r="H2903" t="s">
        <v>26011</v>
      </c>
      <c r="I2903" s="26">
        <v>40543</v>
      </c>
      <c r="J2903">
        <v>2010</v>
      </c>
      <c r="K2903" t="s">
        <v>26012</v>
      </c>
      <c r="L2903">
        <v>337</v>
      </c>
      <c r="M2903" t="s">
        <v>36728</v>
      </c>
      <c r="N2903">
        <v>1</v>
      </c>
      <c r="O2903" t="s">
        <v>36539</v>
      </c>
      <c r="Q2903" t="s">
        <v>36729</v>
      </c>
      <c r="R2903">
        <v>616.89152000000001</v>
      </c>
      <c r="S2903" t="s">
        <v>36730</v>
      </c>
      <c r="T2903" t="s">
        <v>30</v>
      </c>
      <c r="U2903" t="s">
        <v>26019</v>
      </c>
      <c r="W2903" t="s">
        <v>26009</v>
      </c>
    </row>
    <row r="2904" spans="1:23" x14ac:dyDescent="0.35">
      <c r="A2904">
        <v>689921</v>
      </c>
      <c r="B2904" t="s">
        <v>36731</v>
      </c>
      <c r="C2904" t="str">
        <f>"9781855758506"</f>
        <v>9781855758506</v>
      </c>
      <c r="D2904" t="str">
        <f>"9781849407519"</f>
        <v>9781849407519</v>
      </c>
      <c r="E2904" t="s">
        <v>26010</v>
      </c>
      <c r="F2904" t="s">
        <v>35</v>
      </c>
      <c r="G2904" t="s">
        <v>26128</v>
      </c>
      <c r="H2904" t="s">
        <v>26011</v>
      </c>
      <c r="I2904" s="26">
        <v>40543</v>
      </c>
      <c r="J2904">
        <v>2010</v>
      </c>
      <c r="K2904" t="s">
        <v>26012</v>
      </c>
      <c r="L2904">
        <v>442</v>
      </c>
      <c r="M2904" t="s">
        <v>36655</v>
      </c>
      <c r="N2904">
        <v>1</v>
      </c>
      <c r="O2904" t="s">
        <v>36500</v>
      </c>
      <c r="Q2904" t="s">
        <v>36732</v>
      </c>
      <c r="R2904">
        <v>616.89152000000001</v>
      </c>
      <c r="S2904" t="s">
        <v>8562</v>
      </c>
      <c r="T2904" t="s">
        <v>30</v>
      </c>
      <c r="U2904" t="s">
        <v>26116</v>
      </c>
      <c r="W2904" t="s">
        <v>26009</v>
      </c>
    </row>
    <row r="2905" spans="1:23" x14ac:dyDescent="0.35">
      <c r="A2905">
        <v>689922</v>
      </c>
      <c r="B2905" t="s">
        <v>9288</v>
      </c>
      <c r="C2905" t="str">
        <f>"9781855757011"</f>
        <v>9781855757011</v>
      </c>
      <c r="D2905" t="str">
        <f>"9781849407533"</f>
        <v>9781849407533</v>
      </c>
      <c r="E2905" t="s">
        <v>26010</v>
      </c>
      <c r="F2905" t="s">
        <v>35</v>
      </c>
      <c r="G2905" t="s">
        <v>22174</v>
      </c>
      <c r="H2905" t="s">
        <v>26011</v>
      </c>
      <c r="I2905" s="26">
        <v>40543</v>
      </c>
      <c r="J2905">
        <v>2010</v>
      </c>
      <c r="K2905" t="s">
        <v>26012</v>
      </c>
      <c r="L2905">
        <v>369</v>
      </c>
      <c r="M2905" t="s">
        <v>36733</v>
      </c>
      <c r="N2905">
        <v>1</v>
      </c>
      <c r="O2905" t="s">
        <v>36658</v>
      </c>
      <c r="Q2905" t="s">
        <v>36734</v>
      </c>
      <c r="R2905">
        <v>155.333</v>
      </c>
      <c r="S2905" t="s">
        <v>36735</v>
      </c>
      <c r="T2905" t="s">
        <v>30</v>
      </c>
      <c r="U2905" t="s">
        <v>46</v>
      </c>
      <c r="W2905" t="s">
        <v>26009</v>
      </c>
    </row>
    <row r="2906" spans="1:23" x14ac:dyDescent="0.35">
      <c r="A2906">
        <v>689923</v>
      </c>
      <c r="B2906" t="s">
        <v>10005</v>
      </c>
      <c r="C2906" t="str">
        <f>"9781855757158"</f>
        <v>9781855757158</v>
      </c>
      <c r="D2906" t="str">
        <f>"9781849407540"</f>
        <v>9781849407540</v>
      </c>
      <c r="E2906" t="s">
        <v>26010</v>
      </c>
      <c r="F2906" t="s">
        <v>35</v>
      </c>
      <c r="G2906" t="s">
        <v>22174</v>
      </c>
      <c r="H2906" t="s">
        <v>26011</v>
      </c>
      <c r="I2906" s="26">
        <v>40908</v>
      </c>
      <c r="J2906">
        <v>2011</v>
      </c>
      <c r="K2906" t="s">
        <v>26012</v>
      </c>
      <c r="L2906">
        <v>199</v>
      </c>
      <c r="M2906" t="s">
        <v>36736</v>
      </c>
      <c r="N2906">
        <v>1</v>
      </c>
      <c r="Q2906" t="s">
        <v>36737</v>
      </c>
      <c r="R2906">
        <v>618.92891699999996</v>
      </c>
      <c r="S2906" t="s">
        <v>36738</v>
      </c>
      <c r="T2906" t="s">
        <v>30</v>
      </c>
      <c r="U2906" t="s">
        <v>26019</v>
      </c>
      <c r="W2906" t="s">
        <v>26009</v>
      </c>
    </row>
    <row r="2907" spans="1:23" x14ac:dyDescent="0.35">
      <c r="A2907">
        <v>689924</v>
      </c>
      <c r="B2907" t="s">
        <v>36739</v>
      </c>
      <c r="C2907" t="str">
        <f>"9781855757196"</f>
        <v>9781855757196</v>
      </c>
      <c r="D2907" t="str">
        <f>"9781849408646"</f>
        <v>9781849408646</v>
      </c>
      <c r="E2907" t="s">
        <v>26010</v>
      </c>
      <c r="F2907" t="s">
        <v>35</v>
      </c>
      <c r="G2907" t="s">
        <v>26128</v>
      </c>
      <c r="H2907" t="s">
        <v>26011</v>
      </c>
      <c r="I2907" s="26">
        <v>40476</v>
      </c>
      <c r="J2907">
        <v>2010</v>
      </c>
      <c r="K2907" t="s">
        <v>26012</v>
      </c>
      <c r="L2907">
        <v>241</v>
      </c>
      <c r="M2907" t="s">
        <v>36740</v>
      </c>
      <c r="N2907">
        <v>1</v>
      </c>
      <c r="R2907">
        <v>616.89139999999998</v>
      </c>
      <c r="S2907" t="s">
        <v>8213</v>
      </c>
      <c r="T2907" t="s">
        <v>30</v>
      </c>
      <c r="U2907" t="s">
        <v>26040</v>
      </c>
      <c r="W2907" t="s">
        <v>26009</v>
      </c>
    </row>
    <row r="2908" spans="1:23" x14ac:dyDescent="0.35">
      <c r="A2908">
        <v>689926</v>
      </c>
      <c r="B2908" t="s">
        <v>36741</v>
      </c>
      <c r="C2908" t="str">
        <f>"9781855755109"</f>
        <v>9781855755109</v>
      </c>
      <c r="D2908" t="str">
        <f>"9780429915956"</f>
        <v>9780429915956</v>
      </c>
      <c r="E2908" t="s">
        <v>26010</v>
      </c>
      <c r="F2908" t="s">
        <v>35</v>
      </c>
      <c r="G2908" t="s">
        <v>22174</v>
      </c>
      <c r="H2908" t="s">
        <v>26011</v>
      </c>
      <c r="I2908" s="26">
        <v>40543</v>
      </c>
      <c r="J2908">
        <v>2010</v>
      </c>
      <c r="K2908" t="s">
        <v>26012</v>
      </c>
      <c r="L2908">
        <v>259</v>
      </c>
      <c r="M2908" t="s">
        <v>36742</v>
      </c>
      <c r="N2908">
        <v>1</v>
      </c>
      <c r="O2908" t="s">
        <v>36510</v>
      </c>
      <c r="Q2908" t="s">
        <v>36743</v>
      </c>
      <c r="R2908">
        <v>152.41</v>
      </c>
      <c r="S2908" t="s">
        <v>36744</v>
      </c>
      <c r="T2908" t="s">
        <v>30</v>
      </c>
      <c r="U2908" t="s">
        <v>46</v>
      </c>
      <c r="W2908" t="s">
        <v>26009</v>
      </c>
    </row>
    <row r="2909" spans="1:23" x14ac:dyDescent="0.35">
      <c r="A2909">
        <v>689927</v>
      </c>
      <c r="B2909" t="s">
        <v>8037</v>
      </c>
      <c r="C2909" t="str">
        <f>"9781855756823"</f>
        <v>9781855756823</v>
      </c>
      <c r="D2909" t="str">
        <f>"9781849407625"</f>
        <v>9781849407625</v>
      </c>
      <c r="E2909" t="s">
        <v>26010</v>
      </c>
      <c r="F2909" t="s">
        <v>35</v>
      </c>
      <c r="G2909" t="s">
        <v>22174</v>
      </c>
      <c r="H2909" t="s">
        <v>26011</v>
      </c>
      <c r="I2909" s="26">
        <v>40298</v>
      </c>
      <c r="J2909">
        <v>2010</v>
      </c>
      <c r="K2909" t="s">
        <v>26012</v>
      </c>
      <c r="L2909">
        <v>369</v>
      </c>
      <c r="M2909" t="s">
        <v>36745</v>
      </c>
      <c r="N2909">
        <v>1</v>
      </c>
      <c r="Q2909" t="s">
        <v>36746</v>
      </c>
      <c r="R2909">
        <v>154.63</v>
      </c>
      <c r="S2909" t="s">
        <v>36747</v>
      </c>
      <c r="T2909" t="s">
        <v>30</v>
      </c>
      <c r="U2909" t="s">
        <v>46</v>
      </c>
      <c r="W2909" t="s">
        <v>26009</v>
      </c>
    </row>
    <row r="2910" spans="1:23" x14ac:dyDescent="0.35">
      <c r="A2910">
        <v>689928</v>
      </c>
      <c r="B2910" t="s">
        <v>36748</v>
      </c>
      <c r="C2910" t="str">
        <f>"9781855757233"</f>
        <v>9781855757233</v>
      </c>
      <c r="D2910" t="str">
        <f>"9781849407649"</f>
        <v>9781849407649</v>
      </c>
      <c r="E2910" t="s">
        <v>26010</v>
      </c>
      <c r="F2910" t="s">
        <v>35</v>
      </c>
      <c r="G2910" t="s">
        <v>22174</v>
      </c>
      <c r="H2910" t="s">
        <v>26011</v>
      </c>
      <c r="I2910" s="26">
        <v>40284</v>
      </c>
      <c r="J2910">
        <v>2010</v>
      </c>
      <c r="K2910" t="s">
        <v>26012</v>
      </c>
      <c r="L2910">
        <v>229</v>
      </c>
      <c r="M2910" t="s">
        <v>36749</v>
      </c>
      <c r="N2910">
        <v>1</v>
      </c>
      <c r="Q2910" t="s">
        <v>36750</v>
      </c>
      <c r="R2910">
        <v>150.19499999999999</v>
      </c>
      <c r="S2910" t="s">
        <v>36751</v>
      </c>
      <c r="T2910" t="s">
        <v>30</v>
      </c>
      <c r="U2910" t="s">
        <v>26019</v>
      </c>
      <c r="W2910" t="s">
        <v>26009</v>
      </c>
    </row>
    <row r="2911" spans="1:23" x14ac:dyDescent="0.35">
      <c r="A2911">
        <v>689929</v>
      </c>
      <c r="B2911" t="s">
        <v>36752</v>
      </c>
      <c r="C2911" t="str">
        <f>"9781855756922"</f>
        <v>9781855756922</v>
      </c>
      <c r="D2911" t="str">
        <f>"9781849407670"</f>
        <v>9781849407670</v>
      </c>
      <c r="E2911" t="s">
        <v>26010</v>
      </c>
      <c r="F2911" t="s">
        <v>35</v>
      </c>
      <c r="G2911" t="s">
        <v>22174</v>
      </c>
      <c r="H2911" t="s">
        <v>26011</v>
      </c>
      <c r="I2911" s="26">
        <v>40262</v>
      </c>
      <c r="J2911">
        <v>2010</v>
      </c>
      <c r="K2911" t="s">
        <v>26012</v>
      </c>
      <c r="L2911">
        <v>272</v>
      </c>
      <c r="M2911" t="s">
        <v>36753</v>
      </c>
      <c r="N2911">
        <v>1</v>
      </c>
      <c r="Q2911" t="s">
        <v>36754</v>
      </c>
      <c r="R2911">
        <v>150.19499999999999</v>
      </c>
      <c r="S2911" t="s">
        <v>36755</v>
      </c>
      <c r="T2911" t="s">
        <v>30</v>
      </c>
      <c r="U2911" t="s">
        <v>46</v>
      </c>
      <c r="W2911" t="s">
        <v>26009</v>
      </c>
    </row>
    <row r="2912" spans="1:23" x14ac:dyDescent="0.35">
      <c r="A2912">
        <v>689931</v>
      </c>
      <c r="B2912" t="s">
        <v>9343</v>
      </c>
      <c r="C2912" t="str">
        <f>"9781855757257"</f>
        <v>9781855757257</v>
      </c>
      <c r="D2912" t="str">
        <f>"9781849407687"</f>
        <v>9781849407687</v>
      </c>
      <c r="E2912" t="s">
        <v>26010</v>
      </c>
      <c r="F2912" t="s">
        <v>35</v>
      </c>
      <c r="G2912" t="s">
        <v>22174</v>
      </c>
      <c r="H2912" t="s">
        <v>26011</v>
      </c>
      <c r="I2912" s="26">
        <v>40543</v>
      </c>
      <c r="J2912">
        <v>2010</v>
      </c>
      <c r="K2912" t="s">
        <v>26012</v>
      </c>
      <c r="L2912">
        <v>197</v>
      </c>
      <c r="M2912" t="s">
        <v>36756</v>
      </c>
      <c r="N2912">
        <v>1</v>
      </c>
      <c r="Q2912" t="s">
        <v>36757</v>
      </c>
      <c r="R2912">
        <v>150.1952</v>
      </c>
      <c r="S2912" t="s">
        <v>36758</v>
      </c>
      <c r="T2912" t="s">
        <v>30</v>
      </c>
      <c r="U2912" t="s">
        <v>46</v>
      </c>
      <c r="W2912" t="s">
        <v>26009</v>
      </c>
    </row>
    <row r="2913" spans="1:23" x14ac:dyDescent="0.35">
      <c r="A2913">
        <v>689932</v>
      </c>
      <c r="B2913" t="s">
        <v>9424</v>
      </c>
      <c r="C2913" t="str">
        <f>"9781855758032"</f>
        <v>9781855758032</v>
      </c>
      <c r="D2913" t="str">
        <f>"9780429917325"</f>
        <v>9780429917325</v>
      </c>
      <c r="E2913" t="s">
        <v>26010</v>
      </c>
      <c r="F2913" t="s">
        <v>35</v>
      </c>
      <c r="G2913" t="s">
        <v>22174</v>
      </c>
      <c r="H2913" t="s">
        <v>26011</v>
      </c>
      <c r="I2913" s="26">
        <v>40543</v>
      </c>
      <c r="J2913">
        <v>2010</v>
      </c>
      <c r="K2913" t="s">
        <v>26012</v>
      </c>
      <c r="L2913">
        <v>278</v>
      </c>
      <c r="M2913" t="s">
        <v>36759</v>
      </c>
      <c r="N2913">
        <v>1</v>
      </c>
      <c r="O2913" t="s">
        <v>36577</v>
      </c>
      <c r="Q2913" t="s">
        <v>36760</v>
      </c>
      <c r="R2913">
        <v>618.9289</v>
      </c>
      <c r="S2913" t="s">
        <v>9425</v>
      </c>
      <c r="T2913" t="s">
        <v>30</v>
      </c>
      <c r="U2913" t="s">
        <v>26019</v>
      </c>
      <c r="W2913" t="s">
        <v>26009</v>
      </c>
    </row>
    <row r="2914" spans="1:23" x14ac:dyDescent="0.35">
      <c r="A2914">
        <v>689933</v>
      </c>
      <c r="B2914" t="s">
        <v>36761</v>
      </c>
      <c r="C2914" t="str">
        <f>"9781855757141"</f>
        <v>9781855757141</v>
      </c>
      <c r="D2914" t="str">
        <f>"9781849407717"</f>
        <v>9781849407717</v>
      </c>
      <c r="E2914" t="s">
        <v>26010</v>
      </c>
      <c r="F2914" t="s">
        <v>35</v>
      </c>
      <c r="G2914" t="s">
        <v>22174</v>
      </c>
      <c r="H2914" t="s">
        <v>26011</v>
      </c>
      <c r="I2914" s="26">
        <v>40268</v>
      </c>
      <c r="J2914">
        <v>2010</v>
      </c>
      <c r="K2914" t="s">
        <v>26012</v>
      </c>
      <c r="L2914">
        <v>323</v>
      </c>
      <c r="M2914" t="s">
        <v>36762</v>
      </c>
      <c r="N2914">
        <v>1</v>
      </c>
      <c r="Q2914" t="s">
        <v>36763</v>
      </c>
      <c r="R2914">
        <v>612.79999999999995</v>
      </c>
      <c r="S2914" t="s">
        <v>36764</v>
      </c>
      <c r="T2914" t="s">
        <v>30</v>
      </c>
      <c r="U2914" t="s">
        <v>33748</v>
      </c>
      <c r="W2914" t="s">
        <v>26009</v>
      </c>
    </row>
    <row r="2915" spans="1:23" x14ac:dyDescent="0.35">
      <c r="A2915">
        <v>689934</v>
      </c>
      <c r="B2915" t="s">
        <v>36765</v>
      </c>
      <c r="C2915" t="str">
        <f>"9781855758049"</f>
        <v>9781855758049</v>
      </c>
      <c r="D2915" t="str">
        <f>"9781849407724"</f>
        <v>9781849407724</v>
      </c>
      <c r="E2915" t="s">
        <v>26010</v>
      </c>
      <c r="F2915" t="s">
        <v>35</v>
      </c>
      <c r="G2915" t="s">
        <v>22174</v>
      </c>
      <c r="H2915" t="s">
        <v>26011</v>
      </c>
      <c r="I2915" s="26">
        <v>40474</v>
      </c>
      <c r="J2915">
        <v>2010</v>
      </c>
      <c r="K2915" t="s">
        <v>26012</v>
      </c>
      <c r="L2915">
        <v>454</v>
      </c>
      <c r="M2915" t="s">
        <v>36766</v>
      </c>
      <c r="N2915">
        <v>1</v>
      </c>
      <c r="Q2915" t="s">
        <v>36767</v>
      </c>
      <c r="R2915">
        <v>658.40599999999995</v>
      </c>
      <c r="S2915" t="s">
        <v>36768</v>
      </c>
      <c r="T2915" t="s">
        <v>30</v>
      </c>
      <c r="U2915" t="s">
        <v>30031</v>
      </c>
      <c r="W2915" t="s">
        <v>26009</v>
      </c>
    </row>
    <row r="2916" spans="1:23" x14ac:dyDescent="0.35">
      <c r="A2916">
        <v>689935</v>
      </c>
      <c r="B2916" t="s">
        <v>36769</v>
      </c>
      <c r="C2916" t="str">
        <f>"9781855757943"</f>
        <v>9781855757943</v>
      </c>
      <c r="D2916" t="str">
        <f>"9780429914201"</f>
        <v>9780429914201</v>
      </c>
      <c r="E2916" t="s">
        <v>26010</v>
      </c>
      <c r="F2916" t="s">
        <v>35</v>
      </c>
      <c r="G2916" t="s">
        <v>26128</v>
      </c>
      <c r="H2916" t="s">
        <v>26011</v>
      </c>
      <c r="I2916" s="26">
        <v>40543</v>
      </c>
      <c r="J2916">
        <v>2010</v>
      </c>
      <c r="K2916" t="s">
        <v>26012</v>
      </c>
      <c r="L2916">
        <v>392</v>
      </c>
      <c r="M2916" t="s">
        <v>36770</v>
      </c>
      <c r="N2916">
        <v>1</v>
      </c>
      <c r="R2916">
        <v>150.19499999999999</v>
      </c>
      <c r="S2916" t="s">
        <v>7661</v>
      </c>
      <c r="T2916" t="s">
        <v>30</v>
      </c>
      <c r="U2916" t="s">
        <v>46</v>
      </c>
      <c r="W2916" t="s">
        <v>26009</v>
      </c>
    </row>
    <row r="2917" spans="1:23" x14ac:dyDescent="0.35">
      <c r="A2917">
        <v>689936</v>
      </c>
      <c r="B2917" t="s">
        <v>36771</v>
      </c>
      <c r="C2917" t="str">
        <f>"9781855756328"</f>
        <v>9781855756328</v>
      </c>
      <c r="D2917" t="str">
        <f>"9781849407748"</f>
        <v>9781849407748</v>
      </c>
      <c r="E2917" t="s">
        <v>26010</v>
      </c>
      <c r="F2917" t="s">
        <v>35</v>
      </c>
      <c r="G2917" t="s">
        <v>22174</v>
      </c>
      <c r="H2917" t="s">
        <v>26011</v>
      </c>
      <c r="I2917" s="26">
        <v>40543</v>
      </c>
      <c r="J2917">
        <v>2010</v>
      </c>
      <c r="K2917" t="s">
        <v>26012</v>
      </c>
      <c r="L2917">
        <v>243</v>
      </c>
      <c r="M2917" t="s">
        <v>36772</v>
      </c>
      <c r="N2917">
        <v>1</v>
      </c>
      <c r="O2917" t="s">
        <v>36510</v>
      </c>
      <c r="Q2917" t="s">
        <v>36773</v>
      </c>
      <c r="R2917">
        <v>616.89170000000001</v>
      </c>
      <c r="S2917" t="s">
        <v>36774</v>
      </c>
      <c r="T2917" t="s">
        <v>30</v>
      </c>
      <c r="U2917" t="s">
        <v>26019</v>
      </c>
      <c r="W2917" t="s">
        <v>26009</v>
      </c>
    </row>
    <row r="2918" spans="1:23" x14ac:dyDescent="0.35">
      <c r="A2918">
        <v>689937</v>
      </c>
      <c r="B2918" t="s">
        <v>36775</v>
      </c>
      <c r="C2918" t="str">
        <f>"9781855756571"</f>
        <v>9781855756571</v>
      </c>
      <c r="D2918" t="str">
        <f>"9781849407755"</f>
        <v>9781849407755</v>
      </c>
      <c r="E2918" t="s">
        <v>26010</v>
      </c>
      <c r="F2918" t="s">
        <v>35</v>
      </c>
      <c r="G2918" t="s">
        <v>22174</v>
      </c>
      <c r="H2918" t="s">
        <v>26011</v>
      </c>
      <c r="I2918" s="26">
        <v>40236</v>
      </c>
      <c r="J2918">
        <v>2010</v>
      </c>
      <c r="K2918" t="s">
        <v>26012</v>
      </c>
      <c r="L2918">
        <v>423</v>
      </c>
      <c r="M2918" t="s">
        <v>36776</v>
      </c>
      <c r="N2918">
        <v>1</v>
      </c>
      <c r="Q2918" t="s">
        <v>36777</v>
      </c>
      <c r="R2918">
        <v>150.19499999999999</v>
      </c>
      <c r="S2918" t="s">
        <v>36778</v>
      </c>
      <c r="T2918" t="s">
        <v>30</v>
      </c>
      <c r="U2918" t="s">
        <v>26116</v>
      </c>
      <c r="W2918" t="s">
        <v>26009</v>
      </c>
    </row>
    <row r="2919" spans="1:23" x14ac:dyDescent="0.35">
      <c r="A2919">
        <v>689938</v>
      </c>
      <c r="B2919" t="s">
        <v>9012</v>
      </c>
      <c r="C2919" t="str">
        <f>"9781855757318"</f>
        <v>9781855757318</v>
      </c>
      <c r="D2919" t="str">
        <f>"9781849408592"</f>
        <v>9781849408592</v>
      </c>
      <c r="E2919" t="s">
        <v>26010</v>
      </c>
      <c r="F2919" t="s">
        <v>35</v>
      </c>
      <c r="G2919" t="s">
        <v>22174</v>
      </c>
      <c r="H2919" t="s">
        <v>26011</v>
      </c>
      <c r="I2919" s="26">
        <v>40382</v>
      </c>
      <c r="J2919">
        <v>2010</v>
      </c>
      <c r="K2919" t="s">
        <v>26012</v>
      </c>
      <c r="L2919">
        <v>145</v>
      </c>
      <c r="M2919" t="s">
        <v>36779</v>
      </c>
      <c r="N2919">
        <v>1</v>
      </c>
      <c r="Q2919" t="s">
        <v>36780</v>
      </c>
      <c r="R2919">
        <v>150.1952</v>
      </c>
      <c r="S2919" t="s">
        <v>36781</v>
      </c>
      <c r="T2919" t="s">
        <v>30</v>
      </c>
      <c r="U2919" t="s">
        <v>46</v>
      </c>
      <c r="W2919" t="s">
        <v>26009</v>
      </c>
    </row>
    <row r="2920" spans="1:23" x14ac:dyDescent="0.35">
      <c r="A2920">
        <v>689939</v>
      </c>
      <c r="B2920" t="s">
        <v>36782</v>
      </c>
      <c r="C2920" t="str">
        <f>"9781855757561"</f>
        <v>9781855757561</v>
      </c>
      <c r="D2920" t="str">
        <f>"9781849407762"</f>
        <v>9781849407762</v>
      </c>
      <c r="E2920" t="s">
        <v>26010</v>
      </c>
      <c r="F2920" t="s">
        <v>35</v>
      </c>
      <c r="G2920" t="s">
        <v>22174</v>
      </c>
      <c r="H2920" t="s">
        <v>26011</v>
      </c>
      <c r="I2920" s="26">
        <v>40417</v>
      </c>
      <c r="J2920">
        <v>2010</v>
      </c>
      <c r="K2920" t="s">
        <v>26012</v>
      </c>
      <c r="L2920">
        <v>319</v>
      </c>
      <c r="M2920" t="s">
        <v>36783</v>
      </c>
      <c r="N2920">
        <v>1</v>
      </c>
      <c r="Q2920" t="s">
        <v>36784</v>
      </c>
      <c r="R2920">
        <v>616.89142500000003</v>
      </c>
      <c r="S2920" t="s">
        <v>7886</v>
      </c>
      <c r="T2920" t="s">
        <v>30</v>
      </c>
      <c r="U2920" t="s">
        <v>26116</v>
      </c>
      <c r="W2920" t="s">
        <v>26009</v>
      </c>
    </row>
    <row r="2921" spans="1:23" x14ac:dyDescent="0.35">
      <c r="A2921">
        <v>689940</v>
      </c>
      <c r="B2921" t="s">
        <v>9495</v>
      </c>
      <c r="C2921" t="str">
        <f>"9781855758568"</f>
        <v>9781855758568</v>
      </c>
      <c r="D2921" t="str">
        <f>"9781849407779"</f>
        <v>9781849407779</v>
      </c>
      <c r="E2921" t="s">
        <v>26010</v>
      </c>
      <c r="F2921" t="s">
        <v>35</v>
      </c>
      <c r="G2921" t="s">
        <v>22174</v>
      </c>
      <c r="H2921" t="s">
        <v>26011</v>
      </c>
      <c r="I2921" s="26">
        <v>43251</v>
      </c>
      <c r="J2921">
        <v>2011</v>
      </c>
      <c r="K2921" t="s">
        <v>26012</v>
      </c>
      <c r="L2921">
        <v>261</v>
      </c>
      <c r="M2921" t="s">
        <v>36785</v>
      </c>
      <c r="N2921">
        <v>1</v>
      </c>
      <c r="O2921" t="s">
        <v>36633</v>
      </c>
      <c r="Q2921" t="s">
        <v>36786</v>
      </c>
      <c r="R2921">
        <v>150.19499999999999</v>
      </c>
      <c r="S2921" t="s">
        <v>36663</v>
      </c>
      <c r="T2921" t="s">
        <v>30</v>
      </c>
      <c r="U2921" t="s">
        <v>46</v>
      </c>
      <c r="W2921" t="s">
        <v>26009</v>
      </c>
    </row>
    <row r="2922" spans="1:23" x14ac:dyDescent="0.35">
      <c r="A2922">
        <v>689941</v>
      </c>
      <c r="B2922" t="s">
        <v>36787</v>
      </c>
      <c r="C2922" t="str">
        <f>"9781855753662"</f>
        <v>9781855753662</v>
      </c>
      <c r="D2922" t="str">
        <f>"9780429906985"</f>
        <v>9780429906985</v>
      </c>
      <c r="E2922" t="s">
        <v>26010</v>
      </c>
      <c r="F2922" t="s">
        <v>35</v>
      </c>
      <c r="G2922" t="s">
        <v>22174</v>
      </c>
      <c r="H2922" t="s">
        <v>26011</v>
      </c>
      <c r="I2922" s="26">
        <v>38548</v>
      </c>
      <c r="J2922">
        <v>2005</v>
      </c>
      <c r="K2922" t="s">
        <v>26012</v>
      </c>
      <c r="L2922">
        <v>868</v>
      </c>
      <c r="M2922" t="s">
        <v>36788</v>
      </c>
      <c r="N2922">
        <v>1</v>
      </c>
      <c r="Q2922" t="s">
        <v>36789</v>
      </c>
      <c r="R2922">
        <v>616.89170300000001</v>
      </c>
      <c r="S2922" t="s">
        <v>36790</v>
      </c>
      <c r="T2922" t="s">
        <v>30</v>
      </c>
      <c r="U2922" t="s">
        <v>26019</v>
      </c>
      <c r="W2922" t="s">
        <v>26009</v>
      </c>
    </row>
    <row r="2923" spans="1:23" x14ac:dyDescent="0.35">
      <c r="A2923">
        <v>689942</v>
      </c>
      <c r="B2923" t="s">
        <v>36791</v>
      </c>
      <c r="C2923" t="str">
        <f>"9781855757301"</f>
        <v>9781855757301</v>
      </c>
      <c r="D2923" t="str">
        <f>"9780429922923"</f>
        <v>9780429922923</v>
      </c>
      <c r="E2923" t="s">
        <v>26010</v>
      </c>
      <c r="F2923" t="s">
        <v>35</v>
      </c>
      <c r="G2923" t="s">
        <v>22174</v>
      </c>
      <c r="H2923" t="s">
        <v>26011</v>
      </c>
      <c r="I2923" s="26">
        <v>40543</v>
      </c>
      <c r="J2923">
        <v>2010</v>
      </c>
      <c r="K2923" t="s">
        <v>26012</v>
      </c>
      <c r="L2923">
        <v>232</v>
      </c>
      <c r="M2923" t="s">
        <v>36792</v>
      </c>
      <c r="N2923">
        <v>1</v>
      </c>
      <c r="O2923" t="s">
        <v>36510</v>
      </c>
      <c r="Q2923" t="s">
        <v>36793</v>
      </c>
      <c r="R2923">
        <v>618.92891399999996</v>
      </c>
      <c r="S2923" t="s">
        <v>36794</v>
      </c>
      <c r="T2923" t="s">
        <v>30</v>
      </c>
      <c r="U2923" t="s">
        <v>26116</v>
      </c>
      <c r="W2923" t="s">
        <v>26009</v>
      </c>
    </row>
    <row r="2924" spans="1:23" x14ac:dyDescent="0.35">
      <c r="A2924">
        <v>689943</v>
      </c>
      <c r="B2924" t="s">
        <v>9297</v>
      </c>
      <c r="C2924" t="str">
        <f>"9781855755895"</f>
        <v>9781855755895</v>
      </c>
      <c r="D2924" t="str">
        <f>"9781849407809"</f>
        <v>9781849407809</v>
      </c>
      <c r="E2924" t="s">
        <v>26010</v>
      </c>
      <c r="F2924" t="s">
        <v>35</v>
      </c>
      <c r="G2924" t="s">
        <v>22174</v>
      </c>
      <c r="H2924" t="s">
        <v>26011</v>
      </c>
      <c r="I2924" s="26">
        <v>40266</v>
      </c>
      <c r="J2924">
        <v>2010</v>
      </c>
      <c r="K2924" t="s">
        <v>26012</v>
      </c>
      <c r="L2924">
        <v>346</v>
      </c>
      <c r="M2924" t="s">
        <v>36795</v>
      </c>
      <c r="N2924">
        <v>1</v>
      </c>
      <c r="Q2924" t="s">
        <v>36796</v>
      </c>
      <c r="R2924">
        <v>306.77</v>
      </c>
      <c r="S2924" t="s">
        <v>36797</v>
      </c>
      <c r="T2924" t="s">
        <v>30</v>
      </c>
      <c r="U2924" t="s">
        <v>26044</v>
      </c>
      <c r="W2924" t="s">
        <v>26009</v>
      </c>
    </row>
    <row r="2925" spans="1:23" x14ac:dyDescent="0.35">
      <c r="A2925">
        <v>689944</v>
      </c>
      <c r="B2925" t="s">
        <v>36798</v>
      </c>
      <c r="C2925" t="str">
        <f>"9781855757837"</f>
        <v>9781855757837</v>
      </c>
      <c r="D2925" t="str">
        <f>"9780429912436"</f>
        <v>9780429912436</v>
      </c>
      <c r="E2925" t="s">
        <v>26010</v>
      </c>
      <c r="F2925" t="s">
        <v>35</v>
      </c>
      <c r="G2925" t="s">
        <v>26128</v>
      </c>
      <c r="H2925" t="s">
        <v>26011</v>
      </c>
      <c r="I2925" s="26">
        <v>40543</v>
      </c>
      <c r="J2925">
        <v>2010</v>
      </c>
      <c r="K2925" t="s">
        <v>26012</v>
      </c>
      <c r="L2925">
        <v>382</v>
      </c>
      <c r="M2925" t="s">
        <v>36799</v>
      </c>
      <c r="N2925">
        <v>1</v>
      </c>
      <c r="R2925">
        <v>616.89</v>
      </c>
      <c r="S2925" t="s">
        <v>7661</v>
      </c>
      <c r="T2925" t="s">
        <v>30</v>
      </c>
      <c r="U2925" t="s">
        <v>26040</v>
      </c>
      <c r="W2925" t="s">
        <v>26009</v>
      </c>
    </row>
    <row r="2926" spans="1:23" x14ac:dyDescent="0.35">
      <c r="A2926">
        <v>689945</v>
      </c>
      <c r="B2926" t="s">
        <v>36800</v>
      </c>
      <c r="C2926" t="str">
        <f>"9781855757639"</f>
        <v>9781855757639</v>
      </c>
      <c r="D2926" t="str">
        <f>"9781849407823"</f>
        <v>9781849407823</v>
      </c>
      <c r="E2926" t="s">
        <v>26010</v>
      </c>
      <c r="F2926" t="s">
        <v>35</v>
      </c>
      <c r="G2926" t="s">
        <v>22174</v>
      </c>
      <c r="H2926" t="s">
        <v>26011</v>
      </c>
      <c r="I2926" s="26">
        <v>40466</v>
      </c>
      <c r="J2926">
        <v>2010</v>
      </c>
      <c r="K2926" t="s">
        <v>26012</v>
      </c>
      <c r="L2926">
        <v>310</v>
      </c>
      <c r="M2926" t="s">
        <v>36801</v>
      </c>
      <c r="N2926">
        <v>1</v>
      </c>
      <c r="Q2926" t="s">
        <v>36802</v>
      </c>
      <c r="R2926">
        <v>302.35000000000002</v>
      </c>
      <c r="S2926" t="s">
        <v>36803</v>
      </c>
      <c r="T2926" t="s">
        <v>30</v>
      </c>
      <c r="U2926" t="s">
        <v>26044</v>
      </c>
      <c r="W2926" t="s">
        <v>26009</v>
      </c>
    </row>
    <row r="2927" spans="1:23" x14ac:dyDescent="0.35">
      <c r="A2927">
        <v>689948</v>
      </c>
      <c r="B2927" t="s">
        <v>10084</v>
      </c>
      <c r="C2927" t="str">
        <f>"9781855756434"</f>
        <v>9781855756434</v>
      </c>
      <c r="D2927" t="str">
        <f>"9781849407854"</f>
        <v>9781849407854</v>
      </c>
      <c r="E2927" t="s">
        <v>26010</v>
      </c>
      <c r="F2927" t="s">
        <v>35</v>
      </c>
      <c r="G2927" t="s">
        <v>22174</v>
      </c>
      <c r="H2927" t="s">
        <v>26011</v>
      </c>
      <c r="I2927" s="26">
        <v>40543</v>
      </c>
      <c r="J2927">
        <v>2010</v>
      </c>
      <c r="K2927" t="s">
        <v>26012</v>
      </c>
      <c r="L2927">
        <v>177</v>
      </c>
      <c r="M2927" t="s">
        <v>36804</v>
      </c>
      <c r="N2927">
        <v>1</v>
      </c>
      <c r="O2927" t="s">
        <v>36805</v>
      </c>
      <c r="Q2927" t="s">
        <v>36806</v>
      </c>
      <c r="R2927">
        <v>616.89170709999996</v>
      </c>
      <c r="S2927" t="s">
        <v>36807</v>
      </c>
      <c r="T2927" t="s">
        <v>30</v>
      </c>
      <c r="U2927" t="s">
        <v>26019</v>
      </c>
      <c r="W2927" t="s">
        <v>26009</v>
      </c>
    </row>
    <row r="2928" spans="1:23" x14ac:dyDescent="0.35">
      <c r="A2928">
        <v>689949</v>
      </c>
      <c r="B2928" t="s">
        <v>36808</v>
      </c>
      <c r="C2928" t="str">
        <f>"9781855757080"</f>
        <v>9781855757080</v>
      </c>
      <c r="D2928" t="str">
        <f>"9781849407878"</f>
        <v>9781849407878</v>
      </c>
      <c r="E2928" t="s">
        <v>26010</v>
      </c>
      <c r="F2928" t="s">
        <v>35</v>
      </c>
      <c r="G2928" t="s">
        <v>26128</v>
      </c>
      <c r="H2928" t="s">
        <v>26011</v>
      </c>
      <c r="I2928" s="26">
        <v>40543</v>
      </c>
      <c r="J2928">
        <v>2010</v>
      </c>
      <c r="K2928" t="s">
        <v>26012</v>
      </c>
      <c r="L2928">
        <v>263</v>
      </c>
      <c r="M2928" t="s">
        <v>36809</v>
      </c>
      <c r="N2928">
        <v>1</v>
      </c>
      <c r="S2928" t="s">
        <v>9244</v>
      </c>
      <c r="T2928" t="s">
        <v>30</v>
      </c>
      <c r="U2928" t="s">
        <v>46</v>
      </c>
      <c r="W2928" t="s">
        <v>26009</v>
      </c>
    </row>
    <row r="2929" spans="1:23" x14ac:dyDescent="0.35">
      <c r="A2929">
        <v>689950</v>
      </c>
      <c r="B2929" t="s">
        <v>36810</v>
      </c>
      <c r="C2929" t="str">
        <f>"9781855758902"</f>
        <v>9781855758902</v>
      </c>
      <c r="D2929" t="str">
        <f>"9781849407915"</f>
        <v>9781849407915</v>
      </c>
      <c r="E2929" t="s">
        <v>26010</v>
      </c>
      <c r="F2929" t="s">
        <v>35</v>
      </c>
      <c r="G2929" t="s">
        <v>22174</v>
      </c>
      <c r="H2929" t="s">
        <v>26011</v>
      </c>
      <c r="I2929" s="26">
        <v>40179</v>
      </c>
      <c r="J2929">
        <v>2010</v>
      </c>
      <c r="K2929" t="s">
        <v>26012</v>
      </c>
      <c r="L2929">
        <v>151</v>
      </c>
      <c r="M2929" t="s">
        <v>36811</v>
      </c>
      <c r="N2929">
        <v>1</v>
      </c>
      <c r="Q2929" t="s">
        <v>36812</v>
      </c>
      <c r="R2929">
        <v>150.19509199999999</v>
      </c>
      <c r="S2929" t="s">
        <v>36813</v>
      </c>
      <c r="T2929" t="s">
        <v>30</v>
      </c>
      <c r="U2929" t="s">
        <v>26019</v>
      </c>
      <c r="W2929" t="s">
        <v>26009</v>
      </c>
    </row>
    <row r="2930" spans="1:23" x14ac:dyDescent="0.35">
      <c r="A2930">
        <v>689953</v>
      </c>
      <c r="B2930" t="s">
        <v>9562</v>
      </c>
      <c r="C2930" t="str">
        <f>"9781855756403"</f>
        <v>9781855756403</v>
      </c>
      <c r="D2930" t="str">
        <f>"9781849407946"</f>
        <v>9781849407946</v>
      </c>
      <c r="E2930" t="s">
        <v>26010</v>
      </c>
      <c r="F2930" t="s">
        <v>35</v>
      </c>
      <c r="G2930" t="s">
        <v>22174</v>
      </c>
      <c r="H2930" t="s">
        <v>26011</v>
      </c>
      <c r="I2930" s="26">
        <v>40543</v>
      </c>
      <c r="J2930">
        <v>2010</v>
      </c>
      <c r="K2930" t="s">
        <v>26012</v>
      </c>
      <c r="L2930">
        <v>269</v>
      </c>
      <c r="M2930" t="s">
        <v>35591</v>
      </c>
      <c r="N2930">
        <v>1</v>
      </c>
      <c r="O2930" t="s">
        <v>36814</v>
      </c>
      <c r="Q2930" t="s">
        <v>36815</v>
      </c>
      <c r="R2930">
        <v>150.19499999999999</v>
      </c>
      <c r="S2930" t="s">
        <v>7514</v>
      </c>
      <c r="T2930" t="s">
        <v>30</v>
      </c>
      <c r="U2930" t="s">
        <v>26116</v>
      </c>
      <c r="W2930" t="s">
        <v>26009</v>
      </c>
    </row>
    <row r="2931" spans="1:23" x14ac:dyDescent="0.35">
      <c r="A2931">
        <v>689954</v>
      </c>
      <c r="B2931" t="s">
        <v>36816</v>
      </c>
      <c r="C2931" t="str">
        <f>"9781855756175"</f>
        <v>9781855756175</v>
      </c>
      <c r="D2931" t="str">
        <f>"9781849407953"</f>
        <v>9781849407953</v>
      </c>
      <c r="E2931" t="s">
        <v>26010</v>
      </c>
      <c r="F2931" t="s">
        <v>35</v>
      </c>
      <c r="G2931" t="s">
        <v>22174</v>
      </c>
      <c r="H2931" t="s">
        <v>26011</v>
      </c>
      <c r="I2931" s="26">
        <v>40179</v>
      </c>
      <c r="J2931">
        <v>2010</v>
      </c>
      <c r="K2931" t="s">
        <v>26012</v>
      </c>
      <c r="L2931">
        <v>225</v>
      </c>
      <c r="M2931" t="s">
        <v>36811</v>
      </c>
      <c r="N2931">
        <v>1</v>
      </c>
      <c r="Q2931" t="s">
        <v>36817</v>
      </c>
      <c r="R2931">
        <v>150.1952</v>
      </c>
      <c r="S2931" t="s">
        <v>36818</v>
      </c>
      <c r="T2931" t="s">
        <v>30</v>
      </c>
      <c r="U2931" t="s">
        <v>46</v>
      </c>
      <c r="W2931" t="s">
        <v>26009</v>
      </c>
    </row>
    <row r="2932" spans="1:23" x14ac:dyDescent="0.35">
      <c r="A2932">
        <v>689955</v>
      </c>
      <c r="B2932" t="s">
        <v>8687</v>
      </c>
      <c r="C2932" t="str">
        <f>"9781855754744"</f>
        <v>9781855754744</v>
      </c>
      <c r="D2932" t="str">
        <f>"9781849407960"</f>
        <v>9781849407960</v>
      </c>
      <c r="E2932" t="s">
        <v>26010</v>
      </c>
      <c r="F2932" t="s">
        <v>35</v>
      </c>
      <c r="G2932" t="s">
        <v>26128</v>
      </c>
      <c r="H2932" t="s">
        <v>26011</v>
      </c>
      <c r="I2932" s="26">
        <v>40295</v>
      </c>
      <c r="J2932">
        <v>2010</v>
      </c>
      <c r="K2932" t="s">
        <v>26012</v>
      </c>
      <c r="L2932">
        <v>487</v>
      </c>
      <c r="M2932" t="s">
        <v>36819</v>
      </c>
      <c r="N2932">
        <v>1</v>
      </c>
      <c r="R2932">
        <v>616.89</v>
      </c>
      <c r="S2932" t="s">
        <v>8688</v>
      </c>
      <c r="T2932" t="s">
        <v>30</v>
      </c>
      <c r="U2932" t="s">
        <v>26040</v>
      </c>
      <c r="W2932" t="s">
        <v>26009</v>
      </c>
    </row>
    <row r="2933" spans="1:23" x14ac:dyDescent="0.35">
      <c r="A2933">
        <v>689956</v>
      </c>
      <c r="B2933" t="s">
        <v>8936</v>
      </c>
      <c r="C2933" t="str">
        <f>"9781855757264"</f>
        <v>9781855757264</v>
      </c>
      <c r="D2933" t="str">
        <f>"9781849407977"</f>
        <v>9781849407977</v>
      </c>
      <c r="E2933" t="s">
        <v>26010</v>
      </c>
      <c r="F2933" t="s">
        <v>35</v>
      </c>
      <c r="G2933" t="s">
        <v>22174</v>
      </c>
      <c r="H2933" t="s">
        <v>26011</v>
      </c>
      <c r="I2933" s="26">
        <v>40543</v>
      </c>
      <c r="J2933">
        <v>2010</v>
      </c>
      <c r="K2933" t="s">
        <v>26012</v>
      </c>
      <c r="L2933">
        <v>242</v>
      </c>
      <c r="M2933" t="s">
        <v>36820</v>
      </c>
      <c r="N2933">
        <v>1</v>
      </c>
      <c r="O2933" t="s">
        <v>36805</v>
      </c>
      <c r="Q2933" t="s">
        <v>36821</v>
      </c>
      <c r="R2933">
        <v>150.19499999999999</v>
      </c>
      <c r="S2933" t="s">
        <v>36822</v>
      </c>
      <c r="T2933" t="s">
        <v>30</v>
      </c>
      <c r="U2933" t="s">
        <v>46</v>
      </c>
      <c r="W2933" t="s">
        <v>26009</v>
      </c>
    </row>
    <row r="2934" spans="1:23" x14ac:dyDescent="0.35">
      <c r="A2934">
        <v>689957</v>
      </c>
      <c r="B2934" t="s">
        <v>36823</v>
      </c>
      <c r="C2934" t="str">
        <f>"9781855757806"</f>
        <v>9781855757806</v>
      </c>
      <c r="D2934" t="str">
        <f>"9781849407991"</f>
        <v>9781849407991</v>
      </c>
      <c r="E2934" t="s">
        <v>26010</v>
      </c>
      <c r="F2934" t="s">
        <v>35</v>
      </c>
      <c r="G2934" t="s">
        <v>22174</v>
      </c>
      <c r="H2934" t="s">
        <v>26011</v>
      </c>
      <c r="I2934" s="26">
        <v>40178</v>
      </c>
      <c r="J2934">
        <v>2009</v>
      </c>
      <c r="K2934" t="s">
        <v>26012</v>
      </c>
      <c r="L2934">
        <v>676</v>
      </c>
      <c r="M2934" t="s">
        <v>35717</v>
      </c>
      <c r="N2934">
        <v>1</v>
      </c>
      <c r="O2934" t="s">
        <v>36633</v>
      </c>
      <c r="Q2934" t="s">
        <v>36824</v>
      </c>
      <c r="R2934">
        <v>150.19880000000001</v>
      </c>
      <c r="S2934" t="s">
        <v>36825</v>
      </c>
      <c r="T2934" t="s">
        <v>30</v>
      </c>
      <c r="U2934" t="s">
        <v>46</v>
      </c>
      <c r="W2934" t="s">
        <v>26009</v>
      </c>
    </row>
    <row r="2935" spans="1:23" x14ac:dyDescent="0.35">
      <c r="A2935">
        <v>689958</v>
      </c>
      <c r="B2935" t="s">
        <v>36826</v>
      </c>
      <c r="C2935" t="str">
        <f>"9781855756816"</f>
        <v>9781855756816</v>
      </c>
      <c r="D2935" t="str">
        <f>"9781849408004"</f>
        <v>9781849408004</v>
      </c>
      <c r="E2935" t="s">
        <v>26010</v>
      </c>
      <c r="F2935" t="s">
        <v>35</v>
      </c>
      <c r="G2935" t="s">
        <v>22174</v>
      </c>
      <c r="H2935" t="s">
        <v>26011</v>
      </c>
      <c r="I2935" s="26">
        <v>39897</v>
      </c>
      <c r="J2935">
        <v>2009</v>
      </c>
      <c r="K2935" t="s">
        <v>26012</v>
      </c>
      <c r="L2935">
        <v>176</v>
      </c>
      <c r="M2935" t="s">
        <v>35717</v>
      </c>
      <c r="N2935">
        <v>1</v>
      </c>
      <c r="Q2935" t="s">
        <v>36827</v>
      </c>
      <c r="R2935">
        <v>616.89139999999998</v>
      </c>
      <c r="S2935" t="s">
        <v>36828</v>
      </c>
      <c r="T2935" t="s">
        <v>30</v>
      </c>
      <c r="U2935" t="s">
        <v>26019</v>
      </c>
      <c r="W2935" t="s">
        <v>26009</v>
      </c>
    </row>
    <row r="2936" spans="1:23" x14ac:dyDescent="0.35">
      <c r="A2936">
        <v>689959</v>
      </c>
      <c r="B2936" t="s">
        <v>10096</v>
      </c>
      <c r="C2936" t="str">
        <f>"9781855757653"</f>
        <v>9781855757653</v>
      </c>
      <c r="D2936" t="str">
        <f>"9781849408028"</f>
        <v>9781849408028</v>
      </c>
      <c r="E2936" t="s">
        <v>26010</v>
      </c>
      <c r="F2936" t="s">
        <v>35</v>
      </c>
      <c r="G2936" t="s">
        <v>22174</v>
      </c>
      <c r="H2936" t="s">
        <v>26011</v>
      </c>
      <c r="I2936" s="26">
        <v>40178</v>
      </c>
      <c r="J2936">
        <v>2009</v>
      </c>
      <c r="K2936" t="s">
        <v>26012</v>
      </c>
      <c r="L2936">
        <v>150</v>
      </c>
      <c r="M2936" t="s">
        <v>36829</v>
      </c>
      <c r="N2936">
        <v>1</v>
      </c>
      <c r="O2936" t="s">
        <v>36830</v>
      </c>
      <c r="Q2936" t="s">
        <v>36831</v>
      </c>
      <c r="R2936">
        <v>150.19499999999999</v>
      </c>
      <c r="S2936" t="s">
        <v>36832</v>
      </c>
      <c r="T2936" t="s">
        <v>30</v>
      </c>
      <c r="U2936" t="s">
        <v>46</v>
      </c>
      <c r="W2936" t="s">
        <v>26009</v>
      </c>
    </row>
    <row r="2937" spans="1:23" x14ac:dyDescent="0.35">
      <c r="A2937">
        <v>689960</v>
      </c>
      <c r="B2937" t="s">
        <v>36833</v>
      </c>
      <c r="C2937" t="str">
        <f>"9781855756779"</f>
        <v>9781855756779</v>
      </c>
      <c r="D2937" t="str">
        <f>"9781849408035"</f>
        <v>9781849408035</v>
      </c>
      <c r="E2937" t="s">
        <v>26010</v>
      </c>
      <c r="F2937" t="s">
        <v>35</v>
      </c>
      <c r="G2937" t="s">
        <v>22174</v>
      </c>
      <c r="H2937" t="s">
        <v>26011</v>
      </c>
      <c r="I2937" s="26">
        <v>40178</v>
      </c>
      <c r="J2937">
        <v>2009</v>
      </c>
      <c r="K2937" t="s">
        <v>26012</v>
      </c>
      <c r="L2937">
        <v>280</v>
      </c>
      <c r="M2937" t="s">
        <v>36834</v>
      </c>
      <c r="N2937">
        <v>1</v>
      </c>
      <c r="O2937" t="s">
        <v>36835</v>
      </c>
      <c r="Q2937" t="s">
        <v>36836</v>
      </c>
      <c r="R2937">
        <v>302.3</v>
      </c>
      <c r="S2937" t="s">
        <v>36837</v>
      </c>
      <c r="T2937" t="s">
        <v>30</v>
      </c>
      <c r="U2937" t="s">
        <v>26044</v>
      </c>
      <c r="W2937" t="s">
        <v>26009</v>
      </c>
    </row>
    <row r="2938" spans="1:23" x14ac:dyDescent="0.35">
      <c r="A2938">
        <v>689961</v>
      </c>
      <c r="B2938" t="s">
        <v>36838</v>
      </c>
      <c r="C2938" t="str">
        <f>"9781855757615"</f>
        <v>9781855757615</v>
      </c>
      <c r="D2938" t="str">
        <f>"9781849408042"</f>
        <v>9781849408042</v>
      </c>
      <c r="E2938" t="s">
        <v>26010</v>
      </c>
      <c r="F2938" t="s">
        <v>35</v>
      </c>
      <c r="G2938" t="s">
        <v>22174</v>
      </c>
      <c r="H2938" t="s">
        <v>26011</v>
      </c>
      <c r="I2938" s="26">
        <v>40178</v>
      </c>
      <c r="J2938">
        <v>2009</v>
      </c>
      <c r="K2938" t="s">
        <v>26012</v>
      </c>
      <c r="L2938">
        <v>273</v>
      </c>
      <c r="M2938" t="s">
        <v>36839</v>
      </c>
      <c r="N2938">
        <v>1</v>
      </c>
      <c r="O2938" t="s">
        <v>36633</v>
      </c>
      <c r="Q2938" t="s">
        <v>36840</v>
      </c>
      <c r="R2938">
        <v>150.19499999999999</v>
      </c>
      <c r="S2938" t="s">
        <v>36841</v>
      </c>
      <c r="T2938" t="s">
        <v>30</v>
      </c>
      <c r="U2938" t="s">
        <v>26019</v>
      </c>
      <c r="W2938" t="s">
        <v>26009</v>
      </c>
    </row>
    <row r="2939" spans="1:23" x14ac:dyDescent="0.35">
      <c r="A2939">
        <v>689963</v>
      </c>
      <c r="B2939" t="s">
        <v>9295</v>
      </c>
      <c r="C2939" t="str">
        <f>"9781855757554"</f>
        <v>9781855757554</v>
      </c>
      <c r="D2939" t="str">
        <f>"9781849408066"</f>
        <v>9781849408066</v>
      </c>
      <c r="E2939" t="s">
        <v>26010</v>
      </c>
      <c r="F2939" t="s">
        <v>35</v>
      </c>
      <c r="G2939" t="s">
        <v>22174</v>
      </c>
      <c r="H2939" t="s">
        <v>26011</v>
      </c>
      <c r="I2939" s="26">
        <v>40178</v>
      </c>
      <c r="J2939">
        <v>2009</v>
      </c>
      <c r="K2939" t="s">
        <v>26012</v>
      </c>
      <c r="L2939">
        <v>241</v>
      </c>
      <c r="M2939" t="s">
        <v>36842</v>
      </c>
      <c r="N2939">
        <v>1</v>
      </c>
      <c r="O2939" t="s">
        <v>36658</v>
      </c>
      <c r="Q2939" t="s">
        <v>36843</v>
      </c>
      <c r="R2939">
        <v>150.1952</v>
      </c>
      <c r="S2939" t="s">
        <v>36844</v>
      </c>
      <c r="T2939" t="s">
        <v>30</v>
      </c>
      <c r="U2939" t="s">
        <v>46</v>
      </c>
      <c r="W2939" t="s">
        <v>26009</v>
      </c>
    </row>
    <row r="2940" spans="1:23" x14ac:dyDescent="0.35">
      <c r="A2940">
        <v>689965</v>
      </c>
      <c r="B2940" t="s">
        <v>36845</v>
      </c>
      <c r="C2940" t="str">
        <f>"9781855755949"</f>
        <v>9781855755949</v>
      </c>
      <c r="D2940" t="str">
        <f>"9781849408080"</f>
        <v>9781849408080</v>
      </c>
      <c r="E2940" t="s">
        <v>26010</v>
      </c>
      <c r="F2940" t="s">
        <v>35</v>
      </c>
      <c r="G2940" t="s">
        <v>22174</v>
      </c>
      <c r="H2940" t="s">
        <v>26011</v>
      </c>
      <c r="I2940" s="26">
        <v>39841</v>
      </c>
      <c r="J2940">
        <v>2009</v>
      </c>
      <c r="K2940" t="s">
        <v>26012</v>
      </c>
      <c r="L2940">
        <v>201</v>
      </c>
      <c r="M2940" t="s">
        <v>36846</v>
      </c>
      <c r="N2940">
        <v>1</v>
      </c>
      <c r="Q2940" t="s">
        <v>36847</v>
      </c>
      <c r="R2940">
        <v>28.9</v>
      </c>
      <c r="S2940" t="s">
        <v>36848</v>
      </c>
      <c r="T2940" t="s">
        <v>30</v>
      </c>
      <c r="U2940" t="s">
        <v>36849</v>
      </c>
      <c r="W2940" t="s">
        <v>26009</v>
      </c>
    </row>
    <row r="2941" spans="1:23" x14ac:dyDescent="0.35">
      <c r="A2941">
        <v>689966</v>
      </c>
      <c r="B2941" t="s">
        <v>36850</v>
      </c>
      <c r="C2941" t="str">
        <f>"9781855755543"</f>
        <v>9781855755543</v>
      </c>
      <c r="D2941" t="str">
        <f>"9781849408097"</f>
        <v>9781849408097</v>
      </c>
      <c r="E2941" t="s">
        <v>26010</v>
      </c>
      <c r="F2941" t="s">
        <v>35</v>
      </c>
      <c r="G2941" t="s">
        <v>26128</v>
      </c>
      <c r="H2941" t="s">
        <v>26011</v>
      </c>
      <c r="I2941" s="26">
        <v>40115</v>
      </c>
      <c r="J2941">
        <v>2009</v>
      </c>
      <c r="K2941" t="s">
        <v>26012</v>
      </c>
      <c r="L2941">
        <v>236</v>
      </c>
      <c r="M2941" t="s">
        <v>36851</v>
      </c>
      <c r="N2941">
        <v>1</v>
      </c>
      <c r="R2941">
        <v>154.63</v>
      </c>
      <c r="S2941" t="s">
        <v>36852</v>
      </c>
      <c r="T2941" t="s">
        <v>30</v>
      </c>
      <c r="U2941" t="s">
        <v>46</v>
      </c>
      <c r="W2941" t="s">
        <v>26009</v>
      </c>
    </row>
    <row r="2942" spans="1:23" x14ac:dyDescent="0.35">
      <c r="A2942">
        <v>689967</v>
      </c>
      <c r="B2942" t="s">
        <v>36853</v>
      </c>
      <c r="C2942" t="str">
        <f>"9781855756717"</f>
        <v>9781855756717</v>
      </c>
      <c r="D2942" t="str">
        <f>"9781849408127"</f>
        <v>9781849408127</v>
      </c>
      <c r="E2942" t="s">
        <v>26010</v>
      </c>
      <c r="F2942" t="s">
        <v>35</v>
      </c>
      <c r="G2942" t="s">
        <v>22174</v>
      </c>
      <c r="H2942" t="s">
        <v>26011</v>
      </c>
      <c r="I2942" s="26">
        <v>39869</v>
      </c>
      <c r="J2942">
        <v>2009</v>
      </c>
      <c r="K2942" t="s">
        <v>26012</v>
      </c>
      <c r="L2942">
        <v>337</v>
      </c>
      <c r="M2942" t="s">
        <v>36854</v>
      </c>
      <c r="N2942">
        <v>1</v>
      </c>
      <c r="O2942" t="s">
        <v>36855</v>
      </c>
      <c r="Q2942" t="s">
        <v>36856</v>
      </c>
      <c r="R2942">
        <v>158.1</v>
      </c>
      <c r="S2942" t="s">
        <v>36857</v>
      </c>
      <c r="T2942" t="s">
        <v>30</v>
      </c>
      <c r="U2942" t="s">
        <v>46</v>
      </c>
      <c r="W2942" t="s">
        <v>26009</v>
      </c>
    </row>
    <row r="2943" spans="1:23" x14ac:dyDescent="0.35">
      <c r="A2943">
        <v>689968</v>
      </c>
      <c r="B2943" t="s">
        <v>36858</v>
      </c>
      <c r="C2943" t="str">
        <f>"9781855756564"</f>
        <v>9781855756564</v>
      </c>
      <c r="D2943" t="str">
        <f>"9781849408141"</f>
        <v>9781849408141</v>
      </c>
      <c r="E2943" t="s">
        <v>26010</v>
      </c>
      <c r="F2943" t="s">
        <v>35</v>
      </c>
      <c r="G2943" t="s">
        <v>22174</v>
      </c>
      <c r="H2943" t="s">
        <v>26011</v>
      </c>
      <c r="I2943" s="26">
        <v>39861</v>
      </c>
      <c r="J2943">
        <v>2009</v>
      </c>
      <c r="K2943" t="s">
        <v>26012</v>
      </c>
      <c r="L2943">
        <v>433</v>
      </c>
      <c r="M2943" t="s">
        <v>36859</v>
      </c>
      <c r="N2943">
        <v>1</v>
      </c>
      <c r="Q2943" t="s">
        <v>36860</v>
      </c>
      <c r="R2943">
        <v>616.89140922000001</v>
      </c>
      <c r="S2943" t="s">
        <v>36861</v>
      </c>
      <c r="T2943" t="s">
        <v>30</v>
      </c>
      <c r="U2943" t="s">
        <v>26019</v>
      </c>
      <c r="W2943" t="s">
        <v>26009</v>
      </c>
    </row>
    <row r="2944" spans="1:23" x14ac:dyDescent="0.35">
      <c r="A2944">
        <v>689970</v>
      </c>
      <c r="B2944" t="s">
        <v>36862</v>
      </c>
      <c r="C2944" t="str">
        <f>"9781855755048"</f>
        <v>9781855755048</v>
      </c>
      <c r="D2944" t="str">
        <f>"9781849408165"</f>
        <v>9781849408165</v>
      </c>
      <c r="E2944" t="s">
        <v>26010</v>
      </c>
      <c r="F2944" t="s">
        <v>35</v>
      </c>
      <c r="G2944" t="s">
        <v>22174</v>
      </c>
      <c r="H2944" t="s">
        <v>26011</v>
      </c>
      <c r="I2944" s="26">
        <v>39962</v>
      </c>
      <c r="J2944">
        <v>2009</v>
      </c>
      <c r="K2944" t="s">
        <v>26012</v>
      </c>
      <c r="L2944">
        <v>345</v>
      </c>
      <c r="M2944" t="s">
        <v>36863</v>
      </c>
      <c r="N2944">
        <v>1</v>
      </c>
      <c r="Q2944" t="s">
        <v>36864</v>
      </c>
      <c r="R2944">
        <v>616.89139999999998</v>
      </c>
      <c r="S2944" t="s">
        <v>36865</v>
      </c>
      <c r="T2944" t="s">
        <v>30</v>
      </c>
      <c r="U2944" t="s">
        <v>26019</v>
      </c>
      <c r="W2944" t="s">
        <v>26009</v>
      </c>
    </row>
    <row r="2945" spans="1:23" x14ac:dyDescent="0.35">
      <c r="A2945">
        <v>689971</v>
      </c>
      <c r="B2945" t="s">
        <v>9302</v>
      </c>
      <c r="C2945" t="str">
        <f>"9781855756519"</f>
        <v>9781855756519</v>
      </c>
      <c r="D2945" t="str">
        <f>"9781849408172"</f>
        <v>9781849408172</v>
      </c>
      <c r="E2945" t="s">
        <v>26010</v>
      </c>
      <c r="F2945" t="s">
        <v>35</v>
      </c>
      <c r="G2945" t="s">
        <v>26128</v>
      </c>
      <c r="H2945" t="s">
        <v>26011</v>
      </c>
      <c r="I2945" s="26">
        <v>40178</v>
      </c>
      <c r="J2945">
        <v>2009</v>
      </c>
      <c r="K2945" t="s">
        <v>26012</v>
      </c>
      <c r="L2945">
        <v>138</v>
      </c>
      <c r="M2945" t="s">
        <v>36866</v>
      </c>
      <c r="N2945">
        <v>1</v>
      </c>
      <c r="R2945">
        <v>616.89</v>
      </c>
      <c r="S2945" t="s">
        <v>7661</v>
      </c>
      <c r="T2945" t="s">
        <v>30</v>
      </c>
      <c r="U2945" t="s">
        <v>26040</v>
      </c>
      <c r="W2945" t="s">
        <v>26009</v>
      </c>
    </row>
    <row r="2946" spans="1:23" x14ac:dyDescent="0.35">
      <c r="A2946">
        <v>689973</v>
      </c>
      <c r="B2946" t="s">
        <v>7519</v>
      </c>
      <c r="C2946" t="str">
        <f>"9781855757660"</f>
        <v>9781855757660</v>
      </c>
      <c r="D2946" t="str">
        <f>"9781849408196"</f>
        <v>9781849408196</v>
      </c>
      <c r="E2946" t="s">
        <v>26010</v>
      </c>
      <c r="F2946" t="s">
        <v>35</v>
      </c>
      <c r="G2946" t="s">
        <v>22174</v>
      </c>
      <c r="H2946" t="s">
        <v>26011</v>
      </c>
      <c r="I2946" s="26">
        <v>40178</v>
      </c>
      <c r="J2946">
        <v>2009</v>
      </c>
      <c r="K2946" t="s">
        <v>26012</v>
      </c>
      <c r="L2946">
        <v>268</v>
      </c>
      <c r="M2946" t="s">
        <v>36867</v>
      </c>
      <c r="N2946">
        <v>1</v>
      </c>
      <c r="O2946" t="s">
        <v>36633</v>
      </c>
      <c r="Q2946" t="s">
        <v>36868</v>
      </c>
      <c r="R2946">
        <v>150.19499999999999</v>
      </c>
      <c r="S2946" t="s">
        <v>7514</v>
      </c>
      <c r="T2946" t="s">
        <v>30</v>
      </c>
      <c r="U2946" t="s">
        <v>26116</v>
      </c>
      <c r="W2946" t="s">
        <v>26009</v>
      </c>
    </row>
    <row r="2947" spans="1:23" x14ac:dyDescent="0.35">
      <c r="A2947">
        <v>689974</v>
      </c>
      <c r="B2947" t="s">
        <v>36869</v>
      </c>
      <c r="C2947" t="str">
        <f>"9781855756106"</f>
        <v>9781855756106</v>
      </c>
      <c r="D2947" t="str">
        <f>"9781849408202"</f>
        <v>9781849408202</v>
      </c>
      <c r="E2947" t="s">
        <v>26010</v>
      </c>
      <c r="F2947" t="s">
        <v>35</v>
      </c>
      <c r="G2947" t="s">
        <v>26128</v>
      </c>
      <c r="H2947" t="s">
        <v>26011</v>
      </c>
      <c r="I2947" s="26">
        <v>40078</v>
      </c>
      <c r="J2947">
        <v>2009</v>
      </c>
      <c r="K2947" t="s">
        <v>26012</v>
      </c>
      <c r="L2947">
        <v>405</v>
      </c>
      <c r="M2947" t="s">
        <v>36870</v>
      </c>
      <c r="N2947">
        <v>1</v>
      </c>
      <c r="R2947">
        <v>150.19499999999999</v>
      </c>
      <c r="S2947" t="s">
        <v>36871</v>
      </c>
      <c r="T2947" t="s">
        <v>30</v>
      </c>
      <c r="U2947" t="s">
        <v>46</v>
      </c>
      <c r="W2947" t="s">
        <v>26009</v>
      </c>
    </row>
    <row r="2948" spans="1:23" x14ac:dyDescent="0.35">
      <c r="A2948">
        <v>689975</v>
      </c>
      <c r="B2948" t="s">
        <v>36872</v>
      </c>
      <c r="C2948" t="str">
        <f>"9781855756991"</f>
        <v>9781855756991</v>
      </c>
      <c r="D2948" t="str">
        <f>"9781849408219"</f>
        <v>9781849408219</v>
      </c>
      <c r="E2948" t="s">
        <v>26010</v>
      </c>
      <c r="F2948" t="s">
        <v>35</v>
      </c>
      <c r="G2948" t="s">
        <v>22174</v>
      </c>
      <c r="H2948" t="s">
        <v>26011</v>
      </c>
      <c r="I2948" s="26">
        <v>39947</v>
      </c>
      <c r="J2948">
        <v>2009</v>
      </c>
      <c r="K2948" t="s">
        <v>26012</v>
      </c>
      <c r="L2948">
        <v>176</v>
      </c>
      <c r="M2948" t="s">
        <v>36559</v>
      </c>
      <c r="N2948">
        <v>1</v>
      </c>
      <c r="Q2948" t="s">
        <v>36873</v>
      </c>
      <c r="R2948">
        <v>150.19499999999999</v>
      </c>
      <c r="S2948" t="s">
        <v>36874</v>
      </c>
      <c r="T2948" t="s">
        <v>30</v>
      </c>
      <c r="U2948" t="s">
        <v>46</v>
      </c>
      <c r="W2948" t="s">
        <v>26009</v>
      </c>
    </row>
    <row r="2949" spans="1:23" x14ac:dyDescent="0.35">
      <c r="A2949">
        <v>689977</v>
      </c>
      <c r="B2949" t="s">
        <v>36875</v>
      </c>
      <c r="C2949" t="str">
        <f>"9781855755789"</f>
        <v>9781855755789</v>
      </c>
      <c r="D2949" t="str">
        <f>"9781849408233"</f>
        <v>9781849408233</v>
      </c>
      <c r="E2949" t="s">
        <v>26010</v>
      </c>
      <c r="F2949" t="s">
        <v>35</v>
      </c>
      <c r="G2949" t="s">
        <v>26128</v>
      </c>
      <c r="H2949" t="s">
        <v>26011</v>
      </c>
      <c r="I2949" s="26">
        <v>39947</v>
      </c>
      <c r="J2949">
        <v>2009</v>
      </c>
      <c r="K2949" t="s">
        <v>26012</v>
      </c>
      <c r="L2949">
        <v>128</v>
      </c>
      <c r="M2949" t="s">
        <v>36876</v>
      </c>
      <c r="N2949">
        <v>1</v>
      </c>
      <c r="S2949" t="s">
        <v>36877</v>
      </c>
      <c r="T2949" t="s">
        <v>30</v>
      </c>
      <c r="U2949" t="s">
        <v>46</v>
      </c>
      <c r="W2949" t="s">
        <v>26009</v>
      </c>
    </row>
    <row r="2950" spans="1:23" x14ac:dyDescent="0.35">
      <c r="A2950">
        <v>689979</v>
      </c>
      <c r="B2950" t="s">
        <v>36878</v>
      </c>
      <c r="C2950" t="str">
        <f>"9781855757813"</f>
        <v>9781855757813</v>
      </c>
      <c r="D2950" t="str">
        <f>"9780429920035"</f>
        <v>9780429920035</v>
      </c>
      <c r="E2950" t="s">
        <v>26010</v>
      </c>
      <c r="F2950" t="s">
        <v>35</v>
      </c>
      <c r="G2950" t="s">
        <v>22174</v>
      </c>
      <c r="H2950" t="s">
        <v>26011</v>
      </c>
      <c r="I2950" s="26">
        <v>40178</v>
      </c>
      <c r="J2950">
        <v>2009</v>
      </c>
      <c r="K2950" t="s">
        <v>26012</v>
      </c>
      <c r="L2950">
        <v>320</v>
      </c>
      <c r="M2950" t="s">
        <v>36879</v>
      </c>
      <c r="N2950">
        <v>1</v>
      </c>
      <c r="O2950" t="s">
        <v>36577</v>
      </c>
      <c r="Q2950" t="s">
        <v>36880</v>
      </c>
      <c r="R2950">
        <v>616.89</v>
      </c>
      <c r="S2950" t="s">
        <v>36881</v>
      </c>
      <c r="T2950" t="s">
        <v>30</v>
      </c>
      <c r="U2950" t="s">
        <v>26116</v>
      </c>
      <c r="W2950" t="s">
        <v>26009</v>
      </c>
    </row>
    <row r="2951" spans="1:23" x14ac:dyDescent="0.35">
      <c r="A2951">
        <v>689980</v>
      </c>
      <c r="B2951" t="s">
        <v>8330</v>
      </c>
      <c r="C2951" t="str">
        <f>"9781855756052"</f>
        <v>9781855756052</v>
      </c>
      <c r="D2951" t="str">
        <f>"9781849408264"</f>
        <v>9781849408264</v>
      </c>
      <c r="E2951" t="s">
        <v>26010</v>
      </c>
      <c r="F2951" t="s">
        <v>35</v>
      </c>
      <c r="G2951" t="s">
        <v>22174</v>
      </c>
      <c r="H2951" t="s">
        <v>26011</v>
      </c>
      <c r="I2951" s="26">
        <v>39962</v>
      </c>
      <c r="J2951">
        <v>2009</v>
      </c>
      <c r="K2951" t="s">
        <v>26012</v>
      </c>
      <c r="L2951">
        <v>465</v>
      </c>
      <c r="M2951" t="s">
        <v>36882</v>
      </c>
      <c r="N2951">
        <v>1</v>
      </c>
      <c r="Q2951" t="s">
        <v>36883</v>
      </c>
      <c r="R2951">
        <v>302</v>
      </c>
      <c r="S2951" t="s">
        <v>36884</v>
      </c>
      <c r="T2951" t="s">
        <v>30</v>
      </c>
      <c r="U2951" t="s">
        <v>26044</v>
      </c>
      <c r="W2951" t="s">
        <v>26009</v>
      </c>
    </row>
    <row r="2952" spans="1:23" x14ac:dyDescent="0.35">
      <c r="A2952">
        <v>689981</v>
      </c>
      <c r="B2952" t="s">
        <v>36885</v>
      </c>
      <c r="C2952" t="str">
        <f>"9781855755598"</f>
        <v>9781855755598</v>
      </c>
      <c r="D2952" t="str">
        <f>"9780429919701"</f>
        <v>9780429919701</v>
      </c>
      <c r="E2952" t="s">
        <v>26010</v>
      </c>
      <c r="F2952" t="s">
        <v>35</v>
      </c>
      <c r="G2952" t="s">
        <v>22174</v>
      </c>
      <c r="H2952" t="s">
        <v>26011</v>
      </c>
      <c r="I2952" s="26">
        <v>40178</v>
      </c>
      <c r="J2952">
        <v>2009</v>
      </c>
      <c r="K2952" t="s">
        <v>26012</v>
      </c>
      <c r="L2952">
        <v>254</v>
      </c>
      <c r="M2952" t="s">
        <v>36886</v>
      </c>
      <c r="N2952">
        <v>1</v>
      </c>
      <c r="O2952" t="s">
        <v>36505</v>
      </c>
      <c r="Q2952" t="s">
        <v>36887</v>
      </c>
      <c r="R2952">
        <v>616.89156000000003</v>
      </c>
      <c r="S2952" t="s">
        <v>36888</v>
      </c>
      <c r="T2952" t="s">
        <v>30</v>
      </c>
      <c r="U2952" t="s">
        <v>26116</v>
      </c>
      <c r="W2952" t="s">
        <v>26009</v>
      </c>
    </row>
    <row r="2953" spans="1:23" x14ac:dyDescent="0.35">
      <c r="A2953">
        <v>689982</v>
      </c>
      <c r="B2953" t="s">
        <v>36889</v>
      </c>
      <c r="C2953" t="str">
        <f>"9781855757646"</f>
        <v>9781855757646</v>
      </c>
      <c r="D2953" t="str">
        <f>"9780429914706"</f>
        <v>9780429914706</v>
      </c>
      <c r="E2953" t="s">
        <v>26010</v>
      </c>
      <c r="F2953" t="s">
        <v>35</v>
      </c>
      <c r="G2953" t="s">
        <v>22174</v>
      </c>
      <c r="H2953" t="s">
        <v>26011</v>
      </c>
      <c r="I2953" s="26">
        <v>40178</v>
      </c>
      <c r="J2953">
        <v>2009</v>
      </c>
      <c r="K2953" t="s">
        <v>26012</v>
      </c>
      <c r="L2953">
        <v>241</v>
      </c>
      <c r="M2953" t="s">
        <v>36890</v>
      </c>
      <c r="N2953">
        <v>2</v>
      </c>
      <c r="O2953" t="s">
        <v>36830</v>
      </c>
      <c r="Q2953" t="s">
        <v>36891</v>
      </c>
      <c r="R2953">
        <v>155.30000000000001</v>
      </c>
      <c r="S2953" t="s">
        <v>36892</v>
      </c>
      <c r="T2953" t="s">
        <v>30</v>
      </c>
      <c r="U2953" t="s">
        <v>26170</v>
      </c>
      <c r="W2953" t="s">
        <v>26009</v>
      </c>
    </row>
    <row r="2954" spans="1:23" x14ac:dyDescent="0.35">
      <c r="A2954">
        <v>689983</v>
      </c>
      <c r="B2954" t="s">
        <v>36893</v>
      </c>
      <c r="C2954" t="str">
        <f>"9781855755475"</f>
        <v>9781855755475</v>
      </c>
      <c r="D2954" t="str">
        <f>"9781849408295"</f>
        <v>9781849408295</v>
      </c>
      <c r="E2954" t="s">
        <v>26010</v>
      </c>
      <c r="F2954" t="s">
        <v>35</v>
      </c>
      <c r="G2954" t="s">
        <v>22174</v>
      </c>
      <c r="H2954" t="s">
        <v>26011</v>
      </c>
      <c r="I2954" s="26">
        <v>39981</v>
      </c>
      <c r="J2954">
        <v>2009</v>
      </c>
      <c r="K2954" t="s">
        <v>26012</v>
      </c>
      <c r="L2954">
        <v>231</v>
      </c>
      <c r="M2954" t="s">
        <v>36894</v>
      </c>
      <c r="N2954">
        <v>1</v>
      </c>
      <c r="Q2954" t="s">
        <v>36895</v>
      </c>
      <c r="R2954">
        <v>616.89</v>
      </c>
      <c r="S2954" t="s">
        <v>36896</v>
      </c>
      <c r="T2954" t="s">
        <v>30</v>
      </c>
      <c r="U2954" t="s">
        <v>26116</v>
      </c>
      <c r="W2954" t="s">
        <v>26009</v>
      </c>
    </row>
    <row r="2955" spans="1:23" x14ac:dyDescent="0.35">
      <c r="A2955">
        <v>689984</v>
      </c>
      <c r="B2955" t="s">
        <v>36897</v>
      </c>
      <c r="C2955" t="str">
        <f>"9781855757752"</f>
        <v>9781855757752</v>
      </c>
      <c r="D2955" t="str">
        <f>"9781849408301"</f>
        <v>9781849408301</v>
      </c>
      <c r="E2955" t="s">
        <v>26010</v>
      </c>
      <c r="F2955" t="s">
        <v>35</v>
      </c>
      <c r="G2955" t="s">
        <v>22174</v>
      </c>
      <c r="H2955" t="s">
        <v>26011</v>
      </c>
      <c r="I2955" s="26">
        <v>40178</v>
      </c>
      <c r="J2955">
        <v>2009</v>
      </c>
      <c r="K2955" t="s">
        <v>26012</v>
      </c>
      <c r="L2955">
        <v>296</v>
      </c>
      <c r="M2955" t="s">
        <v>36898</v>
      </c>
      <c r="N2955">
        <v>1</v>
      </c>
      <c r="O2955" t="s">
        <v>36830</v>
      </c>
      <c r="Q2955" t="s">
        <v>36899</v>
      </c>
      <c r="R2955">
        <v>153.75299999999999</v>
      </c>
      <c r="S2955" t="s">
        <v>36900</v>
      </c>
      <c r="T2955" t="s">
        <v>30</v>
      </c>
      <c r="U2955" t="s">
        <v>46</v>
      </c>
      <c r="W2955" t="s">
        <v>26009</v>
      </c>
    </row>
    <row r="2956" spans="1:23" x14ac:dyDescent="0.35">
      <c r="A2956">
        <v>689985</v>
      </c>
      <c r="B2956" t="s">
        <v>9291</v>
      </c>
      <c r="C2956" t="str">
        <f>"9781855757448"</f>
        <v>9781855757448</v>
      </c>
      <c r="D2956" t="str">
        <f>"9780429916847"</f>
        <v>9780429916847</v>
      </c>
      <c r="E2956" t="s">
        <v>26010</v>
      </c>
      <c r="F2956" t="s">
        <v>35</v>
      </c>
      <c r="G2956" t="s">
        <v>22174</v>
      </c>
      <c r="H2956" t="s">
        <v>26011</v>
      </c>
      <c r="I2956" s="26">
        <v>39234</v>
      </c>
      <c r="J2956">
        <v>2007</v>
      </c>
      <c r="K2956" t="s">
        <v>26012</v>
      </c>
      <c r="L2956">
        <v>308</v>
      </c>
      <c r="M2956" t="s">
        <v>36901</v>
      </c>
      <c r="N2956">
        <v>2</v>
      </c>
      <c r="O2956" t="s">
        <v>36658</v>
      </c>
      <c r="Q2956" t="s">
        <v>36902</v>
      </c>
      <c r="R2956">
        <v>150.1952</v>
      </c>
      <c r="S2956" t="s">
        <v>36903</v>
      </c>
      <c r="T2956" t="s">
        <v>30</v>
      </c>
      <c r="U2956" t="s">
        <v>46</v>
      </c>
      <c r="W2956" t="s">
        <v>26009</v>
      </c>
    </row>
    <row r="2957" spans="1:23" x14ac:dyDescent="0.35">
      <c r="A2957">
        <v>689987</v>
      </c>
      <c r="B2957" t="s">
        <v>36904</v>
      </c>
      <c r="C2957" t="str">
        <f>"9781855756915"</f>
        <v>9781855756915</v>
      </c>
      <c r="D2957" t="str">
        <f>"9781849408332"</f>
        <v>9781849408332</v>
      </c>
      <c r="E2957" t="s">
        <v>26010</v>
      </c>
      <c r="F2957" t="s">
        <v>35</v>
      </c>
      <c r="G2957" t="s">
        <v>26128</v>
      </c>
      <c r="H2957" t="s">
        <v>26011</v>
      </c>
      <c r="I2957" s="26">
        <v>39814</v>
      </c>
      <c r="J2957">
        <v>2009</v>
      </c>
      <c r="K2957" t="s">
        <v>26012</v>
      </c>
      <c r="L2957">
        <v>513</v>
      </c>
      <c r="M2957" t="s">
        <v>36905</v>
      </c>
      <c r="N2957">
        <v>1</v>
      </c>
      <c r="R2957">
        <v>370.92</v>
      </c>
      <c r="S2957" t="s">
        <v>36906</v>
      </c>
      <c r="T2957" t="s">
        <v>30</v>
      </c>
      <c r="U2957" t="s">
        <v>337</v>
      </c>
      <c r="W2957" t="s">
        <v>26009</v>
      </c>
    </row>
    <row r="2958" spans="1:23" x14ac:dyDescent="0.35">
      <c r="A2958">
        <v>689988</v>
      </c>
      <c r="B2958" t="s">
        <v>36907</v>
      </c>
      <c r="C2958" t="str">
        <f>"9781855757493"</f>
        <v>9781855757493</v>
      </c>
      <c r="D2958" t="str">
        <f>"9781849408349"</f>
        <v>9781849408349</v>
      </c>
      <c r="E2958" t="s">
        <v>26010</v>
      </c>
      <c r="F2958" t="s">
        <v>35</v>
      </c>
      <c r="G2958" t="s">
        <v>22174</v>
      </c>
      <c r="H2958" t="s">
        <v>26011</v>
      </c>
      <c r="I2958" s="26">
        <v>39203</v>
      </c>
      <c r="J2958">
        <v>2009</v>
      </c>
      <c r="K2958" t="s">
        <v>26012</v>
      </c>
      <c r="L2958">
        <v>257</v>
      </c>
      <c r="M2958" t="s">
        <v>36908</v>
      </c>
      <c r="N2958">
        <v>2</v>
      </c>
      <c r="O2958" t="s">
        <v>36909</v>
      </c>
      <c r="Q2958" t="s">
        <v>36910</v>
      </c>
      <c r="R2958">
        <v>616.85852</v>
      </c>
      <c r="S2958" t="s">
        <v>36911</v>
      </c>
      <c r="T2958" t="s">
        <v>30</v>
      </c>
      <c r="U2958" t="s">
        <v>26116</v>
      </c>
      <c r="W2958" t="s">
        <v>26009</v>
      </c>
    </row>
    <row r="2959" spans="1:23" x14ac:dyDescent="0.35">
      <c r="A2959">
        <v>689989</v>
      </c>
      <c r="B2959" t="s">
        <v>36912</v>
      </c>
      <c r="C2959" t="str">
        <f>""</f>
        <v/>
      </c>
      <c r="D2959" t="str">
        <f>"9781849408356"</f>
        <v>9781849408356</v>
      </c>
      <c r="E2959" t="s">
        <v>26010</v>
      </c>
      <c r="F2959" t="s">
        <v>35</v>
      </c>
      <c r="G2959" t="s">
        <v>22174</v>
      </c>
      <c r="H2959" t="s">
        <v>26011</v>
      </c>
      <c r="I2959" s="26">
        <v>40178</v>
      </c>
      <c r="J2959">
        <v>2009</v>
      </c>
      <c r="K2959" t="s">
        <v>26012</v>
      </c>
      <c r="L2959">
        <v>422</v>
      </c>
      <c r="M2959" t="s">
        <v>36913</v>
      </c>
      <c r="N2959">
        <v>1</v>
      </c>
      <c r="O2959" t="s">
        <v>36505</v>
      </c>
      <c r="Q2959" t="s">
        <v>36914</v>
      </c>
      <c r="R2959">
        <v>616.89</v>
      </c>
      <c r="S2959" t="s">
        <v>36915</v>
      </c>
      <c r="T2959" t="s">
        <v>30</v>
      </c>
      <c r="U2959" t="s">
        <v>28629</v>
      </c>
      <c r="W2959" t="s">
        <v>26009</v>
      </c>
    </row>
    <row r="2960" spans="1:23" x14ac:dyDescent="0.35">
      <c r="A2960">
        <v>689990</v>
      </c>
      <c r="B2960" t="s">
        <v>36916</v>
      </c>
      <c r="C2960" t="str">
        <f>"9781855756151"</f>
        <v>9781855756151</v>
      </c>
      <c r="D2960" t="str">
        <f>"9781849408387"</f>
        <v>9781849408387</v>
      </c>
      <c r="E2960" t="s">
        <v>26010</v>
      </c>
      <c r="F2960" t="s">
        <v>35</v>
      </c>
      <c r="G2960" t="s">
        <v>26128</v>
      </c>
      <c r="H2960" t="s">
        <v>26011</v>
      </c>
      <c r="I2960" s="26">
        <v>39869</v>
      </c>
      <c r="J2960">
        <v>2009</v>
      </c>
      <c r="K2960" t="s">
        <v>26012</v>
      </c>
      <c r="L2960">
        <v>377</v>
      </c>
      <c r="M2960" t="s">
        <v>36917</v>
      </c>
      <c r="N2960">
        <v>1</v>
      </c>
      <c r="S2960" t="s">
        <v>8120</v>
      </c>
      <c r="T2960" t="s">
        <v>30</v>
      </c>
      <c r="U2960" t="s">
        <v>46</v>
      </c>
      <c r="W2960" t="s">
        <v>26009</v>
      </c>
    </row>
    <row r="2961" spans="1:23" x14ac:dyDescent="0.35">
      <c r="A2961">
        <v>689991</v>
      </c>
      <c r="B2961" t="s">
        <v>36918</v>
      </c>
      <c r="C2961" t="str">
        <f>"9781855755741"</f>
        <v>9781855755741</v>
      </c>
      <c r="D2961" t="str">
        <f>"9781849408394"</f>
        <v>9781849408394</v>
      </c>
      <c r="E2961" t="s">
        <v>26010</v>
      </c>
      <c r="F2961" t="s">
        <v>35</v>
      </c>
      <c r="G2961" t="s">
        <v>26128</v>
      </c>
      <c r="H2961" t="s">
        <v>26011</v>
      </c>
      <c r="I2961" s="26">
        <v>40121</v>
      </c>
      <c r="J2961">
        <v>2009</v>
      </c>
      <c r="K2961" t="s">
        <v>26012</v>
      </c>
      <c r="L2961">
        <v>251</v>
      </c>
      <c r="M2961" t="s">
        <v>36919</v>
      </c>
      <c r="N2961">
        <v>1</v>
      </c>
      <c r="S2961" t="s">
        <v>36920</v>
      </c>
      <c r="T2961" t="s">
        <v>30</v>
      </c>
      <c r="U2961" t="s">
        <v>46</v>
      </c>
      <c r="W2961" t="s">
        <v>26009</v>
      </c>
    </row>
    <row r="2962" spans="1:23" x14ac:dyDescent="0.35">
      <c r="A2962">
        <v>689992</v>
      </c>
      <c r="B2962" t="s">
        <v>36921</v>
      </c>
      <c r="C2962" t="str">
        <f>"9781855756359"</f>
        <v>9781855756359</v>
      </c>
      <c r="D2962" t="str">
        <f>"9781849408400"</f>
        <v>9781849408400</v>
      </c>
      <c r="E2962" t="s">
        <v>26010</v>
      </c>
      <c r="F2962" t="s">
        <v>35</v>
      </c>
      <c r="G2962" t="s">
        <v>22174</v>
      </c>
      <c r="H2962" t="s">
        <v>26011</v>
      </c>
      <c r="I2962" s="26">
        <v>40130</v>
      </c>
      <c r="J2962">
        <v>2009</v>
      </c>
      <c r="K2962" t="s">
        <v>26012</v>
      </c>
      <c r="L2962">
        <v>451</v>
      </c>
      <c r="M2962" t="s">
        <v>36922</v>
      </c>
      <c r="N2962">
        <v>1</v>
      </c>
      <c r="Q2962" t="s">
        <v>36923</v>
      </c>
      <c r="R2962">
        <v>153.35</v>
      </c>
      <c r="S2962" t="s">
        <v>8976</v>
      </c>
      <c r="T2962" t="s">
        <v>30</v>
      </c>
      <c r="U2962" t="s">
        <v>46</v>
      </c>
      <c r="W2962" t="s">
        <v>26009</v>
      </c>
    </row>
    <row r="2963" spans="1:23" x14ac:dyDescent="0.35">
      <c r="A2963">
        <v>689994</v>
      </c>
      <c r="B2963" t="s">
        <v>36924</v>
      </c>
      <c r="C2963" t="str">
        <f>"9781855756144"</f>
        <v>9781855756144</v>
      </c>
      <c r="D2963" t="str">
        <f>"9781849408431"</f>
        <v>9781849408431</v>
      </c>
      <c r="E2963" t="s">
        <v>26010</v>
      </c>
      <c r="F2963" t="s">
        <v>35</v>
      </c>
      <c r="G2963" t="s">
        <v>22174</v>
      </c>
      <c r="H2963" t="s">
        <v>26011</v>
      </c>
      <c r="I2963" s="26">
        <v>40178</v>
      </c>
      <c r="J2963">
        <v>2009</v>
      </c>
      <c r="K2963" t="s">
        <v>26012</v>
      </c>
      <c r="L2963">
        <v>267</v>
      </c>
      <c r="M2963" t="s">
        <v>36925</v>
      </c>
      <c r="N2963">
        <v>1</v>
      </c>
      <c r="O2963" t="s">
        <v>36926</v>
      </c>
      <c r="Q2963" t="s">
        <v>36927</v>
      </c>
      <c r="R2963">
        <v>361.06068299999998</v>
      </c>
      <c r="S2963" t="s">
        <v>36928</v>
      </c>
      <c r="T2963" t="s">
        <v>30</v>
      </c>
      <c r="U2963" t="s">
        <v>27817</v>
      </c>
      <c r="W2963" t="s">
        <v>26009</v>
      </c>
    </row>
    <row r="2964" spans="1:23" x14ac:dyDescent="0.35">
      <c r="A2964">
        <v>689996</v>
      </c>
      <c r="B2964" t="s">
        <v>7810</v>
      </c>
      <c r="C2964" t="str">
        <f>"9781855756335"</f>
        <v>9781855756335</v>
      </c>
      <c r="D2964" t="str">
        <f>"9781849408455"</f>
        <v>9781849408455</v>
      </c>
      <c r="E2964" t="s">
        <v>26010</v>
      </c>
      <c r="F2964" t="s">
        <v>35</v>
      </c>
      <c r="G2964" t="s">
        <v>22174</v>
      </c>
      <c r="H2964" t="s">
        <v>26011</v>
      </c>
      <c r="I2964" s="26">
        <v>40129</v>
      </c>
      <c r="J2964">
        <v>2009</v>
      </c>
      <c r="K2964" t="s">
        <v>26012</v>
      </c>
      <c r="L2964">
        <v>346</v>
      </c>
      <c r="M2964" t="s">
        <v>36929</v>
      </c>
      <c r="N2964">
        <v>1</v>
      </c>
      <c r="Q2964" t="s">
        <v>36930</v>
      </c>
      <c r="R2964">
        <v>155</v>
      </c>
      <c r="S2964" t="s">
        <v>36931</v>
      </c>
      <c r="T2964" t="s">
        <v>30</v>
      </c>
      <c r="U2964" t="s">
        <v>46</v>
      </c>
      <c r="W2964" t="s">
        <v>26009</v>
      </c>
    </row>
    <row r="2965" spans="1:23" x14ac:dyDescent="0.35">
      <c r="A2965">
        <v>689997</v>
      </c>
      <c r="B2965" t="s">
        <v>36932</v>
      </c>
      <c r="C2965" t="str">
        <f>"9781855754898"</f>
        <v>9781855754898</v>
      </c>
      <c r="D2965" t="str">
        <f>"9781849408462"</f>
        <v>9781849408462</v>
      </c>
      <c r="E2965" t="s">
        <v>26010</v>
      </c>
      <c r="F2965" t="s">
        <v>35</v>
      </c>
      <c r="G2965" t="s">
        <v>26128</v>
      </c>
      <c r="H2965" t="s">
        <v>26011</v>
      </c>
      <c r="I2965" s="26">
        <v>39814</v>
      </c>
      <c r="J2965">
        <v>2009</v>
      </c>
      <c r="K2965" t="s">
        <v>26012</v>
      </c>
      <c r="L2965">
        <v>268</v>
      </c>
      <c r="M2965" t="s">
        <v>28010</v>
      </c>
      <c r="N2965">
        <v>1</v>
      </c>
      <c r="R2965">
        <v>616.89139999999998</v>
      </c>
      <c r="S2965" t="s">
        <v>9675</v>
      </c>
      <c r="T2965" t="s">
        <v>30</v>
      </c>
      <c r="U2965" t="s">
        <v>26040</v>
      </c>
      <c r="W2965" t="s">
        <v>26009</v>
      </c>
    </row>
    <row r="2966" spans="1:23" x14ac:dyDescent="0.35">
      <c r="A2966">
        <v>689998</v>
      </c>
      <c r="B2966" t="s">
        <v>36933</v>
      </c>
      <c r="C2966" t="str">
        <f>"9781855755444"</f>
        <v>9781855755444</v>
      </c>
      <c r="D2966" t="str">
        <f>"9781849408479"</f>
        <v>9781849408479</v>
      </c>
      <c r="E2966" t="s">
        <v>26010</v>
      </c>
      <c r="F2966" t="s">
        <v>35</v>
      </c>
      <c r="G2966" t="s">
        <v>22174</v>
      </c>
      <c r="H2966" t="s">
        <v>26011</v>
      </c>
      <c r="I2966" s="26">
        <v>40008</v>
      </c>
      <c r="J2966">
        <v>2009</v>
      </c>
      <c r="K2966" t="s">
        <v>26012</v>
      </c>
      <c r="L2966">
        <v>917</v>
      </c>
      <c r="M2966" t="s">
        <v>36934</v>
      </c>
      <c r="N2966">
        <v>1</v>
      </c>
      <c r="Q2966" t="s">
        <v>36935</v>
      </c>
      <c r="R2966">
        <v>16.150195092000001</v>
      </c>
      <c r="S2966" t="s">
        <v>36936</v>
      </c>
      <c r="T2966" t="s">
        <v>30</v>
      </c>
      <c r="U2966" t="s">
        <v>36849</v>
      </c>
      <c r="W2966" t="s">
        <v>26009</v>
      </c>
    </row>
    <row r="2967" spans="1:23" x14ac:dyDescent="0.35">
      <c r="A2967">
        <v>690000</v>
      </c>
      <c r="B2967" t="s">
        <v>36937</v>
      </c>
      <c r="C2967" t="str">
        <f>"9781855755772"</f>
        <v>9781855755772</v>
      </c>
      <c r="D2967" t="str">
        <f>"9781849408509"</f>
        <v>9781849408509</v>
      </c>
      <c r="E2967" t="s">
        <v>26010</v>
      </c>
      <c r="F2967" t="s">
        <v>35</v>
      </c>
      <c r="G2967" t="s">
        <v>22174</v>
      </c>
      <c r="H2967" t="s">
        <v>26011</v>
      </c>
      <c r="I2967" s="26">
        <v>39841</v>
      </c>
      <c r="J2967">
        <v>2009</v>
      </c>
      <c r="K2967" t="s">
        <v>26012</v>
      </c>
      <c r="L2967">
        <v>342</v>
      </c>
      <c r="M2967" t="s">
        <v>36938</v>
      </c>
      <c r="N2967">
        <v>1</v>
      </c>
      <c r="Q2967" t="s">
        <v>36939</v>
      </c>
      <c r="R2967">
        <v>150.19499999999999</v>
      </c>
      <c r="S2967" t="s">
        <v>36940</v>
      </c>
      <c r="T2967" t="s">
        <v>30</v>
      </c>
      <c r="U2967" t="s">
        <v>46</v>
      </c>
      <c r="W2967" t="s">
        <v>26009</v>
      </c>
    </row>
    <row r="2968" spans="1:23" x14ac:dyDescent="0.35">
      <c r="A2968">
        <v>690001</v>
      </c>
      <c r="B2968" t="s">
        <v>36941</v>
      </c>
      <c r="C2968" t="str">
        <f>"9781855756847"</f>
        <v>9781855756847</v>
      </c>
      <c r="D2968" t="str">
        <f>"9781849408516"</f>
        <v>9781849408516</v>
      </c>
      <c r="E2968" t="s">
        <v>26010</v>
      </c>
      <c r="F2968" t="s">
        <v>35</v>
      </c>
      <c r="G2968" t="s">
        <v>22174</v>
      </c>
      <c r="H2968" t="s">
        <v>26011</v>
      </c>
      <c r="I2968" s="26">
        <v>39862</v>
      </c>
      <c r="J2968">
        <v>2009</v>
      </c>
      <c r="K2968" t="s">
        <v>26012</v>
      </c>
      <c r="L2968">
        <v>203</v>
      </c>
      <c r="M2968" t="s">
        <v>36942</v>
      </c>
      <c r="N2968">
        <v>1</v>
      </c>
      <c r="Q2968" t="s">
        <v>36943</v>
      </c>
      <c r="R2968">
        <v>155.44300000000001</v>
      </c>
      <c r="S2968" t="s">
        <v>36944</v>
      </c>
      <c r="T2968" t="s">
        <v>30</v>
      </c>
      <c r="U2968" t="s">
        <v>46</v>
      </c>
      <c r="W2968" t="s">
        <v>26009</v>
      </c>
    </row>
    <row r="2969" spans="1:23" x14ac:dyDescent="0.35">
      <c r="A2969">
        <v>690002</v>
      </c>
      <c r="B2969" t="s">
        <v>36945</v>
      </c>
      <c r="C2969" t="str">
        <f>"9781855756946"</f>
        <v>9781855756946</v>
      </c>
      <c r="D2969" t="str">
        <f>"9781849408530"</f>
        <v>9781849408530</v>
      </c>
      <c r="E2969" t="s">
        <v>26010</v>
      </c>
      <c r="F2969" t="s">
        <v>35</v>
      </c>
      <c r="G2969" t="s">
        <v>22174</v>
      </c>
      <c r="H2969" t="s">
        <v>26011</v>
      </c>
      <c r="I2969" s="26">
        <v>39898</v>
      </c>
      <c r="J2969">
        <v>2009</v>
      </c>
      <c r="K2969" t="s">
        <v>26012</v>
      </c>
      <c r="L2969">
        <v>160</v>
      </c>
      <c r="M2969" t="s">
        <v>36946</v>
      </c>
      <c r="N2969">
        <v>1</v>
      </c>
      <c r="Q2969" t="s">
        <v>36947</v>
      </c>
      <c r="R2969">
        <v>155.333</v>
      </c>
      <c r="S2969" t="s">
        <v>36948</v>
      </c>
      <c r="T2969" t="s">
        <v>30</v>
      </c>
      <c r="U2969" t="s">
        <v>46</v>
      </c>
      <c r="W2969" t="s">
        <v>26009</v>
      </c>
    </row>
    <row r="2970" spans="1:23" x14ac:dyDescent="0.35">
      <c r="A2970">
        <v>690004</v>
      </c>
      <c r="B2970" t="s">
        <v>36949</v>
      </c>
      <c r="C2970" t="str">
        <f>"9781855755208"</f>
        <v>9781855755208</v>
      </c>
      <c r="D2970" t="str">
        <f>"9781849408554"</f>
        <v>9781849408554</v>
      </c>
      <c r="E2970" t="s">
        <v>26010</v>
      </c>
      <c r="F2970" t="s">
        <v>35</v>
      </c>
      <c r="G2970" t="s">
        <v>22174</v>
      </c>
      <c r="H2970" t="s">
        <v>26011</v>
      </c>
      <c r="I2970" s="26">
        <v>40178</v>
      </c>
      <c r="J2970">
        <v>2009</v>
      </c>
      <c r="K2970" t="s">
        <v>26012</v>
      </c>
      <c r="L2970">
        <v>208</v>
      </c>
      <c r="M2970" t="s">
        <v>36950</v>
      </c>
      <c r="N2970">
        <v>1</v>
      </c>
      <c r="O2970" t="s">
        <v>36510</v>
      </c>
      <c r="Q2970" t="s">
        <v>36951</v>
      </c>
      <c r="R2970">
        <v>362.19689500919998</v>
      </c>
      <c r="S2970" t="s">
        <v>36952</v>
      </c>
      <c r="T2970" t="s">
        <v>30</v>
      </c>
      <c r="U2970" t="s">
        <v>26236</v>
      </c>
      <c r="W2970" t="s">
        <v>26009</v>
      </c>
    </row>
    <row r="2971" spans="1:23" x14ac:dyDescent="0.35">
      <c r="A2971">
        <v>690005</v>
      </c>
      <c r="B2971" t="s">
        <v>9289</v>
      </c>
      <c r="C2971" t="str">
        <f>"9781855756274"</f>
        <v>9781855756274</v>
      </c>
      <c r="D2971" t="str">
        <f>"9781849406871"</f>
        <v>9781849406871</v>
      </c>
      <c r="E2971" t="s">
        <v>26010</v>
      </c>
      <c r="F2971" t="s">
        <v>35</v>
      </c>
      <c r="G2971" t="s">
        <v>22174</v>
      </c>
      <c r="H2971" t="s">
        <v>26011</v>
      </c>
      <c r="I2971" s="26">
        <v>40178</v>
      </c>
      <c r="J2971">
        <v>2009</v>
      </c>
      <c r="K2971" t="s">
        <v>26012</v>
      </c>
      <c r="L2971">
        <v>319</v>
      </c>
      <c r="M2971" t="s">
        <v>36953</v>
      </c>
      <c r="N2971">
        <v>1</v>
      </c>
      <c r="O2971" t="s">
        <v>36658</v>
      </c>
      <c r="Q2971" t="s">
        <v>36954</v>
      </c>
      <c r="R2971">
        <v>200.19</v>
      </c>
      <c r="S2971" t="s">
        <v>36955</v>
      </c>
      <c r="T2971" t="s">
        <v>30</v>
      </c>
      <c r="U2971" t="s">
        <v>11247</v>
      </c>
      <c r="W2971" t="s">
        <v>26009</v>
      </c>
    </row>
    <row r="2972" spans="1:23" x14ac:dyDescent="0.35">
      <c r="A2972">
        <v>690006</v>
      </c>
      <c r="B2972" t="s">
        <v>36956</v>
      </c>
      <c r="C2972" t="str">
        <f>"9781855756892"</f>
        <v>9781855756892</v>
      </c>
      <c r="D2972" t="str">
        <f>"9781849406888"</f>
        <v>9781849406888</v>
      </c>
      <c r="E2972" t="s">
        <v>26010</v>
      </c>
      <c r="F2972" t="s">
        <v>35</v>
      </c>
      <c r="G2972" t="s">
        <v>22174</v>
      </c>
      <c r="H2972" t="s">
        <v>26011</v>
      </c>
      <c r="I2972" s="26">
        <v>40178</v>
      </c>
      <c r="J2972">
        <v>2009</v>
      </c>
      <c r="K2972" t="s">
        <v>26012</v>
      </c>
      <c r="L2972">
        <v>213</v>
      </c>
      <c r="M2972" t="s">
        <v>36957</v>
      </c>
      <c r="N2972">
        <v>1</v>
      </c>
      <c r="O2972" t="s">
        <v>36510</v>
      </c>
      <c r="Q2972" t="s">
        <v>36958</v>
      </c>
      <c r="R2972">
        <v>616.89139999999998</v>
      </c>
      <c r="S2972" t="s">
        <v>36959</v>
      </c>
      <c r="T2972" t="s">
        <v>30</v>
      </c>
      <c r="U2972" t="s">
        <v>26019</v>
      </c>
      <c r="W2972" t="s">
        <v>26009</v>
      </c>
    </row>
    <row r="2973" spans="1:23" x14ac:dyDescent="0.35">
      <c r="A2973">
        <v>690007</v>
      </c>
      <c r="B2973" t="s">
        <v>36960</v>
      </c>
      <c r="C2973" t="str">
        <f>"9781855756120"</f>
        <v>9781855756120</v>
      </c>
      <c r="D2973" t="str">
        <f>"9781849406901"</f>
        <v>9781849406901</v>
      </c>
      <c r="E2973" t="s">
        <v>26010</v>
      </c>
      <c r="F2973" t="s">
        <v>35</v>
      </c>
      <c r="G2973" t="s">
        <v>22174</v>
      </c>
      <c r="H2973" t="s">
        <v>26011</v>
      </c>
      <c r="I2973" s="26">
        <v>40009</v>
      </c>
      <c r="J2973">
        <v>2009</v>
      </c>
      <c r="K2973" t="s">
        <v>26012</v>
      </c>
      <c r="L2973">
        <v>446</v>
      </c>
      <c r="M2973" t="s">
        <v>36961</v>
      </c>
      <c r="N2973">
        <v>1</v>
      </c>
      <c r="Q2973" t="s">
        <v>36962</v>
      </c>
      <c r="R2973">
        <v>150.1952</v>
      </c>
      <c r="S2973" t="s">
        <v>36963</v>
      </c>
      <c r="T2973" t="s">
        <v>30</v>
      </c>
      <c r="U2973" t="s">
        <v>26019</v>
      </c>
      <c r="W2973" t="s">
        <v>26009</v>
      </c>
    </row>
    <row r="2974" spans="1:23" x14ac:dyDescent="0.35">
      <c r="A2974">
        <v>690008</v>
      </c>
      <c r="B2974" t="s">
        <v>36964</v>
      </c>
      <c r="C2974" t="str">
        <f>"9781855755055"</f>
        <v>9781855755055</v>
      </c>
      <c r="D2974" t="str">
        <f>"9780429911828"</f>
        <v>9780429911828</v>
      </c>
      <c r="E2974" t="s">
        <v>26010</v>
      </c>
      <c r="F2974" t="s">
        <v>35</v>
      </c>
      <c r="G2974" t="s">
        <v>22174</v>
      </c>
      <c r="H2974" t="s">
        <v>26011</v>
      </c>
      <c r="I2974" s="26">
        <v>40178</v>
      </c>
      <c r="J2974">
        <v>2009</v>
      </c>
      <c r="K2974" t="s">
        <v>26012</v>
      </c>
      <c r="L2974">
        <v>233</v>
      </c>
      <c r="M2974" t="s">
        <v>36965</v>
      </c>
      <c r="N2974">
        <v>1</v>
      </c>
      <c r="O2974" t="s">
        <v>36510</v>
      </c>
      <c r="Q2974" t="s">
        <v>36966</v>
      </c>
      <c r="R2974">
        <v>618.928</v>
      </c>
      <c r="S2974" t="s">
        <v>36967</v>
      </c>
      <c r="T2974" t="s">
        <v>30</v>
      </c>
      <c r="U2974" t="s">
        <v>26116</v>
      </c>
      <c r="W2974" t="s">
        <v>26009</v>
      </c>
    </row>
    <row r="2975" spans="1:23" x14ac:dyDescent="0.35">
      <c r="A2975">
        <v>690009</v>
      </c>
      <c r="B2975" t="s">
        <v>36968</v>
      </c>
      <c r="C2975" t="str">
        <f>"9781855757240"</f>
        <v>9781855757240</v>
      </c>
      <c r="D2975" t="str">
        <f>"9781849406925"</f>
        <v>9781849406925</v>
      </c>
      <c r="E2975" t="s">
        <v>26010</v>
      </c>
      <c r="F2975" t="s">
        <v>35</v>
      </c>
      <c r="G2975" t="s">
        <v>22174</v>
      </c>
      <c r="H2975" t="s">
        <v>26011</v>
      </c>
      <c r="I2975" s="26">
        <v>40015</v>
      </c>
      <c r="J2975">
        <v>2009</v>
      </c>
      <c r="K2975" t="s">
        <v>26012</v>
      </c>
      <c r="L2975">
        <v>110</v>
      </c>
      <c r="M2975" t="s">
        <v>36969</v>
      </c>
      <c r="N2975">
        <v>1</v>
      </c>
      <c r="Q2975" t="s">
        <v>36970</v>
      </c>
      <c r="R2975">
        <v>150.19499999999999</v>
      </c>
      <c r="S2975" t="s">
        <v>36971</v>
      </c>
      <c r="T2975" t="s">
        <v>30</v>
      </c>
      <c r="U2975" t="s">
        <v>46</v>
      </c>
      <c r="W2975" t="s">
        <v>26009</v>
      </c>
    </row>
    <row r="2976" spans="1:23" x14ac:dyDescent="0.35">
      <c r="A2976">
        <v>690010</v>
      </c>
      <c r="B2976" t="s">
        <v>9672</v>
      </c>
      <c r="C2976" t="str">
        <f>"9781855757059"</f>
        <v>9781855757059</v>
      </c>
      <c r="D2976" t="str">
        <f>"9781849406932"</f>
        <v>9781849406932</v>
      </c>
      <c r="E2976" t="s">
        <v>26010</v>
      </c>
      <c r="F2976" t="s">
        <v>35</v>
      </c>
      <c r="G2976" t="s">
        <v>22174</v>
      </c>
      <c r="H2976" t="s">
        <v>26011</v>
      </c>
      <c r="I2976" s="26">
        <v>40151</v>
      </c>
      <c r="J2976">
        <v>2009</v>
      </c>
      <c r="K2976" t="s">
        <v>26012</v>
      </c>
      <c r="L2976">
        <v>182</v>
      </c>
      <c r="M2976" t="s">
        <v>36972</v>
      </c>
      <c r="N2976">
        <v>1</v>
      </c>
      <c r="Q2976" t="s">
        <v>36973</v>
      </c>
      <c r="R2976">
        <v>150.19499999999999</v>
      </c>
      <c r="S2976" t="s">
        <v>36974</v>
      </c>
      <c r="T2976" t="s">
        <v>30</v>
      </c>
      <c r="U2976" t="s">
        <v>46</v>
      </c>
      <c r="W2976" t="s">
        <v>26009</v>
      </c>
    </row>
    <row r="2977" spans="1:23" x14ac:dyDescent="0.35">
      <c r="A2977">
        <v>690013</v>
      </c>
      <c r="B2977" t="s">
        <v>36975</v>
      </c>
      <c r="C2977" t="str">
        <f>"9781855755680"</f>
        <v>9781855755680</v>
      </c>
      <c r="D2977" t="str">
        <f>"9781849406963"</f>
        <v>9781849406963</v>
      </c>
      <c r="E2977" t="s">
        <v>26010</v>
      </c>
      <c r="F2977" t="s">
        <v>35</v>
      </c>
      <c r="G2977" t="s">
        <v>26128</v>
      </c>
      <c r="H2977" t="s">
        <v>26011</v>
      </c>
      <c r="I2977" s="26">
        <v>40025</v>
      </c>
      <c r="J2977">
        <v>2009</v>
      </c>
      <c r="K2977" t="s">
        <v>26012</v>
      </c>
      <c r="L2977">
        <v>393</v>
      </c>
      <c r="M2977" t="s">
        <v>36788</v>
      </c>
      <c r="N2977">
        <v>1</v>
      </c>
      <c r="S2977" t="s">
        <v>36710</v>
      </c>
      <c r="T2977" t="s">
        <v>30</v>
      </c>
      <c r="U2977" t="s">
        <v>46</v>
      </c>
      <c r="W2977" t="s">
        <v>26009</v>
      </c>
    </row>
    <row r="2978" spans="1:23" x14ac:dyDescent="0.35">
      <c r="A2978">
        <v>690014</v>
      </c>
      <c r="B2978" t="s">
        <v>36976</v>
      </c>
      <c r="C2978" t="str">
        <f>"9781855757042"</f>
        <v>9781855757042</v>
      </c>
      <c r="D2978" t="str">
        <f>"9781849406970"</f>
        <v>9781849406970</v>
      </c>
      <c r="E2978" t="s">
        <v>26010</v>
      </c>
      <c r="F2978" t="s">
        <v>35</v>
      </c>
      <c r="G2978" t="s">
        <v>22174</v>
      </c>
      <c r="H2978" t="s">
        <v>26011</v>
      </c>
      <c r="I2978" s="26">
        <v>40043</v>
      </c>
      <c r="J2978">
        <v>2009</v>
      </c>
      <c r="K2978" t="s">
        <v>26012</v>
      </c>
      <c r="L2978">
        <v>196</v>
      </c>
      <c r="M2978" t="s">
        <v>36977</v>
      </c>
      <c r="N2978">
        <v>1</v>
      </c>
      <c r="Q2978" t="s">
        <v>36978</v>
      </c>
      <c r="R2978">
        <v>150.19499999999999</v>
      </c>
      <c r="S2978" t="s">
        <v>7514</v>
      </c>
      <c r="T2978" t="s">
        <v>30</v>
      </c>
      <c r="U2978" t="s">
        <v>46</v>
      </c>
      <c r="W2978" t="s">
        <v>26009</v>
      </c>
    </row>
    <row r="2979" spans="1:23" x14ac:dyDescent="0.35">
      <c r="A2979">
        <v>690015</v>
      </c>
      <c r="B2979" t="s">
        <v>36979</v>
      </c>
      <c r="C2979" t="str">
        <f>"9781855756076"</f>
        <v>9781855756076</v>
      </c>
      <c r="D2979" t="str">
        <f>"9781849406987"</f>
        <v>9781849406987</v>
      </c>
      <c r="E2979" t="s">
        <v>26010</v>
      </c>
      <c r="F2979" t="s">
        <v>35</v>
      </c>
      <c r="G2979" t="s">
        <v>22174</v>
      </c>
      <c r="H2979" t="s">
        <v>26011</v>
      </c>
      <c r="I2979" s="26">
        <v>40130</v>
      </c>
      <c r="J2979">
        <v>2009</v>
      </c>
      <c r="K2979" t="s">
        <v>26012</v>
      </c>
      <c r="L2979">
        <v>311</v>
      </c>
      <c r="M2979" t="s">
        <v>36980</v>
      </c>
      <c r="N2979">
        <v>1</v>
      </c>
      <c r="Q2979" t="s">
        <v>36981</v>
      </c>
      <c r="R2979">
        <v>158.69999999999999</v>
      </c>
      <c r="S2979" t="s">
        <v>36982</v>
      </c>
      <c r="T2979" t="s">
        <v>30</v>
      </c>
      <c r="U2979" t="s">
        <v>33989</v>
      </c>
      <c r="W2979" t="s">
        <v>26009</v>
      </c>
    </row>
    <row r="2980" spans="1:23" x14ac:dyDescent="0.35">
      <c r="A2980">
        <v>690016</v>
      </c>
      <c r="B2980" t="s">
        <v>36983</v>
      </c>
      <c r="C2980" t="str">
        <f>"9781855756809"</f>
        <v>9781855756809</v>
      </c>
      <c r="D2980" t="str">
        <f>"9781849406994"</f>
        <v>9781849406994</v>
      </c>
      <c r="E2980" t="s">
        <v>26010</v>
      </c>
      <c r="F2980" t="s">
        <v>35</v>
      </c>
      <c r="G2980" t="s">
        <v>26128</v>
      </c>
      <c r="H2980" t="s">
        <v>26011</v>
      </c>
      <c r="I2980" s="26">
        <v>39869</v>
      </c>
      <c r="J2980">
        <v>2009</v>
      </c>
      <c r="K2980" t="s">
        <v>26012</v>
      </c>
      <c r="L2980">
        <v>226</v>
      </c>
      <c r="M2980" t="s">
        <v>36984</v>
      </c>
      <c r="N2980">
        <v>1</v>
      </c>
      <c r="R2980">
        <v>616.89805999999999</v>
      </c>
      <c r="S2980" t="s">
        <v>36985</v>
      </c>
      <c r="T2980" t="s">
        <v>30</v>
      </c>
      <c r="U2980" t="s">
        <v>26040</v>
      </c>
      <c r="W2980" t="s">
        <v>26009</v>
      </c>
    </row>
    <row r="2981" spans="1:23" x14ac:dyDescent="0.35">
      <c r="A2981">
        <v>690017</v>
      </c>
      <c r="B2981" t="s">
        <v>36986</v>
      </c>
      <c r="C2981" t="str">
        <f>"9781855757295"</f>
        <v>9781855757295</v>
      </c>
      <c r="D2981" t="str">
        <f>"9781849407007"</f>
        <v>9781849407007</v>
      </c>
      <c r="E2981" t="s">
        <v>26010</v>
      </c>
      <c r="F2981" t="s">
        <v>35</v>
      </c>
      <c r="G2981" t="s">
        <v>22174</v>
      </c>
      <c r="H2981" t="s">
        <v>26011</v>
      </c>
      <c r="I2981" s="26">
        <v>40003</v>
      </c>
      <c r="J2981">
        <v>2009</v>
      </c>
      <c r="K2981" t="s">
        <v>26012</v>
      </c>
      <c r="L2981">
        <v>262</v>
      </c>
      <c r="M2981" t="s">
        <v>36987</v>
      </c>
      <c r="N2981">
        <v>1</v>
      </c>
      <c r="Q2981" t="s">
        <v>36988</v>
      </c>
      <c r="R2981">
        <v>153.30000000000001</v>
      </c>
      <c r="S2981" t="s">
        <v>36989</v>
      </c>
      <c r="T2981" t="s">
        <v>30</v>
      </c>
      <c r="U2981" t="s">
        <v>26170</v>
      </c>
      <c r="W2981" t="s">
        <v>26009</v>
      </c>
    </row>
    <row r="2982" spans="1:23" x14ac:dyDescent="0.35">
      <c r="A2982">
        <v>690018</v>
      </c>
      <c r="B2982" t="s">
        <v>36990</v>
      </c>
      <c r="C2982" t="str">
        <f>"9780367106515"</f>
        <v>9780367106515</v>
      </c>
      <c r="D2982" t="str">
        <f>"9780429912252"</f>
        <v>9780429912252</v>
      </c>
      <c r="E2982" t="s">
        <v>26010</v>
      </c>
      <c r="F2982" t="s">
        <v>35</v>
      </c>
      <c r="G2982" t="s">
        <v>22174</v>
      </c>
      <c r="H2982" t="s">
        <v>26011</v>
      </c>
      <c r="I2982" s="26">
        <v>40178</v>
      </c>
      <c r="J2982">
        <v>2009</v>
      </c>
      <c r="K2982" t="s">
        <v>26012</v>
      </c>
      <c r="L2982">
        <v>280</v>
      </c>
      <c r="M2982" t="s">
        <v>36991</v>
      </c>
      <c r="N2982">
        <v>1</v>
      </c>
      <c r="O2982" t="s">
        <v>36539</v>
      </c>
      <c r="Q2982" t="s">
        <v>36992</v>
      </c>
      <c r="R2982">
        <v>616.89</v>
      </c>
      <c r="S2982" t="s">
        <v>36993</v>
      </c>
      <c r="T2982" t="s">
        <v>30</v>
      </c>
      <c r="U2982" t="s">
        <v>26019</v>
      </c>
      <c r="W2982" t="s">
        <v>26009</v>
      </c>
    </row>
    <row r="2983" spans="1:23" x14ac:dyDescent="0.35">
      <c r="A2983">
        <v>690019</v>
      </c>
      <c r="B2983" t="s">
        <v>36994</v>
      </c>
      <c r="C2983" t="str">
        <f>"9781855755031"</f>
        <v>9781855755031</v>
      </c>
      <c r="D2983" t="str">
        <f>"9781849407021"</f>
        <v>9781849407021</v>
      </c>
      <c r="E2983" t="s">
        <v>26010</v>
      </c>
      <c r="F2983" t="s">
        <v>35</v>
      </c>
      <c r="G2983" t="s">
        <v>22174</v>
      </c>
      <c r="H2983" t="s">
        <v>26011</v>
      </c>
      <c r="I2983" s="26">
        <v>39853</v>
      </c>
      <c r="J2983">
        <v>2009</v>
      </c>
      <c r="K2983" t="s">
        <v>26012</v>
      </c>
      <c r="L2983">
        <v>225</v>
      </c>
      <c r="M2983" t="s">
        <v>36995</v>
      </c>
      <c r="N2983">
        <v>1</v>
      </c>
      <c r="Q2983" t="s">
        <v>36996</v>
      </c>
      <c r="R2983">
        <v>150.19499999999999</v>
      </c>
      <c r="S2983" t="s">
        <v>36997</v>
      </c>
      <c r="T2983" t="s">
        <v>30</v>
      </c>
      <c r="U2983" t="s">
        <v>28671</v>
      </c>
      <c r="W2983" t="s">
        <v>26009</v>
      </c>
    </row>
    <row r="2984" spans="1:23" x14ac:dyDescent="0.35">
      <c r="A2984">
        <v>690022</v>
      </c>
      <c r="B2984" t="s">
        <v>36998</v>
      </c>
      <c r="C2984" t="str">
        <f>"9781855755956"</f>
        <v>9781855755956</v>
      </c>
      <c r="D2984" t="str">
        <f>"9781849407052"</f>
        <v>9781849407052</v>
      </c>
      <c r="E2984" t="s">
        <v>26010</v>
      </c>
      <c r="F2984" t="s">
        <v>35</v>
      </c>
      <c r="G2984" t="s">
        <v>26128</v>
      </c>
      <c r="H2984" t="s">
        <v>26011</v>
      </c>
      <c r="I2984" s="26">
        <v>39863</v>
      </c>
      <c r="J2984">
        <v>2009</v>
      </c>
      <c r="K2984" t="s">
        <v>26012</v>
      </c>
      <c r="L2984">
        <v>291</v>
      </c>
      <c r="M2984" t="s">
        <v>36999</v>
      </c>
      <c r="N2984">
        <v>1</v>
      </c>
      <c r="R2984">
        <v>616.89139999999998</v>
      </c>
      <c r="S2984" t="s">
        <v>37000</v>
      </c>
      <c r="T2984" t="s">
        <v>30</v>
      </c>
      <c r="U2984" t="s">
        <v>26040</v>
      </c>
      <c r="W2984" t="s">
        <v>26009</v>
      </c>
    </row>
    <row r="2985" spans="1:23" x14ac:dyDescent="0.35">
      <c r="A2985">
        <v>690023</v>
      </c>
      <c r="B2985" t="s">
        <v>37001</v>
      </c>
      <c r="C2985" t="str">
        <f>"9781855756236"</f>
        <v>9781855756236</v>
      </c>
      <c r="D2985" t="str">
        <f>"9781849407069"</f>
        <v>9781849407069</v>
      </c>
      <c r="E2985" t="s">
        <v>26010</v>
      </c>
      <c r="F2985" t="s">
        <v>35</v>
      </c>
      <c r="G2985" t="s">
        <v>22174</v>
      </c>
      <c r="H2985" t="s">
        <v>26011</v>
      </c>
      <c r="I2985" s="26">
        <v>40178</v>
      </c>
      <c r="J2985">
        <v>2009</v>
      </c>
      <c r="K2985" t="s">
        <v>26012</v>
      </c>
      <c r="L2985">
        <v>507</v>
      </c>
      <c r="M2985" t="s">
        <v>37002</v>
      </c>
      <c r="N2985">
        <v>1</v>
      </c>
      <c r="O2985" t="s">
        <v>36547</v>
      </c>
      <c r="Q2985" t="s">
        <v>37003</v>
      </c>
      <c r="R2985">
        <v>616.89170000000001</v>
      </c>
      <c r="S2985" t="s">
        <v>37004</v>
      </c>
      <c r="T2985" t="s">
        <v>30</v>
      </c>
      <c r="U2985" t="s">
        <v>26019</v>
      </c>
      <c r="W2985" t="s">
        <v>26009</v>
      </c>
    </row>
    <row r="2986" spans="1:23" x14ac:dyDescent="0.35">
      <c r="A2986">
        <v>690025</v>
      </c>
      <c r="B2986" t="s">
        <v>37005</v>
      </c>
      <c r="C2986" t="str">
        <f>"9781855754249"</f>
        <v>9781855754249</v>
      </c>
      <c r="D2986" t="str">
        <f>"9781849406086"</f>
        <v>9781849406086</v>
      </c>
      <c r="E2986" t="s">
        <v>26010</v>
      </c>
      <c r="F2986" t="s">
        <v>35</v>
      </c>
      <c r="G2986" t="s">
        <v>22174</v>
      </c>
      <c r="H2986" t="s">
        <v>26011</v>
      </c>
      <c r="I2986" s="26">
        <v>39813</v>
      </c>
      <c r="J2986">
        <v>2008</v>
      </c>
      <c r="K2986" t="s">
        <v>26012</v>
      </c>
      <c r="L2986">
        <v>428</v>
      </c>
      <c r="M2986" t="s">
        <v>37006</v>
      </c>
      <c r="N2986">
        <v>1</v>
      </c>
      <c r="O2986" t="s">
        <v>36814</v>
      </c>
      <c r="Q2986" t="s">
        <v>37007</v>
      </c>
      <c r="R2986">
        <v>616.85882000000004</v>
      </c>
      <c r="S2986" t="s">
        <v>37008</v>
      </c>
      <c r="T2986" t="s">
        <v>30</v>
      </c>
      <c r="U2986" t="s">
        <v>26116</v>
      </c>
      <c r="W2986" t="s">
        <v>26009</v>
      </c>
    </row>
    <row r="2987" spans="1:23" x14ac:dyDescent="0.35">
      <c r="A2987">
        <v>690026</v>
      </c>
      <c r="B2987" t="s">
        <v>10097</v>
      </c>
      <c r="C2987" t="str">
        <f>"9781855756663"</f>
        <v>9781855756663</v>
      </c>
      <c r="D2987" t="str">
        <f>"9781849406093"</f>
        <v>9781849406093</v>
      </c>
      <c r="E2987" t="s">
        <v>26010</v>
      </c>
      <c r="F2987" t="s">
        <v>35</v>
      </c>
      <c r="G2987" t="s">
        <v>22174</v>
      </c>
      <c r="H2987" t="s">
        <v>26011</v>
      </c>
      <c r="I2987" s="26">
        <v>39549</v>
      </c>
      <c r="J2987">
        <v>2008</v>
      </c>
      <c r="K2987" t="s">
        <v>26012</v>
      </c>
      <c r="L2987">
        <v>112</v>
      </c>
      <c r="M2987" t="s">
        <v>37009</v>
      </c>
      <c r="N2987">
        <v>1</v>
      </c>
      <c r="O2987" t="s">
        <v>37010</v>
      </c>
      <c r="Q2987" t="s">
        <v>37011</v>
      </c>
      <c r="R2987">
        <v>616.85209999999995</v>
      </c>
      <c r="S2987" t="s">
        <v>37012</v>
      </c>
      <c r="T2987" t="s">
        <v>30</v>
      </c>
      <c r="U2987" t="s">
        <v>26019</v>
      </c>
      <c r="W2987" t="s">
        <v>26009</v>
      </c>
    </row>
    <row r="2988" spans="1:23" x14ac:dyDescent="0.35">
      <c r="A2988">
        <v>690029</v>
      </c>
      <c r="B2988" t="s">
        <v>37013</v>
      </c>
      <c r="C2988" t="str">
        <f>"9781855755918"</f>
        <v>9781855755918</v>
      </c>
      <c r="D2988" t="str">
        <f>"9781849406123"</f>
        <v>9781849406123</v>
      </c>
      <c r="E2988" t="s">
        <v>26010</v>
      </c>
      <c r="F2988" t="s">
        <v>35</v>
      </c>
      <c r="G2988" t="s">
        <v>26128</v>
      </c>
      <c r="H2988" t="s">
        <v>26011</v>
      </c>
      <c r="I2988" s="26">
        <v>39596</v>
      </c>
      <c r="J2988">
        <v>2008</v>
      </c>
      <c r="K2988" t="s">
        <v>26012</v>
      </c>
      <c r="L2988">
        <v>166</v>
      </c>
      <c r="M2988" t="s">
        <v>37014</v>
      </c>
      <c r="N2988">
        <v>1</v>
      </c>
      <c r="R2988">
        <v>616.89139999999998</v>
      </c>
      <c r="S2988" t="s">
        <v>37015</v>
      </c>
      <c r="T2988" t="s">
        <v>30</v>
      </c>
      <c r="U2988" t="s">
        <v>26040</v>
      </c>
      <c r="W2988" t="s">
        <v>26009</v>
      </c>
    </row>
    <row r="2989" spans="1:23" x14ac:dyDescent="0.35">
      <c r="A2989">
        <v>690030</v>
      </c>
      <c r="B2989" t="s">
        <v>37016</v>
      </c>
      <c r="C2989" t="str">
        <f>"9781855756694"</f>
        <v>9781855756694</v>
      </c>
      <c r="D2989" t="str">
        <f>"9781849406857"</f>
        <v>9781849406857</v>
      </c>
      <c r="E2989" t="s">
        <v>26010</v>
      </c>
      <c r="F2989" t="s">
        <v>35</v>
      </c>
      <c r="G2989" t="s">
        <v>26128</v>
      </c>
      <c r="H2989" t="s">
        <v>26011</v>
      </c>
      <c r="I2989" s="26">
        <v>39813</v>
      </c>
      <c r="J2989">
        <v>2008</v>
      </c>
      <c r="K2989" t="s">
        <v>26012</v>
      </c>
      <c r="L2989">
        <v>257</v>
      </c>
      <c r="M2989" t="s">
        <v>37017</v>
      </c>
      <c r="N2989">
        <v>1</v>
      </c>
      <c r="O2989" t="s">
        <v>37018</v>
      </c>
      <c r="S2989" t="s">
        <v>37019</v>
      </c>
      <c r="T2989" t="s">
        <v>30</v>
      </c>
      <c r="U2989" t="s">
        <v>26228</v>
      </c>
      <c r="W2989" t="s">
        <v>26009</v>
      </c>
    </row>
    <row r="2990" spans="1:23" x14ac:dyDescent="0.35">
      <c r="A2990">
        <v>690031</v>
      </c>
      <c r="B2990" t="s">
        <v>37020</v>
      </c>
      <c r="C2990" t="str">
        <f>"9781855754775"</f>
        <v>9781855754775</v>
      </c>
      <c r="D2990" t="str">
        <f>"9780429923692"</f>
        <v>9780429923692</v>
      </c>
      <c r="E2990" t="s">
        <v>26010</v>
      </c>
      <c r="F2990" t="s">
        <v>35</v>
      </c>
      <c r="G2990" t="s">
        <v>22174</v>
      </c>
      <c r="H2990" t="s">
        <v>26011</v>
      </c>
      <c r="I2990" s="26">
        <v>39813</v>
      </c>
      <c r="J2990">
        <v>2008</v>
      </c>
      <c r="K2990" t="s">
        <v>26012</v>
      </c>
      <c r="L2990">
        <v>289</v>
      </c>
      <c r="M2990" t="s">
        <v>37021</v>
      </c>
      <c r="N2990">
        <v>1</v>
      </c>
      <c r="O2990" t="s">
        <v>37022</v>
      </c>
      <c r="Q2990" t="s">
        <v>37023</v>
      </c>
      <c r="R2990">
        <v>618.92858200000001</v>
      </c>
      <c r="S2990" t="s">
        <v>37024</v>
      </c>
      <c r="T2990" t="s">
        <v>30</v>
      </c>
      <c r="U2990" t="s">
        <v>26116</v>
      </c>
      <c r="W2990" t="s">
        <v>26009</v>
      </c>
    </row>
    <row r="2991" spans="1:23" x14ac:dyDescent="0.35">
      <c r="A2991">
        <v>690033</v>
      </c>
      <c r="B2991" t="s">
        <v>37025</v>
      </c>
      <c r="C2991" t="str">
        <f>"9781855755413"</f>
        <v>9781855755413</v>
      </c>
      <c r="D2991" t="str">
        <f>"9781849406161"</f>
        <v>9781849406161</v>
      </c>
      <c r="E2991" t="s">
        <v>26010</v>
      </c>
      <c r="F2991" t="s">
        <v>35</v>
      </c>
      <c r="G2991" t="s">
        <v>26128</v>
      </c>
      <c r="H2991" t="s">
        <v>26011</v>
      </c>
      <c r="I2991" s="26">
        <v>39507</v>
      </c>
      <c r="J2991">
        <v>2008</v>
      </c>
      <c r="K2991" t="s">
        <v>26012</v>
      </c>
      <c r="L2991">
        <v>211</v>
      </c>
      <c r="M2991" t="s">
        <v>37026</v>
      </c>
      <c r="N2991">
        <v>1</v>
      </c>
      <c r="S2991" t="s">
        <v>37027</v>
      </c>
      <c r="T2991" t="s">
        <v>30</v>
      </c>
      <c r="U2991" t="s">
        <v>46</v>
      </c>
      <c r="W2991" t="s">
        <v>26009</v>
      </c>
    </row>
    <row r="2992" spans="1:23" x14ac:dyDescent="0.35">
      <c r="A2992">
        <v>690034</v>
      </c>
      <c r="B2992" t="s">
        <v>37028</v>
      </c>
      <c r="C2992" t="str">
        <f>"9781855754942"</f>
        <v>9781855754942</v>
      </c>
      <c r="D2992" t="str">
        <f>"9781849406178"</f>
        <v>9781849406178</v>
      </c>
      <c r="E2992" t="s">
        <v>26010</v>
      </c>
      <c r="F2992" t="s">
        <v>35</v>
      </c>
      <c r="G2992" t="s">
        <v>22174</v>
      </c>
      <c r="H2992" t="s">
        <v>26011</v>
      </c>
      <c r="I2992" s="26">
        <v>39598</v>
      </c>
      <c r="J2992">
        <v>2008</v>
      </c>
      <c r="K2992" t="s">
        <v>26012</v>
      </c>
      <c r="L2992">
        <v>241</v>
      </c>
      <c r="M2992" t="s">
        <v>37029</v>
      </c>
      <c r="N2992">
        <v>1</v>
      </c>
      <c r="Q2992" t="s">
        <v>37030</v>
      </c>
      <c r="R2992">
        <v>155.4</v>
      </c>
      <c r="S2992" t="s">
        <v>37031</v>
      </c>
      <c r="T2992" t="s">
        <v>30</v>
      </c>
      <c r="U2992" t="s">
        <v>26170</v>
      </c>
      <c r="W2992" t="s">
        <v>26009</v>
      </c>
    </row>
    <row r="2993" spans="1:23" x14ac:dyDescent="0.35">
      <c r="A2993">
        <v>690035</v>
      </c>
      <c r="B2993" t="s">
        <v>37032</v>
      </c>
      <c r="C2993" t="str">
        <f>"9781855754645"</f>
        <v>9781855754645</v>
      </c>
      <c r="D2993" t="str">
        <f>"9781849406192"</f>
        <v>9781849406192</v>
      </c>
      <c r="E2993" t="s">
        <v>26010</v>
      </c>
      <c r="F2993" t="s">
        <v>35</v>
      </c>
      <c r="G2993" t="s">
        <v>26128</v>
      </c>
      <c r="H2993" t="s">
        <v>26011</v>
      </c>
      <c r="I2993" s="26">
        <v>39603</v>
      </c>
      <c r="J2993">
        <v>2008</v>
      </c>
      <c r="K2993" t="s">
        <v>26012</v>
      </c>
      <c r="L2993">
        <v>204</v>
      </c>
      <c r="M2993" t="s">
        <v>37033</v>
      </c>
      <c r="N2993">
        <v>1</v>
      </c>
      <c r="R2993">
        <v>618.92858900854003</v>
      </c>
      <c r="S2993" t="s">
        <v>37034</v>
      </c>
      <c r="T2993" t="s">
        <v>30</v>
      </c>
      <c r="U2993" t="s">
        <v>26040</v>
      </c>
      <c r="W2993" t="s">
        <v>26009</v>
      </c>
    </row>
    <row r="2994" spans="1:23" x14ac:dyDescent="0.35">
      <c r="A2994">
        <v>690036</v>
      </c>
      <c r="B2994" t="s">
        <v>37035</v>
      </c>
      <c r="C2994" t="str">
        <f>"9781855755727"</f>
        <v>9781855755727</v>
      </c>
      <c r="D2994" t="str">
        <f>"9780429916403"</f>
        <v>9780429916403</v>
      </c>
      <c r="E2994" t="s">
        <v>26010</v>
      </c>
      <c r="F2994" t="s">
        <v>35</v>
      </c>
      <c r="G2994" t="s">
        <v>22174</v>
      </c>
      <c r="H2994" t="s">
        <v>26011</v>
      </c>
      <c r="I2994" s="26">
        <v>39813</v>
      </c>
      <c r="J2994">
        <v>2008</v>
      </c>
      <c r="K2994" t="s">
        <v>26012</v>
      </c>
      <c r="L2994">
        <v>178</v>
      </c>
      <c r="M2994" t="s">
        <v>37036</v>
      </c>
      <c r="N2994">
        <v>1</v>
      </c>
      <c r="O2994" t="s">
        <v>37022</v>
      </c>
      <c r="Q2994" t="s">
        <v>37037</v>
      </c>
      <c r="R2994">
        <v>364.1523019</v>
      </c>
      <c r="S2994" t="s">
        <v>37038</v>
      </c>
      <c r="T2994" t="s">
        <v>30</v>
      </c>
      <c r="U2994" t="s">
        <v>28085</v>
      </c>
      <c r="W2994" t="s">
        <v>26009</v>
      </c>
    </row>
    <row r="2995" spans="1:23" x14ac:dyDescent="0.35">
      <c r="A2995">
        <v>690037</v>
      </c>
      <c r="B2995" t="s">
        <v>37039</v>
      </c>
      <c r="C2995" t="str">
        <f>"9781855755611"</f>
        <v>9781855755611</v>
      </c>
      <c r="D2995" t="str">
        <f>"9781849406222"</f>
        <v>9781849406222</v>
      </c>
      <c r="E2995" t="s">
        <v>26010</v>
      </c>
      <c r="F2995" t="s">
        <v>35</v>
      </c>
      <c r="G2995" t="s">
        <v>22174</v>
      </c>
      <c r="H2995" t="s">
        <v>26011</v>
      </c>
      <c r="I2995" s="26">
        <v>39463</v>
      </c>
      <c r="J2995">
        <v>2008</v>
      </c>
      <c r="K2995" t="s">
        <v>26012</v>
      </c>
      <c r="L2995">
        <v>296</v>
      </c>
      <c r="M2995" t="s">
        <v>37040</v>
      </c>
      <c r="N2995">
        <v>1</v>
      </c>
      <c r="Q2995" t="s">
        <v>37041</v>
      </c>
      <c r="R2995">
        <v>150.19499999999999</v>
      </c>
      <c r="S2995" t="s">
        <v>37042</v>
      </c>
      <c r="T2995" t="s">
        <v>30</v>
      </c>
      <c r="U2995" t="s">
        <v>46</v>
      </c>
      <c r="W2995" t="s">
        <v>26009</v>
      </c>
    </row>
    <row r="2996" spans="1:23" x14ac:dyDescent="0.35">
      <c r="A2996">
        <v>690038</v>
      </c>
      <c r="B2996" t="s">
        <v>37043</v>
      </c>
      <c r="C2996" t="str">
        <f>"9781855755628"</f>
        <v>9781855755628</v>
      </c>
      <c r="D2996" t="str">
        <f>"9780429917608"</f>
        <v>9780429917608</v>
      </c>
      <c r="E2996" t="s">
        <v>26010</v>
      </c>
      <c r="F2996" t="s">
        <v>35</v>
      </c>
      <c r="G2996" t="s">
        <v>22174</v>
      </c>
      <c r="H2996" t="s">
        <v>26011</v>
      </c>
      <c r="I2996" s="26">
        <v>39813</v>
      </c>
      <c r="J2996">
        <v>2008</v>
      </c>
      <c r="K2996" t="s">
        <v>26012</v>
      </c>
      <c r="L2996">
        <v>177</v>
      </c>
      <c r="M2996" t="s">
        <v>37044</v>
      </c>
      <c r="N2996">
        <v>1</v>
      </c>
      <c r="O2996" t="s">
        <v>37022</v>
      </c>
      <c r="Q2996" t="s">
        <v>37045</v>
      </c>
      <c r="R2996" t="s">
        <v>27027</v>
      </c>
      <c r="S2996" t="s">
        <v>37046</v>
      </c>
      <c r="T2996" t="s">
        <v>30</v>
      </c>
      <c r="U2996" t="s">
        <v>29740</v>
      </c>
      <c r="W2996" t="s">
        <v>26009</v>
      </c>
    </row>
    <row r="2997" spans="1:23" x14ac:dyDescent="0.35">
      <c r="A2997">
        <v>690039</v>
      </c>
      <c r="B2997" t="s">
        <v>37047</v>
      </c>
      <c r="C2997" t="str">
        <f>"9781855755970"</f>
        <v>9781855755970</v>
      </c>
      <c r="D2997" t="str">
        <f>"9781849406840"</f>
        <v>9781849406840</v>
      </c>
      <c r="E2997" t="s">
        <v>26010</v>
      </c>
      <c r="F2997" t="s">
        <v>35</v>
      </c>
      <c r="G2997" t="s">
        <v>22174</v>
      </c>
      <c r="H2997" t="s">
        <v>26011</v>
      </c>
      <c r="I2997" s="26">
        <v>39765</v>
      </c>
      <c r="J2997">
        <v>2008</v>
      </c>
      <c r="K2997" t="s">
        <v>26012</v>
      </c>
      <c r="L2997">
        <v>264</v>
      </c>
      <c r="M2997" t="s">
        <v>37048</v>
      </c>
      <c r="N2997">
        <v>1</v>
      </c>
      <c r="Q2997" t="s">
        <v>37049</v>
      </c>
      <c r="R2997" t="s">
        <v>37050</v>
      </c>
      <c r="S2997" t="s">
        <v>37051</v>
      </c>
      <c r="T2997" t="s">
        <v>30</v>
      </c>
      <c r="U2997" t="s">
        <v>26116</v>
      </c>
      <c r="W2997" t="s">
        <v>26009</v>
      </c>
    </row>
    <row r="2998" spans="1:23" x14ac:dyDescent="0.35">
      <c r="A2998">
        <v>690040</v>
      </c>
      <c r="B2998" t="s">
        <v>37052</v>
      </c>
      <c r="C2998" t="str">
        <f>"9781855755802"</f>
        <v>9781855755802</v>
      </c>
      <c r="D2998" t="str">
        <f>"9780429913815"</f>
        <v>9780429913815</v>
      </c>
      <c r="E2998" t="s">
        <v>26010</v>
      </c>
      <c r="F2998" t="s">
        <v>35</v>
      </c>
      <c r="G2998" t="s">
        <v>22174</v>
      </c>
      <c r="H2998" t="s">
        <v>26011</v>
      </c>
      <c r="I2998" s="26">
        <v>39813</v>
      </c>
      <c r="J2998">
        <v>2008</v>
      </c>
      <c r="K2998" t="s">
        <v>26012</v>
      </c>
      <c r="L2998">
        <v>188</v>
      </c>
      <c r="M2998" t="s">
        <v>37053</v>
      </c>
      <c r="N2998">
        <v>1</v>
      </c>
      <c r="O2998" t="s">
        <v>37054</v>
      </c>
      <c r="Q2998" t="s">
        <v>37055</v>
      </c>
      <c r="R2998">
        <v>616.85225000000003</v>
      </c>
      <c r="S2998" t="s">
        <v>37056</v>
      </c>
      <c r="T2998" t="s">
        <v>30</v>
      </c>
      <c r="U2998" t="s">
        <v>26040</v>
      </c>
      <c r="W2998" t="s">
        <v>26009</v>
      </c>
    </row>
    <row r="2999" spans="1:23" x14ac:dyDescent="0.35">
      <c r="A2999">
        <v>690043</v>
      </c>
      <c r="B2999" t="s">
        <v>37057</v>
      </c>
      <c r="C2999" t="str">
        <f>"9781855756762"</f>
        <v>9781855756762</v>
      </c>
      <c r="D2999" t="str">
        <f>"9781849406376"</f>
        <v>9781849406376</v>
      </c>
      <c r="E2999" t="s">
        <v>26010</v>
      </c>
      <c r="F2999" t="s">
        <v>35</v>
      </c>
      <c r="G2999" t="s">
        <v>26128</v>
      </c>
      <c r="H2999" t="s">
        <v>26011</v>
      </c>
      <c r="I2999" s="26">
        <v>39699</v>
      </c>
      <c r="J2999">
        <v>2008</v>
      </c>
      <c r="K2999" t="s">
        <v>26012</v>
      </c>
      <c r="L2999">
        <v>220</v>
      </c>
      <c r="M2999" t="s">
        <v>36934</v>
      </c>
      <c r="N2999">
        <v>1</v>
      </c>
      <c r="R2999">
        <v>16.6168917</v>
      </c>
      <c r="S2999" t="s">
        <v>37058</v>
      </c>
      <c r="T2999" t="s">
        <v>30</v>
      </c>
      <c r="U2999" t="s">
        <v>36282</v>
      </c>
      <c r="W2999" t="s">
        <v>26009</v>
      </c>
    </row>
    <row r="3000" spans="1:23" x14ac:dyDescent="0.35">
      <c r="A3000">
        <v>690046</v>
      </c>
      <c r="B3000" t="s">
        <v>37059</v>
      </c>
      <c r="C3000" t="str">
        <f>"9781855755451"</f>
        <v>9781855755451</v>
      </c>
      <c r="D3000" t="str">
        <f>"9781849406444"</f>
        <v>9781849406444</v>
      </c>
      <c r="E3000" t="s">
        <v>26010</v>
      </c>
      <c r="F3000" t="s">
        <v>35</v>
      </c>
      <c r="G3000" t="s">
        <v>26128</v>
      </c>
      <c r="H3000" t="s">
        <v>26011</v>
      </c>
      <c r="I3000" s="26">
        <v>39448</v>
      </c>
      <c r="J3000">
        <v>2008</v>
      </c>
      <c r="K3000" t="s">
        <v>26012</v>
      </c>
      <c r="L3000">
        <v>293</v>
      </c>
      <c r="M3000" t="s">
        <v>37060</v>
      </c>
      <c r="N3000">
        <v>1</v>
      </c>
      <c r="S3000" t="s">
        <v>7671</v>
      </c>
      <c r="T3000" t="s">
        <v>30</v>
      </c>
      <c r="U3000" t="s">
        <v>46</v>
      </c>
      <c r="W3000" t="s">
        <v>26009</v>
      </c>
    </row>
    <row r="3001" spans="1:23" x14ac:dyDescent="0.35">
      <c r="A3001">
        <v>690047</v>
      </c>
      <c r="B3001" t="s">
        <v>9402</v>
      </c>
      <c r="C3001" t="str">
        <f>"9781855755765"</f>
        <v>9781855755765</v>
      </c>
      <c r="D3001" t="str">
        <f>"9781849406468"</f>
        <v>9781849406468</v>
      </c>
      <c r="E3001" t="s">
        <v>26010</v>
      </c>
      <c r="F3001" t="s">
        <v>35</v>
      </c>
      <c r="G3001" t="s">
        <v>22174</v>
      </c>
      <c r="H3001" t="s">
        <v>26011</v>
      </c>
      <c r="I3001" s="26">
        <v>39478</v>
      </c>
      <c r="J3001">
        <v>2008</v>
      </c>
      <c r="K3001" t="s">
        <v>26012</v>
      </c>
      <c r="L3001">
        <v>268</v>
      </c>
      <c r="M3001" t="s">
        <v>37061</v>
      </c>
      <c r="N3001">
        <v>1</v>
      </c>
      <c r="Q3001" t="s">
        <v>37062</v>
      </c>
      <c r="R3001">
        <v>364.16800000000001</v>
      </c>
      <c r="S3001" t="s">
        <v>37063</v>
      </c>
      <c r="T3001" t="s">
        <v>30</v>
      </c>
      <c r="U3001" t="s">
        <v>26044</v>
      </c>
      <c r="W3001" t="s">
        <v>26009</v>
      </c>
    </row>
    <row r="3002" spans="1:23" x14ac:dyDescent="0.35">
      <c r="A3002">
        <v>690049</v>
      </c>
      <c r="B3002" t="s">
        <v>37064</v>
      </c>
      <c r="C3002" t="str">
        <f>"9781855756397"</f>
        <v>9781855756397</v>
      </c>
      <c r="D3002" t="str">
        <f>"9781849406772"</f>
        <v>9781849406772</v>
      </c>
      <c r="E3002" t="s">
        <v>26010</v>
      </c>
      <c r="F3002" t="s">
        <v>35</v>
      </c>
      <c r="G3002" t="s">
        <v>22174</v>
      </c>
      <c r="H3002" t="s">
        <v>26011</v>
      </c>
      <c r="I3002" s="26">
        <v>39751</v>
      </c>
      <c r="J3002">
        <v>2008</v>
      </c>
      <c r="K3002" t="s">
        <v>26012</v>
      </c>
      <c r="L3002">
        <v>147</v>
      </c>
      <c r="M3002" t="s">
        <v>37065</v>
      </c>
      <c r="N3002">
        <v>1</v>
      </c>
      <c r="Q3002" t="s">
        <v>37066</v>
      </c>
      <c r="R3002">
        <v>618.92858222999996</v>
      </c>
      <c r="S3002" t="s">
        <v>37067</v>
      </c>
      <c r="T3002" t="s">
        <v>30</v>
      </c>
      <c r="U3002" t="s">
        <v>26116</v>
      </c>
      <c r="W3002" t="s">
        <v>26009</v>
      </c>
    </row>
    <row r="3003" spans="1:23" x14ac:dyDescent="0.35">
      <c r="A3003">
        <v>690051</v>
      </c>
      <c r="B3003" t="s">
        <v>37068</v>
      </c>
      <c r="C3003" t="str">
        <f>"9781855755550"</f>
        <v>9781855755550</v>
      </c>
      <c r="D3003" t="str">
        <f>"9781849406505"</f>
        <v>9781849406505</v>
      </c>
      <c r="E3003" t="s">
        <v>26010</v>
      </c>
      <c r="F3003" t="s">
        <v>35</v>
      </c>
      <c r="G3003" t="s">
        <v>22174</v>
      </c>
      <c r="H3003" t="s">
        <v>26011</v>
      </c>
      <c r="I3003" s="26">
        <v>39513</v>
      </c>
      <c r="J3003">
        <v>2008</v>
      </c>
      <c r="K3003" t="s">
        <v>26012</v>
      </c>
      <c r="L3003">
        <v>199</v>
      </c>
      <c r="M3003" t="s">
        <v>37069</v>
      </c>
      <c r="N3003">
        <v>1</v>
      </c>
      <c r="Q3003" t="s">
        <v>37070</v>
      </c>
      <c r="R3003">
        <v>153.35082</v>
      </c>
      <c r="S3003" t="s">
        <v>37071</v>
      </c>
      <c r="T3003" t="s">
        <v>30</v>
      </c>
      <c r="U3003" t="s">
        <v>46</v>
      </c>
      <c r="W3003" t="s">
        <v>26009</v>
      </c>
    </row>
    <row r="3004" spans="1:23" x14ac:dyDescent="0.35">
      <c r="A3004">
        <v>690052</v>
      </c>
      <c r="B3004" t="s">
        <v>37072</v>
      </c>
      <c r="C3004" t="str">
        <f>"9781855755239"</f>
        <v>9781855755239</v>
      </c>
      <c r="D3004" t="str">
        <f>"9781849406499"</f>
        <v>9781849406499</v>
      </c>
      <c r="E3004" t="s">
        <v>26010</v>
      </c>
      <c r="F3004" t="s">
        <v>35</v>
      </c>
      <c r="G3004" t="s">
        <v>22174</v>
      </c>
      <c r="H3004" t="s">
        <v>26011</v>
      </c>
      <c r="I3004" s="26">
        <v>39636</v>
      </c>
      <c r="J3004">
        <v>2008</v>
      </c>
      <c r="K3004" t="s">
        <v>26012</v>
      </c>
      <c r="L3004">
        <v>337</v>
      </c>
      <c r="M3004" t="s">
        <v>37073</v>
      </c>
      <c r="N3004">
        <v>1</v>
      </c>
      <c r="Q3004" t="s">
        <v>37074</v>
      </c>
      <c r="R3004">
        <v>618.92891699999996</v>
      </c>
      <c r="S3004" t="s">
        <v>37075</v>
      </c>
      <c r="T3004" t="s">
        <v>30</v>
      </c>
      <c r="U3004" t="s">
        <v>26019</v>
      </c>
      <c r="W3004" t="s">
        <v>26009</v>
      </c>
    </row>
    <row r="3005" spans="1:23" x14ac:dyDescent="0.35">
      <c r="A3005">
        <v>690053</v>
      </c>
      <c r="B3005" t="s">
        <v>37076</v>
      </c>
      <c r="C3005" t="str">
        <f>"9781855755666"</f>
        <v>9781855755666</v>
      </c>
      <c r="D3005" t="str">
        <f>"9781849406529"</f>
        <v>9781849406529</v>
      </c>
      <c r="E3005" t="s">
        <v>26010</v>
      </c>
      <c r="F3005" t="s">
        <v>35</v>
      </c>
      <c r="G3005" t="s">
        <v>22174</v>
      </c>
      <c r="H3005" t="s">
        <v>26011</v>
      </c>
      <c r="I3005" s="26">
        <v>39513</v>
      </c>
      <c r="J3005">
        <v>2008</v>
      </c>
      <c r="K3005" t="s">
        <v>26012</v>
      </c>
      <c r="L3005">
        <v>521</v>
      </c>
      <c r="M3005" t="s">
        <v>37077</v>
      </c>
      <c r="N3005">
        <v>1</v>
      </c>
      <c r="Q3005" t="s">
        <v>37078</v>
      </c>
      <c r="R3005">
        <v>616.89139999999998</v>
      </c>
      <c r="S3005" t="s">
        <v>37079</v>
      </c>
      <c r="T3005" t="s">
        <v>30</v>
      </c>
      <c r="U3005" t="s">
        <v>26116</v>
      </c>
      <c r="W3005" t="s">
        <v>26009</v>
      </c>
    </row>
    <row r="3006" spans="1:23" x14ac:dyDescent="0.35">
      <c r="A3006">
        <v>690054</v>
      </c>
      <c r="B3006" t="s">
        <v>37080</v>
      </c>
      <c r="C3006" t="str">
        <f>"9781855755093"</f>
        <v>9781855755093</v>
      </c>
      <c r="D3006" t="str">
        <f>"9781849406536"</f>
        <v>9781849406536</v>
      </c>
      <c r="E3006" t="s">
        <v>26010</v>
      </c>
      <c r="F3006" t="s">
        <v>35</v>
      </c>
      <c r="G3006" t="s">
        <v>22174</v>
      </c>
      <c r="H3006" t="s">
        <v>26011</v>
      </c>
      <c r="I3006" s="26">
        <v>39730</v>
      </c>
      <c r="J3006">
        <v>2008</v>
      </c>
      <c r="K3006" t="s">
        <v>26012</v>
      </c>
      <c r="L3006">
        <v>402</v>
      </c>
      <c r="M3006" t="s">
        <v>37081</v>
      </c>
      <c r="N3006">
        <v>1</v>
      </c>
      <c r="Q3006" t="s">
        <v>37082</v>
      </c>
      <c r="R3006">
        <v>150.19499999999999</v>
      </c>
      <c r="S3006" t="s">
        <v>37083</v>
      </c>
      <c r="T3006" t="s">
        <v>30</v>
      </c>
      <c r="U3006" t="s">
        <v>46</v>
      </c>
      <c r="W3006" t="s">
        <v>26009</v>
      </c>
    </row>
    <row r="3007" spans="1:23" x14ac:dyDescent="0.35">
      <c r="A3007">
        <v>690055</v>
      </c>
      <c r="B3007" t="s">
        <v>9552</v>
      </c>
      <c r="C3007" t="str">
        <f>"9781855755338"</f>
        <v>9781855755338</v>
      </c>
      <c r="D3007" t="str">
        <f>"9781849406543"</f>
        <v>9781849406543</v>
      </c>
      <c r="E3007" t="s">
        <v>26010</v>
      </c>
      <c r="F3007" t="s">
        <v>35</v>
      </c>
      <c r="G3007" t="s">
        <v>22174</v>
      </c>
      <c r="H3007" t="s">
        <v>26011</v>
      </c>
      <c r="I3007" s="26">
        <v>39665</v>
      </c>
      <c r="J3007">
        <v>2008</v>
      </c>
      <c r="K3007" t="s">
        <v>26012</v>
      </c>
      <c r="L3007">
        <v>254</v>
      </c>
      <c r="M3007" t="s">
        <v>37084</v>
      </c>
      <c r="N3007">
        <v>1</v>
      </c>
      <c r="Q3007" t="s">
        <v>37085</v>
      </c>
      <c r="R3007">
        <v>616.89170000000001</v>
      </c>
      <c r="S3007" t="s">
        <v>37086</v>
      </c>
      <c r="T3007" t="s">
        <v>30</v>
      </c>
      <c r="U3007" t="s">
        <v>26116</v>
      </c>
      <c r="W3007" t="s">
        <v>26009</v>
      </c>
    </row>
    <row r="3008" spans="1:23" x14ac:dyDescent="0.35">
      <c r="A3008">
        <v>690056</v>
      </c>
      <c r="B3008" t="s">
        <v>37087</v>
      </c>
      <c r="C3008" t="str">
        <f>"9781855755864"</f>
        <v>9781855755864</v>
      </c>
      <c r="D3008" t="str">
        <f>"9781849406550"</f>
        <v>9781849406550</v>
      </c>
      <c r="E3008" t="s">
        <v>26010</v>
      </c>
      <c r="F3008" t="s">
        <v>35</v>
      </c>
      <c r="G3008" t="s">
        <v>26128</v>
      </c>
      <c r="H3008" t="s">
        <v>26011</v>
      </c>
      <c r="I3008" s="26">
        <v>39661</v>
      </c>
      <c r="J3008">
        <v>2008</v>
      </c>
      <c r="K3008" t="s">
        <v>26012</v>
      </c>
      <c r="L3008">
        <v>193</v>
      </c>
      <c r="M3008" t="s">
        <v>37088</v>
      </c>
      <c r="N3008">
        <v>1</v>
      </c>
      <c r="R3008">
        <v>150.19499999999999</v>
      </c>
      <c r="S3008" t="s">
        <v>7661</v>
      </c>
      <c r="T3008" t="s">
        <v>30</v>
      </c>
      <c r="U3008" t="s">
        <v>46</v>
      </c>
      <c r="W3008" t="s">
        <v>26009</v>
      </c>
    </row>
    <row r="3009" spans="1:23" x14ac:dyDescent="0.35">
      <c r="A3009">
        <v>690058</v>
      </c>
      <c r="B3009" t="s">
        <v>37089</v>
      </c>
      <c r="C3009" t="str">
        <f>"9781855755932"</f>
        <v>9781855755932</v>
      </c>
      <c r="D3009" t="str">
        <f>"9781849406574"</f>
        <v>9781849406574</v>
      </c>
      <c r="E3009" t="s">
        <v>26010</v>
      </c>
      <c r="F3009" t="s">
        <v>35</v>
      </c>
      <c r="G3009" t="s">
        <v>22174</v>
      </c>
      <c r="H3009" t="s">
        <v>26011</v>
      </c>
      <c r="I3009" s="26">
        <v>39797</v>
      </c>
      <c r="J3009">
        <v>2008</v>
      </c>
      <c r="K3009" t="s">
        <v>26012</v>
      </c>
      <c r="L3009">
        <v>153</v>
      </c>
      <c r="M3009" t="s">
        <v>37090</v>
      </c>
      <c r="N3009">
        <v>1</v>
      </c>
      <c r="Q3009" t="s">
        <v>37091</v>
      </c>
      <c r="R3009">
        <v>158.69999999999999</v>
      </c>
      <c r="S3009" t="s">
        <v>37092</v>
      </c>
      <c r="T3009" t="s">
        <v>30</v>
      </c>
      <c r="U3009" t="s">
        <v>26019</v>
      </c>
      <c r="W3009" t="s">
        <v>26009</v>
      </c>
    </row>
    <row r="3010" spans="1:23" x14ac:dyDescent="0.35">
      <c r="A3010">
        <v>690059</v>
      </c>
      <c r="B3010" t="s">
        <v>37093</v>
      </c>
      <c r="C3010" t="str">
        <f>"9781855756441"</f>
        <v>9781855756441</v>
      </c>
      <c r="D3010" t="str">
        <f>"9780429924200"</f>
        <v>9780429924200</v>
      </c>
      <c r="E3010" t="s">
        <v>26010</v>
      </c>
      <c r="F3010" t="s">
        <v>35</v>
      </c>
      <c r="G3010" t="s">
        <v>26128</v>
      </c>
      <c r="H3010" t="s">
        <v>26011</v>
      </c>
      <c r="I3010" s="26">
        <v>39750</v>
      </c>
      <c r="J3010">
        <v>2008</v>
      </c>
      <c r="K3010" t="s">
        <v>26012</v>
      </c>
      <c r="L3010">
        <v>336</v>
      </c>
      <c r="M3010" t="s">
        <v>37094</v>
      </c>
      <c r="N3010">
        <v>1</v>
      </c>
      <c r="O3010" t="s">
        <v>36500</v>
      </c>
      <c r="S3010" t="s">
        <v>37095</v>
      </c>
      <c r="T3010" t="s">
        <v>30</v>
      </c>
      <c r="U3010" t="s">
        <v>46</v>
      </c>
      <c r="W3010" t="s">
        <v>26009</v>
      </c>
    </row>
    <row r="3011" spans="1:23" x14ac:dyDescent="0.35">
      <c r="A3011">
        <v>690060</v>
      </c>
      <c r="B3011" t="s">
        <v>8433</v>
      </c>
      <c r="C3011" t="str">
        <f>"9781855755963"</f>
        <v>9781855755963</v>
      </c>
      <c r="D3011" t="str">
        <f>"9781849406611"</f>
        <v>9781849406611</v>
      </c>
      <c r="E3011" t="s">
        <v>26010</v>
      </c>
      <c r="F3011" t="s">
        <v>35</v>
      </c>
      <c r="G3011" t="s">
        <v>22174</v>
      </c>
      <c r="H3011" t="s">
        <v>26011</v>
      </c>
      <c r="I3011" s="26">
        <v>39813</v>
      </c>
      <c r="J3011">
        <v>2008</v>
      </c>
      <c r="K3011" t="s">
        <v>26012</v>
      </c>
      <c r="L3011">
        <v>240</v>
      </c>
      <c r="M3011" t="s">
        <v>37096</v>
      </c>
      <c r="N3011">
        <v>1</v>
      </c>
      <c r="O3011" t="s">
        <v>37022</v>
      </c>
      <c r="Q3011" t="s">
        <v>37097</v>
      </c>
      <c r="R3011">
        <v>614.15</v>
      </c>
      <c r="S3011" t="s">
        <v>37098</v>
      </c>
      <c r="T3011" t="s">
        <v>30</v>
      </c>
      <c r="U3011" t="s">
        <v>26057</v>
      </c>
      <c r="W3011" t="s">
        <v>26009</v>
      </c>
    </row>
    <row r="3012" spans="1:23" x14ac:dyDescent="0.35">
      <c r="A3012">
        <v>690061</v>
      </c>
      <c r="B3012" t="s">
        <v>37099</v>
      </c>
      <c r="C3012" t="str">
        <f>"9781855756618"</f>
        <v>9781855756618</v>
      </c>
      <c r="D3012" t="str">
        <f>"9781849406628"</f>
        <v>9781849406628</v>
      </c>
      <c r="E3012" t="s">
        <v>26010</v>
      </c>
      <c r="F3012" t="s">
        <v>35</v>
      </c>
      <c r="G3012" t="s">
        <v>22174</v>
      </c>
      <c r="H3012" t="s">
        <v>26011</v>
      </c>
      <c r="I3012" s="26">
        <v>39505</v>
      </c>
      <c r="J3012">
        <v>2008</v>
      </c>
      <c r="K3012" t="s">
        <v>26012</v>
      </c>
      <c r="L3012">
        <v>642</v>
      </c>
      <c r="M3012" t="s">
        <v>37100</v>
      </c>
      <c r="N3012">
        <v>1</v>
      </c>
      <c r="Q3012" t="s">
        <v>37101</v>
      </c>
      <c r="R3012">
        <v>616.89805999999999</v>
      </c>
      <c r="S3012" t="s">
        <v>37102</v>
      </c>
      <c r="T3012" t="s">
        <v>30</v>
      </c>
      <c r="U3012" t="s">
        <v>26019</v>
      </c>
      <c r="W3012" t="s">
        <v>26009</v>
      </c>
    </row>
    <row r="3013" spans="1:23" x14ac:dyDescent="0.35">
      <c r="A3013">
        <v>690064</v>
      </c>
      <c r="B3013" t="s">
        <v>37103</v>
      </c>
      <c r="C3013" t="str">
        <f>"9781855755819"</f>
        <v>9781855755819</v>
      </c>
      <c r="D3013" t="str">
        <f>"9781849406673"</f>
        <v>9781849406673</v>
      </c>
      <c r="E3013" t="s">
        <v>26010</v>
      </c>
      <c r="F3013" t="s">
        <v>35</v>
      </c>
      <c r="G3013" t="s">
        <v>22174</v>
      </c>
      <c r="H3013" t="s">
        <v>26011</v>
      </c>
      <c r="I3013" s="26">
        <v>39813</v>
      </c>
      <c r="J3013">
        <v>2008</v>
      </c>
      <c r="K3013" t="s">
        <v>26012</v>
      </c>
      <c r="L3013">
        <v>269</v>
      </c>
      <c r="M3013" t="s">
        <v>37104</v>
      </c>
      <c r="N3013">
        <v>1</v>
      </c>
      <c r="O3013" t="s">
        <v>36547</v>
      </c>
      <c r="Q3013" t="s">
        <v>37105</v>
      </c>
      <c r="R3013">
        <v>618.9289</v>
      </c>
      <c r="S3013" t="s">
        <v>37106</v>
      </c>
      <c r="T3013" t="s">
        <v>30</v>
      </c>
      <c r="U3013" t="s">
        <v>26116</v>
      </c>
      <c r="W3013" t="s">
        <v>26009</v>
      </c>
    </row>
    <row r="3014" spans="1:23" x14ac:dyDescent="0.35">
      <c r="A3014">
        <v>690066</v>
      </c>
      <c r="B3014" t="s">
        <v>37107</v>
      </c>
      <c r="C3014" t="str">
        <f>"9780953710515"</f>
        <v>9780953710515</v>
      </c>
      <c r="D3014" t="str">
        <f>"9781849402958"</f>
        <v>9781849402958</v>
      </c>
      <c r="E3014" t="s">
        <v>26010</v>
      </c>
      <c r="F3014" t="s">
        <v>35</v>
      </c>
      <c r="G3014" t="s">
        <v>22174</v>
      </c>
      <c r="H3014" t="s">
        <v>26011</v>
      </c>
      <c r="I3014" s="26">
        <v>36891</v>
      </c>
      <c r="J3014">
        <v>2000</v>
      </c>
      <c r="K3014" t="s">
        <v>26012</v>
      </c>
      <c r="L3014">
        <v>169</v>
      </c>
      <c r="M3014" t="s">
        <v>37108</v>
      </c>
      <c r="N3014">
        <v>1</v>
      </c>
      <c r="O3014" t="s">
        <v>36814</v>
      </c>
      <c r="Q3014" t="s">
        <v>37109</v>
      </c>
      <c r="R3014">
        <v>306.88</v>
      </c>
      <c r="S3014" t="s">
        <v>37110</v>
      </c>
      <c r="T3014" t="s">
        <v>30</v>
      </c>
      <c r="U3014" t="s">
        <v>28289</v>
      </c>
      <c r="W3014" t="s">
        <v>26009</v>
      </c>
    </row>
    <row r="3015" spans="1:23" x14ac:dyDescent="0.35">
      <c r="A3015">
        <v>690073</v>
      </c>
      <c r="B3015" t="s">
        <v>37111</v>
      </c>
      <c r="C3015" t="str">
        <f>"9781855757097"</f>
        <v>9781855757097</v>
      </c>
      <c r="D3015" t="str">
        <f>"9780429918537"</f>
        <v>9780429918537</v>
      </c>
      <c r="E3015" t="s">
        <v>26010</v>
      </c>
      <c r="F3015" t="s">
        <v>35</v>
      </c>
      <c r="G3015" t="s">
        <v>22174</v>
      </c>
      <c r="H3015" t="s">
        <v>26011</v>
      </c>
      <c r="I3015" s="26">
        <v>40908</v>
      </c>
      <c r="J3015">
        <v>2011</v>
      </c>
      <c r="K3015" t="s">
        <v>26012</v>
      </c>
      <c r="L3015">
        <v>344</v>
      </c>
      <c r="M3015" t="s">
        <v>37112</v>
      </c>
      <c r="N3015">
        <v>1</v>
      </c>
      <c r="O3015" t="s">
        <v>36515</v>
      </c>
      <c r="Q3015" t="s">
        <v>37113</v>
      </c>
      <c r="R3015">
        <v>355.12094100000002</v>
      </c>
      <c r="S3015" t="s">
        <v>37114</v>
      </c>
      <c r="T3015" t="s">
        <v>30</v>
      </c>
      <c r="U3015" t="s">
        <v>33415</v>
      </c>
      <c r="W3015" t="s">
        <v>26009</v>
      </c>
    </row>
    <row r="3016" spans="1:23" x14ac:dyDescent="0.35">
      <c r="A3016">
        <v>690075</v>
      </c>
      <c r="B3016" t="s">
        <v>37115</v>
      </c>
      <c r="C3016" t="str">
        <f>"9781855758483"</f>
        <v>9781855758483</v>
      </c>
      <c r="D3016" t="str">
        <f>"9781849408745"</f>
        <v>9781849408745</v>
      </c>
      <c r="E3016" t="s">
        <v>26010</v>
      </c>
      <c r="F3016" t="s">
        <v>35</v>
      </c>
      <c r="G3016" t="s">
        <v>22174</v>
      </c>
      <c r="H3016" t="s">
        <v>26011</v>
      </c>
      <c r="I3016" s="26">
        <v>40908</v>
      </c>
      <c r="J3016">
        <v>2011</v>
      </c>
      <c r="K3016" t="s">
        <v>26012</v>
      </c>
      <c r="L3016">
        <v>385</v>
      </c>
      <c r="M3016" t="s">
        <v>37116</v>
      </c>
      <c r="N3016">
        <v>1</v>
      </c>
      <c r="O3016" t="s">
        <v>37117</v>
      </c>
      <c r="Q3016" t="s">
        <v>37118</v>
      </c>
      <c r="R3016">
        <v>616.85820000000001</v>
      </c>
      <c r="S3016" t="s">
        <v>37119</v>
      </c>
      <c r="T3016" t="s">
        <v>30</v>
      </c>
      <c r="U3016" t="s">
        <v>26116</v>
      </c>
      <c r="W3016" t="s">
        <v>26009</v>
      </c>
    </row>
    <row r="3017" spans="1:23" x14ac:dyDescent="0.35">
      <c r="A3017">
        <v>690076</v>
      </c>
      <c r="B3017" t="s">
        <v>8733</v>
      </c>
      <c r="C3017" t="str">
        <f>"9781855758872"</f>
        <v>9781855758872</v>
      </c>
      <c r="D3017" t="str">
        <f>"9781849408707"</f>
        <v>9781849408707</v>
      </c>
      <c r="E3017" t="s">
        <v>26010</v>
      </c>
      <c r="F3017" t="s">
        <v>35</v>
      </c>
      <c r="G3017" t="s">
        <v>22174</v>
      </c>
      <c r="H3017" t="s">
        <v>26011</v>
      </c>
      <c r="I3017" s="26">
        <v>40908</v>
      </c>
      <c r="J3017">
        <v>2011</v>
      </c>
      <c r="K3017" t="s">
        <v>26012</v>
      </c>
      <c r="L3017">
        <v>103</v>
      </c>
      <c r="M3017" t="s">
        <v>37120</v>
      </c>
      <c r="N3017">
        <v>1</v>
      </c>
      <c r="Q3017" t="s">
        <v>37121</v>
      </c>
      <c r="R3017">
        <v>150.19499999999999</v>
      </c>
      <c r="S3017" t="s">
        <v>37122</v>
      </c>
      <c r="T3017" t="s">
        <v>30</v>
      </c>
      <c r="U3017" t="s">
        <v>26019</v>
      </c>
      <c r="W3017" t="s">
        <v>26009</v>
      </c>
    </row>
    <row r="3018" spans="1:23" x14ac:dyDescent="0.35">
      <c r="A3018">
        <v>690077</v>
      </c>
      <c r="B3018" t="s">
        <v>37123</v>
      </c>
      <c r="C3018" t="str">
        <f>""</f>
        <v/>
      </c>
      <c r="D3018" t="str">
        <f>"9781849408752"</f>
        <v>9781849408752</v>
      </c>
      <c r="E3018" t="s">
        <v>26010</v>
      </c>
      <c r="F3018" t="s">
        <v>35</v>
      </c>
      <c r="G3018" t="s">
        <v>22174</v>
      </c>
      <c r="H3018" t="s">
        <v>26011</v>
      </c>
      <c r="I3018" s="26">
        <v>40589</v>
      </c>
      <c r="J3018">
        <v>2011</v>
      </c>
      <c r="K3018" t="s">
        <v>26012</v>
      </c>
      <c r="L3018">
        <v>375</v>
      </c>
      <c r="M3018" t="s">
        <v>37124</v>
      </c>
      <c r="N3018">
        <v>1</v>
      </c>
      <c r="O3018" t="s">
        <v>36814</v>
      </c>
      <c r="Q3018" t="s">
        <v>37125</v>
      </c>
      <c r="R3018">
        <v>128.19999999999999</v>
      </c>
      <c r="S3018" t="s">
        <v>37126</v>
      </c>
      <c r="T3018" t="s">
        <v>30</v>
      </c>
      <c r="U3018" t="s">
        <v>26135</v>
      </c>
      <c r="W3018" t="s">
        <v>26009</v>
      </c>
    </row>
    <row r="3019" spans="1:23" x14ac:dyDescent="0.35">
      <c r="A3019">
        <v>690078</v>
      </c>
      <c r="B3019" t="s">
        <v>37127</v>
      </c>
      <c r="C3019" t="str">
        <f>"9781855758780"</f>
        <v>9781855758780</v>
      </c>
      <c r="D3019" t="str">
        <f>"9781849408769"</f>
        <v>9781849408769</v>
      </c>
      <c r="E3019" t="s">
        <v>26010</v>
      </c>
      <c r="F3019" t="s">
        <v>35</v>
      </c>
      <c r="G3019" t="s">
        <v>22174</v>
      </c>
      <c r="H3019" t="s">
        <v>26011</v>
      </c>
      <c r="I3019" s="26">
        <v>40908</v>
      </c>
      <c r="J3019">
        <v>2011</v>
      </c>
      <c r="K3019" t="s">
        <v>26012</v>
      </c>
      <c r="L3019">
        <v>399</v>
      </c>
      <c r="M3019" t="s">
        <v>37128</v>
      </c>
      <c r="N3019">
        <v>1</v>
      </c>
      <c r="O3019" t="s">
        <v>37129</v>
      </c>
      <c r="Q3019" t="s">
        <v>37130</v>
      </c>
      <c r="R3019">
        <v>150.19520919999999</v>
      </c>
      <c r="S3019" t="s">
        <v>37131</v>
      </c>
      <c r="T3019" t="s">
        <v>30</v>
      </c>
      <c r="U3019" t="s">
        <v>46</v>
      </c>
      <c r="W3019" t="s">
        <v>26009</v>
      </c>
    </row>
    <row r="3020" spans="1:23" x14ac:dyDescent="0.35">
      <c r="A3020">
        <v>690079</v>
      </c>
      <c r="B3020" t="s">
        <v>37132</v>
      </c>
      <c r="C3020" t="str">
        <f>"9781855758834"</f>
        <v>9781855758834</v>
      </c>
      <c r="D3020" t="str">
        <f>"9781849408783"</f>
        <v>9781849408783</v>
      </c>
      <c r="E3020" t="s">
        <v>26010</v>
      </c>
      <c r="F3020" t="s">
        <v>35</v>
      </c>
      <c r="G3020" t="s">
        <v>22174</v>
      </c>
      <c r="H3020" t="s">
        <v>26011</v>
      </c>
      <c r="I3020" s="26">
        <v>40617</v>
      </c>
      <c r="J3020">
        <v>2011</v>
      </c>
      <c r="K3020" t="s">
        <v>26012</v>
      </c>
      <c r="L3020">
        <v>422</v>
      </c>
      <c r="M3020" t="s">
        <v>37133</v>
      </c>
      <c r="N3020">
        <v>1</v>
      </c>
      <c r="Q3020" t="s">
        <v>37134</v>
      </c>
      <c r="R3020">
        <v>616.89</v>
      </c>
      <c r="S3020" t="s">
        <v>37135</v>
      </c>
      <c r="T3020" t="s">
        <v>30</v>
      </c>
      <c r="U3020" t="s">
        <v>26116</v>
      </c>
      <c r="W3020" t="s">
        <v>26009</v>
      </c>
    </row>
    <row r="3021" spans="1:23" x14ac:dyDescent="0.35">
      <c r="A3021">
        <v>690080</v>
      </c>
      <c r="B3021" t="s">
        <v>37136</v>
      </c>
      <c r="C3021" t="str">
        <f>"9781855758162"</f>
        <v>9781855758162</v>
      </c>
      <c r="D3021" t="str">
        <f>"9780429922039"</f>
        <v>9780429922039</v>
      </c>
      <c r="E3021" t="s">
        <v>26010</v>
      </c>
      <c r="F3021" t="s">
        <v>35</v>
      </c>
      <c r="G3021" t="s">
        <v>22174</v>
      </c>
      <c r="H3021" t="s">
        <v>26011</v>
      </c>
      <c r="I3021" s="26">
        <v>40617</v>
      </c>
      <c r="J3021">
        <v>2011</v>
      </c>
      <c r="K3021" t="s">
        <v>26012</v>
      </c>
      <c r="L3021">
        <v>193</v>
      </c>
      <c r="M3021" t="s">
        <v>37137</v>
      </c>
      <c r="N3021">
        <v>1</v>
      </c>
      <c r="O3021" t="s">
        <v>37138</v>
      </c>
      <c r="Q3021" t="s">
        <v>37139</v>
      </c>
      <c r="R3021">
        <v>361.1</v>
      </c>
      <c r="S3021" t="s">
        <v>37140</v>
      </c>
      <c r="T3021" t="s">
        <v>30</v>
      </c>
      <c r="U3021" t="s">
        <v>26044</v>
      </c>
      <c r="W3021" t="s">
        <v>26009</v>
      </c>
    </row>
    <row r="3022" spans="1:23" x14ac:dyDescent="0.35">
      <c r="A3022">
        <v>690082</v>
      </c>
      <c r="B3022" t="s">
        <v>37141</v>
      </c>
      <c r="C3022" t="str">
        <f>"9781855758391"</f>
        <v>9781855758391</v>
      </c>
      <c r="D3022" t="str">
        <f>"9781849408813"</f>
        <v>9781849408813</v>
      </c>
      <c r="E3022" t="s">
        <v>26010</v>
      </c>
      <c r="F3022" t="s">
        <v>35</v>
      </c>
      <c r="G3022" t="s">
        <v>22174</v>
      </c>
      <c r="H3022" t="s">
        <v>26011</v>
      </c>
      <c r="I3022" s="26">
        <v>40626</v>
      </c>
      <c r="J3022">
        <v>2011</v>
      </c>
      <c r="K3022" t="s">
        <v>26012</v>
      </c>
      <c r="L3022">
        <v>266</v>
      </c>
      <c r="M3022" t="s">
        <v>37142</v>
      </c>
      <c r="N3022">
        <v>1</v>
      </c>
      <c r="Q3022" t="s">
        <v>37143</v>
      </c>
      <c r="R3022">
        <v>153.85300000000001</v>
      </c>
      <c r="S3022" t="s">
        <v>37144</v>
      </c>
      <c r="T3022" t="s">
        <v>30</v>
      </c>
      <c r="U3022" t="s">
        <v>46</v>
      </c>
      <c r="W3022" t="s">
        <v>26009</v>
      </c>
    </row>
    <row r="3023" spans="1:23" x14ac:dyDescent="0.35">
      <c r="A3023">
        <v>690085</v>
      </c>
      <c r="B3023" t="s">
        <v>37145</v>
      </c>
      <c r="C3023" t="str">
        <f>"9781855757523"</f>
        <v>9781855757523</v>
      </c>
      <c r="D3023" t="str">
        <f>"9781849408820"</f>
        <v>9781849408820</v>
      </c>
      <c r="E3023" t="s">
        <v>26010</v>
      </c>
      <c r="F3023" t="s">
        <v>35</v>
      </c>
      <c r="G3023" t="s">
        <v>26128</v>
      </c>
      <c r="H3023" t="s">
        <v>26011</v>
      </c>
      <c r="I3023" s="26">
        <v>40640</v>
      </c>
      <c r="J3023">
        <v>2011</v>
      </c>
      <c r="K3023" t="s">
        <v>26012</v>
      </c>
      <c r="L3023">
        <v>329</v>
      </c>
      <c r="M3023" t="s">
        <v>37146</v>
      </c>
      <c r="N3023">
        <v>1</v>
      </c>
      <c r="R3023" t="s">
        <v>27122</v>
      </c>
      <c r="S3023" t="s">
        <v>31759</v>
      </c>
      <c r="T3023" t="s">
        <v>30</v>
      </c>
      <c r="U3023" t="s">
        <v>26040</v>
      </c>
      <c r="W3023" t="s">
        <v>26009</v>
      </c>
    </row>
    <row r="3024" spans="1:23" x14ac:dyDescent="0.35">
      <c r="A3024">
        <v>690086</v>
      </c>
      <c r="B3024" t="s">
        <v>37147</v>
      </c>
      <c r="C3024" t="str">
        <f>"9781855758421"</f>
        <v>9781855758421</v>
      </c>
      <c r="D3024" t="str">
        <f>"9781849408806"</f>
        <v>9781849408806</v>
      </c>
      <c r="E3024" t="s">
        <v>26010</v>
      </c>
      <c r="F3024" t="s">
        <v>35</v>
      </c>
      <c r="G3024" t="s">
        <v>26128</v>
      </c>
      <c r="H3024" t="s">
        <v>26011</v>
      </c>
      <c r="I3024" s="26">
        <v>40640</v>
      </c>
      <c r="J3024">
        <v>2011</v>
      </c>
      <c r="K3024" t="s">
        <v>26012</v>
      </c>
      <c r="L3024">
        <v>348</v>
      </c>
      <c r="M3024" t="s">
        <v>37148</v>
      </c>
      <c r="N3024">
        <v>1</v>
      </c>
      <c r="S3024" t="s">
        <v>37149</v>
      </c>
      <c r="T3024" t="s">
        <v>30</v>
      </c>
      <c r="U3024" t="s">
        <v>46</v>
      </c>
      <c r="W3024" t="s">
        <v>26009</v>
      </c>
    </row>
    <row r="3025" spans="1:23" x14ac:dyDescent="0.35">
      <c r="A3025">
        <v>690089</v>
      </c>
      <c r="B3025" t="s">
        <v>37150</v>
      </c>
      <c r="C3025" t="str">
        <f>"9781855757424"</f>
        <v>9781855757424</v>
      </c>
      <c r="D3025" t="str">
        <f>"9781849408851"</f>
        <v>9781849408851</v>
      </c>
      <c r="E3025" t="s">
        <v>26010</v>
      </c>
      <c r="F3025" t="s">
        <v>35</v>
      </c>
      <c r="G3025" t="s">
        <v>22174</v>
      </c>
      <c r="H3025" t="s">
        <v>26011</v>
      </c>
      <c r="I3025" s="26">
        <v>40908</v>
      </c>
      <c r="J3025">
        <v>2011</v>
      </c>
      <c r="K3025" t="s">
        <v>26012</v>
      </c>
      <c r="L3025">
        <v>459</v>
      </c>
      <c r="M3025" t="s">
        <v>37151</v>
      </c>
      <c r="N3025">
        <v>1</v>
      </c>
      <c r="O3025" t="s">
        <v>37022</v>
      </c>
      <c r="Q3025" t="s">
        <v>37152</v>
      </c>
      <c r="R3025">
        <v>614.15</v>
      </c>
      <c r="S3025" t="s">
        <v>37153</v>
      </c>
      <c r="T3025" t="s">
        <v>30</v>
      </c>
      <c r="U3025" t="s">
        <v>29740</v>
      </c>
      <c r="W3025" t="s">
        <v>26009</v>
      </c>
    </row>
    <row r="3026" spans="1:23" x14ac:dyDescent="0.35">
      <c r="A3026">
        <v>690090</v>
      </c>
      <c r="B3026" t="s">
        <v>37154</v>
      </c>
      <c r="C3026" t="str">
        <f>"9781855758117"</f>
        <v>9781855758117</v>
      </c>
      <c r="D3026" t="str">
        <f>"9781849408868"</f>
        <v>9781849408868</v>
      </c>
      <c r="E3026" t="s">
        <v>26010</v>
      </c>
      <c r="F3026" t="s">
        <v>35</v>
      </c>
      <c r="G3026" t="s">
        <v>26128</v>
      </c>
      <c r="H3026" t="s">
        <v>26011</v>
      </c>
      <c r="I3026" s="26">
        <v>40908</v>
      </c>
      <c r="J3026">
        <v>2011</v>
      </c>
      <c r="K3026" t="s">
        <v>26012</v>
      </c>
      <c r="L3026">
        <v>183</v>
      </c>
      <c r="M3026" t="s">
        <v>37155</v>
      </c>
      <c r="N3026">
        <v>1</v>
      </c>
      <c r="S3026" t="s">
        <v>37156</v>
      </c>
      <c r="T3026" t="s">
        <v>30</v>
      </c>
      <c r="U3026" t="s">
        <v>46</v>
      </c>
      <c r="W3026" t="s">
        <v>26009</v>
      </c>
    </row>
    <row r="3027" spans="1:23" x14ac:dyDescent="0.35">
      <c r="A3027">
        <v>690091</v>
      </c>
      <c r="B3027" t="s">
        <v>9849</v>
      </c>
      <c r="C3027" t="str">
        <f>"9781855753235"</f>
        <v>9781855753235</v>
      </c>
      <c r="D3027" t="str">
        <f>"9781849405102"</f>
        <v>9781849405102</v>
      </c>
      <c r="E3027" t="s">
        <v>26010</v>
      </c>
      <c r="F3027" t="s">
        <v>35</v>
      </c>
      <c r="G3027" t="s">
        <v>22174</v>
      </c>
      <c r="H3027" t="s">
        <v>26011</v>
      </c>
      <c r="I3027" s="26">
        <v>38804</v>
      </c>
      <c r="J3027">
        <v>2006</v>
      </c>
      <c r="K3027" t="s">
        <v>26012</v>
      </c>
      <c r="L3027">
        <v>266</v>
      </c>
      <c r="M3027" t="s">
        <v>37157</v>
      </c>
      <c r="N3027">
        <v>1</v>
      </c>
      <c r="Q3027" t="s">
        <v>37158</v>
      </c>
      <c r="R3027">
        <v>155.44300000000001</v>
      </c>
      <c r="S3027" t="s">
        <v>37159</v>
      </c>
      <c r="T3027" t="s">
        <v>30</v>
      </c>
      <c r="U3027" t="s">
        <v>46</v>
      </c>
      <c r="W3027" t="s">
        <v>26009</v>
      </c>
    </row>
    <row r="3028" spans="1:23" x14ac:dyDescent="0.35">
      <c r="A3028">
        <v>690092</v>
      </c>
      <c r="B3028" t="s">
        <v>37160</v>
      </c>
      <c r="C3028" t="str">
        <f>"9780946439454"</f>
        <v>9780946439454</v>
      </c>
      <c r="D3028" t="str">
        <f>"9781849400664"</f>
        <v>9781849400664</v>
      </c>
      <c r="E3028" t="s">
        <v>26010</v>
      </c>
      <c r="F3028" t="s">
        <v>35</v>
      </c>
      <c r="G3028" t="s">
        <v>22174</v>
      </c>
      <c r="H3028" t="s">
        <v>26011</v>
      </c>
      <c r="I3028" s="26">
        <v>32508</v>
      </c>
      <c r="J3028">
        <v>1988</v>
      </c>
      <c r="K3028" t="s">
        <v>26012</v>
      </c>
      <c r="L3028">
        <v>208</v>
      </c>
      <c r="M3028" t="s">
        <v>37161</v>
      </c>
      <c r="N3028">
        <v>1</v>
      </c>
      <c r="Q3028" t="s">
        <v>37162</v>
      </c>
      <c r="R3028">
        <v>616.89170000000001</v>
      </c>
      <c r="S3028" t="s">
        <v>37163</v>
      </c>
      <c r="T3028" t="s">
        <v>30</v>
      </c>
      <c r="U3028" t="s">
        <v>26116</v>
      </c>
      <c r="W3028" t="s">
        <v>26009</v>
      </c>
    </row>
    <row r="3029" spans="1:23" x14ac:dyDescent="0.35">
      <c r="A3029">
        <v>690093</v>
      </c>
      <c r="B3029" t="s">
        <v>10006</v>
      </c>
      <c r="C3029" t="str">
        <f>"9780946439645"</f>
        <v>9780946439645</v>
      </c>
      <c r="D3029" t="str">
        <f>"9781849400725"</f>
        <v>9781849400725</v>
      </c>
      <c r="E3029" t="s">
        <v>26010</v>
      </c>
      <c r="F3029" t="s">
        <v>35</v>
      </c>
      <c r="G3029" t="s">
        <v>22174</v>
      </c>
      <c r="H3029" t="s">
        <v>26011</v>
      </c>
      <c r="I3029" s="26">
        <v>32873</v>
      </c>
      <c r="J3029">
        <v>1989</v>
      </c>
      <c r="K3029" t="s">
        <v>26012</v>
      </c>
      <c r="L3029">
        <v>350</v>
      </c>
      <c r="M3029" t="s">
        <v>37164</v>
      </c>
      <c r="N3029">
        <v>2</v>
      </c>
      <c r="O3029" t="s">
        <v>37165</v>
      </c>
      <c r="Q3029" t="s">
        <v>37166</v>
      </c>
      <c r="R3029">
        <v>150.19540000000001</v>
      </c>
      <c r="S3029" t="s">
        <v>7958</v>
      </c>
      <c r="T3029" t="s">
        <v>30</v>
      </c>
      <c r="U3029" t="s">
        <v>46</v>
      </c>
      <c r="W3029" t="s">
        <v>26009</v>
      </c>
    </row>
    <row r="3030" spans="1:23" x14ac:dyDescent="0.35">
      <c r="A3030">
        <v>690095</v>
      </c>
      <c r="B3030" t="s">
        <v>37167</v>
      </c>
      <c r="C3030" t="str">
        <f>"9780946439546"</f>
        <v>9780946439546</v>
      </c>
      <c r="D3030" t="str">
        <f>"9781849400831"</f>
        <v>9781849400831</v>
      </c>
      <c r="E3030" t="s">
        <v>26010</v>
      </c>
      <c r="F3030" t="s">
        <v>35</v>
      </c>
      <c r="G3030" t="s">
        <v>22174</v>
      </c>
      <c r="H3030" t="s">
        <v>26011</v>
      </c>
      <c r="I3030" s="26">
        <v>32873</v>
      </c>
      <c r="J3030">
        <v>1989</v>
      </c>
      <c r="K3030" t="s">
        <v>26012</v>
      </c>
      <c r="L3030">
        <v>337</v>
      </c>
      <c r="M3030" t="s">
        <v>37168</v>
      </c>
      <c r="N3030">
        <v>1</v>
      </c>
      <c r="Q3030" t="s">
        <v>37169</v>
      </c>
      <c r="R3030">
        <v>155.41800000000001</v>
      </c>
      <c r="S3030" t="s">
        <v>37170</v>
      </c>
      <c r="T3030" t="s">
        <v>30</v>
      </c>
      <c r="U3030" t="s">
        <v>26019</v>
      </c>
      <c r="W3030" t="s">
        <v>26009</v>
      </c>
    </row>
    <row r="3031" spans="1:23" x14ac:dyDescent="0.35">
      <c r="A3031">
        <v>690096</v>
      </c>
      <c r="B3031" t="s">
        <v>37171</v>
      </c>
      <c r="C3031" t="str">
        <f>"9780946439010"</f>
        <v>9780946439010</v>
      </c>
      <c r="D3031" t="str">
        <f>"9781849400947"</f>
        <v>9781849400947</v>
      </c>
      <c r="E3031" t="s">
        <v>26010</v>
      </c>
      <c r="F3031" t="s">
        <v>35</v>
      </c>
      <c r="G3031" t="s">
        <v>22174</v>
      </c>
      <c r="H3031" t="s">
        <v>26011</v>
      </c>
      <c r="I3031" s="26">
        <v>33238</v>
      </c>
      <c r="J3031">
        <v>1990</v>
      </c>
      <c r="K3031" t="s">
        <v>26012</v>
      </c>
      <c r="L3031">
        <v>689</v>
      </c>
      <c r="M3031" t="s">
        <v>36605</v>
      </c>
      <c r="N3031">
        <v>1</v>
      </c>
      <c r="O3031" t="s">
        <v>37172</v>
      </c>
      <c r="Q3031" t="s">
        <v>37173</v>
      </c>
      <c r="R3031">
        <v>616.89170000000001</v>
      </c>
      <c r="S3031" t="s">
        <v>37174</v>
      </c>
      <c r="T3031" t="s">
        <v>30</v>
      </c>
      <c r="U3031" t="s">
        <v>26116</v>
      </c>
      <c r="W3031" t="s">
        <v>26009</v>
      </c>
    </row>
    <row r="3032" spans="1:23" x14ac:dyDescent="0.35">
      <c r="A3032">
        <v>690098</v>
      </c>
      <c r="B3032" t="s">
        <v>7884</v>
      </c>
      <c r="C3032" t="str">
        <f>"9780946439980"</f>
        <v>9780946439980</v>
      </c>
      <c r="D3032" t="str">
        <f>"9781849401029"</f>
        <v>9781849401029</v>
      </c>
      <c r="E3032" t="s">
        <v>26010</v>
      </c>
      <c r="F3032" t="s">
        <v>35</v>
      </c>
      <c r="G3032" t="s">
        <v>22174</v>
      </c>
      <c r="H3032" t="s">
        <v>26011</v>
      </c>
      <c r="I3032" s="26">
        <v>33603</v>
      </c>
      <c r="J3032">
        <v>1991</v>
      </c>
      <c r="K3032" t="s">
        <v>26012</v>
      </c>
      <c r="L3032">
        <v>424</v>
      </c>
      <c r="M3032" t="s">
        <v>37175</v>
      </c>
      <c r="N3032">
        <v>1</v>
      </c>
      <c r="Q3032">
        <v>93214482</v>
      </c>
      <c r="R3032">
        <v>150.19499999999999</v>
      </c>
      <c r="S3032" t="s">
        <v>7514</v>
      </c>
      <c r="T3032" t="s">
        <v>30</v>
      </c>
      <c r="U3032" t="s">
        <v>46</v>
      </c>
      <c r="W3032" t="s">
        <v>26009</v>
      </c>
    </row>
    <row r="3033" spans="1:23" x14ac:dyDescent="0.35">
      <c r="A3033">
        <v>690099</v>
      </c>
      <c r="B3033" t="s">
        <v>37176</v>
      </c>
      <c r="C3033" t="str">
        <f>"9781855758452"</f>
        <v>9781855758452</v>
      </c>
      <c r="D3033" t="str">
        <f>"9781849401036"</f>
        <v>9781849401036</v>
      </c>
      <c r="E3033" t="s">
        <v>26010</v>
      </c>
      <c r="F3033" t="s">
        <v>35</v>
      </c>
      <c r="G3033" t="s">
        <v>22174</v>
      </c>
      <c r="H3033" t="s">
        <v>26011</v>
      </c>
      <c r="I3033" s="26">
        <v>33603</v>
      </c>
      <c r="J3033">
        <v>1991</v>
      </c>
      <c r="K3033" t="s">
        <v>26012</v>
      </c>
      <c r="L3033">
        <v>244</v>
      </c>
      <c r="M3033" t="s">
        <v>37175</v>
      </c>
      <c r="N3033">
        <v>1</v>
      </c>
      <c r="Q3033" t="s">
        <v>37177</v>
      </c>
      <c r="R3033">
        <v>150.19499999999999</v>
      </c>
      <c r="S3033" t="s">
        <v>36639</v>
      </c>
      <c r="T3033" t="s">
        <v>30</v>
      </c>
      <c r="U3033" t="s">
        <v>26019</v>
      </c>
      <c r="W3033" t="s">
        <v>26009</v>
      </c>
    </row>
    <row r="3034" spans="1:23" x14ac:dyDescent="0.35">
      <c r="A3034">
        <v>690100</v>
      </c>
      <c r="B3034" t="s">
        <v>37178</v>
      </c>
      <c r="C3034" t="str">
        <f>"9781855750050"</f>
        <v>9781855750050</v>
      </c>
      <c r="D3034" t="str">
        <f>"9781849401043"</f>
        <v>9781849401043</v>
      </c>
      <c r="E3034" t="s">
        <v>26010</v>
      </c>
      <c r="F3034" t="s">
        <v>35</v>
      </c>
      <c r="G3034" t="s">
        <v>22174</v>
      </c>
      <c r="H3034" t="s">
        <v>26011</v>
      </c>
      <c r="I3034" s="26">
        <v>33603</v>
      </c>
      <c r="J3034">
        <v>1991</v>
      </c>
      <c r="K3034" t="s">
        <v>26012</v>
      </c>
      <c r="L3034">
        <v>272</v>
      </c>
      <c r="M3034" t="s">
        <v>37179</v>
      </c>
      <c r="N3034">
        <v>1</v>
      </c>
      <c r="Q3034" t="s">
        <v>37180</v>
      </c>
      <c r="R3034">
        <v>306.87400000000002</v>
      </c>
      <c r="S3034" t="s">
        <v>8222</v>
      </c>
      <c r="T3034" t="s">
        <v>30</v>
      </c>
      <c r="U3034" t="s">
        <v>26170</v>
      </c>
      <c r="W3034" t="s">
        <v>26009</v>
      </c>
    </row>
    <row r="3035" spans="1:23" x14ac:dyDescent="0.35">
      <c r="A3035">
        <v>690101</v>
      </c>
      <c r="B3035" t="s">
        <v>37181</v>
      </c>
      <c r="C3035" t="str">
        <f>"9781855750012"</f>
        <v>9781855750012</v>
      </c>
      <c r="D3035" t="str">
        <f>"9781849401074"</f>
        <v>9781849401074</v>
      </c>
      <c r="E3035" t="s">
        <v>26010</v>
      </c>
      <c r="F3035" t="s">
        <v>35</v>
      </c>
      <c r="G3035" t="s">
        <v>22174</v>
      </c>
      <c r="H3035" t="s">
        <v>26011</v>
      </c>
      <c r="I3035" s="26">
        <v>33603</v>
      </c>
      <c r="J3035">
        <v>1991</v>
      </c>
      <c r="K3035" t="s">
        <v>26012</v>
      </c>
      <c r="L3035">
        <v>230</v>
      </c>
      <c r="M3035" t="s">
        <v>37182</v>
      </c>
      <c r="N3035">
        <v>1</v>
      </c>
      <c r="Q3035" t="s">
        <v>37183</v>
      </c>
      <c r="R3035">
        <v>155.4092</v>
      </c>
      <c r="S3035" t="s">
        <v>37184</v>
      </c>
      <c r="T3035" t="s">
        <v>30</v>
      </c>
      <c r="U3035" t="s">
        <v>46</v>
      </c>
      <c r="W3035" t="s">
        <v>26009</v>
      </c>
    </row>
    <row r="3036" spans="1:23" x14ac:dyDescent="0.35">
      <c r="A3036">
        <v>690102</v>
      </c>
      <c r="B3036" t="s">
        <v>37185</v>
      </c>
      <c r="C3036" t="str">
        <f>"9781855753129"</f>
        <v>9781855753129</v>
      </c>
      <c r="D3036" t="str">
        <f>"9781849401135"</f>
        <v>9781849401135</v>
      </c>
      <c r="E3036" t="s">
        <v>26010</v>
      </c>
      <c r="F3036" t="s">
        <v>35</v>
      </c>
      <c r="G3036" t="s">
        <v>22174</v>
      </c>
      <c r="H3036" t="s">
        <v>26011</v>
      </c>
      <c r="I3036" s="26">
        <v>33603</v>
      </c>
      <c r="J3036">
        <v>1991</v>
      </c>
      <c r="K3036" t="s">
        <v>26012</v>
      </c>
      <c r="L3036">
        <v>314</v>
      </c>
      <c r="M3036" t="s">
        <v>37186</v>
      </c>
      <c r="N3036">
        <v>2</v>
      </c>
      <c r="Q3036" t="s">
        <v>37187</v>
      </c>
      <c r="R3036">
        <v>150.19499999999999</v>
      </c>
      <c r="S3036" t="s">
        <v>36663</v>
      </c>
      <c r="T3036" t="s">
        <v>30</v>
      </c>
      <c r="U3036" t="s">
        <v>26019</v>
      </c>
      <c r="W3036" t="s">
        <v>26009</v>
      </c>
    </row>
    <row r="3037" spans="1:23" x14ac:dyDescent="0.35">
      <c r="A3037">
        <v>690103</v>
      </c>
      <c r="B3037" t="s">
        <v>37188</v>
      </c>
      <c r="C3037" t="str">
        <f>"9780946439881"</f>
        <v>9780946439881</v>
      </c>
      <c r="D3037" t="str">
        <f>"9781849401159"</f>
        <v>9781849401159</v>
      </c>
      <c r="E3037" t="s">
        <v>26010</v>
      </c>
      <c r="F3037" t="s">
        <v>35</v>
      </c>
      <c r="G3037" t="s">
        <v>22174</v>
      </c>
      <c r="H3037" t="s">
        <v>26011</v>
      </c>
      <c r="I3037" s="26">
        <v>33603</v>
      </c>
      <c r="J3037">
        <v>1991</v>
      </c>
      <c r="K3037" t="s">
        <v>26012</v>
      </c>
      <c r="L3037">
        <v>497</v>
      </c>
      <c r="M3037" t="s">
        <v>37189</v>
      </c>
      <c r="N3037">
        <v>1</v>
      </c>
      <c r="Q3037" t="s">
        <v>37190</v>
      </c>
      <c r="R3037">
        <v>616.89149999999995</v>
      </c>
      <c r="S3037" t="s">
        <v>7882</v>
      </c>
      <c r="T3037" t="s">
        <v>30</v>
      </c>
      <c r="U3037" t="s">
        <v>26019</v>
      </c>
      <c r="W3037" t="s">
        <v>26009</v>
      </c>
    </row>
    <row r="3038" spans="1:23" x14ac:dyDescent="0.35">
      <c r="A3038">
        <v>690104</v>
      </c>
      <c r="B3038" t="s">
        <v>37191</v>
      </c>
      <c r="C3038" t="str">
        <f>"9781855753419"</f>
        <v>9781855753419</v>
      </c>
      <c r="D3038" t="str">
        <f>"9781849401395"</f>
        <v>9781849401395</v>
      </c>
      <c r="E3038" t="s">
        <v>26010</v>
      </c>
      <c r="F3038" t="s">
        <v>35</v>
      </c>
      <c r="G3038" t="s">
        <v>22174</v>
      </c>
      <c r="H3038" t="s">
        <v>26011</v>
      </c>
      <c r="I3038" s="26">
        <v>33969</v>
      </c>
      <c r="J3038">
        <v>1988</v>
      </c>
      <c r="K3038" t="s">
        <v>26012</v>
      </c>
      <c r="L3038">
        <v>192</v>
      </c>
      <c r="M3038" t="s">
        <v>37151</v>
      </c>
      <c r="N3038">
        <v>1</v>
      </c>
      <c r="Q3038" t="s">
        <v>37192</v>
      </c>
      <c r="R3038" t="s">
        <v>28751</v>
      </c>
      <c r="S3038" t="s">
        <v>9171</v>
      </c>
      <c r="T3038" t="s">
        <v>30</v>
      </c>
      <c r="U3038" t="s">
        <v>26019</v>
      </c>
      <c r="W3038" t="s">
        <v>26009</v>
      </c>
    </row>
    <row r="3039" spans="1:23" x14ac:dyDescent="0.35">
      <c r="A3039">
        <v>690105</v>
      </c>
      <c r="B3039" t="s">
        <v>9987</v>
      </c>
      <c r="C3039" t="str">
        <f>"9781855750197"</f>
        <v>9781855750197</v>
      </c>
      <c r="D3039" t="str">
        <f>"9781849401524"</f>
        <v>9781849401524</v>
      </c>
      <c r="E3039" t="s">
        <v>26010</v>
      </c>
      <c r="F3039" t="s">
        <v>35</v>
      </c>
      <c r="G3039" t="s">
        <v>22174</v>
      </c>
      <c r="H3039" t="s">
        <v>26011</v>
      </c>
      <c r="I3039" s="26">
        <v>34334</v>
      </c>
      <c r="J3039">
        <v>1993</v>
      </c>
      <c r="K3039" t="s">
        <v>26012</v>
      </c>
      <c r="L3039">
        <v>121</v>
      </c>
      <c r="M3039" t="s">
        <v>37193</v>
      </c>
      <c r="N3039">
        <v>1</v>
      </c>
      <c r="O3039" t="s">
        <v>36505</v>
      </c>
      <c r="Q3039" t="s">
        <v>37194</v>
      </c>
      <c r="R3039">
        <v>362.76720941000002</v>
      </c>
      <c r="S3039" t="s">
        <v>9988</v>
      </c>
      <c r="T3039" t="s">
        <v>30</v>
      </c>
      <c r="U3039" t="s">
        <v>26044</v>
      </c>
      <c r="W3039" t="s">
        <v>26009</v>
      </c>
    </row>
    <row r="3040" spans="1:23" x14ac:dyDescent="0.35">
      <c r="A3040">
        <v>690106</v>
      </c>
      <c r="B3040" t="s">
        <v>8078</v>
      </c>
      <c r="C3040" t="str">
        <f>"9781855750562"</f>
        <v>9781855750562</v>
      </c>
      <c r="D3040" t="str">
        <f>"9780429912481"</f>
        <v>9780429912481</v>
      </c>
      <c r="E3040" t="s">
        <v>26010</v>
      </c>
      <c r="F3040" t="s">
        <v>35</v>
      </c>
      <c r="G3040" t="s">
        <v>22174</v>
      </c>
      <c r="H3040" t="s">
        <v>26011</v>
      </c>
      <c r="I3040" s="26">
        <v>34699</v>
      </c>
      <c r="J3040">
        <v>1994</v>
      </c>
      <c r="K3040" t="s">
        <v>26012</v>
      </c>
      <c r="L3040">
        <v>96</v>
      </c>
      <c r="M3040" t="s">
        <v>37195</v>
      </c>
      <c r="N3040">
        <v>1</v>
      </c>
      <c r="O3040" t="s">
        <v>36505</v>
      </c>
      <c r="Q3040" t="s">
        <v>37196</v>
      </c>
      <c r="R3040">
        <v>616.89139999999998</v>
      </c>
      <c r="S3040" t="s">
        <v>37197</v>
      </c>
      <c r="T3040" t="s">
        <v>30</v>
      </c>
      <c r="U3040" t="s">
        <v>26116</v>
      </c>
      <c r="W3040" t="s">
        <v>26009</v>
      </c>
    </row>
    <row r="3041" spans="1:23" x14ac:dyDescent="0.35">
      <c r="A3041">
        <v>690107</v>
      </c>
      <c r="B3041" t="s">
        <v>8426</v>
      </c>
      <c r="C3041" t="str">
        <f>"9781855750852"</f>
        <v>9781855750852</v>
      </c>
      <c r="D3041" t="str">
        <f>"9781849401630"</f>
        <v>9781849401630</v>
      </c>
      <c r="E3041" t="s">
        <v>26010</v>
      </c>
      <c r="F3041" t="s">
        <v>35</v>
      </c>
      <c r="G3041" t="s">
        <v>22174</v>
      </c>
      <c r="H3041" t="s">
        <v>26011</v>
      </c>
      <c r="I3041" s="26">
        <v>34699</v>
      </c>
      <c r="J3041">
        <v>1994</v>
      </c>
      <c r="K3041" t="s">
        <v>26012</v>
      </c>
      <c r="L3041">
        <v>336</v>
      </c>
      <c r="M3041" t="s">
        <v>37198</v>
      </c>
      <c r="N3041">
        <v>1</v>
      </c>
      <c r="Q3041" t="s">
        <v>37199</v>
      </c>
      <c r="R3041">
        <v>616.89170000000001</v>
      </c>
      <c r="S3041" t="s">
        <v>7514</v>
      </c>
      <c r="T3041" t="s">
        <v>30</v>
      </c>
      <c r="U3041" t="s">
        <v>26019</v>
      </c>
      <c r="W3041" t="s">
        <v>26009</v>
      </c>
    </row>
    <row r="3042" spans="1:23" x14ac:dyDescent="0.35">
      <c r="A3042">
        <v>690108</v>
      </c>
      <c r="B3042" t="s">
        <v>37200</v>
      </c>
      <c r="C3042" t="str">
        <f>"9780946439034"</f>
        <v>9780946439034</v>
      </c>
      <c r="D3042" t="str">
        <f>"9781849401814"</f>
        <v>9781849401814</v>
      </c>
      <c r="E3042" t="s">
        <v>26010</v>
      </c>
      <c r="F3042" t="s">
        <v>35</v>
      </c>
      <c r="G3042" t="s">
        <v>22174</v>
      </c>
      <c r="H3042" t="s">
        <v>26011</v>
      </c>
      <c r="I3042" s="26">
        <v>34699</v>
      </c>
      <c r="J3042">
        <v>1994</v>
      </c>
      <c r="K3042" t="s">
        <v>26012</v>
      </c>
      <c r="L3042">
        <v>400</v>
      </c>
      <c r="M3042" t="s">
        <v>36987</v>
      </c>
      <c r="N3042">
        <v>1</v>
      </c>
      <c r="Q3042" t="s">
        <v>37201</v>
      </c>
      <c r="R3042">
        <v>616.85829999999999</v>
      </c>
      <c r="S3042" t="s">
        <v>37202</v>
      </c>
      <c r="T3042" t="s">
        <v>30</v>
      </c>
      <c r="U3042" t="s">
        <v>26116</v>
      </c>
      <c r="W3042" t="s">
        <v>26009</v>
      </c>
    </row>
    <row r="3043" spans="1:23" x14ac:dyDescent="0.35">
      <c r="A3043">
        <v>690109</v>
      </c>
      <c r="B3043" t="s">
        <v>8264</v>
      </c>
      <c r="C3043" t="str">
        <f>"9781855752030"</f>
        <v>9781855752030</v>
      </c>
      <c r="D3043" t="str">
        <f>"9781849401838"</f>
        <v>9781849401838</v>
      </c>
      <c r="E3043" t="s">
        <v>26010</v>
      </c>
      <c r="F3043" t="s">
        <v>35</v>
      </c>
      <c r="G3043" t="s">
        <v>22174</v>
      </c>
      <c r="H3043" t="s">
        <v>26011</v>
      </c>
      <c r="I3043" s="26">
        <v>34699</v>
      </c>
      <c r="J3043">
        <v>1994</v>
      </c>
      <c r="K3043" t="s">
        <v>26012</v>
      </c>
      <c r="L3043">
        <v>217</v>
      </c>
      <c r="M3043" t="s">
        <v>36640</v>
      </c>
      <c r="N3043">
        <v>1</v>
      </c>
      <c r="Q3043" t="s">
        <v>37203</v>
      </c>
      <c r="R3043">
        <v>150.19499999999999</v>
      </c>
      <c r="S3043" t="s">
        <v>37204</v>
      </c>
      <c r="T3043" t="s">
        <v>30</v>
      </c>
      <c r="U3043" t="s">
        <v>46</v>
      </c>
      <c r="W3043" t="s">
        <v>26009</v>
      </c>
    </row>
    <row r="3044" spans="1:23" x14ac:dyDescent="0.35">
      <c r="A3044">
        <v>690110</v>
      </c>
      <c r="B3044" t="s">
        <v>10196</v>
      </c>
      <c r="C3044" t="str">
        <f>"9781855751194"</f>
        <v>9781855751194</v>
      </c>
      <c r="D3044" t="str">
        <f>"9781849401845"</f>
        <v>9781849401845</v>
      </c>
      <c r="E3044" t="s">
        <v>26010</v>
      </c>
      <c r="F3044" t="s">
        <v>35</v>
      </c>
      <c r="G3044" t="s">
        <v>22174</v>
      </c>
      <c r="H3044" t="s">
        <v>26011</v>
      </c>
      <c r="I3044" s="26">
        <v>35064</v>
      </c>
      <c r="J3044">
        <v>1995</v>
      </c>
      <c r="K3044" t="s">
        <v>26012</v>
      </c>
      <c r="L3044">
        <v>303</v>
      </c>
      <c r="M3044" t="s">
        <v>37205</v>
      </c>
      <c r="N3044">
        <v>1</v>
      </c>
      <c r="O3044" t="s">
        <v>37206</v>
      </c>
      <c r="Q3044" t="s">
        <v>37207</v>
      </c>
      <c r="R3044">
        <v>616.89152000000001</v>
      </c>
      <c r="S3044" t="s">
        <v>37208</v>
      </c>
      <c r="T3044" t="s">
        <v>30</v>
      </c>
      <c r="U3044" t="s">
        <v>26019</v>
      </c>
      <c r="W3044" t="s">
        <v>26009</v>
      </c>
    </row>
    <row r="3045" spans="1:23" x14ac:dyDescent="0.35">
      <c r="A3045">
        <v>690111</v>
      </c>
      <c r="B3045" t="s">
        <v>9973</v>
      </c>
      <c r="C3045" t="str">
        <f>"9781855751217"</f>
        <v>9781855751217</v>
      </c>
      <c r="D3045" t="str">
        <f>"9781849401913"</f>
        <v>9781849401913</v>
      </c>
      <c r="E3045" t="s">
        <v>26010</v>
      </c>
      <c r="F3045" t="s">
        <v>35</v>
      </c>
      <c r="G3045" t="s">
        <v>22174</v>
      </c>
      <c r="H3045" t="s">
        <v>26011</v>
      </c>
      <c r="I3045" s="26">
        <v>35064</v>
      </c>
      <c r="J3045">
        <v>1995</v>
      </c>
      <c r="K3045" t="s">
        <v>26012</v>
      </c>
      <c r="L3045">
        <v>169</v>
      </c>
      <c r="M3045" t="s">
        <v>37209</v>
      </c>
      <c r="N3045">
        <v>1</v>
      </c>
      <c r="O3045" t="s">
        <v>37210</v>
      </c>
      <c r="Q3045" t="s">
        <v>37211</v>
      </c>
      <c r="R3045">
        <v>616.85844500835003</v>
      </c>
      <c r="S3045" t="s">
        <v>9974</v>
      </c>
      <c r="T3045" t="s">
        <v>30</v>
      </c>
      <c r="U3045" t="s">
        <v>28629</v>
      </c>
      <c r="W3045" t="s">
        <v>26009</v>
      </c>
    </row>
    <row r="3046" spans="1:23" x14ac:dyDescent="0.35">
      <c r="A3046">
        <v>690112</v>
      </c>
      <c r="B3046" t="s">
        <v>7622</v>
      </c>
      <c r="C3046" t="str">
        <f>"9781855751101"</f>
        <v>9781855751101</v>
      </c>
      <c r="D3046" t="str">
        <f>"9781849401982"</f>
        <v>9781849401982</v>
      </c>
      <c r="E3046" t="s">
        <v>26010</v>
      </c>
      <c r="F3046" t="s">
        <v>35</v>
      </c>
      <c r="G3046" t="s">
        <v>22174</v>
      </c>
      <c r="H3046" t="s">
        <v>26011</v>
      </c>
      <c r="I3046" s="26">
        <v>35064</v>
      </c>
      <c r="J3046">
        <v>1995</v>
      </c>
      <c r="K3046" t="s">
        <v>26012</v>
      </c>
      <c r="L3046">
        <v>225</v>
      </c>
      <c r="M3046" t="s">
        <v>37212</v>
      </c>
      <c r="N3046">
        <v>1</v>
      </c>
      <c r="Q3046" t="s">
        <v>37213</v>
      </c>
      <c r="R3046" t="s">
        <v>37214</v>
      </c>
      <c r="S3046" t="s">
        <v>37215</v>
      </c>
      <c r="T3046" t="s">
        <v>30</v>
      </c>
      <c r="U3046" t="s">
        <v>26116</v>
      </c>
      <c r="W3046" t="s">
        <v>26009</v>
      </c>
    </row>
    <row r="3047" spans="1:23" x14ac:dyDescent="0.35">
      <c r="A3047">
        <v>690113</v>
      </c>
      <c r="B3047" t="s">
        <v>10033</v>
      </c>
      <c r="C3047" t="str">
        <f>"9781855750968"</f>
        <v>9781855750968</v>
      </c>
      <c r="D3047" t="str">
        <f>"9781849402033"</f>
        <v>9781849402033</v>
      </c>
      <c r="E3047" t="s">
        <v>26010</v>
      </c>
      <c r="F3047" t="s">
        <v>35</v>
      </c>
      <c r="G3047" t="s">
        <v>26128</v>
      </c>
      <c r="H3047" t="s">
        <v>26011</v>
      </c>
      <c r="I3047" s="26">
        <v>35430</v>
      </c>
      <c r="J3047">
        <v>1996</v>
      </c>
      <c r="K3047" t="s">
        <v>26012</v>
      </c>
      <c r="L3047">
        <v>257</v>
      </c>
      <c r="M3047" t="s">
        <v>37216</v>
      </c>
      <c r="N3047">
        <v>1</v>
      </c>
      <c r="O3047" t="s">
        <v>36505</v>
      </c>
      <c r="Q3047" t="s">
        <v>37217</v>
      </c>
      <c r="R3047">
        <v>616.89156000000003</v>
      </c>
      <c r="S3047" t="s">
        <v>7648</v>
      </c>
      <c r="T3047" t="s">
        <v>30</v>
      </c>
      <c r="U3047" t="s">
        <v>26019</v>
      </c>
      <c r="W3047" t="s">
        <v>26009</v>
      </c>
    </row>
    <row r="3048" spans="1:23" x14ac:dyDescent="0.35">
      <c r="A3048">
        <v>690114</v>
      </c>
      <c r="B3048" t="s">
        <v>9298</v>
      </c>
      <c r="C3048" t="str">
        <f>"9781855751781"</f>
        <v>9781855751781</v>
      </c>
      <c r="D3048" t="str">
        <f>"9781849402040"</f>
        <v>9781849402040</v>
      </c>
      <c r="E3048" t="s">
        <v>26010</v>
      </c>
      <c r="F3048" t="s">
        <v>35</v>
      </c>
      <c r="G3048" t="s">
        <v>22174</v>
      </c>
      <c r="H3048" t="s">
        <v>26011</v>
      </c>
      <c r="I3048" s="26">
        <v>35430</v>
      </c>
      <c r="J3048">
        <v>1996</v>
      </c>
      <c r="K3048" t="s">
        <v>26012</v>
      </c>
      <c r="L3048">
        <v>385</v>
      </c>
      <c r="M3048" t="s">
        <v>36908</v>
      </c>
      <c r="N3048">
        <v>1</v>
      </c>
      <c r="Q3048" t="s">
        <v>37218</v>
      </c>
      <c r="R3048">
        <v>150.19499999999999</v>
      </c>
      <c r="S3048" t="s">
        <v>7661</v>
      </c>
      <c r="T3048" t="s">
        <v>30</v>
      </c>
      <c r="U3048" t="s">
        <v>46</v>
      </c>
      <c r="W3048" t="s">
        <v>26009</v>
      </c>
    </row>
    <row r="3049" spans="1:23" x14ac:dyDescent="0.35">
      <c r="A3049">
        <v>690115</v>
      </c>
      <c r="B3049" t="s">
        <v>37219</v>
      </c>
      <c r="C3049" t="str">
        <f>"9781855759695"</f>
        <v>9781855759695</v>
      </c>
      <c r="D3049" t="str">
        <f>"9781849402187"</f>
        <v>9781849402187</v>
      </c>
      <c r="E3049" t="s">
        <v>26010</v>
      </c>
      <c r="F3049" t="s">
        <v>35</v>
      </c>
      <c r="G3049" t="s">
        <v>26128</v>
      </c>
      <c r="H3049" t="s">
        <v>26011</v>
      </c>
      <c r="I3049" s="26">
        <v>35795</v>
      </c>
      <c r="J3049">
        <v>1997</v>
      </c>
      <c r="K3049" t="s">
        <v>26012</v>
      </c>
      <c r="L3049">
        <v>189</v>
      </c>
      <c r="M3049" t="s">
        <v>37220</v>
      </c>
      <c r="N3049">
        <v>1</v>
      </c>
      <c r="O3049" t="s">
        <v>36500</v>
      </c>
      <c r="S3049" t="s">
        <v>37221</v>
      </c>
      <c r="T3049" t="s">
        <v>30</v>
      </c>
      <c r="U3049" t="s">
        <v>46</v>
      </c>
      <c r="W3049" t="s">
        <v>26009</v>
      </c>
    </row>
    <row r="3050" spans="1:23" x14ac:dyDescent="0.35">
      <c r="A3050">
        <v>690116</v>
      </c>
      <c r="B3050" t="s">
        <v>37222</v>
      </c>
      <c r="C3050" t="str">
        <f>"9781855750951"</f>
        <v>9781855750951</v>
      </c>
      <c r="D3050" t="str">
        <f>"9781849402224"</f>
        <v>9781849402224</v>
      </c>
      <c r="E3050" t="s">
        <v>26010</v>
      </c>
      <c r="F3050" t="s">
        <v>35</v>
      </c>
      <c r="G3050" t="s">
        <v>22174</v>
      </c>
      <c r="H3050" t="s">
        <v>26011</v>
      </c>
      <c r="I3050" s="26">
        <v>35795</v>
      </c>
      <c r="J3050">
        <v>1997</v>
      </c>
      <c r="K3050" t="s">
        <v>26012</v>
      </c>
      <c r="L3050">
        <v>256</v>
      </c>
      <c r="M3050" t="s">
        <v>29084</v>
      </c>
      <c r="N3050">
        <v>1</v>
      </c>
      <c r="O3050" t="s">
        <v>36505</v>
      </c>
      <c r="Q3050">
        <v>98150406</v>
      </c>
      <c r="R3050" t="s">
        <v>28066</v>
      </c>
      <c r="S3050" t="s">
        <v>2529</v>
      </c>
      <c r="T3050" t="s">
        <v>30</v>
      </c>
      <c r="U3050" t="s">
        <v>26040</v>
      </c>
      <c r="W3050" t="s">
        <v>26009</v>
      </c>
    </row>
    <row r="3051" spans="1:23" x14ac:dyDescent="0.35">
      <c r="A3051">
        <v>690117</v>
      </c>
      <c r="B3051" t="s">
        <v>37223</v>
      </c>
      <c r="C3051" t="str">
        <f>"9781855751996"</f>
        <v>9781855751996</v>
      </c>
      <c r="D3051" t="str">
        <f>"9781849402545"</f>
        <v>9781849402545</v>
      </c>
      <c r="E3051" t="s">
        <v>26010</v>
      </c>
      <c r="F3051" t="s">
        <v>35</v>
      </c>
      <c r="G3051" t="s">
        <v>22174</v>
      </c>
      <c r="H3051" t="s">
        <v>26011</v>
      </c>
      <c r="I3051" s="26">
        <v>36171</v>
      </c>
      <c r="J3051">
        <v>1999</v>
      </c>
      <c r="K3051" t="s">
        <v>26012</v>
      </c>
      <c r="L3051">
        <v>199</v>
      </c>
      <c r="M3051" t="s">
        <v>37224</v>
      </c>
      <c r="N3051">
        <v>1</v>
      </c>
      <c r="Q3051" t="s">
        <v>37225</v>
      </c>
      <c r="R3051">
        <v>155.6</v>
      </c>
      <c r="S3051" t="s">
        <v>37226</v>
      </c>
      <c r="T3051" t="s">
        <v>30</v>
      </c>
      <c r="U3051" t="s">
        <v>46</v>
      </c>
      <c r="W3051" t="s">
        <v>26009</v>
      </c>
    </row>
    <row r="3052" spans="1:23" x14ac:dyDescent="0.35">
      <c r="A3052">
        <v>690118</v>
      </c>
      <c r="B3052" t="s">
        <v>9079</v>
      </c>
      <c r="C3052" t="str">
        <f>"9781855751224"</f>
        <v>9781855751224</v>
      </c>
      <c r="D3052" t="str">
        <f>"9781849402590"</f>
        <v>9781849402590</v>
      </c>
      <c r="E3052" t="s">
        <v>26010</v>
      </c>
      <c r="F3052" t="s">
        <v>35</v>
      </c>
      <c r="G3052" t="s">
        <v>22174</v>
      </c>
      <c r="H3052" t="s">
        <v>26011</v>
      </c>
      <c r="I3052" s="26">
        <v>36160</v>
      </c>
      <c r="J3052">
        <v>1998</v>
      </c>
      <c r="K3052" t="s">
        <v>26012</v>
      </c>
      <c r="L3052">
        <v>233</v>
      </c>
      <c r="M3052" t="s">
        <v>37227</v>
      </c>
      <c r="N3052">
        <v>1</v>
      </c>
      <c r="Q3052" t="s">
        <v>37228</v>
      </c>
      <c r="R3052" t="s">
        <v>37229</v>
      </c>
      <c r="S3052" t="s">
        <v>9080</v>
      </c>
      <c r="T3052" t="s">
        <v>30</v>
      </c>
      <c r="U3052" t="s">
        <v>26019</v>
      </c>
      <c r="W3052" t="s">
        <v>26009</v>
      </c>
    </row>
    <row r="3053" spans="1:23" x14ac:dyDescent="0.35">
      <c r="A3053">
        <v>690122</v>
      </c>
      <c r="B3053" t="s">
        <v>37230</v>
      </c>
      <c r="C3053" t="str">
        <f>"9780946439003"</f>
        <v>9780946439003</v>
      </c>
      <c r="D3053" t="str">
        <f>"9781849400206"</f>
        <v>9781849400206</v>
      </c>
      <c r="E3053" t="s">
        <v>26010</v>
      </c>
      <c r="F3053" t="s">
        <v>35</v>
      </c>
      <c r="G3053" t="s">
        <v>22174</v>
      </c>
      <c r="H3053" t="s">
        <v>26011</v>
      </c>
      <c r="I3053" s="26">
        <v>30681</v>
      </c>
      <c r="J3053">
        <v>1983</v>
      </c>
      <c r="K3053" t="s">
        <v>26012</v>
      </c>
      <c r="L3053">
        <v>198</v>
      </c>
      <c r="M3053" t="s">
        <v>37231</v>
      </c>
      <c r="N3053">
        <v>1</v>
      </c>
      <c r="Q3053" t="s">
        <v>37232</v>
      </c>
      <c r="R3053">
        <v>616.89170000000001</v>
      </c>
      <c r="S3053" t="s">
        <v>8879</v>
      </c>
      <c r="T3053" t="s">
        <v>30</v>
      </c>
      <c r="U3053" t="s">
        <v>26116</v>
      </c>
      <c r="W3053" t="s">
        <v>26009</v>
      </c>
    </row>
    <row r="3054" spans="1:23" x14ac:dyDescent="0.35">
      <c r="A3054">
        <v>690123</v>
      </c>
      <c r="B3054" t="s">
        <v>37233</v>
      </c>
      <c r="C3054" t="str">
        <f>"9780946439041"</f>
        <v>9780946439041</v>
      </c>
      <c r="D3054" t="str">
        <f>"9781849400220"</f>
        <v>9781849400220</v>
      </c>
      <c r="E3054" t="s">
        <v>26010</v>
      </c>
      <c r="F3054" t="s">
        <v>35</v>
      </c>
      <c r="G3054" t="s">
        <v>22174</v>
      </c>
      <c r="H3054" t="s">
        <v>26011</v>
      </c>
      <c r="I3054" s="26">
        <v>31047</v>
      </c>
      <c r="J3054">
        <v>1984</v>
      </c>
      <c r="K3054" t="s">
        <v>26012</v>
      </c>
      <c r="L3054">
        <v>181</v>
      </c>
      <c r="M3054" t="s">
        <v>37175</v>
      </c>
      <c r="N3054">
        <v>1</v>
      </c>
      <c r="Q3054" t="s">
        <v>37234</v>
      </c>
      <c r="R3054">
        <v>616.89170000000001</v>
      </c>
      <c r="S3054" t="s">
        <v>7514</v>
      </c>
      <c r="T3054" t="s">
        <v>30</v>
      </c>
      <c r="U3054" t="s">
        <v>26019</v>
      </c>
      <c r="W3054" t="s">
        <v>26009</v>
      </c>
    </row>
    <row r="3055" spans="1:23" x14ac:dyDescent="0.35">
      <c r="A3055">
        <v>690124</v>
      </c>
      <c r="B3055" t="s">
        <v>8966</v>
      </c>
      <c r="C3055" t="str">
        <f>"9780946439058"</f>
        <v>9780946439058</v>
      </c>
      <c r="D3055" t="str">
        <f>"9781849400237"</f>
        <v>9781849400237</v>
      </c>
      <c r="E3055" t="s">
        <v>26010</v>
      </c>
      <c r="F3055" t="s">
        <v>35</v>
      </c>
      <c r="G3055" t="s">
        <v>22174</v>
      </c>
      <c r="H3055" t="s">
        <v>26011</v>
      </c>
      <c r="I3055" s="26">
        <v>31047</v>
      </c>
      <c r="J3055">
        <v>1984</v>
      </c>
      <c r="K3055" t="s">
        <v>26012</v>
      </c>
      <c r="L3055">
        <v>125</v>
      </c>
      <c r="M3055" t="s">
        <v>37175</v>
      </c>
      <c r="N3055">
        <v>1</v>
      </c>
      <c r="Q3055" t="s">
        <v>37235</v>
      </c>
      <c r="R3055">
        <v>153.15</v>
      </c>
      <c r="S3055" t="s">
        <v>37236</v>
      </c>
      <c r="T3055" t="s">
        <v>30</v>
      </c>
      <c r="U3055" t="s">
        <v>26070</v>
      </c>
      <c r="W3055" t="s">
        <v>26009</v>
      </c>
    </row>
    <row r="3056" spans="1:23" x14ac:dyDescent="0.35">
      <c r="A3056">
        <v>690126</v>
      </c>
      <c r="B3056" t="s">
        <v>37237</v>
      </c>
      <c r="C3056" t="str">
        <f>"9780946439218"</f>
        <v>9780946439218</v>
      </c>
      <c r="D3056" t="str">
        <f>"9781849400411"</f>
        <v>9781849400411</v>
      </c>
      <c r="E3056" t="s">
        <v>26010</v>
      </c>
      <c r="F3056" t="s">
        <v>35</v>
      </c>
      <c r="G3056" t="s">
        <v>22174</v>
      </c>
      <c r="H3056" t="s">
        <v>26011</v>
      </c>
      <c r="I3056" s="26">
        <v>31777</v>
      </c>
      <c r="J3056">
        <v>1986</v>
      </c>
      <c r="K3056" t="s">
        <v>26012</v>
      </c>
      <c r="L3056">
        <v>301</v>
      </c>
      <c r="M3056" t="s">
        <v>36987</v>
      </c>
      <c r="N3056">
        <v>1</v>
      </c>
      <c r="Q3056" t="s">
        <v>37238</v>
      </c>
      <c r="R3056">
        <v>155.30000000000001</v>
      </c>
      <c r="S3056" t="s">
        <v>37239</v>
      </c>
      <c r="T3056" t="s">
        <v>30</v>
      </c>
      <c r="U3056" t="s">
        <v>46</v>
      </c>
      <c r="W3056" t="s">
        <v>26009</v>
      </c>
    </row>
    <row r="3057" spans="1:23" x14ac:dyDescent="0.35">
      <c r="A3057">
        <v>690131</v>
      </c>
      <c r="B3057" t="s">
        <v>9341</v>
      </c>
      <c r="C3057" t="str">
        <f>"9780950164762"</f>
        <v>9780950164762</v>
      </c>
      <c r="D3057" t="str">
        <f>"9781849400091"</f>
        <v>9781849400091</v>
      </c>
      <c r="E3057" t="s">
        <v>26010</v>
      </c>
      <c r="F3057" t="s">
        <v>35</v>
      </c>
      <c r="G3057" t="s">
        <v>22174</v>
      </c>
      <c r="H3057" t="s">
        <v>26011</v>
      </c>
      <c r="I3057" s="26">
        <v>28490</v>
      </c>
      <c r="J3057">
        <v>1977</v>
      </c>
      <c r="K3057" t="s">
        <v>26012</v>
      </c>
      <c r="L3057">
        <v>513</v>
      </c>
      <c r="M3057" t="s">
        <v>37240</v>
      </c>
      <c r="N3057">
        <v>5</v>
      </c>
      <c r="Q3057" t="s">
        <v>37241</v>
      </c>
      <c r="R3057">
        <v>150.1952</v>
      </c>
      <c r="S3057" t="s">
        <v>37242</v>
      </c>
      <c r="T3057" t="s">
        <v>30</v>
      </c>
      <c r="U3057" t="s">
        <v>46</v>
      </c>
      <c r="W3057" t="s">
        <v>26009</v>
      </c>
    </row>
    <row r="3058" spans="1:23" x14ac:dyDescent="0.35">
      <c r="A3058">
        <v>690132</v>
      </c>
      <c r="B3058" t="s">
        <v>37243</v>
      </c>
      <c r="C3058" t="str">
        <f>"9781855752320"</f>
        <v>9781855752320</v>
      </c>
      <c r="D3058" t="str">
        <f>"9781849400114"</f>
        <v>9781849400114</v>
      </c>
      <c r="E3058" t="s">
        <v>26010</v>
      </c>
      <c r="F3058" t="s">
        <v>35</v>
      </c>
      <c r="G3058" t="s">
        <v>22174</v>
      </c>
      <c r="H3058" t="s">
        <v>26011</v>
      </c>
      <c r="I3058" s="26">
        <v>29220</v>
      </c>
      <c r="J3058">
        <v>1979</v>
      </c>
      <c r="K3058" t="s">
        <v>26012</v>
      </c>
      <c r="L3058">
        <v>279</v>
      </c>
      <c r="M3058" t="s">
        <v>37244</v>
      </c>
      <c r="N3058">
        <v>1</v>
      </c>
      <c r="Q3058" t="s">
        <v>37245</v>
      </c>
      <c r="R3058">
        <v>302</v>
      </c>
      <c r="S3058" t="s">
        <v>37246</v>
      </c>
      <c r="T3058" t="s">
        <v>30</v>
      </c>
      <c r="U3058" t="s">
        <v>26044</v>
      </c>
      <c r="W3058" t="s">
        <v>26009</v>
      </c>
    </row>
    <row r="3059" spans="1:23" x14ac:dyDescent="0.35">
      <c r="A3059">
        <v>690133</v>
      </c>
      <c r="B3059" t="s">
        <v>37247</v>
      </c>
      <c r="C3059" t="str">
        <f>"9781855752023"</f>
        <v>9781855752023</v>
      </c>
      <c r="D3059" t="str">
        <f>"9781849400121"</f>
        <v>9781849400121</v>
      </c>
      <c r="E3059" t="s">
        <v>26010</v>
      </c>
      <c r="F3059" t="s">
        <v>35</v>
      </c>
      <c r="G3059" t="s">
        <v>22174</v>
      </c>
      <c r="H3059" t="s">
        <v>26011</v>
      </c>
      <c r="I3059" s="26">
        <v>29586</v>
      </c>
      <c r="J3059">
        <v>1980</v>
      </c>
      <c r="K3059" t="s">
        <v>26012</v>
      </c>
      <c r="L3059">
        <v>503</v>
      </c>
      <c r="M3059" t="s">
        <v>37248</v>
      </c>
      <c r="N3059">
        <v>1</v>
      </c>
      <c r="Q3059" t="s">
        <v>37249</v>
      </c>
      <c r="R3059">
        <v>154</v>
      </c>
      <c r="S3059" t="s">
        <v>37250</v>
      </c>
      <c r="T3059" t="s">
        <v>30</v>
      </c>
      <c r="U3059" t="s">
        <v>46</v>
      </c>
      <c r="W3059" t="s">
        <v>26009</v>
      </c>
    </row>
    <row r="3060" spans="1:23" x14ac:dyDescent="0.35">
      <c r="A3060">
        <v>690134</v>
      </c>
      <c r="B3060" t="s">
        <v>37251</v>
      </c>
      <c r="C3060" t="str">
        <f>"9781855750005"</f>
        <v>9781855750005</v>
      </c>
      <c r="D3060" t="str">
        <f>"9781849400176"</f>
        <v>9781849400176</v>
      </c>
      <c r="E3060" t="s">
        <v>26010</v>
      </c>
      <c r="F3060" t="s">
        <v>35</v>
      </c>
      <c r="G3060" t="s">
        <v>22174</v>
      </c>
      <c r="H3060" t="s">
        <v>26011</v>
      </c>
      <c r="I3060" s="26">
        <v>30316</v>
      </c>
      <c r="J3060">
        <v>1982</v>
      </c>
      <c r="K3060" t="s">
        <v>26012</v>
      </c>
      <c r="L3060">
        <v>296</v>
      </c>
      <c r="M3060" t="s">
        <v>37175</v>
      </c>
      <c r="N3060">
        <v>1</v>
      </c>
      <c r="Q3060" t="s">
        <v>37252</v>
      </c>
      <c r="R3060">
        <v>940.48099999999999</v>
      </c>
      <c r="S3060" t="s">
        <v>37253</v>
      </c>
      <c r="T3060" t="s">
        <v>30</v>
      </c>
      <c r="U3060" t="s">
        <v>402</v>
      </c>
      <c r="W3060" t="s">
        <v>26009</v>
      </c>
    </row>
    <row r="3061" spans="1:23" x14ac:dyDescent="0.35">
      <c r="A3061">
        <v>690135</v>
      </c>
      <c r="B3061" t="s">
        <v>37254</v>
      </c>
      <c r="C3061" t="str">
        <f>"9781855759718"</f>
        <v>9781855759718</v>
      </c>
      <c r="D3061" t="str">
        <f>"9781849400299"</f>
        <v>9781849400299</v>
      </c>
      <c r="E3061" t="s">
        <v>26010</v>
      </c>
      <c r="F3061" t="s">
        <v>35</v>
      </c>
      <c r="G3061" t="s">
        <v>22174</v>
      </c>
      <c r="H3061" t="s">
        <v>26011</v>
      </c>
      <c r="I3061" s="26">
        <v>31412</v>
      </c>
      <c r="J3061">
        <v>1985</v>
      </c>
      <c r="K3061" t="s">
        <v>26012</v>
      </c>
      <c r="L3061">
        <v>250</v>
      </c>
      <c r="M3061" t="s">
        <v>37255</v>
      </c>
      <c r="N3061">
        <v>1</v>
      </c>
      <c r="O3061" t="s">
        <v>37165</v>
      </c>
      <c r="Q3061" t="s">
        <v>37256</v>
      </c>
      <c r="R3061">
        <v>155</v>
      </c>
      <c r="S3061" t="s">
        <v>37257</v>
      </c>
      <c r="T3061" t="s">
        <v>30</v>
      </c>
      <c r="U3061" t="s">
        <v>46</v>
      </c>
      <c r="W3061" t="s">
        <v>26009</v>
      </c>
    </row>
    <row r="3062" spans="1:23" x14ac:dyDescent="0.35">
      <c r="A3062">
        <v>690138</v>
      </c>
      <c r="B3062" t="s">
        <v>7628</v>
      </c>
      <c r="C3062" t="str">
        <f>"9780946439256"</f>
        <v>9780946439256</v>
      </c>
      <c r="D3062" t="str">
        <f>"9781849400428"</f>
        <v>9781849400428</v>
      </c>
      <c r="E3062" t="s">
        <v>26010</v>
      </c>
      <c r="F3062" t="s">
        <v>35</v>
      </c>
      <c r="G3062" t="s">
        <v>22174</v>
      </c>
      <c r="H3062" t="s">
        <v>26011</v>
      </c>
      <c r="I3062" s="26">
        <v>31777</v>
      </c>
      <c r="J3062">
        <v>1986</v>
      </c>
      <c r="K3062" t="s">
        <v>26012</v>
      </c>
      <c r="L3062">
        <v>350</v>
      </c>
      <c r="M3062" t="s">
        <v>37258</v>
      </c>
      <c r="N3062">
        <v>1</v>
      </c>
      <c r="Q3062" t="s">
        <v>37259</v>
      </c>
      <c r="R3062" t="s">
        <v>27855</v>
      </c>
      <c r="S3062" t="s">
        <v>7629</v>
      </c>
      <c r="T3062" t="s">
        <v>30</v>
      </c>
      <c r="U3062" t="s">
        <v>26019</v>
      </c>
      <c r="W3062" t="s">
        <v>26009</v>
      </c>
    </row>
    <row r="3063" spans="1:23" x14ac:dyDescent="0.35">
      <c r="A3063">
        <v>690139</v>
      </c>
      <c r="B3063" t="s">
        <v>8492</v>
      </c>
      <c r="C3063" t="str">
        <f>"9781855750869"</f>
        <v>9781855750869</v>
      </c>
      <c r="D3063" t="str">
        <f>"9781849401647"</f>
        <v>9781849401647</v>
      </c>
      <c r="E3063" t="s">
        <v>26010</v>
      </c>
      <c r="F3063" t="s">
        <v>35</v>
      </c>
      <c r="G3063" t="s">
        <v>22174</v>
      </c>
      <c r="H3063" t="s">
        <v>26011</v>
      </c>
      <c r="I3063" s="26">
        <v>34699</v>
      </c>
      <c r="J3063">
        <v>1994</v>
      </c>
      <c r="K3063" t="s">
        <v>26012</v>
      </c>
      <c r="L3063">
        <v>481</v>
      </c>
      <c r="M3063" t="s">
        <v>37260</v>
      </c>
      <c r="N3063">
        <v>1</v>
      </c>
      <c r="Q3063" t="s">
        <v>37261</v>
      </c>
      <c r="R3063">
        <v>150</v>
      </c>
      <c r="S3063" t="s">
        <v>36663</v>
      </c>
      <c r="T3063" t="s">
        <v>30</v>
      </c>
      <c r="U3063" t="s">
        <v>26019</v>
      </c>
      <c r="W3063" t="s">
        <v>26009</v>
      </c>
    </row>
    <row r="3064" spans="1:23" x14ac:dyDescent="0.35">
      <c r="A3064">
        <v>690140</v>
      </c>
      <c r="B3064" t="s">
        <v>37262</v>
      </c>
      <c r="C3064" t="str">
        <f>"9781855750777"</f>
        <v>9781855750777</v>
      </c>
      <c r="D3064" t="str">
        <f>"9781849401661"</f>
        <v>9781849401661</v>
      </c>
      <c r="E3064" t="s">
        <v>26010</v>
      </c>
      <c r="F3064" t="s">
        <v>35</v>
      </c>
      <c r="G3064" t="s">
        <v>22174</v>
      </c>
      <c r="H3064" t="s">
        <v>26011</v>
      </c>
      <c r="I3064" s="26">
        <v>34699</v>
      </c>
      <c r="J3064">
        <v>1994</v>
      </c>
      <c r="K3064" t="s">
        <v>26012</v>
      </c>
      <c r="L3064">
        <v>224</v>
      </c>
      <c r="M3064" t="s">
        <v>37255</v>
      </c>
      <c r="N3064">
        <v>1</v>
      </c>
      <c r="O3064" t="s">
        <v>37165</v>
      </c>
      <c r="Q3064" t="s">
        <v>37263</v>
      </c>
      <c r="R3064" t="s">
        <v>37264</v>
      </c>
      <c r="S3064" t="s">
        <v>37265</v>
      </c>
      <c r="T3064" t="s">
        <v>30</v>
      </c>
      <c r="U3064" t="s">
        <v>26116</v>
      </c>
      <c r="W3064" t="s">
        <v>26009</v>
      </c>
    </row>
    <row r="3065" spans="1:23" x14ac:dyDescent="0.35">
      <c r="A3065">
        <v>690141</v>
      </c>
      <c r="B3065" t="s">
        <v>37266</v>
      </c>
      <c r="C3065" t="str">
        <f>"9781855750838"</f>
        <v>9781855750838</v>
      </c>
      <c r="D3065" t="str">
        <f>"9781849401715"</f>
        <v>9781849401715</v>
      </c>
      <c r="E3065" t="s">
        <v>26010</v>
      </c>
      <c r="F3065" t="s">
        <v>35</v>
      </c>
      <c r="G3065" t="s">
        <v>22174</v>
      </c>
      <c r="H3065" t="s">
        <v>26011</v>
      </c>
      <c r="I3065" s="26">
        <v>34699</v>
      </c>
      <c r="J3065">
        <v>1994</v>
      </c>
      <c r="K3065" t="s">
        <v>26012</v>
      </c>
      <c r="L3065">
        <v>252</v>
      </c>
      <c r="M3065" t="s">
        <v>37267</v>
      </c>
      <c r="N3065">
        <v>1</v>
      </c>
      <c r="O3065" t="s">
        <v>37165</v>
      </c>
      <c r="Q3065" t="s">
        <v>37268</v>
      </c>
      <c r="R3065">
        <v>155.19999999999999</v>
      </c>
      <c r="S3065" t="s">
        <v>37269</v>
      </c>
      <c r="T3065" t="s">
        <v>30</v>
      </c>
      <c r="U3065" t="s">
        <v>26019</v>
      </c>
      <c r="W3065" t="s">
        <v>26009</v>
      </c>
    </row>
    <row r="3066" spans="1:23" x14ac:dyDescent="0.35">
      <c r="A3066">
        <v>690142</v>
      </c>
      <c r="B3066" t="s">
        <v>9187</v>
      </c>
      <c r="C3066" t="str">
        <f>"9781855750821"</f>
        <v>9781855750821</v>
      </c>
      <c r="D3066" t="str">
        <f>"9781849401777"</f>
        <v>9781849401777</v>
      </c>
      <c r="E3066" t="s">
        <v>26010</v>
      </c>
      <c r="F3066" t="s">
        <v>35</v>
      </c>
      <c r="G3066" t="s">
        <v>22174</v>
      </c>
      <c r="H3066" t="s">
        <v>26011</v>
      </c>
      <c r="I3066" s="26">
        <v>34699</v>
      </c>
      <c r="J3066">
        <v>1994</v>
      </c>
      <c r="K3066" t="s">
        <v>26012</v>
      </c>
      <c r="L3066">
        <v>157</v>
      </c>
      <c r="M3066" t="s">
        <v>37270</v>
      </c>
      <c r="N3066">
        <v>1</v>
      </c>
      <c r="O3066" t="s">
        <v>37165</v>
      </c>
      <c r="Q3066" t="s">
        <v>37271</v>
      </c>
      <c r="R3066">
        <v>155</v>
      </c>
      <c r="S3066" t="s">
        <v>9188</v>
      </c>
      <c r="T3066" t="s">
        <v>30</v>
      </c>
      <c r="U3066" t="s">
        <v>46</v>
      </c>
      <c r="W3066" t="s">
        <v>26009</v>
      </c>
    </row>
    <row r="3067" spans="1:23" x14ac:dyDescent="0.35">
      <c r="A3067">
        <v>690146</v>
      </c>
      <c r="B3067" t="s">
        <v>37272</v>
      </c>
      <c r="C3067" t="str">
        <f>"9781855752016"</f>
        <v>9781855752016</v>
      </c>
      <c r="D3067" t="str">
        <f>"9781849401975"</f>
        <v>9781849401975</v>
      </c>
      <c r="E3067" t="s">
        <v>26010</v>
      </c>
      <c r="F3067" t="s">
        <v>35</v>
      </c>
      <c r="G3067" t="s">
        <v>22174</v>
      </c>
      <c r="H3067" t="s">
        <v>26011</v>
      </c>
      <c r="I3067" s="26">
        <v>35064</v>
      </c>
      <c r="J3067">
        <v>1995</v>
      </c>
      <c r="K3067" t="s">
        <v>26012</v>
      </c>
      <c r="L3067">
        <v>238</v>
      </c>
      <c r="M3067" t="s">
        <v>37273</v>
      </c>
      <c r="N3067">
        <v>1</v>
      </c>
      <c r="Q3067" t="s">
        <v>37274</v>
      </c>
      <c r="R3067">
        <v>616.89156000000003</v>
      </c>
      <c r="S3067" t="s">
        <v>37275</v>
      </c>
      <c r="T3067" t="s">
        <v>30</v>
      </c>
      <c r="U3067" t="s">
        <v>26019</v>
      </c>
      <c r="W3067" t="s">
        <v>26009</v>
      </c>
    </row>
    <row r="3068" spans="1:23" x14ac:dyDescent="0.35">
      <c r="A3068">
        <v>690148</v>
      </c>
      <c r="B3068" t="s">
        <v>37276</v>
      </c>
      <c r="C3068" t="str">
        <f>"9781855759954"</f>
        <v>9781855759954</v>
      </c>
      <c r="D3068" t="str">
        <f>"9780429916397"</f>
        <v>9780429916397</v>
      </c>
      <c r="E3068" t="s">
        <v>26010</v>
      </c>
      <c r="F3068" t="s">
        <v>35</v>
      </c>
      <c r="G3068" t="s">
        <v>26128</v>
      </c>
      <c r="H3068" t="s">
        <v>26011</v>
      </c>
      <c r="I3068" s="26">
        <v>35795</v>
      </c>
      <c r="J3068">
        <v>1997</v>
      </c>
      <c r="K3068" t="s">
        <v>26012</v>
      </c>
      <c r="L3068">
        <v>257</v>
      </c>
      <c r="M3068" t="s">
        <v>37277</v>
      </c>
      <c r="N3068">
        <v>1</v>
      </c>
      <c r="O3068" t="s">
        <v>36500</v>
      </c>
      <c r="S3068" t="s">
        <v>8005</v>
      </c>
      <c r="T3068" t="s">
        <v>30</v>
      </c>
      <c r="U3068" t="s">
        <v>46</v>
      </c>
      <c r="W3068" t="s">
        <v>26009</v>
      </c>
    </row>
    <row r="3069" spans="1:23" x14ac:dyDescent="0.35">
      <c r="A3069">
        <v>690149</v>
      </c>
      <c r="B3069" t="s">
        <v>9658</v>
      </c>
      <c r="C3069" t="str">
        <f>"9781855759015"</f>
        <v>9781855759015</v>
      </c>
      <c r="D3069" t="str">
        <f>"9781849402354"</f>
        <v>9781849402354</v>
      </c>
      <c r="E3069" t="s">
        <v>26010</v>
      </c>
      <c r="F3069" t="s">
        <v>35</v>
      </c>
      <c r="G3069" t="s">
        <v>22174</v>
      </c>
      <c r="H3069" t="s">
        <v>26011</v>
      </c>
      <c r="I3069" s="26">
        <v>35795</v>
      </c>
      <c r="J3069">
        <v>1997</v>
      </c>
      <c r="K3069" t="s">
        <v>26012</v>
      </c>
      <c r="L3069">
        <v>302</v>
      </c>
      <c r="M3069" t="s">
        <v>37278</v>
      </c>
      <c r="N3069">
        <v>1</v>
      </c>
      <c r="O3069" t="s">
        <v>36500</v>
      </c>
      <c r="Q3069" t="s">
        <v>37279</v>
      </c>
      <c r="R3069">
        <v>618.9289</v>
      </c>
      <c r="S3069" t="s">
        <v>37280</v>
      </c>
      <c r="T3069" t="s">
        <v>30</v>
      </c>
      <c r="U3069" t="s">
        <v>26019</v>
      </c>
      <c r="W3069" t="s">
        <v>26009</v>
      </c>
    </row>
    <row r="3070" spans="1:23" x14ac:dyDescent="0.35">
      <c r="A3070">
        <v>690150</v>
      </c>
      <c r="B3070" t="s">
        <v>37281</v>
      </c>
      <c r="C3070" t="str">
        <f>"9781855751675"</f>
        <v>9781855751675</v>
      </c>
      <c r="D3070" t="str">
        <f>"9781849402378"</f>
        <v>9781849402378</v>
      </c>
      <c r="E3070" t="s">
        <v>26010</v>
      </c>
      <c r="F3070" t="s">
        <v>35</v>
      </c>
      <c r="G3070" t="s">
        <v>22174</v>
      </c>
      <c r="H3070" t="s">
        <v>26011</v>
      </c>
      <c r="I3070" s="26">
        <v>35795</v>
      </c>
      <c r="J3070">
        <v>1997</v>
      </c>
      <c r="K3070" t="s">
        <v>26012</v>
      </c>
      <c r="L3070">
        <v>222</v>
      </c>
      <c r="M3070" t="s">
        <v>37282</v>
      </c>
      <c r="N3070">
        <v>1</v>
      </c>
      <c r="O3070" t="s">
        <v>37283</v>
      </c>
      <c r="Q3070" t="s">
        <v>37284</v>
      </c>
      <c r="R3070">
        <v>150.1952</v>
      </c>
      <c r="S3070" t="s">
        <v>7661</v>
      </c>
      <c r="T3070" t="s">
        <v>30</v>
      </c>
      <c r="U3070" t="s">
        <v>46</v>
      </c>
      <c r="W3070" t="s">
        <v>26009</v>
      </c>
    </row>
    <row r="3071" spans="1:23" x14ac:dyDescent="0.35">
      <c r="A3071">
        <v>690151</v>
      </c>
      <c r="B3071" t="s">
        <v>8024</v>
      </c>
      <c r="C3071" t="str">
        <f>"9781855751118"</f>
        <v>9781855751118</v>
      </c>
      <c r="D3071" t="str">
        <f>"9781849402408"</f>
        <v>9781849402408</v>
      </c>
      <c r="E3071" t="s">
        <v>26010</v>
      </c>
      <c r="F3071" t="s">
        <v>35</v>
      </c>
      <c r="G3071" t="s">
        <v>22174</v>
      </c>
      <c r="H3071" t="s">
        <v>26011</v>
      </c>
      <c r="I3071" s="26">
        <v>35795</v>
      </c>
      <c r="J3071">
        <v>1997</v>
      </c>
      <c r="K3071" t="s">
        <v>26012</v>
      </c>
      <c r="L3071">
        <v>201</v>
      </c>
      <c r="M3071" t="s">
        <v>37285</v>
      </c>
      <c r="N3071">
        <v>1</v>
      </c>
      <c r="O3071" t="s">
        <v>36577</v>
      </c>
      <c r="Q3071" t="s">
        <v>37286</v>
      </c>
      <c r="R3071">
        <v>618.9289</v>
      </c>
      <c r="S3071" t="s">
        <v>37287</v>
      </c>
      <c r="T3071" t="s">
        <v>30</v>
      </c>
      <c r="U3071" t="s">
        <v>26019</v>
      </c>
      <c r="W3071" t="s">
        <v>26009</v>
      </c>
    </row>
    <row r="3072" spans="1:23" x14ac:dyDescent="0.35">
      <c r="A3072">
        <v>690153</v>
      </c>
      <c r="B3072" t="s">
        <v>37288</v>
      </c>
      <c r="C3072" t="str">
        <f>"9781855759725"</f>
        <v>9781855759725</v>
      </c>
      <c r="D3072" t="str">
        <f>"9781849402422"</f>
        <v>9781849402422</v>
      </c>
      <c r="E3072" t="s">
        <v>26010</v>
      </c>
      <c r="F3072" t="s">
        <v>35</v>
      </c>
      <c r="G3072" t="s">
        <v>22174</v>
      </c>
      <c r="H3072" t="s">
        <v>26011</v>
      </c>
      <c r="I3072" s="26">
        <v>35795</v>
      </c>
      <c r="J3072">
        <v>1997</v>
      </c>
      <c r="K3072" t="s">
        <v>26012</v>
      </c>
      <c r="L3072">
        <v>159</v>
      </c>
      <c r="M3072" t="s">
        <v>37289</v>
      </c>
      <c r="N3072">
        <v>1</v>
      </c>
      <c r="O3072" t="s">
        <v>36500</v>
      </c>
      <c r="Q3072" t="s">
        <v>37290</v>
      </c>
      <c r="R3072">
        <v>616.89170000000001</v>
      </c>
      <c r="S3072" t="s">
        <v>7502</v>
      </c>
      <c r="T3072" t="s">
        <v>30</v>
      </c>
      <c r="U3072" t="s">
        <v>26116</v>
      </c>
      <c r="W3072" t="s">
        <v>26009</v>
      </c>
    </row>
    <row r="3073" spans="1:23" x14ac:dyDescent="0.35">
      <c r="A3073">
        <v>690154</v>
      </c>
      <c r="B3073" t="s">
        <v>8843</v>
      </c>
      <c r="C3073" t="str">
        <f>"9781855751910"</f>
        <v>9781855751910</v>
      </c>
      <c r="D3073" t="str">
        <f>"9781849402576"</f>
        <v>9781849402576</v>
      </c>
      <c r="E3073" t="s">
        <v>26010</v>
      </c>
      <c r="F3073" t="s">
        <v>35</v>
      </c>
      <c r="G3073" t="s">
        <v>22174</v>
      </c>
      <c r="H3073" t="s">
        <v>26011</v>
      </c>
      <c r="I3073" s="26">
        <v>36160</v>
      </c>
      <c r="J3073">
        <v>1998</v>
      </c>
      <c r="K3073" t="s">
        <v>26012</v>
      </c>
      <c r="L3073">
        <v>192</v>
      </c>
      <c r="M3073" t="s">
        <v>37291</v>
      </c>
      <c r="N3073">
        <v>1</v>
      </c>
      <c r="O3073" t="s">
        <v>37292</v>
      </c>
      <c r="Q3073" t="s">
        <v>37293</v>
      </c>
      <c r="R3073">
        <v>150.19499999999999</v>
      </c>
      <c r="S3073" t="s">
        <v>37294</v>
      </c>
      <c r="T3073" t="s">
        <v>30</v>
      </c>
      <c r="U3073" t="s">
        <v>46</v>
      </c>
      <c r="W3073" t="s">
        <v>26009</v>
      </c>
    </row>
    <row r="3074" spans="1:23" x14ac:dyDescent="0.35">
      <c r="A3074">
        <v>690155</v>
      </c>
      <c r="B3074" t="s">
        <v>7686</v>
      </c>
      <c r="C3074" t="str">
        <f>"9781855751880"</f>
        <v>9781855751880</v>
      </c>
      <c r="D3074" t="str">
        <f>"9781849402606"</f>
        <v>9781849402606</v>
      </c>
      <c r="E3074" t="s">
        <v>26010</v>
      </c>
      <c r="F3074" t="s">
        <v>35</v>
      </c>
      <c r="G3074" t="s">
        <v>26128</v>
      </c>
      <c r="H3074" t="s">
        <v>26011</v>
      </c>
      <c r="I3074" s="26">
        <v>36160</v>
      </c>
      <c r="J3074">
        <v>1998</v>
      </c>
      <c r="K3074" t="s">
        <v>26012</v>
      </c>
      <c r="L3074">
        <v>127</v>
      </c>
      <c r="M3074" t="s">
        <v>37295</v>
      </c>
      <c r="N3074">
        <v>1</v>
      </c>
      <c r="S3074" t="s">
        <v>37296</v>
      </c>
      <c r="T3074" t="s">
        <v>30</v>
      </c>
      <c r="U3074" t="s">
        <v>46</v>
      </c>
      <c r="W3074" t="s">
        <v>26009</v>
      </c>
    </row>
    <row r="3075" spans="1:23" x14ac:dyDescent="0.35">
      <c r="A3075">
        <v>690156</v>
      </c>
      <c r="B3075" t="s">
        <v>37297</v>
      </c>
      <c r="C3075" t="str">
        <f>"9781855752047"</f>
        <v>9781855752047</v>
      </c>
      <c r="D3075" t="str">
        <f>"9781849402637"</f>
        <v>9781849402637</v>
      </c>
      <c r="E3075" t="s">
        <v>26010</v>
      </c>
      <c r="F3075" t="s">
        <v>35</v>
      </c>
      <c r="G3075" t="s">
        <v>22174</v>
      </c>
      <c r="H3075" t="s">
        <v>26011</v>
      </c>
      <c r="I3075" s="26">
        <v>36160</v>
      </c>
      <c r="J3075">
        <v>1998</v>
      </c>
      <c r="K3075" t="s">
        <v>26012</v>
      </c>
      <c r="L3075">
        <v>179</v>
      </c>
      <c r="M3075" t="s">
        <v>37298</v>
      </c>
      <c r="N3075">
        <v>1</v>
      </c>
      <c r="O3075" t="s">
        <v>36505</v>
      </c>
      <c r="Q3075" t="s">
        <v>37299</v>
      </c>
      <c r="R3075">
        <v>155.4</v>
      </c>
      <c r="S3075" t="s">
        <v>7458</v>
      </c>
      <c r="T3075" t="s">
        <v>30</v>
      </c>
      <c r="U3075" t="s">
        <v>26116</v>
      </c>
      <c r="W3075" t="s">
        <v>26009</v>
      </c>
    </row>
    <row r="3076" spans="1:23" x14ac:dyDescent="0.35">
      <c r="A3076">
        <v>690157</v>
      </c>
      <c r="B3076" t="s">
        <v>37300</v>
      </c>
      <c r="C3076" t="str">
        <f>"9781855751200"</f>
        <v>9781855751200</v>
      </c>
      <c r="D3076" t="str">
        <f>"9781849401128"</f>
        <v>9781849401128</v>
      </c>
      <c r="E3076" t="s">
        <v>26010</v>
      </c>
      <c r="F3076" t="s">
        <v>35</v>
      </c>
      <c r="G3076" t="s">
        <v>22174</v>
      </c>
      <c r="H3076" t="s">
        <v>26011</v>
      </c>
      <c r="I3076" s="26">
        <v>33603</v>
      </c>
      <c r="J3076">
        <v>1991</v>
      </c>
      <c r="K3076" t="s">
        <v>26012</v>
      </c>
      <c r="L3076">
        <v>235</v>
      </c>
      <c r="M3076" t="s">
        <v>28014</v>
      </c>
      <c r="N3076">
        <v>1</v>
      </c>
      <c r="Q3076" t="s">
        <v>37301</v>
      </c>
      <c r="R3076">
        <v>154.30000000000001</v>
      </c>
      <c r="S3076" t="s">
        <v>37302</v>
      </c>
      <c r="T3076" t="s">
        <v>30</v>
      </c>
      <c r="U3076" t="s">
        <v>46</v>
      </c>
      <c r="W3076" t="s">
        <v>26009</v>
      </c>
    </row>
    <row r="3077" spans="1:23" x14ac:dyDescent="0.35">
      <c r="A3077">
        <v>690160</v>
      </c>
      <c r="B3077" t="s">
        <v>10239</v>
      </c>
      <c r="C3077" t="str">
        <f>""</f>
        <v/>
      </c>
      <c r="D3077" t="str">
        <f>"9781849401371"</f>
        <v>9781849401371</v>
      </c>
      <c r="E3077" t="s">
        <v>26010</v>
      </c>
      <c r="F3077" t="s">
        <v>7673</v>
      </c>
      <c r="G3077" t="s">
        <v>22174</v>
      </c>
      <c r="H3077" t="s">
        <v>26011</v>
      </c>
      <c r="I3077" s="26">
        <v>33969</v>
      </c>
      <c r="J3077">
        <v>1992</v>
      </c>
      <c r="K3077" t="s">
        <v>7673</v>
      </c>
      <c r="L3077">
        <v>98</v>
      </c>
      <c r="M3077" t="s">
        <v>37303</v>
      </c>
      <c r="N3077">
        <v>1</v>
      </c>
      <c r="O3077" t="s">
        <v>37304</v>
      </c>
      <c r="Q3077" t="s">
        <v>37305</v>
      </c>
      <c r="R3077">
        <v>150.19499999999999</v>
      </c>
      <c r="S3077" t="s">
        <v>36881</v>
      </c>
      <c r="T3077" t="s">
        <v>30</v>
      </c>
      <c r="U3077" t="s">
        <v>26116</v>
      </c>
      <c r="W3077" t="s">
        <v>26009</v>
      </c>
    </row>
    <row r="3078" spans="1:23" x14ac:dyDescent="0.35">
      <c r="A3078">
        <v>690161</v>
      </c>
      <c r="B3078" t="s">
        <v>37306</v>
      </c>
      <c r="C3078" t="str">
        <f>"9781855750456"</f>
        <v>9781855750456</v>
      </c>
      <c r="D3078" t="str">
        <f>"9781849401500"</f>
        <v>9781849401500</v>
      </c>
      <c r="E3078" t="s">
        <v>26010</v>
      </c>
      <c r="F3078" t="s">
        <v>35</v>
      </c>
      <c r="G3078" t="s">
        <v>22174</v>
      </c>
      <c r="H3078" t="s">
        <v>26011</v>
      </c>
      <c r="I3078" s="26">
        <v>34334</v>
      </c>
      <c r="J3078">
        <v>1993</v>
      </c>
      <c r="K3078" t="s">
        <v>26012</v>
      </c>
      <c r="L3078">
        <v>257</v>
      </c>
      <c r="M3078" t="s">
        <v>37307</v>
      </c>
      <c r="N3078">
        <v>1</v>
      </c>
      <c r="O3078" t="s">
        <v>37308</v>
      </c>
      <c r="Q3078">
        <v>93041900</v>
      </c>
      <c r="R3078">
        <v>616.89156000000003</v>
      </c>
      <c r="S3078" t="s">
        <v>8930</v>
      </c>
      <c r="T3078" t="s">
        <v>30</v>
      </c>
      <c r="U3078" t="s">
        <v>26040</v>
      </c>
      <c r="W3078" t="s">
        <v>26009</v>
      </c>
    </row>
    <row r="3079" spans="1:23" x14ac:dyDescent="0.35">
      <c r="A3079">
        <v>690163</v>
      </c>
      <c r="B3079" t="s">
        <v>10240</v>
      </c>
      <c r="C3079" t="str">
        <f>"9781855750678"</f>
        <v>9781855750678</v>
      </c>
      <c r="D3079" t="str">
        <f>"9781849401548"</f>
        <v>9781849401548</v>
      </c>
      <c r="E3079" t="s">
        <v>26010</v>
      </c>
      <c r="F3079" t="s">
        <v>35</v>
      </c>
      <c r="G3079" t="s">
        <v>22174</v>
      </c>
      <c r="H3079" t="s">
        <v>26011</v>
      </c>
      <c r="I3079" s="26">
        <v>34334</v>
      </c>
      <c r="J3079">
        <v>1993</v>
      </c>
      <c r="K3079" t="s">
        <v>26012</v>
      </c>
      <c r="L3079">
        <v>100</v>
      </c>
      <c r="M3079" t="s">
        <v>37309</v>
      </c>
      <c r="N3079">
        <v>1</v>
      </c>
      <c r="O3079" t="s">
        <v>10239</v>
      </c>
      <c r="Q3079" t="s">
        <v>37310</v>
      </c>
      <c r="R3079">
        <v>616.89170000000001</v>
      </c>
      <c r="S3079" t="s">
        <v>36881</v>
      </c>
      <c r="T3079" t="s">
        <v>30</v>
      </c>
      <c r="U3079" t="s">
        <v>26116</v>
      </c>
      <c r="W3079" t="s">
        <v>26009</v>
      </c>
    </row>
    <row r="3080" spans="1:23" x14ac:dyDescent="0.35">
      <c r="A3080">
        <v>690164</v>
      </c>
      <c r="B3080" t="s">
        <v>37311</v>
      </c>
      <c r="C3080" t="str">
        <f>"9781855750470"</f>
        <v>9781855750470</v>
      </c>
      <c r="D3080" t="str">
        <f>"9781849401555"</f>
        <v>9781849401555</v>
      </c>
      <c r="E3080" t="s">
        <v>26010</v>
      </c>
      <c r="F3080" t="s">
        <v>35</v>
      </c>
      <c r="G3080" t="s">
        <v>22174</v>
      </c>
      <c r="H3080" t="s">
        <v>26011</v>
      </c>
      <c r="I3080" s="26">
        <v>34334</v>
      </c>
      <c r="J3080">
        <v>1993</v>
      </c>
      <c r="K3080" t="s">
        <v>26012</v>
      </c>
      <c r="L3080">
        <v>160</v>
      </c>
      <c r="M3080" t="s">
        <v>36640</v>
      </c>
      <c r="N3080">
        <v>1</v>
      </c>
      <c r="Q3080" t="s">
        <v>37312</v>
      </c>
      <c r="R3080">
        <v>616.85850000000005</v>
      </c>
      <c r="S3080" t="s">
        <v>37313</v>
      </c>
      <c r="T3080" t="s">
        <v>30</v>
      </c>
      <c r="U3080" t="s">
        <v>26019</v>
      </c>
      <c r="W3080" t="s">
        <v>26009</v>
      </c>
    </row>
    <row r="3081" spans="1:23" x14ac:dyDescent="0.35">
      <c r="A3081">
        <v>690165</v>
      </c>
      <c r="B3081" t="s">
        <v>37314</v>
      </c>
      <c r="C3081" t="str">
        <f>"9781855752337"</f>
        <v>9781855752337</v>
      </c>
      <c r="D3081" t="str">
        <f>"9781849400015"</f>
        <v>9781849400015</v>
      </c>
      <c r="E3081" t="s">
        <v>26010</v>
      </c>
      <c r="F3081" t="s">
        <v>35</v>
      </c>
      <c r="G3081" t="s">
        <v>22174</v>
      </c>
      <c r="H3081" t="s">
        <v>26011</v>
      </c>
      <c r="I3081" s="26">
        <v>24107</v>
      </c>
      <c r="J3081">
        <v>1965</v>
      </c>
      <c r="K3081" t="s">
        <v>26012</v>
      </c>
      <c r="L3081">
        <v>213</v>
      </c>
      <c r="M3081" t="s">
        <v>37315</v>
      </c>
      <c r="N3081">
        <v>1</v>
      </c>
      <c r="Q3081" t="s">
        <v>37316</v>
      </c>
      <c r="R3081">
        <v>303.33999999999997</v>
      </c>
      <c r="S3081" t="s">
        <v>37317</v>
      </c>
      <c r="T3081" t="s">
        <v>30</v>
      </c>
      <c r="U3081" t="s">
        <v>26228</v>
      </c>
      <c r="W3081" t="s">
        <v>26009</v>
      </c>
    </row>
    <row r="3082" spans="1:23" x14ac:dyDescent="0.35">
      <c r="A3082">
        <v>690168</v>
      </c>
      <c r="B3082" t="s">
        <v>8929</v>
      </c>
      <c r="C3082" t="str">
        <f>"9780946439690"</f>
        <v>9780946439690</v>
      </c>
      <c r="D3082" t="str">
        <f>"9781849400800"</f>
        <v>9781849400800</v>
      </c>
      <c r="E3082" t="s">
        <v>26010</v>
      </c>
      <c r="F3082" t="s">
        <v>35</v>
      </c>
      <c r="G3082" t="s">
        <v>22174</v>
      </c>
      <c r="H3082" t="s">
        <v>26011</v>
      </c>
      <c r="I3082" s="26">
        <v>32873</v>
      </c>
      <c r="J3082">
        <v>1989</v>
      </c>
      <c r="K3082" t="s">
        <v>26012</v>
      </c>
      <c r="L3082">
        <v>190</v>
      </c>
      <c r="M3082" t="s">
        <v>37221</v>
      </c>
      <c r="N3082">
        <v>1</v>
      </c>
      <c r="Q3082" t="s">
        <v>37318</v>
      </c>
      <c r="R3082" t="s">
        <v>37319</v>
      </c>
      <c r="S3082" t="s">
        <v>8930</v>
      </c>
      <c r="T3082" t="s">
        <v>30</v>
      </c>
      <c r="U3082" t="s">
        <v>26040</v>
      </c>
      <c r="W3082" t="s">
        <v>26009</v>
      </c>
    </row>
    <row r="3083" spans="1:23" x14ac:dyDescent="0.35">
      <c r="A3083">
        <v>690170</v>
      </c>
      <c r="B3083" t="s">
        <v>9527</v>
      </c>
      <c r="C3083" t="str">
        <f>"9780946439812"</f>
        <v>9780946439812</v>
      </c>
      <c r="D3083" t="str">
        <f>"9781849401005"</f>
        <v>9781849401005</v>
      </c>
      <c r="E3083" t="s">
        <v>26010</v>
      </c>
      <c r="F3083" t="s">
        <v>35</v>
      </c>
      <c r="G3083" t="s">
        <v>26128</v>
      </c>
      <c r="H3083" t="s">
        <v>26011</v>
      </c>
      <c r="I3083" s="26">
        <v>33238</v>
      </c>
      <c r="J3083">
        <v>1990</v>
      </c>
      <c r="K3083" t="s">
        <v>26012</v>
      </c>
      <c r="L3083">
        <v>256</v>
      </c>
      <c r="M3083" t="s">
        <v>37320</v>
      </c>
      <c r="N3083">
        <v>1</v>
      </c>
      <c r="R3083">
        <v>616.89819999999997</v>
      </c>
      <c r="S3083" t="s">
        <v>37321</v>
      </c>
      <c r="T3083" t="s">
        <v>30</v>
      </c>
      <c r="U3083" t="s">
        <v>26040</v>
      </c>
      <c r="W3083" t="s">
        <v>26009</v>
      </c>
    </row>
    <row r="3084" spans="1:23" x14ac:dyDescent="0.35">
      <c r="A3084">
        <v>690171</v>
      </c>
      <c r="B3084" t="s">
        <v>37322</v>
      </c>
      <c r="C3084" t="str">
        <f>"9781855755635"</f>
        <v>9781855755635</v>
      </c>
      <c r="D3084" t="str">
        <f>"9781849406321"</f>
        <v>9781849406321</v>
      </c>
      <c r="E3084" t="s">
        <v>26010</v>
      </c>
      <c r="F3084" t="s">
        <v>35</v>
      </c>
      <c r="G3084" t="s">
        <v>22174</v>
      </c>
      <c r="H3084" t="s">
        <v>26011</v>
      </c>
      <c r="I3084" s="26">
        <v>39813</v>
      </c>
      <c r="J3084">
        <v>2008</v>
      </c>
      <c r="K3084" t="s">
        <v>26012</v>
      </c>
      <c r="L3084">
        <v>304</v>
      </c>
      <c r="M3084" t="s">
        <v>37323</v>
      </c>
      <c r="N3084">
        <v>1</v>
      </c>
      <c r="O3084" t="s">
        <v>36515</v>
      </c>
      <c r="Q3084" t="s">
        <v>37324</v>
      </c>
      <c r="R3084">
        <v>150.94999999999999</v>
      </c>
      <c r="S3084" t="s">
        <v>37325</v>
      </c>
      <c r="T3084" t="s">
        <v>30</v>
      </c>
      <c r="U3084" t="s">
        <v>46</v>
      </c>
      <c r="W3084" t="s">
        <v>26009</v>
      </c>
    </row>
    <row r="3085" spans="1:23" x14ac:dyDescent="0.35">
      <c r="A3085">
        <v>690172</v>
      </c>
      <c r="B3085" t="s">
        <v>37326</v>
      </c>
      <c r="C3085" t="str">
        <f>"9781855754133"</f>
        <v>9781855754133</v>
      </c>
      <c r="D3085" t="str">
        <f>"9781849406277"</f>
        <v>9781849406277</v>
      </c>
      <c r="E3085" t="s">
        <v>26010</v>
      </c>
      <c r="F3085" t="s">
        <v>35</v>
      </c>
      <c r="G3085" t="s">
        <v>22174</v>
      </c>
      <c r="H3085" t="s">
        <v>26011</v>
      </c>
      <c r="I3085" s="26">
        <v>39687</v>
      </c>
      <c r="J3085">
        <v>2008</v>
      </c>
      <c r="K3085" t="s">
        <v>26012</v>
      </c>
      <c r="L3085">
        <v>314</v>
      </c>
      <c r="M3085" t="s">
        <v>37327</v>
      </c>
      <c r="N3085">
        <v>1</v>
      </c>
      <c r="Q3085" t="s">
        <v>37328</v>
      </c>
      <c r="R3085">
        <v>616.85883200000001</v>
      </c>
      <c r="S3085" t="s">
        <v>37329</v>
      </c>
      <c r="T3085" t="s">
        <v>30</v>
      </c>
      <c r="U3085" t="s">
        <v>26116</v>
      </c>
      <c r="W3085" t="s">
        <v>26009</v>
      </c>
    </row>
    <row r="3086" spans="1:23" x14ac:dyDescent="0.35">
      <c r="A3086">
        <v>690173</v>
      </c>
      <c r="B3086" t="s">
        <v>37330</v>
      </c>
      <c r="C3086" t="str">
        <f>"9781855756748"</f>
        <v>9781855756748</v>
      </c>
      <c r="D3086" t="str">
        <f>"9781849406451"</f>
        <v>9781849406451</v>
      </c>
      <c r="E3086" t="s">
        <v>26010</v>
      </c>
      <c r="F3086" t="s">
        <v>35</v>
      </c>
      <c r="G3086" t="s">
        <v>22174</v>
      </c>
      <c r="H3086" t="s">
        <v>26011</v>
      </c>
      <c r="I3086" s="26">
        <v>39715</v>
      </c>
      <c r="J3086">
        <v>2008</v>
      </c>
      <c r="K3086" t="s">
        <v>26012</v>
      </c>
      <c r="L3086">
        <v>482</v>
      </c>
      <c r="M3086" t="s">
        <v>37331</v>
      </c>
      <c r="N3086">
        <v>1</v>
      </c>
      <c r="Q3086" t="s">
        <v>37332</v>
      </c>
      <c r="R3086">
        <v>618.32000000000005</v>
      </c>
      <c r="S3086" t="s">
        <v>37333</v>
      </c>
      <c r="T3086" t="s">
        <v>30</v>
      </c>
      <c r="U3086" t="s">
        <v>26040</v>
      </c>
      <c r="W3086" t="s">
        <v>26009</v>
      </c>
    </row>
    <row r="3087" spans="1:23" x14ac:dyDescent="0.35">
      <c r="A3087">
        <v>690174</v>
      </c>
      <c r="B3087" t="s">
        <v>37334</v>
      </c>
      <c r="C3087" t="str">
        <f>"9781855755246"</f>
        <v>9781855755246</v>
      </c>
      <c r="D3087" t="str">
        <f>"9781849406758"</f>
        <v>9781849406758</v>
      </c>
      <c r="E3087" t="s">
        <v>26010</v>
      </c>
      <c r="F3087" t="s">
        <v>35</v>
      </c>
      <c r="G3087" t="s">
        <v>26128</v>
      </c>
      <c r="H3087" t="s">
        <v>26011</v>
      </c>
      <c r="I3087" s="26">
        <v>39756</v>
      </c>
      <c r="J3087">
        <v>2008</v>
      </c>
      <c r="K3087" t="s">
        <v>26012</v>
      </c>
      <c r="L3087">
        <v>266</v>
      </c>
      <c r="M3087" t="s">
        <v>37335</v>
      </c>
      <c r="N3087">
        <v>1</v>
      </c>
      <c r="R3087">
        <v>616.89140711000005</v>
      </c>
      <c r="S3087" t="s">
        <v>7661</v>
      </c>
      <c r="T3087" t="s">
        <v>30</v>
      </c>
      <c r="U3087" t="s">
        <v>26040</v>
      </c>
      <c r="W3087" t="s">
        <v>26009</v>
      </c>
    </row>
    <row r="3088" spans="1:23" x14ac:dyDescent="0.35">
      <c r="A3088">
        <v>690175</v>
      </c>
      <c r="B3088" t="s">
        <v>37336</v>
      </c>
      <c r="C3088" t="str">
        <f>"9781855754324"</f>
        <v>9781855754324</v>
      </c>
      <c r="D3088" t="str">
        <f>"9781849405478"</f>
        <v>9781849405478</v>
      </c>
      <c r="E3088" t="s">
        <v>26010</v>
      </c>
      <c r="F3088" t="s">
        <v>35</v>
      </c>
      <c r="G3088" t="s">
        <v>22174</v>
      </c>
      <c r="H3088" t="s">
        <v>26011</v>
      </c>
      <c r="I3088" s="26">
        <v>39447</v>
      </c>
      <c r="J3088">
        <v>2007</v>
      </c>
      <c r="K3088" t="s">
        <v>26012</v>
      </c>
      <c r="L3088">
        <v>479</v>
      </c>
      <c r="M3088" t="s">
        <v>37337</v>
      </c>
      <c r="N3088">
        <v>2</v>
      </c>
      <c r="Q3088" t="s">
        <v>37338</v>
      </c>
      <c r="R3088">
        <v>150.19499999999999</v>
      </c>
      <c r="S3088" t="s">
        <v>37339</v>
      </c>
      <c r="T3088" t="s">
        <v>30</v>
      </c>
      <c r="U3088" t="s">
        <v>26019</v>
      </c>
      <c r="W3088" t="s">
        <v>37340</v>
      </c>
    </row>
    <row r="3089" spans="1:23" x14ac:dyDescent="0.35">
      <c r="A3089">
        <v>690176</v>
      </c>
      <c r="B3089" t="s">
        <v>37341</v>
      </c>
      <c r="C3089" t="str">
        <f>"9781855754867"</f>
        <v>9781855754867</v>
      </c>
      <c r="D3089" t="str">
        <f>"9781849405485"</f>
        <v>9781849405485</v>
      </c>
      <c r="E3089" t="s">
        <v>26010</v>
      </c>
      <c r="F3089" t="s">
        <v>35</v>
      </c>
      <c r="G3089" t="s">
        <v>22174</v>
      </c>
      <c r="H3089" t="s">
        <v>26011</v>
      </c>
      <c r="I3089" s="26">
        <v>39447</v>
      </c>
      <c r="J3089">
        <v>2007</v>
      </c>
      <c r="K3089" t="s">
        <v>26012</v>
      </c>
      <c r="L3089">
        <v>299</v>
      </c>
      <c r="M3089" t="s">
        <v>37342</v>
      </c>
      <c r="N3089">
        <v>1</v>
      </c>
      <c r="Q3089" t="s">
        <v>37343</v>
      </c>
      <c r="R3089">
        <v>618.92858820000004</v>
      </c>
      <c r="S3089" t="s">
        <v>37344</v>
      </c>
      <c r="T3089" t="s">
        <v>30</v>
      </c>
      <c r="U3089" t="s">
        <v>26116</v>
      </c>
      <c r="W3089" t="s">
        <v>26009</v>
      </c>
    </row>
    <row r="3090" spans="1:23" x14ac:dyDescent="0.35">
      <c r="A3090">
        <v>690177</v>
      </c>
      <c r="B3090" t="s">
        <v>37345</v>
      </c>
      <c r="C3090" t="str">
        <f>"9781855754614"</f>
        <v>9781855754614</v>
      </c>
      <c r="D3090" t="str">
        <f>"9781849405508"</f>
        <v>9781849405508</v>
      </c>
      <c r="E3090" t="s">
        <v>26010</v>
      </c>
      <c r="F3090" t="s">
        <v>35</v>
      </c>
      <c r="G3090" t="s">
        <v>22174</v>
      </c>
      <c r="H3090" t="s">
        <v>26011</v>
      </c>
      <c r="I3090" s="26">
        <v>39111</v>
      </c>
      <c r="J3090">
        <v>2007</v>
      </c>
      <c r="K3090" t="s">
        <v>26012</v>
      </c>
      <c r="L3090">
        <v>217</v>
      </c>
      <c r="M3090" t="s">
        <v>37346</v>
      </c>
      <c r="N3090">
        <v>1</v>
      </c>
      <c r="Q3090" t="s">
        <v>37347</v>
      </c>
      <c r="R3090">
        <v>305.90691409420998</v>
      </c>
      <c r="S3090" t="s">
        <v>37348</v>
      </c>
      <c r="T3090" t="s">
        <v>30</v>
      </c>
      <c r="U3090" t="s">
        <v>29407</v>
      </c>
      <c r="W3090" t="s">
        <v>26009</v>
      </c>
    </row>
    <row r="3091" spans="1:23" x14ac:dyDescent="0.35">
      <c r="A3091">
        <v>690179</v>
      </c>
      <c r="B3091" t="s">
        <v>37349</v>
      </c>
      <c r="C3091" t="str">
        <f>"9781855755857"</f>
        <v>9781855755857</v>
      </c>
      <c r="D3091" t="str">
        <f>"9781849405522"</f>
        <v>9781849405522</v>
      </c>
      <c r="E3091" t="s">
        <v>26010</v>
      </c>
      <c r="F3091" t="s">
        <v>35</v>
      </c>
      <c r="G3091" t="s">
        <v>22174</v>
      </c>
      <c r="H3091" t="s">
        <v>26011</v>
      </c>
      <c r="I3091" s="26">
        <v>39276</v>
      </c>
      <c r="J3091">
        <v>2007</v>
      </c>
      <c r="K3091" t="s">
        <v>26012</v>
      </c>
      <c r="L3091">
        <v>318</v>
      </c>
      <c r="M3091" t="s">
        <v>37350</v>
      </c>
      <c r="N3091">
        <v>1</v>
      </c>
      <c r="Q3091" t="s">
        <v>37351</v>
      </c>
      <c r="R3091">
        <v>616.89170000000001</v>
      </c>
      <c r="S3091" t="s">
        <v>37352</v>
      </c>
      <c r="T3091" t="s">
        <v>30</v>
      </c>
      <c r="U3091" t="s">
        <v>26116</v>
      </c>
      <c r="W3091" t="s">
        <v>26009</v>
      </c>
    </row>
    <row r="3092" spans="1:23" x14ac:dyDescent="0.35">
      <c r="A3092">
        <v>690180</v>
      </c>
      <c r="B3092" t="s">
        <v>37353</v>
      </c>
      <c r="C3092" t="str">
        <f>"9781855754874"</f>
        <v>9781855754874</v>
      </c>
      <c r="D3092" t="str">
        <f>"9781849405539"</f>
        <v>9781849405539</v>
      </c>
      <c r="E3092" t="s">
        <v>26010</v>
      </c>
      <c r="F3092" t="s">
        <v>35</v>
      </c>
      <c r="G3092" t="s">
        <v>22174</v>
      </c>
      <c r="H3092" t="s">
        <v>26011</v>
      </c>
      <c r="I3092" s="26">
        <v>39447</v>
      </c>
      <c r="J3092">
        <v>2007</v>
      </c>
      <c r="K3092" t="s">
        <v>26012</v>
      </c>
      <c r="L3092">
        <v>257</v>
      </c>
      <c r="M3092" t="s">
        <v>37354</v>
      </c>
      <c r="N3092">
        <v>1</v>
      </c>
      <c r="O3092" t="s">
        <v>36505</v>
      </c>
      <c r="Q3092" t="s">
        <v>37355</v>
      </c>
      <c r="R3092">
        <v>616.89156000000003</v>
      </c>
      <c r="S3092" t="s">
        <v>37356</v>
      </c>
      <c r="T3092" t="s">
        <v>30</v>
      </c>
      <c r="U3092" t="s">
        <v>26019</v>
      </c>
      <c r="W3092" t="s">
        <v>26009</v>
      </c>
    </row>
    <row r="3093" spans="1:23" x14ac:dyDescent="0.35">
      <c r="A3093">
        <v>690182</v>
      </c>
      <c r="B3093" t="s">
        <v>37357</v>
      </c>
      <c r="C3093" t="str">
        <f>"9781855759831"</f>
        <v>9781855759831</v>
      </c>
      <c r="D3093" t="str">
        <f>"9780429924361"</f>
        <v>9780429924361</v>
      </c>
      <c r="E3093" t="s">
        <v>26010</v>
      </c>
      <c r="F3093" t="s">
        <v>35</v>
      </c>
      <c r="G3093" t="s">
        <v>26128</v>
      </c>
      <c r="H3093" t="s">
        <v>26011</v>
      </c>
      <c r="I3093" s="26">
        <v>39447</v>
      </c>
      <c r="J3093">
        <v>2007</v>
      </c>
      <c r="K3093" t="s">
        <v>26012</v>
      </c>
      <c r="L3093">
        <v>192</v>
      </c>
      <c r="M3093" t="s">
        <v>37358</v>
      </c>
      <c r="N3093">
        <v>1</v>
      </c>
      <c r="R3093">
        <v>154.19999999999999</v>
      </c>
      <c r="S3093" t="s">
        <v>11095</v>
      </c>
      <c r="T3093" t="s">
        <v>30</v>
      </c>
      <c r="U3093" t="s">
        <v>46</v>
      </c>
      <c r="W3093" t="s">
        <v>26009</v>
      </c>
    </row>
    <row r="3094" spans="1:23" x14ac:dyDescent="0.35">
      <c r="A3094">
        <v>690183</v>
      </c>
      <c r="B3094" t="s">
        <v>37359</v>
      </c>
      <c r="C3094" t="str">
        <f>"9781855755604"</f>
        <v>9781855755604</v>
      </c>
      <c r="D3094" t="str">
        <f>"9781849405577"</f>
        <v>9781849405577</v>
      </c>
      <c r="E3094" t="s">
        <v>26010</v>
      </c>
      <c r="F3094" t="s">
        <v>35</v>
      </c>
      <c r="G3094" t="s">
        <v>22174</v>
      </c>
      <c r="H3094" t="s">
        <v>26011</v>
      </c>
      <c r="I3094" s="26">
        <v>39447</v>
      </c>
      <c r="J3094">
        <v>2007</v>
      </c>
      <c r="K3094" t="s">
        <v>26012</v>
      </c>
      <c r="L3094">
        <v>289</v>
      </c>
      <c r="M3094" t="s">
        <v>37360</v>
      </c>
      <c r="N3094">
        <v>1</v>
      </c>
      <c r="O3094" t="s">
        <v>36505</v>
      </c>
      <c r="Q3094" t="s">
        <v>37361</v>
      </c>
      <c r="R3094">
        <v>616.89139999999998</v>
      </c>
      <c r="S3094" t="s">
        <v>37362</v>
      </c>
      <c r="T3094" t="s">
        <v>30</v>
      </c>
      <c r="U3094" t="s">
        <v>26116</v>
      </c>
      <c r="W3094" t="s">
        <v>26009</v>
      </c>
    </row>
    <row r="3095" spans="1:23" x14ac:dyDescent="0.35">
      <c r="A3095">
        <v>690187</v>
      </c>
      <c r="B3095" t="s">
        <v>10149</v>
      </c>
      <c r="C3095" t="str">
        <f>"9781855753938"</f>
        <v>9781855753938</v>
      </c>
      <c r="D3095" t="str">
        <f>"9781849405614"</f>
        <v>9781849405614</v>
      </c>
      <c r="E3095" t="s">
        <v>26010</v>
      </c>
      <c r="F3095" t="s">
        <v>35</v>
      </c>
      <c r="G3095" t="s">
        <v>22174</v>
      </c>
      <c r="H3095" t="s">
        <v>26011</v>
      </c>
      <c r="I3095" s="26">
        <v>39402</v>
      </c>
      <c r="J3095">
        <v>2007</v>
      </c>
      <c r="K3095" t="s">
        <v>26012</v>
      </c>
      <c r="L3095">
        <v>147</v>
      </c>
      <c r="M3095" t="s">
        <v>37363</v>
      </c>
      <c r="N3095">
        <v>1</v>
      </c>
      <c r="O3095" t="s">
        <v>37364</v>
      </c>
      <c r="Q3095" t="s">
        <v>37365</v>
      </c>
      <c r="R3095">
        <v>616.89139999999998</v>
      </c>
      <c r="S3095" t="s">
        <v>37366</v>
      </c>
      <c r="T3095" t="s">
        <v>30</v>
      </c>
      <c r="U3095" t="s">
        <v>26019</v>
      </c>
      <c r="W3095" t="s">
        <v>26009</v>
      </c>
    </row>
    <row r="3096" spans="1:23" x14ac:dyDescent="0.35">
      <c r="A3096">
        <v>690188</v>
      </c>
      <c r="B3096" t="s">
        <v>37367</v>
      </c>
      <c r="C3096" t="str">
        <f>"9781855754294"</f>
        <v>9781855754294</v>
      </c>
      <c r="D3096" t="str">
        <f>"9781849405621"</f>
        <v>9781849405621</v>
      </c>
      <c r="E3096" t="s">
        <v>26010</v>
      </c>
      <c r="F3096" t="s">
        <v>35</v>
      </c>
      <c r="G3096" t="s">
        <v>26128</v>
      </c>
      <c r="H3096" t="s">
        <v>26011</v>
      </c>
      <c r="I3096" s="26">
        <v>39398</v>
      </c>
      <c r="J3096">
        <v>2007</v>
      </c>
      <c r="K3096" t="s">
        <v>26012</v>
      </c>
      <c r="L3096">
        <v>230</v>
      </c>
      <c r="M3096" t="s">
        <v>37368</v>
      </c>
      <c r="N3096">
        <v>1</v>
      </c>
      <c r="S3096" t="s">
        <v>37369</v>
      </c>
      <c r="T3096" t="s">
        <v>30</v>
      </c>
      <c r="U3096" t="s">
        <v>46</v>
      </c>
      <c r="W3096" t="s">
        <v>26009</v>
      </c>
    </row>
    <row r="3097" spans="1:23" x14ac:dyDescent="0.35">
      <c r="A3097">
        <v>690189</v>
      </c>
      <c r="B3097" t="s">
        <v>37370</v>
      </c>
      <c r="C3097" t="str">
        <f>"9781855754676"</f>
        <v>9781855754676</v>
      </c>
      <c r="D3097" t="str">
        <f>"9781849405638"</f>
        <v>9781849405638</v>
      </c>
      <c r="E3097" t="s">
        <v>26010</v>
      </c>
      <c r="F3097" t="s">
        <v>35</v>
      </c>
      <c r="G3097" t="s">
        <v>22174</v>
      </c>
      <c r="H3097" t="s">
        <v>26011</v>
      </c>
      <c r="I3097" s="26">
        <v>39117</v>
      </c>
      <c r="J3097">
        <v>2007</v>
      </c>
      <c r="K3097" t="s">
        <v>26012</v>
      </c>
      <c r="L3097">
        <v>193</v>
      </c>
      <c r="M3097" t="s">
        <v>37371</v>
      </c>
      <c r="N3097">
        <v>1</v>
      </c>
      <c r="O3097" t="s">
        <v>37304</v>
      </c>
      <c r="Q3097" t="s">
        <v>37372</v>
      </c>
      <c r="R3097">
        <v>150.19499999999999</v>
      </c>
      <c r="S3097" t="s">
        <v>37339</v>
      </c>
      <c r="T3097" t="s">
        <v>30</v>
      </c>
      <c r="U3097" t="s">
        <v>46</v>
      </c>
      <c r="W3097" t="s">
        <v>26009</v>
      </c>
    </row>
    <row r="3098" spans="1:23" x14ac:dyDescent="0.35">
      <c r="A3098">
        <v>690190</v>
      </c>
      <c r="B3098" t="s">
        <v>10231</v>
      </c>
      <c r="C3098" t="str">
        <f>"9781855754034"</f>
        <v>9781855754034</v>
      </c>
      <c r="D3098" t="str">
        <f>"9781849405645"</f>
        <v>9781849405645</v>
      </c>
      <c r="E3098" t="s">
        <v>26010</v>
      </c>
      <c r="F3098" t="s">
        <v>35</v>
      </c>
      <c r="G3098" t="s">
        <v>22174</v>
      </c>
      <c r="H3098" t="s">
        <v>26011</v>
      </c>
      <c r="I3098" s="26">
        <v>39226</v>
      </c>
      <c r="J3098">
        <v>2007</v>
      </c>
      <c r="K3098" t="s">
        <v>26012</v>
      </c>
      <c r="L3098">
        <v>392</v>
      </c>
      <c r="M3098" t="s">
        <v>37373</v>
      </c>
      <c r="N3098">
        <v>1</v>
      </c>
      <c r="Q3098" t="s">
        <v>37374</v>
      </c>
      <c r="R3098">
        <v>150.19540000000001</v>
      </c>
      <c r="S3098" t="s">
        <v>37375</v>
      </c>
      <c r="T3098" t="s">
        <v>30</v>
      </c>
      <c r="U3098" t="s">
        <v>46</v>
      </c>
      <c r="W3098" t="s">
        <v>26009</v>
      </c>
    </row>
    <row r="3099" spans="1:23" x14ac:dyDescent="0.35">
      <c r="A3099">
        <v>690191</v>
      </c>
      <c r="B3099" t="s">
        <v>8469</v>
      </c>
      <c r="C3099" t="str">
        <f>"9781855755369"</f>
        <v>9781855755369</v>
      </c>
      <c r="D3099" t="str">
        <f>"9781849405652"</f>
        <v>9781849405652</v>
      </c>
      <c r="E3099" t="s">
        <v>26010</v>
      </c>
      <c r="F3099" t="s">
        <v>35</v>
      </c>
      <c r="G3099" t="s">
        <v>22174</v>
      </c>
      <c r="H3099" t="s">
        <v>26011</v>
      </c>
      <c r="I3099" s="26">
        <v>39435</v>
      </c>
      <c r="J3099">
        <v>2008</v>
      </c>
      <c r="K3099" t="s">
        <v>26012</v>
      </c>
      <c r="L3099">
        <v>232</v>
      </c>
      <c r="M3099" t="s">
        <v>37376</v>
      </c>
      <c r="N3099">
        <v>1</v>
      </c>
      <c r="Q3099" t="s">
        <v>37377</v>
      </c>
      <c r="R3099">
        <v>150.1952</v>
      </c>
      <c r="S3099" t="s">
        <v>37378</v>
      </c>
      <c r="T3099" t="s">
        <v>30</v>
      </c>
      <c r="U3099" t="s">
        <v>46</v>
      </c>
      <c r="W3099" t="s">
        <v>26009</v>
      </c>
    </row>
    <row r="3100" spans="1:23" x14ac:dyDescent="0.35">
      <c r="A3100">
        <v>690193</v>
      </c>
      <c r="B3100" t="s">
        <v>37379</v>
      </c>
      <c r="C3100" t="str">
        <f>"9781855754478"</f>
        <v>9781855754478</v>
      </c>
      <c r="D3100" t="str">
        <f>"9781849405669"</f>
        <v>9781849405669</v>
      </c>
      <c r="E3100" t="s">
        <v>26010</v>
      </c>
      <c r="F3100" t="s">
        <v>35</v>
      </c>
      <c r="G3100" t="s">
        <v>22174</v>
      </c>
      <c r="H3100" t="s">
        <v>26011</v>
      </c>
      <c r="I3100" s="26">
        <v>39268</v>
      </c>
      <c r="J3100">
        <v>2007</v>
      </c>
      <c r="K3100" t="s">
        <v>26012</v>
      </c>
      <c r="L3100">
        <v>366</v>
      </c>
      <c r="M3100" t="s">
        <v>37380</v>
      </c>
      <c r="N3100">
        <v>1</v>
      </c>
      <c r="O3100" t="s">
        <v>36500</v>
      </c>
      <c r="Q3100" t="s">
        <v>37381</v>
      </c>
      <c r="R3100">
        <v>618.97689170000001</v>
      </c>
      <c r="S3100" t="s">
        <v>37382</v>
      </c>
      <c r="T3100" t="s">
        <v>30</v>
      </c>
      <c r="U3100" t="s">
        <v>26019</v>
      </c>
      <c r="W3100" t="s">
        <v>26009</v>
      </c>
    </row>
    <row r="3101" spans="1:23" x14ac:dyDescent="0.35">
      <c r="A3101">
        <v>690194</v>
      </c>
      <c r="B3101" t="s">
        <v>7975</v>
      </c>
      <c r="C3101" t="str">
        <f>"9781855755505"</f>
        <v>9781855755505</v>
      </c>
      <c r="D3101" t="str">
        <f>"9781849405690"</f>
        <v>9781849405690</v>
      </c>
      <c r="E3101" t="s">
        <v>26010</v>
      </c>
      <c r="F3101" t="s">
        <v>35</v>
      </c>
      <c r="G3101" t="s">
        <v>22174</v>
      </c>
      <c r="H3101" t="s">
        <v>26011</v>
      </c>
      <c r="I3101" s="26">
        <v>39402</v>
      </c>
      <c r="J3101">
        <v>2007</v>
      </c>
      <c r="K3101" t="s">
        <v>26012</v>
      </c>
      <c r="L3101">
        <v>152</v>
      </c>
      <c r="M3101" t="s">
        <v>37383</v>
      </c>
      <c r="N3101">
        <v>1</v>
      </c>
      <c r="Q3101" t="s">
        <v>37384</v>
      </c>
      <c r="R3101">
        <v>150.19509199999999</v>
      </c>
      <c r="S3101" t="s">
        <v>37385</v>
      </c>
      <c r="T3101" t="s">
        <v>30</v>
      </c>
      <c r="U3101" t="s">
        <v>46</v>
      </c>
      <c r="W3101" t="s">
        <v>26009</v>
      </c>
    </row>
    <row r="3102" spans="1:23" x14ac:dyDescent="0.35">
      <c r="A3102">
        <v>690195</v>
      </c>
      <c r="B3102" t="s">
        <v>37386</v>
      </c>
      <c r="C3102" t="str">
        <f>"9781855754539"</f>
        <v>9781855754539</v>
      </c>
      <c r="D3102" t="str">
        <f>"9781849405706"</f>
        <v>9781849405706</v>
      </c>
      <c r="E3102" t="s">
        <v>26010</v>
      </c>
      <c r="F3102" t="s">
        <v>35</v>
      </c>
      <c r="G3102" t="s">
        <v>22174</v>
      </c>
      <c r="H3102" t="s">
        <v>26011</v>
      </c>
      <c r="I3102" s="26">
        <v>39142</v>
      </c>
      <c r="J3102">
        <v>2007</v>
      </c>
      <c r="K3102" t="s">
        <v>26012</v>
      </c>
      <c r="L3102">
        <v>242</v>
      </c>
      <c r="M3102" t="s">
        <v>37387</v>
      </c>
      <c r="N3102">
        <v>1</v>
      </c>
      <c r="Q3102" t="s">
        <v>37388</v>
      </c>
      <c r="R3102">
        <v>616.85853999999995</v>
      </c>
      <c r="S3102" t="s">
        <v>37389</v>
      </c>
      <c r="T3102" t="s">
        <v>30</v>
      </c>
      <c r="U3102" t="s">
        <v>26019</v>
      </c>
      <c r="W3102" t="s">
        <v>26009</v>
      </c>
    </row>
    <row r="3103" spans="1:23" x14ac:dyDescent="0.35">
      <c r="A3103">
        <v>690196</v>
      </c>
      <c r="B3103" t="s">
        <v>37390</v>
      </c>
      <c r="C3103" t="str">
        <f>"9781855755710"</f>
        <v>9781855755710</v>
      </c>
      <c r="D3103" t="str">
        <f>"9781849405713"</f>
        <v>9781849405713</v>
      </c>
      <c r="E3103" t="s">
        <v>26010</v>
      </c>
      <c r="F3103" t="s">
        <v>35</v>
      </c>
      <c r="G3103" t="s">
        <v>26128</v>
      </c>
      <c r="H3103" t="s">
        <v>26011</v>
      </c>
      <c r="I3103" s="26">
        <v>39304</v>
      </c>
      <c r="J3103">
        <v>2007</v>
      </c>
      <c r="K3103" t="s">
        <v>26012</v>
      </c>
      <c r="L3103">
        <v>240</v>
      </c>
      <c r="M3103" t="s">
        <v>37391</v>
      </c>
      <c r="N3103">
        <v>1</v>
      </c>
      <c r="R3103">
        <v>150.19820000000001</v>
      </c>
      <c r="S3103" t="s">
        <v>7728</v>
      </c>
      <c r="T3103" t="s">
        <v>30</v>
      </c>
      <c r="U3103" t="s">
        <v>46</v>
      </c>
      <c r="W3103" t="s">
        <v>26009</v>
      </c>
    </row>
    <row r="3104" spans="1:23" x14ac:dyDescent="0.35">
      <c r="A3104">
        <v>690197</v>
      </c>
      <c r="B3104" t="s">
        <v>37392</v>
      </c>
      <c r="C3104" t="str">
        <f>"9781855754096"</f>
        <v>9781855754096</v>
      </c>
      <c r="D3104" t="str">
        <f>"9781849405720"</f>
        <v>9781849405720</v>
      </c>
      <c r="E3104" t="s">
        <v>26010</v>
      </c>
      <c r="F3104" t="s">
        <v>35</v>
      </c>
      <c r="G3104" t="s">
        <v>26128</v>
      </c>
      <c r="H3104" t="s">
        <v>26011</v>
      </c>
      <c r="I3104" s="26">
        <v>39420</v>
      </c>
      <c r="J3104">
        <v>2007</v>
      </c>
      <c r="K3104" t="s">
        <v>26012</v>
      </c>
      <c r="L3104">
        <v>253</v>
      </c>
      <c r="M3104" t="s">
        <v>37393</v>
      </c>
      <c r="N3104">
        <v>1</v>
      </c>
      <c r="Q3104" t="s">
        <v>37394</v>
      </c>
      <c r="R3104">
        <v>155.333</v>
      </c>
      <c r="S3104" t="s">
        <v>37395</v>
      </c>
      <c r="T3104" t="s">
        <v>30</v>
      </c>
      <c r="U3104" t="s">
        <v>46</v>
      </c>
      <c r="W3104" t="s">
        <v>26009</v>
      </c>
    </row>
    <row r="3105" spans="1:23" x14ac:dyDescent="0.35">
      <c r="A3105">
        <v>690198</v>
      </c>
      <c r="B3105" t="s">
        <v>37396</v>
      </c>
      <c r="C3105" t="str">
        <f>"9781855754195"</f>
        <v>9781855754195</v>
      </c>
      <c r="D3105" t="str">
        <f>"9781849405744"</f>
        <v>9781849405744</v>
      </c>
      <c r="E3105" t="s">
        <v>26010</v>
      </c>
      <c r="F3105" t="s">
        <v>35</v>
      </c>
      <c r="G3105" t="s">
        <v>26128</v>
      </c>
      <c r="H3105" t="s">
        <v>26011</v>
      </c>
      <c r="I3105" s="26">
        <v>39276</v>
      </c>
      <c r="J3105">
        <v>2007</v>
      </c>
      <c r="K3105" t="s">
        <v>26012</v>
      </c>
      <c r="L3105">
        <v>301</v>
      </c>
      <c r="M3105" t="s">
        <v>37397</v>
      </c>
      <c r="N3105">
        <v>1</v>
      </c>
      <c r="R3105">
        <v>618.92891655999995</v>
      </c>
      <c r="S3105" t="s">
        <v>37398</v>
      </c>
      <c r="T3105" t="s">
        <v>30</v>
      </c>
      <c r="U3105" t="s">
        <v>26040</v>
      </c>
      <c r="W3105" t="s">
        <v>26009</v>
      </c>
    </row>
    <row r="3106" spans="1:23" x14ac:dyDescent="0.35">
      <c r="A3106">
        <v>690199</v>
      </c>
      <c r="B3106" t="s">
        <v>37399</v>
      </c>
      <c r="C3106" t="str">
        <f>"9781855754966"</f>
        <v>9781855754966</v>
      </c>
      <c r="D3106" t="str">
        <f>"9781849405751"</f>
        <v>9781849405751</v>
      </c>
      <c r="E3106" t="s">
        <v>26010</v>
      </c>
      <c r="F3106" t="s">
        <v>35</v>
      </c>
      <c r="G3106" t="s">
        <v>22174</v>
      </c>
      <c r="H3106" t="s">
        <v>26011</v>
      </c>
      <c r="I3106" s="26">
        <v>39233</v>
      </c>
      <c r="J3106">
        <v>2007</v>
      </c>
      <c r="K3106" t="s">
        <v>26012</v>
      </c>
      <c r="L3106">
        <v>190</v>
      </c>
      <c r="M3106" t="s">
        <v>37400</v>
      </c>
      <c r="N3106">
        <v>1</v>
      </c>
      <c r="Q3106" t="s">
        <v>37401</v>
      </c>
      <c r="R3106">
        <v>150.19499999999999</v>
      </c>
      <c r="S3106" t="s">
        <v>37402</v>
      </c>
      <c r="T3106" t="s">
        <v>30</v>
      </c>
      <c r="U3106" t="s">
        <v>46</v>
      </c>
      <c r="W3106" t="s">
        <v>26009</v>
      </c>
    </row>
    <row r="3107" spans="1:23" x14ac:dyDescent="0.35">
      <c r="A3107">
        <v>690201</v>
      </c>
      <c r="B3107" t="s">
        <v>37403</v>
      </c>
      <c r="C3107" t="str">
        <f>"9781855755062"</f>
        <v>9781855755062</v>
      </c>
      <c r="D3107" t="str">
        <f>"9781849405768"</f>
        <v>9781849405768</v>
      </c>
      <c r="E3107" t="s">
        <v>26010</v>
      </c>
      <c r="F3107" t="s">
        <v>35</v>
      </c>
      <c r="G3107" t="s">
        <v>22174</v>
      </c>
      <c r="H3107" t="s">
        <v>26011</v>
      </c>
      <c r="I3107" s="26">
        <v>39276</v>
      </c>
      <c r="J3107">
        <v>2007</v>
      </c>
      <c r="K3107" t="s">
        <v>26012</v>
      </c>
      <c r="L3107">
        <v>248</v>
      </c>
      <c r="M3107" t="s">
        <v>36934</v>
      </c>
      <c r="N3107">
        <v>1</v>
      </c>
      <c r="Q3107" t="s">
        <v>37404</v>
      </c>
      <c r="R3107">
        <v>616.89140159999999</v>
      </c>
      <c r="S3107" t="s">
        <v>37405</v>
      </c>
      <c r="T3107" t="s">
        <v>30</v>
      </c>
      <c r="U3107" t="s">
        <v>26116</v>
      </c>
      <c r="W3107" t="s">
        <v>26009</v>
      </c>
    </row>
    <row r="3108" spans="1:23" x14ac:dyDescent="0.35">
      <c r="A3108">
        <v>690203</v>
      </c>
      <c r="B3108" t="s">
        <v>8807</v>
      </c>
      <c r="C3108" t="str">
        <f>"9781855754935"</f>
        <v>9781855754935</v>
      </c>
      <c r="D3108" t="str">
        <f>"9781849405799"</f>
        <v>9781849405799</v>
      </c>
      <c r="E3108" t="s">
        <v>26010</v>
      </c>
      <c r="F3108" t="s">
        <v>35</v>
      </c>
      <c r="G3108" t="s">
        <v>26128</v>
      </c>
      <c r="H3108" t="s">
        <v>26011</v>
      </c>
      <c r="I3108" s="26">
        <v>39220</v>
      </c>
      <c r="J3108">
        <v>2007</v>
      </c>
      <c r="K3108" t="s">
        <v>26012</v>
      </c>
      <c r="L3108">
        <v>280</v>
      </c>
      <c r="M3108" t="s">
        <v>37406</v>
      </c>
      <c r="N3108">
        <v>1</v>
      </c>
      <c r="R3108">
        <v>154.63</v>
      </c>
      <c r="S3108" t="s">
        <v>37407</v>
      </c>
      <c r="T3108" t="s">
        <v>30</v>
      </c>
      <c r="U3108" t="s">
        <v>46</v>
      </c>
      <c r="W3108" t="s">
        <v>26009</v>
      </c>
    </row>
    <row r="3109" spans="1:23" x14ac:dyDescent="0.35">
      <c r="A3109">
        <v>690204</v>
      </c>
      <c r="B3109" t="s">
        <v>37408</v>
      </c>
      <c r="C3109" t="str">
        <f>"9781855754522"</f>
        <v>9781855754522</v>
      </c>
      <c r="D3109" t="str">
        <f>"9781849405805"</f>
        <v>9781849405805</v>
      </c>
      <c r="E3109" t="s">
        <v>26010</v>
      </c>
      <c r="F3109" t="s">
        <v>35</v>
      </c>
      <c r="G3109" t="s">
        <v>22174</v>
      </c>
      <c r="H3109" t="s">
        <v>26011</v>
      </c>
      <c r="I3109" s="26">
        <v>39393</v>
      </c>
      <c r="J3109">
        <v>2007</v>
      </c>
      <c r="K3109" t="s">
        <v>26012</v>
      </c>
      <c r="L3109">
        <v>290</v>
      </c>
      <c r="M3109" t="s">
        <v>37409</v>
      </c>
      <c r="N3109">
        <v>1</v>
      </c>
      <c r="Q3109" t="s">
        <v>37410</v>
      </c>
      <c r="R3109">
        <v>616.89156200000002</v>
      </c>
      <c r="S3109" t="s">
        <v>37411</v>
      </c>
      <c r="T3109" t="s">
        <v>30</v>
      </c>
      <c r="U3109" t="s">
        <v>26019</v>
      </c>
      <c r="W3109" t="s">
        <v>26009</v>
      </c>
    </row>
    <row r="3110" spans="1:23" x14ac:dyDescent="0.35">
      <c r="A3110">
        <v>690205</v>
      </c>
      <c r="B3110" t="s">
        <v>37412</v>
      </c>
      <c r="C3110" t="str">
        <f>"9781855754737"</f>
        <v>9781855754737</v>
      </c>
      <c r="D3110" t="str">
        <f>"9781849405829"</f>
        <v>9781849405829</v>
      </c>
      <c r="E3110" t="s">
        <v>26010</v>
      </c>
      <c r="F3110" t="s">
        <v>35</v>
      </c>
      <c r="G3110" t="s">
        <v>22174</v>
      </c>
      <c r="H3110" t="s">
        <v>26011</v>
      </c>
      <c r="I3110" s="26">
        <v>39265</v>
      </c>
      <c r="J3110">
        <v>2007</v>
      </c>
      <c r="K3110" t="s">
        <v>26012</v>
      </c>
      <c r="L3110">
        <v>264</v>
      </c>
      <c r="M3110" t="s">
        <v>32439</v>
      </c>
      <c r="N3110">
        <v>1</v>
      </c>
      <c r="O3110" t="s">
        <v>36510</v>
      </c>
      <c r="Q3110" t="s">
        <v>37413</v>
      </c>
      <c r="R3110">
        <v>616.89140715500002</v>
      </c>
      <c r="S3110" t="s">
        <v>37414</v>
      </c>
      <c r="T3110" t="s">
        <v>30</v>
      </c>
      <c r="U3110" t="s">
        <v>26019</v>
      </c>
      <c r="W3110" t="s">
        <v>26009</v>
      </c>
    </row>
    <row r="3111" spans="1:23" x14ac:dyDescent="0.35">
      <c r="A3111">
        <v>690206</v>
      </c>
      <c r="B3111" t="s">
        <v>37415</v>
      </c>
      <c r="C3111" t="str">
        <f>"9781855754409"</f>
        <v>9781855754409</v>
      </c>
      <c r="D3111" t="str">
        <f>"9780429912658"</f>
        <v>9780429912658</v>
      </c>
      <c r="E3111" t="s">
        <v>26010</v>
      </c>
      <c r="F3111" t="s">
        <v>35</v>
      </c>
      <c r="G3111" t="s">
        <v>22174</v>
      </c>
      <c r="H3111" t="s">
        <v>26011</v>
      </c>
      <c r="I3111" s="26">
        <v>39447</v>
      </c>
      <c r="J3111">
        <v>2007</v>
      </c>
      <c r="K3111" t="s">
        <v>26012</v>
      </c>
      <c r="L3111">
        <v>621</v>
      </c>
      <c r="M3111" t="s">
        <v>37416</v>
      </c>
      <c r="N3111">
        <v>1</v>
      </c>
      <c r="O3111" t="s">
        <v>36547</v>
      </c>
      <c r="Q3111" t="s">
        <v>37417</v>
      </c>
      <c r="R3111">
        <v>618.9289</v>
      </c>
      <c r="S3111" t="s">
        <v>37418</v>
      </c>
      <c r="T3111" t="s">
        <v>30</v>
      </c>
      <c r="U3111" t="s">
        <v>26116</v>
      </c>
      <c r="W3111" t="s">
        <v>26009</v>
      </c>
    </row>
    <row r="3112" spans="1:23" x14ac:dyDescent="0.35">
      <c r="A3112">
        <v>690208</v>
      </c>
      <c r="B3112" t="s">
        <v>8970</v>
      </c>
      <c r="C3112" t="str">
        <f>"9781855754959"</f>
        <v>9781855754959</v>
      </c>
      <c r="D3112" t="str">
        <f>"9780429915642"</f>
        <v>9780429915642</v>
      </c>
      <c r="E3112" t="s">
        <v>26010</v>
      </c>
      <c r="F3112" t="s">
        <v>35</v>
      </c>
      <c r="G3112" t="s">
        <v>26128</v>
      </c>
      <c r="H3112" t="s">
        <v>26011</v>
      </c>
      <c r="I3112" s="26">
        <v>39447</v>
      </c>
      <c r="J3112">
        <v>2007</v>
      </c>
      <c r="K3112" t="s">
        <v>26012</v>
      </c>
      <c r="L3112">
        <v>271</v>
      </c>
      <c r="M3112" t="s">
        <v>37419</v>
      </c>
      <c r="N3112">
        <v>1</v>
      </c>
      <c r="S3112" t="s">
        <v>37420</v>
      </c>
      <c r="T3112" t="s">
        <v>30</v>
      </c>
      <c r="U3112" t="s">
        <v>46</v>
      </c>
      <c r="W3112" t="s">
        <v>26009</v>
      </c>
    </row>
    <row r="3113" spans="1:23" x14ac:dyDescent="0.35">
      <c r="A3113">
        <v>690209</v>
      </c>
      <c r="B3113" t="s">
        <v>7506</v>
      </c>
      <c r="C3113" t="str">
        <f>"9781855754379"</f>
        <v>9781855754379</v>
      </c>
      <c r="D3113" t="str">
        <f>"9781849405867"</f>
        <v>9781849405867</v>
      </c>
      <c r="E3113" t="s">
        <v>26010</v>
      </c>
      <c r="F3113" t="s">
        <v>35</v>
      </c>
      <c r="G3113" t="s">
        <v>22174</v>
      </c>
      <c r="H3113" t="s">
        <v>26011</v>
      </c>
      <c r="I3113" s="26">
        <v>39084</v>
      </c>
      <c r="J3113">
        <v>2007</v>
      </c>
      <c r="K3113" t="s">
        <v>26012</v>
      </c>
      <c r="L3113">
        <v>380</v>
      </c>
      <c r="M3113" t="s">
        <v>37421</v>
      </c>
      <c r="N3113">
        <v>1</v>
      </c>
      <c r="Q3113" t="s">
        <v>37422</v>
      </c>
      <c r="R3113">
        <v>616.89139999999998</v>
      </c>
      <c r="S3113" t="s">
        <v>37423</v>
      </c>
      <c r="T3113" t="s">
        <v>30</v>
      </c>
      <c r="U3113" t="s">
        <v>26116</v>
      </c>
      <c r="W3113" t="s">
        <v>26009</v>
      </c>
    </row>
    <row r="3114" spans="1:23" x14ac:dyDescent="0.35">
      <c r="A3114">
        <v>690210</v>
      </c>
      <c r="B3114" t="s">
        <v>37424</v>
      </c>
      <c r="C3114" t="str">
        <f>"9781855755567"</f>
        <v>9781855755567</v>
      </c>
      <c r="D3114" t="str">
        <f>"9781849405874"</f>
        <v>9781849405874</v>
      </c>
      <c r="E3114" t="s">
        <v>26010</v>
      </c>
      <c r="F3114" t="s">
        <v>35</v>
      </c>
      <c r="G3114" t="s">
        <v>22174</v>
      </c>
      <c r="H3114" t="s">
        <v>26011</v>
      </c>
      <c r="I3114" s="26">
        <v>39416</v>
      </c>
      <c r="J3114">
        <v>2007</v>
      </c>
      <c r="K3114" t="s">
        <v>26012</v>
      </c>
      <c r="L3114">
        <v>192</v>
      </c>
      <c r="M3114" t="s">
        <v>37425</v>
      </c>
      <c r="N3114">
        <v>1</v>
      </c>
      <c r="Q3114" t="s">
        <v>37426</v>
      </c>
      <c r="R3114">
        <v>616.89075100000002</v>
      </c>
      <c r="S3114" t="s">
        <v>37427</v>
      </c>
      <c r="T3114" t="s">
        <v>30</v>
      </c>
      <c r="U3114" t="s">
        <v>26116</v>
      </c>
      <c r="W3114" t="s">
        <v>26009</v>
      </c>
    </row>
    <row r="3115" spans="1:23" x14ac:dyDescent="0.35">
      <c r="A3115">
        <v>690211</v>
      </c>
      <c r="B3115" t="s">
        <v>8348</v>
      </c>
      <c r="C3115" t="str">
        <f>"9781855755512"</f>
        <v>9781855755512</v>
      </c>
      <c r="D3115" t="str">
        <f>"9781849405881"</f>
        <v>9781849405881</v>
      </c>
      <c r="E3115" t="s">
        <v>26010</v>
      </c>
      <c r="F3115" t="s">
        <v>35</v>
      </c>
      <c r="G3115" t="s">
        <v>22174</v>
      </c>
      <c r="H3115" t="s">
        <v>26011</v>
      </c>
      <c r="I3115" s="26">
        <v>39416</v>
      </c>
      <c r="J3115">
        <v>2007</v>
      </c>
      <c r="K3115" t="s">
        <v>26012</v>
      </c>
      <c r="L3115">
        <v>130</v>
      </c>
      <c r="M3115" t="s">
        <v>37428</v>
      </c>
      <c r="N3115">
        <v>1</v>
      </c>
      <c r="Q3115" t="s">
        <v>37429</v>
      </c>
      <c r="R3115">
        <v>618.9289</v>
      </c>
      <c r="S3115" t="s">
        <v>37430</v>
      </c>
      <c r="T3115" t="s">
        <v>30</v>
      </c>
      <c r="U3115" t="s">
        <v>26116</v>
      </c>
      <c r="W3115" t="s">
        <v>26009</v>
      </c>
    </row>
    <row r="3116" spans="1:23" x14ac:dyDescent="0.35">
      <c r="A3116">
        <v>690212</v>
      </c>
      <c r="B3116" t="s">
        <v>8432</v>
      </c>
      <c r="C3116" t="str">
        <f>"9781780491820"</f>
        <v>9781780491820</v>
      </c>
      <c r="D3116" t="str">
        <f>"9781849405898"</f>
        <v>9781849405898</v>
      </c>
      <c r="E3116" t="s">
        <v>26010</v>
      </c>
      <c r="F3116" t="s">
        <v>35</v>
      </c>
      <c r="G3116" t="s">
        <v>22174</v>
      </c>
      <c r="H3116" t="s">
        <v>26011</v>
      </c>
      <c r="I3116" s="26">
        <v>41274</v>
      </c>
      <c r="J3116">
        <v>2012</v>
      </c>
      <c r="K3116" t="s">
        <v>26012</v>
      </c>
      <c r="L3116">
        <v>211</v>
      </c>
      <c r="M3116" t="s">
        <v>37431</v>
      </c>
      <c r="N3116">
        <v>1</v>
      </c>
      <c r="Q3116" t="s">
        <v>37432</v>
      </c>
      <c r="R3116">
        <v>796.33401900000001</v>
      </c>
      <c r="S3116" t="s">
        <v>37433</v>
      </c>
      <c r="T3116" t="s">
        <v>30</v>
      </c>
      <c r="U3116" t="s">
        <v>26008</v>
      </c>
      <c r="W3116" t="s">
        <v>26009</v>
      </c>
    </row>
    <row r="3117" spans="1:23" x14ac:dyDescent="0.35">
      <c r="A3117">
        <v>690213</v>
      </c>
      <c r="B3117" t="s">
        <v>10064</v>
      </c>
      <c r="C3117" t="str">
        <f>"9781855754348"</f>
        <v>9781855754348</v>
      </c>
      <c r="D3117" t="str">
        <f>"9780429923029"</f>
        <v>9780429923029</v>
      </c>
      <c r="E3117" t="s">
        <v>26010</v>
      </c>
      <c r="F3117" t="s">
        <v>35</v>
      </c>
      <c r="G3117" t="s">
        <v>26128</v>
      </c>
      <c r="H3117" t="s">
        <v>26011</v>
      </c>
      <c r="I3117" s="26">
        <v>39447</v>
      </c>
      <c r="J3117">
        <v>2007</v>
      </c>
      <c r="K3117" t="s">
        <v>26012</v>
      </c>
      <c r="L3117">
        <v>178</v>
      </c>
      <c r="M3117" t="s">
        <v>37434</v>
      </c>
      <c r="N3117">
        <v>1</v>
      </c>
      <c r="R3117">
        <v>616.85230650999995</v>
      </c>
      <c r="S3117" t="s">
        <v>5208</v>
      </c>
      <c r="T3117" t="s">
        <v>30</v>
      </c>
      <c r="U3117" t="s">
        <v>26040</v>
      </c>
      <c r="W3117" t="s">
        <v>26009</v>
      </c>
    </row>
    <row r="3118" spans="1:23" x14ac:dyDescent="0.35">
      <c r="A3118">
        <v>690214</v>
      </c>
      <c r="B3118" t="s">
        <v>37435</v>
      </c>
      <c r="C3118" t="str">
        <f>"9781855754973"</f>
        <v>9781855754973</v>
      </c>
      <c r="D3118" t="str">
        <f>"9781849405911"</f>
        <v>9781849405911</v>
      </c>
      <c r="E3118" t="s">
        <v>26010</v>
      </c>
      <c r="F3118" t="s">
        <v>35</v>
      </c>
      <c r="G3118" t="s">
        <v>22174</v>
      </c>
      <c r="H3118" t="s">
        <v>26011</v>
      </c>
      <c r="I3118" s="26">
        <v>39276</v>
      </c>
      <c r="J3118">
        <v>2007</v>
      </c>
      <c r="K3118" t="s">
        <v>26012</v>
      </c>
      <c r="L3118">
        <v>266</v>
      </c>
      <c r="M3118" t="s">
        <v>37436</v>
      </c>
      <c r="N3118">
        <v>1</v>
      </c>
      <c r="Q3118" t="s">
        <v>37437</v>
      </c>
      <c r="R3118">
        <v>616.89170715499995</v>
      </c>
      <c r="S3118" t="s">
        <v>37438</v>
      </c>
      <c r="T3118" t="s">
        <v>30</v>
      </c>
      <c r="U3118" t="s">
        <v>26019</v>
      </c>
      <c r="W3118" t="s">
        <v>26009</v>
      </c>
    </row>
    <row r="3119" spans="1:23" x14ac:dyDescent="0.35">
      <c r="A3119">
        <v>690215</v>
      </c>
      <c r="B3119" t="s">
        <v>8814</v>
      </c>
      <c r="C3119" t="str">
        <f>"9781855754584"</f>
        <v>9781855754584</v>
      </c>
      <c r="D3119" t="str">
        <f>"9781849405928"</f>
        <v>9781849405928</v>
      </c>
      <c r="E3119" t="s">
        <v>26010</v>
      </c>
      <c r="F3119" t="s">
        <v>35</v>
      </c>
      <c r="G3119" t="s">
        <v>26128</v>
      </c>
      <c r="H3119" t="s">
        <v>26011</v>
      </c>
      <c r="I3119" s="26">
        <v>39380</v>
      </c>
      <c r="J3119">
        <v>2007</v>
      </c>
      <c r="K3119" t="s">
        <v>26012</v>
      </c>
      <c r="L3119">
        <v>367</v>
      </c>
      <c r="M3119" t="s">
        <v>37439</v>
      </c>
      <c r="N3119">
        <v>1</v>
      </c>
      <c r="S3119" t="s">
        <v>37440</v>
      </c>
      <c r="T3119" t="s">
        <v>30</v>
      </c>
      <c r="U3119" t="s">
        <v>46</v>
      </c>
      <c r="W3119" t="s">
        <v>26009</v>
      </c>
    </row>
    <row r="3120" spans="1:23" x14ac:dyDescent="0.35">
      <c r="A3120">
        <v>690216</v>
      </c>
      <c r="B3120" t="s">
        <v>37441</v>
      </c>
      <c r="C3120" t="str">
        <f>"9781855755901"</f>
        <v>9781855755901</v>
      </c>
      <c r="D3120" t="str">
        <f>"9781849405942"</f>
        <v>9781849405942</v>
      </c>
      <c r="E3120" t="s">
        <v>26010</v>
      </c>
      <c r="F3120" t="s">
        <v>35</v>
      </c>
      <c r="G3120" t="s">
        <v>22174</v>
      </c>
      <c r="H3120" t="s">
        <v>26011</v>
      </c>
      <c r="I3120" s="26">
        <v>39447</v>
      </c>
      <c r="J3120">
        <v>2007</v>
      </c>
      <c r="K3120" t="s">
        <v>26012</v>
      </c>
      <c r="L3120">
        <v>197</v>
      </c>
      <c r="M3120" t="s">
        <v>37124</v>
      </c>
      <c r="N3120">
        <v>1</v>
      </c>
      <c r="O3120" t="s">
        <v>37442</v>
      </c>
      <c r="Q3120" t="s">
        <v>37443</v>
      </c>
      <c r="R3120">
        <v>153.6</v>
      </c>
      <c r="S3120" t="s">
        <v>37444</v>
      </c>
      <c r="T3120" t="s">
        <v>30</v>
      </c>
      <c r="U3120" t="s">
        <v>46</v>
      </c>
      <c r="W3120" t="s">
        <v>26009</v>
      </c>
    </row>
    <row r="3121" spans="1:23" x14ac:dyDescent="0.35">
      <c r="A3121">
        <v>690218</v>
      </c>
      <c r="B3121" t="s">
        <v>37445</v>
      </c>
      <c r="C3121" t="str">
        <f>"9781855753471"</f>
        <v>9781855753471</v>
      </c>
      <c r="D3121" t="str">
        <f>"9781849405966"</f>
        <v>9781849405966</v>
      </c>
      <c r="E3121" t="s">
        <v>26010</v>
      </c>
      <c r="F3121" t="s">
        <v>35</v>
      </c>
      <c r="G3121" t="s">
        <v>22174</v>
      </c>
      <c r="H3121" t="s">
        <v>26011</v>
      </c>
      <c r="I3121" s="26">
        <v>39447</v>
      </c>
      <c r="J3121">
        <v>2007</v>
      </c>
      <c r="K3121" t="s">
        <v>26012</v>
      </c>
      <c r="L3121">
        <v>254</v>
      </c>
      <c r="M3121" t="s">
        <v>37446</v>
      </c>
      <c r="N3121">
        <v>1</v>
      </c>
      <c r="Q3121" t="s">
        <v>37447</v>
      </c>
      <c r="R3121" t="s">
        <v>27122</v>
      </c>
      <c r="S3121" t="s">
        <v>9444</v>
      </c>
      <c r="T3121" t="s">
        <v>30</v>
      </c>
      <c r="U3121" t="s">
        <v>26019</v>
      </c>
      <c r="W3121" t="s">
        <v>26009</v>
      </c>
    </row>
    <row r="3122" spans="1:23" x14ac:dyDescent="0.35">
      <c r="A3122">
        <v>690219</v>
      </c>
      <c r="B3122" t="s">
        <v>37448</v>
      </c>
      <c r="C3122" t="str">
        <f>"9781855754386"</f>
        <v>9781855754386</v>
      </c>
      <c r="D3122" t="str">
        <f>"9781849405973"</f>
        <v>9781849405973</v>
      </c>
      <c r="E3122" t="s">
        <v>26010</v>
      </c>
      <c r="F3122" t="s">
        <v>35</v>
      </c>
      <c r="G3122" t="s">
        <v>26128</v>
      </c>
      <c r="H3122" t="s">
        <v>26011</v>
      </c>
      <c r="I3122" s="26">
        <v>39380</v>
      </c>
      <c r="J3122">
        <v>2007</v>
      </c>
      <c r="K3122" t="s">
        <v>26012</v>
      </c>
      <c r="L3122">
        <v>178</v>
      </c>
      <c r="M3122" t="s">
        <v>37449</v>
      </c>
      <c r="N3122">
        <v>1</v>
      </c>
      <c r="R3122">
        <v>616.89139999999998</v>
      </c>
      <c r="S3122" t="s">
        <v>37450</v>
      </c>
      <c r="T3122" t="s">
        <v>30</v>
      </c>
      <c r="U3122" t="s">
        <v>26040</v>
      </c>
      <c r="W3122" t="s">
        <v>26009</v>
      </c>
    </row>
    <row r="3123" spans="1:23" x14ac:dyDescent="0.35">
      <c r="A3123">
        <v>690220</v>
      </c>
      <c r="B3123" t="s">
        <v>37451</v>
      </c>
      <c r="C3123" t="str">
        <f>"9781855754829"</f>
        <v>9781855754829</v>
      </c>
      <c r="D3123" t="str">
        <f>"9780429920455"</f>
        <v>9780429920455</v>
      </c>
      <c r="E3123" t="s">
        <v>26010</v>
      </c>
      <c r="F3123" t="s">
        <v>35</v>
      </c>
      <c r="G3123" t="s">
        <v>22174</v>
      </c>
      <c r="H3123" t="s">
        <v>26011</v>
      </c>
      <c r="I3123" s="26">
        <v>39447</v>
      </c>
      <c r="J3123">
        <v>2007</v>
      </c>
      <c r="K3123" t="s">
        <v>26012</v>
      </c>
      <c r="L3123">
        <v>480</v>
      </c>
      <c r="M3123" t="s">
        <v>37452</v>
      </c>
      <c r="N3123">
        <v>1</v>
      </c>
      <c r="O3123" t="s">
        <v>36577</v>
      </c>
      <c r="Q3123" t="s">
        <v>37453</v>
      </c>
      <c r="R3123">
        <v>616.92891399999996</v>
      </c>
      <c r="S3123" t="s">
        <v>37454</v>
      </c>
      <c r="T3123" t="s">
        <v>30</v>
      </c>
      <c r="U3123" t="s">
        <v>26019</v>
      </c>
      <c r="W3123" t="s">
        <v>26009</v>
      </c>
    </row>
    <row r="3124" spans="1:23" x14ac:dyDescent="0.35">
      <c r="A3124">
        <v>690221</v>
      </c>
      <c r="B3124" t="s">
        <v>9796</v>
      </c>
      <c r="C3124" t="str">
        <f>"9781855755703"</f>
        <v>9781855755703</v>
      </c>
      <c r="D3124" t="str">
        <f>"9781849405997"</f>
        <v>9781849405997</v>
      </c>
      <c r="E3124" t="s">
        <v>26010</v>
      </c>
      <c r="F3124" t="s">
        <v>35</v>
      </c>
      <c r="G3124" t="s">
        <v>22174</v>
      </c>
      <c r="H3124" t="s">
        <v>26011</v>
      </c>
      <c r="I3124" s="26">
        <v>39295</v>
      </c>
      <c r="J3124">
        <v>2007</v>
      </c>
      <c r="K3124" t="s">
        <v>26012</v>
      </c>
      <c r="L3124">
        <v>353</v>
      </c>
      <c r="M3124" t="s">
        <v>37455</v>
      </c>
      <c r="N3124">
        <v>1</v>
      </c>
      <c r="Q3124" t="s">
        <v>37456</v>
      </c>
      <c r="R3124">
        <v>150.19540000000001</v>
      </c>
      <c r="S3124" t="s">
        <v>37457</v>
      </c>
      <c r="T3124" t="s">
        <v>30</v>
      </c>
      <c r="U3124" t="s">
        <v>46</v>
      </c>
      <c r="W3124" t="s">
        <v>26009</v>
      </c>
    </row>
    <row r="3125" spans="1:23" x14ac:dyDescent="0.35">
      <c r="A3125">
        <v>690222</v>
      </c>
      <c r="B3125" t="s">
        <v>37458</v>
      </c>
      <c r="C3125" t="str">
        <f>"9781855754188"</f>
        <v>9781855754188</v>
      </c>
      <c r="D3125" t="str">
        <f>"9781849406000"</f>
        <v>9781849406000</v>
      </c>
      <c r="E3125" t="s">
        <v>26010</v>
      </c>
      <c r="F3125" t="s">
        <v>35</v>
      </c>
      <c r="G3125" t="s">
        <v>22174</v>
      </c>
      <c r="H3125" t="s">
        <v>26011</v>
      </c>
      <c r="I3125" s="26">
        <v>39240</v>
      </c>
      <c r="J3125">
        <v>2007</v>
      </c>
      <c r="K3125" t="s">
        <v>26012</v>
      </c>
      <c r="L3125">
        <v>280</v>
      </c>
      <c r="M3125" t="s">
        <v>37459</v>
      </c>
      <c r="N3125">
        <v>1</v>
      </c>
      <c r="Q3125" t="s">
        <v>37460</v>
      </c>
      <c r="R3125">
        <v>616.00189999999998</v>
      </c>
      <c r="S3125" t="s">
        <v>37461</v>
      </c>
      <c r="T3125" t="s">
        <v>30</v>
      </c>
      <c r="U3125" t="s">
        <v>26116</v>
      </c>
      <c r="W3125" t="s">
        <v>26009</v>
      </c>
    </row>
    <row r="3126" spans="1:23" x14ac:dyDescent="0.35">
      <c r="A3126">
        <v>690223</v>
      </c>
      <c r="B3126" t="s">
        <v>9863</v>
      </c>
      <c r="C3126" t="str">
        <f>"9781855755161"</f>
        <v>9781855755161</v>
      </c>
      <c r="D3126" t="str">
        <f>"9781849406024"</f>
        <v>9781849406024</v>
      </c>
      <c r="E3126" t="s">
        <v>26010</v>
      </c>
      <c r="F3126" t="s">
        <v>35</v>
      </c>
      <c r="G3126" t="s">
        <v>22174</v>
      </c>
      <c r="H3126" t="s">
        <v>26011</v>
      </c>
      <c r="I3126" s="26">
        <v>39435</v>
      </c>
      <c r="J3126">
        <v>2008</v>
      </c>
      <c r="K3126" t="s">
        <v>26012</v>
      </c>
      <c r="L3126">
        <v>303</v>
      </c>
      <c r="M3126" t="s">
        <v>37462</v>
      </c>
      <c r="N3126">
        <v>1</v>
      </c>
      <c r="Q3126" t="s">
        <v>37463</v>
      </c>
      <c r="R3126">
        <v>616.50651000000005</v>
      </c>
      <c r="S3126" t="s">
        <v>37464</v>
      </c>
      <c r="T3126" t="s">
        <v>30</v>
      </c>
      <c r="U3126" t="s">
        <v>26040</v>
      </c>
      <c r="W3126" t="s">
        <v>26009</v>
      </c>
    </row>
    <row r="3127" spans="1:23" x14ac:dyDescent="0.35">
      <c r="A3127">
        <v>690224</v>
      </c>
      <c r="B3127" t="s">
        <v>37465</v>
      </c>
      <c r="C3127" t="str">
        <f>"9781855754126"</f>
        <v>9781855754126</v>
      </c>
      <c r="D3127" t="str">
        <f>"9781849406031"</f>
        <v>9781849406031</v>
      </c>
      <c r="E3127" t="s">
        <v>26010</v>
      </c>
      <c r="F3127" t="s">
        <v>35</v>
      </c>
      <c r="G3127" t="s">
        <v>22174</v>
      </c>
      <c r="H3127" t="s">
        <v>26011</v>
      </c>
      <c r="I3127" s="26">
        <v>39142</v>
      </c>
      <c r="J3127">
        <v>2007</v>
      </c>
      <c r="K3127" t="s">
        <v>26012</v>
      </c>
      <c r="L3127">
        <v>360</v>
      </c>
      <c r="M3127" t="s">
        <v>37466</v>
      </c>
      <c r="N3127">
        <v>1</v>
      </c>
      <c r="Q3127" t="s">
        <v>37467</v>
      </c>
      <c r="R3127">
        <v>155.19999999999999</v>
      </c>
      <c r="S3127" t="s">
        <v>37468</v>
      </c>
      <c r="T3127" t="s">
        <v>30</v>
      </c>
      <c r="U3127" t="s">
        <v>46</v>
      </c>
      <c r="W3127" t="s">
        <v>26009</v>
      </c>
    </row>
    <row r="3128" spans="1:23" x14ac:dyDescent="0.35">
      <c r="A3128">
        <v>690225</v>
      </c>
      <c r="B3128" t="s">
        <v>9833</v>
      </c>
      <c r="C3128" t="str">
        <f>"9781855753921"</f>
        <v>9781855753921</v>
      </c>
      <c r="D3128" t="str">
        <f>"9781849406048"</f>
        <v>9781849406048</v>
      </c>
      <c r="E3128" t="s">
        <v>26010</v>
      </c>
      <c r="F3128" t="s">
        <v>35</v>
      </c>
      <c r="G3128" t="s">
        <v>22174</v>
      </c>
      <c r="H3128" t="s">
        <v>26011</v>
      </c>
      <c r="I3128" s="26">
        <v>38383</v>
      </c>
      <c r="J3128">
        <v>2005</v>
      </c>
      <c r="K3128" t="s">
        <v>26012</v>
      </c>
      <c r="L3128">
        <v>122</v>
      </c>
      <c r="M3128" t="s">
        <v>37469</v>
      </c>
      <c r="N3128">
        <v>1</v>
      </c>
      <c r="O3128" t="s">
        <v>37010</v>
      </c>
      <c r="Q3128" t="s">
        <v>37470</v>
      </c>
      <c r="R3128">
        <v>155.34</v>
      </c>
      <c r="S3128" t="s">
        <v>37471</v>
      </c>
      <c r="T3128" t="s">
        <v>30</v>
      </c>
      <c r="U3128" t="s">
        <v>46</v>
      </c>
      <c r="W3128" t="s">
        <v>26009</v>
      </c>
    </row>
    <row r="3129" spans="1:23" x14ac:dyDescent="0.35">
      <c r="A3129">
        <v>690227</v>
      </c>
      <c r="B3129" t="s">
        <v>37472</v>
      </c>
      <c r="C3129" t="str">
        <f>"9781855755260"</f>
        <v>9781855755260</v>
      </c>
      <c r="D3129" t="str">
        <f>"9781849406062"</f>
        <v>9781849406062</v>
      </c>
      <c r="E3129" t="s">
        <v>26010</v>
      </c>
      <c r="F3129" t="s">
        <v>35</v>
      </c>
      <c r="G3129" t="s">
        <v>22174</v>
      </c>
      <c r="H3129" t="s">
        <v>26011</v>
      </c>
      <c r="I3129" s="26">
        <v>39447</v>
      </c>
      <c r="J3129">
        <v>2007</v>
      </c>
      <c r="K3129" t="s">
        <v>26012</v>
      </c>
      <c r="L3129">
        <v>204</v>
      </c>
      <c r="M3129" t="s">
        <v>37298</v>
      </c>
      <c r="N3129">
        <v>1</v>
      </c>
      <c r="O3129" t="s">
        <v>36505</v>
      </c>
      <c r="Q3129" t="s">
        <v>37473</v>
      </c>
      <c r="R3129">
        <v>616.89156000000003</v>
      </c>
      <c r="S3129" t="s">
        <v>37474</v>
      </c>
      <c r="T3129" t="s">
        <v>30</v>
      </c>
      <c r="U3129" t="s">
        <v>26116</v>
      </c>
      <c r="W3129" t="s">
        <v>26009</v>
      </c>
    </row>
    <row r="3130" spans="1:23" x14ac:dyDescent="0.35">
      <c r="A3130">
        <v>690229</v>
      </c>
      <c r="B3130" t="s">
        <v>37475</v>
      </c>
      <c r="C3130" t="str">
        <f>"9781855753099"</f>
        <v>9781855753099</v>
      </c>
      <c r="D3130" t="str">
        <f>"9781849405003"</f>
        <v>9781849405003</v>
      </c>
      <c r="E3130" t="s">
        <v>26010</v>
      </c>
      <c r="F3130" t="s">
        <v>35</v>
      </c>
      <c r="G3130" t="s">
        <v>22174</v>
      </c>
      <c r="H3130" t="s">
        <v>26011</v>
      </c>
      <c r="I3130" s="26">
        <v>39082</v>
      </c>
      <c r="J3130">
        <v>2006</v>
      </c>
      <c r="K3130" t="s">
        <v>26012</v>
      </c>
      <c r="L3130">
        <v>289</v>
      </c>
      <c r="M3130" t="s">
        <v>37146</v>
      </c>
      <c r="N3130">
        <v>1</v>
      </c>
      <c r="Q3130" t="s">
        <v>37476</v>
      </c>
      <c r="R3130">
        <v>616.89152000000001</v>
      </c>
      <c r="S3130" t="s">
        <v>37477</v>
      </c>
      <c r="T3130" t="s">
        <v>30</v>
      </c>
      <c r="U3130" t="s">
        <v>26019</v>
      </c>
      <c r="W3130" t="s">
        <v>26009</v>
      </c>
    </row>
    <row r="3131" spans="1:23" x14ac:dyDescent="0.35">
      <c r="A3131">
        <v>690230</v>
      </c>
      <c r="B3131" t="s">
        <v>9172</v>
      </c>
      <c r="C3131" t="str">
        <f>"9781855753693"</f>
        <v>9781855753693</v>
      </c>
      <c r="D3131" t="str">
        <f>"9781849405010"</f>
        <v>9781849405010</v>
      </c>
      <c r="E3131" t="s">
        <v>26010</v>
      </c>
      <c r="F3131" t="s">
        <v>35</v>
      </c>
      <c r="G3131" t="s">
        <v>22174</v>
      </c>
      <c r="H3131" t="s">
        <v>26011</v>
      </c>
      <c r="I3131" s="26">
        <v>39082</v>
      </c>
      <c r="J3131">
        <v>2006</v>
      </c>
      <c r="K3131" t="s">
        <v>26012</v>
      </c>
      <c r="L3131">
        <v>239</v>
      </c>
      <c r="M3131" t="s">
        <v>37478</v>
      </c>
      <c r="N3131">
        <v>1</v>
      </c>
      <c r="O3131" t="s">
        <v>37479</v>
      </c>
      <c r="Q3131" t="s">
        <v>37480</v>
      </c>
      <c r="R3131">
        <v>306.8743090511</v>
      </c>
      <c r="S3131" t="s">
        <v>37481</v>
      </c>
      <c r="T3131" t="s">
        <v>30</v>
      </c>
      <c r="U3131" t="s">
        <v>26044</v>
      </c>
      <c r="W3131" t="s">
        <v>26009</v>
      </c>
    </row>
    <row r="3132" spans="1:23" x14ac:dyDescent="0.35">
      <c r="A3132">
        <v>690231</v>
      </c>
      <c r="B3132" t="s">
        <v>37482</v>
      </c>
      <c r="C3132" t="str">
        <f>"9781855754157"</f>
        <v>9781855754157</v>
      </c>
      <c r="D3132" t="str">
        <f>"9781849405027"</f>
        <v>9781849405027</v>
      </c>
      <c r="E3132" t="s">
        <v>26010</v>
      </c>
      <c r="F3132" t="s">
        <v>35</v>
      </c>
      <c r="G3132" t="s">
        <v>26128</v>
      </c>
      <c r="H3132" t="s">
        <v>26011</v>
      </c>
      <c r="I3132" s="26">
        <v>38980</v>
      </c>
      <c r="J3132">
        <v>2006</v>
      </c>
      <c r="K3132" t="s">
        <v>26012</v>
      </c>
      <c r="L3132">
        <v>191</v>
      </c>
      <c r="M3132" t="s">
        <v>37483</v>
      </c>
      <c r="N3132">
        <v>1</v>
      </c>
      <c r="Q3132" t="s">
        <v>37484</v>
      </c>
      <c r="R3132">
        <v>616.89139999999998</v>
      </c>
      <c r="S3132" t="s">
        <v>9675</v>
      </c>
      <c r="T3132" t="s">
        <v>30</v>
      </c>
      <c r="U3132" t="s">
        <v>26019</v>
      </c>
      <c r="W3132" t="s">
        <v>26009</v>
      </c>
    </row>
    <row r="3133" spans="1:23" x14ac:dyDescent="0.35">
      <c r="A3133">
        <v>690232</v>
      </c>
      <c r="B3133" t="s">
        <v>37485</v>
      </c>
      <c r="C3133" t="str">
        <f>"9781855753167"</f>
        <v>9781855753167</v>
      </c>
      <c r="D3133" t="str">
        <f>"9781849405034"</f>
        <v>9781849405034</v>
      </c>
      <c r="E3133" t="s">
        <v>26010</v>
      </c>
      <c r="F3133" t="s">
        <v>35</v>
      </c>
      <c r="G3133" t="s">
        <v>22174</v>
      </c>
      <c r="H3133" t="s">
        <v>26011</v>
      </c>
      <c r="I3133" s="26">
        <v>39082</v>
      </c>
      <c r="J3133">
        <v>2006</v>
      </c>
      <c r="K3133" t="s">
        <v>26012</v>
      </c>
      <c r="L3133">
        <v>257</v>
      </c>
      <c r="M3133" t="s">
        <v>37486</v>
      </c>
      <c r="N3133">
        <v>1</v>
      </c>
      <c r="O3133" t="s">
        <v>36505</v>
      </c>
      <c r="Q3133" t="s">
        <v>37487</v>
      </c>
      <c r="R3133">
        <v>616.89099999999996</v>
      </c>
      <c r="S3133" t="s">
        <v>37488</v>
      </c>
      <c r="T3133" t="s">
        <v>30</v>
      </c>
      <c r="U3133" t="s">
        <v>26019</v>
      </c>
      <c r="W3133" t="s">
        <v>26009</v>
      </c>
    </row>
    <row r="3134" spans="1:23" x14ac:dyDescent="0.35">
      <c r="A3134">
        <v>690233</v>
      </c>
      <c r="B3134" t="s">
        <v>9469</v>
      </c>
      <c r="C3134" t="str">
        <f>"9781855753891"</f>
        <v>9781855753891</v>
      </c>
      <c r="D3134" t="str">
        <f>"9781849405058"</f>
        <v>9781849405058</v>
      </c>
      <c r="E3134" t="s">
        <v>26010</v>
      </c>
      <c r="F3134" t="s">
        <v>7673</v>
      </c>
      <c r="G3134" t="s">
        <v>22174</v>
      </c>
      <c r="H3134" t="s">
        <v>26011</v>
      </c>
      <c r="I3134" s="26">
        <v>38880</v>
      </c>
      <c r="J3134">
        <v>2006</v>
      </c>
      <c r="K3134" t="s">
        <v>7673</v>
      </c>
      <c r="L3134">
        <v>191</v>
      </c>
      <c r="M3134" t="s">
        <v>37489</v>
      </c>
      <c r="N3134">
        <v>1</v>
      </c>
      <c r="Q3134" t="s">
        <v>37490</v>
      </c>
      <c r="R3134">
        <v>150.19499999999999</v>
      </c>
      <c r="S3134" t="s">
        <v>36663</v>
      </c>
      <c r="T3134" t="s">
        <v>30</v>
      </c>
      <c r="U3134" t="s">
        <v>46</v>
      </c>
      <c r="W3134" t="s">
        <v>26009</v>
      </c>
    </row>
    <row r="3135" spans="1:23" x14ac:dyDescent="0.35">
      <c r="A3135">
        <v>690234</v>
      </c>
      <c r="B3135" t="s">
        <v>37491</v>
      </c>
      <c r="C3135" t="str">
        <f>"9781855754751"</f>
        <v>9781855754751</v>
      </c>
      <c r="D3135" t="str">
        <f>"9781849405065"</f>
        <v>9781849405065</v>
      </c>
      <c r="E3135" t="s">
        <v>26010</v>
      </c>
      <c r="F3135" t="s">
        <v>35</v>
      </c>
      <c r="G3135" t="s">
        <v>22174</v>
      </c>
      <c r="H3135" t="s">
        <v>26011</v>
      </c>
      <c r="I3135" s="26">
        <v>39082</v>
      </c>
      <c r="J3135">
        <v>2006</v>
      </c>
      <c r="K3135" t="s">
        <v>26012</v>
      </c>
      <c r="L3135">
        <v>216</v>
      </c>
      <c r="M3135" t="s">
        <v>37492</v>
      </c>
      <c r="N3135">
        <v>1</v>
      </c>
      <c r="O3135" t="s">
        <v>36835</v>
      </c>
      <c r="Q3135" t="s">
        <v>37493</v>
      </c>
      <c r="R3135">
        <v>158.19999999999999</v>
      </c>
      <c r="S3135" t="s">
        <v>36837</v>
      </c>
      <c r="T3135" t="s">
        <v>30</v>
      </c>
      <c r="U3135" t="s">
        <v>26170</v>
      </c>
      <c r="W3135" t="s">
        <v>26009</v>
      </c>
    </row>
    <row r="3136" spans="1:23" x14ac:dyDescent="0.35">
      <c r="A3136">
        <v>690236</v>
      </c>
      <c r="B3136" t="s">
        <v>37494</v>
      </c>
      <c r="C3136" t="str">
        <f>"9781855753884"</f>
        <v>9781855753884</v>
      </c>
      <c r="D3136" t="str">
        <f>"9781849405096"</f>
        <v>9781849405096</v>
      </c>
      <c r="E3136" t="s">
        <v>26010</v>
      </c>
      <c r="F3136" t="s">
        <v>35</v>
      </c>
      <c r="G3136" t="s">
        <v>22174</v>
      </c>
      <c r="H3136" t="s">
        <v>26011</v>
      </c>
      <c r="I3136" s="26">
        <v>39082</v>
      </c>
      <c r="J3136">
        <v>2006</v>
      </c>
      <c r="K3136" t="s">
        <v>26012</v>
      </c>
      <c r="L3136">
        <v>134</v>
      </c>
      <c r="M3136" t="s">
        <v>37495</v>
      </c>
      <c r="N3136">
        <v>1</v>
      </c>
      <c r="O3136" t="s">
        <v>37364</v>
      </c>
      <c r="Q3136" t="s">
        <v>37496</v>
      </c>
      <c r="R3136">
        <v>616.89139999999998</v>
      </c>
      <c r="S3136" t="s">
        <v>37497</v>
      </c>
      <c r="T3136" t="s">
        <v>30</v>
      </c>
      <c r="U3136" t="s">
        <v>26019</v>
      </c>
      <c r="W3136" t="s">
        <v>26009</v>
      </c>
    </row>
    <row r="3137" spans="1:23" x14ac:dyDescent="0.35">
      <c r="A3137">
        <v>690237</v>
      </c>
      <c r="B3137" t="s">
        <v>37498</v>
      </c>
      <c r="C3137" t="str">
        <f>"9781855753990"</f>
        <v>9781855753990</v>
      </c>
      <c r="D3137" t="str">
        <f>"9781849405119"</f>
        <v>9781849405119</v>
      </c>
      <c r="E3137" t="s">
        <v>26010</v>
      </c>
      <c r="F3137" t="s">
        <v>35</v>
      </c>
      <c r="G3137" t="s">
        <v>26128</v>
      </c>
      <c r="H3137" t="s">
        <v>26011</v>
      </c>
      <c r="I3137" s="26">
        <v>38986</v>
      </c>
      <c r="J3137">
        <v>2006</v>
      </c>
      <c r="K3137" t="s">
        <v>26012</v>
      </c>
      <c r="L3137">
        <v>296</v>
      </c>
      <c r="M3137" t="s">
        <v>37499</v>
      </c>
      <c r="N3137">
        <v>1</v>
      </c>
      <c r="R3137">
        <v>150.19540000000001</v>
      </c>
      <c r="S3137" t="s">
        <v>7778</v>
      </c>
      <c r="T3137" t="s">
        <v>30</v>
      </c>
      <c r="U3137" t="s">
        <v>46</v>
      </c>
      <c r="W3137" t="s">
        <v>26009</v>
      </c>
    </row>
    <row r="3138" spans="1:23" x14ac:dyDescent="0.35">
      <c r="A3138">
        <v>690238</v>
      </c>
      <c r="B3138" t="s">
        <v>8408</v>
      </c>
      <c r="C3138" t="str">
        <f>"9781855754119"</f>
        <v>9781855754119</v>
      </c>
      <c r="D3138" t="str">
        <f>"9781849405126"</f>
        <v>9781849405126</v>
      </c>
      <c r="E3138" t="s">
        <v>26010</v>
      </c>
      <c r="F3138" t="s">
        <v>35</v>
      </c>
      <c r="G3138" t="s">
        <v>22174</v>
      </c>
      <c r="H3138" t="s">
        <v>26011</v>
      </c>
      <c r="I3138" s="26">
        <v>39064</v>
      </c>
      <c r="J3138">
        <v>2006</v>
      </c>
      <c r="K3138" t="s">
        <v>26012</v>
      </c>
      <c r="L3138">
        <v>169</v>
      </c>
      <c r="M3138" t="s">
        <v>36559</v>
      </c>
      <c r="N3138">
        <v>1</v>
      </c>
      <c r="Q3138" t="s">
        <v>37500</v>
      </c>
      <c r="R3138">
        <v>152.4</v>
      </c>
      <c r="S3138" t="s">
        <v>37501</v>
      </c>
      <c r="T3138" t="s">
        <v>30</v>
      </c>
      <c r="U3138" t="s">
        <v>46</v>
      </c>
      <c r="W3138" t="s">
        <v>26009</v>
      </c>
    </row>
    <row r="3139" spans="1:23" x14ac:dyDescent="0.35">
      <c r="A3139">
        <v>690239</v>
      </c>
      <c r="B3139" t="s">
        <v>37502</v>
      </c>
      <c r="C3139" t="str">
        <f>"9781855759732"</f>
        <v>9781855759732</v>
      </c>
      <c r="D3139" t="str">
        <f>"9781849405133"</f>
        <v>9781849405133</v>
      </c>
      <c r="E3139" t="s">
        <v>26010</v>
      </c>
      <c r="F3139" t="s">
        <v>35</v>
      </c>
      <c r="G3139" t="s">
        <v>26128</v>
      </c>
      <c r="H3139" t="s">
        <v>26011</v>
      </c>
      <c r="I3139" s="26">
        <v>39014</v>
      </c>
      <c r="J3139">
        <v>2006</v>
      </c>
      <c r="K3139" t="s">
        <v>26012</v>
      </c>
      <c r="L3139">
        <v>175</v>
      </c>
      <c r="M3139" t="s">
        <v>37503</v>
      </c>
      <c r="N3139">
        <v>1</v>
      </c>
      <c r="S3139" t="s">
        <v>37504</v>
      </c>
      <c r="T3139" t="s">
        <v>30</v>
      </c>
      <c r="U3139" t="s">
        <v>46</v>
      </c>
      <c r="W3139" t="s">
        <v>26009</v>
      </c>
    </row>
    <row r="3140" spans="1:23" x14ac:dyDescent="0.35">
      <c r="A3140">
        <v>690240</v>
      </c>
      <c r="B3140" t="s">
        <v>37505</v>
      </c>
      <c r="C3140" t="str">
        <f>"9781855753792"</f>
        <v>9781855753792</v>
      </c>
      <c r="D3140" t="str">
        <f>"9781849405164"</f>
        <v>9781849405164</v>
      </c>
      <c r="E3140" t="s">
        <v>26010</v>
      </c>
      <c r="F3140" t="s">
        <v>35</v>
      </c>
      <c r="G3140" t="s">
        <v>26128</v>
      </c>
      <c r="H3140" t="s">
        <v>26011</v>
      </c>
      <c r="I3140" s="26">
        <v>38825</v>
      </c>
      <c r="J3140">
        <v>2006</v>
      </c>
      <c r="K3140" t="s">
        <v>26012</v>
      </c>
      <c r="L3140">
        <v>257</v>
      </c>
      <c r="M3140" t="s">
        <v>37506</v>
      </c>
      <c r="N3140">
        <v>1</v>
      </c>
      <c r="R3140">
        <v>150.19499999999999</v>
      </c>
      <c r="S3140" t="s">
        <v>37507</v>
      </c>
      <c r="T3140" t="s">
        <v>30</v>
      </c>
      <c r="U3140" t="s">
        <v>46</v>
      </c>
      <c r="W3140" t="s">
        <v>26009</v>
      </c>
    </row>
    <row r="3141" spans="1:23" x14ac:dyDescent="0.35">
      <c r="A3141">
        <v>690241</v>
      </c>
      <c r="B3141" t="s">
        <v>37508</v>
      </c>
      <c r="C3141" t="str">
        <f>"9781855754416"</f>
        <v>9781855754416</v>
      </c>
      <c r="D3141" t="str">
        <f>"9781849405171"</f>
        <v>9781849405171</v>
      </c>
      <c r="E3141" t="s">
        <v>26010</v>
      </c>
      <c r="F3141" t="s">
        <v>35</v>
      </c>
      <c r="G3141" t="s">
        <v>26128</v>
      </c>
      <c r="H3141" t="s">
        <v>26011</v>
      </c>
      <c r="I3141" s="26">
        <v>39082</v>
      </c>
      <c r="J3141">
        <v>2006</v>
      </c>
      <c r="K3141" t="s">
        <v>26012</v>
      </c>
      <c r="L3141">
        <v>240</v>
      </c>
      <c r="M3141" t="s">
        <v>37509</v>
      </c>
      <c r="N3141">
        <v>1</v>
      </c>
      <c r="S3141" t="s">
        <v>9993</v>
      </c>
      <c r="T3141" t="s">
        <v>30</v>
      </c>
      <c r="U3141" t="s">
        <v>46</v>
      </c>
      <c r="W3141" t="s">
        <v>26009</v>
      </c>
    </row>
    <row r="3142" spans="1:23" x14ac:dyDescent="0.35">
      <c r="A3142">
        <v>690242</v>
      </c>
      <c r="B3142" t="s">
        <v>37510</v>
      </c>
      <c r="C3142" t="str">
        <f>"9781855753495"</f>
        <v>9781855753495</v>
      </c>
      <c r="D3142" t="str">
        <f>"9781849405188"</f>
        <v>9781849405188</v>
      </c>
      <c r="E3142" t="s">
        <v>26010</v>
      </c>
      <c r="F3142" t="s">
        <v>35</v>
      </c>
      <c r="G3142" t="s">
        <v>22174</v>
      </c>
      <c r="H3142" t="s">
        <v>26011</v>
      </c>
      <c r="I3142" s="26">
        <v>38718</v>
      </c>
      <c r="J3142">
        <v>2006</v>
      </c>
      <c r="K3142" t="s">
        <v>26012</v>
      </c>
      <c r="L3142">
        <v>321</v>
      </c>
      <c r="M3142" t="s">
        <v>37511</v>
      </c>
      <c r="N3142">
        <v>1</v>
      </c>
      <c r="Q3142" t="s">
        <v>37512</v>
      </c>
      <c r="R3142">
        <v>155.32</v>
      </c>
      <c r="S3142" t="s">
        <v>37513</v>
      </c>
      <c r="T3142" t="s">
        <v>30</v>
      </c>
      <c r="U3142" t="s">
        <v>46</v>
      </c>
      <c r="W3142" t="s">
        <v>26009</v>
      </c>
    </row>
    <row r="3143" spans="1:23" x14ac:dyDescent="0.35">
      <c r="A3143">
        <v>690243</v>
      </c>
      <c r="B3143" t="s">
        <v>37514</v>
      </c>
      <c r="C3143" t="str">
        <f>"9781855754911"</f>
        <v>9781855754911</v>
      </c>
      <c r="D3143" t="str">
        <f>"9781849405195"</f>
        <v>9781849405195</v>
      </c>
      <c r="E3143" t="s">
        <v>26010</v>
      </c>
      <c r="F3143" t="s">
        <v>35</v>
      </c>
      <c r="G3143" t="s">
        <v>22174</v>
      </c>
      <c r="H3143" t="s">
        <v>26011</v>
      </c>
      <c r="I3143" s="26">
        <v>39021</v>
      </c>
      <c r="J3143">
        <v>2006</v>
      </c>
      <c r="K3143" t="s">
        <v>26012</v>
      </c>
      <c r="L3143">
        <v>284</v>
      </c>
      <c r="M3143" t="s">
        <v>37515</v>
      </c>
      <c r="N3143">
        <v>1</v>
      </c>
      <c r="Q3143" t="s">
        <v>37516</v>
      </c>
      <c r="R3143">
        <v>616.89139999999998</v>
      </c>
      <c r="S3143" t="s">
        <v>37517</v>
      </c>
      <c r="T3143" t="s">
        <v>30</v>
      </c>
      <c r="U3143" t="s">
        <v>26019</v>
      </c>
      <c r="W3143" t="s">
        <v>26009</v>
      </c>
    </row>
    <row r="3144" spans="1:23" x14ac:dyDescent="0.35">
      <c r="A3144">
        <v>690244</v>
      </c>
      <c r="B3144" t="s">
        <v>10179</v>
      </c>
      <c r="C3144" t="str">
        <f>"9781855754058"</f>
        <v>9781855754058</v>
      </c>
      <c r="D3144" t="str">
        <f>"9780429923609"</f>
        <v>9780429923609</v>
      </c>
      <c r="E3144" t="s">
        <v>26010</v>
      </c>
      <c r="F3144" t="s">
        <v>35</v>
      </c>
      <c r="G3144" t="s">
        <v>22174</v>
      </c>
      <c r="H3144" t="s">
        <v>26011</v>
      </c>
      <c r="I3144" s="26">
        <v>39082</v>
      </c>
      <c r="J3144">
        <v>2006</v>
      </c>
      <c r="K3144" t="s">
        <v>26012</v>
      </c>
      <c r="L3144">
        <v>121</v>
      </c>
      <c r="M3144" t="s">
        <v>37518</v>
      </c>
      <c r="N3144">
        <v>1</v>
      </c>
      <c r="O3144" t="s">
        <v>37010</v>
      </c>
      <c r="Q3144" t="s">
        <v>37519</v>
      </c>
      <c r="R3144">
        <v>616.89170000000001</v>
      </c>
      <c r="S3144" t="s">
        <v>37520</v>
      </c>
      <c r="T3144" t="s">
        <v>30</v>
      </c>
      <c r="U3144" t="s">
        <v>26019</v>
      </c>
      <c r="W3144" t="s">
        <v>26009</v>
      </c>
    </row>
    <row r="3145" spans="1:23" x14ac:dyDescent="0.35">
      <c r="A3145">
        <v>690245</v>
      </c>
      <c r="B3145" t="s">
        <v>8490</v>
      </c>
      <c r="C3145" t="str">
        <f>"9781855754553"</f>
        <v>9781855754553</v>
      </c>
      <c r="D3145" t="str">
        <f>"9781849404655"</f>
        <v>9781849404655</v>
      </c>
      <c r="E3145" t="s">
        <v>26010</v>
      </c>
      <c r="F3145" t="s">
        <v>35</v>
      </c>
      <c r="G3145" t="s">
        <v>22174</v>
      </c>
      <c r="H3145" t="s">
        <v>26011</v>
      </c>
      <c r="I3145" s="26">
        <v>38643</v>
      </c>
      <c r="J3145">
        <v>2005</v>
      </c>
      <c r="K3145" t="s">
        <v>26012</v>
      </c>
      <c r="L3145">
        <v>913</v>
      </c>
      <c r="M3145" t="s">
        <v>37521</v>
      </c>
      <c r="N3145">
        <v>1</v>
      </c>
      <c r="Q3145" t="s">
        <v>37522</v>
      </c>
      <c r="R3145">
        <v>616.89170000000001</v>
      </c>
      <c r="S3145" t="s">
        <v>36663</v>
      </c>
      <c r="T3145" t="s">
        <v>30</v>
      </c>
      <c r="U3145" t="s">
        <v>26116</v>
      </c>
      <c r="W3145" t="s">
        <v>26009</v>
      </c>
    </row>
    <row r="3146" spans="1:23" x14ac:dyDescent="0.35">
      <c r="A3146">
        <v>690246</v>
      </c>
      <c r="B3146" t="s">
        <v>10283</v>
      </c>
      <c r="C3146" t="str">
        <f>"9781855753686"</f>
        <v>9781855753686</v>
      </c>
      <c r="D3146" t="str">
        <f>"9781849404969"</f>
        <v>9781849404969</v>
      </c>
      <c r="E3146" t="s">
        <v>26010</v>
      </c>
      <c r="F3146" t="s">
        <v>35</v>
      </c>
      <c r="G3146" t="s">
        <v>22174</v>
      </c>
      <c r="H3146" t="s">
        <v>26011</v>
      </c>
      <c r="I3146" s="26">
        <v>38717</v>
      </c>
      <c r="J3146">
        <v>2005</v>
      </c>
      <c r="K3146" t="s">
        <v>26012</v>
      </c>
      <c r="L3146">
        <v>129</v>
      </c>
      <c r="M3146" t="s">
        <v>37523</v>
      </c>
      <c r="N3146">
        <v>1</v>
      </c>
      <c r="O3146" t="s">
        <v>36678</v>
      </c>
      <c r="Q3146" t="s">
        <v>37524</v>
      </c>
      <c r="R3146">
        <v>649.12199999999996</v>
      </c>
      <c r="S3146" t="s">
        <v>37525</v>
      </c>
      <c r="T3146" t="s">
        <v>30</v>
      </c>
      <c r="U3146" t="s">
        <v>29704</v>
      </c>
      <c r="W3146" t="s">
        <v>26009</v>
      </c>
    </row>
    <row r="3147" spans="1:23" x14ac:dyDescent="0.35">
      <c r="A3147">
        <v>690247</v>
      </c>
      <c r="B3147" t="s">
        <v>37526</v>
      </c>
      <c r="C3147" t="str">
        <f>"9781855753105"</f>
        <v>9781855753105</v>
      </c>
      <c r="D3147" t="str">
        <f>"9781849404983"</f>
        <v>9781849404983</v>
      </c>
      <c r="E3147" t="s">
        <v>26010</v>
      </c>
      <c r="F3147" t="s">
        <v>35</v>
      </c>
      <c r="G3147" t="s">
        <v>22174</v>
      </c>
      <c r="H3147" t="s">
        <v>26011</v>
      </c>
      <c r="I3147" s="26">
        <v>38412</v>
      </c>
      <c r="J3147">
        <v>2005</v>
      </c>
      <c r="K3147" t="s">
        <v>26012</v>
      </c>
      <c r="L3147">
        <v>273</v>
      </c>
      <c r="M3147" t="s">
        <v>36811</v>
      </c>
      <c r="N3147">
        <v>1</v>
      </c>
      <c r="Q3147" t="s">
        <v>37527</v>
      </c>
      <c r="R3147" t="s">
        <v>37528</v>
      </c>
      <c r="S3147" t="s">
        <v>37529</v>
      </c>
      <c r="T3147" t="s">
        <v>30</v>
      </c>
      <c r="U3147" t="s">
        <v>366</v>
      </c>
      <c r="W3147" t="s">
        <v>26009</v>
      </c>
    </row>
    <row r="3148" spans="1:23" x14ac:dyDescent="0.35">
      <c r="A3148">
        <v>690248</v>
      </c>
      <c r="B3148" t="s">
        <v>37530</v>
      </c>
      <c r="C3148" t="str">
        <f>"9781855759640"</f>
        <v>9781855759640</v>
      </c>
      <c r="D3148" t="str">
        <f>"9781849404532"</f>
        <v>9781849404532</v>
      </c>
      <c r="E3148" t="s">
        <v>26010</v>
      </c>
      <c r="F3148" t="s">
        <v>35</v>
      </c>
      <c r="G3148" t="s">
        <v>22174</v>
      </c>
      <c r="H3148" t="s">
        <v>26011</v>
      </c>
      <c r="I3148" s="26">
        <v>38352</v>
      </c>
      <c r="J3148">
        <v>2004</v>
      </c>
      <c r="K3148" t="s">
        <v>26012</v>
      </c>
      <c r="L3148">
        <v>237</v>
      </c>
      <c r="M3148" t="s">
        <v>37531</v>
      </c>
      <c r="N3148">
        <v>1</v>
      </c>
      <c r="O3148" t="s">
        <v>36500</v>
      </c>
      <c r="Q3148" t="s">
        <v>37532</v>
      </c>
      <c r="R3148">
        <v>616.89139999999998</v>
      </c>
      <c r="S3148" t="s">
        <v>37533</v>
      </c>
      <c r="T3148" t="s">
        <v>30</v>
      </c>
      <c r="U3148" t="s">
        <v>26019</v>
      </c>
      <c r="W3148" t="s">
        <v>26009</v>
      </c>
    </row>
    <row r="3149" spans="1:23" x14ac:dyDescent="0.35">
      <c r="A3149">
        <v>690252</v>
      </c>
      <c r="B3149" t="s">
        <v>10131</v>
      </c>
      <c r="C3149" t="str">
        <f>"9781855759879"</f>
        <v>9781855759879</v>
      </c>
      <c r="D3149" t="str">
        <f>"9781849404099"</f>
        <v>9781849404099</v>
      </c>
      <c r="E3149" t="s">
        <v>26010</v>
      </c>
      <c r="F3149" t="s">
        <v>35</v>
      </c>
      <c r="G3149" t="s">
        <v>22174</v>
      </c>
      <c r="H3149" t="s">
        <v>26011</v>
      </c>
      <c r="I3149" s="26">
        <v>37986</v>
      </c>
      <c r="J3149">
        <v>2003</v>
      </c>
      <c r="K3149" t="s">
        <v>26012</v>
      </c>
      <c r="L3149">
        <v>237</v>
      </c>
      <c r="M3149" t="s">
        <v>36507</v>
      </c>
      <c r="N3149">
        <v>1</v>
      </c>
      <c r="O3149" t="s">
        <v>36814</v>
      </c>
      <c r="Q3149" t="s">
        <v>37534</v>
      </c>
      <c r="R3149">
        <v>150.19499999999999</v>
      </c>
      <c r="S3149" t="s">
        <v>37535</v>
      </c>
      <c r="T3149" t="s">
        <v>30</v>
      </c>
      <c r="U3149" t="s">
        <v>46</v>
      </c>
      <c r="W3149" t="s">
        <v>26009</v>
      </c>
    </row>
    <row r="3150" spans="1:23" x14ac:dyDescent="0.35">
      <c r="A3150">
        <v>690253</v>
      </c>
      <c r="B3150" t="s">
        <v>37536</v>
      </c>
      <c r="C3150" t="str">
        <f>"9781855759800"</f>
        <v>9781855759800</v>
      </c>
      <c r="D3150" t="str">
        <f>"9781849404112"</f>
        <v>9781849404112</v>
      </c>
      <c r="E3150" t="s">
        <v>26010</v>
      </c>
      <c r="F3150" t="s">
        <v>35</v>
      </c>
      <c r="G3150" t="s">
        <v>26128</v>
      </c>
      <c r="H3150" t="s">
        <v>26011</v>
      </c>
      <c r="I3150" s="26">
        <v>37698</v>
      </c>
      <c r="J3150">
        <v>2003</v>
      </c>
      <c r="K3150" t="s">
        <v>26012</v>
      </c>
      <c r="L3150">
        <v>145</v>
      </c>
      <c r="M3150" t="s">
        <v>37537</v>
      </c>
      <c r="N3150">
        <v>1</v>
      </c>
      <c r="S3150" t="s">
        <v>7808</v>
      </c>
      <c r="T3150" t="s">
        <v>30</v>
      </c>
      <c r="U3150" t="s">
        <v>46</v>
      </c>
      <c r="W3150" t="s">
        <v>26009</v>
      </c>
    </row>
    <row r="3151" spans="1:23" x14ac:dyDescent="0.35">
      <c r="A3151">
        <v>690254</v>
      </c>
      <c r="B3151" t="s">
        <v>8755</v>
      </c>
      <c r="C3151" t="str">
        <f>"9781855759763"</f>
        <v>9781855759763</v>
      </c>
      <c r="D3151" t="str">
        <f>"9781849403351"</f>
        <v>9781849403351</v>
      </c>
      <c r="E3151" t="s">
        <v>26010</v>
      </c>
      <c r="F3151" t="s">
        <v>35</v>
      </c>
      <c r="G3151" t="s">
        <v>22174</v>
      </c>
      <c r="H3151" t="s">
        <v>26011</v>
      </c>
      <c r="I3151" s="26">
        <v>37621</v>
      </c>
      <c r="J3151">
        <v>2002</v>
      </c>
      <c r="K3151" t="s">
        <v>26012</v>
      </c>
      <c r="L3151">
        <v>122</v>
      </c>
      <c r="M3151" t="s">
        <v>37538</v>
      </c>
      <c r="N3151">
        <v>1</v>
      </c>
      <c r="O3151" t="s">
        <v>37539</v>
      </c>
      <c r="Q3151" t="s">
        <v>37540</v>
      </c>
      <c r="R3151">
        <v>616.89139999999998</v>
      </c>
      <c r="S3151" t="s">
        <v>36561</v>
      </c>
      <c r="T3151" t="s">
        <v>30</v>
      </c>
      <c r="U3151" t="s">
        <v>26019</v>
      </c>
      <c r="W3151" t="s">
        <v>26009</v>
      </c>
    </row>
    <row r="3152" spans="1:23" x14ac:dyDescent="0.35">
      <c r="A3152">
        <v>690255</v>
      </c>
      <c r="B3152" t="s">
        <v>7783</v>
      </c>
      <c r="C3152" t="str">
        <f>"9781855752825"</f>
        <v>9781855752825</v>
      </c>
      <c r="D3152" t="str">
        <f>"9780429911750"</f>
        <v>9780429911750</v>
      </c>
      <c r="E3152" t="s">
        <v>26010</v>
      </c>
      <c r="F3152" t="s">
        <v>35</v>
      </c>
      <c r="G3152" t="s">
        <v>22174</v>
      </c>
      <c r="H3152" t="s">
        <v>26011</v>
      </c>
      <c r="I3152" s="26">
        <v>37621</v>
      </c>
      <c r="J3152">
        <v>2002</v>
      </c>
      <c r="K3152" t="s">
        <v>26012</v>
      </c>
      <c r="L3152">
        <v>128</v>
      </c>
      <c r="M3152" t="s">
        <v>37538</v>
      </c>
      <c r="N3152">
        <v>1</v>
      </c>
      <c r="O3152" t="s">
        <v>37539</v>
      </c>
      <c r="Q3152" t="s">
        <v>37541</v>
      </c>
      <c r="R3152">
        <v>616.89139999999998</v>
      </c>
      <c r="S3152" t="s">
        <v>36561</v>
      </c>
      <c r="T3152" t="s">
        <v>30</v>
      </c>
      <c r="U3152" t="s">
        <v>26019</v>
      </c>
      <c r="W3152" t="s">
        <v>26009</v>
      </c>
    </row>
    <row r="3153" spans="1:23" x14ac:dyDescent="0.35">
      <c r="A3153">
        <v>690256</v>
      </c>
      <c r="B3153" t="s">
        <v>37542</v>
      </c>
      <c r="C3153" t="str">
        <f>"9781855752924"</f>
        <v>9781855752924</v>
      </c>
      <c r="D3153" t="str">
        <f>"9781849403368"</f>
        <v>9781849403368</v>
      </c>
      <c r="E3153" t="s">
        <v>26010</v>
      </c>
      <c r="F3153" t="s">
        <v>35</v>
      </c>
      <c r="G3153" t="s">
        <v>22174</v>
      </c>
      <c r="H3153" t="s">
        <v>26011</v>
      </c>
      <c r="I3153" s="26">
        <v>37621</v>
      </c>
      <c r="J3153">
        <v>2002</v>
      </c>
      <c r="K3153" t="s">
        <v>26012</v>
      </c>
      <c r="L3153">
        <v>343</v>
      </c>
      <c r="M3153" t="s">
        <v>37543</v>
      </c>
      <c r="N3153">
        <v>1</v>
      </c>
      <c r="O3153" t="s">
        <v>36500</v>
      </c>
      <c r="Q3153" t="s">
        <v>37544</v>
      </c>
      <c r="R3153">
        <v>155.422</v>
      </c>
      <c r="S3153" t="s">
        <v>37545</v>
      </c>
      <c r="T3153" t="s">
        <v>30</v>
      </c>
      <c r="U3153" t="s">
        <v>26116</v>
      </c>
      <c r="W3153" t="s">
        <v>26009</v>
      </c>
    </row>
    <row r="3154" spans="1:23" x14ac:dyDescent="0.35">
      <c r="A3154">
        <v>690257</v>
      </c>
      <c r="B3154" t="s">
        <v>9399</v>
      </c>
      <c r="C3154" t="str">
        <f>"9781855752801"</f>
        <v>9781855752801</v>
      </c>
      <c r="D3154" t="str">
        <f>"9781849403382"</f>
        <v>9781849403382</v>
      </c>
      <c r="E3154" t="s">
        <v>26010</v>
      </c>
      <c r="F3154" t="s">
        <v>35</v>
      </c>
      <c r="G3154" t="s">
        <v>22174</v>
      </c>
      <c r="H3154" t="s">
        <v>26011</v>
      </c>
      <c r="I3154" s="26">
        <v>37621</v>
      </c>
      <c r="J3154">
        <v>2002</v>
      </c>
      <c r="K3154" t="s">
        <v>26012</v>
      </c>
      <c r="L3154">
        <v>249</v>
      </c>
      <c r="M3154" t="s">
        <v>37546</v>
      </c>
      <c r="N3154">
        <v>1</v>
      </c>
      <c r="O3154" t="s">
        <v>36505</v>
      </c>
      <c r="Q3154" t="s">
        <v>37547</v>
      </c>
      <c r="R3154">
        <v>616.89149999999995</v>
      </c>
      <c r="S3154" t="s">
        <v>9400</v>
      </c>
      <c r="T3154" t="s">
        <v>30</v>
      </c>
      <c r="U3154" t="s">
        <v>26019</v>
      </c>
      <c r="W3154" t="s">
        <v>26009</v>
      </c>
    </row>
    <row r="3155" spans="1:23" x14ac:dyDescent="0.35">
      <c r="A3155">
        <v>690258</v>
      </c>
      <c r="B3155" t="s">
        <v>7947</v>
      </c>
      <c r="C3155" t="str">
        <f>"9781855752917"</f>
        <v>9781855752917</v>
      </c>
      <c r="D3155" t="str">
        <f>"9781849403610"</f>
        <v>9781849403610</v>
      </c>
      <c r="E3155" t="s">
        <v>26010</v>
      </c>
      <c r="F3155" t="s">
        <v>35</v>
      </c>
      <c r="G3155" t="s">
        <v>22174</v>
      </c>
      <c r="H3155" t="s">
        <v>26011</v>
      </c>
      <c r="I3155" s="26">
        <v>37621</v>
      </c>
      <c r="J3155">
        <v>2002</v>
      </c>
      <c r="K3155" t="s">
        <v>26012</v>
      </c>
      <c r="L3155">
        <v>161</v>
      </c>
      <c r="M3155" t="s">
        <v>37548</v>
      </c>
      <c r="N3155">
        <v>1</v>
      </c>
      <c r="Q3155" t="s">
        <v>37549</v>
      </c>
      <c r="R3155">
        <v>155.63300000000001</v>
      </c>
      <c r="S3155" t="s">
        <v>7948</v>
      </c>
      <c r="T3155" t="s">
        <v>30</v>
      </c>
      <c r="U3155" t="s">
        <v>26170</v>
      </c>
      <c r="W3155" t="s">
        <v>26009</v>
      </c>
    </row>
    <row r="3156" spans="1:23" x14ac:dyDescent="0.35">
      <c r="A3156">
        <v>690260</v>
      </c>
      <c r="B3156" t="s">
        <v>37550</v>
      </c>
      <c r="C3156" t="str">
        <f>"9781855752795"</f>
        <v>9781855752795</v>
      </c>
      <c r="D3156" t="str">
        <f>"9781849403641"</f>
        <v>9781849403641</v>
      </c>
      <c r="E3156" t="s">
        <v>26010</v>
      </c>
      <c r="F3156" t="s">
        <v>35</v>
      </c>
      <c r="G3156" t="s">
        <v>22174</v>
      </c>
      <c r="H3156" t="s">
        <v>26011</v>
      </c>
      <c r="I3156" s="26">
        <v>37403</v>
      </c>
      <c r="J3156">
        <v>2002</v>
      </c>
      <c r="K3156" t="s">
        <v>26012</v>
      </c>
      <c r="L3156">
        <v>250</v>
      </c>
      <c r="M3156" t="s">
        <v>36640</v>
      </c>
      <c r="N3156">
        <v>1</v>
      </c>
      <c r="Q3156" t="s">
        <v>37551</v>
      </c>
      <c r="R3156">
        <v>616.89</v>
      </c>
      <c r="S3156" t="s">
        <v>37552</v>
      </c>
      <c r="T3156" t="s">
        <v>30</v>
      </c>
      <c r="U3156" t="s">
        <v>26282</v>
      </c>
      <c r="W3156" t="s">
        <v>26009</v>
      </c>
    </row>
    <row r="3157" spans="1:23" x14ac:dyDescent="0.35">
      <c r="A3157">
        <v>690261</v>
      </c>
      <c r="B3157" t="s">
        <v>9483</v>
      </c>
      <c r="C3157" t="str">
        <f>"9781855752856"</f>
        <v>9781855752856</v>
      </c>
      <c r="D3157" t="str">
        <f>"9781849403658"</f>
        <v>9781849403658</v>
      </c>
      <c r="E3157" t="s">
        <v>26010</v>
      </c>
      <c r="F3157" t="s">
        <v>35</v>
      </c>
      <c r="G3157" t="s">
        <v>22174</v>
      </c>
      <c r="H3157" t="s">
        <v>26011</v>
      </c>
      <c r="I3157" s="26">
        <v>37621</v>
      </c>
      <c r="J3157">
        <v>2002</v>
      </c>
      <c r="K3157" t="s">
        <v>26012</v>
      </c>
      <c r="L3157">
        <v>262</v>
      </c>
      <c r="M3157" t="s">
        <v>37553</v>
      </c>
      <c r="N3157">
        <v>1</v>
      </c>
      <c r="Q3157" t="s">
        <v>37554</v>
      </c>
      <c r="R3157">
        <v>150.1952</v>
      </c>
      <c r="S3157" t="s">
        <v>7661</v>
      </c>
      <c r="T3157" t="s">
        <v>30</v>
      </c>
      <c r="U3157" t="s">
        <v>46</v>
      </c>
      <c r="W3157" t="s">
        <v>26009</v>
      </c>
    </row>
    <row r="3158" spans="1:23" x14ac:dyDescent="0.35">
      <c r="A3158">
        <v>690262</v>
      </c>
      <c r="B3158" t="s">
        <v>37555</v>
      </c>
      <c r="C3158" t="str">
        <f>"9781855759374"</f>
        <v>9781855759374</v>
      </c>
      <c r="D3158" t="str">
        <f>"9781849403665"</f>
        <v>9781849403665</v>
      </c>
      <c r="E3158" t="s">
        <v>26010</v>
      </c>
      <c r="F3158" t="s">
        <v>35</v>
      </c>
      <c r="G3158" t="s">
        <v>22174</v>
      </c>
      <c r="H3158" t="s">
        <v>26011</v>
      </c>
      <c r="I3158" s="26">
        <v>37621</v>
      </c>
      <c r="J3158">
        <v>2002</v>
      </c>
      <c r="K3158" t="s">
        <v>26012</v>
      </c>
      <c r="L3158">
        <v>289</v>
      </c>
      <c r="M3158" t="s">
        <v>37556</v>
      </c>
      <c r="N3158">
        <v>2</v>
      </c>
      <c r="O3158" t="s">
        <v>36500</v>
      </c>
      <c r="Q3158" t="s">
        <v>37557</v>
      </c>
      <c r="R3158">
        <v>155.19999999999999</v>
      </c>
      <c r="S3158" t="s">
        <v>37558</v>
      </c>
      <c r="T3158" t="s">
        <v>30</v>
      </c>
      <c r="U3158" t="s">
        <v>46</v>
      </c>
      <c r="W3158" t="s">
        <v>26009</v>
      </c>
    </row>
    <row r="3159" spans="1:23" x14ac:dyDescent="0.35">
      <c r="A3159">
        <v>690263</v>
      </c>
      <c r="B3159" t="s">
        <v>37559</v>
      </c>
      <c r="C3159" t="str">
        <f>"9781855759138"</f>
        <v>9781855759138</v>
      </c>
      <c r="D3159" t="str">
        <f>"9781849403689"</f>
        <v>9781849403689</v>
      </c>
      <c r="E3159" t="s">
        <v>26010</v>
      </c>
      <c r="F3159" t="s">
        <v>35</v>
      </c>
      <c r="G3159" t="s">
        <v>22174</v>
      </c>
      <c r="H3159" t="s">
        <v>26011</v>
      </c>
      <c r="I3159" s="26">
        <v>37621</v>
      </c>
      <c r="J3159">
        <v>2000</v>
      </c>
      <c r="K3159" t="s">
        <v>26012</v>
      </c>
      <c r="L3159">
        <v>252</v>
      </c>
      <c r="M3159" t="s">
        <v>37560</v>
      </c>
      <c r="N3159">
        <v>1</v>
      </c>
      <c r="Q3159" t="s">
        <v>37561</v>
      </c>
      <c r="R3159">
        <v>155.33000000000001</v>
      </c>
      <c r="S3159" t="s">
        <v>37562</v>
      </c>
      <c r="T3159" t="s">
        <v>30</v>
      </c>
      <c r="U3159" t="s">
        <v>46</v>
      </c>
      <c r="W3159" t="s">
        <v>26009</v>
      </c>
    </row>
    <row r="3160" spans="1:23" x14ac:dyDescent="0.35">
      <c r="A3160">
        <v>690264</v>
      </c>
      <c r="B3160" t="s">
        <v>37563</v>
      </c>
      <c r="C3160" t="str">
        <f>"9781855752740"</f>
        <v>9781855752740</v>
      </c>
      <c r="D3160" t="str">
        <f>"9781849403696"</f>
        <v>9781849403696</v>
      </c>
      <c r="E3160" t="s">
        <v>26010</v>
      </c>
      <c r="F3160" t="s">
        <v>35</v>
      </c>
      <c r="G3160" t="s">
        <v>22174</v>
      </c>
      <c r="H3160" t="s">
        <v>26011</v>
      </c>
      <c r="I3160" s="26">
        <v>37621</v>
      </c>
      <c r="J3160">
        <v>2002</v>
      </c>
      <c r="K3160" t="s">
        <v>26012</v>
      </c>
      <c r="L3160">
        <v>252</v>
      </c>
      <c r="M3160" t="s">
        <v>35591</v>
      </c>
      <c r="N3160">
        <v>1</v>
      </c>
      <c r="O3160" t="s">
        <v>37564</v>
      </c>
      <c r="Q3160" t="s">
        <v>37565</v>
      </c>
      <c r="R3160">
        <v>616.85852</v>
      </c>
      <c r="S3160" t="s">
        <v>37566</v>
      </c>
      <c r="T3160" t="s">
        <v>30</v>
      </c>
      <c r="U3160" t="s">
        <v>26116</v>
      </c>
      <c r="W3160" t="s">
        <v>26009</v>
      </c>
    </row>
    <row r="3161" spans="1:23" x14ac:dyDescent="0.35">
      <c r="A3161">
        <v>690265</v>
      </c>
      <c r="B3161" t="s">
        <v>37567</v>
      </c>
      <c r="C3161" t="str">
        <f>"9781855752559"</f>
        <v>9781855752559</v>
      </c>
      <c r="D3161" t="str">
        <f>"9781849403108"</f>
        <v>9781849403108</v>
      </c>
      <c r="E3161" t="s">
        <v>26010</v>
      </c>
      <c r="F3161" t="s">
        <v>35</v>
      </c>
      <c r="G3161" t="s">
        <v>22174</v>
      </c>
      <c r="H3161" t="s">
        <v>26011</v>
      </c>
      <c r="I3161" s="26">
        <v>37256</v>
      </c>
      <c r="J3161">
        <v>2001</v>
      </c>
      <c r="K3161" t="s">
        <v>26012</v>
      </c>
      <c r="L3161">
        <v>177</v>
      </c>
      <c r="M3161" t="s">
        <v>36675</v>
      </c>
      <c r="N3161">
        <v>1</v>
      </c>
      <c r="Q3161" t="s">
        <v>37568</v>
      </c>
      <c r="R3161" t="s">
        <v>37569</v>
      </c>
      <c r="S3161" t="s">
        <v>10180</v>
      </c>
      <c r="T3161" t="s">
        <v>30</v>
      </c>
      <c r="U3161" t="s">
        <v>26019</v>
      </c>
      <c r="W3161" t="s">
        <v>26009</v>
      </c>
    </row>
    <row r="3162" spans="1:23" x14ac:dyDescent="0.35">
      <c r="A3162">
        <v>690266</v>
      </c>
      <c r="B3162" t="s">
        <v>9696</v>
      </c>
      <c r="C3162" t="str">
        <f>"9781855752481"</f>
        <v>9781855752481</v>
      </c>
      <c r="D3162" t="str">
        <f>"9781849403115"</f>
        <v>9781849403115</v>
      </c>
      <c r="E3162" t="s">
        <v>26010</v>
      </c>
      <c r="F3162" t="s">
        <v>35</v>
      </c>
      <c r="G3162" t="s">
        <v>22174</v>
      </c>
      <c r="H3162" t="s">
        <v>26011</v>
      </c>
      <c r="I3162" s="26">
        <v>37256</v>
      </c>
      <c r="J3162">
        <v>2001</v>
      </c>
      <c r="K3162" t="s">
        <v>26012</v>
      </c>
      <c r="L3162">
        <v>128</v>
      </c>
      <c r="M3162" t="s">
        <v>37570</v>
      </c>
      <c r="N3162">
        <v>1</v>
      </c>
      <c r="O3162" t="s">
        <v>37571</v>
      </c>
      <c r="Q3162" t="s">
        <v>37572</v>
      </c>
      <c r="R3162">
        <v>616.89170000000001</v>
      </c>
      <c r="S3162" t="s">
        <v>37573</v>
      </c>
      <c r="T3162" t="s">
        <v>30</v>
      </c>
      <c r="U3162" t="s">
        <v>26116</v>
      </c>
      <c r="W3162" t="s">
        <v>26009</v>
      </c>
    </row>
    <row r="3163" spans="1:23" x14ac:dyDescent="0.35">
      <c r="A3163">
        <v>690267</v>
      </c>
      <c r="B3163" t="s">
        <v>37574</v>
      </c>
      <c r="C3163" t="str">
        <f>"9781855752573"</f>
        <v>9781855752573</v>
      </c>
      <c r="D3163" t="str">
        <f>"9781849403221"</f>
        <v>9781849403221</v>
      </c>
      <c r="E3163" t="s">
        <v>26010</v>
      </c>
      <c r="F3163" t="s">
        <v>35</v>
      </c>
      <c r="G3163" t="s">
        <v>22174</v>
      </c>
      <c r="H3163" t="s">
        <v>26011</v>
      </c>
      <c r="I3163" s="26">
        <v>37256</v>
      </c>
      <c r="J3163">
        <v>2001</v>
      </c>
      <c r="K3163" t="s">
        <v>26012</v>
      </c>
      <c r="L3163">
        <v>224</v>
      </c>
      <c r="M3163" t="s">
        <v>37108</v>
      </c>
      <c r="N3163">
        <v>1</v>
      </c>
      <c r="Q3163" t="s">
        <v>37575</v>
      </c>
      <c r="R3163" t="s">
        <v>37576</v>
      </c>
      <c r="S3163" t="s">
        <v>9478</v>
      </c>
      <c r="T3163" t="s">
        <v>30</v>
      </c>
      <c r="U3163" t="s">
        <v>26040</v>
      </c>
      <c r="W3163" t="s">
        <v>26009</v>
      </c>
    </row>
    <row r="3164" spans="1:23" x14ac:dyDescent="0.35">
      <c r="A3164">
        <v>690268</v>
      </c>
      <c r="B3164" t="s">
        <v>37577</v>
      </c>
      <c r="C3164" t="str">
        <f>"9781855751842"</f>
        <v>9781855751842</v>
      </c>
      <c r="D3164" t="str">
        <f>"9781849403276"</f>
        <v>9781849403276</v>
      </c>
      <c r="E3164" t="s">
        <v>26010</v>
      </c>
      <c r="F3164" t="s">
        <v>35</v>
      </c>
      <c r="G3164" t="s">
        <v>22174</v>
      </c>
      <c r="H3164" t="s">
        <v>26011</v>
      </c>
      <c r="I3164" s="26">
        <v>37256</v>
      </c>
      <c r="J3164">
        <v>2001</v>
      </c>
      <c r="K3164" t="s">
        <v>26012</v>
      </c>
      <c r="L3164">
        <v>246</v>
      </c>
      <c r="M3164" t="s">
        <v>37578</v>
      </c>
      <c r="N3164">
        <v>1</v>
      </c>
      <c r="Q3164" t="s">
        <v>37579</v>
      </c>
      <c r="R3164" t="s">
        <v>37580</v>
      </c>
      <c r="S3164" t="s">
        <v>10229</v>
      </c>
      <c r="T3164" t="s">
        <v>30</v>
      </c>
      <c r="U3164" t="s">
        <v>26019</v>
      </c>
      <c r="W3164" t="s">
        <v>26009</v>
      </c>
    </row>
    <row r="3165" spans="1:23" x14ac:dyDescent="0.35">
      <c r="A3165">
        <v>690269</v>
      </c>
      <c r="B3165" t="s">
        <v>37581</v>
      </c>
      <c r="C3165" t="str">
        <f>"9781855752702"</f>
        <v>9781855752702</v>
      </c>
      <c r="D3165" t="str">
        <f>"9781849403283"</f>
        <v>9781849403283</v>
      </c>
      <c r="E3165" t="s">
        <v>26010</v>
      </c>
      <c r="F3165" t="s">
        <v>35</v>
      </c>
      <c r="G3165" t="s">
        <v>22174</v>
      </c>
      <c r="H3165" t="s">
        <v>26011</v>
      </c>
      <c r="I3165" s="26">
        <v>36923</v>
      </c>
      <c r="J3165">
        <v>2001</v>
      </c>
      <c r="K3165" t="s">
        <v>26012</v>
      </c>
      <c r="L3165">
        <v>305</v>
      </c>
      <c r="M3165" t="s">
        <v>37582</v>
      </c>
      <c r="N3165">
        <v>1</v>
      </c>
      <c r="Q3165" t="s">
        <v>37583</v>
      </c>
      <c r="R3165">
        <v>150.19499999999999</v>
      </c>
      <c r="S3165" t="s">
        <v>37584</v>
      </c>
      <c r="T3165" t="s">
        <v>30</v>
      </c>
      <c r="U3165" t="s">
        <v>46</v>
      </c>
      <c r="W3165" t="s">
        <v>26009</v>
      </c>
    </row>
    <row r="3166" spans="1:23" x14ac:dyDescent="0.35">
      <c r="A3166">
        <v>690270</v>
      </c>
      <c r="B3166" t="s">
        <v>37585</v>
      </c>
      <c r="C3166" t="str">
        <f>"9781855752382"</f>
        <v>9781855752382</v>
      </c>
      <c r="D3166" t="str">
        <f>"9781849403306"</f>
        <v>9781849403306</v>
      </c>
      <c r="E3166" t="s">
        <v>26010</v>
      </c>
      <c r="F3166" t="s">
        <v>35</v>
      </c>
      <c r="G3166" t="s">
        <v>22174</v>
      </c>
      <c r="H3166" t="s">
        <v>26011</v>
      </c>
      <c r="I3166" s="26">
        <v>37256</v>
      </c>
      <c r="J3166">
        <v>2001</v>
      </c>
      <c r="K3166" t="s">
        <v>26012</v>
      </c>
      <c r="L3166">
        <v>121</v>
      </c>
      <c r="M3166" t="s">
        <v>37586</v>
      </c>
      <c r="N3166">
        <v>1</v>
      </c>
      <c r="Q3166" t="s">
        <v>37587</v>
      </c>
      <c r="R3166">
        <v>616.85852</v>
      </c>
      <c r="S3166" t="s">
        <v>8237</v>
      </c>
      <c r="T3166" t="s">
        <v>30</v>
      </c>
      <c r="U3166" t="s">
        <v>26019</v>
      </c>
      <c r="W3166" t="s">
        <v>26009</v>
      </c>
    </row>
    <row r="3167" spans="1:23" x14ac:dyDescent="0.35">
      <c r="A3167">
        <v>690272</v>
      </c>
      <c r="B3167" t="s">
        <v>8441</v>
      </c>
      <c r="C3167" t="str">
        <f>"9781855752443"</f>
        <v>9781855752443</v>
      </c>
      <c r="D3167" t="str">
        <f>"9780429913891"</f>
        <v>9780429913891</v>
      </c>
      <c r="E3167" t="s">
        <v>26010</v>
      </c>
      <c r="F3167" t="s">
        <v>35</v>
      </c>
      <c r="G3167" t="s">
        <v>22174</v>
      </c>
      <c r="H3167" t="s">
        <v>26011</v>
      </c>
      <c r="I3167" s="26">
        <v>36891</v>
      </c>
      <c r="J3167">
        <v>2000</v>
      </c>
      <c r="K3167" t="s">
        <v>26012</v>
      </c>
      <c r="L3167">
        <v>223</v>
      </c>
      <c r="M3167" t="s">
        <v>37588</v>
      </c>
      <c r="N3167">
        <v>1</v>
      </c>
      <c r="O3167" t="s">
        <v>37283</v>
      </c>
      <c r="Q3167" t="s">
        <v>37589</v>
      </c>
      <c r="R3167">
        <v>616.89170000000001</v>
      </c>
      <c r="S3167" t="s">
        <v>8442</v>
      </c>
      <c r="T3167" t="s">
        <v>30</v>
      </c>
      <c r="U3167" t="s">
        <v>26116</v>
      </c>
      <c r="W3167" t="s">
        <v>26009</v>
      </c>
    </row>
    <row r="3168" spans="1:23" x14ac:dyDescent="0.35">
      <c r="A3168">
        <v>690273</v>
      </c>
      <c r="B3168" t="s">
        <v>37590</v>
      </c>
      <c r="C3168" t="str">
        <f>"9781855759602"</f>
        <v>9781855759602</v>
      </c>
      <c r="D3168" t="str">
        <f>"9781849402880"</f>
        <v>9781849402880</v>
      </c>
      <c r="E3168" t="s">
        <v>26010</v>
      </c>
      <c r="F3168" t="s">
        <v>35</v>
      </c>
      <c r="G3168" t="s">
        <v>26128</v>
      </c>
      <c r="H3168" t="s">
        <v>26011</v>
      </c>
      <c r="I3168" s="26">
        <v>36891</v>
      </c>
      <c r="J3168">
        <v>1997</v>
      </c>
      <c r="K3168" t="s">
        <v>26012</v>
      </c>
      <c r="L3168">
        <v>258</v>
      </c>
      <c r="M3168" t="s">
        <v>36908</v>
      </c>
      <c r="N3168">
        <v>1</v>
      </c>
      <c r="S3168" t="s">
        <v>7661</v>
      </c>
      <c r="T3168" t="s">
        <v>30</v>
      </c>
      <c r="U3168" t="s">
        <v>46</v>
      </c>
      <c r="W3168" t="s">
        <v>26009</v>
      </c>
    </row>
    <row r="3169" spans="1:23" x14ac:dyDescent="0.35">
      <c r="A3169">
        <v>690274</v>
      </c>
      <c r="B3169" t="s">
        <v>37591</v>
      </c>
      <c r="C3169" t="str">
        <f>"9781855753365"</f>
        <v>9781855753365</v>
      </c>
      <c r="D3169" t="str">
        <f>"9781849402910"</f>
        <v>9781849402910</v>
      </c>
      <c r="E3169" t="s">
        <v>26010</v>
      </c>
      <c r="F3169" t="s">
        <v>35</v>
      </c>
      <c r="G3169" t="s">
        <v>22174</v>
      </c>
      <c r="H3169" t="s">
        <v>26011</v>
      </c>
      <c r="I3169" s="26">
        <v>36891</v>
      </c>
      <c r="J3169">
        <v>2000</v>
      </c>
      <c r="K3169" t="s">
        <v>26012</v>
      </c>
      <c r="L3169">
        <v>335</v>
      </c>
      <c r="M3169" t="s">
        <v>37592</v>
      </c>
      <c r="N3169">
        <v>2</v>
      </c>
      <c r="Q3169" t="s">
        <v>37593</v>
      </c>
      <c r="R3169" t="s">
        <v>26422</v>
      </c>
      <c r="S3169" t="s">
        <v>7858</v>
      </c>
      <c r="T3169" t="s">
        <v>30</v>
      </c>
      <c r="U3169" t="s">
        <v>26040</v>
      </c>
      <c r="W3169" t="s">
        <v>26009</v>
      </c>
    </row>
    <row r="3170" spans="1:23" x14ac:dyDescent="0.35">
      <c r="A3170">
        <v>690275</v>
      </c>
      <c r="B3170" t="s">
        <v>9137</v>
      </c>
      <c r="C3170" t="str">
        <f>"9781892746689"</f>
        <v>9781892746689</v>
      </c>
      <c r="D3170" t="str">
        <f>"9781849402934"</f>
        <v>9781849402934</v>
      </c>
      <c r="E3170" t="s">
        <v>26010</v>
      </c>
      <c r="F3170" t="s">
        <v>35</v>
      </c>
      <c r="G3170" t="s">
        <v>22174</v>
      </c>
      <c r="H3170" t="s">
        <v>26011</v>
      </c>
      <c r="I3170" s="26">
        <v>36877</v>
      </c>
      <c r="J3170">
        <v>2000</v>
      </c>
      <c r="K3170" t="s">
        <v>26012</v>
      </c>
      <c r="L3170">
        <v>209</v>
      </c>
      <c r="M3170" t="s">
        <v>37594</v>
      </c>
      <c r="N3170">
        <v>1</v>
      </c>
      <c r="O3170" t="s">
        <v>37564</v>
      </c>
      <c r="Q3170" t="s">
        <v>37595</v>
      </c>
      <c r="R3170">
        <v>153</v>
      </c>
      <c r="S3170" t="s">
        <v>8424</v>
      </c>
      <c r="T3170" t="s">
        <v>30</v>
      </c>
      <c r="U3170" t="s">
        <v>46</v>
      </c>
      <c r="W3170" t="s">
        <v>26009</v>
      </c>
    </row>
    <row r="3171" spans="1:23" x14ac:dyDescent="0.35">
      <c r="A3171">
        <v>690276</v>
      </c>
      <c r="B3171" t="s">
        <v>8203</v>
      </c>
      <c r="C3171" t="str">
        <f>"9781855759787"</f>
        <v>9781855759787</v>
      </c>
      <c r="D3171" t="str">
        <f>"9781849402941"</f>
        <v>9781849402941</v>
      </c>
      <c r="E3171" t="s">
        <v>26010</v>
      </c>
      <c r="F3171" t="s">
        <v>35</v>
      </c>
      <c r="G3171" t="s">
        <v>22174</v>
      </c>
      <c r="H3171" t="s">
        <v>26011</v>
      </c>
      <c r="I3171" s="26">
        <v>36891</v>
      </c>
      <c r="J3171">
        <v>2000</v>
      </c>
      <c r="K3171" t="s">
        <v>26012</v>
      </c>
      <c r="L3171">
        <v>145</v>
      </c>
      <c r="M3171" t="s">
        <v>37434</v>
      </c>
      <c r="N3171">
        <v>1</v>
      </c>
      <c r="O3171" t="s">
        <v>37442</v>
      </c>
      <c r="Q3171" t="s">
        <v>37596</v>
      </c>
      <c r="R3171">
        <v>154.63</v>
      </c>
      <c r="S3171" t="s">
        <v>37597</v>
      </c>
      <c r="T3171" t="s">
        <v>30</v>
      </c>
      <c r="U3171" t="s">
        <v>46</v>
      </c>
      <c r="W3171" t="s">
        <v>26009</v>
      </c>
    </row>
    <row r="3172" spans="1:23" x14ac:dyDescent="0.35">
      <c r="A3172">
        <v>690277</v>
      </c>
      <c r="B3172" t="s">
        <v>37598</v>
      </c>
      <c r="C3172" t="str">
        <f>"9781855752290"</f>
        <v>9781855752290</v>
      </c>
      <c r="D3172" t="str">
        <f>"9781849402972"</f>
        <v>9781849402972</v>
      </c>
      <c r="E3172" t="s">
        <v>26010</v>
      </c>
      <c r="F3172" t="s">
        <v>35</v>
      </c>
      <c r="G3172" t="s">
        <v>22174</v>
      </c>
      <c r="H3172" t="s">
        <v>26011</v>
      </c>
      <c r="I3172" s="26">
        <v>36891</v>
      </c>
      <c r="J3172">
        <v>2000</v>
      </c>
      <c r="K3172" t="s">
        <v>26012</v>
      </c>
      <c r="L3172">
        <v>215</v>
      </c>
      <c r="M3172" t="s">
        <v>37599</v>
      </c>
      <c r="N3172">
        <v>1</v>
      </c>
      <c r="O3172" t="s">
        <v>37283</v>
      </c>
      <c r="Q3172" t="s">
        <v>37600</v>
      </c>
      <c r="R3172">
        <v>616.89170000000001</v>
      </c>
      <c r="S3172" t="s">
        <v>37601</v>
      </c>
      <c r="T3172" t="s">
        <v>30</v>
      </c>
      <c r="U3172" t="s">
        <v>26116</v>
      </c>
      <c r="W3172" t="s">
        <v>26009</v>
      </c>
    </row>
    <row r="3173" spans="1:23" x14ac:dyDescent="0.35">
      <c r="A3173">
        <v>690278</v>
      </c>
      <c r="B3173" t="s">
        <v>37602</v>
      </c>
      <c r="C3173" t="str">
        <f>"9781855759084"</f>
        <v>9781855759084</v>
      </c>
      <c r="D3173" t="str">
        <f>"9781849402996"</f>
        <v>9781849402996</v>
      </c>
      <c r="E3173" t="s">
        <v>26010</v>
      </c>
      <c r="F3173" t="s">
        <v>35</v>
      </c>
      <c r="G3173" t="s">
        <v>22174</v>
      </c>
      <c r="H3173" t="s">
        <v>26011</v>
      </c>
      <c r="I3173" s="26">
        <v>36891</v>
      </c>
      <c r="J3173">
        <v>2000</v>
      </c>
      <c r="K3173" t="s">
        <v>26012</v>
      </c>
      <c r="L3173">
        <v>167</v>
      </c>
      <c r="M3173" t="s">
        <v>37603</v>
      </c>
      <c r="N3173">
        <v>1</v>
      </c>
      <c r="Q3173" t="s">
        <v>37604</v>
      </c>
      <c r="R3173" t="s">
        <v>37605</v>
      </c>
      <c r="S3173" t="s">
        <v>9109</v>
      </c>
      <c r="T3173" t="s">
        <v>30</v>
      </c>
      <c r="U3173" t="s">
        <v>26116</v>
      </c>
      <c r="W3173" t="s">
        <v>26009</v>
      </c>
    </row>
    <row r="3174" spans="1:23" x14ac:dyDescent="0.35">
      <c r="A3174">
        <v>690279</v>
      </c>
      <c r="B3174" t="s">
        <v>37606</v>
      </c>
      <c r="C3174" t="str">
        <f>"9781855752511"</f>
        <v>9781855752511</v>
      </c>
      <c r="D3174" t="str">
        <f>"9781849403016"</f>
        <v>9781849403016</v>
      </c>
      <c r="E3174" t="s">
        <v>26010</v>
      </c>
      <c r="F3174" t="s">
        <v>35</v>
      </c>
      <c r="G3174" t="s">
        <v>22174</v>
      </c>
      <c r="H3174" t="s">
        <v>26011</v>
      </c>
      <c r="I3174" s="26">
        <v>36891</v>
      </c>
      <c r="J3174">
        <v>2000</v>
      </c>
      <c r="K3174" t="s">
        <v>26012</v>
      </c>
      <c r="L3174">
        <v>375</v>
      </c>
      <c r="M3174" t="s">
        <v>36507</v>
      </c>
      <c r="N3174">
        <v>1</v>
      </c>
      <c r="Q3174" t="s">
        <v>37607</v>
      </c>
      <c r="R3174">
        <v>150.19509410000001</v>
      </c>
      <c r="S3174" t="s">
        <v>10081</v>
      </c>
      <c r="T3174" t="s">
        <v>30</v>
      </c>
      <c r="U3174" t="s">
        <v>46</v>
      </c>
      <c r="W3174" t="s">
        <v>26009</v>
      </c>
    </row>
    <row r="3175" spans="1:23" x14ac:dyDescent="0.35">
      <c r="A3175">
        <v>690280</v>
      </c>
      <c r="B3175" t="s">
        <v>8784</v>
      </c>
      <c r="C3175" t="str">
        <f>"9781855752436"</f>
        <v>9781855752436</v>
      </c>
      <c r="D3175" t="str">
        <f>"9781849403023"</f>
        <v>9781849403023</v>
      </c>
      <c r="E3175" t="s">
        <v>26010</v>
      </c>
      <c r="F3175" t="s">
        <v>35</v>
      </c>
      <c r="G3175" t="s">
        <v>22174</v>
      </c>
      <c r="H3175" t="s">
        <v>26011</v>
      </c>
      <c r="I3175" s="26">
        <v>36816</v>
      </c>
      <c r="J3175">
        <v>2000</v>
      </c>
      <c r="K3175" t="s">
        <v>26012</v>
      </c>
      <c r="L3175">
        <v>257</v>
      </c>
      <c r="M3175" t="s">
        <v>37608</v>
      </c>
      <c r="N3175">
        <v>1</v>
      </c>
      <c r="Q3175" t="s">
        <v>37609</v>
      </c>
      <c r="R3175">
        <v>150.19499999999999</v>
      </c>
      <c r="S3175" t="s">
        <v>37610</v>
      </c>
      <c r="T3175" t="s">
        <v>30</v>
      </c>
      <c r="U3175" t="s">
        <v>46</v>
      </c>
      <c r="W3175" t="s">
        <v>26009</v>
      </c>
    </row>
    <row r="3176" spans="1:23" x14ac:dyDescent="0.35">
      <c r="A3176">
        <v>690281</v>
      </c>
      <c r="B3176" t="s">
        <v>37611</v>
      </c>
      <c r="C3176" t="str">
        <f>"9781855751873"</f>
        <v>9781855751873</v>
      </c>
      <c r="D3176" t="str">
        <f>"9781849403030"</f>
        <v>9781849403030</v>
      </c>
      <c r="E3176" t="s">
        <v>26010</v>
      </c>
      <c r="F3176" t="s">
        <v>35</v>
      </c>
      <c r="G3176" t="s">
        <v>22174</v>
      </c>
      <c r="H3176" t="s">
        <v>26011</v>
      </c>
      <c r="I3176" s="26">
        <v>36608</v>
      </c>
      <c r="J3176">
        <v>2000</v>
      </c>
      <c r="K3176" t="s">
        <v>26012</v>
      </c>
      <c r="L3176">
        <v>296</v>
      </c>
      <c r="M3176" t="s">
        <v>37612</v>
      </c>
      <c r="N3176">
        <v>1</v>
      </c>
      <c r="Q3176" t="s">
        <v>37613</v>
      </c>
      <c r="R3176">
        <v>150.19509199999999</v>
      </c>
      <c r="S3176" t="s">
        <v>37614</v>
      </c>
      <c r="T3176" t="s">
        <v>30</v>
      </c>
      <c r="U3176" t="s">
        <v>26116</v>
      </c>
      <c r="W3176" t="s">
        <v>26009</v>
      </c>
    </row>
    <row r="3177" spans="1:23" x14ac:dyDescent="0.35">
      <c r="A3177">
        <v>690282</v>
      </c>
      <c r="B3177" t="s">
        <v>37615</v>
      </c>
      <c r="C3177" t="str">
        <f>"9781855752412"</f>
        <v>9781855752412</v>
      </c>
      <c r="D3177" t="str">
        <f>"9781849403047"</f>
        <v>9781849403047</v>
      </c>
      <c r="E3177" t="s">
        <v>26010</v>
      </c>
      <c r="F3177" t="s">
        <v>35</v>
      </c>
      <c r="G3177" t="s">
        <v>26128</v>
      </c>
      <c r="H3177" t="s">
        <v>26011</v>
      </c>
      <c r="I3177" s="26">
        <v>36891</v>
      </c>
      <c r="J3177">
        <v>2000</v>
      </c>
      <c r="K3177" t="s">
        <v>26012</v>
      </c>
      <c r="L3177">
        <v>233</v>
      </c>
      <c r="M3177" t="s">
        <v>37616</v>
      </c>
      <c r="N3177">
        <v>1</v>
      </c>
      <c r="S3177" t="s">
        <v>8589</v>
      </c>
      <c r="T3177" t="s">
        <v>30</v>
      </c>
      <c r="U3177" t="s">
        <v>46</v>
      </c>
      <c r="W3177" t="s">
        <v>26009</v>
      </c>
    </row>
    <row r="3178" spans="1:23" x14ac:dyDescent="0.35">
      <c r="A3178">
        <v>690283</v>
      </c>
      <c r="B3178" t="s">
        <v>237</v>
      </c>
      <c r="C3178" t="str">
        <f>"9781855753808"</f>
        <v>9781855753808</v>
      </c>
      <c r="D3178" t="str">
        <f>"9780429910609"</f>
        <v>9780429910609</v>
      </c>
      <c r="E3178" t="s">
        <v>26010</v>
      </c>
      <c r="F3178" t="s">
        <v>35</v>
      </c>
      <c r="G3178" t="s">
        <v>22174</v>
      </c>
      <c r="H3178" t="s">
        <v>26011</v>
      </c>
      <c r="I3178" s="26">
        <v>36891</v>
      </c>
      <c r="J3178">
        <v>2000</v>
      </c>
      <c r="K3178" t="s">
        <v>26012</v>
      </c>
      <c r="L3178">
        <v>129</v>
      </c>
      <c r="M3178" t="s">
        <v>37617</v>
      </c>
      <c r="N3178">
        <v>1</v>
      </c>
      <c r="O3178" t="s">
        <v>36814</v>
      </c>
      <c r="Q3178" t="s">
        <v>37618</v>
      </c>
      <c r="R3178">
        <v>155.5</v>
      </c>
      <c r="S3178" t="s">
        <v>37619</v>
      </c>
      <c r="T3178" t="s">
        <v>30</v>
      </c>
      <c r="U3178" t="s">
        <v>46</v>
      </c>
      <c r="W3178" t="s">
        <v>26009</v>
      </c>
    </row>
    <row r="3179" spans="1:23" x14ac:dyDescent="0.35">
      <c r="A3179">
        <v>690284</v>
      </c>
      <c r="B3179" t="s">
        <v>37620</v>
      </c>
      <c r="C3179" t="str">
        <f>"9781855759749"</f>
        <v>9781855759749</v>
      </c>
      <c r="D3179" t="str">
        <f>"9781849402668"</f>
        <v>9781849402668</v>
      </c>
      <c r="E3179" t="s">
        <v>26010</v>
      </c>
      <c r="F3179" t="s">
        <v>35</v>
      </c>
      <c r="G3179" t="s">
        <v>22174</v>
      </c>
      <c r="H3179" t="s">
        <v>26011</v>
      </c>
      <c r="I3179" s="26">
        <v>36525</v>
      </c>
      <c r="J3179">
        <v>1999</v>
      </c>
      <c r="K3179" t="s">
        <v>26012</v>
      </c>
      <c r="L3179">
        <v>241</v>
      </c>
      <c r="M3179" t="s">
        <v>37621</v>
      </c>
      <c r="N3179">
        <v>2</v>
      </c>
      <c r="O3179" t="s">
        <v>36500</v>
      </c>
      <c r="Q3179" t="s">
        <v>37622</v>
      </c>
      <c r="R3179">
        <v>150.19499999999999</v>
      </c>
      <c r="S3179" t="s">
        <v>9538</v>
      </c>
      <c r="T3179" t="s">
        <v>30</v>
      </c>
      <c r="U3179" t="s">
        <v>46</v>
      </c>
      <c r="W3179" t="s">
        <v>26009</v>
      </c>
    </row>
    <row r="3180" spans="1:23" x14ac:dyDescent="0.35">
      <c r="A3180">
        <v>690285</v>
      </c>
      <c r="B3180" t="s">
        <v>37623</v>
      </c>
      <c r="C3180" t="str">
        <f>"9781855752108"</f>
        <v>9781855752108</v>
      </c>
      <c r="D3180" t="str">
        <f>"9781849402729"</f>
        <v>9781849402729</v>
      </c>
      <c r="E3180" t="s">
        <v>26010</v>
      </c>
      <c r="F3180" t="s">
        <v>35</v>
      </c>
      <c r="G3180" t="s">
        <v>22174</v>
      </c>
      <c r="H3180" t="s">
        <v>26011</v>
      </c>
      <c r="I3180" s="26">
        <v>36525</v>
      </c>
      <c r="J3180">
        <v>1999</v>
      </c>
      <c r="K3180" t="s">
        <v>26012</v>
      </c>
      <c r="L3180">
        <v>223</v>
      </c>
      <c r="M3180" t="s">
        <v>37624</v>
      </c>
      <c r="N3180">
        <v>1</v>
      </c>
      <c r="O3180" t="s">
        <v>37292</v>
      </c>
      <c r="Q3180" t="s">
        <v>37625</v>
      </c>
      <c r="R3180">
        <v>150.19499999999999</v>
      </c>
      <c r="S3180" t="s">
        <v>37626</v>
      </c>
      <c r="T3180" t="s">
        <v>30</v>
      </c>
      <c r="U3180" t="s">
        <v>26116</v>
      </c>
      <c r="W3180" t="s">
        <v>26009</v>
      </c>
    </row>
    <row r="3181" spans="1:23" x14ac:dyDescent="0.35">
      <c r="A3181">
        <v>690287</v>
      </c>
      <c r="B3181" t="s">
        <v>37627</v>
      </c>
      <c r="C3181" t="str">
        <f>"9781855751576"</f>
        <v>9781855751576</v>
      </c>
      <c r="D3181" t="str">
        <f>"9781849402767"</f>
        <v>9781849402767</v>
      </c>
      <c r="E3181" t="s">
        <v>26010</v>
      </c>
      <c r="F3181" t="s">
        <v>35</v>
      </c>
      <c r="G3181" t="s">
        <v>22174</v>
      </c>
      <c r="H3181" t="s">
        <v>26011</v>
      </c>
      <c r="I3181" s="26">
        <v>36525</v>
      </c>
      <c r="J3181">
        <v>1999</v>
      </c>
      <c r="K3181" t="s">
        <v>26012</v>
      </c>
      <c r="L3181">
        <v>249</v>
      </c>
      <c r="M3181" t="s">
        <v>37186</v>
      </c>
      <c r="N3181">
        <v>1</v>
      </c>
      <c r="O3181" t="s">
        <v>37292</v>
      </c>
      <c r="Q3181">
        <v>361729</v>
      </c>
      <c r="R3181">
        <v>150.19499999999999</v>
      </c>
      <c r="S3181" t="s">
        <v>7514</v>
      </c>
      <c r="T3181" t="s">
        <v>30</v>
      </c>
      <c r="U3181" t="s">
        <v>46</v>
      </c>
      <c r="W3181" t="s">
        <v>26009</v>
      </c>
    </row>
    <row r="3182" spans="1:23" x14ac:dyDescent="0.35">
      <c r="A3182">
        <v>690288</v>
      </c>
      <c r="B3182" t="s">
        <v>9560</v>
      </c>
      <c r="C3182" t="str">
        <f>"9781855752313"</f>
        <v>9781855752313</v>
      </c>
      <c r="D3182" t="str">
        <f>"9781849402774"</f>
        <v>9781849402774</v>
      </c>
      <c r="E3182" t="s">
        <v>26010</v>
      </c>
      <c r="F3182" t="s">
        <v>35</v>
      </c>
      <c r="G3182" t="s">
        <v>22174</v>
      </c>
      <c r="H3182" t="s">
        <v>26011</v>
      </c>
      <c r="I3182" s="26">
        <v>36279</v>
      </c>
      <c r="J3182">
        <v>1999</v>
      </c>
      <c r="K3182" t="s">
        <v>26012</v>
      </c>
      <c r="L3182">
        <v>238</v>
      </c>
      <c r="M3182" t="s">
        <v>37628</v>
      </c>
      <c r="N3182">
        <v>1</v>
      </c>
      <c r="Q3182" t="s">
        <v>37629</v>
      </c>
      <c r="R3182">
        <v>150</v>
      </c>
      <c r="S3182" t="s">
        <v>37630</v>
      </c>
      <c r="T3182" t="s">
        <v>30</v>
      </c>
      <c r="U3182" t="s">
        <v>26019</v>
      </c>
      <c r="W3182" t="s">
        <v>26009</v>
      </c>
    </row>
    <row r="3183" spans="1:23" x14ac:dyDescent="0.35">
      <c r="A3183">
        <v>690289</v>
      </c>
      <c r="B3183" t="s">
        <v>37631</v>
      </c>
      <c r="C3183" t="str">
        <f>"9781855751866"</f>
        <v>9781855751866</v>
      </c>
      <c r="D3183" t="str">
        <f>"9781849402781"</f>
        <v>9781849402781</v>
      </c>
      <c r="E3183" t="s">
        <v>26010</v>
      </c>
      <c r="F3183" t="s">
        <v>35</v>
      </c>
      <c r="G3183" t="s">
        <v>22174</v>
      </c>
      <c r="H3183" t="s">
        <v>26011</v>
      </c>
      <c r="I3183" s="26">
        <v>36525</v>
      </c>
      <c r="J3183">
        <v>1999</v>
      </c>
      <c r="K3183" t="s">
        <v>26012</v>
      </c>
      <c r="L3183">
        <v>228</v>
      </c>
      <c r="M3183" t="s">
        <v>37632</v>
      </c>
      <c r="N3183">
        <v>1</v>
      </c>
      <c r="O3183" t="s">
        <v>37292</v>
      </c>
      <c r="Q3183" t="s">
        <v>37633</v>
      </c>
      <c r="R3183">
        <v>616.89170000000001</v>
      </c>
      <c r="S3183" t="s">
        <v>7677</v>
      </c>
      <c r="T3183" t="s">
        <v>30</v>
      </c>
      <c r="U3183" t="s">
        <v>26116</v>
      </c>
      <c r="W3183" t="s">
        <v>26009</v>
      </c>
    </row>
    <row r="3184" spans="1:23" x14ac:dyDescent="0.35">
      <c r="A3184">
        <v>690290</v>
      </c>
      <c r="B3184" t="s">
        <v>37634</v>
      </c>
      <c r="C3184" t="str">
        <f>"9780715629246"</f>
        <v>9780715629246</v>
      </c>
      <c r="D3184" t="str">
        <f>"9781849402798"</f>
        <v>9781849402798</v>
      </c>
      <c r="E3184" t="s">
        <v>26010</v>
      </c>
      <c r="F3184" t="s">
        <v>35</v>
      </c>
      <c r="G3184" t="s">
        <v>22174</v>
      </c>
      <c r="H3184" t="s">
        <v>26011</v>
      </c>
      <c r="I3184" s="26">
        <v>36191</v>
      </c>
      <c r="J3184">
        <v>2017</v>
      </c>
      <c r="K3184" t="s">
        <v>26012</v>
      </c>
      <c r="L3184">
        <v>228</v>
      </c>
      <c r="M3184" t="s">
        <v>37635</v>
      </c>
      <c r="N3184">
        <v>1</v>
      </c>
      <c r="O3184" t="s">
        <v>36500</v>
      </c>
      <c r="Q3184" t="s">
        <v>37636</v>
      </c>
      <c r="R3184">
        <v>150.9</v>
      </c>
      <c r="S3184" t="s">
        <v>7567</v>
      </c>
      <c r="T3184" t="s">
        <v>30</v>
      </c>
      <c r="U3184" t="s">
        <v>37637</v>
      </c>
      <c r="W3184" t="s">
        <v>26009</v>
      </c>
    </row>
    <row r="3185" spans="1:23" x14ac:dyDescent="0.35">
      <c r="A3185">
        <v>690291</v>
      </c>
      <c r="B3185" t="s">
        <v>9637</v>
      </c>
      <c r="C3185" t="str">
        <f>"9780953710508"</f>
        <v>9780953710508</v>
      </c>
      <c r="D3185" t="str">
        <f>"9781849402804"</f>
        <v>9781849402804</v>
      </c>
      <c r="E3185" t="s">
        <v>26010</v>
      </c>
      <c r="F3185" t="s">
        <v>35</v>
      </c>
      <c r="G3185" t="s">
        <v>22174</v>
      </c>
      <c r="H3185" t="s">
        <v>26011</v>
      </c>
      <c r="I3185" s="26">
        <v>36525</v>
      </c>
      <c r="J3185">
        <v>1999</v>
      </c>
      <c r="K3185" t="s">
        <v>26012</v>
      </c>
      <c r="L3185">
        <v>96</v>
      </c>
      <c r="M3185" t="s">
        <v>35591</v>
      </c>
      <c r="N3185">
        <v>1</v>
      </c>
      <c r="O3185" t="s">
        <v>36814</v>
      </c>
      <c r="Q3185" t="s">
        <v>37638</v>
      </c>
      <c r="R3185">
        <v>616</v>
      </c>
      <c r="S3185" t="s">
        <v>37639</v>
      </c>
      <c r="T3185" t="s">
        <v>30</v>
      </c>
      <c r="U3185" t="s">
        <v>26116</v>
      </c>
      <c r="W3185" t="s">
        <v>26009</v>
      </c>
    </row>
    <row r="3186" spans="1:23" x14ac:dyDescent="0.35">
      <c r="A3186">
        <v>690292</v>
      </c>
      <c r="B3186" t="s">
        <v>7586</v>
      </c>
      <c r="C3186" t="str">
        <f>"9781855751583"</f>
        <v>9781855751583</v>
      </c>
      <c r="D3186" t="str">
        <f>"9781849402446"</f>
        <v>9781849402446</v>
      </c>
      <c r="E3186" t="s">
        <v>26010</v>
      </c>
      <c r="F3186" t="s">
        <v>35</v>
      </c>
      <c r="G3186" t="s">
        <v>22174</v>
      </c>
      <c r="H3186" t="s">
        <v>26011</v>
      </c>
      <c r="I3186" s="26">
        <v>36160</v>
      </c>
      <c r="J3186">
        <v>1998</v>
      </c>
      <c r="K3186" t="s">
        <v>26012</v>
      </c>
      <c r="L3186">
        <v>176</v>
      </c>
      <c r="M3186" t="s">
        <v>37640</v>
      </c>
      <c r="N3186">
        <v>1</v>
      </c>
      <c r="Q3186" t="s">
        <v>37641</v>
      </c>
      <c r="R3186">
        <v>616.89170000000001</v>
      </c>
      <c r="S3186" t="s">
        <v>37642</v>
      </c>
      <c r="T3186" t="s">
        <v>30</v>
      </c>
      <c r="U3186" t="s">
        <v>26019</v>
      </c>
      <c r="W3186" t="s">
        <v>26009</v>
      </c>
    </row>
    <row r="3187" spans="1:23" x14ac:dyDescent="0.35">
      <c r="A3187">
        <v>690293</v>
      </c>
      <c r="B3187" t="s">
        <v>10192</v>
      </c>
      <c r="C3187" t="str">
        <f>"9781855751514"</f>
        <v>9781855751514</v>
      </c>
      <c r="D3187" t="str">
        <f>"9781849402491"</f>
        <v>9781849402491</v>
      </c>
      <c r="E3187" t="s">
        <v>26010</v>
      </c>
      <c r="F3187" t="s">
        <v>35</v>
      </c>
      <c r="G3187" t="s">
        <v>22174</v>
      </c>
      <c r="H3187" t="s">
        <v>26011</v>
      </c>
      <c r="I3187" s="26">
        <v>36160</v>
      </c>
      <c r="J3187">
        <v>1998</v>
      </c>
      <c r="K3187" t="s">
        <v>26012</v>
      </c>
      <c r="L3187">
        <v>319</v>
      </c>
      <c r="M3187" t="s">
        <v>37643</v>
      </c>
      <c r="N3187">
        <v>2</v>
      </c>
      <c r="Q3187" t="s">
        <v>37644</v>
      </c>
      <c r="R3187">
        <v>616.89139999999998</v>
      </c>
      <c r="S3187" t="s">
        <v>37645</v>
      </c>
      <c r="T3187" t="s">
        <v>30</v>
      </c>
      <c r="U3187" t="s">
        <v>26116</v>
      </c>
      <c r="W3187" t="s">
        <v>26009</v>
      </c>
    </row>
    <row r="3188" spans="1:23" x14ac:dyDescent="0.35">
      <c r="A3188">
        <v>690294</v>
      </c>
      <c r="B3188" t="s">
        <v>37646</v>
      </c>
      <c r="C3188" t="str">
        <f>"9780946439027"</f>
        <v>9780946439027</v>
      </c>
      <c r="D3188" t="str">
        <f>"9781849400046"</f>
        <v>9781849400046</v>
      </c>
      <c r="E3188" t="s">
        <v>26010</v>
      </c>
      <c r="F3188" t="s">
        <v>35</v>
      </c>
      <c r="G3188" t="s">
        <v>22174</v>
      </c>
      <c r="H3188" t="s">
        <v>26011</v>
      </c>
      <c r="I3188" s="26">
        <v>27759</v>
      </c>
      <c r="J3188">
        <v>1975</v>
      </c>
      <c r="K3188" t="s">
        <v>26012</v>
      </c>
      <c r="L3188">
        <v>345</v>
      </c>
      <c r="M3188" t="s">
        <v>37647</v>
      </c>
      <c r="N3188">
        <v>1</v>
      </c>
      <c r="Q3188" t="s">
        <v>37648</v>
      </c>
      <c r="R3188" t="s">
        <v>29524</v>
      </c>
      <c r="S3188" t="s">
        <v>37649</v>
      </c>
      <c r="T3188" t="s">
        <v>30</v>
      </c>
      <c r="U3188" t="s">
        <v>26019</v>
      </c>
      <c r="W3188" t="s">
        <v>26009</v>
      </c>
    </row>
    <row r="3189" spans="1:23" x14ac:dyDescent="0.35">
      <c r="A3189">
        <v>690295</v>
      </c>
      <c r="B3189" t="s">
        <v>8248</v>
      </c>
      <c r="C3189" t="str">
        <f>"9780946439065"</f>
        <v>9780946439065</v>
      </c>
      <c r="D3189" t="str">
        <f>"9781849400244"</f>
        <v>9781849400244</v>
      </c>
      <c r="E3189" t="s">
        <v>26010</v>
      </c>
      <c r="F3189" t="s">
        <v>35</v>
      </c>
      <c r="G3189" t="s">
        <v>22174</v>
      </c>
      <c r="H3189" t="s">
        <v>26011</v>
      </c>
      <c r="I3189" s="26">
        <v>31047</v>
      </c>
      <c r="J3189">
        <v>1984</v>
      </c>
      <c r="K3189" t="s">
        <v>26012</v>
      </c>
      <c r="L3189">
        <v>118</v>
      </c>
      <c r="M3189" t="s">
        <v>37175</v>
      </c>
      <c r="N3189">
        <v>1</v>
      </c>
      <c r="Q3189" t="s">
        <v>37650</v>
      </c>
      <c r="R3189">
        <v>150.19499999999999</v>
      </c>
      <c r="S3189" t="s">
        <v>37651</v>
      </c>
      <c r="T3189" t="s">
        <v>30</v>
      </c>
      <c r="U3189" t="s">
        <v>26116</v>
      </c>
      <c r="W3189" t="s">
        <v>26009</v>
      </c>
    </row>
    <row r="3190" spans="1:23" x14ac:dyDescent="0.35">
      <c r="A3190">
        <v>690296</v>
      </c>
      <c r="B3190" t="s">
        <v>10029</v>
      </c>
      <c r="C3190" t="str">
        <f>"9780946439096"</f>
        <v>9780946439096</v>
      </c>
      <c r="D3190" t="str">
        <f>"9781849400275"</f>
        <v>9781849400275</v>
      </c>
      <c r="E3190" t="s">
        <v>26010</v>
      </c>
      <c r="F3190" t="s">
        <v>35</v>
      </c>
      <c r="G3190" t="s">
        <v>22174</v>
      </c>
      <c r="H3190" t="s">
        <v>26011</v>
      </c>
      <c r="I3190" s="26">
        <v>31047</v>
      </c>
      <c r="J3190">
        <v>1984</v>
      </c>
      <c r="K3190" t="s">
        <v>26012</v>
      </c>
      <c r="L3190">
        <v>321</v>
      </c>
      <c r="M3190" t="s">
        <v>37231</v>
      </c>
      <c r="N3190">
        <v>1</v>
      </c>
      <c r="Q3190" t="s">
        <v>37652</v>
      </c>
      <c r="R3190">
        <v>616.89149999999995</v>
      </c>
      <c r="S3190" t="s">
        <v>9277</v>
      </c>
      <c r="T3190" t="s">
        <v>30</v>
      </c>
      <c r="U3190" t="s">
        <v>26019</v>
      </c>
      <c r="W3190" t="s">
        <v>26009</v>
      </c>
    </row>
    <row r="3191" spans="1:23" x14ac:dyDescent="0.35">
      <c r="A3191">
        <v>690483</v>
      </c>
      <c r="B3191" t="s">
        <v>37653</v>
      </c>
      <c r="C3191" t="str">
        <f>"9781606235195"</f>
        <v>9781606235195</v>
      </c>
      <c r="D3191" t="str">
        <f>"9781606235218"</f>
        <v>9781606235218</v>
      </c>
      <c r="E3191" t="s">
        <v>30112</v>
      </c>
      <c r="F3191" t="s">
        <v>7420</v>
      </c>
      <c r="G3191" t="s">
        <v>22179</v>
      </c>
      <c r="H3191" t="s">
        <v>26004</v>
      </c>
      <c r="I3191" s="26">
        <v>40182</v>
      </c>
      <c r="J3191">
        <v>2010</v>
      </c>
      <c r="K3191" t="s">
        <v>30113</v>
      </c>
      <c r="L3191">
        <v>337</v>
      </c>
      <c r="M3191" t="s">
        <v>37654</v>
      </c>
      <c r="N3191">
        <v>1</v>
      </c>
      <c r="Q3191" t="s">
        <v>37655</v>
      </c>
      <c r="R3191" t="s">
        <v>26627</v>
      </c>
      <c r="S3191" t="s">
        <v>37656</v>
      </c>
      <c r="T3191" t="s">
        <v>30</v>
      </c>
      <c r="U3191" t="s">
        <v>26170</v>
      </c>
      <c r="W3191" t="s">
        <v>28347</v>
      </c>
    </row>
    <row r="3192" spans="1:23" x14ac:dyDescent="0.35">
      <c r="A3192">
        <v>690487</v>
      </c>
      <c r="B3192" t="s">
        <v>8634</v>
      </c>
      <c r="C3192" t="str">
        <f>"9781593852061"</f>
        <v>9781593852061</v>
      </c>
      <c r="D3192" t="str">
        <f>"9781593858773"</f>
        <v>9781593858773</v>
      </c>
      <c r="E3192" t="s">
        <v>30112</v>
      </c>
      <c r="F3192" t="s">
        <v>7420</v>
      </c>
      <c r="G3192" t="s">
        <v>22179</v>
      </c>
      <c r="H3192" t="s">
        <v>26004</v>
      </c>
      <c r="I3192" s="26">
        <v>38588</v>
      </c>
      <c r="J3192">
        <v>2005</v>
      </c>
      <c r="K3192" t="s">
        <v>30113</v>
      </c>
      <c r="L3192">
        <v>508</v>
      </c>
      <c r="M3192" t="s">
        <v>37657</v>
      </c>
      <c r="N3192">
        <v>2</v>
      </c>
      <c r="Q3192" t="s">
        <v>37658</v>
      </c>
      <c r="R3192" t="s">
        <v>37659</v>
      </c>
      <c r="S3192" t="s">
        <v>37660</v>
      </c>
      <c r="T3192" t="s">
        <v>30</v>
      </c>
      <c r="U3192" t="s">
        <v>26019</v>
      </c>
      <c r="W3192" t="s">
        <v>28347</v>
      </c>
    </row>
    <row r="3193" spans="1:23" x14ac:dyDescent="0.35">
      <c r="A3193">
        <v>690490</v>
      </c>
      <c r="B3193" t="s">
        <v>37661</v>
      </c>
      <c r="C3193" t="str">
        <f>"9781606236420"</f>
        <v>9781606236420</v>
      </c>
      <c r="D3193" t="str">
        <f>"9781606236444"</f>
        <v>9781606236444</v>
      </c>
      <c r="E3193" t="s">
        <v>30112</v>
      </c>
      <c r="F3193" t="s">
        <v>7420</v>
      </c>
      <c r="G3193" t="s">
        <v>22179</v>
      </c>
      <c r="H3193" t="s">
        <v>26004</v>
      </c>
      <c r="I3193" s="26">
        <v>40290</v>
      </c>
      <c r="J3193">
        <v>2010</v>
      </c>
      <c r="K3193" t="s">
        <v>30113</v>
      </c>
      <c r="L3193">
        <v>272</v>
      </c>
      <c r="M3193" t="s">
        <v>37662</v>
      </c>
      <c r="N3193">
        <v>1</v>
      </c>
      <c r="Q3193" t="s">
        <v>36445</v>
      </c>
      <c r="R3193" t="s">
        <v>37663</v>
      </c>
      <c r="S3193" t="s">
        <v>37664</v>
      </c>
      <c r="T3193" t="s">
        <v>30</v>
      </c>
      <c r="U3193" t="s">
        <v>46</v>
      </c>
      <c r="W3193" t="s">
        <v>28347</v>
      </c>
    </row>
    <row r="3194" spans="1:23" x14ac:dyDescent="0.35">
      <c r="A3194">
        <v>690508</v>
      </c>
      <c r="B3194" t="s">
        <v>9900</v>
      </c>
      <c r="C3194" t="str">
        <f>"9781609182090"</f>
        <v>9781609182090</v>
      </c>
      <c r="D3194" t="str">
        <f>"9781609182106"</f>
        <v>9781609182106</v>
      </c>
      <c r="E3194" t="s">
        <v>30112</v>
      </c>
      <c r="F3194" t="s">
        <v>7420</v>
      </c>
      <c r="G3194" t="s">
        <v>22179</v>
      </c>
      <c r="H3194" t="s">
        <v>26004</v>
      </c>
      <c r="I3194" s="26">
        <v>40679</v>
      </c>
      <c r="J3194">
        <v>2011</v>
      </c>
      <c r="K3194" t="s">
        <v>30113</v>
      </c>
      <c r="L3194">
        <v>193</v>
      </c>
      <c r="M3194" t="s">
        <v>37665</v>
      </c>
      <c r="N3194">
        <v>1</v>
      </c>
      <c r="Q3194" t="s">
        <v>37666</v>
      </c>
      <c r="R3194" t="s">
        <v>37667</v>
      </c>
      <c r="S3194" t="s">
        <v>37668</v>
      </c>
      <c r="T3194" t="s">
        <v>30</v>
      </c>
      <c r="U3194" t="s">
        <v>29704</v>
      </c>
      <c r="W3194" t="s">
        <v>28347</v>
      </c>
    </row>
    <row r="3195" spans="1:23" x14ac:dyDescent="0.35">
      <c r="A3195">
        <v>690532</v>
      </c>
      <c r="B3195" t="s">
        <v>37669</v>
      </c>
      <c r="C3195" t="str">
        <f>"9780313383007"</f>
        <v>9780313383007</v>
      </c>
      <c r="D3195" t="str">
        <f>"9780313383014"</f>
        <v>9780313383014</v>
      </c>
      <c r="E3195" t="s">
        <v>28336</v>
      </c>
      <c r="F3195" t="s">
        <v>28340</v>
      </c>
      <c r="G3195" t="s">
        <v>22179</v>
      </c>
      <c r="H3195" t="s">
        <v>26004</v>
      </c>
      <c r="I3195" s="26">
        <v>40689</v>
      </c>
      <c r="J3195">
        <v>2011</v>
      </c>
      <c r="K3195" t="s">
        <v>28341</v>
      </c>
      <c r="L3195">
        <v>544</v>
      </c>
      <c r="M3195" t="s">
        <v>37670</v>
      </c>
      <c r="N3195">
        <v>1</v>
      </c>
      <c r="O3195" t="s">
        <v>37671</v>
      </c>
      <c r="Q3195" t="s">
        <v>37672</v>
      </c>
      <c r="R3195" t="s">
        <v>37673</v>
      </c>
      <c r="S3195" t="s">
        <v>37674</v>
      </c>
      <c r="T3195" t="s">
        <v>30</v>
      </c>
      <c r="U3195" t="s">
        <v>29688</v>
      </c>
      <c r="W3195" t="s">
        <v>28347</v>
      </c>
    </row>
    <row r="3196" spans="1:23" x14ac:dyDescent="0.35">
      <c r="A3196">
        <v>690562</v>
      </c>
      <c r="B3196" t="s">
        <v>9216</v>
      </c>
      <c r="C3196" t="str">
        <f>"9781609181376"</f>
        <v>9781609181376</v>
      </c>
      <c r="D3196" t="str">
        <f>"9781609181383"</f>
        <v>9781609181383</v>
      </c>
      <c r="E3196" t="s">
        <v>30112</v>
      </c>
      <c r="F3196" t="s">
        <v>7420</v>
      </c>
      <c r="G3196" t="s">
        <v>22179</v>
      </c>
      <c r="H3196" t="s">
        <v>26004</v>
      </c>
      <c r="I3196" s="26">
        <v>40701</v>
      </c>
      <c r="J3196">
        <v>2011</v>
      </c>
      <c r="K3196" t="s">
        <v>30113</v>
      </c>
      <c r="L3196">
        <v>369</v>
      </c>
      <c r="M3196" t="s">
        <v>37675</v>
      </c>
      <c r="N3196">
        <v>1</v>
      </c>
      <c r="Q3196" t="s">
        <v>37676</v>
      </c>
      <c r="R3196">
        <v>612.79999999999995</v>
      </c>
      <c r="S3196" t="s">
        <v>37677</v>
      </c>
      <c r="T3196" t="s">
        <v>30</v>
      </c>
      <c r="U3196" t="s">
        <v>28876</v>
      </c>
      <c r="W3196" t="s">
        <v>28347</v>
      </c>
    </row>
    <row r="3197" spans="1:23" x14ac:dyDescent="0.35">
      <c r="A3197">
        <v>690705</v>
      </c>
      <c r="B3197" t="s">
        <v>37678</v>
      </c>
      <c r="C3197" t="str">
        <f>"9780807834763"</f>
        <v>9780807834763</v>
      </c>
      <c r="D3197" t="str">
        <f>"9780807877685"</f>
        <v>9780807877685</v>
      </c>
      <c r="E3197" t="s">
        <v>31948</v>
      </c>
      <c r="F3197" t="s">
        <v>2866</v>
      </c>
      <c r="G3197" t="s">
        <v>23742</v>
      </c>
      <c r="H3197" t="s">
        <v>26004</v>
      </c>
      <c r="I3197" s="26">
        <v>40695</v>
      </c>
      <c r="J3197">
        <v>2011</v>
      </c>
      <c r="K3197" t="s">
        <v>2866</v>
      </c>
      <c r="L3197">
        <v>352</v>
      </c>
      <c r="M3197" t="s">
        <v>37679</v>
      </c>
      <c r="N3197">
        <v>1</v>
      </c>
      <c r="O3197" t="s">
        <v>37680</v>
      </c>
      <c r="Q3197" t="s">
        <v>37681</v>
      </c>
      <c r="R3197" t="s">
        <v>37682</v>
      </c>
      <c r="S3197" t="s">
        <v>37683</v>
      </c>
      <c r="T3197" t="s">
        <v>30</v>
      </c>
      <c r="U3197" t="s">
        <v>402</v>
      </c>
      <c r="W3197" t="s">
        <v>26009</v>
      </c>
    </row>
    <row r="3198" spans="1:23" x14ac:dyDescent="0.35">
      <c r="A3198">
        <v>691818</v>
      </c>
      <c r="B3198" t="s">
        <v>37684</v>
      </c>
      <c r="C3198" t="str">
        <f>"9780521889711"</f>
        <v>9780521889711</v>
      </c>
      <c r="D3198" t="str">
        <f>"9781139079334"</f>
        <v>9781139079334</v>
      </c>
      <c r="E3198" t="s">
        <v>167</v>
      </c>
      <c r="F3198" t="s">
        <v>167</v>
      </c>
      <c r="G3198" t="s">
        <v>22218</v>
      </c>
      <c r="H3198" t="s">
        <v>26011</v>
      </c>
      <c r="I3198" s="26">
        <v>40633</v>
      </c>
      <c r="J3198">
        <v>2011</v>
      </c>
      <c r="K3198" t="s">
        <v>167</v>
      </c>
      <c r="L3198">
        <v>240</v>
      </c>
      <c r="M3198" t="s">
        <v>37685</v>
      </c>
      <c r="N3198">
        <v>1</v>
      </c>
      <c r="Q3198" t="s">
        <v>37686</v>
      </c>
      <c r="R3198" t="s">
        <v>26313</v>
      </c>
      <c r="S3198" t="s">
        <v>37687</v>
      </c>
      <c r="T3198" t="s">
        <v>30</v>
      </c>
      <c r="U3198" t="s">
        <v>337</v>
      </c>
      <c r="W3198" t="s">
        <v>26020</v>
      </c>
    </row>
    <row r="3199" spans="1:23" x14ac:dyDescent="0.35">
      <c r="A3199">
        <v>691847</v>
      </c>
      <c r="B3199" t="s">
        <v>8485</v>
      </c>
      <c r="C3199" t="str">
        <f>"9780521760157"</f>
        <v>9780521760157</v>
      </c>
      <c r="D3199" t="str">
        <f>"9781139079631"</f>
        <v>9781139079631</v>
      </c>
      <c r="E3199" t="s">
        <v>167</v>
      </c>
      <c r="F3199" t="s">
        <v>37688</v>
      </c>
      <c r="G3199" t="s">
        <v>22218</v>
      </c>
      <c r="H3199" t="s">
        <v>26011</v>
      </c>
      <c r="I3199" s="26">
        <v>40619</v>
      </c>
      <c r="J3199">
        <v>2011</v>
      </c>
      <c r="K3199" t="s">
        <v>37688</v>
      </c>
      <c r="L3199">
        <v>604</v>
      </c>
      <c r="M3199" t="s">
        <v>37689</v>
      </c>
      <c r="N3199">
        <v>1</v>
      </c>
      <c r="Q3199" t="s">
        <v>37690</v>
      </c>
      <c r="R3199">
        <v>155.80000000000001</v>
      </c>
      <c r="S3199" t="s">
        <v>8486</v>
      </c>
      <c r="T3199" t="s">
        <v>30</v>
      </c>
      <c r="U3199" t="s">
        <v>26170</v>
      </c>
      <c r="W3199" t="s">
        <v>26020</v>
      </c>
    </row>
    <row r="3200" spans="1:23" x14ac:dyDescent="0.35">
      <c r="A3200">
        <v>691936</v>
      </c>
      <c r="B3200" t="s">
        <v>10204</v>
      </c>
      <c r="C3200" t="str">
        <f>"9781107001862"</f>
        <v>9781107001862</v>
      </c>
      <c r="D3200" t="str">
        <f>"9781139080545"</f>
        <v>9781139080545</v>
      </c>
      <c r="E3200" t="s">
        <v>167</v>
      </c>
      <c r="F3200" t="s">
        <v>167</v>
      </c>
      <c r="G3200" t="s">
        <v>22218</v>
      </c>
      <c r="H3200" t="s">
        <v>26011</v>
      </c>
      <c r="I3200" s="26">
        <v>40647</v>
      </c>
      <c r="J3200">
        <v>2011</v>
      </c>
      <c r="K3200" t="s">
        <v>167</v>
      </c>
      <c r="L3200">
        <v>467</v>
      </c>
      <c r="M3200" t="s">
        <v>37691</v>
      </c>
      <c r="N3200">
        <v>1</v>
      </c>
      <c r="Q3200" t="s">
        <v>37692</v>
      </c>
      <c r="R3200">
        <v>150.91999999999999</v>
      </c>
      <c r="S3200" t="s">
        <v>37693</v>
      </c>
      <c r="T3200" t="s">
        <v>30</v>
      </c>
      <c r="U3200" t="s">
        <v>46</v>
      </c>
      <c r="W3200" t="s">
        <v>26020</v>
      </c>
    </row>
    <row r="3201" spans="1:23" x14ac:dyDescent="0.35">
      <c r="A3201">
        <v>691938</v>
      </c>
      <c r="B3201" t="s">
        <v>37694</v>
      </c>
      <c r="C3201" t="str">
        <f>"9781107002333"</f>
        <v>9781107002333</v>
      </c>
      <c r="D3201" t="str">
        <f>"9781139080569"</f>
        <v>9781139080569</v>
      </c>
      <c r="E3201" t="s">
        <v>167</v>
      </c>
      <c r="F3201" t="s">
        <v>167</v>
      </c>
      <c r="G3201" t="s">
        <v>22179</v>
      </c>
      <c r="H3201" t="s">
        <v>26004</v>
      </c>
      <c r="I3201" s="26">
        <v>40609</v>
      </c>
      <c r="J3201">
        <v>2011</v>
      </c>
      <c r="K3201" t="s">
        <v>167</v>
      </c>
      <c r="L3201">
        <v>280</v>
      </c>
      <c r="M3201" t="s">
        <v>37695</v>
      </c>
      <c r="N3201">
        <v>1</v>
      </c>
      <c r="Q3201" t="s">
        <v>37696</v>
      </c>
      <c r="R3201" t="s">
        <v>37697</v>
      </c>
      <c r="S3201" t="s">
        <v>37698</v>
      </c>
      <c r="T3201" t="s">
        <v>30</v>
      </c>
      <c r="U3201" t="s">
        <v>26044</v>
      </c>
      <c r="W3201" t="s">
        <v>26020</v>
      </c>
    </row>
    <row r="3202" spans="1:23" x14ac:dyDescent="0.35">
      <c r="A3202">
        <v>691939</v>
      </c>
      <c r="B3202" t="s">
        <v>37699</v>
      </c>
      <c r="C3202" t="str">
        <f>"9781107002463"</f>
        <v>9781107002463</v>
      </c>
      <c r="D3202" t="str">
        <f>"9781139080576"</f>
        <v>9781139080576</v>
      </c>
      <c r="E3202" t="s">
        <v>167</v>
      </c>
      <c r="F3202" t="s">
        <v>167</v>
      </c>
      <c r="G3202" t="s">
        <v>22179</v>
      </c>
      <c r="H3202" t="s">
        <v>26004</v>
      </c>
      <c r="I3202" s="26">
        <v>40651</v>
      </c>
      <c r="J3202">
        <v>2011</v>
      </c>
      <c r="K3202" t="s">
        <v>167</v>
      </c>
      <c r="L3202">
        <v>391</v>
      </c>
      <c r="M3202" t="s">
        <v>37700</v>
      </c>
      <c r="N3202">
        <v>1</v>
      </c>
      <c r="O3202" t="s">
        <v>37701</v>
      </c>
      <c r="P3202">
        <v>33</v>
      </c>
      <c r="Q3202" t="s">
        <v>37702</v>
      </c>
      <c r="R3202" t="s">
        <v>31519</v>
      </c>
      <c r="S3202" t="s">
        <v>37703</v>
      </c>
      <c r="T3202" t="s">
        <v>30</v>
      </c>
      <c r="U3202" t="s">
        <v>26044</v>
      </c>
      <c r="W3202" t="s">
        <v>26020</v>
      </c>
    </row>
    <row r="3203" spans="1:23" x14ac:dyDescent="0.35">
      <c r="A3203">
        <v>691964</v>
      </c>
      <c r="B3203" t="s">
        <v>37704</v>
      </c>
      <c r="C3203" t="str">
        <f>"9781107005020"</f>
        <v>9781107005020</v>
      </c>
      <c r="D3203" t="str">
        <f>"9781139080835"</f>
        <v>9781139080835</v>
      </c>
      <c r="E3203" t="s">
        <v>167</v>
      </c>
      <c r="F3203" t="s">
        <v>167</v>
      </c>
      <c r="G3203" t="s">
        <v>22179</v>
      </c>
      <c r="H3203" t="s">
        <v>26004</v>
      </c>
      <c r="I3203" s="26">
        <v>40609</v>
      </c>
      <c r="J3203">
        <v>2011</v>
      </c>
      <c r="K3203" t="s">
        <v>167</v>
      </c>
      <c r="L3203">
        <v>279</v>
      </c>
      <c r="M3203" t="s">
        <v>37705</v>
      </c>
      <c r="N3203">
        <v>1</v>
      </c>
      <c r="Q3203" t="s">
        <v>37706</v>
      </c>
      <c r="R3203" t="s">
        <v>37707</v>
      </c>
      <c r="S3203" t="s">
        <v>37708</v>
      </c>
      <c r="T3203" t="s">
        <v>30</v>
      </c>
      <c r="U3203" t="s">
        <v>26044</v>
      </c>
      <c r="W3203" t="s">
        <v>26020</v>
      </c>
    </row>
    <row r="3204" spans="1:23" x14ac:dyDescent="0.35">
      <c r="A3204">
        <v>692306</v>
      </c>
      <c r="B3204" t="s">
        <v>37709</v>
      </c>
      <c r="C3204" t="str">
        <f>"9781442210899"</f>
        <v>9781442210899</v>
      </c>
      <c r="D3204" t="str">
        <f>"9781442210912"</f>
        <v>9781442210912</v>
      </c>
      <c r="E3204" t="s">
        <v>33803</v>
      </c>
      <c r="F3204" t="s">
        <v>38</v>
      </c>
      <c r="G3204" t="s">
        <v>33804</v>
      </c>
      <c r="H3204" t="s">
        <v>26004</v>
      </c>
      <c r="I3204" s="26">
        <v>40771</v>
      </c>
      <c r="J3204">
        <v>2011</v>
      </c>
      <c r="K3204" t="s">
        <v>38</v>
      </c>
      <c r="L3204">
        <v>235</v>
      </c>
      <c r="M3204" t="s">
        <v>37710</v>
      </c>
      <c r="N3204">
        <v>1</v>
      </c>
      <c r="Q3204" t="s">
        <v>37711</v>
      </c>
      <c r="R3204" t="s">
        <v>37712</v>
      </c>
      <c r="S3204" t="s">
        <v>37713</v>
      </c>
      <c r="T3204" t="s">
        <v>30</v>
      </c>
      <c r="U3204" t="s">
        <v>26019</v>
      </c>
      <c r="W3204" t="s">
        <v>26009</v>
      </c>
    </row>
    <row r="3205" spans="1:23" x14ac:dyDescent="0.35">
      <c r="A3205">
        <v>692333</v>
      </c>
      <c r="B3205" t="s">
        <v>37714</v>
      </c>
      <c r="C3205" t="str">
        <f>"9780415963244"</f>
        <v>9780415963244</v>
      </c>
      <c r="D3205" t="str">
        <f>"9780203831489"</f>
        <v>9780203831489</v>
      </c>
      <c r="E3205" t="s">
        <v>26010</v>
      </c>
      <c r="F3205" t="s">
        <v>35</v>
      </c>
      <c r="G3205" t="s">
        <v>26201</v>
      </c>
      <c r="H3205" t="s">
        <v>26004</v>
      </c>
      <c r="I3205" s="26">
        <v>40681</v>
      </c>
      <c r="J3205">
        <v>2011</v>
      </c>
      <c r="K3205" t="s">
        <v>26012</v>
      </c>
      <c r="L3205">
        <v>331</v>
      </c>
      <c r="M3205" t="s">
        <v>37715</v>
      </c>
      <c r="N3205">
        <v>1</v>
      </c>
      <c r="O3205" t="s">
        <v>27341</v>
      </c>
      <c r="Q3205" t="s">
        <v>37716</v>
      </c>
      <c r="R3205" t="s">
        <v>37717</v>
      </c>
      <c r="S3205" t="s">
        <v>37718</v>
      </c>
      <c r="T3205" t="s">
        <v>30</v>
      </c>
      <c r="U3205" t="s">
        <v>26044</v>
      </c>
      <c r="W3205" t="s">
        <v>26009</v>
      </c>
    </row>
    <row r="3206" spans="1:23" x14ac:dyDescent="0.35">
      <c r="A3206">
        <v>692337</v>
      </c>
      <c r="B3206" t="s">
        <v>37719</v>
      </c>
      <c r="C3206" t="str">
        <f>"9780415883665"</f>
        <v>9780415883665</v>
      </c>
      <c r="D3206" t="str">
        <f>"9780203818329"</f>
        <v>9780203818329</v>
      </c>
      <c r="E3206" t="s">
        <v>26010</v>
      </c>
      <c r="F3206" t="s">
        <v>35</v>
      </c>
      <c r="G3206" t="s">
        <v>22174</v>
      </c>
      <c r="H3206" t="s">
        <v>26011</v>
      </c>
      <c r="I3206" s="26">
        <v>40654</v>
      </c>
      <c r="J3206">
        <v>2011</v>
      </c>
      <c r="K3206" t="s">
        <v>26012</v>
      </c>
      <c r="L3206">
        <v>288</v>
      </c>
      <c r="M3206" t="s">
        <v>37720</v>
      </c>
      <c r="N3206">
        <v>2</v>
      </c>
      <c r="Q3206" t="s">
        <v>37721</v>
      </c>
      <c r="R3206">
        <v>306.87420899607298</v>
      </c>
      <c r="S3206" t="s">
        <v>7695</v>
      </c>
      <c r="T3206" t="s">
        <v>30</v>
      </c>
      <c r="U3206" t="s">
        <v>28111</v>
      </c>
      <c r="W3206" t="s">
        <v>26009</v>
      </c>
    </row>
    <row r="3207" spans="1:23" x14ac:dyDescent="0.35">
      <c r="A3207">
        <v>692338</v>
      </c>
      <c r="B3207" t="s">
        <v>9626</v>
      </c>
      <c r="C3207" t="str">
        <f>"9781848729322"</f>
        <v>9781848729322</v>
      </c>
      <c r="D3207" t="str">
        <f>"9780203803813"</f>
        <v>9780203803813</v>
      </c>
      <c r="E3207" t="s">
        <v>26010</v>
      </c>
      <c r="F3207" t="s">
        <v>35</v>
      </c>
      <c r="G3207" t="s">
        <v>22174</v>
      </c>
      <c r="H3207" t="s">
        <v>26004</v>
      </c>
      <c r="I3207" s="26">
        <v>40623</v>
      </c>
      <c r="J3207">
        <v>2011</v>
      </c>
      <c r="K3207" t="s">
        <v>660</v>
      </c>
      <c r="L3207">
        <v>329</v>
      </c>
      <c r="M3207" t="s">
        <v>37722</v>
      </c>
      <c r="N3207">
        <v>1</v>
      </c>
      <c r="O3207" t="s">
        <v>30069</v>
      </c>
      <c r="Q3207" t="s">
        <v>37723</v>
      </c>
      <c r="R3207">
        <v>303.60000000000002</v>
      </c>
      <c r="S3207" t="s">
        <v>37724</v>
      </c>
      <c r="T3207" t="s">
        <v>30</v>
      </c>
      <c r="U3207" t="s">
        <v>26044</v>
      </c>
      <c r="W3207" t="s">
        <v>26009</v>
      </c>
    </row>
    <row r="3208" spans="1:23" x14ac:dyDescent="0.35">
      <c r="A3208">
        <v>692339</v>
      </c>
      <c r="B3208" t="s">
        <v>37725</v>
      </c>
      <c r="C3208" t="str">
        <f>"9780415893046"</f>
        <v>9780415893046</v>
      </c>
      <c r="D3208" t="str">
        <f>"9780203817094"</f>
        <v>9780203817094</v>
      </c>
      <c r="E3208" t="s">
        <v>26010</v>
      </c>
      <c r="F3208" t="s">
        <v>35</v>
      </c>
      <c r="G3208" t="s">
        <v>22174</v>
      </c>
      <c r="H3208" t="s">
        <v>26011</v>
      </c>
      <c r="I3208" s="26">
        <v>40676</v>
      </c>
      <c r="J3208">
        <v>2011</v>
      </c>
      <c r="K3208" t="s">
        <v>26012</v>
      </c>
      <c r="L3208">
        <v>239</v>
      </c>
      <c r="M3208" t="s">
        <v>37726</v>
      </c>
      <c r="N3208">
        <v>1</v>
      </c>
      <c r="Q3208" t="s">
        <v>37727</v>
      </c>
      <c r="R3208" t="s">
        <v>26422</v>
      </c>
      <c r="S3208" t="s">
        <v>8941</v>
      </c>
      <c r="T3208" t="s">
        <v>30</v>
      </c>
      <c r="U3208" t="s">
        <v>26116</v>
      </c>
      <c r="W3208" t="s">
        <v>26009</v>
      </c>
    </row>
    <row r="3209" spans="1:23" x14ac:dyDescent="0.35">
      <c r="A3209">
        <v>692341</v>
      </c>
      <c r="B3209" t="s">
        <v>37728</v>
      </c>
      <c r="C3209" t="str">
        <f>"9781848729360"</f>
        <v>9781848729360</v>
      </c>
      <c r="D3209" t="str">
        <f>"9780203817964"</f>
        <v>9780203817964</v>
      </c>
      <c r="E3209" t="s">
        <v>26010</v>
      </c>
      <c r="F3209" t="s">
        <v>35</v>
      </c>
      <c r="G3209" t="s">
        <v>22174</v>
      </c>
      <c r="H3209" t="s">
        <v>26004</v>
      </c>
      <c r="I3209" s="26">
        <v>40651</v>
      </c>
      <c r="J3209">
        <v>2011</v>
      </c>
      <c r="K3209" t="s">
        <v>660</v>
      </c>
      <c r="L3209">
        <v>277</v>
      </c>
      <c r="M3209" t="s">
        <v>37729</v>
      </c>
      <c r="N3209">
        <v>1</v>
      </c>
      <c r="O3209" t="s">
        <v>37730</v>
      </c>
      <c r="Q3209" t="s">
        <v>37731</v>
      </c>
      <c r="R3209" t="s">
        <v>35980</v>
      </c>
      <c r="S3209" t="s">
        <v>37732</v>
      </c>
      <c r="T3209" t="s">
        <v>30</v>
      </c>
      <c r="U3209" t="s">
        <v>31538</v>
      </c>
      <c r="W3209" t="s">
        <v>26009</v>
      </c>
    </row>
    <row r="3210" spans="1:23" x14ac:dyDescent="0.35">
      <c r="A3210">
        <v>692342</v>
      </c>
      <c r="B3210" t="s">
        <v>37733</v>
      </c>
      <c r="C3210" t="str">
        <f>"9780415876254"</f>
        <v>9780415876254</v>
      </c>
      <c r="D3210" t="str">
        <f>"9780203817247"</f>
        <v>9780203817247</v>
      </c>
      <c r="E3210" t="s">
        <v>26010</v>
      </c>
      <c r="F3210" t="s">
        <v>35</v>
      </c>
      <c r="G3210" t="s">
        <v>26201</v>
      </c>
      <c r="H3210" t="s">
        <v>26004</v>
      </c>
      <c r="I3210" s="26">
        <v>40672</v>
      </c>
      <c r="J3210">
        <v>2011</v>
      </c>
      <c r="K3210" t="s">
        <v>26012</v>
      </c>
      <c r="L3210">
        <v>244</v>
      </c>
      <c r="M3210" t="s">
        <v>37734</v>
      </c>
      <c r="N3210">
        <v>1</v>
      </c>
      <c r="Q3210" t="s">
        <v>37735</v>
      </c>
      <c r="R3210">
        <v>616.89156000000003</v>
      </c>
      <c r="S3210" t="s">
        <v>7882</v>
      </c>
      <c r="T3210" t="s">
        <v>30</v>
      </c>
      <c r="U3210" t="s">
        <v>26019</v>
      </c>
      <c r="W3210" t="s">
        <v>26009</v>
      </c>
    </row>
    <row r="3211" spans="1:23" x14ac:dyDescent="0.35">
      <c r="A3211">
        <v>692343</v>
      </c>
      <c r="B3211" t="s">
        <v>37736</v>
      </c>
      <c r="C3211" t="str">
        <f>"9780415998758"</f>
        <v>9780415998758</v>
      </c>
      <c r="D3211" t="str">
        <f>"9780203818046"</f>
        <v>9780203818046</v>
      </c>
      <c r="E3211" t="s">
        <v>26010</v>
      </c>
      <c r="F3211" t="s">
        <v>35</v>
      </c>
      <c r="G3211" t="s">
        <v>26201</v>
      </c>
      <c r="H3211" t="s">
        <v>26004</v>
      </c>
      <c r="I3211" s="26">
        <v>40618</v>
      </c>
      <c r="J3211">
        <v>2011</v>
      </c>
      <c r="K3211" t="s">
        <v>26012</v>
      </c>
      <c r="L3211">
        <v>404</v>
      </c>
      <c r="M3211" t="s">
        <v>37737</v>
      </c>
      <c r="N3211">
        <v>1</v>
      </c>
      <c r="Q3211" t="s">
        <v>37738</v>
      </c>
      <c r="R3211">
        <v>616.89139999999998</v>
      </c>
      <c r="S3211" t="s">
        <v>37739</v>
      </c>
      <c r="T3211" t="s">
        <v>30</v>
      </c>
      <c r="U3211" t="s">
        <v>26019</v>
      </c>
      <c r="W3211" t="s">
        <v>26009</v>
      </c>
    </row>
    <row r="3212" spans="1:23" x14ac:dyDescent="0.35">
      <c r="A3212">
        <v>692345</v>
      </c>
      <c r="B3212" t="s">
        <v>37740</v>
      </c>
      <c r="C3212" t="str">
        <f>"9781848729353"</f>
        <v>9781848729353</v>
      </c>
      <c r="D3212" t="str">
        <f>"9780203816790"</f>
        <v>9780203816790</v>
      </c>
      <c r="E3212" t="s">
        <v>26010</v>
      </c>
      <c r="F3212" t="s">
        <v>35</v>
      </c>
      <c r="G3212" t="s">
        <v>22174</v>
      </c>
      <c r="H3212" t="s">
        <v>26004</v>
      </c>
      <c r="I3212" s="26">
        <v>40688</v>
      </c>
      <c r="J3212">
        <v>2011</v>
      </c>
      <c r="K3212" t="s">
        <v>660</v>
      </c>
      <c r="L3212">
        <v>421</v>
      </c>
      <c r="M3212" t="s">
        <v>37741</v>
      </c>
      <c r="N3212">
        <v>1</v>
      </c>
      <c r="O3212" t="s">
        <v>37742</v>
      </c>
      <c r="Q3212" t="s">
        <v>37743</v>
      </c>
      <c r="R3212">
        <v>302.12</v>
      </c>
      <c r="S3212" t="s">
        <v>37744</v>
      </c>
      <c r="T3212" t="s">
        <v>30</v>
      </c>
      <c r="U3212" t="s">
        <v>26044</v>
      </c>
      <c r="W3212" t="s">
        <v>26009</v>
      </c>
    </row>
    <row r="3213" spans="1:23" x14ac:dyDescent="0.35">
      <c r="A3213">
        <v>692346</v>
      </c>
      <c r="B3213" t="s">
        <v>37745</v>
      </c>
      <c r="C3213" t="str">
        <f>"9780415960946"</f>
        <v>9780415960946</v>
      </c>
      <c r="D3213" t="str">
        <f>"9780203893845"</f>
        <v>9780203893845</v>
      </c>
      <c r="E3213" t="s">
        <v>26010</v>
      </c>
      <c r="F3213" t="s">
        <v>35</v>
      </c>
      <c r="G3213" t="s">
        <v>22174</v>
      </c>
      <c r="H3213" t="s">
        <v>26011</v>
      </c>
      <c r="I3213" s="26">
        <v>40651</v>
      </c>
      <c r="J3213">
        <v>2011</v>
      </c>
      <c r="K3213" t="s">
        <v>26012</v>
      </c>
      <c r="L3213">
        <v>305</v>
      </c>
      <c r="M3213" t="s">
        <v>35937</v>
      </c>
      <c r="N3213">
        <v>2</v>
      </c>
      <c r="Q3213" t="s">
        <v>37746</v>
      </c>
      <c r="R3213">
        <v>615.85155999999995</v>
      </c>
      <c r="S3213" t="s">
        <v>7559</v>
      </c>
      <c r="T3213" t="s">
        <v>30</v>
      </c>
      <c r="U3213" t="s">
        <v>26019</v>
      </c>
      <c r="W3213" t="s">
        <v>26009</v>
      </c>
    </row>
    <row r="3214" spans="1:23" x14ac:dyDescent="0.35">
      <c r="A3214">
        <v>692347</v>
      </c>
      <c r="B3214" t="s">
        <v>7483</v>
      </c>
      <c r="C3214" t="str">
        <f>"9780415996853"</f>
        <v>9780415996853</v>
      </c>
      <c r="D3214" t="str">
        <f>"9780203882504"</f>
        <v>9780203882504</v>
      </c>
      <c r="E3214" t="s">
        <v>26010</v>
      </c>
      <c r="F3214" t="s">
        <v>35</v>
      </c>
      <c r="G3214" t="s">
        <v>26201</v>
      </c>
      <c r="H3214" t="s">
        <v>26004</v>
      </c>
      <c r="I3214" s="26">
        <v>40672</v>
      </c>
      <c r="J3214">
        <v>2011</v>
      </c>
      <c r="K3214" t="s">
        <v>26012</v>
      </c>
      <c r="L3214">
        <v>309</v>
      </c>
      <c r="M3214" t="s">
        <v>37747</v>
      </c>
      <c r="N3214">
        <v>1</v>
      </c>
      <c r="Q3214" t="s">
        <v>37748</v>
      </c>
      <c r="R3214">
        <v>155.6713</v>
      </c>
      <c r="S3214" t="s">
        <v>37749</v>
      </c>
      <c r="T3214" t="s">
        <v>30</v>
      </c>
      <c r="U3214" t="s">
        <v>46</v>
      </c>
      <c r="W3214" t="s">
        <v>26009</v>
      </c>
    </row>
    <row r="3215" spans="1:23" x14ac:dyDescent="0.35">
      <c r="A3215">
        <v>692351</v>
      </c>
      <c r="B3215" t="s">
        <v>37750</v>
      </c>
      <c r="C3215" t="str">
        <f>"9780415884808"</f>
        <v>9780415884808</v>
      </c>
      <c r="D3215" t="str">
        <f>"9780203840863"</f>
        <v>9780203840863</v>
      </c>
      <c r="E3215" t="s">
        <v>26010</v>
      </c>
      <c r="F3215" t="s">
        <v>35</v>
      </c>
      <c r="G3215" t="s">
        <v>22174</v>
      </c>
      <c r="H3215" t="s">
        <v>26011</v>
      </c>
      <c r="I3215" s="26">
        <v>40655</v>
      </c>
      <c r="J3215">
        <v>2011</v>
      </c>
      <c r="K3215" t="s">
        <v>26012</v>
      </c>
      <c r="L3215">
        <v>446</v>
      </c>
      <c r="M3215" t="s">
        <v>37751</v>
      </c>
      <c r="N3215">
        <v>1</v>
      </c>
      <c r="O3215" t="s">
        <v>26892</v>
      </c>
      <c r="Q3215" t="s">
        <v>37752</v>
      </c>
      <c r="R3215">
        <v>155.93700000000001</v>
      </c>
      <c r="S3215" t="s">
        <v>8549</v>
      </c>
      <c r="T3215" t="s">
        <v>30</v>
      </c>
      <c r="U3215" t="s">
        <v>46</v>
      </c>
      <c r="W3215" t="s">
        <v>26009</v>
      </c>
    </row>
    <row r="3216" spans="1:23" x14ac:dyDescent="0.35">
      <c r="A3216">
        <v>692352</v>
      </c>
      <c r="B3216" t="s">
        <v>37753</v>
      </c>
      <c r="C3216" t="str">
        <f>"9780415874038"</f>
        <v>9780415874038</v>
      </c>
      <c r="D3216" t="str">
        <f>"9780203863633"</f>
        <v>9780203863633</v>
      </c>
      <c r="E3216" t="s">
        <v>26010</v>
      </c>
      <c r="F3216" t="s">
        <v>35</v>
      </c>
      <c r="G3216" t="s">
        <v>26201</v>
      </c>
      <c r="H3216" t="s">
        <v>26004</v>
      </c>
      <c r="I3216" s="26">
        <v>40654</v>
      </c>
      <c r="J3216">
        <v>2011</v>
      </c>
      <c r="K3216" t="s">
        <v>26012</v>
      </c>
      <c r="L3216">
        <v>272</v>
      </c>
      <c r="M3216" t="s">
        <v>37754</v>
      </c>
      <c r="N3216">
        <v>1</v>
      </c>
      <c r="Q3216" t="s">
        <v>37755</v>
      </c>
      <c r="R3216" t="s">
        <v>26308</v>
      </c>
      <c r="S3216" t="s">
        <v>8461</v>
      </c>
      <c r="T3216" t="s">
        <v>30</v>
      </c>
      <c r="U3216" t="s">
        <v>46</v>
      </c>
      <c r="W3216" t="s">
        <v>26009</v>
      </c>
    </row>
    <row r="3217" spans="1:23" x14ac:dyDescent="0.35">
      <c r="A3217">
        <v>692353</v>
      </c>
      <c r="B3217" t="s">
        <v>37756</v>
      </c>
      <c r="C3217" t="str">
        <f>"9780805863697"</f>
        <v>9780805863697</v>
      </c>
      <c r="D3217" t="str">
        <f>"9780203866955"</f>
        <v>9780203866955</v>
      </c>
      <c r="E3217" t="s">
        <v>26010</v>
      </c>
      <c r="F3217" t="s">
        <v>35</v>
      </c>
      <c r="G3217" t="s">
        <v>22179</v>
      </c>
      <c r="H3217" t="s">
        <v>26004</v>
      </c>
      <c r="I3217" s="26">
        <v>40045</v>
      </c>
      <c r="J3217">
        <v>2010</v>
      </c>
      <c r="K3217" t="s">
        <v>26012</v>
      </c>
      <c r="L3217">
        <v>370</v>
      </c>
      <c r="M3217" t="s">
        <v>37757</v>
      </c>
      <c r="N3217">
        <v>1</v>
      </c>
      <c r="Q3217" t="s">
        <v>37758</v>
      </c>
      <c r="R3217">
        <v>519.5</v>
      </c>
      <c r="S3217" t="s">
        <v>9949</v>
      </c>
      <c r="T3217" t="s">
        <v>30</v>
      </c>
      <c r="U3217" t="s">
        <v>32983</v>
      </c>
      <c r="W3217" t="s">
        <v>26009</v>
      </c>
    </row>
    <row r="3218" spans="1:23" x14ac:dyDescent="0.35">
      <c r="A3218">
        <v>692354</v>
      </c>
      <c r="B3218" t="s">
        <v>37759</v>
      </c>
      <c r="C3218" t="str">
        <f>"9780415878753"</f>
        <v>9780415878753</v>
      </c>
      <c r="D3218" t="str">
        <f>"9780203853245"</f>
        <v>9780203853245</v>
      </c>
      <c r="E3218" t="s">
        <v>26010</v>
      </c>
      <c r="F3218" t="s">
        <v>35</v>
      </c>
      <c r="G3218" t="s">
        <v>26201</v>
      </c>
      <c r="H3218" t="s">
        <v>26004</v>
      </c>
      <c r="I3218" s="26">
        <v>40648</v>
      </c>
      <c r="J3218">
        <v>2011</v>
      </c>
      <c r="K3218" t="s">
        <v>26012</v>
      </c>
      <c r="L3218">
        <v>512</v>
      </c>
      <c r="M3218" t="s">
        <v>37760</v>
      </c>
      <c r="N3218">
        <v>1</v>
      </c>
      <c r="O3218" t="s">
        <v>35560</v>
      </c>
      <c r="Q3218" t="s">
        <v>37761</v>
      </c>
      <c r="R3218">
        <v>613.04233999999997</v>
      </c>
      <c r="S3218" t="s">
        <v>37762</v>
      </c>
      <c r="T3218" t="s">
        <v>30</v>
      </c>
      <c r="U3218" t="s">
        <v>26094</v>
      </c>
      <c r="W3218" t="s">
        <v>26009</v>
      </c>
    </row>
    <row r="3219" spans="1:23" x14ac:dyDescent="0.35">
      <c r="A3219">
        <v>692394</v>
      </c>
      <c r="B3219" t="s">
        <v>37763</v>
      </c>
      <c r="C3219" t="str">
        <f>"9780415884914"</f>
        <v>9780415884914</v>
      </c>
      <c r="D3219" t="str">
        <f>"9780203828908"</f>
        <v>9780203828908</v>
      </c>
      <c r="E3219" t="s">
        <v>26010</v>
      </c>
      <c r="F3219" t="s">
        <v>35</v>
      </c>
      <c r="G3219" t="s">
        <v>22174</v>
      </c>
      <c r="H3219" t="s">
        <v>26011</v>
      </c>
      <c r="I3219" s="26">
        <v>40616</v>
      </c>
      <c r="J3219">
        <v>2011</v>
      </c>
      <c r="K3219" t="s">
        <v>26012</v>
      </c>
      <c r="L3219">
        <v>403</v>
      </c>
      <c r="M3219" t="s">
        <v>37764</v>
      </c>
      <c r="N3219">
        <v>1</v>
      </c>
      <c r="Q3219" t="s">
        <v>37765</v>
      </c>
      <c r="R3219" t="s">
        <v>27122</v>
      </c>
      <c r="S3219" t="s">
        <v>10028</v>
      </c>
      <c r="T3219" t="s">
        <v>30</v>
      </c>
      <c r="U3219" t="s">
        <v>26019</v>
      </c>
      <c r="W3219" t="s">
        <v>26009</v>
      </c>
    </row>
    <row r="3220" spans="1:23" x14ac:dyDescent="0.35">
      <c r="A3220">
        <v>692396</v>
      </c>
      <c r="B3220" t="s">
        <v>37766</v>
      </c>
      <c r="C3220" t="str">
        <f>"9780415876438"</f>
        <v>9780415876438</v>
      </c>
      <c r="D3220" t="str">
        <f>"9780203828069"</f>
        <v>9780203828069</v>
      </c>
      <c r="E3220" t="s">
        <v>26010</v>
      </c>
      <c r="F3220" t="s">
        <v>35</v>
      </c>
      <c r="G3220" t="s">
        <v>22174</v>
      </c>
      <c r="H3220" t="s">
        <v>26011</v>
      </c>
      <c r="I3220" s="26">
        <v>40637</v>
      </c>
      <c r="J3220">
        <v>2011</v>
      </c>
      <c r="K3220" t="s">
        <v>26012</v>
      </c>
      <c r="L3220">
        <v>516</v>
      </c>
      <c r="M3220" t="s">
        <v>37767</v>
      </c>
      <c r="N3220">
        <v>1</v>
      </c>
      <c r="Q3220" t="s">
        <v>37768</v>
      </c>
      <c r="R3220">
        <v>362.19689</v>
      </c>
      <c r="S3220" t="s">
        <v>9920</v>
      </c>
      <c r="T3220" t="s">
        <v>30</v>
      </c>
      <c r="U3220" t="s">
        <v>26250</v>
      </c>
      <c r="W3220" t="s">
        <v>26009</v>
      </c>
    </row>
    <row r="3221" spans="1:23" x14ac:dyDescent="0.35">
      <c r="A3221">
        <v>692397</v>
      </c>
      <c r="B3221" t="s">
        <v>37769</v>
      </c>
      <c r="C3221" t="str">
        <f>"9781848728240"</f>
        <v>9781848728240</v>
      </c>
      <c r="D3221" t="str">
        <f>"9780203818343"</f>
        <v>9780203818343</v>
      </c>
      <c r="E3221" t="s">
        <v>26010</v>
      </c>
      <c r="F3221" t="s">
        <v>35</v>
      </c>
      <c r="G3221" t="s">
        <v>26128</v>
      </c>
      <c r="H3221" t="s">
        <v>26011</v>
      </c>
      <c r="I3221" s="26">
        <v>40651</v>
      </c>
      <c r="J3221">
        <v>2011</v>
      </c>
      <c r="K3221" t="s">
        <v>26012</v>
      </c>
      <c r="L3221">
        <v>375</v>
      </c>
      <c r="M3221" t="s">
        <v>37770</v>
      </c>
      <c r="N3221">
        <v>1</v>
      </c>
      <c r="O3221" t="s">
        <v>33986</v>
      </c>
      <c r="R3221">
        <v>303.33999999999997</v>
      </c>
      <c r="S3221" t="s">
        <v>37771</v>
      </c>
      <c r="T3221" t="s">
        <v>30</v>
      </c>
      <c r="U3221" t="s">
        <v>26044</v>
      </c>
      <c r="W3221" t="s">
        <v>26009</v>
      </c>
    </row>
    <row r="3222" spans="1:23" x14ac:dyDescent="0.35">
      <c r="A3222">
        <v>692400</v>
      </c>
      <c r="B3222" t="s">
        <v>37772</v>
      </c>
      <c r="C3222" t="str">
        <f>"9780415884860"</f>
        <v>9780415884860</v>
      </c>
      <c r="D3222" t="str">
        <f>"9780203840665"</f>
        <v>9780203840665</v>
      </c>
      <c r="E3222" t="s">
        <v>26010</v>
      </c>
      <c r="F3222" t="s">
        <v>35</v>
      </c>
      <c r="G3222" t="s">
        <v>26201</v>
      </c>
      <c r="H3222" t="s">
        <v>26004</v>
      </c>
      <c r="I3222" s="26">
        <v>40661</v>
      </c>
      <c r="J3222">
        <v>2011</v>
      </c>
      <c r="K3222" t="s">
        <v>26012</v>
      </c>
      <c r="L3222">
        <v>197</v>
      </c>
      <c r="M3222" t="s">
        <v>37773</v>
      </c>
      <c r="N3222">
        <v>1</v>
      </c>
      <c r="O3222" t="s">
        <v>35537</v>
      </c>
      <c r="Q3222" t="s">
        <v>37774</v>
      </c>
      <c r="R3222" t="s">
        <v>26308</v>
      </c>
      <c r="S3222" t="s">
        <v>9061</v>
      </c>
      <c r="T3222" t="s">
        <v>30</v>
      </c>
      <c r="U3222" t="s">
        <v>26170</v>
      </c>
      <c r="W3222" t="s">
        <v>26009</v>
      </c>
    </row>
    <row r="3223" spans="1:23" x14ac:dyDescent="0.35">
      <c r="A3223">
        <v>692401</v>
      </c>
      <c r="B3223" t="s">
        <v>9948</v>
      </c>
      <c r="C3223" t="str">
        <f>"9781848728189"</f>
        <v>9781848728189</v>
      </c>
      <c r="D3223" t="str">
        <f>"9780203821961"</f>
        <v>9780203821961</v>
      </c>
      <c r="E3223" t="s">
        <v>26010</v>
      </c>
      <c r="F3223" t="s">
        <v>35</v>
      </c>
      <c r="G3223" t="s">
        <v>22174</v>
      </c>
      <c r="H3223" t="s">
        <v>26011</v>
      </c>
      <c r="I3223" s="26">
        <v>40660</v>
      </c>
      <c r="J3223">
        <v>2011</v>
      </c>
      <c r="K3223" t="s">
        <v>26012</v>
      </c>
      <c r="L3223">
        <v>359</v>
      </c>
      <c r="M3223" t="s">
        <v>37775</v>
      </c>
      <c r="N3223">
        <v>1</v>
      </c>
      <c r="Q3223" t="s">
        <v>37776</v>
      </c>
      <c r="R3223">
        <v>150.28700000000001</v>
      </c>
      <c r="S3223" t="s">
        <v>8476</v>
      </c>
      <c r="T3223" t="s">
        <v>30</v>
      </c>
      <c r="U3223" t="s">
        <v>46</v>
      </c>
      <c r="W3223" t="s">
        <v>26009</v>
      </c>
    </row>
    <row r="3224" spans="1:23" x14ac:dyDescent="0.35">
      <c r="A3224">
        <v>692503</v>
      </c>
      <c r="B3224" t="s">
        <v>37777</v>
      </c>
      <c r="C3224" t="str">
        <f>"9781855755116"</f>
        <v>9781855755116</v>
      </c>
      <c r="D3224" t="str">
        <f>"9781849405812"</f>
        <v>9781849405812</v>
      </c>
      <c r="E3224" t="s">
        <v>26010</v>
      </c>
      <c r="F3224" t="s">
        <v>35</v>
      </c>
      <c r="G3224" t="s">
        <v>26128</v>
      </c>
      <c r="H3224" t="s">
        <v>26011</v>
      </c>
      <c r="I3224" s="26">
        <v>38744</v>
      </c>
      <c r="J3224">
        <v>2006</v>
      </c>
      <c r="K3224" t="s">
        <v>26012</v>
      </c>
      <c r="L3224">
        <v>353</v>
      </c>
      <c r="M3224" t="s">
        <v>37778</v>
      </c>
      <c r="N3224">
        <v>1</v>
      </c>
      <c r="S3224" t="s">
        <v>9675</v>
      </c>
      <c r="T3224" t="s">
        <v>30</v>
      </c>
      <c r="U3224" t="s">
        <v>46</v>
      </c>
      <c r="W3224" t="s">
        <v>26009</v>
      </c>
    </row>
    <row r="3225" spans="1:23" x14ac:dyDescent="0.35">
      <c r="A3225">
        <v>692504</v>
      </c>
      <c r="B3225" t="s">
        <v>9828</v>
      </c>
      <c r="C3225" t="str">
        <f>"9781855755840"</f>
        <v>9781855755840</v>
      </c>
      <c r="D3225" t="str">
        <f>"9781849407694"</f>
        <v>9781849407694</v>
      </c>
      <c r="E3225" t="s">
        <v>26010</v>
      </c>
      <c r="F3225" t="s">
        <v>35</v>
      </c>
      <c r="G3225" t="s">
        <v>22174</v>
      </c>
      <c r="H3225" t="s">
        <v>26011</v>
      </c>
      <c r="I3225" s="26">
        <v>40908</v>
      </c>
      <c r="J3225">
        <v>2011</v>
      </c>
      <c r="K3225" t="s">
        <v>26012</v>
      </c>
      <c r="L3225">
        <v>321</v>
      </c>
      <c r="M3225" t="s">
        <v>37779</v>
      </c>
      <c r="N3225">
        <v>1</v>
      </c>
      <c r="O3225" t="s">
        <v>36805</v>
      </c>
      <c r="Q3225" t="s">
        <v>37780</v>
      </c>
      <c r="R3225">
        <v>155.30000000000001</v>
      </c>
      <c r="S3225" t="s">
        <v>37781</v>
      </c>
      <c r="T3225" t="s">
        <v>30</v>
      </c>
      <c r="U3225" t="s">
        <v>46</v>
      </c>
      <c r="W3225" t="s">
        <v>26009</v>
      </c>
    </row>
    <row r="3226" spans="1:23" x14ac:dyDescent="0.35">
      <c r="A3226">
        <v>692507</v>
      </c>
      <c r="B3226" t="s">
        <v>37782</v>
      </c>
      <c r="C3226" t="str">
        <f>"9780804773041"</f>
        <v>9780804773041</v>
      </c>
      <c r="D3226" t="str">
        <f>"9780804777421"</f>
        <v>9780804777421</v>
      </c>
      <c r="E3226" t="s">
        <v>8284</v>
      </c>
      <c r="F3226" t="s">
        <v>8284</v>
      </c>
      <c r="G3226" t="s">
        <v>23524</v>
      </c>
      <c r="H3226" t="s">
        <v>26004</v>
      </c>
      <c r="I3226" s="26">
        <v>40571</v>
      </c>
      <c r="J3226">
        <v>2011</v>
      </c>
      <c r="K3226" t="s">
        <v>37783</v>
      </c>
      <c r="L3226">
        <v>297</v>
      </c>
      <c r="M3226" t="s">
        <v>37784</v>
      </c>
      <c r="N3226">
        <v>1</v>
      </c>
      <c r="Q3226" t="s">
        <v>37785</v>
      </c>
      <c r="S3226" t="s">
        <v>37786</v>
      </c>
      <c r="T3226" t="s">
        <v>30</v>
      </c>
      <c r="U3226" t="s">
        <v>46</v>
      </c>
      <c r="W3226" t="s">
        <v>26009</v>
      </c>
    </row>
    <row r="3227" spans="1:23" x14ac:dyDescent="0.35">
      <c r="A3227">
        <v>692973</v>
      </c>
      <c r="B3227" t="s">
        <v>37787</v>
      </c>
      <c r="C3227" t="str">
        <f>"9780415556613"</f>
        <v>9780415556613</v>
      </c>
      <c r="D3227" t="str">
        <f>"9780203814222"</f>
        <v>9780203814222</v>
      </c>
      <c r="E3227" t="s">
        <v>26010</v>
      </c>
      <c r="F3227" t="s">
        <v>35</v>
      </c>
      <c r="G3227" t="s">
        <v>26201</v>
      </c>
      <c r="H3227" t="s">
        <v>26004</v>
      </c>
      <c r="I3227" s="26">
        <v>40738</v>
      </c>
      <c r="J3227">
        <v>2011</v>
      </c>
      <c r="K3227" t="s">
        <v>26012</v>
      </c>
      <c r="L3227">
        <v>257</v>
      </c>
      <c r="M3227" t="s">
        <v>37788</v>
      </c>
      <c r="N3227">
        <v>1</v>
      </c>
      <c r="Q3227" t="s">
        <v>37789</v>
      </c>
      <c r="R3227">
        <v>158.72</v>
      </c>
      <c r="S3227" t="s">
        <v>9324</v>
      </c>
      <c r="T3227" t="s">
        <v>30</v>
      </c>
      <c r="U3227" t="s">
        <v>46</v>
      </c>
      <c r="W3227" t="s">
        <v>26009</v>
      </c>
    </row>
    <row r="3228" spans="1:23" x14ac:dyDescent="0.35">
      <c r="A3228">
        <v>693131</v>
      </c>
      <c r="B3228" t="s">
        <v>37790</v>
      </c>
      <c r="C3228" t="str">
        <f>"9781598746402"</f>
        <v>9781598746402</v>
      </c>
      <c r="D3228" t="str">
        <f>"9781598746426"</f>
        <v>9781598746426</v>
      </c>
      <c r="E3228" t="s">
        <v>26010</v>
      </c>
      <c r="F3228" t="s">
        <v>35</v>
      </c>
      <c r="G3228" t="s">
        <v>36267</v>
      </c>
      <c r="H3228" t="s">
        <v>26004</v>
      </c>
      <c r="I3228" s="26">
        <v>40602</v>
      </c>
      <c r="J3228">
        <v>2011</v>
      </c>
      <c r="K3228" t="s">
        <v>26012</v>
      </c>
      <c r="L3228">
        <v>240</v>
      </c>
      <c r="M3228" t="s">
        <v>37791</v>
      </c>
      <c r="N3228">
        <v>1</v>
      </c>
      <c r="O3228" t="s">
        <v>36295</v>
      </c>
      <c r="Q3228" t="s">
        <v>37792</v>
      </c>
      <c r="R3228">
        <v>302</v>
      </c>
      <c r="S3228" t="s">
        <v>37793</v>
      </c>
      <c r="T3228" t="s">
        <v>30</v>
      </c>
      <c r="U3228" t="s">
        <v>26044</v>
      </c>
      <c r="W3228" t="s">
        <v>26009</v>
      </c>
    </row>
    <row r="3229" spans="1:23" x14ac:dyDescent="0.35">
      <c r="A3229">
        <v>693132</v>
      </c>
      <c r="B3229" t="s">
        <v>37794</v>
      </c>
      <c r="C3229" t="str">
        <f>"9781598746198"</f>
        <v>9781598746198</v>
      </c>
      <c r="D3229" t="str">
        <f>"9781598746211"</f>
        <v>9781598746211</v>
      </c>
      <c r="E3229" t="s">
        <v>26010</v>
      </c>
      <c r="F3229" t="s">
        <v>35</v>
      </c>
      <c r="G3229" t="s">
        <v>36267</v>
      </c>
      <c r="H3229" t="s">
        <v>26004</v>
      </c>
      <c r="I3229" s="26">
        <v>40602</v>
      </c>
      <c r="J3229">
        <v>2011</v>
      </c>
      <c r="K3229" t="s">
        <v>26012</v>
      </c>
      <c r="L3229">
        <v>216</v>
      </c>
      <c r="M3229" t="s">
        <v>37795</v>
      </c>
      <c r="N3229">
        <v>1</v>
      </c>
      <c r="O3229" t="s">
        <v>36295</v>
      </c>
      <c r="Q3229" t="s">
        <v>37796</v>
      </c>
      <c r="R3229" t="s">
        <v>34719</v>
      </c>
      <c r="S3229" t="s">
        <v>37797</v>
      </c>
      <c r="T3229" t="s">
        <v>30</v>
      </c>
      <c r="U3229" t="s">
        <v>26044</v>
      </c>
      <c r="W3229" t="s">
        <v>26009</v>
      </c>
    </row>
    <row r="3230" spans="1:23" x14ac:dyDescent="0.35">
      <c r="A3230">
        <v>709467</v>
      </c>
      <c r="B3230" t="s">
        <v>37798</v>
      </c>
      <c r="C3230" t="str">
        <f>"9780765708274"</f>
        <v>9780765708274</v>
      </c>
      <c r="D3230" t="str">
        <f>"9780765708298"</f>
        <v>9780765708298</v>
      </c>
      <c r="E3230" t="s">
        <v>33803</v>
      </c>
      <c r="F3230" t="s">
        <v>38</v>
      </c>
      <c r="G3230" t="s">
        <v>34138</v>
      </c>
      <c r="H3230" t="s">
        <v>26004</v>
      </c>
      <c r="I3230" s="26">
        <v>40704</v>
      </c>
      <c r="J3230">
        <v>2011</v>
      </c>
      <c r="K3230" t="s">
        <v>33811</v>
      </c>
      <c r="L3230">
        <v>191</v>
      </c>
      <c r="M3230" t="s">
        <v>37799</v>
      </c>
      <c r="N3230">
        <v>1</v>
      </c>
      <c r="Q3230" t="s">
        <v>37800</v>
      </c>
      <c r="R3230" t="s">
        <v>27122</v>
      </c>
      <c r="S3230" t="s">
        <v>37801</v>
      </c>
      <c r="T3230" t="s">
        <v>30</v>
      </c>
      <c r="U3230" t="s">
        <v>26019</v>
      </c>
      <c r="W3230" t="s">
        <v>26009</v>
      </c>
    </row>
    <row r="3231" spans="1:23" x14ac:dyDescent="0.35">
      <c r="A3231">
        <v>709521</v>
      </c>
      <c r="B3231" t="s">
        <v>9286</v>
      </c>
      <c r="C3231" t="str">
        <f>"9781855757066"</f>
        <v>9781855757066</v>
      </c>
      <c r="D3231" t="str">
        <f>"9781849407182"</f>
        <v>9781849407182</v>
      </c>
      <c r="E3231" t="s">
        <v>26010</v>
      </c>
      <c r="F3231" t="s">
        <v>35</v>
      </c>
      <c r="G3231" t="s">
        <v>22174</v>
      </c>
      <c r="H3231" t="s">
        <v>26011</v>
      </c>
      <c r="I3231" s="26">
        <v>40908</v>
      </c>
      <c r="J3231">
        <v>2011</v>
      </c>
      <c r="K3231" t="s">
        <v>26012</v>
      </c>
      <c r="L3231">
        <v>220</v>
      </c>
      <c r="M3231" t="s">
        <v>37802</v>
      </c>
      <c r="N3231">
        <v>1</v>
      </c>
      <c r="O3231" t="s">
        <v>36658</v>
      </c>
      <c r="Q3231" t="s">
        <v>36491</v>
      </c>
      <c r="R3231">
        <v>150.1952</v>
      </c>
      <c r="S3231" t="s">
        <v>36758</v>
      </c>
      <c r="T3231" t="s">
        <v>30</v>
      </c>
      <c r="U3231" t="s">
        <v>46</v>
      </c>
      <c r="W3231" t="s">
        <v>26009</v>
      </c>
    </row>
    <row r="3232" spans="1:23" x14ac:dyDescent="0.35">
      <c r="A3232">
        <v>709522</v>
      </c>
      <c r="B3232" t="s">
        <v>9561</v>
      </c>
      <c r="C3232" t="str">
        <f>"9780946439157"</f>
        <v>9780946439157</v>
      </c>
      <c r="D3232" t="str">
        <f>"9781849400305"</f>
        <v>9781849400305</v>
      </c>
      <c r="E3232" t="s">
        <v>26010</v>
      </c>
      <c r="F3232" t="s">
        <v>35</v>
      </c>
      <c r="G3232" t="s">
        <v>22174</v>
      </c>
      <c r="H3232" t="s">
        <v>26011</v>
      </c>
      <c r="I3232" s="26">
        <v>31412</v>
      </c>
      <c r="J3232">
        <v>1985</v>
      </c>
      <c r="K3232" t="s">
        <v>26012</v>
      </c>
      <c r="L3232">
        <v>219</v>
      </c>
      <c r="M3232" t="s">
        <v>37803</v>
      </c>
      <c r="N3232">
        <v>1</v>
      </c>
      <c r="Q3232" t="s">
        <v>37804</v>
      </c>
      <c r="R3232">
        <v>150.19499999999999</v>
      </c>
      <c r="S3232" t="s">
        <v>37805</v>
      </c>
      <c r="T3232" t="s">
        <v>30</v>
      </c>
      <c r="U3232" t="s">
        <v>46</v>
      </c>
      <c r="W3232" t="s">
        <v>26009</v>
      </c>
    </row>
    <row r="3233" spans="1:23" x14ac:dyDescent="0.35">
      <c r="A3233">
        <v>709523</v>
      </c>
      <c r="B3233" t="s">
        <v>37806</v>
      </c>
      <c r="C3233" t="str">
        <f>"9780950714684"</f>
        <v>9780950714684</v>
      </c>
      <c r="D3233" t="str">
        <f>"9781849400336"</f>
        <v>9781849400336</v>
      </c>
      <c r="E3233" t="s">
        <v>26010</v>
      </c>
      <c r="F3233" t="s">
        <v>35</v>
      </c>
      <c r="G3233" t="s">
        <v>22174</v>
      </c>
      <c r="H3233" t="s">
        <v>26011</v>
      </c>
      <c r="I3233" s="26">
        <v>31412</v>
      </c>
      <c r="J3233">
        <v>1985</v>
      </c>
      <c r="K3233" t="s">
        <v>26012</v>
      </c>
      <c r="L3233">
        <v>265</v>
      </c>
      <c r="M3233" t="s">
        <v>37807</v>
      </c>
      <c r="N3233">
        <v>1</v>
      </c>
      <c r="Q3233" t="s">
        <v>37808</v>
      </c>
      <c r="R3233">
        <v>616.89</v>
      </c>
      <c r="S3233" t="s">
        <v>37809</v>
      </c>
      <c r="T3233" t="s">
        <v>30</v>
      </c>
      <c r="U3233" t="s">
        <v>26116</v>
      </c>
      <c r="W3233" t="s">
        <v>26009</v>
      </c>
    </row>
    <row r="3234" spans="1:23" x14ac:dyDescent="0.35">
      <c r="A3234">
        <v>709524</v>
      </c>
      <c r="B3234" t="s">
        <v>37810</v>
      </c>
      <c r="C3234" t="str">
        <f>"9781855758070"</f>
        <v>9781855758070</v>
      </c>
      <c r="D3234" t="str">
        <f>"9781849408875"</f>
        <v>9781849408875</v>
      </c>
      <c r="E3234" t="s">
        <v>26010</v>
      </c>
      <c r="F3234" t="s">
        <v>35</v>
      </c>
      <c r="G3234" t="s">
        <v>26128</v>
      </c>
      <c r="H3234" t="s">
        <v>26011</v>
      </c>
      <c r="I3234" s="26">
        <v>40908</v>
      </c>
      <c r="J3234">
        <v>2011</v>
      </c>
      <c r="K3234" t="s">
        <v>26012</v>
      </c>
      <c r="L3234">
        <v>223</v>
      </c>
      <c r="M3234" t="s">
        <v>37811</v>
      </c>
      <c r="N3234">
        <v>1</v>
      </c>
      <c r="O3234" t="s">
        <v>36830</v>
      </c>
      <c r="S3234" t="s">
        <v>7661</v>
      </c>
      <c r="T3234" t="s">
        <v>30</v>
      </c>
      <c r="U3234" t="s">
        <v>46</v>
      </c>
      <c r="W3234" t="s">
        <v>26009</v>
      </c>
    </row>
    <row r="3235" spans="1:23" x14ac:dyDescent="0.35">
      <c r="A3235">
        <v>709526</v>
      </c>
      <c r="B3235" t="s">
        <v>37812</v>
      </c>
      <c r="C3235" t="str">
        <f>"9781855758438"</f>
        <v>9781855758438</v>
      </c>
      <c r="D3235" t="str">
        <f>"9781849408929"</f>
        <v>9781849408929</v>
      </c>
      <c r="E3235" t="s">
        <v>26010</v>
      </c>
      <c r="F3235" t="s">
        <v>35</v>
      </c>
      <c r="G3235" t="s">
        <v>22174</v>
      </c>
      <c r="H3235" t="s">
        <v>26011</v>
      </c>
      <c r="I3235" s="26">
        <v>40908</v>
      </c>
      <c r="J3235">
        <v>2011</v>
      </c>
      <c r="K3235" t="s">
        <v>26012</v>
      </c>
      <c r="L3235">
        <v>285</v>
      </c>
      <c r="M3235" t="s">
        <v>37813</v>
      </c>
      <c r="N3235">
        <v>1</v>
      </c>
      <c r="Q3235" t="s">
        <v>37814</v>
      </c>
      <c r="R3235">
        <v>155.30000000000001</v>
      </c>
      <c r="S3235" t="s">
        <v>37815</v>
      </c>
      <c r="T3235" t="s">
        <v>30</v>
      </c>
      <c r="U3235" t="s">
        <v>46</v>
      </c>
      <c r="W3235" t="s">
        <v>26009</v>
      </c>
    </row>
    <row r="3236" spans="1:23" x14ac:dyDescent="0.35">
      <c r="A3236">
        <v>709527</v>
      </c>
      <c r="B3236" t="s">
        <v>37816</v>
      </c>
      <c r="C3236" t="str">
        <f>"9781855757882"</f>
        <v>9781855757882</v>
      </c>
      <c r="D3236" t="str">
        <f>"9781849408936"</f>
        <v>9781849408936</v>
      </c>
      <c r="E3236" t="s">
        <v>26010</v>
      </c>
      <c r="F3236" t="s">
        <v>35</v>
      </c>
      <c r="G3236" t="s">
        <v>22174</v>
      </c>
      <c r="H3236" t="s">
        <v>26011</v>
      </c>
      <c r="I3236" s="26">
        <v>40908</v>
      </c>
      <c r="J3236">
        <v>2011</v>
      </c>
      <c r="K3236" t="s">
        <v>26012</v>
      </c>
      <c r="L3236">
        <v>169</v>
      </c>
      <c r="M3236" t="s">
        <v>37817</v>
      </c>
      <c r="N3236">
        <v>1</v>
      </c>
      <c r="O3236" t="s">
        <v>36855</v>
      </c>
      <c r="Q3236" t="s">
        <v>37818</v>
      </c>
      <c r="R3236">
        <v>658.40700000000004</v>
      </c>
      <c r="S3236" t="s">
        <v>37819</v>
      </c>
      <c r="T3236" t="s">
        <v>30</v>
      </c>
      <c r="U3236" t="s">
        <v>30031</v>
      </c>
      <c r="W3236" t="s">
        <v>26009</v>
      </c>
    </row>
    <row r="3237" spans="1:23" x14ac:dyDescent="0.35">
      <c r="A3237">
        <v>709528</v>
      </c>
      <c r="B3237" t="s">
        <v>7635</v>
      </c>
      <c r="C3237" t="str">
        <f>"9781855758094"</f>
        <v>9781855758094</v>
      </c>
      <c r="D3237" t="str">
        <f>"9781849408943"</f>
        <v>9781849408943</v>
      </c>
      <c r="E3237" t="s">
        <v>26010</v>
      </c>
      <c r="F3237" t="s">
        <v>35</v>
      </c>
      <c r="G3237" t="s">
        <v>22174</v>
      </c>
      <c r="H3237" t="s">
        <v>26011</v>
      </c>
      <c r="I3237" s="26">
        <v>40908</v>
      </c>
      <c r="J3237">
        <v>2011</v>
      </c>
      <c r="K3237" t="s">
        <v>26012</v>
      </c>
      <c r="L3237">
        <v>297</v>
      </c>
      <c r="M3237" t="s">
        <v>37820</v>
      </c>
      <c r="N3237">
        <v>1</v>
      </c>
      <c r="Q3237" t="s">
        <v>37821</v>
      </c>
      <c r="R3237">
        <v>150.19569999999999</v>
      </c>
      <c r="S3237" t="s">
        <v>37822</v>
      </c>
      <c r="T3237" t="s">
        <v>30</v>
      </c>
      <c r="U3237" t="s">
        <v>46</v>
      </c>
      <c r="W3237" t="s">
        <v>26009</v>
      </c>
    </row>
    <row r="3238" spans="1:23" x14ac:dyDescent="0.35">
      <c r="A3238">
        <v>709529</v>
      </c>
      <c r="B3238" t="s">
        <v>37823</v>
      </c>
      <c r="C3238" t="str">
        <f>"9780946439553"</f>
        <v>9780946439553</v>
      </c>
      <c r="D3238" t="str">
        <f>"9781849400701"</f>
        <v>9781849400701</v>
      </c>
      <c r="E3238" t="s">
        <v>26010</v>
      </c>
      <c r="F3238" t="s">
        <v>35</v>
      </c>
      <c r="G3238" t="s">
        <v>22174</v>
      </c>
      <c r="H3238" t="s">
        <v>26011</v>
      </c>
      <c r="I3238" s="26">
        <v>32873</v>
      </c>
      <c r="J3238">
        <v>1989</v>
      </c>
      <c r="K3238" t="s">
        <v>26012</v>
      </c>
      <c r="L3238">
        <v>167</v>
      </c>
      <c r="M3238" t="s">
        <v>37824</v>
      </c>
      <c r="N3238">
        <v>1</v>
      </c>
      <c r="Q3238" t="s">
        <v>37825</v>
      </c>
      <c r="R3238" t="s">
        <v>26603</v>
      </c>
      <c r="S3238" t="s">
        <v>9275</v>
      </c>
      <c r="T3238" t="s">
        <v>30</v>
      </c>
      <c r="U3238" t="s">
        <v>46</v>
      </c>
      <c r="W3238" t="s">
        <v>26009</v>
      </c>
    </row>
    <row r="3239" spans="1:23" x14ac:dyDescent="0.35">
      <c r="A3239">
        <v>709530</v>
      </c>
      <c r="B3239" t="s">
        <v>37826</v>
      </c>
      <c r="C3239" t="str">
        <f>"9781855750081"</f>
        <v>9781855750081</v>
      </c>
      <c r="D3239" t="str">
        <f>"9781849401364"</f>
        <v>9781849401364</v>
      </c>
      <c r="E3239" t="s">
        <v>26010</v>
      </c>
      <c r="F3239" t="s">
        <v>35</v>
      </c>
      <c r="G3239" t="s">
        <v>22174</v>
      </c>
      <c r="H3239" t="s">
        <v>26011</v>
      </c>
      <c r="I3239" s="26">
        <v>33969</v>
      </c>
      <c r="J3239">
        <v>1992</v>
      </c>
      <c r="K3239" t="s">
        <v>26012</v>
      </c>
      <c r="L3239">
        <v>251</v>
      </c>
      <c r="M3239" t="s">
        <v>37827</v>
      </c>
      <c r="N3239">
        <v>1</v>
      </c>
      <c r="Q3239" t="s">
        <v>37828</v>
      </c>
      <c r="R3239" t="s">
        <v>26422</v>
      </c>
      <c r="S3239" t="s">
        <v>37004</v>
      </c>
      <c r="T3239" t="s">
        <v>30</v>
      </c>
      <c r="U3239" t="s">
        <v>26116</v>
      </c>
      <c r="W3239" t="s">
        <v>26009</v>
      </c>
    </row>
    <row r="3240" spans="1:23" x14ac:dyDescent="0.35">
      <c r="A3240">
        <v>709531</v>
      </c>
      <c r="B3240" t="s">
        <v>37829</v>
      </c>
      <c r="C3240" t="str">
        <f>"9781855759183"</f>
        <v>9781855759183</v>
      </c>
      <c r="D3240" t="str">
        <f>"9780429919107"</f>
        <v>9780429919107</v>
      </c>
      <c r="E3240" t="s">
        <v>26010</v>
      </c>
      <c r="F3240" t="s">
        <v>35</v>
      </c>
      <c r="G3240" t="s">
        <v>26128</v>
      </c>
      <c r="H3240" t="s">
        <v>26011</v>
      </c>
      <c r="I3240" s="26">
        <v>37621</v>
      </c>
      <c r="J3240">
        <v>2002</v>
      </c>
      <c r="K3240" t="s">
        <v>26012</v>
      </c>
      <c r="L3240">
        <v>178</v>
      </c>
      <c r="M3240" t="s">
        <v>37077</v>
      </c>
      <c r="N3240">
        <v>1</v>
      </c>
      <c r="R3240">
        <v>152.44</v>
      </c>
      <c r="S3240" t="s">
        <v>37830</v>
      </c>
      <c r="T3240" t="s">
        <v>30</v>
      </c>
      <c r="U3240" t="s">
        <v>46</v>
      </c>
      <c r="W3240" t="s">
        <v>26009</v>
      </c>
    </row>
    <row r="3241" spans="1:23" x14ac:dyDescent="0.35">
      <c r="A3241">
        <v>709532</v>
      </c>
      <c r="B3241" t="s">
        <v>10250</v>
      </c>
      <c r="C3241" t="str">
        <f>"9780946439768"</f>
        <v>9780946439768</v>
      </c>
      <c r="D3241" t="str">
        <f>"9781849400039"</f>
        <v>9781849400039</v>
      </c>
      <c r="E3241" t="s">
        <v>26010</v>
      </c>
      <c r="F3241" t="s">
        <v>35</v>
      </c>
      <c r="G3241" t="s">
        <v>22174</v>
      </c>
      <c r="H3241" t="s">
        <v>26011</v>
      </c>
      <c r="I3241" s="26">
        <v>26664</v>
      </c>
      <c r="J3241">
        <v>1972</v>
      </c>
      <c r="K3241" t="s">
        <v>26012</v>
      </c>
      <c r="L3241">
        <v>397</v>
      </c>
      <c r="M3241" t="s">
        <v>37831</v>
      </c>
      <c r="N3241">
        <v>1</v>
      </c>
      <c r="Q3241" t="s">
        <v>37832</v>
      </c>
      <c r="R3241">
        <v>616.89170925999997</v>
      </c>
      <c r="S3241" t="s">
        <v>10251</v>
      </c>
      <c r="T3241" t="s">
        <v>30</v>
      </c>
      <c r="U3241" t="s">
        <v>26116</v>
      </c>
      <c r="W3241" t="s">
        <v>26009</v>
      </c>
    </row>
    <row r="3242" spans="1:23" x14ac:dyDescent="0.35">
      <c r="A3242">
        <v>709533</v>
      </c>
      <c r="B3242" t="s">
        <v>37833</v>
      </c>
      <c r="C3242" t="str">
        <f>"9781855751187"</f>
        <v>9781855751187</v>
      </c>
      <c r="D3242" t="str">
        <f>"9781849400084"</f>
        <v>9781849400084</v>
      </c>
      <c r="E3242" t="s">
        <v>26010</v>
      </c>
      <c r="F3242" t="s">
        <v>35</v>
      </c>
      <c r="G3242" t="s">
        <v>22174</v>
      </c>
      <c r="H3242" t="s">
        <v>26011</v>
      </c>
      <c r="I3242" s="26">
        <v>28490</v>
      </c>
      <c r="J3242">
        <v>1977</v>
      </c>
      <c r="K3242" t="s">
        <v>26012</v>
      </c>
      <c r="L3242">
        <v>463</v>
      </c>
      <c r="M3242" t="s">
        <v>37803</v>
      </c>
      <c r="N3242">
        <v>1</v>
      </c>
      <c r="Q3242" t="s">
        <v>37834</v>
      </c>
      <c r="R3242">
        <v>155.19999999999999</v>
      </c>
      <c r="S3242" t="s">
        <v>37835</v>
      </c>
      <c r="T3242" t="s">
        <v>30</v>
      </c>
      <c r="U3242" t="s">
        <v>46</v>
      </c>
      <c r="W3242" t="s">
        <v>26009</v>
      </c>
    </row>
    <row r="3243" spans="1:23" x14ac:dyDescent="0.35">
      <c r="A3243">
        <v>709536</v>
      </c>
      <c r="B3243" t="s">
        <v>7513</v>
      </c>
      <c r="C3243" t="str">
        <f>"9781855750296"</f>
        <v>9781855750296</v>
      </c>
      <c r="D3243" t="str">
        <f>"9781849400213"</f>
        <v>9781849400213</v>
      </c>
      <c r="E3243" t="s">
        <v>26010</v>
      </c>
      <c r="F3243" t="s">
        <v>35</v>
      </c>
      <c r="G3243" t="s">
        <v>22174</v>
      </c>
      <c r="H3243" t="s">
        <v>26011</v>
      </c>
      <c r="I3243" s="26">
        <v>30681</v>
      </c>
      <c r="J3243">
        <v>1983</v>
      </c>
      <c r="K3243" t="s">
        <v>26012</v>
      </c>
      <c r="L3243">
        <v>329</v>
      </c>
      <c r="M3243" t="s">
        <v>37836</v>
      </c>
      <c r="N3243">
        <v>1</v>
      </c>
      <c r="Q3243" t="s">
        <v>37837</v>
      </c>
      <c r="R3243">
        <v>150.19499999999999</v>
      </c>
      <c r="S3243" t="s">
        <v>7514</v>
      </c>
      <c r="T3243" t="s">
        <v>30</v>
      </c>
      <c r="U3243" t="s">
        <v>46</v>
      </c>
      <c r="W3243" t="s">
        <v>26009</v>
      </c>
    </row>
    <row r="3244" spans="1:23" x14ac:dyDescent="0.35">
      <c r="A3244">
        <v>709538</v>
      </c>
      <c r="B3244" t="s">
        <v>37838</v>
      </c>
      <c r="C3244" t="str">
        <f>"9780946439126"</f>
        <v>9780946439126</v>
      </c>
      <c r="D3244" t="str">
        <f>"9781849400329"</f>
        <v>9781849400329</v>
      </c>
      <c r="E3244" t="s">
        <v>26010</v>
      </c>
      <c r="F3244" t="s">
        <v>35</v>
      </c>
      <c r="G3244" t="s">
        <v>22174</v>
      </c>
      <c r="H3244" t="s">
        <v>26011</v>
      </c>
      <c r="I3244" s="26">
        <v>31412</v>
      </c>
      <c r="J3244">
        <v>1985</v>
      </c>
      <c r="K3244" t="s">
        <v>26012</v>
      </c>
      <c r="L3244">
        <v>321</v>
      </c>
      <c r="M3244" t="s">
        <v>37839</v>
      </c>
      <c r="N3244">
        <v>1</v>
      </c>
      <c r="Q3244" t="s">
        <v>37840</v>
      </c>
      <c r="R3244">
        <v>155.422</v>
      </c>
      <c r="S3244" t="s">
        <v>37841</v>
      </c>
      <c r="T3244" t="s">
        <v>30</v>
      </c>
      <c r="U3244" t="s">
        <v>46</v>
      </c>
      <c r="W3244" t="s">
        <v>26009</v>
      </c>
    </row>
    <row r="3245" spans="1:23" x14ac:dyDescent="0.35">
      <c r="A3245">
        <v>709539</v>
      </c>
      <c r="B3245" t="s">
        <v>37842</v>
      </c>
      <c r="C3245" t="str">
        <f>"9780946439751"</f>
        <v>9780946439751</v>
      </c>
      <c r="D3245" t="str">
        <f>"9781849400350"</f>
        <v>9781849400350</v>
      </c>
      <c r="E3245" t="s">
        <v>26010</v>
      </c>
      <c r="F3245" t="s">
        <v>35</v>
      </c>
      <c r="G3245" t="s">
        <v>22174</v>
      </c>
      <c r="H3245" t="s">
        <v>26011</v>
      </c>
      <c r="I3245" s="26">
        <v>31777</v>
      </c>
      <c r="J3245">
        <v>1986</v>
      </c>
      <c r="K3245" t="s">
        <v>26012</v>
      </c>
      <c r="L3245">
        <v>182</v>
      </c>
      <c r="M3245" t="s">
        <v>37843</v>
      </c>
      <c r="N3245">
        <v>1</v>
      </c>
      <c r="Q3245" t="s">
        <v>37844</v>
      </c>
      <c r="R3245">
        <v>155.30000000000001</v>
      </c>
      <c r="S3245" t="s">
        <v>37845</v>
      </c>
      <c r="T3245" t="s">
        <v>30</v>
      </c>
      <c r="U3245" t="s">
        <v>46</v>
      </c>
      <c r="W3245" t="s">
        <v>26009</v>
      </c>
    </row>
    <row r="3246" spans="1:23" x14ac:dyDescent="0.35">
      <c r="A3246">
        <v>709540</v>
      </c>
      <c r="B3246" t="s">
        <v>8164</v>
      </c>
      <c r="C3246" t="str">
        <f>"9781855759817"</f>
        <v>9781855759817</v>
      </c>
      <c r="D3246" t="str">
        <f>"9781849400374"</f>
        <v>9781849400374</v>
      </c>
      <c r="E3246" t="s">
        <v>26010</v>
      </c>
      <c r="F3246" t="s">
        <v>35</v>
      </c>
      <c r="G3246" t="s">
        <v>22174</v>
      </c>
      <c r="H3246" t="s">
        <v>26011</v>
      </c>
      <c r="I3246" s="26">
        <v>31777</v>
      </c>
      <c r="J3246">
        <v>1986</v>
      </c>
      <c r="K3246" t="s">
        <v>26012</v>
      </c>
      <c r="L3246">
        <v>266</v>
      </c>
      <c r="M3246" t="s">
        <v>37846</v>
      </c>
      <c r="N3246">
        <v>1</v>
      </c>
      <c r="Q3246" t="s">
        <v>37847</v>
      </c>
      <c r="R3246">
        <v>616.89170000000001</v>
      </c>
      <c r="S3246" t="s">
        <v>7514</v>
      </c>
      <c r="T3246" t="s">
        <v>30</v>
      </c>
      <c r="U3246" t="s">
        <v>26019</v>
      </c>
      <c r="W3246" t="s">
        <v>26009</v>
      </c>
    </row>
    <row r="3247" spans="1:23" x14ac:dyDescent="0.35">
      <c r="A3247">
        <v>709547</v>
      </c>
      <c r="B3247" t="s">
        <v>9789</v>
      </c>
      <c r="C3247" t="str">
        <f>"9780946439591"</f>
        <v>9780946439591</v>
      </c>
      <c r="D3247" t="str">
        <f>"9781849400558"</f>
        <v>9781849400558</v>
      </c>
      <c r="E3247" t="s">
        <v>26010</v>
      </c>
      <c r="F3247" t="s">
        <v>35</v>
      </c>
      <c r="G3247" t="s">
        <v>22174</v>
      </c>
      <c r="H3247" t="s">
        <v>26011</v>
      </c>
      <c r="I3247" s="26">
        <v>32508</v>
      </c>
      <c r="J3247">
        <v>1988</v>
      </c>
      <c r="K3247" t="s">
        <v>26012</v>
      </c>
      <c r="L3247">
        <v>530</v>
      </c>
      <c r="M3247" t="s">
        <v>37848</v>
      </c>
      <c r="N3247">
        <v>1</v>
      </c>
      <c r="Q3247" t="s">
        <v>37849</v>
      </c>
      <c r="R3247">
        <v>150.19499999999999</v>
      </c>
      <c r="S3247" t="s">
        <v>7514</v>
      </c>
      <c r="T3247" t="s">
        <v>30</v>
      </c>
      <c r="U3247" t="s">
        <v>46</v>
      </c>
      <c r="W3247" t="s">
        <v>26009</v>
      </c>
    </row>
    <row r="3248" spans="1:23" x14ac:dyDescent="0.35">
      <c r="A3248">
        <v>709548</v>
      </c>
      <c r="B3248" t="s">
        <v>8952</v>
      </c>
      <c r="C3248" t="str">
        <f>"9780946439492"</f>
        <v>9780946439492</v>
      </c>
      <c r="D3248" t="str">
        <f>"9781849400602"</f>
        <v>9781849400602</v>
      </c>
      <c r="E3248" t="s">
        <v>26010</v>
      </c>
      <c r="F3248" t="s">
        <v>35</v>
      </c>
      <c r="G3248" t="s">
        <v>22174</v>
      </c>
      <c r="H3248" t="s">
        <v>26011</v>
      </c>
      <c r="I3248" s="26">
        <v>32508</v>
      </c>
      <c r="J3248">
        <v>1988</v>
      </c>
      <c r="K3248" t="s">
        <v>26012</v>
      </c>
      <c r="L3248">
        <v>535</v>
      </c>
      <c r="M3248" t="s">
        <v>37850</v>
      </c>
      <c r="N3248">
        <v>1</v>
      </c>
      <c r="Q3248" t="s">
        <v>37851</v>
      </c>
      <c r="R3248">
        <v>150.1952</v>
      </c>
      <c r="S3248" t="s">
        <v>37852</v>
      </c>
      <c r="T3248" t="s">
        <v>30</v>
      </c>
      <c r="U3248" t="s">
        <v>26019</v>
      </c>
      <c r="W3248" t="s">
        <v>26009</v>
      </c>
    </row>
    <row r="3249" spans="1:23" x14ac:dyDescent="0.35">
      <c r="A3249">
        <v>709549</v>
      </c>
      <c r="B3249" t="s">
        <v>7535</v>
      </c>
      <c r="C3249" t="str">
        <f>"9780946439522"</f>
        <v>9780946439522</v>
      </c>
      <c r="D3249" t="str">
        <f>"9781849400633"</f>
        <v>9781849400633</v>
      </c>
      <c r="E3249" t="s">
        <v>26010</v>
      </c>
      <c r="F3249" t="s">
        <v>35</v>
      </c>
      <c r="G3249" t="s">
        <v>22174</v>
      </c>
      <c r="H3249" t="s">
        <v>26011</v>
      </c>
      <c r="I3249" s="26">
        <v>32508</v>
      </c>
      <c r="J3249">
        <v>1988</v>
      </c>
      <c r="K3249" t="s">
        <v>26012</v>
      </c>
      <c r="L3249">
        <v>181</v>
      </c>
      <c r="M3249" t="s">
        <v>37853</v>
      </c>
      <c r="N3249">
        <v>1</v>
      </c>
      <c r="O3249" t="s">
        <v>37172</v>
      </c>
      <c r="Q3249" t="s">
        <v>37854</v>
      </c>
      <c r="R3249" t="s">
        <v>28942</v>
      </c>
      <c r="S3249" t="s">
        <v>37855</v>
      </c>
      <c r="T3249" t="s">
        <v>30</v>
      </c>
      <c r="U3249" t="s">
        <v>26116</v>
      </c>
      <c r="W3249" t="s">
        <v>26009</v>
      </c>
    </row>
    <row r="3250" spans="1:23" x14ac:dyDescent="0.35">
      <c r="A3250">
        <v>709550</v>
      </c>
      <c r="B3250" t="s">
        <v>9517</v>
      </c>
      <c r="C3250" t="str">
        <f>"9780946439409"</f>
        <v>9780946439409</v>
      </c>
      <c r="D3250" t="str">
        <f>"9781849400640"</f>
        <v>9781849400640</v>
      </c>
      <c r="E3250" t="s">
        <v>26010</v>
      </c>
      <c r="F3250" t="s">
        <v>35</v>
      </c>
      <c r="G3250" t="s">
        <v>22174</v>
      </c>
      <c r="H3250" t="s">
        <v>26011</v>
      </c>
      <c r="I3250" s="26">
        <v>32508</v>
      </c>
      <c r="J3250">
        <v>1988</v>
      </c>
      <c r="K3250" t="s">
        <v>26012</v>
      </c>
      <c r="L3250">
        <v>239</v>
      </c>
      <c r="M3250" t="s">
        <v>37856</v>
      </c>
      <c r="N3250">
        <v>1</v>
      </c>
      <c r="Q3250" t="s">
        <v>37857</v>
      </c>
      <c r="R3250">
        <v>150.19499999999999</v>
      </c>
      <c r="S3250" t="s">
        <v>37858</v>
      </c>
      <c r="T3250" t="s">
        <v>30</v>
      </c>
      <c r="U3250" t="s">
        <v>46</v>
      </c>
      <c r="W3250" t="s">
        <v>26009</v>
      </c>
    </row>
    <row r="3251" spans="1:23" x14ac:dyDescent="0.35">
      <c r="A3251">
        <v>709551</v>
      </c>
      <c r="B3251" t="s">
        <v>37859</v>
      </c>
      <c r="C3251" t="str">
        <f>"9780946439775"</f>
        <v>9780946439775</v>
      </c>
      <c r="D3251" t="str">
        <f>"9781849400695"</f>
        <v>9781849400695</v>
      </c>
      <c r="E3251" t="s">
        <v>26010</v>
      </c>
      <c r="F3251" t="s">
        <v>35</v>
      </c>
      <c r="G3251" t="s">
        <v>22174</v>
      </c>
      <c r="H3251" t="s">
        <v>26011</v>
      </c>
      <c r="I3251" s="26">
        <v>32873</v>
      </c>
      <c r="J3251">
        <v>1989</v>
      </c>
      <c r="K3251" t="s">
        <v>26012</v>
      </c>
      <c r="L3251">
        <v>69</v>
      </c>
      <c r="M3251" t="s">
        <v>37175</v>
      </c>
      <c r="N3251">
        <v>1</v>
      </c>
      <c r="Q3251" t="s">
        <v>37860</v>
      </c>
      <c r="R3251">
        <v>150.19499999999999</v>
      </c>
      <c r="S3251" t="s">
        <v>7514</v>
      </c>
      <c r="T3251" t="s">
        <v>30</v>
      </c>
      <c r="U3251" t="s">
        <v>26019</v>
      </c>
      <c r="W3251" t="s">
        <v>26009</v>
      </c>
    </row>
    <row r="3252" spans="1:23" x14ac:dyDescent="0.35">
      <c r="A3252">
        <v>709552</v>
      </c>
      <c r="B3252" t="s">
        <v>37861</v>
      </c>
      <c r="C3252" t="str">
        <f>"9780946439614"</f>
        <v>9780946439614</v>
      </c>
      <c r="D3252" t="str">
        <f>"9781849400718"</f>
        <v>9781849400718</v>
      </c>
      <c r="E3252" t="s">
        <v>26010</v>
      </c>
      <c r="F3252" t="s">
        <v>35</v>
      </c>
      <c r="G3252" t="s">
        <v>22174</v>
      </c>
      <c r="H3252" t="s">
        <v>26011</v>
      </c>
      <c r="I3252" s="26">
        <v>32873</v>
      </c>
      <c r="J3252">
        <v>1989</v>
      </c>
      <c r="K3252" t="s">
        <v>26012</v>
      </c>
      <c r="L3252">
        <v>122</v>
      </c>
      <c r="M3252" t="s">
        <v>37862</v>
      </c>
      <c r="N3252">
        <v>1</v>
      </c>
      <c r="Q3252" t="s">
        <v>37863</v>
      </c>
      <c r="R3252" t="s">
        <v>37864</v>
      </c>
      <c r="S3252" t="s">
        <v>9436</v>
      </c>
      <c r="T3252" t="s">
        <v>30</v>
      </c>
      <c r="U3252" t="s">
        <v>26170</v>
      </c>
      <c r="W3252" t="s">
        <v>26009</v>
      </c>
    </row>
    <row r="3253" spans="1:23" x14ac:dyDescent="0.35">
      <c r="A3253">
        <v>709553</v>
      </c>
      <c r="B3253" t="s">
        <v>37865</v>
      </c>
      <c r="C3253" t="str">
        <f>"9780946439652"</f>
        <v>9780946439652</v>
      </c>
      <c r="D3253" t="str">
        <f>"9781849400732"</f>
        <v>9781849400732</v>
      </c>
      <c r="E3253" t="s">
        <v>26010</v>
      </c>
      <c r="F3253" t="s">
        <v>35</v>
      </c>
      <c r="G3253" t="s">
        <v>22174</v>
      </c>
      <c r="H3253" t="s">
        <v>26011</v>
      </c>
      <c r="I3253" s="26">
        <v>32873</v>
      </c>
      <c r="J3253">
        <v>1989</v>
      </c>
      <c r="K3253" t="s">
        <v>26012</v>
      </c>
      <c r="L3253">
        <v>311</v>
      </c>
      <c r="M3253" t="s">
        <v>11608</v>
      </c>
      <c r="N3253">
        <v>2</v>
      </c>
      <c r="Q3253" t="s">
        <v>37866</v>
      </c>
      <c r="R3253">
        <v>155.4</v>
      </c>
      <c r="S3253" t="s">
        <v>37867</v>
      </c>
      <c r="T3253" t="s">
        <v>30</v>
      </c>
      <c r="U3253" t="s">
        <v>26019</v>
      </c>
      <c r="W3253" t="s">
        <v>26009</v>
      </c>
    </row>
    <row r="3254" spans="1:23" x14ac:dyDescent="0.35">
      <c r="A3254">
        <v>709554</v>
      </c>
      <c r="B3254" t="s">
        <v>8150</v>
      </c>
      <c r="C3254" t="str">
        <f>"9780946439706"</f>
        <v>9780946439706</v>
      </c>
      <c r="D3254" t="str">
        <f>"9781849400756"</f>
        <v>9781849400756</v>
      </c>
      <c r="E3254" t="s">
        <v>26010</v>
      </c>
      <c r="F3254" t="s">
        <v>35</v>
      </c>
      <c r="G3254" t="s">
        <v>22174</v>
      </c>
      <c r="H3254" t="s">
        <v>26011</v>
      </c>
      <c r="I3254" s="26">
        <v>32873</v>
      </c>
      <c r="J3254">
        <v>1989</v>
      </c>
      <c r="K3254" t="s">
        <v>26012</v>
      </c>
      <c r="L3254">
        <v>377</v>
      </c>
      <c r="M3254" t="s">
        <v>37868</v>
      </c>
      <c r="N3254">
        <v>1</v>
      </c>
      <c r="Q3254" t="s">
        <v>37869</v>
      </c>
      <c r="R3254">
        <v>150.19499999999999</v>
      </c>
      <c r="S3254" t="s">
        <v>7514</v>
      </c>
      <c r="T3254" t="s">
        <v>30</v>
      </c>
      <c r="U3254" t="s">
        <v>46</v>
      </c>
      <c r="W3254" t="s">
        <v>26009</v>
      </c>
    </row>
    <row r="3255" spans="1:23" x14ac:dyDescent="0.35">
      <c r="A3255">
        <v>709555</v>
      </c>
      <c r="B3255" t="s">
        <v>37870</v>
      </c>
      <c r="C3255" t="str">
        <f>"9780946439676"</f>
        <v>9780946439676</v>
      </c>
      <c r="D3255" t="str">
        <f>"9781849400787"</f>
        <v>9781849400787</v>
      </c>
      <c r="E3255" t="s">
        <v>26010</v>
      </c>
      <c r="F3255" t="s">
        <v>35</v>
      </c>
      <c r="G3255" t="s">
        <v>22174</v>
      </c>
      <c r="H3255" t="s">
        <v>26011</v>
      </c>
      <c r="I3255" s="26">
        <v>32873</v>
      </c>
      <c r="J3255">
        <v>1989</v>
      </c>
      <c r="K3255" t="s">
        <v>26012</v>
      </c>
      <c r="L3255">
        <v>368</v>
      </c>
      <c r="M3255" t="s">
        <v>37871</v>
      </c>
      <c r="N3255">
        <v>1</v>
      </c>
      <c r="O3255" t="s">
        <v>37165</v>
      </c>
      <c r="Q3255" t="s">
        <v>37872</v>
      </c>
      <c r="R3255">
        <v>616.89</v>
      </c>
      <c r="S3255" t="s">
        <v>37873</v>
      </c>
      <c r="T3255" t="s">
        <v>30</v>
      </c>
      <c r="U3255" t="s">
        <v>26116</v>
      </c>
      <c r="W3255" t="s">
        <v>26009</v>
      </c>
    </row>
    <row r="3256" spans="1:23" x14ac:dyDescent="0.35">
      <c r="A3256">
        <v>709556</v>
      </c>
      <c r="B3256" t="s">
        <v>37874</v>
      </c>
      <c r="C3256" t="str">
        <f>"9780946439744"</f>
        <v>9780946439744</v>
      </c>
      <c r="D3256" t="str">
        <f>"9781849400794"</f>
        <v>9781849400794</v>
      </c>
      <c r="E3256" t="s">
        <v>26010</v>
      </c>
      <c r="F3256" t="s">
        <v>35</v>
      </c>
      <c r="G3256" t="s">
        <v>22174</v>
      </c>
      <c r="H3256" t="s">
        <v>26011</v>
      </c>
      <c r="I3256" s="26">
        <v>32873</v>
      </c>
      <c r="J3256">
        <v>1989</v>
      </c>
      <c r="K3256" t="s">
        <v>26012</v>
      </c>
      <c r="L3256">
        <v>282</v>
      </c>
      <c r="M3256" t="s">
        <v>37856</v>
      </c>
      <c r="N3256">
        <v>1</v>
      </c>
      <c r="Q3256" t="s">
        <v>37875</v>
      </c>
      <c r="R3256">
        <v>150.19499999999999</v>
      </c>
      <c r="S3256" t="s">
        <v>7514</v>
      </c>
      <c r="T3256" t="s">
        <v>30</v>
      </c>
      <c r="U3256" t="s">
        <v>46</v>
      </c>
      <c r="W3256" t="s">
        <v>26009</v>
      </c>
    </row>
    <row r="3257" spans="1:23" x14ac:dyDescent="0.35">
      <c r="A3257">
        <v>709557</v>
      </c>
      <c r="B3257" t="s">
        <v>37876</v>
      </c>
      <c r="C3257" t="str">
        <f>"9780946439867"</f>
        <v>9780946439867</v>
      </c>
      <c r="D3257" t="str">
        <f>"9781849400855"</f>
        <v>9781849400855</v>
      </c>
      <c r="E3257" t="s">
        <v>26010</v>
      </c>
      <c r="F3257" t="s">
        <v>35</v>
      </c>
      <c r="G3257" t="s">
        <v>22174</v>
      </c>
      <c r="H3257" t="s">
        <v>26011</v>
      </c>
      <c r="I3257" s="26">
        <v>33238</v>
      </c>
      <c r="J3257">
        <v>1990</v>
      </c>
      <c r="K3257" t="s">
        <v>26012</v>
      </c>
      <c r="L3257">
        <v>183</v>
      </c>
      <c r="M3257" t="s">
        <v>37877</v>
      </c>
      <c r="N3257">
        <v>1</v>
      </c>
      <c r="Q3257" t="s">
        <v>37878</v>
      </c>
      <c r="R3257">
        <v>150.19499999999999</v>
      </c>
      <c r="S3257" t="s">
        <v>37879</v>
      </c>
      <c r="T3257" t="s">
        <v>30</v>
      </c>
      <c r="U3257" t="s">
        <v>46</v>
      </c>
      <c r="W3257" t="s">
        <v>26009</v>
      </c>
    </row>
    <row r="3258" spans="1:23" x14ac:dyDescent="0.35">
      <c r="A3258">
        <v>709558</v>
      </c>
      <c r="B3258" t="s">
        <v>37880</v>
      </c>
      <c r="C3258" t="str">
        <f>"9780946439782"</f>
        <v>9780946439782</v>
      </c>
      <c r="D3258" t="str">
        <f>"9781849400879"</f>
        <v>9781849400879</v>
      </c>
      <c r="E3258" t="s">
        <v>26010</v>
      </c>
      <c r="F3258" t="s">
        <v>35</v>
      </c>
      <c r="G3258" t="s">
        <v>22174</v>
      </c>
      <c r="H3258" t="s">
        <v>26011</v>
      </c>
      <c r="I3258" s="26">
        <v>33238</v>
      </c>
      <c r="J3258">
        <v>1990</v>
      </c>
      <c r="K3258" t="s">
        <v>26012</v>
      </c>
      <c r="L3258">
        <v>222</v>
      </c>
      <c r="M3258" t="s">
        <v>37175</v>
      </c>
      <c r="N3258">
        <v>1</v>
      </c>
      <c r="Q3258" t="s">
        <v>37881</v>
      </c>
      <c r="R3258">
        <v>150.19499999999999</v>
      </c>
      <c r="S3258" t="s">
        <v>7514</v>
      </c>
      <c r="T3258" t="s">
        <v>30</v>
      </c>
      <c r="U3258" t="s">
        <v>46</v>
      </c>
      <c r="W3258" t="s">
        <v>26009</v>
      </c>
    </row>
    <row r="3259" spans="1:23" x14ac:dyDescent="0.35">
      <c r="A3259">
        <v>709559</v>
      </c>
      <c r="B3259" t="s">
        <v>37882</v>
      </c>
      <c r="C3259" t="str">
        <f>"9780946439195"</f>
        <v>9780946439195</v>
      </c>
      <c r="D3259" t="str">
        <f>"9781849400916"</f>
        <v>9781849400916</v>
      </c>
      <c r="E3259" t="s">
        <v>26010</v>
      </c>
      <c r="F3259" t="s">
        <v>35</v>
      </c>
      <c r="G3259" t="s">
        <v>22174</v>
      </c>
      <c r="H3259" t="s">
        <v>26011</v>
      </c>
      <c r="I3259" s="26">
        <v>33238</v>
      </c>
      <c r="J3259">
        <v>1990</v>
      </c>
      <c r="K3259" t="s">
        <v>26012</v>
      </c>
      <c r="L3259">
        <v>195</v>
      </c>
      <c r="M3259" t="s">
        <v>37255</v>
      </c>
      <c r="N3259">
        <v>1</v>
      </c>
      <c r="Q3259" t="s">
        <v>37883</v>
      </c>
      <c r="R3259">
        <v>150.19540000000001</v>
      </c>
      <c r="S3259" t="s">
        <v>7958</v>
      </c>
      <c r="T3259" t="s">
        <v>30</v>
      </c>
      <c r="U3259" t="s">
        <v>46</v>
      </c>
      <c r="W3259" t="s">
        <v>26009</v>
      </c>
    </row>
    <row r="3260" spans="1:23" x14ac:dyDescent="0.35">
      <c r="A3260">
        <v>709560</v>
      </c>
      <c r="B3260" t="s">
        <v>37884</v>
      </c>
      <c r="C3260" t="str">
        <f>"9780946439560"</f>
        <v>9780946439560</v>
      </c>
      <c r="D3260" t="str">
        <f>"9781849400923"</f>
        <v>9781849400923</v>
      </c>
      <c r="E3260" t="s">
        <v>26010</v>
      </c>
      <c r="F3260" t="s">
        <v>35</v>
      </c>
      <c r="G3260" t="s">
        <v>22174</v>
      </c>
      <c r="H3260" t="s">
        <v>26011</v>
      </c>
      <c r="I3260" s="26">
        <v>33238</v>
      </c>
      <c r="J3260">
        <v>1990</v>
      </c>
      <c r="K3260" t="s">
        <v>26012</v>
      </c>
      <c r="L3260">
        <v>359</v>
      </c>
      <c r="M3260" t="s">
        <v>37885</v>
      </c>
      <c r="N3260">
        <v>1</v>
      </c>
      <c r="Q3260" t="s">
        <v>37886</v>
      </c>
      <c r="R3260">
        <v>616.89170000000001</v>
      </c>
      <c r="S3260" t="s">
        <v>37887</v>
      </c>
      <c r="T3260" t="s">
        <v>30</v>
      </c>
      <c r="U3260" t="s">
        <v>26116</v>
      </c>
      <c r="W3260" t="s">
        <v>26009</v>
      </c>
    </row>
    <row r="3261" spans="1:23" x14ac:dyDescent="0.35">
      <c r="A3261">
        <v>709561</v>
      </c>
      <c r="B3261" t="s">
        <v>9986</v>
      </c>
      <c r="C3261" t="str">
        <f>"9781855750135"</f>
        <v>9781855750135</v>
      </c>
      <c r="D3261" t="str">
        <f>"9781849401050"</f>
        <v>9781849401050</v>
      </c>
      <c r="E3261" t="s">
        <v>26010</v>
      </c>
      <c r="F3261" t="s">
        <v>35</v>
      </c>
      <c r="G3261" t="s">
        <v>22174</v>
      </c>
      <c r="H3261" t="s">
        <v>26011</v>
      </c>
      <c r="I3261" s="26">
        <v>33603</v>
      </c>
      <c r="J3261">
        <v>1991</v>
      </c>
      <c r="K3261" t="s">
        <v>26012</v>
      </c>
      <c r="L3261">
        <v>107</v>
      </c>
      <c r="M3261" t="s">
        <v>37888</v>
      </c>
      <c r="N3261">
        <v>1</v>
      </c>
      <c r="O3261" t="s">
        <v>37018</v>
      </c>
      <c r="Q3261" t="s">
        <v>37889</v>
      </c>
      <c r="R3261">
        <v>658.45</v>
      </c>
      <c r="S3261" t="s">
        <v>7514</v>
      </c>
      <c r="T3261" t="s">
        <v>30</v>
      </c>
      <c r="U3261" t="s">
        <v>27576</v>
      </c>
      <c r="W3261" t="s">
        <v>26009</v>
      </c>
    </row>
    <row r="3262" spans="1:23" x14ac:dyDescent="0.35">
      <c r="A3262">
        <v>709562</v>
      </c>
      <c r="B3262" t="s">
        <v>37890</v>
      </c>
      <c r="C3262" t="str">
        <f>"9780946439140"</f>
        <v>9780946439140</v>
      </c>
      <c r="D3262" t="str">
        <f>"9781849401067"</f>
        <v>9781849401067</v>
      </c>
      <c r="E3262" t="s">
        <v>26010</v>
      </c>
      <c r="F3262" t="s">
        <v>35</v>
      </c>
      <c r="G3262" t="s">
        <v>22174</v>
      </c>
      <c r="H3262" t="s">
        <v>26011</v>
      </c>
      <c r="I3262" s="26">
        <v>33603</v>
      </c>
      <c r="J3262">
        <v>1991</v>
      </c>
      <c r="K3262" t="s">
        <v>26012</v>
      </c>
      <c r="L3262">
        <v>238</v>
      </c>
      <c r="M3262" t="s">
        <v>37843</v>
      </c>
      <c r="N3262">
        <v>1</v>
      </c>
      <c r="Q3262" t="s">
        <v>37891</v>
      </c>
      <c r="R3262" t="s">
        <v>27082</v>
      </c>
      <c r="S3262" t="s">
        <v>8412</v>
      </c>
      <c r="T3262" t="s">
        <v>30</v>
      </c>
      <c r="U3262" t="s">
        <v>26228</v>
      </c>
      <c r="W3262" t="s">
        <v>26009</v>
      </c>
    </row>
    <row r="3263" spans="1:23" x14ac:dyDescent="0.35">
      <c r="A3263">
        <v>709563</v>
      </c>
      <c r="B3263" t="s">
        <v>37892</v>
      </c>
      <c r="C3263" t="str">
        <f>"9780946439829"</f>
        <v>9780946439829</v>
      </c>
      <c r="D3263" t="str">
        <f>"9781849401081"</f>
        <v>9781849401081</v>
      </c>
      <c r="E3263" t="s">
        <v>26010</v>
      </c>
      <c r="F3263" t="s">
        <v>35</v>
      </c>
      <c r="G3263" t="s">
        <v>22174</v>
      </c>
      <c r="H3263" t="s">
        <v>26011</v>
      </c>
      <c r="I3263" s="26">
        <v>33603</v>
      </c>
      <c r="J3263">
        <v>1991</v>
      </c>
      <c r="K3263" t="s">
        <v>26012</v>
      </c>
      <c r="L3263">
        <v>293</v>
      </c>
      <c r="M3263" t="s">
        <v>37893</v>
      </c>
      <c r="N3263">
        <v>1</v>
      </c>
      <c r="Q3263" t="s">
        <v>37894</v>
      </c>
      <c r="R3263">
        <v>616.89170000000001</v>
      </c>
      <c r="S3263" t="s">
        <v>37895</v>
      </c>
      <c r="T3263" t="s">
        <v>30</v>
      </c>
      <c r="U3263" t="s">
        <v>26019</v>
      </c>
      <c r="W3263" t="s">
        <v>26009</v>
      </c>
    </row>
    <row r="3264" spans="1:23" x14ac:dyDescent="0.35">
      <c r="A3264">
        <v>709564</v>
      </c>
      <c r="B3264" t="s">
        <v>9545</v>
      </c>
      <c r="C3264" t="str">
        <f>"9780946439959"</f>
        <v>9780946439959</v>
      </c>
      <c r="D3264" t="str">
        <f>"9781849401098"</f>
        <v>9781849401098</v>
      </c>
      <c r="E3264" t="s">
        <v>26010</v>
      </c>
      <c r="F3264" t="s">
        <v>35</v>
      </c>
      <c r="G3264" t="s">
        <v>22174</v>
      </c>
      <c r="H3264" t="s">
        <v>26011</v>
      </c>
      <c r="I3264" s="26">
        <v>33603</v>
      </c>
      <c r="J3264">
        <v>1991</v>
      </c>
      <c r="K3264" t="s">
        <v>26012</v>
      </c>
      <c r="L3264">
        <v>153</v>
      </c>
      <c r="M3264" t="s">
        <v>37896</v>
      </c>
      <c r="N3264">
        <v>1</v>
      </c>
      <c r="Q3264" t="s">
        <v>30769</v>
      </c>
      <c r="R3264">
        <v>155.333</v>
      </c>
      <c r="S3264" t="s">
        <v>37897</v>
      </c>
      <c r="T3264" t="s">
        <v>30</v>
      </c>
      <c r="U3264" t="s">
        <v>26116</v>
      </c>
      <c r="W3264" t="s">
        <v>26009</v>
      </c>
    </row>
    <row r="3265" spans="1:23" x14ac:dyDescent="0.35">
      <c r="A3265">
        <v>709565</v>
      </c>
      <c r="B3265" t="s">
        <v>37898</v>
      </c>
      <c r="C3265" t="str">
        <f>"9781855750180"</f>
        <v>9781855750180</v>
      </c>
      <c r="D3265" t="str">
        <f>"9781849401104"</f>
        <v>9781849401104</v>
      </c>
      <c r="E3265" t="s">
        <v>26010</v>
      </c>
      <c r="F3265" t="s">
        <v>35</v>
      </c>
      <c r="G3265" t="s">
        <v>22174</v>
      </c>
      <c r="H3265" t="s">
        <v>26011</v>
      </c>
      <c r="I3265" s="26">
        <v>33603</v>
      </c>
      <c r="J3265">
        <v>1991</v>
      </c>
      <c r="K3265" t="s">
        <v>26012</v>
      </c>
      <c r="L3265">
        <v>94</v>
      </c>
      <c r="M3265" t="s">
        <v>37899</v>
      </c>
      <c r="N3265">
        <v>1</v>
      </c>
      <c r="Q3265" t="s">
        <v>37900</v>
      </c>
      <c r="R3265">
        <v>362.10680000000002</v>
      </c>
      <c r="S3265" t="s">
        <v>8674</v>
      </c>
      <c r="T3265" t="s">
        <v>30</v>
      </c>
      <c r="U3265" t="s">
        <v>26250</v>
      </c>
      <c r="W3265" t="s">
        <v>26009</v>
      </c>
    </row>
    <row r="3266" spans="1:23" x14ac:dyDescent="0.35">
      <c r="A3266">
        <v>709566</v>
      </c>
      <c r="B3266" t="s">
        <v>37901</v>
      </c>
      <c r="C3266" t="str">
        <f>"9780946439942"</f>
        <v>9780946439942</v>
      </c>
      <c r="D3266" t="str">
        <f>"9781849401111"</f>
        <v>9781849401111</v>
      </c>
      <c r="E3266" t="s">
        <v>26010</v>
      </c>
      <c r="F3266" t="s">
        <v>35</v>
      </c>
      <c r="G3266" t="s">
        <v>22174</v>
      </c>
      <c r="H3266" t="s">
        <v>26011</v>
      </c>
      <c r="I3266" s="26">
        <v>33603</v>
      </c>
      <c r="J3266">
        <v>1991</v>
      </c>
      <c r="K3266" t="s">
        <v>26012</v>
      </c>
      <c r="L3266">
        <v>399</v>
      </c>
      <c r="M3266" t="s">
        <v>37902</v>
      </c>
      <c r="N3266">
        <v>1</v>
      </c>
      <c r="Q3266" t="s">
        <v>37903</v>
      </c>
      <c r="R3266">
        <v>150.19509199999999</v>
      </c>
      <c r="S3266" t="s">
        <v>37904</v>
      </c>
      <c r="T3266" t="s">
        <v>30</v>
      </c>
      <c r="U3266" t="s">
        <v>46</v>
      </c>
      <c r="W3266" t="s">
        <v>26009</v>
      </c>
    </row>
    <row r="3267" spans="1:23" x14ac:dyDescent="0.35">
      <c r="A3267">
        <v>709567</v>
      </c>
      <c r="B3267" t="s">
        <v>37905</v>
      </c>
      <c r="C3267" t="str">
        <f>"9781855750289"</f>
        <v>9781855750289</v>
      </c>
      <c r="D3267" t="str">
        <f>"9781849401166"</f>
        <v>9781849401166</v>
      </c>
      <c r="E3267" t="s">
        <v>26010</v>
      </c>
      <c r="F3267" t="s">
        <v>35</v>
      </c>
      <c r="G3267" t="s">
        <v>22174</v>
      </c>
      <c r="H3267" t="s">
        <v>26011</v>
      </c>
      <c r="I3267" s="26">
        <v>33969</v>
      </c>
      <c r="J3267">
        <v>1992</v>
      </c>
      <c r="K3267" t="s">
        <v>26012</v>
      </c>
      <c r="L3267">
        <v>295</v>
      </c>
      <c r="M3267" t="s">
        <v>37906</v>
      </c>
      <c r="N3267">
        <v>1</v>
      </c>
      <c r="Q3267" t="s">
        <v>37907</v>
      </c>
      <c r="R3267">
        <v>150.19499999999999</v>
      </c>
      <c r="S3267" t="s">
        <v>8023</v>
      </c>
      <c r="T3267" t="s">
        <v>30</v>
      </c>
      <c r="U3267" t="s">
        <v>26019</v>
      </c>
      <c r="W3267" t="s">
        <v>26009</v>
      </c>
    </row>
    <row r="3268" spans="1:23" x14ac:dyDescent="0.35">
      <c r="A3268">
        <v>709568</v>
      </c>
      <c r="B3268" t="s">
        <v>8842</v>
      </c>
      <c r="C3268" t="str">
        <f>"9781855750203"</f>
        <v>9781855750203</v>
      </c>
      <c r="D3268" t="str">
        <f>"9781849401173"</f>
        <v>9781849401173</v>
      </c>
      <c r="E3268" t="s">
        <v>26010</v>
      </c>
      <c r="F3268" t="s">
        <v>35</v>
      </c>
      <c r="G3268" t="s">
        <v>22174</v>
      </c>
      <c r="H3268" t="s">
        <v>26011</v>
      </c>
      <c r="I3268" s="26">
        <v>33969</v>
      </c>
      <c r="J3268">
        <v>1992</v>
      </c>
      <c r="K3268" t="s">
        <v>26012</v>
      </c>
      <c r="L3268">
        <v>103</v>
      </c>
      <c r="M3268" t="s">
        <v>37908</v>
      </c>
      <c r="N3268">
        <v>1</v>
      </c>
      <c r="O3268" t="s">
        <v>37018</v>
      </c>
      <c r="Q3268" t="s">
        <v>37909</v>
      </c>
      <c r="R3268">
        <v>362.10680000000002</v>
      </c>
      <c r="S3268" t="s">
        <v>37910</v>
      </c>
      <c r="T3268" t="s">
        <v>30</v>
      </c>
      <c r="U3268" t="s">
        <v>26282</v>
      </c>
      <c r="W3268" t="s">
        <v>26009</v>
      </c>
    </row>
    <row r="3269" spans="1:23" x14ac:dyDescent="0.35">
      <c r="A3269">
        <v>709569</v>
      </c>
      <c r="B3269" t="s">
        <v>9780</v>
      </c>
      <c r="C3269" t="str">
        <f>"9781855750142"</f>
        <v>9781855750142</v>
      </c>
      <c r="D3269" t="str">
        <f>"9781849401180"</f>
        <v>9781849401180</v>
      </c>
      <c r="E3269" t="s">
        <v>26010</v>
      </c>
      <c r="F3269" t="s">
        <v>35</v>
      </c>
      <c r="G3269" t="s">
        <v>22174</v>
      </c>
      <c r="H3269" t="s">
        <v>26011</v>
      </c>
      <c r="I3269" s="26">
        <v>33969</v>
      </c>
      <c r="J3269">
        <v>1992</v>
      </c>
      <c r="K3269" t="s">
        <v>26012</v>
      </c>
      <c r="L3269">
        <v>99</v>
      </c>
      <c r="M3269" t="s">
        <v>37888</v>
      </c>
      <c r="N3269">
        <v>1</v>
      </c>
      <c r="O3269" t="s">
        <v>36505</v>
      </c>
      <c r="Q3269" t="s">
        <v>37911</v>
      </c>
      <c r="R3269">
        <v>616.89156000000003</v>
      </c>
      <c r="S3269" t="s">
        <v>37912</v>
      </c>
      <c r="T3269" t="s">
        <v>30</v>
      </c>
      <c r="U3269" t="s">
        <v>26019</v>
      </c>
      <c r="W3269" t="s">
        <v>26009</v>
      </c>
    </row>
    <row r="3270" spans="1:23" x14ac:dyDescent="0.35">
      <c r="A3270">
        <v>709570</v>
      </c>
      <c r="B3270" t="s">
        <v>10001</v>
      </c>
      <c r="C3270" t="str">
        <f>"9781855750210"</f>
        <v>9781855750210</v>
      </c>
      <c r="D3270" t="str">
        <f>"9780429919855"</f>
        <v>9780429919855</v>
      </c>
      <c r="E3270" t="s">
        <v>26010</v>
      </c>
      <c r="F3270" t="s">
        <v>35</v>
      </c>
      <c r="G3270" t="s">
        <v>22174</v>
      </c>
      <c r="H3270" t="s">
        <v>26011</v>
      </c>
      <c r="I3270" s="26">
        <v>33969</v>
      </c>
      <c r="J3270">
        <v>1992</v>
      </c>
      <c r="K3270" t="s">
        <v>26012</v>
      </c>
      <c r="L3270">
        <v>266</v>
      </c>
      <c r="M3270" t="s">
        <v>37913</v>
      </c>
      <c r="N3270">
        <v>1</v>
      </c>
      <c r="O3270" t="s">
        <v>36505</v>
      </c>
      <c r="Q3270" t="s">
        <v>37914</v>
      </c>
      <c r="R3270">
        <v>616.89156000000003</v>
      </c>
      <c r="S3270" t="s">
        <v>10002</v>
      </c>
      <c r="T3270" t="s">
        <v>30</v>
      </c>
      <c r="U3270" t="s">
        <v>26116</v>
      </c>
      <c r="W3270" t="s">
        <v>26009</v>
      </c>
    </row>
    <row r="3271" spans="1:23" x14ac:dyDescent="0.35">
      <c r="A3271">
        <v>709571</v>
      </c>
      <c r="B3271" t="s">
        <v>8680</v>
      </c>
      <c r="C3271" t="str">
        <f>"9781855750302"</f>
        <v>9781855750302</v>
      </c>
      <c r="D3271" t="str">
        <f>"9781849401210"</f>
        <v>9781849401210</v>
      </c>
      <c r="E3271" t="s">
        <v>26010</v>
      </c>
      <c r="F3271" t="s">
        <v>35</v>
      </c>
      <c r="G3271" t="s">
        <v>22174</v>
      </c>
      <c r="H3271" t="s">
        <v>26011</v>
      </c>
      <c r="I3271" s="26">
        <v>33969</v>
      </c>
      <c r="J3271">
        <v>1992</v>
      </c>
      <c r="K3271" t="s">
        <v>26012</v>
      </c>
      <c r="L3271">
        <v>167</v>
      </c>
      <c r="M3271" t="s">
        <v>37915</v>
      </c>
      <c r="N3271">
        <v>1</v>
      </c>
      <c r="Q3271" t="s">
        <v>37916</v>
      </c>
      <c r="R3271">
        <v>150.1952</v>
      </c>
      <c r="S3271" t="s">
        <v>37917</v>
      </c>
      <c r="T3271" t="s">
        <v>30</v>
      </c>
      <c r="U3271" t="s">
        <v>26019</v>
      </c>
      <c r="W3271" t="s">
        <v>26009</v>
      </c>
    </row>
    <row r="3272" spans="1:23" x14ac:dyDescent="0.35">
      <c r="A3272">
        <v>709572</v>
      </c>
      <c r="B3272" t="s">
        <v>8243</v>
      </c>
      <c r="C3272" t="str">
        <f>"9781855750388"</f>
        <v>9781855750388</v>
      </c>
      <c r="D3272" t="str">
        <f>"9781849401227"</f>
        <v>9781849401227</v>
      </c>
      <c r="E3272" t="s">
        <v>26010</v>
      </c>
      <c r="F3272" t="s">
        <v>35</v>
      </c>
      <c r="G3272" t="s">
        <v>22174</v>
      </c>
      <c r="H3272" t="s">
        <v>26011</v>
      </c>
      <c r="I3272" s="26">
        <v>33969</v>
      </c>
      <c r="J3272">
        <v>1992</v>
      </c>
      <c r="K3272" t="s">
        <v>26012</v>
      </c>
      <c r="L3272">
        <v>213</v>
      </c>
      <c r="M3272" t="s">
        <v>37918</v>
      </c>
      <c r="N3272">
        <v>1</v>
      </c>
      <c r="Q3272" t="s">
        <v>37919</v>
      </c>
      <c r="R3272">
        <v>154.19999999999999</v>
      </c>
      <c r="S3272" t="s">
        <v>37920</v>
      </c>
      <c r="T3272" t="s">
        <v>30</v>
      </c>
      <c r="U3272" t="s">
        <v>46</v>
      </c>
      <c r="W3272" t="s">
        <v>26009</v>
      </c>
    </row>
    <row r="3273" spans="1:23" x14ac:dyDescent="0.35">
      <c r="A3273">
        <v>709573</v>
      </c>
      <c r="B3273" t="s">
        <v>9769</v>
      </c>
      <c r="C3273" t="str">
        <f>"9781855750326"</f>
        <v>9781855750326</v>
      </c>
      <c r="D3273" t="str">
        <f>"9781849401258"</f>
        <v>9781849401258</v>
      </c>
      <c r="E3273" t="s">
        <v>26010</v>
      </c>
      <c r="F3273" t="s">
        <v>35</v>
      </c>
      <c r="G3273" t="s">
        <v>22174</v>
      </c>
      <c r="H3273" t="s">
        <v>26011</v>
      </c>
      <c r="I3273" s="26">
        <v>33969</v>
      </c>
      <c r="J3273">
        <v>1992</v>
      </c>
      <c r="K3273" t="s">
        <v>26012</v>
      </c>
      <c r="L3273">
        <v>441</v>
      </c>
      <c r="M3273" t="s">
        <v>37921</v>
      </c>
      <c r="N3273">
        <v>1</v>
      </c>
      <c r="Q3273" t="s">
        <v>37922</v>
      </c>
      <c r="R3273">
        <v>155.19999999999999</v>
      </c>
      <c r="S3273" t="s">
        <v>37923</v>
      </c>
      <c r="T3273" t="s">
        <v>30</v>
      </c>
      <c r="U3273" t="s">
        <v>26116</v>
      </c>
      <c r="W3273" t="s">
        <v>26009</v>
      </c>
    </row>
    <row r="3274" spans="1:23" x14ac:dyDescent="0.35">
      <c r="A3274">
        <v>709574</v>
      </c>
      <c r="B3274" t="s">
        <v>37924</v>
      </c>
      <c r="C3274" t="str">
        <f>"9781855750234"</f>
        <v>9781855750234</v>
      </c>
      <c r="D3274" t="str">
        <f>"9781849401265"</f>
        <v>9781849401265</v>
      </c>
      <c r="E3274" t="s">
        <v>26010</v>
      </c>
      <c r="F3274" t="s">
        <v>35</v>
      </c>
      <c r="G3274" t="s">
        <v>22174</v>
      </c>
      <c r="H3274" t="s">
        <v>26011</v>
      </c>
      <c r="I3274" s="26">
        <v>33969</v>
      </c>
      <c r="J3274">
        <v>1992</v>
      </c>
      <c r="K3274" t="s">
        <v>26012</v>
      </c>
      <c r="L3274">
        <v>115</v>
      </c>
      <c r="M3274" t="s">
        <v>37925</v>
      </c>
      <c r="N3274">
        <v>1</v>
      </c>
      <c r="O3274" t="s">
        <v>36505</v>
      </c>
      <c r="Q3274" t="s">
        <v>37926</v>
      </c>
      <c r="R3274">
        <v>302.346</v>
      </c>
      <c r="S3274" t="s">
        <v>7882</v>
      </c>
      <c r="T3274" t="s">
        <v>30</v>
      </c>
      <c r="U3274" t="s">
        <v>26509</v>
      </c>
      <c r="W3274" t="s">
        <v>26009</v>
      </c>
    </row>
    <row r="3275" spans="1:23" x14ac:dyDescent="0.35">
      <c r="A3275">
        <v>709575</v>
      </c>
      <c r="B3275" t="s">
        <v>10267</v>
      </c>
      <c r="C3275" t="str">
        <f>"9781855750173"</f>
        <v>9781855750173</v>
      </c>
      <c r="D3275" t="str">
        <f>"9781849401272"</f>
        <v>9781849401272</v>
      </c>
      <c r="E3275" t="s">
        <v>26010</v>
      </c>
      <c r="F3275" t="s">
        <v>35</v>
      </c>
      <c r="G3275" t="s">
        <v>22174</v>
      </c>
      <c r="H3275" t="s">
        <v>26011</v>
      </c>
      <c r="I3275" s="26">
        <v>33969</v>
      </c>
      <c r="J3275">
        <v>1992</v>
      </c>
      <c r="K3275" t="s">
        <v>26012</v>
      </c>
      <c r="L3275">
        <v>115</v>
      </c>
      <c r="M3275" t="s">
        <v>37927</v>
      </c>
      <c r="N3275">
        <v>1</v>
      </c>
      <c r="O3275" t="s">
        <v>36505</v>
      </c>
      <c r="Q3275" t="s">
        <v>37928</v>
      </c>
      <c r="R3275">
        <v>616.85822389999998</v>
      </c>
      <c r="S3275" t="s">
        <v>10268</v>
      </c>
      <c r="T3275" t="s">
        <v>30</v>
      </c>
      <c r="U3275" t="s">
        <v>28629</v>
      </c>
      <c r="W3275" t="s">
        <v>26009</v>
      </c>
    </row>
    <row r="3276" spans="1:23" x14ac:dyDescent="0.35">
      <c r="A3276">
        <v>709576</v>
      </c>
      <c r="B3276" t="s">
        <v>37929</v>
      </c>
      <c r="C3276" t="str">
        <f>"9780946439898"</f>
        <v>9780946439898</v>
      </c>
      <c r="D3276" t="str">
        <f>"9781849401296"</f>
        <v>9781849401296</v>
      </c>
      <c r="E3276" t="s">
        <v>26010</v>
      </c>
      <c r="F3276" t="s">
        <v>35</v>
      </c>
      <c r="G3276" t="s">
        <v>22174</v>
      </c>
      <c r="H3276" t="s">
        <v>26011</v>
      </c>
      <c r="I3276" s="26">
        <v>33969</v>
      </c>
      <c r="J3276">
        <v>1992</v>
      </c>
      <c r="K3276" t="s">
        <v>26012</v>
      </c>
      <c r="L3276">
        <v>465</v>
      </c>
      <c r="M3276" t="s">
        <v>37930</v>
      </c>
      <c r="N3276">
        <v>1</v>
      </c>
      <c r="Q3276" t="s">
        <v>37931</v>
      </c>
      <c r="R3276">
        <v>150.91999999999999</v>
      </c>
      <c r="S3276" t="s">
        <v>37932</v>
      </c>
      <c r="T3276" t="s">
        <v>30</v>
      </c>
      <c r="U3276" t="s">
        <v>46</v>
      </c>
      <c r="W3276" t="s">
        <v>26009</v>
      </c>
    </row>
    <row r="3277" spans="1:23" x14ac:dyDescent="0.35">
      <c r="A3277">
        <v>709577</v>
      </c>
      <c r="B3277" t="s">
        <v>9776</v>
      </c>
      <c r="C3277" t="str">
        <f>"9781855750364"</f>
        <v>9781855750364</v>
      </c>
      <c r="D3277" t="str">
        <f>"9781849401302"</f>
        <v>9781849401302</v>
      </c>
      <c r="E3277" t="s">
        <v>26010</v>
      </c>
      <c r="F3277" t="s">
        <v>35</v>
      </c>
      <c r="G3277" t="s">
        <v>22174</v>
      </c>
      <c r="H3277" t="s">
        <v>26011</v>
      </c>
      <c r="I3277" s="26">
        <v>33969</v>
      </c>
      <c r="J3277">
        <v>1992</v>
      </c>
      <c r="K3277" t="s">
        <v>26012</v>
      </c>
      <c r="L3277">
        <v>289</v>
      </c>
      <c r="M3277" t="s">
        <v>34143</v>
      </c>
      <c r="N3277">
        <v>1</v>
      </c>
      <c r="Q3277" t="s">
        <v>37933</v>
      </c>
      <c r="R3277">
        <v>150.19499999999999</v>
      </c>
      <c r="S3277" t="s">
        <v>7514</v>
      </c>
      <c r="T3277" t="s">
        <v>30</v>
      </c>
      <c r="U3277" t="s">
        <v>46</v>
      </c>
      <c r="W3277" t="s">
        <v>26009</v>
      </c>
    </row>
    <row r="3278" spans="1:23" x14ac:dyDescent="0.35">
      <c r="A3278">
        <v>709578</v>
      </c>
      <c r="B3278" t="s">
        <v>37934</v>
      </c>
      <c r="C3278" t="str">
        <f>"9781855750098"</f>
        <v>9781855750098</v>
      </c>
      <c r="D3278" t="str">
        <f>"9781849401319"</f>
        <v>9781849401319</v>
      </c>
      <c r="E3278" t="s">
        <v>26010</v>
      </c>
      <c r="F3278" t="s">
        <v>35</v>
      </c>
      <c r="G3278" t="s">
        <v>22174</v>
      </c>
      <c r="H3278" t="s">
        <v>26011</v>
      </c>
      <c r="I3278" s="26">
        <v>33969</v>
      </c>
      <c r="J3278">
        <v>1992</v>
      </c>
      <c r="K3278" t="s">
        <v>26012</v>
      </c>
      <c r="L3278">
        <v>177</v>
      </c>
      <c r="M3278" t="s">
        <v>37935</v>
      </c>
      <c r="N3278">
        <v>1</v>
      </c>
      <c r="Q3278" t="s">
        <v>37936</v>
      </c>
      <c r="R3278">
        <v>150.19499999999999</v>
      </c>
      <c r="S3278" t="s">
        <v>7514</v>
      </c>
      <c r="T3278" t="s">
        <v>30</v>
      </c>
      <c r="U3278" t="s">
        <v>46</v>
      </c>
      <c r="W3278" t="s">
        <v>26009</v>
      </c>
    </row>
    <row r="3279" spans="1:23" x14ac:dyDescent="0.35">
      <c r="A3279">
        <v>709579</v>
      </c>
      <c r="B3279" t="s">
        <v>37937</v>
      </c>
      <c r="C3279" t="str">
        <f>"9781855750401"</f>
        <v>9781855750401</v>
      </c>
      <c r="D3279" t="str">
        <f>"9781849401333"</f>
        <v>9781849401333</v>
      </c>
      <c r="E3279" t="s">
        <v>26010</v>
      </c>
      <c r="F3279" t="s">
        <v>35</v>
      </c>
      <c r="G3279" t="s">
        <v>22174</v>
      </c>
      <c r="H3279" t="s">
        <v>26011</v>
      </c>
      <c r="I3279" s="26">
        <v>33969</v>
      </c>
      <c r="J3279">
        <v>1992</v>
      </c>
      <c r="K3279" t="s">
        <v>26012</v>
      </c>
      <c r="L3279">
        <v>294</v>
      </c>
      <c r="M3279" t="s">
        <v>37938</v>
      </c>
      <c r="N3279">
        <v>1</v>
      </c>
      <c r="Q3279" t="s">
        <v>37939</v>
      </c>
      <c r="R3279">
        <v>616.89</v>
      </c>
      <c r="S3279" t="s">
        <v>9061</v>
      </c>
      <c r="T3279" t="s">
        <v>30</v>
      </c>
      <c r="U3279" t="s">
        <v>26019</v>
      </c>
      <c r="W3279" t="s">
        <v>26009</v>
      </c>
    </row>
    <row r="3280" spans="1:23" x14ac:dyDescent="0.35">
      <c r="A3280">
        <v>709580</v>
      </c>
      <c r="B3280" t="s">
        <v>37940</v>
      </c>
      <c r="C3280" t="str">
        <f>"9780946439966"</f>
        <v>9780946439966</v>
      </c>
      <c r="D3280" t="str">
        <f>"9781849401357"</f>
        <v>9781849401357</v>
      </c>
      <c r="E3280" t="s">
        <v>26010</v>
      </c>
      <c r="F3280" t="s">
        <v>35</v>
      </c>
      <c r="G3280" t="s">
        <v>22174</v>
      </c>
      <c r="H3280" t="s">
        <v>26011</v>
      </c>
      <c r="I3280" s="26">
        <v>33969</v>
      </c>
      <c r="J3280">
        <v>1992</v>
      </c>
      <c r="K3280" t="s">
        <v>26012</v>
      </c>
      <c r="L3280">
        <v>340</v>
      </c>
      <c r="M3280" t="s">
        <v>37941</v>
      </c>
      <c r="N3280">
        <v>1</v>
      </c>
      <c r="Q3280" t="s">
        <v>37942</v>
      </c>
      <c r="R3280">
        <v>616.89</v>
      </c>
      <c r="S3280" t="s">
        <v>37809</v>
      </c>
      <c r="T3280" t="s">
        <v>30</v>
      </c>
      <c r="U3280" t="s">
        <v>26116</v>
      </c>
      <c r="W3280" t="s">
        <v>26009</v>
      </c>
    </row>
    <row r="3281" spans="1:23" x14ac:dyDescent="0.35">
      <c r="A3281">
        <v>709581</v>
      </c>
      <c r="B3281" t="s">
        <v>37943</v>
      </c>
      <c r="C3281" t="str">
        <f>"9781855750319"</f>
        <v>9781855750319</v>
      </c>
      <c r="D3281" t="str">
        <f>"9781849401401"</f>
        <v>9781849401401</v>
      </c>
      <c r="E3281" t="s">
        <v>26010</v>
      </c>
      <c r="F3281" t="s">
        <v>35</v>
      </c>
      <c r="G3281" t="s">
        <v>22174</v>
      </c>
      <c r="H3281" t="s">
        <v>26011</v>
      </c>
      <c r="I3281" s="26">
        <v>34334</v>
      </c>
      <c r="J3281">
        <v>1992</v>
      </c>
      <c r="K3281" t="s">
        <v>26012</v>
      </c>
      <c r="L3281">
        <v>99</v>
      </c>
      <c r="M3281" t="s">
        <v>37195</v>
      </c>
      <c r="N3281">
        <v>1</v>
      </c>
      <c r="O3281" t="s">
        <v>36505</v>
      </c>
      <c r="Q3281" t="s">
        <v>37944</v>
      </c>
      <c r="R3281" t="s">
        <v>37945</v>
      </c>
      <c r="S3281" t="s">
        <v>8213</v>
      </c>
      <c r="T3281" t="s">
        <v>30</v>
      </c>
      <c r="U3281" t="s">
        <v>26019</v>
      </c>
      <c r="W3281" t="s">
        <v>26009</v>
      </c>
    </row>
    <row r="3282" spans="1:23" x14ac:dyDescent="0.35">
      <c r="A3282">
        <v>709582</v>
      </c>
      <c r="B3282" t="s">
        <v>37946</v>
      </c>
      <c r="C3282" t="str">
        <f>"9781855750463"</f>
        <v>9781855750463</v>
      </c>
      <c r="D3282" t="str">
        <f>"9781849401418"</f>
        <v>9781849401418</v>
      </c>
      <c r="E3282" t="s">
        <v>26010</v>
      </c>
      <c r="F3282" t="s">
        <v>35</v>
      </c>
      <c r="G3282" t="s">
        <v>22174</v>
      </c>
      <c r="H3282" t="s">
        <v>26011</v>
      </c>
      <c r="I3282" s="26">
        <v>34334</v>
      </c>
      <c r="J3282">
        <v>1993</v>
      </c>
      <c r="K3282" t="s">
        <v>26012</v>
      </c>
      <c r="L3282">
        <v>166</v>
      </c>
      <c r="M3282" t="s">
        <v>36602</v>
      </c>
      <c r="N3282">
        <v>1</v>
      </c>
      <c r="Q3282" t="s">
        <v>37947</v>
      </c>
      <c r="R3282">
        <v>306.81</v>
      </c>
      <c r="S3282" t="s">
        <v>9738</v>
      </c>
      <c r="T3282" t="s">
        <v>30</v>
      </c>
      <c r="U3282" t="s">
        <v>26044</v>
      </c>
      <c r="W3282" t="s">
        <v>26009</v>
      </c>
    </row>
    <row r="3283" spans="1:23" x14ac:dyDescent="0.35">
      <c r="A3283">
        <v>709583</v>
      </c>
      <c r="B3283" t="s">
        <v>37948</v>
      </c>
      <c r="C3283" t="str">
        <f>"9781855750449"</f>
        <v>9781855750449</v>
      </c>
      <c r="D3283" t="str">
        <f>"9781849401425"</f>
        <v>9781849401425</v>
      </c>
      <c r="E3283" t="s">
        <v>26010</v>
      </c>
      <c r="F3283" t="s">
        <v>35</v>
      </c>
      <c r="G3283" t="s">
        <v>22174</v>
      </c>
      <c r="H3283" t="s">
        <v>26011</v>
      </c>
      <c r="I3283" s="26">
        <v>34334</v>
      </c>
      <c r="J3283">
        <v>1993</v>
      </c>
      <c r="K3283" t="s">
        <v>26012</v>
      </c>
      <c r="L3283">
        <v>167</v>
      </c>
      <c r="M3283" t="s">
        <v>37949</v>
      </c>
      <c r="N3283">
        <v>1</v>
      </c>
      <c r="Q3283" t="s">
        <v>37950</v>
      </c>
      <c r="R3283">
        <v>150.19509199999999</v>
      </c>
      <c r="S3283" t="s">
        <v>37951</v>
      </c>
      <c r="T3283" t="s">
        <v>30</v>
      </c>
      <c r="U3283" t="s">
        <v>26019</v>
      </c>
      <c r="W3283" t="s">
        <v>26009</v>
      </c>
    </row>
    <row r="3284" spans="1:23" x14ac:dyDescent="0.35">
      <c r="A3284">
        <v>709585</v>
      </c>
      <c r="B3284" t="s">
        <v>37952</v>
      </c>
      <c r="C3284" t="str">
        <f>"9781855750524"</f>
        <v>9781855750524</v>
      </c>
      <c r="D3284" t="str">
        <f>"9781849401456"</f>
        <v>9781849401456</v>
      </c>
      <c r="E3284" t="s">
        <v>26010</v>
      </c>
      <c r="F3284" t="s">
        <v>35</v>
      </c>
      <c r="G3284" t="s">
        <v>22174</v>
      </c>
      <c r="H3284" t="s">
        <v>26011</v>
      </c>
      <c r="I3284" s="26">
        <v>34334</v>
      </c>
      <c r="J3284">
        <v>1993</v>
      </c>
      <c r="K3284" t="s">
        <v>26012</v>
      </c>
      <c r="L3284">
        <v>241</v>
      </c>
      <c r="M3284" t="s">
        <v>37953</v>
      </c>
      <c r="N3284">
        <v>1</v>
      </c>
      <c r="O3284" t="s">
        <v>36505</v>
      </c>
      <c r="Q3284" t="s">
        <v>37954</v>
      </c>
      <c r="R3284">
        <v>616.89156000000003</v>
      </c>
      <c r="S3284" t="s">
        <v>7882</v>
      </c>
      <c r="T3284" t="s">
        <v>30</v>
      </c>
      <c r="U3284" t="s">
        <v>26116</v>
      </c>
      <c r="W3284" t="s">
        <v>26009</v>
      </c>
    </row>
    <row r="3285" spans="1:23" x14ac:dyDescent="0.35">
      <c r="A3285">
        <v>709586</v>
      </c>
      <c r="B3285" t="s">
        <v>8458</v>
      </c>
      <c r="C3285" t="str">
        <f>"9781855750029"</f>
        <v>9781855750029</v>
      </c>
      <c r="D3285" t="str">
        <f>"9781849401487"</f>
        <v>9781849401487</v>
      </c>
      <c r="E3285" t="s">
        <v>26010</v>
      </c>
      <c r="F3285" t="s">
        <v>35</v>
      </c>
      <c r="G3285" t="s">
        <v>22174</v>
      </c>
      <c r="H3285" t="s">
        <v>26011</v>
      </c>
      <c r="I3285" s="26">
        <v>34334</v>
      </c>
      <c r="J3285">
        <v>1993</v>
      </c>
      <c r="K3285" t="s">
        <v>26012</v>
      </c>
      <c r="L3285">
        <v>207</v>
      </c>
      <c r="M3285" t="s">
        <v>37955</v>
      </c>
      <c r="N3285">
        <v>1</v>
      </c>
      <c r="Q3285" t="s">
        <v>26087</v>
      </c>
      <c r="R3285">
        <v>150.1952</v>
      </c>
      <c r="S3285" t="s">
        <v>37956</v>
      </c>
      <c r="T3285" t="s">
        <v>30</v>
      </c>
      <c r="U3285" t="s">
        <v>46</v>
      </c>
      <c r="W3285" t="s">
        <v>26009</v>
      </c>
    </row>
    <row r="3286" spans="1:23" x14ac:dyDescent="0.35">
      <c r="A3286">
        <v>709587</v>
      </c>
      <c r="B3286" t="s">
        <v>9731</v>
      </c>
      <c r="C3286" t="str">
        <f>"9781855750494"</f>
        <v>9781855750494</v>
      </c>
      <c r="D3286" t="str">
        <f>"9781849401494"</f>
        <v>9781849401494</v>
      </c>
      <c r="E3286" t="s">
        <v>26010</v>
      </c>
      <c r="F3286" t="s">
        <v>35</v>
      </c>
      <c r="G3286" t="s">
        <v>22174</v>
      </c>
      <c r="H3286" t="s">
        <v>26011</v>
      </c>
      <c r="I3286" s="26">
        <v>34334</v>
      </c>
      <c r="J3286">
        <v>1993</v>
      </c>
      <c r="K3286" t="s">
        <v>26012</v>
      </c>
      <c r="L3286">
        <v>113</v>
      </c>
      <c r="M3286" t="s">
        <v>37957</v>
      </c>
      <c r="N3286">
        <v>1</v>
      </c>
      <c r="O3286" t="s">
        <v>36505</v>
      </c>
      <c r="Q3286" t="s">
        <v>37958</v>
      </c>
      <c r="R3286">
        <v>616.89</v>
      </c>
      <c r="S3286" t="s">
        <v>7882</v>
      </c>
      <c r="T3286" t="s">
        <v>30</v>
      </c>
      <c r="U3286" t="s">
        <v>26019</v>
      </c>
      <c r="W3286" t="s">
        <v>26009</v>
      </c>
    </row>
    <row r="3287" spans="1:23" x14ac:dyDescent="0.35">
      <c r="A3287">
        <v>709588</v>
      </c>
      <c r="B3287" t="s">
        <v>7856</v>
      </c>
      <c r="C3287" t="str">
        <f>"9781855750616"</f>
        <v>9781855750616</v>
      </c>
      <c r="D3287" t="str">
        <f>"9781849401579"</f>
        <v>9781849401579</v>
      </c>
      <c r="E3287" t="s">
        <v>26010</v>
      </c>
      <c r="F3287" t="s">
        <v>35</v>
      </c>
      <c r="G3287" t="s">
        <v>22174</v>
      </c>
      <c r="H3287" t="s">
        <v>26011</v>
      </c>
      <c r="I3287" s="26">
        <v>34699</v>
      </c>
      <c r="J3287">
        <v>1987</v>
      </c>
      <c r="K3287" t="s">
        <v>26012</v>
      </c>
      <c r="L3287">
        <v>353</v>
      </c>
      <c r="M3287" t="s">
        <v>37959</v>
      </c>
      <c r="N3287">
        <v>1</v>
      </c>
      <c r="Q3287" t="s">
        <v>37960</v>
      </c>
      <c r="R3287">
        <v>616.89170000000001</v>
      </c>
      <c r="S3287" t="s">
        <v>7514</v>
      </c>
      <c r="T3287" t="s">
        <v>30</v>
      </c>
      <c r="U3287" t="s">
        <v>26019</v>
      </c>
      <c r="W3287" t="s">
        <v>26009</v>
      </c>
    </row>
    <row r="3288" spans="1:23" x14ac:dyDescent="0.35">
      <c r="A3288">
        <v>709589</v>
      </c>
      <c r="B3288" t="s">
        <v>8505</v>
      </c>
      <c r="C3288" t="str">
        <f>"9781855750722"</f>
        <v>9781855750722</v>
      </c>
      <c r="D3288" t="str">
        <f>"9781849401586"</f>
        <v>9781849401586</v>
      </c>
      <c r="E3288" t="s">
        <v>26010</v>
      </c>
      <c r="F3288" t="s">
        <v>35</v>
      </c>
      <c r="G3288" t="s">
        <v>22174</v>
      </c>
      <c r="H3288" t="s">
        <v>26011</v>
      </c>
      <c r="I3288" s="26">
        <v>34699</v>
      </c>
      <c r="J3288">
        <v>1994</v>
      </c>
      <c r="K3288" t="s">
        <v>26012</v>
      </c>
      <c r="L3288">
        <v>178</v>
      </c>
      <c r="M3288" t="s">
        <v>36555</v>
      </c>
      <c r="N3288">
        <v>1</v>
      </c>
      <c r="O3288" t="s">
        <v>36505</v>
      </c>
      <c r="Q3288" t="s">
        <v>37961</v>
      </c>
      <c r="R3288">
        <v>616.89156000000003</v>
      </c>
      <c r="S3288" t="s">
        <v>37962</v>
      </c>
      <c r="T3288" t="s">
        <v>30</v>
      </c>
      <c r="U3288" t="s">
        <v>26116</v>
      </c>
      <c r="W3288" t="s">
        <v>26009</v>
      </c>
    </row>
    <row r="3289" spans="1:23" x14ac:dyDescent="0.35">
      <c r="A3289">
        <v>709590</v>
      </c>
      <c r="B3289" t="s">
        <v>37963</v>
      </c>
      <c r="C3289" t="str">
        <f>"9781855751002"</f>
        <v>9781855751002</v>
      </c>
      <c r="D3289" t="str">
        <f>"9780429919688"</f>
        <v>9780429919688</v>
      </c>
      <c r="E3289" t="s">
        <v>26010</v>
      </c>
      <c r="F3289" t="s">
        <v>35</v>
      </c>
      <c r="G3289" t="s">
        <v>22174</v>
      </c>
      <c r="H3289" t="s">
        <v>26011</v>
      </c>
      <c r="I3289" s="26">
        <v>34699</v>
      </c>
      <c r="J3289">
        <v>1994</v>
      </c>
      <c r="K3289" t="s">
        <v>26012</v>
      </c>
      <c r="L3289">
        <v>219</v>
      </c>
      <c r="M3289" t="s">
        <v>37964</v>
      </c>
      <c r="N3289">
        <v>1</v>
      </c>
      <c r="O3289" t="s">
        <v>37018</v>
      </c>
      <c r="Q3289" t="s">
        <v>37965</v>
      </c>
      <c r="R3289">
        <v>658.40920000000006</v>
      </c>
      <c r="S3289" t="s">
        <v>37966</v>
      </c>
      <c r="T3289" t="s">
        <v>30</v>
      </c>
      <c r="U3289" t="s">
        <v>27171</v>
      </c>
      <c r="W3289" t="s">
        <v>26009</v>
      </c>
    </row>
    <row r="3290" spans="1:23" x14ac:dyDescent="0.35">
      <c r="A3290">
        <v>709591</v>
      </c>
      <c r="B3290" t="s">
        <v>37967</v>
      </c>
      <c r="C3290" t="str">
        <f>"9781855750913"</f>
        <v>9781855750913</v>
      </c>
      <c r="D3290" t="str">
        <f>"9781849401623"</f>
        <v>9781849401623</v>
      </c>
      <c r="E3290" t="s">
        <v>26010</v>
      </c>
      <c r="F3290" t="s">
        <v>35</v>
      </c>
      <c r="G3290" t="s">
        <v>22174</v>
      </c>
      <c r="H3290" t="s">
        <v>26011</v>
      </c>
      <c r="I3290" s="26">
        <v>34699</v>
      </c>
      <c r="J3290">
        <v>1994</v>
      </c>
      <c r="K3290" t="s">
        <v>26012</v>
      </c>
      <c r="L3290">
        <v>265</v>
      </c>
      <c r="M3290" t="s">
        <v>37968</v>
      </c>
      <c r="N3290">
        <v>1</v>
      </c>
      <c r="Q3290" t="s">
        <v>37969</v>
      </c>
      <c r="R3290">
        <v>150.19499999999999</v>
      </c>
      <c r="S3290" t="s">
        <v>7514</v>
      </c>
      <c r="T3290" t="s">
        <v>30</v>
      </c>
      <c r="U3290" t="s">
        <v>46</v>
      </c>
      <c r="W3290" t="s">
        <v>26009</v>
      </c>
    </row>
    <row r="3291" spans="1:23" x14ac:dyDescent="0.35">
      <c r="A3291">
        <v>709592</v>
      </c>
      <c r="B3291" t="s">
        <v>8421</v>
      </c>
      <c r="C3291" t="str">
        <f>"9781855750876"</f>
        <v>9781855750876</v>
      </c>
      <c r="D3291" t="str">
        <f>"9781849401654"</f>
        <v>9781849401654</v>
      </c>
      <c r="E3291" t="s">
        <v>26010</v>
      </c>
      <c r="F3291" t="s">
        <v>35</v>
      </c>
      <c r="G3291" t="s">
        <v>22174</v>
      </c>
      <c r="H3291" t="s">
        <v>26011</v>
      </c>
      <c r="I3291" s="26">
        <v>34699</v>
      </c>
      <c r="J3291">
        <v>1994</v>
      </c>
      <c r="K3291" t="s">
        <v>26012</v>
      </c>
      <c r="L3291">
        <v>451</v>
      </c>
      <c r="M3291" t="s">
        <v>37970</v>
      </c>
      <c r="N3291">
        <v>1</v>
      </c>
      <c r="Q3291" t="s">
        <v>37971</v>
      </c>
      <c r="R3291">
        <v>150.19499999999999</v>
      </c>
      <c r="S3291" t="s">
        <v>7514</v>
      </c>
      <c r="T3291" t="s">
        <v>30</v>
      </c>
      <c r="U3291" t="s">
        <v>46</v>
      </c>
      <c r="W3291" t="s">
        <v>26009</v>
      </c>
    </row>
    <row r="3292" spans="1:23" x14ac:dyDescent="0.35">
      <c r="A3292">
        <v>709593</v>
      </c>
      <c r="B3292" t="s">
        <v>37972</v>
      </c>
      <c r="C3292" t="str">
        <f>"9780946439577"</f>
        <v>9780946439577</v>
      </c>
      <c r="D3292" t="str">
        <f>"9781849406703"</f>
        <v>9781849406703</v>
      </c>
      <c r="E3292" t="s">
        <v>26010</v>
      </c>
      <c r="F3292" t="s">
        <v>35</v>
      </c>
      <c r="G3292" t="s">
        <v>22174</v>
      </c>
      <c r="H3292" t="s">
        <v>26011</v>
      </c>
      <c r="I3292" s="26">
        <v>33238</v>
      </c>
      <c r="J3292">
        <v>1990</v>
      </c>
      <c r="K3292" t="s">
        <v>26012</v>
      </c>
      <c r="L3292">
        <v>333</v>
      </c>
      <c r="M3292" t="s">
        <v>37973</v>
      </c>
      <c r="N3292">
        <v>1</v>
      </c>
      <c r="Q3292" t="s">
        <v>37974</v>
      </c>
      <c r="R3292">
        <v>150.19499999999999</v>
      </c>
      <c r="S3292" t="s">
        <v>37975</v>
      </c>
      <c r="T3292" t="s">
        <v>30</v>
      </c>
      <c r="U3292" t="s">
        <v>46</v>
      </c>
      <c r="W3292" t="s">
        <v>26009</v>
      </c>
    </row>
    <row r="3293" spans="1:23" x14ac:dyDescent="0.35">
      <c r="A3293">
        <v>709595</v>
      </c>
      <c r="B3293" t="s">
        <v>8896</v>
      </c>
      <c r="C3293" t="str">
        <f>"9781855750104"</f>
        <v>9781855750104</v>
      </c>
      <c r="D3293" t="str">
        <f>"9781849406727"</f>
        <v>9781849406727</v>
      </c>
      <c r="E3293" t="s">
        <v>26010</v>
      </c>
      <c r="F3293" t="s">
        <v>35</v>
      </c>
      <c r="G3293" t="s">
        <v>22174</v>
      </c>
      <c r="H3293" t="s">
        <v>26011</v>
      </c>
      <c r="I3293" s="26">
        <v>33969</v>
      </c>
      <c r="J3293">
        <v>1992</v>
      </c>
      <c r="K3293" t="s">
        <v>26012</v>
      </c>
      <c r="L3293">
        <v>247</v>
      </c>
      <c r="M3293" t="s">
        <v>37976</v>
      </c>
      <c r="N3293">
        <v>1</v>
      </c>
      <c r="Q3293" t="s">
        <v>37977</v>
      </c>
      <c r="R3293">
        <v>150.19</v>
      </c>
      <c r="S3293" t="s">
        <v>37978</v>
      </c>
      <c r="T3293" t="s">
        <v>30</v>
      </c>
      <c r="U3293" t="s">
        <v>46</v>
      </c>
      <c r="W3293" t="s">
        <v>26009</v>
      </c>
    </row>
    <row r="3294" spans="1:23" x14ac:dyDescent="0.35">
      <c r="A3294">
        <v>709597</v>
      </c>
      <c r="B3294" t="s">
        <v>37979</v>
      </c>
      <c r="C3294" t="str">
        <f>"9781855757479"</f>
        <v>9781855757479</v>
      </c>
      <c r="D3294" t="str">
        <f>"9781849408967"</f>
        <v>9781849408967</v>
      </c>
      <c r="E3294" t="s">
        <v>26010</v>
      </c>
      <c r="F3294" t="s">
        <v>35</v>
      </c>
      <c r="G3294" t="s">
        <v>22174</v>
      </c>
      <c r="H3294" t="s">
        <v>26011</v>
      </c>
      <c r="I3294" s="26">
        <v>40908</v>
      </c>
      <c r="J3294">
        <v>2011</v>
      </c>
      <c r="K3294" t="s">
        <v>26012</v>
      </c>
      <c r="L3294">
        <v>145</v>
      </c>
      <c r="M3294" t="s">
        <v>37146</v>
      </c>
      <c r="N3294">
        <v>1</v>
      </c>
      <c r="Q3294" t="s">
        <v>37980</v>
      </c>
      <c r="R3294">
        <v>616.89152000000001</v>
      </c>
      <c r="S3294" t="s">
        <v>37981</v>
      </c>
      <c r="T3294" t="s">
        <v>30</v>
      </c>
      <c r="U3294" t="s">
        <v>37982</v>
      </c>
      <c r="W3294" t="s">
        <v>26009</v>
      </c>
    </row>
    <row r="3295" spans="1:23" x14ac:dyDescent="0.35">
      <c r="A3295">
        <v>709598</v>
      </c>
      <c r="B3295" t="s">
        <v>37983</v>
      </c>
      <c r="C3295" t="str">
        <f>"9781855758414"</f>
        <v>9781855758414</v>
      </c>
      <c r="D3295" t="str">
        <f>"9781849408974"</f>
        <v>9781849408974</v>
      </c>
      <c r="E3295" t="s">
        <v>26010</v>
      </c>
      <c r="F3295" t="s">
        <v>35</v>
      </c>
      <c r="G3295" t="s">
        <v>22174</v>
      </c>
      <c r="H3295" t="s">
        <v>26011</v>
      </c>
      <c r="I3295" s="26">
        <v>40908</v>
      </c>
      <c r="J3295">
        <v>2011</v>
      </c>
      <c r="K3295" t="s">
        <v>26012</v>
      </c>
      <c r="L3295">
        <v>321</v>
      </c>
      <c r="M3295" t="s">
        <v>37984</v>
      </c>
      <c r="N3295">
        <v>1</v>
      </c>
      <c r="Q3295" t="s">
        <v>37985</v>
      </c>
      <c r="R3295">
        <v>155.91149999999999</v>
      </c>
      <c r="S3295" t="s">
        <v>9460</v>
      </c>
      <c r="T3295" t="s">
        <v>30</v>
      </c>
      <c r="U3295" t="s">
        <v>26170</v>
      </c>
      <c r="W3295" t="s">
        <v>26009</v>
      </c>
    </row>
    <row r="3296" spans="1:23" x14ac:dyDescent="0.35">
      <c r="A3296">
        <v>709599</v>
      </c>
      <c r="B3296" t="s">
        <v>37986</v>
      </c>
      <c r="C3296" t="str">
        <f>"9781855758520"</f>
        <v>9781855758520</v>
      </c>
      <c r="D3296" t="str">
        <f>"9781849408950"</f>
        <v>9781849408950</v>
      </c>
      <c r="E3296" t="s">
        <v>26010</v>
      </c>
      <c r="F3296" t="s">
        <v>35</v>
      </c>
      <c r="G3296" t="s">
        <v>22174</v>
      </c>
      <c r="H3296" t="s">
        <v>26011</v>
      </c>
      <c r="I3296" s="26">
        <v>40908</v>
      </c>
      <c r="J3296">
        <v>2011</v>
      </c>
      <c r="K3296" t="s">
        <v>26012</v>
      </c>
      <c r="L3296">
        <v>381</v>
      </c>
      <c r="M3296" t="s">
        <v>37987</v>
      </c>
      <c r="N3296">
        <v>1</v>
      </c>
      <c r="O3296" t="s">
        <v>36568</v>
      </c>
      <c r="Q3296" t="s">
        <v>37988</v>
      </c>
      <c r="R3296">
        <v>150.19499999999999</v>
      </c>
      <c r="S3296" t="s">
        <v>37989</v>
      </c>
      <c r="T3296" t="s">
        <v>30</v>
      </c>
      <c r="U3296" t="s">
        <v>46</v>
      </c>
      <c r="W3296" t="s">
        <v>26009</v>
      </c>
    </row>
    <row r="3297" spans="1:23" x14ac:dyDescent="0.35">
      <c r="A3297">
        <v>710098</v>
      </c>
      <c r="B3297" t="s">
        <v>37990</v>
      </c>
      <c r="C3297" t="str">
        <f>"9781848720770"</f>
        <v>9781848720770</v>
      </c>
      <c r="D3297" t="str">
        <f>"9780203808771"</f>
        <v>9780203808771</v>
      </c>
      <c r="E3297" t="s">
        <v>26010</v>
      </c>
      <c r="F3297" t="s">
        <v>35</v>
      </c>
      <c r="G3297" t="s">
        <v>22267</v>
      </c>
      <c r="H3297" t="s">
        <v>26011</v>
      </c>
      <c r="I3297" s="26">
        <v>40736</v>
      </c>
      <c r="J3297">
        <v>2011</v>
      </c>
      <c r="K3297" t="s">
        <v>660</v>
      </c>
      <c r="L3297">
        <v>408</v>
      </c>
      <c r="M3297" t="s">
        <v>37991</v>
      </c>
      <c r="N3297">
        <v>1</v>
      </c>
      <c r="O3297" t="s">
        <v>27963</v>
      </c>
      <c r="Q3297" t="s">
        <v>37992</v>
      </c>
      <c r="R3297">
        <v>616.89800000000002</v>
      </c>
      <c r="S3297" t="s">
        <v>9771</v>
      </c>
      <c r="T3297" t="s">
        <v>30</v>
      </c>
      <c r="U3297" t="s">
        <v>26116</v>
      </c>
      <c r="W3297" t="s">
        <v>26009</v>
      </c>
    </row>
    <row r="3298" spans="1:23" x14ac:dyDescent="0.35">
      <c r="A3298">
        <v>710676</v>
      </c>
      <c r="B3298" t="s">
        <v>8290</v>
      </c>
      <c r="C3298" t="str">
        <f>"9780123750396"</f>
        <v>9780123750396</v>
      </c>
      <c r="D3298" t="str">
        <f>"9780123750389"</f>
        <v>9780123750389</v>
      </c>
      <c r="E3298" t="s">
        <v>27482</v>
      </c>
      <c r="F3298" t="s">
        <v>7447</v>
      </c>
      <c r="G3298" t="s">
        <v>22689</v>
      </c>
      <c r="H3298" t="s">
        <v>26004</v>
      </c>
      <c r="I3298" s="26">
        <v>40732</v>
      </c>
      <c r="J3298">
        <v>2011</v>
      </c>
      <c r="K3298" t="s">
        <v>946</v>
      </c>
      <c r="L3298">
        <v>1494</v>
      </c>
      <c r="M3298" t="s">
        <v>37993</v>
      </c>
      <c r="N3298">
        <v>2</v>
      </c>
      <c r="R3298" t="s">
        <v>37994</v>
      </c>
      <c r="S3298" t="s">
        <v>37995</v>
      </c>
      <c r="T3298" t="s">
        <v>30</v>
      </c>
      <c r="U3298" t="s">
        <v>46</v>
      </c>
      <c r="W3298" t="s">
        <v>26009</v>
      </c>
    </row>
    <row r="3299" spans="1:23" x14ac:dyDescent="0.35">
      <c r="A3299">
        <v>710964</v>
      </c>
      <c r="B3299" t="s">
        <v>8499</v>
      </c>
      <c r="C3299" t="str">
        <f>""</f>
        <v/>
      </c>
      <c r="D3299" t="str">
        <f>"9781845458478"</f>
        <v>9781845458478</v>
      </c>
      <c r="E3299" t="s">
        <v>34636</v>
      </c>
      <c r="F3299" t="s">
        <v>7472</v>
      </c>
      <c r="G3299" t="s">
        <v>31126</v>
      </c>
      <c r="H3299" t="s">
        <v>26004</v>
      </c>
      <c r="I3299" s="26">
        <v>40483</v>
      </c>
      <c r="J3299">
        <v>2010</v>
      </c>
      <c r="K3299" t="s">
        <v>7472</v>
      </c>
      <c r="L3299">
        <v>336</v>
      </c>
      <c r="M3299" t="s">
        <v>37996</v>
      </c>
      <c r="N3299">
        <v>1</v>
      </c>
      <c r="Q3299" t="s">
        <v>37997</v>
      </c>
      <c r="R3299">
        <v>153.12</v>
      </c>
      <c r="T3299" t="s">
        <v>30</v>
      </c>
      <c r="U3299" t="s">
        <v>34652</v>
      </c>
      <c r="W3299" t="s">
        <v>26009</v>
      </c>
    </row>
    <row r="3300" spans="1:23" x14ac:dyDescent="0.35">
      <c r="A3300">
        <v>711051</v>
      </c>
      <c r="B3300" t="s">
        <v>9964</v>
      </c>
      <c r="C3300" t="str">
        <f>"9780826496072"</f>
        <v>9780826496072</v>
      </c>
      <c r="D3300" t="str">
        <f>"9781441137432"</f>
        <v>9781441137432</v>
      </c>
      <c r="E3300" t="s">
        <v>31671</v>
      </c>
      <c r="F3300" t="s">
        <v>7760</v>
      </c>
      <c r="G3300" t="s">
        <v>22174</v>
      </c>
      <c r="H3300" t="s">
        <v>26011</v>
      </c>
      <c r="I3300" s="26">
        <v>39621</v>
      </c>
      <c r="J3300">
        <v>2008</v>
      </c>
      <c r="K3300" t="s">
        <v>33338</v>
      </c>
      <c r="L3300">
        <v>135</v>
      </c>
      <c r="M3300" t="s">
        <v>37998</v>
      </c>
      <c r="N3300">
        <v>1</v>
      </c>
      <c r="Q3300" t="s">
        <v>37999</v>
      </c>
      <c r="R3300">
        <v>155.9</v>
      </c>
      <c r="S3300" t="s">
        <v>38000</v>
      </c>
      <c r="T3300" t="s">
        <v>30</v>
      </c>
      <c r="U3300" t="s">
        <v>38001</v>
      </c>
      <c r="W3300" t="s">
        <v>28347</v>
      </c>
    </row>
    <row r="3301" spans="1:23" x14ac:dyDescent="0.35">
      <c r="A3301">
        <v>712215</v>
      </c>
      <c r="B3301" t="s">
        <v>38002</v>
      </c>
      <c r="C3301" t="str">
        <f>"9781855754508"</f>
        <v>9781855754508</v>
      </c>
      <c r="D3301" t="str">
        <f>"9781849405256"</f>
        <v>9781849405256</v>
      </c>
      <c r="E3301" t="s">
        <v>26010</v>
      </c>
      <c r="F3301" t="s">
        <v>35</v>
      </c>
      <c r="G3301" t="s">
        <v>22174</v>
      </c>
      <c r="H3301" t="s">
        <v>26011</v>
      </c>
      <c r="I3301" s="26">
        <v>38966</v>
      </c>
      <c r="J3301">
        <v>2006</v>
      </c>
      <c r="K3301" t="s">
        <v>26012</v>
      </c>
      <c r="L3301">
        <v>171</v>
      </c>
      <c r="M3301" t="s">
        <v>30797</v>
      </c>
      <c r="N3301">
        <v>1</v>
      </c>
      <c r="Q3301" t="s">
        <v>38003</v>
      </c>
      <c r="R3301">
        <v>616.89139999999998</v>
      </c>
      <c r="S3301" t="s">
        <v>38004</v>
      </c>
      <c r="T3301" t="s">
        <v>30</v>
      </c>
      <c r="U3301" t="s">
        <v>26019</v>
      </c>
      <c r="W3301" t="s">
        <v>26009</v>
      </c>
    </row>
    <row r="3302" spans="1:23" x14ac:dyDescent="0.35">
      <c r="A3302">
        <v>712216</v>
      </c>
      <c r="B3302" t="s">
        <v>38005</v>
      </c>
      <c r="C3302" t="str">
        <f>"9781855753280"</f>
        <v>9781855753280</v>
      </c>
      <c r="D3302" t="str">
        <f>"9781849405317"</f>
        <v>9781849405317</v>
      </c>
      <c r="E3302" t="s">
        <v>26010</v>
      </c>
      <c r="F3302" t="s">
        <v>35</v>
      </c>
      <c r="G3302" t="s">
        <v>22174</v>
      </c>
      <c r="H3302" t="s">
        <v>26011</v>
      </c>
      <c r="I3302" s="26">
        <v>38718</v>
      </c>
      <c r="J3302">
        <v>2006</v>
      </c>
      <c r="K3302" t="s">
        <v>26012</v>
      </c>
      <c r="L3302">
        <v>214</v>
      </c>
      <c r="M3302" t="s">
        <v>38006</v>
      </c>
      <c r="N3302">
        <v>1</v>
      </c>
      <c r="Q3302" t="s">
        <v>38007</v>
      </c>
      <c r="R3302">
        <v>658.31240000000003</v>
      </c>
      <c r="S3302" t="s">
        <v>38008</v>
      </c>
      <c r="T3302" t="s">
        <v>30</v>
      </c>
      <c r="U3302" t="s">
        <v>30031</v>
      </c>
      <c r="W3302" t="s">
        <v>26009</v>
      </c>
    </row>
    <row r="3303" spans="1:23" x14ac:dyDescent="0.35">
      <c r="A3303">
        <v>712217</v>
      </c>
      <c r="B3303" t="s">
        <v>9998</v>
      </c>
      <c r="C3303" t="str">
        <f>"9781855753440"</f>
        <v>9781855753440</v>
      </c>
      <c r="D3303" t="str">
        <f>"9781849404617"</f>
        <v>9781849404617</v>
      </c>
      <c r="E3303" t="s">
        <v>26010</v>
      </c>
      <c r="F3303" t="s">
        <v>35</v>
      </c>
      <c r="G3303" t="s">
        <v>22174</v>
      </c>
      <c r="H3303" t="s">
        <v>26011</v>
      </c>
      <c r="I3303" s="26">
        <v>38512</v>
      </c>
      <c r="J3303">
        <v>2005</v>
      </c>
      <c r="K3303" t="s">
        <v>26012</v>
      </c>
      <c r="L3303">
        <v>129</v>
      </c>
      <c r="M3303" t="s">
        <v>38009</v>
      </c>
      <c r="N3303">
        <v>1</v>
      </c>
      <c r="Q3303" t="s">
        <v>38010</v>
      </c>
      <c r="R3303">
        <v>616.89139999999998</v>
      </c>
      <c r="S3303" t="s">
        <v>36663</v>
      </c>
      <c r="T3303" t="s">
        <v>30</v>
      </c>
      <c r="U3303" t="s">
        <v>26019</v>
      </c>
      <c r="W3303" t="s">
        <v>26009</v>
      </c>
    </row>
    <row r="3304" spans="1:23" x14ac:dyDescent="0.35">
      <c r="A3304">
        <v>712218</v>
      </c>
      <c r="B3304" t="s">
        <v>38011</v>
      </c>
      <c r="C3304" t="str">
        <f>"9781855753655"</f>
        <v>9781855753655</v>
      </c>
      <c r="D3304" t="str">
        <f>"9781849404679"</f>
        <v>9781849404679</v>
      </c>
      <c r="E3304" t="s">
        <v>26010</v>
      </c>
      <c r="F3304" t="s">
        <v>35</v>
      </c>
      <c r="G3304" t="s">
        <v>22174</v>
      </c>
      <c r="H3304" t="s">
        <v>26011</v>
      </c>
      <c r="I3304" s="26">
        <v>38717</v>
      </c>
      <c r="J3304">
        <v>2005</v>
      </c>
      <c r="K3304" t="s">
        <v>26012</v>
      </c>
      <c r="L3304">
        <v>259</v>
      </c>
      <c r="M3304" t="s">
        <v>38012</v>
      </c>
      <c r="N3304">
        <v>1</v>
      </c>
      <c r="O3304" t="s">
        <v>36505</v>
      </c>
      <c r="Q3304" t="s">
        <v>38013</v>
      </c>
      <c r="R3304" t="s">
        <v>27122</v>
      </c>
      <c r="S3304" t="s">
        <v>9568</v>
      </c>
      <c r="T3304" t="s">
        <v>30</v>
      </c>
      <c r="U3304" t="s">
        <v>26116</v>
      </c>
      <c r="W3304" t="s">
        <v>26009</v>
      </c>
    </row>
    <row r="3305" spans="1:23" x14ac:dyDescent="0.35">
      <c r="A3305">
        <v>712219</v>
      </c>
      <c r="B3305" t="s">
        <v>38014</v>
      </c>
      <c r="C3305" t="str">
        <f>"9781855753426"</f>
        <v>9781855753426</v>
      </c>
      <c r="D3305" t="str">
        <f>"9781849404808"</f>
        <v>9781849404808</v>
      </c>
      <c r="E3305" t="s">
        <v>26010</v>
      </c>
      <c r="F3305" t="s">
        <v>35</v>
      </c>
      <c r="G3305" t="s">
        <v>22174</v>
      </c>
      <c r="H3305" t="s">
        <v>26011</v>
      </c>
      <c r="I3305" s="26">
        <v>38391</v>
      </c>
      <c r="J3305">
        <v>2005</v>
      </c>
      <c r="K3305" t="s">
        <v>26012</v>
      </c>
      <c r="L3305">
        <v>125</v>
      </c>
      <c r="M3305" t="s">
        <v>37406</v>
      </c>
      <c r="N3305">
        <v>1</v>
      </c>
      <c r="O3305" t="s">
        <v>38015</v>
      </c>
      <c r="Q3305" t="s">
        <v>38016</v>
      </c>
      <c r="R3305" t="s">
        <v>26967</v>
      </c>
      <c r="S3305" t="s">
        <v>8887</v>
      </c>
      <c r="T3305" t="s">
        <v>30</v>
      </c>
      <c r="U3305" t="s">
        <v>46</v>
      </c>
      <c r="W3305" t="s">
        <v>26009</v>
      </c>
    </row>
    <row r="3306" spans="1:23" x14ac:dyDescent="0.35">
      <c r="A3306">
        <v>712220</v>
      </c>
      <c r="B3306" t="s">
        <v>38017</v>
      </c>
      <c r="C3306" t="str">
        <f>"9781855753778"</f>
        <v>9781855753778</v>
      </c>
      <c r="D3306" t="str">
        <f>"9781849404891"</f>
        <v>9781849404891</v>
      </c>
      <c r="E3306" t="s">
        <v>26010</v>
      </c>
      <c r="F3306" t="s">
        <v>35</v>
      </c>
      <c r="G3306" t="s">
        <v>22174</v>
      </c>
      <c r="H3306" t="s">
        <v>26011</v>
      </c>
      <c r="I3306" s="26">
        <v>38413</v>
      </c>
      <c r="J3306">
        <v>1993</v>
      </c>
      <c r="K3306" t="s">
        <v>26012</v>
      </c>
      <c r="L3306">
        <v>215</v>
      </c>
      <c r="M3306" t="s">
        <v>38018</v>
      </c>
      <c r="N3306">
        <v>1</v>
      </c>
      <c r="Q3306" t="s">
        <v>38019</v>
      </c>
      <c r="R3306" t="s">
        <v>35818</v>
      </c>
      <c r="S3306" t="s">
        <v>38020</v>
      </c>
      <c r="T3306" t="s">
        <v>30</v>
      </c>
      <c r="U3306" t="s">
        <v>28898</v>
      </c>
      <c r="W3306" t="s">
        <v>26009</v>
      </c>
    </row>
    <row r="3307" spans="1:23" x14ac:dyDescent="0.35">
      <c r="A3307">
        <v>712221</v>
      </c>
      <c r="B3307" t="s">
        <v>38021</v>
      </c>
      <c r="C3307" t="str">
        <f>"9781855753334"</f>
        <v>9781855753334</v>
      </c>
      <c r="D3307" t="str">
        <f>"9781849404884"</f>
        <v>9781849404884</v>
      </c>
      <c r="E3307" t="s">
        <v>26010</v>
      </c>
      <c r="F3307" t="s">
        <v>35</v>
      </c>
      <c r="G3307" t="s">
        <v>22174</v>
      </c>
      <c r="H3307" t="s">
        <v>26011</v>
      </c>
      <c r="I3307" s="26">
        <v>38413</v>
      </c>
      <c r="J3307">
        <v>1999</v>
      </c>
      <c r="K3307" t="s">
        <v>26012</v>
      </c>
      <c r="L3307">
        <v>225</v>
      </c>
      <c r="M3307" t="s">
        <v>38018</v>
      </c>
      <c r="N3307">
        <v>1</v>
      </c>
      <c r="Q3307" t="s">
        <v>38022</v>
      </c>
      <c r="R3307">
        <v>616.89139999999998</v>
      </c>
      <c r="S3307" t="s">
        <v>8213</v>
      </c>
      <c r="T3307" t="s">
        <v>30</v>
      </c>
      <c r="U3307" t="s">
        <v>26019</v>
      </c>
      <c r="W3307" t="s">
        <v>26009</v>
      </c>
    </row>
    <row r="3308" spans="1:23" x14ac:dyDescent="0.35">
      <c r="A3308">
        <v>712223</v>
      </c>
      <c r="B3308" t="s">
        <v>8804</v>
      </c>
      <c r="C3308" t="str">
        <f>"9781855753600"</f>
        <v>9781855753600</v>
      </c>
      <c r="D3308" t="str">
        <f>"9781849404952"</f>
        <v>9781849404952</v>
      </c>
      <c r="E3308" t="s">
        <v>26010</v>
      </c>
      <c r="F3308" t="s">
        <v>35</v>
      </c>
      <c r="G3308" t="s">
        <v>22174</v>
      </c>
      <c r="H3308" t="s">
        <v>26011</v>
      </c>
      <c r="I3308" s="26">
        <v>38385</v>
      </c>
      <c r="J3308">
        <v>2005</v>
      </c>
      <c r="K3308" t="s">
        <v>26012</v>
      </c>
      <c r="L3308">
        <v>282</v>
      </c>
      <c r="M3308" t="s">
        <v>38023</v>
      </c>
      <c r="N3308">
        <v>1</v>
      </c>
      <c r="Q3308" t="s">
        <v>38024</v>
      </c>
      <c r="R3308" t="s">
        <v>29813</v>
      </c>
      <c r="S3308" t="s">
        <v>8805</v>
      </c>
      <c r="T3308" t="s">
        <v>30</v>
      </c>
      <c r="U3308" t="s">
        <v>26019</v>
      </c>
      <c r="W3308" t="s">
        <v>26009</v>
      </c>
    </row>
    <row r="3309" spans="1:23" x14ac:dyDescent="0.35">
      <c r="A3309">
        <v>712224</v>
      </c>
      <c r="B3309" t="s">
        <v>9994</v>
      </c>
      <c r="C3309" t="str">
        <f>"9781855753358"</f>
        <v>9781855753358</v>
      </c>
      <c r="D3309" t="str">
        <f>"9781849404174"</f>
        <v>9781849404174</v>
      </c>
      <c r="E3309" t="s">
        <v>26010</v>
      </c>
      <c r="F3309" t="s">
        <v>35</v>
      </c>
      <c r="G3309" t="s">
        <v>22174</v>
      </c>
      <c r="H3309" t="s">
        <v>26011</v>
      </c>
      <c r="I3309" s="26">
        <v>38352</v>
      </c>
      <c r="J3309">
        <v>2004</v>
      </c>
      <c r="K3309" t="s">
        <v>26012</v>
      </c>
      <c r="L3309">
        <v>338</v>
      </c>
      <c r="M3309" t="s">
        <v>37146</v>
      </c>
      <c r="N3309">
        <v>1</v>
      </c>
      <c r="Q3309" t="s">
        <v>38025</v>
      </c>
      <c r="R3309">
        <v>616.89152000000001</v>
      </c>
      <c r="S3309" t="s">
        <v>37477</v>
      </c>
      <c r="T3309" t="s">
        <v>30</v>
      </c>
      <c r="U3309" t="s">
        <v>26116</v>
      </c>
      <c r="W3309" t="s">
        <v>26009</v>
      </c>
    </row>
    <row r="3310" spans="1:23" x14ac:dyDescent="0.35">
      <c r="A3310">
        <v>712225</v>
      </c>
      <c r="B3310" t="s">
        <v>7798</v>
      </c>
      <c r="C3310" t="str">
        <f>"9781855753259"</f>
        <v>9781855753259</v>
      </c>
      <c r="D3310" t="str">
        <f>"9781849404266"</f>
        <v>9781849404266</v>
      </c>
      <c r="E3310" t="s">
        <v>26010</v>
      </c>
      <c r="F3310" t="s">
        <v>35</v>
      </c>
      <c r="G3310" t="s">
        <v>22174</v>
      </c>
      <c r="H3310" t="s">
        <v>26011</v>
      </c>
      <c r="I3310" s="26">
        <v>38352</v>
      </c>
      <c r="J3310">
        <v>2004</v>
      </c>
      <c r="K3310" t="s">
        <v>26012</v>
      </c>
      <c r="L3310">
        <v>131</v>
      </c>
      <c r="M3310" t="s">
        <v>38026</v>
      </c>
      <c r="N3310">
        <v>1</v>
      </c>
      <c r="O3310" t="s">
        <v>36814</v>
      </c>
      <c r="Q3310" t="s">
        <v>38027</v>
      </c>
      <c r="R3310">
        <v>618.92891399999996</v>
      </c>
      <c r="S3310" t="s">
        <v>38028</v>
      </c>
      <c r="T3310" t="s">
        <v>30</v>
      </c>
      <c r="U3310" t="s">
        <v>26019</v>
      </c>
      <c r="W3310" t="s">
        <v>26009</v>
      </c>
    </row>
    <row r="3311" spans="1:23" x14ac:dyDescent="0.35">
      <c r="A3311">
        <v>712226</v>
      </c>
      <c r="B3311" t="s">
        <v>8244</v>
      </c>
      <c r="C3311" t="str">
        <f>"9781855753969"</f>
        <v>9781855753969</v>
      </c>
      <c r="D3311" t="str">
        <f>"9781849404303"</f>
        <v>9781849404303</v>
      </c>
      <c r="E3311" t="s">
        <v>26010</v>
      </c>
      <c r="F3311" t="s">
        <v>35</v>
      </c>
      <c r="G3311" t="s">
        <v>26128</v>
      </c>
      <c r="H3311" t="s">
        <v>26011</v>
      </c>
      <c r="I3311" s="26">
        <v>38352</v>
      </c>
      <c r="J3311">
        <v>2004</v>
      </c>
      <c r="K3311" t="s">
        <v>26012</v>
      </c>
      <c r="L3311">
        <v>316</v>
      </c>
      <c r="M3311" t="s">
        <v>38029</v>
      </c>
      <c r="N3311">
        <v>1</v>
      </c>
      <c r="R3311">
        <v>616.89170000000001</v>
      </c>
      <c r="S3311" t="s">
        <v>7661</v>
      </c>
      <c r="T3311" t="s">
        <v>30</v>
      </c>
      <c r="U3311" t="s">
        <v>26040</v>
      </c>
      <c r="W3311" t="s">
        <v>26009</v>
      </c>
    </row>
    <row r="3312" spans="1:23" x14ac:dyDescent="0.35">
      <c r="A3312">
        <v>712227</v>
      </c>
      <c r="B3312" t="s">
        <v>9656</v>
      </c>
      <c r="C3312" t="str">
        <f>"9781855753914"</f>
        <v>9781855753914</v>
      </c>
      <c r="D3312" t="str">
        <f>"9781849404297"</f>
        <v>9781849404297</v>
      </c>
      <c r="E3312" t="s">
        <v>26010</v>
      </c>
      <c r="F3312" t="s">
        <v>35</v>
      </c>
      <c r="G3312" t="s">
        <v>22174</v>
      </c>
      <c r="H3312" t="s">
        <v>26011</v>
      </c>
      <c r="I3312" s="26">
        <v>38352</v>
      </c>
      <c r="J3312">
        <v>2004</v>
      </c>
      <c r="K3312" t="s">
        <v>26012</v>
      </c>
      <c r="L3312">
        <v>400</v>
      </c>
      <c r="M3312" t="s">
        <v>36559</v>
      </c>
      <c r="N3312">
        <v>1</v>
      </c>
      <c r="Q3312" t="s">
        <v>38030</v>
      </c>
      <c r="R3312">
        <v>616.89</v>
      </c>
      <c r="S3312" t="s">
        <v>9657</v>
      </c>
      <c r="T3312" t="s">
        <v>30</v>
      </c>
      <c r="U3312" t="s">
        <v>26019</v>
      </c>
      <c r="W3312" t="s">
        <v>26009</v>
      </c>
    </row>
    <row r="3313" spans="1:23" x14ac:dyDescent="0.35">
      <c r="A3313">
        <v>712228</v>
      </c>
      <c r="B3313" t="s">
        <v>9537</v>
      </c>
      <c r="C3313" t="str">
        <f>"9781855753860"</f>
        <v>9781855753860</v>
      </c>
      <c r="D3313" t="str">
        <f>"9781849404280"</f>
        <v>9781849404280</v>
      </c>
      <c r="E3313" t="s">
        <v>26010</v>
      </c>
      <c r="F3313" t="s">
        <v>35</v>
      </c>
      <c r="G3313" t="s">
        <v>22174</v>
      </c>
      <c r="H3313" t="s">
        <v>26011</v>
      </c>
      <c r="I3313" s="26">
        <v>38352</v>
      </c>
      <c r="J3313">
        <v>2004</v>
      </c>
      <c r="K3313" t="s">
        <v>26012</v>
      </c>
      <c r="L3313">
        <v>260</v>
      </c>
      <c r="M3313" t="s">
        <v>36559</v>
      </c>
      <c r="N3313">
        <v>1</v>
      </c>
      <c r="Q3313" t="s">
        <v>38031</v>
      </c>
      <c r="R3313" t="s">
        <v>26888</v>
      </c>
      <c r="S3313" t="s">
        <v>38032</v>
      </c>
      <c r="T3313" t="s">
        <v>30</v>
      </c>
      <c r="U3313" t="s">
        <v>46</v>
      </c>
      <c r="W3313" t="s">
        <v>26009</v>
      </c>
    </row>
    <row r="3314" spans="1:23" x14ac:dyDescent="0.35">
      <c r="A3314">
        <v>712230</v>
      </c>
      <c r="B3314" t="s">
        <v>7560</v>
      </c>
      <c r="C3314" t="str">
        <f>"9781855759466"</f>
        <v>9781855759466</v>
      </c>
      <c r="D3314" t="str">
        <f>"9781849404389"</f>
        <v>9781849404389</v>
      </c>
      <c r="E3314" t="s">
        <v>26010</v>
      </c>
      <c r="F3314" t="s">
        <v>35</v>
      </c>
      <c r="G3314" t="s">
        <v>22174</v>
      </c>
      <c r="H3314" t="s">
        <v>26011</v>
      </c>
      <c r="I3314" s="26">
        <v>38092</v>
      </c>
      <c r="J3314">
        <v>2004</v>
      </c>
      <c r="K3314" t="s">
        <v>26012</v>
      </c>
      <c r="L3314">
        <v>184</v>
      </c>
      <c r="M3314" t="s">
        <v>38033</v>
      </c>
      <c r="N3314">
        <v>1</v>
      </c>
      <c r="Q3314" t="s">
        <v>38034</v>
      </c>
      <c r="R3314">
        <v>158.30000000000001</v>
      </c>
      <c r="S3314" t="s">
        <v>38035</v>
      </c>
      <c r="T3314" t="s">
        <v>30</v>
      </c>
      <c r="U3314" t="s">
        <v>46</v>
      </c>
      <c r="W3314" t="s">
        <v>26009</v>
      </c>
    </row>
    <row r="3315" spans="1:23" x14ac:dyDescent="0.35">
      <c r="A3315">
        <v>712231</v>
      </c>
      <c r="B3315" t="s">
        <v>38036</v>
      </c>
      <c r="C3315" t="str">
        <f>"9781855752948"</f>
        <v>9781855752948</v>
      </c>
      <c r="D3315" t="str">
        <f>"9781849404396"</f>
        <v>9781849404396</v>
      </c>
      <c r="E3315" t="s">
        <v>26010</v>
      </c>
      <c r="F3315" t="s">
        <v>35</v>
      </c>
      <c r="G3315" t="s">
        <v>22174</v>
      </c>
      <c r="H3315" t="s">
        <v>26011</v>
      </c>
      <c r="I3315" s="26">
        <v>38352</v>
      </c>
      <c r="J3315">
        <v>2004</v>
      </c>
      <c r="K3315" t="s">
        <v>26012</v>
      </c>
      <c r="L3315">
        <v>268</v>
      </c>
      <c r="M3315" t="s">
        <v>38037</v>
      </c>
      <c r="N3315">
        <v>1</v>
      </c>
      <c r="O3315" t="s">
        <v>36500</v>
      </c>
      <c r="Q3315" t="s">
        <v>38038</v>
      </c>
      <c r="R3315" t="s">
        <v>38039</v>
      </c>
      <c r="S3315" t="s">
        <v>38040</v>
      </c>
      <c r="T3315" t="s">
        <v>30</v>
      </c>
      <c r="U3315" t="s">
        <v>30031</v>
      </c>
      <c r="W3315" t="s">
        <v>26009</v>
      </c>
    </row>
    <row r="3316" spans="1:23" x14ac:dyDescent="0.35">
      <c r="A3316">
        <v>712234</v>
      </c>
      <c r="B3316" t="s">
        <v>9968</v>
      </c>
      <c r="C3316" t="str">
        <f>"9781855759572"</f>
        <v>9781855759572</v>
      </c>
      <c r="D3316" t="str">
        <f>"9781849403726"</f>
        <v>9781849403726</v>
      </c>
      <c r="E3316" t="s">
        <v>26010</v>
      </c>
      <c r="F3316" t="s">
        <v>35</v>
      </c>
      <c r="G3316" t="s">
        <v>22174</v>
      </c>
      <c r="H3316" t="s">
        <v>26011</v>
      </c>
      <c r="I3316" s="26">
        <v>37986</v>
      </c>
      <c r="J3316">
        <v>2003</v>
      </c>
      <c r="K3316" t="s">
        <v>26012</v>
      </c>
      <c r="L3316">
        <v>157</v>
      </c>
      <c r="M3316" t="s">
        <v>37478</v>
      </c>
      <c r="N3316">
        <v>1</v>
      </c>
      <c r="O3316" t="s">
        <v>37479</v>
      </c>
      <c r="Q3316" t="s">
        <v>26402</v>
      </c>
      <c r="R3316">
        <v>155.333</v>
      </c>
      <c r="S3316" t="s">
        <v>9051</v>
      </c>
      <c r="T3316" t="s">
        <v>30</v>
      </c>
      <c r="U3316" t="s">
        <v>46</v>
      </c>
      <c r="W3316" t="s">
        <v>26009</v>
      </c>
    </row>
    <row r="3317" spans="1:23" x14ac:dyDescent="0.35">
      <c r="A3317">
        <v>712235</v>
      </c>
      <c r="B3317" t="s">
        <v>38041</v>
      </c>
      <c r="C3317" t="str">
        <f>"9781855759107"</f>
        <v>9781855759107</v>
      </c>
      <c r="D3317" t="str">
        <f>"9781849403764"</f>
        <v>9781849403764</v>
      </c>
      <c r="E3317" t="s">
        <v>26010</v>
      </c>
      <c r="F3317" t="s">
        <v>35</v>
      </c>
      <c r="G3317" t="s">
        <v>22174</v>
      </c>
      <c r="H3317" t="s">
        <v>26011</v>
      </c>
      <c r="I3317" s="26">
        <v>37986</v>
      </c>
      <c r="J3317">
        <v>2003</v>
      </c>
      <c r="K3317" t="s">
        <v>26012</v>
      </c>
      <c r="L3317">
        <v>249</v>
      </c>
      <c r="M3317" t="s">
        <v>38042</v>
      </c>
      <c r="N3317">
        <v>1</v>
      </c>
      <c r="O3317" t="s">
        <v>36500</v>
      </c>
      <c r="Q3317" t="s">
        <v>38043</v>
      </c>
      <c r="R3317" t="s">
        <v>38044</v>
      </c>
      <c r="S3317" t="s">
        <v>9812</v>
      </c>
      <c r="T3317" t="s">
        <v>30</v>
      </c>
      <c r="U3317" t="s">
        <v>26040</v>
      </c>
      <c r="W3317" t="s">
        <v>26009</v>
      </c>
    </row>
    <row r="3318" spans="1:23" x14ac:dyDescent="0.35">
      <c r="A3318">
        <v>712236</v>
      </c>
      <c r="B3318" t="s">
        <v>8782</v>
      </c>
      <c r="C3318" t="str">
        <f>"9781855759237"</f>
        <v>9781855759237</v>
      </c>
      <c r="D3318" t="str">
        <f>"9781849403771"</f>
        <v>9781849403771</v>
      </c>
      <c r="E3318" t="s">
        <v>26010</v>
      </c>
      <c r="F3318" t="s">
        <v>35</v>
      </c>
      <c r="G3318" t="s">
        <v>22174</v>
      </c>
      <c r="H3318" t="s">
        <v>26011</v>
      </c>
      <c r="I3318" s="26">
        <v>37748</v>
      </c>
      <c r="J3318">
        <v>2003</v>
      </c>
      <c r="K3318" t="s">
        <v>26012</v>
      </c>
      <c r="L3318">
        <v>122</v>
      </c>
      <c r="M3318" t="s">
        <v>37157</v>
      </c>
      <c r="N3318">
        <v>1</v>
      </c>
      <c r="Q3318" t="s">
        <v>38045</v>
      </c>
      <c r="R3318" t="s">
        <v>38046</v>
      </c>
      <c r="S3318" t="s">
        <v>8783</v>
      </c>
      <c r="T3318" t="s">
        <v>30</v>
      </c>
      <c r="U3318" t="s">
        <v>46</v>
      </c>
      <c r="W3318" t="s">
        <v>26009</v>
      </c>
    </row>
    <row r="3319" spans="1:23" x14ac:dyDescent="0.35">
      <c r="A3319">
        <v>712237</v>
      </c>
      <c r="B3319" t="s">
        <v>38047</v>
      </c>
      <c r="C3319" t="str">
        <f>"9781855752979"</f>
        <v>9781855752979</v>
      </c>
      <c r="D3319" t="str">
        <f>"9781849403825"</f>
        <v>9781849403825</v>
      </c>
      <c r="E3319" t="s">
        <v>26010</v>
      </c>
      <c r="F3319" t="s">
        <v>35</v>
      </c>
      <c r="G3319" t="s">
        <v>22174</v>
      </c>
      <c r="H3319" t="s">
        <v>26011</v>
      </c>
      <c r="I3319" s="26">
        <v>37986</v>
      </c>
      <c r="J3319">
        <v>2003</v>
      </c>
      <c r="K3319" t="s">
        <v>26012</v>
      </c>
      <c r="L3319">
        <v>161</v>
      </c>
      <c r="M3319" t="s">
        <v>37036</v>
      </c>
      <c r="N3319">
        <v>1</v>
      </c>
      <c r="O3319" t="s">
        <v>37022</v>
      </c>
      <c r="Q3319" t="s">
        <v>38048</v>
      </c>
      <c r="R3319">
        <v>616.85820000000001</v>
      </c>
      <c r="S3319" t="s">
        <v>38049</v>
      </c>
      <c r="T3319" t="s">
        <v>30</v>
      </c>
      <c r="U3319" t="s">
        <v>28308</v>
      </c>
      <c r="W3319" t="s">
        <v>26009</v>
      </c>
    </row>
    <row r="3320" spans="1:23" x14ac:dyDescent="0.35">
      <c r="A3320">
        <v>712239</v>
      </c>
      <c r="B3320" t="s">
        <v>8810</v>
      </c>
      <c r="C3320" t="str">
        <f>"9781855759299"</f>
        <v>9781855759299</v>
      </c>
      <c r="D3320" t="str">
        <f>"9781849403849"</f>
        <v>9781849403849</v>
      </c>
      <c r="E3320" t="s">
        <v>26010</v>
      </c>
      <c r="F3320" t="s">
        <v>35</v>
      </c>
      <c r="G3320" t="s">
        <v>26128</v>
      </c>
      <c r="H3320" t="s">
        <v>26011</v>
      </c>
      <c r="I3320" s="26">
        <v>37986</v>
      </c>
      <c r="J3320">
        <v>2003</v>
      </c>
      <c r="K3320" t="s">
        <v>26012</v>
      </c>
      <c r="L3320">
        <v>317</v>
      </c>
      <c r="M3320" t="s">
        <v>38050</v>
      </c>
      <c r="N3320">
        <v>1</v>
      </c>
      <c r="O3320" t="s">
        <v>37564</v>
      </c>
      <c r="R3320">
        <v>150.19499999999999</v>
      </c>
      <c r="S3320" t="s">
        <v>38051</v>
      </c>
      <c r="T3320" t="s">
        <v>30</v>
      </c>
      <c r="U3320" t="s">
        <v>46</v>
      </c>
      <c r="W3320" t="s">
        <v>26009</v>
      </c>
    </row>
    <row r="3321" spans="1:23" x14ac:dyDescent="0.35">
      <c r="A3321">
        <v>712240</v>
      </c>
      <c r="B3321" t="s">
        <v>38052</v>
      </c>
      <c r="C3321" t="str">
        <f>"9781855759510"</f>
        <v>9781855759510</v>
      </c>
      <c r="D3321" t="str">
        <f>"9780429918865"</f>
        <v>9780429918865</v>
      </c>
      <c r="E3321" t="s">
        <v>26010</v>
      </c>
      <c r="F3321" t="s">
        <v>35</v>
      </c>
      <c r="G3321" t="s">
        <v>22174</v>
      </c>
      <c r="H3321" t="s">
        <v>26011</v>
      </c>
      <c r="I3321" s="26">
        <v>37986</v>
      </c>
      <c r="J3321">
        <v>2003</v>
      </c>
      <c r="K3321" t="s">
        <v>26012</v>
      </c>
      <c r="L3321">
        <v>354</v>
      </c>
      <c r="M3321" t="s">
        <v>38053</v>
      </c>
      <c r="N3321">
        <v>1</v>
      </c>
      <c r="O3321" t="s">
        <v>36505</v>
      </c>
      <c r="Q3321" t="s">
        <v>38054</v>
      </c>
      <c r="R3321">
        <v>616.89156000000003</v>
      </c>
      <c r="S3321" t="s">
        <v>38055</v>
      </c>
      <c r="T3321" t="s">
        <v>30</v>
      </c>
      <c r="U3321" t="s">
        <v>26019</v>
      </c>
      <c r="W3321" t="s">
        <v>26009</v>
      </c>
    </row>
    <row r="3322" spans="1:23" x14ac:dyDescent="0.35">
      <c r="A3322">
        <v>712241</v>
      </c>
      <c r="B3322" t="s">
        <v>38056</v>
      </c>
      <c r="C3322" t="str">
        <f>"9781855759367"</f>
        <v>9781855759367</v>
      </c>
      <c r="D3322" t="str">
        <f>"9781849403894"</f>
        <v>9781849403894</v>
      </c>
      <c r="E3322" t="s">
        <v>26010</v>
      </c>
      <c r="F3322" t="s">
        <v>35</v>
      </c>
      <c r="G3322" t="s">
        <v>22174</v>
      </c>
      <c r="H3322" t="s">
        <v>26011</v>
      </c>
      <c r="I3322" s="26">
        <v>37663</v>
      </c>
      <c r="J3322">
        <v>2003</v>
      </c>
      <c r="K3322" t="s">
        <v>26012</v>
      </c>
      <c r="L3322">
        <v>290</v>
      </c>
      <c r="M3322" t="s">
        <v>26580</v>
      </c>
      <c r="N3322">
        <v>1</v>
      </c>
      <c r="Q3322" t="s">
        <v>38057</v>
      </c>
      <c r="R3322">
        <v>291.42200000000003</v>
      </c>
      <c r="S3322" t="s">
        <v>38058</v>
      </c>
      <c r="T3322" t="s">
        <v>30</v>
      </c>
      <c r="U3322" t="s">
        <v>11247</v>
      </c>
      <c r="W3322" t="s">
        <v>26009</v>
      </c>
    </row>
    <row r="3323" spans="1:23" x14ac:dyDescent="0.35">
      <c r="A3323">
        <v>712243</v>
      </c>
      <c r="B3323" t="s">
        <v>38059</v>
      </c>
      <c r="C3323" t="str">
        <f>"9781855753006"</f>
        <v>9781855753006</v>
      </c>
      <c r="D3323" t="str">
        <f>"9781849403924"</f>
        <v>9781849403924</v>
      </c>
      <c r="E3323" t="s">
        <v>26010</v>
      </c>
      <c r="F3323" t="s">
        <v>35</v>
      </c>
      <c r="G3323" t="s">
        <v>22174</v>
      </c>
      <c r="H3323" t="s">
        <v>26011</v>
      </c>
      <c r="I3323" s="26">
        <v>37986</v>
      </c>
      <c r="J3323">
        <v>2003</v>
      </c>
      <c r="K3323" t="s">
        <v>26012</v>
      </c>
      <c r="L3323">
        <v>293</v>
      </c>
      <c r="M3323" t="s">
        <v>36938</v>
      </c>
      <c r="N3323">
        <v>1</v>
      </c>
      <c r="Q3323" t="s">
        <v>38060</v>
      </c>
      <c r="R3323">
        <v>150.19499999999999</v>
      </c>
      <c r="S3323" t="s">
        <v>38061</v>
      </c>
      <c r="T3323" t="s">
        <v>30</v>
      </c>
      <c r="U3323" t="s">
        <v>38062</v>
      </c>
      <c r="W3323" t="s">
        <v>26009</v>
      </c>
    </row>
    <row r="3324" spans="1:23" x14ac:dyDescent="0.35">
      <c r="A3324">
        <v>712244</v>
      </c>
      <c r="B3324" t="s">
        <v>38063</v>
      </c>
      <c r="C3324" t="str">
        <f>"9781855759244"</f>
        <v>9781855759244</v>
      </c>
      <c r="D3324" t="str">
        <f>"9781849403955"</f>
        <v>9781849403955</v>
      </c>
      <c r="E3324" t="s">
        <v>26010</v>
      </c>
      <c r="F3324" t="s">
        <v>35</v>
      </c>
      <c r="G3324" t="s">
        <v>22174</v>
      </c>
      <c r="H3324" t="s">
        <v>26011</v>
      </c>
      <c r="I3324" s="26">
        <v>37986</v>
      </c>
      <c r="J3324">
        <v>2003</v>
      </c>
      <c r="K3324" t="s">
        <v>26012</v>
      </c>
      <c r="L3324">
        <v>40</v>
      </c>
      <c r="M3324" t="s">
        <v>38064</v>
      </c>
      <c r="N3324">
        <v>1</v>
      </c>
      <c r="O3324" t="s">
        <v>36645</v>
      </c>
      <c r="Q3324" t="s">
        <v>38065</v>
      </c>
      <c r="R3324">
        <v>155.4092</v>
      </c>
      <c r="S3324" t="s">
        <v>8196</v>
      </c>
      <c r="T3324" t="s">
        <v>30</v>
      </c>
      <c r="U3324" t="s">
        <v>46</v>
      </c>
      <c r="W3324" t="s">
        <v>26009</v>
      </c>
    </row>
    <row r="3325" spans="1:23" x14ac:dyDescent="0.35">
      <c r="A3325">
        <v>712245</v>
      </c>
      <c r="B3325" t="s">
        <v>38066</v>
      </c>
      <c r="C3325" t="str">
        <f>"9781855759534"</f>
        <v>9781855759534</v>
      </c>
      <c r="D3325" t="str">
        <f>"9781849403979"</f>
        <v>9781849403979</v>
      </c>
      <c r="E3325" t="s">
        <v>26010</v>
      </c>
      <c r="F3325" t="s">
        <v>35</v>
      </c>
      <c r="G3325" t="s">
        <v>22174</v>
      </c>
      <c r="H3325" t="s">
        <v>26011</v>
      </c>
      <c r="I3325" s="26">
        <v>37986</v>
      </c>
      <c r="J3325">
        <v>2003</v>
      </c>
      <c r="K3325" t="s">
        <v>26012</v>
      </c>
      <c r="L3325">
        <v>354</v>
      </c>
      <c r="M3325" t="s">
        <v>38067</v>
      </c>
      <c r="N3325">
        <v>1</v>
      </c>
      <c r="Q3325" t="s">
        <v>38068</v>
      </c>
      <c r="R3325">
        <v>616.89170000000001</v>
      </c>
      <c r="S3325" t="s">
        <v>38069</v>
      </c>
      <c r="T3325" t="s">
        <v>30</v>
      </c>
      <c r="U3325" t="s">
        <v>26019</v>
      </c>
      <c r="W3325" t="s">
        <v>26009</v>
      </c>
    </row>
    <row r="3326" spans="1:23" x14ac:dyDescent="0.35">
      <c r="A3326">
        <v>712246</v>
      </c>
      <c r="B3326" t="s">
        <v>38070</v>
      </c>
      <c r="C3326" t="str">
        <f>"9781855753303"</f>
        <v>9781855753303</v>
      </c>
      <c r="D3326" t="str">
        <f>"9781849403993"</f>
        <v>9781849403993</v>
      </c>
      <c r="E3326" t="s">
        <v>26010</v>
      </c>
      <c r="F3326" t="s">
        <v>35</v>
      </c>
      <c r="G3326" t="s">
        <v>26128</v>
      </c>
      <c r="H3326" t="s">
        <v>26011</v>
      </c>
      <c r="I3326" s="26">
        <v>37956</v>
      </c>
      <c r="J3326">
        <v>1993</v>
      </c>
      <c r="K3326" t="s">
        <v>26012</v>
      </c>
      <c r="L3326">
        <v>316</v>
      </c>
      <c r="M3326" t="s">
        <v>38071</v>
      </c>
      <c r="N3326">
        <v>1</v>
      </c>
      <c r="R3326" t="s">
        <v>37864</v>
      </c>
      <c r="S3326" t="s">
        <v>38072</v>
      </c>
      <c r="T3326" t="s">
        <v>30</v>
      </c>
      <c r="U3326" t="s">
        <v>46</v>
      </c>
      <c r="W3326" t="s">
        <v>26009</v>
      </c>
    </row>
    <row r="3327" spans="1:23" x14ac:dyDescent="0.35">
      <c r="A3327">
        <v>712247</v>
      </c>
      <c r="B3327" t="s">
        <v>38073</v>
      </c>
      <c r="C3327" t="str">
        <f>"9781855759206"</f>
        <v>9781855759206</v>
      </c>
      <c r="D3327" t="str">
        <f>"9781849404037"</f>
        <v>9781849404037</v>
      </c>
      <c r="E3327" t="s">
        <v>26010</v>
      </c>
      <c r="F3327" t="s">
        <v>35</v>
      </c>
      <c r="G3327" t="s">
        <v>22174</v>
      </c>
      <c r="H3327" t="s">
        <v>26011</v>
      </c>
      <c r="I3327" s="26">
        <v>37879</v>
      </c>
      <c r="J3327">
        <v>2003</v>
      </c>
      <c r="K3327" t="s">
        <v>26012</v>
      </c>
      <c r="L3327">
        <v>387</v>
      </c>
      <c r="M3327" t="s">
        <v>38074</v>
      </c>
      <c r="N3327">
        <v>1</v>
      </c>
      <c r="Q3327" t="s">
        <v>38075</v>
      </c>
      <c r="R3327">
        <v>616.89170920000004</v>
      </c>
      <c r="S3327" t="s">
        <v>9254</v>
      </c>
      <c r="T3327" t="s">
        <v>30</v>
      </c>
      <c r="U3327" t="s">
        <v>26116</v>
      </c>
      <c r="W3327" t="s">
        <v>26009</v>
      </c>
    </row>
    <row r="3328" spans="1:23" x14ac:dyDescent="0.35">
      <c r="A3328">
        <v>712248</v>
      </c>
      <c r="B3328" t="s">
        <v>9788</v>
      </c>
      <c r="C3328" t="str">
        <f>"9781855753204"</f>
        <v>9781855753204</v>
      </c>
      <c r="D3328" t="str">
        <f>"9781849404020"</f>
        <v>9781849404020</v>
      </c>
      <c r="E3328" t="s">
        <v>26010</v>
      </c>
      <c r="F3328" t="s">
        <v>35</v>
      </c>
      <c r="G3328" t="s">
        <v>22174</v>
      </c>
      <c r="H3328" t="s">
        <v>26011</v>
      </c>
      <c r="I3328" s="26">
        <v>37879</v>
      </c>
      <c r="J3328">
        <v>2003</v>
      </c>
      <c r="K3328" t="s">
        <v>26012</v>
      </c>
      <c r="L3328">
        <v>417</v>
      </c>
      <c r="M3328" t="s">
        <v>38076</v>
      </c>
      <c r="N3328">
        <v>1</v>
      </c>
      <c r="Q3328" t="s">
        <v>38077</v>
      </c>
      <c r="R3328">
        <v>616.89170000000001</v>
      </c>
      <c r="S3328" t="s">
        <v>7514</v>
      </c>
      <c r="T3328" t="s">
        <v>30</v>
      </c>
      <c r="U3328" t="s">
        <v>26019</v>
      </c>
      <c r="W3328" t="s">
        <v>26009</v>
      </c>
    </row>
    <row r="3329" spans="1:23" x14ac:dyDescent="0.35">
      <c r="A3329">
        <v>712251</v>
      </c>
      <c r="B3329" t="s">
        <v>38078</v>
      </c>
      <c r="C3329" t="str">
        <f>"9781855759398"</f>
        <v>9781855759398</v>
      </c>
      <c r="D3329" t="str">
        <f>"9781849404082"</f>
        <v>9781849404082</v>
      </c>
      <c r="E3329" t="s">
        <v>26010</v>
      </c>
      <c r="F3329" t="s">
        <v>35</v>
      </c>
      <c r="G3329" t="s">
        <v>22174</v>
      </c>
      <c r="H3329" t="s">
        <v>26011</v>
      </c>
      <c r="I3329" s="26">
        <v>37986</v>
      </c>
      <c r="J3329">
        <v>2003</v>
      </c>
      <c r="K3329" t="s">
        <v>26012</v>
      </c>
      <c r="L3329">
        <v>350</v>
      </c>
      <c r="M3329" t="s">
        <v>38079</v>
      </c>
      <c r="N3329">
        <v>1</v>
      </c>
      <c r="Q3329" t="s">
        <v>38080</v>
      </c>
      <c r="R3329" t="s">
        <v>38081</v>
      </c>
      <c r="S3329" t="s">
        <v>7771</v>
      </c>
      <c r="T3329" t="s">
        <v>30</v>
      </c>
      <c r="U3329" t="s">
        <v>46</v>
      </c>
      <c r="W3329" t="s">
        <v>26009</v>
      </c>
    </row>
    <row r="3330" spans="1:23" x14ac:dyDescent="0.35">
      <c r="A3330">
        <v>712252</v>
      </c>
      <c r="B3330" t="s">
        <v>8165</v>
      </c>
      <c r="C3330" t="str">
        <f>"9781855752689"</f>
        <v>9781855752689</v>
      </c>
      <c r="D3330" t="str">
        <f>"9781849403313"</f>
        <v>9781849403313</v>
      </c>
      <c r="E3330" t="s">
        <v>26010</v>
      </c>
      <c r="F3330" t="s">
        <v>35</v>
      </c>
      <c r="G3330" t="s">
        <v>22174</v>
      </c>
      <c r="H3330" t="s">
        <v>26011</v>
      </c>
      <c r="I3330" s="26">
        <v>37602</v>
      </c>
      <c r="J3330">
        <v>2002</v>
      </c>
      <c r="K3330" t="s">
        <v>26012</v>
      </c>
      <c r="L3330">
        <v>227</v>
      </c>
      <c r="M3330" t="s">
        <v>38082</v>
      </c>
      <c r="N3330">
        <v>1</v>
      </c>
      <c r="Q3330" t="s">
        <v>38083</v>
      </c>
      <c r="R3330">
        <v>616.89170000000001</v>
      </c>
      <c r="S3330" t="s">
        <v>7514</v>
      </c>
      <c r="T3330" t="s">
        <v>30</v>
      </c>
      <c r="U3330" t="s">
        <v>26116</v>
      </c>
      <c r="W3330" t="s">
        <v>26009</v>
      </c>
    </row>
    <row r="3331" spans="1:23" x14ac:dyDescent="0.35">
      <c r="A3331">
        <v>712254</v>
      </c>
      <c r="B3331" t="s">
        <v>10130</v>
      </c>
      <c r="C3331" t="str">
        <f>"9781855751972"</f>
        <v>9781855751972</v>
      </c>
      <c r="D3331" t="str">
        <f>"9781849403429"</f>
        <v>9781849403429</v>
      </c>
      <c r="E3331" t="s">
        <v>26010</v>
      </c>
      <c r="F3331" t="s">
        <v>35</v>
      </c>
      <c r="G3331" t="s">
        <v>22174</v>
      </c>
      <c r="H3331" t="s">
        <v>26011</v>
      </c>
      <c r="I3331" s="26">
        <v>37621</v>
      </c>
      <c r="J3331">
        <v>2002</v>
      </c>
      <c r="K3331" t="s">
        <v>26012</v>
      </c>
      <c r="L3331">
        <v>176</v>
      </c>
      <c r="M3331" t="s">
        <v>38084</v>
      </c>
      <c r="N3331">
        <v>1</v>
      </c>
      <c r="Q3331" t="s">
        <v>38085</v>
      </c>
      <c r="R3331">
        <v>612.82000000000005</v>
      </c>
      <c r="S3331" t="s">
        <v>38086</v>
      </c>
      <c r="T3331" t="s">
        <v>30</v>
      </c>
      <c r="U3331" t="s">
        <v>34278</v>
      </c>
      <c r="W3331" t="s">
        <v>26009</v>
      </c>
    </row>
    <row r="3332" spans="1:23" x14ac:dyDescent="0.35">
      <c r="A3332">
        <v>712255</v>
      </c>
      <c r="B3332" t="s">
        <v>8889</v>
      </c>
      <c r="C3332" t="str">
        <f>"9781855759114"</f>
        <v>9781855759114</v>
      </c>
      <c r="D3332" t="str">
        <f>"9781849403450"</f>
        <v>9781849403450</v>
      </c>
      <c r="E3332" t="s">
        <v>26010</v>
      </c>
      <c r="F3332" t="s">
        <v>35</v>
      </c>
      <c r="G3332" t="s">
        <v>22174</v>
      </c>
      <c r="H3332" t="s">
        <v>26011</v>
      </c>
      <c r="I3332" s="26">
        <v>37621</v>
      </c>
      <c r="J3332">
        <v>2002</v>
      </c>
      <c r="K3332" t="s">
        <v>26012</v>
      </c>
      <c r="L3332">
        <v>147</v>
      </c>
      <c r="M3332" t="s">
        <v>38087</v>
      </c>
      <c r="N3332">
        <v>1</v>
      </c>
      <c r="Q3332" t="s">
        <v>38088</v>
      </c>
      <c r="R3332">
        <v>150.19499999999999</v>
      </c>
      <c r="S3332" t="s">
        <v>38089</v>
      </c>
      <c r="T3332" t="s">
        <v>30</v>
      </c>
      <c r="U3332" t="s">
        <v>26019</v>
      </c>
      <c r="W3332" t="s">
        <v>26009</v>
      </c>
    </row>
    <row r="3333" spans="1:23" x14ac:dyDescent="0.35">
      <c r="A3333">
        <v>712256</v>
      </c>
      <c r="B3333" t="s">
        <v>38090</v>
      </c>
      <c r="C3333" t="str">
        <f>"9781855752900"</f>
        <v>9781855752900</v>
      </c>
      <c r="D3333" t="str">
        <f>"9781849403511"</f>
        <v>9781849403511</v>
      </c>
      <c r="E3333" t="s">
        <v>26010</v>
      </c>
      <c r="F3333" t="s">
        <v>35</v>
      </c>
      <c r="G3333" t="s">
        <v>22174</v>
      </c>
      <c r="H3333" t="s">
        <v>26011</v>
      </c>
      <c r="I3333" s="26">
        <v>37621</v>
      </c>
      <c r="J3333">
        <v>2002</v>
      </c>
      <c r="K3333" t="s">
        <v>26012</v>
      </c>
      <c r="L3333">
        <v>211</v>
      </c>
      <c r="M3333" t="s">
        <v>38091</v>
      </c>
      <c r="N3333">
        <v>1</v>
      </c>
      <c r="O3333" t="s">
        <v>36505</v>
      </c>
      <c r="Q3333" t="s">
        <v>38092</v>
      </c>
      <c r="R3333">
        <v>155.80000000000001</v>
      </c>
      <c r="S3333" t="s">
        <v>8374</v>
      </c>
      <c r="T3333" t="s">
        <v>30</v>
      </c>
      <c r="U3333" t="s">
        <v>26228</v>
      </c>
      <c r="W3333" t="s">
        <v>26009</v>
      </c>
    </row>
    <row r="3334" spans="1:23" x14ac:dyDescent="0.35">
      <c r="A3334">
        <v>712257</v>
      </c>
      <c r="B3334" t="s">
        <v>38093</v>
      </c>
      <c r="C3334" t="str">
        <f>"9781855752528"</f>
        <v>9781855752528</v>
      </c>
      <c r="D3334" t="str">
        <f>"9781849403528"</f>
        <v>9781849403528</v>
      </c>
      <c r="E3334" t="s">
        <v>26010</v>
      </c>
      <c r="F3334" t="s">
        <v>35</v>
      </c>
      <c r="G3334" t="s">
        <v>22174</v>
      </c>
      <c r="H3334" t="s">
        <v>26011</v>
      </c>
      <c r="I3334" s="26">
        <v>37621</v>
      </c>
      <c r="J3334">
        <v>2002</v>
      </c>
      <c r="K3334" t="s">
        <v>26012</v>
      </c>
      <c r="L3334">
        <v>307</v>
      </c>
      <c r="M3334" t="s">
        <v>38094</v>
      </c>
      <c r="N3334">
        <v>1</v>
      </c>
      <c r="Q3334" t="s">
        <v>38095</v>
      </c>
      <c r="R3334">
        <v>616.89</v>
      </c>
      <c r="S3334" t="s">
        <v>38096</v>
      </c>
      <c r="T3334" t="s">
        <v>30</v>
      </c>
      <c r="U3334" t="s">
        <v>26116</v>
      </c>
      <c r="W3334" t="s">
        <v>26009</v>
      </c>
    </row>
    <row r="3335" spans="1:23" x14ac:dyDescent="0.35">
      <c r="A3335">
        <v>712258</v>
      </c>
      <c r="B3335" t="s">
        <v>38097</v>
      </c>
      <c r="C3335" t="str">
        <f>"9781855759619"</f>
        <v>9781855759619</v>
      </c>
      <c r="D3335" t="str">
        <f>"9781849403535"</f>
        <v>9781849403535</v>
      </c>
      <c r="E3335" t="s">
        <v>26010</v>
      </c>
      <c r="F3335" t="s">
        <v>35</v>
      </c>
      <c r="G3335" t="s">
        <v>22174</v>
      </c>
      <c r="H3335" t="s">
        <v>26011</v>
      </c>
      <c r="I3335" s="26">
        <v>37621</v>
      </c>
      <c r="J3335">
        <v>2002</v>
      </c>
      <c r="K3335" t="s">
        <v>26012</v>
      </c>
      <c r="L3335">
        <v>158</v>
      </c>
      <c r="M3335" t="s">
        <v>38098</v>
      </c>
      <c r="N3335">
        <v>1</v>
      </c>
      <c r="O3335" t="s">
        <v>37564</v>
      </c>
      <c r="Q3335" t="s">
        <v>38099</v>
      </c>
      <c r="R3335">
        <v>616.89170000000001</v>
      </c>
      <c r="S3335" t="s">
        <v>8023</v>
      </c>
      <c r="T3335" t="s">
        <v>30</v>
      </c>
      <c r="U3335" t="s">
        <v>26116</v>
      </c>
      <c r="W3335" t="s">
        <v>26009</v>
      </c>
    </row>
    <row r="3336" spans="1:23" x14ac:dyDescent="0.35">
      <c r="A3336">
        <v>712260</v>
      </c>
      <c r="B3336" t="s">
        <v>38100</v>
      </c>
      <c r="C3336" t="str">
        <f>"9781855752832"</f>
        <v>9781855752832</v>
      </c>
      <c r="D3336" t="str">
        <f>"9781849403566"</f>
        <v>9781849403566</v>
      </c>
      <c r="E3336" t="s">
        <v>26010</v>
      </c>
      <c r="F3336" t="s">
        <v>35</v>
      </c>
      <c r="G3336" t="s">
        <v>26128</v>
      </c>
      <c r="H3336" t="s">
        <v>26011</v>
      </c>
      <c r="I3336" s="26">
        <v>37621</v>
      </c>
      <c r="J3336">
        <v>2002</v>
      </c>
      <c r="K3336" t="s">
        <v>26012</v>
      </c>
      <c r="L3336">
        <v>348</v>
      </c>
      <c r="M3336" t="s">
        <v>38101</v>
      </c>
      <c r="N3336">
        <v>1</v>
      </c>
      <c r="O3336" t="s">
        <v>36500</v>
      </c>
      <c r="S3336" t="s">
        <v>38102</v>
      </c>
      <c r="T3336" t="s">
        <v>30</v>
      </c>
      <c r="U3336" t="s">
        <v>46</v>
      </c>
      <c r="W3336" t="s">
        <v>26009</v>
      </c>
    </row>
    <row r="3337" spans="1:23" x14ac:dyDescent="0.35">
      <c r="A3337">
        <v>712262</v>
      </c>
      <c r="B3337" t="s">
        <v>38103</v>
      </c>
      <c r="C3337" t="str">
        <f>"9781855752474"</f>
        <v>9781855752474</v>
      </c>
      <c r="D3337" t="str">
        <f>"9781849403061"</f>
        <v>9781849403061</v>
      </c>
      <c r="E3337" t="s">
        <v>26010</v>
      </c>
      <c r="F3337" t="s">
        <v>35</v>
      </c>
      <c r="G3337" t="s">
        <v>22174</v>
      </c>
      <c r="H3337" t="s">
        <v>26011</v>
      </c>
      <c r="I3337" s="26">
        <v>37256</v>
      </c>
      <c r="J3337">
        <v>2001</v>
      </c>
      <c r="K3337" t="s">
        <v>26012</v>
      </c>
      <c r="L3337">
        <v>191</v>
      </c>
      <c r="M3337" t="s">
        <v>38104</v>
      </c>
      <c r="N3337">
        <v>1</v>
      </c>
      <c r="Q3337" t="s">
        <v>38105</v>
      </c>
      <c r="R3337">
        <v>150.19499999999999</v>
      </c>
      <c r="S3337" t="s">
        <v>7514</v>
      </c>
      <c r="T3337" t="s">
        <v>30</v>
      </c>
      <c r="U3337" t="s">
        <v>26019</v>
      </c>
      <c r="W3337" t="s">
        <v>26009</v>
      </c>
    </row>
    <row r="3338" spans="1:23" x14ac:dyDescent="0.35">
      <c r="A3338">
        <v>712263</v>
      </c>
      <c r="B3338" t="s">
        <v>10091</v>
      </c>
      <c r="C3338" t="str">
        <f>"9781855752269"</f>
        <v>9781855752269</v>
      </c>
      <c r="D3338" t="str">
        <f>"9781849403078"</f>
        <v>9781849403078</v>
      </c>
      <c r="E3338" t="s">
        <v>26010</v>
      </c>
      <c r="F3338" t="s">
        <v>35</v>
      </c>
      <c r="G3338" t="s">
        <v>26128</v>
      </c>
      <c r="H3338" t="s">
        <v>26011</v>
      </c>
      <c r="I3338" s="26">
        <v>37256</v>
      </c>
      <c r="J3338">
        <v>2001</v>
      </c>
      <c r="K3338" t="s">
        <v>26012</v>
      </c>
      <c r="L3338">
        <v>281</v>
      </c>
      <c r="M3338" t="s">
        <v>38106</v>
      </c>
      <c r="N3338">
        <v>1</v>
      </c>
      <c r="O3338" t="s">
        <v>38107</v>
      </c>
      <c r="R3338">
        <v>158.69999999999999</v>
      </c>
      <c r="S3338" t="s">
        <v>38108</v>
      </c>
      <c r="T3338" t="s">
        <v>30</v>
      </c>
      <c r="U3338" t="s">
        <v>46</v>
      </c>
      <c r="W3338" t="s">
        <v>26009</v>
      </c>
    </row>
    <row r="3339" spans="1:23" x14ac:dyDescent="0.35">
      <c r="A3339">
        <v>712264</v>
      </c>
      <c r="B3339" t="s">
        <v>38109</v>
      </c>
      <c r="C3339" t="str">
        <f>"9781855752771"</f>
        <v>9781855752771</v>
      </c>
      <c r="D3339" t="str">
        <f>"9781849403085"</f>
        <v>9781849403085</v>
      </c>
      <c r="E3339" t="s">
        <v>26010</v>
      </c>
      <c r="F3339" t="s">
        <v>35</v>
      </c>
      <c r="G3339" t="s">
        <v>22174</v>
      </c>
      <c r="H3339" t="s">
        <v>26011</v>
      </c>
      <c r="I3339" s="26">
        <v>37256</v>
      </c>
      <c r="J3339">
        <v>2001</v>
      </c>
      <c r="K3339" t="s">
        <v>26012</v>
      </c>
      <c r="L3339">
        <v>153</v>
      </c>
      <c r="M3339" t="s">
        <v>38110</v>
      </c>
      <c r="N3339">
        <v>1</v>
      </c>
      <c r="O3339" t="s">
        <v>36505</v>
      </c>
      <c r="Q3339" t="s">
        <v>38111</v>
      </c>
      <c r="R3339">
        <v>616.89156000000003</v>
      </c>
      <c r="S3339" t="s">
        <v>38112</v>
      </c>
      <c r="T3339" t="s">
        <v>30</v>
      </c>
      <c r="U3339" t="s">
        <v>26019</v>
      </c>
      <c r="W3339" t="s">
        <v>26009</v>
      </c>
    </row>
    <row r="3340" spans="1:23" x14ac:dyDescent="0.35">
      <c r="A3340">
        <v>712265</v>
      </c>
      <c r="B3340" t="s">
        <v>38113</v>
      </c>
      <c r="C3340" t="str">
        <f>"9781855752641"</f>
        <v>9781855752641</v>
      </c>
      <c r="D3340" t="str">
        <f>"9781849403122"</f>
        <v>9781849403122</v>
      </c>
      <c r="E3340" t="s">
        <v>26010</v>
      </c>
      <c r="F3340" t="s">
        <v>35</v>
      </c>
      <c r="G3340" t="s">
        <v>22174</v>
      </c>
      <c r="H3340" t="s">
        <v>26011</v>
      </c>
      <c r="I3340" s="26">
        <v>37256</v>
      </c>
      <c r="J3340">
        <v>2001</v>
      </c>
      <c r="K3340" t="s">
        <v>26012</v>
      </c>
      <c r="L3340">
        <v>263</v>
      </c>
      <c r="M3340" t="s">
        <v>38114</v>
      </c>
      <c r="N3340">
        <v>1</v>
      </c>
      <c r="Q3340" t="s">
        <v>38115</v>
      </c>
      <c r="R3340">
        <v>616.89170000000001</v>
      </c>
      <c r="S3340" t="s">
        <v>38116</v>
      </c>
      <c r="T3340" t="s">
        <v>30</v>
      </c>
      <c r="U3340" t="s">
        <v>26019</v>
      </c>
      <c r="W3340" t="s">
        <v>26009</v>
      </c>
    </row>
    <row r="3341" spans="1:23" x14ac:dyDescent="0.35">
      <c r="A3341">
        <v>712266</v>
      </c>
      <c r="B3341" t="s">
        <v>8081</v>
      </c>
      <c r="C3341" t="str">
        <f>"9781855752566"</f>
        <v>9781855752566</v>
      </c>
      <c r="D3341" t="str">
        <f>"9781849403139"</f>
        <v>9781849403139</v>
      </c>
      <c r="E3341" t="s">
        <v>26010</v>
      </c>
      <c r="F3341" t="s">
        <v>35</v>
      </c>
      <c r="G3341" t="s">
        <v>22174</v>
      </c>
      <c r="H3341" t="s">
        <v>26011</v>
      </c>
      <c r="I3341" s="26">
        <v>37256</v>
      </c>
      <c r="J3341">
        <v>2001</v>
      </c>
      <c r="K3341" t="s">
        <v>26012</v>
      </c>
      <c r="L3341">
        <v>203</v>
      </c>
      <c r="M3341" t="s">
        <v>36559</v>
      </c>
      <c r="N3341">
        <v>1</v>
      </c>
      <c r="Q3341" t="s">
        <v>38117</v>
      </c>
      <c r="R3341">
        <v>616.89139999999998</v>
      </c>
      <c r="S3341" t="s">
        <v>38118</v>
      </c>
      <c r="T3341" t="s">
        <v>30</v>
      </c>
      <c r="U3341" t="s">
        <v>26019</v>
      </c>
      <c r="W3341" t="s">
        <v>26009</v>
      </c>
    </row>
    <row r="3342" spans="1:23" x14ac:dyDescent="0.35">
      <c r="A3342">
        <v>712268</v>
      </c>
      <c r="B3342" t="s">
        <v>38119</v>
      </c>
      <c r="C3342" t="str">
        <f>"9781855752665"</f>
        <v>9781855752665</v>
      </c>
      <c r="D3342" t="str">
        <f>"9781849403153"</f>
        <v>9781849403153</v>
      </c>
      <c r="E3342" t="s">
        <v>26010</v>
      </c>
      <c r="F3342" t="s">
        <v>35</v>
      </c>
      <c r="G3342" t="s">
        <v>22174</v>
      </c>
      <c r="H3342" t="s">
        <v>26011</v>
      </c>
      <c r="I3342" s="26">
        <v>37256</v>
      </c>
      <c r="J3342">
        <v>2001</v>
      </c>
      <c r="K3342" t="s">
        <v>26012</v>
      </c>
      <c r="L3342">
        <v>201</v>
      </c>
      <c r="M3342" t="s">
        <v>38120</v>
      </c>
      <c r="N3342">
        <v>1</v>
      </c>
      <c r="O3342" t="s">
        <v>36577</v>
      </c>
      <c r="Q3342" t="s">
        <v>38121</v>
      </c>
      <c r="R3342">
        <v>616.89139999999998</v>
      </c>
      <c r="S3342" t="s">
        <v>36881</v>
      </c>
      <c r="T3342" t="s">
        <v>30</v>
      </c>
      <c r="U3342" t="s">
        <v>26019</v>
      </c>
      <c r="W3342" t="s">
        <v>26009</v>
      </c>
    </row>
    <row r="3343" spans="1:23" x14ac:dyDescent="0.35">
      <c r="A3343">
        <v>712269</v>
      </c>
      <c r="B3343" t="s">
        <v>9540</v>
      </c>
      <c r="C3343" t="str">
        <f>"9781855752757"</f>
        <v>9781855752757</v>
      </c>
      <c r="D3343" t="str">
        <f>"9781849403160"</f>
        <v>9781849403160</v>
      </c>
      <c r="E3343" t="s">
        <v>26010</v>
      </c>
      <c r="F3343" t="s">
        <v>35</v>
      </c>
      <c r="G3343" t="s">
        <v>22174</v>
      </c>
      <c r="H3343" t="s">
        <v>26011</v>
      </c>
      <c r="I3343" s="26">
        <v>37256</v>
      </c>
      <c r="J3343">
        <v>2001</v>
      </c>
      <c r="K3343" t="s">
        <v>26012</v>
      </c>
      <c r="L3343">
        <v>246</v>
      </c>
      <c r="M3343" t="s">
        <v>38122</v>
      </c>
      <c r="N3343">
        <v>1</v>
      </c>
      <c r="O3343" t="s">
        <v>37564</v>
      </c>
      <c r="Q3343" t="s">
        <v>38123</v>
      </c>
      <c r="R3343">
        <v>150.19499999999999</v>
      </c>
      <c r="S3343" t="s">
        <v>9541</v>
      </c>
      <c r="T3343" t="s">
        <v>30</v>
      </c>
      <c r="U3343" t="s">
        <v>29153</v>
      </c>
      <c r="W3343" t="s">
        <v>26009</v>
      </c>
    </row>
    <row r="3344" spans="1:23" x14ac:dyDescent="0.35">
      <c r="A3344">
        <v>712270</v>
      </c>
      <c r="B3344" t="s">
        <v>38124</v>
      </c>
      <c r="C3344" t="str">
        <f>"9781855752764"</f>
        <v>9781855752764</v>
      </c>
      <c r="D3344" t="str">
        <f>"9781849403177"</f>
        <v>9781849403177</v>
      </c>
      <c r="E3344" t="s">
        <v>26010</v>
      </c>
      <c r="F3344" t="s">
        <v>35</v>
      </c>
      <c r="G3344" t="s">
        <v>22174</v>
      </c>
      <c r="H3344" t="s">
        <v>26011</v>
      </c>
      <c r="I3344" s="26">
        <v>37256</v>
      </c>
      <c r="J3344">
        <v>2001</v>
      </c>
      <c r="K3344" t="s">
        <v>26012</v>
      </c>
      <c r="L3344">
        <v>185</v>
      </c>
      <c r="M3344" t="s">
        <v>38125</v>
      </c>
      <c r="N3344">
        <v>1</v>
      </c>
      <c r="Q3344" t="s">
        <v>38126</v>
      </c>
      <c r="R3344">
        <v>616.89156000000003</v>
      </c>
      <c r="S3344" t="s">
        <v>7726</v>
      </c>
      <c r="T3344" t="s">
        <v>30</v>
      </c>
      <c r="U3344" t="s">
        <v>26019</v>
      </c>
      <c r="W3344" t="s">
        <v>26009</v>
      </c>
    </row>
    <row r="3345" spans="1:23" x14ac:dyDescent="0.35">
      <c r="A3345">
        <v>712271</v>
      </c>
      <c r="B3345" t="s">
        <v>38127</v>
      </c>
      <c r="C3345" t="str">
        <f>"9781855752818"</f>
        <v>9781855752818</v>
      </c>
      <c r="D3345" t="str">
        <f>"9781849403184"</f>
        <v>9781849403184</v>
      </c>
      <c r="E3345" t="s">
        <v>26010</v>
      </c>
      <c r="F3345" t="s">
        <v>35</v>
      </c>
      <c r="G3345" t="s">
        <v>22174</v>
      </c>
      <c r="H3345" t="s">
        <v>26011</v>
      </c>
      <c r="I3345" s="26">
        <v>37256</v>
      </c>
      <c r="J3345">
        <v>2001</v>
      </c>
      <c r="K3345" t="s">
        <v>26012</v>
      </c>
      <c r="L3345">
        <v>185</v>
      </c>
      <c r="M3345" t="s">
        <v>38128</v>
      </c>
      <c r="N3345">
        <v>1</v>
      </c>
      <c r="Q3345" t="s">
        <v>38129</v>
      </c>
      <c r="R3345">
        <v>150</v>
      </c>
      <c r="S3345" t="s">
        <v>38130</v>
      </c>
      <c r="T3345" t="s">
        <v>30</v>
      </c>
      <c r="U3345" t="s">
        <v>26019</v>
      </c>
      <c r="W3345" t="s">
        <v>26009</v>
      </c>
    </row>
    <row r="3346" spans="1:23" x14ac:dyDescent="0.35">
      <c r="A3346">
        <v>712272</v>
      </c>
      <c r="B3346" t="s">
        <v>38131</v>
      </c>
      <c r="C3346" t="str">
        <f>"9781855752672"</f>
        <v>9781855752672</v>
      </c>
      <c r="D3346" t="str">
        <f>"9781849403191"</f>
        <v>9781849403191</v>
      </c>
      <c r="E3346" t="s">
        <v>26010</v>
      </c>
      <c r="F3346" t="s">
        <v>35</v>
      </c>
      <c r="G3346" t="s">
        <v>22174</v>
      </c>
      <c r="H3346" t="s">
        <v>26011</v>
      </c>
      <c r="I3346" s="26">
        <v>37256</v>
      </c>
      <c r="J3346">
        <v>2001</v>
      </c>
      <c r="K3346" t="s">
        <v>26012</v>
      </c>
      <c r="L3346">
        <v>403</v>
      </c>
      <c r="M3346" t="s">
        <v>38132</v>
      </c>
      <c r="N3346">
        <v>1</v>
      </c>
      <c r="Q3346" t="s">
        <v>38133</v>
      </c>
      <c r="R3346">
        <v>616.89139999999998</v>
      </c>
      <c r="S3346" t="s">
        <v>38134</v>
      </c>
      <c r="T3346" t="s">
        <v>30</v>
      </c>
      <c r="U3346" t="s">
        <v>26116</v>
      </c>
      <c r="W3346" t="s">
        <v>26009</v>
      </c>
    </row>
    <row r="3347" spans="1:23" x14ac:dyDescent="0.35">
      <c r="A3347">
        <v>712273</v>
      </c>
      <c r="B3347" t="s">
        <v>38135</v>
      </c>
      <c r="C3347" t="str">
        <f>"9781855752375"</f>
        <v>9781855752375</v>
      </c>
      <c r="D3347" t="str">
        <f>"9780429913853"</f>
        <v>9780429913853</v>
      </c>
      <c r="E3347" t="s">
        <v>26010</v>
      </c>
      <c r="F3347" t="s">
        <v>35</v>
      </c>
      <c r="G3347" t="s">
        <v>22174</v>
      </c>
      <c r="H3347" t="s">
        <v>26011</v>
      </c>
      <c r="I3347" s="26">
        <v>37256</v>
      </c>
      <c r="J3347">
        <v>2001</v>
      </c>
      <c r="K3347" t="s">
        <v>26012</v>
      </c>
      <c r="L3347">
        <v>178</v>
      </c>
      <c r="M3347" t="s">
        <v>38136</v>
      </c>
      <c r="N3347">
        <v>1</v>
      </c>
      <c r="O3347" t="s">
        <v>37022</v>
      </c>
      <c r="Q3347" t="s">
        <v>38137</v>
      </c>
      <c r="R3347">
        <v>616.89139999999998</v>
      </c>
      <c r="S3347" t="s">
        <v>38138</v>
      </c>
      <c r="T3347" t="s">
        <v>30</v>
      </c>
      <c r="U3347" t="s">
        <v>26391</v>
      </c>
      <c r="W3347" t="s">
        <v>26009</v>
      </c>
    </row>
    <row r="3348" spans="1:23" x14ac:dyDescent="0.35">
      <c r="A3348">
        <v>712274</v>
      </c>
      <c r="B3348" t="s">
        <v>8065</v>
      </c>
      <c r="C3348" t="str">
        <f>"9781855752788"</f>
        <v>9781855752788</v>
      </c>
      <c r="D3348" t="str">
        <f>"9781849403214"</f>
        <v>9781849403214</v>
      </c>
      <c r="E3348" t="s">
        <v>26010</v>
      </c>
      <c r="F3348" t="s">
        <v>35</v>
      </c>
      <c r="G3348" t="s">
        <v>22174</v>
      </c>
      <c r="H3348" t="s">
        <v>26011</v>
      </c>
      <c r="I3348" s="26">
        <v>37256</v>
      </c>
      <c r="J3348">
        <v>2001</v>
      </c>
      <c r="K3348" t="s">
        <v>26012</v>
      </c>
      <c r="L3348">
        <v>155</v>
      </c>
      <c r="M3348" t="s">
        <v>38139</v>
      </c>
      <c r="N3348">
        <v>1</v>
      </c>
      <c r="O3348" t="s">
        <v>36505</v>
      </c>
      <c r="Q3348" t="s">
        <v>38140</v>
      </c>
      <c r="R3348" t="s">
        <v>37945</v>
      </c>
      <c r="S3348" t="s">
        <v>8066</v>
      </c>
      <c r="T3348" t="s">
        <v>30</v>
      </c>
      <c r="U3348" t="s">
        <v>26019</v>
      </c>
      <c r="W3348" t="s">
        <v>26009</v>
      </c>
    </row>
    <row r="3349" spans="1:23" x14ac:dyDescent="0.35">
      <c r="A3349">
        <v>712275</v>
      </c>
      <c r="B3349" t="s">
        <v>38141</v>
      </c>
      <c r="C3349" t="str">
        <f>"9781855752627"</f>
        <v>9781855752627</v>
      </c>
      <c r="D3349" t="str">
        <f>"9781849403238"</f>
        <v>9781849403238</v>
      </c>
      <c r="E3349" t="s">
        <v>26010</v>
      </c>
      <c r="F3349" t="s">
        <v>35</v>
      </c>
      <c r="G3349" t="s">
        <v>22174</v>
      </c>
      <c r="H3349" t="s">
        <v>26011</v>
      </c>
      <c r="I3349" s="26">
        <v>37256</v>
      </c>
      <c r="J3349">
        <v>2001</v>
      </c>
      <c r="K3349" t="s">
        <v>26012</v>
      </c>
      <c r="L3349">
        <v>275</v>
      </c>
      <c r="M3349" t="s">
        <v>38142</v>
      </c>
      <c r="N3349">
        <v>1</v>
      </c>
      <c r="Q3349" t="s">
        <v>38143</v>
      </c>
      <c r="R3349" t="s">
        <v>34083</v>
      </c>
      <c r="S3349" t="s">
        <v>7514</v>
      </c>
      <c r="T3349" t="s">
        <v>30</v>
      </c>
      <c r="U3349" t="s">
        <v>26019</v>
      </c>
      <c r="W3349" t="s">
        <v>26009</v>
      </c>
    </row>
    <row r="3350" spans="1:23" x14ac:dyDescent="0.35">
      <c r="A3350">
        <v>712277</v>
      </c>
      <c r="B3350" t="s">
        <v>38144</v>
      </c>
      <c r="C3350" t="str">
        <f>"9781855752498"</f>
        <v>9781855752498</v>
      </c>
      <c r="D3350" t="str">
        <f>"9781849403252"</f>
        <v>9781849403252</v>
      </c>
      <c r="E3350" t="s">
        <v>26010</v>
      </c>
      <c r="F3350" t="s">
        <v>35</v>
      </c>
      <c r="G3350" t="s">
        <v>22174</v>
      </c>
      <c r="H3350" t="s">
        <v>26011</v>
      </c>
      <c r="I3350" s="26">
        <v>37256</v>
      </c>
      <c r="J3350">
        <v>2001</v>
      </c>
      <c r="K3350" t="s">
        <v>26012</v>
      </c>
      <c r="L3350">
        <v>144</v>
      </c>
      <c r="M3350" t="s">
        <v>38145</v>
      </c>
      <c r="N3350">
        <v>1</v>
      </c>
      <c r="Q3350" t="s">
        <v>38146</v>
      </c>
      <c r="R3350">
        <v>150.19499999999999</v>
      </c>
      <c r="S3350" t="s">
        <v>7514</v>
      </c>
      <c r="T3350" t="s">
        <v>30</v>
      </c>
      <c r="U3350" t="s">
        <v>26116</v>
      </c>
      <c r="W3350" t="s">
        <v>26009</v>
      </c>
    </row>
    <row r="3351" spans="1:23" x14ac:dyDescent="0.35">
      <c r="A3351">
        <v>712278</v>
      </c>
      <c r="B3351" t="s">
        <v>38147</v>
      </c>
      <c r="C3351" t="str">
        <f>"9781855752191"</f>
        <v>9781855752191</v>
      </c>
      <c r="D3351" t="str">
        <f>"9781849403269"</f>
        <v>9781849403269</v>
      </c>
      <c r="E3351" t="s">
        <v>26010</v>
      </c>
      <c r="F3351" t="s">
        <v>35</v>
      </c>
      <c r="G3351" t="s">
        <v>22174</v>
      </c>
      <c r="H3351" t="s">
        <v>26011</v>
      </c>
      <c r="I3351" s="26">
        <v>37256</v>
      </c>
      <c r="J3351">
        <v>2001</v>
      </c>
      <c r="K3351" t="s">
        <v>26012</v>
      </c>
      <c r="L3351">
        <v>145</v>
      </c>
      <c r="M3351" t="s">
        <v>38148</v>
      </c>
      <c r="N3351">
        <v>1</v>
      </c>
      <c r="O3351" t="s">
        <v>37022</v>
      </c>
      <c r="Q3351" t="s">
        <v>38149</v>
      </c>
      <c r="R3351">
        <v>150.19499999999999</v>
      </c>
      <c r="S3351" t="s">
        <v>7648</v>
      </c>
      <c r="T3351" t="s">
        <v>30</v>
      </c>
      <c r="U3351" t="s">
        <v>26019</v>
      </c>
      <c r="W3351" t="s">
        <v>26009</v>
      </c>
    </row>
    <row r="3352" spans="1:23" x14ac:dyDescent="0.35">
      <c r="A3352">
        <v>712279</v>
      </c>
      <c r="B3352" t="s">
        <v>38150</v>
      </c>
      <c r="C3352" t="str">
        <f>"9781855759039"</f>
        <v>9781855759039</v>
      </c>
      <c r="D3352" t="str">
        <f>"9781849402828"</f>
        <v>9781849402828</v>
      </c>
      <c r="E3352" t="s">
        <v>26010</v>
      </c>
      <c r="F3352" t="s">
        <v>35</v>
      </c>
      <c r="G3352" t="s">
        <v>22174</v>
      </c>
      <c r="H3352" t="s">
        <v>26011</v>
      </c>
      <c r="I3352" s="26">
        <v>36891</v>
      </c>
      <c r="J3352">
        <v>2000</v>
      </c>
      <c r="K3352" t="s">
        <v>26012</v>
      </c>
      <c r="L3352">
        <v>249</v>
      </c>
      <c r="M3352" t="s">
        <v>38151</v>
      </c>
      <c r="N3352">
        <v>1</v>
      </c>
      <c r="O3352" t="s">
        <v>38152</v>
      </c>
      <c r="Q3352" t="s">
        <v>38153</v>
      </c>
      <c r="R3352">
        <v>150.19499999999999</v>
      </c>
      <c r="S3352" t="s">
        <v>38154</v>
      </c>
      <c r="T3352" t="s">
        <v>30</v>
      </c>
      <c r="U3352" t="s">
        <v>26116</v>
      </c>
      <c r="W3352" t="s">
        <v>26009</v>
      </c>
    </row>
    <row r="3353" spans="1:23" x14ac:dyDescent="0.35">
      <c r="A3353">
        <v>712280</v>
      </c>
      <c r="B3353" t="s">
        <v>7557</v>
      </c>
      <c r="C3353" t="str">
        <f>"9781855752535"</f>
        <v>9781855752535</v>
      </c>
      <c r="D3353" t="str">
        <f>"9781849402835"</f>
        <v>9781849402835</v>
      </c>
      <c r="E3353" t="s">
        <v>26010</v>
      </c>
      <c r="F3353" t="s">
        <v>35</v>
      </c>
      <c r="G3353" t="s">
        <v>22174</v>
      </c>
      <c r="H3353" t="s">
        <v>26011</v>
      </c>
      <c r="I3353" s="26">
        <v>36891</v>
      </c>
      <c r="J3353">
        <v>2000</v>
      </c>
      <c r="K3353" t="s">
        <v>26012</v>
      </c>
      <c r="L3353">
        <v>177</v>
      </c>
      <c r="M3353" t="s">
        <v>38155</v>
      </c>
      <c r="N3353">
        <v>1</v>
      </c>
      <c r="O3353" t="s">
        <v>37304</v>
      </c>
      <c r="Q3353" t="s">
        <v>38156</v>
      </c>
      <c r="R3353">
        <v>153.35</v>
      </c>
      <c r="S3353" t="s">
        <v>7558</v>
      </c>
      <c r="T3353" t="s">
        <v>30</v>
      </c>
      <c r="U3353" t="s">
        <v>36091</v>
      </c>
      <c r="W3353" t="s">
        <v>26009</v>
      </c>
    </row>
    <row r="3354" spans="1:23" x14ac:dyDescent="0.35">
      <c r="A3354">
        <v>712281</v>
      </c>
      <c r="B3354" t="s">
        <v>9909</v>
      </c>
      <c r="C3354" t="str">
        <f>"9781855752450"</f>
        <v>9781855752450</v>
      </c>
      <c r="D3354" t="str">
        <f>"9781849402842"</f>
        <v>9781849402842</v>
      </c>
      <c r="E3354" t="s">
        <v>26010</v>
      </c>
      <c r="F3354" t="s">
        <v>35</v>
      </c>
      <c r="G3354" t="s">
        <v>22174</v>
      </c>
      <c r="H3354" t="s">
        <v>26011</v>
      </c>
      <c r="I3354" s="26">
        <v>36891</v>
      </c>
      <c r="J3354">
        <v>2000</v>
      </c>
      <c r="K3354" t="s">
        <v>26012</v>
      </c>
      <c r="L3354">
        <v>129</v>
      </c>
      <c r="M3354" t="s">
        <v>38157</v>
      </c>
      <c r="N3354">
        <v>1</v>
      </c>
      <c r="O3354" t="s">
        <v>37018</v>
      </c>
      <c r="Q3354" t="s">
        <v>38158</v>
      </c>
      <c r="R3354">
        <v>658.3</v>
      </c>
      <c r="S3354" t="s">
        <v>9910</v>
      </c>
      <c r="T3354" t="s">
        <v>30</v>
      </c>
      <c r="U3354" t="s">
        <v>27817</v>
      </c>
      <c r="W3354" t="s">
        <v>26009</v>
      </c>
    </row>
    <row r="3355" spans="1:23" x14ac:dyDescent="0.35">
      <c r="A3355">
        <v>712282</v>
      </c>
      <c r="B3355" t="s">
        <v>38159</v>
      </c>
      <c r="C3355" t="str">
        <f>"9781855752405"</f>
        <v>9781855752405</v>
      </c>
      <c r="D3355" t="str">
        <f>"9781849402859"</f>
        <v>9781849402859</v>
      </c>
      <c r="E3355" t="s">
        <v>26010</v>
      </c>
      <c r="F3355" t="s">
        <v>35</v>
      </c>
      <c r="G3355" t="s">
        <v>22174</v>
      </c>
      <c r="H3355" t="s">
        <v>26011</v>
      </c>
      <c r="I3355" s="26">
        <v>36891</v>
      </c>
      <c r="J3355">
        <v>2000</v>
      </c>
      <c r="K3355" t="s">
        <v>26012</v>
      </c>
      <c r="L3355">
        <v>254</v>
      </c>
      <c r="M3355" t="s">
        <v>38160</v>
      </c>
      <c r="N3355">
        <v>1</v>
      </c>
      <c r="Q3355" t="s">
        <v>38161</v>
      </c>
      <c r="R3355">
        <v>150.19499999999999</v>
      </c>
      <c r="S3355" t="s">
        <v>38162</v>
      </c>
      <c r="T3355" t="s">
        <v>30</v>
      </c>
      <c r="U3355" t="s">
        <v>26019</v>
      </c>
      <c r="W3355" t="s">
        <v>26009</v>
      </c>
    </row>
    <row r="3356" spans="1:23" x14ac:dyDescent="0.35">
      <c r="A3356">
        <v>712285</v>
      </c>
      <c r="B3356" t="s">
        <v>9989</v>
      </c>
      <c r="C3356" t="str">
        <f>"9781855752214"</f>
        <v>9781855752214</v>
      </c>
      <c r="D3356" t="str">
        <f>"9780429919664"</f>
        <v>9780429919664</v>
      </c>
      <c r="E3356" t="s">
        <v>26010</v>
      </c>
      <c r="F3356" t="s">
        <v>35</v>
      </c>
      <c r="G3356" t="s">
        <v>22174</v>
      </c>
      <c r="H3356" t="s">
        <v>26011</v>
      </c>
      <c r="I3356" s="26">
        <v>36891</v>
      </c>
      <c r="J3356">
        <v>2000</v>
      </c>
      <c r="K3356" t="s">
        <v>26012</v>
      </c>
      <c r="L3356">
        <v>155</v>
      </c>
      <c r="M3356" t="s">
        <v>38163</v>
      </c>
      <c r="N3356">
        <v>1</v>
      </c>
      <c r="O3356" t="s">
        <v>36505</v>
      </c>
      <c r="Q3356" t="s">
        <v>38164</v>
      </c>
      <c r="R3356" t="s">
        <v>38165</v>
      </c>
      <c r="S3356" t="s">
        <v>9990</v>
      </c>
      <c r="T3356" t="s">
        <v>30</v>
      </c>
      <c r="U3356" t="s">
        <v>26116</v>
      </c>
      <c r="W3356" t="s">
        <v>26009</v>
      </c>
    </row>
    <row r="3357" spans="1:23" x14ac:dyDescent="0.35">
      <c r="A3357">
        <v>712286</v>
      </c>
      <c r="B3357" t="s">
        <v>38166</v>
      </c>
      <c r="C3357" t="str">
        <f>"9781855752245"</f>
        <v>9781855752245</v>
      </c>
      <c r="D3357" t="str">
        <f>"9781849402927"</f>
        <v>9781849402927</v>
      </c>
      <c r="E3357" t="s">
        <v>26010</v>
      </c>
      <c r="F3357" t="s">
        <v>35</v>
      </c>
      <c r="G3357" t="s">
        <v>22174</v>
      </c>
      <c r="H3357" t="s">
        <v>26011</v>
      </c>
      <c r="I3357" s="26">
        <v>36891</v>
      </c>
      <c r="J3357">
        <v>2000</v>
      </c>
      <c r="K3357" t="s">
        <v>26012</v>
      </c>
      <c r="L3357">
        <v>281</v>
      </c>
      <c r="M3357" t="s">
        <v>37406</v>
      </c>
      <c r="N3357">
        <v>1</v>
      </c>
      <c r="Q3357" t="s">
        <v>38167</v>
      </c>
      <c r="R3357">
        <v>302.3</v>
      </c>
      <c r="S3357" t="s">
        <v>8735</v>
      </c>
      <c r="T3357" t="s">
        <v>30</v>
      </c>
      <c r="U3357" t="s">
        <v>26044</v>
      </c>
      <c r="W3357" t="s">
        <v>26009</v>
      </c>
    </row>
    <row r="3358" spans="1:23" x14ac:dyDescent="0.35">
      <c r="A3358">
        <v>712287</v>
      </c>
      <c r="B3358" t="s">
        <v>8413</v>
      </c>
      <c r="C3358" t="str">
        <f>"9781855750975"</f>
        <v>9781855750975</v>
      </c>
      <c r="D3358" t="str">
        <f>"9780429913693"</f>
        <v>9780429913693</v>
      </c>
      <c r="E3358" t="s">
        <v>26010</v>
      </c>
      <c r="F3358" t="s">
        <v>35</v>
      </c>
      <c r="G3358" t="s">
        <v>22174</v>
      </c>
      <c r="H3358" t="s">
        <v>26011</v>
      </c>
      <c r="I3358" s="26">
        <v>36525</v>
      </c>
      <c r="J3358">
        <v>1999</v>
      </c>
      <c r="K3358" t="s">
        <v>26012</v>
      </c>
      <c r="L3358">
        <v>207</v>
      </c>
      <c r="M3358" t="s">
        <v>38168</v>
      </c>
      <c r="N3358">
        <v>1</v>
      </c>
      <c r="O3358" t="s">
        <v>37479</v>
      </c>
      <c r="Q3358" t="s">
        <v>38169</v>
      </c>
      <c r="R3358">
        <v>305.39999999999998</v>
      </c>
      <c r="S3358" t="s">
        <v>38170</v>
      </c>
      <c r="T3358" t="s">
        <v>30</v>
      </c>
      <c r="U3358" t="s">
        <v>26044</v>
      </c>
      <c r="W3358" t="s">
        <v>26009</v>
      </c>
    </row>
    <row r="3359" spans="1:23" x14ac:dyDescent="0.35">
      <c r="A3359">
        <v>712288</v>
      </c>
      <c r="B3359" t="s">
        <v>9556</v>
      </c>
      <c r="C3359" t="str">
        <f>"9781855752146"</f>
        <v>9781855752146</v>
      </c>
      <c r="D3359" t="str">
        <f>"9781849402651"</f>
        <v>9781849402651</v>
      </c>
      <c r="E3359" t="s">
        <v>26010</v>
      </c>
      <c r="F3359" t="s">
        <v>35</v>
      </c>
      <c r="G3359" t="s">
        <v>22174</v>
      </c>
      <c r="H3359" t="s">
        <v>26011</v>
      </c>
      <c r="I3359" s="26">
        <v>36525</v>
      </c>
      <c r="J3359">
        <v>1999</v>
      </c>
      <c r="K3359" t="s">
        <v>26012</v>
      </c>
      <c r="L3359">
        <v>214</v>
      </c>
      <c r="M3359" t="s">
        <v>38171</v>
      </c>
      <c r="N3359">
        <v>1</v>
      </c>
      <c r="O3359" t="s">
        <v>36577</v>
      </c>
      <c r="Q3359" t="s">
        <v>38172</v>
      </c>
      <c r="R3359">
        <v>616.89008349999995</v>
      </c>
      <c r="S3359" t="s">
        <v>37226</v>
      </c>
      <c r="T3359" t="s">
        <v>30</v>
      </c>
      <c r="U3359" t="s">
        <v>26116</v>
      </c>
      <c r="W3359" t="s">
        <v>26009</v>
      </c>
    </row>
    <row r="3360" spans="1:23" x14ac:dyDescent="0.35">
      <c r="A3360">
        <v>712289</v>
      </c>
      <c r="B3360" t="s">
        <v>10078</v>
      </c>
      <c r="C3360" t="str">
        <f>"9781855752122"</f>
        <v>9781855752122</v>
      </c>
      <c r="D3360" t="str">
        <f>"9781849402675"</f>
        <v>9781849402675</v>
      </c>
      <c r="E3360" t="s">
        <v>26010</v>
      </c>
      <c r="F3360" t="s">
        <v>35</v>
      </c>
      <c r="G3360" t="s">
        <v>22174</v>
      </c>
      <c r="H3360" t="s">
        <v>26011</v>
      </c>
      <c r="I3360" s="26">
        <v>36525</v>
      </c>
      <c r="J3360">
        <v>1999</v>
      </c>
      <c r="K3360" t="s">
        <v>26012</v>
      </c>
      <c r="L3360">
        <v>257</v>
      </c>
      <c r="M3360" t="s">
        <v>36559</v>
      </c>
      <c r="N3360">
        <v>1</v>
      </c>
      <c r="Q3360">
        <v>500814</v>
      </c>
      <c r="R3360">
        <v>616.89170000000001</v>
      </c>
      <c r="S3360" t="s">
        <v>7661</v>
      </c>
      <c r="T3360" t="s">
        <v>30</v>
      </c>
      <c r="U3360" t="s">
        <v>26040</v>
      </c>
      <c r="W3360" t="s">
        <v>26009</v>
      </c>
    </row>
    <row r="3361" spans="1:23" x14ac:dyDescent="0.35">
      <c r="A3361">
        <v>712290</v>
      </c>
      <c r="B3361" t="s">
        <v>38173</v>
      </c>
      <c r="C3361" t="str">
        <f>"9781855751965"</f>
        <v>9781855751965</v>
      </c>
      <c r="D3361" t="str">
        <f>"9781849402699"</f>
        <v>9781849402699</v>
      </c>
      <c r="E3361" t="s">
        <v>26010</v>
      </c>
      <c r="F3361" t="s">
        <v>35</v>
      </c>
      <c r="G3361" t="s">
        <v>22174</v>
      </c>
      <c r="H3361" t="s">
        <v>26011</v>
      </c>
      <c r="I3361" s="26">
        <v>36525</v>
      </c>
      <c r="J3361">
        <v>1999</v>
      </c>
      <c r="K3361" t="s">
        <v>26012</v>
      </c>
      <c r="L3361">
        <v>332</v>
      </c>
      <c r="M3361" t="s">
        <v>38174</v>
      </c>
      <c r="N3361">
        <v>1</v>
      </c>
      <c r="O3361" t="s">
        <v>38175</v>
      </c>
      <c r="Q3361" t="s">
        <v>38176</v>
      </c>
      <c r="R3361">
        <v>616.85850000000005</v>
      </c>
      <c r="S3361" t="s">
        <v>10177</v>
      </c>
      <c r="T3361" t="s">
        <v>30</v>
      </c>
      <c r="U3361" t="s">
        <v>26116</v>
      </c>
      <c r="W3361" t="s">
        <v>26009</v>
      </c>
    </row>
    <row r="3362" spans="1:23" x14ac:dyDescent="0.35">
      <c r="A3362">
        <v>712291</v>
      </c>
      <c r="B3362" t="s">
        <v>38177</v>
      </c>
      <c r="C3362" t="str">
        <f>"9781855752153"</f>
        <v>9781855752153</v>
      </c>
      <c r="D3362" t="str">
        <f>"9781849402705"</f>
        <v>9781849402705</v>
      </c>
      <c r="E3362" t="s">
        <v>26010</v>
      </c>
      <c r="F3362" t="s">
        <v>35</v>
      </c>
      <c r="G3362" t="s">
        <v>22174</v>
      </c>
      <c r="H3362" t="s">
        <v>26011</v>
      </c>
      <c r="I3362" s="26">
        <v>36525</v>
      </c>
      <c r="J3362">
        <v>1999</v>
      </c>
      <c r="K3362" t="s">
        <v>26012</v>
      </c>
      <c r="L3362">
        <v>203</v>
      </c>
      <c r="M3362" t="s">
        <v>38178</v>
      </c>
      <c r="N3362">
        <v>1</v>
      </c>
      <c r="O3362" t="s">
        <v>37165</v>
      </c>
      <c r="Q3362" t="s">
        <v>38179</v>
      </c>
      <c r="R3362" t="s">
        <v>26759</v>
      </c>
      <c r="S3362" t="s">
        <v>8215</v>
      </c>
      <c r="T3362" t="s">
        <v>30</v>
      </c>
      <c r="U3362" t="s">
        <v>46</v>
      </c>
      <c r="W3362" t="s">
        <v>26009</v>
      </c>
    </row>
    <row r="3363" spans="1:23" x14ac:dyDescent="0.35">
      <c r="A3363">
        <v>712292</v>
      </c>
      <c r="B3363" t="s">
        <v>9553</v>
      </c>
      <c r="C3363" t="str">
        <f>"9781855751767"</f>
        <v>9781855751767</v>
      </c>
      <c r="D3363" t="str">
        <f>"9781849402712"</f>
        <v>9781849402712</v>
      </c>
      <c r="E3363" t="s">
        <v>26010</v>
      </c>
      <c r="F3363" t="s">
        <v>35</v>
      </c>
      <c r="G3363" t="s">
        <v>22174</v>
      </c>
      <c r="H3363" t="s">
        <v>26011</v>
      </c>
      <c r="I3363" s="26">
        <v>36525</v>
      </c>
      <c r="J3363">
        <v>1999</v>
      </c>
      <c r="K3363" t="s">
        <v>26012</v>
      </c>
      <c r="L3363">
        <v>205</v>
      </c>
      <c r="M3363" t="s">
        <v>38180</v>
      </c>
      <c r="N3363">
        <v>1</v>
      </c>
      <c r="Q3363" t="s">
        <v>38181</v>
      </c>
      <c r="R3363">
        <v>616.89170000000001</v>
      </c>
      <c r="S3363" t="s">
        <v>9109</v>
      </c>
      <c r="T3363" t="s">
        <v>30</v>
      </c>
      <c r="U3363" t="s">
        <v>26116</v>
      </c>
      <c r="W3363" t="s">
        <v>26009</v>
      </c>
    </row>
    <row r="3364" spans="1:23" x14ac:dyDescent="0.35">
      <c r="A3364">
        <v>712294</v>
      </c>
      <c r="B3364" t="s">
        <v>9555</v>
      </c>
      <c r="C3364" t="str">
        <f>"9781855751750"</f>
        <v>9781855751750</v>
      </c>
      <c r="D3364" t="str">
        <f>"9781849402750"</f>
        <v>9781849402750</v>
      </c>
      <c r="E3364" t="s">
        <v>26010</v>
      </c>
      <c r="F3364" t="s">
        <v>35</v>
      </c>
      <c r="G3364" t="s">
        <v>22174</v>
      </c>
      <c r="H3364" t="s">
        <v>26011</v>
      </c>
      <c r="I3364" s="26">
        <v>36525</v>
      </c>
      <c r="J3364">
        <v>1999</v>
      </c>
      <c r="K3364" t="s">
        <v>26012</v>
      </c>
      <c r="L3364">
        <v>214</v>
      </c>
      <c r="M3364" t="s">
        <v>38182</v>
      </c>
      <c r="N3364">
        <v>1</v>
      </c>
      <c r="Q3364" t="s">
        <v>38183</v>
      </c>
      <c r="R3364">
        <v>616.89170000000001</v>
      </c>
      <c r="S3364" t="s">
        <v>38184</v>
      </c>
      <c r="T3364" t="s">
        <v>30</v>
      </c>
      <c r="U3364" t="s">
        <v>26019</v>
      </c>
      <c r="W3364" t="s">
        <v>26009</v>
      </c>
    </row>
    <row r="3365" spans="1:23" x14ac:dyDescent="0.35">
      <c r="A3365">
        <v>712295</v>
      </c>
      <c r="B3365" t="s">
        <v>38185</v>
      </c>
      <c r="C3365" t="str">
        <f>"9781855759671"</f>
        <v>9781855759671</v>
      </c>
      <c r="D3365" t="str">
        <f>"9780429913518"</f>
        <v>9780429913518</v>
      </c>
      <c r="E3365" t="s">
        <v>26010</v>
      </c>
      <c r="F3365" t="s">
        <v>35</v>
      </c>
      <c r="G3365" t="s">
        <v>22174</v>
      </c>
      <c r="H3365" t="s">
        <v>26011</v>
      </c>
      <c r="I3365" s="26">
        <v>36160</v>
      </c>
      <c r="J3365">
        <v>1998</v>
      </c>
      <c r="K3365" t="s">
        <v>26012</v>
      </c>
      <c r="L3365">
        <v>195</v>
      </c>
      <c r="M3365" t="s">
        <v>38186</v>
      </c>
      <c r="N3365">
        <v>1</v>
      </c>
      <c r="O3365" t="s">
        <v>36500</v>
      </c>
      <c r="Q3365" t="s">
        <v>38187</v>
      </c>
      <c r="R3365">
        <v>616.89008349999995</v>
      </c>
      <c r="S3365" t="s">
        <v>7448</v>
      </c>
      <c r="T3365" t="s">
        <v>30</v>
      </c>
      <c r="U3365" t="s">
        <v>26019</v>
      </c>
      <c r="W3365" t="s">
        <v>26009</v>
      </c>
    </row>
    <row r="3366" spans="1:23" x14ac:dyDescent="0.35">
      <c r="A3366">
        <v>712296</v>
      </c>
      <c r="B3366" t="s">
        <v>38188</v>
      </c>
      <c r="C3366" t="str">
        <f>"9781855751835"</f>
        <v>9781855751835</v>
      </c>
      <c r="D3366" t="str">
        <f>"9781849402453"</f>
        <v>9781849402453</v>
      </c>
      <c r="E3366" t="s">
        <v>26010</v>
      </c>
      <c r="F3366" t="s">
        <v>35</v>
      </c>
      <c r="G3366" t="s">
        <v>22174</v>
      </c>
      <c r="H3366" t="s">
        <v>26011</v>
      </c>
      <c r="I3366" s="26">
        <v>36160</v>
      </c>
      <c r="J3366">
        <v>1998</v>
      </c>
      <c r="K3366" t="s">
        <v>26012</v>
      </c>
      <c r="L3366">
        <v>366</v>
      </c>
      <c r="M3366" t="s">
        <v>38189</v>
      </c>
      <c r="N3366">
        <v>1</v>
      </c>
      <c r="Q3366" t="s">
        <v>38190</v>
      </c>
      <c r="R3366">
        <v>618.928583</v>
      </c>
      <c r="S3366" t="s">
        <v>38191</v>
      </c>
      <c r="T3366" t="s">
        <v>30</v>
      </c>
      <c r="U3366" t="s">
        <v>26019</v>
      </c>
      <c r="W3366" t="s">
        <v>26009</v>
      </c>
    </row>
    <row r="3367" spans="1:23" x14ac:dyDescent="0.35">
      <c r="A3367">
        <v>712297</v>
      </c>
      <c r="B3367" t="s">
        <v>38192</v>
      </c>
      <c r="C3367" t="str">
        <f>"9781855751934"</f>
        <v>9781855751934</v>
      </c>
      <c r="D3367" t="str">
        <f>"9781849402460"</f>
        <v>9781849402460</v>
      </c>
      <c r="E3367" t="s">
        <v>26010</v>
      </c>
      <c r="F3367" t="s">
        <v>35</v>
      </c>
      <c r="G3367" t="s">
        <v>22174</v>
      </c>
      <c r="H3367" t="s">
        <v>26011</v>
      </c>
      <c r="I3367" s="26">
        <v>36160</v>
      </c>
      <c r="J3367">
        <v>1998</v>
      </c>
      <c r="K3367" t="s">
        <v>26012</v>
      </c>
      <c r="L3367">
        <v>207</v>
      </c>
      <c r="M3367" t="s">
        <v>38193</v>
      </c>
      <c r="N3367">
        <v>1</v>
      </c>
      <c r="Q3367" t="s">
        <v>38194</v>
      </c>
      <c r="R3367" t="s">
        <v>26422</v>
      </c>
      <c r="S3367" t="s">
        <v>7514</v>
      </c>
      <c r="T3367" t="s">
        <v>30</v>
      </c>
      <c r="U3367" t="s">
        <v>26116</v>
      </c>
      <c r="W3367" t="s">
        <v>26009</v>
      </c>
    </row>
    <row r="3368" spans="1:23" x14ac:dyDescent="0.35">
      <c r="A3368">
        <v>712298</v>
      </c>
      <c r="B3368" t="s">
        <v>38195</v>
      </c>
      <c r="C3368" t="str">
        <f>"9781855751811"</f>
        <v>9781855751811</v>
      </c>
      <c r="D3368" t="str">
        <f>"9781849402477"</f>
        <v>9781849402477</v>
      </c>
      <c r="E3368" t="s">
        <v>26010</v>
      </c>
      <c r="F3368" t="s">
        <v>35</v>
      </c>
      <c r="G3368" t="s">
        <v>22174</v>
      </c>
      <c r="H3368" t="s">
        <v>26011</v>
      </c>
      <c r="I3368" s="26">
        <v>36160</v>
      </c>
      <c r="J3368">
        <v>1998</v>
      </c>
      <c r="K3368" t="s">
        <v>26012</v>
      </c>
      <c r="L3368">
        <v>129</v>
      </c>
      <c r="M3368" t="s">
        <v>38196</v>
      </c>
      <c r="N3368">
        <v>1</v>
      </c>
      <c r="O3368" t="s">
        <v>36505</v>
      </c>
      <c r="Q3368" t="s">
        <v>38197</v>
      </c>
      <c r="R3368">
        <v>158.1</v>
      </c>
      <c r="S3368" t="s">
        <v>38198</v>
      </c>
      <c r="T3368" t="s">
        <v>30</v>
      </c>
      <c r="U3368" t="s">
        <v>26019</v>
      </c>
      <c r="W3368" t="s">
        <v>26009</v>
      </c>
    </row>
    <row r="3369" spans="1:23" x14ac:dyDescent="0.35">
      <c r="A3369">
        <v>712299</v>
      </c>
      <c r="B3369" t="s">
        <v>38199</v>
      </c>
      <c r="C3369" t="str">
        <f>"9781855750661"</f>
        <v>9781855750661</v>
      </c>
      <c r="D3369" t="str">
        <f>"9781849402484"</f>
        <v>9781849402484</v>
      </c>
      <c r="E3369" t="s">
        <v>26010</v>
      </c>
      <c r="F3369" t="s">
        <v>35</v>
      </c>
      <c r="G3369" t="s">
        <v>22174</v>
      </c>
      <c r="H3369" t="s">
        <v>26011</v>
      </c>
      <c r="I3369" s="26">
        <v>36160</v>
      </c>
      <c r="J3369">
        <v>1998</v>
      </c>
      <c r="K3369" t="s">
        <v>26012</v>
      </c>
      <c r="L3369">
        <v>206</v>
      </c>
      <c r="M3369" t="s">
        <v>38200</v>
      </c>
      <c r="N3369">
        <v>1</v>
      </c>
      <c r="O3369" t="s">
        <v>38201</v>
      </c>
      <c r="Q3369" t="s">
        <v>38202</v>
      </c>
      <c r="R3369">
        <v>616.89139999999998</v>
      </c>
      <c r="S3369" t="s">
        <v>38203</v>
      </c>
      <c r="T3369" t="s">
        <v>30</v>
      </c>
      <c r="U3369" t="s">
        <v>26019</v>
      </c>
      <c r="W3369" t="s">
        <v>26009</v>
      </c>
    </row>
    <row r="3370" spans="1:23" x14ac:dyDescent="0.35">
      <c r="A3370">
        <v>712300</v>
      </c>
      <c r="B3370" t="s">
        <v>9539</v>
      </c>
      <c r="C3370" t="str">
        <f>"9781855752139"</f>
        <v>9781855752139</v>
      </c>
      <c r="D3370" t="str">
        <f>"9781849402507"</f>
        <v>9781849402507</v>
      </c>
      <c r="E3370" t="s">
        <v>26010</v>
      </c>
      <c r="F3370" t="s">
        <v>35</v>
      </c>
      <c r="G3370" t="s">
        <v>22174</v>
      </c>
      <c r="H3370" t="s">
        <v>26011</v>
      </c>
      <c r="I3370" s="26">
        <v>36160</v>
      </c>
      <c r="J3370">
        <v>1998</v>
      </c>
      <c r="K3370" t="s">
        <v>26012</v>
      </c>
      <c r="L3370">
        <v>259</v>
      </c>
      <c r="M3370" t="s">
        <v>38204</v>
      </c>
      <c r="N3370">
        <v>1</v>
      </c>
      <c r="O3370" t="s">
        <v>37283</v>
      </c>
      <c r="Q3370" t="s">
        <v>38205</v>
      </c>
      <c r="R3370">
        <v>618.92891699999996</v>
      </c>
      <c r="S3370" t="s">
        <v>9109</v>
      </c>
      <c r="T3370" t="s">
        <v>30</v>
      </c>
      <c r="U3370" t="s">
        <v>26116</v>
      </c>
      <c r="W3370" t="s">
        <v>26009</v>
      </c>
    </row>
    <row r="3371" spans="1:23" x14ac:dyDescent="0.35">
      <c r="A3371">
        <v>712301</v>
      </c>
      <c r="B3371" t="s">
        <v>8550</v>
      </c>
      <c r="C3371" t="str">
        <f>"9781855751712"</f>
        <v>9781855751712</v>
      </c>
      <c r="D3371" t="str">
        <f>"9781849402521"</f>
        <v>9781849402521</v>
      </c>
      <c r="E3371" t="s">
        <v>26010</v>
      </c>
      <c r="F3371" t="s">
        <v>35</v>
      </c>
      <c r="G3371" t="s">
        <v>22174</v>
      </c>
      <c r="H3371" t="s">
        <v>26011</v>
      </c>
      <c r="I3371" s="26">
        <v>36160</v>
      </c>
      <c r="J3371">
        <v>1998</v>
      </c>
      <c r="K3371" t="s">
        <v>26012</v>
      </c>
      <c r="L3371">
        <v>237</v>
      </c>
      <c r="M3371" t="s">
        <v>34143</v>
      </c>
      <c r="N3371">
        <v>1</v>
      </c>
      <c r="O3371" t="s">
        <v>38201</v>
      </c>
      <c r="Q3371" t="s">
        <v>38206</v>
      </c>
      <c r="R3371">
        <v>616.89139999999998</v>
      </c>
      <c r="S3371" t="s">
        <v>34170</v>
      </c>
      <c r="T3371" t="s">
        <v>30</v>
      </c>
      <c r="U3371" t="s">
        <v>26116</v>
      </c>
      <c r="W3371" t="s">
        <v>26009</v>
      </c>
    </row>
    <row r="3372" spans="1:23" x14ac:dyDescent="0.35">
      <c r="A3372">
        <v>712302</v>
      </c>
      <c r="B3372" t="s">
        <v>9880</v>
      </c>
      <c r="C3372" t="str">
        <f>"9781855752092"</f>
        <v>9781855752092</v>
      </c>
      <c r="D3372" t="str">
        <f>"9781849402538"</f>
        <v>9781849402538</v>
      </c>
      <c r="E3372" t="s">
        <v>26010</v>
      </c>
      <c r="F3372" t="s">
        <v>35</v>
      </c>
      <c r="G3372" t="s">
        <v>22174</v>
      </c>
      <c r="H3372" t="s">
        <v>26011</v>
      </c>
      <c r="I3372" s="26">
        <v>36160</v>
      </c>
      <c r="J3372">
        <v>1998</v>
      </c>
      <c r="K3372" t="s">
        <v>26012</v>
      </c>
      <c r="L3372">
        <v>223</v>
      </c>
      <c r="M3372" t="s">
        <v>38207</v>
      </c>
      <c r="N3372">
        <v>1</v>
      </c>
      <c r="Q3372" t="s">
        <v>38208</v>
      </c>
      <c r="R3372">
        <v>154.63</v>
      </c>
      <c r="S3372" t="s">
        <v>38209</v>
      </c>
      <c r="T3372" t="s">
        <v>30</v>
      </c>
      <c r="U3372" t="s">
        <v>46</v>
      </c>
      <c r="W3372" t="s">
        <v>26009</v>
      </c>
    </row>
    <row r="3373" spans="1:23" x14ac:dyDescent="0.35">
      <c r="A3373">
        <v>712303</v>
      </c>
      <c r="B3373" t="s">
        <v>38210</v>
      </c>
      <c r="C3373" t="str">
        <f>"9781855750753"</f>
        <v>9781855750753</v>
      </c>
      <c r="D3373" t="str">
        <f>"9781849401708"</f>
        <v>9781849401708</v>
      </c>
      <c r="E3373" t="s">
        <v>26010</v>
      </c>
      <c r="F3373" t="s">
        <v>35</v>
      </c>
      <c r="G3373" t="s">
        <v>22174</v>
      </c>
      <c r="H3373" t="s">
        <v>26011</v>
      </c>
      <c r="I3373" s="26">
        <v>34699</v>
      </c>
      <c r="J3373">
        <v>1994</v>
      </c>
      <c r="K3373" t="s">
        <v>26012</v>
      </c>
      <c r="L3373">
        <v>263</v>
      </c>
      <c r="M3373" t="s">
        <v>38211</v>
      </c>
      <c r="N3373">
        <v>1</v>
      </c>
      <c r="Q3373" t="s">
        <v>38212</v>
      </c>
      <c r="R3373">
        <v>616.89170000000001</v>
      </c>
      <c r="S3373" t="s">
        <v>38213</v>
      </c>
      <c r="T3373" t="s">
        <v>30</v>
      </c>
      <c r="U3373" t="s">
        <v>26019</v>
      </c>
      <c r="W3373" t="s">
        <v>26009</v>
      </c>
    </row>
    <row r="3374" spans="1:23" x14ac:dyDescent="0.35">
      <c r="A3374">
        <v>712304</v>
      </c>
      <c r="B3374" t="s">
        <v>38214</v>
      </c>
      <c r="C3374" t="str">
        <f>"9781855750579"</f>
        <v>9781855750579</v>
      </c>
      <c r="D3374" t="str">
        <f>"9781849401722"</f>
        <v>9781849401722</v>
      </c>
      <c r="E3374" t="s">
        <v>26010</v>
      </c>
      <c r="F3374" t="s">
        <v>35</v>
      </c>
      <c r="G3374" t="s">
        <v>22174</v>
      </c>
      <c r="H3374" t="s">
        <v>26011</v>
      </c>
      <c r="I3374" s="26">
        <v>34699</v>
      </c>
      <c r="J3374">
        <v>1994</v>
      </c>
      <c r="K3374" t="s">
        <v>26012</v>
      </c>
      <c r="L3374">
        <v>271</v>
      </c>
      <c r="M3374" t="s">
        <v>38215</v>
      </c>
      <c r="N3374">
        <v>1</v>
      </c>
      <c r="Q3374" t="s">
        <v>38216</v>
      </c>
      <c r="R3374">
        <v>616.89139999999998</v>
      </c>
      <c r="S3374" t="s">
        <v>7677</v>
      </c>
      <c r="T3374" t="s">
        <v>30</v>
      </c>
      <c r="U3374" t="s">
        <v>26040</v>
      </c>
      <c r="W3374" t="s">
        <v>26009</v>
      </c>
    </row>
    <row r="3375" spans="1:23" x14ac:dyDescent="0.35">
      <c r="A3375">
        <v>712305</v>
      </c>
      <c r="B3375" t="s">
        <v>8191</v>
      </c>
      <c r="C3375" t="str">
        <f>"9781855750609"</f>
        <v>9781855750609</v>
      </c>
      <c r="D3375" t="str">
        <f>"9781849401739"</f>
        <v>9781849401739</v>
      </c>
      <c r="E3375" t="s">
        <v>26010</v>
      </c>
      <c r="F3375" t="s">
        <v>35</v>
      </c>
      <c r="G3375" t="s">
        <v>22174</v>
      </c>
      <c r="H3375" t="s">
        <v>26011</v>
      </c>
      <c r="I3375" s="26">
        <v>34699</v>
      </c>
      <c r="J3375">
        <v>1994</v>
      </c>
      <c r="K3375" t="s">
        <v>26012</v>
      </c>
      <c r="L3375">
        <v>284</v>
      </c>
      <c r="M3375" t="s">
        <v>38217</v>
      </c>
      <c r="N3375">
        <v>1</v>
      </c>
      <c r="Q3375" t="s">
        <v>38218</v>
      </c>
      <c r="R3375">
        <v>616.89139999999998</v>
      </c>
      <c r="S3375" t="s">
        <v>38219</v>
      </c>
      <c r="T3375" t="s">
        <v>30</v>
      </c>
      <c r="U3375" t="s">
        <v>26534</v>
      </c>
      <c r="W3375" t="s">
        <v>26009</v>
      </c>
    </row>
    <row r="3376" spans="1:23" x14ac:dyDescent="0.35">
      <c r="A3376">
        <v>712307</v>
      </c>
      <c r="B3376" t="s">
        <v>38220</v>
      </c>
      <c r="C3376" t="str">
        <f>"9781855750845"</f>
        <v>9781855750845</v>
      </c>
      <c r="D3376" t="str">
        <f>"9781849401753"</f>
        <v>9781849401753</v>
      </c>
      <c r="E3376" t="s">
        <v>26010</v>
      </c>
      <c r="F3376" t="s">
        <v>35</v>
      </c>
      <c r="G3376" t="s">
        <v>22174</v>
      </c>
      <c r="H3376" t="s">
        <v>26011</v>
      </c>
      <c r="I3376" s="26">
        <v>34699</v>
      </c>
      <c r="J3376">
        <v>1994</v>
      </c>
      <c r="K3376" t="s">
        <v>26012</v>
      </c>
      <c r="L3376">
        <v>605</v>
      </c>
      <c r="M3376" t="s">
        <v>38221</v>
      </c>
      <c r="N3376">
        <v>1</v>
      </c>
      <c r="Q3376">
        <v>95022115</v>
      </c>
      <c r="R3376">
        <v>150.19499999999999</v>
      </c>
      <c r="S3376" t="s">
        <v>7661</v>
      </c>
      <c r="T3376" t="s">
        <v>30</v>
      </c>
      <c r="U3376" t="s">
        <v>46</v>
      </c>
      <c r="W3376" t="s">
        <v>26009</v>
      </c>
    </row>
    <row r="3377" spans="1:23" x14ac:dyDescent="0.35">
      <c r="A3377">
        <v>712308</v>
      </c>
      <c r="B3377" t="s">
        <v>9110</v>
      </c>
      <c r="C3377" t="str">
        <f>"9781855750586"</f>
        <v>9781855750586</v>
      </c>
      <c r="D3377" t="str">
        <f>"9781849401784"</f>
        <v>9781849401784</v>
      </c>
      <c r="E3377" t="s">
        <v>26010</v>
      </c>
      <c r="F3377" t="s">
        <v>35</v>
      </c>
      <c r="G3377" t="s">
        <v>22174</v>
      </c>
      <c r="H3377" t="s">
        <v>26011</v>
      </c>
      <c r="I3377" s="26">
        <v>34699</v>
      </c>
      <c r="J3377">
        <v>1994</v>
      </c>
      <c r="K3377" t="s">
        <v>26012</v>
      </c>
      <c r="L3377">
        <v>167</v>
      </c>
      <c r="M3377" t="s">
        <v>38222</v>
      </c>
      <c r="N3377">
        <v>1</v>
      </c>
      <c r="Q3377" t="s">
        <v>38223</v>
      </c>
      <c r="R3377">
        <v>616.89139999999998</v>
      </c>
      <c r="S3377" t="s">
        <v>38224</v>
      </c>
      <c r="T3377" t="s">
        <v>30</v>
      </c>
      <c r="U3377" t="s">
        <v>26019</v>
      </c>
      <c r="W3377" t="s">
        <v>26009</v>
      </c>
    </row>
    <row r="3378" spans="1:23" x14ac:dyDescent="0.35">
      <c r="A3378">
        <v>712309</v>
      </c>
      <c r="B3378" t="s">
        <v>38225</v>
      </c>
      <c r="C3378" t="str">
        <f>"9781855750128"</f>
        <v>9781855750128</v>
      </c>
      <c r="D3378" t="str">
        <f>"9781849401852"</f>
        <v>9781849401852</v>
      </c>
      <c r="E3378" t="s">
        <v>26010</v>
      </c>
      <c r="F3378" t="s">
        <v>35</v>
      </c>
      <c r="G3378" t="s">
        <v>22174</v>
      </c>
      <c r="H3378" t="s">
        <v>26011</v>
      </c>
      <c r="I3378" s="26">
        <v>35064</v>
      </c>
      <c r="J3378">
        <v>1995</v>
      </c>
      <c r="K3378" t="s">
        <v>26012</v>
      </c>
      <c r="L3378">
        <v>153</v>
      </c>
      <c r="M3378" t="s">
        <v>38226</v>
      </c>
      <c r="N3378">
        <v>1</v>
      </c>
      <c r="O3378" t="s">
        <v>36505</v>
      </c>
      <c r="Q3378" t="s">
        <v>38227</v>
      </c>
      <c r="R3378">
        <v>362.76</v>
      </c>
      <c r="S3378" t="s">
        <v>38228</v>
      </c>
      <c r="T3378" t="s">
        <v>30</v>
      </c>
      <c r="U3378" t="s">
        <v>32430</v>
      </c>
      <c r="W3378" t="s">
        <v>26009</v>
      </c>
    </row>
    <row r="3379" spans="1:23" x14ac:dyDescent="0.35">
      <c r="A3379">
        <v>712310</v>
      </c>
      <c r="B3379" t="s">
        <v>38229</v>
      </c>
      <c r="C3379" t="str">
        <f>"9781855751170"</f>
        <v>9781855751170</v>
      </c>
      <c r="D3379" t="str">
        <f>"9781849401869"</f>
        <v>9781849401869</v>
      </c>
      <c r="E3379" t="s">
        <v>26010</v>
      </c>
      <c r="F3379" t="s">
        <v>35</v>
      </c>
      <c r="G3379" t="s">
        <v>22174</v>
      </c>
      <c r="H3379" t="s">
        <v>26011</v>
      </c>
      <c r="I3379" s="26">
        <v>35064</v>
      </c>
      <c r="J3379">
        <v>1995</v>
      </c>
      <c r="K3379" t="s">
        <v>26012</v>
      </c>
      <c r="L3379">
        <v>177</v>
      </c>
      <c r="M3379" t="s">
        <v>30306</v>
      </c>
      <c r="N3379">
        <v>1</v>
      </c>
      <c r="O3379" t="s">
        <v>37018</v>
      </c>
      <c r="Q3379" t="s">
        <v>38230</v>
      </c>
      <c r="R3379">
        <v>668.46010000000001</v>
      </c>
      <c r="S3379" t="s">
        <v>8964</v>
      </c>
      <c r="T3379" t="s">
        <v>30</v>
      </c>
      <c r="U3379" t="s">
        <v>38231</v>
      </c>
      <c r="W3379" t="s">
        <v>26009</v>
      </c>
    </row>
    <row r="3380" spans="1:23" x14ac:dyDescent="0.35">
      <c r="A3380">
        <v>712311</v>
      </c>
      <c r="B3380" t="s">
        <v>9564</v>
      </c>
      <c r="C3380" t="str">
        <f>"9781855750890"</f>
        <v>9781855750890</v>
      </c>
      <c r="D3380" t="str">
        <f>"9781849401876"</f>
        <v>9781849401876</v>
      </c>
      <c r="E3380" t="s">
        <v>26010</v>
      </c>
      <c r="F3380" t="s">
        <v>35</v>
      </c>
      <c r="G3380" t="s">
        <v>22174</v>
      </c>
      <c r="H3380" t="s">
        <v>26011</v>
      </c>
      <c r="I3380" s="26">
        <v>35064</v>
      </c>
      <c r="J3380">
        <v>1995</v>
      </c>
      <c r="K3380" t="s">
        <v>26012</v>
      </c>
      <c r="L3380">
        <v>136</v>
      </c>
      <c r="M3380" t="s">
        <v>38232</v>
      </c>
      <c r="N3380">
        <v>1</v>
      </c>
      <c r="O3380" t="s">
        <v>36505</v>
      </c>
      <c r="Q3380" t="s">
        <v>38233</v>
      </c>
      <c r="R3380">
        <v>616.89152300000001</v>
      </c>
      <c r="S3380" t="s">
        <v>38234</v>
      </c>
      <c r="T3380" t="s">
        <v>30</v>
      </c>
      <c r="U3380" t="s">
        <v>26019</v>
      </c>
      <c r="W3380" t="s">
        <v>26009</v>
      </c>
    </row>
    <row r="3381" spans="1:23" x14ac:dyDescent="0.35">
      <c r="A3381">
        <v>712312</v>
      </c>
      <c r="B3381" t="s">
        <v>8198</v>
      </c>
      <c r="C3381" t="str">
        <f>"9781855751040"</f>
        <v>9781855751040</v>
      </c>
      <c r="D3381" t="str">
        <f>"9781849401883"</f>
        <v>9781849401883</v>
      </c>
      <c r="E3381" t="s">
        <v>26010</v>
      </c>
      <c r="F3381" t="s">
        <v>35</v>
      </c>
      <c r="G3381" t="s">
        <v>22174</v>
      </c>
      <c r="H3381" t="s">
        <v>26011</v>
      </c>
      <c r="I3381" s="26">
        <v>35064</v>
      </c>
      <c r="J3381">
        <v>1995</v>
      </c>
      <c r="K3381" t="s">
        <v>26012</v>
      </c>
      <c r="L3381">
        <v>303</v>
      </c>
      <c r="M3381" t="s">
        <v>26580</v>
      </c>
      <c r="N3381">
        <v>1</v>
      </c>
      <c r="Q3381" t="s">
        <v>38235</v>
      </c>
      <c r="R3381">
        <v>616.89139999999998</v>
      </c>
      <c r="S3381" t="s">
        <v>38236</v>
      </c>
      <c r="T3381" t="s">
        <v>30</v>
      </c>
      <c r="U3381" t="s">
        <v>26019</v>
      </c>
      <c r="W3381" t="s">
        <v>26009</v>
      </c>
    </row>
    <row r="3382" spans="1:23" x14ac:dyDescent="0.35">
      <c r="A3382">
        <v>712313</v>
      </c>
      <c r="B3382" t="s">
        <v>7854</v>
      </c>
      <c r="C3382" t="str">
        <f>"9781855750883"</f>
        <v>9781855750883</v>
      </c>
      <c r="D3382" t="str">
        <f>"9781849401890"</f>
        <v>9781849401890</v>
      </c>
      <c r="E3382" t="s">
        <v>26010</v>
      </c>
      <c r="F3382" t="s">
        <v>35</v>
      </c>
      <c r="G3382" t="s">
        <v>22174</v>
      </c>
      <c r="H3382" t="s">
        <v>26011</v>
      </c>
      <c r="I3382" s="26">
        <v>35064</v>
      </c>
      <c r="J3382">
        <v>1995</v>
      </c>
      <c r="K3382" t="s">
        <v>26012</v>
      </c>
      <c r="L3382">
        <v>160</v>
      </c>
      <c r="M3382" t="s">
        <v>38217</v>
      </c>
      <c r="N3382">
        <v>1</v>
      </c>
      <c r="Q3382" t="s">
        <v>38216</v>
      </c>
      <c r="R3382">
        <v>150.19499999999999</v>
      </c>
      <c r="S3382" t="s">
        <v>7514</v>
      </c>
      <c r="T3382" t="s">
        <v>30</v>
      </c>
      <c r="U3382" t="s">
        <v>46</v>
      </c>
      <c r="W3382" t="s">
        <v>26009</v>
      </c>
    </row>
    <row r="3383" spans="1:23" x14ac:dyDescent="0.35">
      <c r="A3383">
        <v>712314</v>
      </c>
      <c r="B3383" t="s">
        <v>38237</v>
      </c>
      <c r="C3383" t="str">
        <f>"9781855751088"</f>
        <v>9781855751088</v>
      </c>
      <c r="D3383" t="str">
        <f>"9781849401906"</f>
        <v>9781849401906</v>
      </c>
      <c r="E3383" t="s">
        <v>26010</v>
      </c>
      <c r="F3383" t="s">
        <v>35</v>
      </c>
      <c r="G3383" t="s">
        <v>22174</v>
      </c>
      <c r="H3383" t="s">
        <v>26011</v>
      </c>
      <c r="I3383" s="26">
        <v>35064</v>
      </c>
      <c r="J3383">
        <v>1984</v>
      </c>
      <c r="K3383" t="s">
        <v>26012</v>
      </c>
      <c r="L3383">
        <v>243</v>
      </c>
      <c r="M3383" t="s">
        <v>38238</v>
      </c>
      <c r="N3383">
        <v>1</v>
      </c>
      <c r="Q3383" t="s">
        <v>38239</v>
      </c>
      <c r="R3383">
        <v>616.89022</v>
      </c>
      <c r="S3383" t="s">
        <v>38240</v>
      </c>
      <c r="T3383" t="s">
        <v>30</v>
      </c>
      <c r="U3383" t="s">
        <v>26019</v>
      </c>
      <c r="W3383" t="s">
        <v>26009</v>
      </c>
    </row>
    <row r="3384" spans="1:23" x14ac:dyDescent="0.35">
      <c r="A3384">
        <v>712315</v>
      </c>
      <c r="B3384" t="s">
        <v>38241</v>
      </c>
      <c r="C3384" t="str">
        <f>"9781855751071"</f>
        <v>9781855751071</v>
      </c>
      <c r="D3384" t="str">
        <f>"9781849401920"</f>
        <v>9781849401920</v>
      </c>
      <c r="E3384" t="s">
        <v>26010</v>
      </c>
      <c r="F3384" t="s">
        <v>35</v>
      </c>
      <c r="G3384" t="s">
        <v>22174</v>
      </c>
      <c r="H3384" t="s">
        <v>26011</v>
      </c>
      <c r="I3384" s="26">
        <v>35064</v>
      </c>
      <c r="J3384">
        <v>1995</v>
      </c>
      <c r="K3384" t="s">
        <v>26012</v>
      </c>
      <c r="L3384">
        <v>153</v>
      </c>
      <c r="M3384" t="s">
        <v>38242</v>
      </c>
      <c r="N3384">
        <v>1</v>
      </c>
      <c r="Q3384" t="s">
        <v>38243</v>
      </c>
      <c r="R3384">
        <v>616.89139999999998</v>
      </c>
      <c r="S3384" t="s">
        <v>9675</v>
      </c>
      <c r="T3384" t="s">
        <v>30</v>
      </c>
      <c r="U3384" t="s">
        <v>26116</v>
      </c>
      <c r="W3384" t="s">
        <v>26009</v>
      </c>
    </row>
    <row r="3385" spans="1:23" x14ac:dyDescent="0.35">
      <c r="A3385">
        <v>712317</v>
      </c>
      <c r="B3385" t="s">
        <v>8891</v>
      </c>
      <c r="C3385" t="str">
        <f>"9781855751149"</f>
        <v>9781855751149</v>
      </c>
      <c r="D3385" t="str">
        <f>"9781849401944"</f>
        <v>9781849401944</v>
      </c>
      <c r="E3385" t="s">
        <v>26010</v>
      </c>
      <c r="F3385" t="s">
        <v>35</v>
      </c>
      <c r="G3385" t="s">
        <v>22174</v>
      </c>
      <c r="H3385" t="s">
        <v>26011</v>
      </c>
      <c r="I3385" s="26">
        <v>35064</v>
      </c>
      <c r="J3385">
        <v>1995</v>
      </c>
      <c r="K3385" t="s">
        <v>26012</v>
      </c>
      <c r="L3385">
        <v>176</v>
      </c>
      <c r="M3385" t="s">
        <v>38244</v>
      </c>
      <c r="N3385">
        <v>1</v>
      </c>
      <c r="Q3385" t="s">
        <v>38245</v>
      </c>
      <c r="R3385">
        <v>616.89156000000003</v>
      </c>
      <c r="S3385" t="s">
        <v>38246</v>
      </c>
      <c r="T3385" t="s">
        <v>30</v>
      </c>
      <c r="U3385" t="s">
        <v>28629</v>
      </c>
      <c r="W3385" t="s">
        <v>26009</v>
      </c>
    </row>
    <row r="3386" spans="1:23" x14ac:dyDescent="0.35">
      <c r="A3386">
        <v>712319</v>
      </c>
      <c r="B3386" t="s">
        <v>9992</v>
      </c>
      <c r="C3386" t="str">
        <f>"9781855750944"</f>
        <v>9781855750944</v>
      </c>
      <c r="D3386" t="str">
        <f>"9781849402002"</f>
        <v>9781849402002</v>
      </c>
      <c r="E3386" t="s">
        <v>26010</v>
      </c>
      <c r="F3386" t="s">
        <v>35</v>
      </c>
      <c r="G3386" t="s">
        <v>22174</v>
      </c>
      <c r="H3386" t="s">
        <v>26011</v>
      </c>
      <c r="I3386" s="26">
        <v>35430</v>
      </c>
      <c r="J3386">
        <v>1996</v>
      </c>
      <c r="K3386" t="s">
        <v>26012</v>
      </c>
      <c r="L3386">
        <v>323</v>
      </c>
      <c r="M3386" t="s">
        <v>38247</v>
      </c>
      <c r="N3386">
        <v>1</v>
      </c>
      <c r="O3386" t="s">
        <v>36505</v>
      </c>
      <c r="Q3386" t="s">
        <v>38248</v>
      </c>
      <c r="R3386">
        <v>616.89139999999998</v>
      </c>
      <c r="S3386" t="s">
        <v>38249</v>
      </c>
      <c r="T3386" t="s">
        <v>30</v>
      </c>
      <c r="U3386" t="s">
        <v>26019</v>
      </c>
      <c r="W3386" t="s">
        <v>26009</v>
      </c>
    </row>
    <row r="3387" spans="1:23" x14ac:dyDescent="0.35">
      <c r="A3387">
        <v>712321</v>
      </c>
      <c r="B3387" t="s">
        <v>38250</v>
      </c>
      <c r="C3387" t="str">
        <f>"9781855751361"</f>
        <v>9781855751361</v>
      </c>
      <c r="D3387" t="str">
        <f>"9781849402057"</f>
        <v>9781849402057</v>
      </c>
      <c r="E3387" t="s">
        <v>26010</v>
      </c>
      <c r="F3387" t="s">
        <v>35</v>
      </c>
      <c r="G3387" t="s">
        <v>22174</v>
      </c>
      <c r="H3387" t="s">
        <v>26011</v>
      </c>
      <c r="I3387" s="26">
        <v>35430</v>
      </c>
      <c r="J3387">
        <v>1996</v>
      </c>
      <c r="K3387" t="s">
        <v>26012</v>
      </c>
      <c r="L3387">
        <v>222</v>
      </c>
      <c r="M3387" t="s">
        <v>38251</v>
      </c>
      <c r="N3387">
        <v>1</v>
      </c>
      <c r="Q3387" t="s">
        <v>38252</v>
      </c>
      <c r="R3387" t="s">
        <v>38253</v>
      </c>
      <c r="S3387" t="s">
        <v>7527</v>
      </c>
      <c r="T3387" t="s">
        <v>30</v>
      </c>
      <c r="U3387" t="s">
        <v>46</v>
      </c>
      <c r="W3387" t="s">
        <v>26009</v>
      </c>
    </row>
    <row r="3388" spans="1:23" x14ac:dyDescent="0.35">
      <c r="A3388">
        <v>712323</v>
      </c>
      <c r="B3388" t="s">
        <v>38254</v>
      </c>
      <c r="C3388" t="str">
        <f>"9781855751385"</f>
        <v>9781855751385</v>
      </c>
      <c r="D3388" t="str">
        <f>"9781849402088"</f>
        <v>9781849402088</v>
      </c>
      <c r="E3388" t="s">
        <v>26010</v>
      </c>
      <c r="F3388" t="s">
        <v>35</v>
      </c>
      <c r="G3388" t="s">
        <v>22174</v>
      </c>
      <c r="H3388" t="s">
        <v>26011</v>
      </c>
      <c r="I3388" s="26">
        <v>35430</v>
      </c>
      <c r="J3388">
        <v>1996</v>
      </c>
      <c r="K3388" t="s">
        <v>26012</v>
      </c>
      <c r="L3388">
        <v>143</v>
      </c>
      <c r="M3388" t="s">
        <v>38255</v>
      </c>
      <c r="N3388">
        <v>1</v>
      </c>
      <c r="Q3388" t="s">
        <v>38256</v>
      </c>
      <c r="R3388">
        <v>616.89170000000001</v>
      </c>
      <c r="S3388" t="s">
        <v>8453</v>
      </c>
      <c r="T3388" t="s">
        <v>30</v>
      </c>
      <c r="U3388" t="s">
        <v>26116</v>
      </c>
      <c r="W3388" t="s">
        <v>26009</v>
      </c>
    </row>
    <row r="3389" spans="1:23" x14ac:dyDescent="0.35">
      <c r="A3389">
        <v>712324</v>
      </c>
      <c r="B3389" t="s">
        <v>8347</v>
      </c>
      <c r="C3389" t="str">
        <f>"9781855751248"</f>
        <v>9781855751248</v>
      </c>
      <c r="D3389" t="str">
        <f>"9781849402095"</f>
        <v>9781849402095</v>
      </c>
      <c r="E3389" t="s">
        <v>26010</v>
      </c>
      <c r="F3389" t="s">
        <v>35</v>
      </c>
      <c r="G3389" t="s">
        <v>22174</v>
      </c>
      <c r="H3389" t="s">
        <v>26011</v>
      </c>
      <c r="I3389" s="26">
        <v>35430</v>
      </c>
      <c r="J3389">
        <v>1996</v>
      </c>
      <c r="K3389" t="s">
        <v>26012</v>
      </c>
      <c r="L3389">
        <v>240</v>
      </c>
      <c r="M3389" t="s">
        <v>38257</v>
      </c>
      <c r="N3389">
        <v>1</v>
      </c>
      <c r="Q3389" t="s">
        <v>38258</v>
      </c>
      <c r="R3389">
        <v>150.19499999999999</v>
      </c>
      <c r="S3389" t="s">
        <v>38259</v>
      </c>
      <c r="T3389" t="s">
        <v>30</v>
      </c>
      <c r="U3389" t="s">
        <v>46</v>
      </c>
      <c r="W3389" t="s">
        <v>26009</v>
      </c>
    </row>
    <row r="3390" spans="1:23" x14ac:dyDescent="0.35">
      <c r="A3390">
        <v>712325</v>
      </c>
      <c r="B3390" t="s">
        <v>10282</v>
      </c>
      <c r="C3390" t="str">
        <f>"9781855751323"</f>
        <v>9781855751323</v>
      </c>
      <c r="D3390" t="str">
        <f>"9781849402118"</f>
        <v>9781849402118</v>
      </c>
      <c r="E3390" t="s">
        <v>26010</v>
      </c>
      <c r="F3390" t="s">
        <v>35</v>
      </c>
      <c r="G3390" t="s">
        <v>22174</v>
      </c>
      <c r="H3390" t="s">
        <v>26011</v>
      </c>
      <c r="I3390" s="26">
        <v>35430</v>
      </c>
      <c r="J3390">
        <v>1996</v>
      </c>
      <c r="K3390" t="s">
        <v>26012</v>
      </c>
      <c r="L3390">
        <v>145</v>
      </c>
      <c r="M3390" t="s">
        <v>38260</v>
      </c>
      <c r="N3390">
        <v>1</v>
      </c>
      <c r="Q3390" t="s">
        <v>38261</v>
      </c>
      <c r="R3390">
        <v>616.89170000000001</v>
      </c>
      <c r="S3390" t="s">
        <v>7661</v>
      </c>
      <c r="T3390" t="s">
        <v>30</v>
      </c>
      <c r="U3390" t="s">
        <v>26116</v>
      </c>
      <c r="W3390" t="s">
        <v>26009</v>
      </c>
    </row>
    <row r="3391" spans="1:23" x14ac:dyDescent="0.35">
      <c r="A3391">
        <v>712326</v>
      </c>
      <c r="B3391" t="s">
        <v>38262</v>
      </c>
      <c r="C3391" t="str">
        <f>"9781855751569"</f>
        <v>9781855751569</v>
      </c>
      <c r="D3391" t="str">
        <f>"9781849402170"</f>
        <v>9781849402170</v>
      </c>
      <c r="E3391" t="s">
        <v>26010</v>
      </c>
      <c r="F3391" t="s">
        <v>35</v>
      </c>
      <c r="G3391" t="s">
        <v>22174</v>
      </c>
      <c r="H3391" t="s">
        <v>26011</v>
      </c>
      <c r="I3391" s="26">
        <v>35795</v>
      </c>
      <c r="J3391">
        <v>1997</v>
      </c>
      <c r="K3391" t="s">
        <v>26012</v>
      </c>
      <c r="L3391">
        <v>341</v>
      </c>
      <c r="M3391" t="s">
        <v>38263</v>
      </c>
      <c r="N3391">
        <v>1</v>
      </c>
      <c r="O3391" t="s">
        <v>37292</v>
      </c>
      <c r="Q3391" t="s">
        <v>38264</v>
      </c>
      <c r="R3391">
        <v>616.89800000000002</v>
      </c>
      <c r="S3391" t="s">
        <v>8791</v>
      </c>
      <c r="T3391" t="s">
        <v>30</v>
      </c>
      <c r="U3391" t="s">
        <v>26019</v>
      </c>
      <c r="W3391" t="s">
        <v>26009</v>
      </c>
    </row>
    <row r="3392" spans="1:23" x14ac:dyDescent="0.35">
      <c r="A3392">
        <v>712327</v>
      </c>
      <c r="B3392" t="s">
        <v>10206</v>
      </c>
      <c r="C3392" t="str">
        <f>"9781855751538"</f>
        <v>9781855751538</v>
      </c>
      <c r="D3392" t="str">
        <f>"9781849402194"</f>
        <v>9781849402194</v>
      </c>
      <c r="E3392" t="s">
        <v>26010</v>
      </c>
      <c r="F3392" t="s">
        <v>7673</v>
      </c>
      <c r="G3392" t="s">
        <v>22174</v>
      </c>
      <c r="H3392" t="s">
        <v>26011</v>
      </c>
      <c r="I3392" s="26">
        <v>35795</v>
      </c>
      <c r="J3392">
        <v>1997</v>
      </c>
      <c r="K3392" t="s">
        <v>7673</v>
      </c>
      <c r="L3392">
        <v>326</v>
      </c>
      <c r="M3392" t="s">
        <v>37959</v>
      </c>
      <c r="N3392">
        <v>1</v>
      </c>
      <c r="Q3392" t="s">
        <v>38265</v>
      </c>
      <c r="R3392">
        <v>150.19509199999999</v>
      </c>
      <c r="S3392" t="s">
        <v>10207</v>
      </c>
      <c r="T3392" t="s">
        <v>30</v>
      </c>
      <c r="U3392" t="s">
        <v>34652</v>
      </c>
      <c r="W3392" t="s">
        <v>26009</v>
      </c>
    </row>
    <row r="3393" spans="1:23" x14ac:dyDescent="0.35">
      <c r="A3393">
        <v>712328</v>
      </c>
      <c r="B3393" t="s">
        <v>9997</v>
      </c>
      <c r="C3393" t="str">
        <f>"9781855751682"</f>
        <v>9781855751682</v>
      </c>
      <c r="D3393" t="str">
        <f>"9781849402200"</f>
        <v>9781849402200</v>
      </c>
      <c r="E3393" t="s">
        <v>26010</v>
      </c>
      <c r="F3393" t="s">
        <v>35</v>
      </c>
      <c r="G3393" t="s">
        <v>22174</v>
      </c>
      <c r="H3393" t="s">
        <v>26011</v>
      </c>
      <c r="I3393" s="26">
        <v>35795</v>
      </c>
      <c r="J3393">
        <v>1997</v>
      </c>
      <c r="K3393" t="s">
        <v>26012</v>
      </c>
      <c r="L3393">
        <v>71</v>
      </c>
      <c r="M3393" t="s">
        <v>38266</v>
      </c>
      <c r="N3393">
        <v>1</v>
      </c>
      <c r="Q3393" t="s">
        <v>38267</v>
      </c>
      <c r="R3393">
        <v>150.19499999999999</v>
      </c>
      <c r="S3393" t="s">
        <v>7661</v>
      </c>
      <c r="T3393" t="s">
        <v>30</v>
      </c>
      <c r="U3393" t="s">
        <v>26116</v>
      </c>
      <c r="W3393" t="s">
        <v>26009</v>
      </c>
    </row>
    <row r="3394" spans="1:23" x14ac:dyDescent="0.35">
      <c r="A3394">
        <v>712329</v>
      </c>
      <c r="B3394" t="s">
        <v>38268</v>
      </c>
      <c r="C3394" t="str">
        <f>"9781855751743"</f>
        <v>9781855751743</v>
      </c>
      <c r="D3394" t="str">
        <f>"9781849402248"</f>
        <v>9781849402248</v>
      </c>
      <c r="E3394" t="s">
        <v>26010</v>
      </c>
      <c r="F3394" t="s">
        <v>35</v>
      </c>
      <c r="G3394" t="s">
        <v>22174</v>
      </c>
      <c r="H3394" t="s">
        <v>26011</v>
      </c>
      <c r="I3394" s="26">
        <v>35795</v>
      </c>
      <c r="J3394">
        <v>1997</v>
      </c>
      <c r="K3394" t="s">
        <v>26012</v>
      </c>
      <c r="L3394">
        <v>178</v>
      </c>
      <c r="M3394" t="s">
        <v>38269</v>
      </c>
      <c r="N3394">
        <v>1</v>
      </c>
      <c r="O3394" t="s">
        <v>36505</v>
      </c>
      <c r="Q3394" t="s">
        <v>38270</v>
      </c>
      <c r="R3394">
        <v>158.30000000000001</v>
      </c>
      <c r="S3394" t="s">
        <v>38271</v>
      </c>
      <c r="T3394" t="s">
        <v>30</v>
      </c>
      <c r="U3394" t="s">
        <v>46</v>
      </c>
      <c r="W3394" t="s">
        <v>26009</v>
      </c>
    </row>
    <row r="3395" spans="1:23" x14ac:dyDescent="0.35">
      <c r="A3395">
        <v>712330</v>
      </c>
      <c r="B3395" t="s">
        <v>9642</v>
      </c>
      <c r="C3395" t="str">
        <f>"9781855751774"</f>
        <v>9781855751774</v>
      </c>
      <c r="D3395" t="str">
        <f>"9781849402255"</f>
        <v>9781849402255</v>
      </c>
      <c r="E3395" t="s">
        <v>26010</v>
      </c>
      <c r="F3395" t="s">
        <v>35</v>
      </c>
      <c r="G3395" t="s">
        <v>22174</v>
      </c>
      <c r="H3395" t="s">
        <v>26011</v>
      </c>
      <c r="I3395" s="26">
        <v>35795</v>
      </c>
      <c r="J3395">
        <v>1997</v>
      </c>
      <c r="K3395" t="s">
        <v>26012</v>
      </c>
      <c r="L3395">
        <v>106</v>
      </c>
      <c r="M3395" t="s">
        <v>38272</v>
      </c>
      <c r="N3395">
        <v>1</v>
      </c>
      <c r="O3395" t="s">
        <v>37571</v>
      </c>
      <c r="Q3395" t="s">
        <v>38273</v>
      </c>
      <c r="R3395">
        <v>362.21</v>
      </c>
      <c r="S3395" t="s">
        <v>38274</v>
      </c>
      <c r="T3395" t="s">
        <v>30</v>
      </c>
      <c r="U3395" t="s">
        <v>26236</v>
      </c>
      <c r="W3395" t="s">
        <v>26009</v>
      </c>
    </row>
    <row r="3396" spans="1:23" x14ac:dyDescent="0.35">
      <c r="A3396">
        <v>712331</v>
      </c>
      <c r="B3396" t="s">
        <v>38275</v>
      </c>
      <c r="C3396" t="str">
        <f>"9781855751439"</f>
        <v>9781855751439</v>
      </c>
      <c r="D3396" t="str">
        <f>"9781849402262"</f>
        <v>9781849402262</v>
      </c>
      <c r="E3396" t="s">
        <v>26010</v>
      </c>
      <c r="F3396" t="s">
        <v>35</v>
      </c>
      <c r="G3396" t="s">
        <v>22174</v>
      </c>
      <c r="H3396" t="s">
        <v>26011</v>
      </c>
      <c r="I3396" s="26">
        <v>35795</v>
      </c>
      <c r="J3396">
        <v>1997</v>
      </c>
      <c r="K3396" t="s">
        <v>26012</v>
      </c>
      <c r="L3396">
        <v>264</v>
      </c>
      <c r="M3396" t="s">
        <v>38276</v>
      </c>
      <c r="N3396">
        <v>1</v>
      </c>
      <c r="Q3396" t="s">
        <v>38277</v>
      </c>
      <c r="R3396" t="s">
        <v>26422</v>
      </c>
      <c r="S3396" t="s">
        <v>38278</v>
      </c>
      <c r="T3396" t="s">
        <v>30</v>
      </c>
      <c r="U3396" t="s">
        <v>26116</v>
      </c>
      <c r="W3396" t="s">
        <v>26009</v>
      </c>
    </row>
    <row r="3397" spans="1:23" x14ac:dyDescent="0.35">
      <c r="A3397">
        <v>712332</v>
      </c>
      <c r="B3397" t="s">
        <v>38279</v>
      </c>
      <c r="C3397" t="str">
        <f>"9781855751286"</f>
        <v>9781855751286</v>
      </c>
      <c r="D3397" t="str">
        <f>"9781849402279"</f>
        <v>9781849402279</v>
      </c>
      <c r="E3397" t="s">
        <v>26010</v>
      </c>
      <c r="F3397" t="s">
        <v>35</v>
      </c>
      <c r="G3397" t="s">
        <v>22174</v>
      </c>
      <c r="H3397" t="s">
        <v>26011</v>
      </c>
      <c r="I3397" s="26">
        <v>35703</v>
      </c>
      <c r="J3397">
        <v>1997</v>
      </c>
      <c r="K3397" t="s">
        <v>26012</v>
      </c>
      <c r="L3397">
        <v>112</v>
      </c>
      <c r="M3397" t="s">
        <v>38280</v>
      </c>
      <c r="N3397">
        <v>1</v>
      </c>
      <c r="Q3397" t="s">
        <v>38281</v>
      </c>
      <c r="R3397">
        <v>658.40599999999995</v>
      </c>
      <c r="S3397" t="s">
        <v>38282</v>
      </c>
      <c r="T3397" t="s">
        <v>30</v>
      </c>
      <c r="U3397" t="s">
        <v>30031</v>
      </c>
      <c r="W3397" t="s">
        <v>26009</v>
      </c>
    </row>
    <row r="3398" spans="1:23" x14ac:dyDescent="0.35">
      <c r="A3398">
        <v>712333</v>
      </c>
      <c r="B3398" t="s">
        <v>8091</v>
      </c>
      <c r="C3398" t="str">
        <f>"9781855751415"</f>
        <v>9781855751415</v>
      </c>
      <c r="D3398" t="str">
        <f>"9781849402286"</f>
        <v>9781849402286</v>
      </c>
      <c r="E3398" t="s">
        <v>26010</v>
      </c>
      <c r="F3398" t="s">
        <v>35</v>
      </c>
      <c r="G3398" t="s">
        <v>22174</v>
      </c>
      <c r="H3398" t="s">
        <v>26011</v>
      </c>
      <c r="I3398" s="26">
        <v>35795</v>
      </c>
      <c r="J3398">
        <v>1997</v>
      </c>
      <c r="K3398" t="s">
        <v>26012</v>
      </c>
      <c r="L3398">
        <v>265</v>
      </c>
      <c r="M3398" t="s">
        <v>38283</v>
      </c>
      <c r="N3398">
        <v>1</v>
      </c>
      <c r="Q3398" t="s">
        <v>38284</v>
      </c>
      <c r="R3398">
        <v>616.89139999999998</v>
      </c>
      <c r="S3398" t="s">
        <v>8092</v>
      </c>
      <c r="T3398" t="s">
        <v>30</v>
      </c>
      <c r="U3398" t="s">
        <v>26019</v>
      </c>
      <c r="W3398" t="s">
        <v>26009</v>
      </c>
    </row>
    <row r="3399" spans="1:23" x14ac:dyDescent="0.35">
      <c r="A3399">
        <v>712334</v>
      </c>
      <c r="B3399" t="s">
        <v>7443</v>
      </c>
      <c r="C3399" t="str">
        <f>"9781855751491"</f>
        <v>9781855751491</v>
      </c>
      <c r="D3399" t="str">
        <f>"9781849402293"</f>
        <v>9781849402293</v>
      </c>
      <c r="E3399" t="s">
        <v>26010</v>
      </c>
      <c r="F3399" t="s">
        <v>35</v>
      </c>
      <c r="G3399" t="s">
        <v>22174</v>
      </c>
      <c r="H3399" t="s">
        <v>26011</v>
      </c>
      <c r="I3399" s="26">
        <v>35795</v>
      </c>
      <c r="J3399">
        <v>1997</v>
      </c>
      <c r="K3399" t="s">
        <v>26012</v>
      </c>
      <c r="L3399">
        <v>169</v>
      </c>
      <c r="M3399" t="s">
        <v>38285</v>
      </c>
      <c r="N3399">
        <v>1</v>
      </c>
      <c r="Q3399" t="s">
        <v>38286</v>
      </c>
      <c r="R3399">
        <v>616.89008349999995</v>
      </c>
      <c r="S3399" t="s">
        <v>7444</v>
      </c>
      <c r="T3399" t="s">
        <v>30</v>
      </c>
      <c r="U3399" t="s">
        <v>26116</v>
      </c>
      <c r="W3399" t="s">
        <v>26009</v>
      </c>
    </row>
    <row r="3400" spans="1:23" x14ac:dyDescent="0.35">
      <c r="A3400">
        <v>712335</v>
      </c>
      <c r="B3400" t="s">
        <v>9981</v>
      </c>
      <c r="C3400" t="str">
        <f>"9781855751613"</f>
        <v>9781855751613</v>
      </c>
      <c r="D3400" t="str">
        <f>"9781849402309"</f>
        <v>9781849402309</v>
      </c>
      <c r="E3400" t="s">
        <v>26010</v>
      </c>
      <c r="F3400" t="s">
        <v>35</v>
      </c>
      <c r="G3400" t="s">
        <v>22174</v>
      </c>
      <c r="H3400" t="s">
        <v>26011</v>
      </c>
      <c r="I3400" s="26">
        <v>35795</v>
      </c>
      <c r="J3400">
        <v>1997</v>
      </c>
      <c r="K3400" t="s">
        <v>26012</v>
      </c>
      <c r="L3400">
        <v>193</v>
      </c>
      <c r="M3400" t="s">
        <v>38287</v>
      </c>
      <c r="N3400">
        <v>1</v>
      </c>
      <c r="O3400" t="s">
        <v>36577</v>
      </c>
      <c r="Q3400" t="s">
        <v>38288</v>
      </c>
      <c r="R3400">
        <v>616.89</v>
      </c>
      <c r="S3400" t="s">
        <v>7661</v>
      </c>
      <c r="T3400" t="s">
        <v>30</v>
      </c>
      <c r="U3400" t="s">
        <v>26019</v>
      </c>
      <c r="W3400" t="s">
        <v>26009</v>
      </c>
    </row>
    <row r="3401" spans="1:23" x14ac:dyDescent="0.35">
      <c r="A3401">
        <v>712337</v>
      </c>
      <c r="B3401" t="s">
        <v>8403</v>
      </c>
      <c r="C3401" t="str">
        <f>"9781855751705"</f>
        <v>9781855751705</v>
      </c>
      <c r="D3401" t="str">
        <f>"9781849402330"</f>
        <v>9781849402330</v>
      </c>
      <c r="E3401" t="s">
        <v>26010</v>
      </c>
      <c r="F3401" t="s">
        <v>35</v>
      </c>
      <c r="G3401" t="s">
        <v>26128</v>
      </c>
      <c r="H3401" t="s">
        <v>26011</v>
      </c>
      <c r="I3401" s="26">
        <v>35795</v>
      </c>
      <c r="J3401">
        <v>1997</v>
      </c>
      <c r="K3401" t="s">
        <v>26012</v>
      </c>
      <c r="L3401">
        <v>121</v>
      </c>
      <c r="M3401" t="s">
        <v>38289</v>
      </c>
      <c r="N3401">
        <v>1</v>
      </c>
      <c r="S3401" t="s">
        <v>7671</v>
      </c>
      <c r="T3401" t="s">
        <v>30</v>
      </c>
      <c r="U3401" t="s">
        <v>46</v>
      </c>
      <c r="W3401" t="s">
        <v>26009</v>
      </c>
    </row>
    <row r="3402" spans="1:23" x14ac:dyDescent="0.35">
      <c r="A3402">
        <v>712338</v>
      </c>
      <c r="B3402" t="s">
        <v>38290</v>
      </c>
      <c r="C3402" t="str">
        <f>"9781855751484"</f>
        <v>9781855751484</v>
      </c>
      <c r="D3402" t="str">
        <f>"9781849402347"</f>
        <v>9781849402347</v>
      </c>
      <c r="E3402" t="s">
        <v>26010</v>
      </c>
      <c r="F3402" t="s">
        <v>35</v>
      </c>
      <c r="G3402" t="s">
        <v>22174</v>
      </c>
      <c r="H3402" t="s">
        <v>26011</v>
      </c>
      <c r="I3402" s="26">
        <v>35795</v>
      </c>
      <c r="J3402">
        <v>1997</v>
      </c>
      <c r="K3402" t="s">
        <v>26012</v>
      </c>
      <c r="L3402">
        <v>97</v>
      </c>
      <c r="M3402" t="s">
        <v>38291</v>
      </c>
      <c r="N3402">
        <v>1</v>
      </c>
      <c r="O3402" t="s">
        <v>36505</v>
      </c>
      <c r="Q3402" t="s">
        <v>38292</v>
      </c>
      <c r="R3402" t="s">
        <v>38293</v>
      </c>
      <c r="S3402" t="s">
        <v>8187</v>
      </c>
      <c r="T3402" t="s">
        <v>30</v>
      </c>
      <c r="U3402" t="s">
        <v>26044</v>
      </c>
      <c r="W3402" t="s">
        <v>26009</v>
      </c>
    </row>
    <row r="3403" spans="1:23" x14ac:dyDescent="0.35">
      <c r="A3403">
        <v>712339</v>
      </c>
      <c r="B3403" t="s">
        <v>38294</v>
      </c>
      <c r="C3403" t="str">
        <f>"9781855751668"</f>
        <v>9781855751668</v>
      </c>
      <c r="D3403" t="str">
        <f>"9780429918421"</f>
        <v>9780429918421</v>
      </c>
      <c r="E3403" t="s">
        <v>26010</v>
      </c>
      <c r="F3403" t="s">
        <v>35</v>
      </c>
      <c r="G3403" t="s">
        <v>22174</v>
      </c>
      <c r="H3403" t="s">
        <v>26011</v>
      </c>
      <c r="I3403" s="26">
        <v>35795</v>
      </c>
      <c r="J3403">
        <v>1997</v>
      </c>
      <c r="K3403" t="s">
        <v>26012</v>
      </c>
      <c r="L3403">
        <v>273</v>
      </c>
      <c r="M3403" t="s">
        <v>38295</v>
      </c>
      <c r="N3403">
        <v>1</v>
      </c>
      <c r="O3403" t="s">
        <v>37283</v>
      </c>
      <c r="Q3403" t="s">
        <v>38296</v>
      </c>
      <c r="R3403">
        <v>616.85835999999995</v>
      </c>
      <c r="S3403" t="s">
        <v>38297</v>
      </c>
      <c r="T3403" t="s">
        <v>30</v>
      </c>
      <c r="U3403" t="s">
        <v>26019</v>
      </c>
      <c r="W3403" t="s">
        <v>26009</v>
      </c>
    </row>
    <row r="3404" spans="1:23" x14ac:dyDescent="0.35">
      <c r="A3404">
        <v>712340</v>
      </c>
      <c r="B3404" t="s">
        <v>10079</v>
      </c>
      <c r="C3404" t="str">
        <f>"9781855751552"</f>
        <v>9781855751552</v>
      </c>
      <c r="D3404" t="str">
        <f>"9781849402385"</f>
        <v>9781849402385</v>
      </c>
      <c r="E3404" t="s">
        <v>26010</v>
      </c>
      <c r="F3404" t="s">
        <v>35</v>
      </c>
      <c r="G3404" t="s">
        <v>22174</v>
      </c>
      <c r="H3404" t="s">
        <v>26011</v>
      </c>
      <c r="I3404" s="26">
        <v>35795</v>
      </c>
      <c r="J3404">
        <v>1997</v>
      </c>
      <c r="K3404" t="s">
        <v>26012</v>
      </c>
      <c r="L3404">
        <v>295</v>
      </c>
      <c r="M3404" t="s">
        <v>36977</v>
      </c>
      <c r="N3404">
        <v>1</v>
      </c>
      <c r="O3404" t="s">
        <v>37292</v>
      </c>
      <c r="Q3404" t="s">
        <v>38298</v>
      </c>
      <c r="R3404">
        <v>616.89170000000001</v>
      </c>
      <c r="S3404" t="s">
        <v>10080</v>
      </c>
      <c r="T3404" t="s">
        <v>30</v>
      </c>
      <c r="U3404" t="s">
        <v>26019</v>
      </c>
      <c r="W3404" t="s">
        <v>26009</v>
      </c>
    </row>
    <row r="3405" spans="1:23" x14ac:dyDescent="0.35">
      <c r="A3405">
        <v>712341</v>
      </c>
      <c r="B3405" t="s">
        <v>9554</v>
      </c>
      <c r="C3405" t="str">
        <f>"9781855751989"</f>
        <v>9781855751989</v>
      </c>
      <c r="D3405" t="str">
        <f>"9781849402552"</f>
        <v>9781849402552</v>
      </c>
      <c r="E3405" t="s">
        <v>26010</v>
      </c>
      <c r="F3405" t="s">
        <v>35</v>
      </c>
      <c r="G3405" t="s">
        <v>22174</v>
      </c>
      <c r="H3405" t="s">
        <v>26011</v>
      </c>
      <c r="I3405" s="26">
        <v>36160</v>
      </c>
      <c r="J3405">
        <v>1998</v>
      </c>
      <c r="K3405" t="s">
        <v>26012</v>
      </c>
      <c r="L3405">
        <v>255</v>
      </c>
      <c r="M3405" t="s">
        <v>38299</v>
      </c>
      <c r="N3405">
        <v>1</v>
      </c>
      <c r="O3405" t="s">
        <v>36577</v>
      </c>
      <c r="Q3405" t="s">
        <v>38300</v>
      </c>
      <c r="R3405">
        <v>616.89170000000001</v>
      </c>
      <c r="S3405" t="s">
        <v>38301</v>
      </c>
      <c r="T3405" t="s">
        <v>30</v>
      </c>
      <c r="U3405" t="s">
        <v>26116</v>
      </c>
      <c r="W3405" t="s">
        <v>26009</v>
      </c>
    </row>
    <row r="3406" spans="1:23" x14ac:dyDescent="0.35">
      <c r="A3406">
        <v>713034</v>
      </c>
      <c r="B3406" t="s">
        <v>7753</v>
      </c>
      <c r="C3406" t="str">
        <f>"9780521518062"</f>
        <v>9780521518062</v>
      </c>
      <c r="D3406" t="str">
        <f>"9781139090926"</f>
        <v>9781139090926</v>
      </c>
      <c r="E3406" t="s">
        <v>167</v>
      </c>
      <c r="F3406" t="s">
        <v>167</v>
      </c>
      <c r="G3406" t="s">
        <v>22179</v>
      </c>
      <c r="H3406" t="s">
        <v>26004</v>
      </c>
      <c r="I3406" s="26">
        <v>40693</v>
      </c>
      <c r="J3406">
        <v>2011</v>
      </c>
      <c r="K3406" t="s">
        <v>167</v>
      </c>
      <c r="L3406">
        <v>1006</v>
      </c>
      <c r="M3406" t="s">
        <v>38302</v>
      </c>
      <c r="N3406">
        <v>1</v>
      </c>
      <c r="O3406" t="s">
        <v>30640</v>
      </c>
      <c r="Q3406" t="s">
        <v>38303</v>
      </c>
      <c r="R3406">
        <v>153.9</v>
      </c>
      <c r="S3406" t="s">
        <v>38304</v>
      </c>
      <c r="T3406" t="s">
        <v>30</v>
      </c>
      <c r="U3406" t="s">
        <v>46</v>
      </c>
      <c r="W3406" t="s">
        <v>26020</v>
      </c>
    </row>
    <row r="3407" spans="1:23" x14ac:dyDescent="0.35">
      <c r="A3407">
        <v>713035</v>
      </c>
      <c r="B3407" t="s">
        <v>38305</v>
      </c>
      <c r="C3407" t="str">
        <f>"9780521853835"</f>
        <v>9780521853835</v>
      </c>
      <c r="D3407" t="str">
        <f>"9781139090841"</f>
        <v>9781139090841</v>
      </c>
      <c r="E3407" t="s">
        <v>167</v>
      </c>
      <c r="F3407" t="s">
        <v>167</v>
      </c>
      <c r="G3407" t="s">
        <v>22218</v>
      </c>
      <c r="H3407" t="s">
        <v>26011</v>
      </c>
      <c r="I3407" s="26">
        <v>40710</v>
      </c>
      <c r="J3407">
        <v>2011</v>
      </c>
      <c r="K3407" t="s">
        <v>167</v>
      </c>
      <c r="L3407">
        <v>310</v>
      </c>
      <c r="M3407" t="s">
        <v>38306</v>
      </c>
      <c r="N3407">
        <v>1</v>
      </c>
      <c r="O3407" t="s">
        <v>27259</v>
      </c>
      <c r="Q3407" t="s">
        <v>38307</v>
      </c>
      <c r="R3407">
        <v>302.23099999999999</v>
      </c>
      <c r="S3407" t="s">
        <v>38308</v>
      </c>
      <c r="T3407" t="s">
        <v>30</v>
      </c>
      <c r="U3407" t="s">
        <v>26044</v>
      </c>
      <c r="W3407" t="s">
        <v>26020</v>
      </c>
    </row>
    <row r="3408" spans="1:23" x14ac:dyDescent="0.35">
      <c r="A3408">
        <v>713050</v>
      </c>
      <c r="B3408" t="s">
        <v>38309</v>
      </c>
      <c r="C3408" t="str">
        <f>"9780521868679"</f>
        <v>9780521868679</v>
      </c>
      <c r="D3408" t="str">
        <f>"9781139090858"</f>
        <v>9781139090858</v>
      </c>
      <c r="E3408" t="s">
        <v>167</v>
      </c>
      <c r="F3408" t="s">
        <v>167</v>
      </c>
      <c r="G3408" t="s">
        <v>22179</v>
      </c>
      <c r="H3408" t="s">
        <v>26004</v>
      </c>
      <c r="I3408" s="26">
        <v>40743</v>
      </c>
      <c r="J3408">
        <v>2011</v>
      </c>
      <c r="K3408" t="s">
        <v>167</v>
      </c>
      <c r="L3408">
        <v>260</v>
      </c>
      <c r="M3408" t="s">
        <v>38310</v>
      </c>
      <c r="N3408">
        <v>1</v>
      </c>
      <c r="O3408" t="s">
        <v>38311</v>
      </c>
      <c r="Q3408" t="s">
        <v>38312</v>
      </c>
      <c r="R3408" t="s">
        <v>33999</v>
      </c>
      <c r="S3408" t="s">
        <v>38313</v>
      </c>
      <c r="T3408" t="s">
        <v>30</v>
      </c>
      <c r="U3408" t="s">
        <v>26250</v>
      </c>
      <c r="W3408" t="s">
        <v>26020</v>
      </c>
    </row>
    <row r="3409" spans="1:23" x14ac:dyDescent="0.35">
      <c r="A3409">
        <v>713057</v>
      </c>
      <c r="B3409" t="s">
        <v>38314</v>
      </c>
      <c r="C3409" t="str">
        <f>"9781107006089"</f>
        <v>9781107006089</v>
      </c>
      <c r="D3409" t="str">
        <f>"9781139091244"</f>
        <v>9781139091244</v>
      </c>
      <c r="E3409" t="s">
        <v>167</v>
      </c>
      <c r="F3409" t="s">
        <v>167</v>
      </c>
      <c r="G3409" t="s">
        <v>22218</v>
      </c>
      <c r="H3409" t="s">
        <v>26011</v>
      </c>
      <c r="I3409" s="26">
        <v>40689</v>
      </c>
      <c r="J3409">
        <v>2011</v>
      </c>
      <c r="K3409" t="s">
        <v>167</v>
      </c>
      <c r="L3409">
        <v>502</v>
      </c>
      <c r="M3409" t="s">
        <v>38315</v>
      </c>
      <c r="N3409">
        <v>1</v>
      </c>
      <c r="Q3409" t="s">
        <v>38316</v>
      </c>
      <c r="R3409" t="s">
        <v>38317</v>
      </c>
      <c r="S3409" t="s">
        <v>38318</v>
      </c>
      <c r="T3409" t="s">
        <v>30</v>
      </c>
      <c r="U3409" t="s">
        <v>26099</v>
      </c>
      <c r="W3409" t="s">
        <v>26020</v>
      </c>
    </row>
    <row r="3410" spans="1:23" x14ac:dyDescent="0.35">
      <c r="A3410">
        <v>713095</v>
      </c>
      <c r="B3410" t="s">
        <v>38319</v>
      </c>
      <c r="C3410" t="str">
        <f>"9789042033382"</f>
        <v>9789042033382</v>
      </c>
      <c r="D3410" t="str">
        <f>"9789401200387"</f>
        <v>9789401200387</v>
      </c>
      <c r="E3410" t="s">
        <v>4602</v>
      </c>
      <c r="F3410" t="s">
        <v>27</v>
      </c>
      <c r="G3410" t="s">
        <v>22231</v>
      </c>
      <c r="H3410" t="s">
        <v>26004</v>
      </c>
      <c r="I3410" s="26">
        <v>40544</v>
      </c>
      <c r="J3410">
        <v>2011</v>
      </c>
      <c r="K3410" t="s">
        <v>34659</v>
      </c>
      <c r="L3410">
        <v>224</v>
      </c>
      <c r="M3410" t="s">
        <v>38320</v>
      </c>
      <c r="N3410">
        <v>1</v>
      </c>
      <c r="O3410" t="s">
        <v>34661</v>
      </c>
      <c r="P3410">
        <v>75</v>
      </c>
      <c r="T3410" t="s">
        <v>30</v>
      </c>
      <c r="U3410" t="s">
        <v>26228</v>
      </c>
      <c r="W3410" t="s">
        <v>26009</v>
      </c>
    </row>
    <row r="3411" spans="1:23" x14ac:dyDescent="0.35">
      <c r="A3411">
        <v>713454</v>
      </c>
      <c r="B3411" t="s">
        <v>7441</v>
      </c>
      <c r="C3411" t="str">
        <f>"9780857249050"</f>
        <v>9780857249050</v>
      </c>
      <c r="D3411" t="str">
        <f>"9780857249067"</f>
        <v>9780857249067</v>
      </c>
      <c r="E3411" t="s">
        <v>7442</v>
      </c>
      <c r="F3411" t="s">
        <v>7442</v>
      </c>
      <c r="G3411" t="s">
        <v>22261</v>
      </c>
      <c r="H3411" t="s">
        <v>26011</v>
      </c>
      <c r="I3411" s="26">
        <v>40690</v>
      </c>
      <c r="J3411">
        <v>2011</v>
      </c>
      <c r="K3411" t="s">
        <v>7442</v>
      </c>
      <c r="L3411">
        <v>160</v>
      </c>
      <c r="M3411" t="s">
        <v>38321</v>
      </c>
      <c r="N3411">
        <v>1</v>
      </c>
      <c r="O3411" t="s">
        <v>38322</v>
      </c>
      <c r="P3411">
        <v>15</v>
      </c>
      <c r="S3411" t="s">
        <v>38323</v>
      </c>
      <c r="T3411" t="s">
        <v>30</v>
      </c>
      <c r="U3411" t="s">
        <v>337</v>
      </c>
      <c r="W3411" t="s">
        <v>33559</v>
      </c>
    </row>
    <row r="3412" spans="1:23" x14ac:dyDescent="0.35">
      <c r="A3412">
        <v>713663</v>
      </c>
      <c r="B3412" t="s">
        <v>38324</v>
      </c>
      <c r="C3412" t="str">
        <f>"9780253356031"</f>
        <v>9780253356031</v>
      </c>
      <c r="D3412" t="str">
        <f>"9780253000880"</f>
        <v>9780253000880</v>
      </c>
      <c r="E3412" t="s">
        <v>7540</v>
      </c>
      <c r="F3412" t="s">
        <v>7540</v>
      </c>
      <c r="G3412" t="s">
        <v>24303</v>
      </c>
      <c r="H3412" t="s">
        <v>26004</v>
      </c>
      <c r="I3412" s="26">
        <v>40632</v>
      </c>
      <c r="J3412">
        <v>2011</v>
      </c>
      <c r="K3412" t="s">
        <v>7540</v>
      </c>
      <c r="L3412">
        <v>330</v>
      </c>
      <c r="M3412" t="s">
        <v>38325</v>
      </c>
      <c r="N3412">
        <v>1</v>
      </c>
      <c r="O3412" t="s">
        <v>38326</v>
      </c>
      <c r="Q3412" t="s">
        <v>38327</v>
      </c>
      <c r="R3412">
        <v>780.71</v>
      </c>
      <c r="S3412" t="s">
        <v>38328</v>
      </c>
      <c r="T3412" t="s">
        <v>30</v>
      </c>
      <c r="U3412" t="s">
        <v>27699</v>
      </c>
      <c r="W3412" t="s">
        <v>26009</v>
      </c>
    </row>
    <row r="3413" spans="1:23" x14ac:dyDescent="0.35">
      <c r="A3413">
        <v>713703</v>
      </c>
      <c r="B3413" t="s">
        <v>8906</v>
      </c>
      <c r="C3413" t="str">
        <f>"9780253356192"</f>
        <v>9780253356192</v>
      </c>
      <c r="D3413" t="str">
        <f>"9780253001726"</f>
        <v>9780253001726</v>
      </c>
      <c r="E3413" t="s">
        <v>7540</v>
      </c>
      <c r="F3413" t="s">
        <v>7540</v>
      </c>
      <c r="G3413" t="s">
        <v>24303</v>
      </c>
      <c r="H3413" t="s">
        <v>26004</v>
      </c>
      <c r="I3413" s="26">
        <v>40686</v>
      </c>
      <c r="J3413">
        <v>2011</v>
      </c>
      <c r="K3413" t="s">
        <v>7540</v>
      </c>
      <c r="L3413">
        <v>328</v>
      </c>
      <c r="M3413" t="s">
        <v>38329</v>
      </c>
      <c r="N3413">
        <v>1</v>
      </c>
      <c r="Q3413" t="s">
        <v>38330</v>
      </c>
      <c r="R3413" t="s">
        <v>30947</v>
      </c>
      <c r="S3413" t="s">
        <v>38331</v>
      </c>
      <c r="T3413" t="s">
        <v>30</v>
      </c>
      <c r="U3413" t="s">
        <v>29032</v>
      </c>
      <c r="W3413" t="s">
        <v>26009</v>
      </c>
    </row>
    <row r="3414" spans="1:23" x14ac:dyDescent="0.35">
      <c r="A3414">
        <v>713797</v>
      </c>
      <c r="B3414" t="s">
        <v>38332</v>
      </c>
      <c r="C3414" t="str">
        <f>"9781855754577"</f>
        <v>9781855754577</v>
      </c>
      <c r="D3414" t="str">
        <f>"9781849408523"</f>
        <v>9781849408523</v>
      </c>
      <c r="E3414" t="s">
        <v>26010</v>
      </c>
      <c r="F3414" t="s">
        <v>35</v>
      </c>
      <c r="G3414" t="s">
        <v>22174</v>
      </c>
      <c r="H3414" t="s">
        <v>26011</v>
      </c>
      <c r="I3414" s="26">
        <v>39891</v>
      </c>
      <c r="J3414">
        <v>2009</v>
      </c>
      <c r="K3414" t="s">
        <v>26012</v>
      </c>
      <c r="L3414">
        <v>413</v>
      </c>
      <c r="M3414" t="s">
        <v>38333</v>
      </c>
      <c r="N3414">
        <v>1</v>
      </c>
      <c r="Q3414" t="s">
        <v>38334</v>
      </c>
      <c r="R3414">
        <v>327.101</v>
      </c>
      <c r="S3414" t="s">
        <v>38335</v>
      </c>
      <c r="T3414" t="s">
        <v>30</v>
      </c>
      <c r="U3414" t="s">
        <v>38336</v>
      </c>
      <c r="W3414" t="s">
        <v>26009</v>
      </c>
    </row>
    <row r="3415" spans="1:23" x14ac:dyDescent="0.35">
      <c r="A3415">
        <v>713799</v>
      </c>
      <c r="B3415" t="s">
        <v>38337</v>
      </c>
      <c r="C3415" t="str">
        <f>"9781855758698"</f>
        <v>9781855758698</v>
      </c>
      <c r="D3415" t="str">
        <f>"9781849408882"</f>
        <v>9781849408882</v>
      </c>
      <c r="E3415" t="s">
        <v>26010</v>
      </c>
      <c r="F3415" t="s">
        <v>35</v>
      </c>
      <c r="G3415" t="s">
        <v>26128</v>
      </c>
      <c r="H3415" t="s">
        <v>26011</v>
      </c>
      <c r="I3415" s="26">
        <v>40908</v>
      </c>
      <c r="J3415">
        <v>2011</v>
      </c>
      <c r="K3415" t="s">
        <v>26012</v>
      </c>
      <c r="L3415">
        <v>520</v>
      </c>
      <c r="M3415" t="s">
        <v>38338</v>
      </c>
      <c r="N3415">
        <v>1</v>
      </c>
      <c r="O3415" t="s">
        <v>38339</v>
      </c>
      <c r="Q3415" t="s">
        <v>38340</v>
      </c>
      <c r="S3415" t="s">
        <v>7661</v>
      </c>
      <c r="T3415" t="s">
        <v>30</v>
      </c>
      <c r="U3415" t="s">
        <v>46</v>
      </c>
      <c r="W3415" t="s">
        <v>26009</v>
      </c>
    </row>
    <row r="3416" spans="1:23" x14ac:dyDescent="0.35">
      <c r="A3416">
        <v>714026</v>
      </c>
      <c r="B3416" t="s">
        <v>38341</v>
      </c>
      <c r="C3416" t="str">
        <f>"9781848720381"</f>
        <v>9781848720381</v>
      </c>
      <c r="D3416" t="str">
        <f>"9780203825761"</f>
        <v>9780203825761</v>
      </c>
      <c r="E3416" t="s">
        <v>26010</v>
      </c>
      <c r="F3416" t="s">
        <v>35</v>
      </c>
      <c r="G3416" t="s">
        <v>22267</v>
      </c>
      <c r="H3416" t="s">
        <v>26011</v>
      </c>
      <c r="I3416" s="26">
        <v>40749</v>
      </c>
      <c r="J3416">
        <v>2011</v>
      </c>
      <c r="K3416" t="s">
        <v>660</v>
      </c>
      <c r="L3416">
        <v>267</v>
      </c>
      <c r="M3416" t="s">
        <v>38342</v>
      </c>
      <c r="N3416">
        <v>1</v>
      </c>
      <c r="Q3416" t="s">
        <v>38343</v>
      </c>
      <c r="R3416">
        <v>616.85882000000004</v>
      </c>
      <c r="S3416" t="s">
        <v>9192</v>
      </c>
      <c r="T3416" t="s">
        <v>30</v>
      </c>
      <c r="U3416" t="s">
        <v>26019</v>
      </c>
      <c r="W3416" t="s">
        <v>26009</v>
      </c>
    </row>
    <row r="3417" spans="1:23" x14ac:dyDescent="0.35">
      <c r="A3417">
        <v>714187</v>
      </c>
      <c r="B3417" t="s">
        <v>9861</v>
      </c>
      <c r="C3417" t="str">
        <f>"9780335238156"</f>
        <v>9780335238156</v>
      </c>
      <c r="D3417" t="str">
        <f>"9780335238163"</f>
        <v>9780335238163</v>
      </c>
      <c r="E3417" t="s">
        <v>29061</v>
      </c>
      <c r="F3417" t="s">
        <v>7477</v>
      </c>
      <c r="G3417" t="s">
        <v>29068</v>
      </c>
      <c r="H3417" t="s">
        <v>26011</v>
      </c>
      <c r="I3417" s="26">
        <v>40544</v>
      </c>
      <c r="J3417">
        <v>2011</v>
      </c>
      <c r="K3417" t="s">
        <v>29063</v>
      </c>
      <c r="L3417">
        <v>333</v>
      </c>
      <c r="M3417" t="s">
        <v>38344</v>
      </c>
      <c r="N3417">
        <v>2</v>
      </c>
      <c r="O3417" t="s">
        <v>29070</v>
      </c>
      <c r="T3417" t="s">
        <v>30</v>
      </c>
      <c r="U3417" t="s">
        <v>46</v>
      </c>
      <c r="W3417" t="s">
        <v>26009</v>
      </c>
    </row>
    <row r="3418" spans="1:23" x14ac:dyDescent="0.35">
      <c r="A3418">
        <v>716245</v>
      </c>
      <c r="B3418" t="s">
        <v>38345</v>
      </c>
      <c r="C3418" t="str">
        <f>"9781902806938"</f>
        <v>9781902806938</v>
      </c>
      <c r="D3418" t="str">
        <f>"9781905313846"</f>
        <v>9781905313846</v>
      </c>
      <c r="E3418" t="s">
        <v>27422</v>
      </c>
      <c r="F3418" t="s">
        <v>9622</v>
      </c>
      <c r="G3418" t="s">
        <v>38346</v>
      </c>
      <c r="H3418" t="s">
        <v>26004</v>
      </c>
      <c r="I3418" s="26">
        <v>40057</v>
      </c>
      <c r="J3418">
        <v>2009</v>
      </c>
      <c r="K3418" t="s">
        <v>9622</v>
      </c>
      <c r="L3418">
        <v>225</v>
      </c>
      <c r="M3418" t="s">
        <v>38347</v>
      </c>
      <c r="Q3418" t="s">
        <v>38348</v>
      </c>
      <c r="R3418">
        <v>130</v>
      </c>
      <c r="S3418" t="s">
        <v>38349</v>
      </c>
      <c r="T3418" t="s">
        <v>30</v>
      </c>
      <c r="U3418" t="s">
        <v>26520</v>
      </c>
      <c r="W3418" t="s">
        <v>31887</v>
      </c>
    </row>
    <row r="3419" spans="1:23" x14ac:dyDescent="0.35">
      <c r="A3419">
        <v>716279</v>
      </c>
      <c r="B3419" t="s">
        <v>38350</v>
      </c>
      <c r="C3419" t="str">
        <f>"9781855754461"</f>
        <v>9781855754461</v>
      </c>
      <c r="D3419" t="str">
        <f>"9781849405157"</f>
        <v>9781849405157</v>
      </c>
      <c r="E3419" t="s">
        <v>26010</v>
      </c>
      <c r="F3419" t="s">
        <v>35</v>
      </c>
      <c r="G3419" t="s">
        <v>26128</v>
      </c>
      <c r="H3419" t="s">
        <v>26011</v>
      </c>
      <c r="I3419" s="26">
        <v>38762</v>
      </c>
      <c r="J3419">
        <v>2006</v>
      </c>
      <c r="K3419" t="s">
        <v>26012</v>
      </c>
      <c r="L3419">
        <v>189</v>
      </c>
      <c r="M3419" t="s">
        <v>37146</v>
      </c>
      <c r="N3419">
        <v>1</v>
      </c>
      <c r="R3419">
        <v>616.89152000000001</v>
      </c>
      <c r="S3419" t="s">
        <v>31759</v>
      </c>
      <c r="T3419" t="s">
        <v>30</v>
      </c>
      <c r="U3419" t="s">
        <v>26040</v>
      </c>
      <c r="W3419" t="s">
        <v>26009</v>
      </c>
    </row>
    <row r="3420" spans="1:23" x14ac:dyDescent="0.35">
      <c r="A3420">
        <v>716281</v>
      </c>
      <c r="B3420" t="s">
        <v>38351</v>
      </c>
      <c r="C3420" t="str">
        <f>"9781855757271"</f>
        <v>9781855757271</v>
      </c>
      <c r="D3420" t="str">
        <f>"9781849409001"</f>
        <v>9781849409001</v>
      </c>
      <c r="E3420" t="s">
        <v>26010</v>
      </c>
      <c r="F3420" t="s">
        <v>35</v>
      </c>
      <c r="G3420" t="s">
        <v>22174</v>
      </c>
      <c r="H3420" t="s">
        <v>26011</v>
      </c>
      <c r="I3420" s="26">
        <v>40908</v>
      </c>
      <c r="J3420">
        <v>2011</v>
      </c>
      <c r="K3420" t="s">
        <v>26012</v>
      </c>
      <c r="L3420">
        <v>225</v>
      </c>
      <c r="M3420" t="s">
        <v>38352</v>
      </c>
      <c r="N3420">
        <v>1</v>
      </c>
      <c r="Q3420" t="s">
        <v>38353</v>
      </c>
      <c r="R3420">
        <v>616.89143000000001</v>
      </c>
      <c r="S3420" t="s">
        <v>38354</v>
      </c>
      <c r="T3420" t="s">
        <v>30</v>
      </c>
      <c r="U3420" t="s">
        <v>26019</v>
      </c>
      <c r="W3420" t="s">
        <v>26009</v>
      </c>
    </row>
    <row r="3421" spans="1:23" x14ac:dyDescent="0.35">
      <c r="A3421">
        <v>716283</v>
      </c>
      <c r="B3421" t="s">
        <v>38355</v>
      </c>
      <c r="C3421" t="str">
        <f>"9781855758001"</f>
        <v>9781855758001</v>
      </c>
      <c r="D3421" t="str">
        <f>"9781849408981"</f>
        <v>9781849408981</v>
      </c>
      <c r="E3421" t="s">
        <v>26010</v>
      </c>
      <c r="F3421" t="s">
        <v>35</v>
      </c>
      <c r="G3421" t="s">
        <v>22174</v>
      </c>
      <c r="H3421" t="s">
        <v>26011</v>
      </c>
      <c r="I3421" s="26">
        <v>40908</v>
      </c>
      <c r="J3421">
        <v>2011</v>
      </c>
      <c r="K3421" t="s">
        <v>26012</v>
      </c>
      <c r="L3421">
        <v>395</v>
      </c>
      <c r="M3421" t="s">
        <v>38356</v>
      </c>
      <c r="N3421">
        <v>1</v>
      </c>
      <c r="O3421" t="s">
        <v>36568</v>
      </c>
      <c r="Q3421" t="s">
        <v>38357</v>
      </c>
      <c r="R3421">
        <v>616.89170000000001</v>
      </c>
      <c r="S3421" t="s">
        <v>38358</v>
      </c>
      <c r="T3421" t="s">
        <v>30</v>
      </c>
      <c r="U3421" t="s">
        <v>26019</v>
      </c>
      <c r="W3421" t="s">
        <v>26009</v>
      </c>
    </row>
    <row r="3422" spans="1:23" x14ac:dyDescent="0.35">
      <c r="A3422">
        <v>716284</v>
      </c>
      <c r="B3422" t="s">
        <v>38359</v>
      </c>
      <c r="C3422" t="str">
        <f>"9781855758469"</f>
        <v>9781855758469</v>
      </c>
      <c r="D3422" t="str">
        <f>"9781849409032"</f>
        <v>9781849409032</v>
      </c>
      <c r="E3422" t="s">
        <v>26010</v>
      </c>
      <c r="F3422" t="s">
        <v>35</v>
      </c>
      <c r="G3422" t="s">
        <v>22174</v>
      </c>
      <c r="H3422" t="s">
        <v>26011</v>
      </c>
      <c r="I3422" s="26">
        <v>40908</v>
      </c>
      <c r="J3422">
        <v>2011</v>
      </c>
      <c r="K3422" t="s">
        <v>26012</v>
      </c>
      <c r="L3422">
        <v>228</v>
      </c>
      <c r="M3422" t="s">
        <v>38360</v>
      </c>
      <c r="N3422">
        <v>1</v>
      </c>
      <c r="Q3422" t="s">
        <v>38361</v>
      </c>
      <c r="R3422">
        <v>142.78</v>
      </c>
      <c r="S3422" t="s">
        <v>7677</v>
      </c>
      <c r="T3422" t="s">
        <v>30</v>
      </c>
      <c r="U3422" t="s">
        <v>28189</v>
      </c>
      <c r="W3422" t="s">
        <v>26009</v>
      </c>
    </row>
    <row r="3423" spans="1:23" x14ac:dyDescent="0.35">
      <c r="A3423">
        <v>716285</v>
      </c>
      <c r="B3423" t="s">
        <v>38362</v>
      </c>
      <c r="C3423" t="str">
        <f>"9781855758766"</f>
        <v>9781855758766</v>
      </c>
      <c r="D3423" t="str">
        <f>"9781849409056"</f>
        <v>9781849409056</v>
      </c>
      <c r="E3423" t="s">
        <v>26010</v>
      </c>
      <c r="F3423" t="s">
        <v>35</v>
      </c>
      <c r="G3423" t="s">
        <v>22174</v>
      </c>
      <c r="H3423" t="s">
        <v>26011</v>
      </c>
      <c r="I3423" s="26">
        <v>40908</v>
      </c>
      <c r="J3423">
        <v>2011</v>
      </c>
      <c r="K3423" t="s">
        <v>26012</v>
      </c>
      <c r="L3423">
        <v>344</v>
      </c>
      <c r="M3423" t="s">
        <v>37346</v>
      </c>
      <c r="N3423">
        <v>1</v>
      </c>
      <c r="Q3423" t="s">
        <v>38363</v>
      </c>
      <c r="R3423">
        <v>616.89170000000001</v>
      </c>
      <c r="S3423" t="s">
        <v>38364</v>
      </c>
      <c r="T3423" t="s">
        <v>30</v>
      </c>
      <c r="U3423" t="s">
        <v>26116</v>
      </c>
      <c r="W3423" t="s">
        <v>26009</v>
      </c>
    </row>
    <row r="3424" spans="1:23" x14ac:dyDescent="0.35">
      <c r="A3424">
        <v>716495</v>
      </c>
      <c r="B3424" t="s">
        <v>38365</v>
      </c>
      <c r="C3424" t="str">
        <f>"9780415590174"</f>
        <v>9780415590174</v>
      </c>
      <c r="D3424" t="str">
        <f>"9780203822159"</f>
        <v>9780203822159</v>
      </c>
      <c r="E3424" t="s">
        <v>26010</v>
      </c>
      <c r="F3424" t="s">
        <v>35</v>
      </c>
      <c r="G3424" t="s">
        <v>22174</v>
      </c>
      <c r="H3424" t="s">
        <v>26011</v>
      </c>
      <c r="I3424" s="26">
        <v>40750</v>
      </c>
      <c r="J3424">
        <v>2011</v>
      </c>
      <c r="K3424" t="s">
        <v>26012</v>
      </c>
      <c r="L3424">
        <v>243</v>
      </c>
      <c r="M3424" t="s">
        <v>38366</v>
      </c>
      <c r="N3424">
        <v>1</v>
      </c>
      <c r="Q3424" t="s">
        <v>38367</v>
      </c>
      <c r="R3424">
        <v>362.1</v>
      </c>
      <c r="S3424" t="s">
        <v>7489</v>
      </c>
      <c r="T3424" t="s">
        <v>30</v>
      </c>
      <c r="U3424" t="s">
        <v>26250</v>
      </c>
      <c r="W3424" t="s">
        <v>26009</v>
      </c>
    </row>
    <row r="3425" spans="1:23" x14ac:dyDescent="0.35">
      <c r="A3425">
        <v>716553</v>
      </c>
      <c r="B3425" t="s">
        <v>38368</v>
      </c>
      <c r="C3425" t="str">
        <f>"9781599471433"</f>
        <v>9781599471433</v>
      </c>
      <c r="D3425" t="str">
        <f>"9781599472454"</f>
        <v>9781599472454</v>
      </c>
      <c r="E3425" t="s">
        <v>3024</v>
      </c>
      <c r="F3425" t="s">
        <v>9450</v>
      </c>
      <c r="G3425" t="s">
        <v>23823</v>
      </c>
      <c r="H3425" t="s">
        <v>26004</v>
      </c>
      <c r="I3425" s="26">
        <v>39722</v>
      </c>
      <c r="J3425">
        <v>2008</v>
      </c>
      <c r="K3425" t="s">
        <v>9450</v>
      </c>
      <c r="L3425">
        <v>393</v>
      </c>
      <c r="M3425" t="s">
        <v>38369</v>
      </c>
      <c r="N3425">
        <v>1</v>
      </c>
      <c r="Q3425" t="s">
        <v>38370</v>
      </c>
      <c r="R3425">
        <v>204.08349999999999</v>
      </c>
      <c r="S3425" t="s">
        <v>38371</v>
      </c>
      <c r="T3425" t="s">
        <v>30</v>
      </c>
      <c r="U3425" t="s">
        <v>11247</v>
      </c>
      <c r="W3425" t="s">
        <v>26009</v>
      </c>
    </row>
    <row r="3426" spans="1:23" x14ac:dyDescent="0.35">
      <c r="A3426">
        <v>716651</v>
      </c>
      <c r="B3426" t="s">
        <v>38372</v>
      </c>
      <c r="C3426" t="str">
        <f>"9780199262052"</f>
        <v>9780199262052</v>
      </c>
      <c r="D3426" t="str">
        <f>"9780191532214"</f>
        <v>9780191532214</v>
      </c>
      <c r="E3426" t="s">
        <v>371</v>
      </c>
      <c r="F3426" t="s">
        <v>31</v>
      </c>
      <c r="G3426" t="s">
        <v>22242</v>
      </c>
      <c r="H3426" t="s">
        <v>26011</v>
      </c>
      <c r="I3426" s="26">
        <v>38127</v>
      </c>
      <c r="J3426">
        <v>2004</v>
      </c>
      <c r="K3426" t="s">
        <v>31</v>
      </c>
      <c r="L3426">
        <v>472</v>
      </c>
      <c r="M3426" t="s">
        <v>38373</v>
      </c>
      <c r="Q3426" t="s">
        <v>38374</v>
      </c>
      <c r="R3426">
        <v>303.3</v>
      </c>
      <c r="S3426" t="s">
        <v>38375</v>
      </c>
      <c r="T3426" t="s">
        <v>30</v>
      </c>
      <c r="U3426" t="s">
        <v>26044</v>
      </c>
      <c r="W3426" t="s">
        <v>26009</v>
      </c>
    </row>
    <row r="3427" spans="1:23" x14ac:dyDescent="0.35">
      <c r="A3427">
        <v>716657</v>
      </c>
      <c r="B3427" t="s">
        <v>38376</v>
      </c>
      <c r="C3427" t="str">
        <f>"9780199744688"</f>
        <v>9780199744688</v>
      </c>
      <c r="D3427" t="str">
        <f>"9780199876815"</f>
        <v>9780199876815</v>
      </c>
      <c r="E3427" t="s">
        <v>371</v>
      </c>
      <c r="F3427" t="s">
        <v>31</v>
      </c>
      <c r="G3427" t="s">
        <v>22703</v>
      </c>
      <c r="H3427" t="s">
        <v>26004</v>
      </c>
      <c r="I3427" s="26">
        <v>40704</v>
      </c>
      <c r="J3427">
        <v>2011</v>
      </c>
      <c r="K3427" t="s">
        <v>31</v>
      </c>
      <c r="L3427">
        <v>206</v>
      </c>
      <c r="M3427" t="s">
        <v>38377</v>
      </c>
      <c r="Q3427" t="s">
        <v>38378</v>
      </c>
      <c r="R3427">
        <v>615.78083000000004</v>
      </c>
      <c r="S3427" t="s">
        <v>38379</v>
      </c>
      <c r="T3427" t="s">
        <v>30</v>
      </c>
      <c r="U3427" t="s">
        <v>31208</v>
      </c>
      <c r="W3427" t="s">
        <v>26009</v>
      </c>
    </row>
    <row r="3428" spans="1:23" x14ac:dyDescent="0.35">
      <c r="A3428">
        <v>716731</v>
      </c>
      <c r="B3428" t="s">
        <v>38380</v>
      </c>
      <c r="C3428" t="str">
        <f>"9780198295594"</f>
        <v>9780198295594</v>
      </c>
      <c r="D3428" t="str">
        <f>"9780191522512"</f>
        <v>9780191522512</v>
      </c>
      <c r="E3428" t="s">
        <v>371</v>
      </c>
      <c r="F3428" t="s">
        <v>31</v>
      </c>
      <c r="G3428" t="s">
        <v>22242</v>
      </c>
      <c r="H3428" t="s">
        <v>26011</v>
      </c>
      <c r="I3428" s="26">
        <v>37637</v>
      </c>
      <c r="J3428">
        <v>2000</v>
      </c>
      <c r="K3428" t="s">
        <v>31</v>
      </c>
      <c r="L3428">
        <v>181</v>
      </c>
      <c r="M3428" t="s">
        <v>38381</v>
      </c>
      <c r="Q3428" t="s">
        <v>38382</v>
      </c>
      <c r="R3428" t="s">
        <v>26200</v>
      </c>
      <c r="S3428" t="s">
        <v>38383</v>
      </c>
      <c r="T3428" t="s">
        <v>30</v>
      </c>
      <c r="U3428" t="s">
        <v>26044</v>
      </c>
      <c r="W3428" t="s">
        <v>26009</v>
      </c>
    </row>
    <row r="3429" spans="1:23" x14ac:dyDescent="0.35">
      <c r="A3429">
        <v>717385</v>
      </c>
      <c r="B3429" t="s">
        <v>38384</v>
      </c>
      <c r="C3429" t="str">
        <f>"9780826116345"</f>
        <v>9780826116345</v>
      </c>
      <c r="D3429" t="str">
        <f>"9780826116352"</f>
        <v>9780826116352</v>
      </c>
      <c r="E3429" t="s">
        <v>1504</v>
      </c>
      <c r="F3429" t="s">
        <v>33</v>
      </c>
      <c r="G3429" t="s">
        <v>22179</v>
      </c>
      <c r="H3429" t="s">
        <v>26004</v>
      </c>
      <c r="I3429" s="26">
        <v>40452</v>
      </c>
      <c r="J3429">
        <v>2011</v>
      </c>
      <c r="K3429" t="s">
        <v>33</v>
      </c>
      <c r="L3429">
        <v>316</v>
      </c>
      <c r="M3429" t="s">
        <v>38385</v>
      </c>
      <c r="N3429">
        <v>1</v>
      </c>
      <c r="Q3429" t="s">
        <v>38386</v>
      </c>
      <c r="R3429">
        <v>174.2</v>
      </c>
      <c r="S3429" t="s">
        <v>38387</v>
      </c>
      <c r="T3429" t="s">
        <v>30</v>
      </c>
      <c r="U3429" t="s">
        <v>38388</v>
      </c>
      <c r="W3429" t="s">
        <v>26009</v>
      </c>
    </row>
    <row r="3430" spans="1:23" x14ac:dyDescent="0.35">
      <c r="A3430">
        <v>717389</v>
      </c>
      <c r="B3430" t="s">
        <v>38389</v>
      </c>
      <c r="C3430" t="str">
        <f>"9780826106216"</f>
        <v>9780826106216</v>
      </c>
      <c r="D3430" t="str">
        <f>"9780826106223"</f>
        <v>9780826106223</v>
      </c>
      <c r="E3430" t="s">
        <v>1504</v>
      </c>
      <c r="F3430" t="s">
        <v>33</v>
      </c>
      <c r="G3430" t="s">
        <v>22179</v>
      </c>
      <c r="H3430" t="s">
        <v>26004</v>
      </c>
      <c r="I3430" s="26">
        <v>40695</v>
      </c>
      <c r="J3430">
        <v>2011</v>
      </c>
      <c r="K3430" t="s">
        <v>33</v>
      </c>
      <c r="L3430">
        <v>257</v>
      </c>
      <c r="M3430" t="s">
        <v>38390</v>
      </c>
      <c r="N3430">
        <v>1</v>
      </c>
      <c r="Q3430" t="s">
        <v>38391</v>
      </c>
      <c r="S3430" t="s">
        <v>38392</v>
      </c>
      <c r="T3430" t="s">
        <v>30</v>
      </c>
      <c r="U3430" t="s">
        <v>26040</v>
      </c>
      <c r="W3430" t="s">
        <v>26009</v>
      </c>
    </row>
    <row r="3431" spans="1:23" x14ac:dyDescent="0.35">
      <c r="A3431">
        <v>717482</v>
      </c>
      <c r="B3431" t="s">
        <v>38393</v>
      </c>
      <c r="C3431" t="str">
        <f>"9789004190276"</f>
        <v>9789004190276</v>
      </c>
      <c r="D3431" t="str">
        <f>"9789004190306"</f>
        <v>9789004190306</v>
      </c>
      <c r="E3431" t="s">
        <v>4602</v>
      </c>
      <c r="F3431" t="s">
        <v>27</v>
      </c>
      <c r="G3431" t="s">
        <v>22231</v>
      </c>
      <c r="H3431" t="s">
        <v>26004</v>
      </c>
      <c r="I3431" s="26">
        <v>40519</v>
      </c>
      <c r="J3431">
        <v>2011</v>
      </c>
      <c r="K3431" t="s">
        <v>27</v>
      </c>
      <c r="L3431">
        <v>404</v>
      </c>
      <c r="M3431" t="s">
        <v>38394</v>
      </c>
      <c r="N3431">
        <v>1</v>
      </c>
      <c r="O3431" t="s">
        <v>38395</v>
      </c>
      <c r="P3431">
        <v>26</v>
      </c>
      <c r="R3431">
        <v>306.2</v>
      </c>
      <c r="S3431" t="s">
        <v>38396</v>
      </c>
      <c r="T3431" t="s">
        <v>30</v>
      </c>
      <c r="U3431" t="s">
        <v>26044</v>
      </c>
      <c r="W3431" t="s">
        <v>26009</v>
      </c>
    </row>
    <row r="3432" spans="1:23" x14ac:dyDescent="0.35">
      <c r="A3432">
        <v>717900</v>
      </c>
      <c r="B3432" t="s">
        <v>38397</v>
      </c>
      <c r="C3432" t="str">
        <f>""</f>
        <v/>
      </c>
      <c r="D3432" t="str">
        <f>"9780857450340"</f>
        <v>9780857450340</v>
      </c>
      <c r="E3432" t="s">
        <v>34636</v>
      </c>
      <c r="F3432" t="s">
        <v>7472</v>
      </c>
      <c r="G3432" t="s">
        <v>31126</v>
      </c>
      <c r="H3432" t="s">
        <v>26004</v>
      </c>
      <c r="I3432" s="26">
        <v>40634</v>
      </c>
      <c r="J3432">
        <v>2011</v>
      </c>
      <c r="K3432" t="s">
        <v>7472</v>
      </c>
      <c r="L3432">
        <v>274</v>
      </c>
      <c r="M3432" t="s">
        <v>38398</v>
      </c>
      <c r="N3432">
        <v>1</v>
      </c>
      <c r="O3432" t="s">
        <v>38399</v>
      </c>
      <c r="P3432">
        <v>3</v>
      </c>
      <c r="Q3432" t="s">
        <v>38400</v>
      </c>
      <c r="R3432" t="s">
        <v>38401</v>
      </c>
      <c r="S3432" t="s">
        <v>38402</v>
      </c>
      <c r="T3432" t="s">
        <v>30</v>
      </c>
      <c r="U3432" t="s">
        <v>26044</v>
      </c>
      <c r="W3432" t="s">
        <v>26009</v>
      </c>
    </row>
    <row r="3433" spans="1:23" x14ac:dyDescent="0.35">
      <c r="A3433">
        <v>717905</v>
      </c>
      <c r="B3433" t="s">
        <v>38403</v>
      </c>
      <c r="C3433" t="str">
        <f>""</f>
        <v/>
      </c>
      <c r="D3433" t="str">
        <f>"9780857450876"</f>
        <v>9780857450876</v>
      </c>
      <c r="E3433" t="s">
        <v>34636</v>
      </c>
      <c r="F3433" t="s">
        <v>7472</v>
      </c>
      <c r="G3433" t="s">
        <v>31126</v>
      </c>
      <c r="H3433" t="s">
        <v>26004</v>
      </c>
      <c r="I3433" s="26">
        <v>40634</v>
      </c>
      <c r="J3433">
        <v>2011</v>
      </c>
      <c r="K3433" t="s">
        <v>7472</v>
      </c>
      <c r="L3433">
        <v>246</v>
      </c>
      <c r="M3433" t="s">
        <v>27429</v>
      </c>
      <c r="N3433">
        <v>1</v>
      </c>
      <c r="Q3433" t="s">
        <v>38404</v>
      </c>
      <c r="R3433">
        <v>943.08600000000001</v>
      </c>
      <c r="S3433" t="s">
        <v>38405</v>
      </c>
      <c r="T3433" t="s">
        <v>30</v>
      </c>
      <c r="U3433" t="s">
        <v>38406</v>
      </c>
      <c r="W3433" t="s">
        <v>26009</v>
      </c>
    </row>
    <row r="3434" spans="1:23" x14ac:dyDescent="0.35">
      <c r="A3434">
        <v>726687</v>
      </c>
      <c r="B3434" t="s">
        <v>38407</v>
      </c>
      <c r="C3434" t="str">
        <f>"9780765707871"</f>
        <v>9780765707871</v>
      </c>
      <c r="D3434" t="str">
        <f>"9780765707895"</f>
        <v>9780765707895</v>
      </c>
      <c r="E3434" t="s">
        <v>33803</v>
      </c>
      <c r="F3434" t="s">
        <v>38</v>
      </c>
      <c r="G3434" t="s">
        <v>34138</v>
      </c>
      <c r="H3434" t="s">
        <v>26004</v>
      </c>
      <c r="I3434" s="26">
        <v>40724</v>
      </c>
      <c r="J3434">
        <v>2011</v>
      </c>
      <c r="K3434" t="s">
        <v>33811</v>
      </c>
      <c r="L3434">
        <v>137</v>
      </c>
      <c r="M3434" t="s">
        <v>38408</v>
      </c>
      <c r="N3434">
        <v>1</v>
      </c>
      <c r="Q3434" t="s">
        <v>38409</v>
      </c>
      <c r="R3434" t="s">
        <v>38410</v>
      </c>
      <c r="S3434" t="s">
        <v>38411</v>
      </c>
      <c r="T3434" t="s">
        <v>30</v>
      </c>
      <c r="U3434" t="s">
        <v>26019</v>
      </c>
      <c r="W3434" t="s">
        <v>26009</v>
      </c>
    </row>
    <row r="3435" spans="1:23" x14ac:dyDescent="0.35">
      <c r="A3435">
        <v>727130</v>
      </c>
      <c r="B3435" t="s">
        <v>38412</v>
      </c>
      <c r="C3435" t="str">
        <f>"9781855758582"</f>
        <v>9781855758582</v>
      </c>
      <c r="D3435" t="str">
        <f>"9781849409018"</f>
        <v>9781849409018</v>
      </c>
      <c r="E3435" t="s">
        <v>26010</v>
      </c>
      <c r="F3435" t="s">
        <v>35</v>
      </c>
      <c r="G3435" t="s">
        <v>22174</v>
      </c>
      <c r="H3435" t="s">
        <v>26011</v>
      </c>
      <c r="I3435" s="26">
        <v>40908</v>
      </c>
      <c r="J3435">
        <v>2011</v>
      </c>
      <c r="K3435" t="s">
        <v>26012</v>
      </c>
      <c r="L3435">
        <v>236</v>
      </c>
      <c r="M3435" t="s">
        <v>38413</v>
      </c>
      <c r="N3435">
        <v>1</v>
      </c>
      <c r="O3435" t="s">
        <v>38414</v>
      </c>
      <c r="Q3435" t="s">
        <v>38415</v>
      </c>
      <c r="R3435">
        <v>150.1952</v>
      </c>
      <c r="S3435" t="s">
        <v>38416</v>
      </c>
      <c r="T3435" t="s">
        <v>30</v>
      </c>
      <c r="U3435" t="s">
        <v>46</v>
      </c>
      <c r="W3435" t="s">
        <v>26009</v>
      </c>
    </row>
    <row r="3436" spans="1:23" x14ac:dyDescent="0.35">
      <c r="A3436">
        <v>727131</v>
      </c>
      <c r="B3436" t="s">
        <v>38417</v>
      </c>
      <c r="C3436" t="str">
        <f>"9781780490083"</f>
        <v>9781780490083</v>
      </c>
      <c r="D3436" t="str">
        <f>"9781849409087"</f>
        <v>9781849409087</v>
      </c>
      <c r="E3436" t="s">
        <v>26010</v>
      </c>
      <c r="F3436" t="s">
        <v>35</v>
      </c>
      <c r="G3436" t="s">
        <v>22174</v>
      </c>
      <c r="H3436" t="s">
        <v>26011</v>
      </c>
      <c r="I3436" s="26">
        <v>40908</v>
      </c>
      <c r="J3436">
        <v>2011</v>
      </c>
      <c r="K3436" t="s">
        <v>26012</v>
      </c>
      <c r="L3436">
        <v>241</v>
      </c>
      <c r="M3436" t="s">
        <v>36788</v>
      </c>
      <c r="N3436">
        <v>1</v>
      </c>
      <c r="Q3436" t="s">
        <v>38418</v>
      </c>
      <c r="R3436">
        <v>616.89170000000001</v>
      </c>
      <c r="S3436" t="s">
        <v>38419</v>
      </c>
      <c r="T3436" t="s">
        <v>30</v>
      </c>
      <c r="U3436" t="s">
        <v>26019</v>
      </c>
      <c r="W3436" t="s">
        <v>26009</v>
      </c>
    </row>
    <row r="3437" spans="1:23" x14ac:dyDescent="0.35">
      <c r="A3437">
        <v>727133</v>
      </c>
      <c r="B3437" t="s">
        <v>38420</v>
      </c>
      <c r="C3437" t="str">
        <f>"9781855757622"</f>
        <v>9781855757622</v>
      </c>
      <c r="D3437" t="str">
        <f>"9781849409117"</f>
        <v>9781849409117</v>
      </c>
      <c r="E3437" t="s">
        <v>26010</v>
      </c>
      <c r="F3437" t="s">
        <v>35</v>
      </c>
      <c r="G3437" t="s">
        <v>22174</v>
      </c>
      <c r="H3437" t="s">
        <v>26011</v>
      </c>
      <c r="I3437" s="26">
        <v>40724</v>
      </c>
      <c r="J3437">
        <v>2011</v>
      </c>
      <c r="K3437" t="s">
        <v>26012</v>
      </c>
      <c r="L3437">
        <v>415</v>
      </c>
      <c r="M3437" t="s">
        <v>38421</v>
      </c>
      <c r="N3437">
        <v>1</v>
      </c>
      <c r="Q3437" t="s">
        <v>38422</v>
      </c>
      <c r="R3437">
        <v>616.89144999999996</v>
      </c>
      <c r="S3437" t="s">
        <v>9709</v>
      </c>
      <c r="T3437" t="s">
        <v>30</v>
      </c>
      <c r="U3437" t="s">
        <v>26116</v>
      </c>
      <c r="W3437" t="s">
        <v>26009</v>
      </c>
    </row>
    <row r="3438" spans="1:23" x14ac:dyDescent="0.35">
      <c r="A3438">
        <v>727703</v>
      </c>
      <c r="B3438" t="s">
        <v>38423</v>
      </c>
      <c r="C3438" t="str">
        <f>"9780313382987"</f>
        <v>9780313382987</v>
      </c>
      <c r="D3438" t="str">
        <f>"9780313382994"</f>
        <v>9780313382994</v>
      </c>
      <c r="E3438" t="s">
        <v>28336</v>
      </c>
      <c r="F3438" t="s">
        <v>28340</v>
      </c>
      <c r="G3438" t="s">
        <v>22179</v>
      </c>
      <c r="H3438" t="s">
        <v>26004</v>
      </c>
      <c r="I3438" s="26">
        <v>40730</v>
      </c>
      <c r="J3438">
        <v>2011</v>
      </c>
      <c r="K3438" t="s">
        <v>28341</v>
      </c>
      <c r="L3438">
        <v>532</v>
      </c>
      <c r="M3438" t="s">
        <v>38424</v>
      </c>
      <c r="N3438">
        <v>1</v>
      </c>
      <c r="O3438" t="s">
        <v>37671</v>
      </c>
      <c r="Q3438" t="s">
        <v>38425</v>
      </c>
      <c r="R3438" t="s">
        <v>29630</v>
      </c>
      <c r="S3438" t="s">
        <v>38426</v>
      </c>
      <c r="T3438" t="s">
        <v>30</v>
      </c>
      <c r="U3438" t="s">
        <v>26116</v>
      </c>
      <c r="W3438" t="s">
        <v>28347</v>
      </c>
    </row>
    <row r="3439" spans="1:23" x14ac:dyDescent="0.35">
      <c r="A3439">
        <v>728261</v>
      </c>
      <c r="B3439" t="s">
        <v>38427</v>
      </c>
      <c r="C3439" t="str">
        <f>"9780415572989"</f>
        <v>9780415572989</v>
      </c>
      <c r="D3439" t="str">
        <f>"9780203855775"</f>
        <v>9780203855775</v>
      </c>
      <c r="E3439" t="s">
        <v>26010</v>
      </c>
      <c r="F3439" t="s">
        <v>35</v>
      </c>
      <c r="G3439" t="s">
        <v>26201</v>
      </c>
      <c r="H3439" t="s">
        <v>26004</v>
      </c>
      <c r="I3439" s="26">
        <v>40763</v>
      </c>
      <c r="J3439">
        <v>2011</v>
      </c>
      <c r="K3439" t="s">
        <v>26012</v>
      </c>
      <c r="L3439">
        <v>263</v>
      </c>
      <c r="M3439" t="s">
        <v>38428</v>
      </c>
      <c r="N3439">
        <v>1</v>
      </c>
      <c r="O3439" t="s">
        <v>38429</v>
      </c>
      <c r="Q3439" t="s">
        <v>38430</v>
      </c>
      <c r="R3439">
        <v>796.01</v>
      </c>
      <c r="S3439" t="s">
        <v>9111</v>
      </c>
      <c r="T3439" t="s">
        <v>30</v>
      </c>
      <c r="U3439" t="s">
        <v>26008</v>
      </c>
      <c r="W3439" t="s">
        <v>26009</v>
      </c>
    </row>
    <row r="3440" spans="1:23" x14ac:dyDescent="0.35">
      <c r="A3440">
        <v>728281</v>
      </c>
      <c r="B3440" t="s">
        <v>38431</v>
      </c>
      <c r="C3440" t="str">
        <f>"9781848720213"</f>
        <v>9781848720213</v>
      </c>
      <c r="D3440" t="str">
        <f>"9780203813195"</f>
        <v>9780203813195</v>
      </c>
      <c r="E3440" t="s">
        <v>26010</v>
      </c>
      <c r="F3440" t="s">
        <v>35</v>
      </c>
      <c r="G3440" t="s">
        <v>26128</v>
      </c>
      <c r="H3440" t="s">
        <v>26011</v>
      </c>
      <c r="I3440" s="26">
        <v>40732</v>
      </c>
      <c r="J3440">
        <v>2011</v>
      </c>
      <c r="K3440" t="s">
        <v>660</v>
      </c>
      <c r="L3440">
        <v>409</v>
      </c>
      <c r="M3440" t="s">
        <v>38432</v>
      </c>
      <c r="N3440">
        <v>1</v>
      </c>
      <c r="Q3440" t="s">
        <v>38433</v>
      </c>
      <c r="R3440">
        <v>302.3</v>
      </c>
      <c r="S3440" t="s">
        <v>9879</v>
      </c>
      <c r="T3440" t="s">
        <v>30</v>
      </c>
      <c r="U3440" t="s">
        <v>26044</v>
      </c>
      <c r="W3440" t="s">
        <v>26009</v>
      </c>
    </row>
    <row r="3441" spans="1:23" x14ac:dyDescent="0.35">
      <c r="A3441">
        <v>728297</v>
      </c>
      <c r="B3441" t="s">
        <v>38434</v>
      </c>
      <c r="C3441" t="str">
        <f>"9780415598354"</f>
        <v>9780415598354</v>
      </c>
      <c r="D3441" t="str">
        <f>"9780203807569"</f>
        <v>9780203807569</v>
      </c>
      <c r="E3441" t="s">
        <v>26010</v>
      </c>
      <c r="F3441" t="s">
        <v>35</v>
      </c>
      <c r="G3441" t="s">
        <v>26201</v>
      </c>
      <c r="H3441" t="s">
        <v>26004</v>
      </c>
      <c r="I3441" s="26">
        <v>40765</v>
      </c>
      <c r="J3441">
        <v>2012</v>
      </c>
      <c r="K3441" t="s">
        <v>26012</v>
      </c>
      <c r="L3441">
        <v>249</v>
      </c>
      <c r="M3441" t="s">
        <v>38435</v>
      </c>
      <c r="N3441">
        <v>1</v>
      </c>
      <c r="O3441" t="s">
        <v>38436</v>
      </c>
      <c r="Q3441" t="s">
        <v>38437</v>
      </c>
      <c r="R3441" t="s">
        <v>38438</v>
      </c>
      <c r="S3441" t="s">
        <v>10127</v>
      </c>
      <c r="T3441" t="s">
        <v>30</v>
      </c>
      <c r="U3441" t="s">
        <v>38439</v>
      </c>
      <c r="W3441" t="s">
        <v>26009</v>
      </c>
    </row>
    <row r="3442" spans="1:23" x14ac:dyDescent="0.35">
      <c r="A3442">
        <v>728779</v>
      </c>
      <c r="B3442" t="s">
        <v>38440</v>
      </c>
      <c r="C3442" t="str">
        <f>"9780195341256"</f>
        <v>9780195341256</v>
      </c>
      <c r="D3442" t="str">
        <f>"9780199712335"</f>
        <v>9780199712335</v>
      </c>
      <c r="E3442" t="s">
        <v>371</v>
      </c>
      <c r="F3442" t="s">
        <v>31</v>
      </c>
      <c r="G3442" t="s">
        <v>22703</v>
      </c>
      <c r="H3442" t="s">
        <v>26004</v>
      </c>
      <c r="I3442" s="26">
        <v>40718</v>
      </c>
      <c r="J3442">
        <v>2011</v>
      </c>
      <c r="K3442" t="s">
        <v>31</v>
      </c>
      <c r="L3442">
        <v>156</v>
      </c>
      <c r="M3442" t="s">
        <v>38441</v>
      </c>
      <c r="Q3442" t="s">
        <v>38442</v>
      </c>
      <c r="R3442">
        <v>617.48099999999999</v>
      </c>
      <c r="S3442" t="s">
        <v>38443</v>
      </c>
      <c r="T3442" t="s">
        <v>30</v>
      </c>
      <c r="U3442" t="s">
        <v>26040</v>
      </c>
      <c r="W3442" t="s">
        <v>26009</v>
      </c>
    </row>
    <row r="3443" spans="1:23" x14ac:dyDescent="0.35">
      <c r="A3443">
        <v>728806</v>
      </c>
      <c r="B3443" t="s">
        <v>38444</v>
      </c>
      <c r="C3443" t="str">
        <f>"9780199791002"</f>
        <v>9780199791002</v>
      </c>
      <c r="D3443" t="str">
        <f>"9780199830503"</f>
        <v>9780199830503</v>
      </c>
      <c r="E3443" t="s">
        <v>371</v>
      </c>
      <c r="F3443" t="s">
        <v>31</v>
      </c>
      <c r="G3443" t="s">
        <v>22703</v>
      </c>
      <c r="H3443" t="s">
        <v>26004</v>
      </c>
      <c r="I3443" s="26">
        <v>40752</v>
      </c>
      <c r="J3443">
        <v>2011</v>
      </c>
      <c r="K3443" t="s">
        <v>31</v>
      </c>
      <c r="L3443">
        <v>246</v>
      </c>
      <c r="M3443" t="s">
        <v>38445</v>
      </c>
      <c r="N3443">
        <v>1</v>
      </c>
      <c r="Q3443" t="s">
        <v>38446</v>
      </c>
      <c r="R3443" t="s">
        <v>38447</v>
      </c>
      <c r="S3443" t="s">
        <v>38448</v>
      </c>
      <c r="T3443" t="s">
        <v>30</v>
      </c>
      <c r="U3443" t="s">
        <v>26019</v>
      </c>
      <c r="W3443" t="s">
        <v>26009</v>
      </c>
    </row>
    <row r="3444" spans="1:23" x14ac:dyDescent="0.35">
      <c r="A3444">
        <v>729522</v>
      </c>
      <c r="B3444" t="s">
        <v>9888</v>
      </c>
      <c r="C3444" t="str">
        <f>"9780335238095"</f>
        <v>9780335238095</v>
      </c>
      <c r="D3444" t="str">
        <f>"9780335240524"</f>
        <v>9780335240524</v>
      </c>
      <c r="E3444" t="s">
        <v>29061</v>
      </c>
      <c r="F3444" t="s">
        <v>7477</v>
      </c>
      <c r="G3444" t="s">
        <v>29068</v>
      </c>
      <c r="H3444" t="s">
        <v>26011</v>
      </c>
      <c r="I3444" s="26">
        <v>40695</v>
      </c>
      <c r="J3444">
        <v>2011</v>
      </c>
      <c r="K3444" t="s">
        <v>29063</v>
      </c>
      <c r="L3444">
        <v>418</v>
      </c>
      <c r="M3444" t="s">
        <v>38449</v>
      </c>
      <c r="N3444">
        <v>3</v>
      </c>
      <c r="O3444" t="s">
        <v>29074</v>
      </c>
      <c r="R3444">
        <v>613.01900000000001</v>
      </c>
      <c r="T3444" t="s">
        <v>30</v>
      </c>
      <c r="U3444" t="s">
        <v>29134</v>
      </c>
      <c r="W3444" t="s">
        <v>26009</v>
      </c>
    </row>
    <row r="3445" spans="1:23" x14ac:dyDescent="0.35">
      <c r="A3445">
        <v>729538</v>
      </c>
      <c r="B3445" t="s">
        <v>38450</v>
      </c>
      <c r="C3445" t="str">
        <f>"9780826106810"</f>
        <v>9780826106810</v>
      </c>
      <c r="D3445" t="str">
        <f>"9780826106827"</f>
        <v>9780826106827</v>
      </c>
      <c r="E3445" t="s">
        <v>1504</v>
      </c>
      <c r="F3445" t="s">
        <v>33</v>
      </c>
      <c r="G3445" t="s">
        <v>22179</v>
      </c>
      <c r="H3445" t="s">
        <v>26004</v>
      </c>
      <c r="I3445" s="26">
        <v>40664</v>
      </c>
      <c r="J3445">
        <v>2011</v>
      </c>
      <c r="K3445" t="s">
        <v>33</v>
      </c>
      <c r="L3445">
        <v>562</v>
      </c>
      <c r="M3445" t="s">
        <v>38451</v>
      </c>
      <c r="N3445">
        <v>1</v>
      </c>
      <c r="R3445" t="s">
        <v>33676</v>
      </c>
      <c r="S3445" t="s">
        <v>38452</v>
      </c>
      <c r="T3445" t="s">
        <v>30</v>
      </c>
      <c r="U3445" t="s">
        <v>26040</v>
      </c>
      <c r="W3445" t="s">
        <v>26009</v>
      </c>
    </row>
    <row r="3446" spans="1:23" x14ac:dyDescent="0.35">
      <c r="A3446">
        <v>729948</v>
      </c>
      <c r="B3446" t="s">
        <v>8560</v>
      </c>
      <c r="C3446" t="str">
        <f>"9780691147918"</f>
        <v>9780691147918</v>
      </c>
      <c r="D3446" t="str">
        <f>"9781400836673"</f>
        <v>9781400836673</v>
      </c>
      <c r="E3446" t="s">
        <v>33468</v>
      </c>
      <c r="F3446" t="s">
        <v>7517</v>
      </c>
      <c r="G3446" t="s">
        <v>23592</v>
      </c>
      <c r="H3446" t="s">
        <v>26004</v>
      </c>
      <c r="I3446" s="26">
        <v>40587</v>
      </c>
      <c r="J3446">
        <v>2011</v>
      </c>
      <c r="K3446" t="s">
        <v>7517</v>
      </c>
      <c r="L3446">
        <v>150</v>
      </c>
      <c r="M3446" t="s">
        <v>38453</v>
      </c>
      <c r="N3446">
        <v>1</v>
      </c>
      <c r="R3446">
        <v>658.40359999999998</v>
      </c>
      <c r="T3446" t="s">
        <v>30</v>
      </c>
      <c r="U3446" t="s">
        <v>30031</v>
      </c>
      <c r="W3446" t="s">
        <v>28347</v>
      </c>
    </row>
    <row r="3447" spans="1:23" x14ac:dyDescent="0.35">
      <c r="A3447">
        <v>730204</v>
      </c>
      <c r="B3447" t="s">
        <v>8664</v>
      </c>
      <c r="C3447" t="str">
        <f>"9780123819840"</f>
        <v>9780123819840</v>
      </c>
      <c r="D3447" t="str">
        <f>"9780123819857"</f>
        <v>9780123819857</v>
      </c>
      <c r="E3447" t="s">
        <v>27482</v>
      </c>
      <c r="F3447" t="s">
        <v>7447</v>
      </c>
      <c r="G3447" t="s">
        <v>22689</v>
      </c>
      <c r="H3447" t="s">
        <v>26004</v>
      </c>
      <c r="I3447" s="26">
        <v>40779</v>
      </c>
      <c r="J3447">
        <v>2011</v>
      </c>
      <c r="K3447" t="s">
        <v>946</v>
      </c>
      <c r="L3447">
        <v>537</v>
      </c>
      <c r="M3447" t="s">
        <v>38454</v>
      </c>
      <c r="N3447">
        <v>1</v>
      </c>
      <c r="R3447" t="s">
        <v>38455</v>
      </c>
      <c r="S3447" t="s">
        <v>8665</v>
      </c>
      <c r="T3447" t="s">
        <v>30</v>
      </c>
      <c r="U3447" t="s">
        <v>26044</v>
      </c>
      <c r="W3447" t="s">
        <v>26009</v>
      </c>
    </row>
    <row r="3448" spans="1:23" x14ac:dyDescent="0.35">
      <c r="A3448">
        <v>730307</v>
      </c>
      <c r="B3448" t="s">
        <v>38456</v>
      </c>
      <c r="C3448" t="str">
        <f>"9789027251220"</f>
        <v>9789027251220</v>
      </c>
      <c r="D3448" t="str">
        <f>"9789027283603"</f>
        <v>9789027283603</v>
      </c>
      <c r="E3448" t="s">
        <v>35211</v>
      </c>
      <c r="F3448" t="s">
        <v>7610</v>
      </c>
      <c r="G3448" t="s">
        <v>22222</v>
      </c>
      <c r="H3448" t="s">
        <v>27983</v>
      </c>
      <c r="I3448" s="26">
        <v>34879</v>
      </c>
      <c r="J3448">
        <v>1995</v>
      </c>
      <c r="K3448" t="s">
        <v>7610</v>
      </c>
      <c r="L3448">
        <v>268</v>
      </c>
      <c r="M3448" t="s">
        <v>35259</v>
      </c>
      <c r="N3448">
        <v>1</v>
      </c>
      <c r="O3448" t="s">
        <v>35354</v>
      </c>
      <c r="Q3448" t="s">
        <v>38457</v>
      </c>
      <c r="R3448">
        <v>153</v>
      </c>
      <c r="S3448" t="s">
        <v>38458</v>
      </c>
      <c r="T3448" t="s">
        <v>30</v>
      </c>
      <c r="U3448" t="s">
        <v>46</v>
      </c>
      <c r="W3448" t="s">
        <v>26009</v>
      </c>
    </row>
    <row r="3449" spans="1:23" x14ac:dyDescent="0.35">
      <c r="A3449">
        <v>730699</v>
      </c>
      <c r="B3449" t="s">
        <v>8448</v>
      </c>
      <c r="C3449" t="str">
        <f>"9789027251305"</f>
        <v>9789027251305</v>
      </c>
      <c r="D3449" t="str">
        <f>"9789027283566"</f>
        <v>9789027283566</v>
      </c>
      <c r="E3449" t="s">
        <v>35211</v>
      </c>
      <c r="F3449" t="s">
        <v>7610</v>
      </c>
      <c r="G3449" t="s">
        <v>22222</v>
      </c>
      <c r="H3449" t="s">
        <v>27983</v>
      </c>
      <c r="I3449" s="26">
        <v>35341</v>
      </c>
      <c r="J3449">
        <v>1996</v>
      </c>
      <c r="K3449" t="s">
        <v>7610</v>
      </c>
      <c r="L3449">
        <v>221</v>
      </c>
      <c r="M3449" t="s">
        <v>38459</v>
      </c>
      <c r="N3449">
        <v>1</v>
      </c>
      <c r="O3449" t="s">
        <v>35354</v>
      </c>
      <c r="Q3449" t="s">
        <v>38460</v>
      </c>
      <c r="R3449">
        <v>153.4</v>
      </c>
      <c r="S3449" t="s">
        <v>38461</v>
      </c>
      <c r="T3449" t="s">
        <v>30</v>
      </c>
      <c r="U3449" t="s">
        <v>46</v>
      </c>
      <c r="W3449" t="s">
        <v>26009</v>
      </c>
    </row>
    <row r="3450" spans="1:23" x14ac:dyDescent="0.35">
      <c r="A3450">
        <v>730836</v>
      </c>
      <c r="B3450" t="s">
        <v>38462</v>
      </c>
      <c r="C3450" t="str">
        <f>"9780857247438"</f>
        <v>9780857247438</v>
      </c>
      <c r="D3450" t="str">
        <f>"9780857247445"</f>
        <v>9780857247445</v>
      </c>
      <c r="E3450" t="s">
        <v>7442</v>
      </c>
      <c r="F3450" t="s">
        <v>7442</v>
      </c>
      <c r="G3450" t="s">
        <v>22261</v>
      </c>
      <c r="H3450" t="s">
        <v>26011</v>
      </c>
      <c r="I3450" s="26">
        <v>40703</v>
      </c>
      <c r="J3450">
        <v>2011</v>
      </c>
      <c r="K3450" t="s">
        <v>7442</v>
      </c>
      <c r="L3450">
        <v>325</v>
      </c>
      <c r="M3450" t="s">
        <v>38463</v>
      </c>
      <c r="N3450">
        <v>1</v>
      </c>
      <c r="O3450" t="s">
        <v>38464</v>
      </c>
      <c r="P3450">
        <v>15</v>
      </c>
      <c r="Q3450" t="s">
        <v>38465</v>
      </c>
      <c r="R3450">
        <v>305.3</v>
      </c>
      <c r="S3450" t="s">
        <v>38466</v>
      </c>
      <c r="T3450" t="s">
        <v>30</v>
      </c>
      <c r="U3450" t="s">
        <v>26044</v>
      </c>
      <c r="W3450" t="s">
        <v>33559</v>
      </c>
    </row>
    <row r="3451" spans="1:23" x14ac:dyDescent="0.35">
      <c r="A3451">
        <v>731491</v>
      </c>
      <c r="B3451" t="s">
        <v>38467</v>
      </c>
      <c r="C3451" t="str">
        <f>"9781853029806"</f>
        <v>9781853029806</v>
      </c>
      <c r="D3451" t="str">
        <f>"9781846427138"</f>
        <v>9781846427138</v>
      </c>
      <c r="E3451" t="s">
        <v>146</v>
      </c>
      <c r="F3451" t="s">
        <v>146</v>
      </c>
      <c r="G3451" t="s">
        <v>22174</v>
      </c>
      <c r="H3451" t="s">
        <v>26011</v>
      </c>
      <c r="I3451" s="26">
        <v>37026</v>
      </c>
      <c r="J3451">
        <v>2001</v>
      </c>
      <c r="K3451" t="s">
        <v>146</v>
      </c>
      <c r="L3451">
        <v>148</v>
      </c>
      <c r="M3451" t="s">
        <v>38468</v>
      </c>
      <c r="N3451">
        <v>1</v>
      </c>
      <c r="Q3451" t="s">
        <v>38469</v>
      </c>
      <c r="R3451">
        <v>368.48</v>
      </c>
      <c r="S3451" t="s">
        <v>38470</v>
      </c>
      <c r="T3451" t="s">
        <v>30</v>
      </c>
      <c r="U3451" t="s">
        <v>26044</v>
      </c>
      <c r="W3451" t="s">
        <v>28347</v>
      </c>
    </row>
    <row r="3452" spans="1:23" x14ac:dyDescent="0.35">
      <c r="A3452">
        <v>735289</v>
      </c>
      <c r="B3452" t="s">
        <v>38471</v>
      </c>
      <c r="C3452" t="str">
        <f>"9780415611886"</f>
        <v>9780415611886</v>
      </c>
      <c r="D3452" t="str">
        <f>"9780203806401"</f>
        <v>9780203806401</v>
      </c>
      <c r="E3452" t="s">
        <v>26010</v>
      </c>
      <c r="F3452" t="s">
        <v>35</v>
      </c>
      <c r="G3452" t="s">
        <v>22174</v>
      </c>
      <c r="H3452" t="s">
        <v>26011</v>
      </c>
      <c r="I3452" s="26">
        <v>40778</v>
      </c>
      <c r="J3452">
        <v>2012</v>
      </c>
      <c r="K3452" t="s">
        <v>26012</v>
      </c>
      <c r="L3452">
        <v>265</v>
      </c>
      <c r="M3452" t="s">
        <v>38472</v>
      </c>
      <c r="N3452">
        <v>1</v>
      </c>
      <c r="Q3452" t="s">
        <v>38473</v>
      </c>
      <c r="R3452">
        <v>616.85210651</v>
      </c>
      <c r="S3452" t="s">
        <v>9461</v>
      </c>
      <c r="T3452" t="s">
        <v>30</v>
      </c>
      <c r="U3452" t="s">
        <v>26019</v>
      </c>
      <c r="W3452" t="s">
        <v>26009</v>
      </c>
    </row>
    <row r="3453" spans="1:23" x14ac:dyDescent="0.35">
      <c r="A3453">
        <v>735304</v>
      </c>
      <c r="B3453" t="s">
        <v>38474</v>
      </c>
      <c r="C3453" t="str">
        <f>"9780415879088"</f>
        <v>9780415879088</v>
      </c>
      <c r="D3453" t="str">
        <f>"9780203852422"</f>
        <v>9780203852422</v>
      </c>
      <c r="E3453" t="s">
        <v>26010</v>
      </c>
      <c r="F3453" t="s">
        <v>35</v>
      </c>
      <c r="G3453" t="s">
        <v>22174</v>
      </c>
      <c r="H3453" t="s">
        <v>26011</v>
      </c>
      <c r="I3453" s="26">
        <v>40707</v>
      </c>
      <c r="J3453">
        <v>2011</v>
      </c>
      <c r="K3453" t="s">
        <v>26012</v>
      </c>
      <c r="L3453">
        <v>253</v>
      </c>
      <c r="M3453" t="s">
        <v>38475</v>
      </c>
      <c r="N3453">
        <v>1</v>
      </c>
      <c r="O3453" t="s">
        <v>26909</v>
      </c>
      <c r="Q3453" t="s">
        <v>38476</v>
      </c>
      <c r="R3453" t="s">
        <v>26627</v>
      </c>
      <c r="S3453" t="s">
        <v>9438</v>
      </c>
      <c r="T3453" t="s">
        <v>30</v>
      </c>
      <c r="U3453" t="s">
        <v>26228</v>
      </c>
      <c r="W3453" t="s">
        <v>26009</v>
      </c>
    </row>
    <row r="3454" spans="1:23" x14ac:dyDescent="0.35">
      <c r="A3454">
        <v>735305</v>
      </c>
      <c r="B3454" t="s">
        <v>38477</v>
      </c>
      <c r="C3454" t="str">
        <f>"9780415997324"</f>
        <v>9780415997324</v>
      </c>
      <c r="D3454" t="str">
        <f>"9780203833407"</f>
        <v>9780203833407</v>
      </c>
      <c r="E3454" t="s">
        <v>26010</v>
      </c>
      <c r="F3454" t="s">
        <v>35</v>
      </c>
      <c r="G3454" t="s">
        <v>22174</v>
      </c>
      <c r="H3454" t="s">
        <v>26011</v>
      </c>
      <c r="I3454" s="26">
        <v>40696</v>
      </c>
      <c r="J3454">
        <v>2011</v>
      </c>
      <c r="K3454" t="s">
        <v>26012</v>
      </c>
      <c r="L3454">
        <v>253</v>
      </c>
      <c r="M3454" t="s">
        <v>38478</v>
      </c>
      <c r="N3454">
        <v>1</v>
      </c>
      <c r="Q3454" t="s">
        <v>38479</v>
      </c>
      <c r="R3454">
        <v>616.89156200000002</v>
      </c>
      <c r="S3454" t="s">
        <v>8395</v>
      </c>
      <c r="T3454" t="s">
        <v>30</v>
      </c>
      <c r="U3454" t="s">
        <v>26116</v>
      </c>
      <c r="W3454" t="s">
        <v>26009</v>
      </c>
    </row>
    <row r="3455" spans="1:23" x14ac:dyDescent="0.35">
      <c r="A3455">
        <v>735306</v>
      </c>
      <c r="B3455" t="s">
        <v>38480</v>
      </c>
      <c r="C3455" t="str">
        <f>"9780415991278"</f>
        <v>9780415991278</v>
      </c>
      <c r="D3455" t="str">
        <f>"9780203830390"</f>
        <v>9780203830390</v>
      </c>
      <c r="E3455" t="s">
        <v>26010</v>
      </c>
      <c r="F3455" t="s">
        <v>35</v>
      </c>
      <c r="G3455" t="s">
        <v>22174</v>
      </c>
      <c r="H3455" t="s">
        <v>26011</v>
      </c>
      <c r="I3455" s="26">
        <v>40634</v>
      </c>
      <c r="J3455">
        <v>2011</v>
      </c>
      <c r="K3455" t="s">
        <v>26012</v>
      </c>
      <c r="L3455">
        <v>397</v>
      </c>
      <c r="M3455" t="s">
        <v>38481</v>
      </c>
      <c r="N3455">
        <v>1</v>
      </c>
      <c r="Q3455" t="s">
        <v>38482</v>
      </c>
      <c r="R3455">
        <v>618.92891420000001</v>
      </c>
      <c r="S3455" t="s">
        <v>7891</v>
      </c>
      <c r="T3455" t="s">
        <v>30</v>
      </c>
      <c r="U3455" t="s">
        <v>26116</v>
      </c>
      <c r="W3455" t="s">
        <v>26009</v>
      </c>
    </row>
    <row r="3456" spans="1:23" x14ac:dyDescent="0.35">
      <c r="A3456">
        <v>735604</v>
      </c>
      <c r="B3456" t="s">
        <v>38483</v>
      </c>
      <c r="C3456" t="str">
        <f>"9781609181963"</f>
        <v>9781609181963</v>
      </c>
      <c r="D3456" t="str">
        <f>"9781609182205"</f>
        <v>9781609182205</v>
      </c>
      <c r="E3456" t="s">
        <v>30112</v>
      </c>
      <c r="F3456" t="s">
        <v>7420</v>
      </c>
      <c r="G3456" t="s">
        <v>22179</v>
      </c>
      <c r="H3456" t="s">
        <v>26004</v>
      </c>
      <c r="I3456" s="26">
        <v>40702</v>
      </c>
      <c r="J3456">
        <v>2011</v>
      </c>
      <c r="K3456" t="s">
        <v>30113</v>
      </c>
      <c r="L3456">
        <v>305</v>
      </c>
      <c r="M3456" t="s">
        <v>38484</v>
      </c>
      <c r="N3456">
        <v>1</v>
      </c>
      <c r="Q3456" t="s">
        <v>38485</v>
      </c>
      <c r="R3456" t="s">
        <v>27184</v>
      </c>
      <c r="S3456" t="s">
        <v>10228</v>
      </c>
      <c r="T3456" t="s">
        <v>30</v>
      </c>
      <c r="U3456" t="s">
        <v>26019</v>
      </c>
      <c r="W3456" t="s">
        <v>28347</v>
      </c>
    </row>
    <row r="3457" spans="1:23" x14ac:dyDescent="0.35">
      <c r="A3457">
        <v>737777</v>
      </c>
      <c r="B3457" t="s">
        <v>38486</v>
      </c>
      <c r="C3457" t="str">
        <f>"9789004192201"</f>
        <v>9789004192201</v>
      </c>
      <c r="D3457" t="str">
        <f>"9789004192010"</f>
        <v>9789004192010</v>
      </c>
      <c r="E3457" t="s">
        <v>4602</v>
      </c>
      <c r="F3457" t="s">
        <v>27</v>
      </c>
      <c r="G3457" t="s">
        <v>22231</v>
      </c>
      <c r="H3457" t="s">
        <v>26004</v>
      </c>
      <c r="I3457" s="26">
        <v>40577</v>
      </c>
      <c r="J3457">
        <v>2011</v>
      </c>
      <c r="K3457" t="s">
        <v>27</v>
      </c>
      <c r="L3457">
        <v>220</v>
      </c>
      <c r="M3457" t="s">
        <v>38487</v>
      </c>
      <c r="N3457">
        <v>1</v>
      </c>
      <c r="R3457">
        <v>152</v>
      </c>
      <c r="S3457" t="s">
        <v>8406</v>
      </c>
      <c r="T3457" t="s">
        <v>30</v>
      </c>
      <c r="U3457" t="s">
        <v>46</v>
      </c>
      <c r="W3457" t="s">
        <v>26009</v>
      </c>
    </row>
    <row r="3458" spans="1:23" x14ac:dyDescent="0.35">
      <c r="A3458">
        <v>737841</v>
      </c>
      <c r="B3458" t="s">
        <v>9292</v>
      </c>
      <c r="C3458" t="str">
        <f>"9781780490250"</f>
        <v>9781780490250</v>
      </c>
      <c r="D3458" t="str">
        <f>"9781849409155"</f>
        <v>9781849409155</v>
      </c>
      <c r="E3458" t="s">
        <v>26010</v>
      </c>
      <c r="F3458" t="s">
        <v>35</v>
      </c>
      <c r="G3458" t="s">
        <v>22174</v>
      </c>
      <c r="H3458" t="s">
        <v>26011</v>
      </c>
      <c r="I3458" s="26">
        <v>40908</v>
      </c>
      <c r="J3458">
        <v>2011</v>
      </c>
      <c r="K3458" t="s">
        <v>26012</v>
      </c>
      <c r="L3458">
        <v>305</v>
      </c>
      <c r="M3458" t="s">
        <v>36657</v>
      </c>
      <c r="N3458">
        <v>1</v>
      </c>
      <c r="O3458" t="s">
        <v>36658</v>
      </c>
      <c r="Q3458" t="s">
        <v>38488</v>
      </c>
      <c r="R3458">
        <v>150.1952</v>
      </c>
      <c r="S3458" t="s">
        <v>38489</v>
      </c>
      <c r="T3458" t="s">
        <v>30</v>
      </c>
      <c r="U3458" t="s">
        <v>26679</v>
      </c>
      <c r="W3458" t="s">
        <v>26009</v>
      </c>
    </row>
    <row r="3459" spans="1:23" x14ac:dyDescent="0.35">
      <c r="A3459">
        <v>737842</v>
      </c>
      <c r="B3459" t="s">
        <v>38490</v>
      </c>
      <c r="C3459" t="str">
        <f>"9781780490274"</f>
        <v>9781780490274</v>
      </c>
      <c r="D3459" t="str">
        <f>"9781849409162"</f>
        <v>9781849409162</v>
      </c>
      <c r="E3459" t="s">
        <v>26010</v>
      </c>
      <c r="F3459" t="s">
        <v>35</v>
      </c>
      <c r="G3459" t="s">
        <v>22174</v>
      </c>
      <c r="H3459" t="s">
        <v>26011</v>
      </c>
      <c r="I3459" s="26">
        <v>40908</v>
      </c>
      <c r="J3459">
        <v>2011</v>
      </c>
      <c r="K3459" t="s">
        <v>26012</v>
      </c>
      <c r="L3459">
        <v>208</v>
      </c>
      <c r="M3459" t="s">
        <v>38491</v>
      </c>
      <c r="N3459">
        <v>1</v>
      </c>
      <c r="O3459" t="s">
        <v>36633</v>
      </c>
      <c r="Q3459" t="s">
        <v>38492</v>
      </c>
      <c r="R3459">
        <v>929.44</v>
      </c>
      <c r="S3459" t="s">
        <v>8793</v>
      </c>
      <c r="T3459" t="s">
        <v>30</v>
      </c>
      <c r="U3459" t="s">
        <v>38406</v>
      </c>
      <c r="W3459" t="s">
        <v>26009</v>
      </c>
    </row>
    <row r="3460" spans="1:23" x14ac:dyDescent="0.35">
      <c r="A3460">
        <v>737843</v>
      </c>
      <c r="B3460" t="s">
        <v>8764</v>
      </c>
      <c r="C3460" t="str">
        <f>"9781855753297"</f>
        <v>9781855753297</v>
      </c>
      <c r="D3460" t="str">
        <f>"9781849409179"</f>
        <v>9781849409179</v>
      </c>
      <c r="E3460" t="s">
        <v>26010</v>
      </c>
      <c r="F3460" t="s">
        <v>35</v>
      </c>
      <c r="G3460" t="s">
        <v>22174</v>
      </c>
      <c r="H3460" t="s">
        <v>26011</v>
      </c>
      <c r="I3460" s="26">
        <v>40908</v>
      </c>
      <c r="J3460">
        <v>2011</v>
      </c>
      <c r="K3460" t="s">
        <v>26012</v>
      </c>
      <c r="L3460">
        <v>257</v>
      </c>
      <c r="M3460" t="s">
        <v>27353</v>
      </c>
      <c r="N3460">
        <v>1</v>
      </c>
      <c r="O3460" t="s">
        <v>36633</v>
      </c>
      <c r="Q3460" t="s">
        <v>38493</v>
      </c>
      <c r="R3460">
        <v>150.19499999999999</v>
      </c>
      <c r="S3460" t="s">
        <v>7514</v>
      </c>
      <c r="T3460" t="s">
        <v>30</v>
      </c>
      <c r="U3460" t="s">
        <v>46</v>
      </c>
      <c r="W3460" t="s">
        <v>26009</v>
      </c>
    </row>
    <row r="3461" spans="1:23" x14ac:dyDescent="0.35">
      <c r="A3461">
        <v>737844</v>
      </c>
      <c r="B3461" t="s">
        <v>9718</v>
      </c>
      <c r="C3461" t="str">
        <f>"9781855758735"</f>
        <v>9781855758735</v>
      </c>
      <c r="D3461" t="str">
        <f>"9781849409186"</f>
        <v>9781849409186</v>
      </c>
      <c r="E3461" t="s">
        <v>26010</v>
      </c>
      <c r="F3461" t="s">
        <v>35</v>
      </c>
      <c r="G3461" t="s">
        <v>22174</v>
      </c>
      <c r="H3461" t="s">
        <v>26011</v>
      </c>
      <c r="I3461" s="26">
        <v>40908</v>
      </c>
      <c r="J3461">
        <v>2011</v>
      </c>
      <c r="K3461" t="s">
        <v>26012</v>
      </c>
      <c r="L3461">
        <v>217</v>
      </c>
      <c r="M3461" t="s">
        <v>38494</v>
      </c>
      <c r="N3461">
        <v>1</v>
      </c>
      <c r="O3461" t="s">
        <v>37129</v>
      </c>
      <c r="Q3461" t="s">
        <v>38495</v>
      </c>
      <c r="R3461">
        <v>150.19499999999999</v>
      </c>
      <c r="S3461" t="s">
        <v>7514</v>
      </c>
      <c r="T3461" t="s">
        <v>30</v>
      </c>
      <c r="U3461" t="s">
        <v>46</v>
      </c>
      <c r="W3461" t="s">
        <v>26009</v>
      </c>
    </row>
    <row r="3462" spans="1:23" x14ac:dyDescent="0.35">
      <c r="A3462">
        <v>737845</v>
      </c>
      <c r="B3462" t="s">
        <v>38496</v>
      </c>
      <c r="C3462" t="str">
        <f>"9781780490137"</f>
        <v>9781780490137</v>
      </c>
      <c r="D3462" t="str">
        <f>"9781849409193"</f>
        <v>9781849409193</v>
      </c>
      <c r="E3462" t="s">
        <v>26010</v>
      </c>
      <c r="F3462" t="s">
        <v>35</v>
      </c>
      <c r="G3462" t="s">
        <v>22174</v>
      </c>
      <c r="H3462" t="s">
        <v>26011</v>
      </c>
      <c r="I3462" s="26">
        <v>40908</v>
      </c>
      <c r="J3462">
        <v>2011</v>
      </c>
      <c r="K3462" t="s">
        <v>26012</v>
      </c>
      <c r="L3462">
        <v>241</v>
      </c>
      <c r="M3462" t="s">
        <v>38497</v>
      </c>
      <c r="N3462">
        <v>1</v>
      </c>
      <c r="O3462" t="s">
        <v>38498</v>
      </c>
      <c r="Q3462" t="s">
        <v>38499</v>
      </c>
      <c r="R3462">
        <v>150.19499999999999</v>
      </c>
      <c r="S3462" t="s">
        <v>7514</v>
      </c>
      <c r="T3462" t="s">
        <v>30</v>
      </c>
      <c r="U3462" t="s">
        <v>46</v>
      </c>
      <c r="W3462" t="s">
        <v>26009</v>
      </c>
    </row>
    <row r="3463" spans="1:23" x14ac:dyDescent="0.35">
      <c r="A3463">
        <v>738699</v>
      </c>
      <c r="B3463" t="s">
        <v>7909</v>
      </c>
      <c r="C3463" t="str">
        <f>"9780415581455"</f>
        <v>9780415581455</v>
      </c>
      <c r="D3463" t="str">
        <f>"9780203816691"</f>
        <v>9780203816691</v>
      </c>
      <c r="E3463" t="s">
        <v>26010</v>
      </c>
      <c r="F3463" t="s">
        <v>35</v>
      </c>
      <c r="G3463" t="s">
        <v>22174</v>
      </c>
      <c r="H3463" t="s">
        <v>26011</v>
      </c>
      <c r="I3463" s="26">
        <v>40806</v>
      </c>
      <c r="J3463">
        <v>2011</v>
      </c>
      <c r="K3463" t="s">
        <v>26012</v>
      </c>
      <c r="L3463">
        <v>345</v>
      </c>
      <c r="M3463" t="s">
        <v>38500</v>
      </c>
      <c r="N3463">
        <v>1</v>
      </c>
      <c r="Q3463" t="s">
        <v>38501</v>
      </c>
      <c r="R3463">
        <v>616.85260000000005</v>
      </c>
      <c r="S3463" t="s">
        <v>7910</v>
      </c>
      <c r="T3463" t="s">
        <v>30</v>
      </c>
      <c r="U3463" t="s">
        <v>26116</v>
      </c>
      <c r="W3463" t="s">
        <v>26009</v>
      </c>
    </row>
    <row r="3464" spans="1:23" x14ac:dyDescent="0.35">
      <c r="A3464">
        <v>740135</v>
      </c>
      <c r="B3464" t="s">
        <v>7554</v>
      </c>
      <c r="C3464" t="str">
        <f>"9780816673049"</f>
        <v>9780816673049</v>
      </c>
      <c r="D3464" t="str">
        <f>"9780816645732"</f>
        <v>9780816645732</v>
      </c>
      <c r="E3464" t="s">
        <v>7471</v>
      </c>
      <c r="F3464" t="s">
        <v>7471</v>
      </c>
      <c r="G3464" t="s">
        <v>23536</v>
      </c>
      <c r="H3464" t="s">
        <v>26004</v>
      </c>
      <c r="I3464" s="26">
        <v>40667</v>
      </c>
      <c r="J3464">
        <v>2011</v>
      </c>
      <c r="K3464" t="s">
        <v>7471</v>
      </c>
      <c r="L3464">
        <v>356</v>
      </c>
      <c r="M3464" t="s">
        <v>38502</v>
      </c>
      <c r="N3464">
        <v>1</v>
      </c>
      <c r="Q3464" t="s">
        <v>38503</v>
      </c>
      <c r="R3464">
        <v>720.1</v>
      </c>
      <c r="S3464" t="s">
        <v>38504</v>
      </c>
      <c r="T3464" t="s">
        <v>30</v>
      </c>
      <c r="U3464" t="s">
        <v>34285</v>
      </c>
      <c r="W3464" t="s">
        <v>26009</v>
      </c>
    </row>
    <row r="3465" spans="1:23" x14ac:dyDescent="0.35">
      <c r="A3465">
        <v>741642</v>
      </c>
      <c r="B3465" t="s">
        <v>8088</v>
      </c>
      <c r="C3465" t="str">
        <f>"9781921507533"</f>
        <v>9781921507533</v>
      </c>
      <c r="D3465" t="str">
        <f>"9781921507540"</f>
        <v>9781921507540</v>
      </c>
      <c r="E3465" t="s">
        <v>36468</v>
      </c>
      <c r="F3465" t="s">
        <v>8089</v>
      </c>
      <c r="G3465" t="s">
        <v>36469</v>
      </c>
      <c r="H3465" t="s">
        <v>31108</v>
      </c>
      <c r="I3465" s="26">
        <v>42826</v>
      </c>
      <c r="J3465">
        <v>2011</v>
      </c>
      <c r="K3465" t="s">
        <v>8089</v>
      </c>
      <c r="L3465">
        <v>65</v>
      </c>
      <c r="M3465" t="s">
        <v>36470</v>
      </c>
      <c r="N3465">
        <v>1</v>
      </c>
      <c r="O3465" t="s">
        <v>36471</v>
      </c>
      <c r="P3465">
        <v>330</v>
      </c>
      <c r="Q3465" t="s">
        <v>38505</v>
      </c>
      <c r="S3465" t="s">
        <v>38506</v>
      </c>
      <c r="T3465" t="s">
        <v>30</v>
      </c>
      <c r="U3465" t="s">
        <v>46</v>
      </c>
      <c r="W3465" t="s">
        <v>26009</v>
      </c>
    </row>
    <row r="3466" spans="1:23" x14ac:dyDescent="0.35">
      <c r="A3466">
        <v>741756</v>
      </c>
      <c r="B3466" t="s">
        <v>38507</v>
      </c>
      <c r="C3466" t="str">
        <f>"9781442212077"</f>
        <v>9781442212077</v>
      </c>
      <c r="D3466" t="str">
        <f>"9781442212091"</f>
        <v>9781442212091</v>
      </c>
      <c r="E3466" t="s">
        <v>28146</v>
      </c>
      <c r="F3466" t="s">
        <v>38508</v>
      </c>
      <c r="G3466" t="s">
        <v>22179</v>
      </c>
      <c r="H3466" t="s">
        <v>26004</v>
      </c>
      <c r="I3466" s="26">
        <v>40832</v>
      </c>
      <c r="J3466">
        <v>2011</v>
      </c>
      <c r="K3466" t="s">
        <v>38508</v>
      </c>
      <c r="L3466">
        <v>137</v>
      </c>
      <c r="M3466" t="s">
        <v>38509</v>
      </c>
      <c r="N3466">
        <v>1</v>
      </c>
      <c r="Q3466" t="s">
        <v>38510</v>
      </c>
      <c r="R3466" t="s">
        <v>31507</v>
      </c>
      <c r="S3466" t="s">
        <v>38511</v>
      </c>
      <c r="T3466" t="s">
        <v>30</v>
      </c>
      <c r="U3466" t="s">
        <v>26116</v>
      </c>
      <c r="W3466" t="s">
        <v>28151</v>
      </c>
    </row>
    <row r="3467" spans="1:23" x14ac:dyDescent="0.35">
      <c r="A3467">
        <v>742332</v>
      </c>
      <c r="B3467" t="s">
        <v>8333</v>
      </c>
      <c r="C3467" t="str">
        <f>"9780826426185"</f>
        <v>9780826426185</v>
      </c>
      <c r="D3467" t="str">
        <f>"9781441104144"</f>
        <v>9781441104144</v>
      </c>
      <c r="E3467" t="s">
        <v>31671</v>
      </c>
      <c r="F3467" t="s">
        <v>7760</v>
      </c>
      <c r="G3467" t="s">
        <v>22174</v>
      </c>
      <c r="H3467" t="s">
        <v>26011</v>
      </c>
      <c r="I3467" s="26">
        <v>40001</v>
      </c>
      <c r="J3467">
        <v>2007</v>
      </c>
      <c r="K3467" t="s">
        <v>33338</v>
      </c>
      <c r="L3467">
        <v>182</v>
      </c>
      <c r="M3467" t="s">
        <v>38512</v>
      </c>
      <c r="N3467">
        <v>1</v>
      </c>
      <c r="Q3467" t="s">
        <v>38513</v>
      </c>
      <c r="R3467">
        <v>370.15</v>
      </c>
      <c r="S3467" t="s">
        <v>38514</v>
      </c>
      <c r="T3467" t="s">
        <v>30</v>
      </c>
      <c r="U3467" t="s">
        <v>26179</v>
      </c>
      <c r="W3467" t="s">
        <v>28347</v>
      </c>
    </row>
    <row r="3468" spans="1:23" x14ac:dyDescent="0.35">
      <c r="A3468">
        <v>742333</v>
      </c>
      <c r="B3468" t="s">
        <v>38515</v>
      </c>
      <c r="C3468" t="str">
        <f>"9780485240139"</f>
        <v>9780485240139</v>
      </c>
      <c r="D3468" t="str">
        <f>"9780567176745"</f>
        <v>9780567176745</v>
      </c>
      <c r="E3468" t="s">
        <v>31671</v>
      </c>
      <c r="F3468" t="s">
        <v>7760</v>
      </c>
      <c r="G3468" t="s">
        <v>22174</v>
      </c>
      <c r="H3468" t="s">
        <v>26011</v>
      </c>
      <c r="I3468" s="26">
        <v>36892</v>
      </c>
      <c r="J3468">
        <v>2000</v>
      </c>
      <c r="K3468" t="s">
        <v>38516</v>
      </c>
      <c r="L3468">
        <v>297</v>
      </c>
      <c r="M3468" t="s">
        <v>38517</v>
      </c>
      <c r="N3468">
        <v>1</v>
      </c>
      <c r="Q3468" t="s">
        <v>38518</v>
      </c>
      <c r="R3468" t="s">
        <v>29774</v>
      </c>
      <c r="S3468" t="s">
        <v>38519</v>
      </c>
      <c r="T3468" t="s">
        <v>30</v>
      </c>
      <c r="U3468" t="s">
        <v>26019</v>
      </c>
      <c r="W3468" t="s">
        <v>38520</v>
      </c>
    </row>
    <row r="3469" spans="1:23" x14ac:dyDescent="0.35">
      <c r="A3469">
        <v>742398</v>
      </c>
      <c r="B3469" t="s">
        <v>38521</v>
      </c>
      <c r="C3469" t="str">
        <f>"9780826488923"</f>
        <v>9780826488923</v>
      </c>
      <c r="D3469" t="str">
        <f>"9781441131737"</f>
        <v>9781441131737</v>
      </c>
      <c r="E3469" t="s">
        <v>31671</v>
      </c>
      <c r="F3469" t="s">
        <v>7760</v>
      </c>
      <c r="G3469" t="s">
        <v>22174</v>
      </c>
      <c r="H3469" t="s">
        <v>26011</v>
      </c>
      <c r="I3469" s="26">
        <v>38890</v>
      </c>
      <c r="J3469">
        <v>2006</v>
      </c>
      <c r="K3469" t="s">
        <v>33338</v>
      </c>
      <c r="L3469">
        <v>672</v>
      </c>
      <c r="M3469" t="s">
        <v>38522</v>
      </c>
      <c r="N3469">
        <v>1</v>
      </c>
      <c r="Q3469" t="s">
        <v>38523</v>
      </c>
      <c r="R3469">
        <v>401.43</v>
      </c>
      <c r="S3469" t="s">
        <v>38524</v>
      </c>
      <c r="T3469" t="s">
        <v>30</v>
      </c>
      <c r="U3469" t="s">
        <v>28384</v>
      </c>
      <c r="W3469" t="s">
        <v>28347</v>
      </c>
    </row>
    <row r="3470" spans="1:23" x14ac:dyDescent="0.35">
      <c r="A3470">
        <v>742472</v>
      </c>
      <c r="B3470" t="s">
        <v>9716</v>
      </c>
      <c r="C3470" t="str">
        <f>"9781441195715"</f>
        <v>9781441195715</v>
      </c>
      <c r="D3470" t="str">
        <f>"9780826423481"</f>
        <v>9780826423481</v>
      </c>
      <c r="E3470" t="s">
        <v>31671</v>
      </c>
      <c r="F3470" t="s">
        <v>7760</v>
      </c>
      <c r="G3470" t="s">
        <v>22174</v>
      </c>
      <c r="H3470" t="s">
        <v>26011</v>
      </c>
      <c r="I3470" s="26">
        <v>40661</v>
      </c>
      <c r="J3470">
        <v>2007</v>
      </c>
      <c r="K3470" t="s">
        <v>33338</v>
      </c>
      <c r="L3470">
        <v>247</v>
      </c>
      <c r="M3470" t="s">
        <v>38525</v>
      </c>
      <c r="N3470">
        <v>1</v>
      </c>
      <c r="Q3470" t="s">
        <v>38526</v>
      </c>
      <c r="R3470">
        <v>306.60939999999999</v>
      </c>
      <c r="S3470" t="s">
        <v>38527</v>
      </c>
      <c r="T3470" t="s">
        <v>30</v>
      </c>
      <c r="U3470" t="s">
        <v>34980</v>
      </c>
      <c r="W3470" t="s">
        <v>28347</v>
      </c>
    </row>
    <row r="3471" spans="1:23" x14ac:dyDescent="0.35">
      <c r="A3471">
        <v>742784</v>
      </c>
      <c r="B3471" t="s">
        <v>10018</v>
      </c>
      <c r="C3471" t="str">
        <f>"9780567088895"</f>
        <v>9780567088895</v>
      </c>
      <c r="D3471" t="str">
        <f>"9780567035967"</f>
        <v>9780567035967</v>
      </c>
      <c r="E3471" t="s">
        <v>31671</v>
      </c>
      <c r="F3471" t="s">
        <v>7760</v>
      </c>
      <c r="G3471" t="s">
        <v>22174</v>
      </c>
      <c r="H3471" t="s">
        <v>26011</v>
      </c>
      <c r="I3471" s="26">
        <v>37742</v>
      </c>
      <c r="J3471">
        <v>2003</v>
      </c>
      <c r="K3471" t="s">
        <v>38528</v>
      </c>
      <c r="L3471">
        <v>184</v>
      </c>
      <c r="M3471" t="s">
        <v>38529</v>
      </c>
      <c r="N3471">
        <v>1</v>
      </c>
      <c r="Q3471" t="s">
        <v>38530</v>
      </c>
      <c r="R3471" t="s">
        <v>38531</v>
      </c>
      <c r="S3471" t="s">
        <v>38532</v>
      </c>
      <c r="T3471" t="s">
        <v>30</v>
      </c>
      <c r="U3471" t="s">
        <v>11247</v>
      </c>
      <c r="W3471" t="s">
        <v>28347</v>
      </c>
    </row>
    <row r="3472" spans="1:23" x14ac:dyDescent="0.35">
      <c r="A3472">
        <v>743204</v>
      </c>
      <c r="B3472" t="s">
        <v>9509</v>
      </c>
      <c r="C3472" t="str">
        <f>"9781855390713"</f>
        <v>9781855390713</v>
      </c>
      <c r="D3472" t="str">
        <f>"9781855396265"</f>
        <v>9781855396265</v>
      </c>
      <c r="E3472" t="s">
        <v>31671</v>
      </c>
      <c r="F3472" t="s">
        <v>7760</v>
      </c>
      <c r="G3472" t="s">
        <v>22174</v>
      </c>
      <c r="H3472" t="s">
        <v>26011</v>
      </c>
      <c r="I3472" s="26">
        <v>38966</v>
      </c>
      <c r="J3472">
        <v>2006</v>
      </c>
      <c r="K3472" t="s">
        <v>38533</v>
      </c>
      <c r="L3472">
        <v>245</v>
      </c>
      <c r="M3472" t="s">
        <v>38534</v>
      </c>
      <c r="N3472">
        <v>1</v>
      </c>
      <c r="Q3472" t="s">
        <v>38535</v>
      </c>
      <c r="R3472">
        <v>371.95</v>
      </c>
      <c r="S3472" t="s">
        <v>9510</v>
      </c>
      <c r="T3472" t="s">
        <v>30</v>
      </c>
      <c r="U3472" t="s">
        <v>337</v>
      </c>
      <c r="W3472" t="s">
        <v>28347</v>
      </c>
    </row>
    <row r="3473" spans="1:23" x14ac:dyDescent="0.35">
      <c r="A3473">
        <v>743663</v>
      </c>
      <c r="B3473" t="s">
        <v>8315</v>
      </c>
      <c r="C3473" t="str">
        <f>"9781412935852"</f>
        <v>9781412935852</v>
      </c>
      <c r="D3473" t="str">
        <f>"9781446203163"</f>
        <v>9781446203163</v>
      </c>
      <c r="E3473" t="s">
        <v>28007</v>
      </c>
      <c r="F3473" t="s">
        <v>7430</v>
      </c>
      <c r="G3473" t="s">
        <v>22174</v>
      </c>
      <c r="H3473" t="s">
        <v>26011</v>
      </c>
      <c r="I3473" s="26">
        <v>40198</v>
      </c>
      <c r="J3473">
        <v>2010</v>
      </c>
      <c r="K3473" t="s">
        <v>7430</v>
      </c>
      <c r="L3473">
        <v>261</v>
      </c>
      <c r="M3473" t="s">
        <v>38536</v>
      </c>
      <c r="N3473">
        <v>1</v>
      </c>
      <c r="Q3473" t="s">
        <v>38537</v>
      </c>
      <c r="R3473">
        <v>155.69999999999999</v>
      </c>
      <c r="S3473" t="s">
        <v>8316</v>
      </c>
      <c r="T3473" t="s">
        <v>30</v>
      </c>
      <c r="U3473" t="s">
        <v>46</v>
      </c>
      <c r="W3473" t="s">
        <v>26009</v>
      </c>
    </row>
    <row r="3474" spans="1:23" x14ac:dyDescent="0.35">
      <c r="A3474">
        <v>743690</v>
      </c>
      <c r="B3474" t="s">
        <v>8926</v>
      </c>
      <c r="C3474" t="str">
        <f>"9781848600201"</f>
        <v>9781848600201</v>
      </c>
      <c r="D3474" t="str">
        <f>"9781446247686"</f>
        <v>9781446247686</v>
      </c>
      <c r="E3474" t="s">
        <v>28007</v>
      </c>
      <c r="F3474" t="s">
        <v>7430</v>
      </c>
      <c r="G3474" t="s">
        <v>22174</v>
      </c>
      <c r="H3474" t="s">
        <v>26011</v>
      </c>
      <c r="I3474" s="26">
        <v>40303</v>
      </c>
      <c r="J3474">
        <v>2010</v>
      </c>
      <c r="K3474" t="s">
        <v>7430</v>
      </c>
      <c r="L3474">
        <v>206</v>
      </c>
      <c r="M3474" t="s">
        <v>38538</v>
      </c>
      <c r="N3474">
        <v>1</v>
      </c>
      <c r="Q3474" t="s">
        <v>38539</v>
      </c>
      <c r="R3474">
        <v>150</v>
      </c>
      <c r="S3474" t="s">
        <v>8927</v>
      </c>
      <c r="T3474" t="s">
        <v>30</v>
      </c>
      <c r="U3474" t="s">
        <v>46</v>
      </c>
      <c r="W3474" t="s">
        <v>26009</v>
      </c>
    </row>
    <row r="3475" spans="1:23" x14ac:dyDescent="0.35">
      <c r="A3475">
        <v>743954</v>
      </c>
      <c r="B3475" t="s">
        <v>38540</v>
      </c>
      <c r="C3475" t="str">
        <f>"9780415578189"</f>
        <v>9780415578189</v>
      </c>
      <c r="D3475" t="str">
        <f>"9780203852293"</f>
        <v>9780203852293</v>
      </c>
      <c r="E3475" t="s">
        <v>26010</v>
      </c>
      <c r="F3475" t="s">
        <v>35</v>
      </c>
      <c r="G3475" t="s">
        <v>26201</v>
      </c>
      <c r="H3475" t="s">
        <v>26004</v>
      </c>
      <c r="I3475" s="26">
        <v>40807</v>
      </c>
      <c r="J3475">
        <v>2012</v>
      </c>
      <c r="K3475" t="s">
        <v>26012</v>
      </c>
      <c r="L3475">
        <v>385</v>
      </c>
      <c r="M3475" t="s">
        <v>38541</v>
      </c>
      <c r="N3475">
        <v>1</v>
      </c>
      <c r="Q3475" t="s">
        <v>38542</v>
      </c>
      <c r="R3475">
        <v>796.01</v>
      </c>
      <c r="S3475" t="s">
        <v>7979</v>
      </c>
      <c r="T3475" t="s">
        <v>30</v>
      </c>
      <c r="U3475" t="s">
        <v>26008</v>
      </c>
      <c r="W3475" t="s">
        <v>35989</v>
      </c>
    </row>
    <row r="3476" spans="1:23" x14ac:dyDescent="0.35">
      <c r="A3476">
        <v>744107</v>
      </c>
      <c r="B3476" t="s">
        <v>8303</v>
      </c>
      <c r="C3476" t="str">
        <f>"9780691151588"</f>
        <v>9780691151588</v>
      </c>
      <c r="D3476" t="str">
        <f>"9781400839698"</f>
        <v>9781400839698</v>
      </c>
      <c r="E3476" t="s">
        <v>33468</v>
      </c>
      <c r="F3476" t="s">
        <v>7517</v>
      </c>
      <c r="G3476" t="s">
        <v>23592</v>
      </c>
      <c r="H3476" t="s">
        <v>26004</v>
      </c>
      <c r="I3476" s="26">
        <v>40825</v>
      </c>
      <c r="J3476">
        <v>2011</v>
      </c>
      <c r="K3476" t="s">
        <v>7517</v>
      </c>
      <c r="L3476">
        <v>152</v>
      </c>
      <c r="M3476" t="s">
        <v>38543</v>
      </c>
      <c r="N3476">
        <v>1</v>
      </c>
      <c r="R3476">
        <v>305</v>
      </c>
      <c r="T3476" t="s">
        <v>30</v>
      </c>
      <c r="U3476" t="s">
        <v>26044</v>
      </c>
      <c r="W3476" t="s">
        <v>28347</v>
      </c>
    </row>
    <row r="3477" spans="1:23" x14ac:dyDescent="0.35">
      <c r="A3477">
        <v>744205</v>
      </c>
      <c r="B3477" t="s">
        <v>38544</v>
      </c>
      <c r="C3477" t="str">
        <f>"9789027227225"</f>
        <v>9789027227225</v>
      </c>
      <c r="D3477" t="str">
        <f>"9789027282514"</f>
        <v>9789027282514</v>
      </c>
      <c r="E3477" t="s">
        <v>35211</v>
      </c>
      <c r="F3477" t="s">
        <v>7610</v>
      </c>
      <c r="G3477" t="s">
        <v>22222</v>
      </c>
      <c r="H3477" t="s">
        <v>27983</v>
      </c>
      <c r="I3477" s="26">
        <v>29952</v>
      </c>
      <c r="J3477">
        <v>1982</v>
      </c>
      <c r="K3477" t="s">
        <v>7610</v>
      </c>
      <c r="L3477">
        <v>158</v>
      </c>
      <c r="M3477" t="s">
        <v>38545</v>
      </c>
      <c r="N3477">
        <v>1</v>
      </c>
      <c r="O3477" t="s">
        <v>38546</v>
      </c>
      <c r="P3477">
        <v>2</v>
      </c>
      <c r="Q3477" t="s">
        <v>38547</v>
      </c>
      <c r="R3477">
        <v>153.6</v>
      </c>
      <c r="S3477" t="s">
        <v>38548</v>
      </c>
      <c r="T3477" t="s">
        <v>2583</v>
      </c>
      <c r="U3477" t="s">
        <v>46</v>
      </c>
      <c r="W3477" t="s">
        <v>26009</v>
      </c>
    </row>
    <row r="3478" spans="1:23" x14ac:dyDescent="0.35">
      <c r="A3478">
        <v>744532</v>
      </c>
      <c r="B3478" t="s">
        <v>9519</v>
      </c>
      <c r="C3478" t="str">
        <f>"9780833050632"</f>
        <v>9780833050632</v>
      </c>
      <c r="D3478" t="str">
        <f>"9780833058188"</f>
        <v>9780833058188</v>
      </c>
      <c r="E3478" t="s">
        <v>30602</v>
      </c>
      <c r="F3478" t="s">
        <v>8236</v>
      </c>
      <c r="G3478" t="s">
        <v>22307</v>
      </c>
      <c r="H3478" t="s">
        <v>26004</v>
      </c>
      <c r="I3478" s="26">
        <v>40721</v>
      </c>
      <c r="J3478">
        <v>2011</v>
      </c>
      <c r="K3478" t="s">
        <v>30603</v>
      </c>
      <c r="L3478">
        <v>232</v>
      </c>
      <c r="M3478" t="s">
        <v>38549</v>
      </c>
      <c r="N3478">
        <v>1</v>
      </c>
      <c r="Q3478" t="s">
        <v>38550</v>
      </c>
      <c r="R3478">
        <v>301.99</v>
      </c>
      <c r="S3478" t="s">
        <v>38551</v>
      </c>
      <c r="T3478" t="s">
        <v>30</v>
      </c>
      <c r="U3478" t="s">
        <v>38552</v>
      </c>
      <c r="W3478" t="s">
        <v>26009</v>
      </c>
    </row>
    <row r="3479" spans="1:23" x14ac:dyDescent="0.35">
      <c r="A3479">
        <v>744850</v>
      </c>
      <c r="B3479" t="s">
        <v>38553</v>
      </c>
      <c r="C3479" t="str">
        <f>"9781442203037"</f>
        <v>9781442203037</v>
      </c>
      <c r="D3479" t="str">
        <f>"9781442203051"</f>
        <v>9781442203051</v>
      </c>
      <c r="E3479" t="s">
        <v>33803</v>
      </c>
      <c r="F3479" t="s">
        <v>38</v>
      </c>
      <c r="G3479" t="s">
        <v>34328</v>
      </c>
      <c r="H3479" t="s">
        <v>26004</v>
      </c>
      <c r="I3479" s="26">
        <v>40832</v>
      </c>
      <c r="J3479">
        <v>2011</v>
      </c>
      <c r="K3479" t="s">
        <v>38</v>
      </c>
      <c r="L3479">
        <v>317</v>
      </c>
      <c r="M3479" t="s">
        <v>38554</v>
      </c>
      <c r="N3479">
        <v>1</v>
      </c>
      <c r="Q3479" t="s">
        <v>38555</v>
      </c>
      <c r="R3479" t="s">
        <v>26735</v>
      </c>
      <c r="S3479" t="s">
        <v>38556</v>
      </c>
      <c r="T3479" t="s">
        <v>30</v>
      </c>
      <c r="U3479" t="s">
        <v>26040</v>
      </c>
      <c r="W3479" t="s">
        <v>26009</v>
      </c>
    </row>
    <row r="3480" spans="1:23" x14ac:dyDescent="0.35">
      <c r="A3480">
        <v>752687</v>
      </c>
      <c r="B3480" t="s">
        <v>38557</v>
      </c>
      <c r="C3480" t="str">
        <f>"9788472456969"</f>
        <v>9788472456969</v>
      </c>
      <c r="D3480" t="str">
        <f>"9788472457379"</f>
        <v>9788472457379</v>
      </c>
      <c r="E3480" t="s">
        <v>27422</v>
      </c>
      <c r="F3480" t="s">
        <v>8299</v>
      </c>
      <c r="H3480" t="s">
        <v>26004</v>
      </c>
      <c r="I3480" s="26">
        <v>40299</v>
      </c>
      <c r="J3480">
        <v>2010</v>
      </c>
      <c r="K3480" t="s">
        <v>8299</v>
      </c>
      <c r="L3480">
        <v>391</v>
      </c>
      <c r="M3480" t="s">
        <v>38558</v>
      </c>
      <c r="Q3480" t="s">
        <v>38559</v>
      </c>
      <c r="R3480">
        <v>616.89</v>
      </c>
      <c r="S3480" t="s">
        <v>38560</v>
      </c>
      <c r="T3480" t="s">
        <v>142</v>
      </c>
      <c r="U3480" t="s">
        <v>26116</v>
      </c>
      <c r="W3480" t="s">
        <v>26009</v>
      </c>
    </row>
    <row r="3481" spans="1:23" x14ac:dyDescent="0.35">
      <c r="A3481">
        <v>753355</v>
      </c>
      <c r="B3481" t="s">
        <v>7837</v>
      </c>
      <c r="C3481" t="str">
        <f>"9781780490380"</f>
        <v>9781780490380</v>
      </c>
      <c r="D3481" t="str">
        <f>"9781849409223"</f>
        <v>9781849409223</v>
      </c>
      <c r="E3481" t="s">
        <v>26010</v>
      </c>
      <c r="F3481" t="s">
        <v>35</v>
      </c>
      <c r="G3481" t="s">
        <v>22174</v>
      </c>
      <c r="H3481" t="s">
        <v>26011</v>
      </c>
      <c r="I3481" s="26">
        <v>40908</v>
      </c>
      <c r="J3481">
        <v>2011</v>
      </c>
      <c r="K3481" t="s">
        <v>26012</v>
      </c>
      <c r="L3481">
        <v>313</v>
      </c>
      <c r="M3481" t="s">
        <v>38561</v>
      </c>
      <c r="N3481">
        <v>1</v>
      </c>
      <c r="Q3481" t="s">
        <v>38562</v>
      </c>
      <c r="R3481">
        <v>616.89170000000001</v>
      </c>
      <c r="S3481" t="s">
        <v>7514</v>
      </c>
      <c r="T3481" t="s">
        <v>30</v>
      </c>
      <c r="U3481" t="s">
        <v>26019</v>
      </c>
      <c r="W3481" t="s">
        <v>26009</v>
      </c>
    </row>
    <row r="3482" spans="1:23" x14ac:dyDescent="0.35">
      <c r="A3482">
        <v>753357</v>
      </c>
      <c r="B3482" t="s">
        <v>8978</v>
      </c>
      <c r="C3482" t="str">
        <f>"9781855758995"</f>
        <v>9781855758995</v>
      </c>
      <c r="D3482" t="str">
        <f>"9781849409247"</f>
        <v>9781849409247</v>
      </c>
      <c r="E3482" t="s">
        <v>26010</v>
      </c>
      <c r="F3482" t="s">
        <v>35</v>
      </c>
      <c r="G3482" t="s">
        <v>22174</v>
      </c>
      <c r="H3482" t="s">
        <v>26011</v>
      </c>
      <c r="I3482" s="26">
        <v>40908</v>
      </c>
      <c r="J3482">
        <v>2011</v>
      </c>
      <c r="K3482" t="s">
        <v>26012</v>
      </c>
      <c r="L3482">
        <v>177</v>
      </c>
      <c r="M3482" t="s">
        <v>38563</v>
      </c>
      <c r="N3482">
        <v>1</v>
      </c>
      <c r="Q3482" t="s">
        <v>38564</v>
      </c>
      <c r="R3482">
        <v>616.89170000000001</v>
      </c>
      <c r="S3482" t="s">
        <v>38565</v>
      </c>
      <c r="T3482" t="s">
        <v>30</v>
      </c>
      <c r="U3482" t="s">
        <v>26116</v>
      </c>
      <c r="W3482" t="s">
        <v>26009</v>
      </c>
    </row>
    <row r="3483" spans="1:23" x14ac:dyDescent="0.35">
      <c r="A3483">
        <v>753358</v>
      </c>
      <c r="B3483" t="s">
        <v>38566</v>
      </c>
      <c r="C3483" t="str">
        <f>"9781855758919"</f>
        <v>9781855758919</v>
      </c>
      <c r="D3483" t="str">
        <f>"9781849409254"</f>
        <v>9781849409254</v>
      </c>
      <c r="E3483" t="s">
        <v>26010</v>
      </c>
      <c r="F3483" t="s">
        <v>35</v>
      </c>
      <c r="G3483" t="s">
        <v>22174</v>
      </c>
      <c r="H3483" t="s">
        <v>26011</v>
      </c>
      <c r="I3483" s="26">
        <v>40908</v>
      </c>
      <c r="J3483">
        <v>2011</v>
      </c>
      <c r="K3483" t="s">
        <v>26012</v>
      </c>
      <c r="L3483">
        <v>255</v>
      </c>
      <c r="M3483" t="s">
        <v>35591</v>
      </c>
      <c r="N3483">
        <v>1</v>
      </c>
      <c r="O3483" t="s">
        <v>36814</v>
      </c>
      <c r="Q3483" t="s">
        <v>38567</v>
      </c>
      <c r="R3483">
        <v>150.19499999999999</v>
      </c>
      <c r="S3483" t="s">
        <v>7478</v>
      </c>
      <c r="T3483" t="s">
        <v>30</v>
      </c>
      <c r="U3483" t="s">
        <v>46</v>
      </c>
      <c r="W3483" t="s">
        <v>26009</v>
      </c>
    </row>
    <row r="3484" spans="1:23" x14ac:dyDescent="0.35">
      <c r="A3484">
        <v>753359</v>
      </c>
      <c r="B3484" t="s">
        <v>38568</v>
      </c>
      <c r="C3484" t="str">
        <f>"9781855757707"</f>
        <v>9781855757707</v>
      </c>
      <c r="D3484" t="str">
        <f>"9781849409261"</f>
        <v>9781849409261</v>
      </c>
      <c r="E3484" t="s">
        <v>26010</v>
      </c>
      <c r="F3484" t="s">
        <v>35</v>
      </c>
      <c r="G3484" t="s">
        <v>22174</v>
      </c>
      <c r="H3484" t="s">
        <v>26011</v>
      </c>
      <c r="I3484" s="26">
        <v>40908</v>
      </c>
      <c r="J3484">
        <v>2011</v>
      </c>
      <c r="K3484" t="s">
        <v>26012</v>
      </c>
      <c r="L3484">
        <v>125</v>
      </c>
      <c r="M3484" t="s">
        <v>36559</v>
      </c>
      <c r="N3484">
        <v>1</v>
      </c>
      <c r="Q3484" t="s">
        <v>38569</v>
      </c>
      <c r="R3484">
        <v>150.19499999999999</v>
      </c>
      <c r="S3484" t="s">
        <v>38570</v>
      </c>
      <c r="T3484" t="s">
        <v>30</v>
      </c>
      <c r="U3484" t="s">
        <v>26099</v>
      </c>
      <c r="W3484" t="s">
        <v>26009</v>
      </c>
    </row>
    <row r="3485" spans="1:23" x14ac:dyDescent="0.35">
      <c r="A3485">
        <v>753360</v>
      </c>
      <c r="B3485" t="s">
        <v>38571</v>
      </c>
      <c r="C3485" t="str">
        <f>"9781855757004"</f>
        <v>9781855757004</v>
      </c>
      <c r="D3485" t="str">
        <f>"9781849409278"</f>
        <v>9781849409278</v>
      </c>
      <c r="E3485" t="s">
        <v>26010</v>
      </c>
      <c r="F3485" t="s">
        <v>35</v>
      </c>
      <c r="G3485" t="s">
        <v>26128</v>
      </c>
      <c r="H3485" t="s">
        <v>26011</v>
      </c>
      <c r="I3485" s="26">
        <v>40908</v>
      </c>
      <c r="J3485">
        <v>2011</v>
      </c>
      <c r="K3485" t="s">
        <v>26012</v>
      </c>
      <c r="L3485">
        <v>137</v>
      </c>
      <c r="M3485" t="s">
        <v>37157</v>
      </c>
      <c r="N3485">
        <v>1</v>
      </c>
      <c r="R3485">
        <v>616.89170000000001</v>
      </c>
      <c r="S3485" t="s">
        <v>30172</v>
      </c>
      <c r="T3485" t="s">
        <v>30</v>
      </c>
      <c r="U3485" t="s">
        <v>26040</v>
      </c>
      <c r="W3485" t="s">
        <v>26009</v>
      </c>
    </row>
    <row r="3486" spans="1:23" x14ac:dyDescent="0.35">
      <c r="A3486">
        <v>759906</v>
      </c>
      <c r="B3486" t="s">
        <v>8472</v>
      </c>
      <c r="C3486" t="str">
        <f>"9781609186463"</f>
        <v>9781609186463</v>
      </c>
      <c r="D3486" t="str">
        <f>"9781609186470"</f>
        <v>9781609186470</v>
      </c>
      <c r="E3486" t="s">
        <v>30112</v>
      </c>
      <c r="F3486" t="s">
        <v>7420</v>
      </c>
      <c r="G3486" t="s">
        <v>22179</v>
      </c>
      <c r="H3486" t="s">
        <v>26004</v>
      </c>
      <c r="I3486" s="26">
        <v>40756</v>
      </c>
      <c r="J3486">
        <v>2011</v>
      </c>
      <c r="K3486" t="s">
        <v>30113</v>
      </c>
      <c r="L3486">
        <v>410</v>
      </c>
      <c r="M3486" t="s">
        <v>38572</v>
      </c>
      <c r="N3486">
        <v>1</v>
      </c>
      <c r="Q3486" t="s">
        <v>38573</v>
      </c>
      <c r="R3486" t="s">
        <v>38574</v>
      </c>
      <c r="S3486" t="s">
        <v>38575</v>
      </c>
      <c r="T3486" t="s">
        <v>30</v>
      </c>
      <c r="U3486" t="s">
        <v>26228</v>
      </c>
      <c r="W3486" t="s">
        <v>28347</v>
      </c>
    </row>
    <row r="3487" spans="1:23" x14ac:dyDescent="0.35">
      <c r="A3487">
        <v>759924</v>
      </c>
      <c r="B3487" t="s">
        <v>38576</v>
      </c>
      <c r="C3487" t="str">
        <f>"9781609184919"</f>
        <v>9781609184919</v>
      </c>
      <c r="D3487" t="str">
        <f>"9781609184926"</f>
        <v>9781609184926</v>
      </c>
      <c r="E3487" t="s">
        <v>30112</v>
      </c>
      <c r="F3487" t="s">
        <v>7420</v>
      </c>
      <c r="G3487" t="s">
        <v>22179</v>
      </c>
      <c r="H3487" t="s">
        <v>26004</v>
      </c>
      <c r="I3487" s="26">
        <v>40750</v>
      </c>
      <c r="J3487">
        <v>2011</v>
      </c>
      <c r="K3487" t="s">
        <v>30113</v>
      </c>
      <c r="L3487">
        <v>528</v>
      </c>
      <c r="M3487" t="s">
        <v>30380</v>
      </c>
      <c r="N3487">
        <v>1</v>
      </c>
      <c r="S3487" t="s">
        <v>38577</v>
      </c>
      <c r="T3487" t="s">
        <v>30</v>
      </c>
      <c r="U3487" t="s">
        <v>26019</v>
      </c>
      <c r="W3487" t="s">
        <v>28347</v>
      </c>
    </row>
    <row r="3488" spans="1:23" x14ac:dyDescent="0.35">
      <c r="A3488">
        <v>760081</v>
      </c>
      <c r="B3488" t="s">
        <v>38578</v>
      </c>
      <c r="C3488" t="str">
        <f>"9780826104748"</f>
        <v>9780826104748</v>
      </c>
      <c r="D3488" t="str">
        <f>"9780826104755"</f>
        <v>9780826104755</v>
      </c>
      <c r="E3488" t="s">
        <v>1504</v>
      </c>
      <c r="F3488" t="s">
        <v>33</v>
      </c>
      <c r="G3488" t="s">
        <v>22179</v>
      </c>
      <c r="H3488" t="s">
        <v>26004</v>
      </c>
      <c r="I3488" s="26">
        <v>40483</v>
      </c>
      <c r="J3488">
        <v>2011</v>
      </c>
      <c r="K3488" t="s">
        <v>33</v>
      </c>
      <c r="L3488">
        <v>538</v>
      </c>
      <c r="M3488" t="s">
        <v>38579</v>
      </c>
      <c r="N3488">
        <v>2</v>
      </c>
      <c r="Q3488" t="s">
        <v>38580</v>
      </c>
      <c r="R3488">
        <v>616.79999999999995</v>
      </c>
      <c r="S3488" t="s">
        <v>38581</v>
      </c>
      <c r="T3488" t="s">
        <v>30</v>
      </c>
      <c r="U3488" t="s">
        <v>26040</v>
      </c>
      <c r="W3488" t="s">
        <v>26009</v>
      </c>
    </row>
    <row r="3489" spans="1:23" x14ac:dyDescent="0.35">
      <c r="A3489">
        <v>764880</v>
      </c>
      <c r="B3489" t="s">
        <v>38582</v>
      </c>
      <c r="C3489" t="str">
        <f>"9781855759350"</f>
        <v>9781855759350</v>
      </c>
      <c r="D3489" t="str">
        <f>"9780429912399"</f>
        <v>9780429912399</v>
      </c>
      <c r="E3489" t="s">
        <v>26010</v>
      </c>
      <c r="F3489" t="s">
        <v>35</v>
      </c>
      <c r="G3489" t="s">
        <v>22174</v>
      </c>
      <c r="H3489" t="s">
        <v>26011</v>
      </c>
      <c r="I3489" s="26">
        <v>39082</v>
      </c>
      <c r="J3489">
        <v>2006</v>
      </c>
      <c r="K3489" t="s">
        <v>26012</v>
      </c>
      <c r="L3489">
        <v>335</v>
      </c>
      <c r="M3489" t="s">
        <v>38583</v>
      </c>
      <c r="N3489">
        <v>1</v>
      </c>
      <c r="O3489" t="s">
        <v>36500</v>
      </c>
      <c r="Q3489" t="s">
        <v>38584</v>
      </c>
      <c r="R3489">
        <v>362.733</v>
      </c>
      <c r="S3489" t="s">
        <v>38585</v>
      </c>
      <c r="T3489" t="s">
        <v>30</v>
      </c>
      <c r="U3489" t="s">
        <v>32430</v>
      </c>
      <c r="W3489" t="s">
        <v>26009</v>
      </c>
    </row>
    <row r="3490" spans="1:23" x14ac:dyDescent="0.35">
      <c r="A3490">
        <v>764881</v>
      </c>
      <c r="B3490" t="s">
        <v>9274</v>
      </c>
      <c r="C3490" t="str">
        <f>"9781855759220"</f>
        <v>9781855759220</v>
      </c>
      <c r="D3490" t="str">
        <f>"9781849404358"</f>
        <v>9781849404358</v>
      </c>
      <c r="E3490" t="s">
        <v>26010</v>
      </c>
      <c r="F3490" t="s">
        <v>35</v>
      </c>
      <c r="G3490" t="s">
        <v>22174</v>
      </c>
      <c r="H3490" t="s">
        <v>26011</v>
      </c>
      <c r="I3490" s="26">
        <v>38352</v>
      </c>
      <c r="J3490">
        <v>2004</v>
      </c>
      <c r="K3490" t="s">
        <v>26012</v>
      </c>
      <c r="L3490">
        <v>251</v>
      </c>
      <c r="M3490" t="s">
        <v>38125</v>
      </c>
      <c r="N3490">
        <v>1</v>
      </c>
      <c r="O3490" t="s">
        <v>36500</v>
      </c>
      <c r="Q3490" t="s">
        <v>38586</v>
      </c>
      <c r="R3490">
        <v>150.1952</v>
      </c>
      <c r="S3490" t="s">
        <v>38587</v>
      </c>
      <c r="T3490" t="s">
        <v>30</v>
      </c>
      <c r="U3490" t="s">
        <v>46</v>
      </c>
      <c r="W3490" t="s">
        <v>26009</v>
      </c>
    </row>
    <row r="3491" spans="1:23" x14ac:dyDescent="0.35">
      <c r="A3491">
        <v>764882</v>
      </c>
      <c r="B3491" t="s">
        <v>8938</v>
      </c>
      <c r="C3491" t="str">
        <f>"9781855759213"</f>
        <v>9781855759213</v>
      </c>
      <c r="D3491" t="str">
        <f>"9781849403474"</f>
        <v>9781849403474</v>
      </c>
      <c r="E3491" t="s">
        <v>26010</v>
      </c>
      <c r="F3491" t="s">
        <v>35</v>
      </c>
      <c r="G3491" t="s">
        <v>22174</v>
      </c>
      <c r="H3491" t="s">
        <v>26011</v>
      </c>
      <c r="I3491" s="26">
        <v>37621</v>
      </c>
      <c r="J3491">
        <v>2002</v>
      </c>
      <c r="K3491" t="s">
        <v>26012</v>
      </c>
      <c r="L3491">
        <v>333</v>
      </c>
      <c r="M3491" t="s">
        <v>38588</v>
      </c>
      <c r="N3491">
        <v>1</v>
      </c>
      <c r="Q3491" t="s">
        <v>38589</v>
      </c>
      <c r="R3491" t="s">
        <v>26612</v>
      </c>
      <c r="S3491" t="s">
        <v>8939</v>
      </c>
      <c r="T3491" t="s">
        <v>30</v>
      </c>
      <c r="U3491" t="s">
        <v>46</v>
      </c>
      <c r="W3491" t="s">
        <v>26009</v>
      </c>
    </row>
    <row r="3492" spans="1:23" x14ac:dyDescent="0.35">
      <c r="A3492">
        <v>764883</v>
      </c>
      <c r="B3492" t="s">
        <v>38590</v>
      </c>
      <c r="C3492" t="str">
        <f>"9781855754904"</f>
        <v>9781855754904</v>
      </c>
      <c r="D3492" t="str">
        <f>"9781849405331"</f>
        <v>9781849405331</v>
      </c>
      <c r="E3492" t="s">
        <v>26010</v>
      </c>
      <c r="F3492" t="s">
        <v>35</v>
      </c>
      <c r="G3492" t="s">
        <v>22174</v>
      </c>
      <c r="H3492" t="s">
        <v>26011</v>
      </c>
      <c r="I3492" s="26">
        <v>39036</v>
      </c>
      <c r="J3492">
        <v>2006</v>
      </c>
      <c r="K3492" t="s">
        <v>26012</v>
      </c>
      <c r="L3492">
        <v>248</v>
      </c>
      <c r="M3492" t="s">
        <v>38591</v>
      </c>
      <c r="N3492">
        <v>1</v>
      </c>
      <c r="Q3492" t="s">
        <v>38592</v>
      </c>
      <c r="R3492">
        <v>618.92891399999996</v>
      </c>
      <c r="S3492" t="s">
        <v>38593</v>
      </c>
      <c r="T3492" t="s">
        <v>30</v>
      </c>
      <c r="U3492" t="s">
        <v>26019</v>
      </c>
      <c r="W3492" t="s">
        <v>26009</v>
      </c>
    </row>
    <row r="3493" spans="1:23" x14ac:dyDescent="0.35">
      <c r="A3493">
        <v>764884</v>
      </c>
      <c r="B3493" t="s">
        <v>38594</v>
      </c>
      <c r="C3493" t="str">
        <f>"9780946439799"</f>
        <v>9780946439799</v>
      </c>
      <c r="D3493" t="str">
        <f>"9781849400886"</f>
        <v>9781849400886</v>
      </c>
      <c r="E3493" t="s">
        <v>26010</v>
      </c>
      <c r="F3493" t="s">
        <v>35</v>
      </c>
      <c r="G3493" t="s">
        <v>22174</v>
      </c>
      <c r="H3493" t="s">
        <v>26011</v>
      </c>
      <c r="I3493" s="26">
        <v>33238</v>
      </c>
      <c r="J3493">
        <v>1991</v>
      </c>
      <c r="K3493" t="s">
        <v>26012</v>
      </c>
      <c r="L3493">
        <v>689</v>
      </c>
      <c r="M3493" t="s">
        <v>37175</v>
      </c>
      <c r="N3493">
        <v>1</v>
      </c>
      <c r="Q3493" t="s">
        <v>38595</v>
      </c>
      <c r="R3493">
        <v>823.91200000000003</v>
      </c>
      <c r="S3493" t="s">
        <v>7514</v>
      </c>
      <c r="T3493" t="s">
        <v>30</v>
      </c>
      <c r="U3493" t="s">
        <v>26158</v>
      </c>
      <c r="W3493" t="s">
        <v>26009</v>
      </c>
    </row>
    <row r="3494" spans="1:23" x14ac:dyDescent="0.35">
      <c r="A3494">
        <v>764885</v>
      </c>
      <c r="B3494" t="s">
        <v>38596</v>
      </c>
      <c r="C3494" t="str">
        <f>"9781855752115"</f>
        <v>9781855752115</v>
      </c>
      <c r="D3494" t="str">
        <f>"9781849404792"</f>
        <v>9781849404792</v>
      </c>
      <c r="E3494" t="s">
        <v>26010</v>
      </c>
      <c r="F3494" t="s">
        <v>35</v>
      </c>
      <c r="G3494" t="s">
        <v>22174</v>
      </c>
      <c r="H3494" t="s">
        <v>26011</v>
      </c>
      <c r="I3494" s="26">
        <v>38717</v>
      </c>
      <c r="J3494">
        <v>2005</v>
      </c>
      <c r="K3494" t="s">
        <v>26012</v>
      </c>
      <c r="L3494">
        <v>207</v>
      </c>
      <c r="M3494" t="s">
        <v>38597</v>
      </c>
      <c r="N3494">
        <v>1</v>
      </c>
      <c r="O3494" t="s">
        <v>36500</v>
      </c>
      <c r="Q3494" t="s">
        <v>38598</v>
      </c>
      <c r="R3494">
        <v>616.89139999999998</v>
      </c>
      <c r="S3494" t="s">
        <v>38599</v>
      </c>
      <c r="T3494" t="s">
        <v>30</v>
      </c>
      <c r="U3494" t="s">
        <v>26019</v>
      </c>
      <c r="W3494" t="s">
        <v>26009</v>
      </c>
    </row>
    <row r="3495" spans="1:23" x14ac:dyDescent="0.35">
      <c r="A3495">
        <v>764886</v>
      </c>
      <c r="B3495" t="s">
        <v>38600</v>
      </c>
      <c r="C3495" t="str">
        <f>"9781855759343"</f>
        <v>9781855759343</v>
      </c>
      <c r="D3495" t="str">
        <f>"9781849404150"</f>
        <v>9781849404150</v>
      </c>
      <c r="E3495" t="s">
        <v>26010</v>
      </c>
      <c r="F3495" t="s">
        <v>35</v>
      </c>
      <c r="G3495" t="s">
        <v>22174</v>
      </c>
      <c r="H3495" t="s">
        <v>26011</v>
      </c>
      <c r="I3495" s="26">
        <v>37965</v>
      </c>
      <c r="J3495">
        <v>2003</v>
      </c>
      <c r="K3495" t="s">
        <v>26012</v>
      </c>
      <c r="L3495">
        <v>169</v>
      </c>
      <c r="M3495" t="s">
        <v>38601</v>
      </c>
      <c r="N3495">
        <v>1</v>
      </c>
      <c r="Q3495" t="s">
        <v>38602</v>
      </c>
      <c r="R3495">
        <v>618.92852600000003</v>
      </c>
      <c r="S3495" t="s">
        <v>38603</v>
      </c>
      <c r="T3495" t="s">
        <v>30</v>
      </c>
      <c r="U3495" t="s">
        <v>26019</v>
      </c>
      <c r="W3495" t="s">
        <v>26009</v>
      </c>
    </row>
    <row r="3496" spans="1:23" x14ac:dyDescent="0.35">
      <c r="A3496">
        <v>764888</v>
      </c>
      <c r="B3496" t="s">
        <v>38604</v>
      </c>
      <c r="C3496" t="str">
        <f>"9781855755178"</f>
        <v>9781855755178</v>
      </c>
      <c r="D3496" t="str">
        <f>"9781849406482"</f>
        <v>9781849406482</v>
      </c>
      <c r="E3496" t="s">
        <v>26010</v>
      </c>
      <c r="F3496" t="s">
        <v>35</v>
      </c>
      <c r="G3496" t="s">
        <v>26128</v>
      </c>
      <c r="H3496" t="s">
        <v>26011</v>
      </c>
      <c r="I3496" s="26">
        <v>39478</v>
      </c>
      <c r="J3496">
        <v>2008</v>
      </c>
      <c r="K3496" t="s">
        <v>26012</v>
      </c>
      <c r="L3496">
        <v>300</v>
      </c>
      <c r="M3496" t="s">
        <v>38605</v>
      </c>
      <c r="N3496">
        <v>1</v>
      </c>
      <c r="R3496">
        <v>155</v>
      </c>
      <c r="S3496" t="s">
        <v>38606</v>
      </c>
      <c r="T3496" t="s">
        <v>30</v>
      </c>
      <c r="U3496" t="s">
        <v>46</v>
      </c>
      <c r="W3496" t="s">
        <v>26009</v>
      </c>
    </row>
    <row r="3497" spans="1:23" x14ac:dyDescent="0.35">
      <c r="A3497">
        <v>764889</v>
      </c>
      <c r="B3497" t="s">
        <v>8154</v>
      </c>
      <c r="C3497" t="str">
        <f>"9781855753501"</f>
        <v>9781855753501</v>
      </c>
      <c r="D3497" t="str">
        <f>"9781849404457"</f>
        <v>9781849404457</v>
      </c>
      <c r="E3497" t="s">
        <v>26010</v>
      </c>
      <c r="F3497" t="s">
        <v>35</v>
      </c>
      <c r="G3497" t="s">
        <v>22174</v>
      </c>
      <c r="H3497" t="s">
        <v>26011</v>
      </c>
      <c r="I3497" s="26">
        <v>38169</v>
      </c>
      <c r="J3497">
        <v>2004</v>
      </c>
      <c r="K3497" t="s">
        <v>26012</v>
      </c>
      <c r="L3497">
        <v>238</v>
      </c>
      <c r="M3497" t="s">
        <v>38607</v>
      </c>
      <c r="N3497">
        <v>1</v>
      </c>
      <c r="Q3497" t="s">
        <v>38608</v>
      </c>
      <c r="R3497">
        <v>155.30000000000001</v>
      </c>
      <c r="S3497" t="s">
        <v>38609</v>
      </c>
      <c r="T3497" t="s">
        <v>30</v>
      </c>
      <c r="U3497" t="s">
        <v>46</v>
      </c>
      <c r="W3497" t="s">
        <v>26009</v>
      </c>
    </row>
    <row r="3498" spans="1:23" x14ac:dyDescent="0.35">
      <c r="A3498">
        <v>764891</v>
      </c>
      <c r="B3498" t="s">
        <v>38610</v>
      </c>
      <c r="C3498" t="str">
        <f>"9781855753747"</f>
        <v>9781855753747</v>
      </c>
      <c r="D3498" t="str">
        <f>"9781849405393"</f>
        <v>9781849405393</v>
      </c>
      <c r="E3498" t="s">
        <v>26010</v>
      </c>
      <c r="F3498" t="s">
        <v>35</v>
      </c>
      <c r="G3498" t="s">
        <v>26128</v>
      </c>
      <c r="H3498" t="s">
        <v>26011</v>
      </c>
      <c r="I3498" s="26">
        <v>38870</v>
      </c>
      <c r="J3498">
        <v>2006</v>
      </c>
      <c r="K3498" t="s">
        <v>26012</v>
      </c>
      <c r="L3498">
        <v>181</v>
      </c>
      <c r="M3498" t="s">
        <v>38611</v>
      </c>
      <c r="N3498">
        <v>1</v>
      </c>
      <c r="R3498" t="s">
        <v>26422</v>
      </c>
      <c r="S3498" t="s">
        <v>38612</v>
      </c>
      <c r="T3498" t="s">
        <v>30</v>
      </c>
      <c r="U3498" t="s">
        <v>26040</v>
      </c>
      <c r="W3498" t="s">
        <v>26009</v>
      </c>
    </row>
    <row r="3499" spans="1:23" x14ac:dyDescent="0.35">
      <c r="A3499">
        <v>764892</v>
      </c>
      <c r="B3499" t="s">
        <v>38613</v>
      </c>
      <c r="C3499" t="str">
        <f>"9781855759091"</f>
        <v>9781855759091</v>
      </c>
      <c r="D3499" t="str">
        <f>"9781849404624"</f>
        <v>9781849404624</v>
      </c>
      <c r="E3499" t="s">
        <v>26010</v>
      </c>
      <c r="F3499" t="s">
        <v>35</v>
      </c>
      <c r="G3499" t="s">
        <v>22174</v>
      </c>
      <c r="H3499" t="s">
        <v>26011</v>
      </c>
      <c r="I3499" s="26">
        <v>38717</v>
      </c>
      <c r="J3499">
        <v>2005</v>
      </c>
      <c r="K3499" t="s">
        <v>26012</v>
      </c>
      <c r="L3499">
        <v>191</v>
      </c>
      <c r="M3499" t="s">
        <v>37371</v>
      </c>
      <c r="N3499">
        <v>1</v>
      </c>
      <c r="O3499" t="s">
        <v>37304</v>
      </c>
      <c r="Q3499" t="s">
        <v>38614</v>
      </c>
      <c r="R3499">
        <v>306.7</v>
      </c>
      <c r="S3499" t="s">
        <v>38615</v>
      </c>
      <c r="T3499" t="s">
        <v>30</v>
      </c>
      <c r="U3499" t="s">
        <v>26228</v>
      </c>
      <c r="W3499" t="s">
        <v>26009</v>
      </c>
    </row>
    <row r="3500" spans="1:23" x14ac:dyDescent="0.35">
      <c r="A3500">
        <v>764894</v>
      </c>
      <c r="B3500" t="s">
        <v>38616</v>
      </c>
      <c r="C3500" t="str">
        <f>"9781855754652"</f>
        <v>9781855754652</v>
      </c>
      <c r="D3500" t="str">
        <f>"9781849405287"</f>
        <v>9781849405287</v>
      </c>
      <c r="E3500" t="s">
        <v>26010</v>
      </c>
      <c r="F3500" t="s">
        <v>35</v>
      </c>
      <c r="G3500" t="s">
        <v>22174</v>
      </c>
      <c r="H3500" t="s">
        <v>26011</v>
      </c>
      <c r="I3500" s="26">
        <v>38877</v>
      </c>
      <c r="J3500">
        <v>2006</v>
      </c>
      <c r="K3500" t="s">
        <v>26012</v>
      </c>
      <c r="L3500">
        <v>253</v>
      </c>
      <c r="M3500" t="s">
        <v>38617</v>
      </c>
      <c r="N3500">
        <v>1</v>
      </c>
      <c r="O3500" t="s">
        <v>36495</v>
      </c>
      <c r="Q3500" t="s">
        <v>38618</v>
      </c>
      <c r="R3500">
        <v>155.82</v>
      </c>
      <c r="S3500" t="s">
        <v>38619</v>
      </c>
      <c r="T3500" t="s">
        <v>30</v>
      </c>
      <c r="U3500" t="s">
        <v>26019</v>
      </c>
      <c r="W3500" t="s">
        <v>26009</v>
      </c>
    </row>
    <row r="3501" spans="1:23" x14ac:dyDescent="0.35">
      <c r="A3501">
        <v>764895</v>
      </c>
      <c r="B3501" t="s">
        <v>38620</v>
      </c>
      <c r="C3501" t="str">
        <f>"9781855759893"</f>
        <v>9781855759893</v>
      </c>
      <c r="D3501" t="str">
        <f>"9780429922442"</f>
        <v>9780429922442</v>
      </c>
      <c r="E3501" t="s">
        <v>26010</v>
      </c>
      <c r="F3501" t="s">
        <v>35</v>
      </c>
      <c r="G3501" t="s">
        <v>26128</v>
      </c>
      <c r="H3501" t="s">
        <v>26011</v>
      </c>
      <c r="I3501" s="26">
        <v>38352</v>
      </c>
      <c r="J3501">
        <v>2004</v>
      </c>
      <c r="K3501" t="s">
        <v>26012</v>
      </c>
      <c r="L3501">
        <v>183</v>
      </c>
      <c r="M3501" t="s">
        <v>38621</v>
      </c>
      <c r="N3501">
        <v>1</v>
      </c>
      <c r="R3501" t="s">
        <v>26422</v>
      </c>
      <c r="S3501" t="s">
        <v>7661</v>
      </c>
      <c r="T3501" t="s">
        <v>30</v>
      </c>
      <c r="U3501" t="s">
        <v>26040</v>
      </c>
      <c r="W3501" t="s">
        <v>26009</v>
      </c>
    </row>
    <row r="3502" spans="1:23" x14ac:dyDescent="0.35">
      <c r="A3502">
        <v>764896</v>
      </c>
      <c r="B3502" t="s">
        <v>38622</v>
      </c>
      <c r="C3502" t="str">
        <f>"9781855758247"</f>
        <v>9781855758247</v>
      </c>
      <c r="D3502" t="str">
        <f>"9781849408721"</f>
        <v>9781849408721</v>
      </c>
      <c r="E3502" t="s">
        <v>26010</v>
      </c>
      <c r="F3502" t="s">
        <v>35</v>
      </c>
      <c r="G3502" t="s">
        <v>22174</v>
      </c>
      <c r="H3502" t="s">
        <v>26011</v>
      </c>
      <c r="I3502" s="26">
        <v>40596</v>
      </c>
      <c r="J3502">
        <v>2011</v>
      </c>
      <c r="K3502" t="s">
        <v>26012</v>
      </c>
      <c r="L3502">
        <v>173</v>
      </c>
      <c r="M3502" t="s">
        <v>38623</v>
      </c>
      <c r="N3502">
        <v>1</v>
      </c>
      <c r="Q3502" t="s">
        <v>38624</v>
      </c>
      <c r="R3502">
        <v>616.89139999999998</v>
      </c>
      <c r="S3502" t="s">
        <v>38625</v>
      </c>
      <c r="T3502" t="s">
        <v>30</v>
      </c>
      <c r="U3502" t="s">
        <v>26019</v>
      </c>
      <c r="W3502" t="s">
        <v>26009</v>
      </c>
    </row>
    <row r="3503" spans="1:23" x14ac:dyDescent="0.35">
      <c r="A3503">
        <v>764897</v>
      </c>
      <c r="B3503" t="s">
        <v>38626</v>
      </c>
      <c r="C3503" t="str">
        <f>"9781855752009"</f>
        <v>9781855752009</v>
      </c>
      <c r="D3503" t="str">
        <f>"9781849400343"</f>
        <v>9781849400343</v>
      </c>
      <c r="E3503" t="s">
        <v>26010</v>
      </c>
      <c r="F3503" t="s">
        <v>35</v>
      </c>
      <c r="G3503" t="s">
        <v>22174</v>
      </c>
      <c r="H3503" t="s">
        <v>26011</v>
      </c>
      <c r="I3503" s="26">
        <v>36160</v>
      </c>
      <c r="J3503">
        <v>1985</v>
      </c>
      <c r="K3503" t="s">
        <v>26012</v>
      </c>
      <c r="L3503">
        <v>345</v>
      </c>
      <c r="M3503" t="s">
        <v>37273</v>
      </c>
      <c r="N3503">
        <v>1</v>
      </c>
      <c r="Q3503" t="s">
        <v>38627</v>
      </c>
      <c r="R3503">
        <v>155.4</v>
      </c>
      <c r="S3503" t="s">
        <v>7433</v>
      </c>
      <c r="T3503" t="s">
        <v>30</v>
      </c>
      <c r="U3503" t="s">
        <v>46</v>
      </c>
      <c r="W3503" t="s">
        <v>26009</v>
      </c>
    </row>
    <row r="3504" spans="1:23" x14ac:dyDescent="0.35">
      <c r="A3504">
        <v>764898</v>
      </c>
      <c r="B3504" t="s">
        <v>38628</v>
      </c>
      <c r="C3504" t="str">
        <f>"9781855759282"</f>
        <v>9781855759282</v>
      </c>
      <c r="D3504" t="str">
        <f>"9781849403795"</f>
        <v>9781849403795</v>
      </c>
      <c r="E3504" t="s">
        <v>26010</v>
      </c>
      <c r="F3504" t="s">
        <v>35</v>
      </c>
      <c r="G3504" t="s">
        <v>22174</v>
      </c>
      <c r="H3504" t="s">
        <v>26011</v>
      </c>
      <c r="I3504" s="26">
        <v>37986</v>
      </c>
      <c r="J3504">
        <v>2003</v>
      </c>
      <c r="K3504" t="s">
        <v>26012</v>
      </c>
      <c r="L3504">
        <v>201</v>
      </c>
      <c r="M3504" t="s">
        <v>38629</v>
      </c>
      <c r="N3504">
        <v>1</v>
      </c>
      <c r="O3504" t="s">
        <v>37571</v>
      </c>
      <c r="Q3504" t="s">
        <v>38630</v>
      </c>
      <c r="R3504">
        <v>616.89140082999995</v>
      </c>
      <c r="S3504" t="s">
        <v>38631</v>
      </c>
      <c r="T3504" t="s">
        <v>30</v>
      </c>
      <c r="U3504" t="s">
        <v>26116</v>
      </c>
      <c r="W3504" t="s">
        <v>26009</v>
      </c>
    </row>
    <row r="3505" spans="1:23" x14ac:dyDescent="0.35">
      <c r="A3505">
        <v>764899</v>
      </c>
      <c r="B3505" t="s">
        <v>38632</v>
      </c>
      <c r="C3505" t="str">
        <f>"9781855753464"</f>
        <v>9781855753464</v>
      </c>
      <c r="D3505" t="str">
        <f>"9781849409919"</f>
        <v>9781849409919</v>
      </c>
      <c r="E3505" t="s">
        <v>26010</v>
      </c>
      <c r="F3505" t="s">
        <v>35</v>
      </c>
      <c r="G3505" t="s">
        <v>22174</v>
      </c>
      <c r="H3505" t="s">
        <v>26011</v>
      </c>
      <c r="I3505" s="26">
        <v>37621</v>
      </c>
      <c r="J3505">
        <v>2002</v>
      </c>
      <c r="K3505" t="s">
        <v>26012</v>
      </c>
      <c r="L3505">
        <v>400</v>
      </c>
      <c r="M3505" t="s">
        <v>36567</v>
      </c>
      <c r="N3505">
        <v>1</v>
      </c>
      <c r="Q3505" t="s">
        <v>38633</v>
      </c>
      <c r="R3505">
        <v>150.1952</v>
      </c>
      <c r="S3505" t="s">
        <v>7677</v>
      </c>
      <c r="T3505" t="s">
        <v>30</v>
      </c>
      <c r="U3505" t="s">
        <v>26116</v>
      </c>
      <c r="W3505" t="s">
        <v>26009</v>
      </c>
    </row>
    <row r="3506" spans="1:23" x14ac:dyDescent="0.35">
      <c r="A3506">
        <v>764900</v>
      </c>
      <c r="B3506" t="s">
        <v>8388</v>
      </c>
      <c r="C3506" t="str">
        <f>"9781855752733"</f>
        <v>9781855752733</v>
      </c>
      <c r="D3506" t="str">
        <f>"9781849403573"</f>
        <v>9781849403573</v>
      </c>
      <c r="E3506" t="s">
        <v>26010</v>
      </c>
      <c r="F3506" t="s">
        <v>35</v>
      </c>
      <c r="G3506" t="s">
        <v>22174</v>
      </c>
      <c r="H3506" t="s">
        <v>26011</v>
      </c>
      <c r="I3506" s="26">
        <v>37504</v>
      </c>
      <c r="J3506">
        <v>2002</v>
      </c>
      <c r="K3506" t="s">
        <v>26012</v>
      </c>
      <c r="L3506">
        <v>282</v>
      </c>
      <c r="M3506" t="s">
        <v>38634</v>
      </c>
      <c r="N3506">
        <v>1</v>
      </c>
      <c r="Q3506" t="s">
        <v>38635</v>
      </c>
      <c r="R3506">
        <v>150.19</v>
      </c>
      <c r="S3506" t="s">
        <v>38636</v>
      </c>
      <c r="T3506" t="s">
        <v>30</v>
      </c>
      <c r="U3506" t="s">
        <v>46</v>
      </c>
      <c r="W3506" t="s">
        <v>26009</v>
      </c>
    </row>
    <row r="3507" spans="1:23" x14ac:dyDescent="0.35">
      <c r="A3507">
        <v>764901</v>
      </c>
      <c r="B3507" t="s">
        <v>8153</v>
      </c>
      <c r="C3507" t="str">
        <f>"9781855754102"</f>
        <v>9781855754102</v>
      </c>
      <c r="D3507" t="str">
        <f>"9781849405386"</f>
        <v>9781849405386</v>
      </c>
      <c r="E3507" t="s">
        <v>26010</v>
      </c>
      <c r="F3507" t="s">
        <v>35</v>
      </c>
      <c r="G3507" t="s">
        <v>22174</v>
      </c>
      <c r="H3507" t="s">
        <v>26011</v>
      </c>
      <c r="I3507" s="26">
        <v>39082</v>
      </c>
      <c r="J3507">
        <v>2006</v>
      </c>
      <c r="K3507" t="s">
        <v>26012</v>
      </c>
      <c r="L3507">
        <v>236</v>
      </c>
      <c r="M3507" t="s">
        <v>38637</v>
      </c>
      <c r="N3507">
        <v>1</v>
      </c>
      <c r="O3507" t="s">
        <v>36505</v>
      </c>
      <c r="Q3507" t="s">
        <v>38638</v>
      </c>
      <c r="R3507">
        <v>616.89139999999998</v>
      </c>
      <c r="S3507" t="s">
        <v>38639</v>
      </c>
      <c r="T3507" t="s">
        <v>30</v>
      </c>
      <c r="U3507" t="s">
        <v>26116</v>
      </c>
      <c r="W3507" t="s">
        <v>26009</v>
      </c>
    </row>
    <row r="3508" spans="1:23" x14ac:dyDescent="0.35">
      <c r="A3508">
        <v>764902</v>
      </c>
      <c r="B3508" t="s">
        <v>38640</v>
      </c>
      <c r="C3508" t="str">
        <f>"9781855753266"</f>
        <v>9781855753266</v>
      </c>
      <c r="D3508" t="str">
        <f>"9781849404839"</f>
        <v>9781849404839</v>
      </c>
      <c r="E3508" t="s">
        <v>26010</v>
      </c>
      <c r="F3508" t="s">
        <v>35</v>
      </c>
      <c r="G3508" t="s">
        <v>22174</v>
      </c>
      <c r="H3508" t="s">
        <v>26011</v>
      </c>
      <c r="I3508" s="26">
        <v>38476</v>
      </c>
      <c r="J3508">
        <v>2005</v>
      </c>
      <c r="K3508" t="s">
        <v>26012</v>
      </c>
      <c r="L3508">
        <v>289</v>
      </c>
      <c r="M3508" t="s">
        <v>38641</v>
      </c>
      <c r="N3508">
        <v>1</v>
      </c>
      <c r="Q3508" t="s">
        <v>38642</v>
      </c>
      <c r="R3508">
        <v>152.41</v>
      </c>
      <c r="S3508" t="s">
        <v>38643</v>
      </c>
      <c r="T3508" t="s">
        <v>30</v>
      </c>
      <c r="U3508" t="s">
        <v>46</v>
      </c>
      <c r="W3508" t="s">
        <v>26009</v>
      </c>
    </row>
    <row r="3509" spans="1:23" x14ac:dyDescent="0.35">
      <c r="A3509">
        <v>764903</v>
      </c>
      <c r="B3509" t="s">
        <v>8720</v>
      </c>
      <c r="C3509" t="str">
        <f>"9781855753068"</f>
        <v>9781855753068</v>
      </c>
      <c r="D3509" t="str">
        <f>"9781849404921"</f>
        <v>9781849404921</v>
      </c>
      <c r="E3509" t="s">
        <v>26010</v>
      </c>
      <c r="F3509" t="s">
        <v>35</v>
      </c>
      <c r="G3509" t="s">
        <v>22174</v>
      </c>
      <c r="H3509" t="s">
        <v>26011</v>
      </c>
      <c r="I3509" s="26">
        <v>38717</v>
      </c>
      <c r="J3509">
        <v>2005</v>
      </c>
      <c r="K3509" t="s">
        <v>26012</v>
      </c>
      <c r="L3509">
        <v>284</v>
      </c>
      <c r="M3509" t="s">
        <v>38644</v>
      </c>
      <c r="N3509">
        <v>1</v>
      </c>
      <c r="O3509" t="s">
        <v>38645</v>
      </c>
      <c r="Q3509" t="s">
        <v>38646</v>
      </c>
      <c r="R3509">
        <v>616.89139999999998</v>
      </c>
      <c r="S3509" t="s">
        <v>8721</v>
      </c>
      <c r="T3509" t="s">
        <v>30</v>
      </c>
      <c r="U3509" t="s">
        <v>26019</v>
      </c>
      <c r="W3509" t="s">
        <v>26009</v>
      </c>
    </row>
    <row r="3510" spans="1:23" x14ac:dyDescent="0.35">
      <c r="A3510">
        <v>764904</v>
      </c>
      <c r="B3510" t="s">
        <v>8659</v>
      </c>
      <c r="C3510" t="str">
        <f>"9781855753044"</f>
        <v>9781855753044</v>
      </c>
      <c r="D3510" t="str">
        <f>"9780429910326"</f>
        <v>9780429910326</v>
      </c>
      <c r="E3510" t="s">
        <v>26010</v>
      </c>
      <c r="F3510" t="s">
        <v>35</v>
      </c>
      <c r="G3510" t="s">
        <v>22174</v>
      </c>
      <c r="H3510" t="s">
        <v>26011</v>
      </c>
      <c r="I3510" s="26">
        <v>38650</v>
      </c>
      <c r="J3510">
        <v>2005</v>
      </c>
      <c r="K3510" t="s">
        <v>26012</v>
      </c>
      <c r="L3510">
        <v>220</v>
      </c>
      <c r="M3510" t="s">
        <v>38647</v>
      </c>
      <c r="N3510">
        <v>1</v>
      </c>
      <c r="Q3510" t="s">
        <v>38648</v>
      </c>
      <c r="R3510">
        <v>616.89139999999998</v>
      </c>
      <c r="S3510" t="s">
        <v>8660</v>
      </c>
      <c r="T3510" t="s">
        <v>30</v>
      </c>
      <c r="U3510" t="s">
        <v>26116</v>
      </c>
      <c r="W3510" t="s">
        <v>26009</v>
      </c>
    </row>
    <row r="3511" spans="1:23" x14ac:dyDescent="0.35">
      <c r="A3511">
        <v>764905</v>
      </c>
      <c r="B3511" t="s">
        <v>38649</v>
      </c>
      <c r="C3511" t="str">
        <f>"9781855759152"</f>
        <v>9781855759152</v>
      </c>
      <c r="D3511" t="str">
        <f>"9781849404709"</f>
        <v>9781849404709</v>
      </c>
      <c r="E3511" t="s">
        <v>26010</v>
      </c>
      <c r="F3511" t="s">
        <v>35</v>
      </c>
      <c r="G3511" t="s">
        <v>22174</v>
      </c>
      <c r="H3511" t="s">
        <v>26011</v>
      </c>
      <c r="I3511" s="26">
        <v>38717</v>
      </c>
      <c r="J3511">
        <v>2005</v>
      </c>
      <c r="K3511" t="s">
        <v>26012</v>
      </c>
      <c r="L3511">
        <v>125</v>
      </c>
      <c r="M3511" t="s">
        <v>38650</v>
      </c>
      <c r="N3511">
        <v>1</v>
      </c>
      <c r="O3511" t="s">
        <v>37022</v>
      </c>
      <c r="Q3511" t="s">
        <v>38651</v>
      </c>
      <c r="R3511" t="s">
        <v>30765</v>
      </c>
      <c r="S3511" t="s">
        <v>38652</v>
      </c>
      <c r="T3511" t="s">
        <v>30</v>
      </c>
      <c r="U3511" t="s">
        <v>26019</v>
      </c>
      <c r="W3511" t="s">
        <v>26009</v>
      </c>
    </row>
    <row r="3512" spans="1:23" x14ac:dyDescent="0.35">
      <c r="A3512">
        <v>764906</v>
      </c>
      <c r="B3512" t="s">
        <v>38653</v>
      </c>
      <c r="C3512" t="str">
        <f>"9781855752610"</f>
        <v>9781855752610</v>
      </c>
      <c r="D3512" t="str">
        <f>"9781849404143"</f>
        <v>9781849404143</v>
      </c>
      <c r="E3512" t="s">
        <v>26010</v>
      </c>
      <c r="F3512" t="s">
        <v>35</v>
      </c>
      <c r="G3512" t="s">
        <v>22174</v>
      </c>
      <c r="H3512" t="s">
        <v>26011</v>
      </c>
      <c r="I3512" s="26">
        <v>37965</v>
      </c>
      <c r="J3512">
        <v>2003</v>
      </c>
      <c r="K3512" t="s">
        <v>26012</v>
      </c>
      <c r="L3512">
        <v>285</v>
      </c>
      <c r="M3512" t="s">
        <v>38654</v>
      </c>
      <c r="N3512">
        <v>1</v>
      </c>
      <c r="Q3512" t="s">
        <v>38655</v>
      </c>
      <c r="R3512">
        <v>618.92852600000003</v>
      </c>
      <c r="S3512" t="s">
        <v>8372</v>
      </c>
      <c r="T3512" t="s">
        <v>30</v>
      </c>
      <c r="U3512" t="s">
        <v>26019</v>
      </c>
      <c r="W3512" t="s">
        <v>26009</v>
      </c>
    </row>
    <row r="3513" spans="1:23" x14ac:dyDescent="0.35">
      <c r="A3513">
        <v>764907</v>
      </c>
      <c r="B3513" t="s">
        <v>38656</v>
      </c>
      <c r="C3513" t="str">
        <f>"9781855753532"</f>
        <v>9781855753532</v>
      </c>
      <c r="D3513" t="str">
        <f>"9781849404754"</f>
        <v>9781849404754</v>
      </c>
      <c r="E3513" t="s">
        <v>26010</v>
      </c>
      <c r="F3513" t="s">
        <v>35</v>
      </c>
      <c r="G3513" t="s">
        <v>22174</v>
      </c>
      <c r="H3513" t="s">
        <v>26011</v>
      </c>
      <c r="I3513" s="26">
        <v>38617</v>
      </c>
      <c r="J3513">
        <v>2005</v>
      </c>
      <c r="K3513" t="s">
        <v>26012</v>
      </c>
      <c r="L3513">
        <v>251</v>
      </c>
      <c r="M3513" t="s">
        <v>36581</v>
      </c>
      <c r="N3513">
        <v>1</v>
      </c>
      <c r="Q3513" t="s">
        <v>38657</v>
      </c>
      <c r="R3513">
        <v>616.89170000000001</v>
      </c>
      <c r="S3513" t="s">
        <v>38658</v>
      </c>
      <c r="T3513" t="s">
        <v>30</v>
      </c>
      <c r="U3513" t="s">
        <v>26116</v>
      </c>
      <c r="W3513" t="s">
        <v>26009</v>
      </c>
    </row>
    <row r="3514" spans="1:23" x14ac:dyDescent="0.35">
      <c r="A3514">
        <v>764908</v>
      </c>
      <c r="B3514" t="s">
        <v>38659</v>
      </c>
      <c r="C3514" t="str">
        <f>"9781855752955"</f>
        <v>9781855752955</v>
      </c>
      <c r="D3514" t="str">
        <f>"9781849403405"</f>
        <v>9781849403405</v>
      </c>
      <c r="E3514" t="s">
        <v>26010</v>
      </c>
      <c r="F3514" t="s">
        <v>35</v>
      </c>
      <c r="G3514" t="s">
        <v>22174</v>
      </c>
      <c r="H3514" t="s">
        <v>26011</v>
      </c>
      <c r="I3514" s="26">
        <v>37621</v>
      </c>
      <c r="J3514">
        <v>2002</v>
      </c>
      <c r="K3514" t="s">
        <v>26012</v>
      </c>
      <c r="L3514">
        <v>192</v>
      </c>
      <c r="M3514" t="s">
        <v>38660</v>
      </c>
      <c r="N3514">
        <v>1</v>
      </c>
      <c r="Q3514" t="s">
        <v>38661</v>
      </c>
      <c r="R3514">
        <v>150.19499999999999</v>
      </c>
      <c r="S3514" t="s">
        <v>38662</v>
      </c>
      <c r="T3514" t="s">
        <v>30</v>
      </c>
      <c r="U3514" t="s">
        <v>26228</v>
      </c>
      <c r="W3514" t="s">
        <v>26009</v>
      </c>
    </row>
    <row r="3515" spans="1:23" x14ac:dyDescent="0.35">
      <c r="A3515">
        <v>764909</v>
      </c>
      <c r="B3515" t="s">
        <v>38663</v>
      </c>
      <c r="C3515" t="str">
        <f>"9781855752542"</f>
        <v>9781855752542</v>
      </c>
      <c r="D3515" t="str">
        <f>"9781849403481"</f>
        <v>9781849403481</v>
      </c>
      <c r="E3515" t="s">
        <v>26010</v>
      </c>
      <c r="F3515" t="s">
        <v>35</v>
      </c>
      <c r="G3515" t="s">
        <v>22174</v>
      </c>
      <c r="H3515" t="s">
        <v>26011</v>
      </c>
      <c r="I3515" s="26">
        <v>37621</v>
      </c>
      <c r="J3515">
        <v>2002</v>
      </c>
      <c r="K3515" t="s">
        <v>26012</v>
      </c>
      <c r="L3515">
        <v>166</v>
      </c>
      <c r="M3515" t="s">
        <v>38664</v>
      </c>
      <c r="N3515">
        <v>1</v>
      </c>
      <c r="Q3515" t="s">
        <v>38665</v>
      </c>
      <c r="R3515">
        <v>150.19499999999999</v>
      </c>
      <c r="S3515" t="s">
        <v>38666</v>
      </c>
      <c r="T3515" t="s">
        <v>30</v>
      </c>
      <c r="U3515" t="s">
        <v>46</v>
      </c>
      <c r="W3515" t="s">
        <v>26009</v>
      </c>
    </row>
    <row r="3516" spans="1:23" x14ac:dyDescent="0.35">
      <c r="A3516">
        <v>764910</v>
      </c>
      <c r="B3516" t="s">
        <v>38667</v>
      </c>
      <c r="C3516" t="str">
        <f>"9781855759336"</f>
        <v>9781855759336</v>
      </c>
      <c r="D3516" t="str">
        <f>"9781849404051"</f>
        <v>9781849404051</v>
      </c>
      <c r="E3516" t="s">
        <v>26010</v>
      </c>
      <c r="F3516" t="s">
        <v>35</v>
      </c>
      <c r="G3516" t="s">
        <v>22174</v>
      </c>
      <c r="H3516" t="s">
        <v>26011</v>
      </c>
      <c r="I3516" s="26">
        <v>37986</v>
      </c>
      <c r="J3516">
        <v>2003</v>
      </c>
      <c r="K3516" t="s">
        <v>26012</v>
      </c>
      <c r="L3516">
        <v>103</v>
      </c>
      <c r="M3516" t="s">
        <v>38668</v>
      </c>
      <c r="N3516">
        <v>1</v>
      </c>
      <c r="O3516" t="s">
        <v>37364</v>
      </c>
      <c r="Q3516" t="s">
        <v>38669</v>
      </c>
      <c r="R3516">
        <v>616.85829999999999</v>
      </c>
      <c r="S3516" t="s">
        <v>38670</v>
      </c>
      <c r="T3516" t="s">
        <v>30</v>
      </c>
      <c r="U3516" t="s">
        <v>26019</v>
      </c>
      <c r="W3516" t="s">
        <v>26009</v>
      </c>
    </row>
    <row r="3517" spans="1:23" x14ac:dyDescent="0.35">
      <c r="A3517">
        <v>764911</v>
      </c>
      <c r="B3517" t="s">
        <v>38671</v>
      </c>
      <c r="C3517" t="str">
        <f>"9781855759046"</f>
        <v>9781855759046</v>
      </c>
      <c r="D3517" t="str">
        <f>"9781849404471"</f>
        <v>9781849404471</v>
      </c>
      <c r="E3517" t="s">
        <v>26010</v>
      </c>
      <c r="F3517" t="s">
        <v>35</v>
      </c>
      <c r="G3517" t="s">
        <v>26128</v>
      </c>
      <c r="H3517" t="s">
        <v>26011</v>
      </c>
      <c r="I3517" s="26">
        <v>38118</v>
      </c>
      <c r="J3517">
        <v>2004</v>
      </c>
      <c r="K3517" t="s">
        <v>26012</v>
      </c>
      <c r="L3517">
        <v>281</v>
      </c>
      <c r="M3517" t="s">
        <v>38672</v>
      </c>
      <c r="N3517">
        <v>1</v>
      </c>
      <c r="S3517" t="s">
        <v>38673</v>
      </c>
      <c r="T3517" t="s">
        <v>30</v>
      </c>
      <c r="U3517" t="s">
        <v>46</v>
      </c>
      <c r="W3517" t="s">
        <v>26009</v>
      </c>
    </row>
    <row r="3518" spans="1:23" x14ac:dyDescent="0.35">
      <c r="A3518">
        <v>764912</v>
      </c>
      <c r="B3518" t="s">
        <v>38674</v>
      </c>
      <c r="C3518" t="str">
        <f>"9781855754201"</f>
        <v>9781855754201</v>
      </c>
      <c r="D3518" t="str">
        <f>"9781849405362"</f>
        <v>9781849405362</v>
      </c>
      <c r="E3518" t="s">
        <v>26010</v>
      </c>
      <c r="F3518" t="s">
        <v>35</v>
      </c>
      <c r="G3518" t="s">
        <v>22174</v>
      </c>
      <c r="H3518" t="s">
        <v>26011</v>
      </c>
      <c r="I3518" s="26">
        <v>38902</v>
      </c>
      <c r="J3518">
        <v>2006</v>
      </c>
      <c r="K3518" t="s">
        <v>26012</v>
      </c>
      <c r="L3518">
        <v>273</v>
      </c>
      <c r="M3518" t="s">
        <v>38675</v>
      </c>
      <c r="N3518">
        <v>1</v>
      </c>
      <c r="Q3518" t="s">
        <v>38676</v>
      </c>
      <c r="R3518">
        <v>618.24</v>
      </c>
      <c r="S3518" t="s">
        <v>38677</v>
      </c>
      <c r="T3518" t="s">
        <v>30</v>
      </c>
      <c r="U3518" t="s">
        <v>26040</v>
      </c>
      <c r="W3518" t="s">
        <v>26009</v>
      </c>
    </row>
    <row r="3519" spans="1:23" x14ac:dyDescent="0.35">
      <c r="A3519">
        <v>764913</v>
      </c>
      <c r="B3519" t="s">
        <v>8899</v>
      </c>
      <c r="C3519" t="str">
        <f>"9781855753396"</f>
        <v>9781855753396</v>
      </c>
      <c r="D3519" t="str">
        <f>"9781849404600"</f>
        <v>9781849404600</v>
      </c>
      <c r="E3519" t="s">
        <v>26010</v>
      </c>
      <c r="F3519" t="s">
        <v>35</v>
      </c>
      <c r="G3519" t="s">
        <v>22174</v>
      </c>
      <c r="H3519" t="s">
        <v>26011</v>
      </c>
      <c r="I3519" s="26">
        <v>38512</v>
      </c>
      <c r="J3519">
        <v>2005</v>
      </c>
      <c r="K3519" t="s">
        <v>26012</v>
      </c>
      <c r="L3519">
        <v>123</v>
      </c>
      <c r="M3519" t="s">
        <v>37175</v>
      </c>
      <c r="N3519">
        <v>1</v>
      </c>
      <c r="Q3519" t="s">
        <v>38678</v>
      </c>
      <c r="R3519">
        <v>612.79999999999995</v>
      </c>
      <c r="S3519" t="s">
        <v>7514</v>
      </c>
      <c r="T3519" t="s">
        <v>30</v>
      </c>
      <c r="U3519" t="s">
        <v>38679</v>
      </c>
      <c r="W3519" t="s">
        <v>26009</v>
      </c>
    </row>
    <row r="3520" spans="1:23" x14ac:dyDescent="0.35">
      <c r="A3520">
        <v>764914</v>
      </c>
      <c r="B3520" t="s">
        <v>38680</v>
      </c>
      <c r="C3520" t="str">
        <f>"9781855753983"</f>
        <v>9781855753983</v>
      </c>
      <c r="D3520" t="str">
        <f>"9781849405201"</f>
        <v>9781849405201</v>
      </c>
      <c r="E3520" t="s">
        <v>26010</v>
      </c>
      <c r="F3520" t="s">
        <v>35</v>
      </c>
      <c r="G3520" t="s">
        <v>22174</v>
      </c>
      <c r="H3520" t="s">
        <v>26011</v>
      </c>
      <c r="I3520" s="26">
        <v>39082</v>
      </c>
      <c r="J3520">
        <v>2006</v>
      </c>
      <c r="K3520" t="s">
        <v>26012</v>
      </c>
      <c r="L3520">
        <v>177</v>
      </c>
      <c r="M3520" t="s">
        <v>38681</v>
      </c>
      <c r="N3520">
        <v>1</v>
      </c>
      <c r="O3520" t="s">
        <v>38682</v>
      </c>
      <c r="Q3520" t="s">
        <v>38683</v>
      </c>
      <c r="R3520">
        <v>618.9289</v>
      </c>
      <c r="S3520" t="s">
        <v>38684</v>
      </c>
      <c r="T3520" t="s">
        <v>30</v>
      </c>
      <c r="U3520" t="s">
        <v>26116</v>
      </c>
      <c r="W3520" t="s">
        <v>26009</v>
      </c>
    </row>
    <row r="3521" spans="1:23" x14ac:dyDescent="0.35">
      <c r="A3521">
        <v>764915</v>
      </c>
      <c r="B3521" t="s">
        <v>38685</v>
      </c>
      <c r="C3521" t="str">
        <f>"9781855754256"</f>
        <v>9781855754256</v>
      </c>
      <c r="D3521" t="str">
        <f>"9781849405430"</f>
        <v>9781849405430</v>
      </c>
      <c r="E3521" t="s">
        <v>26010</v>
      </c>
      <c r="F3521" t="s">
        <v>35</v>
      </c>
      <c r="G3521" t="s">
        <v>22174</v>
      </c>
      <c r="H3521" t="s">
        <v>26011</v>
      </c>
      <c r="I3521" s="26">
        <v>38905</v>
      </c>
      <c r="J3521">
        <v>2006</v>
      </c>
      <c r="K3521" t="s">
        <v>26012</v>
      </c>
      <c r="L3521">
        <v>156</v>
      </c>
      <c r="M3521" t="s">
        <v>38686</v>
      </c>
      <c r="N3521">
        <v>1</v>
      </c>
      <c r="Q3521" t="s">
        <v>38687</v>
      </c>
      <c r="R3521">
        <v>616.89139999999998</v>
      </c>
      <c r="S3521" t="s">
        <v>38688</v>
      </c>
      <c r="T3521" t="s">
        <v>30</v>
      </c>
      <c r="U3521" t="s">
        <v>26019</v>
      </c>
      <c r="W3521" t="s">
        <v>26009</v>
      </c>
    </row>
    <row r="3522" spans="1:23" x14ac:dyDescent="0.35">
      <c r="A3522">
        <v>764916</v>
      </c>
      <c r="B3522" t="s">
        <v>8251</v>
      </c>
      <c r="C3522" t="str">
        <f>"9781855759527"</f>
        <v>9781855759527</v>
      </c>
      <c r="D3522" t="str">
        <f>"9780429920585"</f>
        <v>9780429920585</v>
      </c>
      <c r="E3522" t="s">
        <v>26010</v>
      </c>
      <c r="F3522" t="s">
        <v>35</v>
      </c>
      <c r="G3522" t="s">
        <v>22174</v>
      </c>
      <c r="H3522" t="s">
        <v>26011</v>
      </c>
      <c r="I3522" s="26">
        <v>37621</v>
      </c>
      <c r="J3522">
        <v>2002</v>
      </c>
      <c r="K3522" t="s">
        <v>26012</v>
      </c>
      <c r="L3522">
        <v>153</v>
      </c>
      <c r="M3522" t="s">
        <v>37478</v>
      </c>
      <c r="N3522">
        <v>1</v>
      </c>
      <c r="O3522" t="s">
        <v>37479</v>
      </c>
      <c r="Q3522" t="s">
        <v>38689</v>
      </c>
      <c r="R3522">
        <v>155.333</v>
      </c>
      <c r="S3522" t="s">
        <v>38690</v>
      </c>
      <c r="T3522" t="s">
        <v>30</v>
      </c>
      <c r="U3522" t="s">
        <v>46</v>
      </c>
      <c r="W3522" t="s">
        <v>26009</v>
      </c>
    </row>
    <row r="3523" spans="1:23" x14ac:dyDescent="0.35">
      <c r="A3523">
        <v>764917</v>
      </c>
      <c r="B3523" t="s">
        <v>38691</v>
      </c>
      <c r="C3523" t="str">
        <f>"9781855759978"</f>
        <v>9781855759978</v>
      </c>
      <c r="D3523" t="str">
        <f>"9781849404402"</f>
        <v>9781849404402</v>
      </c>
      <c r="E3523" t="s">
        <v>26010</v>
      </c>
      <c r="F3523" t="s">
        <v>35</v>
      </c>
      <c r="G3523" t="s">
        <v>26128</v>
      </c>
      <c r="H3523" t="s">
        <v>26011</v>
      </c>
      <c r="I3523" s="26">
        <v>38041</v>
      </c>
      <c r="J3523">
        <v>2004</v>
      </c>
      <c r="K3523" t="s">
        <v>26012</v>
      </c>
      <c r="L3523">
        <v>333</v>
      </c>
      <c r="M3523" t="s">
        <v>38692</v>
      </c>
      <c r="N3523">
        <v>1</v>
      </c>
      <c r="R3523">
        <v>362.7</v>
      </c>
      <c r="S3523" t="s">
        <v>8383</v>
      </c>
      <c r="T3523" t="s">
        <v>30</v>
      </c>
      <c r="U3523" t="s">
        <v>26044</v>
      </c>
      <c r="W3523" t="s">
        <v>26009</v>
      </c>
    </row>
    <row r="3524" spans="1:23" x14ac:dyDescent="0.35">
      <c r="A3524">
        <v>764918</v>
      </c>
      <c r="B3524" t="s">
        <v>38693</v>
      </c>
      <c r="C3524" t="str">
        <f>"9781855759053"</f>
        <v>9781855759053</v>
      </c>
      <c r="D3524" t="str">
        <f>"9781849404648"</f>
        <v>9781849404648</v>
      </c>
      <c r="E3524" t="s">
        <v>26010</v>
      </c>
      <c r="F3524" t="s">
        <v>35</v>
      </c>
      <c r="G3524" t="s">
        <v>22174</v>
      </c>
      <c r="H3524" t="s">
        <v>26011</v>
      </c>
      <c r="I3524" s="26">
        <v>38717</v>
      </c>
      <c r="J3524">
        <v>2005</v>
      </c>
      <c r="K3524" t="s">
        <v>26012</v>
      </c>
      <c r="L3524">
        <v>250</v>
      </c>
      <c r="M3524" t="s">
        <v>38694</v>
      </c>
      <c r="N3524">
        <v>1</v>
      </c>
      <c r="O3524" t="s">
        <v>36500</v>
      </c>
      <c r="Q3524" t="s">
        <v>38695</v>
      </c>
      <c r="R3524">
        <v>361.65</v>
      </c>
      <c r="S3524" t="s">
        <v>38696</v>
      </c>
      <c r="T3524" t="s">
        <v>30</v>
      </c>
      <c r="U3524" t="s">
        <v>26044</v>
      </c>
      <c r="W3524" t="s">
        <v>26009</v>
      </c>
    </row>
    <row r="3525" spans="1:23" x14ac:dyDescent="0.35">
      <c r="A3525">
        <v>764919</v>
      </c>
      <c r="B3525" t="s">
        <v>38697</v>
      </c>
      <c r="C3525" t="str">
        <f>"9781855753457"</f>
        <v>9781855753457</v>
      </c>
      <c r="D3525" t="str">
        <f>"9781849404259"</f>
        <v>9781849404259</v>
      </c>
      <c r="E3525" t="s">
        <v>26010</v>
      </c>
      <c r="F3525" t="s">
        <v>35</v>
      </c>
      <c r="G3525" t="s">
        <v>22174</v>
      </c>
      <c r="H3525" t="s">
        <v>26011</v>
      </c>
      <c r="I3525" s="26">
        <v>38141</v>
      </c>
      <c r="J3525">
        <v>2004</v>
      </c>
      <c r="K3525" t="s">
        <v>26012</v>
      </c>
      <c r="L3525">
        <v>254</v>
      </c>
      <c r="M3525" t="s">
        <v>37026</v>
      </c>
      <c r="N3525">
        <v>1</v>
      </c>
      <c r="Q3525" t="s">
        <v>38698</v>
      </c>
      <c r="R3525" t="s">
        <v>33466</v>
      </c>
      <c r="S3525" t="s">
        <v>38699</v>
      </c>
      <c r="T3525" t="s">
        <v>30</v>
      </c>
      <c r="U3525" t="s">
        <v>26019</v>
      </c>
      <c r="W3525" t="s">
        <v>26009</v>
      </c>
    </row>
    <row r="3526" spans="1:23" x14ac:dyDescent="0.35">
      <c r="A3526">
        <v>764920</v>
      </c>
      <c r="B3526" t="s">
        <v>9047</v>
      </c>
      <c r="C3526" t="str">
        <f>"9781855759305"</f>
        <v>9781855759305</v>
      </c>
      <c r="D3526" t="str">
        <f>"9780429921384"</f>
        <v>9780429921384</v>
      </c>
      <c r="E3526" t="s">
        <v>26010</v>
      </c>
      <c r="F3526" t="s">
        <v>35</v>
      </c>
      <c r="G3526" t="s">
        <v>22174</v>
      </c>
      <c r="H3526" t="s">
        <v>26011</v>
      </c>
      <c r="I3526" s="26">
        <v>38352</v>
      </c>
      <c r="J3526">
        <v>2004</v>
      </c>
      <c r="K3526" t="s">
        <v>26012</v>
      </c>
      <c r="L3526">
        <v>321</v>
      </c>
      <c r="M3526" t="s">
        <v>38700</v>
      </c>
      <c r="N3526">
        <v>1</v>
      </c>
      <c r="O3526" t="s">
        <v>36500</v>
      </c>
      <c r="Q3526" t="s">
        <v>38701</v>
      </c>
      <c r="R3526">
        <v>618.92858799999999</v>
      </c>
      <c r="S3526" t="s">
        <v>29264</v>
      </c>
      <c r="T3526" t="s">
        <v>30</v>
      </c>
      <c r="U3526" t="s">
        <v>26116</v>
      </c>
      <c r="W3526" t="s">
        <v>26009</v>
      </c>
    </row>
    <row r="3527" spans="1:23" x14ac:dyDescent="0.35">
      <c r="A3527">
        <v>764921</v>
      </c>
      <c r="B3527" t="s">
        <v>9548</v>
      </c>
      <c r="C3527" t="str">
        <f>"9781855753341"</f>
        <v>9781855753341</v>
      </c>
      <c r="D3527" t="str">
        <f>"9781849405454"</f>
        <v>9781849405454</v>
      </c>
      <c r="E3527" t="s">
        <v>26010</v>
      </c>
      <c r="F3527" t="s">
        <v>35</v>
      </c>
      <c r="G3527" t="s">
        <v>22174</v>
      </c>
      <c r="H3527" t="s">
        <v>26011</v>
      </c>
      <c r="I3527" s="26">
        <v>39082</v>
      </c>
      <c r="J3527">
        <v>2006</v>
      </c>
      <c r="K3527" t="s">
        <v>26012</v>
      </c>
      <c r="L3527">
        <v>155</v>
      </c>
      <c r="M3527" t="s">
        <v>38702</v>
      </c>
      <c r="N3527">
        <v>1</v>
      </c>
      <c r="O3527" t="s">
        <v>37442</v>
      </c>
      <c r="Q3527" t="s">
        <v>38703</v>
      </c>
      <c r="R3527">
        <v>822.33</v>
      </c>
      <c r="S3527" t="s">
        <v>38704</v>
      </c>
      <c r="T3527" t="s">
        <v>30</v>
      </c>
      <c r="U3527" t="s">
        <v>366</v>
      </c>
      <c r="W3527" t="s">
        <v>26009</v>
      </c>
    </row>
    <row r="3528" spans="1:23" x14ac:dyDescent="0.35">
      <c r="A3528">
        <v>764922</v>
      </c>
      <c r="B3528" t="s">
        <v>38705</v>
      </c>
      <c r="C3528" t="str">
        <f>"9781855759077"</f>
        <v>9781855759077</v>
      </c>
      <c r="D3528" t="str">
        <f>"9781849404006"</f>
        <v>9781849404006</v>
      </c>
      <c r="E3528" t="s">
        <v>26010</v>
      </c>
      <c r="F3528" t="s">
        <v>35</v>
      </c>
      <c r="G3528" t="s">
        <v>22174</v>
      </c>
      <c r="H3528" t="s">
        <v>26011</v>
      </c>
      <c r="I3528" s="26">
        <v>37693</v>
      </c>
      <c r="J3528">
        <v>2003</v>
      </c>
      <c r="K3528" t="s">
        <v>26012</v>
      </c>
      <c r="L3528">
        <v>238</v>
      </c>
      <c r="M3528" t="s">
        <v>38706</v>
      </c>
      <c r="N3528">
        <v>1</v>
      </c>
      <c r="Q3528" t="s">
        <v>38707</v>
      </c>
      <c r="R3528">
        <v>155.41800000000001</v>
      </c>
      <c r="S3528" t="s">
        <v>38708</v>
      </c>
      <c r="T3528" t="s">
        <v>30</v>
      </c>
      <c r="U3528" t="s">
        <v>26116</v>
      </c>
      <c r="W3528" t="s">
        <v>26009</v>
      </c>
    </row>
    <row r="3529" spans="1:23" x14ac:dyDescent="0.35">
      <c r="A3529">
        <v>764923</v>
      </c>
      <c r="B3529" t="s">
        <v>7611</v>
      </c>
      <c r="C3529" t="str">
        <f>"9780946439089"</f>
        <v>9780946439089</v>
      </c>
      <c r="D3529" t="str">
        <f>"9781849400268"</f>
        <v>9781849400268</v>
      </c>
      <c r="E3529" t="s">
        <v>26010</v>
      </c>
      <c r="F3529" t="s">
        <v>35</v>
      </c>
      <c r="G3529" t="s">
        <v>22174</v>
      </c>
      <c r="H3529" t="s">
        <v>26011</v>
      </c>
      <c r="I3529" s="26">
        <v>31047</v>
      </c>
      <c r="J3529">
        <v>1984</v>
      </c>
      <c r="K3529" t="s">
        <v>26012</v>
      </c>
      <c r="L3529">
        <v>144</v>
      </c>
      <c r="M3529" t="s">
        <v>37175</v>
      </c>
      <c r="N3529">
        <v>1</v>
      </c>
      <c r="Q3529" t="s">
        <v>38709</v>
      </c>
      <c r="R3529">
        <v>150.19499999999999</v>
      </c>
      <c r="S3529" t="s">
        <v>38710</v>
      </c>
      <c r="T3529" t="s">
        <v>30</v>
      </c>
      <c r="U3529" t="s">
        <v>26116</v>
      </c>
      <c r="W3529" t="s">
        <v>26009</v>
      </c>
    </row>
    <row r="3530" spans="1:23" x14ac:dyDescent="0.35">
      <c r="A3530">
        <v>764925</v>
      </c>
      <c r="B3530" t="s">
        <v>38711</v>
      </c>
      <c r="C3530" t="str">
        <f>"9781855759985"</f>
        <v>9781855759985</v>
      </c>
      <c r="D3530" t="str">
        <f>"9781849403818"</f>
        <v>9781849403818</v>
      </c>
      <c r="E3530" t="s">
        <v>26010</v>
      </c>
      <c r="F3530" t="s">
        <v>35</v>
      </c>
      <c r="G3530" t="s">
        <v>22174</v>
      </c>
      <c r="H3530" t="s">
        <v>26011</v>
      </c>
      <c r="I3530" s="26">
        <v>37889</v>
      </c>
      <c r="J3530">
        <v>2003</v>
      </c>
      <c r="K3530" t="s">
        <v>26012</v>
      </c>
      <c r="L3530">
        <v>193</v>
      </c>
      <c r="M3530" t="s">
        <v>38712</v>
      </c>
      <c r="N3530">
        <v>1</v>
      </c>
      <c r="Q3530" t="s">
        <v>38713</v>
      </c>
      <c r="R3530">
        <v>306.77499999999998</v>
      </c>
      <c r="S3530" t="s">
        <v>38714</v>
      </c>
      <c r="T3530" t="s">
        <v>30</v>
      </c>
      <c r="U3530" t="s">
        <v>26509</v>
      </c>
      <c r="W3530" t="s">
        <v>26009</v>
      </c>
    </row>
    <row r="3531" spans="1:23" x14ac:dyDescent="0.35">
      <c r="A3531">
        <v>764926</v>
      </c>
      <c r="B3531" t="s">
        <v>38715</v>
      </c>
      <c r="C3531" t="str">
        <f>"9781855758513"</f>
        <v>9781855758513</v>
      </c>
      <c r="D3531" t="str">
        <f>"9781849409285"</f>
        <v>9781849409285</v>
      </c>
      <c r="E3531" t="s">
        <v>26010</v>
      </c>
      <c r="F3531" t="s">
        <v>35</v>
      </c>
      <c r="G3531" t="s">
        <v>22174</v>
      </c>
      <c r="H3531" t="s">
        <v>26011</v>
      </c>
      <c r="I3531" s="26">
        <v>40908</v>
      </c>
      <c r="J3531">
        <v>2011</v>
      </c>
      <c r="K3531" t="s">
        <v>26012</v>
      </c>
      <c r="L3531">
        <v>257</v>
      </c>
      <c r="M3531" t="s">
        <v>38716</v>
      </c>
      <c r="N3531">
        <v>1</v>
      </c>
      <c r="Q3531" t="s">
        <v>38717</v>
      </c>
      <c r="R3531">
        <v>150.19509199999999</v>
      </c>
      <c r="S3531" t="s">
        <v>37083</v>
      </c>
      <c r="T3531" t="s">
        <v>30</v>
      </c>
      <c r="U3531" t="s">
        <v>46</v>
      </c>
      <c r="W3531" t="s">
        <v>26009</v>
      </c>
    </row>
    <row r="3532" spans="1:23" x14ac:dyDescent="0.35">
      <c r="A3532">
        <v>764927</v>
      </c>
      <c r="B3532" t="s">
        <v>38718</v>
      </c>
      <c r="C3532" t="str">
        <f>"9781855753716"</f>
        <v>9781855753716</v>
      </c>
      <c r="D3532" t="str">
        <f>"9781849404365"</f>
        <v>9781849404365</v>
      </c>
      <c r="E3532" t="s">
        <v>26010</v>
      </c>
      <c r="F3532" t="s">
        <v>35</v>
      </c>
      <c r="G3532" t="s">
        <v>22174</v>
      </c>
      <c r="H3532" t="s">
        <v>26011</v>
      </c>
      <c r="I3532" s="26">
        <v>38362</v>
      </c>
      <c r="J3532">
        <v>2005</v>
      </c>
      <c r="K3532" t="s">
        <v>26012</v>
      </c>
      <c r="L3532">
        <v>94</v>
      </c>
      <c r="M3532" t="s">
        <v>38719</v>
      </c>
      <c r="N3532">
        <v>1</v>
      </c>
      <c r="Q3532" t="s">
        <v>38720</v>
      </c>
      <c r="R3532">
        <v>155.24</v>
      </c>
      <c r="S3532" t="s">
        <v>38721</v>
      </c>
      <c r="T3532" t="s">
        <v>30</v>
      </c>
      <c r="U3532" t="s">
        <v>26679</v>
      </c>
      <c r="W3532" t="s">
        <v>26009</v>
      </c>
    </row>
    <row r="3533" spans="1:23" x14ac:dyDescent="0.35">
      <c r="A3533">
        <v>764928</v>
      </c>
      <c r="B3533" t="s">
        <v>38722</v>
      </c>
      <c r="C3533" t="str">
        <f>"9781855753587"</f>
        <v>9781855753587</v>
      </c>
      <c r="D3533" t="str">
        <f>"9780429918476"</f>
        <v>9780429918476</v>
      </c>
      <c r="E3533" t="s">
        <v>26010</v>
      </c>
      <c r="F3533" t="s">
        <v>35</v>
      </c>
      <c r="G3533" t="s">
        <v>22174</v>
      </c>
      <c r="H3533" t="s">
        <v>26011</v>
      </c>
      <c r="I3533" s="26">
        <v>38717</v>
      </c>
      <c r="J3533">
        <v>2005</v>
      </c>
      <c r="K3533" t="s">
        <v>26012</v>
      </c>
      <c r="L3533">
        <v>149</v>
      </c>
      <c r="M3533" t="s">
        <v>38723</v>
      </c>
      <c r="N3533">
        <v>1</v>
      </c>
      <c r="O3533" t="s">
        <v>37018</v>
      </c>
      <c r="Q3533" t="s">
        <v>38724</v>
      </c>
      <c r="R3533">
        <v>658.46</v>
      </c>
      <c r="S3533" t="s">
        <v>38725</v>
      </c>
      <c r="T3533" t="s">
        <v>30</v>
      </c>
      <c r="U3533" t="s">
        <v>32864</v>
      </c>
      <c r="W3533" t="s">
        <v>26009</v>
      </c>
    </row>
    <row r="3534" spans="1:23" x14ac:dyDescent="0.35">
      <c r="A3534">
        <v>764929</v>
      </c>
      <c r="B3534" t="s">
        <v>38726</v>
      </c>
      <c r="C3534" t="str">
        <f>"9781855759855"</f>
        <v>9781855759855</v>
      </c>
      <c r="D3534" t="str">
        <f>"9781849404129"</f>
        <v>9781849404129</v>
      </c>
      <c r="E3534" t="s">
        <v>26010</v>
      </c>
      <c r="F3534" t="s">
        <v>35</v>
      </c>
      <c r="G3534" t="s">
        <v>22174</v>
      </c>
      <c r="H3534" t="s">
        <v>26011</v>
      </c>
      <c r="I3534" s="26">
        <v>37756</v>
      </c>
      <c r="J3534">
        <v>2003</v>
      </c>
      <c r="K3534" t="s">
        <v>26012</v>
      </c>
      <c r="L3534">
        <v>225</v>
      </c>
      <c r="M3534" t="s">
        <v>29975</v>
      </c>
      <c r="N3534">
        <v>1</v>
      </c>
      <c r="Q3534" t="s">
        <v>38727</v>
      </c>
      <c r="R3534">
        <v>150.19499999999999</v>
      </c>
      <c r="S3534" t="s">
        <v>38728</v>
      </c>
      <c r="T3534" t="s">
        <v>30</v>
      </c>
      <c r="U3534" t="s">
        <v>46</v>
      </c>
      <c r="W3534" t="s">
        <v>26009</v>
      </c>
    </row>
    <row r="3535" spans="1:23" x14ac:dyDescent="0.35">
      <c r="A3535">
        <v>764930</v>
      </c>
      <c r="B3535" t="s">
        <v>38729</v>
      </c>
      <c r="C3535" t="str">
        <f>"9781855753549"</f>
        <v>9781855753549</v>
      </c>
      <c r="D3535" t="str">
        <f>"9781849405218"</f>
        <v>9781849405218</v>
      </c>
      <c r="E3535" t="s">
        <v>26010</v>
      </c>
      <c r="F3535" t="s">
        <v>35</v>
      </c>
      <c r="G3535" t="s">
        <v>22174</v>
      </c>
      <c r="H3535" t="s">
        <v>26011</v>
      </c>
      <c r="I3535" s="26">
        <v>39082</v>
      </c>
      <c r="J3535">
        <v>2006</v>
      </c>
      <c r="K3535" t="s">
        <v>26012</v>
      </c>
      <c r="L3535">
        <v>257</v>
      </c>
      <c r="M3535" t="s">
        <v>38730</v>
      </c>
      <c r="N3535">
        <v>1</v>
      </c>
      <c r="Q3535" t="s">
        <v>38731</v>
      </c>
      <c r="R3535">
        <v>155.44999999999999</v>
      </c>
      <c r="S3535" t="s">
        <v>38732</v>
      </c>
      <c r="T3535" t="s">
        <v>30</v>
      </c>
      <c r="U3535" t="s">
        <v>26116</v>
      </c>
      <c r="W3535" t="s">
        <v>26009</v>
      </c>
    </row>
    <row r="3536" spans="1:23" x14ac:dyDescent="0.35">
      <c r="A3536">
        <v>764931</v>
      </c>
      <c r="B3536" t="s">
        <v>9926</v>
      </c>
      <c r="C3536" t="str">
        <f>"9781855754706"</f>
        <v>9781855754706</v>
      </c>
      <c r="D3536" t="str">
        <f>"9781849405379"</f>
        <v>9781849405379</v>
      </c>
      <c r="E3536" t="s">
        <v>26010</v>
      </c>
      <c r="F3536" t="s">
        <v>35</v>
      </c>
      <c r="G3536" t="s">
        <v>22174</v>
      </c>
      <c r="H3536" t="s">
        <v>26011</v>
      </c>
      <c r="I3536" s="26">
        <v>39003</v>
      </c>
      <c r="J3536">
        <v>2006</v>
      </c>
      <c r="K3536" t="s">
        <v>26012</v>
      </c>
      <c r="L3536">
        <v>289</v>
      </c>
      <c r="M3536" t="s">
        <v>37941</v>
      </c>
      <c r="N3536">
        <v>1</v>
      </c>
      <c r="Q3536" t="s">
        <v>38733</v>
      </c>
      <c r="R3536">
        <v>616.89170000000001</v>
      </c>
      <c r="S3536" t="s">
        <v>38213</v>
      </c>
      <c r="T3536" t="s">
        <v>30</v>
      </c>
      <c r="U3536" t="s">
        <v>26116</v>
      </c>
      <c r="W3536" t="s">
        <v>26009</v>
      </c>
    </row>
    <row r="3537" spans="1:23" x14ac:dyDescent="0.35">
      <c r="A3537">
        <v>764932</v>
      </c>
      <c r="B3537" t="s">
        <v>38734</v>
      </c>
      <c r="C3537" t="str">
        <f>"9781855752580"</f>
        <v>9781855752580</v>
      </c>
      <c r="D3537" t="str">
        <f>"9781849404167"</f>
        <v>9781849404167</v>
      </c>
      <c r="E3537" t="s">
        <v>26010</v>
      </c>
      <c r="F3537" t="s">
        <v>35</v>
      </c>
      <c r="G3537" t="s">
        <v>22174</v>
      </c>
      <c r="H3537" t="s">
        <v>26011</v>
      </c>
      <c r="I3537" s="26">
        <v>38352</v>
      </c>
      <c r="J3537">
        <v>2004</v>
      </c>
      <c r="K3537" t="s">
        <v>26012</v>
      </c>
      <c r="L3537">
        <v>337</v>
      </c>
      <c r="M3537" t="s">
        <v>37342</v>
      </c>
      <c r="N3537">
        <v>1</v>
      </c>
      <c r="Q3537" t="s">
        <v>38735</v>
      </c>
      <c r="R3537" t="s">
        <v>29813</v>
      </c>
      <c r="S3537" t="s">
        <v>8806</v>
      </c>
      <c r="T3537" t="s">
        <v>30</v>
      </c>
      <c r="U3537" t="s">
        <v>26116</v>
      </c>
      <c r="W3537" t="s">
        <v>26009</v>
      </c>
    </row>
    <row r="3538" spans="1:23" x14ac:dyDescent="0.35">
      <c r="A3538">
        <v>764933</v>
      </c>
      <c r="B3538" t="s">
        <v>9175</v>
      </c>
      <c r="C3538" t="str">
        <f>"9781855753556"</f>
        <v>9781855753556</v>
      </c>
      <c r="D3538" t="str">
        <f>"9781849404518"</f>
        <v>9781849404518</v>
      </c>
      <c r="E3538" t="s">
        <v>26010</v>
      </c>
      <c r="F3538" t="s">
        <v>35</v>
      </c>
      <c r="G3538" t="s">
        <v>22174</v>
      </c>
      <c r="H3538" t="s">
        <v>26011</v>
      </c>
      <c r="I3538" s="26">
        <v>38153</v>
      </c>
      <c r="J3538">
        <v>2004</v>
      </c>
      <c r="K3538" t="s">
        <v>26012</v>
      </c>
      <c r="L3538">
        <v>321</v>
      </c>
      <c r="M3538" t="s">
        <v>37449</v>
      </c>
      <c r="N3538">
        <v>1</v>
      </c>
      <c r="Q3538" t="s">
        <v>38736</v>
      </c>
      <c r="R3538">
        <v>155.4228</v>
      </c>
      <c r="S3538" t="s">
        <v>38737</v>
      </c>
      <c r="T3538" t="s">
        <v>30</v>
      </c>
      <c r="U3538" t="s">
        <v>26170</v>
      </c>
      <c r="W3538" t="s">
        <v>26009</v>
      </c>
    </row>
    <row r="3539" spans="1:23" x14ac:dyDescent="0.35">
      <c r="A3539">
        <v>764934</v>
      </c>
      <c r="B3539" t="s">
        <v>9723</v>
      </c>
      <c r="C3539" t="str">
        <f>"9781855759497"</f>
        <v>9781855759497</v>
      </c>
      <c r="D3539" t="str">
        <f>"9781849404501"</f>
        <v>9781849404501</v>
      </c>
      <c r="E3539" t="s">
        <v>26010</v>
      </c>
      <c r="F3539" t="s">
        <v>35</v>
      </c>
      <c r="G3539" t="s">
        <v>26128</v>
      </c>
      <c r="H3539" t="s">
        <v>26011</v>
      </c>
      <c r="I3539" s="26">
        <v>38352</v>
      </c>
      <c r="J3539">
        <v>2004</v>
      </c>
      <c r="K3539" t="s">
        <v>26012</v>
      </c>
      <c r="L3539">
        <v>219</v>
      </c>
      <c r="M3539" t="s">
        <v>38738</v>
      </c>
      <c r="N3539">
        <v>1</v>
      </c>
      <c r="S3539" t="s">
        <v>38739</v>
      </c>
      <c r="T3539" t="s">
        <v>30</v>
      </c>
      <c r="U3539" t="s">
        <v>46</v>
      </c>
      <c r="W3539" t="s">
        <v>26009</v>
      </c>
    </row>
    <row r="3540" spans="1:23" x14ac:dyDescent="0.35">
      <c r="A3540">
        <v>764935</v>
      </c>
      <c r="B3540" t="s">
        <v>38740</v>
      </c>
      <c r="C3540" t="str">
        <f>"9781855757684"</f>
        <v>9781855757684</v>
      </c>
      <c r="D3540" t="str">
        <f>"9780429922237"</f>
        <v>9780429922237</v>
      </c>
      <c r="E3540" t="s">
        <v>26010</v>
      </c>
      <c r="F3540" t="s">
        <v>35</v>
      </c>
      <c r="G3540" t="s">
        <v>22174</v>
      </c>
      <c r="H3540" t="s">
        <v>26011</v>
      </c>
      <c r="I3540" s="26">
        <v>40908</v>
      </c>
      <c r="J3540">
        <v>2011</v>
      </c>
      <c r="K3540" t="s">
        <v>26012</v>
      </c>
      <c r="L3540">
        <v>401</v>
      </c>
      <c r="M3540" t="s">
        <v>38741</v>
      </c>
      <c r="N3540">
        <v>1</v>
      </c>
      <c r="O3540" t="s">
        <v>36539</v>
      </c>
      <c r="Q3540" t="s">
        <v>38742</v>
      </c>
      <c r="R3540">
        <v>302</v>
      </c>
      <c r="S3540" t="s">
        <v>38743</v>
      </c>
      <c r="T3540" t="s">
        <v>30</v>
      </c>
      <c r="U3540" t="s">
        <v>26228</v>
      </c>
      <c r="W3540" t="s">
        <v>26009</v>
      </c>
    </row>
    <row r="3541" spans="1:23" x14ac:dyDescent="0.35">
      <c r="A3541">
        <v>764937</v>
      </c>
      <c r="B3541" t="s">
        <v>38744</v>
      </c>
      <c r="C3541" t="str">
        <f>"9781855752849"</f>
        <v>9781855752849</v>
      </c>
      <c r="D3541" t="str">
        <f>"9781849403597"</f>
        <v>9781849403597</v>
      </c>
      <c r="E3541" t="s">
        <v>26010</v>
      </c>
      <c r="F3541" t="s">
        <v>35</v>
      </c>
      <c r="G3541" t="s">
        <v>22174</v>
      </c>
      <c r="H3541" t="s">
        <v>26011</v>
      </c>
      <c r="I3541" s="26">
        <v>37392</v>
      </c>
      <c r="J3541">
        <v>2002</v>
      </c>
      <c r="K3541" t="s">
        <v>26012</v>
      </c>
      <c r="L3541">
        <v>291</v>
      </c>
      <c r="M3541" t="s">
        <v>38745</v>
      </c>
      <c r="N3541">
        <v>1</v>
      </c>
      <c r="Q3541" t="s">
        <v>38746</v>
      </c>
      <c r="R3541">
        <v>150.19499999999999</v>
      </c>
      <c r="S3541" t="s">
        <v>37004</v>
      </c>
      <c r="T3541" t="s">
        <v>30</v>
      </c>
      <c r="U3541" t="s">
        <v>26116</v>
      </c>
      <c r="W3541" t="s">
        <v>26009</v>
      </c>
    </row>
    <row r="3542" spans="1:23" x14ac:dyDescent="0.35">
      <c r="A3542">
        <v>764938</v>
      </c>
      <c r="B3542" t="s">
        <v>38747</v>
      </c>
      <c r="C3542" t="str">
        <f>"9781855752993"</f>
        <v>9781855752993</v>
      </c>
      <c r="D3542" t="str">
        <f>"9781849403504"</f>
        <v>9781849403504</v>
      </c>
      <c r="E3542" t="s">
        <v>26010</v>
      </c>
      <c r="F3542" t="s">
        <v>35</v>
      </c>
      <c r="G3542" t="s">
        <v>22174</v>
      </c>
      <c r="H3542" t="s">
        <v>26011</v>
      </c>
      <c r="I3542" s="26">
        <v>37621</v>
      </c>
      <c r="J3542">
        <v>2002</v>
      </c>
      <c r="K3542" t="s">
        <v>26012</v>
      </c>
      <c r="L3542">
        <v>327</v>
      </c>
      <c r="M3542" t="s">
        <v>38748</v>
      </c>
      <c r="N3542">
        <v>1</v>
      </c>
      <c r="Q3542" t="s">
        <v>38749</v>
      </c>
      <c r="R3542">
        <v>616.86</v>
      </c>
      <c r="S3542" t="s">
        <v>38750</v>
      </c>
      <c r="T3542" t="s">
        <v>30</v>
      </c>
      <c r="U3542" t="s">
        <v>26116</v>
      </c>
      <c r="W3542" t="s">
        <v>26009</v>
      </c>
    </row>
    <row r="3543" spans="1:23" x14ac:dyDescent="0.35">
      <c r="A3543">
        <v>764939</v>
      </c>
      <c r="B3543" t="s">
        <v>38751</v>
      </c>
      <c r="C3543" t="str">
        <f>"9780946439201"</f>
        <v>9780946439201</v>
      </c>
      <c r="D3543" t="str">
        <f>"9781849400404"</f>
        <v>9781849400404</v>
      </c>
      <c r="E3543" t="s">
        <v>26010</v>
      </c>
      <c r="F3543" t="s">
        <v>35</v>
      </c>
      <c r="G3543" t="s">
        <v>22174</v>
      </c>
      <c r="H3543" t="s">
        <v>26011</v>
      </c>
      <c r="I3543" s="26">
        <v>31777</v>
      </c>
      <c r="J3543">
        <v>1986</v>
      </c>
      <c r="K3543" t="s">
        <v>26012</v>
      </c>
      <c r="L3543">
        <v>257</v>
      </c>
      <c r="M3543" t="s">
        <v>36987</v>
      </c>
      <c r="N3543">
        <v>1</v>
      </c>
      <c r="Q3543" t="s">
        <v>38752</v>
      </c>
      <c r="R3543" t="s">
        <v>38753</v>
      </c>
      <c r="S3543" t="s">
        <v>38754</v>
      </c>
      <c r="T3543" t="s">
        <v>30</v>
      </c>
      <c r="U3543" t="s">
        <v>26116</v>
      </c>
      <c r="W3543" t="s">
        <v>26009</v>
      </c>
    </row>
    <row r="3544" spans="1:23" x14ac:dyDescent="0.35">
      <c r="A3544">
        <v>764940</v>
      </c>
      <c r="B3544" t="s">
        <v>7853</v>
      </c>
      <c r="C3544" t="str">
        <f>"9780950164779"</f>
        <v>9780950164779</v>
      </c>
      <c r="D3544" t="str">
        <f>"9781849400107"</f>
        <v>9781849400107</v>
      </c>
      <c r="E3544" t="s">
        <v>26010</v>
      </c>
      <c r="F3544" t="s">
        <v>35</v>
      </c>
      <c r="G3544" t="s">
        <v>22174</v>
      </c>
      <c r="H3544" t="s">
        <v>26011</v>
      </c>
      <c r="I3544" s="26">
        <v>29220</v>
      </c>
      <c r="J3544">
        <v>1979</v>
      </c>
      <c r="K3544" t="s">
        <v>26012</v>
      </c>
      <c r="L3544">
        <v>339</v>
      </c>
      <c r="M3544" t="s">
        <v>38755</v>
      </c>
      <c r="N3544">
        <v>1</v>
      </c>
      <c r="Q3544" t="s">
        <v>38756</v>
      </c>
      <c r="R3544">
        <v>616.89170000000001</v>
      </c>
      <c r="S3544" t="s">
        <v>7514</v>
      </c>
      <c r="T3544" t="s">
        <v>30</v>
      </c>
      <c r="U3544" t="s">
        <v>26019</v>
      </c>
      <c r="W3544" t="s">
        <v>26009</v>
      </c>
    </row>
    <row r="3545" spans="1:23" x14ac:dyDescent="0.35">
      <c r="A3545">
        <v>764942</v>
      </c>
      <c r="B3545" t="s">
        <v>38757</v>
      </c>
      <c r="C3545" t="str">
        <f>"9781855759657"</f>
        <v>9781855759657</v>
      </c>
      <c r="D3545" t="str">
        <f>"9781849404211"</f>
        <v>9781849404211</v>
      </c>
      <c r="E3545" t="s">
        <v>26010</v>
      </c>
      <c r="F3545" t="s">
        <v>35</v>
      </c>
      <c r="G3545" t="s">
        <v>26128</v>
      </c>
      <c r="H3545" t="s">
        <v>26011</v>
      </c>
      <c r="I3545" s="26">
        <v>38352</v>
      </c>
      <c r="J3545">
        <v>2004</v>
      </c>
      <c r="K3545" t="s">
        <v>26012</v>
      </c>
      <c r="L3545">
        <v>129</v>
      </c>
      <c r="M3545" t="s">
        <v>38758</v>
      </c>
      <c r="N3545">
        <v>1</v>
      </c>
      <c r="O3545" t="s">
        <v>37022</v>
      </c>
      <c r="R3545">
        <v>155.965</v>
      </c>
      <c r="S3545" t="s">
        <v>38759</v>
      </c>
      <c r="T3545" t="s">
        <v>30</v>
      </c>
      <c r="U3545" t="s">
        <v>46</v>
      </c>
      <c r="W3545" t="s">
        <v>26009</v>
      </c>
    </row>
    <row r="3546" spans="1:23" x14ac:dyDescent="0.35">
      <c r="A3546">
        <v>764943</v>
      </c>
      <c r="B3546" t="s">
        <v>38760</v>
      </c>
      <c r="C3546" t="str">
        <f>"9780946439133"</f>
        <v>9780946439133</v>
      </c>
      <c r="D3546" t="str">
        <f>"9781849400312"</f>
        <v>9781849400312</v>
      </c>
      <c r="E3546" t="s">
        <v>26010</v>
      </c>
      <c r="F3546" t="s">
        <v>35</v>
      </c>
      <c r="G3546" t="s">
        <v>22174</v>
      </c>
      <c r="H3546" t="s">
        <v>26011</v>
      </c>
      <c r="I3546" s="26">
        <v>31412</v>
      </c>
      <c r="J3546">
        <v>1985</v>
      </c>
      <c r="K3546" t="s">
        <v>26012</v>
      </c>
      <c r="L3546">
        <v>557</v>
      </c>
      <c r="M3546" t="s">
        <v>38761</v>
      </c>
      <c r="N3546">
        <v>1</v>
      </c>
      <c r="Q3546" t="s">
        <v>38762</v>
      </c>
      <c r="R3546">
        <v>150.19499999999999</v>
      </c>
      <c r="S3546" t="s">
        <v>9244</v>
      </c>
      <c r="T3546" t="s">
        <v>30</v>
      </c>
      <c r="U3546" t="s">
        <v>26116</v>
      </c>
      <c r="W3546" t="s">
        <v>26009</v>
      </c>
    </row>
    <row r="3547" spans="1:23" x14ac:dyDescent="0.35">
      <c r="A3547">
        <v>764944</v>
      </c>
      <c r="B3547" t="s">
        <v>38763</v>
      </c>
      <c r="C3547" t="str">
        <f>"9781855753761"</f>
        <v>9781855753761</v>
      </c>
      <c r="D3547" t="str">
        <f>"9781849404464"</f>
        <v>9781849404464</v>
      </c>
      <c r="E3547" t="s">
        <v>26010</v>
      </c>
      <c r="F3547" t="s">
        <v>35</v>
      </c>
      <c r="G3547" t="s">
        <v>22174</v>
      </c>
      <c r="H3547" t="s">
        <v>26011</v>
      </c>
      <c r="I3547" s="26">
        <v>38315</v>
      </c>
      <c r="J3547">
        <v>2004</v>
      </c>
      <c r="K3547" t="s">
        <v>26012</v>
      </c>
      <c r="L3547">
        <v>332</v>
      </c>
      <c r="M3547" t="s">
        <v>37077</v>
      </c>
      <c r="N3547">
        <v>1</v>
      </c>
      <c r="Q3547" t="s">
        <v>38764</v>
      </c>
      <c r="R3547">
        <v>616.85210651</v>
      </c>
      <c r="S3547" t="s">
        <v>38765</v>
      </c>
      <c r="T3547" t="s">
        <v>30</v>
      </c>
      <c r="U3547" t="s">
        <v>26116</v>
      </c>
      <c r="W3547" t="s">
        <v>26009</v>
      </c>
    </row>
    <row r="3548" spans="1:23" x14ac:dyDescent="0.35">
      <c r="A3548">
        <v>764945</v>
      </c>
      <c r="B3548" t="s">
        <v>9481</v>
      </c>
      <c r="C3548" t="str">
        <f>"9781855753648"</f>
        <v>9781855753648</v>
      </c>
      <c r="D3548" t="str">
        <f>"9781849405355"</f>
        <v>9781849405355</v>
      </c>
      <c r="E3548" t="s">
        <v>26010</v>
      </c>
      <c r="F3548" t="s">
        <v>35</v>
      </c>
      <c r="G3548" t="s">
        <v>22174</v>
      </c>
      <c r="H3548" t="s">
        <v>26011</v>
      </c>
      <c r="I3548" s="26">
        <v>38943</v>
      </c>
      <c r="J3548">
        <v>2006</v>
      </c>
      <c r="K3548" t="s">
        <v>26012</v>
      </c>
      <c r="L3548">
        <v>177</v>
      </c>
      <c r="M3548" t="s">
        <v>38766</v>
      </c>
      <c r="N3548">
        <v>1</v>
      </c>
      <c r="Q3548" t="s">
        <v>38767</v>
      </c>
      <c r="R3548">
        <v>616.89170000000001</v>
      </c>
      <c r="S3548" t="s">
        <v>38768</v>
      </c>
      <c r="T3548" t="s">
        <v>30</v>
      </c>
      <c r="U3548" t="s">
        <v>26019</v>
      </c>
      <c r="W3548" t="s">
        <v>26009</v>
      </c>
    </row>
    <row r="3549" spans="1:23" x14ac:dyDescent="0.35">
      <c r="A3549">
        <v>764946</v>
      </c>
      <c r="B3549" t="s">
        <v>38769</v>
      </c>
      <c r="C3549" t="str">
        <f>"9781855759251"</f>
        <v>9781855759251</v>
      </c>
      <c r="D3549" t="str">
        <f>"9781849404778"</f>
        <v>9781849404778</v>
      </c>
      <c r="E3549" t="s">
        <v>26010</v>
      </c>
      <c r="F3549" t="s">
        <v>35</v>
      </c>
      <c r="G3549" t="s">
        <v>26128</v>
      </c>
      <c r="H3549" t="s">
        <v>26011</v>
      </c>
      <c r="I3549" s="26">
        <v>38455</v>
      </c>
      <c r="J3549">
        <v>2005</v>
      </c>
      <c r="K3549" t="s">
        <v>26012</v>
      </c>
      <c r="L3549">
        <v>286</v>
      </c>
      <c r="M3549" t="s">
        <v>38770</v>
      </c>
      <c r="N3549">
        <v>1</v>
      </c>
      <c r="R3549" t="s">
        <v>26422</v>
      </c>
      <c r="S3549" t="s">
        <v>7661</v>
      </c>
      <c r="T3549" t="s">
        <v>30</v>
      </c>
      <c r="U3549" t="s">
        <v>26040</v>
      </c>
      <c r="W3549" t="s">
        <v>26009</v>
      </c>
    </row>
    <row r="3550" spans="1:23" x14ac:dyDescent="0.35">
      <c r="A3550">
        <v>764947</v>
      </c>
      <c r="B3550" t="s">
        <v>9016</v>
      </c>
      <c r="C3550" t="str">
        <f>"9781855751392"</f>
        <v>9781855751392</v>
      </c>
      <c r="D3550" t="str">
        <f>"9781849402392"</f>
        <v>9781849402392</v>
      </c>
      <c r="E3550" t="s">
        <v>26010</v>
      </c>
      <c r="F3550" t="s">
        <v>35</v>
      </c>
      <c r="G3550" t="s">
        <v>22174</v>
      </c>
      <c r="H3550" t="s">
        <v>26011</v>
      </c>
      <c r="I3550" s="26">
        <v>35500</v>
      </c>
      <c r="J3550">
        <v>1997</v>
      </c>
      <c r="K3550" t="s">
        <v>26012</v>
      </c>
      <c r="L3550">
        <v>240</v>
      </c>
      <c r="M3550" t="s">
        <v>38771</v>
      </c>
      <c r="N3550">
        <v>1</v>
      </c>
      <c r="Q3550" t="s">
        <v>38772</v>
      </c>
      <c r="R3550">
        <v>616.89140229999998</v>
      </c>
      <c r="S3550" t="s">
        <v>38773</v>
      </c>
      <c r="T3550" t="s">
        <v>30</v>
      </c>
      <c r="U3550" t="s">
        <v>26019</v>
      </c>
      <c r="W3550" t="s">
        <v>26009</v>
      </c>
    </row>
    <row r="3551" spans="1:23" x14ac:dyDescent="0.35">
      <c r="A3551">
        <v>764948</v>
      </c>
      <c r="B3551" t="s">
        <v>10214</v>
      </c>
      <c r="C3551" t="str">
        <f>"9781855753013"</f>
        <v>9781855753013</v>
      </c>
      <c r="D3551" t="str">
        <f>"9780429923852"</f>
        <v>9780429923852</v>
      </c>
      <c r="E3551" t="s">
        <v>26010</v>
      </c>
      <c r="F3551" t="s">
        <v>35</v>
      </c>
      <c r="G3551" t="s">
        <v>22174</v>
      </c>
      <c r="H3551" t="s">
        <v>26011</v>
      </c>
      <c r="I3551" s="26">
        <v>39082</v>
      </c>
      <c r="J3551">
        <v>2006</v>
      </c>
      <c r="K3551" t="s">
        <v>26012</v>
      </c>
      <c r="L3551">
        <v>372</v>
      </c>
      <c r="M3551" t="s">
        <v>38774</v>
      </c>
      <c r="N3551">
        <v>1</v>
      </c>
      <c r="O3551" t="s">
        <v>36510</v>
      </c>
      <c r="Q3551" t="s">
        <v>38775</v>
      </c>
      <c r="R3551">
        <v>150</v>
      </c>
      <c r="S3551" t="s">
        <v>10215</v>
      </c>
      <c r="T3551" t="s">
        <v>30</v>
      </c>
      <c r="U3551" t="s">
        <v>26116</v>
      </c>
      <c r="W3551" t="s">
        <v>26009</v>
      </c>
    </row>
    <row r="3552" spans="1:23" x14ac:dyDescent="0.35">
      <c r="A3552">
        <v>764949</v>
      </c>
      <c r="B3552" t="s">
        <v>38776</v>
      </c>
      <c r="C3552" t="str">
        <f>"9781855759480"</f>
        <v>9781855759480</v>
      </c>
      <c r="D3552" t="str">
        <f>"9781849403740"</f>
        <v>9781849403740</v>
      </c>
      <c r="E3552" t="s">
        <v>26010</v>
      </c>
      <c r="F3552" t="s">
        <v>35</v>
      </c>
      <c r="G3552" t="s">
        <v>22174</v>
      </c>
      <c r="H3552" t="s">
        <v>26011</v>
      </c>
      <c r="I3552" s="26">
        <v>37939</v>
      </c>
      <c r="J3552">
        <v>2003</v>
      </c>
      <c r="K3552" t="s">
        <v>26012</v>
      </c>
      <c r="L3552">
        <v>209</v>
      </c>
      <c r="M3552" t="s">
        <v>26776</v>
      </c>
      <c r="N3552">
        <v>1</v>
      </c>
      <c r="Q3552" t="s">
        <v>27065</v>
      </c>
      <c r="R3552" t="s">
        <v>26308</v>
      </c>
      <c r="S3552" t="s">
        <v>8748</v>
      </c>
      <c r="T3552" t="s">
        <v>30</v>
      </c>
      <c r="U3552" t="s">
        <v>46</v>
      </c>
      <c r="W3552" t="s">
        <v>26009</v>
      </c>
    </row>
    <row r="3553" spans="1:23" x14ac:dyDescent="0.35">
      <c r="A3553">
        <v>764950</v>
      </c>
      <c r="B3553" t="s">
        <v>9706</v>
      </c>
      <c r="C3553" t="str">
        <f>"9781855754669"</f>
        <v>9781855754669</v>
      </c>
      <c r="D3553" t="str">
        <f>"9781849405249"</f>
        <v>9781849405249</v>
      </c>
      <c r="E3553" t="s">
        <v>26010</v>
      </c>
      <c r="F3553" t="s">
        <v>35</v>
      </c>
      <c r="G3553" t="s">
        <v>22174</v>
      </c>
      <c r="H3553" t="s">
        <v>26011</v>
      </c>
      <c r="I3553" s="26">
        <v>39014</v>
      </c>
      <c r="J3553">
        <v>2006</v>
      </c>
      <c r="K3553" t="s">
        <v>26012</v>
      </c>
      <c r="L3553">
        <v>249</v>
      </c>
      <c r="M3553" t="s">
        <v>38777</v>
      </c>
      <c r="N3553">
        <v>1</v>
      </c>
      <c r="Q3553" t="s">
        <v>38778</v>
      </c>
      <c r="R3553">
        <v>337.1</v>
      </c>
      <c r="S3553" t="s">
        <v>38779</v>
      </c>
      <c r="T3553" t="s">
        <v>30</v>
      </c>
      <c r="U3553" t="s">
        <v>33432</v>
      </c>
      <c r="W3553" t="s">
        <v>26009</v>
      </c>
    </row>
    <row r="3554" spans="1:23" x14ac:dyDescent="0.35">
      <c r="A3554">
        <v>764951</v>
      </c>
      <c r="B3554" t="s">
        <v>38780</v>
      </c>
      <c r="C3554" t="str">
        <f>"9781855753082"</f>
        <v>9781855753082</v>
      </c>
      <c r="D3554" t="str">
        <f>"9781849404747"</f>
        <v>9781849404747</v>
      </c>
      <c r="E3554" t="s">
        <v>26010</v>
      </c>
      <c r="F3554" t="s">
        <v>35</v>
      </c>
      <c r="G3554" t="s">
        <v>22174</v>
      </c>
      <c r="H3554" t="s">
        <v>26011</v>
      </c>
      <c r="I3554" s="26">
        <v>38616</v>
      </c>
      <c r="J3554">
        <v>2005</v>
      </c>
      <c r="K3554" t="s">
        <v>26012</v>
      </c>
      <c r="L3554">
        <v>303</v>
      </c>
      <c r="M3554" t="s">
        <v>38781</v>
      </c>
      <c r="N3554">
        <v>1</v>
      </c>
      <c r="Q3554" t="s">
        <v>38782</v>
      </c>
      <c r="R3554">
        <v>155.4</v>
      </c>
      <c r="S3554" t="s">
        <v>38783</v>
      </c>
      <c r="T3554" t="s">
        <v>30</v>
      </c>
      <c r="U3554" t="s">
        <v>26019</v>
      </c>
      <c r="W3554" t="s">
        <v>26009</v>
      </c>
    </row>
    <row r="3555" spans="1:23" x14ac:dyDescent="0.35">
      <c r="A3555">
        <v>764952</v>
      </c>
      <c r="B3555" t="s">
        <v>38784</v>
      </c>
      <c r="C3555" t="str">
        <f>"9781855753372"</f>
        <v>9781855753372</v>
      </c>
      <c r="D3555" t="str">
        <f>"9781849404853"</f>
        <v>9781849404853</v>
      </c>
      <c r="E3555" t="s">
        <v>26010</v>
      </c>
      <c r="F3555" t="s">
        <v>35</v>
      </c>
      <c r="G3555" t="s">
        <v>22174</v>
      </c>
      <c r="H3555" t="s">
        <v>26011</v>
      </c>
      <c r="I3555" s="26">
        <v>38356</v>
      </c>
      <c r="J3555">
        <v>2005</v>
      </c>
      <c r="K3555" t="s">
        <v>26012</v>
      </c>
      <c r="L3555">
        <v>81</v>
      </c>
      <c r="M3555" t="s">
        <v>38785</v>
      </c>
      <c r="N3555">
        <v>1</v>
      </c>
      <c r="O3555" t="s">
        <v>38786</v>
      </c>
      <c r="Q3555" t="s">
        <v>38787</v>
      </c>
      <c r="R3555">
        <v>344.44044000000002</v>
      </c>
      <c r="S3555" t="s">
        <v>38788</v>
      </c>
      <c r="T3555" t="s">
        <v>30</v>
      </c>
      <c r="U3555" t="s">
        <v>38789</v>
      </c>
      <c r="W3555" t="s">
        <v>26009</v>
      </c>
    </row>
    <row r="3556" spans="1:23" x14ac:dyDescent="0.35">
      <c r="A3556">
        <v>764954</v>
      </c>
      <c r="B3556" t="s">
        <v>38790</v>
      </c>
      <c r="C3556" t="str">
        <f>"9781855753679"</f>
        <v>9781855753679</v>
      </c>
      <c r="D3556" t="str">
        <f>"9781849404860"</f>
        <v>9781849404860</v>
      </c>
      <c r="E3556" t="s">
        <v>26010</v>
      </c>
      <c r="F3556" t="s">
        <v>35</v>
      </c>
      <c r="G3556" t="s">
        <v>22174</v>
      </c>
      <c r="H3556" t="s">
        <v>26011</v>
      </c>
      <c r="I3556" s="26">
        <v>38429</v>
      </c>
      <c r="J3556">
        <v>2005</v>
      </c>
      <c r="K3556" t="s">
        <v>26012</v>
      </c>
      <c r="L3556">
        <v>299</v>
      </c>
      <c r="M3556" t="s">
        <v>38791</v>
      </c>
      <c r="N3556">
        <v>1</v>
      </c>
      <c r="Q3556" t="s">
        <v>38792</v>
      </c>
      <c r="R3556">
        <v>616.85260000000005</v>
      </c>
      <c r="S3556" t="s">
        <v>9252</v>
      </c>
      <c r="T3556" t="s">
        <v>30</v>
      </c>
      <c r="U3556" t="s">
        <v>26019</v>
      </c>
      <c r="W3556" t="s">
        <v>26009</v>
      </c>
    </row>
    <row r="3557" spans="1:23" x14ac:dyDescent="0.35">
      <c r="A3557">
        <v>764956</v>
      </c>
      <c r="B3557" t="s">
        <v>38793</v>
      </c>
      <c r="C3557" t="str">
        <f>"9781855758971"</f>
        <v>9781855758971</v>
      </c>
      <c r="D3557" t="str">
        <f>"9781849409209"</f>
        <v>9781849409209</v>
      </c>
      <c r="E3557" t="s">
        <v>26010</v>
      </c>
      <c r="F3557" t="s">
        <v>35</v>
      </c>
      <c r="G3557" t="s">
        <v>22174</v>
      </c>
      <c r="H3557" t="s">
        <v>26011</v>
      </c>
      <c r="I3557" s="26">
        <v>40908</v>
      </c>
      <c r="J3557">
        <v>2011</v>
      </c>
      <c r="K3557" t="s">
        <v>26012</v>
      </c>
      <c r="L3557">
        <v>250</v>
      </c>
      <c r="M3557" t="s">
        <v>35717</v>
      </c>
      <c r="N3557">
        <v>1</v>
      </c>
      <c r="Q3557" t="s">
        <v>38794</v>
      </c>
      <c r="R3557">
        <v>616.89139999999998</v>
      </c>
      <c r="S3557" t="s">
        <v>38795</v>
      </c>
      <c r="T3557" t="s">
        <v>30</v>
      </c>
      <c r="U3557" t="s">
        <v>26019</v>
      </c>
      <c r="W3557" t="s">
        <v>26009</v>
      </c>
    </row>
    <row r="3558" spans="1:23" x14ac:dyDescent="0.35">
      <c r="A3558">
        <v>764958</v>
      </c>
      <c r="B3558" t="s">
        <v>38796</v>
      </c>
      <c r="C3558" t="str">
        <f>"9781855759428"</f>
        <v>9781855759428</v>
      </c>
      <c r="D3558" t="str">
        <f>"9781849403412"</f>
        <v>9781849403412</v>
      </c>
      <c r="E3558" t="s">
        <v>26010</v>
      </c>
      <c r="F3558" t="s">
        <v>35</v>
      </c>
      <c r="G3558" t="s">
        <v>22174</v>
      </c>
      <c r="H3558" t="s">
        <v>26011</v>
      </c>
      <c r="I3558" s="26">
        <v>37621</v>
      </c>
      <c r="J3558">
        <v>2002</v>
      </c>
      <c r="K3558" t="s">
        <v>26012</v>
      </c>
      <c r="L3558">
        <v>455</v>
      </c>
      <c r="M3558" t="s">
        <v>38797</v>
      </c>
      <c r="N3558">
        <v>1</v>
      </c>
      <c r="Q3558" t="s">
        <v>38798</v>
      </c>
      <c r="R3558">
        <v>616.85212000000001</v>
      </c>
      <c r="S3558" t="s">
        <v>10012</v>
      </c>
      <c r="T3558" t="s">
        <v>30</v>
      </c>
      <c r="U3558" t="s">
        <v>26019</v>
      </c>
      <c r="W3558" t="s">
        <v>26009</v>
      </c>
    </row>
    <row r="3559" spans="1:23" x14ac:dyDescent="0.35">
      <c r="A3559">
        <v>764960</v>
      </c>
      <c r="B3559" t="s">
        <v>38799</v>
      </c>
      <c r="C3559" t="str">
        <f>"9781855753624"</f>
        <v>9781855753624</v>
      </c>
      <c r="D3559" t="str">
        <f>"9780429916960"</f>
        <v>9780429916960</v>
      </c>
      <c r="E3559" t="s">
        <v>26010</v>
      </c>
      <c r="F3559" t="s">
        <v>35</v>
      </c>
      <c r="G3559" t="s">
        <v>22174</v>
      </c>
      <c r="H3559" t="s">
        <v>26011</v>
      </c>
      <c r="I3559" s="26">
        <v>38717</v>
      </c>
      <c r="J3559">
        <v>2005</v>
      </c>
      <c r="K3559" t="s">
        <v>26012</v>
      </c>
      <c r="L3559">
        <v>143</v>
      </c>
      <c r="M3559" t="s">
        <v>36829</v>
      </c>
      <c r="N3559">
        <v>1</v>
      </c>
      <c r="O3559" t="s">
        <v>37479</v>
      </c>
      <c r="Q3559" t="s">
        <v>38800</v>
      </c>
      <c r="R3559">
        <v>306.87700000000001</v>
      </c>
      <c r="S3559" t="s">
        <v>38801</v>
      </c>
      <c r="T3559" t="s">
        <v>30</v>
      </c>
      <c r="U3559" t="s">
        <v>26228</v>
      </c>
      <c r="W3559" t="s">
        <v>26009</v>
      </c>
    </row>
    <row r="3560" spans="1:23" x14ac:dyDescent="0.35">
      <c r="A3560">
        <v>764961</v>
      </c>
      <c r="B3560" t="s">
        <v>38802</v>
      </c>
      <c r="C3560" t="str">
        <f>"9781855752870"</f>
        <v>9781855752870</v>
      </c>
      <c r="D3560" t="str">
        <f>"9780429917288"</f>
        <v>9780429917288</v>
      </c>
      <c r="E3560" t="s">
        <v>26010</v>
      </c>
      <c r="F3560" t="s">
        <v>35</v>
      </c>
      <c r="G3560" t="s">
        <v>26128</v>
      </c>
      <c r="H3560" t="s">
        <v>26011</v>
      </c>
      <c r="I3560" s="26">
        <v>37986</v>
      </c>
      <c r="J3560">
        <v>2003</v>
      </c>
      <c r="K3560" t="s">
        <v>26012</v>
      </c>
      <c r="L3560">
        <v>249</v>
      </c>
      <c r="M3560" t="s">
        <v>38803</v>
      </c>
      <c r="N3560">
        <v>1</v>
      </c>
      <c r="O3560" t="s">
        <v>38152</v>
      </c>
      <c r="R3560" t="s">
        <v>38804</v>
      </c>
      <c r="S3560" t="s">
        <v>7661</v>
      </c>
      <c r="T3560" t="s">
        <v>30</v>
      </c>
      <c r="U3560" t="s">
        <v>26040</v>
      </c>
      <c r="W3560" t="s">
        <v>26009</v>
      </c>
    </row>
    <row r="3561" spans="1:23" x14ac:dyDescent="0.35">
      <c r="A3561">
        <v>764962</v>
      </c>
      <c r="B3561" t="s">
        <v>8808</v>
      </c>
      <c r="C3561" t="str">
        <f>"9781855753907"</f>
        <v>9781855753907</v>
      </c>
      <c r="D3561" t="str">
        <f>"9781849404372"</f>
        <v>9781849404372</v>
      </c>
      <c r="E3561" t="s">
        <v>26010</v>
      </c>
      <c r="F3561" t="s">
        <v>35</v>
      </c>
      <c r="G3561" t="s">
        <v>22174</v>
      </c>
      <c r="H3561" t="s">
        <v>26011</v>
      </c>
      <c r="I3561" s="26">
        <v>38352</v>
      </c>
      <c r="J3561">
        <v>2004</v>
      </c>
      <c r="K3561" t="s">
        <v>26012</v>
      </c>
      <c r="L3561">
        <v>291</v>
      </c>
      <c r="M3561" t="s">
        <v>38276</v>
      </c>
      <c r="N3561">
        <v>1</v>
      </c>
      <c r="O3561" t="s">
        <v>37564</v>
      </c>
      <c r="Q3561" t="s">
        <v>38805</v>
      </c>
      <c r="R3561">
        <v>150.19499999999999</v>
      </c>
      <c r="S3561" t="s">
        <v>7514</v>
      </c>
      <c r="T3561" t="s">
        <v>30</v>
      </c>
      <c r="U3561" t="s">
        <v>26116</v>
      </c>
      <c r="W3561" t="s">
        <v>26009</v>
      </c>
    </row>
    <row r="3562" spans="1:23" x14ac:dyDescent="0.35">
      <c r="A3562">
        <v>764963</v>
      </c>
      <c r="B3562" t="s">
        <v>38806</v>
      </c>
      <c r="C3562" t="str">
        <f>"9781855753617"</f>
        <v>9781855753617</v>
      </c>
      <c r="D3562" t="str">
        <f>"9781849404563"</f>
        <v>9781849404563</v>
      </c>
      <c r="E3562" t="s">
        <v>26010</v>
      </c>
      <c r="F3562" t="s">
        <v>35</v>
      </c>
      <c r="G3562" t="s">
        <v>22174</v>
      </c>
      <c r="H3562" t="s">
        <v>26011</v>
      </c>
      <c r="I3562" s="26">
        <v>38056</v>
      </c>
      <c r="J3562">
        <v>2004</v>
      </c>
      <c r="K3562" t="s">
        <v>26012</v>
      </c>
      <c r="L3562">
        <v>102</v>
      </c>
      <c r="M3562" t="s">
        <v>37518</v>
      </c>
      <c r="N3562">
        <v>1</v>
      </c>
      <c r="O3562" t="s">
        <v>37010</v>
      </c>
      <c r="Q3562" t="s">
        <v>38807</v>
      </c>
      <c r="R3562">
        <v>150.19499999999999</v>
      </c>
      <c r="S3562" t="s">
        <v>38808</v>
      </c>
      <c r="T3562" t="s">
        <v>30</v>
      </c>
      <c r="U3562" t="s">
        <v>26019</v>
      </c>
      <c r="W3562" t="s">
        <v>26009</v>
      </c>
    </row>
    <row r="3563" spans="1:23" x14ac:dyDescent="0.35">
      <c r="A3563">
        <v>764964</v>
      </c>
      <c r="B3563" t="s">
        <v>8161</v>
      </c>
      <c r="C3563" t="str">
        <f>"9781855753389"</f>
        <v>9781855753389</v>
      </c>
      <c r="D3563" t="str">
        <f>"9781849404815"</f>
        <v>9781849404815</v>
      </c>
      <c r="E3563" t="s">
        <v>26010</v>
      </c>
      <c r="F3563" t="s">
        <v>35</v>
      </c>
      <c r="G3563" t="s">
        <v>22174</v>
      </c>
      <c r="H3563" t="s">
        <v>26011</v>
      </c>
      <c r="I3563" s="26">
        <v>37986</v>
      </c>
      <c r="J3563">
        <v>2003</v>
      </c>
      <c r="K3563" t="s">
        <v>26012</v>
      </c>
      <c r="L3563">
        <v>346</v>
      </c>
      <c r="M3563" t="s">
        <v>36946</v>
      </c>
      <c r="N3563">
        <v>1</v>
      </c>
      <c r="Q3563" t="s">
        <v>38809</v>
      </c>
      <c r="R3563">
        <v>150.19499999999999</v>
      </c>
      <c r="S3563" t="s">
        <v>38810</v>
      </c>
      <c r="T3563" t="s">
        <v>30</v>
      </c>
      <c r="U3563" t="s">
        <v>26116</v>
      </c>
      <c r="W3563" t="s">
        <v>26009</v>
      </c>
    </row>
    <row r="3564" spans="1:23" x14ac:dyDescent="0.35">
      <c r="A3564">
        <v>764965</v>
      </c>
      <c r="B3564" t="s">
        <v>38811</v>
      </c>
      <c r="C3564" t="str">
        <f>"9781855759688"</f>
        <v>9781855759688</v>
      </c>
      <c r="D3564" t="str">
        <f>"9781849404334"</f>
        <v>9781849404334</v>
      </c>
      <c r="E3564" t="s">
        <v>26010</v>
      </c>
      <c r="F3564" t="s">
        <v>35</v>
      </c>
      <c r="G3564" t="s">
        <v>22174</v>
      </c>
      <c r="H3564" t="s">
        <v>26011</v>
      </c>
      <c r="I3564" s="26">
        <v>38187</v>
      </c>
      <c r="J3564">
        <v>2004</v>
      </c>
      <c r="K3564" t="s">
        <v>26012</v>
      </c>
      <c r="L3564">
        <v>330</v>
      </c>
      <c r="M3564" t="s">
        <v>38812</v>
      </c>
      <c r="N3564">
        <v>1</v>
      </c>
      <c r="Q3564" t="s">
        <v>38813</v>
      </c>
      <c r="R3564">
        <v>616.89165000000003</v>
      </c>
      <c r="S3564" t="s">
        <v>38814</v>
      </c>
      <c r="T3564" t="s">
        <v>30</v>
      </c>
      <c r="U3564" t="s">
        <v>26019</v>
      </c>
      <c r="W3564" t="s">
        <v>26009</v>
      </c>
    </row>
    <row r="3565" spans="1:23" x14ac:dyDescent="0.35">
      <c r="A3565">
        <v>764966</v>
      </c>
      <c r="B3565" t="s">
        <v>38815</v>
      </c>
      <c r="C3565" t="str">
        <f>"9781855753181"</f>
        <v>9781855753181</v>
      </c>
      <c r="D3565" t="str">
        <f>"9781849404822"</f>
        <v>9781849404822</v>
      </c>
      <c r="E3565" t="s">
        <v>26010</v>
      </c>
      <c r="F3565" t="s">
        <v>35</v>
      </c>
      <c r="G3565" t="s">
        <v>22174</v>
      </c>
      <c r="H3565" t="s">
        <v>26011</v>
      </c>
      <c r="I3565" s="26">
        <v>38572</v>
      </c>
      <c r="J3565">
        <v>2005</v>
      </c>
      <c r="K3565" t="s">
        <v>26012</v>
      </c>
      <c r="L3565">
        <v>257</v>
      </c>
      <c r="M3565" t="s">
        <v>38816</v>
      </c>
      <c r="N3565">
        <v>1</v>
      </c>
      <c r="Q3565" t="s">
        <v>38817</v>
      </c>
      <c r="R3565">
        <v>155.422</v>
      </c>
      <c r="S3565" t="s">
        <v>38818</v>
      </c>
      <c r="T3565" t="s">
        <v>30</v>
      </c>
      <c r="U3565" t="s">
        <v>46</v>
      </c>
      <c r="W3565" t="s">
        <v>26009</v>
      </c>
    </row>
    <row r="3566" spans="1:23" x14ac:dyDescent="0.35">
      <c r="A3566">
        <v>764967</v>
      </c>
      <c r="B3566" t="s">
        <v>38819</v>
      </c>
      <c r="C3566" t="str">
        <f>"9781855759794"</f>
        <v>9781855759794</v>
      </c>
      <c r="D3566" t="str">
        <f>"9781849404341"</f>
        <v>9781849404341</v>
      </c>
      <c r="E3566" t="s">
        <v>26010</v>
      </c>
      <c r="F3566" t="s">
        <v>35</v>
      </c>
      <c r="G3566" t="s">
        <v>22174</v>
      </c>
      <c r="H3566" t="s">
        <v>26011</v>
      </c>
      <c r="I3566" s="26">
        <v>38352</v>
      </c>
      <c r="J3566">
        <v>2004</v>
      </c>
      <c r="K3566" t="s">
        <v>26012</v>
      </c>
      <c r="L3566">
        <v>209</v>
      </c>
      <c r="M3566" t="s">
        <v>38820</v>
      </c>
      <c r="N3566">
        <v>1</v>
      </c>
      <c r="Q3566" t="s">
        <v>38821</v>
      </c>
      <c r="R3566">
        <v>158.69999999999999</v>
      </c>
      <c r="S3566" t="s">
        <v>8364</v>
      </c>
      <c r="T3566" t="s">
        <v>30</v>
      </c>
      <c r="U3566" t="s">
        <v>46</v>
      </c>
      <c r="W3566" t="s">
        <v>26009</v>
      </c>
    </row>
    <row r="3567" spans="1:23" x14ac:dyDescent="0.35">
      <c r="A3567">
        <v>764968</v>
      </c>
      <c r="B3567" t="s">
        <v>38822</v>
      </c>
      <c r="C3567" t="str">
        <f>"9781855753174"</f>
        <v>9781855753174</v>
      </c>
      <c r="D3567" t="str">
        <f>"9781849404525"</f>
        <v>9781849404525</v>
      </c>
      <c r="E3567" t="s">
        <v>26010</v>
      </c>
      <c r="F3567" t="s">
        <v>35</v>
      </c>
      <c r="G3567" t="s">
        <v>22174</v>
      </c>
      <c r="H3567" t="s">
        <v>26011</v>
      </c>
      <c r="I3567" s="26">
        <v>38328</v>
      </c>
      <c r="J3567">
        <v>2005</v>
      </c>
      <c r="K3567" t="s">
        <v>26012</v>
      </c>
      <c r="L3567">
        <v>145</v>
      </c>
      <c r="M3567" t="s">
        <v>26770</v>
      </c>
      <c r="N3567">
        <v>1</v>
      </c>
      <c r="Q3567" t="s">
        <v>38823</v>
      </c>
      <c r="R3567">
        <v>150.1954092</v>
      </c>
      <c r="S3567" t="s">
        <v>8919</v>
      </c>
      <c r="T3567" t="s">
        <v>30</v>
      </c>
      <c r="U3567" t="s">
        <v>46</v>
      </c>
      <c r="W3567" t="s">
        <v>26009</v>
      </c>
    </row>
    <row r="3568" spans="1:23" x14ac:dyDescent="0.35">
      <c r="A3568">
        <v>764969</v>
      </c>
      <c r="B3568" t="s">
        <v>38824</v>
      </c>
      <c r="C3568" t="str">
        <f>"9781855753242"</f>
        <v>9781855753242</v>
      </c>
      <c r="D3568" t="str">
        <f>"9780429915260"</f>
        <v>9780429915260</v>
      </c>
      <c r="E3568" t="s">
        <v>26010</v>
      </c>
      <c r="F3568" t="s">
        <v>35</v>
      </c>
      <c r="G3568" t="s">
        <v>22174</v>
      </c>
      <c r="H3568" t="s">
        <v>26011</v>
      </c>
      <c r="I3568" s="26">
        <v>39082</v>
      </c>
      <c r="J3568">
        <v>2006</v>
      </c>
      <c r="K3568" t="s">
        <v>26012</v>
      </c>
      <c r="L3568">
        <v>186</v>
      </c>
      <c r="M3568" t="s">
        <v>38825</v>
      </c>
      <c r="N3568">
        <v>1</v>
      </c>
      <c r="O3568" t="s">
        <v>37564</v>
      </c>
      <c r="Q3568" t="s">
        <v>38826</v>
      </c>
      <c r="R3568">
        <v>155.66999999999999</v>
      </c>
      <c r="S3568" t="s">
        <v>38827</v>
      </c>
      <c r="T3568" t="s">
        <v>30</v>
      </c>
      <c r="U3568" t="s">
        <v>46</v>
      </c>
      <c r="W3568" t="s">
        <v>26009</v>
      </c>
    </row>
    <row r="3569" spans="1:23" x14ac:dyDescent="0.35">
      <c r="A3569">
        <v>764970</v>
      </c>
      <c r="B3569" t="s">
        <v>38828</v>
      </c>
      <c r="C3569" t="str">
        <f>"9781855753433"</f>
        <v>9781855753433</v>
      </c>
      <c r="D3569" t="str">
        <f>"9781849404686"</f>
        <v>9781849404686</v>
      </c>
      <c r="E3569" t="s">
        <v>26010</v>
      </c>
      <c r="F3569" t="s">
        <v>35</v>
      </c>
      <c r="G3569" t="s">
        <v>22174</v>
      </c>
      <c r="H3569" t="s">
        <v>26011</v>
      </c>
      <c r="I3569" s="26">
        <v>38630</v>
      </c>
      <c r="J3569">
        <v>2005</v>
      </c>
      <c r="K3569" t="s">
        <v>26012</v>
      </c>
      <c r="L3569">
        <v>251</v>
      </c>
      <c r="M3569" t="s">
        <v>38829</v>
      </c>
      <c r="N3569">
        <v>1</v>
      </c>
      <c r="Q3569" t="s">
        <v>38830</v>
      </c>
      <c r="R3569">
        <v>353.64</v>
      </c>
      <c r="S3569" t="s">
        <v>38831</v>
      </c>
      <c r="T3569" t="s">
        <v>30</v>
      </c>
      <c r="U3569" t="s">
        <v>38832</v>
      </c>
      <c r="W3569" t="s">
        <v>26009</v>
      </c>
    </row>
    <row r="3570" spans="1:23" x14ac:dyDescent="0.35">
      <c r="A3570">
        <v>764971</v>
      </c>
      <c r="B3570" t="s">
        <v>9276</v>
      </c>
      <c r="C3570" t="str">
        <f>"9781855759442"</f>
        <v>9781855759442</v>
      </c>
      <c r="D3570" t="str">
        <f>"9781849403948"</f>
        <v>9781849403948</v>
      </c>
      <c r="E3570" t="s">
        <v>26010</v>
      </c>
      <c r="F3570" t="s">
        <v>35</v>
      </c>
      <c r="G3570" t="s">
        <v>22174</v>
      </c>
      <c r="H3570" t="s">
        <v>26011</v>
      </c>
      <c r="I3570" s="26">
        <v>37986</v>
      </c>
      <c r="J3570">
        <v>2003</v>
      </c>
      <c r="K3570" t="s">
        <v>26012</v>
      </c>
      <c r="L3570">
        <v>68</v>
      </c>
      <c r="M3570" t="s">
        <v>38833</v>
      </c>
      <c r="N3570">
        <v>1</v>
      </c>
      <c r="Q3570" t="s">
        <v>38834</v>
      </c>
      <c r="R3570">
        <v>616.89170000000001</v>
      </c>
      <c r="S3570" t="s">
        <v>38835</v>
      </c>
      <c r="T3570" t="s">
        <v>30</v>
      </c>
      <c r="U3570" t="s">
        <v>26116</v>
      </c>
      <c r="W3570" t="s">
        <v>26009</v>
      </c>
    </row>
    <row r="3571" spans="1:23" x14ac:dyDescent="0.35">
      <c r="A3571">
        <v>764972</v>
      </c>
      <c r="B3571" t="s">
        <v>38836</v>
      </c>
      <c r="C3571" t="str">
        <f>"9781855759701"</f>
        <v>9781855759701</v>
      </c>
      <c r="D3571" t="str">
        <f>"9781849404549"</f>
        <v>9781849404549</v>
      </c>
      <c r="E3571" t="s">
        <v>26010</v>
      </c>
      <c r="F3571" t="s">
        <v>35</v>
      </c>
      <c r="G3571" t="s">
        <v>22174</v>
      </c>
      <c r="H3571" t="s">
        <v>26011</v>
      </c>
      <c r="I3571" s="26">
        <v>38352</v>
      </c>
      <c r="J3571">
        <v>2004</v>
      </c>
      <c r="K3571" t="s">
        <v>26012</v>
      </c>
      <c r="L3571">
        <v>234</v>
      </c>
      <c r="M3571" t="s">
        <v>38837</v>
      </c>
      <c r="N3571">
        <v>1</v>
      </c>
      <c r="O3571" t="s">
        <v>37022</v>
      </c>
      <c r="Q3571" t="s">
        <v>38838</v>
      </c>
      <c r="R3571">
        <v>616.85830651000003</v>
      </c>
      <c r="S3571" t="s">
        <v>38839</v>
      </c>
      <c r="T3571" t="s">
        <v>30</v>
      </c>
      <c r="U3571" t="s">
        <v>26116</v>
      </c>
      <c r="W3571" t="s">
        <v>26009</v>
      </c>
    </row>
    <row r="3572" spans="1:23" x14ac:dyDescent="0.35">
      <c r="A3572">
        <v>764973</v>
      </c>
      <c r="B3572" t="s">
        <v>7598</v>
      </c>
      <c r="C3572" t="str">
        <f>"9781855759596"</f>
        <v>9781855759596</v>
      </c>
      <c r="D3572" t="str">
        <f>"9781849403856"</f>
        <v>9781849403856</v>
      </c>
      <c r="E3572" t="s">
        <v>26010</v>
      </c>
      <c r="F3572" t="s">
        <v>35</v>
      </c>
      <c r="G3572" t="s">
        <v>22174</v>
      </c>
      <c r="H3572" t="s">
        <v>26011</v>
      </c>
      <c r="I3572" s="26">
        <v>37955</v>
      </c>
      <c r="J3572">
        <v>2003</v>
      </c>
      <c r="K3572" t="s">
        <v>26012</v>
      </c>
      <c r="L3572">
        <v>177</v>
      </c>
      <c r="M3572" t="s">
        <v>38840</v>
      </c>
      <c r="N3572">
        <v>1</v>
      </c>
      <c r="Q3572" t="s">
        <v>38841</v>
      </c>
      <c r="R3572">
        <v>150</v>
      </c>
      <c r="S3572" t="s">
        <v>7553</v>
      </c>
      <c r="T3572" t="s">
        <v>30</v>
      </c>
      <c r="U3572" t="s">
        <v>46</v>
      </c>
      <c r="W3572" t="s">
        <v>26009</v>
      </c>
    </row>
    <row r="3573" spans="1:23" x14ac:dyDescent="0.35">
      <c r="A3573">
        <v>764974</v>
      </c>
      <c r="B3573" t="s">
        <v>10162</v>
      </c>
      <c r="C3573" t="str">
        <f>"9781855759381"</f>
        <v>9781855759381</v>
      </c>
      <c r="D3573" t="str">
        <f>"9781849404044"</f>
        <v>9781849404044</v>
      </c>
      <c r="E3573" t="s">
        <v>26010</v>
      </c>
      <c r="F3573" t="s">
        <v>35</v>
      </c>
      <c r="G3573" t="s">
        <v>22174</v>
      </c>
      <c r="H3573" t="s">
        <v>26011</v>
      </c>
      <c r="I3573" s="26">
        <v>37986</v>
      </c>
      <c r="J3573">
        <v>2003</v>
      </c>
      <c r="K3573" t="s">
        <v>26012</v>
      </c>
      <c r="L3573">
        <v>108</v>
      </c>
      <c r="M3573" t="s">
        <v>38842</v>
      </c>
      <c r="N3573">
        <v>1</v>
      </c>
      <c r="O3573" t="s">
        <v>37364</v>
      </c>
      <c r="Q3573" t="s">
        <v>38843</v>
      </c>
      <c r="R3573">
        <v>616.85850000000005</v>
      </c>
      <c r="S3573" t="s">
        <v>37389</v>
      </c>
      <c r="T3573" t="s">
        <v>30</v>
      </c>
      <c r="U3573" t="s">
        <v>26019</v>
      </c>
      <c r="W3573" t="s">
        <v>26009</v>
      </c>
    </row>
    <row r="3574" spans="1:23" x14ac:dyDescent="0.35">
      <c r="A3574">
        <v>764975</v>
      </c>
      <c r="B3574" t="s">
        <v>38844</v>
      </c>
      <c r="C3574" t="str">
        <f>"9781855753211"</f>
        <v>9781855753211</v>
      </c>
      <c r="D3574" t="str">
        <f>"9781849404488"</f>
        <v>9781849404488</v>
      </c>
      <c r="E3574" t="s">
        <v>26010</v>
      </c>
      <c r="F3574" t="s">
        <v>35</v>
      </c>
      <c r="G3574" t="s">
        <v>22174</v>
      </c>
      <c r="H3574" t="s">
        <v>26011</v>
      </c>
      <c r="I3574" s="26">
        <v>38315</v>
      </c>
      <c r="J3574">
        <v>2004</v>
      </c>
      <c r="K3574" t="s">
        <v>26012</v>
      </c>
      <c r="L3574">
        <v>125</v>
      </c>
      <c r="M3574" t="s">
        <v>38647</v>
      </c>
      <c r="N3574">
        <v>1</v>
      </c>
      <c r="Q3574" t="s">
        <v>38845</v>
      </c>
      <c r="R3574">
        <v>155.93</v>
      </c>
      <c r="S3574" t="s">
        <v>36522</v>
      </c>
      <c r="T3574" t="s">
        <v>30</v>
      </c>
      <c r="U3574" t="s">
        <v>46</v>
      </c>
      <c r="W3574" t="s">
        <v>26009</v>
      </c>
    </row>
    <row r="3575" spans="1:23" x14ac:dyDescent="0.35">
      <c r="A3575">
        <v>764976</v>
      </c>
      <c r="B3575" t="s">
        <v>38846</v>
      </c>
      <c r="C3575" t="str">
        <f>"9781855752368"</f>
        <v>9781855752368</v>
      </c>
      <c r="D3575" t="str">
        <f>"9781849403498"</f>
        <v>9781849403498</v>
      </c>
      <c r="E3575" t="s">
        <v>26010</v>
      </c>
      <c r="F3575" t="s">
        <v>35</v>
      </c>
      <c r="G3575" t="s">
        <v>22174</v>
      </c>
      <c r="H3575" t="s">
        <v>26011</v>
      </c>
      <c r="I3575" s="26">
        <v>37621</v>
      </c>
      <c r="J3575">
        <v>2002</v>
      </c>
      <c r="K3575" t="s">
        <v>26012</v>
      </c>
      <c r="L3575">
        <v>209</v>
      </c>
      <c r="M3575" t="s">
        <v>38847</v>
      </c>
      <c r="N3575">
        <v>1</v>
      </c>
      <c r="Q3575" t="s">
        <v>38848</v>
      </c>
      <c r="R3575">
        <v>618.9289</v>
      </c>
      <c r="S3575" t="s">
        <v>37184</v>
      </c>
      <c r="T3575" t="s">
        <v>30</v>
      </c>
      <c r="U3575" t="s">
        <v>26019</v>
      </c>
      <c r="W3575" t="s">
        <v>26009</v>
      </c>
    </row>
    <row r="3576" spans="1:23" x14ac:dyDescent="0.35">
      <c r="A3576">
        <v>764977</v>
      </c>
      <c r="B3576" t="s">
        <v>38849</v>
      </c>
      <c r="C3576" t="str">
        <f>"9781855753136"</f>
        <v>9781855753136</v>
      </c>
      <c r="D3576" t="str">
        <f>"9781849404914"</f>
        <v>9781849404914</v>
      </c>
      <c r="E3576" t="s">
        <v>26010</v>
      </c>
      <c r="F3576" t="s">
        <v>35</v>
      </c>
      <c r="G3576" t="s">
        <v>22174</v>
      </c>
      <c r="H3576" t="s">
        <v>26011</v>
      </c>
      <c r="I3576" s="26">
        <v>38548</v>
      </c>
      <c r="J3576">
        <v>2005</v>
      </c>
      <c r="K3576" t="s">
        <v>26012</v>
      </c>
      <c r="L3576">
        <v>167</v>
      </c>
      <c r="M3576" t="s">
        <v>38850</v>
      </c>
      <c r="N3576">
        <v>1</v>
      </c>
      <c r="Q3576" t="s">
        <v>38851</v>
      </c>
      <c r="R3576">
        <v>616.89152300000001</v>
      </c>
      <c r="S3576" t="s">
        <v>38852</v>
      </c>
      <c r="T3576" t="s">
        <v>30</v>
      </c>
      <c r="U3576" t="s">
        <v>26019</v>
      </c>
      <c r="W3576" t="s">
        <v>26009</v>
      </c>
    </row>
    <row r="3577" spans="1:23" x14ac:dyDescent="0.35">
      <c r="A3577">
        <v>764978</v>
      </c>
      <c r="B3577" t="s">
        <v>8809</v>
      </c>
      <c r="C3577" t="str">
        <f>"9781855753037"</f>
        <v>9781855753037</v>
      </c>
      <c r="D3577" t="str">
        <f>"9781849404716"</f>
        <v>9781849404716</v>
      </c>
      <c r="E3577" t="s">
        <v>26010</v>
      </c>
      <c r="F3577" t="s">
        <v>35</v>
      </c>
      <c r="G3577" t="s">
        <v>22174</v>
      </c>
      <c r="H3577" t="s">
        <v>26011</v>
      </c>
      <c r="I3577" s="26">
        <v>38717</v>
      </c>
      <c r="J3577">
        <v>2005</v>
      </c>
      <c r="K3577" t="s">
        <v>26012</v>
      </c>
      <c r="L3577">
        <v>375</v>
      </c>
      <c r="M3577" t="s">
        <v>38276</v>
      </c>
      <c r="N3577">
        <v>1</v>
      </c>
      <c r="O3577" t="s">
        <v>37564</v>
      </c>
      <c r="Q3577" t="s">
        <v>38853</v>
      </c>
      <c r="R3577">
        <v>150.19499999999999</v>
      </c>
      <c r="S3577" t="s">
        <v>38854</v>
      </c>
      <c r="T3577" t="s">
        <v>30</v>
      </c>
      <c r="U3577" t="s">
        <v>46</v>
      </c>
      <c r="W3577" t="s">
        <v>26009</v>
      </c>
    </row>
    <row r="3578" spans="1:23" x14ac:dyDescent="0.35">
      <c r="A3578">
        <v>764979</v>
      </c>
      <c r="B3578" t="s">
        <v>38855</v>
      </c>
      <c r="C3578" t="str">
        <f>"9781855759411"</f>
        <v>9781855759411</v>
      </c>
      <c r="D3578" t="str">
        <f>"9781849403788"</f>
        <v>9781849403788</v>
      </c>
      <c r="E3578" t="s">
        <v>26010</v>
      </c>
      <c r="F3578" t="s">
        <v>35</v>
      </c>
      <c r="G3578" t="s">
        <v>26128</v>
      </c>
      <c r="H3578" t="s">
        <v>26011</v>
      </c>
      <c r="I3578" s="26">
        <v>37986</v>
      </c>
      <c r="J3578">
        <v>2003</v>
      </c>
      <c r="K3578" t="s">
        <v>26012</v>
      </c>
      <c r="L3578">
        <v>240</v>
      </c>
      <c r="M3578" t="s">
        <v>38856</v>
      </c>
      <c r="N3578">
        <v>1</v>
      </c>
      <c r="R3578">
        <v>616.89139999999998</v>
      </c>
      <c r="S3578" t="s">
        <v>9234</v>
      </c>
      <c r="T3578" t="s">
        <v>30</v>
      </c>
      <c r="U3578" t="s">
        <v>26040</v>
      </c>
      <c r="W3578" t="s">
        <v>26009</v>
      </c>
    </row>
    <row r="3579" spans="1:23" x14ac:dyDescent="0.35">
      <c r="A3579">
        <v>764980</v>
      </c>
      <c r="B3579" t="s">
        <v>38857</v>
      </c>
      <c r="C3579" t="str">
        <f>"9781855759312"</f>
        <v>9781855759312</v>
      </c>
      <c r="D3579" t="str">
        <f>"9781849403719"</f>
        <v>9781849403719</v>
      </c>
      <c r="E3579" t="s">
        <v>26010</v>
      </c>
      <c r="F3579" t="s">
        <v>35</v>
      </c>
      <c r="G3579" t="s">
        <v>22174</v>
      </c>
      <c r="H3579" t="s">
        <v>26011</v>
      </c>
      <c r="I3579" s="26">
        <v>37986</v>
      </c>
      <c r="J3579">
        <v>2003</v>
      </c>
      <c r="K3579" t="s">
        <v>26012</v>
      </c>
      <c r="L3579">
        <v>281</v>
      </c>
      <c r="M3579" t="s">
        <v>38858</v>
      </c>
      <c r="N3579">
        <v>1</v>
      </c>
      <c r="Q3579" t="s">
        <v>38859</v>
      </c>
      <c r="R3579">
        <v>155.333</v>
      </c>
      <c r="S3579" t="s">
        <v>38860</v>
      </c>
      <c r="T3579" t="s">
        <v>30</v>
      </c>
      <c r="U3579" t="s">
        <v>46</v>
      </c>
      <c r="W3579" t="s">
        <v>26009</v>
      </c>
    </row>
    <row r="3580" spans="1:23" x14ac:dyDescent="0.35">
      <c r="A3580">
        <v>764981</v>
      </c>
      <c r="B3580" t="s">
        <v>7957</v>
      </c>
      <c r="C3580" t="str">
        <f>"9781855759756"</f>
        <v>9781855759756</v>
      </c>
      <c r="D3580" t="str">
        <f>"9781849403399"</f>
        <v>9781849403399</v>
      </c>
      <c r="E3580" t="s">
        <v>26010</v>
      </c>
      <c r="F3580" t="s">
        <v>35</v>
      </c>
      <c r="G3580" t="s">
        <v>26128</v>
      </c>
      <c r="H3580" t="s">
        <v>26011</v>
      </c>
      <c r="I3580" s="26">
        <v>37582</v>
      </c>
      <c r="J3580">
        <v>2003</v>
      </c>
      <c r="K3580" t="s">
        <v>26012</v>
      </c>
      <c r="L3580">
        <v>373</v>
      </c>
      <c r="M3580" t="s">
        <v>38861</v>
      </c>
      <c r="N3580">
        <v>1</v>
      </c>
      <c r="R3580">
        <v>150.19540000000001</v>
      </c>
      <c r="S3580" t="s">
        <v>7516</v>
      </c>
      <c r="T3580" t="s">
        <v>30</v>
      </c>
      <c r="U3580" t="s">
        <v>46</v>
      </c>
      <c r="W3580" t="s">
        <v>26009</v>
      </c>
    </row>
    <row r="3581" spans="1:23" x14ac:dyDescent="0.35">
      <c r="A3581">
        <v>764982</v>
      </c>
      <c r="B3581" t="s">
        <v>38862</v>
      </c>
      <c r="C3581" t="str">
        <f>"9781855754355"</f>
        <v>9781855754355</v>
      </c>
      <c r="D3581" t="str">
        <f>"9781849405348"</f>
        <v>9781849405348</v>
      </c>
      <c r="E3581" t="s">
        <v>26010</v>
      </c>
      <c r="F3581" t="s">
        <v>35</v>
      </c>
      <c r="G3581" t="s">
        <v>22174</v>
      </c>
      <c r="H3581" t="s">
        <v>26011</v>
      </c>
      <c r="I3581" s="26">
        <v>38929</v>
      </c>
      <c r="J3581">
        <v>2006</v>
      </c>
      <c r="K3581" t="s">
        <v>26012</v>
      </c>
      <c r="L3581">
        <v>288</v>
      </c>
      <c r="M3581" t="s">
        <v>36776</v>
      </c>
      <c r="N3581">
        <v>1</v>
      </c>
      <c r="Q3581" t="s">
        <v>38863</v>
      </c>
      <c r="R3581">
        <v>150.19499999999999</v>
      </c>
      <c r="S3581" t="s">
        <v>38864</v>
      </c>
      <c r="T3581" t="s">
        <v>30</v>
      </c>
      <c r="U3581" t="s">
        <v>26019</v>
      </c>
      <c r="W3581" t="s">
        <v>26009</v>
      </c>
    </row>
    <row r="3582" spans="1:23" x14ac:dyDescent="0.35">
      <c r="A3582">
        <v>764984</v>
      </c>
      <c r="B3582" t="s">
        <v>38865</v>
      </c>
      <c r="C3582" t="str">
        <f>"9780946439225"</f>
        <v>9780946439225</v>
      </c>
      <c r="D3582" t="str">
        <f>"9781849400367"</f>
        <v>9781849400367</v>
      </c>
      <c r="E3582" t="s">
        <v>26010</v>
      </c>
      <c r="F3582" t="s">
        <v>35</v>
      </c>
      <c r="G3582" t="s">
        <v>22174</v>
      </c>
      <c r="H3582" t="s">
        <v>26011</v>
      </c>
      <c r="I3582" s="26">
        <v>31777</v>
      </c>
      <c r="J3582">
        <v>1986</v>
      </c>
      <c r="K3582" t="s">
        <v>26012</v>
      </c>
      <c r="L3582">
        <v>190</v>
      </c>
      <c r="M3582" t="s">
        <v>37231</v>
      </c>
      <c r="N3582">
        <v>1</v>
      </c>
      <c r="Q3582" t="s">
        <v>37652</v>
      </c>
      <c r="R3582">
        <v>616.89152000000001</v>
      </c>
      <c r="S3582" t="s">
        <v>29535</v>
      </c>
      <c r="T3582" t="s">
        <v>30</v>
      </c>
      <c r="U3582" t="s">
        <v>26116</v>
      </c>
      <c r="W3582" t="s">
        <v>26009</v>
      </c>
    </row>
    <row r="3583" spans="1:23" x14ac:dyDescent="0.35">
      <c r="A3583">
        <v>764986</v>
      </c>
      <c r="B3583" t="s">
        <v>38866</v>
      </c>
      <c r="C3583" t="str">
        <f>"9781855759435"</f>
        <v>9781855759435</v>
      </c>
      <c r="D3583" t="str">
        <f>"9781849404013"</f>
        <v>9781849404013</v>
      </c>
      <c r="E3583" t="s">
        <v>26010</v>
      </c>
      <c r="F3583" t="s">
        <v>35</v>
      </c>
      <c r="G3583" t="s">
        <v>26128</v>
      </c>
      <c r="H3583" t="s">
        <v>26011</v>
      </c>
      <c r="I3583" s="26">
        <v>37721</v>
      </c>
      <c r="J3583">
        <v>2002</v>
      </c>
      <c r="K3583" t="s">
        <v>26012</v>
      </c>
      <c r="L3583">
        <v>222</v>
      </c>
      <c r="M3583" t="s">
        <v>38867</v>
      </c>
      <c r="N3583">
        <v>1</v>
      </c>
      <c r="S3583" t="s">
        <v>7661</v>
      </c>
      <c r="T3583" t="s">
        <v>30</v>
      </c>
      <c r="U3583" t="s">
        <v>46</v>
      </c>
      <c r="W3583" t="s">
        <v>26009</v>
      </c>
    </row>
    <row r="3584" spans="1:23" x14ac:dyDescent="0.35">
      <c r="A3584">
        <v>764987</v>
      </c>
      <c r="B3584" t="s">
        <v>9934</v>
      </c>
      <c r="C3584" t="str">
        <f>"9781855752658"</f>
        <v>9781855752658</v>
      </c>
      <c r="D3584" t="str">
        <f>"9781849403290"</f>
        <v>9781849403290</v>
      </c>
      <c r="E3584" t="s">
        <v>26010</v>
      </c>
      <c r="F3584" t="s">
        <v>35</v>
      </c>
      <c r="G3584" t="s">
        <v>22174</v>
      </c>
      <c r="H3584" t="s">
        <v>26011</v>
      </c>
      <c r="I3584" s="26">
        <v>37256</v>
      </c>
      <c r="J3584">
        <v>2001</v>
      </c>
      <c r="K3584" t="s">
        <v>26012</v>
      </c>
      <c r="L3584">
        <v>208</v>
      </c>
      <c r="M3584" t="s">
        <v>36640</v>
      </c>
      <c r="N3584">
        <v>1</v>
      </c>
      <c r="Q3584" t="s">
        <v>38868</v>
      </c>
      <c r="R3584">
        <v>150.19499999999999</v>
      </c>
      <c r="S3584" t="s">
        <v>38869</v>
      </c>
      <c r="T3584" t="s">
        <v>30</v>
      </c>
      <c r="U3584" t="s">
        <v>46</v>
      </c>
      <c r="W3584" t="s">
        <v>26009</v>
      </c>
    </row>
    <row r="3585" spans="1:23" x14ac:dyDescent="0.35">
      <c r="A3585">
        <v>764988</v>
      </c>
      <c r="B3585" t="s">
        <v>38870</v>
      </c>
      <c r="C3585" t="str">
        <f>"9781855754003"</f>
        <v>9781855754003</v>
      </c>
      <c r="D3585" t="str">
        <f>"9781849405270"</f>
        <v>9781849405270</v>
      </c>
      <c r="E3585" t="s">
        <v>26010</v>
      </c>
      <c r="F3585" t="s">
        <v>35</v>
      </c>
      <c r="G3585" t="s">
        <v>22174</v>
      </c>
      <c r="H3585" t="s">
        <v>26011</v>
      </c>
      <c r="I3585" s="26">
        <v>39003</v>
      </c>
      <c r="J3585">
        <v>2006</v>
      </c>
      <c r="K3585" t="s">
        <v>26012</v>
      </c>
      <c r="L3585">
        <v>241</v>
      </c>
      <c r="M3585" t="s">
        <v>36946</v>
      </c>
      <c r="N3585">
        <v>1</v>
      </c>
      <c r="Q3585" t="s">
        <v>38871</v>
      </c>
      <c r="R3585">
        <v>616.89170000000001</v>
      </c>
      <c r="S3585" t="s">
        <v>36639</v>
      </c>
      <c r="T3585" t="s">
        <v>30</v>
      </c>
      <c r="U3585" t="s">
        <v>26116</v>
      </c>
      <c r="W3585" t="s">
        <v>26009</v>
      </c>
    </row>
    <row r="3586" spans="1:23" x14ac:dyDescent="0.35">
      <c r="A3586">
        <v>764989</v>
      </c>
      <c r="B3586" t="s">
        <v>7528</v>
      </c>
      <c r="C3586" t="str">
        <f>"9781855753754"</f>
        <v>9781855753754</v>
      </c>
      <c r="D3586" t="str">
        <f>"9781849404723"</f>
        <v>9781849404723</v>
      </c>
      <c r="E3586" t="s">
        <v>26010</v>
      </c>
      <c r="F3586" t="s">
        <v>35</v>
      </c>
      <c r="G3586" t="s">
        <v>22174</v>
      </c>
      <c r="H3586" t="s">
        <v>26011</v>
      </c>
      <c r="I3586" s="26">
        <v>38510</v>
      </c>
      <c r="J3586">
        <v>2005</v>
      </c>
      <c r="K3586" t="s">
        <v>26012</v>
      </c>
      <c r="L3586">
        <v>217</v>
      </c>
      <c r="M3586" t="s">
        <v>38872</v>
      </c>
      <c r="N3586">
        <v>1</v>
      </c>
      <c r="Q3586" t="s">
        <v>38873</v>
      </c>
      <c r="R3586" t="s">
        <v>29813</v>
      </c>
      <c r="S3586" t="s">
        <v>7529</v>
      </c>
      <c r="T3586" t="s">
        <v>30</v>
      </c>
      <c r="U3586" t="s">
        <v>26019</v>
      </c>
      <c r="W3586" t="s">
        <v>26009</v>
      </c>
    </row>
    <row r="3587" spans="1:23" x14ac:dyDescent="0.35">
      <c r="A3587">
        <v>764990</v>
      </c>
      <c r="B3587" t="s">
        <v>38874</v>
      </c>
      <c r="C3587" t="str">
        <f>"9781855753594"</f>
        <v>9781855753594</v>
      </c>
      <c r="D3587" t="str">
        <f>"9781849405423"</f>
        <v>9781849405423</v>
      </c>
      <c r="E3587" t="s">
        <v>26010</v>
      </c>
      <c r="F3587" t="s">
        <v>35</v>
      </c>
      <c r="G3587" t="s">
        <v>22174</v>
      </c>
      <c r="H3587" t="s">
        <v>26011</v>
      </c>
      <c r="I3587" s="26">
        <v>38842</v>
      </c>
      <c r="J3587">
        <v>2006</v>
      </c>
      <c r="K3587" t="s">
        <v>26012</v>
      </c>
      <c r="L3587">
        <v>161</v>
      </c>
      <c r="M3587" t="s">
        <v>36640</v>
      </c>
      <c r="N3587">
        <v>1</v>
      </c>
      <c r="Q3587" t="s">
        <v>38875</v>
      </c>
      <c r="R3587">
        <v>150.1952</v>
      </c>
      <c r="S3587" t="s">
        <v>38876</v>
      </c>
      <c r="T3587" t="s">
        <v>30</v>
      </c>
      <c r="U3587" t="s">
        <v>26019</v>
      </c>
      <c r="W3587" t="s">
        <v>26009</v>
      </c>
    </row>
    <row r="3588" spans="1:23" x14ac:dyDescent="0.35">
      <c r="A3588">
        <v>764991</v>
      </c>
      <c r="B3588" t="s">
        <v>38877</v>
      </c>
      <c r="C3588" t="str">
        <f>"9781855752603"</f>
        <v>9781855752603</v>
      </c>
      <c r="D3588" t="str">
        <f>"9781849403672"</f>
        <v>9781849403672</v>
      </c>
      <c r="E3588" t="s">
        <v>26010</v>
      </c>
      <c r="F3588" t="s">
        <v>35</v>
      </c>
      <c r="G3588" t="s">
        <v>22174</v>
      </c>
      <c r="H3588" t="s">
        <v>26011</v>
      </c>
      <c r="I3588" s="26">
        <v>37621</v>
      </c>
      <c r="J3588">
        <v>2002</v>
      </c>
      <c r="K3588" t="s">
        <v>26012</v>
      </c>
      <c r="L3588">
        <v>215</v>
      </c>
      <c r="M3588" t="s">
        <v>35164</v>
      </c>
      <c r="N3588">
        <v>1</v>
      </c>
      <c r="Q3588" t="s">
        <v>38878</v>
      </c>
      <c r="R3588">
        <v>616.85799999999995</v>
      </c>
      <c r="S3588" t="s">
        <v>38879</v>
      </c>
      <c r="T3588" t="s">
        <v>30</v>
      </c>
      <c r="U3588" t="s">
        <v>38880</v>
      </c>
      <c r="W3588" t="s">
        <v>26009</v>
      </c>
    </row>
    <row r="3589" spans="1:23" x14ac:dyDescent="0.35">
      <c r="A3589">
        <v>764992</v>
      </c>
      <c r="B3589" t="s">
        <v>38881</v>
      </c>
      <c r="C3589" t="str">
        <f>"9781855753976"</f>
        <v>9781855753976</v>
      </c>
      <c r="D3589" t="str">
        <f>"9781849404594"</f>
        <v>9781849404594</v>
      </c>
      <c r="E3589" t="s">
        <v>26010</v>
      </c>
      <c r="F3589" t="s">
        <v>35</v>
      </c>
      <c r="G3589" t="s">
        <v>22174</v>
      </c>
      <c r="H3589" t="s">
        <v>26011</v>
      </c>
      <c r="I3589" s="26">
        <v>38717</v>
      </c>
      <c r="J3589">
        <v>2005</v>
      </c>
      <c r="K3589" t="s">
        <v>26012</v>
      </c>
      <c r="L3589">
        <v>188</v>
      </c>
      <c r="M3589" t="s">
        <v>38882</v>
      </c>
      <c r="N3589">
        <v>1</v>
      </c>
      <c r="O3589" t="s">
        <v>36500</v>
      </c>
      <c r="Q3589" t="s">
        <v>38883</v>
      </c>
      <c r="R3589">
        <v>158.69999999999999</v>
      </c>
      <c r="S3589" t="s">
        <v>38884</v>
      </c>
      <c r="T3589" t="s">
        <v>30</v>
      </c>
      <c r="U3589" t="s">
        <v>26019</v>
      </c>
      <c r="W3589" t="s">
        <v>26009</v>
      </c>
    </row>
    <row r="3590" spans="1:23" x14ac:dyDescent="0.35">
      <c r="A3590">
        <v>764993</v>
      </c>
      <c r="B3590" t="s">
        <v>10232</v>
      </c>
      <c r="C3590" t="str">
        <f>"9781855753709"</f>
        <v>9781855753709</v>
      </c>
      <c r="D3590" t="str">
        <f>"9781849404242"</f>
        <v>9781849404242</v>
      </c>
      <c r="E3590" t="s">
        <v>26010</v>
      </c>
      <c r="F3590" t="s">
        <v>35</v>
      </c>
      <c r="G3590" t="s">
        <v>22174</v>
      </c>
      <c r="H3590" t="s">
        <v>26011</v>
      </c>
      <c r="I3590" s="26">
        <v>38182</v>
      </c>
      <c r="J3590">
        <v>2004</v>
      </c>
      <c r="K3590" t="s">
        <v>26012</v>
      </c>
      <c r="L3590">
        <v>415</v>
      </c>
      <c r="M3590" t="s">
        <v>37373</v>
      </c>
      <c r="N3590">
        <v>1</v>
      </c>
      <c r="Q3590" t="s">
        <v>38885</v>
      </c>
      <c r="R3590">
        <v>150.19499999999999</v>
      </c>
      <c r="S3590" t="s">
        <v>7514</v>
      </c>
      <c r="T3590" t="s">
        <v>30</v>
      </c>
      <c r="U3590" t="s">
        <v>26116</v>
      </c>
      <c r="W3590" t="s">
        <v>26009</v>
      </c>
    </row>
    <row r="3591" spans="1:23" x14ac:dyDescent="0.35">
      <c r="A3591">
        <v>764995</v>
      </c>
      <c r="B3591" t="s">
        <v>38886</v>
      </c>
      <c r="C3591" t="str">
        <f>"9781855759909"</f>
        <v>9781855759909</v>
      </c>
      <c r="D3591" t="str">
        <f>"9781849403634"</f>
        <v>9781849403634</v>
      </c>
      <c r="E3591" t="s">
        <v>26010</v>
      </c>
      <c r="F3591" t="s">
        <v>35</v>
      </c>
      <c r="G3591" t="s">
        <v>22174</v>
      </c>
      <c r="H3591" t="s">
        <v>26011</v>
      </c>
      <c r="I3591" s="26">
        <v>37389</v>
      </c>
      <c r="J3591">
        <v>2002</v>
      </c>
      <c r="K3591" t="s">
        <v>26012</v>
      </c>
      <c r="L3591">
        <v>260</v>
      </c>
      <c r="M3591" t="s">
        <v>38887</v>
      </c>
      <c r="N3591">
        <v>1</v>
      </c>
      <c r="Q3591" t="s">
        <v>38888</v>
      </c>
      <c r="R3591">
        <v>303.33999999999997</v>
      </c>
      <c r="S3591" t="s">
        <v>38889</v>
      </c>
      <c r="T3591" t="s">
        <v>30</v>
      </c>
      <c r="U3591" t="s">
        <v>27171</v>
      </c>
      <c r="W3591" t="s">
        <v>26009</v>
      </c>
    </row>
    <row r="3592" spans="1:23" x14ac:dyDescent="0.35">
      <c r="A3592">
        <v>764997</v>
      </c>
      <c r="B3592" t="s">
        <v>38890</v>
      </c>
      <c r="C3592" t="str">
        <f>"9781855753952"</f>
        <v>9781855753952</v>
      </c>
      <c r="D3592" t="str">
        <f>"9781849404440"</f>
        <v>9781849404440</v>
      </c>
      <c r="E3592" t="s">
        <v>26010</v>
      </c>
      <c r="F3592" t="s">
        <v>35</v>
      </c>
      <c r="G3592" t="s">
        <v>22174</v>
      </c>
      <c r="H3592" t="s">
        <v>26011</v>
      </c>
      <c r="I3592" s="26">
        <v>38078</v>
      </c>
      <c r="J3592">
        <v>2004</v>
      </c>
      <c r="K3592" t="s">
        <v>26012</v>
      </c>
      <c r="L3592">
        <v>356</v>
      </c>
      <c r="M3592" t="s">
        <v>38891</v>
      </c>
      <c r="N3592">
        <v>1</v>
      </c>
      <c r="Q3592" t="s">
        <v>38892</v>
      </c>
      <c r="R3592">
        <v>616.89</v>
      </c>
      <c r="S3592" t="s">
        <v>38893</v>
      </c>
      <c r="T3592" t="s">
        <v>30</v>
      </c>
      <c r="U3592" t="s">
        <v>26116</v>
      </c>
      <c r="W3592" t="s">
        <v>26009</v>
      </c>
    </row>
    <row r="3593" spans="1:23" x14ac:dyDescent="0.35">
      <c r="A3593">
        <v>764999</v>
      </c>
      <c r="B3593" t="s">
        <v>38894</v>
      </c>
      <c r="C3593" t="str">
        <f>"9781855754607"</f>
        <v>9781855754607</v>
      </c>
      <c r="D3593" t="str">
        <f>"9781849405300"</f>
        <v>9781849405300</v>
      </c>
      <c r="E3593" t="s">
        <v>26010</v>
      </c>
      <c r="F3593" t="s">
        <v>35</v>
      </c>
      <c r="G3593" t="s">
        <v>22174</v>
      </c>
      <c r="H3593" t="s">
        <v>26011</v>
      </c>
      <c r="I3593" s="26">
        <v>39082</v>
      </c>
      <c r="J3593">
        <v>2006</v>
      </c>
      <c r="K3593" t="s">
        <v>26012</v>
      </c>
      <c r="L3593">
        <v>57</v>
      </c>
      <c r="M3593" t="s">
        <v>38895</v>
      </c>
      <c r="N3593">
        <v>1</v>
      </c>
      <c r="O3593" t="s">
        <v>36645</v>
      </c>
      <c r="Q3593" t="s">
        <v>38896</v>
      </c>
      <c r="R3593">
        <v>364.36</v>
      </c>
      <c r="S3593" t="s">
        <v>38897</v>
      </c>
      <c r="T3593" t="s">
        <v>30</v>
      </c>
      <c r="U3593" t="s">
        <v>26044</v>
      </c>
      <c r="W3593" t="s">
        <v>26009</v>
      </c>
    </row>
    <row r="3594" spans="1:23" x14ac:dyDescent="0.35">
      <c r="A3594">
        <v>765000</v>
      </c>
      <c r="B3594" t="s">
        <v>38898</v>
      </c>
      <c r="C3594" t="str">
        <f>"9781855750265"</f>
        <v>9781855750265</v>
      </c>
      <c r="D3594" t="str">
        <f>"9781849401449"</f>
        <v>9781849401449</v>
      </c>
      <c r="E3594" t="s">
        <v>26010</v>
      </c>
      <c r="F3594" t="s">
        <v>35</v>
      </c>
      <c r="G3594" t="s">
        <v>22174</v>
      </c>
      <c r="H3594" t="s">
        <v>26011</v>
      </c>
      <c r="I3594" s="26">
        <v>34334</v>
      </c>
      <c r="J3594">
        <v>1993</v>
      </c>
      <c r="K3594" t="s">
        <v>26012</v>
      </c>
      <c r="L3594">
        <v>455</v>
      </c>
      <c r="M3594" t="s">
        <v>38899</v>
      </c>
      <c r="N3594">
        <v>1</v>
      </c>
      <c r="Q3594" t="s">
        <v>38900</v>
      </c>
      <c r="R3594">
        <v>150.19540000000001</v>
      </c>
      <c r="S3594" t="s">
        <v>7724</v>
      </c>
      <c r="T3594" t="s">
        <v>30</v>
      </c>
      <c r="U3594" t="s">
        <v>46</v>
      </c>
      <c r="W3594" t="s">
        <v>26009</v>
      </c>
    </row>
    <row r="3595" spans="1:23" x14ac:dyDescent="0.35">
      <c r="A3595">
        <v>765002</v>
      </c>
      <c r="B3595" t="s">
        <v>38901</v>
      </c>
      <c r="C3595" t="str">
        <f>"9781855751262"</f>
        <v>9781855751262</v>
      </c>
      <c r="D3595" t="str">
        <f>"9781849402231"</f>
        <v>9781849402231</v>
      </c>
      <c r="E3595" t="s">
        <v>26010</v>
      </c>
      <c r="F3595" t="s">
        <v>35</v>
      </c>
      <c r="G3595" t="s">
        <v>22174</v>
      </c>
      <c r="H3595" t="s">
        <v>26011</v>
      </c>
      <c r="I3595" s="26">
        <v>35795</v>
      </c>
      <c r="J3595">
        <v>1997</v>
      </c>
      <c r="K3595" t="s">
        <v>26012</v>
      </c>
      <c r="L3595">
        <v>125</v>
      </c>
      <c r="M3595" t="s">
        <v>38902</v>
      </c>
      <c r="N3595">
        <v>1</v>
      </c>
      <c r="Q3595" t="s">
        <v>38903</v>
      </c>
      <c r="R3595" t="s">
        <v>26422</v>
      </c>
      <c r="S3595" t="s">
        <v>38904</v>
      </c>
      <c r="T3595" t="s">
        <v>30</v>
      </c>
      <c r="U3595" t="s">
        <v>26116</v>
      </c>
      <c r="W3595" t="s">
        <v>26009</v>
      </c>
    </row>
    <row r="3596" spans="1:23" x14ac:dyDescent="0.35">
      <c r="A3596">
        <v>765003</v>
      </c>
      <c r="B3596" t="s">
        <v>38905</v>
      </c>
      <c r="C3596" t="str">
        <f>"9781855759886"</f>
        <v>9781855759886</v>
      </c>
      <c r="D3596" t="str">
        <f>"9781849404136"</f>
        <v>9781849404136</v>
      </c>
      <c r="E3596" t="s">
        <v>26010</v>
      </c>
      <c r="F3596" t="s">
        <v>35</v>
      </c>
      <c r="G3596" t="s">
        <v>22174</v>
      </c>
      <c r="H3596" t="s">
        <v>26011</v>
      </c>
      <c r="I3596" s="26">
        <v>37922</v>
      </c>
      <c r="J3596">
        <v>2003</v>
      </c>
      <c r="K3596" t="s">
        <v>26012</v>
      </c>
      <c r="L3596">
        <v>241</v>
      </c>
      <c r="M3596" t="s">
        <v>29084</v>
      </c>
      <c r="N3596">
        <v>1</v>
      </c>
      <c r="Q3596" t="s">
        <v>38906</v>
      </c>
      <c r="R3596">
        <v>362.26</v>
      </c>
      <c r="S3596" t="s">
        <v>7734</v>
      </c>
      <c r="T3596" t="s">
        <v>30</v>
      </c>
      <c r="U3596" t="s">
        <v>26079</v>
      </c>
      <c r="W3596" t="s">
        <v>26009</v>
      </c>
    </row>
    <row r="3597" spans="1:23" x14ac:dyDescent="0.35">
      <c r="A3597">
        <v>765005</v>
      </c>
      <c r="B3597" t="s">
        <v>38907</v>
      </c>
      <c r="C3597" t="str">
        <f>"9781855759541"</f>
        <v>9781855759541</v>
      </c>
      <c r="D3597" t="str">
        <f>"9781849404327"</f>
        <v>9781849404327</v>
      </c>
      <c r="E3597" t="s">
        <v>26010</v>
      </c>
      <c r="F3597" t="s">
        <v>35</v>
      </c>
      <c r="G3597" t="s">
        <v>26128</v>
      </c>
      <c r="H3597" t="s">
        <v>26011</v>
      </c>
      <c r="I3597" s="26">
        <v>38119</v>
      </c>
      <c r="J3597">
        <v>2004</v>
      </c>
      <c r="K3597" t="s">
        <v>26012</v>
      </c>
      <c r="L3597">
        <v>118</v>
      </c>
      <c r="M3597" t="s">
        <v>38908</v>
      </c>
      <c r="N3597">
        <v>1</v>
      </c>
      <c r="S3597" t="s">
        <v>9675</v>
      </c>
      <c r="T3597" t="s">
        <v>30</v>
      </c>
      <c r="U3597" t="s">
        <v>46</v>
      </c>
      <c r="W3597" t="s">
        <v>26009</v>
      </c>
    </row>
    <row r="3598" spans="1:23" x14ac:dyDescent="0.35">
      <c r="A3598">
        <v>765006</v>
      </c>
      <c r="B3598" t="s">
        <v>9426</v>
      </c>
      <c r="C3598" t="str">
        <f>"9781855753877"</f>
        <v>9781855753877</v>
      </c>
      <c r="D3598" t="str">
        <f>"9781849404693"</f>
        <v>9781849404693</v>
      </c>
      <c r="E3598" t="s">
        <v>26010</v>
      </c>
      <c r="F3598" t="s">
        <v>35</v>
      </c>
      <c r="G3598" t="s">
        <v>22174</v>
      </c>
      <c r="H3598" t="s">
        <v>26011</v>
      </c>
      <c r="I3598" s="26">
        <v>38717</v>
      </c>
      <c r="J3598">
        <v>2005</v>
      </c>
      <c r="K3598" t="s">
        <v>26012</v>
      </c>
      <c r="L3598">
        <v>47</v>
      </c>
      <c r="M3598" t="s">
        <v>36908</v>
      </c>
      <c r="N3598">
        <v>1</v>
      </c>
      <c r="O3598" t="s">
        <v>36645</v>
      </c>
      <c r="Q3598" t="s">
        <v>38909</v>
      </c>
      <c r="R3598" t="s">
        <v>26603</v>
      </c>
      <c r="S3598" t="s">
        <v>38910</v>
      </c>
      <c r="T3598" t="s">
        <v>30</v>
      </c>
      <c r="U3598" t="s">
        <v>26019</v>
      </c>
      <c r="W3598" t="s">
        <v>26009</v>
      </c>
    </row>
    <row r="3599" spans="1:23" x14ac:dyDescent="0.35">
      <c r="A3599">
        <v>765007</v>
      </c>
      <c r="B3599" t="s">
        <v>9050</v>
      </c>
      <c r="C3599" t="str">
        <f>"9781855759626"</f>
        <v>9781855759626</v>
      </c>
      <c r="D3599" t="str">
        <f>"9781849403733"</f>
        <v>9781849403733</v>
      </c>
      <c r="E3599" t="s">
        <v>26010</v>
      </c>
      <c r="F3599" t="s">
        <v>35</v>
      </c>
      <c r="G3599" t="s">
        <v>22174</v>
      </c>
      <c r="H3599" t="s">
        <v>26011</v>
      </c>
      <c r="I3599" s="26">
        <v>37986</v>
      </c>
      <c r="J3599">
        <v>2003</v>
      </c>
      <c r="K3599" t="s">
        <v>26012</v>
      </c>
      <c r="L3599">
        <v>161</v>
      </c>
      <c r="M3599" t="s">
        <v>38911</v>
      </c>
      <c r="N3599">
        <v>1</v>
      </c>
      <c r="O3599" t="s">
        <v>37479</v>
      </c>
      <c r="Q3599" t="s">
        <v>26182</v>
      </c>
      <c r="R3599" t="s">
        <v>26787</v>
      </c>
      <c r="S3599" t="s">
        <v>9051</v>
      </c>
      <c r="T3599" t="s">
        <v>30</v>
      </c>
      <c r="U3599" t="s">
        <v>46</v>
      </c>
      <c r="W3599" t="s">
        <v>26009</v>
      </c>
    </row>
    <row r="3600" spans="1:23" x14ac:dyDescent="0.35">
      <c r="A3600">
        <v>765008</v>
      </c>
      <c r="B3600" t="s">
        <v>38912</v>
      </c>
      <c r="C3600" t="str">
        <f>"9781855753143"</f>
        <v>9781855753143</v>
      </c>
      <c r="D3600" t="str">
        <f>"9781849404976"</f>
        <v>9781849404976</v>
      </c>
      <c r="E3600" t="s">
        <v>26010</v>
      </c>
      <c r="F3600" t="s">
        <v>35</v>
      </c>
      <c r="G3600" t="s">
        <v>22174</v>
      </c>
      <c r="H3600" t="s">
        <v>26011</v>
      </c>
      <c r="I3600" s="26">
        <v>38631</v>
      </c>
      <c r="J3600">
        <v>2005</v>
      </c>
      <c r="K3600" t="s">
        <v>26012</v>
      </c>
      <c r="L3600">
        <v>261</v>
      </c>
      <c r="M3600" t="s">
        <v>38913</v>
      </c>
      <c r="N3600">
        <v>1</v>
      </c>
      <c r="Q3600" t="s">
        <v>38914</v>
      </c>
      <c r="R3600" t="s">
        <v>29251</v>
      </c>
      <c r="S3600" t="s">
        <v>38915</v>
      </c>
      <c r="T3600" t="s">
        <v>30</v>
      </c>
      <c r="U3600" t="s">
        <v>26019</v>
      </c>
      <c r="W3600" t="s">
        <v>26009</v>
      </c>
    </row>
    <row r="3601" spans="1:23" x14ac:dyDescent="0.35">
      <c r="A3601">
        <v>765010</v>
      </c>
      <c r="B3601" t="s">
        <v>8250</v>
      </c>
      <c r="C3601" t="str">
        <f>"9781855759473"</f>
        <v>9781855759473</v>
      </c>
      <c r="D3601" t="str">
        <f>"9780429913167"</f>
        <v>9780429913167</v>
      </c>
      <c r="E3601" t="s">
        <v>26010</v>
      </c>
      <c r="F3601" t="s">
        <v>35</v>
      </c>
      <c r="G3601" t="s">
        <v>22174</v>
      </c>
      <c r="H3601" t="s">
        <v>26011</v>
      </c>
      <c r="I3601" s="26">
        <v>38352</v>
      </c>
      <c r="J3601">
        <v>2004</v>
      </c>
      <c r="K3601" t="s">
        <v>26012</v>
      </c>
      <c r="L3601">
        <v>110</v>
      </c>
      <c r="M3601" t="s">
        <v>37538</v>
      </c>
      <c r="N3601">
        <v>1</v>
      </c>
      <c r="O3601" t="s">
        <v>37539</v>
      </c>
      <c r="Q3601" t="s">
        <v>38916</v>
      </c>
      <c r="R3601">
        <v>616.89139999999998</v>
      </c>
      <c r="S3601" t="s">
        <v>7677</v>
      </c>
      <c r="T3601" t="s">
        <v>30</v>
      </c>
      <c r="U3601" t="s">
        <v>26019</v>
      </c>
      <c r="W3601" t="s">
        <v>26009</v>
      </c>
    </row>
    <row r="3602" spans="1:23" x14ac:dyDescent="0.35">
      <c r="A3602">
        <v>765014</v>
      </c>
      <c r="B3602" t="s">
        <v>38917</v>
      </c>
      <c r="C3602" t="str">
        <f>"9781855759848"</f>
        <v>9781855759848</v>
      </c>
      <c r="D3602" t="str">
        <f>"9781849404556"</f>
        <v>9781849404556</v>
      </c>
      <c r="E3602" t="s">
        <v>26010</v>
      </c>
      <c r="F3602" t="s">
        <v>35</v>
      </c>
      <c r="G3602" t="s">
        <v>22174</v>
      </c>
      <c r="H3602" t="s">
        <v>26011</v>
      </c>
      <c r="I3602" s="26">
        <v>38041</v>
      </c>
      <c r="J3602">
        <v>2004</v>
      </c>
      <c r="K3602" t="s">
        <v>26012</v>
      </c>
      <c r="L3602">
        <v>239</v>
      </c>
      <c r="M3602" t="s">
        <v>36640</v>
      </c>
      <c r="N3602">
        <v>1</v>
      </c>
      <c r="Q3602" t="s">
        <v>37203</v>
      </c>
      <c r="R3602">
        <v>150.19499999999999</v>
      </c>
      <c r="S3602" t="s">
        <v>7696</v>
      </c>
      <c r="T3602" t="s">
        <v>30</v>
      </c>
      <c r="U3602" t="s">
        <v>46</v>
      </c>
      <c r="W3602" t="s">
        <v>26009</v>
      </c>
    </row>
    <row r="3603" spans="1:23" x14ac:dyDescent="0.35">
      <c r="A3603">
        <v>765015</v>
      </c>
      <c r="B3603" t="s">
        <v>38918</v>
      </c>
      <c r="C3603" t="str">
        <f>"9781855759022"</f>
        <v>9781855759022</v>
      </c>
      <c r="D3603" t="str">
        <f>"9781849403962"</f>
        <v>9781849403962</v>
      </c>
      <c r="E3603" t="s">
        <v>26010</v>
      </c>
      <c r="F3603" t="s">
        <v>35</v>
      </c>
      <c r="G3603" t="s">
        <v>26128</v>
      </c>
      <c r="H3603" t="s">
        <v>26011</v>
      </c>
      <c r="I3603" s="26">
        <v>37684</v>
      </c>
      <c r="J3603">
        <v>2003</v>
      </c>
      <c r="K3603" t="s">
        <v>26012</v>
      </c>
      <c r="L3603">
        <v>169</v>
      </c>
      <c r="M3603" t="s">
        <v>38919</v>
      </c>
      <c r="N3603">
        <v>1</v>
      </c>
      <c r="S3603" t="s">
        <v>7843</v>
      </c>
      <c r="T3603" t="s">
        <v>30</v>
      </c>
      <c r="U3603" t="s">
        <v>46</v>
      </c>
      <c r="W3603" t="s">
        <v>26009</v>
      </c>
    </row>
    <row r="3604" spans="1:23" x14ac:dyDescent="0.35">
      <c r="A3604">
        <v>765016</v>
      </c>
      <c r="B3604" t="s">
        <v>8361</v>
      </c>
      <c r="C3604" t="str">
        <f>"9781855759169"</f>
        <v>9781855759169</v>
      </c>
      <c r="D3604" t="str">
        <f>"9781849403900"</f>
        <v>9781849403900</v>
      </c>
      <c r="E3604" t="s">
        <v>26010</v>
      </c>
      <c r="F3604" t="s">
        <v>35</v>
      </c>
      <c r="G3604" t="s">
        <v>26128</v>
      </c>
      <c r="H3604" t="s">
        <v>26011</v>
      </c>
      <c r="I3604" s="26">
        <v>37673</v>
      </c>
      <c r="J3604">
        <v>2003</v>
      </c>
      <c r="K3604" t="s">
        <v>26012</v>
      </c>
      <c r="L3604">
        <v>305</v>
      </c>
      <c r="M3604" t="s">
        <v>37406</v>
      </c>
      <c r="N3604">
        <v>1</v>
      </c>
      <c r="R3604">
        <v>154.63</v>
      </c>
      <c r="S3604" t="s">
        <v>37407</v>
      </c>
      <c r="T3604" t="s">
        <v>30</v>
      </c>
      <c r="U3604" t="s">
        <v>46</v>
      </c>
      <c r="W3604" t="s">
        <v>26009</v>
      </c>
    </row>
    <row r="3605" spans="1:23" x14ac:dyDescent="0.35">
      <c r="A3605">
        <v>765017</v>
      </c>
      <c r="B3605" t="s">
        <v>10010</v>
      </c>
      <c r="C3605" t="str">
        <f>"9781855753525"</f>
        <v>9781855753525</v>
      </c>
      <c r="D3605" t="str">
        <f>"9781849404662"</f>
        <v>9781849404662</v>
      </c>
      <c r="E3605" t="s">
        <v>26010</v>
      </c>
      <c r="F3605" t="s">
        <v>35</v>
      </c>
      <c r="G3605" t="s">
        <v>22174</v>
      </c>
      <c r="H3605" t="s">
        <v>26011</v>
      </c>
      <c r="I3605" s="26">
        <v>38476</v>
      </c>
      <c r="J3605">
        <v>2005</v>
      </c>
      <c r="K3605" t="s">
        <v>26012</v>
      </c>
      <c r="L3605">
        <v>223</v>
      </c>
      <c r="M3605" t="s">
        <v>38920</v>
      </c>
      <c r="N3605">
        <v>1</v>
      </c>
      <c r="Q3605" t="s">
        <v>38921</v>
      </c>
      <c r="R3605">
        <v>150.19499999999999</v>
      </c>
      <c r="S3605" t="s">
        <v>38922</v>
      </c>
      <c r="T3605" t="s">
        <v>30</v>
      </c>
      <c r="U3605" t="s">
        <v>26116</v>
      </c>
      <c r="W3605" t="s">
        <v>26009</v>
      </c>
    </row>
    <row r="3606" spans="1:23" x14ac:dyDescent="0.35">
      <c r="A3606">
        <v>765018</v>
      </c>
      <c r="B3606" t="s">
        <v>38923</v>
      </c>
      <c r="C3606" t="str">
        <f>"9781855759176"</f>
        <v>9781855759176</v>
      </c>
      <c r="D3606" t="str">
        <f>"9781849405324"</f>
        <v>9781849405324</v>
      </c>
      <c r="E3606" t="s">
        <v>26010</v>
      </c>
      <c r="F3606" t="s">
        <v>35</v>
      </c>
      <c r="G3606" t="s">
        <v>22174</v>
      </c>
      <c r="H3606" t="s">
        <v>26011</v>
      </c>
      <c r="I3606" s="26">
        <v>39082</v>
      </c>
      <c r="J3606">
        <v>2006</v>
      </c>
      <c r="K3606" t="s">
        <v>26012</v>
      </c>
      <c r="L3606">
        <v>366</v>
      </c>
      <c r="M3606" t="s">
        <v>38924</v>
      </c>
      <c r="N3606">
        <v>1</v>
      </c>
      <c r="O3606" t="s">
        <v>38925</v>
      </c>
      <c r="Q3606" t="s">
        <v>38926</v>
      </c>
      <c r="R3606">
        <v>616.85829999999999</v>
      </c>
      <c r="S3606" t="s">
        <v>38927</v>
      </c>
      <c r="T3606" t="s">
        <v>30</v>
      </c>
      <c r="U3606" t="s">
        <v>26116</v>
      </c>
      <c r="W3606" t="s">
        <v>26009</v>
      </c>
    </row>
    <row r="3607" spans="1:23" x14ac:dyDescent="0.35">
      <c r="A3607">
        <v>765019</v>
      </c>
      <c r="B3607" t="s">
        <v>38928</v>
      </c>
      <c r="C3607" t="str">
        <f>"9781855753198"</f>
        <v>9781855753198</v>
      </c>
      <c r="D3607" t="str">
        <f>"9781849405409"</f>
        <v>9781849405409</v>
      </c>
      <c r="E3607" t="s">
        <v>26010</v>
      </c>
      <c r="F3607" t="s">
        <v>35</v>
      </c>
      <c r="G3607" t="s">
        <v>22174</v>
      </c>
      <c r="H3607" t="s">
        <v>26011</v>
      </c>
      <c r="I3607" s="26">
        <v>38718</v>
      </c>
      <c r="J3607">
        <v>2006</v>
      </c>
      <c r="K3607" t="s">
        <v>26012</v>
      </c>
      <c r="L3607">
        <v>275</v>
      </c>
      <c r="M3607" t="s">
        <v>38887</v>
      </c>
      <c r="N3607">
        <v>1</v>
      </c>
      <c r="Q3607" t="s">
        <v>38929</v>
      </c>
      <c r="R3607">
        <v>302.35000000000002</v>
      </c>
      <c r="S3607" t="s">
        <v>38930</v>
      </c>
      <c r="T3607" t="s">
        <v>30</v>
      </c>
      <c r="U3607" t="s">
        <v>26228</v>
      </c>
      <c r="W3607" t="s">
        <v>26009</v>
      </c>
    </row>
    <row r="3608" spans="1:23" x14ac:dyDescent="0.35">
      <c r="A3608">
        <v>765020</v>
      </c>
      <c r="B3608" t="s">
        <v>38931</v>
      </c>
      <c r="C3608" t="str">
        <f>"9781855756977"</f>
        <v>9781855756977</v>
      </c>
      <c r="D3608" t="str">
        <f>"9781849408585"</f>
        <v>9781849408585</v>
      </c>
      <c r="E3608" t="s">
        <v>26010</v>
      </c>
      <c r="F3608" t="s">
        <v>35</v>
      </c>
      <c r="G3608" t="s">
        <v>22174</v>
      </c>
      <c r="H3608" t="s">
        <v>26011</v>
      </c>
      <c r="I3608" s="26">
        <v>40373</v>
      </c>
      <c r="J3608">
        <v>2010</v>
      </c>
      <c r="K3608" t="s">
        <v>26012</v>
      </c>
      <c r="L3608">
        <v>215</v>
      </c>
      <c r="M3608" t="s">
        <v>38932</v>
      </c>
      <c r="N3608">
        <v>1</v>
      </c>
      <c r="O3608" t="s">
        <v>36510</v>
      </c>
      <c r="Q3608" t="s">
        <v>38933</v>
      </c>
      <c r="R3608">
        <v>616.89139999999998</v>
      </c>
      <c r="S3608" t="s">
        <v>38934</v>
      </c>
      <c r="T3608" t="s">
        <v>30</v>
      </c>
      <c r="U3608" t="s">
        <v>26116</v>
      </c>
      <c r="W3608" t="s">
        <v>26009</v>
      </c>
    </row>
    <row r="3609" spans="1:23" x14ac:dyDescent="0.35">
      <c r="A3609">
        <v>765021</v>
      </c>
      <c r="B3609" t="s">
        <v>38935</v>
      </c>
      <c r="C3609" t="str">
        <f>"9781855752931"</f>
        <v>9781855752931</v>
      </c>
      <c r="D3609" t="str">
        <f>"9781849403580"</f>
        <v>9781849403580</v>
      </c>
      <c r="E3609" t="s">
        <v>26010</v>
      </c>
      <c r="F3609" t="s">
        <v>35</v>
      </c>
      <c r="G3609" t="s">
        <v>22174</v>
      </c>
      <c r="H3609" t="s">
        <v>26011</v>
      </c>
      <c r="I3609" s="26">
        <v>37488</v>
      </c>
      <c r="J3609">
        <v>2002</v>
      </c>
      <c r="K3609" t="s">
        <v>26012</v>
      </c>
      <c r="L3609">
        <v>304</v>
      </c>
      <c r="M3609" t="s">
        <v>38647</v>
      </c>
      <c r="N3609">
        <v>1</v>
      </c>
      <c r="Q3609" t="s">
        <v>38936</v>
      </c>
      <c r="R3609">
        <v>616.89</v>
      </c>
      <c r="S3609" t="s">
        <v>9845</v>
      </c>
      <c r="T3609" t="s">
        <v>30</v>
      </c>
      <c r="U3609" t="s">
        <v>26019</v>
      </c>
      <c r="W3609" t="s">
        <v>26009</v>
      </c>
    </row>
    <row r="3610" spans="1:23" x14ac:dyDescent="0.35">
      <c r="A3610">
        <v>765023</v>
      </c>
      <c r="B3610" t="s">
        <v>8454</v>
      </c>
      <c r="C3610" t="str">
        <f>"9781855755925"</f>
        <v>9781855755925</v>
      </c>
      <c r="D3610" t="str">
        <f>"9781849407298"</f>
        <v>9781849407298</v>
      </c>
      <c r="E3610" t="s">
        <v>26010</v>
      </c>
      <c r="F3610" t="s">
        <v>35</v>
      </c>
      <c r="G3610" t="s">
        <v>22174</v>
      </c>
      <c r="H3610" t="s">
        <v>26011</v>
      </c>
      <c r="I3610" s="26">
        <v>43465</v>
      </c>
      <c r="J3610">
        <v>2012</v>
      </c>
      <c r="K3610" t="s">
        <v>26012</v>
      </c>
      <c r="L3610">
        <v>222</v>
      </c>
      <c r="M3610" t="s">
        <v>38937</v>
      </c>
      <c r="N3610">
        <v>1</v>
      </c>
      <c r="O3610" t="s">
        <v>36805</v>
      </c>
      <c r="Q3610" t="s">
        <v>38938</v>
      </c>
      <c r="R3610">
        <v>150.1952</v>
      </c>
      <c r="S3610" t="s">
        <v>38939</v>
      </c>
      <c r="T3610" t="s">
        <v>30</v>
      </c>
      <c r="U3610" t="s">
        <v>46</v>
      </c>
      <c r="W3610" t="s">
        <v>26009</v>
      </c>
    </row>
    <row r="3611" spans="1:23" x14ac:dyDescent="0.35">
      <c r="A3611">
        <v>765029</v>
      </c>
      <c r="B3611" t="s">
        <v>7782</v>
      </c>
      <c r="C3611" t="str">
        <f>"9781855757288"</f>
        <v>9781855757288</v>
      </c>
      <c r="D3611" t="str">
        <f>"9781780493466"</f>
        <v>9781780493466</v>
      </c>
      <c r="E3611" t="s">
        <v>26010</v>
      </c>
      <c r="F3611" t="s">
        <v>35</v>
      </c>
      <c r="G3611" t="s">
        <v>22174</v>
      </c>
      <c r="H3611" t="s">
        <v>26011</v>
      </c>
      <c r="I3611" s="26">
        <v>40093</v>
      </c>
      <c r="J3611">
        <v>1997</v>
      </c>
      <c r="K3611" t="s">
        <v>26012</v>
      </c>
      <c r="L3611">
        <v>238</v>
      </c>
      <c r="M3611" t="s">
        <v>38940</v>
      </c>
      <c r="N3611">
        <v>1</v>
      </c>
      <c r="Q3611" t="s">
        <v>38941</v>
      </c>
      <c r="R3611" t="s">
        <v>27122</v>
      </c>
      <c r="S3611" t="s">
        <v>38942</v>
      </c>
      <c r="T3611" t="s">
        <v>30</v>
      </c>
      <c r="U3611" t="s">
        <v>26019</v>
      </c>
      <c r="W3611" t="s">
        <v>26009</v>
      </c>
    </row>
    <row r="3612" spans="1:23" x14ac:dyDescent="0.35">
      <c r="A3612">
        <v>765032</v>
      </c>
      <c r="B3612" t="s">
        <v>38943</v>
      </c>
      <c r="C3612" t="str">
        <f>"9781855754454"</f>
        <v>9781855754454</v>
      </c>
      <c r="D3612" t="str">
        <f>"9781849405140"</f>
        <v>9781849405140</v>
      </c>
      <c r="E3612" t="s">
        <v>26010</v>
      </c>
      <c r="F3612" t="s">
        <v>35</v>
      </c>
      <c r="G3612" t="s">
        <v>22174</v>
      </c>
      <c r="H3612" t="s">
        <v>26011</v>
      </c>
      <c r="I3612" s="26">
        <v>39003</v>
      </c>
      <c r="J3612">
        <v>2006</v>
      </c>
      <c r="K3612" t="s">
        <v>26012</v>
      </c>
      <c r="L3612">
        <v>221</v>
      </c>
      <c r="M3612" t="s">
        <v>38944</v>
      </c>
      <c r="N3612">
        <v>1</v>
      </c>
      <c r="Q3612" t="s">
        <v>38945</v>
      </c>
      <c r="R3612">
        <v>150.19499999999999</v>
      </c>
      <c r="S3612" t="s">
        <v>38946</v>
      </c>
      <c r="T3612" t="s">
        <v>30</v>
      </c>
      <c r="U3612" t="s">
        <v>46</v>
      </c>
      <c r="W3612" t="s">
        <v>26009</v>
      </c>
    </row>
    <row r="3613" spans="1:23" x14ac:dyDescent="0.35">
      <c r="A3613">
        <v>765033</v>
      </c>
      <c r="B3613" t="s">
        <v>38947</v>
      </c>
      <c r="C3613" t="str">
        <f>"9781855756793"</f>
        <v>9781855756793</v>
      </c>
      <c r="D3613" t="str">
        <f>"9781780494272"</f>
        <v>9781780494272</v>
      </c>
      <c r="E3613" t="s">
        <v>26010</v>
      </c>
      <c r="F3613" t="s">
        <v>35</v>
      </c>
      <c r="G3613" t="s">
        <v>22174</v>
      </c>
      <c r="H3613" t="s">
        <v>26011</v>
      </c>
      <c r="I3613" s="26">
        <v>39793</v>
      </c>
      <c r="J3613">
        <v>2008</v>
      </c>
      <c r="K3613" t="s">
        <v>26012</v>
      </c>
      <c r="L3613">
        <v>331</v>
      </c>
      <c r="M3613" t="s">
        <v>38948</v>
      </c>
      <c r="N3613">
        <v>1</v>
      </c>
      <c r="Q3613" t="s">
        <v>38949</v>
      </c>
      <c r="R3613" t="s">
        <v>26308</v>
      </c>
      <c r="S3613" t="s">
        <v>38950</v>
      </c>
      <c r="T3613" t="s">
        <v>30</v>
      </c>
      <c r="U3613" t="s">
        <v>46</v>
      </c>
      <c r="W3613" t="s">
        <v>26009</v>
      </c>
    </row>
    <row r="3614" spans="1:23" x14ac:dyDescent="0.35">
      <c r="A3614">
        <v>765035</v>
      </c>
      <c r="B3614" t="s">
        <v>38951</v>
      </c>
      <c r="C3614" t="str">
        <f>"9781855755871"</f>
        <v>9781855755871</v>
      </c>
      <c r="D3614" t="str">
        <f>"9781780492032"</f>
        <v>9781780492032</v>
      </c>
      <c r="E3614" t="s">
        <v>26010</v>
      </c>
      <c r="F3614" t="s">
        <v>35</v>
      </c>
      <c r="G3614" t="s">
        <v>22174</v>
      </c>
      <c r="H3614" t="s">
        <v>26011</v>
      </c>
      <c r="I3614" s="26">
        <v>41214</v>
      </c>
      <c r="J3614">
        <v>2012</v>
      </c>
      <c r="K3614" t="s">
        <v>26012</v>
      </c>
      <c r="L3614">
        <v>225</v>
      </c>
      <c r="M3614" t="s">
        <v>38952</v>
      </c>
      <c r="N3614">
        <v>1</v>
      </c>
      <c r="O3614" t="s">
        <v>8150</v>
      </c>
      <c r="Q3614" t="s">
        <v>38953</v>
      </c>
      <c r="R3614">
        <v>150.19499999999999</v>
      </c>
      <c r="S3614" t="s">
        <v>36663</v>
      </c>
      <c r="T3614" t="s">
        <v>30</v>
      </c>
      <c r="U3614" t="s">
        <v>26019</v>
      </c>
      <c r="W3614" t="s">
        <v>26009</v>
      </c>
    </row>
    <row r="3615" spans="1:23" x14ac:dyDescent="0.35">
      <c r="A3615">
        <v>765041</v>
      </c>
      <c r="B3615" t="s">
        <v>7584</v>
      </c>
      <c r="C3615" t="str">
        <f>"9781855753228"</f>
        <v>9781855753228</v>
      </c>
      <c r="D3615" t="str">
        <f>"9781780497600"</f>
        <v>9781780497600</v>
      </c>
      <c r="E3615" t="s">
        <v>26010</v>
      </c>
      <c r="F3615" t="s">
        <v>35</v>
      </c>
      <c r="G3615" t="s">
        <v>22174</v>
      </c>
      <c r="H3615" t="s">
        <v>26011</v>
      </c>
      <c r="I3615" s="26">
        <v>36891</v>
      </c>
      <c r="J3615">
        <v>1997</v>
      </c>
      <c r="K3615" t="s">
        <v>26012</v>
      </c>
      <c r="L3615">
        <v>191</v>
      </c>
      <c r="M3615" t="s">
        <v>38954</v>
      </c>
      <c r="N3615">
        <v>1</v>
      </c>
      <c r="O3615" t="s">
        <v>36500</v>
      </c>
      <c r="Q3615" t="s">
        <v>38955</v>
      </c>
      <c r="R3615">
        <v>618.92891399999996</v>
      </c>
      <c r="S3615" t="s">
        <v>38956</v>
      </c>
      <c r="T3615" t="s">
        <v>30</v>
      </c>
      <c r="U3615" t="s">
        <v>26116</v>
      </c>
      <c r="W3615" t="s">
        <v>26009</v>
      </c>
    </row>
    <row r="3616" spans="1:23" x14ac:dyDescent="0.35">
      <c r="A3616">
        <v>765049</v>
      </c>
      <c r="B3616" t="s">
        <v>10099</v>
      </c>
      <c r="C3616" t="str">
        <f>"9781855757790"</f>
        <v>9781855757790</v>
      </c>
      <c r="D3616" t="str">
        <f>"9781849407588"</f>
        <v>9781849407588</v>
      </c>
      <c r="E3616" t="s">
        <v>26010</v>
      </c>
      <c r="F3616" t="s">
        <v>35</v>
      </c>
      <c r="G3616" t="s">
        <v>22174</v>
      </c>
      <c r="H3616" t="s">
        <v>26011</v>
      </c>
      <c r="I3616" s="26">
        <v>41274</v>
      </c>
      <c r="J3616">
        <v>2012</v>
      </c>
      <c r="K3616" t="s">
        <v>26012</v>
      </c>
      <c r="L3616">
        <v>337</v>
      </c>
      <c r="M3616" t="s">
        <v>38957</v>
      </c>
      <c r="N3616">
        <v>1</v>
      </c>
      <c r="O3616" t="s">
        <v>36539</v>
      </c>
      <c r="Q3616" t="s">
        <v>38958</v>
      </c>
      <c r="R3616">
        <v>616.89152000000001</v>
      </c>
      <c r="S3616" t="s">
        <v>38959</v>
      </c>
      <c r="T3616" t="s">
        <v>30</v>
      </c>
      <c r="U3616" t="s">
        <v>26116</v>
      </c>
      <c r="W3616" t="s">
        <v>26009</v>
      </c>
    </row>
    <row r="3617" spans="1:23" x14ac:dyDescent="0.35">
      <c r="A3617">
        <v>766045</v>
      </c>
      <c r="B3617" t="s">
        <v>38960</v>
      </c>
      <c r="C3617" t="str">
        <f>"9781846841712"</f>
        <v>9781846841712</v>
      </c>
      <c r="D3617" t="str">
        <f>"9781441154118"</f>
        <v>9781441154118</v>
      </c>
      <c r="E3617" t="s">
        <v>31671</v>
      </c>
      <c r="F3617" t="s">
        <v>7760</v>
      </c>
      <c r="G3617" t="s">
        <v>22174</v>
      </c>
      <c r="H3617" t="s">
        <v>26011</v>
      </c>
      <c r="I3617" s="26">
        <v>39543</v>
      </c>
      <c r="J3617">
        <v>2008</v>
      </c>
      <c r="K3617" t="s">
        <v>33338</v>
      </c>
      <c r="L3617">
        <v>181</v>
      </c>
      <c r="M3617" t="s">
        <v>38961</v>
      </c>
      <c r="N3617">
        <v>1</v>
      </c>
      <c r="O3617" t="s">
        <v>38962</v>
      </c>
      <c r="Q3617" t="s">
        <v>38963</v>
      </c>
      <c r="R3617" t="s">
        <v>26700</v>
      </c>
      <c r="S3617" t="s">
        <v>38964</v>
      </c>
      <c r="T3617" t="s">
        <v>30</v>
      </c>
      <c r="U3617" t="s">
        <v>29688</v>
      </c>
      <c r="W3617" t="s">
        <v>28347</v>
      </c>
    </row>
    <row r="3618" spans="1:23" x14ac:dyDescent="0.35">
      <c r="A3618">
        <v>767120</v>
      </c>
      <c r="B3618" t="s">
        <v>8106</v>
      </c>
      <c r="C3618" t="str">
        <f>"9780748642601"</f>
        <v>9780748642601</v>
      </c>
      <c r="D3618" t="str">
        <f>"9780748647514"</f>
        <v>9780748647514</v>
      </c>
      <c r="E3618" t="s">
        <v>8107</v>
      </c>
      <c r="F3618" t="s">
        <v>8107</v>
      </c>
      <c r="G3618" t="s">
        <v>24494</v>
      </c>
      <c r="H3618" t="s">
        <v>26011</v>
      </c>
      <c r="I3618" s="26">
        <v>40731</v>
      </c>
      <c r="J3618">
        <v>2011</v>
      </c>
      <c r="K3618" t="s">
        <v>8107</v>
      </c>
      <c r="L3618">
        <v>257</v>
      </c>
      <c r="M3618" t="s">
        <v>38965</v>
      </c>
      <c r="N3618">
        <v>1</v>
      </c>
      <c r="O3618" t="s">
        <v>38966</v>
      </c>
      <c r="Q3618" t="s">
        <v>38967</v>
      </c>
      <c r="R3618">
        <v>194</v>
      </c>
      <c r="S3618" t="s">
        <v>38968</v>
      </c>
      <c r="T3618" t="s">
        <v>30</v>
      </c>
      <c r="U3618" t="s">
        <v>32350</v>
      </c>
      <c r="W3618" t="s">
        <v>26009</v>
      </c>
    </row>
    <row r="3619" spans="1:23" x14ac:dyDescent="0.35">
      <c r="A3619">
        <v>767283</v>
      </c>
      <c r="B3619" t="s">
        <v>38969</v>
      </c>
      <c r="C3619" t="str">
        <f>"9781442211155"</f>
        <v>9781442211155</v>
      </c>
      <c r="D3619" t="str">
        <f>"9781442211179"</f>
        <v>9781442211179</v>
      </c>
      <c r="E3619" t="s">
        <v>33803</v>
      </c>
      <c r="F3619" t="s">
        <v>38</v>
      </c>
      <c r="G3619" t="s">
        <v>22286</v>
      </c>
      <c r="H3619" t="s">
        <v>26004</v>
      </c>
      <c r="I3619" s="26">
        <v>40808</v>
      </c>
      <c r="J3619">
        <v>2011</v>
      </c>
      <c r="K3619" t="s">
        <v>38</v>
      </c>
      <c r="L3619">
        <v>156</v>
      </c>
      <c r="M3619" t="s">
        <v>38970</v>
      </c>
      <c r="N3619">
        <v>1</v>
      </c>
      <c r="Q3619" t="s">
        <v>38971</v>
      </c>
      <c r="R3619" t="s">
        <v>38972</v>
      </c>
      <c r="S3619" t="s">
        <v>38973</v>
      </c>
      <c r="T3619" t="s">
        <v>30</v>
      </c>
      <c r="U3619" t="s">
        <v>26040</v>
      </c>
      <c r="W3619" t="s">
        <v>26009</v>
      </c>
    </row>
    <row r="3620" spans="1:23" x14ac:dyDescent="0.35">
      <c r="A3620">
        <v>767832</v>
      </c>
      <c r="B3620" t="s">
        <v>38974</v>
      </c>
      <c r="C3620" t="str">
        <f>"9781853029523"</f>
        <v>9781853029523</v>
      </c>
      <c r="D3620" t="str">
        <f>"9781846422195"</f>
        <v>9781846422195</v>
      </c>
      <c r="E3620" t="s">
        <v>146</v>
      </c>
      <c r="F3620" t="s">
        <v>146</v>
      </c>
      <c r="G3620" t="s">
        <v>22174</v>
      </c>
      <c r="H3620" t="s">
        <v>26011</v>
      </c>
      <c r="I3620" s="26">
        <v>36965</v>
      </c>
      <c r="J3620">
        <v>2001</v>
      </c>
      <c r="K3620" t="s">
        <v>146</v>
      </c>
      <c r="L3620">
        <v>271</v>
      </c>
      <c r="M3620" t="s">
        <v>38975</v>
      </c>
      <c r="N3620">
        <v>1</v>
      </c>
      <c r="O3620" t="s">
        <v>38976</v>
      </c>
      <c r="P3620">
        <v>20010315</v>
      </c>
      <c r="Q3620" t="s">
        <v>22174</v>
      </c>
      <c r="T3620" t="s">
        <v>30</v>
      </c>
      <c r="U3620" t="s">
        <v>38977</v>
      </c>
      <c r="W3620" t="s">
        <v>28347</v>
      </c>
    </row>
    <row r="3621" spans="1:23" x14ac:dyDescent="0.35">
      <c r="A3621">
        <v>769397</v>
      </c>
      <c r="B3621" t="s">
        <v>38978</v>
      </c>
      <c r="C3621" t="str">
        <f>""</f>
        <v/>
      </c>
      <c r="D3621" t="str">
        <f>"9780857451903"</f>
        <v>9780857451903</v>
      </c>
      <c r="E3621" t="s">
        <v>34636</v>
      </c>
      <c r="F3621" t="s">
        <v>7472</v>
      </c>
      <c r="G3621" t="s">
        <v>31126</v>
      </c>
      <c r="H3621" t="s">
        <v>26004</v>
      </c>
      <c r="I3621" s="26">
        <v>40756</v>
      </c>
      <c r="J3621">
        <v>2011</v>
      </c>
      <c r="K3621" t="s">
        <v>7472</v>
      </c>
      <c r="L3621">
        <v>386</v>
      </c>
      <c r="M3621" t="s">
        <v>38979</v>
      </c>
      <c r="N3621">
        <v>1</v>
      </c>
      <c r="O3621" t="s">
        <v>38980</v>
      </c>
      <c r="P3621">
        <v>12</v>
      </c>
      <c r="Q3621" t="s">
        <v>38981</v>
      </c>
      <c r="R3621" t="s">
        <v>38982</v>
      </c>
      <c r="S3621" t="s">
        <v>38983</v>
      </c>
      <c r="T3621" t="s">
        <v>30</v>
      </c>
      <c r="U3621" t="s">
        <v>26044</v>
      </c>
      <c r="W3621" t="s">
        <v>26009</v>
      </c>
    </row>
    <row r="3622" spans="1:23" x14ac:dyDescent="0.35">
      <c r="A3622">
        <v>769401</v>
      </c>
      <c r="B3622" t="s">
        <v>38984</v>
      </c>
      <c r="C3622" t="str">
        <f>""</f>
        <v/>
      </c>
      <c r="D3622" t="str">
        <f>"9780857450456"</f>
        <v>9780857450456</v>
      </c>
      <c r="E3622" t="s">
        <v>34636</v>
      </c>
      <c r="F3622" t="s">
        <v>7472</v>
      </c>
      <c r="G3622" t="s">
        <v>31126</v>
      </c>
      <c r="H3622" t="s">
        <v>26004</v>
      </c>
      <c r="I3622" s="26">
        <v>39661</v>
      </c>
      <c r="J3622">
        <v>2008</v>
      </c>
      <c r="K3622" t="s">
        <v>7472</v>
      </c>
      <c r="L3622">
        <v>194</v>
      </c>
      <c r="M3622" t="s">
        <v>38985</v>
      </c>
      <c r="N3622">
        <v>1</v>
      </c>
      <c r="Q3622" t="s">
        <v>38986</v>
      </c>
      <c r="S3622" t="s">
        <v>38987</v>
      </c>
      <c r="T3622" t="s">
        <v>30</v>
      </c>
      <c r="U3622" t="s">
        <v>26044</v>
      </c>
      <c r="W3622" t="s">
        <v>26009</v>
      </c>
    </row>
    <row r="3623" spans="1:23" x14ac:dyDescent="0.35">
      <c r="A3623">
        <v>769732</v>
      </c>
      <c r="B3623" t="s">
        <v>38988</v>
      </c>
      <c r="C3623" t="str">
        <f>"9781780490038"</f>
        <v>9781780490038</v>
      </c>
      <c r="D3623" t="str">
        <f>"9781849409292"</f>
        <v>9781849409292</v>
      </c>
      <c r="E3623" t="s">
        <v>26010</v>
      </c>
      <c r="F3623" t="s">
        <v>35</v>
      </c>
      <c r="G3623" t="s">
        <v>22174</v>
      </c>
      <c r="H3623" t="s">
        <v>26011</v>
      </c>
      <c r="I3623" s="26">
        <v>40908</v>
      </c>
      <c r="J3623">
        <v>2011</v>
      </c>
      <c r="K3623" t="s">
        <v>26012</v>
      </c>
      <c r="L3623">
        <v>241</v>
      </c>
      <c r="M3623" t="s">
        <v>38989</v>
      </c>
      <c r="N3623">
        <v>1</v>
      </c>
      <c r="O3623" t="s">
        <v>36500</v>
      </c>
      <c r="Q3623" t="s">
        <v>38990</v>
      </c>
      <c r="R3623">
        <v>370.15</v>
      </c>
      <c r="S3623" t="s">
        <v>38991</v>
      </c>
      <c r="T3623" t="s">
        <v>30</v>
      </c>
      <c r="U3623" t="s">
        <v>30253</v>
      </c>
      <c r="W3623" t="s">
        <v>26009</v>
      </c>
    </row>
    <row r="3624" spans="1:23" x14ac:dyDescent="0.35">
      <c r="A3624">
        <v>769830</v>
      </c>
      <c r="B3624" t="s">
        <v>38992</v>
      </c>
      <c r="C3624" t="str">
        <f>"9781742231006"</f>
        <v>9781742231006</v>
      </c>
      <c r="D3624" t="str">
        <f>"9781742245492"</f>
        <v>9781742245492</v>
      </c>
      <c r="E3624" t="s">
        <v>27422</v>
      </c>
      <c r="F3624" t="s">
        <v>9013</v>
      </c>
      <c r="G3624" t="s">
        <v>22522</v>
      </c>
      <c r="H3624" t="s">
        <v>26004</v>
      </c>
      <c r="I3624" s="26">
        <v>40575</v>
      </c>
      <c r="J3624">
        <v>2011</v>
      </c>
      <c r="K3624" t="s">
        <v>38993</v>
      </c>
      <c r="L3624">
        <v>225</v>
      </c>
      <c r="M3624" t="s">
        <v>38994</v>
      </c>
      <c r="Q3624" t="s">
        <v>38995</v>
      </c>
      <c r="R3624">
        <v>305.3</v>
      </c>
      <c r="S3624" t="s">
        <v>38996</v>
      </c>
      <c r="T3624" t="s">
        <v>30</v>
      </c>
      <c r="U3624" t="s">
        <v>26044</v>
      </c>
      <c r="W3624" t="s">
        <v>38997</v>
      </c>
    </row>
    <row r="3625" spans="1:23" x14ac:dyDescent="0.35">
      <c r="A3625">
        <v>771387</v>
      </c>
      <c r="B3625" t="s">
        <v>8965</v>
      </c>
      <c r="C3625" t="str">
        <f>"9780335238439"</f>
        <v>9780335238439</v>
      </c>
      <c r="D3625" t="str">
        <f>"9780335238446"</f>
        <v>9780335238446</v>
      </c>
      <c r="E3625" t="s">
        <v>29061</v>
      </c>
      <c r="F3625" t="s">
        <v>7477</v>
      </c>
      <c r="G3625" t="s">
        <v>29068</v>
      </c>
      <c r="H3625" t="s">
        <v>26011</v>
      </c>
      <c r="I3625" s="26">
        <v>40299</v>
      </c>
      <c r="J3625">
        <v>2010</v>
      </c>
      <c r="K3625" t="s">
        <v>29063</v>
      </c>
      <c r="L3625">
        <v>537</v>
      </c>
      <c r="M3625" t="s">
        <v>38998</v>
      </c>
      <c r="N3625">
        <v>2</v>
      </c>
      <c r="O3625" t="s">
        <v>29065</v>
      </c>
      <c r="S3625" t="s">
        <v>38999</v>
      </c>
      <c r="T3625" t="s">
        <v>30</v>
      </c>
      <c r="U3625" t="s">
        <v>29134</v>
      </c>
      <c r="W3625" t="s">
        <v>26009</v>
      </c>
    </row>
    <row r="3626" spans="1:23" x14ac:dyDescent="0.35">
      <c r="A3626">
        <v>772012</v>
      </c>
      <c r="B3626" t="s">
        <v>39000</v>
      </c>
      <c r="C3626" t="str">
        <f>"9781906876005"</f>
        <v>9781906876005</v>
      </c>
      <c r="D3626" t="str">
        <f>"9789004213029"</f>
        <v>9789004213029</v>
      </c>
      <c r="E3626" t="s">
        <v>4602</v>
      </c>
      <c r="F3626" t="s">
        <v>27</v>
      </c>
      <c r="G3626" t="s">
        <v>22231</v>
      </c>
      <c r="H3626" t="s">
        <v>26004</v>
      </c>
      <c r="I3626" s="26">
        <v>39995</v>
      </c>
      <c r="J3626">
        <v>2009</v>
      </c>
      <c r="K3626" t="s">
        <v>39001</v>
      </c>
      <c r="L3626">
        <v>198</v>
      </c>
      <c r="M3626" t="s">
        <v>39002</v>
      </c>
      <c r="N3626">
        <v>1</v>
      </c>
      <c r="R3626">
        <v>362.20952</v>
      </c>
      <c r="S3626" t="s">
        <v>9096</v>
      </c>
      <c r="T3626" t="s">
        <v>30</v>
      </c>
      <c r="U3626" t="s">
        <v>26094</v>
      </c>
      <c r="W3626" t="s">
        <v>26009</v>
      </c>
    </row>
    <row r="3627" spans="1:23" x14ac:dyDescent="0.35">
      <c r="A3627">
        <v>773549</v>
      </c>
      <c r="B3627" t="s">
        <v>39003</v>
      </c>
      <c r="C3627" t="str">
        <f>"9781780490045"</f>
        <v>9781780490045</v>
      </c>
      <c r="D3627" t="str">
        <f>"9781849409308"</f>
        <v>9781849409308</v>
      </c>
      <c r="E3627" t="s">
        <v>26010</v>
      </c>
      <c r="F3627" t="s">
        <v>35</v>
      </c>
      <c r="G3627" t="s">
        <v>22174</v>
      </c>
      <c r="H3627" t="s">
        <v>26011</v>
      </c>
      <c r="I3627" s="26">
        <v>41274</v>
      </c>
      <c r="J3627">
        <v>2012</v>
      </c>
      <c r="K3627" t="s">
        <v>26012</v>
      </c>
      <c r="L3627">
        <v>321</v>
      </c>
      <c r="M3627" t="s">
        <v>39004</v>
      </c>
      <c r="N3627">
        <v>1</v>
      </c>
      <c r="O3627" t="s">
        <v>36500</v>
      </c>
      <c r="Q3627" t="s">
        <v>39005</v>
      </c>
      <c r="R3627">
        <v>618.92852706509996</v>
      </c>
      <c r="S3627" t="s">
        <v>39006</v>
      </c>
      <c r="T3627" t="s">
        <v>30</v>
      </c>
      <c r="U3627" t="s">
        <v>26116</v>
      </c>
      <c r="W3627" t="s">
        <v>26009</v>
      </c>
    </row>
    <row r="3628" spans="1:23" x14ac:dyDescent="0.35">
      <c r="A3628">
        <v>773550</v>
      </c>
      <c r="B3628" t="s">
        <v>39007</v>
      </c>
      <c r="C3628" t="str">
        <f>"9781855758773"</f>
        <v>9781855758773</v>
      </c>
      <c r="D3628" t="str">
        <f>"9781849409315"</f>
        <v>9781849409315</v>
      </c>
      <c r="E3628" t="s">
        <v>26010</v>
      </c>
      <c r="F3628" t="s">
        <v>35</v>
      </c>
      <c r="G3628" t="s">
        <v>26128</v>
      </c>
      <c r="H3628" t="s">
        <v>26011</v>
      </c>
      <c r="I3628" s="26">
        <v>40908</v>
      </c>
      <c r="J3628">
        <v>2011</v>
      </c>
      <c r="K3628" t="s">
        <v>26012</v>
      </c>
      <c r="L3628">
        <v>353</v>
      </c>
      <c r="M3628" t="s">
        <v>36938</v>
      </c>
      <c r="N3628">
        <v>1</v>
      </c>
      <c r="S3628" t="s">
        <v>8213</v>
      </c>
      <c r="T3628" t="s">
        <v>30</v>
      </c>
      <c r="U3628" t="s">
        <v>46</v>
      </c>
      <c r="W3628" t="s">
        <v>26009</v>
      </c>
    </row>
    <row r="3629" spans="1:23" x14ac:dyDescent="0.35">
      <c r="A3629">
        <v>775036</v>
      </c>
      <c r="B3629" t="s">
        <v>39008</v>
      </c>
      <c r="C3629" t="str">
        <f>"9780521768467"</f>
        <v>9780521768467</v>
      </c>
      <c r="D3629" t="str">
        <f>"9781139114950"</f>
        <v>9781139114950</v>
      </c>
      <c r="E3629" t="s">
        <v>167</v>
      </c>
      <c r="F3629" t="s">
        <v>167</v>
      </c>
      <c r="G3629" t="s">
        <v>22179</v>
      </c>
      <c r="H3629" t="s">
        <v>26004</v>
      </c>
      <c r="I3629" s="26">
        <v>40805</v>
      </c>
      <c r="J3629">
        <v>2011</v>
      </c>
      <c r="K3629" t="s">
        <v>167</v>
      </c>
      <c r="L3629">
        <v>230</v>
      </c>
      <c r="M3629" t="s">
        <v>39009</v>
      </c>
      <c r="N3629">
        <v>1</v>
      </c>
      <c r="O3629" t="s">
        <v>39010</v>
      </c>
      <c r="P3629">
        <v>38</v>
      </c>
      <c r="Q3629" t="s">
        <v>39011</v>
      </c>
      <c r="R3629">
        <v>155.5</v>
      </c>
      <c r="S3629" t="s">
        <v>39012</v>
      </c>
      <c r="T3629" t="s">
        <v>30</v>
      </c>
      <c r="U3629" t="s">
        <v>46</v>
      </c>
      <c r="W3629" t="s">
        <v>26020</v>
      </c>
    </row>
    <row r="3630" spans="1:23" x14ac:dyDescent="0.35">
      <c r="A3630">
        <v>775303</v>
      </c>
      <c r="B3630" t="s">
        <v>39013</v>
      </c>
      <c r="C3630" t="str">
        <f>"9780807835067"</f>
        <v>9780807835067</v>
      </c>
      <c r="D3630" t="str">
        <f>"9780807869239"</f>
        <v>9780807869239</v>
      </c>
      <c r="E3630" t="s">
        <v>31948</v>
      </c>
      <c r="F3630" t="s">
        <v>2866</v>
      </c>
      <c r="G3630" t="s">
        <v>23742</v>
      </c>
      <c r="H3630" t="s">
        <v>26004</v>
      </c>
      <c r="I3630" s="26">
        <v>40798</v>
      </c>
      <c r="J3630">
        <v>2011</v>
      </c>
      <c r="K3630" t="s">
        <v>2866</v>
      </c>
      <c r="L3630">
        <v>445</v>
      </c>
      <c r="M3630" t="s">
        <v>39014</v>
      </c>
      <c r="N3630">
        <v>1</v>
      </c>
      <c r="Q3630" t="s">
        <v>39015</v>
      </c>
      <c r="R3630" t="s">
        <v>39016</v>
      </c>
      <c r="S3630" t="s">
        <v>39017</v>
      </c>
      <c r="T3630" t="s">
        <v>30</v>
      </c>
      <c r="U3630" t="s">
        <v>26094</v>
      </c>
      <c r="W3630" t="s">
        <v>26009</v>
      </c>
    </row>
    <row r="3631" spans="1:23" x14ac:dyDescent="0.35">
      <c r="A3631">
        <v>775378</v>
      </c>
      <c r="B3631" t="s">
        <v>39018</v>
      </c>
      <c r="C3631" t="str">
        <f>"9781907284748"</f>
        <v>9781907284748</v>
      </c>
      <c r="D3631" t="str">
        <f>"9781908062192"</f>
        <v>9781908062192</v>
      </c>
      <c r="E3631" t="s">
        <v>39019</v>
      </c>
      <c r="F3631" t="s">
        <v>9938</v>
      </c>
      <c r="G3631" t="s">
        <v>23303</v>
      </c>
      <c r="H3631" t="s">
        <v>26004</v>
      </c>
      <c r="I3631" s="26">
        <v>40597</v>
      </c>
      <c r="J3631">
        <v>2011</v>
      </c>
      <c r="K3631" t="s">
        <v>9938</v>
      </c>
      <c r="L3631">
        <v>355</v>
      </c>
      <c r="M3631" t="s">
        <v>39020</v>
      </c>
      <c r="N3631">
        <v>1</v>
      </c>
      <c r="R3631">
        <v>616.89800920000005</v>
      </c>
      <c r="S3631" t="s">
        <v>8791</v>
      </c>
      <c r="T3631" t="s">
        <v>30</v>
      </c>
      <c r="U3631" t="s">
        <v>26040</v>
      </c>
      <c r="W3631" t="s">
        <v>39021</v>
      </c>
    </row>
    <row r="3632" spans="1:23" x14ac:dyDescent="0.35">
      <c r="A3632">
        <v>775971</v>
      </c>
      <c r="B3632" t="s">
        <v>8689</v>
      </c>
      <c r="C3632" t="str">
        <f>"9780826108784"</f>
        <v>9780826108784</v>
      </c>
      <c r="D3632" t="str">
        <f>"9780826108791"</f>
        <v>9780826108791</v>
      </c>
      <c r="E3632" t="s">
        <v>1504</v>
      </c>
      <c r="F3632" t="s">
        <v>33</v>
      </c>
      <c r="G3632" t="s">
        <v>22179</v>
      </c>
      <c r="H3632" t="s">
        <v>26004</v>
      </c>
      <c r="I3632" s="26">
        <v>40664</v>
      </c>
      <c r="J3632">
        <v>2011</v>
      </c>
      <c r="K3632" t="s">
        <v>33</v>
      </c>
      <c r="L3632">
        <v>272</v>
      </c>
      <c r="M3632" t="s">
        <v>39022</v>
      </c>
      <c r="N3632">
        <v>1</v>
      </c>
      <c r="Q3632" t="s">
        <v>39023</v>
      </c>
      <c r="S3632" t="s">
        <v>39024</v>
      </c>
      <c r="T3632" t="s">
        <v>30</v>
      </c>
      <c r="U3632" t="s">
        <v>46</v>
      </c>
      <c r="W3632" t="s">
        <v>26009</v>
      </c>
    </row>
    <row r="3633" spans="1:23" x14ac:dyDescent="0.35">
      <c r="A3633">
        <v>775973</v>
      </c>
      <c r="B3633" t="s">
        <v>39025</v>
      </c>
      <c r="C3633" t="str">
        <f>"9780826124159"</f>
        <v>9780826124159</v>
      </c>
      <c r="D3633" t="str">
        <f>"9780826124166"</f>
        <v>9780826124166</v>
      </c>
      <c r="E3633" t="s">
        <v>1504</v>
      </c>
      <c r="F3633" t="s">
        <v>33</v>
      </c>
      <c r="G3633" t="s">
        <v>22179</v>
      </c>
      <c r="H3633" t="s">
        <v>26004</v>
      </c>
      <c r="I3633" s="26">
        <v>40787</v>
      </c>
      <c r="J3633">
        <v>2012</v>
      </c>
      <c r="K3633" t="s">
        <v>33</v>
      </c>
      <c r="L3633">
        <v>259</v>
      </c>
      <c r="M3633" t="s">
        <v>39026</v>
      </c>
      <c r="N3633">
        <v>1</v>
      </c>
      <c r="Q3633" t="s">
        <v>39027</v>
      </c>
      <c r="R3633">
        <v>618.92858220000005</v>
      </c>
      <c r="S3633" t="s">
        <v>39028</v>
      </c>
      <c r="T3633" t="s">
        <v>30</v>
      </c>
      <c r="U3633" t="s">
        <v>26040</v>
      </c>
      <c r="W3633" t="s">
        <v>26009</v>
      </c>
    </row>
    <row r="3634" spans="1:23" x14ac:dyDescent="0.35">
      <c r="A3634">
        <v>776047</v>
      </c>
      <c r="B3634" t="s">
        <v>39029</v>
      </c>
      <c r="C3634" t="str">
        <f>"9781572246942"</f>
        <v>9781572246942</v>
      </c>
      <c r="D3634" t="str">
        <f>"9781608822638"</f>
        <v>9781608822638</v>
      </c>
      <c r="E3634" t="s">
        <v>7424</v>
      </c>
      <c r="F3634" t="s">
        <v>7419</v>
      </c>
      <c r="G3634" t="s">
        <v>23047</v>
      </c>
      <c r="H3634" t="s">
        <v>26004</v>
      </c>
      <c r="I3634" s="26">
        <v>40299</v>
      </c>
      <c r="J3634">
        <v>2010</v>
      </c>
      <c r="K3634" t="s">
        <v>7419</v>
      </c>
      <c r="L3634">
        <v>330</v>
      </c>
      <c r="M3634" t="s">
        <v>39030</v>
      </c>
      <c r="N3634">
        <v>1</v>
      </c>
      <c r="O3634" t="s">
        <v>39031</v>
      </c>
      <c r="Q3634" t="s">
        <v>39032</v>
      </c>
      <c r="R3634" t="s">
        <v>33588</v>
      </c>
      <c r="S3634" t="s">
        <v>7582</v>
      </c>
      <c r="T3634" t="s">
        <v>30</v>
      </c>
      <c r="U3634" t="s">
        <v>26019</v>
      </c>
      <c r="W3634" t="s">
        <v>26009</v>
      </c>
    </row>
    <row r="3635" spans="1:23" x14ac:dyDescent="0.35">
      <c r="A3635">
        <v>776103</v>
      </c>
      <c r="B3635" t="s">
        <v>39033</v>
      </c>
      <c r="C3635" t="str">
        <f>"9781608824342"</f>
        <v>9781608824342</v>
      </c>
      <c r="D3635" t="str">
        <f>"9781608824366"</f>
        <v>9781608824366</v>
      </c>
      <c r="E3635" t="s">
        <v>7424</v>
      </c>
      <c r="F3635" t="s">
        <v>7419</v>
      </c>
      <c r="G3635" t="s">
        <v>23047</v>
      </c>
      <c r="H3635" t="s">
        <v>26004</v>
      </c>
      <c r="I3635" s="26">
        <v>40725</v>
      </c>
      <c r="J3635">
        <v>2008</v>
      </c>
      <c r="K3635" t="s">
        <v>7419</v>
      </c>
      <c r="L3635">
        <v>230</v>
      </c>
      <c r="M3635" t="s">
        <v>39034</v>
      </c>
      <c r="N3635">
        <v>1</v>
      </c>
      <c r="Q3635" t="s">
        <v>39035</v>
      </c>
      <c r="R3635">
        <v>616.89</v>
      </c>
      <c r="S3635" t="s">
        <v>39036</v>
      </c>
      <c r="T3635" t="s">
        <v>30</v>
      </c>
      <c r="U3635" t="s">
        <v>26019</v>
      </c>
      <c r="W3635" t="s">
        <v>26009</v>
      </c>
    </row>
    <row r="3636" spans="1:23" x14ac:dyDescent="0.35">
      <c r="A3636">
        <v>776134</v>
      </c>
      <c r="B3636" t="s">
        <v>39037</v>
      </c>
      <c r="C3636" t="str">
        <f>"9781572244252"</f>
        <v>9781572244252</v>
      </c>
      <c r="D3636" t="str">
        <f>"9781608821433"</f>
        <v>9781608821433</v>
      </c>
      <c r="E3636" t="s">
        <v>7424</v>
      </c>
      <c r="F3636" t="s">
        <v>7424</v>
      </c>
      <c r="G3636" t="s">
        <v>23047</v>
      </c>
      <c r="H3636" t="s">
        <v>26004</v>
      </c>
      <c r="I3636" s="26">
        <v>38657</v>
      </c>
      <c r="J3636">
        <v>2005</v>
      </c>
      <c r="K3636" t="s">
        <v>7424</v>
      </c>
      <c r="L3636">
        <v>221</v>
      </c>
      <c r="M3636" t="s">
        <v>39038</v>
      </c>
      <c r="N3636">
        <v>1</v>
      </c>
      <c r="Q3636" t="s">
        <v>39039</v>
      </c>
      <c r="R3636" t="s">
        <v>30751</v>
      </c>
      <c r="S3636" t="s">
        <v>8528</v>
      </c>
      <c r="T3636" t="s">
        <v>30</v>
      </c>
      <c r="U3636" t="s">
        <v>26116</v>
      </c>
      <c r="W3636" t="s">
        <v>26009</v>
      </c>
    </row>
    <row r="3637" spans="1:23" x14ac:dyDescent="0.35">
      <c r="A3637">
        <v>776174</v>
      </c>
      <c r="B3637" t="s">
        <v>39040</v>
      </c>
      <c r="C3637" t="str">
        <f>"9781878978400"</f>
        <v>9781878978400</v>
      </c>
      <c r="D3637" t="str">
        <f>"9781608825882"</f>
        <v>9781608825882</v>
      </c>
      <c r="E3637" t="s">
        <v>7424</v>
      </c>
      <c r="F3637" t="s">
        <v>7419</v>
      </c>
      <c r="G3637" t="s">
        <v>23047</v>
      </c>
      <c r="H3637" t="s">
        <v>26004</v>
      </c>
      <c r="I3637" s="26">
        <v>36982</v>
      </c>
      <c r="J3637">
        <v>2001</v>
      </c>
      <c r="K3637" t="s">
        <v>7419</v>
      </c>
      <c r="L3637">
        <v>681</v>
      </c>
      <c r="M3637" t="s">
        <v>39041</v>
      </c>
      <c r="N3637">
        <v>1</v>
      </c>
      <c r="Q3637" t="s">
        <v>39042</v>
      </c>
      <c r="R3637" t="s">
        <v>39043</v>
      </c>
      <c r="S3637" t="s">
        <v>39044</v>
      </c>
      <c r="T3637" t="s">
        <v>30</v>
      </c>
      <c r="U3637" t="s">
        <v>26019</v>
      </c>
      <c r="W3637" t="s">
        <v>26009</v>
      </c>
    </row>
    <row r="3638" spans="1:23" x14ac:dyDescent="0.35">
      <c r="A3638">
        <v>776343</v>
      </c>
      <c r="B3638" t="s">
        <v>39045</v>
      </c>
      <c r="C3638" t="str">
        <f>"9781855758926"</f>
        <v>9781855758926</v>
      </c>
      <c r="D3638" t="str">
        <f>"9781849409322"</f>
        <v>9781849409322</v>
      </c>
      <c r="E3638" t="s">
        <v>26010</v>
      </c>
      <c r="F3638" t="s">
        <v>35</v>
      </c>
      <c r="G3638" t="s">
        <v>22174</v>
      </c>
      <c r="H3638" t="s">
        <v>26011</v>
      </c>
      <c r="I3638" s="26">
        <v>40908</v>
      </c>
      <c r="J3638">
        <v>2011</v>
      </c>
      <c r="K3638" t="s">
        <v>26012</v>
      </c>
      <c r="L3638">
        <v>209</v>
      </c>
      <c r="M3638" t="s">
        <v>39046</v>
      </c>
      <c r="N3638">
        <v>1</v>
      </c>
      <c r="Q3638" t="s">
        <v>39047</v>
      </c>
      <c r="R3638">
        <v>616.89170000000001</v>
      </c>
      <c r="S3638" t="s">
        <v>7514</v>
      </c>
      <c r="T3638" t="s">
        <v>30</v>
      </c>
      <c r="U3638" t="s">
        <v>26116</v>
      </c>
      <c r="W3638" t="s">
        <v>26009</v>
      </c>
    </row>
    <row r="3639" spans="1:23" x14ac:dyDescent="0.35">
      <c r="A3639">
        <v>776344</v>
      </c>
      <c r="B3639" t="s">
        <v>10158</v>
      </c>
      <c r="C3639" t="str">
        <f>"9781855756229"</f>
        <v>9781855756229</v>
      </c>
      <c r="D3639" t="str">
        <f>"9780429923517"</f>
        <v>9780429923517</v>
      </c>
      <c r="E3639" t="s">
        <v>26010</v>
      </c>
      <c r="F3639" t="s">
        <v>35</v>
      </c>
      <c r="G3639" t="s">
        <v>22174</v>
      </c>
      <c r="H3639" t="s">
        <v>26011</v>
      </c>
      <c r="I3639" s="26">
        <v>40908</v>
      </c>
      <c r="J3639">
        <v>2011</v>
      </c>
      <c r="K3639" t="s">
        <v>26012</v>
      </c>
      <c r="L3639">
        <v>153</v>
      </c>
      <c r="M3639" t="s">
        <v>37466</v>
      </c>
      <c r="N3639">
        <v>1</v>
      </c>
      <c r="O3639" t="s">
        <v>37364</v>
      </c>
      <c r="Q3639" t="s">
        <v>39048</v>
      </c>
      <c r="R3639">
        <v>150.19540000000001</v>
      </c>
      <c r="S3639" t="s">
        <v>39049</v>
      </c>
      <c r="T3639" t="s">
        <v>30</v>
      </c>
      <c r="U3639" t="s">
        <v>46</v>
      </c>
      <c r="W3639" t="s">
        <v>26009</v>
      </c>
    </row>
    <row r="3640" spans="1:23" x14ac:dyDescent="0.35">
      <c r="A3640">
        <v>776715</v>
      </c>
      <c r="B3640" t="s">
        <v>39050</v>
      </c>
      <c r="C3640" t="str">
        <f>"9780819551030"</f>
        <v>9780819551030</v>
      </c>
      <c r="D3640" t="str">
        <f>"9780819569905"</f>
        <v>9780819569905</v>
      </c>
      <c r="E3640" t="s">
        <v>6557</v>
      </c>
      <c r="F3640" t="s">
        <v>6557</v>
      </c>
      <c r="G3640" t="s">
        <v>39051</v>
      </c>
      <c r="H3640" t="s">
        <v>26004</v>
      </c>
      <c r="I3640" s="26">
        <v>32174</v>
      </c>
      <c r="J3640">
        <v>1988</v>
      </c>
      <c r="K3640" t="s">
        <v>6557</v>
      </c>
      <c r="L3640">
        <v>264</v>
      </c>
      <c r="M3640" t="s">
        <v>39052</v>
      </c>
      <c r="N3640">
        <v>1</v>
      </c>
      <c r="R3640" t="s">
        <v>31519</v>
      </c>
      <c r="S3640" t="s">
        <v>39053</v>
      </c>
      <c r="T3640" t="s">
        <v>30</v>
      </c>
      <c r="U3640" t="s">
        <v>26044</v>
      </c>
      <c r="W3640" t="s">
        <v>26009</v>
      </c>
    </row>
    <row r="3641" spans="1:23" x14ac:dyDescent="0.35">
      <c r="A3641">
        <v>777000</v>
      </c>
      <c r="B3641" t="s">
        <v>8827</v>
      </c>
      <c r="C3641" t="str">
        <f>"9780195388374"</f>
        <v>9780195388374</v>
      </c>
      <c r="D3641" t="str">
        <f>"9780199748501"</f>
        <v>9780199748501</v>
      </c>
      <c r="E3641" t="s">
        <v>371</v>
      </c>
      <c r="F3641" t="s">
        <v>39054</v>
      </c>
      <c r="G3641" t="s">
        <v>22703</v>
      </c>
      <c r="H3641" t="s">
        <v>26004</v>
      </c>
      <c r="I3641" s="26">
        <v>40056</v>
      </c>
      <c r="J3641">
        <v>2010</v>
      </c>
      <c r="K3641" t="s">
        <v>39054</v>
      </c>
      <c r="L3641">
        <v>466</v>
      </c>
      <c r="M3641" t="s">
        <v>39055</v>
      </c>
      <c r="O3641" t="s">
        <v>39056</v>
      </c>
      <c r="Q3641" t="s">
        <v>39057</v>
      </c>
      <c r="R3641">
        <v>616.89</v>
      </c>
      <c r="S3641" t="s">
        <v>39058</v>
      </c>
      <c r="T3641" t="s">
        <v>30</v>
      </c>
      <c r="U3641" t="s">
        <v>26116</v>
      </c>
      <c r="W3641" t="s">
        <v>26009</v>
      </c>
    </row>
    <row r="3642" spans="1:23" x14ac:dyDescent="0.35">
      <c r="A3642">
        <v>781767</v>
      </c>
      <c r="B3642" t="s">
        <v>39059</v>
      </c>
      <c r="C3642" t="str">
        <f>"9780761855743"</f>
        <v>9780761855743</v>
      </c>
      <c r="D3642" t="str">
        <f>"9780761855750"</f>
        <v>9780761855750</v>
      </c>
      <c r="E3642" t="s">
        <v>33803</v>
      </c>
      <c r="F3642" t="s">
        <v>34051</v>
      </c>
      <c r="G3642" t="s">
        <v>33804</v>
      </c>
      <c r="H3642" t="s">
        <v>26004</v>
      </c>
      <c r="I3642" s="26">
        <v>40857</v>
      </c>
      <c r="J3642">
        <v>2011</v>
      </c>
      <c r="K3642" t="s">
        <v>34051</v>
      </c>
      <c r="L3642">
        <v>138</v>
      </c>
      <c r="M3642" t="s">
        <v>39060</v>
      </c>
      <c r="N3642">
        <v>1</v>
      </c>
      <c r="R3642" t="s">
        <v>28066</v>
      </c>
      <c r="S3642" t="s">
        <v>39061</v>
      </c>
      <c r="T3642" t="s">
        <v>30</v>
      </c>
      <c r="U3642" t="s">
        <v>26040</v>
      </c>
      <c r="W3642" t="s">
        <v>26009</v>
      </c>
    </row>
    <row r="3643" spans="1:23" x14ac:dyDescent="0.35">
      <c r="A3643">
        <v>781784</v>
      </c>
      <c r="B3643" t="s">
        <v>39062</v>
      </c>
      <c r="C3643" t="str">
        <f>"9780691150468"</f>
        <v>9780691150468</v>
      </c>
      <c r="D3643" t="str">
        <f>"9781400840397"</f>
        <v>9781400840397</v>
      </c>
      <c r="E3643" t="s">
        <v>33468</v>
      </c>
      <c r="F3643" t="s">
        <v>7517</v>
      </c>
      <c r="G3643" t="s">
        <v>23592</v>
      </c>
      <c r="H3643" t="s">
        <v>26004</v>
      </c>
      <c r="I3643" s="26">
        <v>40874</v>
      </c>
      <c r="J3643">
        <v>2011</v>
      </c>
      <c r="K3643" t="s">
        <v>7517</v>
      </c>
      <c r="L3643">
        <v>247</v>
      </c>
      <c r="M3643" t="s">
        <v>39063</v>
      </c>
      <c r="N3643">
        <v>1</v>
      </c>
      <c r="R3643" t="s">
        <v>28378</v>
      </c>
      <c r="T3643" t="s">
        <v>30</v>
      </c>
      <c r="U3643" t="s">
        <v>26040</v>
      </c>
      <c r="W3643" t="s">
        <v>28347</v>
      </c>
    </row>
    <row r="3644" spans="1:23" x14ac:dyDescent="0.35">
      <c r="A3644">
        <v>783513</v>
      </c>
      <c r="B3644" t="s">
        <v>39064</v>
      </c>
      <c r="C3644" t="str">
        <f>"9780761972273"</f>
        <v>9780761972273</v>
      </c>
      <c r="D3644" t="str">
        <f>"9781446202401"</f>
        <v>9781446202401</v>
      </c>
      <c r="E3644" t="s">
        <v>28007</v>
      </c>
      <c r="F3644" t="s">
        <v>7430</v>
      </c>
      <c r="G3644" t="s">
        <v>22174</v>
      </c>
      <c r="H3644" t="s">
        <v>26011</v>
      </c>
      <c r="I3644" s="26">
        <v>40044</v>
      </c>
      <c r="J3644">
        <v>2009</v>
      </c>
      <c r="K3644" t="s">
        <v>7430</v>
      </c>
      <c r="L3644">
        <v>224</v>
      </c>
      <c r="M3644" t="s">
        <v>39065</v>
      </c>
      <c r="N3644">
        <v>1</v>
      </c>
      <c r="Q3644" t="s">
        <v>39066</v>
      </c>
      <c r="R3644">
        <v>302.01</v>
      </c>
      <c r="S3644" t="s">
        <v>9630</v>
      </c>
      <c r="T3644" t="s">
        <v>30</v>
      </c>
      <c r="U3644" t="s">
        <v>26044</v>
      </c>
      <c r="W3644" t="s">
        <v>26009</v>
      </c>
    </row>
    <row r="3645" spans="1:23" x14ac:dyDescent="0.35">
      <c r="A3645">
        <v>784093</v>
      </c>
      <c r="B3645" t="s">
        <v>39067</v>
      </c>
      <c r="C3645" t="str">
        <f>"9780833037022"</f>
        <v>9780833037022</v>
      </c>
      <c r="D3645" t="str">
        <f>"9780833040565"</f>
        <v>9780833040565</v>
      </c>
      <c r="E3645" t="s">
        <v>30602</v>
      </c>
      <c r="F3645" t="s">
        <v>8236</v>
      </c>
      <c r="G3645" t="s">
        <v>22307</v>
      </c>
      <c r="H3645" t="s">
        <v>26004</v>
      </c>
      <c r="I3645" s="26">
        <v>38473</v>
      </c>
      <c r="J3645">
        <v>2004</v>
      </c>
      <c r="K3645" t="s">
        <v>30603</v>
      </c>
      <c r="L3645">
        <v>175</v>
      </c>
      <c r="M3645" t="s">
        <v>39068</v>
      </c>
      <c r="N3645">
        <v>1</v>
      </c>
      <c r="Q3645" t="s">
        <v>39069</v>
      </c>
      <c r="R3645" t="s">
        <v>31507</v>
      </c>
      <c r="S3645" t="s">
        <v>39070</v>
      </c>
      <c r="T3645" t="s">
        <v>30</v>
      </c>
      <c r="U3645" t="s">
        <v>26019</v>
      </c>
      <c r="W3645" t="s">
        <v>26009</v>
      </c>
    </row>
    <row r="3646" spans="1:23" x14ac:dyDescent="0.35">
      <c r="A3646">
        <v>784232</v>
      </c>
      <c r="B3646" t="s">
        <v>39071</v>
      </c>
      <c r="C3646" t="str">
        <f>"9789027252180"</f>
        <v>9789027252180</v>
      </c>
      <c r="D3646" t="str">
        <f>"9789027286772"</f>
        <v>9789027286772</v>
      </c>
      <c r="E3646" t="s">
        <v>35211</v>
      </c>
      <c r="F3646" t="s">
        <v>7610</v>
      </c>
      <c r="G3646" t="s">
        <v>22222</v>
      </c>
      <c r="H3646" t="s">
        <v>27983</v>
      </c>
      <c r="I3646" s="26">
        <v>40730</v>
      </c>
      <c r="J3646">
        <v>2011</v>
      </c>
      <c r="K3646" t="s">
        <v>7610</v>
      </c>
      <c r="L3646">
        <v>606</v>
      </c>
      <c r="M3646" t="s">
        <v>39072</v>
      </c>
      <c r="N3646">
        <v>2</v>
      </c>
      <c r="Q3646" t="s">
        <v>39073</v>
      </c>
      <c r="R3646">
        <v>116</v>
      </c>
      <c r="S3646" t="s">
        <v>39074</v>
      </c>
      <c r="T3646" t="s">
        <v>30</v>
      </c>
      <c r="U3646" t="s">
        <v>152</v>
      </c>
      <c r="W3646" t="s">
        <v>26009</v>
      </c>
    </row>
    <row r="3647" spans="1:23" x14ac:dyDescent="0.35">
      <c r="A3647">
        <v>784539</v>
      </c>
      <c r="B3647" t="s">
        <v>39075</v>
      </c>
      <c r="C3647" t="str">
        <f>"9780520271487"</f>
        <v>9780520271487</v>
      </c>
      <c r="D3647" t="str">
        <f>"9780520950696"</f>
        <v>9780520950696</v>
      </c>
      <c r="E3647" t="s">
        <v>1612</v>
      </c>
      <c r="F3647" t="s">
        <v>1612</v>
      </c>
      <c r="G3647" t="s">
        <v>22630</v>
      </c>
      <c r="H3647" t="s">
        <v>26004</v>
      </c>
      <c r="I3647" s="26">
        <v>40848</v>
      </c>
      <c r="J3647">
        <v>2011</v>
      </c>
      <c r="K3647" t="s">
        <v>1612</v>
      </c>
      <c r="L3647">
        <v>164</v>
      </c>
      <c r="M3647" t="s">
        <v>39076</v>
      </c>
      <c r="N3647">
        <v>2</v>
      </c>
      <c r="Q3647" t="s">
        <v>39077</v>
      </c>
      <c r="R3647">
        <v>306.76408351097899</v>
      </c>
      <c r="S3647" t="s">
        <v>39078</v>
      </c>
      <c r="T3647" t="s">
        <v>30</v>
      </c>
      <c r="U3647" t="s">
        <v>26044</v>
      </c>
      <c r="W3647" t="s">
        <v>26009</v>
      </c>
    </row>
    <row r="3648" spans="1:23" x14ac:dyDescent="0.35">
      <c r="A3648">
        <v>784600</v>
      </c>
      <c r="B3648" t="s">
        <v>39079</v>
      </c>
      <c r="C3648" t="str">
        <f>"9781607507307"</f>
        <v>9781607507307</v>
      </c>
      <c r="D3648" t="str">
        <f>"9781607507314"</f>
        <v>9781607507314</v>
      </c>
      <c r="E3648" t="s">
        <v>28275</v>
      </c>
      <c r="F3648" t="s">
        <v>7658</v>
      </c>
      <c r="G3648" t="s">
        <v>22222</v>
      </c>
      <c r="H3648" t="s">
        <v>27983</v>
      </c>
      <c r="I3648" s="26">
        <v>40648</v>
      </c>
      <c r="J3648">
        <v>2011</v>
      </c>
      <c r="K3648" t="s">
        <v>7658</v>
      </c>
      <c r="L3648">
        <v>196</v>
      </c>
      <c r="M3648" t="s">
        <v>39080</v>
      </c>
      <c r="N3648">
        <v>1</v>
      </c>
      <c r="O3648" t="s">
        <v>39081</v>
      </c>
      <c r="P3648">
        <v>9</v>
      </c>
      <c r="Q3648" t="s">
        <v>39082</v>
      </c>
      <c r="S3648" t="s">
        <v>39083</v>
      </c>
      <c r="T3648" t="s">
        <v>30</v>
      </c>
      <c r="U3648" t="s">
        <v>26044</v>
      </c>
      <c r="W3648" t="s">
        <v>26009</v>
      </c>
    </row>
    <row r="3649" spans="1:23" x14ac:dyDescent="0.35">
      <c r="A3649">
        <v>785505</v>
      </c>
      <c r="B3649" t="s">
        <v>39084</v>
      </c>
      <c r="C3649" t="str">
        <f>"9781855756304"</f>
        <v>9781855756304</v>
      </c>
      <c r="D3649" t="str">
        <f>"9781849409346"</f>
        <v>9781849409346</v>
      </c>
      <c r="E3649" t="s">
        <v>26010</v>
      </c>
      <c r="F3649" t="s">
        <v>35</v>
      </c>
      <c r="G3649" t="s">
        <v>22174</v>
      </c>
      <c r="H3649" t="s">
        <v>26011</v>
      </c>
      <c r="I3649" s="26">
        <v>41274</v>
      </c>
      <c r="J3649">
        <v>2012</v>
      </c>
      <c r="K3649" t="s">
        <v>26012</v>
      </c>
      <c r="L3649">
        <v>456</v>
      </c>
      <c r="M3649" t="s">
        <v>39085</v>
      </c>
      <c r="N3649">
        <v>1</v>
      </c>
      <c r="Q3649" t="s">
        <v>39086</v>
      </c>
      <c r="R3649">
        <v>305.80018999999999</v>
      </c>
      <c r="S3649" t="s">
        <v>39087</v>
      </c>
      <c r="T3649" t="s">
        <v>30</v>
      </c>
      <c r="U3649" t="s">
        <v>26044</v>
      </c>
      <c r="W3649" t="s">
        <v>26009</v>
      </c>
    </row>
    <row r="3650" spans="1:23" x14ac:dyDescent="0.35">
      <c r="A3650">
        <v>785506</v>
      </c>
      <c r="B3650" t="s">
        <v>10169</v>
      </c>
      <c r="C3650" t="str">
        <f>"9781855758704"</f>
        <v>9781855758704</v>
      </c>
      <c r="D3650" t="str">
        <f>"9781849409360"</f>
        <v>9781849409360</v>
      </c>
      <c r="E3650" t="s">
        <v>26010</v>
      </c>
      <c r="F3650" t="s">
        <v>35</v>
      </c>
      <c r="G3650" t="s">
        <v>22174</v>
      </c>
      <c r="H3650" t="s">
        <v>26011</v>
      </c>
      <c r="I3650" s="26">
        <v>41274</v>
      </c>
      <c r="J3650">
        <v>2012</v>
      </c>
      <c r="K3650" t="s">
        <v>26012</v>
      </c>
      <c r="L3650">
        <v>118</v>
      </c>
      <c r="M3650" t="s">
        <v>37495</v>
      </c>
      <c r="N3650">
        <v>1</v>
      </c>
      <c r="O3650" t="s">
        <v>37364</v>
      </c>
      <c r="Q3650" t="s">
        <v>39088</v>
      </c>
      <c r="R3650">
        <v>150.19499999999999</v>
      </c>
      <c r="S3650" t="s">
        <v>10170</v>
      </c>
      <c r="T3650" t="s">
        <v>30</v>
      </c>
      <c r="U3650" t="s">
        <v>33231</v>
      </c>
      <c r="W3650" t="s">
        <v>26009</v>
      </c>
    </row>
    <row r="3651" spans="1:23" x14ac:dyDescent="0.35">
      <c r="A3651">
        <v>787622</v>
      </c>
      <c r="B3651" t="s">
        <v>39089</v>
      </c>
      <c r="C3651" t="str">
        <f>"9780335237937"</f>
        <v>9780335237937</v>
      </c>
      <c r="D3651" t="str">
        <f>"9780335240401"</f>
        <v>9780335240401</v>
      </c>
      <c r="E3651" t="s">
        <v>29061</v>
      </c>
      <c r="F3651" t="s">
        <v>7477</v>
      </c>
      <c r="G3651" t="s">
        <v>29068</v>
      </c>
      <c r="H3651" t="s">
        <v>26011</v>
      </c>
      <c r="I3651" s="26">
        <v>40787</v>
      </c>
      <c r="J3651">
        <v>2011</v>
      </c>
      <c r="K3651" t="s">
        <v>29063</v>
      </c>
      <c r="L3651">
        <v>194</v>
      </c>
      <c r="M3651" t="s">
        <v>39090</v>
      </c>
      <c r="N3651">
        <v>1</v>
      </c>
      <c r="O3651" t="s">
        <v>29070</v>
      </c>
      <c r="Q3651" t="s">
        <v>39091</v>
      </c>
      <c r="S3651" t="s">
        <v>39092</v>
      </c>
      <c r="T3651" t="s">
        <v>30</v>
      </c>
      <c r="U3651" t="s">
        <v>30031</v>
      </c>
      <c r="W3651" t="s">
        <v>26009</v>
      </c>
    </row>
    <row r="3652" spans="1:23" x14ac:dyDescent="0.35">
      <c r="A3652">
        <v>787631</v>
      </c>
      <c r="B3652" t="s">
        <v>39093</v>
      </c>
      <c r="C3652" t="str">
        <f>"9780826107022"</f>
        <v>9780826107022</v>
      </c>
      <c r="D3652" t="str">
        <f>"9780826107039"</f>
        <v>9780826107039</v>
      </c>
      <c r="E3652" t="s">
        <v>1504</v>
      </c>
      <c r="F3652" t="s">
        <v>33</v>
      </c>
      <c r="G3652" t="s">
        <v>22179</v>
      </c>
      <c r="H3652" t="s">
        <v>26004</v>
      </c>
      <c r="I3652" s="26">
        <v>40787</v>
      </c>
      <c r="J3652">
        <v>2012</v>
      </c>
      <c r="K3652" t="s">
        <v>33</v>
      </c>
      <c r="L3652">
        <v>288</v>
      </c>
      <c r="M3652" t="s">
        <v>39094</v>
      </c>
      <c r="N3652">
        <v>1</v>
      </c>
      <c r="Q3652" t="s">
        <v>39095</v>
      </c>
      <c r="R3652">
        <v>155</v>
      </c>
      <c r="S3652" t="s">
        <v>39096</v>
      </c>
      <c r="T3652" t="s">
        <v>30</v>
      </c>
      <c r="U3652" t="s">
        <v>26228</v>
      </c>
      <c r="W3652" t="s">
        <v>26009</v>
      </c>
    </row>
    <row r="3653" spans="1:23" x14ac:dyDescent="0.35">
      <c r="A3653">
        <v>787876</v>
      </c>
      <c r="B3653" t="s">
        <v>39097</v>
      </c>
      <c r="C3653" t="str">
        <f>"9780742570030"</f>
        <v>9780742570030</v>
      </c>
      <c r="D3653" t="str">
        <f>"9780742570054"</f>
        <v>9780742570054</v>
      </c>
      <c r="E3653" t="s">
        <v>39098</v>
      </c>
      <c r="F3653" t="s">
        <v>38</v>
      </c>
      <c r="G3653" t="s">
        <v>33804</v>
      </c>
      <c r="H3653" t="s">
        <v>26004</v>
      </c>
      <c r="I3653" s="26">
        <v>40851</v>
      </c>
      <c r="J3653">
        <v>2011</v>
      </c>
      <c r="K3653" t="s">
        <v>38</v>
      </c>
      <c r="L3653">
        <v>270</v>
      </c>
      <c r="M3653" t="s">
        <v>39099</v>
      </c>
      <c r="N3653">
        <v>2</v>
      </c>
      <c r="O3653" t="s">
        <v>39100</v>
      </c>
      <c r="Q3653" t="s">
        <v>39101</v>
      </c>
      <c r="R3653">
        <v>306.7</v>
      </c>
      <c r="S3653" t="s">
        <v>39102</v>
      </c>
      <c r="T3653" t="s">
        <v>30</v>
      </c>
      <c r="U3653" t="s">
        <v>26044</v>
      </c>
      <c r="W3653" t="s">
        <v>26009</v>
      </c>
    </row>
    <row r="3654" spans="1:23" x14ac:dyDescent="0.35">
      <c r="A3654">
        <v>788049</v>
      </c>
      <c r="B3654" t="s">
        <v>7954</v>
      </c>
      <c r="C3654" t="str">
        <f>"9781855758476"</f>
        <v>9781855758476</v>
      </c>
      <c r="D3654" t="str">
        <f>"9781849409049"</f>
        <v>9781849409049</v>
      </c>
      <c r="E3654" t="s">
        <v>26010</v>
      </c>
      <c r="F3654" t="s">
        <v>35</v>
      </c>
      <c r="G3654" t="s">
        <v>22174</v>
      </c>
      <c r="H3654" t="s">
        <v>26011</v>
      </c>
      <c r="I3654" s="26">
        <v>40908</v>
      </c>
      <c r="J3654">
        <v>2011</v>
      </c>
      <c r="K3654" t="s">
        <v>26012</v>
      </c>
      <c r="L3654">
        <v>158</v>
      </c>
      <c r="M3654" t="s">
        <v>36559</v>
      </c>
      <c r="N3654">
        <v>1</v>
      </c>
      <c r="Q3654" t="s">
        <v>39103</v>
      </c>
      <c r="R3654">
        <v>150.19499999999999</v>
      </c>
      <c r="S3654" t="s">
        <v>7514</v>
      </c>
      <c r="T3654" t="s">
        <v>30</v>
      </c>
      <c r="U3654" t="s">
        <v>46</v>
      </c>
      <c r="W3654" t="s">
        <v>26009</v>
      </c>
    </row>
    <row r="3655" spans="1:23" x14ac:dyDescent="0.35">
      <c r="A3655">
        <v>788050</v>
      </c>
      <c r="B3655" t="s">
        <v>39104</v>
      </c>
      <c r="C3655" t="str">
        <f>"9781855758223"</f>
        <v>9781855758223</v>
      </c>
      <c r="D3655" t="str">
        <f>"9781849409063"</f>
        <v>9781849409063</v>
      </c>
      <c r="E3655" t="s">
        <v>26010</v>
      </c>
      <c r="F3655" t="s">
        <v>35</v>
      </c>
      <c r="G3655" t="s">
        <v>22174</v>
      </c>
      <c r="H3655" t="s">
        <v>26011</v>
      </c>
      <c r="I3655" s="26">
        <v>40908</v>
      </c>
      <c r="J3655">
        <v>2011</v>
      </c>
      <c r="K3655" t="s">
        <v>26012</v>
      </c>
      <c r="L3655">
        <v>170</v>
      </c>
      <c r="M3655" t="s">
        <v>38712</v>
      </c>
      <c r="N3655">
        <v>1</v>
      </c>
      <c r="Q3655" t="s">
        <v>39105</v>
      </c>
      <c r="R3655">
        <v>363.32499999999999</v>
      </c>
      <c r="S3655" t="s">
        <v>39106</v>
      </c>
      <c r="T3655" t="s">
        <v>30</v>
      </c>
      <c r="U3655" t="s">
        <v>26044</v>
      </c>
      <c r="W3655" t="s">
        <v>26009</v>
      </c>
    </row>
    <row r="3656" spans="1:23" x14ac:dyDescent="0.35">
      <c r="A3656">
        <v>788052</v>
      </c>
      <c r="B3656" t="s">
        <v>39107</v>
      </c>
      <c r="C3656" t="str">
        <f>"9781855758964"</f>
        <v>9781855758964</v>
      </c>
      <c r="D3656" t="str">
        <f>"9780429908965"</f>
        <v>9780429908965</v>
      </c>
      <c r="E3656" t="s">
        <v>26010</v>
      </c>
      <c r="F3656" t="s">
        <v>35</v>
      </c>
      <c r="G3656" t="s">
        <v>22174</v>
      </c>
      <c r="H3656" t="s">
        <v>26011</v>
      </c>
      <c r="I3656" s="26">
        <v>40908</v>
      </c>
      <c r="J3656">
        <v>2011</v>
      </c>
      <c r="K3656" t="s">
        <v>26012</v>
      </c>
      <c r="L3656">
        <v>138</v>
      </c>
      <c r="M3656" t="s">
        <v>37603</v>
      </c>
      <c r="N3656">
        <v>1</v>
      </c>
      <c r="Q3656" t="s">
        <v>39108</v>
      </c>
      <c r="R3656">
        <v>616.89170086249999</v>
      </c>
      <c r="S3656" t="s">
        <v>39109</v>
      </c>
      <c r="T3656" t="s">
        <v>30</v>
      </c>
      <c r="U3656" t="s">
        <v>26116</v>
      </c>
      <c r="W3656" t="s">
        <v>26009</v>
      </c>
    </row>
    <row r="3657" spans="1:23" x14ac:dyDescent="0.35">
      <c r="A3657">
        <v>793199</v>
      </c>
      <c r="B3657" t="s">
        <v>39110</v>
      </c>
      <c r="C3657" t="str">
        <f>"9780754679028"</f>
        <v>9780754679028</v>
      </c>
      <c r="D3657" t="str">
        <f>"9781351912860"</f>
        <v>9781351912860</v>
      </c>
      <c r="E3657" t="s">
        <v>26010</v>
      </c>
      <c r="F3657" t="s">
        <v>35</v>
      </c>
      <c r="G3657" t="s">
        <v>33516</v>
      </c>
      <c r="H3657" t="s">
        <v>26011</v>
      </c>
      <c r="I3657" s="26">
        <v>40879</v>
      </c>
      <c r="J3657">
        <v>2011</v>
      </c>
      <c r="K3657" t="s">
        <v>26012</v>
      </c>
      <c r="L3657">
        <v>196</v>
      </c>
      <c r="M3657" t="s">
        <v>39111</v>
      </c>
      <c r="N3657">
        <v>1</v>
      </c>
      <c r="Q3657" t="s">
        <v>39112</v>
      </c>
      <c r="R3657" t="s">
        <v>27170</v>
      </c>
      <c r="S3657" t="s">
        <v>39113</v>
      </c>
      <c r="T3657" t="s">
        <v>30</v>
      </c>
      <c r="U3657" t="s">
        <v>26044</v>
      </c>
      <c r="W3657" t="s">
        <v>26009</v>
      </c>
    </row>
    <row r="3658" spans="1:23" x14ac:dyDescent="0.35">
      <c r="A3658">
        <v>793376</v>
      </c>
      <c r="B3658" t="s">
        <v>39114</v>
      </c>
      <c r="C3658" t="str">
        <f>"9780807842539"</f>
        <v>9780807842539</v>
      </c>
      <c r="D3658" t="str">
        <f>"9780807882887"</f>
        <v>9780807882887</v>
      </c>
      <c r="E3658" t="s">
        <v>31948</v>
      </c>
      <c r="F3658" t="s">
        <v>7733</v>
      </c>
      <c r="G3658" t="s">
        <v>23742</v>
      </c>
      <c r="H3658" t="s">
        <v>26004</v>
      </c>
      <c r="I3658" s="26">
        <v>32720</v>
      </c>
      <c r="J3658">
        <v>1989</v>
      </c>
      <c r="K3658" t="s">
        <v>7733</v>
      </c>
      <c r="L3658">
        <v>525</v>
      </c>
      <c r="M3658" t="s">
        <v>39115</v>
      </c>
      <c r="N3658">
        <v>1</v>
      </c>
      <c r="S3658" t="s">
        <v>39116</v>
      </c>
      <c r="T3658" t="s">
        <v>30</v>
      </c>
      <c r="U3658" t="s">
        <v>402</v>
      </c>
      <c r="W3658" t="s">
        <v>26009</v>
      </c>
    </row>
    <row r="3659" spans="1:23" x14ac:dyDescent="0.35">
      <c r="A3659">
        <v>794949</v>
      </c>
      <c r="B3659" t="s">
        <v>8582</v>
      </c>
      <c r="C3659" t="str">
        <f>"9781878978349"</f>
        <v>9781878978349</v>
      </c>
      <c r="D3659" t="str">
        <f>"9781608826247"</f>
        <v>9781608826247</v>
      </c>
      <c r="E3659" t="s">
        <v>7424</v>
      </c>
      <c r="F3659" t="s">
        <v>7419</v>
      </c>
      <c r="G3659" t="s">
        <v>23047</v>
      </c>
      <c r="H3659" t="s">
        <v>26004</v>
      </c>
      <c r="I3659" s="26">
        <v>36647</v>
      </c>
      <c r="J3659">
        <v>2000</v>
      </c>
      <c r="K3659" t="s">
        <v>7419</v>
      </c>
      <c r="L3659">
        <v>490</v>
      </c>
      <c r="M3659" t="s">
        <v>39117</v>
      </c>
      <c r="N3659">
        <v>1</v>
      </c>
      <c r="Q3659" t="s">
        <v>39118</v>
      </c>
      <c r="R3659" t="s">
        <v>27789</v>
      </c>
      <c r="S3659" t="s">
        <v>39119</v>
      </c>
      <c r="T3659" t="s">
        <v>30</v>
      </c>
      <c r="U3659" t="s">
        <v>26019</v>
      </c>
      <c r="W3659" t="s">
        <v>26009</v>
      </c>
    </row>
    <row r="3660" spans="1:23" x14ac:dyDescent="0.35">
      <c r="A3660">
        <v>795037</v>
      </c>
      <c r="B3660" t="s">
        <v>56</v>
      </c>
      <c r="C3660" t="str">
        <f>"9780313385384"</f>
        <v>9780313385384</v>
      </c>
      <c r="D3660" t="str">
        <f>"9780313385391"</f>
        <v>9780313385391</v>
      </c>
      <c r="E3660" t="s">
        <v>28336</v>
      </c>
      <c r="F3660" t="s">
        <v>28340</v>
      </c>
      <c r="G3660" t="s">
        <v>22179</v>
      </c>
      <c r="H3660" t="s">
        <v>26004</v>
      </c>
      <c r="I3660" s="26">
        <v>40688</v>
      </c>
      <c r="J3660">
        <v>2011</v>
      </c>
      <c r="K3660" t="s">
        <v>34178</v>
      </c>
      <c r="L3660">
        <v>380</v>
      </c>
      <c r="M3660" t="s">
        <v>39120</v>
      </c>
      <c r="N3660">
        <v>1</v>
      </c>
      <c r="Q3660" t="s">
        <v>39121</v>
      </c>
      <c r="R3660">
        <v>613</v>
      </c>
      <c r="S3660" t="s">
        <v>39122</v>
      </c>
      <c r="T3660" t="s">
        <v>30</v>
      </c>
      <c r="U3660" t="s">
        <v>27769</v>
      </c>
      <c r="W3660" t="s">
        <v>28347</v>
      </c>
    </row>
    <row r="3661" spans="1:23" x14ac:dyDescent="0.35">
      <c r="A3661">
        <v>795222</v>
      </c>
      <c r="B3661" t="s">
        <v>39123</v>
      </c>
      <c r="C3661" t="str">
        <f>"9780826107404"</f>
        <v>9780826107404</v>
      </c>
      <c r="D3661" t="str">
        <f>"9780826107411"</f>
        <v>9780826107411</v>
      </c>
      <c r="E3661" t="s">
        <v>1504</v>
      </c>
      <c r="F3661" t="s">
        <v>33</v>
      </c>
      <c r="G3661" t="s">
        <v>22179</v>
      </c>
      <c r="H3661" t="s">
        <v>26004</v>
      </c>
      <c r="I3661" s="26">
        <v>40823</v>
      </c>
      <c r="J3661">
        <v>2011</v>
      </c>
      <c r="K3661" t="s">
        <v>33</v>
      </c>
      <c r="L3661">
        <v>257</v>
      </c>
      <c r="M3661" t="s">
        <v>39124</v>
      </c>
      <c r="N3661">
        <v>1</v>
      </c>
      <c r="Q3661" t="s">
        <v>39125</v>
      </c>
      <c r="S3661" t="s">
        <v>39126</v>
      </c>
      <c r="T3661" t="s">
        <v>30</v>
      </c>
      <c r="U3661" t="s">
        <v>26116</v>
      </c>
      <c r="W3661" t="s">
        <v>26009</v>
      </c>
    </row>
    <row r="3662" spans="1:23" x14ac:dyDescent="0.35">
      <c r="A3662">
        <v>795561</v>
      </c>
      <c r="B3662" t="s">
        <v>39127</v>
      </c>
      <c r="C3662" t="str">
        <f>"9780313387074"</f>
        <v>9780313387074</v>
      </c>
      <c r="D3662" t="str">
        <f>"9780313387081"</f>
        <v>9780313387081</v>
      </c>
      <c r="E3662" t="s">
        <v>28336</v>
      </c>
      <c r="F3662" t="s">
        <v>28340</v>
      </c>
      <c r="G3662" t="s">
        <v>22179</v>
      </c>
      <c r="H3662" t="s">
        <v>26004</v>
      </c>
      <c r="I3662" s="26">
        <v>40730</v>
      </c>
      <c r="J3662">
        <v>2011</v>
      </c>
      <c r="K3662" t="s">
        <v>28341</v>
      </c>
      <c r="L3662">
        <v>186</v>
      </c>
      <c r="M3662" t="s">
        <v>39128</v>
      </c>
      <c r="N3662">
        <v>1</v>
      </c>
      <c r="Q3662" t="s">
        <v>39129</v>
      </c>
      <c r="R3662">
        <v>362.29</v>
      </c>
      <c r="S3662" t="s">
        <v>39130</v>
      </c>
      <c r="T3662" t="s">
        <v>30</v>
      </c>
      <c r="U3662" t="s">
        <v>29288</v>
      </c>
      <c r="W3662" t="s">
        <v>28347</v>
      </c>
    </row>
    <row r="3663" spans="1:23" x14ac:dyDescent="0.35">
      <c r="A3663">
        <v>795749</v>
      </c>
      <c r="B3663" t="s">
        <v>39131</v>
      </c>
      <c r="C3663" t="str">
        <f>"9781780490212"</f>
        <v>9781780490212</v>
      </c>
      <c r="D3663" t="str">
        <f>"9780429920080"</f>
        <v>9780429920080</v>
      </c>
      <c r="E3663" t="s">
        <v>26010</v>
      </c>
      <c r="F3663" t="s">
        <v>35</v>
      </c>
      <c r="G3663" t="s">
        <v>22174</v>
      </c>
      <c r="H3663" t="s">
        <v>26011</v>
      </c>
      <c r="I3663" s="26">
        <v>40877</v>
      </c>
      <c r="J3663">
        <v>2011</v>
      </c>
      <c r="K3663" t="s">
        <v>26012</v>
      </c>
      <c r="L3663">
        <v>449</v>
      </c>
      <c r="M3663" t="s">
        <v>39132</v>
      </c>
      <c r="N3663">
        <v>1</v>
      </c>
      <c r="O3663" t="s">
        <v>39133</v>
      </c>
      <c r="Q3663" t="s">
        <v>39134</v>
      </c>
      <c r="R3663">
        <v>150.1952</v>
      </c>
      <c r="S3663" t="s">
        <v>39135</v>
      </c>
      <c r="T3663" t="s">
        <v>30</v>
      </c>
      <c r="U3663" t="s">
        <v>26019</v>
      </c>
      <c r="W3663" t="s">
        <v>26009</v>
      </c>
    </row>
    <row r="3664" spans="1:23" x14ac:dyDescent="0.35">
      <c r="A3664">
        <v>795750</v>
      </c>
      <c r="B3664" t="s">
        <v>39136</v>
      </c>
      <c r="C3664" t="str">
        <f>"9781780490526"</f>
        <v>9781780490526</v>
      </c>
      <c r="D3664" t="str">
        <f>"9781849409391"</f>
        <v>9781849409391</v>
      </c>
      <c r="E3664" t="s">
        <v>26010</v>
      </c>
      <c r="F3664" t="s">
        <v>35</v>
      </c>
      <c r="G3664" t="s">
        <v>22174</v>
      </c>
      <c r="H3664" t="s">
        <v>26011</v>
      </c>
      <c r="I3664" s="26">
        <v>41274</v>
      </c>
      <c r="J3664">
        <v>2012</v>
      </c>
      <c r="K3664" t="s">
        <v>26012</v>
      </c>
      <c r="L3664">
        <v>271</v>
      </c>
      <c r="M3664" t="s">
        <v>39137</v>
      </c>
      <c r="N3664">
        <v>1</v>
      </c>
      <c r="O3664" t="s">
        <v>36515</v>
      </c>
      <c r="Q3664" t="s">
        <v>39138</v>
      </c>
      <c r="R3664">
        <v>302</v>
      </c>
      <c r="S3664" t="s">
        <v>10057</v>
      </c>
      <c r="T3664" t="s">
        <v>30</v>
      </c>
      <c r="U3664" t="s">
        <v>26044</v>
      </c>
      <c r="W3664" t="s">
        <v>26009</v>
      </c>
    </row>
    <row r="3665" spans="1:23" x14ac:dyDescent="0.35">
      <c r="A3665">
        <v>796052</v>
      </c>
      <c r="B3665" t="s">
        <v>39139</v>
      </c>
      <c r="C3665" t="str">
        <f>"9780199773954"</f>
        <v>9780199773954</v>
      </c>
      <c r="D3665" t="str">
        <f>"9780199773985"</f>
        <v>9780199773985</v>
      </c>
      <c r="E3665" t="s">
        <v>371</v>
      </c>
      <c r="F3665" t="s">
        <v>31</v>
      </c>
      <c r="G3665" t="s">
        <v>22703</v>
      </c>
      <c r="H3665" t="s">
        <v>26004</v>
      </c>
      <c r="I3665" s="26">
        <v>40856</v>
      </c>
      <c r="J3665">
        <v>2012</v>
      </c>
      <c r="K3665" t="s">
        <v>31</v>
      </c>
      <c r="L3665">
        <v>239</v>
      </c>
      <c r="M3665" t="s">
        <v>39140</v>
      </c>
      <c r="Q3665" t="s">
        <v>39141</v>
      </c>
      <c r="R3665" t="s">
        <v>39142</v>
      </c>
      <c r="S3665" t="s">
        <v>39143</v>
      </c>
      <c r="T3665" t="s">
        <v>30</v>
      </c>
      <c r="U3665" t="s">
        <v>402</v>
      </c>
      <c r="W3665" t="s">
        <v>39144</v>
      </c>
    </row>
    <row r="3666" spans="1:23" x14ac:dyDescent="0.35">
      <c r="A3666">
        <v>797275</v>
      </c>
      <c r="B3666" t="s">
        <v>39145</v>
      </c>
      <c r="C3666" t="str">
        <f>"9789027215062"</f>
        <v>9789027215062</v>
      </c>
      <c r="D3666" t="str">
        <f>"9789027280879"</f>
        <v>9789027280879</v>
      </c>
      <c r="E3666" t="s">
        <v>35211</v>
      </c>
      <c r="F3666" t="s">
        <v>7610</v>
      </c>
      <c r="G3666" t="s">
        <v>39146</v>
      </c>
      <c r="H3666" t="s">
        <v>27983</v>
      </c>
      <c r="I3666" s="26">
        <v>29587</v>
      </c>
      <c r="J3666">
        <v>1981</v>
      </c>
      <c r="K3666" t="s">
        <v>7610</v>
      </c>
      <c r="L3666">
        <v>294</v>
      </c>
      <c r="M3666" t="s">
        <v>39147</v>
      </c>
      <c r="N3666">
        <v>1</v>
      </c>
      <c r="O3666" t="s">
        <v>39148</v>
      </c>
      <c r="P3666">
        <v>6</v>
      </c>
      <c r="Q3666" t="s">
        <v>39149</v>
      </c>
      <c r="R3666" t="s">
        <v>39150</v>
      </c>
      <c r="S3666" t="s">
        <v>39151</v>
      </c>
      <c r="T3666" t="s">
        <v>30</v>
      </c>
      <c r="U3666" t="s">
        <v>26520</v>
      </c>
      <c r="W3666" t="s">
        <v>26009</v>
      </c>
    </row>
    <row r="3667" spans="1:23" x14ac:dyDescent="0.35">
      <c r="A3667">
        <v>797493</v>
      </c>
      <c r="B3667" t="s">
        <v>9799</v>
      </c>
      <c r="C3667" t="str">
        <f>"9780691057453"</f>
        <v>9780691057453</v>
      </c>
      <c r="D3667" t="str">
        <f>"9781400823970"</f>
        <v>9781400823970</v>
      </c>
      <c r="E3667" t="s">
        <v>33468</v>
      </c>
      <c r="F3667" t="s">
        <v>7517</v>
      </c>
      <c r="G3667" t="s">
        <v>23592</v>
      </c>
      <c r="H3667" t="s">
        <v>26004</v>
      </c>
      <c r="I3667" s="26">
        <v>36863</v>
      </c>
      <c r="J3667">
        <v>2001</v>
      </c>
      <c r="K3667" t="s">
        <v>7517</v>
      </c>
      <c r="L3667">
        <v>88</v>
      </c>
      <c r="M3667" t="s">
        <v>33216</v>
      </c>
      <c r="N3667">
        <v>1</v>
      </c>
      <c r="O3667" t="s">
        <v>39152</v>
      </c>
      <c r="P3667">
        <v>6</v>
      </c>
      <c r="R3667" t="s">
        <v>27152</v>
      </c>
      <c r="T3667" t="s">
        <v>30</v>
      </c>
      <c r="U3667" t="s">
        <v>152</v>
      </c>
      <c r="W3667" t="s">
        <v>28347</v>
      </c>
    </row>
    <row r="3668" spans="1:23" x14ac:dyDescent="0.35">
      <c r="A3668">
        <v>797723</v>
      </c>
      <c r="B3668" t="s">
        <v>9331</v>
      </c>
      <c r="C3668" t="str">
        <f>"9780199559053"</f>
        <v>9780199559053</v>
      </c>
      <c r="D3668" t="str">
        <f>"9780191622144"</f>
        <v>9780191622144</v>
      </c>
      <c r="E3668" t="s">
        <v>371</v>
      </c>
      <c r="F3668" t="s">
        <v>399</v>
      </c>
      <c r="G3668" t="s">
        <v>22242</v>
      </c>
      <c r="H3668" t="s">
        <v>26011</v>
      </c>
      <c r="I3668" s="26">
        <v>40752</v>
      </c>
      <c r="J3668">
        <v>2011</v>
      </c>
      <c r="K3668" t="s">
        <v>399</v>
      </c>
      <c r="L3668">
        <v>1258</v>
      </c>
      <c r="M3668" t="s">
        <v>39153</v>
      </c>
      <c r="O3668" t="s">
        <v>39154</v>
      </c>
      <c r="Q3668" t="s">
        <v>39155</v>
      </c>
      <c r="R3668">
        <v>152.13999999999999</v>
      </c>
      <c r="S3668" t="s">
        <v>8382</v>
      </c>
      <c r="T3668" t="s">
        <v>30</v>
      </c>
      <c r="U3668" t="s">
        <v>46</v>
      </c>
      <c r="W3668" t="s">
        <v>26009</v>
      </c>
    </row>
    <row r="3669" spans="1:23" x14ac:dyDescent="0.35">
      <c r="A3669">
        <v>797730</v>
      </c>
      <c r="B3669" t="s">
        <v>8116</v>
      </c>
      <c r="C3669" t="str">
        <f>"9780199569014"</f>
        <v>9780199569014</v>
      </c>
      <c r="D3669" t="str">
        <f>"9780191575952"</f>
        <v>9780191575952</v>
      </c>
      <c r="E3669" t="s">
        <v>371</v>
      </c>
      <c r="F3669" t="s">
        <v>399</v>
      </c>
      <c r="G3669" t="s">
        <v>22242</v>
      </c>
      <c r="H3669" t="s">
        <v>26011</v>
      </c>
      <c r="I3669" s="26">
        <v>40220</v>
      </c>
      <c r="J3669">
        <v>2010</v>
      </c>
      <c r="K3669" t="s">
        <v>399</v>
      </c>
      <c r="L3669">
        <v>129</v>
      </c>
      <c r="M3669" t="s">
        <v>39156</v>
      </c>
      <c r="O3669" t="s">
        <v>39157</v>
      </c>
      <c r="Q3669" t="s">
        <v>39158</v>
      </c>
      <c r="R3669" t="s">
        <v>39159</v>
      </c>
      <c r="S3669" t="s">
        <v>39160</v>
      </c>
      <c r="T3669" t="s">
        <v>30</v>
      </c>
      <c r="U3669" t="s">
        <v>26019</v>
      </c>
      <c r="W3669" t="s">
        <v>26009</v>
      </c>
    </row>
    <row r="3670" spans="1:23" x14ac:dyDescent="0.35">
      <c r="A3670">
        <v>797738</v>
      </c>
      <c r="B3670" t="s">
        <v>9089</v>
      </c>
      <c r="C3670" t="str">
        <f>"9780199593637"</f>
        <v>9780199593637</v>
      </c>
      <c r="D3670" t="str">
        <f>"9780191621680"</f>
        <v>9780191621680</v>
      </c>
      <c r="E3670" t="s">
        <v>371</v>
      </c>
      <c r="F3670" t="s">
        <v>31</v>
      </c>
      <c r="G3670" t="s">
        <v>22242</v>
      </c>
      <c r="H3670" t="s">
        <v>26011</v>
      </c>
      <c r="I3670" s="26">
        <v>40776</v>
      </c>
      <c r="J3670">
        <v>2011</v>
      </c>
      <c r="K3670" t="s">
        <v>31</v>
      </c>
      <c r="L3670">
        <v>403</v>
      </c>
      <c r="M3670" t="s">
        <v>39161</v>
      </c>
      <c r="Q3670" t="s">
        <v>39162</v>
      </c>
      <c r="R3670">
        <v>362.20846089999998</v>
      </c>
      <c r="S3670" t="s">
        <v>9090</v>
      </c>
      <c r="T3670" t="s">
        <v>30</v>
      </c>
      <c r="U3670" t="s">
        <v>28898</v>
      </c>
      <c r="W3670" t="s">
        <v>26009</v>
      </c>
    </row>
    <row r="3671" spans="1:23" x14ac:dyDescent="0.35">
      <c r="A3671">
        <v>797747</v>
      </c>
      <c r="B3671" t="s">
        <v>39163</v>
      </c>
      <c r="C3671" t="str">
        <f>"9780826106025"</f>
        <v>9780826106025</v>
      </c>
      <c r="D3671" t="str">
        <f>"9780826106032"</f>
        <v>9780826106032</v>
      </c>
      <c r="E3671" t="s">
        <v>1504</v>
      </c>
      <c r="F3671" t="s">
        <v>33</v>
      </c>
      <c r="G3671" t="s">
        <v>22179</v>
      </c>
      <c r="H3671" t="s">
        <v>26004</v>
      </c>
      <c r="I3671" s="26">
        <v>40725</v>
      </c>
      <c r="J3671">
        <v>2011</v>
      </c>
      <c r="K3671" t="s">
        <v>33</v>
      </c>
      <c r="L3671">
        <v>517</v>
      </c>
      <c r="M3671" t="s">
        <v>39164</v>
      </c>
      <c r="N3671">
        <v>1</v>
      </c>
      <c r="Q3671" t="s">
        <v>39165</v>
      </c>
      <c r="S3671" t="s">
        <v>39166</v>
      </c>
      <c r="T3671" t="s">
        <v>30</v>
      </c>
      <c r="U3671" t="s">
        <v>46</v>
      </c>
      <c r="W3671" t="s">
        <v>26009</v>
      </c>
    </row>
    <row r="3672" spans="1:23" x14ac:dyDescent="0.35">
      <c r="A3672">
        <v>799418</v>
      </c>
      <c r="B3672" t="s">
        <v>39167</v>
      </c>
      <c r="C3672" t="str">
        <f>"9783110255201"</f>
        <v>9783110255201</v>
      </c>
      <c r="D3672" t="str">
        <f>"9783110255690"</f>
        <v>9783110255690</v>
      </c>
      <c r="E3672" t="s">
        <v>30630</v>
      </c>
      <c r="F3672" t="s">
        <v>7451</v>
      </c>
      <c r="G3672" t="s">
        <v>30631</v>
      </c>
      <c r="H3672" t="s">
        <v>30632</v>
      </c>
      <c r="I3672" s="26">
        <v>40833</v>
      </c>
      <c r="J3672">
        <v>2011</v>
      </c>
      <c r="K3672" t="s">
        <v>7451</v>
      </c>
      <c r="L3672">
        <v>284</v>
      </c>
      <c r="M3672" t="s">
        <v>39168</v>
      </c>
      <c r="N3672">
        <v>1</v>
      </c>
      <c r="O3672" t="s">
        <v>39169</v>
      </c>
      <c r="R3672" t="s">
        <v>39170</v>
      </c>
      <c r="S3672" t="s">
        <v>39171</v>
      </c>
      <c r="T3672" t="s">
        <v>30</v>
      </c>
      <c r="U3672" t="s">
        <v>26040</v>
      </c>
      <c r="W3672" t="s">
        <v>26009</v>
      </c>
    </row>
    <row r="3673" spans="1:23" x14ac:dyDescent="0.35">
      <c r="A3673">
        <v>799542</v>
      </c>
      <c r="B3673" t="s">
        <v>39172</v>
      </c>
      <c r="C3673" t="str">
        <f>"9781572246263"</f>
        <v>9781572246263</v>
      </c>
      <c r="D3673" t="str">
        <f>"9781608822980"</f>
        <v>9781608822980</v>
      </c>
      <c r="E3673" t="s">
        <v>7424</v>
      </c>
      <c r="F3673" t="s">
        <v>7424</v>
      </c>
      <c r="G3673" t="s">
        <v>23047</v>
      </c>
      <c r="H3673" t="s">
        <v>26004</v>
      </c>
      <c r="I3673" s="26">
        <v>39995</v>
      </c>
      <c r="J3673">
        <v>2009</v>
      </c>
      <c r="K3673" t="s">
        <v>7424</v>
      </c>
      <c r="L3673">
        <v>258</v>
      </c>
      <c r="M3673" t="s">
        <v>39173</v>
      </c>
      <c r="N3673">
        <v>1</v>
      </c>
      <c r="Q3673" t="s">
        <v>39174</v>
      </c>
      <c r="R3673">
        <v>616.89142500000003</v>
      </c>
      <c r="S3673" t="s">
        <v>39175</v>
      </c>
      <c r="T3673" t="s">
        <v>30</v>
      </c>
      <c r="U3673" t="s">
        <v>26019</v>
      </c>
      <c r="W3673" t="s">
        <v>26009</v>
      </c>
    </row>
    <row r="3674" spans="1:23" x14ac:dyDescent="0.35">
      <c r="A3674">
        <v>799789</v>
      </c>
      <c r="B3674" t="s">
        <v>8947</v>
      </c>
      <c r="C3674" t="str">
        <f>"9789027215390"</f>
        <v>9789027215390</v>
      </c>
      <c r="D3674" t="str">
        <f>"9789027278418"</f>
        <v>9789027278418</v>
      </c>
      <c r="E3674" t="s">
        <v>35211</v>
      </c>
      <c r="F3674" t="s">
        <v>7610</v>
      </c>
      <c r="G3674" t="s">
        <v>35419</v>
      </c>
      <c r="H3674" t="s">
        <v>27983</v>
      </c>
      <c r="I3674" s="26">
        <v>32509</v>
      </c>
      <c r="J3674">
        <v>1989</v>
      </c>
      <c r="K3674" t="s">
        <v>7610</v>
      </c>
      <c r="L3674">
        <v>147</v>
      </c>
      <c r="M3674" t="s">
        <v>39176</v>
      </c>
      <c r="N3674">
        <v>1</v>
      </c>
      <c r="O3674" t="s">
        <v>39148</v>
      </c>
      <c r="P3674">
        <v>33</v>
      </c>
      <c r="Q3674" t="s">
        <v>39177</v>
      </c>
      <c r="R3674" t="s">
        <v>27855</v>
      </c>
      <c r="S3674" t="s">
        <v>8948</v>
      </c>
      <c r="T3674" t="s">
        <v>30</v>
      </c>
      <c r="U3674" t="s">
        <v>26019</v>
      </c>
      <c r="W3674" t="s">
        <v>26009</v>
      </c>
    </row>
    <row r="3675" spans="1:23" x14ac:dyDescent="0.35">
      <c r="A3675">
        <v>799822</v>
      </c>
      <c r="B3675" t="s">
        <v>39178</v>
      </c>
      <c r="C3675" t="str">
        <f>"9789027232724"</f>
        <v>9789027232724</v>
      </c>
      <c r="D3675" t="str">
        <f>"9789027280459"</f>
        <v>9789027280459</v>
      </c>
      <c r="E3675" t="s">
        <v>35211</v>
      </c>
      <c r="F3675" t="s">
        <v>7610</v>
      </c>
      <c r="G3675" t="s">
        <v>35419</v>
      </c>
      <c r="H3675" t="s">
        <v>27983</v>
      </c>
      <c r="I3675" s="26">
        <v>30317</v>
      </c>
      <c r="J3675">
        <v>1983</v>
      </c>
      <c r="K3675" t="s">
        <v>7610</v>
      </c>
      <c r="L3675">
        <v>395</v>
      </c>
      <c r="M3675" t="s">
        <v>39179</v>
      </c>
      <c r="N3675">
        <v>1</v>
      </c>
      <c r="O3675" t="s">
        <v>39180</v>
      </c>
      <c r="P3675">
        <v>2</v>
      </c>
      <c r="Q3675" t="s">
        <v>39181</v>
      </c>
      <c r="R3675">
        <v>401.43</v>
      </c>
      <c r="S3675" t="s">
        <v>39182</v>
      </c>
      <c r="T3675" t="s">
        <v>30</v>
      </c>
      <c r="U3675" t="s">
        <v>28384</v>
      </c>
      <c r="W3675" t="s">
        <v>26009</v>
      </c>
    </row>
    <row r="3676" spans="1:23" x14ac:dyDescent="0.35">
      <c r="A3676">
        <v>799825</v>
      </c>
      <c r="B3676" t="s">
        <v>39183</v>
      </c>
      <c r="C3676" t="str">
        <f>"9781855757677"</f>
        <v>9781855757677</v>
      </c>
      <c r="D3676" t="str">
        <f>"9781849409414"</f>
        <v>9781849409414</v>
      </c>
      <c r="E3676" t="s">
        <v>26010</v>
      </c>
      <c r="F3676" t="s">
        <v>35</v>
      </c>
      <c r="G3676" t="s">
        <v>26128</v>
      </c>
      <c r="H3676" t="s">
        <v>26011</v>
      </c>
      <c r="I3676" s="26">
        <v>41274</v>
      </c>
      <c r="J3676">
        <v>2012</v>
      </c>
      <c r="K3676" t="s">
        <v>26012</v>
      </c>
      <c r="L3676">
        <v>193</v>
      </c>
      <c r="M3676" t="s">
        <v>39184</v>
      </c>
      <c r="N3676">
        <v>1</v>
      </c>
      <c r="S3676" t="s">
        <v>7879</v>
      </c>
      <c r="T3676" t="s">
        <v>30</v>
      </c>
      <c r="U3676" t="s">
        <v>46</v>
      </c>
      <c r="W3676" t="s">
        <v>26009</v>
      </c>
    </row>
    <row r="3677" spans="1:23" x14ac:dyDescent="0.35">
      <c r="A3677">
        <v>799826</v>
      </c>
      <c r="B3677" t="s">
        <v>9557</v>
      </c>
      <c r="C3677" t="str">
        <f>"9781855758865"</f>
        <v>9781855758865</v>
      </c>
      <c r="D3677" t="str">
        <f>"9781849409421"</f>
        <v>9781849409421</v>
      </c>
      <c r="E3677" t="s">
        <v>26010</v>
      </c>
      <c r="F3677" t="s">
        <v>35</v>
      </c>
      <c r="G3677" t="s">
        <v>22174</v>
      </c>
      <c r="H3677" t="s">
        <v>26011</v>
      </c>
      <c r="I3677" s="26">
        <v>41274</v>
      </c>
      <c r="J3677">
        <v>2012</v>
      </c>
      <c r="K3677" t="s">
        <v>26012</v>
      </c>
      <c r="L3677">
        <v>299</v>
      </c>
      <c r="M3677" t="s">
        <v>39185</v>
      </c>
      <c r="N3677">
        <v>1</v>
      </c>
      <c r="Q3677" t="s">
        <v>39186</v>
      </c>
      <c r="R3677">
        <v>150.19499999999999</v>
      </c>
      <c r="S3677" t="s">
        <v>39187</v>
      </c>
      <c r="T3677" t="s">
        <v>30</v>
      </c>
      <c r="U3677" t="s">
        <v>46</v>
      </c>
      <c r="W3677" t="s">
        <v>26009</v>
      </c>
    </row>
    <row r="3678" spans="1:23" x14ac:dyDescent="0.35">
      <c r="A3678">
        <v>800428</v>
      </c>
      <c r="B3678" t="s">
        <v>39188</v>
      </c>
      <c r="C3678" t="str">
        <f>"9781845402273"</f>
        <v>9781845402273</v>
      </c>
      <c r="D3678" t="str">
        <f>"9781845403355"</f>
        <v>9781845403355</v>
      </c>
      <c r="E3678" t="s">
        <v>39189</v>
      </c>
      <c r="F3678" t="s">
        <v>8703</v>
      </c>
      <c r="G3678" t="s">
        <v>39190</v>
      </c>
      <c r="H3678" t="s">
        <v>26011</v>
      </c>
      <c r="I3678" s="26">
        <v>40821</v>
      </c>
      <c r="J3678">
        <v>2011</v>
      </c>
      <c r="K3678" t="s">
        <v>39191</v>
      </c>
      <c r="L3678">
        <v>239</v>
      </c>
      <c r="M3678" t="s">
        <v>39192</v>
      </c>
      <c r="N3678">
        <v>1</v>
      </c>
      <c r="Q3678" t="s">
        <v>39193</v>
      </c>
      <c r="R3678" t="s">
        <v>39194</v>
      </c>
      <c r="S3678" t="s">
        <v>39195</v>
      </c>
      <c r="T3678" t="s">
        <v>30</v>
      </c>
      <c r="U3678" t="s">
        <v>26019</v>
      </c>
      <c r="W3678" t="s">
        <v>39196</v>
      </c>
    </row>
    <row r="3679" spans="1:23" x14ac:dyDescent="0.35">
      <c r="A3679">
        <v>800602</v>
      </c>
      <c r="B3679" t="s">
        <v>39197</v>
      </c>
      <c r="C3679" t="str">
        <f>"9781606239193"</f>
        <v>9781606239193</v>
      </c>
      <c r="D3679" t="str">
        <f>"9781462502714"</f>
        <v>9781462502714</v>
      </c>
      <c r="E3679" t="s">
        <v>30112</v>
      </c>
      <c r="F3679" t="s">
        <v>7420</v>
      </c>
      <c r="G3679" t="s">
        <v>22179</v>
      </c>
      <c r="H3679" t="s">
        <v>26004</v>
      </c>
      <c r="I3679" s="26">
        <v>40840</v>
      </c>
      <c r="J3679">
        <v>2012</v>
      </c>
      <c r="K3679" t="s">
        <v>30113</v>
      </c>
      <c r="L3679">
        <v>385</v>
      </c>
      <c r="M3679" t="s">
        <v>39198</v>
      </c>
      <c r="N3679">
        <v>1</v>
      </c>
      <c r="Q3679" t="s">
        <v>39199</v>
      </c>
      <c r="R3679" t="s">
        <v>28830</v>
      </c>
      <c r="S3679" t="s">
        <v>39200</v>
      </c>
      <c r="T3679" t="s">
        <v>30</v>
      </c>
      <c r="U3679" t="s">
        <v>26116</v>
      </c>
      <c r="W3679" t="s">
        <v>28347</v>
      </c>
    </row>
    <row r="3680" spans="1:23" x14ac:dyDescent="0.35">
      <c r="A3680">
        <v>800604</v>
      </c>
      <c r="B3680" t="s">
        <v>39201</v>
      </c>
      <c r="C3680" t="str">
        <f>"9781462502479"</f>
        <v>9781462502479</v>
      </c>
      <c r="D3680" t="str">
        <f>"9781462502769"</f>
        <v>9781462502769</v>
      </c>
      <c r="E3680" t="s">
        <v>30112</v>
      </c>
      <c r="F3680" t="s">
        <v>7420</v>
      </c>
      <c r="G3680" t="s">
        <v>22179</v>
      </c>
      <c r="H3680" t="s">
        <v>26004</v>
      </c>
      <c r="I3680" s="26">
        <v>40861</v>
      </c>
      <c r="J3680">
        <v>2012</v>
      </c>
      <c r="K3680" t="s">
        <v>30113</v>
      </c>
      <c r="L3680">
        <v>225</v>
      </c>
      <c r="M3680" t="s">
        <v>39202</v>
      </c>
      <c r="N3680">
        <v>1</v>
      </c>
      <c r="Q3680" t="s">
        <v>39203</v>
      </c>
      <c r="R3680" t="s">
        <v>28628</v>
      </c>
      <c r="S3680" t="s">
        <v>39204</v>
      </c>
      <c r="T3680" t="s">
        <v>30</v>
      </c>
      <c r="U3680" t="s">
        <v>28289</v>
      </c>
      <c r="W3680" t="s">
        <v>28347</v>
      </c>
    </row>
    <row r="3681" spans="1:23" x14ac:dyDescent="0.35">
      <c r="A3681">
        <v>800607</v>
      </c>
      <c r="B3681" t="s">
        <v>39205</v>
      </c>
      <c r="C3681" t="str">
        <f>"9781609189730"</f>
        <v>9781609189730</v>
      </c>
      <c r="D3681" t="str">
        <f>"9781609189747"</f>
        <v>9781609189747</v>
      </c>
      <c r="E3681" t="s">
        <v>30112</v>
      </c>
      <c r="F3681" t="s">
        <v>7420</v>
      </c>
      <c r="G3681" t="s">
        <v>22179</v>
      </c>
      <c r="H3681" t="s">
        <v>26004</v>
      </c>
      <c r="I3681" s="26">
        <v>40848</v>
      </c>
      <c r="J3681">
        <v>2012</v>
      </c>
      <c r="K3681" t="s">
        <v>30113</v>
      </c>
      <c r="L3681">
        <v>177</v>
      </c>
      <c r="M3681" t="s">
        <v>39206</v>
      </c>
      <c r="N3681">
        <v>1</v>
      </c>
      <c r="O3681" t="s">
        <v>31750</v>
      </c>
      <c r="Q3681" t="s">
        <v>39207</v>
      </c>
      <c r="R3681" t="s">
        <v>39208</v>
      </c>
      <c r="S3681" t="s">
        <v>39209</v>
      </c>
      <c r="T3681" t="s">
        <v>30</v>
      </c>
      <c r="U3681" t="s">
        <v>337</v>
      </c>
      <c r="W3681" t="s">
        <v>28347</v>
      </c>
    </row>
    <row r="3682" spans="1:23" x14ac:dyDescent="0.35">
      <c r="A3682">
        <v>800608</v>
      </c>
      <c r="B3682" t="s">
        <v>39210</v>
      </c>
      <c r="C3682" t="str">
        <f>"9781462502332"</f>
        <v>9781462502332</v>
      </c>
      <c r="D3682" t="str">
        <f>"9781462502349"</f>
        <v>9781462502349</v>
      </c>
      <c r="E3682" t="s">
        <v>30112</v>
      </c>
      <c r="F3682" t="s">
        <v>7420</v>
      </c>
      <c r="G3682" t="s">
        <v>22179</v>
      </c>
      <c r="H3682" t="s">
        <v>26004</v>
      </c>
      <c r="I3682" s="26">
        <v>40840</v>
      </c>
      <c r="J3682">
        <v>2011</v>
      </c>
      <c r="K3682" t="s">
        <v>30113</v>
      </c>
      <c r="L3682">
        <v>387</v>
      </c>
      <c r="M3682" t="s">
        <v>39211</v>
      </c>
      <c r="N3682">
        <v>2</v>
      </c>
      <c r="Q3682" t="s">
        <v>39212</v>
      </c>
      <c r="R3682" t="s">
        <v>27122</v>
      </c>
      <c r="S3682" t="s">
        <v>39213</v>
      </c>
      <c r="T3682" t="s">
        <v>30</v>
      </c>
      <c r="U3682" t="s">
        <v>26116</v>
      </c>
      <c r="W3682" t="s">
        <v>28347</v>
      </c>
    </row>
    <row r="3683" spans="1:23" x14ac:dyDescent="0.35">
      <c r="A3683">
        <v>800609</v>
      </c>
      <c r="B3683" t="s">
        <v>39214</v>
      </c>
      <c r="C3683" t="str">
        <f>"9781609189815"</f>
        <v>9781609189815</v>
      </c>
      <c r="D3683" t="str">
        <f>"9781609189822"</f>
        <v>9781609189822</v>
      </c>
      <c r="E3683" t="s">
        <v>30112</v>
      </c>
      <c r="F3683" t="s">
        <v>7420</v>
      </c>
      <c r="G3683" t="s">
        <v>22179</v>
      </c>
      <c r="H3683" t="s">
        <v>26004</v>
      </c>
      <c r="I3683" s="26">
        <v>40855</v>
      </c>
      <c r="J3683">
        <v>2012</v>
      </c>
      <c r="K3683" t="s">
        <v>30113</v>
      </c>
      <c r="L3683">
        <v>257</v>
      </c>
      <c r="M3683" t="s">
        <v>39215</v>
      </c>
      <c r="N3683">
        <v>2</v>
      </c>
      <c r="Q3683" t="s">
        <v>39216</v>
      </c>
      <c r="R3683">
        <v>306.89</v>
      </c>
      <c r="S3683" t="s">
        <v>39217</v>
      </c>
      <c r="T3683" t="s">
        <v>30</v>
      </c>
      <c r="U3683" t="s">
        <v>26044</v>
      </c>
      <c r="W3683" t="s">
        <v>28347</v>
      </c>
    </row>
    <row r="3684" spans="1:23" x14ac:dyDescent="0.35">
      <c r="A3684">
        <v>800808</v>
      </c>
      <c r="B3684" t="s">
        <v>39218</v>
      </c>
      <c r="C3684" t="str">
        <f>"9780195389753"</f>
        <v>9780195389753</v>
      </c>
      <c r="D3684" t="str">
        <f>"9780199909452"</f>
        <v>9780199909452</v>
      </c>
      <c r="E3684" t="s">
        <v>371</v>
      </c>
      <c r="F3684" t="s">
        <v>31</v>
      </c>
      <c r="G3684" t="s">
        <v>22703</v>
      </c>
      <c r="H3684" t="s">
        <v>26004</v>
      </c>
      <c r="I3684" s="26">
        <v>40878</v>
      </c>
      <c r="J3684">
        <v>2012</v>
      </c>
      <c r="K3684" t="s">
        <v>31</v>
      </c>
      <c r="L3684">
        <v>167</v>
      </c>
      <c r="M3684" t="s">
        <v>39219</v>
      </c>
      <c r="N3684">
        <v>1</v>
      </c>
      <c r="O3684" t="s">
        <v>39220</v>
      </c>
      <c r="Q3684" t="s">
        <v>39221</v>
      </c>
      <c r="R3684" t="s">
        <v>39222</v>
      </c>
      <c r="S3684" t="s">
        <v>39223</v>
      </c>
      <c r="T3684" t="s">
        <v>30</v>
      </c>
      <c r="U3684" t="s">
        <v>27827</v>
      </c>
      <c r="W3684" t="s">
        <v>26009</v>
      </c>
    </row>
    <row r="3685" spans="1:23" x14ac:dyDescent="0.35">
      <c r="A3685">
        <v>800835</v>
      </c>
      <c r="B3685" t="s">
        <v>8730</v>
      </c>
      <c r="C3685" t="str">
        <f>"9780199742820"</f>
        <v>9780199742820</v>
      </c>
      <c r="D3685" t="str">
        <f>"9780199876631"</f>
        <v>9780199876631</v>
      </c>
      <c r="E3685" t="s">
        <v>371</v>
      </c>
      <c r="F3685" t="s">
        <v>31</v>
      </c>
      <c r="G3685" t="s">
        <v>22179</v>
      </c>
      <c r="H3685" t="s">
        <v>26004</v>
      </c>
      <c r="I3685" s="26">
        <v>40871</v>
      </c>
      <c r="J3685">
        <v>2012</v>
      </c>
      <c r="K3685" t="s">
        <v>31</v>
      </c>
      <c r="L3685">
        <v>223</v>
      </c>
      <c r="M3685" t="s">
        <v>39224</v>
      </c>
      <c r="Q3685" t="s">
        <v>39225</v>
      </c>
      <c r="R3685" t="s">
        <v>39226</v>
      </c>
      <c r="S3685" t="s">
        <v>39227</v>
      </c>
      <c r="T3685" t="s">
        <v>30</v>
      </c>
      <c r="U3685" t="s">
        <v>39228</v>
      </c>
      <c r="W3685" t="s">
        <v>26009</v>
      </c>
    </row>
    <row r="3686" spans="1:23" x14ac:dyDescent="0.35">
      <c r="A3686">
        <v>801385</v>
      </c>
      <c r="B3686" t="s">
        <v>39229</v>
      </c>
      <c r="C3686" t="str">
        <f>"9781572247338"</f>
        <v>9781572247338</v>
      </c>
      <c r="D3686" t="str">
        <f>"9781608822348"</f>
        <v>9781608822348</v>
      </c>
      <c r="E3686" t="s">
        <v>7424</v>
      </c>
      <c r="F3686" t="s">
        <v>7424</v>
      </c>
      <c r="G3686" t="s">
        <v>23047</v>
      </c>
      <c r="H3686" t="s">
        <v>26004</v>
      </c>
      <c r="I3686" s="26">
        <v>40577</v>
      </c>
      <c r="J3686">
        <v>2011</v>
      </c>
      <c r="K3686" t="s">
        <v>7424</v>
      </c>
      <c r="L3686">
        <v>314</v>
      </c>
      <c r="M3686" t="s">
        <v>39230</v>
      </c>
      <c r="N3686">
        <v>1</v>
      </c>
      <c r="Q3686" t="s">
        <v>39231</v>
      </c>
      <c r="R3686" t="s">
        <v>29038</v>
      </c>
      <c r="S3686" t="s">
        <v>39232</v>
      </c>
      <c r="T3686" t="s">
        <v>30</v>
      </c>
      <c r="U3686" t="s">
        <v>26116</v>
      </c>
      <c r="W3686" t="s">
        <v>26009</v>
      </c>
    </row>
    <row r="3687" spans="1:23" x14ac:dyDescent="0.35">
      <c r="A3687">
        <v>801575</v>
      </c>
      <c r="B3687" t="s">
        <v>39233</v>
      </c>
      <c r="C3687" t="str">
        <f>"9780415804462"</f>
        <v>9780415804462</v>
      </c>
      <c r="D3687" t="str">
        <f>"9780203874547"</f>
        <v>9780203874547</v>
      </c>
      <c r="E3687" t="s">
        <v>26010</v>
      </c>
      <c r="F3687" t="s">
        <v>35</v>
      </c>
      <c r="G3687" t="s">
        <v>22174</v>
      </c>
      <c r="H3687" t="s">
        <v>26011</v>
      </c>
      <c r="I3687" s="26">
        <v>40337</v>
      </c>
      <c r="J3687">
        <v>2010</v>
      </c>
      <c r="K3687" t="s">
        <v>26012</v>
      </c>
      <c r="L3687">
        <v>236</v>
      </c>
      <c r="M3687" t="s">
        <v>39234</v>
      </c>
      <c r="N3687">
        <v>1</v>
      </c>
      <c r="O3687" t="s">
        <v>35560</v>
      </c>
      <c r="Q3687" t="s">
        <v>39235</v>
      </c>
      <c r="R3687" t="s">
        <v>33112</v>
      </c>
      <c r="S3687" t="s">
        <v>10049</v>
      </c>
      <c r="T3687" t="s">
        <v>30</v>
      </c>
      <c r="U3687" t="s">
        <v>26019</v>
      </c>
      <c r="W3687" t="s">
        <v>26009</v>
      </c>
    </row>
    <row r="3688" spans="1:23" x14ac:dyDescent="0.35">
      <c r="A3688">
        <v>801593</v>
      </c>
      <c r="B3688" t="s">
        <v>39236</v>
      </c>
      <c r="C3688" t="str">
        <f>"9780789027726"</f>
        <v>9780789027726</v>
      </c>
      <c r="D3688" t="str">
        <f>"9780203819982"</f>
        <v>9780203819982</v>
      </c>
      <c r="E3688" t="s">
        <v>26010</v>
      </c>
      <c r="F3688" t="s">
        <v>35</v>
      </c>
      <c r="G3688" t="s">
        <v>26128</v>
      </c>
      <c r="H3688" t="s">
        <v>26011</v>
      </c>
      <c r="I3688" s="26">
        <v>38398</v>
      </c>
      <c r="J3688">
        <v>2005</v>
      </c>
      <c r="K3688" t="s">
        <v>26012</v>
      </c>
      <c r="L3688">
        <v>879</v>
      </c>
      <c r="M3688" t="s">
        <v>39237</v>
      </c>
      <c r="N3688">
        <v>1</v>
      </c>
      <c r="Q3688" t="s">
        <v>39238</v>
      </c>
      <c r="R3688">
        <v>362.1968521</v>
      </c>
      <c r="S3688" t="s">
        <v>39239</v>
      </c>
      <c r="T3688" t="s">
        <v>30</v>
      </c>
      <c r="U3688" t="s">
        <v>26094</v>
      </c>
      <c r="W3688" t="s">
        <v>26009</v>
      </c>
    </row>
    <row r="3689" spans="1:23" x14ac:dyDescent="0.35">
      <c r="A3689">
        <v>801902</v>
      </c>
      <c r="B3689" t="s">
        <v>39240</v>
      </c>
      <c r="C3689" t="str">
        <f>"9780415492331"</f>
        <v>9780415492331</v>
      </c>
      <c r="D3689" t="str">
        <f>"9780203879917"</f>
        <v>9780203879917</v>
      </c>
      <c r="E3689" t="s">
        <v>26010</v>
      </c>
      <c r="F3689" t="s">
        <v>35</v>
      </c>
      <c r="G3689" t="s">
        <v>26201</v>
      </c>
      <c r="H3689" t="s">
        <v>26004</v>
      </c>
      <c r="I3689" s="26">
        <v>40673</v>
      </c>
      <c r="J3689">
        <v>2011</v>
      </c>
      <c r="K3689" t="s">
        <v>26012</v>
      </c>
      <c r="L3689">
        <v>209</v>
      </c>
      <c r="M3689" t="s">
        <v>39241</v>
      </c>
      <c r="N3689">
        <v>2</v>
      </c>
      <c r="Q3689" t="s">
        <v>39242</v>
      </c>
      <c r="R3689">
        <v>362.29094099999998</v>
      </c>
      <c r="S3689" t="s">
        <v>39243</v>
      </c>
      <c r="T3689" t="s">
        <v>30</v>
      </c>
      <c r="U3689" t="s">
        <v>26094</v>
      </c>
      <c r="W3689" t="s">
        <v>26009</v>
      </c>
    </row>
    <row r="3690" spans="1:23" x14ac:dyDescent="0.35">
      <c r="A3690">
        <v>802014</v>
      </c>
      <c r="B3690" t="s">
        <v>39244</v>
      </c>
      <c r="C3690" t="str">
        <f>"9789027224217"</f>
        <v>9789027224217</v>
      </c>
      <c r="D3690" t="str">
        <f>"9789027276933"</f>
        <v>9789027276933</v>
      </c>
      <c r="E3690" t="s">
        <v>35211</v>
      </c>
      <c r="F3690" t="s">
        <v>7610</v>
      </c>
      <c r="G3690" t="s">
        <v>22190</v>
      </c>
      <c r="H3690" t="s">
        <v>27983</v>
      </c>
      <c r="I3690" s="26">
        <v>34284</v>
      </c>
      <c r="J3690">
        <v>1993</v>
      </c>
      <c r="K3690" t="s">
        <v>7610</v>
      </c>
      <c r="L3690">
        <v>203</v>
      </c>
      <c r="M3690" t="s">
        <v>39245</v>
      </c>
      <c r="N3690">
        <v>1</v>
      </c>
      <c r="O3690" t="s">
        <v>39246</v>
      </c>
      <c r="P3690">
        <v>11</v>
      </c>
      <c r="Q3690" t="s">
        <v>39247</v>
      </c>
      <c r="R3690">
        <v>302.2</v>
      </c>
      <c r="S3690" t="s">
        <v>39248</v>
      </c>
      <c r="T3690" t="s">
        <v>30</v>
      </c>
      <c r="U3690" t="s">
        <v>26044</v>
      </c>
      <c r="W3690" t="s">
        <v>26009</v>
      </c>
    </row>
    <row r="3691" spans="1:23" x14ac:dyDescent="0.35">
      <c r="A3691">
        <v>803586</v>
      </c>
      <c r="B3691" t="s">
        <v>39249</v>
      </c>
      <c r="C3691" t="str">
        <f>"9781439907986"</f>
        <v>9781439907986</v>
      </c>
      <c r="D3691" t="str">
        <f>"9781439908006"</f>
        <v>9781439908006</v>
      </c>
      <c r="E3691" t="s">
        <v>7659</v>
      </c>
      <c r="F3691" t="s">
        <v>7659</v>
      </c>
      <c r="G3691" t="s">
        <v>22190</v>
      </c>
      <c r="H3691" t="s">
        <v>26004</v>
      </c>
      <c r="I3691" s="26">
        <v>40893</v>
      </c>
      <c r="J3691">
        <v>2011</v>
      </c>
      <c r="K3691" t="s">
        <v>7659</v>
      </c>
      <c r="L3691">
        <v>304</v>
      </c>
      <c r="M3691" t="s">
        <v>39250</v>
      </c>
      <c r="N3691">
        <v>2</v>
      </c>
      <c r="Q3691" t="s">
        <v>39251</v>
      </c>
      <c r="R3691" t="s">
        <v>39252</v>
      </c>
      <c r="T3691" t="s">
        <v>30</v>
      </c>
      <c r="U3691" t="s">
        <v>26250</v>
      </c>
      <c r="W3691" t="s">
        <v>26009</v>
      </c>
    </row>
    <row r="3692" spans="1:23" x14ac:dyDescent="0.35">
      <c r="A3692">
        <v>805084</v>
      </c>
      <c r="B3692" t="s">
        <v>39253</v>
      </c>
      <c r="C3692" t="str">
        <f>"9781572249066"</f>
        <v>9781572249066</v>
      </c>
      <c r="D3692" t="str">
        <f>"9781608821402"</f>
        <v>9781608821402</v>
      </c>
      <c r="E3692" t="s">
        <v>7424</v>
      </c>
      <c r="F3692" t="s">
        <v>7419</v>
      </c>
      <c r="G3692" t="s">
        <v>23047</v>
      </c>
      <c r="H3692" t="s">
        <v>26004</v>
      </c>
      <c r="I3692" s="26">
        <v>40483</v>
      </c>
      <c r="J3692">
        <v>2010</v>
      </c>
      <c r="K3692" t="s">
        <v>7419</v>
      </c>
      <c r="L3692">
        <v>290</v>
      </c>
      <c r="M3692" t="s">
        <v>39254</v>
      </c>
      <c r="N3692">
        <v>1</v>
      </c>
      <c r="Q3692" t="s">
        <v>39255</v>
      </c>
      <c r="R3692" t="s">
        <v>33588</v>
      </c>
      <c r="S3692" t="s">
        <v>39256</v>
      </c>
      <c r="T3692" t="s">
        <v>30</v>
      </c>
      <c r="U3692" t="s">
        <v>26019</v>
      </c>
      <c r="W3692" t="s">
        <v>26009</v>
      </c>
    </row>
    <row r="3693" spans="1:23" x14ac:dyDescent="0.35">
      <c r="A3693">
        <v>805087</v>
      </c>
      <c r="B3693" t="s">
        <v>39257</v>
      </c>
      <c r="C3693" t="str">
        <f>"9781572244788"</f>
        <v>9781572244788</v>
      </c>
      <c r="D3693" t="str">
        <f>"9781608826308"</f>
        <v>9781608826308</v>
      </c>
      <c r="E3693" t="s">
        <v>7424</v>
      </c>
      <c r="F3693" t="s">
        <v>7424</v>
      </c>
      <c r="G3693" t="s">
        <v>23047</v>
      </c>
      <c r="H3693" t="s">
        <v>26004</v>
      </c>
      <c r="I3693" s="26">
        <v>39569</v>
      </c>
      <c r="J3693">
        <v>2008</v>
      </c>
      <c r="K3693" t="s">
        <v>7424</v>
      </c>
      <c r="L3693">
        <v>354</v>
      </c>
      <c r="M3693" t="s">
        <v>39258</v>
      </c>
      <c r="N3693">
        <v>1</v>
      </c>
      <c r="Q3693" t="s">
        <v>39259</v>
      </c>
      <c r="R3693" t="s">
        <v>33588</v>
      </c>
      <c r="S3693" t="s">
        <v>7423</v>
      </c>
      <c r="T3693" t="s">
        <v>30</v>
      </c>
      <c r="U3693" t="s">
        <v>26116</v>
      </c>
      <c r="W3693" t="s">
        <v>26009</v>
      </c>
    </row>
    <row r="3694" spans="1:23" x14ac:dyDescent="0.35">
      <c r="A3694">
        <v>805088</v>
      </c>
      <c r="B3694" t="s">
        <v>39260</v>
      </c>
      <c r="C3694" t="str">
        <f>"9781572245365"</f>
        <v>9781572245365</v>
      </c>
      <c r="D3694" t="str">
        <f>"9781608826391"</f>
        <v>9781608826391</v>
      </c>
      <c r="E3694" t="s">
        <v>7424</v>
      </c>
      <c r="F3694" t="s">
        <v>7419</v>
      </c>
      <c r="G3694" t="s">
        <v>23047</v>
      </c>
      <c r="H3694" t="s">
        <v>26004</v>
      </c>
      <c r="I3694" s="26">
        <v>39905</v>
      </c>
      <c r="J3694">
        <v>2009</v>
      </c>
      <c r="K3694" t="s">
        <v>7419</v>
      </c>
      <c r="L3694">
        <v>402</v>
      </c>
      <c r="M3694" t="s">
        <v>39261</v>
      </c>
      <c r="N3694">
        <v>1</v>
      </c>
      <c r="Q3694" t="s">
        <v>39262</v>
      </c>
      <c r="R3694" t="s">
        <v>39263</v>
      </c>
      <c r="S3694" t="s">
        <v>39264</v>
      </c>
      <c r="T3694" t="s">
        <v>30</v>
      </c>
      <c r="U3694" t="s">
        <v>27115</v>
      </c>
      <c r="W3694" t="s">
        <v>26009</v>
      </c>
    </row>
    <row r="3695" spans="1:23" x14ac:dyDescent="0.35">
      <c r="A3695">
        <v>805090</v>
      </c>
      <c r="B3695" t="s">
        <v>39265</v>
      </c>
      <c r="C3695" t="str">
        <f>"9781855758643"</f>
        <v>9781855758643</v>
      </c>
      <c r="D3695" t="str">
        <f>"9781849409438"</f>
        <v>9781849409438</v>
      </c>
      <c r="E3695" t="s">
        <v>26010</v>
      </c>
      <c r="F3695" t="s">
        <v>35</v>
      </c>
      <c r="G3695" t="s">
        <v>22174</v>
      </c>
      <c r="H3695" t="s">
        <v>26011</v>
      </c>
      <c r="I3695" s="26">
        <v>41274</v>
      </c>
      <c r="J3695">
        <v>2012</v>
      </c>
      <c r="K3695" t="s">
        <v>26012</v>
      </c>
      <c r="L3695">
        <v>251</v>
      </c>
      <c r="M3695" t="s">
        <v>39266</v>
      </c>
      <c r="N3695">
        <v>1</v>
      </c>
      <c r="Q3695" t="s">
        <v>39267</v>
      </c>
      <c r="R3695">
        <v>616.85209999999995</v>
      </c>
      <c r="S3695" t="s">
        <v>39268</v>
      </c>
      <c r="T3695" t="s">
        <v>30</v>
      </c>
      <c r="U3695" t="s">
        <v>26019</v>
      </c>
      <c r="W3695" t="s">
        <v>26009</v>
      </c>
    </row>
    <row r="3696" spans="1:23" x14ac:dyDescent="0.35">
      <c r="A3696">
        <v>805091</v>
      </c>
      <c r="B3696" t="s">
        <v>39269</v>
      </c>
      <c r="C3696" t="str">
        <f>"9781855758315"</f>
        <v>9781855758315</v>
      </c>
      <c r="D3696" t="str">
        <f>"9781849409445"</f>
        <v>9781849409445</v>
      </c>
      <c r="E3696" t="s">
        <v>26010</v>
      </c>
      <c r="F3696" t="s">
        <v>35</v>
      </c>
      <c r="G3696" t="s">
        <v>26128</v>
      </c>
      <c r="H3696" t="s">
        <v>26011</v>
      </c>
      <c r="I3696" s="26">
        <v>41274</v>
      </c>
      <c r="J3696">
        <v>2012</v>
      </c>
      <c r="K3696" t="s">
        <v>26012</v>
      </c>
      <c r="L3696">
        <v>238</v>
      </c>
      <c r="M3696" t="s">
        <v>39270</v>
      </c>
      <c r="N3696">
        <v>1</v>
      </c>
      <c r="O3696" t="s">
        <v>37010</v>
      </c>
      <c r="R3696" t="s">
        <v>39271</v>
      </c>
      <c r="S3696" t="s">
        <v>7661</v>
      </c>
      <c r="T3696" t="s">
        <v>30</v>
      </c>
      <c r="U3696" t="s">
        <v>26040</v>
      </c>
      <c r="W3696" t="s">
        <v>26009</v>
      </c>
    </row>
    <row r="3697" spans="1:23" x14ac:dyDescent="0.35">
      <c r="A3697">
        <v>805092</v>
      </c>
      <c r="B3697" t="s">
        <v>39272</v>
      </c>
      <c r="C3697" t="str">
        <f>"9781855757974"</f>
        <v>9781855757974</v>
      </c>
      <c r="D3697" t="str">
        <f>"9781849409452"</f>
        <v>9781849409452</v>
      </c>
      <c r="E3697" t="s">
        <v>26010</v>
      </c>
      <c r="F3697" t="s">
        <v>35</v>
      </c>
      <c r="G3697" t="s">
        <v>22174</v>
      </c>
      <c r="H3697" t="s">
        <v>26011</v>
      </c>
      <c r="I3697" s="26">
        <v>40877</v>
      </c>
      <c r="J3697">
        <v>2011</v>
      </c>
      <c r="K3697" t="s">
        <v>26012</v>
      </c>
      <c r="L3697">
        <v>149</v>
      </c>
      <c r="M3697" t="s">
        <v>39273</v>
      </c>
      <c r="N3697">
        <v>1</v>
      </c>
      <c r="O3697" t="s">
        <v>36510</v>
      </c>
      <c r="Q3697" t="s">
        <v>39274</v>
      </c>
      <c r="R3697">
        <v>616.86</v>
      </c>
      <c r="S3697" t="s">
        <v>39275</v>
      </c>
      <c r="T3697" t="s">
        <v>30</v>
      </c>
      <c r="U3697" t="s">
        <v>26116</v>
      </c>
      <c r="W3697" t="s">
        <v>26009</v>
      </c>
    </row>
    <row r="3698" spans="1:23" x14ac:dyDescent="0.35">
      <c r="A3698">
        <v>805841</v>
      </c>
      <c r="B3698" t="s">
        <v>39276</v>
      </c>
      <c r="C3698" t="str">
        <f>"9789027225481"</f>
        <v>9789027225481</v>
      </c>
      <c r="D3698" t="str">
        <f>"9789027279583"</f>
        <v>9789027279583</v>
      </c>
      <c r="E3698" t="s">
        <v>35211</v>
      </c>
      <c r="F3698" t="s">
        <v>7610</v>
      </c>
      <c r="G3698" t="s">
        <v>22222</v>
      </c>
      <c r="H3698" t="s">
        <v>27983</v>
      </c>
      <c r="I3698" s="26">
        <v>31048</v>
      </c>
      <c r="J3698">
        <v>1985</v>
      </c>
      <c r="K3698" t="s">
        <v>7610</v>
      </c>
      <c r="L3698">
        <v>143</v>
      </c>
      <c r="M3698" t="s">
        <v>39277</v>
      </c>
      <c r="N3698">
        <v>1</v>
      </c>
      <c r="O3698" t="s">
        <v>39278</v>
      </c>
      <c r="Q3698" t="s">
        <v>39279</v>
      </c>
      <c r="R3698">
        <v>362.3</v>
      </c>
      <c r="S3698" t="s">
        <v>39280</v>
      </c>
      <c r="T3698" t="s">
        <v>30</v>
      </c>
      <c r="U3698" t="s">
        <v>26044</v>
      </c>
      <c r="W3698" t="s">
        <v>26009</v>
      </c>
    </row>
    <row r="3699" spans="1:23" x14ac:dyDescent="0.35">
      <c r="A3699">
        <v>805869</v>
      </c>
      <c r="B3699" t="s">
        <v>39281</v>
      </c>
      <c r="C3699" t="str">
        <f>"9781572244870"</f>
        <v>9781572244870</v>
      </c>
      <c r="D3699" t="str">
        <f>"9781608821242"</f>
        <v>9781608821242</v>
      </c>
      <c r="E3699" t="s">
        <v>7424</v>
      </c>
      <c r="F3699" t="s">
        <v>7424</v>
      </c>
      <c r="G3699" t="s">
        <v>23047</v>
      </c>
      <c r="H3699" t="s">
        <v>26004</v>
      </c>
      <c r="I3699" s="26">
        <v>39234</v>
      </c>
      <c r="J3699">
        <v>2007</v>
      </c>
      <c r="K3699" t="s">
        <v>7424</v>
      </c>
      <c r="L3699">
        <v>245</v>
      </c>
      <c r="M3699" t="s">
        <v>39282</v>
      </c>
      <c r="N3699">
        <v>2</v>
      </c>
      <c r="R3699">
        <v>152.46</v>
      </c>
      <c r="S3699" t="s">
        <v>39283</v>
      </c>
      <c r="T3699" t="s">
        <v>30</v>
      </c>
      <c r="U3699" t="s">
        <v>46</v>
      </c>
      <c r="W3699" t="s">
        <v>26009</v>
      </c>
    </row>
    <row r="3700" spans="1:23" x14ac:dyDescent="0.35">
      <c r="A3700">
        <v>807171</v>
      </c>
      <c r="B3700" t="s">
        <v>8506</v>
      </c>
      <c r="C3700" t="str">
        <f>"9780521865142"</f>
        <v>9780521865142</v>
      </c>
      <c r="D3700" t="str">
        <f>"9781139157056"</f>
        <v>9781139157056</v>
      </c>
      <c r="E3700" t="s">
        <v>167</v>
      </c>
      <c r="F3700" t="s">
        <v>167</v>
      </c>
      <c r="G3700" t="s">
        <v>22179</v>
      </c>
      <c r="H3700" t="s">
        <v>26004</v>
      </c>
      <c r="I3700" s="26">
        <v>40805</v>
      </c>
      <c r="J3700">
        <v>2011</v>
      </c>
      <c r="K3700" t="s">
        <v>167</v>
      </c>
      <c r="L3700">
        <v>258</v>
      </c>
      <c r="M3700" t="s">
        <v>39284</v>
      </c>
      <c r="N3700">
        <v>1</v>
      </c>
      <c r="O3700" t="s">
        <v>39285</v>
      </c>
      <c r="P3700">
        <v>9</v>
      </c>
      <c r="Q3700" t="s">
        <v>39286</v>
      </c>
      <c r="R3700">
        <v>305.420951</v>
      </c>
      <c r="S3700" t="s">
        <v>39287</v>
      </c>
      <c r="T3700" t="s">
        <v>30</v>
      </c>
      <c r="U3700" t="s">
        <v>26044</v>
      </c>
      <c r="W3700" t="s">
        <v>26020</v>
      </c>
    </row>
    <row r="3701" spans="1:23" x14ac:dyDescent="0.35">
      <c r="A3701">
        <v>807181</v>
      </c>
      <c r="B3701" t="s">
        <v>39288</v>
      </c>
      <c r="C3701" t="str">
        <f>"9780521899260"</f>
        <v>9780521899260</v>
      </c>
      <c r="D3701" t="str">
        <f>"9781139157155"</f>
        <v>9781139157155</v>
      </c>
      <c r="E3701" t="s">
        <v>167</v>
      </c>
      <c r="F3701" t="s">
        <v>167</v>
      </c>
      <c r="G3701" t="s">
        <v>22218</v>
      </c>
      <c r="H3701" t="s">
        <v>26011</v>
      </c>
      <c r="I3701" s="26">
        <v>40808</v>
      </c>
      <c r="J3701">
        <v>2011</v>
      </c>
      <c r="K3701" t="s">
        <v>167</v>
      </c>
      <c r="L3701">
        <v>228</v>
      </c>
      <c r="M3701" t="s">
        <v>39289</v>
      </c>
      <c r="N3701">
        <v>1</v>
      </c>
      <c r="Q3701" t="s">
        <v>39290</v>
      </c>
      <c r="R3701">
        <v>302.30284999999998</v>
      </c>
      <c r="S3701" t="s">
        <v>39291</v>
      </c>
      <c r="T3701" t="s">
        <v>30</v>
      </c>
      <c r="U3701" t="s">
        <v>26044</v>
      </c>
      <c r="W3701" t="s">
        <v>26020</v>
      </c>
    </row>
    <row r="3702" spans="1:23" x14ac:dyDescent="0.35">
      <c r="A3702">
        <v>807182</v>
      </c>
      <c r="B3702" t="s">
        <v>9048</v>
      </c>
      <c r="C3702" t="str">
        <f>"9781107000216"</f>
        <v>9781107000216</v>
      </c>
      <c r="D3702" t="str">
        <f>"9781139157476"</f>
        <v>9781139157476</v>
      </c>
      <c r="E3702" t="s">
        <v>167</v>
      </c>
      <c r="F3702" t="s">
        <v>167</v>
      </c>
      <c r="G3702" t="s">
        <v>22218</v>
      </c>
      <c r="H3702" t="s">
        <v>26011</v>
      </c>
      <c r="I3702" s="26">
        <v>40843</v>
      </c>
      <c r="J3702">
        <v>2011</v>
      </c>
      <c r="K3702" t="s">
        <v>167</v>
      </c>
      <c r="L3702">
        <v>262</v>
      </c>
      <c r="M3702" t="s">
        <v>39292</v>
      </c>
      <c r="N3702">
        <v>2</v>
      </c>
      <c r="Q3702" t="s">
        <v>39293</v>
      </c>
      <c r="R3702">
        <v>613.83000000000004</v>
      </c>
      <c r="S3702" t="s">
        <v>28222</v>
      </c>
      <c r="T3702" t="s">
        <v>30</v>
      </c>
      <c r="U3702" t="s">
        <v>39294</v>
      </c>
      <c r="W3702" t="s">
        <v>26020</v>
      </c>
    </row>
    <row r="3703" spans="1:23" x14ac:dyDescent="0.35">
      <c r="A3703">
        <v>807216</v>
      </c>
      <c r="B3703" t="s">
        <v>39295</v>
      </c>
      <c r="C3703" t="str">
        <f>"9781107011397"</f>
        <v>9781107011397</v>
      </c>
      <c r="D3703" t="str">
        <f>"9781139157773"</f>
        <v>9781139157773</v>
      </c>
      <c r="E3703" t="s">
        <v>167</v>
      </c>
      <c r="F3703" t="s">
        <v>167</v>
      </c>
      <c r="G3703" t="s">
        <v>22218</v>
      </c>
      <c r="H3703" t="s">
        <v>26011</v>
      </c>
      <c r="I3703" s="26">
        <v>40815</v>
      </c>
      <c r="J3703">
        <v>2011</v>
      </c>
      <c r="K3703" t="s">
        <v>167</v>
      </c>
      <c r="L3703">
        <v>192</v>
      </c>
      <c r="M3703" t="s">
        <v>39296</v>
      </c>
      <c r="N3703">
        <v>1</v>
      </c>
      <c r="Q3703" t="s">
        <v>39297</v>
      </c>
      <c r="R3703" t="s">
        <v>26759</v>
      </c>
      <c r="S3703" t="s">
        <v>39298</v>
      </c>
      <c r="T3703" t="s">
        <v>30</v>
      </c>
      <c r="U3703" t="s">
        <v>46</v>
      </c>
      <c r="W3703" t="s">
        <v>26020</v>
      </c>
    </row>
    <row r="3704" spans="1:23" x14ac:dyDescent="0.35">
      <c r="A3704">
        <v>807247</v>
      </c>
      <c r="B3704" t="s">
        <v>39299</v>
      </c>
      <c r="C3704" t="str">
        <f>"9780521193641"</f>
        <v>9780521193641</v>
      </c>
      <c r="D3704" t="str">
        <f>"9781139185141"</f>
        <v>9781139185141</v>
      </c>
      <c r="E3704" t="s">
        <v>167</v>
      </c>
      <c r="F3704" t="s">
        <v>167</v>
      </c>
      <c r="G3704" t="s">
        <v>22179</v>
      </c>
      <c r="H3704" t="s">
        <v>26004</v>
      </c>
      <c r="I3704" s="26">
        <v>40812</v>
      </c>
      <c r="J3704">
        <v>2011</v>
      </c>
      <c r="K3704" t="s">
        <v>167</v>
      </c>
      <c r="L3704">
        <v>438</v>
      </c>
      <c r="M3704" t="s">
        <v>39300</v>
      </c>
      <c r="N3704">
        <v>1</v>
      </c>
      <c r="Q3704" t="s">
        <v>39301</v>
      </c>
      <c r="R3704">
        <v>158.19999999999999</v>
      </c>
      <c r="S3704" t="s">
        <v>39302</v>
      </c>
      <c r="T3704" t="s">
        <v>30</v>
      </c>
      <c r="U3704" t="s">
        <v>46</v>
      </c>
      <c r="W3704" t="s">
        <v>26020</v>
      </c>
    </row>
    <row r="3705" spans="1:23" x14ac:dyDescent="0.35">
      <c r="A3705">
        <v>807272</v>
      </c>
      <c r="B3705" t="s">
        <v>8223</v>
      </c>
      <c r="C3705" t="str">
        <f>"9780521763820"</f>
        <v>9780521763820</v>
      </c>
      <c r="D3705" t="str">
        <f>"9781139185394"</f>
        <v>9781139185394</v>
      </c>
      <c r="E3705" t="s">
        <v>167</v>
      </c>
      <c r="F3705" t="s">
        <v>167</v>
      </c>
      <c r="G3705" t="s">
        <v>22218</v>
      </c>
      <c r="H3705" t="s">
        <v>26011</v>
      </c>
      <c r="I3705" s="26">
        <v>40836</v>
      </c>
      <c r="J3705">
        <v>2011</v>
      </c>
      <c r="K3705" t="s">
        <v>167</v>
      </c>
      <c r="L3705">
        <v>302</v>
      </c>
      <c r="M3705" t="s">
        <v>39303</v>
      </c>
      <c r="N3705">
        <v>1</v>
      </c>
      <c r="O3705" t="s">
        <v>27408</v>
      </c>
      <c r="P3705">
        <v>13</v>
      </c>
      <c r="Q3705" t="s">
        <v>39304</v>
      </c>
      <c r="R3705">
        <v>305.23099999999999</v>
      </c>
      <c r="S3705" t="s">
        <v>39305</v>
      </c>
      <c r="T3705" t="s">
        <v>30</v>
      </c>
      <c r="U3705" t="s">
        <v>26044</v>
      </c>
      <c r="W3705" t="s">
        <v>26020</v>
      </c>
    </row>
    <row r="3706" spans="1:23" x14ac:dyDescent="0.35">
      <c r="A3706">
        <v>807313</v>
      </c>
      <c r="B3706" t="s">
        <v>9816</v>
      </c>
      <c r="C3706" t="str">
        <f>"9781107001244"</f>
        <v>9781107001244</v>
      </c>
      <c r="D3706" t="str">
        <f>"9781139185783"</f>
        <v>9781139185783</v>
      </c>
      <c r="E3706" t="s">
        <v>167</v>
      </c>
      <c r="F3706" t="s">
        <v>167</v>
      </c>
      <c r="G3706" t="s">
        <v>22179</v>
      </c>
      <c r="H3706" t="s">
        <v>26004</v>
      </c>
      <c r="I3706" s="26">
        <v>40826</v>
      </c>
      <c r="J3706">
        <v>2011</v>
      </c>
      <c r="K3706" t="s">
        <v>167</v>
      </c>
      <c r="L3706">
        <v>202</v>
      </c>
      <c r="M3706" t="s">
        <v>39306</v>
      </c>
      <c r="N3706">
        <v>1</v>
      </c>
      <c r="Q3706" t="s">
        <v>39307</v>
      </c>
      <c r="R3706">
        <v>150.72300000000001</v>
      </c>
      <c r="S3706" t="s">
        <v>39308</v>
      </c>
      <c r="T3706" t="s">
        <v>30</v>
      </c>
      <c r="U3706" t="s">
        <v>46</v>
      </c>
      <c r="W3706" t="s">
        <v>26020</v>
      </c>
    </row>
    <row r="3707" spans="1:23" x14ac:dyDescent="0.35">
      <c r="A3707">
        <v>807316</v>
      </c>
      <c r="B3707" t="s">
        <v>39309</v>
      </c>
      <c r="C3707" t="str">
        <f>"9781107003248"</f>
        <v>9781107003248</v>
      </c>
      <c r="D3707" t="str">
        <f>"9781139185813"</f>
        <v>9781139185813</v>
      </c>
      <c r="E3707" t="s">
        <v>167</v>
      </c>
      <c r="F3707" t="s">
        <v>167</v>
      </c>
      <c r="G3707" t="s">
        <v>22218</v>
      </c>
      <c r="H3707" t="s">
        <v>26011</v>
      </c>
      <c r="I3707" s="26">
        <v>40864</v>
      </c>
      <c r="J3707">
        <v>2011</v>
      </c>
      <c r="K3707" t="s">
        <v>167</v>
      </c>
      <c r="L3707">
        <v>366</v>
      </c>
      <c r="M3707" t="s">
        <v>39310</v>
      </c>
      <c r="N3707">
        <v>1</v>
      </c>
      <c r="O3707" t="s">
        <v>39311</v>
      </c>
      <c r="Q3707" t="s">
        <v>39312</v>
      </c>
      <c r="R3707" t="s">
        <v>39313</v>
      </c>
      <c r="S3707" t="s">
        <v>39314</v>
      </c>
      <c r="T3707" t="s">
        <v>30</v>
      </c>
      <c r="U3707" t="s">
        <v>32350</v>
      </c>
      <c r="W3707" t="s">
        <v>26020</v>
      </c>
    </row>
    <row r="3708" spans="1:23" x14ac:dyDescent="0.35">
      <c r="A3708">
        <v>809603</v>
      </c>
      <c r="B3708" t="s">
        <v>39315</v>
      </c>
      <c r="C3708" t="str">
        <f>"9781935622284"</f>
        <v>9781935622284</v>
      </c>
      <c r="D3708" t="str">
        <f>"9781935622291"</f>
        <v>9781935622291</v>
      </c>
      <c r="E3708" t="s">
        <v>27422</v>
      </c>
      <c r="F3708" t="s">
        <v>9170</v>
      </c>
      <c r="G3708" t="s">
        <v>22179</v>
      </c>
      <c r="H3708" t="s">
        <v>26004</v>
      </c>
      <c r="I3708" s="26">
        <v>40848</v>
      </c>
      <c r="J3708">
        <v>2011</v>
      </c>
      <c r="K3708" t="s">
        <v>9170</v>
      </c>
      <c r="L3708">
        <v>88</v>
      </c>
      <c r="M3708" t="s">
        <v>39316</v>
      </c>
      <c r="Q3708" t="s">
        <v>39317</v>
      </c>
      <c r="R3708" t="s">
        <v>39318</v>
      </c>
      <c r="S3708" t="s">
        <v>39319</v>
      </c>
      <c r="T3708" t="s">
        <v>30</v>
      </c>
      <c r="U3708" t="s">
        <v>39320</v>
      </c>
      <c r="W3708" t="s">
        <v>26009</v>
      </c>
    </row>
    <row r="3709" spans="1:23" x14ac:dyDescent="0.35">
      <c r="A3709">
        <v>811179</v>
      </c>
      <c r="B3709" t="s">
        <v>39321</v>
      </c>
      <c r="C3709" t="str">
        <f>"9781572244726"</f>
        <v>9781572244726</v>
      </c>
      <c r="D3709" t="str">
        <f>"9781608826469"</f>
        <v>9781608826469</v>
      </c>
      <c r="E3709" t="s">
        <v>7424</v>
      </c>
      <c r="F3709" t="s">
        <v>7424</v>
      </c>
      <c r="G3709" t="s">
        <v>23047</v>
      </c>
      <c r="H3709" t="s">
        <v>26004</v>
      </c>
      <c r="I3709" s="26">
        <v>39234</v>
      </c>
      <c r="J3709">
        <v>2007</v>
      </c>
      <c r="K3709" t="s">
        <v>7424</v>
      </c>
      <c r="L3709">
        <v>270</v>
      </c>
      <c r="M3709" t="s">
        <v>39322</v>
      </c>
      <c r="N3709">
        <v>1</v>
      </c>
      <c r="Q3709" t="s">
        <v>39323</v>
      </c>
      <c r="R3709">
        <v>616.85210651</v>
      </c>
      <c r="S3709" t="s">
        <v>7425</v>
      </c>
      <c r="T3709" t="s">
        <v>30</v>
      </c>
      <c r="U3709" t="s">
        <v>26019</v>
      </c>
      <c r="W3709" t="s">
        <v>26009</v>
      </c>
    </row>
    <row r="3710" spans="1:23" x14ac:dyDescent="0.35">
      <c r="A3710">
        <v>816158</v>
      </c>
      <c r="B3710" t="s">
        <v>7675</v>
      </c>
      <c r="C3710" t="str">
        <f>"9780520272330"</f>
        <v>9780520272330</v>
      </c>
      <c r="D3710" t="str">
        <f>"9780520951914"</f>
        <v>9780520951914</v>
      </c>
      <c r="E3710" t="s">
        <v>1612</v>
      </c>
      <c r="F3710" t="s">
        <v>1612</v>
      </c>
      <c r="G3710" t="s">
        <v>22630</v>
      </c>
      <c r="H3710" t="s">
        <v>26004</v>
      </c>
      <c r="I3710" s="26">
        <v>40912</v>
      </c>
      <c r="J3710">
        <v>2012</v>
      </c>
      <c r="K3710" t="s">
        <v>1612</v>
      </c>
      <c r="L3710">
        <v>166</v>
      </c>
      <c r="M3710" t="s">
        <v>39324</v>
      </c>
      <c r="N3710">
        <v>1</v>
      </c>
      <c r="R3710">
        <v>128</v>
      </c>
      <c r="S3710" t="s">
        <v>39325</v>
      </c>
      <c r="T3710" t="s">
        <v>30</v>
      </c>
      <c r="U3710" t="s">
        <v>152</v>
      </c>
      <c r="W3710" t="s">
        <v>26009</v>
      </c>
    </row>
    <row r="3711" spans="1:23" x14ac:dyDescent="0.35">
      <c r="A3711">
        <v>816467</v>
      </c>
      <c r="B3711" t="s">
        <v>39326</v>
      </c>
      <c r="C3711" t="str">
        <f>"9781780490649"</f>
        <v>9781780490649</v>
      </c>
      <c r="D3711" t="str">
        <f>"9781849409490"</f>
        <v>9781849409490</v>
      </c>
      <c r="E3711" t="s">
        <v>26010</v>
      </c>
      <c r="F3711" t="s">
        <v>7673</v>
      </c>
      <c r="G3711" t="s">
        <v>22174</v>
      </c>
      <c r="H3711" t="s">
        <v>26011</v>
      </c>
      <c r="I3711" s="26">
        <v>40908</v>
      </c>
      <c r="J3711">
        <v>2011</v>
      </c>
      <c r="K3711" t="s">
        <v>7673</v>
      </c>
      <c r="L3711">
        <v>121</v>
      </c>
      <c r="M3711" t="s">
        <v>35717</v>
      </c>
      <c r="N3711">
        <v>1</v>
      </c>
      <c r="Q3711" t="s">
        <v>39327</v>
      </c>
      <c r="R3711">
        <v>808.82</v>
      </c>
      <c r="S3711" t="s">
        <v>7674</v>
      </c>
      <c r="T3711" t="s">
        <v>30</v>
      </c>
      <c r="U3711" t="s">
        <v>39328</v>
      </c>
      <c r="W3711" t="s">
        <v>26009</v>
      </c>
    </row>
    <row r="3712" spans="1:23" x14ac:dyDescent="0.35">
      <c r="A3712">
        <v>817139</v>
      </c>
      <c r="B3712" t="s">
        <v>39329</v>
      </c>
      <c r="C3712" t="str">
        <f>"9780761856979"</f>
        <v>9780761856979</v>
      </c>
      <c r="D3712" t="str">
        <f>"9780761856986"</f>
        <v>9780761856986</v>
      </c>
      <c r="E3712" t="s">
        <v>39098</v>
      </c>
      <c r="F3712" t="s">
        <v>34051</v>
      </c>
      <c r="G3712" t="s">
        <v>34328</v>
      </c>
      <c r="H3712" t="s">
        <v>26004</v>
      </c>
      <c r="I3712" s="26">
        <v>40896</v>
      </c>
      <c r="J3712">
        <v>2012</v>
      </c>
      <c r="K3712" t="s">
        <v>34051</v>
      </c>
      <c r="L3712">
        <v>129</v>
      </c>
      <c r="M3712" t="s">
        <v>39330</v>
      </c>
      <c r="N3712">
        <v>1</v>
      </c>
      <c r="Q3712" t="s">
        <v>39331</v>
      </c>
      <c r="R3712">
        <v>616.89152000000001</v>
      </c>
      <c r="S3712" t="s">
        <v>8558</v>
      </c>
      <c r="T3712" t="s">
        <v>30</v>
      </c>
      <c r="U3712" t="s">
        <v>26534</v>
      </c>
      <c r="W3712" t="s">
        <v>26009</v>
      </c>
    </row>
    <row r="3713" spans="1:23" x14ac:dyDescent="0.35">
      <c r="A3713">
        <v>817162</v>
      </c>
      <c r="B3713" t="s">
        <v>39332</v>
      </c>
      <c r="C3713" t="str">
        <f>"9780765706553"</f>
        <v>9780765706553</v>
      </c>
      <c r="D3713" t="str">
        <f>"9780765706577"</f>
        <v>9780765706577</v>
      </c>
      <c r="E3713" t="s">
        <v>33803</v>
      </c>
      <c r="F3713" t="s">
        <v>38</v>
      </c>
      <c r="G3713" t="s">
        <v>34138</v>
      </c>
      <c r="H3713" t="s">
        <v>26004</v>
      </c>
      <c r="I3713" s="26">
        <v>40897</v>
      </c>
      <c r="J3713">
        <v>2012</v>
      </c>
      <c r="K3713" t="s">
        <v>33811</v>
      </c>
      <c r="L3713">
        <v>239</v>
      </c>
      <c r="M3713" t="s">
        <v>39333</v>
      </c>
      <c r="N3713">
        <v>1</v>
      </c>
      <c r="O3713" t="s">
        <v>39334</v>
      </c>
      <c r="Q3713" t="s">
        <v>39335</v>
      </c>
      <c r="R3713">
        <v>616.89</v>
      </c>
      <c r="S3713" t="s">
        <v>39336</v>
      </c>
      <c r="T3713" t="s">
        <v>30</v>
      </c>
      <c r="U3713" t="s">
        <v>26040</v>
      </c>
      <c r="W3713" t="s">
        <v>26009</v>
      </c>
    </row>
    <row r="3714" spans="1:23" x14ac:dyDescent="0.35">
      <c r="A3714">
        <v>819615</v>
      </c>
      <c r="B3714" t="s">
        <v>7915</v>
      </c>
      <c r="C3714" t="str">
        <f>"9781606239957"</f>
        <v>9781606239957</v>
      </c>
      <c r="D3714" t="str">
        <f>"9781609189594"</f>
        <v>9781609189594</v>
      </c>
      <c r="E3714" t="s">
        <v>30112</v>
      </c>
      <c r="F3714" t="s">
        <v>7420</v>
      </c>
      <c r="G3714" t="s">
        <v>22179</v>
      </c>
      <c r="H3714" t="s">
        <v>26004</v>
      </c>
      <c r="I3714" s="26">
        <v>40861</v>
      </c>
      <c r="J3714">
        <v>2012</v>
      </c>
      <c r="K3714" t="s">
        <v>30113</v>
      </c>
      <c r="L3714">
        <v>320</v>
      </c>
      <c r="M3714" t="s">
        <v>39337</v>
      </c>
      <c r="N3714">
        <v>1</v>
      </c>
      <c r="Q3714" t="s">
        <v>39338</v>
      </c>
      <c r="R3714" t="s">
        <v>39339</v>
      </c>
      <c r="S3714" t="s">
        <v>39340</v>
      </c>
      <c r="T3714" t="s">
        <v>30</v>
      </c>
      <c r="U3714" t="s">
        <v>26250</v>
      </c>
      <c r="W3714" t="s">
        <v>28347</v>
      </c>
    </row>
    <row r="3715" spans="1:23" x14ac:dyDescent="0.35">
      <c r="A3715">
        <v>819912</v>
      </c>
      <c r="B3715" t="s">
        <v>39341</v>
      </c>
      <c r="C3715" t="str">
        <f>"9789042034006"</f>
        <v>9789042034006</v>
      </c>
      <c r="D3715" t="str">
        <f>"9789401206877"</f>
        <v>9789401206877</v>
      </c>
      <c r="E3715" t="s">
        <v>4602</v>
      </c>
      <c r="F3715" t="s">
        <v>27</v>
      </c>
      <c r="G3715" t="s">
        <v>22231</v>
      </c>
      <c r="H3715" t="s">
        <v>26004</v>
      </c>
      <c r="I3715" s="26">
        <v>40544</v>
      </c>
      <c r="J3715">
        <v>2011</v>
      </c>
      <c r="K3715" t="s">
        <v>34659</v>
      </c>
      <c r="L3715">
        <v>229</v>
      </c>
      <c r="M3715" t="s">
        <v>39342</v>
      </c>
      <c r="N3715">
        <v>1</v>
      </c>
      <c r="O3715" t="s">
        <v>34661</v>
      </c>
      <c r="P3715">
        <v>77</v>
      </c>
      <c r="T3715" t="s">
        <v>30</v>
      </c>
      <c r="U3715" t="s">
        <v>26044</v>
      </c>
      <c r="W3715" t="s">
        <v>26009</v>
      </c>
    </row>
    <row r="3716" spans="1:23" x14ac:dyDescent="0.35">
      <c r="A3716">
        <v>819915</v>
      </c>
      <c r="B3716" t="s">
        <v>39343</v>
      </c>
      <c r="C3716" t="str">
        <f>"9789042034044"</f>
        <v>9789042034044</v>
      </c>
      <c r="D3716" t="str">
        <f>"9789401206914"</f>
        <v>9789401206914</v>
      </c>
      <c r="E3716" t="s">
        <v>4602</v>
      </c>
      <c r="F3716" t="s">
        <v>27</v>
      </c>
      <c r="G3716" t="s">
        <v>22231</v>
      </c>
      <c r="H3716" t="s">
        <v>26004</v>
      </c>
      <c r="I3716" s="26">
        <v>40544</v>
      </c>
      <c r="J3716">
        <v>2011</v>
      </c>
      <c r="K3716" t="s">
        <v>34659</v>
      </c>
      <c r="L3716">
        <v>154</v>
      </c>
      <c r="M3716" t="s">
        <v>39344</v>
      </c>
      <c r="N3716">
        <v>1</v>
      </c>
      <c r="O3716" t="s">
        <v>34745</v>
      </c>
      <c r="P3716">
        <v>235</v>
      </c>
      <c r="T3716" t="s">
        <v>30</v>
      </c>
      <c r="U3716" t="s">
        <v>152</v>
      </c>
      <c r="W3716" t="s">
        <v>26009</v>
      </c>
    </row>
    <row r="3717" spans="1:23" x14ac:dyDescent="0.35">
      <c r="A3717">
        <v>819926</v>
      </c>
      <c r="B3717" t="s">
        <v>39345</v>
      </c>
      <c r="C3717" t="str">
        <f>"9789042034266"</f>
        <v>9789042034266</v>
      </c>
      <c r="D3717" t="str">
        <f>"9789401207140"</f>
        <v>9789401207140</v>
      </c>
      <c r="E3717" t="s">
        <v>4602</v>
      </c>
      <c r="F3717" t="s">
        <v>27</v>
      </c>
      <c r="G3717" t="s">
        <v>22179</v>
      </c>
      <c r="H3717" t="s">
        <v>26004</v>
      </c>
      <c r="I3717" s="26">
        <v>40544</v>
      </c>
      <c r="J3717">
        <v>2011</v>
      </c>
      <c r="K3717" t="s">
        <v>34659</v>
      </c>
      <c r="L3717">
        <v>158</v>
      </c>
      <c r="M3717" t="s">
        <v>39346</v>
      </c>
      <c r="N3717">
        <v>1</v>
      </c>
      <c r="O3717" t="s">
        <v>1729</v>
      </c>
      <c r="P3717">
        <v>12</v>
      </c>
      <c r="Q3717" t="s">
        <v>39347</v>
      </c>
      <c r="T3717" t="s">
        <v>30</v>
      </c>
      <c r="U3717" t="s">
        <v>152</v>
      </c>
      <c r="W3717" t="s">
        <v>26009</v>
      </c>
    </row>
    <row r="3718" spans="1:23" x14ac:dyDescent="0.35">
      <c r="A3718">
        <v>820115</v>
      </c>
      <c r="B3718" t="s">
        <v>7549</v>
      </c>
      <c r="C3718" t="str">
        <f>"9781844453047"</f>
        <v>9781844453047</v>
      </c>
      <c r="D3718" t="str">
        <f>"9781844458301"</f>
        <v>9781844458301</v>
      </c>
      <c r="E3718" t="s">
        <v>28007</v>
      </c>
      <c r="F3718" t="s">
        <v>7430</v>
      </c>
      <c r="G3718" t="s">
        <v>22174</v>
      </c>
      <c r="H3718" t="s">
        <v>26011</v>
      </c>
      <c r="I3718" s="26">
        <v>41088</v>
      </c>
      <c r="J3718">
        <v>2009</v>
      </c>
      <c r="K3718" t="s">
        <v>39348</v>
      </c>
      <c r="L3718">
        <v>164</v>
      </c>
      <c r="M3718" t="s">
        <v>39349</v>
      </c>
      <c r="N3718">
        <v>2</v>
      </c>
      <c r="O3718" t="s">
        <v>39350</v>
      </c>
      <c r="Q3718" t="s">
        <v>39351</v>
      </c>
      <c r="R3718">
        <v>616.89179999999999</v>
      </c>
      <c r="S3718" t="s">
        <v>39352</v>
      </c>
      <c r="T3718" t="s">
        <v>30</v>
      </c>
      <c r="U3718" t="s">
        <v>28629</v>
      </c>
      <c r="W3718" t="s">
        <v>26009</v>
      </c>
    </row>
    <row r="3719" spans="1:23" x14ac:dyDescent="0.35">
      <c r="A3719">
        <v>820148</v>
      </c>
      <c r="B3719" t="s">
        <v>9904</v>
      </c>
      <c r="C3719" t="str">
        <f>"9781844451302"</f>
        <v>9781844451302</v>
      </c>
      <c r="D3719" t="str">
        <f>"9781844458042"</f>
        <v>9781844458042</v>
      </c>
      <c r="E3719" t="s">
        <v>28007</v>
      </c>
      <c r="F3719" t="s">
        <v>7430</v>
      </c>
      <c r="G3719" t="s">
        <v>22174</v>
      </c>
      <c r="H3719" t="s">
        <v>26011</v>
      </c>
      <c r="I3719" s="26">
        <v>43980</v>
      </c>
      <c r="J3719">
        <v>2008</v>
      </c>
      <c r="K3719" t="s">
        <v>39348</v>
      </c>
      <c r="L3719">
        <v>257</v>
      </c>
      <c r="M3719" t="s">
        <v>39353</v>
      </c>
      <c r="N3719">
        <v>1</v>
      </c>
      <c r="O3719" t="s">
        <v>39354</v>
      </c>
      <c r="Q3719" t="s">
        <v>39355</v>
      </c>
      <c r="R3719">
        <v>362.20425094109999</v>
      </c>
      <c r="S3719" t="s">
        <v>9905</v>
      </c>
      <c r="T3719" t="s">
        <v>30</v>
      </c>
      <c r="U3719" t="s">
        <v>26094</v>
      </c>
      <c r="W3719" t="s">
        <v>26009</v>
      </c>
    </row>
    <row r="3720" spans="1:23" x14ac:dyDescent="0.35">
      <c r="A3720">
        <v>822348</v>
      </c>
      <c r="B3720" t="s">
        <v>8468</v>
      </c>
      <c r="C3720" t="str">
        <f>"9781855757387"</f>
        <v>9781855757387</v>
      </c>
      <c r="D3720" t="str">
        <f>"9781849409469"</f>
        <v>9781849409469</v>
      </c>
      <c r="E3720" t="s">
        <v>26010</v>
      </c>
      <c r="F3720" t="s">
        <v>35</v>
      </c>
      <c r="G3720" t="s">
        <v>22174</v>
      </c>
      <c r="H3720" t="s">
        <v>26011</v>
      </c>
      <c r="I3720" s="26">
        <v>40908</v>
      </c>
      <c r="J3720">
        <v>2011</v>
      </c>
      <c r="K3720" t="s">
        <v>26012</v>
      </c>
      <c r="L3720">
        <v>269</v>
      </c>
      <c r="M3720" t="s">
        <v>39356</v>
      </c>
      <c r="N3720">
        <v>1</v>
      </c>
      <c r="Q3720" t="s">
        <v>39357</v>
      </c>
      <c r="R3720">
        <v>150.1952</v>
      </c>
      <c r="S3720" t="s">
        <v>39358</v>
      </c>
      <c r="T3720" t="s">
        <v>30</v>
      </c>
      <c r="U3720" t="s">
        <v>46</v>
      </c>
      <c r="W3720" t="s">
        <v>26009</v>
      </c>
    </row>
    <row r="3721" spans="1:23" x14ac:dyDescent="0.35">
      <c r="A3721">
        <v>822349</v>
      </c>
      <c r="B3721" t="s">
        <v>39359</v>
      </c>
      <c r="C3721" t="str">
        <f>"9781855757776"</f>
        <v>9781855757776</v>
      </c>
      <c r="D3721" t="str">
        <f>"9781849409476"</f>
        <v>9781849409476</v>
      </c>
      <c r="E3721" t="s">
        <v>26010</v>
      </c>
      <c r="F3721" t="s">
        <v>35</v>
      </c>
      <c r="G3721" t="s">
        <v>22174</v>
      </c>
      <c r="H3721" t="s">
        <v>26011</v>
      </c>
      <c r="I3721" s="26">
        <v>41274</v>
      </c>
      <c r="J3721">
        <v>2012</v>
      </c>
      <c r="K3721" t="s">
        <v>26012</v>
      </c>
      <c r="L3721">
        <v>200</v>
      </c>
      <c r="M3721" t="s">
        <v>39360</v>
      </c>
      <c r="N3721">
        <v>1</v>
      </c>
      <c r="Q3721" t="s">
        <v>39361</v>
      </c>
      <c r="R3721">
        <v>616.89139999999998</v>
      </c>
      <c r="S3721" t="s">
        <v>39362</v>
      </c>
      <c r="T3721" t="s">
        <v>30</v>
      </c>
      <c r="U3721" t="s">
        <v>26116</v>
      </c>
      <c r="W3721" t="s">
        <v>26009</v>
      </c>
    </row>
    <row r="3722" spans="1:23" x14ac:dyDescent="0.35">
      <c r="A3722">
        <v>822351</v>
      </c>
      <c r="B3722" t="s">
        <v>39363</v>
      </c>
      <c r="C3722" t="str">
        <f>"9781855757783"</f>
        <v>9781855757783</v>
      </c>
      <c r="D3722" t="str">
        <f>"9781849409506"</f>
        <v>9781849409506</v>
      </c>
      <c r="E3722" t="s">
        <v>26010</v>
      </c>
      <c r="F3722" t="s">
        <v>35</v>
      </c>
      <c r="G3722" t="s">
        <v>22174</v>
      </c>
      <c r="H3722" t="s">
        <v>26011</v>
      </c>
      <c r="I3722" s="26">
        <v>41274</v>
      </c>
      <c r="J3722">
        <v>2012</v>
      </c>
      <c r="K3722" t="s">
        <v>26012</v>
      </c>
      <c r="L3722">
        <v>271</v>
      </c>
      <c r="M3722" t="s">
        <v>38139</v>
      </c>
      <c r="N3722">
        <v>1</v>
      </c>
      <c r="O3722" t="s">
        <v>36505</v>
      </c>
      <c r="Q3722" t="s">
        <v>39364</v>
      </c>
      <c r="R3722">
        <v>616.89139999999998</v>
      </c>
      <c r="S3722" t="s">
        <v>39365</v>
      </c>
      <c r="T3722" t="s">
        <v>30</v>
      </c>
      <c r="U3722" t="s">
        <v>26116</v>
      </c>
      <c r="W3722" t="s">
        <v>26009</v>
      </c>
    </row>
    <row r="3723" spans="1:23" x14ac:dyDescent="0.35">
      <c r="A3723">
        <v>822352</v>
      </c>
      <c r="B3723" t="s">
        <v>39366</v>
      </c>
      <c r="C3723" t="str">
        <f>"9781780490373"</f>
        <v>9781780490373</v>
      </c>
      <c r="D3723" t="str">
        <f>"9781849409520"</f>
        <v>9781849409520</v>
      </c>
      <c r="E3723" t="s">
        <v>26010</v>
      </c>
      <c r="F3723" t="s">
        <v>35</v>
      </c>
      <c r="G3723" t="s">
        <v>22174</v>
      </c>
      <c r="H3723" t="s">
        <v>26011</v>
      </c>
      <c r="I3723" s="26">
        <v>41274</v>
      </c>
      <c r="J3723">
        <v>2012</v>
      </c>
      <c r="K3723" t="s">
        <v>26012</v>
      </c>
      <c r="L3723">
        <v>160</v>
      </c>
      <c r="M3723" t="s">
        <v>39367</v>
      </c>
      <c r="N3723">
        <v>1</v>
      </c>
      <c r="O3723" t="s">
        <v>37304</v>
      </c>
      <c r="Q3723" t="s">
        <v>39368</v>
      </c>
      <c r="R3723">
        <v>305.90692000000001</v>
      </c>
      <c r="S3723" t="s">
        <v>7737</v>
      </c>
      <c r="T3723" t="s">
        <v>30</v>
      </c>
      <c r="U3723" t="s">
        <v>32430</v>
      </c>
      <c r="W3723" t="s">
        <v>26009</v>
      </c>
    </row>
    <row r="3724" spans="1:23" x14ac:dyDescent="0.35">
      <c r="A3724">
        <v>822353</v>
      </c>
      <c r="B3724" t="s">
        <v>39369</v>
      </c>
      <c r="C3724" t="str">
        <f>"9781780490489"</f>
        <v>9781780490489</v>
      </c>
      <c r="D3724" t="str">
        <f>"9781849409537"</f>
        <v>9781849409537</v>
      </c>
      <c r="E3724" t="s">
        <v>26010</v>
      </c>
      <c r="F3724" t="s">
        <v>35</v>
      </c>
      <c r="G3724" t="s">
        <v>22174</v>
      </c>
      <c r="H3724" t="s">
        <v>26011</v>
      </c>
      <c r="I3724" s="26">
        <v>41274</v>
      </c>
      <c r="J3724">
        <v>2012</v>
      </c>
      <c r="K3724" t="s">
        <v>26012</v>
      </c>
      <c r="L3724">
        <v>337</v>
      </c>
      <c r="M3724" t="s">
        <v>39370</v>
      </c>
      <c r="N3724">
        <v>1</v>
      </c>
      <c r="Q3724" t="s">
        <v>39371</v>
      </c>
      <c r="R3724">
        <v>155.91</v>
      </c>
      <c r="S3724" t="s">
        <v>8735</v>
      </c>
      <c r="T3724" t="s">
        <v>30</v>
      </c>
      <c r="U3724" t="s">
        <v>26228</v>
      </c>
      <c r="W3724" t="s">
        <v>26009</v>
      </c>
    </row>
    <row r="3725" spans="1:23" x14ac:dyDescent="0.35">
      <c r="A3725">
        <v>823376</v>
      </c>
      <c r="B3725" t="s">
        <v>39372</v>
      </c>
      <c r="C3725" t="str">
        <f>"9781609189990"</f>
        <v>9781609189990</v>
      </c>
      <c r="D3725" t="str">
        <f>"9781462502523"</f>
        <v>9781462502523</v>
      </c>
      <c r="E3725" t="s">
        <v>30112</v>
      </c>
      <c r="F3725" t="s">
        <v>7420</v>
      </c>
      <c r="G3725" t="s">
        <v>22179</v>
      </c>
      <c r="H3725" t="s">
        <v>26004</v>
      </c>
      <c r="I3725" s="26">
        <v>40886</v>
      </c>
      <c r="J3725">
        <v>2012</v>
      </c>
      <c r="K3725" t="s">
        <v>30113</v>
      </c>
      <c r="L3725">
        <v>465</v>
      </c>
      <c r="M3725" t="s">
        <v>39373</v>
      </c>
      <c r="N3725">
        <v>2</v>
      </c>
      <c r="Q3725" t="s">
        <v>39374</v>
      </c>
      <c r="R3725" t="s">
        <v>39375</v>
      </c>
      <c r="S3725" t="s">
        <v>39376</v>
      </c>
      <c r="T3725" t="s">
        <v>30</v>
      </c>
      <c r="U3725" t="s">
        <v>26044</v>
      </c>
      <c r="W3725" t="s">
        <v>28347</v>
      </c>
    </row>
    <row r="3726" spans="1:23" x14ac:dyDescent="0.35">
      <c r="A3726">
        <v>823569</v>
      </c>
      <c r="B3726" t="s">
        <v>39377</v>
      </c>
      <c r="C3726" t="str">
        <f>"9781409412540"</f>
        <v>9781409412540</v>
      </c>
      <c r="D3726" t="str">
        <f>"9781409412557"</f>
        <v>9781409412557</v>
      </c>
      <c r="E3726" t="s">
        <v>26010</v>
      </c>
      <c r="F3726" t="s">
        <v>35</v>
      </c>
      <c r="G3726" t="s">
        <v>33516</v>
      </c>
      <c r="H3726" t="s">
        <v>26011</v>
      </c>
      <c r="I3726" s="26">
        <v>40905</v>
      </c>
      <c r="J3726">
        <v>2012</v>
      </c>
      <c r="K3726" t="s">
        <v>26470</v>
      </c>
      <c r="L3726">
        <v>187</v>
      </c>
      <c r="M3726" t="s">
        <v>39378</v>
      </c>
      <c r="N3726">
        <v>1</v>
      </c>
      <c r="Q3726" t="s">
        <v>39379</v>
      </c>
      <c r="R3726" t="s">
        <v>39380</v>
      </c>
      <c r="S3726" t="s">
        <v>39381</v>
      </c>
      <c r="T3726" t="s">
        <v>30</v>
      </c>
      <c r="U3726" t="s">
        <v>26040</v>
      </c>
      <c r="W3726" t="s">
        <v>26009</v>
      </c>
    </row>
    <row r="3727" spans="1:23" x14ac:dyDescent="0.35">
      <c r="A3727">
        <v>823623</v>
      </c>
      <c r="B3727" t="s">
        <v>7459</v>
      </c>
      <c r="C3727" t="str">
        <f>"9780857247735"</f>
        <v>9780857247735</v>
      </c>
      <c r="D3727" t="str">
        <f>"9780857247742"</f>
        <v>9780857247742</v>
      </c>
      <c r="E3727" t="s">
        <v>7442</v>
      </c>
      <c r="F3727" t="s">
        <v>7442</v>
      </c>
      <c r="G3727" t="s">
        <v>22261</v>
      </c>
      <c r="H3727" t="s">
        <v>26011</v>
      </c>
      <c r="I3727" s="26">
        <v>40848</v>
      </c>
      <c r="J3727">
        <v>2011</v>
      </c>
      <c r="K3727" t="s">
        <v>7442</v>
      </c>
      <c r="L3727">
        <v>296</v>
      </c>
      <c r="M3727" t="s">
        <v>39382</v>
      </c>
      <c r="N3727">
        <v>1</v>
      </c>
      <c r="O3727" t="s">
        <v>35093</v>
      </c>
      <c r="P3727">
        <v>28</v>
      </c>
      <c r="Q3727" t="s">
        <v>33281</v>
      </c>
      <c r="R3727">
        <v>302.3</v>
      </c>
      <c r="S3727" t="s">
        <v>39383</v>
      </c>
      <c r="T3727" t="s">
        <v>30</v>
      </c>
      <c r="U3727" t="s">
        <v>26044</v>
      </c>
      <c r="W3727" t="s">
        <v>33559</v>
      </c>
    </row>
    <row r="3728" spans="1:23" x14ac:dyDescent="0.35">
      <c r="A3728">
        <v>824409</v>
      </c>
      <c r="B3728" t="s">
        <v>9623</v>
      </c>
      <c r="C3728" t="str">
        <f>"9780521113724"</f>
        <v>9780521113724</v>
      </c>
      <c r="D3728" t="str">
        <f>"9781139202886"</f>
        <v>9781139202886</v>
      </c>
      <c r="E3728" t="s">
        <v>167</v>
      </c>
      <c r="F3728" t="s">
        <v>167</v>
      </c>
      <c r="G3728" t="s">
        <v>22218</v>
      </c>
      <c r="H3728" t="s">
        <v>26011</v>
      </c>
      <c r="I3728" s="26">
        <v>40892</v>
      </c>
      <c r="J3728">
        <v>2011</v>
      </c>
      <c r="K3728" t="s">
        <v>167</v>
      </c>
      <c r="L3728">
        <v>215</v>
      </c>
      <c r="M3728" t="s">
        <v>39384</v>
      </c>
      <c r="N3728">
        <v>1</v>
      </c>
      <c r="Q3728" t="s">
        <v>39385</v>
      </c>
      <c r="R3728" t="s">
        <v>39386</v>
      </c>
      <c r="S3728" t="s">
        <v>39387</v>
      </c>
      <c r="T3728" t="s">
        <v>30</v>
      </c>
      <c r="U3728" t="s">
        <v>5222</v>
      </c>
      <c r="W3728" t="s">
        <v>26020</v>
      </c>
    </row>
    <row r="3729" spans="1:23" x14ac:dyDescent="0.35">
      <c r="A3729">
        <v>824427</v>
      </c>
      <c r="B3729" t="s">
        <v>39388</v>
      </c>
      <c r="C3729" t="str">
        <f>"9780521509909"</f>
        <v>9780521509909</v>
      </c>
      <c r="D3729" t="str">
        <f>"9781139203067"</f>
        <v>9781139203067</v>
      </c>
      <c r="E3729" t="s">
        <v>167</v>
      </c>
      <c r="F3729" t="s">
        <v>167</v>
      </c>
      <c r="G3729" t="s">
        <v>22218</v>
      </c>
      <c r="H3729" t="s">
        <v>26011</v>
      </c>
      <c r="I3729" s="26">
        <v>40871</v>
      </c>
      <c r="J3729">
        <v>2011</v>
      </c>
      <c r="K3729" t="s">
        <v>167</v>
      </c>
      <c r="L3729">
        <v>318</v>
      </c>
      <c r="M3729" t="s">
        <v>39389</v>
      </c>
      <c r="N3729">
        <v>1</v>
      </c>
      <c r="Q3729" t="s">
        <v>39390</v>
      </c>
      <c r="R3729">
        <v>150.1952</v>
      </c>
      <c r="S3729" t="s">
        <v>39391</v>
      </c>
      <c r="T3729" t="s">
        <v>30</v>
      </c>
      <c r="U3729" t="s">
        <v>46</v>
      </c>
      <c r="W3729" t="s">
        <v>26020</v>
      </c>
    </row>
    <row r="3730" spans="1:23" x14ac:dyDescent="0.35">
      <c r="A3730">
        <v>824435</v>
      </c>
      <c r="B3730" t="s">
        <v>39392</v>
      </c>
      <c r="C3730" t="str">
        <f>"9780521766494"</f>
        <v>9780521766494</v>
      </c>
      <c r="D3730" t="str">
        <f>"9781139203173"</f>
        <v>9781139203173</v>
      </c>
      <c r="E3730" t="s">
        <v>167</v>
      </c>
      <c r="F3730" t="s">
        <v>167</v>
      </c>
      <c r="G3730" t="s">
        <v>22218</v>
      </c>
      <c r="H3730" t="s">
        <v>26011</v>
      </c>
      <c r="I3730" s="26">
        <v>40857</v>
      </c>
      <c r="J3730">
        <v>2011</v>
      </c>
      <c r="K3730" t="s">
        <v>167</v>
      </c>
      <c r="L3730">
        <v>272</v>
      </c>
      <c r="M3730" t="s">
        <v>39393</v>
      </c>
      <c r="N3730">
        <v>1</v>
      </c>
      <c r="Q3730" t="s">
        <v>39394</v>
      </c>
      <c r="R3730">
        <v>154.19999999999999</v>
      </c>
      <c r="S3730" t="s">
        <v>39395</v>
      </c>
      <c r="T3730" t="s">
        <v>30</v>
      </c>
      <c r="U3730" t="s">
        <v>46</v>
      </c>
      <c r="W3730" t="s">
        <v>26020</v>
      </c>
    </row>
    <row r="3731" spans="1:23" x14ac:dyDescent="0.35">
      <c r="A3731">
        <v>824459</v>
      </c>
      <c r="B3731" t="s">
        <v>8608</v>
      </c>
      <c r="C3731" t="str">
        <f>"9781107006515"</f>
        <v>9781107006515</v>
      </c>
      <c r="D3731" t="str">
        <f>"9781139203432"</f>
        <v>9781139203432</v>
      </c>
      <c r="E3731" t="s">
        <v>167</v>
      </c>
      <c r="F3731" t="s">
        <v>167</v>
      </c>
      <c r="G3731" t="s">
        <v>22218</v>
      </c>
      <c r="H3731" t="s">
        <v>26011</v>
      </c>
      <c r="I3731" s="26">
        <v>40871</v>
      </c>
      <c r="J3731">
        <v>2011</v>
      </c>
      <c r="K3731" t="s">
        <v>167</v>
      </c>
      <c r="L3731">
        <v>454</v>
      </c>
      <c r="M3731" t="s">
        <v>39396</v>
      </c>
      <c r="N3731">
        <v>1</v>
      </c>
      <c r="Q3731" t="s">
        <v>39397</v>
      </c>
      <c r="R3731">
        <v>155.19999999999999</v>
      </c>
      <c r="S3731" t="s">
        <v>39398</v>
      </c>
      <c r="T3731" t="s">
        <v>30</v>
      </c>
      <c r="U3731" t="s">
        <v>46</v>
      </c>
      <c r="W3731" t="s">
        <v>26020</v>
      </c>
    </row>
    <row r="3732" spans="1:23" x14ac:dyDescent="0.35">
      <c r="A3732">
        <v>827338</v>
      </c>
      <c r="B3732" t="s">
        <v>8022</v>
      </c>
      <c r="C3732" t="str">
        <f>"9783110268584"</f>
        <v>9783110268584</v>
      </c>
      <c r="D3732" t="str">
        <f>"9783110268669"</f>
        <v>9783110268669</v>
      </c>
      <c r="E3732" t="s">
        <v>30630</v>
      </c>
      <c r="F3732" t="s">
        <v>3143</v>
      </c>
      <c r="G3732" t="s">
        <v>30631</v>
      </c>
      <c r="H3732" t="s">
        <v>30632</v>
      </c>
      <c r="I3732" s="26">
        <v>40864</v>
      </c>
      <c r="J3732">
        <v>2012</v>
      </c>
      <c r="K3732" t="s">
        <v>3143</v>
      </c>
      <c r="L3732">
        <v>264</v>
      </c>
      <c r="M3732" t="s">
        <v>39399</v>
      </c>
      <c r="N3732">
        <v>1</v>
      </c>
      <c r="O3732" t="s">
        <v>39400</v>
      </c>
      <c r="P3732">
        <v>12</v>
      </c>
      <c r="R3732">
        <v>160</v>
      </c>
      <c r="S3732" t="s">
        <v>39401</v>
      </c>
      <c r="T3732" t="s">
        <v>30</v>
      </c>
      <c r="U3732" t="s">
        <v>152</v>
      </c>
      <c r="W3732" t="s">
        <v>26009</v>
      </c>
    </row>
    <row r="3733" spans="1:23" x14ac:dyDescent="0.35">
      <c r="A3733">
        <v>827808</v>
      </c>
      <c r="B3733" t="s">
        <v>39402</v>
      </c>
      <c r="C3733" t="str">
        <f>"9780691152059"</f>
        <v>9780691152059</v>
      </c>
      <c r="D3733" t="str">
        <f>"9781400839834"</f>
        <v>9781400839834</v>
      </c>
      <c r="E3733" t="s">
        <v>33468</v>
      </c>
      <c r="F3733" t="s">
        <v>7517</v>
      </c>
      <c r="G3733" t="s">
        <v>23592</v>
      </c>
      <c r="H3733" t="s">
        <v>26004</v>
      </c>
      <c r="I3733" s="26">
        <v>40902</v>
      </c>
      <c r="J3733">
        <v>2012</v>
      </c>
      <c r="K3733" t="s">
        <v>7517</v>
      </c>
      <c r="L3733">
        <v>189</v>
      </c>
      <c r="M3733" t="s">
        <v>39403</v>
      </c>
      <c r="N3733">
        <v>1</v>
      </c>
      <c r="O3733" t="s">
        <v>39404</v>
      </c>
      <c r="P3733">
        <v>5</v>
      </c>
      <c r="R3733" t="s">
        <v>26746</v>
      </c>
      <c r="T3733" t="s">
        <v>30</v>
      </c>
      <c r="U3733" t="s">
        <v>46</v>
      </c>
      <c r="W3733" t="s">
        <v>39405</v>
      </c>
    </row>
    <row r="3734" spans="1:23" x14ac:dyDescent="0.35">
      <c r="A3734">
        <v>827809</v>
      </c>
      <c r="B3734" t="s">
        <v>39406</v>
      </c>
      <c r="C3734" t="str">
        <f>"9780691154183"</f>
        <v>9780691154183</v>
      </c>
      <c r="D3734" t="str">
        <f>"9781400839841"</f>
        <v>9781400839841</v>
      </c>
      <c r="E3734" t="s">
        <v>33468</v>
      </c>
      <c r="F3734" t="s">
        <v>7517</v>
      </c>
      <c r="G3734" t="s">
        <v>23592</v>
      </c>
      <c r="H3734" t="s">
        <v>26004</v>
      </c>
      <c r="I3734" s="26">
        <v>40902</v>
      </c>
      <c r="J3734">
        <v>2012</v>
      </c>
      <c r="K3734" t="s">
        <v>7517</v>
      </c>
      <c r="L3734">
        <v>132</v>
      </c>
      <c r="M3734" t="s">
        <v>39407</v>
      </c>
      <c r="N3734">
        <v>1</v>
      </c>
      <c r="O3734" t="s">
        <v>39404</v>
      </c>
      <c r="P3734">
        <v>6</v>
      </c>
      <c r="T3734" t="s">
        <v>30</v>
      </c>
      <c r="U3734" t="s">
        <v>46</v>
      </c>
      <c r="W3734" t="s">
        <v>39405</v>
      </c>
    </row>
    <row r="3735" spans="1:23" x14ac:dyDescent="0.35">
      <c r="A3735">
        <v>827872</v>
      </c>
      <c r="B3735" t="s">
        <v>39408</v>
      </c>
      <c r="C3735" t="str">
        <f>"9781855758629"</f>
        <v>9781855758629</v>
      </c>
      <c r="D3735" t="str">
        <f>"9781849409544"</f>
        <v>9781849409544</v>
      </c>
      <c r="E3735" t="s">
        <v>26010</v>
      </c>
      <c r="F3735" t="s">
        <v>35</v>
      </c>
      <c r="G3735" t="s">
        <v>22174</v>
      </c>
      <c r="H3735" t="s">
        <v>26011</v>
      </c>
      <c r="I3735" s="26">
        <v>41274</v>
      </c>
      <c r="J3735">
        <v>2012</v>
      </c>
      <c r="K3735" t="s">
        <v>26012</v>
      </c>
      <c r="L3735">
        <v>257</v>
      </c>
      <c r="M3735" t="s">
        <v>39409</v>
      </c>
      <c r="N3735">
        <v>1</v>
      </c>
      <c r="O3735" t="s">
        <v>37022</v>
      </c>
      <c r="Q3735" t="s">
        <v>39410</v>
      </c>
      <c r="R3735">
        <v>364.15308349999998</v>
      </c>
      <c r="S3735" t="s">
        <v>39411</v>
      </c>
      <c r="T3735" t="s">
        <v>30</v>
      </c>
      <c r="U3735" t="s">
        <v>26509</v>
      </c>
      <c r="W3735" t="s">
        <v>26009</v>
      </c>
    </row>
    <row r="3736" spans="1:23" x14ac:dyDescent="0.35">
      <c r="A3736">
        <v>829297</v>
      </c>
      <c r="B3736" t="s">
        <v>39412</v>
      </c>
      <c r="C3736" t="str">
        <f>"9781608070176"</f>
        <v>9781608070176</v>
      </c>
      <c r="D3736" t="str">
        <f>"9781608070183"</f>
        <v>9781608070183</v>
      </c>
      <c r="E3736" t="s">
        <v>39413</v>
      </c>
      <c r="F3736" t="s">
        <v>39413</v>
      </c>
      <c r="G3736" t="s">
        <v>23950</v>
      </c>
      <c r="H3736" t="s">
        <v>26004</v>
      </c>
      <c r="I3736" s="26">
        <v>40756</v>
      </c>
      <c r="J3736">
        <v>2011</v>
      </c>
      <c r="K3736" t="s">
        <v>39414</v>
      </c>
      <c r="L3736">
        <v>278</v>
      </c>
      <c r="M3736" t="s">
        <v>39415</v>
      </c>
      <c r="N3736">
        <v>1</v>
      </c>
      <c r="Q3736" t="s">
        <v>39416</v>
      </c>
      <c r="R3736">
        <v>570.19195028499996</v>
      </c>
      <c r="S3736" t="s">
        <v>39417</v>
      </c>
      <c r="T3736" t="s">
        <v>30</v>
      </c>
      <c r="U3736" t="s">
        <v>39418</v>
      </c>
      <c r="W3736" t="s">
        <v>26009</v>
      </c>
    </row>
    <row r="3737" spans="1:23" x14ac:dyDescent="0.35">
      <c r="A3737">
        <v>829313</v>
      </c>
      <c r="B3737" t="s">
        <v>10115</v>
      </c>
      <c r="C3737" t="str">
        <f>"9781462502585"</f>
        <v>9781462502585</v>
      </c>
      <c r="D3737" t="str">
        <f>"9781462502776"</f>
        <v>9781462502776</v>
      </c>
      <c r="E3737" t="s">
        <v>30112</v>
      </c>
      <c r="F3737" t="s">
        <v>7420</v>
      </c>
      <c r="G3737" t="s">
        <v>22179</v>
      </c>
      <c r="H3737" t="s">
        <v>26004</v>
      </c>
      <c r="I3737" s="26">
        <v>40896</v>
      </c>
      <c r="J3737">
        <v>2012</v>
      </c>
      <c r="K3737" t="s">
        <v>30113</v>
      </c>
      <c r="L3737">
        <v>193</v>
      </c>
      <c r="M3737" t="s">
        <v>39419</v>
      </c>
      <c r="N3737">
        <v>1</v>
      </c>
      <c r="O3737" t="s">
        <v>39420</v>
      </c>
      <c r="R3737" t="s">
        <v>39421</v>
      </c>
      <c r="S3737" t="s">
        <v>39422</v>
      </c>
      <c r="T3737" t="s">
        <v>30</v>
      </c>
      <c r="U3737" t="s">
        <v>26040</v>
      </c>
      <c r="W3737" t="s">
        <v>28347</v>
      </c>
    </row>
    <row r="3738" spans="1:23" x14ac:dyDescent="0.35">
      <c r="A3738">
        <v>829373</v>
      </c>
      <c r="B3738" t="s">
        <v>39423</v>
      </c>
      <c r="C3738" t="str">
        <f>"9780199739745"</f>
        <v>9780199739745</v>
      </c>
      <c r="D3738" t="str">
        <f>"9780199780693"</f>
        <v>9780199780693</v>
      </c>
      <c r="E3738" t="s">
        <v>371</v>
      </c>
      <c r="F3738" t="s">
        <v>31</v>
      </c>
      <c r="G3738" t="s">
        <v>22179</v>
      </c>
      <c r="H3738" t="s">
        <v>26004</v>
      </c>
      <c r="I3738" s="26">
        <v>40480</v>
      </c>
      <c r="J3738">
        <v>2010</v>
      </c>
      <c r="K3738" t="s">
        <v>31</v>
      </c>
      <c r="L3738">
        <v>241</v>
      </c>
      <c r="M3738" t="s">
        <v>39424</v>
      </c>
      <c r="Q3738" t="s">
        <v>39425</v>
      </c>
      <c r="R3738" t="s">
        <v>28453</v>
      </c>
      <c r="S3738" t="s">
        <v>39426</v>
      </c>
      <c r="T3738" t="s">
        <v>30</v>
      </c>
      <c r="U3738" t="s">
        <v>26679</v>
      </c>
      <c r="W3738" t="s">
        <v>26009</v>
      </c>
    </row>
    <row r="3739" spans="1:23" x14ac:dyDescent="0.35">
      <c r="A3739">
        <v>829390</v>
      </c>
      <c r="B3739" t="s">
        <v>7627</v>
      </c>
      <c r="C3739" t="str">
        <f>"9780199732128"</f>
        <v>9780199732128</v>
      </c>
      <c r="D3739" t="str">
        <f>"9780199909483"</f>
        <v>9780199909483</v>
      </c>
      <c r="E3739" t="s">
        <v>371</v>
      </c>
      <c r="F3739" t="s">
        <v>31</v>
      </c>
      <c r="G3739" t="s">
        <v>22703</v>
      </c>
      <c r="H3739" t="s">
        <v>26004</v>
      </c>
      <c r="I3739" s="26">
        <v>40897</v>
      </c>
      <c r="J3739">
        <v>2012</v>
      </c>
      <c r="K3739" t="s">
        <v>31</v>
      </c>
      <c r="L3739">
        <v>402</v>
      </c>
      <c r="M3739" t="s">
        <v>39427</v>
      </c>
      <c r="N3739">
        <v>4</v>
      </c>
      <c r="Q3739" t="s">
        <v>39428</v>
      </c>
      <c r="R3739" t="s">
        <v>28378</v>
      </c>
      <c r="S3739" t="s">
        <v>39429</v>
      </c>
      <c r="T3739" t="s">
        <v>30</v>
      </c>
      <c r="U3739" t="s">
        <v>26116</v>
      </c>
      <c r="W3739" t="s">
        <v>26009</v>
      </c>
    </row>
    <row r="3740" spans="1:23" x14ac:dyDescent="0.35">
      <c r="A3740">
        <v>829495</v>
      </c>
      <c r="B3740" t="s">
        <v>39430</v>
      </c>
      <c r="C3740" t="str">
        <f>"9789027242297"</f>
        <v>9789027242297</v>
      </c>
      <c r="D3740" t="str">
        <f>"9789027279422"</f>
        <v>9789027279422</v>
      </c>
      <c r="E3740" t="s">
        <v>35211</v>
      </c>
      <c r="F3740" t="s">
        <v>7610</v>
      </c>
      <c r="G3740" t="s">
        <v>22222</v>
      </c>
      <c r="H3740" t="s">
        <v>27983</v>
      </c>
      <c r="I3740" s="26">
        <v>31413</v>
      </c>
      <c r="J3740">
        <v>1986</v>
      </c>
      <c r="K3740" t="s">
        <v>7610</v>
      </c>
      <c r="L3740">
        <v>238</v>
      </c>
      <c r="M3740" t="s">
        <v>39431</v>
      </c>
      <c r="N3740">
        <v>1</v>
      </c>
      <c r="O3740" t="s">
        <v>39432</v>
      </c>
      <c r="P3740">
        <v>2</v>
      </c>
      <c r="Q3740" t="s">
        <v>39433</v>
      </c>
      <c r="R3740" t="s">
        <v>39434</v>
      </c>
      <c r="S3740" t="s">
        <v>7617</v>
      </c>
      <c r="T3740" t="s">
        <v>30</v>
      </c>
      <c r="U3740" t="s">
        <v>366</v>
      </c>
      <c r="W3740" t="s">
        <v>26009</v>
      </c>
    </row>
    <row r="3741" spans="1:23" x14ac:dyDescent="0.35">
      <c r="A3741">
        <v>830208</v>
      </c>
      <c r="B3741" t="s">
        <v>9732</v>
      </c>
      <c r="C3741" t="str">
        <f>"9781921507663"</f>
        <v>9781921507663</v>
      </c>
      <c r="D3741" t="str">
        <f>"9781921507670"</f>
        <v>9781921507670</v>
      </c>
      <c r="E3741" t="s">
        <v>36468</v>
      </c>
      <c r="F3741" t="s">
        <v>8089</v>
      </c>
      <c r="G3741" t="s">
        <v>36469</v>
      </c>
      <c r="H3741" t="s">
        <v>31108</v>
      </c>
      <c r="I3741" s="26">
        <v>42826</v>
      </c>
      <c r="J3741">
        <v>2012</v>
      </c>
      <c r="K3741" t="s">
        <v>8089</v>
      </c>
      <c r="L3741">
        <v>65</v>
      </c>
      <c r="M3741" t="s">
        <v>36470</v>
      </c>
      <c r="N3741">
        <v>1</v>
      </c>
      <c r="O3741" t="s">
        <v>36471</v>
      </c>
      <c r="P3741">
        <v>336</v>
      </c>
      <c r="T3741" t="s">
        <v>30</v>
      </c>
      <c r="U3741" t="s">
        <v>26228</v>
      </c>
      <c r="W3741" t="s">
        <v>26009</v>
      </c>
    </row>
    <row r="3742" spans="1:23" x14ac:dyDescent="0.35">
      <c r="A3742">
        <v>830210</v>
      </c>
      <c r="B3742" t="s">
        <v>9792</v>
      </c>
      <c r="C3742" t="str">
        <f>"9781921507700"</f>
        <v>9781921507700</v>
      </c>
      <c r="D3742" t="str">
        <f>"9781921507717"</f>
        <v>9781921507717</v>
      </c>
      <c r="E3742" t="s">
        <v>36468</v>
      </c>
      <c r="F3742" t="s">
        <v>8089</v>
      </c>
      <c r="G3742" t="s">
        <v>36469</v>
      </c>
      <c r="H3742" t="s">
        <v>31108</v>
      </c>
      <c r="I3742" s="26">
        <v>42826</v>
      </c>
      <c r="J3742">
        <v>2012</v>
      </c>
      <c r="K3742" t="s">
        <v>8089</v>
      </c>
      <c r="L3742">
        <v>65</v>
      </c>
      <c r="M3742" t="s">
        <v>36470</v>
      </c>
      <c r="N3742">
        <v>1</v>
      </c>
      <c r="O3742" t="s">
        <v>36471</v>
      </c>
      <c r="P3742">
        <v>338</v>
      </c>
      <c r="Q3742" t="s">
        <v>39435</v>
      </c>
      <c r="S3742" t="s">
        <v>39436</v>
      </c>
      <c r="T3742" t="s">
        <v>30</v>
      </c>
      <c r="U3742" t="s">
        <v>26019</v>
      </c>
      <c r="W3742" t="s">
        <v>26009</v>
      </c>
    </row>
    <row r="3743" spans="1:23" x14ac:dyDescent="0.35">
      <c r="A3743">
        <v>831795</v>
      </c>
      <c r="B3743" t="s">
        <v>9163</v>
      </c>
      <c r="C3743" t="str">
        <f>"9781845402143"</f>
        <v>9781845402143</v>
      </c>
      <c r="D3743" t="str">
        <f>"9781845403317"</f>
        <v>9781845403317</v>
      </c>
      <c r="E3743" t="s">
        <v>39189</v>
      </c>
      <c r="F3743" t="s">
        <v>8703</v>
      </c>
      <c r="G3743" t="s">
        <v>39437</v>
      </c>
      <c r="H3743" t="s">
        <v>26011</v>
      </c>
      <c r="I3743" s="26">
        <v>40817</v>
      </c>
      <c r="J3743">
        <v>2011</v>
      </c>
      <c r="K3743" t="s">
        <v>39191</v>
      </c>
      <c r="L3743">
        <v>262</v>
      </c>
      <c r="M3743" t="s">
        <v>39438</v>
      </c>
      <c r="N3743">
        <v>1</v>
      </c>
      <c r="Q3743" t="s">
        <v>39439</v>
      </c>
      <c r="R3743">
        <v>616.89</v>
      </c>
      <c r="S3743" t="s">
        <v>39440</v>
      </c>
      <c r="T3743" t="s">
        <v>30</v>
      </c>
      <c r="U3743" t="s">
        <v>26116</v>
      </c>
      <c r="W3743" t="s">
        <v>26009</v>
      </c>
    </row>
    <row r="3744" spans="1:23" x14ac:dyDescent="0.35">
      <c r="A3744">
        <v>832039</v>
      </c>
      <c r="B3744" t="s">
        <v>39441</v>
      </c>
      <c r="C3744" t="str">
        <f>""</f>
        <v/>
      </c>
      <c r="D3744" t="str">
        <f>"9780813549934"</f>
        <v>9780813549934</v>
      </c>
      <c r="E3744" t="s">
        <v>3024</v>
      </c>
      <c r="F3744" t="s">
        <v>3024</v>
      </c>
      <c r="G3744" t="s">
        <v>23807</v>
      </c>
      <c r="H3744" t="s">
        <v>26004</v>
      </c>
      <c r="I3744" s="26">
        <v>40385</v>
      </c>
      <c r="J3744">
        <v>2010</v>
      </c>
      <c r="K3744" t="s">
        <v>3024</v>
      </c>
      <c r="L3744">
        <v>239</v>
      </c>
      <c r="M3744" t="s">
        <v>39442</v>
      </c>
      <c r="N3744">
        <v>1</v>
      </c>
      <c r="O3744" t="s">
        <v>39443</v>
      </c>
      <c r="Q3744" t="s">
        <v>39444</v>
      </c>
      <c r="R3744">
        <v>362.29088999999999</v>
      </c>
      <c r="S3744" t="s">
        <v>39445</v>
      </c>
      <c r="T3744" t="s">
        <v>30</v>
      </c>
      <c r="U3744" t="s">
        <v>26250</v>
      </c>
      <c r="W3744" t="s">
        <v>26009</v>
      </c>
    </row>
    <row r="3745" spans="1:23" x14ac:dyDescent="0.35">
      <c r="A3745">
        <v>832657</v>
      </c>
      <c r="B3745" t="s">
        <v>39446</v>
      </c>
      <c r="C3745" t="str">
        <f>"9780691019185"</f>
        <v>9780691019185</v>
      </c>
      <c r="D3745" t="str">
        <f>"9781400843077"</f>
        <v>9781400843077</v>
      </c>
      <c r="E3745" t="s">
        <v>33468</v>
      </c>
      <c r="F3745" t="s">
        <v>7517</v>
      </c>
      <c r="G3745" t="s">
        <v>23592</v>
      </c>
      <c r="H3745" t="s">
        <v>26004</v>
      </c>
      <c r="I3745" s="26">
        <v>32833</v>
      </c>
      <c r="J3745">
        <v>1989</v>
      </c>
      <c r="K3745" t="s">
        <v>7517</v>
      </c>
      <c r="L3745">
        <v>156</v>
      </c>
      <c r="M3745" t="s">
        <v>39447</v>
      </c>
      <c r="N3745">
        <v>1</v>
      </c>
      <c r="O3745" t="s">
        <v>39448</v>
      </c>
      <c r="P3745">
        <v>539</v>
      </c>
      <c r="R3745" t="s">
        <v>26746</v>
      </c>
      <c r="T3745" t="s">
        <v>30</v>
      </c>
      <c r="U3745" t="s">
        <v>46</v>
      </c>
      <c r="W3745" t="s">
        <v>39405</v>
      </c>
    </row>
    <row r="3746" spans="1:23" x14ac:dyDescent="0.35">
      <c r="A3746">
        <v>832659</v>
      </c>
      <c r="B3746" t="s">
        <v>39449</v>
      </c>
      <c r="C3746" t="str">
        <f>"9780691148076"</f>
        <v>9780691148076</v>
      </c>
      <c r="D3746" t="str">
        <f>"9781400843084"</f>
        <v>9781400843084</v>
      </c>
      <c r="E3746" t="s">
        <v>33468</v>
      </c>
      <c r="F3746" t="s">
        <v>7517</v>
      </c>
      <c r="G3746" t="s">
        <v>23592</v>
      </c>
      <c r="H3746" t="s">
        <v>26004</v>
      </c>
      <c r="I3746" s="26">
        <v>39453</v>
      </c>
      <c r="J3746">
        <v>2008</v>
      </c>
      <c r="K3746" t="s">
        <v>7517</v>
      </c>
      <c r="L3746">
        <v>359</v>
      </c>
      <c r="M3746" t="s">
        <v>39450</v>
      </c>
      <c r="N3746">
        <v>1</v>
      </c>
      <c r="O3746" t="s">
        <v>39448</v>
      </c>
      <c r="P3746">
        <v>2</v>
      </c>
      <c r="R3746">
        <v>154.63083</v>
      </c>
      <c r="T3746" t="s">
        <v>30</v>
      </c>
      <c r="U3746" t="s">
        <v>46</v>
      </c>
      <c r="W3746" t="s">
        <v>28347</v>
      </c>
    </row>
    <row r="3747" spans="1:23" x14ac:dyDescent="0.35">
      <c r="A3747">
        <v>832661</v>
      </c>
      <c r="B3747" t="s">
        <v>39451</v>
      </c>
      <c r="C3747" t="str">
        <f>"9780691150505"</f>
        <v>9780691150505</v>
      </c>
      <c r="D3747" t="str">
        <f>"9781400839162"</f>
        <v>9781400839162</v>
      </c>
      <c r="E3747" t="s">
        <v>33468</v>
      </c>
      <c r="F3747" t="s">
        <v>7517</v>
      </c>
      <c r="G3747" t="s">
        <v>23592</v>
      </c>
      <c r="H3747" t="s">
        <v>26004</v>
      </c>
      <c r="I3747" s="26">
        <v>40496</v>
      </c>
      <c r="J3747">
        <v>2011</v>
      </c>
      <c r="K3747" t="s">
        <v>7517</v>
      </c>
      <c r="L3747">
        <v>153</v>
      </c>
      <c r="M3747" t="s">
        <v>39407</v>
      </c>
      <c r="N3747">
        <v>1</v>
      </c>
      <c r="O3747" t="s">
        <v>39452</v>
      </c>
      <c r="P3747">
        <v>30</v>
      </c>
      <c r="T3747" t="s">
        <v>30</v>
      </c>
      <c r="U3747" t="s">
        <v>26679</v>
      </c>
      <c r="W3747" t="s">
        <v>39405</v>
      </c>
    </row>
    <row r="3748" spans="1:23" x14ac:dyDescent="0.35">
      <c r="A3748">
        <v>832662</v>
      </c>
      <c r="B3748" t="s">
        <v>39453</v>
      </c>
      <c r="C3748" t="str">
        <f>"9780691150512"</f>
        <v>9780691150512</v>
      </c>
      <c r="D3748" t="str">
        <f>"9781400839179"</f>
        <v>9781400839179</v>
      </c>
      <c r="E3748" t="s">
        <v>33468</v>
      </c>
      <c r="F3748" t="s">
        <v>7517</v>
      </c>
      <c r="G3748" t="s">
        <v>23592</v>
      </c>
      <c r="H3748" t="s">
        <v>26004</v>
      </c>
      <c r="I3748" s="26">
        <v>40497</v>
      </c>
      <c r="J3748">
        <v>2011</v>
      </c>
      <c r="K3748" t="s">
        <v>7517</v>
      </c>
      <c r="L3748">
        <v>157</v>
      </c>
      <c r="M3748" t="s">
        <v>39407</v>
      </c>
      <c r="N3748">
        <v>1</v>
      </c>
      <c r="O3748" t="s">
        <v>39452</v>
      </c>
      <c r="P3748">
        <v>31</v>
      </c>
      <c r="R3748" t="s">
        <v>26746</v>
      </c>
      <c r="T3748" t="s">
        <v>30</v>
      </c>
      <c r="U3748" t="s">
        <v>46</v>
      </c>
      <c r="W3748" t="s">
        <v>39405</v>
      </c>
    </row>
    <row r="3749" spans="1:23" x14ac:dyDescent="0.35">
      <c r="A3749">
        <v>832709</v>
      </c>
      <c r="B3749" t="s">
        <v>39454</v>
      </c>
      <c r="C3749" t="str">
        <f>"9780691150499"</f>
        <v>9780691150499</v>
      </c>
      <c r="D3749" t="str">
        <f>"9781400839155"</f>
        <v>9781400839155</v>
      </c>
      <c r="E3749" t="s">
        <v>33468</v>
      </c>
      <c r="F3749" t="s">
        <v>7517</v>
      </c>
      <c r="G3749" t="s">
        <v>23592</v>
      </c>
      <c r="H3749" t="s">
        <v>26004</v>
      </c>
      <c r="I3749" s="26">
        <v>40496</v>
      </c>
      <c r="J3749">
        <v>2011</v>
      </c>
      <c r="K3749" t="s">
        <v>7517</v>
      </c>
      <c r="L3749">
        <v>187</v>
      </c>
      <c r="M3749" t="s">
        <v>39407</v>
      </c>
      <c r="N3749">
        <v>1</v>
      </c>
      <c r="O3749" t="s">
        <v>39452</v>
      </c>
      <c r="P3749">
        <v>29</v>
      </c>
      <c r="R3749">
        <v>150.19540000000001</v>
      </c>
      <c r="T3749" t="s">
        <v>30</v>
      </c>
      <c r="U3749" t="s">
        <v>46</v>
      </c>
      <c r="W3749" t="s">
        <v>39405</v>
      </c>
    </row>
    <row r="3750" spans="1:23" x14ac:dyDescent="0.35">
      <c r="A3750">
        <v>833020</v>
      </c>
      <c r="B3750" t="s">
        <v>39455</v>
      </c>
      <c r="C3750" t="str">
        <f>"9781572245419"</f>
        <v>9781572245419</v>
      </c>
      <c r="D3750" t="str">
        <f>"9781572248762"</f>
        <v>9781572248762</v>
      </c>
      <c r="E3750" t="s">
        <v>7424</v>
      </c>
      <c r="F3750" t="s">
        <v>7424</v>
      </c>
      <c r="G3750" t="s">
        <v>23047</v>
      </c>
      <c r="H3750" t="s">
        <v>26004</v>
      </c>
      <c r="I3750" s="26">
        <v>39631</v>
      </c>
      <c r="J3750">
        <v>2008</v>
      </c>
      <c r="K3750" t="s">
        <v>7424</v>
      </c>
      <c r="L3750">
        <v>314</v>
      </c>
      <c r="M3750" t="s">
        <v>39456</v>
      </c>
      <c r="N3750">
        <v>1</v>
      </c>
      <c r="Q3750" t="s">
        <v>39457</v>
      </c>
      <c r="R3750" t="s">
        <v>33112</v>
      </c>
      <c r="S3750" t="s">
        <v>39458</v>
      </c>
      <c r="T3750" t="s">
        <v>30</v>
      </c>
      <c r="U3750" t="s">
        <v>26019</v>
      </c>
      <c r="W3750" t="s">
        <v>26009</v>
      </c>
    </row>
    <row r="3751" spans="1:23" x14ac:dyDescent="0.35">
      <c r="A3751">
        <v>833045</v>
      </c>
      <c r="B3751" t="s">
        <v>39459</v>
      </c>
      <c r="C3751" t="str">
        <f>"9780691150482"</f>
        <v>9780691150482</v>
      </c>
      <c r="D3751" t="str">
        <f>"9781400839148"</f>
        <v>9781400839148</v>
      </c>
      <c r="E3751" t="s">
        <v>33468</v>
      </c>
      <c r="F3751" t="s">
        <v>7517</v>
      </c>
      <c r="G3751" t="s">
        <v>23592</v>
      </c>
      <c r="H3751" t="s">
        <v>26004</v>
      </c>
      <c r="I3751" s="26">
        <v>40496</v>
      </c>
      <c r="J3751">
        <v>2011</v>
      </c>
      <c r="K3751" t="s">
        <v>7517</v>
      </c>
      <c r="L3751">
        <v>321</v>
      </c>
      <c r="M3751" t="s">
        <v>39407</v>
      </c>
      <c r="N3751">
        <v>1</v>
      </c>
      <c r="O3751" t="s">
        <v>39452</v>
      </c>
      <c r="P3751">
        <v>28</v>
      </c>
      <c r="R3751">
        <v>154.63</v>
      </c>
      <c r="T3751" t="s">
        <v>30</v>
      </c>
      <c r="U3751" t="s">
        <v>46</v>
      </c>
      <c r="W3751" t="s">
        <v>39405</v>
      </c>
    </row>
    <row r="3752" spans="1:23" x14ac:dyDescent="0.35">
      <c r="A3752">
        <v>834742</v>
      </c>
      <c r="B3752" t="s">
        <v>39460</v>
      </c>
      <c r="C3752" t="str">
        <f>"9780195383522"</f>
        <v>9780195383522</v>
      </c>
      <c r="D3752" t="str">
        <f>"9780199920891"</f>
        <v>9780199920891</v>
      </c>
      <c r="E3752" t="s">
        <v>371</v>
      </c>
      <c r="F3752" t="s">
        <v>31</v>
      </c>
      <c r="G3752" t="s">
        <v>22703</v>
      </c>
      <c r="H3752" t="s">
        <v>26004</v>
      </c>
      <c r="I3752" s="26">
        <v>40883</v>
      </c>
      <c r="J3752">
        <v>2012</v>
      </c>
      <c r="K3752" t="s">
        <v>31</v>
      </c>
      <c r="L3752">
        <v>547</v>
      </c>
      <c r="M3752" t="s">
        <v>39461</v>
      </c>
      <c r="N3752">
        <v>2</v>
      </c>
      <c r="Q3752" t="s">
        <v>39462</v>
      </c>
      <c r="R3752" t="s">
        <v>28587</v>
      </c>
      <c r="S3752" t="s">
        <v>39463</v>
      </c>
      <c r="T3752" t="s">
        <v>30</v>
      </c>
      <c r="U3752" t="s">
        <v>26057</v>
      </c>
      <c r="W3752" t="s">
        <v>26009</v>
      </c>
    </row>
    <row r="3753" spans="1:23" x14ac:dyDescent="0.35">
      <c r="A3753">
        <v>835778</v>
      </c>
      <c r="B3753" t="s">
        <v>39464</v>
      </c>
      <c r="C3753" t="str">
        <f>"9781441121776"</f>
        <v>9781441121776</v>
      </c>
      <c r="D3753" t="str">
        <f>"9781441198792"</f>
        <v>9781441198792</v>
      </c>
      <c r="E3753" t="s">
        <v>31671</v>
      </c>
      <c r="F3753" t="s">
        <v>7760</v>
      </c>
      <c r="G3753" t="s">
        <v>22174</v>
      </c>
      <c r="H3753" t="s">
        <v>26011</v>
      </c>
      <c r="I3753" s="26">
        <v>40829</v>
      </c>
      <c r="J3753">
        <v>2011</v>
      </c>
      <c r="K3753" t="s">
        <v>33338</v>
      </c>
      <c r="L3753">
        <v>153</v>
      </c>
      <c r="M3753" t="s">
        <v>39465</v>
      </c>
      <c r="N3753">
        <v>1</v>
      </c>
      <c r="O3753" t="s">
        <v>39466</v>
      </c>
      <c r="Q3753" t="s">
        <v>39467</v>
      </c>
      <c r="R3753">
        <v>371.9</v>
      </c>
      <c r="S3753" t="s">
        <v>39468</v>
      </c>
      <c r="T3753" t="s">
        <v>30</v>
      </c>
      <c r="U3753" t="s">
        <v>337</v>
      </c>
      <c r="W3753" t="s">
        <v>28347</v>
      </c>
    </row>
    <row r="3754" spans="1:23" x14ac:dyDescent="0.35">
      <c r="A3754">
        <v>836216</v>
      </c>
      <c r="B3754" t="s">
        <v>39469</v>
      </c>
      <c r="C3754" t="str">
        <f>"9781607509752"</f>
        <v>9781607509752</v>
      </c>
      <c r="D3754" t="str">
        <f>"9781607509769"</f>
        <v>9781607509769</v>
      </c>
      <c r="E3754" t="s">
        <v>28275</v>
      </c>
      <c r="F3754" t="s">
        <v>7658</v>
      </c>
      <c r="G3754" t="s">
        <v>22222</v>
      </c>
      <c r="H3754" t="s">
        <v>27983</v>
      </c>
      <c r="I3754" s="26">
        <v>40923</v>
      </c>
      <c r="J3754">
        <v>2012</v>
      </c>
      <c r="K3754" t="s">
        <v>7658</v>
      </c>
      <c r="L3754">
        <v>224</v>
      </c>
      <c r="M3754" t="s">
        <v>39470</v>
      </c>
      <c r="N3754">
        <v>1</v>
      </c>
      <c r="O3754" t="s">
        <v>39471</v>
      </c>
      <c r="P3754">
        <v>11</v>
      </c>
      <c r="T3754" t="s">
        <v>30</v>
      </c>
      <c r="U3754" t="s">
        <v>39472</v>
      </c>
      <c r="W3754" t="s">
        <v>26009</v>
      </c>
    </row>
    <row r="3755" spans="1:23" x14ac:dyDescent="0.35">
      <c r="A3755">
        <v>836221</v>
      </c>
      <c r="B3755" t="s">
        <v>39473</v>
      </c>
      <c r="C3755" t="str">
        <f>"9781607507963"</f>
        <v>9781607507963</v>
      </c>
      <c r="D3755" t="str">
        <f>"9781607507970"</f>
        <v>9781607507970</v>
      </c>
      <c r="E3755" t="s">
        <v>28275</v>
      </c>
      <c r="F3755" t="s">
        <v>7658</v>
      </c>
      <c r="G3755" t="s">
        <v>22222</v>
      </c>
      <c r="H3755" t="s">
        <v>27983</v>
      </c>
      <c r="I3755" s="26">
        <v>40862</v>
      </c>
      <c r="J3755">
        <v>2011</v>
      </c>
      <c r="K3755" t="s">
        <v>7658</v>
      </c>
      <c r="L3755">
        <v>224</v>
      </c>
      <c r="M3755" t="s">
        <v>39474</v>
      </c>
      <c r="N3755">
        <v>1</v>
      </c>
      <c r="O3755" t="s">
        <v>35621</v>
      </c>
      <c r="P3755">
        <v>86</v>
      </c>
      <c r="T3755" t="s">
        <v>30</v>
      </c>
      <c r="U3755" t="s">
        <v>46</v>
      </c>
      <c r="W3755" t="s">
        <v>26009</v>
      </c>
    </row>
    <row r="3756" spans="1:23" x14ac:dyDescent="0.35">
      <c r="A3756">
        <v>836782</v>
      </c>
      <c r="B3756" t="s">
        <v>39475</v>
      </c>
      <c r="C3756" t="str">
        <f>"9780875531885"</f>
        <v>9780875531885</v>
      </c>
      <c r="D3756" t="str">
        <f>"9780875532585"</f>
        <v>9780875532585</v>
      </c>
      <c r="E3756" t="s">
        <v>494</v>
      </c>
      <c r="F3756" t="s">
        <v>9453</v>
      </c>
      <c r="G3756" t="s">
        <v>22254</v>
      </c>
      <c r="H3756" t="s">
        <v>26004</v>
      </c>
      <c r="I3756" s="26">
        <v>39600</v>
      </c>
      <c r="J3756">
        <v>2008</v>
      </c>
      <c r="K3756" t="s">
        <v>494</v>
      </c>
      <c r="L3756">
        <v>252</v>
      </c>
      <c r="M3756" t="s">
        <v>39476</v>
      </c>
      <c r="N3756">
        <v>1</v>
      </c>
      <c r="Q3756" t="s">
        <v>39477</v>
      </c>
      <c r="R3756">
        <v>300</v>
      </c>
      <c r="S3756" t="s">
        <v>39478</v>
      </c>
      <c r="T3756" t="s">
        <v>30</v>
      </c>
      <c r="U3756" t="s">
        <v>29407</v>
      </c>
      <c r="W3756" t="s">
        <v>39479</v>
      </c>
    </row>
    <row r="3757" spans="1:23" x14ac:dyDescent="0.35">
      <c r="A3757">
        <v>836856</v>
      </c>
      <c r="B3757" t="s">
        <v>39480</v>
      </c>
      <c r="C3757" t="str">
        <f>"9781609189464"</f>
        <v>9781609189464</v>
      </c>
      <c r="D3757" t="str">
        <f>"9781609189471"</f>
        <v>9781609189471</v>
      </c>
      <c r="E3757" t="s">
        <v>30112</v>
      </c>
      <c r="F3757" t="s">
        <v>7420</v>
      </c>
      <c r="G3757" t="s">
        <v>22179</v>
      </c>
      <c r="H3757" t="s">
        <v>26004</v>
      </c>
      <c r="I3757" s="26">
        <v>40925</v>
      </c>
      <c r="J3757">
        <v>2012</v>
      </c>
      <c r="K3757" t="s">
        <v>30113</v>
      </c>
      <c r="L3757">
        <v>513</v>
      </c>
      <c r="M3757" t="s">
        <v>39481</v>
      </c>
      <c r="N3757">
        <v>1</v>
      </c>
      <c r="Q3757" t="s">
        <v>39482</v>
      </c>
      <c r="R3757" t="s">
        <v>26164</v>
      </c>
      <c r="S3757" t="s">
        <v>39483</v>
      </c>
      <c r="T3757" t="s">
        <v>30</v>
      </c>
      <c r="U3757" t="s">
        <v>26170</v>
      </c>
      <c r="W3757" t="s">
        <v>28347</v>
      </c>
    </row>
    <row r="3758" spans="1:23" x14ac:dyDescent="0.35">
      <c r="A3758">
        <v>836860</v>
      </c>
      <c r="B3758" t="s">
        <v>8653</v>
      </c>
      <c r="C3758" t="str">
        <f>"9781462503056"</f>
        <v>9781462503056</v>
      </c>
      <c r="D3758" t="str">
        <f>"9781462503117"</f>
        <v>9781462503117</v>
      </c>
      <c r="E3758" t="s">
        <v>30112</v>
      </c>
      <c r="F3758" t="s">
        <v>7420</v>
      </c>
      <c r="G3758" t="s">
        <v>22179</v>
      </c>
      <c r="H3758" t="s">
        <v>26004</v>
      </c>
      <c r="I3758" s="26">
        <v>40905</v>
      </c>
      <c r="J3758">
        <v>2012</v>
      </c>
      <c r="K3758" t="s">
        <v>30113</v>
      </c>
      <c r="L3758">
        <v>769</v>
      </c>
      <c r="M3758" t="s">
        <v>39484</v>
      </c>
      <c r="N3758">
        <v>2</v>
      </c>
      <c r="Q3758" t="s">
        <v>39485</v>
      </c>
      <c r="R3758">
        <v>155.19999999999999</v>
      </c>
      <c r="S3758" t="s">
        <v>39398</v>
      </c>
      <c r="T3758" t="s">
        <v>30</v>
      </c>
      <c r="U3758" t="s">
        <v>46</v>
      </c>
      <c r="W3758" t="s">
        <v>28347</v>
      </c>
    </row>
    <row r="3759" spans="1:23" x14ac:dyDescent="0.35">
      <c r="A3759">
        <v>836861</v>
      </c>
      <c r="B3759" t="s">
        <v>9220</v>
      </c>
      <c r="C3759" t="str">
        <f>"9781462502271"</f>
        <v>9781462502271</v>
      </c>
      <c r="D3759" t="str">
        <f>"9781462502394"</f>
        <v>9781462502394</v>
      </c>
      <c r="E3759" t="s">
        <v>30112</v>
      </c>
      <c r="F3759" t="s">
        <v>7420</v>
      </c>
      <c r="G3759" t="s">
        <v>22179</v>
      </c>
      <c r="H3759" t="s">
        <v>26004</v>
      </c>
      <c r="I3759" s="26">
        <v>40900</v>
      </c>
      <c r="J3759">
        <v>2012</v>
      </c>
      <c r="K3759" t="s">
        <v>30113</v>
      </c>
      <c r="L3759">
        <v>433</v>
      </c>
      <c r="M3759" t="s">
        <v>39486</v>
      </c>
      <c r="N3759">
        <v>1</v>
      </c>
      <c r="Q3759" t="s">
        <v>39487</v>
      </c>
      <c r="R3759" t="s">
        <v>32669</v>
      </c>
      <c r="S3759" t="s">
        <v>39488</v>
      </c>
      <c r="T3759" t="s">
        <v>30</v>
      </c>
      <c r="U3759" t="s">
        <v>26019</v>
      </c>
      <c r="W3759" t="s">
        <v>28347</v>
      </c>
    </row>
    <row r="3760" spans="1:23" x14ac:dyDescent="0.35">
      <c r="A3760">
        <v>837208</v>
      </c>
      <c r="B3760" t="s">
        <v>39489</v>
      </c>
      <c r="C3760" t="str">
        <f>"9780520257313"</f>
        <v>9780520257313</v>
      </c>
      <c r="D3760" t="str">
        <f>"9780520944794"</f>
        <v>9780520944794</v>
      </c>
      <c r="E3760" t="s">
        <v>1612</v>
      </c>
      <c r="F3760" t="s">
        <v>1612</v>
      </c>
      <c r="G3760" t="s">
        <v>22630</v>
      </c>
      <c r="H3760" t="s">
        <v>26004</v>
      </c>
      <c r="I3760" s="26">
        <v>40099</v>
      </c>
      <c r="J3760">
        <v>2009</v>
      </c>
      <c r="K3760" t="s">
        <v>1612</v>
      </c>
      <c r="L3760">
        <v>351</v>
      </c>
      <c r="M3760" t="s">
        <v>39490</v>
      </c>
      <c r="N3760">
        <v>1</v>
      </c>
      <c r="Q3760" t="s">
        <v>39491</v>
      </c>
      <c r="R3760" t="s">
        <v>39492</v>
      </c>
      <c r="T3760" t="s">
        <v>30</v>
      </c>
      <c r="U3760" t="s">
        <v>39493</v>
      </c>
      <c r="W3760" t="s">
        <v>26009</v>
      </c>
    </row>
    <row r="3761" spans="1:23" x14ac:dyDescent="0.35">
      <c r="A3761">
        <v>837285</v>
      </c>
      <c r="B3761" t="s">
        <v>8059</v>
      </c>
      <c r="C3761" t="str">
        <f>"9780520235953"</f>
        <v>9780520235953</v>
      </c>
      <c r="D3761" t="str">
        <f>"9780520936768"</f>
        <v>9780520936768</v>
      </c>
      <c r="E3761" t="s">
        <v>1612</v>
      </c>
      <c r="F3761" t="s">
        <v>1612</v>
      </c>
      <c r="G3761" t="s">
        <v>22630</v>
      </c>
      <c r="H3761" t="s">
        <v>26004</v>
      </c>
      <c r="I3761" s="26">
        <v>38068</v>
      </c>
      <c r="J3761">
        <v>2004</v>
      </c>
      <c r="K3761" t="s">
        <v>1612</v>
      </c>
      <c r="L3761">
        <v>327</v>
      </c>
      <c r="M3761" t="s">
        <v>39494</v>
      </c>
      <c r="N3761">
        <v>1</v>
      </c>
      <c r="Q3761" t="s">
        <v>39495</v>
      </c>
      <c r="R3761">
        <v>361.1</v>
      </c>
      <c r="T3761" t="s">
        <v>30</v>
      </c>
      <c r="U3761" t="s">
        <v>26044</v>
      </c>
      <c r="W3761" t="s">
        <v>26009</v>
      </c>
    </row>
    <row r="3762" spans="1:23" x14ac:dyDescent="0.35">
      <c r="A3762">
        <v>837313</v>
      </c>
      <c r="B3762" t="s">
        <v>39496</v>
      </c>
      <c r="C3762" t="str">
        <f>"9780520258976"</f>
        <v>9780520258976</v>
      </c>
      <c r="D3762" t="str">
        <f>"9780520943421"</f>
        <v>9780520943421</v>
      </c>
      <c r="E3762" t="s">
        <v>1612</v>
      </c>
      <c r="F3762" t="s">
        <v>1612</v>
      </c>
      <c r="G3762" t="s">
        <v>22630</v>
      </c>
      <c r="H3762" t="s">
        <v>26004</v>
      </c>
      <c r="I3762" s="26">
        <v>39877</v>
      </c>
      <c r="J3762">
        <v>2009</v>
      </c>
      <c r="K3762" t="s">
        <v>1612</v>
      </c>
      <c r="L3762">
        <v>287</v>
      </c>
      <c r="M3762" t="s">
        <v>39497</v>
      </c>
      <c r="N3762">
        <v>1</v>
      </c>
      <c r="R3762">
        <v>155.9</v>
      </c>
      <c r="T3762" t="s">
        <v>30</v>
      </c>
      <c r="U3762" t="s">
        <v>46</v>
      </c>
      <c r="W3762" t="s">
        <v>26009</v>
      </c>
    </row>
    <row r="3763" spans="1:23" x14ac:dyDescent="0.35">
      <c r="A3763">
        <v>837764</v>
      </c>
      <c r="B3763" t="s">
        <v>9810</v>
      </c>
      <c r="C3763" t="str">
        <f>"9781593322991"</f>
        <v>9781593322991</v>
      </c>
      <c r="D3763" t="str">
        <f>"9781593325664"</f>
        <v>9781593325664</v>
      </c>
      <c r="E3763" t="s">
        <v>39498</v>
      </c>
      <c r="F3763" t="s">
        <v>8775</v>
      </c>
      <c r="G3763" t="s">
        <v>39499</v>
      </c>
      <c r="H3763" t="s">
        <v>26004</v>
      </c>
      <c r="I3763" s="26">
        <v>39814</v>
      </c>
      <c r="J3763">
        <v>2009</v>
      </c>
      <c r="K3763" t="s">
        <v>8775</v>
      </c>
      <c r="L3763">
        <v>265</v>
      </c>
      <c r="M3763" t="s">
        <v>39500</v>
      </c>
      <c r="N3763">
        <v>1</v>
      </c>
      <c r="O3763" t="s">
        <v>39501</v>
      </c>
      <c r="Q3763" t="s">
        <v>39502</v>
      </c>
      <c r="R3763">
        <v>362.29083500000002</v>
      </c>
      <c r="S3763" t="s">
        <v>39503</v>
      </c>
      <c r="T3763" t="s">
        <v>30</v>
      </c>
      <c r="U3763" t="s">
        <v>29688</v>
      </c>
      <c r="W3763" t="s">
        <v>26009</v>
      </c>
    </row>
    <row r="3764" spans="1:23" x14ac:dyDescent="0.35">
      <c r="A3764">
        <v>837773</v>
      </c>
      <c r="B3764" t="s">
        <v>9209</v>
      </c>
      <c r="C3764" t="str">
        <f>"9781593323004"</f>
        <v>9781593323004</v>
      </c>
      <c r="D3764" t="str">
        <f>"9781593324285"</f>
        <v>9781593324285</v>
      </c>
      <c r="E3764" t="s">
        <v>39498</v>
      </c>
      <c r="F3764" t="s">
        <v>8775</v>
      </c>
      <c r="G3764" t="s">
        <v>39499</v>
      </c>
      <c r="H3764" t="s">
        <v>26004</v>
      </c>
      <c r="I3764" s="26">
        <v>39448</v>
      </c>
      <c r="J3764">
        <v>2008</v>
      </c>
      <c r="K3764" t="s">
        <v>8775</v>
      </c>
      <c r="L3764">
        <v>188</v>
      </c>
      <c r="M3764" t="s">
        <v>39504</v>
      </c>
      <c r="N3764">
        <v>1</v>
      </c>
      <c r="O3764" t="s">
        <v>39501</v>
      </c>
      <c r="Q3764" t="s">
        <v>39505</v>
      </c>
      <c r="R3764">
        <v>364.3</v>
      </c>
      <c r="S3764" t="s">
        <v>39506</v>
      </c>
      <c r="T3764" t="s">
        <v>30</v>
      </c>
      <c r="U3764" t="s">
        <v>26044</v>
      </c>
      <c r="W3764" t="s">
        <v>26009</v>
      </c>
    </row>
    <row r="3765" spans="1:23" x14ac:dyDescent="0.35">
      <c r="A3765">
        <v>837858</v>
      </c>
      <c r="B3765" t="s">
        <v>39507</v>
      </c>
      <c r="C3765" t="str">
        <f>"9788889688472"</f>
        <v>9788889688472</v>
      </c>
      <c r="D3765" t="str">
        <f>"9788889688823"</f>
        <v>9788889688823</v>
      </c>
      <c r="E3765" t="s">
        <v>39508</v>
      </c>
      <c r="F3765" t="s">
        <v>39509</v>
      </c>
      <c r="G3765" t="s">
        <v>39510</v>
      </c>
      <c r="H3765" t="s">
        <v>39511</v>
      </c>
      <c r="I3765" s="26">
        <v>40179</v>
      </c>
      <c r="J3765">
        <v>2010</v>
      </c>
      <c r="K3765" t="s">
        <v>39509</v>
      </c>
      <c r="L3765">
        <v>100</v>
      </c>
      <c r="M3765" t="s">
        <v>39512</v>
      </c>
      <c r="N3765">
        <v>1</v>
      </c>
      <c r="Q3765" t="s">
        <v>39513</v>
      </c>
      <c r="R3765" t="s">
        <v>39514</v>
      </c>
      <c r="S3765" t="s">
        <v>28365</v>
      </c>
      <c r="T3765" t="s">
        <v>8402</v>
      </c>
      <c r="U3765" t="s">
        <v>27028</v>
      </c>
      <c r="W3765" t="s">
        <v>26009</v>
      </c>
    </row>
    <row r="3766" spans="1:23" x14ac:dyDescent="0.35">
      <c r="A3766">
        <v>838155</v>
      </c>
      <c r="B3766" t="s">
        <v>855</v>
      </c>
      <c r="C3766" t="str">
        <f>"9780415884983"</f>
        <v>9780415884983</v>
      </c>
      <c r="D3766" t="str">
        <f>"9780203805992"</f>
        <v>9780203805992</v>
      </c>
      <c r="E3766" t="s">
        <v>26010</v>
      </c>
      <c r="F3766" t="s">
        <v>35</v>
      </c>
      <c r="G3766" t="s">
        <v>22179</v>
      </c>
      <c r="H3766" t="s">
        <v>26004</v>
      </c>
      <c r="I3766" s="26">
        <v>40795</v>
      </c>
      <c r="J3766">
        <v>2012</v>
      </c>
      <c r="K3766" t="s">
        <v>26012</v>
      </c>
      <c r="L3766">
        <v>131</v>
      </c>
      <c r="M3766" t="s">
        <v>39515</v>
      </c>
      <c r="N3766">
        <v>1</v>
      </c>
      <c r="Q3766" t="s">
        <v>39516</v>
      </c>
      <c r="R3766" t="s">
        <v>29251</v>
      </c>
      <c r="S3766" t="s">
        <v>7621</v>
      </c>
      <c r="T3766" t="s">
        <v>30</v>
      </c>
      <c r="U3766" t="s">
        <v>26116</v>
      </c>
      <c r="W3766" t="s">
        <v>26009</v>
      </c>
    </row>
    <row r="3767" spans="1:23" x14ac:dyDescent="0.35">
      <c r="A3767">
        <v>842949</v>
      </c>
      <c r="B3767" t="s">
        <v>39517</v>
      </c>
      <c r="C3767" t="str">
        <f>"9781780490205"</f>
        <v>9781780490205</v>
      </c>
      <c r="D3767" t="str">
        <f>"9781849409551"</f>
        <v>9781849409551</v>
      </c>
      <c r="E3767" t="s">
        <v>26010</v>
      </c>
      <c r="F3767" t="s">
        <v>35</v>
      </c>
      <c r="G3767" t="s">
        <v>22174</v>
      </c>
      <c r="H3767" t="s">
        <v>26011</v>
      </c>
      <c r="I3767" s="26">
        <v>41274</v>
      </c>
      <c r="J3767">
        <v>2012</v>
      </c>
      <c r="K3767" t="s">
        <v>26012</v>
      </c>
      <c r="L3767">
        <v>208</v>
      </c>
      <c r="M3767" t="s">
        <v>39518</v>
      </c>
      <c r="N3767">
        <v>1</v>
      </c>
      <c r="O3767" t="s">
        <v>37129</v>
      </c>
      <c r="Q3767" t="s">
        <v>39519</v>
      </c>
      <c r="R3767">
        <v>150.19509199999999</v>
      </c>
      <c r="S3767" t="s">
        <v>39520</v>
      </c>
      <c r="T3767" t="s">
        <v>30</v>
      </c>
      <c r="U3767" t="s">
        <v>26116</v>
      </c>
      <c r="W3767" t="s">
        <v>26009</v>
      </c>
    </row>
    <row r="3768" spans="1:23" x14ac:dyDescent="0.35">
      <c r="A3768">
        <v>843865</v>
      </c>
      <c r="B3768" t="s">
        <v>39521</v>
      </c>
      <c r="C3768" t="str">
        <f>"9781598744866"</f>
        <v>9781598744866</v>
      </c>
      <c r="D3768" t="str">
        <f>"9781611327953"</f>
        <v>9781611327953</v>
      </c>
      <c r="E3768" t="s">
        <v>26010</v>
      </c>
      <c r="F3768" t="s">
        <v>35</v>
      </c>
      <c r="G3768" t="s">
        <v>36267</v>
      </c>
      <c r="H3768" t="s">
        <v>26004</v>
      </c>
      <c r="I3768" s="26">
        <v>40663</v>
      </c>
      <c r="J3768">
        <v>2011</v>
      </c>
      <c r="K3768" t="s">
        <v>26012</v>
      </c>
      <c r="L3768">
        <v>233</v>
      </c>
      <c r="M3768" t="s">
        <v>39522</v>
      </c>
      <c r="N3768">
        <v>1</v>
      </c>
      <c r="O3768" t="s">
        <v>39523</v>
      </c>
      <c r="P3768">
        <v>2</v>
      </c>
      <c r="Q3768" t="s">
        <v>39524</v>
      </c>
      <c r="R3768">
        <v>305.8</v>
      </c>
      <c r="S3768" t="s">
        <v>39525</v>
      </c>
      <c r="T3768" t="s">
        <v>30</v>
      </c>
      <c r="U3768" t="s">
        <v>26044</v>
      </c>
      <c r="W3768" t="s">
        <v>26009</v>
      </c>
    </row>
    <row r="3769" spans="1:23" x14ac:dyDescent="0.35">
      <c r="A3769">
        <v>844016</v>
      </c>
      <c r="B3769" t="s">
        <v>39526</v>
      </c>
      <c r="C3769" t="str">
        <f>"9781855758216"</f>
        <v>9781855758216</v>
      </c>
      <c r="D3769" t="str">
        <f>"9781849409568"</f>
        <v>9781849409568</v>
      </c>
      <c r="E3769" t="s">
        <v>26010</v>
      </c>
      <c r="F3769" t="s">
        <v>35</v>
      </c>
      <c r="G3769" t="s">
        <v>26128</v>
      </c>
      <c r="H3769" t="s">
        <v>26011</v>
      </c>
      <c r="I3769" s="26">
        <v>41274</v>
      </c>
      <c r="J3769">
        <v>2012</v>
      </c>
      <c r="K3769" t="s">
        <v>26012</v>
      </c>
      <c r="L3769">
        <v>433</v>
      </c>
      <c r="M3769" t="s">
        <v>39527</v>
      </c>
      <c r="N3769">
        <v>1</v>
      </c>
      <c r="R3769">
        <v>616.89147000000003</v>
      </c>
      <c r="S3769" t="s">
        <v>9675</v>
      </c>
      <c r="T3769" t="s">
        <v>30</v>
      </c>
      <c r="U3769" t="s">
        <v>26040</v>
      </c>
      <c r="W3769" t="s">
        <v>26009</v>
      </c>
    </row>
    <row r="3770" spans="1:23" x14ac:dyDescent="0.35">
      <c r="A3770">
        <v>845525</v>
      </c>
      <c r="B3770" t="s">
        <v>39528</v>
      </c>
      <c r="C3770" t="str">
        <f>"9781780490199"</f>
        <v>9781780490199</v>
      </c>
      <c r="D3770" t="str">
        <f>"9781849409575"</f>
        <v>9781849409575</v>
      </c>
      <c r="E3770" t="s">
        <v>26010</v>
      </c>
      <c r="F3770" t="s">
        <v>35</v>
      </c>
      <c r="G3770" t="s">
        <v>22174</v>
      </c>
      <c r="H3770" t="s">
        <v>26011</v>
      </c>
      <c r="I3770" s="26">
        <v>41274</v>
      </c>
      <c r="J3770">
        <v>2012</v>
      </c>
      <c r="K3770" t="s">
        <v>26012</v>
      </c>
      <c r="L3770">
        <v>168</v>
      </c>
      <c r="M3770" t="s">
        <v>39529</v>
      </c>
      <c r="N3770">
        <v>1</v>
      </c>
      <c r="Q3770" t="s">
        <v>39530</v>
      </c>
      <c r="R3770">
        <v>616.89139999999998</v>
      </c>
      <c r="S3770" t="s">
        <v>7660</v>
      </c>
      <c r="T3770" t="s">
        <v>30</v>
      </c>
      <c r="U3770" t="s">
        <v>26116</v>
      </c>
      <c r="W3770" t="s">
        <v>26009</v>
      </c>
    </row>
    <row r="3771" spans="1:23" x14ac:dyDescent="0.35">
      <c r="A3771">
        <v>845906</v>
      </c>
      <c r="B3771" t="s">
        <v>9325</v>
      </c>
      <c r="C3771" t="str">
        <f>"9780199605804"</f>
        <v>9780199605804</v>
      </c>
      <c r="D3771" t="str">
        <f>"9780191628740"</f>
        <v>9780191628740</v>
      </c>
      <c r="E3771" t="s">
        <v>371</v>
      </c>
      <c r="F3771" t="s">
        <v>31</v>
      </c>
      <c r="G3771" t="s">
        <v>22242</v>
      </c>
      <c r="H3771" t="s">
        <v>26011</v>
      </c>
      <c r="I3771" s="26">
        <v>40959</v>
      </c>
      <c r="J3771">
        <v>2011</v>
      </c>
      <c r="K3771" t="s">
        <v>31</v>
      </c>
      <c r="L3771">
        <v>299</v>
      </c>
      <c r="M3771" t="s">
        <v>39531</v>
      </c>
      <c r="N3771">
        <v>2</v>
      </c>
      <c r="O3771" t="s">
        <v>39532</v>
      </c>
      <c r="Q3771" t="s">
        <v>39533</v>
      </c>
      <c r="R3771">
        <v>616.99400189999994</v>
      </c>
      <c r="S3771" t="s">
        <v>9326</v>
      </c>
      <c r="T3771" t="s">
        <v>30</v>
      </c>
      <c r="U3771" t="s">
        <v>26040</v>
      </c>
      <c r="W3771" t="s">
        <v>26009</v>
      </c>
    </row>
    <row r="3772" spans="1:23" x14ac:dyDescent="0.35">
      <c r="A3772">
        <v>845961</v>
      </c>
      <c r="B3772" t="s">
        <v>9359</v>
      </c>
      <c r="C3772" t="str">
        <f>"9780199734566"</f>
        <v>9780199734566</v>
      </c>
      <c r="D3772" t="str">
        <f>"9780199921362"</f>
        <v>9780199921362</v>
      </c>
      <c r="E3772" t="s">
        <v>371</v>
      </c>
      <c r="F3772" t="s">
        <v>31</v>
      </c>
      <c r="G3772" t="s">
        <v>22703</v>
      </c>
      <c r="H3772" t="s">
        <v>26004</v>
      </c>
      <c r="I3772" s="26">
        <v>40938</v>
      </c>
      <c r="J3772">
        <v>2012</v>
      </c>
      <c r="K3772" t="s">
        <v>31</v>
      </c>
      <c r="L3772">
        <v>389</v>
      </c>
      <c r="M3772" t="s">
        <v>39534</v>
      </c>
      <c r="Q3772" t="s">
        <v>39535</v>
      </c>
      <c r="R3772" t="s">
        <v>28597</v>
      </c>
      <c r="S3772" t="s">
        <v>39536</v>
      </c>
      <c r="T3772" t="s">
        <v>30</v>
      </c>
      <c r="U3772" t="s">
        <v>26040</v>
      </c>
      <c r="W3772" t="s">
        <v>26009</v>
      </c>
    </row>
    <row r="3773" spans="1:23" x14ac:dyDescent="0.35">
      <c r="A3773">
        <v>847588</v>
      </c>
      <c r="B3773" t="s">
        <v>39537</v>
      </c>
      <c r="C3773" t="str">
        <f>"9781572244276"</f>
        <v>9781572244276</v>
      </c>
      <c r="D3773" t="str">
        <f>"9781572246867"</f>
        <v>9781572246867</v>
      </c>
      <c r="E3773" t="s">
        <v>7424</v>
      </c>
      <c r="F3773" t="s">
        <v>7424</v>
      </c>
      <c r="G3773" t="s">
        <v>23047</v>
      </c>
      <c r="H3773" t="s">
        <v>26004</v>
      </c>
      <c r="I3773" s="26">
        <v>38565</v>
      </c>
      <c r="J3773">
        <v>2005</v>
      </c>
      <c r="K3773" t="s">
        <v>7424</v>
      </c>
      <c r="L3773">
        <v>305</v>
      </c>
      <c r="M3773" t="s">
        <v>39538</v>
      </c>
      <c r="N3773">
        <v>1</v>
      </c>
      <c r="Q3773" t="s">
        <v>39539</v>
      </c>
      <c r="R3773" t="s">
        <v>35786</v>
      </c>
      <c r="S3773" t="s">
        <v>39540</v>
      </c>
      <c r="T3773" t="s">
        <v>30</v>
      </c>
      <c r="U3773" t="s">
        <v>26019</v>
      </c>
      <c r="W3773" t="s">
        <v>26009</v>
      </c>
    </row>
    <row r="3774" spans="1:23" x14ac:dyDescent="0.35">
      <c r="A3774">
        <v>848734</v>
      </c>
      <c r="B3774" t="s">
        <v>39541</v>
      </c>
      <c r="C3774" t="str">
        <f>""</f>
        <v/>
      </c>
      <c r="D3774" t="str">
        <f>"9781845453992"</f>
        <v>9781845453992</v>
      </c>
      <c r="E3774" t="s">
        <v>34636</v>
      </c>
      <c r="F3774" t="s">
        <v>7472</v>
      </c>
      <c r="G3774" t="s">
        <v>31126</v>
      </c>
      <c r="H3774" t="s">
        <v>26004</v>
      </c>
      <c r="I3774" s="26">
        <v>40878</v>
      </c>
      <c r="J3774">
        <v>2010</v>
      </c>
      <c r="K3774" t="s">
        <v>7472</v>
      </c>
      <c r="L3774">
        <v>240</v>
      </c>
      <c r="M3774" t="s">
        <v>39542</v>
      </c>
      <c r="N3774">
        <v>1</v>
      </c>
      <c r="O3774" t="s">
        <v>39543</v>
      </c>
      <c r="P3774">
        <v>14</v>
      </c>
      <c r="Q3774" t="s">
        <v>39544</v>
      </c>
      <c r="R3774" t="s">
        <v>26308</v>
      </c>
      <c r="T3774" t="s">
        <v>30</v>
      </c>
      <c r="U3774" t="s">
        <v>46</v>
      </c>
      <c r="W3774" t="s">
        <v>26009</v>
      </c>
    </row>
    <row r="3775" spans="1:23" x14ac:dyDescent="0.35">
      <c r="A3775">
        <v>849492</v>
      </c>
      <c r="B3775" t="s">
        <v>39545</v>
      </c>
      <c r="C3775" t="str">
        <f>"9780813550169"</f>
        <v>9780813550169</v>
      </c>
      <c r="D3775" t="str">
        <f>"9780813551029"</f>
        <v>9780813551029</v>
      </c>
      <c r="E3775" t="s">
        <v>3024</v>
      </c>
      <c r="F3775" t="s">
        <v>3024</v>
      </c>
      <c r="G3775" t="s">
        <v>23823</v>
      </c>
      <c r="H3775" t="s">
        <v>26004</v>
      </c>
      <c r="I3775" s="26">
        <v>40723</v>
      </c>
      <c r="J3775">
        <v>2011</v>
      </c>
      <c r="K3775" t="s">
        <v>3024</v>
      </c>
      <c r="L3775">
        <v>260</v>
      </c>
      <c r="M3775" t="s">
        <v>39546</v>
      </c>
      <c r="N3775">
        <v>1</v>
      </c>
      <c r="O3775" t="s">
        <v>39547</v>
      </c>
      <c r="Q3775" t="s">
        <v>33465</v>
      </c>
      <c r="R3775" t="s">
        <v>33466</v>
      </c>
      <c r="T3775" t="s">
        <v>30</v>
      </c>
      <c r="U3775" t="s">
        <v>26116</v>
      </c>
      <c r="W3775" t="s">
        <v>26009</v>
      </c>
    </row>
    <row r="3776" spans="1:23" x14ac:dyDescent="0.35">
      <c r="A3776">
        <v>850675</v>
      </c>
      <c r="B3776" t="s">
        <v>39548</v>
      </c>
      <c r="C3776" t="str">
        <f>"9780765708755"</f>
        <v>9780765708755</v>
      </c>
      <c r="D3776" t="str">
        <f>"9780765708762"</f>
        <v>9780765708762</v>
      </c>
      <c r="E3776" t="s">
        <v>33803</v>
      </c>
      <c r="F3776" t="s">
        <v>38</v>
      </c>
      <c r="G3776" t="s">
        <v>34138</v>
      </c>
      <c r="H3776" t="s">
        <v>26004</v>
      </c>
      <c r="I3776" s="26">
        <v>40896</v>
      </c>
      <c r="J3776">
        <v>2012</v>
      </c>
      <c r="K3776" t="s">
        <v>33811</v>
      </c>
      <c r="L3776">
        <v>161</v>
      </c>
      <c r="M3776" t="s">
        <v>35164</v>
      </c>
      <c r="N3776">
        <v>1</v>
      </c>
      <c r="Q3776" t="s">
        <v>39549</v>
      </c>
      <c r="R3776" t="s">
        <v>26422</v>
      </c>
      <c r="S3776" t="s">
        <v>39550</v>
      </c>
      <c r="T3776" t="s">
        <v>30</v>
      </c>
      <c r="U3776" t="s">
        <v>26019</v>
      </c>
      <c r="W3776" t="s">
        <v>26009</v>
      </c>
    </row>
    <row r="3777" spans="1:23" x14ac:dyDescent="0.35">
      <c r="A3777">
        <v>850998</v>
      </c>
      <c r="B3777" t="s">
        <v>9086</v>
      </c>
      <c r="C3777" t="str">
        <f>"9780948462733"</f>
        <v>9780948462733</v>
      </c>
      <c r="D3777" t="str">
        <f>"9781780230047"</f>
        <v>9781780230047</v>
      </c>
      <c r="E3777" t="s">
        <v>34057</v>
      </c>
      <c r="F3777" t="s">
        <v>7564</v>
      </c>
      <c r="G3777" t="s">
        <v>22174</v>
      </c>
      <c r="H3777" t="s">
        <v>26011</v>
      </c>
      <c r="I3777" s="26">
        <v>34952</v>
      </c>
      <c r="J3777">
        <v>1995</v>
      </c>
      <c r="K3777" t="s">
        <v>7564</v>
      </c>
      <c r="L3777">
        <v>282</v>
      </c>
      <c r="M3777" t="s">
        <v>39551</v>
      </c>
      <c r="N3777">
        <v>1</v>
      </c>
      <c r="O3777" t="s">
        <v>34059</v>
      </c>
      <c r="Q3777" t="s">
        <v>39552</v>
      </c>
      <c r="R3777" t="s">
        <v>39553</v>
      </c>
      <c r="S3777" t="s">
        <v>39554</v>
      </c>
      <c r="T3777" t="s">
        <v>30</v>
      </c>
      <c r="U3777" t="s">
        <v>366</v>
      </c>
      <c r="W3777" t="s">
        <v>26009</v>
      </c>
    </row>
    <row r="3778" spans="1:23" x14ac:dyDescent="0.35">
      <c r="A3778">
        <v>858987</v>
      </c>
      <c r="B3778" t="s">
        <v>39555</v>
      </c>
      <c r="C3778" t="str">
        <f>"9781572242449"</f>
        <v>9781572242449</v>
      </c>
      <c r="D3778" t="str">
        <f>"9781608825974"</f>
        <v>9781608825974</v>
      </c>
      <c r="E3778" t="s">
        <v>7424</v>
      </c>
      <c r="F3778" t="s">
        <v>7424</v>
      </c>
      <c r="G3778" t="s">
        <v>23047</v>
      </c>
      <c r="H3778" t="s">
        <v>26004</v>
      </c>
      <c r="I3778" s="26">
        <v>37067</v>
      </c>
      <c r="J3778">
        <v>2001</v>
      </c>
      <c r="K3778" t="s">
        <v>7424</v>
      </c>
      <c r="L3778">
        <v>237</v>
      </c>
      <c r="M3778" t="s">
        <v>39556</v>
      </c>
      <c r="N3778">
        <v>1</v>
      </c>
      <c r="Q3778" t="s">
        <v>39557</v>
      </c>
      <c r="R3778" t="s">
        <v>39558</v>
      </c>
      <c r="S3778" t="s">
        <v>39559</v>
      </c>
      <c r="T3778" t="s">
        <v>30</v>
      </c>
      <c r="U3778" t="s">
        <v>28629</v>
      </c>
      <c r="W3778" t="s">
        <v>26009</v>
      </c>
    </row>
    <row r="3779" spans="1:23" x14ac:dyDescent="0.35">
      <c r="A3779">
        <v>860133</v>
      </c>
      <c r="B3779" t="s">
        <v>39560</v>
      </c>
      <c r="C3779" t="str">
        <f>"9780765708854"</f>
        <v>9780765708854</v>
      </c>
      <c r="D3779" t="str">
        <f>"9780765708861"</f>
        <v>9780765708861</v>
      </c>
      <c r="E3779" t="s">
        <v>33803</v>
      </c>
      <c r="F3779" t="s">
        <v>38</v>
      </c>
      <c r="G3779" t="s">
        <v>34138</v>
      </c>
      <c r="H3779" t="s">
        <v>26004</v>
      </c>
      <c r="I3779" s="26">
        <v>40886</v>
      </c>
      <c r="J3779">
        <v>2012</v>
      </c>
      <c r="K3779" t="s">
        <v>33811</v>
      </c>
      <c r="L3779">
        <v>197</v>
      </c>
      <c r="M3779" t="s">
        <v>34334</v>
      </c>
      <c r="N3779">
        <v>1</v>
      </c>
      <c r="Q3779" t="s">
        <v>39561</v>
      </c>
      <c r="R3779" t="s">
        <v>27731</v>
      </c>
      <c r="S3779" t="s">
        <v>39562</v>
      </c>
      <c r="T3779" t="s">
        <v>30</v>
      </c>
      <c r="U3779" t="s">
        <v>26044</v>
      </c>
      <c r="W3779" t="s">
        <v>26009</v>
      </c>
    </row>
    <row r="3780" spans="1:23" x14ac:dyDescent="0.35">
      <c r="A3780">
        <v>860276</v>
      </c>
      <c r="B3780" t="s">
        <v>7716</v>
      </c>
      <c r="C3780" t="str">
        <f>"9780765708649"</f>
        <v>9780765708649</v>
      </c>
      <c r="D3780" t="str">
        <f>"9780765708663"</f>
        <v>9780765708663</v>
      </c>
      <c r="E3780" t="s">
        <v>33803</v>
      </c>
      <c r="F3780" t="s">
        <v>38</v>
      </c>
      <c r="G3780" t="s">
        <v>34138</v>
      </c>
      <c r="H3780" t="s">
        <v>26004</v>
      </c>
      <c r="I3780" s="26">
        <v>40955</v>
      </c>
      <c r="J3780">
        <v>2012</v>
      </c>
      <c r="K3780" t="s">
        <v>33811</v>
      </c>
      <c r="L3780">
        <v>245</v>
      </c>
      <c r="M3780" t="s">
        <v>39563</v>
      </c>
      <c r="N3780">
        <v>1</v>
      </c>
      <c r="Q3780" t="s">
        <v>39564</v>
      </c>
      <c r="R3780" t="s">
        <v>29630</v>
      </c>
      <c r="S3780" t="s">
        <v>39565</v>
      </c>
      <c r="T3780" t="s">
        <v>30</v>
      </c>
      <c r="U3780" t="s">
        <v>26040</v>
      </c>
      <c r="W3780" t="s">
        <v>26009</v>
      </c>
    </row>
    <row r="3781" spans="1:23" x14ac:dyDescent="0.35">
      <c r="A3781">
        <v>860789</v>
      </c>
      <c r="B3781" t="s">
        <v>10053</v>
      </c>
      <c r="C3781" t="str">
        <f>"9781780490168"</f>
        <v>9781780490168</v>
      </c>
      <c r="D3781" t="str">
        <f>"9781849409599"</f>
        <v>9781849409599</v>
      </c>
      <c r="E3781" t="s">
        <v>26010</v>
      </c>
      <c r="F3781" t="s">
        <v>35</v>
      </c>
      <c r="G3781" t="s">
        <v>22174</v>
      </c>
      <c r="H3781" t="s">
        <v>26011</v>
      </c>
      <c r="I3781" s="26">
        <v>41274</v>
      </c>
      <c r="J3781">
        <v>2012</v>
      </c>
      <c r="K3781" t="s">
        <v>26012</v>
      </c>
      <c r="L3781">
        <v>177</v>
      </c>
      <c r="M3781" t="s">
        <v>39566</v>
      </c>
      <c r="N3781">
        <v>1</v>
      </c>
      <c r="Q3781" t="s">
        <v>39567</v>
      </c>
      <c r="R3781">
        <v>158.30000000000001</v>
      </c>
      <c r="S3781" t="s">
        <v>10054</v>
      </c>
      <c r="T3781" t="s">
        <v>30</v>
      </c>
      <c r="U3781" t="s">
        <v>46</v>
      </c>
      <c r="W3781" t="s">
        <v>26009</v>
      </c>
    </row>
    <row r="3782" spans="1:23" x14ac:dyDescent="0.35">
      <c r="A3782">
        <v>861978</v>
      </c>
      <c r="B3782" t="s">
        <v>39568</v>
      </c>
      <c r="C3782" t="str">
        <f>"9781905539130"</f>
        <v>9781905539130</v>
      </c>
      <c r="D3782" t="str">
        <f>"9781907830136"</f>
        <v>9781907830136</v>
      </c>
      <c r="E3782" t="s">
        <v>39569</v>
      </c>
      <c r="F3782" t="s">
        <v>7861</v>
      </c>
      <c r="G3782" t="s">
        <v>39570</v>
      </c>
      <c r="H3782" t="s">
        <v>26011</v>
      </c>
      <c r="I3782" s="26">
        <v>39055</v>
      </c>
      <c r="J3782">
        <v>2006</v>
      </c>
      <c r="K3782" t="s">
        <v>39571</v>
      </c>
      <c r="L3782">
        <v>256</v>
      </c>
      <c r="M3782" t="s">
        <v>39572</v>
      </c>
      <c r="N3782">
        <v>1</v>
      </c>
      <c r="O3782" t="s">
        <v>39573</v>
      </c>
      <c r="Q3782" t="s">
        <v>39574</v>
      </c>
      <c r="R3782">
        <v>617.47075719999998</v>
      </c>
      <c r="S3782" t="s">
        <v>39575</v>
      </c>
      <c r="T3782" t="s">
        <v>30</v>
      </c>
      <c r="U3782" t="s">
        <v>26040</v>
      </c>
      <c r="W3782" t="s">
        <v>26009</v>
      </c>
    </row>
    <row r="3783" spans="1:23" x14ac:dyDescent="0.35">
      <c r="A3783">
        <v>861982</v>
      </c>
      <c r="B3783" t="s">
        <v>39576</v>
      </c>
      <c r="C3783" t="str">
        <f>"9781905539154"</f>
        <v>9781905539154</v>
      </c>
      <c r="D3783" t="str">
        <f>"9781907830150"</f>
        <v>9781907830150</v>
      </c>
      <c r="E3783" t="s">
        <v>39569</v>
      </c>
      <c r="F3783" t="s">
        <v>7861</v>
      </c>
      <c r="G3783" t="s">
        <v>39570</v>
      </c>
      <c r="H3783" t="s">
        <v>26011</v>
      </c>
      <c r="I3783" s="26">
        <v>39599</v>
      </c>
      <c r="J3783">
        <v>2008</v>
      </c>
      <c r="K3783" t="s">
        <v>39571</v>
      </c>
      <c r="L3783">
        <v>167</v>
      </c>
      <c r="M3783" t="s">
        <v>39577</v>
      </c>
      <c r="N3783">
        <v>1</v>
      </c>
      <c r="Q3783" t="s">
        <v>39578</v>
      </c>
      <c r="R3783">
        <v>616.04399999999998</v>
      </c>
      <c r="S3783" t="s">
        <v>39579</v>
      </c>
      <c r="T3783" t="s">
        <v>30</v>
      </c>
      <c r="U3783" t="s">
        <v>26040</v>
      </c>
      <c r="W3783" t="s">
        <v>26009</v>
      </c>
    </row>
    <row r="3784" spans="1:23" x14ac:dyDescent="0.35">
      <c r="A3784">
        <v>862094</v>
      </c>
      <c r="B3784" t="s">
        <v>39580</v>
      </c>
      <c r="C3784" t="str">
        <f>""</f>
        <v/>
      </c>
      <c r="D3784" t="str">
        <f>"9780813552033"</f>
        <v>9780813552033</v>
      </c>
      <c r="E3784" t="s">
        <v>3024</v>
      </c>
      <c r="F3784" t="s">
        <v>3024</v>
      </c>
      <c r="G3784" t="s">
        <v>23807</v>
      </c>
      <c r="H3784" t="s">
        <v>26004</v>
      </c>
      <c r="I3784" s="26">
        <v>40869</v>
      </c>
      <c r="J3784">
        <v>2012</v>
      </c>
      <c r="K3784" t="s">
        <v>3024</v>
      </c>
      <c r="L3784">
        <v>173</v>
      </c>
      <c r="M3784" t="s">
        <v>39581</v>
      </c>
      <c r="N3784">
        <v>1</v>
      </c>
      <c r="Q3784" t="s">
        <v>34427</v>
      </c>
      <c r="R3784" t="s">
        <v>34428</v>
      </c>
      <c r="S3784" t="s">
        <v>39582</v>
      </c>
      <c r="T3784" t="s">
        <v>30</v>
      </c>
      <c r="U3784" t="s">
        <v>26019</v>
      </c>
      <c r="W3784" t="s">
        <v>26009</v>
      </c>
    </row>
    <row r="3785" spans="1:23" x14ac:dyDescent="0.35">
      <c r="A3785">
        <v>862163</v>
      </c>
      <c r="B3785" t="s">
        <v>39583</v>
      </c>
      <c r="C3785" t="str">
        <f>"9781598744903"</f>
        <v>9781598744903</v>
      </c>
      <c r="D3785" t="str">
        <f>"9781611327885"</f>
        <v>9781611327885</v>
      </c>
      <c r="E3785" t="s">
        <v>26010</v>
      </c>
      <c r="F3785" t="s">
        <v>35</v>
      </c>
      <c r="G3785" t="s">
        <v>36267</v>
      </c>
      <c r="H3785" t="s">
        <v>26004</v>
      </c>
      <c r="I3785" s="26">
        <v>40940</v>
      </c>
      <c r="J3785">
        <v>2012</v>
      </c>
      <c r="K3785" t="s">
        <v>26012</v>
      </c>
      <c r="L3785">
        <v>264</v>
      </c>
      <c r="M3785" t="s">
        <v>39584</v>
      </c>
      <c r="N3785">
        <v>1</v>
      </c>
      <c r="O3785" t="s">
        <v>39585</v>
      </c>
      <c r="P3785">
        <v>3</v>
      </c>
      <c r="Q3785" t="s">
        <v>39586</v>
      </c>
      <c r="R3785" t="s">
        <v>39587</v>
      </c>
      <c r="S3785" t="s">
        <v>39588</v>
      </c>
      <c r="T3785" t="s">
        <v>30</v>
      </c>
      <c r="U3785" t="s">
        <v>39589</v>
      </c>
      <c r="W3785" t="s">
        <v>26009</v>
      </c>
    </row>
    <row r="3786" spans="1:23" x14ac:dyDescent="0.35">
      <c r="A3786">
        <v>862164</v>
      </c>
      <c r="B3786" t="s">
        <v>9665</v>
      </c>
      <c r="C3786" t="str">
        <f>"9781611320213"</f>
        <v>9781611320213</v>
      </c>
      <c r="D3786" t="str">
        <f>"9781611320237"</f>
        <v>9781611320237</v>
      </c>
      <c r="E3786" t="s">
        <v>26010</v>
      </c>
      <c r="F3786" t="s">
        <v>35</v>
      </c>
      <c r="G3786" t="s">
        <v>36267</v>
      </c>
      <c r="H3786" t="s">
        <v>26004</v>
      </c>
      <c r="I3786" s="26">
        <v>40694</v>
      </c>
      <c r="J3786">
        <v>2011</v>
      </c>
      <c r="K3786" t="s">
        <v>26012</v>
      </c>
      <c r="L3786">
        <v>272</v>
      </c>
      <c r="M3786" t="s">
        <v>36268</v>
      </c>
      <c r="N3786">
        <v>1</v>
      </c>
      <c r="O3786" t="s">
        <v>36269</v>
      </c>
      <c r="Q3786" t="s">
        <v>39590</v>
      </c>
      <c r="R3786" t="s">
        <v>35760</v>
      </c>
      <c r="S3786" t="s">
        <v>8212</v>
      </c>
      <c r="T3786" t="s">
        <v>30</v>
      </c>
      <c r="U3786" t="s">
        <v>28449</v>
      </c>
      <c r="W3786" t="s">
        <v>26009</v>
      </c>
    </row>
    <row r="3787" spans="1:23" x14ac:dyDescent="0.35">
      <c r="A3787">
        <v>862408</v>
      </c>
      <c r="B3787" t="s">
        <v>39591</v>
      </c>
      <c r="C3787" t="str">
        <f>"9781107018037"</f>
        <v>9781107018037</v>
      </c>
      <c r="D3787" t="str">
        <f>"9781139230896"</f>
        <v>9781139230896</v>
      </c>
      <c r="E3787" t="s">
        <v>167</v>
      </c>
      <c r="F3787" t="s">
        <v>167</v>
      </c>
      <c r="G3787" t="s">
        <v>22218</v>
      </c>
      <c r="H3787" t="s">
        <v>26011</v>
      </c>
      <c r="I3787" s="26">
        <v>40941</v>
      </c>
      <c r="J3787">
        <v>2012</v>
      </c>
      <c r="K3787" t="s">
        <v>167</v>
      </c>
      <c r="L3787">
        <v>240</v>
      </c>
      <c r="M3787" t="s">
        <v>39592</v>
      </c>
      <c r="N3787">
        <v>1</v>
      </c>
      <c r="Q3787" t="s">
        <v>39593</v>
      </c>
      <c r="R3787">
        <v>305.3</v>
      </c>
      <c r="S3787" t="s">
        <v>39594</v>
      </c>
      <c r="T3787" t="s">
        <v>30</v>
      </c>
      <c r="U3787" t="s">
        <v>26044</v>
      </c>
      <c r="W3787" t="s">
        <v>26020</v>
      </c>
    </row>
    <row r="3788" spans="1:23" x14ac:dyDescent="0.35">
      <c r="A3788">
        <v>862647</v>
      </c>
      <c r="B3788" t="s">
        <v>39595</v>
      </c>
      <c r="C3788" t="str">
        <f>"9780765710192"</f>
        <v>9780765710192</v>
      </c>
      <c r="D3788" t="str">
        <f>"9780765708571"</f>
        <v>9780765708571</v>
      </c>
      <c r="E3788" t="s">
        <v>33803</v>
      </c>
      <c r="F3788" t="s">
        <v>38</v>
      </c>
      <c r="G3788" t="s">
        <v>34138</v>
      </c>
      <c r="H3788" t="s">
        <v>26004</v>
      </c>
      <c r="I3788" s="26">
        <v>40893</v>
      </c>
      <c r="J3788">
        <v>2011</v>
      </c>
      <c r="K3788" t="s">
        <v>33811</v>
      </c>
      <c r="L3788">
        <v>133</v>
      </c>
      <c r="M3788" t="s">
        <v>39596</v>
      </c>
      <c r="N3788">
        <v>1</v>
      </c>
      <c r="Q3788" t="s">
        <v>39597</v>
      </c>
      <c r="R3788" t="s">
        <v>29382</v>
      </c>
      <c r="S3788" t="s">
        <v>39598</v>
      </c>
      <c r="T3788" t="s">
        <v>30</v>
      </c>
      <c r="U3788" t="s">
        <v>26040</v>
      </c>
      <c r="W3788" t="s">
        <v>26009</v>
      </c>
    </row>
    <row r="3789" spans="1:23" x14ac:dyDescent="0.35">
      <c r="A3789">
        <v>862680</v>
      </c>
      <c r="B3789" t="s">
        <v>39599</v>
      </c>
      <c r="C3789" t="str">
        <f>"9781462503049"</f>
        <v>9781462503049</v>
      </c>
      <c r="D3789" t="str">
        <f>"9781462503148"</f>
        <v>9781462503148</v>
      </c>
      <c r="E3789" t="s">
        <v>30112</v>
      </c>
      <c r="F3789" t="s">
        <v>7420</v>
      </c>
      <c r="G3789" t="s">
        <v>22179</v>
      </c>
      <c r="H3789" t="s">
        <v>26004</v>
      </c>
      <c r="I3789" s="26">
        <v>40946</v>
      </c>
      <c r="J3789">
        <v>2012</v>
      </c>
      <c r="K3789" t="s">
        <v>30113</v>
      </c>
      <c r="L3789">
        <v>241</v>
      </c>
      <c r="M3789" t="s">
        <v>39600</v>
      </c>
      <c r="N3789">
        <v>1</v>
      </c>
      <c r="O3789" t="s">
        <v>31750</v>
      </c>
      <c r="R3789">
        <v>371.93</v>
      </c>
      <c r="S3789" t="s">
        <v>39601</v>
      </c>
      <c r="T3789" t="s">
        <v>30</v>
      </c>
      <c r="U3789" t="s">
        <v>337</v>
      </c>
      <c r="W3789" t="s">
        <v>28347</v>
      </c>
    </row>
    <row r="3790" spans="1:23" x14ac:dyDescent="0.35">
      <c r="A3790">
        <v>862711</v>
      </c>
      <c r="B3790" t="s">
        <v>39602</v>
      </c>
      <c r="C3790" t="str">
        <f>"9781780490151"</f>
        <v>9781780490151</v>
      </c>
      <c r="D3790" t="str">
        <f>"9781849409612"</f>
        <v>9781849409612</v>
      </c>
      <c r="E3790" t="s">
        <v>26010</v>
      </c>
      <c r="F3790" t="s">
        <v>35</v>
      </c>
      <c r="G3790" t="s">
        <v>22174</v>
      </c>
      <c r="H3790" t="s">
        <v>26011</v>
      </c>
      <c r="I3790" s="26">
        <v>40939</v>
      </c>
      <c r="J3790">
        <v>2012</v>
      </c>
      <c r="K3790" t="s">
        <v>26012</v>
      </c>
      <c r="L3790">
        <v>218</v>
      </c>
      <c r="M3790" t="s">
        <v>39603</v>
      </c>
      <c r="N3790">
        <v>1</v>
      </c>
      <c r="O3790" t="s">
        <v>36539</v>
      </c>
      <c r="Q3790" t="s">
        <v>39604</v>
      </c>
      <c r="R3790">
        <v>302</v>
      </c>
      <c r="S3790" t="s">
        <v>39605</v>
      </c>
      <c r="T3790" t="s">
        <v>30</v>
      </c>
      <c r="U3790" t="s">
        <v>26044</v>
      </c>
      <c r="W3790" t="s">
        <v>26009</v>
      </c>
    </row>
    <row r="3791" spans="1:23" x14ac:dyDescent="0.35">
      <c r="A3791">
        <v>862712</v>
      </c>
      <c r="B3791" t="s">
        <v>39606</v>
      </c>
      <c r="C3791" t="str">
        <f>"9781780490397"</f>
        <v>9781780490397</v>
      </c>
      <c r="D3791" t="str">
        <f>"9781849409629"</f>
        <v>9781849409629</v>
      </c>
      <c r="E3791" t="s">
        <v>26010</v>
      </c>
      <c r="F3791" t="s">
        <v>35</v>
      </c>
      <c r="G3791" t="s">
        <v>22174</v>
      </c>
      <c r="H3791" t="s">
        <v>26011</v>
      </c>
      <c r="I3791" s="26">
        <v>41274</v>
      </c>
      <c r="J3791">
        <v>2012</v>
      </c>
      <c r="K3791" t="s">
        <v>26012</v>
      </c>
      <c r="L3791">
        <v>189</v>
      </c>
      <c r="M3791" t="s">
        <v>39607</v>
      </c>
      <c r="N3791">
        <v>1</v>
      </c>
      <c r="Q3791" t="s">
        <v>39608</v>
      </c>
      <c r="R3791">
        <v>616.89139999999998</v>
      </c>
      <c r="S3791" t="s">
        <v>7677</v>
      </c>
      <c r="T3791" t="s">
        <v>30</v>
      </c>
      <c r="U3791" t="s">
        <v>26116</v>
      </c>
      <c r="W3791" t="s">
        <v>26009</v>
      </c>
    </row>
    <row r="3792" spans="1:23" x14ac:dyDescent="0.35">
      <c r="A3792">
        <v>862713</v>
      </c>
      <c r="B3792" t="s">
        <v>39609</v>
      </c>
      <c r="C3792" t="str">
        <f>"9781855758674"</f>
        <v>9781855758674</v>
      </c>
      <c r="D3792" t="str">
        <f>"9781849409605"</f>
        <v>9781849409605</v>
      </c>
      <c r="E3792" t="s">
        <v>26010</v>
      </c>
      <c r="F3792" t="s">
        <v>35</v>
      </c>
      <c r="G3792" t="s">
        <v>26128</v>
      </c>
      <c r="H3792" t="s">
        <v>26011</v>
      </c>
      <c r="I3792" s="26">
        <v>41274</v>
      </c>
      <c r="J3792">
        <v>2012</v>
      </c>
      <c r="K3792" t="s">
        <v>26012</v>
      </c>
      <c r="L3792">
        <v>127</v>
      </c>
      <c r="M3792" t="s">
        <v>39610</v>
      </c>
      <c r="N3792">
        <v>1</v>
      </c>
      <c r="O3792" t="s">
        <v>36539</v>
      </c>
      <c r="R3792">
        <v>616.89152000000001</v>
      </c>
      <c r="S3792" t="s">
        <v>39611</v>
      </c>
      <c r="T3792" t="s">
        <v>30</v>
      </c>
      <c r="U3792" t="s">
        <v>26040</v>
      </c>
      <c r="W3792" t="s">
        <v>26009</v>
      </c>
    </row>
    <row r="3793" spans="1:23" x14ac:dyDescent="0.35">
      <c r="A3793">
        <v>863077</v>
      </c>
      <c r="B3793" t="s">
        <v>39612</v>
      </c>
      <c r="C3793" t="str">
        <f>"9780826105837"</f>
        <v>9780826105837</v>
      </c>
      <c r="D3793" t="str">
        <f>"9780826105844"</f>
        <v>9780826105844</v>
      </c>
      <c r="E3793" t="s">
        <v>1504</v>
      </c>
      <c r="F3793" t="s">
        <v>33</v>
      </c>
      <c r="G3793" t="s">
        <v>22179</v>
      </c>
      <c r="H3793" t="s">
        <v>26004</v>
      </c>
      <c r="I3793" s="26">
        <v>40360</v>
      </c>
      <c r="J3793">
        <v>2010</v>
      </c>
      <c r="K3793" t="s">
        <v>33</v>
      </c>
      <c r="L3793">
        <v>193</v>
      </c>
      <c r="M3793" t="s">
        <v>32774</v>
      </c>
      <c r="N3793">
        <v>3</v>
      </c>
      <c r="Q3793" t="s">
        <v>39613</v>
      </c>
      <c r="S3793" t="s">
        <v>39614</v>
      </c>
      <c r="T3793" t="s">
        <v>30</v>
      </c>
      <c r="U3793" t="s">
        <v>26174</v>
      </c>
      <c r="W3793" t="s">
        <v>26009</v>
      </c>
    </row>
    <row r="3794" spans="1:23" x14ac:dyDescent="0.35">
      <c r="A3794">
        <v>863083</v>
      </c>
      <c r="B3794" t="s">
        <v>9265</v>
      </c>
      <c r="C3794" t="str">
        <f>"9780826108272"</f>
        <v>9780826108272</v>
      </c>
      <c r="D3794" t="str">
        <f>"9780826108289"</f>
        <v>9780826108289</v>
      </c>
      <c r="E3794" t="s">
        <v>1504</v>
      </c>
      <c r="F3794" t="s">
        <v>33</v>
      </c>
      <c r="G3794" t="s">
        <v>22179</v>
      </c>
      <c r="H3794" t="s">
        <v>26004</v>
      </c>
      <c r="I3794" s="26">
        <v>40909</v>
      </c>
      <c r="J3794">
        <v>2012</v>
      </c>
      <c r="K3794" t="s">
        <v>33</v>
      </c>
      <c r="L3794">
        <v>327</v>
      </c>
      <c r="M3794" t="s">
        <v>39615</v>
      </c>
      <c r="N3794">
        <v>2</v>
      </c>
      <c r="Q3794" t="s">
        <v>39616</v>
      </c>
      <c r="S3794" t="s">
        <v>39617</v>
      </c>
      <c r="T3794" t="s">
        <v>30</v>
      </c>
      <c r="U3794" t="s">
        <v>39618</v>
      </c>
      <c r="W3794" t="s">
        <v>26009</v>
      </c>
    </row>
    <row r="3795" spans="1:23" x14ac:dyDescent="0.35">
      <c r="A3795">
        <v>863084</v>
      </c>
      <c r="B3795" t="s">
        <v>39619</v>
      </c>
      <c r="C3795" t="str">
        <f>"9780826108746"</f>
        <v>9780826108746</v>
      </c>
      <c r="D3795" t="str">
        <f>"9780826108753"</f>
        <v>9780826108753</v>
      </c>
      <c r="E3795" t="s">
        <v>1504</v>
      </c>
      <c r="F3795" t="s">
        <v>33</v>
      </c>
      <c r="G3795" t="s">
        <v>22179</v>
      </c>
      <c r="H3795" t="s">
        <v>26004</v>
      </c>
      <c r="I3795" s="26">
        <v>40940</v>
      </c>
      <c r="J3795">
        <v>2012</v>
      </c>
      <c r="K3795" t="s">
        <v>33</v>
      </c>
      <c r="L3795">
        <v>329</v>
      </c>
      <c r="M3795" t="s">
        <v>39620</v>
      </c>
      <c r="N3795">
        <v>1</v>
      </c>
      <c r="Q3795" t="s">
        <v>39621</v>
      </c>
      <c r="S3795" t="s">
        <v>2681</v>
      </c>
      <c r="T3795" t="s">
        <v>30</v>
      </c>
      <c r="U3795" t="s">
        <v>26040</v>
      </c>
      <c r="W3795" t="s">
        <v>26009</v>
      </c>
    </row>
    <row r="3796" spans="1:23" x14ac:dyDescent="0.35">
      <c r="A3796">
        <v>863809</v>
      </c>
      <c r="B3796" t="s">
        <v>8666</v>
      </c>
      <c r="C3796" t="str">
        <f>"9780335238491"</f>
        <v>9780335238491</v>
      </c>
      <c r="D3796" t="str">
        <f>"9780335238514"</f>
        <v>9780335238514</v>
      </c>
      <c r="E3796" t="s">
        <v>29061</v>
      </c>
      <c r="F3796" t="s">
        <v>7477</v>
      </c>
      <c r="G3796" t="s">
        <v>29068</v>
      </c>
      <c r="H3796" t="s">
        <v>26011</v>
      </c>
      <c r="I3796" s="26">
        <v>40817</v>
      </c>
      <c r="J3796">
        <v>2011</v>
      </c>
      <c r="K3796" t="s">
        <v>29063</v>
      </c>
      <c r="L3796">
        <v>411</v>
      </c>
      <c r="M3796" t="s">
        <v>39622</v>
      </c>
      <c r="N3796">
        <v>1</v>
      </c>
      <c r="O3796" t="s">
        <v>29070</v>
      </c>
      <c r="Q3796" t="s">
        <v>39623</v>
      </c>
      <c r="R3796">
        <v>616.89139999999998</v>
      </c>
      <c r="S3796" t="s">
        <v>39624</v>
      </c>
      <c r="T3796" t="s">
        <v>30</v>
      </c>
      <c r="U3796" t="s">
        <v>26116</v>
      </c>
      <c r="W3796" t="s">
        <v>26009</v>
      </c>
    </row>
    <row r="3797" spans="1:23" x14ac:dyDescent="0.35">
      <c r="A3797">
        <v>863817</v>
      </c>
      <c r="B3797" t="s">
        <v>39625</v>
      </c>
      <c r="C3797" t="str">
        <f>"9780816665495"</f>
        <v>9780816665495</v>
      </c>
      <c r="D3797" t="str">
        <f>"9780816678402"</f>
        <v>9780816678402</v>
      </c>
      <c r="E3797" t="s">
        <v>7471</v>
      </c>
      <c r="F3797" t="s">
        <v>7471</v>
      </c>
      <c r="G3797" t="s">
        <v>23536</v>
      </c>
      <c r="H3797" t="s">
        <v>26004</v>
      </c>
      <c r="I3797" s="26">
        <v>40907</v>
      </c>
      <c r="J3797">
        <v>2012</v>
      </c>
      <c r="K3797" t="s">
        <v>7471</v>
      </c>
      <c r="L3797">
        <v>425</v>
      </c>
      <c r="M3797" t="s">
        <v>39626</v>
      </c>
      <c r="N3797">
        <v>1</v>
      </c>
      <c r="Q3797" t="s">
        <v>39627</v>
      </c>
      <c r="R3797">
        <v>194</v>
      </c>
      <c r="S3797" t="s">
        <v>39628</v>
      </c>
      <c r="T3797" t="s">
        <v>30</v>
      </c>
      <c r="U3797" t="s">
        <v>152</v>
      </c>
      <c r="W3797" t="s">
        <v>26009</v>
      </c>
    </row>
    <row r="3798" spans="1:23" x14ac:dyDescent="0.35">
      <c r="A3798">
        <v>863826</v>
      </c>
      <c r="B3798" t="s">
        <v>8859</v>
      </c>
      <c r="C3798" t="str">
        <f>"9780816669660"</f>
        <v>9780816669660</v>
      </c>
      <c r="D3798" t="str">
        <f>"9780816670451"</f>
        <v>9780816670451</v>
      </c>
      <c r="E3798" t="s">
        <v>7471</v>
      </c>
      <c r="F3798" t="s">
        <v>7471</v>
      </c>
      <c r="G3798" t="s">
        <v>23536</v>
      </c>
      <c r="H3798" t="s">
        <v>26004</v>
      </c>
      <c r="I3798" s="26">
        <v>40938</v>
      </c>
      <c r="J3798">
        <v>2012</v>
      </c>
      <c r="K3798" t="s">
        <v>7471</v>
      </c>
      <c r="L3798">
        <v>552</v>
      </c>
      <c r="M3798" t="s">
        <v>39629</v>
      </c>
      <c r="N3798">
        <v>1</v>
      </c>
      <c r="Q3798" t="s">
        <v>39630</v>
      </c>
      <c r="R3798">
        <v>616.89007600000002</v>
      </c>
      <c r="S3798" t="s">
        <v>8860</v>
      </c>
      <c r="T3798" t="s">
        <v>30</v>
      </c>
      <c r="U3798" t="s">
        <v>26116</v>
      </c>
      <c r="W3798" t="s">
        <v>26009</v>
      </c>
    </row>
    <row r="3799" spans="1:23" x14ac:dyDescent="0.35">
      <c r="A3799">
        <v>863873</v>
      </c>
      <c r="B3799" t="s">
        <v>39631</v>
      </c>
      <c r="C3799" t="str">
        <f>"9789888028979"</f>
        <v>9789888028979</v>
      </c>
      <c r="D3799" t="str">
        <f>"9789888053964"</f>
        <v>9789888053964</v>
      </c>
      <c r="E3799" t="s">
        <v>8224</v>
      </c>
      <c r="F3799" t="s">
        <v>8224</v>
      </c>
      <c r="G3799" t="s">
        <v>24567</v>
      </c>
      <c r="H3799" t="s">
        <v>36182</v>
      </c>
      <c r="I3799" s="26">
        <v>40657</v>
      </c>
      <c r="J3799">
        <v>2011</v>
      </c>
      <c r="K3799" t="s">
        <v>8224</v>
      </c>
      <c r="L3799">
        <v>397</v>
      </c>
      <c r="M3799" t="s">
        <v>39632</v>
      </c>
      <c r="N3799">
        <v>1</v>
      </c>
      <c r="Q3799" t="s">
        <v>39633</v>
      </c>
      <c r="R3799">
        <v>616.85210095125001</v>
      </c>
      <c r="S3799" t="s">
        <v>39634</v>
      </c>
      <c r="T3799" t="s">
        <v>30</v>
      </c>
      <c r="U3799" t="s">
        <v>26019</v>
      </c>
      <c r="W3799" t="s">
        <v>26009</v>
      </c>
    </row>
    <row r="3800" spans="1:23" x14ac:dyDescent="0.35">
      <c r="A3800">
        <v>863886</v>
      </c>
      <c r="B3800" t="s">
        <v>39635</v>
      </c>
      <c r="C3800" t="str">
        <f>"9789888028832"</f>
        <v>9789888028832</v>
      </c>
      <c r="D3800" t="str">
        <f>"9789888053568"</f>
        <v>9789888053568</v>
      </c>
      <c r="E3800" t="s">
        <v>8224</v>
      </c>
      <c r="F3800" t="s">
        <v>8224</v>
      </c>
      <c r="G3800" t="s">
        <v>24567</v>
      </c>
      <c r="H3800" t="s">
        <v>36182</v>
      </c>
      <c r="I3800" s="26">
        <v>40483</v>
      </c>
      <c r="J3800">
        <v>2010</v>
      </c>
      <c r="K3800" t="s">
        <v>8224</v>
      </c>
      <c r="L3800">
        <v>364</v>
      </c>
      <c r="M3800" t="s">
        <v>39636</v>
      </c>
      <c r="N3800">
        <v>1</v>
      </c>
      <c r="Q3800" t="s">
        <v>39637</v>
      </c>
      <c r="R3800">
        <v>331.62</v>
      </c>
      <c r="S3800" t="s">
        <v>39638</v>
      </c>
      <c r="T3800" t="s">
        <v>30</v>
      </c>
      <c r="U3800" t="s">
        <v>39639</v>
      </c>
      <c r="W3800" t="s">
        <v>26009</v>
      </c>
    </row>
    <row r="3801" spans="1:23" x14ac:dyDescent="0.35">
      <c r="A3801">
        <v>863951</v>
      </c>
      <c r="B3801" t="s">
        <v>9660</v>
      </c>
      <c r="C3801" t="str">
        <f>"9781462503384"</f>
        <v>9781462503384</v>
      </c>
      <c r="D3801" t="str">
        <f>"9781462503490"</f>
        <v>9781462503490</v>
      </c>
      <c r="E3801" t="s">
        <v>30112</v>
      </c>
      <c r="F3801" t="s">
        <v>7420</v>
      </c>
      <c r="G3801" t="s">
        <v>22179</v>
      </c>
      <c r="H3801" t="s">
        <v>26004</v>
      </c>
      <c r="I3801" s="26">
        <v>40940</v>
      </c>
      <c r="J3801">
        <v>2012</v>
      </c>
      <c r="K3801" t="s">
        <v>30113</v>
      </c>
      <c r="L3801">
        <v>323</v>
      </c>
      <c r="M3801" t="s">
        <v>39640</v>
      </c>
      <c r="N3801">
        <v>1</v>
      </c>
      <c r="Q3801" t="s">
        <v>39641</v>
      </c>
      <c r="R3801">
        <v>616.85210600000005</v>
      </c>
      <c r="S3801" t="s">
        <v>39642</v>
      </c>
      <c r="T3801" t="s">
        <v>30</v>
      </c>
      <c r="U3801" t="s">
        <v>26116</v>
      </c>
      <c r="W3801" t="s">
        <v>28347</v>
      </c>
    </row>
    <row r="3802" spans="1:23" x14ac:dyDescent="0.35">
      <c r="A3802">
        <v>864296</v>
      </c>
      <c r="B3802" t="s">
        <v>9569</v>
      </c>
      <c r="C3802" t="str">
        <f>"9781608053742"</f>
        <v>9781608053742</v>
      </c>
      <c r="D3802" t="str">
        <f>"9781608051861"</f>
        <v>9781608051861</v>
      </c>
      <c r="E3802" t="s">
        <v>9105</v>
      </c>
      <c r="F3802" t="s">
        <v>9105</v>
      </c>
      <c r="G3802" t="s">
        <v>39643</v>
      </c>
      <c r="H3802" t="s">
        <v>39644</v>
      </c>
      <c r="I3802" s="26">
        <v>40533</v>
      </c>
      <c r="J3802">
        <v>2010</v>
      </c>
      <c r="K3802" t="s">
        <v>9105</v>
      </c>
      <c r="L3802">
        <v>104</v>
      </c>
      <c r="M3802" t="s">
        <v>39645</v>
      </c>
      <c r="N3802">
        <v>1</v>
      </c>
      <c r="Q3802" t="s">
        <v>39646</v>
      </c>
      <c r="R3802">
        <v>150</v>
      </c>
      <c r="S3802" t="s">
        <v>39647</v>
      </c>
      <c r="T3802" t="s">
        <v>30</v>
      </c>
      <c r="U3802" t="s">
        <v>46</v>
      </c>
      <c r="W3802" t="s">
        <v>26009</v>
      </c>
    </row>
    <row r="3803" spans="1:23" x14ac:dyDescent="0.35">
      <c r="A3803">
        <v>864790</v>
      </c>
      <c r="B3803" t="s">
        <v>39648</v>
      </c>
      <c r="C3803" t="str">
        <f>"9780691148892"</f>
        <v>9780691148892</v>
      </c>
      <c r="D3803" t="str">
        <f>"9781400842629"</f>
        <v>9781400842629</v>
      </c>
      <c r="E3803" t="s">
        <v>33468</v>
      </c>
      <c r="F3803" t="s">
        <v>7517</v>
      </c>
      <c r="G3803" t="s">
        <v>23592</v>
      </c>
      <c r="H3803" t="s">
        <v>26004</v>
      </c>
      <c r="I3803" s="26">
        <v>40993</v>
      </c>
      <c r="J3803">
        <v>2012</v>
      </c>
      <c r="K3803" t="s">
        <v>7517</v>
      </c>
      <c r="L3803">
        <v>357</v>
      </c>
      <c r="M3803" t="s">
        <v>39649</v>
      </c>
      <c r="N3803">
        <v>1</v>
      </c>
      <c r="R3803" t="s">
        <v>39650</v>
      </c>
      <c r="T3803" t="s">
        <v>30</v>
      </c>
      <c r="U3803" t="s">
        <v>46</v>
      </c>
      <c r="W3803" t="s">
        <v>28347</v>
      </c>
    </row>
    <row r="3804" spans="1:23" x14ac:dyDescent="0.35">
      <c r="A3804">
        <v>865301</v>
      </c>
      <c r="B3804" t="s">
        <v>39651</v>
      </c>
      <c r="C3804" t="str">
        <f>"9780814705124"</f>
        <v>9780814705124</v>
      </c>
      <c r="D3804" t="str">
        <f>"9780814705131"</f>
        <v>9780814705131</v>
      </c>
      <c r="E3804" t="s">
        <v>39652</v>
      </c>
      <c r="F3804" t="s">
        <v>7532</v>
      </c>
      <c r="G3804" t="s">
        <v>22179</v>
      </c>
      <c r="H3804" t="s">
        <v>26004</v>
      </c>
      <c r="I3804" s="26">
        <v>41057</v>
      </c>
      <c r="J3804">
        <v>2012</v>
      </c>
      <c r="K3804" t="s">
        <v>7532</v>
      </c>
      <c r="L3804">
        <v>260</v>
      </c>
      <c r="M3804" t="s">
        <v>39653</v>
      </c>
      <c r="N3804">
        <v>1</v>
      </c>
      <c r="Q3804" t="s">
        <v>39654</v>
      </c>
      <c r="R3804" t="s">
        <v>39655</v>
      </c>
      <c r="S3804" t="s">
        <v>39656</v>
      </c>
      <c r="T3804" t="s">
        <v>30</v>
      </c>
      <c r="U3804" t="s">
        <v>26044</v>
      </c>
      <c r="W3804" t="s">
        <v>28347</v>
      </c>
    </row>
    <row r="3805" spans="1:23" x14ac:dyDescent="0.35">
      <c r="A3805">
        <v>865309</v>
      </c>
      <c r="B3805" t="s">
        <v>39657</v>
      </c>
      <c r="C3805" t="str">
        <f>"9780814705063"</f>
        <v>9780814705063</v>
      </c>
      <c r="D3805" t="str">
        <f>"9780814705414"</f>
        <v>9780814705414</v>
      </c>
      <c r="E3805" t="s">
        <v>39652</v>
      </c>
      <c r="F3805" t="s">
        <v>7532</v>
      </c>
      <c r="G3805" t="s">
        <v>22179</v>
      </c>
      <c r="H3805" t="s">
        <v>26004</v>
      </c>
      <c r="I3805" s="26">
        <v>40777</v>
      </c>
      <c r="J3805">
        <v>2011</v>
      </c>
      <c r="K3805" t="s">
        <v>7532</v>
      </c>
      <c r="L3805">
        <v>265</v>
      </c>
      <c r="M3805" t="s">
        <v>39658</v>
      </c>
      <c r="N3805">
        <v>1</v>
      </c>
      <c r="R3805" t="s">
        <v>39659</v>
      </c>
      <c r="S3805" t="s">
        <v>39660</v>
      </c>
      <c r="T3805" t="s">
        <v>30</v>
      </c>
      <c r="U3805" t="s">
        <v>26250</v>
      </c>
      <c r="W3805" t="s">
        <v>28347</v>
      </c>
    </row>
    <row r="3806" spans="1:23" x14ac:dyDescent="0.35">
      <c r="A3806">
        <v>865323</v>
      </c>
      <c r="B3806" t="s">
        <v>39661</v>
      </c>
      <c r="C3806" t="str">
        <f>"9780814706947"</f>
        <v>9780814706947</v>
      </c>
      <c r="D3806" t="str">
        <f>"9780814707807"</f>
        <v>9780814707807</v>
      </c>
      <c r="E3806" t="s">
        <v>39652</v>
      </c>
      <c r="F3806" t="s">
        <v>7532</v>
      </c>
      <c r="G3806" t="s">
        <v>22179</v>
      </c>
      <c r="H3806" t="s">
        <v>26004</v>
      </c>
      <c r="I3806" s="26">
        <v>37865</v>
      </c>
      <c r="J3806">
        <v>2003</v>
      </c>
      <c r="K3806" t="s">
        <v>7532</v>
      </c>
      <c r="L3806">
        <v>190</v>
      </c>
      <c r="M3806" t="s">
        <v>39662</v>
      </c>
      <c r="N3806">
        <v>1</v>
      </c>
      <c r="O3806" t="s">
        <v>39663</v>
      </c>
      <c r="P3806">
        <v>21</v>
      </c>
      <c r="S3806" t="s">
        <v>9661</v>
      </c>
      <c r="T3806" t="s">
        <v>30</v>
      </c>
      <c r="U3806" t="s">
        <v>26228</v>
      </c>
      <c r="W3806" t="s">
        <v>28347</v>
      </c>
    </row>
    <row r="3807" spans="1:23" x14ac:dyDescent="0.35">
      <c r="A3807">
        <v>865324</v>
      </c>
      <c r="B3807" t="s">
        <v>39664</v>
      </c>
      <c r="C3807" t="str">
        <f>"9780814707166"</f>
        <v>9780814707166</v>
      </c>
      <c r="D3807" t="str">
        <f>"9780814707814"</f>
        <v>9780814707814</v>
      </c>
      <c r="E3807" t="s">
        <v>39652</v>
      </c>
      <c r="F3807" t="s">
        <v>7532</v>
      </c>
      <c r="G3807" t="s">
        <v>22179</v>
      </c>
      <c r="H3807" t="s">
        <v>26004</v>
      </c>
      <c r="I3807" s="26">
        <v>39022</v>
      </c>
      <c r="J3807">
        <v>2006</v>
      </c>
      <c r="K3807" t="s">
        <v>7532</v>
      </c>
      <c r="L3807">
        <v>313</v>
      </c>
      <c r="M3807" t="s">
        <v>39665</v>
      </c>
      <c r="N3807">
        <v>1</v>
      </c>
      <c r="O3807" t="s">
        <v>39666</v>
      </c>
      <c r="P3807">
        <v>5</v>
      </c>
      <c r="R3807">
        <v>363.32499999999999</v>
      </c>
      <c r="S3807" t="s">
        <v>10013</v>
      </c>
      <c r="T3807" t="s">
        <v>30</v>
      </c>
      <c r="U3807" t="s">
        <v>26044</v>
      </c>
      <c r="W3807" t="s">
        <v>28347</v>
      </c>
    </row>
    <row r="3808" spans="1:23" x14ac:dyDescent="0.35">
      <c r="A3808">
        <v>865334</v>
      </c>
      <c r="B3808" t="s">
        <v>39667</v>
      </c>
      <c r="C3808" t="str">
        <f>"9780814732236"</f>
        <v>9780814732236</v>
      </c>
      <c r="D3808" t="str">
        <f>"9780814708293"</f>
        <v>9780814708293</v>
      </c>
      <c r="E3808" t="s">
        <v>39652</v>
      </c>
      <c r="F3808" t="s">
        <v>7532</v>
      </c>
      <c r="G3808" t="s">
        <v>22179</v>
      </c>
      <c r="H3808" t="s">
        <v>26004</v>
      </c>
      <c r="I3808" s="26">
        <v>41113</v>
      </c>
      <c r="J3808">
        <v>2012</v>
      </c>
      <c r="K3808" t="s">
        <v>7532</v>
      </c>
      <c r="L3808">
        <v>244</v>
      </c>
      <c r="M3808" t="s">
        <v>39668</v>
      </c>
      <c r="N3808">
        <v>1</v>
      </c>
      <c r="O3808" t="s">
        <v>39663</v>
      </c>
      <c r="P3808">
        <v>6</v>
      </c>
      <c r="Q3808" t="s">
        <v>39669</v>
      </c>
      <c r="R3808" t="s">
        <v>39670</v>
      </c>
      <c r="T3808" t="s">
        <v>30</v>
      </c>
      <c r="U3808" t="s">
        <v>26044</v>
      </c>
      <c r="W3808" t="s">
        <v>28347</v>
      </c>
    </row>
    <row r="3809" spans="1:23" x14ac:dyDescent="0.35">
      <c r="A3809">
        <v>865346</v>
      </c>
      <c r="B3809" t="s">
        <v>39671</v>
      </c>
      <c r="C3809" t="str">
        <f>"9780814740392"</f>
        <v>9780814740392</v>
      </c>
      <c r="D3809" t="str">
        <f>"9780814708859"</f>
        <v>9780814708859</v>
      </c>
      <c r="E3809" t="s">
        <v>39652</v>
      </c>
      <c r="F3809" t="s">
        <v>7532</v>
      </c>
      <c r="G3809" t="s">
        <v>22179</v>
      </c>
      <c r="H3809" t="s">
        <v>26004</v>
      </c>
      <c r="I3809" s="26">
        <v>39641</v>
      </c>
      <c r="J3809">
        <v>2008</v>
      </c>
      <c r="K3809" t="s">
        <v>7532</v>
      </c>
      <c r="L3809">
        <v>263</v>
      </c>
      <c r="M3809" t="s">
        <v>39672</v>
      </c>
      <c r="N3809">
        <v>1</v>
      </c>
      <c r="O3809" t="s">
        <v>39663</v>
      </c>
      <c r="P3809">
        <v>12</v>
      </c>
      <c r="R3809">
        <v>305.69707299999999</v>
      </c>
      <c r="S3809" t="s">
        <v>9185</v>
      </c>
      <c r="T3809" t="s">
        <v>30</v>
      </c>
      <c r="U3809" t="s">
        <v>26044</v>
      </c>
      <c r="W3809" t="s">
        <v>28347</v>
      </c>
    </row>
    <row r="3810" spans="1:23" x14ac:dyDescent="0.35">
      <c r="A3810">
        <v>865350</v>
      </c>
      <c r="B3810" t="s">
        <v>8044</v>
      </c>
      <c r="C3810" t="str">
        <f>"9780814740231"</f>
        <v>9780814740231</v>
      </c>
      <c r="D3810" t="str">
        <f>"9780814708903"</f>
        <v>9780814708903</v>
      </c>
      <c r="E3810" t="s">
        <v>39652</v>
      </c>
      <c r="F3810" t="s">
        <v>7532</v>
      </c>
      <c r="G3810" t="s">
        <v>22179</v>
      </c>
      <c r="H3810" t="s">
        <v>26004</v>
      </c>
      <c r="I3810" s="26">
        <v>38961</v>
      </c>
      <c r="J3810">
        <v>2006</v>
      </c>
      <c r="K3810" t="s">
        <v>7532</v>
      </c>
      <c r="L3810">
        <v>439</v>
      </c>
      <c r="M3810" t="s">
        <v>39673</v>
      </c>
      <c r="N3810">
        <v>1</v>
      </c>
      <c r="Q3810" t="s">
        <v>39674</v>
      </c>
      <c r="R3810" t="s">
        <v>27449</v>
      </c>
      <c r="S3810" t="s">
        <v>39675</v>
      </c>
      <c r="T3810" t="s">
        <v>30</v>
      </c>
      <c r="U3810" t="s">
        <v>39676</v>
      </c>
      <c r="W3810" t="s">
        <v>28347</v>
      </c>
    </row>
    <row r="3811" spans="1:23" x14ac:dyDescent="0.35">
      <c r="A3811">
        <v>865389</v>
      </c>
      <c r="B3811" t="s">
        <v>7973</v>
      </c>
      <c r="C3811" t="str">
        <f>"9780814713242"</f>
        <v>9780814713242</v>
      </c>
      <c r="D3811" t="str">
        <f>"9780814723074"</f>
        <v>9780814723074</v>
      </c>
      <c r="E3811" t="s">
        <v>39652</v>
      </c>
      <c r="F3811" t="s">
        <v>7532</v>
      </c>
      <c r="G3811" t="s">
        <v>22179</v>
      </c>
      <c r="H3811" t="s">
        <v>26004</v>
      </c>
      <c r="I3811" s="26">
        <v>36373</v>
      </c>
      <c r="J3811">
        <v>1999</v>
      </c>
      <c r="K3811" t="s">
        <v>7532</v>
      </c>
      <c r="L3811">
        <v>245</v>
      </c>
      <c r="M3811" t="s">
        <v>39677</v>
      </c>
      <c r="N3811">
        <v>1</v>
      </c>
      <c r="Q3811" t="s">
        <v>39678</v>
      </c>
      <c r="R3811" t="s">
        <v>39679</v>
      </c>
      <c r="S3811" t="s">
        <v>39680</v>
      </c>
      <c r="T3811" t="s">
        <v>30</v>
      </c>
      <c r="U3811" t="s">
        <v>26044</v>
      </c>
      <c r="W3811" t="s">
        <v>28347</v>
      </c>
    </row>
    <row r="3812" spans="1:23" x14ac:dyDescent="0.35">
      <c r="A3812">
        <v>865489</v>
      </c>
      <c r="B3812" t="s">
        <v>39681</v>
      </c>
      <c r="C3812" t="str">
        <f>"9780814731949"</f>
        <v>9780814731949</v>
      </c>
      <c r="D3812" t="str">
        <f>"9780814733158"</f>
        <v>9780814733158</v>
      </c>
      <c r="E3812" t="s">
        <v>39652</v>
      </c>
      <c r="F3812" t="s">
        <v>7532</v>
      </c>
      <c r="G3812" t="s">
        <v>22179</v>
      </c>
      <c r="H3812" t="s">
        <v>26004</v>
      </c>
      <c r="I3812" s="26">
        <v>40179</v>
      </c>
      <c r="J3812">
        <v>2010</v>
      </c>
      <c r="K3812" t="s">
        <v>7532</v>
      </c>
      <c r="L3812">
        <v>260</v>
      </c>
      <c r="M3812" t="s">
        <v>39682</v>
      </c>
      <c r="N3812">
        <v>1</v>
      </c>
      <c r="Q3812" t="s">
        <v>39683</v>
      </c>
      <c r="R3812" t="s">
        <v>39684</v>
      </c>
      <c r="S3812" t="s">
        <v>9846</v>
      </c>
      <c r="T3812" t="s">
        <v>30</v>
      </c>
      <c r="U3812" t="s">
        <v>39685</v>
      </c>
      <c r="W3812" t="s">
        <v>28347</v>
      </c>
    </row>
    <row r="3813" spans="1:23" x14ac:dyDescent="0.35">
      <c r="A3813">
        <v>865530</v>
      </c>
      <c r="B3813" t="s">
        <v>8851</v>
      </c>
      <c r="C3813" t="str">
        <f>"9780814799444"</f>
        <v>9780814799444</v>
      </c>
      <c r="D3813" t="str">
        <f>"9780814739082"</f>
        <v>9780814739082</v>
      </c>
      <c r="E3813" t="s">
        <v>39652</v>
      </c>
      <c r="F3813" t="s">
        <v>7532</v>
      </c>
      <c r="G3813" t="s">
        <v>22179</v>
      </c>
      <c r="H3813" t="s">
        <v>26004</v>
      </c>
      <c r="I3813" s="26">
        <v>38991</v>
      </c>
      <c r="J3813">
        <v>2006</v>
      </c>
      <c r="K3813" t="s">
        <v>7532</v>
      </c>
      <c r="L3813">
        <v>269</v>
      </c>
      <c r="M3813" t="s">
        <v>39686</v>
      </c>
      <c r="N3813">
        <v>1</v>
      </c>
      <c r="Q3813" t="s">
        <v>39687</v>
      </c>
      <c r="R3813">
        <v>150.9</v>
      </c>
      <c r="S3813" t="s">
        <v>39688</v>
      </c>
      <c r="T3813" t="s">
        <v>30</v>
      </c>
      <c r="U3813" t="s">
        <v>46</v>
      </c>
      <c r="W3813" t="s">
        <v>28347</v>
      </c>
    </row>
    <row r="3814" spans="1:23" x14ac:dyDescent="0.35">
      <c r="A3814">
        <v>865531</v>
      </c>
      <c r="B3814" t="s">
        <v>39689</v>
      </c>
      <c r="C3814" t="str">
        <f>"9780814799154"</f>
        <v>9780814799154</v>
      </c>
      <c r="D3814" t="str">
        <f>"9780814739112"</f>
        <v>9780814739112</v>
      </c>
      <c r="E3814" t="s">
        <v>39652</v>
      </c>
      <c r="F3814" t="s">
        <v>7532</v>
      </c>
      <c r="G3814" t="s">
        <v>22179</v>
      </c>
      <c r="H3814" t="s">
        <v>26004</v>
      </c>
      <c r="I3814" s="26">
        <v>37956</v>
      </c>
      <c r="J3814">
        <v>2003</v>
      </c>
      <c r="K3814" t="s">
        <v>7532</v>
      </c>
      <c r="L3814">
        <v>272</v>
      </c>
      <c r="M3814" t="s">
        <v>39690</v>
      </c>
      <c r="N3814">
        <v>1</v>
      </c>
      <c r="Q3814" t="s">
        <v>39691</v>
      </c>
      <c r="R3814">
        <v>305.23500000000001</v>
      </c>
      <c r="S3814" t="s">
        <v>39692</v>
      </c>
      <c r="T3814" t="s">
        <v>30</v>
      </c>
      <c r="U3814" t="s">
        <v>26044</v>
      </c>
      <c r="W3814" t="s">
        <v>28347</v>
      </c>
    </row>
    <row r="3815" spans="1:23" x14ac:dyDescent="0.35">
      <c r="A3815">
        <v>865571</v>
      </c>
      <c r="B3815" t="s">
        <v>39693</v>
      </c>
      <c r="C3815" t="str">
        <f>"9780814742846"</f>
        <v>9780814742846</v>
      </c>
      <c r="D3815" t="str">
        <f>"9780814743690"</f>
        <v>9780814743690</v>
      </c>
      <c r="E3815" t="s">
        <v>39652</v>
      </c>
      <c r="F3815" t="s">
        <v>7532</v>
      </c>
      <c r="G3815" t="s">
        <v>22179</v>
      </c>
      <c r="H3815" t="s">
        <v>26004</v>
      </c>
      <c r="I3815" s="26">
        <v>38961</v>
      </c>
      <c r="J3815">
        <v>2006</v>
      </c>
      <c r="K3815" t="s">
        <v>7532</v>
      </c>
      <c r="L3815">
        <v>286</v>
      </c>
      <c r="M3815" t="s">
        <v>39694</v>
      </c>
      <c r="N3815">
        <v>1</v>
      </c>
      <c r="R3815">
        <v>302.23</v>
      </c>
      <c r="S3815" t="s">
        <v>8400</v>
      </c>
      <c r="T3815" t="s">
        <v>30</v>
      </c>
      <c r="U3815" t="s">
        <v>26044</v>
      </c>
      <c r="W3815" t="s">
        <v>28347</v>
      </c>
    </row>
    <row r="3816" spans="1:23" x14ac:dyDescent="0.35">
      <c r="A3816">
        <v>865572</v>
      </c>
      <c r="B3816" t="s">
        <v>39695</v>
      </c>
      <c r="C3816" t="str">
        <f>"9780814742822"</f>
        <v>9780814742822</v>
      </c>
      <c r="D3816" t="str">
        <f>"9780814743706"</f>
        <v>9780814743706</v>
      </c>
      <c r="E3816" t="s">
        <v>39652</v>
      </c>
      <c r="F3816" t="s">
        <v>7532</v>
      </c>
      <c r="G3816" t="s">
        <v>22179</v>
      </c>
      <c r="H3816" t="s">
        <v>26004</v>
      </c>
      <c r="I3816" s="26">
        <v>39075</v>
      </c>
      <c r="J3816">
        <v>2006</v>
      </c>
      <c r="K3816" t="s">
        <v>7532</v>
      </c>
      <c r="L3816">
        <v>368</v>
      </c>
      <c r="M3816" t="s">
        <v>39694</v>
      </c>
      <c r="N3816">
        <v>1</v>
      </c>
      <c r="Q3816" t="s">
        <v>39696</v>
      </c>
      <c r="R3816">
        <v>302.23097300000001</v>
      </c>
      <c r="S3816" t="s">
        <v>39697</v>
      </c>
      <c r="T3816" t="s">
        <v>30</v>
      </c>
      <c r="U3816" t="s">
        <v>28111</v>
      </c>
      <c r="W3816" t="s">
        <v>28347</v>
      </c>
    </row>
    <row r="3817" spans="1:23" x14ac:dyDescent="0.35">
      <c r="A3817">
        <v>865573</v>
      </c>
      <c r="B3817" t="s">
        <v>39698</v>
      </c>
      <c r="C3817" t="str">
        <f>"9780814731819"</f>
        <v>9780814731819</v>
      </c>
      <c r="D3817" t="str">
        <f>"9780814743713"</f>
        <v>9780814743713</v>
      </c>
      <c r="E3817" t="s">
        <v>39652</v>
      </c>
      <c r="F3817" t="s">
        <v>7532</v>
      </c>
      <c r="G3817" t="s">
        <v>22179</v>
      </c>
      <c r="H3817" t="s">
        <v>26004</v>
      </c>
      <c r="I3817" s="26">
        <v>39234</v>
      </c>
      <c r="J3817">
        <v>2007</v>
      </c>
      <c r="K3817" t="s">
        <v>7532</v>
      </c>
      <c r="L3817">
        <v>416</v>
      </c>
      <c r="M3817" t="s">
        <v>39699</v>
      </c>
      <c r="N3817">
        <v>1</v>
      </c>
      <c r="Q3817" t="s">
        <v>39700</v>
      </c>
      <c r="R3817" t="s">
        <v>39701</v>
      </c>
      <c r="S3817" t="s">
        <v>8399</v>
      </c>
      <c r="T3817" t="s">
        <v>30</v>
      </c>
      <c r="U3817" t="s">
        <v>26044</v>
      </c>
      <c r="W3817" t="s">
        <v>28347</v>
      </c>
    </row>
    <row r="3818" spans="1:23" x14ac:dyDescent="0.35">
      <c r="A3818">
        <v>865636</v>
      </c>
      <c r="B3818" t="s">
        <v>39702</v>
      </c>
      <c r="C3818" t="str">
        <f>"9780814748121"</f>
        <v>9780814748121</v>
      </c>
      <c r="D3818" t="str">
        <f>"9780814749104"</f>
        <v>9780814749104</v>
      </c>
      <c r="E3818" t="s">
        <v>39652</v>
      </c>
      <c r="F3818" t="s">
        <v>7532</v>
      </c>
      <c r="G3818" t="s">
        <v>22179</v>
      </c>
      <c r="H3818" t="s">
        <v>26004</v>
      </c>
      <c r="I3818" s="26">
        <v>40026</v>
      </c>
      <c r="J3818">
        <v>2009</v>
      </c>
      <c r="K3818" t="s">
        <v>7532</v>
      </c>
      <c r="L3818">
        <v>226</v>
      </c>
      <c r="M3818" t="s">
        <v>39703</v>
      </c>
      <c r="N3818">
        <v>1</v>
      </c>
      <c r="Q3818" t="s">
        <v>39704</v>
      </c>
      <c r="R3818">
        <v>362.10973000000001</v>
      </c>
      <c r="S3818" t="s">
        <v>39705</v>
      </c>
      <c r="T3818" t="s">
        <v>30</v>
      </c>
      <c r="U3818" t="s">
        <v>26250</v>
      </c>
      <c r="W3818" t="s">
        <v>28347</v>
      </c>
    </row>
    <row r="3819" spans="1:23" x14ac:dyDescent="0.35">
      <c r="A3819">
        <v>865658</v>
      </c>
      <c r="B3819" t="s">
        <v>39706</v>
      </c>
      <c r="C3819" t="str">
        <f>"9780814751831"</f>
        <v>9780814751831</v>
      </c>
      <c r="D3819" t="str">
        <f>"9780814752937"</f>
        <v>9780814752937</v>
      </c>
      <c r="E3819" t="s">
        <v>39652</v>
      </c>
      <c r="F3819" t="s">
        <v>7532</v>
      </c>
      <c r="G3819" t="s">
        <v>22179</v>
      </c>
      <c r="H3819" t="s">
        <v>26004</v>
      </c>
      <c r="I3819" s="26">
        <v>37712</v>
      </c>
      <c r="J3819">
        <v>2003</v>
      </c>
      <c r="K3819" t="s">
        <v>7532</v>
      </c>
      <c r="L3819">
        <v>245</v>
      </c>
      <c r="M3819" t="s">
        <v>39707</v>
      </c>
      <c r="N3819">
        <v>1</v>
      </c>
      <c r="R3819" t="s">
        <v>39708</v>
      </c>
      <c r="S3819" t="s">
        <v>8698</v>
      </c>
      <c r="T3819" t="s">
        <v>30</v>
      </c>
      <c r="U3819" t="s">
        <v>26008</v>
      </c>
      <c r="W3819" t="s">
        <v>28347</v>
      </c>
    </row>
    <row r="3820" spans="1:23" x14ac:dyDescent="0.35">
      <c r="A3820">
        <v>865667</v>
      </c>
      <c r="B3820" t="s">
        <v>39709</v>
      </c>
      <c r="C3820" t="str">
        <f>"9780814752128"</f>
        <v>9780814752128</v>
      </c>
      <c r="D3820" t="str">
        <f>"9780814753439"</f>
        <v>9780814753439</v>
      </c>
      <c r="E3820" t="s">
        <v>39652</v>
      </c>
      <c r="F3820" t="s">
        <v>7532</v>
      </c>
      <c r="G3820" t="s">
        <v>22179</v>
      </c>
      <c r="H3820" t="s">
        <v>26004</v>
      </c>
      <c r="I3820" s="26">
        <v>39125</v>
      </c>
      <c r="J3820">
        <v>2007</v>
      </c>
      <c r="K3820" t="s">
        <v>7532</v>
      </c>
      <c r="L3820">
        <v>398</v>
      </c>
      <c r="M3820" t="s">
        <v>39710</v>
      </c>
      <c r="N3820">
        <v>1</v>
      </c>
      <c r="S3820" t="s">
        <v>10181</v>
      </c>
      <c r="T3820" t="s">
        <v>30</v>
      </c>
      <c r="U3820" t="s">
        <v>26228</v>
      </c>
      <c r="W3820" t="s">
        <v>28347</v>
      </c>
    </row>
    <row r="3821" spans="1:23" x14ac:dyDescent="0.35">
      <c r="A3821">
        <v>865680</v>
      </c>
      <c r="B3821" t="s">
        <v>39711</v>
      </c>
      <c r="C3821" t="str">
        <f>"9780814758403"</f>
        <v>9780814758403</v>
      </c>
      <c r="D3821" t="str">
        <f>"9780814759073"</f>
        <v>9780814759073</v>
      </c>
      <c r="E3821" t="s">
        <v>39652</v>
      </c>
      <c r="F3821" t="s">
        <v>7532</v>
      </c>
      <c r="G3821" t="s">
        <v>22179</v>
      </c>
      <c r="H3821" t="s">
        <v>26004</v>
      </c>
      <c r="I3821" s="26">
        <v>40392</v>
      </c>
      <c r="J3821">
        <v>2010</v>
      </c>
      <c r="K3821" t="s">
        <v>7532</v>
      </c>
      <c r="L3821">
        <v>200</v>
      </c>
      <c r="M3821" t="s">
        <v>39712</v>
      </c>
      <c r="N3821">
        <v>1</v>
      </c>
      <c r="Q3821" t="s">
        <v>39713</v>
      </c>
      <c r="R3821" t="s">
        <v>39714</v>
      </c>
      <c r="S3821" t="s">
        <v>10233</v>
      </c>
      <c r="T3821" t="s">
        <v>30</v>
      </c>
      <c r="U3821" t="s">
        <v>26044</v>
      </c>
      <c r="W3821" t="s">
        <v>28347</v>
      </c>
    </row>
    <row r="3822" spans="1:23" x14ac:dyDescent="0.35">
      <c r="A3822">
        <v>865722</v>
      </c>
      <c r="B3822" t="s">
        <v>39715</v>
      </c>
      <c r="C3822" t="str">
        <f>"9780814756119"</f>
        <v>9780814756119</v>
      </c>
      <c r="D3822" t="str">
        <f>"9780814759967"</f>
        <v>9780814759967</v>
      </c>
      <c r="E3822" t="s">
        <v>39652</v>
      </c>
      <c r="F3822" t="s">
        <v>7532</v>
      </c>
      <c r="G3822" t="s">
        <v>22179</v>
      </c>
      <c r="H3822" t="s">
        <v>26004</v>
      </c>
      <c r="I3822" s="26">
        <v>36069</v>
      </c>
      <c r="J3822">
        <v>2000</v>
      </c>
      <c r="K3822" t="s">
        <v>7532</v>
      </c>
      <c r="L3822">
        <v>443</v>
      </c>
      <c r="M3822" t="s">
        <v>39716</v>
      </c>
      <c r="N3822">
        <v>1</v>
      </c>
      <c r="O3822" t="s">
        <v>39663</v>
      </c>
      <c r="P3822">
        <v>14</v>
      </c>
      <c r="Q3822" t="s">
        <v>39717</v>
      </c>
      <c r="R3822" t="s">
        <v>39718</v>
      </c>
      <c r="S3822" t="s">
        <v>39719</v>
      </c>
      <c r="T3822" t="s">
        <v>30</v>
      </c>
      <c r="U3822" t="s">
        <v>46</v>
      </c>
      <c r="W3822" t="s">
        <v>28347</v>
      </c>
    </row>
    <row r="3823" spans="1:23" x14ac:dyDescent="0.35">
      <c r="A3823">
        <v>865729</v>
      </c>
      <c r="B3823" t="s">
        <v>39720</v>
      </c>
      <c r="C3823" t="str">
        <f>"9780814757024"</f>
        <v>9780814757024</v>
      </c>
      <c r="D3823" t="str">
        <f>"9780814762516"</f>
        <v>9780814762516</v>
      </c>
      <c r="E3823" t="s">
        <v>39652</v>
      </c>
      <c r="F3823" t="s">
        <v>7532</v>
      </c>
      <c r="G3823" t="s">
        <v>22179</v>
      </c>
      <c r="H3823" t="s">
        <v>26004</v>
      </c>
      <c r="I3823" s="26">
        <v>39600</v>
      </c>
      <c r="J3823">
        <v>2008</v>
      </c>
      <c r="K3823" t="s">
        <v>7532</v>
      </c>
      <c r="L3823">
        <v>222</v>
      </c>
      <c r="M3823" t="s">
        <v>39721</v>
      </c>
      <c r="N3823">
        <v>1</v>
      </c>
      <c r="R3823">
        <v>364.15230852097301</v>
      </c>
      <c r="T3823" t="s">
        <v>30</v>
      </c>
      <c r="U3823" t="s">
        <v>26044</v>
      </c>
      <c r="W3823" t="s">
        <v>28347</v>
      </c>
    </row>
    <row r="3824" spans="1:23" x14ac:dyDescent="0.35">
      <c r="A3824">
        <v>865794</v>
      </c>
      <c r="B3824" t="s">
        <v>39722</v>
      </c>
      <c r="C3824" t="str">
        <f>"9780814766576"</f>
        <v>9780814766576</v>
      </c>
      <c r="D3824" t="str">
        <f>"9780814768150"</f>
        <v>9780814768150</v>
      </c>
      <c r="E3824" t="s">
        <v>39652</v>
      </c>
      <c r="F3824" t="s">
        <v>7532</v>
      </c>
      <c r="G3824" t="s">
        <v>22179</v>
      </c>
      <c r="H3824" t="s">
        <v>26004</v>
      </c>
      <c r="I3824" s="26">
        <v>36831</v>
      </c>
      <c r="J3824">
        <v>2000</v>
      </c>
      <c r="K3824" t="s">
        <v>7532</v>
      </c>
      <c r="L3824">
        <v>469</v>
      </c>
      <c r="M3824" t="s">
        <v>39723</v>
      </c>
      <c r="N3824">
        <v>1</v>
      </c>
      <c r="O3824" t="s">
        <v>39663</v>
      </c>
      <c r="P3824">
        <v>8</v>
      </c>
      <c r="Q3824" t="s">
        <v>39724</v>
      </c>
      <c r="R3824" t="s">
        <v>39725</v>
      </c>
      <c r="S3824" t="s">
        <v>39726</v>
      </c>
      <c r="T3824" t="s">
        <v>30</v>
      </c>
      <c r="U3824" t="s">
        <v>26044</v>
      </c>
      <c r="W3824" t="s">
        <v>28347</v>
      </c>
    </row>
    <row r="3825" spans="1:23" x14ac:dyDescent="0.35">
      <c r="A3825">
        <v>865842</v>
      </c>
      <c r="B3825" t="s">
        <v>39727</v>
      </c>
      <c r="C3825" t="str">
        <f>"9780814774861"</f>
        <v>9780814774861</v>
      </c>
      <c r="D3825" t="str">
        <f>"9780814769201"</f>
        <v>9780814769201</v>
      </c>
      <c r="E3825" t="s">
        <v>39652</v>
      </c>
      <c r="F3825" t="s">
        <v>7532</v>
      </c>
      <c r="G3825" t="s">
        <v>22179</v>
      </c>
      <c r="H3825" t="s">
        <v>26004</v>
      </c>
      <c r="I3825" s="26">
        <v>36373</v>
      </c>
      <c r="J3825">
        <v>1999</v>
      </c>
      <c r="K3825" t="s">
        <v>39652</v>
      </c>
      <c r="L3825">
        <v>253</v>
      </c>
      <c r="M3825" t="s">
        <v>39728</v>
      </c>
      <c r="N3825">
        <v>1</v>
      </c>
      <c r="O3825" t="s">
        <v>39729</v>
      </c>
      <c r="Q3825" t="s">
        <v>39730</v>
      </c>
      <c r="R3825" t="s">
        <v>39731</v>
      </c>
      <c r="S3825" t="s">
        <v>39732</v>
      </c>
      <c r="T3825" t="s">
        <v>30</v>
      </c>
      <c r="U3825" t="s">
        <v>26044</v>
      </c>
      <c r="W3825" t="s">
        <v>26009</v>
      </c>
    </row>
    <row r="3826" spans="1:23" x14ac:dyDescent="0.35">
      <c r="A3826">
        <v>865976</v>
      </c>
      <c r="B3826" t="s">
        <v>39733</v>
      </c>
      <c r="C3826" t="str">
        <f>"9780814719916"</f>
        <v>9780814719916</v>
      </c>
      <c r="D3826" t="str">
        <f>"9780814785218"</f>
        <v>9780814785218</v>
      </c>
      <c r="E3826" t="s">
        <v>39652</v>
      </c>
      <c r="F3826" t="s">
        <v>7532</v>
      </c>
      <c r="G3826" t="s">
        <v>22179</v>
      </c>
      <c r="H3826" t="s">
        <v>26004</v>
      </c>
      <c r="I3826" s="26">
        <v>39641</v>
      </c>
      <c r="J3826">
        <v>2008</v>
      </c>
      <c r="K3826" t="s">
        <v>7532</v>
      </c>
      <c r="L3826">
        <v>511</v>
      </c>
      <c r="M3826" t="s">
        <v>39734</v>
      </c>
      <c r="N3826">
        <v>1</v>
      </c>
      <c r="O3826" t="s">
        <v>39663</v>
      </c>
      <c r="P3826">
        <v>5</v>
      </c>
      <c r="Q3826" t="s">
        <v>39735</v>
      </c>
      <c r="R3826" t="s">
        <v>27165</v>
      </c>
      <c r="S3826" t="s">
        <v>39736</v>
      </c>
      <c r="T3826" t="s">
        <v>30</v>
      </c>
      <c r="U3826" t="s">
        <v>46</v>
      </c>
      <c r="W3826" t="s">
        <v>28347</v>
      </c>
    </row>
    <row r="3827" spans="1:23" x14ac:dyDescent="0.35">
      <c r="A3827">
        <v>865977</v>
      </c>
      <c r="B3827" t="s">
        <v>39737</v>
      </c>
      <c r="C3827" t="str">
        <f>"9780814720011"</f>
        <v>9780814720011</v>
      </c>
      <c r="D3827" t="str">
        <f>"9780814785225"</f>
        <v>9780814785225</v>
      </c>
      <c r="E3827" t="s">
        <v>39652</v>
      </c>
      <c r="F3827" t="s">
        <v>7532</v>
      </c>
      <c r="G3827" t="s">
        <v>22179</v>
      </c>
      <c r="H3827" t="s">
        <v>26004</v>
      </c>
      <c r="I3827" s="26">
        <v>39965</v>
      </c>
      <c r="J3827">
        <v>2009</v>
      </c>
      <c r="K3827" t="s">
        <v>7532</v>
      </c>
      <c r="L3827">
        <v>280</v>
      </c>
      <c r="M3827" t="s">
        <v>39738</v>
      </c>
      <c r="N3827">
        <v>1</v>
      </c>
      <c r="O3827" t="s">
        <v>39739</v>
      </c>
      <c r="P3827">
        <v>3</v>
      </c>
      <c r="Q3827" t="s">
        <v>39740</v>
      </c>
      <c r="R3827" t="s">
        <v>39741</v>
      </c>
      <c r="S3827" t="s">
        <v>39742</v>
      </c>
      <c r="T3827" t="s">
        <v>30</v>
      </c>
      <c r="U3827" t="s">
        <v>26044</v>
      </c>
      <c r="W3827" t="s">
        <v>28347</v>
      </c>
    </row>
    <row r="3828" spans="1:23" x14ac:dyDescent="0.35">
      <c r="A3828">
        <v>865986</v>
      </c>
      <c r="B3828" t="s">
        <v>39743</v>
      </c>
      <c r="C3828" t="str">
        <f>"9780814719428"</f>
        <v>9780814719428</v>
      </c>
      <c r="D3828" t="str">
        <f>"9780814785355"</f>
        <v>9780814785355</v>
      </c>
      <c r="E3828" t="s">
        <v>39652</v>
      </c>
      <c r="F3828" t="s">
        <v>7532</v>
      </c>
      <c r="G3828" t="s">
        <v>22179</v>
      </c>
      <c r="H3828" t="s">
        <v>26004</v>
      </c>
      <c r="I3828" s="26">
        <v>37834</v>
      </c>
      <c r="J3828">
        <v>2003</v>
      </c>
      <c r="K3828" t="s">
        <v>7532</v>
      </c>
      <c r="L3828">
        <v>241</v>
      </c>
      <c r="M3828" t="s">
        <v>39744</v>
      </c>
      <c r="N3828">
        <v>1</v>
      </c>
      <c r="O3828" t="s">
        <v>39663</v>
      </c>
      <c r="P3828">
        <v>7</v>
      </c>
      <c r="R3828" t="s">
        <v>27855</v>
      </c>
      <c r="S3828" t="s">
        <v>8991</v>
      </c>
      <c r="T3828" t="s">
        <v>30</v>
      </c>
      <c r="U3828" t="s">
        <v>26040</v>
      </c>
      <c r="W3828" t="s">
        <v>28347</v>
      </c>
    </row>
    <row r="3829" spans="1:23" x14ac:dyDescent="0.35">
      <c r="A3829">
        <v>865994</v>
      </c>
      <c r="B3829" t="s">
        <v>39745</v>
      </c>
      <c r="C3829" t="str">
        <f>"9780814719763"</f>
        <v>9780814719763</v>
      </c>
      <c r="D3829" t="str">
        <f>"9780814785447"</f>
        <v>9780814785447</v>
      </c>
      <c r="E3829" t="s">
        <v>39652</v>
      </c>
      <c r="F3829" t="s">
        <v>7532</v>
      </c>
      <c r="G3829" t="s">
        <v>22179</v>
      </c>
      <c r="H3829" t="s">
        <v>26004</v>
      </c>
      <c r="I3829" s="26">
        <v>38869</v>
      </c>
      <c r="J3829">
        <v>2006</v>
      </c>
      <c r="K3829" t="s">
        <v>7532</v>
      </c>
      <c r="L3829">
        <v>261</v>
      </c>
      <c r="M3829" t="s">
        <v>39746</v>
      </c>
      <c r="N3829">
        <v>1</v>
      </c>
      <c r="Q3829" t="s">
        <v>39747</v>
      </c>
      <c r="S3829" t="s">
        <v>8953</v>
      </c>
      <c r="T3829" t="s">
        <v>30</v>
      </c>
      <c r="U3829" t="s">
        <v>402</v>
      </c>
      <c r="W3829" t="s">
        <v>28347</v>
      </c>
    </row>
    <row r="3830" spans="1:23" x14ac:dyDescent="0.35">
      <c r="A3830">
        <v>866003</v>
      </c>
      <c r="B3830" t="s">
        <v>39748</v>
      </c>
      <c r="C3830" t="str">
        <f>"9780814740149"</f>
        <v>9780814740149</v>
      </c>
      <c r="D3830" t="str">
        <f>"9780814786505"</f>
        <v>9780814786505</v>
      </c>
      <c r="E3830" t="s">
        <v>39652</v>
      </c>
      <c r="F3830" t="s">
        <v>7532</v>
      </c>
      <c r="G3830" t="s">
        <v>22179</v>
      </c>
      <c r="H3830" t="s">
        <v>26004</v>
      </c>
      <c r="I3830" s="26">
        <v>39142</v>
      </c>
      <c r="J3830">
        <v>2007</v>
      </c>
      <c r="K3830" t="s">
        <v>7532</v>
      </c>
      <c r="L3830">
        <v>205</v>
      </c>
      <c r="M3830" t="s">
        <v>39749</v>
      </c>
      <c r="N3830">
        <v>1</v>
      </c>
      <c r="R3830" t="s">
        <v>39750</v>
      </c>
      <c r="S3830" t="s">
        <v>9418</v>
      </c>
      <c r="T3830" t="s">
        <v>30</v>
      </c>
      <c r="U3830" t="s">
        <v>26044</v>
      </c>
      <c r="W3830" t="s">
        <v>28347</v>
      </c>
    </row>
    <row r="3831" spans="1:23" x14ac:dyDescent="0.35">
      <c r="A3831">
        <v>866146</v>
      </c>
      <c r="B3831" t="s">
        <v>39751</v>
      </c>
      <c r="C3831" t="str">
        <f>"9780814740903"</f>
        <v>9780814740903</v>
      </c>
      <c r="D3831" t="str">
        <f>"9780814708798"</f>
        <v>9780814708798</v>
      </c>
      <c r="E3831" t="s">
        <v>39652</v>
      </c>
      <c r="F3831" t="s">
        <v>7532</v>
      </c>
      <c r="G3831" t="s">
        <v>22179</v>
      </c>
      <c r="H3831" t="s">
        <v>26004</v>
      </c>
      <c r="I3831" s="26">
        <v>40582</v>
      </c>
      <c r="J3831">
        <v>2011</v>
      </c>
      <c r="K3831" t="s">
        <v>7532</v>
      </c>
      <c r="L3831">
        <v>254</v>
      </c>
      <c r="M3831" t="s">
        <v>39752</v>
      </c>
      <c r="N3831">
        <v>1</v>
      </c>
      <c r="R3831">
        <v>305.800973</v>
      </c>
      <c r="S3831" t="s">
        <v>7639</v>
      </c>
      <c r="T3831" t="s">
        <v>30</v>
      </c>
      <c r="U3831" t="s">
        <v>26044</v>
      </c>
      <c r="W3831" t="s">
        <v>28347</v>
      </c>
    </row>
    <row r="3832" spans="1:23" x14ac:dyDescent="0.35">
      <c r="A3832">
        <v>866160</v>
      </c>
      <c r="B3832" t="s">
        <v>39753</v>
      </c>
      <c r="C3832" t="str">
        <f>"9780814732397"</f>
        <v>9780814732397</v>
      </c>
      <c r="D3832" t="str">
        <f>"9780814733004"</f>
        <v>9780814733004</v>
      </c>
      <c r="E3832" t="s">
        <v>39652</v>
      </c>
      <c r="F3832" t="s">
        <v>7532</v>
      </c>
      <c r="G3832" t="s">
        <v>22179</v>
      </c>
      <c r="H3832" t="s">
        <v>26004</v>
      </c>
      <c r="I3832" s="26">
        <v>40609</v>
      </c>
      <c r="J3832">
        <v>2011</v>
      </c>
      <c r="K3832" t="s">
        <v>7532</v>
      </c>
      <c r="L3832">
        <v>202</v>
      </c>
      <c r="M3832" t="s">
        <v>39754</v>
      </c>
      <c r="N3832">
        <v>1</v>
      </c>
      <c r="Q3832" t="s">
        <v>39755</v>
      </c>
      <c r="R3832" t="s">
        <v>39756</v>
      </c>
      <c r="S3832" t="s">
        <v>39757</v>
      </c>
      <c r="T3832" t="s">
        <v>30</v>
      </c>
      <c r="U3832" t="s">
        <v>26250</v>
      </c>
      <c r="W3832" t="s">
        <v>28347</v>
      </c>
    </row>
    <row r="3833" spans="1:23" x14ac:dyDescent="0.35">
      <c r="A3833">
        <v>866341</v>
      </c>
      <c r="B3833" t="s">
        <v>39758</v>
      </c>
      <c r="C3833" t="str">
        <f>"9781441161048"</f>
        <v>9781441161048</v>
      </c>
      <c r="D3833" t="str">
        <f>"9781441187994"</f>
        <v>9781441187994</v>
      </c>
      <c r="E3833" t="s">
        <v>31671</v>
      </c>
      <c r="F3833" t="s">
        <v>7760</v>
      </c>
      <c r="G3833" t="s">
        <v>22174</v>
      </c>
      <c r="H3833" t="s">
        <v>26011</v>
      </c>
      <c r="I3833" s="26">
        <v>40997</v>
      </c>
      <c r="J3833">
        <v>2011</v>
      </c>
      <c r="K3833" t="s">
        <v>33338</v>
      </c>
      <c r="L3833">
        <v>169</v>
      </c>
      <c r="M3833" t="s">
        <v>39759</v>
      </c>
      <c r="N3833">
        <v>1</v>
      </c>
      <c r="Q3833" t="s">
        <v>39760</v>
      </c>
      <c r="R3833">
        <v>372.21</v>
      </c>
      <c r="S3833" t="s">
        <v>39761</v>
      </c>
      <c r="T3833" t="s">
        <v>30</v>
      </c>
      <c r="U3833" t="s">
        <v>337</v>
      </c>
      <c r="W3833" t="s">
        <v>28347</v>
      </c>
    </row>
    <row r="3834" spans="1:23" x14ac:dyDescent="0.35">
      <c r="A3834">
        <v>866903</v>
      </c>
      <c r="B3834" t="s">
        <v>9911</v>
      </c>
      <c r="C3834" t="str">
        <f>"9781107015197"</f>
        <v>9781107015197</v>
      </c>
      <c r="D3834" t="str">
        <f>"9781139340236"</f>
        <v>9781139340236</v>
      </c>
      <c r="E3834" t="s">
        <v>167</v>
      </c>
      <c r="F3834" t="s">
        <v>167</v>
      </c>
      <c r="G3834" t="s">
        <v>22218</v>
      </c>
      <c r="H3834" t="s">
        <v>26011</v>
      </c>
      <c r="I3834" s="26">
        <v>40983</v>
      </c>
      <c r="J3834">
        <v>2012</v>
      </c>
      <c r="K3834" t="s">
        <v>167</v>
      </c>
      <c r="L3834">
        <v>396</v>
      </c>
      <c r="M3834" t="s">
        <v>39762</v>
      </c>
      <c r="N3834">
        <v>1</v>
      </c>
      <c r="Q3834" t="s">
        <v>39763</v>
      </c>
      <c r="R3834" t="s">
        <v>39764</v>
      </c>
      <c r="S3834" t="s">
        <v>39765</v>
      </c>
      <c r="T3834" t="s">
        <v>30</v>
      </c>
      <c r="U3834" t="s">
        <v>39766</v>
      </c>
      <c r="W3834" t="s">
        <v>26020</v>
      </c>
    </row>
    <row r="3835" spans="1:23" x14ac:dyDescent="0.35">
      <c r="A3835">
        <v>867050</v>
      </c>
      <c r="B3835" t="s">
        <v>39767</v>
      </c>
      <c r="C3835" t="str">
        <f>"9780807835197"</f>
        <v>9780807835197</v>
      </c>
      <c r="D3835" t="str">
        <f>"9780807882511"</f>
        <v>9780807882511</v>
      </c>
      <c r="E3835" t="s">
        <v>31948</v>
      </c>
      <c r="F3835" t="s">
        <v>7733</v>
      </c>
      <c r="G3835" t="s">
        <v>23742</v>
      </c>
      <c r="H3835" t="s">
        <v>26004</v>
      </c>
      <c r="I3835" s="26">
        <v>40980</v>
      </c>
      <c r="J3835">
        <v>2012</v>
      </c>
      <c r="K3835" t="s">
        <v>7733</v>
      </c>
      <c r="L3835">
        <v>318</v>
      </c>
      <c r="M3835" t="s">
        <v>39768</v>
      </c>
      <c r="N3835">
        <v>1</v>
      </c>
      <c r="O3835" t="s">
        <v>39769</v>
      </c>
      <c r="Q3835" t="s">
        <v>39770</v>
      </c>
      <c r="R3835" t="s">
        <v>39771</v>
      </c>
      <c r="S3835" t="s">
        <v>39772</v>
      </c>
      <c r="T3835" t="s">
        <v>30</v>
      </c>
      <c r="U3835" t="s">
        <v>26044</v>
      </c>
      <c r="W3835" t="s">
        <v>26009</v>
      </c>
    </row>
    <row r="3836" spans="1:23" x14ac:dyDescent="0.35">
      <c r="A3836">
        <v>867937</v>
      </c>
      <c r="B3836" t="s">
        <v>39773</v>
      </c>
      <c r="C3836" t="str">
        <f>"9781855757516"</f>
        <v>9781855757516</v>
      </c>
      <c r="D3836" t="str">
        <f>"9781849409636"</f>
        <v>9781849409636</v>
      </c>
      <c r="E3836" t="s">
        <v>26010</v>
      </c>
      <c r="F3836" t="s">
        <v>35</v>
      </c>
      <c r="G3836" t="s">
        <v>22174</v>
      </c>
      <c r="H3836" t="s">
        <v>26011</v>
      </c>
      <c r="I3836" s="26">
        <v>40345</v>
      </c>
      <c r="J3836">
        <v>2010</v>
      </c>
      <c r="K3836" t="s">
        <v>26012</v>
      </c>
      <c r="L3836">
        <v>245</v>
      </c>
      <c r="M3836" t="s">
        <v>39774</v>
      </c>
      <c r="N3836">
        <v>1</v>
      </c>
      <c r="Q3836" t="s">
        <v>39775</v>
      </c>
      <c r="R3836">
        <v>616.89139999999998</v>
      </c>
      <c r="S3836" t="s">
        <v>39776</v>
      </c>
      <c r="T3836" t="s">
        <v>30</v>
      </c>
      <c r="U3836" t="s">
        <v>26116</v>
      </c>
      <c r="W3836" t="s">
        <v>26009</v>
      </c>
    </row>
    <row r="3837" spans="1:23" x14ac:dyDescent="0.35">
      <c r="A3837">
        <v>868537</v>
      </c>
      <c r="B3837" t="s">
        <v>39777</v>
      </c>
      <c r="C3837" t="str">
        <f>""</f>
        <v/>
      </c>
      <c r="D3837" t="str">
        <f>"9780813549224"</f>
        <v>9780813549224</v>
      </c>
      <c r="E3837" t="s">
        <v>3024</v>
      </c>
      <c r="F3837" t="s">
        <v>3024</v>
      </c>
      <c r="G3837" t="s">
        <v>23823</v>
      </c>
      <c r="H3837" t="s">
        <v>26004</v>
      </c>
      <c r="I3837" s="26">
        <v>40225</v>
      </c>
      <c r="J3837">
        <v>2014</v>
      </c>
      <c r="K3837" t="s">
        <v>3024</v>
      </c>
      <c r="L3837">
        <v>228</v>
      </c>
      <c r="M3837" t="s">
        <v>39778</v>
      </c>
      <c r="N3837">
        <v>1</v>
      </c>
      <c r="Q3837" t="s">
        <v>31178</v>
      </c>
      <c r="R3837" t="s">
        <v>39779</v>
      </c>
      <c r="S3837" t="s">
        <v>39780</v>
      </c>
      <c r="T3837" t="s">
        <v>30</v>
      </c>
      <c r="U3837" t="s">
        <v>26019</v>
      </c>
      <c r="W3837" t="s">
        <v>26009</v>
      </c>
    </row>
    <row r="3838" spans="1:23" x14ac:dyDescent="0.35">
      <c r="A3838">
        <v>869870</v>
      </c>
      <c r="B3838" t="s">
        <v>39781</v>
      </c>
      <c r="C3838" t="str">
        <f>"9781598746839"</f>
        <v>9781598746839</v>
      </c>
      <c r="D3838" t="str">
        <f>"9781598746853"</f>
        <v>9781598746853</v>
      </c>
      <c r="E3838" t="s">
        <v>26010</v>
      </c>
      <c r="F3838" t="s">
        <v>35</v>
      </c>
      <c r="G3838" t="s">
        <v>36267</v>
      </c>
      <c r="H3838" t="s">
        <v>26004</v>
      </c>
      <c r="I3838" s="26">
        <v>40968</v>
      </c>
      <c r="J3838">
        <v>2012</v>
      </c>
      <c r="K3838" t="s">
        <v>26012</v>
      </c>
      <c r="L3838">
        <v>327</v>
      </c>
      <c r="M3838" t="s">
        <v>39782</v>
      </c>
      <c r="N3838">
        <v>1</v>
      </c>
      <c r="O3838" t="s">
        <v>39783</v>
      </c>
      <c r="P3838">
        <v>7</v>
      </c>
      <c r="Q3838" t="s">
        <v>39784</v>
      </c>
      <c r="R3838" t="s">
        <v>35760</v>
      </c>
      <c r="S3838" t="s">
        <v>8212</v>
      </c>
      <c r="T3838" t="s">
        <v>30</v>
      </c>
      <c r="U3838" t="s">
        <v>34900</v>
      </c>
      <c r="W3838" t="s">
        <v>26009</v>
      </c>
    </row>
    <row r="3839" spans="1:23" x14ac:dyDescent="0.35">
      <c r="A3839">
        <v>869993</v>
      </c>
      <c r="B3839" t="s">
        <v>39785</v>
      </c>
      <c r="C3839" t="str">
        <f>"9781855758377"</f>
        <v>9781855758377</v>
      </c>
      <c r="D3839" t="str">
        <f>"9781849409650"</f>
        <v>9781849409650</v>
      </c>
      <c r="E3839" t="s">
        <v>26010</v>
      </c>
      <c r="F3839" t="s">
        <v>35</v>
      </c>
      <c r="G3839" t="s">
        <v>22174</v>
      </c>
      <c r="H3839" t="s">
        <v>26011</v>
      </c>
      <c r="I3839" s="26">
        <v>41274</v>
      </c>
      <c r="J3839">
        <v>2012</v>
      </c>
      <c r="K3839" t="s">
        <v>26012</v>
      </c>
      <c r="L3839">
        <v>353</v>
      </c>
      <c r="M3839" t="s">
        <v>39786</v>
      </c>
      <c r="N3839">
        <v>1</v>
      </c>
      <c r="O3839" t="s">
        <v>36603</v>
      </c>
      <c r="Q3839" t="s">
        <v>39787</v>
      </c>
      <c r="R3839">
        <v>155.64500000000001</v>
      </c>
      <c r="S3839" t="s">
        <v>39788</v>
      </c>
      <c r="T3839" t="s">
        <v>30</v>
      </c>
      <c r="U3839" t="s">
        <v>26116</v>
      </c>
      <c r="W3839" t="s">
        <v>26009</v>
      </c>
    </row>
    <row r="3840" spans="1:23" x14ac:dyDescent="0.35">
      <c r="A3840">
        <v>870020</v>
      </c>
      <c r="B3840" t="s">
        <v>39789</v>
      </c>
      <c r="C3840" t="str">
        <f>"9780520272941"</f>
        <v>9780520272941</v>
      </c>
      <c r="D3840" t="str">
        <f>"9780520951853"</f>
        <v>9780520951853</v>
      </c>
      <c r="E3840" t="s">
        <v>1612</v>
      </c>
      <c r="F3840" t="s">
        <v>1612</v>
      </c>
      <c r="G3840" t="s">
        <v>22630</v>
      </c>
      <c r="H3840" t="s">
        <v>26004</v>
      </c>
      <c r="I3840" s="26">
        <v>40999</v>
      </c>
      <c r="J3840">
        <v>2012</v>
      </c>
      <c r="K3840" t="s">
        <v>1612</v>
      </c>
      <c r="L3840">
        <v>232</v>
      </c>
      <c r="M3840" t="s">
        <v>39790</v>
      </c>
      <c r="N3840">
        <v>3</v>
      </c>
      <c r="Q3840" t="s">
        <v>39791</v>
      </c>
      <c r="R3840">
        <v>152.4</v>
      </c>
      <c r="S3840" t="s">
        <v>39792</v>
      </c>
      <c r="T3840" t="s">
        <v>30</v>
      </c>
      <c r="U3840" t="s">
        <v>46</v>
      </c>
      <c r="W3840" t="s">
        <v>26009</v>
      </c>
    </row>
    <row r="3841" spans="1:23" x14ac:dyDescent="0.35">
      <c r="A3841">
        <v>870068</v>
      </c>
      <c r="B3841" t="s">
        <v>39793</v>
      </c>
      <c r="C3841" t="str">
        <f>"9780813546636"</f>
        <v>9780813546636</v>
      </c>
      <c r="D3841" t="str">
        <f>"9780813549156"</f>
        <v>9780813549156</v>
      </c>
      <c r="E3841" t="s">
        <v>3024</v>
      </c>
      <c r="F3841" t="s">
        <v>3024</v>
      </c>
      <c r="G3841" t="s">
        <v>23823</v>
      </c>
      <c r="H3841" t="s">
        <v>26004</v>
      </c>
      <c r="I3841" s="26">
        <v>40199</v>
      </c>
      <c r="J3841">
        <v>2010</v>
      </c>
      <c r="K3841" t="s">
        <v>3024</v>
      </c>
      <c r="L3841">
        <v>237</v>
      </c>
      <c r="M3841" t="s">
        <v>39794</v>
      </c>
      <c r="N3841">
        <v>1</v>
      </c>
      <c r="O3841" t="s">
        <v>39795</v>
      </c>
      <c r="Q3841" t="s">
        <v>39796</v>
      </c>
      <c r="R3841">
        <v>305.23090000000002</v>
      </c>
      <c r="T3841" t="s">
        <v>30</v>
      </c>
      <c r="U3841" t="s">
        <v>26228</v>
      </c>
      <c r="W3841" t="s">
        <v>26009</v>
      </c>
    </row>
    <row r="3842" spans="1:23" x14ac:dyDescent="0.35">
      <c r="A3842">
        <v>871347</v>
      </c>
      <c r="B3842" t="s">
        <v>39797</v>
      </c>
      <c r="C3842" t="str">
        <f>"9780520250130"</f>
        <v>9780520250130</v>
      </c>
      <c r="D3842" t="str">
        <f>"9780520933538"</f>
        <v>9780520933538</v>
      </c>
      <c r="E3842" t="s">
        <v>1612</v>
      </c>
      <c r="F3842" t="s">
        <v>1612</v>
      </c>
      <c r="G3842" t="s">
        <v>22630</v>
      </c>
      <c r="H3842" t="s">
        <v>26004</v>
      </c>
      <c r="I3842" s="26">
        <v>39006</v>
      </c>
      <c r="J3842">
        <v>2006</v>
      </c>
      <c r="K3842" t="s">
        <v>1612</v>
      </c>
      <c r="L3842">
        <v>270</v>
      </c>
      <c r="M3842" t="s">
        <v>39798</v>
      </c>
      <c r="N3842">
        <v>2</v>
      </c>
      <c r="O3842" t="s">
        <v>39799</v>
      </c>
      <c r="P3842">
        <v>3</v>
      </c>
      <c r="R3842">
        <v>305.31097253000002</v>
      </c>
      <c r="S3842" t="s">
        <v>39800</v>
      </c>
      <c r="T3842" t="s">
        <v>30</v>
      </c>
      <c r="U3842" t="s">
        <v>26044</v>
      </c>
      <c r="W3842" t="s">
        <v>26009</v>
      </c>
    </row>
    <row r="3843" spans="1:23" x14ac:dyDescent="0.35">
      <c r="A3843">
        <v>871417</v>
      </c>
      <c r="B3843" t="s">
        <v>39801</v>
      </c>
      <c r="C3843" t="str">
        <f>"9780313397769"</f>
        <v>9780313397769</v>
      </c>
      <c r="D3843" t="str">
        <f>"9798216077572"</f>
        <v>9798216077572</v>
      </c>
      <c r="E3843" t="s">
        <v>28336</v>
      </c>
      <c r="F3843" t="s">
        <v>28340</v>
      </c>
      <c r="G3843" t="s">
        <v>22179</v>
      </c>
      <c r="H3843" t="s">
        <v>26004</v>
      </c>
      <c r="I3843" s="26">
        <v>40961</v>
      </c>
      <c r="J3843">
        <v>2012</v>
      </c>
      <c r="K3843" t="s">
        <v>28341</v>
      </c>
      <c r="L3843">
        <v>273</v>
      </c>
      <c r="N3843">
        <v>2</v>
      </c>
      <c r="Q3843" t="s">
        <v>39802</v>
      </c>
      <c r="R3843" t="s">
        <v>27649</v>
      </c>
      <c r="S3843" t="s">
        <v>39803</v>
      </c>
      <c r="T3843" t="s">
        <v>30</v>
      </c>
      <c r="U3843" t="s">
        <v>27319</v>
      </c>
      <c r="W3843" t="s">
        <v>28347</v>
      </c>
    </row>
    <row r="3844" spans="1:23" x14ac:dyDescent="0.35">
      <c r="A3844">
        <v>871818</v>
      </c>
      <c r="B3844" t="s">
        <v>39804</v>
      </c>
      <c r="C3844" t="str">
        <f>"9789027213518"</f>
        <v>9789027213518</v>
      </c>
      <c r="D3844" t="str">
        <f>"9789027274649"</f>
        <v>9789027274649</v>
      </c>
      <c r="E3844" t="s">
        <v>35211</v>
      </c>
      <c r="F3844" t="s">
        <v>7610</v>
      </c>
      <c r="G3844" t="s">
        <v>22190</v>
      </c>
      <c r="H3844" t="s">
        <v>27983</v>
      </c>
      <c r="I3844" s="26">
        <v>40996</v>
      </c>
      <c r="J3844">
        <v>2012</v>
      </c>
      <c r="K3844" t="s">
        <v>7610</v>
      </c>
      <c r="L3844">
        <v>337</v>
      </c>
      <c r="M3844" t="s">
        <v>39805</v>
      </c>
      <c r="N3844">
        <v>1</v>
      </c>
      <c r="O3844" t="s">
        <v>35354</v>
      </c>
      <c r="Q3844" t="s">
        <v>39806</v>
      </c>
      <c r="R3844" t="s">
        <v>39807</v>
      </c>
      <c r="S3844" t="s">
        <v>39808</v>
      </c>
      <c r="T3844" t="s">
        <v>30</v>
      </c>
      <c r="U3844" t="s">
        <v>39320</v>
      </c>
      <c r="W3844" t="s">
        <v>26009</v>
      </c>
    </row>
    <row r="3845" spans="1:23" x14ac:dyDescent="0.35">
      <c r="A3845">
        <v>871873</v>
      </c>
      <c r="B3845" t="s">
        <v>39809</v>
      </c>
      <c r="C3845" t="str">
        <f>"9781855758179"</f>
        <v>9781855758179</v>
      </c>
      <c r="D3845" t="str">
        <f>"9781849409698"</f>
        <v>9781849409698</v>
      </c>
      <c r="E3845" t="s">
        <v>26010</v>
      </c>
      <c r="F3845" t="s">
        <v>35</v>
      </c>
      <c r="G3845" t="s">
        <v>22174</v>
      </c>
      <c r="H3845" t="s">
        <v>26011</v>
      </c>
      <c r="I3845" s="26">
        <v>41274</v>
      </c>
      <c r="J3845">
        <v>2012</v>
      </c>
      <c r="K3845" t="s">
        <v>26012</v>
      </c>
      <c r="L3845">
        <v>143</v>
      </c>
      <c r="M3845" t="s">
        <v>36995</v>
      </c>
      <c r="N3845">
        <v>1</v>
      </c>
      <c r="Q3845" t="s">
        <v>39810</v>
      </c>
      <c r="R3845">
        <v>150.19499999999999</v>
      </c>
      <c r="S3845" t="s">
        <v>36663</v>
      </c>
      <c r="T3845" t="s">
        <v>30</v>
      </c>
      <c r="U3845" t="s">
        <v>46</v>
      </c>
      <c r="W3845" t="s">
        <v>26009</v>
      </c>
    </row>
    <row r="3846" spans="1:23" x14ac:dyDescent="0.35">
      <c r="A3846">
        <v>872580</v>
      </c>
      <c r="B3846" t="s">
        <v>8289</v>
      </c>
      <c r="C3846" t="str">
        <f>"9780123849250"</f>
        <v>9780123849250</v>
      </c>
      <c r="D3846" t="str">
        <f>"9780123849267"</f>
        <v>9780123849267</v>
      </c>
      <c r="E3846" t="s">
        <v>27482</v>
      </c>
      <c r="F3846" t="s">
        <v>7447</v>
      </c>
      <c r="G3846" t="s">
        <v>22689</v>
      </c>
      <c r="H3846" t="s">
        <v>26004</v>
      </c>
      <c r="I3846" s="26">
        <v>41010</v>
      </c>
      <c r="J3846">
        <v>2012</v>
      </c>
      <c r="K3846" t="s">
        <v>946</v>
      </c>
      <c r="L3846">
        <v>866</v>
      </c>
      <c r="M3846" t="s">
        <v>39811</v>
      </c>
      <c r="N3846">
        <v>1</v>
      </c>
      <c r="Q3846" t="s">
        <v>39812</v>
      </c>
      <c r="R3846">
        <v>155.91030000000001</v>
      </c>
      <c r="S3846" t="s">
        <v>39813</v>
      </c>
      <c r="T3846" t="s">
        <v>30</v>
      </c>
      <c r="U3846" t="s">
        <v>46</v>
      </c>
      <c r="W3846" t="s">
        <v>26009</v>
      </c>
    </row>
    <row r="3847" spans="1:23" x14ac:dyDescent="0.35">
      <c r="A3847">
        <v>873348</v>
      </c>
      <c r="B3847" t="s">
        <v>39814</v>
      </c>
      <c r="C3847" t="str">
        <f>"9781462504251"</f>
        <v>9781462504251</v>
      </c>
      <c r="D3847" t="str">
        <f>"9781462504268"</f>
        <v>9781462504268</v>
      </c>
      <c r="E3847" t="s">
        <v>30112</v>
      </c>
      <c r="F3847" t="s">
        <v>7420</v>
      </c>
      <c r="G3847" t="s">
        <v>22179</v>
      </c>
      <c r="H3847" t="s">
        <v>26004</v>
      </c>
      <c r="I3847" s="26">
        <v>40980</v>
      </c>
      <c r="J3847">
        <v>2012</v>
      </c>
      <c r="K3847" t="s">
        <v>30113</v>
      </c>
      <c r="L3847">
        <v>321</v>
      </c>
      <c r="M3847" t="s">
        <v>39815</v>
      </c>
      <c r="N3847">
        <v>1</v>
      </c>
      <c r="Q3847" t="s">
        <v>39816</v>
      </c>
      <c r="R3847" t="s">
        <v>26937</v>
      </c>
      <c r="S3847" t="s">
        <v>39817</v>
      </c>
      <c r="T3847" t="s">
        <v>30</v>
      </c>
      <c r="U3847" t="s">
        <v>46</v>
      </c>
      <c r="W3847" t="s">
        <v>28347</v>
      </c>
    </row>
    <row r="3848" spans="1:23" x14ac:dyDescent="0.35">
      <c r="A3848">
        <v>873350</v>
      </c>
      <c r="B3848" t="s">
        <v>39818</v>
      </c>
      <c r="C3848" t="str">
        <f>"9781462502974"</f>
        <v>9781462502974</v>
      </c>
      <c r="D3848" t="str">
        <f>"9781462502981"</f>
        <v>9781462502981</v>
      </c>
      <c r="E3848" t="s">
        <v>30112</v>
      </c>
      <c r="F3848" t="s">
        <v>7420</v>
      </c>
      <c r="G3848" t="s">
        <v>22179</v>
      </c>
      <c r="H3848" t="s">
        <v>26004</v>
      </c>
      <c r="I3848" s="26">
        <v>40974</v>
      </c>
      <c r="J3848">
        <v>2012</v>
      </c>
      <c r="K3848" t="s">
        <v>30113</v>
      </c>
      <c r="L3848">
        <v>465</v>
      </c>
      <c r="M3848" t="s">
        <v>39819</v>
      </c>
      <c r="N3848">
        <v>2</v>
      </c>
      <c r="Q3848" t="s">
        <v>39820</v>
      </c>
      <c r="R3848">
        <v>155.19999999999999</v>
      </c>
      <c r="S3848" t="s">
        <v>39821</v>
      </c>
      <c r="T3848" t="s">
        <v>30</v>
      </c>
      <c r="U3848" t="s">
        <v>46</v>
      </c>
      <c r="W3848" t="s">
        <v>28347</v>
      </c>
    </row>
    <row r="3849" spans="1:23" x14ac:dyDescent="0.35">
      <c r="A3849">
        <v>873352</v>
      </c>
      <c r="B3849" t="s">
        <v>39822</v>
      </c>
      <c r="C3849" t="str">
        <f>"9781462503544"</f>
        <v>9781462503544</v>
      </c>
      <c r="D3849" t="str">
        <f>"9781462503575"</f>
        <v>9781462503575</v>
      </c>
      <c r="E3849" t="s">
        <v>30112</v>
      </c>
      <c r="F3849" t="s">
        <v>7420</v>
      </c>
      <c r="G3849" t="s">
        <v>22179</v>
      </c>
      <c r="H3849" t="s">
        <v>26004</v>
      </c>
      <c r="I3849" s="26">
        <v>40948</v>
      </c>
      <c r="J3849">
        <v>2012</v>
      </c>
      <c r="K3849" t="s">
        <v>30113</v>
      </c>
      <c r="L3849">
        <v>240</v>
      </c>
      <c r="M3849" t="s">
        <v>39823</v>
      </c>
      <c r="N3849">
        <v>1</v>
      </c>
      <c r="O3849" t="s">
        <v>31750</v>
      </c>
      <c r="P3849">
        <v>1</v>
      </c>
      <c r="Q3849" t="s">
        <v>39824</v>
      </c>
      <c r="R3849">
        <v>371.9</v>
      </c>
      <c r="S3849" t="s">
        <v>39825</v>
      </c>
      <c r="T3849" t="s">
        <v>30</v>
      </c>
      <c r="U3849" t="s">
        <v>337</v>
      </c>
      <c r="W3849" t="s">
        <v>28347</v>
      </c>
    </row>
    <row r="3850" spans="1:23" x14ac:dyDescent="0.35">
      <c r="A3850">
        <v>873353</v>
      </c>
      <c r="B3850" t="s">
        <v>39826</v>
      </c>
      <c r="C3850" t="str">
        <f>"9781462503803"</f>
        <v>9781462503803</v>
      </c>
      <c r="D3850" t="str">
        <f>"9781462503810"</f>
        <v>9781462503810</v>
      </c>
      <c r="E3850" t="s">
        <v>30112</v>
      </c>
      <c r="F3850" t="s">
        <v>7420</v>
      </c>
      <c r="G3850" t="s">
        <v>22179</v>
      </c>
      <c r="H3850" t="s">
        <v>26004</v>
      </c>
      <c r="I3850" s="26">
        <v>40973</v>
      </c>
      <c r="J3850">
        <v>2012</v>
      </c>
      <c r="K3850" t="s">
        <v>30113</v>
      </c>
      <c r="L3850">
        <v>305</v>
      </c>
      <c r="M3850" t="s">
        <v>37662</v>
      </c>
      <c r="N3850">
        <v>2</v>
      </c>
      <c r="Q3850" t="s">
        <v>39827</v>
      </c>
      <c r="R3850" t="s">
        <v>37663</v>
      </c>
      <c r="S3850" t="s">
        <v>39828</v>
      </c>
      <c r="T3850" t="s">
        <v>30</v>
      </c>
      <c r="U3850" t="s">
        <v>46</v>
      </c>
      <c r="W3850" t="s">
        <v>28347</v>
      </c>
    </row>
    <row r="3851" spans="1:23" x14ac:dyDescent="0.35">
      <c r="A3851">
        <v>874261</v>
      </c>
      <c r="B3851" t="s">
        <v>39829</v>
      </c>
      <c r="C3851" t="str">
        <f>"9788323329008"</f>
        <v>9788323329008</v>
      </c>
      <c r="D3851" t="str">
        <f>"9788323382782"</f>
        <v>9788323382782</v>
      </c>
      <c r="E3851" t="s">
        <v>39830</v>
      </c>
      <c r="F3851" t="s">
        <v>39830</v>
      </c>
      <c r="G3851" t="s">
        <v>24968</v>
      </c>
      <c r="H3851" t="s">
        <v>39831</v>
      </c>
      <c r="I3851" s="26">
        <v>40467</v>
      </c>
      <c r="J3851">
        <v>2010</v>
      </c>
      <c r="K3851" t="s">
        <v>39830</v>
      </c>
      <c r="L3851">
        <v>208</v>
      </c>
      <c r="M3851" t="s">
        <v>39832</v>
      </c>
      <c r="N3851">
        <v>1</v>
      </c>
      <c r="Q3851" t="s">
        <v>39833</v>
      </c>
      <c r="R3851" t="s">
        <v>39834</v>
      </c>
      <c r="S3851" t="s">
        <v>39835</v>
      </c>
      <c r="T3851" t="s">
        <v>190</v>
      </c>
      <c r="U3851" t="s">
        <v>11247</v>
      </c>
      <c r="W3851" t="s">
        <v>26009</v>
      </c>
    </row>
    <row r="3852" spans="1:23" x14ac:dyDescent="0.35">
      <c r="A3852">
        <v>877025</v>
      </c>
      <c r="B3852" t="s">
        <v>39836</v>
      </c>
      <c r="C3852" t="str">
        <f>"9781608056170"</f>
        <v>9781608056170</v>
      </c>
      <c r="D3852" t="str">
        <f>"9781608053391"</f>
        <v>9781608053391</v>
      </c>
      <c r="E3852" t="s">
        <v>9105</v>
      </c>
      <c r="F3852" t="s">
        <v>9105</v>
      </c>
      <c r="G3852" t="s">
        <v>23355</v>
      </c>
      <c r="H3852" t="s">
        <v>39644</v>
      </c>
      <c r="I3852" s="26">
        <v>40940</v>
      </c>
      <c r="J3852">
        <v>2012</v>
      </c>
      <c r="K3852" t="s">
        <v>9105</v>
      </c>
      <c r="L3852">
        <v>247</v>
      </c>
      <c r="M3852" t="s">
        <v>39837</v>
      </c>
      <c r="N3852">
        <v>1</v>
      </c>
      <c r="Q3852" t="s">
        <v>39838</v>
      </c>
      <c r="R3852" t="s">
        <v>39839</v>
      </c>
      <c r="S3852" t="s">
        <v>39840</v>
      </c>
      <c r="T3852" t="s">
        <v>30</v>
      </c>
      <c r="U3852" t="s">
        <v>26170</v>
      </c>
      <c r="W3852" t="s">
        <v>26009</v>
      </c>
    </row>
    <row r="3853" spans="1:23" x14ac:dyDescent="0.35">
      <c r="A3853">
        <v>877105</v>
      </c>
      <c r="B3853" t="s">
        <v>9496</v>
      </c>
      <c r="C3853" t="str">
        <f>"9780826108722"</f>
        <v>9780826108722</v>
      </c>
      <c r="D3853" t="str">
        <f>"9780826108739"</f>
        <v>9780826108739</v>
      </c>
      <c r="E3853" t="s">
        <v>1504</v>
      </c>
      <c r="F3853" t="s">
        <v>33</v>
      </c>
      <c r="G3853" t="s">
        <v>22179</v>
      </c>
      <c r="H3853" t="s">
        <v>26004</v>
      </c>
      <c r="I3853" s="26">
        <v>40940</v>
      </c>
      <c r="J3853">
        <v>2012</v>
      </c>
      <c r="K3853" t="s">
        <v>33</v>
      </c>
      <c r="L3853">
        <v>257</v>
      </c>
      <c r="M3853" t="s">
        <v>39841</v>
      </c>
      <c r="N3853">
        <v>1</v>
      </c>
      <c r="Q3853" t="s">
        <v>39842</v>
      </c>
      <c r="S3853" t="s">
        <v>39843</v>
      </c>
      <c r="T3853" t="s">
        <v>30</v>
      </c>
      <c r="U3853" t="s">
        <v>46</v>
      </c>
      <c r="W3853" t="s">
        <v>26009</v>
      </c>
    </row>
    <row r="3854" spans="1:23" x14ac:dyDescent="0.35">
      <c r="A3854">
        <v>878270</v>
      </c>
      <c r="B3854" t="s">
        <v>39844</v>
      </c>
      <c r="C3854" t="str">
        <f>"9781442213715"</f>
        <v>9781442213715</v>
      </c>
      <c r="D3854" t="str">
        <f>"9781442213722"</f>
        <v>9781442213722</v>
      </c>
      <c r="E3854" t="s">
        <v>39098</v>
      </c>
      <c r="F3854" t="s">
        <v>38</v>
      </c>
      <c r="G3854" t="s">
        <v>34328</v>
      </c>
      <c r="H3854" t="s">
        <v>26004</v>
      </c>
      <c r="I3854" s="26">
        <v>40976</v>
      </c>
      <c r="J3854">
        <v>2012</v>
      </c>
      <c r="K3854" t="s">
        <v>38</v>
      </c>
      <c r="L3854">
        <v>127</v>
      </c>
      <c r="M3854" t="s">
        <v>39845</v>
      </c>
      <c r="N3854">
        <v>1</v>
      </c>
      <c r="Q3854" t="s">
        <v>39846</v>
      </c>
      <c r="R3854">
        <v>303.60834999999997</v>
      </c>
      <c r="S3854" t="s">
        <v>39847</v>
      </c>
      <c r="T3854" t="s">
        <v>30</v>
      </c>
      <c r="U3854" t="s">
        <v>26044</v>
      </c>
      <c r="W3854" t="s">
        <v>26009</v>
      </c>
    </row>
    <row r="3855" spans="1:23" x14ac:dyDescent="0.35">
      <c r="A3855">
        <v>878306</v>
      </c>
      <c r="B3855" t="s">
        <v>39848</v>
      </c>
      <c r="C3855" t="str">
        <f>"9780691133010"</f>
        <v>9780691133010</v>
      </c>
      <c r="D3855" t="str">
        <f>"9781400841608"</f>
        <v>9781400841608</v>
      </c>
      <c r="E3855" t="s">
        <v>33468</v>
      </c>
      <c r="F3855" t="s">
        <v>7517</v>
      </c>
      <c r="G3855" t="s">
        <v>23592</v>
      </c>
      <c r="H3855" t="s">
        <v>26004</v>
      </c>
      <c r="I3855" s="26">
        <v>41028</v>
      </c>
      <c r="J3855">
        <v>2012</v>
      </c>
      <c r="K3855" t="s">
        <v>7517</v>
      </c>
      <c r="L3855">
        <v>163</v>
      </c>
      <c r="M3855" t="s">
        <v>39849</v>
      </c>
      <c r="N3855">
        <v>1</v>
      </c>
      <c r="R3855">
        <v>306.709</v>
      </c>
      <c r="T3855" t="s">
        <v>30</v>
      </c>
      <c r="U3855" t="s">
        <v>26044</v>
      </c>
      <c r="W3855" t="s">
        <v>28347</v>
      </c>
    </row>
    <row r="3856" spans="1:23" x14ac:dyDescent="0.35">
      <c r="A3856">
        <v>878528</v>
      </c>
      <c r="B3856" t="s">
        <v>39850</v>
      </c>
      <c r="C3856" t="str">
        <f>"9781780490427"</f>
        <v>9781780490427</v>
      </c>
      <c r="D3856" t="str">
        <f>"9781849409704"</f>
        <v>9781849409704</v>
      </c>
      <c r="E3856" t="s">
        <v>26010</v>
      </c>
      <c r="F3856" t="s">
        <v>35</v>
      </c>
      <c r="G3856" t="s">
        <v>22174</v>
      </c>
      <c r="H3856" t="s">
        <v>26011</v>
      </c>
      <c r="I3856" s="26">
        <v>41274</v>
      </c>
      <c r="J3856">
        <v>2012</v>
      </c>
      <c r="K3856" t="s">
        <v>26012</v>
      </c>
      <c r="L3856">
        <v>269</v>
      </c>
      <c r="M3856" t="s">
        <v>39851</v>
      </c>
      <c r="N3856">
        <v>1</v>
      </c>
      <c r="Q3856" t="s">
        <v>39852</v>
      </c>
      <c r="R3856">
        <v>616.89139999999998</v>
      </c>
      <c r="S3856" t="s">
        <v>39853</v>
      </c>
      <c r="T3856" t="s">
        <v>30</v>
      </c>
      <c r="U3856" t="s">
        <v>26019</v>
      </c>
      <c r="W3856" t="s">
        <v>26009</v>
      </c>
    </row>
    <row r="3857" spans="1:23" x14ac:dyDescent="0.35">
      <c r="A3857">
        <v>878529</v>
      </c>
      <c r="B3857" t="s">
        <v>39854</v>
      </c>
      <c r="C3857" t="str">
        <f>"9781780490175"</f>
        <v>9781780490175</v>
      </c>
      <c r="D3857" t="str">
        <f>"9781849409711"</f>
        <v>9781849409711</v>
      </c>
      <c r="E3857" t="s">
        <v>26010</v>
      </c>
      <c r="F3857" t="s">
        <v>35</v>
      </c>
      <c r="G3857" t="s">
        <v>22174</v>
      </c>
      <c r="H3857" t="s">
        <v>26011</v>
      </c>
      <c r="I3857" s="26">
        <v>41274</v>
      </c>
      <c r="J3857">
        <v>2012</v>
      </c>
      <c r="K3857" t="s">
        <v>26012</v>
      </c>
      <c r="L3857">
        <v>129</v>
      </c>
      <c r="M3857" t="s">
        <v>36675</v>
      </c>
      <c r="N3857">
        <v>1</v>
      </c>
      <c r="Q3857" t="s">
        <v>39855</v>
      </c>
      <c r="R3857">
        <v>155.4</v>
      </c>
      <c r="S3857" t="s">
        <v>39856</v>
      </c>
      <c r="T3857" t="s">
        <v>30</v>
      </c>
      <c r="U3857" t="s">
        <v>36091</v>
      </c>
      <c r="W3857" t="s">
        <v>26009</v>
      </c>
    </row>
    <row r="3858" spans="1:23" x14ac:dyDescent="0.35">
      <c r="A3858">
        <v>879493</v>
      </c>
      <c r="B3858" t="s">
        <v>39857</v>
      </c>
      <c r="C3858" t="str">
        <f>"9781845402389"</f>
        <v>9781845402389</v>
      </c>
      <c r="D3858" t="str">
        <f>"9781845403676"</f>
        <v>9781845403676</v>
      </c>
      <c r="E3858" t="s">
        <v>39189</v>
      </c>
      <c r="F3858" t="s">
        <v>8703</v>
      </c>
      <c r="G3858" t="s">
        <v>39437</v>
      </c>
      <c r="H3858" t="s">
        <v>26011</v>
      </c>
      <c r="I3858" s="26">
        <v>40624</v>
      </c>
      <c r="J3858">
        <v>2012</v>
      </c>
      <c r="K3858" t="s">
        <v>39191</v>
      </c>
      <c r="L3858">
        <v>342</v>
      </c>
      <c r="M3858" t="s">
        <v>39858</v>
      </c>
      <c r="N3858">
        <v>1</v>
      </c>
      <c r="Q3858" t="s">
        <v>39859</v>
      </c>
      <c r="R3858">
        <v>701.15</v>
      </c>
      <c r="S3858" t="s">
        <v>39860</v>
      </c>
      <c r="T3858" t="s">
        <v>30</v>
      </c>
      <c r="U3858" t="s">
        <v>27699</v>
      </c>
      <c r="W3858" t="s">
        <v>26009</v>
      </c>
    </row>
    <row r="3859" spans="1:23" x14ac:dyDescent="0.35">
      <c r="A3859">
        <v>879863</v>
      </c>
      <c r="B3859" t="s">
        <v>39861</v>
      </c>
      <c r="C3859" t="str">
        <f>"9781780490533"</f>
        <v>9781780490533</v>
      </c>
      <c r="D3859" t="str">
        <f>"9781849409667"</f>
        <v>9781849409667</v>
      </c>
      <c r="E3859" t="s">
        <v>26010</v>
      </c>
      <c r="F3859" t="s">
        <v>35</v>
      </c>
      <c r="G3859" t="s">
        <v>22174</v>
      </c>
      <c r="H3859" t="s">
        <v>26011</v>
      </c>
      <c r="I3859" s="26">
        <v>41274</v>
      </c>
      <c r="J3859">
        <v>2012</v>
      </c>
      <c r="K3859" t="s">
        <v>26012</v>
      </c>
      <c r="L3859">
        <v>289</v>
      </c>
      <c r="M3859" t="s">
        <v>39862</v>
      </c>
      <c r="N3859">
        <v>1</v>
      </c>
      <c r="O3859" t="s">
        <v>37129</v>
      </c>
      <c r="P3859">
        <v>4</v>
      </c>
      <c r="Q3859" t="s">
        <v>39863</v>
      </c>
      <c r="R3859">
        <v>150.1952</v>
      </c>
      <c r="S3859" t="s">
        <v>39864</v>
      </c>
      <c r="T3859" t="s">
        <v>30</v>
      </c>
      <c r="U3859" t="s">
        <v>38406</v>
      </c>
      <c r="W3859" t="s">
        <v>26009</v>
      </c>
    </row>
    <row r="3860" spans="1:23" x14ac:dyDescent="0.35">
      <c r="A3860">
        <v>879864</v>
      </c>
      <c r="B3860" t="s">
        <v>39865</v>
      </c>
      <c r="C3860" t="str">
        <f>"9781780490502"</f>
        <v>9781780490502</v>
      </c>
      <c r="D3860" t="str">
        <f>"9781849409643"</f>
        <v>9781849409643</v>
      </c>
      <c r="E3860" t="s">
        <v>26010</v>
      </c>
      <c r="F3860" t="s">
        <v>35</v>
      </c>
      <c r="G3860" t="s">
        <v>22174</v>
      </c>
      <c r="H3860" t="s">
        <v>26011</v>
      </c>
      <c r="I3860" s="26">
        <v>41274</v>
      </c>
      <c r="J3860">
        <v>2012</v>
      </c>
      <c r="K3860" t="s">
        <v>26012</v>
      </c>
      <c r="L3860">
        <v>337</v>
      </c>
      <c r="M3860" t="s">
        <v>39866</v>
      </c>
      <c r="N3860">
        <v>1</v>
      </c>
      <c r="O3860" t="s">
        <v>36547</v>
      </c>
      <c r="P3860">
        <v>6</v>
      </c>
      <c r="Q3860" t="s">
        <v>39867</v>
      </c>
      <c r="R3860">
        <v>154.63</v>
      </c>
      <c r="S3860" t="s">
        <v>39868</v>
      </c>
      <c r="T3860" t="s">
        <v>30</v>
      </c>
      <c r="U3860" t="s">
        <v>46</v>
      </c>
      <c r="W3860" t="s">
        <v>26009</v>
      </c>
    </row>
    <row r="3861" spans="1:23" x14ac:dyDescent="0.35">
      <c r="A3861">
        <v>879954</v>
      </c>
      <c r="B3861" t="s">
        <v>39869</v>
      </c>
      <c r="C3861" t="str">
        <f>"9781780491080"</f>
        <v>9781780491080</v>
      </c>
      <c r="D3861" t="str">
        <f>"9781849409582"</f>
        <v>9781849409582</v>
      </c>
      <c r="E3861" t="s">
        <v>26010</v>
      </c>
      <c r="F3861" t="s">
        <v>35</v>
      </c>
      <c r="G3861" t="s">
        <v>22174</v>
      </c>
      <c r="H3861" t="s">
        <v>26011</v>
      </c>
      <c r="I3861" s="26">
        <v>41274</v>
      </c>
      <c r="J3861">
        <v>1991</v>
      </c>
      <c r="K3861" t="s">
        <v>26012</v>
      </c>
      <c r="L3861">
        <v>257</v>
      </c>
      <c r="M3861" t="s">
        <v>39870</v>
      </c>
      <c r="N3861">
        <v>1</v>
      </c>
      <c r="O3861" t="s">
        <v>39871</v>
      </c>
      <c r="P3861">
        <v>13</v>
      </c>
      <c r="Q3861" t="s">
        <v>39872</v>
      </c>
      <c r="R3861">
        <v>616.85850000000005</v>
      </c>
      <c r="S3861" t="s">
        <v>39873</v>
      </c>
      <c r="T3861" t="s">
        <v>30</v>
      </c>
      <c r="U3861" t="s">
        <v>26019</v>
      </c>
      <c r="W3861" t="s">
        <v>26009</v>
      </c>
    </row>
    <row r="3862" spans="1:23" x14ac:dyDescent="0.35">
      <c r="A3862">
        <v>880087</v>
      </c>
      <c r="B3862" t="s">
        <v>39874</v>
      </c>
      <c r="C3862" t="str">
        <f>"9780807856901"</f>
        <v>9780807856901</v>
      </c>
      <c r="D3862" t="str">
        <f>"9780807877074"</f>
        <v>9780807877074</v>
      </c>
      <c r="E3862" t="s">
        <v>31948</v>
      </c>
      <c r="F3862" t="s">
        <v>2866</v>
      </c>
      <c r="G3862" t="s">
        <v>23742</v>
      </c>
      <c r="H3862" t="s">
        <v>26004</v>
      </c>
      <c r="I3862" s="26">
        <v>38913</v>
      </c>
      <c r="J3862">
        <v>2006</v>
      </c>
      <c r="K3862" t="s">
        <v>2866</v>
      </c>
      <c r="L3862">
        <v>342</v>
      </c>
      <c r="M3862" t="s">
        <v>39875</v>
      </c>
      <c r="N3862">
        <v>1</v>
      </c>
      <c r="Q3862" t="s">
        <v>39876</v>
      </c>
      <c r="R3862" t="s">
        <v>39877</v>
      </c>
      <c r="S3862" t="s">
        <v>39878</v>
      </c>
      <c r="T3862" t="s">
        <v>30</v>
      </c>
      <c r="U3862" t="s">
        <v>26044</v>
      </c>
      <c r="W3862" t="s">
        <v>26009</v>
      </c>
    </row>
    <row r="3863" spans="1:23" x14ac:dyDescent="0.35">
      <c r="A3863">
        <v>880235</v>
      </c>
      <c r="B3863" t="s">
        <v>39879</v>
      </c>
      <c r="C3863" t="str">
        <f>"9780807826539"</f>
        <v>9780807826539</v>
      </c>
      <c r="D3863" t="str">
        <f>"9780807898956"</f>
        <v>9780807898956</v>
      </c>
      <c r="E3863" t="s">
        <v>31948</v>
      </c>
      <c r="F3863" t="s">
        <v>7733</v>
      </c>
      <c r="G3863" t="s">
        <v>23742</v>
      </c>
      <c r="H3863" t="s">
        <v>26004</v>
      </c>
      <c r="I3863" s="26">
        <v>37193</v>
      </c>
      <c r="J3863">
        <v>2001</v>
      </c>
      <c r="K3863" t="s">
        <v>7733</v>
      </c>
      <c r="L3863">
        <v>267</v>
      </c>
      <c r="M3863" t="s">
        <v>39880</v>
      </c>
      <c r="N3863">
        <v>1</v>
      </c>
      <c r="Q3863" t="s">
        <v>39881</v>
      </c>
      <c r="R3863" t="s">
        <v>39882</v>
      </c>
      <c r="S3863" t="s">
        <v>39883</v>
      </c>
      <c r="T3863" t="s">
        <v>30</v>
      </c>
      <c r="U3863" t="s">
        <v>26044</v>
      </c>
      <c r="W3863" t="s">
        <v>26009</v>
      </c>
    </row>
    <row r="3864" spans="1:23" x14ac:dyDescent="0.35">
      <c r="A3864">
        <v>880381</v>
      </c>
      <c r="B3864" t="s">
        <v>39884</v>
      </c>
      <c r="C3864" t="str">
        <f>"9780807830161"</f>
        <v>9780807830161</v>
      </c>
      <c r="D3864" t="str">
        <f>"9780807877234"</f>
        <v>9780807877234</v>
      </c>
      <c r="E3864" t="s">
        <v>31948</v>
      </c>
      <c r="F3864" t="s">
        <v>2866</v>
      </c>
      <c r="G3864" t="s">
        <v>23742</v>
      </c>
      <c r="H3864" t="s">
        <v>26004</v>
      </c>
      <c r="I3864" s="26">
        <v>38852</v>
      </c>
      <c r="J3864">
        <v>2006</v>
      </c>
      <c r="K3864" t="s">
        <v>2866</v>
      </c>
      <c r="L3864">
        <v>276</v>
      </c>
      <c r="M3864" t="s">
        <v>39885</v>
      </c>
      <c r="N3864">
        <v>1</v>
      </c>
      <c r="Q3864" t="s">
        <v>39886</v>
      </c>
      <c r="R3864" t="s">
        <v>39887</v>
      </c>
      <c r="S3864" t="s">
        <v>39888</v>
      </c>
      <c r="T3864" t="s">
        <v>30</v>
      </c>
      <c r="U3864" t="s">
        <v>30342</v>
      </c>
      <c r="W3864" t="s">
        <v>26009</v>
      </c>
    </row>
    <row r="3865" spans="1:23" x14ac:dyDescent="0.35">
      <c r="A3865">
        <v>880721</v>
      </c>
      <c r="B3865" t="s">
        <v>39889</v>
      </c>
      <c r="C3865" t="str">
        <f>"9781107007222"</f>
        <v>9781107007222</v>
      </c>
      <c r="D3865" t="str">
        <f>"9781139375535"</f>
        <v>9781139375535</v>
      </c>
      <c r="E3865" t="s">
        <v>167</v>
      </c>
      <c r="F3865" t="s">
        <v>167</v>
      </c>
      <c r="G3865" t="s">
        <v>22218</v>
      </c>
      <c r="H3865" t="s">
        <v>26011</v>
      </c>
      <c r="I3865" s="26">
        <v>41004</v>
      </c>
      <c r="J3865">
        <v>2012</v>
      </c>
      <c r="K3865" t="s">
        <v>167</v>
      </c>
      <c r="L3865">
        <v>472</v>
      </c>
      <c r="M3865" t="s">
        <v>39890</v>
      </c>
      <c r="N3865">
        <v>1</v>
      </c>
      <c r="Q3865" t="s">
        <v>39891</v>
      </c>
      <c r="R3865">
        <v>616.89</v>
      </c>
      <c r="S3865" t="s">
        <v>39892</v>
      </c>
      <c r="T3865" t="s">
        <v>30</v>
      </c>
      <c r="U3865" t="s">
        <v>26019</v>
      </c>
      <c r="W3865" t="s">
        <v>26020</v>
      </c>
    </row>
    <row r="3866" spans="1:23" x14ac:dyDescent="0.35">
      <c r="A3866">
        <v>881526</v>
      </c>
      <c r="B3866" t="s">
        <v>39893</v>
      </c>
      <c r="C3866" t="str">
        <f>"9781442214569"</f>
        <v>9781442214569</v>
      </c>
      <c r="D3866" t="str">
        <f>"9781442214583"</f>
        <v>9781442214583</v>
      </c>
      <c r="E3866" t="s">
        <v>33803</v>
      </c>
      <c r="F3866" t="s">
        <v>38</v>
      </c>
      <c r="G3866" t="s">
        <v>33804</v>
      </c>
      <c r="H3866" t="s">
        <v>26004</v>
      </c>
      <c r="I3866" s="26">
        <v>40990</v>
      </c>
      <c r="J3866">
        <v>2012</v>
      </c>
      <c r="K3866" t="s">
        <v>38</v>
      </c>
      <c r="L3866">
        <v>170</v>
      </c>
      <c r="M3866" t="s">
        <v>39894</v>
      </c>
      <c r="N3866">
        <v>1</v>
      </c>
      <c r="Q3866" t="s">
        <v>39895</v>
      </c>
      <c r="R3866">
        <v>618.29</v>
      </c>
      <c r="S3866" t="s">
        <v>39896</v>
      </c>
      <c r="T3866" t="s">
        <v>30</v>
      </c>
      <c r="U3866" t="s">
        <v>26040</v>
      </c>
      <c r="W3866" t="s">
        <v>26009</v>
      </c>
    </row>
    <row r="3867" spans="1:23" x14ac:dyDescent="0.35">
      <c r="A3867">
        <v>881529</v>
      </c>
      <c r="B3867" t="s">
        <v>39897</v>
      </c>
      <c r="C3867" t="str">
        <f>"9781442213913"</f>
        <v>9781442213913</v>
      </c>
      <c r="D3867" t="str">
        <f>"9781442213920"</f>
        <v>9781442213920</v>
      </c>
      <c r="E3867" t="s">
        <v>33803</v>
      </c>
      <c r="F3867" t="s">
        <v>38</v>
      </c>
      <c r="G3867" t="s">
        <v>33804</v>
      </c>
      <c r="H3867" t="s">
        <v>26004</v>
      </c>
      <c r="I3867" s="26">
        <v>40991</v>
      </c>
      <c r="J3867">
        <v>2011</v>
      </c>
      <c r="K3867" t="s">
        <v>38</v>
      </c>
      <c r="L3867">
        <v>503</v>
      </c>
      <c r="M3867" t="s">
        <v>39898</v>
      </c>
      <c r="N3867">
        <v>1</v>
      </c>
      <c r="Q3867" t="s">
        <v>39899</v>
      </c>
      <c r="R3867">
        <v>133.80000000000001</v>
      </c>
      <c r="S3867" t="s">
        <v>39900</v>
      </c>
      <c r="T3867" t="s">
        <v>30</v>
      </c>
      <c r="U3867" t="s">
        <v>152</v>
      </c>
      <c r="W3867" t="s">
        <v>26009</v>
      </c>
    </row>
    <row r="3868" spans="1:23" x14ac:dyDescent="0.35">
      <c r="A3868">
        <v>881952</v>
      </c>
      <c r="B3868" t="s">
        <v>7789</v>
      </c>
      <c r="C3868" t="str">
        <f>"9781447301042"</f>
        <v>9781447301042</v>
      </c>
      <c r="D3868" t="str">
        <f>"9781447301059"</f>
        <v>9781447301059</v>
      </c>
      <c r="E3868" t="s">
        <v>4632</v>
      </c>
      <c r="F3868" t="s">
        <v>4632</v>
      </c>
      <c r="G3868" t="s">
        <v>24532</v>
      </c>
      <c r="H3868" t="s">
        <v>26011</v>
      </c>
      <c r="I3868" s="26">
        <v>41000</v>
      </c>
      <c r="J3868">
        <v>2012</v>
      </c>
      <c r="K3868" t="s">
        <v>4632</v>
      </c>
      <c r="L3868">
        <v>254</v>
      </c>
      <c r="M3868" t="s">
        <v>39901</v>
      </c>
      <c r="N3868">
        <v>1</v>
      </c>
      <c r="Q3868" t="s">
        <v>39902</v>
      </c>
      <c r="R3868">
        <v>305.23509410000003</v>
      </c>
      <c r="T3868" t="s">
        <v>30</v>
      </c>
      <c r="U3868" t="s">
        <v>26044</v>
      </c>
      <c r="W3868" t="s">
        <v>26009</v>
      </c>
    </row>
    <row r="3869" spans="1:23" x14ac:dyDescent="0.35">
      <c r="A3869">
        <v>882690</v>
      </c>
      <c r="B3869" t="s">
        <v>39903</v>
      </c>
      <c r="C3869" t="str">
        <f>"9781780490069"</f>
        <v>9781780490069</v>
      </c>
      <c r="D3869" t="str">
        <f>"9781849409728"</f>
        <v>9781849409728</v>
      </c>
      <c r="E3869" t="s">
        <v>26010</v>
      </c>
      <c r="F3869" t="s">
        <v>35</v>
      </c>
      <c r="G3869" t="s">
        <v>22174</v>
      </c>
      <c r="H3869" t="s">
        <v>26011</v>
      </c>
      <c r="I3869" s="26">
        <v>41274</v>
      </c>
      <c r="J3869">
        <v>2012</v>
      </c>
      <c r="K3869" t="s">
        <v>26012</v>
      </c>
      <c r="L3869">
        <v>289</v>
      </c>
      <c r="M3869" t="s">
        <v>33626</v>
      </c>
      <c r="N3869">
        <v>1</v>
      </c>
      <c r="O3869" t="s">
        <v>36500</v>
      </c>
      <c r="P3869">
        <v>34</v>
      </c>
      <c r="Q3869" t="s">
        <v>39904</v>
      </c>
      <c r="R3869">
        <v>616.89149999999995</v>
      </c>
      <c r="S3869" t="s">
        <v>33635</v>
      </c>
      <c r="T3869" t="s">
        <v>30</v>
      </c>
      <c r="U3869" t="s">
        <v>26019</v>
      </c>
      <c r="W3869" t="s">
        <v>26009</v>
      </c>
    </row>
    <row r="3870" spans="1:23" x14ac:dyDescent="0.35">
      <c r="A3870">
        <v>882691</v>
      </c>
      <c r="B3870" t="s">
        <v>39905</v>
      </c>
      <c r="C3870" t="str">
        <f>"9781855757721"</f>
        <v>9781855757721</v>
      </c>
      <c r="D3870" t="str">
        <f>"9781849409735"</f>
        <v>9781849409735</v>
      </c>
      <c r="E3870" t="s">
        <v>26010</v>
      </c>
      <c r="F3870" t="s">
        <v>35</v>
      </c>
      <c r="G3870" t="s">
        <v>22174</v>
      </c>
      <c r="H3870" t="s">
        <v>26011</v>
      </c>
      <c r="I3870" s="26">
        <v>41274</v>
      </c>
      <c r="J3870">
        <v>2012</v>
      </c>
      <c r="K3870" t="s">
        <v>26012</v>
      </c>
      <c r="L3870">
        <v>239</v>
      </c>
      <c r="M3870" t="s">
        <v>39906</v>
      </c>
      <c r="N3870">
        <v>1</v>
      </c>
      <c r="O3870" t="s">
        <v>36539</v>
      </c>
      <c r="P3870">
        <v>7</v>
      </c>
      <c r="Q3870" t="s">
        <v>39907</v>
      </c>
      <c r="R3870">
        <v>150.19499999999999</v>
      </c>
      <c r="S3870" t="s">
        <v>39908</v>
      </c>
      <c r="T3870" t="s">
        <v>30</v>
      </c>
      <c r="U3870" t="s">
        <v>26228</v>
      </c>
      <c r="W3870" t="s">
        <v>26009</v>
      </c>
    </row>
    <row r="3871" spans="1:23" x14ac:dyDescent="0.35">
      <c r="A3871">
        <v>886238</v>
      </c>
      <c r="B3871" t="s">
        <v>8656</v>
      </c>
      <c r="C3871" t="str">
        <f>"9780123695192"</f>
        <v>9780123695192</v>
      </c>
      <c r="D3871" t="str">
        <f>"9780080575490"</f>
        <v>9780080575490</v>
      </c>
      <c r="E3871" t="s">
        <v>27482</v>
      </c>
      <c r="F3871" t="s">
        <v>7447</v>
      </c>
      <c r="G3871" t="s">
        <v>22689</v>
      </c>
      <c r="H3871" t="s">
        <v>26004</v>
      </c>
      <c r="I3871" s="26">
        <v>38588</v>
      </c>
      <c r="J3871">
        <v>2000</v>
      </c>
      <c r="K3871" t="s">
        <v>946</v>
      </c>
      <c r="L3871">
        <v>814</v>
      </c>
      <c r="M3871" t="s">
        <v>39909</v>
      </c>
      <c r="N3871">
        <v>1</v>
      </c>
      <c r="Q3871" t="s">
        <v>39910</v>
      </c>
      <c r="R3871" t="s">
        <v>26420</v>
      </c>
      <c r="S3871" t="s">
        <v>7720</v>
      </c>
      <c r="T3871" t="s">
        <v>30</v>
      </c>
      <c r="U3871" t="s">
        <v>46</v>
      </c>
      <c r="W3871" t="s">
        <v>26009</v>
      </c>
    </row>
    <row r="3872" spans="1:23" x14ac:dyDescent="0.35">
      <c r="A3872">
        <v>886582</v>
      </c>
      <c r="B3872" t="s">
        <v>28956</v>
      </c>
      <c r="C3872" t="str">
        <f>"9780199737574"</f>
        <v>9780199737574</v>
      </c>
      <c r="D3872" t="str">
        <f>"9780199838202"</f>
        <v>9780199838202</v>
      </c>
      <c r="E3872" t="s">
        <v>371</v>
      </c>
      <c r="F3872" t="s">
        <v>31</v>
      </c>
      <c r="G3872" t="s">
        <v>22179</v>
      </c>
      <c r="H3872" t="s">
        <v>26004</v>
      </c>
      <c r="I3872" s="26">
        <v>40920</v>
      </c>
      <c r="J3872">
        <v>2012</v>
      </c>
      <c r="K3872" t="s">
        <v>31</v>
      </c>
      <c r="L3872">
        <v>568</v>
      </c>
      <c r="M3872" t="s">
        <v>31518</v>
      </c>
      <c r="N3872">
        <v>2</v>
      </c>
      <c r="Q3872" t="s">
        <v>39911</v>
      </c>
      <c r="R3872" t="s">
        <v>27492</v>
      </c>
      <c r="S3872" t="s">
        <v>7724</v>
      </c>
      <c r="T3872" t="s">
        <v>30</v>
      </c>
      <c r="U3872" t="s">
        <v>46</v>
      </c>
      <c r="W3872" t="s">
        <v>26009</v>
      </c>
    </row>
    <row r="3873" spans="1:23" x14ac:dyDescent="0.35">
      <c r="A3873">
        <v>886777</v>
      </c>
      <c r="B3873" t="s">
        <v>39912</v>
      </c>
      <c r="C3873" t="str">
        <f>"9781462504831"</f>
        <v>9781462504831</v>
      </c>
      <c r="D3873" t="str">
        <f>"9781462505005"</f>
        <v>9781462505005</v>
      </c>
      <c r="E3873" t="s">
        <v>30112</v>
      </c>
      <c r="F3873" t="s">
        <v>7420</v>
      </c>
      <c r="G3873" t="s">
        <v>22179</v>
      </c>
      <c r="H3873" t="s">
        <v>26004</v>
      </c>
      <c r="I3873" s="26">
        <v>41002</v>
      </c>
      <c r="J3873">
        <v>2012</v>
      </c>
      <c r="K3873" t="s">
        <v>30113</v>
      </c>
      <c r="L3873">
        <v>399</v>
      </c>
      <c r="M3873" t="s">
        <v>39913</v>
      </c>
      <c r="N3873">
        <v>2</v>
      </c>
      <c r="Q3873" t="s">
        <v>39914</v>
      </c>
      <c r="R3873" t="s">
        <v>29630</v>
      </c>
      <c r="S3873" t="s">
        <v>10105</v>
      </c>
      <c r="T3873" t="s">
        <v>30</v>
      </c>
      <c r="U3873" t="s">
        <v>26019</v>
      </c>
      <c r="W3873" t="s">
        <v>28347</v>
      </c>
    </row>
    <row r="3874" spans="1:23" x14ac:dyDescent="0.35">
      <c r="A3874">
        <v>886813</v>
      </c>
      <c r="B3874" t="s">
        <v>39915</v>
      </c>
      <c r="C3874" t="str">
        <f>"9780765709257"</f>
        <v>9780765709257</v>
      </c>
      <c r="D3874" t="str">
        <f>"9780765709264"</f>
        <v>9780765709264</v>
      </c>
      <c r="E3874" t="s">
        <v>33803</v>
      </c>
      <c r="F3874" t="s">
        <v>38</v>
      </c>
      <c r="G3874" t="s">
        <v>34138</v>
      </c>
      <c r="H3874" t="s">
        <v>26004</v>
      </c>
      <c r="I3874" s="26">
        <v>40983</v>
      </c>
      <c r="J3874">
        <v>2012</v>
      </c>
      <c r="K3874" t="s">
        <v>33811</v>
      </c>
      <c r="L3874">
        <v>152</v>
      </c>
      <c r="M3874" t="s">
        <v>39916</v>
      </c>
      <c r="N3874">
        <v>1</v>
      </c>
      <c r="Q3874" t="s">
        <v>39917</v>
      </c>
      <c r="R3874" t="s">
        <v>33676</v>
      </c>
      <c r="S3874" t="s">
        <v>39918</v>
      </c>
      <c r="T3874" t="s">
        <v>30</v>
      </c>
      <c r="U3874" t="s">
        <v>28629</v>
      </c>
      <c r="W3874" t="s">
        <v>26009</v>
      </c>
    </row>
    <row r="3875" spans="1:23" x14ac:dyDescent="0.35">
      <c r="A3875">
        <v>887137</v>
      </c>
      <c r="B3875" t="s">
        <v>9403</v>
      </c>
      <c r="C3875" t="str">
        <f>"9783110255225"</f>
        <v>9783110255225</v>
      </c>
      <c r="D3875" t="str">
        <f>"9783110255706"</f>
        <v>9783110255706</v>
      </c>
      <c r="E3875" t="s">
        <v>30630</v>
      </c>
      <c r="F3875" t="s">
        <v>7451</v>
      </c>
      <c r="G3875" t="s">
        <v>30631</v>
      </c>
      <c r="H3875" t="s">
        <v>30632</v>
      </c>
      <c r="I3875" s="26">
        <v>40983</v>
      </c>
      <c r="J3875">
        <v>2012</v>
      </c>
      <c r="K3875" t="s">
        <v>7451</v>
      </c>
      <c r="L3875">
        <v>444</v>
      </c>
      <c r="M3875" t="s">
        <v>39919</v>
      </c>
      <c r="N3875">
        <v>1</v>
      </c>
      <c r="O3875" t="s">
        <v>39169</v>
      </c>
      <c r="Q3875" t="s">
        <v>39920</v>
      </c>
      <c r="S3875" t="s">
        <v>39921</v>
      </c>
      <c r="T3875" t="s">
        <v>30</v>
      </c>
      <c r="U3875" t="s">
        <v>26040</v>
      </c>
      <c r="W3875" t="s">
        <v>26009</v>
      </c>
    </row>
    <row r="3876" spans="1:23" x14ac:dyDescent="0.35">
      <c r="A3876">
        <v>887152</v>
      </c>
      <c r="B3876" t="s">
        <v>9404</v>
      </c>
      <c r="C3876" t="str">
        <f>"9783110275803"</f>
        <v>9783110275803</v>
      </c>
      <c r="D3876" t="str">
        <f>"9783110276367"</f>
        <v>9783110276367</v>
      </c>
      <c r="E3876" t="s">
        <v>30630</v>
      </c>
      <c r="F3876" t="s">
        <v>7451</v>
      </c>
      <c r="G3876" t="s">
        <v>30631</v>
      </c>
      <c r="H3876" t="s">
        <v>30632</v>
      </c>
      <c r="I3876" s="26">
        <v>40983</v>
      </c>
      <c r="J3876">
        <v>2012</v>
      </c>
      <c r="K3876" t="s">
        <v>7451</v>
      </c>
      <c r="L3876">
        <v>452</v>
      </c>
      <c r="M3876" t="s">
        <v>39922</v>
      </c>
      <c r="N3876">
        <v>1</v>
      </c>
      <c r="O3876" t="s">
        <v>39169</v>
      </c>
      <c r="S3876" t="s">
        <v>39923</v>
      </c>
      <c r="T3876" t="s">
        <v>30</v>
      </c>
      <c r="U3876" t="s">
        <v>30799</v>
      </c>
      <c r="W3876" t="s">
        <v>26009</v>
      </c>
    </row>
    <row r="3877" spans="1:23" x14ac:dyDescent="0.35">
      <c r="A3877">
        <v>887202</v>
      </c>
      <c r="B3877" t="s">
        <v>39924</v>
      </c>
      <c r="C3877" t="str">
        <f>""</f>
        <v/>
      </c>
      <c r="D3877" t="str">
        <f>"9781400843152"</f>
        <v>9781400843152</v>
      </c>
      <c r="E3877" t="s">
        <v>33468</v>
      </c>
      <c r="F3877" t="s">
        <v>7517</v>
      </c>
      <c r="G3877" t="s">
        <v>23592</v>
      </c>
      <c r="H3877" t="s">
        <v>26004</v>
      </c>
      <c r="I3877" s="26">
        <v>41035</v>
      </c>
      <c r="J3877">
        <v>2012</v>
      </c>
      <c r="K3877" t="s">
        <v>7517</v>
      </c>
      <c r="L3877">
        <v>43</v>
      </c>
      <c r="M3877" t="s">
        <v>39925</v>
      </c>
      <c r="N3877">
        <v>1</v>
      </c>
      <c r="O3877" t="s">
        <v>39926</v>
      </c>
      <c r="P3877">
        <v>10</v>
      </c>
      <c r="T3877" t="s">
        <v>30</v>
      </c>
      <c r="U3877" t="s">
        <v>39927</v>
      </c>
      <c r="W3877" t="s">
        <v>28347</v>
      </c>
    </row>
    <row r="3878" spans="1:23" x14ac:dyDescent="0.35">
      <c r="A3878">
        <v>887891</v>
      </c>
      <c r="B3878" t="s">
        <v>39928</v>
      </c>
      <c r="C3878" t="str">
        <f>"9780226081373"</f>
        <v>9780226081373</v>
      </c>
      <c r="D3878" t="str">
        <f>"9780226081397"</f>
        <v>9780226081397</v>
      </c>
      <c r="E3878" t="s">
        <v>550</v>
      </c>
      <c r="F3878" t="s">
        <v>550</v>
      </c>
      <c r="G3878" t="s">
        <v>22352</v>
      </c>
      <c r="H3878" t="s">
        <v>26004</v>
      </c>
      <c r="I3878" s="26">
        <v>41033</v>
      </c>
      <c r="J3878">
        <v>2012</v>
      </c>
      <c r="K3878" t="s">
        <v>550</v>
      </c>
      <c r="L3878">
        <v>282</v>
      </c>
      <c r="M3878" t="s">
        <v>39929</v>
      </c>
      <c r="N3878">
        <v>1</v>
      </c>
      <c r="Q3878" t="s">
        <v>39930</v>
      </c>
      <c r="R3878" t="s">
        <v>26422</v>
      </c>
      <c r="S3878" t="s">
        <v>39931</v>
      </c>
      <c r="T3878" t="s">
        <v>30</v>
      </c>
      <c r="U3878" t="s">
        <v>26116</v>
      </c>
      <c r="W3878" t="s">
        <v>26009</v>
      </c>
    </row>
    <row r="3879" spans="1:23" x14ac:dyDescent="0.35">
      <c r="A3879">
        <v>887963</v>
      </c>
      <c r="B3879" t="s">
        <v>9546</v>
      </c>
      <c r="C3879" t="str">
        <f>"9781780490144"</f>
        <v>9781780490144</v>
      </c>
      <c r="D3879" t="str">
        <f>"9781849409742"</f>
        <v>9781849409742</v>
      </c>
      <c r="E3879" t="s">
        <v>26010</v>
      </c>
      <c r="F3879" t="s">
        <v>35</v>
      </c>
      <c r="G3879" t="s">
        <v>22174</v>
      </c>
      <c r="H3879" t="s">
        <v>26011</v>
      </c>
      <c r="I3879" s="26">
        <v>41274</v>
      </c>
      <c r="J3879">
        <v>2012</v>
      </c>
      <c r="K3879" t="s">
        <v>26012</v>
      </c>
      <c r="L3879">
        <v>224</v>
      </c>
      <c r="M3879" t="s">
        <v>36922</v>
      </c>
      <c r="N3879">
        <v>1</v>
      </c>
      <c r="Q3879" t="s">
        <v>39932</v>
      </c>
      <c r="R3879">
        <v>150.19499999999999</v>
      </c>
      <c r="S3879" t="s">
        <v>39933</v>
      </c>
      <c r="T3879" t="s">
        <v>30</v>
      </c>
      <c r="U3879" t="s">
        <v>29153</v>
      </c>
      <c r="W3879" t="s">
        <v>26009</v>
      </c>
    </row>
    <row r="3880" spans="1:23" x14ac:dyDescent="0.35">
      <c r="A3880">
        <v>887964</v>
      </c>
      <c r="B3880" t="s">
        <v>39934</v>
      </c>
      <c r="C3880" t="str">
        <f>"9781780490243"</f>
        <v>9781780490243</v>
      </c>
      <c r="D3880" t="str">
        <f>"9781849409759"</f>
        <v>9781849409759</v>
      </c>
      <c r="E3880" t="s">
        <v>26010</v>
      </c>
      <c r="F3880" t="s">
        <v>35</v>
      </c>
      <c r="G3880" t="s">
        <v>22174</v>
      </c>
      <c r="H3880" t="s">
        <v>26011</v>
      </c>
      <c r="I3880" s="26">
        <v>41274</v>
      </c>
      <c r="J3880">
        <v>2012</v>
      </c>
      <c r="K3880" t="s">
        <v>26012</v>
      </c>
      <c r="L3880">
        <v>321</v>
      </c>
      <c r="M3880" t="s">
        <v>39935</v>
      </c>
      <c r="N3880">
        <v>1</v>
      </c>
      <c r="Q3880" t="s">
        <v>39936</v>
      </c>
      <c r="R3880">
        <v>616.89170000000001</v>
      </c>
      <c r="S3880" t="s">
        <v>39937</v>
      </c>
      <c r="T3880" t="s">
        <v>30</v>
      </c>
      <c r="U3880" t="s">
        <v>26019</v>
      </c>
      <c r="W3880" t="s">
        <v>26009</v>
      </c>
    </row>
    <row r="3881" spans="1:23" x14ac:dyDescent="0.35">
      <c r="A3881">
        <v>888585</v>
      </c>
      <c r="B3881" t="s">
        <v>39938</v>
      </c>
      <c r="C3881" t="str">
        <f>"9781439898611"</f>
        <v>9781439898611</v>
      </c>
      <c r="D3881" t="str">
        <f>"9781439898628"</f>
        <v>9781439898628</v>
      </c>
      <c r="E3881" t="s">
        <v>26010</v>
      </c>
      <c r="F3881" t="s">
        <v>35</v>
      </c>
      <c r="G3881" t="s">
        <v>28272</v>
      </c>
      <c r="H3881" t="s">
        <v>26004</v>
      </c>
      <c r="I3881" s="26">
        <v>40991</v>
      </c>
      <c r="J3881">
        <v>2012</v>
      </c>
      <c r="K3881" t="s">
        <v>26470</v>
      </c>
      <c r="L3881">
        <v>270</v>
      </c>
      <c r="M3881" t="s">
        <v>39939</v>
      </c>
      <c r="N3881">
        <v>1</v>
      </c>
      <c r="Q3881" t="s">
        <v>39940</v>
      </c>
      <c r="R3881">
        <v>363.25</v>
      </c>
      <c r="S3881" t="s">
        <v>39941</v>
      </c>
      <c r="T3881" t="s">
        <v>30</v>
      </c>
      <c r="U3881" t="s">
        <v>26044</v>
      </c>
      <c r="W3881" t="s">
        <v>26009</v>
      </c>
    </row>
    <row r="3882" spans="1:23" x14ac:dyDescent="0.35">
      <c r="A3882">
        <v>888781</v>
      </c>
      <c r="B3882" t="s">
        <v>9570</v>
      </c>
      <c r="C3882" t="str">
        <f>"9780826106551"</f>
        <v>9780826106551</v>
      </c>
      <c r="D3882" t="str">
        <f>"9780826106568"</f>
        <v>9780826106568</v>
      </c>
      <c r="E3882" t="s">
        <v>1504</v>
      </c>
      <c r="F3882" t="s">
        <v>33</v>
      </c>
      <c r="G3882" t="s">
        <v>22179</v>
      </c>
      <c r="H3882" t="s">
        <v>26004</v>
      </c>
      <c r="I3882" s="26">
        <v>41091</v>
      </c>
      <c r="J3882">
        <v>2012</v>
      </c>
      <c r="K3882" t="s">
        <v>33</v>
      </c>
      <c r="L3882">
        <v>567</v>
      </c>
      <c r="M3882" t="s">
        <v>39942</v>
      </c>
      <c r="N3882">
        <v>6</v>
      </c>
      <c r="R3882">
        <v>155.916</v>
      </c>
      <c r="S3882" t="s">
        <v>39943</v>
      </c>
      <c r="T3882" t="s">
        <v>30</v>
      </c>
      <c r="U3882" t="s">
        <v>46</v>
      </c>
      <c r="W3882" t="s">
        <v>26009</v>
      </c>
    </row>
    <row r="3883" spans="1:23" x14ac:dyDescent="0.35">
      <c r="A3883">
        <v>888783</v>
      </c>
      <c r="B3883" t="s">
        <v>8524</v>
      </c>
      <c r="C3883" t="str">
        <f>"9780826106957"</f>
        <v>9780826106957</v>
      </c>
      <c r="D3883" t="str">
        <f>"9780826106964"</f>
        <v>9780826106964</v>
      </c>
      <c r="E3883" t="s">
        <v>1504</v>
      </c>
      <c r="F3883" t="s">
        <v>33</v>
      </c>
      <c r="G3883" t="s">
        <v>22179</v>
      </c>
      <c r="H3883" t="s">
        <v>26004</v>
      </c>
      <c r="I3883" s="26">
        <v>41091</v>
      </c>
      <c r="J3883">
        <v>2012</v>
      </c>
      <c r="K3883" t="s">
        <v>33</v>
      </c>
      <c r="L3883">
        <v>195</v>
      </c>
      <c r="M3883" t="s">
        <v>39944</v>
      </c>
      <c r="N3883">
        <v>1</v>
      </c>
      <c r="Q3883" t="s">
        <v>39945</v>
      </c>
      <c r="R3883">
        <v>616.89143000000001</v>
      </c>
      <c r="S3883" t="s">
        <v>39946</v>
      </c>
      <c r="T3883" t="s">
        <v>30</v>
      </c>
      <c r="U3883" t="s">
        <v>26116</v>
      </c>
      <c r="W3883" t="s">
        <v>26009</v>
      </c>
    </row>
    <row r="3884" spans="1:23" x14ac:dyDescent="0.35">
      <c r="A3884">
        <v>888784</v>
      </c>
      <c r="B3884" t="s">
        <v>32</v>
      </c>
      <c r="C3884" t="str">
        <f>"9780826108586"</f>
        <v>9780826108586</v>
      </c>
      <c r="D3884" t="str">
        <f>"9780826108593"</f>
        <v>9780826108593</v>
      </c>
      <c r="E3884" t="s">
        <v>1504</v>
      </c>
      <c r="F3884" t="s">
        <v>33</v>
      </c>
      <c r="G3884" t="s">
        <v>22179</v>
      </c>
      <c r="H3884" t="s">
        <v>26004</v>
      </c>
      <c r="I3884" s="26">
        <v>40909</v>
      </c>
      <c r="J3884">
        <v>2012</v>
      </c>
      <c r="K3884" t="s">
        <v>33</v>
      </c>
      <c r="L3884">
        <v>351</v>
      </c>
      <c r="M3884" t="s">
        <v>39947</v>
      </c>
      <c r="N3884">
        <v>1</v>
      </c>
      <c r="Q3884" t="s">
        <v>39948</v>
      </c>
      <c r="R3884">
        <v>158.3023</v>
      </c>
      <c r="S3884" t="s">
        <v>39949</v>
      </c>
      <c r="T3884" t="s">
        <v>30</v>
      </c>
      <c r="U3884" t="s">
        <v>46</v>
      </c>
      <c r="W3884" t="s">
        <v>26009</v>
      </c>
    </row>
    <row r="3885" spans="1:23" x14ac:dyDescent="0.35">
      <c r="A3885">
        <v>889011</v>
      </c>
      <c r="B3885" t="s">
        <v>39950</v>
      </c>
      <c r="C3885" t="str">
        <f>"9780761856931"</f>
        <v>9780761856931</v>
      </c>
      <c r="D3885" t="str">
        <f>"9780761856948"</f>
        <v>9780761856948</v>
      </c>
      <c r="E3885" t="s">
        <v>33803</v>
      </c>
      <c r="F3885" t="s">
        <v>34051</v>
      </c>
      <c r="G3885" t="s">
        <v>33804</v>
      </c>
      <c r="H3885" t="s">
        <v>26004</v>
      </c>
      <c r="I3885" s="26">
        <v>40893</v>
      </c>
      <c r="J3885">
        <v>2012</v>
      </c>
      <c r="K3885" t="s">
        <v>34051</v>
      </c>
      <c r="L3885">
        <v>255</v>
      </c>
      <c r="M3885" t="s">
        <v>39951</v>
      </c>
      <c r="N3885">
        <v>1</v>
      </c>
      <c r="O3885" t="s">
        <v>39952</v>
      </c>
      <c r="P3885" t="s">
        <v>39953</v>
      </c>
      <c r="S3885" t="s">
        <v>9423</v>
      </c>
      <c r="T3885" t="s">
        <v>30</v>
      </c>
      <c r="U3885" t="s">
        <v>26179</v>
      </c>
      <c r="W3885" t="s">
        <v>26009</v>
      </c>
    </row>
    <row r="3886" spans="1:23" x14ac:dyDescent="0.35">
      <c r="A3886">
        <v>892878</v>
      </c>
      <c r="B3886" t="s">
        <v>7587</v>
      </c>
      <c r="C3886" t="str">
        <f>"9781593851965"</f>
        <v>9781593851965</v>
      </c>
      <c r="D3886" t="str">
        <f>"9781593856793"</f>
        <v>9781593856793</v>
      </c>
      <c r="E3886" t="s">
        <v>30112</v>
      </c>
      <c r="F3886" t="s">
        <v>7420</v>
      </c>
      <c r="G3886" t="s">
        <v>22179</v>
      </c>
      <c r="H3886" t="s">
        <v>26004</v>
      </c>
      <c r="I3886" s="26">
        <v>38576</v>
      </c>
      <c r="J3886">
        <v>2005</v>
      </c>
      <c r="K3886" t="s">
        <v>30113</v>
      </c>
      <c r="L3886">
        <v>256</v>
      </c>
      <c r="M3886" t="s">
        <v>39954</v>
      </c>
      <c r="N3886">
        <v>1</v>
      </c>
      <c r="Q3886" t="s">
        <v>39955</v>
      </c>
      <c r="R3886" t="s">
        <v>39956</v>
      </c>
      <c r="S3886" t="s">
        <v>7588</v>
      </c>
      <c r="T3886" t="s">
        <v>30</v>
      </c>
      <c r="U3886" t="s">
        <v>26116</v>
      </c>
      <c r="W3886" t="s">
        <v>28347</v>
      </c>
    </row>
    <row r="3887" spans="1:23" x14ac:dyDescent="0.35">
      <c r="A3887">
        <v>892997</v>
      </c>
      <c r="B3887" t="s">
        <v>39957</v>
      </c>
      <c r="C3887" t="str">
        <f>"9781439878798"</f>
        <v>9781439878798</v>
      </c>
      <c r="D3887" t="str">
        <f>"9781439878811"</f>
        <v>9781439878811</v>
      </c>
      <c r="E3887" t="s">
        <v>26010</v>
      </c>
      <c r="F3887" t="s">
        <v>9619</v>
      </c>
      <c r="G3887" t="s">
        <v>23303</v>
      </c>
      <c r="H3887" t="s">
        <v>26004</v>
      </c>
      <c r="I3887" s="26">
        <v>41008</v>
      </c>
      <c r="J3887">
        <v>2012</v>
      </c>
      <c r="K3887" t="s">
        <v>9619</v>
      </c>
      <c r="L3887">
        <v>178</v>
      </c>
      <c r="M3887" t="s">
        <v>39958</v>
      </c>
      <c r="N3887">
        <v>1</v>
      </c>
      <c r="Q3887" t="s">
        <v>39959</v>
      </c>
      <c r="R3887" t="s">
        <v>39960</v>
      </c>
      <c r="S3887" t="s">
        <v>39961</v>
      </c>
      <c r="T3887" t="s">
        <v>30</v>
      </c>
      <c r="U3887" t="s">
        <v>30031</v>
      </c>
      <c r="W3887" t="s">
        <v>26009</v>
      </c>
    </row>
    <row r="3888" spans="1:23" x14ac:dyDescent="0.35">
      <c r="A3888">
        <v>893042</v>
      </c>
      <c r="B3888" t="s">
        <v>9903</v>
      </c>
      <c r="C3888" t="str">
        <f>"9780335234554"</f>
        <v>9780335234554</v>
      </c>
      <c r="D3888" t="str">
        <f>"9780335240234"</f>
        <v>9780335240234</v>
      </c>
      <c r="E3888" t="s">
        <v>29061</v>
      </c>
      <c r="F3888" t="s">
        <v>7477</v>
      </c>
      <c r="G3888" t="s">
        <v>29068</v>
      </c>
      <c r="H3888" t="s">
        <v>26011</v>
      </c>
      <c r="I3888" s="26">
        <v>40969</v>
      </c>
      <c r="J3888">
        <v>2012</v>
      </c>
      <c r="K3888" t="s">
        <v>29063</v>
      </c>
      <c r="L3888">
        <v>186</v>
      </c>
      <c r="M3888" t="s">
        <v>39962</v>
      </c>
      <c r="N3888">
        <v>1</v>
      </c>
      <c r="O3888" t="s">
        <v>29065</v>
      </c>
      <c r="Q3888" t="s">
        <v>39963</v>
      </c>
      <c r="R3888">
        <v>362.29185999999999</v>
      </c>
      <c r="S3888" t="s">
        <v>39964</v>
      </c>
      <c r="T3888" t="s">
        <v>30</v>
      </c>
      <c r="U3888" t="s">
        <v>26250</v>
      </c>
      <c r="W3888" t="s">
        <v>26009</v>
      </c>
    </row>
    <row r="3889" spans="1:23" x14ac:dyDescent="0.35">
      <c r="A3889">
        <v>893072</v>
      </c>
      <c r="B3889" t="s">
        <v>39965</v>
      </c>
      <c r="C3889" t="str">
        <f>"9780765709233"</f>
        <v>9780765709233</v>
      </c>
      <c r="D3889" t="str">
        <f>"9780765709240"</f>
        <v>9780765709240</v>
      </c>
      <c r="E3889" t="s">
        <v>33803</v>
      </c>
      <c r="F3889" t="s">
        <v>38</v>
      </c>
      <c r="G3889" t="s">
        <v>34138</v>
      </c>
      <c r="H3889" t="s">
        <v>26004</v>
      </c>
      <c r="I3889" s="26">
        <v>40977</v>
      </c>
      <c r="J3889">
        <v>2012</v>
      </c>
      <c r="K3889" t="s">
        <v>33811</v>
      </c>
      <c r="L3889">
        <v>190</v>
      </c>
      <c r="M3889" t="s">
        <v>39966</v>
      </c>
      <c r="N3889">
        <v>1</v>
      </c>
      <c r="Q3889" t="s">
        <v>39967</v>
      </c>
      <c r="R3889" t="s">
        <v>39968</v>
      </c>
      <c r="S3889" t="s">
        <v>39969</v>
      </c>
      <c r="T3889" t="s">
        <v>30</v>
      </c>
      <c r="U3889" t="s">
        <v>46</v>
      </c>
      <c r="W3889" t="s">
        <v>26009</v>
      </c>
    </row>
    <row r="3890" spans="1:23" x14ac:dyDescent="0.35">
      <c r="A3890">
        <v>893538</v>
      </c>
      <c r="B3890" t="s">
        <v>39970</v>
      </c>
      <c r="C3890" t="str">
        <f>"9783110291339"</f>
        <v>9783110291339</v>
      </c>
      <c r="D3890" t="str">
        <f>"9783110291360"</f>
        <v>9783110291360</v>
      </c>
      <c r="E3890" t="s">
        <v>30630</v>
      </c>
      <c r="F3890" t="s">
        <v>7451</v>
      </c>
      <c r="G3890" t="s">
        <v>30631</v>
      </c>
      <c r="H3890" t="s">
        <v>30632</v>
      </c>
      <c r="I3890" s="26">
        <v>41263</v>
      </c>
      <c r="J3890">
        <v>2013</v>
      </c>
      <c r="K3890" t="s">
        <v>7451</v>
      </c>
      <c r="L3890">
        <v>202</v>
      </c>
      <c r="M3890" t="s">
        <v>39971</v>
      </c>
      <c r="N3890">
        <v>1</v>
      </c>
      <c r="S3890" t="s">
        <v>39972</v>
      </c>
      <c r="T3890" t="s">
        <v>30</v>
      </c>
      <c r="U3890" t="s">
        <v>46</v>
      </c>
      <c r="W3890" t="s">
        <v>26009</v>
      </c>
    </row>
    <row r="3891" spans="1:23" x14ac:dyDescent="0.35">
      <c r="A3891">
        <v>895131</v>
      </c>
      <c r="B3891" t="s">
        <v>39973</v>
      </c>
      <c r="C3891" t="str">
        <f>"9780231140812"</f>
        <v>9780231140812</v>
      </c>
      <c r="D3891" t="str">
        <f>"9780231520119"</f>
        <v>9780231520119</v>
      </c>
      <c r="E3891" t="s">
        <v>31708</v>
      </c>
      <c r="F3891" t="s">
        <v>294</v>
      </c>
      <c r="G3891" t="s">
        <v>22179</v>
      </c>
      <c r="H3891" t="s">
        <v>26004</v>
      </c>
      <c r="I3891" s="26">
        <v>40462</v>
      </c>
      <c r="J3891">
        <v>2010</v>
      </c>
      <c r="K3891" t="s">
        <v>294</v>
      </c>
      <c r="L3891">
        <v>311</v>
      </c>
      <c r="M3891" t="s">
        <v>39974</v>
      </c>
      <c r="Q3891" t="s">
        <v>39975</v>
      </c>
      <c r="R3891">
        <v>306.87400000000002</v>
      </c>
      <c r="S3891" t="s">
        <v>9346</v>
      </c>
      <c r="T3891" t="s">
        <v>30</v>
      </c>
      <c r="U3891" t="s">
        <v>26044</v>
      </c>
      <c r="W3891" t="s">
        <v>28347</v>
      </c>
    </row>
    <row r="3892" spans="1:23" x14ac:dyDescent="0.35">
      <c r="A3892">
        <v>895175</v>
      </c>
      <c r="B3892" t="s">
        <v>39976</v>
      </c>
      <c r="C3892" t="str">
        <f>"9780231149211"</f>
        <v>9780231149211</v>
      </c>
      <c r="D3892" t="str">
        <f>"9780231520560"</f>
        <v>9780231520560</v>
      </c>
      <c r="E3892" t="s">
        <v>31708</v>
      </c>
      <c r="F3892" t="s">
        <v>294</v>
      </c>
      <c r="G3892" t="s">
        <v>22179</v>
      </c>
      <c r="H3892" t="s">
        <v>26004</v>
      </c>
      <c r="I3892" s="26">
        <v>40988</v>
      </c>
      <c r="J3892">
        <v>2012</v>
      </c>
      <c r="K3892" t="s">
        <v>294</v>
      </c>
      <c r="L3892">
        <v>209</v>
      </c>
      <c r="M3892" t="s">
        <v>39977</v>
      </c>
      <c r="Q3892" t="s">
        <v>39978</v>
      </c>
      <c r="R3892">
        <v>306.874301</v>
      </c>
      <c r="S3892" t="s">
        <v>7939</v>
      </c>
      <c r="T3892" t="s">
        <v>30</v>
      </c>
      <c r="U3892" t="s">
        <v>26044</v>
      </c>
      <c r="W3892" t="s">
        <v>28347</v>
      </c>
    </row>
    <row r="3893" spans="1:23" x14ac:dyDescent="0.35">
      <c r="A3893">
        <v>895247</v>
      </c>
      <c r="B3893" t="s">
        <v>39979</v>
      </c>
      <c r="C3893" t="str">
        <f>"9780231130257"</f>
        <v>9780231130257</v>
      </c>
      <c r="D3893" t="str">
        <f>"9780231503631"</f>
        <v>9780231503631</v>
      </c>
      <c r="E3893" t="s">
        <v>31708</v>
      </c>
      <c r="F3893" t="s">
        <v>294</v>
      </c>
      <c r="G3893" t="s">
        <v>22179</v>
      </c>
      <c r="H3893" t="s">
        <v>26004</v>
      </c>
      <c r="I3893" s="26">
        <v>38371</v>
      </c>
      <c r="J3893">
        <v>2005</v>
      </c>
      <c r="K3893" t="s">
        <v>294</v>
      </c>
      <c r="L3893">
        <v>237</v>
      </c>
      <c r="M3893" t="s">
        <v>39980</v>
      </c>
      <c r="Q3893" t="s">
        <v>39981</v>
      </c>
      <c r="R3893">
        <v>362.28</v>
      </c>
      <c r="S3893" t="s">
        <v>10119</v>
      </c>
      <c r="T3893" t="s">
        <v>30</v>
      </c>
      <c r="U3893" t="s">
        <v>26094</v>
      </c>
      <c r="W3893" t="s">
        <v>28347</v>
      </c>
    </row>
    <row r="3894" spans="1:23" x14ac:dyDescent="0.35">
      <c r="A3894">
        <v>895284</v>
      </c>
      <c r="B3894" t="s">
        <v>39982</v>
      </c>
      <c r="C3894" t="str">
        <f>"9780231112802"</f>
        <v>9780231112802</v>
      </c>
      <c r="D3894" t="str">
        <f>"9780231528863"</f>
        <v>9780231528863</v>
      </c>
      <c r="E3894" t="s">
        <v>31708</v>
      </c>
      <c r="F3894" t="s">
        <v>294</v>
      </c>
      <c r="G3894" t="s">
        <v>22179</v>
      </c>
      <c r="H3894" t="s">
        <v>26004</v>
      </c>
      <c r="I3894" s="26">
        <v>37123</v>
      </c>
      <c r="J3894">
        <v>2012</v>
      </c>
      <c r="K3894" t="s">
        <v>294</v>
      </c>
      <c r="L3894">
        <v>527</v>
      </c>
      <c r="M3894" t="s">
        <v>39983</v>
      </c>
      <c r="O3894" t="s">
        <v>39984</v>
      </c>
      <c r="Q3894" t="s">
        <v>39985</v>
      </c>
      <c r="R3894">
        <v>155.9</v>
      </c>
      <c r="S3894" t="s">
        <v>46</v>
      </c>
      <c r="T3894" t="s">
        <v>30</v>
      </c>
      <c r="U3894" t="s">
        <v>26170</v>
      </c>
      <c r="W3894" t="s">
        <v>28347</v>
      </c>
    </row>
    <row r="3895" spans="1:23" x14ac:dyDescent="0.35">
      <c r="A3895">
        <v>896255</v>
      </c>
      <c r="B3895" t="s">
        <v>39986</v>
      </c>
      <c r="C3895" t="str">
        <f>"9780826106353"</f>
        <v>9780826106353</v>
      </c>
      <c r="D3895" t="str">
        <f>"9780826106360"</f>
        <v>9780826106360</v>
      </c>
      <c r="E3895" t="s">
        <v>1504</v>
      </c>
      <c r="F3895" t="s">
        <v>33</v>
      </c>
      <c r="G3895" t="s">
        <v>22179</v>
      </c>
      <c r="H3895" t="s">
        <v>26004</v>
      </c>
      <c r="I3895" s="26">
        <v>40756</v>
      </c>
      <c r="J3895">
        <v>2011</v>
      </c>
      <c r="K3895" t="s">
        <v>33</v>
      </c>
      <c r="L3895">
        <v>362</v>
      </c>
      <c r="M3895" t="s">
        <v>39987</v>
      </c>
      <c r="N3895">
        <v>4</v>
      </c>
      <c r="Q3895" t="s">
        <v>39988</v>
      </c>
      <c r="R3895">
        <v>158.30000000000001</v>
      </c>
      <c r="S3895" t="s">
        <v>39989</v>
      </c>
      <c r="T3895" t="s">
        <v>30</v>
      </c>
      <c r="U3895" t="s">
        <v>46</v>
      </c>
      <c r="W3895" t="s">
        <v>26009</v>
      </c>
    </row>
    <row r="3896" spans="1:23" x14ac:dyDescent="0.35">
      <c r="A3896">
        <v>897087</v>
      </c>
      <c r="B3896" t="s">
        <v>39990</v>
      </c>
      <c r="C3896" t="str">
        <f>"9780826107862"</f>
        <v>9780826107862</v>
      </c>
      <c r="D3896" t="str">
        <f>"9780826107879"</f>
        <v>9780826107879</v>
      </c>
      <c r="E3896" t="s">
        <v>1504</v>
      </c>
      <c r="F3896" t="s">
        <v>33</v>
      </c>
      <c r="G3896" t="s">
        <v>22179</v>
      </c>
      <c r="H3896" t="s">
        <v>26004</v>
      </c>
      <c r="I3896" s="26">
        <v>40909</v>
      </c>
      <c r="J3896">
        <v>2011</v>
      </c>
      <c r="K3896" t="s">
        <v>33</v>
      </c>
      <c r="L3896">
        <v>352</v>
      </c>
      <c r="M3896" t="s">
        <v>39991</v>
      </c>
      <c r="N3896">
        <v>1</v>
      </c>
      <c r="Q3896" t="s">
        <v>39992</v>
      </c>
      <c r="S3896" t="s">
        <v>39993</v>
      </c>
      <c r="T3896" t="s">
        <v>30</v>
      </c>
      <c r="U3896" t="s">
        <v>26170</v>
      </c>
      <c r="W3896" t="s">
        <v>26009</v>
      </c>
    </row>
    <row r="3897" spans="1:23" x14ac:dyDescent="0.35">
      <c r="A3897">
        <v>897090</v>
      </c>
      <c r="B3897" t="s">
        <v>8661</v>
      </c>
      <c r="C3897" t="str">
        <f>"9780826115713"</f>
        <v>9780826115713</v>
      </c>
      <c r="D3897" t="str">
        <f>"9780826115720"</f>
        <v>9780826115720</v>
      </c>
      <c r="E3897" t="s">
        <v>1504</v>
      </c>
      <c r="F3897" t="s">
        <v>33</v>
      </c>
      <c r="G3897" t="s">
        <v>22179</v>
      </c>
      <c r="H3897" t="s">
        <v>26004</v>
      </c>
      <c r="I3897" s="26">
        <v>40725</v>
      </c>
      <c r="J3897">
        <v>2011</v>
      </c>
      <c r="K3897" t="s">
        <v>33</v>
      </c>
      <c r="L3897">
        <v>426</v>
      </c>
      <c r="M3897" t="s">
        <v>39994</v>
      </c>
      <c r="N3897">
        <v>1</v>
      </c>
      <c r="R3897">
        <v>616.80088795999995</v>
      </c>
      <c r="S3897" t="s">
        <v>39995</v>
      </c>
      <c r="T3897" t="s">
        <v>30</v>
      </c>
      <c r="U3897" t="s">
        <v>26040</v>
      </c>
      <c r="W3897" t="s">
        <v>26009</v>
      </c>
    </row>
    <row r="3898" spans="1:23" x14ac:dyDescent="0.35">
      <c r="A3898">
        <v>903413</v>
      </c>
      <c r="B3898" t="s">
        <v>39996</v>
      </c>
      <c r="C3898" t="str">
        <f>"9781598745450"</f>
        <v>9781598745450</v>
      </c>
      <c r="D3898" t="str">
        <f>"9781598745474"</f>
        <v>9781598745474</v>
      </c>
      <c r="E3898" t="s">
        <v>26010</v>
      </c>
      <c r="F3898" t="s">
        <v>35</v>
      </c>
      <c r="G3898" t="s">
        <v>36267</v>
      </c>
      <c r="H3898" t="s">
        <v>26004</v>
      </c>
      <c r="I3898" s="26">
        <v>41029</v>
      </c>
      <c r="J3898">
        <v>2012</v>
      </c>
      <c r="K3898" t="s">
        <v>26012</v>
      </c>
      <c r="L3898">
        <v>248</v>
      </c>
      <c r="M3898" t="s">
        <v>39997</v>
      </c>
      <c r="N3898">
        <v>1</v>
      </c>
      <c r="O3898" t="s">
        <v>36295</v>
      </c>
      <c r="Q3898" t="s">
        <v>39998</v>
      </c>
      <c r="R3898">
        <v>302</v>
      </c>
      <c r="S3898" t="s">
        <v>39999</v>
      </c>
      <c r="T3898" t="s">
        <v>30</v>
      </c>
      <c r="U3898" t="s">
        <v>26044</v>
      </c>
      <c r="W3898" t="s">
        <v>26009</v>
      </c>
    </row>
    <row r="3899" spans="1:23" x14ac:dyDescent="0.35">
      <c r="A3899">
        <v>903414</v>
      </c>
      <c r="B3899" t="s">
        <v>7551</v>
      </c>
      <c r="C3899" t="str">
        <f>"9781598743616"</f>
        <v>9781598743616</v>
      </c>
      <c r="D3899" t="str">
        <f>"9781611327847"</f>
        <v>9781611327847</v>
      </c>
      <c r="E3899" t="s">
        <v>26010</v>
      </c>
      <c r="F3899" t="s">
        <v>35</v>
      </c>
      <c r="G3899" t="s">
        <v>36267</v>
      </c>
      <c r="H3899" t="s">
        <v>26004</v>
      </c>
      <c r="I3899" s="26">
        <v>40999</v>
      </c>
      <c r="J3899">
        <v>2012</v>
      </c>
      <c r="K3899" t="s">
        <v>26012</v>
      </c>
      <c r="L3899">
        <v>168</v>
      </c>
      <c r="M3899" t="s">
        <v>40000</v>
      </c>
      <c r="N3899">
        <v>1</v>
      </c>
      <c r="Q3899" t="s">
        <v>40001</v>
      </c>
      <c r="R3899">
        <v>930.1</v>
      </c>
      <c r="S3899" t="s">
        <v>7552</v>
      </c>
      <c r="T3899" t="s">
        <v>30</v>
      </c>
      <c r="U3899" t="s">
        <v>402</v>
      </c>
      <c r="W3899" t="s">
        <v>26009</v>
      </c>
    </row>
    <row r="3900" spans="1:23" x14ac:dyDescent="0.35">
      <c r="A3900">
        <v>903421</v>
      </c>
      <c r="B3900" t="s">
        <v>40002</v>
      </c>
      <c r="C3900" t="str">
        <f>"9781780490182"</f>
        <v>9781780490182</v>
      </c>
      <c r="D3900" t="str">
        <f>"9781849409797"</f>
        <v>9781849409797</v>
      </c>
      <c r="E3900" t="s">
        <v>26010</v>
      </c>
      <c r="F3900" t="s">
        <v>35</v>
      </c>
      <c r="G3900" t="s">
        <v>22174</v>
      </c>
      <c r="H3900" t="s">
        <v>26011</v>
      </c>
      <c r="I3900" s="26">
        <v>41029</v>
      </c>
      <c r="J3900">
        <v>2012</v>
      </c>
      <c r="K3900" t="s">
        <v>26012</v>
      </c>
      <c r="L3900">
        <v>170</v>
      </c>
      <c r="M3900" t="s">
        <v>40003</v>
      </c>
      <c r="N3900">
        <v>1</v>
      </c>
      <c r="O3900" t="s">
        <v>36510</v>
      </c>
      <c r="Q3900" t="s">
        <v>40004</v>
      </c>
      <c r="R3900">
        <v>158.30000000000001</v>
      </c>
      <c r="S3900" t="s">
        <v>40005</v>
      </c>
      <c r="T3900" t="s">
        <v>30</v>
      </c>
      <c r="U3900" t="s">
        <v>26019</v>
      </c>
      <c r="W3900" t="s">
        <v>26009</v>
      </c>
    </row>
    <row r="3901" spans="1:23" x14ac:dyDescent="0.35">
      <c r="A3901">
        <v>903424</v>
      </c>
      <c r="B3901" t="s">
        <v>40006</v>
      </c>
      <c r="C3901" t="str">
        <f>"9781855758544"</f>
        <v>9781855758544</v>
      </c>
      <c r="D3901" t="str">
        <f>"9781849409827"</f>
        <v>9781849409827</v>
      </c>
      <c r="E3901" t="s">
        <v>26010</v>
      </c>
      <c r="F3901" t="s">
        <v>35</v>
      </c>
      <c r="G3901" t="s">
        <v>22174</v>
      </c>
      <c r="H3901" t="s">
        <v>26011</v>
      </c>
      <c r="I3901" s="26">
        <v>41029</v>
      </c>
      <c r="J3901">
        <v>2012</v>
      </c>
      <c r="K3901" t="s">
        <v>26012</v>
      </c>
      <c r="L3901">
        <v>188</v>
      </c>
      <c r="M3901" t="s">
        <v>36972</v>
      </c>
      <c r="N3901">
        <v>1</v>
      </c>
      <c r="Q3901" t="s">
        <v>40007</v>
      </c>
      <c r="R3901">
        <v>150.19499999999999</v>
      </c>
      <c r="S3901" t="s">
        <v>40008</v>
      </c>
      <c r="T3901" t="s">
        <v>30</v>
      </c>
      <c r="U3901" t="s">
        <v>26116</v>
      </c>
      <c r="W3901" t="s">
        <v>26009</v>
      </c>
    </row>
    <row r="3902" spans="1:23" x14ac:dyDescent="0.35">
      <c r="A3902">
        <v>907098</v>
      </c>
      <c r="B3902" t="s">
        <v>40009</v>
      </c>
      <c r="C3902" t="str">
        <f>"9780521172554"</f>
        <v>9780521172554</v>
      </c>
      <c r="D3902" t="str">
        <f>"9781139419246"</f>
        <v>9781139419246</v>
      </c>
      <c r="E3902" t="s">
        <v>167</v>
      </c>
      <c r="F3902" t="s">
        <v>167</v>
      </c>
      <c r="G3902" t="s">
        <v>22218</v>
      </c>
      <c r="H3902" t="s">
        <v>26011</v>
      </c>
      <c r="I3902" s="26">
        <v>41060</v>
      </c>
      <c r="J3902">
        <v>2012</v>
      </c>
      <c r="K3902" t="s">
        <v>167</v>
      </c>
      <c r="L3902">
        <v>160</v>
      </c>
      <c r="M3902" t="s">
        <v>40010</v>
      </c>
      <c r="N3902">
        <v>1</v>
      </c>
      <c r="Q3902" t="s">
        <v>40011</v>
      </c>
      <c r="R3902">
        <v>616.8913</v>
      </c>
      <c r="S3902" t="s">
        <v>40012</v>
      </c>
      <c r="T3902" t="s">
        <v>30</v>
      </c>
      <c r="U3902" t="s">
        <v>26019</v>
      </c>
      <c r="W3902" t="s">
        <v>26020</v>
      </c>
    </row>
    <row r="3903" spans="1:23" x14ac:dyDescent="0.35">
      <c r="A3903">
        <v>907099</v>
      </c>
      <c r="B3903" t="s">
        <v>40013</v>
      </c>
      <c r="C3903" t="str">
        <f>"9780521192040"</f>
        <v>9780521192040</v>
      </c>
      <c r="D3903" t="str">
        <f>"9781139419260"</f>
        <v>9781139419260</v>
      </c>
      <c r="E3903" t="s">
        <v>167</v>
      </c>
      <c r="F3903" t="s">
        <v>167</v>
      </c>
      <c r="G3903" t="s">
        <v>22179</v>
      </c>
      <c r="H3903" t="s">
        <v>26004</v>
      </c>
      <c r="I3903" s="26">
        <v>41015</v>
      </c>
      <c r="J3903">
        <v>2012</v>
      </c>
      <c r="K3903" t="s">
        <v>167</v>
      </c>
      <c r="L3903">
        <v>214</v>
      </c>
      <c r="M3903" t="s">
        <v>40014</v>
      </c>
      <c r="N3903">
        <v>1</v>
      </c>
      <c r="Q3903" t="s">
        <v>40015</v>
      </c>
      <c r="R3903">
        <v>153.4</v>
      </c>
      <c r="S3903" t="s">
        <v>40016</v>
      </c>
      <c r="T3903" t="s">
        <v>30</v>
      </c>
      <c r="U3903" t="s">
        <v>46</v>
      </c>
      <c r="W3903" t="s">
        <v>26020</v>
      </c>
    </row>
    <row r="3904" spans="1:23" x14ac:dyDescent="0.35">
      <c r="A3904">
        <v>907104</v>
      </c>
      <c r="B3904" t="s">
        <v>40017</v>
      </c>
      <c r="C3904" t="str">
        <f>"9780521199421"</f>
        <v>9780521199421</v>
      </c>
      <c r="D3904" t="str">
        <f>"9781139419321"</f>
        <v>9781139419321</v>
      </c>
      <c r="E3904" t="s">
        <v>167</v>
      </c>
      <c r="F3904" t="s">
        <v>167</v>
      </c>
      <c r="G3904" t="s">
        <v>22179</v>
      </c>
      <c r="H3904" t="s">
        <v>26004</v>
      </c>
      <c r="I3904" s="26">
        <v>41050</v>
      </c>
      <c r="J3904">
        <v>2012</v>
      </c>
      <c r="K3904" t="s">
        <v>167</v>
      </c>
      <c r="L3904">
        <v>415</v>
      </c>
      <c r="M3904" t="s">
        <v>40018</v>
      </c>
      <c r="N3904">
        <v>1</v>
      </c>
      <c r="Q3904" t="s">
        <v>40019</v>
      </c>
      <c r="R3904">
        <v>370.15</v>
      </c>
      <c r="S3904" t="s">
        <v>40020</v>
      </c>
      <c r="T3904" t="s">
        <v>30</v>
      </c>
      <c r="U3904" t="s">
        <v>337</v>
      </c>
      <c r="W3904" t="s">
        <v>26020</v>
      </c>
    </row>
    <row r="3905" spans="1:23" x14ac:dyDescent="0.35">
      <c r="A3905">
        <v>907105</v>
      </c>
      <c r="B3905" t="s">
        <v>40021</v>
      </c>
      <c r="C3905" t="str">
        <f>"9780521452762"</f>
        <v>9780521452762</v>
      </c>
      <c r="D3905" t="str">
        <f>"9781139419345"</f>
        <v>9781139419345</v>
      </c>
      <c r="E3905" t="s">
        <v>167</v>
      </c>
      <c r="F3905" t="s">
        <v>167</v>
      </c>
      <c r="G3905" t="s">
        <v>22179</v>
      </c>
      <c r="H3905" t="s">
        <v>26004</v>
      </c>
      <c r="I3905" s="26">
        <v>41078</v>
      </c>
      <c r="J3905">
        <v>2012</v>
      </c>
      <c r="K3905" t="s">
        <v>167</v>
      </c>
      <c r="L3905">
        <v>316</v>
      </c>
      <c r="M3905" t="s">
        <v>40022</v>
      </c>
      <c r="N3905">
        <v>1</v>
      </c>
      <c r="O3905" t="s">
        <v>40023</v>
      </c>
      <c r="Q3905" t="s">
        <v>40024</v>
      </c>
      <c r="R3905">
        <v>155.96199999999999</v>
      </c>
      <c r="S3905" t="s">
        <v>40025</v>
      </c>
      <c r="T3905" t="s">
        <v>30</v>
      </c>
      <c r="U3905" t="s">
        <v>46</v>
      </c>
      <c r="W3905" t="s">
        <v>26020</v>
      </c>
    </row>
    <row r="3906" spans="1:23" x14ac:dyDescent="0.35">
      <c r="A3906">
        <v>907116</v>
      </c>
      <c r="B3906" t="s">
        <v>7943</v>
      </c>
      <c r="C3906" t="str">
        <f>"9780521781862"</f>
        <v>9780521781862</v>
      </c>
      <c r="D3906" t="str">
        <f>"9781139419468"</f>
        <v>9781139419468</v>
      </c>
      <c r="E3906" t="s">
        <v>167</v>
      </c>
      <c r="F3906" t="s">
        <v>167</v>
      </c>
      <c r="G3906" t="s">
        <v>22218</v>
      </c>
      <c r="H3906" t="s">
        <v>26011</v>
      </c>
      <c r="I3906" s="26">
        <v>41053</v>
      </c>
      <c r="J3906">
        <v>2012</v>
      </c>
      <c r="K3906" t="s">
        <v>167</v>
      </c>
      <c r="L3906">
        <v>330</v>
      </c>
      <c r="M3906" t="s">
        <v>40026</v>
      </c>
      <c r="N3906">
        <v>1</v>
      </c>
      <c r="O3906" t="s">
        <v>40027</v>
      </c>
      <c r="P3906">
        <v>63</v>
      </c>
      <c r="Q3906" t="s">
        <v>40028</v>
      </c>
      <c r="R3906">
        <v>306.83</v>
      </c>
      <c r="S3906" t="s">
        <v>40029</v>
      </c>
      <c r="T3906" t="s">
        <v>30</v>
      </c>
      <c r="U3906" t="s">
        <v>26044</v>
      </c>
      <c r="W3906" t="s">
        <v>26020</v>
      </c>
    </row>
    <row r="3907" spans="1:23" x14ac:dyDescent="0.35">
      <c r="A3907">
        <v>907149</v>
      </c>
      <c r="B3907" t="s">
        <v>40030</v>
      </c>
      <c r="C3907" t="str">
        <f>"9781107013889"</f>
        <v>9781107013889</v>
      </c>
      <c r="D3907" t="str">
        <f>"9781139419833"</f>
        <v>9781139419833</v>
      </c>
      <c r="E3907" t="s">
        <v>167</v>
      </c>
      <c r="F3907" t="s">
        <v>167</v>
      </c>
      <c r="G3907" t="s">
        <v>22218</v>
      </c>
      <c r="H3907" t="s">
        <v>26011</v>
      </c>
      <c r="I3907" s="26">
        <v>41029</v>
      </c>
      <c r="J3907">
        <v>2012</v>
      </c>
      <c r="K3907" t="s">
        <v>167</v>
      </c>
      <c r="L3907">
        <v>320</v>
      </c>
      <c r="M3907" t="s">
        <v>40031</v>
      </c>
      <c r="N3907">
        <v>1</v>
      </c>
      <c r="Q3907" t="s">
        <v>40032</v>
      </c>
      <c r="R3907">
        <v>616.85888999999997</v>
      </c>
      <c r="S3907" t="s">
        <v>9318</v>
      </c>
      <c r="T3907" t="s">
        <v>30</v>
      </c>
      <c r="U3907" t="s">
        <v>26040</v>
      </c>
      <c r="W3907" t="s">
        <v>26020</v>
      </c>
    </row>
    <row r="3908" spans="1:23" x14ac:dyDescent="0.35">
      <c r="A3908">
        <v>907177</v>
      </c>
      <c r="B3908" t="s">
        <v>9688</v>
      </c>
      <c r="C3908" t="str">
        <f>"9781107024373"</f>
        <v>9781107024373</v>
      </c>
      <c r="D3908" t="str">
        <f>"9781139420174"</f>
        <v>9781139420174</v>
      </c>
      <c r="E3908" t="s">
        <v>167</v>
      </c>
      <c r="F3908" t="s">
        <v>167</v>
      </c>
      <c r="G3908" t="s">
        <v>22218</v>
      </c>
      <c r="H3908" t="s">
        <v>26011</v>
      </c>
      <c r="I3908" s="26">
        <v>41022</v>
      </c>
      <c r="J3908">
        <v>2012</v>
      </c>
      <c r="K3908" t="s">
        <v>167</v>
      </c>
      <c r="L3908">
        <v>298</v>
      </c>
      <c r="M3908" t="s">
        <v>40033</v>
      </c>
      <c r="N3908">
        <v>1</v>
      </c>
      <c r="Q3908" t="s">
        <v>40034</v>
      </c>
      <c r="R3908">
        <v>302</v>
      </c>
      <c r="S3908" t="s">
        <v>40035</v>
      </c>
      <c r="T3908" t="s">
        <v>30</v>
      </c>
      <c r="U3908" t="s">
        <v>26044</v>
      </c>
      <c r="W3908" t="s">
        <v>26020</v>
      </c>
    </row>
    <row r="3909" spans="1:23" x14ac:dyDescent="0.35">
      <c r="A3909">
        <v>908326</v>
      </c>
      <c r="B3909" t="s">
        <v>40036</v>
      </c>
      <c r="C3909" t="str">
        <f>"9780231150408"</f>
        <v>9780231150408</v>
      </c>
      <c r="D3909" t="str">
        <f>"9780231521024"</f>
        <v>9780231521024</v>
      </c>
      <c r="E3909" t="s">
        <v>31708</v>
      </c>
      <c r="F3909" t="s">
        <v>294</v>
      </c>
      <c r="G3909" t="s">
        <v>22179</v>
      </c>
      <c r="H3909" t="s">
        <v>26004</v>
      </c>
      <c r="I3909" s="26">
        <v>40546</v>
      </c>
      <c r="J3909">
        <v>2011</v>
      </c>
      <c r="K3909" t="s">
        <v>294</v>
      </c>
      <c r="L3909">
        <v>266</v>
      </c>
      <c r="M3909" t="s">
        <v>40037</v>
      </c>
      <c r="N3909">
        <v>2</v>
      </c>
      <c r="Q3909" t="s">
        <v>40038</v>
      </c>
      <c r="R3909">
        <v>616.89800000000002</v>
      </c>
      <c r="S3909" t="s">
        <v>7846</v>
      </c>
      <c r="T3909" t="s">
        <v>30</v>
      </c>
      <c r="U3909" t="s">
        <v>26019</v>
      </c>
      <c r="W3909" t="s">
        <v>28347</v>
      </c>
    </row>
    <row r="3910" spans="1:23" x14ac:dyDescent="0.35">
      <c r="A3910">
        <v>908416</v>
      </c>
      <c r="B3910" t="s">
        <v>40039</v>
      </c>
      <c r="C3910" t="str">
        <f>"9780231143295"</f>
        <v>9780231143295</v>
      </c>
      <c r="D3910" t="str">
        <f>"9780231512497"</f>
        <v>9780231512497</v>
      </c>
      <c r="E3910" t="s">
        <v>31708</v>
      </c>
      <c r="F3910" t="s">
        <v>294</v>
      </c>
      <c r="G3910" t="s">
        <v>22179</v>
      </c>
      <c r="H3910" t="s">
        <v>26004</v>
      </c>
      <c r="I3910" s="26">
        <v>39542</v>
      </c>
      <c r="J3910">
        <v>2012</v>
      </c>
      <c r="K3910" t="s">
        <v>294</v>
      </c>
      <c r="L3910">
        <v>453</v>
      </c>
      <c r="M3910" t="s">
        <v>40040</v>
      </c>
      <c r="Q3910" t="s">
        <v>40041</v>
      </c>
      <c r="R3910">
        <v>305.80095693999999</v>
      </c>
      <c r="S3910" t="s">
        <v>7833</v>
      </c>
      <c r="T3910" t="s">
        <v>30</v>
      </c>
      <c r="U3910" t="s">
        <v>26044</v>
      </c>
      <c r="W3910" t="s">
        <v>28347</v>
      </c>
    </row>
    <row r="3911" spans="1:23" x14ac:dyDescent="0.35">
      <c r="A3911">
        <v>908531</v>
      </c>
      <c r="B3911" t="s">
        <v>10230</v>
      </c>
      <c r="C3911" t="str">
        <f>"9780231137355"</f>
        <v>9780231137355</v>
      </c>
      <c r="D3911" t="str">
        <f>"9780231510547"</f>
        <v>9780231510547</v>
      </c>
      <c r="E3911" t="s">
        <v>31708</v>
      </c>
      <c r="F3911" t="s">
        <v>294</v>
      </c>
      <c r="G3911" t="s">
        <v>22179</v>
      </c>
      <c r="H3911" t="s">
        <v>26004</v>
      </c>
      <c r="I3911" s="26">
        <v>38797</v>
      </c>
      <c r="J3911">
        <v>2006</v>
      </c>
      <c r="K3911" t="s">
        <v>294</v>
      </c>
      <c r="L3911">
        <v>260</v>
      </c>
      <c r="M3911" t="s">
        <v>40042</v>
      </c>
      <c r="Q3911" t="s">
        <v>40043</v>
      </c>
      <c r="R3911">
        <v>305.31</v>
      </c>
      <c r="S3911" t="s">
        <v>40044</v>
      </c>
      <c r="T3911" t="s">
        <v>30</v>
      </c>
      <c r="U3911" t="s">
        <v>26044</v>
      </c>
      <c r="W3911" t="s">
        <v>28347</v>
      </c>
    </row>
    <row r="3912" spans="1:23" x14ac:dyDescent="0.35">
      <c r="A3912">
        <v>908546</v>
      </c>
      <c r="B3912" t="s">
        <v>40045</v>
      </c>
      <c r="C3912" t="str">
        <f>"9780231139007"</f>
        <v>9780231139007</v>
      </c>
      <c r="D3912" t="str">
        <f>"9780231511209"</f>
        <v>9780231511209</v>
      </c>
      <c r="E3912" t="s">
        <v>31708</v>
      </c>
      <c r="F3912" t="s">
        <v>294</v>
      </c>
      <c r="G3912" t="s">
        <v>22179</v>
      </c>
      <c r="H3912" t="s">
        <v>26004</v>
      </c>
      <c r="I3912" s="26">
        <v>39056</v>
      </c>
      <c r="J3912">
        <v>2006</v>
      </c>
      <c r="K3912" t="s">
        <v>294</v>
      </c>
      <c r="L3912">
        <v>177</v>
      </c>
      <c r="M3912" t="s">
        <v>40046</v>
      </c>
      <c r="O3912" t="s">
        <v>40047</v>
      </c>
      <c r="Q3912" t="s">
        <v>40048</v>
      </c>
      <c r="R3912">
        <v>201</v>
      </c>
      <c r="S3912" t="s">
        <v>9932</v>
      </c>
      <c r="T3912" t="s">
        <v>30</v>
      </c>
      <c r="U3912" t="s">
        <v>26099</v>
      </c>
      <c r="W3912" t="s">
        <v>28347</v>
      </c>
    </row>
    <row r="3913" spans="1:23" x14ac:dyDescent="0.35">
      <c r="A3913">
        <v>908570</v>
      </c>
      <c r="B3913" t="s">
        <v>40049</v>
      </c>
      <c r="C3913" t="str">
        <f>"9780231141543"</f>
        <v>9780231141543</v>
      </c>
      <c r="D3913" t="str">
        <f>"9780231512053"</f>
        <v>9780231512053</v>
      </c>
      <c r="E3913" t="s">
        <v>31708</v>
      </c>
      <c r="F3913" t="s">
        <v>294</v>
      </c>
      <c r="G3913" t="s">
        <v>22179</v>
      </c>
      <c r="H3913" t="s">
        <v>26004</v>
      </c>
      <c r="I3913" s="26">
        <v>39329</v>
      </c>
      <c r="J3913">
        <v>2012</v>
      </c>
      <c r="K3913" t="s">
        <v>294</v>
      </c>
      <c r="L3913">
        <v>235</v>
      </c>
      <c r="M3913" t="s">
        <v>40050</v>
      </c>
      <c r="Q3913" t="s">
        <v>40051</v>
      </c>
      <c r="R3913">
        <v>150.19499999999999</v>
      </c>
      <c r="S3913" t="s">
        <v>9296</v>
      </c>
      <c r="T3913" t="s">
        <v>30</v>
      </c>
      <c r="U3913" t="s">
        <v>26228</v>
      </c>
      <c r="W3913" t="s">
        <v>28347</v>
      </c>
    </row>
    <row r="3914" spans="1:23" x14ac:dyDescent="0.35">
      <c r="A3914">
        <v>908615</v>
      </c>
      <c r="B3914" t="s">
        <v>8160</v>
      </c>
      <c r="C3914" t="str">
        <f>"9780231146517"</f>
        <v>9780231146517</v>
      </c>
      <c r="D3914" t="str">
        <f>"9780231518659"</f>
        <v>9780231518659</v>
      </c>
      <c r="E3914" t="s">
        <v>31708</v>
      </c>
      <c r="F3914" t="s">
        <v>294</v>
      </c>
      <c r="G3914" t="s">
        <v>22179</v>
      </c>
      <c r="H3914" t="s">
        <v>26004</v>
      </c>
      <c r="I3914" s="26">
        <v>39869</v>
      </c>
      <c r="J3914">
        <v>2009</v>
      </c>
      <c r="K3914" t="s">
        <v>294</v>
      </c>
      <c r="L3914">
        <v>299</v>
      </c>
      <c r="M3914" t="s">
        <v>40052</v>
      </c>
      <c r="Q3914" t="s">
        <v>40053</v>
      </c>
      <c r="R3914">
        <v>616.89</v>
      </c>
      <c r="S3914" t="s">
        <v>40054</v>
      </c>
      <c r="T3914" t="s">
        <v>30</v>
      </c>
      <c r="U3914" t="s">
        <v>26116</v>
      </c>
      <c r="W3914" t="s">
        <v>28347</v>
      </c>
    </row>
    <row r="3915" spans="1:23" x14ac:dyDescent="0.35">
      <c r="A3915">
        <v>908811</v>
      </c>
      <c r="B3915" t="s">
        <v>40055</v>
      </c>
      <c r="C3915" t="str">
        <f>"9780231153003"</f>
        <v>9780231153003</v>
      </c>
      <c r="D3915" t="str">
        <f>"9780231526791"</f>
        <v>9780231526791</v>
      </c>
      <c r="E3915" t="s">
        <v>31708</v>
      </c>
      <c r="F3915" t="s">
        <v>294</v>
      </c>
      <c r="G3915" t="s">
        <v>22179</v>
      </c>
      <c r="H3915" t="s">
        <v>26004</v>
      </c>
      <c r="I3915" s="26">
        <v>40616</v>
      </c>
      <c r="J3915">
        <v>2011</v>
      </c>
      <c r="K3915" t="s">
        <v>294</v>
      </c>
      <c r="L3915">
        <v>216</v>
      </c>
      <c r="M3915" t="s">
        <v>40056</v>
      </c>
      <c r="O3915" t="s">
        <v>40057</v>
      </c>
      <c r="Q3915" t="s">
        <v>40058</v>
      </c>
      <c r="R3915">
        <v>305.89240000000001</v>
      </c>
      <c r="S3915" t="s">
        <v>40059</v>
      </c>
      <c r="T3915" t="s">
        <v>30</v>
      </c>
      <c r="U3915" t="s">
        <v>28111</v>
      </c>
      <c r="W3915" t="s">
        <v>28347</v>
      </c>
    </row>
    <row r="3916" spans="1:23" x14ac:dyDescent="0.35">
      <c r="A3916">
        <v>908814</v>
      </c>
      <c r="B3916" t="s">
        <v>40060</v>
      </c>
      <c r="C3916" t="str">
        <f>"9780231151634"</f>
        <v>9780231151634</v>
      </c>
      <c r="D3916" t="str">
        <f>"9780231525305"</f>
        <v>9780231525305</v>
      </c>
      <c r="E3916" t="s">
        <v>31708</v>
      </c>
      <c r="F3916" t="s">
        <v>294</v>
      </c>
      <c r="G3916" t="s">
        <v>22179</v>
      </c>
      <c r="H3916" t="s">
        <v>26004</v>
      </c>
      <c r="I3916" s="26">
        <v>40813</v>
      </c>
      <c r="J3916">
        <v>2011</v>
      </c>
      <c r="K3916" t="s">
        <v>294</v>
      </c>
      <c r="L3916">
        <v>241</v>
      </c>
      <c r="M3916" t="s">
        <v>40061</v>
      </c>
      <c r="Q3916" t="s">
        <v>40062</v>
      </c>
      <c r="R3916">
        <v>155.43</v>
      </c>
      <c r="S3916" t="s">
        <v>40063</v>
      </c>
      <c r="T3916" t="s">
        <v>30</v>
      </c>
      <c r="U3916" t="s">
        <v>46</v>
      </c>
      <c r="W3916" t="s">
        <v>28347</v>
      </c>
    </row>
    <row r="3917" spans="1:23" x14ac:dyDescent="0.35">
      <c r="A3917">
        <v>908963</v>
      </c>
      <c r="B3917" t="s">
        <v>40064</v>
      </c>
      <c r="C3917" t="str">
        <f>"9780231151535"</f>
        <v>9780231151535</v>
      </c>
      <c r="D3917" t="str">
        <f>"9780231525237"</f>
        <v>9780231525237</v>
      </c>
      <c r="E3917" t="s">
        <v>31708</v>
      </c>
      <c r="F3917" t="s">
        <v>294</v>
      </c>
      <c r="G3917" t="s">
        <v>22179</v>
      </c>
      <c r="H3917" t="s">
        <v>26004</v>
      </c>
      <c r="I3917" s="26">
        <v>40855</v>
      </c>
      <c r="J3917">
        <v>2011</v>
      </c>
      <c r="K3917" t="s">
        <v>294</v>
      </c>
      <c r="L3917">
        <v>267</v>
      </c>
      <c r="M3917" t="s">
        <v>35164</v>
      </c>
      <c r="Q3917" t="s">
        <v>40065</v>
      </c>
      <c r="R3917">
        <v>616.89139999999998</v>
      </c>
      <c r="S3917" t="s">
        <v>9160</v>
      </c>
      <c r="T3917" t="s">
        <v>30</v>
      </c>
      <c r="U3917" t="s">
        <v>26019</v>
      </c>
      <c r="W3917" t="s">
        <v>28347</v>
      </c>
    </row>
    <row r="3918" spans="1:23" x14ac:dyDescent="0.35">
      <c r="A3918">
        <v>909095</v>
      </c>
      <c r="B3918" t="s">
        <v>40066</v>
      </c>
      <c r="C3918" t="str">
        <f>"9780231132633"</f>
        <v>9780231132633</v>
      </c>
      <c r="D3918" t="str">
        <f>"9780231507264"</f>
        <v>9780231507264</v>
      </c>
      <c r="E3918" t="s">
        <v>31708</v>
      </c>
      <c r="F3918" t="s">
        <v>294</v>
      </c>
      <c r="G3918" t="s">
        <v>22179</v>
      </c>
      <c r="H3918" t="s">
        <v>26004</v>
      </c>
      <c r="I3918" s="26">
        <v>39295</v>
      </c>
      <c r="J3918">
        <v>2012</v>
      </c>
      <c r="K3918" t="s">
        <v>294</v>
      </c>
      <c r="L3918">
        <v>265</v>
      </c>
      <c r="M3918" t="s">
        <v>40067</v>
      </c>
      <c r="Q3918" t="s">
        <v>40068</v>
      </c>
      <c r="R3918">
        <v>616.89</v>
      </c>
      <c r="S3918" t="s">
        <v>40069</v>
      </c>
      <c r="T3918" t="s">
        <v>30</v>
      </c>
      <c r="U3918" t="s">
        <v>26116</v>
      </c>
      <c r="W3918" t="s">
        <v>28347</v>
      </c>
    </row>
    <row r="3919" spans="1:23" x14ac:dyDescent="0.35">
      <c r="A3919">
        <v>909134</v>
      </c>
      <c r="B3919" t="s">
        <v>40070</v>
      </c>
      <c r="C3919" t="str">
        <f>"9780231131810"</f>
        <v>9780231131810</v>
      </c>
      <c r="D3919" t="str">
        <f>"9780231506564"</f>
        <v>9780231506564</v>
      </c>
      <c r="E3919" t="s">
        <v>31708</v>
      </c>
      <c r="F3919" t="s">
        <v>294</v>
      </c>
      <c r="G3919" t="s">
        <v>22179</v>
      </c>
      <c r="H3919" t="s">
        <v>26004</v>
      </c>
      <c r="I3919" s="26">
        <v>38468</v>
      </c>
      <c r="J3919">
        <v>2005</v>
      </c>
      <c r="K3919" t="s">
        <v>294</v>
      </c>
      <c r="L3919">
        <v>305</v>
      </c>
      <c r="M3919" t="s">
        <v>40071</v>
      </c>
      <c r="Q3919" t="s">
        <v>40072</v>
      </c>
      <c r="R3919">
        <v>150.19</v>
      </c>
      <c r="S3919" t="s">
        <v>8470</v>
      </c>
      <c r="T3919" t="s">
        <v>30</v>
      </c>
      <c r="U3919" t="s">
        <v>46</v>
      </c>
      <c r="W3919" t="s">
        <v>28347</v>
      </c>
    </row>
    <row r="3920" spans="1:23" x14ac:dyDescent="0.35">
      <c r="A3920">
        <v>909139</v>
      </c>
      <c r="B3920" t="s">
        <v>8501</v>
      </c>
      <c r="C3920" t="str">
        <f>"9780231117975"</f>
        <v>9780231117975</v>
      </c>
      <c r="D3920" t="str">
        <f>"9780231508377"</f>
        <v>9780231508377</v>
      </c>
      <c r="E3920" t="s">
        <v>31708</v>
      </c>
      <c r="F3920" t="s">
        <v>294</v>
      </c>
      <c r="G3920" t="s">
        <v>22179</v>
      </c>
      <c r="H3920" t="s">
        <v>26004</v>
      </c>
      <c r="I3920" s="26">
        <v>37993</v>
      </c>
      <c r="J3920">
        <v>2012</v>
      </c>
      <c r="K3920" t="s">
        <v>294</v>
      </c>
      <c r="L3920">
        <v>197</v>
      </c>
      <c r="M3920" t="s">
        <v>40073</v>
      </c>
      <c r="Q3920" t="s">
        <v>40074</v>
      </c>
      <c r="R3920">
        <v>306.87400000000002</v>
      </c>
      <c r="S3920" t="s">
        <v>8502</v>
      </c>
      <c r="T3920" t="s">
        <v>30</v>
      </c>
      <c r="U3920" t="s">
        <v>26044</v>
      </c>
      <c r="W3920" t="s">
        <v>28347</v>
      </c>
    </row>
    <row r="3921" spans="1:23" x14ac:dyDescent="0.35">
      <c r="A3921">
        <v>909270</v>
      </c>
      <c r="B3921" t="s">
        <v>40075</v>
      </c>
      <c r="C3921" t="str">
        <f>"9780231122733"</f>
        <v>9780231122733</v>
      </c>
      <c r="D3921" t="str">
        <f>"9780231504812"</f>
        <v>9780231504812</v>
      </c>
      <c r="E3921" t="s">
        <v>31708</v>
      </c>
      <c r="F3921" t="s">
        <v>294</v>
      </c>
      <c r="G3921" t="s">
        <v>22179</v>
      </c>
      <c r="H3921" t="s">
        <v>26004</v>
      </c>
      <c r="I3921" s="26">
        <v>37321</v>
      </c>
      <c r="J3921">
        <v>2002</v>
      </c>
      <c r="K3921" t="s">
        <v>294</v>
      </c>
      <c r="L3921">
        <v>281</v>
      </c>
      <c r="M3921" t="s">
        <v>40076</v>
      </c>
      <c r="Q3921" t="s">
        <v>40077</v>
      </c>
      <c r="R3921">
        <v>362.2</v>
      </c>
      <c r="S3921" t="s">
        <v>40078</v>
      </c>
      <c r="T3921" t="s">
        <v>30</v>
      </c>
      <c r="U3921" t="s">
        <v>33552</v>
      </c>
      <c r="W3921" t="s">
        <v>28347</v>
      </c>
    </row>
    <row r="3922" spans="1:23" x14ac:dyDescent="0.35">
      <c r="A3922">
        <v>909330</v>
      </c>
      <c r="B3922" t="s">
        <v>9299</v>
      </c>
      <c r="C3922" t="str">
        <f>"9780231134095"</f>
        <v>9780231134095</v>
      </c>
      <c r="D3922" t="str">
        <f>"9780231508667"</f>
        <v>9780231508667</v>
      </c>
      <c r="E3922" t="s">
        <v>31708</v>
      </c>
      <c r="F3922" t="s">
        <v>294</v>
      </c>
      <c r="G3922" t="s">
        <v>22179</v>
      </c>
      <c r="H3922" t="s">
        <v>26004</v>
      </c>
      <c r="I3922" s="26">
        <v>38343</v>
      </c>
      <c r="J3922">
        <v>2012</v>
      </c>
      <c r="K3922" t="s">
        <v>294</v>
      </c>
      <c r="L3922">
        <v>233</v>
      </c>
      <c r="M3922" t="s">
        <v>40079</v>
      </c>
      <c r="O3922" t="s">
        <v>40080</v>
      </c>
      <c r="Q3922" t="s">
        <v>40081</v>
      </c>
      <c r="R3922">
        <v>306.76</v>
      </c>
      <c r="S3922" t="s">
        <v>40082</v>
      </c>
      <c r="T3922" t="s">
        <v>30</v>
      </c>
      <c r="U3922" t="s">
        <v>26044</v>
      </c>
      <c r="W3922" t="s">
        <v>28347</v>
      </c>
    </row>
    <row r="3923" spans="1:23" x14ac:dyDescent="0.35">
      <c r="A3923">
        <v>909332</v>
      </c>
      <c r="B3923" t="s">
        <v>40083</v>
      </c>
      <c r="C3923" t="str">
        <f>"9780231134385"</f>
        <v>9780231134385</v>
      </c>
      <c r="D3923" t="str">
        <f>"9780231508773"</f>
        <v>9780231508773</v>
      </c>
      <c r="E3923" t="s">
        <v>31708</v>
      </c>
      <c r="F3923" t="s">
        <v>294</v>
      </c>
      <c r="G3923" t="s">
        <v>22179</v>
      </c>
      <c r="H3923" t="s">
        <v>26004</v>
      </c>
      <c r="I3923" s="26">
        <v>38602</v>
      </c>
      <c r="J3923">
        <v>2012</v>
      </c>
      <c r="K3923" t="s">
        <v>294</v>
      </c>
      <c r="L3923">
        <v>357</v>
      </c>
      <c r="M3923" t="s">
        <v>40084</v>
      </c>
      <c r="Q3923" t="s">
        <v>40085</v>
      </c>
      <c r="R3923">
        <v>201</v>
      </c>
      <c r="S3923" t="s">
        <v>9783</v>
      </c>
      <c r="T3923" t="s">
        <v>30</v>
      </c>
      <c r="U3923" t="s">
        <v>34980</v>
      </c>
      <c r="W3923" t="s">
        <v>28347</v>
      </c>
    </row>
    <row r="3924" spans="1:23" x14ac:dyDescent="0.35">
      <c r="A3924">
        <v>909358</v>
      </c>
      <c r="B3924" t="s">
        <v>9307</v>
      </c>
      <c r="C3924" t="str">
        <f>"9780231151245"</f>
        <v>9780231151245</v>
      </c>
      <c r="D3924" t="str">
        <f>"9780231521925"</f>
        <v>9780231521925</v>
      </c>
      <c r="E3924" t="s">
        <v>31708</v>
      </c>
      <c r="F3924" t="s">
        <v>294</v>
      </c>
      <c r="G3924" t="s">
        <v>22179</v>
      </c>
      <c r="H3924" t="s">
        <v>26004</v>
      </c>
      <c r="I3924" s="26">
        <v>40848</v>
      </c>
      <c r="J3924">
        <v>2011</v>
      </c>
      <c r="K3924" t="s">
        <v>294</v>
      </c>
      <c r="L3924">
        <v>445</v>
      </c>
      <c r="M3924" t="s">
        <v>40086</v>
      </c>
      <c r="Q3924" t="s">
        <v>40087</v>
      </c>
      <c r="R3924">
        <v>616.89807099999996</v>
      </c>
      <c r="S3924" t="s">
        <v>9308</v>
      </c>
      <c r="T3924" t="s">
        <v>30</v>
      </c>
      <c r="U3924" t="s">
        <v>26116</v>
      </c>
      <c r="W3924" t="s">
        <v>28347</v>
      </c>
    </row>
    <row r="3925" spans="1:23" x14ac:dyDescent="0.35">
      <c r="A3925">
        <v>911844</v>
      </c>
      <c r="B3925" t="s">
        <v>9191</v>
      </c>
      <c r="C3925" t="str">
        <f>"9781442213050"</f>
        <v>9781442213050</v>
      </c>
      <c r="D3925" t="str">
        <f>"9781442213067"</f>
        <v>9781442213067</v>
      </c>
      <c r="E3925" t="s">
        <v>33803</v>
      </c>
      <c r="F3925" t="s">
        <v>38</v>
      </c>
      <c r="G3925" t="s">
        <v>33804</v>
      </c>
      <c r="H3925" t="s">
        <v>26004</v>
      </c>
      <c r="I3925" s="26">
        <v>40977</v>
      </c>
      <c r="J3925">
        <v>2011</v>
      </c>
      <c r="K3925" t="s">
        <v>38</v>
      </c>
      <c r="L3925">
        <v>208</v>
      </c>
      <c r="M3925" t="s">
        <v>40088</v>
      </c>
      <c r="N3925">
        <v>1</v>
      </c>
      <c r="Q3925" t="s">
        <v>40089</v>
      </c>
      <c r="R3925">
        <v>306.77</v>
      </c>
      <c r="S3925" t="s">
        <v>40090</v>
      </c>
      <c r="T3925" t="s">
        <v>30</v>
      </c>
      <c r="U3925" t="s">
        <v>26044</v>
      </c>
      <c r="W3925" t="s">
        <v>26009</v>
      </c>
    </row>
    <row r="3926" spans="1:23" x14ac:dyDescent="0.35">
      <c r="A3926">
        <v>912116</v>
      </c>
      <c r="B3926" t="s">
        <v>40091</v>
      </c>
      <c r="C3926" t="str">
        <f>"9780804759526"</f>
        <v>9780804759526</v>
      </c>
      <c r="D3926" t="str">
        <f>"9780804769853"</f>
        <v>9780804769853</v>
      </c>
      <c r="E3926" t="s">
        <v>8284</v>
      </c>
      <c r="F3926" t="s">
        <v>8284</v>
      </c>
      <c r="G3926" t="s">
        <v>23524</v>
      </c>
      <c r="H3926" t="s">
        <v>26004</v>
      </c>
      <c r="I3926" s="26">
        <v>39716</v>
      </c>
      <c r="J3926">
        <v>2008</v>
      </c>
      <c r="K3926" t="s">
        <v>8284</v>
      </c>
      <c r="L3926">
        <v>265</v>
      </c>
      <c r="M3926" t="s">
        <v>40092</v>
      </c>
      <c r="N3926">
        <v>1</v>
      </c>
      <c r="Q3926" t="s">
        <v>40093</v>
      </c>
      <c r="R3926" t="s">
        <v>40094</v>
      </c>
      <c r="S3926" t="s">
        <v>40095</v>
      </c>
      <c r="T3926" t="s">
        <v>30</v>
      </c>
      <c r="U3926" t="s">
        <v>366</v>
      </c>
      <c r="W3926" t="s">
        <v>26009</v>
      </c>
    </row>
    <row r="3927" spans="1:23" x14ac:dyDescent="0.35">
      <c r="A3927">
        <v>912350</v>
      </c>
      <c r="B3927" t="s">
        <v>40096</v>
      </c>
      <c r="C3927" t="str">
        <f>"9781780490717"</f>
        <v>9781780490717</v>
      </c>
      <c r="D3927" t="str">
        <f>"9781849409766"</f>
        <v>9781849409766</v>
      </c>
      <c r="E3927" t="s">
        <v>26010</v>
      </c>
      <c r="F3927" t="s">
        <v>35</v>
      </c>
      <c r="G3927" t="s">
        <v>22174</v>
      </c>
      <c r="H3927" t="s">
        <v>26011</v>
      </c>
      <c r="I3927" s="26">
        <v>41274</v>
      </c>
      <c r="J3927">
        <v>2012</v>
      </c>
      <c r="K3927" t="s">
        <v>26012</v>
      </c>
      <c r="L3927">
        <v>350</v>
      </c>
      <c r="M3927" t="s">
        <v>40097</v>
      </c>
      <c r="N3927">
        <v>1</v>
      </c>
      <c r="Q3927" t="s">
        <v>40098</v>
      </c>
      <c r="R3927">
        <v>152.41</v>
      </c>
      <c r="S3927" t="s">
        <v>40099</v>
      </c>
      <c r="T3927" t="s">
        <v>30</v>
      </c>
      <c r="U3927" t="s">
        <v>46</v>
      </c>
      <c r="W3927" t="s">
        <v>26009</v>
      </c>
    </row>
    <row r="3928" spans="1:23" x14ac:dyDescent="0.35">
      <c r="A3928">
        <v>913995</v>
      </c>
      <c r="B3928" t="s">
        <v>40100</v>
      </c>
      <c r="C3928" t="str">
        <f>"9781780490724"</f>
        <v>9781780490724</v>
      </c>
      <c r="D3928" t="str">
        <f>"9781849409803"</f>
        <v>9781849409803</v>
      </c>
      <c r="E3928" t="s">
        <v>26010</v>
      </c>
      <c r="F3928" t="s">
        <v>35</v>
      </c>
      <c r="G3928" t="s">
        <v>22174</v>
      </c>
      <c r="H3928" t="s">
        <v>26011</v>
      </c>
      <c r="I3928" s="26">
        <v>41274</v>
      </c>
      <c r="J3928">
        <v>2012</v>
      </c>
      <c r="K3928" t="s">
        <v>26012</v>
      </c>
      <c r="L3928">
        <v>280</v>
      </c>
      <c r="M3928" t="s">
        <v>36610</v>
      </c>
      <c r="N3928">
        <v>1</v>
      </c>
      <c r="Q3928" t="s">
        <v>40101</v>
      </c>
      <c r="R3928">
        <v>616.8913</v>
      </c>
      <c r="S3928" t="s">
        <v>40102</v>
      </c>
      <c r="T3928" t="s">
        <v>30</v>
      </c>
      <c r="U3928" t="s">
        <v>26116</v>
      </c>
      <c r="W3928" t="s">
        <v>26009</v>
      </c>
    </row>
    <row r="3929" spans="1:23" x14ac:dyDescent="0.35">
      <c r="A3929">
        <v>914972</v>
      </c>
      <c r="B3929" t="s">
        <v>40103</v>
      </c>
      <c r="C3929" t="str">
        <f>"9780765708922"</f>
        <v>9780765708922</v>
      </c>
      <c r="D3929" t="str">
        <f>"9780765708939"</f>
        <v>9780765708939</v>
      </c>
      <c r="E3929" t="s">
        <v>33803</v>
      </c>
      <c r="F3929" t="s">
        <v>38</v>
      </c>
      <c r="G3929" t="s">
        <v>34138</v>
      </c>
      <c r="H3929" t="s">
        <v>26004</v>
      </c>
      <c r="I3929" s="26">
        <v>41025</v>
      </c>
      <c r="J3929">
        <v>2012</v>
      </c>
      <c r="K3929" t="s">
        <v>33811</v>
      </c>
      <c r="L3929">
        <v>169</v>
      </c>
      <c r="M3929" t="s">
        <v>40104</v>
      </c>
      <c r="N3929">
        <v>1</v>
      </c>
      <c r="Q3929" t="s">
        <v>40105</v>
      </c>
      <c r="R3929" t="s">
        <v>37229</v>
      </c>
      <c r="S3929" t="s">
        <v>40106</v>
      </c>
      <c r="T3929" t="s">
        <v>30</v>
      </c>
      <c r="U3929" t="s">
        <v>26116</v>
      </c>
      <c r="W3929" t="s">
        <v>26009</v>
      </c>
    </row>
    <row r="3930" spans="1:23" x14ac:dyDescent="0.35">
      <c r="A3930">
        <v>915556</v>
      </c>
      <c r="B3930" t="s">
        <v>9595</v>
      </c>
      <c r="C3930" t="str">
        <f>"9780335243914"</f>
        <v>9780335243914</v>
      </c>
      <c r="D3930" t="str">
        <f>"9780335243921"</f>
        <v>9780335243921</v>
      </c>
      <c r="E3930" t="s">
        <v>29061</v>
      </c>
      <c r="F3930" t="s">
        <v>7477</v>
      </c>
      <c r="G3930" t="s">
        <v>29068</v>
      </c>
      <c r="H3930" t="s">
        <v>26011</v>
      </c>
      <c r="I3930" s="26">
        <v>41030</v>
      </c>
      <c r="J3930">
        <v>2012</v>
      </c>
      <c r="K3930" t="s">
        <v>29063</v>
      </c>
      <c r="L3930">
        <v>322</v>
      </c>
      <c r="M3930" t="s">
        <v>40107</v>
      </c>
      <c r="N3930">
        <v>4</v>
      </c>
      <c r="O3930" t="s">
        <v>29065</v>
      </c>
      <c r="Q3930" t="s">
        <v>40108</v>
      </c>
      <c r="R3930">
        <v>610.73</v>
      </c>
      <c r="S3930" t="s">
        <v>40109</v>
      </c>
      <c r="T3930" t="s">
        <v>30</v>
      </c>
      <c r="U3930" t="s">
        <v>39618</v>
      </c>
      <c r="W3930" t="s">
        <v>26009</v>
      </c>
    </row>
    <row r="3931" spans="1:23" x14ac:dyDescent="0.35">
      <c r="A3931">
        <v>915557</v>
      </c>
      <c r="B3931" t="s">
        <v>9669</v>
      </c>
      <c r="C3931" t="str">
        <f>"9780335241415"</f>
        <v>9780335241415</v>
      </c>
      <c r="D3931" t="str">
        <f>"9780335241439"</f>
        <v>9780335241439</v>
      </c>
      <c r="E3931" t="s">
        <v>29061</v>
      </c>
      <c r="F3931" t="s">
        <v>7477</v>
      </c>
      <c r="G3931" t="s">
        <v>29068</v>
      </c>
      <c r="H3931" t="s">
        <v>26011</v>
      </c>
      <c r="I3931" s="26">
        <v>41030</v>
      </c>
      <c r="J3931">
        <v>2012</v>
      </c>
      <c r="K3931" t="s">
        <v>29063</v>
      </c>
      <c r="L3931">
        <v>259</v>
      </c>
      <c r="M3931" t="s">
        <v>40110</v>
      </c>
      <c r="N3931">
        <v>1</v>
      </c>
      <c r="O3931" t="s">
        <v>29074</v>
      </c>
      <c r="Q3931" t="s">
        <v>40111</v>
      </c>
      <c r="R3931">
        <v>150.72</v>
      </c>
      <c r="S3931" t="s">
        <v>40112</v>
      </c>
      <c r="T3931" t="s">
        <v>30</v>
      </c>
      <c r="U3931" t="s">
        <v>46</v>
      </c>
      <c r="W3931" t="s">
        <v>26009</v>
      </c>
    </row>
    <row r="3932" spans="1:23" x14ac:dyDescent="0.35">
      <c r="A3932">
        <v>916057</v>
      </c>
      <c r="B3932" t="s">
        <v>40113</v>
      </c>
      <c r="C3932" t="str">
        <f>"9780195389944"</f>
        <v>9780195389944</v>
      </c>
      <c r="D3932" t="str">
        <f>"9780199938506"</f>
        <v>9780199938506</v>
      </c>
      <c r="E3932" t="s">
        <v>371</v>
      </c>
      <c r="F3932" t="s">
        <v>31</v>
      </c>
      <c r="G3932" t="s">
        <v>22703</v>
      </c>
      <c r="H3932" t="s">
        <v>26004</v>
      </c>
      <c r="I3932" s="26">
        <v>41058</v>
      </c>
      <c r="J3932">
        <v>2012</v>
      </c>
      <c r="K3932" t="s">
        <v>31</v>
      </c>
      <c r="L3932">
        <v>383</v>
      </c>
      <c r="M3932" t="s">
        <v>40114</v>
      </c>
      <c r="Q3932" t="s">
        <v>40115</v>
      </c>
      <c r="R3932" t="s">
        <v>34633</v>
      </c>
      <c r="S3932" t="s">
        <v>40116</v>
      </c>
      <c r="T3932" t="s">
        <v>30</v>
      </c>
      <c r="U3932" t="s">
        <v>28893</v>
      </c>
      <c r="W3932" t="s">
        <v>26009</v>
      </c>
    </row>
    <row r="3933" spans="1:23" x14ac:dyDescent="0.35">
      <c r="A3933">
        <v>916058</v>
      </c>
      <c r="B3933" t="s">
        <v>7656</v>
      </c>
      <c r="C3933" t="str">
        <f>"9780199743261"</f>
        <v>9780199743261</v>
      </c>
      <c r="D3933" t="str">
        <f>"9780199938490"</f>
        <v>9780199938490</v>
      </c>
      <c r="E3933" t="s">
        <v>371</v>
      </c>
      <c r="F3933" t="s">
        <v>31</v>
      </c>
      <c r="G3933" t="s">
        <v>22703</v>
      </c>
      <c r="H3933" t="s">
        <v>26004</v>
      </c>
      <c r="I3933" s="26">
        <v>41053</v>
      </c>
      <c r="J3933">
        <v>2013</v>
      </c>
      <c r="K3933" t="s">
        <v>31</v>
      </c>
      <c r="L3933">
        <v>442</v>
      </c>
      <c r="M3933" t="s">
        <v>40117</v>
      </c>
      <c r="N3933">
        <v>2</v>
      </c>
      <c r="Q3933" t="s">
        <v>40118</v>
      </c>
      <c r="R3933" t="s">
        <v>40119</v>
      </c>
      <c r="S3933" t="s">
        <v>40120</v>
      </c>
      <c r="T3933" t="s">
        <v>30</v>
      </c>
      <c r="U3933" t="s">
        <v>28893</v>
      </c>
      <c r="W3933" t="s">
        <v>26009</v>
      </c>
    </row>
    <row r="3934" spans="1:23" x14ac:dyDescent="0.35">
      <c r="A3934">
        <v>917255</v>
      </c>
      <c r="B3934" t="s">
        <v>40121</v>
      </c>
      <c r="C3934" t="str">
        <f>"9781462504770"</f>
        <v>9781462504770</v>
      </c>
      <c r="D3934" t="str">
        <f>"9781462504909"</f>
        <v>9781462504909</v>
      </c>
      <c r="E3934" t="s">
        <v>30112</v>
      </c>
      <c r="F3934" t="s">
        <v>7420</v>
      </c>
      <c r="G3934" t="s">
        <v>22179</v>
      </c>
      <c r="H3934" t="s">
        <v>26004</v>
      </c>
      <c r="I3934" s="26">
        <v>41038</v>
      </c>
      <c r="J3934">
        <v>2012</v>
      </c>
      <c r="K3934" t="s">
        <v>30113</v>
      </c>
      <c r="L3934">
        <v>354</v>
      </c>
      <c r="M3934" t="s">
        <v>40122</v>
      </c>
      <c r="N3934">
        <v>1</v>
      </c>
      <c r="O3934" t="s">
        <v>31750</v>
      </c>
      <c r="Q3934" t="s">
        <v>40123</v>
      </c>
      <c r="R3934">
        <v>371.9</v>
      </c>
      <c r="S3934" t="s">
        <v>40124</v>
      </c>
      <c r="T3934" t="s">
        <v>30</v>
      </c>
      <c r="U3934" t="s">
        <v>337</v>
      </c>
      <c r="W3934" t="s">
        <v>28347</v>
      </c>
    </row>
    <row r="3935" spans="1:23" x14ac:dyDescent="0.35">
      <c r="A3935">
        <v>917256</v>
      </c>
      <c r="B3935" t="s">
        <v>40125</v>
      </c>
      <c r="C3935" t="str">
        <f>"9781462504800"</f>
        <v>9781462504800</v>
      </c>
      <c r="D3935" t="str">
        <f>"9781462504862"</f>
        <v>9781462504862</v>
      </c>
      <c r="E3935" t="s">
        <v>30112</v>
      </c>
      <c r="F3935" t="s">
        <v>7420</v>
      </c>
      <c r="G3935" t="s">
        <v>22179</v>
      </c>
      <c r="H3935" t="s">
        <v>26004</v>
      </c>
      <c r="I3935" s="26">
        <v>41031</v>
      </c>
      <c r="J3935">
        <v>2012</v>
      </c>
      <c r="K3935" t="s">
        <v>30113</v>
      </c>
      <c r="L3935">
        <v>233</v>
      </c>
      <c r="M3935" t="s">
        <v>40126</v>
      </c>
      <c r="N3935">
        <v>1</v>
      </c>
      <c r="Q3935" t="s">
        <v>40127</v>
      </c>
      <c r="R3935" t="s">
        <v>29524</v>
      </c>
      <c r="S3935" t="s">
        <v>40128</v>
      </c>
      <c r="T3935" t="s">
        <v>30</v>
      </c>
      <c r="U3935" t="s">
        <v>26019</v>
      </c>
      <c r="W3935" t="s">
        <v>28347</v>
      </c>
    </row>
    <row r="3936" spans="1:23" x14ac:dyDescent="0.35">
      <c r="A3936">
        <v>919516</v>
      </c>
      <c r="B3936" t="s">
        <v>40129</v>
      </c>
      <c r="C3936" t="str">
        <f>"9780759108851"</f>
        <v>9780759108851</v>
      </c>
      <c r="D3936" t="str">
        <f>"9780759121287"</f>
        <v>9780759121287</v>
      </c>
      <c r="E3936" t="s">
        <v>33803</v>
      </c>
      <c r="F3936" t="s">
        <v>10216</v>
      </c>
      <c r="G3936" t="s">
        <v>40130</v>
      </c>
      <c r="H3936" t="s">
        <v>26004</v>
      </c>
      <c r="I3936" s="26">
        <v>41033</v>
      </c>
      <c r="J3936">
        <v>2011</v>
      </c>
      <c r="K3936" t="s">
        <v>10216</v>
      </c>
      <c r="L3936">
        <v>196</v>
      </c>
      <c r="M3936" t="s">
        <v>40131</v>
      </c>
      <c r="N3936">
        <v>1</v>
      </c>
      <c r="Q3936" t="s">
        <v>40132</v>
      </c>
      <c r="R3936" t="s">
        <v>40133</v>
      </c>
      <c r="S3936" t="s">
        <v>40134</v>
      </c>
      <c r="T3936" t="s">
        <v>30</v>
      </c>
      <c r="U3936" t="s">
        <v>40135</v>
      </c>
      <c r="W3936" t="s">
        <v>26009</v>
      </c>
    </row>
    <row r="3937" spans="1:23" x14ac:dyDescent="0.35">
      <c r="A3937">
        <v>920556</v>
      </c>
      <c r="B3937" t="s">
        <v>40136</v>
      </c>
      <c r="C3937" t="str">
        <f>"9781878978462"</f>
        <v>9781878978462</v>
      </c>
      <c r="D3937" t="str">
        <f>"9781608828111"</f>
        <v>9781608828111</v>
      </c>
      <c r="E3937" t="s">
        <v>7424</v>
      </c>
      <c r="F3937" t="s">
        <v>7419</v>
      </c>
      <c r="G3937" t="s">
        <v>40137</v>
      </c>
      <c r="H3937" t="s">
        <v>26004</v>
      </c>
      <c r="I3937" s="26">
        <v>37987</v>
      </c>
      <c r="J3937">
        <v>2004</v>
      </c>
      <c r="K3937" t="s">
        <v>7419</v>
      </c>
      <c r="L3937">
        <v>159</v>
      </c>
      <c r="M3937" t="s">
        <v>40138</v>
      </c>
      <c r="N3937">
        <v>1</v>
      </c>
      <c r="O3937" t="s">
        <v>7419</v>
      </c>
      <c r="Q3937" t="s">
        <v>40139</v>
      </c>
      <c r="R3937">
        <v>150.1943</v>
      </c>
      <c r="S3937" t="s">
        <v>7964</v>
      </c>
      <c r="T3937" t="s">
        <v>30</v>
      </c>
      <c r="U3937" t="s">
        <v>46</v>
      </c>
      <c r="W3937" t="s">
        <v>26009</v>
      </c>
    </row>
    <row r="3938" spans="1:23" x14ac:dyDescent="0.35">
      <c r="A3938">
        <v>920695</v>
      </c>
      <c r="B3938" t="s">
        <v>40140</v>
      </c>
      <c r="C3938" t="str">
        <f>"9781780491356"</f>
        <v>9781780491356</v>
      </c>
      <c r="D3938" t="str">
        <f>"9781849409841"</f>
        <v>9781849409841</v>
      </c>
      <c r="E3938" t="s">
        <v>26010</v>
      </c>
      <c r="F3938" t="s">
        <v>35</v>
      </c>
      <c r="G3938" t="s">
        <v>22174</v>
      </c>
      <c r="H3938" t="s">
        <v>26011</v>
      </c>
      <c r="I3938" s="26">
        <v>41274</v>
      </c>
      <c r="J3938">
        <v>2012</v>
      </c>
      <c r="K3938" t="s">
        <v>26012</v>
      </c>
      <c r="L3938">
        <v>80</v>
      </c>
      <c r="M3938" t="s">
        <v>37941</v>
      </c>
      <c r="N3938">
        <v>1</v>
      </c>
      <c r="Q3938" t="s">
        <v>40141</v>
      </c>
      <c r="R3938">
        <v>618.92858820000004</v>
      </c>
      <c r="S3938" t="s">
        <v>40142</v>
      </c>
      <c r="T3938" t="s">
        <v>30</v>
      </c>
      <c r="U3938" t="s">
        <v>26116</v>
      </c>
      <c r="W3938" t="s">
        <v>26009</v>
      </c>
    </row>
    <row r="3939" spans="1:23" x14ac:dyDescent="0.35">
      <c r="A3939">
        <v>922195</v>
      </c>
      <c r="B3939" t="s">
        <v>8655</v>
      </c>
      <c r="C3939" t="str">
        <f>"9781462505111"</f>
        <v>9781462505111</v>
      </c>
      <c r="D3939" t="str">
        <f>"9781462505166"</f>
        <v>9781462505166</v>
      </c>
      <c r="E3939" t="s">
        <v>30112</v>
      </c>
      <c r="F3939" t="s">
        <v>7420</v>
      </c>
      <c r="G3939" t="s">
        <v>22179</v>
      </c>
      <c r="H3939" t="s">
        <v>26004</v>
      </c>
      <c r="I3939" s="26">
        <v>41080</v>
      </c>
      <c r="J3939">
        <v>2012</v>
      </c>
      <c r="K3939" t="s">
        <v>30113</v>
      </c>
      <c r="L3939">
        <v>480</v>
      </c>
      <c r="M3939" t="s">
        <v>40143</v>
      </c>
      <c r="N3939">
        <v>1</v>
      </c>
      <c r="Q3939" t="s">
        <v>40144</v>
      </c>
      <c r="R3939">
        <v>155.19999999999999</v>
      </c>
      <c r="S3939" t="s">
        <v>40145</v>
      </c>
      <c r="T3939" t="s">
        <v>30</v>
      </c>
      <c r="U3939" t="s">
        <v>46</v>
      </c>
      <c r="W3939" t="s">
        <v>28347</v>
      </c>
    </row>
    <row r="3940" spans="1:23" x14ac:dyDescent="0.35">
      <c r="A3940">
        <v>922909</v>
      </c>
      <c r="B3940" t="s">
        <v>40146</v>
      </c>
      <c r="C3940" t="str">
        <f>"9780520054516"</f>
        <v>9780520054516</v>
      </c>
      <c r="D3940" t="str">
        <f>"9780520907751"</f>
        <v>9780520907751</v>
      </c>
      <c r="E3940" t="s">
        <v>1612</v>
      </c>
      <c r="F3940" t="s">
        <v>1612</v>
      </c>
      <c r="G3940" t="s">
        <v>22630</v>
      </c>
      <c r="H3940" t="s">
        <v>26004</v>
      </c>
      <c r="I3940" s="26">
        <v>31204</v>
      </c>
      <c r="J3940">
        <v>1985</v>
      </c>
      <c r="K3940" t="s">
        <v>1612</v>
      </c>
      <c r="L3940">
        <v>369</v>
      </c>
      <c r="M3940" t="s">
        <v>40147</v>
      </c>
      <c r="N3940">
        <v>1</v>
      </c>
      <c r="R3940" t="s">
        <v>29799</v>
      </c>
      <c r="S3940" t="s">
        <v>40148</v>
      </c>
      <c r="T3940" t="s">
        <v>30</v>
      </c>
      <c r="U3940" t="s">
        <v>26250</v>
      </c>
      <c r="W3940" t="s">
        <v>26009</v>
      </c>
    </row>
    <row r="3941" spans="1:23" x14ac:dyDescent="0.35">
      <c r="A3941">
        <v>928384</v>
      </c>
      <c r="B3941" t="s">
        <v>40149</v>
      </c>
      <c r="C3941" t="str">
        <f>"9781921513626"</f>
        <v>9781921513626</v>
      </c>
      <c r="D3941" t="str">
        <f>"9781921513633"</f>
        <v>9781921513633</v>
      </c>
      <c r="E3941" t="s">
        <v>7422</v>
      </c>
      <c r="F3941" t="s">
        <v>7422</v>
      </c>
      <c r="G3941" t="s">
        <v>22617</v>
      </c>
      <c r="H3941" t="s">
        <v>31108</v>
      </c>
      <c r="I3941" s="26">
        <v>40360</v>
      </c>
      <c r="J3941">
        <v>2010</v>
      </c>
      <c r="K3941" t="s">
        <v>7422</v>
      </c>
      <c r="L3941">
        <v>247</v>
      </c>
      <c r="M3941" t="s">
        <v>40150</v>
      </c>
      <c r="N3941">
        <v>1</v>
      </c>
      <c r="Q3941" t="s">
        <v>40151</v>
      </c>
      <c r="R3941" t="s">
        <v>40152</v>
      </c>
      <c r="S3941" t="s">
        <v>40153</v>
      </c>
      <c r="T3941" t="s">
        <v>30</v>
      </c>
      <c r="U3941" t="s">
        <v>26019</v>
      </c>
      <c r="W3941" t="s">
        <v>26009</v>
      </c>
    </row>
    <row r="3942" spans="1:23" x14ac:dyDescent="0.35">
      <c r="A3942">
        <v>928423</v>
      </c>
      <c r="B3942" t="s">
        <v>9667</v>
      </c>
      <c r="C3942" t="str">
        <f>"9781611321623"</f>
        <v>9781611321623</v>
      </c>
      <c r="D3942" t="str">
        <f>"9781611321647"</f>
        <v>9781611321647</v>
      </c>
      <c r="E3942" t="s">
        <v>26010</v>
      </c>
      <c r="F3942" t="s">
        <v>35</v>
      </c>
      <c r="G3942" t="s">
        <v>36267</v>
      </c>
      <c r="H3942" t="s">
        <v>26004</v>
      </c>
      <c r="I3942" s="26">
        <v>41029</v>
      </c>
      <c r="J3942">
        <v>2012</v>
      </c>
      <c r="K3942" t="s">
        <v>26012</v>
      </c>
      <c r="L3942">
        <v>265</v>
      </c>
      <c r="M3942" t="s">
        <v>36268</v>
      </c>
      <c r="N3942">
        <v>1</v>
      </c>
      <c r="O3942" t="s">
        <v>36269</v>
      </c>
      <c r="P3942">
        <v>7</v>
      </c>
      <c r="Q3942" t="s">
        <v>40154</v>
      </c>
      <c r="R3942" t="s">
        <v>35760</v>
      </c>
      <c r="S3942" t="s">
        <v>40155</v>
      </c>
      <c r="T3942" t="s">
        <v>30</v>
      </c>
      <c r="U3942" t="s">
        <v>28449</v>
      </c>
      <c r="W3942" t="s">
        <v>26009</v>
      </c>
    </row>
    <row r="3943" spans="1:23" x14ac:dyDescent="0.35">
      <c r="A3943">
        <v>929184</v>
      </c>
      <c r="B3943" t="s">
        <v>40156</v>
      </c>
      <c r="C3943" t="str">
        <f>"9783110162073"</f>
        <v>9783110162073</v>
      </c>
      <c r="D3943" t="str">
        <f>"9783110804607"</f>
        <v>9783110804607</v>
      </c>
      <c r="E3943" t="s">
        <v>30630</v>
      </c>
      <c r="F3943" t="s">
        <v>7451</v>
      </c>
      <c r="G3943" t="s">
        <v>30631</v>
      </c>
      <c r="H3943" t="s">
        <v>30632</v>
      </c>
      <c r="I3943" s="26">
        <v>35962</v>
      </c>
      <c r="J3943">
        <v>1998</v>
      </c>
      <c r="K3943" t="s">
        <v>31609</v>
      </c>
      <c r="L3943">
        <v>508</v>
      </c>
      <c r="M3943" t="s">
        <v>40157</v>
      </c>
      <c r="N3943">
        <v>1</v>
      </c>
      <c r="O3943" t="s">
        <v>40158</v>
      </c>
      <c r="P3943">
        <v>3</v>
      </c>
      <c r="T3943" t="s">
        <v>30</v>
      </c>
      <c r="U3943" t="s">
        <v>35982</v>
      </c>
      <c r="W3943" t="s">
        <v>26009</v>
      </c>
    </row>
    <row r="3944" spans="1:23" x14ac:dyDescent="0.35">
      <c r="A3944">
        <v>929369</v>
      </c>
      <c r="B3944" t="s">
        <v>9177</v>
      </c>
      <c r="C3944" t="str">
        <f>"9781462504817"</f>
        <v>9781462504817</v>
      </c>
      <c r="D3944" t="str">
        <f>"9781462504879"</f>
        <v>9781462504879</v>
      </c>
      <c r="E3944" t="s">
        <v>30112</v>
      </c>
      <c r="F3944" t="s">
        <v>7420</v>
      </c>
      <c r="G3944" t="s">
        <v>22179</v>
      </c>
      <c r="H3944" t="s">
        <v>26004</v>
      </c>
      <c r="I3944" s="26">
        <v>41064</v>
      </c>
      <c r="J3944">
        <v>2012</v>
      </c>
      <c r="K3944" t="s">
        <v>30113</v>
      </c>
      <c r="L3944">
        <v>290</v>
      </c>
      <c r="M3944" t="s">
        <v>40159</v>
      </c>
      <c r="N3944">
        <v>1</v>
      </c>
      <c r="O3944" t="s">
        <v>40160</v>
      </c>
      <c r="Q3944" t="s">
        <v>40161</v>
      </c>
      <c r="R3944" t="s">
        <v>40162</v>
      </c>
      <c r="S3944" t="s">
        <v>40163</v>
      </c>
      <c r="T3944" t="s">
        <v>30</v>
      </c>
      <c r="U3944" t="s">
        <v>46</v>
      </c>
      <c r="W3944" t="s">
        <v>28347</v>
      </c>
    </row>
    <row r="3945" spans="1:23" x14ac:dyDescent="0.35">
      <c r="A3945">
        <v>931751</v>
      </c>
      <c r="B3945" t="s">
        <v>40164</v>
      </c>
      <c r="C3945" t="str">
        <f>"9781459707863"</f>
        <v>9781459707863</v>
      </c>
      <c r="D3945" t="str">
        <f>"9781459707870"</f>
        <v>9781459707870</v>
      </c>
      <c r="E3945" t="s">
        <v>40165</v>
      </c>
      <c r="F3945" t="s">
        <v>40166</v>
      </c>
      <c r="G3945" t="s">
        <v>22634</v>
      </c>
      <c r="H3945" t="s">
        <v>28207</v>
      </c>
      <c r="I3945" s="26">
        <v>41422</v>
      </c>
      <c r="J3945">
        <v>2013</v>
      </c>
      <c r="K3945" t="s">
        <v>40166</v>
      </c>
      <c r="L3945">
        <v>201</v>
      </c>
      <c r="M3945" t="s">
        <v>7503</v>
      </c>
      <c r="N3945">
        <v>1</v>
      </c>
      <c r="Q3945" t="s">
        <v>31178</v>
      </c>
      <c r="R3945">
        <v>616.89009199999998</v>
      </c>
      <c r="S3945" t="s">
        <v>7503</v>
      </c>
      <c r="T3945" t="s">
        <v>30</v>
      </c>
      <c r="U3945" t="s">
        <v>26116</v>
      </c>
      <c r="W3945" t="s">
        <v>26009</v>
      </c>
    </row>
    <row r="3946" spans="1:23" x14ac:dyDescent="0.35">
      <c r="A3946">
        <v>931987</v>
      </c>
      <c r="B3946" t="s">
        <v>40167</v>
      </c>
      <c r="C3946" t="str">
        <f>"9781462504299"</f>
        <v>9781462504299</v>
      </c>
      <c r="D3946" t="str">
        <f>"9781462504503"</f>
        <v>9781462504503</v>
      </c>
      <c r="E3946" t="s">
        <v>30112</v>
      </c>
      <c r="F3946" t="s">
        <v>7420</v>
      </c>
      <c r="G3946" t="s">
        <v>22179</v>
      </c>
      <c r="H3946" t="s">
        <v>26004</v>
      </c>
      <c r="I3946" s="26">
        <v>41080</v>
      </c>
      <c r="J3946">
        <v>2012</v>
      </c>
      <c r="K3946" t="s">
        <v>30113</v>
      </c>
      <c r="L3946">
        <v>421</v>
      </c>
      <c r="M3946" t="s">
        <v>40168</v>
      </c>
      <c r="N3946">
        <v>1</v>
      </c>
      <c r="Q3946" t="s">
        <v>40169</v>
      </c>
      <c r="R3946" t="s">
        <v>28597</v>
      </c>
      <c r="S3946" t="s">
        <v>40170</v>
      </c>
      <c r="T3946" t="s">
        <v>30</v>
      </c>
      <c r="U3946" t="s">
        <v>26040</v>
      </c>
      <c r="W3946" t="s">
        <v>28347</v>
      </c>
    </row>
    <row r="3947" spans="1:23" x14ac:dyDescent="0.35">
      <c r="A3947">
        <v>931993</v>
      </c>
      <c r="B3947" t="s">
        <v>40171</v>
      </c>
      <c r="C3947" t="str">
        <f>"9781855754768"</f>
        <v>9781855754768</v>
      </c>
      <c r="D3947" t="str">
        <f>"9781849409872"</f>
        <v>9781849409872</v>
      </c>
      <c r="E3947" t="s">
        <v>26010</v>
      </c>
      <c r="F3947" t="s">
        <v>35</v>
      </c>
      <c r="G3947" t="s">
        <v>26128</v>
      </c>
      <c r="H3947" t="s">
        <v>26011</v>
      </c>
      <c r="I3947" s="26">
        <v>41274</v>
      </c>
      <c r="J3947">
        <v>2012</v>
      </c>
      <c r="K3947" t="s">
        <v>26012</v>
      </c>
      <c r="L3947">
        <v>273</v>
      </c>
      <c r="M3947" t="s">
        <v>37081</v>
      </c>
      <c r="N3947">
        <v>1</v>
      </c>
      <c r="R3947">
        <v>294.39270190000002</v>
      </c>
      <c r="S3947" t="s">
        <v>7661</v>
      </c>
      <c r="T3947" t="s">
        <v>30</v>
      </c>
      <c r="U3947" t="s">
        <v>11247</v>
      </c>
      <c r="W3947" t="s">
        <v>26009</v>
      </c>
    </row>
    <row r="3948" spans="1:23" x14ac:dyDescent="0.35">
      <c r="A3948">
        <v>931994</v>
      </c>
      <c r="B3948" t="s">
        <v>40172</v>
      </c>
      <c r="C3948" t="str">
        <f>"9781780490236"</f>
        <v>9781780490236</v>
      </c>
      <c r="D3948" t="str">
        <f>"9781849409926"</f>
        <v>9781849409926</v>
      </c>
      <c r="E3948" t="s">
        <v>26010</v>
      </c>
      <c r="F3948" t="s">
        <v>35</v>
      </c>
      <c r="G3948" t="s">
        <v>22174</v>
      </c>
      <c r="H3948" t="s">
        <v>26011</v>
      </c>
      <c r="I3948" s="26">
        <v>41274</v>
      </c>
      <c r="J3948">
        <v>2012</v>
      </c>
      <c r="K3948" t="s">
        <v>26012</v>
      </c>
      <c r="L3948">
        <v>266</v>
      </c>
      <c r="M3948" t="s">
        <v>40173</v>
      </c>
      <c r="N3948">
        <v>1</v>
      </c>
      <c r="Q3948" t="s">
        <v>40174</v>
      </c>
      <c r="R3948">
        <v>616.89099999999996</v>
      </c>
      <c r="S3948" t="s">
        <v>40175</v>
      </c>
      <c r="T3948" t="s">
        <v>30</v>
      </c>
      <c r="U3948" t="s">
        <v>26019</v>
      </c>
      <c r="W3948" t="s">
        <v>26009</v>
      </c>
    </row>
    <row r="3949" spans="1:23" x14ac:dyDescent="0.35">
      <c r="A3949">
        <v>934450</v>
      </c>
      <c r="B3949" t="s">
        <v>9452</v>
      </c>
      <c r="C3949" t="str">
        <f>"9780875530161"</f>
        <v>9780875530161</v>
      </c>
      <c r="D3949" t="str">
        <f>"9780875532622"</f>
        <v>9780875532622</v>
      </c>
      <c r="E3949" t="s">
        <v>494</v>
      </c>
      <c r="F3949" t="s">
        <v>9453</v>
      </c>
      <c r="G3949" t="s">
        <v>22254</v>
      </c>
      <c r="H3949" t="s">
        <v>26004</v>
      </c>
      <c r="I3949" s="26">
        <v>41030</v>
      </c>
      <c r="J3949">
        <v>2013</v>
      </c>
      <c r="K3949" t="s">
        <v>494</v>
      </c>
      <c r="L3949">
        <v>284</v>
      </c>
      <c r="M3949" t="s">
        <v>40176</v>
      </c>
      <c r="N3949">
        <v>1</v>
      </c>
      <c r="Q3949" t="s">
        <v>40177</v>
      </c>
      <c r="R3949" t="s">
        <v>27184</v>
      </c>
      <c r="S3949" t="s">
        <v>40178</v>
      </c>
      <c r="T3949" t="s">
        <v>30</v>
      </c>
      <c r="U3949" t="s">
        <v>26019</v>
      </c>
      <c r="W3949" t="s">
        <v>39479</v>
      </c>
    </row>
    <row r="3950" spans="1:23" x14ac:dyDescent="0.35">
      <c r="A3950">
        <v>935363</v>
      </c>
      <c r="B3950" t="s">
        <v>40179</v>
      </c>
      <c r="C3950" t="str">
        <f>"9783110172829"</f>
        <v>9783110172829</v>
      </c>
      <c r="D3950" t="str">
        <f>"9783110889468"</f>
        <v>9783110889468</v>
      </c>
      <c r="E3950" t="s">
        <v>30630</v>
      </c>
      <c r="F3950" t="s">
        <v>7451</v>
      </c>
      <c r="G3950" t="s">
        <v>30631</v>
      </c>
      <c r="H3950" t="s">
        <v>30632</v>
      </c>
      <c r="I3950" s="26">
        <v>37274</v>
      </c>
      <c r="J3950">
        <v>2002</v>
      </c>
      <c r="K3950" t="s">
        <v>31609</v>
      </c>
      <c r="L3950">
        <v>292</v>
      </c>
      <c r="M3950" t="s">
        <v>40180</v>
      </c>
      <c r="N3950">
        <v>2</v>
      </c>
      <c r="S3950" t="s">
        <v>40181</v>
      </c>
      <c r="T3950" t="s">
        <v>30</v>
      </c>
      <c r="U3950" t="s">
        <v>40182</v>
      </c>
      <c r="W3950" t="s">
        <v>26009</v>
      </c>
    </row>
    <row r="3951" spans="1:23" x14ac:dyDescent="0.35">
      <c r="A3951">
        <v>939565</v>
      </c>
      <c r="B3951" t="s">
        <v>40183</v>
      </c>
      <c r="C3951" t="str">
        <f>"9789027241573"</f>
        <v>9789027241573</v>
      </c>
      <c r="D3951" t="str">
        <f>"9789027274755"</f>
        <v>9789027274755</v>
      </c>
      <c r="E3951" t="s">
        <v>35211</v>
      </c>
      <c r="F3951" t="s">
        <v>7610</v>
      </c>
      <c r="G3951" t="s">
        <v>22222</v>
      </c>
      <c r="H3951" t="s">
        <v>27983</v>
      </c>
      <c r="I3951" s="26">
        <v>41075</v>
      </c>
      <c r="J3951">
        <v>2012</v>
      </c>
      <c r="K3951" t="s">
        <v>7610</v>
      </c>
      <c r="L3951">
        <v>356</v>
      </c>
      <c r="M3951" t="s">
        <v>40184</v>
      </c>
      <c r="N3951">
        <v>1</v>
      </c>
      <c r="O3951" t="s">
        <v>40185</v>
      </c>
      <c r="P3951">
        <v>7</v>
      </c>
      <c r="Q3951" t="s">
        <v>40186</v>
      </c>
      <c r="R3951">
        <v>152.4</v>
      </c>
      <c r="S3951" t="s">
        <v>40187</v>
      </c>
      <c r="T3951" t="s">
        <v>30</v>
      </c>
      <c r="U3951" t="s">
        <v>46</v>
      </c>
      <c r="W3951" t="s">
        <v>26009</v>
      </c>
    </row>
    <row r="3952" spans="1:23" x14ac:dyDescent="0.35">
      <c r="A3952">
        <v>940183</v>
      </c>
      <c r="B3952" t="s">
        <v>40188</v>
      </c>
      <c r="C3952" t="str">
        <f>"9781780490458"</f>
        <v>9781780490458</v>
      </c>
      <c r="D3952" t="str">
        <f>"9781849409964"</f>
        <v>9781849409964</v>
      </c>
      <c r="E3952" t="s">
        <v>26010</v>
      </c>
      <c r="F3952" t="s">
        <v>35</v>
      </c>
      <c r="G3952" t="s">
        <v>22174</v>
      </c>
      <c r="H3952" t="s">
        <v>26011</v>
      </c>
      <c r="I3952" s="26">
        <v>41274</v>
      </c>
      <c r="J3952">
        <v>2012</v>
      </c>
      <c r="K3952" t="s">
        <v>26012</v>
      </c>
      <c r="L3952">
        <v>289</v>
      </c>
      <c r="M3952" t="s">
        <v>40189</v>
      </c>
      <c r="N3952">
        <v>1</v>
      </c>
      <c r="Q3952" t="s">
        <v>40190</v>
      </c>
      <c r="R3952">
        <v>370.15</v>
      </c>
      <c r="S3952" t="s">
        <v>40191</v>
      </c>
      <c r="T3952" t="s">
        <v>30</v>
      </c>
      <c r="U3952" t="s">
        <v>337</v>
      </c>
      <c r="W3952" t="s">
        <v>26009</v>
      </c>
    </row>
    <row r="3953" spans="1:23" x14ac:dyDescent="0.35">
      <c r="A3953">
        <v>943503</v>
      </c>
      <c r="B3953" t="s">
        <v>40192</v>
      </c>
      <c r="C3953" t="str">
        <f>"9780826195654"</f>
        <v>9780826195654</v>
      </c>
      <c r="D3953" t="str">
        <f>"9780826195661"</f>
        <v>9780826195661</v>
      </c>
      <c r="E3953" t="s">
        <v>1504</v>
      </c>
      <c r="F3953" t="s">
        <v>33</v>
      </c>
      <c r="G3953" t="s">
        <v>22179</v>
      </c>
      <c r="H3953" t="s">
        <v>26004</v>
      </c>
      <c r="I3953" s="26">
        <v>41030</v>
      </c>
      <c r="J3953">
        <v>2012</v>
      </c>
      <c r="K3953" t="s">
        <v>33</v>
      </c>
      <c r="L3953">
        <v>173</v>
      </c>
      <c r="M3953" t="s">
        <v>40193</v>
      </c>
      <c r="N3953">
        <v>1</v>
      </c>
      <c r="S3953" t="s">
        <v>40194</v>
      </c>
      <c r="T3953" t="s">
        <v>30</v>
      </c>
      <c r="U3953" t="s">
        <v>46</v>
      </c>
      <c r="W3953" t="s">
        <v>26009</v>
      </c>
    </row>
    <row r="3954" spans="1:23" x14ac:dyDescent="0.35">
      <c r="A3954">
        <v>943592</v>
      </c>
      <c r="B3954" t="s">
        <v>40195</v>
      </c>
      <c r="C3954" t="str">
        <f>"9780765709158"</f>
        <v>9780765709158</v>
      </c>
      <c r="D3954" t="str">
        <f>"9780765709165"</f>
        <v>9780765709165</v>
      </c>
      <c r="E3954" t="s">
        <v>33803</v>
      </c>
      <c r="F3954" t="s">
        <v>38</v>
      </c>
      <c r="G3954" t="s">
        <v>34138</v>
      </c>
      <c r="H3954" t="s">
        <v>26004</v>
      </c>
      <c r="I3954" s="26">
        <v>41067</v>
      </c>
      <c r="J3954">
        <v>2012</v>
      </c>
      <c r="K3954" t="s">
        <v>33811</v>
      </c>
      <c r="L3954">
        <v>161</v>
      </c>
      <c r="M3954" t="s">
        <v>40196</v>
      </c>
      <c r="N3954">
        <v>1</v>
      </c>
      <c r="Q3954" t="s">
        <v>40197</v>
      </c>
      <c r="R3954">
        <v>306.70819999999998</v>
      </c>
      <c r="S3954" t="s">
        <v>40198</v>
      </c>
      <c r="T3954" t="s">
        <v>30</v>
      </c>
      <c r="U3954" t="s">
        <v>26044</v>
      </c>
      <c r="W3954" t="s">
        <v>26009</v>
      </c>
    </row>
    <row r="3955" spans="1:23" x14ac:dyDescent="0.35">
      <c r="A3955">
        <v>943699</v>
      </c>
      <c r="B3955" t="s">
        <v>8819</v>
      </c>
      <c r="C3955" t="str">
        <f>"9780817356514"</f>
        <v>9780817356514</v>
      </c>
      <c r="D3955" t="str">
        <f>"9780817385330"</f>
        <v>9780817385330</v>
      </c>
      <c r="E3955" t="s">
        <v>8681</v>
      </c>
      <c r="F3955" t="s">
        <v>8681</v>
      </c>
      <c r="G3955" t="s">
        <v>24716</v>
      </c>
      <c r="H3955" t="s">
        <v>26004</v>
      </c>
      <c r="I3955" s="26">
        <v>40573</v>
      </c>
      <c r="J3955">
        <v>2011</v>
      </c>
      <c r="K3955" t="s">
        <v>8681</v>
      </c>
      <c r="L3955">
        <v>134</v>
      </c>
      <c r="M3955" t="s">
        <v>40199</v>
      </c>
      <c r="N3955">
        <v>1</v>
      </c>
      <c r="O3955" t="s">
        <v>40200</v>
      </c>
      <c r="Q3955" t="s">
        <v>40201</v>
      </c>
      <c r="R3955" t="s">
        <v>40202</v>
      </c>
      <c r="S3955" t="s">
        <v>40203</v>
      </c>
      <c r="T3955" t="s">
        <v>30</v>
      </c>
      <c r="U3955" t="s">
        <v>30185</v>
      </c>
      <c r="W3955" t="s">
        <v>26009</v>
      </c>
    </row>
    <row r="3956" spans="1:23" x14ac:dyDescent="0.35">
      <c r="A3956">
        <v>944691</v>
      </c>
      <c r="B3956" t="s">
        <v>40204</v>
      </c>
      <c r="C3956" t="str">
        <f>"9780521196239"</f>
        <v>9780521196239</v>
      </c>
      <c r="D3956" t="str">
        <f>"9781139514729"</f>
        <v>9781139514729</v>
      </c>
      <c r="E3956" t="s">
        <v>167</v>
      </c>
      <c r="F3956" t="s">
        <v>167</v>
      </c>
      <c r="G3956" t="s">
        <v>22179</v>
      </c>
      <c r="H3956" t="s">
        <v>26004</v>
      </c>
      <c r="I3956" s="26">
        <v>41071</v>
      </c>
      <c r="J3956">
        <v>2012</v>
      </c>
      <c r="K3956" t="s">
        <v>167</v>
      </c>
      <c r="L3956">
        <v>490</v>
      </c>
      <c r="M3956" t="s">
        <v>40205</v>
      </c>
      <c r="N3956">
        <v>1</v>
      </c>
      <c r="O3956" t="s">
        <v>30647</v>
      </c>
      <c r="Q3956" t="s">
        <v>40206</v>
      </c>
      <c r="R3956">
        <v>371.334</v>
      </c>
      <c r="S3956" t="s">
        <v>40207</v>
      </c>
      <c r="T3956" t="s">
        <v>30</v>
      </c>
      <c r="U3956" t="s">
        <v>27427</v>
      </c>
      <c r="W3956" t="s">
        <v>26020</v>
      </c>
    </row>
    <row r="3957" spans="1:23" x14ac:dyDescent="0.35">
      <c r="A3957">
        <v>944702</v>
      </c>
      <c r="B3957" t="s">
        <v>7533</v>
      </c>
      <c r="C3957" t="str">
        <f>"9780521803557"</f>
        <v>9780521803557</v>
      </c>
      <c r="D3957" t="str">
        <f>"9781139514873"</f>
        <v>9781139514873</v>
      </c>
      <c r="E3957" t="s">
        <v>167</v>
      </c>
      <c r="F3957" t="s">
        <v>167</v>
      </c>
      <c r="G3957" t="s">
        <v>22218</v>
      </c>
      <c r="H3957" t="s">
        <v>26011</v>
      </c>
      <c r="I3957" s="26">
        <v>41088</v>
      </c>
      <c r="J3957">
        <v>2012</v>
      </c>
      <c r="K3957" t="s">
        <v>167</v>
      </c>
      <c r="L3957">
        <v>246</v>
      </c>
      <c r="M3957" t="s">
        <v>40208</v>
      </c>
      <c r="N3957">
        <v>1</v>
      </c>
      <c r="O3957" t="s">
        <v>40209</v>
      </c>
      <c r="Q3957" t="s">
        <v>40210</v>
      </c>
      <c r="R3957">
        <v>153</v>
      </c>
      <c r="S3957" t="s">
        <v>40211</v>
      </c>
      <c r="T3957" t="s">
        <v>30</v>
      </c>
      <c r="U3957" t="s">
        <v>26170</v>
      </c>
      <c r="W3957" t="s">
        <v>26020</v>
      </c>
    </row>
    <row r="3958" spans="1:23" x14ac:dyDescent="0.35">
      <c r="A3958">
        <v>944735</v>
      </c>
      <c r="B3958" t="s">
        <v>40212</v>
      </c>
      <c r="C3958" t="str">
        <f>"9781107017849"</f>
        <v>9781107017849</v>
      </c>
      <c r="D3958" t="str">
        <f>"9781139515214"</f>
        <v>9781139515214</v>
      </c>
      <c r="E3958" t="s">
        <v>167</v>
      </c>
      <c r="F3958" t="s">
        <v>167</v>
      </c>
      <c r="G3958" t="s">
        <v>22179</v>
      </c>
      <c r="H3958" t="s">
        <v>26004</v>
      </c>
      <c r="I3958" s="26">
        <v>41089</v>
      </c>
      <c r="J3958">
        <v>2012</v>
      </c>
      <c r="K3958" t="s">
        <v>167</v>
      </c>
      <c r="L3958">
        <v>224</v>
      </c>
      <c r="M3958" t="s">
        <v>40213</v>
      </c>
      <c r="N3958">
        <v>1</v>
      </c>
      <c r="Q3958" t="s">
        <v>40214</v>
      </c>
      <c r="R3958">
        <v>330</v>
      </c>
      <c r="S3958" t="s">
        <v>40215</v>
      </c>
      <c r="T3958" t="s">
        <v>30</v>
      </c>
      <c r="U3958" t="s">
        <v>33432</v>
      </c>
      <c r="W3958" t="s">
        <v>26020</v>
      </c>
    </row>
    <row r="3959" spans="1:23" x14ac:dyDescent="0.35">
      <c r="A3959">
        <v>944769</v>
      </c>
      <c r="B3959" t="s">
        <v>7955</v>
      </c>
      <c r="C3959" t="str">
        <f>"9781409426660"</f>
        <v>9781409426660</v>
      </c>
      <c r="D3959" t="str">
        <f>"9781409426677"</f>
        <v>9781409426677</v>
      </c>
      <c r="E3959" t="s">
        <v>26010</v>
      </c>
      <c r="F3959" t="s">
        <v>35</v>
      </c>
      <c r="G3959" t="s">
        <v>33516</v>
      </c>
      <c r="H3959" t="s">
        <v>26011</v>
      </c>
      <c r="I3959" s="26">
        <v>41155</v>
      </c>
      <c r="J3959">
        <v>2012</v>
      </c>
      <c r="K3959" t="s">
        <v>26012</v>
      </c>
      <c r="L3959">
        <v>166</v>
      </c>
      <c r="M3959" t="s">
        <v>40216</v>
      </c>
      <c r="N3959">
        <v>1</v>
      </c>
      <c r="Q3959" t="s">
        <v>40217</v>
      </c>
      <c r="R3959" t="s">
        <v>40218</v>
      </c>
      <c r="S3959" t="s">
        <v>40219</v>
      </c>
      <c r="T3959" t="s">
        <v>30</v>
      </c>
      <c r="U3959" t="s">
        <v>26228</v>
      </c>
      <c r="W3959" t="s">
        <v>26009</v>
      </c>
    </row>
    <row r="3960" spans="1:23" x14ac:dyDescent="0.35">
      <c r="A3960">
        <v>945148</v>
      </c>
      <c r="B3960" t="s">
        <v>40220</v>
      </c>
      <c r="C3960" t="str">
        <f>"9781855757981"</f>
        <v>9781855757981</v>
      </c>
      <c r="D3960" t="str">
        <f>"9781849409971"</f>
        <v>9781849409971</v>
      </c>
      <c r="E3960" t="s">
        <v>26010</v>
      </c>
      <c r="F3960" t="s">
        <v>35</v>
      </c>
      <c r="G3960" t="s">
        <v>26128</v>
      </c>
      <c r="H3960" t="s">
        <v>26011</v>
      </c>
      <c r="I3960" s="26">
        <v>41274</v>
      </c>
      <c r="J3960">
        <v>2012</v>
      </c>
      <c r="K3960" t="s">
        <v>26012</v>
      </c>
      <c r="L3960">
        <v>173</v>
      </c>
      <c r="M3960" t="s">
        <v>40221</v>
      </c>
      <c r="N3960">
        <v>1</v>
      </c>
      <c r="O3960" t="s">
        <v>36568</v>
      </c>
      <c r="R3960">
        <v>616.89170000000001</v>
      </c>
      <c r="S3960" t="s">
        <v>7661</v>
      </c>
      <c r="T3960" t="s">
        <v>30</v>
      </c>
      <c r="U3960" t="s">
        <v>26040</v>
      </c>
      <c r="W3960" t="s">
        <v>26009</v>
      </c>
    </row>
    <row r="3961" spans="1:23" x14ac:dyDescent="0.35">
      <c r="A3961">
        <v>947978</v>
      </c>
      <c r="B3961" t="s">
        <v>40222</v>
      </c>
      <c r="C3961" t="str">
        <f>"9780765709035"</f>
        <v>9780765709035</v>
      </c>
      <c r="D3961" t="str">
        <f>"9780765709042"</f>
        <v>9780765709042</v>
      </c>
      <c r="E3961" t="s">
        <v>33803</v>
      </c>
      <c r="F3961" t="s">
        <v>38</v>
      </c>
      <c r="G3961" t="s">
        <v>34138</v>
      </c>
      <c r="H3961" t="s">
        <v>26004</v>
      </c>
      <c r="I3961" s="26">
        <v>41067</v>
      </c>
      <c r="J3961">
        <v>2012</v>
      </c>
      <c r="K3961" t="s">
        <v>33811</v>
      </c>
      <c r="L3961">
        <v>139</v>
      </c>
      <c r="M3961" t="s">
        <v>40223</v>
      </c>
      <c r="N3961">
        <v>1</v>
      </c>
      <c r="O3961" t="s">
        <v>39334</v>
      </c>
      <c r="Q3961" t="s">
        <v>40224</v>
      </c>
      <c r="R3961" t="s">
        <v>33676</v>
      </c>
      <c r="S3961" t="s">
        <v>40225</v>
      </c>
      <c r="T3961" t="s">
        <v>30</v>
      </c>
      <c r="U3961" t="s">
        <v>26019</v>
      </c>
      <c r="W3961" t="s">
        <v>26009</v>
      </c>
    </row>
    <row r="3962" spans="1:23" x14ac:dyDescent="0.35">
      <c r="A3962">
        <v>947979</v>
      </c>
      <c r="B3962" t="s">
        <v>40226</v>
      </c>
      <c r="C3962" t="str">
        <f>"9780765709295"</f>
        <v>9780765709295</v>
      </c>
      <c r="D3962" t="str">
        <f>"9780765709301"</f>
        <v>9780765709301</v>
      </c>
      <c r="E3962" t="s">
        <v>33803</v>
      </c>
      <c r="F3962" t="s">
        <v>38</v>
      </c>
      <c r="G3962" t="s">
        <v>34138</v>
      </c>
      <c r="H3962" t="s">
        <v>26004</v>
      </c>
      <c r="I3962" s="26">
        <v>41067</v>
      </c>
      <c r="J3962">
        <v>2012</v>
      </c>
      <c r="K3962" t="s">
        <v>33811</v>
      </c>
      <c r="L3962">
        <v>121</v>
      </c>
      <c r="M3962" t="s">
        <v>40227</v>
      </c>
      <c r="N3962">
        <v>1</v>
      </c>
      <c r="Q3962" t="s">
        <v>40228</v>
      </c>
      <c r="R3962" t="s">
        <v>29524</v>
      </c>
      <c r="S3962" t="s">
        <v>40229</v>
      </c>
      <c r="T3962" t="s">
        <v>30</v>
      </c>
      <c r="U3962" t="s">
        <v>26019</v>
      </c>
      <c r="W3962" t="s">
        <v>26009</v>
      </c>
    </row>
    <row r="3963" spans="1:23" x14ac:dyDescent="0.35">
      <c r="A3963">
        <v>948657</v>
      </c>
      <c r="B3963" t="s">
        <v>40230</v>
      </c>
      <c r="C3963" t="str">
        <f>"9781442202276"</f>
        <v>9781442202276</v>
      </c>
      <c r="D3963" t="str">
        <f>"9781442202283"</f>
        <v>9781442202283</v>
      </c>
      <c r="E3963" t="s">
        <v>33803</v>
      </c>
      <c r="F3963" t="s">
        <v>38</v>
      </c>
      <c r="G3963" t="s">
        <v>33804</v>
      </c>
      <c r="H3963" t="s">
        <v>26004</v>
      </c>
      <c r="I3963" s="26">
        <v>41047</v>
      </c>
      <c r="J3963">
        <v>2012</v>
      </c>
      <c r="K3963" t="s">
        <v>38</v>
      </c>
      <c r="L3963">
        <v>166</v>
      </c>
      <c r="M3963" t="s">
        <v>40231</v>
      </c>
      <c r="N3963">
        <v>1</v>
      </c>
      <c r="Q3963" t="s">
        <v>40232</v>
      </c>
      <c r="R3963" t="s">
        <v>40233</v>
      </c>
      <c r="S3963" t="s">
        <v>40234</v>
      </c>
      <c r="T3963" t="s">
        <v>30</v>
      </c>
      <c r="U3963" t="s">
        <v>26250</v>
      </c>
      <c r="W3963" t="s">
        <v>26009</v>
      </c>
    </row>
    <row r="3964" spans="1:23" x14ac:dyDescent="0.35">
      <c r="A3964">
        <v>948694</v>
      </c>
      <c r="B3964" t="s">
        <v>40235</v>
      </c>
      <c r="C3964" t="str">
        <f>"9781855755185"</f>
        <v>9781855755185</v>
      </c>
      <c r="D3964" t="str">
        <f>"9781849409995"</f>
        <v>9781849409995</v>
      </c>
      <c r="E3964" t="s">
        <v>26010</v>
      </c>
      <c r="F3964" t="s">
        <v>35</v>
      </c>
      <c r="G3964" t="s">
        <v>22174</v>
      </c>
      <c r="H3964" t="s">
        <v>26011</v>
      </c>
      <c r="I3964" s="26">
        <v>41274</v>
      </c>
      <c r="J3964">
        <v>2012</v>
      </c>
      <c r="K3964" t="s">
        <v>26012</v>
      </c>
      <c r="L3964">
        <v>395</v>
      </c>
      <c r="M3964" t="s">
        <v>40236</v>
      </c>
      <c r="N3964">
        <v>1</v>
      </c>
      <c r="Q3964" t="s">
        <v>40237</v>
      </c>
      <c r="R3964">
        <v>616.85500000000002</v>
      </c>
      <c r="S3964" t="s">
        <v>40238</v>
      </c>
      <c r="T3964" t="s">
        <v>30</v>
      </c>
      <c r="U3964" t="s">
        <v>26040</v>
      </c>
      <c r="W3964" t="s">
        <v>26009</v>
      </c>
    </row>
    <row r="3965" spans="1:23" x14ac:dyDescent="0.35">
      <c r="A3965">
        <v>950514</v>
      </c>
      <c r="B3965" t="s">
        <v>40239</v>
      </c>
      <c r="C3965" t="str">
        <f>"9780826107992"</f>
        <v>9780826107992</v>
      </c>
      <c r="D3965" t="str">
        <f>"9780826108005"</f>
        <v>9780826108005</v>
      </c>
      <c r="E3965" t="s">
        <v>1504</v>
      </c>
      <c r="F3965" t="s">
        <v>33</v>
      </c>
      <c r="G3965" t="s">
        <v>22179</v>
      </c>
      <c r="H3965" t="s">
        <v>26004</v>
      </c>
      <c r="I3965" s="26">
        <v>41061</v>
      </c>
      <c r="J3965">
        <v>2012</v>
      </c>
      <c r="K3965" t="s">
        <v>33</v>
      </c>
      <c r="L3965">
        <v>374</v>
      </c>
      <c r="M3965" t="s">
        <v>40240</v>
      </c>
      <c r="N3965">
        <v>1</v>
      </c>
      <c r="Q3965" t="s">
        <v>40241</v>
      </c>
      <c r="R3965">
        <v>362.19689009730001</v>
      </c>
      <c r="S3965" t="s">
        <v>40242</v>
      </c>
      <c r="T3965" t="s">
        <v>30</v>
      </c>
      <c r="U3965" t="s">
        <v>26094</v>
      </c>
      <c r="W3965" t="s">
        <v>26009</v>
      </c>
    </row>
    <row r="3966" spans="1:23" x14ac:dyDescent="0.35">
      <c r="A3966">
        <v>951110</v>
      </c>
      <c r="B3966" t="s">
        <v>40243</v>
      </c>
      <c r="C3966" t="str">
        <f>"9781609184711"</f>
        <v>9781609184711</v>
      </c>
      <c r="D3966" t="str">
        <f>"9781462505333"</f>
        <v>9781462505333</v>
      </c>
      <c r="E3966" t="s">
        <v>30112</v>
      </c>
      <c r="F3966" t="s">
        <v>7420</v>
      </c>
      <c r="G3966" t="s">
        <v>22179</v>
      </c>
      <c r="H3966" t="s">
        <v>26004</v>
      </c>
      <c r="I3966" s="26">
        <v>41103</v>
      </c>
      <c r="J3966">
        <v>2012</v>
      </c>
      <c r="K3966" t="s">
        <v>30113</v>
      </c>
      <c r="L3966">
        <v>338</v>
      </c>
      <c r="M3966" t="s">
        <v>40244</v>
      </c>
      <c r="N3966">
        <v>1</v>
      </c>
      <c r="Q3966" t="s">
        <v>40245</v>
      </c>
      <c r="R3966" t="s">
        <v>26817</v>
      </c>
      <c r="S3966" t="s">
        <v>7889</v>
      </c>
      <c r="T3966" t="s">
        <v>30</v>
      </c>
      <c r="U3966" t="s">
        <v>46</v>
      </c>
      <c r="W3966" t="s">
        <v>28347</v>
      </c>
    </row>
    <row r="3967" spans="1:23" x14ac:dyDescent="0.35">
      <c r="A3967">
        <v>951811</v>
      </c>
      <c r="B3967" t="s">
        <v>40246</v>
      </c>
      <c r="C3967" t="str">
        <f>""</f>
        <v/>
      </c>
      <c r="D3967" t="str">
        <f>"9780857453242"</f>
        <v>9780857453242</v>
      </c>
      <c r="E3967" t="s">
        <v>34636</v>
      </c>
      <c r="F3967" t="s">
        <v>7472</v>
      </c>
      <c r="G3967" t="s">
        <v>31126</v>
      </c>
      <c r="H3967" t="s">
        <v>26004</v>
      </c>
      <c r="I3967" s="26">
        <v>41030</v>
      </c>
      <c r="J3967">
        <v>2012</v>
      </c>
      <c r="K3967" t="s">
        <v>7472</v>
      </c>
      <c r="L3967">
        <v>296</v>
      </c>
      <c r="M3967" t="s">
        <v>40247</v>
      </c>
      <c r="N3967">
        <v>1</v>
      </c>
      <c r="O3967" t="s">
        <v>40248</v>
      </c>
      <c r="P3967">
        <v>1</v>
      </c>
      <c r="Q3967" t="s">
        <v>40249</v>
      </c>
      <c r="R3967">
        <v>306</v>
      </c>
      <c r="S3967" t="s">
        <v>40250</v>
      </c>
      <c r="T3967" t="s">
        <v>30</v>
      </c>
      <c r="U3967" t="s">
        <v>26044</v>
      </c>
      <c r="W3967" t="s">
        <v>26009</v>
      </c>
    </row>
    <row r="3968" spans="1:23" x14ac:dyDescent="0.35">
      <c r="A3968">
        <v>951815</v>
      </c>
      <c r="B3968" t="s">
        <v>40251</v>
      </c>
      <c r="C3968" t="str">
        <f>""</f>
        <v/>
      </c>
      <c r="D3968" t="str">
        <f>"9780857453266"</f>
        <v>9780857453266</v>
      </c>
      <c r="E3968" t="s">
        <v>34636</v>
      </c>
      <c r="F3968" t="s">
        <v>7472</v>
      </c>
      <c r="G3968" t="s">
        <v>31126</v>
      </c>
      <c r="H3968" t="s">
        <v>26004</v>
      </c>
      <c r="I3968" s="26">
        <v>41061</v>
      </c>
      <c r="J3968">
        <v>2012</v>
      </c>
      <c r="K3968" t="s">
        <v>7472</v>
      </c>
      <c r="L3968">
        <v>204</v>
      </c>
      <c r="M3968" t="s">
        <v>40252</v>
      </c>
      <c r="N3968">
        <v>1</v>
      </c>
      <c r="O3968" t="s">
        <v>40253</v>
      </c>
      <c r="P3968">
        <v>35</v>
      </c>
      <c r="Q3968" t="s">
        <v>40254</v>
      </c>
      <c r="R3968">
        <v>305.23</v>
      </c>
      <c r="S3968" t="s">
        <v>40255</v>
      </c>
      <c r="T3968" t="s">
        <v>30</v>
      </c>
      <c r="U3968" t="s">
        <v>26044</v>
      </c>
      <c r="W3968" t="s">
        <v>26009</v>
      </c>
    </row>
    <row r="3969" spans="1:23" x14ac:dyDescent="0.35">
      <c r="A3969">
        <v>952201</v>
      </c>
      <c r="B3969" t="s">
        <v>10220</v>
      </c>
      <c r="C3969" t="str">
        <f>"9781855757929"</f>
        <v>9781855757929</v>
      </c>
      <c r="D3969" t="str">
        <f>"9781782410003"</f>
        <v>9781782410003</v>
      </c>
      <c r="E3969" t="s">
        <v>26010</v>
      </c>
      <c r="F3969" t="s">
        <v>35</v>
      </c>
      <c r="G3969" t="s">
        <v>22174</v>
      </c>
      <c r="H3969" t="s">
        <v>26011</v>
      </c>
      <c r="I3969" s="26">
        <v>41121</v>
      </c>
      <c r="J3969">
        <v>2012</v>
      </c>
      <c r="K3969" t="s">
        <v>26012</v>
      </c>
      <c r="L3969">
        <v>159</v>
      </c>
      <c r="M3969" t="s">
        <v>40256</v>
      </c>
      <c r="N3969">
        <v>1</v>
      </c>
      <c r="O3969" t="s">
        <v>36510</v>
      </c>
      <c r="Q3969" t="s">
        <v>40257</v>
      </c>
      <c r="R3969">
        <v>158.1</v>
      </c>
      <c r="S3969" t="s">
        <v>32642</v>
      </c>
      <c r="T3969" t="s">
        <v>30</v>
      </c>
      <c r="U3969" t="s">
        <v>26116</v>
      </c>
      <c r="W3969" t="s">
        <v>26009</v>
      </c>
    </row>
    <row r="3970" spans="1:23" x14ac:dyDescent="0.35">
      <c r="A3970">
        <v>952202</v>
      </c>
      <c r="B3970" t="s">
        <v>9294</v>
      </c>
      <c r="C3970" t="str">
        <f>"9781780490267"</f>
        <v>9781780490267</v>
      </c>
      <c r="D3970" t="str">
        <f>"9780429916878"</f>
        <v>9780429916878</v>
      </c>
      <c r="E3970" t="s">
        <v>26010</v>
      </c>
      <c r="F3970" t="s">
        <v>35</v>
      </c>
      <c r="G3970" t="s">
        <v>22174</v>
      </c>
      <c r="H3970" t="s">
        <v>26011</v>
      </c>
      <c r="I3970" s="26">
        <v>41274</v>
      </c>
      <c r="J3970">
        <v>2012</v>
      </c>
      <c r="K3970" t="s">
        <v>26012</v>
      </c>
      <c r="L3970">
        <v>225</v>
      </c>
      <c r="M3970" t="s">
        <v>40258</v>
      </c>
      <c r="N3970">
        <v>1</v>
      </c>
      <c r="O3970" t="s">
        <v>36658</v>
      </c>
      <c r="Q3970" t="s">
        <v>40259</v>
      </c>
      <c r="R3970">
        <v>130</v>
      </c>
      <c r="S3970" t="s">
        <v>40260</v>
      </c>
      <c r="T3970" t="s">
        <v>30</v>
      </c>
      <c r="U3970" t="s">
        <v>26679</v>
      </c>
      <c r="W3970" t="s">
        <v>26009</v>
      </c>
    </row>
    <row r="3971" spans="1:23" x14ac:dyDescent="0.35">
      <c r="A3971">
        <v>952892</v>
      </c>
      <c r="B3971" t="s">
        <v>40261</v>
      </c>
      <c r="C3971" t="str">
        <f>"9780231120173"</f>
        <v>9780231120173</v>
      </c>
      <c r="D3971" t="str">
        <f>"9780231533119"</f>
        <v>9780231533119</v>
      </c>
      <c r="E3971" t="s">
        <v>31708</v>
      </c>
      <c r="F3971" t="s">
        <v>294</v>
      </c>
      <c r="G3971" t="s">
        <v>22179</v>
      </c>
      <c r="H3971" t="s">
        <v>26004</v>
      </c>
      <c r="I3971" s="26">
        <v>37089</v>
      </c>
      <c r="J3971">
        <v>2001</v>
      </c>
      <c r="K3971" t="s">
        <v>294</v>
      </c>
      <c r="L3971">
        <v>121</v>
      </c>
      <c r="M3971" t="s">
        <v>40262</v>
      </c>
      <c r="O3971" t="s">
        <v>40263</v>
      </c>
      <c r="Q3971" t="s">
        <v>40264</v>
      </c>
      <c r="R3971">
        <v>615.78</v>
      </c>
      <c r="S3971" t="s">
        <v>8870</v>
      </c>
      <c r="T3971" t="s">
        <v>30</v>
      </c>
      <c r="U3971" t="s">
        <v>30799</v>
      </c>
      <c r="W3971" t="s">
        <v>28347</v>
      </c>
    </row>
    <row r="3972" spans="1:23" x14ac:dyDescent="0.35">
      <c r="A3972">
        <v>954699</v>
      </c>
      <c r="B3972" t="s">
        <v>40265</v>
      </c>
      <c r="C3972" t="str">
        <f>"9781442238152"</f>
        <v>9781442238152</v>
      </c>
      <c r="D3972" t="str">
        <f>"9780765708373"</f>
        <v>9780765708373</v>
      </c>
      <c r="E3972" t="s">
        <v>33803</v>
      </c>
      <c r="F3972" t="s">
        <v>38</v>
      </c>
      <c r="G3972" t="s">
        <v>33804</v>
      </c>
      <c r="H3972" t="s">
        <v>26004</v>
      </c>
      <c r="I3972" s="26">
        <v>41081</v>
      </c>
      <c r="J3972">
        <v>2012</v>
      </c>
      <c r="K3972" t="s">
        <v>33811</v>
      </c>
      <c r="L3972">
        <v>355</v>
      </c>
      <c r="M3972" t="s">
        <v>40266</v>
      </c>
      <c r="N3972">
        <v>1</v>
      </c>
      <c r="Q3972" t="s">
        <v>40267</v>
      </c>
      <c r="R3972" t="s">
        <v>40268</v>
      </c>
      <c r="S3972" t="s">
        <v>40269</v>
      </c>
      <c r="T3972" t="s">
        <v>30</v>
      </c>
      <c r="U3972" t="s">
        <v>26019</v>
      </c>
      <c r="W3972" t="s">
        <v>26009</v>
      </c>
    </row>
    <row r="3973" spans="1:23" x14ac:dyDescent="0.35">
      <c r="A3973">
        <v>956300</v>
      </c>
      <c r="B3973" t="s">
        <v>40270</v>
      </c>
      <c r="C3973" t="str">
        <f>"9781409438717"</f>
        <v>9781409438717</v>
      </c>
      <c r="D3973" t="str">
        <f>"9781409438724"</f>
        <v>9781409438724</v>
      </c>
      <c r="E3973" t="s">
        <v>26010</v>
      </c>
      <c r="F3973" t="s">
        <v>35</v>
      </c>
      <c r="G3973" t="s">
        <v>22184</v>
      </c>
      <c r="H3973" t="s">
        <v>26011</v>
      </c>
      <c r="I3973" s="26">
        <v>41145</v>
      </c>
      <c r="J3973">
        <v>2012</v>
      </c>
      <c r="K3973" t="s">
        <v>26012</v>
      </c>
      <c r="L3973">
        <v>235</v>
      </c>
      <c r="M3973" t="s">
        <v>40271</v>
      </c>
      <c r="N3973">
        <v>1</v>
      </c>
      <c r="Q3973" t="s">
        <v>40272</v>
      </c>
      <c r="R3973">
        <v>331.76130223000001</v>
      </c>
      <c r="S3973" t="s">
        <v>40273</v>
      </c>
      <c r="T3973" t="s">
        <v>30</v>
      </c>
      <c r="U3973" t="s">
        <v>40274</v>
      </c>
      <c r="W3973" t="s">
        <v>26009</v>
      </c>
    </row>
    <row r="3974" spans="1:23" x14ac:dyDescent="0.35">
      <c r="A3974">
        <v>956307</v>
      </c>
      <c r="B3974" t="s">
        <v>40275</v>
      </c>
      <c r="C3974" t="str">
        <f>"9781409442660"</f>
        <v>9781409442660</v>
      </c>
      <c r="D3974" t="str">
        <f>"9781409442677"</f>
        <v>9781409442677</v>
      </c>
      <c r="E3974" t="s">
        <v>26010</v>
      </c>
      <c r="F3974" t="s">
        <v>35</v>
      </c>
      <c r="G3974" t="s">
        <v>22184</v>
      </c>
      <c r="H3974" t="s">
        <v>26011</v>
      </c>
      <c r="I3974" s="26">
        <v>41118</v>
      </c>
      <c r="J3974">
        <v>2012</v>
      </c>
      <c r="K3974" t="s">
        <v>26012</v>
      </c>
      <c r="L3974">
        <v>196</v>
      </c>
      <c r="M3974" t="s">
        <v>40276</v>
      </c>
      <c r="N3974">
        <v>1</v>
      </c>
      <c r="Q3974" t="s">
        <v>40277</v>
      </c>
      <c r="R3974" t="s">
        <v>27170</v>
      </c>
      <c r="S3974" t="s">
        <v>40278</v>
      </c>
      <c r="T3974" t="s">
        <v>30</v>
      </c>
      <c r="U3974" t="s">
        <v>26044</v>
      </c>
      <c r="W3974" t="s">
        <v>26009</v>
      </c>
    </row>
    <row r="3975" spans="1:23" x14ac:dyDescent="0.35">
      <c r="A3975">
        <v>956883</v>
      </c>
      <c r="B3975" t="s">
        <v>40279</v>
      </c>
      <c r="C3975" t="str">
        <f>"9780415604031"</f>
        <v>9780415604031</v>
      </c>
      <c r="D3975" t="str">
        <f>"9780203121153"</f>
        <v>9780203121153</v>
      </c>
      <c r="E3975" t="s">
        <v>26010</v>
      </c>
      <c r="F3975" t="s">
        <v>35</v>
      </c>
      <c r="G3975" t="s">
        <v>26128</v>
      </c>
      <c r="H3975" t="s">
        <v>26011</v>
      </c>
      <c r="I3975" s="26">
        <v>41018</v>
      </c>
      <c r="J3975">
        <v>2012</v>
      </c>
      <c r="K3975" t="s">
        <v>26012</v>
      </c>
      <c r="L3975">
        <v>144</v>
      </c>
      <c r="M3975" t="s">
        <v>40280</v>
      </c>
      <c r="N3975">
        <v>1</v>
      </c>
      <c r="O3975" t="s">
        <v>34392</v>
      </c>
      <c r="R3975" t="s">
        <v>30751</v>
      </c>
      <c r="S3975" t="s">
        <v>8482</v>
      </c>
      <c r="T3975" t="s">
        <v>30</v>
      </c>
      <c r="U3975" t="s">
        <v>26040</v>
      </c>
      <c r="W3975" t="s">
        <v>26009</v>
      </c>
    </row>
    <row r="3976" spans="1:23" x14ac:dyDescent="0.35">
      <c r="A3976">
        <v>956909</v>
      </c>
      <c r="B3976" t="s">
        <v>40281</v>
      </c>
      <c r="C3976" t="str">
        <f>"9781848720879"</f>
        <v>9781848720879</v>
      </c>
      <c r="D3976" t="str">
        <f>"9780203332689"</f>
        <v>9780203332689</v>
      </c>
      <c r="E3976" t="s">
        <v>26010</v>
      </c>
      <c r="F3976" t="s">
        <v>35</v>
      </c>
      <c r="G3976" t="s">
        <v>26337</v>
      </c>
      <c r="H3976" t="s">
        <v>26004</v>
      </c>
      <c r="I3976" s="26">
        <v>41008</v>
      </c>
      <c r="J3976">
        <v>2012</v>
      </c>
      <c r="K3976" t="s">
        <v>660</v>
      </c>
      <c r="L3976">
        <v>209</v>
      </c>
      <c r="M3976" t="s">
        <v>40282</v>
      </c>
      <c r="N3976">
        <v>1</v>
      </c>
      <c r="O3976" t="s">
        <v>27963</v>
      </c>
      <c r="Q3976" t="s">
        <v>40283</v>
      </c>
      <c r="R3976">
        <v>616.89</v>
      </c>
      <c r="S3976" t="s">
        <v>10202</v>
      </c>
      <c r="T3976" t="s">
        <v>30</v>
      </c>
      <c r="U3976" t="s">
        <v>26116</v>
      </c>
      <c r="W3976" t="s">
        <v>26009</v>
      </c>
    </row>
    <row r="3977" spans="1:23" x14ac:dyDescent="0.35">
      <c r="A3977">
        <v>956919</v>
      </c>
      <c r="B3977" t="s">
        <v>40284</v>
      </c>
      <c r="C3977" t="str">
        <f>"9780415880770"</f>
        <v>9780415880770</v>
      </c>
      <c r="D3977" t="str">
        <f>"9780203138878"</f>
        <v>9780203138878</v>
      </c>
      <c r="E3977" t="s">
        <v>26010</v>
      </c>
      <c r="F3977" t="s">
        <v>35</v>
      </c>
      <c r="G3977" t="s">
        <v>22174</v>
      </c>
      <c r="H3977" t="s">
        <v>26011</v>
      </c>
      <c r="I3977" s="26">
        <v>40953</v>
      </c>
      <c r="J3977">
        <v>2012</v>
      </c>
      <c r="K3977" t="s">
        <v>26012</v>
      </c>
      <c r="L3977">
        <v>661</v>
      </c>
      <c r="M3977" t="s">
        <v>40285</v>
      </c>
      <c r="N3977">
        <v>1</v>
      </c>
      <c r="O3977" t="s">
        <v>33986</v>
      </c>
      <c r="Q3977" t="s">
        <v>40286</v>
      </c>
      <c r="R3977">
        <v>331</v>
      </c>
      <c r="S3977" t="s">
        <v>8120</v>
      </c>
      <c r="T3977" t="s">
        <v>30</v>
      </c>
      <c r="U3977" t="s">
        <v>33432</v>
      </c>
      <c r="W3977" t="s">
        <v>26009</v>
      </c>
    </row>
    <row r="3978" spans="1:23" x14ac:dyDescent="0.35">
      <c r="A3978">
        <v>956926</v>
      </c>
      <c r="B3978" t="s">
        <v>40287</v>
      </c>
      <c r="C3978" t="str">
        <f>"9780415873437"</f>
        <v>9780415873437</v>
      </c>
      <c r="D3978" t="str">
        <f>"9780203864920"</f>
        <v>9780203864920</v>
      </c>
      <c r="E3978" t="s">
        <v>26010</v>
      </c>
      <c r="F3978" t="s">
        <v>35</v>
      </c>
      <c r="G3978" t="s">
        <v>26128</v>
      </c>
      <c r="H3978" t="s">
        <v>26011</v>
      </c>
      <c r="I3978" s="26">
        <v>40878</v>
      </c>
      <c r="J3978">
        <v>2012</v>
      </c>
      <c r="K3978" t="s">
        <v>26012</v>
      </c>
      <c r="L3978">
        <v>423</v>
      </c>
      <c r="M3978" t="s">
        <v>40288</v>
      </c>
      <c r="N3978">
        <v>1</v>
      </c>
      <c r="R3978">
        <v>200.19</v>
      </c>
      <c r="S3978" t="s">
        <v>8097</v>
      </c>
      <c r="T3978" t="s">
        <v>30</v>
      </c>
      <c r="U3978" t="s">
        <v>11247</v>
      </c>
      <c r="W3978" t="s">
        <v>26009</v>
      </c>
    </row>
    <row r="3979" spans="1:23" x14ac:dyDescent="0.35">
      <c r="A3979">
        <v>956928</v>
      </c>
      <c r="B3979" t="s">
        <v>40289</v>
      </c>
      <c r="C3979" t="str">
        <f>"9780415988605"</f>
        <v>9780415988605</v>
      </c>
      <c r="D3979" t="str">
        <f>"9780203893814"</f>
        <v>9780203893814</v>
      </c>
      <c r="E3979" t="s">
        <v>26010</v>
      </c>
      <c r="F3979" t="s">
        <v>35</v>
      </c>
      <c r="G3979" t="s">
        <v>22174</v>
      </c>
      <c r="H3979" t="s">
        <v>26011</v>
      </c>
      <c r="I3979" s="26">
        <v>40792</v>
      </c>
      <c r="J3979">
        <v>2011</v>
      </c>
      <c r="K3979" t="s">
        <v>26012</v>
      </c>
      <c r="L3979">
        <v>417</v>
      </c>
      <c r="M3979" t="s">
        <v>40290</v>
      </c>
      <c r="N3979">
        <v>1</v>
      </c>
      <c r="Q3979" t="s">
        <v>40291</v>
      </c>
      <c r="R3979">
        <v>158.30882969999999</v>
      </c>
      <c r="S3979" t="s">
        <v>7991</v>
      </c>
      <c r="T3979" t="s">
        <v>30</v>
      </c>
      <c r="U3979" t="s">
        <v>46</v>
      </c>
      <c r="W3979" t="s">
        <v>26009</v>
      </c>
    </row>
    <row r="3980" spans="1:23" x14ac:dyDescent="0.35">
      <c r="A3980">
        <v>956933</v>
      </c>
      <c r="B3980" t="s">
        <v>40292</v>
      </c>
      <c r="C3980" t="str">
        <f>"9780415879422"</f>
        <v>9780415879422</v>
      </c>
      <c r="D3980" t="str">
        <f>"9780203851562"</f>
        <v>9780203851562</v>
      </c>
      <c r="E3980" t="s">
        <v>26010</v>
      </c>
      <c r="F3980" t="s">
        <v>35</v>
      </c>
      <c r="G3980" t="s">
        <v>22174</v>
      </c>
      <c r="H3980" t="s">
        <v>26011</v>
      </c>
      <c r="I3980" s="26">
        <v>40738</v>
      </c>
      <c r="J3980">
        <v>2012</v>
      </c>
      <c r="K3980" t="s">
        <v>26012</v>
      </c>
      <c r="L3980">
        <v>427</v>
      </c>
      <c r="M3980" t="s">
        <v>40293</v>
      </c>
      <c r="N3980">
        <v>1</v>
      </c>
      <c r="O3980" t="s">
        <v>26909</v>
      </c>
      <c r="Q3980" t="s">
        <v>40294</v>
      </c>
      <c r="R3980">
        <v>616.89156200000002</v>
      </c>
      <c r="S3980" t="s">
        <v>7766</v>
      </c>
      <c r="T3980" t="s">
        <v>30</v>
      </c>
      <c r="U3980" t="s">
        <v>26116</v>
      </c>
      <c r="W3980" t="s">
        <v>26009</v>
      </c>
    </row>
    <row r="3981" spans="1:23" x14ac:dyDescent="0.35">
      <c r="A3981">
        <v>956960</v>
      </c>
      <c r="B3981" t="s">
        <v>40295</v>
      </c>
      <c r="C3981" t="str">
        <f>"9780415877688"</f>
        <v>9780415877688</v>
      </c>
      <c r="D3981" t="str">
        <f>"9780203803233"</f>
        <v>9780203803233</v>
      </c>
      <c r="E3981" t="s">
        <v>26010</v>
      </c>
      <c r="F3981" t="s">
        <v>35</v>
      </c>
      <c r="G3981" t="s">
        <v>22174</v>
      </c>
      <c r="H3981" t="s">
        <v>26011</v>
      </c>
      <c r="I3981" s="26">
        <v>40875</v>
      </c>
      <c r="J3981">
        <v>2012</v>
      </c>
      <c r="K3981" t="s">
        <v>26012</v>
      </c>
      <c r="L3981">
        <v>453</v>
      </c>
      <c r="M3981" t="s">
        <v>40296</v>
      </c>
      <c r="N3981">
        <v>2</v>
      </c>
      <c r="Q3981" t="s">
        <v>40297</v>
      </c>
      <c r="R3981">
        <v>519.53800000000001</v>
      </c>
      <c r="S3981" t="s">
        <v>8241</v>
      </c>
      <c r="T3981" t="s">
        <v>30</v>
      </c>
      <c r="U3981" t="s">
        <v>28330</v>
      </c>
      <c r="W3981" t="s">
        <v>26159</v>
      </c>
    </row>
    <row r="3982" spans="1:23" x14ac:dyDescent="0.35">
      <c r="A3982">
        <v>956961</v>
      </c>
      <c r="B3982" t="s">
        <v>7899</v>
      </c>
      <c r="C3982" t="str">
        <f>"9780805824476"</f>
        <v>9780805824476</v>
      </c>
      <c r="D3982" t="str">
        <f>"9781410603715"</f>
        <v>9781410603715</v>
      </c>
      <c r="E3982" t="s">
        <v>26010</v>
      </c>
      <c r="F3982" t="s">
        <v>35</v>
      </c>
      <c r="G3982" t="s">
        <v>26128</v>
      </c>
      <c r="H3982" t="s">
        <v>26011</v>
      </c>
      <c r="I3982" s="26">
        <v>36192</v>
      </c>
      <c r="J3982">
        <v>1999</v>
      </c>
      <c r="K3982" t="s">
        <v>26012</v>
      </c>
      <c r="L3982">
        <v>371</v>
      </c>
      <c r="M3982" t="s">
        <v>40298</v>
      </c>
      <c r="N3982">
        <v>1</v>
      </c>
      <c r="O3982" t="s">
        <v>40299</v>
      </c>
      <c r="R3982" t="s">
        <v>30501</v>
      </c>
      <c r="S3982" t="s">
        <v>40300</v>
      </c>
      <c r="T3982" t="s">
        <v>30</v>
      </c>
      <c r="U3982" t="s">
        <v>337</v>
      </c>
      <c r="W3982" t="s">
        <v>26009</v>
      </c>
    </row>
    <row r="3983" spans="1:23" x14ac:dyDescent="0.35">
      <c r="A3983">
        <v>956990</v>
      </c>
      <c r="B3983" t="s">
        <v>40301</v>
      </c>
      <c r="C3983" t="str">
        <f>"9780415605236"</f>
        <v>9780415605236</v>
      </c>
      <c r="D3983" t="str">
        <f>"9780203123003"</f>
        <v>9780203123003</v>
      </c>
      <c r="E3983" t="s">
        <v>26010</v>
      </c>
      <c r="F3983" t="s">
        <v>35</v>
      </c>
      <c r="G3983" t="s">
        <v>22174</v>
      </c>
      <c r="H3983" t="s">
        <v>26011</v>
      </c>
      <c r="I3983" s="26">
        <v>41003</v>
      </c>
      <c r="J3983">
        <v>2012</v>
      </c>
      <c r="K3983" t="s">
        <v>26012</v>
      </c>
      <c r="L3983">
        <v>240</v>
      </c>
      <c r="M3983" t="s">
        <v>40302</v>
      </c>
      <c r="N3983">
        <v>1</v>
      </c>
      <c r="Q3983" t="s">
        <v>40303</v>
      </c>
      <c r="R3983" t="s">
        <v>29813</v>
      </c>
      <c r="S3983" t="s">
        <v>7891</v>
      </c>
      <c r="T3983" t="s">
        <v>30</v>
      </c>
      <c r="U3983" t="s">
        <v>26116</v>
      </c>
      <c r="W3983" t="s">
        <v>26009</v>
      </c>
    </row>
    <row r="3984" spans="1:23" x14ac:dyDescent="0.35">
      <c r="A3984">
        <v>956998</v>
      </c>
      <c r="B3984" t="s">
        <v>8738</v>
      </c>
      <c r="C3984" t="str">
        <f>"9780805830910"</f>
        <v>9780805830910</v>
      </c>
      <c r="D3984" t="str">
        <f>"9781410601551"</f>
        <v>9781410601551</v>
      </c>
      <c r="E3984" t="s">
        <v>26010</v>
      </c>
      <c r="F3984" t="s">
        <v>35</v>
      </c>
      <c r="G3984" t="s">
        <v>26201</v>
      </c>
      <c r="H3984" t="s">
        <v>26004</v>
      </c>
      <c r="I3984" s="26">
        <v>36251</v>
      </c>
      <c r="J3984">
        <v>1999</v>
      </c>
      <c r="K3984" t="s">
        <v>660</v>
      </c>
      <c r="L3984">
        <v>354</v>
      </c>
      <c r="M3984" t="s">
        <v>40304</v>
      </c>
      <c r="N3984">
        <v>1</v>
      </c>
      <c r="Q3984" t="s">
        <v>40305</v>
      </c>
      <c r="R3984" t="s">
        <v>40306</v>
      </c>
      <c r="S3984" t="s">
        <v>8739</v>
      </c>
      <c r="T3984" t="s">
        <v>30</v>
      </c>
      <c r="U3984" t="s">
        <v>46</v>
      </c>
      <c r="W3984" t="s">
        <v>26009</v>
      </c>
    </row>
    <row r="3985" spans="1:23" x14ac:dyDescent="0.35">
      <c r="A3985">
        <v>957018</v>
      </c>
      <c r="B3985" t="s">
        <v>40307</v>
      </c>
      <c r="C3985" t="str">
        <f>"9780415879675"</f>
        <v>9780415879675</v>
      </c>
      <c r="D3985" t="str">
        <f>"9780203807002"</f>
        <v>9780203807002</v>
      </c>
      <c r="E3985" t="s">
        <v>26010</v>
      </c>
      <c r="F3985" t="s">
        <v>35</v>
      </c>
      <c r="G3985" t="s">
        <v>22174</v>
      </c>
      <c r="H3985" t="s">
        <v>26004</v>
      </c>
      <c r="I3985" s="26">
        <v>40736</v>
      </c>
      <c r="J3985">
        <v>2012</v>
      </c>
      <c r="K3985" t="s">
        <v>26012</v>
      </c>
      <c r="L3985">
        <v>537</v>
      </c>
      <c r="M3985" t="s">
        <v>40308</v>
      </c>
      <c r="N3985">
        <v>1</v>
      </c>
      <c r="O3985" t="s">
        <v>36011</v>
      </c>
      <c r="Q3985" t="s">
        <v>40309</v>
      </c>
      <c r="R3985">
        <v>300.15195</v>
      </c>
      <c r="S3985" t="s">
        <v>40310</v>
      </c>
      <c r="T3985" t="s">
        <v>30</v>
      </c>
      <c r="U3985" t="s">
        <v>26228</v>
      </c>
      <c r="W3985" t="s">
        <v>26009</v>
      </c>
    </row>
    <row r="3986" spans="1:23" x14ac:dyDescent="0.35">
      <c r="A3986">
        <v>957052</v>
      </c>
      <c r="B3986" t="s">
        <v>40311</v>
      </c>
      <c r="C3986" t="str">
        <f>"9780415881005"</f>
        <v>9780415881005</v>
      </c>
      <c r="D3986" t="str">
        <f>"9780203848869"</f>
        <v>9780203848869</v>
      </c>
      <c r="E3986" t="s">
        <v>26010</v>
      </c>
      <c r="F3986" t="s">
        <v>35</v>
      </c>
      <c r="G3986" t="s">
        <v>26201</v>
      </c>
      <c r="H3986" t="s">
        <v>26004</v>
      </c>
      <c r="I3986" s="26">
        <v>40955</v>
      </c>
      <c r="J3986">
        <v>2012</v>
      </c>
      <c r="K3986" t="s">
        <v>26012</v>
      </c>
      <c r="L3986">
        <v>305</v>
      </c>
      <c r="M3986" t="s">
        <v>40312</v>
      </c>
      <c r="N3986">
        <v>1</v>
      </c>
      <c r="O3986" t="s">
        <v>40313</v>
      </c>
      <c r="Q3986" t="s">
        <v>40314</v>
      </c>
      <c r="R3986" t="s">
        <v>26308</v>
      </c>
      <c r="S3986" t="s">
        <v>8083</v>
      </c>
      <c r="T3986" t="s">
        <v>30</v>
      </c>
      <c r="U3986" t="s">
        <v>36091</v>
      </c>
      <c r="W3986" t="s">
        <v>26009</v>
      </c>
    </row>
    <row r="3987" spans="1:23" x14ac:dyDescent="0.35">
      <c r="A3987">
        <v>957075</v>
      </c>
      <c r="B3987" t="s">
        <v>40315</v>
      </c>
      <c r="C3987" t="str">
        <f>"9780415891813"</f>
        <v>9780415891813</v>
      </c>
      <c r="D3987" t="str">
        <f>"9780203121061"</f>
        <v>9780203121061</v>
      </c>
      <c r="E3987" t="s">
        <v>26010</v>
      </c>
      <c r="F3987" t="s">
        <v>35</v>
      </c>
      <c r="G3987" t="s">
        <v>22174</v>
      </c>
      <c r="H3987" t="s">
        <v>26011</v>
      </c>
      <c r="I3987" s="26">
        <v>40969</v>
      </c>
      <c r="J3987">
        <v>2012</v>
      </c>
      <c r="K3987" t="s">
        <v>26012</v>
      </c>
      <c r="L3987">
        <v>121</v>
      </c>
      <c r="M3987" t="s">
        <v>40316</v>
      </c>
      <c r="N3987">
        <v>1</v>
      </c>
      <c r="Q3987" t="s">
        <v>40317</v>
      </c>
      <c r="R3987">
        <v>616.89499999999998</v>
      </c>
      <c r="S3987" t="s">
        <v>7693</v>
      </c>
      <c r="T3987" t="s">
        <v>30</v>
      </c>
      <c r="U3987" t="s">
        <v>26019</v>
      </c>
      <c r="W3987" t="s">
        <v>26009</v>
      </c>
    </row>
    <row r="3988" spans="1:23" x14ac:dyDescent="0.35">
      <c r="A3988">
        <v>957131</v>
      </c>
      <c r="B3988" t="s">
        <v>40318</v>
      </c>
      <c r="C3988" t="str">
        <f>"9780805859980"</f>
        <v>9780805859980</v>
      </c>
      <c r="D3988" t="str">
        <f>"9780203837887"</f>
        <v>9780203837887</v>
      </c>
      <c r="E3988" t="s">
        <v>26010</v>
      </c>
      <c r="F3988" t="s">
        <v>35</v>
      </c>
      <c r="G3988" t="s">
        <v>22190</v>
      </c>
      <c r="H3988" t="s">
        <v>26004</v>
      </c>
      <c r="I3988" s="26">
        <v>39804</v>
      </c>
      <c r="J3988">
        <v>2009</v>
      </c>
      <c r="K3988" t="s">
        <v>660</v>
      </c>
      <c r="L3988">
        <v>617</v>
      </c>
      <c r="M3988" t="s">
        <v>40319</v>
      </c>
      <c r="N3988">
        <v>1</v>
      </c>
      <c r="O3988" t="s">
        <v>37742</v>
      </c>
      <c r="Q3988" t="s">
        <v>40320</v>
      </c>
      <c r="R3988">
        <v>401.9</v>
      </c>
      <c r="S3988" t="s">
        <v>8052</v>
      </c>
      <c r="T3988" t="s">
        <v>30</v>
      </c>
      <c r="U3988" t="s">
        <v>28384</v>
      </c>
      <c r="W3988" t="s">
        <v>26009</v>
      </c>
    </row>
    <row r="3989" spans="1:23" x14ac:dyDescent="0.35">
      <c r="A3989">
        <v>957139</v>
      </c>
      <c r="B3989" t="s">
        <v>9045</v>
      </c>
      <c r="C3989" t="str">
        <f>"9780415871594"</f>
        <v>9780415871594</v>
      </c>
      <c r="D3989" t="str">
        <f>"9780203868560"</f>
        <v>9780203868560</v>
      </c>
      <c r="E3989" t="s">
        <v>26010</v>
      </c>
      <c r="F3989" t="s">
        <v>35</v>
      </c>
      <c r="G3989" t="s">
        <v>22174</v>
      </c>
      <c r="H3989" t="s">
        <v>26011</v>
      </c>
      <c r="I3989" s="26">
        <v>40799</v>
      </c>
      <c r="J3989">
        <v>2012</v>
      </c>
      <c r="K3989" t="s">
        <v>26012</v>
      </c>
      <c r="L3989">
        <v>233</v>
      </c>
      <c r="M3989" t="s">
        <v>40321</v>
      </c>
      <c r="N3989">
        <v>1</v>
      </c>
      <c r="O3989" t="s">
        <v>30090</v>
      </c>
      <c r="Q3989" t="s">
        <v>40322</v>
      </c>
      <c r="R3989">
        <v>616.85222999999996</v>
      </c>
      <c r="S3989" t="s">
        <v>9046</v>
      </c>
      <c r="T3989" t="s">
        <v>30</v>
      </c>
      <c r="U3989" t="s">
        <v>26019</v>
      </c>
      <c r="W3989" t="s">
        <v>26009</v>
      </c>
    </row>
    <row r="3990" spans="1:23" x14ac:dyDescent="0.35">
      <c r="A3990">
        <v>957145</v>
      </c>
      <c r="B3990" t="s">
        <v>40323</v>
      </c>
      <c r="C3990" t="str">
        <f>"9781848729438"</f>
        <v>9781848729438</v>
      </c>
      <c r="D3990" t="str">
        <f>"9780203155158"</f>
        <v>9780203155158</v>
      </c>
      <c r="E3990" t="s">
        <v>26010</v>
      </c>
      <c r="F3990" t="s">
        <v>35</v>
      </c>
      <c r="G3990" t="s">
        <v>22267</v>
      </c>
      <c r="H3990" t="s">
        <v>26011</v>
      </c>
      <c r="I3990" s="26">
        <v>40856</v>
      </c>
      <c r="J3990">
        <v>2012</v>
      </c>
      <c r="K3990" t="s">
        <v>660</v>
      </c>
      <c r="L3990">
        <v>483</v>
      </c>
      <c r="M3990" t="s">
        <v>40324</v>
      </c>
      <c r="N3990">
        <v>2</v>
      </c>
      <c r="Q3990" t="s">
        <v>40325</v>
      </c>
      <c r="R3990">
        <v>418.40190000000001</v>
      </c>
      <c r="S3990" t="s">
        <v>9624</v>
      </c>
      <c r="T3990" t="s">
        <v>30</v>
      </c>
      <c r="U3990" t="s">
        <v>35982</v>
      </c>
      <c r="W3990" t="s">
        <v>26009</v>
      </c>
    </row>
    <row r="3991" spans="1:23" x14ac:dyDescent="0.35">
      <c r="A3991">
        <v>957155</v>
      </c>
      <c r="B3991" t="s">
        <v>40326</v>
      </c>
      <c r="C3991" t="str">
        <f>"9780415871785"</f>
        <v>9780415871785</v>
      </c>
      <c r="D3991" t="str">
        <f>"9780203843826"</f>
        <v>9780203843826</v>
      </c>
      <c r="E3991" t="s">
        <v>26010</v>
      </c>
      <c r="F3991" t="s">
        <v>35</v>
      </c>
      <c r="G3991" t="s">
        <v>22174</v>
      </c>
      <c r="H3991" t="s">
        <v>26011</v>
      </c>
      <c r="I3991" s="26">
        <v>40067</v>
      </c>
      <c r="J3991">
        <v>2010</v>
      </c>
      <c r="K3991" t="s">
        <v>26012</v>
      </c>
      <c r="L3991">
        <v>152</v>
      </c>
      <c r="M3991" t="s">
        <v>40327</v>
      </c>
      <c r="N3991">
        <v>1</v>
      </c>
      <c r="Q3991" t="s">
        <v>40328</v>
      </c>
      <c r="R3991">
        <v>616.89161999999999</v>
      </c>
      <c r="S3991" t="s">
        <v>9071</v>
      </c>
      <c r="T3991" t="s">
        <v>30</v>
      </c>
      <c r="U3991" t="s">
        <v>26019</v>
      </c>
      <c r="W3991" t="s">
        <v>26009</v>
      </c>
    </row>
    <row r="3992" spans="1:23" x14ac:dyDescent="0.35">
      <c r="A3992">
        <v>957159</v>
      </c>
      <c r="B3992" t="s">
        <v>40329</v>
      </c>
      <c r="C3992" t="str">
        <f>"9780415683517"</f>
        <v>9780415683517</v>
      </c>
      <c r="D3992" t="str">
        <f>"9780203803776"</f>
        <v>9780203803776</v>
      </c>
      <c r="E3992" t="s">
        <v>26010</v>
      </c>
      <c r="F3992" t="s">
        <v>35</v>
      </c>
      <c r="G3992" t="s">
        <v>26201</v>
      </c>
      <c r="H3992" t="s">
        <v>26004</v>
      </c>
      <c r="I3992" s="26">
        <v>40885</v>
      </c>
      <c r="J3992">
        <v>1991</v>
      </c>
      <c r="K3992" t="s">
        <v>26012</v>
      </c>
      <c r="L3992">
        <v>422</v>
      </c>
      <c r="M3992" t="s">
        <v>40330</v>
      </c>
      <c r="N3992">
        <v>1</v>
      </c>
      <c r="O3992" t="s">
        <v>40331</v>
      </c>
      <c r="Q3992" t="s">
        <v>40332</v>
      </c>
      <c r="R3992">
        <v>370.15230000000003</v>
      </c>
      <c r="S3992" t="s">
        <v>40333</v>
      </c>
      <c r="T3992" t="s">
        <v>30</v>
      </c>
      <c r="U3992" t="s">
        <v>337</v>
      </c>
      <c r="W3992" t="s">
        <v>26009</v>
      </c>
    </row>
    <row r="3993" spans="1:23" x14ac:dyDescent="0.35">
      <c r="A3993">
        <v>957165</v>
      </c>
      <c r="B3993" t="s">
        <v>40334</v>
      </c>
      <c r="C3993" t="str">
        <f>"9780415580335"</f>
        <v>9780415580335</v>
      </c>
      <c r="D3993" t="str">
        <f>"9780203806500"</f>
        <v>9780203806500</v>
      </c>
      <c r="E3993" t="s">
        <v>26010</v>
      </c>
      <c r="F3993" t="s">
        <v>35</v>
      </c>
      <c r="G3993" t="s">
        <v>26201</v>
      </c>
      <c r="H3993" t="s">
        <v>26004</v>
      </c>
      <c r="I3993" s="26">
        <v>40806</v>
      </c>
      <c r="J3993">
        <v>2011</v>
      </c>
      <c r="K3993" t="s">
        <v>26012</v>
      </c>
      <c r="L3993">
        <v>249</v>
      </c>
      <c r="M3993" t="s">
        <v>40335</v>
      </c>
      <c r="N3993">
        <v>1</v>
      </c>
      <c r="O3993" t="s">
        <v>40336</v>
      </c>
      <c r="Q3993" t="s">
        <v>40337</v>
      </c>
      <c r="R3993">
        <v>616.89</v>
      </c>
      <c r="S3993" t="s">
        <v>8363</v>
      </c>
      <c r="T3993" t="s">
        <v>30</v>
      </c>
      <c r="U3993" t="s">
        <v>26116</v>
      </c>
      <c r="W3993" t="s">
        <v>26009</v>
      </c>
    </row>
    <row r="3994" spans="1:23" x14ac:dyDescent="0.35">
      <c r="A3994">
        <v>957185</v>
      </c>
      <c r="B3994" t="s">
        <v>40338</v>
      </c>
      <c r="C3994" t="str">
        <f>"9781848729209"</f>
        <v>9781848729209</v>
      </c>
      <c r="D3994" t="str">
        <f>"9780203141434"</f>
        <v>9780203141434</v>
      </c>
      <c r="E3994" t="s">
        <v>26010</v>
      </c>
      <c r="F3994" t="s">
        <v>35</v>
      </c>
      <c r="G3994" t="s">
        <v>22267</v>
      </c>
      <c r="H3994" t="s">
        <v>26011</v>
      </c>
      <c r="I3994" s="26">
        <v>40948</v>
      </c>
      <c r="J3994">
        <v>2012</v>
      </c>
      <c r="K3994" t="s">
        <v>660</v>
      </c>
      <c r="L3994">
        <v>409</v>
      </c>
      <c r="M3994" t="s">
        <v>40339</v>
      </c>
      <c r="N3994">
        <v>1</v>
      </c>
      <c r="Q3994" t="s">
        <v>40340</v>
      </c>
      <c r="R3994" t="s">
        <v>40341</v>
      </c>
      <c r="S3994" t="s">
        <v>10094</v>
      </c>
      <c r="T3994" t="s">
        <v>30</v>
      </c>
      <c r="U3994" t="s">
        <v>27273</v>
      </c>
      <c r="W3994" t="s">
        <v>26009</v>
      </c>
    </row>
    <row r="3995" spans="1:23" x14ac:dyDescent="0.35">
      <c r="A3995">
        <v>957191</v>
      </c>
      <c r="B3995" t="s">
        <v>40342</v>
      </c>
      <c r="C3995" t="str">
        <f>"9780415891257"</f>
        <v>9780415891257</v>
      </c>
      <c r="D3995" t="str">
        <f>"9780203826454"</f>
        <v>9780203826454</v>
      </c>
      <c r="E3995" t="s">
        <v>26010</v>
      </c>
      <c r="F3995" t="s">
        <v>35</v>
      </c>
      <c r="G3995" t="s">
        <v>22174</v>
      </c>
      <c r="H3995" t="s">
        <v>26011</v>
      </c>
      <c r="I3995" s="26">
        <v>40954</v>
      </c>
      <c r="J3995">
        <v>2012</v>
      </c>
      <c r="K3995" t="s">
        <v>26012</v>
      </c>
      <c r="L3995">
        <v>277</v>
      </c>
      <c r="M3995" t="s">
        <v>40343</v>
      </c>
      <c r="N3995">
        <v>1</v>
      </c>
      <c r="O3995" t="s">
        <v>26909</v>
      </c>
      <c r="Q3995" t="s">
        <v>40344</v>
      </c>
      <c r="R3995">
        <v>616.89156200000002</v>
      </c>
      <c r="S3995" t="s">
        <v>7956</v>
      </c>
      <c r="T3995" t="s">
        <v>30</v>
      </c>
      <c r="U3995" t="s">
        <v>26019</v>
      </c>
      <c r="W3995" t="s">
        <v>26009</v>
      </c>
    </row>
    <row r="3996" spans="1:23" x14ac:dyDescent="0.35">
      <c r="A3996">
        <v>957195</v>
      </c>
      <c r="B3996" t="s">
        <v>9609</v>
      </c>
      <c r="C3996" t="str">
        <f>"9781848728837"</f>
        <v>9781848728837</v>
      </c>
      <c r="D3996" t="str">
        <f>"9780203103937"</f>
        <v>9780203103937</v>
      </c>
      <c r="E3996" t="s">
        <v>26010</v>
      </c>
      <c r="F3996" t="s">
        <v>35</v>
      </c>
      <c r="G3996" t="s">
        <v>22267</v>
      </c>
      <c r="H3996" t="s">
        <v>26011</v>
      </c>
      <c r="I3996" s="26">
        <v>40954</v>
      </c>
      <c r="J3996">
        <v>2012</v>
      </c>
      <c r="K3996" t="s">
        <v>660</v>
      </c>
      <c r="L3996">
        <v>347</v>
      </c>
      <c r="M3996" t="s">
        <v>40345</v>
      </c>
      <c r="N3996">
        <v>1</v>
      </c>
      <c r="O3996" t="s">
        <v>26988</v>
      </c>
      <c r="Q3996" t="s">
        <v>40346</v>
      </c>
      <c r="R3996" t="s">
        <v>36056</v>
      </c>
      <c r="S3996" t="s">
        <v>9610</v>
      </c>
      <c r="T3996" t="s">
        <v>30</v>
      </c>
      <c r="U3996" t="s">
        <v>26044</v>
      </c>
      <c r="W3996" t="s">
        <v>26009</v>
      </c>
    </row>
    <row r="3997" spans="1:23" x14ac:dyDescent="0.35">
      <c r="A3997">
        <v>957202</v>
      </c>
      <c r="B3997" t="s">
        <v>40347</v>
      </c>
      <c r="C3997" t="str">
        <f>"9781848728691"</f>
        <v>9781848728691</v>
      </c>
      <c r="D3997" t="str">
        <f>"9780203814772"</f>
        <v>9780203814772</v>
      </c>
      <c r="E3997" t="s">
        <v>26010</v>
      </c>
      <c r="F3997" t="s">
        <v>35</v>
      </c>
      <c r="G3997" t="s">
        <v>22174</v>
      </c>
      <c r="H3997" t="s">
        <v>26004</v>
      </c>
      <c r="I3997" s="26">
        <v>40751</v>
      </c>
      <c r="J3997">
        <v>2012</v>
      </c>
      <c r="K3997" t="s">
        <v>26012</v>
      </c>
      <c r="L3997">
        <v>592</v>
      </c>
      <c r="M3997" t="s">
        <v>40348</v>
      </c>
      <c r="N3997">
        <v>1</v>
      </c>
      <c r="O3997" t="s">
        <v>27657</v>
      </c>
      <c r="Q3997" t="s">
        <v>40349</v>
      </c>
      <c r="R3997">
        <v>658.40219999999999</v>
      </c>
      <c r="S3997" t="s">
        <v>40350</v>
      </c>
      <c r="T3997" t="s">
        <v>30</v>
      </c>
      <c r="U3997" t="s">
        <v>30031</v>
      </c>
      <c r="W3997" t="s">
        <v>26009</v>
      </c>
    </row>
    <row r="3998" spans="1:23" x14ac:dyDescent="0.35">
      <c r="A3998">
        <v>957208</v>
      </c>
      <c r="B3998" t="s">
        <v>40351</v>
      </c>
      <c r="C3998" t="str">
        <f>"9781848720152"</f>
        <v>9781848720152</v>
      </c>
      <c r="D3998" t="str">
        <f>"9780203847121"</f>
        <v>9780203847121</v>
      </c>
      <c r="E3998" t="s">
        <v>26010</v>
      </c>
      <c r="F3998" t="s">
        <v>35</v>
      </c>
      <c r="G3998" t="s">
        <v>22267</v>
      </c>
      <c r="H3998" t="s">
        <v>26011</v>
      </c>
      <c r="I3998" s="26">
        <v>40501</v>
      </c>
      <c r="J3998">
        <v>2011</v>
      </c>
      <c r="K3998" t="s">
        <v>660</v>
      </c>
      <c r="L3998">
        <v>473</v>
      </c>
      <c r="M3998" t="s">
        <v>40352</v>
      </c>
      <c r="N3998">
        <v>1</v>
      </c>
      <c r="O3998" t="s">
        <v>37742</v>
      </c>
      <c r="Q3998" t="s">
        <v>40353</v>
      </c>
      <c r="R3998">
        <v>153.43</v>
      </c>
      <c r="S3998" t="s">
        <v>9625</v>
      </c>
      <c r="T3998" t="s">
        <v>30</v>
      </c>
      <c r="U3998" t="s">
        <v>46</v>
      </c>
      <c r="W3998" t="s">
        <v>26009</v>
      </c>
    </row>
    <row r="3999" spans="1:23" x14ac:dyDescent="0.35">
      <c r="A3999">
        <v>957221</v>
      </c>
      <c r="B3999" t="s">
        <v>40354</v>
      </c>
      <c r="C3999" t="str">
        <f>"9780415882866"</f>
        <v>9780415882866</v>
      </c>
      <c r="D3999" t="str">
        <f>"9780203846568"</f>
        <v>9780203846568</v>
      </c>
      <c r="E3999" t="s">
        <v>26010</v>
      </c>
      <c r="F3999" t="s">
        <v>35</v>
      </c>
      <c r="G3999" t="s">
        <v>22174</v>
      </c>
      <c r="H3999" t="s">
        <v>26011</v>
      </c>
      <c r="I3999" s="26">
        <v>40849</v>
      </c>
      <c r="J3999">
        <v>2012</v>
      </c>
      <c r="K3999" t="s">
        <v>26012</v>
      </c>
      <c r="L3999">
        <v>342</v>
      </c>
      <c r="M3999" t="s">
        <v>40355</v>
      </c>
      <c r="N3999">
        <v>1</v>
      </c>
      <c r="O3999" t="s">
        <v>27182</v>
      </c>
      <c r="Q3999" t="s">
        <v>40356</v>
      </c>
      <c r="R3999" t="s">
        <v>40357</v>
      </c>
      <c r="S3999" t="s">
        <v>10085</v>
      </c>
      <c r="T3999" t="s">
        <v>30</v>
      </c>
      <c r="U3999" t="s">
        <v>40358</v>
      </c>
      <c r="W3999" t="s">
        <v>26009</v>
      </c>
    </row>
    <row r="4000" spans="1:23" x14ac:dyDescent="0.35">
      <c r="A4000">
        <v>957226</v>
      </c>
      <c r="B4000" t="s">
        <v>8744</v>
      </c>
      <c r="C4000" t="str">
        <f>"9780415885959"</f>
        <v>9780415885959</v>
      </c>
      <c r="D4000" t="str">
        <f>"9780203838280"</f>
        <v>9780203838280</v>
      </c>
      <c r="E4000" t="s">
        <v>26010</v>
      </c>
      <c r="F4000" t="s">
        <v>35</v>
      </c>
      <c r="G4000" t="s">
        <v>26201</v>
      </c>
      <c r="H4000" t="s">
        <v>26004</v>
      </c>
      <c r="I4000" s="26">
        <v>40781</v>
      </c>
      <c r="J4000">
        <v>2012</v>
      </c>
      <c r="K4000" t="s">
        <v>26012</v>
      </c>
      <c r="L4000">
        <v>345</v>
      </c>
      <c r="M4000" t="s">
        <v>40359</v>
      </c>
      <c r="N4000">
        <v>1</v>
      </c>
      <c r="Q4000" t="s">
        <v>40360</v>
      </c>
      <c r="R4000" t="s">
        <v>26873</v>
      </c>
      <c r="S4000" t="s">
        <v>40361</v>
      </c>
      <c r="T4000" t="s">
        <v>30</v>
      </c>
      <c r="U4000" t="s">
        <v>46</v>
      </c>
      <c r="W4000" t="s">
        <v>26009</v>
      </c>
    </row>
    <row r="4001" spans="1:23" x14ac:dyDescent="0.35">
      <c r="A4001">
        <v>957237</v>
      </c>
      <c r="B4001" t="s">
        <v>40362</v>
      </c>
      <c r="C4001" t="str">
        <f>"9780415808255"</f>
        <v>9780415808255</v>
      </c>
      <c r="D4001" t="str">
        <f>"9780203135884"</f>
        <v>9780203135884</v>
      </c>
      <c r="E4001" t="s">
        <v>26010</v>
      </c>
      <c r="F4001" t="s">
        <v>35</v>
      </c>
      <c r="G4001" t="s">
        <v>26201</v>
      </c>
      <c r="H4001" t="s">
        <v>26004</v>
      </c>
      <c r="I4001" s="26">
        <v>40898</v>
      </c>
      <c r="J4001">
        <v>2012</v>
      </c>
      <c r="K4001" t="s">
        <v>26012</v>
      </c>
      <c r="L4001">
        <v>251</v>
      </c>
      <c r="M4001" t="s">
        <v>40363</v>
      </c>
      <c r="N4001">
        <v>1</v>
      </c>
      <c r="O4001" t="s">
        <v>40364</v>
      </c>
      <c r="Q4001" t="s">
        <v>40365</v>
      </c>
      <c r="R4001">
        <v>658.31421999999998</v>
      </c>
      <c r="S4001" t="s">
        <v>7919</v>
      </c>
      <c r="T4001" t="s">
        <v>30</v>
      </c>
      <c r="U4001" t="s">
        <v>30031</v>
      </c>
      <c r="W4001" t="s">
        <v>35989</v>
      </c>
    </row>
    <row r="4002" spans="1:23" x14ac:dyDescent="0.35">
      <c r="A4002">
        <v>957267</v>
      </c>
      <c r="B4002" t="s">
        <v>40366</v>
      </c>
      <c r="C4002" t="str">
        <f>"9781848729735"</f>
        <v>9781848729735</v>
      </c>
      <c r="D4002" t="str">
        <f>"9780203325988"</f>
        <v>9780203325988</v>
      </c>
      <c r="E4002" t="s">
        <v>26010</v>
      </c>
      <c r="F4002" t="s">
        <v>35</v>
      </c>
      <c r="G4002" t="s">
        <v>22267</v>
      </c>
      <c r="H4002" t="s">
        <v>26011</v>
      </c>
      <c r="I4002" s="26">
        <v>40863</v>
      </c>
      <c r="J4002">
        <v>2012</v>
      </c>
      <c r="K4002" t="s">
        <v>660</v>
      </c>
      <c r="L4002">
        <v>289</v>
      </c>
      <c r="M4002" t="s">
        <v>40367</v>
      </c>
      <c r="N4002">
        <v>1</v>
      </c>
      <c r="Q4002" t="s">
        <v>40368</v>
      </c>
      <c r="R4002">
        <v>153</v>
      </c>
      <c r="S4002" t="s">
        <v>7613</v>
      </c>
      <c r="T4002" t="s">
        <v>30</v>
      </c>
      <c r="U4002" t="s">
        <v>46</v>
      </c>
      <c r="W4002" t="s">
        <v>26009</v>
      </c>
    </row>
    <row r="4003" spans="1:23" x14ac:dyDescent="0.35">
      <c r="A4003">
        <v>957272</v>
      </c>
      <c r="B4003" t="s">
        <v>40369</v>
      </c>
      <c r="C4003" t="str">
        <f>"9780415872386"</f>
        <v>9780415872386</v>
      </c>
      <c r="D4003" t="str">
        <f>"9780203866702"</f>
        <v>9780203866702</v>
      </c>
      <c r="E4003" t="s">
        <v>26010</v>
      </c>
      <c r="F4003" t="s">
        <v>35</v>
      </c>
      <c r="G4003" t="s">
        <v>22174</v>
      </c>
      <c r="H4003" t="s">
        <v>26011</v>
      </c>
      <c r="I4003" s="26">
        <v>41016</v>
      </c>
      <c r="J4003">
        <v>2012</v>
      </c>
      <c r="K4003" t="s">
        <v>26012</v>
      </c>
      <c r="L4003">
        <v>291</v>
      </c>
      <c r="M4003" t="s">
        <v>40370</v>
      </c>
      <c r="N4003">
        <v>1</v>
      </c>
      <c r="O4003" t="s">
        <v>26909</v>
      </c>
      <c r="Q4003" t="s">
        <v>40371</v>
      </c>
      <c r="R4003">
        <v>616.89156000000003</v>
      </c>
      <c r="S4003" t="s">
        <v>7791</v>
      </c>
      <c r="T4003" t="s">
        <v>30</v>
      </c>
      <c r="U4003" t="s">
        <v>28629</v>
      </c>
      <c r="W4003" t="s">
        <v>26009</v>
      </c>
    </row>
    <row r="4004" spans="1:23" x14ac:dyDescent="0.35">
      <c r="A4004">
        <v>957274</v>
      </c>
      <c r="B4004" t="s">
        <v>40372</v>
      </c>
      <c r="C4004" t="str">
        <f>"9780415604154"</f>
        <v>9780415604154</v>
      </c>
      <c r="D4004" t="str">
        <f>"9780203834145"</f>
        <v>9780203834145</v>
      </c>
      <c r="E4004" t="s">
        <v>26010</v>
      </c>
      <c r="F4004" t="s">
        <v>35</v>
      </c>
      <c r="G4004" t="s">
        <v>22174</v>
      </c>
      <c r="H4004" t="s">
        <v>26011</v>
      </c>
      <c r="I4004" s="26">
        <v>40807</v>
      </c>
      <c r="J4004">
        <v>2011</v>
      </c>
      <c r="K4004" t="s">
        <v>26012</v>
      </c>
      <c r="L4004">
        <v>281</v>
      </c>
      <c r="M4004" t="s">
        <v>40373</v>
      </c>
      <c r="N4004">
        <v>1</v>
      </c>
      <c r="O4004" t="s">
        <v>27341</v>
      </c>
      <c r="Q4004" t="s">
        <v>40374</v>
      </c>
      <c r="R4004">
        <v>306.09469999999999</v>
      </c>
      <c r="S4004" t="s">
        <v>40375</v>
      </c>
      <c r="T4004" t="s">
        <v>30</v>
      </c>
      <c r="U4004" t="s">
        <v>26044</v>
      </c>
      <c r="W4004" t="s">
        <v>35989</v>
      </c>
    </row>
    <row r="4005" spans="1:23" x14ac:dyDescent="0.35">
      <c r="A4005">
        <v>957287</v>
      </c>
      <c r="B4005" t="s">
        <v>40376</v>
      </c>
      <c r="C4005" t="str">
        <f>"9780415667463"</f>
        <v>9780415667463</v>
      </c>
      <c r="D4005" t="str">
        <f>"9780203144411"</f>
        <v>9780203144411</v>
      </c>
      <c r="E4005" t="s">
        <v>26010</v>
      </c>
      <c r="F4005" t="s">
        <v>35</v>
      </c>
      <c r="G4005" t="s">
        <v>22174</v>
      </c>
      <c r="H4005" t="s">
        <v>26011</v>
      </c>
      <c r="I4005" s="26">
        <v>40935</v>
      </c>
      <c r="J4005">
        <v>2012</v>
      </c>
      <c r="K4005" t="s">
        <v>26012</v>
      </c>
      <c r="L4005">
        <v>210</v>
      </c>
      <c r="M4005" t="s">
        <v>40377</v>
      </c>
      <c r="N4005">
        <v>1</v>
      </c>
      <c r="O4005" t="s">
        <v>34172</v>
      </c>
      <c r="Q4005" t="s">
        <v>40378</v>
      </c>
      <c r="R4005">
        <v>616.89147000000003</v>
      </c>
      <c r="S4005" t="s">
        <v>40379</v>
      </c>
      <c r="T4005" t="s">
        <v>30</v>
      </c>
      <c r="U4005" t="s">
        <v>26116</v>
      </c>
      <c r="W4005" t="s">
        <v>26009</v>
      </c>
    </row>
    <row r="4006" spans="1:23" x14ac:dyDescent="0.35">
      <c r="A4006">
        <v>957331</v>
      </c>
      <c r="B4006" t="s">
        <v>9446</v>
      </c>
      <c r="C4006" t="str">
        <f>"9781848728950"</f>
        <v>9781848728950</v>
      </c>
      <c r="D4006" t="str">
        <f>"9780203806135"</f>
        <v>9780203806135</v>
      </c>
      <c r="E4006" t="s">
        <v>26010</v>
      </c>
      <c r="F4006" t="s">
        <v>35</v>
      </c>
      <c r="G4006" t="s">
        <v>22267</v>
      </c>
      <c r="H4006" t="s">
        <v>26011</v>
      </c>
      <c r="I4006" s="26">
        <v>40840</v>
      </c>
      <c r="J4006">
        <v>2012</v>
      </c>
      <c r="K4006" t="s">
        <v>660</v>
      </c>
      <c r="L4006">
        <v>353</v>
      </c>
      <c r="M4006" t="s">
        <v>40380</v>
      </c>
      <c r="N4006">
        <v>1</v>
      </c>
      <c r="Q4006" t="s">
        <v>40381</v>
      </c>
      <c r="R4006" t="s">
        <v>40382</v>
      </c>
      <c r="S4006" t="s">
        <v>9447</v>
      </c>
      <c r="T4006" t="s">
        <v>30</v>
      </c>
      <c r="U4006" t="s">
        <v>46</v>
      </c>
      <c r="W4006" t="s">
        <v>26009</v>
      </c>
    </row>
    <row r="4007" spans="1:23" x14ac:dyDescent="0.35">
      <c r="A4007">
        <v>957344</v>
      </c>
      <c r="B4007" t="s">
        <v>8893</v>
      </c>
      <c r="C4007" t="str">
        <f>"9780415897600"</f>
        <v>9780415897600</v>
      </c>
      <c r="D4007" t="str">
        <f>"9780203803547"</f>
        <v>9780203803547</v>
      </c>
      <c r="E4007" t="s">
        <v>26010</v>
      </c>
      <c r="F4007" t="s">
        <v>35</v>
      </c>
      <c r="G4007" t="s">
        <v>22174</v>
      </c>
      <c r="H4007" t="s">
        <v>26011</v>
      </c>
      <c r="I4007" s="26">
        <v>40773</v>
      </c>
      <c r="J4007">
        <v>2012</v>
      </c>
      <c r="K4007" t="s">
        <v>26012</v>
      </c>
      <c r="L4007">
        <v>346</v>
      </c>
      <c r="M4007" t="s">
        <v>40383</v>
      </c>
      <c r="N4007">
        <v>1</v>
      </c>
      <c r="Q4007" t="s">
        <v>40384</v>
      </c>
      <c r="R4007">
        <v>615.85154</v>
      </c>
      <c r="S4007" t="s">
        <v>8894</v>
      </c>
      <c r="T4007" t="s">
        <v>30</v>
      </c>
      <c r="U4007" t="s">
        <v>30953</v>
      </c>
      <c r="W4007" t="s">
        <v>35989</v>
      </c>
    </row>
    <row r="4008" spans="1:23" x14ac:dyDescent="0.35">
      <c r="A4008">
        <v>957347</v>
      </c>
      <c r="B4008" t="s">
        <v>40385</v>
      </c>
      <c r="C4008" t="str">
        <f>"9780415876476"</f>
        <v>9780415876476</v>
      </c>
      <c r="D4008" t="str">
        <f>"9780203123034"</f>
        <v>9780203123034</v>
      </c>
      <c r="E4008" t="s">
        <v>26010</v>
      </c>
      <c r="F4008" t="s">
        <v>35</v>
      </c>
      <c r="G4008" t="s">
        <v>26128</v>
      </c>
      <c r="H4008" t="s">
        <v>26011</v>
      </c>
      <c r="I4008" s="26">
        <v>41023</v>
      </c>
      <c r="J4008">
        <v>2012</v>
      </c>
      <c r="K4008" t="s">
        <v>26012</v>
      </c>
      <c r="L4008">
        <v>503</v>
      </c>
      <c r="M4008" t="s">
        <v>40386</v>
      </c>
      <c r="N4008">
        <v>1</v>
      </c>
      <c r="O4008" t="s">
        <v>35963</v>
      </c>
      <c r="R4008">
        <v>302.35000000000002</v>
      </c>
      <c r="S4008" t="s">
        <v>8274</v>
      </c>
      <c r="T4008" t="s">
        <v>30</v>
      </c>
      <c r="U4008" t="s">
        <v>26044</v>
      </c>
      <c r="W4008" t="s">
        <v>26009</v>
      </c>
    </row>
    <row r="4009" spans="1:23" x14ac:dyDescent="0.35">
      <c r="A4009">
        <v>957358</v>
      </c>
      <c r="B4009" t="s">
        <v>40387</v>
      </c>
      <c r="C4009" t="str">
        <f>"9780415496650"</f>
        <v>9780415496650</v>
      </c>
      <c r="D4009" t="str">
        <f>"9780203878156"</f>
        <v>9780203878156</v>
      </c>
      <c r="E4009" t="s">
        <v>26010</v>
      </c>
      <c r="F4009" t="s">
        <v>35</v>
      </c>
      <c r="G4009" t="s">
        <v>22174</v>
      </c>
      <c r="H4009" t="s">
        <v>26011</v>
      </c>
      <c r="I4009" s="26">
        <v>40857</v>
      </c>
      <c r="J4009">
        <v>2010</v>
      </c>
      <c r="K4009" t="s">
        <v>26012</v>
      </c>
      <c r="L4009">
        <v>141</v>
      </c>
      <c r="M4009" t="s">
        <v>40388</v>
      </c>
      <c r="N4009">
        <v>1</v>
      </c>
      <c r="O4009" t="s">
        <v>40389</v>
      </c>
      <c r="Q4009" t="s">
        <v>40390</v>
      </c>
      <c r="R4009" t="s">
        <v>40391</v>
      </c>
      <c r="S4009" t="s">
        <v>8028</v>
      </c>
      <c r="T4009" t="s">
        <v>30</v>
      </c>
      <c r="U4009" t="s">
        <v>26019</v>
      </c>
      <c r="W4009" t="s">
        <v>26009</v>
      </c>
    </row>
    <row r="4010" spans="1:23" x14ac:dyDescent="0.35">
      <c r="A4010">
        <v>957406</v>
      </c>
      <c r="B4010" t="s">
        <v>40392</v>
      </c>
      <c r="C4010" t="str">
        <f>"9780415891325"</f>
        <v>9780415891325</v>
      </c>
      <c r="D4010" t="str">
        <f>"9780203825730"</f>
        <v>9780203825730</v>
      </c>
      <c r="E4010" t="s">
        <v>26010</v>
      </c>
      <c r="F4010" t="s">
        <v>35</v>
      </c>
      <c r="G4010" t="s">
        <v>22174</v>
      </c>
      <c r="H4010" t="s">
        <v>26011</v>
      </c>
      <c r="I4010" s="26">
        <v>40989</v>
      </c>
      <c r="J4010">
        <v>2012</v>
      </c>
      <c r="K4010" t="s">
        <v>26012</v>
      </c>
      <c r="L4010">
        <v>359</v>
      </c>
      <c r="M4010" t="s">
        <v>40393</v>
      </c>
      <c r="N4010">
        <v>1</v>
      </c>
      <c r="Q4010" t="s">
        <v>40394</v>
      </c>
      <c r="R4010">
        <v>616.89</v>
      </c>
      <c r="S4010" t="s">
        <v>7797</v>
      </c>
      <c r="T4010" t="s">
        <v>30</v>
      </c>
      <c r="U4010" t="s">
        <v>29740</v>
      </c>
      <c r="W4010" t="s">
        <v>26009</v>
      </c>
    </row>
    <row r="4011" spans="1:23" x14ac:dyDescent="0.35">
      <c r="A4011">
        <v>957413</v>
      </c>
      <c r="B4011" t="s">
        <v>40395</v>
      </c>
      <c r="C4011" t="str">
        <f>"9780415467506"</f>
        <v>9780415467506</v>
      </c>
      <c r="D4011" t="str">
        <f>"9780203805756"</f>
        <v>9780203805756</v>
      </c>
      <c r="E4011" t="s">
        <v>26010</v>
      </c>
      <c r="F4011" t="s">
        <v>35</v>
      </c>
      <c r="G4011" t="s">
        <v>22174</v>
      </c>
      <c r="H4011" t="s">
        <v>26011</v>
      </c>
      <c r="I4011" s="26">
        <v>40778</v>
      </c>
      <c r="J4011">
        <v>2012</v>
      </c>
      <c r="K4011" t="s">
        <v>26012</v>
      </c>
      <c r="L4011">
        <v>281</v>
      </c>
      <c r="M4011" t="s">
        <v>40396</v>
      </c>
      <c r="N4011">
        <v>1</v>
      </c>
      <c r="Q4011" t="s">
        <v>40397</v>
      </c>
      <c r="R4011">
        <v>155.93700000000001</v>
      </c>
      <c r="S4011" t="s">
        <v>8535</v>
      </c>
      <c r="T4011" t="s">
        <v>30</v>
      </c>
      <c r="U4011" t="s">
        <v>26116</v>
      </c>
      <c r="W4011" t="s">
        <v>26009</v>
      </c>
    </row>
    <row r="4012" spans="1:23" x14ac:dyDescent="0.35">
      <c r="A4012">
        <v>957425</v>
      </c>
      <c r="B4012" t="s">
        <v>9638</v>
      </c>
      <c r="C4012" t="str">
        <f>"9780415892193"</f>
        <v>9780415892193</v>
      </c>
      <c r="D4012" t="str">
        <f>"9780203801505"</f>
        <v>9780203801505</v>
      </c>
      <c r="E4012" t="s">
        <v>26010</v>
      </c>
      <c r="F4012" t="s">
        <v>35</v>
      </c>
      <c r="G4012" t="s">
        <v>22174</v>
      </c>
      <c r="H4012" t="s">
        <v>26011</v>
      </c>
      <c r="I4012" s="26">
        <v>40834</v>
      </c>
      <c r="J4012">
        <v>2012</v>
      </c>
      <c r="K4012" t="s">
        <v>26012</v>
      </c>
      <c r="L4012">
        <v>287</v>
      </c>
      <c r="M4012" t="s">
        <v>40398</v>
      </c>
      <c r="N4012">
        <v>1</v>
      </c>
      <c r="Q4012" t="s">
        <v>40399</v>
      </c>
      <c r="R4012" t="s">
        <v>40400</v>
      </c>
      <c r="S4012" t="s">
        <v>9639</v>
      </c>
      <c r="T4012" t="s">
        <v>30</v>
      </c>
      <c r="U4012" t="s">
        <v>26040</v>
      </c>
      <c r="W4012" t="s">
        <v>26009</v>
      </c>
    </row>
    <row r="4013" spans="1:23" x14ac:dyDescent="0.35">
      <c r="A4013">
        <v>957427</v>
      </c>
      <c r="B4013" t="s">
        <v>9884</v>
      </c>
      <c r="C4013" t="str">
        <f>"9781848728844"</f>
        <v>9781848728844</v>
      </c>
      <c r="D4013" t="str">
        <f>"9780203865989"</f>
        <v>9780203865989</v>
      </c>
      <c r="E4013" t="s">
        <v>26010</v>
      </c>
      <c r="F4013" t="s">
        <v>35</v>
      </c>
      <c r="G4013" t="s">
        <v>22267</v>
      </c>
      <c r="H4013" t="s">
        <v>26011</v>
      </c>
      <c r="I4013" s="26">
        <v>40889</v>
      </c>
      <c r="J4013">
        <v>2012</v>
      </c>
      <c r="K4013" t="s">
        <v>660</v>
      </c>
      <c r="L4013">
        <v>385</v>
      </c>
      <c r="M4013" t="s">
        <v>40401</v>
      </c>
      <c r="N4013">
        <v>1</v>
      </c>
      <c r="O4013" t="s">
        <v>35895</v>
      </c>
      <c r="Q4013" t="s">
        <v>40402</v>
      </c>
      <c r="R4013">
        <v>302</v>
      </c>
      <c r="S4013" t="s">
        <v>9115</v>
      </c>
      <c r="T4013" t="s">
        <v>30</v>
      </c>
      <c r="U4013" t="s">
        <v>26228</v>
      </c>
      <c r="W4013" t="s">
        <v>26009</v>
      </c>
    </row>
    <row r="4014" spans="1:23" x14ac:dyDescent="0.35">
      <c r="A4014">
        <v>957443</v>
      </c>
      <c r="B4014" t="s">
        <v>8540</v>
      </c>
      <c r="C4014" t="str">
        <f>"9781848728738"</f>
        <v>9781848728738</v>
      </c>
      <c r="D4014" t="str">
        <f>"9780203869666"</f>
        <v>9780203869666</v>
      </c>
      <c r="E4014" t="s">
        <v>26010</v>
      </c>
      <c r="F4014" t="s">
        <v>35</v>
      </c>
      <c r="G4014" t="s">
        <v>22267</v>
      </c>
      <c r="H4014" t="s">
        <v>26011</v>
      </c>
      <c r="I4014" s="26">
        <v>40835</v>
      </c>
      <c r="J4014">
        <v>2012</v>
      </c>
      <c r="K4014" t="s">
        <v>660</v>
      </c>
      <c r="L4014">
        <v>357</v>
      </c>
      <c r="M4014" t="s">
        <v>40403</v>
      </c>
      <c r="N4014">
        <v>1</v>
      </c>
      <c r="O4014" t="s">
        <v>35895</v>
      </c>
      <c r="Q4014" t="s">
        <v>40404</v>
      </c>
      <c r="R4014">
        <v>153.80000000000001</v>
      </c>
      <c r="S4014" t="s">
        <v>8541</v>
      </c>
      <c r="T4014" t="s">
        <v>30</v>
      </c>
      <c r="U4014" t="s">
        <v>46</v>
      </c>
      <c r="W4014" t="s">
        <v>26009</v>
      </c>
    </row>
    <row r="4015" spans="1:23" x14ac:dyDescent="0.35">
      <c r="A4015">
        <v>957449</v>
      </c>
      <c r="B4015" t="s">
        <v>40405</v>
      </c>
      <c r="C4015" t="str">
        <f>"9780415673310"</f>
        <v>9780415673310</v>
      </c>
      <c r="D4015" t="str">
        <f>"9780203696682"</f>
        <v>9780203696682</v>
      </c>
      <c r="E4015" t="s">
        <v>26010</v>
      </c>
      <c r="F4015" t="s">
        <v>35</v>
      </c>
      <c r="G4015" t="s">
        <v>22174</v>
      </c>
      <c r="H4015" t="s">
        <v>26011</v>
      </c>
      <c r="I4015" s="26">
        <v>40858</v>
      </c>
      <c r="J4015">
        <v>2012</v>
      </c>
      <c r="K4015" t="s">
        <v>26012</v>
      </c>
      <c r="L4015">
        <v>234</v>
      </c>
      <c r="M4015" t="s">
        <v>40406</v>
      </c>
      <c r="N4015">
        <v>1</v>
      </c>
      <c r="O4015" t="s">
        <v>40336</v>
      </c>
      <c r="Q4015" t="s">
        <v>40407</v>
      </c>
      <c r="R4015">
        <v>616.89</v>
      </c>
      <c r="S4015" t="s">
        <v>9636</v>
      </c>
      <c r="T4015" t="s">
        <v>30</v>
      </c>
      <c r="U4015" t="s">
        <v>26116</v>
      </c>
      <c r="W4015" t="s">
        <v>26009</v>
      </c>
    </row>
    <row r="4016" spans="1:23" x14ac:dyDescent="0.35">
      <c r="A4016">
        <v>957457</v>
      </c>
      <c r="B4016" t="s">
        <v>40408</v>
      </c>
      <c r="C4016" t="str">
        <f>"9781841694702"</f>
        <v>9781841694702</v>
      </c>
      <c r="D4016" t="str">
        <f>"9780203838044"</f>
        <v>9780203838044</v>
      </c>
      <c r="E4016" t="s">
        <v>26010</v>
      </c>
      <c r="F4016" t="s">
        <v>35</v>
      </c>
      <c r="G4016" t="s">
        <v>22267</v>
      </c>
      <c r="H4016" t="s">
        <v>26011</v>
      </c>
      <c r="I4016" s="26">
        <v>39797</v>
      </c>
      <c r="J4016">
        <v>2009</v>
      </c>
      <c r="K4016" t="s">
        <v>660</v>
      </c>
      <c r="L4016">
        <v>312</v>
      </c>
      <c r="M4016" t="s">
        <v>40409</v>
      </c>
      <c r="N4016">
        <v>1</v>
      </c>
      <c r="O4016" t="s">
        <v>26996</v>
      </c>
      <c r="Q4016" t="s">
        <v>40410</v>
      </c>
      <c r="R4016">
        <v>153</v>
      </c>
      <c r="S4016" t="s">
        <v>8110</v>
      </c>
      <c r="T4016" t="s">
        <v>30</v>
      </c>
      <c r="U4016" t="s">
        <v>46</v>
      </c>
      <c r="W4016" t="s">
        <v>26009</v>
      </c>
    </row>
    <row r="4017" spans="1:23" x14ac:dyDescent="0.35">
      <c r="A4017">
        <v>957463</v>
      </c>
      <c r="B4017" t="s">
        <v>8326</v>
      </c>
      <c r="C4017" t="str">
        <f>"9780415429870"</f>
        <v>9780415429870</v>
      </c>
      <c r="D4017" t="str">
        <f>"9780203180983"</f>
        <v>9780203180983</v>
      </c>
      <c r="E4017" t="s">
        <v>26010</v>
      </c>
      <c r="F4017" t="s">
        <v>35</v>
      </c>
      <c r="G4017" t="s">
        <v>22174</v>
      </c>
      <c r="H4017" t="s">
        <v>26011</v>
      </c>
      <c r="I4017" s="26">
        <v>40805</v>
      </c>
      <c r="J4017">
        <v>2012</v>
      </c>
      <c r="K4017" t="s">
        <v>26012</v>
      </c>
      <c r="L4017">
        <v>193</v>
      </c>
      <c r="M4017" t="s">
        <v>40411</v>
      </c>
      <c r="N4017">
        <v>1</v>
      </c>
      <c r="O4017" t="s">
        <v>40412</v>
      </c>
      <c r="Q4017" t="s">
        <v>40413</v>
      </c>
      <c r="R4017">
        <v>174.91499999999999</v>
      </c>
      <c r="S4017" t="s">
        <v>8327</v>
      </c>
      <c r="T4017" t="s">
        <v>30</v>
      </c>
      <c r="U4017" t="s">
        <v>26520</v>
      </c>
      <c r="W4017" t="s">
        <v>26009</v>
      </c>
    </row>
    <row r="4018" spans="1:23" x14ac:dyDescent="0.35">
      <c r="A4018">
        <v>957475</v>
      </c>
      <c r="B4018" t="s">
        <v>40414</v>
      </c>
      <c r="C4018" t="str">
        <f>"9780415893657"</f>
        <v>9780415893657</v>
      </c>
      <c r="D4018" t="str">
        <f>"9780203815915"</f>
        <v>9780203815915</v>
      </c>
      <c r="E4018" t="s">
        <v>26010</v>
      </c>
      <c r="F4018" t="s">
        <v>35</v>
      </c>
      <c r="G4018" t="s">
        <v>22174</v>
      </c>
      <c r="H4018" t="s">
        <v>26011</v>
      </c>
      <c r="I4018" s="26">
        <v>40975</v>
      </c>
      <c r="J4018">
        <v>2012</v>
      </c>
      <c r="K4018" t="s">
        <v>26012</v>
      </c>
      <c r="L4018">
        <v>295</v>
      </c>
      <c r="M4018" t="s">
        <v>40415</v>
      </c>
      <c r="N4018">
        <v>1</v>
      </c>
      <c r="Q4018" t="s">
        <v>40416</v>
      </c>
      <c r="R4018">
        <v>362.2042560973</v>
      </c>
      <c r="S4018" t="s">
        <v>9872</v>
      </c>
      <c r="T4018" t="s">
        <v>30</v>
      </c>
      <c r="U4018" t="s">
        <v>26094</v>
      </c>
      <c r="W4018" t="s">
        <v>26009</v>
      </c>
    </row>
    <row r="4019" spans="1:23" x14ac:dyDescent="0.35">
      <c r="A4019">
        <v>957507</v>
      </c>
      <c r="B4019" t="s">
        <v>40417</v>
      </c>
      <c r="C4019" t="str">
        <f>"9780415888998"</f>
        <v>9780415888998</v>
      </c>
      <c r="D4019" t="str">
        <f>"9780203831335"</f>
        <v>9780203831335</v>
      </c>
      <c r="E4019" t="s">
        <v>26010</v>
      </c>
      <c r="F4019" t="s">
        <v>35</v>
      </c>
      <c r="G4019" t="s">
        <v>22174</v>
      </c>
      <c r="H4019" t="s">
        <v>26011</v>
      </c>
      <c r="I4019" s="26">
        <v>40821</v>
      </c>
      <c r="J4019">
        <v>2012</v>
      </c>
      <c r="K4019" t="s">
        <v>26012</v>
      </c>
      <c r="L4019">
        <v>279</v>
      </c>
      <c r="M4019" t="s">
        <v>40418</v>
      </c>
      <c r="N4019">
        <v>2</v>
      </c>
      <c r="Q4019" t="s">
        <v>40419</v>
      </c>
      <c r="R4019" t="s">
        <v>40420</v>
      </c>
      <c r="S4019" t="s">
        <v>8041</v>
      </c>
      <c r="T4019" t="s">
        <v>30</v>
      </c>
      <c r="U4019" t="s">
        <v>26116</v>
      </c>
      <c r="W4019" t="s">
        <v>26009</v>
      </c>
    </row>
    <row r="4020" spans="1:23" x14ac:dyDescent="0.35">
      <c r="A4020">
        <v>957538</v>
      </c>
      <c r="B4020" t="s">
        <v>40421</v>
      </c>
      <c r="C4020" t="str">
        <f>"9780415580182"</f>
        <v>9780415580182</v>
      </c>
      <c r="D4020" t="str">
        <f>"9780203851210"</f>
        <v>9780203851210</v>
      </c>
      <c r="E4020" t="s">
        <v>26010</v>
      </c>
      <c r="F4020" t="s">
        <v>35</v>
      </c>
      <c r="G4020" t="s">
        <v>26201</v>
      </c>
      <c r="H4020" t="s">
        <v>26011</v>
      </c>
      <c r="I4020" s="26">
        <v>40878</v>
      </c>
      <c r="J4020">
        <v>2012</v>
      </c>
      <c r="K4020" t="s">
        <v>26012</v>
      </c>
      <c r="L4020">
        <v>329</v>
      </c>
      <c r="M4020" t="s">
        <v>40422</v>
      </c>
      <c r="N4020">
        <v>1</v>
      </c>
      <c r="O4020" t="s">
        <v>40423</v>
      </c>
      <c r="Q4020" t="s">
        <v>40424</v>
      </c>
      <c r="R4020">
        <v>618.91999999999996</v>
      </c>
      <c r="S4020" t="s">
        <v>9338</v>
      </c>
      <c r="T4020" t="s">
        <v>30</v>
      </c>
      <c r="U4020" t="s">
        <v>26040</v>
      </c>
      <c r="W4020" t="s">
        <v>26009</v>
      </c>
    </row>
    <row r="4021" spans="1:23" x14ac:dyDescent="0.35">
      <c r="A4021">
        <v>957565</v>
      </c>
      <c r="B4021" t="s">
        <v>8283</v>
      </c>
      <c r="C4021" t="str">
        <f>"9781848729001"</f>
        <v>9781848729001</v>
      </c>
      <c r="D4021" t="str">
        <f>"9780203803134"</f>
        <v>9780203803134</v>
      </c>
      <c r="E4021" t="s">
        <v>26010</v>
      </c>
      <c r="F4021" t="s">
        <v>35</v>
      </c>
      <c r="G4021" t="s">
        <v>22267</v>
      </c>
      <c r="H4021" t="s">
        <v>26011</v>
      </c>
      <c r="I4021" s="26">
        <v>40870</v>
      </c>
      <c r="J4021">
        <v>2012</v>
      </c>
      <c r="K4021" t="s">
        <v>660</v>
      </c>
      <c r="L4021">
        <v>381</v>
      </c>
      <c r="M4021" t="s">
        <v>40425</v>
      </c>
      <c r="N4021">
        <v>1</v>
      </c>
      <c r="O4021" t="s">
        <v>26996</v>
      </c>
      <c r="Q4021" t="s">
        <v>40426</v>
      </c>
      <c r="R4021">
        <v>153</v>
      </c>
      <c r="S4021" t="s">
        <v>8036</v>
      </c>
      <c r="T4021" t="s">
        <v>30</v>
      </c>
      <c r="U4021" t="s">
        <v>46</v>
      </c>
      <c r="W4021" t="s">
        <v>26009</v>
      </c>
    </row>
    <row r="4022" spans="1:23" x14ac:dyDescent="0.35">
      <c r="A4022">
        <v>957570</v>
      </c>
      <c r="B4022" t="s">
        <v>7492</v>
      </c>
      <c r="C4022" t="str">
        <f>"9780415884464"</f>
        <v>9780415884464</v>
      </c>
      <c r="D4022" t="str">
        <f>"9780203841594"</f>
        <v>9780203841594</v>
      </c>
      <c r="E4022" t="s">
        <v>26010</v>
      </c>
      <c r="F4022" t="s">
        <v>35</v>
      </c>
      <c r="G4022" t="s">
        <v>22174</v>
      </c>
      <c r="H4022" t="s">
        <v>26011</v>
      </c>
      <c r="I4022" s="26">
        <v>40788</v>
      </c>
      <c r="J4022">
        <v>2012</v>
      </c>
      <c r="K4022" t="s">
        <v>26012</v>
      </c>
      <c r="L4022">
        <v>340</v>
      </c>
      <c r="M4022" t="s">
        <v>40427</v>
      </c>
      <c r="N4022">
        <v>1</v>
      </c>
      <c r="Q4022" t="s">
        <v>40428</v>
      </c>
      <c r="R4022" t="s">
        <v>40429</v>
      </c>
      <c r="S4022" t="s">
        <v>7493</v>
      </c>
      <c r="T4022" t="s">
        <v>30</v>
      </c>
      <c r="U4022" t="s">
        <v>46</v>
      </c>
      <c r="W4022" t="s">
        <v>26009</v>
      </c>
    </row>
    <row r="4023" spans="1:23" x14ac:dyDescent="0.35">
      <c r="A4023">
        <v>957581</v>
      </c>
      <c r="B4023" t="s">
        <v>40430</v>
      </c>
      <c r="C4023" t="str">
        <f>"9780805858242"</f>
        <v>9780805858242</v>
      </c>
      <c r="D4023" t="str">
        <f>"9781135597269"</f>
        <v>9781135597269</v>
      </c>
      <c r="E4023" t="s">
        <v>26010</v>
      </c>
      <c r="F4023" t="s">
        <v>35</v>
      </c>
      <c r="G4023" t="s">
        <v>26201</v>
      </c>
      <c r="H4023" t="s">
        <v>26011</v>
      </c>
      <c r="I4023" s="26">
        <v>40081</v>
      </c>
      <c r="J4023">
        <v>2010</v>
      </c>
      <c r="K4023" t="s">
        <v>26012</v>
      </c>
      <c r="L4023">
        <v>320</v>
      </c>
      <c r="M4023" t="s">
        <v>40431</v>
      </c>
      <c r="N4023">
        <v>3</v>
      </c>
      <c r="O4023" t="s">
        <v>31623</v>
      </c>
      <c r="Q4023" t="s">
        <v>40432</v>
      </c>
      <c r="R4023">
        <v>616.89</v>
      </c>
      <c r="S4023" t="s">
        <v>40433</v>
      </c>
      <c r="T4023" t="s">
        <v>30</v>
      </c>
      <c r="U4023" t="s">
        <v>26019</v>
      </c>
      <c r="W4023" t="s">
        <v>26009</v>
      </c>
    </row>
    <row r="4024" spans="1:23" x14ac:dyDescent="0.35">
      <c r="A4024">
        <v>957582</v>
      </c>
      <c r="B4024" t="s">
        <v>40434</v>
      </c>
      <c r="C4024" t="str">
        <f>"9780415579964"</f>
        <v>9780415579964</v>
      </c>
      <c r="D4024" t="str">
        <f>"9780203851333"</f>
        <v>9780203851333</v>
      </c>
      <c r="E4024" t="s">
        <v>26010</v>
      </c>
      <c r="F4024" t="s">
        <v>35</v>
      </c>
      <c r="G4024" t="s">
        <v>26201</v>
      </c>
      <c r="H4024" t="s">
        <v>26004</v>
      </c>
      <c r="I4024" s="26">
        <v>40925</v>
      </c>
      <c r="J4024">
        <v>2012</v>
      </c>
      <c r="K4024" t="s">
        <v>26012</v>
      </c>
      <c r="L4024">
        <v>359</v>
      </c>
      <c r="M4024" t="s">
        <v>40435</v>
      </c>
      <c r="N4024">
        <v>1</v>
      </c>
      <c r="Q4024" t="s">
        <v>40436</v>
      </c>
      <c r="R4024">
        <v>796.01</v>
      </c>
      <c r="S4024" t="s">
        <v>9515</v>
      </c>
      <c r="T4024" t="s">
        <v>30</v>
      </c>
      <c r="U4024" t="s">
        <v>26008</v>
      </c>
      <c r="W4024" t="s">
        <v>26009</v>
      </c>
    </row>
    <row r="4025" spans="1:23" x14ac:dyDescent="0.35">
      <c r="A4025">
        <v>957600</v>
      </c>
      <c r="B4025" t="s">
        <v>40437</v>
      </c>
      <c r="C4025" t="str">
        <f>"9780415522151"</f>
        <v>9780415522151</v>
      </c>
      <c r="D4025" t="str">
        <f>"9780203120620"</f>
        <v>9780203120620</v>
      </c>
      <c r="E4025" t="s">
        <v>26010</v>
      </c>
      <c r="F4025" t="s">
        <v>35</v>
      </c>
      <c r="G4025" t="s">
        <v>26201</v>
      </c>
      <c r="H4025" t="s">
        <v>26004</v>
      </c>
      <c r="I4025" s="26">
        <v>40973</v>
      </c>
      <c r="J4025">
        <v>2012</v>
      </c>
      <c r="K4025" t="s">
        <v>26012</v>
      </c>
      <c r="L4025">
        <v>329</v>
      </c>
      <c r="M4025" t="s">
        <v>40438</v>
      </c>
      <c r="N4025">
        <v>1</v>
      </c>
      <c r="Q4025" t="s">
        <v>40439</v>
      </c>
      <c r="R4025" t="s">
        <v>40440</v>
      </c>
      <c r="S4025" t="s">
        <v>8057</v>
      </c>
      <c r="T4025" t="s">
        <v>30</v>
      </c>
      <c r="U4025" t="s">
        <v>402</v>
      </c>
      <c r="W4025" t="s">
        <v>26009</v>
      </c>
    </row>
    <row r="4026" spans="1:23" x14ac:dyDescent="0.35">
      <c r="A4026">
        <v>957612</v>
      </c>
      <c r="B4026" t="s">
        <v>40441</v>
      </c>
      <c r="C4026" t="str">
        <f>"9781848729186"</f>
        <v>9781848729186</v>
      </c>
      <c r="D4026" t="str">
        <f>"9780203156513"</f>
        <v>9780203156513</v>
      </c>
      <c r="E4026" t="s">
        <v>26010</v>
      </c>
      <c r="F4026" t="s">
        <v>35</v>
      </c>
      <c r="G4026" t="s">
        <v>22267</v>
      </c>
      <c r="H4026" t="s">
        <v>26011</v>
      </c>
      <c r="I4026" s="26">
        <v>40894</v>
      </c>
      <c r="J4026">
        <v>2012</v>
      </c>
      <c r="K4026" t="s">
        <v>660</v>
      </c>
      <c r="L4026">
        <v>441</v>
      </c>
      <c r="M4026" t="s">
        <v>40442</v>
      </c>
      <c r="N4026">
        <v>1</v>
      </c>
      <c r="Q4026" t="s">
        <v>40443</v>
      </c>
      <c r="R4026">
        <v>155.6713</v>
      </c>
      <c r="S4026" t="s">
        <v>9076</v>
      </c>
      <c r="T4026" t="s">
        <v>30</v>
      </c>
      <c r="U4026" t="s">
        <v>46</v>
      </c>
      <c r="W4026" t="s">
        <v>26009</v>
      </c>
    </row>
    <row r="4027" spans="1:23" x14ac:dyDescent="0.35">
      <c r="A4027">
        <v>957613</v>
      </c>
      <c r="B4027" t="s">
        <v>40444</v>
      </c>
      <c r="C4027" t="str">
        <f>"9780415605281"</f>
        <v>9780415605281</v>
      </c>
      <c r="D4027" t="str">
        <f>"9781136584848"</f>
        <v>9781136584848</v>
      </c>
      <c r="E4027" t="s">
        <v>26010</v>
      </c>
      <c r="F4027" t="s">
        <v>35</v>
      </c>
      <c r="G4027" t="s">
        <v>22174</v>
      </c>
      <c r="H4027" t="s">
        <v>26011</v>
      </c>
      <c r="I4027" s="26">
        <v>40885</v>
      </c>
      <c r="J4027">
        <v>2011</v>
      </c>
      <c r="K4027" t="s">
        <v>26012</v>
      </c>
      <c r="L4027">
        <v>433</v>
      </c>
      <c r="M4027" t="s">
        <v>40445</v>
      </c>
      <c r="N4027">
        <v>1</v>
      </c>
      <c r="O4027" t="s">
        <v>26344</v>
      </c>
      <c r="Q4027" t="s">
        <v>40446</v>
      </c>
      <c r="R4027" t="s">
        <v>26422</v>
      </c>
      <c r="S4027" t="s">
        <v>40447</v>
      </c>
      <c r="T4027" t="s">
        <v>30</v>
      </c>
      <c r="U4027" t="s">
        <v>26116</v>
      </c>
      <c r="W4027" t="s">
        <v>26009</v>
      </c>
    </row>
    <row r="4028" spans="1:23" x14ac:dyDescent="0.35">
      <c r="A4028">
        <v>957619</v>
      </c>
      <c r="B4028" t="s">
        <v>40448</v>
      </c>
      <c r="C4028" t="str">
        <f>"9780415683647"</f>
        <v>9780415683647</v>
      </c>
      <c r="D4028" t="str">
        <f>"9781136491115"</f>
        <v>9781136491115</v>
      </c>
      <c r="E4028" t="s">
        <v>26010</v>
      </c>
      <c r="F4028" t="s">
        <v>35</v>
      </c>
      <c r="G4028" t="s">
        <v>26128</v>
      </c>
      <c r="H4028" t="s">
        <v>26011</v>
      </c>
      <c r="I4028" s="26">
        <v>40884</v>
      </c>
      <c r="J4028">
        <v>2012</v>
      </c>
      <c r="K4028" t="s">
        <v>26012</v>
      </c>
      <c r="L4028">
        <v>273</v>
      </c>
      <c r="M4028" t="s">
        <v>40449</v>
      </c>
      <c r="N4028">
        <v>1</v>
      </c>
      <c r="O4028" t="s">
        <v>35839</v>
      </c>
      <c r="Q4028" t="s">
        <v>40450</v>
      </c>
      <c r="R4028" t="s">
        <v>27475</v>
      </c>
      <c r="S4028" t="s">
        <v>40451</v>
      </c>
      <c r="T4028" t="s">
        <v>30</v>
      </c>
      <c r="U4028" t="s">
        <v>30336</v>
      </c>
      <c r="W4028" t="s">
        <v>26009</v>
      </c>
    </row>
    <row r="4029" spans="1:23" x14ac:dyDescent="0.35">
      <c r="A4029">
        <v>957633</v>
      </c>
      <c r="B4029" t="s">
        <v>40452</v>
      </c>
      <c r="C4029" t="str">
        <f>"9780415588263"</f>
        <v>9780415588263</v>
      </c>
      <c r="D4029" t="str">
        <f>"9780203843949"</f>
        <v>9780203843949</v>
      </c>
      <c r="E4029" t="s">
        <v>26010</v>
      </c>
      <c r="F4029" t="s">
        <v>35</v>
      </c>
      <c r="G4029" t="s">
        <v>22174</v>
      </c>
      <c r="H4029" t="s">
        <v>26011</v>
      </c>
      <c r="I4029" s="26">
        <v>40483</v>
      </c>
      <c r="J4029">
        <v>2011</v>
      </c>
      <c r="K4029" t="s">
        <v>26012</v>
      </c>
      <c r="L4029">
        <v>216</v>
      </c>
      <c r="M4029" t="s">
        <v>40453</v>
      </c>
      <c r="N4029">
        <v>1</v>
      </c>
      <c r="O4029" t="s">
        <v>40454</v>
      </c>
      <c r="Q4029" t="s">
        <v>40455</v>
      </c>
      <c r="R4029" t="s">
        <v>40456</v>
      </c>
      <c r="S4029" t="s">
        <v>40457</v>
      </c>
      <c r="T4029" t="s">
        <v>30</v>
      </c>
      <c r="U4029" t="s">
        <v>26044</v>
      </c>
      <c r="W4029" t="s">
        <v>26009</v>
      </c>
    </row>
    <row r="4030" spans="1:23" x14ac:dyDescent="0.35">
      <c r="A4030">
        <v>957652</v>
      </c>
      <c r="B4030" t="s">
        <v>9430</v>
      </c>
      <c r="C4030" t="str">
        <f>"9780415890755"</f>
        <v>9780415890755</v>
      </c>
      <c r="D4030" t="str">
        <f>"9780203829134"</f>
        <v>9780203829134</v>
      </c>
      <c r="E4030" t="s">
        <v>26010</v>
      </c>
      <c r="F4030" t="s">
        <v>35</v>
      </c>
      <c r="G4030" t="s">
        <v>22174</v>
      </c>
      <c r="H4030" t="s">
        <v>26011</v>
      </c>
      <c r="I4030" s="26">
        <v>40942</v>
      </c>
      <c r="J4030">
        <v>2012</v>
      </c>
      <c r="K4030" t="s">
        <v>26012</v>
      </c>
      <c r="L4030">
        <v>399</v>
      </c>
      <c r="M4030" t="s">
        <v>40458</v>
      </c>
      <c r="N4030">
        <v>1</v>
      </c>
      <c r="Q4030" t="s">
        <v>40459</v>
      </c>
      <c r="R4030">
        <v>616.85882000000004</v>
      </c>
      <c r="S4030" t="s">
        <v>9431</v>
      </c>
      <c r="T4030" t="s">
        <v>30</v>
      </c>
      <c r="U4030" t="s">
        <v>26019</v>
      </c>
      <c r="W4030" t="s">
        <v>26009</v>
      </c>
    </row>
    <row r="4031" spans="1:23" x14ac:dyDescent="0.35">
      <c r="A4031">
        <v>957675</v>
      </c>
      <c r="B4031" t="s">
        <v>9924</v>
      </c>
      <c r="C4031" t="str">
        <f>"9780789037220"</f>
        <v>9780789037220</v>
      </c>
      <c r="D4031" t="str">
        <f>"9780203843802"</f>
        <v>9780203843802</v>
      </c>
      <c r="E4031" t="s">
        <v>26010</v>
      </c>
      <c r="F4031" t="s">
        <v>35</v>
      </c>
      <c r="G4031" t="s">
        <v>22179</v>
      </c>
      <c r="H4031" t="s">
        <v>26004</v>
      </c>
      <c r="I4031" s="26">
        <v>39884</v>
      </c>
      <c r="J4031">
        <v>2009</v>
      </c>
      <c r="K4031" t="s">
        <v>26012</v>
      </c>
      <c r="L4031">
        <v>255</v>
      </c>
      <c r="M4031" t="s">
        <v>40460</v>
      </c>
      <c r="N4031">
        <v>1</v>
      </c>
      <c r="Q4031" t="s">
        <v>40461</v>
      </c>
      <c r="R4031">
        <v>616.86059999999998</v>
      </c>
      <c r="S4031" t="s">
        <v>9925</v>
      </c>
      <c r="T4031" t="s">
        <v>30</v>
      </c>
      <c r="U4031" t="s">
        <v>26116</v>
      </c>
      <c r="W4031" t="s">
        <v>26009</v>
      </c>
    </row>
    <row r="4032" spans="1:23" x14ac:dyDescent="0.35">
      <c r="A4032">
        <v>957679</v>
      </c>
      <c r="B4032" t="s">
        <v>40462</v>
      </c>
      <c r="C4032" t="str">
        <f>"9780415898386"</f>
        <v>9780415898386</v>
      </c>
      <c r="D4032" t="str">
        <f>"9780203802045"</f>
        <v>9780203802045</v>
      </c>
      <c r="E4032" t="s">
        <v>26010</v>
      </c>
      <c r="F4032" t="s">
        <v>35</v>
      </c>
      <c r="G4032" t="s">
        <v>22174</v>
      </c>
      <c r="H4032" t="s">
        <v>26011</v>
      </c>
      <c r="I4032" s="26">
        <v>40945</v>
      </c>
      <c r="J4032">
        <v>2013</v>
      </c>
      <c r="K4032" t="s">
        <v>26012</v>
      </c>
      <c r="L4032">
        <v>631</v>
      </c>
      <c r="M4032" t="s">
        <v>40463</v>
      </c>
      <c r="N4032">
        <v>1</v>
      </c>
      <c r="Q4032" t="s">
        <v>40464</v>
      </c>
      <c r="R4032">
        <v>616.89139999999998</v>
      </c>
      <c r="S4032" t="s">
        <v>7961</v>
      </c>
      <c r="T4032" t="s">
        <v>30</v>
      </c>
      <c r="U4032" t="s">
        <v>26116</v>
      </c>
      <c r="W4032" t="s">
        <v>26009</v>
      </c>
    </row>
    <row r="4033" spans="1:23" x14ac:dyDescent="0.35">
      <c r="A4033">
        <v>957680</v>
      </c>
      <c r="B4033" t="s">
        <v>7866</v>
      </c>
      <c r="C4033" t="str">
        <f>"9780415991834"</f>
        <v>9780415991834</v>
      </c>
      <c r="D4033" t="str">
        <f>"9780203843697"</f>
        <v>9780203843697</v>
      </c>
      <c r="E4033" t="s">
        <v>26010</v>
      </c>
      <c r="F4033" t="s">
        <v>35</v>
      </c>
      <c r="G4033" t="s">
        <v>22174</v>
      </c>
      <c r="H4033" t="s">
        <v>26011</v>
      </c>
      <c r="I4033" s="26">
        <v>40126</v>
      </c>
      <c r="J4033">
        <v>2010</v>
      </c>
      <c r="K4033" t="s">
        <v>26012</v>
      </c>
      <c r="L4033">
        <v>268</v>
      </c>
      <c r="M4033" t="s">
        <v>40465</v>
      </c>
      <c r="N4033">
        <v>1</v>
      </c>
      <c r="Q4033" t="s">
        <v>40466</v>
      </c>
      <c r="R4033" t="s">
        <v>26360</v>
      </c>
      <c r="S4033" t="s">
        <v>7867</v>
      </c>
      <c r="T4033" t="s">
        <v>30</v>
      </c>
      <c r="U4033" t="s">
        <v>46</v>
      </c>
      <c r="W4033" t="s">
        <v>40467</v>
      </c>
    </row>
    <row r="4034" spans="1:23" x14ac:dyDescent="0.35">
      <c r="A4034">
        <v>957689</v>
      </c>
      <c r="B4034" t="s">
        <v>8722</v>
      </c>
      <c r="C4034" t="str">
        <f>"9780415894609"</f>
        <v>9780415894609</v>
      </c>
      <c r="D4034" t="str">
        <f>"9780203813096"</f>
        <v>9780203813096</v>
      </c>
      <c r="E4034" t="s">
        <v>26010</v>
      </c>
      <c r="F4034" t="s">
        <v>35</v>
      </c>
      <c r="G4034" t="s">
        <v>26201</v>
      </c>
      <c r="H4034" t="s">
        <v>26004</v>
      </c>
      <c r="I4034" s="26">
        <v>40865</v>
      </c>
      <c r="J4034">
        <v>2012</v>
      </c>
      <c r="K4034" t="s">
        <v>26012</v>
      </c>
      <c r="L4034">
        <v>239</v>
      </c>
      <c r="M4034" t="s">
        <v>40468</v>
      </c>
      <c r="N4034">
        <v>1</v>
      </c>
      <c r="O4034" t="s">
        <v>27630</v>
      </c>
      <c r="Q4034" t="s">
        <v>40469</v>
      </c>
      <c r="R4034">
        <v>370.15699999999998</v>
      </c>
      <c r="S4034" t="s">
        <v>8723</v>
      </c>
      <c r="T4034" t="s">
        <v>30</v>
      </c>
      <c r="U4034" t="s">
        <v>337</v>
      </c>
      <c r="W4034" t="s">
        <v>26009</v>
      </c>
    </row>
    <row r="4035" spans="1:23" x14ac:dyDescent="0.35">
      <c r="A4035">
        <v>957706</v>
      </c>
      <c r="B4035" t="s">
        <v>9394</v>
      </c>
      <c r="C4035" t="str">
        <f>"9781848720558"</f>
        <v>9781848720558</v>
      </c>
      <c r="D4035" t="str">
        <f>"9780203120378"</f>
        <v>9780203120378</v>
      </c>
      <c r="E4035" t="s">
        <v>26010</v>
      </c>
      <c r="F4035" t="s">
        <v>35</v>
      </c>
      <c r="G4035" t="s">
        <v>22267</v>
      </c>
      <c r="H4035" t="s">
        <v>26011</v>
      </c>
      <c r="I4035" s="26">
        <v>41045</v>
      </c>
      <c r="J4035">
        <v>2012</v>
      </c>
      <c r="K4035" t="s">
        <v>660</v>
      </c>
      <c r="L4035">
        <v>257</v>
      </c>
      <c r="M4035" t="s">
        <v>40470</v>
      </c>
      <c r="N4035">
        <v>1</v>
      </c>
      <c r="O4035" t="s">
        <v>40471</v>
      </c>
      <c r="Q4035" t="s">
        <v>40472</v>
      </c>
      <c r="R4035">
        <v>616.85519999999997</v>
      </c>
      <c r="S4035" t="s">
        <v>9395</v>
      </c>
      <c r="T4035" t="s">
        <v>30</v>
      </c>
      <c r="U4035" t="s">
        <v>26040</v>
      </c>
      <c r="W4035" t="s">
        <v>26009</v>
      </c>
    </row>
    <row r="4036" spans="1:23" x14ac:dyDescent="0.35">
      <c r="A4036">
        <v>957714</v>
      </c>
      <c r="B4036" t="s">
        <v>40473</v>
      </c>
      <c r="C4036" t="str">
        <f>"9781841697659"</f>
        <v>9781841697659</v>
      </c>
      <c r="D4036" t="str">
        <f>"9780203826461"</f>
        <v>9780203826461</v>
      </c>
      <c r="E4036" t="s">
        <v>26010</v>
      </c>
      <c r="F4036" t="s">
        <v>35</v>
      </c>
      <c r="G4036" t="s">
        <v>22174</v>
      </c>
      <c r="H4036" t="s">
        <v>26004</v>
      </c>
      <c r="I4036" s="26">
        <v>40627</v>
      </c>
      <c r="J4036">
        <v>2011</v>
      </c>
      <c r="K4036" t="s">
        <v>660</v>
      </c>
      <c r="L4036">
        <v>321</v>
      </c>
      <c r="M4036" t="s">
        <v>40474</v>
      </c>
      <c r="N4036">
        <v>1</v>
      </c>
      <c r="O4036" t="s">
        <v>26921</v>
      </c>
      <c r="Q4036" t="s">
        <v>40475</v>
      </c>
      <c r="R4036">
        <v>302.39999999999998</v>
      </c>
      <c r="S4036" t="s">
        <v>40476</v>
      </c>
      <c r="T4036" t="s">
        <v>30</v>
      </c>
      <c r="U4036" t="s">
        <v>26044</v>
      </c>
      <c r="W4036" t="s">
        <v>26009</v>
      </c>
    </row>
    <row r="4037" spans="1:23" x14ac:dyDescent="0.35">
      <c r="A4037">
        <v>957731</v>
      </c>
      <c r="B4037" t="s">
        <v>40477</v>
      </c>
      <c r="C4037" t="str">
        <f>"9780415895538"</f>
        <v>9780415895538</v>
      </c>
      <c r="D4037" t="str">
        <f>"9780203803400"</f>
        <v>9780203803400</v>
      </c>
      <c r="E4037" t="s">
        <v>26010</v>
      </c>
      <c r="F4037" t="s">
        <v>35</v>
      </c>
      <c r="G4037" t="s">
        <v>22174</v>
      </c>
      <c r="H4037" t="s">
        <v>26011</v>
      </c>
      <c r="I4037" s="26">
        <v>40840</v>
      </c>
      <c r="J4037">
        <v>2012</v>
      </c>
      <c r="K4037" t="s">
        <v>26012</v>
      </c>
      <c r="L4037">
        <v>273</v>
      </c>
      <c r="M4037" t="s">
        <v>40478</v>
      </c>
      <c r="N4037">
        <v>1</v>
      </c>
      <c r="O4037" t="s">
        <v>40479</v>
      </c>
      <c r="Q4037" t="s">
        <v>40480</v>
      </c>
      <c r="R4037" t="s">
        <v>26562</v>
      </c>
      <c r="S4037" t="s">
        <v>9745</v>
      </c>
      <c r="T4037" t="s">
        <v>30</v>
      </c>
      <c r="U4037" t="s">
        <v>46</v>
      </c>
      <c r="W4037" t="s">
        <v>26009</v>
      </c>
    </row>
    <row r="4038" spans="1:23" x14ac:dyDescent="0.35">
      <c r="A4038">
        <v>957742</v>
      </c>
      <c r="B4038" t="s">
        <v>40481</v>
      </c>
      <c r="C4038" t="str">
        <f>"9780415891837"</f>
        <v>9780415891837</v>
      </c>
      <c r="D4038" t="str">
        <f>"9780203123461"</f>
        <v>9780203123461</v>
      </c>
      <c r="E4038" t="s">
        <v>26010</v>
      </c>
      <c r="F4038" t="s">
        <v>35</v>
      </c>
      <c r="G4038" t="s">
        <v>26201</v>
      </c>
      <c r="H4038" t="s">
        <v>26004</v>
      </c>
      <c r="I4038" s="26">
        <v>40973</v>
      </c>
      <c r="J4038">
        <v>2012</v>
      </c>
      <c r="K4038" t="s">
        <v>26012</v>
      </c>
      <c r="L4038">
        <v>265</v>
      </c>
      <c r="M4038" t="s">
        <v>40482</v>
      </c>
      <c r="N4038">
        <v>1</v>
      </c>
      <c r="O4038" t="s">
        <v>40483</v>
      </c>
      <c r="Q4038" t="s">
        <v>40484</v>
      </c>
      <c r="R4038">
        <v>355.49081000000001</v>
      </c>
      <c r="S4038" t="s">
        <v>8513</v>
      </c>
      <c r="T4038" t="s">
        <v>30</v>
      </c>
      <c r="U4038" t="s">
        <v>40485</v>
      </c>
      <c r="W4038" t="s">
        <v>26009</v>
      </c>
    </row>
    <row r="4039" spans="1:23" x14ac:dyDescent="0.35">
      <c r="A4039">
        <v>957769</v>
      </c>
      <c r="B4039" t="s">
        <v>10035</v>
      </c>
      <c r="C4039" t="str">
        <f>"9780415884730"</f>
        <v>9780415884730</v>
      </c>
      <c r="D4039" t="str">
        <f>"9780203806012"</f>
        <v>9780203806012</v>
      </c>
      <c r="E4039" t="s">
        <v>26010</v>
      </c>
      <c r="F4039" t="s">
        <v>35</v>
      </c>
      <c r="G4039" t="s">
        <v>22174</v>
      </c>
      <c r="H4039" t="s">
        <v>26011</v>
      </c>
      <c r="I4039" s="26">
        <v>40788</v>
      </c>
      <c r="J4039">
        <v>2012</v>
      </c>
      <c r="K4039" t="s">
        <v>26012</v>
      </c>
      <c r="L4039">
        <v>429</v>
      </c>
      <c r="M4039" t="s">
        <v>40486</v>
      </c>
      <c r="N4039">
        <v>1</v>
      </c>
      <c r="Q4039" t="s">
        <v>40487</v>
      </c>
      <c r="R4039" t="s">
        <v>40488</v>
      </c>
      <c r="S4039" t="s">
        <v>10036</v>
      </c>
      <c r="T4039" t="s">
        <v>30</v>
      </c>
      <c r="U4039" t="s">
        <v>29679</v>
      </c>
      <c r="W4039" t="s">
        <v>26009</v>
      </c>
    </row>
    <row r="4040" spans="1:23" x14ac:dyDescent="0.35">
      <c r="A4040">
        <v>957806</v>
      </c>
      <c r="B4040" t="s">
        <v>7452</v>
      </c>
      <c r="C4040" t="str">
        <f>"9781848728882"</f>
        <v>9781848728882</v>
      </c>
      <c r="D4040" t="str">
        <f>"9780203809129"</f>
        <v>9780203809129</v>
      </c>
      <c r="E4040" t="s">
        <v>26010</v>
      </c>
      <c r="F4040" t="s">
        <v>35</v>
      </c>
      <c r="G4040" t="s">
        <v>22174</v>
      </c>
      <c r="H4040" t="s">
        <v>26004</v>
      </c>
      <c r="I4040" s="26">
        <v>40821</v>
      </c>
      <c r="J4040">
        <v>2012</v>
      </c>
      <c r="K4040" t="s">
        <v>660</v>
      </c>
      <c r="L4040">
        <v>425</v>
      </c>
      <c r="M4040" t="s">
        <v>40489</v>
      </c>
      <c r="N4040">
        <v>1</v>
      </c>
      <c r="Q4040" t="s">
        <v>40490</v>
      </c>
      <c r="R4040">
        <v>155.5</v>
      </c>
      <c r="S4040" t="s">
        <v>40491</v>
      </c>
      <c r="T4040" t="s">
        <v>30</v>
      </c>
      <c r="U4040" t="s">
        <v>26170</v>
      </c>
      <c r="W4040" t="s">
        <v>26009</v>
      </c>
    </row>
    <row r="4041" spans="1:23" x14ac:dyDescent="0.35">
      <c r="A4041">
        <v>957845</v>
      </c>
      <c r="B4041" t="s">
        <v>9350</v>
      </c>
      <c r="C4041" t="str">
        <f>"9781848729636"</f>
        <v>9781848729636</v>
      </c>
      <c r="D4041" t="str">
        <f>"9780203805312"</f>
        <v>9780203805312</v>
      </c>
      <c r="E4041" t="s">
        <v>26010</v>
      </c>
      <c r="F4041" t="s">
        <v>35</v>
      </c>
      <c r="G4041" t="s">
        <v>22267</v>
      </c>
      <c r="H4041" t="s">
        <v>26011</v>
      </c>
      <c r="I4041" s="26">
        <v>40829</v>
      </c>
      <c r="J4041">
        <v>2012</v>
      </c>
      <c r="K4041" t="s">
        <v>660</v>
      </c>
      <c r="L4041">
        <v>653</v>
      </c>
      <c r="M4041" t="s">
        <v>40492</v>
      </c>
      <c r="N4041">
        <v>1</v>
      </c>
      <c r="Q4041" t="s">
        <v>40493</v>
      </c>
      <c r="R4041">
        <v>153</v>
      </c>
      <c r="S4041" t="s">
        <v>9351</v>
      </c>
      <c r="T4041" t="s">
        <v>30</v>
      </c>
      <c r="U4041" t="s">
        <v>46</v>
      </c>
      <c r="W4041" t="s">
        <v>26009</v>
      </c>
    </row>
    <row r="4042" spans="1:23" x14ac:dyDescent="0.35">
      <c r="A4042">
        <v>957865</v>
      </c>
      <c r="B4042" t="s">
        <v>40494</v>
      </c>
      <c r="C4042" t="str">
        <f>"9780415555111"</f>
        <v>9780415555111</v>
      </c>
      <c r="D4042" t="str">
        <f>"9780203839126"</f>
        <v>9780203839126</v>
      </c>
      <c r="E4042" t="s">
        <v>26010</v>
      </c>
      <c r="F4042" t="s">
        <v>35</v>
      </c>
      <c r="G4042" t="s">
        <v>22174</v>
      </c>
      <c r="H4042" t="s">
        <v>26011</v>
      </c>
      <c r="I4042" s="26">
        <v>40513</v>
      </c>
      <c r="J4042">
        <v>2011</v>
      </c>
      <c r="K4042" t="s">
        <v>26012</v>
      </c>
      <c r="L4042">
        <v>263</v>
      </c>
      <c r="M4042" t="s">
        <v>40495</v>
      </c>
      <c r="N4042">
        <v>1</v>
      </c>
      <c r="O4042" t="s">
        <v>26344</v>
      </c>
      <c r="Q4042" t="s">
        <v>40496</v>
      </c>
      <c r="R4042">
        <v>150.19499999999999</v>
      </c>
      <c r="S4042" t="s">
        <v>7661</v>
      </c>
      <c r="T4042" t="s">
        <v>30</v>
      </c>
      <c r="U4042" t="s">
        <v>46</v>
      </c>
      <c r="W4042" t="s">
        <v>26009</v>
      </c>
    </row>
    <row r="4043" spans="1:23" x14ac:dyDescent="0.35">
      <c r="A4043">
        <v>957882</v>
      </c>
      <c r="B4043" t="s">
        <v>8455</v>
      </c>
      <c r="C4043" t="str">
        <f>"9780415802253"</f>
        <v>9780415802253</v>
      </c>
      <c r="D4043" t="str">
        <f>"9780203841501"</f>
        <v>9780203841501</v>
      </c>
      <c r="E4043" t="s">
        <v>26010</v>
      </c>
      <c r="F4043" t="s">
        <v>35</v>
      </c>
      <c r="G4043" t="s">
        <v>22174</v>
      </c>
      <c r="H4043" t="s">
        <v>26011</v>
      </c>
      <c r="I4043" s="26">
        <v>40456</v>
      </c>
      <c r="J4043">
        <v>2011</v>
      </c>
      <c r="K4043" t="s">
        <v>26012</v>
      </c>
      <c r="L4043">
        <v>174</v>
      </c>
      <c r="M4043" t="s">
        <v>40497</v>
      </c>
      <c r="N4043">
        <v>1</v>
      </c>
      <c r="O4043" t="s">
        <v>40498</v>
      </c>
      <c r="Q4043" t="s">
        <v>40499</v>
      </c>
      <c r="R4043">
        <v>370.15</v>
      </c>
      <c r="S4043" t="s">
        <v>8456</v>
      </c>
      <c r="T4043" t="s">
        <v>30</v>
      </c>
      <c r="U4043" t="s">
        <v>337</v>
      </c>
      <c r="W4043" t="s">
        <v>26009</v>
      </c>
    </row>
    <row r="4044" spans="1:23" x14ac:dyDescent="0.35">
      <c r="A4044">
        <v>957886</v>
      </c>
      <c r="B4044" t="s">
        <v>10067</v>
      </c>
      <c r="C4044" t="str">
        <f>"9781841694443"</f>
        <v>9781841694443</v>
      </c>
      <c r="D4044" t="str">
        <f>"9780203582961"</f>
        <v>9780203582961</v>
      </c>
      <c r="E4044" t="s">
        <v>26010</v>
      </c>
      <c r="F4044" t="s">
        <v>35</v>
      </c>
      <c r="G4044" t="s">
        <v>26201</v>
      </c>
      <c r="H4044" t="s">
        <v>26004</v>
      </c>
      <c r="I4044" s="26">
        <v>40744</v>
      </c>
      <c r="J4044">
        <v>2011</v>
      </c>
      <c r="K4044" t="s">
        <v>660</v>
      </c>
      <c r="L4044">
        <v>239</v>
      </c>
      <c r="M4044" t="s">
        <v>26987</v>
      </c>
      <c r="N4044">
        <v>1</v>
      </c>
      <c r="O4044" t="s">
        <v>26988</v>
      </c>
      <c r="Q4044" t="s">
        <v>40500</v>
      </c>
      <c r="R4044">
        <v>153</v>
      </c>
      <c r="S4044" t="s">
        <v>40501</v>
      </c>
      <c r="T4044" t="s">
        <v>30</v>
      </c>
      <c r="U4044" t="s">
        <v>46</v>
      </c>
      <c r="W4044" t="s">
        <v>26009</v>
      </c>
    </row>
    <row r="4045" spans="1:23" x14ac:dyDescent="0.35">
      <c r="A4045">
        <v>957917</v>
      </c>
      <c r="B4045" t="s">
        <v>7603</v>
      </c>
      <c r="C4045" t="str">
        <f>"9780415578585"</f>
        <v>9780415578585</v>
      </c>
      <c r="D4045" t="str">
        <f>"9780203852033"</f>
        <v>9780203852033</v>
      </c>
      <c r="E4045" t="s">
        <v>26010</v>
      </c>
      <c r="F4045" t="s">
        <v>35</v>
      </c>
      <c r="G4045" t="s">
        <v>26201</v>
      </c>
      <c r="H4045" t="s">
        <v>26004</v>
      </c>
      <c r="I4045" s="26">
        <v>40876</v>
      </c>
      <c r="J4045">
        <v>2012</v>
      </c>
      <c r="K4045" t="s">
        <v>26012</v>
      </c>
      <c r="L4045">
        <v>168</v>
      </c>
      <c r="M4045" t="s">
        <v>40502</v>
      </c>
      <c r="N4045">
        <v>1</v>
      </c>
      <c r="O4045" t="s">
        <v>40423</v>
      </c>
      <c r="Q4045" t="s">
        <v>40503</v>
      </c>
      <c r="R4045">
        <v>796.01</v>
      </c>
      <c r="S4045" t="s">
        <v>7596</v>
      </c>
      <c r="T4045" t="s">
        <v>30</v>
      </c>
      <c r="U4045" t="s">
        <v>26008</v>
      </c>
      <c r="W4045" t="s">
        <v>26009</v>
      </c>
    </row>
    <row r="4046" spans="1:23" x14ac:dyDescent="0.35">
      <c r="A4046">
        <v>957935</v>
      </c>
      <c r="B4046" t="s">
        <v>40504</v>
      </c>
      <c r="C4046" t="str">
        <f>"9780415893572"</f>
        <v>9780415893572</v>
      </c>
      <c r="D4046" t="str">
        <f>"9780203816066"</f>
        <v>9780203816066</v>
      </c>
      <c r="E4046" t="s">
        <v>26010</v>
      </c>
      <c r="F4046" t="s">
        <v>35</v>
      </c>
      <c r="G4046" t="s">
        <v>26201</v>
      </c>
      <c r="H4046" t="s">
        <v>26004</v>
      </c>
      <c r="I4046" s="26">
        <v>40827</v>
      </c>
      <c r="J4046">
        <v>2012</v>
      </c>
      <c r="K4046" t="s">
        <v>26012</v>
      </c>
      <c r="L4046">
        <v>227</v>
      </c>
      <c r="M4046" t="s">
        <v>40505</v>
      </c>
      <c r="N4046">
        <v>1</v>
      </c>
      <c r="O4046" t="s">
        <v>35537</v>
      </c>
      <c r="Q4046" t="s">
        <v>40506</v>
      </c>
      <c r="R4046">
        <v>155.30000000000001</v>
      </c>
      <c r="S4046" t="s">
        <v>8800</v>
      </c>
      <c r="T4046" t="s">
        <v>30</v>
      </c>
      <c r="U4046" t="s">
        <v>46</v>
      </c>
      <c r="W4046" t="s">
        <v>26009</v>
      </c>
    </row>
    <row r="4047" spans="1:23" x14ac:dyDescent="0.35">
      <c r="A4047">
        <v>957988</v>
      </c>
      <c r="B4047" t="s">
        <v>9581</v>
      </c>
      <c r="C4047" t="str">
        <f>"9780415682015"</f>
        <v>9780415682015</v>
      </c>
      <c r="D4047" t="str">
        <f>"9780203115459"</f>
        <v>9780203115459</v>
      </c>
      <c r="E4047" t="s">
        <v>26010</v>
      </c>
      <c r="F4047" t="s">
        <v>35</v>
      </c>
      <c r="G4047" t="s">
        <v>22174</v>
      </c>
      <c r="H4047" t="s">
        <v>26011</v>
      </c>
      <c r="I4047" s="26">
        <v>41081</v>
      </c>
      <c r="J4047">
        <v>2012</v>
      </c>
      <c r="K4047" t="s">
        <v>26012</v>
      </c>
      <c r="L4047">
        <v>177</v>
      </c>
      <c r="M4047" t="s">
        <v>40507</v>
      </c>
      <c r="N4047">
        <v>1</v>
      </c>
      <c r="O4047" t="s">
        <v>40508</v>
      </c>
      <c r="Q4047" t="s">
        <v>40509</v>
      </c>
      <c r="R4047">
        <v>150</v>
      </c>
      <c r="S4047" t="s">
        <v>9582</v>
      </c>
      <c r="T4047" t="s">
        <v>30</v>
      </c>
      <c r="U4047" t="s">
        <v>46</v>
      </c>
      <c r="W4047" t="s">
        <v>26009</v>
      </c>
    </row>
    <row r="4048" spans="1:23" x14ac:dyDescent="0.35">
      <c r="A4048">
        <v>958073</v>
      </c>
      <c r="B4048" t="s">
        <v>8911</v>
      </c>
      <c r="C4048" t="str">
        <f>"9781849714440"</f>
        <v>9781849714440</v>
      </c>
      <c r="D4048" t="str">
        <f>"9780203141939"</f>
        <v>9780203141939</v>
      </c>
      <c r="E4048" t="s">
        <v>26010</v>
      </c>
      <c r="F4048" t="s">
        <v>35</v>
      </c>
      <c r="G4048" t="s">
        <v>26201</v>
      </c>
      <c r="H4048" t="s">
        <v>26004</v>
      </c>
      <c r="I4048" s="26">
        <v>40952</v>
      </c>
      <c r="J4048">
        <v>2011</v>
      </c>
      <c r="K4048" t="s">
        <v>26012</v>
      </c>
      <c r="L4048">
        <v>369</v>
      </c>
      <c r="M4048" t="s">
        <v>40510</v>
      </c>
      <c r="N4048">
        <v>1</v>
      </c>
      <c r="O4048" t="s">
        <v>40511</v>
      </c>
      <c r="Q4048" t="s">
        <v>40512</v>
      </c>
      <c r="R4048" t="s">
        <v>31996</v>
      </c>
      <c r="S4048" t="s">
        <v>8912</v>
      </c>
      <c r="T4048" t="s">
        <v>30</v>
      </c>
      <c r="U4048" t="s">
        <v>46</v>
      </c>
      <c r="W4048" t="s">
        <v>26009</v>
      </c>
    </row>
    <row r="4049" spans="1:23" x14ac:dyDescent="0.35">
      <c r="A4049">
        <v>958143</v>
      </c>
      <c r="B4049" t="s">
        <v>40513</v>
      </c>
      <c r="C4049" t="str">
        <f>"9781848729407"</f>
        <v>9781848729407</v>
      </c>
      <c r="D4049" t="str">
        <f>"9780203816530"</f>
        <v>9780203816530</v>
      </c>
      <c r="E4049" t="s">
        <v>26010</v>
      </c>
      <c r="F4049" t="s">
        <v>35</v>
      </c>
      <c r="G4049" t="s">
        <v>22174</v>
      </c>
      <c r="H4049" t="s">
        <v>26004</v>
      </c>
      <c r="I4049" s="26">
        <v>40807</v>
      </c>
      <c r="J4049">
        <v>2012</v>
      </c>
      <c r="K4049" t="s">
        <v>660</v>
      </c>
      <c r="L4049">
        <v>481</v>
      </c>
      <c r="M4049" t="s">
        <v>40514</v>
      </c>
      <c r="N4049">
        <v>4</v>
      </c>
      <c r="Q4049" t="s">
        <v>40515</v>
      </c>
      <c r="R4049" t="s">
        <v>28519</v>
      </c>
      <c r="S4049" t="s">
        <v>40516</v>
      </c>
      <c r="T4049" t="s">
        <v>30</v>
      </c>
      <c r="U4049" t="s">
        <v>46</v>
      </c>
      <c r="W4049" t="s">
        <v>26009</v>
      </c>
    </row>
    <row r="4050" spans="1:23" x14ac:dyDescent="0.35">
      <c r="A4050">
        <v>958156</v>
      </c>
      <c r="B4050" t="s">
        <v>9355</v>
      </c>
      <c r="C4050" t="str">
        <f>"9780415676731"</f>
        <v>9780415676731</v>
      </c>
      <c r="D4050" t="str">
        <f>"9780203141663"</f>
        <v>9780203141663</v>
      </c>
      <c r="E4050" t="s">
        <v>26010</v>
      </c>
      <c r="F4050" t="s">
        <v>35</v>
      </c>
      <c r="G4050" t="s">
        <v>22174</v>
      </c>
      <c r="H4050" t="s">
        <v>26011</v>
      </c>
      <c r="I4050" s="26">
        <v>40920</v>
      </c>
      <c r="J4050">
        <v>2012</v>
      </c>
      <c r="K4050" t="s">
        <v>26012</v>
      </c>
      <c r="L4050">
        <v>218</v>
      </c>
      <c r="M4050" t="s">
        <v>40517</v>
      </c>
      <c r="N4050">
        <v>1</v>
      </c>
      <c r="Q4050" t="s">
        <v>40518</v>
      </c>
      <c r="R4050">
        <v>158.1</v>
      </c>
      <c r="S4050" t="s">
        <v>9356</v>
      </c>
      <c r="T4050" t="s">
        <v>30</v>
      </c>
      <c r="U4050" t="s">
        <v>46</v>
      </c>
      <c r="W4050" t="s">
        <v>26009</v>
      </c>
    </row>
    <row r="4051" spans="1:23" x14ac:dyDescent="0.35">
      <c r="A4051">
        <v>958157</v>
      </c>
      <c r="B4051" t="s">
        <v>40519</v>
      </c>
      <c r="C4051" t="str">
        <f>"9780415614733"</f>
        <v>9780415614733</v>
      </c>
      <c r="D4051" t="str">
        <f>"9780203124444"</f>
        <v>9780203124444</v>
      </c>
      <c r="E4051" t="s">
        <v>26010</v>
      </c>
      <c r="F4051" t="s">
        <v>35</v>
      </c>
      <c r="G4051" t="s">
        <v>22174</v>
      </c>
      <c r="H4051" t="s">
        <v>26011</v>
      </c>
      <c r="I4051" s="26">
        <v>40976</v>
      </c>
      <c r="J4051">
        <v>2012</v>
      </c>
      <c r="K4051" t="s">
        <v>26012</v>
      </c>
      <c r="L4051">
        <v>261</v>
      </c>
      <c r="M4051" t="s">
        <v>40520</v>
      </c>
      <c r="N4051">
        <v>1</v>
      </c>
      <c r="O4051" t="s">
        <v>34172</v>
      </c>
      <c r="Q4051" t="s">
        <v>40521</v>
      </c>
      <c r="R4051">
        <v>158.30000000000001</v>
      </c>
      <c r="S4051" t="s">
        <v>7879</v>
      </c>
      <c r="T4051" t="s">
        <v>30</v>
      </c>
      <c r="U4051" t="s">
        <v>46</v>
      </c>
      <c r="W4051" t="s">
        <v>26009</v>
      </c>
    </row>
    <row r="4052" spans="1:23" x14ac:dyDescent="0.35">
      <c r="A4052">
        <v>958186</v>
      </c>
      <c r="B4052" t="s">
        <v>40522</v>
      </c>
      <c r="C4052" t="str">
        <f>"9780415781732"</f>
        <v>9780415781732</v>
      </c>
      <c r="D4052" t="str">
        <f>"9780203144473"</f>
        <v>9780203144473</v>
      </c>
      <c r="E4052" t="s">
        <v>26010</v>
      </c>
      <c r="F4052" t="s">
        <v>35</v>
      </c>
      <c r="G4052" t="s">
        <v>26201</v>
      </c>
      <c r="H4052" t="s">
        <v>26004</v>
      </c>
      <c r="I4052" s="26">
        <v>40890</v>
      </c>
      <c r="J4052">
        <v>2012</v>
      </c>
      <c r="K4052" t="s">
        <v>26012</v>
      </c>
      <c r="L4052">
        <v>241</v>
      </c>
      <c r="M4052" t="s">
        <v>40523</v>
      </c>
      <c r="N4052">
        <v>1</v>
      </c>
      <c r="O4052" t="s">
        <v>40524</v>
      </c>
      <c r="Q4052" t="s">
        <v>40525</v>
      </c>
      <c r="R4052">
        <v>327.17200000000003</v>
      </c>
      <c r="S4052" t="s">
        <v>10021</v>
      </c>
      <c r="T4052" t="s">
        <v>30</v>
      </c>
      <c r="U4052" t="s">
        <v>38439</v>
      </c>
      <c r="W4052" t="s">
        <v>26009</v>
      </c>
    </row>
    <row r="4053" spans="1:23" x14ac:dyDescent="0.35">
      <c r="A4053">
        <v>958194</v>
      </c>
      <c r="B4053" t="s">
        <v>40526</v>
      </c>
      <c r="C4053" t="str">
        <f>"9780415587563"</f>
        <v>9780415587563</v>
      </c>
      <c r="D4053" t="str">
        <f>"9780203140529"</f>
        <v>9780203140529</v>
      </c>
      <c r="E4053" t="s">
        <v>26010</v>
      </c>
      <c r="F4053" t="s">
        <v>35</v>
      </c>
      <c r="G4053" t="s">
        <v>22174</v>
      </c>
      <c r="H4053" t="s">
        <v>26011</v>
      </c>
      <c r="I4053" s="26">
        <v>40919</v>
      </c>
      <c r="J4053">
        <v>2012</v>
      </c>
      <c r="K4053" t="s">
        <v>26012</v>
      </c>
      <c r="L4053">
        <v>261</v>
      </c>
      <c r="M4053" t="s">
        <v>40527</v>
      </c>
      <c r="N4053">
        <v>1</v>
      </c>
      <c r="Q4053" t="s">
        <v>40528</v>
      </c>
      <c r="R4053">
        <v>155.80000000000001</v>
      </c>
      <c r="S4053" t="s">
        <v>8048</v>
      </c>
      <c r="T4053" t="s">
        <v>30</v>
      </c>
      <c r="U4053" t="s">
        <v>46</v>
      </c>
      <c r="W4053" t="s">
        <v>26009</v>
      </c>
    </row>
    <row r="4054" spans="1:23" x14ac:dyDescent="0.35">
      <c r="A4054">
        <v>958200</v>
      </c>
      <c r="B4054" t="s">
        <v>8350</v>
      </c>
      <c r="C4054" t="str">
        <f>"9780415550840"</f>
        <v>9780415550840</v>
      </c>
      <c r="D4054" t="str">
        <f>"9780203873830"</f>
        <v>9780203873830</v>
      </c>
      <c r="E4054" t="s">
        <v>26010</v>
      </c>
      <c r="F4054" t="s">
        <v>35</v>
      </c>
      <c r="G4054" t="s">
        <v>26201</v>
      </c>
      <c r="H4054" t="s">
        <v>26004</v>
      </c>
      <c r="I4054" s="26">
        <v>40861</v>
      </c>
      <c r="J4054">
        <v>2012</v>
      </c>
      <c r="K4054" t="s">
        <v>26012</v>
      </c>
      <c r="L4054">
        <v>422</v>
      </c>
      <c r="M4054" t="s">
        <v>40529</v>
      </c>
      <c r="N4054">
        <v>2</v>
      </c>
      <c r="Q4054" t="s">
        <v>40530</v>
      </c>
      <c r="R4054" t="s">
        <v>26603</v>
      </c>
      <c r="S4054" t="s">
        <v>8351</v>
      </c>
      <c r="T4054" t="s">
        <v>30</v>
      </c>
      <c r="U4054" t="s">
        <v>40531</v>
      </c>
      <c r="W4054" t="s">
        <v>26009</v>
      </c>
    </row>
    <row r="4055" spans="1:23" x14ac:dyDescent="0.35">
      <c r="A4055">
        <v>958267</v>
      </c>
      <c r="B4055" t="s">
        <v>40532</v>
      </c>
      <c r="C4055" t="str">
        <f>"9780415893404"</f>
        <v>9780415893404</v>
      </c>
      <c r="D4055" t="str">
        <f>"9780203124178"</f>
        <v>9780203124178</v>
      </c>
      <c r="E4055" t="s">
        <v>26010</v>
      </c>
      <c r="F4055" t="s">
        <v>35</v>
      </c>
      <c r="G4055" t="s">
        <v>22174</v>
      </c>
      <c r="H4055" t="s">
        <v>26011</v>
      </c>
      <c r="I4055" s="26">
        <v>40963</v>
      </c>
      <c r="J4055">
        <v>2012</v>
      </c>
      <c r="K4055" t="s">
        <v>26012</v>
      </c>
      <c r="L4055">
        <v>219</v>
      </c>
      <c r="M4055" t="s">
        <v>40533</v>
      </c>
      <c r="N4055">
        <v>1</v>
      </c>
      <c r="Q4055" t="s">
        <v>40534</v>
      </c>
      <c r="R4055" t="s">
        <v>27874</v>
      </c>
      <c r="S4055" t="s">
        <v>7496</v>
      </c>
      <c r="T4055" t="s">
        <v>30</v>
      </c>
      <c r="U4055" t="s">
        <v>46</v>
      </c>
      <c r="W4055" t="s">
        <v>26009</v>
      </c>
    </row>
    <row r="4056" spans="1:23" x14ac:dyDescent="0.35">
      <c r="A4056">
        <v>958268</v>
      </c>
      <c r="B4056" t="s">
        <v>40535</v>
      </c>
      <c r="C4056" t="str">
        <f>"9780415887526"</f>
        <v>9780415887526</v>
      </c>
      <c r="D4056" t="str">
        <f>"9780203122556"</f>
        <v>9780203122556</v>
      </c>
      <c r="E4056" t="s">
        <v>26010</v>
      </c>
      <c r="F4056" t="s">
        <v>35</v>
      </c>
      <c r="G4056" t="s">
        <v>22174</v>
      </c>
      <c r="H4056" t="s">
        <v>26011</v>
      </c>
      <c r="I4056" s="26">
        <v>40975</v>
      </c>
      <c r="J4056">
        <v>2012</v>
      </c>
      <c r="K4056" t="s">
        <v>26012</v>
      </c>
      <c r="L4056">
        <v>411</v>
      </c>
      <c r="M4056" t="s">
        <v>40536</v>
      </c>
      <c r="N4056">
        <v>2</v>
      </c>
      <c r="Q4056" t="s">
        <v>40537</v>
      </c>
      <c r="R4056" t="s">
        <v>31188</v>
      </c>
      <c r="S4056" t="s">
        <v>8097</v>
      </c>
      <c r="T4056" t="s">
        <v>30</v>
      </c>
      <c r="U4056" t="s">
        <v>26019</v>
      </c>
      <c r="W4056" t="s">
        <v>26009</v>
      </c>
    </row>
    <row r="4057" spans="1:23" x14ac:dyDescent="0.35">
      <c r="A4057">
        <v>958282</v>
      </c>
      <c r="B4057" t="s">
        <v>40538</v>
      </c>
      <c r="C4057" t="str">
        <f>"9780415886819"</f>
        <v>9780415886819</v>
      </c>
      <c r="D4057" t="str">
        <f>"9780203835159"</f>
        <v>9780203835159</v>
      </c>
      <c r="E4057" t="s">
        <v>26010</v>
      </c>
      <c r="F4057" t="s">
        <v>35</v>
      </c>
      <c r="G4057" t="s">
        <v>22174</v>
      </c>
      <c r="H4057" t="s">
        <v>26011</v>
      </c>
      <c r="I4057" s="26">
        <v>40932</v>
      </c>
      <c r="J4057">
        <v>2012</v>
      </c>
      <c r="K4057" t="s">
        <v>26012</v>
      </c>
      <c r="L4057">
        <v>443</v>
      </c>
      <c r="M4057" t="s">
        <v>40539</v>
      </c>
      <c r="N4057">
        <v>3</v>
      </c>
      <c r="Q4057" t="s">
        <v>40540</v>
      </c>
      <c r="R4057" t="s">
        <v>29454</v>
      </c>
      <c r="S4057" t="s">
        <v>7797</v>
      </c>
      <c r="T4057" t="s">
        <v>30</v>
      </c>
      <c r="U4057" t="s">
        <v>26116</v>
      </c>
      <c r="W4057" t="s">
        <v>26009</v>
      </c>
    </row>
    <row r="4058" spans="1:23" x14ac:dyDescent="0.35">
      <c r="A4058">
        <v>958354</v>
      </c>
      <c r="B4058" t="s">
        <v>40541</v>
      </c>
      <c r="C4058" t="str">
        <f>"9781841697406"</f>
        <v>9781841697406</v>
      </c>
      <c r="D4058" t="str">
        <f>"9780203115466"</f>
        <v>9780203115466</v>
      </c>
      <c r="E4058" t="s">
        <v>26010</v>
      </c>
      <c r="F4058" t="s">
        <v>35</v>
      </c>
      <c r="G4058" t="s">
        <v>22174</v>
      </c>
      <c r="H4058" t="s">
        <v>26004</v>
      </c>
      <c r="I4058" s="26">
        <v>40988</v>
      </c>
      <c r="J4058">
        <v>2012</v>
      </c>
      <c r="K4058" t="s">
        <v>660</v>
      </c>
      <c r="L4058">
        <v>329</v>
      </c>
      <c r="M4058" t="s">
        <v>40542</v>
      </c>
      <c r="N4058">
        <v>1</v>
      </c>
      <c r="O4058" t="s">
        <v>40543</v>
      </c>
      <c r="Q4058" t="s">
        <v>40544</v>
      </c>
      <c r="R4058">
        <v>153.41999999999999</v>
      </c>
      <c r="S4058" t="s">
        <v>40545</v>
      </c>
      <c r="T4058" t="s">
        <v>30</v>
      </c>
      <c r="U4058" t="s">
        <v>46</v>
      </c>
      <c r="W4058" t="s">
        <v>26009</v>
      </c>
    </row>
    <row r="4059" spans="1:23" x14ac:dyDescent="0.35">
      <c r="A4059">
        <v>958373</v>
      </c>
      <c r="B4059" t="s">
        <v>40546</v>
      </c>
      <c r="C4059" t="str">
        <f>"9781841696898"</f>
        <v>9781841696898</v>
      </c>
      <c r="D4059" t="str">
        <f>"9780203840818"</f>
        <v>9780203840818</v>
      </c>
      <c r="E4059" t="s">
        <v>26010</v>
      </c>
      <c r="F4059" t="s">
        <v>35</v>
      </c>
      <c r="G4059" t="s">
        <v>22267</v>
      </c>
      <c r="H4059" t="s">
        <v>26011</v>
      </c>
      <c r="I4059" s="26">
        <v>40617</v>
      </c>
      <c r="J4059">
        <v>2011</v>
      </c>
      <c r="K4059" t="s">
        <v>660</v>
      </c>
      <c r="L4059">
        <v>393</v>
      </c>
      <c r="M4059" t="s">
        <v>40547</v>
      </c>
      <c r="N4059">
        <v>1</v>
      </c>
      <c r="Q4059" t="s">
        <v>40548</v>
      </c>
      <c r="R4059">
        <v>591.5</v>
      </c>
      <c r="S4059" t="s">
        <v>9946</v>
      </c>
      <c r="T4059" t="s">
        <v>30</v>
      </c>
      <c r="U4059" t="s">
        <v>40549</v>
      </c>
      <c r="W4059" t="s">
        <v>26009</v>
      </c>
    </row>
    <row r="4060" spans="1:23" x14ac:dyDescent="0.35">
      <c r="A4060">
        <v>958387</v>
      </c>
      <c r="B4060" t="s">
        <v>40550</v>
      </c>
      <c r="C4060" t="str">
        <f>"9780415591201"</f>
        <v>9780415591201</v>
      </c>
      <c r="D4060" t="str">
        <f>"9780203147665"</f>
        <v>9780203147665</v>
      </c>
      <c r="E4060" t="s">
        <v>26010</v>
      </c>
      <c r="F4060" t="s">
        <v>35</v>
      </c>
      <c r="G4060" t="s">
        <v>22174</v>
      </c>
      <c r="H4060" t="s">
        <v>26011</v>
      </c>
      <c r="I4060" s="26">
        <v>40885</v>
      </c>
      <c r="J4060">
        <v>2012</v>
      </c>
      <c r="K4060" t="s">
        <v>26012</v>
      </c>
      <c r="L4060">
        <v>167</v>
      </c>
      <c r="M4060" t="s">
        <v>40551</v>
      </c>
      <c r="N4060">
        <v>1</v>
      </c>
      <c r="O4060" t="s">
        <v>40508</v>
      </c>
      <c r="Q4060" t="s">
        <v>40552</v>
      </c>
      <c r="R4060" t="s">
        <v>40553</v>
      </c>
      <c r="S4060" t="s">
        <v>9984</v>
      </c>
      <c r="T4060" t="s">
        <v>30</v>
      </c>
      <c r="U4060" t="s">
        <v>26044</v>
      </c>
      <c r="W4060" t="s">
        <v>26009</v>
      </c>
    </row>
    <row r="4061" spans="1:23" x14ac:dyDescent="0.35">
      <c r="A4061">
        <v>958405</v>
      </c>
      <c r="B4061" t="s">
        <v>7714</v>
      </c>
      <c r="C4061" t="str">
        <f>"9780415684552"</f>
        <v>9780415684552</v>
      </c>
      <c r="D4061" t="str">
        <f>"9780203140147"</f>
        <v>9780203140147</v>
      </c>
      <c r="E4061" t="s">
        <v>26010</v>
      </c>
      <c r="F4061" t="s">
        <v>35</v>
      </c>
      <c r="G4061" t="s">
        <v>26201</v>
      </c>
      <c r="H4061" t="s">
        <v>26004</v>
      </c>
      <c r="I4061" s="26">
        <v>41008</v>
      </c>
      <c r="J4061">
        <v>2012</v>
      </c>
      <c r="K4061" t="s">
        <v>26012</v>
      </c>
      <c r="L4061">
        <v>280</v>
      </c>
      <c r="M4061" t="s">
        <v>40554</v>
      </c>
      <c r="N4061">
        <v>1</v>
      </c>
      <c r="Q4061" t="s">
        <v>40555</v>
      </c>
      <c r="R4061" t="s">
        <v>40556</v>
      </c>
      <c r="S4061" t="s">
        <v>7715</v>
      </c>
      <c r="T4061" t="s">
        <v>30</v>
      </c>
      <c r="U4061" t="s">
        <v>46</v>
      </c>
      <c r="W4061" t="s">
        <v>26009</v>
      </c>
    </row>
    <row r="4062" spans="1:23" x14ac:dyDescent="0.35">
      <c r="A4062">
        <v>958415</v>
      </c>
      <c r="B4062" t="s">
        <v>8601</v>
      </c>
      <c r="C4062" t="str">
        <f>"9780415887304"</f>
        <v>9780415887304</v>
      </c>
      <c r="D4062" t="str">
        <f>"9780203834558"</f>
        <v>9780203834558</v>
      </c>
      <c r="E4062" t="s">
        <v>26010</v>
      </c>
      <c r="F4062" t="s">
        <v>35</v>
      </c>
      <c r="G4062" t="s">
        <v>22174</v>
      </c>
      <c r="H4062" t="s">
        <v>26011</v>
      </c>
      <c r="I4062" s="26">
        <v>40891</v>
      </c>
      <c r="J4062">
        <v>2012</v>
      </c>
      <c r="K4062" t="s">
        <v>26012</v>
      </c>
      <c r="L4062">
        <v>417</v>
      </c>
      <c r="M4062" t="s">
        <v>40557</v>
      </c>
      <c r="N4062">
        <v>1</v>
      </c>
      <c r="O4062" t="s">
        <v>26909</v>
      </c>
      <c r="Q4062" t="s">
        <v>40558</v>
      </c>
      <c r="R4062">
        <v>616.89</v>
      </c>
      <c r="S4062" t="s">
        <v>8602</v>
      </c>
      <c r="T4062" t="s">
        <v>30</v>
      </c>
      <c r="U4062" t="s">
        <v>27966</v>
      </c>
      <c r="W4062" t="s">
        <v>26009</v>
      </c>
    </row>
    <row r="4063" spans="1:23" x14ac:dyDescent="0.35">
      <c r="A4063">
        <v>958454</v>
      </c>
      <c r="B4063" t="s">
        <v>40559</v>
      </c>
      <c r="C4063" t="str">
        <f>"9780415521390"</f>
        <v>9780415521390</v>
      </c>
      <c r="D4063" t="str">
        <f>"9780203121511"</f>
        <v>9780203121511</v>
      </c>
      <c r="E4063" t="s">
        <v>26010</v>
      </c>
      <c r="F4063" t="s">
        <v>35</v>
      </c>
      <c r="G4063" t="s">
        <v>26201</v>
      </c>
      <c r="H4063" t="s">
        <v>26004</v>
      </c>
      <c r="I4063" s="26">
        <v>41011</v>
      </c>
      <c r="J4063">
        <v>2012</v>
      </c>
      <c r="K4063" t="s">
        <v>26012</v>
      </c>
      <c r="L4063">
        <v>241</v>
      </c>
      <c r="M4063" t="s">
        <v>40560</v>
      </c>
      <c r="N4063">
        <v>1</v>
      </c>
      <c r="Q4063" t="s">
        <v>40561</v>
      </c>
      <c r="R4063">
        <v>617.95000000000005</v>
      </c>
      <c r="S4063" t="s">
        <v>9695</v>
      </c>
      <c r="T4063" t="s">
        <v>30</v>
      </c>
      <c r="U4063" t="s">
        <v>26040</v>
      </c>
      <c r="W4063" t="s">
        <v>26009</v>
      </c>
    </row>
    <row r="4064" spans="1:23" x14ac:dyDescent="0.35">
      <c r="A4064">
        <v>958461</v>
      </c>
      <c r="B4064" t="s">
        <v>40562</v>
      </c>
      <c r="C4064" t="str">
        <f>"9780415698320"</f>
        <v>9780415698320</v>
      </c>
      <c r="D4064" t="str">
        <f>"9780203125298"</f>
        <v>9780203125298</v>
      </c>
      <c r="E4064" t="s">
        <v>26010</v>
      </c>
      <c r="F4064" t="s">
        <v>35</v>
      </c>
      <c r="G4064" t="s">
        <v>22174</v>
      </c>
      <c r="H4064" t="s">
        <v>26011</v>
      </c>
      <c r="I4064" s="26">
        <v>40981</v>
      </c>
      <c r="J4064">
        <v>2012</v>
      </c>
      <c r="K4064" t="s">
        <v>26012</v>
      </c>
      <c r="L4064">
        <v>217</v>
      </c>
      <c r="M4064" t="s">
        <v>40563</v>
      </c>
      <c r="N4064">
        <v>1</v>
      </c>
      <c r="O4064" t="s">
        <v>26344</v>
      </c>
      <c r="Q4064" t="s">
        <v>40564</v>
      </c>
      <c r="R4064">
        <v>616.89170000000001</v>
      </c>
      <c r="S4064" t="s">
        <v>8032</v>
      </c>
      <c r="T4064" t="s">
        <v>30</v>
      </c>
      <c r="U4064" t="s">
        <v>26019</v>
      </c>
      <c r="W4064" t="s">
        <v>26009</v>
      </c>
    </row>
    <row r="4065" spans="1:23" x14ac:dyDescent="0.35">
      <c r="A4065">
        <v>958506</v>
      </c>
      <c r="B4065" t="s">
        <v>40565</v>
      </c>
      <c r="C4065" t="str">
        <f>"9780415889605"</f>
        <v>9780415889605</v>
      </c>
      <c r="D4065" t="str">
        <f>"9780203830826"</f>
        <v>9780203830826</v>
      </c>
      <c r="E4065" t="s">
        <v>26010</v>
      </c>
      <c r="F4065" t="s">
        <v>35</v>
      </c>
      <c r="G4065" t="s">
        <v>22174</v>
      </c>
      <c r="H4065" t="s">
        <v>26011</v>
      </c>
      <c r="I4065" s="26">
        <v>40875</v>
      </c>
      <c r="J4065">
        <v>2012</v>
      </c>
      <c r="K4065" t="s">
        <v>26012</v>
      </c>
      <c r="L4065">
        <v>313</v>
      </c>
      <c r="M4065" t="s">
        <v>40566</v>
      </c>
      <c r="N4065">
        <v>2</v>
      </c>
      <c r="Q4065" t="s">
        <v>40567</v>
      </c>
      <c r="R4065" t="s">
        <v>28788</v>
      </c>
      <c r="S4065" t="s">
        <v>7526</v>
      </c>
      <c r="T4065" t="s">
        <v>30</v>
      </c>
      <c r="U4065" t="s">
        <v>26040</v>
      </c>
      <c r="W4065" t="s">
        <v>26009</v>
      </c>
    </row>
    <row r="4066" spans="1:23" x14ac:dyDescent="0.35">
      <c r="A4066">
        <v>958541</v>
      </c>
      <c r="B4066" t="s">
        <v>40568</v>
      </c>
      <c r="C4066" t="str">
        <f>"9780415898584"</f>
        <v>9780415898584</v>
      </c>
      <c r="D4066" t="str">
        <f>"9780203126868"</f>
        <v>9780203126868</v>
      </c>
      <c r="E4066" t="s">
        <v>26010</v>
      </c>
      <c r="F4066" t="s">
        <v>35</v>
      </c>
      <c r="G4066" t="s">
        <v>26128</v>
      </c>
      <c r="H4066" t="s">
        <v>26011</v>
      </c>
      <c r="I4066" s="26">
        <v>40928</v>
      </c>
      <c r="J4066">
        <v>2012</v>
      </c>
      <c r="K4066" t="s">
        <v>26012</v>
      </c>
      <c r="L4066">
        <v>255</v>
      </c>
      <c r="M4066" t="s">
        <v>40569</v>
      </c>
      <c r="N4066">
        <v>1</v>
      </c>
      <c r="O4066" t="s">
        <v>40570</v>
      </c>
      <c r="Q4066" t="s">
        <v>40571</v>
      </c>
      <c r="R4066" t="s">
        <v>26308</v>
      </c>
      <c r="S4066" t="s">
        <v>9854</v>
      </c>
      <c r="T4066" t="s">
        <v>30</v>
      </c>
      <c r="U4066" t="s">
        <v>46</v>
      </c>
      <c r="W4066" t="s">
        <v>26009</v>
      </c>
    </row>
    <row r="4067" spans="1:23" x14ac:dyDescent="0.35">
      <c r="A4067">
        <v>958545</v>
      </c>
      <c r="B4067" t="s">
        <v>9385</v>
      </c>
      <c r="C4067" t="str">
        <f>"9781841694504"</f>
        <v>9781841694504</v>
      </c>
      <c r="D4067" t="str">
        <f>"9780203838082"</f>
        <v>9780203838082</v>
      </c>
      <c r="E4067" t="s">
        <v>26010</v>
      </c>
      <c r="F4067" t="s">
        <v>35</v>
      </c>
      <c r="G4067" t="s">
        <v>22267</v>
      </c>
      <c r="H4067" t="s">
        <v>26011</v>
      </c>
      <c r="I4067" s="26">
        <v>39499</v>
      </c>
      <c r="J4067">
        <v>2008</v>
      </c>
      <c r="K4067" t="s">
        <v>660</v>
      </c>
      <c r="L4067">
        <v>317</v>
      </c>
      <c r="M4067" t="s">
        <v>40572</v>
      </c>
      <c r="N4067">
        <v>1</v>
      </c>
      <c r="O4067" t="s">
        <v>35895</v>
      </c>
      <c r="Q4067" t="s">
        <v>40573</v>
      </c>
      <c r="R4067">
        <v>155.19999999999999</v>
      </c>
      <c r="S4067" t="s">
        <v>9377</v>
      </c>
      <c r="T4067" t="s">
        <v>30</v>
      </c>
      <c r="U4067" t="s">
        <v>46</v>
      </c>
      <c r="W4067" t="s">
        <v>26009</v>
      </c>
    </row>
    <row r="4068" spans="1:23" x14ac:dyDescent="0.35">
      <c r="A4068">
        <v>958581</v>
      </c>
      <c r="B4068" t="s">
        <v>40574</v>
      </c>
      <c r="C4068" t="str">
        <f>"9780415550932"</f>
        <v>9780415550932</v>
      </c>
      <c r="D4068" t="str">
        <f>"9780203144398"</f>
        <v>9780203144398</v>
      </c>
      <c r="E4068" t="s">
        <v>26010</v>
      </c>
      <c r="F4068" t="s">
        <v>35</v>
      </c>
      <c r="G4068" t="s">
        <v>26201</v>
      </c>
      <c r="H4068" t="s">
        <v>26004</v>
      </c>
      <c r="I4068" s="26">
        <v>40876</v>
      </c>
      <c r="J4068">
        <v>2012</v>
      </c>
      <c r="K4068" t="s">
        <v>26012</v>
      </c>
      <c r="L4068">
        <v>201</v>
      </c>
      <c r="M4068" t="s">
        <v>40575</v>
      </c>
      <c r="N4068">
        <v>1</v>
      </c>
      <c r="Q4068" t="s">
        <v>40576</v>
      </c>
      <c r="R4068">
        <v>809.93353000000002</v>
      </c>
      <c r="S4068" t="s">
        <v>40577</v>
      </c>
      <c r="T4068" t="s">
        <v>30</v>
      </c>
      <c r="U4068" t="s">
        <v>366</v>
      </c>
      <c r="W4068" t="s">
        <v>26009</v>
      </c>
    </row>
    <row r="4069" spans="1:23" x14ac:dyDescent="0.35">
      <c r="A4069">
        <v>958599</v>
      </c>
      <c r="B4069" t="s">
        <v>8379</v>
      </c>
      <c r="C4069" t="str">
        <f>"9781848729155"</f>
        <v>9781848729155</v>
      </c>
      <c r="D4069" t="str">
        <f>"9780203143018"</f>
        <v>9780203143018</v>
      </c>
      <c r="E4069" t="s">
        <v>26010</v>
      </c>
      <c r="F4069" t="s">
        <v>35</v>
      </c>
      <c r="G4069" t="s">
        <v>22267</v>
      </c>
      <c r="H4069" t="s">
        <v>26011</v>
      </c>
      <c r="I4069" s="26">
        <v>41024</v>
      </c>
      <c r="J4069">
        <v>2012</v>
      </c>
      <c r="K4069" t="s">
        <v>660</v>
      </c>
      <c r="L4069">
        <v>233</v>
      </c>
      <c r="M4069" t="s">
        <v>40578</v>
      </c>
      <c r="N4069">
        <v>1</v>
      </c>
      <c r="O4069" t="s">
        <v>26988</v>
      </c>
      <c r="Q4069" t="s">
        <v>40579</v>
      </c>
      <c r="R4069">
        <v>153.13</v>
      </c>
      <c r="S4069" t="s">
        <v>5208</v>
      </c>
      <c r="T4069" t="s">
        <v>30</v>
      </c>
      <c r="U4069" t="s">
        <v>46</v>
      </c>
      <c r="W4069" t="s">
        <v>26009</v>
      </c>
    </row>
    <row r="4070" spans="1:23" x14ac:dyDescent="0.35">
      <c r="A4070">
        <v>958617</v>
      </c>
      <c r="B4070" t="s">
        <v>40580</v>
      </c>
      <c r="C4070" t="str">
        <f>"9780415609388"</f>
        <v>9780415609388</v>
      </c>
      <c r="D4070" t="str">
        <f>"9780203832639"</f>
        <v>9780203832639</v>
      </c>
      <c r="E4070" t="s">
        <v>26010</v>
      </c>
      <c r="F4070" t="s">
        <v>35</v>
      </c>
      <c r="G4070" t="s">
        <v>22174</v>
      </c>
      <c r="H4070" t="s">
        <v>26011</v>
      </c>
      <c r="I4070" s="26">
        <v>40610</v>
      </c>
      <c r="J4070">
        <v>2011</v>
      </c>
      <c r="K4070" t="s">
        <v>26012</v>
      </c>
      <c r="L4070">
        <v>199</v>
      </c>
      <c r="M4070" t="s">
        <v>40581</v>
      </c>
      <c r="N4070">
        <v>1</v>
      </c>
      <c r="O4070" t="s">
        <v>33661</v>
      </c>
      <c r="Q4070" t="s">
        <v>40582</v>
      </c>
      <c r="R4070">
        <v>307.77092599999997</v>
      </c>
      <c r="S4070" t="s">
        <v>40583</v>
      </c>
      <c r="T4070" t="s">
        <v>30</v>
      </c>
      <c r="U4070" t="s">
        <v>26044</v>
      </c>
      <c r="W4070" t="s">
        <v>26009</v>
      </c>
    </row>
    <row r="4071" spans="1:23" x14ac:dyDescent="0.35">
      <c r="A4071">
        <v>958639</v>
      </c>
      <c r="B4071" t="s">
        <v>40584</v>
      </c>
      <c r="C4071" t="str">
        <f>"9780415893947"</f>
        <v>9780415893947</v>
      </c>
      <c r="D4071" t="str">
        <f>"9780203814758"</f>
        <v>9780203814758</v>
      </c>
      <c r="E4071" t="s">
        <v>26010</v>
      </c>
      <c r="F4071" t="s">
        <v>35</v>
      </c>
      <c r="G4071" t="s">
        <v>22174</v>
      </c>
      <c r="H4071" t="s">
        <v>26011</v>
      </c>
      <c r="I4071" s="26">
        <v>40975</v>
      </c>
      <c r="J4071">
        <v>2012</v>
      </c>
      <c r="K4071" t="s">
        <v>26012</v>
      </c>
      <c r="L4071">
        <v>303</v>
      </c>
      <c r="M4071" t="s">
        <v>40585</v>
      </c>
      <c r="N4071">
        <v>1</v>
      </c>
      <c r="Q4071" t="s">
        <v>40586</v>
      </c>
      <c r="R4071" t="s">
        <v>40587</v>
      </c>
      <c r="S4071" t="s">
        <v>40588</v>
      </c>
      <c r="T4071" t="s">
        <v>30</v>
      </c>
      <c r="U4071" t="s">
        <v>46</v>
      </c>
      <c r="W4071" t="s">
        <v>26009</v>
      </c>
    </row>
    <row r="4072" spans="1:23" x14ac:dyDescent="0.35">
      <c r="A4072">
        <v>958650</v>
      </c>
      <c r="B4072" t="s">
        <v>40589</v>
      </c>
      <c r="C4072" t="str">
        <f>"9780415894067"</f>
        <v>9780415894067</v>
      </c>
      <c r="D4072" t="str">
        <f>"9780203814369"</f>
        <v>9780203814369</v>
      </c>
      <c r="E4072" t="s">
        <v>26010</v>
      </c>
      <c r="F4072" t="s">
        <v>35</v>
      </c>
      <c r="G4072" t="s">
        <v>26201</v>
      </c>
      <c r="H4072" t="s">
        <v>26004</v>
      </c>
      <c r="I4072" s="26">
        <v>40879</v>
      </c>
      <c r="J4072">
        <v>2012</v>
      </c>
      <c r="K4072" t="s">
        <v>26012</v>
      </c>
      <c r="L4072">
        <v>359</v>
      </c>
      <c r="M4072" t="s">
        <v>40590</v>
      </c>
      <c r="N4072">
        <v>2</v>
      </c>
      <c r="O4072" t="s">
        <v>26909</v>
      </c>
      <c r="Q4072" t="s">
        <v>40591</v>
      </c>
      <c r="R4072" t="s">
        <v>33676</v>
      </c>
      <c r="S4072" t="s">
        <v>40592</v>
      </c>
      <c r="T4072" t="s">
        <v>30</v>
      </c>
      <c r="U4072" t="s">
        <v>26019</v>
      </c>
      <c r="W4072" t="s">
        <v>26009</v>
      </c>
    </row>
    <row r="4073" spans="1:23" x14ac:dyDescent="0.35">
      <c r="A4073">
        <v>958687</v>
      </c>
      <c r="B4073" t="s">
        <v>40593</v>
      </c>
      <c r="C4073" t="str">
        <f>"9780415890502"</f>
        <v>9780415890502</v>
      </c>
      <c r="D4073" t="str">
        <f>"9780203829509"</f>
        <v>9780203829509</v>
      </c>
      <c r="E4073" t="s">
        <v>26010</v>
      </c>
      <c r="F4073" t="s">
        <v>35</v>
      </c>
      <c r="G4073" t="s">
        <v>26201</v>
      </c>
      <c r="H4073" t="s">
        <v>26004</v>
      </c>
      <c r="I4073" s="26">
        <v>40826</v>
      </c>
      <c r="J4073">
        <v>2012</v>
      </c>
      <c r="K4073" t="s">
        <v>26012</v>
      </c>
      <c r="L4073">
        <v>225</v>
      </c>
      <c r="M4073" t="s">
        <v>40594</v>
      </c>
      <c r="N4073">
        <v>1</v>
      </c>
      <c r="O4073" t="s">
        <v>40595</v>
      </c>
      <c r="Q4073" t="s">
        <v>40596</v>
      </c>
      <c r="R4073">
        <v>370.15</v>
      </c>
      <c r="S4073" t="s">
        <v>8173</v>
      </c>
      <c r="T4073" t="s">
        <v>30</v>
      </c>
      <c r="U4073" t="s">
        <v>337</v>
      </c>
      <c r="W4073" t="s">
        <v>26009</v>
      </c>
    </row>
    <row r="4074" spans="1:23" x14ac:dyDescent="0.35">
      <c r="A4074">
        <v>958747</v>
      </c>
      <c r="B4074" t="s">
        <v>40597</v>
      </c>
      <c r="C4074" t="str">
        <f>"9780415666985"</f>
        <v>9780415666985</v>
      </c>
      <c r="D4074" t="str">
        <f>"9780203155769"</f>
        <v>9780203155769</v>
      </c>
      <c r="E4074" t="s">
        <v>26010</v>
      </c>
      <c r="F4074" t="s">
        <v>35</v>
      </c>
      <c r="G4074" t="s">
        <v>22174</v>
      </c>
      <c r="H4074" t="s">
        <v>26011</v>
      </c>
      <c r="I4074" s="26">
        <v>40920</v>
      </c>
      <c r="J4074">
        <v>2012</v>
      </c>
      <c r="K4074" t="s">
        <v>26012</v>
      </c>
      <c r="L4074">
        <v>257</v>
      </c>
      <c r="M4074" t="s">
        <v>40598</v>
      </c>
      <c r="N4074">
        <v>1</v>
      </c>
      <c r="Q4074" t="s">
        <v>40599</v>
      </c>
      <c r="R4074">
        <v>155.66825</v>
      </c>
      <c r="S4074" t="s">
        <v>9125</v>
      </c>
      <c r="T4074" t="s">
        <v>30</v>
      </c>
      <c r="U4074" t="s">
        <v>46</v>
      </c>
      <c r="W4074" t="s">
        <v>26009</v>
      </c>
    </row>
    <row r="4075" spans="1:23" x14ac:dyDescent="0.35">
      <c r="A4075">
        <v>967445</v>
      </c>
      <c r="B4075" t="s">
        <v>40600</v>
      </c>
      <c r="C4075" t="str">
        <f>"9780765708786"</f>
        <v>9780765708786</v>
      </c>
      <c r="D4075" t="str">
        <f>"9780765708793"</f>
        <v>9780765708793</v>
      </c>
      <c r="E4075" t="s">
        <v>33803</v>
      </c>
      <c r="F4075" t="s">
        <v>38</v>
      </c>
      <c r="G4075" t="s">
        <v>34138</v>
      </c>
      <c r="H4075" t="s">
        <v>26004</v>
      </c>
      <c r="I4075" s="26">
        <v>41011</v>
      </c>
      <c r="J4075">
        <v>2012</v>
      </c>
      <c r="K4075" t="s">
        <v>33811</v>
      </c>
      <c r="L4075">
        <v>285</v>
      </c>
      <c r="M4075" t="s">
        <v>40601</v>
      </c>
      <c r="N4075">
        <v>1</v>
      </c>
      <c r="Q4075" t="s">
        <v>40602</v>
      </c>
      <c r="R4075" t="s">
        <v>27122</v>
      </c>
      <c r="S4075" t="s">
        <v>40603</v>
      </c>
      <c r="T4075" t="s">
        <v>30</v>
      </c>
      <c r="U4075" t="s">
        <v>26019</v>
      </c>
      <c r="W4075" t="s">
        <v>26009</v>
      </c>
    </row>
    <row r="4076" spans="1:23" x14ac:dyDescent="0.35">
      <c r="A4076">
        <v>974548</v>
      </c>
      <c r="B4076" t="s">
        <v>40604</v>
      </c>
      <c r="C4076" t="str">
        <f>"9781780490021"</f>
        <v>9781780490021</v>
      </c>
      <c r="D4076" t="str">
        <f>"9781782410041"</f>
        <v>9781782410041</v>
      </c>
      <c r="E4076" t="s">
        <v>26010</v>
      </c>
      <c r="F4076" t="s">
        <v>35</v>
      </c>
      <c r="G4076" t="s">
        <v>22174</v>
      </c>
      <c r="H4076" t="s">
        <v>26011</v>
      </c>
      <c r="I4076" s="26">
        <v>41274</v>
      </c>
      <c r="J4076">
        <v>2012</v>
      </c>
      <c r="K4076" t="s">
        <v>26012</v>
      </c>
      <c r="L4076">
        <v>224</v>
      </c>
      <c r="M4076" t="s">
        <v>40605</v>
      </c>
      <c r="N4076">
        <v>1</v>
      </c>
      <c r="O4076" t="s">
        <v>38015</v>
      </c>
      <c r="Q4076" t="s">
        <v>40606</v>
      </c>
      <c r="R4076" t="s">
        <v>35735</v>
      </c>
      <c r="S4076" t="s">
        <v>8307</v>
      </c>
      <c r="T4076" t="s">
        <v>30</v>
      </c>
      <c r="U4076" t="s">
        <v>46</v>
      </c>
      <c r="W4076" t="s">
        <v>26009</v>
      </c>
    </row>
    <row r="4077" spans="1:23" x14ac:dyDescent="0.35">
      <c r="A4077">
        <v>974549</v>
      </c>
      <c r="B4077" t="s">
        <v>10024</v>
      </c>
      <c r="C4077" t="str">
        <f>"9781780490632"</f>
        <v>9781780490632</v>
      </c>
      <c r="D4077" t="str">
        <f>"9781782410034"</f>
        <v>9781782410034</v>
      </c>
      <c r="E4077" t="s">
        <v>26010</v>
      </c>
      <c r="F4077" t="s">
        <v>35</v>
      </c>
      <c r="G4077" t="s">
        <v>22174</v>
      </c>
      <c r="H4077" t="s">
        <v>26011</v>
      </c>
      <c r="I4077" s="26">
        <v>41274</v>
      </c>
      <c r="J4077">
        <v>2012</v>
      </c>
      <c r="K4077" t="s">
        <v>26012</v>
      </c>
      <c r="L4077">
        <v>463</v>
      </c>
      <c r="M4077" t="s">
        <v>40607</v>
      </c>
      <c r="N4077">
        <v>1</v>
      </c>
      <c r="Q4077" t="s">
        <v>40608</v>
      </c>
      <c r="R4077">
        <v>616.89139999999998</v>
      </c>
      <c r="S4077" t="s">
        <v>40609</v>
      </c>
      <c r="T4077" t="s">
        <v>30</v>
      </c>
      <c r="U4077" t="s">
        <v>26019</v>
      </c>
      <c r="W4077" t="s">
        <v>26009</v>
      </c>
    </row>
    <row r="4078" spans="1:23" x14ac:dyDescent="0.35">
      <c r="A4078">
        <v>975440</v>
      </c>
      <c r="B4078" t="s">
        <v>9329</v>
      </c>
      <c r="C4078" t="str">
        <f>"9780195396430"</f>
        <v>9780195396430</v>
      </c>
      <c r="D4078" t="str">
        <f>"9780199930630"</f>
        <v>9780199930630</v>
      </c>
      <c r="E4078" t="s">
        <v>371</v>
      </c>
      <c r="F4078" t="s">
        <v>31</v>
      </c>
      <c r="G4078" t="s">
        <v>22703</v>
      </c>
      <c r="H4078" t="s">
        <v>26004</v>
      </c>
      <c r="I4078" s="26">
        <v>41031</v>
      </c>
      <c r="J4078">
        <v>2012</v>
      </c>
      <c r="K4078" t="s">
        <v>31</v>
      </c>
      <c r="L4078">
        <v>1149</v>
      </c>
      <c r="M4078" t="s">
        <v>34117</v>
      </c>
      <c r="O4078" t="s">
        <v>40610</v>
      </c>
      <c r="Q4078" t="s">
        <v>40611</v>
      </c>
      <c r="R4078" t="s">
        <v>26169</v>
      </c>
      <c r="S4078" t="s">
        <v>40612</v>
      </c>
      <c r="T4078" t="s">
        <v>30</v>
      </c>
      <c r="U4078" t="s">
        <v>26228</v>
      </c>
      <c r="W4078" t="s">
        <v>26009</v>
      </c>
    </row>
    <row r="4079" spans="1:23" x14ac:dyDescent="0.35">
      <c r="A4079">
        <v>975533</v>
      </c>
      <c r="B4079" t="s">
        <v>9328</v>
      </c>
      <c r="C4079" t="str">
        <f>"9780199227396"</f>
        <v>9780199227396</v>
      </c>
      <c r="D4079" t="str">
        <f>"9780191551697"</f>
        <v>9780191551697</v>
      </c>
      <c r="E4079" t="s">
        <v>371</v>
      </c>
      <c r="F4079" t="s">
        <v>399</v>
      </c>
      <c r="G4079" t="s">
        <v>22242</v>
      </c>
      <c r="H4079" t="s">
        <v>26011</v>
      </c>
      <c r="I4079" s="26">
        <v>39863</v>
      </c>
      <c r="J4079">
        <v>2009</v>
      </c>
      <c r="K4079" t="s">
        <v>399</v>
      </c>
      <c r="L4079">
        <v>880</v>
      </c>
      <c r="M4079" t="s">
        <v>40613</v>
      </c>
      <c r="N4079">
        <v>3</v>
      </c>
      <c r="O4079" t="s">
        <v>40614</v>
      </c>
      <c r="Q4079" t="s">
        <v>40615</v>
      </c>
      <c r="R4079" t="s">
        <v>40616</v>
      </c>
      <c r="S4079" t="s">
        <v>40617</v>
      </c>
      <c r="T4079" t="s">
        <v>30</v>
      </c>
      <c r="U4079" t="s">
        <v>26040</v>
      </c>
      <c r="W4079" t="s">
        <v>26009</v>
      </c>
    </row>
    <row r="4080" spans="1:23" x14ac:dyDescent="0.35">
      <c r="A4080">
        <v>975556</v>
      </c>
      <c r="B4080" t="s">
        <v>40618</v>
      </c>
      <c r="C4080" t="str">
        <f>"9780199734337"</f>
        <v>9780199734337</v>
      </c>
      <c r="D4080" t="str">
        <f>"9780199909841"</f>
        <v>9780199909841</v>
      </c>
      <c r="E4080" t="s">
        <v>371</v>
      </c>
      <c r="F4080" t="s">
        <v>31</v>
      </c>
      <c r="G4080" t="s">
        <v>22242</v>
      </c>
      <c r="H4080" t="s">
        <v>26004</v>
      </c>
      <c r="I4080" s="26">
        <v>41016</v>
      </c>
      <c r="J4080">
        <v>2012</v>
      </c>
      <c r="K4080" t="s">
        <v>31</v>
      </c>
      <c r="L4080">
        <v>439</v>
      </c>
      <c r="M4080" t="s">
        <v>40619</v>
      </c>
      <c r="O4080" t="s">
        <v>28982</v>
      </c>
      <c r="Q4080" t="s">
        <v>40620</v>
      </c>
      <c r="R4080">
        <v>153.69999999999999</v>
      </c>
      <c r="S4080" t="s">
        <v>40621</v>
      </c>
      <c r="T4080" t="s">
        <v>30</v>
      </c>
      <c r="U4080" t="s">
        <v>46</v>
      </c>
      <c r="W4080" t="s">
        <v>26009</v>
      </c>
    </row>
    <row r="4081" spans="1:23" x14ac:dyDescent="0.35">
      <c r="A4081">
        <v>975572</v>
      </c>
      <c r="B4081" t="s">
        <v>40622</v>
      </c>
      <c r="C4081" t="str">
        <f>"9780198566434"</f>
        <v>9780198566434</v>
      </c>
      <c r="D4081" t="str">
        <f>"9780191584602"</f>
        <v>9780191584602</v>
      </c>
      <c r="E4081" t="s">
        <v>371</v>
      </c>
      <c r="F4081" t="s">
        <v>31</v>
      </c>
      <c r="G4081" t="s">
        <v>22242</v>
      </c>
      <c r="H4081" t="s">
        <v>26011</v>
      </c>
      <c r="I4081" s="26">
        <v>39128</v>
      </c>
      <c r="J4081">
        <v>2007</v>
      </c>
      <c r="K4081" t="s">
        <v>31</v>
      </c>
      <c r="L4081">
        <v>200</v>
      </c>
      <c r="M4081" t="s">
        <v>40623</v>
      </c>
      <c r="O4081" t="s">
        <v>40624</v>
      </c>
      <c r="Q4081" t="s">
        <v>40625</v>
      </c>
      <c r="R4081">
        <v>616.89</v>
      </c>
      <c r="S4081" t="s">
        <v>40626</v>
      </c>
      <c r="T4081" t="s">
        <v>30</v>
      </c>
      <c r="U4081" t="s">
        <v>26019</v>
      </c>
      <c r="W4081" t="s">
        <v>26009</v>
      </c>
    </row>
    <row r="4082" spans="1:23" x14ac:dyDescent="0.35">
      <c r="A4082">
        <v>975585</v>
      </c>
      <c r="B4082" t="s">
        <v>40627</v>
      </c>
      <c r="C4082" t="str">
        <f>"9780199228829"</f>
        <v>9780199228829</v>
      </c>
      <c r="D4082" t="str">
        <f>"9780191551819"</f>
        <v>9780191551819</v>
      </c>
      <c r="E4082" t="s">
        <v>371</v>
      </c>
      <c r="F4082" t="s">
        <v>31</v>
      </c>
      <c r="G4082" t="s">
        <v>22242</v>
      </c>
      <c r="H4082" t="s">
        <v>26011</v>
      </c>
      <c r="I4082" s="26">
        <v>39797</v>
      </c>
      <c r="J4082">
        <v>2008</v>
      </c>
      <c r="K4082" t="s">
        <v>31</v>
      </c>
      <c r="L4082">
        <v>437</v>
      </c>
      <c r="M4082" t="s">
        <v>40628</v>
      </c>
      <c r="O4082" t="s">
        <v>40629</v>
      </c>
      <c r="Q4082" t="s">
        <v>40630</v>
      </c>
      <c r="R4082">
        <v>362.19682999999998</v>
      </c>
      <c r="S4082" t="s">
        <v>40631</v>
      </c>
      <c r="T4082" t="s">
        <v>30</v>
      </c>
      <c r="U4082" t="s">
        <v>31925</v>
      </c>
      <c r="W4082" t="s">
        <v>26009</v>
      </c>
    </row>
    <row r="4083" spans="1:23" x14ac:dyDescent="0.35">
      <c r="A4083">
        <v>975598</v>
      </c>
      <c r="B4083" t="s">
        <v>9735</v>
      </c>
      <c r="C4083" t="str">
        <f>"9780199234882"</f>
        <v>9780199234882</v>
      </c>
      <c r="D4083" t="str">
        <f>"9780191552960"</f>
        <v>9780191552960</v>
      </c>
      <c r="E4083" t="s">
        <v>371</v>
      </c>
      <c r="F4083" t="s">
        <v>399</v>
      </c>
      <c r="G4083" t="s">
        <v>22242</v>
      </c>
      <c r="H4083" t="s">
        <v>26011</v>
      </c>
      <c r="I4083" s="26">
        <v>39933</v>
      </c>
      <c r="J4083">
        <v>2009</v>
      </c>
      <c r="K4083" t="s">
        <v>399</v>
      </c>
      <c r="L4083">
        <v>101</v>
      </c>
      <c r="M4083" t="s">
        <v>40632</v>
      </c>
      <c r="O4083" t="s">
        <v>40633</v>
      </c>
      <c r="Q4083" t="s">
        <v>40634</v>
      </c>
      <c r="R4083" t="s">
        <v>33845</v>
      </c>
      <c r="S4083" t="s">
        <v>40635</v>
      </c>
      <c r="T4083" t="s">
        <v>30</v>
      </c>
      <c r="U4083" t="s">
        <v>26116</v>
      </c>
      <c r="W4083" t="s">
        <v>26009</v>
      </c>
    </row>
    <row r="4084" spans="1:23" x14ac:dyDescent="0.35">
      <c r="A4084">
        <v>975606</v>
      </c>
      <c r="B4084" t="s">
        <v>6780</v>
      </c>
      <c r="C4084" t="str">
        <f>"9780199234332"</f>
        <v>9780199234332</v>
      </c>
      <c r="D4084" t="str">
        <f>"9780191552885"</f>
        <v>9780191552885</v>
      </c>
      <c r="E4084" t="s">
        <v>371</v>
      </c>
      <c r="F4084" t="s">
        <v>399</v>
      </c>
      <c r="G4084" t="s">
        <v>22242</v>
      </c>
      <c r="H4084" t="s">
        <v>26011</v>
      </c>
      <c r="I4084" s="26">
        <v>39541</v>
      </c>
      <c r="J4084">
        <v>2008</v>
      </c>
      <c r="K4084" t="s">
        <v>399</v>
      </c>
      <c r="L4084">
        <v>140</v>
      </c>
      <c r="M4084" t="s">
        <v>40636</v>
      </c>
      <c r="O4084" t="s">
        <v>39157</v>
      </c>
      <c r="Q4084" t="s">
        <v>40637</v>
      </c>
      <c r="R4084" t="s">
        <v>33845</v>
      </c>
      <c r="S4084" t="s">
        <v>9157</v>
      </c>
      <c r="T4084" t="s">
        <v>30</v>
      </c>
      <c r="U4084" t="s">
        <v>26116</v>
      </c>
      <c r="W4084" t="s">
        <v>26009</v>
      </c>
    </row>
    <row r="4085" spans="1:23" x14ac:dyDescent="0.35">
      <c r="A4085">
        <v>975607</v>
      </c>
      <c r="B4085" t="s">
        <v>9978</v>
      </c>
      <c r="C4085" t="str">
        <f>"9780199533251"</f>
        <v>9780199533251</v>
      </c>
      <c r="D4085" t="str">
        <f>"9780191559839"</f>
        <v>9780191559839</v>
      </c>
      <c r="E4085" t="s">
        <v>371</v>
      </c>
      <c r="F4085" t="s">
        <v>399</v>
      </c>
      <c r="G4085" t="s">
        <v>22242</v>
      </c>
      <c r="H4085" t="s">
        <v>26011</v>
      </c>
      <c r="I4085" s="26">
        <v>39674</v>
      </c>
      <c r="J4085">
        <v>2008</v>
      </c>
      <c r="K4085" t="s">
        <v>399</v>
      </c>
      <c r="L4085">
        <v>118</v>
      </c>
      <c r="M4085" t="s">
        <v>40638</v>
      </c>
      <c r="O4085" t="s">
        <v>39157</v>
      </c>
      <c r="Q4085" t="s">
        <v>40639</v>
      </c>
      <c r="R4085" t="s">
        <v>40640</v>
      </c>
      <c r="S4085" t="s">
        <v>40641</v>
      </c>
      <c r="T4085" t="s">
        <v>30</v>
      </c>
      <c r="U4085" t="s">
        <v>26019</v>
      </c>
      <c r="W4085" t="s">
        <v>26009</v>
      </c>
    </row>
    <row r="4086" spans="1:23" x14ac:dyDescent="0.35">
      <c r="A4086">
        <v>975629</v>
      </c>
      <c r="B4086" t="s">
        <v>7664</v>
      </c>
      <c r="C4086" t="str">
        <f>"9780199550777"</f>
        <v>9780199550777</v>
      </c>
      <c r="D4086" t="str">
        <f>"9780191564093"</f>
        <v>9780191564093</v>
      </c>
      <c r="E4086" t="s">
        <v>371</v>
      </c>
      <c r="F4086" t="s">
        <v>31</v>
      </c>
      <c r="G4086" t="s">
        <v>22242</v>
      </c>
      <c r="H4086" t="s">
        <v>26011</v>
      </c>
      <c r="I4086" s="26">
        <v>39842</v>
      </c>
      <c r="J4086">
        <v>2008</v>
      </c>
      <c r="K4086" t="s">
        <v>31</v>
      </c>
      <c r="L4086">
        <v>218</v>
      </c>
      <c r="M4086" t="s">
        <v>40642</v>
      </c>
      <c r="O4086" t="s">
        <v>40643</v>
      </c>
      <c r="Q4086" t="s">
        <v>40644</v>
      </c>
      <c r="R4086">
        <v>616.89007600000002</v>
      </c>
      <c r="S4086" t="s">
        <v>40645</v>
      </c>
      <c r="T4086" t="s">
        <v>30</v>
      </c>
      <c r="U4086" t="s">
        <v>26116</v>
      </c>
      <c r="W4086" t="s">
        <v>26009</v>
      </c>
    </row>
    <row r="4087" spans="1:23" x14ac:dyDescent="0.35">
      <c r="A4087">
        <v>975631</v>
      </c>
      <c r="B4087" t="s">
        <v>7665</v>
      </c>
      <c r="C4087" t="str">
        <f>"9780199553617"</f>
        <v>9780199553617</v>
      </c>
      <c r="D4087" t="str">
        <f>"9780191564796"</f>
        <v>9780191564796</v>
      </c>
      <c r="E4087" t="s">
        <v>371</v>
      </c>
      <c r="F4087" t="s">
        <v>31</v>
      </c>
      <c r="G4087" t="s">
        <v>22242</v>
      </c>
      <c r="H4087" t="s">
        <v>26011</v>
      </c>
      <c r="I4087" s="26">
        <v>40307</v>
      </c>
      <c r="J4087">
        <v>2010</v>
      </c>
      <c r="K4087" t="s">
        <v>31</v>
      </c>
      <c r="L4087">
        <v>264</v>
      </c>
      <c r="M4087" t="s">
        <v>40642</v>
      </c>
      <c r="O4087" t="s">
        <v>40643</v>
      </c>
      <c r="Q4087" t="s">
        <v>40646</v>
      </c>
      <c r="R4087">
        <v>616.89007600000002</v>
      </c>
      <c r="S4087" t="s">
        <v>40645</v>
      </c>
      <c r="T4087" t="s">
        <v>30</v>
      </c>
      <c r="U4087" t="s">
        <v>26019</v>
      </c>
      <c r="W4087" t="s">
        <v>26009</v>
      </c>
    </row>
    <row r="4088" spans="1:23" x14ac:dyDescent="0.35">
      <c r="A4088">
        <v>975637</v>
      </c>
      <c r="B4088" t="s">
        <v>40647</v>
      </c>
      <c r="C4088" t="str">
        <f>"9780198526902"</f>
        <v>9780198526902</v>
      </c>
      <c r="D4088" t="str">
        <f>"9780191566899"</f>
        <v>9780191566899</v>
      </c>
      <c r="E4088" t="s">
        <v>371</v>
      </c>
      <c r="F4088" t="s">
        <v>31</v>
      </c>
      <c r="G4088" t="s">
        <v>22242</v>
      </c>
      <c r="H4088" t="s">
        <v>26011</v>
      </c>
      <c r="I4088" s="26">
        <v>39142</v>
      </c>
      <c r="J4088">
        <v>2007</v>
      </c>
      <c r="K4088" t="s">
        <v>31</v>
      </c>
      <c r="L4088">
        <v>202</v>
      </c>
      <c r="M4088" t="s">
        <v>40648</v>
      </c>
      <c r="Q4088" t="s">
        <v>40649</v>
      </c>
      <c r="R4088">
        <v>616.85820000000001</v>
      </c>
      <c r="S4088" t="s">
        <v>40650</v>
      </c>
      <c r="T4088" t="s">
        <v>30</v>
      </c>
      <c r="U4088" t="s">
        <v>26116</v>
      </c>
      <c r="W4088" t="s">
        <v>26009</v>
      </c>
    </row>
    <row r="4089" spans="1:23" x14ac:dyDescent="0.35">
      <c r="A4089">
        <v>975639</v>
      </c>
      <c r="B4089" t="s">
        <v>40651</v>
      </c>
      <c r="C4089" t="str">
        <f>"9780199228768"</f>
        <v>9780199228768</v>
      </c>
      <c r="D4089" t="str">
        <f>"9780191551796"</f>
        <v>9780191551796</v>
      </c>
      <c r="E4089" t="s">
        <v>371</v>
      </c>
      <c r="F4089" t="s">
        <v>31</v>
      </c>
      <c r="G4089" t="s">
        <v>22242</v>
      </c>
      <c r="H4089" t="s">
        <v>26011</v>
      </c>
      <c r="I4089" s="26">
        <v>39828</v>
      </c>
      <c r="J4089">
        <v>2008</v>
      </c>
      <c r="K4089" t="s">
        <v>31</v>
      </c>
      <c r="L4089">
        <v>309</v>
      </c>
      <c r="M4089" t="s">
        <v>40652</v>
      </c>
      <c r="Q4089" t="s">
        <v>40653</v>
      </c>
      <c r="R4089">
        <v>150.9</v>
      </c>
      <c r="S4089" t="s">
        <v>40654</v>
      </c>
      <c r="T4089" t="s">
        <v>30</v>
      </c>
      <c r="U4089" t="s">
        <v>46</v>
      </c>
      <c r="W4089" t="s">
        <v>26009</v>
      </c>
    </row>
    <row r="4090" spans="1:23" x14ac:dyDescent="0.35">
      <c r="A4090">
        <v>975654</v>
      </c>
      <c r="B4090" t="s">
        <v>40655</v>
      </c>
      <c r="C4090" t="str">
        <f>"9780198569794"</f>
        <v>9780198569794</v>
      </c>
      <c r="D4090" t="str">
        <f>"9780191588488"</f>
        <v>9780191588488</v>
      </c>
      <c r="E4090" t="s">
        <v>371</v>
      </c>
      <c r="F4090" t="s">
        <v>31</v>
      </c>
      <c r="G4090" t="s">
        <v>22242</v>
      </c>
      <c r="H4090" t="s">
        <v>26011</v>
      </c>
      <c r="I4090" s="26">
        <v>39156</v>
      </c>
      <c r="J4090">
        <v>2007</v>
      </c>
      <c r="K4090" t="s">
        <v>31</v>
      </c>
      <c r="L4090">
        <v>336</v>
      </c>
      <c r="M4090" t="s">
        <v>40656</v>
      </c>
      <c r="Q4090" t="s">
        <v>40657</v>
      </c>
      <c r="R4090" t="s">
        <v>40658</v>
      </c>
      <c r="S4090" t="s">
        <v>40659</v>
      </c>
      <c r="T4090" t="s">
        <v>30</v>
      </c>
      <c r="U4090" t="s">
        <v>33748</v>
      </c>
      <c r="W4090" t="s">
        <v>26009</v>
      </c>
    </row>
    <row r="4091" spans="1:23" x14ac:dyDescent="0.35">
      <c r="A4091">
        <v>975660</v>
      </c>
      <c r="B4091" t="s">
        <v>9062</v>
      </c>
      <c r="C4091" t="str">
        <f>"9780199299768"</f>
        <v>9780199299768</v>
      </c>
      <c r="D4091" t="str">
        <f>"9780191588723"</f>
        <v>9780191588723</v>
      </c>
      <c r="E4091" t="s">
        <v>371</v>
      </c>
      <c r="F4091" t="s">
        <v>399</v>
      </c>
      <c r="G4091" t="s">
        <v>22242</v>
      </c>
      <c r="H4091" t="s">
        <v>26011</v>
      </c>
      <c r="I4091" s="26">
        <v>38890</v>
      </c>
      <c r="J4091">
        <v>2006</v>
      </c>
      <c r="K4091" t="s">
        <v>399</v>
      </c>
      <c r="L4091">
        <v>242</v>
      </c>
      <c r="M4091" t="s">
        <v>40660</v>
      </c>
      <c r="N4091">
        <v>5</v>
      </c>
      <c r="Q4091" t="s">
        <v>40661</v>
      </c>
      <c r="R4091" t="s">
        <v>27789</v>
      </c>
      <c r="S4091" t="s">
        <v>40662</v>
      </c>
      <c r="T4091" t="s">
        <v>30</v>
      </c>
      <c r="U4091" t="s">
        <v>26019</v>
      </c>
      <c r="W4091" t="s">
        <v>26009</v>
      </c>
    </row>
    <row r="4092" spans="1:23" x14ac:dyDescent="0.35">
      <c r="A4092">
        <v>975672</v>
      </c>
      <c r="B4092" t="s">
        <v>8732</v>
      </c>
      <c r="C4092" t="str">
        <f>"9780198569763"</f>
        <v>9780198569763</v>
      </c>
      <c r="D4092" t="str">
        <f>"9780191564215"</f>
        <v>9780191564215</v>
      </c>
      <c r="E4092" t="s">
        <v>371</v>
      </c>
      <c r="F4092" t="s">
        <v>31</v>
      </c>
      <c r="G4092" t="s">
        <v>22242</v>
      </c>
      <c r="H4092" t="s">
        <v>26011</v>
      </c>
      <c r="I4092" s="26">
        <v>39065</v>
      </c>
      <c r="J4092">
        <v>2006</v>
      </c>
      <c r="K4092" t="s">
        <v>31</v>
      </c>
      <c r="L4092">
        <v>584</v>
      </c>
      <c r="M4092" t="s">
        <v>40663</v>
      </c>
      <c r="Q4092" t="s">
        <v>40664</v>
      </c>
      <c r="R4092">
        <v>153.43</v>
      </c>
      <c r="S4092" t="s">
        <v>32275</v>
      </c>
      <c r="T4092" t="s">
        <v>30</v>
      </c>
      <c r="U4092" t="s">
        <v>46</v>
      </c>
      <c r="W4092" t="s">
        <v>26009</v>
      </c>
    </row>
    <row r="4093" spans="1:23" x14ac:dyDescent="0.35">
      <c r="A4093">
        <v>977123</v>
      </c>
      <c r="B4093" t="s">
        <v>40665</v>
      </c>
      <c r="C4093" t="str">
        <f>"9780521195362"</f>
        <v>9780521195362</v>
      </c>
      <c r="D4093" t="str">
        <f>"9781139530149"</f>
        <v>9781139530149</v>
      </c>
      <c r="E4093" t="s">
        <v>167</v>
      </c>
      <c r="F4093" t="s">
        <v>167</v>
      </c>
      <c r="G4093" t="s">
        <v>22179</v>
      </c>
      <c r="H4093" t="s">
        <v>26004</v>
      </c>
      <c r="I4093" s="26">
        <v>41099</v>
      </c>
      <c r="J4093">
        <v>2012</v>
      </c>
      <c r="K4093" t="s">
        <v>167</v>
      </c>
      <c r="L4093">
        <v>190</v>
      </c>
      <c r="M4093" t="s">
        <v>40666</v>
      </c>
      <c r="N4093">
        <v>1</v>
      </c>
      <c r="Q4093" t="s">
        <v>40667</v>
      </c>
      <c r="R4093">
        <v>155.69999999999999</v>
      </c>
      <c r="S4093" t="s">
        <v>40668</v>
      </c>
      <c r="T4093" t="s">
        <v>30</v>
      </c>
      <c r="U4093" t="s">
        <v>46</v>
      </c>
      <c r="W4093" t="s">
        <v>26020</v>
      </c>
    </row>
    <row r="4094" spans="1:23" x14ac:dyDescent="0.35">
      <c r="A4094">
        <v>977137</v>
      </c>
      <c r="B4094" t="s">
        <v>7754</v>
      </c>
      <c r="C4094" t="str">
        <f>"9780521860642"</f>
        <v>9780521860642</v>
      </c>
      <c r="D4094" t="str">
        <f>"9781139530286"</f>
        <v>9781139530286</v>
      </c>
      <c r="E4094" t="s">
        <v>167</v>
      </c>
      <c r="F4094" t="s">
        <v>167</v>
      </c>
      <c r="G4094" t="s">
        <v>22179</v>
      </c>
      <c r="H4094" t="s">
        <v>26004</v>
      </c>
      <c r="I4094" s="26">
        <v>41141</v>
      </c>
      <c r="J4094">
        <v>2012</v>
      </c>
      <c r="K4094" t="s">
        <v>167</v>
      </c>
      <c r="L4094">
        <v>768</v>
      </c>
      <c r="M4094" t="s">
        <v>40669</v>
      </c>
      <c r="N4094">
        <v>1</v>
      </c>
      <c r="O4094" t="s">
        <v>30640</v>
      </c>
      <c r="Q4094" t="s">
        <v>40670</v>
      </c>
      <c r="R4094" t="s">
        <v>30488</v>
      </c>
      <c r="S4094" t="s">
        <v>40671</v>
      </c>
      <c r="T4094" t="s">
        <v>30</v>
      </c>
      <c r="U4094" t="s">
        <v>35982</v>
      </c>
      <c r="W4094" t="s">
        <v>26020</v>
      </c>
    </row>
    <row r="4095" spans="1:23" x14ac:dyDescent="0.35">
      <c r="A4095">
        <v>977138</v>
      </c>
      <c r="B4095" t="s">
        <v>40672</v>
      </c>
      <c r="C4095" t="str">
        <f>"9780521868822"</f>
        <v>9780521868822</v>
      </c>
      <c r="D4095" t="str">
        <f>"9781139530309"</f>
        <v>9781139530309</v>
      </c>
      <c r="E4095" t="s">
        <v>167</v>
      </c>
      <c r="F4095" t="s">
        <v>167</v>
      </c>
      <c r="G4095" t="s">
        <v>22218</v>
      </c>
      <c r="H4095" t="s">
        <v>26011</v>
      </c>
      <c r="I4095" s="26">
        <v>41148</v>
      </c>
      <c r="J4095">
        <v>2012</v>
      </c>
      <c r="K4095" t="s">
        <v>167</v>
      </c>
      <c r="L4095">
        <v>742</v>
      </c>
      <c r="M4095" t="s">
        <v>40673</v>
      </c>
      <c r="N4095">
        <v>1</v>
      </c>
      <c r="O4095" t="s">
        <v>30640</v>
      </c>
      <c r="Q4095" t="s">
        <v>40674</v>
      </c>
      <c r="R4095">
        <v>305.23099999999999</v>
      </c>
      <c r="S4095" t="s">
        <v>40675</v>
      </c>
      <c r="T4095" t="s">
        <v>30</v>
      </c>
      <c r="U4095" t="s">
        <v>26044</v>
      </c>
      <c r="W4095" t="s">
        <v>26020</v>
      </c>
    </row>
    <row r="4096" spans="1:23" x14ac:dyDescent="0.35">
      <c r="A4096">
        <v>977158</v>
      </c>
      <c r="B4096" t="s">
        <v>40676</v>
      </c>
      <c r="C4096" t="str">
        <f>"9781107007772"</f>
        <v>9781107007772</v>
      </c>
      <c r="D4096" t="str">
        <f>"9781139530507"</f>
        <v>9781139530507</v>
      </c>
      <c r="E4096" t="s">
        <v>167</v>
      </c>
      <c r="F4096" t="s">
        <v>167</v>
      </c>
      <c r="G4096" t="s">
        <v>22218</v>
      </c>
      <c r="H4096" t="s">
        <v>26011</v>
      </c>
      <c r="I4096" s="26">
        <v>41095</v>
      </c>
      <c r="J4096">
        <v>2012</v>
      </c>
      <c r="K4096" t="s">
        <v>167</v>
      </c>
      <c r="L4096">
        <v>332</v>
      </c>
      <c r="M4096" t="s">
        <v>40677</v>
      </c>
      <c r="N4096">
        <v>1</v>
      </c>
      <c r="Q4096" t="s">
        <v>40678</v>
      </c>
      <c r="R4096">
        <v>176</v>
      </c>
      <c r="S4096" t="s">
        <v>40679</v>
      </c>
      <c r="T4096" t="s">
        <v>30</v>
      </c>
      <c r="U4096" t="s">
        <v>30017</v>
      </c>
      <c r="W4096" t="s">
        <v>26020</v>
      </c>
    </row>
    <row r="4097" spans="1:23" x14ac:dyDescent="0.35">
      <c r="A4097">
        <v>977266</v>
      </c>
      <c r="B4097" t="s">
        <v>40680</v>
      </c>
      <c r="C4097" t="str">
        <f>"9780520273788"</f>
        <v>9780520273788</v>
      </c>
      <c r="D4097" t="str">
        <f>"9780520953536"</f>
        <v>9780520953536</v>
      </c>
      <c r="E4097" t="s">
        <v>1612</v>
      </c>
      <c r="F4097" t="s">
        <v>1612</v>
      </c>
      <c r="G4097" t="s">
        <v>22630</v>
      </c>
      <c r="H4097" t="s">
        <v>26004</v>
      </c>
      <c r="I4097" s="26">
        <v>41183</v>
      </c>
      <c r="J4097">
        <v>2012</v>
      </c>
      <c r="K4097" t="s">
        <v>1612</v>
      </c>
      <c r="L4097">
        <v>219</v>
      </c>
      <c r="M4097" t="s">
        <v>40681</v>
      </c>
      <c r="N4097">
        <v>1</v>
      </c>
      <c r="O4097" t="s">
        <v>40682</v>
      </c>
      <c r="P4097">
        <v>24</v>
      </c>
      <c r="R4097">
        <v>966.40440000000001</v>
      </c>
      <c r="S4097" t="s">
        <v>40683</v>
      </c>
      <c r="T4097" t="s">
        <v>30</v>
      </c>
      <c r="U4097" t="s">
        <v>402</v>
      </c>
      <c r="W4097" t="s">
        <v>26009</v>
      </c>
    </row>
    <row r="4098" spans="1:23" x14ac:dyDescent="0.35">
      <c r="A4098">
        <v>978151</v>
      </c>
      <c r="B4098" t="s">
        <v>40684</v>
      </c>
      <c r="C4098" t="str">
        <f>"9780199782574"</f>
        <v>9780199782574</v>
      </c>
      <c r="D4098" t="str">
        <f>"9780199974276"</f>
        <v>9780199974276</v>
      </c>
      <c r="E4098" t="s">
        <v>371</v>
      </c>
      <c r="F4098" t="s">
        <v>31</v>
      </c>
      <c r="G4098" t="s">
        <v>22179</v>
      </c>
      <c r="H4098" t="s">
        <v>26004</v>
      </c>
      <c r="I4098" s="26">
        <v>41108</v>
      </c>
      <c r="J4098">
        <v>2012</v>
      </c>
      <c r="K4098" t="s">
        <v>31</v>
      </c>
      <c r="L4098">
        <v>182</v>
      </c>
      <c r="M4098" t="s">
        <v>40685</v>
      </c>
      <c r="Q4098" t="s">
        <v>40686</v>
      </c>
      <c r="R4098" t="s">
        <v>26817</v>
      </c>
      <c r="S4098" t="s">
        <v>9139</v>
      </c>
      <c r="T4098" t="s">
        <v>30</v>
      </c>
      <c r="U4098" t="s">
        <v>26116</v>
      </c>
      <c r="W4098" t="s">
        <v>26009</v>
      </c>
    </row>
    <row r="4099" spans="1:23" x14ac:dyDescent="0.35">
      <c r="A4099">
        <v>978158</v>
      </c>
      <c r="B4099" t="s">
        <v>9028</v>
      </c>
      <c r="C4099" t="str">
        <f>"9780199739981"</f>
        <v>9780199739981</v>
      </c>
      <c r="D4099" t="str">
        <f>"9780199974146"</f>
        <v>9780199974146</v>
      </c>
      <c r="E4099" t="s">
        <v>371</v>
      </c>
      <c r="F4099" t="s">
        <v>31</v>
      </c>
      <c r="G4099" t="s">
        <v>22179</v>
      </c>
      <c r="H4099" t="s">
        <v>26004</v>
      </c>
      <c r="I4099" s="26">
        <v>41065</v>
      </c>
      <c r="J4099">
        <v>2012</v>
      </c>
      <c r="K4099" t="s">
        <v>31</v>
      </c>
      <c r="L4099">
        <v>379</v>
      </c>
      <c r="M4099" t="s">
        <v>40687</v>
      </c>
      <c r="Q4099" t="s">
        <v>40688</v>
      </c>
      <c r="R4099">
        <v>616.89</v>
      </c>
      <c r="S4099" t="s">
        <v>9029</v>
      </c>
      <c r="T4099" t="s">
        <v>30</v>
      </c>
      <c r="U4099" t="s">
        <v>26019</v>
      </c>
      <c r="W4099" t="s">
        <v>26009</v>
      </c>
    </row>
    <row r="4100" spans="1:23" x14ac:dyDescent="0.35">
      <c r="A4100">
        <v>979716</v>
      </c>
      <c r="B4100" t="s">
        <v>40689</v>
      </c>
      <c r="C4100" t="str">
        <f>"9789027213525"</f>
        <v>9789027213525</v>
      </c>
      <c r="D4100" t="str">
        <f>"9789027274632"</f>
        <v>9789027274632</v>
      </c>
      <c r="E4100" t="s">
        <v>35211</v>
      </c>
      <c r="F4100" t="s">
        <v>7610</v>
      </c>
      <c r="G4100" t="s">
        <v>22222</v>
      </c>
      <c r="H4100" t="s">
        <v>27983</v>
      </c>
      <c r="I4100" s="26">
        <v>41128</v>
      </c>
      <c r="J4100">
        <v>2012</v>
      </c>
      <c r="K4100" t="s">
        <v>7610</v>
      </c>
      <c r="L4100">
        <v>423</v>
      </c>
      <c r="M4100" t="s">
        <v>40690</v>
      </c>
      <c r="N4100">
        <v>1</v>
      </c>
      <c r="O4100" t="s">
        <v>35354</v>
      </c>
      <c r="P4100">
        <v>86</v>
      </c>
      <c r="Q4100" t="s">
        <v>40691</v>
      </c>
      <c r="R4100">
        <v>153</v>
      </c>
      <c r="S4100" t="s">
        <v>40692</v>
      </c>
      <c r="T4100" t="s">
        <v>30</v>
      </c>
      <c r="U4100" t="s">
        <v>46</v>
      </c>
      <c r="W4100" t="s">
        <v>26009</v>
      </c>
    </row>
    <row r="4101" spans="1:23" x14ac:dyDescent="0.35">
      <c r="A4101">
        <v>979718</v>
      </c>
      <c r="B4101" t="s">
        <v>9550</v>
      </c>
      <c r="C4101" t="str">
        <f>"9781855758100"</f>
        <v>9781855758100</v>
      </c>
      <c r="D4101" t="str">
        <f>"9781782410058"</f>
        <v>9781782410058</v>
      </c>
      <c r="E4101" t="s">
        <v>26010</v>
      </c>
      <c r="F4101" t="s">
        <v>35</v>
      </c>
      <c r="G4101" t="s">
        <v>22174</v>
      </c>
      <c r="H4101" t="s">
        <v>26011</v>
      </c>
      <c r="I4101" s="26">
        <v>40338</v>
      </c>
      <c r="J4101">
        <v>2010</v>
      </c>
      <c r="K4101" t="s">
        <v>26012</v>
      </c>
      <c r="L4101">
        <v>256</v>
      </c>
      <c r="M4101" t="s">
        <v>40693</v>
      </c>
      <c r="N4101">
        <v>1</v>
      </c>
      <c r="Q4101" t="s">
        <v>40694</v>
      </c>
      <c r="R4101">
        <v>303.48</v>
      </c>
      <c r="S4101" t="s">
        <v>9551</v>
      </c>
      <c r="T4101" t="s">
        <v>30</v>
      </c>
      <c r="U4101" t="s">
        <v>26044</v>
      </c>
      <c r="W4101" t="s">
        <v>26009</v>
      </c>
    </row>
    <row r="4102" spans="1:23" x14ac:dyDescent="0.35">
      <c r="A4102">
        <v>979719</v>
      </c>
      <c r="B4102" t="s">
        <v>10140</v>
      </c>
      <c r="C4102" t="str">
        <f>"9781780490335"</f>
        <v>9781780490335</v>
      </c>
      <c r="D4102" t="str">
        <f>"9781782410065"</f>
        <v>9781782410065</v>
      </c>
      <c r="E4102" t="s">
        <v>26010</v>
      </c>
      <c r="F4102" t="s">
        <v>35</v>
      </c>
      <c r="G4102" t="s">
        <v>22174</v>
      </c>
      <c r="H4102" t="s">
        <v>26011</v>
      </c>
      <c r="I4102" s="26">
        <v>41274</v>
      </c>
      <c r="J4102">
        <v>2012</v>
      </c>
      <c r="K4102" t="s">
        <v>26012</v>
      </c>
      <c r="L4102">
        <v>145</v>
      </c>
      <c r="M4102" t="s">
        <v>40695</v>
      </c>
      <c r="N4102">
        <v>1</v>
      </c>
      <c r="Q4102" t="s">
        <v>40696</v>
      </c>
      <c r="R4102">
        <v>616.85230650999995</v>
      </c>
      <c r="S4102" t="s">
        <v>8197</v>
      </c>
      <c r="T4102" t="s">
        <v>30</v>
      </c>
      <c r="U4102" t="s">
        <v>26116</v>
      </c>
      <c r="W4102" t="s">
        <v>26009</v>
      </c>
    </row>
    <row r="4103" spans="1:23" x14ac:dyDescent="0.35">
      <c r="A4103">
        <v>979720</v>
      </c>
      <c r="B4103" t="s">
        <v>40697</v>
      </c>
      <c r="C4103" t="str">
        <f>"9781780491264"</f>
        <v>9781780491264</v>
      </c>
      <c r="D4103" t="str">
        <f>"9781782410072"</f>
        <v>9781782410072</v>
      </c>
      <c r="E4103" t="s">
        <v>26010</v>
      </c>
      <c r="F4103" t="s">
        <v>35</v>
      </c>
      <c r="G4103" t="s">
        <v>22174</v>
      </c>
      <c r="H4103" t="s">
        <v>26011</v>
      </c>
      <c r="I4103" s="26">
        <v>41274</v>
      </c>
      <c r="J4103">
        <v>2012</v>
      </c>
      <c r="K4103" t="s">
        <v>26012</v>
      </c>
      <c r="L4103">
        <v>193</v>
      </c>
      <c r="M4103" t="s">
        <v>40698</v>
      </c>
      <c r="N4103">
        <v>1</v>
      </c>
      <c r="O4103" t="s">
        <v>36633</v>
      </c>
      <c r="Q4103" t="s">
        <v>40699</v>
      </c>
      <c r="R4103">
        <v>616.89170000000001</v>
      </c>
      <c r="S4103" t="s">
        <v>40700</v>
      </c>
      <c r="T4103" t="s">
        <v>30</v>
      </c>
      <c r="U4103" t="s">
        <v>26019</v>
      </c>
      <c r="W4103" t="s">
        <v>26009</v>
      </c>
    </row>
    <row r="4104" spans="1:23" x14ac:dyDescent="0.35">
      <c r="A4104">
        <v>979721</v>
      </c>
      <c r="B4104" t="s">
        <v>8923</v>
      </c>
      <c r="C4104" t="str">
        <f>"9781780490809"</f>
        <v>9781780490809</v>
      </c>
      <c r="D4104" t="str">
        <f>"9781782410027"</f>
        <v>9781782410027</v>
      </c>
      <c r="E4104" t="s">
        <v>26010</v>
      </c>
      <c r="F4104" t="s">
        <v>35</v>
      </c>
      <c r="G4104" t="s">
        <v>22174</v>
      </c>
      <c r="H4104" t="s">
        <v>26011</v>
      </c>
      <c r="I4104" s="26">
        <v>41274</v>
      </c>
      <c r="J4104">
        <v>2012</v>
      </c>
      <c r="K4104" t="s">
        <v>26012</v>
      </c>
      <c r="L4104">
        <v>154</v>
      </c>
      <c r="M4104" t="s">
        <v>36559</v>
      </c>
      <c r="N4104">
        <v>1</v>
      </c>
      <c r="Q4104" t="s">
        <v>40701</v>
      </c>
      <c r="R4104">
        <v>150.19499999999999</v>
      </c>
      <c r="S4104" t="s">
        <v>40702</v>
      </c>
      <c r="T4104" t="s">
        <v>30</v>
      </c>
      <c r="U4104" t="s">
        <v>33231</v>
      </c>
      <c r="W4104" t="s">
        <v>26009</v>
      </c>
    </row>
    <row r="4105" spans="1:23" x14ac:dyDescent="0.35">
      <c r="A4105">
        <v>981492</v>
      </c>
      <c r="B4105" t="s">
        <v>40703</v>
      </c>
      <c r="C4105" t="str">
        <f>""</f>
        <v/>
      </c>
      <c r="D4105" t="str">
        <f>"9781462505500"</f>
        <v>9781462505500</v>
      </c>
      <c r="E4105" t="s">
        <v>30112</v>
      </c>
      <c r="F4105" t="s">
        <v>7420</v>
      </c>
      <c r="G4105" t="s">
        <v>22179</v>
      </c>
      <c r="H4105" t="s">
        <v>26004</v>
      </c>
      <c r="I4105" s="26">
        <v>41114</v>
      </c>
      <c r="J4105">
        <v>2012</v>
      </c>
      <c r="K4105" t="s">
        <v>30113</v>
      </c>
      <c r="L4105">
        <v>369</v>
      </c>
      <c r="M4105" t="s">
        <v>40704</v>
      </c>
      <c r="N4105">
        <v>1</v>
      </c>
      <c r="Q4105" t="s">
        <v>40705</v>
      </c>
      <c r="R4105" t="s">
        <v>40706</v>
      </c>
      <c r="S4105" t="s">
        <v>40707</v>
      </c>
      <c r="T4105" t="s">
        <v>30</v>
      </c>
      <c r="U4105" t="s">
        <v>26019</v>
      </c>
      <c r="W4105" t="s">
        <v>28347</v>
      </c>
    </row>
    <row r="4106" spans="1:23" x14ac:dyDescent="0.35">
      <c r="A4106">
        <v>981493</v>
      </c>
      <c r="B4106" t="s">
        <v>8663</v>
      </c>
      <c r="C4106" t="str">
        <f>"9781462506484"</f>
        <v>9781462506484</v>
      </c>
      <c r="D4106" t="str">
        <f>"9781462506507"</f>
        <v>9781462506507</v>
      </c>
      <c r="E4106" t="s">
        <v>30112</v>
      </c>
      <c r="F4106" t="s">
        <v>7420</v>
      </c>
      <c r="G4106" t="s">
        <v>22179</v>
      </c>
      <c r="H4106" t="s">
        <v>26004</v>
      </c>
      <c r="I4106" s="26">
        <v>41116</v>
      </c>
      <c r="J4106">
        <v>2012</v>
      </c>
      <c r="K4106" t="s">
        <v>30113</v>
      </c>
      <c r="L4106">
        <v>770</v>
      </c>
      <c r="M4106" t="s">
        <v>40708</v>
      </c>
      <c r="N4106">
        <v>1</v>
      </c>
      <c r="Q4106" t="s">
        <v>40709</v>
      </c>
      <c r="R4106">
        <v>152.4</v>
      </c>
      <c r="S4106" t="s">
        <v>40710</v>
      </c>
      <c r="T4106" t="s">
        <v>30</v>
      </c>
      <c r="U4106" t="s">
        <v>46</v>
      </c>
      <c r="W4106" t="s">
        <v>28347</v>
      </c>
    </row>
    <row r="4107" spans="1:23" x14ac:dyDescent="0.35">
      <c r="A4107">
        <v>981494</v>
      </c>
      <c r="B4107" t="s">
        <v>40711</v>
      </c>
      <c r="C4107" t="str">
        <f>"9781462506309"</f>
        <v>9781462506309</v>
      </c>
      <c r="D4107" t="str">
        <f>"9781462506392"</f>
        <v>9781462506392</v>
      </c>
      <c r="E4107" t="s">
        <v>30112</v>
      </c>
      <c r="F4107" t="s">
        <v>7420</v>
      </c>
      <c r="G4107" t="s">
        <v>22179</v>
      </c>
      <c r="H4107" t="s">
        <v>26004</v>
      </c>
      <c r="I4107" s="26">
        <v>41120</v>
      </c>
      <c r="J4107">
        <v>2012</v>
      </c>
      <c r="K4107" t="s">
        <v>30113</v>
      </c>
      <c r="L4107">
        <v>321</v>
      </c>
      <c r="M4107" t="s">
        <v>40712</v>
      </c>
      <c r="N4107">
        <v>1</v>
      </c>
      <c r="Q4107" t="s">
        <v>40713</v>
      </c>
      <c r="R4107" t="s">
        <v>28279</v>
      </c>
      <c r="S4107" t="s">
        <v>9252</v>
      </c>
      <c r="T4107" t="s">
        <v>30</v>
      </c>
      <c r="U4107" t="s">
        <v>26019</v>
      </c>
      <c r="W4107" t="s">
        <v>28347</v>
      </c>
    </row>
    <row r="4108" spans="1:23" x14ac:dyDescent="0.35">
      <c r="A4108">
        <v>981516</v>
      </c>
      <c r="B4108" t="s">
        <v>7683</v>
      </c>
      <c r="C4108" t="str">
        <f>"9781847428608"</f>
        <v>9781847428608</v>
      </c>
      <c r="D4108" t="str">
        <f>"9781447307402"</f>
        <v>9781447307402</v>
      </c>
      <c r="E4108" t="s">
        <v>4632</v>
      </c>
      <c r="F4108" t="s">
        <v>4632</v>
      </c>
      <c r="G4108" t="s">
        <v>24532</v>
      </c>
      <c r="H4108" t="s">
        <v>26011</v>
      </c>
      <c r="I4108" s="26">
        <v>41153</v>
      </c>
      <c r="J4108">
        <v>2012</v>
      </c>
      <c r="K4108" t="s">
        <v>4632</v>
      </c>
      <c r="L4108">
        <v>274</v>
      </c>
      <c r="M4108" t="s">
        <v>40714</v>
      </c>
      <c r="N4108">
        <v>1</v>
      </c>
      <c r="R4108">
        <v>808.06691999999998</v>
      </c>
      <c r="T4108" t="s">
        <v>30</v>
      </c>
      <c r="U4108" t="s">
        <v>366</v>
      </c>
      <c r="W4108" t="s">
        <v>26009</v>
      </c>
    </row>
    <row r="4109" spans="1:23" x14ac:dyDescent="0.35">
      <c r="A4109">
        <v>981599</v>
      </c>
      <c r="B4109" t="s">
        <v>7464</v>
      </c>
      <c r="C4109" t="str">
        <f>"9780415891332"</f>
        <v>9780415891332</v>
      </c>
      <c r="D4109" t="str">
        <f>"9781136789199"</f>
        <v>9781136789199</v>
      </c>
      <c r="E4109" t="s">
        <v>26010</v>
      </c>
      <c r="F4109" t="s">
        <v>35</v>
      </c>
      <c r="G4109" t="s">
        <v>22174</v>
      </c>
      <c r="H4109" t="s">
        <v>26011</v>
      </c>
      <c r="I4109" s="26">
        <v>41011</v>
      </c>
      <c r="J4109">
        <v>2012</v>
      </c>
      <c r="K4109" t="s">
        <v>26012</v>
      </c>
      <c r="L4109">
        <v>329</v>
      </c>
      <c r="M4109" t="s">
        <v>26891</v>
      </c>
      <c r="N4109">
        <v>1</v>
      </c>
      <c r="Q4109" t="s">
        <v>40715</v>
      </c>
      <c r="R4109">
        <v>362.2</v>
      </c>
      <c r="S4109" t="s">
        <v>7465</v>
      </c>
      <c r="T4109" t="s">
        <v>30</v>
      </c>
      <c r="U4109" t="s">
        <v>40716</v>
      </c>
      <c r="W4109" t="s">
        <v>26009</v>
      </c>
    </row>
    <row r="4110" spans="1:23" x14ac:dyDescent="0.35">
      <c r="A4110">
        <v>981634</v>
      </c>
      <c r="B4110" t="s">
        <v>40717</v>
      </c>
      <c r="C4110" t="str">
        <f>"9780415489164"</f>
        <v>9780415489164</v>
      </c>
      <c r="D4110" t="str">
        <f>"9780203157763"</f>
        <v>9780203157763</v>
      </c>
      <c r="E4110" t="s">
        <v>26010</v>
      </c>
      <c r="F4110" t="s">
        <v>35</v>
      </c>
      <c r="G4110" t="s">
        <v>26337</v>
      </c>
      <c r="H4110" t="s">
        <v>26011</v>
      </c>
      <c r="I4110" s="26">
        <v>40813</v>
      </c>
      <c r="J4110">
        <v>2012</v>
      </c>
      <c r="K4110" t="s">
        <v>26012</v>
      </c>
      <c r="L4110">
        <v>217</v>
      </c>
      <c r="M4110" t="s">
        <v>40718</v>
      </c>
      <c r="N4110">
        <v>1</v>
      </c>
      <c r="O4110" t="s">
        <v>26940</v>
      </c>
      <c r="Q4110" t="s">
        <v>40719</v>
      </c>
      <c r="R4110" t="s">
        <v>28101</v>
      </c>
      <c r="S4110" t="s">
        <v>7728</v>
      </c>
      <c r="T4110" t="s">
        <v>30</v>
      </c>
      <c r="U4110" t="s">
        <v>26019</v>
      </c>
      <c r="W4110" t="s">
        <v>26009</v>
      </c>
    </row>
    <row r="4111" spans="1:23" x14ac:dyDescent="0.35">
      <c r="A4111">
        <v>981685</v>
      </c>
      <c r="B4111" t="s">
        <v>40720</v>
      </c>
      <c r="C4111" t="str">
        <f>"9780415517430"</f>
        <v>9780415517430</v>
      </c>
      <c r="D4111" t="str">
        <f>"9781136328992"</f>
        <v>9781136328992</v>
      </c>
      <c r="E4111" t="s">
        <v>26010</v>
      </c>
      <c r="F4111" t="s">
        <v>35</v>
      </c>
      <c r="G4111" t="s">
        <v>22174</v>
      </c>
      <c r="H4111" t="s">
        <v>26011</v>
      </c>
      <c r="I4111" s="26">
        <v>41011</v>
      </c>
      <c r="J4111">
        <v>2012</v>
      </c>
      <c r="K4111" t="s">
        <v>26012</v>
      </c>
      <c r="L4111">
        <v>255</v>
      </c>
      <c r="M4111" t="s">
        <v>40721</v>
      </c>
      <c r="N4111">
        <v>1</v>
      </c>
      <c r="O4111" t="s">
        <v>40722</v>
      </c>
      <c r="Q4111" t="s">
        <v>40723</v>
      </c>
      <c r="R4111">
        <v>305.38896073000001</v>
      </c>
      <c r="S4111" t="s">
        <v>40724</v>
      </c>
      <c r="T4111" t="s">
        <v>30</v>
      </c>
      <c r="U4111" t="s">
        <v>30342</v>
      </c>
      <c r="W4111" t="s">
        <v>26009</v>
      </c>
    </row>
    <row r="4112" spans="1:23" x14ac:dyDescent="0.35">
      <c r="A4112">
        <v>981691</v>
      </c>
      <c r="B4112" t="s">
        <v>40725</v>
      </c>
      <c r="C4112" t="str">
        <f>"9780415618809"</f>
        <v>9780415618809</v>
      </c>
      <c r="D4112" t="str">
        <f>"9780203157848"</f>
        <v>9780203157848</v>
      </c>
      <c r="E4112" t="s">
        <v>26010</v>
      </c>
      <c r="F4112" t="s">
        <v>35</v>
      </c>
      <c r="G4112" t="s">
        <v>22174</v>
      </c>
      <c r="H4112" t="s">
        <v>26011</v>
      </c>
      <c r="I4112" s="26">
        <v>40764</v>
      </c>
      <c r="J4112">
        <v>2011</v>
      </c>
      <c r="K4112" t="s">
        <v>26012</v>
      </c>
      <c r="L4112">
        <v>273</v>
      </c>
      <c r="M4112" t="s">
        <v>40726</v>
      </c>
      <c r="N4112">
        <v>1</v>
      </c>
      <c r="O4112" t="s">
        <v>26344</v>
      </c>
      <c r="Q4112" t="s">
        <v>40727</v>
      </c>
      <c r="R4112" t="s">
        <v>26308</v>
      </c>
      <c r="S4112" t="s">
        <v>40728</v>
      </c>
      <c r="T4112" t="s">
        <v>30</v>
      </c>
      <c r="U4112" t="s">
        <v>46</v>
      </c>
      <c r="W4112" t="s">
        <v>26009</v>
      </c>
    </row>
    <row r="4113" spans="1:23" x14ac:dyDescent="0.35">
      <c r="A4113">
        <v>981722</v>
      </c>
      <c r="B4113" t="s">
        <v>40729</v>
      </c>
      <c r="C4113" t="str">
        <f>"9780415616591"</f>
        <v>9780415616591</v>
      </c>
      <c r="D4113" t="str">
        <f>"9781136480409"</f>
        <v>9781136480409</v>
      </c>
      <c r="E4113" t="s">
        <v>26010</v>
      </c>
      <c r="F4113" t="s">
        <v>35</v>
      </c>
      <c r="G4113" t="s">
        <v>22174</v>
      </c>
      <c r="H4113" t="s">
        <v>26011</v>
      </c>
      <c r="I4113" s="26">
        <v>41032</v>
      </c>
      <c r="J4113">
        <v>2012</v>
      </c>
      <c r="K4113" t="s">
        <v>26012</v>
      </c>
      <c r="L4113">
        <v>209</v>
      </c>
      <c r="M4113" t="s">
        <v>40730</v>
      </c>
      <c r="N4113">
        <v>1</v>
      </c>
      <c r="Q4113" t="s">
        <v>40731</v>
      </c>
      <c r="R4113" t="s">
        <v>40732</v>
      </c>
      <c r="S4113" t="s">
        <v>7891</v>
      </c>
      <c r="T4113" t="s">
        <v>30</v>
      </c>
      <c r="U4113" t="s">
        <v>46</v>
      </c>
      <c r="W4113" t="s">
        <v>26009</v>
      </c>
    </row>
    <row r="4114" spans="1:23" x14ac:dyDescent="0.35">
      <c r="A4114">
        <v>981887</v>
      </c>
      <c r="B4114" t="s">
        <v>40733</v>
      </c>
      <c r="C4114" t="str">
        <f>"9780415670760"</f>
        <v>9780415670760</v>
      </c>
      <c r="D4114" t="str">
        <f>"9781136493140"</f>
        <v>9781136493140</v>
      </c>
      <c r="E4114" t="s">
        <v>26010</v>
      </c>
      <c r="F4114" t="s">
        <v>35</v>
      </c>
      <c r="G4114" t="s">
        <v>22174</v>
      </c>
      <c r="H4114" t="s">
        <v>26011</v>
      </c>
      <c r="I4114" s="26">
        <v>40927</v>
      </c>
      <c r="J4114">
        <v>2012</v>
      </c>
      <c r="K4114" t="s">
        <v>26012</v>
      </c>
      <c r="L4114">
        <v>304</v>
      </c>
      <c r="M4114" t="s">
        <v>40734</v>
      </c>
      <c r="N4114">
        <v>1</v>
      </c>
      <c r="Q4114" t="s">
        <v>40735</v>
      </c>
      <c r="R4114" t="s">
        <v>40736</v>
      </c>
      <c r="S4114" t="s">
        <v>7961</v>
      </c>
      <c r="T4114" t="s">
        <v>30</v>
      </c>
      <c r="U4114" t="s">
        <v>26116</v>
      </c>
      <c r="W4114" t="s">
        <v>26009</v>
      </c>
    </row>
    <row r="4115" spans="1:23" x14ac:dyDescent="0.35">
      <c r="A4115">
        <v>981905</v>
      </c>
      <c r="B4115" t="s">
        <v>40737</v>
      </c>
      <c r="C4115" t="str">
        <f>"9780415500890"</f>
        <v>9780415500890</v>
      </c>
      <c r="D4115" t="str">
        <f>"9781136470202"</f>
        <v>9781136470202</v>
      </c>
      <c r="E4115" t="s">
        <v>26010</v>
      </c>
      <c r="F4115" t="s">
        <v>35</v>
      </c>
      <c r="G4115" t="s">
        <v>22174</v>
      </c>
      <c r="H4115" t="s">
        <v>26011</v>
      </c>
      <c r="I4115" s="26">
        <v>40885</v>
      </c>
      <c r="J4115">
        <v>2012</v>
      </c>
      <c r="K4115" t="s">
        <v>26012</v>
      </c>
      <c r="L4115">
        <v>158</v>
      </c>
      <c r="M4115" t="s">
        <v>40738</v>
      </c>
      <c r="N4115">
        <v>1</v>
      </c>
      <c r="O4115" t="s">
        <v>40331</v>
      </c>
      <c r="Q4115" t="s">
        <v>40739</v>
      </c>
      <c r="R4115">
        <v>364.36</v>
      </c>
      <c r="S4115" t="s">
        <v>40740</v>
      </c>
      <c r="T4115" t="s">
        <v>30</v>
      </c>
      <c r="U4115" t="s">
        <v>26044</v>
      </c>
      <c r="W4115" t="s">
        <v>26009</v>
      </c>
    </row>
    <row r="4116" spans="1:23" x14ac:dyDescent="0.35">
      <c r="A4116">
        <v>981933</v>
      </c>
      <c r="B4116" t="s">
        <v>7831</v>
      </c>
      <c r="C4116" t="str">
        <f>"9780415664608"</f>
        <v>9780415664608</v>
      </c>
      <c r="D4116" t="str">
        <f>"9780203581070"</f>
        <v>9780203581070</v>
      </c>
      <c r="E4116" t="s">
        <v>26010</v>
      </c>
      <c r="F4116" t="s">
        <v>35</v>
      </c>
      <c r="G4116" t="s">
        <v>22174</v>
      </c>
      <c r="H4116" t="s">
        <v>26011</v>
      </c>
      <c r="I4116" s="26">
        <v>40736</v>
      </c>
      <c r="J4116">
        <v>2011</v>
      </c>
      <c r="K4116" t="s">
        <v>26012</v>
      </c>
      <c r="L4116">
        <v>313</v>
      </c>
      <c r="M4116" t="s">
        <v>40741</v>
      </c>
      <c r="N4116">
        <v>1</v>
      </c>
      <c r="Q4116" t="s">
        <v>40742</v>
      </c>
      <c r="R4116">
        <v>150.19499999999999</v>
      </c>
      <c r="S4116" t="s">
        <v>7832</v>
      </c>
      <c r="T4116" t="s">
        <v>30</v>
      </c>
      <c r="U4116" t="s">
        <v>46</v>
      </c>
      <c r="W4116" t="s">
        <v>26009</v>
      </c>
    </row>
    <row r="4117" spans="1:23" x14ac:dyDescent="0.35">
      <c r="A4117">
        <v>981936</v>
      </c>
      <c r="B4117" t="s">
        <v>40743</v>
      </c>
      <c r="C4117" t="str">
        <f>"9780415604918"</f>
        <v>9780415604918</v>
      </c>
      <c r="D4117" t="str">
        <f>"9781136255991"</f>
        <v>9781136255991</v>
      </c>
      <c r="E4117" t="s">
        <v>26010</v>
      </c>
      <c r="F4117" t="s">
        <v>35</v>
      </c>
      <c r="G4117" t="s">
        <v>22174</v>
      </c>
      <c r="H4117" t="s">
        <v>26011</v>
      </c>
      <c r="I4117" s="26">
        <v>41050</v>
      </c>
      <c r="J4117">
        <v>2012</v>
      </c>
      <c r="K4117" t="s">
        <v>26012</v>
      </c>
      <c r="L4117">
        <v>177</v>
      </c>
      <c r="M4117" t="s">
        <v>40744</v>
      </c>
      <c r="N4117">
        <v>1</v>
      </c>
      <c r="Q4117" t="s">
        <v>40745</v>
      </c>
      <c r="R4117">
        <v>155.33199999999999</v>
      </c>
      <c r="S4117" t="s">
        <v>10055</v>
      </c>
      <c r="T4117" t="s">
        <v>30</v>
      </c>
      <c r="U4117" t="s">
        <v>46</v>
      </c>
      <c r="W4117" t="s">
        <v>26009</v>
      </c>
    </row>
    <row r="4118" spans="1:23" x14ac:dyDescent="0.35">
      <c r="A4118">
        <v>981946</v>
      </c>
      <c r="B4118" t="s">
        <v>40746</v>
      </c>
      <c r="C4118" t="str">
        <f>"9780415501286"</f>
        <v>9780415501286</v>
      </c>
      <c r="D4118" t="str">
        <f>"9781136329975"</f>
        <v>9781136329975</v>
      </c>
      <c r="E4118" t="s">
        <v>26010</v>
      </c>
      <c r="F4118" t="s">
        <v>35</v>
      </c>
      <c r="G4118" t="s">
        <v>22174</v>
      </c>
      <c r="H4118" t="s">
        <v>26011</v>
      </c>
      <c r="I4118" s="26">
        <v>41071</v>
      </c>
      <c r="J4118">
        <v>2012</v>
      </c>
      <c r="K4118" t="s">
        <v>26012</v>
      </c>
      <c r="L4118">
        <v>281</v>
      </c>
      <c r="M4118" t="s">
        <v>40747</v>
      </c>
      <c r="N4118">
        <v>1</v>
      </c>
      <c r="Q4118" t="s">
        <v>40748</v>
      </c>
      <c r="R4118" t="s">
        <v>28751</v>
      </c>
      <c r="S4118" t="s">
        <v>8032</v>
      </c>
      <c r="T4118" t="s">
        <v>30</v>
      </c>
      <c r="U4118" t="s">
        <v>26019</v>
      </c>
      <c r="W4118" t="s">
        <v>26009</v>
      </c>
    </row>
    <row r="4119" spans="1:23" x14ac:dyDescent="0.35">
      <c r="A4119">
        <v>981947</v>
      </c>
      <c r="B4119" t="s">
        <v>40749</v>
      </c>
      <c r="C4119" t="str">
        <f>"9780415676083"</f>
        <v>9780415676083</v>
      </c>
      <c r="D4119" t="str">
        <f>"9781136498602"</f>
        <v>9781136498602</v>
      </c>
      <c r="E4119" t="s">
        <v>26010</v>
      </c>
      <c r="F4119" t="s">
        <v>35</v>
      </c>
      <c r="G4119" t="s">
        <v>22174</v>
      </c>
      <c r="H4119" t="s">
        <v>26011</v>
      </c>
      <c r="I4119" s="26">
        <v>40980</v>
      </c>
      <c r="J4119">
        <v>2012</v>
      </c>
      <c r="K4119" t="s">
        <v>26012</v>
      </c>
      <c r="L4119">
        <v>321</v>
      </c>
      <c r="M4119" t="s">
        <v>40750</v>
      </c>
      <c r="N4119">
        <v>1</v>
      </c>
      <c r="Q4119" t="s">
        <v>40751</v>
      </c>
      <c r="R4119" t="s">
        <v>40752</v>
      </c>
      <c r="S4119" t="s">
        <v>40753</v>
      </c>
      <c r="T4119" t="s">
        <v>30</v>
      </c>
      <c r="U4119" t="s">
        <v>34285</v>
      </c>
      <c r="W4119" t="s">
        <v>26009</v>
      </c>
    </row>
    <row r="4120" spans="1:23" x14ac:dyDescent="0.35">
      <c r="A4120">
        <v>981950</v>
      </c>
      <c r="B4120" t="s">
        <v>40754</v>
      </c>
      <c r="C4120" t="str">
        <f>"9780415870993"</f>
        <v>9780415870993</v>
      </c>
      <c r="D4120" t="str">
        <f>"9781135197704"</f>
        <v>9781135197704</v>
      </c>
      <c r="E4120" t="s">
        <v>26010</v>
      </c>
      <c r="F4120" t="s">
        <v>35</v>
      </c>
      <c r="G4120" t="s">
        <v>22174</v>
      </c>
      <c r="H4120" t="s">
        <v>26011</v>
      </c>
      <c r="I4120" s="26">
        <v>41053</v>
      </c>
      <c r="J4120">
        <v>2012</v>
      </c>
      <c r="K4120" t="s">
        <v>26012</v>
      </c>
      <c r="L4120">
        <v>244</v>
      </c>
      <c r="M4120" t="s">
        <v>40755</v>
      </c>
      <c r="N4120">
        <v>1</v>
      </c>
      <c r="O4120" t="s">
        <v>35560</v>
      </c>
      <c r="Q4120" t="s">
        <v>40756</v>
      </c>
      <c r="R4120">
        <v>616.86008100000004</v>
      </c>
      <c r="S4120" t="s">
        <v>9085</v>
      </c>
      <c r="T4120" t="s">
        <v>30</v>
      </c>
      <c r="U4120" t="s">
        <v>28629</v>
      </c>
      <c r="W4120" t="s">
        <v>26009</v>
      </c>
    </row>
    <row r="4121" spans="1:23" x14ac:dyDescent="0.35">
      <c r="A4121">
        <v>982030</v>
      </c>
      <c r="B4121" t="s">
        <v>40757</v>
      </c>
      <c r="C4121" t="str">
        <f>"9781844078059"</f>
        <v>9781844078059</v>
      </c>
      <c r="D4121" t="str">
        <f>"9781136574917"</f>
        <v>9781136574917</v>
      </c>
      <c r="E4121" t="s">
        <v>26010</v>
      </c>
      <c r="F4121" t="s">
        <v>35</v>
      </c>
      <c r="G4121" t="s">
        <v>22174</v>
      </c>
      <c r="H4121" t="s">
        <v>26011</v>
      </c>
      <c r="I4121" s="26">
        <v>40053</v>
      </c>
      <c r="J4121">
        <v>2009</v>
      </c>
      <c r="K4121" t="s">
        <v>26012</v>
      </c>
      <c r="L4121">
        <v>377</v>
      </c>
      <c r="M4121" t="s">
        <v>40758</v>
      </c>
      <c r="N4121">
        <v>1</v>
      </c>
      <c r="Q4121" t="s">
        <v>40759</v>
      </c>
      <c r="R4121">
        <v>302</v>
      </c>
      <c r="S4121" t="s">
        <v>40760</v>
      </c>
      <c r="T4121" t="s">
        <v>30</v>
      </c>
      <c r="U4121" t="s">
        <v>26044</v>
      </c>
      <c r="W4121" t="s">
        <v>26009</v>
      </c>
    </row>
    <row r="4122" spans="1:23" x14ac:dyDescent="0.35">
      <c r="A4122">
        <v>982042</v>
      </c>
      <c r="B4122" t="s">
        <v>40761</v>
      </c>
      <c r="C4122" t="str">
        <f>"9780415510264"</f>
        <v>9780415510264</v>
      </c>
      <c r="D4122" t="str">
        <f>"9781136337819"</f>
        <v>9781136337819</v>
      </c>
      <c r="E4122" t="s">
        <v>26010</v>
      </c>
      <c r="F4122" t="s">
        <v>35</v>
      </c>
      <c r="G4122" t="s">
        <v>22174</v>
      </c>
      <c r="H4122" t="s">
        <v>26011</v>
      </c>
      <c r="I4122" s="26">
        <v>41024</v>
      </c>
      <c r="J4122">
        <v>2012</v>
      </c>
      <c r="K4122" t="s">
        <v>26012</v>
      </c>
      <c r="L4122">
        <v>231</v>
      </c>
      <c r="M4122" t="s">
        <v>40762</v>
      </c>
      <c r="N4122">
        <v>1</v>
      </c>
      <c r="O4122" t="s">
        <v>34840</v>
      </c>
      <c r="Q4122" t="s">
        <v>40763</v>
      </c>
      <c r="R4122">
        <v>302.3</v>
      </c>
      <c r="S4122" t="s">
        <v>8562</v>
      </c>
      <c r="T4122" t="s">
        <v>30</v>
      </c>
      <c r="U4122" t="s">
        <v>26044</v>
      </c>
      <c r="W4122" t="s">
        <v>26009</v>
      </c>
    </row>
    <row r="4123" spans="1:23" x14ac:dyDescent="0.35">
      <c r="A4123">
        <v>982083</v>
      </c>
      <c r="B4123" t="s">
        <v>40764</v>
      </c>
      <c r="C4123" t="str">
        <f>""</f>
        <v/>
      </c>
      <c r="D4123" t="str">
        <f>"9780857454652"</f>
        <v>9780857454652</v>
      </c>
      <c r="E4123" t="s">
        <v>34636</v>
      </c>
      <c r="F4123" t="s">
        <v>7472</v>
      </c>
      <c r="G4123" t="s">
        <v>31126</v>
      </c>
      <c r="H4123" t="s">
        <v>26004</v>
      </c>
      <c r="I4123" s="26">
        <v>41061</v>
      </c>
      <c r="J4123">
        <v>2012</v>
      </c>
      <c r="K4123" t="s">
        <v>7472</v>
      </c>
      <c r="L4123">
        <v>196</v>
      </c>
      <c r="M4123" t="s">
        <v>40765</v>
      </c>
      <c r="N4123">
        <v>1</v>
      </c>
      <c r="O4123" t="s">
        <v>40766</v>
      </c>
      <c r="P4123">
        <v>15</v>
      </c>
      <c r="Q4123" t="s">
        <v>40767</v>
      </c>
      <c r="R4123">
        <v>306.39999999999998</v>
      </c>
      <c r="S4123" t="s">
        <v>40768</v>
      </c>
      <c r="T4123" t="s">
        <v>30</v>
      </c>
      <c r="U4123" t="s">
        <v>26044</v>
      </c>
      <c r="W4123" t="s">
        <v>26009</v>
      </c>
    </row>
    <row r="4124" spans="1:23" x14ac:dyDescent="0.35">
      <c r="A4124">
        <v>982121</v>
      </c>
      <c r="B4124" t="s">
        <v>9506</v>
      </c>
      <c r="C4124" t="str">
        <f>"9780415892070"</f>
        <v>9780415892070</v>
      </c>
      <c r="D4124" t="str">
        <f>"9780203834251"</f>
        <v>9780203834251</v>
      </c>
      <c r="E4124" t="s">
        <v>26010</v>
      </c>
      <c r="F4124" t="s">
        <v>35</v>
      </c>
      <c r="G4124" t="s">
        <v>26201</v>
      </c>
      <c r="H4124" t="s">
        <v>26004</v>
      </c>
      <c r="I4124" s="26">
        <v>40527</v>
      </c>
      <c r="J4124">
        <v>2011</v>
      </c>
      <c r="K4124" t="s">
        <v>26012</v>
      </c>
      <c r="L4124">
        <v>87</v>
      </c>
      <c r="M4124" t="s">
        <v>40769</v>
      </c>
      <c r="N4124">
        <v>1</v>
      </c>
      <c r="O4124" t="s">
        <v>40770</v>
      </c>
      <c r="Q4124" t="s">
        <v>40771</v>
      </c>
      <c r="R4124">
        <v>302.10000000000002</v>
      </c>
      <c r="S4124" t="s">
        <v>8263</v>
      </c>
      <c r="T4124" t="s">
        <v>30</v>
      </c>
      <c r="U4124" t="s">
        <v>26044</v>
      </c>
      <c r="W4124" t="s">
        <v>26009</v>
      </c>
    </row>
    <row r="4125" spans="1:23" x14ac:dyDescent="0.35">
      <c r="A4125">
        <v>982123</v>
      </c>
      <c r="B4125" t="s">
        <v>9921</v>
      </c>
      <c r="C4125" t="str">
        <f>"9780415447065"</f>
        <v>9780415447065</v>
      </c>
      <c r="D4125" t="str">
        <f>"9781136279539"</f>
        <v>9781136279539</v>
      </c>
      <c r="E4125" t="s">
        <v>26010</v>
      </c>
      <c r="F4125" t="s">
        <v>35</v>
      </c>
      <c r="G4125" t="s">
        <v>26128</v>
      </c>
      <c r="H4125" t="s">
        <v>26011</v>
      </c>
      <c r="I4125" s="26">
        <v>41060</v>
      </c>
      <c r="J4125">
        <v>2012</v>
      </c>
      <c r="K4125" t="s">
        <v>26012</v>
      </c>
      <c r="L4125">
        <v>241</v>
      </c>
      <c r="M4125" t="s">
        <v>40772</v>
      </c>
      <c r="N4125">
        <v>1</v>
      </c>
      <c r="O4125" t="s">
        <v>34172</v>
      </c>
      <c r="Q4125" t="s">
        <v>40773</v>
      </c>
      <c r="R4125" t="s">
        <v>40774</v>
      </c>
      <c r="S4125" t="s">
        <v>7879</v>
      </c>
      <c r="T4125" t="s">
        <v>30</v>
      </c>
      <c r="U4125" t="s">
        <v>30031</v>
      </c>
      <c r="W4125" t="s">
        <v>26009</v>
      </c>
    </row>
    <row r="4126" spans="1:23" x14ac:dyDescent="0.35">
      <c r="A4126">
        <v>982125</v>
      </c>
      <c r="B4126" t="s">
        <v>40775</v>
      </c>
      <c r="C4126" t="str">
        <f>"9780415694292"</f>
        <v>9780415694292</v>
      </c>
      <c r="D4126" t="str">
        <f>"9781136515224"</f>
        <v>9781136515224</v>
      </c>
      <c r="E4126" t="s">
        <v>26010</v>
      </c>
      <c r="F4126" t="s">
        <v>35</v>
      </c>
      <c r="G4126" t="s">
        <v>26201</v>
      </c>
      <c r="H4126" t="s">
        <v>26011</v>
      </c>
      <c r="I4126" s="26">
        <v>40885</v>
      </c>
      <c r="J4126">
        <v>2012</v>
      </c>
      <c r="K4126" t="s">
        <v>26012</v>
      </c>
      <c r="L4126">
        <v>221</v>
      </c>
      <c r="M4126" t="s">
        <v>40776</v>
      </c>
      <c r="N4126">
        <v>1</v>
      </c>
      <c r="O4126" t="s">
        <v>40331</v>
      </c>
      <c r="Q4126" t="s">
        <v>40777</v>
      </c>
      <c r="R4126">
        <v>372.6</v>
      </c>
      <c r="S4126" t="s">
        <v>40778</v>
      </c>
      <c r="T4126" t="s">
        <v>30</v>
      </c>
      <c r="U4126" t="s">
        <v>337</v>
      </c>
      <c r="W4126" t="s">
        <v>26009</v>
      </c>
    </row>
    <row r="4127" spans="1:23" x14ac:dyDescent="0.35">
      <c r="A4127">
        <v>982126</v>
      </c>
      <c r="B4127" t="s">
        <v>10007</v>
      </c>
      <c r="C4127" t="str">
        <f>"9780415673297"</f>
        <v>9780415673297</v>
      </c>
      <c r="D4127" t="str">
        <f>"9781136328787"</f>
        <v>9781136328787</v>
      </c>
      <c r="E4127" t="s">
        <v>26010</v>
      </c>
      <c r="F4127" t="s">
        <v>35</v>
      </c>
      <c r="G4127" t="s">
        <v>22174</v>
      </c>
      <c r="H4127" t="s">
        <v>26011</v>
      </c>
      <c r="I4127" s="26">
        <v>41081</v>
      </c>
      <c r="J4127">
        <v>2012</v>
      </c>
      <c r="K4127" t="s">
        <v>26012</v>
      </c>
      <c r="L4127">
        <v>257</v>
      </c>
      <c r="M4127" t="s">
        <v>40779</v>
      </c>
      <c r="N4127">
        <v>1</v>
      </c>
      <c r="O4127" t="s">
        <v>40780</v>
      </c>
      <c r="Q4127" t="s">
        <v>40781</v>
      </c>
      <c r="R4127">
        <v>613.9</v>
      </c>
      <c r="S4127" t="s">
        <v>10008</v>
      </c>
      <c r="T4127" t="s">
        <v>30</v>
      </c>
      <c r="U4127" t="s">
        <v>26094</v>
      </c>
      <c r="W4127" t="s">
        <v>26009</v>
      </c>
    </row>
    <row r="4128" spans="1:23" x14ac:dyDescent="0.35">
      <c r="A4128">
        <v>982133</v>
      </c>
      <c r="B4128" t="s">
        <v>9439</v>
      </c>
      <c r="C4128" t="str">
        <f>"9780415668057"</f>
        <v>9780415668057</v>
      </c>
      <c r="D4128" t="str">
        <f>"9781136323157"</f>
        <v>9781136323157</v>
      </c>
      <c r="E4128" t="s">
        <v>26010</v>
      </c>
      <c r="F4128" t="s">
        <v>35</v>
      </c>
      <c r="G4128" t="s">
        <v>22174</v>
      </c>
      <c r="H4128" t="s">
        <v>26011</v>
      </c>
      <c r="I4128" s="26">
        <v>41102</v>
      </c>
      <c r="J4128">
        <v>2012</v>
      </c>
      <c r="K4128" t="s">
        <v>26012</v>
      </c>
      <c r="L4128">
        <v>197</v>
      </c>
      <c r="M4128" t="s">
        <v>40782</v>
      </c>
      <c r="N4128">
        <v>1</v>
      </c>
      <c r="Q4128" t="s">
        <v>40783</v>
      </c>
      <c r="R4128">
        <v>306.7</v>
      </c>
      <c r="S4128" t="s">
        <v>9440</v>
      </c>
      <c r="T4128" t="s">
        <v>30</v>
      </c>
      <c r="U4128" t="s">
        <v>26044</v>
      </c>
      <c r="W4128" t="s">
        <v>26009</v>
      </c>
    </row>
    <row r="4129" spans="1:23" x14ac:dyDescent="0.35">
      <c r="A4129">
        <v>982528</v>
      </c>
      <c r="B4129" t="s">
        <v>40784</v>
      </c>
      <c r="C4129" t="str">
        <f>"9781848720398"</f>
        <v>9781848720398</v>
      </c>
      <c r="D4129" t="str">
        <f>"9781136475849"</f>
        <v>9781136475849</v>
      </c>
      <c r="E4129" t="s">
        <v>26010</v>
      </c>
      <c r="F4129" t="s">
        <v>35</v>
      </c>
      <c r="G4129" t="s">
        <v>22174</v>
      </c>
      <c r="H4129" t="s">
        <v>26011</v>
      </c>
      <c r="I4129" s="26">
        <v>40833</v>
      </c>
      <c r="J4129">
        <v>2011</v>
      </c>
      <c r="K4129" t="s">
        <v>660</v>
      </c>
      <c r="L4129">
        <v>261</v>
      </c>
      <c r="M4129" t="s">
        <v>40785</v>
      </c>
      <c r="N4129">
        <v>1</v>
      </c>
      <c r="Q4129" t="s">
        <v>40786</v>
      </c>
      <c r="R4129" t="s">
        <v>40787</v>
      </c>
      <c r="S4129" t="s">
        <v>40788</v>
      </c>
      <c r="T4129" t="s">
        <v>30</v>
      </c>
      <c r="U4129" t="s">
        <v>26141</v>
      </c>
      <c r="W4129" t="s">
        <v>26009</v>
      </c>
    </row>
    <row r="4130" spans="1:23" x14ac:dyDescent="0.35">
      <c r="A4130">
        <v>982537</v>
      </c>
      <c r="B4130" t="s">
        <v>40789</v>
      </c>
      <c r="C4130" t="str">
        <f>"9781848720596"</f>
        <v>9781848720596</v>
      </c>
      <c r="D4130" t="str">
        <f>"9781136260438"</f>
        <v>9781136260438</v>
      </c>
      <c r="E4130" t="s">
        <v>26010</v>
      </c>
      <c r="F4130" t="s">
        <v>35</v>
      </c>
      <c r="G4130" t="s">
        <v>22174</v>
      </c>
      <c r="H4130" t="s">
        <v>26011</v>
      </c>
      <c r="I4130" s="26">
        <v>41137</v>
      </c>
      <c r="J4130">
        <v>2012</v>
      </c>
      <c r="K4130" t="s">
        <v>660</v>
      </c>
      <c r="L4130">
        <v>263</v>
      </c>
      <c r="M4130" t="s">
        <v>40790</v>
      </c>
      <c r="N4130">
        <v>1</v>
      </c>
      <c r="O4130" t="s">
        <v>40791</v>
      </c>
      <c r="Q4130" t="s">
        <v>40792</v>
      </c>
      <c r="R4130">
        <v>372.46199999999999</v>
      </c>
      <c r="S4130" t="s">
        <v>40793</v>
      </c>
      <c r="T4130" t="s">
        <v>30</v>
      </c>
      <c r="U4130" t="s">
        <v>337</v>
      </c>
      <c r="W4130" t="s">
        <v>26009</v>
      </c>
    </row>
    <row r="4131" spans="1:23" x14ac:dyDescent="0.35">
      <c r="A4131">
        <v>982538</v>
      </c>
      <c r="B4131" t="s">
        <v>40794</v>
      </c>
      <c r="C4131" t="str">
        <f>"9781848720589"</f>
        <v>9781848720589</v>
      </c>
      <c r="D4131" t="str">
        <f>"9781136260506"</f>
        <v>9781136260506</v>
      </c>
      <c r="E4131" t="s">
        <v>26010</v>
      </c>
      <c r="F4131" t="s">
        <v>35</v>
      </c>
      <c r="G4131" t="s">
        <v>22174</v>
      </c>
      <c r="H4131" t="s">
        <v>26011</v>
      </c>
      <c r="I4131" s="26">
        <v>41132</v>
      </c>
      <c r="J4131">
        <v>2012</v>
      </c>
      <c r="K4131" t="s">
        <v>660</v>
      </c>
      <c r="L4131">
        <v>249</v>
      </c>
      <c r="M4131" t="s">
        <v>40790</v>
      </c>
      <c r="N4131">
        <v>1</v>
      </c>
      <c r="O4131" t="s">
        <v>40791</v>
      </c>
      <c r="Q4131" t="s">
        <v>40795</v>
      </c>
      <c r="R4131">
        <v>418.40190000000001</v>
      </c>
      <c r="S4131" t="s">
        <v>40796</v>
      </c>
      <c r="T4131" t="s">
        <v>30</v>
      </c>
      <c r="U4131" t="s">
        <v>31538</v>
      </c>
      <c r="W4131" t="s">
        <v>26009</v>
      </c>
    </row>
    <row r="4132" spans="1:23" x14ac:dyDescent="0.35">
      <c r="A4132">
        <v>982542</v>
      </c>
      <c r="B4132" t="s">
        <v>40797</v>
      </c>
      <c r="C4132" t="str">
        <f>"9781848729506"</f>
        <v>9781848729506</v>
      </c>
      <c r="D4132" t="str">
        <f>"9781136724589"</f>
        <v>9781136724589</v>
      </c>
      <c r="E4132" t="s">
        <v>26010</v>
      </c>
      <c r="F4132" t="s">
        <v>35</v>
      </c>
      <c r="G4132" t="s">
        <v>22174</v>
      </c>
      <c r="H4132" t="s">
        <v>26011</v>
      </c>
      <c r="I4132" s="26">
        <v>41080</v>
      </c>
      <c r="J4132">
        <v>2013</v>
      </c>
      <c r="K4132" t="s">
        <v>660</v>
      </c>
      <c r="L4132">
        <v>361</v>
      </c>
      <c r="M4132" t="s">
        <v>40798</v>
      </c>
      <c r="N4132">
        <v>1</v>
      </c>
      <c r="Q4132" t="s">
        <v>40799</v>
      </c>
      <c r="R4132">
        <v>153</v>
      </c>
      <c r="S4132" t="s">
        <v>40800</v>
      </c>
      <c r="T4132" t="s">
        <v>30</v>
      </c>
      <c r="U4132" t="s">
        <v>46</v>
      </c>
      <c r="W4132" t="s">
        <v>26009</v>
      </c>
    </row>
    <row r="4133" spans="1:23" x14ac:dyDescent="0.35">
      <c r="A4133">
        <v>982914</v>
      </c>
      <c r="B4133" t="s">
        <v>40801</v>
      </c>
      <c r="C4133" t="str">
        <f>"9781855758803"</f>
        <v>9781855758803</v>
      </c>
      <c r="D4133" t="str">
        <f>"9781782410102"</f>
        <v>9781782410102</v>
      </c>
      <c r="E4133" t="s">
        <v>26010</v>
      </c>
      <c r="F4133" t="s">
        <v>35</v>
      </c>
      <c r="G4133" t="s">
        <v>22174</v>
      </c>
      <c r="H4133" t="s">
        <v>26011</v>
      </c>
      <c r="I4133" s="26">
        <v>40908</v>
      </c>
      <c r="J4133">
        <v>2011</v>
      </c>
      <c r="K4133" t="s">
        <v>26012</v>
      </c>
      <c r="L4133">
        <v>691</v>
      </c>
      <c r="M4133" t="s">
        <v>40802</v>
      </c>
      <c r="N4133">
        <v>1</v>
      </c>
      <c r="Q4133" t="s">
        <v>40803</v>
      </c>
      <c r="R4133">
        <v>612.79999999999995</v>
      </c>
      <c r="S4133" t="s">
        <v>40804</v>
      </c>
      <c r="T4133" t="s">
        <v>30</v>
      </c>
      <c r="U4133" t="s">
        <v>28991</v>
      </c>
      <c r="W4133" t="s">
        <v>26009</v>
      </c>
    </row>
    <row r="4134" spans="1:23" x14ac:dyDescent="0.35">
      <c r="A4134">
        <v>982915</v>
      </c>
      <c r="B4134" t="s">
        <v>40805</v>
      </c>
      <c r="C4134" t="str">
        <f>"9781780490786"</f>
        <v>9781780490786</v>
      </c>
      <c r="D4134" t="str">
        <f>"9781782410119"</f>
        <v>9781782410119</v>
      </c>
      <c r="E4134" t="s">
        <v>26010</v>
      </c>
      <c r="F4134" t="s">
        <v>35</v>
      </c>
      <c r="G4134" t="s">
        <v>22174</v>
      </c>
      <c r="H4134" t="s">
        <v>26011</v>
      </c>
      <c r="I4134" s="26">
        <v>41274</v>
      </c>
      <c r="J4134">
        <v>2012</v>
      </c>
      <c r="K4134" t="s">
        <v>26012</v>
      </c>
      <c r="L4134">
        <v>169</v>
      </c>
      <c r="M4134" t="s">
        <v>40806</v>
      </c>
      <c r="N4134">
        <v>1</v>
      </c>
      <c r="Q4134" t="s">
        <v>40807</v>
      </c>
      <c r="R4134" t="s">
        <v>27110</v>
      </c>
      <c r="S4134" t="s">
        <v>40808</v>
      </c>
      <c r="T4134" t="s">
        <v>30</v>
      </c>
      <c r="U4134" t="s">
        <v>26019</v>
      </c>
      <c r="W4134" t="s">
        <v>26009</v>
      </c>
    </row>
    <row r="4135" spans="1:23" x14ac:dyDescent="0.35">
      <c r="A4135">
        <v>983172</v>
      </c>
      <c r="B4135" t="s">
        <v>40809</v>
      </c>
      <c r="C4135" t="str">
        <f>"9780231119696"</f>
        <v>9780231119696</v>
      </c>
      <c r="D4135" t="str">
        <f>"9780231529341"</f>
        <v>9780231529341</v>
      </c>
      <c r="E4135" t="s">
        <v>31708</v>
      </c>
      <c r="F4135" t="s">
        <v>294</v>
      </c>
      <c r="G4135" t="s">
        <v>22179</v>
      </c>
      <c r="H4135" t="s">
        <v>26004</v>
      </c>
      <c r="I4135" s="26">
        <v>37685</v>
      </c>
      <c r="J4135">
        <v>2012</v>
      </c>
      <c r="K4135" t="s">
        <v>294</v>
      </c>
      <c r="L4135">
        <v>303</v>
      </c>
      <c r="M4135" t="s">
        <v>40810</v>
      </c>
      <c r="Q4135" t="s">
        <v>40811</v>
      </c>
      <c r="R4135">
        <v>155.93700000000001</v>
      </c>
      <c r="S4135" t="s">
        <v>8549</v>
      </c>
      <c r="T4135" t="s">
        <v>30</v>
      </c>
      <c r="U4135" t="s">
        <v>46</v>
      </c>
      <c r="W4135" t="s">
        <v>28347</v>
      </c>
    </row>
    <row r="4136" spans="1:23" x14ac:dyDescent="0.35">
      <c r="A4136">
        <v>987856</v>
      </c>
      <c r="B4136" t="s">
        <v>40812</v>
      </c>
      <c r="C4136" t="str">
        <f>"9780415473590"</f>
        <v>9780415473590</v>
      </c>
      <c r="D4136" t="str">
        <f>"9780203840061"</f>
        <v>9780203840061</v>
      </c>
      <c r="E4136" t="s">
        <v>26010</v>
      </c>
      <c r="F4136" t="s">
        <v>35</v>
      </c>
      <c r="G4136" t="s">
        <v>26201</v>
      </c>
      <c r="H4136" t="s">
        <v>26004</v>
      </c>
      <c r="I4136" s="26">
        <v>40530</v>
      </c>
      <c r="J4136">
        <v>2011</v>
      </c>
      <c r="K4136" t="s">
        <v>26012</v>
      </c>
      <c r="L4136">
        <v>241</v>
      </c>
      <c r="M4136" t="s">
        <v>40813</v>
      </c>
      <c r="N4136">
        <v>1</v>
      </c>
      <c r="O4136" t="s">
        <v>34172</v>
      </c>
      <c r="Q4136" t="s">
        <v>40814</v>
      </c>
      <c r="R4136" t="s">
        <v>26873</v>
      </c>
      <c r="S4136" t="s">
        <v>40815</v>
      </c>
      <c r="T4136" t="s">
        <v>30</v>
      </c>
      <c r="U4136" t="s">
        <v>46</v>
      </c>
      <c r="W4136" t="s">
        <v>26009</v>
      </c>
    </row>
    <row r="4137" spans="1:23" x14ac:dyDescent="0.35">
      <c r="A4137">
        <v>987863</v>
      </c>
      <c r="B4137" t="s">
        <v>9281</v>
      </c>
      <c r="C4137" t="str">
        <f>"9780415471060"</f>
        <v>9780415471060</v>
      </c>
      <c r="D4137" t="str">
        <f>"9780203851982"</f>
        <v>9780203851982</v>
      </c>
      <c r="E4137" t="s">
        <v>26010</v>
      </c>
      <c r="F4137" t="s">
        <v>35</v>
      </c>
      <c r="G4137" t="s">
        <v>22174</v>
      </c>
      <c r="H4137" t="s">
        <v>26011</v>
      </c>
      <c r="I4137" s="26">
        <v>40310</v>
      </c>
      <c r="J4137">
        <v>2009</v>
      </c>
      <c r="K4137" t="s">
        <v>26012</v>
      </c>
      <c r="L4137">
        <v>193</v>
      </c>
      <c r="M4137" t="s">
        <v>40816</v>
      </c>
      <c r="N4137">
        <v>1</v>
      </c>
      <c r="O4137" t="s">
        <v>34850</v>
      </c>
      <c r="Q4137" t="s">
        <v>40817</v>
      </c>
      <c r="R4137">
        <v>179.6</v>
      </c>
      <c r="S4137" t="s">
        <v>9282</v>
      </c>
      <c r="T4137" t="s">
        <v>30</v>
      </c>
      <c r="U4137" t="s">
        <v>152</v>
      </c>
      <c r="W4137" t="s">
        <v>26159</v>
      </c>
    </row>
    <row r="4138" spans="1:23" x14ac:dyDescent="0.35">
      <c r="A4138">
        <v>987893</v>
      </c>
      <c r="B4138" t="s">
        <v>40818</v>
      </c>
      <c r="C4138" t="str">
        <f>"9780415672559"</f>
        <v>9780415672559</v>
      </c>
      <c r="D4138" t="str">
        <f>"9781136504181"</f>
        <v>9781136504181</v>
      </c>
      <c r="E4138" t="s">
        <v>26010</v>
      </c>
      <c r="F4138" t="s">
        <v>35</v>
      </c>
      <c r="G4138" t="s">
        <v>22174</v>
      </c>
      <c r="H4138" t="s">
        <v>26011</v>
      </c>
      <c r="I4138" s="26">
        <v>40947</v>
      </c>
      <c r="J4138">
        <v>2012</v>
      </c>
      <c r="K4138" t="s">
        <v>26012</v>
      </c>
      <c r="L4138">
        <v>297</v>
      </c>
      <c r="M4138" t="s">
        <v>40819</v>
      </c>
      <c r="N4138">
        <v>3</v>
      </c>
      <c r="Q4138" t="s">
        <v>40820</v>
      </c>
      <c r="R4138" t="s">
        <v>29813</v>
      </c>
      <c r="S4138" t="s">
        <v>7814</v>
      </c>
      <c r="T4138" t="s">
        <v>30</v>
      </c>
      <c r="U4138" t="s">
        <v>26019</v>
      </c>
      <c r="W4138" t="s">
        <v>26159</v>
      </c>
    </row>
    <row r="4139" spans="1:23" x14ac:dyDescent="0.35">
      <c r="A4139">
        <v>987988</v>
      </c>
      <c r="B4139" t="s">
        <v>40821</v>
      </c>
      <c r="C4139" t="str">
        <f>"9780415807296"</f>
        <v>9780415807296</v>
      </c>
      <c r="D4139" t="str">
        <f>"9781136518928"</f>
        <v>9781136518928</v>
      </c>
      <c r="E4139" t="s">
        <v>26010</v>
      </c>
      <c r="F4139" t="s">
        <v>35</v>
      </c>
      <c r="G4139" t="s">
        <v>22174</v>
      </c>
      <c r="H4139" t="s">
        <v>26011</v>
      </c>
      <c r="I4139" s="26">
        <v>41103</v>
      </c>
      <c r="J4139">
        <v>2013</v>
      </c>
      <c r="K4139" t="s">
        <v>26012</v>
      </c>
      <c r="L4139">
        <v>193</v>
      </c>
      <c r="M4139" t="s">
        <v>40822</v>
      </c>
      <c r="N4139">
        <v>1</v>
      </c>
      <c r="O4139" t="s">
        <v>26909</v>
      </c>
      <c r="Q4139" t="s">
        <v>40823</v>
      </c>
      <c r="R4139" t="s">
        <v>33676</v>
      </c>
      <c r="S4139" t="s">
        <v>40824</v>
      </c>
      <c r="T4139" t="s">
        <v>30</v>
      </c>
      <c r="U4139" t="s">
        <v>26116</v>
      </c>
      <c r="W4139" t="s">
        <v>26009</v>
      </c>
    </row>
    <row r="4140" spans="1:23" x14ac:dyDescent="0.35">
      <c r="A4140">
        <v>987999</v>
      </c>
      <c r="B4140" t="s">
        <v>40825</v>
      </c>
      <c r="C4140" t="str">
        <f>"9780415606127"</f>
        <v>9780415606127</v>
      </c>
      <c r="D4140" t="str">
        <f>"9781136299612"</f>
        <v>9781136299612</v>
      </c>
      <c r="E4140" t="s">
        <v>26010</v>
      </c>
      <c r="F4140" t="s">
        <v>35</v>
      </c>
      <c r="G4140" t="s">
        <v>22174</v>
      </c>
      <c r="H4140" t="s">
        <v>26011</v>
      </c>
      <c r="I4140" s="26">
        <v>41053</v>
      </c>
      <c r="J4140">
        <v>2012</v>
      </c>
      <c r="K4140" t="s">
        <v>26012</v>
      </c>
      <c r="L4140">
        <v>273</v>
      </c>
      <c r="M4140" t="s">
        <v>40826</v>
      </c>
      <c r="N4140">
        <v>1</v>
      </c>
      <c r="O4140" t="s">
        <v>35802</v>
      </c>
      <c r="Q4140" t="s">
        <v>40827</v>
      </c>
      <c r="R4140" t="s">
        <v>40828</v>
      </c>
      <c r="S4140" t="s">
        <v>9920</v>
      </c>
      <c r="T4140" t="s">
        <v>30</v>
      </c>
      <c r="U4140" t="s">
        <v>26019</v>
      </c>
      <c r="W4140" t="s">
        <v>26009</v>
      </c>
    </row>
    <row r="4141" spans="1:23" x14ac:dyDescent="0.35">
      <c r="A4141">
        <v>988000</v>
      </c>
      <c r="B4141" t="s">
        <v>10076</v>
      </c>
      <c r="C4141" t="str">
        <f>"9780415681605"</f>
        <v>9780415681605</v>
      </c>
      <c r="D4141" t="str">
        <f>"9781136283826"</f>
        <v>9781136283826</v>
      </c>
      <c r="E4141" t="s">
        <v>26010</v>
      </c>
      <c r="F4141" t="s">
        <v>35</v>
      </c>
      <c r="G4141" t="s">
        <v>22174</v>
      </c>
      <c r="H4141" t="s">
        <v>26011</v>
      </c>
      <c r="I4141" s="26">
        <v>41093</v>
      </c>
      <c r="J4141">
        <v>2012</v>
      </c>
      <c r="K4141" t="s">
        <v>26012</v>
      </c>
      <c r="L4141">
        <v>257</v>
      </c>
      <c r="M4141" t="s">
        <v>40829</v>
      </c>
      <c r="N4141">
        <v>1</v>
      </c>
      <c r="O4141" t="s">
        <v>40830</v>
      </c>
      <c r="Q4141" t="s">
        <v>40831</v>
      </c>
      <c r="R4141">
        <v>362.4</v>
      </c>
      <c r="S4141" t="s">
        <v>10077</v>
      </c>
      <c r="T4141" t="s">
        <v>30</v>
      </c>
      <c r="U4141" t="s">
        <v>26228</v>
      </c>
      <c r="W4141" t="s">
        <v>26009</v>
      </c>
    </row>
    <row r="4142" spans="1:23" x14ac:dyDescent="0.35">
      <c r="A4142">
        <v>988003</v>
      </c>
      <c r="B4142" t="s">
        <v>40832</v>
      </c>
      <c r="C4142" t="str">
        <f>"9781848720800"</f>
        <v>9781848720800</v>
      </c>
      <c r="D4142" t="str">
        <f>"9781136245381"</f>
        <v>9781136245381</v>
      </c>
      <c r="E4142" t="s">
        <v>26010</v>
      </c>
      <c r="F4142" t="s">
        <v>35</v>
      </c>
      <c r="G4142" t="s">
        <v>22174</v>
      </c>
      <c r="H4142" t="s">
        <v>26011</v>
      </c>
      <c r="I4142" s="26">
        <v>41137</v>
      </c>
      <c r="J4142">
        <v>2012</v>
      </c>
      <c r="K4142" t="s">
        <v>26012</v>
      </c>
      <c r="L4142">
        <v>161</v>
      </c>
      <c r="M4142" t="s">
        <v>40833</v>
      </c>
      <c r="N4142">
        <v>1</v>
      </c>
      <c r="O4142" t="s">
        <v>40508</v>
      </c>
      <c r="Q4142" t="s">
        <v>40834</v>
      </c>
      <c r="R4142">
        <v>305</v>
      </c>
      <c r="S4142" t="s">
        <v>7507</v>
      </c>
      <c r="T4142" t="s">
        <v>30</v>
      </c>
      <c r="U4142" t="s">
        <v>26044</v>
      </c>
      <c r="W4142" t="s">
        <v>26009</v>
      </c>
    </row>
    <row r="4143" spans="1:23" x14ac:dyDescent="0.35">
      <c r="A4143">
        <v>988004</v>
      </c>
      <c r="B4143" t="s">
        <v>40835</v>
      </c>
      <c r="C4143" t="str">
        <f>"9780415580250"</f>
        <v>9780415580250</v>
      </c>
      <c r="D4143" t="str">
        <f>"9781136243288"</f>
        <v>9781136243288</v>
      </c>
      <c r="E4143" t="s">
        <v>26010</v>
      </c>
      <c r="F4143" t="s">
        <v>35</v>
      </c>
      <c r="G4143" t="s">
        <v>22174</v>
      </c>
      <c r="H4143" t="s">
        <v>26011</v>
      </c>
      <c r="I4143" s="26">
        <v>41131</v>
      </c>
      <c r="J4143">
        <v>2013</v>
      </c>
      <c r="K4143" t="s">
        <v>26012</v>
      </c>
      <c r="L4143">
        <v>201</v>
      </c>
      <c r="M4143" t="s">
        <v>40836</v>
      </c>
      <c r="N4143">
        <v>1</v>
      </c>
      <c r="Q4143" t="s">
        <v>40837</v>
      </c>
      <c r="R4143" t="s">
        <v>29813</v>
      </c>
      <c r="S4143" t="s">
        <v>7445</v>
      </c>
      <c r="T4143" t="s">
        <v>30</v>
      </c>
      <c r="U4143" t="s">
        <v>26019</v>
      </c>
      <c r="W4143" t="s">
        <v>26009</v>
      </c>
    </row>
    <row r="4144" spans="1:23" x14ac:dyDescent="0.35">
      <c r="A4144">
        <v>988014</v>
      </c>
      <c r="B4144" t="s">
        <v>10260</v>
      </c>
      <c r="C4144" t="str">
        <f>"9780415390293"</f>
        <v>9780415390293</v>
      </c>
      <c r="D4144" t="str">
        <f>"9781135137021"</f>
        <v>9781135137021</v>
      </c>
      <c r="E4144" t="s">
        <v>26010</v>
      </c>
      <c r="F4144" t="s">
        <v>35</v>
      </c>
      <c r="G4144" t="s">
        <v>22174</v>
      </c>
      <c r="H4144" t="s">
        <v>26011</v>
      </c>
      <c r="I4144" s="26">
        <v>41073</v>
      </c>
      <c r="J4144">
        <v>2012</v>
      </c>
      <c r="K4144" t="s">
        <v>26012</v>
      </c>
      <c r="L4144">
        <v>225</v>
      </c>
      <c r="M4144" t="s">
        <v>40838</v>
      </c>
      <c r="N4144">
        <v>1</v>
      </c>
      <c r="Q4144" t="s">
        <v>40839</v>
      </c>
      <c r="R4144">
        <v>155.333</v>
      </c>
      <c r="S4144" t="s">
        <v>40840</v>
      </c>
      <c r="T4144" t="s">
        <v>30</v>
      </c>
      <c r="U4144" t="s">
        <v>46</v>
      </c>
      <c r="W4144" t="s">
        <v>26009</v>
      </c>
    </row>
    <row r="4145" spans="1:23" x14ac:dyDescent="0.35">
      <c r="A4145">
        <v>988805</v>
      </c>
      <c r="B4145" t="s">
        <v>40841</v>
      </c>
      <c r="C4145" t="str">
        <f>"9781442213302"</f>
        <v>9781442213302</v>
      </c>
      <c r="D4145" t="str">
        <f>"9781442213326"</f>
        <v>9781442213326</v>
      </c>
      <c r="E4145" t="s">
        <v>33803</v>
      </c>
      <c r="F4145" t="s">
        <v>38</v>
      </c>
      <c r="G4145" t="s">
        <v>33804</v>
      </c>
      <c r="H4145" t="s">
        <v>26004</v>
      </c>
      <c r="I4145" s="26">
        <v>41123</v>
      </c>
      <c r="J4145">
        <v>2012</v>
      </c>
      <c r="K4145" t="s">
        <v>38</v>
      </c>
      <c r="L4145">
        <v>100</v>
      </c>
      <c r="M4145" t="s">
        <v>40842</v>
      </c>
      <c r="N4145">
        <v>1</v>
      </c>
      <c r="Q4145" t="s">
        <v>40843</v>
      </c>
      <c r="R4145" t="s">
        <v>40844</v>
      </c>
      <c r="S4145" t="s">
        <v>40845</v>
      </c>
      <c r="T4145" t="s">
        <v>30</v>
      </c>
      <c r="U4145" t="s">
        <v>46</v>
      </c>
      <c r="W4145" t="s">
        <v>26009</v>
      </c>
    </row>
    <row r="4146" spans="1:23" x14ac:dyDescent="0.35">
      <c r="A4146">
        <v>989168</v>
      </c>
      <c r="B4146" t="s">
        <v>40846</v>
      </c>
      <c r="C4146" t="str">
        <f>"9781107027657"</f>
        <v>9781107027657</v>
      </c>
      <c r="D4146" t="str">
        <f>"9781139555005"</f>
        <v>9781139555005</v>
      </c>
      <c r="E4146" t="s">
        <v>167</v>
      </c>
      <c r="F4146" t="s">
        <v>167</v>
      </c>
      <c r="G4146" t="s">
        <v>22218</v>
      </c>
      <c r="H4146" t="s">
        <v>26011</v>
      </c>
      <c r="I4146" s="26">
        <v>41151</v>
      </c>
      <c r="J4146">
        <v>2012</v>
      </c>
      <c r="K4146" t="s">
        <v>167</v>
      </c>
      <c r="L4146">
        <v>446</v>
      </c>
      <c r="M4146" t="s">
        <v>40847</v>
      </c>
      <c r="N4146">
        <v>1</v>
      </c>
      <c r="Q4146" t="s">
        <v>40848</v>
      </c>
      <c r="R4146" t="s">
        <v>30236</v>
      </c>
      <c r="S4146" t="s">
        <v>40849</v>
      </c>
      <c r="T4146" t="s">
        <v>30</v>
      </c>
      <c r="U4146" t="s">
        <v>5222</v>
      </c>
      <c r="W4146" t="s">
        <v>26020</v>
      </c>
    </row>
    <row r="4147" spans="1:23" x14ac:dyDescent="0.35">
      <c r="A4147">
        <v>989592</v>
      </c>
      <c r="B4147" t="s">
        <v>40850</v>
      </c>
      <c r="C4147" t="str">
        <f>"9781853028854"</f>
        <v>9781853028854</v>
      </c>
      <c r="D4147" t="str">
        <f>"9781846421679"</f>
        <v>9781846421679</v>
      </c>
      <c r="E4147" t="s">
        <v>146</v>
      </c>
      <c r="F4147" t="s">
        <v>146</v>
      </c>
      <c r="G4147" t="s">
        <v>22174</v>
      </c>
      <c r="H4147" t="s">
        <v>26011</v>
      </c>
      <c r="I4147" s="26">
        <v>36937</v>
      </c>
      <c r="J4147">
        <v>2001</v>
      </c>
      <c r="K4147" t="s">
        <v>146</v>
      </c>
      <c r="L4147">
        <v>257</v>
      </c>
      <c r="M4147" t="s">
        <v>40851</v>
      </c>
      <c r="N4147">
        <v>1</v>
      </c>
      <c r="R4147" t="s">
        <v>40852</v>
      </c>
      <c r="S4147" t="s">
        <v>40853</v>
      </c>
      <c r="T4147" t="s">
        <v>30</v>
      </c>
      <c r="U4147" t="s">
        <v>26040</v>
      </c>
      <c r="W4147" t="s">
        <v>28347</v>
      </c>
    </row>
    <row r="4148" spans="1:23" x14ac:dyDescent="0.35">
      <c r="A4148">
        <v>990480</v>
      </c>
      <c r="B4148" t="s">
        <v>40854</v>
      </c>
      <c r="C4148" t="str">
        <f>"9780335243884"</f>
        <v>9780335243884</v>
      </c>
      <c r="D4148" t="str">
        <f>"9780335243891"</f>
        <v>9780335243891</v>
      </c>
      <c r="E4148" t="s">
        <v>29061</v>
      </c>
      <c r="F4148" t="s">
        <v>7477</v>
      </c>
      <c r="G4148" t="s">
        <v>29068</v>
      </c>
      <c r="H4148" t="s">
        <v>26011</v>
      </c>
      <c r="I4148" s="26">
        <v>41091</v>
      </c>
      <c r="J4148">
        <v>2012</v>
      </c>
      <c r="K4148" t="s">
        <v>29063</v>
      </c>
      <c r="L4148">
        <v>258</v>
      </c>
      <c r="M4148" t="s">
        <v>40855</v>
      </c>
      <c r="N4148">
        <v>1</v>
      </c>
      <c r="O4148" t="s">
        <v>29070</v>
      </c>
      <c r="R4148">
        <v>658.31240000000003</v>
      </c>
      <c r="T4148" t="s">
        <v>30</v>
      </c>
      <c r="U4148" t="s">
        <v>30031</v>
      </c>
      <c r="W4148" t="s">
        <v>26009</v>
      </c>
    </row>
    <row r="4149" spans="1:23" x14ac:dyDescent="0.35">
      <c r="A4149">
        <v>990482</v>
      </c>
      <c r="B4149" t="s">
        <v>40856</v>
      </c>
      <c r="C4149" t="str">
        <f>"9780335244454"</f>
        <v>9780335244454</v>
      </c>
      <c r="D4149" t="str">
        <f>"9780335244461"</f>
        <v>9780335244461</v>
      </c>
      <c r="E4149" t="s">
        <v>29061</v>
      </c>
      <c r="F4149" t="s">
        <v>7477</v>
      </c>
      <c r="G4149" t="s">
        <v>29068</v>
      </c>
      <c r="H4149" t="s">
        <v>26011</v>
      </c>
      <c r="I4149" s="26">
        <v>41091</v>
      </c>
      <c r="J4149">
        <v>2012</v>
      </c>
      <c r="K4149" t="s">
        <v>29063</v>
      </c>
      <c r="L4149">
        <v>274</v>
      </c>
      <c r="M4149" t="s">
        <v>40857</v>
      </c>
      <c r="N4149">
        <v>2</v>
      </c>
      <c r="O4149" t="s">
        <v>29070</v>
      </c>
      <c r="R4149" t="s">
        <v>32801</v>
      </c>
      <c r="T4149" t="s">
        <v>30</v>
      </c>
      <c r="U4149" t="s">
        <v>26040</v>
      </c>
      <c r="W4149" t="s">
        <v>26009</v>
      </c>
    </row>
    <row r="4150" spans="1:23" x14ac:dyDescent="0.35">
      <c r="A4150">
        <v>990524</v>
      </c>
      <c r="B4150" t="s">
        <v>7499</v>
      </c>
      <c r="C4150" t="str">
        <f>"9780199596553"</f>
        <v>9780199596553</v>
      </c>
      <c r="D4150" t="str">
        <f>"9780191628689"</f>
        <v>9780191628689</v>
      </c>
      <c r="E4150" t="s">
        <v>371</v>
      </c>
      <c r="F4150" t="s">
        <v>31</v>
      </c>
      <c r="G4150" t="s">
        <v>22242</v>
      </c>
      <c r="H4150" t="s">
        <v>26011</v>
      </c>
      <c r="I4150" s="26">
        <v>40857</v>
      </c>
      <c r="J4150">
        <v>2011</v>
      </c>
      <c r="K4150" t="s">
        <v>31</v>
      </c>
      <c r="L4150">
        <v>184</v>
      </c>
      <c r="M4150" t="s">
        <v>40858</v>
      </c>
      <c r="O4150" t="s">
        <v>40859</v>
      </c>
      <c r="Q4150" t="s">
        <v>40860</v>
      </c>
      <c r="R4150">
        <v>616.83000000000004</v>
      </c>
      <c r="S4150" t="s">
        <v>7500</v>
      </c>
      <c r="T4150" t="s">
        <v>30</v>
      </c>
      <c r="U4150" t="s">
        <v>26019</v>
      </c>
      <c r="W4150" t="s">
        <v>26009</v>
      </c>
    </row>
    <row r="4151" spans="1:23" x14ac:dyDescent="0.35">
      <c r="A4151">
        <v>990634</v>
      </c>
      <c r="B4151" t="s">
        <v>10142</v>
      </c>
      <c r="C4151" t="str">
        <f>"9781442201002"</f>
        <v>9781442201002</v>
      </c>
      <c r="D4151" t="str">
        <f>"9781442201019"</f>
        <v>9781442201019</v>
      </c>
      <c r="E4151" t="s">
        <v>33803</v>
      </c>
      <c r="F4151" t="s">
        <v>38</v>
      </c>
      <c r="G4151" t="s">
        <v>33804</v>
      </c>
      <c r="H4151" t="s">
        <v>26004</v>
      </c>
      <c r="I4151" s="26">
        <v>41130</v>
      </c>
      <c r="J4151">
        <v>2012</v>
      </c>
      <c r="K4151" t="s">
        <v>38</v>
      </c>
      <c r="L4151">
        <v>154</v>
      </c>
      <c r="M4151" t="s">
        <v>40861</v>
      </c>
      <c r="N4151">
        <v>1</v>
      </c>
      <c r="Q4151" t="s">
        <v>40862</v>
      </c>
      <c r="R4151">
        <v>305.8</v>
      </c>
      <c r="S4151" t="s">
        <v>40863</v>
      </c>
      <c r="T4151" t="s">
        <v>30</v>
      </c>
      <c r="U4151" t="s">
        <v>26044</v>
      </c>
      <c r="W4151" t="s">
        <v>26009</v>
      </c>
    </row>
    <row r="4152" spans="1:23" x14ac:dyDescent="0.35">
      <c r="A4152">
        <v>990635</v>
      </c>
      <c r="B4152" t="s">
        <v>40864</v>
      </c>
      <c r="C4152" t="str">
        <f>"9781442213371"</f>
        <v>9781442213371</v>
      </c>
      <c r="D4152" t="str">
        <f>"9781442213388"</f>
        <v>9781442213388</v>
      </c>
      <c r="E4152" t="s">
        <v>33803</v>
      </c>
      <c r="F4152" t="s">
        <v>38</v>
      </c>
      <c r="G4152" t="s">
        <v>33804</v>
      </c>
      <c r="H4152" t="s">
        <v>26004</v>
      </c>
      <c r="I4152" s="26">
        <v>41120</v>
      </c>
      <c r="J4152">
        <v>2012</v>
      </c>
      <c r="K4152" t="s">
        <v>38</v>
      </c>
      <c r="L4152">
        <v>181</v>
      </c>
      <c r="M4152" t="s">
        <v>40865</v>
      </c>
      <c r="N4152">
        <v>1</v>
      </c>
      <c r="Q4152" t="s">
        <v>40866</v>
      </c>
      <c r="R4152">
        <v>302.3</v>
      </c>
      <c r="S4152" t="s">
        <v>40867</v>
      </c>
      <c r="T4152" t="s">
        <v>30</v>
      </c>
      <c r="U4152" t="s">
        <v>26044</v>
      </c>
      <c r="W4152" t="s">
        <v>26009</v>
      </c>
    </row>
    <row r="4153" spans="1:23" x14ac:dyDescent="0.35">
      <c r="A4153">
        <v>990873</v>
      </c>
      <c r="B4153" t="s">
        <v>9971</v>
      </c>
      <c r="C4153" t="str">
        <f>"9781855751019"</f>
        <v>9781855751019</v>
      </c>
      <c r="D4153" t="str">
        <f>"9781782410133"</f>
        <v>9781782410133</v>
      </c>
      <c r="E4153" t="s">
        <v>26010</v>
      </c>
      <c r="F4153" t="s">
        <v>35</v>
      </c>
      <c r="G4153" t="s">
        <v>22174</v>
      </c>
      <c r="H4153" t="s">
        <v>26011</v>
      </c>
      <c r="I4153" s="26">
        <v>34699</v>
      </c>
      <c r="J4153">
        <v>1994</v>
      </c>
      <c r="K4153" t="s">
        <v>26012</v>
      </c>
      <c r="L4153">
        <v>241</v>
      </c>
      <c r="M4153" t="s">
        <v>37938</v>
      </c>
      <c r="N4153">
        <v>1</v>
      </c>
      <c r="Q4153" t="s">
        <v>40868</v>
      </c>
      <c r="R4153">
        <v>616.89170000000001</v>
      </c>
      <c r="S4153" t="s">
        <v>40869</v>
      </c>
      <c r="T4153" t="s">
        <v>30</v>
      </c>
      <c r="U4153" t="s">
        <v>26019</v>
      </c>
      <c r="W4153" t="s">
        <v>26009</v>
      </c>
    </row>
    <row r="4154" spans="1:23" x14ac:dyDescent="0.35">
      <c r="A4154">
        <v>991205</v>
      </c>
      <c r="B4154" t="s">
        <v>40870</v>
      </c>
      <c r="C4154" t="str">
        <f>"9780231101691"</f>
        <v>9780231101691</v>
      </c>
      <c r="D4154" t="str">
        <f>"9780585041476"</f>
        <v>9780585041476</v>
      </c>
      <c r="E4154" t="s">
        <v>31708</v>
      </c>
      <c r="F4154" t="s">
        <v>294</v>
      </c>
      <c r="G4154" t="s">
        <v>22179</v>
      </c>
      <c r="H4154" t="s">
        <v>26004</v>
      </c>
      <c r="I4154" s="26">
        <v>35416</v>
      </c>
      <c r="J4154">
        <v>2005</v>
      </c>
      <c r="K4154" t="s">
        <v>294</v>
      </c>
      <c r="L4154">
        <v>207</v>
      </c>
      <c r="M4154" t="s">
        <v>40871</v>
      </c>
      <c r="O4154" t="s">
        <v>40872</v>
      </c>
      <c r="Q4154" t="s">
        <v>40873</v>
      </c>
      <c r="R4154">
        <v>150.19</v>
      </c>
      <c r="S4154" t="s">
        <v>40874</v>
      </c>
      <c r="T4154" t="s">
        <v>30</v>
      </c>
      <c r="U4154" t="s">
        <v>46</v>
      </c>
      <c r="W4154" t="s">
        <v>28347</v>
      </c>
    </row>
    <row r="4155" spans="1:23" x14ac:dyDescent="0.35">
      <c r="A4155">
        <v>995652</v>
      </c>
      <c r="B4155" t="s">
        <v>40875</v>
      </c>
      <c r="C4155" t="str">
        <f>"9780415693929"</f>
        <v>9780415693929</v>
      </c>
      <c r="D4155" t="str">
        <f>"9781136244223"</f>
        <v>9781136244223</v>
      </c>
      <c r="E4155" t="s">
        <v>26010</v>
      </c>
      <c r="F4155" t="s">
        <v>35</v>
      </c>
      <c r="G4155" t="s">
        <v>22174</v>
      </c>
      <c r="H4155" t="s">
        <v>26011</v>
      </c>
      <c r="I4155" s="26">
        <v>41073</v>
      </c>
      <c r="J4155">
        <v>2012</v>
      </c>
      <c r="K4155" t="s">
        <v>26012</v>
      </c>
      <c r="L4155">
        <v>177</v>
      </c>
      <c r="M4155" t="s">
        <v>40876</v>
      </c>
      <c r="N4155">
        <v>1</v>
      </c>
      <c r="O4155" t="s">
        <v>40877</v>
      </c>
      <c r="Q4155" t="s">
        <v>40878</v>
      </c>
      <c r="R4155">
        <v>150.19499999999999</v>
      </c>
      <c r="S4155" t="s">
        <v>8685</v>
      </c>
      <c r="T4155" t="s">
        <v>30</v>
      </c>
      <c r="U4155" t="s">
        <v>46</v>
      </c>
      <c r="W4155" t="s">
        <v>26009</v>
      </c>
    </row>
    <row r="4156" spans="1:23" x14ac:dyDescent="0.35">
      <c r="A4156">
        <v>995727</v>
      </c>
      <c r="B4156" t="s">
        <v>40879</v>
      </c>
      <c r="C4156" t="str">
        <f>"9780415615112"</f>
        <v>9780415615112</v>
      </c>
      <c r="D4156" t="str">
        <f>"9780203830406"</f>
        <v>9780203830406</v>
      </c>
      <c r="E4156" t="s">
        <v>26010</v>
      </c>
      <c r="F4156" t="s">
        <v>35</v>
      </c>
      <c r="G4156" t="s">
        <v>22174</v>
      </c>
      <c r="H4156" t="s">
        <v>26011</v>
      </c>
      <c r="I4156" s="26">
        <v>40689</v>
      </c>
      <c r="J4156">
        <v>2011</v>
      </c>
      <c r="K4156" t="s">
        <v>26012</v>
      </c>
      <c r="L4156">
        <v>236</v>
      </c>
      <c r="M4156" t="s">
        <v>40880</v>
      </c>
      <c r="N4156">
        <v>1</v>
      </c>
      <c r="Q4156" t="s">
        <v>40881</v>
      </c>
      <c r="R4156" t="s">
        <v>40882</v>
      </c>
      <c r="S4156" t="s">
        <v>7937</v>
      </c>
      <c r="T4156" t="s">
        <v>30</v>
      </c>
      <c r="U4156" t="s">
        <v>26044</v>
      </c>
      <c r="W4156" t="s">
        <v>26009</v>
      </c>
    </row>
    <row r="4157" spans="1:23" x14ac:dyDescent="0.35">
      <c r="A4157">
        <v>996217</v>
      </c>
      <c r="B4157" t="s">
        <v>8671</v>
      </c>
      <c r="C4157" t="str">
        <f>"9781412940306"</f>
        <v>9781412940306</v>
      </c>
      <c r="D4157" t="str">
        <f>"9781452216386"</f>
        <v>9781452216386</v>
      </c>
      <c r="E4157" t="s">
        <v>40883</v>
      </c>
      <c r="F4157" t="s">
        <v>7434</v>
      </c>
      <c r="G4157" t="s">
        <v>22194</v>
      </c>
      <c r="H4157" t="s">
        <v>26004</v>
      </c>
      <c r="I4157" s="26">
        <v>39358</v>
      </c>
      <c r="J4157">
        <v>2007</v>
      </c>
      <c r="K4157" t="s">
        <v>7434</v>
      </c>
      <c r="L4157">
        <v>473</v>
      </c>
      <c r="M4157" t="s">
        <v>40884</v>
      </c>
      <c r="N4157">
        <v>1</v>
      </c>
      <c r="Q4157" t="s">
        <v>40885</v>
      </c>
      <c r="R4157">
        <v>300.7</v>
      </c>
      <c r="S4157" t="s">
        <v>7667</v>
      </c>
      <c r="T4157" t="s">
        <v>30</v>
      </c>
      <c r="U4157" t="s">
        <v>26170</v>
      </c>
      <c r="W4157" t="s">
        <v>26009</v>
      </c>
    </row>
    <row r="4158" spans="1:23" x14ac:dyDescent="0.35">
      <c r="A4158">
        <v>996219</v>
      </c>
      <c r="B4158" t="s">
        <v>40886</v>
      </c>
      <c r="C4158" t="str">
        <f>"9780761923527"</f>
        <v>9780761923527</v>
      </c>
      <c r="D4158" t="str">
        <f>"9781452216003"</f>
        <v>9781452216003</v>
      </c>
      <c r="E4158" t="s">
        <v>40883</v>
      </c>
      <c r="F4158" t="s">
        <v>7434</v>
      </c>
      <c r="G4158" t="s">
        <v>22194</v>
      </c>
      <c r="H4158" t="s">
        <v>26004</v>
      </c>
      <c r="I4158" s="26">
        <v>37474</v>
      </c>
      <c r="J4158">
        <v>2002</v>
      </c>
      <c r="K4158" t="s">
        <v>7434</v>
      </c>
      <c r="L4158">
        <v>201</v>
      </c>
      <c r="M4158" t="s">
        <v>40887</v>
      </c>
      <c r="N4158">
        <v>1</v>
      </c>
      <c r="O4158" t="s">
        <v>40888</v>
      </c>
      <c r="R4158" t="s">
        <v>40889</v>
      </c>
      <c r="T4158" t="s">
        <v>30</v>
      </c>
      <c r="U4158" t="s">
        <v>26044</v>
      </c>
      <c r="W4158" t="s">
        <v>26009</v>
      </c>
    </row>
    <row r="4159" spans="1:23" x14ac:dyDescent="0.35">
      <c r="A4159">
        <v>996227</v>
      </c>
      <c r="B4159" t="s">
        <v>40890</v>
      </c>
      <c r="C4159" t="str">
        <f>"9781412913652"</f>
        <v>9781412913652</v>
      </c>
      <c r="D4159" t="str">
        <f>"9781452216270"</f>
        <v>9781452216270</v>
      </c>
      <c r="E4159" t="s">
        <v>40883</v>
      </c>
      <c r="F4159" t="s">
        <v>7434</v>
      </c>
      <c r="G4159" t="s">
        <v>22194</v>
      </c>
      <c r="H4159" t="s">
        <v>26004</v>
      </c>
      <c r="I4159" s="26">
        <v>39687</v>
      </c>
      <c r="J4159">
        <v>2009</v>
      </c>
      <c r="K4159" t="s">
        <v>7434</v>
      </c>
      <c r="L4159">
        <v>433</v>
      </c>
      <c r="M4159" t="s">
        <v>40891</v>
      </c>
      <c r="N4159">
        <v>1</v>
      </c>
      <c r="Q4159" t="s">
        <v>40892</v>
      </c>
      <c r="R4159">
        <v>616.89139999999998</v>
      </c>
      <c r="S4159" t="s">
        <v>33635</v>
      </c>
      <c r="T4159" t="s">
        <v>30</v>
      </c>
      <c r="U4159" t="s">
        <v>26116</v>
      </c>
      <c r="W4159" t="s">
        <v>26009</v>
      </c>
    </row>
    <row r="4160" spans="1:23" x14ac:dyDescent="0.35">
      <c r="A4160">
        <v>996229</v>
      </c>
      <c r="B4160" t="s">
        <v>40893</v>
      </c>
      <c r="C4160" t="str">
        <f>"9780761908982"</f>
        <v>9780761908982</v>
      </c>
      <c r="D4160" t="str">
        <f>"9781452216263"</f>
        <v>9781452216263</v>
      </c>
      <c r="E4160" t="s">
        <v>40883</v>
      </c>
      <c r="F4160" t="s">
        <v>7434</v>
      </c>
      <c r="G4160" t="s">
        <v>22194</v>
      </c>
      <c r="H4160" t="s">
        <v>26004</v>
      </c>
      <c r="I4160" s="26">
        <v>35832</v>
      </c>
      <c r="J4160">
        <v>1998</v>
      </c>
      <c r="K4160" t="s">
        <v>7434</v>
      </c>
      <c r="L4160">
        <v>127</v>
      </c>
      <c r="M4160" t="s">
        <v>40894</v>
      </c>
      <c r="N4160">
        <v>1</v>
      </c>
      <c r="O4160" t="s">
        <v>40895</v>
      </c>
      <c r="R4160" t="s">
        <v>40896</v>
      </c>
      <c r="T4160" t="s">
        <v>30</v>
      </c>
      <c r="U4160" t="s">
        <v>26040</v>
      </c>
      <c r="W4160" t="s">
        <v>26009</v>
      </c>
    </row>
    <row r="4161" spans="1:23" x14ac:dyDescent="0.35">
      <c r="A4161">
        <v>996236</v>
      </c>
      <c r="B4161" t="s">
        <v>40897</v>
      </c>
      <c r="C4161" t="str">
        <f>"9780761930211"</f>
        <v>9780761930211</v>
      </c>
      <c r="D4161" t="str">
        <f>"9781452209050"</f>
        <v>9781452209050</v>
      </c>
      <c r="E4161" t="s">
        <v>40883</v>
      </c>
      <c r="F4161" t="s">
        <v>7434</v>
      </c>
      <c r="G4161" t="s">
        <v>22194</v>
      </c>
      <c r="H4161" t="s">
        <v>26004</v>
      </c>
      <c r="I4161" s="26">
        <v>38603</v>
      </c>
      <c r="J4161">
        <v>2006</v>
      </c>
      <c r="K4161" t="s">
        <v>7434</v>
      </c>
      <c r="L4161">
        <v>537</v>
      </c>
      <c r="M4161" t="s">
        <v>40898</v>
      </c>
      <c r="N4161">
        <v>2</v>
      </c>
      <c r="R4161" t="s">
        <v>28364</v>
      </c>
      <c r="T4161" t="s">
        <v>30</v>
      </c>
      <c r="U4161" t="s">
        <v>46</v>
      </c>
      <c r="W4161" t="s">
        <v>26009</v>
      </c>
    </row>
    <row r="4162" spans="1:23" x14ac:dyDescent="0.35">
      <c r="A4162">
        <v>996265</v>
      </c>
      <c r="B4162" t="s">
        <v>40899</v>
      </c>
      <c r="C4162" t="str">
        <f>"9780761906889"</f>
        <v>9780761906889</v>
      </c>
      <c r="D4162" t="str">
        <f>"9781452221489"</f>
        <v>9781452221489</v>
      </c>
      <c r="E4162" t="s">
        <v>40883</v>
      </c>
      <c r="F4162" t="s">
        <v>7434</v>
      </c>
      <c r="G4162" t="s">
        <v>22194</v>
      </c>
      <c r="H4162" t="s">
        <v>26004</v>
      </c>
      <c r="I4162" s="26">
        <v>36444</v>
      </c>
      <c r="J4162">
        <v>1999</v>
      </c>
      <c r="K4162" t="s">
        <v>7434</v>
      </c>
      <c r="L4162">
        <v>248</v>
      </c>
      <c r="M4162" t="s">
        <v>40900</v>
      </c>
      <c r="N4162">
        <v>1</v>
      </c>
      <c r="R4162" t="s">
        <v>40901</v>
      </c>
      <c r="T4162" t="s">
        <v>30</v>
      </c>
      <c r="U4162" t="s">
        <v>11247</v>
      </c>
      <c r="W4162" t="s">
        <v>26009</v>
      </c>
    </row>
    <row r="4163" spans="1:23" x14ac:dyDescent="0.35">
      <c r="A4163">
        <v>996266</v>
      </c>
      <c r="B4163" t="s">
        <v>40902</v>
      </c>
      <c r="C4163" t="str">
        <f>"9780761922377"</f>
        <v>9780761922377</v>
      </c>
      <c r="D4163" t="str">
        <f>"9781452221267"</f>
        <v>9781452221267</v>
      </c>
      <c r="E4163" t="s">
        <v>40883</v>
      </c>
      <c r="F4163" t="s">
        <v>7434</v>
      </c>
      <c r="G4163" t="s">
        <v>22194</v>
      </c>
      <c r="H4163" t="s">
        <v>26004</v>
      </c>
      <c r="I4163" s="26">
        <v>36812</v>
      </c>
      <c r="J4163">
        <v>2001</v>
      </c>
      <c r="K4163" t="s">
        <v>7434</v>
      </c>
      <c r="L4163">
        <v>201</v>
      </c>
      <c r="M4163" t="s">
        <v>40903</v>
      </c>
      <c r="N4163">
        <v>1</v>
      </c>
      <c r="O4163" t="s">
        <v>40895</v>
      </c>
      <c r="R4163" t="s">
        <v>29630</v>
      </c>
      <c r="T4163" t="s">
        <v>30</v>
      </c>
      <c r="U4163" t="s">
        <v>26040</v>
      </c>
      <c r="W4163" t="s">
        <v>26009</v>
      </c>
    </row>
    <row r="4164" spans="1:23" x14ac:dyDescent="0.35">
      <c r="A4164">
        <v>996274</v>
      </c>
      <c r="B4164" t="s">
        <v>40904</v>
      </c>
      <c r="C4164" t="str">
        <f>"9780761921134"</f>
        <v>9780761921134</v>
      </c>
      <c r="D4164" t="str">
        <f>"9781452212289"</f>
        <v>9781452212289</v>
      </c>
      <c r="E4164" t="s">
        <v>40883</v>
      </c>
      <c r="F4164" t="s">
        <v>7434</v>
      </c>
      <c r="G4164" t="s">
        <v>22194</v>
      </c>
      <c r="H4164" t="s">
        <v>26004</v>
      </c>
      <c r="I4164" s="26">
        <v>37356</v>
      </c>
      <c r="J4164">
        <v>2002</v>
      </c>
      <c r="K4164" t="s">
        <v>7434</v>
      </c>
      <c r="L4164">
        <v>257</v>
      </c>
      <c r="M4164" t="s">
        <v>40905</v>
      </c>
      <c r="N4164">
        <v>1</v>
      </c>
      <c r="T4164" t="s">
        <v>30</v>
      </c>
      <c r="U4164" t="s">
        <v>46</v>
      </c>
      <c r="W4164" t="s">
        <v>26009</v>
      </c>
    </row>
    <row r="4165" spans="1:23" x14ac:dyDescent="0.35">
      <c r="A4165">
        <v>996280</v>
      </c>
      <c r="B4165" t="s">
        <v>40906</v>
      </c>
      <c r="C4165" t="str">
        <f>"9781412941051"</f>
        <v>9781412941051</v>
      </c>
      <c r="D4165" t="str">
        <f>"9781452214955"</f>
        <v>9781452214955</v>
      </c>
      <c r="E4165" t="s">
        <v>40883</v>
      </c>
      <c r="F4165" t="s">
        <v>7434</v>
      </c>
      <c r="G4165" t="s">
        <v>22194</v>
      </c>
      <c r="H4165" t="s">
        <v>26004</v>
      </c>
      <c r="I4165" s="26">
        <v>39527</v>
      </c>
      <c r="J4165">
        <v>2008</v>
      </c>
      <c r="K4165" t="s">
        <v>7434</v>
      </c>
      <c r="L4165">
        <v>745</v>
      </c>
      <c r="M4165" t="s">
        <v>40907</v>
      </c>
      <c r="N4165">
        <v>1</v>
      </c>
      <c r="R4165" t="s">
        <v>40908</v>
      </c>
      <c r="S4165" t="s">
        <v>40909</v>
      </c>
      <c r="T4165" t="s">
        <v>30</v>
      </c>
      <c r="U4165" t="s">
        <v>46</v>
      </c>
      <c r="W4165" t="s">
        <v>26009</v>
      </c>
    </row>
    <row r="4166" spans="1:23" x14ac:dyDescent="0.35">
      <c r="A4166">
        <v>996282</v>
      </c>
      <c r="B4166" t="s">
        <v>40910</v>
      </c>
      <c r="C4166" t="str">
        <f>"9781412938679"</f>
        <v>9781412938679</v>
      </c>
      <c r="D4166" t="str">
        <f>"9781452214238"</f>
        <v>9781452214238</v>
      </c>
      <c r="E4166" t="s">
        <v>40883</v>
      </c>
      <c r="F4166" t="s">
        <v>7434</v>
      </c>
      <c r="G4166" t="s">
        <v>22194</v>
      </c>
      <c r="H4166" t="s">
        <v>26004</v>
      </c>
      <c r="I4166" s="26">
        <v>39218</v>
      </c>
      <c r="J4166">
        <v>2008</v>
      </c>
      <c r="K4166" t="s">
        <v>7434</v>
      </c>
      <c r="L4166">
        <v>409</v>
      </c>
      <c r="M4166" t="s">
        <v>40911</v>
      </c>
      <c r="N4166">
        <v>1</v>
      </c>
      <c r="R4166">
        <v>150</v>
      </c>
      <c r="T4166" t="s">
        <v>30</v>
      </c>
      <c r="U4166" t="s">
        <v>46</v>
      </c>
      <c r="W4166" t="s">
        <v>26009</v>
      </c>
    </row>
    <row r="4167" spans="1:23" x14ac:dyDescent="0.35">
      <c r="A4167">
        <v>996290</v>
      </c>
      <c r="B4167" t="s">
        <v>40912</v>
      </c>
      <c r="C4167" t="str">
        <f>"9781412972512"</f>
        <v>9781412972512</v>
      </c>
      <c r="D4167" t="str">
        <f>"9781452206721"</f>
        <v>9781452206721</v>
      </c>
      <c r="E4167" t="s">
        <v>40883</v>
      </c>
      <c r="F4167" t="s">
        <v>7434</v>
      </c>
      <c r="G4167" t="s">
        <v>22194</v>
      </c>
      <c r="H4167" t="s">
        <v>26004</v>
      </c>
      <c r="I4167" s="26">
        <v>40421</v>
      </c>
      <c r="J4167">
        <v>2011</v>
      </c>
      <c r="K4167" t="s">
        <v>7434</v>
      </c>
      <c r="L4167">
        <v>321</v>
      </c>
      <c r="M4167" t="s">
        <v>40913</v>
      </c>
      <c r="N4167">
        <v>1</v>
      </c>
      <c r="R4167" t="s">
        <v>40914</v>
      </c>
      <c r="T4167" t="s">
        <v>30</v>
      </c>
      <c r="U4167" t="s">
        <v>46</v>
      </c>
      <c r="W4167" t="s">
        <v>26009</v>
      </c>
    </row>
    <row r="4168" spans="1:23" x14ac:dyDescent="0.35">
      <c r="A4168">
        <v>996302</v>
      </c>
      <c r="B4168" t="s">
        <v>40915</v>
      </c>
      <c r="C4168" t="str">
        <f>"9780761929468"</f>
        <v>9780761929468</v>
      </c>
      <c r="D4168" t="str">
        <f>"9781452222110"</f>
        <v>9781452222110</v>
      </c>
      <c r="E4168" t="s">
        <v>40883</v>
      </c>
      <c r="F4168" t="s">
        <v>7434</v>
      </c>
      <c r="G4168" t="s">
        <v>22194</v>
      </c>
      <c r="H4168" t="s">
        <v>26004</v>
      </c>
      <c r="I4168" s="26">
        <v>38265</v>
      </c>
      <c r="J4168">
        <v>2005</v>
      </c>
      <c r="K4168" t="s">
        <v>7434</v>
      </c>
      <c r="L4168">
        <v>233</v>
      </c>
      <c r="M4168" t="s">
        <v>40916</v>
      </c>
      <c r="N4168">
        <v>1</v>
      </c>
      <c r="R4168" t="s">
        <v>28570</v>
      </c>
      <c r="T4168" t="s">
        <v>30</v>
      </c>
      <c r="U4168" t="s">
        <v>26040</v>
      </c>
      <c r="W4168" t="s">
        <v>26009</v>
      </c>
    </row>
    <row r="4169" spans="1:23" x14ac:dyDescent="0.35">
      <c r="A4169">
        <v>996321</v>
      </c>
      <c r="B4169" t="s">
        <v>40917</v>
      </c>
      <c r="C4169" t="str">
        <f>"9780761911883"</f>
        <v>9780761911883</v>
      </c>
      <c r="D4169" t="str">
        <f>"9781452214887"</f>
        <v>9781452214887</v>
      </c>
      <c r="E4169" t="s">
        <v>40883</v>
      </c>
      <c r="F4169" t="s">
        <v>7434</v>
      </c>
      <c r="G4169" t="s">
        <v>22194</v>
      </c>
      <c r="H4169" t="s">
        <v>26004</v>
      </c>
      <c r="I4169" s="26">
        <v>37644</v>
      </c>
      <c r="J4169">
        <v>2003</v>
      </c>
      <c r="K4169" t="s">
        <v>7434</v>
      </c>
      <c r="L4169">
        <v>489</v>
      </c>
      <c r="M4169" t="s">
        <v>40918</v>
      </c>
      <c r="N4169">
        <v>1</v>
      </c>
      <c r="R4169" t="s">
        <v>40919</v>
      </c>
      <c r="T4169" t="s">
        <v>30</v>
      </c>
      <c r="U4169" t="s">
        <v>152</v>
      </c>
      <c r="W4169" t="s">
        <v>26009</v>
      </c>
    </row>
    <row r="4170" spans="1:23" x14ac:dyDescent="0.35">
      <c r="A4170">
        <v>996329</v>
      </c>
      <c r="B4170" t="s">
        <v>40920</v>
      </c>
      <c r="C4170" t="str">
        <f>"9780761916659"</f>
        <v>9780761916659</v>
      </c>
      <c r="D4170" t="str">
        <f>"9781452221397"</f>
        <v>9781452221397</v>
      </c>
      <c r="E4170" t="s">
        <v>40883</v>
      </c>
      <c r="F4170" t="s">
        <v>7434</v>
      </c>
      <c r="G4170" t="s">
        <v>22194</v>
      </c>
      <c r="H4170" t="s">
        <v>26004</v>
      </c>
      <c r="I4170" s="26">
        <v>35985</v>
      </c>
      <c r="J4170">
        <v>1998</v>
      </c>
      <c r="K4170" t="s">
        <v>7434</v>
      </c>
      <c r="L4170">
        <v>427</v>
      </c>
      <c r="M4170" t="s">
        <v>40921</v>
      </c>
      <c r="N4170">
        <v>2</v>
      </c>
      <c r="O4170" t="s">
        <v>40922</v>
      </c>
      <c r="R4170" t="s">
        <v>40923</v>
      </c>
      <c r="T4170" t="s">
        <v>30</v>
      </c>
      <c r="U4170" t="s">
        <v>28748</v>
      </c>
      <c r="W4170" t="s">
        <v>26009</v>
      </c>
    </row>
    <row r="4171" spans="1:23" x14ac:dyDescent="0.35">
      <c r="A4171">
        <v>996333</v>
      </c>
      <c r="B4171" t="s">
        <v>40924</v>
      </c>
      <c r="C4171" t="str">
        <f>"9780803970632"</f>
        <v>9780803970632</v>
      </c>
      <c r="D4171" t="str">
        <f>"9781452221335"</f>
        <v>9781452221335</v>
      </c>
      <c r="E4171" t="s">
        <v>40883</v>
      </c>
      <c r="F4171" t="s">
        <v>7434</v>
      </c>
      <c r="G4171" t="s">
        <v>22194</v>
      </c>
      <c r="H4171" t="s">
        <v>26004</v>
      </c>
      <c r="I4171" s="26">
        <v>36465</v>
      </c>
      <c r="J4171">
        <v>1999</v>
      </c>
      <c r="K4171" t="s">
        <v>7434</v>
      </c>
      <c r="L4171">
        <v>193</v>
      </c>
      <c r="M4171" t="s">
        <v>40925</v>
      </c>
      <c r="N4171">
        <v>1</v>
      </c>
      <c r="O4171" t="s">
        <v>40926</v>
      </c>
      <c r="T4171" t="s">
        <v>30</v>
      </c>
      <c r="U4171" t="s">
        <v>46</v>
      </c>
      <c r="W4171" t="s">
        <v>26009</v>
      </c>
    </row>
    <row r="4172" spans="1:23" x14ac:dyDescent="0.35">
      <c r="A4172">
        <v>996337</v>
      </c>
      <c r="B4172" t="s">
        <v>40927</v>
      </c>
      <c r="C4172" t="str">
        <f>"9780761919810"</f>
        <v>9780761919810</v>
      </c>
      <c r="D4172" t="str">
        <f>"9781452222356"</f>
        <v>9781452222356</v>
      </c>
      <c r="E4172" t="s">
        <v>40883</v>
      </c>
      <c r="F4172" t="s">
        <v>7434</v>
      </c>
      <c r="G4172" t="s">
        <v>22194</v>
      </c>
      <c r="H4172" t="s">
        <v>26004</v>
      </c>
      <c r="I4172" s="26">
        <v>38427</v>
      </c>
      <c r="J4172">
        <v>2005</v>
      </c>
      <c r="K4172" t="s">
        <v>7434</v>
      </c>
      <c r="L4172">
        <v>289</v>
      </c>
      <c r="M4172" t="s">
        <v>40928</v>
      </c>
      <c r="N4172">
        <v>2</v>
      </c>
      <c r="O4172" t="s">
        <v>40929</v>
      </c>
      <c r="T4172" t="s">
        <v>30</v>
      </c>
      <c r="U4172" t="s">
        <v>46</v>
      </c>
      <c r="W4172" t="s">
        <v>26009</v>
      </c>
    </row>
    <row r="4173" spans="1:23" x14ac:dyDescent="0.35">
      <c r="A4173">
        <v>996338</v>
      </c>
      <c r="B4173" t="s">
        <v>40930</v>
      </c>
      <c r="C4173" t="str">
        <f>"9780761906384"</f>
        <v>9780761906384</v>
      </c>
      <c r="D4173" t="str">
        <f>"9781452221205"</f>
        <v>9781452221205</v>
      </c>
      <c r="E4173" t="s">
        <v>40883</v>
      </c>
      <c r="F4173" t="s">
        <v>7434</v>
      </c>
      <c r="G4173" t="s">
        <v>22194</v>
      </c>
      <c r="H4173" t="s">
        <v>26004</v>
      </c>
      <c r="I4173" s="26">
        <v>36369</v>
      </c>
      <c r="J4173">
        <v>1999</v>
      </c>
      <c r="K4173" t="s">
        <v>7434</v>
      </c>
      <c r="L4173">
        <v>321</v>
      </c>
      <c r="M4173" t="s">
        <v>40931</v>
      </c>
      <c r="N4173">
        <v>1</v>
      </c>
      <c r="O4173" t="s">
        <v>40932</v>
      </c>
      <c r="R4173">
        <v>302</v>
      </c>
      <c r="T4173" t="s">
        <v>30</v>
      </c>
      <c r="U4173" t="s">
        <v>26044</v>
      </c>
      <c r="W4173" t="s">
        <v>26009</v>
      </c>
    </row>
    <row r="4174" spans="1:23" x14ac:dyDescent="0.35">
      <c r="A4174">
        <v>996345</v>
      </c>
      <c r="B4174" t="s">
        <v>40933</v>
      </c>
      <c r="C4174" t="str">
        <f>"9780761911500"</f>
        <v>9780761911500</v>
      </c>
      <c r="D4174" t="str">
        <f>"9781452221991"</f>
        <v>9781452221991</v>
      </c>
      <c r="E4174" t="s">
        <v>40883</v>
      </c>
      <c r="F4174" t="s">
        <v>7434</v>
      </c>
      <c r="G4174" t="s">
        <v>22194</v>
      </c>
      <c r="H4174" t="s">
        <v>26004</v>
      </c>
      <c r="I4174" s="26">
        <v>36802</v>
      </c>
      <c r="J4174">
        <v>2001</v>
      </c>
      <c r="K4174" t="s">
        <v>7434</v>
      </c>
      <c r="L4174">
        <v>239</v>
      </c>
      <c r="M4174" t="s">
        <v>40934</v>
      </c>
      <c r="N4174">
        <v>1</v>
      </c>
      <c r="R4174" t="s">
        <v>34559</v>
      </c>
      <c r="T4174" t="s">
        <v>30</v>
      </c>
      <c r="U4174" t="s">
        <v>46</v>
      </c>
      <c r="W4174" t="s">
        <v>26009</v>
      </c>
    </row>
    <row r="4175" spans="1:23" x14ac:dyDescent="0.35">
      <c r="A4175">
        <v>996346</v>
      </c>
      <c r="B4175" t="s">
        <v>40935</v>
      </c>
      <c r="C4175" t="str">
        <f>"9780761923299"</f>
        <v>9780761923299</v>
      </c>
      <c r="D4175" t="str">
        <f>"9781452222066"</f>
        <v>9781452222066</v>
      </c>
      <c r="E4175" t="s">
        <v>40883</v>
      </c>
      <c r="F4175" t="s">
        <v>7434</v>
      </c>
      <c r="G4175" t="s">
        <v>22194</v>
      </c>
      <c r="H4175" t="s">
        <v>26004</v>
      </c>
      <c r="I4175" s="26">
        <v>37245</v>
      </c>
      <c r="J4175">
        <v>2002</v>
      </c>
      <c r="K4175" t="s">
        <v>7434</v>
      </c>
      <c r="L4175">
        <v>249</v>
      </c>
      <c r="M4175" t="s">
        <v>40936</v>
      </c>
      <c r="N4175">
        <v>1</v>
      </c>
      <c r="O4175" t="s">
        <v>40929</v>
      </c>
      <c r="R4175" t="s">
        <v>40937</v>
      </c>
      <c r="T4175" t="s">
        <v>30</v>
      </c>
      <c r="U4175" t="s">
        <v>26250</v>
      </c>
      <c r="W4175" t="s">
        <v>26009</v>
      </c>
    </row>
    <row r="4176" spans="1:23" x14ac:dyDescent="0.35">
      <c r="A4176">
        <v>996349</v>
      </c>
      <c r="B4176" t="s">
        <v>40938</v>
      </c>
      <c r="C4176" t="str">
        <f>"9781412975759"</f>
        <v>9781412975759</v>
      </c>
      <c r="D4176" t="str">
        <f>"9781452223605"</f>
        <v>9781452223605</v>
      </c>
      <c r="E4176" t="s">
        <v>40883</v>
      </c>
      <c r="F4176" t="s">
        <v>7434</v>
      </c>
      <c r="G4176" t="s">
        <v>22194</v>
      </c>
      <c r="H4176" t="s">
        <v>26004</v>
      </c>
      <c r="I4176" s="26">
        <v>40521</v>
      </c>
      <c r="J4176">
        <v>2011</v>
      </c>
      <c r="K4176" t="s">
        <v>7434</v>
      </c>
      <c r="L4176">
        <v>257</v>
      </c>
      <c r="M4176" t="s">
        <v>40939</v>
      </c>
      <c r="N4176">
        <v>1</v>
      </c>
      <c r="O4176" t="s">
        <v>40940</v>
      </c>
      <c r="T4176" t="s">
        <v>30</v>
      </c>
      <c r="U4176" t="s">
        <v>26044</v>
      </c>
      <c r="W4176" t="s">
        <v>26009</v>
      </c>
    </row>
    <row r="4177" spans="1:23" x14ac:dyDescent="0.35">
      <c r="A4177">
        <v>996350</v>
      </c>
      <c r="B4177" t="s">
        <v>40941</v>
      </c>
      <c r="C4177" t="str">
        <f>"9780761905349"</f>
        <v>9780761905349</v>
      </c>
      <c r="D4177" t="str">
        <f>"9781452221632"</f>
        <v>9781452221632</v>
      </c>
      <c r="E4177" t="s">
        <v>40883</v>
      </c>
      <c r="F4177" t="s">
        <v>7434</v>
      </c>
      <c r="G4177" t="s">
        <v>22194</v>
      </c>
      <c r="H4177" t="s">
        <v>26004</v>
      </c>
      <c r="I4177" s="26">
        <v>36445</v>
      </c>
      <c r="J4177">
        <v>1999</v>
      </c>
      <c r="K4177" t="s">
        <v>7434</v>
      </c>
      <c r="L4177">
        <v>231</v>
      </c>
      <c r="M4177" t="s">
        <v>40942</v>
      </c>
      <c r="N4177">
        <v>1</v>
      </c>
      <c r="O4177" t="s">
        <v>40888</v>
      </c>
      <c r="R4177" t="s">
        <v>40943</v>
      </c>
      <c r="T4177" t="s">
        <v>30</v>
      </c>
      <c r="U4177" t="s">
        <v>26044</v>
      </c>
      <c r="W4177" t="s">
        <v>26009</v>
      </c>
    </row>
    <row r="4178" spans="1:23" x14ac:dyDescent="0.35">
      <c r="A4178">
        <v>996356</v>
      </c>
      <c r="B4178" t="s">
        <v>40944</v>
      </c>
      <c r="C4178" t="str">
        <f>"9780761908418"</f>
        <v>9780761908418</v>
      </c>
      <c r="D4178" t="str">
        <f>"9781452221762"</f>
        <v>9781452221762</v>
      </c>
      <c r="E4178" t="s">
        <v>40883</v>
      </c>
      <c r="F4178" t="s">
        <v>7434</v>
      </c>
      <c r="G4178" t="s">
        <v>22194</v>
      </c>
      <c r="H4178" t="s">
        <v>26004</v>
      </c>
      <c r="I4178" s="26">
        <v>36381</v>
      </c>
      <c r="J4178">
        <v>1999</v>
      </c>
      <c r="K4178" t="s">
        <v>7434</v>
      </c>
      <c r="L4178">
        <v>441</v>
      </c>
      <c r="M4178" t="s">
        <v>40945</v>
      </c>
      <c r="N4178">
        <v>1</v>
      </c>
      <c r="T4178" t="s">
        <v>30</v>
      </c>
      <c r="U4178" t="s">
        <v>46</v>
      </c>
      <c r="W4178" t="s">
        <v>26009</v>
      </c>
    </row>
    <row r="4179" spans="1:23" x14ac:dyDescent="0.35">
      <c r="A4179">
        <v>996358</v>
      </c>
      <c r="B4179" t="s">
        <v>40946</v>
      </c>
      <c r="C4179" t="str">
        <f>"9781412904902"</f>
        <v>9781412904902</v>
      </c>
      <c r="D4179" t="str">
        <f>"9781452222363"</f>
        <v>9781452222363</v>
      </c>
      <c r="E4179" t="s">
        <v>40883</v>
      </c>
      <c r="F4179" t="s">
        <v>7434</v>
      </c>
      <c r="G4179" t="s">
        <v>22194</v>
      </c>
      <c r="H4179" t="s">
        <v>26004</v>
      </c>
      <c r="I4179" s="26">
        <v>38434</v>
      </c>
      <c r="J4179">
        <v>2005</v>
      </c>
      <c r="K4179" t="s">
        <v>7434</v>
      </c>
      <c r="L4179">
        <v>521</v>
      </c>
      <c r="M4179" t="s">
        <v>40947</v>
      </c>
      <c r="N4179">
        <v>1</v>
      </c>
      <c r="R4179">
        <v>616.89</v>
      </c>
      <c r="T4179" t="s">
        <v>30</v>
      </c>
      <c r="U4179" t="s">
        <v>26040</v>
      </c>
      <c r="W4179" t="s">
        <v>26009</v>
      </c>
    </row>
    <row r="4180" spans="1:23" x14ac:dyDescent="0.35">
      <c r="A4180">
        <v>996365</v>
      </c>
      <c r="B4180" t="s">
        <v>40948</v>
      </c>
      <c r="C4180" t="str">
        <f>"9780761929826"</f>
        <v>9780761929826</v>
      </c>
      <c r="D4180" t="str">
        <f>"9781452222158"</f>
        <v>9781452222158</v>
      </c>
      <c r="E4180" t="s">
        <v>40883</v>
      </c>
      <c r="F4180" t="s">
        <v>7434</v>
      </c>
      <c r="G4180" t="s">
        <v>22194</v>
      </c>
      <c r="H4180" t="s">
        <v>26004</v>
      </c>
      <c r="I4180" s="26">
        <v>38202</v>
      </c>
      <c r="J4180">
        <v>2004</v>
      </c>
      <c r="K4180" t="s">
        <v>7434</v>
      </c>
      <c r="L4180">
        <v>289</v>
      </c>
      <c r="M4180" t="s">
        <v>40949</v>
      </c>
      <c r="N4180">
        <v>1</v>
      </c>
      <c r="O4180" t="s">
        <v>40929</v>
      </c>
      <c r="R4180" t="s">
        <v>40950</v>
      </c>
      <c r="T4180" t="s">
        <v>30</v>
      </c>
      <c r="U4180" t="s">
        <v>46</v>
      </c>
      <c r="W4180" t="s">
        <v>26009</v>
      </c>
    </row>
    <row r="4181" spans="1:23" x14ac:dyDescent="0.35">
      <c r="A4181">
        <v>996366</v>
      </c>
      <c r="B4181" t="s">
        <v>40951</v>
      </c>
      <c r="C4181" t="str">
        <f>"9780761905165"</f>
        <v>9780761905165</v>
      </c>
      <c r="D4181" t="str">
        <f>"9781452221274"</f>
        <v>9781452221274</v>
      </c>
      <c r="E4181" t="s">
        <v>40883</v>
      </c>
      <c r="F4181" t="s">
        <v>7434</v>
      </c>
      <c r="G4181" t="s">
        <v>22194</v>
      </c>
      <c r="H4181" t="s">
        <v>26004</v>
      </c>
      <c r="I4181" s="26">
        <v>35970</v>
      </c>
      <c r="J4181">
        <v>1998</v>
      </c>
      <c r="K4181" t="s">
        <v>7434</v>
      </c>
      <c r="L4181">
        <v>155</v>
      </c>
      <c r="M4181" t="s">
        <v>40952</v>
      </c>
      <c r="N4181">
        <v>1</v>
      </c>
      <c r="O4181" t="s">
        <v>40895</v>
      </c>
      <c r="T4181" t="s">
        <v>30</v>
      </c>
      <c r="U4181" t="s">
        <v>46</v>
      </c>
      <c r="W4181" t="s">
        <v>26009</v>
      </c>
    </row>
    <row r="4182" spans="1:23" x14ac:dyDescent="0.35">
      <c r="A4182">
        <v>996369</v>
      </c>
      <c r="B4182" t="s">
        <v>2759</v>
      </c>
      <c r="C4182" t="str">
        <f>"9780761913719"</f>
        <v>9780761913719</v>
      </c>
      <c r="D4182" t="str">
        <f>"9781452221434"</f>
        <v>9781452221434</v>
      </c>
      <c r="E4182" t="s">
        <v>40883</v>
      </c>
      <c r="F4182" t="s">
        <v>7434</v>
      </c>
      <c r="G4182" t="s">
        <v>22194</v>
      </c>
      <c r="H4182" t="s">
        <v>26004</v>
      </c>
      <c r="I4182" s="26">
        <v>36516</v>
      </c>
      <c r="J4182">
        <v>2000</v>
      </c>
      <c r="K4182" t="s">
        <v>7434</v>
      </c>
      <c r="L4182">
        <v>705</v>
      </c>
      <c r="M4182" t="s">
        <v>40953</v>
      </c>
      <c r="N4182">
        <v>1</v>
      </c>
      <c r="Q4182" t="s">
        <v>40954</v>
      </c>
      <c r="R4182" t="s">
        <v>40955</v>
      </c>
      <c r="S4182" t="s">
        <v>40956</v>
      </c>
      <c r="T4182" t="s">
        <v>30</v>
      </c>
      <c r="U4182" t="s">
        <v>26044</v>
      </c>
      <c r="W4182" t="s">
        <v>26009</v>
      </c>
    </row>
    <row r="4183" spans="1:23" x14ac:dyDescent="0.35">
      <c r="A4183">
        <v>996380</v>
      </c>
      <c r="B4183" t="s">
        <v>40957</v>
      </c>
      <c r="C4183" t="str">
        <f>"9780761916437"</f>
        <v>9780761916437</v>
      </c>
      <c r="D4183" t="str">
        <f>"9781452221748"</f>
        <v>9781452221748</v>
      </c>
      <c r="E4183" t="s">
        <v>40883</v>
      </c>
      <c r="F4183" t="s">
        <v>7434</v>
      </c>
      <c r="G4183" t="s">
        <v>22194</v>
      </c>
      <c r="H4183" t="s">
        <v>26004</v>
      </c>
      <c r="I4183" s="26">
        <v>36321</v>
      </c>
      <c r="J4183">
        <v>1999</v>
      </c>
      <c r="K4183" t="s">
        <v>7434</v>
      </c>
      <c r="L4183">
        <v>227</v>
      </c>
      <c r="M4183" t="s">
        <v>40958</v>
      </c>
      <c r="N4183">
        <v>1</v>
      </c>
      <c r="O4183" t="s">
        <v>27738</v>
      </c>
      <c r="R4183" t="s">
        <v>27731</v>
      </c>
      <c r="T4183" t="s">
        <v>30</v>
      </c>
      <c r="U4183" t="s">
        <v>26044</v>
      </c>
      <c r="W4183" t="s">
        <v>26009</v>
      </c>
    </row>
    <row r="4184" spans="1:23" x14ac:dyDescent="0.35">
      <c r="A4184">
        <v>996386</v>
      </c>
      <c r="B4184" t="s">
        <v>40959</v>
      </c>
      <c r="C4184" t="str">
        <f>"9780761902041"</f>
        <v>9780761902041</v>
      </c>
      <c r="D4184" t="str">
        <f>"9781452221052"</f>
        <v>9781452221052</v>
      </c>
      <c r="E4184" t="s">
        <v>40883</v>
      </c>
      <c r="F4184" t="s">
        <v>7434</v>
      </c>
      <c r="G4184" t="s">
        <v>22194</v>
      </c>
      <c r="H4184" t="s">
        <v>26004</v>
      </c>
      <c r="I4184" s="26">
        <v>36102</v>
      </c>
      <c r="J4184">
        <v>1998</v>
      </c>
      <c r="K4184" t="s">
        <v>7434</v>
      </c>
      <c r="L4184">
        <v>319</v>
      </c>
      <c r="M4184" t="s">
        <v>40960</v>
      </c>
      <c r="N4184">
        <v>1</v>
      </c>
      <c r="O4184" t="s">
        <v>40922</v>
      </c>
      <c r="R4184" t="s">
        <v>40961</v>
      </c>
      <c r="T4184" t="s">
        <v>30</v>
      </c>
      <c r="U4184" t="s">
        <v>26044</v>
      </c>
      <c r="W4184" t="s">
        <v>26009</v>
      </c>
    </row>
    <row r="4185" spans="1:23" x14ac:dyDescent="0.35">
      <c r="A4185">
        <v>996392</v>
      </c>
      <c r="B4185" t="s">
        <v>40962</v>
      </c>
      <c r="C4185" t="str">
        <f>"9780761928232"</f>
        <v>9780761928232</v>
      </c>
      <c r="D4185" t="str">
        <f>"9781452222103"</f>
        <v>9781452222103</v>
      </c>
      <c r="E4185" t="s">
        <v>40883</v>
      </c>
      <c r="F4185" t="s">
        <v>7434</v>
      </c>
      <c r="G4185" t="s">
        <v>22194</v>
      </c>
      <c r="H4185" t="s">
        <v>26004</v>
      </c>
      <c r="I4185" s="26">
        <v>38288</v>
      </c>
      <c r="J4185">
        <v>2005</v>
      </c>
      <c r="K4185" t="s">
        <v>7434</v>
      </c>
      <c r="L4185">
        <v>193</v>
      </c>
      <c r="M4185" t="s">
        <v>40963</v>
      </c>
      <c r="N4185">
        <v>1</v>
      </c>
      <c r="R4185" t="s">
        <v>26169</v>
      </c>
      <c r="T4185" t="s">
        <v>30</v>
      </c>
      <c r="U4185" t="s">
        <v>46</v>
      </c>
      <c r="W4185" t="s">
        <v>26009</v>
      </c>
    </row>
    <row r="4186" spans="1:23" x14ac:dyDescent="0.35">
      <c r="A4186">
        <v>996393</v>
      </c>
      <c r="B4186" t="s">
        <v>40964</v>
      </c>
      <c r="C4186" t="str">
        <f>"9780761921271"</f>
        <v>9780761921271</v>
      </c>
      <c r="D4186" t="str">
        <f>"9781452221939"</f>
        <v>9781452221939</v>
      </c>
      <c r="E4186" t="s">
        <v>40883</v>
      </c>
      <c r="F4186" t="s">
        <v>7434</v>
      </c>
      <c r="G4186" t="s">
        <v>22194</v>
      </c>
      <c r="H4186" t="s">
        <v>26004</v>
      </c>
      <c r="I4186" s="26">
        <v>36549</v>
      </c>
      <c r="J4186">
        <v>2000</v>
      </c>
      <c r="K4186" t="s">
        <v>7434</v>
      </c>
      <c r="L4186">
        <v>305</v>
      </c>
      <c r="M4186" t="s">
        <v>40965</v>
      </c>
      <c r="N4186">
        <v>1</v>
      </c>
      <c r="O4186" t="s">
        <v>40966</v>
      </c>
      <c r="R4186">
        <v>305.23509730000001</v>
      </c>
      <c r="T4186" t="s">
        <v>30</v>
      </c>
      <c r="U4186" t="s">
        <v>26044</v>
      </c>
      <c r="W4186" t="s">
        <v>26009</v>
      </c>
    </row>
    <row r="4187" spans="1:23" x14ac:dyDescent="0.35">
      <c r="A4187">
        <v>996394</v>
      </c>
      <c r="B4187" t="s">
        <v>40967</v>
      </c>
      <c r="C4187" t="str">
        <f>"9781412954969"</f>
        <v>9781412954969</v>
      </c>
      <c r="D4187" t="str">
        <f>"9781452223100"</f>
        <v>9781452223100</v>
      </c>
      <c r="E4187" t="s">
        <v>40883</v>
      </c>
      <c r="F4187" t="s">
        <v>7434</v>
      </c>
      <c r="G4187" t="s">
        <v>22194</v>
      </c>
      <c r="H4187" t="s">
        <v>26004</v>
      </c>
      <c r="I4187" s="26">
        <v>40486</v>
      </c>
      <c r="J4187">
        <v>2011</v>
      </c>
      <c r="K4187" t="s">
        <v>7434</v>
      </c>
      <c r="L4187">
        <v>217</v>
      </c>
      <c r="M4187" t="s">
        <v>40968</v>
      </c>
      <c r="N4187">
        <v>1</v>
      </c>
      <c r="T4187" t="s">
        <v>30</v>
      </c>
      <c r="U4187" t="s">
        <v>26228</v>
      </c>
      <c r="W4187" t="s">
        <v>26009</v>
      </c>
    </row>
    <row r="4188" spans="1:23" x14ac:dyDescent="0.35">
      <c r="A4188">
        <v>996412</v>
      </c>
      <c r="B4188" t="s">
        <v>40969</v>
      </c>
      <c r="C4188" t="str">
        <f>"9781412979825"</f>
        <v>9781412979825</v>
      </c>
      <c r="D4188" t="str">
        <f>"9781452223704"</f>
        <v>9781452223704</v>
      </c>
      <c r="E4188" t="s">
        <v>40883</v>
      </c>
      <c r="F4188" t="s">
        <v>7434</v>
      </c>
      <c r="G4188" t="s">
        <v>22194</v>
      </c>
      <c r="H4188" t="s">
        <v>26004</v>
      </c>
      <c r="I4188" s="26">
        <v>40639</v>
      </c>
      <c r="J4188">
        <v>2012</v>
      </c>
      <c r="K4188" t="s">
        <v>7434</v>
      </c>
      <c r="L4188">
        <v>273</v>
      </c>
      <c r="M4188" t="s">
        <v>40970</v>
      </c>
      <c r="N4188">
        <v>1</v>
      </c>
      <c r="T4188" t="s">
        <v>30</v>
      </c>
      <c r="U4188" t="s">
        <v>46</v>
      </c>
      <c r="W4188" t="s">
        <v>26009</v>
      </c>
    </row>
    <row r="4189" spans="1:23" x14ac:dyDescent="0.35">
      <c r="A4189">
        <v>996418</v>
      </c>
      <c r="B4189" t="s">
        <v>8958</v>
      </c>
      <c r="C4189" t="str">
        <f>"9781412914017"</f>
        <v>9781412914017</v>
      </c>
      <c r="D4189" t="str">
        <f>"9781452222509"</f>
        <v>9781452222509</v>
      </c>
      <c r="E4189" t="s">
        <v>40883</v>
      </c>
      <c r="F4189" t="s">
        <v>7434</v>
      </c>
      <c r="G4189" t="s">
        <v>22194</v>
      </c>
      <c r="H4189" t="s">
        <v>26004</v>
      </c>
      <c r="I4189" s="26">
        <v>38840</v>
      </c>
      <c r="J4189">
        <v>2006</v>
      </c>
      <c r="K4189" t="s">
        <v>7434</v>
      </c>
      <c r="L4189">
        <v>345</v>
      </c>
      <c r="M4189" t="s">
        <v>40971</v>
      </c>
      <c r="N4189">
        <v>1</v>
      </c>
      <c r="R4189" t="s">
        <v>40972</v>
      </c>
      <c r="T4189" t="s">
        <v>30</v>
      </c>
      <c r="U4189" t="s">
        <v>337</v>
      </c>
      <c r="W4189" t="s">
        <v>26009</v>
      </c>
    </row>
    <row r="4190" spans="1:23" x14ac:dyDescent="0.35">
      <c r="A4190">
        <v>996423</v>
      </c>
      <c r="B4190" t="s">
        <v>40973</v>
      </c>
      <c r="C4190" t="str">
        <f>"9781412909877"</f>
        <v>9781412909877</v>
      </c>
      <c r="D4190" t="str">
        <f>"9781452222486"</f>
        <v>9781452222486</v>
      </c>
      <c r="E4190" t="s">
        <v>40883</v>
      </c>
      <c r="F4190" t="s">
        <v>7434</v>
      </c>
      <c r="G4190" t="s">
        <v>22194</v>
      </c>
      <c r="H4190" t="s">
        <v>26004</v>
      </c>
      <c r="I4190" s="26">
        <v>38932</v>
      </c>
      <c r="J4190">
        <v>2007</v>
      </c>
      <c r="K4190" t="s">
        <v>7434</v>
      </c>
      <c r="L4190">
        <v>369</v>
      </c>
      <c r="M4190" t="s">
        <v>40974</v>
      </c>
      <c r="N4190">
        <v>1</v>
      </c>
      <c r="R4190" t="s">
        <v>29789</v>
      </c>
      <c r="T4190" t="s">
        <v>30</v>
      </c>
      <c r="U4190" t="s">
        <v>26040</v>
      </c>
      <c r="W4190" t="s">
        <v>26009</v>
      </c>
    </row>
    <row r="4191" spans="1:23" x14ac:dyDescent="0.35">
      <c r="A4191">
        <v>996425</v>
      </c>
      <c r="B4191" t="s">
        <v>40975</v>
      </c>
      <c r="C4191" t="str">
        <f>"9780761930327"</f>
        <v>9780761930327</v>
      </c>
      <c r="D4191" t="str">
        <f>"9781452222189"</f>
        <v>9781452222189</v>
      </c>
      <c r="E4191" t="s">
        <v>40883</v>
      </c>
      <c r="F4191" t="s">
        <v>7434</v>
      </c>
      <c r="G4191" t="s">
        <v>22194</v>
      </c>
      <c r="H4191" t="s">
        <v>26004</v>
      </c>
      <c r="I4191" s="26">
        <v>38272</v>
      </c>
      <c r="J4191">
        <v>2005</v>
      </c>
      <c r="K4191" t="s">
        <v>7434</v>
      </c>
      <c r="L4191">
        <v>281</v>
      </c>
      <c r="M4191" t="s">
        <v>40976</v>
      </c>
      <c r="N4191">
        <v>1</v>
      </c>
      <c r="R4191" t="s">
        <v>27789</v>
      </c>
      <c r="T4191" t="s">
        <v>30</v>
      </c>
      <c r="U4191" t="s">
        <v>26040</v>
      </c>
      <c r="W4191" t="s">
        <v>26009</v>
      </c>
    </row>
    <row r="4192" spans="1:23" x14ac:dyDescent="0.35">
      <c r="A4192">
        <v>996426</v>
      </c>
      <c r="B4192" t="s">
        <v>40977</v>
      </c>
      <c r="C4192" t="str">
        <f>"9780803954946"</f>
        <v>9780803954946</v>
      </c>
      <c r="D4192" t="str">
        <f>"9781452221038"</f>
        <v>9781452221038</v>
      </c>
      <c r="E4192" t="s">
        <v>40883</v>
      </c>
      <c r="F4192" t="s">
        <v>7434</v>
      </c>
      <c r="G4192" t="s">
        <v>22194</v>
      </c>
      <c r="H4192" t="s">
        <v>26004</v>
      </c>
      <c r="I4192" s="26">
        <v>34666</v>
      </c>
      <c r="J4192">
        <v>1994</v>
      </c>
      <c r="K4192" t="s">
        <v>7434</v>
      </c>
      <c r="L4192">
        <v>257</v>
      </c>
      <c r="M4192" t="s">
        <v>40978</v>
      </c>
      <c r="N4192">
        <v>1</v>
      </c>
      <c r="O4192" t="s">
        <v>40922</v>
      </c>
      <c r="R4192" t="s">
        <v>40896</v>
      </c>
      <c r="T4192" t="s">
        <v>30</v>
      </c>
      <c r="U4192" t="s">
        <v>26040</v>
      </c>
      <c r="W4192" t="s">
        <v>26009</v>
      </c>
    </row>
    <row r="4193" spans="1:23" x14ac:dyDescent="0.35">
      <c r="A4193">
        <v>996429</v>
      </c>
      <c r="B4193" t="s">
        <v>40979</v>
      </c>
      <c r="C4193" t="str">
        <f>"9780761987505"</f>
        <v>9780761987505</v>
      </c>
      <c r="D4193" t="str">
        <f>"9781452222868"</f>
        <v>9781452222868</v>
      </c>
      <c r="E4193" t="s">
        <v>40883</v>
      </c>
      <c r="F4193" t="s">
        <v>7434</v>
      </c>
      <c r="G4193" t="s">
        <v>22194</v>
      </c>
      <c r="H4193" t="s">
        <v>26004</v>
      </c>
      <c r="I4193" s="26">
        <v>39043</v>
      </c>
      <c r="J4193">
        <v>2007</v>
      </c>
      <c r="K4193" t="s">
        <v>7434</v>
      </c>
      <c r="L4193">
        <v>257</v>
      </c>
      <c r="M4193" t="s">
        <v>40980</v>
      </c>
      <c r="N4193">
        <v>1</v>
      </c>
      <c r="R4193">
        <v>363.7</v>
      </c>
      <c r="T4193" t="s">
        <v>30</v>
      </c>
      <c r="U4193" t="s">
        <v>4074</v>
      </c>
      <c r="W4193" t="s">
        <v>26009</v>
      </c>
    </row>
    <row r="4194" spans="1:23" x14ac:dyDescent="0.35">
      <c r="A4194">
        <v>996446</v>
      </c>
      <c r="B4194" t="s">
        <v>40981</v>
      </c>
      <c r="C4194" t="str">
        <f>"9780803957817"</f>
        <v>9780803957817</v>
      </c>
      <c r="D4194" t="str">
        <f>"9781452221076"</f>
        <v>9781452221076</v>
      </c>
      <c r="E4194" t="s">
        <v>40883</v>
      </c>
      <c r="F4194" t="s">
        <v>7434</v>
      </c>
      <c r="G4194" t="s">
        <v>22194</v>
      </c>
      <c r="H4194" t="s">
        <v>26004</v>
      </c>
      <c r="I4194" s="26">
        <v>34732</v>
      </c>
      <c r="J4194">
        <v>1995</v>
      </c>
      <c r="K4194" t="s">
        <v>7434</v>
      </c>
      <c r="L4194">
        <v>151</v>
      </c>
      <c r="M4194" t="s">
        <v>40982</v>
      </c>
      <c r="N4194">
        <v>1</v>
      </c>
      <c r="T4194" t="s">
        <v>30</v>
      </c>
      <c r="U4194" t="s">
        <v>46</v>
      </c>
      <c r="W4194" t="s">
        <v>26009</v>
      </c>
    </row>
    <row r="4195" spans="1:23" x14ac:dyDescent="0.35">
      <c r="A4195">
        <v>996453</v>
      </c>
      <c r="B4195" t="s">
        <v>40983</v>
      </c>
      <c r="C4195" t="str">
        <f>"9780803959910"</f>
        <v>9780803959910</v>
      </c>
      <c r="D4195" t="str">
        <f>"9781452221144"</f>
        <v>9781452221144</v>
      </c>
      <c r="E4195" t="s">
        <v>40883</v>
      </c>
      <c r="F4195" t="s">
        <v>7434</v>
      </c>
      <c r="G4195" t="s">
        <v>22194</v>
      </c>
      <c r="H4195" t="s">
        <v>26004</v>
      </c>
      <c r="I4195" s="26">
        <v>34978</v>
      </c>
      <c r="J4195">
        <v>1995</v>
      </c>
      <c r="K4195" t="s">
        <v>7434</v>
      </c>
      <c r="L4195">
        <v>383</v>
      </c>
      <c r="M4195" t="s">
        <v>40984</v>
      </c>
      <c r="N4195">
        <v>1</v>
      </c>
      <c r="O4195" t="s">
        <v>40985</v>
      </c>
      <c r="T4195" t="s">
        <v>30</v>
      </c>
      <c r="U4195" t="s">
        <v>46</v>
      </c>
      <c r="W4195" t="s">
        <v>26009</v>
      </c>
    </row>
    <row r="4196" spans="1:23" x14ac:dyDescent="0.35">
      <c r="A4196">
        <v>996459</v>
      </c>
      <c r="B4196" t="s">
        <v>40986</v>
      </c>
      <c r="C4196" t="str">
        <f>"9781412905862"</f>
        <v>9781412905862</v>
      </c>
      <c r="D4196" t="str">
        <f>"9781452262369"</f>
        <v>9781452262369</v>
      </c>
      <c r="E4196" t="s">
        <v>40883</v>
      </c>
      <c r="F4196" t="s">
        <v>7434</v>
      </c>
      <c r="G4196" t="s">
        <v>22194</v>
      </c>
      <c r="H4196" t="s">
        <v>26004</v>
      </c>
      <c r="I4196" s="26">
        <v>38819</v>
      </c>
      <c r="J4196">
        <v>2006</v>
      </c>
      <c r="K4196" t="s">
        <v>7434</v>
      </c>
      <c r="L4196">
        <v>353</v>
      </c>
      <c r="M4196" t="s">
        <v>40987</v>
      </c>
      <c r="N4196">
        <v>1</v>
      </c>
      <c r="T4196" t="s">
        <v>30</v>
      </c>
      <c r="U4196" t="s">
        <v>46</v>
      </c>
      <c r="W4196" t="s">
        <v>26009</v>
      </c>
    </row>
    <row r="4197" spans="1:23" x14ac:dyDescent="0.35">
      <c r="A4197">
        <v>996473</v>
      </c>
      <c r="B4197" t="s">
        <v>40988</v>
      </c>
      <c r="C4197" t="str">
        <f>"9780803973091"</f>
        <v>9780803973091</v>
      </c>
      <c r="D4197" t="str">
        <f>"9781452261980"</f>
        <v>9781452261980</v>
      </c>
      <c r="E4197" t="s">
        <v>40883</v>
      </c>
      <c r="F4197" t="s">
        <v>7434</v>
      </c>
      <c r="G4197" t="s">
        <v>22194</v>
      </c>
      <c r="H4197" t="s">
        <v>26004</v>
      </c>
      <c r="I4197" s="26">
        <v>36494</v>
      </c>
      <c r="J4197">
        <v>2000</v>
      </c>
      <c r="K4197" t="s">
        <v>7434</v>
      </c>
      <c r="L4197">
        <v>211</v>
      </c>
      <c r="M4197" t="s">
        <v>40989</v>
      </c>
      <c r="N4197">
        <v>1</v>
      </c>
      <c r="R4197" t="s">
        <v>40990</v>
      </c>
      <c r="T4197" t="s">
        <v>30</v>
      </c>
      <c r="U4197" t="s">
        <v>26250</v>
      </c>
      <c r="W4197" t="s">
        <v>26009</v>
      </c>
    </row>
    <row r="4198" spans="1:23" x14ac:dyDescent="0.35">
      <c r="A4198">
        <v>996480</v>
      </c>
      <c r="B4198" t="s">
        <v>40991</v>
      </c>
      <c r="C4198" t="str">
        <f>"9780803946910"</f>
        <v>9780803946910</v>
      </c>
      <c r="D4198" t="str">
        <f>"9781452250236"</f>
        <v>9781452250236</v>
      </c>
      <c r="E4198" t="s">
        <v>40883</v>
      </c>
      <c r="F4198" t="s">
        <v>7434</v>
      </c>
      <c r="G4198" t="s">
        <v>22194</v>
      </c>
      <c r="H4198" t="s">
        <v>26004</v>
      </c>
      <c r="I4198" s="26">
        <v>35682</v>
      </c>
      <c r="J4198">
        <v>1997</v>
      </c>
      <c r="K4198" t="s">
        <v>7434</v>
      </c>
      <c r="L4198">
        <v>202</v>
      </c>
      <c r="M4198" t="s">
        <v>40992</v>
      </c>
      <c r="N4198">
        <v>1</v>
      </c>
      <c r="R4198" t="s">
        <v>40993</v>
      </c>
      <c r="T4198" t="s">
        <v>30</v>
      </c>
      <c r="U4198" t="s">
        <v>30031</v>
      </c>
      <c r="W4198" t="s">
        <v>26009</v>
      </c>
    </row>
    <row r="4199" spans="1:23" x14ac:dyDescent="0.35">
      <c r="A4199">
        <v>996483</v>
      </c>
      <c r="B4199" t="s">
        <v>40994</v>
      </c>
      <c r="C4199" t="str">
        <f>"9780761906605"</f>
        <v>9780761906605</v>
      </c>
      <c r="D4199" t="str">
        <f>"9781452221373"</f>
        <v>9781452221373</v>
      </c>
      <c r="E4199" t="s">
        <v>40883</v>
      </c>
      <c r="F4199" t="s">
        <v>7434</v>
      </c>
      <c r="G4199" t="s">
        <v>22194</v>
      </c>
      <c r="H4199" t="s">
        <v>26004</v>
      </c>
      <c r="I4199" s="26">
        <v>35878</v>
      </c>
      <c r="J4199">
        <v>1998</v>
      </c>
      <c r="K4199" t="s">
        <v>7434</v>
      </c>
      <c r="L4199">
        <v>273</v>
      </c>
      <c r="M4199" t="s">
        <v>40995</v>
      </c>
      <c r="N4199">
        <v>1</v>
      </c>
      <c r="R4199" t="s">
        <v>26873</v>
      </c>
      <c r="T4199" t="s">
        <v>30</v>
      </c>
      <c r="U4199" t="s">
        <v>46</v>
      </c>
      <c r="W4199" t="s">
        <v>26009</v>
      </c>
    </row>
    <row r="4200" spans="1:23" x14ac:dyDescent="0.35">
      <c r="A4200">
        <v>996489</v>
      </c>
      <c r="B4200" t="s">
        <v>40996</v>
      </c>
      <c r="C4200" t="str">
        <f>"9781412917186"</f>
        <v>9781412917186</v>
      </c>
      <c r="D4200" t="str">
        <f>"9781452261799"</f>
        <v>9781452261799</v>
      </c>
      <c r="E4200" t="s">
        <v>40883</v>
      </c>
      <c r="F4200" t="s">
        <v>7434</v>
      </c>
      <c r="G4200" t="s">
        <v>22194</v>
      </c>
      <c r="H4200" t="s">
        <v>26004</v>
      </c>
      <c r="I4200" s="26">
        <v>39302</v>
      </c>
      <c r="J4200">
        <v>2007</v>
      </c>
      <c r="K4200" t="s">
        <v>7434</v>
      </c>
      <c r="L4200">
        <v>497</v>
      </c>
      <c r="M4200" t="s">
        <v>40997</v>
      </c>
      <c r="N4200">
        <v>1</v>
      </c>
      <c r="Q4200" t="s">
        <v>40998</v>
      </c>
      <c r="R4200">
        <v>618.9289</v>
      </c>
      <c r="S4200" t="s">
        <v>40999</v>
      </c>
      <c r="T4200" t="s">
        <v>30</v>
      </c>
      <c r="U4200" t="s">
        <v>26019</v>
      </c>
      <c r="W4200" t="s">
        <v>26009</v>
      </c>
    </row>
    <row r="4201" spans="1:23" x14ac:dyDescent="0.35">
      <c r="A4201">
        <v>996499</v>
      </c>
      <c r="B4201" t="s">
        <v>7469</v>
      </c>
      <c r="C4201" t="str">
        <f>"9780761917694"</f>
        <v>9780761917694</v>
      </c>
      <c r="D4201" t="str">
        <f>"9781452262536"</f>
        <v>9781452262536</v>
      </c>
      <c r="E4201" t="s">
        <v>40883</v>
      </c>
      <c r="F4201" t="s">
        <v>7434</v>
      </c>
      <c r="G4201" t="s">
        <v>22194</v>
      </c>
      <c r="H4201" t="s">
        <v>26004</v>
      </c>
      <c r="I4201" s="26">
        <v>37551</v>
      </c>
      <c r="J4201">
        <v>2002</v>
      </c>
      <c r="K4201" t="s">
        <v>7434</v>
      </c>
      <c r="L4201">
        <v>257</v>
      </c>
      <c r="M4201" t="s">
        <v>41000</v>
      </c>
      <c r="N4201">
        <v>1</v>
      </c>
      <c r="R4201" t="s">
        <v>41001</v>
      </c>
      <c r="T4201" t="s">
        <v>30</v>
      </c>
      <c r="U4201" t="s">
        <v>26040</v>
      </c>
      <c r="W4201" t="s">
        <v>26009</v>
      </c>
    </row>
    <row r="4202" spans="1:23" x14ac:dyDescent="0.35">
      <c r="A4202">
        <v>996501</v>
      </c>
      <c r="B4202" t="s">
        <v>41002</v>
      </c>
      <c r="C4202" t="str">
        <f>"9780761911166"</f>
        <v>9780761911166</v>
      </c>
      <c r="D4202" t="str">
        <f>"9781452263489"</f>
        <v>9781452263489</v>
      </c>
      <c r="E4202" t="s">
        <v>40883</v>
      </c>
      <c r="F4202" t="s">
        <v>7434</v>
      </c>
      <c r="G4202" t="s">
        <v>22194</v>
      </c>
      <c r="H4202" t="s">
        <v>26004</v>
      </c>
      <c r="I4202" s="26">
        <v>36200</v>
      </c>
      <c r="J4202">
        <v>1999</v>
      </c>
      <c r="K4202" t="s">
        <v>7434</v>
      </c>
      <c r="L4202">
        <v>216</v>
      </c>
      <c r="M4202" t="s">
        <v>41003</v>
      </c>
      <c r="N4202">
        <v>1</v>
      </c>
      <c r="O4202" t="s">
        <v>41004</v>
      </c>
      <c r="P4202">
        <v>39</v>
      </c>
      <c r="Q4202" t="s">
        <v>41005</v>
      </c>
      <c r="R4202" t="s">
        <v>41006</v>
      </c>
      <c r="S4202" t="s">
        <v>9907</v>
      </c>
      <c r="T4202" t="s">
        <v>30</v>
      </c>
      <c r="U4202" t="s">
        <v>26044</v>
      </c>
      <c r="W4202" t="s">
        <v>26009</v>
      </c>
    </row>
    <row r="4203" spans="1:23" x14ac:dyDescent="0.35">
      <c r="A4203">
        <v>996505</v>
      </c>
      <c r="B4203" t="s">
        <v>41007</v>
      </c>
      <c r="C4203" t="str">
        <f>"9780761910084"</f>
        <v>9780761910084</v>
      </c>
      <c r="D4203" t="str">
        <f>"9781452263311"</f>
        <v>9781452263311</v>
      </c>
      <c r="E4203" t="s">
        <v>40883</v>
      </c>
      <c r="F4203" t="s">
        <v>7434</v>
      </c>
      <c r="G4203" t="s">
        <v>22194</v>
      </c>
      <c r="H4203" t="s">
        <v>26004</v>
      </c>
      <c r="I4203" s="26">
        <v>35587</v>
      </c>
      <c r="J4203">
        <v>1997</v>
      </c>
      <c r="K4203" t="s">
        <v>7434</v>
      </c>
      <c r="L4203">
        <v>232</v>
      </c>
      <c r="M4203" t="s">
        <v>41008</v>
      </c>
      <c r="N4203">
        <v>2</v>
      </c>
      <c r="R4203">
        <v>362.76</v>
      </c>
      <c r="T4203" t="s">
        <v>30</v>
      </c>
      <c r="U4203" t="s">
        <v>26044</v>
      </c>
      <c r="W4203" t="s">
        <v>26009</v>
      </c>
    </row>
    <row r="4204" spans="1:23" x14ac:dyDescent="0.35">
      <c r="A4204">
        <v>996509</v>
      </c>
      <c r="B4204" t="s">
        <v>41009</v>
      </c>
      <c r="C4204" t="str">
        <f>"9781412924696"</f>
        <v>9781412924696</v>
      </c>
      <c r="D4204" t="str">
        <f>"9781452262406"</f>
        <v>9781452262406</v>
      </c>
      <c r="E4204" t="s">
        <v>40883</v>
      </c>
      <c r="F4204" t="s">
        <v>7434</v>
      </c>
      <c r="G4204" t="s">
        <v>22194</v>
      </c>
      <c r="H4204" t="s">
        <v>26004</v>
      </c>
      <c r="I4204" s="26">
        <v>39128</v>
      </c>
      <c r="J4204">
        <v>2007</v>
      </c>
      <c r="K4204" t="s">
        <v>7434</v>
      </c>
      <c r="L4204">
        <v>279</v>
      </c>
      <c r="M4204" t="s">
        <v>41010</v>
      </c>
      <c r="N4204">
        <v>1</v>
      </c>
      <c r="R4204" t="s">
        <v>27131</v>
      </c>
      <c r="T4204" t="s">
        <v>30</v>
      </c>
      <c r="U4204" t="s">
        <v>46</v>
      </c>
      <c r="W4204" t="s">
        <v>26009</v>
      </c>
    </row>
    <row r="4205" spans="1:23" x14ac:dyDescent="0.35">
      <c r="A4205">
        <v>996510</v>
      </c>
      <c r="B4205" t="s">
        <v>2782</v>
      </c>
      <c r="C4205" t="str">
        <f>"9780761922551"</f>
        <v>9780761922551</v>
      </c>
      <c r="D4205" t="str">
        <f>"9781452262727"</f>
        <v>9781452262727</v>
      </c>
      <c r="E4205" t="s">
        <v>40883</v>
      </c>
      <c r="F4205" t="s">
        <v>7434</v>
      </c>
      <c r="G4205" t="s">
        <v>22194</v>
      </c>
      <c r="H4205" t="s">
        <v>26004</v>
      </c>
      <c r="I4205" s="26">
        <v>37483</v>
      </c>
      <c r="J4205">
        <v>2002</v>
      </c>
      <c r="K4205" t="s">
        <v>7434</v>
      </c>
      <c r="L4205">
        <v>585</v>
      </c>
      <c r="M4205" t="s">
        <v>41011</v>
      </c>
      <c r="N4205">
        <v>1</v>
      </c>
      <c r="R4205">
        <v>616.89</v>
      </c>
      <c r="S4205" t="s">
        <v>41012</v>
      </c>
      <c r="T4205" t="s">
        <v>30</v>
      </c>
      <c r="U4205" t="s">
        <v>26040</v>
      </c>
      <c r="W4205" t="s">
        <v>26009</v>
      </c>
    </row>
    <row r="4206" spans="1:23" x14ac:dyDescent="0.35">
      <c r="A4206">
        <v>996514</v>
      </c>
      <c r="B4206" t="s">
        <v>41013</v>
      </c>
      <c r="C4206" t="str">
        <f>"9780761930259"</f>
        <v>9780761930259</v>
      </c>
      <c r="D4206" t="str">
        <f>"9781452263052"</f>
        <v>9781452263052</v>
      </c>
      <c r="E4206" t="s">
        <v>40883</v>
      </c>
      <c r="F4206" t="s">
        <v>7434</v>
      </c>
      <c r="G4206" t="s">
        <v>22194</v>
      </c>
      <c r="H4206" t="s">
        <v>26004</v>
      </c>
      <c r="I4206" s="26">
        <v>38227</v>
      </c>
      <c r="J4206">
        <v>2005</v>
      </c>
      <c r="K4206" t="s">
        <v>7434</v>
      </c>
      <c r="L4206">
        <v>353</v>
      </c>
      <c r="M4206" t="s">
        <v>41014</v>
      </c>
      <c r="N4206">
        <v>1</v>
      </c>
      <c r="R4206">
        <v>616.89</v>
      </c>
      <c r="T4206" t="s">
        <v>30</v>
      </c>
      <c r="U4206" t="s">
        <v>26040</v>
      </c>
      <c r="W4206" t="s">
        <v>26009</v>
      </c>
    </row>
    <row r="4207" spans="1:23" x14ac:dyDescent="0.35">
      <c r="A4207">
        <v>996521</v>
      </c>
      <c r="B4207" t="s">
        <v>41015</v>
      </c>
      <c r="C4207" t="str">
        <f>"9781412926690"</f>
        <v>9781412926690</v>
      </c>
      <c r="D4207" t="str">
        <f>"9781452216393"</f>
        <v>9781452216393</v>
      </c>
      <c r="E4207" t="s">
        <v>40883</v>
      </c>
      <c r="F4207" t="s">
        <v>7434</v>
      </c>
      <c r="G4207" t="s">
        <v>22194</v>
      </c>
      <c r="H4207" t="s">
        <v>26004</v>
      </c>
      <c r="I4207" s="26">
        <v>38974</v>
      </c>
      <c r="J4207">
        <v>2007</v>
      </c>
      <c r="K4207" t="s">
        <v>7434</v>
      </c>
      <c r="L4207">
        <v>569</v>
      </c>
      <c r="M4207" t="s">
        <v>41016</v>
      </c>
      <c r="N4207">
        <v>1</v>
      </c>
      <c r="Q4207" t="s">
        <v>41017</v>
      </c>
      <c r="S4207" t="s">
        <v>41018</v>
      </c>
      <c r="T4207" t="s">
        <v>30</v>
      </c>
      <c r="U4207" t="s">
        <v>337</v>
      </c>
      <c r="W4207" t="s">
        <v>26009</v>
      </c>
    </row>
    <row r="4208" spans="1:23" x14ac:dyDescent="0.35">
      <c r="A4208">
        <v>996528</v>
      </c>
      <c r="B4208" t="s">
        <v>41019</v>
      </c>
      <c r="C4208" t="str">
        <f>"9780803958937"</f>
        <v>9780803958937</v>
      </c>
      <c r="D4208" t="str">
        <f>"9781452247298"</f>
        <v>9781452247298</v>
      </c>
      <c r="E4208" t="s">
        <v>40883</v>
      </c>
      <c r="F4208" t="s">
        <v>7434</v>
      </c>
      <c r="G4208" t="s">
        <v>22194</v>
      </c>
      <c r="H4208" t="s">
        <v>26004</v>
      </c>
      <c r="I4208" s="26">
        <v>35082</v>
      </c>
      <c r="J4208">
        <v>1996</v>
      </c>
      <c r="K4208" t="s">
        <v>7434</v>
      </c>
      <c r="L4208">
        <v>187</v>
      </c>
      <c r="M4208" t="s">
        <v>41020</v>
      </c>
      <c r="N4208">
        <v>1</v>
      </c>
      <c r="R4208" t="s">
        <v>34108</v>
      </c>
      <c r="T4208" t="s">
        <v>30</v>
      </c>
      <c r="U4208" t="s">
        <v>26044</v>
      </c>
      <c r="W4208" t="s">
        <v>26009</v>
      </c>
    </row>
    <row r="4209" spans="1:23" x14ac:dyDescent="0.35">
      <c r="A4209">
        <v>996533</v>
      </c>
      <c r="B4209" t="s">
        <v>41021</v>
      </c>
      <c r="C4209" t="str">
        <f>"9781412978835"</f>
        <v>9781412978835</v>
      </c>
      <c r="D4209" t="str">
        <f>"9781452261911"</f>
        <v>9781452261911</v>
      </c>
      <c r="E4209" t="s">
        <v>40883</v>
      </c>
      <c r="F4209" t="s">
        <v>7434</v>
      </c>
      <c r="G4209" t="s">
        <v>22194</v>
      </c>
      <c r="H4209" t="s">
        <v>26004</v>
      </c>
      <c r="I4209" s="26">
        <v>40532</v>
      </c>
      <c r="J4209">
        <v>2011</v>
      </c>
      <c r="K4209" t="s">
        <v>7434</v>
      </c>
      <c r="L4209">
        <v>689</v>
      </c>
      <c r="M4209" t="s">
        <v>41022</v>
      </c>
      <c r="N4209">
        <v>1</v>
      </c>
      <c r="S4209" t="s">
        <v>41023</v>
      </c>
      <c r="T4209" t="s">
        <v>30</v>
      </c>
      <c r="U4209" t="s">
        <v>46</v>
      </c>
      <c r="W4209" t="s">
        <v>26009</v>
      </c>
    </row>
    <row r="4210" spans="1:23" x14ac:dyDescent="0.35">
      <c r="A4210">
        <v>996535</v>
      </c>
      <c r="B4210" t="s">
        <v>41024</v>
      </c>
      <c r="C4210" t="str">
        <f>"9780761908531"</f>
        <v>9780761908531</v>
      </c>
      <c r="D4210" t="str">
        <f>"9781452262208"</f>
        <v>9781452262208</v>
      </c>
      <c r="E4210" t="s">
        <v>40883</v>
      </c>
      <c r="F4210" t="s">
        <v>7434</v>
      </c>
      <c r="G4210" t="s">
        <v>22194</v>
      </c>
      <c r="H4210" t="s">
        <v>26004</v>
      </c>
      <c r="I4210" s="26">
        <v>36180</v>
      </c>
      <c r="J4210">
        <v>1999</v>
      </c>
      <c r="K4210" t="s">
        <v>7434</v>
      </c>
      <c r="L4210">
        <v>331</v>
      </c>
      <c r="M4210" t="s">
        <v>41025</v>
      </c>
      <c r="N4210">
        <v>1</v>
      </c>
      <c r="R4210" t="s">
        <v>41026</v>
      </c>
      <c r="T4210" t="s">
        <v>30</v>
      </c>
      <c r="U4210" t="s">
        <v>26044</v>
      </c>
      <c r="W4210" t="s">
        <v>26009</v>
      </c>
    </row>
    <row r="4211" spans="1:23" x14ac:dyDescent="0.35">
      <c r="A4211">
        <v>996541</v>
      </c>
      <c r="B4211" t="s">
        <v>41027</v>
      </c>
      <c r="C4211" t="str">
        <f>"9781412944823"</f>
        <v>9781412944823</v>
      </c>
      <c r="D4211" t="str">
        <f>"9781452262420"</f>
        <v>9781452262420</v>
      </c>
      <c r="E4211" t="s">
        <v>40883</v>
      </c>
      <c r="F4211" t="s">
        <v>7434</v>
      </c>
      <c r="G4211" t="s">
        <v>22194</v>
      </c>
      <c r="H4211" t="s">
        <v>26004</v>
      </c>
      <c r="I4211" s="26">
        <v>38905</v>
      </c>
      <c r="J4211">
        <v>2006</v>
      </c>
      <c r="K4211" t="s">
        <v>7434</v>
      </c>
      <c r="L4211">
        <v>473</v>
      </c>
      <c r="M4211" t="s">
        <v>41028</v>
      </c>
      <c r="N4211">
        <v>1</v>
      </c>
      <c r="R4211">
        <v>615.5</v>
      </c>
      <c r="T4211" t="s">
        <v>30</v>
      </c>
      <c r="U4211" t="s">
        <v>26040</v>
      </c>
      <c r="W4211" t="s">
        <v>26009</v>
      </c>
    </row>
    <row r="4212" spans="1:23" x14ac:dyDescent="0.35">
      <c r="A4212">
        <v>996554</v>
      </c>
      <c r="B4212" t="s">
        <v>41029</v>
      </c>
      <c r="C4212" t="str">
        <f>"9780761910374"</f>
        <v>9780761910374</v>
      </c>
      <c r="D4212" t="str">
        <f>"9781452262154"</f>
        <v>9781452262154</v>
      </c>
      <c r="E4212" t="s">
        <v>40883</v>
      </c>
      <c r="F4212" t="s">
        <v>7434</v>
      </c>
      <c r="G4212" t="s">
        <v>22194</v>
      </c>
      <c r="H4212" t="s">
        <v>26004</v>
      </c>
      <c r="I4212" s="26">
        <v>36270</v>
      </c>
      <c r="J4212">
        <v>1999</v>
      </c>
      <c r="K4212" t="s">
        <v>7434</v>
      </c>
      <c r="L4212">
        <v>255</v>
      </c>
      <c r="M4212" t="s">
        <v>41030</v>
      </c>
      <c r="N4212">
        <v>1</v>
      </c>
      <c r="R4212" t="s">
        <v>28364</v>
      </c>
      <c r="T4212" t="s">
        <v>30</v>
      </c>
      <c r="U4212" t="s">
        <v>46</v>
      </c>
      <c r="W4212" t="s">
        <v>26009</v>
      </c>
    </row>
    <row r="4213" spans="1:23" x14ac:dyDescent="0.35">
      <c r="A4213">
        <v>996574</v>
      </c>
      <c r="B4213" t="s">
        <v>41031</v>
      </c>
      <c r="C4213" t="str">
        <f>"9780761928188"</f>
        <v>9780761928188</v>
      </c>
      <c r="D4213" t="str">
        <f>"9781452262246"</f>
        <v>9781452262246</v>
      </c>
      <c r="E4213" t="s">
        <v>40883</v>
      </c>
      <c r="F4213" t="s">
        <v>7434</v>
      </c>
      <c r="G4213" t="s">
        <v>22194</v>
      </c>
      <c r="H4213" t="s">
        <v>26004</v>
      </c>
      <c r="I4213" s="26">
        <v>38804</v>
      </c>
      <c r="J4213">
        <v>2006</v>
      </c>
      <c r="K4213" t="s">
        <v>7434</v>
      </c>
      <c r="L4213">
        <v>393</v>
      </c>
      <c r="M4213" t="s">
        <v>41032</v>
      </c>
      <c r="N4213">
        <v>2</v>
      </c>
      <c r="O4213" t="s">
        <v>40929</v>
      </c>
      <c r="R4213" t="s">
        <v>41033</v>
      </c>
      <c r="T4213" t="s">
        <v>30</v>
      </c>
      <c r="U4213" t="s">
        <v>26044</v>
      </c>
      <c r="W4213" t="s">
        <v>26009</v>
      </c>
    </row>
    <row r="4214" spans="1:23" x14ac:dyDescent="0.35">
      <c r="A4214">
        <v>996580</v>
      </c>
      <c r="B4214" t="s">
        <v>41034</v>
      </c>
      <c r="C4214" t="str">
        <f>"9781412917179"</f>
        <v>9781412917179</v>
      </c>
      <c r="D4214" t="str">
        <f>"9781452261782"</f>
        <v>9781452261782</v>
      </c>
      <c r="E4214" t="s">
        <v>40883</v>
      </c>
      <c r="F4214" t="s">
        <v>7434</v>
      </c>
      <c r="G4214" t="s">
        <v>22194</v>
      </c>
      <c r="H4214" t="s">
        <v>26004</v>
      </c>
      <c r="I4214" s="26">
        <v>39302</v>
      </c>
      <c r="J4214">
        <v>2007</v>
      </c>
      <c r="K4214" t="s">
        <v>7434</v>
      </c>
      <c r="L4214">
        <v>513</v>
      </c>
      <c r="M4214" t="s">
        <v>40997</v>
      </c>
      <c r="N4214">
        <v>1</v>
      </c>
      <c r="Q4214" t="s">
        <v>41035</v>
      </c>
      <c r="R4214">
        <v>616.89</v>
      </c>
      <c r="S4214" t="s">
        <v>41036</v>
      </c>
      <c r="T4214" t="s">
        <v>30</v>
      </c>
      <c r="U4214" t="s">
        <v>26019</v>
      </c>
      <c r="W4214" t="s">
        <v>26009</v>
      </c>
    </row>
    <row r="4215" spans="1:23" x14ac:dyDescent="0.35">
      <c r="A4215">
        <v>996590</v>
      </c>
      <c r="B4215" t="s">
        <v>41037</v>
      </c>
      <c r="C4215" t="str">
        <f>"9780761923336"</f>
        <v>9780761923336</v>
      </c>
      <c r="D4215" t="str">
        <f>"9781452262833"</f>
        <v>9781452262833</v>
      </c>
      <c r="E4215" t="s">
        <v>40883</v>
      </c>
      <c r="F4215" t="s">
        <v>7434</v>
      </c>
      <c r="G4215" t="s">
        <v>22194</v>
      </c>
      <c r="H4215" t="s">
        <v>26004</v>
      </c>
      <c r="I4215" s="26">
        <v>37267</v>
      </c>
      <c r="J4215">
        <v>2002</v>
      </c>
      <c r="K4215" t="s">
        <v>7434</v>
      </c>
      <c r="L4215">
        <v>401</v>
      </c>
      <c r="M4215" t="s">
        <v>41038</v>
      </c>
      <c r="N4215">
        <v>1</v>
      </c>
      <c r="R4215">
        <v>612.79999999999995</v>
      </c>
      <c r="T4215" t="s">
        <v>30</v>
      </c>
      <c r="U4215" t="s">
        <v>35007</v>
      </c>
      <c r="W4215" t="s">
        <v>26009</v>
      </c>
    </row>
    <row r="4216" spans="1:23" x14ac:dyDescent="0.35">
      <c r="A4216">
        <v>996611</v>
      </c>
      <c r="B4216" t="s">
        <v>41039</v>
      </c>
      <c r="C4216" t="str">
        <f>"9780761930785"</f>
        <v>9780761930785</v>
      </c>
      <c r="D4216" t="str">
        <f>"9781452261690"</f>
        <v>9781452261690</v>
      </c>
      <c r="E4216" t="s">
        <v>40883</v>
      </c>
      <c r="F4216" t="s">
        <v>7434</v>
      </c>
      <c r="G4216" t="s">
        <v>22194</v>
      </c>
      <c r="H4216" t="s">
        <v>26004</v>
      </c>
      <c r="I4216" s="26">
        <v>38568</v>
      </c>
      <c r="J4216">
        <v>2005</v>
      </c>
      <c r="K4216" t="s">
        <v>7434</v>
      </c>
      <c r="L4216">
        <v>561</v>
      </c>
      <c r="M4216" t="s">
        <v>41040</v>
      </c>
      <c r="N4216">
        <v>1</v>
      </c>
      <c r="O4216" t="s">
        <v>41041</v>
      </c>
      <c r="S4216" t="s">
        <v>41042</v>
      </c>
      <c r="T4216" t="s">
        <v>30</v>
      </c>
      <c r="U4216" t="s">
        <v>46</v>
      </c>
      <c r="W4216" t="s">
        <v>26009</v>
      </c>
    </row>
    <row r="4217" spans="1:23" x14ac:dyDescent="0.35">
      <c r="A4217">
        <v>996621</v>
      </c>
      <c r="B4217" t="s">
        <v>41043</v>
      </c>
      <c r="C4217" t="str">
        <f>"9780761921837"</f>
        <v>9780761921837</v>
      </c>
      <c r="D4217" t="str">
        <f>"9781452252001"</f>
        <v>9781452252001</v>
      </c>
      <c r="E4217" t="s">
        <v>40883</v>
      </c>
      <c r="F4217" t="s">
        <v>7434</v>
      </c>
      <c r="G4217" t="s">
        <v>22194</v>
      </c>
      <c r="H4217" t="s">
        <v>26004</v>
      </c>
      <c r="I4217" s="26">
        <v>36726</v>
      </c>
      <c r="J4217">
        <v>2001</v>
      </c>
      <c r="K4217" t="s">
        <v>7434</v>
      </c>
      <c r="L4217">
        <v>69</v>
      </c>
      <c r="M4217" t="s">
        <v>41044</v>
      </c>
      <c r="N4217">
        <v>1</v>
      </c>
      <c r="O4217" t="s">
        <v>40922</v>
      </c>
      <c r="R4217">
        <v>362.76859999999999</v>
      </c>
      <c r="S4217" t="s">
        <v>41045</v>
      </c>
      <c r="T4217" t="s">
        <v>30</v>
      </c>
      <c r="U4217" t="s">
        <v>26044</v>
      </c>
      <c r="W4217" t="s">
        <v>26009</v>
      </c>
    </row>
    <row r="4218" spans="1:23" x14ac:dyDescent="0.35">
      <c r="A4218">
        <v>996622</v>
      </c>
      <c r="B4218" t="s">
        <v>9765</v>
      </c>
      <c r="C4218" t="str">
        <f>"9781412951432"</f>
        <v>9781412951432</v>
      </c>
      <c r="D4218" t="str">
        <f>"9781452261515"</f>
        <v>9781452261515</v>
      </c>
      <c r="E4218" t="s">
        <v>40883</v>
      </c>
      <c r="F4218" t="s">
        <v>7434</v>
      </c>
      <c r="G4218" t="s">
        <v>22194</v>
      </c>
      <c r="H4218" t="s">
        <v>26004</v>
      </c>
      <c r="I4218" s="26">
        <v>40056</v>
      </c>
      <c r="J4218">
        <v>2009</v>
      </c>
      <c r="K4218" t="s">
        <v>7434</v>
      </c>
      <c r="L4218">
        <v>619</v>
      </c>
      <c r="M4218" t="s">
        <v>41046</v>
      </c>
      <c r="N4218">
        <v>1</v>
      </c>
      <c r="Q4218" t="s">
        <v>41047</v>
      </c>
      <c r="R4218">
        <v>300.3</v>
      </c>
      <c r="S4218" t="s">
        <v>41048</v>
      </c>
      <c r="T4218" t="s">
        <v>30</v>
      </c>
      <c r="U4218" t="s">
        <v>26044</v>
      </c>
      <c r="W4218" t="s">
        <v>26009</v>
      </c>
    </row>
    <row r="4219" spans="1:23" x14ac:dyDescent="0.35">
      <c r="A4219">
        <v>996627</v>
      </c>
      <c r="B4219" t="s">
        <v>8640</v>
      </c>
      <c r="C4219" t="str">
        <f>"9781412926058"</f>
        <v>9781412926058</v>
      </c>
      <c r="D4219" t="str">
        <f>"9781452261676"</f>
        <v>9781452261676</v>
      </c>
      <c r="E4219" t="s">
        <v>40883</v>
      </c>
      <c r="F4219" t="s">
        <v>7434</v>
      </c>
      <c r="G4219" t="s">
        <v>22194</v>
      </c>
      <c r="H4219" t="s">
        <v>26004</v>
      </c>
      <c r="I4219" s="26">
        <v>39365</v>
      </c>
      <c r="J4219">
        <v>2008</v>
      </c>
      <c r="K4219" t="s">
        <v>7434</v>
      </c>
      <c r="L4219">
        <v>473</v>
      </c>
      <c r="M4219" t="s">
        <v>41049</v>
      </c>
      <c r="N4219">
        <v>1</v>
      </c>
      <c r="Q4219" t="s">
        <v>41050</v>
      </c>
      <c r="R4219" t="s">
        <v>30369</v>
      </c>
      <c r="S4219" t="s">
        <v>8641</v>
      </c>
      <c r="T4219" t="s">
        <v>30</v>
      </c>
      <c r="U4219" t="s">
        <v>26040</v>
      </c>
      <c r="W4219" t="s">
        <v>26009</v>
      </c>
    </row>
    <row r="4220" spans="1:23" x14ac:dyDescent="0.35">
      <c r="A4220">
        <v>996628</v>
      </c>
      <c r="B4220" t="s">
        <v>41051</v>
      </c>
      <c r="C4220" t="str">
        <f>"9781412908993"</f>
        <v>9781412908993</v>
      </c>
      <c r="D4220" t="str">
        <f>"9781452262376"</f>
        <v>9781452262376</v>
      </c>
      <c r="E4220" t="s">
        <v>40883</v>
      </c>
      <c r="F4220" t="s">
        <v>7434</v>
      </c>
      <c r="G4220" t="s">
        <v>22194</v>
      </c>
      <c r="H4220" t="s">
        <v>26004</v>
      </c>
      <c r="I4220" s="26">
        <v>39192</v>
      </c>
      <c r="J4220">
        <v>2007</v>
      </c>
      <c r="K4220" t="s">
        <v>7434</v>
      </c>
      <c r="L4220">
        <v>433</v>
      </c>
      <c r="M4220" t="s">
        <v>41052</v>
      </c>
      <c r="N4220">
        <v>1</v>
      </c>
      <c r="R4220" t="s">
        <v>29581</v>
      </c>
      <c r="T4220" t="s">
        <v>30</v>
      </c>
      <c r="U4220" t="s">
        <v>26044</v>
      </c>
      <c r="W4220" t="s">
        <v>26009</v>
      </c>
    </row>
    <row r="4221" spans="1:23" x14ac:dyDescent="0.35">
      <c r="A4221">
        <v>996635</v>
      </c>
      <c r="B4221" t="s">
        <v>41053</v>
      </c>
      <c r="C4221" t="str">
        <f>"9780761923428"</f>
        <v>9780761923428</v>
      </c>
      <c r="D4221" t="str">
        <f>"9781452262963"</f>
        <v>9781452262963</v>
      </c>
      <c r="E4221" t="s">
        <v>40883</v>
      </c>
      <c r="F4221" t="s">
        <v>7434</v>
      </c>
      <c r="G4221" t="s">
        <v>22194</v>
      </c>
      <c r="H4221" t="s">
        <v>26004</v>
      </c>
      <c r="I4221" s="26">
        <v>37718</v>
      </c>
      <c r="J4221">
        <v>2003</v>
      </c>
      <c r="K4221" t="s">
        <v>7434</v>
      </c>
      <c r="L4221">
        <v>325</v>
      </c>
      <c r="M4221" t="s">
        <v>41054</v>
      </c>
      <c r="N4221">
        <v>1</v>
      </c>
      <c r="R4221" t="s">
        <v>41055</v>
      </c>
      <c r="T4221" t="s">
        <v>30</v>
      </c>
      <c r="U4221" t="s">
        <v>26044</v>
      </c>
      <c r="W4221" t="s">
        <v>26009</v>
      </c>
    </row>
    <row r="4222" spans="1:23" x14ac:dyDescent="0.35">
      <c r="A4222">
        <v>996637</v>
      </c>
      <c r="B4222" t="s">
        <v>41056</v>
      </c>
      <c r="C4222" t="str">
        <f>"9780761921721"</f>
        <v>9780761921721</v>
      </c>
      <c r="D4222" t="str">
        <f>"9781452262680"</f>
        <v>9781452262680</v>
      </c>
      <c r="E4222" t="s">
        <v>40883</v>
      </c>
      <c r="F4222" t="s">
        <v>7434</v>
      </c>
      <c r="G4222" t="s">
        <v>22194</v>
      </c>
      <c r="H4222" t="s">
        <v>26004</v>
      </c>
      <c r="I4222" s="26">
        <v>37804</v>
      </c>
      <c r="J4222">
        <v>2003</v>
      </c>
      <c r="K4222" t="s">
        <v>7434</v>
      </c>
      <c r="L4222">
        <v>361</v>
      </c>
      <c r="M4222" t="s">
        <v>41057</v>
      </c>
      <c r="N4222">
        <v>1</v>
      </c>
      <c r="R4222">
        <v>155.19999999999999</v>
      </c>
      <c r="T4222" t="s">
        <v>30</v>
      </c>
      <c r="U4222" t="s">
        <v>46</v>
      </c>
      <c r="W4222" t="s">
        <v>26009</v>
      </c>
    </row>
    <row r="4223" spans="1:23" x14ac:dyDescent="0.35">
      <c r="A4223">
        <v>996639</v>
      </c>
      <c r="B4223" t="s">
        <v>41058</v>
      </c>
      <c r="C4223" t="str">
        <f>"9780761920816"</f>
        <v>9780761920816</v>
      </c>
      <c r="D4223" t="str">
        <f>"9781452262505"</f>
        <v>9781452262505</v>
      </c>
      <c r="E4223" t="s">
        <v>40883</v>
      </c>
      <c r="F4223" t="s">
        <v>7434</v>
      </c>
      <c r="G4223" t="s">
        <v>22194</v>
      </c>
      <c r="H4223" t="s">
        <v>26004</v>
      </c>
      <c r="I4223" s="26">
        <v>36950</v>
      </c>
      <c r="J4223">
        <v>2001</v>
      </c>
      <c r="K4223" t="s">
        <v>7434</v>
      </c>
      <c r="L4223">
        <v>373</v>
      </c>
      <c r="M4223" t="s">
        <v>41059</v>
      </c>
      <c r="N4223">
        <v>1</v>
      </c>
      <c r="R4223" t="s">
        <v>27122</v>
      </c>
      <c r="T4223" t="s">
        <v>30</v>
      </c>
      <c r="U4223" t="s">
        <v>26040</v>
      </c>
      <c r="W4223" t="s">
        <v>26009</v>
      </c>
    </row>
    <row r="4224" spans="1:23" x14ac:dyDescent="0.35">
      <c r="A4224">
        <v>996641</v>
      </c>
      <c r="B4224" t="s">
        <v>9601</v>
      </c>
      <c r="C4224" t="str">
        <f>"9780761917595"</f>
        <v>9780761917595</v>
      </c>
      <c r="D4224" t="str">
        <f>"9781452262741"</f>
        <v>9781452262741</v>
      </c>
      <c r="E4224" t="s">
        <v>40883</v>
      </c>
      <c r="F4224" t="s">
        <v>7434</v>
      </c>
      <c r="G4224" t="s">
        <v>22194</v>
      </c>
      <c r="H4224" t="s">
        <v>26004</v>
      </c>
      <c r="I4224" s="26">
        <v>36965</v>
      </c>
      <c r="J4224">
        <v>2001</v>
      </c>
      <c r="K4224" t="s">
        <v>7434</v>
      </c>
      <c r="L4224">
        <v>298</v>
      </c>
      <c r="M4224" t="s">
        <v>40918</v>
      </c>
      <c r="N4224">
        <v>1</v>
      </c>
      <c r="T4224" t="s">
        <v>30</v>
      </c>
      <c r="U4224" t="s">
        <v>46</v>
      </c>
      <c r="W4224" t="s">
        <v>26009</v>
      </c>
    </row>
    <row r="4225" spans="1:23" x14ac:dyDescent="0.35">
      <c r="A4225">
        <v>996648</v>
      </c>
      <c r="B4225" t="s">
        <v>41060</v>
      </c>
      <c r="C4225" t="str">
        <f>"9780761927914"</f>
        <v>9780761927914</v>
      </c>
      <c r="D4225" t="str">
        <f>"9781452262239"</f>
        <v>9781452262239</v>
      </c>
      <c r="E4225" t="s">
        <v>40883</v>
      </c>
      <c r="F4225" t="s">
        <v>7434</v>
      </c>
      <c r="G4225" t="s">
        <v>22194</v>
      </c>
      <c r="H4225" t="s">
        <v>26004</v>
      </c>
      <c r="I4225" s="26">
        <v>38372</v>
      </c>
      <c r="J4225">
        <v>2005</v>
      </c>
      <c r="K4225" t="s">
        <v>7434</v>
      </c>
      <c r="L4225">
        <v>425</v>
      </c>
      <c r="M4225" t="s">
        <v>41061</v>
      </c>
      <c r="N4225">
        <v>1</v>
      </c>
      <c r="R4225" t="s">
        <v>28101</v>
      </c>
      <c r="T4225" t="s">
        <v>30</v>
      </c>
      <c r="U4225" t="s">
        <v>26040</v>
      </c>
      <c r="W4225" t="s">
        <v>26009</v>
      </c>
    </row>
    <row r="4226" spans="1:23" x14ac:dyDescent="0.35">
      <c r="A4226">
        <v>996650</v>
      </c>
      <c r="B4226" t="s">
        <v>41062</v>
      </c>
      <c r="C4226" t="str">
        <f>"9780761915430"</f>
        <v>9780761915430</v>
      </c>
      <c r="D4226" t="str">
        <f>"9781452261997"</f>
        <v>9781452261997</v>
      </c>
      <c r="E4226" t="s">
        <v>40883</v>
      </c>
      <c r="F4226" t="s">
        <v>7434</v>
      </c>
      <c r="G4226" t="s">
        <v>22194</v>
      </c>
      <c r="H4226" t="s">
        <v>26004</v>
      </c>
      <c r="I4226" s="26">
        <v>36396</v>
      </c>
      <c r="J4226">
        <v>1999</v>
      </c>
      <c r="K4226" t="s">
        <v>7434</v>
      </c>
      <c r="L4226">
        <v>561</v>
      </c>
      <c r="M4226" t="s">
        <v>41063</v>
      </c>
      <c r="N4226">
        <v>1</v>
      </c>
      <c r="Q4226" t="s">
        <v>41064</v>
      </c>
      <c r="R4226" t="s">
        <v>26420</v>
      </c>
      <c r="S4226" t="s">
        <v>41065</v>
      </c>
      <c r="T4226" t="s">
        <v>30</v>
      </c>
      <c r="U4226" t="s">
        <v>46</v>
      </c>
      <c r="W4226" t="s">
        <v>26009</v>
      </c>
    </row>
    <row r="4227" spans="1:23" x14ac:dyDescent="0.35">
      <c r="A4227">
        <v>996655</v>
      </c>
      <c r="B4227" t="s">
        <v>41066</v>
      </c>
      <c r="C4227" t="str">
        <f>"9780761921844"</f>
        <v>9780761921844</v>
      </c>
      <c r="D4227" t="str">
        <f>"9781452252018"</f>
        <v>9781452252018</v>
      </c>
      <c r="E4227" t="s">
        <v>40883</v>
      </c>
      <c r="F4227" t="s">
        <v>7434</v>
      </c>
      <c r="G4227" t="s">
        <v>22194</v>
      </c>
      <c r="H4227" t="s">
        <v>26004</v>
      </c>
      <c r="I4227" s="26">
        <v>36734</v>
      </c>
      <c r="J4227">
        <v>2000</v>
      </c>
      <c r="K4227" t="s">
        <v>7434</v>
      </c>
      <c r="L4227">
        <v>33</v>
      </c>
      <c r="M4227" t="s">
        <v>41044</v>
      </c>
      <c r="N4227">
        <v>1</v>
      </c>
      <c r="O4227" t="s">
        <v>40922</v>
      </c>
      <c r="S4227" t="s">
        <v>41067</v>
      </c>
      <c r="T4227" t="s">
        <v>30</v>
      </c>
      <c r="U4227" t="s">
        <v>46</v>
      </c>
      <c r="W4227" t="s">
        <v>26009</v>
      </c>
    </row>
    <row r="4228" spans="1:23" x14ac:dyDescent="0.35">
      <c r="A4228">
        <v>996664</v>
      </c>
      <c r="B4228" t="s">
        <v>41068</v>
      </c>
      <c r="C4228" t="str">
        <f>"9780761921851"</f>
        <v>9780761921851</v>
      </c>
      <c r="D4228" t="str">
        <f>"9781452252025"</f>
        <v>9781452252025</v>
      </c>
      <c r="E4228" t="s">
        <v>40883</v>
      </c>
      <c r="F4228" t="s">
        <v>7434</v>
      </c>
      <c r="G4228" t="s">
        <v>22194</v>
      </c>
      <c r="H4228" t="s">
        <v>26004</v>
      </c>
      <c r="I4228" s="26">
        <v>36726</v>
      </c>
      <c r="J4228">
        <v>2000</v>
      </c>
      <c r="K4228" t="s">
        <v>7434</v>
      </c>
      <c r="L4228">
        <v>31</v>
      </c>
      <c r="M4228" t="s">
        <v>41069</v>
      </c>
      <c r="N4228">
        <v>1</v>
      </c>
      <c r="O4228" t="s">
        <v>40922</v>
      </c>
      <c r="S4228" t="s">
        <v>41070</v>
      </c>
      <c r="T4228" t="s">
        <v>30</v>
      </c>
      <c r="U4228" t="s">
        <v>46</v>
      </c>
      <c r="W4228" t="s">
        <v>26009</v>
      </c>
    </row>
    <row r="4229" spans="1:23" x14ac:dyDescent="0.35">
      <c r="A4229">
        <v>996670</v>
      </c>
      <c r="B4229" t="s">
        <v>41071</v>
      </c>
      <c r="C4229" t="str">
        <f>"9780761923916"</f>
        <v>9780761923916</v>
      </c>
      <c r="D4229" t="str">
        <f>"9781452261973"</f>
        <v>9781452261973</v>
      </c>
      <c r="E4229" t="s">
        <v>40883</v>
      </c>
      <c r="F4229" t="s">
        <v>7434</v>
      </c>
      <c r="G4229" t="s">
        <v>22194</v>
      </c>
      <c r="H4229" t="s">
        <v>26004</v>
      </c>
      <c r="I4229" s="26">
        <v>37901</v>
      </c>
      <c r="J4229">
        <v>2004</v>
      </c>
      <c r="K4229" t="s">
        <v>7434</v>
      </c>
      <c r="L4229">
        <v>385</v>
      </c>
      <c r="M4229" t="s">
        <v>41072</v>
      </c>
      <c r="N4229">
        <v>2</v>
      </c>
      <c r="R4229" t="s">
        <v>28066</v>
      </c>
      <c r="T4229" t="s">
        <v>30</v>
      </c>
      <c r="U4229" t="s">
        <v>26040</v>
      </c>
      <c r="W4229" t="s">
        <v>26009</v>
      </c>
    </row>
    <row r="4230" spans="1:23" x14ac:dyDescent="0.35">
      <c r="A4230">
        <v>996677</v>
      </c>
      <c r="B4230" t="s">
        <v>8785</v>
      </c>
      <c r="C4230" t="str">
        <f>"9780761920236"</f>
        <v>9780761920236</v>
      </c>
      <c r="D4230" t="str">
        <f>"9781452262604"</f>
        <v>9781452262604</v>
      </c>
      <c r="E4230" t="s">
        <v>40883</v>
      </c>
      <c r="F4230" t="s">
        <v>7434</v>
      </c>
      <c r="G4230" t="s">
        <v>22194</v>
      </c>
      <c r="H4230" t="s">
        <v>26004</v>
      </c>
      <c r="I4230" s="26">
        <v>37099</v>
      </c>
      <c r="J4230">
        <v>2001</v>
      </c>
      <c r="K4230" t="s">
        <v>7434</v>
      </c>
      <c r="L4230">
        <v>361</v>
      </c>
      <c r="M4230" t="s">
        <v>41073</v>
      </c>
      <c r="N4230">
        <v>1</v>
      </c>
      <c r="R4230" t="s">
        <v>27740</v>
      </c>
      <c r="T4230" t="s">
        <v>30</v>
      </c>
      <c r="U4230" t="s">
        <v>26044</v>
      </c>
      <c r="W4230" t="s">
        <v>26009</v>
      </c>
    </row>
    <row r="4231" spans="1:23" x14ac:dyDescent="0.35">
      <c r="A4231">
        <v>996681</v>
      </c>
      <c r="B4231" t="s">
        <v>41074</v>
      </c>
      <c r="C4231" t="str">
        <f>"9780761922483"</f>
        <v>9780761922483</v>
      </c>
      <c r="D4231" t="str">
        <f>"9781452262734"</f>
        <v>9781452262734</v>
      </c>
      <c r="E4231" t="s">
        <v>40883</v>
      </c>
      <c r="F4231" t="s">
        <v>7434</v>
      </c>
      <c r="G4231" t="s">
        <v>22194</v>
      </c>
      <c r="H4231" t="s">
        <v>26004</v>
      </c>
      <c r="I4231" s="26">
        <v>37327</v>
      </c>
      <c r="J4231">
        <v>2002</v>
      </c>
      <c r="K4231" t="s">
        <v>7434</v>
      </c>
      <c r="L4231">
        <v>305</v>
      </c>
      <c r="M4231" t="s">
        <v>41075</v>
      </c>
      <c r="N4231">
        <v>1</v>
      </c>
      <c r="R4231" t="s">
        <v>28830</v>
      </c>
      <c r="T4231" t="s">
        <v>30</v>
      </c>
      <c r="U4231" t="s">
        <v>26040</v>
      </c>
      <c r="W4231" t="s">
        <v>26009</v>
      </c>
    </row>
    <row r="4232" spans="1:23" x14ac:dyDescent="0.35">
      <c r="A4232">
        <v>996682</v>
      </c>
      <c r="B4232" t="s">
        <v>41076</v>
      </c>
      <c r="C4232" t="str">
        <f>"9780803953468"</f>
        <v>9780803953468</v>
      </c>
      <c r="D4232" t="str">
        <f>"9781452262499"</f>
        <v>9781452262499</v>
      </c>
      <c r="E4232" t="s">
        <v>40883</v>
      </c>
      <c r="F4232" t="s">
        <v>7434</v>
      </c>
      <c r="G4232" t="s">
        <v>22194</v>
      </c>
      <c r="H4232" t="s">
        <v>26004</v>
      </c>
      <c r="I4232" s="26">
        <v>37334</v>
      </c>
      <c r="J4232">
        <v>2002</v>
      </c>
      <c r="K4232" t="s">
        <v>7434</v>
      </c>
      <c r="L4232">
        <v>201</v>
      </c>
      <c r="M4232" t="s">
        <v>41077</v>
      </c>
      <c r="N4232">
        <v>1</v>
      </c>
      <c r="O4232" t="s">
        <v>40929</v>
      </c>
      <c r="R4232" t="s">
        <v>41078</v>
      </c>
      <c r="T4232" t="s">
        <v>30</v>
      </c>
      <c r="U4232" t="s">
        <v>26040</v>
      </c>
      <c r="W4232" t="s">
        <v>26009</v>
      </c>
    </row>
    <row r="4233" spans="1:23" x14ac:dyDescent="0.35">
      <c r="A4233">
        <v>996684</v>
      </c>
      <c r="B4233" t="s">
        <v>41079</v>
      </c>
      <c r="C4233" t="str">
        <f>"9780761923459"</f>
        <v>9780761923459</v>
      </c>
      <c r="D4233" t="str">
        <f>"9781452262901"</f>
        <v>9781452262901</v>
      </c>
      <c r="E4233" t="s">
        <v>40883</v>
      </c>
      <c r="F4233" t="s">
        <v>7434</v>
      </c>
      <c r="G4233" t="s">
        <v>22194</v>
      </c>
      <c r="H4233" t="s">
        <v>26004</v>
      </c>
      <c r="I4233" s="26">
        <v>37572</v>
      </c>
      <c r="J4233">
        <v>2002</v>
      </c>
      <c r="K4233" t="s">
        <v>7434</v>
      </c>
      <c r="L4233">
        <v>537</v>
      </c>
      <c r="M4233" t="s">
        <v>41080</v>
      </c>
      <c r="N4233">
        <v>1</v>
      </c>
      <c r="O4233" t="s">
        <v>41081</v>
      </c>
      <c r="R4233" t="s">
        <v>41082</v>
      </c>
      <c r="T4233" t="s">
        <v>30</v>
      </c>
      <c r="U4233" t="s">
        <v>30110</v>
      </c>
      <c r="W4233" t="s">
        <v>26009</v>
      </c>
    </row>
    <row r="4234" spans="1:23" x14ac:dyDescent="0.35">
      <c r="A4234">
        <v>996688</v>
      </c>
      <c r="B4234" t="s">
        <v>7989</v>
      </c>
      <c r="C4234" t="str">
        <f>"9780761915904"</f>
        <v>9780761915904</v>
      </c>
      <c r="D4234" t="str">
        <f>"9781452263267"</f>
        <v>9781452263267</v>
      </c>
      <c r="E4234" t="s">
        <v>40883</v>
      </c>
      <c r="F4234" t="s">
        <v>7434</v>
      </c>
      <c r="G4234" t="s">
        <v>22194</v>
      </c>
      <c r="H4234" t="s">
        <v>26004</v>
      </c>
      <c r="I4234" s="26">
        <v>36357</v>
      </c>
      <c r="J4234">
        <v>1999</v>
      </c>
      <c r="K4234" t="s">
        <v>7434</v>
      </c>
      <c r="L4234">
        <v>209</v>
      </c>
      <c r="M4234" t="s">
        <v>41083</v>
      </c>
      <c r="N4234">
        <v>1</v>
      </c>
      <c r="O4234" t="s">
        <v>40929</v>
      </c>
      <c r="P4234">
        <v>12</v>
      </c>
      <c r="Q4234" t="s">
        <v>41084</v>
      </c>
      <c r="R4234">
        <v>362.84</v>
      </c>
      <c r="S4234" t="s">
        <v>7990</v>
      </c>
      <c r="T4234" t="s">
        <v>30</v>
      </c>
      <c r="U4234" t="s">
        <v>26044</v>
      </c>
      <c r="W4234" t="s">
        <v>26009</v>
      </c>
    </row>
    <row r="4235" spans="1:23" x14ac:dyDescent="0.35">
      <c r="A4235">
        <v>996689</v>
      </c>
      <c r="B4235" t="s">
        <v>41085</v>
      </c>
      <c r="C4235" t="str">
        <f>"9780761909934"</f>
        <v>9780761909934</v>
      </c>
      <c r="D4235" t="str">
        <f>"9781452263663"</f>
        <v>9781452263663</v>
      </c>
      <c r="E4235" t="s">
        <v>40883</v>
      </c>
      <c r="F4235" t="s">
        <v>7434</v>
      </c>
      <c r="G4235" t="s">
        <v>22194</v>
      </c>
      <c r="H4235" t="s">
        <v>26004</v>
      </c>
      <c r="I4235" s="26">
        <v>36406</v>
      </c>
      <c r="J4235">
        <v>1999</v>
      </c>
      <c r="K4235" t="s">
        <v>7434</v>
      </c>
      <c r="L4235">
        <v>239</v>
      </c>
      <c r="M4235" t="s">
        <v>41086</v>
      </c>
      <c r="N4235">
        <v>1</v>
      </c>
      <c r="R4235">
        <v>128</v>
      </c>
      <c r="T4235" t="s">
        <v>30</v>
      </c>
      <c r="U4235" t="s">
        <v>152</v>
      </c>
      <c r="W4235" t="s">
        <v>26009</v>
      </c>
    </row>
    <row r="4236" spans="1:23" x14ac:dyDescent="0.35">
      <c r="A4236">
        <v>996690</v>
      </c>
      <c r="B4236" t="s">
        <v>41087</v>
      </c>
      <c r="C4236" t="str">
        <f>"9780761917922"</f>
        <v>9780761917922</v>
      </c>
      <c r="D4236" t="str">
        <f>"9781452263687"</f>
        <v>9781452263687</v>
      </c>
      <c r="E4236" t="s">
        <v>40883</v>
      </c>
      <c r="F4236" t="s">
        <v>7434</v>
      </c>
      <c r="G4236" t="s">
        <v>22194</v>
      </c>
      <c r="H4236" t="s">
        <v>26004</v>
      </c>
      <c r="I4236" s="26">
        <v>36399</v>
      </c>
      <c r="J4236">
        <v>1999</v>
      </c>
      <c r="K4236" t="s">
        <v>7434</v>
      </c>
      <c r="L4236">
        <v>186</v>
      </c>
      <c r="M4236" t="s">
        <v>41088</v>
      </c>
      <c r="N4236">
        <v>1</v>
      </c>
      <c r="O4236" t="s">
        <v>40926</v>
      </c>
      <c r="R4236">
        <v>306.7</v>
      </c>
      <c r="T4236" t="s">
        <v>30</v>
      </c>
      <c r="U4236" t="s">
        <v>26044</v>
      </c>
      <c r="W4236" t="s">
        <v>26009</v>
      </c>
    </row>
    <row r="4237" spans="1:23" x14ac:dyDescent="0.35">
      <c r="A4237">
        <v>996694</v>
      </c>
      <c r="B4237" t="s">
        <v>9053</v>
      </c>
      <c r="C4237" t="str">
        <f>"9780761914945"</f>
        <v>9780761914945</v>
      </c>
      <c r="D4237" t="str">
        <f>"9781452262185"</f>
        <v>9781452262185</v>
      </c>
      <c r="E4237" t="s">
        <v>40883</v>
      </c>
      <c r="F4237" t="s">
        <v>7434</v>
      </c>
      <c r="G4237" t="s">
        <v>22194</v>
      </c>
      <c r="H4237" t="s">
        <v>26004</v>
      </c>
      <c r="I4237" s="26">
        <v>36495</v>
      </c>
      <c r="J4237">
        <v>1999</v>
      </c>
      <c r="K4237" t="s">
        <v>7434</v>
      </c>
      <c r="L4237">
        <v>391</v>
      </c>
      <c r="M4237" t="s">
        <v>41089</v>
      </c>
      <c r="N4237">
        <v>1</v>
      </c>
      <c r="O4237" t="s">
        <v>41090</v>
      </c>
      <c r="R4237" t="s">
        <v>41091</v>
      </c>
      <c r="T4237" t="s">
        <v>30</v>
      </c>
      <c r="U4237" t="s">
        <v>337</v>
      </c>
      <c r="W4237" t="s">
        <v>26009</v>
      </c>
    </row>
    <row r="4238" spans="1:23" x14ac:dyDescent="0.35">
      <c r="A4238">
        <v>996709</v>
      </c>
      <c r="B4238" t="s">
        <v>41092</v>
      </c>
      <c r="C4238" t="str">
        <f>"9781412910071"</f>
        <v>9781412910071</v>
      </c>
      <c r="D4238" t="str">
        <f>"9781452261652"</f>
        <v>9781452261652</v>
      </c>
      <c r="E4238" t="s">
        <v>40883</v>
      </c>
      <c r="F4238" t="s">
        <v>7434</v>
      </c>
      <c r="G4238" t="s">
        <v>22194</v>
      </c>
      <c r="H4238" t="s">
        <v>26004</v>
      </c>
      <c r="I4238" s="26">
        <v>38694</v>
      </c>
      <c r="J4238">
        <v>2006</v>
      </c>
      <c r="K4238" t="s">
        <v>7434</v>
      </c>
      <c r="L4238">
        <v>633</v>
      </c>
      <c r="M4238" t="s">
        <v>41093</v>
      </c>
      <c r="N4238">
        <v>1</v>
      </c>
      <c r="R4238" t="s">
        <v>26873</v>
      </c>
      <c r="S4238" t="s">
        <v>41094</v>
      </c>
      <c r="T4238" t="s">
        <v>30</v>
      </c>
      <c r="U4238" t="s">
        <v>46</v>
      </c>
      <c r="W4238" t="s">
        <v>26009</v>
      </c>
    </row>
    <row r="4239" spans="1:23" x14ac:dyDescent="0.35">
      <c r="A4239">
        <v>996712</v>
      </c>
      <c r="B4239" t="s">
        <v>41095</v>
      </c>
      <c r="C4239" t="str">
        <f>"9780761929062"</f>
        <v>9780761929062</v>
      </c>
      <c r="D4239" t="str">
        <f>"9781452263007"</f>
        <v>9781452263007</v>
      </c>
      <c r="E4239" t="s">
        <v>40883</v>
      </c>
      <c r="F4239" t="s">
        <v>7434</v>
      </c>
      <c r="G4239" t="s">
        <v>22194</v>
      </c>
      <c r="H4239" t="s">
        <v>26004</v>
      </c>
      <c r="I4239" s="26">
        <v>37910</v>
      </c>
      <c r="J4239">
        <v>2004</v>
      </c>
      <c r="K4239" t="s">
        <v>7434</v>
      </c>
      <c r="L4239">
        <v>215</v>
      </c>
      <c r="M4239" t="s">
        <v>41096</v>
      </c>
      <c r="N4239">
        <v>1</v>
      </c>
      <c r="R4239" t="s">
        <v>41097</v>
      </c>
      <c r="T4239" t="s">
        <v>30</v>
      </c>
      <c r="U4239" t="s">
        <v>26044</v>
      </c>
      <c r="W4239" t="s">
        <v>26009</v>
      </c>
    </row>
    <row r="4240" spans="1:23" x14ac:dyDescent="0.35">
      <c r="A4240">
        <v>996721</v>
      </c>
      <c r="B4240" t="s">
        <v>41098</v>
      </c>
      <c r="C4240" t="str">
        <f>"9780761908432"</f>
        <v>9780761908432</v>
      </c>
      <c r="D4240" t="str">
        <f>"9781452264745"</f>
        <v>9781452264745</v>
      </c>
      <c r="E4240" t="s">
        <v>40883</v>
      </c>
      <c r="F4240" t="s">
        <v>7434</v>
      </c>
      <c r="G4240" t="s">
        <v>22194</v>
      </c>
      <c r="H4240" t="s">
        <v>26004</v>
      </c>
      <c r="I4240" s="26">
        <v>36698</v>
      </c>
      <c r="J4240">
        <v>2000</v>
      </c>
      <c r="K4240" t="s">
        <v>7434</v>
      </c>
      <c r="L4240">
        <v>450</v>
      </c>
      <c r="M4240" t="s">
        <v>41099</v>
      </c>
      <c r="N4240">
        <v>1</v>
      </c>
      <c r="R4240" t="s">
        <v>41100</v>
      </c>
      <c r="T4240" t="s">
        <v>30</v>
      </c>
      <c r="U4240" t="s">
        <v>26250</v>
      </c>
      <c r="W4240" t="s">
        <v>26009</v>
      </c>
    </row>
    <row r="4241" spans="1:23" x14ac:dyDescent="0.35">
      <c r="A4241">
        <v>996724</v>
      </c>
      <c r="B4241" t="s">
        <v>7996</v>
      </c>
      <c r="C4241" t="str">
        <f>"9781452216874"</f>
        <v>9781452216874</v>
      </c>
      <c r="D4241" t="str">
        <f>"9781452263861"</f>
        <v>9781452263861</v>
      </c>
      <c r="E4241" t="s">
        <v>40883</v>
      </c>
      <c r="F4241" t="s">
        <v>7434</v>
      </c>
      <c r="G4241" t="s">
        <v>22194</v>
      </c>
      <c r="H4241" t="s">
        <v>26004</v>
      </c>
      <c r="I4241" s="26">
        <v>40816</v>
      </c>
      <c r="J4241">
        <v>2012</v>
      </c>
      <c r="K4241" t="s">
        <v>7434</v>
      </c>
      <c r="L4241">
        <v>129</v>
      </c>
      <c r="M4241" t="s">
        <v>41101</v>
      </c>
      <c r="N4241">
        <v>1</v>
      </c>
      <c r="R4241">
        <v>158.30000000000001</v>
      </c>
      <c r="T4241" t="s">
        <v>30</v>
      </c>
      <c r="U4241" t="s">
        <v>46</v>
      </c>
      <c r="W4241" t="s">
        <v>26009</v>
      </c>
    </row>
    <row r="4242" spans="1:23" x14ac:dyDescent="0.35">
      <c r="A4242">
        <v>996725</v>
      </c>
      <c r="B4242" t="s">
        <v>41102</v>
      </c>
      <c r="C4242" t="str">
        <f>"9781412987394"</f>
        <v>9781412987394</v>
      </c>
      <c r="D4242" t="str">
        <f>"9781452263878"</f>
        <v>9781452263878</v>
      </c>
      <c r="E4242" t="s">
        <v>40883</v>
      </c>
      <c r="F4242" t="s">
        <v>7434</v>
      </c>
      <c r="G4242" t="s">
        <v>22194</v>
      </c>
      <c r="H4242" t="s">
        <v>26004</v>
      </c>
      <c r="I4242" s="26">
        <v>40820</v>
      </c>
      <c r="J4242">
        <v>2012</v>
      </c>
      <c r="K4242" t="s">
        <v>7434</v>
      </c>
      <c r="L4242">
        <v>361</v>
      </c>
      <c r="M4242" t="s">
        <v>41103</v>
      </c>
      <c r="N4242">
        <v>1</v>
      </c>
      <c r="R4242">
        <v>155.5</v>
      </c>
      <c r="T4242" t="s">
        <v>30</v>
      </c>
      <c r="U4242" t="s">
        <v>46</v>
      </c>
      <c r="W4242" t="s">
        <v>26009</v>
      </c>
    </row>
    <row r="4243" spans="1:23" x14ac:dyDescent="0.35">
      <c r="A4243">
        <v>996737</v>
      </c>
      <c r="B4243" t="s">
        <v>41104</v>
      </c>
      <c r="C4243" t="str">
        <f>"9780761920663"</f>
        <v>9780761920663</v>
      </c>
      <c r="D4243" t="str">
        <f>"9781452266848"</f>
        <v>9781452266848</v>
      </c>
      <c r="E4243" t="s">
        <v>40883</v>
      </c>
      <c r="F4243" t="s">
        <v>7434</v>
      </c>
      <c r="G4243" t="s">
        <v>22194</v>
      </c>
      <c r="H4243" t="s">
        <v>26004</v>
      </c>
      <c r="I4243" s="26">
        <v>37146</v>
      </c>
      <c r="J4243">
        <v>2001</v>
      </c>
      <c r="K4243" t="s">
        <v>7434</v>
      </c>
      <c r="L4243">
        <v>425</v>
      </c>
      <c r="M4243" t="s">
        <v>41105</v>
      </c>
      <c r="N4243">
        <v>1</v>
      </c>
      <c r="R4243" t="s">
        <v>41100</v>
      </c>
      <c r="T4243" t="s">
        <v>30</v>
      </c>
      <c r="U4243" t="s">
        <v>26094</v>
      </c>
      <c r="W4243" t="s">
        <v>26009</v>
      </c>
    </row>
    <row r="4244" spans="1:23" x14ac:dyDescent="0.35">
      <c r="A4244">
        <v>996739</v>
      </c>
      <c r="B4244" t="s">
        <v>41106</v>
      </c>
      <c r="C4244" t="str">
        <f>"9780761921998"</f>
        <v>9780761921998</v>
      </c>
      <c r="D4244" t="str">
        <f>"9781452267197"</f>
        <v>9781452267197</v>
      </c>
      <c r="E4244" t="s">
        <v>40883</v>
      </c>
      <c r="F4244" t="s">
        <v>7434</v>
      </c>
      <c r="G4244" t="s">
        <v>22194</v>
      </c>
      <c r="H4244" t="s">
        <v>26004</v>
      </c>
      <c r="I4244" s="26">
        <v>37091</v>
      </c>
      <c r="J4244">
        <v>2001</v>
      </c>
      <c r="K4244" t="s">
        <v>7434</v>
      </c>
      <c r="L4244">
        <v>497</v>
      </c>
      <c r="M4244" t="s">
        <v>41107</v>
      </c>
      <c r="N4244">
        <v>1</v>
      </c>
      <c r="R4244" t="s">
        <v>27138</v>
      </c>
      <c r="T4244" t="s">
        <v>30</v>
      </c>
      <c r="U4244" t="s">
        <v>46</v>
      </c>
      <c r="W4244" t="s">
        <v>26009</v>
      </c>
    </row>
    <row r="4245" spans="1:23" x14ac:dyDescent="0.35">
      <c r="A4245">
        <v>996744</v>
      </c>
      <c r="B4245" t="s">
        <v>41108</v>
      </c>
      <c r="C4245" t="str">
        <f>"9780761917106"</f>
        <v>9780761917106</v>
      </c>
      <c r="D4245" t="str">
        <f>"9781452267159"</f>
        <v>9781452267159</v>
      </c>
      <c r="E4245" t="s">
        <v>40883</v>
      </c>
      <c r="F4245" t="s">
        <v>7434</v>
      </c>
      <c r="G4245" t="s">
        <v>22194</v>
      </c>
      <c r="H4245" t="s">
        <v>26004</v>
      </c>
      <c r="I4245" s="26">
        <v>37666</v>
      </c>
      <c r="J4245">
        <v>2003</v>
      </c>
      <c r="K4245" t="s">
        <v>7434</v>
      </c>
      <c r="L4245">
        <v>249</v>
      </c>
      <c r="M4245" t="s">
        <v>41109</v>
      </c>
      <c r="N4245">
        <v>1</v>
      </c>
      <c r="O4245" t="s">
        <v>40895</v>
      </c>
      <c r="T4245" t="s">
        <v>30</v>
      </c>
      <c r="U4245" t="s">
        <v>46</v>
      </c>
      <c r="W4245" t="s">
        <v>26009</v>
      </c>
    </row>
    <row r="4246" spans="1:23" x14ac:dyDescent="0.35">
      <c r="A4246">
        <v>996745</v>
      </c>
      <c r="B4246" t="s">
        <v>41110</v>
      </c>
      <c r="C4246" t="str">
        <f>"9780761920243"</f>
        <v>9780761920243</v>
      </c>
      <c r="D4246" t="str">
        <f>"9781452266855"</f>
        <v>9781452266855</v>
      </c>
      <c r="E4246" t="s">
        <v>40883</v>
      </c>
      <c r="F4246" t="s">
        <v>7434</v>
      </c>
      <c r="G4246" t="s">
        <v>22194</v>
      </c>
      <c r="H4246" t="s">
        <v>26004</v>
      </c>
      <c r="I4246" s="26">
        <v>37063</v>
      </c>
      <c r="J4246">
        <v>2001</v>
      </c>
      <c r="K4246" t="s">
        <v>7434</v>
      </c>
      <c r="L4246">
        <v>233</v>
      </c>
      <c r="M4246" t="s">
        <v>41111</v>
      </c>
      <c r="N4246">
        <v>1</v>
      </c>
      <c r="O4246" t="s">
        <v>40895</v>
      </c>
      <c r="T4246" t="s">
        <v>30</v>
      </c>
      <c r="U4246" t="s">
        <v>46</v>
      </c>
      <c r="W4246" t="s">
        <v>26009</v>
      </c>
    </row>
    <row r="4247" spans="1:23" x14ac:dyDescent="0.35">
      <c r="A4247">
        <v>996747</v>
      </c>
      <c r="B4247" t="s">
        <v>41112</v>
      </c>
      <c r="C4247" t="str">
        <f>"9780761922599"</f>
        <v>9780761922599</v>
      </c>
      <c r="D4247" t="str">
        <f>"9781452266985"</f>
        <v>9781452266985</v>
      </c>
      <c r="E4247" t="s">
        <v>40883</v>
      </c>
      <c r="F4247" t="s">
        <v>7434</v>
      </c>
      <c r="G4247" t="s">
        <v>22194</v>
      </c>
      <c r="H4247" t="s">
        <v>26004</v>
      </c>
      <c r="I4247" s="26">
        <v>37819</v>
      </c>
      <c r="J4247">
        <v>2004</v>
      </c>
      <c r="K4247" t="s">
        <v>7434</v>
      </c>
      <c r="L4247">
        <v>441</v>
      </c>
      <c r="M4247" t="s">
        <v>41113</v>
      </c>
      <c r="N4247">
        <v>1</v>
      </c>
      <c r="R4247" t="s">
        <v>41114</v>
      </c>
      <c r="T4247" t="s">
        <v>30</v>
      </c>
      <c r="U4247" t="s">
        <v>41115</v>
      </c>
      <c r="W4247" t="s">
        <v>26009</v>
      </c>
    </row>
    <row r="4248" spans="1:23" x14ac:dyDescent="0.35">
      <c r="A4248">
        <v>996748</v>
      </c>
      <c r="B4248" t="s">
        <v>41116</v>
      </c>
      <c r="C4248" t="str">
        <f>"9780761923800"</f>
        <v>9780761923800</v>
      </c>
      <c r="D4248" t="str">
        <f>"9781452267012"</f>
        <v>9781452267012</v>
      </c>
      <c r="E4248" t="s">
        <v>40883</v>
      </c>
      <c r="F4248" t="s">
        <v>7434</v>
      </c>
      <c r="G4248" t="s">
        <v>22194</v>
      </c>
      <c r="H4248" t="s">
        <v>26004</v>
      </c>
      <c r="I4248" s="26">
        <v>37034</v>
      </c>
      <c r="J4248">
        <v>2001</v>
      </c>
      <c r="K4248" t="s">
        <v>7434</v>
      </c>
      <c r="L4248">
        <v>393</v>
      </c>
      <c r="M4248" t="s">
        <v>41117</v>
      </c>
      <c r="N4248">
        <v>1</v>
      </c>
      <c r="R4248" t="s">
        <v>41118</v>
      </c>
      <c r="T4248" t="s">
        <v>30</v>
      </c>
      <c r="U4248" t="s">
        <v>26250</v>
      </c>
      <c r="W4248" t="s">
        <v>26009</v>
      </c>
    </row>
    <row r="4249" spans="1:23" x14ac:dyDescent="0.35">
      <c r="A4249">
        <v>996753</v>
      </c>
      <c r="B4249" t="s">
        <v>41119</v>
      </c>
      <c r="C4249" t="str">
        <f>"9780761922995"</f>
        <v>9780761922995</v>
      </c>
      <c r="D4249" t="str">
        <f>"9781452264172"</f>
        <v>9781452264172</v>
      </c>
      <c r="E4249" t="s">
        <v>40883</v>
      </c>
      <c r="F4249" t="s">
        <v>7434</v>
      </c>
      <c r="G4249" t="s">
        <v>22194</v>
      </c>
      <c r="H4249" t="s">
        <v>26004</v>
      </c>
      <c r="I4249" s="26">
        <v>36900</v>
      </c>
      <c r="J4249">
        <v>2001</v>
      </c>
      <c r="K4249" t="s">
        <v>7434</v>
      </c>
      <c r="L4249">
        <v>151</v>
      </c>
      <c r="M4249" t="s">
        <v>41120</v>
      </c>
      <c r="N4249">
        <v>1</v>
      </c>
      <c r="R4249" t="s">
        <v>41121</v>
      </c>
      <c r="T4249" t="s">
        <v>30</v>
      </c>
      <c r="U4249" t="s">
        <v>46</v>
      </c>
      <c r="W4249" t="s">
        <v>26009</v>
      </c>
    </row>
    <row r="4250" spans="1:23" x14ac:dyDescent="0.35">
      <c r="A4250">
        <v>996759</v>
      </c>
      <c r="B4250" t="s">
        <v>41122</v>
      </c>
      <c r="C4250" t="str">
        <f>"9780761907572"</f>
        <v>9780761907572</v>
      </c>
      <c r="D4250" t="str">
        <f>"9781452264943"</f>
        <v>9781452264943</v>
      </c>
      <c r="E4250" t="s">
        <v>40883</v>
      </c>
      <c r="F4250" t="s">
        <v>7434</v>
      </c>
      <c r="G4250" t="s">
        <v>22194</v>
      </c>
      <c r="H4250" t="s">
        <v>26004</v>
      </c>
      <c r="I4250" s="26">
        <v>35782</v>
      </c>
      <c r="J4250">
        <v>1998</v>
      </c>
      <c r="K4250" t="s">
        <v>7434</v>
      </c>
      <c r="L4250">
        <v>248</v>
      </c>
      <c r="M4250" t="s">
        <v>41123</v>
      </c>
      <c r="N4250">
        <v>1</v>
      </c>
      <c r="T4250" t="s">
        <v>30</v>
      </c>
      <c r="U4250" t="s">
        <v>46</v>
      </c>
      <c r="W4250" t="s">
        <v>26009</v>
      </c>
    </row>
    <row r="4251" spans="1:23" x14ac:dyDescent="0.35">
      <c r="A4251">
        <v>996760</v>
      </c>
      <c r="B4251" t="s">
        <v>41124</v>
      </c>
      <c r="C4251" t="str">
        <f>"9780761910619"</f>
        <v>9780761910619</v>
      </c>
      <c r="D4251" t="str">
        <f>"9781452264967"</f>
        <v>9781452264967</v>
      </c>
      <c r="E4251" t="s">
        <v>40883</v>
      </c>
      <c r="F4251" t="s">
        <v>7434</v>
      </c>
      <c r="G4251" t="s">
        <v>22194</v>
      </c>
      <c r="H4251" t="s">
        <v>26004</v>
      </c>
      <c r="I4251" s="26">
        <v>35713</v>
      </c>
      <c r="J4251">
        <v>1997</v>
      </c>
      <c r="K4251" t="s">
        <v>7434</v>
      </c>
      <c r="L4251">
        <v>330</v>
      </c>
      <c r="M4251" t="s">
        <v>41125</v>
      </c>
      <c r="N4251">
        <v>1</v>
      </c>
      <c r="R4251">
        <v>1.9</v>
      </c>
      <c r="T4251" t="s">
        <v>30</v>
      </c>
      <c r="U4251" t="s">
        <v>36282</v>
      </c>
      <c r="W4251" t="s">
        <v>26009</v>
      </c>
    </row>
    <row r="4252" spans="1:23" x14ac:dyDescent="0.35">
      <c r="A4252">
        <v>996761</v>
      </c>
      <c r="B4252" t="s">
        <v>41126</v>
      </c>
      <c r="C4252" t="str">
        <f>"9781412905145"</f>
        <v>9781412905145</v>
      </c>
      <c r="D4252" t="str">
        <f>"9781452264738"</f>
        <v>9781452264738</v>
      </c>
      <c r="E4252" t="s">
        <v>40883</v>
      </c>
      <c r="F4252" t="s">
        <v>7434</v>
      </c>
      <c r="G4252" t="s">
        <v>22194</v>
      </c>
      <c r="H4252" t="s">
        <v>26004</v>
      </c>
      <c r="I4252" s="26">
        <v>39637</v>
      </c>
      <c r="J4252">
        <v>2008</v>
      </c>
      <c r="K4252" t="s">
        <v>7434</v>
      </c>
      <c r="L4252">
        <v>545</v>
      </c>
      <c r="M4252" t="s">
        <v>41127</v>
      </c>
      <c r="N4252">
        <v>1</v>
      </c>
      <c r="R4252">
        <v>371.71300000000002</v>
      </c>
      <c r="T4252" t="s">
        <v>30</v>
      </c>
      <c r="U4252" t="s">
        <v>337</v>
      </c>
      <c r="W4252" t="s">
        <v>26009</v>
      </c>
    </row>
    <row r="4253" spans="1:23" x14ac:dyDescent="0.35">
      <c r="A4253">
        <v>996763</v>
      </c>
      <c r="B4253" t="s">
        <v>8293</v>
      </c>
      <c r="C4253" t="str">
        <f>"9780761928836"</f>
        <v>9780761928836</v>
      </c>
      <c r="D4253" t="str">
        <f>"9781452265384"</f>
        <v>9781452265384</v>
      </c>
      <c r="E4253" t="s">
        <v>40883</v>
      </c>
      <c r="F4253" t="s">
        <v>7434</v>
      </c>
      <c r="G4253" t="s">
        <v>22194</v>
      </c>
      <c r="H4253" t="s">
        <v>26004</v>
      </c>
      <c r="I4253" s="26">
        <v>38658</v>
      </c>
      <c r="J4253">
        <v>2006</v>
      </c>
      <c r="K4253" t="s">
        <v>7434</v>
      </c>
      <c r="L4253">
        <v>553</v>
      </c>
      <c r="M4253" t="s">
        <v>41128</v>
      </c>
      <c r="N4253">
        <v>1</v>
      </c>
      <c r="O4253" t="s">
        <v>41041</v>
      </c>
      <c r="Q4253" t="s">
        <v>41129</v>
      </c>
      <c r="R4253">
        <v>200.83</v>
      </c>
      <c r="S4253" t="s">
        <v>41130</v>
      </c>
      <c r="T4253" t="s">
        <v>30</v>
      </c>
      <c r="U4253" t="s">
        <v>11247</v>
      </c>
      <c r="W4253" t="s">
        <v>26009</v>
      </c>
    </row>
    <row r="4254" spans="1:23" x14ac:dyDescent="0.35">
      <c r="A4254">
        <v>996769</v>
      </c>
      <c r="B4254" t="s">
        <v>8291</v>
      </c>
      <c r="C4254" t="str">
        <f>"9781412909488"</f>
        <v>9781412909488</v>
      </c>
      <c r="D4254" t="str">
        <f>"9781452265568"</f>
        <v>9781452265568</v>
      </c>
      <c r="E4254" t="s">
        <v>40883</v>
      </c>
      <c r="F4254" t="s">
        <v>7434</v>
      </c>
      <c r="G4254" t="s">
        <v>22194</v>
      </c>
      <c r="H4254" t="s">
        <v>26004</v>
      </c>
      <c r="I4254" s="26">
        <v>38947</v>
      </c>
      <c r="J4254">
        <v>2006</v>
      </c>
      <c r="K4254" t="s">
        <v>7434</v>
      </c>
      <c r="L4254">
        <v>537</v>
      </c>
      <c r="M4254" t="s">
        <v>41131</v>
      </c>
      <c r="N4254">
        <v>1</v>
      </c>
      <c r="Q4254" t="s">
        <v>41132</v>
      </c>
      <c r="R4254">
        <v>155.82</v>
      </c>
      <c r="S4254" t="s">
        <v>41133</v>
      </c>
      <c r="T4254" t="s">
        <v>30</v>
      </c>
      <c r="U4254" t="s">
        <v>26170</v>
      </c>
      <c r="W4254" t="s">
        <v>26009</v>
      </c>
    </row>
    <row r="4255" spans="1:23" x14ac:dyDescent="0.35">
      <c r="A4255">
        <v>996770</v>
      </c>
      <c r="B4255" t="s">
        <v>41134</v>
      </c>
      <c r="C4255" t="str">
        <f>"9780761911272"</f>
        <v>9780761911272</v>
      </c>
      <c r="D4255" t="str">
        <f>"9781452264790"</f>
        <v>9781452264790</v>
      </c>
      <c r="E4255" t="s">
        <v>40883</v>
      </c>
      <c r="F4255" t="s">
        <v>7434</v>
      </c>
      <c r="G4255" t="s">
        <v>22194</v>
      </c>
      <c r="H4255" t="s">
        <v>26004</v>
      </c>
      <c r="I4255" s="26">
        <v>35900</v>
      </c>
      <c r="J4255">
        <v>1998</v>
      </c>
      <c r="K4255" t="s">
        <v>7434</v>
      </c>
      <c r="L4255">
        <v>233</v>
      </c>
      <c r="M4255" t="s">
        <v>41135</v>
      </c>
      <c r="N4255">
        <v>1</v>
      </c>
      <c r="R4255" t="s">
        <v>26491</v>
      </c>
      <c r="T4255" t="s">
        <v>30</v>
      </c>
      <c r="U4255" t="s">
        <v>26044</v>
      </c>
      <c r="W4255" t="s">
        <v>26009</v>
      </c>
    </row>
    <row r="4256" spans="1:23" x14ac:dyDescent="0.35">
      <c r="A4256">
        <v>996774</v>
      </c>
      <c r="B4256" t="s">
        <v>41136</v>
      </c>
      <c r="C4256" t="str">
        <f>"9780761930471"</f>
        <v>9780761930471</v>
      </c>
      <c r="D4256" t="str">
        <f>"9781452264110"</f>
        <v>9781452264110</v>
      </c>
      <c r="E4256" t="s">
        <v>40883</v>
      </c>
      <c r="F4256" t="s">
        <v>7434</v>
      </c>
      <c r="G4256" t="s">
        <v>22194</v>
      </c>
      <c r="H4256" t="s">
        <v>26004</v>
      </c>
      <c r="I4256" s="26">
        <v>38462</v>
      </c>
      <c r="J4256">
        <v>2005</v>
      </c>
      <c r="K4256" t="s">
        <v>7434</v>
      </c>
      <c r="L4256">
        <v>377</v>
      </c>
      <c r="M4256" t="s">
        <v>41137</v>
      </c>
      <c r="N4256">
        <v>1</v>
      </c>
      <c r="O4256" t="s">
        <v>40929</v>
      </c>
      <c r="R4256" t="s">
        <v>41138</v>
      </c>
      <c r="T4256" t="s">
        <v>30</v>
      </c>
      <c r="U4256" t="s">
        <v>26040</v>
      </c>
      <c r="W4256" t="s">
        <v>26009</v>
      </c>
    </row>
    <row r="4257" spans="1:23" x14ac:dyDescent="0.35">
      <c r="A4257">
        <v>996775</v>
      </c>
      <c r="B4257" t="s">
        <v>41139</v>
      </c>
      <c r="C4257" t="str">
        <f>"9780761906957"</f>
        <v>9780761906957</v>
      </c>
      <c r="D4257" t="str">
        <f>"9781452263779"</f>
        <v>9781452263779</v>
      </c>
      <c r="E4257" t="s">
        <v>40883</v>
      </c>
      <c r="F4257" t="s">
        <v>7434</v>
      </c>
      <c r="G4257" t="s">
        <v>22194</v>
      </c>
      <c r="H4257" t="s">
        <v>26004</v>
      </c>
      <c r="I4257" s="26">
        <v>35772</v>
      </c>
      <c r="J4257">
        <v>1997</v>
      </c>
      <c r="K4257" t="s">
        <v>7434</v>
      </c>
      <c r="L4257">
        <v>269</v>
      </c>
      <c r="M4257" t="s">
        <v>41140</v>
      </c>
      <c r="N4257">
        <v>1</v>
      </c>
      <c r="R4257" t="s">
        <v>41141</v>
      </c>
      <c r="T4257" t="s">
        <v>30</v>
      </c>
      <c r="U4257" t="s">
        <v>26044</v>
      </c>
      <c r="W4257" t="s">
        <v>26009</v>
      </c>
    </row>
    <row r="4258" spans="1:23" x14ac:dyDescent="0.35">
      <c r="A4258">
        <v>996776</v>
      </c>
      <c r="B4258" t="s">
        <v>41142</v>
      </c>
      <c r="C4258" t="str">
        <f>"9780761928362"</f>
        <v>9780761928362</v>
      </c>
      <c r="D4258" t="str">
        <f>"9781452264462"</f>
        <v>9781452264462</v>
      </c>
      <c r="E4258" t="s">
        <v>40883</v>
      </c>
      <c r="F4258" t="s">
        <v>7434</v>
      </c>
      <c r="G4258" t="s">
        <v>22194</v>
      </c>
      <c r="H4258" t="s">
        <v>26004</v>
      </c>
      <c r="I4258" s="26">
        <v>37712</v>
      </c>
      <c r="J4258">
        <v>2003</v>
      </c>
      <c r="K4258" t="s">
        <v>7434</v>
      </c>
      <c r="L4258">
        <v>537</v>
      </c>
      <c r="M4258" t="s">
        <v>41143</v>
      </c>
      <c r="N4258">
        <v>1</v>
      </c>
      <c r="R4258" t="s">
        <v>41144</v>
      </c>
      <c r="T4258" t="s">
        <v>30</v>
      </c>
      <c r="U4258" t="s">
        <v>29134</v>
      </c>
      <c r="W4258" t="s">
        <v>26009</v>
      </c>
    </row>
    <row r="4259" spans="1:23" x14ac:dyDescent="0.35">
      <c r="A4259">
        <v>996778</v>
      </c>
      <c r="B4259" t="s">
        <v>41145</v>
      </c>
      <c r="C4259" t="str">
        <f>"9780761929994"</f>
        <v>9780761929994</v>
      </c>
      <c r="D4259" t="str">
        <f>"9781452264233"</f>
        <v>9781452264233</v>
      </c>
      <c r="E4259" t="s">
        <v>40883</v>
      </c>
      <c r="F4259" t="s">
        <v>7434</v>
      </c>
      <c r="G4259" t="s">
        <v>22194</v>
      </c>
      <c r="H4259" t="s">
        <v>26004</v>
      </c>
      <c r="I4259" s="26">
        <v>38237</v>
      </c>
      <c r="J4259">
        <v>2005</v>
      </c>
      <c r="K4259" t="s">
        <v>7434</v>
      </c>
      <c r="L4259">
        <v>297</v>
      </c>
      <c r="M4259" t="s">
        <v>41146</v>
      </c>
      <c r="N4259">
        <v>1</v>
      </c>
      <c r="R4259">
        <v>649.5</v>
      </c>
      <c r="T4259" t="s">
        <v>30</v>
      </c>
      <c r="U4259" t="s">
        <v>11356</v>
      </c>
      <c r="W4259" t="s">
        <v>26009</v>
      </c>
    </row>
    <row r="4260" spans="1:23" x14ac:dyDescent="0.35">
      <c r="A4260">
        <v>996780</v>
      </c>
      <c r="B4260" t="s">
        <v>2783</v>
      </c>
      <c r="C4260" t="str">
        <f>"9780761923237"</f>
        <v>9780761923237</v>
      </c>
      <c r="D4260" t="str">
        <f>"9781452264301"</f>
        <v>9781452264301</v>
      </c>
      <c r="E4260" t="s">
        <v>40883</v>
      </c>
      <c r="F4260" t="s">
        <v>7434</v>
      </c>
      <c r="G4260" t="s">
        <v>22194</v>
      </c>
      <c r="H4260" t="s">
        <v>26004</v>
      </c>
      <c r="I4260" s="26">
        <v>37518</v>
      </c>
      <c r="J4260">
        <v>2002</v>
      </c>
      <c r="K4260" t="s">
        <v>7434</v>
      </c>
      <c r="L4260">
        <v>567</v>
      </c>
      <c r="M4260" t="s">
        <v>41147</v>
      </c>
      <c r="N4260">
        <v>1</v>
      </c>
      <c r="Q4260" t="s">
        <v>41148</v>
      </c>
      <c r="R4260">
        <v>616.08000000000004</v>
      </c>
      <c r="S4260" t="s">
        <v>41149</v>
      </c>
      <c r="T4260" t="s">
        <v>30</v>
      </c>
      <c r="U4260" t="s">
        <v>26040</v>
      </c>
      <c r="W4260" t="s">
        <v>26009</v>
      </c>
    </row>
    <row r="4261" spans="1:23" x14ac:dyDescent="0.35">
      <c r="A4261">
        <v>996792</v>
      </c>
      <c r="B4261" t="s">
        <v>41150</v>
      </c>
      <c r="C4261" t="str">
        <f>"9780761927907"</f>
        <v>9780761927907</v>
      </c>
      <c r="D4261" t="str">
        <f>"9781452267135"</f>
        <v>9781452267135</v>
      </c>
      <c r="E4261" t="s">
        <v>40883</v>
      </c>
      <c r="F4261" t="s">
        <v>7434</v>
      </c>
      <c r="G4261" t="s">
        <v>22194</v>
      </c>
      <c r="H4261" t="s">
        <v>26004</v>
      </c>
      <c r="I4261" s="26">
        <v>38183</v>
      </c>
      <c r="J4261">
        <v>2005</v>
      </c>
      <c r="K4261" t="s">
        <v>7434</v>
      </c>
      <c r="L4261">
        <v>465</v>
      </c>
      <c r="M4261" t="s">
        <v>41151</v>
      </c>
      <c r="N4261">
        <v>2</v>
      </c>
      <c r="T4261" t="s">
        <v>30</v>
      </c>
      <c r="U4261" t="s">
        <v>46</v>
      </c>
      <c r="W4261" t="s">
        <v>26009</v>
      </c>
    </row>
    <row r="4262" spans="1:23" x14ac:dyDescent="0.35">
      <c r="A4262">
        <v>996804</v>
      </c>
      <c r="B4262" t="s">
        <v>41152</v>
      </c>
      <c r="C4262" t="str">
        <f>"9780761921882"</f>
        <v>9780761921882</v>
      </c>
      <c r="D4262" t="str">
        <f>"9781452266831"</f>
        <v>9781452266831</v>
      </c>
      <c r="E4262" t="s">
        <v>40883</v>
      </c>
      <c r="F4262" t="s">
        <v>7434</v>
      </c>
      <c r="G4262" t="s">
        <v>22194</v>
      </c>
      <c r="H4262" t="s">
        <v>26004</v>
      </c>
      <c r="I4262" s="26">
        <v>37392</v>
      </c>
      <c r="J4262">
        <v>2002</v>
      </c>
      <c r="K4262" t="s">
        <v>7434</v>
      </c>
      <c r="L4262">
        <v>286</v>
      </c>
      <c r="M4262" t="s">
        <v>41153</v>
      </c>
      <c r="N4262">
        <v>1</v>
      </c>
      <c r="R4262" t="s">
        <v>27789</v>
      </c>
      <c r="T4262" t="s">
        <v>30</v>
      </c>
      <c r="U4262" t="s">
        <v>26040</v>
      </c>
      <c r="W4262" t="s">
        <v>26009</v>
      </c>
    </row>
    <row r="4263" spans="1:23" x14ac:dyDescent="0.35">
      <c r="A4263">
        <v>996811</v>
      </c>
      <c r="B4263" t="s">
        <v>41154</v>
      </c>
      <c r="C4263" t="str">
        <f>"9780761921486"</f>
        <v>9780761921486</v>
      </c>
      <c r="D4263" t="str">
        <f>"9781452264165"</f>
        <v>9781452264165</v>
      </c>
      <c r="E4263" t="s">
        <v>40883</v>
      </c>
      <c r="F4263" t="s">
        <v>7434</v>
      </c>
      <c r="G4263" t="s">
        <v>22194</v>
      </c>
      <c r="H4263" t="s">
        <v>26004</v>
      </c>
      <c r="I4263" s="26">
        <v>37334</v>
      </c>
      <c r="J4263">
        <v>2002</v>
      </c>
      <c r="K4263" t="s">
        <v>7434</v>
      </c>
      <c r="L4263">
        <v>361</v>
      </c>
      <c r="M4263" t="s">
        <v>41155</v>
      </c>
      <c r="N4263">
        <v>1</v>
      </c>
      <c r="O4263" t="s">
        <v>40922</v>
      </c>
      <c r="R4263" t="s">
        <v>29673</v>
      </c>
      <c r="T4263" t="s">
        <v>30</v>
      </c>
      <c r="U4263" t="s">
        <v>26040</v>
      </c>
      <c r="W4263" t="s">
        <v>26009</v>
      </c>
    </row>
    <row r="4264" spans="1:23" x14ac:dyDescent="0.35">
      <c r="A4264">
        <v>996825</v>
      </c>
      <c r="B4264" t="s">
        <v>41156</v>
      </c>
      <c r="C4264" t="str">
        <f>"9780761906186"</f>
        <v>9780761906186</v>
      </c>
      <c r="D4264" t="str">
        <f>"9781452264752"</f>
        <v>9781452264752</v>
      </c>
      <c r="E4264" t="s">
        <v>40883</v>
      </c>
      <c r="F4264" t="s">
        <v>7434</v>
      </c>
      <c r="G4264" t="s">
        <v>22194</v>
      </c>
      <c r="H4264" t="s">
        <v>26004</v>
      </c>
      <c r="I4264" s="26">
        <v>36412</v>
      </c>
      <c r="J4264">
        <v>1999</v>
      </c>
      <c r="K4264" t="s">
        <v>7434</v>
      </c>
      <c r="L4264">
        <v>313</v>
      </c>
      <c r="M4264" t="s">
        <v>41157</v>
      </c>
      <c r="N4264">
        <v>1</v>
      </c>
      <c r="R4264" t="s">
        <v>27731</v>
      </c>
      <c r="T4264" t="s">
        <v>30</v>
      </c>
      <c r="U4264" t="s">
        <v>26044</v>
      </c>
      <c r="W4264" t="s">
        <v>26009</v>
      </c>
    </row>
    <row r="4265" spans="1:23" x14ac:dyDescent="0.35">
      <c r="A4265">
        <v>996828</v>
      </c>
      <c r="B4265" t="s">
        <v>41158</v>
      </c>
      <c r="C4265" t="str">
        <f>"9780761918257"</f>
        <v>9780761918257</v>
      </c>
      <c r="D4265" t="str">
        <f>"9781452264141"</f>
        <v>9781452264141</v>
      </c>
      <c r="E4265" t="s">
        <v>40883</v>
      </c>
      <c r="F4265" t="s">
        <v>7434</v>
      </c>
      <c r="G4265" t="s">
        <v>22194</v>
      </c>
      <c r="H4265" t="s">
        <v>26004</v>
      </c>
      <c r="I4265" s="26">
        <v>37574</v>
      </c>
      <c r="J4265">
        <v>2002</v>
      </c>
      <c r="K4265" t="s">
        <v>7434</v>
      </c>
      <c r="L4265">
        <v>209</v>
      </c>
      <c r="M4265" t="s">
        <v>41159</v>
      </c>
      <c r="N4265">
        <v>1</v>
      </c>
      <c r="R4265" t="s">
        <v>41160</v>
      </c>
      <c r="T4265" t="s">
        <v>30</v>
      </c>
      <c r="U4265" t="s">
        <v>28748</v>
      </c>
      <c r="W4265" t="s">
        <v>26009</v>
      </c>
    </row>
    <row r="4266" spans="1:23" x14ac:dyDescent="0.35">
      <c r="A4266">
        <v>996841</v>
      </c>
      <c r="B4266" t="s">
        <v>41161</v>
      </c>
      <c r="C4266" t="str">
        <f>"9780761930839"</f>
        <v>9780761930839</v>
      </c>
      <c r="D4266" t="str">
        <f>"9781452266961"</f>
        <v>9781452266961</v>
      </c>
      <c r="E4266" t="s">
        <v>40883</v>
      </c>
      <c r="F4266" t="s">
        <v>7434</v>
      </c>
      <c r="G4266" t="s">
        <v>22194</v>
      </c>
      <c r="H4266" t="s">
        <v>26004</v>
      </c>
      <c r="I4266" s="26">
        <v>38206</v>
      </c>
      <c r="J4266">
        <v>2005</v>
      </c>
      <c r="K4266" t="s">
        <v>7434</v>
      </c>
      <c r="L4266">
        <v>273</v>
      </c>
      <c r="M4266" t="s">
        <v>41162</v>
      </c>
      <c r="N4266">
        <v>1</v>
      </c>
      <c r="O4266" t="s">
        <v>40929</v>
      </c>
      <c r="R4266" t="s">
        <v>41163</v>
      </c>
      <c r="T4266" t="s">
        <v>30</v>
      </c>
      <c r="U4266" t="s">
        <v>26044</v>
      </c>
      <c r="W4266" t="s">
        <v>26009</v>
      </c>
    </row>
    <row r="4267" spans="1:23" x14ac:dyDescent="0.35">
      <c r="A4267">
        <v>996845</v>
      </c>
      <c r="B4267" t="s">
        <v>41164</v>
      </c>
      <c r="C4267" t="str">
        <f>"9780761923008"</f>
        <v>9780761923008</v>
      </c>
      <c r="D4267" t="str">
        <f>"9781452267227"</f>
        <v>9781452267227</v>
      </c>
      <c r="E4267" t="s">
        <v>40883</v>
      </c>
      <c r="F4267" t="s">
        <v>7434</v>
      </c>
      <c r="G4267" t="s">
        <v>22194</v>
      </c>
      <c r="H4267" t="s">
        <v>26004</v>
      </c>
      <c r="I4267" s="26">
        <v>37574</v>
      </c>
      <c r="J4267">
        <v>2002</v>
      </c>
      <c r="K4267" t="s">
        <v>7434</v>
      </c>
      <c r="L4267">
        <v>431</v>
      </c>
      <c r="M4267" t="s">
        <v>41165</v>
      </c>
      <c r="N4267">
        <v>1</v>
      </c>
      <c r="R4267" t="s">
        <v>41166</v>
      </c>
      <c r="T4267" t="s">
        <v>30</v>
      </c>
      <c r="U4267" t="s">
        <v>26044</v>
      </c>
      <c r="W4267" t="s">
        <v>26009</v>
      </c>
    </row>
    <row r="4268" spans="1:23" x14ac:dyDescent="0.35">
      <c r="A4268">
        <v>996853</v>
      </c>
      <c r="B4268" t="s">
        <v>8667</v>
      </c>
      <c r="C4268" t="str">
        <f>"9780761928874"</f>
        <v>9780761928874</v>
      </c>
      <c r="D4268" t="str">
        <f>"9781452264431"</f>
        <v>9781452264431</v>
      </c>
      <c r="E4268" t="s">
        <v>40883</v>
      </c>
      <c r="F4268" t="s">
        <v>7434</v>
      </c>
      <c r="G4268" t="s">
        <v>22194</v>
      </c>
      <c r="H4268" t="s">
        <v>26004</v>
      </c>
      <c r="I4268" s="26">
        <v>38293</v>
      </c>
      <c r="J4268">
        <v>2005</v>
      </c>
      <c r="K4268" t="s">
        <v>7434</v>
      </c>
      <c r="L4268">
        <v>553</v>
      </c>
      <c r="M4268" t="s">
        <v>41167</v>
      </c>
      <c r="N4268">
        <v>1</v>
      </c>
      <c r="Q4268" t="s">
        <v>41168</v>
      </c>
      <c r="R4268">
        <v>153.9</v>
      </c>
      <c r="S4268" t="s">
        <v>41169</v>
      </c>
      <c r="T4268" t="s">
        <v>30</v>
      </c>
      <c r="U4268" t="s">
        <v>46</v>
      </c>
      <c r="W4268" t="s">
        <v>26009</v>
      </c>
    </row>
    <row r="4269" spans="1:23" x14ac:dyDescent="0.35">
      <c r="A4269">
        <v>996856</v>
      </c>
      <c r="B4269" t="s">
        <v>41170</v>
      </c>
      <c r="C4269" t="str">
        <f>"9781412999526"</f>
        <v>9781412999526</v>
      </c>
      <c r="D4269" t="str">
        <f>"9781452263830"</f>
        <v>9781452263830</v>
      </c>
      <c r="E4269" t="s">
        <v>40883</v>
      </c>
      <c r="F4269" t="s">
        <v>7434</v>
      </c>
      <c r="G4269" t="s">
        <v>22194</v>
      </c>
      <c r="H4269" t="s">
        <v>26004</v>
      </c>
      <c r="I4269" s="26">
        <v>40836</v>
      </c>
      <c r="J4269">
        <v>2012</v>
      </c>
      <c r="K4269" t="s">
        <v>7434</v>
      </c>
      <c r="L4269">
        <v>289</v>
      </c>
      <c r="M4269" t="s">
        <v>41171</v>
      </c>
      <c r="N4269">
        <v>1</v>
      </c>
      <c r="T4269" t="s">
        <v>30</v>
      </c>
      <c r="U4269" t="s">
        <v>46</v>
      </c>
      <c r="W4269" t="s">
        <v>26009</v>
      </c>
    </row>
    <row r="4270" spans="1:23" x14ac:dyDescent="0.35">
      <c r="A4270">
        <v>996857</v>
      </c>
      <c r="B4270" t="s">
        <v>41172</v>
      </c>
      <c r="C4270" t="str">
        <f>"9780761912712"</f>
        <v>9780761912712</v>
      </c>
      <c r="D4270" t="str">
        <f>"9781452263717"</f>
        <v>9781452263717</v>
      </c>
      <c r="E4270" t="s">
        <v>40883</v>
      </c>
      <c r="F4270" t="s">
        <v>7434</v>
      </c>
      <c r="G4270" t="s">
        <v>22194</v>
      </c>
      <c r="H4270" t="s">
        <v>26004</v>
      </c>
      <c r="I4270" s="26">
        <v>36672</v>
      </c>
      <c r="J4270">
        <v>2000</v>
      </c>
      <c r="K4270" t="s">
        <v>7434</v>
      </c>
      <c r="L4270">
        <v>346</v>
      </c>
      <c r="M4270" t="s">
        <v>41173</v>
      </c>
      <c r="N4270">
        <v>1</v>
      </c>
      <c r="O4270" t="s">
        <v>41090</v>
      </c>
      <c r="R4270">
        <v>796</v>
      </c>
      <c r="T4270" t="s">
        <v>30</v>
      </c>
      <c r="U4270" t="s">
        <v>26008</v>
      </c>
      <c r="W4270" t="s">
        <v>26009</v>
      </c>
    </row>
    <row r="4271" spans="1:23" x14ac:dyDescent="0.35">
      <c r="A4271">
        <v>996859</v>
      </c>
      <c r="B4271" t="s">
        <v>41174</v>
      </c>
      <c r="C4271" t="str">
        <f>"9780761915249"</f>
        <v>9780761915249</v>
      </c>
      <c r="D4271" t="str">
        <f>"9781452265100"</f>
        <v>9781452265100</v>
      </c>
      <c r="E4271" t="s">
        <v>40883</v>
      </c>
      <c r="F4271" t="s">
        <v>7434</v>
      </c>
      <c r="G4271" t="s">
        <v>22194</v>
      </c>
      <c r="H4271" t="s">
        <v>26004</v>
      </c>
      <c r="I4271" s="26">
        <v>36494</v>
      </c>
      <c r="J4271">
        <v>1999</v>
      </c>
      <c r="K4271" t="s">
        <v>7434</v>
      </c>
      <c r="L4271">
        <v>295</v>
      </c>
      <c r="M4271" t="s">
        <v>41175</v>
      </c>
      <c r="N4271">
        <v>1</v>
      </c>
      <c r="O4271" t="s">
        <v>41090</v>
      </c>
      <c r="R4271" t="s">
        <v>41176</v>
      </c>
      <c r="T4271" t="s">
        <v>30</v>
      </c>
      <c r="U4271" t="s">
        <v>26044</v>
      </c>
      <c r="W4271" t="s">
        <v>26009</v>
      </c>
    </row>
    <row r="4272" spans="1:23" x14ac:dyDescent="0.35">
      <c r="A4272">
        <v>996866</v>
      </c>
      <c r="B4272" t="s">
        <v>41177</v>
      </c>
      <c r="C4272" t="str">
        <f>"9781412914222"</f>
        <v>9781412914222</v>
      </c>
      <c r="D4272" t="str">
        <f>"9781452264721"</f>
        <v>9781452264721</v>
      </c>
      <c r="E4272" t="s">
        <v>40883</v>
      </c>
      <c r="F4272" t="s">
        <v>7434</v>
      </c>
      <c r="G4272" t="s">
        <v>22194</v>
      </c>
      <c r="H4272" t="s">
        <v>26004</v>
      </c>
      <c r="I4272" s="26">
        <v>39674</v>
      </c>
      <c r="J4272">
        <v>2009</v>
      </c>
      <c r="K4272" t="s">
        <v>7434</v>
      </c>
      <c r="L4272">
        <v>721</v>
      </c>
      <c r="M4272" t="s">
        <v>41178</v>
      </c>
      <c r="N4272">
        <v>1</v>
      </c>
      <c r="T4272" t="s">
        <v>30</v>
      </c>
      <c r="U4272" t="s">
        <v>46</v>
      </c>
      <c r="W4272" t="s">
        <v>26009</v>
      </c>
    </row>
    <row r="4273" spans="1:23" x14ac:dyDescent="0.35">
      <c r="A4273">
        <v>996870</v>
      </c>
      <c r="B4273" t="s">
        <v>41179</v>
      </c>
      <c r="C4273" t="str">
        <f>"9781412994934"</f>
        <v>9781412994934</v>
      </c>
      <c r="D4273" t="str">
        <f>"9781452263847"</f>
        <v>9781452263847</v>
      </c>
      <c r="E4273" t="s">
        <v>40883</v>
      </c>
      <c r="F4273" t="s">
        <v>7434</v>
      </c>
      <c r="G4273" t="s">
        <v>22194</v>
      </c>
      <c r="H4273" t="s">
        <v>26004</v>
      </c>
      <c r="I4273" s="26">
        <v>40842</v>
      </c>
      <c r="J4273">
        <v>2012</v>
      </c>
      <c r="K4273" t="s">
        <v>7434</v>
      </c>
      <c r="L4273">
        <v>345</v>
      </c>
      <c r="M4273" t="s">
        <v>41180</v>
      </c>
      <c r="N4273">
        <v>1</v>
      </c>
      <c r="T4273" t="s">
        <v>30</v>
      </c>
      <c r="U4273" t="s">
        <v>46</v>
      </c>
      <c r="W4273" t="s">
        <v>26009</v>
      </c>
    </row>
    <row r="4274" spans="1:23" x14ac:dyDescent="0.35">
      <c r="A4274">
        <v>996874</v>
      </c>
      <c r="B4274" t="s">
        <v>41181</v>
      </c>
      <c r="C4274" t="str">
        <f>"9780761903116"</f>
        <v>9780761903116</v>
      </c>
      <c r="D4274" t="str">
        <f>"9781452264363"</f>
        <v>9781452264363</v>
      </c>
      <c r="E4274" t="s">
        <v>40883</v>
      </c>
      <c r="F4274" t="s">
        <v>7434</v>
      </c>
      <c r="G4274" t="s">
        <v>22194</v>
      </c>
      <c r="H4274" t="s">
        <v>26004</v>
      </c>
      <c r="I4274" s="26">
        <v>37179</v>
      </c>
      <c r="J4274">
        <v>2001</v>
      </c>
      <c r="K4274" t="s">
        <v>7434</v>
      </c>
      <c r="L4274">
        <v>385</v>
      </c>
      <c r="M4274" t="s">
        <v>41182</v>
      </c>
      <c r="N4274">
        <v>1</v>
      </c>
      <c r="O4274" t="s">
        <v>40922</v>
      </c>
      <c r="R4274" t="s">
        <v>41183</v>
      </c>
      <c r="T4274" t="s">
        <v>30</v>
      </c>
      <c r="U4274" t="s">
        <v>26040</v>
      </c>
      <c r="W4274" t="s">
        <v>26009</v>
      </c>
    </row>
    <row r="4275" spans="1:23" x14ac:dyDescent="0.35">
      <c r="A4275">
        <v>996875</v>
      </c>
      <c r="B4275" t="s">
        <v>41184</v>
      </c>
      <c r="C4275" t="str">
        <f>"9780761924456"</f>
        <v>9780761924456</v>
      </c>
      <c r="D4275" t="str">
        <f>"9781452264257"</f>
        <v>9781452264257</v>
      </c>
      <c r="E4275" t="s">
        <v>40883</v>
      </c>
      <c r="F4275" t="s">
        <v>7434</v>
      </c>
      <c r="G4275" t="s">
        <v>22194</v>
      </c>
      <c r="H4275" t="s">
        <v>26004</v>
      </c>
      <c r="I4275" s="26">
        <v>37718</v>
      </c>
      <c r="J4275">
        <v>2003</v>
      </c>
      <c r="K4275" t="s">
        <v>7434</v>
      </c>
      <c r="L4275">
        <v>188</v>
      </c>
      <c r="M4275" t="s">
        <v>41185</v>
      </c>
      <c r="N4275">
        <v>1</v>
      </c>
      <c r="R4275" t="s">
        <v>41186</v>
      </c>
      <c r="T4275" t="s">
        <v>30</v>
      </c>
      <c r="U4275" t="s">
        <v>26044</v>
      </c>
      <c r="W4275" t="s">
        <v>26009</v>
      </c>
    </row>
    <row r="4276" spans="1:23" x14ac:dyDescent="0.35">
      <c r="A4276">
        <v>996880</v>
      </c>
      <c r="B4276" t="s">
        <v>2784</v>
      </c>
      <c r="C4276" t="str">
        <f>"9780761923060"</f>
        <v>9780761923060</v>
      </c>
      <c r="D4276" t="str">
        <f>"9781452266800"</f>
        <v>9781452266800</v>
      </c>
      <c r="E4276" t="s">
        <v>40883</v>
      </c>
      <c r="F4276" t="s">
        <v>7434</v>
      </c>
      <c r="G4276" t="s">
        <v>22194</v>
      </c>
      <c r="H4276" t="s">
        <v>26004</v>
      </c>
      <c r="I4276" s="26">
        <v>37825</v>
      </c>
      <c r="J4276">
        <v>2003</v>
      </c>
      <c r="K4276" t="s">
        <v>7434</v>
      </c>
      <c r="L4276">
        <v>673</v>
      </c>
      <c r="M4276" t="s">
        <v>41187</v>
      </c>
      <c r="N4276">
        <v>1</v>
      </c>
      <c r="Q4276" t="s">
        <v>41188</v>
      </c>
      <c r="R4276" t="s">
        <v>26873</v>
      </c>
      <c r="S4276" t="s">
        <v>41189</v>
      </c>
      <c r="T4276" t="s">
        <v>30</v>
      </c>
      <c r="U4276" t="s">
        <v>46</v>
      </c>
      <c r="W4276" t="s">
        <v>26009</v>
      </c>
    </row>
    <row r="4277" spans="1:23" x14ac:dyDescent="0.35">
      <c r="A4277">
        <v>996886</v>
      </c>
      <c r="B4277" t="s">
        <v>41190</v>
      </c>
      <c r="C4277" t="str">
        <f>"9781412915700"</f>
        <v>9781412915700</v>
      </c>
      <c r="D4277" t="str">
        <f>"9781452267111"</f>
        <v>9781452267111</v>
      </c>
      <c r="E4277" t="s">
        <v>40883</v>
      </c>
      <c r="F4277" t="s">
        <v>7434</v>
      </c>
      <c r="G4277" t="s">
        <v>22194</v>
      </c>
      <c r="H4277" t="s">
        <v>26004</v>
      </c>
      <c r="I4277" s="26">
        <v>38364</v>
      </c>
      <c r="J4277">
        <v>2005</v>
      </c>
      <c r="K4277" t="s">
        <v>7434</v>
      </c>
      <c r="L4277">
        <v>577</v>
      </c>
      <c r="M4277" t="s">
        <v>41191</v>
      </c>
      <c r="N4277">
        <v>1</v>
      </c>
      <c r="O4277" t="s">
        <v>41041</v>
      </c>
      <c r="Q4277" t="s">
        <v>41192</v>
      </c>
      <c r="R4277">
        <v>305.23099999999999</v>
      </c>
      <c r="T4277" t="s">
        <v>30</v>
      </c>
      <c r="U4277" t="s">
        <v>26044</v>
      </c>
      <c r="W4277" t="s">
        <v>26009</v>
      </c>
    </row>
    <row r="4278" spans="1:23" x14ac:dyDescent="0.35">
      <c r="A4278">
        <v>996895</v>
      </c>
      <c r="B4278" t="s">
        <v>41193</v>
      </c>
      <c r="C4278" t="str">
        <f>"9780761988724"</f>
        <v>9780761988724</v>
      </c>
      <c r="D4278" t="str">
        <f>"9781452264288"</f>
        <v>9781452264288</v>
      </c>
      <c r="E4278" t="s">
        <v>40883</v>
      </c>
      <c r="F4278" t="s">
        <v>7434</v>
      </c>
      <c r="G4278" t="s">
        <v>22194</v>
      </c>
      <c r="H4278" t="s">
        <v>26004</v>
      </c>
      <c r="I4278" s="26">
        <v>37903</v>
      </c>
      <c r="J4278">
        <v>2004</v>
      </c>
      <c r="K4278" t="s">
        <v>7434</v>
      </c>
      <c r="L4278">
        <v>425</v>
      </c>
      <c r="M4278" t="s">
        <v>41194</v>
      </c>
      <c r="N4278">
        <v>1</v>
      </c>
      <c r="R4278">
        <v>362.71</v>
      </c>
      <c r="T4278" t="s">
        <v>30</v>
      </c>
      <c r="U4278" t="s">
        <v>26044</v>
      </c>
      <c r="W4278" t="s">
        <v>26009</v>
      </c>
    </row>
    <row r="4279" spans="1:23" x14ac:dyDescent="0.35">
      <c r="A4279">
        <v>996898</v>
      </c>
      <c r="B4279" t="s">
        <v>41195</v>
      </c>
      <c r="C4279" t="str">
        <f>"9780803972247"</f>
        <v>9780803972247</v>
      </c>
      <c r="D4279" t="str">
        <f>"9781452264547"</f>
        <v>9781452264547</v>
      </c>
      <c r="E4279" t="s">
        <v>40883</v>
      </c>
      <c r="F4279" t="s">
        <v>7434</v>
      </c>
      <c r="G4279" t="s">
        <v>22194</v>
      </c>
      <c r="H4279" t="s">
        <v>26004</v>
      </c>
      <c r="I4279" s="26">
        <v>35240</v>
      </c>
      <c r="J4279">
        <v>1996</v>
      </c>
      <c r="K4279" t="s">
        <v>7434</v>
      </c>
      <c r="L4279">
        <v>191</v>
      </c>
      <c r="M4279" t="s">
        <v>41196</v>
      </c>
      <c r="N4279">
        <v>1</v>
      </c>
      <c r="O4279" t="s">
        <v>40926</v>
      </c>
      <c r="R4279">
        <v>155.6</v>
      </c>
      <c r="S4279" t="s">
        <v>41197</v>
      </c>
      <c r="T4279" t="s">
        <v>30</v>
      </c>
      <c r="U4279" t="s">
        <v>46</v>
      </c>
      <c r="W4279" t="s">
        <v>26009</v>
      </c>
    </row>
    <row r="4280" spans="1:23" x14ac:dyDescent="0.35">
      <c r="A4280">
        <v>996911</v>
      </c>
      <c r="B4280" t="s">
        <v>41198</v>
      </c>
      <c r="C4280" t="str">
        <f>"9780803951044"</f>
        <v>9780803951044</v>
      </c>
      <c r="D4280" t="str">
        <f>"9781452264936"</f>
        <v>9781452264936</v>
      </c>
      <c r="E4280" t="s">
        <v>40883</v>
      </c>
      <c r="F4280" t="s">
        <v>7434</v>
      </c>
      <c r="G4280" t="s">
        <v>22194</v>
      </c>
      <c r="H4280" t="s">
        <v>26004</v>
      </c>
      <c r="I4280" s="26">
        <v>36052</v>
      </c>
      <c r="J4280">
        <v>2001</v>
      </c>
      <c r="K4280" t="s">
        <v>7434</v>
      </c>
      <c r="L4280">
        <v>289</v>
      </c>
      <c r="M4280" t="s">
        <v>41199</v>
      </c>
      <c r="N4280">
        <v>1</v>
      </c>
      <c r="T4280" t="s">
        <v>30</v>
      </c>
      <c r="U4280" t="s">
        <v>46</v>
      </c>
      <c r="W4280" t="s">
        <v>26009</v>
      </c>
    </row>
    <row r="4281" spans="1:23" x14ac:dyDescent="0.35">
      <c r="A4281">
        <v>996914</v>
      </c>
      <c r="B4281" t="s">
        <v>7490</v>
      </c>
      <c r="C4281" t="str">
        <f>"9780761909200"</f>
        <v>9780761909200</v>
      </c>
      <c r="D4281" t="str">
        <f>"9781452265070"</f>
        <v>9781452265070</v>
      </c>
      <c r="E4281" t="s">
        <v>40883</v>
      </c>
      <c r="F4281" t="s">
        <v>7434</v>
      </c>
      <c r="G4281" t="s">
        <v>22194</v>
      </c>
      <c r="H4281" t="s">
        <v>26004</v>
      </c>
      <c r="I4281" s="26">
        <v>36336</v>
      </c>
      <c r="J4281">
        <v>1999</v>
      </c>
      <c r="K4281" t="s">
        <v>7434</v>
      </c>
      <c r="L4281">
        <v>136</v>
      </c>
      <c r="M4281" t="s">
        <v>11011</v>
      </c>
      <c r="N4281">
        <v>1</v>
      </c>
      <c r="O4281" t="s">
        <v>40895</v>
      </c>
      <c r="T4281" t="s">
        <v>30</v>
      </c>
      <c r="U4281" t="s">
        <v>46</v>
      </c>
      <c r="W4281" t="s">
        <v>26009</v>
      </c>
    </row>
    <row r="4282" spans="1:23" x14ac:dyDescent="0.35">
      <c r="A4282">
        <v>996930</v>
      </c>
      <c r="B4282" t="s">
        <v>41200</v>
      </c>
      <c r="C4282" t="str">
        <f>"9780761924524"</f>
        <v>9780761924524</v>
      </c>
      <c r="D4282" t="str">
        <f>"9781452267180"</f>
        <v>9781452267180</v>
      </c>
      <c r="E4282" t="s">
        <v>40883</v>
      </c>
      <c r="F4282" t="s">
        <v>7434</v>
      </c>
      <c r="G4282" t="s">
        <v>22194</v>
      </c>
      <c r="H4282" t="s">
        <v>26004</v>
      </c>
      <c r="I4282" s="26">
        <v>37299</v>
      </c>
      <c r="J4282">
        <v>2002</v>
      </c>
      <c r="K4282" t="s">
        <v>7434</v>
      </c>
      <c r="L4282">
        <v>329</v>
      </c>
      <c r="M4282" t="s">
        <v>40304</v>
      </c>
      <c r="N4282">
        <v>1</v>
      </c>
      <c r="R4282">
        <v>153.80000000000001</v>
      </c>
      <c r="T4282" t="s">
        <v>30</v>
      </c>
      <c r="U4282" t="s">
        <v>46</v>
      </c>
      <c r="W4282" t="s">
        <v>26009</v>
      </c>
    </row>
    <row r="4283" spans="1:23" x14ac:dyDescent="0.35">
      <c r="A4283">
        <v>996941</v>
      </c>
      <c r="B4283" t="s">
        <v>41201</v>
      </c>
      <c r="C4283" t="str">
        <f>"9780761929116"</f>
        <v>9780761929116</v>
      </c>
      <c r="D4283" t="str">
        <f>"9781452264448"</f>
        <v>9781452264448</v>
      </c>
      <c r="E4283" t="s">
        <v>40883</v>
      </c>
      <c r="F4283" t="s">
        <v>7434</v>
      </c>
      <c r="G4283" t="s">
        <v>22194</v>
      </c>
      <c r="H4283" t="s">
        <v>26004</v>
      </c>
      <c r="I4283" s="26">
        <v>38202</v>
      </c>
      <c r="J4283">
        <v>2005</v>
      </c>
      <c r="K4283" t="s">
        <v>7434</v>
      </c>
      <c r="L4283">
        <v>425</v>
      </c>
      <c r="M4283" t="s">
        <v>41202</v>
      </c>
      <c r="N4283">
        <v>1</v>
      </c>
      <c r="R4283" t="s">
        <v>41144</v>
      </c>
      <c r="T4283" t="s">
        <v>30</v>
      </c>
      <c r="U4283" t="s">
        <v>29134</v>
      </c>
      <c r="W4283" t="s">
        <v>26009</v>
      </c>
    </row>
    <row r="4284" spans="1:23" x14ac:dyDescent="0.35">
      <c r="A4284">
        <v>996943</v>
      </c>
      <c r="B4284" t="s">
        <v>41203</v>
      </c>
      <c r="C4284" t="str">
        <f>"9781412996525"</f>
        <v>9781412996525</v>
      </c>
      <c r="D4284" t="str">
        <f>"9781452263939"</f>
        <v>9781452263939</v>
      </c>
      <c r="E4284" t="s">
        <v>40883</v>
      </c>
      <c r="F4284" t="s">
        <v>7434</v>
      </c>
      <c r="G4284" t="s">
        <v>22194</v>
      </c>
      <c r="H4284" t="s">
        <v>26004</v>
      </c>
      <c r="I4284" s="26">
        <v>41018</v>
      </c>
      <c r="J4284">
        <v>2013</v>
      </c>
      <c r="K4284" t="s">
        <v>7434</v>
      </c>
      <c r="L4284">
        <v>225</v>
      </c>
      <c r="M4284" t="s">
        <v>41204</v>
      </c>
      <c r="N4284">
        <v>1</v>
      </c>
      <c r="R4284">
        <v>361.06</v>
      </c>
      <c r="T4284" t="s">
        <v>30</v>
      </c>
      <c r="U4284" t="s">
        <v>26044</v>
      </c>
      <c r="W4284" t="s">
        <v>26009</v>
      </c>
    </row>
    <row r="4285" spans="1:23" x14ac:dyDescent="0.35">
      <c r="A4285">
        <v>996957</v>
      </c>
      <c r="B4285" t="s">
        <v>41205</v>
      </c>
      <c r="C4285" t="str">
        <f>"9780761905486"</f>
        <v>9780761905486</v>
      </c>
      <c r="D4285" t="str">
        <f>"9781452263977"</f>
        <v>9781452263977</v>
      </c>
      <c r="E4285" t="s">
        <v>40883</v>
      </c>
      <c r="F4285" t="s">
        <v>7434</v>
      </c>
      <c r="G4285" t="s">
        <v>22194</v>
      </c>
      <c r="H4285" t="s">
        <v>26004</v>
      </c>
      <c r="I4285" s="26">
        <v>36509</v>
      </c>
      <c r="J4285">
        <v>1999</v>
      </c>
      <c r="K4285" t="s">
        <v>7434</v>
      </c>
      <c r="L4285">
        <v>314</v>
      </c>
      <c r="M4285" t="s">
        <v>41206</v>
      </c>
      <c r="N4285">
        <v>1</v>
      </c>
      <c r="O4285" t="s">
        <v>41207</v>
      </c>
      <c r="R4285" t="s">
        <v>41208</v>
      </c>
      <c r="T4285" t="s">
        <v>30</v>
      </c>
      <c r="U4285" t="s">
        <v>26044</v>
      </c>
      <c r="W4285" t="s">
        <v>26009</v>
      </c>
    </row>
    <row r="4286" spans="1:23" x14ac:dyDescent="0.35">
      <c r="A4286">
        <v>996963</v>
      </c>
      <c r="B4286" t="s">
        <v>41209</v>
      </c>
      <c r="C4286" t="str">
        <f>"9780761919384"</f>
        <v>9780761919384</v>
      </c>
      <c r="D4286" t="str">
        <f>"9781452264318"</f>
        <v>9781452264318</v>
      </c>
      <c r="E4286" t="s">
        <v>40883</v>
      </c>
      <c r="F4286" t="s">
        <v>7434</v>
      </c>
      <c r="G4286" t="s">
        <v>22194</v>
      </c>
      <c r="H4286" t="s">
        <v>26004</v>
      </c>
      <c r="I4286" s="26">
        <v>37124</v>
      </c>
      <c r="J4286">
        <v>2001</v>
      </c>
      <c r="K4286" t="s">
        <v>7434</v>
      </c>
      <c r="L4286">
        <v>321</v>
      </c>
      <c r="M4286" t="s">
        <v>41210</v>
      </c>
      <c r="N4286">
        <v>1</v>
      </c>
      <c r="R4286">
        <v>614.4</v>
      </c>
      <c r="T4286" t="s">
        <v>30</v>
      </c>
      <c r="U4286" t="s">
        <v>27769</v>
      </c>
      <c r="W4286" t="s">
        <v>26009</v>
      </c>
    </row>
    <row r="4287" spans="1:23" x14ac:dyDescent="0.35">
      <c r="A4287">
        <v>996977</v>
      </c>
      <c r="B4287" t="s">
        <v>41211</v>
      </c>
      <c r="C4287" t="str">
        <f>"9780761924265"</f>
        <v>9780761924265</v>
      </c>
      <c r="D4287" t="str">
        <f>"9781452266817"</f>
        <v>9781452266817</v>
      </c>
      <c r="E4287" t="s">
        <v>40883</v>
      </c>
      <c r="F4287" t="s">
        <v>7434</v>
      </c>
      <c r="G4287" t="s">
        <v>22194</v>
      </c>
      <c r="H4287" t="s">
        <v>26004</v>
      </c>
      <c r="I4287" s="26">
        <v>37680</v>
      </c>
      <c r="J4287">
        <v>2003</v>
      </c>
      <c r="K4287" t="s">
        <v>7434</v>
      </c>
      <c r="L4287">
        <v>273</v>
      </c>
      <c r="M4287" t="s">
        <v>41212</v>
      </c>
      <c r="N4287">
        <v>1</v>
      </c>
      <c r="O4287" t="s">
        <v>40929</v>
      </c>
      <c r="R4287" t="s">
        <v>41213</v>
      </c>
      <c r="T4287" t="s">
        <v>30</v>
      </c>
      <c r="U4287" t="s">
        <v>152</v>
      </c>
      <c r="W4287" t="s">
        <v>26009</v>
      </c>
    </row>
    <row r="4288" spans="1:23" x14ac:dyDescent="0.35">
      <c r="A4288">
        <v>996982</v>
      </c>
      <c r="B4288" t="s">
        <v>2274</v>
      </c>
      <c r="C4288" t="str">
        <f>"9780761930808"</f>
        <v>9780761930808</v>
      </c>
      <c r="D4288" t="str">
        <f>"9781452265407"</f>
        <v>9781452265407</v>
      </c>
      <c r="E4288" t="s">
        <v>40883</v>
      </c>
      <c r="F4288" t="s">
        <v>7434</v>
      </c>
      <c r="G4288" t="s">
        <v>22194</v>
      </c>
      <c r="H4288" t="s">
        <v>26004</v>
      </c>
      <c r="I4288" s="26">
        <v>38469</v>
      </c>
      <c r="J4288">
        <v>2005</v>
      </c>
      <c r="K4288" t="s">
        <v>7434</v>
      </c>
      <c r="L4288">
        <v>689</v>
      </c>
      <c r="M4288" t="s">
        <v>41214</v>
      </c>
      <c r="N4288">
        <v>1</v>
      </c>
      <c r="Q4288" t="s">
        <v>41215</v>
      </c>
      <c r="R4288">
        <v>370.15219999999999</v>
      </c>
      <c r="S4288" t="s">
        <v>41216</v>
      </c>
      <c r="T4288" t="s">
        <v>30</v>
      </c>
      <c r="U4288" t="s">
        <v>337</v>
      </c>
      <c r="W4288" t="s">
        <v>26009</v>
      </c>
    </row>
    <row r="4289" spans="1:23" x14ac:dyDescent="0.35">
      <c r="A4289">
        <v>996988</v>
      </c>
      <c r="B4289" t="s">
        <v>41217</v>
      </c>
      <c r="C4289" t="str">
        <f>"9780761905011"</f>
        <v>9780761905011</v>
      </c>
      <c r="D4289" t="str">
        <f>"9781452221618"</f>
        <v>9781452221618</v>
      </c>
      <c r="E4289" t="s">
        <v>40883</v>
      </c>
      <c r="F4289" t="s">
        <v>7434</v>
      </c>
      <c r="G4289" t="s">
        <v>22194</v>
      </c>
      <c r="H4289" t="s">
        <v>26004</v>
      </c>
      <c r="I4289" s="26">
        <v>36657</v>
      </c>
      <c r="J4289">
        <v>2000</v>
      </c>
      <c r="K4289" t="s">
        <v>7434</v>
      </c>
      <c r="L4289">
        <v>233</v>
      </c>
      <c r="M4289" t="s">
        <v>41218</v>
      </c>
      <c r="N4289">
        <v>1</v>
      </c>
      <c r="O4289" t="s">
        <v>40888</v>
      </c>
      <c r="R4289">
        <v>305</v>
      </c>
      <c r="T4289" t="s">
        <v>30</v>
      </c>
      <c r="U4289" t="s">
        <v>26044</v>
      </c>
      <c r="W4289" t="s">
        <v>26009</v>
      </c>
    </row>
    <row r="4290" spans="1:23" x14ac:dyDescent="0.35">
      <c r="A4290">
        <v>996992</v>
      </c>
      <c r="B4290" t="s">
        <v>41219</v>
      </c>
      <c r="C4290" t="str">
        <f>"9780761906599"</f>
        <v>9780761906599</v>
      </c>
      <c r="D4290" t="str">
        <f>"9781452221885"</f>
        <v>9781452221885</v>
      </c>
      <c r="E4290" t="s">
        <v>40883</v>
      </c>
      <c r="F4290" t="s">
        <v>7434</v>
      </c>
      <c r="G4290" t="s">
        <v>22194</v>
      </c>
      <c r="H4290" t="s">
        <v>26004</v>
      </c>
      <c r="I4290" s="26">
        <v>36713</v>
      </c>
      <c r="J4290">
        <v>2000</v>
      </c>
      <c r="K4290" t="s">
        <v>7434</v>
      </c>
      <c r="L4290">
        <v>233</v>
      </c>
      <c r="M4290" t="s">
        <v>41220</v>
      </c>
      <c r="N4290">
        <v>1</v>
      </c>
      <c r="T4290" t="s">
        <v>30</v>
      </c>
      <c r="U4290" t="s">
        <v>46</v>
      </c>
      <c r="W4290" t="s">
        <v>26009</v>
      </c>
    </row>
    <row r="4291" spans="1:23" x14ac:dyDescent="0.35">
      <c r="A4291">
        <v>996994</v>
      </c>
      <c r="B4291" t="s">
        <v>41221</v>
      </c>
      <c r="C4291" t="str">
        <f>"9780761905592"</f>
        <v>9780761905592</v>
      </c>
      <c r="D4291" t="str">
        <f>"9781452221298"</f>
        <v>9781452221298</v>
      </c>
      <c r="E4291" t="s">
        <v>40883</v>
      </c>
      <c r="F4291" t="s">
        <v>7434</v>
      </c>
      <c r="G4291" t="s">
        <v>22194</v>
      </c>
      <c r="H4291" t="s">
        <v>26004</v>
      </c>
      <c r="I4291" s="26">
        <v>36334</v>
      </c>
      <c r="J4291">
        <v>1999</v>
      </c>
      <c r="K4291" t="s">
        <v>7434</v>
      </c>
      <c r="L4291">
        <v>201</v>
      </c>
      <c r="M4291" t="s">
        <v>41222</v>
      </c>
      <c r="N4291">
        <v>1</v>
      </c>
      <c r="O4291" t="s">
        <v>41223</v>
      </c>
      <c r="R4291" t="s">
        <v>41224</v>
      </c>
      <c r="T4291" t="s">
        <v>30</v>
      </c>
      <c r="U4291" t="s">
        <v>26040</v>
      </c>
      <c r="W4291" t="s">
        <v>26009</v>
      </c>
    </row>
    <row r="4292" spans="1:23" x14ac:dyDescent="0.35">
      <c r="A4292">
        <v>996996</v>
      </c>
      <c r="B4292" t="s">
        <v>41225</v>
      </c>
      <c r="C4292" t="str">
        <f>"9780803954106"</f>
        <v>9780803954106</v>
      </c>
      <c r="D4292" t="str">
        <f>"9781452221007"</f>
        <v>9781452221007</v>
      </c>
      <c r="E4292" t="s">
        <v>40883</v>
      </c>
      <c r="F4292" t="s">
        <v>7434</v>
      </c>
      <c r="G4292" t="s">
        <v>22194</v>
      </c>
      <c r="H4292" t="s">
        <v>26004</v>
      </c>
      <c r="I4292" s="26">
        <v>34332</v>
      </c>
      <c r="J4292">
        <v>1993</v>
      </c>
      <c r="K4292" t="s">
        <v>7434</v>
      </c>
      <c r="L4292">
        <v>365</v>
      </c>
      <c r="M4292" t="s">
        <v>41226</v>
      </c>
      <c r="N4292">
        <v>1</v>
      </c>
      <c r="O4292" t="s">
        <v>40929</v>
      </c>
      <c r="R4292" t="s">
        <v>35458</v>
      </c>
      <c r="T4292" t="s">
        <v>30</v>
      </c>
      <c r="U4292" t="s">
        <v>26044</v>
      </c>
      <c r="W4292" t="s">
        <v>26009</v>
      </c>
    </row>
    <row r="4293" spans="1:23" x14ac:dyDescent="0.35">
      <c r="A4293">
        <v>996997</v>
      </c>
      <c r="B4293" t="s">
        <v>41227</v>
      </c>
      <c r="C4293" t="str">
        <f>"9780761910800"</f>
        <v>9780761910800</v>
      </c>
      <c r="D4293" t="str">
        <f>"9781452221908"</f>
        <v>9781452221908</v>
      </c>
      <c r="E4293" t="s">
        <v>40883</v>
      </c>
      <c r="F4293" t="s">
        <v>7434</v>
      </c>
      <c r="G4293" t="s">
        <v>22194</v>
      </c>
      <c r="H4293" t="s">
        <v>26004</v>
      </c>
      <c r="I4293" s="26">
        <v>36755</v>
      </c>
      <c r="J4293">
        <v>2000</v>
      </c>
      <c r="K4293" t="s">
        <v>7434</v>
      </c>
      <c r="L4293">
        <v>249</v>
      </c>
      <c r="M4293" t="s">
        <v>41228</v>
      </c>
      <c r="N4293">
        <v>1</v>
      </c>
      <c r="O4293" t="s">
        <v>41207</v>
      </c>
      <c r="R4293" t="s">
        <v>37697</v>
      </c>
      <c r="T4293" t="s">
        <v>30</v>
      </c>
      <c r="U4293" t="s">
        <v>26044</v>
      </c>
      <c r="W4293" t="s">
        <v>26009</v>
      </c>
    </row>
    <row r="4294" spans="1:23" x14ac:dyDescent="0.35">
      <c r="A4294">
        <v>997001</v>
      </c>
      <c r="B4294" t="s">
        <v>41229</v>
      </c>
      <c r="C4294" t="str">
        <f>"9780761904687"</f>
        <v>9780761904687</v>
      </c>
      <c r="D4294" t="str">
        <f>"9781452249056"</f>
        <v>9781452249056</v>
      </c>
      <c r="E4294" t="s">
        <v>40883</v>
      </c>
      <c r="F4294" t="s">
        <v>7434</v>
      </c>
      <c r="G4294" t="s">
        <v>22194</v>
      </c>
      <c r="H4294" t="s">
        <v>26004</v>
      </c>
      <c r="I4294" s="26">
        <v>35410</v>
      </c>
      <c r="J4294">
        <v>1997</v>
      </c>
      <c r="K4294" t="s">
        <v>7434</v>
      </c>
      <c r="L4294">
        <v>441</v>
      </c>
      <c r="M4294" t="s">
        <v>41230</v>
      </c>
      <c r="N4294">
        <v>1</v>
      </c>
      <c r="O4294" t="s">
        <v>41231</v>
      </c>
      <c r="R4294" t="s">
        <v>41232</v>
      </c>
      <c r="T4294" t="s">
        <v>30</v>
      </c>
      <c r="U4294" t="s">
        <v>26040</v>
      </c>
      <c r="W4294" t="s">
        <v>26009</v>
      </c>
    </row>
    <row r="4295" spans="1:23" x14ac:dyDescent="0.35">
      <c r="A4295">
        <v>997005</v>
      </c>
      <c r="B4295" t="s">
        <v>41233</v>
      </c>
      <c r="C4295" t="str">
        <f>"9780803953857"</f>
        <v>9780803953857</v>
      </c>
      <c r="D4295" t="str">
        <f>"9781452250304"</f>
        <v>9781452250304</v>
      </c>
      <c r="E4295" t="s">
        <v>40883</v>
      </c>
      <c r="F4295" t="s">
        <v>7434</v>
      </c>
      <c r="G4295" t="s">
        <v>22194</v>
      </c>
      <c r="H4295" t="s">
        <v>26004</v>
      </c>
      <c r="I4295" s="26">
        <v>35774</v>
      </c>
      <c r="J4295">
        <v>1998</v>
      </c>
      <c r="K4295" t="s">
        <v>7434</v>
      </c>
      <c r="L4295">
        <v>289</v>
      </c>
      <c r="M4295" t="s">
        <v>41234</v>
      </c>
      <c r="N4295">
        <v>1</v>
      </c>
      <c r="O4295" t="s">
        <v>41235</v>
      </c>
      <c r="R4295" t="s">
        <v>41236</v>
      </c>
      <c r="T4295" t="s">
        <v>30</v>
      </c>
      <c r="U4295" t="s">
        <v>26044</v>
      </c>
      <c r="W4295" t="s">
        <v>26009</v>
      </c>
    </row>
    <row r="4296" spans="1:23" x14ac:dyDescent="0.35">
      <c r="A4296">
        <v>997017</v>
      </c>
      <c r="B4296" t="s">
        <v>41237</v>
      </c>
      <c r="C4296" t="str">
        <f>"9780803972575"</f>
        <v>9780803972575</v>
      </c>
      <c r="D4296" t="str">
        <f>"9781452250410"</f>
        <v>9781452250410</v>
      </c>
      <c r="E4296" t="s">
        <v>40883</v>
      </c>
      <c r="F4296" t="s">
        <v>7434</v>
      </c>
      <c r="G4296" t="s">
        <v>22194</v>
      </c>
      <c r="H4296" t="s">
        <v>26004</v>
      </c>
      <c r="I4296" s="26">
        <v>35845</v>
      </c>
      <c r="J4296">
        <v>1998</v>
      </c>
      <c r="K4296" t="s">
        <v>7434</v>
      </c>
      <c r="L4296">
        <v>291</v>
      </c>
      <c r="M4296" t="s">
        <v>41238</v>
      </c>
      <c r="N4296">
        <v>1</v>
      </c>
      <c r="T4296" t="s">
        <v>30</v>
      </c>
      <c r="U4296" t="s">
        <v>46</v>
      </c>
      <c r="W4296" t="s">
        <v>26009</v>
      </c>
    </row>
    <row r="4297" spans="1:23" x14ac:dyDescent="0.35">
      <c r="A4297">
        <v>997022</v>
      </c>
      <c r="B4297" t="s">
        <v>41239</v>
      </c>
      <c r="C4297" t="str">
        <f>"9780803950818"</f>
        <v>9780803950818</v>
      </c>
      <c r="D4297" t="str">
        <f>"9781452255026"</f>
        <v>9781452255026</v>
      </c>
      <c r="E4297" t="s">
        <v>40883</v>
      </c>
      <c r="F4297" t="s">
        <v>7434</v>
      </c>
      <c r="G4297" t="s">
        <v>22194</v>
      </c>
      <c r="H4297" t="s">
        <v>26004</v>
      </c>
      <c r="I4297" s="26">
        <v>34492</v>
      </c>
      <c r="J4297">
        <v>1994</v>
      </c>
      <c r="K4297" t="s">
        <v>7434</v>
      </c>
      <c r="L4297">
        <v>289</v>
      </c>
      <c r="M4297" t="s">
        <v>41240</v>
      </c>
      <c r="N4297">
        <v>1</v>
      </c>
      <c r="O4297" t="s">
        <v>41090</v>
      </c>
      <c r="R4297">
        <v>305.31</v>
      </c>
      <c r="T4297" t="s">
        <v>30</v>
      </c>
      <c r="U4297" t="s">
        <v>26044</v>
      </c>
      <c r="W4297" t="s">
        <v>26009</v>
      </c>
    </row>
    <row r="4298" spans="1:23" x14ac:dyDescent="0.35">
      <c r="A4298">
        <v>997025</v>
      </c>
      <c r="B4298" t="s">
        <v>41241</v>
      </c>
      <c r="C4298" t="str">
        <f>"9780803951303"</f>
        <v>9780803951303</v>
      </c>
      <c r="D4298" t="str">
        <f>"9781452246604"</f>
        <v>9781452246604</v>
      </c>
      <c r="E4298" t="s">
        <v>40883</v>
      </c>
      <c r="F4298" t="s">
        <v>7434</v>
      </c>
      <c r="G4298" t="s">
        <v>22194</v>
      </c>
      <c r="H4298" t="s">
        <v>26004</v>
      </c>
      <c r="I4298" s="26">
        <v>34934</v>
      </c>
      <c r="J4298">
        <v>1995</v>
      </c>
      <c r="K4298" t="s">
        <v>7434</v>
      </c>
      <c r="L4298">
        <v>195</v>
      </c>
      <c r="M4298" t="s">
        <v>41242</v>
      </c>
      <c r="N4298">
        <v>1</v>
      </c>
      <c r="O4298" t="s">
        <v>40926</v>
      </c>
      <c r="R4298">
        <v>158.19999999999999</v>
      </c>
      <c r="T4298" t="s">
        <v>30</v>
      </c>
      <c r="U4298" t="s">
        <v>46</v>
      </c>
      <c r="W4298" t="s">
        <v>26009</v>
      </c>
    </row>
    <row r="4299" spans="1:23" x14ac:dyDescent="0.35">
      <c r="A4299">
        <v>997027</v>
      </c>
      <c r="B4299" t="s">
        <v>41243</v>
      </c>
      <c r="C4299" t="str">
        <f>"9780803954359"</f>
        <v>9780803954359</v>
      </c>
      <c r="D4299" t="str">
        <f>"9781452247410"</f>
        <v>9781452247410</v>
      </c>
      <c r="E4299" t="s">
        <v>40883</v>
      </c>
      <c r="F4299" t="s">
        <v>7434</v>
      </c>
      <c r="G4299" t="s">
        <v>22194</v>
      </c>
      <c r="H4299" t="s">
        <v>26004</v>
      </c>
      <c r="I4299" s="26">
        <v>34806</v>
      </c>
      <c r="J4299">
        <v>1995</v>
      </c>
      <c r="K4299" t="s">
        <v>7434</v>
      </c>
      <c r="L4299">
        <v>325</v>
      </c>
      <c r="M4299" t="s">
        <v>41244</v>
      </c>
      <c r="N4299">
        <v>1</v>
      </c>
      <c r="R4299" t="s">
        <v>41245</v>
      </c>
      <c r="T4299" t="s">
        <v>30</v>
      </c>
      <c r="U4299" t="s">
        <v>26044</v>
      </c>
      <c r="W4299" t="s">
        <v>26009</v>
      </c>
    </row>
    <row r="4300" spans="1:23" x14ac:dyDescent="0.35">
      <c r="A4300">
        <v>997030</v>
      </c>
      <c r="B4300" t="s">
        <v>9413</v>
      </c>
      <c r="C4300" t="str">
        <f>"9780803959972"</f>
        <v>9780803959972</v>
      </c>
      <c r="D4300" t="str">
        <f>"9781452263694"</f>
        <v>9781452263694</v>
      </c>
      <c r="E4300" t="s">
        <v>40883</v>
      </c>
      <c r="F4300" t="s">
        <v>7434</v>
      </c>
      <c r="G4300" t="s">
        <v>22194</v>
      </c>
      <c r="H4300" t="s">
        <v>26004</v>
      </c>
      <c r="I4300" s="26">
        <v>36020</v>
      </c>
      <c r="J4300">
        <v>1998</v>
      </c>
      <c r="K4300" t="s">
        <v>7434</v>
      </c>
      <c r="L4300">
        <v>242</v>
      </c>
      <c r="M4300" t="s">
        <v>41246</v>
      </c>
      <c r="N4300">
        <v>1</v>
      </c>
      <c r="O4300" t="s">
        <v>41247</v>
      </c>
      <c r="R4300" t="s">
        <v>41248</v>
      </c>
      <c r="T4300" t="s">
        <v>30</v>
      </c>
      <c r="U4300" t="s">
        <v>29134</v>
      </c>
      <c r="W4300" t="s">
        <v>26009</v>
      </c>
    </row>
    <row r="4301" spans="1:23" x14ac:dyDescent="0.35">
      <c r="A4301">
        <v>997032</v>
      </c>
      <c r="B4301" t="s">
        <v>41249</v>
      </c>
      <c r="C4301" t="str">
        <f>"9780803971318"</f>
        <v>9780803971318</v>
      </c>
      <c r="D4301" t="str">
        <f>"9781452263298"</f>
        <v>9781452263298</v>
      </c>
      <c r="E4301" t="s">
        <v>40883</v>
      </c>
      <c r="F4301" t="s">
        <v>7434</v>
      </c>
      <c r="G4301" t="s">
        <v>22194</v>
      </c>
      <c r="H4301" t="s">
        <v>26004</v>
      </c>
      <c r="I4301" s="26">
        <v>35838</v>
      </c>
      <c r="J4301">
        <v>1998</v>
      </c>
      <c r="K4301" t="s">
        <v>7434</v>
      </c>
      <c r="L4301">
        <v>179</v>
      </c>
      <c r="M4301" t="s">
        <v>41250</v>
      </c>
      <c r="N4301">
        <v>1</v>
      </c>
      <c r="O4301" t="s">
        <v>40929</v>
      </c>
      <c r="T4301" t="s">
        <v>30</v>
      </c>
      <c r="U4301" t="s">
        <v>46</v>
      </c>
      <c r="W4301" t="s">
        <v>26009</v>
      </c>
    </row>
    <row r="4302" spans="1:23" x14ac:dyDescent="0.35">
      <c r="A4302">
        <v>997036</v>
      </c>
      <c r="B4302" t="s">
        <v>41251</v>
      </c>
      <c r="C4302" t="str">
        <f>"9780761918875"</f>
        <v>9780761918875</v>
      </c>
      <c r="D4302" t="str">
        <f>"9781452262130"</f>
        <v>9781452262130</v>
      </c>
      <c r="E4302" t="s">
        <v>40883</v>
      </c>
      <c r="F4302" t="s">
        <v>7434</v>
      </c>
      <c r="G4302" t="s">
        <v>22194</v>
      </c>
      <c r="H4302" t="s">
        <v>26004</v>
      </c>
      <c r="I4302" s="26">
        <v>36635</v>
      </c>
      <c r="J4302">
        <v>2000</v>
      </c>
      <c r="K4302" t="s">
        <v>7434</v>
      </c>
      <c r="L4302">
        <v>574</v>
      </c>
      <c r="M4302" t="s">
        <v>41252</v>
      </c>
      <c r="N4302">
        <v>1</v>
      </c>
      <c r="R4302" t="s">
        <v>28751</v>
      </c>
      <c r="T4302" t="s">
        <v>30</v>
      </c>
      <c r="U4302" t="s">
        <v>26040</v>
      </c>
      <c r="W4302" t="s">
        <v>26009</v>
      </c>
    </row>
    <row r="4303" spans="1:23" x14ac:dyDescent="0.35">
      <c r="A4303">
        <v>997041</v>
      </c>
      <c r="B4303" t="s">
        <v>8177</v>
      </c>
      <c r="C4303" t="str">
        <f>"9780803955028"</f>
        <v>9780803955028</v>
      </c>
      <c r="D4303" t="str">
        <f>"9781452253435"</f>
        <v>9781452253435</v>
      </c>
      <c r="E4303" t="s">
        <v>40883</v>
      </c>
      <c r="F4303" t="s">
        <v>7434</v>
      </c>
      <c r="G4303" t="s">
        <v>22194</v>
      </c>
      <c r="H4303" t="s">
        <v>26004</v>
      </c>
      <c r="I4303" s="26">
        <v>34408</v>
      </c>
      <c r="J4303">
        <v>1994</v>
      </c>
      <c r="K4303" t="s">
        <v>7434</v>
      </c>
      <c r="L4303">
        <v>205</v>
      </c>
      <c r="M4303" t="s">
        <v>41253</v>
      </c>
      <c r="N4303">
        <v>1</v>
      </c>
      <c r="R4303">
        <v>150</v>
      </c>
      <c r="T4303" t="s">
        <v>30</v>
      </c>
      <c r="U4303" t="s">
        <v>46</v>
      </c>
      <c r="W4303" t="s">
        <v>26009</v>
      </c>
    </row>
    <row r="4304" spans="1:23" x14ac:dyDescent="0.35">
      <c r="A4304">
        <v>997043</v>
      </c>
      <c r="B4304" t="s">
        <v>41254</v>
      </c>
      <c r="C4304" t="str">
        <f>"9780761911876"</f>
        <v>9780761911876</v>
      </c>
      <c r="D4304" t="str">
        <f>"9781452250557"</f>
        <v>9781452250557</v>
      </c>
      <c r="E4304" t="s">
        <v>40883</v>
      </c>
      <c r="F4304" t="s">
        <v>7434</v>
      </c>
      <c r="G4304" t="s">
        <v>22194</v>
      </c>
      <c r="H4304" t="s">
        <v>26004</v>
      </c>
      <c r="I4304" s="26">
        <v>36049</v>
      </c>
      <c r="J4304">
        <v>1998</v>
      </c>
      <c r="K4304" t="s">
        <v>7434</v>
      </c>
      <c r="L4304">
        <v>289</v>
      </c>
      <c r="M4304" t="s">
        <v>41255</v>
      </c>
      <c r="N4304">
        <v>1</v>
      </c>
      <c r="O4304" t="s">
        <v>40888</v>
      </c>
      <c r="R4304" t="s">
        <v>41256</v>
      </c>
      <c r="T4304" t="s">
        <v>30</v>
      </c>
      <c r="U4304" t="s">
        <v>26044</v>
      </c>
      <c r="W4304" t="s">
        <v>26009</v>
      </c>
    </row>
    <row r="4305" spans="1:23" x14ac:dyDescent="0.35">
      <c r="A4305">
        <v>997045</v>
      </c>
      <c r="B4305" t="s">
        <v>41257</v>
      </c>
      <c r="C4305" t="str">
        <f>"9780761916451"</f>
        <v>9780761916451</v>
      </c>
      <c r="D4305" t="str">
        <f>"9781452264783"</f>
        <v>9781452264783</v>
      </c>
      <c r="E4305" t="s">
        <v>40883</v>
      </c>
      <c r="F4305" t="s">
        <v>7434</v>
      </c>
      <c r="G4305" t="s">
        <v>22194</v>
      </c>
      <c r="H4305" t="s">
        <v>26004</v>
      </c>
      <c r="I4305" s="26">
        <v>35992</v>
      </c>
      <c r="J4305">
        <v>1998</v>
      </c>
      <c r="K4305" t="s">
        <v>7434</v>
      </c>
      <c r="L4305">
        <v>290</v>
      </c>
      <c r="M4305" t="s">
        <v>41008</v>
      </c>
      <c r="N4305">
        <v>1</v>
      </c>
      <c r="R4305" t="s">
        <v>41258</v>
      </c>
      <c r="T4305" t="s">
        <v>30</v>
      </c>
      <c r="U4305" t="s">
        <v>26044</v>
      </c>
      <c r="W4305" t="s">
        <v>26009</v>
      </c>
    </row>
    <row r="4306" spans="1:23" x14ac:dyDescent="0.35">
      <c r="A4306">
        <v>997053</v>
      </c>
      <c r="B4306" t="s">
        <v>41259</v>
      </c>
      <c r="C4306" t="str">
        <f>"9780761911586"</f>
        <v>9780761911586</v>
      </c>
      <c r="D4306" t="str">
        <f>"9781452264196"</f>
        <v>9781452264196</v>
      </c>
      <c r="E4306" t="s">
        <v>40883</v>
      </c>
      <c r="F4306" t="s">
        <v>7434</v>
      </c>
      <c r="G4306" t="s">
        <v>22194</v>
      </c>
      <c r="H4306" t="s">
        <v>26004</v>
      </c>
      <c r="I4306" s="26">
        <v>36859</v>
      </c>
      <c r="J4306">
        <v>2000</v>
      </c>
      <c r="K4306" t="s">
        <v>7434</v>
      </c>
      <c r="L4306">
        <v>515</v>
      </c>
      <c r="M4306" t="s">
        <v>41260</v>
      </c>
      <c r="N4306">
        <v>1</v>
      </c>
      <c r="T4306" t="s">
        <v>30</v>
      </c>
      <c r="U4306" t="s">
        <v>46</v>
      </c>
      <c r="W4306" t="s">
        <v>26009</v>
      </c>
    </row>
    <row r="4307" spans="1:23" x14ac:dyDescent="0.35">
      <c r="A4307">
        <v>997057</v>
      </c>
      <c r="B4307" t="s">
        <v>41261</v>
      </c>
      <c r="C4307" t="str">
        <f>"9780803959477"</f>
        <v>9780803959477</v>
      </c>
      <c r="D4307" t="str">
        <f>"9781452264325"</f>
        <v>9781452264325</v>
      </c>
      <c r="E4307" t="s">
        <v>40883</v>
      </c>
      <c r="F4307" t="s">
        <v>7434</v>
      </c>
      <c r="G4307" t="s">
        <v>22194</v>
      </c>
      <c r="H4307" t="s">
        <v>26004</v>
      </c>
      <c r="I4307" s="26">
        <v>37005</v>
      </c>
      <c r="J4307">
        <v>2001</v>
      </c>
      <c r="K4307" t="s">
        <v>7434</v>
      </c>
      <c r="L4307">
        <v>210</v>
      </c>
      <c r="M4307" t="s">
        <v>41262</v>
      </c>
      <c r="N4307">
        <v>1</v>
      </c>
      <c r="O4307" t="s">
        <v>41247</v>
      </c>
      <c r="R4307">
        <v>616.86507099999994</v>
      </c>
      <c r="T4307" t="s">
        <v>30</v>
      </c>
      <c r="U4307" t="s">
        <v>26040</v>
      </c>
      <c r="W4307" t="s">
        <v>26009</v>
      </c>
    </row>
    <row r="4308" spans="1:23" x14ac:dyDescent="0.35">
      <c r="A4308">
        <v>997059</v>
      </c>
      <c r="B4308" t="s">
        <v>41263</v>
      </c>
      <c r="C4308" t="str">
        <f>"9780761915843"</f>
        <v>9780761915843</v>
      </c>
      <c r="D4308" t="str">
        <f>"9781452264769"</f>
        <v>9781452264769</v>
      </c>
      <c r="E4308" t="s">
        <v>40883</v>
      </c>
      <c r="F4308" t="s">
        <v>7434</v>
      </c>
      <c r="G4308" t="s">
        <v>22194</v>
      </c>
      <c r="H4308" t="s">
        <v>26004</v>
      </c>
      <c r="I4308" s="26">
        <v>36369</v>
      </c>
      <c r="J4308">
        <v>1999</v>
      </c>
      <c r="K4308" t="s">
        <v>7434</v>
      </c>
      <c r="L4308">
        <v>202</v>
      </c>
      <c r="M4308" t="s">
        <v>41264</v>
      </c>
      <c r="N4308">
        <v>1</v>
      </c>
      <c r="O4308" t="s">
        <v>40929</v>
      </c>
      <c r="R4308" t="s">
        <v>26873</v>
      </c>
      <c r="T4308" t="s">
        <v>30</v>
      </c>
      <c r="U4308" t="s">
        <v>46</v>
      </c>
      <c r="W4308" t="s">
        <v>26009</v>
      </c>
    </row>
    <row r="4309" spans="1:23" x14ac:dyDescent="0.35">
      <c r="A4309">
        <v>997077</v>
      </c>
      <c r="B4309" t="s">
        <v>41265</v>
      </c>
      <c r="C4309" t="str">
        <f>"9780803945296"</f>
        <v>9780803945296</v>
      </c>
      <c r="D4309" t="str">
        <f>"9781452245768"</f>
        <v>9781452245768</v>
      </c>
      <c r="E4309" t="s">
        <v>40883</v>
      </c>
      <c r="F4309" t="s">
        <v>7434</v>
      </c>
      <c r="G4309" t="s">
        <v>22194</v>
      </c>
      <c r="H4309" t="s">
        <v>26004</v>
      </c>
      <c r="I4309" s="26">
        <v>33883</v>
      </c>
      <c r="J4309">
        <v>1999</v>
      </c>
      <c r="K4309" t="s">
        <v>7434</v>
      </c>
      <c r="L4309">
        <v>317</v>
      </c>
      <c r="M4309" t="s">
        <v>41266</v>
      </c>
      <c r="N4309">
        <v>1</v>
      </c>
      <c r="R4309">
        <v>153.80000000000001</v>
      </c>
      <c r="T4309" t="s">
        <v>30</v>
      </c>
      <c r="U4309" t="s">
        <v>46</v>
      </c>
      <c r="W4309" t="s">
        <v>26009</v>
      </c>
    </row>
    <row r="4310" spans="1:23" x14ac:dyDescent="0.35">
      <c r="A4310">
        <v>997079</v>
      </c>
      <c r="B4310" t="s">
        <v>41267</v>
      </c>
      <c r="C4310" t="str">
        <f>"9780803936737"</f>
        <v>9780803936737</v>
      </c>
      <c r="D4310" t="str">
        <f>"9781452245881"</f>
        <v>9781452245881</v>
      </c>
      <c r="E4310" t="s">
        <v>40883</v>
      </c>
      <c r="F4310" t="s">
        <v>7434</v>
      </c>
      <c r="G4310" t="s">
        <v>22194</v>
      </c>
      <c r="H4310" t="s">
        <v>26004</v>
      </c>
      <c r="I4310" s="26">
        <v>33765</v>
      </c>
      <c r="J4310">
        <v>1999</v>
      </c>
      <c r="K4310" t="s">
        <v>7434</v>
      </c>
      <c r="L4310">
        <v>161</v>
      </c>
      <c r="M4310" t="s">
        <v>41268</v>
      </c>
      <c r="N4310">
        <v>1</v>
      </c>
      <c r="O4310" t="s">
        <v>40926</v>
      </c>
      <c r="R4310">
        <v>305.24</v>
      </c>
      <c r="T4310" t="s">
        <v>30</v>
      </c>
      <c r="U4310" t="s">
        <v>26044</v>
      </c>
      <c r="W4310" t="s">
        <v>26009</v>
      </c>
    </row>
    <row r="4311" spans="1:23" x14ac:dyDescent="0.35">
      <c r="A4311">
        <v>997082</v>
      </c>
      <c r="B4311" t="s">
        <v>41269</v>
      </c>
      <c r="C4311" t="str">
        <f>"9780803946330"</f>
        <v>9780803946330</v>
      </c>
      <c r="D4311" t="str">
        <f>"9781452246093"</f>
        <v>9781452246093</v>
      </c>
      <c r="E4311" t="s">
        <v>40883</v>
      </c>
      <c r="F4311" t="s">
        <v>7434</v>
      </c>
      <c r="G4311" t="s">
        <v>22194</v>
      </c>
      <c r="H4311" t="s">
        <v>26004</v>
      </c>
      <c r="I4311" s="26">
        <v>33693</v>
      </c>
      <c r="J4311">
        <v>1999</v>
      </c>
      <c r="K4311" t="s">
        <v>7434</v>
      </c>
      <c r="L4311">
        <v>269</v>
      </c>
      <c r="M4311" t="s">
        <v>41270</v>
      </c>
      <c r="N4311">
        <v>1</v>
      </c>
      <c r="O4311" t="s">
        <v>41271</v>
      </c>
      <c r="R4311">
        <v>616.89156000000003</v>
      </c>
      <c r="T4311" t="s">
        <v>30</v>
      </c>
      <c r="U4311" t="s">
        <v>26040</v>
      </c>
      <c r="W4311" t="s">
        <v>26009</v>
      </c>
    </row>
    <row r="4312" spans="1:23" x14ac:dyDescent="0.35">
      <c r="A4312">
        <v>997083</v>
      </c>
      <c r="B4312" t="s">
        <v>41272</v>
      </c>
      <c r="C4312" t="str">
        <f>"9780803943759"</f>
        <v>9780803943759</v>
      </c>
      <c r="D4312" t="str">
        <f>"9781452246185"</f>
        <v>9781452246185</v>
      </c>
      <c r="E4312" t="s">
        <v>40883</v>
      </c>
      <c r="F4312" t="s">
        <v>7434</v>
      </c>
      <c r="G4312" t="s">
        <v>22194</v>
      </c>
      <c r="H4312" t="s">
        <v>26004</v>
      </c>
      <c r="I4312" s="26">
        <v>33842</v>
      </c>
      <c r="J4312">
        <v>1999</v>
      </c>
      <c r="K4312" t="s">
        <v>7434</v>
      </c>
      <c r="L4312">
        <v>205</v>
      </c>
      <c r="M4312" t="s">
        <v>41273</v>
      </c>
      <c r="N4312">
        <v>1</v>
      </c>
      <c r="O4312" t="s">
        <v>41274</v>
      </c>
      <c r="R4312">
        <v>155.9</v>
      </c>
      <c r="T4312" t="s">
        <v>30</v>
      </c>
      <c r="U4312" t="s">
        <v>46</v>
      </c>
      <c r="W4312" t="s">
        <v>26009</v>
      </c>
    </row>
    <row r="4313" spans="1:23" x14ac:dyDescent="0.35">
      <c r="A4313">
        <v>997087</v>
      </c>
      <c r="B4313" t="s">
        <v>41275</v>
      </c>
      <c r="C4313" t="str">
        <f>"9780803955608"</f>
        <v>9780803955608</v>
      </c>
      <c r="D4313" t="str">
        <f>"9781452246741"</f>
        <v>9781452246741</v>
      </c>
      <c r="E4313" t="s">
        <v>40883</v>
      </c>
      <c r="F4313" t="s">
        <v>7434</v>
      </c>
      <c r="G4313" t="s">
        <v>22194</v>
      </c>
      <c r="H4313" t="s">
        <v>26004</v>
      </c>
      <c r="I4313" s="26">
        <v>34738</v>
      </c>
      <c r="J4313">
        <v>1995</v>
      </c>
      <c r="K4313" t="s">
        <v>7434</v>
      </c>
      <c r="L4313">
        <v>233</v>
      </c>
      <c r="M4313" t="s">
        <v>41276</v>
      </c>
      <c r="N4313">
        <v>1</v>
      </c>
      <c r="O4313" t="s">
        <v>41274</v>
      </c>
      <c r="R4313" t="s">
        <v>27838</v>
      </c>
      <c r="T4313" t="s">
        <v>30</v>
      </c>
      <c r="U4313" t="s">
        <v>46</v>
      </c>
      <c r="W4313" t="s">
        <v>26009</v>
      </c>
    </row>
    <row r="4314" spans="1:23" x14ac:dyDescent="0.35">
      <c r="A4314">
        <v>997097</v>
      </c>
      <c r="B4314" t="s">
        <v>41277</v>
      </c>
      <c r="C4314" t="str">
        <f>"9780761903604"</f>
        <v>9780761903604</v>
      </c>
      <c r="D4314" t="str">
        <f>"9781452249964"</f>
        <v>9781452249964</v>
      </c>
      <c r="E4314" t="s">
        <v>40883</v>
      </c>
      <c r="F4314" t="s">
        <v>7434</v>
      </c>
      <c r="G4314" t="s">
        <v>22194</v>
      </c>
      <c r="H4314" t="s">
        <v>26004</v>
      </c>
      <c r="I4314" s="26">
        <v>35711</v>
      </c>
      <c r="J4314">
        <v>1997</v>
      </c>
      <c r="K4314" t="s">
        <v>7434</v>
      </c>
      <c r="L4314">
        <v>322</v>
      </c>
      <c r="M4314" t="s">
        <v>41278</v>
      </c>
      <c r="N4314">
        <v>1</v>
      </c>
      <c r="R4314" t="s">
        <v>27122</v>
      </c>
      <c r="T4314" t="s">
        <v>30</v>
      </c>
      <c r="U4314" t="s">
        <v>26040</v>
      </c>
      <c r="W4314" t="s">
        <v>26009</v>
      </c>
    </row>
    <row r="4315" spans="1:23" x14ac:dyDescent="0.35">
      <c r="A4315">
        <v>997098</v>
      </c>
      <c r="B4315" t="s">
        <v>41279</v>
      </c>
      <c r="C4315" t="str">
        <f>"9780803953369"</f>
        <v>9780803953369</v>
      </c>
      <c r="D4315" t="str">
        <f>"9781452247359"</f>
        <v>9781452247359</v>
      </c>
      <c r="E4315" t="s">
        <v>40883</v>
      </c>
      <c r="F4315" t="s">
        <v>7434</v>
      </c>
      <c r="G4315" t="s">
        <v>22194</v>
      </c>
      <c r="H4315" t="s">
        <v>26004</v>
      </c>
      <c r="I4315" s="26">
        <v>34914</v>
      </c>
      <c r="J4315">
        <v>1995</v>
      </c>
      <c r="K4315" t="s">
        <v>7434</v>
      </c>
      <c r="L4315">
        <v>437</v>
      </c>
      <c r="M4315" t="s">
        <v>41280</v>
      </c>
      <c r="N4315">
        <v>1</v>
      </c>
      <c r="O4315" t="s">
        <v>40929</v>
      </c>
      <c r="R4315" t="s">
        <v>41281</v>
      </c>
      <c r="T4315" t="s">
        <v>30</v>
      </c>
      <c r="U4315" t="s">
        <v>26044</v>
      </c>
      <c r="W4315" t="s">
        <v>26009</v>
      </c>
    </row>
    <row r="4316" spans="1:23" x14ac:dyDescent="0.35">
      <c r="A4316">
        <v>997100</v>
      </c>
      <c r="B4316" t="s">
        <v>41282</v>
      </c>
      <c r="C4316" t="str">
        <f>"9780803959828"</f>
        <v>9780803959828</v>
      </c>
      <c r="D4316" t="str">
        <f>"9781452248196"</f>
        <v>9781452248196</v>
      </c>
      <c r="E4316" t="s">
        <v>40883</v>
      </c>
      <c r="F4316" t="s">
        <v>7434</v>
      </c>
      <c r="G4316" t="s">
        <v>22194</v>
      </c>
      <c r="H4316" t="s">
        <v>26004</v>
      </c>
      <c r="I4316" s="26">
        <v>35171</v>
      </c>
      <c r="J4316">
        <v>1996</v>
      </c>
      <c r="K4316" t="s">
        <v>7434</v>
      </c>
      <c r="L4316">
        <v>299</v>
      </c>
      <c r="M4316" t="s">
        <v>41283</v>
      </c>
      <c r="N4316">
        <v>1</v>
      </c>
      <c r="R4316" t="s">
        <v>41284</v>
      </c>
      <c r="T4316" t="s">
        <v>30</v>
      </c>
      <c r="U4316" t="s">
        <v>26044</v>
      </c>
      <c r="W4316" t="s">
        <v>26009</v>
      </c>
    </row>
    <row r="4317" spans="1:23" x14ac:dyDescent="0.35">
      <c r="A4317">
        <v>997102</v>
      </c>
      <c r="B4317" t="s">
        <v>41285</v>
      </c>
      <c r="C4317" t="str">
        <f>"9780761903635"</f>
        <v>9780761903635</v>
      </c>
      <c r="D4317" t="str">
        <f>"9781452250366"</f>
        <v>9781452250366</v>
      </c>
      <c r="E4317" t="s">
        <v>40883</v>
      </c>
      <c r="F4317" t="s">
        <v>7434</v>
      </c>
      <c r="G4317" t="s">
        <v>22194</v>
      </c>
      <c r="H4317" t="s">
        <v>26004</v>
      </c>
      <c r="I4317" s="26">
        <v>35779</v>
      </c>
      <c r="J4317">
        <v>1997</v>
      </c>
      <c r="K4317" t="s">
        <v>7434</v>
      </c>
      <c r="L4317">
        <v>273</v>
      </c>
      <c r="M4317" t="s">
        <v>41286</v>
      </c>
      <c r="N4317">
        <v>1</v>
      </c>
      <c r="O4317" t="s">
        <v>40929</v>
      </c>
      <c r="R4317" t="s">
        <v>41287</v>
      </c>
      <c r="T4317" t="s">
        <v>30</v>
      </c>
      <c r="U4317" t="s">
        <v>26250</v>
      </c>
      <c r="W4317" t="s">
        <v>26009</v>
      </c>
    </row>
    <row r="4318" spans="1:23" x14ac:dyDescent="0.35">
      <c r="A4318">
        <v>997121</v>
      </c>
      <c r="B4318" t="s">
        <v>41288</v>
      </c>
      <c r="C4318" t="str">
        <f>"9780761922643"</f>
        <v>9780761922643</v>
      </c>
      <c r="D4318" t="str">
        <f>"9781452252094"</f>
        <v>9781452252094</v>
      </c>
      <c r="E4318" t="s">
        <v>40883</v>
      </c>
      <c r="F4318" t="s">
        <v>7434</v>
      </c>
      <c r="G4318" t="s">
        <v>22194</v>
      </c>
      <c r="H4318" t="s">
        <v>26004</v>
      </c>
      <c r="I4318" s="26">
        <v>37063</v>
      </c>
      <c r="J4318">
        <v>2001</v>
      </c>
      <c r="K4318" t="s">
        <v>7434</v>
      </c>
      <c r="L4318">
        <v>204</v>
      </c>
      <c r="M4318" t="s">
        <v>41289</v>
      </c>
      <c r="N4318">
        <v>1</v>
      </c>
      <c r="R4318" t="s">
        <v>27122</v>
      </c>
      <c r="T4318" t="s">
        <v>30</v>
      </c>
      <c r="U4318" t="s">
        <v>26040</v>
      </c>
      <c r="W4318" t="s">
        <v>26009</v>
      </c>
    </row>
    <row r="4319" spans="1:23" x14ac:dyDescent="0.35">
      <c r="A4319">
        <v>997122</v>
      </c>
      <c r="B4319" t="s">
        <v>41290</v>
      </c>
      <c r="C4319" t="str">
        <f>"9780761921615"</f>
        <v>9780761921615</v>
      </c>
      <c r="D4319" t="str">
        <f>"9781452252117"</f>
        <v>9781452252117</v>
      </c>
      <c r="E4319" t="s">
        <v>40883</v>
      </c>
      <c r="F4319" t="s">
        <v>7434</v>
      </c>
      <c r="G4319" t="s">
        <v>22194</v>
      </c>
      <c r="H4319" t="s">
        <v>26004</v>
      </c>
      <c r="I4319" s="26">
        <v>37155</v>
      </c>
      <c r="J4319">
        <v>2001</v>
      </c>
      <c r="K4319" t="s">
        <v>7434</v>
      </c>
      <c r="L4319">
        <v>328</v>
      </c>
      <c r="M4319" t="s">
        <v>39551</v>
      </c>
      <c r="N4319">
        <v>1</v>
      </c>
      <c r="R4319" t="s">
        <v>26972</v>
      </c>
      <c r="T4319" t="s">
        <v>30</v>
      </c>
      <c r="U4319" t="s">
        <v>46</v>
      </c>
      <c r="W4319" t="s">
        <v>26009</v>
      </c>
    </row>
    <row r="4320" spans="1:23" x14ac:dyDescent="0.35">
      <c r="A4320">
        <v>997123</v>
      </c>
      <c r="B4320" t="s">
        <v>41291</v>
      </c>
      <c r="C4320" t="str">
        <f>"9780761909118"</f>
        <v>9780761909118</v>
      </c>
      <c r="D4320" t="str">
        <f>"9781452252148"</f>
        <v>9781452252148</v>
      </c>
      <c r="E4320" t="s">
        <v>40883</v>
      </c>
      <c r="F4320" t="s">
        <v>7434</v>
      </c>
      <c r="G4320" t="s">
        <v>22194</v>
      </c>
      <c r="H4320" t="s">
        <v>26004</v>
      </c>
      <c r="I4320" s="26">
        <v>37201</v>
      </c>
      <c r="J4320">
        <v>2002</v>
      </c>
      <c r="K4320" t="s">
        <v>7434</v>
      </c>
      <c r="L4320">
        <v>234</v>
      </c>
      <c r="M4320" t="s">
        <v>41292</v>
      </c>
      <c r="N4320">
        <v>1</v>
      </c>
      <c r="T4320" t="s">
        <v>30</v>
      </c>
      <c r="U4320" t="s">
        <v>46</v>
      </c>
      <c r="W4320" t="s">
        <v>26009</v>
      </c>
    </row>
    <row r="4321" spans="1:23" x14ac:dyDescent="0.35">
      <c r="A4321">
        <v>997131</v>
      </c>
      <c r="B4321" t="s">
        <v>41293</v>
      </c>
      <c r="C4321" t="str">
        <f>"9780803970595"</f>
        <v>9780803970595</v>
      </c>
      <c r="D4321" t="str">
        <f>"9781452247762"</f>
        <v>9781452247762</v>
      </c>
      <c r="E4321" t="s">
        <v>40883</v>
      </c>
      <c r="F4321" t="s">
        <v>7434</v>
      </c>
      <c r="G4321" t="s">
        <v>22194</v>
      </c>
      <c r="H4321" t="s">
        <v>26004</v>
      </c>
      <c r="I4321" s="26">
        <v>35024</v>
      </c>
      <c r="J4321">
        <v>1995</v>
      </c>
      <c r="K4321" t="s">
        <v>7434</v>
      </c>
      <c r="L4321">
        <v>513</v>
      </c>
      <c r="M4321" t="s">
        <v>41294</v>
      </c>
      <c r="N4321">
        <v>1</v>
      </c>
      <c r="R4321">
        <v>305.8</v>
      </c>
      <c r="T4321" t="s">
        <v>30</v>
      </c>
      <c r="U4321" t="s">
        <v>26044</v>
      </c>
      <c r="W4321" t="s">
        <v>26009</v>
      </c>
    </row>
    <row r="4322" spans="1:23" x14ac:dyDescent="0.35">
      <c r="A4322">
        <v>997132</v>
      </c>
      <c r="B4322" t="s">
        <v>41295</v>
      </c>
      <c r="C4322" t="str">
        <f>"9780803945616"</f>
        <v>9780803945616</v>
      </c>
      <c r="D4322" t="str">
        <f>"9781452247779"</f>
        <v>9781452247779</v>
      </c>
      <c r="E4322" t="s">
        <v>40883</v>
      </c>
      <c r="F4322" t="s">
        <v>7434</v>
      </c>
      <c r="G4322" t="s">
        <v>22194</v>
      </c>
      <c r="H4322" t="s">
        <v>26004</v>
      </c>
      <c r="I4322" s="26">
        <v>35025</v>
      </c>
      <c r="J4322">
        <v>1995</v>
      </c>
      <c r="K4322" t="s">
        <v>7434</v>
      </c>
      <c r="L4322">
        <v>259</v>
      </c>
      <c r="M4322" t="s">
        <v>41296</v>
      </c>
      <c r="N4322">
        <v>1</v>
      </c>
      <c r="O4322" t="s">
        <v>40926</v>
      </c>
      <c r="R4322" t="s">
        <v>32009</v>
      </c>
      <c r="T4322" t="s">
        <v>30</v>
      </c>
      <c r="U4322" t="s">
        <v>46</v>
      </c>
      <c r="W4322" t="s">
        <v>26009</v>
      </c>
    </row>
    <row r="4323" spans="1:23" x14ac:dyDescent="0.35">
      <c r="A4323">
        <v>997135</v>
      </c>
      <c r="B4323" t="s">
        <v>41297</v>
      </c>
      <c r="C4323" t="str">
        <f>"9780803948846"</f>
        <v>9780803948846</v>
      </c>
      <c r="D4323" t="str">
        <f>"9781452248202"</f>
        <v>9781452248202</v>
      </c>
      <c r="E4323" t="s">
        <v>40883</v>
      </c>
      <c r="F4323" t="s">
        <v>7434</v>
      </c>
      <c r="G4323" t="s">
        <v>22194</v>
      </c>
      <c r="H4323" t="s">
        <v>26004</v>
      </c>
      <c r="I4323" s="26">
        <v>35166</v>
      </c>
      <c r="J4323">
        <v>1996</v>
      </c>
      <c r="K4323" t="s">
        <v>7434</v>
      </c>
      <c r="L4323">
        <v>167</v>
      </c>
      <c r="M4323" t="s">
        <v>41298</v>
      </c>
      <c r="N4323">
        <v>1</v>
      </c>
      <c r="O4323" t="s">
        <v>40926</v>
      </c>
      <c r="R4323" t="s">
        <v>41299</v>
      </c>
      <c r="T4323" t="s">
        <v>30</v>
      </c>
      <c r="U4323" t="s">
        <v>26044</v>
      </c>
      <c r="W4323" t="s">
        <v>26009</v>
      </c>
    </row>
    <row r="4324" spans="1:23" x14ac:dyDescent="0.35">
      <c r="A4324">
        <v>997138</v>
      </c>
      <c r="B4324" t="s">
        <v>41300</v>
      </c>
      <c r="C4324" t="str">
        <f>"9780803972049"</f>
        <v>9780803972049</v>
      </c>
      <c r="D4324" t="str">
        <f>"9781452248431"</f>
        <v>9781452248431</v>
      </c>
      <c r="E4324" t="s">
        <v>40883</v>
      </c>
      <c r="F4324" t="s">
        <v>7434</v>
      </c>
      <c r="G4324" t="s">
        <v>22194</v>
      </c>
      <c r="H4324" t="s">
        <v>26004</v>
      </c>
      <c r="I4324" s="26">
        <v>35207</v>
      </c>
      <c r="J4324">
        <v>1996</v>
      </c>
      <c r="K4324" t="s">
        <v>7434</v>
      </c>
      <c r="L4324">
        <v>433</v>
      </c>
      <c r="M4324" t="s">
        <v>41301</v>
      </c>
      <c r="N4324">
        <v>1</v>
      </c>
      <c r="R4324">
        <v>302.3</v>
      </c>
      <c r="T4324" t="s">
        <v>30</v>
      </c>
      <c r="U4324" t="s">
        <v>26044</v>
      </c>
      <c r="W4324" t="s">
        <v>26009</v>
      </c>
    </row>
    <row r="4325" spans="1:23" x14ac:dyDescent="0.35">
      <c r="A4325">
        <v>997150</v>
      </c>
      <c r="B4325" t="s">
        <v>41302</v>
      </c>
      <c r="C4325" t="str">
        <f>"9780803973770"</f>
        <v>9780803973770</v>
      </c>
      <c r="D4325" t="str">
        <f>"9781452249858"</f>
        <v>9781452249858</v>
      </c>
      <c r="E4325" t="s">
        <v>40883</v>
      </c>
      <c r="F4325" t="s">
        <v>7434</v>
      </c>
      <c r="G4325" t="s">
        <v>22194</v>
      </c>
      <c r="H4325" t="s">
        <v>26004</v>
      </c>
      <c r="I4325" s="26">
        <v>35550</v>
      </c>
      <c r="J4325">
        <v>1997</v>
      </c>
      <c r="K4325" t="s">
        <v>7434</v>
      </c>
      <c r="L4325">
        <v>161</v>
      </c>
      <c r="M4325" t="s">
        <v>41303</v>
      </c>
      <c r="N4325">
        <v>1</v>
      </c>
      <c r="O4325" t="s">
        <v>41274</v>
      </c>
      <c r="R4325" t="s">
        <v>41114</v>
      </c>
      <c r="T4325" t="s">
        <v>30</v>
      </c>
      <c r="U4325" t="s">
        <v>35007</v>
      </c>
      <c r="W4325" t="s">
        <v>26009</v>
      </c>
    </row>
    <row r="4326" spans="1:23" x14ac:dyDescent="0.35">
      <c r="A4326">
        <v>997165</v>
      </c>
      <c r="B4326" t="s">
        <v>41304</v>
      </c>
      <c r="C4326" t="str">
        <f>"9780803951921"</f>
        <v>9780803951921</v>
      </c>
      <c r="D4326" t="str">
        <f>"9781452253930"</f>
        <v>9781452253930</v>
      </c>
      <c r="E4326" t="s">
        <v>40883</v>
      </c>
      <c r="F4326" t="s">
        <v>7434</v>
      </c>
      <c r="G4326" t="s">
        <v>22194</v>
      </c>
      <c r="H4326" t="s">
        <v>26004</v>
      </c>
      <c r="I4326" s="26">
        <v>34592</v>
      </c>
      <c r="J4326">
        <v>1994</v>
      </c>
      <c r="K4326" t="s">
        <v>7434</v>
      </c>
      <c r="L4326">
        <v>133</v>
      </c>
      <c r="M4326" t="s">
        <v>41305</v>
      </c>
      <c r="N4326">
        <v>1</v>
      </c>
      <c r="O4326" t="s">
        <v>40895</v>
      </c>
      <c r="R4326" t="s">
        <v>29630</v>
      </c>
      <c r="T4326" t="s">
        <v>30</v>
      </c>
      <c r="U4326" t="s">
        <v>26040</v>
      </c>
      <c r="W4326" t="s">
        <v>26009</v>
      </c>
    </row>
    <row r="4327" spans="1:23" x14ac:dyDescent="0.35">
      <c r="A4327">
        <v>997169</v>
      </c>
      <c r="B4327" t="s">
        <v>41306</v>
      </c>
      <c r="C4327" t="str">
        <f>"9780803956285"</f>
        <v>9780803956285</v>
      </c>
      <c r="D4327" t="str">
        <f>"9781452247977"</f>
        <v>9781452247977</v>
      </c>
      <c r="E4327" t="s">
        <v>40883</v>
      </c>
      <c r="F4327" t="s">
        <v>7434</v>
      </c>
      <c r="G4327" t="s">
        <v>22194</v>
      </c>
      <c r="H4327" t="s">
        <v>26004</v>
      </c>
      <c r="I4327" s="26">
        <v>35234</v>
      </c>
      <c r="J4327">
        <v>1996</v>
      </c>
      <c r="K4327" t="s">
        <v>7434</v>
      </c>
      <c r="L4327">
        <v>321</v>
      </c>
      <c r="M4327" t="s">
        <v>41307</v>
      </c>
      <c r="N4327">
        <v>1</v>
      </c>
      <c r="R4327" t="s">
        <v>41308</v>
      </c>
      <c r="T4327" t="s">
        <v>30</v>
      </c>
      <c r="U4327" t="s">
        <v>28748</v>
      </c>
      <c r="W4327" t="s">
        <v>26009</v>
      </c>
    </row>
    <row r="4328" spans="1:23" x14ac:dyDescent="0.35">
      <c r="A4328">
        <v>997170</v>
      </c>
      <c r="B4328" t="s">
        <v>41309</v>
      </c>
      <c r="C4328" t="str">
        <f>"9780803972407"</f>
        <v>9780803972407</v>
      </c>
      <c r="D4328" t="str">
        <f>"9781452248356"</f>
        <v>9781452248356</v>
      </c>
      <c r="E4328" t="s">
        <v>40883</v>
      </c>
      <c r="F4328" t="s">
        <v>7434</v>
      </c>
      <c r="G4328" t="s">
        <v>22194</v>
      </c>
      <c r="H4328" t="s">
        <v>26004</v>
      </c>
      <c r="I4328" s="26">
        <v>35206</v>
      </c>
      <c r="J4328">
        <v>1996</v>
      </c>
      <c r="K4328" t="s">
        <v>7434</v>
      </c>
      <c r="L4328">
        <v>193</v>
      </c>
      <c r="M4328" t="s">
        <v>41310</v>
      </c>
      <c r="N4328">
        <v>1</v>
      </c>
      <c r="O4328" t="s">
        <v>40888</v>
      </c>
      <c r="R4328" t="s">
        <v>41311</v>
      </c>
      <c r="T4328" t="s">
        <v>30</v>
      </c>
      <c r="U4328" t="s">
        <v>26044</v>
      </c>
      <c r="W4328" t="s">
        <v>26009</v>
      </c>
    </row>
    <row r="4329" spans="1:23" x14ac:dyDescent="0.35">
      <c r="A4329">
        <v>997190</v>
      </c>
      <c r="B4329" t="s">
        <v>41312</v>
      </c>
      <c r="C4329" t="str">
        <f>"9780803971950"</f>
        <v>9780803971950</v>
      </c>
      <c r="D4329" t="str">
        <f>"9781452246963"</f>
        <v>9781452246963</v>
      </c>
      <c r="E4329" t="s">
        <v>40883</v>
      </c>
      <c r="F4329" t="s">
        <v>7434</v>
      </c>
      <c r="G4329" t="s">
        <v>22194</v>
      </c>
      <c r="H4329" t="s">
        <v>26004</v>
      </c>
      <c r="I4329" s="26">
        <v>34772</v>
      </c>
      <c r="J4329">
        <v>1995</v>
      </c>
      <c r="K4329" t="s">
        <v>7434</v>
      </c>
      <c r="L4329">
        <v>195</v>
      </c>
      <c r="M4329" t="s">
        <v>41313</v>
      </c>
      <c r="N4329">
        <v>1</v>
      </c>
      <c r="R4329" t="s">
        <v>35157</v>
      </c>
      <c r="T4329" t="s">
        <v>30</v>
      </c>
      <c r="U4329" t="s">
        <v>26040</v>
      </c>
      <c r="W4329" t="s">
        <v>26009</v>
      </c>
    </row>
    <row r="4330" spans="1:23" x14ac:dyDescent="0.35">
      <c r="A4330">
        <v>997195</v>
      </c>
      <c r="B4330" t="s">
        <v>41314</v>
      </c>
      <c r="C4330" t="str">
        <f>"9780803970311"</f>
        <v>9780803970311</v>
      </c>
      <c r="D4330" t="str">
        <f>"9781452249001"</f>
        <v>9781452249001</v>
      </c>
      <c r="E4330" t="s">
        <v>40883</v>
      </c>
      <c r="F4330" t="s">
        <v>7434</v>
      </c>
      <c r="G4330" t="s">
        <v>22194</v>
      </c>
      <c r="H4330" t="s">
        <v>26004</v>
      </c>
      <c r="I4330" s="26">
        <v>35404</v>
      </c>
      <c r="J4330">
        <v>1996</v>
      </c>
      <c r="K4330" t="s">
        <v>7434</v>
      </c>
      <c r="L4330">
        <v>197</v>
      </c>
      <c r="M4330" t="s">
        <v>41315</v>
      </c>
      <c r="N4330">
        <v>1</v>
      </c>
      <c r="Q4330" t="s">
        <v>41316</v>
      </c>
      <c r="R4330">
        <v>303.60000000000002</v>
      </c>
      <c r="T4330" t="s">
        <v>30</v>
      </c>
      <c r="U4330" t="s">
        <v>26044</v>
      </c>
      <c r="W4330" t="s">
        <v>26009</v>
      </c>
    </row>
    <row r="4331" spans="1:23" x14ac:dyDescent="0.35">
      <c r="A4331">
        <v>997206</v>
      </c>
      <c r="B4331" t="s">
        <v>41317</v>
      </c>
      <c r="C4331" t="str">
        <f>"9780803947115"</f>
        <v>9780803947115</v>
      </c>
      <c r="D4331" t="str">
        <f>"9781452255101"</f>
        <v>9781452255101</v>
      </c>
      <c r="E4331" t="s">
        <v>40883</v>
      </c>
      <c r="F4331" t="s">
        <v>7434</v>
      </c>
      <c r="G4331" t="s">
        <v>22194</v>
      </c>
      <c r="H4331" t="s">
        <v>26004</v>
      </c>
      <c r="I4331" s="26">
        <v>34477</v>
      </c>
      <c r="J4331">
        <v>1994</v>
      </c>
      <c r="K4331" t="s">
        <v>7434</v>
      </c>
      <c r="L4331">
        <v>141</v>
      </c>
      <c r="M4331" t="s">
        <v>41318</v>
      </c>
      <c r="N4331">
        <v>1</v>
      </c>
      <c r="O4331" t="s">
        <v>40926</v>
      </c>
      <c r="R4331">
        <v>302</v>
      </c>
      <c r="T4331" t="s">
        <v>30</v>
      </c>
      <c r="U4331" t="s">
        <v>26044</v>
      </c>
      <c r="W4331" t="s">
        <v>26009</v>
      </c>
    </row>
    <row r="4332" spans="1:23" x14ac:dyDescent="0.35">
      <c r="A4332">
        <v>997227</v>
      </c>
      <c r="B4332" t="s">
        <v>41319</v>
      </c>
      <c r="C4332" t="str">
        <f>"9780761930518"</f>
        <v>9780761930518</v>
      </c>
      <c r="D4332" t="str">
        <f>"9781452245058"</f>
        <v>9781452245058</v>
      </c>
      <c r="E4332" t="s">
        <v>40883</v>
      </c>
      <c r="F4332" t="s">
        <v>7434</v>
      </c>
      <c r="G4332" t="s">
        <v>22194</v>
      </c>
      <c r="H4332" t="s">
        <v>26004</v>
      </c>
      <c r="I4332" s="26">
        <v>38617</v>
      </c>
      <c r="J4332">
        <v>2006</v>
      </c>
      <c r="K4332" t="s">
        <v>7434</v>
      </c>
      <c r="L4332">
        <v>289</v>
      </c>
      <c r="M4332" t="s">
        <v>41320</v>
      </c>
      <c r="N4332">
        <v>1</v>
      </c>
      <c r="R4332">
        <v>616.89</v>
      </c>
      <c r="T4332" t="s">
        <v>30</v>
      </c>
      <c r="U4332" t="s">
        <v>26040</v>
      </c>
      <c r="W4332" t="s">
        <v>26009</v>
      </c>
    </row>
    <row r="4333" spans="1:23" x14ac:dyDescent="0.35">
      <c r="A4333">
        <v>997236</v>
      </c>
      <c r="B4333" t="s">
        <v>41321</v>
      </c>
      <c r="C4333" t="str">
        <f>"9780803951563"</f>
        <v>9780803951563</v>
      </c>
      <c r="D4333" t="str">
        <f>"9781452253831"</f>
        <v>9781452253831</v>
      </c>
      <c r="E4333" t="s">
        <v>40883</v>
      </c>
      <c r="F4333" t="s">
        <v>7434</v>
      </c>
      <c r="G4333" t="s">
        <v>22194</v>
      </c>
      <c r="H4333" t="s">
        <v>26004</v>
      </c>
      <c r="I4333" s="26">
        <v>34123</v>
      </c>
      <c r="J4333">
        <v>1993</v>
      </c>
      <c r="K4333" t="s">
        <v>7434</v>
      </c>
      <c r="L4333">
        <v>262</v>
      </c>
      <c r="M4333" t="s">
        <v>41322</v>
      </c>
      <c r="N4333">
        <v>1</v>
      </c>
      <c r="O4333" t="s">
        <v>41323</v>
      </c>
      <c r="R4333">
        <v>302</v>
      </c>
      <c r="T4333" t="s">
        <v>30</v>
      </c>
      <c r="U4333" t="s">
        <v>26044</v>
      </c>
      <c r="W4333" t="s">
        <v>26009</v>
      </c>
    </row>
    <row r="4334" spans="1:23" x14ac:dyDescent="0.35">
      <c r="A4334">
        <v>997240</v>
      </c>
      <c r="B4334" t="s">
        <v>41324</v>
      </c>
      <c r="C4334" t="str">
        <f>"9780803947887"</f>
        <v>9780803947887</v>
      </c>
      <c r="D4334" t="str">
        <f>"9781452253527"</f>
        <v>9781452253527</v>
      </c>
      <c r="E4334" t="s">
        <v>40883</v>
      </c>
      <c r="F4334" t="s">
        <v>7434</v>
      </c>
      <c r="G4334" t="s">
        <v>22194</v>
      </c>
      <c r="H4334" t="s">
        <v>26004</v>
      </c>
      <c r="I4334" s="26">
        <v>33885</v>
      </c>
      <c r="J4334">
        <v>1992</v>
      </c>
      <c r="K4334" t="s">
        <v>7434</v>
      </c>
      <c r="L4334">
        <v>323</v>
      </c>
      <c r="M4334" t="s">
        <v>41325</v>
      </c>
      <c r="N4334">
        <v>1</v>
      </c>
      <c r="R4334" t="s">
        <v>29861</v>
      </c>
      <c r="T4334" t="s">
        <v>30</v>
      </c>
      <c r="U4334" t="s">
        <v>46</v>
      </c>
      <c r="W4334" t="s">
        <v>26009</v>
      </c>
    </row>
    <row r="4335" spans="1:23" x14ac:dyDescent="0.35">
      <c r="A4335">
        <v>997244</v>
      </c>
      <c r="B4335" t="s">
        <v>41326</v>
      </c>
      <c r="C4335" t="str">
        <f>"9780761911074"</f>
        <v>9780761911074</v>
      </c>
      <c r="D4335" t="str">
        <f>"9781452250199"</f>
        <v>9781452250199</v>
      </c>
      <c r="E4335" t="s">
        <v>40883</v>
      </c>
      <c r="F4335" t="s">
        <v>7434</v>
      </c>
      <c r="G4335" t="s">
        <v>22194</v>
      </c>
      <c r="H4335" t="s">
        <v>26004</v>
      </c>
      <c r="I4335" s="26">
        <v>35696</v>
      </c>
      <c r="J4335">
        <v>1997</v>
      </c>
      <c r="K4335" t="s">
        <v>7434</v>
      </c>
      <c r="L4335">
        <v>207</v>
      </c>
      <c r="M4335" t="s">
        <v>41327</v>
      </c>
      <c r="N4335">
        <v>1</v>
      </c>
      <c r="R4335" t="s">
        <v>41328</v>
      </c>
      <c r="T4335" t="s">
        <v>30</v>
      </c>
      <c r="U4335" t="s">
        <v>26250</v>
      </c>
      <c r="W4335" t="s">
        <v>26009</v>
      </c>
    </row>
    <row r="4336" spans="1:23" x14ac:dyDescent="0.35">
      <c r="A4336">
        <v>997247</v>
      </c>
      <c r="B4336" t="s">
        <v>8897</v>
      </c>
      <c r="C4336" t="str">
        <f>"9780761909361"</f>
        <v>9780761909361</v>
      </c>
      <c r="D4336" t="str">
        <f>"9781452251059"</f>
        <v>9781452251059</v>
      </c>
      <c r="E4336" t="s">
        <v>40883</v>
      </c>
      <c r="F4336" t="s">
        <v>7434</v>
      </c>
      <c r="G4336" t="s">
        <v>22194</v>
      </c>
      <c r="H4336" t="s">
        <v>26004</v>
      </c>
      <c r="I4336" s="26">
        <v>35920</v>
      </c>
      <c r="J4336">
        <v>1998</v>
      </c>
      <c r="K4336" t="s">
        <v>7434</v>
      </c>
      <c r="L4336">
        <v>331</v>
      </c>
      <c r="M4336" t="s">
        <v>41310</v>
      </c>
      <c r="N4336">
        <v>1</v>
      </c>
      <c r="R4336">
        <v>303.60000000000002</v>
      </c>
      <c r="T4336" t="s">
        <v>30</v>
      </c>
      <c r="U4336" t="s">
        <v>26044</v>
      </c>
      <c r="W4336" t="s">
        <v>26009</v>
      </c>
    </row>
    <row r="4337" spans="1:23" x14ac:dyDescent="0.35">
      <c r="A4337">
        <v>997250</v>
      </c>
      <c r="B4337" t="s">
        <v>41329</v>
      </c>
      <c r="C4337" t="str">
        <f>"9780803957589"</f>
        <v>9780803957589</v>
      </c>
      <c r="D4337" t="str">
        <f>"9781452254999"</f>
        <v>9781452254999</v>
      </c>
      <c r="E4337" t="s">
        <v>40883</v>
      </c>
      <c r="F4337" t="s">
        <v>7434</v>
      </c>
      <c r="G4337" t="s">
        <v>22194</v>
      </c>
      <c r="H4337" t="s">
        <v>26004</v>
      </c>
      <c r="I4337" s="26">
        <v>34639</v>
      </c>
      <c r="J4337">
        <v>1994</v>
      </c>
      <c r="K4337" t="s">
        <v>7434</v>
      </c>
      <c r="L4337">
        <v>373</v>
      </c>
      <c r="M4337" t="s">
        <v>41330</v>
      </c>
      <c r="N4337">
        <v>1</v>
      </c>
      <c r="Q4337" t="s">
        <v>41331</v>
      </c>
      <c r="R4337">
        <v>153.1</v>
      </c>
      <c r="S4337" t="s">
        <v>41332</v>
      </c>
      <c r="T4337" t="s">
        <v>30</v>
      </c>
      <c r="U4337" t="s">
        <v>46</v>
      </c>
      <c r="W4337" t="s">
        <v>26009</v>
      </c>
    </row>
    <row r="4338" spans="1:23" x14ac:dyDescent="0.35">
      <c r="A4338">
        <v>997251</v>
      </c>
      <c r="B4338" t="s">
        <v>41333</v>
      </c>
      <c r="C4338" t="str">
        <f>"9780803943872"</f>
        <v>9780803943872</v>
      </c>
      <c r="D4338" t="str">
        <f>"9781452254593"</f>
        <v>9781452254593</v>
      </c>
      <c r="E4338" t="s">
        <v>40883</v>
      </c>
      <c r="F4338" t="s">
        <v>7434</v>
      </c>
      <c r="G4338" t="s">
        <v>22194</v>
      </c>
      <c r="H4338" t="s">
        <v>26004</v>
      </c>
      <c r="I4338" s="26">
        <v>34317</v>
      </c>
      <c r="J4338">
        <v>1993</v>
      </c>
      <c r="K4338" t="s">
        <v>7434</v>
      </c>
      <c r="L4338">
        <v>297</v>
      </c>
      <c r="M4338" t="s">
        <v>41334</v>
      </c>
      <c r="N4338">
        <v>1</v>
      </c>
      <c r="O4338" t="s">
        <v>41335</v>
      </c>
      <c r="R4338" t="s">
        <v>29799</v>
      </c>
      <c r="T4338" t="s">
        <v>30</v>
      </c>
      <c r="U4338" t="s">
        <v>26094</v>
      </c>
      <c r="W4338" t="s">
        <v>26009</v>
      </c>
    </row>
    <row r="4339" spans="1:23" x14ac:dyDescent="0.35">
      <c r="A4339">
        <v>997255</v>
      </c>
      <c r="B4339" t="s">
        <v>41336</v>
      </c>
      <c r="C4339" t="str">
        <f>"9781412959230"</f>
        <v>9781412959230</v>
      </c>
      <c r="D4339" t="str">
        <f>"9781452245164"</f>
        <v>9781452245164</v>
      </c>
      <c r="E4339" t="s">
        <v>40883</v>
      </c>
      <c r="F4339" t="s">
        <v>7434</v>
      </c>
      <c r="G4339" t="s">
        <v>22194</v>
      </c>
      <c r="H4339" t="s">
        <v>26004</v>
      </c>
      <c r="I4339" s="26">
        <v>39388</v>
      </c>
      <c r="J4339">
        <v>2008</v>
      </c>
      <c r="K4339" t="s">
        <v>7434</v>
      </c>
      <c r="L4339">
        <v>193</v>
      </c>
      <c r="M4339" t="s">
        <v>41337</v>
      </c>
      <c r="N4339">
        <v>1</v>
      </c>
      <c r="Q4339" t="s">
        <v>41338</v>
      </c>
      <c r="R4339" t="s">
        <v>26873</v>
      </c>
      <c r="S4339" t="s">
        <v>41339</v>
      </c>
      <c r="T4339" t="s">
        <v>30</v>
      </c>
      <c r="U4339" t="s">
        <v>46</v>
      </c>
      <c r="W4339" t="s">
        <v>26009</v>
      </c>
    </row>
    <row r="4340" spans="1:23" x14ac:dyDescent="0.35">
      <c r="A4340">
        <v>997269</v>
      </c>
      <c r="B4340" t="s">
        <v>41340</v>
      </c>
      <c r="C4340" t="str">
        <f>"9781412939805"</f>
        <v>9781412939805</v>
      </c>
      <c r="D4340" t="str">
        <f>"9781452245478"</f>
        <v>9781452245478</v>
      </c>
      <c r="E4340" t="s">
        <v>40883</v>
      </c>
      <c r="F4340" t="s">
        <v>7434</v>
      </c>
      <c r="G4340" t="s">
        <v>22194</v>
      </c>
      <c r="H4340" t="s">
        <v>26004</v>
      </c>
      <c r="I4340" s="26">
        <v>39220</v>
      </c>
      <c r="J4340">
        <v>2007</v>
      </c>
      <c r="K4340" t="s">
        <v>7434</v>
      </c>
      <c r="L4340">
        <v>297</v>
      </c>
      <c r="M4340" t="s">
        <v>41341</v>
      </c>
      <c r="N4340">
        <v>1</v>
      </c>
      <c r="O4340" t="s">
        <v>41342</v>
      </c>
      <c r="P4340">
        <v>23</v>
      </c>
      <c r="R4340" t="s">
        <v>26873</v>
      </c>
      <c r="T4340" t="s">
        <v>30</v>
      </c>
      <c r="U4340" t="s">
        <v>46</v>
      </c>
      <c r="W4340" t="s">
        <v>26009</v>
      </c>
    </row>
    <row r="4341" spans="1:23" x14ac:dyDescent="0.35">
      <c r="A4341">
        <v>997722</v>
      </c>
      <c r="B4341" t="s">
        <v>9559</v>
      </c>
      <c r="C4341" t="str">
        <f>"9781855752054"</f>
        <v>9781855752054</v>
      </c>
      <c r="D4341" t="str">
        <f>"9781782410157"</f>
        <v>9781782410157</v>
      </c>
      <c r="E4341" t="s">
        <v>26010</v>
      </c>
      <c r="F4341" t="s">
        <v>35</v>
      </c>
      <c r="G4341" t="s">
        <v>22174</v>
      </c>
      <c r="H4341" t="s">
        <v>26011</v>
      </c>
      <c r="I4341" s="26">
        <v>36160</v>
      </c>
      <c r="J4341">
        <v>1998</v>
      </c>
      <c r="K4341" t="s">
        <v>26012</v>
      </c>
      <c r="L4341">
        <v>184</v>
      </c>
      <c r="M4341" t="s">
        <v>36779</v>
      </c>
      <c r="N4341">
        <v>2</v>
      </c>
      <c r="Q4341" t="s">
        <v>41343</v>
      </c>
      <c r="R4341" t="s">
        <v>26422</v>
      </c>
      <c r="S4341" t="s">
        <v>41344</v>
      </c>
      <c r="T4341" t="s">
        <v>30</v>
      </c>
      <c r="U4341" t="s">
        <v>26019</v>
      </c>
      <c r="W4341" t="s">
        <v>26009</v>
      </c>
    </row>
    <row r="4342" spans="1:23" x14ac:dyDescent="0.35">
      <c r="A4342">
        <v>997723</v>
      </c>
      <c r="B4342" t="s">
        <v>41345</v>
      </c>
      <c r="C4342" t="str">
        <f>"9781780491158"</f>
        <v>9781780491158</v>
      </c>
      <c r="D4342" t="str">
        <f>"9781782410171"</f>
        <v>9781782410171</v>
      </c>
      <c r="E4342" t="s">
        <v>26010</v>
      </c>
      <c r="F4342" t="s">
        <v>35</v>
      </c>
      <c r="G4342" t="s">
        <v>22174</v>
      </c>
      <c r="H4342" t="s">
        <v>26011</v>
      </c>
      <c r="I4342" s="26">
        <v>41274</v>
      </c>
      <c r="J4342">
        <v>2012</v>
      </c>
      <c r="K4342" t="s">
        <v>26012</v>
      </c>
      <c r="L4342">
        <v>297</v>
      </c>
      <c r="M4342" t="s">
        <v>40802</v>
      </c>
      <c r="N4342">
        <v>1</v>
      </c>
      <c r="Q4342" t="s">
        <v>41346</v>
      </c>
      <c r="R4342">
        <v>150.19499999999999</v>
      </c>
      <c r="S4342" t="s">
        <v>41347</v>
      </c>
      <c r="T4342" t="s">
        <v>30</v>
      </c>
      <c r="U4342" t="s">
        <v>26228</v>
      </c>
      <c r="W4342" t="s">
        <v>26009</v>
      </c>
    </row>
    <row r="4343" spans="1:23" x14ac:dyDescent="0.35">
      <c r="A4343">
        <v>1000629</v>
      </c>
      <c r="B4343" t="s">
        <v>41348</v>
      </c>
      <c r="C4343" t="str">
        <f>"9780857256614"</f>
        <v>9780857256614</v>
      </c>
      <c r="D4343" t="str">
        <f>"9780857256638"</f>
        <v>9780857256638</v>
      </c>
      <c r="E4343" t="s">
        <v>28007</v>
      </c>
      <c r="F4343" t="s">
        <v>7430</v>
      </c>
      <c r="G4343" t="s">
        <v>22174</v>
      </c>
      <c r="H4343" t="s">
        <v>26011</v>
      </c>
      <c r="I4343" s="26">
        <v>40806</v>
      </c>
      <c r="J4343">
        <v>2011</v>
      </c>
      <c r="K4343" t="s">
        <v>39348</v>
      </c>
      <c r="L4343">
        <v>128</v>
      </c>
      <c r="M4343" t="s">
        <v>41349</v>
      </c>
      <c r="N4343">
        <v>1</v>
      </c>
      <c r="O4343" t="s">
        <v>41350</v>
      </c>
      <c r="Q4343" t="s">
        <v>41351</v>
      </c>
      <c r="R4343">
        <v>155.20760000000001</v>
      </c>
      <c r="S4343" t="s">
        <v>10015</v>
      </c>
      <c r="T4343" t="s">
        <v>30</v>
      </c>
      <c r="U4343" t="s">
        <v>46</v>
      </c>
      <c r="W4343" t="s">
        <v>26009</v>
      </c>
    </row>
    <row r="4344" spans="1:23" x14ac:dyDescent="0.35">
      <c r="A4344">
        <v>1001331</v>
      </c>
      <c r="B4344" t="s">
        <v>41352</v>
      </c>
      <c r="C4344" t="str">
        <f>"9780826455680"</f>
        <v>9780826455680</v>
      </c>
      <c r="D4344" t="str">
        <f>"9781446266106"</f>
        <v>9781446266106</v>
      </c>
      <c r="E4344" t="s">
        <v>28007</v>
      </c>
      <c r="F4344" t="s">
        <v>7430</v>
      </c>
      <c r="G4344" t="s">
        <v>22174</v>
      </c>
      <c r="H4344" t="s">
        <v>26011</v>
      </c>
      <c r="I4344" s="26">
        <v>44179</v>
      </c>
      <c r="J4344">
        <v>2002</v>
      </c>
      <c r="K4344" t="s">
        <v>7430</v>
      </c>
      <c r="L4344">
        <v>250</v>
      </c>
      <c r="M4344" t="s">
        <v>41353</v>
      </c>
      <c r="N4344">
        <v>1</v>
      </c>
      <c r="O4344" t="s">
        <v>41354</v>
      </c>
      <c r="Q4344" t="s">
        <v>41355</v>
      </c>
      <c r="R4344" t="s">
        <v>26612</v>
      </c>
      <c r="S4344" t="s">
        <v>41356</v>
      </c>
      <c r="T4344" t="s">
        <v>30</v>
      </c>
      <c r="U4344" t="s">
        <v>46</v>
      </c>
      <c r="W4344" t="s">
        <v>26009</v>
      </c>
    </row>
    <row r="4345" spans="1:23" x14ac:dyDescent="0.35">
      <c r="A4345">
        <v>1001332</v>
      </c>
      <c r="B4345" t="s">
        <v>10095</v>
      </c>
      <c r="C4345" t="str">
        <f>"9781412908023"</f>
        <v>9781412908023</v>
      </c>
      <c r="D4345" t="str">
        <f>"9781446266151"</f>
        <v>9781446266151</v>
      </c>
      <c r="E4345" t="s">
        <v>28007</v>
      </c>
      <c r="F4345" t="s">
        <v>7430</v>
      </c>
      <c r="G4345" t="s">
        <v>22174</v>
      </c>
      <c r="H4345" t="s">
        <v>26011</v>
      </c>
      <c r="I4345" s="26">
        <v>36555</v>
      </c>
      <c r="J4345">
        <v>2000</v>
      </c>
      <c r="K4345" t="s">
        <v>7430</v>
      </c>
      <c r="L4345">
        <v>241</v>
      </c>
      <c r="M4345" t="s">
        <v>41357</v>
      </c>
      <c r="N4345">
        <v>1</v>
      </c>
      <c r="Q4345" t="s">
        <v>41358</v>
      </c>
      <c r="R4345">
        <v>616.89139999999998</v>
      </c>
      <c r="S4345" t="s">
        <v>41359</v>
      </c>
      <c r="T4345" t="s">
        <v>30</v>
      </c>
      <c r="U4345" t="s">
        <v>26116</v>
      </c>
      <c r="W4345" t="s">
        <v>26009</v>
      </c>
    </row>
    <row r="4346" spans="1:23" x14ac:dyDescent="0.35">
      <c r="A4346">
        <v>1001335</v>
      </c>
      <c r="B4346" t="s">
        <v>41360</v>
      </c>
      <c r="C4346" t="str">
        <f>"9780803979291"</f>
        <v>9780803979291</v>
      </c>
      <c r="D4346" t="str">
        <f>"9781446265802"</f>
        <v>9781446265802</v>
      </c>
      <c r="E4346" t="s">
        <v>28007</v>
      </c>
      <c r="F4346" t="s">
        <v>7430</v>
      </c>
      <c r="G4346" t="s">
        <v>22174</v>
      </c>
      <c r="H4346" t="s">
        <v>26011</v>
      </c>
      <c r="I4346" s="26">
        <v>35299</v>
      </c>
      <c r="J4346">
        <v>1996</v>
      </c>
      <c r="K4346" t="s">
        <v>7430</v>
      </c>
      <c r="L4346">
        <v>337</v>
      </c>
      <c r="M4346" t="s">
        <v>41361</v>
      </c>
      <c r="N4346">
        <v>1</v>
      </c>
      <c r="Q4346" t="s">
        <v>41362</v>
      </c>
      <c r="R4346">
        <v>152.4</v>
      </c>
      <c r="S4346" t="s">
        <v>7778</v>
      </c>
      <c r="T4346" t="s">
        <v>30</v>
      </c>
      <c r="U4346" t="s">
        <v>46</v>
      </c>
      <c r="W4346" t="s">
        <v>26009</v>
      </c>
    </row>
    <row r="4347" spans="1:23" x14ac:dyDescent="0.35">
      <c r="A4347">
        <v>1001338</v>
      </c>
      <c r="B4347" t="s">
        <v>9875</v>
      </c>
      <c r="C4347" t="str">
        <f>"9780761953081"</f>
        <v>9780761953081</v>
      </c>
      <c r="D4347" t="str">
        <f>"9781848609006"</f>
        <v>9781848609006</v>
      </c>
      <c r="E4347" t="s">
        <v>28007</v>
      </c>
      <c r="F4347" t="s">
        <v>7430</v>
      </c>
      <c r="G4347" t="s">
        <v>22174</v>
      </c>
      <c r="H4347" t="s">
        <v>26011</v>
      </c>
      <c r="I4347" s="26">
        <v>36333</v>
      </c>
      <c r="J4347">
        <v>1999</v>
      </c>
      <c r="K4347" t="s">
        <v>7430</v>
      </c>
      <c r="L4347">
        <v>157</v>
      </c>
      <c r="M4347" t="s">
        <v>41363</v>
      </c>
      <c r="N4347">
        <v>1</v>
      </c>
      <c r="O4347" t="s">
        <v>30979</v>
      </c>
      <c r="Q4347" t="s">
        <v>41364</v>
      </c>
      <c r="R4347" t="s">
        <v>41365</v>
      </c>
      <c r="S4347" t="s">
        <v>9876</v>
      </c>
      <c r="T4347" t="s">
        <v>30</v>
      </c>
      <c r="U4347" t="s">
        <v>29209</v>
      </c>
      <c r="W4347" t="s">
        <v>26009</v>
      </c>
    </row>
    <row r="4348" spans="1:23" x14ac:dyDescent="0.35">
      <c r="A4348">
        <v>1001340</v>
      </c>
      <c r="B4348" t="s">
        <v>41366</v>
      </c>
      <c r="C4348" t="str">
        <f>"9780761958741"</f>
        <v>9780761958741</v>
      </c>
      <c r="D4348" t="str">
        <f>"9781446265451"</f>
        <v>9781446265451</v>
      </c>
      <c r="E4348" t="s">
        <v>28007</v>
      </c>
      <c r="F4348" t="s">
        <v>7430</v>
      </c>
      <c r="G4348" t="s">
        <v>22174</v>
      </c>
      <c r="H4348" t="s">
        <v>26011</v>
      </c>
      <c r="I4348" s="26">
        <v>36648</v>
      </c>
      <c r="J4348">
        <v>2000</v>
      </c>
      <c r="K4348" t="s">
        <v>7430</v>
      </c>
      <c r="L4348">
        <v>154</v>
      </c>
      <c r="M4348" t="s">
        <v>41367</v>
      </c>
      <c r="N4348">
        <v>1</v>
      </c>
      <c r="O4348" t="s">
        <v>34568</v>
      </c>
      <c r="Q4348" t="s">
        <v>41368</v>
      </c>
      <c r="R4348" t="s">
        <v>27122</v>
      </c>
      <c r="S4348" t="s">
        <v>9648</v>
      </c>
      <c r="T4348" t="s">
        <v>30</v>
      </c>
      <c r="U4348" t="s">
        <v>26019</v>
      </c>
      <c r="W4348" t="s">
        <v>26009</v>
      </c>
    </row>
    <row r="4349" spans="1:23" x14ac:dyDescent="0.35">
      <c r="A4349">
        <v>1001341</v>
      </c>
      <c r="B4349" t="s">
        <v>10065</v>
      </c>
      <c r="C4349" t="str">
        <f>"9780803979741"</f>
        <v>9780803979741</v>
      </c>
      <c r="D4349" t="str">
        <f>"9781446266137"</f>
        <v>9781446266137</v>
      </c>
      <c r="E4349" t="s">
        <v>28007</v>
      </c>
      <c r="F4349" t="s">
        <v>7430</v>
      </c>
      <c r="G4349" t="s">
        <v>22174</v>
      </c>
      <c r="H4349" t="s">
        <v>26011</v>
      </c>
      <c r="I4349" s="26">
        <v>35430</v>
      </c>
      <c r="J4349">
        <v>1996</v>
      </c>
      <c r="K4349" t="s">
        <v>7430</v>
      </c>
      <c r="L4349">
        <v>135</v>
      </c>
      <c r="M4349" t="s">
        <v>34104</v>
      </c>
      <c r="N4349">
        <v>1</v>
      </c>
      <c r="O4349" t="s">
        <v>28068</v>
      </c>
      <c r="P4349">
        <v>1</v>
      </c>
      <c r="Q4349" t="s">
        <v>41369</v>
      </c>
      <c r="R4349" t="s">
        <v>26491</v>
      </c>
      <c r="S4349" t="s">
        <v>7836</v>
      </c>
      <c r="T4349" t="s">
        <v>30</v>
      </c>
      <c r="U4349" t="s">
        <v>26228</v>
      </c>
      <c r="W4349" t="s">
        <v>26009</v>
      </c>
    </row>
    <row r="4350" spans="1:23" x14ac:dyDescent="0.35">
      <c r="A4350">
        <v>1001343</v>
      </c>
      <c r="B4350" t="s">
        <v>9392</v>
      </c>
      <c r="C4350" t="str">
        <f>"9780761964872"</f>
        <v>9780761964872</v>
      </c>
      <c r="D4350" t="str">
        <f>"9781446265420"</f>
        <v>9781446265420</v>
      </c>
      <c r="E4350" t="s">
        <v>28007</v>
      </c>
      <c r="F4350" t="s">
        <v>7430</v>
      </c>
      <c r="G4350" t="s">
        <v>22174</v>
      </c>
      <c r="H4350" t="s">
        <v>26011</v>
      </c>
      <c r="I4350" s="26">
        <v>37680</v>
      </c>
      <c r="J4350">
        <v>2003</v>
      </c>
      <c r="K4350" t="s">
        <v>7430</v>
      </c>
      <c r="L4350">
        <v>123</v>
      </c>
      <c r="M4350" t="s">
        <v>33636</v>
      </c>
      <c r="N4350">
        <v>1</v>
      </c>
      <c r="O4350" t="s">
        <v>28060</v>
      </c>
      <c r="Q4350">
        <v>2141272</v>
      </c>
      <c r="R4350">
        <v>616.89139999999998</v>
      </c>
      <c r="S4350" t="s">
        <v>7732</v>
      </c>
      <c r="T4350" t="s">
        <v>30</v>
      </c>
      <c r="U4350" t="s">
        <v>26040</v>
      </c>
      <c r="W4350" t="s">
        <v>26009</v>
      </c>
    </row>
    <row r="4351" spans="1:23" x14ac:dyDescent="0.35">
      <c r="A4351">
        <v>1005851</v>
      </c>
      <c r="B4351" t="s">
        <v>41370</v>
      </c>
      <c r="C4351" t="str">
        <f>"9781462504954"</f>
        <v>9781462504954</v>
      </c>
      <c r="D4351" t="str">
        <f>"9781462504961"</f>
        <v>9781462504961</v>
      </c>
      <c r="E4351" t="s">
        <v>30112</v>
      </c>
      <c r="F4351" t="s">
        <v>7420</v>
      </c>
      <c r="G4351" t="s">
        <v>22179</v>
      </c>
      <c r="H4351" t="s">
        <v>26004</v>
      </c>
      <c r="I4351" s="26">
        <v>41137</v>
      </c>
      <c r="J4351">
        <v>2012</v>
      </c>
      <c r="K4351" t="s">
        <v>30113</v>
      </c>
      <c r="L4351">
        <v>402</v>
      </c>
      <c r="M4351" t="s">
        <v>41371</v>
      </c>
      <c r="N4351">
        <v>1</v>
      </c>
      <c r="Q4351" t="s">
        <v>41372</v>
      </c>
      <c r="R4351" t="s">
        <v>41373</v>
      </c>
      <c r="S4351" t="s">
        <v>41374</v>
      </c>
      <c r="T4351" t="s">
        <v>30</v>
      </c>
      <c r="U4351" t="s">
        <v>26044</v>
      </c>
      <c r="W4351" t="s">
        <v>28347</v>
      </c>
    </row>
    <row r="4352" spans="1:23" x14ac:dyDescent="0.35">
      <c r="A4352">
        <v>1010571</v>
      </c>
      <c r="B4352" t="s">
        <v>41375</v>
      </c>
      <c r="C4352" t="str">
        <f>"9789004212459"</f>
        <v>9789004212459</v>
      </c>
      <c r="D4352" t="str">
        <f>"9789004216822"</f>
        <v>9789004216822</v>
      </c>
      <c r="E4352" t="s">
        <v>4602</v>
      </c>
      <c r="F4352" t="s">
        <v>27</v>
      </c>
      <c r="G4352" t="s">
        <v>22231</v>
      </c>
      <c r="H4352" t="s">
        <v>26004</v>
      </c>
      <c r="I4352" s="26">
        <v>40872</v>
      </c>
      <c r="J4352">
        <v>2012</v>
      </c>
      <c r="K4352" t="s">
        <v>27</v>
      </c>
      <c r="L4352">
        <v>404</v>
      </c>
      <c r="M4352" t="s">
        <v>41376</v>
      </c>
      <c r="N4352">
        <v>1</v>
      </c>
      <c r="O4352" t="s">
        <v>41377</v>
      </c>
      <c r="P4352">
        <v>3</v>
      </c>
      <c r="Q4352" t="s">
        <v>41378</v>
      </c>
      <c r="R4352">
        <v>302.33</v>
      </c>
      <c r="S4352" t="s">
        <v>41379</v>
      </c>
      <c r="T4352" t="s">
        <v>30</v>
      </c>
      <c r="U4352" t="s">
        <v>26044</v>
      </c>
      <c r="W4352" t="s">
        <v>26009</v>
      </c>
    </row>
    <row r="4353" spans="1:23" x14ac:dyDescent="0.35">
      <c r="A4353">
        <v>1010621</v>
      </c>
      <c r="B4353" t="s">
        <v>41380</v>
      </c>
      <c r="C4353" t="str">
        <f>"9781462506958"</f>
        <v>9781462506958</v>
      </c>
      <c r="D4353" t="str">
        <f>"9781462507139"</f>
        <v>9781462507139</v>
      </c>
      <c r="E4353" t="s">
        <v>30112</v>
      </c>
      <c r="F4353" t="s">
        <v>7420</v>
      </c>
      <c r="G4353" t="s">
        <v>22179</v>
      </c>
      <c r="H4353" t="s">
        <v>26004</v>
      </c>
      <c r="I4353" s="26">
        <v>41164</v>
      </c>
      <c r="J4353">
        <v>2013</v>
      </c>
      <c r="K4353" t="s">
        <v>30113</v>
      </c>
      <c r="L4353">
        <v>242</v>
      </c>
      <c r="M4353" t="s">
        <v>41381</v>
      </c>
      <c r="N4353">
        <v>1</v>
      </c>
      <c r="Q4353" t="s">
        <v>41382</v>
      </c>
      <c r="R4353" t="s">
        <v>41383</v>
      </c>
      <c r="S4353" t="s">
        <v>41384</v>
      </c>
      <c r="T4353" t="s">
        <v>30</v>
      </c>
      <c r="U4353" t="s">
        <v>11247</v>
      </c>
      <c r="W4353" t="s">
        <v>28347</v>
      </c>
    </row>
    <row r="4354" spans="1:23" x14ac:dyDescent="0.35">
      <c r="A4354">
        <v>1011040</v>
      </c>
      <c r="B4354" t="s">
        <v>41385</v>
      </c>
      <c r="C4354" t="str">
        <f>"9781855758896"</f>
        <v>9781855758896</v>
      </c>
      <c r="D4354" t="str">
        <f>"9781782410201"</f>
        <v>9781782410201</v>
      </c>
      <c r="E4354" t="s">
        <v>26010</v>
      </c>
      <c r="F4354" t="s">
        <v>35</v>
      </c>
      <c r="G4354" t="s">
        <v>22174</v>
      </c>
      <c r="H4354" t="s">
        <v>26011</v>
      </c>
      <c r="I4354" s="26">
        <v>41153</v>
      </c>
      <c r="J4354">
        <v>2012</v>
      </c>
      <c r="K4354" t="s">
        <v>26012</v>
      </c>
      <c r="L4354">
        <v>301</v>
      </c>
      <c r="M4354" t="s">
        <v>41386</v>
      </c>
      <c r="N4354">
        <v>1</v>
      </c>
      <c r="O4354" t="s">
        <v>41387</v>
      </c>
      <c r="P4354">
        <v>24</v>
      </c>
      <c r="Q4354" t="s">
        <v>41388</v>
      </c>
      <c r="R4354">
        <v>150.1952</v>
      </c>
      <c r="S4354" t="s">
        <v>41389</v>
      </c>
      <c r="T4354" t="s">
        <v>30</v>
      </c>
      <c r="U4354" t="s">
        <v>46</v>
      </c>
      <c r="W4354" t="s">
        <v>26009</v>
      </c>
    </row>
    <row r="4355" spans="1:23" x14ac:dyDescent="0.35">
      <c r="A4355">
        <v>1015328</v>
      </c>
      <c r="B4355" t="s">
        <v>41390</v>
      </c>
      <c r="C4355" t="str">
        <f>"9780199738168"</f>
        <v>9780199738168</v>
      </c>
      <c r="D4355" t="str">
        <f>"9780199908219"</f>
        <v>9780199908219</v>
      </c>
      <c r="E4355" t="s">
        <v>371</v>
      </c>
      <c r="F4355" t="s">
        <v>31</v>
      </c>
      <c r="G4355" t="s">
        <v>22703</v>
      </c>
      <c r="H4355" t="s">
        <v>26004</v>
      </c>
      <c r="I4355" s="26">
        <v>41151</v>
      </c>
      <c r="J4355">
        <v>2012</v>
      </c>
      <c r="K4355" t="s">
        <v>31</v>
      </c>
      <c r="L4355">
        <v>487</v>
      </c>
      <c r="M4355" t="s">
        <v>41391</v>
      </c>
      <c r="N4355">
        <v>1</v>
      </c>
      <c r="Q4355" t="s">
        <v>41392</v>
      </c>
      <c r="R4355" t="s">
        <v>28279</v>
      </c>
      <c r="S4355" t="s">
        <v>41393</v>
      </c>
      <c r="T4355" t="s">
        <v>30</v>
      </c>
      <c r="U4355" t="s">
        <v>26019</v>
      </c>
      <c r="W4355" t="s">
        <v>26009</v>
      </c>
    </row>
    <row r="4356" spans="1:23" x14ac:dyDescent="0.35">
      <c r="A4356">
        <v>1016021</v>
      </c>
      <c r="B4356" t="s">
        <v>41394</v>
      </c>
      <c r="C4356" t="str">
        <f>"9780415878852"</f>
        <v>9780415878852</v>
      </c>
      <c r="D4356" t="str">
        <f>"9781136486562"</f>
        <v>9781136486562</v>
      </c>
      <c r="E4356" t="s">
        <v>26010</v>
      </c>
      <c r="F4356" t="s">
        <v>35</v>
      </c>
      <c r="G4356" t="s">
        <v>22174</v>
      </c>
      <c r="H4356" t="s">
        <v>26011</v>
      </c>
      <c r="I4356" s="26">
        <v>40976</v>
      </c>
      <c r="J4356">
        <v>2012</v>
      </c>
      <c r="K4356" t="s">
        <v>26012</v>
      </c>
      <c r="L4356">
        <v>524</v>
      </c>
      <c r="M4356" t="s">
        <v>41395</v>
      </c>
      <c r="N4356">
        <v>1</v>
      </c>
      <c r="O4356" t="s">
        <v>27657</v>
      </c>
      <c r="Q4356" t="s">
        <v>41396</v>
      </c>
      <c r="R4356">
        <v>302.35000000000002</v>
      </c>
      <c r="S4356" t="s">
        <v>10188</v>
      </c>
      <c r="T4356" t="s">
        <v>30</v>
      </c>
      <c r="U4356" t="s">
        <v>26044</v>
      </c>
      <c r="W4356" t="s">
        <v>26009</v>
      </c>
    </row>
    <row r="4357" spans="1:23" x14ac:dyDescent="0.35">
      <c r="A4357">
        <v>1016046</v>
      </c>
      <c r="B4357" t="s">
        <v>9959</v>
      </c>
      <c r="C4357" t="str">
        <f>"9780805850635"</f>
        <v>9780805850635</v>
      </c>
      <c r="D4357" t="str">
        <f>"9781136513824"</f>
        <v>9781136513824</v>
      </c>
      <c r="E4357" t="s">
        <v>26010</v>
      </c>
      <c r="F4357" t="s">
        <v>35</v>
      </c>
      <c r="G4357" t="s">
        <v>22174</v>
      </c>
      <c r="H4357" t="s">
        <v>26011</v>
      </c>
      <c r="I4357" s="26">
        <v>41093</v>
      </c>
      <c r="J4357">
        <v>2012</v>
      </c>
      <c r="K4357" t="s">
        <v>26012</v>
      </c>
      <c r="L4357">
        <v>268</v>
      </c>
      <c r="M4357" t="s">
        <v>41397</v>
      </c>
      <c r="N4357">
        <v>1</v>
      </c>
      <c r="O4357" t="s">
        <v>27663</v>
      </c>
      <c r="Q4357" t="s">
        <v>41398</v>
      </c>
      <c r="R4357" t="s">
        <v>27475</v>
      </c>
      <c r="S4357" t="s">
        <v>41399</v>
      </c>
      <c r="T4357" t="s">
        <v>30</v>
      </c>
      <c r="U4357" t="s">
        <v>26170</v>
      </c>
      <c r="W4357" t="s">
        <v>26009</v>
      </c>
    </row>
    <row r="4358" spans="1:23" x14ac:dyDescent="0.35">
      <c r="A4358">
        <v>1016066</v>
      </c>
      <c r="B4358" t="s">
        <v>10203</v>
      </c>
      <c r="C4358" t="str">
        <f>"9780415678216"</f>
        <v>9780415678216</v>
      </c>
      <c r="D4358" t="str">
        <f>"9781136284953"</f>
        <v>9781136284953</v>
      </c>
      <c r="E4358" t="s">
        <v>26010</v>
      </c>
      <c r="F4358" t="s">
        <v>35</v>
      </c>
      <c r="G4358" t="s">
        <v>22174</v>
      </c>
      <c r="H4358" t="s">
        <v>26011</v>
      </c>
      <c r="I4358" s="26">
        <v>41150</v>
      </c>
      <c r="J4358">
        <v>2012</v>
      </c>
      <c r="K4358" t="s">
        <v>26012</v>
      </c>
      <c r="L4358">
        <v>246</v>
      </c>
      <c r="M4358" t="s">
        <v>41400</v>
      </c>
      <c r="N4358">
        <v>1</v>
      </c>
      <c r="Q4358" t="s">
        <v>41401</v>
      </c>
      <c r="R4358">
        <v>300.92</v>
      </c>
      <c r="S4358" t="s">
        <v>41402</v>
      </c>
      <c r="T4358" t="s">
        <v>30</v>
      </c>
      <c r="U4358" t="s">
        <v>26170</v>
      </c>
      <c r="W4358" t="s">
        <v>26009</v>
      </c>
    </row>
    <row r="4359" spans="1:23" x14ac:dyDescent="0.35">
      <c r="A4359">
        <v>1016092</v>
      </c>
      <c r="B4359" t="s">
        <v>9698</v>
      </c>
      <c r="C4359" t="str">
        <f>"9780415893015"</f>
        <v>9780415893015</v>
      </c>
      <c r="D4359" t="str">
        <f>"9781136259654"</f>
        <v>9781136259654</v>
      </c>
      <c r="E4359" t="s">
        <v>26010</v>
      </c>
      <c r="F4359" t="s">
        <v>35</v>
      </c>
      <c r="G4359" t="s">
        <v>22174</v>
      </c>
      <c r="H4359" t="s">
        <v>26011</v>
      </c>
      <c r="I4359" s="26">
        <v>41108</v>
      </c>
      <c r="J4359">
        <v>2013</v>
      </c>
      <c r="K4359" t="s">
        <v>26012</v>
      </c>
      <c r="L4359">
        <v>305</v>
      </c>
      <c r="M4359" t="s">
        <v>41403</v>
      </c>
      <c r="N4359">
        <v>1</v>
      </c>
      <c r="Q4359" t="s">
        <v>41404</v>
      </c>
      <c r="R4359" t="s">
        <v>41405</v>
      </c>
      <c r="S4359" t="s">
        <v>41406</v>
      </c>
      <c r="T4359" t="s">
        <v>30</v>
      </c>
      <c r="U4359" t="s">
        <v>26116</v>
      </c>
      <c r="W4359" t="s">
        <v>26009</v>
      </c>
    </row>
    <row r="4360" spans="1:23" x14ac:dyDescent="0.35">
      <c r="A4360">
        <v>1016103</v>
      </c>
      <c r="B4360" t="s">
        <v>8331</v>
      </c>
      <c r="C4360" t="str">
        <f>"9780415616089"</f>
        <v>9780415616089</v>
      </c>
      <c r="D4360" t="str">
        <f>"9781136317569"</f>
        <v>9781136317569</v>
      </c>
      <c r="E4360" t="s">
        <v>26010</v>
      </c>
      <c r="F4360" t="s">
        <v>35</v>
      </c>
      <c r="G4360" t="s">
        <v>22174</v>
      </c>
      <c r="H4360" t="s">
        <v>26011</v>
      </c>
      <c r="I4360" s="26">
        <v>41012</v>
      </c>
      <c r="J4360">
        <v>2012</v>
      </c>
      <c r="K4360" t="s">
        <v>26012</v>
      </c>
      <c r="L4360">
        <v>225</v>
      </c>
      <c r="M4360" t="s">
        <v>41407</v>
      </c>
      <c r="N4360">
        <v>1</v>
      </c>
      <c r="O4360" t="s">
        <v>41408</v>
      </c>
      <c r="Q4360" t="s">
        <v>41409</v>
      </c>
      <c r="R4360">
        <v>320.46757100000002</v>
      </c>
      <c r="S4360" t="s">
        <v>41410</v>
      </c>
      <c r="T4360" t="s">
        <v>30</v>
      </c>
      <c r="U4360" t="s">
        <v>5222</v>
      </c>
      <c r="W4360" t="s">
        <v>26009</v>
      </c>
    </row>
    <row r="4361" spans="1:23" x14ac:dyDescent="0.35">
      <c r="A4361">
        <v>1016112</v>
      </c>
      <c r="B4361" t="s">
        <v>41411</v>
      </c>
      <c r="C4361" t="str">
        <f>"9780415998321"</f>
        <v>9780415998321</v>
      </c>
      <c r="D4361" t="str">
        <f>"9781136243806"</f>
        <v>9781136243806</v>
      </c>
      <c r="E4361" t="s">
        <v>26010</v>
      </c>
      <c r="F4361" t="s">
        <v>35</v>
      </c>
      <c r="G4361" t="s">
        <v>22174</v>
      </c>
      <c r="H4361" t="s">
        <v>26011</v>
      </c>
      <c r="I4361" s="26">
        <v>41096</v>
      </c>
      <c r="J4361">
        <v>2013</v>
      </c>
      <c r="K4361" t="s">
        <v>26012</v>
      </c>
      <c r="L4361">
        <v>221</v>
      </c>
      <c r="M4361" t="s">
        <v>30788</v>
      </c>
      <c r="N4361">
        <v>1</v>
      </c>
      <c r="Q4361" t="s">
        <v>41412</v>
      </c>
      <c r="R4361">
        <v>152.4</v>
      </c>
      <c r="S4361" t="s">
        <v>8954</v>
      </c>
      <c r="T4361" t="s">
        <v>30</v>
      </c>
      <c r="U4361" t="s">
        <v>46</v>
      </c>
      <c r="W4361" t="s">
        <v>26009</v>
      </c>
    </row>
    <row r="4362" spans="1:23" x14ac:dyDescent="0.35">
      <c r="A4362">
        <v>1016115</v>
      </c>
      <c r="B4362" t="s">
        <v>41413</v>
      </c>
      <c r="C4362" t="str">
        <f>"9780415693691"</f>
        <v>9780415693691</v>
      </c>
      <c r="D4362" t="str">
        <f>"9781136263590"</f>
        <v>9781136263590</v>
      </c>
      <c r="E4362" t="s">
        <v>26010</v>
      </c>
      <c r="F4362" t="s">
        <v>35</v>
      </c>
      <c r="G4362" t="s">
        <v>22174</v>
      </c>
      <c r="H4362" t="s">
        <v>26011</v>
      </c>
      <c r="I4362" s="26">
        <v>41117</v>
      </c>
      <c r="J4362">
        <v>2013</v>
      </c>
      <c r="K4362" t="s">
        <v>26012</v>
      </c>
      <c r="L4362">
        <v>209</v>
      </c>
      <c r="M4362" t="s">
        <v>41414</v>
      </c>
      <c r="N4362">
        <v>1</v>
      </c>
      <c r="O4362" t="s">
        <v>27341</v>
      </c>
      <c r="Q4362" t="s">
        <v>41415</v>
      </c>
      <c r="R4362">
        <v>303.39999999999998</v>
      </c>
      <c r="S4362" t="s">
        <v>41416</v>
      </c>
      <c r="T4362" t="s">
        <v>30</v>
      </c>
      <c r="U4362" t="s">
        <v>26044</v>
      </c>
      <c r="W4362" t="s">
        <v>26009</v>
      </c>
    </row>
    <row r="4363" spans="1:23" x14ac:dyDescent="0.35">
      <c r="A4363">
        <v>1016196</v>
      </c>
      <c r="B4363" t="s">
        <v>8394</v>
      </c>
      <c r="C4363" t="str">
        <f>"9780415806626"</f>
        <v>9780415806626</v>
      </c>
      <c r="D4363" t="str">
        <f>"9781136243424"</f>
        <v>9781136243424</v>
      </c>
      <c r="E4363" t="s">
        <v>26010</v>
      </c>
      <c r="F4363" t="s">
        <v>35</v>
      </c>
      <c r="G4363" t="s">
        <v>22174</v>
      </c>
      <c r="H4363" t="s">
        <v>26011</v>
      </c>
      <c r="I4363" s="26">
        <v>41129</v>
      </c>
      <c r="J4363">
        <v>2013</v>
      </c>
      <c r="K4363" t="s">
        <v>26012</v>
      </c>
      <c r="L4363">
        <v>313</v>
      </c>
      <c r="M4363" t="s">
        <v>41417</v>
      </c>
      <c r="N4363">
        <v>1</v>
      </c>
      <c r="Q4363" t="s">
        <v>41418</v>
      </c>
      <c r="R4363" t="s">
        <v>28066</v>
      </c>
      <c r="S4363" t="s">
        <v>8395</v>
      </c>
      <c r="T4363" t="s">
        <v>30</v>
      </c>
      <c r="U4363" t="s">
        <v>26019</v>
      </c>
      <c r="W4363" t="s">
        <v>26009</v>
      </c>
    </row>
    <row r="4364" spans="1:23" x14ac:dyDescent="0.35">
      <c r="A4364">
        <v>1016376</v>
      </c>
      <c r="B4364" t="s">
        <v>41419</v>
      </c>
      <c r="C4364" t="str">
        <f>"9780761907640"</f>
        <v>9780761907640</v>
      </c>
      <c r="D4364" t="str">
        <f>"9781452221304"</f>
        <v>9781452221304</v>
      </c>
      <c r="E4364" t="s">
        <v>40883</v>
      </c>
      <c r="F4364" t="s">
        <v>7434</v>
      </c>
      <c r="G4364" t="s">
        <v>22194</v>
      </c>
      <c r="H4364" t="s">
        <v>26004</v>
      </c>
      <c r="I4364" s="26">
        <v>36270</v>
      </c>
      <c r="J4364">
        <v>1999</v>
      </c>
      <c r="K4364" t="s">
        <v>7434</v>
      </c>
      <c r="L4364">
        <v>215</v>
      </c>
      <c r="M4364" t="s">
        <v>41420</v>
      </c>
      <c r="N4364">
        <v>1</v>
      </c>
      <c r="R4364">
        <v>155.44</v>
      </c>
      <c r="T4364" t="s">
        <v>30</v>
      </c>
      <c r="U4364" t="s">
        <v>46</v>
      </c>
      <c r="W4364" t="s">
        <v>26009</v>
      </c>
    </row>
    <row r="4365" spans="1:23" x14ac:dyDescent="0.35">
      <c r="A4365">
        <v>1016377</v>
      </c>
      <c r="B4365" t="s">
        <v>41421</v>
      </c>
      <c r="C4365" t="str">
        <f>"9780761911371"</f>
        <v>9780761911371</v>
      </c>
      <c r="D4365" t="str">
        <f>"9781452221526"</f>
        <v>9781452221526</v>
      </c>
      <c r="E4365" t="s">
        <v>40883</v>
      </c>
      <c r="F4365" t="s">
        <v>7434</v>
      </c>
      <c r="G4365" t="s">
        <v>22194</v>
      </c>
      <c r="H4365" t="s">
        <v>26004</v>
      </c>
      <c r="I4365" s="26">
        <v>36193</v>
      </c>
      <c r="J4365">
        <v>1999</v>
      </c>
      <c r="K4365" t="s">
        <v>7434</v>
      </c>
      <c r="L4365">
        <v>147</v>
      </c>
      <c r="M4365" t="s">
        <v>41422</v>
      </c>
      <c r="N4365">
        <v>1</v>
      </c>
      <c r="O4365" t="s">
        <v>40895</v>
      </c>
      <c r="T4365" t="s">
        <v>30</v>
      </c>
      <c r="U4365" t="s">
        <v>46</v>
      </c>
      <c r="W4365" t="s">
        <v>26009</v>
      </c>
    </row>
    <row r="4366" spans="1:23" x14ac:dyDescent="0.35">
      <c r="A4366">
        <v>1016384</v>
      </c>
      <c r="B4366" t="s">
        <v>10137</v>
      </c>
      <c r="C4366" t="str">
        <f>"9780761919971"</f>
        <v>9780761919971</v>
      </c>
      <c r="D4366" t="str">
        <f>"9781452262581"</f>
        <v>9781452262581</v>
      </c>
      <c r="E4366" t="s">
        <v>40883</v>
      </c>
      <c r="F4366" t="s">
        <v>7434</v>
      </c>
      <c r="G4366" t="s">
        <v>22194</v>
      </c>
      <c r="H4366" t="s">
        <v>26004</v>
      </c>
      <c r="I4366" s="26">
        <v>37608</v>
      </c>
      <c r="J4366">
        <v>2002</v>
      </c>
      <c r="K4366" t="s">
        <v>7434</v>
      </c>
      <c r="L4366">
        <v>321</v>
      </c>
      <c r="M4366" t="s">
        <v>41423</v>
      </c>
      <c r="N4366">
        <v>1</v>
      </c>
      <c r="R4366">
        <v>362.76</v>
      </c>
      <c r="T4366" t="s">
        <v>30</v>
      </c>
      <c r="U4366" t="s">
        <v>26044</v>
      </c>
      <c r="W4366" t="s">
        <v>26009</v>
      </c>
    </row>
    <row r="4367" spans="1:23" x14ac:dyDescent="0.35">
      <c r="A4367">
        <v>1016390</v>
      </c>
      <c r="B4367" t="s">
        <v>41424</v>
      </c>
      <c r="C4367" t="str">
        <f>"9781412991773"</f>
        <v>9781412991773</v>
      </c>
      <c r="D4367" t="str">
        <f>"9781452263144"</f>
        <v>9781452263144</v>
      </c>
      <c r="E4367" t="s">
        <v>40883</v>
      </c>
      <c r="F4367" t="s">
        <v>7434</v>
      </c>
      <c r="G4367" t="s">
        <v>22194</v>
      </c>
      <c r="H4367" t="s">
        <v>26004</v>
      </c>
      <c r="I4367" s="26">
        <v>40513</v>
      </c>
      <c r="J4367">
        <v>2011</v>
      </c>
      <c r="K4367" t="s">
        <v>7434</v>
      </c>
      <c r="L4367">
        <v>465</v>
      </c>
      <c r="M4367" t="s">
        <v>41425</v>
      </c>
      <c r="N4367">
        <v>1</v>
      </c>
      <c r="R4367" t="s">
        <v>41426</v>
      </c>
      <c r="T4367" t="s">
        <v>30</v>
      </c>
      <c r="U4367" t="s">
        <v>46</v>
      </c>
      <c r="W4367" t="s">
        <v>26009</v>
      </c>
    </row>
    <row r="4368" spans="1:23" x14ac:dyDescent="0.35">
      <c r="A4368">
        <v>1016394</v>
      </c>
      <c r="B4368" t="s">
        <v>41427</v>
      </c>
      <c r="C4368" t="str">
        <f>"9781412913690"</f>
        <v>9781412913690</v>
      </c>
      <c r="D4368" t="str">
        <f>"9781412973366"</f>
        <v>9781412973366</v>
      </c>
      <c r="E4368" t="s">
        <v>40883</v>
      </c>
      <c r="F4368" t="s">
        <v>7434</v>
      </c>
      <c r="G4368" t="s">
        <v>22194</v>
      </c>
      <c r="H4368" t="s">
        <v>26004</v>
      </c>
      <c r="I4368" s="26">
        <v>38707</v>
      </c>
      <c r="J4368">
        <v>2006</v>
      </c>
      <c r="K4368" t="s">
        <v>7434</v>
      </c>
      <c r="L4368">
        <v>537</v>
      </c>
      <c r="M4368" t="s">
        <v>41428</v>
      </c>
      <c r="N4368">
        <v>1</v>
      </c>
      <c r="S4368" t="s">
        <v>41429</v>
      </c>
      <c r="T4368" t="s">
        <v>30</v>
      </c>
      <c r="U4368" t="s">
        <v>46</v>
      </c>
      <c r="W4368" t="s">
        <v>26009</v>
      </c>
    </row>
    <row r="4369" spans="1:23" x14ac:dyDescent="0.35">
      <c r="A4369">
        <v>1016397</v>
      </c>
      <c r="B4369" t="s">
        <v>41430</v>
      </c>
      <c r="C4369" t="str">
        <f>"9780761912309"</f>
        <v>9780761912309</v>
      </c>
      <c r="D4369" t="str">
        <f>"9781452250885"</f>
        <v>9781452250885</v>
      </c>
      <c r="E4369" t="s">
        <v>40883</v>
      </c>
      <c r="F4369" t="s">
        <v>7434</v>
      </c>
      <c r="G4369" t="s">
        <v>22194</v>
      </c>
      <c r="H4369" t="s">
        <v>26004</v>
      </c>
      <c r="I4369" s="26">
        <v>36788</v>
      </c>
      <c r="J4369">
        <v>2000</v>
      </c>
      <c r="K4369" t="s">
        <v>7434</v>
      </c>
      <c r="L4369">
        <v>417</v>
      </c>
      <c r="M4369" t="s">
        <v>41431</v>
      </c>
      <c r="N4369">
        <v>1</v>
      </c>
      <c r="O4369" t="s">
        <v>41432</v>
      </c>
      <c r="R4369">
        <v>153.93097299999999</v>
      </c>
      <c r="T4369" t="s">
        <v>30</v>
      </c>
      <c r="U4369" t="s">
        <v>46</v>
      </c>
      <c r="W4369" t="s">
        <v>26009</v>
      </c>
    </row>
    <row r="4370" spans="1:23" x14ac:dyDescent="0.35">
      <c r="A4370">
        <v>1016401</v>
      </c>
      <c r="B4370" t="s">
        <v>10108</v>
      </c>
      <c r="C4370" t="str">
        <f>"9781412981446"</f>
        <v>9781412981446</v>
      </c>
      <c r="D4370" t="str">
        <f>"9781452263823"</f>
        <v>9781452263823</v>
      </c>
      <c r="E4370" t="s">
        <v>40883</v>
      </c>
      <c r="F4370" t="s">
        <v>7434</v>
      </c>
      <c r="G4370" t="s">
        <v>22194</v>
      </c>
      <c r="H4370" t="s">
        <v>26004</v>
      </c>
      <c r="I4370" s="26">
        <v>40781</v>
      </c>
      <c r="J4370">
        <v>2012</v>
      </c>
      <c r="K4370" t="s">
        <v>7434</v>
      </c>
      <c r="L4370">
        <v>273</v>
      </c>
      <c r="M4370" t="s">
        <v>41433</v>
      </c>
      <c r="N4370">
        <v>1</v>
      </c>
      <c r="T4370" t="s">
        <v>30</v>
      </c>
      <c r="U4370" t="s">
        <v>46</v>
      </c>
      <c r="W4370" t="s">
        <v>26009</v>
      </c>
    </row>
    <row r="4371" spans="1:23" x14ac:dyDescent="0.35">
      <c r="A4371">
        <v>1016404</v>
      </c>
      <c r="B4371" t="s">
        <v>41434</v>
      </c>
      <c r="C4371" t="str">
        <f>"9780761922971"</f>
        <v>9780761922971</v>
      </c>
      <c r="D4371" t="str">
        <f>"9781452264189"</f>
        <v>9781452264189</v>
      </c>
      <c r="E4371" t="s">
        <v>40883</v>
      </c>
      <c r="F4371" t="s">
        <v>7434</v>
      </c>
      <c r="G4371" t="s">
        <v>22194</v>
      </c>
      <c r="H4371" t="s">
        <v>26004</v>
      </c>
      <c r="I4371" s="26">
        <v>36900</v>
      </c>
      <c r="J4371">
        <v>2001</v>
      </c>
      <c r="K4371" t="s">
        <v>7434</v>
      </c>
      <c r="L4371">
        <v>177</v>
      </c>
      <c r="M4371" t="s">
        <v>41120</v>
      </c>
      <c r="N4371">
        <v>1</v>
      </c>
      <c r="R4371" t="s">
        <v>41121</v>
      </c>
      <c r="T4371" t="s">
        <v>30</v>
      </c>
      <c r="U4371" t="s">
        <v>46</v>
      </c>
      <c r="W4371" t="s">
        <v>26009</v>
      </c>
    </row>
    <row r="4372" spans="1:23" x14ac:dyDescent="0.35">
      <c r="A4372">
        <v>1016406</v>
      </c>
      <c r="B4372" t="s">
        <v>41435</v>
      </c>
      <c r="C4372" t="str">
        <f>"9780761923893"</f>
        <v>9780761923893</v>
      </c>
      <c r="D4372" t="str">
        <f>"9781452264455"</f>
        <v>9781452264455</v>
      </c>
      <c r="E4372" t="s">
        <v>40883</v>
      </c>
      <c r="F4372" t="s">
        <v>7434</v>
      </c>
      <c r="G4372" t="s">
        <v>22194</v>
      </c>
      <c r="H4372" t="s">
        <v>26004</v>
      </c>
      <c r="I4372" s="26">
        <v>37734</v>
      </c>
      <c r="J4372">
        <v>2003</v>
      </c>
      <c r="K4372" t="s">
        <v>7434</v>
      </c>
      <c r="L4372">
        <v>317</v>
      </c>
      <c r="M4372" t="s">
        <v>41436</v>
      </c>
      <c r="N4372">
        <v>1</v>
      </c>
      <c r="R4372" t="s">
        <v>26420</v>
      </c>
      <c r="T4372" t="s">
        <v>30</v>
      </c>
      <c r="U4372" t="s">
        <v>46</v>
      </c>
      <c r="W4372" t="s">
        <v>26009</v>
      </c>
    </row>
    <row r="4373" spans="1:23" x14ac:dyDescent="0.35">
      <c r="A4373">
        <v>1016481</v>
      </c>
      <c r="B4373" t="s">
        <v>8287</v>
      </c>
      <c r="C4373" t="str">
        <f>"9789027213532"</f>
        <v>9789027213532</v>
      </c>
      <c r="D4373" t="str">
        <f>"9789027273857"</f>
        <v>9789027273857</v>
      </c>
      <c r="E4373" t="s">
        <v>35211</v>
      </c>
      <c r="F4373" t="s">
        <v>7610</v>
      </c>
      <c r="G4373" t="s">
        <v>22190</v>
      </c>
      <c r="H4373" t="s">
        <v>27983</v>
      </c>
      <c r="I4373" s="26">
        <v>41167</v>
      </c>
      <c r="J4373">
        <v>2012</v>
      </c>
      <c r="K4373" t="s">
        <v>7610</v>
      </c>
      <c r="L4373">
        <v>485</v>
      </c>
      <c r="M4373" t="s">
        <v>41437</v>
      </c>
      <c r="N4373">
        <v>1</v>
      </c>
      <c r="O4373" t="s">
        <v>35354</v>
      </c>
      <c r="P4373">
        <v>87</v>
      </c>
      <c r="Q4373" t="s">
        <v>41438</v>
      </c>
      <c r="R4373">
        <v>150.1</v>
      </c>
      <c r="S4373" t="s">
        <v>41439</v>
      </c>
      <c r="T4373" t="s">
        <v>30</v>
      </c>
      <c r="U4373" t="s">
        <v>46</v>
      </c>
      <c r="W4373" t="s">
        <v>26009</v>
      </c>
    </row>
    <row r="4374" spans="1:23" x14ac:dyDescent="0.35">
      <c r="A4374">
        <v>1017160</v>
      </c>
      <c r="B4374" t="s">
        <v>8795</v>
      </c>
      <c r="C4374" t="str">
        <f>"9781855757370"</f>
        <v>9781855757370</v>
      </c>
      <c r="D4374" t="str">
        <f>"9781782410225"</f>
        <v>9781782410225</v>
      </c>
      <c r="E4374" t="s">
        <v>26010</v>
      </c>
      <c r="F4374" t="s">
        <v>35</v>
      </c>
      <c r="G4374" t="s">
        <v>22174</v>
      </c>
      <c r="H4374" t="s">
        <v>26011</v>
      </c>
      <c r="I4374" s="26">
        <v>41153</v>
      </c>
      <c r="J4374">
        <v>2012</v>
      </c>
      <c r="K4374" t="s">
        <v>26012</v>
      </c>
      <c r="L4374">
        <v>465</v>
      </c>
      <c r="M4374" t="s">
        <v>41440</v>
      </c>
      <c r="N4374">
        <v>1</v>
      </c>
      <c r="O4374" t="s">
        <v>37442</v>
      </c>
      <c r="Q4374" t="s">
        <v>41441</v>
      </c>
      <c r="R4374">
        <v>150.19499999999999</v>
      </c>
      <c r="S4374" t="s">
        <v>36663</v>
      </c>
      <c r="T4374" t="s">
        <v>30</v>
      </c>
      <c r="U4374" t="s">
        <v>46</v>
      </c>
      <c r="W4374" t="s">
        <v>26009</v>
      </c>
    </row>
    <row r="4375" spans="1:23" x14ac:dyDescent="0.35">
      <c r="A4375">
        <v>1017161</v>
      </c>
      <c r="B4375" t="s">
        <v>41442</v>
      </c>
      <c r="C4375" t="str">
        <f>"9781780490014"</f>
        <v>9781780490014</v>
      </c>
      <c r="D4375" t="str">
        <f>"9781782410232"</f>
        <v>9781782410232</v>
      </c>
      <c r="E4375" t="s">
        <v>26010</v>
      </c>
      <c r="F4375" t="s">
        <v>35</v>
      </c>
      <c r="G4375" t="s">
        <v>22174</v>
      </c>
      <c r="H4375" t="s">
        <v>26011</v>
      </c>
      <c r="I4375" s="26">
        <v>41153</v>
      </c>
      <c r="J4375">
        <v>2012</v>
      </c>
      <c r="K4375" t="s">
        <v>26012</v>
      </c>
      <c r="L4375">
        <v>317</v>
      </c>
      <c r="M4375" t="s">
        <v>36834</v>
      </c>
      <c r="N4375">
        <v>1</v>
      </c>
      <c r="O4375" t="s">
        <v>36835</v>
      </c>
      <c r="Q4375" t="s">
        <v>41443</v>
      </c>
      <c r="R4375">
        <v>616.89152000000001</v>
      </c>
      <c r="S4375" t="s">
        <v>41444</v>
      </c>
      <c r="T4375" t="s">
        <v>30</v>
      </c>
      <c r="U4375" t="s">
        <v>28289</v>
      </c>
      <c r="W4375" t="s">
        <v>26009</v>
      </c>
    </row>
    <row r="4376" spans="1:23" x14ac:dyDescent="0.35">
      <c r="A4376">
        <v>1017162</v>
      </c>
      <c r="B4376" t="s">
        <v>41445</v>
      </c>
      <c r="C4376" t="str">
        <f>"9781780490328"</f>
        <v>9781780490328</v>
      </c>
      <c r="D4376" t="str">
        <f>"9781782410249"</f>
        <v>9781782410249</v>
      </c>
      <c r="E4376" t="s">
        <v>26010</v>
      </c>
      <c r="F4376" t="s">
        <v>35</v>
      </c>
      <c r="G4376" t="s">
        <v>22174</v>
      </c>
      <c r="H4376" t="s">
        <v>26011</v>
      </c>
      <c r="I4376" s="26">
        <v>41153</v>
      </c>
      <c r="J4376">
        <v>2012</v>
      </c>
      <c r="K4376" t="s">
        <v>26012</v>
      </c>
      <c r="L4376">
        <v>271</v>
      </c>
      <c r="M4376" t="s">
        <v>41446</v>
      </c>
      <c r="N4376">
        <v>1</v>
      </c>
      <c r="Q4376" t="s">
        <v>41447</v>
      </c>
      <c r="R4376">
        <v>150.1952</v>
      </c>
      <c r="S4376" t="s">
        <v>41448</v>
      </c>
      <c r="T4376" t="s">
        <v>30</v>
      </c>
      <c r="U4376" t="s">
        <v>46</v>
      </c>
      <c r="W4376" t="s">
        <v>26009</v>
      </c>
    </row>
    <row r="4377" spans="1:23" x14ac:dyDescent="0.35">
      <c r="A4377">
        <v>1017563</v>
      </c>
      <c r="B4377" t="s">
        <v>41449</v>
      </c>
      <c r="C4377" t="str">
        <f>"9781611320091"</f>
        <v>9781611320091</v>
      </c>
      <c r="D4377" t="str">
        <f>"9781611320114"</f>
        <v>9781611320114</v>
      </c>
      <c r="E4377" t="s">
        <v>26010</v>
      </c>
      <c r="F4377" t="s">
        <v>35</v>
      </c>
      <c r="G4377" t="s">
        <v>36267</v>
      </c>
      <c r="H4377" t="s">
        <v>26004</v>
      </c>
      <c r="I4377" s="26">
        <v>41075</v>
      </c>
      <c r="J4377">
        <v>2012</v>
      </c>
      <c r="K4377" t="s">
        <v>26012</v>
      </c>
      <c r="L4377">
        <v>177</v>
      </c>
      <c r="M4377" t="s">
        <v>41450</v>
      </c>
      <c r="N4377">
        <v>1</v>
      </c>
      <c r="Q4377" t="s">
        <v>41451</v>
      </c>
      <c r="R4377" t="s">
        <v>41452</v>
      </c>
      <c r="S4377" t="s">
        <v>9662</v>
      </c>
      <c r="T4377" t="s">
        <v>30</v>
      </c>
      <c r="U4377" t="s">
        <v>28308</v>
      </c>
      <c r="W4377" t="s">
        <v>26009</v>
      </c>
    </row>
    <row r="4378" spans="1:23" x14ac:dyDescent="0.35">
      <c r="A4378">
        <v>1019509</v>
      </c>
      <c r="B4378" t="s">
        <v>41453</v>
      </c>
      <c r="C4378" t="str">
        <f>"9780195336054"</f>
        <v>9780195336054</v>
      </c>
      <c r="D4378" t="str">
        <f>"9780199714551"</f>
        <v>9780199714551</v>
      </c>
      <c r="E4378" t="s">
        <v>371</v>
      </c>
      <c r="F4378" t="s">
        <v>31</v>
      </c>
      <c r="G4378" t="s">
        <v>22703</v>
      </c>
      <c r="H4378" t="s">
        <v>26004</v>
      </c>
      <c r="I4378" s="26">
        <v>39538</v>
      </c>
      <c r="J4378">
        <v>2008</v>
      </c>
      <c r="K4378" t="s">
        <v>31</v>
      </c>
      <c r="L4378">
        <v>90</v>
      </c>
      <c r="M4378" t="s">
        <v>41454</v>
      </c>
      <c r="O4378" t="s">
        <v>28565</v>
      </c>
      <c r="Q4378" t="s">
        <v>41455</v>
      </c>
      <c r="R4378">
        <v>616.85839999999996</v>
      </c>
      <c r="S4378" t="s">
        <v>41456</v>
      </c>
      <c r="T4378" t="s">
        <v>30</v>
      </c>
      <c r="U4378" t="s">
        <v>26019</v>
      </c>
      <c r="W4378" t="s">
        <v>26009</v>
      </c>
    </row>
    <row r="4379" spans="1:23" x14ac:dyDescent="0.35">
      <c r="A4379">
        <v>1020228</v>
      </c>
      <c r="B4379" t="s">
        <v>8770</v>
      </c>
      <c r="C4379" t="str">
        <f>"9780415875707"</f>
        <v>9780415875707</v>
      </c>
      <c r="D4379" t="str">
        <f>"9781135280024"</f>
        <v>9781135280024</v>
      </c>
      <c r="E4379" t="s">
        <v>26010</v>
      </c>
      <c r="F4379" t="s">
        <v>35</v>
      </c>
      <c r="G4379" t="s">
        <v>22174</v>
      </c>
      <c r="H4379" t="s">
        <v>26011</v>
      </c>
      <c r="I4379" s="26">
        <v>41093</v>
      </c>
      <c r="J4379">
        <v>2013</v>
      </c>
      <c r="K4379" t="s">
        <v>26012</v>
      </c>
      <c r="L4379">
        <v>241</v>
      </c>
      <c r="M4379" t="s">
        <v>41457</v>
      </c>
      <c r="N4379">
        <v>1</v>
      </c>
      <c r="O4379" t="s">
        <v>40313</v>
      </c>
      <c r="Q4379" t="s">
        <v>41458</v>
      </c>
      <c r="R4379">
        <v>153.30000000000001</v>
      </c>
      <c r="S4379" t="s">
        <v>7558</v>
      </c>
      <c r="T4379" t="s">
        <v>30</v>
      </c>
      <c r="U4379" t="s">
        <v>46</v>
      </c>
      <c r="W4379" t="s">
        <v>26009</v>
      </c>
    </row>
    <row r="4380" spans="1:23" x14ac:dyDescent="0.35">
      <c r="A4380">
        <v>1020251</v>
      </c>
      <c r="B4380" t="s">
        <v>41459</v>
      </c>
      <c r="C4380" t="str">
        <f>"9780415884594"</f>
        <v>9780415884594</v>
      </c>
      <c r="D4380" t="str">
        <f>"9781136898495"</f>
        <v>9781136898495</v>
      </c>
      <c r="E4380" t="s">
        <v>26010</v>
      </c>
      <c r="F4380" t="s">
        <v>35</v>
      </c>
      <c r="G4380" t="s">
        <v>22174</v>
      </c>
      <c r="H4380" t="s">
        <v>26011</v>
      </c>
      <c r="I4380" s="26">
        <v>41102</v>
      </c>
      <c r="J4380">
        <v>2013</v>
      </c>
      <c r="K4380" t="s">
        <v>26012</v>
      </c>
      <c r="L4380">
        <v>393</v>
      </c>
      <c r="M4380" t="s">
        <v>41460</v>
      </c>
      <c r="N4380">
        <v>1</v>
      </c>
      <c r="Q4380" t="s">
        <v>41461</v>
      </c>
      <c r="R4380">
        <v>616.89140229999998</v>
      </c>
      <c r="S4380" t="s">
        <v>7797</v>
      </c>
      <c r="T4380" t="s">
        <v>30</v>
      </c>
      <c r="U4380" t="s">
        <v>26116</v>
      </c>
      <c r="W4380" t="s">
        <v>26009</v>
      </c>
    </row>
    <row r="4381" spans="1:23" x14ac:dyDescent="0.35">
      <c r="A4381">
        <v>1020255</v>
      </c>
      <c r="B4381" t="s">
        <v>41462</v>
      </c>
      <c r="C4381" t="str">
        <f>"9780415883085"</f>
        <v>9780415883085</v>
      </c>
      <c r="D4381" t="str">
        <f>"9781136932304"</f>
        <v>9781136932304</v>
      </c>
      <c r="E4381" t="s">
        <v>26010</v>
      </c>
      <c r="F4381" t="s">
        <v>35</v>
      </c>
      <c r="G4381" t="s">
        <v>22174</v>
      </c>
      <c r="H4381" t="s">
        <v>26011</v>
      </c>
      <c r="I4381" s="26">
        <v>41010</v>
      </c>
      <c r="J4381">
        <v>2012</v>
      </c>
      <c r="K4381" t="s">
        <v>26012</v>
      </c>
      <c r="L4381">
        <v>436</v>
      </c>
      <c r="M4381" t="s">
        <v>41463</v>
      </c>
      <c r="N4381">
        <v>2</v>
      </c>
      <c r="Q4381" t="s">
        <v>41464</v>
      </c>
      <c r="R4381" t="s">
        <v>27122</v>
      </c>
      <c r="S4381" t="s">
        <v>41465</v>
      </c>
      <c r="T4381" t="s">
        <v>30</v>
      </c>
      <c r="U4381" t="s">
        <v>26116</v>
      </c>
      <c r="W4381" t="s">
        <v>26009</v>
      </c>
    </row>
    <row r="4382" spans="1:23" x14ac:dyDescent="0.35">
      <c r="A4382">
        <v>1020256</v>
      </c>
      <c r="B4382" t="s">
        <v>41466</v>
      </c>
      <c r="C4382" t="str">
        <f>"9780415890427"</f>
        <v>9780415890427</v>
      </c>
      <c r="D4382" t="str">
        <f>"9781136817755"</f>
        <v>9781136817755</v>
      </c>
      <c r="E4382" t="s">
        <v>26010</v>
      </c>
      <c r="F4382" t="s">
        <v>35</v>
      </c>
      <c r="G4382" t="s">
        <v>22174</v>
      </c>
      <c r="H4382" t="s">
        <v>26011</v>
      </c>
      <c r="I4382" s="26">
        <v>40980</v>
      </c>
      <c r="J4382">
        <v>2012</v>
      </c>
      <c r="K4382" t="s">
        <v>26012</v>
      </c>
      <c r="L4382">
        <v>315</v>
      </c>
      <c r="M4382" t="s">
        <v>41467</v>
      </c>
      <c r="N4382">
        <v>1</v>
      </c>
      <c r="O4382" t="s">
        <v>35560</v>
      </c>
      <c r="Q4382" t="s">
        <v>41468</v>
      </c>
      <c r="R4382">
        <v>616.89140081100004</v>
      </c>
      <c r="S4382" t="s">
        <v>10072</v>
      </c>
      <c r="T4382" t="s">
        <v>30</v>
      </c>
      <c r="U4382" t="s">
        <v>26019</v>
      </c>
      <c r="W4382" t="s">
        <v>26009</v>
      </c>
    </row>
    <row r="4383" spans="1:23" x14ac:dyDescent="0.35">
      <c r="A4383">
        <v>1020261</v>
      </c>
      <c r="B4383" t="s">
        <v>8968</v>
      </c>
      <c r="C4383" t="str">
        <f>"9780415678735"</f>
        <v>9780415678735</v>
      </c>
      <c r="D4383" t="str">
        <f>"9780203356937"</f>
        <v>9780203356937</v>
      </c>
      <c r="E4383" t="s">
        <v>26010</v>
      </c>
      <c r="F4383" t="s">
        <v>35</v>
      </c>
      <c r="G4383" t="s">
        <v>26128</v>
      </c>
      <c r="H4383" t="s">
        <v>26011</v>
      </c>
      <c r="I4383" s="26">
        <v>40840</v>
      </c>
      <c r="J4383">
        <v>2012</v>
      </c>
      <c r="K4383" t="s">
        <v>26012</v>
      </c>
      <c r="L4383">
        <v>305</v>
      </c>
      <c r="M4383" t="s">
        <v>41469</v>
      </c>
      <c r="N4383">
        <v>1</v>
      </c>
      <c r="R4383">
        <v>616.89139999999998</v>
      </c>
      <c r="S4383" t="s">
        <v>7961</v>
      </c>
      <c r="T4383" t="s">
        <v>30</v>
      </c>
      <c r="U4383" t="s">
        <v>26040</v>
      </c>
      <c r="W4383" t="s">
        <v>26009</v>
      </c>
    </row>
    <row r="4384" spans="1:23" x14ac:dyDescent="0.35">
      <c r="A4384">
        <v>1020269</v>
      </c>
      <c r="B4384" t="s">
        <v>41470</v>
      </c>
      <c r="C4384" t="str">
        <f>"9780415259934"</f>
        <v>9780415259934</v>
      </c>
      <c r="D4384" t="str">
        <f>"9780203865750"</f>
        <v>9780203865750</v>
      </c>
      <c r="E4384" t="s">
        <v>26010</v>
      </c>
      <c r="F4384" t="s">
        <v>35</v>
      </c>
      <c r="G4384" t="s">
        <v>26201</v>
      </c>
      <c r="H4384" t="s">
        <v>26004</v>
      </c>
      <c r="I4384" s="26">
        <v>37771</v>
      </c>
      <c r="J4384">
        <v>2003</v>
      </c>
      <c r="K4384" t="s">
        <v>26012</v>
      </c>
      <c r="L4384">
        <v>275</v>
      </c>
      <c r="M4384" t="s">
        <v>41471</v>
      </c>
      <c r="N4384">
        <v>1</v>
      </c>
      <c r="Q4384" t="s">
        <v>41472</v>
      </c>
      <c r="R4384" t="s">
        <v>35277</v>
      </c>
      <c r="S4384" t="s">
        <v>41473</v>
      </c>
      <c r="T4384" t="s">
        <v>30</v>
      </c>
      <c r="U4384" t="s">
        <v>35982</v>
      </c>
      <c r="W4384" t="s">
        <v>26009</v>
      </c>
    </row>
    <row r="4385" spans="1:23" x14ac:dyDescent="0.35">
      <c r="A4385">
        <v>1020306</v>
      </c>
      <c r="B4385" t="s">
        <v>9580</v>
      </c>
      <c r="C4385" t="str">
        <f>"9781843928003"</f>
        <v>9781843928003</v>
      </c>
      <c r="D4385" t="str">
        <f>"9780203810323"</f>
        <v>9780203810323</v>
      </c>
      <c r="E4385" t="s">
        <v>26010</v>
      </c>
      <c r="F4385" t="s">
        <v>7748</v>
      </c>
      <c r="G4385" t="s">
        <v>26201</v>
      </c>
      <c r="H4385" t="s">
        <v>26004</v>
      </c>
      <c r="I4385" s="26">
        <v>40437</v>
      </c>
      <c r="J4385">
        <v>2011</v>
      </c>
      <c r="K4385" t="s">
        <v>7748</v>
      </c>
      <c r="L4385">
        <v>296</v>
      </c>
      <c r="M4385" t="s">
        <v>41474</v>
      </c>
      <c r="N4385">
        <v>1</v>
      </c>
      <c r="Q4385" t="s">
        <v>41475</v>
      </c>
      <c r="R4385">
        <v>616.8914086927</v>
      </c>
      <c r="S4385" t="s">
        <v>41476</v>
      </c>
      <c r="T4385" t="s">
        <v>30</v>
      </c>
      <c r="U4385" t="s">
        <v>26019</v>
      </c>
      <c r="W4385" t="s">
        <v>26009</v>
      </c>
    </row>
    <row r="4386" spans="1:23" x14ac:dyDescent="0.35">
      <c r="A4386">
        <v>1021159</v>
      </c>
      <c r="B4386" t="s">
        <v>41477</v>
      </c>
      <c r="C4386" t="str">
        <f>"9780739166574"</f>
        <v>9780739166574</v>
      </c>
      <c r="D4386" t="str">
        <f>"9780739166581"</f>
        <v>9780739166581</v>
      </c>
      <c r="E4386" t="s">
        <v>33803</v>
      </c>
      <c r="F4386" t="s">
        <v>8174</v>
      </c>
      <c r="G4386" t="s">
        <v>34328</v>
      </c>
      <c r="H4386" t="s">
        <v>26004</v>
      </c>
      <c r="I4386" s="26">
        <v>41130</v>
      </c>
      <c r="J4386">
        <v>2012</v>
      </c>
      <c r="K4386" t="s">
        <v>8174</v>
      </c>
      <c r="L4386">
        <v>218</v>
      </c>
      <c r="M4386" t="s">
        <v>41478</v>
      </c>
      <c r="N4386">
        <v>1</v>
      </c>
      <c r="Q4386" t="s">
        <v>41479</v>
      </c>
      <c r="R4386" t="s">
        <v>41480</v>
      </c>
      <c r="S4386" t="s">
        <v>41481</v>
      </c>
      <c r="T4386" t="s">
        <v>30</v>
      </c>
      <c r="U4386" t="s">
        <v>26044</v>
      </c>
      <c r="W4386" t="s">
        <v>26009</v>
      </c>
    </row>
    <row r="4387" spans="1:23" x14ac:dyDescent="0.35">
      <c r="A4387">
        <v>1021883</v>
      </c>
      <c r="B4387" t="s">
        <v>41482</v>
      </c>
      <c r="C4387" t="str">
        <f>"9780739143520"</f>
        <v>9780739143520</v>
      </c>
      <c r="D4387" t="str">
        <f>"9780739143544"</f>
        <v>9780739143544</v>
      </c>
      <c r="E4387" t="s">
        <v>33803</v>
      </c>
      <c r="F4387" t="s">
        <v>8174</v>
      </c>
      <c r="G4387" t="s">
        <v>34328</v>
      </c>
      <c r="H4387" t="s">
        <v>26004</v>
      </c>
      <c r="I4387" s="26">
        <v>40267</v>
      </c>
      <c r="J4387">
        <v>2010</v>
      </c>
      <c r="K4387" t="s">
        <v>8174</v>
      </c>
      <c r="L4387">
        <v>213</v>
      </c>
      <c r="M4387" t="s">
        <v>41483</v>
      </c>
      <c r="N4387">
        <v>1</v>
      </c>
      <c r="Q4387" t="s">
        <v>41484</v>
      </c>
      <c r="R4387" t="s">
        <v>41485</v>
      </c>
      <c r="S4387" t="s">
        <v>8218</v>
      </c>
      <c r="T4387" t="s">
        <v>30</v>
      </c>
      <c r="U4387" t="s">
        <v>26250</v>
      </c>
      <c r="W4387" t="s">
        <v>26009</v>
      </c>
    </row>
    <row r="4388" spans="1:23" x14ac:dyDescent="0.35">
      <c r="A4388">
        <v>1021896</v>
      </c>
      <c r="B4388" t="s">
        <v>41486</v>
      </c>
      <c r="C4388" t="str">
        <f>"9780739127971"</f>
        <v>9780739127971</v>
      </c>
      <c r="D4388" t="str">
        <f>"9780739147290"</f>
        <v>9780739147290</v>
      </c>
      <c r="E4388" t="s">
        <v>33803</v>
      </c>
      <c r="F4388" t="s">
        <v>8174</v>
      </c>
      <c r="G4388" t="s">
        <v>41487</v>
      </c>
      <c r="H4388" t="s">
        <v>26004</v>
      </c>
      <c r="I4388" s="26">
        <v>40255</v>
      </c>
      <c r="J4388">
        <v>2010</v>
      </c>
      <c r="K4388" t="s">
        <v>8174</v>
      </c>
      <c r="L4388">
        <v>113</v>
      </c>
      <c r="M4388" t="s">
        <v>41488</v>
      </c>
      <c r="N4388">
        <v>1</v>
      </c>
      <c r="Q4388" t="s">
        <v>41489</v>
      </c>
      <c r="R4388">
        <v>300.72000000000003</v>
      </c>
      <c r="S4388" t="s">
        <v>41490</v>
      </c>
      <c r="T4388" t="s">
        <v>30</v>
      </c>
      <c r="U4388" t="s">
        <v>26044</v>
      </c>
      <c r="W4388" t="s">
        <v>26009</v>
      </c>
    </row>
    <row r="4389" spans="1:23" x14ac:dyDescent="0.35">
      <c r="A4389">
        <v>1021930</v>
      </c>
      <c r="B4389" t="s">
        <v>41491</v>
      </c>
      <c r="C4389" t="str">
        <f>"9780761851639"</f>
        <v>9780761851639</v>
      </c>
      <c r="D4389" t="str">
        <f>"9780761851646"</f>
        <v>9780761851646</v>
      </c>
      <c r="E4389" t="s">
        <v>33803</v>
      </c>
      <c r="F4389" t="s">
        <v>34051</v>
      </c>
      <c r="G4389" t="s">
        <v>33804</v>
      </c>
      <c r="H4389" t="s">
        <v>26004</v>
      </c>
      <c r="I4389" s="26">
        <v>40394</v>
      </c>
      <c r="J4389">
        <v>2010</v>
      </c>
      <c r="K4389" t="s">
        <v>34051</v>
      </c>
      <c r="L4389">
        <v>49</v>
      </c>
      <c r="M4389" t="s">
        <v>41492</v>
      </c>
      <c r="N4389">
        <v>1</v>
      </c>
      <c r="Q4389" t="s">
        <v>41493</v>
      </c>
      <c r="R4389" t="s">
        <v>26746</v>
      </c>
      <c r="S4389" t="s">
        <v>41494</v>
      </c>
      <c r="T4389" t="s">
        <v>30</v>
      </c>
      <c r="U4389" t="s">
        <v>46</v>
      </c>
      <c r="W4389" t="s">
        <v>26009</v>
      </c>
    </row>
    <row r="4390" spans="1:23" x14ac:dyDescent="0.35">
      <c r="A4390">
        <v>1021959</v>
      </c>
      <c r="B4390" t="s">
        <v>41495</v>
      </c>
      <c r="C4390" t="str">
        <f>"9780765707604"</f>
        <v>9780765707604</v>
      </c>
      <c r="D4390" t="str">
        <f>"9780765707628"</f>
        <v>9780765707628</v>
      </c>
      <c r="E4390" t="s">
        <v>33803</v>
      </c>
      <c r="F4390" t="s">
        <v>38</v>
      </c>
      <c r="G4390" t="s">
        <v>33804</v>
      </c>
      <c r="H4390" t="s">
        <v>26004</v>
      </c>
      <c r="I4390" s="26">
        <v>40570</v>
      </c>
      <c r="J4390">
        <v>2010</v>
      </c>
      <c r="K4390" t="s">
        <v>33811</v>
      </c>
      <c r="L4390">
        <v>241</v>
      </c>
      <c r="M4390" t="s">
        <v>41496</v>
      </c>
      <c r="N4390">
        <v>1</v>
      </c>
      <c r="Q4390" t="s">
        <v>41497</v>
      </c>
      <c r="R4390">
        <v>155</v>
      </c>
      <c r="S4390" t="s">
        <v>41498</v>
      </c>
      <c r="T4390" t="s">
        <v>30</v>
      </c>
      <c r="U4390" t="s">
        <v>46</v>
      </c>
      <c r="W4390" t="s">
        <v>26009</v>
      </c>
    </row>
    <row r="4391" spans="1:23" x14ac:dyDescent="0.35">
      <c r="A4391">
        <v>1021960</v>
      </c>
      <c r="B4391" t="s">
        <v>41499</v>
      </c>
      <c r="C4391" t="str">
        <f>"9780765708045"</f>
        <v>9780765708045</v>
      </c>
      <c r="D4391" t="str">
        <f>"9780765708069"</f>
        <v>9780765708069</v>
      </c>
      <c r="E4391" t="s">
        <v>33803</v>
      </c>
      <c r="F4391" t="s">
        <v>38</v>
      </c>
      <c r="G4391" t="s">
        <v>33804</v>
      </c>
      <c r="H4391" t="s">
        <v>26004</v>
      </c>
      <c r="I4391" s="26">
        <v>40570</v>
      </c>
      <c r="J4391">
        <v>2010</v>
      </c>
      <c r="K4391" t="s">
        <v>33811</v>
      </c>
      <c r="L4391">
        <v>143</v>
      </c>
      <c r="M4391" t="s">
        <v>41500</v>
      </c>
      <c r="N4391">
        <v>1</v>
      </c>
      <c r="O4391" t="s">
        <v>34134</v>
      </c>
      <c r="Q4391" t="s">
        <v>41501</v>
      </c>
      <c r="R4391">
        <v>155.9</v>
      </c>
      <c r="S4391" t="s">
        <v>41502</v>
      </c>
      <c r="T4391" t="s">
        <v>30</v>
      </c>
      <c r="U4391" t="s">
        <v>46</v>
      </c>
      <c r="W4391" t="s">
        <v>26009</v>
      </c>
    </row>
    <row r="4392" spans="1:23" x14ac:dyDescent="0.35">
      <c r="A4392">
        <v>1022016</v>
      </c>
      <c r="B4392" t="s">
        <v>40</v>
      </c>
      <c r="C4392" t="str">
        <f>"9780765708007"</f>
        <v>9780765708007</v>
      </c>
      <c r="D4392" t="str">
        <f>"9781461627173"</f>
        <v>9781461627173</v>
      </c>
      <c r="E4392" t="s">
        <v>33803</v>
      </c>
      <c r="F4392" t="s">
        <v>38</v>
      </c>
      <c r="G4392" t="s">
        <v>34138</v>
      </c>
      <c r="H4392" t="s">
        <v>26004</v>
      </c>
      <c r="I4392" s="26">
        <v>36951</v>
      </c>
      <c r="J4392">
        <v>2010</v>
      </c>
      <c r="K4392" t="s">
        <v>33811</v>
      </c>
      <c r="L4392">
        <v>373</v>
      </c>
      <c r="M4392" t="s">
        <v>41503</v>
      </c>
      <c r="N4392">
        <v>1</v>
      </c>
      <c r="Q4392" t="s">
        <v>41504</v>
      </c>
      <c r="R4392">
        <v>618.92891653000004</v>
      </c>
      <c r="S4392" t="s">
        <v>39</v>
      </c>
      <c r="T4392" t="s">
        <v>30</v>
      </c>
      <c r="U4392" t="s">
        <v>26019</v>
      </c>
      <c r="W4392" t="s">
        <v>26009</v>
      </c>
    </row>
    <row r="4393" spans="1:23" x14ac:dyDescent="0.35">
      <c r="A4393">
        <v>1023905</v>
      </c>
      <c r="B4393" t="s">
        <v>8877</v>
      </c>
      <c r="C4393" t="str">
        <f>"9780761962106"</f>
        <v>9780761962106</v>
      </c>
      <c r="D4393" t="str">
        <f>"9781446248485"</f>
        <v>9781446248485</v>
      </c>
      <c r="E4393" t="s">
        <v>28007</v>
      </c>
      <c r="F4393" t="s">
        <v>7430</v>
      </c>
      <c r="G4393" t="s">
        <v>22174</v>
      </c>
      <c r="H4393" t="s">
        <v>26011</v>
      </c>
      <c r="I4393" s="26">
        <v>37680</v>
      </c>
      <c r="J4393">
        <v>2003</v>
      </c>
      <c r="K4393" t="s">
        <v>7430</v>
      </c>
      <c r="L4393">
        <v>274</v>
      </c>
      <c r="M4393" t="s">
        <v>41505</v>
      </c>
      <c r="N4393">
        <v>1</v>
      </c>
      <c r="Q4393" t="s">
        <v>41506</v>
      </c>
      <c r="R4393">
        <v>302</v>
      </c>
      <c r="S4393" t="s">
        <v>7546</v>
      </c>
      <c r="T4393" t="s">
        <v>30</v>
      </c>
      <c r="U4393" t="s">
        <v>26044</v>
      </c>
      <c r="W4393" t="s">
        <v>26009</v>
      </c>
    </row>
    <row r="4394" spans="1:23" x14ac:dyDescent="0.35">
      <c r="A4394">
        <v>1023913</v>
      </c>
      <c r="B4394" t="s">
        <v>9741</v>
      </c>
      <c r="C4394" t="str">
        <f>"9780761967095"</f>
        <v>9780761967095</v>
      </c>
      <c r="D4394" t="str">
        <f>"9781446265550"</f>
        <v>9781446265550</v>
      </c>
      <c r="E4394" t="s">
        <v>28007</v>
      </c>
      <c r="F4394" t="s">
        <v>7430</v>
      </c>
      <c r="G4394" t="s">
        <v>22174</v>
      </c>
      <c r="H4394" t="s">
        <v>26011</v>
      </c>
      <c r="I4394" s="26">
        <v>36879</v>
      </c>
      <c r="J4394">
        <v>2000</v>
      </c>
      <c r="K4394" t="s">
        <v>7430</v>
      </c>
      <c r="L4394">
        <v>189</v>
      </c>
      <c r="M4394" t="s">
        <v>41507</v>
      </c>
      <c r="N4394">
        <v>1</v>
      </c>
      <c r="O4394" t="s">
        <v>41508</v>
      </c>
      <c r="Q4394">
        <v>711583</v>
      </c>
      <c r="R4394">
        <v>306.7</v>
      </c>
      <c r="S4394" t="s">
        <v>8800</v>
      </c>
      <c r="T4394" t="s">
        <v>30</v>
      </c>
      <c r="U4394" t="s">
        <v>26044</v>
      </c>
      <c r="W4394" t="s">
        <v>26009</v>
      </c>
    </row>
    <row r="4395" spans="1:23" x14ac:dyDescent="0.35">
      <c r="A4395">
        <v>1023918</v>
      </c>
      <c r="B4395" t="s">
        <v>7742</v>
      </c>
      <c r="C4395" t="str">
        <f>"9780761954743"</f>
        <v>9780761954743</v>
      </c>
      <c r="D4395" t="str">
        <f>"9781446264058"</f>
        <v>9781446264058</v>
      </c>
      <c r="E4395" t="s">
        <v>28007</v>
      </c>
      <c r="F4395" t="s">
        <v>7430</v>
      </c>
      <c r="G4395" t="s">
        <v>22174</v>
      </c>
      <c r="H4395" t="s">
        <v>26011</v>
      </c>
      <c r="I4395" s="26">
        <v>36917</v>
      </c>
      <c r="J4395">
        <v>2001</v>
      </c>
      <c r="K4395" t="s">
        <v>7430</v>
      </c>
      <c r="L4395">
        <v>125</v>
      </c>
      <c r="M4395" t="s">
        <v>41509</v>
      </c>
      <c r="N4395">
        <v>1</v>
      </c>
      <c r="Q4395" t="s">
        <v>41510</v>
      </c>
      <c r="R4395">
        <v>374</v>
      </c>
      <c r="S4395" t="s">
        <v>7743</v>
      </c>
      <c r="T4395" t="s">
        <v>30</v>
      </c>
      <c r="U4395" t="s">
        <v>337</v>
      </c>
      <c r="W4395" t="s">
        <v>26009</v>
      </c>
    </row>
    <row r="4396" spans="1:23" x14ac:dyDescent="0.35">
      <c r="A4396">
        <v>1023919</v>
      </c>
      <c r="B4396" t="s">
        <v>41511</v>
      </c>
      <c r="C4396" t="str">
        <f>"9780761954736"</f>
        <v>9780761954736</v>
      </c>
      <c r="D4396" t="str">
        <f>"9781446264430"</f>
        <v>9781446264430</v>
      </c>
      <c r="E4396" t="s">
        <v>28007</v>
      </c>
      <c r="F4396" t="s">
        <v>7430</v>
      </c>
      <c r="G4396" t="s">
        <v>22174</v>
      </c>
      <c r="H4396" t="s">
        <v>26011</v>
      </c>
      <c r="I4396" s="26">
        <v>37343</v>
      </c>
      <c r="J4396">
        <v>2002</v>
      </c>
      <c r="K4396" t="s">
        <v>7430</v>
      </c>
      <c r="L4396">
        <v>367</v>
      </c>
      <c r="M4396" t="s">
        <v>30949</v>
      </c>
      <c r="N4396">
        <v>1</v>
      </c>
      <c r="Q4396" t="s">
        <v>41512</v>
      </c>
      <c r="R4396" t="s">
        <v>26873</v>
      </c>
      <c r="S4396" t="s">
        <v>7648</v>
      </c>
      <c r="T4396" t="s">
        <v>30</v>
      </c>
      <c r="U4396" t="s">
        <v>46</v>
      </c>
      <c r="W4396" t="s">
        <v>26009</v>
      </c>
    </row>
    <row r="4397" spans="1:23" x14ac:dyDescent="0.35">
      <c r="A4397">
        <v>1023920</v>
      </c>
      <c r="B4397" t="s">
        <v>2787</v>
      </c>
      <c r="C4397" t="str">
        <f>"9780761971047"</f>
        <v>9780761971047</v>
      </c>
      <c r="D4397" t="str">
        <f>"9781446206928"</f>
        <v>9781446206928</v>
      </c>
      <c r="E4397" t="s">
        <v>28007</v>
      </c>
      <c r="F4397" t="s">
        <v>7430</v>
      </c>
      <c r="G4397" t="s">
        <v>22174</v>
      </c>
      <c r="H4397" t="s">
        <v>26011</v>
      </c>
      <c r="I4397" s="26">
        <v>38054</v>
      </c>
      <c r="J4397">
        <v>2004</v>
      </c>
      <c r="K4397" t="s">
        <v>7430</v>
      </c>
      <c r="L4397">
        <v>417</v>
      </c>
      <c r="M4397" t="s">
        <v>41513</v>
      </c>
      <c r="N4397">
        <v>1</v>
      </c>
      <c r="Q4397" t="s">
        <v>41514</v>
      </c>
      <c r="R4397" t="s">
        <v>29590</v>
      </c>
      <c r="S4397" t="s">
        <v>8637</v>
      </c>
      <c r="T4397" t="s">
        <v>30</v>
      </c>
      <c r="U4397" t="s">
        <v>26044</v>
      </c>
      <c r="W4397" t="s">
        <v>26009</v>
      </c>
    </row>
    <row r="4398" spans="1:23" x14ac:dyDescent="0.35">
      <c r="A4398">
        <v>1023928</v>
      </c>
      <c r="B4398" t="s">
        <v>41515</v>
      </c>
      <c r="C4398" t="str">
        <f>"9780761972990"</f>
        <v>9780761972990</v>
      </c>
      <c r="D4398" t="str">
        <f>"9781446264140"</f>
        <v>9781446264140</v>
      </c>
      <c r="E4398" t="s">
        <v>28007</v>
      </c>
      <c r="F4398" t="s">
        <v>7430</v>
      </c>
      <c r="G4398" t="s">
        <v>22174</v>
      </c>
      <c r="H4398" t="s">
        <v>26011</v>
      </c>
      <c r="I4398" s="26">
        <v>36161</v>
      </c>
      <c r="J4398">
        <v>1999</v>
      </c>
      <c r="K4398" t="s">
        <v>7430</v>
      </c>
      <c r="L4398">
        <v>162</v>
      </c>
      <c r="M4398" t="s">
        <v>41516</v>
      </c>
      <c r="N4398">
        <v>1</v>
      </c>
      <c r="O4398" t="s">
        <v>41517</v>
      </c>
      <c r="Q4398" t="s">
        <v>41518</v>
      </c>
      <c r="R4398">
        <v>305.23099999999999</v>
      </c>
      <c r="S4398" t="s">
        <v>7801</v>
      </c>
      <c r="T4398" t="s">
        <v>30</v>
      </c>
      <c r="U4398" t="s">
        <v>26044</v>
      </c>
      <c r="W4398" t="s">
        <v>26009</v>
      </c>
    </row>
    <row r="4399" spans="1:23" x14ac:dyDescent="0.35">
      <c r="A4399">
        <v>1023931</v>
      </c>
      <c r="B4399" t="s">
        <v>8079</v>
      </c>
      <c r="C4399" t="str">
        <f>"9780803985964"</f>
        <v>9780803985964</v>
      </c>
      <c r="D4399" t="str">
        <f>"9781446264744"</f>
        <v>9781446264744</v>
      </c>
      <c r="E4399" t="s">
        <v>28007</v>
      </c>
      <c r="F4399" t="s">
        <v>7430</v>
      </c>
      <c r="G4399" t="s">
        <v>22174</v>
      </c>
      <c r="H4399" t="s">
        <v>26011</v>
      </c>
      <c r="I4399" s="26">
        <v>35076</v>
      </c>
      <c r="J4399">
        <v>1995</v>
      </c>
      <c r="K4399" t="s">
        <v>7430</v>
      </c>
      <c r="L4399">
        <v>134</v>
      </c>
      <c r="M4399" t="s">
        <v>28010</v>
      </c>
      <c r="N4399">
        <v>1</v>
      </c>
      <c r="O4399" t="s">
        <v>28011</v>
      </c>
      <c r="P4399">
        <v>8</v>
      </c>
      <c r="Q4399" t="s">
        <v>41519</v>
      </c>
      <c r="R4399">
        <v>361.06</v>
      </c>
      <c r="S4399" t="s">
        <v>8080</v>
      </c>
      <c r="T4399" t="s">
        <v>30</v>
      </c>
      <c r="U4399" t="s">
        <v>26170</v>
      </c>
      <c r="W4399" t="s">
        <v>26009</v>
      </c>
    </row>
    <row r="4400" spans="1:23" x14ac:dyDescent="0.35">
      <c r="A4400">
        <v>1023946</v>
      </c>
      <c r="B4400" t="s">
        <v>8684</v>
      </c>
      <c r="C4400" t="str">
        <f>"9780826451958"</f>
        <v>9780826451958</v>
      </c>
      <c r="D4400" t="str">
        <f>"9781446265833"</f>
        <v>9781446265833</v>
      </c>
      <c r="E4400" t="s">
        <v>28007</v>
      </c>
      <c r="F4400" t="s">
        <v>7430</v>
      </c>
      <c r="G4400" t="s">
        <v>22174</v>
      </c>
      <c r="H4400" t="s">
        <v>26011</v>
      </c>
      <c r="I4400" s="26">
        <v>37856</v>
      </c>
      <c r="J4400">
        <v>2001</v>
      </c>
      <c r="K4400" t="s">
        <v>7430</v>
      </c>
      <c r="L4400">
        <v>161</v>
      </c>
      <c r="M4400" t="s">
        <v>41520</v>
      </c>
      <c r="N4400">
        <v>1</v>
      </c>
      <c r="O4400" t="s">
        <v>28103</v>
      </c>
      <c r="Q4400" t="s">
        <v>41521</v>
      </c>
      <c r="R4400" t="s">
        <v>26538</v>
      </c>
      <c r="S4400" t="s">
        <v>8213</v>
      </c>
      <c r="T4400" t="s">
        <v>30</v>
      </c>
      <c r="U4400" t="s">
        <v>26116</v>
      </c>
      <c r="W4400" t="s">
        <v>26009</v>
      </c>
    </row>
    <row r="4401" spans="1:23" x14ac:dyDescent="0.35">
      <c r="A4401">
        <v>1023948</v>
      </c>
      <c r="B4401" t="s">
        <v>41522</v>
      </c>
      <c r="C4401" t="str">
        <f>"9780826455987"</f>
        <v>9780826455987</v>
      </c>
      <c r="D4401" t="str">
        <f>"9781446265703"</f>
        <v>9781446265703</v>
      </c>
      <c r="E4401" t="s">
        <v>28007</v>
      </c>
      <c r="F4401" t="s">
        <v>7430</v>
      </c>
      <c r="G4401" t="s">
        <v>22174</v>
      </c>
      <c r="H4401" t="s">
        <v>26011</v>
      </c>
      <c r="I4401" s="26">
        <v>37856</v>
      </c>
      <c r="J4401">
        <v>2001</v>
      </c>
      <c r="K4401" t="s">
        <v>7430</v>
      </c>
      <c r="L4401">
        <v>209</v>
      </c>
      <c r="M4401" t="s">
        <v>41523</v>
      </c>
      <c r="N4401">
        <v>1</v>
      </c>
      <c r="O4401" t="s">
        <v>33632</v>
      </c>
      <c r="Q4401" t="s">
        <v>41524</v>
      </c>
      <c r="R4401" t="s">
        <v>41525</v>
      </c>
      <c r="S4401" t="s">
        <v>41526</v>
      </c>
      <c r="T4401" t="s">
        <v>30</v>
      </c>
      <c r="U4401" t="s">
        <v>26228</v>
      </c>
      <c r="W4401" t="s">
        <v>26009</v>
      </c>
    </row>
    <row r="4402" spans="1:23" x14ac:dyDescent="0.35">
      <c r="A4402">
        <v>1023949</v>
      </c>
      <c r="B4402" t="s">
        <v>8252</v>
      </c>
      <c r="C4402" t="str">
        <f>"9780826452085"</f>
        <v>9780826452085</v>
      </c>
      <c r="D4402" t="str">
        <f>"9781446264874"</f>
        <v>9781446264874</v>
      </c>
      <c r="E4402" t="s">
        <v>28007</v>
      </c>
      <c r="F4402" t="s">
        <v>7430</v>
      </c>
      <c r="G4402" t="s">
        <v>22174</v>
      </c>
      <c r="H4402" t="s">
        <v>26011</v>
      </c>
      <c r="I4402" s="26">
        <v>37856</v>
      </c>
      <c r="J4402">
        <v>2001</v>
      </c>
      <c r="K4402" t="s">
        <v>7430</v>
      </c>
      <c r="L4402">
        <v>185</v>
      </c>
      <c r="M4402" t="s">
        <v>41527</v>
      </c>
      <c r="N4402">
        <v>1</v>
      </c>
      <c r="O4402" t="s">
        <v>28103</v>
      </c>
      <c r="Q4402" t="s">
        <v>41528</v>
      </c>
      <c r="R4402" t="s">
        <v>26538</v>
      </c>
      <c r="S4402" t="s">
        <v>8253</v>
      </c>
      <c r="T4402" t="s">
        <v>30</v>
      </c>
      <c r="U4402" t="s">
        <v>26116</v>
      </c>
      <c r="W4402" t="s">
        <v>26009</v>
      </c>
    </row>
    <row r="4403" spans="1:23" x14ac:dyDescent="0.35">
      <c r="A4403">
        <v>1023950</v>
      </c>
      <c r="B4403" t="s">
        <v>10245</v>
      </c>
      <c r="C4403" t="str">
        <f>"9780826452078"</f>
        <v>9780826452078</v>
      </c>
      <c r="D4403" t="str">
        <f>"9781446266267"</f>
        <v>9781446266267</v>
      </c>
      <c r="E4403" t="s">
        <v>28007</v>
      </c>
      <c r="F4403" t="s">
        <v>7430</v>
      </c>
      <c r="G4403" t="s">
        <v>22174</v>
      </c>
      <c r="H4403" t="s">
        <v>26011</v>
      </c>
      <c r="I4403" s="26">
        <v>37856</v>
      </c>
      <c r="J4403">
        <v>2001</v>
      </c>
      <c r="K4403" t="s">
        <v>7430</v>
      </c>
      <c r="L4403">
        <v>145</v>
      </c>
      <c r="M4403" t="s">
        <v>41529</v>
      </c>
      <c r="N4403">
        <v>1</v>
      </c>
      <c r="O4403" t="s">
        <v>28103</v>
      </c>
      <c r="Q4403" t="s">
        <v>41530</v>
      </c>
      <c r="R4403" t="s">
        <v>41531</v>
      </c>
      <c r="S4403" t="s">
        <v>7648</v>
      </c>
      <c r="T4403" t="s">
        <v>30</v>
      </c>
      <c r="U4403" t="s">
        <v>41532</v>
      </c>
      <c r="W4403" t="s">
        <v>26009</v>
      </c>
    </row>
    <row r="4404" spans="1:23" x14ac:dyDescent="0.35">
      <c r="A4404">
        <v>1023960</v>
      </c>
      <c r="B4404" t="s">
        <v>7999</v>
      </c>
      <c r="C4404" t="str">
        <f>"9780761951049"</f>
        <v>9780761951049</v>
      </c>
      <c r="D4404" t="str">
        <f>"9781446264317"</f>
        <v>9781446264317</v>
      </c>
      <c r="E4404" t="s">
        <v>28007</v>
      </c>
      <c r="F4404" t="s">
        <v>7430</v>
      </c>
      <c r="G4404" t="s">
        <v>22174</v>
      </c>
      <c r="H4404" t="s">
        <v>26011</v>
      </c>
      <c r="I4404" s="26">
        <v>36031</v>
      </c>
      <c r="J4404">
        <v>1998</v>
      </c>
      <c r="K4404" t="s">
        <v>7430</v>
      </c>
      <c r="L4404">
        <v>145</v>
      </c>
      <c r="M4404" t="s">
        <v>41533</v>
      </c>
      <c r="N4404">
        <v>1</v>
      </c>
      <c r="O4404" t="s">
        <v>28068</v>
      </c>
      <c r="Q4404" t="s">
        <v>41534</v>
      </c>
      <c r="R4404" t="s">
        <v>41535</v>
      </c>
      <c r="S4404" t="s">
        <v>8000</v>
      </c>
      <c r="T4404" t="s">
        <v>30</v>
      </c>
      <c r="U4404" t="s">
        <v>26019</v>
      </c>
      <c r="W4404" t="s">
        <v>26009</v>
      </c>
    </row>
    <row r="4405" spans="1:23" x14ac:dyDescent="0.35">
      <c r="A4405">
        <v>1023974</v>
      </c>
      <c r="B4405" t="s">
        <v>7774</v>
      </c>
      <c r="C4405" t="str">
        <f>"9780761959540"</f>
        <v>9780761959540</v>
      </c>
      <c r="D4405" t="str">
        <f>"9781848608955"</f>
        <v>9781848608955</v>
      </c>
      <c r="E4405" t="s">
        <v>28007</v>
      </c>
      <c r="F4405" t="s">
        <v>7430</v>
      </c>
      <c r="G4405" t="s">
        <v>22174</v>
      </c>
      <c r="H4405" t="s">
        <v>26011</v>
      </c>
      <c r="I4405" s="26">
        <v>36501</v>
      </c>
      <c r="J4405">
        <v>1999</v>
      </c>
      <c r="K4405" t="s">
        <v>7430</v>
      </c>
      <c r="L4405">
        <v>309</v>
      </c>
      <c r="M4405" t="s">
        <v>41536</v>
      </c>
      <c r="N4405">
        <v>1</v>
      </c>
      <c r="Q4405" t="s">
        <v>41537</v>
      </c>
      <c r="R4405" t="s">
        <v>34673</v>
      </c>
      <c r="S4405" t="s">
        <v>7775</v>
      </c>
      <c r="T4405" t="s">
        <v>30</v>
      </c>
      <c r="U4405" t="s">
        <v>26170</v>
      </c>
      <c r="W4405" t="s">
        <v>26009</v>
      </c>
    </row>
    <row r="4406" spans="1:23" x14ac:dyDescent="0.35">
      <c r="A4406">
        <v>1023980</v>
      </c>
      <c r="B4406" t="s">
        <v>41538</v>
      </c>
      <c r="C4406" t="str">
        <f>"9780761955788"</f>
        <v>9780761955788</v>
      </c>
      <c r="D4406" t="str">
        <f>"9781446264461"</f>
        <v>9781446264461</v>
      </c>
      <c r="E4406" t="s">
        <v>28007</v>
      </c>
      <c r="F4406" t="s">
        <v>7430</v>
      </c>
      <c r="G4406" t="s">
        <v>22174</v>
      </c>
      <c r="H4406" t="s">
        <v>26011</v>
      </c>
      <c r="I4406" s="26">
        <v>35702</v>
      </c>
      <c r="J4406">
        <v>1997</v>
      </c>
      <c r="K4406" t="s">
        <v>7430</v>
      </c>
      <c r="L4406">
        <v>186</v>
      </c>
      <c r="M4406" t="s">
        <v>27261</v>
      </c>
      <c r="N4406">
        <v>1</v>
      </c>
      <c r="Q4406" t="s">
        <v>41539</v>
      </c>
      <c r="R4406" t="s">
        <v>28305</v>
      </c>
      <c r="S4406" t="s">
        <v>8895</v>
      </c>
      <c r="T4406" t="s">
        <v>30</v>
      </c>
      <c r="U4406" t="s">
        <v>46</v>
      </c>
      <c r="W4406" t="s">
        <v>26009</v>
      </c>
    </row>
    <row r="4407" spans="1:23" x14ac:dyDescent="0.35">
      <c r="A4407">
        <v>1023985</v>
      </c>
      <c r="B4407" t="s">
        <v>41540</v>
      </c>
      <c r="C4407" t="str">
        <f>"9780803979062"</f>
        <v>9780803979062</v>
      </c>
      <c r="D4407" t="str">
        <f>"9781446264911"</f>
        <v>9781446264911</v>
      </c>
      <c r="E4407" t="s">
        <v>28007</v>
      </c>
      <c r="F4407" t="s">
        <v>7430</v>
      </c>
      <c r="G4407" t="s">
        <v>22174</v>
      </c>
      <c r="H4407" t="s">
        <v>26011</v>
      </c>
      <c r="I4407" s="26">
        <v>34922</v>
      </c>
      <c r="J4407">
        <v>1995</v>
      </c>
      <c r="K4407" t="s">
        <v>7430</v>
      </c>
      <c r="L4407">
        <v>241</v>
      </c>
      <c r="M4407" t="s">
        <v>41541</v>
      </c>
      <c r="N4407">
        <v>1</v>
      </c>
      <c r="Q4407" t="s">
        <v>41542</v>
      </c>
      <c r="R4407">
        <v>155.9</v>
      </c>
      <c r="S4407" t="s">
        <v>41543</v>
      </c>
      <c r="T4407" t="s">
        <v>30</v>
      </c>
      <c r="U4407" t="s">
        <v>46</v>
      </c>
      <c r="W4407" t="s">
        <v>26009</v>
      </c>
    </row>
    <row r="4408" spans="1:23" x14ac:dyDescent="0.35">
      <c r="A4408">
        <v>1023989</v>
      </c>
      <c r="B4408" t="s">
        <v>41544</v>
      </c>
      <c r="C4408" t="str">
        <f>"9780803977624"</f>
        <v>9780803977624</v>
      </c>
      <c r="D4408" t="str">
        <f>"9781446265321"</f>
        <v>9781446265321</v>
      </c>
      <c r="E4408" t="s">
        <v>28007</v>
      </c>
      <c r="F4408" t="s">
        <v>7430</v>
      </c>
      <c r="G4408" t="s">
        <v>22174</v>
      </c>
      <c r="H4408" t="s">
        <v>26011</v>
      </c>
      <c r="I4408" s="26">
        <v>35556</v>
      </c>
      <c r="J4408">
        <v>1997</v>
      </c>
      <c r="K4408" t="s">
        <v>7430</v>
      </c>
      <c r="L4408">
        <v>189</v>
      </c>
      <c r="M4408" t="s">
        <v>31529</v>
      </c>
      <c r="N4408">
        <v>1</v>
      </c>
      <c r="Q4408" t="s">
        <v>41545</v>
      </c>
      <c r="R4408" t="s">
        <v>41546</v>
      </c>
      <c r="S4408" t="s">
        <v>7775</v>
      </c>
      <c r="T4408" t="s">
        <v>30</v>
      </c>
      <c r="U4408" t="s">
        <v>46</v>
      </c>
      <c r="W4408" t="s">
        <v>26009</v>
      </c>
    </row>
    <row r="4409" spans="1:23" x14ac:dyDescent="0.35">
      <c r="A4409">
        <v>1023991</v>
      </c>
      <c r="B4409" t="s">
        <v>41547</v>
      </c>
      <c r="C4409" t="str">
        <f>"9781873942147"</f>
        <v>9781873942147</v>
      </c>
      <c r="D4409" t="str">
        <f>"9781446265710"</f>
        <v>9781446265710</v>
      </c>
      <c r="E4409" t="s">
        <v>28007</v>
      </c>
      <c r="F4409" t="s">
        <v>7430</v>
      </c>
      <c r="G4409" t="s">
        <v>22174</v>
      </c>
      <c r="H4409" t="s">
        <v>26011</v>
      </c>
      <c r="I4409" s="26">
        <v>36892</v>
      </c>
      <c r="J4409">
        <v>2001</v>
      </c>
      <c r="K4409" t="s">
        <v>7430</v>
      </c>
      <c r="L4409">
        <v>135</v>
      </c>
      <c r="M4409" t="s">
        <v>41548</v>
      </c>
      <c r="N4409">
        <v>1</v>
      </c>
      <c r="O4409" t="s">
        <v>30912</v>
      </c>
      <c r="Q4409" t="s">
        <v>41549</v>
      </c>
      <c r="R4409">
        <v>155.9042</v>
      </c>
      <c r="S4409" t="s">
        <v>41550</v>
      </c>
      <c r="T4409" t="s">
        <v>30</v>
      </c>
      <c r="U4409" t="s">
        <v>32904</v>
      </c>
      <c r="W4409" t="s">
        <v>26009</v>
      </c>
    </row>
    <row r="4410" spans="1:23" x14ac:dyDescent="0.35">
      <c r="A4410">
        <v>1023994</v>
      </c>
      <c r="B4410" t="s">
        <v>8010</v>
      </c>
      <c r="C4410" t="str">
        <f>"9780803988637"</f>
        <v>9780803988637</v>
      </c>
      <c r="D4410" t="str">
        <f>"9781446264676"</f>
        <v>9781446264676</v>
      </c>
      <c r="E4410" t="s">
        <v>28007</v>
      </c>
      <c r="F4410" t="s">
        <v>7430</v>
      </c>
      <c r="G4410" t="s">
        <v>22174</v>
      </c>
      <c r="H4410" t="s">
        <v>26011</v>
      </c>
      <c r="I4410" s="26">
        <v>44217</v>
      </c>
      <c r="J4410">
        <v>1995</v>
      </c>
      <c r="K4410" t="s">
        <v>7430</v>
      </c>
      <c r="L4410">
        <v>274</v>
      </c>
      <c r="M4410" t="s">
        <v>41551</v>
      </c>
      <c r="N4410">
        <v>1</v>
      </c>
      <c r="O4410" t="s">
        <v>28080</v>
      </c>
      <c r="R4410">
        <v>155.9042</v>
      </c>
      <c r="S4410" t="s">
        <v>8011</v>
      </c>
      <c r="T4410" t="s">
        <v>30</v>
      </c>
      <c r="U4410" t="s">
        <v>46</v>
      </c>
      <c r="W4410" t="s">
        <v>26009</v>
      </c>
    </row>
    <row r="4411" spans="1:23" x14ac:dyDescent="0.35">
      <c r="A4411">
        <v>1023996</v>
      </c>
      <c r="B4411" t="s">
        <v>8132</v>
      </c>
      <c r="C4411" t="str">
        <f>"9780803989801"</f>
        <v>9780803989801</v>
      </c>
      <c r="D4411" t="str">
        <f>"9781446264799"</f>
        <v>9781446264799</v>
      </c>
      <c r="E4411" t="s">
        <v>28007</v>
      </c>
      <c r="F4411" t="s">
        <v>7430</v>
      </c>
      <c r="G4411" t="s">
        <v>22174</v>
      </c>
      <c r="H4411" t="s">
        <v>26011</v>
      </c>
      <c r="I4411" s="26">
        <v>35016</v>
      </c>
      <c r="J4411">
        <v>1995</v>
      </c>
      <c r="K4411" t="s">
        <v>7430</v>
      </c>
      <c r="L4411">
        <v>109</v>
      </c>
      <c r="M4411" t="s">
        <v>41552</v>
      </c>
      <c r="N4411">
        <v>1</v>
      </c>
      <c r="O4411" t="s">
        <v>28037</v>
      </c>
      <c r="P4411">
        <v>4</v>
      </c>
      <c r="Q4411" t="s">
        <v>41553</v>
      </c>
      <c r="R4411" t="s">
        <v>26538</v>
      </c>
      <c r="S4411" t="s">
        <v>8133</v>
      </c>
      <c r="T4411" t="s">
        <v>30</v>
      </c>
      <c r="U4411" t="s">
        <v>26116</v>
      </c>
      <c r="W4411" t="s">
        <v>26009</v>
      </c>
    </row>
    <row r="4412" spans="1:23" x14ac:dyDescent="0.35">
      <c r="A4412">
        <v>1024002</v>
      </c>
      <c r="B4412" t="s">
        <v>41554</v>
      </c>
      <c r="C4412" t="str">
        <f>"9781873942932"</f>
        <v>9781873942932</v>
      </c>
      <c r="D4412" t="str">
        <f>"9781446264034"</f>
        <v>9781446264034</v>
      </c>
      <c r="E4412" t="s">
        <v>28007</v>
      </c>
      <c r="F4412" t="s">
        <v>7430</v>
      </c>
      <c r="G4412" t="s">
        <v>22174</v>
      </c>
      <c r="H4412" t="s">
        <v>26011</v>
      </c>
      <c r="I4412" s="26">
        <v>37257</v>
      </c>
      <c r="J4412">
        <v>2002</v>
      </c>
      <c r="K4412" t="s">
        <v>7430</v>
      </c>
      <c r="L4412">
        <v>65</v>
      </c>
      <c r="M4412" t="s">
        <v>41555</v>
      </c>
      <c r="N4412">
        <v>1</v>
      </c>
      <c r="O4412" t="s">
        <v>30912</v>
      </c>
      <c r="Q4412" t="s">
        <v>41556</v>
      </c>
      <c r="R4412">
        <v>155.9042</v>
      </c>
      <c r="S4412" t="s">
        <v>41557</v>
      </c>
      <c r="T4412" t="s">
        <v>30</v>
      </c>
      <c r="U4412" t="s">
        <v>46</v>
      </c>
      <c r="W4412" t="s">
        <v>26009</v>
      </c>
    </row>
    <row r="4413" spans="1:23" x14ac:dyDescent="0.35">
      <c r="A4413">
        <v>1024008</v>
      </c>
      <c r="B4413" t="s">
        <v>10153</v>
      </c>
      <c r="C4413" t="str">
        <f>"9780761957850"</f>
        <v>9780761957850</v>
      </c>
      <c r="D4413" t="str">
        <f>"9781446266212"</f>
        <v>9781446266212</v>
      </c>
      <c r="E4413" t="s">
        <v>28007</v>
      </c>
      <c r="F4413" t="s">
        <v>7430</v>
      </c>
      <c r="G4413" t="s">
        <v>22174</v>
      </c>
      <c r="H4413" t="s">
        <v>26011</v>
      </c>
      <c r="I4413" s="26">
        <v>36416</v>
      </c>
      <c r="J4413">
        <v>1999</v>
      </c>
      <c r="K4413" t="s">
        <v>7430</v>
      </c>
      <c r="L4413">
        <v>187</v>
      </c>
      <c r="M4413" t="s">
        <v>34104</v>
      </c>
      <c r="N4413">
        <v>1</v>
      </c>
      <c r="O4413" t="s">
        <v>28068</v>
      </c>
      <c r="Q4413" t="s">
        <v>41558</v>
      </c>
      <c r="R4413" t="s">
        <v>26873</v>
      </c>
      <c r="S4413" t="s">
        <v>10154</v>
      </c>
      <c r="T4413" t="s">
        <v>30</v>
      </c>
      <c r="U4413" t="s">
        <v>46</v>
      </c>
      <c r="W4413" t="s">
        <v>26009</v>
      </c>
    </row>
    <row r="4414" spans="1:23" x14ac:dyDescent="0.35">
      <c r="A4414">
        <v>1024045</v>
      </c>
      <c r="B4414" t="s">
        <v>41559</v>
      </c>
      <c r="C4414" t="str">
        <f>"9780761956563"</f>
        <v>9780761956563</v>
      </c>
      <c r="D4414" t="str">
        <f>"9781446264065"</f>
        <v>9781446264065</v>
      </c>
      <c r="E4414" t="s">
        <v>28007</v>
      </c>
      <c r="F4414" t="s">
        <v>7430</v>
      </c>
      <c r="G4414" t="s">
        <v>22174</v>
      </c>
      <c r="H4414" t="s">
        <v>26011</v>
      </c>
      <c r="I4414" s="26">
        <v>35864</v>
      </c>
      <c r="J4414">
        <v>1998</v>
      </c>
      <c r="K4414" t="s">
        <v>7430</v>
      </c>
      <c r="L4414">
        <v>236</v>
      </c>
      <c r="M4414" t="s">
        <v>36528</v>
      </c>
      <c r="N4414">
        <v>1</v>
      </c>
      <c r="Q4414" t="s">
        <v>41560</v>
      </c>
      <c r="R4414" t="s">
        <v>27122</v>
      </c>
      <c r="S4414" t="s">
        <v>10066</v>
      </c>
      <c r="T4414" t="s">
        <v>30</v>
      </c>
      <c r="U4414" t="s">
        <v>26116</v>
      </c>
      <c r="W4414" t="s">
        <v>26009</v>
      </c>
    </row>
    <row r="4415" spans="1:23" x14ac:dyDescent="0.35">
      <c r="A4415">
        <v>1024047</v>
      </c>
      <c r="B4415" t="s">
        <v>9878</v>
      </c>
      <c r="C4415" t="str">
        <f>"9780761953777"</f>
        <v>9780761953777</v>
      </c>
      <c r="D4415" t="str">
        <f>"9781848609273"</f>
        <v>9781848609273</v>
      </c>
      <c r="E4415" t="s">
        <v>28007</v>
      </c>
      <c r="F4415" t="s">
        <v>7430</v>
      </c>
      <c r="G4415" t="s">
        <v>22174</v>
      </c>
      <c r="H4415" t="s">
        <v>26011</v>
      </c>
      <c r="I4415" s="26">
        <v>35964</v>
      </c>
      <c r="J4415">
        <v>1998</v>
      </c>
      <c r="K4415" t="s">
        <v>7430</v>
      </c>
      <c r="L4415">
        <v>146</v>
      </c>
      <c r="M4415" t="s">
        <v>41561</v>
      </c>
      <c r="N4415">
        <v>1</v>
      </c>
      <c r="O4415" t="s">
        <v>30979</v>
      </c>
      <c r="Q4415" t="s">
        <v>41562</v>
      </c>
      <c r="R4415">
        <v>302</v>
      </c>
      <c r="S4415" t="s">
        <v>7546</v>
      </c>
      <c r="T4415" t="s">
        <v>30</v>
      </c>
      <c r="U4415" t="s">
        <v>26044</v>
      </c>
      <c r="W4415" t="s">
        <v>26009</v>
      </c>
    </row>
    <row r="4416" spans="1:23" x14ac:dyDescent="0.35">
      <c r="A4416">
        <v>1024049</v>
      </c>
      <c r="B4416" t="s">
        <v>9194</v>
      </c>
      <c r="C4416" t="str">
        <f>"9780803976856"</f>
        <v>9780803976856</v>
      </c>
      <c r="D4416" t="str">
        <f>"9781446265338"</f>
        <v>9781446265338</v>
      </c>
      <c r="E4416" t="s">
        <v>28007</v>
      </c>
      <c r="F4416" t="s">
        <v>7430</v>
      </c>
      <c r="G4416" t="s">
        <v>22174</v>
      </c>
      <c r="H4416" t="s">
        <v>26011</v>
      </c>
      <c r="I4416" s="26">
        <v>35807</v>
      </c>
      <c r="J4416">
        <v>1998</v>
      </c>
      <c r="K4416" t="s">
        <v>7430</v>
      </c>
      <c r="L4416">
        <v>177</v>
      </c>
      <c r="M4416" t="s">
        <v>41563</v>
      </c>
      <c r="N4416">
        <v>1</v>
      </c>
      <c r="Q4416" t="s">
        <v>41564</v>
      </c>
      <c r="R4416" t="s">
        <v>26538</v>
      </c>
      <c r="S4416" t="s">
        <v>7648</v>
      </c>
      <c r="T4416" t="s">
        <v>30</v>
      </c>
      <c r="U4416" t="s">
        <v>26019</v>
      </c>
      <c r="W4416" t="s">
        <v>26009</v>
      </c>
    </row>
    <row r="4417" spans="1:23" x14ac:dyDescent="0.35">
      <c r="A4417">
        <v>1024050</v>
      </c>
      <c r="B4417" t="s">
        <v>10185</v>
      </c>
      <c r="C4417" t="str">
        <f>"9780761950905"</f>
        <v>9780761950905</v>
      </c>
      <c r="D4417" t="str">
        <f>"9781446264300"</f>
        <v>9781446264300</v>
      </c>
      <c r="E4417" t="s">
        <v>28007</v>
      </c>
      <c r="F4417" t="s">
        <v>7430</v>
      </c>
      <c r="G4417" t="s">
        <v>22174</v>
      </c>
      <c r="H4417" t="s">
        <v>26011</v>
      </c>
      <c r="I4417" s="26">
        <v>35758</v>
      </c>
      <c r="J4417">
        <v>1997</v>
      </c>
      <c r="K4417" t="s">
        <v>7430</v>
      </c>
      <c r="L4417">
        <v>241</v>
      </c>
      <c r="M4417" t="s">
        <v>41565</v>
      </c>
      <c r="N4417">
        <v>1</v>
      </c>
      <c r="Q4417" t="s">
        <v>41566</v>
      </c>
      <c r="R4417">
        <v>303.69</v>
      </c>
      <c r="S4417" t="s">
        <v>41567</v>
      </c>
      <c r="T4417" t="s">
        <v>30</v>
      </c>
      <c r="U4417" t="s">
        <v>27817</v>
      </c>
      <c r="W4417" t="s">
        <v>26009</v>
      </c>
    </row>
    <row r="4418" spans="1:23" x14ac:dyDescent="0.35">
      <c r="A4418">
        <v>1024051</v>
      </c>
      <c r="B4418" t="s">
        <v>41568</v>
      </c>
      <c r="C4418" t="str">
        <f>"9780803989092"</f>
        <v>9780803989092</v>
      </c>
      <c r="D4418" t="str">
        <f>"9781446265185"</f>
        <v>9781446265185</v>
      </c>
      <c r="E4418" t="s">
        <v>28007</v>
      </c>
      <c r="F4418" t="s">
        <v>7430</v>
      </c>
      <c r="G4418" t="s">
        <v>22174</v>
      </c>
      <c r="H4418" t="s">
        <v>26011</v>
      </c>
      <c r="I4418" s="26">
        <v>34746</v>
      </c>
      <c r="J4418">
        <v>1995</v>
      </c>
      <c r="K4418" t="s">
        <v>7430</v>
      </c>
      <c r="L4418">
        <v>243</v>
      </c>
      <c r="M4418" t="s">
        <v>26752</v>
      </c>
      <c r="N4418">
        <v>1</v>
      </c>
      <c r="Q4418" t="s">
        <v>41569</v>
      </c>
      <c r="R4418" t="s">
        <v>41570</v>
      </c>
      <c r="S4418" t="s">
        <v>41571</v>
      </c>
      <c r="T4418" t="s">
        <v>30</v>
      </c>
      <c r="U4418" t="s">
        <v>26391</v>
      </c>
      <c r="W4418" t="s">
        <v>26009</v>
      </c>
    </row>
    <row r="4419" spans="1:23" x14ac:dyDescent="0.35">
      <c r="A4419">
        <v>1024052</v>
      </c>
      <c r="B4419" t="s">
        <v>9371</v>
      </c>
      <c r="C4419" t="str">
        <f>"9780803974630"</f>
        <v>9780803974630</v>
      </c>
      <c r="D4419" t="str">
        <f>"9781446265413"</f>
        <v>9781446265413</v>
      </c>
      <c r="E4419" t="s">
        <v>28007</v>
      </c>
      <c r="F4419" t="s">
        <v>7430</v>
      </c>
      <c r="G4419" t="s">
        <v>22174</v>
      </c>
      <c r="H4419" t="s">
        <v>26011</v>
      </c>
      <c r="I4419" s="26">
        <v>35471</v>
      </c>
      <c r="J4419">
        <v>1997</v>
      </c>
      <c r="K4419" t="s">
        <v>7430</v>
      </c>
      <c r="L4419">
        <v>142</v>
      </c>
      <c r="M4419" t="s">
        <v>33636</v>
      </c>
      <c r="N4419">
        <v>1</v>
      </c>
      <c r="O4419" t="s">
        <v>28068</v>
      </c>
      <c r="P4419">
        <v>4</v>
      </c>
      <c r="Q4419" t="s">
        <v>41572</v>
      </c>
      <c r="R4419" t="s">
        <v>41525</v>
      </c>
      <c r="S4419" t="s">
        <v>7809</v>
      </c>
      <c r="T4419" t="s">
        <v>30</v>
      </c>
      <c r="U4419" t="s">
        <v>26170</v>
      </c>
      <c r="W4419" t="s">
        <v>26009</v>
      </c>
    </row>
    <row r="4420" spans="1:23" x14ac:dyDescent="0.35">
      <c r="A4420">
        <v>1024056</v>
      </c>
      <c r="B4420" t="s">
        <v>41573</v>
      </c>
      <c r="C4420" t="str">
        <f>"9781412902649"</f>
        <v>9781412902649</v>
      </c>
      <c r="D4420" t="str">
        <f>"9781446266168"</f>
        <v>9781446266168</v>
      </c>
      <c r="E4420" t="s">
        <v>28007</v>
      </c>
      <c r="F4420" t="s">
        <v>7430</v>
      </c>
      <c r="G4420" t="s">
        <v>22174</v>
      </c>
      <c r="H4420" t="s">
        <v>26011</v>
      </c>
      <c r="I4420" s="26">
        <v>43980</v>
      </c>
      <c r="J4420">
        <v>2003</v>
      </c>
      <c r="K4420" t="s">
        <v>7430</v>
      </c>
      <c r="L4420">
        <v>207</v>
      </c>
      <c r="M4420" t="s">
        <v>41574</v>
      </c>
      <c r="N4420">
        <v>1</v>
      </c>
      <c r="O4420" t="s">
        <v>41354</v>
      </c>
      <c r="Q4420" t="s">
        <v>41575</v>
      </c>
      <c r="R4420" t="s">
        <v>41576</v>
      </c>
      <c r="S4420" t="s">
        <v>41577</v>
      </c>
      <c r="T4420" t="s">
        <v>30</v>
      </c>
      <c r="U4420" t="s">
        <v>26044</v>
      </c>
      <c r="W4420" t="s">
        <v>26009</v>
      </c>
    </row>
    <row r="4421" spans="1:23" x14ac:dyDescent="0.35">
      <c r="A4421">
        <v>1024073</v>
      </c>
      <c r="B4421" t="s">
        <v>9132</v>
      </c>
      <c r="C4421" t="str">
        <f>"9780803975750"</f>
        <v>9780803975750</v>
      </c>
      <c r="D4421" t="str">
        <f>"9781446265284"</f>
        <v>9781446265284</v>
      </c>
      <c r="E4421" t="s">
        <v>28007</v>
      </c>
      <c r="F4421" t="s">
        <v>7430</v>
      </c>
      <c r="G4421" t="s">
        <v>22174</v>
      </c>
      <c r="H4421" t="s">
        <v>26011</v>
      </c>
      <c r="I4421" s="26">
        <v>36417</v>
      </c>
      <c r="J4421">
        <v>1999</v>
      </c>
      <c r="K4421" t="s">
        <v>7430</v>
      </c>
      <c r="L4421">
        <v>160</v>
      </c>
      <c r="M4421" t="s">
        <v>41578</v>
      </c>
      <c r="N4421">
        <v>1</v>
      </c>
      <c r="O4421" t="s">
        <v>28011</v>
      </c>
      <c r="Q4421" t="s">
        <v>41579</v>
      </c>
      <c r="R4421">
        <v>615.85120919999997</v>
      </c>
      <c r="S4421" t="s">
        <v>8080</v>
      </c>
      <c r="T4421" t="s">
        <v>30</v>
      </c>
      <c r="U4421" t="s">
        <v>26116</v>
      </c>
      <c r="W4421" t="s">
        <v>26009</v>
      </c>
    </row>
    <row r="4422" spans="1:23" x14ac:dyDescent="0.35">
      <c r="A4422">
        <v>1024076</v>
      </c>
      <c r="B4422" t="s">
        <v>8002</v>
      </c>
      <c r="C4422" t="str">
        <f>"9780761956181"</f>
        <v>9780761956181</v>
      </c>
      <c r="D4422" t="str">
        <f>"9781446264645"</f>
        <v>9781446264645</v>
      </c>
      <c r="E4422" t="s">
        <v>28007</v>
      </c>
      <c r="F4422" t="s">
        <v>7430</v>
      </c>
      <c r="G4422" t="s">
        <v>22174</v>
      </c>
      <c r="H4422" t="s">
        <v>26011</v>
      </c>
      <c r="I4422" s="26">
        <v>36141</v>
      </c>
      <c r="J4422">
        <v>1998</v>
      </c>
      <c r="K4422" t="s">
        <v>7430</v>
      </c>
      <c r="L4422">
        <v>175</v>
      </c>
      <c r="M4422" t="s">
        <v>41580</v>
      </c>
      <c r="N4422">
        <v>1</v>
      </c>
      <c r="Q4422" t="s">
        <v>41581</v>
      </c>
      <c r="R4422">
        <v>362.71</v>
      </c>
      <c r="S4422" t="s">
        <v>8003</v>
      </c>
      <c r="T4422" t="s">
        <v>30</v>
      </c>
      <c r="U4422" t="s">
        <v>26228</v>
      </c>
      <c r="W4422" t="s">
        <v>26009</v>
      </c>
    </row>
    <row r="4423" spans="1:23" x14ac:dyDescent="0.35">
      <c r="A4423">
        <v>1024080</v>
      </c>
      <c r="B4423" t="s">
        <v>9467</v>
      </c>
      <c r="C4423" t="str">
        <f>"9780761958802"</f>
        <v>9780761958802</v>
      </c>
      <c r="D4423" t="str">
        <f>"9781446265888"</f>
        <v>9781446265888</v>
      </c>
      <c r="E4423" t="s">
        <v>28007</v>
      </c>
      <c r="F4423" t="s">
        <v>7430</v>
      </c>
      <c r="G4423" t="s">
        <v>22174</v>
      </c>
      <c r="H4423" t="s">
        <v>26011</v>
      </c>
      <c r="I4423" s="26">
        <v>36347</v>
      </c>
      <c r="J4423">
        <v>1999</v>
      </c>
      <c r="K4423" t="s">
        <v>7430</v>
      </c>
      <c r="L4423">
        <v>265</v>
      </c>
      <c r="M4423" t="s">
        <v>41582</v>
      </c>
      <c r="N4423">
        <v>1</v>
      </c>
      <c r="O4423" t="s">
        <v>34088</v>
      </c>
      <c r="Q4423">
        <v>99071216</v>
      </c>
      <c r="R4423">
        <v>616.89</v>
      </c>
      <c r="S4423" t="s">
        <v>9468</v>
      </c>
      <c r="T4423" t="s">
        <v>30</v>
      </c>
      <c r="U4423" t="s">
        <v>26040</v>
      </c>
      <c r="W4423" t="s">
        <v>26009</v>
      </c>
    </row>
    <row r="4424" spans="1:23" x14ac:dyDescent="0.35">
      <c r="A4424">
        <v>1024083</v>
      </c>
      <c r="B4424" t="s">
        <v>8414</v>
      </c>
      <c r="C4424" t="str">
        <f>"9780761963110"</f>
        <v>9780761963110</v>
      </c>
      <c r="D4424" t="str">
        <f>"9781446264096"</f>
        <v>9781446264096</v>
      </c>
      <c r="E4424" t="s">
        <v>28007</v>
      </c>
      <c r="F4424" t="s">
        <v>7430</v>
      </c>
      <c r="G4424" t="s">
        <v>22174</v>
      </c>
      <c r="H4424" t="s">
        <v>26011</v>
      </c>
      <c r="I4424" s="26">
        <v>36416</v>
      </c>
      <c r="J4424">
        <v>1999</v>
      </c>
      <c r="K4424" t="s">
        <v>7430</v>
      </c>
      <c r="L4424">
        <v>127</v>
      </c>
      <c r="M4424" t="s">
        <v>41583</v>
      </c>
      <c r="N4424">
        <v>2</v>
      </c>
      <c r="O4424" t="s">
        <v>28009</v>
      </c>
      <c r="Q4424">
        <v>99071383</v>
      </c>
      <c r="R4424" t="s">
        <v>26491</v>
      </c>
      <c r="S4424" t="s">
        <v>8415</v>
      </c>
      <c r="T4424" t="s">
        <v>30</v>
      </c>
      <c r="U4424" t="s">
        <v>26044</v>
      </c>
      <c r="W4424" t="s">
        <v>26009</v>
      </c>
    </row>
    <row r="4425" spans="1:23" x14ac:dyDescent="0.35">
      <c r="A4425">
        <v>1024084</v>
      </c>
      <c r="B4425" t="s">
        <v>7761</v>
      </c>
      <c r="C4425" t="str">
        <f>"9780761962373"</f>
        <v>9780761962373</v>
      </c>
      <c r="D4425" t="str">
        <f>"9781446264607"</f>
        <v>9781446264607</v>
      </c>
      <c r="E4425" t="s">
        <v>28007</v>
      </c>
      <c r="F4425" t="s">
        <v>7430</v>
      </c>
      <c r="G4425" t="s">
        <v>22174</v>
      </c>
      <c r="H4425" t="s">
        <v>26011</v>
      </c>
      <c r="I4425" s="26">
        <v>37148</v>
      </c>
      <c r="J4425">
        <v>2001</v>
      </c>
      <c r="K4425" t="s">
        <v>7430</v>
      </c>
      <c r="L4425">
        <v>143</v>
      </c>
      <c r="M4425" t="s">
        <v>37373</v>
      </c>
      <c r="N4425">
        <v>1</v>
      </c>
      <c r="O4425" t="s">
        <v>28011</v>
      </c>
      <c r="Q4425" t="s">
        <v>41584</v>
      </c>
      <c r="R4425" t="s">
        <v>26746</v>
      </c>
      <c r="S4425" t="s">
        <v>7648</v>
      </c>
      <c r="T4425" t="s">
        <v>30</v>
      </c>
      <c r="U4425" t="s">
        <v>46</v>
      </c>
      <c r="W4425" t="s">
        <v>26009</v>
      </c>
    </row>
    <row r="4426" spans="1:23" x14ac:dyDescent="0.35">
      <c r="A4426">
        <v>1024091</v>
      </c>
      <c r="B4426" t="s">
        <v>41585</v>
      </c>
      <c r="C4426" t="str">
        <f>"9780761952602"</f>
        <v>9780761952602</v>
      </c>
      <c r="D4426" t="str">
        <f>"9781446264386"</f>
        <v>9781446264386</v>
      </c>
      <c r="E4426" t="s">
        <v>28007</v>
      </c>
      <c r="F4426" t="s">
        <v>7430</v>
      </c>
      <c r="G4426" t="s">
        <v>22174</v>
      </c>
      <c r="H4426" t="s">
        <v>26011</v>
      </c>
      <c r="I4426" s="26">
        <v>36452</v>
      </c>
      <c r="J4426">
        <v>1999</v>
      </c>
      <c r="K4426" t="s">
        <v>7430</v>
      </c>
      <c r="L4426">
        <v>334</v>
      </c>
      <c r="M4426" t="s">
        <v>41586</v>
      </c>
      <c r="N4426">
        <v>1</v>
      </c>
      <c r="Q4426" t="s">
        <v>41587</v>
      </c>
      <c r="R4426" t="s">
        <v>30531</v>
      </c>
      <c r="S4426" t="s">
        <v>41588</v>
      </c>
      <c r="T4426" t="s">
        <v>30</v>
      </c>
      <c r="U4426" t="s">
        <v>27817</v>
      </c>
      <c r="W4426" t="s">
        <v>26009</v>
      </c>
    </row>
    <row r="4427" spans="1:23" x14ac:dyDescent="0.35">
      <c r="A4427">
        <v>1024104</v>
      </c>
      <c r="B4427" t="s">
        <v>41589</v>
      </c>
      <c r="C4427" t="str">
        <f>"9780761952534"</f>
        <v>9780761952534</v>
      </c>
      <c r="D4427" t="str">
        <f>"9781848608894"</f>
        <v>9781848608894</v>
      </c>
      <c r="E4427" t="s">
        <v>28007</v>
      </c>
      <c r="F4427" t="s">
        <v>7430</v>
      </c>
      <c r="G4427" t="s">
        <v>22174</v>
      </c>
      <c r="H4427" t="s">
        <v>26011</v>
      </c>
      <c r="I4427" s="26">
        <v>36567</v>
      </c>
      <c r="J4427">
        <v>2000</v>
      </c>
      <c r="K4427" t="s">
        <v>7430</v>
      </c>
      <c r="L4427">
        <v>289</v>
      </c>
      <c r="M4427" t="s">
        <v>41590</v>
      </c>
      <c r="N4427">
        <v>1</v>
      </c>
      <c r="O4427" t="s">
        <v>30979</v>
      </c>
      <c r="Q4427" t="s">
        <v>41591</v>
      </c>
      <c r="R4427">
        <v>306.46100000000001</v>
      </c>
      <c r="S4427" t="s">
        <v>8072</v>
      </c>
      <c r="T4427" t="s">
        <v>30</v>
      </c>
      <c r="U4427" t="s">
        <v>33584</v>
      </c>
      <c r="W4427" t="s">
        <v>26009</v>
      </c>
    </row>
    <row r="4428" spans="1:23" x14ac:dyDescent="0.35">
      <c r="A4428">
        <v>1024106</v>
      </c>
      <c r="B4428" t="s">
        <v>41592</v>
      </c>
      <c r="C4428" t="str">
        <f>"9780761956778"</f>
        <v>9780761956778</v>
      </c>
      <c r="D4428" t="str">
        <f>"9781446264072"</f>
        <v>9781446264072</v>
      </c>
      <c r="E4428" t="s">
        <v>28007</v>
      </c>
      <c r="F4428" t="s">
        <v>7430</v>
      </c>
      <c r="G4428" t="s">
        <v>22174</v>
      </c>
      <c r="H4428" t="s">
        <v>26011</v>
      </c>
      <c r="I4428" s="26">
        <v>36164</v>
      </c>
      <c r="J4428">
        <v>1999</v>
      </c>
      <c r="K4428" t="s">
        <v>7430</v>
      </c>
      <c r="L4428">
        <v>430</v>
      </c>
      <c r="M4428" t="s">
        <v>41593</v>
      </c>
      <c r="N4428">
        <v>1</v>
      </c>
      <c r="O4428" t="s">
        <v>34088</v>
      </c>
      <c r="Q4428">
        <v>98061269</v>
      </c>
      <c r="R4428" t="s">
        <v>27122</v>
      </c>
      <c r="S4428" t="s">
        <v>7763</v>
      </c>
      <c r="T4428" t="s">
        <v>30</v>
      </c>
      <c r="U4428" t="s">
        <v>26040</v>
      </c>
      <c r="W4428" t="s">
        <v>26009</v>
      </c>
    </row>
    <row r="4429" spans="1:23" x14ac:dyDescent="0.35">
      <c r="A4429">
        <v>1024111</v>
      </c>
      <c r="B4429" t="s">
        <v>8758</v>
      </c>
      <c r="C4429" t="str">
        <f>"9780761950615"</f>
        <v>9780761950615</v>
      </c>
      <c r="D4429" t="str">
        <f>"9781446264294"</f>
        <v>9781446264294</v>
      </c>
      <c r="E4429" t="s">
        <v>28007</v>
      </c>
      <c r="F4429" t="s">
        <v>7430</v>
      </c>
      <c r="G4429" t="s">
        <v>22174</v>
      </c>
      <c r="H4429" t="s">
        <v>26011</v>
      </c>
      <c r="I4429" s="26">
        <v>36083</v>
      </c>
      <c r="J4429">
        <v>1998</v>
      </c>
      <c r="K4429" t="s">
        <v>7430</v>
      </c>
      <c r="L4429">
        <v>235</v>
      </c>
      <c r="M4429" t="s">
        <v>41594</v>
      </c>
      <c r="N4429">
        <v>1</v>
      </c>
      <c r="Q4429" t="s">
        <v>41595</v>
      </c>
      <c r="R4429">
        <v>302.5</v>
      </c>
      <c r="S4429" t="s">
        <v>8759</v>
      </c>
      <c r="T4429" t="s">
        <v>30</v>
      </c>
      <c r="U4429" t="s">
        <v>26228</v>
      </c>
      <c r="W4429" t="s">
        <v>26009</v>
      </c>
    </row>
    <row r="4430" spans="1:23" x14ac:dyDescent="0.35">
      <c r="A4430">
        <v>1024136</v>
      </c>
      <c r="B4430" t="s">
        <v>8102</v>
      </c>
      <c r="C4430" t="str">
        <f>"9780761957133"</f>
        <v>9780761957133</v>
      </c>
      <c r="D4430" t="str">
        <f>"9781446264751"</f>
        <v>9781446264751</v>
      </c>
      <c r="E4430" t="s">
        <v>28007</v>
      </c>
      <c r="F4430" t="s">
        <v>7430</v>
      </c>
      <c r="G4430" t="s">
        <v>22174</v>
      </c>
      <c r="H4430" t="s">
        <v>26011</v>
      </c>
      <c r="I4430" s="26">
        <v>36297</v>
      </c>
      <c r="J4430">
        <v>1999</v>
      </c>
      <c r="K4430" t="s">
        <v>7430</v>
      </c>
      <c r="L4430">
        <v>206</v>
      </c>
      <c r="M4430" t="s">
        <v>41561</v>
      </c>
      <c r="N4430">
        <v>1</v>
      </c>
      <c r="O4430" t="s">
        <v>41596</v>
      </c>
      <c r="Q4430">
        <v>99070889</v>
      </c>
      <c r="R4430" t="s">
        <v>26462</v>
      </c>
      <c r="S4430" t="s">
        <v>8103</v>
      </c>
      <c r="T4430" t="s">
        <v>30</v>
      </c>
      <c r="U4430" t="s">
        <v>26040</v>
      </c>
      <c r="W4430" t="s">
        <v>26009</v>
      </c>
    </row>
    <row r="4431" spans="1:23" x14ac:dyDescent="0.35">
      <c r="A4431">
        <v>1024137</v>
      </c>
      <c r="B4431" t="s">
        <v>41597</v>
      </c>
      <c r="C4431" t="str">
        <f>"9780761957911"</f>
        <v>9780761957911</v>
      </c>
      <c r="D4431" t="str">
        <f>"9781446264669"</f>
        <v>9781446264669</v>
      </c>
      <c r="E4431" t="s">
        <v>28007</v>
      </c>
      <c r="F4431" t="s">
        <v>7430</v>
      </c>
      <c r="G4431" t="s">
        <v>22174</v>
      </c>
      <c r="H4431" t="s">
        <v>26011</v>
      </c>
      <c r="I4431" s="26">
        <v>36437</v>
      </c>
      <c r="J4431">
        <v>1999</v>
      </c>
      <c r="K4431" t="s">
        <v>7430</v>
      </c>
      <c r="L4431">
        <v>137</v>
      </c>
      <c r="M4431" t="s">
        <v>41598</v>
      </c>
      <c r="N4431">
        <v>1</v>
      </c>
      <c r="Q4431">
        <v>99071384</v>
      </c>
      <c r="R4431">
        <v>616.89156000000003</v>
      </c>
      <c r="S4431" t="s">
        <v>7791</v>
      </c>
      <c r="T4431" t="s">
        <v>30</v>
      </c>
      <c r="U4431" t="s">
        <v>26040</v>
      </c>
      <c r="W4431" t="s">
        <v>26009</v>
      </c>
    </row>
    <row r="4432" spans="1:23" x14ac:dyDescent="0.35">
      <c r="A4432">
        <v>1024465</v>
      </c>
      <c r="B4432" t="s">
        <v>41599</v>
      </c>
      <c r="C4432" t="str">
        <f>"9780415506823"</f>
        <v>9780415506823</v>
      </c>
      <c r="D4432" t="str">
        <f>"9781136457890"</f>
        <v>9781136457890</v>
      </c>
      <c r="E4432" t="s">
        <v>26010</v>
      </c>
      <c r="F4432" t="s">
        <v>35</v>
      </c>
      <c r="G4432" t="s">
        <v>22174</v>
      </c>
      <c r="H4432" t="s">
        <v>26011</v>
      </c>
      <c r="I4432" s="26">
        <v>41151</v>
      </c>
      <c r="J4432">
        <v>2013</v>
      </c>
      <c r="K4432" t="s">
        <v>26012</v>
      </c>
      <c r="L4432">
        <v>369</v>
      </c>
      <c r="M4432" t="s">
        <v>41600</v>
      </c>
      <c r="N4432">
        <v>1</v>
      </c>
      <c r="O4432" t="s">
        <v>27182</v>
      </c>
      <c r="Q4432" t="s">
        <v>41601</v>
      </c>
      <c r="R4432" t="s">
        <v>27184</v>
      </c>
      <c r="S4432" t="s">
        <v>10208</v>
      </c>
      <c r="T4432" t="s">
        <v>30</v>
      </c>
      <c r="U4432" t="s">
        <v>26019</v>
      </c>
      <c r="W4432" t="s">
        <v>26009</v>
      </c>
    </row>
    <row r="4433" spans="1:23" x14ac:dyDescent="0.35">
      <c r="A4433">
        <v>1024521</v>
      </c>
      <c r="B4433" t="s">
        <v>41602</v>
      </c>
      <c r="C4433" t="str">
        <f>"9780415520331"</f>
        <v>9780415520331</v>
      </c>
      <c r="D4433" t="str">
        <f>"9781136332562"</f>
        <v>9781136332562</v>
      </c>
      <c r="E4433" t="s">
        <v>26010</v>
      </c>
      <c r="F4433" t="s">
        <v>35</v>
      </c>
      <c r="G4433" t="s">
        <v>22174</v>
      </c>
      <c r="H4433" t="s">
        <v>26011</v>
      </c>
      <c r="I4433" s="26">
        <v>41108</v>
      </c>
      <c r="J4433">
        <v>2013</v>
      </c>
      <c r="K4433" t="s">
        <v>26012</v>
      </c>
      <c r="L4433">
        <v>297</v>
      </c>
      <c r="M4433" t="s">
        <v>41603</v>
      </c>
      <c r="N4433">
        <v>1</v>
      </c>
      <c r="Q4433" t="s">
        <v>41604</v>
      </c>
      <c r="R4433">
        <v>616.89139999999998</v>
      </c>
      <c r="S4433" t="s">
        <v>7961</v>
      </c>
      <c r="T4433" t="s">
        <v>30</v>
      </c>
      <c r="U4433" t="s">
        <v>26116</v>
      </c>
      <c r="W4433" t="s">
        <v>26009</v>
      </c>
    </row>
    <row r="4434" spans="1:23" x14ac:dyDescent="0.35">
      <c r="A4434">
        <v>1024615</v>
      </c>
      <c r="B4434" t="s">
        <v>41605</v>
      </c>
      <c r="C4434" t="str">
        <f>"9780415500838"</f>
        <v>9780415500838</v>
      </c>
      <c r="D4434" t="str">
        <f>"9781136240102"</f>
        <v>9781136240102</v>
      </c>
      <c r="E4434" t="s">
        <v>26010</v>
      </c>
      <c r="F4434" t="s">
        <v>35</v>
      </c>
      <c r="G4434" t="s">
        <v>22174</v>
      </c>
      <c r="H4434" t="s">
        <v>26011</v>
      </c>
      <c r="I4434" s="26">
        <v>41146</v>
      </c>
      <c r="J4434">
        <v>2013</v>
      </c>
      <c r="K4434" t="s">
        <v>26012</v>
      </c>
      <c r="L4434">
        <v>321</v>
      </c>
      <c r="M4434" t="s">
        <v>41606</v>
      </c>
      <c r="N4434">
        <v>1</v>
      </c>
      <c r="Q4434" t="s">
        <v>41607</v>
      </c>
      <c r="R4434" t="s">
        <v>27122</v>
      </c>
      <c r="S4434" t="s">
        <v>8213</v>
      </c>
      <c r="T4434" t="s">
        <v>30</v>
      </c>
      <c r="U4434" t="s">
        <v>26019</v>
      </c>
      <c r="W4434" t="s">
        <v>26009</v>
      </c>
    </row>
    <row r="4435" spans="1:23" x14ac:dyDescent="0.35">
      <c r="A4435">
        <v>1024662</v>
      </c>
      <c r="B4435" t="s">
        <v>41608</v>
      </c>
      <c r="C4435" t="str">
        <f>"9780415998451"</f>
        <v>9780415998451</v>
      </c>
      <c r="D4435" t="str">
        <f>"9781136220111"</f>
        <v>9781136220111</v>
      </c>
      <c r="E4435" t="s">
        <v>26010</v>
      </c>
      <c r="F4435" t="s">
        <v>35</v>
      </c>
      <c r="G4435" t="s">
        <v>22174</v>
      </c>
      <c r="H4435" t="s">
        <v>26011</v>
      </c>
      <c r="I4435" s="26">
        <v>41145</v>
      </c>
      <c r="J4435">
        <v>2013</v>
      </c>
      <c r="K4435" t="s">
        <v>26012</v>
      </c>
      <c r="L4435">
        <v>413</v>
      </c>
      <c r="M4435" t="s">
        <v>41609</v>
      </c>
      <c r="N4435">
        <v>1</v>
      </c>
      <c r="Q4435" t="s">
        <v>41610</v>
      </c>
      <c r="R4435" t="s">
        <v>31188</v>
      </c>
      <c r="S4435" t="s">
        <v>8055</v>
      </c>
      <c r="T4435" t="s">
        <v>30</v>
      </c>
      <c r="U4435" t="s">
        <v>26019</v>
      </c>
      <c r="W4435" t="s">
        <v>26009</v>
      </c>
    </row>
    <row r="4436" spans="1:23" x14ac:dyDescent="0.35">
      <c r="A4436">
        <v>1024728</v>
      </c>
      <c r="B4436" t="s">
        <v>7450</v>
      </c>
      <c r="C4436" t="str">
        <f>"9781843121404"</f>
        <v>9781843121404</v>
      </c>
      <c r="D4436" t="str">
        <f>"9781135397418"</f>
        <v>9781135397418</v>
      </c>
      <c r="E4436" t="s">
        <v>26010</v>
      </c>
      <c r="F4436" t="s">
        <v>41611</v>
      </c>
      <c r="G4436" t="s">
        <v>22174</v>
      </c>
      <c r="H4436" t="s">
        <v>26011</v>
      </c>
      <c r="I4436" s="26">
        <v>38077</v>
      </c>
      <c r="J4436">
        <v>2004</v>
      </c>
      <c r="K4436" t="s">
        <v>41611</v>
      </c>
      <c r="L4436">
        <v>169</v>
      </c>
      <c r="M4436" t="s">
        <v>41612</v>
      </c>
      <c r="N4436">
        <v>2</v>
      </c>
      <c r="Q4436" t="s">
        <v>41613</v>
      </c>
      <c r="R4436">
        <v>305.23500000000001</v>
      </c>
      <c r="S4436" t="s">
        <v>7448</v>
      </c>
      <c r="T4436" t="s">
        <v>30</v>
      </c>
      <c r="U4436" t="s">
        <v>26170</v>
      </c>
      <c r="W4436" t="s">
        <v>26009</v>
      </c>
    </row>
    <row r="4437" spans="1:23" x14ac:dyDescent="0.35">
      <c r="A4437">
        <v>1024737</v>
      </c>
      <c r="B4437" t="s">
        <v>9036</v>
      </c>
      <c r="C4437" t="str">
        <f>"9780415565080"</f>
        <v>9780415565080</v>
      </c>
      <c r="D4437" t="str">
        <f>"9780203848272"</f>
        <v>9780203848272</v>
      </c>
      <c r="E4437" t="s">
        <v>26010</v>
      </c>
      <c r="F4437" t="s">
        <v>35</v>
      </c>
      <c r="G4437" t="s">
        <v>26201</v>
      </c>
      <c r="H4437" t="s">
        <v>26004</v>
      </c>
      <c r="I4437" s="26">
        <v>40417</v>
      </c>
      <c r="J4437">
        <v>2011</v>
      </c>
      <c r="K4437" t="s">
        <v>26012</v>
      </c>
      <c r="L4437">
        <v>209</v>
      </c>
      <c r="M4437" t="s">
        <v>41614</v>
      </c>
      <c r="N4437">
        <v>1</v>
      </c>
      <c r="Q4437" t="s">
        <v>41615</v>
      </c>
      <c r="R4437" t="s">
        <v>41616</v>
      </c>
      <c r="S4437" t="s">
        <v>9037</v>
      </c>
      <c r="T4437" t="s">
        <v>30</v>
      </c>
      <c r="U4437" t="s">
        <v>30031</v>
      </c>
      <c r="W4437" t="s">
        <v>26009</v>
      </c>
    </row>
    <row r="4438" spans="1:23" x14ac:dyDescent="0.35">
      <c r="A4438">
        <v>1024739</v>
      </c>
      <c r="B4438" t="s">
        <v>41617</v>
      </c>
      <c r="C4438" t="str">
        <f>"9780415878159"</f>
        <v>9780415878159</v>
      </c>
      <c r="D4438" t="str">
        <f>"9781136993206"</f>
        <v>9781136993206</v>
      </c>
      <c r="E4438" t="s">
        <v>26010</v>
      </c>
      <c r="F4438" t="s">
        <v>35</v>
      </c>
      <c r="G4438" t="s">
        <v>22174</v>
      </c>
      <c r="H4438" t="s">
        <v>26011</v>
      </c>
      <c r="I4438" s="26">
        <v>41080</v>
      </c>
      <c r="J4438">
        <v>2012</v>
      </c>
      <c r="K4438" t="s">
        <v>26012</v>
      </c>
      <c r="L4438">
        <v>745</v>
      </c>
      <c r="M4438" t="s">
        <v>41618</v>
      </c>
      <c r="N4438">
        <v>1</v>
      </c>
      <c r="Q4438" t="s">
        <v>41619</v>
      </c>
      <c r="R4438">
        <v>158</v>
      </c>
      <c r="S4438" t="s">
        <v>41620</v>
      </c>
      <c r="T4438" t="s">
        <v>30</v>
      </c>
      <c r="U4438" t="s">
        <v>46</v>
      </c>
      <c r="W4438" t="s">
        <v>26009</v>
      </c>
    </row>
    <row r="4439" spans="1:23" x14ac:dyDescent="0.35">
      <c r="A4439">
        <v>1024757</v>
      </c>
      <c r="B4439" t="s">
        <v>7850</v>
      </c>
      <c r="C4439" t="str">
        <f>"9781848728776"</f>
        <v>9781848728776</v>
      </c>
      <c r="D4439" t="str">
        <f>"9781135246846"</f>
        <v>9781135246846</v>
      </c>
      <c r="E4439" t="s">
        <v>26010</v>
      </c>
      <c r="F4439" t="s">
        <v>35</v>
      </c>
      <c r="G4439" t="s">
        <v>22174</v>
      </c>
      <c r="H4439" t="s">
        <v>26011</v>
      </c>
      <c r="I4439" s="26">
        <v>41093</v>
      </c>
      <c r="J4439">
        <v>2012</v>
      </c>
      <c r="K4439" t="s">
        <v>660</v>
      </c>
      <c r="L4439">
        <v>357</v>
      </c>
      <c r="M4439" t="s">
        <v>41621</v>
      </c>
      <c r="N4439">
        <v>1</v>
      </c>
      <c r="O4439" t="s">
        <v>41622</v>
      </c>
      <c r="Q4439" t="s">
        <v>41623</v>
      </c>
      <c r="R4439" t="s">
        <v>30144</v>
      </c>
      <c r="S4439" t="s">
        <v>41624</v>
      </c>
      <c r="T4439" t="s">
        <v>30</v>
      </c>
      <c r="U4439" t="s">
        <v>26019</v>
      </c>
      <c r="W4439" t="s">
        <v>26009</v>
      </c>
    </row>
    <row r="4440" spans="1:23" x14ac:dyDescent="0.35">
      <c r="A4440">
        <v>1024995</v>
      </c>
      <c r="B4440" t="s">
        <v>41625</v>
      </c>
      <c r="C4440" t="str">
        <f>"9780521195638"</f>
        <v>9780521195638</v>
      </c>
      <c r="D4440" t="str">
        <f>"9781139572231"</f>
        <v>9781139572231</v>
      </c>
      <c r="E4440" t="s">
        <v>167</v>
      </c>
      <c r="F4440" t="s">
        <v>167</v>
      </c>
      <c r="G4440" t="s">
        <v>22218</v>
      </c>
      <c r="H4440" t="s">
        <v>26011</v>
      </c>
      <c r="I4440" s="26">
        <v>41113</v>
      </c>
      <c r="J4440">
        <v>2012</v>
      </c>
      <c r="K4440" t="s">
        <v>167</v>
      </c>
      <c r="L4440">
        <v>206</v>
      </c>
      <c r="M4440" t="s">
        <v>41626</v>
      </c>
      <c r="N4440">
        <v>1</v>
      </c>
      <c r="Q4440" t="s">
        <v>41627</v>
      </c>
      <c r="R4440" t="s">
        <v>27838</v>
      </c>
      <c r="S4440" t="s">
        <v>41628</v>
      </c>
      <c r="T4440" t="s">
        <v>30</v>
      </c>
      <c r="U4440" t="s">
        <v>46</v>
      </c>
      <c r="W4440" t="s">
        <v>26020</v>
      </c>
    </row>
    <row r="4441" spans="1:23" x14ac:dyDescent="0.35">
      <c r="A4441">
        <v>1025033</v>
      </c>
      <c r="B4441" t="s">
        <v>9819</v>
      </c>
      <c r="C4441" t="str">
        <f>"9781107012721"</f>
        <v>9781107012721</v>
      </c>
      <c r="D4441" t="str">
        <f>"9781139572606"</f>
        <v>9781139572606</v>
      </c>
      <c r="E4441" t="s">
        <v>167</v>
      </c>
      <c r="F4441" t="s">
        <v>167</v>
      </c>
      <c r="G4441" t="s">
        <v>22218</v>
      </c>
      <c r="H4441" t="s">
        <v>26011</v>
      </c>
      <c r="I4441" s="26">
        <v>41179</v>
      </c>
      <c r="J4441">
        <v>2012</v>
      </c>
      <c r="K4441" t="s">
        <v>167</v>
      </c>
      <c r="L4441">
        <v>238</v>
      </c>
      <c r="M4441" t="s">
        <v>41629</v>
      </c>
      <c r="N4441">
        <v>1</v>
      </c>
      <c r="Q4441" t="s">
        <v>41630</v>
      </c>
      <c r="R4441" t="s">
        <v>31259</v>
      </c>
      <c r="S4441" t="s">
        <v>7750</v>
      </c>
      <c r="T4441" t="s">
        <v>30</v>
      </c>
      <c r="U4441" t="s">
        <v>26019</v>
      </c>
      <c r="W4441" t="s">
        <v>26020</v>
      </c>
    </row>
    <row r="4442" spans="1:23" x14ac:dyDescent="0.35">
      <c r="A4442">
        <v>1027245</v>
      </c>
      <c r="B4442" t="s">
        <v>41631</v>
      </c>
      <c r="C4442" t="str">
        <f>"9781780490076"</f>
        <v>9781780490076</v>
      </c>
      <c r="D4442" t="str">
        <f>"9781782410256"</f>
        <v>9781782410256</v>
      </c>
      <c r="E4442" t="s">
        <v>26010</v>
      </c>
      <c r="F4442" t="s">
        <v>35</v>
      </c>
      <c r="G4442" t="s">
        <v>22174</v>
      </c>
      <c r="H4442" t="s">
        <v>26011</v>
      </c>
      <c r="I4442" s="26">
        <v>41153</v>
      </c>
      <c r="J4442">
        <v>2012</v>
      </c>
      <c r="K4442" t="s">
        <v>26012</v>
      </c>
      <c r="L4442">
        <v>279</v>
      </c>
      <c r="M4442" t="s">
        <v>41632</v>
      </c>
      <c r="N4442">
        <v>1</v>
      </c>
      <c r="Q4442" t="s">
        <v>41633</v>
      </c>
      <c r="R4442">
        <v>305.56</v>
      </c>
      <c r="S4442" t="s">
        <v>41634</v>
      </c>
      <c r="T4442" t="s">
        <v>30</v>
      </c>
      <c r="U4442" t="s">
        <v>30336</v>
      </c>
      <c r="W4442" t="s">
        <v>26009</v>
      </c>
    </row>
    <row r="4443" spans="1:23" x14ac:dyDescent="0.35">
      <c r="A4443">
        <v>1027246</v>
      </c>
      <c r="B4443" t="s">
        <v>8724</v>
      </c>
      <c r="C4443" t="str">
        <f>"9781780490670"</f>
        <v>9781780490670</v>
      </c>
      <c r="D4443" t="str">
        <f>"9781782410270"</f>
        <v>9781782410270</v>
      </c>
      <c r="E4443" t="s">
        <v>26010</v>
      </c>
      <c r="F4443" t="s">
        <v>35</v>
      </c>
      <c r="G4443" t="s">
        <v>22174</v>
      </c>
      <c r="H4443" t="s">
        <v>26011</v>
      </c>
      <c r="I4443" s="26">
        <v>41182</v>
      </c>
      <c r="J4443">
        <v>2012</v>
      </c>
      <c r="K4443" t="s">
        <v>26012</v>
      </c>
      <c r="L4443">
        <v>199</v>
      </c>
      <c r="M4443" t="s">
        <v>26206</v>
      </c>
      <c r="N4443">
        <v>1</v>
      </c>
      <c r="O4443" t="s">
        <v>36510</v>
      </c>
      <c r="Q4443" t="s">
        <v>41635</v>
      </c>
      <c r="R4443">
        <v>150.19499999999999</v>
      </c>
      <c r="S4443" t="s">
        <v>41636</v>
      </c>
      <c r="T4443" t="s">
        <v>30</v>
      </c>
      <c r="U4443" t="s">
        <v>27576</v>
      </c>
      <c r="W4443" t="s">
        <v>26009</v>
      </c>
    </row>
    <row r="4444" spans="1:23" x14ac:dyDescent="0.35">
      <c r="A4444">
        <v>1027247</v>
      </c>
      <c r="B4444" t="s">
        <v>8864</v>
      </c>
      <c r="C4444" t="str">
        <f>"9781780491295"</f>
        <v>9781780491295</v>
      </c>
      <c r="D4444" t="str">
        <f>"9781782410287"</f>
        <v>9781782410287</v>
      </c>
      <c r="E4444" t="s">
        <v>26010</v>
      </c>
      <c r="F4444" t="s">
        <v>35</v>
      </c>
      <c r="G4444" t="s">
        <v>22174</v>
      </c>
      <c r="H4444" t="s">
        <v>26011</v>
      </c>
      <c r="I4444" s="26">
        <v>41153</v>
      </c>
      <c r="J4444">
        <v>2012</v>
      </c>
      <c r="K4444" t="s">
        <v>26012</v>
      </c>
      <c r="L4444">
        <v>289</v>
      </c>
      <c r="M4444" t="s">
        <v>41637</v>
      </c>
      <c r="N4444">
        <v>1</v>
      </c>
      <c r="Q4444" t="s">
        <v>41638</v>
      </c>
      <c r="R4444">
        <v>616.89139999999998</v>
      </c>
      <c r="S4444" t="s">
        <v>37122</v>
      </c>
      <c r="T4444" t="s">
        <v>30</v>
      </c>
      <c r="U4444" t="s">
        <v>26019</v>
      </c>
      <c r="W4444" t="s">
        <v>26009</v>
      </c>
    </row>
    <row r="4445" spans="1:23" x14ac:dyDescent="0.35">
      <c r="A4445">
        <v>1027248</v>
      </c>
      <c r="B4445" t="s">
        <v>41639</v>
      </c>
      <c r="C4445" t="str">
        <f>"9781780490403"</f>
        <v>9781780490403</v>
      </c>
      <c r="D4445" t="str">
        <f>"9781782410300"</f>
        <v>9781782410300</v>
      </c>
      <c r="E4445" t="s">
        <v>26010</v>
      </c>
      <c r="F4445" t="s">
        <v>35</v>
      </c>
      <c r="G4445" t="s">
        <v>22174</v>
      </c>
      <c r="H4445" t="s">
        <v>26011</v>
      </c>
      <c r="I4445" s="26">
        <v>41153</v>
      </c>
      <c r="J4445">
        <v>2012</v>
      </c>
      <c r="K4445" t="s">
        <v>26012</v>
      </c>
      <c r="L4445">
        <v>225</v>
      </c>
      <c r="M4445" t="s">
        <v>39518</v>
      </c>
      <c r="N4445">
        <v>1</v>
      </c>
      <c r="O4445" t="s">
        <v>37129</v>
      </c>
      <c r="Q4445" t="s">
        <v>41640</v>
      </c>
      <c r="R4445">
        <v>150.19499999999999</v>
      </c>
      <c r="S4445" t="s">
        <v>41641</v>
      </c>
      <c r="T4445" t="s">
        <v>30</v>
      </c>
      <c r="U4445" t="s">
        <v>46</v>
      </c>
      <c r="W4445" t="s">
        <v>26009</v>
      </c>
    </row>
    <row r="4446" spans="1:23" x14ac:dyDescent="0.35">
      <c r="A4446">
        <v>1027250</v>
      </c>
      <c r="B4446" t="s">
        <v>41642</v>
      </c>
      <c r="C4446" t="str">
        <f>"9781780490663"</f>
        <v>9781780490663</v>
      </c>
      <c r="D4446" t="str">
        <f>"9781782410263"</f>
        <v>9781782410263</v>
      </c>
      <c r="E4446" t="s">
        <v>26010</v>
      </c>
      <c r="F4446" t="s">
        <v>35</v>
      </c>
      <c r="G4446" t="s">
        <v>22174</v>
      </c>
      <c r="H4446" t="s">
        <v>26011</v>
      </c>
      <c r="I4446" s="26">
        <v>41153</v>
      </c>
      <c r="J4446">
        <v>2012</v>
      </c>
      <c r="K4446" t="s">
        <v>26012</v>
      </c>
      <c r="L4446">
        <v>353</v>
      </c>
      <c r="M4446" t="s">
        <v>37543</v>
      </c>
      <c r="N4446">
        <v>1</v>
      </c>
      <c r="O4446" t="s">
        <v>36500</v>
      </c>
      <c r="Q4446" t="s">
        <v>41643</v>
      </c>
      <c r="R4446">
        <v>155.446</v>
      </c>
      <c r="S4446" t="s">
        <v>41644</v>
      </c>
      <c r="T4446" t="s">
        <v>30</v>
      </c>
      <c r="U4446" t="s">
        <v>26116</v>
      </c>
      <c r="W4446" t="s">
        <v>26009</v>
      </c>
    </row>
    <row r="4447" spans="1:23" x14ac:dyDescent="0.35">
      <c r="A4447">
        <v>1027252</v>
      </c>
      <c r="B4447" t="s">
        <v>41645</v>
      </c>
      <c r="C4447" t="str">
        <f>"9781780491455"</f>
        <v>9781780491455</v>
      </c>
      <c r="D4447" t="str">
        <f>"9781782410317"</f>
        <v>9781782410317</v>
      </c>
      <c r="E4447" t="s">
        <v>26010</v>
      </c>
      <c r="F4447" t="s">
        <v>35</v>
      </c>
      <c r="G4447" t="s">
        <v>22174</v>
      </c>
      <c r="H4447" t="s">
        <v>26011</v>
      </c>
      <c r="I4447" s="26">
        <v>41213</v>
      </c>
      <c r="J4447">
        <v>2012</v>
      </c>
      <c r="K4447" t="s">
        <v>26012</v>
      </c>
      <c r="L4447">
        <v>200</v>
      </c>
      <c r="M4447" t="s">
        <v>35717</v>
      </c>
      <c r="N4447">
        <v>1</v>
      </c>
      <c r="Q4447" t="s">
        <v>41646</v>
      </c>
      <c r="R4447">
        <v>153.68</v>
      </c>
      <c r="S4447" t="s">
        <v>41647</v>
      </c>
      <c r="T4447" t="s">
        <v>30</v>
      </c>
      <c r="U4447" t="s">
        <v>46</v>
      </c>
      <c r="W4447" t="s">
        <v>26009</v>
      </c>
    </row>
    <row r="4448" spans="1:23" x14ac:dyDescent="0.35">
      <c r="A4448">
        <v>1029111</v>
      </c>
      <c r="B4448" t="s">
        <v>41648</v>
      </c>
      <c r="C4448" t="str">
        <f>"9780826108517"</f>
        <v>9780826108517</v>
      </c>
      <c r="D4448" t="str">
        <f>"9780826108524"</f>
        <v>9780826108524</v>
      </c>
      <c r="E4448" t="s">
        <v>1504</v>
      </c>
      <c r="F4448" t="s">
        <v>33</v>
      </c>
      <c r="G4448" t="s">
        <v>22179</v>
      </c>
      <c r="H4448" t="s">
        <v>26004</v>
      </c>
      <c r="I4448" s="26">
        <v>41205</v>
      </c>
      <c r="J4448">
        <v>2013</v>
      </c>
      <c r="K4448" t="s">
        <v>33</v>
      </c>
      <c r="L4448">
        <v>413</v>
      </c>
      <c r="M4448" t="s">
        <v>41649</v>
      </c>
      <c r="N4448">
        <v>1</v>
      </c>
      <c r="Q4448" t="s">
        <v>41650</v>
      </c>
      <c r="S4448" t="s">
        <v>41651</v>
      </c>
      <c r="T4448" t="s">
        <v>30</v>
      </c>
      <c r="U4448" t="s">
        <v>46</v>
      </c>
      <c r="W4448" t="s">
        <v>26009</v>
      </c>
    </row>
    <row r="4449" spans="1:23" x14ac:dyDescent="0.35">
      <c r="A4449">
        <v>1029114</v>
      </c>
      <c r="B4449" t="s">
        <v>9378</v>
      </c>
      <c r="C4449" t="str">
        <f>"9780826107848"</f>
        <v>9780826107848</v>
      </c>
      <c r="D4449" t="str">
        <f>"9780826107855"</f>
        <v>9780826107855</v>
      </c>
      <c r="E4449" t="s">
        <v>1504</v>
      </c>
      <c r="F4449" t="s">
        <v>33</v>
      </c>
      <c r="G4449" t="s">
        <v>22179</v>
      </c>
      <c r="H4449" t="s">
        <v>26004</v>
      </c>
      <c r="I4449" s="26">
        <v>41122</v>
      </c>
      <c r="J4449">
        <v>2013</v>
      </c>
      <c r="K4449" t="s">
        <v>33</v>
      </c>
      <c r="L4449">
        <v>338</v>
      </c>
      <c r="M4449" t="s">
        <v>41652</v>
      </c>
      <c r="N4449">
        <v>1</v>
      </c>
      <c r="Q4449" t="s">
        <v>41653</v>
      </c>
      <c r="S4449" t="s">
        <v>8888</v>
      </c>
      <c r="T4449" t="s">
        <v>30</v>
      </c>
      <c r="U4449" t="s">
        <v>46</v>
      </c>
      <c r="W4449" t="s">
        <v>26009</v>
      </c>
    </row>
    <row r="4450" spans="1:23" x14ac:dyDescent="0.35">
      <c r="A4450">
        <v>1032024</v>
      </c>
      <c r="B4450" t="s">
        <v>37</v>
      </c>
      <c r="C4450" t="str">
        <f>"9780765707994"</f>
        <v>9780765707994</v>
      </c>
      <c r="D4450" t="str">
        <f>"9781461627166"</f>
        <v>9781461627166</v>
      </c>
      <c r="E4450" t="s">
        <v>33803</v>
      </c>
      <c r="F4450" t="s">
        <v>38</v>
      </c>
      <c r="G4450" t="s">
        <v>34138</v>
      </c>
      <c r="H4450" t="s">
        <v>26004</v>
      </c>
      <c r="I4450" s="26">
        <v>37621</v>
      </c>
      <c r="J4450">
        <v>2010</v>
      </c>
      <c r="K4450" t="s">
        <v>33811</v>
      </c>
      <c r="L4450">
        <v>368</v>
      </c>
      <c r="M4450" t="s">
        <v>41503</v>
      </c>
      <c r="N4450">
        <v>1</v>
      </c>
      <c r="Q4450" t="s">
        <v>27061</v>
      </c>
      <c r="R4450" t="s">
        <v>29454</v>
      </c>
      <c r="S4450" t="s">
        <v>39</v>
      </c>
      <c r="T4450" t="s">
        <v>30</v>
      </c>
      <c r="U4450" t="s">
        <v>26019</v>
      </c>
      <c r="W4450" t="s">
        <v>26009</v>
      </c>
    </row>
    <row r="4451" spans="1:23" x14ac:dyDescent="0.35">
      <c r="A4451">
        <v>1032029</v>
      </c>
      <c r="B4451" t="s">
        <v>9429</v>
      </c>
      <c r="C4451" t="str">
        <f>"9780765708021"</f>
        <v>9780765708021</v>
      </c>
      <c r="D4451" t="str">
        <f>"9781461630005"</f>
        <v>9781461630005</v>
      </c>
      <c r="E4451" t="s">
        <v>33803</v>
      </c>
      <c r="F4451" t="s">
        <v>38</v>
      </c>
      <c r="G4451" t="s">
        <v>34138</v>
      </c>
      <c r="H4451" t="s">
        <v>26004</v>
      </c>
      <c r="I4451" s="26">
        <v>38450</v>
      </c>
      <c r="J4451">
        <v>2010</v>
      </c>
      <c r="K4451" t="s">
        <v>33811</v>
      </c>
      <c r="L4451">
        <v>248</v>
      </c>
      <c r="M4451" t="s">
        <v>41654</v>
      </c>
      <c r="N4451">
        <v>2</v>
      </c>
      <c r="Q4451" t="s">
        <v>41655</v>
      </c>
      <c r="R4451" t="s">
        <v>41656</v>
      </c>
      <c r="S4451" t="s">
        <v>41657</v>
      </c>
      <c r="T4451" t="s">
        <v>30</v>
      </c>
      <c r="U4451" t="s">
        <v>26019</v>
      </c>
      <c r="W4451" t="s">
        <v>26009</v>
      </c>
    </row>
    <row r="4452" spans="1:23" x14ac:dyDescent="0.35">
      <c r="A4452">
        <v>1034765</v>
      </c>
      <c r="B4452" t="s">
        <v>7570</v>
      </c>
      <c r="C4452" t="str">
        <f>"9781462507160"</f>
        <v>9781462507160</v>
      </c>
      <c r="D4452" t="str">
        <f>"9781462507214"</f>
        <v>9781462507214</v>
      </c>
      <c r="E4452" t="s">
        <v>30112</v>
      </c>
      <c r="F4452" t="s">
        <v>7420</v>
      </c>
      <c r="G4452" t="s">
        <v>22179</v>
      </c>
      <c r="H4452" t="s">
        <v>26004</v>
      </c>
      <c r="I4452" s="26">
        <v>41193</v>
      </c>
      <c r="J4452">
        <v>2013</v>
      </c>
      <c r="K4452" t="s">
        <v>30113</v>
      </c>
      <c r="L4452">
        <v>402</v>
      </c>
      <c r="M4452" t="s">
        <v>41658</v>
      </c>
      <c r="N4452">
        <v>1</v>
      </c>
      <c r="Q4452" t="s">
        <v>41659</v>
      </c>
      <c r="R4452">
        <v>615.85155999999995</v>
      </c>
      <c r="S4452" t="s">
        <v>41660</v>
      </c>
      <c r="T4452" t="s">
        <v>30</v>
      </c>
      <c r="U4452" t="s">
        <v>26116</v>
      </c>
      <c r="W4452" t="s">
        <v>28347</v>
      </c>
    </row>
    <row r="4453" spans="1:23" x14ac:dyDescent="0.35">
      <c r="A4453">
        <v>1035004</v>
      </c>
      <c r="B4453" t="s">
        <v>41661</v>
      </c>
      <c r="C4453" t="str">
        <f>"9780807835630"</f>
        <v>9780807835630</v>
      </c>
      <c r="D4453" t="str">
        <f>"9780807837368"</f>
        <v>9780807837368</v>
      </c>
      <c r="E4453" t="s">
        <v>31948</v>
      </c>
      <c r="F4453" t="s">
        <v>7733</v>
      </c>
      <c r="G4453" t="s">
        <v>23742</v>
      </c>
      <c r="H4453" t="s">
        <v>26004</v>
      </c>
      <c r="I4453" s="26">
        <v>41197</v>
      </c>
      <c r="J4453">
        <v>2012</v>
      </c>
      <c r="K4453" t="s">
        <v>7733</v>
      </c>
      <c r="L4453">
        <v>488</v>
      </c>
      <c r="M4453" t="s">
        <v>41662</v>
      </c>
      <c r="N4453">
        <v>1</v>
      </c>
      <c r="O4453" t="s">
        <v>39769</v>
      </c>
      <c r="Q4453" t="s">
        <v>41663</v>
      </c>
      <c r="R4453" t="s">
        <v>41664</v>
      </c>
      <c r="S4453" t="s">
        <v>41665</v>
      </c>
      <c r="T4453" t="s">
        <v>30</v>
      </c>
      <c r="U4453" t="s">
        <v>402</v>
      </c>
      <c r="W4453" t="s">
        <v>26009</v>
      </c>
    </row>
    <row r="4454" spans="1:23" x14ac:dyDescent="0.35">
      <c r="A4454">
        <v>1035214</v>
      </c>
      <c r="B4454" t="s">
        <v>41666</v>
      </c>
      <c r="C4454" t="str">
        <f>"9781607509851"</f>
        <v>9781607509851</v>
      </c>
      <c r="D4454" t="str">
        <f>"9781607509868"</f>
        <v>9781607509868</v>
      </c>
      <c r="E4454" t="s">
        <v>28275</v>
      </c>
      <c r="F4454" t="s">
        <v>7658</v>
      </c>
      <c r="G4454" t="s">
        <v>22222</v>
      </c>
      <c r="H4454" t="s">
        <v>27983</v>
      </c>
      <c r="I4454" s="26">
        <v>40954</v>
      </c>
      <c r="J4454">
        <v>2012</v>
      </c>
      <c r="K4454" t="s">
        <v>7658</v>
      </c>
      <c r="L4454">
        <v>252</v>
      </c>
      <c r="M4454" t="s">
        <v>39474</v>
      </c>
      <c r="N4454">
        <v>1</v>
      </c>
      <c r="O4454" t="s">
        <v>35621</v>
      </c>
      <c r="P4454">
        <v>91</v>
      </c>
      <c r="T4454" t="s">
        <v>30</v>
      </c>
      <c r="U4454" t="s">
        <v>46</v>
      </c>
      <c r="W4454" t="s">
        <v>26009</v>
      </c>
    </row>
    <row r="4455" spans="1:23" x14ac:dyDescent="0.35">
      <c r="A4455">
        <v>1035386</v>
      </c>
      <c r="B4455" t="s">
        <v>41667</v>
      </c>
      <c r="C4455" t="str">
        <f>"9781780490540"</f>
        <v>9781780490540</v>
      </c>
      <c r="D4455" t="str">
        <f>"9781782410324"</f>
        <v>9781782410324</v>
      </c>
      <c r="E4455" t="s">
        <v>26010</v>
      </c>
      <c r="F4455" t="s">
        <v>35</v>
      </c>
      <c r="G4455" t="s">
        <v>22174</v>
      </c>
      <c r="H4455" t="s">
        <v>26011</v>
      </c>
      <c r="I4455" s="26">
        <v>41183</v>
      </c>
      <c r="J4455">
        <v>2012</v>
      </c>
      <c r="K4455" t="s">
        <v>26012</v>
      </c>
      <c r="L4455">
        <v>235</v>
      </c>
      <c r="M4455" t="s">
        <v>36749</v>
      </c>
      <c r="N4455">
        <v>1</v>
      </c>
      <c r="Q4455" t="s">
        <v>41668</v>
      </c>
      <c r="R4455">
        <v>150.19499999999999</v>
      </c>
      <c r="S4455" t="s">
        <v>41669</v>
      </c>
      <c r="T4455" t="s">
        <v>30</v>
      </c>
      <c r="U4455" t="s">
        <v>46</v>
      </c>
      <c r="W4455" t="s">
        <v>26009</v>
      </c>
    </row>
    <row r="4456" spans="1:23" x14ac:dyDescent="0.35">
      <c r="A4456">
        <v>1036026</v>
      </c>
      <c r="B4456" t="s">
        <v>41670</v>
      </c>
      <c r="C4456" t="str">
        <f>"9780231119849"</f>
        <v>9780231119849</v>
      </c>
      <c r="D4456" t="str">
        <f>"9780231506298"</f>
        <v>9780231506298</v>
      </c>
      <c r="E4456" t="s">
        <v>31708</v>
      </c>
      <c r="F4456" t="s">
        <v>294</v>
      </c>
      <c r="G4456" t="s">
        <v>22179</v>
      </c>
      <c r="H4456" t="s">
        <v>26004</v>
      </c>
      <c r="I4456" s="26">
        <v>37321</v>
      </c>
      <c r="J4456">
        <v>2012</v>
      </c>
      <c r="K4456" t="s">
        <v>294</v>
      </c>
      <c r="L4456">
        <v>177</v>
      </c>
      <c r="M4456" t="s">
        <v>41671</v>
      </c>
      <c r="Q4456" t="s">
        <v>41672</v>
      </c>
      <c r="R4456">
        <v>616.85</v>
      </c>
      <c r="S4456" t="s">
        <v>8869</v>
      </c>
      <c r="T4456" t="s">
        <v>30</v>
      </c>
      <c r="U4456" t="s">
        <v>26019</v>
      </c>
      <c r="W4456" t="s">
        <v>28347</v>
      </c>
    </row>
    <row r="4457" spans="1:23" x14ac:dyDescent="0.35">
      <c r="A4457">
        <v>1036293</v>
      </c>
      <c r="B4457" t="s">
        <v>41673</v>
      </c>
      <c r="C4457" t="str">
        <f>"9780199917105"</f>
        <v>9780199917105</v>
      </c>
      <c r="D4457" t="str">
        <f>"9780199917112"</f>
        <v>9780199917112</v>
      </c>
      <c r="E4457" t="s">
        <v>371</v>
      </c>
      <c r="F4457" t="s">
        <v>31</v>
      </c>
      <c r="G4457" t="s">
        <v>22703</v>
      </c>
      <c r="H4457" t="s">
        <v>26004</v>
      </c>
      <c r="I4457" s="26">
        <v>41215</v>
      </c>
      <c r="J4457">
        <v>2013</v>
      </c>
      <c r="K4457" t="s">
        <v>31</v>
      </c>
      <c r="L4457">
        <v>196</v>
      </c>
      <c r="M4457" t="s">
        <v>41674</v>
      </c>
      <c r="Q4457" t="s">
        <v>41675</v>
      </c>
      <c r="R4457" t="s">
        <v>41676</v>
      </c>
      <c r="S4457" t="s">
        <v>41677</v>
      </c>
      <c r="T4457" t="s">
        <v>30</v>
      </c>
      <c r="U4457" t="s">
        <v>28991</v>
      </c>
      <c r="W4457" t="s">
        <v>41678</v>
      </c>
    </row>
    <row r="4458" spans="1:23" x14ac:dyDescent="0.35">
      <c r="A4458">
        <v>1036308</v>
      </c>
      <c r="B4458" t="s">
        <v>8368</v>
      </c>
      <c r="C4458" t="str">
        <f>"9780199734177"</f>
        <v>9780199734177</v>
      </c>
      <c r="D4458" t="str">
        <f>"9780199813513"</f>
        <v>9780199813513</v>
      </c>
      <c r="E4458" t="s">
        <v>371</v>
      </c>
      <c r="F4458" t="s">
        <v>31</v>
      </c>
      <c r="G4458" t="s">
        <v>22703</v>
      </c>
      <c r="H4458" t="s">
        <v>26004</v>
      </c>
      <c r="I4458" s="26">
        <v>40899</v>
      </c>
      <c r="J4458">
        <v>2011</v>
      </c>
      <c r="K4458" t="s">
        <v>31</v>
      </c>
      <c r="L4458">
        <v>170</v>
      </c>
      <c r="M4458" t="s">
        <v>41679</v>
      </c>
      <c r="O4458" t="s">
        <v>41680</v>
      </c>
      <c r="Q4458" t="s">
        <v>41681</v>
      </c>
      <c r="R4458">
        <v>1.4219999999999999</v>
      </c>
      <c r="S4458" t="s">
        <v>41682</v>
      </c>
      <c r="T4458" t="s">
        <v>30</v>
      </c>
      <c r="U4458" t="s">
        <v>27765</v>
      </c>
      <c r="W4458" t="s">
        <v>26009</v>
      </c>
    </row>
    <row r="4459" spans="1:23" x14ac:dyDescent="0.35">
      <c r="A4459">
        <v>1037302</v>
      </c>
      <c r="B4459" t="s">
        <v>41683</v>
      </c>
      <c r="C4459" t="str">
        <f>"9780335242924"</f>
        <v>9780335242924</v>
      </c>
      <c r="D4459" t="str">
        <f>"9780335242948"</f>
        <v>9780335242948</v>
      </c>
      <c r="E4459" t="s">
        <v>29061</v>
      </c>
      <c r="F4459" t="s">
        <v>7477</v>
      </c>
      <c r="G4459" t="s">
        <v>29068</v>
      </c>
      <c r="H4459" t="s">
        <v>26011</v>
      </c>
      <c r="I4459" s="26">
        <v>41153</v>
      </c>
      <c r="J4459">
        <v>2012</v>
      </c>
      <c r="K4459" t="s">
        <v>29063</v>
      </c>
      <c r="L4459">
        <v>195</v>
      </c>
      <c r="M4459" t="s">
        <v>41684</v>
      </c>
      <c r="N4459">
        <v>1</v>
      </c>
      <c r="O4459" t="s">
        <v>41685</v>
      </c>
      <c r="T4459" t="s">
        <v>30</v>
      </c>
      <c r="U4459" t="s">
        <v>46</v>
      </c>
      <c r="W4459" t="s">
        <v>26009</v>
      </c>
    </row>
    <row r="4460" spans="1:23" x14ac:dyDescent="0.35">
      <c r="A4460">
        <v>1037673</v>
      </c>
      <c r="B4460" t="s">
        <v>9158</v>
      </c>
      <c r="C4460" t="str">
        <f>"9781878978561"</f>
        <v>9781878978561</v>
      </c>
      <c r="D4460" t="str">
        <f>"9781608829194"</f>
        <v>9781608829194</v>
      </c>
      <c r="E4460" t="s">
        <v>7424</v>
      </c>
      <c r="F4460" t="s">
        <v>7419</v>
      </c>
      <c r="G4460" t="s">
        <v>23047</v>
      </c>
      <c r="H4460" t="s">
        <v>26004</v>
      </c>
      <c r="I4460" s="26">
        <v>38818</v>
      </c>
      <c r="J4460">
        <v>2006</v>
      </c>
      <c r="K4460" t="s">
        <v>7419</v>
      </c>
      <c r="L4460">
        <v>331</v>
      </c>
      <c r="M4460" t="s">
        <v>41686</v>
      </c>
      <c r="N4460">
        <v>1</v>
      </c>
      <c r="Q4460" t="s">
        <v>41687</v>
      </c>
      <c r="R4460" t="s">
        <v>41688</v>
      </c>
      <c r="S4460" t="s">
        <v>41689</v>
      </c>
      <c r="T4460" t="s">
        <v>30</v>
      </c>
      <c r="U4460" t="s">
        <v>46</v>
      </c>
      <c r="W4460" t="s">
        <v>26009</v>
      </c>
    </row>
    <row r="4461" spans="1:23" x14ac:dyDescent="0.35">
      <c r="A4461">
        <v>1037809</v>
      </c>
      <c r="B4461" t="s">
        <v>41690</v>
      </c>
      <c r="C4461" t="str">
        <f>"9780765709455"</f>
        <v>9780765709455</v>
      </c>
      <c r="D4461" t="str">
        <f>"9780765709462"</f>
        <v>9780765709462</v>
      </c>
      <c r="E4461" t="s">
        <v>33803</v>
      </c>
      <c r="F4461" t="s">
        <v>38</v>
      </c>
      <c r="G4461" t="s">
        <v>33804</v>
      </c>
      <c r="H4461" t="s">
        <v>26004</v>
      </c>
      <c r="I4461" s="26">
        <v>41165</v>
      </c>
      <c r="J4461">
        <v>2012</v>
      </c>
      <c r="K4461" t="s">
        <v>33811</v>
      </c>
      <c r="L4461">
        <v>154</v>
      </c>
      <c r="M4461" t="s">
        <v>41691</v>
      </c>
      <c r="N4461">
        <v>1</v>
      </c>
      <c r="Q4461" t="s">
        <v>41692</v>
      </c>
      <c r="R4461" t="s">
        <v>29524</v>
      </c>
      <c r="S4461" t="s">
        <v>41693</v>
      </c>
      <c r="T4461" t="s">
        <v>30</v>
      </c>
      <c r="U4461" t="s">
        <v>26040</v>
      </c>
      <c r="W4461" t="s">
        <v>26009</v>
      </c>
    </row>
    <row r="4462" spans="1:23" x14ac:dyDescent="0.35">
      <c r="A4462">
        <v>1039241</v>
      </c>
      <c r="B4462" t="s">
        <v>41694</v>
      </c>
      <c r="C4462" t="str">
        <f>"9780415692809"</f>
        <v>9780415692809</v>
      </c>
      <c r="D4462" t="str">
        <f>"9781136235337"</f>
        <v>9781136235337</v>
      </c>
      <c r="E4462" t="s">
        <v>26010</v>
      </c>
      <c r="F4462" t="s">
        <v>35</v>
      </c>
      <c r="G4462" t="s">
        <v>22174</v>
      </c>
      <c r="H4462" t="s">
        <v>26011</v>
      </c>
      <c r="I4462" s="26">
        <v>41134</v>
      </c>
      <c r="J4462">
        <v>2013</v>
      </c>
      <c r="K4462" t="s">
        <v>26012</v>
      </c>
      <c r="L4462">
        <v>153</v>
      </c>
      <c r="M4462" t="s">
        <v>41695</v>
      </c>
      <c r="N4462">
        <v>1</v>
      </c>
      <c r="Q4462" t="s">
        <v>41696</v>
      </c>
      <c r="R4462">
        <v>154.30000000000001</v>
      </c>
      <c r="S4462" t="s">
        <v>7832</v>
      </c>
      <c r="T4462" t="s">
        <v>30</v>
      </c>
      <c r="U4462" t="s">
        <v>46</v>
      </c>
      <c r="W4462" t="s">
        <v>26009</v>
      </c>
    </row>
    <row r="4463" spans="1:23" x14ac:dyDescent="0.35">
      <c r="A4463">
        <v>1039279</v>
      </c>
      <c r="B4463" t="s">
        <v>9897</v>
      </c>
      <c r="C4463" t="str">
        <f>"9780415591195"</f>
        <v>9780415591195</v>
      </c>
      <c r="D4463" t="str">
        <f>"9781136238673"</f>
        <v>9781136238673</v>
      </c>
      <c r="E4463" t="s">
        <v>26010</v>
      </c>
      <c r="F4463" t="s">
        <v>35</v>
      </c>
      <c r="G4463" t="s">
        <v>22174</v>
      </c>
      <c r="H4463" t="s">
        <v>26011</v>
      </c>
      <c r="I4463" s="26">
        <v>41170</v>
      </c>
      <c r="J4463">
        <v>2012</v>
      </c>
      <c r="K4463" t="s">
        <v>26012</v>
      </c>
      <c r="L4463">
        <v>417</v>
      </c>
      <c r="M4463" t="s">
        <v>41697</v>
      </c>
      <c r="N4463">
        <v>1</v>
      </c>
      <c r="O4463" t="s">
        <v>41698</v>
      </c>
      <c r="Q4463" t="s">
        <v>41699</v>
      </c>
      <c r="R4463">
        <v>302</v>
      </c>
      <c r="S4463" t="s">
        <v>9898</v>
      </c>
      <c r="T4463" t="s">
        <v>30</v>
      </c>
      <c r="U4463" t="s">
        <v>26044</v>
      </c>
      <c r="W4463" t="s">
        <v>26009</v>
      </c>
    </row>
    <row r="4464" spans="1:23" x14ac:dyDescent="0.35">
      <c r="A4464">
        <v>1039302</v>
      </c>
      <c r="B4464" t="s">
        <v>41700</v>
      </c>
      <c r="C4464" t="str">
        <f>"9780415522113"</f>
        <v>9780415522113</v>
      </c>
      <c r="D4464" t="str">
        <f>"9781136298288"</f>
        <v>9781136298288</v>
      </c>
      <c r="E4464" t="s">
        <v>26010</v>
      </c>
      <c r="F4464" t="s">
        <v>35</v>
      </c>
      <c r="G4464" t="s">
        <v>22174</v>
      </c>
      <c r="H4464" t="s">
        <v>26011</v>
      </c>
      <c r="I4464" s="26">
        <v>41045</v>
      </c>
      <c r="J4464">
        <v>2012</v>
      </c>
      <c r="K4464" t="s">
        <v>26012</v>
      </c>
      <c r="L4464">
        <v>190</v>
      </c>
      <c r="M4464" t="s">
        <v>41701</v>
      </c>
      <c r="N4464">
        <v>1</v>
      </c>
      <c r="O4464" t="s">
        <v>41702</v>
      </c>
      <c r="Q4464" t="s">
        <v>41703</v>
      </c>
      <c r="R4464">
        <v>364.98</v>
      </c>
      <c r="S4464" t="s">
        <v>41704</v>
      </c>
      <c r="T4464" t="s">
        <v>30</v>
      </c>
      <c r="U4464" t="s">
        <v>26044</v>
      </c>
      <c r="W4464" t="s">
        <v>26009</v>
      </c>
    </row>
    <row r="4465" spans="1:23" x14ac:dyDescent="0.35">
      <c r="A4465">
        <v>1039326</v>
      </c>
      <c r="B4465" t="s">
        <v>41705</v>
      </c>
      <c r="C4465" t="str">
        <f>"9780415523202"</f>
        <v>9780415523202</v>
      </c>
      <c r="D4465" t="str">
        <f>"9781136250651"</f>
        <v>9781136250651</v>
      </c>
      <c r="E4465" t="s">
        <v>26010</v>
      </c>
      <c r="F4465" t="s">
        <v>35</v>
      </c>
      <c r="G4465" t="s">
        <v>22174</v>
      </c>
      <c r="H4465" t="s">
        <v>26011</v>
      </c>
      <c r="I4465" s="26">
        <v>41128</v>
      </c>
      <c r="J4465">
        <v>2012</v>
      </c>
      <c r="K4465" t="s">
        <v>26012</v>
      </c>
      <c r="L4465">
        <v>207</v>
      </c>
      <c r="M4465" t="s">
        <v>41706</v>
      </c>
      <c r="N4465">
        <v>1</v>
      </c>
      <c r="O4465" t="s">
        <v>41707</v>
      </c>
      <c r="Q4465" t="s">
        <v>41708</v>
      </c>
      <c r="R4465">
        <v>791.43658100000005</v>
      </c>
      <c r="S4465" t="s">
        <v>41709</v>
      </c>
      <c r="T4465" t="s">
        <v>30</v>
      </c>
      <c r="U4465" t="s">
        <v>27699</v>
      </c>
      <c r="W4465" t="s">
        <v>26009</v>
      </c>
    </row>
    <row r="4466" spans="1:23" x14ac:dyDescent="0.35">
      <c r="A4466">
        <v>1039374</v>
      </c>
      <c r="B4466" t="s">
        <v>41710</v>
      </c>
      <c r="C4466" t="str">
        <f>"9780415588744"</f>
        <v>9780415588744</v>
      </c>
      <c r="D4466" t="str">
        <f>"9781136307614"</f>
        <v>9781136307614</v>
      </c>
      <c r="E4466" t="s">
        <v>26010</v>
      </c>
      <c r="F4466" t="s">
        <v>35</v>
      </c>
      <c r="G4466" t="s">
        <v>22174</v>
      </c>
      <c r="H4466" t="s">
        <v>26011</v>
      </c>
      <c r="I4466" s="26">
        <v>41004</v>
      </c>
      <c r="J4466">
        <v>2012</v>
      </c>
      <c r="K4466" t="s">
        <v>26012</v>
      </c>
      <c r="L4466">
        <v>193</v>
      </c>
      <c r="M4466" t="s">
        <v>41711</v>
      </c>
      <c r="N4466">
        <v>1</v>
      </c>
      <c r="O4466" t="s">
        <v>35839</v>
      </c>
      <c r="Q4466" t="s">
        <v>41712</v>
      </c>
      <c r="R4466" t="s">
        <v>41713</v>
      </c>
      <c r="S4466" t="s">
        <v>41714</v>
      </c>
      <c r="T4466" t="s">
        <v>30</v>
      </c>
      <c r="U4466" t="s">
        <v>30336</v>
      </c>
      <c r="W4466" t="s">
        <v>26009</v>
      </c>
    </row>
    <row r="4467" spans="1:23" x14ac:dyDescent="0.35">
      <c r="A4467">
        <v>1039498</v>
      </c>
      <c r="B4467" t="s">
        <v>41715</v>
      </c>
      <c r="C4467" t="str">
        <f>"9781412959599"</f>
        <v>9781412959599</v>
      </c>
      <c r="D4467" t="str">
        <f>"9781452210360"</f>
        <v>9781452210360</v>
      </c>
      <c r="E4467" t="s">
        <v>40883</v>
      </c>
      <c r="F4467" t="s">
        <v>7434</v>
      </c>
      <c r="G4467" t="s">
        <v>22194</v>
      </c>
      <c r="H4467" t="s">
        <v>26004</v>
      </c>
      <c r="I4467" s="26">
        <v>39783</v>
      </c>
      <c r="J4467">
        <v>2009</v>
      </c>
      <c r="K4467" t="s">
        <v>7434</v>
      </c>
      <c r="L4467">
        <v>449</v>
      </c>
      <c r="M4467" t="s">
        <v>41716</v>
      </c>
      <c r="N4467">
        <v>1</v>
      </c>
      <c r="R4467" t="s">
        <v>28066</v>
      </c>
      <c r="T4467" t="s">
        <v>30</v>
      </c>
      <c r="U4467" t="s">
        <v>26040</v>
      </c>
      <c r="W4467" t="s">
        <v>26009</v>
      </c>
    </row>
    <row r="4468" spans="1:23" x14ac:dyDescent="0.35">
      <c r="A4468">
        <v>1040762</v>
      </c>
      <c r="B4468" t="s">
        <v>41717</v>
      </c>
      <c r="C4468" t="str">
        <f>""</f>
        <v/>
      </c>
      <c r="D4468" t="str">
        <f>"9780857454898"</f>
        <v>9780857454898</v>
      </c>
      <c r="E4468" t="s">
        <v>34636</v>
      </c>
      <c r="F4468" t="s">
        <v>7472</v>
      </c>
      <c r="G4468" t="s">
        <v>31126</v>
      </c>
      <c r="H4468" t="s">
        <v>26004</v>
      </c>
      <c r="I4468" s="26">
        <v>41122</v>
      </c>
      <c r="J4468">
        <v>2012</v>
      </c>
      <c r="K4468" t="s">
        <v>7472</v>
      </c>
      <c r="L4468">
        <v>237</v>
      </c>
      <c r="M4468" t="s">
        <v>41718</v>
      </c>
      <c r="N4468">
        <v>1</v>
      </c>
      <c r="Q4468" t="s">
        <v>41719</v>
      </c>
      <c r="R4468" t="s">
        <v>41720</v>
      </c>
      <c r="S4468" t="s">
        <v>41721</v>
      </c>
      <c r="T4468" t="s">
        <v>30</v>
      </c>
      <c r="U4468" t="s">
        <v>26094</v>
      </c>
      <c r="W4468" t="s">
        <v>26009</v>
      </c>
    </row>
    <row r="4469" spans="1:23" x14ac:dyDescent="0.35">
      <c r="A4469">
        <v>1040793</v>
      </c>
      <c r="B4469" t="s">
        <v>41722</v>
      </c>
      <c r="C4469" t="str">
        <f>"9781780490700"</f>
        <v>9781780490700</v>
      </c>
      <c r="D4469" t="str">
        <f>"9781782410331"</f>
        <v>9781782410331</v>
      </c>
      <c r="E4469" t="s">
        <v>26010</v>
      </c>
      <c r="F4469" t="s">
        <v>35</v>
      </c>
      <c r="G4469" t="s">
        <v>22174</v>
      </c>
      <c r="H4469" t="s">
        <v>26011</v>
      </c>
      <c r="I4469" s="26">
        <v>41183</v>
      </c>
      <c r="J4469">
        <v>2012</v>
      </c>
      <c r="K4469" t="s">
        <v>26012</v>
      </c>
      <c r="L4469">
        <v>191</v>
      </c>
      <c r="M4469" t="s">
        <v>41723</v>
      </c>
      <c r="N4469">
        <v>1</v>
      </c>
      <c r="Q4469" t="s">
        <v>41724</v>
      </c>
      <c r="R4469">
        <v>616.89144999999996</v>
      </c>
      <c r="S4469" t="s">
        <v>9709</v>
      </c>
      <c r="T4469" t="s">
        <v>30</v>
      </c>
      <c r="U4469" t="s">
        <v>26116</v>
      </c>
      <c r="W4469" t="s">
        <v>26009</v>
      </c>
    </row>
    <row r="4470" spans="1:23" x14ac:dyDescent="0.35">
      <c r="A4470">
        <v>1042452</v>
      </c>
      <c r="B4470" t="s">
        <v>41725</v>
      </c>
      <c r="C4470" t="str">
        <f>"9780521888677"</f>
        <v>9780521888677</v>
      </c>
      <c r="D4470" t="str">
        <f>"9781139782227"</f>
        <v>9781139782227</v>
      </c>
      <c r="E4470" t="s">
        <v>167</v>
      </c>
      <c r="F4470" t="s">
        <v>167</v>
      </c>
      <c r="G4470" t="s">
        <v>22179</v>
      </c>
      <c r="H4470" t="s">
        <v>26004</v>
      </c>
      <c r="I4470" s="26">
        <v>41232</v>
      </c>
      <c r="J4470">
        <v>2012</v>
      </c>
      <c r="K4470" t="s">
        <v>167</v>
      </c>
      <c r="L4470">
        <v>528</v>
      </c>
      <c r="M4470" t="s">
        <v>41726</v>
      </c>
      <c r="N4470">
        <v>1</v>
      </c>
      <c r="Q4470" t="s">
        <v>41727</v>
      </c>
      <c r="R4470">
        <v>616.79999999999995</v>
      </c>
      <c r="S4470" t="s">
        <v>41728</v>
      </c>
      <c r="T4470" t="s">
        <v>30</v>
      </c>
      <c r="U4470" t="s">
        <v>26019</v>
      </c>
      <c r="W4470" t="s">
        <v>26020</v>
      </c>
    </row>
    <row r="4471" spans="1:23" x14ac:dyDescent="0.35">
      <c r="A4471">
        <v>1042687</v>
      </c>
      <c r="B4471" t="s">
        <v>41729</v>
      </c>
      <c r="C4471" t="str">
        <f>"9781780528762"</f>
        <v>9781780528762</v>
      </c>
      <c r="D4471" t="str">
        <f>"9781780528779"</f>
        <v>9781780528779</v>
      </c>
      <c r="E4471" t="s">
        <v>7442</v>
      </c>
      <c r="F4471" t="s">
        <v>7442</v>
      </c>
      <c r="G4471" t="s">
        <v>22261</v>
      </c>
      <c r="H4471" t="s">
        <v>26011</v>
      </c>
      <c r="I4471" s="26">
        <v>41187</v>
      </c>
      <c r="J4471">
        <v>2012</v>
      </c>
      <c r="K4471" t="s">
        <v>7442</v>
      </c>
      <c r="L4471">
        <v>438</v>
      </c>
      <c r="M4471" t="s">
        <v>41730</v>
      </c>
      <c r="N4471">
        <v>1</v>
      </c>
      <c r="O4471" t="s">
        <v>41731</v>
      </c>
      <c r="P4471">
        <v>15</v>
      </c>
      <c r="Q4471" t="s">
        <v>41732</v>
      </c>
      <c r="R4471">
        <v>303.69083000000001</v>
      </c>
      <c r="S4471" t="s">
        <v>7938</v>
      </c>
      <c r="T4471" t="s">
        <v>30</v>
      </c>
      <c r="U4471" t="s">
        <v>26044</v>
      </c>
      <c r="W4471" t="s">
        <v>33559</v>
      </c>
    </row>
    <row r="4472" spans="1:23" x14ac:dyDescent="0.35">
      <c r="A4472">
        <v>1043516</v>
      </c>
      <c r="B4472" t="s">
        <v>41733</v>
      </c>
      <c r="C4472" t="str">
        <f>"9781780490946"</f>
        <v>9781780490946</v>
      </c>
      <c r="D4472" t="str">
        <f>"9781782410188"</f>
        <v>9781782410188</v>
      </c>
      <c r="E4472" t="s">
        <v>26010</v>
      </c>
      <c r="F4472" t="s">
        <v>35</v>
      </c>
      <c r="G4472" t="s">
        <v>22174</v>
      </c>
      <c r="H4472" t="s">
        <v>26011</v>
      </c>
      <c r="I4472" s="26">
        <v>41153</v>
      </c>
      <c r="J4472">
        <v>2012</v>
      </c>
      <c r="K4472" t="s">
        <v>26012</v>
      </c>
      <c r="L4472">
        <v>241</v>
      </c>
      <c r="M4472" t="s">
        <v>41734</v>
      </c>
      <c r="N4472">
        <v>1</v>
      </c>
      <c r="Q4472" t="s">
        <v>41735</v>
      </c>
      <c r="R4472">
        <v>364.15</v>
      </c>
      <c r="S4472" t="s">
        <v>41736</v>
      </c>
      <c r="T4472" t="s">
        <v>30</v>
      </c>
      <c r="U4472" t="s">
        <v>26094</v>
      </c>
      <c r="W4472" t="s">
        <v>26009</v>
      </c>
    </row>
    <row r="4473" spans="1:23" x14ac:dyDescent="0.35">
      <c r="A4473">
        <v>1043787</v>
      </c>
      <c r="B4473" t="s">
        <v>9976</v>
      </c>
      <c r="C4473" t="str">
        <f>"9780739124659"</f>
        <v>9780739124659</v>
      </c>
      <c r="D4473" t="str">
        <f>"9781461634249"</f>
        <v>9781461634249</v>
      </c>
      <c r="E4473" t="s">
        <v>33803</v>
      </c>
      <c r="F4473" t="s">
        <v>8174</v>
      </c>
      <c r="G4473" t="s">
        <v>34328</v>
      </c>
      <c r="H4473" t="s">
        <v>26004</v>
      </c>
      <c r="I4473" s="26">
        <v>39829</v>
      </c>
      <c r="J4473">
        <v>2010</v>
      </c>
      <c r="K4473" t="s">
        <v>8174</v>
      </c>
      <c r="L4473">
        <v>238</v>
      </c>
      <c r="M4473" t="s">
        <v>41737</v>
      </c>
      <c r="N4473">
        <v>2</v>
      </c>
      <c r="Q4473" t="s">
        <v>41738</v>
      </c>
      <c r="R4473" t="s">
        <v>41739</v>
      </c>
      <c r="S4473" t="s">
        <v>41740</v>
      </c>
      <c r="T4473" t="s">
        <v>30</v>
      </c>
      <c r="U4473" t="s">
        <v>26044</v>
      </c>
      <c r="W4473" t="s">
        <v>26009</v>
      </c>
    </row>
    <row r="4474" spans="1:23" x14ac:dyDescent="0.35">
      <c r="A4474">
        <v>1046813</v>
      </c>
      <c r="B4474" t="s">
        <v>41741</v>
      </c>
      <c r="C4474" t="str">
        <f>"9780415948463"</f>
        <v>9780415948463</v>
      </c>
      <c r="D4474" t="str">
        <f>"9781136915789"</f>
        <v>9781136915789</v>
      </c>
      <c r="E4474" t="s">
        <v>26010</v>
      </c>
      <c r="F4474" t="s">
        <v>35</v>
      </c>
      <c r="G4474" t="s">
        <v>26201</v>
      </c>
      <c r="H4474" t="s">
        <v>26011</v>
      </c>
      <c r="I4474" s="26">
        <v>38588</v>
      </c>
      <c r="J4474">
        <v>2005</v>
      </c>
      <c r="K4474" t="s">
        <v>26012</v>
      </c>
      <c r="L4474">
        <v>275</v>
      </c>
      <c r="M4474" t="s">
        <v>41742</v>
      </c>
      <c r="N4474">
        <v>1</v>
      </c>
      <c r="O4474" t="s">
        <v>41743</v>
      </c>
      <c r="Q4474" t="s">
        <v>41744</v>
      </c>
      <c r="R4474">
        <v>616.85220600000002</v>
      </c>
      <c r="S4474" t="s">
        <v>41745</v>
      </c>
      <c r="T4474" t="s">
        <v>30</v>
      </c>
      <c r="U4474" t="s">
        <v>26019</v>
      </c>
      <c r="W4474" t="s">
        <v>26009</v>
      </c>
    </row>
    <row r="4475" spans="1:23" x14ac:dyDescent="0.35">
      <c r="A4475">
        <v>1046861</v>
      </c>
      <c r="B4475" t="s">
        <v>41746</v>
      </c>
      <c r="C4475" t="str">
        <f>"9780415897167"</f>
        <v>9780415897167</v>
      </c>
      <c r="D4475" t="str">
        <f>"9781136640186"</f>
        <v>9781136640186</v>
      </c>
      <c r="E4475" t="s">
        <v>26010</v>
      </c>
      <c r="F4475" t="s">
        <v>35</v>
      </c>
      <c r="G4475" t="s">
        <v>22174</v>
      </c>
      <c r="H4475" t="s">
        <v>26011</v>
      </c>
      <c r="I4475" s="26">
        <v>41176</v>
      </c>
      <c r="J4475">
        <v>2013</v>
      </c>
      <c r="K4475" t="s">
        <v>26012</v>
      </c>
      <c r="L4475">
        <v>265</v>
      </c>
      <c r="M4475" t="s">
        <v>41747</v>
      </c>
      <c r="N4475">
        <v>1</v>
      </c>
      <c r="Q4475" t="s">
        <v>41748</v>
      </c>
      <c r="R4475">
        <v>616.89139999999998</v>
      </c>
      <c r="S4475" t="s">
        <v>8276</v>
      </c>
      <c r="T4475" t="s">
        <v>30</v>
      </c>
      <c r="U4475" t="s">
        <v>26019</v>
      </c>
      <c r="W4475" t="s">
        <v>26009</v>
      </c>
    </row>
    <row r="4476" spans="1:23" x14ac:dyDescent="0.35">
      <c r="A4476">
        <v>1046868</v>
      </c>
      <c r="B4476" t="s">
        <v>8547</v>
      </c>
      <c r="C4476" t="str">
        <f>"9780415883009"</f>
        <v>9780415883009</v>
      </c>
      <c r="D4476" t="str">
        <f>"9781136933073"</f>
        <v>9781136933073</v>
      </c>
      <c r="E4476" t="s">
        <v>26010</v>
      </c>
      <c r="F4476" t="s">
        <v>35</v>
      </c>
      <c r="G4476" t="s">
        <v>22174</v>
      </c>
      <c r="H4476" t="s">
        <v>26011</v>
      </c>
      <c r="I4476" s="26">
        <v>41116</v>
      </c>
      <c r="J4476">
        <v>2012</v>
      </c>
      <c r="K4476" t="s">
        <v>26012</v>
      </c>
      <c r="L4476">
        <v>257</v>
      </c>
      <c r="M4476" t="s">
        <v>41749</v>
      </c>
      <c r="N4476">
        <v>1</v>
      </c>
      <c r="Q4476" t="s">
        <v>41750</v>
      </c>
      <c r="R4476">
        <v>25.04252</v>
      </c>
      <c r="S4476" t="s">
        <v>41751</v>
      </c>
      <c r="T4476" t="s">
        <v>30</v>
      </c>
      <c r="U4476" t="s">
        <v>41752</v>
      </c>
      <c r="W4476" t="s">
        <v>26009</v>
      </c>
    </row>
    <row r="4477" spans="1:23" x14ac:dyDescent="0.35">
      <c r="A4477">
        <v>1046911</v>
      </c>
      <c r="B4477" t="s">
        <v>8622</v>
      </c>
      <c r="C4477" t="str">
        <f>"9781848728684"</f>
        <v>9781848728684</v>
      </c>
      <c r="D4477" t="str">
        <f>"9781136668999"</f>
        <v>9781136668999</v>
      </c>
      <c r="E4477" t="s">
        <v>26010</v>
      </c>
      <c r="F4477" t="s">
        <v>35</v>
      </c>
      <c r="G4477" t="s">
        <v>22174</v>
      </c>
      <c r="H4477" t="s">
        <v>26011</v>
      </c>
      <c r="I4477" s="26">
        <v>40878</v>
      </c>
      <c r="J4477">
        <v>2012</v>
      </c>
      <c r="K4477" t="s">
        <v>660</v>
      </c>
      <c r="L4477">
        <v>529</v>
      </c>
      <c r="M4477" t="s">
        <v>41753</v>
      </c>
      <c r="N4477">
        <v>1</v>
      </c>
      <c r="Q4477" t="s">
        <v>41754</v>
      </c>
      <c r="R4477">
        <v>302.08999999999997</v>
      </c>
      <c r="S4477" t="s">
        <v>8623</v>
      </c>
      <c r="T4477" t="s">
        <v>30</v>
      </c>
      <c r="U4477" t="s">
        <v>26044</v>
      </c>
      <c r="W4477" t="s">
        <v>26009</v>
      </c>
    </row>
    <row r="4478" spans="1:23" x14ac:dyDescent="0.35">
      <c r="A4478">
        <v>1046968</v>
      </c>
      <c r="B4478" t="s">
        <v>8561</v>
      </c>
      <c r="C4478" t="str">
        <f>"9781848728721"</f>
        <v>9781848728721</v>
      </c>
      <c r="D4478" t="str">
        <f>"9781135254261"</f>
        <v>9781135254261</v>
      </c>
      <c r="E4478" t="s">
        <v>26010</v>
      </c>
      <c r="F4478" t="s">
        <v>35</v>
      </c>
      <c r="G4478" t="s">
        <v>22174</v>
      </c>
      <c r="H4478" t="s">
        <v>26011</v>
      </c>
      <c r="I4478" s="26">
        <v>41157</v>
      </c>
      <c r="J4478">
        <v>2013</v>
      </c>
      <c r="K4478" t="s">
        <v>660</v>
      </c>
      <c r="L4478">
        <v>377</v>
      </c>
      <c r="M4478" t="s">
        <v>41755</v>
      </c>
      <c r="N4478">
        <v>1</v>
      </c>
      <c r="O4478" t="s">
        <v>35895</v>
      </c>
      <c r="Q4478" t="s">
        <v>41756</v>
      </c>
      <c r="R4478">
        <v>305</v>
      </c>
      <c r="S4478" t="s">
        <v>8562</v>
      </c>
      <c r="T4478" t="s">
        <v>30</v>
      </c>
      <c r="U4478" t="s">
        <v>26044</v>
      </c>
      <c r="W4478" t="s">
        <v>26159</v>
      </c>
    </row>
    <row r="4479" spans="1:23" x14ac:dyDescent="0.35">
      <c r="A4479">
        <v>1046987</v>
      </c>
      <c r="B4479" t="s">
        <v>41757</v>
      </c>
      <c r="C4479" t="str">
        <f>"9781848720275"</f>
        <v>9781848720275</v>
      </c>
      <c r="D4479" t="str">
        <f>"9781136181399"</f>
        <v>9781136181399</v>
      </c>
      <c r="E4479" t="s">
        <v>26010</v>
      </c>
      <c r="F4479" t="s">
        <v>35</v>
      </c>
      <c r="G4479" t="s">
        <v>22174</v>
      </c>
      <c r="H4479" t="s">
        <v>26011</v>
      </c>
      <c r="I4479" s="26">
        <v>41102</v>
      </c>
      <c r="J4479">
        <v>2013</v>
      </c>
      <c r="K4479" t="s">
        <v>660</v>
      </c>
      <c r="L4479">
        <v>433</v>
      </c>
      <c r="M4479" t="s">
        <v>41758</v>
      </c>
      <c r="N4479">
        <v>2</v>
      </c>
      <c r="Q4479" t="s">
        <v>41759</v>
      </c>
      <c r="R4479" t="s">
        <v>41760</v>
      </c>
      <c r="S4479" t="s">
        <v>41761</v>
      </c>
      <c r="T4479" t="s">
        <v>30</v>
      </c>
      <c r="U4479" t="s">
        <v>26040</v>
      </c>
      <c r="W4479" t="s">
        <v>26009</v>
      </c>
    </row>
    <row r="4480" spans="1:23" x14ac:dyDescent="0.35">
      <c r="A4480">
        <v>1047011</v>
      </c>
      <c r="B4480" t="s">
        <v>41762</v>
      </c>
      <c r="C4480" t="str">
        <f>"9781843928485"</f>
        <v>9781843928485</v>
      </c>
      <c r="D4480" t="str">
        <f>"9781136254444"</f>
        <v>9781136254444</v>
      </c>
      <c r="E4480" t="s">
        <v>26010</v>
      </c>
      <c r="F4480" t="s">
        <v>7748</v>
      </c>
      <c r="G4480" t="s">
        <v>22174</v>
      </c>
      <c r="H4480" t="s">
        <v>26011</v>
      </c>
      <c r="I4480" s="26">
        <v>41117</v>
      </c>
      <c r="J4480">
        <v>2012</v>
      </c>
      <c r="K4480" t="s">
        <v>7748</v>
      </c>
      <c r="L4480">
        <v>257</v>
      </c>
      <c r="M4480" t="s">
        <v>41763</v>
      </c>
      <c r="N4480">
        <v>1</v>
      </c>
      <c r="Q4480" t="s">
        <v>41764</v>
      </c>
      <c r="R4480">
        <v>363.20942000000002</v>
      </c>
      <c r="S4480" t="s">
        <v>41765</v>
      </c>
      <c r="T4480" t="s">
        <v>30</v>
      </c>
      <c r="U4480" t="s">
        <v>26044</v>
      </c>
      <c r="W4480" t="s">
        <v>26009</v>
      </c>
    </row>
    <row r="4481" spans="1:23" x14ac:dyDescent="0.35">
      <c r="A4481">
        <v>1047027</v>
      </c>
      <c r="B4481" t="s">
        <v>8702</v>
      </c>
      <c r="C4481" t="str">
        <f>"9780415890090"</f>
        <v>9780415890090</v>
      </c>
      <c r="D4481" t="str">
        <f>"9781136247064"</f>
        <v>9781136247064</v>
      </c>
      <c r="E4481" t="s">
        <v>26010</v>
      </c>
      <c r="F4481" t="s">
        <v>35</v>
      </c>
      <c r="G4481" t="s">
        <v>22174</v>
      </c>
      <c r="H4481" t="s">
        <v>26011</v>
      </c>
      <c r="I4481" s="26">
        <v>41085</v>
      </c>
      <c r="J4481">
        <v>2012</v>
      </c>
      <c r="K4481" t="s">
        <v>26012</v>
      </c>
      <c r="L4481">
        <v>139</v>
      </c>
      <c r="M4481" t="s">
        <v>41766</v>
      </c>
      <c r="N4481">
        <v>1</v>
      </c>
      <c r="O4481" t="s">
        <v>41767</v>
      </c>
      <c r="Q4481" t="s">
        <v>41768</v>
      </c>
      <c r="R4481">
        <v>306.76400000000001</v>
      </c>
      <c r="S4481" t="s">
        <v>11407</v>
      </c>
      <c r="T4481" t="s">
        <v>30</v>
      </c>
      <c r="U4481" t="s">
        <v>26044</v>
      </c>
      <c r="W4481" t="s">
        <v>26009</v>
      </c>
    </row>
    <row r="4482" spans="1:23" x14ac:dyDescent="0.35">
      <c r="A4482">
        <v>1047034</v>
      </c>
      <c r="B4482" t="s">
        <v>7460</v>
      </c>
      <c r="C4482" t="str">
        <f>"9781848720541"</f>
        <v>9781848720541</v>
      </c>
      <c r="D4482" t="str">
        <f>"9781136213908"</f>
        <v>9781136213908</v>
      </c>
      <c r="E4482" t="s">
        <v>26010</v>
      </c>
      <c r="F4482" t="s">
        <v>35</v>
      </c>
      <c r="G4482" t="s">
        <v>22174</v>
      </c>
      <c r="H4482" t="s">
        <v>26011</v>
      </c>
      <c r="I4482" s="26">
        <v>41214</v>
      </c>
      <c r="J4482">
        <v>2013</v>
      </c>
      <c r="K4482" t="s">
        <v>660</v>
      </c>
      <c r="L4482">
        <v>337</v>
      </c>
      <c r="M4482" t="s">
        <v>41769</v>
      </c>
      <c r="N4482">
        <v>1</v>
      </c>
      <c r="Q4482" t="s">
        <v>41770</v>
      </c>
      <c r="R4482">
        <v>302.39999999999998</v>
      </c>
      <c r="S4482" t="s">
        <v>7461</v>
      </c>
      <c r="T4482" t="s">
        <v>30</v>
      </c>
      <c r="U4482" t="s">
        <v>26044</v>
      </c>
      <c r="W4482" t="s">
        <v>26009</v>
      </c>
    </row>
    <row r="4483" spans="1:23" x14ac:dyDescent="0.35">
      <c r="A4483">
        <v>1047058</v>
      </c>
      <c r="B4483" t="s">
        <v>41771</v>
      </c>
      <c r="C4483" t="str">
        <f>"9781843928942"</f>
        <v>9781843928942</v>
      </c>
      <c r="D4483" t="str">
        <f>"9781136255281"</f>
        <v>9781136255281</v>
      </c>
      <c r="E4483" t="s">
        <v>26010</v>
      </c>
      <c r="F4483" t="s">
        <v>35</v>
      </c>
      <c r="G4483" t="s">
        <v>22174</v>
      </c>
      <c r="H4483" t="s">
        <v>26011</v>
      </c>
      <c r="I4483" s="26">
        <v>41129</v>
      </c>
      <c r="J4483">
        <v>2012</v>
      </c>
      <c r="K4483" t="s">
        <v>26012</v>
      </c>
      <c r="L4483">
        <v>209</v>
      </c>
      <c r="M4483" t="s">
        <v>41772</v>
      </c>
      <c r="N4483">
        <v>1</v>
      </c>
      <c r="O4483" t="s">
        <v>41773</v>
      </c>
      <c r="Q4483" t="s">
        <v>41774</v>
      </c>
      <c r="R4483">
        <v>616.86008349999997</v>
      </c>
      <c r="S4483" t="s">
        <v>41775</v>
      </c>
      <c r="T4483" t="s">
        <v>30</v>
      </c>
      <c r="U4483" t="s">
        <v>28629</v>
      </c>
      <c r="W4483" t="s">
        <v>26009</v>
      </c>
    </row>
    <row r="4484" spans="1:23" x14ac:dyDescent="0.35">
      <c r="A4484">
        <v>1047061</v>
      </c>
      <c r="B4484" t="s">
        <v>8075</v>
      </c>
      <c r="C4484" t="str">
        <f>"9781848720848"</f>
        <v>9781848720848</v>
      </c>
      <c r="D4484" t="str">
        <f>"9781136230684"</f>
        <v>9781136230684</v>
      </c>
      <c r="E4484" t="s">
        <v>26010</v>
      </c>
      <c r="F4484" t="s">
        <v>35</v>
      </c>
      <c r="G4484" t="s">
        <v>22174</v>
      </c>
      <c r="H4484" t="s">
        <v>26011</v>
      </c>
      <c r="I4484" s="26">
        <v>41180</v>
      </c>
      <c r="J4484">
        <v>2013</v>
      </c>
      <c r="K4484" t="s">
        <v>660</v>
      </c>
      <c r="L4484">
        <v>233</v>
      </c>
      <c r="M4484" t="s">
        <v>41776</v>
      </c>
      <c r="N4484">
        <v>1</v>
      </c>
      <c r="O4484" t="s">
        <v>41777</v>
      </c>
      <c r="Q4484" t="s">
        <v>41778</v>
      </c>
      <c r="R4484">
        <v>616.85879999999997</v>
      </c>
      <c r="S4484" t="s">
        <v>41779</v>
      </c>
      <c r="T4484" t="s">
        <v>30</v>
      </c>
      <c r="U4484" t="s">
        <v>26019</v>
      </c>
      <c r="W4484" t="s">
        <v>26009</v>
      </c>
    </row>
    <row r="4485" spans="1:23" x14ac:dyDescent="0.35">
      <c r="A4485">
        <v>1047079</v>
      </c>
      <c r="B4485" t="s">
        <v>9818</v>
      </c>
      <c r="C4485" t="str">
        <f>"9781848729971"</f>
        <v>9781848729971</v>
      </c>
      <c r="D4485" t="str">
        <f>"9781136246784"</f>
        <v>9781136246784</v>
      </c>
      <c r="E4485" t="s">
        <v>26010</v>
      </c>
      <c r="F4485" t="s">
        <v>35</v>
      </c>
      <c r="G4485" t="s">
        <v>22174</v>
      </c>
      <c r="H4485" t="s">
        <v>26011</v>
      </c>
      <c r="I4485" s="26">
        <v>41134</v>
      </c>
      <c r="J4485">
        <v>2013</v>
      </c>
      <c r="K4485" t="s">
        <v>660</v>
      </c>
      <c r="L4485">
        <v>129</v>
      </c>
      <c r="M4485" t="s">
        <v>41780</v>
      </c>
      <c r="N4485">
        <v>1</v>
      </c>
      <c r="Q4485" t="s">
        <v>41781</v>
      </c>
      <c r="R4485">
        <v>150</v>
      </c>
      <c r="S4485" t="s">
        <v>9606</v>
      </c>
      <c r="T4485" t="s">
        <v>30</v>
      </c>
      <c r="U4485" t="s">
        <v>46</v>
      </c>
      <c r="W4485" t="s">
        <v>26009</v>
      </c>
    </row>
    <row r="4486" spans="1:23" x14ac:dyDescent="0.35">
      <c r="A4486">
        <v>1047114</v>
      </c>
      <c r="B4486" t="s">
        <v>41782</v>
      </c>
      <c r="C4486" t="str">
        <f>"9780415531986"</f>
        <v>9780415531986</v>
      </c>
      <c r="D4486" t="str">
        <f>"9781136273285"</f>
        <v>9781136273285</v>
      </c>
      <c r="E4486" t="s">
        <v>26010</v>
      </c>
      <c r="F4486" t="s">
        <v>35</v>
      </c>
      <c r="G4486" t="s">
        <v>22174</v>
      </c>
      <c r="H4486" t="s">
        <v>26011</v>
      </c>
      <c r="I4486" s="26">
        <v>41142</v>
      </c>
      <c r="J4486">
        <v>2013</v>
      </c>
      <c r="K4486" t="s">
        <v>26012</v>
      </c>
      <c r="L4486">
        <v>225</v>
      </c>
      <c r="M4486" t="s">
        <v>41783</v>
      </c>
      <c r="N4486">
        <v>1</v>
      </c>
      <c r="O4486" t="s">
        <v>30090</v>
      </c>
      <c r="Q4486" t="s">
        <v>41784</v>
      </c>
      <c r="R4486" t="s">
        <v>27122</v>
      </c>
      <c r="S4486" t="s">
        <v>9260</v>
      </c>
      <c r="T4486" t="s">
        <v>30</v>
      </c>
      <c r="U4486" t="s">
        <v>26019</v>
      </c>
      <c r="W4486" t="s">
        <v>26009</v>
      </c>
    </row>
    <row r="4487" spans="1:23" x14ac:dyDescent="0.35">
      <c r="A4487">
        <v>1047190</v>
      </c>
      <c r="B4487" t="s">
        <v>41785</v>
      </c>
      <c r="C4487" t="str">
        <f>"9780415898669"</f>
        <v>9780415898669</v>
      </c>
      <c r="D4487" t="str">
        <f>"9781136201585"</f>
        <v>9781136201585</v>
      </c>
      <c r="E4487" t="s">
        <v>26010</v>
      </c>
      <c r="F4487" t="s">
        <v>35</v>
      </c>
      <c r="G4487" t="s">
        <v>26128</v>
      </c>
      <c r="H4487" t="s">
        <v>26011</v>
      </c>
      <c r="I4487" s="26">
        <v>41179</v>
      </c>
      <c r="J4487">
        <v>2013</v>
      </c>
      <c r="K4487" t="s">
        <v>26012</v>
      </c>
      <c r="L4487">
        <v>217</v>
      </c>
      <c r="M4487" t="s">
        <v>41786</v>
      </c>
      <c r="N4487">
        <v>1</v>
      </c>
      <c r="R4487" t="s">
        <v>41787</v>
      </c>
      <c r="S4487" t="s">
        <v>8097</v>
      </c>
      <c r="T4487" t="s">
        <v>30</v>
      </c>
      <c r="U4487" t="s">
        <v>26040</v>
      </c>
      <c r="W4487" t="s">
        <v>26009</v>
      </c>
    </row>
    <row r="4488" spans="1:23" x14ac:dyDescent="0.35">
      <c r="A4488">
        <v>1047191</v>
      </c>
      <c r="B4488" t="s">
        <v>41788</v>
      </c>
      <c r="C4488" t="str">
        <f>"9780415804950"</f>
        <v>9780415804950</v>
      </c>
      <c r="D4488" t="str">
        <f>"9781136218330"</f>
        <v>9781136218330</v>
      </c>
      <c r="E4488" t="s">
        <v>26010</v>
      </c>
      <c r="F4488" t="s">
        <v>35</v>
      </c>
      <c r="G4488" t="s">
        <v>22174</v>
      </c>
      <c r="H4488" t="s">
        <v>26011</v>
      </c>
      <c r="I4488" s="26">
        <v>41159</v>
      </c>
      <c r="J4488">
        <v>2013</v>
      </c>
      <c r="K4488" t="s">
        <v>26012</v>
      </c>
      <c r="L4488">
        <v>241</v>
      </c>
      <c r="M4488" t="s">
        <v>41789</v>
      </c>
      <c r="N4488">
        <v>1</v>
      </c>
      <c r="O4488" t="s">
        <v>33986</v>
      </c>
      <c r="Q4488" t="s">
        <v>41790</v>
      </c>
      <c r="R4488">
        <v>158.69999999999999</v>
      </c>
      <c r="S4488" t="s">
        <v>9124</v>
      </c>
      <c r="T4488" t="s">
        <v>30</v>
      </c>
      <c r="U4488" t="s">
        <v>27576</v>
      </c>
      <c r="W4488" t="s">
        <v>26009</v>
      </c>
    </row>
    <row r="4489" spans="1:23" x14ac:dyDescent="0.35">
      <c r="A4489">
        <v>1048070</v>
      </c>
      <c r="B4489" t="s">
        <v>41791</v>
      </c>
      <c r="C4489" t="str">
        <f>"9781780490564"</f>
        <v>9781780490564</v>
      </c>
      <c r="D4489" t="str">
        <f>"9781782410348"</f>
        <v>9781782410348</v>
      </c>
      <c r="E4489" t="s">
        <v>26010</v>
      </c>
      <c r="F4489" t="s">
        <v>35</v>
      </c>
      <c r="G4489" t="s">
        <v>22174</v>
      </c>
      <c r="H4489" t="s">
        <v>26011</v>
      </c>
      <c r="I4489" s="26">
        <v>41214</v>
      </c>
      <c r="J4489">
        <v>2012</v>
      </c>
      <c r="K4489" t="s">
        <v>26012</v>
      </c>
      <c r="L4489">
        <v>241</v>
      </c>
      <c r="M4489" t="s">
        <v>39266</v>
      </c>
      <c r="N4489">
        <v>1</v>
      </c>
      <c r="Q4489" t="s">
        <v>41792</v>
      </c>
      <c r="R4489">
        <v>150.19499999999999</v>
      </c>
      <c r="S4489" t="s">
        <v>36828</v>
      </c>
      <c r="T4489" t="s">
        <v>30</v>
      </c>
      <c r="U4489" t="s">
        <v>26019</v>
      </c>
      <c r="W4489" t="s">
        <v>26009</v>
      </c>
    </row>
    <row r="4490" spans="1:23" x14ac:dyDescent="0.35">
      <c r="A4490">
        <v>1048846</v>
      </c>
      <c r="B4490" t="s">
        <v>8278</v>
      </c>
      <c r="C4490" t="str">
        <f>"9781409453178"</f>
        <v>9781409453178</v>
      </c>
      <c r="D4490" t="str">
        <f>"9781409453185"</f>
        <v>9781409453185</v>
      </c>
      <c r="E4490" t="s">
        <v>26010</v>
      </c>
      <c r="F4490" t="s">
        <v>35</v>
      </c>
      <c r="G4490" t="s">
        <v>33516</v>
      </c>
      <c r="H4490" t="s">
        <v>26011</v>
      </c>
      <c r="I4490" s="26">
        <v>41241</v>
      </c>
      <c r="J4490">
        <v>2012</v>
      </c>
      <c r="K4490" t="s">
        <v>26012</v>
      </c>
      <c r="L4490">
        <v>189</v>
      </c>
      <c r="M4490" t="s">
        <v>41793</v>
      </c>
      <c r="N4490">
        <v>1</v>
      </c>
      <c r="Q4490" t="s">
        <v>41794</v>
      </c>
      <c r="R4490">
        <v>190</v>
      </c>
      <c r="S4490" t="s">
        <v>41795</v>
      </c>
      <c r="T4490" t="s">
        <v>30</v>
      </c>
      <c r="U4490" t="s">
        <v>26520</v>
      </c>
      <c r="W4490" t="s">
        <v>26009</v>
      </c>
    </row>
    <row r="4491" spans="1:23" x14ac:dyDescent="0.35">
      <c r="A4491">
        <v>1049022</v>
      </c>
      <c r="B4491" t="s">
        <v>41796</v>
      </c>
      <c r="C4491" t="str">
        <f>"9781608054275"</f>
        <v>9781608054275</v>
      </c>
      <c r="D4491" t="str">
        <f>"9781608050499"</f>
        <v>9781608050499</v>
      </c>
      <c r="E4491" t="s">
        <v>9105</v>
      </c>
      <c r="F4491" t="s">
        <v>9105</v>
      </c>
      <c r="G4491" t="s">
        <v>41797</v>
      </c>
      <c r="H4491" t="s">
        <v>39644</v>
      </c>
      <c r="I4491" s="26">
        <v>41171</v>
      </c>
      <c r="J4491">
        <v>2012</v>
      </c>
      <c r="K4491" t="s">
        <v>41798</v>
      </c>
      <c r="L4491">
        <v>294</v>
      </c>
      <c r="M4491" t="s">
        <v>41799</v>
      </c>
      <c r="N4491">
        <v>1</v>
      </c>
      <c r="Q4491" t="s">
        <v>41800</v>
      </c>
      <c r="R4491">
        <v>616.85839999999996</v>
      </c>
      <c r="S4491" t="s">
        <v>41801</v>
      </c>
      <c r="T4491" t="s">
        <v>30</v>
      </c>
      <c r="U4491" t="s">
        <v>28289</v>
      </c>
      <c r="W4491" t="s">
        <v>26009</v>
      </c>
    </row>
    <row r="4492" spans="1:23" x14ac:dyDescent="0.35">
      <c r="A4492">
        <v>1049959</v>
      </c>
      <c r="B4492" t="s">
        <v>41802</v>
      </c>
      <c r="C4492" t="str">
        <f>"9781904575924"</f>
        <v>9781904575924</v>
      </c>
      <c r="D4492" t="str">
        <f>"9781907241970"</f>
        <v>9781907241970</v>
      </c>
      <c r="E4492" t="s">
        <v>39189</v>
      </c>
      <c r="F4492" t="s">
        <v>8703</v>
      </c>
      <c r="G4492" t="s">
        <v>39437</v>
      </c>
      <c r="H4492" t="s">
        <v>26011</v>
      </c>
      <c r="I4492" s="26">
        <v>40026</v>
      </c>
      <c r="J4492">
        <v>2012</v>
      </c>
      <c r="K4492" t="s">
        <v>41803</v>
      </c>
      <c r="L4492">
        <v>52</v>
      </c>
      <c r="M4492" t="s">
        <v>41804</v>
      </c>
      <c r="N4492">
        <v>1</v>
      </c>
      <c r="Q4492" t="s">
        <v>41805</v>
      </c>
      <c r="R4492">
        <v>372.21</v>
      </c>
      <c r="S4492" t="s">
        <v>41806</v>
      </c>
      <c r="T4492" t="s">
        <v>30</v>
      </c>
      <c r="U4492" t="s">
        <v>26070</v>
      </c>
      <c r="W4492" t="s">
        <v>26009</v>
      </c>
    </row>
    <row r="4493" spans="1:23" x14ac:dyDescent="0.35">
      <c r="A4493">
        <v>1050227</v>
      </c>
      <c r="B4493" t="s">
        <v>41807</v>
      </c>
      <c r="C4493" t="str">
        <f>"9780765709516"</f>
        <v>9780765709516</v>
      </c>
      <c r="D4493" t="str">
        <f>"9780765709523"</f>
        <v>9780765709523</v>
      </c>
      <c r="E4493" t="s">
        <v>33803</v>
      </c>
      <c r="F4493" t="s">
        <v>38</v>
      </c>
      <c r="G4493" t="s">
        <v>34138</v>
      </c>
      <c r="H4493" t="s">
        <v>26004</v>
      </c>
      <c r="I4493" s="26">
        <v>41215</v>
      </c>
      <c r="J4493">
        <v>2013</v>
      </c>
      <c r="K4493" t="s">
        <v>33811</v>
      </c>
      <c r="L4493">
        <v>260</v>
      </c>
      <c r="M4493" t="s">
        <v>41808</v>
      </c>
      <c r="N4493">
        <v>1</v>
      </c>
      <c r="Q4493" t="s">
        <v>41809</v>
      </c>
      <c r="R4493" t="s">
        <v>27122</v>
      </c>
      <c r="S4493" t="s">
        <v>41810</v>
      </c>
      <c r="T4493" t="s">
        <v>30</v>
      </c>
      <c r="U4493" t="s">
        <v>26116</v>
      </c>
      <c r="W4493" t="s">
        <v>26009</v>
      </c>
    </row>
    <row r="4494" spans="1:23" x14ac:dyDescent="0.35">
      <c r="A4494">
        <v>1051889</v>
      </c>
      <c r="B4494" t="s">
        <v>10218</v>
      </c>
      <c r="C4494" t="str">
        <f>"9780804776141"</f>
        <v>9780804776141</v>
      </c>
      <c r="D4494" t="str">
        <f>"9780804784306"</f>
        <v>9780804784306</v>
      </c>
      <c r="E4494" t="s">
        <v>8284</v>
      </c>
      <c r="F4494" t="s">
        <v>8284</v>
      </c>
      <c r="G4494" t="s">
        <v>23524</v>
      </c>
      <c r="H4494" t="s">
        <v>26004</v>
      </c>
      <c r="I4494" s="26">
        <v>41220</v>
      </c>
      <c r="J4494">
        <v>2012</v>
      </c>
      <c r="K4494" t="s">
        <v>8284</v>
      </c>
      <c r="L4494">
        <v>216</v>
      </c>
      <c r="M4494" t="s">
        <v>41811</v>
      </c>
      <c r="N4494">
        <v>1</v>
      </c>
      <c r="Q4494" t="s">
        <v>41812</v>
      </c>
      <c r="R4494" t="s">
        <v>28334</v>
      </c>
      <c r="S4494" t="s">
        <v>41813</v>
      </c>
      <c r="T4494" t="s">
        <v>30</v>
      </c>
      <c r="U4494" t="s">
        <v>152</v>
      </c>
      <c r="W4494" t="s">
        <v>26009</v>
      </c>
    </row>
    <row r="4495" spans="1:23" x14ac:dyDescent="0.35">
      <c r="A4495">
        <v>1057777</v>
      </c>
      <c r="B4495" t="s">
        <v>41814</v>
      </c>
      <c r="C4495" t="str">
        <f>"9780814784068"</f>
        <v>9780814784068</v>
      </c>
      <c r="D4495" t="str">
        <f>"9780814759417"</f>
        <v>9780814759417</v>
      </c>
      <c r="E4495" t="s">
        <v>39652</v>
      </c>
      <c r="F4495" t="s">
        <v>7532</v>
      </c>
      <c r="G4495" t="s">
        <v>22179</v>
      </c>
      <c r="H4495" t="s">
        <v>26004</v>
      </c>
      <c r="I4495" s="26">
        <v>41246</v>
      </c>
      <c r="J4495">
        <v>2012</v>
      </c>
      <c r="K4495" t="s">
        <v>7532</v>
      </c>
      <c r="L4495">
        <v>209</v>
      </c>
      <c r="M4495" t="s">
        <v>41815</v>
      </c>
      <c r="N4495">
        <v>1</v>
      </c>
      <c r="O4495" t="s">
        <v>39666</v>
      </c>
      <c r="P4495">
        <v>6</v>
      </c>
      <c r="Q4495" t="s">
        <v>41816</v>
      </c>
      <c r="R4495">
        <v>345.73027702690001</v>
      </c>
      <c r="S4495" t="s">
        <v>41817</v>
      </c>
      <c r="T4495" t="s">
        <v>30</v>
      </c>
      <c r="U4495" t="s">
        <v>28748</v>
      </c>
      <c r="W4495" t="s">
        <v>28347</v>
      </c>
    </row>
    <row r="4496" spans="1:23" x14ac:dyDescent="0.35">
      <c r="A4496">
        <v>1057799</v>
      </c>
      <c r="B4496" t="s">
        <v>41818</v>
      </c>
      <c r="C4496" t="str">
        <f>"9781593323752"</f>
        <v>9781593323752</v>
      </c>
      <c r="D4496" t="str">
        <f>"9781593326555"</f>
        <v>9781593326555</v>
      </c>
      <c r="E4496" t="s">
        <v>39498</v>
      </c>
      <c r="F4496" t="s">
        <v>8775</v>
      </c>
      <c r="G4496" t="s">
        <v>39499</v>
      </c>
      <c r="H4496" t="s">
        <v>26004</v>
      </c>
      <c r="I4496" s="26">
        <v>40466</v>
      </c>
      <c r="J4496">
        <v>2010</v>
      </c>
      <c r="K4496" t="s">
        <v>8775</v>
      </c>
      <c r="L4496">
        <v>197</v>
      </c>
      <c r="M4496" t="s">
        <v>41819</v>
      </c>
      <c r="N4496">
        <v>1</v>
      </c>
      <c r="O4496" t="s">
        <v>39501</v>
      </c>
      <c r="Q4496" t="s">
        <v>41820</v>
      </c>
      <c r="R4496" t="s">
        <v>41821</v>
      </c>
      <c r="S4496" t="s">
        <v>41822</v>
      </c>
      <c r="T4496" t="s">
        <v>30</v>
      </c>
      <c r="U4496" t="s">
        <v>26044</v>
      </c>
      <c r="W4496" t="s">
        <v>26009</v>
      </c>
    </row>
    <row r="4497" spans="1:23" x14ac:dyDescent="0.35">
      <c r="A4497">
        <v>1057811</v>
      </c>
      <c r="B4497" t="s">
        <v>10114</v>
      </c>
      <c r="C4497" t="str">
        <f>"9781593324872"</f>
        <v>9781593324872</v>
      </c>
      <c r="D4497" t="str">
        <f>"9781593326807"</f>
        <v>9781593326807</v>
      </c>
      <c r="E4497" t="s">
        <v>39498</v>
      </c>
      <c r="F4497" t="s">
        <v>8775</v>
      </c>
      <c r="G4497" t="s">
        <v>39499</v>
      </c>
      <c r="H4497" t="s">
        <v>26004</v>
      </c>
      <c r="I4497" s="26">
        <v>40709</v>
      </c>
      <c r="J4497">
        <v>2011</v>
      </c>
      <c r="K4497" t="s">
        <v>8775</v>
      </c>
      <c r="L4497">
        <v>327</v>
      </c>
      <c r="M4497" t="s">
        <v>41823</v>
      </c>
      <c r="N4497">
        <v>1</v>
      </c>
      <c r="O4497" t="s">
        <v>39501</v>
      </c>
      <c r="Q4497" t="s">
        <v>41824</v>
      </c>
      <c r="R4497" t="s">
        <v>41825</v>
      </c>
      <c r="S4497" t="s">
        <v>41826</v>
      </c>
      <c r="T4497" t="s">
        <v>30</v>
      </c>
      <c r="U4497" t="s">
        <v>26044</v>
      </c>
      <c r="W4497" t="s">
        <v>26009</v>
      </c>
    </row>
    <row r="4498" spans="1:23" x14ac:dyDescent="0.35">
      <c r="A4498">
        <v>1057870</v>
      </c>
      <c r="B4498" t="s">
        <v>41827</v>
      </c>
      <c r="C4498" t="str">
        <f>"9781593324803"</f>
        <v>9781593324803</v>
      </c>
      <c r="D4498" t="str">
        <f>"9781593326913"</f>
        <v>9781593326913</v>
      </c>
      <c r="E4498" t="s">
        <v>39498</v>
      </c>
      <c r="F4498" t="s">
        <v>8775</v>
      </c>
      <c r="G4498" t="s">
        <v>39499</v>
      </c>
      <c r="H4498" t="s">
        <v>26004</v>
      </c>
      <c r="I4498" s="26">
        <v>40801</v>
      </c>
      <c r="J4498">
        <v>2011</v>
      </c>
      <c r="K4498" t="s">
        <v>8775</v>
      </c>
      <c r="L4498">
        <v>203</v>
      </c>
      <c r="M4498" t="s">
        <v>41828</v>
      </c>
      <c r="N4498">
        <v>1</v>
      </c>
      <c r="O4498" t="s">
        <v>39501</v>
      </c>
      <c r="Q4498" t="s">
        <v>41829</v>
      </c>
      <c r="R4498" t="s">
        <v>41830</v>
      </c>
      <c r="S4498" t="s">
        <v>41831</v>
      </c>
      <c r="T4498" t="s">
        <v>30</v>
      </c>
      <c r="U4498" t="s">
        <v>26044</v>
      </c>
      <c r="W4498" t="s">
        <v>26009</v>
      </c>
    </row>
    <row r="4499" spans="1:23" x14ac:dyDescent="0.35">
      <c r="A4499">
        <v>1058139</v>
      </c>
      <c r="B4499" t="s">
        <v>41832</v>
      </c>
      <c r="C4499" t="str">
        <f>"9780765707222"</f>
        <v>9780765707222</v>
      </c>
      <c r="D4499" t="str">
        <f>"9781461730965"</f>
        <v>9781461730965</v>
      </c>
      <c r="E4499" t="s">
        <v>33803</v>
      </c>
      <c r="F4499" t="s">
        <v>38</v>
      </c>
      <c r="G4499" t="s">
        <v>34138</v>
      </c>
      <c r="H4499" t="s">
        <v>26004</v>
      </c>
      <c r="I4499" s="26">
        <v>40394</v>
      </c>
      <c r="J4499">
        <v>2010</v>
      </c>
      <c r="K4499" t="s">
        <v>33811</v>
      </c>
      <c r="L4499">
        <v>170</v>
      </c>
      <c r="M4499" t="s">
        <v>41833</v>
      </c>
      <c r="N4499">
        <v>1</v>
      </c>
      <c r="Q4499" t="s">
        <v>41834</v>
      </c>
      <c r="R4499" t="s">
        <v>41835</v>
      </c>
      <c r="S4499" t="s">
        <v>41836</v>
      </c>
      <c r="T4499" t="s">
        <v>30</v>
      </c>
      <c r="U4499" t="s">
        <v>33231</v>
      </c>
      <c r="W4499" t="s">
        <v>26009</v>
      </c>
    </row>
    <row r="4500" spans="1:23" x14ac:dyDescent="0.35">
      <c r="A4500">
        <v>1058482</v>
      </c>
      <c r="B4500" t="s">
        <v>9112</v>
      </c>
      <c r="C4500" t="str">
        <f>"9781780490915"</f>
        <v>9781780490915</v>
      </c>
      <c r="D4500" t="str">
        <f>"9781782410362"</f>
        <v>9781782410362</v>
      </c>
      <c r="E4500" t="s">
        <v>26010</v>
      </c>
      <c r="F4500" t="s">
        <v>35</v>
      </c>
      <c r="G4500" t="s">
        <v>22174</v>
      </c>
      <c r="H4500" t="s">
        <v>26011</v>
      </c>
      <c r="I4500" s="26">
        <v>41275</v>
      </c>
      <c r="J4500">
        <v>2013</v>
      </c>
      <c r="K4500" t="s">
        <v>26012</v>
      </c>
      <c r="L4500">
        <v>362</v>
      </c>
      <c r="M4500" t="s">
        <v>41837</v>
      </c>
      <c r="N4500">
        <v>1</v>
      </c>
      <c r="O4500" t="s">
        <v>36547</v>
      </c>
      <c r="Q4500" t="s">
        <v>41838</v>
      </c>
      <c r="R4500">
        <v>616.85210651</v>
      </c>
      <c r="S4500" t="s">
        <v>41839</v>
      </c>
      <c r="T4500" t="s">
        <v>30</v>
      </c>
      <c r="U4500" t="s">
        <v>26019</v>
      </c>
      <c r="W4500" t="s">
        <v>26009</v>
      </c>
    </row>
    <row r="4501" spans="1:23" x14ac:dyDescent="0.35">
      <c r="A4501">
        <v>1068555</v>
      </c>
      <c r="B4501" t="s">
        <v>7802</v>
      </c>
      <c r="C4501" t="str">
        <f>"9780946439430"</f>
        <v>9780946439430</v>
      </c>
      <c r="D4501" t="str">
        <f>"9781782410164"</f>
        <v>9781782410164</v>
      </c>
      <c r="E4501" t="s">
        <v>26010</v>
      </c>
      <c r="F4501" t="s">
        <v>35</v>
      </c>
      <c r="G4501" t="s">
        <v>22174</v>
      </c>
      <c r="H4501" t="s">
        <v>26011</v>
      </c>
      <c r="I4501" s="26">
        <v>37407</v>
      </c>
      <c r="J4501">
        <v>2002</v>
      </c>
      <c r="K4501" t="s">
        <v>26012</v>
      </c>
      <c r="L4501">
        <v>335</v>
      </c>
      <c r="M4501" t="s">
        <v>41840</v>
      </c>
      <c r="N4501">
        <v>2</v>
      </c>
      <c r="O4501" t="s">
        <v>37172</v>
      </c>
      <c r="Q4501" t="s">
        <v>41841</v>
      </c>
      <c r="R4501">
        <v>618.9289</v>
      </c>
      <c r="S4501" t="s">
        <v>37106</v>
      </c>
      <c r="T4501" t="s">
        <v>30</v>
      </c>
      <c r="U4501" t="s">
        <v>26019</v>
      </c>
      <c r="W4501" t="s">
        <v>26009</v>
      </c>
    </row>
    <row r="4502" spans="1:23" x14ac:dyDescent="0.35">
      <c r="A4502">
        <v>1068556</v>
      </c>
      <c r="B4502" t="s">
        <v>41842</v>
      </c>
      <c r="C4502" t="str">
        <f>"9781780490434"</f>
        <v>9781780490434</v>
      </c>
      <c r="D4502" t="str">
        <f>"9781782410379"</f>
        <v>9781782410379</v>
      </c>
      <c r="E4502" t="s">
        <v>26010</v>
      </c>
      <c r="F4502" t="s">
        <v>35</v>
      </c>
      <c r="G4502" t="s">
        <v>22174</v>
      </c>
      <c r="H4502" t="s">
        <v>26011</v>
      </c>
      <c r="I4502" s="26">
        <v>41275</v>
      </c>
      <c r="J4502">
        <v>2013</v>
      </c>
      <c r="K4502" t="s">
        <v>26012</v>
      </c>
      <c r="L4502">
        <v>401</v>
      </c>
      <c r="M4502" t="s">
        <v>41843</v>
      </c>
      <c r="N4502">
        <v>1</v>
      </c>
      <c r="Q4502" t="s">
        <v>41844</v>
      </c>
      <c r="R4502">
        <v>150.1952</v>
      </c>
      <c r="S4502" t="s">
        <v>41845</v>
      </c>
      <c r="T4502" t="s">
        <v>30</v>
      </c>
      <c r="U4502" t="s">
        <v>26019</v>
      </c>
      <c r="W4502" t="s">
        <v>26009</v>
      </c>
    </row>
    <row r="4503" spans="1:23" x14ac:dyDescent="0.35">
      <c r="A4503">
        <v>1068557</v>
      </c>
      <c r="B4503" t="s">
        <v>41846</v>
      </c>
      <c r="C4503" t="str">
        <f>"9781855751927"</f>
        <v>9781855751927</v>
      </c>
      <c r="D4503" t="str">
        <f>"9781782410393"</f>
        <v>9781782410393</v>
      </c>
      <c r="E4503" t="s">
        <v>26010</v>
      </c>
      <c r="F4503" t="s">
        <v>35</v>
      </c>
      <c r="G4503" t="s">
        <v>22174</v>
      </c>
      <c r="H4503" t="s">
        <v>26011</v>
      </c>
      <c r="I4503" s="26">
        <v>37256</v>
      </c>
      <c r="J4503">
        <v>2001</v>
      </c>
      <c r="K4503" t="s">
        <v>26012</v>
      </c>
      <c r="L4503">
        <v>141</v>
      </c>
      <c r="M4503" t="s">
        <v>41847</v>
      </c>
      <c r="N4503">
        <v>1</v>
      </c>
      <c r="O4503" t="s">
        <v>37022</v>
      </c>
      <c r="Q4503" t="s">
        <v>41848</v>
      </c>
      <c r="R4503">
        <v>616.89139999999998</v>
      </c>
      <c r="S4503" t="s">
        <v>41849</v>
      </c>
      <c r="T4503" t="s">
        <v>30</v>
      </c>
      <c r="U4503" t="s">
        <v>26116</v>
      </c>
      <c r="W4503" t="s">
        <v>26009</v>
      </c>
    </row>
    <row r="4504" spans="1:23" x14ac:dyDescent="0.35">
      <c r="A4504">
        <v>1068559</v>
      </c>
      <c r="B4504" t="s">
        <v>41850</v>
      </c>
      <c r="C4504" t="str">
        <f>"9781855750340"</f>
        <v>9781855750340</v>
      </c>
      <c r="D4504" t="str">
        <f>"9781782410416"</f>
        <v>9781782410416</v>
      </c>
      <c r="E4504" t="s">
        <v>26010</v>
      </c>
      <c r="F4504" t="s">
        <v>35</v>
      </c>
      <c r="G4504" t="s">
        <v>22174</v>
      </c>
      <c r="H4504" t="s">
        <v>26011</v>
      </c>
      <c r="I4504" s="26">
        <v>36525</v>
      </c>
      <c r="J4504">
        <v>1999</v>
      </c>
      <c r="K4504" t="s">
        <v>26012</v>
      </c>
      <c r="L4504">
        <v>273</v>
      </c>
      <c r="M4504" t="s">
        <v>41851</v>
      </c>
      <c r="N4504">
        <v>1</v>
      </c>
      <c r="Q4504" t="s">
        <v>41852</v>
      </c>
      <c r="R4504">
        <v>150.19499999999999</v>
      </c>
      <c r="S4504" t="s">
        <v>41853</v>
      </c>
      <c r="T4504" t="s">
        <v>30</v>
      </c>
      <c r="U4504" t="s">
        <v>26019</v>
      </c>
      <c r="W4504" t="s">
        <v>26009</v>
      </c>
    </row>
    <row r="4505" spans="1:23" x14ac:dyDescent="0.35">
      <c r="A4505">
        <v>1069226</v>
      </c>
      <c r="B4505" t="s">
        <v>41854</v>
      </c>
      <c r="C4505" t="str">
        <f>"9781462507627"</f>
        <v>9781462507627</v>
      </c>
      <c r="D4505" t="str">
        <f>"9781462507634"</f>
        <v>9781462507634</v>
      </c>
      <c r="E4505" t="s">
        <v>30112</v>
      </c>
      <c r="F4505" t="s">
        <v>7420</v>
      </c>
      <c r="G4505" t="s">
        <v>22179</v>
      </c>
      <c r="H4505" t="s">
        <v>26004</v>
      </c>
      <c r="I4505" s="26">
        <v>41246</v>
      </c>
      <c r="J4505">
        <v>2013</v>
      </c>
      <c r="K4505" t="s">
        <v>30113</v>
      </c>
      <c r="L4505">
        <v>225</v>
      </c>
      <c r="M4505" t="s">
        <v>41855</v>
      </c>
      <c r="N4505">
        <v>1</v>
      </c>
      <c r="Q4505" t="s">
        <v>41856</v>
      </c>
      <c r="R4505">
        <v>371.9</v>
      </c>
      <c r="S4505" t="s">
        <v>41857</v>
      </c>
      <c r="T4505" t="s">
        <v>30</v>
      </c>
      <c r="U4505" t="s">
        <v>337</v>
      </c>
      <c r="W4505" t="s">
        <v>28347</v>
      </c>
    </row>
    <row r="4506" spans="1:23" x14ac:dyDescent="0.35">
      <c r="A4506">
        <v>1069227</v>
      </c>
      <c r="B4506" t="s">
        <v>41858</v>
      </c>
      <c r="C4506" t="str">
        <f>"9781609181703"</f>
        <v>9781609181703</v>
      </c>
      <c r="D4506" t="str">
        <f>"9781462507399"</f>
        <v>9781462507399</v>
      </c>
      <c r="E4506" t="s">
        <v>30112</v>
      </c>
      <c r="F4506" t="s">
        <v>7420</v>
      </c>
      <c r="G4506" t="s">
        <v>22179</v>
      </c>
      <c r="H4506" t="s">
        <v>26004</v>
      </c>
      <c r="I4506" s="26">
        <v>41218</v>
      </c>
      <c r="J4506">
        <v>2013</v>
      </c>
      <c r="K4506" t="s">
        <v>30113</v>
      </c>
      <c r="L4506">
        <v>289</v>
      </c>
      <c r="M4506" t="s">
        <v>41859</v>
      </c>
      <c r="N4506">
        <v>1</v>
      </c>
      <c r="Q4506" t="s">
        <v>41860</v>
      </c>
      <c r="R4506" t="s">
        <v>29630</v>
      </c>
      <c r="S4506" t="s">
        <v>41861</v>
      </c>
      <c r="T4506" t="s">
        <v>30</v>
      </c>
      <c r="U4506" t="s">
        <v>28629</v>
      </c>
      <c r="W4506" t="s">
        <v>28347</v>
      </c>
    </row>
    <row r="4507" spans="1:23" x14ac:dyDescent="0.35">
      <c r="A4507">
        <v>1069446</v>
      </c>
      <c r="B4507" t="s">
        <v>41862</v>
      </c>
      <c r="C4507" t="str">
        <f>"9780335245635"</f>
        <v>9780335245635</v>
      </c>
      <c r="D4507" t="str">
        <f>"9780335245642"</f>
        <v>9780335245642</v>
      </c>
      <c r="E4507" t="s">
        <v>29061</v>
      </c>
      <c r="F4507" t="s">
        <v>7477</v>
      </c>
      <c r="G4507" t="s">
        <v>29068</v>
      </c>
      <c r="H4507" t="s">
        <v>26011</v>
      </c>
      <c r="I4507" s="26">
        <v>41122</v>
      </c>
      <c r="J4507">
        <v>2012</v>
      </c>
      <c r="K4507" t="s">
        <v>29063</v>
      </c>
      <c r="L4507">
        <v>170</v>
      </c>
      <c r="M4507" t="s">
        <v>41863</v>
      </c>
      <c r="N4507">
        <v>1</v>
      </c>
      <c r="O4507" t="s">
        <v>29070</v>
      </c>
      <c r="T4507" t="s">
        <v>30</v>
      </c>
      <c r="U4507" t="s">
        <v>46</v>
      </c>
      <c r="W4507" t="s">
        <v>26009</v>
      </c>
    </row>
    <row r="4508" spans="1:23" x14ac:dyDescent="0.35">
      <c r="A4508">
        <v>1069449</v>
      </c>
      <c r="B4508" t="s">
        <v>41864</v>
      </c>
      <c r="C4508" t="str">
        <f>"9780335247189"</f>
        <v>9780335247189</v>
      </c>
      <c r="D4508" t="str">
        <f>"9780335247196"</f>
        <v>9780335247196</v>
      </c>
      <c r="E4508" t="s">
        <v>29061</v>
      </c>
      <c r="F4508" t="s">
        <v>7477</v>
      </c>
      <c r="G4508" t="s">
        <v>29068</v>
      </c>
      <c r="H4508" t="s">
        <v>26011</v>
      </c>
      <c r="I4508" s="26">
        <v>41122</v>
      </c>
      <c r="J4508">
        <v>2012</v>
      </c>
      <c r="K4508" t="s">
        <v>29063</v>
      </c>
      <c r="L4508">
        <v>290</v>
      </c>
      <c r="M4508" t="s">
        <v>28010</v>
      </c>
      <c r="N4508">
        <v>4</v>
      </c>
      <c r="O4508" t="s">
        <v>29070</v>
      </c>
      <c r="Q4508" t="s">
        <v>41865</v>
      </c>
      <c r="R4508">
        <v>616.89139999999998</v>
      </c>
      <c r="S4508" t="s">
        <v>36828</v>
      </c>
      <c r="T4508" t="s">
        <v>30</v>
      </c>
      <c r="U4508" t="s">
        <v>26116</v>
      </c>
      <c r="W4508" t="s">
        <v>26009</v>
      </c>
    </row>
    <row r="4509" spans="1:23" x14ac:dyDescent="0.35">
      <c r="A4509">
        <v>1069453</v>
      </c>
      <c r="B4509" t="s">
        <v>41866</v>
      </c>
      <c r="C4509" t="str">
        <f>"9780335245475"</f>
        <v>9780335245475</v>
      </c>
      <c r="D4509" t="str">
        <f>"9780335245482"</f>
        <v>9780335245482</v>
      </c>
      <c r="E4509" t="s">
        <v>29061</v>
      </c>
      <c r="F4509" t="s">
        <v>7477</v>
      </c>
      <c r="G4509" t="s">
        <v>29068</v>
      </c>
      <c r="H4509" t="s">
        <v>26011</v>
      </c>
      <c r="I4509" s="26">
        <v>41122</v>
      </c>
      <c r="J4509">
        <v>2012</v>
      </c>
      <c r="K4509" t="s">
        <v>29063</v>
      </c>
      <c r="L4509">
        <v>162</v>
      </c>
      <c r="M4509" t="s">
        <v>41867</v>
      </c>
      <c r="N4509">
        <v>1</v>
      </c>
      <c r="O4509" t="s">
        <v>29070</v>
      </c>
      <c r="R4509">
        <v>658.40712399999995</v>
      </c>
      <c r="S4509" t="s">
        <v>41868</v>
      </c>
      <c r="T4509" t="s">
        <v>30</v>
      </c>
      <c r="U4509" t="s">
        <v>30031</v>
      </c>
      <c r="W4509" t="s">
        <v>26009</v>
      </c>
    </row>
    <row r="4510" spans="1:23" x14ac:dyDescent="0.35">
      <c r="A4510">
        <v>1069455</v>
      </c>
      <c r="B4510" t="s">
        <v>41869</v>
      </c>
      <c r="C4510" t="str">
        <f>"9780335246168"</f>
        <v>9780335246168</v>
      </c>
      <c r="D4510" t="str">
        <f>"9780335246175"</f>
        <v>9780335246175</v>
      </c>
      <c r="E4510" t="s">
        <v>29061</v>
      </c>
      <c r="F4510" t="s">
        <v>7477</v>
      </c>
      <c r="G4510" t="s">
        <v>29068</v>
      </c>
      <c r="H4510" t="s">
        <v>26011</v>
      </c>
      <c r="I4510" s="26">
        <v>40969</v>
      </c>
      <c r="J4510">
        <v>2012</v>
      </c>
      <c r="K4510" t="s">
        <v>29063</v>
      </c>
      <c r="L4510">
        <v>242</v>
      </c>
      <c r="M4510" t="s">
        <v>41870</v>
      </c>
      <c r="N4510">
        <v>1</v>
      </c>
      <c r="O4510" t="s">
        <v>30777</v>
      </c>
      <c r="Q4510" t="s">
        <v>41871</v>
      </c>
      <c r="S4510" t="s">
        <v>41872</v>
      </c>
      <c r="T4510" t="s">
        <v>30</v>
      </c>
      <c r="U4510" t="s">
        <v>46</v>
      </c>
      <c r="W4510" t="s">
        <v>26009</v>
      </c>
    </row>
    <row r="4511" spans="1:23" x14ac:dyDescent="0.35">
      <c r="A4511">
        <v>1069472</v>
      </c>
      <c r="B4511" t="s">
        <v>41873</v>
      </c>
      <c r="C4511" t="str">
        <f>""</f>
        <v/>
      </c>
      <c r="D4511" t="str">
        <f>"9781847791634"</f>
        <v>9781847791634</v>
      </c>
      <c r="E4511" t="s">
        <v>8068</v>
      </c>
      <c r="F4511" t="s">
        <v>8068</v>
      </c>
      <c r="G4511" t="s">
        <v>25339</v>
      </c>
      <c r="H4511" t="s">
        <v>26011</v>
      </c>
      <c r="I4511" s="26">
        <v>39082</v>
      </c>
      <c r="J4511">
        <v>2006</v>
      </c>
      <c r="K4511" t="s">
        <v>8068</v>
      </c>
      <c r="L4511">
        <v>230</v>
      </c>
      <c r="M4511" t="s">
        <v>41874</v>
      </c>
      <c r="N4511">
        <v>1</v>
      </c>
      <c r="R4511">
        <v>394.14</v>
      </c>
      <c r="S4511" t="s">
        <v>41875</v>
      </c>
      <c r="T4511" t="s">
        <v>30</v>
      </c>
      <c r="U4511" t="s">
        <v>26044</v>
      </c>
      <c r="W4511" t="s">
        <v>28347</v>
      </c>
    </row>
    <row r="4512" spans="1:23" x14ac:dyDescent="0.35">
      <c r="A4512">
        <v>1069497</v>
      </c>
      <c r="B4512" t="s">
        <v>41876</v>
      </c>
      <c r="C4512" t="str">
        <f>"9780719066962"</f>
        <v>9780719066962</v>
      </c>
      <c r="D4512" t="str">
        <f>"9781847792259"</f>
        <v>9781847792259</v>
      </c>
      <c r="E4512" t="s">
        <v>8068</v>
      </c>
      <c r="F4512" t="s">
        <v>8068</v>
      </c>
      <c r="G4512" t="s">
        <v>25339</v>
      </c>
      <c r="H4512" t="s">
        <v>26011</v>
      </c>
      <c r="I4512" s="26">
        <v>39082</v>
      </c>
      <c r="J4512">
        <v>2006</v>
      </c>
      <c r="K4512" t="s">
        <v>8068</v>
      </c>
      <c r="L4512">
        <v>225</v>
      </c>
      <c r="M4512" t="s">
        <v>41877</v>
      </c>
      <c r="N4512">
        <v>1</v>
      </c>
      <c r="O4512" t="s">
        <v>41878</v>
      </c>
      <c r="R4512">
        <v>941.60824000000002</v>
      </c>
      <c r="S4512" t="s">
        <v>41879</v>
      </c>
      <c r="T4512" t="s">
        <v>30</v>
      </c>
      <c r="U4512" t="s">
        <v>402</v>
      </c>
      <c r="W4512" t="s">
        <v>28347</v>
      </c>
    </row>
    <row r="4513" spans="1:23" x14ac:dyDescent="0.35">
      <c r="A4513">
        <v>1069565</v>
      </c>
      <c r="B4513" t="s">
        <v>41880</v>
      </c>
      <c r="C4513" t="str">
        <f>""</f>
        <v/>
      </c>
      <c r="D4513" t="str">
        <f>"9781847791467"</f>
        <v>9781847791467</v>
      </c>
      <c r="E4513" t="s">
        <v>8068</v>
      </c>
      <c r="F4513" t="s">
        <v>8068</v>
      </c>
      <c r="G4513" t="s">
        <v>25339</v>
      </c>
      <c r="H4513" t="s">
        <v>26011</v>
      </c>
      <c r="I4513" s="26">
        <v>39644</v>
      </c>
      <c r="J4513">
        <v>2007</v>
      </c>
      <c r="K4513" t="s">
        <v>8068</v>
      </c>
      <c r="L4513">
        <v>161</v>
      </c>
      <c r="M4513" t="s">
        <v>41881</v>
      </c>
      <c r="N4513">
        <v>1</v>
      </c>
      <c r="O4513" t="s">
        <v>41882</v>
      </c>
      <c r="R4513" t="s">
        <v>26196</v>
      </c>
      <c r="S4513" t="s">
        <v>41883</v>
      </c>
      <c r="T4513" t="s">
        <v>30</v>
      </c>
      <c r="U4513" t="s">
        <v>11247</v>
      </c>
      <c r="W4513" t="s">
        <v>28347</v>
      </c>
    </row>
    <row r="4514" spans="1:23" x14ac:dyDescent="0.35">
      <c r="A4514">
        <v>1069610</v>
      </c>
      <c r="B4514" t="s">
        <v>41884</v>
      </c>
      <c r="C4514" t="str">
        <f>""</f>
        <v/>
      </c>
      <c r="D4514" t="str">
        <f>"9781847793324"</f>
        <v>9781847793324</v>
      </c>
      <c r="E4514" t="s">
        <v>8068</v>
      </c>
      <c r="F4514" t="s">
        <v>8068</v>
      </c>
      <c r="G4514" t="s">
        <v>25339</v>
      </c>
      <c r="H4514" t="s">
        <v>26011</v>
      </c>
      <c r="I4514" s="26">
        <v>40057</v>
      </c>
      <c r="J4514">
        <v>2009</v>
      </c>
      <c r="K4514" t="s">
        <v>8068</v>
      </c>
      <c r="L4514">
        <v>289</v>
      </c>
      <c r="M4514" t="s">
        <v>41885</v>
      </c>
      <c r="N4514">
        <v>1</v>
      </c>
      <c r="R4514">
        <v>363.41094199999998</v>
      </c>
      <c r="S4514" t="s">
        <v>41886</v>
      </c>
      <c r="T4514" t="s">
        <v>30</v>
      </c>
      <c r="U4514" t="s">
        <v>26044</v>
      </c>
      <c r="W4514" t="s">
        <v>28347</v>
      </c>
    </row>
    <row r="4515" spans="1:23" x14ac:dyDescent="0.35">
      <c r="A4515">
        <v>1069692</v>
      </c>
      <c r="B4515" t="s">
        <v>41887</v>
      </c>
      <c r="C4515" t="str">
        <f>""</f>
        <v/>
      </c>
      <c r="D4515" t="str">
        <f>"9781847794444"</f>
        <v>9781847794444</v>
      </c>
      <c r="E4515" t="s">
        <v>8068</v>
      </c>
      <c r="F4515" t="s">
        <v>8068</v>
      </c>
      <c r="G4515" t="s">
        <v>25339</v>
      </c>
      <c r="H4515" t="s">
        <v>26011</v>
      </c>
      <c r="I4515" s="26">
        <v>39172</v>
      </c>
      <c r="J4515">
        <v>2007</v>
      </c>
      <c r="K4515" t="s">
        <v>8068</v>
      </c>
      <c r="L4515">
        <v>233</v>
      </c>
      <c r="M4515" t="s">
        <v>37060</v>
      </c>
      <c r="N4515">
        <v>1</v>
      </c>
      <c r="R4515">
        <v>306.46129999999999</v>
      </c>
      <c r="S4515" t="s">
        <v>41888</v>
      </c>
      <c r="T4515" t="s">
        <v>30</v>
      </c>
      <c r="U4515" t="s">
        <v>26044</v>
      </c>
      <c r="W4515" t="s">
        <v>28347</v>
      </c>
    </row>
    <row r="4516" spans="1:23" x14ac:dyDescent="0.35">
      <c r="A4516">
        <v>1069782</v>
      </c>
      <c r="B4516" t="s">
        <v>41889</v>
      </c>
      <c r="C4516" t="str">
        <f>"9780826103178"</f>
        <v>9780826103178</v>
      </c>
      <c r="D4516" t="str">
        <f>"9780826105530"</f>
        <v>9780826105530</v>
      </c>
      <c r="E4516" t="s">
        <v>1504</v>
      </c>
      <c r="F4516" t="s">
        <v>33</v>
      </c>
      <c r="G4516" t="s">
        <v>22179</v>
      </c>
      <c r="H4516" t="s">
        <v>26004</v>
      </c>
      <c r="I4516" s="26">
        <v>41183</v>
      </c>
      <c r="J4516">
        <v>2013</v>
      </c>
      <c r="K4516" t="s">
        <v>33</v>
      </c>
      <c r="L4516">
        <v>529</v>
      </c>
      <c r="M4516" t="s">
        <v>33997</v>
      </c>
      <c r="N4516">
        <v>1</v>
      </c>
      <c r="Q4516" t="s">
        <v>41890</v>
      </c>
      <c r="R4516">
        <v>796.01</v>
      </c>
      <c r="S4516" t="s">
        <v>41891</v>
      </c>
      <c r="T4516" t="s">
        <v>30</v>
      </c>
      <c r="U4516" t="s">
        <v>26008</v>
      </c>
      <c r="W4516" t="s">
        <v>26009</v>
      </c>
    </row>
    <row r="4517" spans="1:23" x14ac:dyDescent="0.35">
      <c r="A4517">
        <v>1069785</v>
      </c>
      <c r="B4517" t="s">
        <v>9230</v>
      </c>
      <c r="C4517" t="str">
        <f>"9780826107008"</f>
        <v>9780826107008</v>
      </c>
      <c r="D4517" t="str">
        <f>"9780826107015"</f>
        <v>9780826107015</v>
      </c>
      <c r="E4517" t="s">
        <v>1504</v>
      </c>
      <c r="F4517" t="s">
        <v>33</v>
      </c>
      <c r="G4517" t="s">
        <v>22179</v>
      </c>
      <c r="H4517" t="s">
        <v>26004</v>
      </c>
      <c r="I4517" s="26">
        <v>41244</v>
      </c>
      <c r="J4517">
        <v>2012</v>
      </c>
      <c r="K4517" t="s">
        <v>33</v>
      </c>
      <c r="L4517">
        <v>535</v>
      </c>
      <c r="M4517" t="s">
        <v>41892</v>
      </c>
      <c r="N4517">
        <v>1</v>
      </c>
      <c r="O4517" t="s">
        <v>41893</v>
      </c>
      <c r="Q4517" t="s">
        <v>41894</v>
      </c>
      <c r="R4517">
        <v>616.89</v>
      </c>
      <c r="S4517" t="s">
        <v>41895</v>
      </c>
      <c r="T4517" t="s">
        <v>30</v>
      </c>
      <c r="U4517" t="s">
        <v>26116</v>
      </c>
      <c r="W4517" t="s">
        <v>26009</v>
      </c>
    </row>
    <row r="4518" spans="1:23" x14ac:dyDescent="0.35">
      <c r="A4518">
        <v>1073541</v>
      </c>
      <c r="B4518" t="s">
        <v>41896</v>
      </c>
      <c r="C4518" t="str">
        <f>"9780199693184"</f>
        <v>9780199693184</v>
      </c>
      <c r="D4518" t="str">
        <f>"9780191644412"</f>
        <v>9780191644412</v>
      </c>
      <c r="E4518" t="s">
        <v>371</v>
      </c>
      <c r="F4518" t="s">
        <v>31</v>
      </c>
      <c r="G4518" t="s">
        <v>22242</v>
      </c>
      <c r="H4518" t="s">
        <v>26011</v>
      </c>
      <c r="I4518" s="26">
        <v>41940</v>
      </c>
      <c r="J4518">
        <v>2012</v>
      </c>
      <c r="K4518" t="s">
        <v>31</v>
      </c>
      <c r="L4518">
        <v>241</v>
      </c>
      <c r="M4518" t="s">
        <v>41897</v>
      </c>
      <c r="Q4518" t="s">
        <v>41898</v>
      </c>
      <c r="R4518">
        <v>152.6</v>
      </c>
      <c r="S4518" t="s">
        <v>41899</v>
      </c>
      <c r="T4518" t="s">
        <v>30</v>
      </c>
      <c r="U4518" t="s">
        <v>46</v>
      </c>
      <c r="W4518" t="s">
        <v>26009</v>
      </c>
    </row>
    <row r="4519" spans="1:23" x14ac:dyDescent="0.35">
      <c r="A4519">
        <v>1074898</v>
      </c>
      <c r="B4519" t="s">
        <v>41900</v>
      </c>
      <c r="C4519" t="str">
        <f>"9781848720565"</f>
        <v>9781848720565</v>
      </c>
      <c r="D4519" t="str">
        <f>"9781135848248"</f>
        <v>9781135848248</v>
      </c>
      <c r="E4519" t="s">
        <v>26010</v>
      </c>
      <c r="F4519" t="s">
        <v>35</v>
      </c>
      <c r="G4519" t="s">
        <v>22174</v>
      </c>
      <c r="H4519" t="s">
        <v>26011</v>
      </c>
      <c r="I4519" s="26">
        <v>41100</v>
      </c>
      <c r="J4519">
        <v>2012</v>
      </c>
      <c r="K4519" t="s">
        <v>26012</v>
      </c>
      <c r="L4519">
        <v>396</v>
      </c>
      <c r="M4519" t="s">
        <v>41901</v>
      </c>
      <c r="N4519">
        <v>1</v>
      </c>
      <c r="Q4519" t="s">
        <v>41902</v>
      </c>
      <c r="R4519">
        <v>158.69999999999999</v>
      </c>
      <c r="S4519" t="s">
        <v>41903</v>
      </c>
      <c r="T4519" t="s">
        <v>30</v>
      </c>
      <c r="U4519" t="s">
        <v>46</v>
      </c>
      <c r="W4519" t="s">
        <v>26009</v>
      </c>
    </row>
    <row r="4520" spans="1:23" x14ac:dyDescent="0.35">
      <c r="A4520">
        <v>1074919</v>
      </c>
      <c r="B4520" t="s">
        <v>41904</v>
      </c>
      <c r="C4520" t="str">
        <f>"9780415637046"</f>
        <v>9780415637046</v>
      </c>
      <c r="D4520" t="str">
        <f>"9781136194344"</f>
        <v>9781136194344</v>
      </c>
      <c r="E4520" t="s">
        <v>26010</v>
      </c>
      <c r="F4520" t="s">
        <v>35</v>
      </c>
      <c r="G4520" t="s">
        <v>22174</v>
      </c>
      <c r="H4520" t="s">
        <v>26011</v>
      </c>
      <c r="I4520" s="26">
        <v>41193</v>
      </c>
      <c r="J4520">
        <v>2013</v>
      </c>
      <c r="K4520" t="s">
        <v>26012</v>
      </c>
      <c r="L4520">
        <v>169</v>
      </c>
      <c r="M4520" t="s">
        <v>41905</v>
      </c>
      <c r="N4520">
        <v>1</v>
      </c>
      <c r="O4520" t="s">
        <v>41906</v>
      </c>
      <c r="Q4520" t="s">
        <v>41907</v>
      </c>
      <c r="R4520">
        <v>305.42</v>
      </c>
      <c r="S4520" t="s">
        <v>41908</v>
      </c>
      <c r="T4520" t="s">
        <v>30</v>
      </c>
      <c r="U4520" t="s">
        <v>26044</v>
      </c>
      <c r="W4520" t="s">
        <v>26009</v>
      </c>
    </row>
    <row r="4521" spans="1:23" x14ac:dyDescent="0.35">
      <c r="A4521">
        <v>1074987</v>
      </c>
      <c r="B4521" t="s">
        <v>41909</v>
      </c>
      <c r="C4521" t="str">
        <f>"9780415498166"</f>
        <v>9780415498166</v>
      </c>
      <c r="D4521" t="str">
        <f>"9781136584985"</f>
        <v>9781136584985</v>
      </c>
      <c r="E4521" t="s">
        <v>26010</v>
      </c>
      <c r="F4521" t="s">
        <v>35</v>
      </c>
      <c r="G4521" t="s">
        <v>22174</v>
      </c>
      <c r="H4521" t="s">
        <v>26011</v>
      </c>
      <c r="I4521" s="26">
        <v>40875</v>
      </c>
      <c r="J4521">
        <v>2012</v>
      </c>
      <c r="K4521" t="s">
        <v>26012</v>
      </c>
      <c r="L4521">
        <v>221</v>
      </c>
      <c r="M4521" t="s">
        <v>41910</v>
      </c>
      <c r="N4521">
        <v>1</v>
      </c>
      <c r="Q4521" t="s">
        <v>41911</v>
      </c>
      <c r="R4521" t="s">
        <v>39271</v>
      </c>
      <c r="S4521" t="s">
        <v>10101</v>
      </c>
      <c r="T4521" t="s">
        <v>30</v>
      </c>
      <c r="U4521" t="s">
        <v>26116</v>
      </c>
      <c r="W4521" t="s">
        <v>26009</v>
      </c>
    </row>
    <row r="4522" spans="1:23" x14ac:dyDescent="0.35">
      <c r="A4522">
        <v>1075012</v>
      </c>
      <c r="B4522" t="s">
        <v>41912</v>
      </c>
      <c r="C4522" t="str">
        <f>"9780415670180"</f>
        <v>9780415670180</v>
      </c>
      <c r="D4522" t="str">
        <f>"9781136233920"</f>
        <v>9781136233920</v>
      </c>
      <c r="E4522" t="s">
        <v>26010</v>
      </c>
      <c r="F4522" t="s">
        <v>35</v>
      </c>
      <c r="G4522" t="s">
        <v>22174</v>
      </c>
      <c r="H4522" t="s">
        <v>26011</v>
      </c>
      <c r="I4522" s="26">
        <v>41187</v>
      </c>
      <c r="J4522">
        <v>2012</v>
      </c>
      <c r="K4522" t="s">
        <v>26012</v>
      </c>
      <c r="L4522">
        <v>241</v>
      </c>
      <c r="M4522" t="s">
        <v>41913</v>
      </c>
      <c r="N4522">
        <v>1</v>
      </c>
      <c r="O4522" t="s">
        <v>41914</v>
      </c>
      <c r="Q4522" t="s">
        <v>41915</v>
      </c>
      <c r="R4522" t="s">
        <v>27122</v>
      </c>
      <c r="S4522" t="s">
        <v>9277</v>
      </c>
      <c r="T4522" t="s">
        <v>30</v>
      </c>
      <c r="U4522" t="s">
        <v>26116</v>
      </c>
      <c r="W4522" t="s">
        <v>26009</v>
      </c>
    </row>
    <row r="4523" spans="1:23" x14ac:dyDescent="0.35">
      <c r="A4523">
        <v>1075014</v>
      </c>
      <c r="B4523" t="s">
        <v>41916</v>
      </c>
      <c r="C4523" t="str">
        <f>"9780415502719"</f>
        <v>9780415502719</v>
      </c>
      <c r="D4523" t="str">
        <f>"9781136224621"</f>
        <v>9781136224621</v>
      </c>
      <c r="E4523" t="s">
        <v>26010</v>
      </c>
      <c r="F4523" t="s">
        <v>35</v>
      </c>
      <c r="G4523" t="s">
        <v>22174</v>
      </c>
      <c r="H4523" t="s">
        <v>26011</v>
      </c>
      <c r="I4523" s="26">
        <v>41169</v>
      </c>
      <c r="J4523">
        <v>2013</v>
      </c>
      <c r="K4523" t="s">
        <v>26012</v>
      </c>
      <c r="L4523">
        <v>233</v>
      </c>
      <c r="M4523" t="s">
        <v>41917</v>
      </c>
      <c r="N4523">
        <v>1</v>
      </c>
      <c r="O4523" t="s">
        <v>41918</v>
      </c>
      <c r="P4523">
        <v>9</v>
      </c>
      <c r="Q4523" t="s">
        <v>41919</v>
      </c>
      <c r="R4523">
        <v>618.928583</v>
      </c>
      <c r="S4523" t="s">
        <v>7820</v>
      </c>
      <c r="T4523" t="s">
        <v>30</v>
      </c>
      <c r="U4523" t="s">
        <v>26116</v>
      </c>
      <c r="W4523" t="s">
        <v>26009</v>
      </c>
    </row>
    <row r="4524" spans="1:23" x14ac:dyDescent="0.35">
      <c r="A4524">
        <v>1075024</v>
      </c>
      <c r="B4524" t="s">
        <v>41920</v>
      </c>
      <c r="C4524" t="str">
        <f>"9780415692120"</f>
        <v>9780415692120</v>
      </c>
      <c r="D4524" t="str">
        <f>"9781136192500"</f>
        <v>9781136192500</v>
      </c>
      <c r="E4524" t="s">
        <v>26010</v>
      </c>
      <c r="F4524" t="s">
        <v>35</v>
      </c>
      <c r="G4524" t="s">
        <v>22174</v>
      </c>
      <c r="H4524" t="s">
        <v>26011</v>
      </c>
      <c r="I4524" s="26">
        <v>41222</v>
      </c>
      <c r="J4524">
        <v>2013</v>
      </c>
      <c r="K4524" t="s">
        <v>26012</v>
      </c>
      <c r="L4524">
        <v>241</v>
      </c>
      <c r="M4524" t="s">
        <v>41921</v>
      </c>
      <c r="N4524">
        <v>1</v>
      </c>
      <c r="O4524" t="s">
        <v>26344</v>
      </c>
      <c r="Q4524" t="s">
        <v>41922</v>
      </c>
      <c r="R4524">
        <v>616.08000000000004</v>
      </c>
      <c r="S4524" t="s">
        <v>10195</v>
      </c>
      <c r="T4524" t="s">
        <v>30</v>
      </c>
      <c r="U4524" t="s">
        <v>26040</v>
      </c>
      <c r="W4524" t="s">
        <v>26009</v>
      </c>
    </row>
    <row r="4525" spans="1:23" x14ac:dyDescent="0.35">
      <c r="A4525">
        <v>1075138</v>
      </c>
      <c r="B4525" t="s">
        <v>41923</v>
      </c>
      <c r="C4525" t="str">
        <f>"9780415897549"</f>
        <v>9780415897549</v>
      </c>
      <c r="D4525" t="str">
        <f>"9781136636820"</f>
        <v>9781136636820</v>
      </c>
      <c r="E4525" t="s">
        <v>26010</v>
      </c>
      <c r="F4525" t="s">
        <v>35</v>
      </c>
      <c r="G4525" t="s">
        <v>22174</v>
      </c>
      <c r="H4525" t="s">
        <v>26011</v>
      </c>
      <c r="I4525" s="26">
        <v>41220</v>
      </c>
      <c r="J4525">
        <v>2013</v>
      </c>
      <c r="K4525" t="s">
        <v>26012</v>
      </c>
      <c r="L4525">
        <v>282</v>
      </c>
      <c r="M4525" t="s">
        <v>41924</v>
      </c>
      <c r="N4525">
        <v>1</v>
      </c>
      <c r="Q4525" t="s">
        <v>41925</v>
      </c>
      <c r="R4525" t="s">
        <v>41926</v>
      </c>
      <c r="S4525" t="s">
        <v>9728</v>
      </c>
      <c r="T4525" t="s">
        <v>30</v>
      </c>
      <c r="U4525" t="s">
        <v>26044</v>
      </c>
      <c r="W4525" t="s">
        <v>26009</v>
      </c>
    </row>
    <row r="4526" spans="1:23" x14ac:dyDescent="0.35">
      <c r="A4526">
        <v>1075143</v>
      </c>
      <c r="B4526" t="s">
        <v>41927</v>
      </c>
      <c r="C4526" t="str">
        <f>"9780415885683"</f>
        <v>9780415885683</v>
      </c>
      <c r="D4526" t="str">
        <f>"9781136882081"</f>
        <v>9781136882081</v>
      </c>
      <c r="E4526" t="s">
        <v>26010</v>
      </c>
      <c r="F4526" t="s">
        <v>35</v>
      </c>
      <c r="G4526" t="s">
        <v>22174</v>
      </c>
      <c r="H4526" t="s">
        <v>26011</v>
      </c>
      <c r="I4526" s="26">
        <v>41194</v>
      </c>
      <c r="J4526">
        <v>2011</v>
      </c>
      <c r="K4526" t="s">
        <v>26012</v>
      </c>
      <c r="L4526">
        <v>297</v>
      </c>
      <c r="M4526" t="s">
        <v>41928</v>
      </c>
      <c r="N4526">
        <v>2</v>
      </c>
      <c r="Q4526" t="s">
        <v>41929</v>
      </c>
      <c r="R4526">
        <v>371.92</v>
      </c>
      <c r="S4526" t="s">
        <v>7589</v>
      </c>
      <c r="T4526" t="s">
        <v>30</v>
      </c>
      <c r="U4526" t="s">
        <v>41930</v>
      </c>
      <c r="W4526" t="s">
        <v>26009</v>
      </c>
    </row>
    <row r="4527" spans="1:23" x14ac:dyDescent="0.35">
      <c r="A4527">
        <v>1075151</v>
      </c>
      <c r="B4527" t="s">
        <v>41931</v>
      </c>
      <c r="C4527" t="str">
        <f>"9780415521505"</f>
        <v>9780415521505</v>
      </c>
      <c r="D4527" t="str">
        <f>"9781135709082"</f>
        <v>9781135709082</v>
      </c>
      <c r="E4527" t="s">
        <v>26010</v>
      </c>
      <c r="F4527" t="s">
        <v>35</v>
      </c>
      <c r="G4527" t="s">
        <v>22174</v>
      </c>
      <c r="H4527" t="s">
        <v>26011</v>
      </c>
      <c r="I4527" s="26">
        <v>41081</v>
      </c>
      <c r="J4527">
        <v>2012</v>
      </c>
      <c r="K4527" t="s">
        <v>26012</v>
      </c>
      <c r="L4527">
        <v>300</v>
      </c>
      <c r="M4527" t="s">
        <v>41932</v>
      </c>
      <c r="N4527">
        <v>1</v>
      </c>
      <c r="Q4527" t="s">
        <v>41933</v>
      </c>
      <c r="R4527" t="s">
        <v>35104</v>
      </c>
      <c r="S4527" t="s">
        <v>7961</v>
      </c>
      <c r="T4527" t="s">
        <v>30</v>
      </c>
      <c r="U4527" t="s">
        <v>26019</v>
      </c>
      <c r="W4527" t="s">
        <v>26009</v>
      </c>
    </row>
    <row r="4528" spans="1:23" x14ac:dyDescent="0.35">
      <c r="A4528">
        <v>1075174</v>
      </c>
      <c r="B4528" t="s">
        <v>41934</v>
      </c>
      <c r="C4528" t="str">
        <f>"9780415596350"</f>
        <v>9780415596350</v>
      </c>
      <c r="D4528" t="str">
        <f>"9781136204920"</f>
        <v>9781136204920</v>
      </c>
      <c r="E4528" t="s">
        <v>26010</v>
      </c>
      <c r="F4528" t="s">
        <v>35</v>
      </c>
      <c r="G4528" t="s">
        <v>22174</v>
      </c>
      <c r="H4528" t="s">
        <v>26011</v>
      </c>
      <c r="I4528" s="26">
        <v>41222</v>
      </c>
      <c r="J4528">
        <v>2013</v>
      </c>
      <c r="K4528" t="s">
        <v>26012</v>
      </c>
      <c r="L4528">
        <v>401</v>
      </c>
      <c r="M4528" t="s">
        <v>41935</v>
      </c>
      <c r="N4528">
        <v>1</v>
      </c>
      <c r="Q4528" t="s">
        <v>41936</v>
      </c>
      <c r="R4528">
        <v>346.01502690000001</v>
      </c>
      <c r="S4528" t="s">
        <v>8096</v>
      </c>
      <c r="T4528" t="s">
        <v>30</v>
      </c>
      <c r="U4528" t="s">
        <v>34800</v>
      </c>
      <c r="W4528" t="s">
        <v>26009</v>
      </c>
    </row>
    <row r="4529" spans="1:23" x14ac:dyDescent="0.35">
      <c r="A4529">
        <v>1075177</v>
      </c>
      <c r="B4529" t="s">
        <v>41937</v>
      </c>
      <c r="C4529" t="str">
        <f>"9780415890120"</f>
        <v>9780415890120</v>
      </c>
      <c r="D4529" t="str">
        <f>"9781136239687"</f>
        <v>9781136239687</v>
      </c>
      <c r="E4529" t="s">
        <v>26010</v>
      </c>
      <c r="F4529" t="s">
        <v>35</v>
      </c>
      <c r="G4529" t="s">
        <v>22174</v>
      </c>
      <c r="H4529" t="s">
        <v>26011</v>
      </c>
      <c r="I4529" s="26">
        <v>41211</v>
      </c>
      <c r="J4529">
        <v>2013</v>
      </c>
      <c r="K4529" t="s">
        <v>26012</v>
      </c>
      <c r="L4529">
        <v>341</v>
      </c>
      <c r="M4529" t="s">
        <v>41938</v>
      </c>
      <c r="N4529">
        <v>1</v>
      </c>
      <c r="O4529" t="s">
        <v>41939</v>
      </c>
      <c r="P4529">
        <v>7</v>
      </c>
      <c r="Q4529" t="s">
        <v>41940</v>
      </c>
      <c r="R4529">
        <v>155.51824999999999</v>
      </c>
      <c r="S4529" t="s">
        <v>7448</v>
      </c>
      <c r="T4529" t="s">
        <v>30</v>
      </c>
      <c r="U4529" t="s">
        <v>46</v>
      </c>
      <c r="W4529" t="s">
        <v>26009</v>
      </c>
    </row>
    <row r="4530" spans="1:23" x14ac:dyDescent="0.35">
      <c r="A4530">
        <v>1075196</v>
      </c>
      <c r="B4530" t="s">
        <v>8917</v>
      </c>
      <c r="C4530" t="str">
        <f>"9780415589833"</f>
        <v>9780415589833</v>
      </c>
      <c r="D4530" t="str">
        <f>"9781135723644"</f>
        <v>9781135723644</v>
      </c>
      <c r="E4530" t="s">
        <v>26010</v>
      </c>
      <c r="F4530" t="s">
        <v>35</v>
      </c>
      <c r="G4530" t="s">
        <v>26128</v>
      </c>
      <c r="H4530" t="s">
        <v>26011</v>
      </c>
      <c r="I4530" s="26">
        <v>41033</v>
      </c>
      <c r="J4530">
        <v>2012</v>
      </c>
      <c r="K4530" t="s">
        <v>26012</v>
      </c>
      <c r="L4530">
        <v>382</v>
      </c>
      <c r="M4530" t="s">
        <v>41941</v>
      </c>
      <c r="N4530">
        <v>1</v>
      </c>
      <c r="Q4530" t="s">
        <v>41942</v>
      </c>
      <c r="R4530">
        <v>150.1954092</v>
      </c>
      <c r="S4530" t="s">
        <v>8918</v>
      </c>
      <c r="T4530" t="s">
        <v>30</v>
      </c>
      <c r="U4530" t="s">
        <v>46</v>
      </c>
      <c r="W4530" t="s">
        <v>41943</v>
      </c>
    </row>
    <row r="4531" spans="1:23" x14ac:dyDescent="0.35">
      <c r="A4531">
        <v>1075345</v>
      </c>
      <c r="B4531" t="s">
        <v>10034</v>
      </c>
      <c r="C4531" t="str">
        <f>"9780415883351"</f>
        <v>9780415883351</v>
      </c>
      <c r="D4531" t="str">
        <f>"9781136922190"</f>
        <v>9781136922190</v>
      </c>
      <c r="E4531" t="s">
        <v>26010</v>
      </c>
      <c r="F4531" t="s">
        <v>35</v>
      </c>
      <c r="G4531" t="s">
        <v>22174</v>
      </c>
      <c r="H4531" t="s">
        <v>26011</v>
      </c>
      <c r="I4531" s="26">
        <v>41157</v>
      </c>
      <c r="J4531">
        <v>2013</v>
      </c>
      <c r="K4531" t="s">
        <v>26012</v>
      </c>
      <c r="L4531">
        <v>313</v>
      </c>
      <c r="M4531" t="s">
        <v>41944</v>
      </c>
      <c r="N4531">
        <v>1</v>
      </c>
      <c r="Q4531" t="s">
        <v>41945</v>
      </c>
      <c r="R4531" t="s">
        <v>27122</v>
      </c>
      <c r="S4531" t="s">
        <v>8032</v>
      </c>
      <c r="T4531" t="s">
        <v>30</v>
      </c>
      <c r="U4531" t="s">
        <v>26019</v>
      </c>
      <c r="W4531" t="s">
        <v>26009</v>
      </c>
    </row>
    <row r="4532" spans="1:23" x14ac:dyDescent="0.35">
      <c r="A4532">
        <v>1075348</v>
      </c>
      <c r="B4532" t="s">
        <v>41946</v>
      </c>
      <c r="C4532" t="str">
        <f>"9781848729575"</f>
        <v>9781848729575</v>
      </c>
      <c r="D4532" t="str">
        <f>"9781136236808"</f>
        <v>9781136236808</v>
      </c>
      <c r="E4532" t="s">
        <v>26010</v>
      </c>
      <c r="F4532" t="s">
        <v>35</v>
      </c>
      <c r="G4532" t="s">
        <v>22174</v>
      </c>
      <c r="H4532" t="s">
        <v>26011</v>
      </c>
      <c r="I4532" s="26">
        <v>41128</v>
      </c>
      <c r="J4532">
        <v>2013</v>
      </c>
      <c r="K4532" t="s">
        <v>660</v>
      </c>
      <c r="L4532">
        <v>333</v>
      </c>
      <c r="M4532" t="s">
        <v>41947</v>
      </c>
      <c r="N4532">
        <v>3</v>
      </c>
      <c r="Q4532" t="s">
        <v>41948</v>
      </c>
      <c r="R4532" t="s">
        <v>41949</v>
      </c>
      <c r="S4532" t="s">
        <v>41950</v>
      </c>
      <c r="T4532" t="s">
        <v>30</v>
      </c>
      <c r="U4532" t="s">
        <v>46</v>
      </c>
      <c r="W4532" t="s">
        <v>26009</v>
      </c>
    </row>
    <row r="4533" spans="1:23" x14ac:dyDescent="0.35">
      <c r="A4533">
        <v>1075408</v>
      </c>
      <c r="B4533" t="s">
        <v>41951</v>
      </c>
      <c r="C4533" t="str">
        <f>"9780415944540"</f>
        <v>9780415944540</v>
      </c>
      <c r="D4533" t="str">
        <f>"9781136073540"</f>
        <v>9781136073540</v>
      </c>
      <c r="E4533" t="s">
        <v>26010</v>
      </c>
      <c r="F4533" t="s">
        <v>35</v>
      </c>
      <c r="G4533" t="s">
        <v>22174</v>
      </c>
      <c r="H4533" t="s">
        <v>26011</v>
      </c>
      <c r="I4533" s="26">
        <v>37729</v>
      </c>
      <c r="J4533">
        <v>2003</v>
      </c>
      <c r="K4533" t="s">
        <v>26012</v>
      </c>
      <c r="L4533">
        <v>389</v>
      </c>
      <c r="M4533" t="s">
        <v>41952</v>
      </c>
      <c r="N4533">
        <v>1</v>
      </c>
      <c r="Q4533" t="s">
        <v>41953</v>
      </c>
      <c r="R4533" t="s">
        <v>26164</v>
      </c>
      <c r="S4533" t="s">
        <v>10248</v>
      </c>
      <c r="T4533" t="s">
        <v>30</v>
      </c>
      <c r="U4533" t="s">
        <v>26228</v>
      </c>
      <c r="W4533" t="s">
        <v>26009</v>
      </c>
    </row>
    <row r="4534" spans="1:23" x14ac:dyDescent="0.35">
      <c r="A4534">
        <v>1075449</v>
      </c>
      <c r="B4534" t="s">
        <v>41954</v>
      </c>
      <c r="C4534" t="str">
        <f>"9781855755307"</f>
        <v>9781855755307</v>
      </c>
      <c r="D4534" t="str">
        <f>"9781782410430"</f>
        <v>9781782410430</v>
      </c>
      <c r="E4534" t="s">
        <v>26010</v>
      </c>
      <c r="F4534" t="s">
        <v>35</v>
      </c>
      <c r="G4534" t="s">
        <v>22174</v>
      </c>
      <c r="H4534" t="s">
        <v>26011</v>
      </c>
      <c r="I4534" s="26">
        <v>41275</v>
      </c>
      <c r="J4534">
        <v>2013</v>
      </c>
      <c r="K4534" t="s">
        <v>26012</v>
      </c>
      <c r="L4534">
        <v>459</v>
      </c>
      <c r="M4534" t="s">
        <v>41955</v>
      </c>
      <c r="N4534">
        <v>1</v>
      </c>
      <c r="Q4534" t="s">
        <v>41956</v>
      </c>
      <c r="R4534">
        <v>616.89161999999999</v>
      </c>
      <c r="S4534" t="s">
        <v>41957</v>
      </c>
      <c r="T4534" t="s">
        <v>30</v>
      </c>
      <c r="U4534" t="s">
        <v>26116</v>
      </c>
      <c r="W4534" t="s">
        <v>26009</v>
      </c>
    </row>
    <row r="4535" spans="1:23" x14ac:dyDescent="0.35">
      <c r="A4535">
        <v>1075450</v>
      </c>
      <c r="B4535" t="s">
        <v>41958</v>
      </c>
      <c r="C4535" t="str">
        <f>"9781780490854"</f>
        <v>9781780490854</v>
      </c>
      <c r="D4535" t="str">
        <f>"9781782410447"</f>
        <v>9781782410447</v>
      </c>
      <c r="E4535" t="s">
        <v>26010</v>
      </c>
      <c r="F4535" t="s">
        <v>35</v>
      </c>
      <c r="G4535" t="s">
        <v>22174</v>
      </c>
      <c r="H4535" t="s">
        <v>26011</v>
      </c>
      <c r="I4535" s="26">
        <v>41275</v>
      </c>
      <c r="J4535">
        <v>2013</v>
      </c>
      <c r="K4535" t="s">
        <v>26012</v>
      </c>
      <c r="L4535">
        <v>199</v>
      </c>
      <c r="M4535" t="s">
        <v>41959</v>
      </c>
      <c r="N4535">
        <v>1</v>
      </c>
      <c r="Q4535" t="s">
        <v>41960</v>
      </c>
      <c r="R4535">
        <v>150.1952</v>
      </c>
      <c r="S4535" t="s">
        <v>41961</v>
      </c>
      <c r="T4535" t="s">
        <v>30</v>
      </c>
      <c r="U4535" t="s">
        <v>26170</v>
      </c>
      <c r="W4535" t="s">
        <v>26009</v>
      </c>
    </row>
    <row r="4536" spans="1:23" x14ac:dyDescent="0.35">
      <c r="A4536">
        <v>1076203</v>
      </c>
      <c r="B4536" t="s">
        <v>41962</v>
      </c>
      <c r="C4536" t="str">
        <f>"9780765709271"</f>
        <v>9780765709271</v>
      </c>
      <c r="D4536" t="str">
        <f>"9780765709288"</f>
        <v>9780765709288</v>
      </c>
      <c r="E4536" t="s">
        <v>33803</v>
      </c>
      <c r="F4536" t="s">
        <v>38</v>
      </c>
      <c r="G4536" t="s">
        <v>34138</v>
      </c>
      <c r="H4536" t="s">
        <v>26004</v>
      </c>
      <c r="I4536" s="26">
        <v>41234</v>
      </c>
      <c r="J4536">
        <v>2012</v>
      </c>
      <c r="K4536" t="s">
        <v>33811</v>
      </c>
      <c r="L4536">
        <v>279</v>
      </c>
      <c r="M4536" t="s">
        <v>41963</v>
      </c>
      <c r="N4536">
        <v>1</v>
      </c>
      <c r="Q4536" t="s">
        <v>41964</v>
      </c>
      <c r="R4536">
        <v>616.85260000000005</v>
      </c>
      <c r="S4536" t="s">
        <v>9182</v>
      </c>
      <c r="T4536" t="s">
        <v>30</v>
      </c>
      <c r="U4536" t="s">
        <v>26116</v>
      </c>
      <c r="W4536" t="s">
        <v>26009</v>
      </c>
    </row>
    <row r="4537" spans="1:23" x14ac:dyDescent="0.35">
      <c r="A4537">
        <v>1077414</v>
      </c>
      <c r="B4537" t="s">
        <v>41965</v>
      </c>
      <c r="C4537" t="str">
        <f>"9780804770286"</f>
        <v>9780804770286</v>
      </c>
      <c r="D4537" t="str">
        <f>"9780804785525"</f>
        <v>9780804785525</v>
      </c>
      <c r="E4537" t="s">
        <v>8284</v>
      </c>
      <c r="F4537" t="s">
        <v>8284</v>
      </c>
      <c r="G4537" t="s">
        <v>23524</v>
      </c>
      <c r="H4537" t="s">
        <v>26004</v>
      </c>
      <c r="I4537" s="26">
        <v>41283</v>
      </c>
      <c r="J4537">
        <v>2013</v>
      </c>
      <c r="K4537" t="s">
        <v>8284</v>
      </c>
      <c r="L4537">
        <v>201</v>
      </c>
      <c r="M4537" t="s">
        <v>41966</v>
      </c>
      <c r="N4537">
        <v>1</v>
      </c>
      <c r="Q4537" t="s">
        <v>41967</v>
      </c>
      <c r="S4537" t="s">
        <v>41968</v>
      </c>
      <c r="T4537" t="s">
        <v>30</v>
      </c>
      <c r="U4537" t="s">
        <v>5222</v>
      </c>
      <c r="W4537" t="s">
        <v>26009</v>
      </c>
    </row>
    <row r="4538" spans="1:23" x14ac:dyDescent="0.35">
      <c r="A4538">
        <v>1078332</v>
      </c>
      <c r="B4538" t="s">
        <v>41969</v>
      </c>
      <c r="C4538" t="str">
        <f>"9781628924053"</f>
        <v>9781628924053</v>
      </c>
      <c r="D4538" t="str">
        <f>"9781441175540"</f>
        <v>9781441175540</v>
      </c>
      <c r="E4538" t="s">
        <v>28336</v>
      </c>
      <c r="F4538" t="s">
        <v>7474</v>
      </c>
      <c r="G4538" t="s">
        <v>22179</v>
      </c>
      <c r="H4538" t="s">
        <v>26004</v>
      </c>
      <c r="I4538" s="26">
        <v>41655</v>
      </c>
      <c r="J4538">
        <v>2012</v>
      </c>
      <c r="K4538" t="s">
        <v>7474</v>
      </c>
      <c r="L4538">
        <v>241</v>
      </c>
      <c r="M4538" t="s">
        <v>41970</v>
      </c>
      <c r="N4538">
        <v>1</v>
      </c>
      <c r="Q4538" t="s">
        <v>41971</v>
      </c>
      <c r="R4538">
        <v>327.73</v>
      </c>
      <c r="S4538" t="s">
        <v>8300</v>
      </c>
      <c r="T4538" t="s">
        <v>30</v>
      </c>
      <c r="U4538" t="s">
        <v>5222</v>
      </c>
      <c r="W4538" t="s">
        <v>28347</v>
      </c>
    </row>
    <row r="4539" spans="1:23" x14ac:dyDescent="0.35">
      <c r="A4539">
        <v>1078754</v>
      </c>
      <c r="B4539" t="s">
        <v>41972</v>
      </c>
      <c r="C4539" t="str">
        <f>"9780415583831"</f>
        <v>9780415583831</v>
      </c>
      <c r="D4539" t="str">
        <f>"9781136219047"</f>
        <v>9781136219047</v>
      </c>
      <c r="E4539" t="s">
        <v>26010</v>
      </c>
      <c r="F4539" t="s">
        <v>35</v>
      </c>
      <c r="G4539" t="s">
        <v>22174</v>
      </c>
      <c r="H4539" t="s">
        <v>26011</v>
      </c>
      <c r="I4539" s="26">
        <v>41214</v>
      </c>
      <c r="J4539">
        <v>2013</v>
      </c>
      <c r="K4539" t="s">
        <v>26012</v>
      </c>
      <c r="L4539">
        <v>169</v>
      </c>
      <c r="M4539" t="s">
        <v>41973</v>
      </c>
      <c r="N4539">
        <v>1</v>
      </c>
      <c r="O4539" t="s">
        <v>40508</v>
      </c>
      <c r="Q4539" t="s">
        <v>41974</v>
      </c>
      <c r="R4539">
        <v>362.29</v>
      </c>
      <c r="S4539" t="s">
        <v>8056</v>
      </c>
      <c r="T4539" t="s">
        <v>30</v>
      </c>
      <c r="U4539" t="s">
        <v>26094</v>
      </c>
      <c r="W4539" t="s">
        <v>26009</v>
      </c>
    </row>
    <row r="4540" spans="1:23" x14ac:dyDescent="0.35">
      <c r="A4540">
        <v>1079652</v>
      </c>
      <c r="B4540" t="s">
        <v>41975</v>
      </c>
      <c r="C4540" t="str">
        <f>"9780814760147"</f>
        <v>9780814760147</v>
      </c>
      <c r="D4540" t="str">
        <f>"9780814763490"</f>
        <v>9780814763490</v>
      </c>
      <c r="E4540" t="s">
        <v>39652</v>
      </c>
      <c r="F4540" t="s">
        <v>7532</v>
      </c>
      <c r="G4540" t="s">
        <v>22179</v>
      </c>
      <c r="H4540" t="s">
        <v>26004</v>
      </c>
      <c r="I4540" s="26">
        <v>41246</v>
      </c>
      <c r="J4540">
        <v>2012</v>
      </c>
      <c r="K4540" t="s">
        <v>7532</v>
      </c>
      <c r="L4540">
        <v>351</v>
      </c>
      <c r="M4540" t="s">
        <v>41976</v>
      </c>
      <c r="N4540">
        <v>1</v>
      </c>
      <c r="O4540" t="s">
        <v>41977</v>
      </c>
      <c r="P4540">
        <v>16</v>
      </c>
      <c r="Q4540" t="s">
        <v>41978</v>
      </c>
      <c r="R4540" t="s">
        <v>30236</v>
      </c>
      <c r="S4540" t="s">
        <v>41979</v>
      </c>
      <c r="T4540" t="s">
        <v>30</v>
      </c>
      <c r="U4540" t="s">
        <v>5222</v>
      </c>
      <c r="W4540" t="s">
        <v>28347</v>
      </c>
    </row>
    <row r="4541" spans="1:23" x14ac:dyDescent="0.35">
      <c r="A4541">
        <v>1079839</v>
      </c>
      <c r="B4541" t="s">
        <v>41980</v>
      </c>
      <c r="C4541" t="str">
        <f>"9781780490762"</f>
        <v>9781780490762</v>
      </c>
      <c r="D4541" t="str">
        <f>"9781782410454"</f>
        <v>9781782410454</v>
      </c>
      <c r="E4541" t="s">
        <v>26010</v>
      </c>
      <c r="F4541" t="s">
        <v>35</v>
      </c>
      <c r="G4541" t="s">
        <v>22174</v>
      </c>
      <c r="H4541" t="s">
        <v>26011</v>
      </c>
      <c r="I4541" s="26">
        <v>41275</v>
      </c>
      <c r="J4541">
        <v>2013</v>
      </c>
      <c r="K4541" t="s">
        <v>26012</v>
      </c>
      <c r="L4541">
        <v>225</v>
      </c>
      <c r="M4541" t="s">
        <v>41981</v>
      </c>
      <c r="N4541">
        <v>1</v>
      </c>
      <c r="Q4541" t="s">
        <v>41982</v>
      </c>
      <c r="R4541">
        <v>150.1952</v>
      </c>
      <c r="S4541" t="s">
        <v>41983</v>
      </c>
      <c r="T4541" t="s">
        <v>30</v>
      </c>
      <c r="U4541" t="s">
        <v>26228</v>
      </c>
      <c r="W4541" t="s">
        <v>26009</v>
      </c>
    </row>
    <row r="4542" spans="1:23" x14ac:dyDescent="0.35">
      <c r="A4542">
        <v>1080926</v>
      </c>
      <c r="B4542" t="s">
        <v>9126</v>
      </c>
      <c r="C4542" t="str">
        <f>"9781443827300"</f>
        <v>9781443827300</v>
      </c>
      <c r="D4542" t="str">
        <f>"9781443828246"</f>
        <v>9781443828246</v>
      </c>
      <c r="E4542" t="s">
        <v>7812</v>
      </c>
      <c r="F4542" t="s">
        <v>7812</v>
      </c>
      <c r="G4542" t="s">
        <v>41984</v>
      </c>
      <c r="H4542" t="s">
        <v>26011</v>
      </c>
      <c r="I4542" s="26">
        <v>40588</v>
      </c>
      <c r="J4542">
        <v>2011</v>
      </c>
      <c r="K4542" t="s">
        <v>7812</v>
      </c>
      <c r="L4542">
        <v>183</v>
      </c>
      <c r="M4542" t="s">
        <v>41985</v>
      </c>
      <c r="N4542">
        <v>1</v>
      </c>
      <c r="Q4542" t="s">
        <v>41986</v>
      </c>
      <c r="R4542">
        <v>618.20019000000002</v>
      </c>
      <c r="S4542" t="s">
        <v>9127</v>
      </c>
      <c r="T4542" t="s">
        <v>30</v>
      </c>
      <c r="U4542" t="s">
        <v>26116</v>
      </c>
      <c r="W4542" t="s">
        <v>26009</v>
      </c>
    </row>
    <row r="4543" spans="1:23" x14ac:dyDescent="0.35">
      <c r="A4543">
        <v>1084864</v>
      </c>
      <c r="B4543" t="s">
        <v>41987</v>
      </c>
      <c r="C4543" t="str">
        <f>"9781555535285"</f>
        <v>9781555535285</v>
      </c>
      <c r="D4543" t="str">
        <f>"9781555537265"</f>
        <v>9781555537265</v>
      </c>
      <c r="E4543" t="s">
        <v>404</v>
      </c>
      <c r="F4543" t="s">
        <v>10252</v>
      </c>
      <c r="G4543" t="s">
        <v>41988</v>
      </c>
      <c r="H4543" t="s">
        <v>26004</v>
      </c>
      <c r="I4543" s="26">
        <v>37322</v>
      </c>
      <c r="J4543">
        <v>2009</v>
      </c>
      <c r="K4543" t="s">
        <v>41989</v>
      </c>
      <c r="L4543">
        <v>172</v>
      </c>
      <c r="M4543" t="s">
        <v>41990</v>
      </c>
      <c r="N4543">
        <v>1</v>
      </c>
      <c r="O4543" t="s">
        <v>41991</v>
      </c>
      <c r="Q4543" t="s">
        <v>41992</v>
      </c>
      <c r="R4543" t="s">
        <v>27731</v>
      </c>
      <c r="S4543" t="s">
        <v>41993</v>
      </c>
      <c r="T4543" t="s">
        <v>30</v>
      </c>
      <c r="U4543" t="s">
        <v>26044</v>
      </c>
      <c r="W4543" t="s">
        <v>26009</v>
      </c>
    </row>
    <row r="4544" spans="1:23" x14ac:dyDescent="0.35">
      <c r="A4544">
        <v>1084913</v>
      </c>
      <c r="B4544" t="s">
        <v>41994</v>
      </c>
      <c r="C4544" t="str">
        <f>"9781555537234"</f>
        <v>9781555537234</v>
      </c>
      <c r="D4544" t="str">
        <f>"9781555537333"</f>
        <v>9781555537333</v>
      </c>
      <c r="E4544" t="s">
        <v>404</v>
      </c>
      <c r="F4544" t="s">
        <v>10252</v>
      </c>
      <c r="G4544" t="s">
        <v>22231</v>
      </c>
      <c r="H4544" t="s">
        <v>26004</v>
      </c>
      <c r="I4544" s="26">
        <v>40390</v>
      </c>
      <c r="J4544">
        <v>2010</v>
      </c>
      <c r="K4544" t="s">
        <v>41989</v>
      </c>
      <c r="L4544">
        <v>148</v>
      </c>
      <c r="M4544" t="s">
        <v>41995</v>
      </c>
      <c r="N4544">
        <v>1</v>
      </c>
      <c r="O4544" t="s">
        <v>41991</v>
      </c>
      <c r="Q4544" t="s">
        <v>41996</v>
      </c>
      <c r="R4544" t="s">
        <v>41997</v>
      </c>
      <c r="S4544" t="s">
        <v>41998</v>
      </c>
      <c r="T4544" t="s">
        <v>30</v>
      </c>
      <c r="U4544" t="s">
        <v>26044</v>
      </c>
      <c r="W4544" t="s">
        <v>26009</v>
      </c>
    </row>
    <row r="4545" spans="1:23" x14ac:dyDescent="0.35">
      <c r="A4545">
        <v>1084945</v>
      </c>
      <c r="B4545" t="s">
        <v>41999</v>
      </c>
      <c r="C4545" t="str">
        <f>"9781611680287"</f>
        <v>9781611680287</v>
      </c>
      <c r="D4545" t="str">
        <f>"9781611680102"</f>
        <v>9781611680102</v>
      </c>
      <c r="E4545" t="s">
        <v>42000</v>
      </c>
      <c r="F4545" t="s">
        <v>8423</v>
      </c>
      <c r="G4545" t="s">
        <v>23576</v>
      </c>
      <c r="H4545" t="s">
        <v>26004</v>
      </c>
      <c r="I4545" s="26">
        <v>40736</v>
      </c>
      <c r="J4545">
        <v>2011</v>
      </c>
      <c r="K4545" t="s">
        <v>8423</v>
      </c>
      <c r="L4545">
        <v>260</v>
      </c>
      <c r="M4545" t="s">
        <v>42001</v>
      </c>
      <c r="N4545">
        <v>1</v>
      </c>
      <c r="Q4545" t="s">
        <v>42002</v>
      </c>
      <c r="R4545" t="s">
        <v>36485</v>
      </c>
      <c r="S4545" t="s">
        <v>42003</v>
      </c>
      <c r="T4545" t="s">
        <v>30</v>
      </c>
      <c r="U4545" t="s">
        <v>26040</v>
      </c>
      <c r="W4545" t="s">
        <v>26009</v>
      </c>
    </row>
    <row r="4546" spans="1:23" x14ac:dyDescent="0.35">
      <c r="A4546">
        <v>1084957</v>
      </c>
      <c r="B4546" t="s">
        <v>42004</v>
      </c>
      <c r="C4546" t="str">
        <f>"9781584659013"</f>
        <v>9781584659013</v>
      </c>
      <c r="D4546" t="str">
        <f>"9781611680089"</f>
        <v>9781611680089</v>
      </c>
      <c r="E4546" t="s">
        <v>42000</v>
      </c>
      <c r="F4546" t="s">
        <v>8423</v>
      </c>
      <c r="G4546" t="s">
        <v>23576</v>
      </c>
      <c r="H4546" t="s">
        <v>26004</v>
      </c>
      <c r="I4546" s="26">
        <v>40645</v>
      </c>
      <c r="J4546">
        <v>2011</v>
      </c>
      <c r="K4546" t="s">
        <v>8423</v>
      </c>
      <c r="L4546">
        <v>204</v>
      </c>
      <c r="M4546" t="s">
        <v>42005</v>
      </c>
      <c r="N4546">
        <v>1</v>
      </c>
      <c r="O4546" t="s">
        <v>42006</v>
      </c>
      <c r="Q4546" t="s">
        <v>42007</v>
      </c>
      <c r="R4546">
        <v>900</v>
      </c>
      <c r="S4546" t="s">
        <v>42008</v>
      </c>
      <c r="T4546" t="s">
        <v>30</v>
      </c>
      <c r="U4546" t="s">
        <v>42009</v>
      </c>
      <c r="W4546" t="s">
        <v>26009</v>
      </c>
    </row>
    <row r="4547" spans="1:23" x14ac:dyDescent="0.35">
      <c r="A4547">
        <v>1092281</v>
      </c>
      <c r="B4547" t="s">
        <v>42010</v>
      </c>
      <c r="C4547" t="str">
        <f>"9789042033368"</f>
        <v>9789042033368</v>
      </c>
      <c r="D4547" t="str">
        <f>"9789401200363"</f>
        <v>9789401200363</v>
      </c>
      <c r="E4547" t="s">
        <v>4602</v>
      </c>
      <c r="F4547" t="s">
        <v>27</v>
      </c>
      <c r="G4547" t="s">
        <v>22231</v>
      </c>
      <c r="H4547" t="s">
        <v>26004</v>
      </c>
      <c r="I4547" s="26">
        <v>40544</v>
      </c>
      <c r="J4547">
        <v>2011</v>
      </c>
      <c r="K4547" t="s">
        <v>34659</v>
      </c>
      <c r="L4547">
        <v>238</v>
      </c>
      <c r="M4547" t="s">
        <v>42011</v>
      </c>
      <c r="N4547">
        <v>1</v>
      </c>
      <c r="O4547" t="s">
        <v>34745</v>
      </c>
      <c r="P4547">
        <v>230</v>
      </c>
      <c r="T4547" t="s">
        <v>30</v>
      </c>
      <c r="U4547" t="s">
        <v>152</v>
      </c>
      <c r="W4547" t="s">
        <v>26009</v>
      </c>
    </row>
    <row r="4548" spans="1:23" x14ac:dyDescent="0.35">
      <c r="A4548">
        <v>1092637</v>
      </c>
      <c r="B4548" t="s">
        <v>42012</v>
      </c>
      <c r="C4548" t="str">
        <f>"9780415680936"</f>
        <v>9780415680936</v>
      </c>
      <c r="D4548" t="str">
        <f>"9781136162954"</f>
        <v>9781136162954</v>
      </c>
      <c r="E4548" t="s">
        <v>26010</v>
      </c>
      <c r="F4548" t="s">
        <v>35</v>
      </c>
      <c r="G4548" t="s">
        <v>22174</v>
      </c>
      <c r="H4548" t="s">
        <v>26011</v>
      </c>
      <c r="I4548" s="26">
        <v>41257</v>
      </c>
      <c r="J4548">
        <v>2013</v>
      </c>
      <c r="K4548" t="s">
        <v>26012</v>
      </c>
      <c r="L4548">
        <v>177</v>
      </c>
      <c r="M4548" t="s">
        <v>42013</v>
      </c>
      <c r="N4548">
        <v>1</v>
      </c>
      <c r="O4548" t="s">
        <v>26855</v>
      </c>
      <c r="Q4548" t="s">
        <v>42014</v>
      </c>
      <c r="R4548">
        <v>362.19639800819999</v>
      </c>
      <c r="S4548" t="s">
        <v>7711</v>
      </c>
      <c r="T4548" t="s">
        <v>30</v>
      </c>
      <c r="U4548" t="s">
        <v>26057</v>
      </c>
      <c r="W4548" t="s">
        <v>26009</v>
      </c>
    </row>
    <row r="4549" spans="1:23" x14ac:dyDescent="0.35">
      <c r="A4549">
        <v>1092651</v>
      </c>
      <c r="B4549" t="s">
        <v>9755</v>
      </c>
      <c r="C4549" t="str">
        <f>"9780415897266"</f>
        <v>9780415897266</v>
      </c>
      <c r="D4549" t="str">
        <f>"9781136171970"</f>
        <v>9781136171970</v>
      </c>
      <c r="E4549" t="s">
        <v>26010</v>
      </c>
      <c r="F4549" t="s">
        <v>35</v>
      </c>
      <c r="G4549" t="s">
        <v>22174</v>
      </c>
      <c r="H4549" t="s">
        <v>26011</v>
      </c>
      <c r="I4549" s="26">
        <v>41229</v>
      </c>
      <c r="J4549">
        <v>2013</v>
      </c>
      <c r="K4549" t="s">
        <v>26012</v>
      </c>
      <c r="L4549">
        <v>282</v>
      </c>
      <c r="M4549" t="s">
        <v>42015</v>
      </c>
      <c r="N4549">
        <v>1</v>
      </c>
      <c r="O4549" t="s">
        <v>42016</v>
      </c>
      <c r="Q4549" t="s">
        <v>42017</v>
      </c>
      <c r="R4549" t="s">
        <v>41739</v>
      </c>
      <c r="S4549" t="s">
        <v>9756</v>
      </c>
      <c r="T4549" t="s">
        <v>30</v>
      </c>
      <c r="U4549" t="s">
        <v>26044</v>
      </c>
      <c r="W4549" t="s">
        <v>26159</v>
      </c>
    </row>
    <row r="4550" spans="1:23" x14ac:dyDescent="0.35">
      <c r="A4550">
        <v>1092653</v>
      </c>
      <c r="B4550" t="s">
        <v>42018</v>
      </c>
      <c r="C4550" t="str">
        <f>"9780415507639"</f>
        <v>9780415507639</v>
      </c>
      <c r="D4550" t="str">
        <f>"9781136173059"</f>
        <v>9781136173059</v>
      </c>
      <c r="E4550" t="s">
        <v>26010</v>
      </c>
      <c r="F4550" t="s">
        <v>35</v>
      </c>
      <c r="G4550" t="s">
        <v>22174</v>
      </c>
      <c r="H4550" t="s">
        <v>26011</v>
      </c>
      <c r="I4550" s="26">
        <v>41257</v>
      </c>
      <c r="J4550">
        <v>2013</v>
      </c>
      <c r="K4550" t="s">
        <v>26012</v>
      </c>
      <c r="L4550">
        <v>163</v>
      </c>
      <c r="M4550" t="s">
        <v>42019</v>
      </c>
      <c r="N4550">
        <v>1</v>
      </c>
      <c r="O4550" t="s">
        <v>34392</v>
      </c>
      <c r="Q4550" t="s">
        <v>42020</v>
      </c>
      <c r="R4550" t="s">
        <v>33588</v>
      </c>
      <c r="S4550" t="s">
        <v>7889</v>
      </c>
      <c r="T4550" t="s">
        <v>30</v>
      </c>
      <c r="U4550" t="s">
        <v>26019</v>
      </c>
      <c r="W4550" t="s">
        <v>26009</v>
      </c>
    </row>
    <row r="4551" spans="1:23" x14ac:dyDescent="0.35">
      <c r="A4551">
        <v>1092657</v>
      </c>
      <c r="B4551" t="s">
        <v>42021</v>
      </c>
      <c r="C4551" t="str">
        <f>"9780415897839"</f>
        <v>9780415897839</v>
      </c>
      <c r="D4551" t="str">
        <f>"9781136177309"</f>
        <v>9781136177309</v>
      </c>
      <c r="E4551" t="s">
        <v>26010</v>
      </c>
      <c r="F4551" t="s">
        <v>35</v>
      </c>
      <c r="G4551" t="s">
        <v>22174</v>
      </c>
      <c r="H4551" t="s">
        <v>26011</v>
      </c>
      <c r="I4551" s="26">
        <v>41227</v>
      </c>
      <c r="J4551">
        <v>2013</v>
      </c>
      <c r="K4551" t="s">
        <v>26012</v>
      </c>
      <c r="L4551">
        <v>168</v>
      </c>
      <c r="M4551" t="s">
        <v>42022</v>
      </c>
      <c r="N4551">
        <v>2</v>
      </c>
      <c r="Q4551" t="s">
        <v>42023</v>
      </c>
      <c r="R4551">
        <v>361.6</v>
      </c>
      <c r="S4551" t="s">
        <v>8563</v>
      </c>
      <c r="T4551" t="s">
        <v>30</v>
      </c>
      <c r="U4551" t="s">
        <v>26044</v>
      </c>
      <c r="W4551" t="s">
        <v>26009</v>
      </c>
    </row>
    <row r="4552" spans="1:23" x14ac:dyDescent="0.35">
      <c r="A4552">
        <v>1092682</v>
      </c>
      <c r="B4552" t="s">
        <v>9087</v>
      </c>
      <c r="C4552" t="str">
        <f>"9780415635172"</f>
        <v>9780415635172</v>
      </c>
      <c r="D4552" t="str">
        <f>"9781136204081"</f>
        <v>9781136204081</v>
      </c>
      <c r="E4552" t="s">
        <v>26010</v>
      </c>
      <c r="F4552" t="s">
        <v>35</v>
      </c>
      <c r="G4552" t="s">
        <v>22174</v>
      </c>
      <c r="H4552" t="s">
        <v>26011</v>
      </c>
      <c r="I4552" s="26">
        <v>41193</v>
      </c>
      <c r="J4552">
        <v>2013</v>
      </c>
      <c r="K4552" t="s">
        <v>26012</v>
      </c>
      <c r="L4552">
        <v>305</v>
      </c>
      <c r="M4552" t="s">
        <v>42024</v>
      </c>
      <c r="N4552">
        <v>1</v>
      </c>
      <c r="O4552" t="s">
        <v>41906</v>
      </c>
      <c r="Q4552" t="s">
        <v>42025</v>
      </c>
      <c r="R4552">
        <v>305.42</v>
      </c>
      <c r="S4552" t="s">
        <v>42026</v>
      </c>
      <c r="T4552" t="s">
        <v>30</v>
      </c>
      <c r="U4552" t="s">
        <v>26044</v>
      </c>
      <c r="W4552" t="s">
        <v>26009</v>
      </c>
    </row>
    <row r="4553" spans="1:23" x14ac:dyDescent="0.35">
      <c r="A4553">
        <v>1092688</v>
      </c>
      <c r="B4553" t="s">
        <v>42027</v>
      </c>
      <c r="C4553" t="str">
        <f>"9780415632973"</f>
        <v>9780415632973</v>
      </c>
      <c r="D4553" t="str">
        <f>"9781136204579"</f>
        <v>9781136204579</v>
      </c>
      <c r="E4553" t="s">
        <v>26010</v>
      </c>
      <c r="F4553" t="s">
        <v>35</v>
      </c>
      <c r="G4553" t="s">
        <v>22174</v>
      </c>
      <c r="H4553" t="s">
        <v>26011</v>
      </c>
      <c r="I4553" s="26">
        <v>41193</v>
      </c>
      <c r="J4553">
        <v>2013</v>
      </c>
      <c r="K4553" t="s">
        <v>26012</v>
      </c>
      <c r="L4553">
        <v>209</v>
      </c>
      <c r="M4553" t="s">
        <v>42028</v>
      </c>
      <c r="N4553">
        <v>1</v>
      </c>
      <c r="O4553" t="s">
        <v>41906</v>
      </c>
      <c r="Q4553" t="s">
        <v>42029</v>
      </c>
      <c r="R4553">
        <v>305.31</v>
      </c>
      <c r="S4553" t="s">
        <v>42030</v>
      </c>
      <c r="T4553" t="s">
        <v>30</v>
      </c>
      <c r="U4553" t="s">
        <v>26044</v>
      </c>
      <c r="W4553" t="s">
        <v>26009</v>
      </c>
    </row>
    <row r="4554" spans="1:23" x14ac:dyDescent="0.35">
      <c r="A4554">
        <v>1092692</v>
      </c>
      <c r="B4554" t="s">
        <v>42031</v>
      </c>
      <c r="C4554" t="str">
        <f>"9780415888912"</f>
        <v>9780415888912</v>
      </c>
      <c r="D4554" t="str">
        <f>"9781136209154"</f>
        <v>9781136209154</v>
      </c>
      <c r="E4554" t="s">
        <v>26010</v>
      </c>
      <c r="F4554" t="s">
        <v>35</v>
      </c>
      <c r="G4554" t="s">
        <v>22174</v>
      </c>
      <c r="H4554" t="s">
        <v>26011</v>
      </c>
      <c r="I4554" s="26">
        <v>41220</v>
      </c>
      <c r="J4554">
        <v>2013</v>
      </c>
      <c r="K4554" t="s">
        <v>26012</v>
      </c>
      <c r="L4554">
        <v>399</v>
      </c>
      <c r="M4554" t="s">
        <v>35530</v>
      </c>
      <c r="N4554">
        <v>1</v>
      </c>
      <c r="Q4554" t="s">
        <v>42032</v>
      </c>
      <c r="R4554" t="s">
        <v>27122</v>
      </c>
      <c r="S4554" t="s">
        <v>10041</v>
      </c>
      <c r="T4554" t="s">
        <v>30</v>
      </c>
      <c r="U4554" t="s">
        <v>26116</v>
      </c>
      <c r="W4554" t="s">
        <v>26009</v>
      </c>
    </row>
    <row r="4555" spans="1:23" x14ac:dyDescent="0.35">
      <c r="A4555">
        <v>1092696</v>
      </c>
      <c r="B4555" t="s">
        <v>42033</v>
      </c>
      <c r="C4555" t="str">
        <f>"9780415692731"</f>
        <v>9780415692731</v>
      </c>
      <c r="D4555" t="str">
        <f>"9781136211065"</f>
        <v>9781136211065</v>
      </c>
      <c r="E4555" t="s">
        <v>26010</v>
      </c>
      <c r="F4555" t="s">
        <v>35</v>
      </c>
      <c r="G4555" t="s">
        <v>22174</v>
      </c>
      <c r="H4555" t="s">
        <v>26011</v>
      </c>
      <c r="I4555" s="26">
        <v>41191</v>
      </c>
      <c r="J4555">
        <v>2013</v>
      </c>
      <c r="K4555" t="s">
        <v>26012</v>
      </c>
      <c r="L4555">
        <v>241</v>
      </c>
      <c r="M4555" t="s">
        <v>42034</v>
      </c>
      <c r="N4555">
        <v>1</v>
      </c>
      <c r="Q4555" t="s">
        <v>42035</v>
      </c>
      <c r="R4555">
        <v>150.19499999999999</v>
      </c>
      <c r="S4555" t="s">
        <v>8460</v>
      </c>
      <c r="T4555" t="s">
        <v>30</v>
      </c>
      <c r="U4555" t="s">
        <v>46</v>
      </c>
      <c r="W4555" t="s">
        <v>26009</v>
      </c>
    </row>
    <row r="4556" spans="1:23" x14ac:dyDescent="0.35">
      <c r="A4556">
        <v>1092708</v>
      </c>
      <c r="B4556" t="s">
        <v>9685</v>
      </c>
      <c r="C4556" t="str">
        <f>"9780415600996"</f>
        <v>9780415600996</v>
      </c>
      <c r="D4556" t="str">
        <f>"9781136216725"</f>
        <v>9781136216725</v>
      </c>
      <c r="E4556" t="s">
        <v>26010</v>
      </c>
      <c r="F4556" t="s">
        <v>35</v>
      </c>
      <c r="G4556" t="s">
        <v>22174</v>
      </c>
      <c r="H4556" t="s">
        <v>26011</v>
      </c>
      <c r="I4556" s="26">
        <v>41225</v>
      </c>
      <c r="J4556">
        <v>2013</v>
      </c>
      <c r="K4556" t="s">
        <v>26012</v>
      </c>
      <c r="L4556">
        <v>257</v>
      </c>
      <c r="M4556" t="s">
        <v>42036</v>
      </c>
      <c r="N4556">
        <v>1</v>
      </c>
      <c r="O4556" t="s">
        <v>42037</v>
      </c>
      <c r="Q4556" t="s">
        <v>42038</v>
      </c>
      <c r="R4556" t="s">
        <v>34145</v>
      </c>
      <c r="S4556" t="s">
        <v>9686</v>
      </c>
      <c r="T4556" t="s">
        <v>30</v>
      </c>
      <c r="U4556" t="s">
        <v>46</v>
      </c>
      <c r="W4556" t="s">
        <v>26009</v>
      </c>
    </row>
    <row r="4557" spans="1:23" x14ac:dyDescent="0.35">
      <c r="A4557">
        <v>1092768</v>
      </c>
      <c r="B4557" t="s">
        <v>42039</v>
      </c>
      <c r="C4557" t="str">
        <f>"9781849710855"</f>
        <v>9781849710855</v>
      </c>
      <c r="D4557" t="str">
        <f>"9781136271304"</f>
        <v>9781136271304</v>
      </c>
      <c r="E4557" t="s">
        <v>26010</v>
      </c>
      <c r="F4557" t="s">
        <v>35</v>
      </c>
      <c r="G4557" t="s">
        <v>22174</v>
      </c>
      <c r="H4557" t="s">
        <v>26011</v>
      </c>
      <c r="I4557" s="26">
        <v>41257</v>
      </c>
      <c r="J4557">
        <v>2013</v>
      </c>
      <c r="K4557" t="s">
        <v>26012</v>
      </c>
      <c r="L4557">
        <v>260</v>
      </c>
      <c r="M4557" t="s">
        <v>42040</v>
      </c>
      <c r="N4557">
        <v>1</v>
      </c>
      <c r="O4557" t="s">
        <v>40511</v>
      </c>
      <c r="Q4557" t="s">
        <v>42041</v>
      </c>
      <c r="R4557">
        <v>363.1</v>
      </c>
      <c r="S4557" t="s">
        <v>9753</v>
      </c>
      <c r="T4557" t="s">
        <v>30</v>
      </c>
      <c r="U4557" t="s">
        <v>42042</v>
      </c>
      <c r="W4557" t="s">
        <v>26009</v>
      </c>
    </row>
    <row r="4558" spans="1:23" x14ac:dyDescent="0.35">
      <c r="A4558">
        <v>1092811</v>
      </c>
      <c r="B4558" t="s">
        <v>42043</v>
      </c>
      <c r="C4558" t="str">
        <f>"9780415699679"</f>
        <v>9780415699679</v>
      </c>
      <c r="D4558" t="str">
        <f>"9781136484810"</f>
        <v>9781136484810</v>
      </c>
      <c r="E4558" t="s">
        <v>26010</v>
      </c>
      <c r="F4558" t="s">
        <v>35</v>
      </c>
      <c r="G4558" t="s">
        <v>22174</v>
      </c>
      <c r="H4558" t="s">
        <v>26011</v>
      </c>
      <c r="I4558" s="26">
        <v>41218</v>
      </c>
      <c r="J4558">
        <v>2013</v>
      </c>
      <c r="K4558" t="s">
        <v>26012</v>
      </c>
      <c r="L4558">
        <v>249</v>
      </c>
      <c r="M4558" t="s">
        <v>42044</v>
      </c>
      <c r="N4558">
        <v>1</v>
      </c>
      <c r="Q4558" t="s">
        <v>42045</v>
      </c>
      <c r="R4558">
        <v>155.65</v>
      </c>
      <c r="S4558" t="s">
        <v>8397</v>
      </c>
      <c r="T4558" t="s">
        <v>30</v>
      </c>
      <c r="U4558" t="s">
        <v>26228</v>
      </c>
      <c r="W4558" t="s">
        <v>26009</v>
      </c>
    </row>
    <row r="4559" spans="1:23" x14ac:dyDescent="0.35">
      <c r="A4559">
        <v>1092957</v>
      </c>
      <c r="B4559" t="s">
        <v>42046</v>
      </c>
      <c r="C4559" t="str">
        <f>"9780520274785"</f>
        <v>9780520274785</v>
      </c>
      <c r="D4559" t="str">
        <f>"9780520954526"</f>
        <v>9780520954526</v>
      </c>
      <c r="E4559" t="s">
        <v>1612</v>
      </c>
      <c r="F4559" t="s">
        <v>1612</v>
      </c>
      <c r="G4559" t="s">
        <v>22630</v>
      </c>
      <c r="H4559" t="s">
        <v>26004</v>
      </c>
      <c r="I4559" s="26">
        <v>41275</v>
      </c>
      <c r="J4559">
        <v>2013</v>
      </c>
      <c r="K4559" t="s">
        <v>1612</v>
      </c>
      <c r="L4559">
        <v>255</v>
      </c>
      <c r="M4559" t="s">
        <v>42047</v>
      </c>
      <c r="N4559">
        <v>1</v>
      </c>
      <c r="R4559">
        <v>362.19689</v>
      </c>
      <c r="T4559" t="s">
        <v>30</v>
      </c>
      <c r="U4559" t="s">
        <v>26094</v>
      </c>
      <c r="W4559" t="s">
        <v>26009</v>
      </c>
    </row>
    <row r="4560" spans="1:23" x14ac:dyDescent="0.35">
      <c r="A4560">
        <v>1093089</v>
      </c>
      <c r="B4560" t="s">
        <v>42048</v>
      </c>
      <c r="C4560" t="str">
        <f>"9781780490298"</f>
        <v>9781780490298</v>
      </c>
      <c r="D4560" t="str">
        <f>"9781782410508"</f>
        <v>9781782410508</v>
      </c>
      <c r="E4560" t="s">
        <v>26010</v>
      </c>
      <c r="F4560" t="s">
        <v>35</v>
      </c>
      <c r="G4560" t="s">
        <v>22174</v>
      </c>
      <c r="H4560" t="s">
        <v>26011</v>
      </c>
      <c r="I4560" s="26">
        <v>41275</v>
      </c>
      <c r="J4560">
        <v>2013</v>
      </c>
      <c r="K4560" t="s">
        <v>26012</v>
      </c>
      <c r="L4560">
        <v>301</v>
      </c>
      <c r="M4560" t="s">
        <v>42049</v>
      </c>
      <c r="N4560">
        <v>1</v>
      </c>
      <c r="Q4560" t="s">
        <v>42050</v>
      </c>
      <c r="R4560">
        <v>616.89142500000003</v>
      </c>
      <c r="S4560" t="s">
        <v>42051</v>
      </c>
      <c r="T4560" t="s">
        <v>30</v>
      </c>
      <c r="U4560" t="s">
        <v>26116</v>
      </c>
      <c r="W4560" t="s">
        <v>26009</v>
      </c>
    </row>
    <row r="4561" spans="1:23" x14ac:dyDescent="0.35">
      <c r="A4561">
        <v>1093556</v>
      </c>
      <c r="B4561" t="s">
        <v>42052</v>
      </c>
      <c r="C4561" t="str">
        <f>"9781611684452"</f>
        <v>9781611684452</v>
      </c>
      <c r="D4561" t="str">
        <f>"9781611684469"</f>
        <v>9781611684469</v>
      </c>
      <c r="E4561" t="s">
        <v>42000</v>
      </c>
      <c r="F4561" t="s">
        <v>8423</v>
      </c>
      <c r="G4561" t="s">
        <v>23576</v>
      </c>
      <c r="H4561" t="s">
        <v>26004</v>
      </c>
      <c r="I4561" s="26">
        <v>41408</v>
      </c>
      <c r="J4561">
        <v>2013</v>
      </c>
      <c r="K4561" t="s">
        <v>8423</v>
      </c>
      <c r="L4561">
        <v>266</v>
      </c>
      <c r="M4561" t="s">
        <v>42053</v>
      </c>
      <c r="N4561">
        <v>1</v>
      </c>
      <c r="Q4561" t="s">
        <v>36445</v>
      </c>
      <c r="R4561" t="s">
        <v>42054</v>
      </c>
      <c r="S4561" t="s">
        <v>42055</v>
      </c>
      <c r="T4561" t="s">
        <v>30</v>
      </c>
      <c r="U4561" t="s">
        <v>46</v>
      </c>
      <c r="W4561" t="s">
        <v>26009</v>
      </c>
    </row>
    <row r="4562" spans="1:23" x14ac:dyDescent="0.35">
      <c r="A4562">
        <v>1094213</v>
      </c>
      <c r="B4562" t="s">
        <v>42056</v>
      </c>
      <c r="C4562" t="str">
        <f>"9780826108494"</f>
        <v>9780826108494</v>
      </c>
      <c r="D4562" t="str">
        <f>"9780826108500"</f>
        <v>9780826108500</v>
      </c>
      <c r="E4562" t="s">
        <v>1504</v>
      </c>
      <c r="F4562" t="s">
        <v>33</v>
      </c>
      <c r="G4562" t="s">
        <v>22179</v>
      </c>
      <c r="H4562" t="s">
        <v>26004</v>
      </c>
      <c r="I4562" s="26">
        <v>41214</v>
      </c>
      <c r="J4562">
        <v>2013</v>
      </c>
      <c r="K4562" t="s">
        <v>33</v>
      </c>
      <c r="L4562">
        <v>255</v>
      </c>
      <c r="M4562" t="s">
        <v>42057</v>
      </c>
      <c r="N4562">
        <v>1</v>
      </c>
      <c r="Q4562" t="s">
        <v>42058</v>
      </c>
      <c r="S4562" t="s">
        <v>42059</v>
      </c>
      <c r="T4562" t="s">
        <v>30</v>
      </c>
      <c r="U4562" t="s">
        <v>26228</v>
      </c>
      <c r="W4562" t="s">
        <v>26009</v>
      </c>
    </row>
    <row r="4563" spans="1:23" x14ac:dyDescent="0.35">
      <c r="A4563">
        <v>1095672</v>
      </c>
      <c r="B4563" t="s">
        <v>42060</v>
      </c>
      <c r="C4563" t="str">
        <f>"9780813554594"</f>
        <v>9780813554594</v>
      </c>
      <c r="D4563" t="str">
        <f>"9780813554617"</f>
        <v>9780813554617</v>
      </c>
      <c r="E4563" t="s">
        <v>3024</v>
      </c>
      <c r="F4563" t="s">
        <v>3024</v>
      </c>
      <c r="G4563" t="s">
        <v>23807</v>
      </c>
      <c r="H4563" t="s">
        <v>26004</v>
      </c>
      <c r="I4563" s="26">
        <v>41289</v>
      </c>
      <c r="J4563">
        <v>2013</v>
      </c>
      <c r="K4563" t="s">
        <v>3024</v>
      </c>
      <c r="L4563">
        <v>254</v>
      </c>
      <c r="M4563" t="s">
        <v>42061</v>
      </c>
      <c r="N4563">
        <v>1</v>
      </c>
      <c r="O4563" t="s">
        <v>31278</v>
      </c>
      <c r="Q4563" t="s">
        <v>42062</v>
      </c>
      <c r="R4563" t="s">
        <v>42063</v>
      </c>
      <c r="S4563" t="s">
        <v>42064</v>
      </c>
      <c r="T4563" t="s">
        <v>30</v>
      </c>
      <c r="U4563" t="s">
        <v>26094</v>
      </c>
      <c r="W4563" t="s">
        <v>26009</v>
      </c>
    </row>
    <row r="4564" spans="1:23" x14ac:dyDescent="0.35">
      <c r="A4564">
        <v>1097811</v>
      </c>
      <c r="B4564" t="s">
        <v>42065</v>
      </c>
      <c r="C4564" t="str">
        <f>"9780415600460"</f>
        <v>9780415600460</v>
      </c>
      <c r="D4564" t="str">
        <f>"9781136170263"</f>
        <v>9781136170263</v>
      </c>
      <c r="E4564" t="s">
        <v>26010</v>
      </c>
      <c r="F4564" t="s">
        <v>35</v>
      </c>
      <c r="G4564" t="s">
        <v>22174</v>
      </c>
      <c r="H4564" t="s">
        <v>26011</v>
      </c>
      <c r="I4564" s="26">
        <v>41249</v>
      </c>
      <c r="J4564">
        <v>2013</v>
      </c>
      <c r="K4564" t="s">
        <v>26012</v>
      </c>
      <c r="L4564">
        <v>305</v>
      </c>
      <c r="M4564" t="s">
        <v>42066</v>
      </c>
      <c r="N4564">
        <v>1</v>
      </c>
      <c r="Q4564" t="s">
        <v>42067</v>
      </c>
      <c r="R4564">
        <v>152.44</v>
      </c>
      <c r="S4564" t="s">
        <v>42068</v>
      </c>
      <c r="T4564" t="s">
        <v>30</v>
      </c>
      <c r="U4564" t="s">
        <v>46</v>
      </c>
      <c r="W4564" t="s">
        <v>26009</v>
      </c>
    </row>
    <row r="4565" spans="1:23" x14ac:dyDescent="0.35">
      <c r="A4565">
        <v>1097839</v>
      </c>
      <c r="B4565" t="s">
        <v>8943</v>
      </c>
      <c r="C4565" t="str">
        <f>"9781848720824"</f>
        <v>9781848720824</v>
      </c>
      <c r="D4565" t="str">
        <f>"9781136214189"</f>
        <v>9781136214189</v>
      </c>
      <c r="E4565" t="s">
        <v>26010</v>
      </c>
      <c r="F4565" t="s">
        <v>35</v>
      </c>
      <c r="G4565" t="s">
        <v>22174</v>
      </c>
      <c r="H4565" t="s">
        <v>26011</v>
      </c>
      <c r="I4565" s="26">
        <v>41218</v>
      </c>
      <c r="J4565">
        <v>2013</v>
      </c>
      <c r="K4565" t="s">
        <v>660</v>
      </c>
      <c r="L4565">
        <v>377</v>
      </c>
      <c r="M4565" t="s">
        <v>42069</v>
      </c>
      <c r="N4565">
        <v>1</v>
      </c>
      <c r="O4565" t="s">
        <v>36029</v>
      </c>
      <c r="Q4565" t="s">
        <v>42070</v>
      </c>
      <c r="R4565" t="s">
        <v>40787</v>
      </c>
      <c r="S4565" t="s">
        <v>42071</v>
      </c>
      <c r="T4565" t="s">
        <v>30</v>
      </c>
      <c r="U4565" t="s">
        <v>33748</v>
      </c>
      <c r="W4565" t="s">
        <v>26009</v>
      </c>
    </row>
    <row r="4566" spans="1:23" x14ac:dyDescent="0.35">
      <c r="A4566">
        <v>1097864</v>
      </c>
      <c r="B4566" t="s">
        <v>42072</v>
      </c>
      <c r="C4566" t="str">
        <f>"9780415610278"</f>
        <v>9780415610278</v>
      </c>
      <c r="D4566" t="str">
        <f>"9781135727284"</f>
        <v>9781135727284</v>
      </c>
      <c r="E4566" t="s">
        <v>26010</v>
      </c>
      <c r="F4566" t="s">
        <v>35</v>
      </c>
      <c r="G4566" t="s">
        <v>22174</v>
      </c>
      <c r="H4566" t="s">
        <v>26011</v>
      </c>
      <c r="I4566" s="26">
        <v>40953</v>
      </c>
      <c r="J4566">
        <v>2012</v>
      </c>
      <c r="K4566" t="s">
        <v>26012</v>
      </c>
      <c r="L4566">
        <v>177</v>
      </c>
      <c r="M4566" t="s">
        <v>42073</v>
      </c>
      <c r="N4566">
        <v>1</v>
      </c>
      <c r="Q4566" t="s">
        <v>42074</v>
      </c>
      <c r="R4566" t="s">
        <v>34684</v>
      </c>
      <c r="S4566" t="s">
        <v>8916</v>
      </c>
      <c r="T4566" t="s">
        <v>30</v>
      </c>
      <c r="U4566" t="s">
        <v>29153</v>
      </c>
      <c r="W4566" t="s">
        <v>26009</v>
      </c>
    </row>
    <row r="4567" spans="1:23" x14ac:dyDescent="0.35">
      <c r="A4567">
        <v>1097983</v>
      </c>
      <c r="B4567" t="s">
        <v>7436</v>
      </c>
      <c r="C4567" t="str">
        <f>"9781780490052"</f>
        <v>9781780490052</v>
      </c>
      <c r="D4567" t="str">
        <f>"9781782410584"</f>
        <v>9781782410584</v>
      </c>
      <c r="E4567" t="s">
        <v>26010</v>
      </c>
      <c r="F4567" t="s">
        <v>35</v>
      </c>
      <c r="G4567" t="s">
        <v>22174</v>
      </c>
      <c r="H4567" t="s">
        <v>26011</v>
      </c>
      <c r="I4567" s="26">
        <v>41275</v>
      </c>
      <c r="J4567">
        <v>2013</v>
      </c>
      <c r="K4567" t="s">
        <v>26012</v>
      </c>
      <c r="L4567">
        <v>257</v>
      </c>
      <c r="M4567" t="s">
        <v>42075</v>
      </c>
      <c r="N4567">
        <v>1</v>
      </c>
      <c r="O4567" t="s">
        <v>36500</v>
      </c>
      <c r="Q4567" t="s">
        <v>42076</v>
      </c>
      <c r="R4567">
        <v>150.19499999999999</v>
      </c>
      <c r="S4567" t="s">
        <v>42077</v>
      </c>
      <c r="T4567" t="s">
        <v>30</v>
      </c>
      <c r="U4567" t="s">
        <v>26116</v>
      </c>
      <c r="W4567" t="s">
        <v>26009</v>
      </c>
    </row>
    <row r="4568" spans="1:23" x14ac:dyDescent="0.35">
      <c r="A4568">
        <v>1099087</v>
      </c>
      <c r="B4568" t="s">
        <v>9577</v>
      </c>
      <c r="C4568" t="str">
        <f>"9780415282765"</f>
        <v>9780415282765</v>
      </c>
      <c r="D4568" t="str">
        <f>"9781135646646"</f>
        <v>9781135646646</v>
      </c>
      <c r="E4568" t="s">
        <v>26010</v>
      </c>
      <c r="F4568" t="s">
        <v>35</v>
      </c>
      <c r="G4568" t="s">
        <v>22174</v>
      </c>
      <c r="H4568" t="s">
        <v>26011</v>
      </c>
      <c r="I4568" s="26">
        <v>37587</v>
      </c>
      <c r="J4568">
        <v>2002</v>
      </c>
      <c r="K4568" t="s">
        <v>26012</v>
      </c>
      <c r="L4568">
        <v>297</v>
      </c>
      <c r="M4568" t="s">
        <v>42078</v>
      </c>
      <c r="N4568">
        <v>1</v>
      </c>
      <c r="O4568" t="s">
        <v>26554</v>
      </c>
      <c r="Q4568" t="s">
        <v>42079</v>
      </c>
      <c r="R4568">
        <v>303.60000000000002</v>
      </c>
      <c r="S4568" t="s">
        <v>7491</v>
      </c>
      <c r="T4568" t="s">
        <v>30</v>
      </c>
      <c r="U4568" t="s">
        <v>26044</v>
      </c>
      <c r="W4568" t="s">
        <v>26009</v>
      </c>
    </row>
    <row r="4569" spans="1:23" x14ac:dyDescent="0.35">
      <c r="A4569">
        <v>1099140</v>
      </c>
      <c r="B4569" t="s">
        <v>42080</v>
      </c>
      <c r="C4569" t="str">
        <f>"9781583913345"</f>
        <v>9781583913345</v>
      </c>
      <c r="D4569" t="str">
        <f>"9781135842642"</f>
        <v>9781135842642</v>
      </c>
      <c r="E4569" t="s">
        <v>26010</v>
      </c>
      <c r="F4569" t="s">
        <v>35</v>
      </c>
      <c r="G4569" t="s">
        <v>26201</v>
      </c>
      <c r="H4569" t="s">
        <v>26011</v>
      </c>
      <c r="I4569" s="26">
        <v>37386</v>
      </c>
      <c r="J4569">
        <v>2002</v>
      </c>
      <c r="K4569" t="s">
        <v>26012</v>
      </c>
      <c r="L4569">
        <v>231</v>
      </c>
      <c r="M4569" t="s">
        <v>42081</v>
      </c>
      <c r="N4569">
        <v>1</v>
      </c>
      <c r="Q4569" t="s">
        <v>42082</v>
      </c>
      <c r="R4569">
        <v>616.89009429999999</v>
      </c>
      <c r="S4569" t="s">
        <v>42083</v>
      </c>
      <c r="T4569" t="s">
        <v>30</v>
      </c>
      <c r="U4569" t="s">
        <v>26019</v>
      </c>
      <c r="W4569" t="s">
        <v>26009</v>
      </c>
    </row>
    <row r="4570" spans="1:23" x14ac:dyDescent="0.35">
      <c r="A4570">
        <v>1099148</v>
      </c>
      <c r="B4570" t="s">
        <v>42084</v>
      </c>
      <c r="C4570" t="str">
        <f>"9781841690520"</f>
        <v>9781841690520</v>
      </c>
      <c r="D4570" t="str">
        <f>"9781135897246"</f>
        <v>9781135897246</v>
      </c>
      <c r="E4570" t="s">
        <v>26010</v>
      </c>
      <c r="F4570" t="s">
        <v>35</v>
      </c>
      <c r="G4570" t="s">
        <v>22174</v>
      </c>
      <c r="H4570" t="s">
        <v>26011</v>
      </c>
      <c r="I4570" s="26">
        <v>37040</v>
      </c>
      <c r="J4570">
        <v>2001</v>
      </c>
      <c r="K4570" t="s">
        <v>660</v>
      </c>
      <c r="L4570">
        <v>325</v>
      </c>
      <c r="M4570" t="s">
        <v>42085</v>
      </c>
      <c r="N4570">
        <v>1</v>
      </c>
      <c r="Q4570" t="s">
        <v>42086</v>
      </c>
      <c r="R4570" t="s">
        <v>42087</v>
      </c>
      <c r="S4570" t="s">
        <v>42088</v>
      </c>
      <c r="T4570" t="s">
        <v>30</v>
      </c>
      <c r="U4570" t="s">
        <v>46</v>
      </c>
      <c r="W4570" t="s">
        <v>26009</v>
      </c>
    </row>
    <row r="4571" spans="1:23" x14ac:dyDescent="0.35">
      <c r="A4571">
        <v>1099197</v>
      </c>
      <c r="B4571" t="s">
        <v>42089</v>
      </c>
      <c r="C4571" t="str">
        <f>"9780805895704"</f>
        <v>9780805895704</v>
      </c>
      <c r="D4571" t="str">
        <f>"9781136507434"</f>
        <v>9781136507434</v>
      </c>
      <c r="E4571" t="s">
        <v>26010</v>
      </c>
      <c r="F4571" t="s">
        <v>35</v>
      </c>
      <c r="G4571" t="s">
        <v>22174</v>
      </c>
      <c r="H4571" t="s">
        <v>26011</v>
      </c>
      <c r="I4571" s="26">
        <v>37926</v>
      </c>
      <c r="J4571">
        <v>2003</v>
      </c>
      <c r="K4571" t="s">
        <v>26012</v>
      </c>
      <c r="L4571">
        <v>111</v>
      </c>
      <c r="M4571" t="s">
        <v>42090</v>
      </c>
      <c r="N4571">
        <v>1</v>
      </c>
      <c r="Q4571" t="s">
        <v>42091</v>
      </c>
      <c r="R4571">
        <v>370.15699999999998</v>
      </c>
      <c r="S4571" t="s">
        <v>42092</v>
      </c>
      <c r="T4571" t="s">
        <v>30</v>
      </c>
      <c r="U4571" t="s">
        <v>42093</v>
      </c>
      <c r="W4571" t="s">
        <v>26009</v>
      </c>
    </row>
    <row r="4572" spans="1:23" x14ac:dyDescent="0.35">
      <c r="A4572">
        <v>1099209</v>
      </c>
      <c r="B4572" t="s">
        <v>42094</v>
      </c>
      <c r="C4572" t="str">
        <f>"9780415555135"</f>
        <v>9780415555135</v>
      </c>
      <c r="D4572" t="str">
        <f>"9781135718046"</f>
        <v>9781135718046</v>
      </c>
      <c r="E4572" t="s">
        <v>26010</v>
      </c>
      <c r="F4572" t="s">
        <v>35</v>
      </c>
      <c r="G4572" t="s">
        <v>22174</v>
      </c>
      <c r="H4572" t="s">
        <v>26011</v>
      </c>
      <c r="I4572" s="26">
        <v>40592</v>
      </c>
      <c r="J4572">
        <v>2011</v>
      </c>
      <c r="K4572" t="s">
        <v>26012</v>
      </c>
      <c r="L4572">
        <v>241</v>
      </c>
      <c r="M4572" t="s">
        <v>42095</v>
      </c>
      <c r="N4572">
        <v>1</v>
      </c>
      <c r="Q4572" t="s">
        <v>42096</v>
      </c>
      <c r="R4572">
        <v>791.43658449999998</v>
      </c>
      <c r="S4572" t="s">
        <v>8420</v>
      </c>
      <c r="T4572" t="s">
        <v>30</v>
      </c>
      <c r="U4572" t="s">
        <v>27699</v>
      </c>
      <c r="W4572" t="s">
        <v>26009</v>
      </c>
    </row>
    <row r="4573" spans="1:23" x14ac:dyDescent="0.35">
      <c r="A4573">
        <v>1099250</v>
      </c>
      <c r="B4573" t="s">
        <v>42097</v>
      </c>
      <c r="C4573" t="str">
        <f>"9780415305327"</f>
        <v>9780415305327</v>
      </c>
      <c r="D4573" t="str">
        <f>"9781135648329"</f>
        <v>9781135648329</v>
      </c>
      <c r="E4573" t="s">
        <v>26010</v>
      </c>
      <c r="F4573" t="s">
        <v>35</v>
      </c>
      <c r="G4573" t="s">
        <v>22174</v>
      </c>
      <c r="H4573" t="s">
        <v>26011</v>
      </c>
      <c r="I4573" s="26">
        <v>38700</v>
      </c>
      <c r="J4573">
        <v>2005</v>
      </c>
      <c r="K4573" t="s">
        <v>26012</v>
      </c>
      <c r="L4573">
        <v>273</v>
      </c>
      <c r="M4573" t="s">
        <v>42098</v>
      </c>
      <c r="N4573">
        <v>1</v>
      </c>
      <c r="Q4573" t="s">
        <v>42099</v>
      </c>
      <c r="R4573">
        <v>305.8</v>
      </c>
      <c r="S4573" t="s">
        <v>42100</v>
      </c>
      <c r="T4573" t="s">
        <v>30</v>
      </c>
      <c r="U4573" t="s">
        <v>26044</v>
      </c>
      <c r="W4573" t="s">
        <v>26009</v>
      </c>
    </row>
    <row r="4574" spans="1:23" x14ac:dyDescent="0.35">
      <c r="A4574">
        <v>1099277</v>
      </c>
      <c r="B4574" t="s">
        <v>8217</v>
      </c>
      <c r="C4574" t="str">
        <f>"9781848720374"</f>
        <v>9781848720374</v>
      </c>
      <c r="D4574" t="str">
        <f>"9781136511028"</f>
        <v>9781136511028</v>
      </c>
      <c r="E4574" t="s">
        <v>26010</v>
      </c>
      <c r="F4574" t="s">
        <v>35</v>
      </c>
      <c r="G4574" t="s">
        <v>22174</v>
      </c>
      <c r="H4574" t="s">
        <v>26011</v>
      </c>
      <c r="I4574" s="26">
        <v>40892</v>
      </c>
      <c r="J4574">
        <v>2012</v>
      </c>
      <c r="K4574" t="s">
        <v>660</v>
      </c>
      <c r="L4574">
        <v>193</v>
      </c>
      <c r="M4574" t="s">
        <v>42101</v>
      </c>
      <c r="N4574">
        <v>1</v>
      </c>
      <c r="O4574" t="s">
        <v>35821</v>
      </c>
      <c r="Q4574" t="s">
        <v>42102</v>
      </c>
      <c r="R4574">
        <v>155.5</v>
      </c>
      <c r="S4574" t="s">
        <v>42103</v>
      </c>
      <c r="T4574" t="s">
        <v>30</v>
      </c>
      <c r="U4574" t="s">
        <v>46</v>
      </c>
      <c r="W4574" t="s">
        <v>26009</v>
      </c>
    </row>
    <row r="4575" spans="1:23" x14ac:dyDescent="0.35">
      <c r="A4575">
        <v>1099435</v>
      </c>
      <c r="B4575" t="s">
        <v>42104</v>
      </c>
      <c r="C4575" t="str">
        <f>"9781560232865"</f>
        <v>9781560232865</v>
      </c>
      <c r="D4575" t="str">
        <f>"9781135833121"</f>
        <v>9781135833121</v>
      </c>
      <c r="E4575" t="s">
        <v>26010</v>
      </c>
      <c r="F4575" t="s">
        <v>35</v>
      </c>
      <c r="G4575" t="s">
        <v>26201</v>
      </c>
      <c r="H4575" t="s">
        <v>26011</v>
      </c>
      <c r="I4575" s="26">
        <v>38156</v>
      </c>
      <c r="J4575">
        <v>2004</v>
      </c>
      <c r="K4575" t="s">
        <v>26012</v>
      </c>
      <c r="L4575">
        <v>298</v>
      </c>
      <c r="M4575" t="s">
        <v>42105</v>
      </c>
      <c r="N4575">
        <v>1</v>
      </c>
      <c r="Q4575" t="s">
        <v>42106</v>
      </c>
      <c r="R4575">
        <v>336.22209409999999</v>
      </c>
      <c r="S4575" t="s">
        <v>42107</v>
      </c>
      <c r="T4575" t="s">
        <v>30</v>
      </c>
      <c r="U4575" t="s">
        <v>42108</v>
      </c>
      <c r="W4575" t="s">
        <v>26009</v>
      </c>
    </row>
    <row r="4576" spans="1:23" x14ac:dyDescent="0.35">
      <c r="A4576">
        <v>1099436</v>
      </c>
      <c r="B4576" t="s">
        <v>42109</v>
      </c>
      <c r="C4576" t="str">
        <f>"9781560233060"</f>
        <v>9781560233060</v>
      </c>
      <c r="D4576" t="str">
        <f>"9781135833404"</f>
        <v>9781135833404</v>
      </c>
      <c r="E4576" t="s">
        <v>26010</v>
      </c>
      <c r="F4576" t="s">
        <v>35</v>
      </c>
      <c r="G4576" t="s">
        <v>22174</v>
      </c>
      <c r="H4576" t="s">
        <v>26011</v>
      </c>
      <c r="I4576" s="26">
        <v>38070</v>
      </c>
      <c r="J4576">
        <v>2004</v>
      </c>
      <c r="K4576" t="s">
        <v>26012</v>
      </c>
      <c r="L4576">
        <v>152</v>
      </c>
      <c r="M4576" t="s">
        <v>42110</v>
      </c>
      <c r="N4576">
        <v>1</v>
      </c>
      <c r="Q4576" t="s">
        <v>42111</v>
      </c>
      <c r="R4576">
        <v>620.13499999999999</v>
      </c>
      <c r="S4576" t="s">
        <v>42112</v>
      </c>
      <c r="T4576" t="s">
        <v>30</v>
      </c>
      <c r="U4576" t="s">
        <v>42113</v>
      </c>
      <c r="W4576" t="s">
        <v>26009</v>
      </c>
    </row>
    <row r="4577" spans="1:23" x14ac:dyDescent="0.35">
      <c r="A4577">
        <v>1099437</v>
      </c>
      <c r="B4577" t="s">
        <v>42114</v>
      </c>
      <c r="C4577" t="str">
        <f>"9781843120926"</f>
        <v>9781843120926</v>
      </c>
      <c r="D4577" t="str">
        <f>"9781135397838"</f>
        <v>9781135397838</v>
      </c>
      <c r="E4577" t="s">
        <v>26010</v>
      </c>
      <c r="F4577" t="s">
        <v>35</v>
      </c>
      <c r="G4577" t="s">
        <v>22174</v>
      </c>
      <c r="H4577" t="s">
        <v>26011</v>
      </c>
      <c r="I4577" s="26">
        <v>38539</v>
      </c>
      <c r="J4577">
        <v>2005</v>
      </c>
      <c r="K4577" t="s">
        <v>26012</v>
      </c>
      <c r="L4577">
        <v>184</v>
      </c>
      <c r="M4577" t="s">
        <v>42115</v>
      </c>
      <c r="N4577">
        <v>1</v>
      </c>
      <c r="O4577" t="s">
        <v>42116</v>
      </c>
      <c r="Q4577" t="s">
        <v>42117</v>
      </c>
      <c r="R4577" t="s">
        <v>42118</v>
      </c>
      <c r="S4577" t="s">
        <v>42119</v>
      </c>
      <c r="T4577" t="s">
        <v>30</v>
      </c>
      <c r="U4577" t="s">
        <v>337</v>
      </c>
      <c r="W4577" t="s">
        <v>26009</v>
      </c>
    </row>
    <row r="4578" spans="1:23" x14ac:dyDescent="0.35">
      <c r="A4578">
        <v>1099438</v>
      </c>
      <c r="B4578" t="s">
        <v>42120</v>
      </c>
      <c r="C4578" t="str">
        <f>"9780415944069"</f>
        <v>9780415944069</v>
      </c>
      <c r="D4578" t="str">
        <f>"9781135946210"</f>
        <v>9781135946210</v>
      </c>
      <c r="E4578" t="s">
        <v>26010</v>
      </c>
      <c r="F4578" t="s">
        <v>35</v>
      </c>
      <c r="G4578" t="s">
        <v>35480</v>
      </c>
      <c r="H4578" t="s">
        <v>26011</v>
      </c>
      <c r="I4578" s="26">
        <v>38020</v>
      </c>
      <c r="J4578">
        <v>2004</v>
      </c>
      <c r="K4578" t="s">
        <v>26012</v>
      </c>
      <c r="L4578">
        <v>315</v>
      </c>
      <c r="M4578" t="s">
        <v>42121</v>
      </c>
      <c r="N4578">
        <v>1</v>
      </c>
      <c r="Q4578" t="s">
        <v>42122</v>
      </c>
      <c r="R4578">
        <v>361.32</v>
      </c>
      <c r="S4578" t="s">
        <v>42123</v>
      </c>
      <c r="T4578" t="s">
        <v>30</v>
      </c>
      <c r="U4578" t="s">
        <v>26044</v>
      </c>
      <c r="W4578" t="s">
        <v>26009</v>
      </c>
    </row>
    <row r="4579" spans="1:23" x14ac:dyDescent="0.35">
      <c r="A4579">
        <v>1099452</v>
      </c>
      <c r="B4579" t="s">
        <v>42124</v>
      </c>
      <c r="C4579" t="str">
        <f>"9780789029928"</f>
        <v>9780789029928</v>
      </c>
      <c r="D4579" t="str">
        <f>"9781135800642"</f>
        <v>9781135800642</v>
      </c>
      <c r="E4579" t="s">
        <v>26010</v>
      </c>
      <c r="F4579" t="s">
        <v>35</v>
      </c>
      <c r="G4579" t="s">
        <v>26201</v>
      </c>
      <c r="H4579" t="s">
        <v>26011</v>
      </c>
      <c r="I4579" s="26">
        <v>38625</v>
      </c>
      <c r="J4579">
        <v>2005</v>
      </c>
      <c r="K4579" t="s">
        <v>26012</v>
      </c>
      <c r="L4579">
        <v>153</v>
      </c>
      <c r="M4579" t="s">
        <v>42125</v>
      </c>
      <c r="N4579">
        <v>1</v>
      </c>
      <c r="Q4579" t="s">
        <v>42126</v>
      </c>
      <c r="R4579">
        <v>305.23520000000002</v>
      </c>
      <c r="S4579" t="s">
        <v>42127</v>
      </c>
      <c r="T4579" t="s">
        <v>30</v>
      </c>
      <c r="U4579" t="s">
        <v>26044</v>
      </c>
      <c r="W4579" t="s">
        <v>26009</v>
      </c>
    </row>
    <row r="4580" spans="1:23" x14ac:dyDescent="0.35">
      <c r="A4580">
        <v>1099487</v>
      </c>
      <c r="B4580" t="s">
        <v>42128</v>
      </c>
      <c r="C4580" t="str">
        <f>"9780789022950"</f>
        <v>9780789022950</v>
      </c>
      <c r="D4580" t="str">
        <f>"9781135794767"</f>
        <v>9781135794767</v>
      </c>
      <c r="E4580" t="s">
        <v>26010</v>
      </c>
      <c r="F4580" t="s">
        <v>35</v>
      </c>
      <c r="G4580" t="s">
        <v>26201</v>
      </c>
      <c r="H4580" t="s">
        <v>26011</v>
      </c>
      <c r="I4580" s="26">
        <v>38503</v>
      </c>
      <c r="J4580">
        <v>2005</v>
      </c>
      <c r="K4580" t="s">
        <v>26012</v>
      </c>
      <c r="L4580">
        <v>163</v>
      </c>
      <c r="M4580" t="s">
        <v>42129</v>
      </c>
      <c r="N4580">
        <v>1</v>
      </c>
      <c r="Q4580" t="s">
        <v>42130</v>
      </c>
      <c r="R4580">
        <v>792.08804199999997</v>
      </c>
      <c r="S4580" t="s">
        <v>7546</v>
      </c>
      <c r="T4580" t="s">
        <v>30</v>
      </c>
      <c r="U4580" t="s">
        <v>29679</v>
      </c>
      <c r="W4580" t="s">
        <v>26009</v>
      </c>
    </row>
    <row r="4581" spans="1:23" x14ac:dyDescent="0.35">
      <c r="A4581">
        <v>1099512</v>
      </c>
      <c r="B4581" t="s">
        <v>42131</v>
      </c>
      <c r="C4581" t="str">
        <f>"9780789012364"</f>
        <v>9780789012364</v>
      </c>
      <c r="D4581" t="str">
        <f>"9781135788889"</f>
        <v>9781135788889</v>
      </c>
      <c r="E4581" t="s">
        <v>26010</v>
      </c>
      <c r="F4581" t="s">
        <v>35</v>
      </c>
      <c r="G4581" t="s">
        <v>26201</v>
      </c>
      <c r="H4581" t="s">
        <v>26011</v>
      </c>
      <c r="I4581" s="26">
        <v>37411</v>
      </c>
      <c r="J4581">
        <v>2002</v>
      </c>
      <c r="K4581" t="s">
        <v>26012</v>
      </c>
      <c r="L4581">
        <v>451</v>
      </c>
      <c r="M4581" t="s">
        <v>42132</v>
      </c>
      <c r="N4581">
        <v>1</v>
      </c>
      <c r="Q4581" t="s">
        <v>42133</v>
      </c>
      <c r="R4581">
        <v>303.60959800000001</v>
      </c>
      <c r="S4581" t="s">
        <v>2979</v>
      </c>
      <c r="T4581" t="s">
        <v>30</v>
      </c>
      <c r="U4581" t="s">
        <v>29407</v>
      </c>
      <c r="W4581" t="s">
        <v>26009</v>
      </c>
    </row>
    <row r="4582" spans="1:23" x14ac:dyDescent="0.35">
      <c r="A4582">
        <v>1099817</v>
      </c>
      <c r="B4582" t="s">
        <v>7655</v>
      </c>
      <c r="C4582" t="str">
        <f>"9780521875011"</f>
        <v>9780521875011</v>
      </c>
      <c r="D4582" t="str">
        <f>"9781139611718"</f>
        <v>9781139611718</v>
      </c>
      <c r="E4582" t="s">
        <v>167</v>
      </c>
      <c r="F4582" t="s">
        <v>167</v>
      </c>
      <c r="G4582" t="s">
        <v>22218</v>
      </c>
      <c r="H4582" t="s">
        <v>26011</v>
      </c>
      <c r="I4582" s="26">
        <v>41298</v>
      </c>
      <c r="J4582">
        <v>2013</v>
      </c>
      <c r="K4582" t="s">
        <v>167</v>
      </c>
      <c r="L4582">
        <v>718</v>
      </c>
      <c r="M4582" t="s">
        <v>42134</v>
      </c>
      <c r="N4582">
        <v>1</v>
      </c>
      <c r="Q4582" t="s">
        <v>42135</v>
      </c>
      <c r="R4582">
        <v>616.79999999999995</v>
      </c>
      <c r="S4582" t="s">
        <v>42136</v>
      </c>
      <c r="T4582" t="s">
        <v>30</v>
      </c>
      <c r="U4582" t="s">
        <v>26040</v>
      </c>
      <c r="W4582" t="s">
        <v>26020</v>
      </c>
    </row>
    <row r="4583" spans="1:23" x14ac:dyDescent="0.35">
      <c r="A4583">
        <v>1099820</v>
      </c>
      <c r="B4583" t="s">
        <v>8740</v>
      </c>
      <c r="C4583" t="str">
        <f>"9780521885911"</f>
        <v>9780521885911</v>
      </c>
      <c r="D4583" t="str">
        <f>"9781139611749"</f>
        <v>9781139611749</v>
      </c>
      <c r="E4583" t="s">
        <v>167</v>
      </c>
      <c r="F4583" t="s">
        <v>167</v>
      </c>
      <c r="G4583" t="s">
        <v>22218</v>
      </c>
      <c r="H4583" t="s">
        <v>26011</v>
      </c>
      <c r="I4583" s="26">
        <v>41291</v>
      </c>
      <c r="J4583">
        <v>2013</v>
      </c>
      <c r="K4583" t="s">
        <v>167</v>
      </c>
      <c r="L4583">
        <v>238</v>
      </c>
      <c r="M4583" t="s">
        <v>42137</v>
      </c>
      <c r="N4583">
        <v>1</v>
      </c>
      <c r="Q4583" t="s">
        <v>42138</v>
      </c>
      <c r="R4583">
        <v>301</v>
      </c>
      <c r="S4583" t="s">
        <v>42139</v>
      </c>
      <c r="T4583" t="s">
        <v>30</v>
      </c>
      <c r="U4583" t="s">
        <v>26044</v>
      </c>
      <c r="W4583" t="s">
        <v>26020</v>
      </c>
    </row>
    <row r="4584" spans="1:23" x14ac:dyDescent="0.35">
      <c r="A4584">
        <v>1099825</v>
      </c>
      <c r="B4584" t="s">
        <v>9770</v>
      </c>
      <c r="C4584" t="str">
        <f>"9781107000124"</f>
        <v>9781107000124</v>
      </c>
      <c r="D4584" t="str">
        <f>"9781139611794"</f>
        <v>9781139611794</v>
      </c>
      <c r="E4584" t="s">
        <v>167</v>
      </c>
      <c r="F4584" t="s">
        <v>167</v>
      </c>
      <c r="G4584" t="s">
        <v>22218</v>
      </c>
      <c r="H4584" t="s">
        <v>26011</v>
      </c>
      <c r="I4584" s="26">
        <v>41291</v>
      </c>
      <c r="J4584">
        <v>2013</v>
      </c>
      <c r="K4584" t="s">
        <v>167</v>
      </c>
      <c r="L4584">
        <v>250</v>
      </c>
      <c r="M4584" t="s">
        <v>42140</v>
      </c>
      <c r="N4584">
        <v>1</v>
      </c>
      <c r="Q4584" t="s">
        <v>42141</v>
      </c>
      <c r="R4584" t="s">
        <v>30144</v>
      </c>
      <c r="S4584" t="s">
        <v>42142</v>
      </c>
      <c r="T4584" t="s">
        <v>30</v>
      </c>
      <c r="U4584" t="s">
        <v>26019</v>
      </c>
      <c r="W4584" t="s">
        <v>26020</v>
      </c>
    </row>
    <row r="4585" spans="1:23" x14ac:dyDescent="0.35">
      <c r="A4585">
        <v>1099858</v>
      </c>
      <c r="B4585" t="s">
        <v>9578</v>
      </c>
      <c r="C4585" t="str">
        <f>"9781107013933"</f>
        <v>9781107013933</v>
      </c>
      <c r="D4585" t="str">
        <f>"9781139612135"</f>
        <v>9781139612135</v>
      </c>
      <c r="E4585" t="s">
        <v>167</v>
      </c>
      <c r="F4585" t="s">
        <v>167</v>
      </c>
      <c r="G4585" t="s">
        <v>22218</v>
      </c>
      <c r="H4585" t="s">
        <v>26011</v>
      </c>
      <c r="I4585" s="26">
        <v>41242</v>
      </c>
      <c r="J4585">
        <v>2012</v>
      </c>
      <c r="K4585" t="s">
        <v>167</v>
      </c>
      <c r="L4585">
        <v>366</v>
      </c>
      <c r="M4585" t="s">
        <v>42143</v>
      </c>
      <c r="N4585">
        <v>1</v>
      </c>
      <c r="Q4585" t="s">
        <v>42144</v>
      </c>
      <c r="R4585">
        <v>612.79999999999995</v>
      </c>
      <c r="S4585" t="s">
        <v>42145</v>
      </c>
      <c r="T4585" t="s">
        <v>30</v>
      </c>
      <c r="U4585" t="s">
        <v>28876</v>
      </c>
      <c r="W4585" t="s">
        <v>26020</v>
      </c>
    </row>
    <row r="4586" spans="1:23" x14ac:dyDescent="0.35">
      <c r="A4586">
        <v>1099873</v>
      </c>
      <c r="B4586" t="s">
        <v>42146</v>
      </c>
      <c r="C4586" t="str">
        <f>"9781107018082"</f>
        <v>9781107018082</v>
      </c>
      <c r="D4586" t="str">
        <f>"9781139612296"</f>
        <v>9781139612296</v>
      </c>
      <c r="E4586" t="s">
        <v>167</v>
      </c>
      <c r="F4586" t="s">
        <v>167</v>
      </c>
      <c r="G4586" t="s">
        <v>22218</v>
      </c>
      <c r="H4586" t="s">
        <v>26011</v>
      </c>
      <c r="I4586" s="26">
        <v>41242</v>
      </c>
      <c r="J4586">
        <v>2012</v>
      </c>
      <c r="K4586" t="s">
        <v>167</v>
      </c>
      <c r="L4586">
        <v>278</v>
      </c>
      <c r="M4586" t="s">
        <v>42147</v>
      </c>
      <c r="N4586">
        <v>1</v>
      </c>
      <c r="Q4586" t="s">
        <v>42148</v>
      </c>
      <c r="R4586">
        <v>155.19999999999999</v>
      </c>
      <c r="S4586" t="s">
        <v>42149</v>
      </c>
      <c r="T4586" t="s">
        <v>30</v>
      </c>
      <c r="U4586" t="s">
        <v>46</v>
      </c>
      <c r="W4586" t="s">
        <v>26020</v>
      </c>
    </row>
    <row r="4587" spans="1:23" x14ac:dyDescent="0.35">
      <c r="A4587">
        <v>1099916</v>
      </c>
      <c r="B4587" t="s">
        <v>42150</v>
      </c>
      <c r="C4587" t="str">
        <f>"9781107028302"</f>
        <v>9781107028302</v>
      </c>
      <c r="D4587" t="str">
        <f>"9781139612746"</f>
        <v>9781139612746</v>
      </c>
      <c r="E4587" t="s">
        <v>167</v>
      </c>
      <c r="F4587" t="s">
        <v>167</v>
      </c>
      <c r="G4587" t="s">
        <v>22218</v>
      </c>
      <c r="H4587" t="s">
        <v>26011</v>
      </c>
      <c r="I4587" s="26">
        <v>41291</v>
      </c>
      <c r="J4587">
        <v>2013</v>
      </c>
      <c r="K4587" t="s">
        <v>167</v>
      </c>
      <c r="L4587">
        <v>290</v>
      </c>
      <c r="M4587" t="s">
        <v>42151</v>
      </c>
      <c r="N4587">
        <v>1</v>
      </c>
      <c r="Q4587" t="s">
        <v>42152</v>
      </c>
      <c r="R4587">
        <v>323</v>
      </c>
      <c r="S4587" t="s">
        <v>42153</v>
      </c>
      <c r="T4587" t="s">
        <v>30</v>
      </c>
      <c r="U4587" t="s">
        <v>30336</v>
      </c>
      <c r="W4587" t="s">
        <v>26020</v>
      </c>
    </row>
    <row r="4588" spans="1:23" x14ac:dyDescent="0.35">
      <c r="A4588">
        <v>1099925</v>
      </c>
      <c r="B4588" t="s">
        <v>42154</v>
      </c>
      <c r="C4588" t="str">
        <f>"9781107029231"</f>
        <v>9781107029231</v>
      </c>
      <c r="D4588" t="str">
        <f>"9781139612838"</f>
        <v>9781139612838</v>
      </c>
      <c r="E4588" t="s">
        <v>167</v>
      </c>
      <c r="F4588" t="s">
        <v>167</v>
      </c>
      <c r="G4588" t="s">
        <v>22218</v>
      </c>
      <c r="H4588" t="s">
        <v>26011</v>
      </c>
      <c r="I4588" s="26">
        <v>41242</v>
      </c>
      <c r="J4588">
        <v>2012</v>
      </c>
      <c r="K4588" t="s">
        <v>167</v>
      </c>
      <c r="L4588">
        <v>302</v>
      </c>
      <c r="M4588" t="s">
        <v>42155</v>
      </c>
      <c r="N4588">
        <v>1</v>
      </c>
      <c r="O4588" t="s">
        <v>42156</v>
      </c>
      <c r="P4588">
        <v>125</v>
      </c>
      <c r="Q4588" t="s">
        <v>42157</v>
      </c>
      <c r="R4588" t="s">
        <v>42158</v>
      </c>
      <c r="S4588" t="s">
        <v>42159</v>
      </c>
      <c r="T4588" t="s">
        <v>30</v>
      </c>
      <c r="U4588" t="s">
        <v>5222</v>
      </c>
      <c r="W4588" t="s">
        <v>26020</v>
      </c>
    </row>
    <row r="4589" spans="1:23" x14ac:dyDescent="0.35">
      <c r="A4589">
        <v>1100072</v>
      </c>
      <c r="B4589" t="s">
        <v>9099</v>
      </c>
      <c r="C4589" t="str">
        <f>"9780195183023"</f>
        <v>9780195183023</v>
      </c>
      <c r="D4589" t="str">
        <f>"9780199720330"</f>
        <v>9780199720330</v>
      </c>
      <c r="E4589" t="s">
        <v>371</v>
      </c>
      <c r="F4589" t="s">
        <v>31</v>
      </c>
      <c r="G4589" t="s">
        <v>22703</v>
      </c>
      <c r="H4589" t="s">
        <v>26004</v>
      </c>
      <c r="I4589" s="26">
        <v>41264</v>
      </c>
      <c r="J4589">
        <v>2012</v>
      </c>
      <c r="K4589" t="s">
        <v>31</v>
      </c>
      <c r="L4589">
        <v>285</v>
      </c>
      <c r="M4589" t="s">
        <v>42160</v>
      </c>
      <c r="Q4589" t="s">
        <v>42161</v>
      </c>
      <c r="R4589" t="s">
        <v>42162</v>
      </c>
      <c r="S4589" t="s">
        <v>9100</v>
      </c>
      <c r="T4589" t="s">
        <v>30</v>
      </c>
      <c r="U4589" t="s">
        <v>26040</v>
      </c>
      <c r="W4589" t="s">
        <v>26009</v>
      </c>
    </row>
    <row r="4590" spans="1:23" x14ac:dyDescent="0.35">
      <c r="A4590">
        <v>1100938</v>
      </c>
      <c r="B4590" t="s">
        <v>42163</v>
      </c>
      <c r="C4590" t="str">
        <f>"9781603444309"</f>
        <v>9781603444309</v>
      </c>
      <c r="D4590" t="str">
        <f>"9781603445801"</f>
        <v>9781603445801</v>
      </c>
      <c r="E4590" t="s">
        <v>42164</v>
      </c>
      <c r="F4590" t="s">
        <v>7941</v>
      </c>
      <c r="G4590" t="s">
        <v>30409</v>
      </c>
      <c r="H4590" t="s">
        <v>26004</v>
      </c>
      <c r="I4590" s="26">
        <v>40909</v>
      </c>
      <c r="J4590">
        <v>2012</v>
      </c>
      <c r="K4590" t="s">
        <v>7941</v>
      </c>
      <c r="L4590">
        <v>154</v>
      </c>
      <c r="M4590" t="s">
        <v>42165</v>
      </c>
      <c r="N4590">
        <v>1</v>
      </c>
      <c r="O4590" t="s">
        <v>42166</v>
      </c>
      <c r="Q4590" t="s">
        <v>42167</v>
      </c>
      <c r="R4590">
        <v>302.09679999999997</v>
      </c>
      <c r="S4590" t="s">
        <v>42168</v>
      </c>
      <c r="T4590" t="s">
        <v>30</v>
      </c>
      <c r="U4590" t="s">
        <v>26044</v>
      </c>
      <c r="W4590" t="s">
        <v>26009</v>
      </c>
    </row>
    <row r="4591" spans="1:23" x14ac:dyDescent="0.35">
      <c r="A4591">
        <v>1101343</v>
      </c>
      <c r="B4591" t="s">
        <v>42169</v>
      </c>
      <c r="C4591" t="str">
        <f>"9780415807494"</f>
        <v>9780415807494</v>
      </c>
      <c r="D4591" t="str">
        <f>"9781136512421"</f>
        <v>9781136512421</v>
      </c>
      <c r="E4591" t="s">
        <v>26010</v>
      </c>
      <c r="F4591" t="s">
        <v>35</v>
      </c>
      <c r="G4591" t="s">
        <v>22174</v>
      </c>
      <c r="H4591" t="s">
        <v>26011</v>
      </c>
      <c r="I4591" s="26">
        <v>41239</v>
      </c>
      <c r="J4591">
        <v>2013</v>
      </c>
      <c r="K4591" t="s">
        <v>26012</v>
      </c>
      <c r="L4591">
        <v>337</v>
      </c>
      <c r="M4591" t="s">
        <v>42170</v>
      </c>
      <c r="N4591">
        <v>1</v>
      </c>
      <c r="Q4591" t="s">
        <v>42171</v>
      </c>
      <c r="R4591" t="s">
        <v>42172</v>
      </c>
      <c r="S4591" t="s">
        <v>9747</v>
      </c>
      <c r="T4591" t="s">
        <v>30</v>
      </c>
      <c r="U4591" t="s">
        <v>28991</v>
      </c>
      <c r="W4591" t="s">
        <v>26009</v>
      </c>
    </row>
    <row r="4592" spans="1:23" x14ac:dyDescent="0.35">
      <c r="A4592">
        <v>1101344</v>
      </c>
      <c r="B4592" t="s">
        <v>9454</v>
      </c>
      <c r="C4592" t="str">
        <f>"9780415898690"</f>
        <v>9780415898690</v>
      </c>
      <c r="D4592" t="str">
        <f>"9781136619731"</f>
        <v>9781136619731</v>
      </c>
      <c r="E4592" t="s">
        <v>26010</v>
      </c>
      <c r="F4592" t="s">
        <v>35</v>
      </c>
      <c r="G4592" t="s">
        <v>22174</v>
      </c>
      <c r="H4592" t="s">
        <v>26011</v>
      </c>
      <c r="I4592" s="26">
        <v>41249</v>
      </c>
      <c r="J4592">
        <v>2013</v>
      </c>
      <c r="K4592" t="s">
        <v>26012</v>
      </c>
      <c r="L4592">
        <v>185</v>
      </c>
      <c r="M4592" t="s">
        <v>42173</v>
      </c>
      <c r="N4592">
        <v>1</v>
      </c>
      <c r="Q4592" t="s">
        <v>42174</v>
      </c>
      <c r="R4592" t="s">
        <v>27184</v>
      </c>
      <c r="S4592" t="s">
        <v>42175</v>
      </c>
      <c r="T4592" t="s">
        <v>30</v>
      </c>
      <c r="U4592" t="s">
        <v>26019</v>
      </c>
      <c r="W4592" t="s">
        <v>26009</v>
      </c>
    </row>
    <row r="4593" spans="1:23" x14ac:dyDescent="0.35">
      <c r="A4593">
        <v>1101364</v>
      </c>
      <c r="B4593" t="s">
        <v>8239</v>
      </c>
      <c r="C4593" t="str">
        <f>"9780415524377"</f>
        <v>9780415524377</v>
      </c>
      <c r="D4593" t="str">
        <f>"9781136277573"</f>
        <v>9781136277573</v>
      </c>
      <c r="E4593" t="s">
        <v>26010</v>
      </c>
      <c r="F4593" t="s">
        <v>35</v>
      </c>
      <c r="G4593" t="s">
        <v>22174</v>
      </c>
      <c r="H4593" t="s">
        <v>26011</v>
      </c>
      <c r="I4593" s="26">
        <v>41148</v>
      </c>
      <c r="J4593">
        <v>2013</v>
      </c>
      <c r="K4593" t="s">
        <v>26012</v>
      </c>
      <c r="L4593">
        <v>129</v>
      </c>
      <c r="M4593" t="s">
        <v>42176</v>
      </c>
      <c r="N4593">
        <v>1</v>
      </c>
      <c r="Q4593" t="s">
        <v>42177</v>
      </c>
      <c r="R4593">
        <v>371.90474</v>
      </c>
      <c r="S4593" t="s">
        <v>42178</v>
      </c>
      <c r="T4593" t="s">
        <v>30</v>
      </c>
      <c r="U4593" t="s">
        <v>337</v>
      </c>
      <c r="W4593" t="s">
        <v>26009</v>
      </c>
    </row>
    <row r="4594" spans="1:23" x14ac:dyDescent="0.35">
      <c r="A4594">
        <v>1101385</v>
      </c>
      <c r="B4594" t="s">
        <v>42179</v>
      </c>
      <c r="C4594" t="str">
        <f>"9780415808422"</f>
        <v>9780415808422</v>
      </c>
      <c r="D4594" t="str">
        <f>"9781136159923"</f>
        <v>9781136159923</v>
      </c>
      <c r="E4594" t="s">
        <v>26010</v>
      </c>
      <c r="F4594" t="s">
        <v>35</v>
      </c>
      <c r="G4594" t="s">
        <v>22174</v>
      </c>
      <c r="H4594" t="s">
        <v>26011</v>
      </c>
      <c r="I4594" s="26">
        <v>41254</v>
      </c>
      <c r="J4594">
        <v>2013</v>
      </c>
      <c r="K4594" t="s">
        <v>26012</v>
      </c>
      <c r="L4594">
        <v>273</v>
      </c>
      <c r="M4594" t="s">
        <v>42180</v>
      </c>
      <c r="N4594">
        <v>1</v>
      </c>
      <c r="Q4594" t="s">
        <v>42181</v>
      </c>
      <c r="R4594">
        <v>306.70972999999998</v>
      </c>
      <c r="S4594" t="s">
        <v>7936</v>
      </c>
      <c r="T4594" t="s">
        <v>30</v>
      </c>
      <c r="U4594" t="s">
        <v>26044</v>
      </c>
      <c r="W4594" t="s">
        <v>26009</v>
      </c>
    </row>
    <row r="4595" spans="1:23" x14ac:dyDescent="0.35">
      <c r="A4595">
        <v>1101391</v>
      </c>
      <c r="B4595" t="s">
        <v>42182</v>
      </c>
      <c r="C4595" t="str">
        <f>"9780789035271"</f>
        <v>9780789035271</v>
      </c>
      <c r="D4595" t="str">
        <f>"9781135122195"</f>
        <v>9781135122195</v>
      </c>
      <c r="E4595" t="s">
        <v>26010</v>
      </c>
      <c r="F4595" t="s">
        <v>35</v>
      </c>
      <c r="G4595" t="s">
        <v>22174</v>
      </c>
      <c r="H4595" t="s">
        <v>26011</v>
      </c>
      <c r="I4595" s="26">
        <v>41242</v>
      </c>
      <c r="J4595">
        <v>2013</v>
      </c>
      <c r="K4595" t="s">
        <v>26012</v>
      </c>
      <c r="L4595">
        <v>233</v>
      </c>
      <c r="M4595" t="s">
        <v>42183</v>
      </c>
      <c r="N4595">
        <v>2</v>
      </c>
      <c r="Q4595" t="s">
        <v>42184</v>
      </c>
      <c r="R4595">
        <v>362.29</v>
      </c>
      <c r="S4595" t="s">
        <v>42185</v>
      </c>
      <c r="T4595" t="s">
        <v>30</v>
      </c>
      <c r="U4595" t="s">
        <v>42186</v>
      </c>
      <c r="W4595" t="s">
        <v>26009</v>
      </c>
    </row>
    <row r="4596" spans="1:23" x14ac:dyDescent="0.35">
      <c r="A4596">
        <v>1101424</v>
      </c>
      <c r="B4596" t="s">
        <v>42187</v>
      </c>
      <c r="C4596" t="str">
        <f>"9780415525169"</f>
        <v>9780415525169</v>
      </c>
      <c r="D4596" t="str">
        <f>"9781136172694"</f>
        <v>9781136172694</v>
      </c>
      <c r="E4596" t="s">
        <v>26010</v>
      </c>
      <c r="F4596" t="s">
        <v>35</v>
      </c>
      <c r="G4596" t="s">
        <v>22174</v>
      </c>
      <c r="H4596" t="s">
        <v>26011</v>
      </c>
      <c r="I4596" s="26">
        <v>41257</v>
      </c>
      <c r="J4596">
        <v>2013</v>
      </c>
      <c r="K4596" t="s">
        <v>26012</v>
      </c>
      <c r="L4596">
        <v>353</v>
      </c>
      <c r="M4596" t="s">
        <v>42188</v>
      </c>
      <c r="N4596">
        <v>1</v>
      </c>
      <c r="Q4596" t="s">
        <v>42189</v>
      </c>
      <c r="R4596">
        <v>616.89170000000001</v>
      </c>
      <c r="S4596" t="s">
        <v>8032</v>
      </c>
      <c r="T4596" t="s">
        <v>30</v>
      </c>
      <c r="U4596" t="s">
        <v>26116</v>
      </c>
      <c r="W4596" t="s">
        <v>26009</v>
      </c>
    </row>
    <row r="4597" spans="1:23" x14ac:dyDescent="0.35">
      <c r="A4597">
        <v>1101435</v>
      </c>
      <c r="B4597" t="s">
        <v>10197</v>
      </c>
      <c r="C4597" t="str">
        <f>"9781848729056"</f>
        <v>9781848729056</v>
      </c>
      <c r="D4597" t="str">
        <f>"9781135105518"</f>
        <v>9781135105518</v>
      </c>
      <c r="E4597" t="s">
        <v>26010</v>
      </c>
      <c r="F4597" t="s">
        <v>35</v>
      </c>
      <c r="G4597" t="s">
        <v>22174</v>
      </c>
      <c r="H4597" t="s">
        <v>26011</v>
      </c>
      <c r="I4597" s="26">
        <v>41242</v>
      </c>
      <c r="J4597">
        <v>2013</v>
      </c>
      <c r="K4597" t="s">
        <v>660</v>
      </c>
      <c r="L4597">
        <v>177</v>
      </c>
      <c r="M4597" t="s">
        <v>42190</v>
      </c>
      <c r="N4597">
        <v>1</v>
      </c>
      <c r="Q4597" t="s">
        <v>42191</v>
      </c>
      <c r="R4597">
        <v>153</v>
      </c>
      <c r="S4597" t="s">
        <v>10198</v>
      </c>
      <c r="T4597" t="s">
        <v>30</v>
      </c>
      <c r="U4597" t="s">
        <v>28671</v>
      </c>
      <c r="W4597" t="s">
        <v>26009</v>
      </c>
    </row>
    <row r="4598" spans="1:23" x14ac:dyDescent="0.35">
      <c r="A4598">
        <v>1101453</v>
      </c>
      <c r="B4598" t="s">
        <v>7772</v>
      </c>
      <c r="C4598" t="str">
        <f>"9780415637190"</f>
        <v>9780415637190</v>
      </c>
      <c r="D4598" t="str">
        <f>"9781135087319"</f>
        <v>9781135087319</v>
      </c>
      <c r="E4598" t="s">
        <v>26010</v>
      </c>
      <c r="F4598" t="s">
        <v>35</v>
      </c>
      <c r="G4598" t="s">
        <v>22174</v>
      </c>
      <c r="H4598" t="s">
        <v>26011</v>
      </c>
      <c r="I4598" s="26">
        <v>41305</v>
      </c>
      <c r="J4598">
        <v>2013</v>
      </c>
      <c r="K4598" t="s">
        <v>26012</v>
      </c>
      <c r="L4598">
        <v>153</v>
      </c>
      <c r="M4598" t="s">
        <v>42192</v>
      </c>
      <c r="N4598">
        <v>1</v>
      </c>
      <c r="Q4598" t="s">
        <v>42193</v>
      </c>
      <c r="R4598">
        <v>616.89170000000001</v>
      </c>
      <c r="S4598" t="s">
        <v>7773</v>
      </c>
      <c r="T4598" t="s">
        <v>30</v>
      </c>
      <c r="U4598" t="s">
        <v>26282</v>
      </c>
      <c r="W4598" t="s">
        <v>26009</v>
      </c>
    </row>
    <row r="4599" spans="1:23" x14ac:dyDescent="0.35">
      <c r="A4599">
        <v>1102506</v>
      </c>
      <c r="B4599" t="s">
        <v>42194</v>
      </c>
      <c r="C4599" t="str">
        <f>"9781855758940"</f>
        <v>9781855758940</v>
      </c>
      <c r="D4599" t="str">
        <f>"9781782410461"</f>
        <v>9781782410461</v>
      </c>
      <c r="E4599" t="s">
        <v>26010</v>
      </c>
      <c r="F4599" t="s">
        <v>35</v>
      </c>
      <c r="G4599" t="s">
        <v>26128</v>
      </c>
      <c r="H4599" t="s">
        <v>26011</v>
      </c>
      <c r="I4599" s="26">
        <v>41275</v>
      </c>
      <c r="J4599">
        <v>2013</v>
      </c>
      <c r="K4599" t="s">
        <v>26012</v>
      </c>
      <c r="L4599">
        <v>209</v>
      </c>
      <c r="M4599" t="s">
        <v>42195</v>
      </c>
      <c r="N4599">
        <v>1</v>
      </c>
      <c r="O4599" t="s">
        <v>37129</v>
      </c>
      <c r="S4599" t="s">
        <v>7661</v>
      </c>
      <c r="T4599" t="s">
        <v>30</v>
      </c>
      <c r="U4599" t="s">
        <v>46</v>
      </c>
      <c r="W4599" t="s">
        <v>26009</v>
      </c>
    </row>
    <row r="4600" spans="1:23" x14ac:dyDescent="0.35">
      <c r="A4600">
        <v>1102507</v>
      </c>
      <c r="B4600" t="s">
        <v>42196</v>
      </c>
      <c r="C4600" t="str">
        <f>"9781780491301"</f>
        <v>9781780491301</v>
      </c>
      <c r="D4600" t="str">
        <f>"9781782410478"</f>
        <v>9781782410478</v>
      </c>
      <c r="E4600" t="s">
        <v>26010</v>
      </c>
      <c r="F4600" t="s">
        <v>35</v>
      </c>
      <c r="G4600" t="s">
        <v>22174</v>
      </c>
      <c r="H4600" t="s">
        <v>26011</v>
      </c>
      <c r="I4600" s="26">
        <v>39265</v>
      </c>
      <c r="J4600">
        <v>2007</v>
      </c>
      <c r="K4600" t="s">
        <v>26012</v>
      </c>
      <c r="L4600">
        <v>129</v>
      </c>
      <c r="M4600" t="s">
        <v>42197</v>
      </c>
      <c r="N4600">
        <v>2</v>
      </c>
      <c r="Q4600" t="s">
        <v>42198</v>
      </c>
      <c r="R4600">
        <v>150.1952</v>
      </c>
      <c r="S4600" t="s">
        <v>37122</v>
      </c>
      <c r="T4600" t="s">
        <v>30</v>
      </c>
      <c r="U4600" t="s">
        <v>46</v>
      </c>
      <c r="W4600" t="s">
        <v>26009</v>
      </c>
    </row>
    <row r="4601" spans="1:23" x14ac:dyDescent="0.35">
      <c r="A4601">
        <v>1102508</v>
      </c>
      <c r="B4601" t="s">
        <v>42199</v>
      </c>
      <c r="C4601" t="str">
        <f>"9781780490878"</f>
        <v>9781780490878</v>
      </c>
      <c r="D4601" t="str">
        <f>"9781782410485"</f>
        <v>9781782410485</v>
      </c>
      <c r="E4601" t="s">
        <v>26010</v>
      </c>
      <c r="F4601" t="s">
        <v>35</v>
      </c>
      <c r="G4601" t="s">
        <v>22174</v>
      </c>
      <c r="H4601" t="s">
        <v>26011</v>
      </c>
      <c r="I4601" s="26">
        <v>41275</v>
      </c>
      <c r="J4601">
        <v>2013</v>
      </c>
      <c r="K4601" t="s">
        <v>26012</v>
      </c>
      <c r="L4601">
        <v>280</v>
      </c>
      <c r="M4601" t="s">
        <v>42200</v>
      </c>
      <c r="N4601">
        <v>1</v>
      </c>
      <c r="O4601" t="s">
        <v>36505</v>
      </c>
      <c r="Q4601" t="s">
        <v>42201</v>
      </c>
      <c r="R4601" t="s">
        <v>28066</v>
      </c>
      <c r="S4601" t="s">
        <v>42202</v>
      </c>
      <c r="T4601" t="s">
        <v>30</v>
      </c>
      <c r="U4601" t="s">
        <v>26116</v>
      </c>
      <c r="W4601" t="s">
        <v>26009</v>
      </c>
    </row>
    <row r="4602" spans="1:23" x14ac:dyDescent="0.35">
      <c r="A4602">
        <v>1103427</v>
      </c>
      <c r="B4602" t="s">
        <v>42203</v>
      </c>
      <c r="C4602" t="str">
        <f>"9780231165006"</f>
        <v>9780231165006</v>
      </c>
      <c r="D4602" t="str">
        <f>"9780231535465"</f>
        <v>9780231535465</v>
      </c>
      <c r="E4602" t="s">
        <v>28146</v>
      </c>
      <c r="F4602" t="s">
        <v>294</v>
      </c>
      <c r="G4602" t="s">
        <v>22179</v>
      </c>
      <c r="H4602" t="s">
        <v>26004</v>
      </c>
      <c r="I4602" s="26">
        <v>41499</v>
      </c>
      <c r="J4602">
        <v>2013</v>
      </c>
      <c r="K4602" t="s">
        <v>294</v>
      </c>
      <c r="L4602">
        <v>193</v>
      </c>
      <c r="M4602" t="s">
        <v>42204</v>
      </c>
      <c r="N4602">
        <v>1</v>
      </c>
      <c r="Q4602" t="s">
        <v>42205</v>
      </c>
      <c r="R4602">
        <v>155.69999999999999</v>
      </c>
      <c r="S4602" t="s">
        <v>42206</v>
      </c>
      <c r="T4602" t="s">
        <v>30</v>
      </c>
      <c r="U4602" t="s">
        <v>46</v>
      </c>
      <c r="W4602" t="s">
        <v>28151</v>
      </c>
    </row>
    <row r="4603" spans="1:23" x14ac:dyDescent="0.35">
      <c r="A4603">
        <v>1104228</v>
      </c>
      <c r="B4603" t="s">
        <v>42207</v>
      </c>
      <c r="C4603" t="str">
        <f>"9781462508402"</f>
        <v>9781462508402</v>
      </c>
      <c r="D4603" t="str">
        <f>"9781462508433"</f>
        <v>9781462508433</v>
      </c>
      <c r="E4603" t="s">
        <v>30112</v>
      </c>
      <c r="F4603" t="s">
        <v>7420</v>
      </c>
      <c r="G4603" t="s">
        <v>22179</v>
      </c>
      <c r="H4603" t="s">
        <v>26004</v>
      </c>
      <c r="I4603" s="26">
        <v>41288</v>
      </c>
      <c r="J4603">
        <v>2013</v>
      </c>
      <c r="K4603" t="s">
        <v>30113</v>
      </c>
      <c r="L4603">
        <v>257</v>
      </c>
      <c r="M4603" t="s">
        <v>36026</v>
      </c>
      <c r="N4603">
        <v>1</v>
      </c>
      <c r="O4603" t="s">
        <v>42208</v>
      </c>
      <c r="R4603" t="s">
        <v>30149</v>
      </c>
      <c r="S4603" t="s">
        <v>7661</v>
      </c>
      <c r="T4603" t="s">
        <v>30</v>
      </c>
      <c r="U4603" t="s">
        <v>46</v>
      </c>
      <c r="W4603" t="s">
        <v>28347</v>
      </c>
    </row>
    <row r="4604" spans="1:23" x14ac:dyDescent="0.35">
      <c r="A4604">
        <v>1104457</v>
      </c>
      <c r="B4604" t="s">
        <v>42209</v>
      </c>
      <c r="C4604" t="str">
        <f>"9781442238190"</f>
        <v>9781442238190</v>
      </c>
      <c r="D4604" t="str">
        <f>"9780765708441"</f>
        <v>9780765708441</v>
      </c>
      <c r="E4604" t="s">
        <v>33803</v>
      </c>
      <c r="F4604" t="s">
        <v>38</v>
      </c>
      <c r="G4604" t="s">
        <v>33804</v>
      </c>
      <c r="H4604" t="s">
        <v>26004</v>
      </c>
      <c r="I4604" s="26">
        <v>41265</v>
      </c>
      <c r="J4604">
        <v>2012</v>
      </c>
      <c r="K4604" t="s">
        <v>33811</v>
      </c>
      <c r="L4604">
        <v>182</v>
      </c>
      <c r="M4604" t="s">
        <v>42210</v>
      </c>
      <c r="N4604">
        <v>1</v>
      </c>
      <c r="Q4604" t="s">
        <v>42211</v>
      </c>
      <c r="R4604">
        <v>155.91</v>
      </c>
      <c r="S4604" t="s">
        <v>42212</v>
      </c>
      <c r="T4604" t="s">
        <v>30</v>
      </c>
      <c r="U4604" t="s">
        <v>46</v>
      </c>
      <c r="W4604" t="s">
        <v>26009</v>
      </c>
    </row>
    <row r="4605" spans="1:23" x14ac:dyDescent="0.35">
      <c r="A4605">
        <v>1104458</v>
      </c>
      <c r="B4605" t="s">
        <v>42213</v>
      </c>
      <c r="C4605" t="str">
        <f>"9780765709653"</f>
        <v>9780765709653</v>
      </c>
      <c r="D4605" t="str">
        <f>"9780765709660"</f>
        <v>9780765709660</v>
      </c>
      <c r="E4605" t="s">
        <v>33803</v>
      </c>
      <c r="F4605" t="s">
        <v>38</v>
      </c>
      <c r="G4605" t="s">
        <v>34138</v>
      </c>
      <c r="H4605" t="s">
        <v>26004</v>
      </c>
      <c r="I4605" s="26">
        <v>41270</v>
      </c>
      <c r="J4605">
        <v>2013</v>
      </c>
      <c r="K4605" t="s">
        <v>33811</v>
      </c>
      <c r="L4605">
        <v>146</v>
      </c>
      <c r="M4605" t="s">
        <v>42214</v>
      </c>
      <c r="N4605">
        <v>1</v>
      </c>
      <c r="Q4605" t="s">
        <v>42215</v>
      </c>
      <c r="R4605" t="s">
        <v>42216</v>
      </c>
      <c r="S4605" t="s">
        <v>42217</v>
      </c>
      <c r="T4605" t="s">
        <v>30</v>
      </c>
      <c r="U4605" t="s">
        <v>26040</v>
      </c>
      <c r="W4605" t="s">
        <v>26009</v>
      </c>
    </row>
    <row r="4606" spans="1:23" x14ac:dyDescent="0.35">
      <c r="A4606">
        <v>1104459</v>
      </c>
      <c r="B4606" t="s">
        <v>42218</v>
      </c>
      <c r="C4606" t="str">
        <f>"9780765709769"</f>
        <v>9780765709769</v>
      </c>
      <c r="D4606" t="str">
        <f>"9780765709776"</f>
        <v>9780765709776</v>
      </c>
      <c r="E4606" t="s">
        <v>33803</v>
      </c>
      <c r="F4606" t="s">
        <v>38</v>
      </c>
      <c r="G4606" t="s">
        <v>33804</v>
      </c>
      <c r="H4606" t="s">
        <v>26004</v>
      </c>
      <c r="I4606" s="26">
        <v>41270</v>
      </c>
      <c r="J4606">
        <v>2012</v>
      </c>
      <c r="K4606" t="s">
        <v>33811</v>
      </c>
      <c r="L4606">
        <v>131</v>
      </c>
      <c r="M4606" t="s">
        <v>42219</v>
      </c>
      <c r="N4606">
        <v>1</v>
      </c>
      <c r="Q4606" t="s">
        <v>42220</v>
      </c>
      <c r="R4606" t="s">
        <v>28453</v>
      </c>
      <c r="S4606" t="s">
        <v>42221</v>
      </c>
      <c r="T4606" t="s">
        <v>30</v>
      </c>
      <c r="U4606" t="s">
        <v>26520</v>
      </c>
      <c r="W4606" t="s">
        <v>26009</v>
      </c>
    </row>
    <row r="4607" spans="1:23" x14ac:dyDescent="0.35">
      <c r="A4607">
        <v>1104765</v>
      </c>
      <c r="B4607" t="s">
        <v>42222</v>
      </c>
      <c r="C4607" t="str">
        <f>"9780415594325"</f>
        <v>9780415594325</v>
      </c>
      <c r="D4607" t="str">
        <f>"9781136207891"</f>
        <v>9781136207891</v>
      </c>
      <c r="E4607" t="s">
        <v>26010</v>
      </c>
      <c r="F4607" t="s">
        <v>35</v>
      </c>
      <c r="G4607" t="s">
        <v>22174</v>
      </c>
      <c r="H4607" t="s">
        <v>26011</v>
      </c>
      <c r="I4607" s="26">
        <v>41243</v>
      </c>
      <c r="J4607">
        <v>2013</v>
      </c>
      <c r="K4607" t="s">
        <v>26012</v>
      </c>
      <c r="L4607">
        <v>353</v>
      </c>
      <c r="M4607" t="s">
        <v>42223</v>
      </c>
      <c r="N4607">
        <v>1</v>
      </c>
      <c r="Q4607" t="s">
        <v>42224</v>
      </c>
      <c r="R4607">
        <v>158.24</v>
      </c>
      <c r="S4607" t="s">
        <v>10136</v>
      </c>
      <c r="T4607" t="s">
        <v>30</v>
      </c>
      <c r="U4607" t="s">
        <v>26116</v>
      </c>
      <c r="W4607" t="s">
        <v>26009</v>
      </c>
    </row>
    <row r="4608" spans="1:23" x14ac:dyDescent="0.35">
      <c r="A4608">
        <v>1104770</v>
      </c>
      <c r="B4608" t="s">
        <v>42225</v>
      </c>
      <c r="C4608" t="str">
        <f>"9780415877503"</f>
        <v>9780415877503</v>
      </c>
      <c r="D4608" t="str">
        <f>"9781136193927"</f>
        <v>9781136193927</v>
      </c>
      <c r="E4608" t="s">
        <v>26010</v>
      </c>
      <c r="F4608" t="s">
        <v>35</v>
      </c>
      <c r="G4608" t="s">
        <v>22174</v>
      </c>
      <c r="H4608" t="s">
        <v>26011</v>
      </c>
      <c r="I4608" s="26">
        <v>41211</v>
      </c>
      <c r="J4608">
        <v>2013</v>
      </c>
      <c r="K4608" t="s">
        <v>26012</v>
      </c>
      <c r="L4608">
        <v>188</v>
      </c>
      <c r="M4608" t="s">
        <v>42226</v>
      </c>
      <c r="N4608">
        <v>1</v>
      </c>
      <c r="Q4608" t="s">
        <v>42227</v>
      </c>
      <c r="R4608">
        <v>612.79999999999995</v>
      </c>
      <c r="S4608" t="s">
        <v>9352</v>
      </c>
      <c r="T4608" t="s">
        <v>30</v>
      </c>
      <c r="U4608" t="s">
        <v>42228</v>
      </c>
      <c r="W4608" t="s">
        <v>26009</v>
      </c>
    </row>
    <row r="4609" spans="1:23" x14ac:dyDescent="0.35">
      <c r="A4609">
        <v>1104790</v>
      </c>
      <c r="B4609" t="s">
        <v>2036</v>
      </c>
      <c r="C4609" t="str">
        <f>"9780415532754"</f>
        <v>9780415532754</v>
      </c>
      <c r="D4609" t="str">
        <f>"9781136172045"</f>
        <v>9781136172045</v>
      </c>
      <c r="E4609" t="s">
        <v>26010</v>
      </c>
      <c r="F4609" t="s">
        <v>35</v>
      </c>
      <c r="G4609" t="s">
        <v>22174</v>
      </c>
      <c r="H4609" t="s">
        <v>26011</v>
      </c>
      <c r="I4609" s="26">
        <v>41251</v>
      </c>
      <c r="J4609">
        <v>2013</v>
      </c>
      <c r="K4609" t="s">
        <v>26012</v>
      </c>
      <c r="L4609">
        <v>225</v>
      </c>
      <c r="M4609" t="s">
        <v>42229</v>
      </c>
      <c r="N4609">
        <v>1</v>
      </c>
      <c r="O4609" t="s">
        <v>42230</v>
      </c>
      <c r="Q4609" t="s">
        <v>42231</v>
      </c>
      <c r="R4609">
        <v>618.928</v>
      </c>
      <c r="S4609" t="s">
        <v>42232</v>
      </c>
      <c r="T4609" t="s">
        <v>30</v>
      </c>
      <c r="U4609" t="s">
        <v>26040</v>
      </c>
      <c r="W4609" t="s">
        <v>26009</v>
      </c>
    </row>
    <row r="4610" spans="1:23" x14ac:dyDescent="0.35">
      <c r="A4610">
        <v>1104803</v>
      </c>
      <c r="B4610" t="s">
        <v>42233</v>
      </c>
      <c r="C4610" t="str">
        <f>"9781848729223"</f>
        <v>9781848729223</v>
      </c>
      <c r="D4610" t="str">
        <f>"9781135106492"</f>
        <v>9781135106492</v>
      </c>
      <c r="E4610" t="s">
        <v>26010</v>
      </c>
      <c r="F4610" t="s">
        <v>35</v>
      </c>
      <c r="G4610" t="s">
        <v>22174</v>
      </c>
      <c r="H4610" t="s">
        <v>26011</v>
      </c>
      <c r="I4610" s="26">
        <v>41261</v>
      </c>
      <c r="J4610">
        <v>2013</v>
      </c>
      <c r="K4610" t="s">
        <v>660</v>
      </c>
      <c r="L4610">
        <v>279</v>
      </c>
      <c r="M4610" t="s">
        <v>42234</v>
      </c>
      <c r="N4610">
        <v>1</v>
      </c>
      <c r="Q4610" t="s">
        <v>42235</v>
      </c>
      <c r="R4610" t="s">
        <v>42236</v>
      </c>
      <c r="S4610" t="s">
        <v>10004</v>
      </c>
      <c r="T4610" t="s">
        <v>30</v>
      </c>
      <c r="U4610" t="s">
        <v>46</v>
      </c>
      <c r="W4610" t="s">
        <v>26009</v>
      </c>
    </row>
    <row r="4611" spans="1:23" x14ac:dyDescent="0.35">
      <c r="A4611">
        <v>1104809</v>
      </c>
      <c r="B4611" t="s">
        <v>42237</v>
      </c>
      <c r="C4611" t="str">
        <f>"9780415631716"</f>
        <v>9780415631716</v>
      </c>
      <c r="D4611" t="str">
        <f>"9781135099008"</f>
        <v>9781135099008</v>
      </c>
      <c r="E4611" t="s">
        <v>26010</v>
      </c>
      <c r="F4611" t="s">
        <v>35</v>
      </c>
      <c r="G4611" t="s">
        <v>22174</v>
      </c>
      <c r="H4611" t="s">
        <v>26011</v>
      </c>
      <c r="I4611" s="26">
        <v>41261</v>
      </c>
      <c r="J4611">
        <v>2013</v>
      </c>
      <c r="K4611" t="s">
        <v>26012</v>
      </c>
      <c r="L4611">
        <v>262</v>
      </c>
      <c r="M4611" t="s">
        <v>42238</v>
      </c>
      <c r="N4611">
        <v>1</v>
      </c>
      <c r="O4611" t="s">
        <v>30090</v>
      </c>
      <c r="Q4611" t="s">
        <v>42239</v>
      </c>
      <c r="R4611" t="s">
        <v>26308</v>
      </c>
      <c r="S4611" t="s">
        <v>42240</v>
      </c>
      <c r="T4611" t="s">
        <v>30</v>
      </c>
      <c r="U4611" t="s">
        <v>46</v>
      </c>
      <c r="W4611" t="s">
        <v>26009</v>
      </c>
    </row>
    <row r="4612" spans="1:23" x14ac:dyDescent="0.35">
      <c r="A4612">
        <v>1104815</v>
      </c>
      <c r="B4612" t="s">
        <v>42241</v>
      </c>
      <c r="C4612" t="str">
        <f>"9780415677707"</f>
        <v>9780415677707</v>
      </c>
      <c r="D4612" t="str">
        <f>"9781136701092"</f>
        <v>9781136701092</v>
      </c>
      <c r="E4612" t="s">
        <v>26010</v>
      </c>
      <c r="F4612" t="s">
        <v>35</v>
      </c>
      <c r="G4612" t="s">
        <v>22174</v>
      </c>
      <c r="H4612" t="s">
        <v>26011</v>
      </c>
      <c r="I4612" s="26">
        <v>41303</v>
      </c>
      <c r="J4612">
        <v>2013</v>
      </c>
      <c r="K4612" t="s">
        <v>660</v>
      </c>
      <c r="L4612">
        <v>145</v>
      </c>
      <c r="M4612" t="s">
        <v>42242</v>
      </c>
      <c r="N4612">
        <v>1</v>
      </c>
      <c r="Q4612" t="s">
        <v>42243</v>
      </c>
      <c r="R4612">
        <v>302</v>
      </c>
      <c r="S4612" t="s">
        <v>9591</v>
      </c>
      <c r="T4612" t="s">
        <v>30</v>
      </c>
      <c r="U4612" t="s">
        <v>26044</v>
      </c>
      <c r="W4612" t="s">
        <v>26009</v>
      </c>
    </row>
    <row r="4613" spans="1:23" x14ac:dyDescent="0.35">
      <c r="A4613">
        <v>1105323</v>
      </c>
      <c r="B4613" t="s">
        <v>8536</v>
      </c>
      <c r="C4613" t="str">
        <f>"9781780490779"</f>
        <v>9781780490779</v>
      </c>
      <c r="D4613" t="str">
        <f>"9781782410560"</f>
        <v>9781782410560</v>
      </c>
      <c r="E4613" t="s">
        <v>26010</v>
      </c>
      <c r="F4613" t="s">
        <v>35</v>
      </c>
      <c r="G4613" t="s">
        <v>26128</v>
      </c>
      <c r="H4613" t="s">
        <v>26011</v>
      </c>
      <c r="I4613" s="26">
        <v>41334</v>
      </c>
      <c r="J4613">
        <v>2013</v>
      </c>
      <c r="K4613" t="s">
        <v>26012</v>
      </c>
      <c r="L4613">
        <v>425</v>
      </c>
      <c r="M4613" t="s">
        <v>42244</v>
      </c>
      <c r="N4613">
        <v>1</v>
      </c>
      <c r="R4613">
        <v>150.19499999999999</v>
      </c>
      <c r="S4613" t="s">
        <v>42245</v>
      </c>
      <c r="T4613" t="s">
        <v>30</v>
      </c>
      <c r="U4613" t="s">
        <v>46</v>
      </c>
      <c r="W4613" t="s">
        <v>26009</v>
      </c>
    </row>
    <row r="4614" spans="1:23" x14ac:dyDescent="0.35">
      <c r="A4614">
        <v>1105324</v>
      </c>
      <c r="B4614" t="s">
        <v>42246</v>
      </c>
      <c r="C4614" t="str">
        <f>"9781780491318"</f>
        <v>9781780491318</v>
      </c>
      <c r="D4614" t="str">
        <f>"9781782410577"</f>
        <v>9781782410577</v>
      </c>
      <c r="E4614" t="s">
        <v>26010</v>
      </c>
      <c r="F4614" t="s">
        <v>35</v>
      </c>
      <c r="G4614" t="s">
        <v>22174</v>
      </c>
      <c r="H4614" t="s">
        <v>26011</v>
      </c>
      <c r="I4614" s="26">
        <v>41275</v>
      </c>
      <c r="J4614">
        <v>2013</v>
      </c>
      <c r="K4614" t="s">
        <v>26012</v>
      </c>
      <c r="L4614">
        <v>305</v>
      </c>
      <c r="M4614" t="s">
        <v>42247</v>
      </c>
      <c r="N4614">
        <v>1</v>
      </c>
      <c r="O4614" t="s">
        <v>36633</v>
      </c>
      <c r="Q4614" t="s">
        <v>42248</v>
      </c>
      <c r="R4614">
        <v>150.19499999999999</v>
      </c>
      <c r="S4614" t="s">
        <v>37004</v>
      </c>
      <c r="T4614" t="s">
        <v>30</v>
      </c>
      <c r="U4614" t="s">
        <v>26019</v>
      </c>
      <c r="W4614" t="s">
        <v>26009</v>
      </c>
    </row>
    <row r="4615" spans="1:23" x14ac:dyDescent="0.35">
      <c r="A4615">
        <v>1105325</v>
      </c>
      <c r="B4615" t="s">
        <v>42249</v>
      </c>
      <c r="C4615" t="str">
        <f>"9781780491417"</f>
        <v>9781780491417</v>
      </c>
      <c r="D4615" t="str">
        <f>"9780429920929"</f>
        <v>9780429920929</v>
      </c>
      <c r="E4615" t="s">
        <v>26010</v>
      </c>
      <c r="F4615" t="s">
        <v>35</v>
      </c>
      <c r="G4615" t="s">
        <v>22174</v>
      </c>
      <c r="H4615" t="s">
        <v>26011</v>
      </c>
      <c r="I4615" s="26">
        <v>41275</v>
      </c>
      <c r="J4615">
        <v>2013</v>
      </c>
      <c r="K4615" t="s">
        <v>26012</v>
      </c>
      <c r="L4615">
        <v>151</v>
      </c>
      <c r="M4615" t="s">
        <v>42250</v>
      </c>
      <c r="N4615">
        <v>1</v>
      </c>
      <c r="Q4615" t="s">
        <v>42251</v>
      </c>
      <c r="R4615">
        <v>150.19540000000001</v>
      </c>
      <c r="S4615" t="s">
        <v>42252</v>
      </c>
      <c r="T4615" t="s">
        <v>30</v>
      </c>
      <c r="U4615" t="s">
        <v>26158</v>
      </c>
      <c r="W4615" t="s">
        <v>26009</v>
      </c>
    </row>
    <row r="4616" spans="1:23" x14ac:dyDescent="0.35">
      <c r="A4616">
        <v>1105874</v>
      </c>
      <c r="B4616" t="s">
        <v>42253</v>
      </c>
      <c r="C4616" t="str">
        <f>"9780415644808"</f>
        <v>9780415644808</v>
      </c>
      <c r="D4616" t="str">
        <f>"9781136158469"</f>
        <v>9781136158469</v>
      </c>
      <c r="E4616" t="s">
        <v>26010</v>
      </c>
      <c r="F4616" t="s">
        <v>35</v>
      </c>
      <c r="G4616" t="s">
        <v>22174</v>
      </c>
      <c r="H4616" t="s">
        <v>26011</v>
      </c>
      <c r="I4616" s="26">
        <v>41260</v>
      </c>
      <c r="J4616">
        <v>2013</v>
      </c>
      <c r="K4616" t="s">
        <v>26012</v>
      </c>
      <c r="L4616">
        <v>64</v>
      </c>
      <c r="M4616" t="s">
        <v>42254</v>
      </c>
      <c r="N4616">
        <v>1</v>
      </c>
      <c r="Q4616" t="s">
        <v>42255</v>
      </c>
      <c r="R4616">
        <v>616.89152000000001</v>
      </c>
      <c r="S4616" t="s">
        <v>8555</v>
      </c>
      <c r="T4616" t="s">
        <v>30</v>
      </c>
      <c r="U4616" t="s">
        <v>26019</v>
      </c>
      <c r="W4616" t="s">
        <v>26009</v>
      </c>
    </row>
    <row r="4617" spans="1:23" x14ac:dyDescent="0.35">
      <c r="A4617">
        <v>1106000</v>
      </c>
      <c r="B4617" t="s">
        <v>9955</v>
      </c>
      <c r="C4617" t="str">
        <f>""</f>
        <v/>
      </c>
      <c r="D4617" t="str">
        <f>"9781781604069"</f>
        <v>9781781604069</v>
      </c>
      <c r="E4617" t="s">
        <v>42256</v>
      </c>
      <c r="F4617" t="s">
        <v>8707</v>
      </c>
      <c r="G4617" t="s">
        <v>22428</v>
      </c>
      <c r="H4617" t="s">
        <v>42257</v>
      </c>
      <c r="I4617" s="26">
        <v>41091</v>
      </c>
      <c r="J4617">
        <v>2012</v>
      </c>
      <c r="K4617" t="s">
        <v>42258</v>
      </c>
      <c r="L4617">
        <v>188</v>
      </c>
      <c r="M4617" t="s">
        <v>42259</v>
      </c>
      <c r="N4617">
        <v>1</v>
      </c>
      <c r="Q4617" t="s">
        <v>42260</v>
      </c>
      <c r="R4617" t="s">
        <v>42261</v>
      </c>
      <c r="S4617" t="s">
        <v>42262</v>
      </c>
      <c r="T4617" t="s">
        <v>142</v>
      </c>
      <c r="U4617" t="s">
        <v>26019</v>
      </c>
      <c r="W4617" t="s">
        <v>26009</v>
      </c>
    </row>
    <row r="4618" spans="1:23" x14ac:dyDescent="0.35">
      <c r="A4618">
        <v>1106007</v>
      </c>
      <c r="B4618" t="s">
        <v>8997</v>
      </c>
      <c r="C4618" t="str">
        <f>""</f>
        <v/>
      </c>
      <c r="D4618" t="str">
        <f>"9781781604168"</f>
        <v>9781781604168</v>
      </c>
      <c r="E4618" t="s">
        <v>42256</v>
      </c>
      <c r="F4618" t="s">
        <v>8707</v>
      </c>
      <c r="G4618" t="s">
        <v>22428</v>
      </c>
      <c r="H4618" t="s">
        <v>42257</v>
      </c>
      <c r="I4618" s="26">
        <v>41091</v>
      </c>
      <c r="J4618">
        <v>2012</v>
      </c>
      <c r="K4618" t="s">
        <v>42258</v>
      </c>
      <c r="L4618">
        <v>157</v>
      </c>
      <c r="M4618" t="s">
        <v>42263</v>
      </c>
      <c r="N4618">
        <v>1</v>
      </c>
      <c r="Q4618" t="s">
        <v>42264</v>
      </c>
      <c r="R4618">
        <v>155.4</v>
      </c>
      <c r="S4618" t="s">
        <v>42265</v>
      </c>
      <c r="T4618" t="s">
        <v>142</v>
      </c>
      <c r="U4618" t="s">
        <v>26228</v>
      </c>
      <c r="W4618" t="s">
        <v>26009</v>
      </c>
    </row>
    <row r="4619" spans="1:23" x14ac:dyDescent="0.35">
      <c r="A4619">
        <v>1106037</v>
      </c>
      <c r="B4619" t="s">
        <v>8706</v>
      </c>
      <c r="C4619" t="str">
        <f>""</f>
        <v/>
      </c>
      <c r="D4619" t="str">
        <f>"9781781604465"</f>
        <v>9781781604465</v>
      </c>
      <c r="E4619" t="s">
        <v>42256</v>
      </c>
      <c r="F4619" t="s">
        <v>8707</v>
      </c>
      <c r="G4619" t="s">
        <v>22428</v>
      </c>
      <c r="H4619" t="s">
        <v>42257</v>
      </c>
      <c r="I4619" s="26">
        <v>41091</v>
      </c>
      <c r="J4619">
        <v>2012</v>
      </c>
      <c r="K4619" t="s">
        <v>42258</v>
      </c>
      <c r="L4619">
        <v>175</v>
      </c>
      <c r="M4619" t="s">
        <v>42266</v>
      </c>
      <c r="N4619">
        <v>1</v>
      </c>
      <c r="Q4619" t="s">
        <v>42267</v>
      </c>
      <c r="R4619">
        <v>154.77000000000001</v>
      </c>
      <c r="S4619" t="s">
        <v>42268</v>
      </c>
      <c r="T4619" t="s">
        <v>142</v>
      </c>
      <c r="U4619" t="s">
        <v>26019</v>
      </c>
      <c r="W4619" t="s">
        <v>26009</v>
      </c>
    </row>
    <row r="4620" spans="1:23" x14ac:dyDescent="0.35">
      <c r="A4620">
        <v>1107485</v>
      </c>
      <c r="B4620" t="s">
        <v>42269</v>
      </c>
      <c r="C4620" t="str">
        <f>"9780335246885"</f>
        <v>9780335246885</v>
      </c>
      <c r="D4620" t="str">
        <f>"9780335246892"</f>
        <v>9780335246892</v>
      </c>
      <c r="E4620" t="s">
        <v>29061</v>
      </c>
      <c r="F4620" t="s">
        <v>7477</v>
      </c>
      <c r="G4620" t="s">
        <v>29068</v>
      </c>
      <c r="H4620" t="s">
        <v>26011</v>
      </c>
      <c r="I4620" s="26">
        <v>41214</v>
      </c>
      <c r="J4620">
        <v>2013</v>
      </c>
      <c r="K4620" t="s">
        <v>29063</v>
      </c>
      <c r="L4620">
        <v>138</v>
      </c>
      <c r="M4620" t="s">
        <v>42270</v>
      </c>
      <c r="N4620">
        <v>1</v>
      </c>
      <c r="O4620" t="s">
        <v>29070</v>
      </c>
      <c r="T4620" t="s">
        <v>30</v>
      </c>
      <c r="U4620" t="s">
        <v>46</v>
      </c>
      <c r="W4620" t="s">
        <v>26009</v>
      </c>
    </row>
    <row r="4621" spans="1:23" x14ac:dyDescent="0.35">
      <c r="A4621">
        <v>1107506</v>
      </c>
      <c r="B4621" t="s">
        <v>42271</v>
      </c>
      <c r="C4621" t="str">
        <f>"9781583671061"</f>
        <v>9781583671061</v>
      </c>
      <c r="D4621" t="str">
        <f>"9781583673775"</f>
        <v>9781583673775</v>
      </c>
      <c r="E4621" t="s">
        <v>39652</v>
      </c>
      <c r="F4621" t="s">
        <v>9507</v>
      </c>
      <c r="G4621" t="s">
        <v>22179</v>
      </c>
      <c r="H4621" t="s">
        <v>26004</v>
      </c>
      <c r="I4621" s="26">
        <v>38047</v>
      </c>
      <c r="J4621">
        <v>2004</v>
      </c>
      <c r="K4621" t="s">
        <v>9507</v>
      </c>
      <c r="L4621">
        <v>368</v>
      </c>
      <c r="M4621" t="s">
        <v>42272</v>
      </c>
      <c r="N4621">
        <v>1</v>
      </c>
      <c r="Q4621" t="s">
        <v>42273</v>
      </c>
      <c r="R4621" t="s">
        <v>42274</v>
      </c>
      <c r="S4621" t="s">
        <v>42275</v>
      </c>
      <c r="T4621" t="s">
        <v>30</v>
      </c>
      <c r="U4621" t="s">
        <v>26044</v>
      </c>
      <c r="W4621" t="s">
        <v>28347</v>
      </c>
    </row>
    <row r="4622" spans="1:23" x14ac:dyDescent="0.35">
      <c r="A4622">
        <v>1107604</v>
      </c>
      <c r="B4622" t="s">
        <v>42276</v>
      </c>
      <c r="C4622" t="str">
        <f>"9780807897980"</f>
        <v>9780807897980</v>
      </c>
      <c r="D4622" t="str">
        <f>"9781469610214"</f>
        <v>9781469610214</v>
      </c>
      <c r="E4622" t="s">
        <v>31948</v>
      </c>
      <c r="F4622" t="s">
        <v>2866</v>
      </c>
      <c r="G4622" t="s">
        <v>23742</v>
      </c>
      <c r="H4622" t="s">
        <v>26004</v>
      </c>
      <c r="I4622" s="26">
        <v>25934</v>
      </c>
      <c r="J4622">
        <v>1971</v>
      </c>
      <c r="K4622" t="s">
        <v>2866</v>
      </c>
      <c r="L4622">
        <v>89</v>
      </c>
      <c r="M4622" t="s">
        <v>42277</v>
      </c>
      <c r="N4622">
        <v>1</v>
      </c>
      <c r="Q4622" t="s">
        <v>42278</v>
      </c>
      <c r="R4622" t="s">
        <v>26308</v>
      </c>
      <c r="S4622" t="s">
        <v>8197</v>
      </c>
      <c r="T4622" t="s">
        <v>30</v>
      </c>
      <c r="U4622" t="s">
        <v>26520</v>
      </c>
      <c r="W4622" t="s">
        <v>26009</v>
      </c>
    </row>
    <row r="4623" spans="1:23" x14ac:dyDescent="0.35">
      <c r="A4623">
        <v>1107717</v>
      </c>
      <c r="B4623" t="s">
        <v>42279</v>
      </c>
      <c r="C4623" t="str">
        <f>"9780195393309"</f>
        <v>9780195393309</v>
      </c>
      <c r="D4623" t="str">
        <f>"9780199930685"</f>
        <v>9780199930685</v>
      </c>
      <c r="E4623" t="s">
        <v>371</v>
      </c>
      <c r="F4623" t="s">
        <v>31</v>
      </c>
      <c r="G4623" t="s">
        <v>22703</v>
      </c>
      <c r="H4623" t="s">
        <v>26004</v>
      </c>
      <c r="I4623" s="26">
        <v>40994</v>
      </c>
      <c r="J4623">
        <v>2012</v>
      </c>
      <c r="K4623" t="s">
        <v>31</v>
      </c>
      <c r="L4623">
        <v>265</v>
      </c>
      <c r="M4623" t="s">
        <v>42280</v>
      </c>
      <c r="Q4623" t="s">
        <v>42281</v>
      </c>
      <c r="R4623" t="s">
        <v>39741</v>
      </c>
      <c r="S4623" t="s">
        <v>42282</v>
      </c>
      <c r="T4623" t="s">
        <v>30</v>
      </c>
      <c r="U4623" t="s">
        <v>29407</v>
      </c>
      <c r="W4623" t="s">
        <v>26009</v>
      </c>
    </row>
    <row r="4624" spans="1:23" x14ac:dyDescent="0.35">
      <c r="A4624">
        <v>1107718</v>
      </c>
      <c r="B4624" t="s">
        <v>42283</v>
      </c>
      <c r="C4624" t="str">
        <f>"9780195396850"</f>
        <v>9780195396850</v>
      </c>
      <c r="D4624" t="str">
        <f>"9780199875436"</f>
        <v>9780199875436</v>
      </c>
      <c r="E4624" t="s">
        <v>371</v>
      </c>
      <c r="F4624" t="s">
        <v>31</v>
      </c>
      <c r="G4624" t="s">
        <v>22703</v>
      </c>
      <c r="H4624" t="s">
        <v>26004</v>
      </c>
      <c r="I4624" s="26">
        <v>41304</v>
      </c>
      <c r="J4624">
        <v>2012</v>
      </c>
      <c r="K4624" t="s">
        <v>31</v>
      </c>
      <c r="L4624">
        <v>319</v>
      </c>
      <c r="M4624" t="s">
        <v>42284</v>
      </c>
      <c r="Q4624" t="s">
        <v>42285</v>
      </c>
      <c r="R4624">
        <v>306.82</v>
      </c>
      <c r="S4624" t="s">
        <v>42286</v>
      </c>
      <c r="T4624" t="s">
        <v>30</v>
      </c>
      <c r="U4624" t="s">
        <v>26044</v>
      </c>
      <c r="W4624" t="s">
        <v>26009</v>
      </c>
    </row>
    <row r="4625" spans="1:23" x14ac:dyDescent="0.35">
      <c r="A4625">
        <v>1108005</v>
      </c>
      <c r="B4625" t="s">
        <v>42287</v>
      </c>
      <c r="C4625" t="str">
        <f>"9781608055685"</f>
        <v>9781608055685</v>
      </c>
      <c r="D4625" t="str">
        <f>"9781608054664"</f>
        <v>9781608054664</v>
      </c>
      <c r="E4625" t="s">
        <v>9105</v>
      </c>
      <c r="F4625" t="s">
        <v>9105</v>
      </c>
      <c r="G4625" t="s">
        <v>39643</v>
      </c>
      <c r="H4625" t="s">
        <v>39644</v>
      </c>
      <c r="I4625" s="26">
        <v>41224</v>
      </c>
      <c r="J4625">
        <v>2013</v>
      </c>
      <c r="K4625" t="s">
        <v>41798</v>
      </c>
      <c r="L4625">
        <v>288</v>
      </c>
      <c r="M4625" t="s">
        <v>42288</v>
      </c>
      <c r="N4625">
        <v>1</v>
      </c>
      <c r="O4625" t="s">
        <v>9104</v>
      </c>
      <c r="Q4625" t="s">
        <v>42289</v>
      </c>
      <c r="R4625" t="s">
        <v>42290</v>
      </c>
      <c r="S4625" t="s">
        <v>42291</v>
      </c>
      <c r="T4625" t="s">
        <v>30</v>
      </c>
      <c r="U4625" t="s">
        <v>31270</v>
      </c>
      <c r="W4625" t="s">
        <v>26009</v>
      </c>
    </row>
    <row r="4626" spans="1:23" x14ac:dyDescent="0.35">
      <c r="A4626">
        <v>1108598</v>
      </c>
      <c r="B4626" t="s">
        <v>42292</v>
      </c>
      <c r="C4626" t="str">
        <f>"9780415510356"</f>
        <v>9780415510356</v>
      </c>
      <c r="D4626" t="str">
        <f>"9781136344886"</f>
        <v>9781136344886</v>
      </c>
      <c r="E4626" t="s">
        <v>26010</v>
      </c>
      <c r="F4626" t="s">
        <v>35</v>
      </c>
      <c r="G4626" t="s">
        <v>22174</v>
      </c>
      <c r="H4626" t="s">
        <v>26011</v>
      </c>
      <c r="I4626" s="26">
        <v>41253</v>
      </c>
      <c r="J4626">
        <v>2013</v>
      </c>
      <c r="K4626" t="s">
        <v>26012</v>
      </c>
      <c r="L4626">
        <v>161</v>
      </c>
      <c r="M4626" t="s">
        <v>42293</v>
      </c>
      <c r="N4626">
        <v>1</v>
      </c>
      <c r="O4626" t="s">
        <v>42294</v>
      </c>
      <c r="Q4626" t="s">
        <v>42295</v>
      </c>
      <c r="R4626">
        <v>303.39999999999998</v>
      </c>
      <c r="S4626" t="s">
        <v>10219</v>
      </c>
      <c r="T4626" t="s">
        <v>30</v>
      </c>
      <c r="U4626" t="s">
        <v>26044</v>
      </c>
      <c r="W4626" t="s">
        <v>26009</v>
      </c>
    </row>
    <row r="4627" spans="1:23" x14ac:dyDescent="0.35">
      <c r="A4627">
        <v>1108613</v>
      </c>
      <c r="B4627" t="s">
        <v>42296</v>
      </c>
      <c r="C4627" t="str">
        <f>"9780415898478"</f>
        <v>9780415898478</v>
      </c>
      <c r="D4627" t="str">
        <f>"9781136623301"</f>
        <v>9781136623301</v>
      </c>
      <c r="E4627" t="s">
        <v>26010</v>
      </c>
      <c r="F4627" t="s">
        <v>35</v>
      </c>
      <c r="G4627" t="s">
        <v>22174</v>
      </c>
      <c r="H4627" t="s">
        <v>26011</v>
      </c>
      <c r="I4627" s="26">
        <v>41261</v>
      </c>
      <c r="J4627">
        <v>2013</v>
      </c>
      <c r="K4627" t="s">
        <v>26012</v>
      </c>
      <c r="L4627">
        <v>169</v>
      </c>
      <c r="M4627" t="s">
        <v>42297</v>
      </c>
      <c r="N4627">
        <v>2</v>
      </c>
      <c r="Q4627" t="s">
        <v>42298</v>
      </c>
      <c r="R4627" t="s">
        <v>42299</v>
      </c>
      <c r="S4627" t="s">
        <v>42300</v>
      </c>
      <c r="T4627" t="s">
        <v>30</v>
      </c>
      <c r="U4627" t="s">
        <v>26228</v>
      </c>
      <c r="W4627" t="s">
        <v>26009</v>
      </c>
    </row>
    <row r="4628" spans="1:23" x14ac:dyDescent="0.35">
      <c r="A4628">
        <v>1108615</v>
      </c>
      <c r="B4628" t="s">
        <v>8086</v>
      </c>
      <c r="C4628" t="str">
        <f>"9780415894746"</f>
        <v>9780415894746</v>
      </c>
      <c r="D4628" t="str">
        <f>"9781136682797"</f>
        <v>9781136682797</v>
      </c>
      <c r="E4628" t="s">
        <v>26010</v>
      </c>
      <c r="F4628" t="s">
        <v>35</v>
      </c>
      <c r="G4628" t="s">
        <v>22174</v>
      </c>
      <c r="H4628" t="s">
        <v>26011</v>
      </c>
      <c r="I4628" s="26">
        <v>41249</v>
      </c>
      <c r="J4628">
        <v>2013</v>
      </c>
      <c r="K4628" t="s">
        <v>26012</v>
      </c>
      <c r="L4628">
        <v>417</v>
      </c>
      <c r="M4628" t="s">
        <v>42301</v>
      </c>
      <c r="N4628">
        <v>1</v>
      </c>
      <c r="O4628" t="s">
        <v>31623</v>
      </c>
      <c r="Q4628" t="s">
        <v>42302</v>
      </c>
      <c r="R4628" t="s">
        <v>42303</v>
      </c>
      <c r="S4628" t="s">
        <v>8087</v>
      </c>
      <c r="T4628" t="s">
        <v>30</v>
      </c>
      <c r="U4628" t="s">
        <v>42304</v>
      </c>
      <c r="W4628" t="s">
        <v>26009</v>
      </c>
    </row>
    <row r="4629" spans="1:23" x14ac:dyDescent="0.35">
      <c r="A4629">
        <v>1108617</v>
      </c>
      <c r="B4629" t="s">
        <v>42305</v>
      </c>
      <c r="C4629" t="str">
        <f>"9780415889773"</f>
        <v>9780415889773</v>
      </c>
      <c r="D4629" t="str">
        <f>"9781136817335"</f>
        <v>9781136817335</v>
      </c>
      <c r="E4629" t="s">
        <v>26010</v>
      </c>
      <c r="F4629" t="s">
        <v>35</v>
      </c>
      <c r="G4629" t="s">
        <v>22174</v>
      </c>
      <c r="H4629" t="s">
        <v>26011</v>
      </c>
      <c r="I4629" s="26">
        <v>41249</v>
      </c>
      <c r="J4629">
        <v>2013</v>
      </c>
      <c r="K4629" t="s">
        <v>26012</v>
      </c>
      <c r="L4629">
        <v>313</v>
      </c>
      <c r="M4629" t="s">
        <v>42306</v>
      </c>
      <c r="N4629">
        <v>1</v>
      </c>
      <c r="O4629" t="s">
        <v>27182</v>
      </c>
      <c r="Q4629" t="s">
        <v>42307</v>
      </c>
      <c r="R4629" t="s">
        <v>27184</v>
      </c>
      <c r="S4629" t="s">
        <v>10112</v>
      </c>
      <c r="T4629" t="s">
        <v>30</v>
      </c>
      <c r="U4629" t="s">
        <v>26019</v>
      </c>
      <c r="W4629" t="s">
        <v>26009</v>
      </c>
    </row>
    <row r="4630" spans="1:23" x14ac:dyDescent="0.35">
      <c r="A4630">
        <v>1109183</v>
      </c>
      <c r="B4630" t="s">
        <v>42308</v>
      </c>
      <c r="C4630" t="str">
        <f>"9780870495878"</f>
        <v>9780870495878</v>
      </c>
      <c r="D4630" t="str">
        <f>"9781572339767"</f>
        <v>9781572339767</v>
      </c>
      <c r="E4630" t="s">
        <v>42309</v>
      </c>
      <c r="F4630" t="s">
        <v>42309</v>
      </c>
      <c r="G4630" t="s">
        <v>24951</v>
      </c>
      <c r="H4630" t="s">
        <v>26004</v>
      </c>
      <c r="I4630" s="26">
        <v>32629</v>
      </c>
      <c r="J4630">
        <v>1989</v>
      </c>
      <c r="K4630" t="s">
        <v>42309</v>
      </c>
      <c r="L4630">
        <v>433</v>
      </c>
      <c r="M4630" t="s">
        <v>42310</v>
      </c>
      <c r="N4630">
        <v>1</v>
      </c>
      <c r="Q4630" t="s">
        <v>42311</v>
      </c>
      <c r="R4630" t="s">
        <v>42312</v>
      </c>
      <c r="S4630" t="s">
        <v>42313</v>
      </c>
      <c r="T4630" t="s">
        <v>30</v>
      </c>
      <c r="U4630" t="s">
        <v>26250</v>
      </c>
      <c r="W4630" t="s">
        <v>26009</v>
      </c>
    </row>
    <row r="4631" spans="1:23" x14ac:dyDescent="0.35">
      <c r="A4631">
        <v>1110067</v>
      </c>
      <c r="B4631" t="s">
        <v>7911</v>
      </c>
      <c r="C4631" t="str">
        <f>"9781598745559"</f>
        <v>9781598745559</v>
      </c>
      <c r="D4631" t="str">
        <f>"9781611327816"</f>
        <v>9781611327816</v>
      </c>
      <c r="E4631" t="s">
        <v>26010</v>
      </c>
      <c r="F4631" t="s">
        <v>35</v>
      </c>
      <c r="G4631" t="s">
        <v>36267</v>
      </c>
      <c r="H4631" t="s">
        <v>26004</v>
      </c>
      <c r="I4631" s="26">
        <v>41258</v>
      </c>
      <c r="J4631">
        <v>2013</v>
      </c>
      <c r="K4631" t="s">
        <v>26012</v>
      </c>
      <c r="L4631">
        <v>201</v>
      </c>
      <c r="M4631" t="s">
        <v>42314</v>
      </c>
      <c r="N4631">
        <v>1</v>
      </c>
      <c r="O4631" t="s">
        <v>39783</v>
      </c>
      <c r="P4631">
        <v>8</v>
      </c>
      <c r="Q4631" t="s">
        <v>42315</v>
      </c>
      <c r="R4631" t="s">
        <v>34610</v>
      </c>
      <c r="S4631" t="s">
        <v>7912</v>
      </c>
      <c r="T4631" t="s">
        <v>30</v>
      </c>
      <c r="U4631" t="s">
        <v>26044</v>
      </c>
      <c r="W4631" t="s">
        <v>26009</v>
      </c>
    </row>
    <row r="4632" spans="1:23" x14ac:dyDescent="0.35">
      <c r="A4632">
        <v>1110163</v>
      </c>
      <c r="B4632" t="s">
        <v>42316</v>
      </c>
      <c r="C4632" t="str">
        <f>"9781446200674"</f>
        <v>9781446200674</v>
      </c>
      <c r="D4632" t="str">
        <f>"9781446271575"</f>
        <v>9781446271575</v>
      </c>
      <c r="E4632" t="s">
        <v>28007</v>
      </c>
      <c r="F4632" t="s">
        <v>7430</v>
      </c>
      <c r="G4632" t="s">
        <v>22174</v>
      </c>
      <c r="H4632" t="s">
        <v>26011</v>
      </c>
      <c r="I4632" s="26">
        <v>41249</v>
      </c>
      <c r="J4632">
        <v>2013</v>
      </c>
      <c r="K4632" t="s">
        <v>7430</v>
      </c>
      <c r="L4632">
        <v>209</v>
      </c>
      <c r="M4632" t="s">
        <v>42317</v>
      </c>
      <c r="N4632">
        <v>1</v>
      </c>
      <c r="Q4632" t="s">
        <v>42318</v>
      </c>
      <c r="R4632">
        <v>158.30000000000001</v>
      </c>
      <c r="S4632" t="s">
        <v>8013</v>
      </c>
      <c r="T4632" t="s">
        <v>30</v>
      </c>
      <c r="U4632" t="s">
        <v>46</v>
      </c>
      <c r="W4632" t="s">
        <v>26009</v>
      </c>
    </row>
    <row r="4633" spans="1:23" x14ac:dyDescent="0.35">
      <c r="A4633">
        <v>1110762</v>
      </c>
      <c r="B4633" t="s">
        <v>42319</v>
      </c>
      <c r="C4633" t="str">
        <f>"9781780490304"</f>
        <v>9781780490304</v>
      </c>
      <c r="D4633" t="str">
        <f>"9781782410515"</f>
        <v>9781782410515</v>
      </c>
      <c r="E4633" t="s">
        <v>26010</v>
      </c>
      <c r="F4633" t="s">
        <v>35</v>
      </c>
      <c r="G4633" t="s">
        <v>22174</v>
      </c>
      <c r="H4633" t="s">
        <v>26011</v>
      </c>
      <c r="I4633" s="26">
        <v>41275</v>
      </c>
      <c r="J4633">
        <v>2013</v>
      </c>
      <c r="K4633" t="s">
        <v>26012</v>
      </c>
      <c r="L4633">
        <v>290</v>
      </c>
      <c r="M4633" t="s">
        <v>38668</v>
      </c>
      <c r="N4633">
        <v>1</v>
      </c>
      <c r="Q4633" t="s">
        <v>42320</v>
      </c>
      <c r="R4633">
        <v>616.85829999999999</v>
      </c>
      <c r="S4633" t="s">
        <v>42321</v>
      </c>
      <c r="T4633" t="s">
        <v>30</v>
      </c>
      <c r="U4633" t="s">
        <v>26019</v>
      </c>
      <c r="W4633" t="s">
        <v>26009</v>
      </c>
    </row>
    <row r="4634" spans="1:23" x14ac:dyDescent="0.35">
      <c r="A4634">
        <v>1111308</v>
      </c>
      <c r="B4634" t="s">
        <v>8792</v>
      </c>
      <c r="C4634" t="str">
        <f>"9780805859430"</f>
        <v>9780805859430</v>
      </c>
      <c r="D4634" t="str">
        <f>"9781136950780"</f>
        <v>9781136950780</v>
      </c>
      <c r="E4634" t="s">
        <v>26010</v>
      </c>
      <c r="F4634" t="s">
        <v>35</v>
      </c>
      <c r="G4634" t="s">
        <v>22174</v>
      </c>
      <c r="H4634" t="s">
        <v>26011</v>
      </c>
      <c r="I4634" s="26">
        <v>40135</v>
      </c>
      <c r="J4634">
        <v>2010</v>
      </c>
      <c r="K4634" t="s">
        <v>660</v>
      </c>
      <c r="L4634">
        <v>432</v>
      </c>
      <c r="M4634" t="s">
        <v>42322</v>
      </c>
      <c r="N4634">
        <v>1</v>
      </c>
      <c r="Q4634" t="s">
        <v>42323</v>
      </c>
      <c r="R4634" t="s">
        <v>31519</v>
      </c>
      <c r="S4634" t="s">
        <v>42324</v>
      </c>
      <c r="T4634" t="s">
        <v>30</v>
      </c>
      <c r="U4634" t="s">
        <v>26044</v>
      </c>
      <c r="W4634" t="s">
        <v>26009</v>
      </c>
    </row>
    <row r="4635" spans="1:23" x14ac:dyDescent="0.35">
      <c r="A4635">
        <v>1111344</v>
      </c>
      <c r="B4635" t="s">
        <v>42325</v>
      </c>
      <c r="C4635" t="str">
        <f>"9780805844825"</f>
        <v>9780805844825</v>
      </c>
      <c r="D4635" t="str">
        <f>"9781136605840"</f>
        <v>9781136605840</v>
      </c>
      <c r="E4635" t="s">
        <v>26010</v>
      </c>
      <c r="F4635" t="s">
        <v>35</v>
      </c>
      <c r="G4635" t="s">
        <v>26337</v>
      </c>
      <c r="H4635" t="s">
        <v>26011</v>
      </c>
      <c r="I4635" s="26">
        <v>37469</v>
      </c>
      <c r="J4635">
        <v>2002</v>
      </c>
      <c r="K4635" t="s">
        <v>26012</v>
      </c>
      <c r="L4635">
        <v>255</v>
      </c>
      <c r="M4635" t="s">
        <v>42326</v>
      </c>
      <c r="N4635">
        <v>4</v>
      </c>
      <c r="Q4635" t="s">
        <v>42327</v>
      </c>
      <c r="R4635">
        <v>160</v>
      </c>
      <c r="S4635" t="s">
        <v>10052</v>
      </c>
      <c r="T4635" t="s">
        <v>30</v>
      </c>
      <c r="U4635" t="s">
        <v>26679</v>
      </c>
      <c r="W4635" t="s">
        <v>26009</v>
      </c>
    </row>
    <row r="4636" spans="1:23" x14ac:dyDescent="0.35">
      <c r="A4636">
        <v>1111791</v>
      </c>
      <c r="B4636" t="s">
        <v>42328</v>
      </c>
      <c r="C4636" t="str">
        <f>"9780415482691"</f>
        <v>9780415482691</v>
      </c>
      <c r="D4636" t="str">
        <f>"9781136611230"</f>
        <v>9781136611230</v>
      </c>
      <c r="E4636" t="s">
        <v>26010</v>
      </c>
      <c r="F4636" t="s">
        <v>35</v>
      </c>
      <c r="G4636" t="s">
        <v>26201</v>
      </c>
      <c r="H4636" t="s">
        <v>26011</v>
      </c>
      <c r="I4636" s="26">
        <v>41285</v>
      </c>
      <c r="J4636">
        <v>2009</v>
      </c>
      <c r="K4636" t="s">
        <v>26012</v>
      </c>
      <c r="L4636">
        <v>516</v>
      </c>
      <c r="M4636" t="s">
        <v>42329</v>
      </c>
      <c r="N4636">
        <v>1</v>
      </c>
      <c r="Q4636" t="s">
        <v>42330</v>
      </c>
      <c r="R4636">
        <v>301</v>
      </c>
      <c r="S4636" t="s">
        <v>184</v>
      </c>
      <c r="T4636" t="s">
        <v>30</v>
      </c>
      <c r="U4636" t="s">
        <v>26044</v>
      </c>
      <c r="W4636" t="s">
        <v>26009</v>
      </c>
    </row>
    <row r="4637" spans="1:23" x14ac:dyDescent="0.35">
      <c r="A4637">
        <v>1111846</v>
      </c>
      <c r="B4637" t="s">
        <v>42331</v>
      </c>
      <c r="C4637" t="str">
        <f>"9781455731749"</f>
        <v>9781455731749</v>
      </c>
      <c r="D4637" t="str">
        <f>"9780124059016"</f>
        <v>9780124059016</v>
      </c>
      <c r="E4637" t="s">
        <v>27482</v>
      </c>
      <c r="F4637" t="s">
        <v>7447</v>
      </c>
      <c r="G4637" t="s">
        <v>22689</v>
      </c>
      <c r="H4637" t="s">
        <v>26004</v>
      </c>
      <c r="I4637" s="26">
        <v>40024</v>
      </c>
      <c r="J4637">
        <v>2014</v>
      </c>
      <c r="K4637" t="s">
        <v>946</v>
      </c>
      <c r="L4637">
        <v>480</v>
      </c>
      <c r="M4637" t="s">
        <v>29876</v>
      </c>
      <c r="N4637">
        <v>3</v>
      </c>
      <c r="R4637">
        <v>364.3</v>
      </c>
      <c r="S4637" t="s">
        <v>29878</v>
      </c>
      <c r="T4637" t="s">
        <v>30</v>
      </c>
      <c r="U4637" t="s">
        <v>26044</v>
      </c>
      <c r="W4637" t="s">
        <v>26009</v>
      </c>
    </row>
    <row r="4638" spans="1:23" x14ac:dyDescent="0.35">
      <c r="A4638">
        <v>1112332</v>
      </c>
      <c r="B4638" t="s">
        <v>8628</v>
      </c>
      <c r="C4638" t="str">
        <f>"9781462508495"</f>
        <v>9781462508495</v>
      </c>
      <c r="D4638" t="str">
        <f>"9781462508556"</f>
        <v>9781462508556</v>
      </c>
      <c r="E4638" t="s">
        <v>30112</v>
      </c>
      <c r="F4638" t="s">
        <v>7420</v>
      </c>
      <c r="G4638" t="s">
        <v>22179</v>
      </c>
      <c r="H4638" t="s">
        <v>26004</v>
      </c>
      <c r="I4638" s="26">
        <v>41319</v>
      </c>
      <c r="J4638">
        <v>2013</v>
      </c>
      <c r="K4638" t="s">
        <v>30113</v>
      </c>
      <c r="L4638">
        <v>738</v>
      </c>
      <c r="M4638" t="s">
        <v>42332</v>
      </c>
      <c r="N4638">
        <v>2</v>
      </c>
      <c r="Q4638" t="s">
        <v>42333</v>
      </c>
      <c r="R4638">
        <v>371.92599999999999</v>
      </c>
      <c r="S4638" t="s">
        <v>8629</v>
      </c>
      <c r="T4638" t="s">
        <v>30</v>
      </c>
      <c r="U4638" t="s">
        <v>337</v>
      </c>
      <c r="W4638" t="s">
        <v>28347</v>
      </c>
    </row>
    <row r="4639" spans="1:23" x14ac:dyDescent="0.35">
      <c r="A4639">
        <v>1112334</v>
      </c>
      <c r="B4639" t="s">
        <v>42334</v>
      </c>
      <c r="C4639" t="str">
        <f>"9781462508174"</f>
        <v>9781462508174</v>
      </c>
      <c r="D4639" t="str">
        <f>"9781462508181"</f>
        <v>9781462508181</v>
      </c>
      <c r="E4639" t="s">
        <v>30112</v>
      </c>
      <c r="F4639" t="s">
        <v>7420</v>
      </c>
      <c r="G4639" t="s">
        <v>22179</v>
      </c>
      <c r="H4639" t="s">
        <v>26004</v>
      </c>
      <c r="I4639" s="26">
        <v>41296</v>
      </c>
      <c r="J4639">
        <v>2013</v>
      </c>
      <c r="K4639" t="s">
        <v>30113</v>
      </c>
      <c r="L4639">
        <v>386</v>
      </c>
      <c r="M4639" t="s">
        <v>42335</v>
      </c>
      <c r="N4639">
        <v>1</v>
      </c>
      <c r="Q4639" t="s">
        <v>42336</v>
      </c>
      <c r="R4639" t="s">
        <v>42337</v>
      </c>
      <c r="S4639" t="s">
        <v>42338</v>
      </c>
      <c r="T4639" t="s">
        <v>30</v>
      </c>
      <c r="U4639" t="s">
        <v>46</v>
      </c>
      <c r="W4639" t="s">
        <v>28347</v>
      </c>
    </row>
    <row r="4640" spans="1:23" x14ac:dyDescent="0.35">
      <c r="A4640">
        <v>1112335</v>
      </c>
      <c r="B4640" t="s">
        <v>42339</v>
      </c>
      <c r="C4640" t="str">
        <f>"9781462509232"</f>
        <v>9781462509232</v>
      </c>
      <c r="D4640" t="str">
        <f>"9781462509249"</f>
        <v>9781462509249</v>
      </c>
      <c r="E4640" t="s">
        <v>30112</v>
      </c>
      <c r="F4640" t="s">
        <v>7420</v>
      </c>
      <c r="G4640" t="s">
        <v>22179</v>
      </c>
      <c r="H4640" t="s">
        <v>26004</v>
      </c>
      <c r="I4640" s="26">
        <v>41305</v>
      </c>
      <c r="J4640">
        <v>2013</v>
      </c>
      <c r="K4640" t="s">
        <v>30113</v>
      </c>
      <c r="L4640">
        <v>146</v>
      </c>
      <c r="M4640" t="s">
        <v>42340</v>
      </c>
      <c r="N4640">
        <v>1</v>
      </c>
      <c r="O4640" t="s">
        <v>31750</v>
      </c>
      <c r="Q4640" t="s">
        <v>42341</v>
      </c>
      <c r="R4640">
        <v>370.15280000000001</v>
      </c>
      <c r="S4640" t="s">
        <v>42342</v>
      </c>
      <c r="T4640" t="s">
        <v>30</v>
      </c>
      <c r="U4640" t="s">
        <v>337</v>
      </c>
      <c r="W4640" t="s">
        <v>28347</v>
      </c>
    </row>
    <row r="4641" spans="1:23" x14ac:dyDescent="0.35">
      <c r="A4641">
        <v>1112386</v>
      </c>
      <c r="B4641" t="s">
        <v>42343</v>
      </c>
      <c r="C4641" t="str">
        <f>"9781583917893"</f>
        <v>9781583917893</v>
      </c>
      <c r="D4641" t="str">
        <f>"9781134947669"</f>
        <v>9781134947669</v>
      </c>
      <c r="E4641" t="s">
        <v>26010</v>
      </c>
      <c r="F4641" t="s">
        <v>35</v>
      </c>
      <c r="G4641" t="s">
        <v>22174</v>
      </c>
      <c r="H4641" t="s">
        <v>26011</v>
      </c>
      <c r="I4641" s="26">
        <v>38622</v>
      </c>
      <c r="J4641">
        <v>2005</v>
      </c>
      <c r="K4641" t="s">
        <v>26012</v>
      </c>
      <c r="L4641">
        <v>329</v>
      </c>
      <c r="M4641" t="s">
        <v>42344</v>
      </c>
      <c r="N4641">
        <v>1</v>
      </c>
      <c r="Q4641" t="s">
        <v>42345</v>
      </c>
      <c r="R4641">
        <v>616.89170820000004</v>
      </c>
      <c r="S4641" t="s">
        <v>42346</v>
      </c>
      <c r="T4641" t="s">
        <v>30</v>
      </c>
      <c r="U4641" t="s">
        <v>26116</v>
      </c>
      <c r="W4641" t="s">
        <v>26009</v>
      </c>
    </row>
    <row r="4642" spans="1:23" x14ac:dyDescent="0.35">
      <c r="A4642">
        <v>1112435</v>
      </c>
      <c r="B4642" t="s">
        <v>42347</v>
      </c>
      <c r="C4642" t="str">
        <f>"9781841690124"</f>
        <v>9781841690124</v>
      </c>
      <c r="D4642" t="str">
        <f>"9781134948789"</f>
        <v>9781134948789</v>
      </c>
      <c r="E4642" t="s">
        <v>26010</v>
      </c>
      <c r="F4642" t="s">
        <v>35</v>
      </c>
      <c r="G4642" t="s">
        <v>26128</v>
      </c>
      <c r="H4642" t="s">
        <v>26011</v>
      </c>
      <c r="I4642" s="26">
        <v>37316</v>
      </c>
      <c r="J4642">
        <v>2002</v>
      </c>
      <c r="K4642" t="s">
        <v>660</v>
      </c>
      <c r="L4642">
        <v>155</v>
      </c>
      <c r="M4642" t="s">
        <v>42348</v>
      </c>
      <c r="N4642">
        <v>1</v>
      </c>
      <c r="O4642" t="s">
        <v>26988</v>
      </c>
      <c r="Q4642" t="s">
        <v>42349</v>
      </c>
      <c r="R4642">
        <v>153.35</v>
      </c>
      <c r="S4642" t="s">
        <v>8036</v>
      </c>
      <c r="T4642" t="s">
        <v>30</v>
      </c>
      <c r="U4642" t="s">
        <v>46</v>
      </c>
      <c r="W4642" t="s">
        <v>26009</v>
      </c>
    </row>
    <row r="4643" spans="1:23" x14ac:dyDescent="0.35">
      <c r="A4643">
        <v>1112532</v>
      </c>
      <c r="B4643" t="s">
        <v>42350</v>
      </c>
      <c r="C4643" t="str">
        <f>"9780415371469"</f>
        <v>9780415371469</v>
      </c>
      <c r="D4643" t="str">
        <f>"9781134702664"</f>
        <v>9781134702664</v>
      </c>
      <c r="E4643" t="s">
        <v>26010</v>
      </c>
      <c r="F4643" t="s">
        <v>35</v>
      </c>
      <c r="G4643" t="s">
        <v>22174</v>
      </c>
      <c r="H4643" t="s">
        <v>26011</v>
      </c>
      <c r="I4643" s="26">
        <v>38666</v>
      </c>
      <c r="J4643">
        <v>2005</v>
      </c>
      <c r="K4643" t="s">
        <v>26012</v>
      </c>
      <c r="L4643">
        <v>311</v>
      </c>
      <c r="M4643" t="s">
        <v>42351</v>
      </c>
      <c r="N4643">
        <v>1</v>
      </c>
      <c r="Q4643" t="s">
        <v>42352</v>
      </c>
      <c r="R4643" t="s">
        <v>42353</v>
      </c>
      <c r="S4643" t="s">
        <v>42354</v>
      </c>
      <c r="T4643" t="s">
        <v>30</v>
      </c>
      <c r="U4643" t="s">
        <v>26250</v>
      </c>
      <c r="W4643" t="s">
        <v>26009</v>
      </c>
    </row>
    <row r="4644" spans="1:23" x14ac:dyDescent="0.35">
      <c r="A4644">
        <v>1112535</v>
      </c>
      <c r="B4644" t="s">
        <v>9493</v>
      </c>
      <c r="C4644" t="str">
        <f>"9781583910740"</f>
        <v>9781583910740</v>
      </c>
      <c r="D4644" t="str">
        <f>"9781135057626"</f>
        <v>9781135057626</v>
      </c>
      <c r="E4644" t="s">
        <v>26010</v>
      </c>
      <c r="F4644" t="s">
        <v>35</v>
      </c>
      <c r="G4644" t="s">
        <v>22174</v>
      </c>
      <c r="H4644" t="s">
        <v>26011</v>
      </c>
      <c r="I4644" s="26">
        <v>36875</v>
      </c>
      <c r="J4644">
        <v>2001</v>
      </c>
      <c r="K4644" t="s">
        <v>26012</v>
      </c>
      <c r="L4644">
        <v>147</v>
      </c>
      <c r="M4644" t="s">
        <v>42355</v>
      </c>
      <c r="N4644">
        <v>2</v>
      </c>
      <c r="Q4644" t="s">
        <v>42356</v>
      </c>
      <c r="R4644" t="s">
        <v>27122</v>
      </c>
      <c r="S4644" t="s">
        <v>7648</v>
      </c>
      <c r="T4644" t="s">
        <v>30</v>
      </c>
      <c r="U4644" t="s">
        <v>26019</v>
      </c>
      <c r="W4644" t="s">
        <v>26009</v>
      </c>
    </row>
    <row r="4645" spans="1:23" x14ac:dyDescent="0.35">
      <c r="A4645">
        <v>1112541</v>
      </c>
      <c r="B4645" t="s">
        <v>42357</v>
      </c>
      <c r="C4645" t="str">
        <f>"9780805864311"</f>
        <v>9780805864311</v>
      </c>
      <c r="D4645" t="str">
        <f>"9781135811563"</f>
        <v>9781135811563</v>
      </c>
      <c r="E4645" t="s">
        <v>26010</v>
      </c>
      <c r="F4645" t="s">
        <v>35</v>
      </c>
      <c r="G4645" t="s">
        <v>22174</v>
      </c>
      <c r="H4645" t="s">
        <v>26011</v>
      </c>
      <c r="I4645" s="26">
        <v>40316</v>
      </c>
      <c r="J4645">
        <v>2010</v>
      </c>
      <c r="K4645" t="s">
        <v>26012</v>
      </c>
      <c r="L4645">
        <v>820</v>
      </c>
      <c r="M4645" t="s">
        <v>42358</v>
      </c>
      <c r="N4645">
        <v>3</v>
      </c>
      <c r="Q4645" t="s">
        <v>42359</v>
      </c>
      <c r="R4645">
        <v>519.5</v>
      </c>
      <c r="S4645" t="s">
        <v>42360</v>
      </c>
      <c r="T4645" t="s">
        <v>30</v>
      </c>
      <c r="U4645" t="s">
        <v>28330</v>
      </c>
      <c r="W4645" t="s">
        <v>26009</v>
      </c>
    </row>
    <row r="4646" spans="1:23" x14ac:dyDescent="0.35">
      <c r="A4646">
        <v>1112542</v>
      </c>
      <c r="B4646" t="s">
        <v>8380</v>
      </c>
      <c r="C4646" t="str">
        <f>"9781841698786"</f>
        <v>9781841698786</v>
      </c>
      <c r="D4646" t="str">
        <f>"9781135845728"</f>
        <v>9781135845728</v>
      </c>
      <c r="E4646" t="s">
        <v>26010</v>
      </c>
      <c r="F4646" t="s">
        <v>35</v>
      </c>
      <c r="G4646" t="s">
        <v>22174</v>
      </c>
      <c r="H4646" t="s">
        <v>26011</v>
      </c>
      <c r="I4646" s="26">
        <v>40947</v>
      </c>
      <c r="J4646">
        <v>2012</v>
      </c>
      <c r="K4646" t="s">
        <v>660</v>
      </c>
      <c r="L4646">
        <v>489</v>
      </c>
      <c r="M4646" t="s">
        <v>42361</v>
      </c>
      <c r="N4646">
        <v>1</v>
      </c>
      <c r="Q4646" t="s">
        <v>42362</v>
      </c>
      <c r="R4646" t="s">
        <v>42363</v>
      </c>
      <c r="S4646" t="s">
        <v>8381</v>
      </c>
      <c r="T4646" t="s">
        <v>30</v>
      </c>
      <c r="U4646" t="s">
        <v>46</v>
      </c>
      <c r="W4646" t="s">
        <v>26009</v>
      </c>
    </row>
    <row r="4647" spans="1:23" x14ac:dyDescent="0.35">
      <c r="A4647">
        <v>1113040</v>
      </c>
      <c r="B4647" t="s">
        <v>7752</v>
      </c>
      <c r="C4647" t="str">
        <f>"9781107001114"</f>
        <v>9781107001114</v>
      </c>
      <c r="D4647" t="str">
        <f>"9781107306264"</f>
        <v>9781107306264</v>
      </c>
      <c r="E4647" t="s">
        <v>167</v>
      </c>
      <c r="F4647" t="s">
        <v>167</v>
      </c>
      <c r="G4647" t="s">
        <v>22179</v>
      </c>
      <c r="H4647" t="s">
        <v>26004</v>
      </c>
      <c r="I4647" s="26">
        <v>41295</v>
      </c>
      <c r="J4647">
        <v>2013</v>
      </c>
      <c r="K4647" t="s">
        <v>167</v>
      </c>
      <c r="L4647">
        <v>698</v>
      </c>
      <c r="M4647" t="s">
        <v>42364</v>
      </c>
      <c r="N4647">
        <v>1</v>
      </c>
      <c r="Q4647" t="s">
        <v>42365</v>
      </c>
      <c r="R4647">
        <v>612.79999999999995</v>
      </c>
      <c r="S4647" t="s">
        <v>42366</v>
      </c>
      <c r="T4647" t="s">
        <v>30</v>
      </c>
      <c r="U4647" t="s">
        <v>26141</v>
      </c>
      <c r="W4647" t="s">
        <v>26020</v>
      </c>
    </row>
    <row r="4648" spans="1:23" x14ac:dyDescent="0.35">
      <c r="A4648">
        <v>1113054</v>
      </c>
      <c r="B4648" t="s">
        <v>42367</v>
      </c>
      <c r="C4648" t="str">
        <f>"9781107011007"</f>
        <v>9781107011007</v>
      </c>
      <c r="D4648" t="str">
        <f>"9781107306400"</f>
        <v>9781107306400</v>
      </c>
      <c r="E4648" t="s">
        <v>167</v>
      </c>
      <c r="F4648" t="s">
        <v>167</v>
      </c>
      <c r="G4648" t="s">
        <v>22179</v>
      </c>
      <c r="H4648" t="s">
        <v>26004</v>
      </c>
      <c r="I4648" s="26">
        <v>41326</v>
      </c>
      <c r="J4648">
        <v>2013</v>
      </c>
      <c r="K4648" t="s">
        <v>167</v>
      </c>
      <c r="L4648">
        <v>230</v>
      </c>
      <c r="M4648" t="s">
        <v>42368</v>
      </c>
      <c r="N4648">
        <v>1</v>
      </c>
      <c r="Q4648" t="s">
        <v>42369</v>
      </c>
      <c r="R4648" t="s">
        <v>42370</v>
      </c>
      <c r="S4648" t="s">
        <v>42371</v>
      </c>
      <c r="T4648" t="s">
        <v>30</v>
      </c>
      <c r="U4648" t="s">
        <v>46</v>
      </c>
      <c r="W4648" t="s">
        <v>26020</v>
      </c>
    </row>
    <row r="4649" spans="1:23" x14ac:dyDescent="0.35">
      <c r="A4649">
        <v>1113059</v>
      </c>
      <c r="B4649" t="s">
        <v>7649</v>
      </c>
      <c r="C4649" t="str">
        <f>"9781107015579"</f>
        <v>9781107015579</v>
      </c>
      <c r="D4649" t="str">
        <f>"9781107306455"</f>
        <v>9781107306455</v>
      </c>
      <c r="E4649" t="s">
        <v>167</v>
      </c>
      <c r="F4649" t="s">
        <v>167</v>
      </c>
      <c r="G4649" t="s">
        <v>22179</v>
      </c>
      <c r="H4649" t="s">
        <v>26004</v>
      </c>
      <c r="I4649" s="26">
        <v>41333</v>
      </c>
      <c r="J4649">
        <v>2013</v>
      </c>
      <c r="K4649" t="s">
        <v>167</v>
      </c>
      <c r="L4649">
        <v>464</v>
      </c>
      <c r="M4649" t="s">
        <v>42372</v>
      </c>
      <c r="N4649">
        <v>2</v>
      </c>
      <c r="Q4649" t="s">
        <v>42373</v>
      </c>
      <c r="R4649">
        <v>616.80999999999995</v>
      </c>
      <c r="S4649" t="s">
        <v>42374</v>
      </c>
      <c r="T4649" t="s">
        <v>30</v>
      </c>
      <c r="U4649" t="s">
        <v>26040</v>
      </c>
      <c r="W4649" t="s">
        <v>26020</v>
      </c>
    </row>
    <row r="4650" spans="1:23" x14ac:dyDescent="0.35">
      <c r="A4650">
        <v>1113063</v>
      </c>
      <c r="B4650" t="s">
        <v>42375</v>
      </c>
      <c r="C4650" t="str">
        <f>"9781107019331"</f>
        <v>9781107019331</v>
      </c>
      <c r="D4650" t="str">
        <f>"9781107306493"</f>
        <v>9781107306493</v>
      </c>
      <c r="E4650" t="s">
        <v>167</v>
      </c>
      <c r="F4650" t="s">
        <v>167</v>
      </c>
      <c r="G4650" t="s">
        <v>22179</v>
      </c>
      <c r="H4650" t="s">
        <v>26004</v>
      </c>
      <c r="I4650" s="26">
        <v>41312</v>
      </c>
      <c r="J4650">
        <v>2013</v>
      </c>
      <c r="K4650" t="s">
        <v>167</v>
      </c>
      <c r="L4650">
        <v>336</v>
      </c>
      <c r="M4650" t="s">
        <v>42376</v>
      </c>
      <c r="N4650">
        <v>1</v>
      </c>
      <c r="Q4650" t="s">
        <v>42377</v>
      </c>
      <c r="R4650">
        <v>130</v>
      </c>
      <c r="S4650" t="s">
        <v>8378</v>
      </c>
      <c r="T4650" t="s">
        <v>30</v>
      </c>
      <c r="U4650" t="s">
        <v>26520</v>
      </c>
      <c r="W4650" t="s">
        <v>26020</v>
      </c>
    </row>
    <row r="4651" spans="1:23" x14ac:dyDescent="0.35">
      <c r="A4651">
        <v>1113113</v>
      </c>
      <c r="B4651" t="s">
        <v>8717</v>
      </c>
      <c r="C4651" t="str">
        <f>"9781107034402"</f>
        <v>9781107034402</v>
      </c>
      <c r="D4651" t="str">
        <f>"9781107306998"</f>
        <v>9781107306998</v>
      </c>
      <c r="E4651" t="s">
        <v>167</v>
      </c>
      <c r="F4651" t="s">
        <v>167</v>
      </c>
      <c r="G4651" t="s">
        <v>22179</v>
      </c>
      <c r="H4651" t="s">
        <v>26004</v>
      </c>
      <c r="I4651" s="26">
        <v>41302</v>
      </c>
      <c r="J4651">
        <v>2013</v>
      </c>
      <c r="K4651" t="s">
        <v>167</v>
      </c>
      <c r="L4651">
        <v>252</v>
      </c>
      <c r="M4651" t="s">
        <v>42378</v>
      </c>
      <c r="N4651">
        <v>1</v>
      </c>
      <c r="Q4651" t="s">
        <v>42379</v>
      </c>
      <c r="R4651">
        <v>808.02018999999996</v>
      </c>
      <c r="S4651" t="s">
        <v>42380</v>
      </c>
      <c r="T4651" t="s">
        <v>30</v>
      </c>
      <c r="U4651" t="s">
        <v>366</v>
      </c>
      <c r="W4651" t="s">
        <v>26020</v>
      </c>
    </row>
    <row r="4652" spans="1:23" x14ac:dyDescent="0.35">
      <c r="A4652">
        <v>1113183</v>
      </c>
      <c r="B4652" t="s">
        <v>42381</v>
      </c>
      <c r="C4652" t="str">
        <f>"9780199948086"</f>
        <v>9780199948086</v>
      </c>
      <c r="D4652" t="str">
        <f>"9780199948093"</f>
        <v>9780199948093</v>
      </c>
      <c r="E4652" t="s">
        <v>371</v>
      </c>
      <c r="F4652" t="s">
        <v>31</v>
      </c>
      <c r="G4652" t="s">
        <v>22703</v>
      </c>
      <c r="H4652" t="s">
        <v>26004</v>
      </c>
      <c r="I4652" s="26">
        <v>41334</v>
      </c>
      <c r="J4652">
        <v>2013</v>
      </c>
      <c r="K4652" t="s">
        <v>31</v>
      </c>
      <c r="L4652">
        <v>269</v>
      </c>
      <c r="M4652" t="s">
        <v>28408</v>
      </c>
      <c r="Q4652" t="s">
        <v>42382</v>
      </c>
      <c r="R4652" t="s">
        <v>28830</v>
      </c>
      <c r="S4652" t="s">
        <v>42383</v>
      </c>
      <c r="T4652" t="s">
        <v>30</v>
      </c>
      <c r="U4652" t="s">
        <v>26116</v>
      </c>
      <c r="W4652" t="s">
        <v>26009</v>
      </c>
    </row>
    <row r="4653" spans="1:23" x14ac:dyDescent="0.35">
      <c r="A4653">
        <v>1113485</v>
      </c>
      <c r="B4653" t="s">
        <v>42384</v>
      </c>
      <c r="C4653" t="str">
        <f>"9781780490687"</f>
        <v>9781780490687</v>
      </c>
      <c r="D4653" t="str">
        <f>"9781782410492"</f>
        <v>9781782410492</v>
      </c>
      <c r="E4653" t="s">
        <v>26010</v>
      </c>
      <c r="F4653" t="s">
        <v>35</v>
      </c>
      <c r="G4653" t="s">
        <v>22174</v>
      </c>
      <c r="H4653" t="s">
        <v>26011</v>
      </c>
      <c r="I4653" s="26">
        <v>41275</v>
      </c>
      <c r="J4653">
        <v>2013</v>
      </c>
      <c r="K4653" t="s">
        <v>26012</v>
      </c>
      <c r="L4653">
        <v>312</v>
      </c>
      <c r="M4653" t="s">
        <v>36788</v>
      </c>
      <c r="N4653">
        <v>1</v>
      </c>
      <c r="Q4653" t="s">
        <v>42385</v>
      </c>
      <c r="R4653">
        <v>616.89170000000001</v>
      </c>
      <c r="S4653" t="s">
        <v>38419</v>
      </c>
      <c r="T4653" t="s">
        <v>30</v>
      </c>
      <c r="U4653" t="s">
        <v>26116</v>
      </c>
      <c r="W4653" t="s">
        <v>26009</v>
      </c>
    </row>
    <row r="4654" spans="1:23" x14ac:dyDescent="0.35">
      <c r="A4654">
        <v>1113486</v>
      </c>
      <c r="B4654" t="s">
        <v>42386</v>
      </c>
      <c r="C4654" t="str">
        <f>"9781855758124"</f>
        <v>9781855758124</v>
      </c>
      <c r="D4654" t="str">
        <f>"9781782410638"</f>
        <v>9781782410638</v>
      </c>
      <c r="E4654" t="s">
        <v>26010</v>
      </c>
      <c r="F4654" t="s">
        <v>35</v>
      </c>
      <c r="G4654" t="s">
        <v>22174</v>
      </c>
      <c r="H4654" t="s">
        <v>26011</v>
      </c>
      <c r="I4654" s="26">
        <v>41275</v>
      </c>
      <c r="J4654">
        <v>2013</v>
      </c>
      <c r="K4654" t="s">
        <v>26012</v>
      </c>
      <c r="L4654">
        <v>264</v>
      </c>
      <c r="M4654" t="s">
        <v>42387</v>
      </c>
      <c r="N4654">
        <v>1</v>
      </c>
      <c r="Q4654" t="s">
        <v>42388</v>
      </c>
      <c r="R4654">
        <v>618.92891699999996</v>
      </c>
      <c r="S4654" t="s">
        <v>42389</v>
      </c>
      <c r="T4654" t="s">
        <v>30</v>
      </c>
      <c r="U4654" t="s">
        <v>26040</v>
      </c>
      <c r="W4654" t="s">
        <v>26009</v>
      </c>
    </row>
    <row r="4655" spans="1:23" x14ac:dyDescent="0.35">
      <c r="A4655">
        <v>1114113</v>
      </c>
      <c r="B4655" t="s">
        <v>42390</v>
      </c>
      <c r="C4655" t="str">
        <f>"9781443833608"</f>
        <v>9781443833608</v>
      </c>
      <c r="D4655" t="str">
        <f>"9781443834087"</f>
        <v>9781443834087</v>
      </c>
      <c r="E4655" t="s">
        <v>7812</v>
      </c>
      <c r="F4655" t="s">
        <v>7812</v>
      </c>
      <c r="G4655" t="s">
        <v>41984</v>
      </c>
      <c r="H4655" t="s">
        <v>26011</v>
      </c>
      <c r="I4655" s="26">
        <v>40862</v>
      </c>
      <c r="J4655">
        <v>2011</v>
      </c>
      <c r="K4655" t="s">
        <v>7812</v>
      </c>
      <c r="L4655">
        <v>496</v>
      </c>
      <c r="M4655" t="s">
        <v>42391</v>
      </c>
      <c r="N4655">
        <v>1</v>
      </c>
      <c r="Q4655" t="s">
        <v>42392</v>
      </c>
      <c r="R4655">
        <v>305.23086000000001</v>
      </c>
      <c r="S4655" t="s">
        <v>42393</v>
      </c>
      <c r="T4655" t="s">
        <v>30</v>
      </c>
      <c r="U4655" t="s">
        <v>26044</v>
      </c>
      <c r="W4655" t="s">
        <v>26009</v>
      </c>
    </row>
    <row r="4656" spans="1:23" x14ac:dyDescent="0.35">
      <c r="A4656">
        <v>1114123</v>
      </c>
      <c r="B4656" t="s">
        <v>42394</v>
      </c>
      <c r="C4656" t="str">
        <f>"9781443802130"</f>
        <v>9781443802130</v>
      </c>
      <c r="D4656" t="str">
        <f>"9781443804752"</f>
        <v>9781443804752</v>
      </c>
      <c r="E4656" t="s">
        <v>7812</v>
      </c>
      <c r="F4656" t="s">
        <v>7812</v>
      </c>
      <c r="G4656" t="s">
        <v>41984</v>
      </c>
      <c r="H4656" t="s">
        <v>26011</v>
      </c>
      <c r="I4656" s="26">
        <v>39855</v>
      </c>
      <c r="J4656">
        <v>2009</v>
      </c>
      <c r="K4656" t="s">
        <v>7812</v>
      </c>
      <c r="L4656">
        <v>449</v>
      </c>
      <c r="M4656" t="s">
        <v>42395</v>
      </c>
      <c r="N4656">
        <v>1</v>
      </c>
      <c r="Q4656" t="s">
        <v>42396</v>
      </c>
      <c r="R4656">
        <v>150</v>
      </c>
      <c r="S4656" t="s">
        <v>42397</v>
      </c>
      <c r="T4656" t="s">
        <v>30</v>
      </c>
      <c r="U4656" t="s">
        <v>46</v>
      </c>
      <c r="W4656" t="s">
        <v>26009</v>
      </c>
    </row>
    <row r="4657" spans="1:23" x14ac:dyDescent="0.35">
      <c r="A4657">
        <v>1114256</v>
      </c>
      <c r="B4657" t="s">
        <v>42398</v>
      </c>
      <c r="C4657" t="str">
        <f>"9781443832786"</f>
        <v>9781443832786</v>
      </c>
      <c r="D4657" t="str">
        <f>"9781443806886"</f>
        <v>9781443806886</v>
      </c>
      <c r="E4657" t="s">
        <v>7812</v>
      </c>
      <c r="F4657" t="s">
        <v>7812</v>
      </c>
      <c r="G4657" t="s">
        <v>41984</v>
      </c>
      <c r="H4657" t="s">
        <v>26011</v>
      </c>
      <c r="I4657" s="26">
        <v>40745</v>
      </c>
      <c r="J4657">
        <v>2009</v>
      </c>
      <c r="K4657" t="s">
        <v>7812</v>
      </c>
      <c r="L4657">
        <v>150</v>
      </c>
      <c r="M4657" t="s">
        <v>42399</v>
      </c>
      <c r="N4657">
        <v>1</v>
      </c>
      <c r="Q4657" t="s">
        <v>42400</v>
      </c>
      <c r="R4657">
        <v>158.1</v>
      </c>
      <c r="S4657" t="s">
        <v>42401</v>
      </c>
      <c r="T4657" t="s">
        <v>30</v>
      </c>
      <c r="U4657" t="s">
        <v>46</v>
      </c>
      <c r="W4657" t="s">
        <v>26009</v>
      </c>
    </row>
    <row r="4658" spans="1:23" x14ac:dyDescent="0.35">
      <c r="A4658">
        <v>1114346</v>
      </c>
      <c r="B4658" t="s">
        <v>42402</v>
      </c>
      <c r="C4658" t="str">
        <f>"9781847185969"</f>
        <v>9781847185969</v>
      </c>
      <c r="D4658" t="str">
        <f>"9781443807852"</f>
        <v>9781443807852</v>
      </c>
      <c r="E4658" t="s">
        <v>7812</v>
      </c>
      <c r="F4658" t="s">
        <v>7812</v>
      </c>
      <c r="G4658" t="s">
        <v>41984</v>
      </c>
      <c r="H4658" t="s">
        <v>26011</v>
      </c>
      <c r="I4658" s="26">
        <v>39721</v>
      </c>
      <c r="J4658">
        <v>2009</v>
      </c>
      <c r="K4658" t="s">
        <v>7812</v>
      </c>
      <c r="L4658">
        <v>118</v>
      </c>
      <c r="M4658" t="s">
        <v>42403</v>
      </c>
      <c r="N4658">
        <v>1</v>
      </c>
      <c r="Q4658" t="s">
        <v>42404</v>
      </c>
      <c r="R4658">
        <v>362.2801</v>
      </c>
      <c r="S4658" t="s">
        <v>42405</v>
      </c>
      <c r="T4658" t="s">
        <v>30</v>
      </c>
      <c r="U4658" t="s">
        <v>26250</v>
      </c>
      <c r="W4658" t="s">
        <v>26009</v>
      </c>
    </row>
    <row r="4659" spans="1:23" x14ac:dyDescent="0.35">
      <c r="A4659">
        <v>1114378</v>
      </c>
      <c r="B4659" t="s">
        <v>42406</v>
      </c>
      <c r="C4659" t="str">
        <f>"9781847181152"</f>
        <v>9781847181152</v>
      </c>
      <c r="D4659" t="str">
        <f>"9781443807715"</f>
        <v>9781443807715</v>
      </c>
      <c r="E4659" t="s">
        <v>7812</v>
      </c>
      <c r="F4659" t="s">
        <v>7812</v>
      </c>
      <c r="G4659" t="s">
        <v>41984</v>
      </c>
      <c r="H4659" t="s">
        <v>26011</v>
      </c>
      <c r="I4659" s="26">
        <v>39141</v>
      </c>
      <c r="J4659">
        <v>2009</v>
      </c>
      <c r="K4659" t="s">
        <v>7812</v>
      </c>
      <c r="L4659">
        <v>222</v>
      </c>
      <c r="M4659" t="s">
        <v>33599</v>
      </c>
      <c r="N4659">
        <v>1</v>
      </c>
      <c r="Q4659" t="s">
        <v>42407</v>
      </c>
      <c r="R4659" t="s">
        <v>42408</v>
      </c>
      <c r="S4659" t="s">
        <v>9458</v>
      </c>
      <c r="T4659" t="s">
        <v>30</v>
      </c>
      <c r="U4659" t="s">
        <v>46</v>
      </c>
      <c r="W4659" t="s">
        <v>26009</v>
      </c>
    </row>
    <row r="4660" spans="1:23" x14ac:dyDescent="0.35">
      <c r="A4660">
        <v>1114407</v>
      </c>
      <c r="B4660" t="s">
        <v>42409</v>
      </c>
      <c r="C4660" t="str">
        <f>"9781443802093"</f>
        <v>9781443802093</v>
      </c>
      <c r="D4660" t="str">
        <f>"9781443803083"</f>
        <v>9781443803083</v>
      </c>
      <c r="E4660" t="s">
        <v>7812</v>
      </c>
      <c r="F4660" t="s">
        <v>7812</v>
      </c>
      <c r="G4660" t="s">
        <v>41984</v>
      </c>
      <c r="H4660" t="s">
        <v>26011</v>
      </c>
      <c r="I4660" s="26">
        <v>39974</v>
      </c>
      <c r="J4660">
        <v>2008</v>
      </c>
      <c r="K4660" t="s">
        <v>7812</v>
      </c>
      <c r="L4660">
        <v>486</v>
      </c>
      <c r="M4660" t="s">
        <v>42410</v>
      </c>
      <c r="N4660">
        <v>1</v>
      </c>
      <c r="Q4660" t="s">
        <v>42411</v>
      </c>
      <c r="R4660" t="s">
        <v>42412</v>
      </c>
      <c r="S4660" t="s">
        <v>8377</v>
      </c>
      <c r="T4660" t="s">
        <v>30</v>
      </c>
      <c r="U4660" t="s">
        <v>26019</v>
      </c>
      <c r="W4660" t="s">
        <v>26009</v>
      </c>
    </row>
    <row r="4661" spans="1:23" x14ac:dyDescent="0.35">
      <c r="A4661">
        <v>1114653</v>
      </c>
      <c r="B4661" t="s">
        <v>42413</v>
      </c>
      <c r="C4661" t="str">
        <f>"9780415497039"</f>
        <v>9780415497039</v>
      </c>
      <c r="D4661" t="str">
        <f>"9781135107406"</f>
        <v>9781135107406</v>
      </c>
      <c r="E4661" t="s">
        <v>26010</v>
      </c>
      <c r="F4661" t="s">
        <v>35</v>
      </c>
      <c r="G4661" t="s">
        <v>22174</v>
      </c>
      <c r="H4661" t="s">
        <v>26011</v>
      </c>
      <c r="I4661" s="26">
        <v>41304</v>
      </c>
      <c r="J4661">
        <v>2013</v>
      </c>
      <c r="K4661" t="s">
        <v>26012</v>
      </c>
      <c r="L4661">
        <v>449</v>
      </c>
      <c r="M4661" t="s">
        <v>42414</v>
      </c>
      <c r="N4661">
        <v>2</v>
      </c>
      <c r="Q4661" t="s">
        <v>42415</v>
      </c>
      <c r="R4661">
        <v>364.3</v>
      </c>
      <c r="S4661" t="s">
        <v>7885</v>
      </c>
      <c r="T4661" t="s">
        <v>30</v>
      </c>
      <c r="U4661" t="s">
        <v>26044</v>
      </c>
      <c r="W4661" t="s">
        <v>26009</v>
      </c>
    </row>
    <row r="4662" spans="1:23" x14ac:dyDescent="0.35">
      <c r="A4662">
        <v>1114654</v>
      </c>
      <c r="B4662" t="s">
        <v>42416</v>
      </c>
      <c r="C4662" t="str">
        <f>"9780415800426"</f>
        <v>9780415800426</v>
      </c>
      <c r="D4662" t="str">
        <f>"9781135119454"</f>
        <v>9781135119454</v>
      </c>
      <c r="E4662" t="s">
        <v>26010</v>
      </c>
      <c r="F4662" t="s">
        <v>35</v>
      </c>
      <c r="G4662" t="s">
        <v>22174</v>
      </c>
      <c r="H4662" t="s">
        <v>26011</v>
      </c>
      <c r="I4662" s="26">
        <v>41253</v>
      </c>
      <c r="J4662">
        <v>2013</v>
      </c>
      <c r="K4662" t="s">
        <v>26012</v>
      </c>
      <c r="L4662">
        <v>345</v>
      </c>
      <c r="M4662" t="s">
        <v>42417</v>
      </c>
      <c r="N4662">
        <v>1</v>
      </c>
      <c r="O4662" t="s">
        <v>27554</v>
      </c>
      <c r="Q4662" t="s">
        <v>42418</v>
      </c>
      <c r="R4662">
        <v>616.89075000000003</v>
      </c>
      <c r="S4662" t="s">
        <v>9386</v>
      </c>
      <c r="T4662" t="s">
        <v>30</v>
      </c>
      <c r="U4662" t="s">
        <v>26019</v>
      </c>
      <c r="W4662" t="s">
        <v>26009</v>
      </c>
    </row>
    <row r="4663" spans="1:23" x14ac:dyDescent="0.35">
      <c r="A4663">
        <v>1114664</v>
      </c>
      <c r="B4663" t="s">
        <v>9315</v>
      </c>
      <c r="C4663" t="str">
        <f>"9780415682695"</f>
        <v>9780415682695</v>
      </c>
      <c r="D4663" t="str">
        <f>"9781135105587"</f>
        <v>9781135105587</v>
      </c>
      <c r="E4663" t="s">
        <v>26010</v>
      </c>
      <c r="F4663" t="s">
        <v>35</v>
      </c>
      <c r="G4663" t="s">
        <v>22174</v>
      </c>
      <c r="H4663" t="s">
        <v>26011</v>
      </c>
      <c r="I4663" s="26">
        <v>41313</v>
      </c>
      <c r="J4663">
        <v>2013</v>
      </c>
      <c r="K4663" t="s">
        <v>26012</v>
      </c>
      <c r="L4663">
        <v>225</v>
      </c>
      <c r="M4663" t="s">
        <v>42419</v>
      </c>
      <c r="N4663">
        <v>1</v>
      </c>
      <c r="Q4663" t="s">
        <v>42420</v>
      </c>
      <c r="R4663">
        <v>362.2</v>
      </c>
      <c r="S4663" t="s">
        <v>42421</v>
      </c>
      <c r="T4663" t="s">
        <v>30</v>
      </c>
      <c r="U4663" t="s">
        <v>26250</v>
      </c>
      <c r="W4663" t="s">
        <v>26009</v>
      </c>
    </row>
    <row r="4664" spans="1:23" x14ac:dyDescent="0.35">
      <c r="A4664">
        <v>1114684</v>
      </c>
      <c r="B4664" t="s">
        <v>42422</v>
      </c>
      <c r="C4664" t="str">
        <f>"9780415590112"</f>
        <v>9780415590112</v>
      </c>
      <c r="D4664" t="str">
        <f>"9781136171123"</f>
        <v>9781136171123</v>
      </c>
      <c r="E4664" t="s">
        <v>26010</v>
      </c>
      <c r="F4664" t="s">
        <v>35</v>
      </c>
      <c r="G4664" t="s">
        <v>22174</v>
      </c>
      <c r="H4664" t="s">
        <v>26011</v>
      </c>
      <c r="I4664" s="26">
        <v>41304</v>
      </c>
      <c r="J4664">
        <v>2013</v>
      </c>
      <c r="K4664" t="s">
        <v>26012</v>
      </c>
      <c r="L4664">
        <v>265</v>
      </c>
      <c r="M4664" t="s">
        <v>42423</v>
      </c>
      <c r="N4664">
        <v>3</v>
      </c>
      <c r="Q4664" t="s">
        <v>42424</v>
      </c>
      <c r="R4664" t="s">
        <v>26759</v>
      </c>
      <c r="S4664" t="s">
        <v>42425</v>
      </c>
      <c r="T4664" t="s">
        <v>30</v>
      </c>
      <c r="U4664" t="s">
        <v>46</v>
      </c>
      <c r="W4664" t="s">
        <v>26009</v>
      </c>
    </row>
    <row r="4665" spans="1:23" x14ac:dyDescent="0.35">
      <c r="A4665">
        <v>1114734</v>
      </c>
      <c r="B4665" t="s">
        <v>9758</v>
      </c>
      <c r="C4665" t="str">
        <f>"9780415669603"</f>
        <v>9780415669603</v>
      </c>
      <c r="D4665" t="str">
        <f>"9781136477942"</f>
        <v>9781136477942</v>
      </c>
      <c r="E4665" t="s">
        <v>26010</v>
      </c>
      <c r="F4665" t="s">
        <v>35</v>
      </c>
      <c r="G4665" t="s">
        <v>22174</v>
      </c>
      <c r="H4665" t="s">
        <v>26011</v>
      </c>
      <c r="I4665" s="26">
        <v>41358</v>
      </c>
      <c r="J4665">
        <v>2013</v>
      </c>
      <c r="K4665" t="s">
        <v>26012</v>
      </c>
      <c r="L4665">
        <v>426</v>
      </c>
      <c r="M4665" t="s">
        <v>42426</v>
      </c>
      <c r="N4665">
        <v>1</v>
      </c>
      <c r="O4665" t="s">
        <v>35866</v>
      </c>
      <c r="Q4665" t="s">
        <v>42427</v>
      </c>
      <c r="R4665" t="s">
        <v>42428</v>
      </c>
      <c r="S4665" t="s">
        <v>42429</v>
      </c>
      <c r="T4665" t="s">
        <v>30</v>
      </c>
      <c r="U4665" t="s">
        <v>46</v>
      </c>
      <c r="W4665" t="s">
        <v>26159</v>
      </c>
    </row>
    <row r="4666" spans="1:23" x14ac:dyDescent="0.35">
      <c r="A4666">
        <v>1115311</v>
      </c>
      <c r="B4666" t="s">
        <v>42430</v>
      </c>
      <c r="C4666" t="str">
        <f>"9780313398643"</f>
        <v>9780313398643</v>
      </c>
      <c r="D4666" t="str">
        <f>"9798216151548"</f>
        <v>9798216151548</v>
      </c>
      <c r="E4666" t="s">
        <v>28336</v>
      </c>
      <c r="F4666" t="s">
        <v>28340</v>
      </c>
      <c r="G4666" t="s">
        <v>22179</v>
      </c>
      <c r="H4666" t="s">
        <v>26004</v>
      </c>
      <c r="I4666" s="26">
        <v>41283</v>
      </c>
      <c r="J4666">
        <v>2013</v>
      </c>
      <c r="K4666" t="s">
        <v>28341</v>
      </c>
      <c r="L4666">
        <v>361</v>
      </c>
      <c r="M4666" t="s">
        <v>42431</v>
      </c>
      <c r="N4666">
        <v>1</v>
      </c>
      <c r="O4666" t="s">
        <v>42432</v>
      </c>
      <c r="Q4666" t="s">
        <v>42433</v>
      </c>
      <c r="R4666" t="s">
        <v>42434</v>
      </c>
      <c r="S4666" t="s">
        <v>42435</v>
      </c>
      <c r="T4666" t="s">
        <v>30</v>
      </c>
      <c r="U4666" t="s">
        <v>38552</v>
      </c>
      <c r="W4666" t="s">
        <v>28347</v>
      </c>
    </row>
    <row r="4667" spans="1:23" x14ac:dyDescent="0.35">
      <c r="A4667">
        <v>1117158</v>
      </c>
      <c r="B4667" t="s">
        <v>8170</v>
      </c>
      <c r="C4667" t="str">
        <f>"9780765709097"</f>
        <v>9780765709097</v>
      </c>
      <c r="D4667" t="str">
        <f>"9780765709103"</f>
        <v>9780765709103</v>
      </c>
      <c r="E4667" t="s">
        <v>33803</v>
      </c>
      <c r="F4667" t="s">
        <v>38</v>
      </c>
      <c r="G4667" t="s">
        <v>34138</v>
      </c>
      <c r="H4667" t="s">
        <v>26004</v>
      </c>
      <c r="I4667" s="26">
        <v>41256</v>
      </c>
      <c r="J4667">
        <v>2012</v>
      </c>
      <c r="K4667" t="s">
        <v>33811</v>
      </c>
      <c r="L4667">
        <v>181</v>
      </c>
      <c r="M4667" t="s">
        <v>26879</v>
      </c>
      <c r="N4667">
        <v>1</v>
      </c>
      <c r="Q4667" t="s">
        <v>42436</v>
      </c>
      <c r="R4667">
        <v>616.89140811000004</v>
      </c>
      <c r="S4667" t="s">
        <v>8171</v>
      </c>
      <c r="T4667" t="s">
        <v>30</v>
      </c>
      <c r="U4667" t="s">
        <v>26019</v>
      </c>
      <c r="W4667" t="s">
        <v>26009</v>
      </c>
    </row>
    <row r="4668" spans="1:23" x14ac:dyDescent="0.35">
      <c r="A4668">
        <v>1117183</v>
      </c>
      <c r="B4668" t="s">
        <v>42437</v>
      </c>
      <c r="C4668" t="str">
        <f>"9780765710079"</f>
        <v>9780765710079</v>
      </c>
      <c r="D4668" t="str">
        <f>"9780765708410"</f>
        <v>9780765708410</v>
      </c>
      <c r="E4668" t="s">
        <v>33803</v>
      </c>
      <c r="F4668" t="s">
        <v>38</v>
      </c>
      <c r="G4668" t="s">
        <v>34138</v>
      </c>
      <c r="H4668" t="s">
        <v>26004</v>
      </c>
      <c r="I4668" s="26">
        <v>40766</v>
      </c>
      <c r="J4668">
        <v>2011</v>
      </c>
      <c r="K4668" t="s">
        <v>33811</v>
      </c>
      <c r="L4668">
        <v>277</v>
      </c>
      <c r="M4668" t="s">
        <v>42438</v>
      </c>
      <c r="N4668">
        <v>5</v>
      </c>
      <c r="Q4668" t="s">
        <v>42439</v>
      </c>
      <c r="R4668" t="s">
        <v>27184</v>
      </c>
      <c r="S4668" t="s">
        <v>9965</v>
      </c>
      <c r="T4668" t="s">
        <v>30</v>
      </c>
      <c r="U4668" t="s">
        <v>26116</v>
      </c>
      <c r="W4668" t="s">
        <v>26009</v>
      </c>
    </row>
    <row r="4669" spans="1:23" x14ac:dyDescent="0.35">
      <c r="A4669">
        <v>1117248</v>
      </c>
      <c r="B4669" t="s">
        <v>42440</v>
      </c>
      <c r="C4669" t="str">
        <f>"9781609381530"</f>
        <v>9781609381530</v>
      </c>
      <c r="D4669" t="str">
        <f>"9781609381721"</f>
        <v>9781609381721</v>
      </c>
      <c r="E4669" t="s">
        <v>42000</v>
      </c>
      <c r="F4669" t="s">
        <v>9956</v>
      </c>
      <c r="G4669" t="s">
        <v>23222</v>
      </c>
      <c r="H4669" t="s">
        <v>26004</v>
      </c>
      <c r="I4669" s="26">
        <v>41348</v>
      </c>
      <c r="J4669">
        <v>2013</v>
      </c>
      <c r="K4669" t="s">
        <v>9956</v>
      </c>
      <c r="L4669">
        <v>165</v>
      </c>
      <c r="M4669" t="s">
        <v>42441</v>
      </c>
      <c r="N4669">
        <v>1</v>
      </c>
      <c r="O4669" t="s">
        <v>42442</v>
      </c>
      <c r="Q4669" t="s">
        <v>27190</v>
      </c>
      <c r="R4669">
        <v>814.54</v>
      </c>
      <c r="S4669" t="s">
        <v>42443</v>
      </c>
      <c r="T4669" t="s">
        <v>30</v>
      </c>
      <c r="U4669" t="s">
        <v>26158</v>
      </c>
      <c r="W4669" t="s">
        <v>26009</v>
      </c>
    </row>
    <row r="4670" spans="1:23" x14ac:dyDescent="0.35">
      <c r="A4670">
        <v>1118947</v>
      </c>
      <c r="B4670" t="s">
        <v>42444</v>
      </c>
      <c r="C4670" t="str">
        <f>"9780826348982"</f>
        <v>9780826348982</v>
      </c>
      <c r="D4670" t="str">
        <f>"9780826348999"</f>
        <v>9780826348999</v>
      </c>
      <c r="E4670" t="s">
        <v>42445</v>
      </c>
      <c r="F4670" t="s">
        <v>42445</v>
      </c>
      <c r="G4670" t="s">
        <v>42446</v>
      </c>
      <c r="H4670" t="s">
        <v>26004</v>
      </c>
      <c r="I4670" s="26">
        <v>40679</v>
      </c>
      <c r="J4670">
        <v>2011</v>
      </c>
      <c r="K4670" t="s">
        <v>42445</v>
      </c>
      <c r="L4670">
        <v>306</v>
      </c>
      <c r="M4670" t="s">
        <v>42447</v>
      </c>
      <c r="N4670">
        <v>1</v>
      </c>
      <c r="Q4670" t="s">
        <v>42448</v>
      </c>
      <c r="R4670" t="s">
        <v>42449</v>
      </c>
      <c r="S4670" t="s">
        <v>42450</v>
      </c>
      <c r="T4670" t="s">
        <v>30</v>
      </c>
      <c r="U4670" t="s">
        <v>26250</v>
      </c>
      <c r="W4670" t="s">
        <v>26009</v>
      </c>
    </row>
    <row r="4671" spans="1:23" x14ac:dyDescent="0.35">
      <c r="A4671">
        <v>1120672</v>
      </c>
      <c r="B4671" t="s">
        <v>8856</v>
      </c>
      <c r="C4671" t="str">
        <f>"9781780491776"</f>
        <v>9781780491776</v>
      </c>
      <c r="D4671" t="str">
        <f>"9781782410645"</f>
        <v>9781782410645</v>
      </c>
      <c r="E4671" t="s">
        <v>26010</v>
      </c>
      <c r="F4671" t="s">
        <v>35</v>
      </c>
      <c r="G4671" t="s">
        <v>22174</v>
      </c>
      <c r="H4671" t="s">
        <v>26011</v>
      </c>
      <c r="I4671" s="26">
        <v>41306</v>
      </c>
      <c r="J4671">
        <v>2013</v>
      </c>
      <c r="K4671" t="s">
        <v>26012</v>
      </c>
      <c r="L4671">
        <v>236</v>
      </c>
      <c r="M4671" t="s">
        <v>42451</v>
      </c>
      <c r="N4671">
        <v>1</v>
      </c>
      <c r="O4671" t="s">
        <v>36539</v>
      </c>
      <c r="Q4671" t="s">
        <v>42452</v>
      </c>
      <c r="R4671">
        <v>616.89152000000001</v>
      </c>
      <c r="S4671" t="s">
        <v>42453</v>
      </c>
      <c r="T4671" t="s">
        <v>30</v>
      </c>
      <c r="U4671" t="s">
        <v>26116</v>
      </c>
      <c r="W4671" t="s">
        <v>26009</v>
      </c>
    </row>
    <row r="4672" spans="1:23" x14ac:dyDescent="0.35">
      <c r="A4672">
        <v>1120673</v>
      </c>
      <c r="B4672" t="s">
        <v>42454</v>
      </c>
      <c r="C4672" t="str">
        <f>"9781780490885"</f>
        <v>9781780490885</v>
      </c>
      <c r="D4672" t="str">
        <f>"9781782410683"</f>
        <v>9781782410683</v>
      </c>
      <c r="E4672" t="s">
        <v>26010</v>
      </c>
      <c r="F4672" t="s">
        <v>35</v>
      </c>
      <c r="G4672" t="s">
        <v>22174</v>
      </c>
      <c r="H4672" t="s">
        <v>26011</v>
      </c>
      <c r="I4672" s="26">
        <v>41306</v>
      </c>
      <c r="J4672">
        <v>2013</v>
      </c>
      <c r="K4672" t="s">
        <v>26012</v>
      </c>
      <c r="L4672">
        <v>158</v>
      </c>
      <c r="M4672" t="s">
        <v>42455</v>
      </c>
      <c r="N4672">
        <v>1</v>
      </c>
      <c r="Q4672" t="s">
        <v>42456</v>
      </c>
      <c r="R4672">
        <v>150.19</v>
      </c>
      <c r="S4672" t="s">
        <v>42457</v>
      </c>
      <c r="T4672" t="s">
        <v>30</v>
      </c>
      <c r="U4672" t="s">
        <v>33989</v>
      </c>
      <c r="W4672" t="s">
        <v>26009</v>
      </c>
    </row>
    <row r="4673" spans="1:23" x14ac:dyDescent="0.35">
      <c r="A4673">
        <v>1120674</v>
      </c>
      <c r="B4673" t="s">
        <v>42458</v>
      </c>
      <c r="C4673" t="str">
        <f>"9781780491097"</f>
        <v>9781780491097</v>
      </c>
      <c r="D4673" t="str">
        <f>"9781782410690"</f>
        <v>9781782410690</v>
      </c>
      <c r="E4673" t="s">
        <v>26010</v>
      </c>
      <c r="F4673" t="s">
        <v>35</v>
      </c>
      <c r="G4673" t="s">
        <v>22174</v>
      </c>
      <c r="H4673" t="s">
        <v>26011</v>
      </c>
      <c r="I4673" s="26">
        <v>41275</v>
      </c>
      <c r="J4673">
        <v>2013</v>
      </c>
      <c r="K4673" t="s">
        <v>26012</v>
      </c>
      <c r="L4673">
        <v>335</v>
      </c>
      <c r="M4673" t="s">
        <v>42459</v>
      </c>
      <c r="N4673">
        <v>1</v>
      </c>
      <c r="Q4673" t="s">
        <v>42460</v>
      </c>
      <c r="R4673">
        <v>616.85822389999998</v>
      </c>
      <c r="S4673" t="s">
        <v>42461</v>
      </c>
      <c r="T4673" t="s">
        <v>30</v>
      </c>
      <c r="U4673" t="s">
        <v>28289</v>
      </c>
      <c r="W4673" t="s">
        <v>26009</v>
      </c>
    </row>
    <row r="4674" spans="1:23" x14ac:dyDescent="0.35">
      <c r="A4674">
        <v>1120675</v>
      </c>
      <c r="B4674" t="s">
        <v>42462</v>
      </c>
      <c r="C4674" t="str">
        <f>"9781780491349"</f>
        <v>9781780491349</v>
      </c>
      <c r="D4674" t="str">
        <f>"9781782410713"</f>
        <v>9781782410713</v>
      </c>
      <c r="E4674" t="s">
        <v>26010</v>
      </c>
      <c r="F4674" t="s">
        <v>35</v>
      </c>
      <c r="G4674" t="s">
        <v>22174</v>
      </c>
      <c r="H4674" t="s">
        <v>26011</v>
      </c>
      <c r="I4674" s="26">
        <v>41306</v>
      </c>
      <c r="J4674">
        <v>2013</v>
      </c>
      <c r="K4674" t="s">
        <v>26012</v>
      </c>
      <c r="L4674">
        <v>197</v>
      </c>
      <c r="M4674" t="s">
        <v>42463</v>
      </c>
      <c r="N4674">
        <v>1</v>
      </c>
      <c r="Q4674" t="s">
        <v>42464</v>
      </c>
      <c r="R4674">
        <v>155.916</v>
      </c>
      <c r="S4674" t="s">
        <v>42465</v>
      </c>
      <c r="T4674" t="s">
        <v>30</v>
      </c>
      <c r="U4674" t="s">
        <v>46</v>
      </c>
      <c r="W4674" t="s">
        <v>26009</v>
      </c>
    </row>
    <row r="4675" spans="1:23" x14ac:dyDescent="0.35">
      <c r="A4675">
        <v>1122627</v>
      </c>
      <c r="B4675" t="s">
        <v>42466</v>
      </c>
      <c r="C4675" t="str">
        <f>"9780803244764"</f>
        <v>9780803244764</v>
      </c>
      <c r="D4675" t="str">
        <f>"9780803245495"</f>
        <v>9780803245495</v>
      </c>
      <c r="E4675" t="s">
        <v>30383</v>
      </c>
      <c r="F4675" t="s">
        <v>9847</v>
      </c>
      <c r="G4675" t="s">
        <v>25437</v>
      </c>
      <c r="H4675" t="s">
        <v>26004</v>
      </c>
      <c r="I4675" s="26">
        <v>41365</v>
      </c>
      <c r="J4675">
        <v>2013</v>
      </c>
      <c r="K4675" t="s">
        <v>6414</v>
      </c>
      <c r="L4675">
        <v>284</v>
      </c>
      <c r="M4675" t="s">
        <v>42467</v>
      </c>
      <c r="N4675">
        <v>1</v>
      </c>
      <c r="Q4675" t="s">
        <v>42468</v>
      </c>
      <c r="R4675">
        <v>150.19499999999999</v>
      </c>
      <c r="S4675" t="s">
        <v>9848</v>
      </c>
      <c r="T4675" t="s">
        <v>30</v>
      </c>
      <c r="U4675" t="s">
        <v>46</v>
      </c>
      <c r="W4675" t="s">
        <v>26009</v>
      </c>
    </row>
    <row r="4676" spans="1:23" x14ac:dyDescent="0.35">
      <c r="A4676">
        <v>1122873</v>
      </c>
      <c r="B4676" t="s">
        <v>42469</v>
      </c>
      <c r="C4676" t="str">
        <f>"9781848729193"</f>
        <v>9781848729193</v>
      </c>
      <c r="D4676" t="str">
        <f>"9781136169137"</f>
        <v>9781136169137</v>
      </c>
      <c r="E4676" t="s">
        <v>26010</v>
      </c>
      <c r="F4676" t="s">
        <v>35</v>
      </c>
      <c r="G4676" t="s">
        <v>22174</v>
      </c>
      <c r="H4676" t="s">
        <v>26011</v>
      </c>
      <c r="I4676" s="26">
        <v>41260</v>
      </c>
      <c r="J4676">
        <v>2013</v>
      </c>
      <c r="K4676" t="s">
        <v>660</v>
      </c>
      <c r="L4676">
        <v>508</v>
      </c>
      <c r="M4676" t="s">
        <v>42470</v>
      </c>
      <c r="N4676">
        <v>1</v>
      </c>
      <c r="Q4676" t="s">
        <v>42471</v>
      </c>
      <c r="R4676">
        <v>155.41825</v>
      </c>
      <c r="S4676" t="s">
        <v>8657</v>
      </c>
      <c r="T4676" t="s">
        <v>30</v>
      </c>
      <c r="U4676" t="s">
        <v>46</v>
      </c>
      <c r="W4676" t="s">
        <v>26009</v>
      </c>
    </row>
    <row r="4677" spans="1:23" x14ac:dyDescent="0.35">
      <c r="A4677">
        <v>1122925</v>
      </c>
      <c r="B4677" t="s">
        <v>9906</v>
      </c>
      <c r="C4677" t="str">
        <f>"9780789025128"</f>
        <v>9780789025128</v>
      </c>
      <c r="D4677" t="str">
        <f>"9781136425202"</f>
        <v>9781136425202</v>
      </c>
      <c r="E4677" t="s">
        <v>26010</v>
      </c>
      <c r="F4677" t="s">
        <v>35</v>
      </c>
      <c r="G4677" t="s">
        <v>24008</v>
      </c>
      <c r="H4677" t="s">
        <v>26011</v>
      </c>
      <c r="I4677" s="26">
        <v>38357</v>
      </c>
      <c r="J4677">
        <v>2005</v>
      </c>
      <c r="K4677" t="s">
        <v>26012</v>
      </c>
      <c r="L4677">
        <v>266</v>
      </c>
      <c r="M4677" t="s">
        <v>42472</v>
      </c>
      <c r="N4677">
        <v>1</v>
      </c>
      <c r="Q4677" t="s">
        <v>42473</v>
      </c>
      <c r="R4677">
        <v>362.10424999999998</v>
      </c>
      <c r="S4677" t="s">
        <v>42474</v>
      </c>
      <c r="T4677" t="s">
        <v>30</v>
      </c>
      <c r="U4677" t="s">
        <v>26094</v>
      </c>
      <c r="W4677" t="s">
        <v>26009</v>
      </c>
    </row>
    <row r="4678" spans="1:23" x14ac:dyDescent="0.35">
      <c r="A4678">
        <v>1123074</v>
      </c>
      <c r="B4678" t="s">
        <v>7511</v>
      </c>
      <c r="C4678" t="str">
        <f>"9780881633511"</f>
        <v>9780881633511</v>
      </c>
      <c r="D4678" t="str">
        <f>"9781134907625"</f>
        <v>9781134907625</v>
      </c>
      <c r="E4678" t="s">
        <v>26010</v>
      </c>
      <c r="F4678" t="s">
        <v>35</v>
      </c>
      <c r="G4678" t="s">
        <v>22174</v>
      </c>
      <c r="H4678" t="s">
        <v>26011</v>
      </c>
      <c r="I4678" s="26">
        <v>37773</v>
      </c>
      <c r="J4678">
        <v>2003</v>
      </c>
      <c r="K4678" t="s">
        <v>26012</v>
      </c>
      <c r="L4678">
        <v>373</v>
      </c>
      <c r="M4678" t="s">
        <v>42475</v>
      </c>
      <c r="N4678">
        <v>1</v>
      </c>
      <c r="Q4678" t="s">
        <v>42476</v>
      </c>
      <c r="R4678">
        <v>616.89170000000001</v>
      </c>
      <c r="S4678" t="s">
        <v>7512</v>
      </c>
      <c r="T4678" t="s">
        <v>30</v>
      </c>
      <c r="U4678" t="s">
        <v>26019</v>
      </c>
      <c r="W4678" t="s">
        <v>26009</v>
      </c>
    </row>
    <row r="4679" spans="1:23" x14ac:dyDescent="0.35">
      <c r="A4679">
        <v>1123101</v>
      </c>
      <c r="B4679" t="s">
        <v>42477</v>
      </c>
      <c r="C4679" t="str">
        <f>"9781583918678"</f>
        <v>9781583918678</v>
      </c>
      <c r="D4679" t="str">
        <f>"9781135446208"</f>
        <v>9781135446208</v>
      </c>
      <c r="E4679" t="s">
        <v>26010</v>
      </c>
      <c r="F4679" t="s">
        <v>35</v>
      </c>
      <c r="G4679" t="s">
        <v>22174</v>
      </c>
      <c r="H4679" t="s">
        <v>26011</v>
      </c>
      <c r="I4679" s="26">
        <v>38572</v>
      </c>
      <c r="J4679">
        <v>2005</v>
      </c>
      <c r="K4679" t="s">
        <v>26012</v>
      </c>
      <c r="L4679">
        <v>255</v>
      </c>
      <c r="M4679" t="s">
        <v>42478</v>
      </c>
      <c r="N4679">
        <v>1</v>
      </c>
      <c r="Q4679" t="s">
        <v>42479</v>
      </c>
      <c r="R4679">
        <v>150.19499999999999</v>
      </c>
      <c r="S4679" t="s">
        <v>8932</v>
      </c>
      <c r="T4679" t="s">
        <v>30</v>
      </c>
      <c r="U4679" t="s">
        <v>46</v>
      </c>
      <c r="W4679" t="s">
        <v>26009</v>
      </c>
    </row>
    <row r="4680" spans="1:23" x14ac:dyDescent="0.35">
      <c r="A4680">
        <v>1123409</v>
      </c>
      <c r="B4680" t="s">
        <v>8779</v>
      </c>
      <c r="C4680" t="str">
        <f>"9781781903490"</f>
        <v>9781781903490</v>
      </c>
      <c r="D4680" t="str">
        <f>"9781781903506"</f>
        <v>9781781903506</v>
      </c>
      <c r="E4680" t="s">
        <v>7442</v>
      </c>
      <c r="F4680" t="s">
        <v>7442</v>
      </c>
      <c r="G4680" t="s">
        <v>23125</v>
      </c>
      <c r="H4680" t="s">
        <v>26011</v>
      </c>
      <c r="I4680" s="26">
        <v>41194</v>
      </c>
      <c r="J4680">
        <v>2012</v>
      </c>
      <c r="K4680" t="s">
        <v>264</v>
      </c>
      <c r="L4680">
        <v>126</v>
      </c>
      <c r="M4680" t="s">
        <v>42480</v>
      </c>
      <c r="N4680">
        <v>1</v>
      </c>
      <c r="O4680" t="s">
        <v>42481</v>
      </c>
      <c r="Q4680" t="s">
        <v>42482</v>
      </c>
      <c r="R4680">
        <v>658.5</v>
      </c>
      <c r="S4680" t="s">
        <v>42483</v>
      </c>
      <c r="T4680" t="s">
        <v>30</v>
      </c>
      <c r="U4680" t="s">
        <v>42484</v>
      </c>
      <c r="W4680" t="s">
        <v>26009</v>
      </c>
    </row>
    <row r="4681" spans="1:23" x14ac:dyDescent="0.35">
      <c r="A4681">
        <v>1123483</v>
      </c>
      <c r="B4681" t="s">
        <v>9225</v>
      </c>
      <c r="C4681" t="str">
        <f>"9780826108173"</f>
        <v>9780826108173</v>
      </c>
      <c r="D4681" t="str">
        <f>"9780826106940"</f>
        <v>9780826106940</v>
      </c>
      <c r="E4681" t="s">
        <v>1504</v>
      </c>
      <c r="F4681" t="s">
        <v>33</v>
      </c>
      <c r="G4681" t="s">
        <v>22179</v>
      </c>
      <c r="H4681" t="s">
        <v>26004</v>
      </c>
      <c r="I4681" s="26">
        <v>41214</v>
      </c>
      <c r="J4681">
        <v>2013</v>
      </c>
      <c r="K4681" t="s">
        <v>33</v>
      </c>
      <c r="L4681">
        <v>489</v>
      </c>
      <c r="M4681" t="s">
        <v>42485</v>
      </c>
      <c r="N4681">
        <v>1</v>
      </c>
      <c r="Q4681" t="s">
        <v>42486</v>
      </c>
      <c r="S4681" t="s">
        <v>42487</v>
      </c>
      <c r="T4681" t="s">
        <v>30</v>
      </c>
      <c r="U4681" t="s">
        <v>26040</v>
      </c>
      <c r="W4681" t="s">
        <v>26009</v>
      </c>
    </row>
    <row r="4682" spans="1:23" x14ac:dyDescent="0.35">
      <c r="A4682">
        <v>1124453</v>
      </c>
      <c r="B4682" t="s">
        <v>42488</v>
      </c>
      <c r="C4682" t="str">
        <f>"9781855757226"</f>
        <v>9781855757226</v>
      </c>
      <c r="D4682" t="str">
        <f>"9780429917462"</f>
        <v>9780429917462</v>
      </c>
      <c r="E4682" t="s">
        <v>26010</v>
      </c>
      <c r="F4682" t="s">
        <v>35</v>
      </c>
      <c r="G4682" t="s">
        <v>22174</v>
      </c>
      <c r="H4682" t="s">
        <v>26011</v>
      </c>
      <c r="I4682" s="26">
        <v>41306</v>
      </c>
      <c r="J4682">
        <v>2013</v>
      </c>
      <c r="K4682" t="s">
        <v>26012</v>
      </c>
      <c r="L4682">
        <v>428</v>
      </c>
      <c r="M4682" t="s">
        <v>42489</v>
      </c>
      <c r="N4682">
        <v>1</v>
      </c>
      <c r="O4682" t="s">
        <v>36552</v>
      </c>
      <c r="Q4682" t="s">
        <v>42490</v>
      </c>
      <c r="R4682">
        <v>617.48104430000001</v>
      </c>
      <c r="S4682" t="s">
        <v>42491</v>
      </c>
      <c r="T4682" t="s">
        <v>30</v>
      </c>
      <c r="U4682" t="s">
        <v>26040</v>
      </c>
      <c r="W4682" t="s">
        <v>26009</v>
      </c>
    </row>
    <row r="4683" spans="1:23" x14ac:dyDescent="0.35">
      <c r="A4683">
        <v>1125163</v>
      </c>
      <c r="B4683" t="s">
        <v>42492</v>
      </c>
      <c r="C4683" t="str">
        <f>"9780415519328"</f>
        <v>9780415519328</v>
      </c>
      <c r="D4683" t="str">
        <f>"9781135085001"</f>
        <v>9781135085001</v>
      </c>
      <c r="E4683" t="s">
        <v>26010</v>
      </c>
      <c r="F4683" t="s">
        <v>35</v>
      </c>
      <c r="G4683" t="s">
        <v>22174</v>
      </c>
      <c r="H4683" t="s">
        <v>26011</v>
      </c>
      <c r="I4683" s="26">
        <v>41312</v>
      </c>
      <c r="J4683">
        <v>2013</v>
      </c>
      <c r="K4683" t="s">
        <v>26012</v>
      </c>
      <c r="L4683">
        <v>169</v>
      </c>
      <c r="M4683" t="s">
        <v>42493</v>
      </c>
      <c r="N4683">
        <v>1</v>
      </c>
      <c r="O4683" t="s">
        <v>42494</v>
      </c>
      <c r="Q4683" t="s">
        <v>42495</v>
      </c>
      <c r="R4683">
        <v>616.89152000000001</v>
      </c>
      <c r="S4683" t="s">
        <v>7961</v>
      </c>
      <c r="T4683" t="s">
        <v>30</v>
      </c>
      <c r="U4683" t="s">
        <v>26019</v>
      </c>
      <c r="W4683" t="s">
        <v>26009</v>
      </c>
    </row>
    <row r="4684" spans="1:23" x14ac:dyDescent="0.35">
      <c r="A4684">
        <v>1125164</v>
      </c>
      <c r="B4684" t="s">
        <v>7878</v>
      </c>
      <c r="C4684" t="str">
        <f>"9780415597456"</f>
        <v>9780415597456</v>
      </c>
      <c r="D4684" t="str">
        <f>"9781135086268"</f>
        <v>9781135086268</v>
      </c>
      <c r="E4684" t="s">
        <v>26010</v>
      </c>
      <c r="F4684" t="s">
        <v>35</v>
      </c>
      <c r="G4684" t="s">
        <v>22174</v>
      </c>
      <c r="H4684" t="s">
        <v>26011</v>
      </c>
      <c r="I4684" s="26">
        <v>41353</v>
      </c>
      <c r="J4684">
        <v>2013</v>
      </c>
      <c r="K4684" t="s">
        <v>26012</v>
      </c>
      <c r="L4684">
        <v>231</v>
      </c>
      <c r="M4684" t="s">
        <v>42496</v>
      </c>
      <c r="N4684">
        <v>1</v>
      </c>
      <c r="O4684" t="s">
        <v>34172</v>
      </c>
      <c r="Q4684" t="s">
        <v>42497</v>
      </c>
      <c r="R4684">
        <v>158.30000000000001</v>
      </c>
      <c r="S4684" t="s">
        <v>7879</v>
      </c>
      <c r="T4684" t="s">
        <v>30</v>
      </c>
      <c r="U4684" t="s">
        <v>46</v>
      </c>
      <c r="W4684" t="s">
        <v>26009</v>
      </c>
    </row>
    <row r="4685" spans="1:23" x14ac:dyDescent="0.35">
      <c r="A4685">
        <v>1125178</v>
      </c>
      <c r="B4685" t="s">
        <v>42498</v>
      </c>
      <c r="C4685" t="str">
        <f>"9780415503808"</f>
        <v>9780415503808</v>
      </c>
      <c r="D4685" t="str">
        <f>"9781135135133"</f>
        <v>9781135135133</v>
      </c>
      <c r="E4685" t="s">
        <v>26010</v>
      </c>
      <c r="F4685" t="s">
        <v>35</v>
      </c>
      <c r="G4685" t="s">
        <v>22174</v>
      </c>
      <c r="H4685" t="s">
        <v>26011</v>
      </c>
      <c r="I4685" s="26">
        <v>41253</v>
      </c>
      <c r="J4685">
        <v>2013</v>
      </c>
      <c r="K4685" t="s">
        <v>26012</v>
      </c>
      <c r="L4685">
        <v>153</v>
      </c>
      <c r="M4685" t="s">
        <v>42499</v>
      </c>
      <c r="N4685">
        <v>1</v>
      </c>
      <c r="Q4685" t="s">
        <v>42500</v>
      </c>
      <c r="R4685">
        <v>306.09730000000002</v>
      </c>
      <c r="S4685" t="s">
        <v>7697</v>
      </c>
      <c r="T4685" t="s">
        <v>30</v>
      </c>
      <c r="U4685" t="s">
        <v>26044</v>
      </c>
      <c r="W4685" t="s">
        <v>26009</v>
      </c>
    </row>
    <row r="4686" spans="1:23" x14ac:dyDescent="0.35">
      <c r="A4686">
        <v>1125185</v>
      </c>
      <c r="B4686" t="s">
        <v>42501</v>
      </c>
      <c r="C4686" t="str">
        <f>"9780415686402"</f>
        <v>9780415686402</v>
      </c>
      <c r="D4686" t="str">
        <f>"9781135125400"</f>
        <v>9781135125400</v>
      </c>
      <c r="E4686" t="s">
        <v>26010</v>
      </c>
      <c r="F4686" t="s">
        <v>35</v>
      </c>
      <c r="G4686" t="s">
        <v>22174</v>
      </c>
      <c r="H4686" t="s">
        <v>26011</v>
      </c>
      <c r="I4686" s="26">
        <v>41091</v>
      </c>
      <c r="J4686">
        <v>2013</v>
      </c>
      <c r="K4686" t="s">
        <v>26012</v>
      </c>
      <c r="L4686">
        <v>381</v>
      </c>
      <c r="M4686" t="s">
        <v>42502</v>
      </c>
      <c r="N4686">
        <v>4</v>
      </c>
      <c r="Q4686" t="s">
        <v>42503</v>
      </c>
      <c r="R4686" t="s">
        <v>42504</v>
      </c>
      <c r="S4686" t="s">
        <v>42505</v>
      </c>
      <c r="T4686" t="s">
        <v>30</v>
      </c>
      <c r="U4686" t="s">
        <v>26116</v>
      </c>
      <c r="W4686" t="s">
        <v>26009</v>
      </c>
    </row>
    <row r="4687" spans="1:23" x14ac:dyDescent="0.35">
      <c r="A4687">
        <v>1125187</v>
      </c>
      <c r="B4687" t="s">
        <v>42506</v>
      </c>
      <c r="C4687" t="str">
        <f>"9780415521079"</f>
        <v>9780415521079</v>
      </c>
      <c r="D4687" t="str">
        <f>"9781135127442"</f>
        <v>9781135127442</v>
      </c>
      <c r="E4687" t="s">
        <v>26010</v>
      </c>
      <c r="F4687" t="s">
        <v>35</v>
      </c>
      <c r="G4687" t="s">
        <v>22174</v>
      </c>
      <c r="H4687" t="s">
        <v>26011</v>
      </c>
      <c r="I4687" s="26">
        <v>41304</v>
      </c>
      <c r="J4687">
        <v>2013</v>
      </c>
      <c r="K4687" t="s">
        <v>26012</v>
      </c>
      <c r="L4687">
        <v>342</v>
      </c>
      <c r="M4687" t="s">
        <v>42507</v>
      </c>
      <c r="N4687">
        <v>2</v>
      </c>
      <c r="Q4687" t="s">
        <v>42508</v>
      </c>
      <c r="R4687">
        <v>305.42081000000002</v>
      </c>
      <c r="S4687" t="s">
        <v>42509</v>
      </c>
      <c r="T4687" t="s">
        <v>30</v>
      </c>
      <c r="U4687" t="s">
        <v>26044</v>
      </c>
      <c r="W4687" t="s">
        <v>26009</v>
      </c>
    </row>
    <row r="4688" spans="1:23" x14ac:dyDescent="0.35">
      <c r="A4688">
        <v>1125210</v>
      </c>
      <c r="B4688" t="s">
        <v>9659</v>
      </c>
      <c r="C4688" t="str">
        <f>"9780415673211"</f>
        <v>9780415673211</v>
      </c>
      <c r="D4688" t="str">
        <f>"9781136157127"</f>
        <v>9781136157127</v>
      </c>
      <c r="E4688" t="s">
        <v>26010</v>
      </c>
      <c r="F4688" t="s">
        <v>35</v>
      </c>
      <c r="G4688" t="s">
        <v>22174</v>
      </c>
      <c r="H4688" t="s">
        <v>26011</v>
      </c>
      <c r="I4688" s="26">
        <v>41282</v>
      </c>
      <c r="J4688">
        <v>2013</v>
      </c>
      <c r="K4688" t="s">
        <v>26012</v>
      </c>
      <c r="L4688">
        <v>193</v>
      </c>
      <c r="M4688" t="s">
        <v>42510</v>
      </c>
      <c r="N4688">
        <v>1</v>
      </c>
      <c r="O4688" t="s">
        <v>26344</v>
      </c>
      <c r="Q4688" t="s">
        <v>42511</v>
      </c>
      <c r="R4688" t="s">
        <v>26422</v>
      </c>
      <c r="S4688" t="s">
        <v>8032</v>
      </c>
      <c r="T4688" t="s">
        <v>30</v>
      </c>
      <c r="U4688" t="s">
        <v>26019</v>
      </c>
      <c r="W4688" t="s">
        <v>26009</v>
      </c>
    </row>
    <row r="4689" spans="1:23" x14ac:dyDescent="0.35">
      <c r="A4689">
        <v>1125245</v>
      </c>
      <c r="B4689" t="s">
        <v>42512</v>
      </c>
      <c r="C4689" t="str">
        <f>"9781841698748"</f>
        <v>9781841698748</v>
      </c>
      <c r="D4689" t="str">
        <f>"9781136177736"</f>
        <v>9781136177736</v>
      </c>
      <c r="E4689" t="s">
        <v>26010</v>
      </c>
      <c r="F4689" t="s">
        <v>35</v>
      </c>
      <c r="G4689" t="s">
        <v>22174</v>
      </c>
      <c r="H4689" t="s">
        <v>26011</v>
      </c>
      <c r="I4689" s="26">
        <v>41296</v>
      </c>
      <c r="J4689">
        <v>2013</v>
      </c>
      <c r="K4689" t="s">
        <v>660</v>
      </c>
      <c r="L4689">
        <v>417</v>
      </c>
      <c r="M4689" t="s">
        <v>42513</v>
      </c>
      <c r="N4689">
        <v>2</v>
      </c>
      <c r="O4689" t="s">
        <v>27822</v>
      </c>
      <c r="Q4689" t="s">
        <v>42514</v>
      </c>
      <c r="R4689">
        <v>302.54000000000002</v>
      </c>
      <c r="S4689" t="s">
        <v>9889</v>
      </c>
      <c r="T4689" t="s">
        <v>30</v>
      </c>
      <c r="U4689" t="s">
        <v>26228</v>
      </c>
      <c r="W4689" t="s">
        <v>26009</v>
      </c>
    </row>
    <row r="4690" spans="1:23" x14ac:dyDescent="0.35">
      <c r="A4690">
        <v>1125251</v>
      </c>
      <c r="B4690" t="s">
        <v>42515</v>
      </c>
      <c r="C4690" t="str">
        <f>"9780415698665"</f>
        <v>9780415698665</v>
      </c>
      <c r="D4690" t="str">
        <f>"9781136157400"</f>
        <v>9781136157400</v>
      </c>
      <c r="E4690" t="s">
        <v>26010</v>
      </c>
      <c r="F4690" t="s">
        <v>35</v>
      </c>
      <c r="G4690" t="s">
        <v>22174</v>
      </c>
      <c r="H4690" t="s">
        <v>26011</v>
      </c>
      <c r="I4690" s="26">
        <v>41241</v>
      </c>
      <c r="J4690">
        <v>2013</v>
      </c>
      <c r="K4690" t="s">
        <v>26012</v>
      </c>
      <c r="L4690">
        <v>150</v>
      </c>
      <c r="M4690" t="s">
        <v>42516</v>
      </c>
      <c r="N4690">
        <v>1</v>
      </c>
      <c r="O4690" t="s">
        <v>38436</v>
      </c>
      <c r="Q4690" t="s">
        <v>42517</v>
      </c>
      <c r="R4690">
        <v>303.69</v>
      </c>
      <c r="S4690" t="s">
        <v>42518</v>
      </c>
      <c r="T4690" t="s">
        <v>30</v>
      </c>
      <c r="U4690" t="s">
        <v>30336</v>
      </c>
      <c r="W4690" t="s">
        <v>26009</v>
      </c>
    </row>
    <row r="4691" spans="1:23" x14ac:dyDescent="0.35">
      <c r="A4691">
        <v>1125279</v>
      </c>
      <c r="B4691" t="s">
        <v>42519</v>
      </c>
      <c r="C4691" t="str">
        <f>"9780415518024"</f>
        <v>9780415518024</v>
      </c>
      <c r="D4691" t="str">
        <f>"9781136340055"</f>
        <v>9781136340055</v>
      </c>
      <c r="E4691" t="s">
        <v>26010</v>
      </c>
      <c r="F4691" t="s">
        <v>35</v>
      </c>
      <c r="G4691" t="s">
        <v>22174</v>
      </c>
      <c r="H4691" t="s">
        <v>26011</v>
      </c>
      <c r="I4691" s="26">
        <v>41249</v>
      </c>
      <c r="J4691">
        <v>2013</v>
      </c>
      <c r="K4691" t="s">
        <v>26012</v>
      </c>
      <c r="L4691">
        <v>291</v>
      </c>
      <c r="M4691" t="s">
        <v>42520</v>
      </c>
      <c r="N4691">
        <v>1</v>
      </c>
      <c r="Q4691" t="s">
        <v>42521</v>
      </c>
      <c r="R4691">
        <v>362.82859999999999</v>
      </c>
      <c r="S4691" t="s">
        <v>10269</v>
      </c>
      <c r="T4691" t="s">
        <v>30</v>
      </c>
      <c r="U4691" t="s">
        <v>26044</v>
      </c>
      <c r="W4691" t="s">
        <v>26009</v>
      </c>
    </row>
    <row r="4692" spans="1:23" x14ac:dyDescent="0.35">
      <c r="A4692">
        <v>1125288</v>
      </c>
      <c r="B4692" t="s">
        <v>42522</v>
      </c>
      <c r="C4692" t="str">
        <f>"9780123983350"</f>
        <v>9780123983350</v>
      </c>
      <c r="D4692" t="str">
        <f>"9780123983602"</f>
        <v>9780123983602</v>
      </c>
      <c r="E4692" t="s">
        <v>27482</v>
      </c>
      <c r="F4692" t="s">
        <v>7447</v>
      </c>
      <c r="G4692" t="s">
        <v>22689</v>
      </c>
      <c r="H4692" t="s">
        <v>26004</v>
      </c>
      <c r="I4692" s="26">
        <v>41379</v>
      </c>
      <c r="J4692">
        <v>2013</v>
      </c>
      <c r="K4692" t="s">
        <v>946</v>
      </c>
      <c r="L4692">
        <v>759</v>
      </c>
      <c r="M4692" t="s">
        <v>42523</v>
      </c>
      <c r="N4692">
        <v>1</v>
      </c>
      <c r="R4692">
        <v>616.86</v>
      </c>
      <c r="S4692" t="s">
        <v>7684</v>
      </c>
      <c r="T4692" t="s">
        <v>30</v>
      </c>
      <c r="U4692" t="s">
        <v>26040</v>
      </c>
      <c r="W4692" t="s">
        <v>26009</v>
      </c>
    </row>
    <row r="4693" spans="1:23" x14ac:dyDescent="0.35">
      <c r="A4693">
        <v>1125289</v>
      </c>
      <c r="B4693" t="s">
        <v>42524</v>
      </c>
      <c r="C4693" t="str">
        <f>"9780123983367"</f>
        <v>9780123983367</v>
      </c>
      <c r="D4693" t="str">
        <f>"9780123983619"</f>
        <v>9780123983619</v>
      </c>
      <c r="E4693" t="s">
        <v>27482</v>
      </c>
      <c r="F4693" t="s">
        <v>7447</v>
      </c>
      <c r="G4693" t="s">
        <v>22689</v>
      </c>
      <c r="H4693" t="s">
        <v>26004</v>
      </c>
      <c r="I4693" s="26">
        <v>41377</v>
      </c>
      <c r="J4693">
        <v>2013</v>
      </c>
      <c r="K4693" t="s">
        <v>946</v>
      </c>
      <c r="L4693">
        <v>959</v>
      </c>
      <c r="M4693" t="s">
        <v>42523</v>
      </c>
      <c r="N4693">
        <v>1</v>
      </c>
      <c r="S4693" t="s">
        <v>7684</v>
      </c>
      <c r="T4693" t="s">
        <v>30</v>
      </c>
      <c r="U4693" t="s">
        <v>46</v>
      </c>
      <c r="W4693" t="s">
        <v>26009</v>
      </c>
    </row>
    <row r="4694" spans="1:23" x14ac:dyDescent="0.35">
      <c r="A4694">
        <v>1125290</v>
      </c>
      <c r="B4694" t="s">
        <v>42525</v>
      </c>
      <c r="C4694" t="str">
        <f>"9780123983381"</f>
        <v>9780123983381</v>
      </c>
      <c r="D4694" t="str">
        <f>"9780123983633"</f>
        <v>9780123983633</v>
      </c>
      <c r="E4694" t="s">
        <v>27482</v>
      </c>
      <c r="F4694" t="s">
        <v>7447</v>
      </c>
      <c r="G4694" t="s">
        <v>22689</v>
      </c>
      <c r="H4694" t="s">
        <v>26004</v>
      </c>
      <c r="I4694" s="26">
        <v>41376</v>
      </c>
      <c r="J4694">
        <v>2013</v>
      </c>
      <c r="K4694" t="s">
        <v>946</v>
      </c>
      <c r="L4694">
        <v>1001</v>
      </c>
      <c r="M4694" t="s">
        <v>42523</v>
      </c>
      <c r="N4694">
        <v>1</v>
      </c>
      <c r="R4694">
        <v>616.86059999999998</v>
      </c>
      <c r="S4694" t="s">
        <v>7684</v>
      </c>
      <c r="T4694" t="s">
        <v>30</v>
      </c>
      <c r="U4694" t="s">
        <v>26040</v>
      </c>
      <c r="W4694" t="s">
        <v>26009</v>
      </c>
    </row>
    <row r="4695" spans="1:23" x14ac:dyDescent="0.35">
      <c r="A4695">
        <v>1126468</v>
      </c>
      <c r="B4695" t="s">
        <v>42526</v>
      </c>
      <c r="C4695" t="str">
        <f>"9780765708588"</f>
        <v>9780765708588</v>
      </c>
      <c r="D4695" t="str">
        <f>"9780765708595"</f>
        <v>9780765708595</v>
      </c>
      <c r="E4695" t="s">
        <v>33803</v>
      </c>
      <c r="F4695" t="s">
        <v>38</v>
      </c>
      <c r="G4695" t="s">
        <v>34138</v>
      </c>
      <c r="H4695" t="s">
        <v>26004</v>
      </c>
      <c r="I4695" s="26">
        <v>41229</v>
      </c>
      <c r="J4695">
        <v>2012</v>
      </c>
      <c r="K4695" t="s">
        <v>33811</v>
      </c>
      <c r="L4695">
        <v>414</v>
      </c>
      <c r="M4695" t="s">
        <v>42527</v>
      </c>
      <c r="N4695">
        <v>1</v>
      </c>
      <c r="Q4695" t="s">
        <v>42528</v>
      </c>
      <c r="R4695" t="s">
        <v>39271</v>
      </c>
      <c r="S4695" t="s">
        <v>42529</v>
      </c>
      <c r="T4695" t="s">
        <v>30</v>
      </c>
      <c r="U4695" t="s">
        <v>26040</v>
      </c>
      <c r="W4695" t="s">
        <v>26009</v>
      </c>
    </row>
    <row r="4696" spans="1:23" x14ac:dyDescent="0.35">
      <c r="A4696">
        <v>1127631</v>
      </c>
      <c r="B4696" t="s">
        <v>42530</v>
      </c>
      <c r="C4696" t="str">
        <f>"9781780230313"</f>
        <v>9781780230313</v>
      </c>
      <c r="D4696" t="str">
        <f>"9781780230566"</f>
        <v>9781780230566</v>
      </c>
      <c r="E4696" t="s">
        <v>34057</v>
      </c>
      <c r="F4696" t="s">
        <v>7564</v>
      </c>
      <c r="G4696" t="s">
        <v>22174</v>
      </c>
      <c r="H4696" t="s">
        <v>26011</v>
      </c>
      <c r="I4696" s="26">
        <v>41167</v>
      </c>
      <c r="J4696">
        <v>2012</v>
      </c>
      <c r="K4696" t="s">
        <v>7564</v>
      </c>
      <c r="L4696">
        <v>250</v>
      </c>
      <c r="M4696" t="s">
        <v>39546</v>
      </c>
      <c r="N4696">
        <v>1</v>
      </c>
      <c r="Q4696" t="s">
        <v>42531</v>
      </c>
      <c r="R4696">
        <v>618.92858899999999</v>
      </c>
      <c r="S4696" t="s">
        <v>42532</v>
      </c>
      <c r="T4696" t="s">
        <v>30</v>
      </c>
      <c r="U4696" t="s">
        <v>26019</v>
      </c>
      <c r="W4696" t="s">
        <v>26009</v>
      </c>
    </row>
    <row r="4697" spans="1:23" x14ac:dyDescent="0.35">
      <c r="A4697">
        <v>1127656</v>
      </c>
      <c r="B4697" t="s">
        <v>42533</v>
      </c>
      <c r="C4697" t="str">
        <f>"9781861899194"</f>
        <v>9781861899194</v>
      </c>
      <c r="D4697" t="str">
        <f>"9781861899576"</f>
        <v>9781861899576</v>
      </c>
      <c r="E4697" t="s">
        <v>34057</v>
      </c>
      <c r="F4697" t="s">
        <v>7564</v>
      </c>
      <c r="G4697" t="s">
        <v>22174</v>
      </c>
      <c r="H4697" t="s">
        <v>26011</v>
      </c>
      <c r="I4697" s="26">
        <v>41014</v>
      </c>
      <c r="J4697">
        <v>2012</v>
      </c>
      <c r="K4697" t="s">
        <v>7564</v>
      </c>
      <c r="L4697">
        <v>258</v>
      </c>
      <c r="M4697" t="s">
        <v>42534</v>
      </c>
      <c r="N4697">
        <v>1</v>
      </c>
      <c r="S4697" t="s">
        <v>10246</v>
      </c>
      <c r="T4697" t="s">
        <v>30</v>
      </c>
      <c r="U4697" t="s">
        <v>42535</v>
      </c>
      <c r="W4697" t="s">
        <v>26009</v>
      </c>
    </row>
    <row r="4698" spans="1:23" x14ac:dyDescent="0.35">
      <c r="A4698">
        <v>1127712</v>
      </c>
      <c r="B4698" t="s">
        <v>42536</v>
      </c>
      <c r="C4698" t="str">
        <f>"9780765709134"</f>
        <v>9780765709134</v>
      </c>
      <c r="D4698" t="str">
        <f>"9780765709141"</f>
        <v>9780765709141</v>
      </c>
      <c r="E4698" t="s">
        <v>33803</v>
      </c>
      <c r="F4698" t="s">
        <v>38</v>
      </c>
      <c r="G4698" t="s">
        <v>34138</v>
      </c>
      <c r="H4698" t="s">
        <v>26004</v>
      </c>
      <c r="I4698" s="26">
        <v>41264</v>
      </c>
      <c r="J4698">
        <v>2012</v>
      </c>
      <c r="K4698" t="s">
        <v>33811</v>
      </c>
      <c r="L4698">
        <v>193</v>
      </c>
      <c r="M4698" t="s">
        <v>42537</v>
      </c>
      <c r="N4698">
        <v>1</v>
      </c>
      <c r="Q4698" t="s">
        <v>42538</v>
      </c>
      <c r="R4698">
        <v>616.89152000000001</v>
      </c>
      <c r="S4698" t="s">
        <v>9179</v>
      </c>
      <c r="T4698" t="s">
        <v>30</v>
      </c>
      <c r="U4698" t="s">
        <v>26019</v>
      </c>
      <c r="W4698" t="s">
        <v>26009</v>
      </c>
    </row>
    <row r="4699" spans="1:23" x14ac:dyDescent="0.35">
      <c r="A4699">
        <v>1127729</v>
      </c>
      <c r="B4699" t="s">
        <v>42539</v>
      </c>
      <c r="C4699" t="str">
        <f>"9781442220409"</f>
        <v>9781442220409</v>
      </c>
      <c r="D4699" t="str">
        <f>"9781442220416"</f>
        <v>9781442220416</v>
      </c>
      <c r="E4699" t="s">
        <v>33803</v>
      </c>
      <c r="F4699" t="s">
        <v>38</v>
      </c>
      <c r="G4699" t="s">
        <v>33804</v>
      </c>
      <c r="H4699" t="s">
        <v>26004</v>
      </c>
      <c r="I4699" s="26">
        <v>41312</v>
      </c>
      <c r="J4699">
        <v>2013</v>
      </c>
      <c r="K4699" t="s">
        <v>38</v>
      </c>
      <c r="L4699">
        <v>172</v>
      </c>
      <c r="M4699" t="s">
        <v>42467</v>
      </c>
      <c r="N4699">
        <v>1</v>
      </c>
      <c r="Q4699" t="s">
        <v>42540</v>
      </c>
      <c r="R4699">
        <v>306.70972999999998</v>
      </c>
      <c r="S4699" t="s">
        <v>42541</v>
      </c>
      <c r="T4699" t="s">
        <v>30</v>
      </c>
      <c r="U4699" t="s">
        <v>26044</v>
      </c>
      <c r="W4699" t="s">
        <v>26009</v>
      </c>
    </row>
    <row r="4700" spans="1:23" x14ac:dyDescent="0.35">
      <c r="A4700">
        <v>1128262</v>
      </c>
      <c r="B4700" t="s">
        <v>9759</v>
      </c>
      <c r="C4700" t="str">
        <f>"9780415690195"</f>
        <v>9780415690195</v>
      </c>
      <c r="D4700" t="str">
        <f>"9781135082130"</f>
        <v>9781135082130</v>
      </c>
      <c r="E4700" t="s">
        <v>26010</v>
      </c>
      <c r="F4700" t="s">
        <v>35</v>
      </c>
      <c r="G4700" t="s">
        <v>22174</v>
      </c>
      <c r="H4700" t="s">
        <v>26011</v>
      </c>
      <c r="I4700" s="26">
        <v>41340</v>
      </c>
      <c r="J4700">
        <v>2013</v>
      </c>
      <c r="K4700" t="s">
        <v>26012</v>
      </c>
      <c r="L4700">
        <v>403</v>
      </c>
      <c r="M4700" t="s">
        <v>42542</v>
      </c>
      <c r="N4700">
        <v>1</v>
      </c>
      <c r="Q4700" t="s">
        <v>42543</v>
      </c>
      <c r="R4700" t="s">
        <v>41713</v>
      </c>
      <c r="S4700" t="s">
        <v>9760</v>
      </c>
      <c r="T4700" t="s">
        <v>30</v>
      </c>
      <c r="U4700" t="s">
        <v>26044</v>
      </c>
      <c r="W4700" t="s">
        <v>26159</v>
      </c>
    </row>
    <row r="4701" spans="1:23" x14ac:dyDescent="0.35">
      <c r="A4701">
        <v>1128269</v>
      </c>
      <c r="B4701" t="s">
        <v>42544</v>
      </c>
      <c r="C4701" t="str">
        <f>"9780415884389"</f>
        <v>9780415884389</v>
      </c>
      <c r="D4701" t="str">
        <f>"9781135114329"</f>
        <v>9781135114329</v>
      </c>
      <c r="E4701" t="s">
        <v>26010</v>
      </c>
      <c r="F4701" t="s">
        <v>35</v>
      </c>
      <c r="G4701" t="s">
        <v>22174</v>
      </c>
      <c r="H4701" t="s">
        <v>26011</v>
      </c>
      <c r="I4701" s="26">
        <v>41262</v>
      </c>
      <c r="J4701">
        <v>2013</v>
      </c>
      <c r="K4701" t="s">
        <v>26012</v>
      </c>
      <c r="L4701">
        <v>257</v>
      </c>
      <c r="M4701" t="s">
        <v>42545</v>
      </c>
      <c r="N4701">
        <v>1</v>
      </c>
      <c r="O4701" t="s">
        <v>42546</v>
      </c>
      <c r="Q4701" t="s">
        <v>42547</v>
      </c>
      <c r="R4701" t="s">
        <v>42548</v>
      </c>
      <c r="S4701" t="s">
        <v>9939</v>
      </c>
      <c r="T4701" t="s">
        <v>30</v>
      </c>
      <c r="U4701" t="s">
        <v>42549</v>
      </c>
      <c r="W4701" t="s">
        <v>26009</v>
      </c>
    </row>
    <row r="4702" spans="1:23" x14ac:dyDescent="0.35">
      <c r="A4702">
        <v>1128274</v>
      </c>
      <c r="B4702" t="s">
        <v>7794</v>
      </c>
      <c r="C4702" t="str">
        <f>"9781848720909"</f>
        <v>9781848720909</v>
      </c>
      <c r="D4702" t="str">
        <f>"9781135121280"</f>
        <v>9781135121280</v>
      </c>
      <c r="E4702" t="s">
        <v>26010</v>
      </c>
      <c r="F4702" t="s">
        <v>35</v>
      </c>
      <c r="G4702" t="s">
        <v>22174</v>
      </c>
      <c r="H4702" t="s">
        <v>26011</v>
      </c>
      <c r="I4702" s="26">
        <v>41326</v>
      </c>
      <c r="J4702">
        <v>2013</v>
      </c>
      <c r="K4702" t="s">
        <v>660</v>
      </c>
      <c r="L4702">
        <v>257</v>
      </c>
      <c r="M4702" t="s">
        <v>42550</v>
      </c>
      <c r="N4702">
        <v>1</v>
      </c>
      <c r="Q4702" t="s">
        <v>42551</v>
      </c>
      <c r="R4702">
        <v>152.4</v>
      </c>
      <c r="S4702" t="s">
        <v>7778</v>
      </c>
      <c r="T4702" t="s">
        <v>30</v>
      </c>
      <c r="U4702" t="s">
        <v>46</v>
      </c>
      <c r="W4702" t="s">
        <v>26009</v>
      </c>
    </row>
    <row r="4703" spans="1:23" x14ac:dyDescent="0.35">
      <c r="A4703">
        <v>1128280</v>
      </c>
      <c r="B4703" t="s">
        <v>7796</v>
      </c>
      <c r="C4703" t="str">
        <f>"9780415898430"</f>
        <v>9780415898430</v>
      </c>
      <c r="D4703" t="str">
        <f>"9781135133313"</f>
        <v>9781135133313</v>
      </c>
      <c r="E4703" t="s">
        <v>26010</v>
      </c>
      <c r="F4703" t="s">
        <v>35</v>
      </c>
      <c r="G4703" t="s">
        <v>22174</v>
      </c>
      <c r="H4703" t="s">
        <v>26011</v>
      </c>
      <c r="I4703" s="26">
        <v>41253</v>
      </c>
      <c r="J4703">
        <v>2013</v>
      </c>
      <c r="K4703" t="s">
        <v>26012</v>
      </c>
      <c r="L4703">
        <v>169</v>
      </c>
      <c r="M4703" t="s">
        <v>42552</v>
      </c>
      <c r="N4703">
        <v>1</v>
      </c>
      <c r="Q4703" t="s">
        <v>42553</v>
      </c>
      <c r="R4703">
        <v>616.89139999999998</v>
      </c>
      <c r="S4703" t="s">
        <v>7797</v>
      </c>
      <c r="T4703" t="s">
        <v>30</v>
      </c>
      <c r="U4703" t="s">
        <v>26019</v>
      </c>
      <c r="W4703" t="s">
        <v>26009</v>
      </c>
    </row>
    <row r="4704" spans="1:23" x14ac:dyDescent="0.35">
      <c r="A4704">
        <v>1128320</v>
      </c>
      <c r="B4704" t="s">
        <v>8517</v>
      </c>
      <c r="C4704" t="str">
        <f>"9780415817660"</f>
        <v>9780415817660</v>
      </c>
      <c r="D4704" t="str">
        <f>"9781136662300"</f>
        <v>9781136662300</v>
      </c>
      <c r="E4704" t="s">
        <v>26010</v>
      </c>
      <c r="F4704" t="s">
        <v>35</v>
      </c>
      <c r="G4704" t="s">
        <v>22174</v>
      </c>
      <c r="H4704" t="s">
        <v>26011</v>
      </c>
      <c r="I4704" s="26">
        <v>41290</v>
      </c>
      <c r="J4704">
        <v>2013</v>
      </c>
      <c r="K4704" t="s">
        <v>26012</v>
      </c>
      <c r="L4704">
        <v>191</v>
      </c>
      <c r="M4704" t="s">
        <v>42554</v>
      </c>
      <c r="N4704">
        <v>1</v>
      </c>
      <c r="O4704" t="s">
        <v>27341</v>
      </c>
      <c r="Q4704" t="s">
        <v>42555</v>
      </c>
      <c r="R4704">
        <v>303.39999999999998</v>
      </c>
      <c r="S4704" t="s">
        <v>42556</v>
      </c>
      <c r="T4704" t="s">
        <v>30</v>
      </c>
      <c r="U4704" t="s">
        <v>26044</v>
      </c>
      <c r="W4704" t="s">
        <v>26009</v>
      </c>
    </row>
    <row r="4705" spans="1:23" x14ac:dyDescent="0.35">
      <c r="A4705">
        <v>1130290</v>
      </c>
      <c r="B4705" t="s">
        <v>9354</v>
      </c>
      <c r="C4705" t="str">
        <f>"9783110281736"</f>
        <v>9783110281736</v>
      </c>
      <c r="D4705" t="str">
        <f>"9783110281927"</f>
        <v>9783110281927</v>
      </c>
      <c r="E4705" t="s">
        <v>30630</v>
      </c>
      <c r="F4705" t="s">
        <v>7451</v>
      </c>
      <c r="G4705" t="s">
        <v>30631</v>
      </c>
      <c r="H4705" t="s">
        <v>30632</v>
      </c>
      <c r="I4705" s="26">
        <v>41621</v>
      </c>
      <c r="J4705">
        <v>2013</v>
      </c>
      <c r="K4705" t="s">
        <v>7451</v>
      </c>
      <c r="L4705">
        <v>152</v>
      </c>
      <c r="M4705" t="s">
        <v>42557</v>
      </c>
      <c r="N4705">
        <v>1</v>
      </c>
      <c r="O4705" t="s">
        <v>42558</v>
      </c>
      <c r="P4705">
        <v>8</v>
      </c>
      <c r="Q4705" t="s">
        <v>42559</v>
      </c>
      <c r="R4705" t="s">
        <v>42560</v>
      </c>
      <c r="S4705" t="s">
        <v>42561</v>
      </c>
      <c r="T4705" t="s">
        <v>30</v>
      </c>
      <c r="U4705" t="s">
        <v>28308</v>
      </c>
      <c r="W4705" t="s">
        <v>26009</v>
      </c>
    </row>
    <row r="4706" spans="1:23" x14ac:dyDescent="0.35">
      <c r="A4706">
        <v>1131411</v>
      </c>
      <c r="B4706" t="s">
        <v>42562</v>
      </c>
      <c r="C4706" t="str">
        <f>"9781442219045"</f>
        <v>9781442219045</v>
      </c>
      <c r="D4706" t="str">
        <f>"9781442219069"</f>
        <v>9781442219069</v>
      </c>
      <c r="E4706" t="s">
        <v>33803</v>
      </c>
      <c r="F4706" t="s">
        <v>38</v>
      </c>
      <c r="G4706" t="s">
        <v>34328</v>
      </c>
      <c r="H4706" t="s">
        <v>26004</v>
      </c>
      <c r="I4706" s="26">
        <v>41207</v>
      </c>
      <c r="J4706">
        <v>2012</v>
      </c>
      <c r="K4706" t="s">
        <v>38</v>
      </c>
      <c r="L4706">
        <v>496</v>
      </c>
      <c r="M4706" t="s">
        <v>42563</v>
      </c>
      <c r="N4706">
        <v>1</v>
      </c>
      <c r="Q4706" t="s">
        <v>42564</v>
      </c>
      <c r="R4706">
        <v>155.4</v>
      </c>
      <c r="S4706" t="s">
        <v>42565</v>
      </c>
      <c r="T4706" t="s">
        <v>30</v>
      </c>
      <c r="U4706" t="s">
        <v>46</v>
      </c>
      <c r="W4706" t="s">
        <v>26009</v>
      </c>
    </row>
    <row r="4707" spans="1:23" x14ac:dyDescent="0.35">
      <c r="A4707">
        <v>1131676</v>
      </c>
      <c r="B4707" t="s">
        <v>9347</v>
      </c>
      <c r="C4707" t="str">
        <f>"9780691154732"</f>
        <v>9780691154732</v>
      </c>
      <c r="D4707" t="str">
        <f>"9781400846382"</f>
        <v>9781400846382</v>
      </c>
      <c r="E4707" t="s">
        <v>33468</v>
      </c>
      <c r="F4707" t="s">
        <v>7517</v>
      </c>
      <c r="G4707" t="s">
        <v>23592</v>
      </c>
      <c r="H4707" t="s">
        <v>26004</v>
      </c>
      <c r="I4707" s="26">
        <v>41427</v>
      </c>
      <c r="J4707">
        <v>2013</v>
      </c>
      <c r="K4707" t="s">
        <v>7517</v>
      </c>
      <c r="L4707">
        <v>132</v>
      </c>
      <c r="M4707" t="s">
        <v>42566</v>
      </c>
      <c r="N4707">
        <v>1</v>
      </c>
      <c r="O4707" t="s">
        <v>39152</v>
      </c>
      <c r="P4707">
        <v>40</v>
      </c>
      <c r="R4707">
        <v>302</v>
      </c>
      <c r="T4707" t="s">
        <v>30</v>
      </c>
      <c r="U4707" t="s">
        <v>26044</v>
      </c>
      <c r="W4707" t="s">
        <v>28347</v>
      </c>
    </row>
    <row r="4708" spans="1:23" x14ac:dyDescent="0.35">
      <c r="A4708">
        <v>1132273</v>
      </c>
      <c r="B4708" t="s">
        <v>42567</v>
      </c>
      <c r="C4708" t="str">
        <f>"9780199862030"</f>
        <v>9780199862030</v>
      </c>
      <c r="D4708" t="str">
        <f>"9780199970681"</f>
        <v>9780199970681</v>
      </c>
      <c r="E4708" t="s">
        <v>371</v>
      </c>
      <c r="F4708" t="s">
        <v>31</v>
      </c>
      <c r="G4708" t="s">
        <v>22703</v>
      </c>
      <c r="H4708" t="s">
        <v>26004</v>
      </c>
      <c r="I4708" s="26">
        <v>41339</v>
      </c>
      <c r="J4708">
        <v>2013</v>
      </c>
      <c r="K4708" t="s">
        <v>31</v>
      </c>
      <c r="L4708">
        <v>355</v>
      </c>
      <c r="M4708" t="s">
        <v>42568</v>
      </c>
      <c r="Q4708" t="s">
        <v>42569</v>
      </c>
      <c r="R4708" t="s">
        <v>26957</v>
      </c>
      <c r="S4708" t="s">
        <v>42570</v>
      </c>
      <c r="T4708" t="s">
        <v>30</v>
      </c>
      <c r="U4708" t="s">
        <v>26116</v>
      </c>
      <c r="W4708" t="s">
        <v>26009</v>
      </c>
    </row>
    <row r="4709" spans="1:23" x14ac:dyDescent="0.35">
      <c r="A4709">
        <v>1132608</v>
      </c>
      <c r="B4709" t="s">
        <v>8298</v>
      </c>
      <c r="C4709" t="str">
        <f>"9781780491059"</f>
        <v>9781780491059</v>
      </c>
      <c r="D4709" t="str">
        <f>"9781782410706"</f>
        <v>9781782410706</v>
      </c>
      <c r="E4709" t="s">
        <v>26010</v>
      </c>
      <c r="F4709" t="s">
        <v>35</v>
      </c>
      <c r="G4709" t="s">
        <v>22174</v>
      </c>
      <c r="H4709" t="s">
        <v>26011</v>
      </c>
      <c r="I4709" s="26">
        <v>41334</v>
      </c>
      <c r="J4709">
        <v>2013</v>
      </c>
      <c r="K4709" t="s">
        <v>26012</v>
      </c>
      <c r="L4709">
        <v>262</v>
      </c>
      <c r="M4709" t="s">
        <v>36753</v>
      </c>
      <c r="N4709">
        <v>1</v>
      </c>
      <c r="Q4709" t="s">
        <v>42571</v>
      </c>
      <c r="R4709">
        <v>616.85210651</v>
      </c>
      <c r="S4709" t="s">
        <v>42572</v>
      </c>
      <c r="T4709" t="s">
        <v>30</v>
      </c>
      <c r="U4709" t="s">
        <v>26116</v>
      </c>
      <c r="W4709" t="s">
        <v>26009</v>
      </c>
    </row>
    <row r="4710" spans="1:23" x14ac:dyDescent="0.35">
      <c r="A4710">
        <v>1133032</v>
      </c>
      <c r="B4710" t="s">
        <v>42573</v>
      </c>
      <c r="C4710" t="str">
        <f>"9781443842532"</f>
        <v>9781443842532</v>
      </c>
      <c r="D4710" t="str">
        <f>"9781443846776"</f>
        <v>9781443846776</v>
      </c>
      <c r="E4710" t="s">
        <v>7812</v>
      </c>
      <c r="F4710" t="s">
        <v>7812</v>
      </c>
      <c r="G4710" t="s">
        <v>41984</v>
      </c>
      <c r="H4710" t="s">
        <v>26011</v>
      </c>
      <c r="I4710" s="26">
        <v>41288</v>
      </c>
      <c r="J4710">
        <v>2013</v>
      </c>
      <c r="K4710" t="s">
        <v>7812</v>
      </c>
      <c r="L4710">
        <v>522</v>
      </c>
      <c r="M4710" t="s">
        <v>42574</v>
      </c>
      <c r="N4710">
        <v>1</v>
      </c>
      <c r="Q4710" t="s">
        <v>42575</v>
      </c>
      <c r="R4710">
        <v>155.80000000000001</v>
      </c>
      <c r="S4710" t="s">
        <v>42576</v>
      </c>
      <c r="T4710" t="s">
        <v>30</v>
      </c>
      <c r="U4710" t="s">
        <v>46</v>
      </c>
      <c r="W4710" t="s">
        <v>26009</v>
      </c>
    </row>
    <row r="4711" spans="1:23" x14ac:dyDescent="0.35">
      <c r="A4711">
        <v>1133068</v>
      </c>
      <c r="B4711" t="s">
        <v>10261</v>
      </c>
      <c r="C4711" t="str">
        <f>"9781443841870"</f>
        <v>9781443841870</v>
      </c>
      <c r="D4711" t="str">
        <f>"9781443847087"</f>
        <v>9781443847087</v>
      </c>
      <c r="E4711" t="s">
        <v>7812</v>
      </c>
      <c r="F4711" t="s">
        <v>7812</v>
      </c>
      <c r="G4711" t="s">
        <v>41984</v>
      </c>
      <c r="H4711" t="s">
        <v>26011</v>
      </c>
      <c r="I4711" s="26">
        <v>41282</v>
      </c>
      <c r="J4711">
        <v>2013</v>
      </c>
      <c r="K4711" t="s">
        <v>7812</v>
      </c>
      <c r="L4711">
        <v>263</v>
      </c>
      <c r="M4711" t="s">
        <v>42577</v>
      </c>
      <c r="N4711">
        <v>1</v>
      </c>
      <c r="Q4711" t="s">
        <v>42578</v>
      </c>
      <c r="R4711">
        <v>305.42094379999997</v>
      </c>
      <c r="S4711" t="s">
        <v>42579</v>
      </c>
      <c r="T4711" t="s">
        <v>30</v>
      </c>
      <c r="U4711" t="s">
        <v>26044</v>
      </c>
      <c r="W4711" t="s">
        <v>26009</v>
      </c>
    </row>
    <row r="4712" spans="1:23" x14ac:dyDescent="0.35">
      <c r="A4712">
        <v>1133077</v>
      </c>
      <c r="B4712" t="s">
        <v>42580</v>
      </c>
      <c r="C4712" t="str">
        <f>"9781443803335"</f>
        <v>9781443803335</v>
      </c>
      <c r="D4712" t="str">
        <f>"9781443819930"</f>
        <v>9781443819930</v>
      </c>
      <c r="E4712" t="s">
        <v>7812</v>
      </c>
      <c r="F4712" t="s">
        <v>7812</v>
      </c>
      <c r="G4712" t="s">
        <v>41984</v>
      </c>
      <c r="H4712" t="s">
        <v>26011</v>
      </c>
      <c r="I4712" s="26">
        <v>39995</v>
      </c>
      <c r="J4712">
        <v>2010</v>
      </c>
      <c r="K4712" t="s">
        <v>7812</v>
      </c>
      <c r="L4712">
        <v>136</v>
      </c>
      <c r="M4712" t="s">
        <v>42581</v>
      </c>
      <c r="N4712">
        <v>1</v>
      </c>
      <c r="Q4712" t="s">
        <v>42582</v>
      </c>
      <c r="R4712">
        <v>158.25</v>
      </c>
      <c r="S4712" t="s">
        <v>42583</v>
      </c>
      <c r="T4712" t="s">
        <v>30</v>
      </c>
      <c r="U4712" t="s">
        <v>46</v>
      </c>
      <c r="W4712" t="s">
        <v>26009</v>
      </c>
    </row>
    <row r="4713" spans="1:23" x14ac:dyDescent="0.35">
      <c r="A4713">
        <v>1133107</v>
      </c>
      <c r="B4713" t="s">
        <v>42584</v>
      </c>
      <c r="C4713" t="str">
        <f>"9781443835305"</f>
        <v>9781443835305</v>
      </c>
      <c r="D4713" t="str">
        <f>"9781443835565"</f>
        <v>9781443835565</v>
      </c>
      <c r="E4713" t="s">
        <v>7812</v>
      </c>
      <c r="F4713" t="s">
        <v>7812</v>
      </c>
      <c r="G4713" t="s">
        <v>41984</v>
      </c>
      <c r="H4713" t="s">
        <v>26011</v>
      </c>
      <c r="I4713" s="26">
        <v>40935</v>
      </c>
      <c r="J4713">
        <v>2011</v>
      </c>
      <c r="K4713" t="s">
        <v>7812</v>
      </c>
      <c r="L4713">
        <v>259</v>
      </c>
      <c r="M4713" t="s">
        <v>42585</v>
      </c>
      <c r="N4713">
        <v>1</v>
      </c>
      <c r="Q4713" t="s">
        <v>42586</v>
      </c>
      <c r="R4713">
        <v>302.23450000000003</v>
      </c>
      <c r="S4713" t="s">
        <v>42587</v>
      </c>
      <c r="T4713" t="s">
        <v>30</v>
      </c>
      <c r="U4713" t="s">
        <v>26044</v>
      </c>
      <c r="W4713" t="s">
        <v>26009</v>
      </c>
    </row>
    <row r="4714" spans="1:23" x14ac:dyDescent="0.35">
      <c r="A4714">
        <v>1133122</v>
      </c>
      <c r="B4714" t="s">
        <v>8576</v>
      </c>
      <c r="C4714" t="str">
        <f>"9781847186072"</f>
        <v>9781847186072</v>
      </c>
      <c r="D4714" t="str">
        <f>"9781443808521"</f>
        <v>9781443808521</v>
      </c>
      <c r="E4714" t="s">
        <v>7812</v>
      </c>
      <c r="F4714" t="s">
        <v>7812</v>
      </c>
      <c r="G4714" t="s">
        <v>41984</v>
      </c>
      <c r="H4714" t="s">
        <v>26011</v>
      </c>
      <c r="I4714" s="26">
        <v>39670</v>
      </c>
      <c r="J4714">
        <v>2009</v>
      </c>
      <c r="K4714" t="s">
        <v>7812</v>
      </c>
      <c r="L4714">
        <v>363</v>
      </c>
      <c r="M4714" t="s">
        <v>39944</v>
      </c>
      <c r="N4714">
        <v>1</v>
      </c>
      <c r="O4714" t="s">
        <v>42588</v>
      </c>
      <c r="Q4714" t="s">
        <v>42589</v>
      </c>
      <c r="R4714">
        <v>616.89143000000001</v>
      </c>
      <c r="S4714" t="s">
        <v>42590</v>
      </c>
      <c r="T4714" t="s">
        <v>30</v>
      </c>
      <c r="U4714" t="s">
        <v>26116</v>
      </c>
      <c r="W4714" t="s">
        <v>26009</v>
      </c>
    </row>
    <row r="4715" spans="1:23" x14ac:dyDescent="0.35">
      <c r="A4715">
        <v>1133138</v>
      </c>
      <c r="B4715" t="s">
        <v>42591</v>
      </c>
      <c r="C4715" t="str">
        <f>"9781443829175"</f>
        <v>9781443829175</v>
      </c>
      <c r="D4715" t="str">
        <f>"9781443830683"</f>
        <v>9781443830683</v>
      </c>
      <c r="E4715" t="s">
        <v>7812</v>
      </c>
      <c r="F4715" t="s">
        <v>7812</v>
      </c>
      <c r="G4715" t="s">
        <v>41984</v>
      </c>
      <c r="H4715" t="s">
        <v>26011</v>
      </c>
      <c r="I4715" s="26">
        <v>40675</v>
      </c>
      <c r="J4715">
        <v>2011</v>
      </c>
      <c r="K4715" t="s">
        <v>7812</v>
      </c>
      <c r="L4715">
        <v>252</v>
      </c>
      <c r="M4715" t="s">
        <v>42592</v>
      </c>
      <c r="N4715">
        <v>1</v>
      </c>
      <c r="Q4715" t="s">
        <v>42593</v>
      </c>
      <c r="R4715" t="s">
        <v>42594</v>
      </c>
      <c r="S4715" t="s">
        <v>42595</v>
      </c>
      <c r="T4715" t="s">
        <v>30</v>
      </c>
      <c r="U4715" t="s">
        <v>26044</v>
      </c>
      <c r="W4715" t="s">
        <v>26009</v>
      </c>
    </row>
    <row r="4716" spans="1:23" x14ac:dyDescent="0.35">
      <c r="A4716">
        <v>1133165</v>
      </c>
      <c r="B4716" t="s">
        <v>10254</v>
      </c>
      <c r="C4716" t="str">
        <f>"9781443821148"</f>
        <v>9781443821148</v>
      </c>
      <c r="D4716" t="str">
        <f>"9781443822114"</f>
        <v>9781443822114</v>
      </c>
      <c r="E4716" t="s">
        <v>7812</v>
      </c>
      <c r="F4716" t="s">
        <v>7812</v>
      </c>
      <c r="G4716" t="s">
        <v>41984</v>
      </c>
      <c r="H4716" t="s">
        <v>26011</v>
      </c>
      <c r="I4716" s="26">
        <v>40303</v>
      </c>
      <c r="J4716">
        <v>2010</v>
      </c>
      <c r="K4716" t="s">
        <v>7812</v>
      </c>
      <c r="L4716">
        <v>184</v>
      </c>
      <c r="M4716" t="s">
        <v>42596</v>
      </c>
      <c r="N4716">
        <v>1</v>
      </c>
      <c r="Q4716" t="s">
        <v>42597</v>
      </c>
      <c r="R4716">
        <v>616.85270091999996</v>
      </c>
      <c r="S4716" t="s">
        <v>42598</v>
      </c>
      <c r="T4716" t="s">
        <v>30</v>
      </c>
      <c r="U4716" t="s">
        <v>26116</v>
      </c>
      <c r="W4716" t="s">
        <v>26009</v>
      </c>
    </row>
    <row r="4717" spans="1:23" x14ac:dyDescent="0.35">
      <c r="A4717">
        <v>1133216</v>
      </c>
      <c r="B4717" t="s">
        <v>7811</v>
      </c>
      <c r="C4717" t="str">
        <f>"9781443842129"</f>
        <v>9781443842129</v>
      </c>
      <c r="D4717" t="str">
        <f>"9781443846400"</f>
        <v>9781443846400</v>
      </c>
      <c r="E4717" t="s">
        <v>7812</v>
      </c>
      <c r="F4717" t="s">
        <v>7812</v>
      </c>
      <c r="G4717" t="s">
        <v>41984</v>
      </c>
      <c r="H4717" t="s">
        <v>26011</v>
      </c>
      <c r="I4717" s="26">
        <v>41263</v>
      </c>
      <c r="J4717">
        <v>2013</v>
      </c>
      <c r="K4717" t="s">
        <v>7812</v>
      </c>
      <c r="L4717">
        <v>291</v>
      </c>
      <c r="M4717" t="s">
        <v>42599</v>
      </c>
      <c r="N4717">
        <v>1</v>
      </c>
      <c r="Q4717" t="s">
        <v>42600</v>
      </c>
      <c r="R4717">
        <v>305.23</v>
      </c>
      <c r="S4717" t="s">
        <v>42601</v>
      </c>
      <c r="T4717" t="s">
        <v>30</v>
      </c>
      <c r="U4717" t="s">
        <v>26044</v>
      </c>
      <c r="W4717" t="s">
        <v>26009</v>
      </c>
    </row>
    <row r="4718" spans="1:23" x14ac:dyDescent="0.35">
      <c r="A4718">
        <v>1133227</v>
      </c>
      <c r="B4718" t="s">
        <v>42602</v>
      </c>
      <c r="C4718" t="str">
        <f>"9781847185228"</f>
        <v>9781847185228</v>
      </c>
      <c r="D4718" t="str">
        <f>"9781443814720"</f>
        <v>9781443814720</v>
      </c>
      <c r="E4718" t="s">
        <v>7812</v>
      </c>
      <c r="F4718" t="s">
        <v>7812</v>
      </c>
      <c r="G4718" t="s">
        <v>41984</v>
      </c>
      <c r="H4718" t="s">
        <v>26011</v>
      </c>
      <c r="I4718" s="26">
        <v>39526</v>
      </c>
      <c r="J4718">
        <v>2009</v>
      </c>
      <c r="K4718" t="s">
        <v>7812</v>
      </c>
      <c r="L4718">
        <v>195</v>
      </c>
      <c r="M4718" t="s">
        <v>42603</v>
      </c>
      <c r="N4718">
        <v>1</v>
      </c>
      <c r="Q4718" t="s">
        <v>42604</v>
      </c>
      <c r="R4718" t="s">
        <v>27475</v>
      </c>
      <c r="S4718" t="s">
        <v>42605</v>
      </c>
      <c r="T4718" t="s">
        <v>30</v>
      </c>
      <c r="U4718" t="s">
        <v>26044</v>
      </c>
      <c r="W4718" t="s">
        <v>26009</v>
      </c>
    </row>
    <row r="4719" spans="1:23" x14ac:dyDescent="0.35">
      <c r="A4719">
        <v>1134941</v>
      </c>
      <c r="B4719" t="s">
        <v>42606</v>
      </c>
      <c r="C4719" t="str">
        <f>"9789966724472"</f>
        <v>9789966724472</v>
      </c>
      <c r="D4719" t="str">
        <f>"9789966028204"</f>
        <v>9789966028204</v>
      </c>
      <c r="E4719" t="s">
        <v>42607</v>
      </c>
      <c r="F4719" t="s">
        <v>42608</v>
      </c>
      <c r="G4719" t="s">
        <v>22242</v>
      </c>
      <c r="H4719" t="s">
        <v>42609</v>
      </c>
      <c r="I4719" s="26">
        <v>40483</v>
      </c>
      <c r="J4719">
        <v>2010</v>
      </c>
      <c r="K4719" t="s">
        <v>42608</v>
      </c>
      <c r="L4719">
        <v>262</v>
      </c>
      <c r="M4719" t="s">
        <v>42610</v>
      </c>
      <c r="N4719">
        <v>1</v>
      </c>
      <c r="T4719" t="s">
        <v>30</v>
      </c>
      <c r="U4719" t="s">
        <v>26044</v>
      </c>
      <c r="W4719" t="s">
        <v>26009</v>
      </c>
    </row>
    <row r="4720" spans="1:23" x14ac:dyDescent="0.35">
      <c r="A4720">
        <v>1135231</v>
      </c>
      <c r="B4720" t="s">
        <v>42611</v>
      </c>
      <c r="C4720" t="str">
        <f>"9789966724410"</f>
        <v>9789966724410</v>
      </c>
      <c r="D4720" t="str">
        <f>"9789966028037"</f>
        <v>9789966028037</v>
      </c>
      <c r="E4720" t="s">
        <v>42607</v>
      </c>
      <c r="F4720" t="s">
        <v>42608</v>
      </c>
      <c r="G4720" t="s">
        <v>22242</v>
      </c>
      <c r="H4720" t="s">
        <v>42609</v>
      </c>
      <c r="I4720" s="26">
        <v>39813</v>
      </c>
      <c r="J4720">
        <v>2008</v>
      </c>
      <c r="K4720" t="s">
        <v>42608</v>
      </c>
      <c r="L4720">
        <v>178</v>
      </c>
      <c r="M4720" t="s">
        <v>42612</v>
      </c>
      <c r="N4720">
        <v>1</v>
      </c>
      <c r="T4720" t="s">
        <v>30</v>
      </c>
      <c r="U4720" t="s">
        <v>26044</v>
      </c>
      <c r="W4720" t="s">
        <v>26009</v>
      </c>
    </row>
    <row r="4721" spans="1:23" x14ac:dyDescent="0.35">
      <c r="A4721">
        <v>1137444</v>
      </c>
      <c r="B4721" t="s">
        <v>8190</v>
      </c>
      <c r="C4721" t="str">
        <f>"9781462508211"</f>
        <v>9781462508211</v>
      </c>
      <c r="D4721" t="str">
        <f>"9781462508228"</f>
        <v>9781462508228</v>
      </c>
      <c r="E4721" t="s">
        <v>30112</v>
      </c>
      <c r="F4721" t="s">
        <v>7420</v>
      </c>
      <c r="G4721" t="s">
        <v>22179</v>
      </c>
      <c r="H4721" t="s">
        <v>26004</v>
      </c>
      <c r="I4721" s="26">
        <v>41361</v>
      </c>
      <c r="J4721">
        <v>2013</v>
      </c>
      <c r="K4721" t="s">
        <v>30113</v>
      </c>
      <c r="L4721">
        <v>354</v>
      </c>
      <c r="M4721" t="s">
        <v>42613</v>
      </c>
      <c r="N4721">
        <v>1</v>
      </c>
      <c r="O4721" t="s">
        <v>31577</v>
      </c>
      <c r="Q4721" t="s">
        <v>42614</v>
      </c>
      <c r="R4721" t="s">
        <v>42615</v>
      </c>
      <c r="S4721" t="s">
        <v>42616</v>
      </c>
      <c r="T4721" t="s">
        <v>30</v>
      </c>
      <c r="U4721" t="s">
        <v>28330</v>
      </c>
      <c r="W4721" t="s">
        <v>28347</v>
      </c>
    </row>
    <row r="4722" spans="1:23" x14ac:dyDescent="0.35">
      <c r="A4722">
        <v>1138264</v>
      </c>
      <c r="B4722" t="s">
        <v>7828</v>
      </c>
      <c r="C4722" t="str">
        <f>"9780805843712"</f>
        <v>9780805843712</v>
      </c>
      <c r="D4722" t="str">
        <f>"9781135629465"</f>
        <v>9781135629465</v>
      </c>
      <c r="E4722" t="s">
        <v>26010</v>
      </c>
      <c r="F4722" t="s">
        <v>35</v>
      </c>
      <c r="G4722" t="s">
        <v>22174</v>
      </c>
      <c r="H4722" t="s">
        <v>26011</v>
      </c>
      <c r="I4722" s="26">
        <v>37803</v>
      </c>
      <c r="J4722">
        <v>2003</v>
      </c>
      <c r="K4722" t="s">
        <v>660</v>
      </c>
      <c r="L4722">
        <v>409</v>
      </c>
      <c r="M4722" t="s">
        <v>42617</v>
      </c>
      <c r="N4722">
        <v>2</v>
      </c>
      <c r="Q4722" t="s">
        <v>42618</v>
      </c>
      <c r="R4722">
        <v>155.4</v>
      </c>
      <c r="S4722" t="s">
        <v>7829</v>
      </c>
      <c r="T4722" t="s">
        <v>30</v>
      </c>
      <c r="U4722" t="s">
        <v>29153</v>
      </c>
      <c r="W4722" t="s">
        <v>26009</v>
      </c>
    </row>
    <row r="4723" spans="1:23" x14ac:dyDescent="0.35">
      <c r="A4723">
        <v>1138286</v>
      </c>
      <c r="B4723" t="s">
        <v>9150</v>
      </c>
      <c r="C4723" t="str">
        <f>"9780805838831"</f>
        <v>9780805838831</v>
      </c>
      <c r="D4723" t="str">
        <f>"9781135646820"</f>
        <v>9781135646820</v>
      </c>
      <c r="E4723" t="s">
        <v>26010</v>
      </c>
      <c r="F4723" t="s">
        <v>35</v>
      </c>
      <c r="G4723" t="s">
        <v>22174</v>
      </c>
      <c r="H4723" t="s">
        <v>26011</v>
      </c>
      <c r="I4723" s="26">
        <v>37377</v>
      </c>
      <c r="J4723">
        <v>2002</v>
      </c>
      <c r="K4723" t="s">
        <v>660</v>
      </c>
      <c r="L4723">
        <v>419</v>
      </c>
      <c r="M4723" t="s">
        <v>42619</v>
      </c>
      <c r="N4723">
        <v>1</v>
      </c>
      <c r="Q4723" t="s">
        <v>42620</v>
      </c>
      <c r="R4723">
        <v>612.82330000000002</v>
      </c>
      <c r="S4723" t="s">
        <v>42621</v>
      </c>
      <c r="T4723" t="s">
        <v>30</v>
      </c>
      <c r="U4723" t="s">
        <v>28991</v>
      </c>
      <c r="W4723" t="s">
        <v>26009</v>
      </c>
    </row>
    <row r="4724" spans="1:23" x14ac:dyDescent="0.35">
      <c r="A4724">
        <v>1138457</v>
      </c>
      <c r="B4724" t="s">
        <v>9470</v>
      </c>
      <c r="C4724" t="str">
        <f>"9780761957638"</f>
        <v>9780761957638</v>
      </c>
      <c r="D4724" t="str">
        <f>"9781446275795"</f>
        <v>9781446275795</v>
      </c>
      <c r="E4724" t="s">
        <v>28007</v>
      </c>
      <c r="F4724" t="s">
        <v>7430</v>
      </c>
      <c r="G4724" t="s">
        <v>22174</v>
      </c>
      <c r="H4724" t="s">
        <v>26011</v>
      </c>
      <c r="I4724" s="26">
        <v>36423</v>
      </c>
      <c r="J4724">
        <v>1999</v>
      </c>
      <c r="K4724" t="s">
        <v>7430</v>
      </c>
      <c r="L4724">
        <v>255</v>
      </c>
      <c r="M4724" t="s">
        <v>41563</v>
      </c>
      <c r="N4724">
        <v>1</v>
      </c>
      <c r="O4724" t="s">
        <v>28068</v>
      </c>
      <c r="Q4724" t="s">
        <v>42622</v>
      </c>
      <c r="R4724" t="s">
        <v>42623</v>
      </c>
      <c r="S4724" t="s">
        <v>9471</v>
      </c>
      <c r="T4724" t="s">
        <v>30</v>
      </c>
      <c r="U4724" t="s">
        <v>46</v>
      </c>
      <c r="W4724" t="s">
        <v>26009</v>
      </c>
    </row>
    <row r="4725" spans="1:23" x14ac:dyDescent="0.35">
      <c r="A4725">
        <v>1138596</v>
      </c>
      <c r="B4725" t="s">
        <v>10106</v>
      </c>
      <c r="C4725" t="str">
        <f>"9781583910535"</f>
        <v>9781583910535</v>
      </c>
      <c r="D4725" t="str">
        <f>"9781135454609"</f>
        <v>9781135454609</v>
      </c>
      <c r="E4725" t="s">
        <v>26010</v>
      </c>
      <c r="F4725" t="s">
        <v>35</v>
      </c>
      <c r="G4725" t="s">
        <v>22174</v>
      </c>
      <c r="H4725" t="s">
        <v>26011</v>
      </c>
      <c r="I4725" s="26">
        <v>37435</v>
      </c>
      <c r="J4725">
        <v>2002</v>
      </c>
      <c r="K4725" t="s">
        <v>26012</v>
      </c>
      <c r="L4725">
        <v>237</v>
      </c>
      <c r="M4725" t="s">
        <v>42624</v>
      </c>
      <c r="N4725">
        <v>1</v>
      </c>
      <c r="O4725" t="s">
        <v>27182</v>
      </c>
      <c r="Q4725" t="s">
        <v>42625</v>
      </c>
      <c r="R4725">
        <v>616.79999999999995</v>
      </c>
      <c r="S4725" t="s">
        <v>10107</v>
      </c>
      <c r="T4725" t="s">
        <v>30</v>
      </c>
      <c r="U4725" t="s">
        <v>26116</v>
      </c>
      <c r="W4725" t="s">
        <v>26009</v>
      </c>
    </row>
    <row r="4726" spans="1:23" x14ac:dyDescent="0.35">
      <c r="A4726">
        <v>1139068</v>
      </c>
      <c r="B4726" t="s">
        <v>42626</v>
      </c>
      <c r="C4726" t="str">
        <f>"9783110316568"</f>
        <v>9783110316568</v>
      </c>
      <c r="D4726" t="str">
        <f>"9783110316612"</f>
        <v>9783110316612</v>
      </c>
      <c r="E4726" t="s">
        <v>30630</v>
      </c>
      <c r="F4726" t="s">
        <v>7451</v>
      </c>
      <c r="G4726" t="s">
        <v>30631</v>
      </c>
      <c r="H4726" t="s">
        <v>30632</v>
      </c>
      <c r="I4726" s="26">
        <v>41534</v>
      </c>
      <c r="J4726">
        <v>2013</v>
      </c>
      <c r="K4726" t="s">
        <v>7451</v>
      </c>
      <c r="L4726">
        <v>260</v>
      </c>
      <c r="M4726" t="s">
        <v>42627</v>
      </c>
      <c r="N4726">
        <v>1</v>
      </c>
      <c r="O4726" t="s">
        <v>39169</v>
      </c>
      <c r="Q4726" t="s">
        <v>42628</v>
      </c>
      <c r="R4726">
        <v>616.89008349999995</v>
      </c>
      <c r="S4726" t="s">
        <v>42629</v>
      </c>
      <c r="T4726" t="s">
        <v>30</v>
      </c>
      <c r="U4726" t="s">
        <v>26019</v>
      </c>
      <c r="W4726" t="s">
        <v>26009</v>
      </c>
    </row>
    <row r="4727" spans="1:23" x14ac:dyDescent="0.35">
      <c r="A4727">
        <v>1139546</v>
      </c>
      <c r="B4727" t="s">
        <v>9336</v>
      </c>
      <c r="C4727" t="str">
        <f>"9780521190350"</f>
        <v>9780521190350</v>
      </c>
      <c r="D4727" t="str">
        <f>"9781107332836"</f>
        <v>9781107332836</v>
      </c>
      <c r="E4727" t="s">
        <v>167</v>
      </c>
      <c r="F4727" t="s">
        <v>167</v>
      </c>
      <c r="G4727" t="s">
        <v>22179</v>
      </c>
      <c r="H4727" t="s">
        <v>26004</v>
      </c>
      <c r="I4727" s="26">
        <v>41375</v>
      </c>
      <c r="J4727">
        <v>2013</v>
      </c>
      <c r="K4727" t="s">
        <v>167</v>
      </c>
      <c r="L4727">
        <v>418</v>
      </c>
      <c r="M4727" t="s">
        <v>42630</v>
      </c>
      <c r="N4727">
        <v>1</v>
      </c>
      <c r="Q4727" t="s">
        <v>42631</v>
      </c>
      <c r="R4727" t="s">
        <v>42632</v>
      </c>
      <c r="S4727" t="s">
        <v>42633</v>
      </c>
      <c r="T4727" t="s">
        <v>30</v>
      </c>
      <c r="U4727" t="s">
        <v>31208</v>
      </c>
      <c r="W4727" t="s">
        <v>26020</v>
      </c>
    </row>
    <row r="4728" spans="1:23" x14ac:dyDescent="0.35">
      <c r="A4728">
        <v>1139594</v>
      </c>
      <c r="B4728" t="s">
        <v>9218</v>
      </c>
      <c r="C4728" t="str">
        <f>"9781107026209"</f>
        <v>9781107026209</v>
      </c>
      <c r="D4728" t="str">
        <f>"9781107333307"</f>
        <v>9781107333307</v>
      </c>
      <c r="E4728" t="s">
        <v>167</v>
      </c>
      <c r="F4728" t="s">
        <v>167</v>
      </c>
      <c r="G4728" t="s">
        <v>22179</v>
      </c>
      <c r="H4728" t="s">
        <v>26004</v>
      </c>
      <c r="I4728" s="26">
        <v>41340</v>
      </c>
      <c r="J4728">
        <v>2013</v>
      </c>
      <c r="K4728" t="s">
        <v>167</v>
      </c>
      <c r="L4728">
        <v>186</v>
      </c>
      <c r="M4728" t="s">
        <v>42634</v>
      </c>
      <c r="N4728">
        <v>1</v>
      </c>
      <c r="Q4728" t="s">
        <v>42635</v>
      </c>
      <c r="R4728" t="s">
        <v>42636</v>
      </c>
      <c r="S4728" t="s">
        <v>42637</v>
      </c>
      <c r="T4728" t="s">
        <v>30</v>
      </c>
      <c r="U4728" t="s">
        <v>26040</v>
      </c>
      <c r="W4728" t="s">
        <v>26020</v>
      </c>
    </row>
    <row r="4729" spans="1:23" x14ac:dyDescent="0.35">
      <c r="A4729">
        <v>1139627</v>
      </c>
      <c r="B4729" t="s">
        <v>7892</v>
      </c>
      <c r="C4729" t="str">
        <f>"9781107689855"</f>
        <v>9781107689855</v>
      </c>
      <c r="D4729" t="str">
        <f>"9781107333635"</f>
        <v>9781107333635</v>
      </c>
      <c r="E4729" t="s">
        <v>167</v>
      </c>
      <c r="F4729" t="s">
        <v>167</v>
      </c>
      <c r="G4729" t="s">
        <v>22179</v>
      </c>
      <c r="H4729" t="s">
        <v>26004</v>
      </c>
      <c r="I4729" s="26">
        <v>41347</v>
      </c>
      <c r="J4729">
        <v>2013</v>
      </c>
      <c r="K4729" t="s">
        <v>167</v>
      </c>
      <c r="L4729">
        <v>414</v>
      </c>
      <c r="M4729" t="s">
        <v>42638</v>
      </c>
      <c r="N4729">
        <v>3</v>
      </c>
      <c r="O4729" t="s">
        <v>27379</v>
      </c>
      <c r="Q4729" t="s">
        <v>42639</v>
      </c>
      <c r="R4729">
        <v>616.89142000000004</v>
      </c>
      <c r="S4729" t="s">
        <v>42640</v>
      </c>
      <c r="T4729" t="s">
        <v>30</v>
      </c>
      <c r="U4729" t="s">
        <v>26116</v>
      </c>
      <c r="W4729" t="s">
        <v>26020</v>
      </c>
    </row>
    <row r="4730" spans="1:23" x14ac:dyDescent="0.35">
      <c r="A4730">
        <v>1139649</v>
      </c>
      <c r="B4730" t="s">
        <v>42641</v>
      </c>
      <c r="C4730" t="str">
        <f>"9780521867085"</f>
        <v>9780521867085</v>
      </c>
      <c r="D4730" t="str">
        <f>"9781107347519"</f>
        <v>9781107347519</v>
      </c>
      <c r="E4730" t="s">
        <v>167</v>
      </c>
      <c r="F4730" t="s">
        <v>167</v>
      </c>
      <c r="G4730" t="s">
        <v>22179</v>
      </c>
      <c r="H4730" t="s">
        <v>26004</v>
      </c>
      <c r="I4730" s="26">
        <v>41351</v>
      </c>
      <c r="J4730">
        <v>2013</v>
      </c>
      <c r="K4730" t="s">
        <v>167</v>
      </c>
      <c r="L4730">
        <v>584</v>
      </c>
      <c r="M4730" t="s">
        <v>41220</v>
      </c>
      <c r="N4730">
        <v>1</v>
      </c>
      <c r="Q4730" t="s">
        <v>42642</v>
      </c>
      <c r="R4730" t="s">
        <v>27475</v>
      </c>
      <c r="S4730" t="s">
        <v>42643</v>
      </c>
      <c r="T4730" t="s">
        <v>30</v>
      </c>
      <c r="U4730" t="s">
        <v>26044</v>
      </c>
      <c r="W4730" t="s">
        <v>26020</v>
      </c>
    </row>
    <row r="4731" spans="1:23" x14ac:dyDescent="0.35">
      <c r="A4731">
        <v>1139653</v>
      </c>
      <c r="B4731" t="s">
        <v>8260</v>
      </c>
      <c r="C4731" t="str">
        <f>"9780521879262"</f>
        <v>9780521879262</v>
      </c>
      <c r="D4731" t="str">
        <f>"9781107347557"</f>
        <v>9781107347557</v>
      </c>
      <c r="E4731" t="s">
        <v>167</v>
      </c>
      <c r="F4731" t="s">
        <v>167</v>
      </c>
      <c r="G4731" t="s">
        <v>22179</v>
      </c>
      <c r="H4731" t="s">
        <v>26004</v>
      </c>
      <c r="I4731" s="26">
        <v>41403</v>
      </c>
      <c r="J4731">
        <v>2013</v>
      </c>
      <c r="K4731" t="s">
        <v>167</v>
      </c>
      <c r="L4731">
        <v>322</v>
      </c>
      <c r="M4731" t="s">
        <v>42644</v>
      </c>
      <c r="N4731">
        <v>1</v>
      </c>
      <c r="Q4731" t="s">
        <v>42645</v>
      </c>
      <c r="R4731" t="s">
        <v>40420</v>
      </c>
      <c r="S4731" t="s">
        <v>42646</v>
      </c>
      <c r="T4731" t="s">
        <v>30</v>
      </c>
      <c r="U4731" t="s">
        <v>26116</v>
      </c>
      <c r="W4731" t="s">
        <v>26020</v>
      </c>
    </row>
    <row r="4732" spans="1:23" x14ac:dyDescent="0.35">
      <c r="A4732">
        <v>1139686</v>
      </c>
      <c r="B4732" t="s">
        <v>42647</v>
      </c>
      <c r="C4732" t="str">
        <f>"9781107020092"</f>
        <v>9781107020092</v>
      </c>
      <c r="D4732" t="str">
        <f>"9781107347885"</f>
        <v>9781107347885</v>
      </c>
      <c r="E4732" t="s">
        <v>167</v>
      </c>
      <c r="F4732" t="s">
        <v>167</v>
      </c>
      <c r="G4732" t="s">
        <v>22179</v>
      </c>
      <c r="H4732" t="s">
        <v>26004</v>
      </c>
      <c r="I4732" s="26">
        <v>41382</v>
      </c>
      <c r="J4732">
        <v>2013</v>
      </c>
      <c r="K4732" t="s">
        <v>167</v>
      </c>
      <c r="L4732">
        <v>352</v>
      </c>
      <c r="M4732" t="s">
        <v>42648</v>
      </c>
      <c r="N4732">
        <v>1</v>
      </c>
      <c r="Q4732" t="s">
        <v>42649</v>
      </c>
      <c r="R4732">
        <v>302.33999999999997</v>
      </c>
      <c r="S4732" t="s">
        <v>42650</v>
      </c>
      <c r="T4732" t="s">
        <v>30</v>
      </c>
      <c r="U4732" t="s">
        <v>27171</v>
      </c>
      <c r="W4732" t="s">
        <v>26020</v>
      </c>
    </row>
    <row r="4733" spans="1:23" x14ac:dyDescent="0.35">
      <c r="A4733">
        <v>1139699</v>
      </c>
      <c r="B4733" t="s">
        <v>42651</v>
      </c>
      <c r="C4733" t="str">
        <f>"9781107025219"</f>
        <v>9781107025219</v>
      </c>
      <c r="D4733" t="str">
        <f>"9781107348011"</f>
        <v>9781107348011</v>
      </c>
      <c r="E4733" t="s">
        <v>167</v>
      </c>
      <c r="F4733" t="s">
        <v>167</v>
      </c>
      <c r="G4733" t="s">
        <v>22179</v>
      </c>
      <c r="H4733" t="s">
        <v>26004</v>
      </c>
      <c r="I4733" s="26">
        <v>41362</v>
      </c>
      <c r="J4733">
        <v>2013</v>
      </c>
      <c r="K4733" t="s">
        <v>167</v>
      </c>
      <c r="L4733">
        <v>208</v>
      </c>
      <c r="M4733" t="s">
        <v>42652</v>
      </c>
      <c r="N4733">
        <v>1</v>
      </c>
      <c r="Q4733" t="s">
        <v>42653</v>
      </c>
      <c r="R4733">
        <v>370.1</v>
      </c>
      <c r="S4733" t="s">
        <v>42654</v>
      </c>
      <c r="T4733" t="s">
        <v>30</v>
      </c>
      <c r="U4733" t="s">
        <v>337</v>
      </c>
      <c r="W4733" t="s">
        <v>26020</v>
      </c>
    </row>
    <row r="4734" spans="1:23" x14ac:dyDescent="0.35">
      <c r="A4734">
        <v>1139716</v>
      </c>
      <c r="B4734" t="s">
        <v>42655</v>
      </c>
      <c r="C4734" t="str">
        <f>"9781107028647"</f>
        <v>9781107028647</v>
      </c>
      <c r="D4734" t="str">
        <f>"9781107348189"</f>
        <v>9781107348189</v>
      </c>
      <c r="E4734" t="s">
        <v>167</v>
      </c>
      <c r="F4734" t="s">
        <v>167</v>
      </c>
      <c r="G4734" t="s">
        <v>22179</v>
      </c>
      <c r="H4734" t="s">
        <v>26004</v>
      </c>
      <c r="I4734" s="26">
        <v>41386</v>
      </c>
      <c r="J4734">
        <v>2013</v>
      </c>
      <c r="K4734" t="s">
        <v>167</v>
      </c>
      <c r="L4734">
        <v>242</v>
      </c>
      <c r="M4734" t="s">
        <v>42656</v>
      </c>
      <c r="N4734">
        <v>1</v>
      </c>
      <c r="Q4734" t="s">
        <v>42657</v>
      </c>
      <c r="R4734">
        <v>305.23099999999999</v>
      </c>
      <c r="S4734" t="s">
        <v>42658</v>
      </c>
      <c r="T4734" t="s">
        <v>30</v>
      </c>
      <c r="U4734" t="s">
        <v>26044</v>
      </c>
      <c r="W4734" t="s">
        <v>26020</v>
      </c>
    </row>
    <row r="4735" spans="1:23" x14ac:dyDescent="0.35">
      <c r="A4735">
        <v>1140158</v>
      </c>
      <c r="B4735" t="s">
        <v>42659</v>
      </c>
      <c r="C4735" t="str">
        <f>"9781612345741"</f>
        <v>9781612345741</v>
      </c>
      <c r="D4735" t="str">
        <f>"9781612345758"</f>
        <v>9781612345758</v>
      </c>
      <c r="E4735" t="s">
        <v>30383</v>
      </c>
      <c r="F4735" t="s">
        <v>42660</v>
      </c>
      <c r="G4735" t="s">
        <v>42661</v>
      </c>
      <c r="H4735" t="s">
        <v>26004</v>
      </c>
      <c r="I4735" s="26">
        <v>41306</v>
      </c>
      <c r="J4735">
        <v>2013</v>
      </c>
      <c r="K4735" t="s">
        <v>42660</v>
      </c>
      <c r="L4735">
        <v>155</v>
      </c>
      <c r="M4735" t="s">
        <v>42662</v>
      </c>
      <c r="N4735">
        <v>1</v>
      </c>
      <c r="Q4735" t="s">
        <v>42663</v>
      </c>
      <c r="R4735">
        <v>305.800973</v>
      </c>
      <c r="S4735" t="s">
        <v>42664</v>
      </c>
      <c r="T4735" t="s">
        <v>30</v>
      </c>
      <c r="U4735" t="s">
        <v>28111</v>
      </c>
      <c r="W4735" t="s">
        <v>26009</v>
      </c>
    </row>
    <row r="4736" spans="1:23" x14ac:dyDescent="0.35">
      <c r="A4736">
        <v>1140202</v>
      </c>
      <c r="B4736" t="s">
        <v>42665</v>
      </c>
      <c r="C4736" t="str">
        <f>"9781783601608"</f>
        <v>9781783601608</v>
      </c>
      <c r="D4736" t="str">
        <f>"9781780325552"</f>
        <v>9781780325552</v>
      </c>
      <c r="E4736" t="s">
        <v>31671</v>
      </c>
      <c r="F4736" t="s">
        <v>7474</v>
      </c>
      <c r="G4736" t="s">
        <v>22174</v>
      </c>
      <c r="H4736" t="s">
        <v>26011</v>
      </c>
      <c r="I4736" s="26">
        <v>41334</v>
      </c>
      <c r="J4736">
        <v>2013</v>
      </c>
      <c r="K4736" t="s">
        <v>31672</v>
      </c>
      <c r="L4736">
        <v>324</v>
      </c>
      <c r="M4736" t="s">
        <v>42666</v>
      </c>
      <c r="N4736">
        <v>2</v>
      </c>
      <c r="Q4736" t="s">
        <v>42667</v>
      </c>
      <c r="R4736" t="s">
        <v>42668</v>
      </c>
      <c r="S4736" t="s">
        <v>42669</v>
      </c>
      <c r="T4736" t="s">
        <v>30</v>
      </c>
      <c r="U4736" t="s">
        <v>26044</v>
      </c>
      <c r="W4736" t="s">
        <v>28347</v>
      </c>
    </row>
    <row r="4737" spans="1:23" x14ac:dyDescent="0.35">
      <c r="A4737">
        <v>1141975</v>
      </c>
      <c r="B4737" t="s">
        <v>42670</v>
      </c>
      <c r="C4737" t="str">
        <f>"9780199915156"</f>
        <v>9780199915156</v>
      </c>
      <c r="D4737" t="str">
        <f>"9780199333646"</f>
        <v>9780199333646</v>
      </c>
      <c r="E4737" t="s">
        <v>371</v>
      </c>
      <c r="F4737" t="s">
        <v>31</v>
      </c>
      <c r="G4737" t="s">
        <v>22703</v>
      </c>
      <c r="H4737" t="s">
        <v>26004</v>
      </c>
      <c r="I4737" s="26">
        <v>41362</v>
      </c>
      <c r="J4737">
        <v>2013</v>
      </c>
      <c r="K4737" t="s">
        <v>31</v>
      </c>
      <c r="L4737">
        <v>611</v>
      </c>
      <c r="M4737" t="s">
        <v>42671</v>
      </c>
      <c r="N4737">
        <v>4</v>
      </c>
      <c r="Q4737" t="s">
        <v>42672</v>
      </c>
      <c r="R4737">
        <v>362.19689009730001</v>
      </c>
      <c r="S4737" t="s">
        <v>42673</v>
      </c>
      <c r="T4737" t="s">
        <v>30</v>
      </c>
      <c r="U4737" t="s">
        <v>26250</v>
      </c>
      <c r="W4737" t="s">
        <v>26009</v>
      </c>
    </row>
    <row r="4738" spans="1:23" x14ac:dyDescent="0.35">
      <c r="A4738">
        <v>1141990</v>
      </c>
      <c r="B4738" t="s">
        <v>42674</v>
      </c>
      <c r="C4738" t="str">
        <f>"9780199733668"</f>
        <v>9780199733668</v>
      </c>
      <c r="D4738" t="str">
        <f>"9780199908264"</f>
        <v>9780199908264</v>
      </c>
      <c r="E4738" t="s">
        <v>371</v>
      </c>
      <c r="F4738" t="s">
        <v>31</v>
      </c>
      <c r="G4738" t="s">
        <v>22703</v>
      </c>
      <c r="H4738" t="s">
        <v>26004</v>
      </c>
      <c r="I4738" s="26">
        <v>41331</v>
      </c>
      <c r="J4738">
        <v>2013</v>
      </c>
      <c r="K4738" t="s">
        <v>31</v>
      </c>
      <c r="L4738">
        <v>496</v>
      </c>
      <c r="M4738" t="s">
        <v>42675</v>
      </c>
      <c r="Q4738" t="s">
        <v>42676</v>
      </c>
      <c r="R4738">
        <v>616.89</v>
      </c>
      <c r="S4738" t="s">
        <v>7765</v>
      </c>
      <c r="T4738" t="s">
        <v>30</v>
      </c>
      <c r="U4738" t="s">
        <v>26019</v>
      </c>
      <c r="W4738" t="s">
        <v>26009</v>
      </c>
    </row>
    <row r="4739" spans="1:23" x14ac:dyDescent="0.35">
      <c r="A4739">
        <v>1142858</v>
      </c>
      <c r="B4739" t="s">
        <v>42677</v>
      </c>
      <c r="C4739" t="str">
        <f>"9780335244898"</f>
        <v>9780335244898</v>
      </c>
      <c r="D4739" t="str">
        <f>"9780335244904"</f>
        <v>9780335244904</v>
      </c>
      <c r="E4739" t="s">
        <v>29061</v>
      </c>
      <c r="F4739" t="s">
        <v>7477</v>
      </c>
      <c r="G4739" t="s">
        <v>29068</v>
      </c>
      <c r="H4739" t="s">
        <v>26011</v>
      </c>
      <c r="I4739" s="26">
        <v>41306</v>
      </c>
      <c r="J4739">
        <v>2013</v>
      </c>
      <c r="K4739" t="s">
        <v>29063</v>
      </c>
      <c r="L4739">
        <v>226</v>
      </c>
      <c r="M4739" t="s">
        <v>42678</v>
      </c>
      <c r="N4739">
        <v>1</v>
      </c>
      <c r="O4739" t="s">
        <v>29065</v>
      </c>
      <c r="Q4739" t="s">
        <v>42679</v>
      </c>
      <c r="T4739" t="s">
        <v>30</v>
      </c>
      <c r="U4739" t="s">
        <v>26094</v>
      </c>
      <c r="W4739" t="s">
        <v>26009</v>
      </c>
    </row>
    <row r="4740" spans="1:23" x14ac:dyDescent="0.35">
      <c r="A4740">
        <v>1142861</v>
      </c>
      <c r="B4740" t="s">
        <v>42680</v>
      </c>
      <c r="C4740" t="str">
        <f>"9780335245697"</f>
        <v>9780335245697</v>
      </c>
      <c r="D4740" t="str">
        <f>"9780335245703"</f>
        <v>9780335245703</v>
      </c>
      <c r="E4740" t="s">
        <v>29061</v>
      </c>
      <c r="F4740" t="s">
        <v>7477</v>
      </c>
      <c r="G4740" t="s">
        <v>29068</v>
      </c>
      <c r="H4740" t="s">
        <v>26011</v>
      </c>
      <c r="I4740" s="26">
        <v>41334</v>
      </c>
      <c r="J4740">
        <v>2013</v>
      </c>
      <c r="K4740" t="s">
        <v>29063</v>
      </c>
      <c r="L4740">
        <v>154</v>
      </c>
      <c r="M4740" t="s">
        <v>42681</v>
      </c>
      <c r="N4740">
        <v>1</v>
      </c>
      <c r="O4740" t="s">
        <v>29065</v>
      </c>
      <c r="T4740" t="s">
        <v>30</v>
      </c>
      <c r="U4740" t="s">
        <v>26228</v>
      </c>
      <c r="W4740" t="s">
        <v>26009</v>
      </c>
    </row>
    <row r="4741" spans="1:23" x14ac:dyDescent="0.35">
      <c r="A4741">
        <v>1143678</v>
      </c>
      <c r="B4741" t="s">
        <v>9761</v>
      </c>
      <c r="C4741" t="str">
        <f>"9780415673617"</f>
        <v>9780415673617</v>
      </c>
      <c r="D4741" t="str">
        <f>"9781136658631"</f>
        <v>9781136658631</v>
      </c>
      <c r="E4741" t="s">
        <v>26010</v>
      </c>
      <c r="F4741" t="s">
        <v>35</v>
      </c>
      <c r="G4741" t="s">
        <v>22174</v>
      </c>
      <c r="H4741" t="s">
        <v>26011</v>
      </c>
      <c r="I4741" s="26">
        <v>41380</v>
      </c>
      <c r="J4741">
        <v>2013</v>
      </c>
      <c r="K4741" t="s">
        <v>26012</v>
      </c>
      <c r="L4741">
        <v>513</v>
      </c>
      <c r="M4741" t="s">
        <v>42682</v>
      </c>
      <c r="N4741">
        <v>1</v>
      </c>
      <c r="O4741" t="s">
        <v>35866</v>
      </c>
      <c r="Q4741" t="s">
        <v>42683</v>
      </c>
      <c r="R4741">
        <v>796.01</v>
      </c>
      <c r="S4741" t="s">
        <v>42684</v>
      </c>
      <c r="T4741" t="s">
        <v>30</v>
      </c>
      <c r="U4741" t="s">
        <v>26008</v>
      </c>
      <c r="W4741" t="s">
        <v>26009</v>
      </c>
    </row>
    <row r="4742" spans="1:23" x14ac:dyDescent="0.35">
      <c r="A4742">
        <v>1143690</v>
      </c>
      <c r="B4742" t="s">
        <v>8040</v>
      </c>
      <c r="C4742" t="str">
        <f>"9780415807708"</f>
        <v>9780415807708</v>
      </c>
      <c r="D4742" t="str">
        <f>"9781136506918"</f>
        <v>9781136506918</v>
      </c>
      <c r="E4742" t="s">
        <v>26010</v>
      </c>
      <c r="F4742" t="s">
        <v>35</v>
      </c>
      <c r="G4742" t="s">
        <v>22174</v>
      </c>
      <c r="H4742" t="s">
        <v>26011</v>
      </c>
      <c r="I4742" s="26">
        <v>41330</v>
      </c>
      <c r="J4742">
        <v>2013</v>
      </c>
      <c r="K4742" t="s">
        <v>26012</v>
      </c>
      <c r="L4742">
        <v>409</v>
      </c>
      <c r="M4742" t="s">
        <v>42685</v>
      </c>
      <c r="N4742">
        <v>3</v>
      </c>
      <c r="O4742" t="s">
        <v>42686</v>
      </c>
      <c r="Q4742" t="s">
        <v>42687</v>
      </c>
      <c r="R4742" t="s">
        <v>42688</v>
      </c>
      <c r="S4742" t="s">
        <v>42689</v>
      </c>
      <c r="T4742" t="s">
        <v>30</v>
      </c>
      <c r="U4742" t="s">
        <v>337</v>
      </c>
      <c r="W4742" t="s">
        <v>26009</v>
      </c>
    </row>
    <row r="4743" spans="1:23" x14ac:dyDescent="0.35">
      <c r="A4743">
        <v>1143696</v>
      </c>
      <c r="B4743" t="s">
        <v>42690</v>
      </c>
      <c r="C4743" t="str">
        <f>"9780415534284"</f>
        <v>9780415534284</v>
      </c>
      <c r="D4743" t="str">
        <f>"9781136287275"</f>
        <v>9781136287275</v>
      </c>
      <c r="E4743" t="s">
        <v>26010</v>
      </c>
      <c r="F4743" t="s">
        <v>35</v>
      </c>
      <c r="G4743" t="s">
        <v>26128</v>
      </c>
      <c r="H4743" t="s">
        <v>26011</v>
      </c>
      <c r="I4743" s="26">
        <v>41211</v>
      </c>
      <c r="J4743">
        <v>2013</v>
      </c>
      <c r="K4743" t="s">
        <v>26012</v>
      </c>
      <c r="L4743">
        <v>309</v>
      </c>
      <c r="M4743" t="s">
        <v>42691</v>
      </c>
      <c r="N4743">
        <v>1</v>
      </c>
      <c r="O4743" t="s">
        <v>42294</v>
      </c>
      <c r="S4743" t="s">
        <v>9337</v>
      </c>
      <c r="T4743" t="s">
        <v>30</v>
      </c>
      <c r="U4743" t="s">
        <v>46</v>
      </c>
      <c r="W4743" t="s">
        <v>26009</v>
      </c>
    </row>
    <row r="4744" spans="1:23" x14ac:dyDescent="0.35">
      <c r="A4744">
        <v>1143713</v>
      </c>
      <c r="B4744" t="s">
        <v>9267</v>
      </c>
      <c r="C4744" t="str">
        <f>"9780415871037"</f>
        <v>9780415871037</v>
      </c>
      <c r="D4744" t="str">
        <f>"9781135201838"</f>
        <v>9781135201838</v>
      </c>
      <c r="E4744" t="s">
        <v>26010</v>
      </c>
      <c r="F4744" t="s">
        <v>35</v>
      </c>
      <c r="G4744" t="s">
        <v>22174</v>
      </c>
      <c r="H4744" t="s">
        <v>26011</v>
      </c>
      <c r="I4744" s="26">
        <v>41246</v>
      </c>
      <c r="J4744">
        <v>2013</v>
      </c>
      <c r="K4744" t="s">
        <v>26012</v>
      </c>
      <c r="L4744">
        <v>361</v>
      </c>
      <c r="M4744" t="s">
        <v>42692</v>
      </c>
      <c r="N4744">
        <v>2</v>
      </c>
      <c r="Q4744" t="s">
        <v>42693</v>
      </c>
      <c r="R4744">
        <v>616.85260600000004</v>
      </c>
      <c r="S4744" t="s">
        <v>42694</v>
      </c>
      <c r="T4744" t="s">
        <v>30</v>
      </c>
      <c r="U4744" t="s">
        <v>26019</v>
      </c>
      <c r="W4744" t="s">
        <v>26009</v>
      </c>
    </row>
    <row r="4745" spans="1:23" x14ac:dyDescent="0.35">
      <c r="A4745">
        <v>1143719</v>
      </c>
      <c r="B4745" t="s">
        <v>8489</v>
      </c>
      <c r="C4745" t="str">
        <f>"9781848720503"</f>
        <v>9781848720503</v>
      </c>
      <c r="D4745" t="str">
        <f>"9781135007997"</f>
        <v>9781135007997</v>
      </c>
      <c r="E4745" t="s">
        <v>26010</v>
      </c>
      <c r="F4745" t="s">
        <v>35</v>
      </c>
      <c r="G4745" t="s">
        <v>22174</v>
      </c>
      <c r="H4745" t="s">
        <v>26011</v>
      </c>
      <c r="I4745" s="26">
        <v>41257</v>
      </c>
      <c r="J4745">
        <v>2013</v>
      </c>
      <c r="K4745" t="s">
        <v>660</v>
      </c>
      <c r="L4745">
        <v>321</v>
      </c>
      <c r="M4745" t="s">
        <v>42695</v>
      </c>
      <c r="N4745">
        <v>2</v>
      </c>
      <c r="Q4745" t="s">
        <v>42696</v>
      </c>
      <c r="R4745">
        <v>155</v>
      </c>
      <c r="S4745" t="s">
        <v>42697</v>
      </c>
      <c r="T4745" t="s">
        <v>30</v>
      </c>
      <c r="U4745" t="s">
        <v>46</v>
      </c>
      <c r="W4745" t="s">
        <v>26159</v>
      </c>
    </row>
    <row r="4746" spans="1:23" x14ac:dyDescent="0.35">
      <c r="A4746">
        <v>1143762</v>
      </c>
      <c r="B4746" t="s">
        <v>42698</v>
      </c>
      <c r="C4746" t="str">
        <f>"9781848720428"</f>
        <v>9781848720428</v>
      </c>
      <c r="D4746" t="str">
        <f>"9781136178306"</f>
        <v>9781136178306</v>
      </c>
      <c r="E4746" t="s">
        <v>26010</v>
      </c>
      <c r="F4746" t="s">
        <v>35</v>
      </c>
      <c r="G4746" t="s">
        <v>22174</v>
      </c>
      <c r="H4746" t="s">
        <v>26011</v>
      </c>
      <c r="I4746" s="26">
        <v>41243</v>
      </c>
      <c r="J4746">
        <v>2013</v>
      </c>
      <c r="K4746" t="s">
        <v>660</v>
      </c>
      <c r="L4746">
        <v>337</v>
      </c>
      <c r="M4746" t="s">
        <v>42699</v>
      </c>
      <c r="N4746">
        <v>3</v>
      </c>
      <c r="Q4746" t="s">
        <v>42700</v>
      </c>
      <c r="R4746">
        <v>152.13999999999999</v>
      </c>
      <c r="S4746" t="s">
        <v>8786</v>
      </c>
      <c r="T4746" t="s">
        <v>30</v>
      </c>
      <c r="U4746" t="s">
        <v>46</v>
      </c>
      <c r="W4746" t="s">
        <v>26009</v>
      </c>
    </row>
    <row r="4747" spans="1:23" x14ac:dyDescent="0.35">
      <c r="A4747">
        <v>1143779</v>
      </c>
      <c r="B4747" t="s">
        <v>42701</v>
      </c>
      <c r="C4747" t="str">
        <f>"9781848726222"</f>
        <v>9781848726222</v>
      </c>
      <c r="D4747" t="str">
        <f>"9781135122546"</f>
        <v>9781135122546</v>
      </c>
      <c r="E4747" t="s">
        <v>26010</v>
      </c>
      <c r="F4747" t="s">
        <v>35</v>
      </c>
      <c r="G4747" t="s">
        <v>22174</v>
      </c>
      <c r="H4747" t="s">
        <v>26011</v>
      </c>
      <c r="I4747" s="26">
        <v>41318</v>
      </c>
      <c r="J4747">
        <v>2013</v>
      </c>
      <c r="K4747" t="s">
        <v>660</v>
      </c>
      <c r="L4747">
        <v>266</v>
      </c>
      <c r="M4747" t="s">
        <v>42702</v>
      </c>
      <c r="N4747">
        <v>1</v>
      </c>
      <c r="Q4747" t="s">
        <v>42703</v>
      </c>
      <c r="R4747">
        <v>616.89139999999998</v>
      </c>
      <c r="S4747" t="s">
        <v>8881</v>
      </c>
      <c r="T4747" t="s">
        <v>30</v>
      </c>
      <c r="U4747" t="s">
        <v>26040</v>
      </c>
      <c r="W4747" t="s">
        <v>26009</v>
      </c>
    </row>
    <row r="4748" spans="1:23" x14ac:dyDescent="0.35">
      <c r="A4748">
        <v>1143799</v>
      </c>
      <c r="B4748" t="s">
        <v>7863</v>
      </c>
      <c r="C4748" t="str">
        <f>"9780415527170"</f>
        <v>9780415527170</v>
      </c>
      <c r="D4748" t="str">
        <f>"9781135068585"</f>
        <v>9781135068585</v>
      </c>
      <c r="E4748" t="s">
        <v>26010</v>
      </c>
      <c r="F4748" t="s">
        <v>35</v>
      </c>
      <c r="G4748" t="s">
        <v>22174</v>
      </c>
      <c r="H4748" t="s">
        <v>26011</v>
      </c>
      <c r="I4748" s="26">
        <v>41353</v>
      </c>
      <c r="J4748">
        <v>2013</v>
      </c>
      <c r="K4748" t="s">
        <v>26012</v>
      </c>
      <c r="L4748">
        <v>301</v>
      </c>
      <c r="M4748" t="s">
        <v>42704</v>
      </c>
      <c r="N4748">
        <v>1</v>
      </c>
      <c r="Q4748" t="s">
        <v>42705</v>
      </c>
      <c r="R4748">
        <v>616.85260000000005</v>
      </c>
      <c r="S4748" t="s">
        <v>7864</v>
      </c>
      <c r="T4748" t="s">
        <v>30</v>
      </c>
      <c r="U4748" t="s">
        <v>26116</v>
      </c>
      <c r="W4748" t="s">
        <v>26009</v>
      </c>
    </row>
    <row r="4749" spans="1:23" x14ac:dyDescent="0.35">
      <c r="A4749">
        <v>1143819</v>
      </c>
      <c r="B4749" t="s">
        <v>42706</v>
      </c>
      <c r="C4749" t="str">
        <f>"9780415683760"</f>
        <v>9780415683760</v>
      </c>
      <c r="D4749" t="str">
        <f>"9781135114879"</f>
        <v>9781135114879</v>
      </c>
      <c r="E4749" t="s">
        <v>26010</v>
      </c>
      <c r="F4749" t="s">
        <v>35</v>
      </c>
      <c r="G4749" t="s">
        <v>22174</v>
      </c>
      <c r="H4749" t="s">
        <v>26011</v>
      </c>
      <c r="I4749" s="26">
        <v>41278</v>
      </c>
      <c r="J4749">
        <v>2013</v>
      </c>
      <c r="K4749" t="s">
        <v>26012</v>
      </c>
      <c r="L4749">
        <v>257</v>
      </c>
      <c r="M4749" t="s">
        <v>42707</v>
      </c>
      <c r="N4749">
        <v>1</v>
      </c>
      <c r="Q4749" t="s">
        <v>42708</v>
      </c>
      <c r="R4749" t="s">
        <v>40400</v>
      </c>
      <c r="S4749" t="s">
        <v>8076</v>
      </c>
      <c r="T4749" t="s">
        <v>30</v>
      </c>
      <c r="U4749" t="s">
        <v>26040</v>
      </c>
      <c r="W4749" t="s">
        <v>26009</v>
      </c>
    </row>
    <row r="4750" spans="1:23" x14ac:dyDescent="0.35">
      <c r="A4750">
        <v>1143823</v>
      </c>
      <c r="B4750" t="s">
        <v>8137</v>
      </c>
      <c r="C4750" t="str">
        <f>"9781848728660"</f>
        <v>9781848728660</v>
      </c>
      <c r="D4750" t="str">
        <f>"9781135103132"</f>
        <v>9781135103132</v>
      </c>
      <c r="E4750" t="s">
        <v>26010</v>
      </c>
      <c r="F4750" t="s">
        <v>35</v>
      </c>
      <c r="G4750" t="s">
        <v>22174</v>
      </c>
      <c r="H4750" t="s">
        <v>26011</v>
      </c>
      <c r="I4750" s="26">
        <v>41351</v>
      </c>
      <c r="J4750">
        <v>2013</v>
      </c>
      <c r="K4750" t="s">
        <v>660</v>
      </c>
      <c r="L4750">
        <v>265</v>
      </c>
      <c r="M4750" t="s">
        <v>42709</v>
      </c>
      <c r="N4750">
        <v>1</v>
      </c>
      <c r="O4750" t="s">
        <v>27743</v>
      </c>
      <c r="Q4750" t="s">
        <v>42710</v>
      </c>
      <c r="R4750">
        <v>616.85882000000004</v>
      </c>
      <c r="S4750" t="s">
        <v>42711</v>
      </c>
      <c r="T4750" t="s">
        <v>30</v>
      </c>
      <c r="U4750" t="s">
        <v>26019</v>
      </c>
      <c r="W4750" t="s">
        <v>26009</v>
      </c>
    </row>
    <row r="4751" spans="1:23" x14ac:dyDescent="0.35">
      <c r="A4751">
        <v>1143827</v>
      </c>
      <c r="B4751" t="s">
        <v>42712</v>
      </c>
      <c r="C4751" t="str">
        <f>"9780415807180"</f>
        <v>9780415807180</v>
      </c>
      <c r="D4751" t="str">
        <f>"9781136227387"</f>
        <v>9781136227387</v>
      </c>
      <c r="E4751" t="s">
        <v>26010</v>
      </c>
      <c r="F4751" t="s">
        <v>35</v>
      </c>
      <c r="G4751" t="s">
        <v>22174</v>
      </c>
      <c r="H4751" t="s">
        <v>26011</v>
      </c>
      <c r="I4751" s="26">
        <v>41234</v>
      </c>
      <c r="J4751">
        <v>2013</v>
      </c>
      <c r="K4751" t="s">
        <v>26012</v>
      </c>
      <c r="L4751">
        <v>301</v>
      </c>
      <c r="M4751" t="s">
        <v>42713</v>
      </c>
      <c r="N4751">
        <v>1</v>
      </c>
      <c r="O4751" t="s">
        <v>41707</v>
      </c>
      <c r="Q4751" t="s">
        <v>42714</v>
      </c>
      <c r="R4751" t="s">
        <v>42715</v>
      </c>
      <c r="S4751" t="s">
        <v>42716</v>
      </c>
      <c r="T4751" t="s">
        <v>30</v>
      </c>
      <c r="U4751" t="s">
        <v>27699</v>
      </c>
      <c r="W4751" t="s">
        <v>26009</v>
      </c>
    </row>
    <row r="4752" spans="1:23" x14ac:dyDescent="0.35">
      <c r="A4752">
        <v>1143828</v>
      </c>
      <c r="B4752" t="s">
        <v>42717</v>
      </c>
      <c r="C4752" t="str">
        <f>"9780415662048"</f>
        <v>9780415662048</v>
      </c>
      <c r="D4752" t="str">
        <f>"9781135100827"</f>
        <v>9781135100827</v>
      </c>
      <c r="E4752" t="s">
        <v>26010</v>
      </c>
      <c r="F4752" t="s">
        <v>35</v>
      </c>
      <c r="G4752" t="s">
        <v>22174</v>
      </c>
      <c r="H4752" t="s">
        <v>26011</v>
      </c>
      <c r="I4752" s="26">
        <v>41341</v>
      </c>
      <c r="J4752">
        <v>2013</v>
      </c>
      <c r="K4752" t="s">
        <v>26012</v>
      </c>
      <c r="L4752">
        <v>225</v>
      </c>
      <c r="M4752" t="s">
        <v>42718</v>
      </c>
      <c r="N4752">
        <v>1</v>
      </c>
      <c r="Q4752" t="s">
        <v>42719</v>
      </c>
      <c r="R4752">
        <v>393.9</v>
      </c>
      <c r="S4752" t="s">
        <v>8188</v>
      </c>
      <c r="T4752" t="s">
        <v>30</v>
      </c>
      <c r="U4752" t="s">
        <v>26044</v>
      </c>
      <c r="W4752" t="s">
        <v>26009</v>
      </c>
    </row>
    <row r="4753" spans="1:23" x14ac:dyDescent="0.35">
      <c r="A4753">
        <v>1143862</v>
      </c>
      <c r="B4753" t="s">
        <v>27191</v>
      </c>
      <c r="C4753" t="str">
        <f>"9780415814775"</f>
        <v>9780415814775</v>
      </c>
      <c r="D4753" t="str">
        <f>"9781135067700"</f>
        <v>9781135067700</v>
      </c>
      <c r="E4753" t="s">
        <v>26010</v>
      </c>
      <c r="F4753" t="s">
        <v>35</v>
      </c>
      <c r="G4753" t="s">
        <v>22174</v>
      </c>
      <c r="H4753" t="s">
        <v>26011</v>
      </c>
      <c r="I4753" s="26">
        <v>41368</v>
      </c>
      <c r="J4753">
        <v>2013</v>
      </c>
      <c r="K4753" t="s">
        <v>26012</v>
      </c>
      <c r="L4753">
        <v>201</v>
      </c>
      <c r="M4753" t="s">
        <v>27192</v>
      </c>
      <c r="N4753">
        <v>2</v>
      </c>
      <c r="Q4753" t="s">
        <v>42720</v>
      </c>
      <c r="R4753" t="s">
        <v>27194</v>
      </c>
      <c r="S4753" t="s">
        <v>27195</v>
      </c>
      <c r="T4753" t="s">
        <v>30</v>
      </c>
      <c r="U4753" t="s">
        <v>26019</v>
      </c>
      <c r="W4753" t="s">
        <v>26009</v>
      </c>
    </row>
    <row r="4754" spans="1:23" x14ac:dyDescent="0.35">
      <c r="A4754">
        <v>1143868</v>
      </c>
      <c r="B4754" t="s">
        <v>9245</v>
      </c>
      <c r="C4754" t="str">
        <f>"9781848720961"</f>
        <v>9781848720961</v>
      </c>
      <c r="D4754" t="str">
        <f>"9781135068660"</f>
        <v>9781135068660</v>
      </c>
      <c r="E4754" t="s">
        <v>26010</v>
      </c>
      <c r="F4754" t="s">
        <v>35</v>
      </c>
      <c r="G4754" t="s">
        <v>22174</v>
      </c>
      <c r="H4754" t="s">
        <v>26011</v>
      </c>
      <c r="I4754" s="26">
        <v>41367</v>
      </c>
      <c r="J4754">
        <v>2013</v>
      </c>
      <c r="K4754" t="s">
        <v>660</v>
      </c>
      <c r="L4754">
        <v>234</v>
      </c>
      <c r="M4754" t="s">
        <v>42721</v>
      </c>
      <c r="N4754">
        <v>1</v>
      </c>
      <c r="Q4754" t="s">
        <v>42722</v>
      </c>
      <c r="R4754" t="s">
        <v>26847</v>
      </c>
      <c r="S4754" t="s">
        <v>9246</v>
      </c>
      <c r="T4754" t="s">
        <v>30</v>
      </c>
      <c r="U4754" t="s">
        <v>27817</v>
      </c>
      <c r="W4754" t="s">
        <v>26009</v>
      </c>
    </row>
    <row r="4755" spans="1:23" x14ac:dyDescent="0.35">
      <c r="A4755">
        <v>1143887</v>
      </c>
      <c r="B4755" t="s">
        <v>42723</v>
      </c>
      <c r="C4755" t="str">
        <f>"9780415879453"</f>
        <v>9780415879453</v>
      </c>
      <c r="D4755" t="str">
        <f>"9781135118754"</f>
        <v>9781135118754</v>
      </c>
      <c r="E4755" t="s">
        <v>26010</v>
      </c>
      <c r="F4755" t="s">
        <v>35</v>
      </c>
      <c r="G4755" t="s">
        <v>22174</v>
      </c>
      <c r="H4755" t="s">
        <v>26011</v>
      </c>
      <c r="I4755" s="26">
        <v>41250</v>
      </c>
      <c r="J4755">
        <v>2013</v>
      </c>
      <c r="K4755" t="s">
        <v>26012</v>
      </c>
      <c r="L4755">
        <v>513</v>
      </c>
      <c r="M4755" t="s">
        <v>42724</v>
      </c>
      <c r="N4755">
        <v>1</v>
      </c>
      <c r="Q4755" t="s">
        <v>42725</v>
      </c>
      <c r="R4755">
        <v>306.85000000000002</v>
      </c>
      <c r="S4755" t="s">
        <v>8616</v>
      </c>
      <c r="T4755" t="s">
        <v>30</v>
      </c>
      <c r="U4755" t="s">
        <v>26044</v>
      </c>
      <c r="W4755" t="s">
        <v>26009</v>
      </c>
    </row>
    <row r="4756" spans="1:23" x14ac:dyDescent="0.35">
      <c r="A4756">
        <v>1144398</v>
      </c>
      <c r="B4756" t="s">
        <v>42726</v>
      </c>
      <c r="C4756" t="str">
        <f>"9780415934992"</f>
        <v>9780415934992</v>
      </c>
      <c r="D4756" t="str">
        <f>"9781135951818"</f>
        <v>9781135951818</v>
      </c>
      <c r="E4756" t="s">
        <v>26010</v>
      </c>
      <c r="F4756" t="s">
        <v>35</v>
      </c>
      <c r="G4756" t="s">
        <v>22174</v>
      </c>
      <c r="H4756" t="s">
        <v>26011</v>
      </c>
      <c r="I4756" s="26">
        <v>37449</v>
      </c>
      <c r="J4756">
        <v>2002</v>
      </c>
      <c r="K4756" t="s">
        <v>26012</v>
      </c>
      <c r="L4756">
        <v>242</v>
      </c>
      <c r="M4756" t="s">
        <v>42727</v>
      </c>
      <c r="N4756">
        <v>1</v>
      </c>
      <c r="R4756">
        <v>616.89139999999998</v>
      </c>
      <c r="S4756" t="s">
        <v>7648</v>
      </c>
      <c r="T4756" t="s">
        <v>30</v>
      </c>
      <c r="U4756" t="s">
        <v>26040</v>
      </c>
      <c r="W4756" t="s">
        <v>26009</v>
      </c>
    </row>
    <row r="4757" spans="1:23" x14ac:dyDescent="0.35">
      <c r="A4757">
        <v>1144417</v>
      </c>
      <c r="B4757" t="s">
        <v>42728</v>
      </c>
      <c r="C4757" t="str">
        <f>"9780415486392"</f>
        <v>9780415486392</v>
      </c>
      <c r="D4757" t="str">
        <f>"9781136886706"</f>
        <v>9781136886706</v>
      </c>
      <c r="E4757" t="s">
        <v>26010</v>
      </c>
      <c r="F4757" t="s">
        <v>35</v>
      </c>
      <c r="G4757" t="s">
        <v>22174</v>
      </c>
      <c r="H4757" t="s">
        <v>26011</v>
      </c>
      <c r="I4757" s="26">
        <v>40505</v>
      </c>
      <c r="J4757">
        <v>2011</v>
      </c>
      <c r="K4757" t="s">
        <v>26012</v>
      </c>
      <c r="L4757">
        <v>241</v>
      </c>
      <c r="M4757" t="s">
        <v>42729</v>
      </c>
      <c r="N4757">
        <v>1</v>
      </c>
      <c r="Q4757" t="s">
        <v>42730</v>
      </c>
      <c r="R4757">
        <v>616.89156000000003</v>
      </c>
      <c r="S4757" t="s">
        <v>8562</v>
      </c>
      <c r="T4757" t="s">
        <v>30</v>
      </c>
      <c r="U4757" t="s">
        <v>26116</v>
      </c>
      <c r="W4757" t="s">
        <v>26009</v>
      </c>
    </row>
    <row r="4758" spans="1:23" x14ac:dyDescent="0.35">
      <c r="A4758">
        <v>1144418</v>
      </c>
      <c r="B4758" t="s">
        <v>42731</v>
      </c>
      <c r="C4758" t="str">
        <f>"9780415549462"</f>
        <v>9780415549462</v>
      </c>
      <c r="D4758" t="str">
        <f>"9781136837982"</f>
        <v>9781136837982</v>
      </c>
      <c r="E4758" t="s">
        <v>26010</v>
      </c>
      <c r="F4758" t="s">
        <v>35</v>
      </c>
      <c r="G4758" t="s">
        <v>22174</v>
      </c>
      <c r="H4758" t="s">
        <v>26011</v>
      </c>
      <c r="I4758" s="26">
        <v>40513</v>
      </c>
      <c r="J4758">
        <v>2011</v>
      </c>
      <c r="K4758" t="s">
        <v>26012</v>
      </c>
      <c r="L4758">
        <v>290</v>
      </c>
      <c r="M4758" t="s">
        <v>42732</v>
      </c>
      <c r="N4758">
        <v>1</v>
      </c>
      <c r="O4758" t="s">
        <v>40336</v>
      </c>
      <c r="Q4758" t="s">
        <v>42733</v>
      </c>
      <c r="R4758">
        <v>616.89142000000004</v>
      </c>
      <c r="S4758" t="s">
        <v>7779</v>
      </c>
      <c r="T4758" t="s">
        <v>30</v>
      </c>
      <c r="U4758" t="s">
        <v>26116</v>
      </c>
      <c r="W4758" t="s">
        <v>26009</v>
      </c>
    </row>
    <row r="4759" spans="1:23" x14ac:dyDescent="0.35">
      <c r="A4759">
        <v>1144492</v>
      </c>
      <c r="B4759" t="s">
        <v>7457</v>
      </c>
      <c r="C4759" t="str">
        <f>"9780415227711"</f>
        <v>9780415227711</v>
      </c>
      <c r="D4759" t="str">
        <f>"9781134694822"</f>
        <v>9781134694822</v>
      </c>
      <c r="E4759" t="s">
        <v>26010</v>
      </c>
      <c r="F4759" t="s">
        <v>35</v>
      </c>
      <c r="G4759" t="s">
        <v>22174</v>
      </c>
      <c r="H4759" t="s">
        <v>26011</v>
      </c>
      <c r="I4759" s="26">
        <v>37526</v>
      </c>
      <c r="J4759">
        <v>2002</v>
      </c>
      <c r="K4759" t="s">
        <v>26012</v>
      </c>
      <c r="L4759">
        <v>371</v>
      </c>
      <c r="M4759" t="s">
        <v>42734</v>
      </c>
      <c r="N4759">
        <v>1</v>
      </c>
      <c r="Q4759" t="s">
        <v>42735</v>
      </c>
      <c r="R4759" t="s">
        <v>27138</v>
      </c>
      <c r="S4759" t="s">
        <v>7458</v>
      </c>
      <c r="T4759" t="s">
        <v>30</v>
      </c>
      <c r="U4759" t="s">
        <v>46</v>
      </c>
      <c r="W4759" t="s">
        <v>26009</v>
      </c>
    </row>
    <row r="4760" spans="1:23" x14ac:dyDescent="0.35">
      <c r="A4760">
        <v>1144775</v>
      </c>
      <c r="B4760" t="s">
        <v>9290</v>
      </c>
      <c r="C4760" t="str">
        <f>"9781780490977"</f>
        <v>9781780490977</v>
      </c>
      <c r="D4760" t="str">
        <f>"9780429916830"</f>
        <v>9780429916830</v>
      </c>
      <c r="E4760" t="s">
        <v>26010</v>
      </c>
      <c r="F4760" t="s">
        <v>35</v>
      </c>
      <c r="G4760" t="s">
        <v>22174</v>
      </c>
      <c r="H4760" t="s">
        <v>26011</v>
      </c>
      <c r="I4760" s="26">
        <v>41334</v>
      </c>
      <c r="J4760">
        <v>2013</v>
      </c>
      <c r="K4760" t="s">
        <v>26012</v>
      </c>
      <c r="L4760">
        <v>283</v>
      </c>
      <c r="M4760" t="s">
        <v>42736</v>
      </c>
      <c r="N4760">
        <v>1</v>
      </c>
      <c r="O4760" t="s">
        <v>36658</v>
      </c>
      <c r="Q4760" t="s">
        <v>42737</v>
      </c>
      <c r="R4760">
        <v>152.46</v>
      </c>
      <c r="S4760" t="s">
        <v>42738</v>
      </c>
      <c r="T4760" t="s">
        <v>30</v>
      </c>
      <c r="U4760" t="s">
        <v>26019</v>
      </c>
      <c r="W4760" t="s">
        <v>26009</v>
      </c>
    </row>
    <row r="4761" spans="1:23" x14ac:dyDescent="0.35">
      <c r="A4761">
        <v>1144780</v>
      </c>
      <c r="B4761" t="s">
        <v>10183</v>
      </c>
      <c r="C4761" t="str">
        <f>"9780765709196"</f>
        <v>9780765709196</v>
      </c>
      <c r="D4761" t="str">
        <f>"9780765709202"</f>
        <v>9780765709202</v>
      </c>
      <c r="E4761" t="s">
        <v>33803</v>
      </c>
      <c r="F4761" t="s">
        <v>38</v>
      </c>
      <c r="G4761" t="s">
        <v>34138</v>
      </c>
      <c r="H4761" t="s">
        <v>26004</v>
      </c>
      <c r="I4761" s="26">
        <v>41347</v>
      </c>
      <c r="J4761">
        <v>2013</v>
      </c>
      <c r="K4761" t="s">
        <v>33811</v>
      </c>
      <c r="L4761">
        <v>369</v>
      </c>
      <c r="M4761" t="s">
        <v>42739</v>
      </c>
      <c r="N4761">
        <v>1</v>
      </c>
      <c r="O4761" t="s">
        <v>35142</v>
      </c>
      <c r="Q4761" t="s">
        <v>42740</v>
      </c>
      <c r="R4761" t="s">
        <v>26422</v>
      </c>
      <c r="S4761" t="s">
        <v>42741</v>
      </c>
      <c r="T4761" t="s">
        <v>30</v>
      </c>
      <c r="U4761" t="s">
        <v>26040</v>
      </c>
      <c r="W4761" t="s">
        <v>26009</v>
      </c>
    </row>
    <row r="4762" spans="1:23" x14ac:dyDescent="0.35">
      <c r="A4762">
        <v>1152988</v>
      </c>
      <c r="B4762" t="s">
        <v>8334</v>
      </c>
      <c r="C4762" t="str">
        <f>"9789042036185"</f>
        <v>9789042036185</v>
      </c>
      <c r="D4762" t="str">
        <f>"9789401208895"</f>
        <v>9789401208895</v>
      </c>
      <c r="E4762" t="s">
        <v>4602</v>
      </c>
      <c r="F4762" t="s">
        <v>27</v>
      </c>
      <c r="G4762" t="s">
        <v>22231</v>
      </c>
      <c r="H4762" t="s">
        <v>26004</v>
      </c>
      <c r="I4762" s="26">
        <v>41275</v>
      </c>
      <c r="J4762">
        <v>2013</v>
      </c>
      <c r="K4762" t="s">
        <v>34659</v>
      </c>
      <c r="L4762">
        <v>320</v>
      </c>
      <c r="M4762" t="s">
        <v>42742</v>
      </c>
      <c r="N4762">
        <v>1</v>
      </c>
      <c r="O4762" t="s">
        <v>42743</v>
      </c>
      <c r="P4762">
        <v>30</v>
      </c>
      <c r="S4762" t="s">
        <v>42744</v>
      </c>
      <c r="T4762" t="s">
        <v>30</v>
      </c>
      <c r="U4762" t="s">
        <v>42535</v>
      </c>
      <c r="W4762" t="s">
        <v>26009</v>
      </c>
    </row>
    <row r="4763" spans="1:23" x14ac:dyDescent="0.35">
      <c r="A4763">
        <v>1153137</v>
      </c>
      <c r="B4763" t="s">
        <v>42745</v>
      </c>
      <c r="C4763" t="str">
        <f>"9780826108982"</f>
        <v>9780826108982</v>
      </c>
      <c r="D4763" t="str">
        <f>"9780826108999"</f>
        <v>9780826108999</v>
      </c>
      <c r="E4763" t="s">
        <v>1504</v>
      </c>
      <c r="F4763" t="s">
        <v>33</v>
      </c>
      <c r="G4763" t="s">
        <v>22179</v>
      </c>
      <c r="H4763" t="s">
        <v>26004</v>
      </c>
      <c r="I4763" s="26">
        <v>41306</v>
      </c>
      <c r="J4763">
        <v>2013</v>
      </c>
      <c r="K4763" t="s">
        <v>33</v>
      </c>
      <c r="L4763">
        <v>309</v>
      </c>
      <c r="M4763" t="s">
        <v>29850</v>
      </c>
      <c r="N4763">
        <v>4</v>
      </c>
      <c r="Q4763" t="s">
        <v>42746</v>
      </c>
      <c r="R4763">
        <v>155.19999999999999</v>
      </c>
      <c r="S4763" t="s">
        <v>42747</v>
      </c>
      <c r="T4763" t="s">
        <v>30</v>
      </c>
      <c r="U4763" t="s">
        <v>46</v>
      </c>
      <c r="W4763" t="s">
        <v>26009</v>
      </c>
    </row>
    <row r="4764" spans="1:23" x14ac:dyDescent="0.35">
      <c r="A4764">
        <v>1153801</v>
      </c>
      <c r="B4764" t="s">
        <v>42748</v>
      </c>
      <c r="C4764" t="str">
        <f>"9780765708212"</f>
        <v>9780765708212</v>
      </c>
      <c r="D4764" t="str">
        <f>"9780765709080"</f>
        <v>9780765709080</v>
      </c>
      <c r="E4764" t="s">
        <v>33803</v>
      </c>
      <c r="F4764" t="s">
        <v>38</v>
      </c>
      <c r="G4764" t="s">
        <v>34138</v>
      </c>
      <c r="H4764" t="s">
        <v>26004</v>
      </c>
      <c r="I4764" s="26">
        <v>40893</v>
      </c>
      <c r="J4764">
        <v>2011</v>
      </c>
      <c r="K4764" t="s">
        <v>33811</v>
      </c>
      <c r="L4764">
        <v>239</v>
      </c>
      <c r="M4764" t="s">
        <v>42749</v>
      </c>
      <c r="N4764">
        <v>1</v>
      </c>
      <c r="Q4764" t="s">
        <v>42750</v>
      </c>
      <c r="R4764" t="s">
        <v>26047</v>
      </c>
      <c r="S4764" t="s">
        <v>42751</v>
      </c>
      <c r="T4764" t="s">
        <v>30</v>
      </c>
      <c r="U4764" t="s">
        <v>46</v>
      </c>
      <c r="W4764" t="s">
        <v>26009</v>
      </c>
    </row>
    <row r="4765" spans="1:23" x14ac:dyDescent="0.35">
      <c r="A4765">
        <v>1154057</v>
      </c>
      <c r="B4765" t="s">
        <v>42752</v>
      </c>
      <c r="C4765" t="str">
        <f>"9780813560922"</f>
        <v>9780813560922</v>
      </c>
      <c r="D4765" t="str">
        <f>"9780813560939"</f>
        <v>9780813560939</v>
      </c>
      <c r="E4765" t="s">
        <v>3024</v>
      </c>
      <c r="F4765" t="s">
        <v>3024</v>
      </c>
      <c r="G4765" t="s">
        <v>23823</v>
      </c>
      <c r="H4765" t="s">
        <v>26004</v>
      </c>
      <c r="I4765" s="26">
        <v>41397</v>
      </c>
      <c r="J4765">
        <v>2013</v>
      </c>
      <c r="K4765" t="s">
        <v>3024</v>
      </c>
      <c r="L4765">
        <v>189</v>
      </c>
      <c r="M4765" t="s">
        <v>42753</v>
      </c>
      <c r="N4765">
        <v>1</v>
      </c>
      <c r="R4765">
        <v>362.19639799999999</v>
      </c>
      <c r="S4765" t="s">
        <v>8451</v>
      </c>
      <c r="T4765" t="s">
        <v>30</v>
      </c>
      <c r="U4765" t="s">
        <v>26250</v>
      </c>
      <c r="W4765" t="s">
        <v>26009</v>
      </c>
    </row>
    <row r="4766" spans="1:23" x14ac:dyDescent="0.35">
      <c r="A4766">
        <v>1154282</v>
      </c>
      <c r="B4766" t="s">
        <v>42754</v>
      </c>
      <c r="C4766" t="str">
        <f>"9780415688864"</f>
        <v>9780415688864</v>
      </c>
      <c r="D4766" t="str">
        <f>"9781136596117"</f>
        <v>9781136596117</v>
      </c>
      <c r="E4766" t="s">
        <v>26010</v>
      </c>
      <c r="F4766" t="s">
        <v>35</v>
      </c>
      <c r="G4766" t="s">
        <v>22174</v>
      </c>
      <c r="H4766" t="s">
        <v>26011</v>
      </c>
      <c r="I4766" s="26">
        <v>41354</v>
      </c>
      <c r="J4766">
        <v>2013</v>
      </c>
      <c r="K4766" t="s">
        <v>26012</v>
      </c>
      <c r="L4766">
        <v>223</v>
      </c>
      <c r="M4766" t="s">
        <v>42755</v>
      </c>
      <c r="N4766">
        <v>1</v>
      </c>
      <c r="Q4766" t="s">
        <v>42756</v>
      </c>
      <c r="R4766">
        <v>302</v>
      </c>
      <c r="S4766" t="s">
        <v>42757</v>
      </c>
      <c r="T4766" t="s">
        <v>30</v>
      </c>
      <c r="U4766" t="s">
        <v>26044</v>
      </c>
      <c r="W4766" t="s">
        <v>26009</v>
      </c>
    </row>
    <row r="4767" spans="1:23" x14ac:dyDescent="0.35">
      <c r="A4767">
        <v>1154294</v>
      </c>
      <c r="B4767" t="s">
        <v>42758</v>
      </c>
      <c r="C4767" t="str">
        <f>"9780415672887"</f>
        <v>9780415672887</v>
      </c>
      <c r="D4767" t="str">
        <f>"9781136661150"</f>
        <v>9781136661150</v>
      </c>
      <c r="E4767" t="s">
        <v>26010</v>
      </c>
      <c r="F4767" t="s">
        <v>35</v>
      </c>
      <c r="G4767" t="s">
        <v>22174</v>
      </c>
      <c r="H4767" t="s">
        <v>26011</v>
      </c>
      <c r="I4767" s="26">
        <v>41338</v>
      </c>
      <c r="J4767">
        <v>2013</v>
      </c>
      <c r="K4767" t="s">
        <v>26012</v>
      </c>
      <c r="L4767">
        <v>244</v>
      </c>
      <c r="M4767" t="s">
        <v>42759</v>
      </c>
      <c r="N4767">
        <v>1</v>
      </c>
      <c r="O4767" t="s">
        <v>40423</v>
      </c>
      <c r="Q4767" t="s">
        <v>42760</v>
      </c>
      <c r="R4767" t="s">
        <v>42761</v>
      </c>
      <c r="S4767" t="s">
        <v>42762</v>
      </c>
      <c r="T4767" t="s">
        <v>30</v>
      </c>
      <c r="U4767" t="s">
        <v>26008</v>
      </c>
      <c r="W4767" t="s">
        <v>26009</v>
      </c>
    </row>
    <row r="4768" spans="1:23" x14ac:dyDescent="0.35">
      <c r="A4768">
        <v>1154307</v>
      </c>
      <c r="B4768" t="s">
        <v>42763</v>
      </c>
      <c r="C4768" t="str">
        <f>"9780415634786"</f>
        <v>9780415634786</v>
      </c>
      <c r="D4768" t="str">
        <f>"9781135089627"</f>
        <v>9781135089627</v>
      </c>
      <c r="E4768" t="s">
        <v>26010</v>
      </c>
      <c r="F4768" t="s">
        <v>35</v>
      </c>
      <c r="G4768" t="s">
        <v>22174</v>
      </c>
      <c r="H4768" t="s">
        <v>26011</v>
      </c>
      <c r="I4768" s="26">
        <v>41347</v>
      </c>
      <c r="J4768">
        <v>2013</v>
      </c>
      <c r="K4768" t="s">
        <v>26012</v>
      </c>
      <c r="L4768">
        <v>278</v>
      </c>
      <c r="M4768" t="s">
        <v>33622</v>
      </c>
      <c r="N4768">
        <v>1</v>
      </c>
      <c r="O4768" t="s">
        <v>42764</v>
      </c>
      <c r="Q4768" t="s">
        <v>42765</v>
      </c>
      <c r="R4768">
        <v>616.89142000000004</v>
      </c>
      <c r="S4768" t="s">
        <v>7486</v>
      </c>
      <c r="T4768" t="s">
        <v>30</v>
      </c>
      <c r="U4768" t="s">
        <v>26019</v>
      </c>
      <c r="W4768" t="s">
        <v>26009</v>
      </c>
    </row>
    <row r="4769" spans="1:23" x14ac:dyDescent="0.35">
      <c r="A4769">
        <v>1154308</v>
      </c>
      <c r="B4769" t="s">
        <v>42766</v>
      </c>
      <c r="C4769" t="str">
        <f>"9780415634595"</f>
        <v>9780415634595</v>
      </c>
      <c r="D4769" t="str">
        <f>"9781135070304"</f>
        <v>9781135070304</v>
      </c>
      <c r="E4769" t="s">
        <v>26010</v>
      </c>
      <c r="F4769" t="s">
        <v>35</v>
      </c>
      <c r="G4769" t="s">
        <v>26337</v>
      </c>
      <c r="H4769" t="s">
        <v>26011</v>
      </c>
      <c r="I4769" s="26">
        <v>41339</v>
      </c>
      <c r="J4769">
        <v>2013</v>
      </c>
      <c r="K4769" t="s">
        <v>26012</v>
      </c>
      <c r="L4769">
        <v>257</v>
      </c>
      <c r="M4769" t="s">
        <v>42767</v>
      </c>
      <c r="N4769">
        <v>1</v>
      </c>
      <c r="O4769" t="s">
        <v>42768</v>
      </c>
      <c r="Q4769" t="s">
        <v>42769</v>
      </c>
      <c r="R4769">
        <v>155</v>
      </c>
      <c r="S4769" t="s">
        <v>42770</v>
      </c>
      <c r="T4769" t="s">
        <v>30</v>
      </c>
      <c r="U4769" t="s">
        <v>46</v>
      </c>
      <c r="W4769" t="s">
        <v>26009</v>
      </c>
    </row>
    <row r="4770" spans="1:23" x14ac:dyDescent="0.35">
      <c r="A4770">
        <v>1154311</v>
      </c>
      <c r="B4770" t="s">
        <v>9801</v>
      </c>
      <c r="C4770" t="str">
        <f>"9781848720985"</f>
        <v>9781848720985</v>
      </c>
      <c r="D4770" t="str">
        <f>"9781135068745"</f>
        <v>9781135068745</v>
      </c>
      <c r="E4770" t="s">
        <v>26010</v>
      </c>
      <c r="F4770" t="s">
        <v>35</v>
      </c>
      <c r="G4770" t="s">
        <v>22174</v>
      </c>
      <c r="H4770" t="s">
        <v>26011</v>
      </c>
      <c r="I4770" s="26">
        <v>41382</v>
      </c>
      <c r="J4770">
        <v>2013</v>
      </c>
      <c r="K4770" t="s">
        <v>660</v>
      </c>
      <c r="L4770">
        <v>201</v>
      </c>
      <c r="M4770" t="s">
        <v>42771</v>
      </c>
      <c r="N4770">
        <v>1</v>
      </c>
      <c r="Q4770" t="s">
        <v>42772</v>
      </c>
      <c r="R4770">
        <v>155.19999999999999</v>
      </c>
      <c r="S4770" t="s">
        <v>9606</v>
      </c>
      <c r="T4770" t="s">
        <v>30</v>
      </c>
      <c r="U4770" t="s">
        <v>46</v>
      </c>
      <c r="W4770" t="s">
        <v>26009</v>
      </c>
    </row>
    <row r="4771" spans="1:23" x14ac:dyDescent="0.35">
      <c r="A4771">
        <v>1154328</v>
      </c>
      <c r="B4771" t="s">
        <v>42773</v>
      </c>
      <c r="C4771" t="str">
        <f>"9780415519397"</f>
        <v>9780415519397</v>
      </c>
      <c r="D4771" t="str">
        <f>"9781136739248"</f>
        <v>9781136739248</v>
      </c>
      <c r="E4771" t="s">
        <v>26010</v>
      </c>
      <c r="F4771" t="s">
        <v>35</v>
      </c>
      <c r="G4771" t="s">
        <v>22174</v>
      </c>
      <c r="H4771" t="s">
        <v>26011</v>
      </c>
      <c r="I4771" s="26">
        <v>41327</v>
      </c>
      <c r="J4771">
        <v>2013</v>
      </c>
      <c r="K4771" t="s">
        <v>26012</v>
      </c>
      <c r="L4771">
        <v>223</v>
      </c>
      <c r="M4771" t="s">
        <v>42774</v>
      </c>
      <c r="N4771">
        <v>1</v>
      </c>
      <c r="Q4771" t="s">
        <v>42775</v>
      </c>
      <c r="R4771">
        <v>616.89139999999998</v>
      </c>
      <c r="S4771" t="s">
        <v>9563</v>
      </c>
      <c r="T4771" t="s">
        <v>30</v>
      </c>
      <c r="U4771" t="s">
        <v>26019</v>
      </c>
      <c r="W4771" t="s">
        <v>26009</v>
      </c>
    </row>
    <row r="4772" spans="1:23" x14ac:dyDescent="0.35">
      <c r="A4772">
        <v>1154329</v>
      </c>
      <c r="B4772" t="s">
        <v>42776</v>
      </c>
      <c r="C4772" t="str">
        <f>"9780415686365"</f>
        <v>9780415686365</v>
      </c>
      <c r="D4772" t="str">
        <f>"9781136746802"</f>
        <v>9781136746802</v>
      </c>
      <c r="E4772" t="s">
        <v>26010</v>
      </c>
      <c r="F4772" t="s">
        <v>35</v>
      </c>
      <c r="G4772" t="s">
        <v>22174</v>
      </c>
      <c r="H4772" t="s">
        <v>26011</v>
      </c>
      <c r="I4772" s="26">
        <v>41397</v>
      </c>
      <c r="J4772">
        <v>2013</v>
      </c>
      <c r="K4772" t="s">
        <v>26012</v>
      </c>
      <c r="L4772">
        <v>167</v>
      </c>
      <c r="M4772" t="s">
        <v>42777</v>
      </c>
      <c r="N4772">
        <v>1</v>
      </c>
      <c r="Q4772" t="s">
        <v>42778</v>
      </c>
      <c r="R4772">
        <v>616.85841060819996</v>
      </c>
      <c r="S4772" t="s">
        <v>10255</v>
      </c>
      <c r="T4772" t="s">
        <v>30</v>
      </c>
      <c r="U4772" t="s">
        <v>28629</v>
      </c>
      <c r="W4772" t="s">
        <v>26009</v>
      </c>
    </row>
    <row r="4773" spans="1:23" x14ac:dyDescent="0.35">
      <c r="A4773">
        <v>1154331</v>
      </c>
      <c r="B4773" t="s">
        <v>42779</v>
      </c>
      <c r="C4773" t="str">
        <f>"9780415532082"</f>
        <v>9780415532082</v>
      </c>
      <c r="D4773" t="str">
        <f>"9781136772566"</f>
        <v>9781136772566</v>
      </c>
      <c r="E4773" t="s">
        <v>26010</v>
      </c>
      <c r="F4773" t="s">
        <v>35</v>
      </c>
      <c r="G4773" t="s">
        <v>22174</v>
      </c>
      <c r="H4773" t="s">
        <v>26011</v>
      </c>
      <c r="I4773" s="26">
        <v>41383</v>
      </c>
      <c r="J4773">
        <v>2013</v>
      </c>
      <c r="K4773" t="s">
        <v>26012</v>
      </c>
      <c r="L4773">
        <v>236</v>
      </c>
      <c r="M4773" t="s">
        <v>42780</v>
      </c>
      <c r="N4773">
        <v>1</v>
      </c>
      <c r="Q4773" t="s">
        <v>42781</v>
      </c>
      <c r="R4773">
        <v>616.89170000000001</v>
      </c>
      <c r="S4773" t="s">
        <v>7687</v>
      </c>
      <c r="T4773" t="s">
        <v>30</v>
      </c>
      <c r="U4773" t="s">
        <v>26116</v>
      </c>
      <c r="W4773" t="s">
        <v>26009</v>
      </c>
    </row>
    <row r="4774" spans="1:23" x14ac:dyDescent="0.35">
      <c r="A4774">
        <v>1157741</v>
      </c>
      <c r="B4774" t="s">
        <v>42782</v>
      </c>
      <c r="C4774" t="str">
        <f>"9780415625197"</f>
        <v>9780415625197</v>
      </c>
      <c r="D4774" t="str">
        <f>"9781136693045"</f>
        <v>9781136693045</v>
      </c>
      <c r="E4774" t="s">
        <v>26010</v>
      </c>
      <c r="F4774" t="s">
        <v>35</v>
      </c>
      <c r="G4774" t="s">
        <v>22174</v>
      </c>
      <c r="H4774" t="s">
        <v>26011</v>
      </c>
      <c r="I4774" s="26">
        <v>41396</v>
      </c>
      <c r="J4774">
        <v>2013</v>
      </c>
      <c r="K4774" t="s">
        <v>26012</v>
      </c>
      <c r="L4774">
        <v>227</v>
      </c>
      <c r="M4774" t="s">
        <v>38276</v>
      </c>
      <c r="N4774">
        <v>1</v>
      </c>
      <c r="O4774" t="s">
        <v>42783</v>
      </c>
      <c r="Q4774" t="s">
        <v>42784</v>
      </c>
      <c r="R4774">
        <v>150.19499999999999</v>
      </c>
      <c r="S4774" t="s">
        <v>9722</v>
      </c>
      <c r="T4774" t="s">
        <v>30</v>
      </c>
      <c r="U4774" t="s">
        <v>26019</v>
      </c>
      <c r="W4774" t="s">
        <v>26009</v>
      </c>
    </row>
    <row r="4775" spans="1:23" x14ac:dyDescent="0.35">
      <c r="A4775">
        <v>1157750</v>
      </c>
      <c r="B4775" t="s">
        <v>42785</v>
      </c>
      <c r="C4775" t="str">
        <f>"9780415598613"</f>
        <v>9780415598613</v>
      </c>
      <c r="D4775" t="str">
        <f>"9781135946388"</f>
        <v>9781135946388</v>
      </c>
      <c r="E4775" t="s">
        <v>26010</v>
      </c>
      <c r="F4775" t="s">
        <v>35</v>
      </c>
      <c r="G4775" t="s">
        <v>22174</v>
      </c>
      <c r="H4775" t="s">
        <v>26011</v>
      </c>
      <c r="I4775" s="26">
        <v>41387</v>
      </c>
      <c r="J4775">
        <v>2013</v>
      </c>
      <c r="K4775" t="s">
        <v>26012</v>
      </c>
      <c r="L4775">
        <v>217</v>
      </c>
      <c r="M4775" t="s">
        <v>38825</v>
      </c>
      <c r="N4775">
        <v>1</v>
      </c>
      <c r="Q4775" t="s">
        <v>42786</v>
      </c>
      <c r="R4775">
        <v>150.19499999999999</v>
      </c>
      <c r="S4775" t="s">
        <v>42787</v>
      </c>
      <c r="T4775" t="s">
        <v>30</v>
      </c>
      <c r="U4775" t="s">
        <v>46</v>
      </c>
      <c r="W4775" t="s">
        <v>26009</v>
      </c>
    </row>
    <row r="4776" spans="1:23" x14ac:dyDescent="0.35">
      <c r="A4776">
        <v>1157758</v>
      </c>
      <c r="B4776" t="s">
        <v>42788</v>
      </c>
      <c r="C4776" t="str">
        <f>"9780415813402"</f>
        <v>9780415813402</v>
      </c>
      <c r="D4776" t="str">
        <f>"9781135627881"</f>
        <v>9781135627881</v>
      </c>
      <c r="E4776" t="s">
        <v>26010</v>
      </c>
      <c r="F4776" t="s">
        <v>35</v>
      </c>
      <c r="G4776" t="s">
        <v>22174</v>
      </c>
      <c r="H4776" t="s">
        <v>26011</v>
      </c>
      <c r="I4776" s="26">
        <v>41386</v>
      </c>
      <c r="J4776">
        <v>2013</v>
      </c>
      <c r="K4776" t="s">
        <v>26012</v>
      </c>
      <c r="L4776">
        <v>209</v>
      </c>
      <c r="M4776" t="s">
        <v>42789</v>
      </c>
      <c r="N4776">
        <v>1</v>
      </c>
      <c r="Q4776" t="s">
        <v>42790</v>
      </c>
      <c r="R4776" t="s">
        <v>26308</v>
      </c>
      <c r="S4776" t="s">
        <v>42791</v>
      </c>
      <c r="T4776" t="s">
        <v>30</v>
      </c>
      <c r="U4776" t="s">
        <v>46</v>
      </c>
      <c r="W4776" t="s">
        <v>26009</v>
      </c>
    </row>
    <row r="4777" spans="1:23" x14ac:dyDescent="0.35">
      <c r="A4777">
        <v>1157760</v>
      </c>
      <c r="B4777" t="s">
        <v>42792</v>
      </c>
      <c r="C4777" t="str">
        <f>"9780415506830"</f>
        <v>9780415506830</v>
      </c>
      <c r="D4777" t="str">
        <f>"9781136457821"</f>
        <v>9781136457821</v>
      </c>
      <c r="E4777" t="s">
        <v>26010</v>
      </c>
      <c r="F4777" t="s">
        <v>35</v>
      </c>
      <c r="G4777" t="s">
        <v>22174</v>
      </c>
      <c r="H4777" t="s">
        <v>26011</v>
      </c>
      <c r="I4777" s="26">
        <v>41346</v>
      </c>
      <c r="J4777">
        <v>2013</v>
      </c>
      <c r="K4777" t="s">
        <v>26012</v>
      </c>
      <c r="L4777">
        <v>230</v>
      </c>
      <c r="M4777" t="s">
        <v>42793</v>
      </c>
      <c r="N4777">
        <v>1</v>
      </c>
      <c r="Q4777" t="s">
        <v>42794</v>
      </c>
      <c r="R4777" t="s">
        <v>28066</v>
      </c>
      <c r="S4777" t="s">
        <v>42795</v>
      </c>
      <c r="T4777" t="s">
        <v>30</v>
      </c>
      <c r="U4777" t="s">
        <v>26116</v>
      </c>
      <c r="W4777" t="s">
        <v>26009</v>
      </c>
    </row>
    <row r="4778" spans="1:23" x14ac:dyDescent="0.35">
      <c r="A4778">
        <v>1157765</v>
      </c>
      <c r="B4778" t="s">
        <v>7702</v>
      </c>
      <c r="C4778" t="str">
        <f>"9780415331111"</f>
        <v>9780415331111</v>
      </c>
      <c r="D4778" t="str">
        <f>"9781134329250"</f>
        <v>9781134329250</v>
      </c>
      <c r="E4778" t="s">
        <v>26010</v>
      </c>
      <c r="F4778" t="s">
        <v>35</v>
      </c>
      <c r="G4778" t="s">
        <v>22174</v>
      </c>
      <c r="H4778" t="s">
        <v>26011</v>
      </c>
      <c r="I4778" s="26">
        <v>41438</v>
      </c>
      <c r="J4778">
        <v>2013</v>
      </c>
      <c r="K4778" t="s">
        <v>26012</v>
      </c>
      <c r="L4778">
        <v>181</v>
      </c>
      <c r="M4778" t="s">
        <v>42796</v>
      </c>
      <c r="N4778">
        <v>1</v>
      </c>
      <c r="O4778" t="s">
        <v>42797</v>
      </c>
      <c r="Q4778" t="s">
        <v>42798</v>
      </c>
      <c r="R4778">
        <v>306.39999999999998</v>
      </c>
      <c r="S4778" t="s">
        <v>7703</v>
      </c>
      <c r="T4778" t="s">
        <v>30</v>
      </c>
      <c r="U4778" t="s">
        <v>26044</v>
      </c>
      <c r="W4778" t="s">
        <v>26009</v>
      </c>
    </row>
    <row r="4779" spans="1:23" x14ac:dyDescent="0.35">
      <c r="A4779">
        <v>1159821</v>
      </c>
      <c r="B4779" t="s">
        <v>8319</v>
      </c>
      <c r="C4779" t="str">
        <f>"9781412999502"</f>
        <v>9781412999502</v>
      </c>
      <c r="D4779" t="str">
        <f>"9781452224671"</f>
        <v>9781452224671</v>
      </c>
      <c r="E4779" t="s">
        <v>40883</v>
      </c>
      <c r="F4779" t="s">
        <v>7434</v>
      </c>
      <c r="G4779" t="s">
        <v>22194</v>
      </c>
      <c r="H4779" t="s">
        <v>26004</v>
      </c>
      <c r="I4779" s="26">
        <v>40751</v>
      </c>
      <c r="J4779">
        <v>2012</v>
      </c>
      <c r="K4779" t="s">
        <v>7434</v>
      </c>
      <c r="L4779">
        <v>281</v>
      </c>
      <c r="M4779" t="s">
        <v>42799</v>
      </c>
      <c r="N4779">
        <v>1</v>
      </c>
      <c r="T4779" t="s">
        <v>30</v>
      </c>
      <c r="U4779" t="s">
        <v>46</v>
      </c>
      <c r="W4779" t="s">
        <v>26009</v>
      </c>
    </row>
    <row r="4780" spans="1:23" x14ac:dyDescent="0.35">
      <c r="A4780">
        <v>1160179</v>
      </c>
      <c r="B4780" t="s">
        <v>42800</v>
      </c>
      <c r="C4780" t="str">
        <f>"9781412939867"</f>
        <v>9781412939867</v>
      </c>
      <c r="D4780" t="str">
        <f>"9781483302157"</f>
        <v>9781483302157</v>
      </c>
      <c r="E4780" t="s">
        <v>40883</v>
      </c>
      <c r="F4780" t="s">
        <v>7434</v>
      </c>
      <c r="G4780" t="s">
        <v>22194</v>
      </c>
      <c r="H4780" t="s">
        <v>26004</v>
      </c>
      <c r="I4780" s="26">
        <v>40072</v>
      </c>
      <c r="J4780">
        <v>2010</v>
      </c>
      <c r="K4780" t="s">
        <v>7434</v>
      </c>
      <c r="L4780">
        <v>193</v>
      </c>
      <c r="M4780" t="s">
        <v>42801</v>
      </c>
      <c r="N4780">
        <v>1</v>
      </c>
      <c r="R4780">
        <v>302.3</v>
      </c>
      <c r="T4780" t="s">
        <v>30</v>
      </c>
      <c r="U4780" t="s">
        <v>26044</v>
      </c>
      <c r="W4780" t="s">
        <v>26009</v>
      </c>
    </row>
    <row r="4781" spans="1:23" x14ac:dyDescent="0.35">
      <c r="A4781">
        <v>1160193</v>
      </c>
      <c r="B4781" t="s">
        <v>42802</v>
      </c>
      <c r="C4781" t="str">
        <f>"9781412996082"</f>
        <v>9781412996082</v>
      </c>
      <c r="D4781" t="str">
        <f>"9781483302065"</f>
        <v>9781483302065</v>
      </c>
      <c r="E4781" t="s">
        <v>40883</v>
      </c>
      <c r="F4781" t="s">
        <v>7434</v>
      </c>
      <c r="G4781" t="s">
        <v>22194</v>
      </c>
      <c r="H4781" t="s">
        <v>26004</v>
      </c>
      <c r="I4781" s="26">
        <v>40763</v>
      </c>
      <c r="J4781">
        <v>2012</v>
      </c>
      <c r="K4781" t="s">
        <v>7434</v>
      </c>
      <c r="L4781">
        <v>289</v>
      </c>
      <c r="M4781" t="s">
        <v>42803</v>
      </c>
      <c r="N4781">
        <v>1</v>
      </c>
      <c r="R4781">
        <v>364.3</v>
      </c>
      <c r="T4781" t="s">
        <v>30</v>
      </c>
      <c r="U4781" t="s">
        <v>26044</v>
      </c>
      <c r="W4781" t="s">
        <v>26009</v>
      </c>
    </row>
    <row r="4782" spans="1:23" x14ac:dyDescent="0.35">
      <c r="A4782">
        <v>1160194</v>
      </c>
      <c r="B4782" t="s">
        <v>42804</v>
      </c>
      <c r="C4782" t="str">
        <f>"9781412965088"</f>
        <v>9781412965088</v>
      </c>
      <c r="D4782" t="str">
        <f>"9781483302072"</f>
        <v>9781483302072</v>
      </c>
      <c r="E4782" t="s">
        <v>40883</v>
      </c>
      <c r="F4782" t="s">
        <v>7434</v>
      </c>
      <c r="G4782" t="s">
        <v>22194</v>
      </c>
      <c r="H4782" t="s">
        <v>26004</v>
      </c>
      <c r="I4782" s="26">
        <v>40024</v>
      </c>
      <c r="J4782">
        <v>2010</v>
      </c>
      <c r="K4782" t="s">
        <v>7434</v>
      </c>
      <c r="L4782">
        <v>281</v>
      </c>
      <c r="M4782" t="s">
        <v>42805</v>
      </c>
      <c r="N4782">
        <v>1</v>
      </c>
      <c r="R4782" t="s">
        <v>42806</v>
      </c>
      <c r="T4782" t="s">
        <v>30</v>
      </c>
      <c r="U4782" t="s">
        <v>26044</v>
      </c>
      <c r="W4782" t="s">
        <v>26009</v>
      </c>
    </row>
    <row r="4783" spans="1:23" x14ac:dyDescent="0.35">
      <c r="A4783">
        <v>1160201</v>
      </c>
      <c r="B4783" t="s">
        <v>42807</v>
      </c>
      <c r="C4783" t="str">
        <f>"9781412960564"</f>
        <v>9781412960564</v>
      </c>
      <c r="D4783" t="str">
        <f>"9781483302164"</f>
        <v>9781483302164</v>
      </c>
      <c r="E4783" t="s">
        <v>40883</v>
      </c>
      <c r="F4783" t="s">
        <v>7434</v>
      </c>
      <c r="G4783" t="s">
        <v>22194</v>
      </c>
      <c r="H4783" t="s">
        <v>26004</v>
      </c>
      <c r="I4783" s="26">
        <v>39989</v>
      </c>
      <c r="J4783">
        <v>2010</v>
      </c>
      <c r="K4783" t="s">
        <v>7434</v>
      </c>
      <c r="L4783">
        <v>489</v>
      </c>
      <c r="M4783" t="s">
        <v>42808</v>
      </c>
      <c r="N4783">
        <v>1</v>
      </c>
      <c r="R4783" t="s">
        <v>26873</v>
      </c>
      <c r="T4783" t="s">
        <v>30</v>
      </c>
      <c r="U4783" t="s">
        <v>46</v>
      </c>
      <c r="W4783" t="s">
        <v>26009</v>
      </c>
    </row>
    <row r="4784" spans="1:23" x14ac:dyDescent="0.35">
      <c r="A4784">
        <v>1160205</v>
      </c>
      <c r="B4784" t="s">
        <v>9608</v>
      </c>
      <c r="C4784" t="str">
        <f>"9781412915403"</f>
        <v>9781412915403</v>
      </c>
      <c r="D4784" t="str">
        <f>"9781483302201"</f>
        <v>9781483302201</v>
      </c>
      <c r="E4784" t="s">
        <v>40883</v>
      </c>
      <c r="F4784" t="s">
        <v>7434</v>
      </c>
      <c r="G4784" t="s">
        <v>22194</v>
      </c>
      <c r="H4784" t="s">
        <v>26004</v>
      </c>
      <c r="I4784" s="26">
        <v>40010</v>
      </c>
      <c r="J4784">
        <v>2010</v>
      </c>
      <c r="K4784" t="s">
        <v>7434</v>
      </c>
      <c r="L4784">
        <v>425</v>
      </c>
      <c r="M4784" t="s">
        <v>42809</v>
      </c>
      <c r="N4784">
        <v>1</v>
      </c>
      <c r="R4784">
        <v>616.89008899999999</v>
      </c>
      <c r="T4784" t="s">
        <v>30</v>
      </c>
      <c r="U4784" t="s">
        <v>26040</v>
      </c>
      <c r="W4784" t="s">
        <v>26009</v>
      </c>
    </row>
    <row r="4785" spans="1:23" x14ac:dyDescent="0.35">
      <c r="A4785">
        <v>1160778</v>
      </c>
      <c r="B4785" t="s">
        <v>42810</v>
      </c>
      <c r="C4785" t="str">
        <f>"9781608824472"</f>
        <v>9781608824472</v>
      </c>
      <c r="D4785" t="str">
        <f>"9781608824496"</f>
        <v>9781608824496</v>
      </c>
      <c r="E4785" t="s">
        <v>7424</v>
      </c>
      <c r="F4785" t="s">
        <v>7419</v>
      </c>
      <c r="G4785" t="s">
        <v>23047</v>
      </c>
      <c r="H4785" t="s">
        <v>26004</v>
      </c>
      <c r="I4785" s="26">
        <v>41395</v>
      </c>
      <c r="J4785">
        <v>2013</v>
      </c>
      <c r="K4785" t="s">
        <v>7419</v>
      </c>
      <c r="L4785">
        <v>298</v>
      </c>
      <c r="M4785" t="s">
        <v>42811</v>
      </c>
      <c r="N4785">
        <v>1</v>
      </c>
      <c r="Q4785" t="s">
        <v>42812</v>
      </c>
      <c r="R4785">
        <v>616.89142500000003</v>
      </c>
      <c r="S4785" t="s">
        <v>7426</v>
      </c>
      <c r="T4785" t="s">
        <v>30</v>
      </c>
      <c r="U4785" t="s">
        <v>26116</v>
      </c>
      <c r="W4785" t="s">
        <v>26009</v>
      </c>
    </row>
    <row r="4786" spans="1:23" x14ac:dyDescent="0.35">
      <c r="A4786">
        <v>1160815</v>
      </c>
      <c r="B4786" t="s">
        <v>9437</v>
      </c>
      <c r="C4786" t="str">
        <f>"9780739169513"</f>
        <v>9780739169513</v>
      </c>
      <c r="D4786" t="str">
        <f>"9780739169520"</f>
        <v>9780739169520</v>
      </c>
      <c r="E4786" t="s">
        <v>33803</v>
      </c>
      <c r="F4786" t="s">
        <v>8174</v>
      </c>
      <c r="G4786" t="s">
        <v>34328</v>
      </c>
      <c r="H4786" t="s">
        <v>26004</v>
      </c>
      <c r="I4786" s="26">
        <v>41333</v>
      </c>
      <c r="J4786">
        <v>2013</v>
      </c>
      <c r="K4786" t="s">
        <v>8174</v>
      </c>
      <c r="L4786">
        <v>479</v>
      </c>
      <c r="M4786" t="s">
        <v>42813</v>
      </c>
      <c r="N4786">
        <v>1</v>
      </c>
      <c r="Q4786" t="s">
        <v>42814</v>
      </c>
      <c r="R4786" t="s">
        <v>26308</v>
      </c>
      <c r="S4786" t="s">
        <v>7514</v>
      </c>
      <c r="T4786" t="s">
        <v>30</v>
      </c>
      <c r="U4786" t="s">
        <v>46</v>
      </c>
      <c r="W4786" t="s">
        <v>26009</v>
      </c>
    </row>
    <row r="4787" spans="1:23" x14ac:dyDescent="0.35">
      <c r="A4787">
        <v>1162091</v>
      </c>
      <c r="B4787" t="s">
        <v>42815</v>
      </c>
      <c r="C4787" t="str">
        <f>"9780761848875"</f>
        <v>9780761848875</v>
      </c>
      <c r="D4787" t="str">
        <f>"9780761848882"</f>
        <v>9780761848882</v>
      </c>
      <c r="E4787" t="s">
        <v>33803</v>
      </c>
      <c r="F4787" t="s">
        <v>34051</v>
      </c>
      <c r="G4787" t="s">
        <v>34328</v>
      </c>
      <c r="H4787" t="s">
        <v>26004</v>
      </c>
      <c r="I4787" s="26">
        <v>40128</v>
      </c>
      <c r="J4787">
        <v>2009</v>
      </c>
      <c r="K4787" t="s">
        <v>34051</v>
      </c>
      <c r="L4787">
        <v>86</v>
      </c>
      <c r="M4787" t="s">
        <v>42816</v>
      </c>
      <c r="N4787">
        <v>1</v>
      </c>
      <c r="Q4787" t="s">
        <v>42817</v>
      </c>
      <c r="R4787">
        <v>362.17406799999998</v>
      </c>
      <c r="S4787" t="s">
        <v>9017</v>
      </c>
      <c r="T4787" t="s">
        <v>30</v>
      </c>
      <c r="U4787" t="s">
        <v>26094</v>
      </c>
      <c r="W4787" t="s">
        <v>26009</v>
      </c>
    </row>
    <row r="4788" spans="1:23" x14ac:dyDescent="0.35">
      <c r="A4788">
        <v>1163731</v>
      </c>
      <c r="B4788" t="s">
        <v>9650</v>
      </c>
      <c r="C4788" t="str">
        <f>"9780765703903"</f>
        <v>9780765703903</v>
      </c>
      <c r="D4788" t="str">
        <f>"9781461630203"</f>
        <v>9781461630203</v>
      </c>
      <c r="E4788" t="s">
        <v>33803</v>
      </c>
      <c r="F4788" t="s">
        <v>38</v>
      </c>
      <c r="G4788" t="s">
        <v>34138</v>
      </c>
      <c r="H4788" t="s">
        <v>26004</v>
      </c>
      <c r="I4788" s="26">
        <v>39227</v>
      </c>
      <c r="J4788">
        <v>2010</v>
      </c>
      <c r="K4788" t="s">
        <v>33811</v>
      </c>
      <c r="L4788">
        <v>164</v>
      </c>
      <c r="M4788" t="s">
        <v>42818</v>
      </c>
      <c r="N4788">
        <v>1</v>
      </c>
      <c r="Q4788" t="s">
        <v>42819</v>
      </c>
      <c r="R4788">
        <v>616.89139999999998</v>
      </c>
      <c r="S4788" t="s">
        <v>9651</v>
      </c>
      <c r="T4788" t="s">
        <v>30</v>
      </c>
      <c r="U4788" t="s">
        <v>26116</v>
      </c>
      <c r="W4788" t="s">
        <v>26009</v>
      </c>
    </row>
    <row r="4789" spans="1:23" x14ac:dyDescent="0.35">
      <c r="A4789">
        <v>1163734</v>
      </c>
      <c r="B4789" t="s">
        <v>42820</v>
      </c>
      <c r="C4789" t="str">
        <f>"9780765704719"</f>
        <v>9780765704719</v>
      </c>
      <c r="D4789" t="str">
        <f>"9781461630685"</f>
        <v>9781461630685</v>
      </c>
      <c r="E4789" t="s">
        <v>33803</v>
      </c>
      <c r="F4789" t="s">
        <v>38</v>
      </c>
      <c r="G4789" t="s">
        <v>33804</v>
      </c>
      <c r="H4789" t="s">
        <v>26004</v>
      </c>
      <c r="I4789" s="26">
        <v>39248</v>
      </c>
      <c r="J4789">
        <v>2011</v>
      </c>
      <c r="K4789" t="s">
        <v>33811</v>
      </c>
      <c r="L4789">
        <v>239</v>
      </c>
      <c r="M4789" t="s">
        <v>42821</v>
      </c>
      <c r="N4789">
        <v>1</v>
      </c>
      <c r="Q4789" t="s">
        <v>42822</v>
      </c>
      <c r="R4789" t="s">
        <v>27122</v>
      </c>
      <c r="S4789" t="s">
        <v>42823</v>
      </c>
      <c r="T4789" t="s">
        <v>30</v>
      </c>
      <c r="U4789" t="s">
        <v>26019</v>
      </c>
      <c r="W4789" t="s">
        <v>26009</v>
      </c>
    </row>
    <row r="4790" spans="1:23" x14ac:dyDescent="0.35">
      <c r="A4790">
        <v>1163784</v>
      </c>
      <c r="B4790" t="s">
        <v>42824</v>
      </c>
      <c r="C4790" t="str">
        <f>"9780415678087"</f>
        <v>9780415678087</v>
      </c>
      <c r="D4790" t="str">
        <f>"9781135118266"</f>
        <v>9781135118266</v>
      </c>
      <c r="E4790" t="s">
        <v>26010</v>
      </c>
      <c r="F4790" t="s">
        <v>35</v>
      </c>
      <c r="G4790" t="s">
        <v>22174</v>
      </c>
      <c r="H4790" t="s">
        <v>26011</v>
      </c>
      <c r="I4790" s="26">
        <v>41285</v>
      </c>
      <c r="J4790">
        <v>2013</v>
      </c>
      <c r="K4790" t="s">
        <v>26012</v>
      </c>
      <c r="L4790">
        <v>166</v>
      </c>
      <c r="M4790" t="s">
        <v>42825</v>
      </c>
      <c r="N4790">
        <v>1</v>
      </c>
      <c r="Q4790" t="s">
        <v>42826</v>
      </c>
      <c r="R4790" t="s">
        <v>29454</v>
      </c>
      <c r="S4790" t="s">
        <v>8311</v>
      </c>
      <c r="T4790" t="s">
        <v>30</v>
      </c>
      <c r="U4790" t="s">
        <v>28629</v>
      </c>
      <c r="W4790" t="s">
        <v>26009</v>
      </c>
    </row>
    <row r="4791" spans="1:23" x14ac:dyDescent="0.35">
      <c r="A4791">
        <v>1164446</v>
      </c>
      <c r="B4791" t="s">
        <v>42827</v>
      </c>
      <c r="C4791" t="str">
        <f>"9781593325152"</f>
        <v>9781593325152</v>
      </c>
      <c r="D4791" t="str">
        <f>"9781593327071"</f>
        <v>9781593327071</v>
      </c>
      <c r="E4791" t="s">
        <v>39498</v>
      </c>
      <c r="F4791" t="s">
        <v>8775</v>
      </c>
      <c r="G4791" t="s">
        <v>39499</v>
      </c>
      <c r="H4791" t="s">
        <v>26004</v>
      </c>
      <c r="I4791" s="26">
        <v>41409</v>
      </c>
      <c r="J4791">
        <v>2013</v>
      </c>
      <c r="K4791" t="s">
        <v>8775</v>
      </c>
      <c r="L4791">
        <v>185</v>
      </c>
      <c r="M4791" t="s">
        <v>42828</v>
      </c>
      <c r="N4791">
        <v>1</v>
      </c>
      <c r="O4791" t="s">
        <v>39501</v>
      </c>
      <c r="Q4791" t="s">
        <v>42829</v>
      </c>
      <c r="R4791" t="s">
        <v>42830</v>
      </c>
      <c r="S4791" t="s">
        <v>42831</v>
      </c>
      <c r="T4791" t="s">
        <v>30</v>
      </c>
      <c r="U4791" t="s">
        <v>26044</v>
      </c>
      <c r="W4791" t="s">
        <v>26009</v>
      </c>
    </row>
    <row r="4792" spans="1:23" x14ac:dyDescent="0.35">
      <c r="A4792">
        <v>1164465</v>
      </c>
      <c r="B4792" t="s">
        <v>42832</v>
      </c>
      <c r="C4792" t="str">
        <f>"9781442218437"</f>
        <v>9781442218437</v>
      </c>
      <c r="D4792" t="str">
        <f>"9781442218451"</f>
        <v>9781442218451</v>
      </c>
      <c r="E4792" t="s">
        <v>33803</v>
      </c>
      <c r="F4792" t="s">
        <v>38</v>
      </c>
      <c r="G4792" t="s">
        <v>33804</v>
      </c>
      <c r="H4792" t="s">
        <v>26004</v>
      </c>
      <c r="I4792" s="26">
        <v>41256</v>
      </c>
      <c r="J4792">
        <v>2012</v>
      </c>
      <c r="K4792" t="s">
        <v>38</v>
      </c>
      <c r="L4792">
        <v>321</v>
      </c>
      <c r="M4792" t="s">
        <v>42833</v>
      </c>
      <c r="N4792">
        <v>1</v>
      </c>
      <c r="Q4792" t="s">
        <v>42834</v>
      </c>
      <c r="R4792" t="s">
        <v>42835</v>
      </c>
      <c r="S4792" t="s">
        <v>42836</v>
      </c>
      <c r="T4792" t="s">
        <v>30</v>
      </c>
      <c r="U4792" t="s">
        <v>27171</v>
      </c>
      <c r="W4792" t="s">
        <v>26009</v>
      </c>
    </row>
    <row r="4793" spans="1:23" x14ac:dyDescent="0.35">
      <c r="A4793">
        <v>1165561</v>
      </c>
      <c r="B4793" t="s">
        <v>42837</v>
      </c>
      <c r="C4793" t="str">
        <f>"9781443842181"</f>
        <v>9781443842181</v>
      </c>
      <c r="D4793" t="str">
        <f>"9781443844475"</f>
        <v>9781443844475</v>
      </c>
      <c r="E4793" t="s">
        <v>7812</v>
      </c>
      <c r="F4793" t="s">
        <v>7812</v>
      </c>
      <c r="G4793" t="s">
        <v>41984</v>
      </c>
      <c r="H4793" t="s">
        <v>26011</v>
      </c>
      <c r="I4793" s="26">
        <v>41236</v>
      </c>
      <c r="J4793">
        <v>2012</v>
      </c>
      <c r="K4793" t="s">
        <v>7812</v>
      </c>
      <c r="L4793">
        <v>116</v>
      </c>
      <c r="M4793" t="s">
        <v>42838</v>
      </c>
      <c r="N4793">
        <v>1</v>
      </c>
      <c r="Q4793" t="s">
        <v>42839</v>
      </c>
      <c r="R4793">
        <v>305.39999999999998</v>
      </c>
      <c r="S4793" t="s">
        <v>42840</v>
      </c>
      <c r="T4793" t="s">
        <v>30</v>
      </c>
      <c r="U4793" t="s">
        <v>26135</v>
      </c>
      <c r="W4793" t="s">
        <v>26009</v>
      </c>
    </row>
    <row r="4794" spans="1:23" x14ac:dyDescent="0.35">
      <c r="A4794">
        <v>1166725</v>
      </c>
      <c r="B4794" t="s">
        <v>42841</v>
      </c>
      <c r="C4794" t="str">
        <f>"9781780491547"</f>
        <v>9781780491547</v>
      </c>
      <c r="D4794" t="str">
        <f>"9781782410652"</f>
        <v>9781782410652</v>
      </c>
      <c r="E4794" t="s">
        <v>26010</v>
      </c>
      <c r="F4794" t="s">
        <v>35</v>
      </c>
      <c r="G4794" t="s">
        <v>22174</v>
      </c>
      <c r="H4794" t="s">
        <v>26011</v>
      </c>
      <c r="I4794" s="26">
        <v>41365</v>
      </c>
      <c r="J4794">
        <v>2013</v>
      </c>
      <c r="K4794" t="s">
        <v>26012</v>
      </c>
      <c r="L4794">
        <v>273</v>
      </c>
      <c r="M4794" t="s">
        <v>42842</v>
      </c>
      <c r="N4794">
        <v>1</v>
      </c>
      <c r="O4794" t="s">
        <v>38498</v>
      </c>
      <c r="Q4794" t="s">
        <v>42843</v>
      </c>
      <c r="R4794">
        <v>150.19499999999999</v>
      </c>
      <c r="S4794" t="s">
        <v>42844</v>
      </c>
      <c r="T4794" t="s">
        <v>30</v>
      </c>
      <c r="U4794" t="s">
        <v>26019</v>
      </c>
      <c r="W4794" t="s">
        <v>26009</v>
      </c>
    </row>
    <row r="4795" spans="1:23" x14ac:dyDescent="0.35">
      <c r="A4795">
        <v>1166726</v>
      </c>
      <c r="B4795" t="s">
        <v>42845</v>
      </c>
      <c r="C4795" t="str">
        <f>"9781780491257"</f>
        <v>9781780491257</v>
      </c>
      <c r="D4795" t="str">
        <f>"9781782410805"</f>
        <v>9781782410805</v>
      </c>
      <c r="E4795" t="s">
        <v>26010</v>
      </c>
      <c r="F4795" t="s">
        <v>7673</v>
      </c>
      <c r="G4795" t="s">
        <v>22174</v>
      </c>
      <c r="H4795" t="s">
        <v>26011</v>
      </c>
      <c r="I4795" s="26">
        <v>41365</v>
      </c>
      <c r="J4795">
        <v>2013</v>
      </c>
      <c r="K4795" t="s">
        <v>7673</v>
      </c>
      <c r="L4795">
        <v>255</v>
      </c>
      <c r="M4795" t="s">
        <v>42846</v>
      </c>
      <c r="N4795">
        <v>1</v>
      </c>
      <c r="O4795" t="s">
        <v>42847</v>
      </c>
      <c r="Q4795" t="s">
        <v>42848</v>
      </c>
      <c r="R4795">
        <v>618.92858900919998</v>
      </c>
      <c r="S4795" t="s">
        <v>42849</v>
      </c>
      <c r="T4795" t="s">
        <v>30</v>
      </c>
      <c r="U4795" t="s">
        <v>42850</v>
      </c>
      <c r="W4795" t="s">
        <v>26009</v>
      </c>
    </row>
    <row r="4796" spans="1:23" x14ac:dyDescent="0.35">
      <c r="A4796">
        <v>1166729</v>
      </c>
      <c r="B4796" t="s">
        <v>42851</v>
      </c>
      <c r="C4796" t="str">
        <f>""</f>
        <v/>
      </c>
      <c r="D4796" t="str">
        <f>"9780813560663"</f>
        <v>9780813560663</v>
      </c>
      <c r="E4796" t="s">
        <v>3024</v>
      </c>
      <c r="F4796" t="s">
        <v>3024</v>
      </c>
      <c r="G4796" t="s">
        <v>23823</v>
      </c>
      <c r="H4796" t="s">
        <v>26004</v>
      </c>
      <c r="I4796" s="26">
        <v>41383</v>
      </c>
      <c r="J4796">
        <v>2014</v>
      </c>
      <c r="K4796" t="s">
        <v>3024</v>
      </c>
      <c r="L4796">
        <v>392</v>
      </c>
      <c r="M4796" t="s">
        <v>42852</v>
      </c>
      <c r="N4796">
        <v>1</v>
      </c>
      <c r="Q4796" t="s">
        <v>42853</v>
      </c>
      <c r="R4796">
        <v>362.19689</v>
      </c>
      <c r="S4796" t="s">
        <v>42854</v>
      </c>
      <c r="T4796" t="s">
        <v>30</v>
      </c>
      <c r="U4796" t="s">
        <v>26245</v>
      </c>
      <c r="W4796" t="s">
        <v>26009</v>
      </c>
    </row>
    <row r="4797" spans="1:23" x14ac:dyDescent="0.35">
      <c r="A4797">
        <v>1167890</v>
      </c>
      <c r="B4797" t="s">
        <v>42855</v>
      </c>
      <c r="C4797" t="str">
        <f>"9780822331339"</f>
        <v>9780822331339</v>
      </c>
      <c r="D4797" t="str">
        <f>"9780822385011"</f>
        <v>9780822385011</v>
      </c>
      <c r="E4797" t="s">
        <v>42856</v>
      </c>
      <c r="F4797" t="s">
        <v>42856</v>
      </c>
      <c r="G4797" t="s">
        <v>23393</v>
      </c>
      <c r="H4797" t="s">
        <v>26004</v>
      </c>
      <c r="I4797" s="26">
        <v>37855</v>
      </c>
      <c r="J4797">
        <v>2003</v>
      </c>
      <c r="K4797" t="s">
        <v>42856</v>
      </c>
      <c r="L4797">
        <v>301</v>
      </c>
      <c r="M4797" t="s">
        <v>42857</v>
      </c>
      <c r="N4797">
        <v>1</v>
      </c>
      <c r="O4797" t="s">
        <v>42858</v>
      </c>
      <c r="Q4797" t="s">
        <v>42859</v>
      </c>
      <c r="R4797" t="s">
        <v>40233</v>
      </c>
      <c r="S4797" t="s">
        <v>42860</v>
      </c>
      <c r="T4797" t="s">
        <v>30</v>
      </c>
      <c r="U4797" t="s">
        <v>26245</v>
      </c>
      <c r="W4797" t="s">
        <v>26009</v>
      </c>
    </row>
    <row r="4798" spans="1:23" x14ac:dyDescent="0.35">
      <c r="A4798">
        <v>1168394</v>
      </c>
      <c r="B4798" t="s">
        <v>8073</v>
      </c>
      <c r="C4798" t="str">
        <f>"9780822335764"</f>
        <v>9780822335764</v>
      </c>
      <c r="D4798" t="str">
        <f>"9780822386926"</f>
        <v>9780822386926</v>
      </c>
      <c r="E4798" t="s">
        <v>42856</v>
      </c>
      <c r="F4798" t="s">
        <v>42856</v>
      </c>
      <c r="G4798" t="s">
        <v>23393</v>
      </c>
      <c r="H4798" t="s">
        <v>26004</v>
      </c>
      <c r="I4798" s="26">
        <v>38513</v>
      </c>
      <c r="J4798">
        <v>2005</v>
      </c>
      <c r="K4798" t="s">
        <v>42856</v>
      </c>
      <c r="L4798">
        <v>244</v>
      </c>
      <c r="M4798" t="s">
        <v>42861</v>
      </c>
      <c r="N4798">
        <v>1</v>
      </c>
      <c r="O4798" t="s">
        <v>42862</v>
      </c>
      <c r="Q4798" t="s">
        <v>42863</v>
      </c>
      <c r="R4798">
        <v>362.73399999999998</v>
      </c>
      <c r="S4798" t="s">
        <v>42864</v>
      </c>
      <c r="T4798" t="s">
        <v>30</v>
      </c>
      <c r="U4798" t="s">
        <v>26044</v>
      </c>
      <c r="W4798" t="s">
        <v>26009</v>
      </c>
    </row>
    <row r="4799" spans="1:23" x14ac:dyDescent="0.35">
      <c r="A4799">
        <v>1169369</v>
      </c>
      <c r="B4799" t="s">
        <v>42865</v>
      </c>
      <c r="C4799" t="str">
        <f>"9780253008046"</f>
        <v>9780253008046</v>
      </c>
      <c r="D4799" t="str">
        <f>"9780253008114"</f>
        <v>9780253008114</v>
      </c>
      <c r="E4799" t="s">
        <v>28146</v>
      </c>
      <c r="F4799" t="s">
        <v>7540</v>
      </c>
      <c r="G4799" t="s">
        <v>24303</v>
      </c>
      <c r="H4799" t="s">
        <v>26004</v>
      </c>
      <c r="I4799" s="26">
        <v>41376</v>
      </c>
      <c r="J4799">
        <v>2013</v>
      </c>
      <c r="K4799" t="s">
        <v>7540</v>
      </c>
      <c r="L4799">
        <v>344</v>
      </c>
      <c r="M4799" t="s">
        <v>42866</v>
      </c>
      <c r="N4799">
        <v>1</v>
      </c>
      <c r="Q4799" t="s">
        <v>42867</v>
      </c>
      <c r="R4799">
        <v>305.80094000000003</v>
      </c>
      <c r="S4799" t="s">
        <v>42868</v>
      </c>
      <c r="T4799" t="s">
        <v>30</v>
      </c>
      <c r="U4799" t="s">
        <v>26044</v>
      </c>
      <c r="W4799" t="s">
        <v>28347</v>
      </c>
    </row>
    <row r="4800" spans="1:23" x14ac:dyDescent="0.35">
      <c r="A4800">
        <v>1170061</v>
      </c>
      <c r="B4800" t="s">
        <v>9088</v>
      </c>
      <c r="C4800" t="str">
        <f>"9789004249820"</f>
        <v>9789004249820</v>
      </c>
      <c r="D4800" t="str">
        <f>"9789004249875"</f>
        <v>9789004249875</v>
      </c>
      <c r="E4800" t="s">
        <v>4602</v>
      </c>
      <c r="F4800" t="s">
        <v>27</v>
      </c>
      <c r="G4800" t="s">
        <v>22231</v>
      </c>
      <c r="H4800" t="s">
        <v>26004</v>
      </c>
      <c r="I4800" s="26">
        <v>41347</v>
      </c>
      <c r="J4800">
        <v>2013</v>
      </c>
      <c r="K4800" t="s">
        <v>27</v>
      </c>
      <c r="L4800">
        <v>530</v>
      </c>
      <c r="M4800" t="s">
        <v>42869</v>
      </c>
      <c r="N4800">
        <v>1</v>
      </c>
      <c r="O4800" t="s">
        <v>42870</v>
      </c>
      <c r="P4800">
        <v>38</v>
      </c>
      <c r="R4800">
        <v>616.89</v>
      </c>
      <c r="T4800" t="s">
        <v>30</v>
      </c>
      <c r="U4800" t="s">
        <v>26040</v>
      </c>
      <c r="W4800" t="s">
        <v>26009</v>
      </c>
    </row>
    <row r="4801" spans="1:23" x14ac:dyDescent="0.35">
      <c r="A4801">
        <v>1170294</v>
      </c>
      <c r="B4801" t="s">
        <v>7487</v>
      </c>
      <c r="C4801" t="str">
        <f>"9780415644709"</f>
        <v>9780415644709</v>
      </c>
      <c r="D4801" t="str">
        <f>"9781136159640"</f>
        <v>9781136159640</v>
      </c>
      <c r="E4801" t="s">
        <v>26010</v>
      </c>
      <c r="F4801" t="s">
        <v>35</v>
      </c>
      <c r="G4801" t="s">
        <v>22174</v>
      </c>
      <c r="H4801" t="s">
        <v>26011</v>
      </c>
      <c r="I4801" s="26">
        <v>41368</v>
      </c>
      <c r="J4801">
        <v>2013</v>
      </c>
      <c r="K4801" t="s">
        <v>26012</v>
      </c>
      <c r="L4801">
        <v>276</v>
      </c>
      <c r="M4801" t="s">
        <v>42871</v>
      </c>
      <c r="N4801">
        <v>1</v>
      </c>
      <c r="Q4801" t="s">
        <v>42872</v>
      </c>
      <c r="R4801">
        <v>618.92852100000005</v>
      </c>
      <c r="S4801" t="s">
        <v>42873</v>
      </c>
      <c r="T4801" t="s">
        <v>30</v>
      </c>
      <c r="U4801" t="s">
        <v>26019</v>
      </c>
      <c r="W4801" t="s">
        <v>26009</v>
      </c>
    </row>
    <row r="4802" spans="1:23" x14ac:dyDescent="0.35">
      <c r="A4802">
        <v>1170304</v>
      </c>
      <c r="B4802" t="s">
        <v>9409</v>
      </c>
      <c r="C4802" t="str">
        <f>"9780415538350"</f>
        <v>9780415538350</v>
      </c>
      <c r="D4802" t="str">
        <f>"9781136269912"</f>
        <v>9781136269912</v>
      </c>
      <c r="E4802" t="s">
        <v>26010</v>
      </c>
      <c r="F4802" t="s">
        <v>35</v>
      </c>
      <c r="G4802" t="s">
        <v>22174</v>
      </c>
      <c r="H4802" t="s">
        <v>26011</v>
      </c>
      <c r="I4802" s="26">
        <v>41355</v>
      </c>
      <c r="J4802">
        <v>2013</v>
      </c>
      <c r="K4802" t="s">
        <v>26012</v>
      </c>
      <c r="L4802">
        <v>217</v>
      </c>
      <c r="M4802" t="s">
        <v>42874</v>
      </c>
      <c r="N4802">
        <v>1</v>
      </c>
      <c r="Q4802" t="s">
        <v>42875</v>
      </c>
      <c r="R4802">
        <v>128</v>
      </c>
      <c r="S4802" t="s">
        <v>42876</v>
      </c>
      <c r="T4802" t="s">
        <v>30</v>
      </c>
      <c r="U4802" t="s">
        <v>152</v>
      </c>
      <c r="W4802" t="s">
        <v>26009</v>
      </c>
    </row>
    <row r="4803" spans="1:23" x14ac:dyDescent="0.35">
      <c r="A4803">
        <v>1170326</v>
      </c>
      <c r="B4803" t="s">
        <v>42877</v>
      </c>
      <c r="C4803" t="str">
        <f>"9780415686037"</f>
        <v>9780415686037</v>
      </c>
      <c r="D4803" t="str">
        <f>"9781135909215"</f>
        <v>9781135909215</v>
      </c>
      <c r="E4803" t="s">
        <v>26010</v>
      </c>
      <c r="F4803" t="s">
        <v>35</v>
      </c>
      <c r="G4803" t="s">
        <v>22174</v>
      </c>
      <c r="H4803" t="s">
        <v>26011</v>
      </c>
      <c r="I4803" s="26">
        <v>41417</v>
      </c>
      <c r="J4803">
        <v>2013</v>
      </c>
      <c r="K4803" t="s">
        <v>26012</v>
      </c>
      <c r="L4803">
        <v>240</v>
      </c>
      <c r="M4803" t="s">
        <v>42878</v>
      </c>
      <c r="N4803">
        <v>1</v>
      </c>
      <c r="Q4803" t="s">
        <v>42879</v>
      </c>
      <c r="R4803">
        <v>150.19540000000001</v>
      </c>
      <c r="S4803" t="s">
        <v>9746</v>
      </c>
      <c r="T4803" t="s">
        <v>30</v>
      </c>
      <c r="U4803" t="s">
        <v>46</v>
      </c>
      <c r="W4803" t="s">
        <v>26009</v>
      </c>
    </row>
    <row r="4804" spans="1:23" x14ac:dyDescent="0.35">
      <c r="A4804">
        <v>1170342</v>
      </c>
      <c r="B4804" t="s">
        <v>42880</v>
      </c>
      <c r="C4804" t="str">
        <f>"9780415643306"</f>
        <v>9780415643306</v>
      </c>
      <c r="D4804" t="str">
        <f>"9781134117185"</f>
        <v>9781134117185</v>
      </c>
      <c r="E4804" t="s">
        <v>26010</v>
      </c>
      <c r="F4804" t="s">
        <v>35</v>
      </c>
      <c r="G4804" t="s">
        <v>22174</v>
      </c>
      <c r="H4804" t="s">
        <v>26011</v>
      </c>
      <c r="I4804" s="26">
        <v>41355</v>
      </c>
      <c r="J4804">
        <v>2013</v>
      </c>
      <c r="K4804" t="s">
        <v>26012</v>
      </c>
      <c r="L4804">
        <v>244</v>
      </c>
      <c r="M4804" t="s">
        <v>42881</v>
      </c>
      <c r="N4804">
        <v>1</v>
      </c>
      <c r="O4804" t="s">
        <v>42882</v>
      </c>
      <c r="Q4804" t="s">
        <v>42883</v>
      </c>
      <c r="R4804">
        <v>307.3</v>
      </c>
      <c r="S4804" t="s">
        <v>42884</v>
      </c>
      <c r="T4804" t="s">
        <v>30</v>
      </c>
      <c r="U4804" t="s">
        <v>30336</v>
      </c>
      <c r="W4804" t="s">
        <v>26009</v>
      </c>
    </row>
    <row r="4805" spans="1:23" x14ac:dyDescent="0.35">
      <c r="A4805">
        <v>1170344</v>
      </c>
      <c r="B4805" t="s">
        <v>42885</v>
      </c>
      <c r="C4805" t="str">
        <f>"9780415821087"</f>
        <v>9780415821087</v>
      </c>
      <c r="D4805" t="str">
        <f>"9781136739521"</f>
        <v>9781136739521</v>
      </c>
      <c r="E4805" t="s">
        <v>26010</v>
      </c>
      <c r="F4805" t="s">
        <v>35</v>
      </c>
      <c r="G4805" t="s">
        <v>22174</v>
      </c>
      <c r="H4805" t="s">
        <v>26011</v>
      </c>
      <c r="I4805" s="26">
        <v>41359</v>
      </c>
      <c r="J4805">
        <v>2013</v>
      </c>
      <c r="K4805" t="s">
        <v>26012</v>
      </c>
      <c r="L4805">
        <v>369</v>
      </c>
      <c r="M4805" t="s">
        <v>42886</v>
      </c>
      <c r="N4805">
        <v>2</v>
      </c>
      <c r="Q4805" t="s">
        <v>42887</v>
      </c>
      <c r="R4805">
        <v>363.32509540000001</v>
      </c>
      <c r="S4805" t="s">
        <v>42888</v>
      </c>
      <c r="T4805" t="s">
        <v>30</v>
      </c>
      <c r="U4805" t="s">
        <v>32430</v>
      </c>
      <c r="W4805" t="s">
        <v>26009</v>
      </c>
    </row>
    <row r="4806" spans="1:23" x14ac:dyDescent="0.35">
      <c r="A4806">
        <v>1170352</v>
      </c>
      <c r="B4806" t="s">
        <v>42889</v>
      </c>
      <c r="C4806" t="str">
        <f>"9780415665223"</f>
        <v>9780415665223</v>
      </c>
      <c r="D4806" t="str">
        <f>"9781136680441"</f>
        <v>9781136680441</v>
      </c>
      <c r="E4806" t="s">
        <v>26010</v>
      </c>
      <c r="F4806" t="s">
        <v>35</v>
      </c>
      <c r="G4806" t="s">
        <v>22174</v>
      </c>
      <c r="H4806" t="s">
        <v>26011</v>
      </c>
      <c r="I4806" s="26">
        <v>41417</v>
      </c>
      <c r="J4806">
        <v>2013</v>
      </c>
      <c r="K4806" t="s">
        <v>26012</v>
      </c>
      <c r="L4806">
        <v>176</v>
      </c>
      <c r="M4806" t="s">
        <v>42890</v>
      </c>
      <c r="N4806">
        <v>1</v>
      </c>
      <c r="O4806" t="s">
        <v>26125</v>
      </c>
      <c r="Q4806" t="s">
        <v>42891</v>
      </c>
      <c r="R4806">
        <v>362.73200000000003</v>
      </c>
      <c r="S4806" t="s">
        <v>10285</v>
      </c>
      <c r="T4806" t="s">
        <v>30</v>
      </c>
      <c r="U4806" t="s">
        <v>26044</v>
      </c>
      <c r="W4806" t="s">
        <v>26009</v>
      </c>
    </row>
    <row r="4807" spans="1:23" x14ac:dyDescent="0.35">
      <c r="A4807">
        <v>1170356</v>
      </c>
      <c r="B4807" t="s">
        <v>9000</v>
      </c>
      <c r="C4807" t="str">
        <f>"9780415888936"</f>
        <v>9780415888936</v>
      </c>
      <c r="D4807" t="str">
        <f>"9781136828812"</f>
        <v>9781136828812</v>
      </c>
      <c r="E4807" t="s">
        <v>26010</v>
      </c>
      <c r="F4807" t="s">
        <v>35</v>
      </c>
      <c r="G4807" t="s">
        <v>22174</v>
      </c>
      <c r="H4807" t="s">
        <v>26011</v>
      </c>
      <c r="I4807" s="26">
        <v>41360</v>
      </c>
      <c r="J4807">
        <v>2013</v>
      </c>
      <c r="K4807" t="s">
        <v>26012</v>
      </c>
      <c r="L4807">
        <v>213</v>
      </c>
      <c r="M4807" t="s">
        <v>42892</v>
      </c>
      <c r="N4807">
        <v>1</v>
      </c>
      <c r="O4807" t="s">
        <v>40313</v>
      </c>
      <c r="Q4807" t="s">
        <v>42893</v>
      </c>
      <c r="R4807">
        <v>155.93</v>
      </c>
      <c r="S4807" t="s">
        <v>9001</v>
      </c>
      <c r="T4807" t="s">
        <v>30</v>
      </c>
      <c r="U4807" t="s">
        <v>46</v>
      </c>
      <c r="W4807" t="s">
        <v>26009</v>
      </c>
    </row>
    <row r="4808" spans="1:23" x14ac:dyDescent="0.35">
      <c r="A4808">
        <v>1172350</v>
      </c>
      <c r="B4808" t="s">
        <v>42894</v>
      </c>
      <c r="C4808" t="str">
        <f>"9781442218659"</f>
        <v>9781442218659</v>
      </c>
      <c r="D4808" t="str">
        <f>"9781442218673"</f>
        <v>9781442218673</v>
      </c>
      <c r="E4808" t="s">
        <v>33803</v>
      </c>
      <c r="F4808" t="s">
        <v>38</v>
      </c>
      <c r="G4808" t="s">
        <v>33804</v>
      </c>
      <c r="H4808" t="s">
        <v>26004</v>
      </c>
      <c r="I4808" s="26">
        <v>41402</v>
      </c>
      <c r="J4808">
        <v>2013</v>
      </c>
      <c r="K4808" t="s">
        <v>38</v>
      </c>
      <c r="L4808">
        <v>153</v>
      </c>
      <c r="M4808" t="s">
        <v>42895</v>
      </c>
      <c r="N4808">
        <v>1</v>
      </c>
      <c r="S4808" t="s">
        <v>9802</v>
      </c>
      <c r="T4808" t="s">
        <v>30</v>
      </c>
      <c r="U4808" t="s">
        <v>42896</v>
      </c>
      <c r="W4808" t="s">
        <v>26009</v>
      </c>
    </row>
    <row r="4809" spans="1:23" x14ac:dyDescent="0.35">
      <c r="A4809">
        <v>1172734</v>
      </c>
      <c r="B4809" t="s">
        <v>42897</v>
      </c>
      <c r="C4809" t="str">
        <f>"9780826353245"</f>
        <v>9780826353245</v>
      </c>
      <c r="D4809" t="str">
        <f>"9780826353252"</f>
        <v>9780826353252</v>
      </c>
      <c r="E4809" t="s">
        <v>42445</v>
      </c>
      <c r="F4809" t="s">
        <v>42445</v>
      </c>
      <c r="G4809" t="s">
        <v>42446</v>
      </c>
      <c r="H4809" t="s">
        <v>26004</v>
      </c>
      <c r="I4809" s="26">
        <v>41409</v>
      </c>
      <c r="J4809">
        <v>2013</v>
      </c>
      <c r="K4809" t="s">
        <v>42445</v>
      </c>
      <c r="L4809">
        <v>184</v>
      </c>
      <c r="M4809" t="s">
        <v>42898</v>
      </c>
      <c r="N4809">
        <v>1</v>
      </c>
      <c r="O4809" t="s">
        <v>42899</v>
      </c>
      <c r="Q4809" t="s">
        <v>42900</v>
      </c>
      <c r="R4809">
        <v>610</v>
      </c>
      <c r="S4809" t="s">
        <v>42901</v>
      </c>
      <c r="T4809" t="s">
        <v>30</v>
      </c>
      <c r="U4809" t="s">
        <v>26040</v>
      </c>
      <c r="W4809" t="s">
        <v>26009</v>
      </c>
    </row>
    <row r="4810" spans="1:23" x14ac:dyDescent="0.35">
      <c r="A4810">
        <v>1172903</v>
      </c>
      <c r="B4810" t="s">
        <v>8124</v>
      </c>
      <c r="C4810" t="str">
        <f>"9780415876049"</f>
        <v>9780415876049</v>
      </c>
      <c r="D4810" t="str">
        <f>"9781136961984"</f>
        <v>9781136961984</v>
      </c>
      <c r="E4810" t="s">
        <v>26010</v>
      </c>
      <c r="F4810" t="s">
        <v>35</v>
      </c>
      <c r="G4810" t="s">
        <v>26128</v>
      </c>
      <c r="H4810" t="s">
        <v>26011</v>
      </c>
      <c r="I4810" s="26">
        <v>41372</v>
      </c>
      <c r="J4810">
        <v>2013</v>
      </c>
      <c r="K4810" t="s">
        <v>26012</v>
      </c>
      <c r="L4810">
        <v>456</v>
      </c>
      <c r="M4810" t="s">
        <v>42902</v>
      </c>
      <c r="N4810">
        <v>1</v>
      </c>
      <c r="Q4810" t="s">
        <v>42903</v>
      </c>
      <c r="R4810">
        <v>371.26</v>
      </c>
      <c r="S4810" t="s">
        <v>8125</v>
      </c>
      <c r="T4810" t="s">
        <v>30</v>
      </c>
      <c r="U4810" t="s">
        <v>337</v>
      </c>
      <c r="W4810" t="s">
        <v>26009</v>
      </c>
    </row>
    <row r="4811" spans="1:23" x14ac:dyDescent="0.35">
      <c r="A4811">
        <v>1172904</v>
      </c>
      <c r="B4811" t="s">
        <v>42904</v>
      </c>
      <c r="C4811" t="str">
        <f>"9780415815116"</f>
        <v>9780415815116</v>
      </c>
      <c r="D4811" t="str">
        <f>"9781136701375"</f>
        <v>9781136701375</v>
      </c>
      <c r="E4811" t="s">
        <v>26010</v>
      </c>
      <c r="F4811" t="s">
        <v>35</v>
      </c>
      <c r="G4811" t="s">
        <v>26337</v>
      </c>
      <c r="H4811" t="s">
        <v>26011</v>
      </c>
      <c r="I4811" s="26">
        <v>41360</v>
      </c>
      <c r="J4811">
        <v>1929</v>
      </c>
      <c r="K4811" t="s">
        <v>26012</v>
      </c>
      <c r="L4811">
        <v>333</v>
      </c>
      <c r="M4811" t="s">
        <v>7493</v>
      </c>
      <c r="N4811">
        <v>1</v>
      </c>
      <c r="O4811" t="s">
        <v>42905</v>
      </c>
      <c r="Q4811" t="s">
        <v>42906</v>
      </c>
      <c r="R4811">
        <v>150.1953</v>
      </c>
      <c r="S4811" t="s">
        <v>7514</v>
      </c>
      <c r="T4811" t="s">
        <v>30</v>
      </c>
      <c r="U4811" t="s">
        <v>46</v>
      </c>
      <c r="W4811" t="s">
        <v>26009</v>
      </c>
    </row>
    <row r="4812" spans="1:23" x14ac:dyDescent="0.35">
      <c r="A4812">
        <v>1172906</v>
      </c>
      <c r="B4812" t="s">
        <v>9774</v>
      </c>
      <c r="C4812" t="str">
        <f>"9780415817349"</f>
        <v>9780415817349</v>
      </c>
      <c r="D4812" t="str">
        <f>"9781136702211"</f>
        <v>9781136702211</v>
      </c>
      <c r="E4812" t="s">
        <v>26010</v>
      </c>
      <c r="F4812" t="s">
        <v>35</v>
      </c>
      <c r="G4812" t="s">
        <v>26337</v>
      </c>
      <c r="H4812" t="s">
        <v>26011</v>
      </c>
      <c r="I4812" s="26">
        <v>41360</v>
      </c>
      <c r="J4812">
        <v>1930</v>
      </c>
      <c r="K4812" t="s">
        <v>26012</v>
      </c>
      <c r="L4812">
        <v>269</v>
      </c>
      <c r="M4812" t="s">
        <v>7493</v>
      </c>
      <c r="N4812">
        <v>1</v>
      </c>
      <c r="O4812" t="s">
        <v>42905</v>
      </c>
      <c r="Q4812" t="s">
        <v>42906</v>
      </c>
      <c r="R4812">
        <v>69.067999999999998</v>
      </c>
      <c r="S4812" t="s">
        <v>7514</v>
      </c>
      <c r="T4812" t="s">
        <v>30</v>
      </c>
      <c r="U4812" t="s">
        <v>42907</v>
      </c>
      <c r="W4812" t="s">
        <v>26009</v>
      </c>
    </row>
    <row r="4813" spans="1:23" x14ac:dyDescent="0.35">
      <c r="A4813">
        <v>1172910</v>
      </c>
      <c r="B4813" t="s">
        <v>42908</v>
      </c>
      <c r="C4813" t="str">
        <f>"9780415816786"</f>
        <v>9780415816786</v>
      </c>
      <c r="D4813" t="str">
        <f>"9781136701658"</f>
        <v>9781136701658</v>
      </c>
      <c r="E4813" t="s">
        <v>26010</v>
      </c>
      <c r="F4813" t="s">
        <v>35</v>
      </c>
      <c r="G4813" t="s">
        <v>22174</v>
      </c>
      <c r="H4813" t="s">
        <v>26011</v>
      </c>
      <c r="I4813" s="26">
        <v>41360</v>
      </c>
      <c r="J4813">
        <v>1930</v>
      </c>
      <c r="K4813" t="s">
        <v>26012</v>
      </c>
      <c r="L4813">
        <v>273</v>
      </c>
      <c r="M4813" t="s">
        <v>7493</v>
      </c>
      <c r="N4813">
        <v>1</v>
      </c>
      <c r="O4813" t="s">
        <v>42905</v>
      </c>
      <c r="Q4813" t="s">
        <v>42909</v>
      </c>
      <c r="R4813">
        <v>155.4</v>
      </c>
      <c r="S4813" t="s">
        <v>42910</v>
      </c>
      <c r="T4813" t="s">
        <v>30</v>
      </c>
      <c r="U4813" t="s">
        <v>46</v>
      </c>
      <c r="W4813" t="s">
        <v>26009</v>
      </c>
    </row>
    <row r="4814" spans="1:23" x14ac:dyDescent="0.35">
      <c r="A4814">
        <v>1172913</v>
      </c>
      <c r="B4814" t="s">
        <v>42911</v>
      </c>
      <c r="C4814" t="str">
        <f>"9780415896115"</f>
        <v>9780415896115</v>
      </c>
      <c r="D4814" t="str">
        <f>"9781136663390"</f>
        <v>9781136663390</v>
      </c>
      <c r="E4814" t="s">
        <v>26010</v>
      </c>
      <c r="F4814" t="s">
        <v>35</v>
      </c>
      <c r="G4814" t="s">
        <v>22174</v>
      </c>
      <c r="H4814" t="s">
        <v>26011</v>
      </c>
      <c r="I4814" s="26">
        <v>41381</v>
      </c>
      <c r="J4814">
        <v>2013</v>
      </c>
      <c r="K4814" t="s">
        <v>26012</v>
      </c>
      <c r="L4814">
        <v>279</v>
      </c>
      <c r="M4814" t="s">
        <v>42912</v>
      </c>
      <c r="N4814">
        <v>1</v>
      </c>
      <c r="Q4814" t="s">
        <v>42913</v>
      </c>
      <c r="R4814">
        <v>370.8664</v>
      </c>
      <c r="S4814" t="s">
        <v>8029</v>
      </c>
      <c r="T4814" t="s">
        <v>30</v>
      </c>
      <c r="U4814" t="s">
        <v>337</v>
      </c>
      <c r="W4814" t="s">
        <v>26009</v>
      </c>
    </row>
    <row r="4815" spans="1:23" x14ac:dyDescent="0.35">
      <c r="A4815">
        <v>1172920</v>
      </c>
      <c r="B4815" t="s">
        <v>9140</v>
      </c>
      <c r="C4815" t="str">
        <f>"9780415642446"</f>
        <v>9780415642446</v>
      </c>
      <c r="D4815" t="str">
        <f>"9781136169984"</f>
        <v>9781136169984</v>
      </c>
      <c r="E4815" t="s">
        <v>26010</v>
      </c>
      <c r="F4815" t="s">
        <v>35</v>
      </c>
      <c r="G4815" t="s">
        <v>22174</v>
      </c>
      <c r="H4815" t="s">
        <v>26011</v>
      </c>
      <c r="I4815" s="26">
        <v>41372</v>
      </c>
      <c r="J4815">
        <v>2013</v>
      </c>
      <c r="K4815" t="s">
        <v>26012</v>
      </c>
      <c r="L4815">
        <v>216</v>
      </c>
      <c r="M4815" t="s">
        <v>42914</v>
      </c>
      <c r="N4815">
        <v>1</v>
      </c>
      <c r="Q4815" t="s">
        <v>42915</v>
      </c>
      <c r="R4815">
        <v>616.89065100000005</v>
      </c>
      <c r="S4815" t="s">
        <v>9141</v>
      </c>
      <c r="T4815" t="s">
        <v>30</v>
      </c>
      <c r="U4815" t="s">
        <v>26116</v>
      </c>
      <c r="W4815" t="s">
        <v>26009</v>
      </c>
    </row>
    <row r="4816" spans="1:23" x14ac:dyDescent="0.35">
      <c r="A4816">
        <v>1174354</v>
      </c>
      <c r="B4816" t="s">
        <v>42916</v>
      </c>
      <c r="C4816" t="str">
        <f>"9780691029047"</f>
        <v>9780691029047</v>
      </c>
      <c r="D4816" t="str">
        <f>"9781400821594"</f>
        <v>9781400821594</v>
      </c>
      <c r="E4816" t="s">
        <v>33468</v>
      </c>
      <c r="F4816" t="s">
        <v>7517</v>
      </c>
      <c r="G4816" t="s">
        <v>23592</v>
      </c>
      <c r="H4816" t="s">
        <v>26004</v>
      </c>
      <c r="I4816" s="26">
        <v>34854</v>
      </c>
      <c r="J4816">
        <v>1995</v>
      </c>
      <c r="K4816" t="s">
        <v>7517</v>
      </c>
      <c r="L4816">
        <v>163</v>
      </c>
      <c r="M4816" t="s">
        <v>42917</v>
      </c>
      <c r="N4816">
        <v>1</v>
      </c>
      <c r="R4816" t="s">
        <v>26047</v>
      </c>
      <c r="T4816" t="s">
        <v>30</v>
      </c>
      <c r="U4816" t="s">
        <v>46</v>
      </c>
      <c r="W4816" t="s">
        <v>28347</v>
      </c>
    </row>
    <row r="4817" spans="1:23" x14ac:dyDescent="0.35">
      <c r="A4817">
        <v>1179229</v>
      </c>
      <c r="B4817" t="s">
        <v>5545</v>
      </c>
      <c r="C4817" t="str">
        <f>"9780826107145"</f>
        <v>9780826107145</v>
      </c>
      <c r="D4817" t="str">
        <f>"9780826107152"</f>
        <v>9780826107152</v>
      </c>
      <c r="E4817" t="s">
        <v>1504</v>
      </c>
      <c r="F4817" t="s">
        <v>33</v>
      </c>
      <c r="G4817" t="s">
        <v>22179</v>
      </c>
      <c r="H4817" t="s">
        <v>26004</v>
      </c>
      <c r="I4817" s="26">
        <v>41456</v>
      </c>
      <c r="J4817">
        <v>2013</v>
      </c>
      <c r="K4817" t="s">
        <v>33</v>
      </c>
      <c r="L4817">
        <v>374</v>
      </c>
      <c r="M4817" t="s">
        <v>42918</v>
      </c>
      <c r="N4817">
        <v>1</v>
      </c>
      <c r="S4817" t="s">
        <v>42919</v>
      </c>
      <c r="T4817" t="s">
        <v>30</v>
      </c>
      <c r="U4817" t="s">
        <v>26019</v>
      </c>
      <c r="W4817" t="s">
        <v>26009</v>
      </c>
    </row>
    <row r="4818" spans="1:23" x14ac:dyDescent="0.35">
      <c r="A4818">
        <v>1180040</v>
      </c>
      <c r="B4818" t="s">
        <v>9005</v>
      </c>
      <c r="C4818" t="str">
        <f>"9781603449496"</f>
        <v>9781603449496</v>
      </c>
      <c r="D4818" t="str">
        <f>"9781603449953"</f>
        <v>9781603449953</v>
      </c>
      <c r="E4818" t="s">
        <v>42164</v>
      </c>
      <c r="F4818" t="s">
        <v>7941</v>
      </c>
      <c r="G4818" t="s">
        <v>30409</v>
      </c>
      <c r="H4818" t="s">
        <v>26004</v>
      </c>
      <c r="I4818" s="26">
        <v>41353</v>
      </c>
      <c r="J4818">
        <v>2013</v>
      </c>
      <c r="K4818" t="s">
        <v>7941</v>
      </c>
      <c r="L4818">
        <v>138</v>
      </c>
      <c r="M4818" t="s">
        <v>42920</v>
      </c>
      <c r="N4818">
        <v>1</v>
      </c>
      <c r="O4818" t="s">
        <v>42921</v>
      </c>
      <c r="P4818">
        <v>18</v>
      </c>
      <c r="Q4818" t="s">
        <v>42922</v>
      </c>
      <c r="R4818">
        <v>153.35</v>
      </c>
      <c r="S4818" t="s">
        <v>42923</v>
      </c>
      <c r="T4818" t="s">
        <v>30</v>
      </c>
      <c r="U4818" t="s">
        <v>46</v>
      </c>
      <c r="W4818" t="s">
        <v>26009</v>
      </c>
    </row>
    <row r="4819" spans="1:23" x14ac:dyDescent="0.35">
      <c r="A4819">
        <v>1180188</v>
      </c>
      <c r="B4819" t="s">
        <v>42924</v>
      </c>
      <c r="C4819" t="str">
        <f>"9780803245112"</f>
        <v>9780803245112</v>
      </c>
      <c r="D4819" t="str">
        <f>"9780803246232"</f>
        <v>9780803246232</v>
      </c>
      <c r="E4819" t="s">
        <v>30383</v>
      </c>
      <c r="F4819" t="s">
        <v>6414</v>
      </c>
      <c r="G4819" t="s">
        <v>25437</v>
      </c>
      <c r="H4819" t="s">
        <v>26004</v>
      </c>
      <c r="I4819" s="26">
        <v>41456</v>
      </c>
      <c r="J4819">
        <v>2013</v>
      </c>
      <c r="K4819" t="s">
        <v>6414</v>
      </c>
      <c r="L4819">
        <v>363</v>
      </c>
      <c r="M4819" t="s">
        <v>42925</v>
      </c>
      <c r="N4819">
        <v>1</v>
      </c>
      <c r="O4819" t="s">
        <v>42926</v>
      </c>
      <c r="R4819">
        <v>150.19499999999999</v>
      </c>
      <c r="S4819" t="s">
        <v>42927</v>
      </c>
      <c r="T4819" t="s">
        <v>30</v>
      </c>
      <c r="U4819" t="s">
        <v>46</v>
      </c>
      <c r="W4819" t="s">
        <v>26009</v>
      </c>
    </row>
    <row r="4820" spans="1:23" x14ac:dyDescent="0.35">
      <c r="A4820">
        <v>1180197</v>
      </c>
      <c r="B4820" t="s">
        <v>42928</v>
      </c>
      <c r="C4820" t="str">
        <f>"9780804777971"</f>
        <v>9780804777971</v>
      </c>
      <c r="D4820" t="str">
        <f>"9780804785747"</f>
        <v>9780804785747</v>
      </c>
      <c r="E4820" t="s">
        <v>8284</v>
      </c>
      <c r="F4820" t="s">
        <v>8284</v>
      </c>
      <c r="G4820" t="s">
        <v>23524</v>
      </c>
      <c r="H4820" t="s">
        <v>26004</v>
      </c>
      <c r="I4820" s="26">
        <v>41409</v>
      </c>
      <c r="J4820">
        <v>2013</v>
      </c>
      <c r="K4820" t="s">
        <v>42929</v>
      </c>
      <c r="L4820">
        <v>312</v>
      </c>
      <c r="M4820" t="s">
        <v>42930</v>
      </c>
      <c r="N4820">
        <v>1</v>
      </c>
      <c r="Q4820" t="s">
        <v>42931</v>
      </c>
      <c r="R4820">
        <v>338.47362099999998</v>
      </c>
      <c r="S4820" t="s">
        <v>42932</v>
      </c>
      <c r="T4820" t="s">
        <v>30</v>
      </c>
      <c r="U4820" t="s">
        <v>42933</v>
      </c>
      <c r="W4820" t="s">
        <v>26009</v>
      </c>
    </row>
    <row r="4821" spans="1:23" x14ac:dyDescent="0.35">
      <c r="A4821">
        <v>1181001</v>
      </c>
      <c r="B4821" t="s">
        <v>8695</v>
      </c>
      <c r="C4821" t="str">
        <f>"9780415894456"</f>
        <v>9780415894456</v>
      </c>
      <c r="D4821" t="str">
        <f>"9781136700576"</f>
        <v>9781136700576</v>
      </c>
      <c r="E4821" t="s">
        <v>26010</v>
      </c>
      <c r="F4821" t="s">
        <v>35</v>
      </c>
      <c r="G4821" t="s">
        <v>22174</v>
      </c>
      <c r="H4821" t="s">
        <v>26011</v>
      </c>
      <c r="I4821" s="26">
        <v>41251</v>
      </c>
      <c r="J4821">
        <v>2013</v>
      </c>
      <c r="K4821" t="s">
        <v>26012</v>
      </c>
      <c r="L4821">
        <v>201</v>
      </c>
      <c r="M4821" t="s">
        <v>42934</v>
      </c>
      <c r="N4821">
        <v>2</v>
      </c>
      <c r="O4821" t="s">
        <v>27182</v>
      </c>
      <c r="Q4821" t="s">
        <v>42935</v>
      </c>
      <c r="R4821" t="s">
        <v>27831</v>
      </c>
      <c r="S4821" t="s">
        <v>42936</v>
      </c>
      <c r="T4821" t="s">
        <v>30</v>
      </c>
      <c r="U4821" t="s">
        <v>26019</v>
      </c>
      <c r="W4821" t="s">
        <v>26009</v>
      </c>
    </row>
    <row r="4822" spans="1:23" x14ac:dyDescent="0.35">
      <c r="A4822">
        <v>1181040</v>
      </c>
      <c r="B4822" t="s">
        <v>9605</v>
      </c>
      <c r="C4822" t="str">
        <f>"9781848720749"</f>
        <v>9781848720749</v>
      </c>
      <c r="D4822" t="str">
        <f>"9781135106980"</f>
        <v>9781135106980</v>
      </c>
      <c r="E4822" t="s">
        <v>26010</v>
      </c>
      <c r="F4822" t="s">
        <v>35</v>
      </c>
      <c r="G4822" t="s">
        <v>22174</v>
      </c>
      <c r="H4822" t="s">
        <v>26011</v>
      </c>
      <c r="I4822" s="26">
        <v>41289</v>
      </c>
      <c r="J4822">
        <v>2013</v>
      </c>
      <c r="K4822" t="s">
        <v>660</v>
      </c>
      <c r="L4822">
        <v>193</v>
      </c>
      <c r="M4822" t="s">
        <v>42937</v>
      </c>
      <c r="N4822">
        <v>1</v>
      </c>
      <c r="Q4822" t="s">
        <v>42938</v>
      </c>
      <c r="R4822">
        <v>302.23099999999999</v>
      </c>
      <c r="S4822" t="s">
        <v>9606</v>
      </c>
      <c r="T4822" t="s">
        <v>30</v>
      </c>
      <c r="U4822" t="s">
        <v>26044</v>
      </c>
      <c r="W4822" t="s">
        <v>26009</v>
      </c>
    </row>
    <row r="4823" spans="1:23" x14ac:dyDescent="0.35">
      <c r="A4823">
        <v>1181045</v>
      </c>
      <c r="B4823" t="s">
        <v>42939</v>
      </c>
      <c r="C4823" t="str">
        <f>"9780415885607"</f>
        <v>9780415885607</v>
      </c>
      <c r="D4823" t="str">
        <f>"9781136207198"</f>
        <v>9781136207198</v>
      </c>
      <c r="E4823" t="s">
        <v>26010</v>
      </c>
      <c r="F4823" t="s">
        <v>35</v>
      </c>
      <c r="G4823" t="s">
        <v>22174</v>
      </c>
      <c r="H4823" t="s">
        <v>26011</v>
      </c>
      <c r="I4823" s="26">
        <v>41170</v>
      </c>
      <c r="J4823">
        <v>2013</v>
      </c>
      <c r="K4823" t="s">
        <v>26012</v>
      </c>
      <c r="L4823">
        <v>481</v>
      </c>
      <c r="M4823" t="s">
        <v>42940</v>
      </c>
      <c r="N4823">
        <v>1</v>
      </c>
      <c r="Q4823" t="s">
        <v>42941</v>
      </c>
      <c r="R4823">
        <v>362.82920000000001</v>
      </c>
      <c r="S4823" t="s">
        <v>9734</v>
      </c>
      <c r="T4823" t="s">
        <v>30</v>
      </c>
      <c r="U4823" t="s">
        <v>26044</v>
      </c>
      <c r="W4823" t="s">
        <v>26009</v>
      </c>
    </row>
    <row r="4824" spans="1:23" x14ac:dyDescent="0.35">
      <c r="A4824">
        <v>1181049</v>
      </c>
      <c r="B4824" t="s">
        <v>42942</v>
      </c>
      <c r="C4824" t="str">
        <f>"9781848729490"</f>
        <v>9781848729490</v>
      </c>
      <c r="D4824" t="str">
        <f>"9781136232596"</f>
        <v>9781136232596</v>
      </c>
      <c r="E4824" t="s">
        <v>26010</v>
      </c>
      <c r="F4824" t="s">
        <v>35</v>
      </c>
      <c r="G4824" t="s">
        <v>22174</v>
      </c>
      <c r="H4824" t="s">
        <v>26011</v>
      </c>
      <c r="I4824" s="26">
        <v>41129</v>
      </c>
      <c r="J4824">
        <v>2012</v>
      </c>
      <c r="K4824" t="s">
        <v>26012</v>
      </c>
      <c r="L4824">
        <v>345</v>
      </c>
      <c r="M4824" t="s">
        <v>42943</v>
      </c>
      <c r="N4824">
        <v>1</v>
      </c>
      <c r="O4824" t="s">
        <v>27657</v>
      </c>
      <c r="Q4824" t="s">
        <v>42944</v>
      </c>
      <c r="R4824">
        <v>158.69999999999999</v>
      </c>
      <c r="S4824" t="s">
        <v>42945</v>
      </c>
      <c r="T4824" t="s">
        <v>30</v>
      </c>
      <c r="U4824" t="s">
        <v>33989</v>
      </c>
      <c r="W4824" t="s">
        <v>26009</v>
      </c>
    </row>
    <row r="4825" spans="1:23" x14ac:dyDescent="0.35">
      <c r="A4825">
        <v>1181067</v>
      </c>
      <c r="B4825" t="s">
        <v>42946</v>
      </c>
      <c r="C4825" t="str">
        <f>"9780415612968"</f>
        <v>9780415612968</v>
      </c>
      <c r="D4825" t="str">
        <f>"9781136232879"</f>
        <v>9781136232879</v>
      </c>
      <c r="E4825" t="s">
        <v>26010</v>
      </c>
      <c r="F4825" t="s">
        <v>35</v>
      </c>
      <c r="G4825" t="s">
        <v>22174</v>
      </c>
      <c r="H4825" t="s">
        <v>26011</v>
      </c>
      <c r="I4825" s="26">
        <v>41091</v>
      </c>
      <c r="J4825">
        <v>2013</v>
      </c>
      <c r="K4825" t="s">
        <v>26012</v>
      </c>
      <c r="L4825">
        <v>321</v>
      </c>
      <c r="M4825" t="s">
        <v>26863</v>
      </c>
      <c r="N4825">
        <v>1</v>
      </c>
      <c r="Q4825" t="s">
        <v>42947</v>
      </c>
      <c r="R4825">
        <v>303.38499999999999</v>
      </c>
      <c r="S4825" t="s">
        <v>9314</v>
      </c>
      <c r="T4825" t="s">
        <v>30</v>
      </c>
      <c r="U4825" t="s">
        <v>26228</v>
      </c>
      <c r="W4825" t="s">
        <v>26009</v>
      </c>
    </row>
    <row r="4826" spans="1:23" x14ac:dyDescent="0.35">
      <c r="A4826">
        <v>1181071</v>
      </c>
      <c r="B4826" t="s">
        <v>8668</v>
      </c>
      <c r="C4826" t="str">
        <f>"9781848726123"</f>
        <v>9781848726123</v>
      </c>
      <c r="D4826" t="str">
        <f>"9781136246852"</f>
        <v>9781136246852</v>
      </c>
      <c r="E4826" t="s">
        <v>26010</v>
      </c>
      <c r="F4826" t="s">
        <v>35</v>
      </c>
      <c r="G4826" t="s">
        <v>22174</v>
      </c>
      <c r="H4826" t="s">
        <v>26011</v>
      </c>
      <c r="I4826" s="26">
        <v>41157</v>
      </c>
      <c r="J4826">
        <v>2013</v>
      </c>
      <c r="K4826" t="s">
        <v>660</v>
      </c>
      <c r="L4826">
        <v>489</v>
      </c>
      <c r="M4826" t="s">
        <v>42948</v>
      </c>
      <c r="N4826">
        <v>1</v>
      </c>
      <c r="Q4826" t="s">
        <v>42949</v>
      </c>
      <c r="R4826">
        <v>616.85500000000002</v>
      </c>
      <c r="S4826" t="s">
        <v>8669</v>
      </c>
      <c r="T4826" t="s">
        <v>30</v>
      </c>
      <c r="U4826" t="s">
        <v>26040</v>
      </c>
      <c r="W4826" t="s">
        <v>26009</v>
      </c>
    </row>
    <row r="4827" spans="1:23" x14ac:dyDescent="0.35">
      <c r="A4827">
        <v>1181074</v>
      </c>
      <c r="B4827" t="s">
        <v>42950</v>
      </c>
      <c r="C4827" t="str">
        <f>"9780415521321"</f>
        <v>9780415521321</v>
      </c>
      <c r="D4827" t="str">
        <f>"9781136221101"</f>
        <v>9781136221101</v>
      </c>
      <c r="E4827" t="s">
        <v>26010</v>
      </c>
      <c r="F4827" t="s">
        <v>35</v>
      </c>
      <c r="G4827" t="s">
        <v>22174</v>
      </c>
      <c r="H4827" t="s">
        <v>26011</v>
      </c>
      <c r="I4827" s="26">
        <v>41417</v>
      </c>
      <c r="J4827">
        <v>2013</v>
      </c>
      <c r="K4827" t="s">
        <v>26012</v>
      </c>
      <c r="L4827">
        <v>321</v>
      </c>
      <c r="M4827" t="s">
        <v>42951</v>
      </c>
      <c r="N4827">
        <v>1</v>
      </c>
      <c r="Q4827" t="s">
        <v>42952</v>
      </c>
      <c r="R4827">
        <v>320.54000000000002</v>
      </c>
      <c r="S4827" t="s">
        <v>42953</v>
      </c>
      <c r="T4827" t="s">
        <v>30</v>
      </c>
      <c r="U4827" t="s">
        <v>26458</v>
      </c>
      <c r="W4827" t="s">
        <v>26009</v>
      </c>
    </row>
    <row r="4828" spans="1:23" x14ac:dyDescent="0.35">
      <c r="A4828">
        <v>1181080</v>
      </c>
      <c r="B4828" t="s">
        <v>42954</v>
      </c>
      <c r="C4828" t="str">
        <f>"9780415455404"</f>
        <v>9780415455404</v>
      </c>
      <c r="D4828" t="str">
        <f>"9781136199479"</f>
        <v>9781136199479</v>
      </c>
      <c r="E4828" t="s">
        <v>26010</v>
      </c>
      <c r="F4828" t="s">
        <v>35</v>
      </c>
      <c r="G4828" t="s">
        <v>22174</v>
      </c>
      <c r="H4828" t="s">
        <v>26011</v>
      </c>
      <c r="I4828" s="26">
        <v>41243</v>
      </c>
      <c r="J4828">
        <v>2013</v>
      </c>
      <c r="K4828" t="s">
        <v>26012</v>
      </c>
      <c r="L4828">
        <v>281</v>
      </c>
      <c r="M4828" t="s">
        <v>42955</v>
      </c>
      <c r="N4828">
        <v>1</v>
      </c>
      <c r="Q4828" t="s">
        <v>42956</v>
      </c>
      <c r="R4828">
        <v>362.19689</v>
      </c>
      <c r="S4828" t="s">
        <v>9489</v>
      </c>
      <c r="T4828" t="s">
        <v>30</v>
      </c>
      <c r="U4828" t="s">
        <v>26094</v>
      </c>
      <c r="W4828" t="s">
        <v>26009</v>
      </c>
    </row>
    <row r="4829" spans="1:23" x14ac:dyDescent="0.35">
      <c r="A4829">
        <v>1181085</v>
      </c>
      <c r="B4829" t="s">
        <v>42957</v>
      </c>
      <c r="C4829" t="str">
        <f>"9781848720657"</f>
        <v>9781848720657</v>
      </c>
      <c r="D4829" t="str">
        <f>"9781136157905"</f>
        <v>9781136157905</v>
      </c>
      <c r="E4829" t="s">
        <v>26010</v>
      </c>
      <c r="F4829" t="s">
        <v>35</v>
      </c>
      <c r="G4829" t="s">
        <v>22174</v>
      </c>
      <c r="H4829" t="s">
        <v>26011</v>
      </c>
      <c r="I4829" s="26">
        <v>41254</v>
      </c>
      <c r="J4829">
        <v>2013</v>
      </c>
      <c r="K4829" t="s">
        <v>660</v>
      </c>
      <c r="L4829">
        <v>289</v>
      </c>
      <c r="M4829" t="s">
        <v>42958</v>
      </c>
      <c r="N4829">
        <v>1</v>
      </c>
      <c r="Q4829" t="s">
        <v>42959</v>
      </c>
      <c r="R4829" t="s">
        <v>26024</v>
      </c>
      <c r="S4829" t="s">
        <v>8360</v>
      </c>
      <c r="T4829" t="s">
        <v>30</v>
      </c>
      <c r="U4829" t="s">
        <v>46</v>
      </c>
      <c r="W4829" t="s">
        <v>26009</v>
      </c>
    </row>
    <row r="4830" spans="1:23" x14ac:dyDescent="0.35">
      <c r="A4830">
        <v>1181104</v>
      </c>
      <c r="B4830" t="s">
        <v>42960</v>
      </c>
      <c r="C4830" t="str">
        <f>"9780415871228"</f>
        <v>9780415871228</v>
      </c>
      <c r="D4830" t="str">
        <f>"9781135104535"</f>
        <v>9781135104535</v>
      </c>
      <c r="E4830" t="s">
        <v>26010</v>
      </c>
      <c r="F4830" t="s">
        <v>35</v>
      </c>
      <c r="G4830" t="s">
        <v>22174</v>
      </c>
      <c r="H4830" t="s">
        <v>26011</v>
      </c>
      <c r="I4830" s="26">
        <v>41254</v>
      </c>
      <c r="J4830">
        <v>2013</v>
      </c>
      <c r="K4830" t="s">
        <v>26012</v>
      </c>
      <c r="L4830">
        <v>313</v>
      </c>
      <c r="M4830" t="s">
        <v>42961</v>
      </c>
      <c r="N4830">
        <v>1</v>
      </c>
      <c r="Q4830" t="s">
        <v>42962</v>
      </c>
      <c r="R4830" t="s">
        <v>28243</v>
      </c>
      <c r="S4830" t="s">
        <v>8892</v>
      </c>
      <c r="T4830" t="s">
        <v>30</v>
      </c>
      <c r="U4830" t="s">
        <v>46</v>
      </c>
      <c r="W4830" t="s">
        <v>26009</v>
      </c>
    </row>
    <row r="4831" spans="1:23" x14ac:dyDescent="0.35">
      <c r="A4831">
        <v>1181113</v>
      </c>
      <c r="B4831" t="s">
        <v>42963</v>
      </c>
      <c r="C4831" t="str">
        <f>"9780415603935"</f>
        <v>9780415603935</v>
      </c>
      <c r="D4831" t="str">
        <f>"9781136252433"</f>
        <v>9781136252433</v>
      </c>
      <c r="E4831" t="s">
        <v>26010</v>
      </c>
      <c r="F4831" t="s">
        <v>35</v>
      </c>
      <c r="G4831" t="s">
        <v>22174</v>
      </c>
      <c r="H4831" t="s">
        <v>26011</v>
      </c>
      <c r="I4831" s="26">
        <v>41148</v>
      </c>
      <c r="J4831">
        <v>2013</v>
      </c>
      <c r="K4831" t="s">
        <v>26012</v>
      </c>
      <c r="L4831">
        <v>353</v>
      </c>
      <c r="M4831" t="s">
        <v>42964</v>
      </c>
      <c r="N4831">
        <v>1</v>
      </c>
      <c r="Q4831" t="s">
        <v>42965</v>
      </c>
      <c r="R4831" t="s">
        <v>26759</v>
      </c>
      <c r="S4831" t="s">
        <v>7928</v>
      </c>
      <c r="T4831" t="s">
        <v>30</v>
      </c>
      <c r="U4831" t="s">
        <v>46</v>
      </c>
      <c r="W4831" t="s">
        <v>26009</v>
      </c>
    </row>
    <row r="4832" spans="1:23" x14ac:dyDescent="0.35">
      <c r="A4832">
        <v>1181114</v>
      </c>
      <c r="B4832" t="s">
        <v>42966</v>
      </c>
      <c r="C4832" t="str">
        <f>"9780415817059"</f>
        <v>9780415817059</v>
      </c>
      <c r="D4832" t="str">
        <f>"9781136273421"</f>
        <v>9781136273421</v>
      </c>
      <c r="E4832" t="s">
        <v>26010</v>
      </c>
      <c r="F4832" t="s">
        <v>35</v>
      </c>
      <c r="G4832" t="s">
        <v>22174</v>
      </c>
      <c r="H4832" t="s">
        <v>26011</v>
      </c>
      <c r="I4832" s="26">
        <v>41352</v>
      </c>
      <c r="J4832">
        <v>2013</v>
      </c>
      <c r="K4832" t="s">
        <v>26012</v>
      </c>
      <c r="L4832">
        <v>321</v>
      </c>
      <c r="M4832" t="s">
        <v>42967</v>
      </c>
      <c r="N4832">
        <v>1</v>
      </c>
      <c r="Q4832" t="s">
        <v>42968</v>
      </c>
      <c r="R4832">
        <v>614.15067999999997</v>
      </c>
      <c r="S4832" t="s">
        <v>8130</v>
      </c>
      <c r="T4832" t="s">
        <v>30</v>
      </c>
      <c r="U4832" t="s">
        <v>29740</v>
      </c>
      <c r="W4832" t="s">
        <v>26159</v>
      </c>
    </row>
    <row r="4833" spans="1:23" x14ac:dyDescent="0.35">
      <c r="A4833">
        <v>1181120</v>
      </c>
      <c r="B4833" t="s">
        <v>8600</v>
      </c>
      <c r="C4833" t="str">
        <f>"9780415872522"</f>
        <v>9780415872522</v>
      </c>
      <c r="D4833" t="str">
        <f>"9781135262730"</f>
        <v>9781135262730</v>
      </c>
      <c r="E4833" t="s">
        <v>26010</v>
      </c>
      <c r="F4833" t="s">
        <v>35</v>
      </c>
      <c r="G4833" t="s">
        <v>22174</v>
      </c>
      <c r="H4833" t="s">
        <v>26011</v>
      </c>
      <c r="I4833" s="26">
        <v>41158</v>
      </c>
      <c r="J4833">
        <v>2013</v>
      </c>
      <c r="K4833" t="s">
        <v>26012</v>
      </c>
      <c r="L4833">
        <v>465</v>
      </c>
      <c r="M4833" t="s">
        <v>42969</v>
      </c>
      <c r="N4833">
        <v>1</v>
      </c>
      <c r="Q4833" t="s">
        <v>42970</v>
      </c>
      <c r="R4833">
        <v>616.89139999999998</v>
      </c>
      <c r="S4833" t="s">
        <v>38035</v>
      </c>
      <c r="T4833" t="s">
        <v>30</v>
      </c>
      <c r="U4833" t="s">
        <v>26116</v>
      </c>
      <c r="W4833" t="s">
        <v>26009</v>
      </c>
    </row>
    <row r="4834" spans="1:23" x14ac:dyDescent="0.35">
      <c r="A4834">
        <v>1181179</v>
      </c>
      <c r="B4834" t="s">
        <v>9485</v>
      </c>
      <c r="C4834" t="str">
        <f>"9781855758858"</f>
        <v>9781855758858</v>
      </c>
      <c r="D4834" t="str">
        <f>"9781782410775"</f>
        <v>9781782410775</v>
      </c>
      <c r="E4834" t="s">
        <v>26010</v>
      </c>
      <c r="F4834" t="s">
        <v>35</v>
      </c>
      <c r="G4834" t="s">
        <v>22174</v>
      </c>
      <c r="H4834" t="s">
        <v>26011</v>
      </c>
      <c r="I4834" s="26">
        <v>41395</v>
      </c>
      <c r="J4834">
        <v>2013</v>
      </c>
      <c r="K4834" t="s">
        <v>26012</v>
      </c>
      <c r="L4834">
        <v>161</v>
      </c>
      <c r="M4834" t="s">
        <v>42971</v>
      </c>
      <c r="N4834">
        <v>1</v>
      </c>
      <c r="Q4834" t="s">
        <v>42972</v>
      </c>
      <c r="R4834">
        <v>612.79999999999995</v>
      </c>
      <c r="S4834" t="s">
        <v>9486</v>
      </c>
      <c r="T4834" t="s">
        <v>30</v>
      </c>
      <c r="U4834" t="s">
        <v>33748</v>
      </c>
      <c r="W4834" t="s">
        <v>26009</v>
      </c>
    </row>
    <row r="4835" spans="1:23" x14ac:dyDescent="0.35">
      <c r="A4835">
        <v>1181180</v>
      </c>
      <c r="B4835" t="s">
        <v>42973</v>
      </c>
      <c r="C4835" t="str">
        <f>"9781780490953"</f>
        <v>9781780490953</v>
      </c>
      <c r="D4835" t="str">
        <f>"9781782410850"</f>
        <v>9781782410850</v>
      </c>
      <c r="E4835" t="s">
        <v>26010</v>
      </c>
      <c r="F4835" t="s">
        <v>35</v>
      </c>
      <c r="G4835" t="s">
        <v>22174</v>
      </c>
      <c r="H4835" t="s">
        <v>26011</v>
      </c>
      <c r="I4835" s="26">
        <v>41395</v>
      </c>
      <c r="J4835">
        <v>2013</v>
      </c>
      <c r="K4835" t="s">
        <v>26012</v>
      </c>
      <c r="L4835">
        <v>172</v>
      </c>
      <c r="M4835" t="s">
        <v>36749</v>
      </c>
      <c r="N4835">
        <v>1</v>
      </c>
      <c r="Q4835" t="s">
        <v>42974</v>
      </c>
      <c r="R4835">
        <v>152.43</v>
      </c>
      <c r="S4835" t="s">
        <v>8727</v>
      </c>
      <c r="T4835" t="s">
        <v>30</v>
      </c>
      <c r="U4835" t="s">
        <v>46</v>
      </c>
      <c r="W4835" t="s">
        <v>26009</v>
      </c>
    </row>
    <row r="4836" spans="1:23" x14ac:dyDescent="0.35">
      <c r="A4836">
        <v>1181229</v>
      </c>
      <c r="B4836" t="s">
        <v>8539</v>
      </c>
      <c r="C4836" t="str">
        <f>"9781611323252"</f>
        <v>9781611323252</v>
      </c>
      <c r="D4836" t="str">
        <f>"9781611323276"</f>
        <v>9781611323276</v>
      </c>
      <c r="E4836" t="s">
        <v>26010</v>
      </c>
      <c r="F4836" t="s">
        <v>35</v>
      </c>
      <c r="G4836" t="s">
        <v>36267</v>
      </c>
      <c r="H4836" t="s">
        <v>26004</v>
      </c>
      <c r="I4836" s="26">
        <v>41379</v>
      </c>
      <c r="J4836">
        <v>2013</v>
      </c>
      <c r="K4836" t="s">
        <v>26012</v>
      </c>
      <c r="L4836">
        <v>224</v>
      </c>
      <c r="M4836" t="s">
        <v>42975</v>
      </c>
      <c r="N4836">
        <v>1</v>
      </c>
      <c r="O4836" t="s">
        <v>36269</v>
      </c>
      <c r="P4836">
        <v>8</v>
      </c>
      <c r="Q4836" t="s">
        <v>42976</v>
      </c>
      <c r="R4836" t="s">
        <v>35760</v>
      </c>
      <c r="S4836" t="s">
        <v>42977</v>
      </c>
      <c r="T4836" t="s">
        <v>30</v>
      </c>
      <c r="U4836" t="s">
        <v>28449</v>
      </c>
      <c r="W4836" t="s">
        <v>26009</v>
      </c>
    </row>
    <row r="4837" spans="1:23" x14ac:dyDescent="0.35">
      <c r="A4837">
        <v>1181625</v>
      </c>
      <c r="B4837" t="s">
        <v>42978</v>
      </c>
      <c r="C4837" t="str">
        <f>"9780231162517"</f>
        <v>9780231162517</v>
      </c>
      <c r="D4837" t="str">
        <f>"9780231534277"</f>
        <v>9780231534277</v>
      </c>
      <c r="E4837" t="s">
        <v>31708</v>
      </c>
      <c r="F4837" t="s">
        <v>294</v>
      </c>
      <c r="G4837" t="s">
        <v>22179</v>
      </c>
      <c r="H4837" t="s">
        <v>26004</v>
      </c>
      <c r="I4837" s="26">
        <v>41422</v>
      </c>
      <c r="J4837">
        <v>2013</v>
      </c>
      <c r="K4837" t="s">
        <v>294</v>
      </c>
      <c r="L4837">
        <v>247</v>
      </c>
      <c r="M4837" t="s">
        <v>42979</v>
      </c>
      <c r="O4837" t="s">
        <v>42980</v>
      </c>
      <c r="Q4837" t="s">
        <v>42981</v>
      </c>
      <c r="R4837">
        <v>616.89165600000001</v>
      </c>
      <c r="S4837" t="s">
        <v>7565</v>
      </c>
      <c r="T4837" t="s">
        <v>30</v>
      </c>
      <c r="U4837" t="s">
        <v>26019</v>
      </c>
      <c r="W4837" t="s">
        <v>28347</v>
      </c>
    </row>
    <row r="4838" spans="1:23" x14ac:dyDescent="0.35">
      <c r="A4838">
        <v>1181855</v>
      </c>
      <c r="B4838" t="s">
        <v>42982</v>
      </c>
      <c r="C4838" t="str">
        <f>"9780643106468"</f>
        <v>9780643106468</v>
      </c>
      <c r="D4838" t="str">
        <f>"9780643106475"</f>
        <v>9780643106475</v>
      </c>
      <c r="E4838" t="s">
        <v>42983</v>
      </c>
      <c r="F4838" t="s">
        <v>42983</v>
      </c>
      <c r="G4838" t="s">
        <v>22509</v>
      </c>
      <c r="H4838" t="s">
        <v>31108</v>
      </c>
      <c r="I4838" s="26">
        <v>41435</v>
      </c>
      <c r="J4838">
        <v>2013</v>
      </c>
      <c r="K4838" t="s">
        <v>42983</v>
      </c>
      <c r="L4838">
        <v>287</v>
      </c>
      <c r="M4838" t="s">
        <v>42984</v>
      </c>
      <c r="N4838">
        <v>1</v>
      </c>
      <c r="Q4838" t="s">
        <v>42985</v>
      </c>
      <c r="S4838" t="s">
        <v>42986</v>
      </c>
      <c r="T4838" t="s">
        <v>30</v>
      </c>
      <c r="U4838" t="s">
        <v>34285</v>
      </c>
      <c r="W4838" t="s">
        <v>26009</v>
      </c>
    </row>
    <row r="4839" spans="1:23" x14ac:dyDescent="0.35">
      <c r="A4839">
        <v>1182924</v>
      </c>
      <c r="B4839" t="s">
        <v>9682</v>
      </c>
      <c r="C4839" t="str">
        <f>"9780521763509"</f>
        <v>9780521763509</v>
      </c>
      <c r="D4839" t="str">
        <f>"9781107057449"</f>
        <v>9781107057449</v>
      </c>
      <c r="E4839" t="s">
        <v>167</v>
      </c>
      <c r="F4839" t="s">
        <v>167</v>
      </c>
      <c r="G4839" t="s">
        <v>22179</v>
      </c>
      <c r="H4839" t="s">
        <v>26004</v>
      </c>
      <c r="I4839" s="26">
        <v>41386</v>
      </c>
      <c r="J4839">
        <v>2013</v>
      </c>
      <c r="K4839" t="s">
        <v>167</v>
      </c>
      <c r="L4839">
        <v>302</v>
      </c>
      <c r="M4839" t="s">
        <v>42987</v>
      </c>
      <c r="N4839">
        <v>1</v>
      </c>
      <c r="O4839" t="s">
        <v>42988</v>
      </c>
      <c r="Q4839" t="s">
        <v>42989</v>
      </c>
      <c r="R4839" t="s">
        <v>30236</v>
      </c>
      <c r="S4839" t="s">
        <v>42990</v>
      </c>
      <c r="T4839" t="s">
        <v>30</v>
      </c>
      <c r="U4839" t="s">
        <v>5222</v>
      </c>
      <c r="W4839" t="s">
        <v>26020</v>
      </c>
    </row>
    <row r="4840" spans="1:23" x14ac:dyDescent="0.35">
      <c r="A4840">
        <v>1182945</v>
      </c>
      <c r="B4840" t="s">
        <v>7652</v>
      </c>
      <c r="C4840" t="str">
        <f>"9781107018488"</f>
        <v>9781107018488</v>
      </c>
      <c r="D4840" t="str">
        <f>"9781107057715"</f>
        <v>9781107057715</v>
      </c>
      <c r="E4840" t="s">
        <v>167</v>
      </c>
      <c r="F4840" t="s">
        <v>167</v>
      </c>
      <c r="G4840" t="s">
        <v>22179</v>
      </c>
      <c r="H4840" t="s">
        <v>26004</v>
      </c>
      <c r="I4840" s="26">
        <v>41354</v>
      </c>
      <c r="J4840">
        <v>2013</v>
      </c>
      <c r="K4840" t="s">
        <v>167</v>
      </c>
      <c r="L4840">
        <v>416</v>
      </c>
      <c r="M4840" t="s">
        <v>42991</v>
      </c>
      <c r="N4840">
        <v>1</v>
      </c>
      <c r="Q4840" t="s">
        <v>42992</v>
      </c>
      <c r="R4840" t="s">
        <v>40420</v>
      </c>
      <c r="S4840" t="s">
        <v>42993</v>
      </c>
      <c r="T4840" t="s">
        <v>30</v>
      </c>
      <c r="U4840" t="s">
        <v>26019</v>
      </c>
      <c r="W4840" t="s">
        <v>26020</v>
      </c>
    </row>
    <row r="4841" spans="1:23" x14ac:dyDescent="0.35">
      <c r="A4841">
        <v>1182984</v>
      </c>
      <c r="B4841" t="s">
        <v>9205</v>
      </c>
      <c r="C4841" t="str">
        <f>"9781107034754"</f>
        <v>9781107034754</v>
      </c>
      <c r="D4841" t="str">
        <f>"9781107058422"</f>
        <v>9781107058422</v>
      </c>
      <c r="E4841" t="s">
        <v>167</v>
      </c>
      <c r="F4841" t="s">
        <v>167</v>
      </c>
      <c r="G4841" t="s">
        <v>22179</v>
      </c>
      <c r="H4841" t="s">
        <v>26004</v>
      </c>
      <c r="I4841" s="26">
        <v>41389</v>
      </c>
      <c r="J4841">
        <v>2013</v>
      </c>
      <c r="K4841" t="s">
        <v>167</v>
      </c>
      <c r="L4841">
        <v>388</v>
      </c>
      <c r="M4841" t="s">
        <v>42994</v>
      </c>
      <c r="N4841">
        <v>1</v>
      </c>
      <c r="Q4841" t="s">
        <v>42995</v>
      </c>
      <c r="R4841">
        <v>320.54000000000002</v>
      </c>
      <c r="S4841" t="s">
        <v>42996</v>
      </c>
      <c r="T4841" t="s">
        <v>30</v>
      </c>
      <c r="U4841" t="s">
        <v>5222</v>
      </c>
      <c r="W4841" t="s">
        <v>26020</v>
      </c>
    </row>
    <row r="4842" spans="1:23" x14ac:dyDescent="0.35">
      <c r="A4842">
        <v>1182996</v>
      </c>
      <c r="B4842" t="s">
        <v>31728</v>
      </c>
      <c r="C4842" t="str">
        <f>"9781107607606"</f>
        <v>9781107607606</v>
      </c>
      <c r="D4842" t="str">
        <f>"9781107058613"</f>
        <v>9781107058613</v>
      </c>
      <c r="E4842" t="s">
        <v>167</v>
      </c>
      <c r="F4842" t="s">
        <v>167</v>
      </c>
      <c r="G4842" t="s">
        <v>22179</v>
      </c>
      <c r="H4842" t="s">
        <v>26004</v>
      </c>
      <c r="I4842" s="26">
        <v>41396</v>
      </c>
      <c r="J4842">
        <v>2013</v>
      </c>
      <c r="K4842" t="s">
        <v>167</v>
      </c>
      <c r="L4842">
        <v>256</v>
      </c>
      <c r="M4842" t="s">
        <v>31729</v>
      </c>
      <c r="N4842">
        <v>2</v>
      </c>
      <c r="Q4842" t="s">
        <v>42997</v>
      </c>
      <c r="R4842">
        <v>616.79999999999995</v>
      </c>
      <c r="S4842" t="s">
        <v>31731</v>
      </c>
      <c r="T4842" t="s">
        <v>30</v>
      </c>
      <c r="U4842" t="s">
        <v>26019</v>
      </c>
      <c r="W4842" t="s">
        <v>26020</v>
      </c>
    </row>
    <row r="4843" spans="1:23" x14ac:dyDescent="0.35">
      <c r="A4843">
        <v>1183158</v>
      </c>
      <c r="B4843" t="s">
        <v>42998</v>
      </c>
      <c r="C4843" t="str">
        <f>"9780415622530"</f>
        <v>9780415622530</v>
      </c>
      <c r="D4843" t="str">
        <f>"9781135090326"</f>
        <v>9781135090326</v>
      </c>
      <c r="E4843" t="s">
        <v>26010</v>
      </c>
      <c r="F4843" t="s">
        <v>35</v>
      </c>
      <c r="G4843" t="s">
        <v>22174</v>
      </c>
      <c r="H4843" t="s">
        <v>26011</v>
      </c>
      <c r="I4843" s="26">
        <v>41416</v>
      </c>
      <c r="J4843">
        <v>2013</v>
      </c>
      <c r="K4843" t="s">
        <v>26012</v>
      </c>
      <c r="L4843">
        <v>275</v>
      </c>
      <c r="M4843" t="s">
        <v>42999</v>
      </c>
      <c r="N4843">
        <v>2</v>
      </c>
      <c r="O4843" t="s">
        <v>27815</v>
      </c>
      <c r="Q4843" t="s">
        <v>43000</v>
      </c>
      <c r="R4843" t="s">
        <v>26164</v>
      </c>
      <c r="S4843" t="s">
        <v>43001</v>
      </c>
      <c r="T4843" t="s">
        <v>30</v>
      </c>
      <c r="U4843" t="s">
        <v>26044</v>
      </c>
      <c r="W4843" t="s">
        <v>26009</v>
      </c>
    </row>
    <row r="4844" spans="1:23" x14ac:dyDescent="0.35">
      <c r="A4844">
        <v>1185075</v>
      </c>
      <c r="B4844" t="s">
        <v>43002</v>
      </c>
      <c r="C4844" t="str">
        <f>"9781572306899"</f>
        <v>9781572306899</v>
      </c>
      <c r="D4844" t="str">
        <f>"9781593858278"</f>
        <v>9781593858278</v>
      </c>
      <c r="E4844" t="s">
        <v>30112</v>
      </c>
      <c r="F4844" t="s">
        <v>7420</v>
      </c>
      <c r="G4844" t="s">
        <v>22179</v>
      </c>
      <c r="H4844" t="s">
        <v>26004</v>
      </c>
      <c r="I4844" s="26">
        <v>37155</v>
      </c>
      <c r="J4844">
        <v>2002</v>
      </c>
      <c r="K4844" t="s">
        <v>30113</v>
      </c>
      <c r="L4844">
        <v>300</v>
      </c>
      <c r="M4844" t="s">
        <v>43003</v>
      </c>
      <c r="N4844">
        <v>1</v>
      </c>
      <c r="O4844" t="s">
        <v>30202</v>
      </c>
      <c r="Q4844" t="s">
        <v>43004</v>
      </c>
      <c r="R4844" t="s">
        <v>43005</v>
      </c>
      <c r="S4844" t="s">
        <v>9311</v>
      </c>
      <c r="T4844" t="s">
        <v>30</v>
      </c>
      <c r="U4844" t="s">
        <v>26044</v>
      </c>
      <c r="W4844" t="s">
        <v>28347</v>
      </c>
    </row>
    <row r="4845" spans="1:23" x14ac:dyDescent="0.35">
      <c r="A4845">
        <v>1186413</v>
      </c>
      <c r="B4845" t="s">
        <v>9895</v>
      </c>
      <c r="C4845" t="str">
        <f>"9780415826136"</f>
        <v>9780415826136</v>
      </c>
      <c r="D4845" t="str">
        <f>"9781135985233"</f>
        <v>9781135985233</v>
      </c>
      <c r="E4845" t="s">
        <v>26010</v>
      </c>
      <c r="F4845" t="s">
        <v>35</v>
      </c>
      <c r="G4845" t="s">
        <v>22174</v>
      </c>
      <c r="H4845" t="s">
        <v>26011</v>
      </c>
      <c r="I4845" s="26">
        <v>41353</v>
      </c>
      <c r="J4845">
        <v>2013</v>
      </c>
      <c r="K4845" t="s">
        <v>26012</v>
      </c>
      <c r="L4845">
        <v>149</v>
      </c>
      <c r="M4845" t="s">
        <v>43006</v>
      </c>
      <c r="N4845">
        <v>1</v>
      </c>
      <c r="O4845" t="s">
        <v>43007</v>
      </c>
      <c r="Q4845" t="s">
        <v>43008</v>
      </c>
      <c r="R4845">
        <v>158.69999999999999</v>
      </c>
      <c r="S4845" t="s">
        <v>9896</v>
      </c>
      <c r="T4845" t="s">
        <v>30</v>
      </c>
      <c r="U4845" t="s">
        <v>33989</v>
      </c>
      <c r="W4845" t="s">
        <v>26009</v>
      </c>
    </row>
    <row r="4846" spans="1:23" x14ac:dyDescent="0.35">
      <c r="A4846">
        <v>1186794</v>
      </c>
      <c r="B4846" t="s">
        <v>8596</v>
      </c>
      <c r="C4846" t="str">
        <f>"9781462509997"</f>
        <v>9781462509997</v>
      </c>
      <c r="D4846" t="str">
        <f>"9781462510030"</f>
        <v>9781462510030</v>
      </c>
      <c r="E4846" t="s">
        <v>30112</v>
      </c>
      <c r="F4846" t="s">
        <v>7420</v>
      </c>
      <c r="G4846" t="s">
        <v>22179</v>
      </c>
      <c r="H4846" t="s">
        <v>26004</v>
      </c>
      <c r="I4846" s="26">
        <v>41362</v>
      </c>
      <c r="J4846">
        <v>2013</v>
      </c>
      <c r="K4846" t="s">
        <v>30113</v>
      </c>
      <c r="L4846">
        <v>610</v>
      </c>
      <c r="M4846" t="s">
        <v>43009</v>
      </c>
      <c r="N4846">
        <v>1</v>
      </c>
      <c r="Q4846" t="s">
        <v>43010</v>
      </c>
      <c r="R4846">
        <v>152.4</v>
      </c>
      <c r="S4846" t="s">
        <v>43011</v>
      </c>
      <c r="T4846" t="s">
        <v>30</v>
      </c>
      <c r="U4846" t="s">
        <v>46</v>
      </c>
      <c r="W4846" t="s">
        <v>28347</v>
      </c>
    </row>
    <row r="4847" spans="1:23" x14ac:dyDescent="0.35">
      <c r="A4847">
        <v>1186795</v>
      </c>
      <c r="B4847" t="s">
        <v>10278</v>
      </c>
      <c r="C4847" t="str">
        <f>"9781593852245"</f>
        <v>9781593852245</v>
      </c>
      <c r="D4847" t="str">
        <f>"9781593859848"</f>
        <v>9781593859848</v>
      </c>
      <c r="E4847" t="s">
        <v>30112</v>
      </c>
      <c r="F4847" t="s">
        <v>7420</v>
      </c>
      <c r="G4847" t="s">
        <v>22179</v>
      </c>
      <c r="H4847" t="s">
        <v>26004</v>
      </c>
      <c r="I4847" s="26">
        <v>38653</v>
      </c>
      <c r="J4847">
        <v>2006</v>
      </c>
      <c r="K4847" t="s">
        <v>30113</v>
      </c>
      <c r="L4847">
        <v>337</v>
      </c>
      <c r="M4847" t="s">
        <v>43012</v>
      </c>
      <c r="N4847">
        <v>1</v>
      </c>
      <c r="Q4847" t="s">
        <v>43013</v>
      </c>
      <c r="R4847">
        <v>618.928</v>
      </c>
      <c r="S4847" t="s">
        <v>43014</v>
      </c>
      <c r="T4847" t="s">
        <v>30</v>
      </c>
      <c r="U4847" t="s">
        <v>26116</v>
      </c>
      <c r="W4847" t="s">
        <v>28347</v>
      </c>
    </row>
    <row r="4848" spans="1:23" x14ac:dyDescent="0.35">
      <c r="A4848">
        <v>1186798</v>
      </c>
      <c r="B4848" t="s">
        <v>43015</v>
      </c>
      <c r="C4848" t="str">
        <f>"9781462510191"</f>
        <v>9781462510191</v>
      </c>
      <c r="D4848" t="str">
        <f>"9781462510269"</f>
        <v>9781462510269</v>
      </c>
      <c r="E4848" t="s">
        <v>30112</v>
      </c>
      <c r="F4848" t="s">
        <v>7420</v>
      </c>
      <c r="G4848" t="s">
        <v>22179</v>
      </c>
      <c r="H4848" t="s">
        <v>26004</v>
      </c>
      <c r="I4848" s="26">
        <v>41425</v>
      </c>
      <c r="J4848">
        <v>2013</v>
      </c>
      <c r="K4848" t="s">
        <v>30113</v>
      </c>
      <c r="L4848">
        <v>224</v>
      </c>
      <c r="M4848" t="s">
        <v>43016</v>
      </c>
      <c r="N4848">
        <v>1</v>
      </c>
      <c r="Q4848" t="s">
        <v>43017</v>
      </c>
      <c r="R4848">
        <v>616.85844500835003</v>
      </c>
      <c r="S4848" t="s">
        <v>43018</v>
      </c>
      <c r="T4848" t="s">
        <v>30</v>
      </c>
      <c r="U4848" t="s">
        <v>26019</v>
      </c>
      <c r="W4848" t="s">
        <v>28347</v>
      </c>
    </row>
    <row r="4849" spans="1:23" x14ac:dyDescent="0.35">
      <c r="A4849">
        <v>1187038</v>
      </c>
      <c r="B4849" t="s">
        <v>7951</v>
      </c>
      <c r="C4849" t="str">
        <f>"9781598746891"</f>
        <v>9781598746891</v>
      </c>
      <c r="D4849" t="str">
        <f>"9781598746914"</f>
        <v>9781598746914</v>
      </c>
      <c r="E4849" t="s">
        <v>26010</v>
      </c>
      <c r="F4849" t="s">
        <v>35</v>
      </c>
      <c r="G4849" t="s">
        <v>36267</v>
      </c>
      <c r="H4849" t="s">
        <v>26004</v>
      </c>
      <c r="I4849" s="26">
        <v>41394</v>
      </c>
      <c r="J4849">
        <v>2013</v>
      </c>
      <c r="K4849" t="s">
        <v>26012</v>
      </c>
      <c r="L4849">
        <v>209</v>
      </c>
      <c r="M4849" t="s">
        <v>43019</v>
      </c>
      <c r="N4849">
        <v>1</v>
      </c>
      <c r="Q4849" t="s">
        <v>43020</v>
      </c>
      <c r="R4849">
        <v>300.72000000000003</v>
      </c>
      <c r="S4849" t="s">
        <v>43021</v>
      </c>
      <c r="T4849" t="s">
        <v>30</v>
      </c>
      <c r="U4849" t="s">
        <v>26044</v>
      </c>
      <c r="W4849" t="s">
        <v>26009</v>
      </c>
    </row>
    <row r="4850" spans="1:23" x14ac:dyDescent="0.35">
      <c r="A4850">
        <v>1187358</v>
      </c>
      <c r="B4850" t="s">
        <v>43022</v>
      </c>
      <c r="C4850" t="str">
        <f>"9789042036420"</f>
        <v>9789042036420</v>
      </c>
      <c r="D4850" t="str">
        <f>"9789401209113"</f>
        <v>9789401209113</v>
      </c>
      <c r="E4850" t="s">
        <v>4602</v>
      </c>
      <c r="F4850" t="s">
        <v>27</v>
      </c>
      <c r="G4850" t="s">
        <v>22231</v>
      </c>
      <c r="H4850" t="s">
        <v>26004</v>
      </c>
      <c r="I4850" s="26">
        <v>41275</v>
      </c>
      <c r="J4850">
        <v>2013</v>
      </c>
      <c r="K4850" t="s">
        <v>34659</v>
      </c>
      <c r="L4850">
        <v>236</v>
      </c>
      <c r="M4850" t="s">
        <v>43023</v>
      </c>
      <c r="N4850">
        <v>1</v>
      </c>
      <c r="O4850" t="s">
        <v>1729</v>
      </c>
      <c r="P4850">
        <v>19</v>
      </c>
      <c r="T4850" t="s">
        <v>30</v>
      </c>
      <c r="U4850" t="s">
        <v>26679</v>
      </c>
      <c r="W4850" t="s">
        <v>26009</v>
      </c>
    </row>
    <row r="4851" spans="1:23" x14ac:dyDescent="0.35">
      <c r="A4851">
        <v>1187368</v>
      </c>
      <c r="B4851" t="s">
        <v>43024</v>
      </c>
      <c r="C4851" t="str">
        <f>"9780814732939"</f>
        <v>9780814732939</v>
      </c>
      <c r="D4851" t="str">
        <f>"9780814732953"</f>
        <v>9780814732953</v>
      </c>
      <c r="E4851" t="s">
        <v>39652</v>
      </c>
      <c r="F4851" t="s">
        <v>7532</v>
      </c>
      <c r="G4851" t="s">
        <v>22179</v>
      </c>
      <c r="H4851" t="s">
        <v>26004</v>
      </c>
      <c r="I4851" s="26">
        <v>41442</v>
      </c>
      <c r="J4851">
        <v>2013</v>
      </c>
      <c r="K4851" t="s">
        <v>7532</v>
      </c>
      <c r="L4851">
        <v>260</v>
      </c>
      <c r="M4851" t="s">
        <v>43025</v>
      </c>
      <c r="N4851">
        <v>1</v>
      </c>
      <c r="O4851" t="s">
        <v>39663</v>
      </c>
      <c r="P4851">
        <v>18</v>
      </c>
      <c r="R4851">
        <v>1.4330000000000001</v>
      </c>
      <c r="S4851" t="s">
        <v>43026</v>
      </c>
      <c r="T4851" t="s">
        <v>30</v>
      </c>
      <c r="U4851" t="s">
        <v>36282</v>
      </c>
      <c r="W4851" t="s">
        <v>28347</v>
      </c>
    </row>
    <row r="4852" spans="1:23" x14ac:dyDescent="0.35">
      <c r="A4852">
        <v>1187383</v>
      </c>
      <c r="B4852" t="s">
        <v>43027</v>
      </c>
      <c r="C4852" t="str">
        <f>"9789088900945"</f>
        <v>9789088900945</v>
      </c>
      <c r="D4852" t="str">
        <f>"9789088901782"</f>
        <v>9789088901782</v>
      </c>
      <c r="E4852" t="s">
        <v>43028</v>
      </c>
      <c r="F4852" t="s">
        <v>43028</v>
      </c>
      <c r="G4852" t="s">
        <v>22614</v>
      </c>
      <c r="H4852" t="s">
        <v>27983</v>
      </c>
      <c r="I4852" s="26">
        <v>41386</v>
      </c>
      <c r="J4852">
        <v>2013</v>
      </c>
      <c r="K4852" t="s">
        <v>43028</v>
      </c>
      <c r="L4852">
        <v>295</v>
      </c>
      <c r="M4852" t="s">
        <v>43029</v>
      </c>
      <c r="N4852">
        <v>1</v>
      </c>
      <c r="Q4852" t="s">
        <v>43030</v>
      </c>
      <c r="R4852">
        <v>610.6</v>
      </c>
      <c r="S4852" t="s">
        <v>43031</v>
      </c>
      <c r="T4852" t="s">
        <v>30</v>
      </c>
      <c r="U4852" t="s">
        <v>26040</v>
      </c>
      <c r="W4852" t="s">
        <v>26009</v>
      </c>
    </row>
    <row r="4853" spans="1:23" x14ac:dyDescent="0.35">
      <c r="A4853">
        <v>1187388</v>
      </c>
      <c r="B4853" t="s">
        <v>43032</v>
      </c>
      <c r="C4853" t="str">
        <f>"9781608820801"</f>
        <v>9781608820801</v>
      </c>
      <c r="D4853" t="str">
        <f>"9781608820818"</f>
        <v>9781608820818</v>
      </c>
      <c r="E4853" t="s">
        <v>7424</v>
      </c>
      <c r="F4853" t="s">
        <v>7424</v>
      </c>
      <c r="G4853" t="s">
        <v>23047</v>
      </c>
      <c r="H4853" t="s">
        <v>26004</v>
      </c>
      <c r="I4853" s="26">
        <v>41426</v>
      </c>
      <c r="J4853">
        <v>2013</v>
      </c>
      <c r="K4853" t="s">
        <v>7424</v>
      </c>
      <c r="L4853">
        <v>200</v>
      </c>
      <c r="M4853" t="s">
        <v>43033</v>
      </c>
      <c r="N4853">
        <v>1</v>
      </c>
      <c r="Q4853" t="s">
        <v>43034</v>
      </c>
      <c r="R4853">
        <v>616.85225000000003</v>
      </c>
      <c r="S4853" t="s">
        <v>9138</v>
      </c>
      <c r="T4853" t="s">
        <v>30</v>
      </c>
      <c r="U4853" t="s">
        <v>26019</v>
      </c>
      <c r="W4853" t="s">
        <v>26009</v>
      </c>
    </row>
    <row r="4854" spans="1:23" x14ac:dyDescent="0.35">
      <c r="A4854">
        <v>1189124</v>
      </c>
      <c r="B4854" t="s">
        <v>43035</v>
      </c>
      <c r="C4854" t="str">
        <f>"9780789023667"</f>
        <v>9780789023667</v>
      </c>
      <c r="D4854" t="str">
        <f>"9781136421280"</f>
        <v>9781136421280</v>
      </c>
      <c r="E4854" t="s">
        <v>26010</v>
      </c>
      <c r="F4854" t="s">
        <v>35</v>
      </c>
      <c r="G4854" t="s">
        <v>26201</v>
      </c>
      <c r="H4854" t="s">
        <v>26011</v>
      </c>
      <c r="I4854" s="26">
        <v>38421</v>
      </c>
      <c r="J4854">
        <v>2005</v>
      </c>
      <c r="K4854" t="s">
        <v>26012</v>
      </c>
      <c r="L4854">
        <v>497</v>
      </c>
      <c r="M4854" t="s">
        <v>43036</v>
      </c>
      <c r="N4854">
        <v>1</v>
      </c>
      <c r="Q4854" t="s">
        <v>43037</v>
      </c>
      <c r="R4854">
        <v>362.10425199999997</v>
      </c>
      <c r="S4854" t="s">
        <v>43038</v>
      </c>
      <c r="T4854" t="s">
        <v>30</v>
      </c>
      <c r="U4854" t="s">
        <v>26250</v>
      </c>
      <c r="W4854" t="s">
        <v>26009</v>
      </c>
    </row>
    <row r="4855" spans="1:23" x14ac:dyDescent="0.35">
      <c r="A4855">
        <v>1189426</v>
      </c>
      <c r="B4855" t="s">
        <v>8972</v>
      </c>
      <c r="C4855" t="str">
        <f>"9780415253864"</f>
        <v>9780415253864</v>
      </c>
      <c r="D4855" t="str">
        <f>"9781135864200"</f>
        <v>9781135864200</v>
      </c>
      <c r="E4855" t="s">
        <v>26010</v>
      </c>
      <c r="F4855" t="s">
        <v>35</v>
      </c>
      <c r="G4855" t="s">
        <v>26201</v>
      </c>
      <c r="H4855" t="s">
        <v>26011</v>
      </c>
      <c r="I4855" s="26">
        <v>37012</v>
      </c>
      <c r="J4855">
        <v>2001</v>
      </c>
      <c r="K4855" t="s">
        <v>26012</v>
      </c>
      <c r="L4855">
        <v>113</v>
      </c>
      <c r="M4855" t="s">
        <v>8460</v>
      </c>
      <c r="N4855">
        <v>2</v>
      </c>
      <c r="O4855" t="s">
        <v>27942</v>
      </c>
      <c r="Q4855" t="s">
        <v>43039</v>
      </c>
      <c r="R4855" t="s">
        <v>43040</v>
      </c>
      <c r="S4855" t="s">
        <v>8973</v>
      </c>
      <c r="T4855" t="s">
        <v>30</v>
      </c>
      <c r="U4855" t="s">
        <v>27699</v>
      </c>
      <c r="W4855" t="s">
        <v>26159</v>
      </c>
    </row>
    <row r="4856" spans="1:23" x14ac:dyDescent="0.35">
      <c r="A4856">
        <v>1190500</v>
      </c>
      <c r="B4856" t="s">
        <v>43041</v>
      </c>
      <c r="C4856" t="str">
        <f>"9781583912911"</f>
        <v>9781583912911</v>
      </c>
      <c r="D4856" t="str">
        <f>"9781134945429"</f>
        <v>9781134945429</v>
      </c>
      <c r="E4856" t="s">
        <v>26010</v>
      </c>
      <c r="F4856" t="s">
        <v>35</v>
      </c>
      <c r="G4856" t="s">
        <v>26201</v>
      </c>
      <c r="H4856" t="s">
        <v>26011</v>
      </c>
      <c r="I4856" s="26">
        <v>37554</v>
      </c>
      <c r="J4856">
        <v>2002</v>
      </c>
      <c r="K4856" t="s">
        <v>26012</v>
      </c>
      <c r="L4856">
        <v>265</v>
      </c>
      <c r="M4856" t="s">
        <v>43042</v>
      </c>
      <c r="N4856">
        <v>1</v>
      </c>
      <c r="Q4856" t="s">
        <v>43043</v>
      </c>
      <c r="R4856">
        <v>155.82</v>
      </c>
      <c r="S4856" t="s">
        <v>43044</v>
      </c>
      <c r="T4856" t="s">
        <v>30</v>
      </c>
      <c r="U4856" t="s">
        <v>46</v>
      </c>
      <c r="W4856" t="s">
        <v>26009</v>
      </c>
    </row>
    <row r="4857" spans="1:23" x14ac:dyDescent="0.35">
      <c r="A4857">
        <v>1190510</v>
      </c>
      <c r="B4857" t="s">
        <v>43045</v>
      </c>
      <c r="C4857" t="str">
        <f>"9781583910757"</f>
        <v>9781583910757</v>
      </c>
      <c r="D4857" t="str">
        <f>"9781135057589"</f>
        <v>9781135057589</v>
      </c>
      <c r="E4857" t="s">
        <v>26010</v>
      </c>
      <c r="F4857" t="s">
        <v>35</v>
      </c>
      <c r="G4857" t="s">
        <v>22174</v>
      </c>
      <c r="H4857" t="s">
        <v>26011</v>
      </c>
      <c r="I4857" s="26">
        <v>37351</v>
      </c>
      <c r="J4857">
        <v>2002</v>
      </c>
      <c r="K4857" t="s">
        <v>26012</v>
      </c>
      <c r="L4857">
        <v>189</v>
      </c>
      <c r="M4857" t="s">
        <v>43046</v>
      </c>
      <c r="N4857">
        <v>1</v>
      </c>
      <c r="Q4857" t="s">
        <v>43047</v>
      </c>
      <c r="R4857" t="s">
        <v>26873</v>
      </c>
      <c r="S4857" t="s">
        <v>8253</v>
      </c>
      <c r="T4857" t="s">
        <v>30</v>
      </c>
      <c r="U4857" t="s">
        <v>46</v>
      </c>
      <c r="W4857" t="s">
        <v>26009</v>
      </c>
    </row>
    <row r="4858" spans="1:23" x14ac:dyDescent="0.35">
      <c r="A4858">
        <v>1192438</v>
      </c>
      <c r="B4858" t="s">
        <v>43048</v>
      </c>
      <c r="C4858" t="str">
        <f>"9780805852516"</f>
        <v>9780805852516</v>
      </c>
      <c r="D4858" t="str">
        <f>"9781134812424"</f>
        <v>9781134812424</v>
      </c>
      <c r="E4858" t="s">
        <v>26010</v>
      </c>
      <c r="F4858" t="s">
        <v>35</v>
      </c>
      <c r="G4858" t="s">
        <v>22174</v>
      </c>
      <c r="H4858" t="s">
        <v>26011</v>
      </c>
      <c r="I4858" s="26">
        <v>38702</v>
      </c>
      <c r="J4858">
        <v>2005</v>
      </c>
      <c r="K4858" t="s">
        <v>660</v>
      </c>
      <c r="L4858">
        <v>392</v>
      </c>
      <c r="M4858" t="s">
        <v>43049</v>
      </c>
      <c r="N4858">
        <v>1</v>
      </c>
      <c r="O4858" t="s">
        <v>35963</v>
      </c>
      <c r="Q4858" t="s">
        <v>43050</v>
      </c>
      <c r="R4858" t="s">
        <v>43051</v>
      </c>
      <c r="S4858" t="s">
        <v>402</v>
      </c>
      <c r="T4858" t="s">
        <v>30</v>
      </c>
      <c r="U4858" t="s">
        <v>46</v>
      </c>
      <c r="W4858" t="s">
        <v>26009</v>
      </c>
    </row>
    <row r="4859" spans="1:23" x14ac:dyDescent="0.35">
      <c r="A4859">
        <v>1192581</v>
      </c>
      <c r="B4859" t="s">
        <v>8832</v>
      </c>
      <c r="C4859" t="str">
        <f>"9780199738175"</f>
        <v>9780199738175</v>
      </c>
      <c r="D4859" t="str">
        <f>"9780199970216"</f>
        <v>9780199970216</v>
      </c>
      <c r="E4859" t="s">
        <v>371</v>
      </c>
      <c r="F4859" t="s">
        <v>31</v>
      </c>
      <c r="G4859" t="s">
        <v>22703</v>
      </c>
      <c r="H4859" t="s">
        <v>26011</v>
      </c>
      <c r="I4859" s="26">
        <v>41353</v>
      </c>
      <c r="J4859">
        <v>2013</v>
      </c>
      <c r="K4859" t="s">
        <v>32038</v>
      </c>
      <c r="L4859">
        <v>206</v>
      </c>
      <c r="M4859" t="s">
        <v>40316</v>
      </c>
      <c r="Q4859" t="s">
        <v>43052</v>
      </c>
      <c r="R4859">
        <v>616.89</v>
      </c>
      <c r="S4859" t="s">
        <v>43053</v>
      </c>
      <c r="T4859" t="s">
        <v>30</v>
      </c>
      <c r="U4859" t="s">
        <v>26116</v>
      </c>
      <c r="W4859" t="s">
        <v>26009</v>
      </c>
    </row>
    <row r="4860" spans="1:23" x14ac:dyDescent="0.35">
      <c r="A4860">
        <v>1192711</v>
      </c>
      <c r="B4860" t="s">
        <v>43054</v>
      </c>
      <c r="C4860" t="str">
        <f>"9780415948012"</f>
        <v>9780415948012</v>
      </c>
      <c r="D4860" t="str">
        <f>"9781135404239"</f>
        <v>9781135404239</v>
      </c>
      <c r="E4860" t="s">
        <v>26010</v>
      </c>
      <c r="F4860" t="s">
        <v>35</v>
      </c>
      <c r="G4860" t="s">
        <v>26201</v>
      </c>
      <c r="H4860" t="s">
        <v>26011</v>
      </c>
      <c r="I4860" s="26">
        <v>38468</v>
      </c>
      <c r="J4860">
        <v>2005</v>
      </c>
      <c r="K4860" t="s">
        <v>26012</v>
      </c>
      <c r="L4860">
        <v>231</v>
      </c>
      <c r="M4860" t="s">
        <v>43055</v>
      </c>
      <c r="N4860">
        <v>1</v>
      </c>
      <c r="Q4860" t="s">
        <v>43056</v>
      </c>
      <c r="R4860" t="s">
        <v>33676</v>
      </c>
      <c r="S4860" t="s">
        <v>8890</v>
      </c>
      <c r="T4860" t="s">
        <v>30</v>
      </c>
      <c r="U4860" t="s">
        <v>28629</v>
      </c>
      <c r="W4860" t="s">
        <v>26009</v>
      </c>
    </row>
    <row r="4861" spans="1:23" x14ac:dyDescent="0.35">
      <c r="A4861">
        <v>1195531</v>
      </c>
      <c r="B4861" t="s">
        <v>43057</v>
      </c>
      <c r="C4861" t="str">
        <f>"9783110329322"</f>
        <v>9783110329322</v>
      </c>
      <c r="D4861" t="str">
        <f>"9783110329438"</f>
        <v>9783110329438</v>
      </c>
      <c r="E4861" t="s">
        <v>30630</v>
      </c>
      <c r="F4861" t="s">
        <v>7451</v>
      </c>
      <c r="G4861" t="s">
        <v>30631</v>
      </c>
      <c r="H4861" t="s">
        <v>30632</v>
      </c>
      <c r="I4861" s="26">
        <v>39778</v>
      </c>
      <c r="J4861">
        <v>2008</v>
      </c>
      <c r="K4861" t="s">
        <v>7451</v>
      </c>
      <c r="L4861">
        <v>450</v>
      </c>
      <c r="M4861" t="s">
        <v>43058</v>
      </c>
      <c r="N4861">
        <v>1</v>
      </c>
      <c r="O4861" t="s">
        <v>43059</v>
      </c>
      <c r="P4861">
        <v>18</v>
      </c>
      <c r="Q4861" t="s">
        <v>43060</v>
      </c>
      <c r="S4861" t="s">
        <v>43061</v>
      </c>
      <c r="T4861" t="s">
        <v>30</v>
      </c>
      <c r="U4861" t="s">
        <v>26040</v>
      </c>
      <c r="W4861" t="s">
        <v>26009</v>
      </c>
    </row>
    <row r="4862" spans="1:23" x14ac:dyDescent="0.35">
      <c r="A4862">
        <v>1195636</v>
      </c>
      <c r="B4862" t="s">
        <v>43062</v>
      </c>
      <c r="C4862" t="str">
        <f>"9780881633795"</f>
        <v>9780881633795</v>
      </c>
      <c r="D4862" t="str">
        <f>"9781134909865"</f>
        <v>9781134909865</v>
      </c>
      <c r="E4862" t="s">
        <v>26010</v>
      </c>
      <c r="F4862" t="s">
        <v>35</v>
      </c>
      <c r="G4862" t="s">
        <v>22174</v>
      </c>
      <c r="H4862" t="s">
        <v>26011</v>
      </c>
      <c r="I4862" s="26">
        <v>37653</v>
      </c>
      <c r="J4862">
        <v>2003</v>
      </c>
      <c r="K4862" t="s">
        <v>26012</v>
      </c>
      <c r="L4862">
        <v>380</v>
      </c>
      <c r="M4862" t="s">
        <v>43063</v>
      </c>
      <c r="N4862">
        <v>1</v>
      </c>
      <c r="Q4862" t="s">
        <v>43064</v>
      </c>
      <c r="R4862" t="s">
        <v>43065</v>
      </c>
      <c r="S4862" t="s">
        <v>7736</v>
      </c>
      <c r="T4862" t="s">
        <v>30</v>
      </c>
      <c r="U4862" t="s">
        <v>26019</v>
      </c>
      <c r="W4862" t="s">
        <v>26009</v>
      </c>
    </row>
    <row r="4863" spans="1:23" x14ac:dyDescent="0.35">
      <c r="A4863">
        <v>1195669</v>
      </c>
      <c r="B4863" t="s">
        <v>43066</v>
      </c>
      <c r="C4863" t="str">
        <f>"9780881634198"</f>
        <v>9780881634198</v>
      </c>
      <c r="D4863" t="str">
        <f>"9781134912667"</f>
        <v>9781134912667</v>
      </c>
      <c r="E4863" t="s">
        <v>26010</v>
      </c>
      <c r="F4863" t="s">
        <v>35</v>
      </c>
      <c r="G4863" t="s">
        <v>22174</v>
      </c>
      <c r="H4863" t="s">
        <v>26011</v>
      </c>
      <c r="I4863" s="26">
        <v>38272</v>
      </c>
      <c r="J4863">
        <v>2004</v>
      </c>
      <c r="K4863" t="s">
        <v>26012</v>
      </c>
      <c r="L4863">
        <v>223</v>
      </c>
      <c r="M4863" t="s">
        <v>43067</v>
      </c>
      <c r="N4863">
        <v>1</v>
      </c>
      <c r="O4863" t="s">
        <v>35537</v>
      </c>
      <c r="P4863">
        <v>27</v>
      </c>
      <c r="Q4863" t="s">
        <v>43068</v>
      </c>
      <c r="R4863" t="s">
        <v>26420</v>
      </c>
      <c r="S4863" t="s">
        <v>7514</v>
      </c>
      <c r="T4863" t="s">
        <v>30</v>
      </c>
      <c r="U4863" t="s">
        <v>46</v>
      </c>
      <c r="W4863" t="s">
        <v>26009</v>
      </c>
    </row>
    <row r="4864" spans="1:23" x14ac:dyDescent="0.35">
      <c r="A4864">
        <v>1195676</v>
      </c>
      <c r="B4864" t="s">
        <v>43069</v>
      </c>
      <c r="C4864" t="str">
        <f>"9780881633481"</f>
        <v>9780881633481</v>
      </c>
      <c r="D4864" t="str">
        <f>"9781134907069"</f>
        <v>9781134907069</v>
      </c>
      <c r="E4864" t="s">
        <v>26010</v>
      </c>
      <c r="F4864" t="s">
        <v>35</v>
      </c>
      <c r="G4864" t="s">
        <v>22174</v>
      </c>
      <c r="H4864" t="s">
        <v>26011</v>
      </c>
      <c r="I4864" s="26">
        <v>38602</v>
      </c>
      <c r="J4864">
        <v>2005</v>
      </c>
      <c r="K4864" t="s">
        <v>26012</v>
      </c>
      <c r="L4864">
        <v>249</v>
      </c>
      <c r="M4864" t="s">
        <v>43070</v>
      </c>
      <c r="N4864">
        <v>1</v>
      </c>
      <c r="Q4864" t="s">
        <v>43071</v>
      </c>
      <c r="R4864">
        <v>616.89140084400003</v>
      </c>
      <c r="S4864" t="s">
        <v>10224</v>
      </c>
      <c r="T4864" t="s">
        <v>30</v>
      </c>
      <c r="U4864" t="s">
        <v>26019</v>
      </c>
      <c r="W4864" t="s">
        <v>26009</v>
      </c>
    </row>
    <row r="4865" spans="1:23" x14ac:dyDescent="0.35">
      <c r="A4865">
        <v>1195680</v>
      </c>
      <c r="B4865" t="s">
        <v>43072</v>
      </c>
      <c r="C4865" t="str">
        <f>"9780881634006"</f>
        <v>9780881634006</v>
      </c>
      <c r="D4865" t="str">
        <f>"9781134912100"</f>
        <v>9781134912100</v>
      </c>
      <c r="E4865" t="s">
        <v>26010</v>
      </c>
      <c r="F4865" t="s">
        <v>35</v>
      </c>
      <c r="G4865" t="s">
        <v>22174</v>
      </c>
      <c r="H4865" t="s">
        <v>26011</v>
      </c>
      <c r="I4865" s="26">
        <v>38553</v>
      </c>
      <c r="J4865">
        <v>2005</v>
      </c>
      <c r="K4865" t="s">
        <v>26012</v>
      </c>
      <c r="L4865">
        <v>299</v>
      </c>
      <c r="M4865" t="s">
        <v>43073</v>
      </c>
      <c r="N4865">
        <v>1</v>
      </c>
      <c r="O4865" t="s">
        <v>40313</v>
      </c>
      <c r="P4865">
        <v>2</v>
      </c>
      <c r="Q4865" t="s">
        <v>43074</v>
      </c>
      <c r="R4865">
        <v>155.6463</v>
      </c>
      <c r="S4865" t="s">
        <v>10212</v>
      </c>
      <c r="T4865" t="s">
        <v>30</v>
      </c>
      <c r="U4865" t="s">
        <v>26170</v>
      </c>
      <c r="W4865" t="s">
        <v>26009</v>
      </c>
    </row>
    <row r="4866" spans="1:23" x14ac:dyDescent="0.35">
      <c r="A4866">
        <v>1195687</v>
      </c>
      <c r="B4866" t="s">
        <v>43075</v>
      </c>
      <c r="C4866" t="str">
        <f>"9780881633870"</f>
        <v>9780881633870</v>
      </c>
      <c r="D4866" t="str">
        <f>"9781134910700"</f>
        <v>9781134910700</v>
      </c>
      <c r="E4866" t="s">
        <v>26010</v>
      </c>
      <c r="F4866" t="s">
        <v>35</v>
      </c>
      <c r="G4866" t="s">
        <v>22174</v>
      </c>
      <c r="H4866" t="s">
        <v>26011</v>
      </c>
      <c r="I4866" s="26">
        <v>38114</v>
      </c>
      <c r="J4866">
        <v>2004</v>
      </c>
      <c r="K4866" t="s">
        <v>26012</v>
      </c>
      <c r="L4866">
        <v>225</v>
      </c>
      <c r="M4866" t="s">
        <v>43076</v>
      </c>
      <c r="N4866">
        <v>1</v>
      </c>
      <c r="Q4866" t="s">
        <v>43077</v>
      </c>
      <c r="R4866">
        <v>152.4</v>
      </c>
      <c r="S4866" t="s">
        <v>8180</v>
      </c>
      <c r="T4866" t="s">
        <v>30</v>
      </c>
      <c r="U4866" t="s">
        <v>46</v>
      </c>
      <c r="W4866" t="s">
        <v>26009</v>
      </c>
    </row>
    <row r="4867" spans="1:23" x14ac:dyDescent="0.35">
      <c r="A4867">
        <v>1195689</v>
      </c>
      <c r="B4867" t="s">
        <v>43078</v>
      </c>
      <c r="C4867" t="str">
        <f>"9780881633818"</f>
        <v>9780881633818</v>
      </c>
      <c r="D4867" t="str">
        <f>"9781134910144"</f>
        <v>9781134910144</v>
      </c>
      <c r="E4867" t="s">
        <v>26010</v>
      </c>
      <c r="F4867" t="s">
        <v>35</v>
      </c>
      <c r="G4867" t="s">
        <v>22174</v>
      </c>
      <c r="H4867" t="s">
        <v>26011</v>
      </c>
      <c r="I4867" s="26">
        <v>37773</v>
      </c>
      <c r="J4867">
        <v>2003</v>
      </c>
      <c r="K4867" t="s">
        <v>26012</v>
      </c>
      <c r="L4867">
        <v>309</v>
      </c>
      <c r="M4867" t="s">
        <v>43079</v>
      </c>
      <c r="N4867">
        <v>1</v>
      </c>
      <c r="O4867" t="s">
        <v>35537</v>
      </c>
      <c r="P4867">
        <v>23</v>
      </c>
      <c r="Q4867" t="s">
        <v>43080</v>
      </c>
      <c r="R4867" t="s">
        <v>27184</v>
      </c>
      <c r="S4867" t="s">
        <v>9815</v>
      </c>
      <c r="T4867" t="s">
        <v>30</v>
      </c>
      <c r="U4867" t="s">
        <v>26116</v>
      </c>
      <c r="W4867" t="s">
        <v>26009</v>
      </c>
    </row>
    <row r="4868" spans="1:23" x14ac:dyDescent="0.35">
      <c r="A4868">
        <v>1195693</v>
      </c>
      <c r="B4868" t="s">
        <v>43081</v>
      </c>
      <c r="C4868" t="str">
        <f>"9780881634204"</f>
        <v>9780881634204</v>
      </c>
      <c r="D4868" t="str">
        <f>"9781134912940"</f>
        <v>9781134912940</v>
      </c>
      <c r="E4868" t="s">
        <v>26010</v>
      </c>
      <c r="F4868" t="s">
        <v>35</v>
      </c>
      <c r="G4868" t="s">
        <v>22174</v>
      </c>
      <c r="H4868" t="s">
        <v>26011</v>
      </c>
      <c r="I4868" s="26">
        <v>38707</v>
      </c>
      <c r="J4868">
        <v>2005</v>
      </c>
      <c r="K4868" t="s">
        <v>26012</v>
      </c>
      <c r="L4868">
        <v>233</v>
      </c>
      <c r="M4868" t="s">
        <v>43082</v>
      </c>
      <c r="N4868">
        <v>1</v>
      </c>
      <c r="O4868" t="s">
        <v>35537</v>
      </c>
      <c r="P4868">
        <v>31</v>
      </c>
      <c r="Q4868" t="s">
        <v>43083</v>
      </c>
      <c r="R4868">
        <v>154.30000000000001</v>
      </c>
      <c r="S4868" t="s">
        <v>8925</v>
      </c>
      <c r="T4868" t="s">
        <v>30</v>
      </c>
      <c r="U4868" t="s">
        <v>46</v>
      </c>
      <c r="W4868" t="s">
        <v>26009</v>
      </c>
    </row>
    <row r="4869" spans="1:23" x14ac:dyDescent="0.35">
      <c r="A4869">
        <v>1195696</v>
      </c>
      <c r="B4869" t="s">
        <v>8457</v>
      </c>
      <c r="C4869" t="str">
        <f>"9780881631364"</f>
        <v>9780881631364</v>
      </c>
      <c r="D4869" t="str">
        <f>"9781134885787"</f>
        <v>9781134885787</v>
      </c>
      <c r="E4869" t="s">
        <v>26010</v>
      </c>
      <c r="F4869" t="s">
        <v>35</v>
      </c>
      <c r="G4869" t="s">
        <v>22174</v>
      </c>
      <c r="H4869" t="s">
        <v>26011</v>
      </c>
      <c r="I4869" s="26">
        <v>33786</v>
      </c>
      <c r="J4869">
        <v>1992</v>
      </c>
      <c r="K4869" t="s">
        <v>26012</v>
      </c>
      <c r="L4869">
        <v>415</v>
      </c>
      <c r="M4869" t="s">
        <v>43084</v>
      </c>
      <c r="N4869">
        <v>1</v>
      </c>
      <c r="Q4869" t="s">
        <v>43085</v>
      </c>
      <c r="R4869" t="s">
        <v>43086</v>
      </c>
      <c r="S4869" t="s">
        <v>43087</v>
      </c>
      <c r="T4869" t="s">
        <v>30</v>
      </c>
      <c r="U4869" t="s">
        <v>26019</v>
      </c>
      <c r="W4869" t="s">
        <v>26009</v>
      </c>
    </row>
    <row r="4870" spans="1:23" x14ac:dyDescent="0.35">
      <c r="A4870">
        <v>1195746</v>
      </c>
      <c r="B4870" t="s">
        <v>43088</v>
      </c>
      <c r="C4870" t="str">
        <f>"9781583910511"</f>
        <v>9781583910511</v>
      </c>
      <c r="D4870" t="str">
        <f>"9781134943463"</f>
        <v>9781134943463</v>
      </c>
      <c r="E4870" t="s">
        <v>26010</v>
      </c>
      <c r="F4870" t="s">
        <v>35</v>
      </c>
      <c r="G4870" t="s">
        <v>22174</v>
      </c>
      <c r="H4870" t="s">
        <v>26011</v>
      </c>
      <c r="I4870" s="26">
        <v>36903</v>
      </c>
      <c r="J4870">
        <v>2001</v>
      </c>
      <c r="K4870" t="s">
        <v>26012</v>
      </c>
      <c r="L4870">
        <v>208</v>
      </c>
      <c r="M4870" t="s">
        <v>43089</v>
      </c>
      <c r="N4870">
        <v>1</v>
      </c>
      <c r="Q4870" t="s">
        <v>43090</v>
      </c>
      <c r="R4870">
        <v>616.89165600000001</v>
      </c>
      <c r="S4870" t="s">
        <v>43091</v>
      </c>
      <c r="T4870" t="s">
        <v>30</v>
      </c>
      <c r="U4870" t="s">
        <v>26116</v>
      </c>
      <c r="W4870" t="s">
        <v>26009</v>
      </c>
    </row>
    <row r="4871" spans="1:23" x14ac:dyDescent="0.35">
      <c r="A4871">
        <v>1195764</v>
      </c>
      <c r="B4871" t="s">
        <v>10286</v>
      </c>
      <c r="C4871" t="str">
        <f>"9780415454377"</f>
        <v>9780415454377</v>
      </c>
      <c r="D4871" t="str">
        <f>"9781136975707"</f>
        <v>9781136975707</v>
      </c>
      <c r="E4871" t="s">
        <v>26010</v>
      </c>
      <c r="F4871" t="s">
        <v>35</v>
      </c>
      <c r="G4871" t="s">
        <v>22174</v>
      </c>
      <c r="H4871" t="s">
        <v>26011</v>
      </c>
      <c r="I4871" s="26">
        <v>40413</v>
      </c>
      <c r="J4871">
        <v>2010</v>
      </c>
      <c r="K4871" t="s">
        <v>26012</v>
      </c>
      <c r="L4871">
        <v>321</v>
      </c>
      <c r="M4871" t="s">
        <v>43092</v>
      </c>
      <c r="N4871">
        <v>1</v>
      </c>
      <c r="Q4871" t="s">
        <v>43093</v>
      </c>
      <c r="R4871">
        <v>305.23500000000001</v>
      </c>
      <c r="S4871" t="s">
        <v>10287</v>
      </c>
      <c r="T4871" t="s">
        <v>30</v>
      </c>
      <c r="U4871" t="s">
        <v>26044</v>
      </c>
      <c r="W4871" t="s">
        <v>26009</v>
      </c>
    </row>
    <row r="4872" spans="1:23" x14ac:dyDescent="0.35">
      <c r="A4872">
        <v>1195793</v>
      </c>
      <c r="B4872" t="s">
        <v>43094</v>
      </c>
      <c r="C4872" t="str">
        <f>"9780415944588"</f>
        <v>9780415944588</v>
      </c>
      <c r="D4872" t="str">
        <f>"9781135944810"</f>
        <v>9781135944810</v>
      </c>
      <c r="E4872" t="s">
        <v>26010</v>
      </c>
      <c r="F4872" t="s">
        <v>35</v>
      </c>
      <c r="G4872" t="s">
        <v>22174</v>
      </c>
      <c r="H4872" t="s">
        <v>26011</v>
      </c>
      <c r="I4872" s="26">
        <v>37652</v>
      </c>
      <c r="J4872">
        <v>2003</v>
      </c>
      <c r="K4872" t="s">
        <v>26012</v>
      </c>
      <c r="L4872">
        <v>337</v>
      </c>
      <c r="M4872" t="s">
        <v>43095</v>
      </c>
      <c r="N4872">
        <v>1</v>
      </c>
      <c r="Q4872" t="s">
        <v>43096</v>
      </c>
      <c r="R4872">
        <v>361.06092200000001</v>
      </c>
      <c r="S4872" t="s">
        <v>8956</v>
      </c>
      <c r="T4872" t="s">
        <v>30</v>
      </c>
      <c r="U4872" t="s">
        <v>26170</v>
      </c>
      <c r="W4872" t="s">
        <v>26009</v>
      </c>
    </row>
    <row r="4873" spans="1:23" x14ac:dyDescent="0.35">
      <c r="A4873">
        <v>1195829</v>
      </c>
      <c r="B4873" t="s">
        <v>43097</v>
      </c>
      <c r="C4873" t="str">
        <f>"9781583910160"</f>
        <v>9781583910160</v>
      </c>
      <c r="D4873" t="str">
        <f>"9781134941780"</f>
        <v>9781134941780</v>
      </c>
      <c r="E4873" t="s">
        <v>26010</v>
      </c>
      <c r="F4873" t="s">
        <v>35</v>
      </c>
      <c r="G4873" t="s">
        <v>22174</v>
      </c>
      <c r="H4873" t="s">
        <v>26011</v>
      </c>
      <c r="I4873" s="26">
        <v>37351</v>
      </c>
      <c r="J4873">
        <v>2002</v>
      </c>
      <c r="K4873" t="s">
        <v>26012</v>
      </c>
      <c r="L4873">
        <v>266</v>
      </c>
      <c r="M4873" t="s">
        <v>43098</v>
      </c>
      <c r="N4873">
        <v>1</v>
      </c>
      <c r="Q4873" t="s">
        <v>43099</v>
      </c>
      <c r="R4873" t="s">
        <v>32527</v>
      </c>
      <c r="S4873" t="s">
        <v>7759</v>
      </c>
      <c r="T4873" t="s">
        <v>30</v>
      </c>
      <c r="U4873" t="s">
        <v>26040</v>
      </c>
      <c r="W4873" t="s">
        <v>26009</v>
      </c>
    </row>
    <row r="4874" spans="1:23" x14ac:dyDescent="0.35">
      <c r="A4874">
        <v>1195899</v>
      </c>
      <c r="B4874" t="s">
        <v>43100</v>
      </c>
      <c r="C4874" t="str">
        <f>"9780761921288"</f>
        <v>9780761921288</v>
      </c>
      <c r="D4874" t="str">
        <f>"9781452221830"</f>
        <v>9781452221830</v>
      </c>
      <c r="E4874" t="s">
        <v>40883</v>
      </c>
      <c r="F4874" t="s">
        <v>7434</v>
      </c>
      <c r="G4874" t="s">
        <v>22194</v>
      </c>
      <c r="H4874" t="s">
        <v>26004</v>
      </c>
      <c r="I4874" s="26">
        <v>36573</v>
      </c>
      <c r="J4874">
        <v>2000</v>
      </c>
      <c r="K4874" t="s">
        <v>7434</v>
      </c>
      <c r="L4874">
        <v>355</v>
      </c>
      <c r="M4874" t="s">
        <v>43101</v>
      </c>
      <c r="N4874">
        <v>1</v>
      </c>
      <c r="R4874" t="s">
        <v>43102</v>
      </c>
      <c r="T4874" t="s">
        <v>30</v>
      </c>
      <c r="U4874" t="s">
        <v>26040</v>
      </c>
      <c r="W4874" t="s">
        <v>26009</v>
      </c>
    </row>
    <row r="4875" spans="1:23" x14ac:dyDescent="0.35">
      <c r="A4875">
        <v>1195906</v>
      </c>
      <c r="B4875" t="s">
        <v>43103</v>
      </c>
      <c r="C4875" t="str">
        <f>"9780761917793"</f>
        <v>9780761917793</v>
      </c>
      <c r="D4875" t="str">
        <f>"9781452267517"</f>
        <v>9781452267517</v>
      </c>
      <c r="E4875" t="s">
        <v>40883</v>
      </c>
      <c r="F4875" t="s">
        <v>7434</v>
      </c>
      <c r="G4875" t="s">
        <v>22194</v>
      </c>
      <c r="H4875" t="s">
        <v>26004</v>
      </c>
      <c r="I4875" s="26">
        <v>36847</v>
      </c>
      <c r="J4875">
        <v>2000</v>
      </c>
      <c r="K4875" t="s">
        <v>7434</v>
      </c>
      <c r="L4875">
        <v>190</v>
      </c>
      <c r="M4875" t="s">
        <v>43104</v>
      </c>
      <c r="N4875">
        <v>1</v>
      </c>
      <c r="O4875" t="s">
        <v>41247</v>
      </c>
      <c r="R4875" t="s">
        <v>43105</v>
      </c>
      <c r="T4875" t="s">
        <v>30</v>
      </c>
      <c r="U4875" t="s">
        <v>26127</v>
      </c>
      <c r="W4875" t="s">
        <v>26009</v>
      </c>
    </row>
    <row r="4876" spans="1:23" x14ac:dyDescent="0.35">
      <c r="A4876">
        <v>1195914</v>
      </c>
      <c r="B4876" t="s">
        <v>43106</v>
      </c>
      <c r="C4876" t="str">
        <f>"9780803972223"</f>
        <v>9780803972223</v>
      </c>
      <c r="D4876" t="str">
        <f>"9781452214122"</f>
        <v>9781452214122</v>
      </c>
      <c r="E4876" t="s">
        <v>40883</v>
      </c>
      <c r="F4876" t="s">
        <v>7434</v>
      </c>
      <c r="G4876" t="s">
        <v>22194</v>
      </c>
      <c r="H4876" t="s">
        <v>26004</v>
      </c>
      <c r="I4876" s="26">
        <v>35374</v>
      </c>
      <c r="J4876">
        <v>1996</v>
      </c>
      <c r="K4876" t="s">
        <v>7434</v>
      </c>
      <c r="L4876">
        <v>458</v>
      </c>
      <c r="M4876" t="s">
        <v>41260</v>
      </c>
      <c r="N4876">
        <v>1</v>
      </c>
      <c r="O4876" t="s">
        <v>40929</v>
      </c>
      <c r="T4876" t="s">
        <v>30</v>
      </c>
      <c r="U4876" t="s">
        <v>46</v>
      </c>
      <c r="W4876" t="s">
        <v>26009</v>
      </c>
    </row>
    <row r="4877" spans="1:23" x14ac:dyDescent="0.35">
      <c r="A4877">
        <v>1195915</v>
      </c>
      <c r="B4877" t="s">
        <v>9689</v>
      </c>
      <c r="C4877" t="str">
        <f>"9780761922476"</f>
        <v>9780761922476</v>
      </c>
      <c r="D4877" t="str">
        <f>"9781452265056"</f>
        <v>9781452265056</v>
      </c>
      <c r="E4877" t="s">
        <v>40883</v>
      </c>
      <c r="F4877" t="s">
        <v>7434</v>
      </c>
      <c r="G4877" t="s">
        <v>22194</v>
      </c>
      <c r="H4877" t="s">
        <v>26004</v>
      </c>
      <c r="I4877" s="26">
        <v>36816</v>
      </c>
      <c r="J4877">
        <v>2000</v>
      </c>
      <c r="K4877" t="s">
        <v>7434</v>
      </c>
      <c r="L4877">
        <v>326</v>
      </c>
      <c r="M4877" t="s">
        <v>43107</v>
      </c>
      <c r="N4877">
        <v>1</v>
      </c>
      <c r="R4877">
        <v>155</v>
      </c>
      <c r="T4877" t="s">
        <v>30</v>
      </c>
      <c r="U4877" t="s">
        <v>46</v>
      </c>
      <c r="W4877" t="s">
        <v>26009</v>
      </c>
    </row>
    <row r="4878" spans="1:23" x14ac:dyDescent="0.35">
      <c r="A4878">
        <v>1195919</v>
      </c>
      <c r="B4878" t="s">
        <v>43108</v>
      </c>
      <c r="C4878" t="str">
        <f>"9781412904841"</f>
        <v>9781412904841</v>
      </c>
      <c r="D4878" t="str">
        <f>"9781452267593"</f>
        <v>9781452267593</v>
      </c>
      <c r="E4878" t="s">
        <v>40883</v>
      </c>
      <c r="F4878" t="s">
        <v>7434</v>
      </c>
      <c r="G4878" t="s">
        <v>22194</v>
      </c>
      <c r="H4878" t="s">
        <v>26004</v>
      </c>
      <c r="I4878" s="26">
        <v>38840</v>
      </c>
      <c r="J4878">
        <v>2006</v>
      </c>
      <c r="K4878" t="s">
        <v>7434</v>
      </c>
      <c r="L4878">
        <v>293</v>
      </c>
      <c r="M4878" t="s">
        <v>41014</v>
      </c>
      <c r="N4878">
        <v>1</v>
      </c>
      <c r="R4878" t="s">
        <v>27838</v>
      </c>
      <c r="T4878" t="s">
        <v>30</v>
      </c>
      <c r="U4878" t="s">
        <v>46</v>
      </c>
      <c r="W4878" t="s">
        <v>26009</v>
      </c>
    </row>
    <row r="4879" spans="1:23" x14ac:dyDescent="0.35">
      <c r="A4879">
        <v>1195921</v>
      </c>
      <c r="B4879" t="s">
        <v>43109</v>
      </c>
      <c r="C4879" t="str">
        <f>"9780803942769"</f>
        <v>9780803942769</v>
      </c>
      <c r="D4879" t="str">
        <f>"9781452267616"</f>
        <v>9781452267616</v>
      </c>
      <c r="E4879" t="s">
        <v>40883</v>
      </c>
      <c r="F4879" t="s">
        <v>7434</v>
      </c>
      <c r="G4879" t="s">
        <v>22194</v>
      </c>
      <c r="H4879" t="s">
        <v>26004</v>
      </c>
      <c r="I4879" s="26">
        <v>34332</v>
      </c>
      <c r="J4879">
        <v>1993</v>
      </c>
      <c r="K4879" t="s">
        <v>7434</v>
      </c>
      <c r="L4879">
        <v>271</v>
      </c>
      <c r="M4879" t="s">
        <v>43110</v>
      </c>
      <c r="N4879">
        <v>1</v>
      </c>
      <c r="O4879" t="s">
        <v>41004</v>
      </c>
      <c r="R4879" t="s">
        <v>43111</v>
      </c>
      <c r="T4879" t="s">
        <v>30</v>
      </c>
      <c r="U4879" t="s">
        <v>26250</v>
      </c>
      <c r="W4879" t="s">
        <v>26009</v>
      </c>
    </row>
    <row r="4880" spans="1:23" x14ac:dyDescent="0.35">
      <c r="A4880">
        <v>1195922</v>
      </c>
      <c r="B4880" t="s">
        <v>6862</v>
      </c>
      <c r="C4880" t="str">
        <f>"9780761907466"</f>
        <v>9780761907466</v>
      </c>
      <c r="D4880" t="str">
        <f>"9781452262147"</f>
        <v>9781452262147</v>
      </c>
      <c r="E4880" t="s">
        <v>40883</v>
      </c>
      <c r="F4880" t="s">
        <v>7434</v>
      </c>
      <c r="G4880" t="s">
        <v>22194</v>
      </c>
      <c r="H4880" t="s">
        <v>26004</v>
      </c>
      <c r="I4880" s="26">
        <v>36230</v>
      </c>
      <c r="J4880">
        <v>1999</v>
      </c>
      <c r="K4880" t="s">
        <v>7434</v>
      </c>
      <c r="L4880">
        <v>489</v>
      </c>
      <c r="M4880" t="s">
        <v>43112</v>
      </c>
      <c r="N4880">
        <v>8</v>
      </c>
      <c r="R4880">
        <v>302</v>
      </c>
      <c r="T4880" t="s">
        <v>30</v>
      </c>
      <c r="U4880" t="s">
        <v>26044</v>
      </c>
      <c r="W4880" t="s">
        <v>26009</v>
      </c>
    </row>
    <row r="4881" spans="1:23" x14ac:dyDescent="0.35">
      <c r="A4881">
        <v>1195925</v>
      </c>
      <c r="B4881" t="s">
        <v>43113</v>
      </c>
      <c r="C4881" t="str">
        <f>"9780803944015"</f>
        <v>9780803944015</v>
      </c>
      <c r="D4881" t="str">
        <f>"9781452254760"</f>
        <v>9781452254760</v>
      </c>
      <c r="E4881" t="s">
        <v>40883</v>
      </c>
      <c r="F4881" t="s">
        <v>7434</v>
      </c>
      <c r="G4881" t="s">
        <v>22194</v>
      </c>
      <c r="H4881" t="s">
        <v>26004</v>
      </c>
      <c r="I4881" s="26">
        <v>34408</v>
      </c>
      <c r="J4881">
        <v>1994</v>
      </c>
      <c r="K4881" t="s">
        <v>7434</v>
      </c>
      <c r="L4881">
        <v>256</v>
      </c>
      <c r="M4881" t="s">
        <v>43114</v>
      </c>
      <c r="N4881">
        <v>1</v>
      </c>
      <c r="T4881" t="s">
        <v>30</v>
      </c>
      <c r="U4881" t="s">
        <v>46</v>
      </c>
      <c r="W4881" t="s">
        <v>26009</v>
      </c>
    </row>
    <row r="4882" spans="1:23" x14ac:dyDescent="0.35">
      <c r="A4882">
        <v>1195934</v>
      </c>
      <c r="B4882" t="s">
        <v>43115</v>
      </c>
      <c r="C4882" t="str">
        <f>"9780761902522"</f>
        <v>9780761902522</v>
      </c>
      <c r="D4882" t="str">
        <f>"9781452221229"</f>
        <v>9781452221229</v>
      </c>
      <c r="E4882" t="s">
        <v>40883</v>
      </c>
      <c r="F4882" t="s">
        <v>7434</v>
      </c>
      <c r="G4882" t="s">
        <v>22194</v>
      </c>
      <c r="H4882" t="s">
        <v>26004</v>
      </c>
      <c r="I4882" s="26">
        <v>36201</v>
      </c>
      <c r="J4882">
        <v>1999</v>
      </c>
      <c r="K4882" t="s">
        <v>7434</v>
      </c>
      <c r="L4882">
        <v>177</v>
      </c>
      <c r="M4882" t="s">
        <v>39215</v>
      </c>
      <c r="N4882">
        <v>2</v>
      </c>
      <c r="O4882" t="s">
        <v>40895</v>
      </c>
      <c r="T4882" t="s">
        <v>30</v>
      </c>
      <c r="U4882" t="s">
        <v>46</v>
      </c>
      <c r="W4882" t="s">
        <v>26009</v>
      </c>
    </row>
    <row r="4883" spans="1:23" x14ac:dyDescent="0.35">
      <c r="A4883">
        <v>1204007</v>
      </c>
      <c r="B4883" t="s">
        <v>43116</v>
      </c>
      <c r="C4883" t="str">
        <f>"9781611321234"</f>
        <v>9781611321234</v>
      </c>
      <c r="D4883" t="str">
        <f>"9781611321258"</f>
        <v>9781611321258</v>
      </c>
      <c r="E4883" t="s">
        <v>26010</v>
      </c>
      <c r="F4883" t="s">
        <v>35</v>
      </c>
      <c r="G4883" t="s">
        <v>36267</v>
      </c>
      <c r="H4883" t="s">
        <v>26004</v>
      </c>
      <c r="I4883" s="26">
        <v>41394</v>
      </c>
      <c r="J4883">
        <v>2013</v>
      </c>
      <c r="K4883" t="s">
        <v>26012</v>
      </c>
      <c r="L4883">
        <v>242</v>
      </c>
      <c r="M4883" t="s">
        <v>43117</v>
      </c>
      <c r="N4883">
        <v>1</v>
      </c>
      <c r="Q4883" t="s">
        <v>43118</v>
      </c>
      <c r="R4883">
        <v>362.20830000000001</v>
      </c>
      <c r="S4883" t="s">
        <v>43119</v>
      </c>
      <c r="T4883" t="s">
        <v>30</v>
      </c>
      <c r="U4883" t="s">
        <v>26094</v>
      </c>
      <c r="W4883" t="s">
        <v>26009</v>
      </c>
    </row>
    <row r="4884" spans="1:23" x14ac:dyDescent="0.35">
      <c r="A4884">
        <v>1204079</v>
      </c>
      <c r="B4884" t="s">
        <v>8156</v>
      </c>
      <c r="C4884" t="str">
        <f>"9780761970941"</f>
        <v>9780761970941</v>
      </c>
      <c r="D4884" t="str">
        <f>"9781446211052"</f>
        <v>9781446211052</v>
      </c>
      <c r="E4884" t="s">
        <v>28007</v>
      </c>
      <c r="F4884" t="s">
        <v>7430</v>
      </c>
      <c r="G4884" t="s">
        <v>22174</v>
      </c>
      <c r="H4884" t="s">
        <v>26011</v>
      </c>
      <c r="I4884" s="26">
        <v>38497</v>
      </c>
      <c r="J4884">
        <v>2005</v>
      </c>
      <c r="K4884" t="s">
        <v>7430</v>
      </c>
      <c r="L4884">
        <v>241</v>
      </c>
      <c r="M4884" t="s">
        <v>43120</v>
      </c>
      <c r="N4884">
        <v>1</v>
      </c>
      <c r="Q4884" t="s">
        <v>43121</v>
      </c>
      <c r="R4884">
        <v>616.89140299999997</v>
      </c>
      <c r="S4884" t="s">
        <v>8157</v>
      </c>
      <c r="T4884" t="s">
        <v>30</v>
      </c>
      <c r="U4884" t="s">
        <v>26019</v>
      </c>
      <c r="W4884" t="s">
        <v>26009</v>
      </c>
    </row>
    <row r="4885" spans="1:23" x14ac:dyDescent="0.35">
      <c r="A4885">
        <v>1204081</v>
      </c>
      <c r="B4885" t="s">
        <v>43122</v>
      </c>
      <c r="C4885" t="str">
        <f>"9781873942949"</f>
        <v>9781873942949</v>
      </c>
      <c r="D4885" t="str">
        <f>"9781446265574"</f>
        <v>9781446265574</v>
      </c>
      <c r="E4885" t="s">
        <v>28007</v>
      </c>
      <c r="F4885" t="s">
        <v>7430</v>
      </c>
      <c r="G4885" t="s">
        <v>22174</v>
      </c>
      <c r="H4885" t="s">
        <v>26011</v>
      </c>
      <c r="I4885" s="26">
        <v>37257</v>
      </c>
      <c r="J4885">
        <v>2002</v>
      </c>
      <c r="K4885" t="s">
        <v>7430</v>
      </c>
      <c r="L4885">
        <v>269</v>
      </c>
      <c r="M4885" t="s">
        <v>31315</v>
      </c>
      <c r="N4885">
        <v>1</v>
      </c>
      <c r="O4885" t="s">
        <v>30912</v>
      </c>
      <c r="Q4885" t="s">
        <v>43123</v>
      </c>
      <c r="R4885">
        <v>823.92</v>
      </c>
      <c r="S4885" t="s">
        <v>9764</v>
      </c>
      <c r="T4885" t="s">
        <v>30</v>
      </c>
      <c r="U4885" t="s">
        <v>43124</v>
      </c>
      <c r="W4885" t="s">
        <v>26009</v>
      </c>
    </row>
    <row r="4886" spans="1:23" x14ac:dyDescent="0.35">
      <c r="A4886">
        <v>1207496</v>
      </c>
      <c r="B4886" t="s">
        <v>43125</v>
      </c>
      <c r="C4886" t="str">
        <f>"9781848728905"</f>
        <v>9781848728905</v>
      </c>
      <c r="D4886" t="str">
        <f>"9781135108809"</f>
        <v>9781135108809</v>
      </c>
      <c r="E4886" t="s">
        <v>26010</v>
      </c>
      <c r="F4886" t="s">
        <v>35</v>
      </c>
      <c r="G4886" t="s">
        <v>22174</v>
      </c>
      <c r="H4886" t="s">
        <v>26011</v>
      </c>
      <c r="I4886" s="26">
        <v>41414</v>
      </c>
      <c r="J4886">
        <v>2013</v>
      </c>
      <c r="K4886" t="s">
        <v>660</v>
      </c>
      <c r="L4886">
        <v>366</v>
      </c>
      <c r="M4886" t="s">
        <v>43126</v>
      </c>
      <c r="N4886">
        <v>1</v>
      </c>
      <c r="O4886" t="s">
        <v>27743</v>
      </c>
      <c r="Q4886" t="s">
        <v>43127</v>
      </c>
      <c r="R4886">
        <v>153.15</v>
      </c>
      <c r="S4886" t="s">
        <v>108</v>
      </c>
      <c r="T4886" t="s">
        <v>30</v>
      </c>
      <c r="U4886" t="s">
        <v>46</v>
      </c>
      <c r="W4886" t="s">
        <v>26009</v>
      </c>
    </row>
    <row r="4887" spans="1:23" x14ac:dyDescent="0.35">
      <c r="A4887">
        <v>1207516</v>
      </c>
      <c r="B4887" t="s">
        <v>43128</v>
      </c>
      <c r="C4887" t="str">
        <f>"9780415817455"</f>
        <v>9780415817455</v>
      </c>
      <c r="D4887" t="str">
        <f>"9781134090235"</f>
        <v>9781134090235</v>
      </c>
      <c r="E4887" t="s">
        <v>26010</v>
      </c>
      <c r="F4887" t="s">
        <v>35</v>
      </c>
      <c r="G4887" t="s">
        <v>22174</v>
      </c>
      <c r="H4887" t="s">
        <v>26011</v>
      </c>
      <c r="I4887" s="26">
        <v>41416</v>
      </c>
      <c r="J4887">
        <v>2013</v>
      </c>
      <c r="K4887" t="s">
        <v>26012</v>
      </c>
      <c r="L4887">
        <v>241</v>
      </c>
      <c r="M4887" t="s">
        <v>35164</v>
      </c>
      <c r="N4887">
        <v>1</v>
      </c>
      <c r="Q4887" t="s">
        <v>43129</v>
      </c>
      <c r="R4887">
        <v>616.89170000000001</v>
      </c>
      <c r="S4887" t="s">
        <v>43130</v>
      </c>
      <c r="T4887" t="s">
        <v>30</v>
      </c>
      <c r="U4887" t="s">
        <v>26019</v>
      </c>
      <c r="W4887" t="s">
        <v>26009</v>
      </c>
    </row>
    <row r="4888" spans="1:23" x14ac:dyDescent="0.35">
      <c r="A4888">
        <v>1207528</v>
      </c>
      <c r="B4888" t="s">
        <v>43131</v>
      </c>
      <c r="C4888" t="str">
        <f>"9780415637275"</f>
        <v>9780415637275</v>
      </c>
      <c r="D4888" t="str">
        <f>"9781135051426"</f>
        <v>9781135051426</v>
      </c>
      <c r="E4888" t="s">
        <v>26010</v>
      </c>
      <c r="F4888" t="s">
        <v>35</v>
      </c>
      <c r="G4888" t="s">
        <v>22174</v>
      </c>
      <c r="H4888" t="s">
        <v>26011</v>
      </c>
      <c r="I4888" s="26">
        <v>41416</v>
      </c>
      <c r="J4888">
        <v>2013</v>
      </c>
      <c r="K4888" t="s">
        <v>26012</v>
      </c>
      <c r="L4888">
        <v>166</v>
      </c>
      <c r="M4888" t="s">
        <v>43132</v>
      </c>
      <c r="N4888">
        <v>1</v>
      </c>
      <c r="Q4888" t="s">
        <v>43133</v>
      </c>
      <c r="R4888">
        <v>153.35</v>
      </c>
      <c r="S4888" t="s">
        <v>7558</v>
      </c>
      <c r="T4888" t="s">
        <v>30</v>
      </c>
      <c r="U4888" t="s">
        <v>46</v>
      </c>
      <c r="W4888" t="s">
        <v>26009</v>
      </c>
    </row>
    <row r="4889" spans="1:23" x14ac:dyDescent="0.35">
      <c r="A4889">
        <v>1207617</v>
      </c>
      <c r="B4889" t="s">
        <v>8796</v>
      </c>
      <c r="C4889" t="str">
        <f>"9780691123929"</f>
        <v>9780691123929</v>
      </c>
      <c r="D4889" t="str">
        <f>"9781400848966"</f>
        <v>9781400848966</v>
      </c>
      <c r="E4889" t="s">
        <v>33468</v>
      </c>
      <c r="F4889" t="s">
        <v>7517</v>
      </c>
      <c r="G4889" t="s">
        <v>23592</v>
      </c>
      <c r="H4889" t="s">
        <v>26004</v>
      </c>
      <c r="I4889" s="26">
        <v>37864</v>
      </c>
      <c r="J4889">
        <v>2003</v>
      </c>
      <c r="K4889" t="s">
        <v>7517</v>
      </c>
      <c r="L4889">
        <v>176</v>
      </c>
      <c r="M4889" t="s">
        <v>34539</v>
      </c>
      <c r="N4889">
        <v>1</v>
      </c>
      <c r="Q4889" t="s">
        <v>43134</v>
      </c>
      <c r="R4889">
        <v>302</v>
      </c>
      <c r="T4889" t="s">
        <v>30</v>
      </c>
      <c r="U4889" t="s">
        <v>26044</v>
      </c>
      <c r="W4889" t="s">
        <v>28347</v>
      </c>
    </row>
    <row r="4890" spans="1:23" x14ac:dyDescent="0.35">
      <c r="A4890">
        <v>1207751</v>
      </c>
      <c r="B4890" t="s">
        <v>43135</v>
      </c>
      <c r="C4890" t="str">
        <f>"9781452217420"</f>
        <v>9781452217420</v>
      </c>
      <c r="D4890" t="str">
        <f>"9781483303635"</f>
        <v>9781483303635</v>
      </c>
      <c r="E4890" t="s">
        <v>40883</v>
      </c>
      <c r="F4890" t="s">
        <v>7434</v>
      </c>
      <c r="G4890" t="s">
        <v>22194</v>
      </c>
      <c r="H4890" t="s">
        <v>26004</v>
      </c>
      <c r="I4890" s="26">
        <v>41221</v>
      </c>
      <c r="J4890">
        <v>2013</v>
      </c>
      <c r="K4890" t="s">
        <v>7434</v>
      </c>
      <c r="L4890">
        <v>209</v>
      </c>
      <c r="M4890" t="s">
        <v>43136</v>
      </c>
      <c r="N4890">
        <v>1</v>
      </c>
      <c r="R4890" t="s">
        <v>43137</v>
      </c>
      <c r="T4890" t="s">
        <v>30</v>
      </c>
      <c r="U4890" t="s">
        <v>46</v>
      </c>
      <c r="W4890" t="s">
        <v>26009</v>
      </c>
    </row>
    <row r="4891" spans="1:23" x14ac:dyDescent="0.35">
      <c r="A4891">
        <v>1207756</v>
      </c>
      <c r="B4891" t="s">
        <v>43138</v>
      </c>
      <c r="C4891" t="str">
        <f>"9781412950572"</f>
        <v>9781412950572</v>
      </c>
      <c r="D4891" t="str">
        <f>"9781452277219"</f>
        <v>9781452277219</v>
      </c>
      <c r="E4891" t="s">
        <v>40883</v>
      </c>
      <c r="F4891" t="s">
        <v>7434</v>
      </c>
      <c r="G4891" t="s">
        <v>22194</v>
      </c>
      <c r="H4891" t="s">
        <v>26004</v>
      </c>
      <c r="I4891" s="26">
        <v>41288</v>
      </c>
      <c r="J4891">
        <v>2013</v>
      </c>
      <c r="K4891" t="s">
        <v>7434</v>
      </c>
      <c r="L4891">
        <v>897</v>
      </c>
      <c r="M4891" t="s">
        <v>43139</v>
      </c>
      <c r="N4891">
        <v>1</v>
      </c>
      <c r="R4891">
        <v>150</v>
      </c>
      <c r="S4891" t="s">
        <v>8360</v>
      </c>
      <c r="T4891" t="s">
        <v>30</v>
      </c>
      <c r="U4891" t="s">
        <v>46</v>
      </c>
      <c r="W4891" t="s">
        <v>26009</v>
      </c>
    </row>
    <row r="4892" spans="1:23" x14ac:dyDescent="0.35">
      <c r="A4892">
        <v>1208936</v>
      </c>
      <c r="B4892" t="s">
        <v>43140</v>
      </c>
      <c r="C4892" t="str">
        <f>"9781780490892"</f>
        <v>9781780490892</v>
      </c>
      <c r="D4892" t="str">
        <f>"9781782410997"</f>
        <v>9781782410997</v>
      </c>
      <c r="E4892" t="s">
        <v>26010</v>
      </c>
      <c r="F4892" t="s">
        <v>35</v>
      </c>
      <c r="G4892" t="s">
        <v>22174</v>
      </c>
      <c r="H4892" t="s">
        <v>26011</v>
      </c>
      <c r="I4892" s="26">
        <v>41426</v>
      </c>
      <c r="J4892">
        <v>2013</v>
      </c>
      <c r="K4892" t="s">
        <v>26012</v>
      </c>
      <c r="L4892">
        <v>321</v>
      </c>
      <c r="M4892" t="s">
        <v>43141</v>
      </c>
      <c r="N4892">
        <v>1</v>
      </c>
      <c r="Q4892" t="s">
        <v>43142</v>
      </c>
      <c r="R4892">
        <v>155.30000000000001</v>
      </c>
      <c r="S4892" t="s">
        <v>43143</v>
      </c>
      <c r="T4892" t="s">
        <v>30</v>
      </c>
      <c r="U4892" t="s">
        <v>46</v>
      </c>
      <c r="W4892" t="s">
        <v>26009</v>
      </c>
    </row>
    <row r="4893" spans="1:23" x14ac:dyDescent="0.35">
      <c r="A4893">
        <v>1208970</v>
      </c>
      <c r="B4893" t="s">
        <v>7555</v>
      </c>
      <c r="C4893" t="str">
        <f>"9781848857988"</f>
        <v>9781848857988</v>
      </c>
      <c r="D4893" t="str">
        <f>"9780857721839"</f>
        <v>9780857721839</v>
      </c>
      <c r="E4893" t="s">
        <v>31671</v>
      </c>
      <c r="F4893" t="s">
        <v>43144</v>
      </c>
      <c r="G4893" t="s">
        <v>22174</v>
      </c>
      <c r="H4893" t="s">
        <v>26011</v>
      </c>
      <c r="I4893" s="26">
        <v>41243</v>
      </c>
      <c r="J4893">
        <v>2012</v>
      </c>
      <c r="K4893" t="s">
        <v>43144</v>
      </c>
      <c r="L4893">
        <v>176</v>
      </c>
      <c r="M4893" t="s">
        <v>43145</v>
      </c>
      <c r="N4893">
        <v>1</v>
      </c>
      <c r="O4893" t="s">
        <v>43146</v>
      </c>
      <c r="Q4893" t="s">
        <v>43147</v>
      </c>
      <c r="R4893">
        <v>701.15</v>
      </c>
      <c r="S4893" t="s">
        <v>7556</v>
      </c>
      <c r="T4893" t="s">
        <v>30</v>
      </c>
      <c r="U4893" t="s">
        <v>27699</v>
      </c>
      <c r="W4893" t="s">
        <v>28347</v>
      </c>
    </row>
    <row r="4894" spans="1:23" x14ac:dyDescent="0.35">
      <c r="A4894">
        <v>1209368</v>
      </c>
      <c r="B4894" t="s">
        <v>43148</v>
      </c>
      <c r="C4894" t="str">
        <f>"9783110313017"</f>
        <v>9783110313017</v>
      </c>
      <c r="D4894" t="str">
        <f>"9783110311389"</f>
        <v>9783110311389</v>
      </c>
      <c r="E4894" t="s">
        <v>30630</v>
      </c>
      <c r="F4894" t="s">
        <v>7451</v>
      </c>
      <c r="G4894" t="s">
        <v>30631</v>
      </c>
      <c r="H4894" t="s">
        <v>30632</v>
      </c>
      <c r="I4894" s="26">
        <v>41534</v>
      </c>
      <c r="J4894">
        <v>2013</v>
      </c>
      <c r="K4894" t="s">
        <v>7451</v>
      </c>
      <c r="L4894">
        <v>432</v>
      </c>
      <c r="M4894" t="s">
        <v>43149</v>
      </c>
      <c r="N4894">
        <v>1</v>
      </c>
      <c r="O4894" t="s">
        <v>39169</v>
      </c>
      <c r="Q4894" t="s">
        <v>43150</v>
      </c>
      <c r="R4894">
        <v>616.86008349999997</v>
      </c>
      <c r="S4894" t="s">
        <v>43151</v>
      </c>
      <c r="T4894" t="s">
        <v>30</v>
      </c>
      <c r="U4894" t="s">
        <v>26116</v>
      </c>
      <c r="W4894" t="s">
        <v>26009</v>
      </c>
    </row>
    <row r="4895" spans="1:23" x14ac:dyDescent="0.35">
      <c r="A4895">
        <v>1211690</v>
      </c>
      <c r="B4895" t="s">
        <v>8983</v>
      </c>
      <c r="C4895" t="str">
        <f>"9781848729896"</f>
        <v>9781848729896</v>
      </c>
      <c r="D4895" t="str">
        <f>"9781136496158"</f>
        <v>9781136496158</v>
      </c>
      <c r="E4895" t="s">
        <v>26010</v>
      </c>
      <c r="F4895" t="s">
        <v>35</v>
      </c>
      <c r="G4895" t="s">
        <v>22174</v>
      </c>
      <c r="H4895" t="s">
        <v>26011</v>
      </c>
      <c r="I4895" s="26">
        <v>41422</v>
      </c>
      <c r="J4895">
        <v>2013</v>
      </c>
      <c r="K4895" t="s">
        <v>660</v>
      </c>
      <c r="L4895">
        <v>329</v>
      </c>
      <c r="M4895" t="s">
        <v>43152</v>
      </c>
      <c r="N4895">
        <v>1</v>
      </c>
      <c r="O4895" t="s">
        <v>26988</v>
      </c>
      <c r="Q4895" t="s">
        <v>43153</v>
      </c>
      <c r="R4895">
        <v>153.12</v>
      </c>
      <c r="S4895" t="s">
        <v>8984</v>
      </c>
      <c r="T4895" t="s">
        <v>30</v>
      </c>
      <c r="U4895" t="s">
        <v>46</v>
      </c>
      <c r="W4895" t="s">
        <v>26009</v>
      </c>
    </row>
    <row r="4896" spans="1:23" x14ac:dyDescent="0.35">
      <c r="A4896">
        <v>1211701</v>
      </c>
      <c r="B4896" t="s">
        <v>9340</v>
      </c>
      <c r="C4896" t="str">
        <f>"9780415631051"</f>
        <v>9780415631051</v>
      </c>
      <c r="D4896" t="str">
        <f>"9781136221477"</f>
        <v>9781136221477</v>
      </c>
      <c r="E4896" t="s">
        <v>26010</v>
      </c>
      <c r="F4896" t="s">
        <v>35</v>
      </c>
      <c r="G4896" t="s">
        <v>22174</v>
      </c>
      <c r="H4896" t="s">
        <v>26011</v>
      </c>
      <c r="I4896" s="26">
        <v>41288</v>
      </c>
      <c r="J4896">
        <v>2013</v>
      </c>
      <c r="K4896" t="s">
        <v>26012</v>
      </c>
      <c r="L4896">
        <v>134</v>
      </c>
      <c r="M4896" t="s">
        <v>43154</v>
      </c>
      <c r="N4896">
        <v>1</v>
      </c>
      <c r="O4896" t="s">
        <v>36110</v>
      </c>
      <c r="Q4896" t="s">
        <v>43155</v>
      </c>
      <c r="R4896">
        <v>302.17</v>
      </c>
      <c r="S4896" t="s">
        <v>43156</v>
      </c>
      <c r="T4896" t="s">
        <v>30</v>
      </c>
      <c r="U4896" t="s">
        <v>26044</v>
      </c>
      <c r="W4896" t="s">
        <v>26009</v>
      </c>
    </row>
    <row r="4897" spans="1:23" x14ac:dyDescent="0.35">
      <c r="A4897">
        <v>1211702</v>
      </c>
      <c r="B4897" t="s">
        <v>8514</v>
      </c>
      <c r="C4897" t="str">
        <f>"9780415635998"</f>
        <v>9780415635998</v>
      </c>
      <c r="D4897" t="str">
        <f>"9781136200182"</f>
        <v>9781136200182</v>
      </c>
      <c r="E4897" t="s">
        <v>26010</v>
      </c>
      <c r="F4897" t="s">
        <v>35</v>
      </c>
      <c r="G4897" t="s">
        <v>22174</v>
      </c>
      <c r="H4897" t="s">
        <v>26011</v>
      </c>
      <c r="I4897" s="26">
        <v>41430</v>
      </c>
      <c r="J4897">
        <v>2013</v>
      </c>
      <c r="K4897" t="s">
        <v>26012</v>
      </c>
      <c r="L4897">
        <v>193</v>
      </c>
      <c r="M4897" t="s">
        <v>43157</v>
      </c>
      <c r="N4897">
        <v>1</v>
      </c>
      <c r="O4897" t="s">
        <v>27157</v>
      </c>
      <c r="Q4897" t="s">
        <v>43158</v>
      </c>
      <c r="R4897">
        <v>155.30000000000001</v>
      </c>
      <c r="S4897" t="s">
        <v>8504</v>
      </c>
      <c r="T4897" t="s">
        <v>30</v>
      </c>
      <c r="U4897" t="s">
        <v>46</v>
      </c>
      <c r="W4897" t="s">
        <v>26009</v>
      </c>
    </row>
    <row r="4898" spans="1:23" x14ac:dyDescent="0.35">
      <c r="A4898">
        <v>1211703</v>
      </c>
      <c r="B4898" t="s">
        <v>43159</v>
      </c>
      <c r="C4898" t="str">
        <f>"9780415631198"</f>
        <v>9780415631198</v>
      </c>
      <c r="D4898" t="str">
        <f>"9781136220814"</f>
        <v>9781136220814</v>
      </c>
      <c r="E4898" t="s">
        <v>26010</v>
      </c>
      <c r="F4898" t="s">
        <v>35</v>
      </c>
      <c r="G4898" t="s">
        <v>22174</v>
      </c>
      <c r="H4898" t="s">
        <v>26011</v>
      </c>
      <c r="I4898" s="26">
        <v>41214</v>
      </c>
      <c r="J4898">
        <v>2012</v>
      </c>
      <c r="K4898" t="s">
        <v>26012</v>
      </c>
      <c r="L4898">
        <v>409</v>
      </c>
      <c r="M4898" t="s">
        <v>43160</v>
      </c>
      <c r="N4898">
        <v>1</v>
      </c>
      <c r="Q4898" t="s">
        <v>43161</v>
      </c>
      <c r="R4898" t="s">
        <v>43162</v>
      </c>
      <c r="S4898" t="s">
        <v>43163</v>
      </c>
      <c r="T4898" t="s">
        <v>30</v>
      </c>
      <c r="U4898" t="s">
        <v>366</v>
      </c>
      <c r="W4898" t="s">
        <v>26009</v>
      </c>
    </row>
    <row r="4899" spans="1:23" x14ac:dyDescent="0.35">
      <c r="A4899">
        <v>1211734</v>
      </c>
      <c r="B4899" t="s">
        <v>7591</v>
      </c>
      <c r="C4899" t="str">
        <f>"9780415505307"</f>
        <v>9780415505307</v>
      </c>
      <c r="D4899" t="str">
        <f>"9781135934972"</f>
        <v>9781135934972</v>
      </c>
      <c r="E4899" t="s">
        <v>26010</v>
      </c>
      <c r="F4899" t="s">
        <v>35</v>
      </c>
      <c r="G4899" t="s">
        <v>22174</v>
      </c>
      <c r="H4899" t="s">
        <v>26011</v>
      </c>
      <c r="I4899" s="26">
        <v>41449</v>
      </c>
      <c r="J4899">
        <v>2013</v>
      </c>
      <c r="K4899" t="s">
        <v>26012</v>
      </c>
      <c r="L4899">
        <v>288</v>
      </c>
      <c r="M4899" t="s">
        <v>43164</v>
      </c>
      <c r="N4899">
        <v>1</v>
      </c>
      <c r="O4899" t="s">
        <v>43165</v>
      </c>
      <c r="Q4899" t="s">
        <v>43166</v>
      </c>
      <c r="R4899">
        <v>796.09220000000005</v>
      </c>
      <c r="S4899" t="s">
        <v>7592</v>
      </c>
      <c r="T4899" t="s">
        <v>30</v>
      </c>
      <c r="U4899" t="s">
        <v>26008</v>
      </c>
      <c r="W4899" t="s">
        <v>26009</v>
      </c>
    </row>
    <row r="4900" spans="1:23" x14ac:dyDescent="0.35">
      <c r="A4900">
        <v>1211863</v>
      </c>
      <c r="B4900" t="s">
        <v>7953</v>
      </c>
      <c r="C4900" t="str">
        <f>"9781855757905"</f>
        <v>9781855757905</v>
      </c>
      <c r="D4900" t="str">
        <f>"9780429912184"</f>
        <v>9780429912184</v>
      </c>
      <c r="E4900" t="s">
        <v>26010</v>
      </c>
      <c r="F4900" t="s">
        <v>35</v>
      </c>
      <c r="G4900" t="s">
        <v>22174</v>
      </c>
      <c r="H4900" t="s">
        <v>26011</v>
      </c>
      <c r="I4900" s="26">
        <v>41466</v>
      </c>
      <c r="J4900">
        <v>2013</v>
      </c>
      <c r="K4900" t="s">
        <v>26012</v>
      </c>
      <c r="L4900">
        <v>241</v>
      </c>
      <c r="M4900" t="s">
        <v>43167</v>
      </c>
      <c r="N4900">
        <v>1</v>
      </c>
      <c r="O4900" t="s">
        <v>36500</v>
      </c>
      <c r="Q4900" t="s">
        <v>43168</v>
      </c>
      <c r="R4900">
        <v>616.89170000000001</v>
      </c>
      <c r="S4900" t="s">
        <v>37122</v>
      </c>
      <c r="T4900" t="s">
        <v>30</v>
      </c>
      <c r="U4900" t="s">
        <v>26116</v>
      </c>
      <c r="W4900" t="s">
        <v>26009</v>
      </c>
    </row>
    <row r="4901" spans="1:23" x14ac:dyDescent="0.35">
      <c r="A4901">
        <v>1211865</v>
      </c>
      <c r="B4901" t="s">
        <v>43169</v>
      </c>
      <c r="C4901" t="str">
        <f>"9781782200383"</f>
        <v>9781782200383</v>
      </c>
      <c r="D4901" t="str">
        <f>"9781782411420"</f>
        <v>9781782411420</v>
      </c>
      <c r="E4901" t="s">
        <v>26010</v>
      </c>
      <c r="F4901" t="s">
        <v>35</v>
      </c>
      <c r="G4901" t="s">
        <v>22174</v>
      </c>
      <c r="H4901" t="s">
        <v>26011</v>
      </c>
      <c r="I4901" s="26">
        <v>41426</v>
      </c>
      <c r="J4901">
        <v>2013</v>
      </c>
      <c r="K4901" t="s">
        <v>26012</v>
      </c>
      <c r="L4901">
        <v>215</v>
      </c>
      <c r="M4901" t="s">
        <v>36559</v>
      </c>
      <c r="N4901">
        <v>1</v>
      </c>
      <c r="Q4901" t="s">
        <v>43170</v>
      </c>
      <c r="R4901" t="s">
        <v>27122</v>
      </c>
      <c r="S4901" t="s">
        <v>43171</v>
      </c>
      <c r="T4901" t="s">
        <v>30</v>
      </c>
      <c r="U4901" t="s">
        <v>26116</v>
      </c>
      <c r="W4901" t="s">
        <v>26009</v>
      </c>
    </row>
    <row r="4902" spans="1:23" x14ac:dyDescent="0.35">
      <c r="A4902">
        <v>1211866</v>
      </c>
      <c r="B4902" t="s">
        <v>43172</v>
      </c>
      <c r="C4902" t="str">
        <f>"9781782200567"</f>
        <v>9781782200567</v>
      </c>
      <c r="D4902" t="str">
        <f>"9781782411550"</f>
        <v>9781782411550</v>
      </c>
      <c r="E4902" t="s">
        <v>26010</v>
      </c>
      <c r="F4902" t="s">
        <v>35</v>
      </c>
      <c r="G4902" t="s">
        <v>22174</v>
      </c>
      <c r="H4902" t="s">
        <v>26011</v>
      </c>
      <c r="I4902" s="26">
        <v>41426</v>
      </c>
      <c r="J4902">
        <v>2013</v>
      </c>
      <c r="K4902" t="s">
        <v>26012</v>
      </c>
      <c r="L4902">
        <v>353</v>
      </c>
      <c r="M4902" t="s">
        <v>43173</v>
      </c>
      <c r="N4902">
        <v>1</v>
      </c>
      <c r="O4902" t="s">
        <v>36633</v>
      </c>
      <c r="Q4902" t="s">
        <v>43174</v>
      </c>
      <c r="R4902">
        <v>616.89170000000001</v>
      </c>
      <c r="S4902" t="s">
        <v>7514</v>
      </c>
      <c r="T4902" t="s">
        <v>30</v>
      </c>
      <c r="U4902" t="s">
        <v>26019</v>
      </c>
      <c r="W4902" t="s">
        <v>26009</v>
      </c>
    </row>
    <row r="4903" spans="1:23" x14ac:dyDescent="0.35">
      <c r="A4903">
        <v>1213982</v>
      </c>
      <c r="B4903" t="s">
        <v>8826</v>
      </c>
      <c r="C4903" t="str">
        <f>"9781853029660"</f>
        <v>9781853029660</v>
      </c>
      <c r="D4903" t="str">
        <f>"9781846421976"</f>
        <v>9781846421976</v>
      </c>
      <c r="E4903" t="s">
        <v>146</v>
      </c>
      <c r="F4903" t="s">
        <v>146</v>
      </c>
      <c r="G4903" t="s">
        <v>22174</v>
      </c>
      <c r="H4903" t="s">
        <v>26011</v>
      </c>
      <c r="I4903" s="26">
        <v>36980</v>
      </c>
      <c r="J4903">
        <v>2001</v>
      </c>
      <c r="K4903" t="s">
        <v>146</v>
      </c>
      <c r="L4903">
        <v>220</v>
      </c>
      <c r="M4903" t="s">
        <v>43175</v>
      </c>
      <c r="N4903">
        <v>1</v>
      </c>
      <c r="R4903">
        <v>361.00682999999998</v>
      </c>
      <c r="T4903" t="s">
        <v>30</v>
      </c>
      <c r="U4903" t="s">
        <v>26044</v>
      </c>
      <c r="W4903" t="s">
        <v>28347</v>
      </c>
    </row>
    <row r="4904" spans="1:23" x14ac:dyDescent="0.35">
      <c r="A4904">
        <v>1214577</v>
      </c>
      <c r="B4904" t="s">
        <v>43176</v>
      </c>
      <c r="C4904" t="str">
        <f>"9780739148747"</f>
        <v>9780739148747</v>
      </c>
      <c r="D4904" t="str">
        <f>"9781461634645"</f>
        <v>9781461634645</v>
      </c>
      <c r="E4904" t="s">
        <v>33803</v>
      </c>
      <c r="F4904" t="s">
        <v>8174</v>
      </c>
      <c r="G4904" t="s">
        <v>34328</v>
      </c>
      <c r="H4904" t="s">
        <v>26004</v>
      </c>
      <c r="I4904" s="26">
        <v>40522</v>
      </c>
      <c r="J4904">
        <v>2010</v>
      </c>
      <c r="K4904" t="s">
        <v>8174</v>
      </c>
      <c r="L4904">
        <v>190</v>
      </c>
      <c r="M4904" t="s">
        <v>43177</v>
      </c>
      <c r="N4904">
        <v>1</v>
      </c>
      <c r="Q4904" t="s">
        <v>43178</v>
      </c>
      <c r="R4904" t="s">
        <v>32009</v>
      </c>
      <c r="S4904" t="s">
        <v>10178</v>
      </c>
      <c r="T4904" t="s">
        <v>30</v>
      </c>
      <c r="U4904" t="s">
        <v>46</v>
      </c>
      <c r="W4904" t="s">
        <v>26009</v>
      </c>
    </row>
    <row r="4905" spans="1:23" x14ac:dyDescent="0.35">
      <c r="A4905">
        <v>1215396</v>
      </c>
      <c r="B4905" t="s">
        <v>43179</v>
      </c>
      <c r="C4905" t="str">
        <f>"9781462510450"</f>
        <v>9781462510450</v>
      </c>
      <c r="D4905" t="str">
        <f>"9781462511112"</f>
        <v>9781462511112</v>
      </c>
      <c r="E4905" t="s">
        <v>30112</v>
      </c>
      <c r="F4905" t="s">
        <v>7420</v>
      </c>
      <c r="G4905" t="s">
        <v>22179</v>
      </c>
      <c r="H4905" t="s">
        <v>26004</v>
      </c>
      <c r="I4905" s="26">
        <v>41479</v>
      </c>
      <c r="J4905">
        <v>2013</v>
      </c>
      <c r="K4905" t="s">
        <v>30113</v>
      </c>
      <c r="L4905">
        <v>306</v>
      </c>
      <c r="M4905" t="s">
        <v>43180</v>
      </c>
      <c r="N4905">
        <v>2</v>
      </c>
      <c r="Q4905" t="s">
        <v>43181</v>
      </c>
      <c r="R4905">
        <v>613.80999999999995</v>
      </c>
      <c r="S4905" t="s">
        <v>43182</v>
      </c>
      <c r="T4905" t="s">
        <v>30</v>
      </c>
      <c r="U4905" t="s">
        <v>26250</v>
      </c>
      <c r="W4905" t="s">
        <v>28347</v>
      </c>
    </row>
    <row r="4906" spans="1:23" x14ac:dyDescent="0.35">
      <c r="A4906">
        <v>1215614</v>
      </c>
      <c r="B4906" t="s">
        <v>43183</v>
      </c>
      <c r="C4906" t="str">
        <f>"9783110328059"</f>
        <v>9783110328059</v>
      </c>
      <c r="D4906" t="str">
        <f>"9783110328424"</f>
        <v>9783110328424</v>
      </c>
      <c r="E4906" t="s">
        <v>30630</v>
      </c>
      <c r="F4906" t="s">
        <v>7451</v>
      </c>
      <c r="G4906" t="s">
        <v>30631</v>
      </c>
      <c r="H4906" t="s">
        <v>30632</v>
      </c>
      <c r="I4906" s="26">
        <v>39522</v>
      </c>
      <c r="J4906">
        <v>2008</v>
      </c>
      <c r="K4906" t="s">
        <v>7451</v>
      </c>
      <c r="L4906">
        <v>310</v>
      </c>
      <c r="M4906" t="s">
        <v>43184</v>
      </c>
      <c r="N4906">
        <v>1</v>
      </c>
      <c r="O4906" t="s">
        <v>43059</v>
      </c>
      <c r="P4906">
        <v>17</v>
      </c>
      <c r="Q4906" t="s">
        <v>43185</v>
      </c>
      <c r="R4906">
        <v>155.28399999999999</v>
      </c>
      <c r="S4906" t="s">
        <v>43186</v>
      </c>
      <c r="T4906" t="s">
        <v>30</v>
      </c>
      <c r="U4906" t="s">
        <v>46</v>
      </c>
      <c r="W4906" t="s">
        <v>26009</v>
      </c>
    </row>
    <row r="4907" spans="1:23" x14ac:dyDescent="0.35">
      <c r="A4907">
        <v>1215866</v>
      </c>
      <c r="B4907" t="s">
        <v>9287</v>
      </c>
      <c r="C4907" t="str">
        <f>"9781855757547"</f>
        <v>9781855757547</v>
      </c>
      <c r="D4907" t="str">
        <f>"9781782411727"</f>
        <v>9781782411727</v>
      </c>
      <c r="E4907" t="s">
        <v>26010</v>
      </c>
      <c r="F4907" t="s">
        <v>35</v>
      </c>
      <c r="G4907" t="s">
        <v>22174</v>
      </c>
      <c r="H4907" t="s">
        <v>26011</v>
      </c>
      <c r="I4907" s="26">
        <v>41455</v>
      </c>
      <c r="J4907">
        <v>2013</v>
      </c>
      <c r="K4907" t="s">
        <v>26012</v>
      </c>
      <c r="L4907">
        <v>219</v>
      </c>
      <c r="M4907" t="s">
        <v>43187</v>
      </c>
      <c r="N4907">
        <v>1</v>
      </c>
      <c r="O4907" t="s">
        <v>36658</v>
      </c>
      <c r="Q4907" t="s">
        <v>43188</v>
      </c>
      <c r="R4907">
        <v>154.30000000000001</v>
      </c>
      <c r="S4907" t="s">
        <v>43189</v>
      </c>
      <c r="T4907" t="s">
        <v>30</v>
      </c>
      <c r="U4907" t="s">
        <v>46</v>
      </c>
      <c r="W4907" t="s">
        <v>26009</v>
      </c>
    </row>
    <row r="4908" spans="1:23" x14ac:dyDescent="0.35">
      <c r="A4908">
        <v>1215867</v>
      </c>
      <c r="B4908" t="s">
        <v>9293</v>
      </c>
      <c r="C4908" t="str">
        <f>"9781782200864"</f>
        <v>9781782200864</v>
      </c>
      <c r="D4908" t="str">
        <f>"9781782411734"</f>
        <v>9781782411734</v>
      </c>
      <c r="E4908" t="s">
        <v>26010</v>
      </c>
      <c r="F4908" t="s">
        <v>35</v>
      </c>
      <c r="G4908" t="s">
        <v>22174</v>
      </c>
      <c r="H4908" t="s">
        <v>26011</v>
      </c>
      <c r="I4908" s="26">
        <v>41455</v>
      </c>
      <c r="J4908">
        <v>2013</v>
      </c>
      <c r="K4908" t="s">
        <v>26012</v>
      </c>
      <c r="L4908">
        <v>203</v>
      </c>
      <c r="M4908" t="s">
        <v>43190</v>
      </c>
      <c r="N4908">
        <v>1</v>
      </c>
      <c r="O4908" t="s">
        <v>39871</v>
      </c>
      <c r="Q4908" t="s">
        <v>43191</v>
      </c>
      <c r="R4908">
        <v>616.89170000000001</v>
      </c>
      <c r="S4908" t="s">
        <v>43192</v>
      </c>
      <c r="T4908" t="s">
        <v>30</v>
      </c>
      <c r="U4908" t="s">
        <v>26116</v>
      </c>
      <c r="W4908" t="s">
        <v>26009</v>
      </c>
    </row>
    <row r="4909" spans="1:23" x14ac:dyDescent="0.35">
      <c r="A4909">
        <v>1216283</v>
      </c>
      <c r="B4909" t="s">
        <v>43193</v>
      </c>
      <c r="C4909" t="str">
        <f>"9780765708328"</f>
        <v>9780765708328</v>
      </c>
      <c r="D4909" t="str">
        <f>"9780765708342"</f>
        <v>9780765708342</v>
      </c>
      <c r="E4909" t="s">
        <v>33803</v>
      </c>
      <c r="F4909" t="s">
        <v>38</v>
      </c>
      <c r="G4909" t="s">
        <v>33804</v>
      </c>
      <c r="H4909" t="s">
        <v>26004</v>
      </c>
      <c r="I4909" s="26">
        <v>40872</v>
      </c>
      <c r="J4909">
        <v>2011</v>
      </c>
      <c r="K4909" t="s">
        <v>33811</v>
      </c>
      <c r="L4909">
        <v>148</v>
      </c>
      <c r="M4909" t="s">
        <v>43194</v>
      </c>
      <c r="N4909">
        <v>1</v>
      </c>
      <c r="O4909" t="s">
        <v>34134</v>
      </c>
      <c r="Q4909" t="s">
        <v>43195</v>
      </c>
      <c r="R4909" t="s">
        <v>37667</v>
      </c>
      <c r="S4909" t="s">
        <v>43196</v>
      </c>
      <c r="T4909" t="s">
        <v>30</v>
      </c>
      <c r="U4909" t="s">
        <v>29259</v>
      </c>
      <c r="W4909" t="s">
        <v>26009</v>
      </c>
    </row>
    <row r="4910" spans="1:23" x14ac:dyDescent="0.35">
      <c r="A4910">
        <v>1218688</v>
      </c>
      <c r="B4910" t="s">
        <v>43197</v>
      </c>
      <c r="C4910" t="str">
        <f>"9781620700051"</f>
        <v>9781620700051</v>
      </c>
      <c r="D4910" t="str">
        <f>"9781617051678"</f>
        <v>9781617051678</v>
      </c>
      <c r="E4910" t="s">
        <v>1504</v>
      </c>
      <c r="F4910" t="s">
        <v>33</v>
      </c>
      <c r="G4910" t="s">
        <v>22179</v>
      </c>
      <c r="H4910" t="s">
        <v>26004</v>
      </c>
      <c r="I4910" s="26">
        <v>41412</v>
      </c>
      <c r="J4910">
        <v>2013</v>
      </c>
      <c r="K4910" t="s">
        <v>9010</v>
      </c>
      <c r="L4910">
        <v>365</v>
      </c>
      <c r="M4910" t="s">
        <v>43198</v>
      </c>
      <c r="N4910">
        <v>1</v>
      </c>
      <c r="Q4910" t="s">
        <v>43199</v>
      </c>
      <c r="R4910">
        <v>616.99464999999998</v>
      </c>
      <c r="S4910" t="s">
        <v>43200</v>
      </c>
      <c r="T4910" t="s">
        <v>30</v>
      </c>
      <c r="U4910" t="s">
        <v>26040</v>
      </c>
      <c r="W4910" t="s">
        <v>26009</v>
      </c>
    </row>
    <row r="4911" spans="1:23" x14ac:dyDescent="0.35">
      <c r="A4911">
        <v>1220004</v>
      </c>
      <c r="B4911" t="s">
        <v>43201</v>
      </c>
      <c r="C4911" t="str">
        <f>"9780195382235"</f>
        <v>9780195382235</v>
      </c>
      <c r="D4911" t="str">
        <f>"9780199700301"</f>
        <v>9780199700301</v>
      </c>
      <c r="E4911" t="s">
        <v>371</v>
      </c>
      <c r="F4911" t="s">
        <v>31</v>
      </c>
      <c r="G4911" t="s">
        <v>22703</v>
      </c>
      <c r="H4911" t="s">
        <v>26004</v>
      </c>
      <c r="I4911" s="26">
        <v>41390</v>
      </c>
      <c r="J4911">
        <v>2013</v>
      </c>
      <c r="K4911" t="s">
        <v>31</v>
      </c>
      <c r="L4911">
        <v>466</v>
      </c>
      <c r="M4911" t="s">
        <v>43202</v>
      </c>
      <c r="N4911">
        <v>1</v>
      </c>
      <c r="Q4911" t="s">
        <v>43203</v>
      </c>
      <c r="R4911">
        <v>616.89</v>
      </c>
      <c r="S4911" t="s">
        <v>43204</v>
      </c>
      <c r="T4911" t="s">
        <v>30</v>
      </c>
      <c r="U4911" t="s">
        <v>26019</v>
      </c>
      <c r="W4911" t="s">
        <v>26009</v>
      </c>
    </row>
    <row r="4912" spans="1:23" x14ac:dyDescent="0.35">
      <c r="A4912">
        <v>1220005</v>
      </c>
      <c r="B4912" t="s">
        <v>43205</v>
      </c>
      <c r="C4912" t="str">
        <f>"9780199734542"</f>
        <v>9780199734542</v>
      </c>
      <c r="D4912" t="str">
        <f>"9780199753321"</f>
        <v>9780199753321</v>
      </c>
      <c r="E4912" t="s">
        <v>371</v>
      </c>
      <c r="F4912" t="s">
        <v>31</v>
      </c>
      <c r="G4912" t="s">
        <v>22703</v>
      </c>
      <c r="H4912" t="s">
        <v>26004</v>
      </c>
      <c r="I4912" s="26">
        <v>41486</v>
      </c>
      <c r="J4912">
        <v>2013</v>
      </c>
      <c r="K4912" t="s">
        <v>31</v>
      </c>
      <c r="L4912">
        <v>257</v>
      </c>
      <c r="M4912" t="s">
        <v>43206</v>
      </c>
      <c r="Q4912" t="s">
        <v>43207</v>
      </c>
      <c r="R4912">
        <v>152.4</v>
      </c>
      <c r="S4912" t="s">
        <v>43208</v>
      </c>
      <c r="T4912" t="s">
        <v>30</v>
      </c>
      <c r="U4912" t="s">
        <v>46</v>
      </c>
      <c r="W4912" t="s">
        <v>26009</v>
      </c>
    </row>
    <row r="4913" spans="1:23" x14ac:dyDescent="0.35">
      <c r="A4913">
        <v>1220009</v>
      </c>
      <c r="B4913" t="s">
        <v>43209</v>
      </c>
      <c r="C4913" t="str">
        <f>"9780199781843"</f>
        <v>9780199781843</v>
      </c>
      <c r="D4913" t="str">
        <f>"9780199781935"</f>
        <v>9780199781935</v>
      </c>
      <c r="E4913" t="s">
        <v>371</v>
      </c>
      <c r="F4913" t="s">
        <v>31</v>
      </c>
      <c r="G4913" t="s">
        <v>22703</v>
      </c>
      <c r="H4913" t="s">
        <v>26004</v>
      </c>
      <c r="I4913" s="26">
        <v>41481</v>
      </c>
      <c r="J4913">
        <v>2013</v>
      </c>
      <c r="K4913" t="s">
        <v>31</v>
      </c>
      <c r="L4913">
        <v>320</v>
      </c>
      <c r="M4913" t="s">
        <v>43210</v>
      </c>
      <c r="Q4913" t="s">
        <v>43211</v>
      </c>
      <c r="R4913">
        <v>153</v>
      </c>
      <c r="S4913" t="s">
        <v>8493</v>
      </c>
      <c r="T4913" t="s">
        <v>30</v>
      </c>
      <c r="U4913" t="s">
        <v>46</v>
      </c>
      <c r="W4913" t="s">
        <v>26009</v>
      </c>
    </row>
    <row r="4914" spans="1:23" x14ac:dyDescent="0.35">
      <c r="A4914">
        <v>1220015</v>
      </c>
      <c r="B4914" t="s">
        <v>8519</v>
      </c>
      <c r="C4914" t="str">
        <f>"9780199976591"</f>
        <v>9780199976591</v>
      </c>
      <c r="D4914" t="str">
        <f>"9780199976607"</f>
        <v>9780199976607</v>
      </c>
      <c r="E4914" t="s">
        <v>371</v>
      </c>
      <c r="F4914" t="s">
        <v>31</v>
      </c>
      <c r="G4914" t="s">
        <v>22703</v>
      </c>
      <c r="H4914" t="s">
        <v>26004</v>
      </c>
      <c r="I4914" s="26">
        <v>41439</v>
      </c>
      <c r="J4914">
        <v>2013</v>
      </c>
      <c r="K4914" t="s">
        <v>31</v>
      </c>
      <c r="L4914">
        <v>236</v>
      </c>
      <c r="M4914" t="s">
        <v>43212</v>
      </c>
      <c r="Q4914" t="s">
        <v>43213</v>
      </c>
      <c r="R4914">
        <v>153.97999999999999</v>
      </c>
      <c r="S4914" t="s">
        <v>43214</v>
      </c>
      <c r="T4914" t="s">
        <v>30</v>
      </c>
      <c r="U4914" t="s">
        <v>46</v>
      </c>
      <c r="W4914" t="s">
        <v>26009</v>
      </c>
    </row>
    <row r="4915" spans="1:23" x14ac:dyDescent="0.35">
      <c r="A4915">
        <v>1221407</v>
      </c>
      <c r="B4915" t="s">
        <v>8942</v>
      </c>
      <c r="C4915" t="str">
        <f>"9780816684595"</f>
        <v>9780816684595</v>
      </c>
      <c r="D4915" t="str">
        <f>"9780816684946"</f>
        <v>9780816684946</v>
      </c>
      <c r="E4915" t="s">
        <v>7471</v>
      </c>
      <c r="F4915" t="s">
        <v>7471</v>
      </c>
      <c r="G4915" t="s">
        <v>23536</v>
      </c>
      <c r="H4915" t="s">
        <v>26004</v>
      </c>
      <c r="I4915" s="26">
        <v>41384</v>
      </c>
      <c r="J4915">
        <v>2013</v>
      </c>
      <c r="K4915" t="s">
        <v>7471</v>
      </c>
      <c r="L4915">
        <v>276</v>
      </c>
      <c r="M4915" t="s">
        <v>43215</v>
      </c>
      <c r="N4915">
        <v>1</v>
      </c>
      <c r="Q4915" t="s">
        <v>43216</v>
      </c>
      <c r="R4915">
        <v>152.4</v>
      </c>
      <c r="S4915" t="s">
        <v>43217</v>
      </c>
      <c r="T4915" t="s">
        <v>30</v>
      </c>
      <c r="U4915" t="s">
        <v>46</v>
      </c>
      <c r="W4915" t="s">
        <v>43218</v>
      </c>
    </row>
    <row r="4916" spans="1:23" x14ac:dyDescent="0.35">
      <c r="A4916">
        <v>1221458</v>
      </c>
      <c r="B4916" t="s">
        <v>9231</v>
      </c>
      <c r="C4916" t="str">
        <f>"9781848721005"</f>
        <v>9781848721005</v>
      </c>
      <c r="D4916" t="str">
        <f>"9781135090180"</f>
        <v>9781135090180</v>
      </c>
      <c r="E4916" t="s">
        <v>26010</v>
      </c>
      <c r="F4916" t="s">
        <v>35</v>
      </c>
      <c r="G4916" t="s">
        <v>22174</v>
      </c>
      <c r="H4916" t="s">
        <v>26011</v>
      </c>
      <c r="I4916" s="26">
        <v>41500</v>
      </c>
      <c r="J4916">
        <v>2013</v>
      </c>
      <c r="K4916" t="s">
        <v>660</v>
      </c>
      <c r="L4916">
        <v>248</v>
      </c>
      <c r="M4916" t="s">
        <v>43219</v>
      </c>
      <c r="N4916">
        <v>1</v>
      </c>
      <c r="O4916" t="s">
        <v>40471</v>
      </c>
      <c r="Q4916" t="s">
        <v>43220</v>
      </c>
      <c r="R4916">
        <v>612.79999999999995</v>
      </c>
      <c r="S4916" t="s">
        <v>9232</v>
      </c>
      <c r="T4916" t="s">
        <v>30</v>
      </c>
      <c r="U4916" t="s">
        <v>28876</v>
      </c>
      <c r="W4916" t="s">
        <v>26009</v>
      </c>
    </row>
    <row r="4917" spans="1:23" x14ac:dyDescent="0.35">
      <c r="A4917">
        <v>1221467</v>
      </c>
      <c r="B4917" t="s">
        <v>8638</v>
      </c>
      <c r="C4917" t="str">
        <f>"9781848729421"</f>
        <v>9781848729421</v>
      </c>
      <c r="D4917" t="str">
        <f>"9781134055791"</f>
        <v>9781134055791</v>
      </c>
      <c r="E4917" t="s">
        <v>26010</v>
      </c>
      <c r="F4917" t="s">
        <v>35</v>
      </c>
      <c r="G4917" t="s">
        <v>22174</v>
      </c>
      <c r="H4917" t="s">
        <v>26011</v>
      </c>
      <c r="I4917" s="26">
        <v>41437</v>
      </c>
      <c r="J4917">
        <v>2013</v>
      </c>
      <c r="K4917" t="s">
        <v>26012</v>
      </c>
      <c r="L4917">
        <v>952</v>
      </c>
      <c r="M4917" t="s">
        <v>43221</v>
      </c>
      <c r="N4917">
        <v>1</v>
      </c>
      <c r="O4917" t="s">
        <v>33986</v>
      </c>
      <c r="Q4917" t="s">
        <v>43222</v>
      </c>
      <c r="R4917">
        <v>155.19999999999999</v>
      </c>
      <c r="S4917" t="s">
        <v>43223</v>
      </c>
      <c r="T4917" t="s">
        <v>30</v>
      </c>
      <c r="U4917" t="s">
        <v>46</v>
      </c>
      <c r="W4917" t="s">
        <v>26009</v>
      </c>
    </row>
    <row r="4918" spans="1:23" x14ac:dyDescent="0.35">
      <c r="A4918">
        <v>1221470</v>
      </c>
      <c r="B4918" t="s">
        <v>43224</v>
      </c>
      <c r="C4918" t="str">
        <f>"9780415579520"</f>
        <v>9780415579520</v>
      </c>
      <c r="D4918" t="str">
        <f>"9781134054954"</f>
        <v>9781134054954</v>
      </c>
      <c r="E4918" t="s">
        <v>26010</v>
      </c>
      <c r="F4918" t="s">
        <v>35</v>
      </c>
      <c r="G4918" t="s">
        <v>22174</v>
      </c>
      <c r="H4918" t="s">
        <v>26011</v>
      </c>
      <c r="I4918" s="26">
        <v>41424</v>
      </c>
      <c r="J4918">
        <v>2013</v>
      </c>
      <c r="K4918" t="s">
        <v>26012</v>
      </c>
      <c r="L4918">
        <v>449</v>
      </c>
      <c r="M4918" t="s">
        <v>43225</v>
      </c>
      <c r="N4918">
        <v>2</v>
      </c>
      <c r="O4918" t="s">
        <v>40336</v>
      </c>
      <c r="Q4918" t="s">
        <v>43226</v>
      </c>
      <c r="R4918">
        <v>616.89800000000002</v>
      </c>
      <c r="S4918" t="s">
        <v>9153</v>
      </c>
      <c r="T4918" t="s">
        <v>30</v>
      </c>
      <c r="U4918" t="s">
        <v>26116</v>
      </c>
      <c r="W4918" t="s">
        <v>26009</v>
      </c>
    </row>
    <row r="4919" spans="1:23" x14ac:dyDescent="0.35">
      <c r="A4919">
        <v>1221478</v>
      </c>
      <c r="B4919" t="s">
        <v>43227</v>
      </c>
      <c r="C4919" t="str">
        <f>"9780415837187"</f>
        <v>9780415837187</v>
      </c>
      <c r="D4919" t="str">
        <f>"9781135043339"</f>
        <v>9781135043339</v>
      </c>
      <c r="E4919" t="s">
        <v>26010</v>
      </c>
      <c r="F4919" t="s">
        <v>35</v>
      </c>
      <c r="G4919" t="s">
        <v>26337</v>
      </c>
      <c r="H4919" t="s">
        <v>26011</v>
      </c>
      <c r="I4919" s="26">
        <v>41425</v>
      </c>
      <c r="J4919">
        <v>1986</v>
      </c>
      <c r="K4919" t="s">
        <v>26012</v>
      </c>
      <c r="L4919">
        <v>333</v>
      </c>
      <c r="M4919" t="s">
        <v>43228</v>
      </c>
      <c r="N4919">
        <v>1</v>
      </c>
      <c r="O4919" t="s">
        <v>43229</v>
      </c>
      <c r="Q4919" t="s">
        <v>43230</v>
      </c>
      <c r="R4919">
        <v>302.23450830000002</v>
      </c>
      <c r="S4919" t="s">
        <v>43231</v>
      </c>
      <c r="T4919" t="s">
        <v>30</v>
      </c>
      <c r="U4919" t="s">
        <v>26044</v>
      </c>
      <c r="W4919" t="s">
        <v>26009</v>
      </c>
    </row>
    <row r="4920" spans="1:23" x14ac:dyDescent="0.35">
      <c r="A4920">
        <v>1221483</v>
      </c>
      <c r="B4920" t="s">
        <v>43232</v>
      </c>
      <c r="C4920" t="str">
        <f>"9780415633666"</f>
        <v>9780415633666</v>
      </c>
      <c r="D4920" t="str">
        <f>"9781134620760"</f>
        <v>9781134620760</v>
      </c>
      <c r="E4920" t="s">
        <v>26010</v>
      </c>
      <c r="F4920" t="s">
        <v>35</v>
      </c>
      <c r="G4920" t="s">
        <v>22174</v>
      </c>
      <c r="H4920" t="s">
        <v>26011</v>
      </c>
      <c r="I4920" s="26">
        <v>41397</v>
      </c>
      <c r="J4920">
        <v>2013</v>
      </c>
      <c r="K4920" t="s">
        <v>26012</v>
      </c>
      <c r="L4920">
        <v>193</v>
      </c>
      <c r="M4920" t="s">
        <v>43233</v>
      </c>
      <c r="N4920">
        <v>2</v>
      </c>
      <c r="Q4920" t="s">
        <v>43234</v>
      </c>
      <c r="R4920">
        <v>616.85262</v>
      </c>
      <c r="S4920" t="s">
        <v>7530</v>
      </c>
      <c r="T4920" t="s">
        <v>30</v>
      </c>
      <c r="U4920" t="s">
        <v>26116</v>
      </c>
      <c r="W4920" t="s">
        <v>26009</v>
      </c>
    </row>
    <row r="4921" spans="1:23" x14ac:dyDescent="0.35">
      <c r="A4921">
        <v>1221485</v>
      </c>
      <c r="B4921" t="s">
        <v>43235</v>
      </c>
      <c r="C4921" t="str">
        <f>"9780415658652"</f>
        <v>9780415658652</v>
      </c>
      <c r="D4921" t="str">
        <f>"9781135048471"</f>
        <v>9781135048471</v>
      </c>
      <c r="E4921" t="s">
        <v>26010</v>
      </c>
      <c r="F4921" t="s">
        <v>35</v>
      </c>
      <c r="G4921" t="s">
        <v>22174</v>
      </c>
      <c r="H4921" t="s">
        <v>26011</v>
      </c>
      <c r="I4921" s="26">
        <v>41422</v>
      </c>
      <c r="J4921">
        <v>2013</v>
      </c>
      <c r="K4921" t="s">
        <v>26012</v>
      </c>
      <c r="L4921">
        <v>175</v>
      </c>
      <c r="M4921" t="s">
        <v>34853</v>
      </c>
      <c r="N4921">
        <v>2</v>
      </c>
      <c r="Q4921" t="s">
        <v>43236</v>
      </c>
      <c r="R4921">
        <v>305.23099999999999</v>
      </c>
      <c r="S4921" t="s">
        <v>43237</v>
      </c>
      <c r="T4921" t="s">
        <v>30</v>
      </c>
      <c r="U4921" t="s">
        <v>26044</v>
      </c>
      <c r="W4921" t="s">
        <v>26009</v>
      </c>
    </row>
    <row r="4922" spans="1:23" x14ac:dyDescent="0.35">
      <c r="A4922">
        <v>1221487</v>
      </c>
      <c r="B4922" t="s">
        <v>8845</v>
      </c>
      <c r="C4922" t="str">
        <f>"9780415809405"</f>
        <v>9780415809405</v>
      </c>
      <c r="D4922" t="str">
        <f>"9781135047634"</f>
        <v>9781135047634</v>
      </c>
      <c r="E4922" t="s">
        <v>26010</v>
      </c>
      <c r="F4922" t="s">
        <v>35</v>
      </c>
      <c r="G4922" t="s">
        <v>22174</v>
      </c>
      <c r="H4922" t="s">
        <v>26011</v>
      </c>
      <c r="I4922" s="26">
        <v>41457</v>
      </c>
      <c r="J4922">
        <v>2013</v>
      </c>
      <c r="K4922" t="s">
        <v>26012</v>
      </c>
      <c r="L4922">
        <v>219</v>
      </c>
      <c r="M4922" t="s">
        <v>43238</v>
      </c>
      <c r="N4922">
        <v>1</v>
      </c>
      <c r="Q4922" t="s">
        <v>43239</v>
      </c>
      <c r="R4922">
        <v>615.85154030000001</v>
      </c>
      <c r="S4922" t="s">
        <v>8846</v>
      </c>
      <c r="T4922" t="s">
        <v>30</v>
      </c>
      <c r="U4922" t="s">
        <v>30953</v>
      </c>
      <c r="W4922" t="s">
        <v>26009</v>
      </c>
    </row>
    <row r="4923" spans="1:23" x14ac:dyDescent="0.35">
      <c r="A4923">
        <v>1221489</v>
      </c>
      <c r="B4923" t="s">
        <v>7893</v>
      </c>
      <c r="C4923" t="str">
        <f>"9780415687768"</f>
        <v>9780415687768</v>
      </c>
      <c r="D4923" t="str">
        <f>"9781135050047"</f>
        <v>9781135050047</v>
      </c>
      <c r="E4923" t="s">
        <v>26010</v>
      </c>
      <c r="F4923" t="s">
        <v>35</v>
      </c>
      <c r="G4923" t="s">
        <v>22174</v>
      </c>
      <c r="H4923" t="s">
        <v>26011</v>
      </c>
      <c r="I4923" s="26">
        <v>41415</v>
      </c>
      <c r="J4923">
        <v>2013</v>
      </c>
      <c r="K4923" t="s">
        <v>26012</v>
      </c>
      <c r="L4923">
        <v>332</v>
      </c>
      <c r="M4923" t="s">
        <v>43240</v>
      </c>
      <c r="N4923">
        <v>1</v>
      </c>
      <c r="Q4923" t="s">
        <v>43241</v>
      </c>
      <c r="R4923">
        <v>616.85230000000001</v>
      </c>
      <c r="S4923" t="s">
        <v>7894</v>
      </c>
      <c r="T4923" t="s">
        <v>30</v>
      </c>
      <c r="U4923" t="s">
        <v>26116</v>
      </c>
      <c r="W4923" t="s">
        <v>26009</v>
      </c>
    </row>
    <row r="4924" spans="1:23" x14ac:dyDescent="0.35">
      <c r="A4924">
        <v>1221490</v>
      </c>
      <c r="B4924" t="s">
        <v>9451</v>
      </c>
      <c r="C4924" t="str">
        <f>"9780415629539"</f>
        <v>9780415629539</v>
      </c>
      <c r="D4924" t="str">
        <f>"9781135049072"</f>
        <v>9781135049072</v>
      </c>
      <c r="E4924" t="s">
        <v>26010</v>
      </c>
      <c r="F4924" t="s">
        <v>35</v>
      </c>
      <c r="G4924" t="s">
        <v>22174</v>
      </c>
      <c r="H4924" t="s">
        <v>26011</v>
      </c>
      <c r="I4924" s="26">
        <v>41442</v>
      </c>
      <c r="J4924">
        <v>2013</v>
      </c>
      <c r="K4924" t="s">
        <v>26012</v>
      </c>
      <c r="L4924">
        <v>335</v>
      </c>
      <c r="M4924" t="s">
        <v>43242</v>
      </c>
      <c r="N4924">
        <v>1</v>
      </c>
      <c r="Q4924" t="s">
        <v>43243</v>
      </c>
      <c r="R4924">
        <v>616.89170000000001</v>
      </c>
      <c r="S4924" t="s">
        <v>7514</v>
      </c>
      <c r="T4924" t="s">
        <v>30</v>
      </c>
      <c r="U4924" t="s">
        <v>26116</v>
      </c>
      <c r="W4924" t="s">
        <v>26009</v>
      </c>
    </row>
    <row r="4925" spans="1:23" x14ac:dyDescent="0.35">
      <c r="A4925">
        <v>1222372</v>
      </c>
      <c r="B4925" t="s">
        <v>43244</v>
      </c>
      <c r="C4925" t="str">
        <f>""</f>
        <v/>
      </c>
      <c r="D4925" t="str">
        <f>"9781466593015"</f>
        <v>9781466593015</v>
      </c>
      <c r="E4925" t="s">
        <v>26010</v>
      </c>
      <c r="F4925" t="s">
        <v>7770</v>
      </c>
      <c r="G4925" t="s">
        <v>43245</v>
      </c>
      <c r="H4925" t="s">
        <v>26004</v>
      </c>
      <c r="I4925" s="26">
        <v>41467</v>
      </c>
      <c r="J4925">
        <v>2014</v>
      </c>
      <c r="K4925" t="s">
        <v>43246</v>
      </c>
      <c r="L4925">
        <v>242</v>
      </c>
      <c r="M4925" t="s">
        <v>43247</v>
      </c>
      <c r="N4925">
        <v>1</v>
      </c>
      <c r="Q4925" t="s">
        <v>43248</v>
      </c>
      <c r="R4925">
        <v>658.40380000000005</v>
      </c>
      <c r="S4925" t="s">
        <v>43249</v>
      </c>
      <c r="T4925" t="s">
        <v>30</v>
      </c>
      <c r="U4925" t="s">
        <v>27171</v>
      </c>
      <c r="W4925" t="s">
        <v>26009</v>
      </c>
    </row>
    <row r="4926" spans="1:23" x14ac:dyDescent="0.35">
      <c r="A4926">
        <v>1222488</v>
      </c>
      <c r="B4926" t="s">
        <v>7924</v>
      </c>
      <c r="C4926" t="str">
        <f>"9780820343372"</f>
        <v>9780820343372</v>
      </c>
      <c r="D4926" t="str">
        <f>"9780820344706"</f>
        <v>9780820344706</v>
      </c>
      <c r="E4926" t="s">
        <v>7925</v>
      </c>
      <c r="F4926" t="s">
        <v>7925</v>
      </c>
      <c r="G4926" t="s">
        <v>25359</v>
      </c>
      <c r="H4926" t="s">
        <v>26004</v>
      </c>
      <c r="I4926" s="26">
        <v>41167</v>
      </c>
      <c r="J4926">
        <v>2012</v>
      </c>
      <c r="K4926" t="s">
        <v>7925</v>
      </c>
      <c r="L4926">
        <v>207</v>
      </c>
      <c r="M4926" t="s">
        <v>43250</v>
      </c>
      <c r="N4926">
        <v>1</v>
      </c>
      <c r="O4926" t="s">
        <v>43251</v>
      </c>
      <c r="P4926">
        <v>7</v>
      </c>
      <c r="R4926" t="s">
        <v>43252</v>
      </c>
      <c r="T4926" t="s">
        <v>30</v>
      </c>
      <c r="U4926" t="s">
        <v>26094</v>
      </c>
      <c r="W4926" t="s">
        <v>28347</v>
      </c>
    </row>
    <row r="4927" spans="1:23" x14ac:dyDescent="0.35">
      <c r="A4927">
        <v>1222755</v>
      </c>
      <c r="B4927" t="s">
        <v>43253</v>
      </c>
      <c r="C4927" t="str">
        <f>"9780415925914"</f>
        <v>9780415925914</v>
      </c>
      <c r="D4927" t="str">
        <f>"9781136054389"</f>
        <v>9781136054389</v>
      </c>
      <c r="E4927" t="s">
        <v>26010</v>
      </c>
      <c r="F4927" t="s">
        <v>35</v>
      </c>
      <c r="G4927" t="s">
        <v>22174</v>
      </c>
      <c r="H4927" t="s">
        <v>26011</v>
      </c>
      <c r="I4927" s="26">
        <v>37232</v>
      </c>
      <c r="J4927">
        <v>2002</v>
      </c>
      <c r="K4927" t="s">
        <v>26012</v>
      </c>
      <c r="L4927">
        <v>205</v>
      </c>
      <c r="M4927" t="s">
        <v>43254</v>
      </c>
      <c r="N4927">
        <v>1</v>
      </c>
      <c r="Q4927" t="s">
        <v>43255</v>
      </c>
      <c r="R4927" t="s">
        <v>43256</v>
      </c>
      <c r="S4927" t="s">
        <v>46</v>
      </c>
      <c r="T4927" t="s">
        <v>30</v>
      </c>
      <c r="U4927" t="s">
        <v>26044</v>
      </c>
      <c r="W4927" t="s">
        <v>26009</v>
      </c>
    </row>
    <row r="4928" spans="1:23" x14ac:dyDescent="0.35">
      <c r="A4928">
        <v>1222843</v>
      </c>
      <c r="B4928" t="s">
        <v>9835</v>
      </c>
      <c r="C4928" t="str">
        <f>"9780881633689"</f>
        <v>9780881633689</v>
      </c>
      <c r="D4928" t="str">
        <f>"9781134908745"</f>
        <v>9781134908745</v>
      </c>
      <c r="E4928" t="s">
        <v>26010</v>
      </c>
      <c r="F4928" t="s">
        <v>35</v>
      </c>
      <c r="G4928" t="s">
        <v>22174</v>
      </c>
      <c r="H4928" t="s">
        <v>26011</v>
      </c>
      <c r="I4928" s="26">
        <v>37773</v>
      </c>
      <c r="J4928">
        <v>2003</v>
      </c>
      <c r="K4928" t="s">
        <v>26012</v>
      </c>
      <c r="L4928">
        <v>337</v>
      </c>
      <c r="M4928" t="s">
        <v>37773</v>
      </c>
      <c r="N4928">
        <v>1</v>
      </c>
      <c r="O4928" t="s">
        <v>35537</v>
      </c>
      <c r="Q4928" t="s">
        <v>43257</v>
      </c>
      <c r="R4928">
        <v>155.30000000000001</v>
      </c>
      <c r="S4928" t="s">
        <v>9836</v>
      </c>
      <c r="T4928" t="s">
        <v>30</v>
      </c>
      <c r="U4928" t="s">
        <v>46</v>
      </c>
      <c r="W4928" t="s">
        <v>26009</v>
      </c>
    </row>
    <row r="4929" spans="1:23" x14ac:dyDescent="0.35">
      <c r="A4929">
        <v>1222845</v>
      </c>
      <c r="B4929" t="s">
        <v>43258</v>
      </c>
      <c r="C4929" t="str">
        <f>"9780881634105"</f>
        <v>9780881634105</v>
      </c>
      <c r="D4929" t="str">
        <f>"9781135060619"</f>
        <v>9781135060619</v>
      </c>
      <c r="E4929" t="s">
        <v>26010</v>
      </c>
      <c r="F4929" t="s">
        <v>35</v>
      </c>
      <c r="G4929" t="s">
        <v>22174</v>
      </c>
      <c r="H4929" t="s">
        <v>26011</v>
      </c>
      <c r="I4929" s="26">
        <v>38148</v>
      </c>
      <c r="J4929">
        <v>2004</v>
      </c>
      <c r="K4929" t="s">
        <v>26012</v>
      </c>
      <c r="L4929">
        <v>143</v>
      </c>
      <c r="M4929" t="s">
        <v>43259</v>
      </c>
      <c r="N4929">
        <v>1</v>
      </c>
      <c r="Q4929" t="s">
        <v>43260</v>
      </c>
      <c r="R4929">
        <v>150.19499999999999</v>
      </c>
      <c r="S4929" t="s">
        <v>8967</v>
      </c>
      <c r="T4929" t="s">
        <v>30</v>
      </c>
      <c r="U4929" t="s">
        <v>26019</v>
      </c>
      <c r="W4929" t="s">
        <v>26009</v>
      </c>
    </row>
    <row r="4930" spans="1:23" x14ac:dyDescent="0.35">
      <c r="A4930">
        <v>1222860</v>
      </c>
      <c r="B4930" t="s">
        <v>43261</v>
      </c>
      <c r="C4930" t="str">
        <f>"9780881633641"</f>
        <v>9780881633641</v>
      </c>
      <c r="D4930" t="str">
        <f>"9781134908189"</f>
        <v>9781134908189</v>
      </c>
      <c r="E4930" t="s">
        <v>26010</v>
      </c>
      <c r="F4930" t="s">
        <v>35</v>
      </c>
      <c r="G4930" t="s">
        <v>22174</v>
      </c>
      <c r="H4930" t="s">
        <v>26011</v>
      </c>
      <c r="I4930" s="26">
        <v>37530</v>
      </c>
      <c r="J4930">
        <v>2002</v>
      </c>
      <c r="K4930" t="s">
        <v>26012</v>
      </c>
      <c r="L4930">
        <v>217</v>
      </c>
      <c r="M4930" t="s">
        <v>35874</v>
      </c>
      <c r="N4930">
        <v>1</v>
      </c>
      <c r="O4930" t="s">
        <v>30090</v>
      </c>
      <c r="Q4930" t="s">
        <v>43262</v>
      </c>
      <c r="R4930">
        <v>616.89170000000001</v>
      </c>
      <c r="S4930" t="s">
        <v>9933</v>
      </c>
      <c r="T4930" t="s">
        <v>30</v>
      </c>
      <c r="U4930" t="s">
        <v>26116</v>
      </c>
      <c r="W4930" t="s">
        <v>26009</v>
      </c>
    </row>
    <row r="4931" spans="1:23" x14ac:dyDescent="0.35">
      <c r="A4931">
        <v>1222893</v>
      </c>
      <c r="B4931" t="s">
        <v>9142</v>
      </c>
      <c r="C4931" t="str">
        <f>"9780881633443"</f>
        <v>9780881633443</v>
      </c>
      <c r="D4931" t="str">
        <f>"9781134906505"</f>
        <v>9781134906505</v>
      </c>
      <c r="E4931" t="s">
        <v>26010</v>
      </c>
      <c r="F4931" t="s">
        <v>35</v>
      </c>
      <c r="G4931" t="s">
        <v>22174</v>
      </c>
      <c r="H4931" t="s">
        <v>26011</v>
      </c>
      <c r="I4931" s="26">
        <v>38034</v>
      </c>
      <c r="J4931">
        <v>2004</v>
      </c>
      <c r="K4931" t="s">
        <v>26012</v>
      </c>
      <c r="L4931">
        <v>201</v>
      </c>
      <c r="M4931" t="s">
        <v>43263</v>
      </c>
      <c r="N4931">
        <v>1</v>
      </c>
      <c r="O4931" t="s">
        <v>35537</v>
      </c>
      <c r="Q4931" t="s">
        <v>37203</v>
      </c>
      <c r="R4931" t="s">
        <v>27929</v>
      </c>
      <c r="S4931" t="s">
        <v>9143</v>
      </c>
      <c r="T4931" t="s">
        <v>30</v>
      </c>
      <c r="U4931" t="s">
        <v>33231</v>
      </c>
      <c r="W4931" t="s">
        <v>26009</v>
      </c>
    </row>
    <row r="4932" spans="1:23" x14ac:dyDescent="0.35">
      <c r="A4932">
        <v>1222944</v>
      </c>
      <c r="B4932" t="s">
        <v>43264</v>
      </c>
      <c r="C4932" t="str">
        <f>"9781841692197"</f>
        <v>9781841692197</v>
      </c>
      <c r="D4932" t="str">
        <f>"9781135055868"</f>
        <v>9781135055868</v>
      </c>
      <c r="E4932" t="s">
        <v>26010</v>
      </c>
      <c r="F4932" t="s">
        <v>35</v>
      </c>
      <c r="G4932" t="s">
        <v>22174</v>
      </c>
      <c r="H4932" t="s">
        <v>26011</v>
      </c>
      <c r="I4932" s="26">
        <v>41372</v>
      </c>
      <c r="J4932">
        <v>2013</v>
      </c>
      <c r="K4932" t="s">
        <v>26012</v>
      </c>
      <c r="L4932">
        <v>360</v>
      </c>
      <c r="M4932" t="s">
        <v>43265</v>
      </c>
      <c r="N4932">
        <v>1</v>
      </c>
      <c r="O4932" t="s">
        <v>36011</v>
      </c>
      <c r="Q4932" t="s">
        <v>43266</v>
      </c>
      <c r="R4932">
        <v>150.28700000000001</v>
      </c>
      <c r="S4932" t="s">
        <v>8476</v>
      </c>
      <c r="T4932" t="s">
        <v>30</v>
      </c>
      <c r="U4932" t="s">
        <v>46</v>
      </c>
      <c r="W4932" t="s">
        <v>26009</v>
      </c>
    </row>
    <row r="4933" spans="1:23" x14ac:dyDescent="0.35">
      <c r="A4933">
        <v>1222972</v>
      </c>
      <c r="B4933" t="s">
        <v>43267</v>
      </c>
      <c r="C4933" t="str">
        <f>"9780881632385"</f>
        <v>9780881632385</v>
      </c>
      <c r="D4933" t="str">
        <f>"9781134894468"</f>
        <v>9781134894468</v>
      </c>
      <c r="E4933" t="s">
        <v>26010</v>
      </c>
      <c r="F4933" t="s">
        <v>35</v>
      </c>
      <c r="G4933" t="s">
        <v>22174</v>
      </c>
      <c r="H4933" t="s">
        <v>26011</v>
      </c>
      <c r="I4933" s="26">
        <v>38107</v>
      </c>
      <c r="J4933">
        <v>2004</v>
      </c>
      <c r="K4933" t="s">
        <v>26012</v>
      </c>
      <c r="L4933">
        <v>187</v>
      </c>
      <c r="M4933" t="s">
        <v>43268</v>
      </c>
      <c r="N4933">
        <v>1</v>
      </c>
      <c r="Q4933" t="s">
        <v>43269</v>
      </c>
      <c r="R4933" t="s">
        <v>43270</v>
      </c>
      <c r="S4933" t="s">
        <v>10132</v>
      </c>
      <c r="T4933" t="s">
        <v>30</v>
      </c>
      <c r="U4933" t="s">
        <v>26019</v>
      </c>
      <c r="W4933" t="s">
        <v>26009</v>
      </c>
    </row>
    <row r="4934" spans="1:23" x14ac:dyDescent="0.35">
      <c r="A4934">
        <v>1244538</v>
      </c>
      <c r="B4934" t="s">
        <v>43271</v>
      </c>
      <c r="C4934" t="str">
        <f>"9780415694933"</f>
        <v>9780415694933</v>
      </c>
      <c r="D4934" t="str">
        <f>"9781136510397"</f>
        <v>9781136510397</v>
      </c>
      <c r="E4934" t="s">
        <v>26010</v>
      </c>
      <c r="F4934" t="s">
        <v>35</v>
      </c>
      <c r="G4934" t="s">
        <v>22174</v>
      </c>
      <c r="H4934" t="s">
        <v>26011</v>
      </c>
      <c r="I4934" s="26">
        <v>41417</v>
      </c>
      <c r="J4934">
        <v>2013</v>
      </c>
      <c r="K4934" t="s">
        <v>26012</v>
      </c>
      <c r="L4934">
        <v>212</v>
      </c>
      <c r="M4934" t="s">
        <v>43272</v>
      </c>
      <c r="N4934">
        <v>1</v>
      </c>
      <c r="O4934" t="s">
        <v>42546</v>
      </c>
      <c r="Q4934" t="s">
        <v>43273</v>
      </c>
      <c r="R4934">
        <v>306.483</v>
      </c>
      <c r="S4934" t="s">
        <v>43274</v>
      </c>
      <c r="T4934" t="s">
        <v>30</v>
      </c>
      <c r="U4934" t="s">
        <v>26849</v>
      </c>
      <c r="W4934" t="s">
        <v>26009</v>
      </c>
    </row>
    <row r="4935" spans="1:23" x14ac:dyDescent="0.35">
      <c r="A4935">
        <v>1244600</v>
      </c>
      <c r="B4935" t="s">
        <v>43275</v>
      </c>
      <c r="C4935" t="str">
        <f>"9780415538640"</f>
        <v>9780415538640</v>
      </c>
      <c r="D4935" t="str">
        <f>"9781136268168"</f>
        <v>9781136268168</v>
      </c>
      <c r="E4935" t="s">
        <v>26010</v>
      </c>
      <c r="F4935" t="s">
        <v>35</v>
      </c>
      <c r="G4935" t="s">
        <v>22174</v>
      </c>
      <c r="H4935" t="s">
        <v>26011</v>
      </c>
      <c r="I4935" s="26">
        <v>41381</v>
      </c>
      <c r="J4935">
        <v>2013</v>
      </c>
      <c r="K4935" t="s">
        <v>26012</v>
      </c>
      <c r="L4935">
        <v>308</v>
      </c>
      <c r="M4935" t="s">
        <v>43276</v>
      </c>
      <c r="N4935">
        <v>2</v>
      </c>
      <c r="Q4935" t="s">
        <v>43277</v>
      </c>
      <c r="R4935">
        <v>305.3</v>
      </c>
      <c r="S4935" t="s">
        <v>43278</v>
      </c>
      <c r="T4935" t="s">
        <v>30</v>
      </c>
      <c r="U4935" t="s">
        <v>26044</v>
      </c>
      <c r="W4935" t="s">
        <v>26009</v>
      </c>
    </row>
    <row r="4936" spans="1:23" x14ac:dyDescent="0.35">
      <c r="A4936">
        <v>1244743</v>
      </c>
      <c r="B4936" t="s">
        <v>8148</v>
      </c>
      <c r="C4936" t="str">
        <f>"9781848721012"</f>
        <v>9781848721012</v>
      </c>
      <c r="D4936" t="str">
        <f>"9781135083953"</f>
        <v>9781135083953</v>
      </c>
      <c r="E4936" t="s">
        <v>26010</v>
      </c>
      <c r="F4936" t="s">
        <v>35</v>
      </c>
      <c r="G4936" t="s">
        <v>22174</v>
      </c>
      <c r="H4936" t="s">
        <v>26011</v>
      </c>
      <c r="I4936" s="26">
        <v>41386</v>
      </c>
      <c r="J4936">
        <v>2013</v>
      </c>
      <c r="K4936" t="s">
        <v>660</v>
      </c>
      <c r="L4936">
        <v>265</v>
      </c>
      <c r="M4936" t="s">
        <v>43279</v>
      </c>
      <c r="N4936">
        <v>1</v>
      </c>
      <c r="Q4936" t="s">
        <v>43280</v>
      </c>
      <c r="R4936">
        <v>155.41300000000001</v>
      </c>
      <c r="S4936" t="s">
        <v>43281</v>
      </c>
      <c r="T4936" t="s">
        <v>30</v>
      </c>
      <c r="U4936" t="s">
        <v>46</v>
      </c>
      <c r="W4936" t="s">
        <v>26009</v>
      </c>
    </row>
    <row r="4937" spans="1:23" x14ac:dyDescent="0.35">
      <c r="A4937">
        <v>1244782</v>
      </c>
      <c r="B4937" t="s">
        <v>10161</v>
      </c>
      <c r="C4937" t="str">
        <f>"9780415816809"</f>
        <v>9780415816809</v>
      </c>
      <c r="D4937" t="str">
        <f>"9781136702495"</f>
        <v>9781136702495</v>
      </c>
      <c r="E4937" t="s">
        <v>26010</v>
      </c>
      <c r="F4937" t="s">
        <v>35</v>
      </c>
      <c r="G4937" t="s">
        <v>22174</v>
      </c>
      <c r="H4937" t="s">
        <v>26011</v>
      </c>
      <c r="I4937" s="26">
        <v>41360</v>
      </c>
      <c r="J4937">
        <v>1928</v>
      </c>
      <c r="K4937" t="s">
        <v>26012</v>
      </c>
      <c r="L4937">
        <v>305</v>
      </c>
      <c r="M4937" t="s">
        <v>7493</v>
      </c>
      <c r="N4937">
        <v>1</v>
      </c>
      <c r="O4937" t="s">
        <v>42905</v>
      </c>
      <c r="Q4937" t="s">
        <v>43282</v>
      </c>
      <c r="R4937">
        <v>150.1953</v>
      </c>
      <c r="S4937" t="s">
        <v>43283</v>
      </c>
      <c r="T4937" t="s">
        <v>30</v>
      </c>
      <c r="U4937" t="s">
        <v>46</v>
      </c>
      <c r="W4937" t="s">
        <v>26009</v>
      </c>
    </row>
    <row r="4938" spans="1:23" x14ac:dyDescent="0.35">
      <c r="A4938">
        <v>1244857</v>
      </c>
      <c r="B4938" t="s">
        <v>10087</v>
      </c>
      <c r="C4938" t="str">
        <f>"9780415830706"</f>
        <v>9780415830706</v>
      </c>
      <c r="D4938" t="str">
        <f>"9781135045357"</f>
        <v>9781135045357</v>
      </c>
      <c r="E4938" t="s">
        <v>26010</v>
      </c>
      <c r="F4938" t="s">
        <v>35</v>
      </c>
      <c r="G4938" t="s">
        <v>22174</v>
      </c>
      <c r="H4938" t="s">
        <v>26011</v>
      </c>
      <c r="I4938" s="26">
        <v>41451</v>
      </c>
      <c r="J4938">
        <v>2013</v>
      </c>
      <c r="K4938" t="s">
        <v>26012</v>
      </c>
      <c r="L4938">
        <v>384</v>
      </c>
      <c r="M4938" t="s">
        <v>43284</v>
      </c>
      <c r="N4938">
        <v>1</v>
      </c>
      <c r="O4938" t="s">
        <v>26344</v>
      </c>
      <c r="Q4938" t="s">
        <v>43285</v>
      </c>
      <c r="R4938">
        <v>616.89</v>
      </c>
      <c r="S4938" t="s">
        <v>8185</v>
      </c>
      <c r="T4938" t="s">
        <v>30</v>
      </c>
      <c r="U4938" t="s">
        <v>26019</v>
      </c>
      <c r="W4938" t="s">
        <v>26009</v>
      </c>
    </row>
    <row r="4939" spans="1:23" x14ac:dyDescent="0.35">
      <c r="A4939">
        <v>1244894</v>
      </c>
      <c r="B4939" t="s">
        <v>43286</v>
      </c>
      <c r="C4939" t="str">
        <f>"9780415527026"</f>
        <v>9780415527026</v>
      </c>
      <c r="D4939" t="str">
        <f>"9781135933852"</f>
        <v>9781135933852</v>
      </c>
      <c r="E4939" t="s">
        <v>26010</v>
      </c>
      <c r="F4939" t="s">
        <v>35</v>
      </c>
      <c r="G4939" t="s">
        <v>22174</v>
      </c>
      <c r="H4939" t="s">
        <v>26011</v>
      </c>
      <c r="I4939" s="26">
        <v>41417</v>
      </c>
      <c r="J4939">
        <v>2013</v>
      </c>
      <c r="K4939" t="s">
        <v>26012</v>
      </c>
      <c r="L4939">
        <v>193</v>
      </c>
      <c r="M4939" t="s">
        <v>41941</v>
      </c>
      <c r="N4939">
        <v>1</v>
      </c>
      <c r="Q4939" t="s">
        <v>43287</v>
      </c>
      <c r="R4939">
        <v>200.19</v>
      </c>
      <c r="S4939" t="s">
        <v>8053</v>
      </c>
      <c r="T4939" t="s">
        <v>30</v>
      </c>
      <c r="U4939" t="s">
        <v>26099</v>
      </c>
      <c r="W4939" t="s">
        <v>26009</v>
      </c>
    </row>
    <row r="4940" spans="1:23" x14ac:dyDescent="0.35">
      <c r="A4940">
        <v>1244989</v>
      </c>
      <c r="B4940" t="s">
        <v>43288</v>
      </c>
      <c r="C4940" t="str">
        <f>"9780415642088"</f>
        <v>9780415642088</v>
      </c>
      <c r="D4940" t="str">
        <f>"9781135956745"</f>
        <v>9781135956745</v>
      </c>
      <c r="E4940" t="s">
        <v>26010</v>
      </c>
      <c r="F4940" t="s">
        <v>35</v>
      </c>
      <c r="G4940" t="s">
        <v>22174</v>
      </c>
      <c r="H4940" t="s">
        <v>26011</v>
      </c>
      <c r="I4940" s="26">
        <v>41456</v>
      </c>
      <c r="J4940">
        <v>2013</v>
      </c>
      <c r="K4940" t="s">
        <v>26012</v>
      </c>
      <c r="L4940">
        <v>144</v>
      </c>
      <c r="M4940" t="s">
        <v>43289</v>
      </c>
      <c r="N4940">
        <v>2</v>
      </c>
      <c r="Q4940" t="s">
        <v>43290</v>
      </c>
      <c r="R4940">
        <v>616.89139999999998</v>
      </c>
      <c r="S4940" t="s">
        <v>8478</v>
      </c>
      <c r="T4940" t="s">
        <v>30</v>
      </c>
      <c r="U4940" t="s">
        <v>26116</v>
      </c>
      <c r="W4940" t="s">
        <v>26009</v>
      </c>
    </row>
    <row r="4941" spans="1:23" x14ac:dyDescent="0.35">
      <c r="A4941">
        <v>1245477</v>
      </c>
      <c r="B4941" t="s">
        <v>43291</v>
      </c>
      <c r="C4941" t="str">
        <f>"9781780491837"</f>
        <v>9781780491837</v>
      </c>
      <c r="D4941" t="str">
        <f>"9781782411079"</f>
        <v>9781782411079</v>
      </c>
      <c r="E4941" t="s">
        <v>26010</v>
      </c>
      <c r="F4941" t="s">
        <v>35</v>
      </c>
      <c r="G4941" t="s">
        <v>22174</v>
      </c>
      <c r="H4941" t="s">
        <v>26011</v>
      </c>
      <c r="I4941" s="26">
        <v>41473</v>
      </c>
      <c r="J4941">
        <v>2013</v>
      </c>
      <c r="K4941" t="s">
        <v>26012</v>
      </c>
      <c r="L4941">
        <v>189</v>
      </c>
      <c r="M4941" t="s">
        <v>43292</v>
      </c>
      <c r="N4941">
        <v>1</v>
      </c>
      <c r="O4941" t="s">
        <v>36830</v>
      </c>
      <c r="Q4941" t="s">
        <v>43293</v>
      </c>
      <c r="R4941">
        <v>150.19499999999999</v>
      </c>
      <c r="S4941" t="s">
        <v>37122</v>
      </c>
      <c r="T4941" t="s">
        <v>30</v>
      </c>
      <c r="U4941" t="s">
        <v>46</v>
      </c>
      <c r="W4941" t="s">
        <v>26009</v>
      </c>
    </row>
    <row r="4942" spans="1:23" x14ac:dyDescent="0.35">
      <c r="A4942">
        <v>1245478</v>
      </c>
      <c r="B4942" t="s">
        <v>43294</v>
      </c>
      <c r="C4942" t="str">
        <f>"9781782200291"</f>
        <v>9781782200291</v>
      </c>
      <c r="D4942" t="str">
        <f>"9780429919091"</f>
        <v>9780429919091</v>
      </c>
      <c r="E4942" t="s">
        <v>26010</v>
      </c>
      <c r="F4942" t="s">
        <v>35</v>
      </c>
      <c r="G4942" t="s">
        <v>22174</v>
      </c>
      <c r="H4942" t="s">
        <v>26011</v>
      </c>
      <c r="I4942" s="26">
        <v>41486</v>
      </c>
      <c r="J4942">
        <v>2013</v>
      </c>
      <c r="K4942" t="s">
        <v>26012</v>
      </c>
      <c r="L4942">
        <v>219</v>
      </c>
      <c r="M4942" t="s">
        <v>43295</v>
      </c>
      <c r="N4942">
        <v>1</v>
      </c>
      <c r="O4942" t="s">
        <v>36633</v>
      </c>
      <c r="Q4942" t="s">
        <v>43296</v>
      </c>
      <c r="R4942">
        <v>152.44</v>
      </c>
      <c r="S4942" t="s">
        <v>43297</v>
      </c>
      <c r="T4942" t="s">
        <v>30</v>
      </c>
      <c r="U4942" t="s">
        <v>46</v>
      </c>
      <c r="W4942" t="s">
        <v>26009</v>
      </c>
    </row>
    <row r="4943" spans="1:23" x14ac:dyDescent="0.35">
      <c r="A4943">
        <v>1249354</v>
      </c>
      <c r="B4943" t="s">
        <v>43298</v>
      </c>
      <c r="C4943" t="str">
        <f>"9789027213587"</f>
        <v>9789027213587</v>
      </c>
      <c r="D4943" t="str">
        <f>"9789027271730"</f>
        <v>9789027271730</v>
      </c>
      <c r="E4943" t="s">
        <v>35211</v>
      </c>
      <c r="F4943" t="s">
        <v>7610</v>
      </c>
      <c r="G4943" t="s">
        <v>22222</v>
      </c>
      <c r="H4943" t="s">
        <v>27983</v>
      </c>
      <c r="I4943" s="26">
        <v>41470</v>
      </c>
      <c r="J4943">
        <v>2013</v>
      </c>
      <c r="K4943" t="s">
        <v>7610</v>
      </c>
      <c r="L4943">
        <v>292</v>
      </c>
      <c r="M4943" t="s">
        <v>35322</v>
      </c>
      <c r="N4943">
        <v>1</v>
      </c>
      <c r="O4943" t="s">
        <v>35354</v>
      </c>
      <c r="P4943">
        <v>91</v>
      </c>
      <c r="Q4943" t="s">
        <v>43299</v>
      </c>
      <c r="R4943" t="s">
        <v>30149</v>
      </c>
      <c r="S4943" t="s">
        <v>43300</v>
      </c>
      <c r="T4943" t="s">
        <v>30</v>
      </c>
      <c r="U4943" t="s">
        <v>46</v>
      </c>
      <c r="W4943" t="s">
        <v>26009</v>
      </c>
    </row>
    <row r="4944" spans="1:23" x14ac:dyDescent="0.35">
      <c r="A4944">
        <v>1251047</v>
      </c>
      <c r="B4944" t="s">
        <v>43301</v>
      </c>
      <c r="C4944" t="str">
        <f>"9780415453332"</f>
        <v>9780415453332</v>
      </c>
      <c r="D4944" t="str">
        <f>"9781135628727"</f>
        <v>9781135628727</v>
      </c>
      <c r="E4944" t="s">
        <v>26010</v>
      </c>
      <c r="F4944" t="s">
        <v>35</v>
      </c>
      <c r="G4944" t="s">
        <v>22174</v>
      </c>
      <c r="H4944" t="s">
        <v>26011</v>
      </c>
      <c r="I4944" s="26">
        <v>41423</v>
      </c>
      <c r="J4944">
        <v>2013</v>
      </c>
      <c r="K4944" t="s">
        <v>26012</v>
      </c>
      <c r="L4944">
        <v>309</v>
      </c>
      <c r="M4944" t="s">
        <v>43302</v>
      </c>
      <c r="N4944">
        <v>1</v>
      </c>
      <c r="Q4944" t="s">
        <v>43303</v>
      </c>
      <c r="R4944">
        <v>306.09399999999999</v>
      </c>
      <c r="S4944" t="s">
        <v>43304</v>
      </c>
      <c r="T4944" t="s">
        <v>30</v>
      </c>
      <c r="U4944" t="s">
        <v>30342</v>
      </c>
      <c r="W4944" t="s">
        <v>26009</v>
      </c>
    </row>
    <row r="4945" spans="1:23" x14ac:dyDescent="0.35">
      <c r="A4945">
        <v>1272904</v>
      </c>
      <c r="B4945" t="s">
        <v>7806</v>
      </c>
      <c r="C4945" t="str">
        <f>"9780415933353"</f>
        <v>9780415933353</v>
      </c>
      <c r="D4945" t="str">
        <f>"9781135330521"</f>
        <v>9781135330521</v>
      </c>
      <c r="E4945" t="s">
        <v>26010</v>
      </c>
      <c r="F4945" t="s">
        <v>35</v>
      </c>
      <c r="G4945" t="s">
        <v>22174</v>
      </c>
      <c r="H4945" t="s">
        <v>26011</v>
      </c>
      <c r="I4945" s="26">
        <v>37288</v>
      </c>
      <c r="J4945">
        <v>2002</v>
      </c>
      <c r="K4945" t="s">
        <v>26012</v>
      </c>
      <c r="L4945">
        <v>305</v>
      </c>
      <c r="M4945" t="s">
        <v>43305</v>
      </c>
      <c r="N4945">
        <v>1</v>
      </c>
      <c r="Q4945" t="s">
        <v>43306</v>
      </c>
      <c r="R4945" t="s">
        <v>43307</v>
      </c>
      <c r="S4945" t="s">
        <v>43308</v>
      </c>
      <c r="T4945" t="s">
        <v>30</v>
      </c>
      <c r="U4945" t="s">
        <v>40358</v>
      </c>
      <c r="W4945" t="s">
        <v>26009</v>
      </c>
    </row>
    <row r="4946" spans="1:23" x14ac:dyDescent="0.35">
      <c r="A4946">
        <v>1272927</v>
      </c>
      <c r="B4946" t="s">
        <v>43309</v>
      </c>
      <c r="C4946" t="str">
        <f>"9780881634334"</f>
        <v>9780881634334</v>
      </c>
      <c r="D4946" t="str">
        <f>"9781134913787"</f>
        <v>9781134913787</v>
      </c>
      <c r="E4946" t="s">
        <v>26010</v>
      </c>
      <c r="F4946" t="s">
        <v>35</v>
      </c>
      <c r="G4946" t="s">
        <v>22174</v>
      </c>
      <c r="H4946" t="s">
        <v>26011</v>
      </c>
      <c r="I4946" s="26">
        <v>38559</v>
      </c>
      <c r="J4946">
        <v>2005</v>
      </c>
      <c r="K4946" t="s">
        <v>26012</v>
      </c>
      <c r="L4946">
        <v>213</v>
      </c>
      <c r="M4946" t="s">
        <v>30265</v>
      </c>
      <c r="N4946">
        <v>1</v>
      </c>
      <c r="O4946" t="s">
        <v>30090</v>
      </c>
      <c r="Q4946" t="s">
        <v>43310</v>
      </c>
      <c r="R4946">
        <v>616.89139999999998</v>
      </c>
      <c r="S4946" t="s">
        <v>7661</v>
      </c>
      <c r="T4946" t="s">
        <v>30</v>
      </c>
      <c r="U4946" t="s">
        <v>26019</v>
      </c>
      <c r="W4946" t="s">
        <v>26009</v>
      </c>
    </row>
    <row r="4947" spans="1:23" x14ac:dyDescent="0.35">
      <c r="A4947">
        <v>1272996</v>
      </c>
      <c r="B4947" t="s">
        <v>43311</v>
      </c>
      <c r="C4947" t="str">
        <f>"9780415209946"</f>
        <v>9780415209946</v>
      </c>
      <c r="D4947" t="str">
        <f>"9781136315251"</f>
        <v>9781136315251</v>
      </c>
      <c r="E4947" t="s">
        <v>26010</v>
      </c>
      <c r="F4947" t="s">
        <v>35</v>
      </c>
      <c r="G4947" t="s">
        <v>22174</v>
      </c>
      <c r="H4947" t="s">
        <v>26011</v>
      </c>
      <c r="I4947" s="26">
        <v>36372</v>
      </c>
      <c r="J4947">
        <v>1999</v>
      </c>
      <c r="K4947" t="s">
        <v>26012</v>
      </c>
      <c r="L4947">
        <v>336</v>
      </c>
      <c r="M4947" t="s">
        <v>43312</v>
      </c>
      <c r="N4947">
        <v>1</v>
      </c>
      <c r="Q4947" t="s">
        <v>43313</v>
      </c>
      <c r="R4947">
        <v>154.20830000000001</v>
      </c>
      <c r="S4947" t="s">
        <v>43314</v>
      </c>
      <c r="T4947" t="s">
        <v>30</v>
      </c>
      <c r="U4947" t="s">
        <v>46</v>
      </c>
      <c r="W4947" t="s">
        <v>26009</v>
      </c>
    </row>
    <row r="4948" spans="1:23" x14ac:dyDescent="0.35">
      <c r="A4948">
        <v>1272997</v>
      </c>
      <c r="B4948" t="s">
        <v>7827</v>
      </c>
      <c r="C4948" t="str">
        <f>"9780415209984"</f>
        <v>9780415209984</v>
      </c>
      <c r="D4948" t="str">
        <f>"9781136316388"</f>
        <v>9781136316388</v>
      </c>
      <c r="E4948" t="s">
        <v>26010</v>
      </c>
      <c r="F4948" t="s">
        <v>35</v>
      </c>
      <c r="G4948" t="s">
        <v>22174</v>
      </c>
      <c r="H4948" t="s">
        <v>26011</v>
      </c>
      <c r="I4948" s="26">
        <v>36372</v>
      </c>
      <c r="J4948">
        <v>1999</v>
      </c>
      <c r="K4948" t="s">
        <v>26012</v>
      </c>
      <c r="L4948">
        <v>321</v>
      </c>
      <c r="M4948" t="s">
        <v>43315</v>
      </c>
      <c r="N4948">
        <v>1</v>
      </c>
      <c r="Q4948" t="s">
        <v>43316</v>
      </c>
      <c r="R4948" t="s">
        <v>26360</v>
      </c>
      <c r="S4948" t="s">
        <v>43317</v>
      </c>
      <c r="T4948" t="s">
        <v>30</v>
      </c>
      <c r="U4948" t="s">
        <v>46</v>
      </c>
      <c r="W4948" t="s">
        <v>26009</v>
      </c>
    </row>
    <row r="4949" spans="1:23" x14ac:dyDescent="0.35">
      <c r="A4949">
        <v>1273004</v>
      </c>
      <c r="B4949" t="s">
        <v>8742</v>
      </c>
      <c r="C4949" t="str">
        <f>"9780415210461"</f>
        <v>9780415210461</v>
      </c>
      <c r="D4949" t="str">
        <f>"9781136328695"</f>
        <v>9781136328695</v>
      </c>
      <c r="E4949" t="s">
        <v>26010</v>
      </c>
      <c r="F4949" t="s">
        <v>35</v>
      </c>
      <c r="G4949" t="s">
        <v>22174</v>
      </c>
      <c r="H4949" t="s">
        <v>26011</v>
      </c>
      <c r="I4949" s="26">
        <v>36372</v>
      </c>
      <c r="J4949">
        <v>1924</v>
      </c>
      <c r="K4949" t="s">
        <v>26012</v>
      </c>
      <c r="L4949">
        <v>209</v>
      </c>
      <c r="M4949" t="s">
        <v>43318</v>
      </c>
      <c r="N4949">
        <v>1</v>
      </c>
      <c r="Q4949" t="s">
        <v>43319</v>
      </c>
      <c r="R4949">
        <v>154.63399999999999</v>
      </c>
      <c r="S4949" t="s">
        <v>43320</v>
      </c>
      <c r="T4949" t="s">
        <v>30</v>
      </c>
      <c r="U4949" t="s">
        <v>46</v>
      </c>
      <c r="W4949" t="s">
        <v>26009</v>
      </c>
    </row>
    <row r="4950" spans="1:23" x14ac:dyDescent="0.35">
      <c r="A4950">
        <v>1273055</v>
      </c>
      <c r="B4950" t="s">
        <v>43321</v>
      </c>
      <c r="C4950" t="str">
        <f>"9780415209694"</f>
        <v>9780415209694</v>
      </c>
      <c r="D4950" t="str">
        <f>"9781136308505"</f>
        <v>9781136308505</v>
      </c>
      <c r="E4950" t="s">
        <v>26010</v>
      </c>
      <c r="F4950" t="s">
        <v>35</v>
      </c>
      <c r="G4950" t="s">
        <v>22174</v>
      </c>
      <c r="H4950" t="s">
        <v>26011</v>
      </c>
      <c r="I4950" s="26">
        <v>36372</v>
      </c>
      <c r="J4950">
        <v>1999</v>
      </c>
      <c r="K4950" t="s">
        <v>26012</v>
      </c>
      <c r="L4950">
        <v>303</v>
      </c>
      <c r="M4950" t="s">
        <v>43322</v>
      </c>
      <c r="N4950">
        <v>1</v>
      </c>
      <c r="Q4950" t="s">
        <v>43323</v>
      </c>
      <c r="R4950">
        <v>154</v>
      </c>
      <c r="S4950" t="s">
        <v>43324</v>
      </c>
      <c r="T4950" t="s">
        <v>30</v>
      </c>
      <c r="U4950" t="s">
        <v>46</v>
      </c>
      <c r="W4950" t="s">
        <v>26009</v>
      </c>
    </row>
    <row r="4951" spans="1:23" x14ac:dyDescent="0.35">
      <c r="A4951">
        <v>1273074</v>
      </c>
      <c r="B4951" t="s">
        <v>9427</v>
      </c>
      <c r="C4951" t="str">
        <f>"9780415210058"</f>
        <v>9780415210058</v>
      </c>
      <c r="D4951" t="str">
        <f>"9781136318030"</f>
        <v>9781136318030</v>
      </c>
      <c r="E4951" t="s">
        <v>26010</v>
      </c>
      <c r="F4951" t="s">
        <v>35</v>
      </c>
      <c r="G4951" t="s">
        <v>22174</v>
      </c>
      <c r="H4951" t="s">
        <v>26011</v>
      </c>
      <c r="I4951" s="26">
        <v>36372</v>
      </c>
      <c r="J4951">
        <v>1999</v>
      </c>
      <c r="K4951" t="s">
        <v>26012</v>
      </c>
      <c r="L4951">
        <v>307</v>
      </c>
      <c r="M4951" t="s">
        <v>43315</v>
      </c>
      <c r="N4951">
        <v>1</v>
      </c>
      <c r="Q4951" t="s">
        <v>43325</v>
      </c>
      <c r="R4951">
        <v>155.41200000000001</v>
      </c>
      <c r="S4951" t="s">
        <v>43326</v>
      </c>
      <c r="T4951" t="s">
        <v>30</v>
      </c>
      <c r="U4951" t="s">
        <v>46</v>
      </c>
      <c r="W4951" t="s">
        <v>26009</v>
      </c>
    </row>
    <row r="4952" spans="1:23" x14ac:dyDescent="0.35">
      <c r="A4952">
        <v>1273130</v>
      </c>
      <c r="B4952" t="s">
        <v>7916</v>
      </c>
      <c r="C4952" t="str">
        <f>"9780415209632"</f>
        <v>9780415209632</v>
      </c>
      <c r="D4952" t="str">
        <f>"9781136307096"</f>
        <v>9781136307096</v>
      </c>
      <c r="E4952" t="s">
        <v>26010</v>
      </c>
      <c r="F4952" t="s">
        <v>35</v>
      </c>
      <c r="G4952" t="s">
        <v>22174</v>
      </c>
      <c r="H4952" t="s">
        <v>26011</v>
      </c>
      <c r="I4952" s="26">
        <v>36372</v>
      </c>
      <c r="J4952">
        <v>1929</v>
      </c>
      <c r="K4952" t="s">
        <v>26012</v>
      </c>
      <c r="L4952">
        <v>304</v>
      </c>
      <c r="M4952" t="s">
        <v>43327</v>
      </c>
      <c r="N4952">
        <v>1</v>
      </c>
      <c r="Q4952" t="s">
        <v>43328</v>
      </c>
      <c r="R4952" t="s">
        <v>43329</v>
      </c>
      <c r="S4952" t="s">
        <v>7743</v>
      </c>
      <c r="T4952" t="s">
        <v>30</v>
      </c>
      <c r="U4952" t="s">
        <v>35357</v>
      </c>
      <c r="W4952" t="s">
        <v>26009</v>
      </c>
    </row>
    <row r="4953" spans="1:23" x14ac:dyDescent="0.35">
      <c r="A4953">
        <v>1273164</v>
      </c>
      <c r="B4953" t="s">
        <v>43330</v>
      </c>
      <c r="C4953" t="str">
        <f>"9780415209731"</f>
        <v>9780415209731</v>
      </c>
      <c r="D4953" t="str">
        <f>"9781136309625"</f>
        <v>9781136309625</v>
      </c>
      <c r="E4953" t="s">
        <v>26010</v>
      </c>
      <c r="F4953" t="s">
        <v>35</v>
      </c>
      <c r="G4953" t="s">
        <v>22174</v>
      </c>
      <c r="H4953" t="s">
        <v>26011</v>
      </c>
      <c r="I4953" s="26">
        <v>36372</v>
      </c>
      <c r="J4953">
        <v>1999</v>
      </c>
      <c r="K4953" t="s">
        <v>26012</v>
      </c>
      <c r="L4953">
        <v>286</v>
      </c>
      <c r="M4953" t="s">
        <v>43331</v>
      </c>
      <c r="N4953">
        <v>1</v>
      </c>
      <c r="Q4953" t="s">
        <v>43332</v>
      </c>
      <c r="R4953">
        <v>152.15</v>
      </c>
      <c r="S4953" t="s">
        <v>43333</v>
      </c>
      <c r="T4953" t="s">
        <v>30</v>
      </c>
      <c r="U4953" t="s">
        <v>29153</v>
      </c>
      <c r="W4953" t="s">
        <v>26009</v>
      </c>
    </row>
    <row r="4954" spans="1:23" x14ac:dyDescent="0.35">
      <c r="A4954">
        <v>1274272</v>
      </c>
      <c r="B4954" t="s">
        <v>9928</v>
      </c>
      <c r="C4954" t="str">
        <f>"9780199737567"</f>
        <v>9780199737567</v>
      </c>
      <c r="D4954" t="str">
        <f>"9780199908233"</f>
        <v>9780199908233</v>
      </c>
      <c r="E4954" t="s">
        <v>371</v>
      </c>
      <c r="F4954" t="s">
        <v>31</v>
      </c>
      <c r="G4954" t="s">
        <v>22179</v>
      </c>
      <c r="H4954" t="s">
        <v>26004</v>
      </c>
      <c r="I4954" s="26">
        <v>41500</v>
      </c>
      <c r="J4954">
        <v>2013</v>
      </c>
      <c r="K4954" t="s">
        <v>31</v>
      </c>
      <c r="L4954">
        <v>336</v>
      </c>
      <c r="M4954" t="s">
        <v>43334</v>
      </c>
      <c r="O4954" t="s">
        <v>43335</v>
      </c>
      <c r="Q4954" t="s">
        <v>43336</v>
      </c>
      <c r="R4954">
        <v>616.89</v>
      </c>
      <c r="S4954" t="s">
        <v>9929</v>
      </c>
      <c r="T4954" t="s">
        <v>30</v>
      </c>
      <c r="U4954" t="s">
        <v>26019</v>
      </c>
      <c r="W4954" t="s">
        <v>26009</v>
      </c>
    </row>
    <row r="4955" spans="1:23" x14ac:dyDescent="0.35">
      <c r="A4955">
        <v>1274274</v>
      </c>
      <c r="B4955" t="s">
        <v>9472</v>
      </c>
      <c r="C4955" t="str">
        <f>"9780199743049"</f>
        <v>9780199743049</v>
      </c>
      <c r="D4955" t="str">
        <f>"9780199908189"</f>
        <v>9780199908189</v>
      </c>
      <c r="E4955" t="s">
        <v>371</v>
      </c>
      <c r="F4955" t="s">
        <v>31</v>
      </c>
      <c r="G4955" t="s">
        <v>22703</v>
      </c>
      <c r="H4955" t="s">
        <v>26004</v>
      </c>
      <c r="I4955" s="26">
        <v>41493</v>
      </c>
      <c r="J4955">
        <v>2013</v>
      </c>
      <c r="K4955" t="s">
        <v>31</v>
      </c>
      <c r="L4955">
        <v>411</v>
      </c>
      <c r="M4955" t="s">
        <v>43337</v>
      </c>
      <c r="N4955">
        <v>3</v>
      </c>
      <c r="Q4955" t="s">
        <v>43338</v>
      </c>
      <c r="R4955">
        <v>616.89142000000004</v>
      </c>
      <c r="S4955" t="s">
        <v>9473</v>
      </c>
      <c r="T4955" t="s">
        <v>30</v>
      </c>
      <c r="U4955" t="s">
        <v>26116</v>
      </c>
      <c r="W4955" t="s">
        <v>26009</v>
      </c>
    </row>
    <row r="4956" spans="1:23" x14ac:dyDescent="0.35">
      <c r="A4956">
        <v>1274275</v>
      </c>
      <c r="B4956" t="s">
        <v>43339</v>
      </c>
      <c r="C4956" t="str">
        <f>"9780199743100"</f>
        <v>9780199743100</v>
      </c>
      <c r="D4956" t="str">
        <f>"9780199976164"</f>
        <v>9780199976164</v>
      </c>
      <c r="E4956" t="s">
        <v>371</v>
      </c>
      <c r="F4956" t="s">
        <v>31</v>
      </c>
      <c r="G4956" t="s">
        <v>22703</v>
      </c>
      <c r="H4956" t="s">
        <v>26004</v>
      </c>
      <c r="I4956" s="26">
        <v>41348</v>
      </c>
      <c r="J4956">
        <v>2013</v>
      </c>
      <c r="K4956" t="s">
        <v>31</v>
      </c>
      <c r="L4956">
        <v>555</v>
      </c>
      <c r="M4956" t="s">
        <v>43340</v>
      </c>
      <c r="Q4956" t="s">
        <v>43341</v>
      </c>
      <c r="R4956">
        <v>362.29084999999998</v>
      </c>
      <c r="S4956" t="s">
        <v>43342</v>
      </c>
      <c r="T4956" t="s">
        <v>30</v>
      </c>
      <c r="U4956" t="s">
        <v>26094</v>
      </c>
      <c r="W4956" t="s">
        <v>26009</v>
      </c>
    </row>
    <row r="4957" spans="1:23" x14ac:dyDescent="0.35">
      <c r="A4957">
        <v>1274278</v>
      </c>
      <c r="B4957" t="s">
        <v>8548</v>
      </c>
      <c r="C4957" t="str">
        <f>"9780199768929"</f>
        <v>9780199768929</v>
      </c>
      <c r="D4957" t="str">
        <f>"9780199909148"</f>
        <v>9780199909148</v>
      </c>
      <c r="E4957" t="s">
        <v>371</v>
      </c>
      <c r="F4957" t="s">
        <v>31</v>
      </c>
      <c r="G4957" t="s">
        <v>22179</v>
      </c>
      <c r="H4957" t="s">
        <v>26004</v>
      </c>
      <c r="I4957" s="26">
        <v>41401</v>
      </c>
      <c r="J4957">
        <v>2013</v>
      </c>
      <c r="K4957" t="s">
        <v>31</v>
      </c>
      <c r="L4957">
        <v>127</v>
      </c>
      <c r="M4957" t="s">
        <v>43343</v>
      </c>
      <c r="O4957" t="s">
        <v>43344</v>
      </c>
      <c r="Q4957" t="s">
        <v>43345</v>
      </c>
      <c r="R4957" t="s">
        <v>26759</v>
      </c>
      <c r="S4957" t="s">
        <v>43346</v>
      </c>
      <c r="T4957" t="s">
        <v>30</v>
      </c>
      <c r="U4957" t="s">
        <v>46</v>
      </c>
      <c r="W4957" t="s">
        <v>26009</v>
      </c>
    </row>
    <row r="4958" spans="1:23" x14ac:dyDescent="0.35">
      <c r="A4958">
        <v>1274281</v>
      </c>
      <c r="B4958" t="s">
        <v>9334</v>
      </c>
      <c r="C4958" t="str">
        <f>"9780199793549"</f>
        <v>9780199793549</v>
      </c>
      <c r="D4958" t="str">
        <f>"9780199793655"</f>
        <v>9780199793655</v>
      </c>
      <c r="E4958" t="s">
        <v>371</v>
      </c>
      <c r="F4958" t="s">
        <v>31</v>
      </c>
      <c r="G4958" t="s">
        <v>22703</v>
      </c>
      <c r="H4958" t="s">
        <v>26004</v>
      </c>
      <c r="I4958" s="26">
        <v>41387</v>
      </c>
      <c r="J4958">
        <v>2013</v>
      </c>
      <c r="K4958" t="s">
        <v>31</v>
      </c>
      <c r="L4958">
        <v>476</v>
      </c>
      <c r="M4958" t="s">
        <v>43347</v>
      </c>
      <c r="N4958">
        <v>1</v>
      </c>
      <c r="O4958" t="s">
        <v>40610</v>
      </c>
      <c r="Q4958" t="s">
        <v>43348</v>
      </c>
      <c r="R4958">
        <v>616.89007200000003</v>
      </c>
      <c r="S4958" t="s">
        <v>9335</v>
      </c>
      <c r="T4958" t="s">
        <v>30</v>
      </c>
      <c r="U4958" t="s">
        <v>26019</v>
      </c>
      <c r="W4958" t="s">
        <v>26009</v>
      </c>
    </row>
    <row r="4959" spans="1:23" x14ac:dyDescent="0.35">
      <c r="A4959">
        <v>1274289</v>
      </c>
      <c r="B4959" t="s">
        <v>9670</v>
      </c>
      <c r="C4959" t="str">
        <f>"9780199861392"</f>
        <v>9780199861392</v>
      </c>
      <c r="D4959" t="str">
        <f>"9780199344000"</f>
        <v>9780199344000</v>
      </c>
      <c r="E4959" t="s">
        <v>371</v>
      </c>
      <c r="F4959" t="s">
        <v>31</v>
      </c>
      <c r="G4959" t="s">
        <v>22703</v>
      </c>
      <c r="H4959" t="s">
        <v>26004</v>
      </c>
      <c r="I4959" s="26">
        <v>41417</v>
      </c>
      <c r="J4959">
        <v>2013</v>
      </c>
      <c r="K4959" t="s">
        <v>31</v>
      </c>
      <c r="L4959">
        <v>192</v>
      </c>
      <c r="M4959" t="s">
        <v>43349</v>
      </c>
      <c r="O4959" t="s">
        <v>35758</v>
      </c>
      <c r="Q4959" t="s">
        <v>43350</v>
      </c>
      <c r="R4959">
        <v>1.4330000000000001</v>
      </c>
      <c r="S4959" t="s">
        <v>43351</v>
      </c>
      <c r="T4959" t="s">
        <v>30</v>
      </c>
      <c r="U4959" t="s">
        <v>34900</v>
      </c>
      <c r="W4959" t="s">
        <v>26009</v>
      </c>
    </row>
    <row r="4960" spans="1:23" x14ac:dyDescent="0.35">
      <c r="A4960">
        <v>1274294</v>
      </c>
      <c r="B4960" t="s">
        <v>43352</v>
      </c>
      <c r="C4960" t="str">
        <f>"9780199914661"</f>
        <v>9780199914661</v>
      </c>
      <c r="D4960" t="str">
        <f>"9780199316052"</f>
        <v>9780199316052</v>
      </c>
      <c r="E4960" t="s">
        <v>371</v>
      </c>
      <c r="F4960" t="s">
        <v>31</v>
      </c>
      <c r="G4960" t="s">
        <v>22703</v>
      </c>
      <c r="H4960" t="s">
        <v>26004</v>
      </c>
      <c r="I4960" s="26">
        <v>41487</v>
      </c>
      <c r="J4960">
        <v>2013</v>
      </c>
      <c r="K4960" t="s">
        <v>31</v>
      </c>
      <c r="L4960">
        <v>304</v>
      </c>
      <c r="M4960" t="s">
        <v>43353</v>
      </c>
      <c r="Q4960" t="s">
        <v>43354</v>
      </c>
      <c r="R4960">
        <v>362.19689</v>
      </c>
      <c r="S4960" t="s">
        <v>43355</v>
      </c>
      <c r="T4960" t="s">
        <v>30</v>
      </c>
      <c r="U4960" t="s">
        <v>28898</v>
      </c>
      <c r="W4960" t="s">
        <v>26009</v>
      </c>
    </row>
    <row r="4961" spans="1:23" x14ac:dyDescent="0.35">
      <c r="A4961">
        <v>1274298</v>
      </c>
      <c r="B4961" t="s">
        <v>9129</v>
      </c>
      <c r="C4961" t="str">
        <f>"9780199928262"</f>
        <v>9780199928262</v>
      </c>
      <c r="D4961" t="str">
        <f>"9780199928279"</f>
        <v>9780199928279</v>
      </c>
      <c r="E4961" t="s">
        <v>371</v>
      </c>
      <c r="F4961" t="s">
        <v>31</v>
      </c>
      <c r="G4961" t="s">
        <v>22703</v>
      </c>
      <c r="H4961" t="s">
        <v>26004</v>
      </c>
      <c r="I4961" s="26">
        <v>41485</v>
      </c>
      <c r="J4961">
        <v>2013</v>
      </c>
      <c r="K4961" t="s">
        <v>31</v>
      </c>
      <c r="L4961">
        <v>383</v>
      </c>
      <c r="M4961" t="s">
        <v>43356</v>
      </c>
      <c r="Q4961" t="s">
        <v>43357</v>
      </c>
      <c r="R4961">
        <v>355.00189999999998</v>
      </c>
      <c r="S4961" t="s">
        <v>9130</v>
      </c>
      <c r="T4961" t="s">
        <v>30</v>
      </c>
      <c r="U4961" t="s">
        <v>33415</v>
      </c>
      <c r="W4961" t="s">
        <v>26009</v>
      </c>
    </row>
    <row r="4962" spans="1:23" x14ac:dyDescent="0.35">
      <c r="A4962">
        <v>1274299</v>
      </c>
      <c r="B4962" t="s">
        <v>43358</v>
      </c>
      <c r="C4962" t="str">
        <f>"9780199934898"</f>
        <v>9780199934898</v>
      </c>
      <c r="D4962" t="str">
        <f>"9780199934904"</f>
        <v>9780199934904</v>
      </c>
      <c r="E4962" t="s">
        <v>371</v>
      </c>
      <c r="F4962" t="s">
        <v>399</v>
      </c>
      <c r="G4962" t="s">
        <v>22242</v>
      </c>
      <c r="H4962" t="s">
        <v>26011</v>
      </c>
      <c r="I4962" s="26">
        <v>41306</v>
      </c>
      <c r="J4962">
        <v>2013</v>
      </c>
      <c r="K4962" t="s">
        <v>399</v>
      </c>
      <c r="L4962">
        <v>784</v>
      </c>
      <c r="M4962" t="s">
        <v>43359</v>
      </c>
      <c r="O4962" t="s">
        <v>39154</v>
      </c>
      <c r="Q4962" t="s">
        <v>43360</v>
      </c>
      <c r="R4962">
        <v>150.72</v>
      </c>
      <c r="S4962" t="s">
        <v>43361</v>
      </c>
      <c r="T4962" t="s">
        <v>30</v>
      </c>
      <c r="U4962" t="s">
        <v>46</v>
      </c>
      <c r="W4962" t="s">
        <v>26009</v>
      </c>
    </row>
    <row r="4963" spans="1:23" x14ac:dyDescent="0.35">
      <c r="A4963">
        <v>1275034</v>
      </c>
      <c r="B4963" t="s">
        <v>43362</v>
      </c>
      <c r="C4963" t="str">
        <f>"9781853029752"</f>
        <v>9781853029752</v>
      </c>
      <c r="D4963" t="str">
        <f>"9781846420610"</f>
        <v>9781846420610</v>
      </c>
      <c r="E4963" t="s">
        <v>146</v>
      </c>
      <c r="F4963" t="s">
        <v>146</v>
      </c>
      <c r="G4963" t="s">
        <v>22174</v>
      </c>
      <c r="H4963" t="s">
        <v>26011</v>
      </c>
      <c r="I4963" s="26">
        <v>37026</v>
      </c>
      <c r="J4963">
        <v>2001</v>
      </c>
      <c r="K4963" t="s">
        <v>146</v>
      </c>
      <c r="L4963">
        <v>315</v>
      </c>
      <c r="M4963" t="s">
        <v>43363</v>
      </c>
      <c r="N4963">
        <v>1</v>
      </c>
      <c r="Q4963" t="s">
        <v>43364</v>
      </c>
      <c r="R4963" t="s">
        <v>27122</v>
      </c>
      <c r="S4963" t="s">
        <v>43365</v>
      </c>
      <c r="T4963" t="s">
        <v>30</v>
      </c>
      <c r="U4963" t="s">
        <v>26019</v>
      </c>
      <c r="W4963" t="s">
        <v>28347</v>
      </c>
    </row>
    <row r="4964" spans="1:23" x14ac:dyDescent="0.35">
      <c r="A4964">
        <v>1275575</v>
      </c>
      <c r="B4964" t="s">
        <v>8567</v>
      </c>
      <c r="C4964" t="str">
        <f>"9780826199812"</f>
        <v>9780826199812</v>
      </c>
      <c r="D4964" t="str">
        <f>"9780826199911"</f>
        <v>9780826199911</v>
      </c>
      <c r="E4964" t="s">
        <v>1504</v>
      </c>
      <c r="F4964" t="s">
        <v>33</v>
      </c>
      <c r="G4964" t="s">
        <v>22179</v>
      </c>
      <c r="H4964" t="s">
        <v>26004</v>
      </c>
      <c r="I4964" s="26">
        <v>41456</v>
      </c>
      <c r="J4964">
        <v>2013</v>
      </c>
      <c r="K4964" t="s">
        <v>33</v>
      </c>
      <c r="L4964">
        <v>180</v>
      </c>
      <c r="M4964" t="s">
        <v>43366</v>
      </c>
      <c r="N4964">
        <v>1</v>
      </c>
      <c r="Q4964" t="s">
        <v>43367</v>
      </c>
      <c r="S4964" t="s">
        <v>43368</v>
      </c>
      <c r="T4964" t="s">
        <v>30</v>
      </c>
      <c r="U4964" t="s">
        <v>26116</v>
      </c>
      <c r="W4964" t="s">
        <v>26009</v>
      </c>
    </row>
    <row r="4965" spans="1:23" x14ac:dyDescent="0.35">
      <c r="A4965">
        <v>1275576</v>
      </c>
      <c r="B4965" t="s">
        <v>43369</v>
      </c>
      <c r="C4965" t="str">
        <f>"9780826109545"</f>
        <v>9780826109545</v>
      </c>
      <c r="D4965" t="str">
        <f>"9780826109552"</f>
        <v>9780826109552</v>
      </c>
      <c r="E4965" t="s">
        <v>1504</v>
      </c>
      <c r="F4965" t="s">
        <v>33</v>
      </c>
      <c r="G4965" t="s">
        <v>22179</v>
      </c>
      <c r="H4965" t="s">
        <v>26004</v>
      </c>
      <c r="I4965" s="26">
        <v>41483</v>
      </c>
      <c r="J4965">
        <v>2014</v>
      </c>
      <c r="K4965" t="s">
        <v>33</v>
      </c>
      <c r="L4965">
        <v>334</v>
      </c>
      <c r="M4965" t="s">
        <v>43370</v>
      </c>
      <c r="N4965">
        <v>1</v>
      </c>
      <c r="Q4965" t="s">
        <v>43371</v>
      </c>
      <c r="R4965" t="s">
        <v>43372</v>
      </c>
      <c r="S4965" t="s">
        <v>43373</v>
      </c>
      <c r="T4965" t="s">
        <v>30</v>
      </c>
      <c r="U4965" t="s">
        <v>26019</v>
      </c>
      <c r="W4965" t="s">
        <v>26009</v>
      </c>
    </row>
    <row r="4966" spans="1:23" x14ac:dyDescent="0.35">
      <c r="A4966">
        <v>1275577</v>
      </c>
      <c r="B4966" t="s">
        <v>43374</v>
      </c>
      <c r="C4966" t="str">
        <f>"9780826196620"</f>
        <v>9780826196620</v>
      </c>
      <c r="D4966" t="str">
        <f>"9780826196637"</f>
        <v>9780826196637</v>
      </c>
      <c r="E4966" t="s">
        <v>1504</v>
      </c>
      <c r="F4966" t="s">
        <v>33</v>
      </c>
      <c r="G4966" t="s">
        <v>22179</v>
      </c>
      <c r="H4966" t="s">
        <v>26004</v>
      </c>
      <c r="I4966" s="26">
        <v>41456</v>
      </c>
      <c r="J4966">
        <v>2014</v>
      </c>
      <c r="K4966" t="s">
        <v>33</v>
      </c>
      <c r="L4966">
        <v>222</v>
      </c>
      <c r="M4966" t="s">
        <v>43375</v>
      </c>
      <c r="N4966">
        <v>1</v>
      </c>
      <c r="Q4966" t="s">
        <v>43376</v>
      </c>
      <c r="R4966">
        <v>610.73</v>
      </c>
      <c r="S4966" t="s">
        <v>43377</v>
      </c>
      <c r="T4966" t="s">
        <v>30</v>
      </c>
      <c r="U4966" t="s">
        <v>26174</v>
      </c>
      <c r="W4966" t="s">
        <v>26009</v>
      </c>
    </row>
    <row r="4967" spans="1:23" x14ac:dyDescent="0.35">
      <c r="A4967">
        <v>1275594</v>
      </c>
      <c r="B4967" t="s">
        <v>43378</v>
      </c>
      <c r="C4967" t="str">
        <f>"9789888139927"</f>
        <v>9789888139927</v>
      </c>
      <c r="D4967" t="str">
        <f>"9789888180875"</f>
        <v>9789888180875</v>
      </c>
      <c r="E4967" t="s">
        <v>8224</v>
      </c>
      <c r="F4967" t="s">
        <v>8224</v>
      </c>
      <c r="G4967" t="s">
        <v>24567</v>
      </c>
      <c r="H4967" t="s">
        <v>36182</v>
      </c>
      <c r="I4967" s="26">
        <v>41450</v>
      </c>
      <c r="J4967">
        <v>2013</v>
      </c>
      <c r="K4967" t="s">
        <v>8224</v>
      </c>
      <c r="L4967">
        <v>415</v>
      </c>
      <c r="M4967" t="s">
        <v>43379</v>
      </c>
      <c r="N4967">
        <v>1</v>
      </c>
      <c r="Q4967" t="s">
        <v>43380</v>
      </c>
      <c r="R4967">
        <v>616.89099999999996</v>
      </c>
      <c r="S4967" t="s">
        <v>43381</v>
      </c>
      <c r="T4967" t="s">
        <v>30</v>
      </c>
      <c r="U4967" t="s">
        <v>26116</v>
      </c>
      <c r="W4967" t="s">
        <v>26009</v>
      </c>
    </row>
    <row r="4968" spans="1:23" x14ac:dyDescent="0.35">
      <c r="A4968">
        <v>1286287</v>
      </c>
      <c r="B4968" t="s">
        <v>10003</v>
      </c>
      <c r="C4968" t="str">
        <f>"9780199856763"</f>
        <v>9780199856763</v>
      </c>
      <c r="D4968" t="str">
        <f>"9780199856787"</f>
        <v>9780199856787</v>
      </c>
      <c r="E4968" t="s">
        <v>371</v>
      </c>
      <c r="F4968" t="s">
        <v>31</v>
      </c>
      <c r="G4968" t="s">
        <v>22703</v>
      </c>
      <c r="H4968" t="s">
        <v>26004</v>
      </c>
      <c r="I4968" s="26">
        <v>41519</v>
      </c>
      <c r="J4968">
        <v>2013</v>
      </c>
      <c r="K4968" t="s">
        <v>31</v>
      </c>
      <c r="L4968">
        <v>187</v>
      </c>
      <c r="M4968" t="s">
        <v>43382</v>
      </c>
      <c r="Q4968" t="s">
        <v>43383</v>
      </c>
      <c r="R4968">
        <v>616.89165400000002</v>
      </c>
      <c r="S4968" t="s">
        <v>43384</v>
      </c>
      <c r="T4968" t="s">
        <v>30</v>
      </c>
      <c r="U4968" t="s">
        <v>29679</v>
      </c>
      <c r="W4968" t="s">
        <v>26009</v>
      </c>
    </row>
    <row r="4969" spans="1:23" x14ac:dyDescent="0.35">
      <c r="A4969">
        <v>1294629</v>
      </c>
      <c r="B4969" t="s">
        <v>43385</v>
      </c>
      <c r="C4969" t="str">
        <f>"9780817314392"</f>
        <v>9780817314392</v>
      </c>
      <c r="D4969" t="str">
        <f>"9780817387327"</f>
        <v>9780817387327</v>
      </c>
      <c r="E4969" t="s">
        <v>8681</v>
      </c>
      <c r="F4969" t="s">
        <v>8681</v>
      </c>
      <c r="G4969" t="s">
        <v>24716</v>
      </c>
      <c r="H4969" t="s">
        <v>26004</v>
      </c>
      <c r="I4969" s="26">
        <v>38396</v>
      </c>
      <c r="J4969">
        <v>2005</v>
      </c>
      <c r="K4969" t="s">
        <v>8681</v>
      </c>
      <c r="L4969">
        <v>456</v>
      </c>
      <c r="M4969" t="s">
        <v>43386</v>
      </c>
      <c r="N4969">
        <v>1</v>
      </c>
      <c r="Q4969" t="s">
        <v>43387</v>
      </c>
      <c r="R4969" t="s">
        <v>43388</v>
      </c>
      <c r="S4969" t="s">
        <v>43389</v>
      </c>
      <c r="T4969" t="s">
        <v>30</v>
      </c>
      <c r="U4969" t="s">
        <v>26520</v>
      </c>
      <c r="W4969" t="s">
        <v>26009</v>
      </c>
    </row>
    <row r="4970" spans="1:23" x14ac:dyDescent="0.35">
      <c r="A4970">
        <v>1303597</v>
      </c>
      <c r="B4970" t="s">
        <v>43390</v>
      </c>
      <c r="C4970" t="str">
        <f>"9781107004511"</f>
        <v>9781107004511</v>
      </c>
      <c r="D4970" t="str">
        <f>"9781107273849"</f>
        <v>9781107273849</v>
      </c>
      <c r="E4970" t="s">
        <v>167</v>
      </c>
      <c r="F4970" t="s">
        <v>167</v>
      </c>
      <c r="G4970" t="s">
        <v>22179</v>
      </c>
      <c r="H4970" t="s">
        <v>26004</v>
      </c>
      <c r="I4970" s="26">
        <v>41480</v>
      </c>
      <c r="J4970">
        <v>2013</v>
      </c>
      <c r="K4970" t="s">
        <v>167</v>
      </c>
      <c r="L4970">
        <v>474</v>
      </c>
      <c r="M4970" t="s">
        <v>43391</v>
      </c>
      <c r="N4970">
        <v>1</v>
      </c>
      <c r="Q4970" t="s">
        <v>43392</v>
      </c>
      <c r="R4970">
        <v>153</v>
      </c>
      <c r="S4970" t="s">
        <v>43393</v>
      </c>
      <c r="T4970" t="s">
        <v>30</v>
      </c>
      <c r="U4970" t="s">
        <v>46</v>
      </c>
      <c r="W4970" t="s">
        <v>26020</v>
      </c>
    </row>
    <row r="4971" spans="1:23" x14ac:dyDescent="0.35">
      <c r="A4971">
        <v>1303604</v>
      </c>
      <c r="B4971" t="s">
        <v>43394</v>
      </c>
      <c r="C4971" t="str">
        <f>"9781107007550"</f>
        <v>9781107007550</v>
      </c>
      <c r="D4971" t="str">
        <f>"9781107290082"</f>
        <v>9781107290082</v>
      </c>
      <c r="E4971" t="s">
        <v>167</v>
      </c>
      <c r="F4971" t="s">
        <v>167</v>
      </c>
      <c r="G4971" t="s">
        <v>22179</v>
      </c>
      <c r="H4971" t="s">
        <v>26004</v>
      </c>
      <c r="I4971" s="26">
        <v>41540</v>
      </c>
      <c r="J4971">
        <v>2013</v>
      </c>
      <c r="K4971" t="s">
        <v>167</v>
      </c>
      <c r="L4971">
        <v>262</v>
      </c>
      <c r="M4971" t="s">
        <v>43395</v>
      </c>
      <c r="N4971">
        <v>1</v>
      </c>
      <c r="O4971" t="s">
        <v>31667</v>
      </c>
      <c r="Q4971" t="s">
        <v>43396</v>
      </c>
      <c r="R4971">
        <v>126</v>
      </c>
      <c r="S4971" t="s">
        <v>43397</v>
      </c>
      <c r="T4971" t="s">
        <v>30</v>
      </c>
      <c r="U4971" t="s">
        <v>152</v>
      </c>
      <c r="W4971" t="s">
        <v>26020</v>
      </c>
    </row>
    <row r="4972" spans="1:23" x14ac:dyDescent="0.35">
      <c r="A4972">
        <v>1303631</v>
      </c>
      <c r="B4972" t="s">
        <v>9428</v>
      </c>
      <c r="C4972" t="str">
        <f>"9781107015135"</f>
        <v>9781107015135</v>
      </c>
      <c r="D4972" t="str">
        <f>"9781107273900"</f>
        <v>9781107273900</v>
      </c>
      <c r="E4972" t="s">
        <v>167</v>
      </c>
      <c r="F4972" t="s">
        <v>167</v>
      </c>
      <c r="G4972" t="s">
        <v>22179</v>
      </c>
      <c r="H4972" t="s">
        <v>26004</v>
      </c>
      <c r="I4972" s="26">
        <v>41466</v>
      </c>
      <c r="J4972">
        <v>2013</v>
      </c>
      <c r="K4972" t="s">
        <v>167</v>
      </c>
      <c r="L4972">
        <v>168</v>
      </c>
      <c r="M4972" t="s">
        <v>43398</v>
      </c>
      <c r="N4972">
        <v>1</v>
      </c>
      <c r="Q4972" t="s">
        <v>43399</v>
      </c>
      <c r="R4972">
        <v>155</v>
      </c>
      <c r="S4972" t="s">
        <v>43400</v>
      </c>
      <c r="T4972" t="s">
        <v>30</v>
      </c>
      <c r="U4972" t="s">
        <v>46</v>
      </c>
      <c r="W4972" t="s">
        <v>26020</v>
      </c>
    </row>
    <row r="4973" spans="1:23" x14ac:dyDescent="0.35">
      <c r="A4973">
        <v>1303654</v>
      </c>
      <c r="B4973" t="s">
        <v>43401</v>
      </c>
      <c r="C4973" t="str">
        <f>"9781107024854"</f>
        <v>9781107024854</v>
      </c>
      <c r="D4973" t="str">
        <f>"9781107273979"</f>
        <v>9781107273979</v>
      </c>
      <c r="E4973" t="s">
        <v>167</v>
      </c>
      <c r="F4973" t="s">
        <v>167</v>
      </c>
      <c r="G4973" t="s">
        <v>22179</v>
      </c>
      <c r="H4973" t="s">
        <v>26004</v>
      </c>
      <c r="I4973" s="26">
        <v>41480</v>
      </c>
      <c r="J4973">
        <v>2013</v>
      </c>
      <c r="K4973" t="s">
        <v>167</v>
      </c>
      <c r="L4973">
        <v>260</v>
      </c>
      <c r="M4973" t="s">
        <v>43402</v>
      </c>
      <c r="N4973">
        <v>1</v>
      </c>
      <c r="Q4973" t="s">
        <v>43403</v>
      </c>
      <c r="R4973">
        <v>364.3</v>
      </c>
      <c r="S4973" t="s">
        <v>43404</v>
      </c>
      <c r="T4973" t="s">
        <v>30</v>
      </c>
      <c r="U4973" t="s">
        <v>26044</v>
      </c>
      <c r="W4973" t="s">
        <v>26020</v>
      </c>
    </row>
    <row r="4974" spans="1:23" x14ac:dyDescent="0.35">
      <c r="A4974">
        <v>1303656</v>
      </c>
      <c r="B4974" t="s">
        <v>43405</v>
      </c>
      <c r="C4974" t="str">
        <f>"9781107025202"</f>
        <v>9781107025202</v>
      </c>
      <c r="D4974" t="str">
        <f>"9781107290174"</f>
        <v>9781107290174</v>
      </c>
      <c r="E4974" t="s">
        <v>167</v>
      </c>
      <c r="F4974" t="s">
        <v>167</v>
      </c>
      <c r="G4974" t="s">
        <v>22179</v>
      </c>
      <c r="H4974" t="s">
        <v>26004</v>
      </c>
      <c r="I4974" s="26">
        <v>41540</v>
      </c>
      <c r="J4974">
        <v>2013</v>
      </c>
      <c r="K4974" t="s">
        <v>167</v>
      </c>
      <c r="L4974">
        <v>266</v>
      </c>
      <c r="M4974" t="s">
        <v>43406</v>
      </c>
      <c r="N4974">
        <v>1</v>
      </c>
      <c r="Q4974" t="s">
        <v>43407</v>
      </c>
      <c r="R4974">
        <v>150.19880000000001</v>
      </c>
      <c r="S4974" t="s">
        <v>8981</v>
      </c>
      <c r="T4974" t="s">
        <v>30</v>
      </c>
      <c r="U4974" t="s">
        <v>46</v>
      </c>
      <c r="W4974" t="s">
        <v>26020</v>
      </c>
    </row>
    <row r="4975" spans="1:23" x14ac:dyDescent="0.35">
      <c r="A4975">
        <v>1313469</v>
      </c>
      <c r="B4975" t="s">
        <v>43408</v>
      </c>
      <c r="C4975" t="str">
        <f>"9781462508617"</f>
        <v>9781462508617</v>
      </c>
      <c r="D4975" t="str">
        <f>"9781462508624"</f>
        <v>9781462508624</v>
      </c>
      <c r="E4975" t="s">
        <v>30112</v>
      </c>
      <c r="F4975" t="s">
        <v>7420</v>
      </c>
      <c r="G4975" t="s">
        <v>22179</v>
      </c>
      <c r="H4975" t="s">
        <v>26004</v>
      </c>
      <c r="I4975" s="26">
        <v>41467</v>
      </c>
      <c r="J4975">
        <v>2013</v>
      </c>
      <c r="K4975" t="s">
        <v>30113</v>
      </c>
      <c r="L4975">
        <v>498</v>
      </c>
      <c r="M4975" t="s">
        <v>43409</v>
      </c>
      <c r="N4975">
        <v>1</v>
      </c>
      <c r="Q4975" t="s">
        <v>43410</v>
      </c>
      <c r="R4975">
        <v>618.9289</v>
      </c>
      <c r="S4975" t="s">
        <v>43411</v>
      </c>
      <c r="T4975" t="s">
        <v>30</v>
      </c>
      <c r="U4975" t="s">
        <v>26116</v>
      </c>
      <c r="W4975" t="s">
        <v>28347</v>
      </c>
    </row>
    <row r="4976" spans="1:23" x14ac:dyDescent="0.35">
      <c r="A4976">
        <v>1316690</v>
      </c>
      <c r="B4976" t="s">
        <v>8279</v>
      </c>
      <c r="C4976" t="str">
        <f>"9789004250826"</f>
        <v>9789004250826</v>
      </c>
      <c r="D4976" t="str">
        <f>"9789004252936"</f>
        <v>9789004252936</v>
      </c>
      <c r="E4976" t="s">
        <v>4602</v>
      </c>
      <c r="F4976" t="s">
        <v>27</v>
      </c>
      <c r="G4976" t="s">
        <v>22231</v>
      </c>
      <c r="H4976" t="s">
        <v>26004</v>
      </c>
      <c r="I4976" s="26">
        <v>41464</v>
      </c>
      <c r="J4976">
        <v>2013</v>
      </c>
      <c r="K4976" t="s">
        <v>27</v>
      </c>
      <c r="L4976">
        <v>259</v>
      </c>
      <c r="M4976" t="s">
        <v>43412</v>
      </c>
      <c r="N4976">
        <v>1</v>
      </c>
      <c r="O4976" t="s">
        <v>43413</v>
      </c>
      <c r="P4976">
        <v>168</v>
      </c>
      <c r="Q4976" t="s">
        <v>43414</v>
      </c>
      <c r="R4976">
        <v>362.19689</v>
      </c>
      <c r="S4976" t="s">
        <v>43415</v>
      </c>
      <c r="T4976" t="s">
        <v>30</v>
      </c>
      <c r="U4976" t="s">
        <v>33552</v>
      </c>
      <c r="W4976" t="s">
        <v>26009</v>
      </c>
    </row>
    <row r="4977" spans="1:23" x14ac:dyDescent="0.35">
      <c r="A4977">
        <v>1318189</v>
      </c>
      <c r="B4977" t="s">
        <v>43416</v>
      </c>
      <c r="C4977" t="str">
        <f>"9780520276765"</f>
        <v>9780520276765</v>
      </c>
      <c r="D4977" t="str">
        <f>"9780520956698"</f>
        <v>9780520956698</v>
      </c>
      <c r="E4977" t="s">
        <v>1612</v>
      </c>
      <c r="F4977" t="s">
        <v>1612</v>
      </c>
      <c r="G4977" t="s">
        <v>22630</v>
      </c>
      <c r="H4977" t="s">
        <v>26004</v>
      </c>
      <c r="I4977" s="26">
        <v>41489</v>
      </c>
      <c r="J4977">
        <v>2013</v>
      </c>
      <c r="K4977" t="s">
        <v>1612</v>
      </c>
      <c r="L4977">
        <v>281</v>
      </c>
      <c r="M4977" t="s">
        <v>43417</v>
      </c>
      <c r="N4977">
        <v>1</v>
      </c>
      <c r="Q4977" t="s">
        <v>43418</v>
      </c>
      <c r="S4977" t="s">
        <v>9606</v>
      </c>
      <c r="T4977" t="s">
        <v>30</v>
      </c>
      <c r="U4977" t="s">
        <v>46</v>
      </c>
      <c r="W4977" t="s">
        <v>26009</v>
      </c>
    </row>
    <row r="4978" spans="1:23" x14ac:dyDescent="0.35">
      <c r="A4978">
        <v>1318297</v>
      </c>
      <c r="B4978" t="s">
        <v>43419</v>
      </c>
      <c r="C4978" t="str">
        <f>"9780199988716"</f>
        <v>9780199988716</v>
      </c>
      <c r="D4978" t="str">
        <f>"9780199988723"</f>
        <v>9780199988723</v>
      </c>
      <c r="E4978" t="s">
        <v>371</v>
      </c>
      <c r="F4978" t="s">
        <v>31</v>
      </c>
      <c r="G4978" t="s">
        <v>22703</v>
      </c>
      <c r="H4978" t="s">
        <v>26004</v>
      </c>
      <c r="I4978" s="26">
        <v>41548</v>
      </c>
      <c r="J4978">
        <v>2013</v>
      </c>
      <c r="K4978" t="s">
        <v>31</v>
      </c>
      <c r="L4978">
        <v>219</v>
      </c>
      <c r="M4978" t="s">
        <v>43420</v>
      </c>
      <c r="Q4978" t="s">
        <v>43421</v>
      </c>
      <c r="R4978">
        <v>362.19689009730001</v>
      </c>
      <c r="S4978" t="s">
        <v>43422</v>
      </c>
      <c r="T4978" t="s">
        <v>30</v>
      </c>
      <c r="U4978" t="s">
        <v>29209</v>
      </c>
      <c r="W4978" t="s">
        <v>26009</v>
      </c>
    </row>
    <row r="4979" spans="1:23" x14ac:dyDescent="0.35">
      <c r="A4979">
        <v>1318361</v>
      </c>
      <c r="B4979" t="s">
        <v>8632</v>
      </c>
      <c r="C4979" t="str">
        <f>"9780826109637"</f>
        <v>9780826109637</v>
      </c>
      <c r="D4979" t="str">
        <f>"9780826109644"</f>
        <v>9780826109644</v>
      </c>
      <c r="E4979" t="s">
        <v>1504</v>
      </c>
      <c r="F4979" t="s">
        <v>33</v>
      </c>
      <c r="G4979" t="s">
        <v>22179</v>
      </c>
      <c r="H4979" t="s">
        <v>26004</v>
      </c>
      <c r="I4979" s="26">
        <v>41426</v>
      </c>
      <c r="J4979">
        <v>2013</v>
      </c>
      <c r="K4979" t="s">
        <v>33</v>
      </c>
      <c r="L4979">
        <v>589</v>
      </c>
      <c r="M4979" t="s">
        <v>43423</v>
      </c>
      <c r="N4979">
        <v>1</v>
      </c>
      <c r="Q4979" t="s">
        <v>43424</v>
      </c>
      <c r="S4979" t="s">
        <v>43425</v>
      </c>
      <c r="T4979" t="s">
        <v>30</v>
      </c>
      <c r="U4979" t="s">
        <v>26094</v>
      </c>
      <c r="W4979" t="s">
        <v>26009</v>
      </c>
    </row>
    <row r="4980" spans="1:23" x14ac:dyDescent="0.35">
      <c r="A4980">
        <v>1318955</v>
      </c>
      <c r="B4980" t="s">
        <v>43426</v>
      </c>
      <c r="C4980" t="str">
        <f>"9780415696449"</f>
        <v>9780415696449</v>
      </c>
      <c r="D4980" t="str">
        <f>"9781135041533"</f>
        <v>9781135041533</v>
      </c>
      <c r="E4980" t="s">
        <v>26010</v>
      </c>
      <c r="F4980" t="s">
        <v>35</v>
      </c>
      <c r="G4980" t="s">
        <v>22174</v>
      </c>
      <c r="H4980" t="s">
        <v>26011</v>
      </c>
      <c r="I4980" s="26">
        <v>41456</v>
      </c>
      <c r="J4980">
        <v>2013</v>
      </c>
      <c r="K4980" t="s">
        <v>26012</v>
      </c>
      <c r="L4980">
        <v>201</v>
      </c>
      <c r="M4980" t="s">
        <v>43427</v>
      </c>
      <c r="N4980">
        <v>1</v>
      </c>
      <c r="Q4980" t="s">
        <v>43428</v>
      </c>
      <c r="R4980">
        <v>616.89139999999998</v>
      </c>
      <c r="S4980" t="s">
        <v>8913</v>
      </c>
      <c r="T4980" t="s">
        <v>30</v>
      </c>
      <c r="U4980" t="s">
        <v>26019</v>
      </c>
      <c r="W4980" t="s">
        <v>26009</v>
      </c>
    </row>
    <row r="4981" spans="1:23" x14ac:dyDescent="0.35">
      <c r="A4981">
        <v>1318963</v>
      </c>
      <c r="B4981" t="s">
        <v>43429</v>
      </c>
      <c r="C4981" t="str">
        <f>"9780415810227"</f>
        <v>9780415810227</v>
      </c>
      <c r="D4981" t="str">
        <f>"9781136487057"</f>
        <v>9781136487057</v>
      </c>
      <c r="E4981" t="s">
        <v>26010</v>
      </c>
      <c r="F4981" t="s">
        <v>35</v>
      </c>
      <c r="G4981" t="s">
        <v>22174</v>
      </c>
      <c r="H4981" t="s">
        <v>26011</v>
      </c>
      <c r="I4981" s="26">
        <v>41393</v>
      </c>
      <c r="J4981">
        <v>2013</v>
      </c>
      <c r="K4981" t="s">
        <v>26012</v>
      </c>
      <c r="L4981">
        <v>212</v>
      </c>
      <c r="M4981" t="s">
        <v>43430</v>
      </c>
      <c r="N4981">
        <v>1</v>
      </c>
      <c r="Q4981" t="s">
        <v>43431</v>
      </c>
      <c r="R4981">
        <v>361.06089680730003</v>
      </c>
      <c r="S4981" t="s">
        <v>7681</v>
      </c>
      <c r="T4981" t="s">
        <v>30</v>
      </c>
      <c r="U4981" t="s">
        <v>26228</v>
      </c>
      <c r="W4981" t="s">
        <v>26009</v>
      </c>
    </row>
    <row r="4982" spans="1:23" x14ac:dyDescent="0.35">
      <c r="A4982">
        <v>1318971</v>
      </c>
      <c r="B4982" t="s">
        <v>43432</v>
      </c>
      <c r="C4982" t="str">
        <f>"9780415814249"</f>
        <v>9780415814249</v>
      </c>
      <c r="D4982" t="str">
        <f>"9781135079475"</f>
        <v>9781135079475</v>
      </c>
      <c r="E4982" t="s">
        <v>26010</v>
      </c>
      <c r="F4982" t="s">
        <v>35</v>
      </c>
      <c r="G4982" t="s">
        <v>22174</v>
      </c>
      <c r="H4982" t="s">
        <v>26011</v>
      </c>
      <c r="I4982" s="26">
        <v>41389</v>
      </c>
      <c r="J4982">
        <v>2013</v>
      </c>
      <c r="K4982" t="s">
        <v>26012</v>
      </c>
      <c r="L4982">
        <v>209</v>
      </c>
      <c r="M4982" t="s">
        <v>43433</v>
      </c>
      <c r="N4982">
        <v>1</v>
      </c>
      <c r="Q4982" t="s">
        <v>43434</v>
      </c>
      <c r="R4982">
        <v>616.85889999999995</v>
      </c>
      <c r="S4982" t="s">
        <v>43435</v>
      </c>
      <c r="T4982" t="s">
        <v>30</v>
      </c>
      <c r="U4982" t="s">
        <v>26040</v>
      </c>
      <c r="W4982" t="s">
        <v>26009</v>
      </c>
    </row>
    <row r="4983" spans="1:23" x14ac:dyDescent="0.35">
      <c r="A4983">
        <v>1319025</v>
      </c>
      <c r="B4983" t="s">
        <v>43436</v>
      </c>
      <c r="C4983" t="str">
        <f>"9780415682305"</f>
        <v>9780415682305</v>
      </c>
      <c r="D4983" t="str">
        <f>"9781135044213"</f>
        <v>9781135044213</v>
      </c>
      <c r="E4983" t="s">
        <v>26010</v>
      </c>
      <c r="F4983" t="s">
        <v>35</v>
      </c>
      <c r="G4983" t="s">
        <v>22174</v>
      </c>
      <c r="H4983" t="s">
        <v>26011</v>
      </c>
      <c r="I4983" s="26">
        <v>41445</v>
      </c>
      <c r="J4983">
        <v>2014</v>
      </c>
      <c r="K4983" t="s">
        <v>26012</v>
      </c>
      <c r="L4983">
        <v>320</v>
      </c>
      <c r="M4983" t="s">
        <v>43437</v>
      </c>
      <c r="N4983">
        <v>2</v>
      </c>
      <c r="Q4983" t="s">
        <v>43438</v>
      </c>
      <c r="R4983" t="s">
        <v>27122</v>
      </c>
      <c r="S4983" t="s">
        <v>43439</v>
      </c>
      <c r="T4983" t="s">
        <v>30</v>
      </c>
      <c r="U4983" t="s">
        <v>26116</v>
      </c>
      <c r="W4983" t="s">
        <v>26009</v>
      </c>
    </row>
    <row r="4984" spans="1:23" x14ac:dyDescent="0.35">
      <c r="A4984">
        <v>1319421</v>
      </c>
      <c r="B4984" t="s">
        <v>43440</v>
      </c>
      <c r="C4984" t="str">
        <f>"9781442238206"</f>
        <v>9781442238206</v>
      </c>
      <c r="D4984" t="str">
        <f>"9780765708748"</f>
        <v>9780765708748</v>
      </c>
      <c r="E4984" t="s">
        <v>33803</v>
      </c>
      <c r="F4984" t="s">
        <v>38</v>
      </c>
      <c r="G4984" t="s">
        <v>34328</v>
      </c>
      <c r="H4984" t="s">
        <v>26004</v>
      </c>
      <c r="I4984" s="26">
        <v>41234</v>
      </c>
      <c r="J4984">
        <v>2012</v>
      </c>
      <c r="K4984" t="s">
        <v>33811</v>
      </c>
      <c r="L4984">
        <v>113</v>
      </c>
      <c r="M4984" t="s">
        <v>43441</v>
      </c>
      <c r="N4984">
        <v>1</v>
      </c>
      <c r="Q4984" t="s">
        <v>43442</v>
      </c>
      <c r="R4984">
        <v>153</v>
      </c>
      <c r="S4984" t="s">
        <v>43443</v>
      </c>
      <c r="T4984" t="s">
        <v>30</v>
      </c>
      <c r="U4984" t="s">
        <v>26116</v>
      </c>
      <c r="W4984" t="s">
        <v>26009</v>
      </c>
    </row>
    <row r="4985" spans="1:23" x14ac:dyDescent="0.35">
      <c r="A4985">
        <v>1319584</v>
      </c>
      <c r="B4985" t="s">
        <v>43444</v>
      </c>
      <c r="C4985" t="str">
        <f>"9780812696868"</f>
        <v>9780812696868</v>
      </c>
      <c r="D4985" t="str">
        <f>"9780812698466"</f>
        <v>9780812698466</v>
      </c>
      <c r="E4985" t="s">
        <v>28153</v>
      </c>
      <c r="F4985" t="s">
        <v>10048</v>
      </c>
      <c r="G4985" t="s">
        <v>22352</v>
      </c>
      <c r="H4985" t="s">
        <v>26004</v>
      </c>
      <c r="I4985" s="26">
        <v>41500</v>
      </c>
      <c r="J4985">
        <v>2013</v>
      </c>
      <c r="K4985" t="s">
        <v>10048</v>
      </c>
      <c r="L4985">
        <v>305</v>
      </c>
      <c r="M4985" t="s">
        <v>43445</v>
      </c>
      <c r="Q4985" t="s">
        <v>43446</v>
      </c>
      <c r="R4985">
        <v>616.89139999999998</v>
      </c>
      <c r="S4985" t="s">
        <v>7648</v>
      </c>
      <c r="T4985" t="s">
        <v>30</v>
      </c>
      <c r="U4985" t="s">
        <v>26116</v>
      </c>
      <c r="W4985" t="s">
        <v>43447</v>
      </c>
    </row>
    <row r="4986" spans="1:23" x14ac:dyDescent="0.35">
      <c r="A4986">
        <v>1322597</v>
      </c>
      <c r="B4986" t="s">
        <v>10182</v>
      </c>
      <c r="C4986" t="str">
        <f>"9781843100553"</f>
        <v>9781843100553</v>
      </c>
      <c r="D4986" t="str">
        <f>"9781846423093"</f>
        <v>9781846423093</v>
      </c>
      <c r="E4986" t="s">
        <v>146</v>
      </c>
      <c r="F4986" t="s">
        <v>146</v>
      </c>
      <c r="G4986" t="s">
        <v>22174</v>
      </c>
      <c r="H4986" t="s">
        <v>26011</v>
      </c>
      <c r="I4986" s="26">
        <v>37210</v>
      </c>
      <c r="J4986">
        <v>2001</v>
      </c>
      <c r="K4986" t="s">
        <v>146</v>
      </c>
      <c r="L4986">
        <v>159</v>
      </c>
      <c r="M4986" t="s">
        <v>43448</v>
      </c>
      <c r="N4986">
        <v>1</v>
      </c>
      <c r="R4986" t="s">
        <v>43449</v>
      </c>
      <c r="S4986" t="s">
        <v>43450</v>
      </c>
      <c r="T4986" t="s">
        <v>30</v>
      </c>
      <c r="U4986" t="s">
        <v>26040</v>
      </c>
      <c r="W4986" t="s">
        <v>28347</v>
      </c>
    </row>
    <row r="4987" spans="1:23" x14ac:dyDescent="0.35">
      <c r="A4987">
        <v>1323303</v>
      </c>
      <c r="B4987" t="s">
        <v>43451</v>
      </c>
      <c r="C4987" t="str">
        <f>"9780805849639"</f>
        <v>9780805849639</v>
      </c>
      <c r="D4987" t="str">
        <f>"9781135067786"</f>
        <v>9781135067786</v>
      </c>
      <c r="E4987" t="s">
        <v>26010</v>
      </c>
      <c r="F4987" t="s">
        <v>35</v>
      </c>
      <c r="G4987" t="s">
        <v>22174</v>
      </c>
      <c r="H4987" t="s">
        <v>26011</v>
      </c>
      <c r="I4987" s="26">
        <v>41407</v>
      </c>
      <c r="J4987">
        <v>2013</v>
      </c>
      <c r="K4987" t="s">
        <v>660</v>
      </c>
      <c r="L4987">
        <v>233</v>
      </c>
      <c r="M4987" t="s">
        <v>43452</v>
      </c>
      <c r="N4987">
        <v>1</v>
      </c>
      <c r="Q4987" t="s">
        <v>43453</v>
      </c>
      <c r="R4987">
        <v>414</v>
      </c>
      <c r="S4987" t="s">
        <v>8258</v>
      </c>
      <c r="T4987" t="s">
        <v>30</v>
      </c>
      <c r="U4987" t="s">
        <v>28384</v>
      </c>
      <c r="W4987" t="s">
        <v>26009</v>
      </c>
    </row>
    <row r="4988" spans="1:23" x14ac:dyDescent="0.35">
      <c r="A4988">
        <v>1323339</v>
      </c>
      <c r="B4988" t="s">
        <v>43454</v>
      </c>
      <c r="C4988" t="str">
        <f>"9780415842129"</f>
        <v>9780415842129</v>
      </c>
      <c r="D4988" t="str">
        <f>"9781135018795"</f>
        <v>9781135018795</v>
      </c>
      <c r="E4988" t="s">
        <v>26010</v>
      </c>
      <c r="F4988" t="s">
        <v>35</v>
      </c>
      <c r="G4988" t="s">
        <v>26337</v>
      </c>
      <c r="H4988" t="s">
        <v>26011</v>
      </c>
      <c r="I4988" s="26">
        <v>41425</v>
      </c>
      <c r="J4988">
        <v>1980</v>
      </c>
      <c r="K4988" t="s">
        <v>26012</v>
      </c>
      <c r="L4988">
        <v>371</v>
      </c>
      <c r="M4988" t="s">
        <v>43455</v>
      </c>
      <c r="N4988">
        <v>1</v>
      </c>
      <c r="O4988" t="s">
        <v>43229</v>
      </c>
      <c r="Q4988" t="s">
        <v>43456</v>
      </c>
      <c r="R4988">
        <v>302.23450000000003</v>
      </c>
      <c r="S4988" t="s">
        <v>43457</v>
      </c>
      <c r="T4988" t="s">
        <v>30</v>
      </c>
      <c r="U4988" t="s">
        <v>30657</v>
      </c>
      <c r="W4988" t="s">
        <v>26009</v>
      </c>
    </row>
    <row r="4989" spans="1:23" x14ac:dyDescent="0.35">
      <c r="A4989">
        <v>1323691</v>
      </c>
      <c r="B4989" t="s">
        <v>43458</v>
      </c>
      <c r="C4989" t="str">
        <f>"9781608826698"</f>
        <v>9781608826698</v>
      </c>
      <c r="D4989" t="str">
        <f>"9781608826704"</f>
        <v>9781608826704</v>
      </c>
      <c r="E4989" t="s">
        <v>7424</v>
      </c>
      <c r="F4989" t="s">
        <v>7424</v>
      </c>
      <c r="G4989" t="s">
        <v>43459</v>
      </c>
      <c r="H4989" t="s">
        <v>26004</v>
      </c>
      <c r="I4989" s="26">
        <v>41518</v>
      </c>
      <c r="J4989">
        <v>2013</v>
      </c>
      <c r="K4989" t="s">
        <v>7424</v>
      </c>
      <c r="L4989">
        <v>189</v>
      </c>
      <c r="M4989" t="s">
        <v>43460</v>
      </c>
      <c r="N4989">
        <v>1</v>
      </c>
      <c r="Q4989" t="s">
        <v>43461</v>
      </c>
      <c r="R4989" t="s">
        <v>28942</v>
      </c>
      <c r="S4989" t="s">
        <v>7426</v>
      </c>
      <c r="T4989" t="s">
        <v>30</v>
      </c>
      <c r="U4989" t="s">
        <v>26116</v>
      </c>
      <c r="W4989" t="s">
        <v>26009</v>
      </c>
    </row>
    <row r="4990" spans="1:23" x14ac:dyDescent="0.35">
      <c r="A4990">
        <v>1331855</v>
      </c>
      <c r="B4990" t="s">
        <v>8320</v>
      </c>
      <c r="C4990" t="str">
        <f>"9781848721401"</f>
        <v>9781848721401</v>
      </c>
      <c r="D4990" t="str">
        <f>"9781135068707"</f>
        <v>9781135068707</v>
      </c>
      <c r="E4990" t="s">
        <v>26010</v>
      </c>
      <c r="F4990" t="s">
        <v>35</v>
      </c>
      <c r="G4990" t="s">
        <v>22174</v>
      </c>
      <c r="H4990" t="s">
        <v>26011</v>
      </c>
      <c r="I4990" s="26">
        <v>41474</v>
      </c>
      <c r="J4990">
        <v>2013</v>
      </c>
      <c r="K4990" t="s">
        <v>660</v>
      </c>
      <c r="L4990">
        <v>333</v>
      </c>
      <c r="M4990" t="s">
        <v>43462</v>
      </c>
      <c r="N4990">
        <v>1</v>
      </c>
      <c r="O4990" t="s">
        <v>43463</v>
      </c>
      <c r="Q4990" t="s">
        <v>43464</v>
      </c>
      <c r="R4990">
        <v>153.1</v>
      </c>
      <c r="S4990" t="s">
        <v>8184</v>
      </c>
      <c r="T4990" t="s">
        <v>30</v>
      </c>
      <c r="U4990" t="s">
        <v>46</v>
      </c>
      <c r="W4990" t="s">
        <v>26009</v>
      </c>
    </row>
    <row r="4991" spans="1:23" x14ac:dyDescent="0.35">
      <c r="A4991">
        <v>1331870</v>
      </c>
      <c r="B4991" t="s">
        <v>43465</v>
      </c>
      <c r="C4991" t="str">
        <f>"9780415831482"</f>
        <v>9780415831482</v>
      </c>
      <c r="D4991" t="str">
        <f>"9781135137755"</f>
        <v>9781135137755</v>
      </c>
      <c r="E4991" t="s">
        <v>26010</v>
      </c>
      <c r="F4991" t="s">
        <v>35</v>
      </c>
      <c r="G4991" t="s">
        <v>22174</v>
      </c>
      <c r="H4991" t="s">
        <v>26011</v>
      </c>
      <c r="I4991" s="26">
        <v>41486</v>
      </c>
      <c r="J4991">
        <v>2014</v>
      </c>
      <c r="K4991" t="s">
        <v>26012</v>
      </c>
      <c r="L4991">
        <v>116</v>
      </c>
      <c r="M4991" t="s">
        <v>43466</v>
      </c>
      <c r="N4991">
        <v>1</v>
      </c>
      <c r="Q4991" t="s">
        <v>43467</v>
      </c>
      <c r="R4991">
        <v>616.89152000000001</v>
      </c>
      <c r="S4991" t="s">
        <v>8553</v>
      </c>
      <c r="T4991" t="s">
        <v>30</v>
      </c>
      <c r="U4991" t="s">
        <v>26116</v>
      </c>
      <c r="W4991" t="s">
        <v>26009</v>
      </c>
    </row>
    <row r="4992" spans="1:23" x14ac:dyDescent="0.35">
      <c r="A4992">
        <v>1332612</v>
      </c>
      <c r="B4992" t="s">
        <v>43468</v>
      </c>
      <c r="C4992" t="str">
        <f>"9780804787444"</f>
        <v>9780804787444</v>
      </c>
      <c r="D4992" t="str">
        <f>"9780804788304"</f>
        <v>9780804788304</v>
      </c>
      <c r="E4992" t="s">
        <v>8284</v>
      </c>
      <c r="F4992" t="s">
        <v>8284</v>
      </c>
      <c r="G4992" t="s">
        <v>23524</v>
      </c>
      <c r="H4992" t="s">
        <v>26004</v>
      </c>
      <c r="I4992" s="26">
        <v>41535</v>
      </c>
      <c r="J4992">
        <v>2013</v>
      </c>
      <c r="K4992" t="s">
        <v>8284</v>
      </c>
      <c r="L4992">
        <v>329</v>
      </c>
      <c r="M4992" t="s">
        <v>34657</v>
      </c>
      <c r="N4992">
        <v>1</v>
      </c>
      <c r="Q4992" t="s">
        <v>38075</v>
      </c>
      <c r="S4992" t="s">
        <v>43469</v>
      </c>
      <c r="T4992" t="s">
        <v>30</v>
      </c>
      <c r="U4992" t="s">
        <v>46</v>
      </c>
      <c r="W4992" t="s">
        <v>26009</v>
      </c>
    </row>
    <row r="4993" spans="1:23" x14ac:dyDescent="0.35">
      <c r="A4993">
        <v>1334550</v>
      </c>
      <c r="B4993" t="s">
        <v>43470</v>
      </c>
      <c r="C4993" t="str">
        <f>"9781845401665"</f>
        <v>9781845401665</v>
      </c>
      <c r="D4993" t="str">
        <f>"9781845405021"</f>
        <v>9781845405021</v>
      </c>
      <c r="E4993" t="s">
        <v>39189</v>
      </c>
      <c r="F4993" t="s">
        <v>8703</v>
      </c>
      <c r="G4993" t="s">
        <v>39437</v>
      </c>
      <c r="H4993" t="s">
        <v>26011</v>
      </c>
      <c r="I4993" s="26">
        <v>39995</v>
      </c>
      <c r="J4993">
        <v>2013</v>
      </c>
      <c r="K4993" t="s">
        <v>39191</v>
      </c>
      <c r="L4993">
        <v>182</v>
      </c>
      <c r="M4993" t="s">
        <v>43471</v>
      </c>
      <c r="N4993">
        <v>1</v>
      </c>
      <c r="Q4993" t="s">
        <v>43472</v>
      </c>
      <c r="R4993">
        <v>616.89089999999999</v>
      </c>
      <c r="S4993" t="s">
        <v>43473</v>
      </c>
      <c r="T4993" t="s">
        <v>30</v>
      </c>
      <c r="U4993" t="s">
        <v>34796</v>
      </c>
      <c r="W4993" t="s">
        <v>26009</v>
      </c>
    </row>
    <row r="4994" spans="1:23" x14ac:dyDescent="0.35">
      <c r="A4994">
        <v>1336218</v>
      </c>
      <c r="B4994" t="s">
        <v>9729</v>
      </c>
      <c r="C4994" t="str">
        <f>"9781409469780"</f>
        <v>9781409469780</v>
      </c>
      <c r="D4994" t="str">
        <f>"9781409469797"</f>
        <v>9781409469797</v>
      </c>
      <c r="E4994" t="s">
        <v>26010</v>
      </c>
      <c r="F4994" t="s">
        <v>35</v>
      </c>
      <c r="G4994" t="s">
        <v>33516</v>
      </c>
      <c r="H4994" t="s">
        <v>26011</v>
      </c>
      <c r="I4994" s="26">
        <v>41516</v>
      </c>
      <c r="J4994">
        <v>2013</v>
      </c>
      <c r="K4994" t="s">
        <v>26470</v>
      </c>
      <c r="L4994">
        <v>297</v>
      </c>
      <c r="M4994" t="s">
        <v>43474</v>
      </c>
      <c r="N4994">
        <v>1</v>
      </c>
      <c r="O4994" t="s">
        <v>43475</v>
      </c>
      <c r="Q4994" t="s">
        <v>43476</v>
      </c>
      <c r="R4994">
        <v>362.10680000000002</v>
      </c>
      <c r="S4994" t="s">
        <v>43477</v>
      </c>
      <c r="T4994" t="s">
        <v>30</v>
      </c>
      <c r="U4994" t="s">
        <v>26250</v>
      </c>
      <c r="W4994" t="s">
        <v>26009</v>
      </c>
    </row>
    <row r="4995" spans="1:23" x14ac:dyDescent="0.35">
      <c r="A4995">
        <v>1336466</v>
      </c>
      <c r="B4995" t="s">
        <v>9931</v>
      </c>
      <c r="C4995" t="str">
        <f>"9780195386448"</f>
        <v>9780195386448</v>
      </c>
      <c r="D4995" t="str">
        <f>"9780199874750"</f>
        <v>9780199874750</v>
      </c>
      <c r="E4995" t="s">
        <v>371</v>
      </c>
      <c r="F4995" t="s">
        <v>31</v>
      </c>
      <c r="G4995" t="s">
        <v>22703</v>
      </c>
      <c r="H4995" t="s">
        <v>26004</v>
      </c>
      <c r="I4995" s="26">
        <v>41242</v>
      </c>
      <c r="J4995">
        <v>2012</v>
      </c>
      <c r="K4995" t="s">
        <v>31</v>
      </c>
      <c r="L4995">
        <v>268</v>
      </c>
      <c r="M4995" t="s">
        <v>43478</v>
      </c>
      <c r="O4995" t="s">
        <v>43335</v>
      </c>
      <c r="Q4995" t="s">
        <v>43479</v>
      </c>
      <c r="R4995">
        <v>158.30000000000001</v>
      </c>
      <c r="S4995" t="s">
        <v>43480</v>
      </c>
      <c r="T4995" t="s">
        <v>30</v>
      </c>
      <c r="U4995" t="s">
        <v>46</v>
      </c>
      <c r="W4995" t="s">
        <v>26009</v>
      </c>
    </row>
    <row r="4996" spans="1:23" x14ac:dyDescent="0.35">
      <c r="A4996">
        <v>1336509</v>
      </c>
      <c r="B4996" t="s">
        <v>9583</v>
      </c>
      <c r="C4996" t="str">
        <f>"9780199845491"</f>
        <v>9780199845491</v>
      </c>
      <c r="D4996" t="str">
        <f>"9780199845507"</f>
        <v>9780199845507</v>
      </c>
      <c r="E4996" t="s">
        <v>371</v>
      </c>
      <c r="F4996" t="s">
        <v>31</v>
      </c>
      <c r="G4996" t="s">
        <v>22703</v>
      </c>
      <c r="H4996" t="s">
        <v>26004</v>
      </c>
      <c r="I4996" s="26">
        <v>41521</v>
      </c>
      <c r="J4996">
        <v>2013</v>
      </c>
      <c r="K4996" t="s">
        <v>31</v>
      </c>
      <c r="L4996">
        <v>839</v>
      </c>
      <c r="M4996" t="s">
        <v>43481</v>
      </c>
      <c r="N4996">
        <v>3</v>
      </c>
      <c r="Q4996" t="s">
        <v>43482</v>
      </c>
      <c r="R4996">
        <v>616.89</v>
      </c>
      <c r="S4996" t="s">
        <v>43483</v>
      </c>
      <c r="T4996" t="s">
        <v>30</v>
      </c>
      <c r="U4996" t="s">
        <v>26019</v>
      </c>
      <c r="W4996" t="s">
        <v>26009</v>
      </c>
    </row>
    <row r="4997" spans="1:23" x14ac:dyDescent="0.35">
      <c r="A4997">
        <v>1336618</v>
      </c>
      <c r="B4997" t="s">
        <v>43484</v>
      </c>
      <c r="C4997" t="str">
        <f>"9780826199393"</f>
        <v>9780826199393</v>
      </c>
      <c r="D4997" t="str">
        <f>"9780826199416"</f>
        <v>9780826199416</v>
      </c>
      <c r="E4997" t="s">
        <v>1504</v>
      </c>
      <c r="F4997" t="s">
        <v>33</v>
      </c>
      <c r="G4997" t="s">
        <v>22179</v>
      </c>
      <c r="H4997" t="s">
        <v>26004</v>
      </c>
      <c r="I4997" s="26">
        <v>41487</v>
      </c>
      <c r="J4997">
        <v>2013</v>
      </c>
      <c r="K4997" t="s">
        <v>33</v>
      </c>
      <c r="L4997">
        <v>273</v>
      </c>
      <c r="M4997" t="s">
        <v>43485</v>
      </c>
      <c r="N4997">
        <v>1</v>
      </c>
      <c r="Q4997" t="s">
        <v>43486</v>
      </c>
      <c r="R4997" t="s">
        <v>43487</v>
      </c>
      <c r="S4997" t="s">
        <v>43488</v>
      </c>
      <c r="T4997" t="s">
        <v>30</v>
      </c>
      <c r="U4997" t="s">
        <v>26116</v>
      </c>
      <c r="W4997" t="s">
        <v>26009</v>
      </c>
    </row>
    <row r="4998" spans="1:23" x14ac:dyDescent="0.35">
      <c r="A4998">
        <v>1336820</v>
      </c>
      <c r="B4998" t="s">
        <v>43489</v>
      </c>
      <c r="C4998" t="str">
        <f>"9781443844703"</f>
        <v>9781443844703</v>
      </c>
      <c r="D4998" t="str">
        <f>"9781443851107"</f>
        <v>9781443851107</v>
      </c>
      <c r="E4998" t="s">
        <v>7812</v>
      </c>
      <c r="F4998" t="s">
        <v>7812</v>
      </c>
      <c r="G4998" t="s">
        <v>41984</v>
      </c>
      <c r="H4998" t="s">
        <v>26011</v>
      </c>
      <c r="I4998" s="26">
        <v>41360</v>
      </c>
      <c r="J4998">
        <v>2013</v>
      </c>
      <c r="K4998" t="s">
        <v>7812</v>
      </c>
      <c r="L4998">
        <v>270</v>
      </c>
      <c r="M4998" t="s">
        <v>43490</v>
      </c>
      <c r="N4998">
        <v>1</v>
      </c>
      <c r="Q4998" t="s">
        <v>43491</v>
      </c>
      <c r="R4998">
        <v>303.625</v>
      </c>
      <c r="S4998" t="s">
        <v>43492</v>
      </c>
      <c r="T4998" t="s">
        <v>30</v>
      </c>
      <c r="U4998" t="s">
        <v>26044</v>
      </c>
      <c r="W4998" t="s">
        <v>26009</v>
      </c>
    </row>
    <row r="4999" spans="1:23" x14ac:dyDescent="0.35">
      <c r="A4999">
        <v>1337695</v>
      </c>
      <c r="B4999" t="s">
        <v>43493</v>
      </c>
      <c r="C4999" t="str">
        <f>""</f>
        <v/>
      </c>
      <c r="D4999" t="str">
        <f>"9781845458317"</f>
        <v>9781845458317</v>
      </c>
      <c r="E4999" t="s">
        <v>34636</v>
      </c>
      <c r="F4999" t="s">
        <v>7472</v>
      </c>
      <c r="G4999" t="s">
        <v>31126</v>
      </c>
      <c r="H4999" t="s">
        <v>26004</v>
      </c>
      <c r="I4999" s="26">
        <v>40299</v>
      </c>
      <c r="J4999">
        <v>2010</v>
      </c>
      <c r="K4999" t="s">
        <v>7472</v>
      </c>
      <c r="L4999">
        <v>195</v>
      </c>
      <c r="M4999" t="s">
        <v>43494</v>
      </c>
      <c r="N4999">
        <v>1</v>
      </c>
      <c r="O4999" t="s">
        <v>43495</v>
      </c>
      <c r="P4999">
        <v>2</v>
      </c>
      <c r="Q4999" t="s">
        <v>43496</v>
      </c>
      <c r="R4999" t="s">
        <v>43497</v>
      </c>
      <c r="S4999" t="s">
        <v>43498</v>
      </c>
      <c r="T4999" t="s">
        <v>30</v>
      </c>
      <c r="U4999" t="s">
        <v>33573</v>
      </c>
      <c r="W4999" t="s">
        <v>26009</v>
      </c>
    </row>
    <row r="5000" spans="1:23" x14ac:dyDescent="0.35">
      <c r="A5000">
        <v>1337871</v>
      </c>
      <c r="B5000" t="s">
        <v>8487</v>
      </c>
      <c r="C5000" t="str">
        <f>"9781936287703"</f>
        <v>9781936287703</v>
      </c>
      <c r="D5000" t="str">
        <f>"9781617051197"</f>
        <v>9781617051197</v>
      </c>
      <c r="E5000" t="s">
        <v>1504</v>
      </c>
      <c r="F5000" t="s">
        <v>33</v>
      </c>
      <c r="G5000" t="s">
        <v>22179</v>
      </c>
      <c r="H5000" t="s">
        <v>26004</v>
      </c>
      <c r="I5000" s="26">
        <v>41821</v>
      </c>
      <c r="J5000">
        <v>2013</v>
      </c>
      <c r="K5000" t="s">
        <v>9010</v>
      </c>
      <c r="L5000">
        <v>249</v>
      </c>
      <c r="M5000" t="s">
        <v>43499</v>
      </c>
      <c r="N5000">
        <v>1</v>
      </c>
      <c r="Q5000" t="s">
        <v>43500</v>
      </c>
      <c r="R5000" t="s">
        <v>43501</v>
      </c>
      <c r="S5000" t="s">
        <v>43502</v>
      </c>
      <c r="T5000" t="s">
        <v>30</v>
      </c>
      <c r="U5000" t="s">
        <v>26040</v>
      </c>
      <c r="W5000" t="s">
        <v>26009</v>
      </c>
    </row>
    <row r="5001" spans="1:23" x14ac:dyDescent="0.35">
      <c r="A5001">
        <v>1341910</v>
      </c>
      <c r="B5001" t="s">
        <v>8798</v>
      </c>
      <c r="C5001" t="str">
        <f>"9781781908884"</f>
        <v>9781781908884</v>
      </c>
      <c r="D5001" t="str">
        <f>"9781781908891"</f>
        <v>9781781908891</v>
      </c>
      <c r="E5001" t="s">
        <v>7442</v>
      </c>
      <c r="F5001" t="s">
        <v>7442</v>
      </c>
      <c r="G5001" t="s">
        <v>22261</v>
      </c>
      <c r="H5001" t="s">
        <v>26011</v>
      </c>
      <c r="I5001" s="26">
        <v>41495</v>
      </c>
      <c r="J5001">
        <v>2013</v>
      </c>
      <c r="K5001" t="s">
        <v>7442</v>
      </c>
      <c r="L5001">
        <v>358</v>
      </c>
      <c r="M5001" t="s">
        <v>43503</v>
      </c>
      <c r="N5001">
        <v>1</v>
      </c>
      <c r="O5001" t="s">
        <v>33567</v>
      </c>
      <c r="P5001">
        <v>9</v>
      </c>
      <c r="Q5001" t="s">
        <v>43504</v>
      </c>
      <c r="R5001">
        <v>158.69999999999999</v>
      </c>
      <c r="S5001" t="s">
        <v>7778</v>
      </c>
      <c r="T5001" t="s">
        <v>30</v>
      </c>
      <c r="U5001" t="s">
        <v>33989</v>
      </c>
      <c r="W5001" t="s">
        <v>33559</v>
      </c>
    </row>
    <row r="5002" spans="1:23" x14ac:dyDescent="0.35">
      <c r="A5002">
        <v>1344541</v>
      </c>
      <c r="B5002" t="s">
        <v>43505</v>
      </c>
      <c r="C5002" t="str">
        <f>"9780415688604"</f>
        <v>9780415688604</v>
      </c>
      <c r="D5002" t="str">
        <f>"9781136185359"</f>
        <v>9781136185359</v>
      </c>
      <c r="E5002" t="s">
        <v>26010</v>
      </c>
      <c r="F5002" t="s">
        <v>35</v>
      </c>
      <c r="G5002" t="s">
        <v>22174</v>
      </c>
      <c r="H5002" t="s">
        <v>26011</v>
      </c>
      <c r="I5002" s="26">
        <v>41502</v>
      </c>
      <c r="J5002">
        <v>2013</v>
      </c>
      <c r="K5002" t="s">
        <v>26012</v>
      </c>
      <c r="L5002">
        <v>288</v>
      </c>
      <c r="M5002" t="s">
        <v>43506</v>
      </c>
      <c r="N5002">
        <v>1</v>
      </c>
      <c r="O5002" t="s">
        <v>36401</v>
      </c>
      <c r="Q5002" t="s">
        <v>43507</v>
      </c>
      <c r="R5002">
        <v>364.3</v>
      </c>
      <c r="S5002" t="s">
        <v>7885</v>
      </c>
      <c r="T5002" t="s">
        <v>30</v>
      </c>
      <c r="U5002" t="s">
        <v>26044</v>
      </c>
      <c r="W5002" t="s">
        <v>26009</v>
      </c>
    </row>
    <row r="5003" spans="1:23" x14ac:dyDescent="0.35">
      <c r="A5003">
        <v>1344648</v>
      </c>
      <c r="B5003" t="s">
        <v>43508</v>
      </c>
      <c r="C5003" t="str">
        <f>"9780415953306"</f>
        <v>9780415953306</v>
      </c>
      <c r="D5003" t="str">
        <f>"9781135926120"</f>
        <v>9781135926120</v>
      </c>
      <c r="E5003" t="s">
        <v>26010</v>
      </c>
      <c r="F5003" t="s">
        <v>35</v>
      </c>
      <c r="G5003" t="s">
        <v>22174</v>
      </c>
      <c r="H5003" t="s">
        <v>26011</v>
      </c>
      <c r="I5003" s="26">
        <v>41411</v>
      </c>
      <c r="J5003">
        <v>2013</v>
      </c>
      <c r="K5003" t="s">
        <v>26012</v>
      </c>
      <c r="L5003">
        <v>233</v>
      </c>
      <c r="M5003" t="s">
        <v>43509</v>
      </c>
      <c r="N5003">
        <v>1</v>
      </c>
      <c r="O5003" t="s">
        <v>27182</v>
      </c>
      <c r="Q5003" t="s">
        <v>43510</v>
      </c>
      <c r="R5003">
        <v>616.85209999999995</v>
      </c>
      <c r="S5003" t="s">
        <v>10100</v>
      </c>
      <c r="T5003" t="s">
        <v>30</v>
      </c>
      <c r="U5003" t="s">
        <v>26019</v>
      </c>
      <c r="W5003" t="s">
        <v>26009</v>
      </c>
    </row>
    <row r="5004" spans="1:23" x14ac:dyDescent="0.35">
      <c r="A5004">
        <v>1344832</v>
      </c>
      <c r="B5004" t="s">
        <v>7164</v>
      </c>
      <c r="C5004" t="str">
        <f>"9780198250364"</f>
        <v>9780198250364</v>
      </c>
      <c r="D5004" t="str">
        <f>"9780191638800"</f>
        <v>9780191638800</v>
      </c>
      <c r="E5004" t="s">
        <v>371</v>
      </c>
      <c r="F5004" t="s">
        <v>31</v>
      </c>
      <c r="G5004" t="s">
        <v>22242</v>
      </c>
      <c r="H5004" t="s">
        <v>26011</v>
      </c>
      <c r="I5004" s="26">
        <v>37091</v>
      </c>
      <c r="J5004">
        <v>2001</v>
      </c>
      <c r="K5004" t="s">
        <v>32496</v>
      </c>
      <c r="L5004">
        <v>434</v>
      </c>
      <c r="M5004" t="s">
        <v>43511</v>
      </c>
      <c r="O5004" t="s">
        <v>43512</v>
      </c>
      <c r="P5004">
        <v>1</v>
      </c>
      <c r="Q5004" t="s">
        <v>43513</v>
      </c>
      <c r="R5004" t="s">
        <v>26562</v>
      </c>
      <c r="S5004" t="s">
        <v>43514</v>
      </c>
      <c r="T5004" t="s">
        <v>30</v>
      </c>
      <c r="U5004" t="s">
        <v>46</v>
      </c>
      <c r="W5004" t="s">
        <v>26009</v>
      </c>
    </row>
    <row r="5005" spans="1:23" x14ac:dyDescent="0.35">
      <c r="A5005">
        <v>1347083</v>
      </c>
      <c r="B5005" t="s">
        <v>43515</v>
      </c>
      <c r="C5005" t="str">
        <f>"9783486588231"</f>
        <v>9783486588231</v>
      </c>
      <c r="D5005" t="str">
        <f>"9783486717594"</f>
        <v>9783486717594</v>
      </c>
      <c r="E5005" t="s">
        <v>30630</v>
      </c>
      <c r="F5005" t="s">
        <v>3143</v>
      </c>
      <c r="G5005" t="s">
        <v>43516</v>
      </c>
      <c r="H5005" t="s">
        <v>30632</v>
      </c>
      <c r="I5005" s="26">
        <v>41374</v>
      </c>
      <c r="J5005">
        <v>2013</v>
      </c>
      <c r="K5005" t="s">
        <v>43517</v>
      </c>
      <c r="L5005">
        <v>229</v>
      </c>
      <c r="M5005" t="s">
        <v>43518</v>
      </c>
      <c r="N5005">
        <v>1</v>
      </c>
      <c r="O5005" t="s">
        <v>43519</v>
      </c>
      <c r="Q5005" t="s">
        <v>43520</v>
      </c>
      <c r="S5005" t="s">
        <v>43521</v>
      </c>
      <c r="T5005" t="s">
        <v>2583</v>
      </c>
      <c r="U5005" t="s">
        <v>26044</v>
      </c>
      <c r="W5005" t="s">
        <v>26009</v>
      </c>
    </row>
    <row r="5006" spans="1:23" x14ac:dyDescent="0.35">
      <c r="A5006">
        <v>1352422</v>
      </c>
      <c r="B5006" t="s">
        <v>7985</v>
      </c>
      <c r="C5006" t="str">
        <f>"9780826195814"</f>
        <v>9780826195814</v>
      </c>
      <c r="D5006" t="str">
        <f>"9780826195821"</f>
        <v>9780826195821</v>
      </c>
      <c r="E5006" t="s">
        <v>1504</v>
      </c>
      <c r="F5006" t="s">
        <v>33</v>
      </c>
      <c r="G5006" t="s">
        <v>22179</v>
      </c>
      <c r="H5006" t="s">
        <v>26004</v>
      </c>
      <c r="I5006" s="26">
        <v>41494</v>
      </c>
      <c r="J5006">
        <v>2013</v>
      </c>
      <c r="K5006" t="s">
        <v>33</v>
      </c>
      <c r="L5006">
        <v>322</v>
      </c>
      <c r="M5006" t="s">
        <v>32824</v>
      </c>
      <c r="N5006">
        <v>2</v>
      </c>
      <c r="R5006">
        <v>616.02800000000002</v>
      </c>
      <c r="S5006" t="s">
        <v>43522</v>
      </c>
      <c r="T5006" t="s">
        <v>30</v>
      </c>
      <c r="U5006" t="s">
        <v>26040</v>
      </c>
      <c r="W5006" t="s">
        <v>26009</v>
      </c>
    </row>
    <row r="5007" spans="1:23" x14ac:dyDescent="0.35">
      <c r="A5007">
        <v>1355967</v>
      </c>
      <c r="B5007" t="s">
        <v>43523</v>
      </c>
      <c r="C5007" t="str">
        <f>"9781583913550"</f>
        <v>9781583913550</v>
      </c>
      <c r="D5007" t="str">
        <f>"9781135450892"</f>
        <v>9781135450892</v>
      </c>
      <c r="E5007" t="s">
        <v>26010</v>
      </c>
      <c r="F5007" t="s">
        <v>35</v>
      </c>
      <c r="G5007" t="s">
        <v>22174</v>
      </c>
      <c r="H5007" t="s">
        <v>26011</v>
      </c>
      <c r="I5007" s="26">
        <v>37421</v>
      </c>
      <c r="J5007">
        <v>2002</v>
      </c>
      <c r="K5007" t="s">
        <v>26012</v>
      </c>
      <c r="L5007">
        <v>289</v>
      </c>
      <c r="M5007" t="s">
        <v>43524</v>
      </c>
      <c r="N5007">
        <v>1</v>
      </c>
      <c r="Q5007" t="s">
        <v>43525</v>
      </c>
      <c r="R5007">
        <v>616.85829999999999</v>
      </c>
      <c r="S5007" t="s">
        <v>9822</v>
      </c>
      <c r="T5007" t="s">
        <v>30</v>
      </c>
      <c r="U5007" t="s">
        <v>26019</v>
      </c>
      <c r="W5007" t="s">
        <v>26009</v>
      </c>
    </row>
    <row r="5008" spans="1:23" x14ac:dyDescent="0.35">
      <c r="A5008">
        <v>1356047</v>
      </c>
      <c r="B5008" t="s">
        <v>8630</v>
      </c>
      <c r="C5008" t="str">
        <f>"9781583910023"</f>
        <v>9781583910023</v>
      </c>
      <c r="D5008" t="str">
        <f>"9781134940943"</f>
        <v>9781134940943</v>
      </c>
      <c r="E5008" t="s">
        <v>26010</v>
      </c>
      <c r="F5008" t="s">
        <v>35</v>
      </c>
      <c r="G5008" t="s">
        <v>22174</v>
      </c>
      <c r="H5008" t="s">
        <v>26011</v>
      </c>
      <c r="I5008" s="26">
        <v>37568</v>
      </c>
      <c r="J5008">
        <v>2003</v>
      </c>
      <c r="K5008" t="s">
        <v>26012</v>
      </c>
      <c r="L5008">
        <v>572</v>
      </c>
      <c r="M5008" t="s">
        <v>43526</v>
      </c>
      <c r="N5008">
        <v>1</v>
      </c>
      <c r="Q5008" t="s">
        <v>43527</v>
      </c>
      <c r="R5008">
        <v>362.20679999999999</v>
      </c>
      <c r="S5008" t="s">
        <v>8631</v>
      </c>
      <c r="T5008" t="s">
        <v>30</v>
      </c>
      <c r="U5008" t="s">
        <v>26094</v>
      </c>
      <c r="W5008" t="s">
        <v>26009</v>
      </c>
    </row>
    <row r="5009" spans="1:23" x14ac:dyDescent="0.35">
      <c r="A5009">
        <v>1356082</v>
      </c>
      <c r="B5009" t="s">
        <v>8802</v>
      </c>
      <c r="C5009" t="str">
        <f>"9780415933919"</f>
        <v>9780415933919</v>
      </c>
      <c r="D5009" t="str">
        <f>"9781135953287"</f>
        <v>9781135953287</v>
      </c>
      <c r="E5009" t="s">
        <v>26010</v>
      </c>
      <c r="F5009" t="s">
        <v>35</v>
      </c>
      <c r="G5009" t="s">
        <v>22174</v>
      </c>
      <c r="H5009" t="s">
        <v>26011</v>
      </c>
      <c r="I5009" s="26">
        <v>37519</v>
      </c>
      <c r="J5009">
        <v>2003</v>
      </c>
      <c r="K5009" t="s">
        <v>26012</v>
      </c>
      <c r="L5009">
        <v>361</v>
      </c>
      <c r="M5009" t="s">
        <v>43528</v>
      </c>
      <c r="N5009">
        <v>1</v>
      </c>
      <c r="O5009" t="s">
        <v>43529</v>
      </c>
      <c r="Q5009" t="s">
        <v>43530</v>
      </c>
      <c r="R5009">
        <v>305.23200000000003</v>
      </c>
      <c r="S5009" t="s">
        <v>8803</v>
      </c>
      <c r="T5009" t="s">
        <v>30</v>
      </c>
      <c r="U5009" t="s">
        <v>26044</v>
      </c>
      <c r="W5009" t="s">
        <v>26009</v>
      </c>
    </row>
    <row r="5010" spans="1:23" x14ac:dyDescent="0.35">
      <c r="A5010">
        <v>1357321</v>
      </c>
      <c r="B5010" t="s">
        <v>43531</v>
      </c>
      <c r="C5010" t="str">
        <f>"9780521762656"</f>
        <v>9780521762656</v>
      </c>
      <c r="D5010" t="str">
        <f>"9781107248113"</f>
        <v>9781107248113</v>
      </c>
      <c r="E5010" t="s">
        <v>167</v>
      </c>
      <c r="F5010" t="s">
        <v>167</v>
      </c>
      <c r="G5010" t="s">
        <v>22179</v>
      </c>
      <c r="H5010" t="s">
        <v>26004</v>
      </c>
      <c r="I5010" s="26">
        <v>41410</v>
      </c>
      <c r="J5010">
        <v>2013</v>
      </c>
      <c r="K5010" t="s">
        <v>167</v>
      </c>
      <c r="L5010">
        <v>290</v>
      </c>
      <c r="M5010" t="s">
        <v>43532</v>
      </c>
      <c r="N5010">
        <v>1</v>
      </c>
      <c r="Q5010" t="s">
        <v>43533</v>
      </c>
      <c r="R5010">
        <v>152.18860000000001</v>
      </c>
      <c r="S5010" t="s">
        <v>9611</v>
      </c>
      <c r="T5010" t="s">
        <v>30</v>
      </c>
      <c r="U5010" t="s">
        <v>46</v>
      </c>
      <c r="W5010" t="s">
        <v>26020</v>
      </c>
    </row>
    <row r="5011" spans="1:23" x14ac:dyDescent="0.35">
      <c r="A5011">
        <v>1358665</v>
      </c>
      <c r="B5011" t="s">
        <v>43534</v>
      </c>
      <c r="C5011" t="str">
        <f>"9780765709820"</f>
        <v>9780765709820</v>
      </c>
      <c r="D5011" t="str">
        <f>"9780765709837"</f>
        <v>9780765709837</v>
      </c>
      <c r="E5011" t="s">
        <v>33803</v>
      </c>
      <c r="F5011" t="s">
        <v>38</v>
      </c>
      <c r="G5011" t="s">
        <v>34138</v>
      </c>
      <c r="H5011" t="s">
        <v>26004</v>
      </c>
      <c r="I5011" s="26">
        <v>41501</v>
      </c>
      <c r="J5011">
        <v>2013</v>
      </c>
      <c r="K5011" t="s">
        <v>33811</v>
      </c>
      <c r="L5011">
        <v>218</v>
      </c>
      <c r="M5011" t="s">
        <v>43535</v>
      </c>
      <c r="N5011">
        <v>1</v>
      </c>
      <c r="Q5011" t="s">
        <v>43536</v>
      </c>
      <c r="R5011">
        <v>618.92891399999996</v>
      </c>
      <c r="S5011" t="s">
        <v>10111</v>
      </c>
      <c r="T5011" t="s">
        <v>30</v>
      </c>
      <c r="U5011" t="s">
        <v>26019</v>
      </c>
      <c r="W5011" t="s">
        <v>26009</v>
      </c>
    </row>
    <row r="5012" spans="1:23" x14ac:dyDescent="0.35">
      <c r="A5012">
        <v>1365163</v>
      </c>
      <c r="B5012" t="s">
        <v>43537</v>
      </c>
      <c r="C5012" t="str">
        <f>"9780833079961"</f>
        <v>9780833079961</v>
      </c>
      <c r="D5012" t="str">
        <f>"9780833079992"</f>
        <v>9780833079992</v>
      </c>
      <c r="E5012" t="s">
        <v>30602</v>
      </c>
      <c r="F5012" t="s">
        <v>8236</v>
      </c>
      <c r="G5012" t="s">
        <v>22307</v>
      </c>
      <c r="H5012" t="s">
        <v>26004</v>
      </c>
      <c r="I5012" s="26">
        <v>41347</v>
      </c>
      <c r="J5012">
        <v>2013</v>
      </c>
      <c r="K5012" t="s">
        <v>30603</v>
      </c>
      <c r="L5012">
        <v>219</v>
      </c>
      <c r="M5012" t="s">
        <v>43538</v>
      </c>
      <c r="N5012">
        <v>1</v>
      </c>
      <c r="Q5012" t="s">
        <v>43539</v>
      </c>
      <c r="R5012">
        <v>362.3</v>
      </c>
      <c r="S5012" t="s">
        <v>43540</v>
      </c>
      <c r="T5012" t="s">
        <v>30</v>
      </c>
      <c r="U5012" t="s">
        <v>29407</v>
      </c>
      <c r="W5012" t="s">
        <v>26009</v>
      </c>
    </row>
    <row r="5013" spans="1:23" x14ac:dyDescent="0.35">
      <c r="A5013">
        <v>1365202</v>
      </c>
      <c r="B5013" t="s">
        <v>8336</v>
      </c>
      <c r="C5013" t="str">
        <f>""</f>
        <v/>
      </c>
      <c r="D5013" t="str">
        <f>"9780833078186"</f>
        <v>9780833078186</v>
      </c>
      <c r="E5013" t="s">
        <v>30602</v>
      </c>
      <c r="F5013" t="s">
        <v>8236</v>
      </c>
      <c r="G5013" t="s">
        <v>22307</v>
      </c>
      <c r="H5013" t="s">
        <v>26004</v>
      </c>
      <c r="I5013" s="26">
        <v>41191</v>
      </c>
      <c r="J5013">
        <v>2012</v>
      </c>
      <c r="K5013" t="s">
        <v>30603</v>
      </c>
      <c r="L5013">
        <v>287</v>
      </c>
      <c r="M5013" t="s">
        <v>43541</v>
      </c>
      <c r="N5013">
        <v>1</v>
      </c>
      <c r="Q5013" t="s">
        <v>43542</v>
      </c>
      <c r="R5013">
        <v>616</v>
      </c>
      <c r="S5013" t="s">
        <v>43543</v>
      </c>
      <c r="T5013" t="s">
        <v>30</v>
      </c>
      <c r="U5013" t="s">
        <v>26019</v>
      </c>
      <c r="W5013" t="s">
        <v>26009</v>
      </c>
    </row>
    <row r="5014" spans="1:23" x14ac:dyDescent="0.35">
      <c r="A5014">
        <v>1375110</v>
      </c>
      <c r="B5014" t="s">
        <v>43544</v>
      </c>
      <c r="C5014" t="str">
        <f>"9789027204592"</f>
        <v>9789027204592</v>
      </c>
      <c r="D5014" t="str">
        <f>"9789027271648"</f>
        <v>9789027271648</v>
      </c>
      <c r="E5014" t="s">
        <v>35211</v>
      </c>
      <c r="F5014" t="s">
        <v>7610</v>
      </c>
      <c r="G5014" t="s">
        <v>22222</v>
      </c>
      <c r="H5014" t="s">
        <v>27983</v>
      </c>
      <c r="I5014" s="26">
        <v>41532</v>
      </c>
      <c r="J5014">
        <v>2013</v>
      </c>
      <c r="K5014" t="s">
        <v>7610</v>
      </c>
      <c r="L5014">
        <v>258</v>
      </c>
      <c r="M5014" t="s">
        <v>43545</v>
      </c>
      <c r="N5014">
        <v>1</v>
      </c>
      <c r="O5014" t="s">
        <v>43546</v>
      </c>
      <c r="P5014">
        <v>5</v>
      </c>
      <c r="Q5014" t="s">
        <v>43547</v>
      </c>
      <c r="R5014" t="s">
        <v>43548</v>
      </c>
      <c r="S5014" t="s">
        <v>43549</v>
      </c>
      <c r="T5014" t="s">
        <v>30</v>
      </c>
      <c r="U5014" t="s">
        <v>46</v>
      </c>
      <c r="W5014" t="s">
        <v>26009</v>
      </c>
    </row>
    <row r="5015" spans="1:23" x14ac:dyDescent="0.35">
      <c r="A5015">
        <v>1375240</v>
      </c>
      <c r="B5015" t="s">
        <v>8069</v>
      </c>
      <c r="C5015" t="str">
        <f>""</f>
        <v/>
      </c>
      <c r="D5015" t="str">
        <f>"9781782382355"</f>
        <v>9781782382355</v>
      </c>
      <c r="E5015" t="s">
        <v>34636</v>
      </c>
      <c r="F5015" t="s">
        <v>7472</v>
      </c>
      <c r="G5015" t="s">
        <v>31126</v>
      </c>
      <c r="H5015" t="s">
        <v>26004</v>
      </c>
      <c r="I5015" s="26">
        <v>41699</v>
      </c>
      <c r="J5015">
        <v>2014</v>
      </c>
      <c r="K5015" t="s">
        <v>7472</v>
      </c>
      <c r="L5015">
        <v>230</v>
      </c>
      <c r="M5015" t="s">
        <v>43550</v>
      </c>
      <c r="N5015">
        <v>1</v>
      </c>
      <c r="Q5015" t="s">
        <v>43551</v>
      </c>
      <c r="R5015">
        <v>362.28</v>
      </c>
      <c r="S5015" t="s">
        <v>43552</v>
      </c>
      <c r="T5015" t="s">
        <v>30</v>
      </c>
      <c r="U5015" t="s">
        <v>26250</v>
      </c>
      <c r="W5015" t="s">
        <v>26009</v>
      </c>
    </row>
    <row r="5016" spans="1:23" x14ac:dyDescent="0.35">
      <c r="A5016">
        <v>1375247</v>
      </c>
      <c r="B5016" t="s">
        <v>8534</v>
      </c>
      <c r="C5016" t="str">
        <f>""</f>
        <v/>
      </c>
      <c r="D5016" t="str">
        <f>"9781782380184"</f>
        <v>9781782380184</v>
      </c>
      <c r="E5016" t="s">
        <v>34636</v>
      </c>
      <c r="F5016" t="s">
        <v>7472</v>
      </c>
      <c r="G5016" t="s">
        <v>31126</v>
      </c>
      <c r="H5016" t="s">
        <v>26004</v>
      </c>
      <c r="I5016" s="26">
        <v>41518</v>
      </c>
      <c r="J5016">
        <v>2013</v>
      </c>
      <c r="K5016" t="s">
        <v>7472</v>
      </c>
      <c r="L5016">
        <v>146</v>
      </c>
      <c r="M5016" t="s">
        <v>43553</v>
      </c>
      <c r="N5016">
        <v>1</v>
      </c>
      <c r="Q5016" t="s">
        <v>43554</v>
      </c>
      <c r="R5016">
        <v>153.42094</v>
      </c>
      <c r="S5016" t="s">
        <v>43555</v>
      </c>
      <c r="T5016" t="s">
        <v>30</v>
      </c>
      <c r="U5016" t="s">
        <v>46</v>
      </c>
      <c r="W5016" t="s">
        <v>26009</v>
      </c>
    </row>
    <row r="5017" spans="1:23" x14ac:dyDescent="0.35">
      <c r="A5017">
        <v>1375258</v>
      </c>
      <c r="B5017" t="s">
        <v>43556</v>
      </c>
      <c r="C5017" t="str">
        <f>""</f>
        <v/>
      </c>
      <c r="D5017" t="str">
        <f>"9781782380467"</f>
        <v>9781782380467</v>
      </c>
      <c r="E5017" t="s">
        <v>34636</v>
      </c>
      <c r="F5017" t="s">
        <v>7472</v>
      </c>
      <c r="G5017" t="s">
        <v>31126</v>
      </c>
      <c r="H5017" t="s">
        <v>26004</v>
      </c>
      <c r="I5017" s="26">
        <v>41548</v>
      </c>
      <c r="J5017">
        <v>2013</v>
      </c>
      <c r="K5017" t="s">
        <v>7472</v>
      </c>
      <c r="L5017">
        <v>184</v>
      </c>
      <c r="M5017" t="s">
        <v>43557</v>
      </c>
      <c r="N5017">
        <v>1</v>
      </c>
      <c r="O5017" t="s">
        <v>43558</v>
      </c>
      <c r="P5017">
        <v>23</v>
      </c>
      <c r="Q5017" t="s">
        <v>43559</v>
      </c>
      <c r="R5017">
        <v>304.8</v>
      </c>
      <c r="S5017" t="s">
        <v>43560</v>
      </c>
      <c r="T5017" t="s">
        <v>30</v>
      </c>
      <c r="U5017" t="s">
        <v>26044</v>
      </c>
      <c r="W5017" t="s">
        <v>26009</v>
      </c>
    </row>
    <row r="5018" spans="1:23" x14ac:dyDescent="0.35">
      <c r="A5018">
        <v>1375278</v>
      </c>
      <c r="B5018" t="s">
        <v>43561</v>
      </c>
      <c r="C5018" t="str">
        <f>""</f>
        <v/>
      </c>
      <c r="D5018" t="str">
        <f>"9781782382614"</f>
        <v>9781782382614</v>
      </c>
      <c r="E5018" t="s">
        <v>34636</v>
      </c>
      <c r="F5018" t="s">
        <v>7472</v>
      </c>
      <c r="G5018" t="s">
        <v>31126</v>
      </c>
      <c r="H5018" t="s">
        <v>26004</v>
      </c>
      <c r="I5018" s="26">
        <v>41730</v>
      </c>
      <c r="J5018">
        <v>2014</v>
      </c>
      <c r="K5018" t="s">
        <v>7472</v>
      </c>
      <c r="L5018">
        <v>393</v>
      </c>
      <c r="M5018" t="s">
        <v>43562</v>
      </c>
      <c r="N5018">
        <v>1</v>
      </c>
      <c r="O5018" t="s">
        <v>43495</v>
      </c>
      <c r="P5018">
        <v>11</v>
      </c>
      <c r="Q5018" t="s">
        <v>43563</v>
      </c>
      <c r="S5018" t="s">
        <v>43564</v>
      </c>
      <c r="T5018" t="s">
        <v>30</v>
      </c>
      <c r="U5018" t="s">
        <v>26044</v>
      </c>
      <c r="W5018" t="s">
        <v>26009</v>
      </c>
    </row>
    <row r="5019" spans="1:23" x14ac:dyDescent="0.35">
      <c r="A5019">
        <v>1375368</v>
      </c>
      <c r="B5019" t="s">
        <v>43565</v>
      </c>
      <c r="C5019" t="str">
        <f>"9781462512324"</f>
        <v>9781462512324</v>
      </c>
      <c r="D5019" t="str">
        <f>"9781462512768"</f>
        <v>9781462512768</v>
      </c>
      <c r="E5019" t="s">
        <v>30112</v>
      </c>
      <c r="F5019" t="s">
        <v>7420</v>
      </c>
      <c r="G5019" t="s">
        <v>22179</v>
      </c>
      <c r="H5019" t="s">
        <v>26004</v>
      </c>
      <c r="I5019" s="26">
        <v>41543</v>
      </c>
      <c r="J5019">
        <v>2014</v>
      </c>
      <c r="K5019" t="s">
        <v>30113</v>
      </c>
      <c r="L5019">
        <v>287</v>
      </c>
      <c r="M5019" t="s">
        <v>43566</v>
      </c>
      <c r="N5019">
        <v>1</v>
      </c>
      <c r="Q5019" t="s">
        <v>43567</v>
      </c>
      <c r="R5019">
        <v>616.85270000000003</v>
      </c>
      <c r="S5019" t="s">
        <v>43568</v>
      </c>
      <c r="T5019" t="s">
        <v>30</v>
      </c>
      <c r="U5019" t="s">
        <v>26019</v>
      </c>
      <c r="W5019" t="s">
        <v>28347</v>
      </c>
    </row>
    <row r="5020" spans="1:23" x14ac:dyDescent="0.35">
      <c r="A5020">
        <v>1375431</v>
      </c>
      <c r="B5020" t="s">
        <v>43569</v>
      </c>
      <c r="C5020" t="str">
        <f>"9780520277342"</f>
        <v>9780520277342</v>
      </c>
      <c r="D5020" t="str">
        <f>"9780520957459"</f>
        <v>9780520957459</v>
      </c>
      <c r="E5020" t="s">
        <v>1612</v>
      </c>
      <c r="F5020" t="s">
        <v>1612</v>
      </c>
      <c r="G5020" t="s">
        <v>22630</v>
      </c>
      <c r="H5020" t="s">
        <v>26004</v>
      </c>
      <c r="I5020" s="26">
        <v>41531</v>
      </c>
      <c r="J5020">
        <v>2013</v>
      </c>
      <c r="K5020" t="s">
        <v>1612</v>
      </c>
      <c r="L5020">
        <v>171</v>
      </c>
      <c r="M5020" t="s">
        <v>43570</v>
      </c>
      <c r="N5020">
        <v>1</v>
      </c>
      <c r="Q5020" t="s">
        <v>43571</v>
      </c>
      <c r="R5020" t="s">
        <v>43572</v>
      </c>
      <c r="S5020" t="s">
        <v>43573</v>
      </c>
      <c r="T5020" t="s">
        <v>30</v>
      </c>
      <c r="U5020" t="s">
        <v>26044</v>
      </c>
      <c r="W5020" t="s">
        <v>26009</v>
      </c>
    </row>
    <row r="5021" spans="1:23" x14ac:dyDescent="0.35">
      <c r="A5021">
        <v>1377020</v>
      </c>
      <c r="B5021" t="s">
        <v>9947</v>
      </c>
      <c r="C5021" t="str">
        <f>"9781439871546"</f>
        <v>9781439871546</v>
      </c>
      <c r="D5021" t="str">
        <f>"9781439871560"</f>
        <v>9781439871560</v>
      </c>
      <c r="E5021" t="s">
        <v>26010</v>
      </c>
      <c r="F5021" t="s">
        <v>7770</v>
      </c>
      <c r="G5021" t="s">
        <v>22174</v>
      </c>
      <c r="H5021" t="s">
        <v>26011</v>
      </c>
      <c r="I5021" s="26">
        <v>41575</v>
      </c>
      <c r="J5021">
        <v>2014</v>
      </c>
      <c r="K5021" t="s">
        <v>43246</v>
      </c>
      <c r="L5021">
        <v>360</v>
      </c>
      <c r="M5021" t="s">
        <v>43574</v>
      </c>
      <c r="N5021">
        <v>1</v>
      </c>
      <c r="O5021" t="s">
        <v>43575</v>
      </c>
      <c r="P5021">
        <v>62</v>
      </c>
      <c r="Q5021" t="s">
        <v>43576</v>
      </c>
      <c r="R5021">
        <v>612.6</v>
      </c>
      <c r="S5021" t="s">
        <v>43577</v>
      </c>
      <c r="T5021" t="s">
        <v>30</v>
      </c>
      <c r="U5021" t="s">
        <v>33748</v>
      </c>
      <c r="W5021" t="s">
        <v>26159</v>
      </c>
    </row>
    <row r="5022" spans="1:23" x14ac:dyDescent="0.35">
      <c r="A5022">
        <v>1378871</v>
      </c>
      <c r="B5022" t="s">
        <v>43578</v>
      </c>
      <c r="C5022" t="str">
        <f>"9781782200161"</f>
        <v>9781782200161</v>
      </c>
      <c r="D5022" t="str">
        <f>"9781782411758"</f>
        <v>9781782411758</v>
      </c>
      <c r="E5022" t="s">
        <v>26010</v>
      </c>
      <c r="F5022" t="s">
        <v>35</v>
      </c>
      <c r="G5022" t="s">
        <v>22174</v>
      </c>
      <c r="H5022" t="s">
        <v>26011</v>
      </c>
      <c r="I5022" s="26">
        <v>41537</v>
      </c>
      <c r="J5022">
        <v>2013</v>
      </c>
      <c r="K5022" t="s">
        <v>26012</v>
      </c>
      <c r="L5022">
        <v>109</v>
      </c>
      <c r="M5022" t="s">
        <v>43579</v>
      </c>
      <c r="N5022">
        <v>1</v>
      </c>
      <c r="Q5022" t="s">
        <v>43580</v>
      </c>
      <c r="R5022">
        <v>616.89139999999998</v>
      </c>
      <c r="S5022" t="s">
        <v>43581</v>
      </c>
      <c r="T5022" t="s">
        <v>30</v>
      </c>
      <c r="U5022" t="s">
        <v>26019</v>
      </c>
      <c r="W5022" t="s">
        <v>26009</v>
      </c>
    </row>
    <row r="5023" spans="1:23" x14ac:dyDescent="0.35">
      <c r="A5023">
        <v>1380479</v>
      </c>
      <c r="B5023" t="s">
        <v>10025</v>
      </c>
      <c r="C5023" t="str">
        <f>"9780739129661"</f>
        <v>9780739129661</v>
      </c>
      <c r="D5023" t="str">
        <f>"9781461632887"</f>
        <v>9781461632887</v>
      </c>
      <c r="E5023" t="s">
        <v>33803</v>
      </c>
      <c r="F5023" t="s">
        <v>8174</v>
      </c>
      <c r="G5023" t="s">
        <v>34328</v>
      </c>
      <c r="H5023" t="s">
        <v>26004</v>
      </c>
      <c r="I5023" s="26">
        <v>39860</v>
      </c>
      <c r="J5023">
        <v>2009</v>
      </c>
      <c r="K5023" t="s">
        <v>8174</v>
      </c>
      <c r="L5023">
        <v>231</v>
      </c>
      <c r="M5023" t="s">
        <v>43582</v>
      </c>
      <c r="N5023">
        <v>1</v>
      </c>
      <c r="Q5023" t="s">
        <v>43583</v>
      </c>
      <c r="R5023" t="s">
        <v>32200</v>
      </c>
      <c r="S5023" t="s">
        <v>7778</v>
      </c>
      <c r="T5023" t="s">
        <v>30</v>
      </c>
      <c r="U5023" t="s">
        <v>26520</v>
      </c>
      <c r="W5023" t="s">
        <v>26009</v>
      </c>
    </row>
    <row r="5024" spans="1:23" x14ac:dyDescent="0.35">
      <c r="A5024">
        <v>1380566</v>
      </c>
      <c r="B5024" t="s">
        <v>43584</v>
      </c>
      <c r="C5024" t="str">
        <f>"9780765709479"</f>
        <v>9780765709479</v>
      </c>
      <c r="D5024" t="str">
        <f>"9780765709486"</f>
        <v>9780765709486</v>
      </c>
      <c r="E5024" t="s">
        <v>33803</v>
      </c>
      <c r="F5024" t="s">
        <v>38</v>
      </c>
      <c r="G5024" t="s">
        <v>33804</v>
      </c>
      <c r="H5024" t="s">
        <v>26004</v>
      </c>
      <c r="I5024" s="26">
        <v>41522</v>
      </c>
      <c r="J5024">
        <v>2013</v>
      </c>
      <c r="K5024" t="s">
        <v>33811</v>
      </c>
      <c r="L5024">
        <v>263</v>
      </c>
      <c r="M5024" t="s">
        <v>43585</v>
      </c>
      <c r="N5024">
        <v>1</v>
      </c>
      <c r="Q5024" t="s">
        <v>43586</v>
      </c>
      <c r="R5024">
        <v>616.89139999999998</v>
      </c>
      <c r="S5024" t="s">
        <v>43587</v>
      </c>
      <c r="T5024" t="s">
        <v>30</v>
      </c>
      <c r="U5024" t="s">
        <v>26019</v>
      </c>
      <c r="W5024" t="s">
        <v>26009</v>
      </c>
    </row>
    <row r="5025" spans="1:23" x14ac:dyDescent="0.35">
      <c r="A5025">
        <v>1386409</v>
      </c>
      <c r="B5025" t="s">
        <v>43588</v>
      </c>
      <c r="C5025" t="str">
        <f>"9780415632683"</f>
        <v>9780415632683</v>
      </c>
      <c r="D5025" t="str">
        <f>"9781136213977"</f>
        <v>9781136213977</v>
      </c>
      <c r="E5025" t="s">
        <v>26010</v>
      </c>
      <c r="F5025" t="s">
        <v>35</v>
      </c>
      <c r="G5025" t="s">
        <v>22174</v>
      </c>
      <c r="H5025" t="s">
        <v>26011</v>
      </c>
      <c r="I5025" s="26">
        <v>41495</v>
      </c>
      <c r="J5025">
        <v>2013</v>
      </c>
      <c r="K5025" t="s">
        <v>26012</v>
      </c>
      <c r="L5025">
        <v>241</v>
      </c>
      <c r="M5025" t="s">
        <v>43589</v>
      </c>
      <c r="N5025">
        <v>1</v>
      </c>
      <c r="Q5025" t="s">
        <v>43590</v>
      </c>
      <c r="R5025">
        <v>362.20830000000001</v>
      </c>
      <c r="S5025" t="s">
        <v>9108</v>
      </c>
      <c r="T5025" t="s">
        <v>30</v>
      </c>
      <c r="U5025" t="s">
        <v>29688</v>
      </c>
      <c r="W5025" t="s">
        <v>26009</v>
      </c>
    </row>
    <row r="5026" spans="1:23" x14ac:dyDescent="0.35">
      <c r="A5026">
        <v>1386423</v>
      </c>
      <c r="B5026" t="s">
        <v>43591</v>
      </c>
      <c r="C5026" t="str">
        <f>"9780415812665"</f>
        <v>9780415812665</v>
      </c>
      <c r="D5026" t="str">
        <f>"9781135083601"</f>
        <v>9781135083601</v>
      </c>
      <c r="E5026" t="s">
        <v>26010</v>
      </c>
      <c r="F5026" t="s">
        <v>35</v>
      </c>
      <c r="G5026" t="s">
        <v>22174</v>
      </c>
      <c r="H5026" t="s">
        <v>26011</v>
      </c>
      <c r="I5026" s="26">
        <v>41501</v>
      </c>
      <c r="J5026">
        <v>2013</v>
      </c>
      <c r="K5026" t="s">
        <v>26012</v>
      </c>
      <c r="L5026">
        <v>341</v>
      </c>
      <c r="M5026" t="s">
        <v>43592</v>
      </c>
      <c r="N5026">
        <v>1</v>
      </c>
      <c r="O5026" t="s">
        <v>43593</v>
      </c>
      <c r="P5026">
        <v>14</v>
      </c>
      <c r="Q5026" t="s">
        <v>43594</v>
      </c>
      <c r="R5026">
        <v>302.17</v>
      </c>
      <c r="S5026" t="s">
        <v>9190</v>
      </c>
      <c r="T5026" t="s">
        <v>30</v>
      </c>
      <c r="U5026" t="s">
        <v>26044</v>
      </c>
      <c r="W5026" t="s">
        <v>26009</v>
      </c>
    </row>
    <row r="5027" spans="1:23" x14ac:dyDescent="0.35">
      <c r="A5027">
        <v>1386432</v>
      </c>
      <c r="B5027" t="s">
        <v>9813</v>
      </c>
      <c r="C5027" t="str">
        <f>"9781848720633"</f>
        <v>9781848720633</v>
      </c>
      <c r="D5027" t="str">
        <f>"9781135047276"</f>
        <v>9781135047276</v>
      </c>
      <c r="E5027" t="s">
        <v>26010</v>
      </c>
      <c r="F5027" t="s">
        <v>35</v>
      </c>
      <c r="G5027" t="s">
        <v>22174</v>
      </c>
      <c r="H5027" t="s">
        <v>26011</v>
      </c>
      <c r="I5027" s="26">
        <v>41463</v>
      </c>
      <c r="J5027">
        <v>2013</v>
      </c>
      <c r="K5027" t="s">
        <v>660</v>
      </c>
      <c r="L5027">
        <v>288</v>
      </c>
      <c r="M5027" t="s">
        <v>43595</v>
      </c>
      <c r="N5027">
        <v>1</v>
      </c>
      <c r="O5027" t="s">
        <v>40791</v>
      </c>
      <c r="Q5027" t="s">
        <v>43596</v>
      </c>
      <c r="R5027">
        <v>401.9</v>
      </c>
      <c r="S5027" t="s">
        <v>9814</v>
      </c>
      <c r="T5027" t="s">
        <v>30</v>
      </c>
      <c r="U5027" t="s">
        <v>28384</v>
      </c>
      <c r="W5027" t="s">
        <v>26009</v>
      </c>
    </row>
    <row r="5028" spans="1:23" x14ac:dyDescent="0.35">
      <c r="A5028">
        <v>1389052</v>
      </c>
      <c r="B5028" t="s">
        <v>43597</v>
      </c>
      <c r="C5028" t="str">
        <f>"9780199579518"</f>
        <v>9780199579518</v>
      </c>
      <c r="D5028" t="str">
        <f>"9780191029332"</f>
        <v>9780191029332</v>
      </c>
      <c r="E5028" t="s">
        <v>371</v>
      </c>
      <c r="F5028" t="s">
        <v>31</v>
      </c>
      <c r="G5028" t="s">
        <v>22242</v>
      </c>
      <c r="H5028" t="s">
        <v>26011</v>
      </c>
      <c r="I5028" s="26">
        <v>40544</v>
      </c>
      <c r="J5028">
        <v>2010</v>
      </c>
      <c r="K5028" t="s">
        <v>31</v>
      </c>
      <c r="L5028">
        <v>250</v>
      </c>
      <c r="M5028" t="s">
        <v>43598</v>
      </c>
      <c r="Q5028" t="s">
        <v>43599</v>
      </c>
      <c r="R5028">
        <v>610.69600000000003</v>
      </c>
      <c r="S5028" t="s">
        <v>43600</v>
      </c>
      <c r="T5028" t="s">
        <v>30</v>
      </c>
      <c r="U5028" t="s">
        <v>26040</v>
      </c>
      <c r="W5028" t="s">
        <v>26009</v>
      </c>
    </row>
    <row r="5029" spans="1:23" x14ac:dyDescent="0.35">
      <c r="A5029">
        <v>1389272</v>
      </c>
      <c r="B5029" t="s">
        <v>43601</v>
      </c>
      <c r="C5029" t="str">
        <f>"9781593326180"</f>
        <v>9781593326180</v>
      </c>
      <c r="D5029" t="str">
        <f>"9781593327392"</f>
        <v>9781593327392</v>
      </c>
      <c r="E5029" t="s">
        <v>39498</v>
      </c>
      <c r="F5029" t="s">
        <v>8775</v>
      </c>
      <c r="G5029" t="s">
        <v>39499</v>
      </c>
      <c r="H5029" t="s">
        <v>26004</v>
      </c>
      <c r="I5029" s="26">
        <v>41562</v>
      </c>
      <c r="J5029">
        <v>2013</v>
      </c>
      <c r="K5029" t="s">
        <v>8775</v>
      </c>
      <c r="L5029">
        <v>275</v>
      </c>
      <c r="M5029" t="s">
        <v>43602</v>
      </c>
      <c r="N5029">
        <v>1</v>
      </c>
      <c r="O5029" t="s">
        <v>43603</v>
      </c>
      <c r="Q5029" t="s">
        <v>43604</v>
      </c>
      <c r="R5029" t="s">
        <v>43605</v>
      </c>
      <c r="S5029" t="s">
        <v>43606</v>
      </c>
      <c r="T5029" t="s">
        <v>30</v>
      </c>
      <c r="U5029" t="s">
        <v>26008</v>
      </c>
      <c r="W5029" t="s">
        <v>26009</v>
      </c>
    </row>
    <row r="5030" spans="1:23" x14ac:dyDescent="0.35">
      <c r="A5030">
        <v>1390918</v>
      </c>
      <c r="B5030" t="s">
        <v>43607</v>
      </c>
      <c r="C5030" t="str">
        <f>"9781782200604"</f>
        <v>9781782200604</v>
      </c>
      <c r="D5030" t="str">
        <f>"9781782411444"</f>
        <v>9781782411444</v>
      </c>
      <c r="E5030" t="s">
        <v>26010</v>
      </c>
      <c r="F5030" t="s">
        <v>35</v>
      </c>
      <c r="G5030" t="s">
        <v>22174</v>
      </c>
      <c r="H5030" t="s">
        <v>26011</v>
      </c>
      <c r="I5030" s="26">
        <v>41542</v>
      </c>
      <c r="J5030">
        <v>2013</v>
      </c>
      <c r="K5030" t="s">
        <v>26012</v>
      </c>
      <c r="L5030">
        <v>385</v>
      </c>
      <c r="M5030" t="s">
        <v>43608</v>
      </c>
      <c r="N5030">
        <v>1</v>
      </c>
      <c r="O5030" t="s">
        <v>36500</v>
      </c>
      <c r="Q5030" t="s">
        <v>43609</v>
      </c>
      <c r="R5030">
        <v>155.4</v>
      </c>
      <c r="S5030" t="s">
        <v>43610</v>
      </c>
      <c r="T5030" t="s">
        <v>30</v>
      </c>
      <c r="U5030" t="s">
        <v>46</v>
      </c>
      <c r="W5030" t="s">
        <v>26009</v>
      </c>
    </row>
    <row r="5031" spans="1:23" x14ac:dyDescent="0.35">
      <c r="A5031">
        <v>1390919</v>
      </c>
      <c r="B5031" t="s">
        <v>43611</v>
      </c>
      <c r="C5031" t="str">
        <f>"9781782200185"</f>
        <v>9781782200185</v>
      </c>
      <c r="D5031" t="str">
        <f>"9781782411611"</f>
        <v>9781782411611</v>
      </c>
      <c r="E5031" t="s">
        <v>26010</v>
      </c>
      <c r="F5031" t="s">
        <v>35</v>
      </c>
      <c r="G5031" t="s">
        <v>22174</v>
      </c>
      <c r="H5031" t="s">
        <v>26011</v>
      </c>
      <c r="I5031" s="26">
        <v>41544</v>
      </c>
      <c r="J5031">
        <v>2013</v>
      </c>
      <c r="K5031" t="s">
        <v>26012</v>
      </c>
      <c r="L5031">
        <v>139</v>
      </c>
      <c r="M5031" t="s">
        <v>43612</v>
      </c>
      <c r="N5031">
        <v>1</v>
      </c>
      <c r="Q5031" t="s">
        <v>43613</v>
      </c>
      <c r="R5031">
        <v>155.6</v>
      </c>
      <c r="S5031" t="s">
        <v>43614</v>
      </c>
      <c r="T5031" t="s">
        <v>30</v>
      </c>
      <c r="U5031" t="s">
        <v>26228</v>
      </c>
      <c r="W5031" t="s">
        <v>26009</v>
      </c>
    </row>
    <row r="5032" spans="1:23" x14ac:dyDescent="0.35">
      <c r="A5032">
        <v>1390920</v>
      </c>
      <c r="B5032" t="s">
        <v>43615</v>
      </c>
      <c r="C5032" t="str">
        <f>"9781780490922"</f>
        <v>9781780490922</v>
      </c>
      <c r="D5032" t="str">
        <f>"9781782411659"</f>
        <v>9781782411659</v>
      </c>
      <c r="E5032" t="s">
        <v>26010</v>
      </c>
      <c r="F5032" t="s">
        <v>35</v>
      </c>
      <c r="G5032" t="s">
        <v>22174</v>
      </c>
      <c r="H5032" t="s">
        <v>26011</v>
      </c>
      <c r="I5032" s="26">
        <v>41535</v>
      </c>
      <c r="J5032">
        <v>2013</v>
      </c>
      <c r="K5032" t="s">
        <v>26012</v>
      </c>
      <c r="L5032">
        <v>225</v>
      </c>
      <c r="M5032" t="s">
        <v>43616</v>
      </c>
      <c r="N5032">
        <v>1</v>
      </c>
      <c r="O5032" t="s">
        <v>43617</v>
      </c>
      <c r="Q5032" t="s">
        <v>43618</v>
      </c>
      <c r="R5032">
        <v>302.23099999999999</v>
      </c>
      <c r="S5032" t="s">
        <v>43619</v>
      </c>
      <c r="T5032" t="s">
        <v>30</v>
      </c>
      <c r="U5032" t="s">
        <v>26044</v>
      </c>
      <c r="W5032" t="s">
        <v>26009</v>
      </c>
    </row>
    <row r="5033" spans="1:23" x14ac:dyDescent="0.35">
      <c r="A5033">
        <v>1390928</v>
      </c>
      <c r="B5033" t="s">
        <v>43620</v>
      </c>
      <c r="C5033" t="str">
        <f>""</f>
        <v/>
      </c>
      <c r="D5033" t="str">
        <f>"9781782380207"</f>
        <v>9781782380207</v>
      </c>
      <c r="E5033" t="s">
        <v>34636</v>
      </c>
      <c r="F5033" t="s">
        <v>7472</v>
      </c>
      <c r="G5033" t="s">
        <v>31126</v>
      </c>
      <c r="H5033" t="s">
        <v>26004</v>
      </c>
      <c r="I5033" s="26">
        <v>41487</v>
      </c>
      <c r="J5033">
        <v>2013</v>
      </c>
      <c r="K5033" t="s">
        <v>7472</v>
      </c>
      <c r="L5033">
        <v>194</v>
      </c>
      <c r="M5033" t="s">
        <v>43621</v>
      </c>
      <c r="N5033">
        <v>1</v>
      </c>
      <c r="Q5033" t="s">
        <v>43622</v>
      </c>
      <c r="R5033">
        <v>155.82094309033999</v>
      </c>
      <c r="S5033" t="s">
        <v>43623</v>
      </c>
      <c r="T5033" t="s">
        <v>30</v>
      </c>
      <c r="U5033" t="s">
        <v>26170</v>
      </c>
      <c r="W5033" t="s">
        <v>26009</v>
      </c>
    </row>
    <row r="5034" spans="1:23" x14ac:dyDescent="0.35">
      <c r="A5034">
        <v>1392787</v>
      </c>
      <c r="B5034" t="s">
        <v>9744</v>
      </c>
      <c r="C5034" t="str">
        <f>"9781498516150"</f>
        <v>9781498516150</v>
      </c>
      <c r="D5034" t="str">
        <f>"9780739179055"</f>
        <v>9780739179055</v>
      </c>
      <c r="E5034" t="s">
        <v>33803</v>
      </c>
      <c r="F5034" t="s">
        <v>8174</v>
      </c>
      <c r="G5034" t="s">
        <v>33804</v>
      </c>
      <c r="H5034" t="s">
        <v>26004</v>
      </c>
      <c r="I5034" s="26">
        <v>41529</v>
      </c>
      <c r="J5034">
        <v>2013</v>
      </c>
      <c r="K5034" t="s">
        <v>8174</v>
      </c>
      <c r="L5034">
        <v>159</v>
      </c>
      <c r="M5034" t="s">
        <v>43624</v>
      </c>
      <c r="N5034">
        <v>1</v>
      </c>
      <c r="Q5034" t="s">
        <v>43625</v>
      </c>
      <c r="S5034" t="s">
        <v>43626</v>
      </c>
      <c r="T5034" t="s">
        <v>30</v>
      </c>
      <c r="U5034" t="s">
        <v>26044</v>
      </c>
      <c r="W5034" t="s">
        <v>26009</v>
      </c>
    </row>
    <row r="5035" spans="1:23" x14ac:dyDescent="0.35">
      <c r="A5035">
        <v>1394208</v>
      </c>
      <c r="B5035" t="s">
        <v>43627</v>
      </c>
      <c r="C5035" t="str">
        <f>"9780702249693"</f>
        <v>9780702249693</v>
      </c>
      <c r="D5035" t="str">
        <f>"9780702251139"</f>
        <v>9780702251139</v>
      </c>
      <c r="E5035" t="s">
        <v>27422</v>
      </c>
      <c r="F5035" t="s">
        <v>7723</v>
      </c>
      <c r="G5035" t="s">
        <v>43628</v>
      </c>
      <c r="H5035" t="s">
        <v>26004</v>
      </c>
      <c r="I5035" s="26">
        <v>41548</v>
      </c>
      <c r="J5035">
        <v>2013</v>
      </c>
      <c r="K5035" t="s">
        <v>7723</v>
      </c>
      <c r="L5035">
        <v>305</v>
      </c>
      <c r="M5035" t="s">
        <v>43629</v>
      </c>
      <c r="O5035" t="s">
        <v>43630</v>
      </c>
      <c r="Q5035" t="s">
        <v>43631</v>
      </c>
      <c r="R5035">
        <v>245.45</v>
      </c>
      <c r="S5035" t="s">
        <v>43632</v>
      </c>
      <c r="T5035" t="s">
        <v>30</v>
      </c>
      <c r="U5035" t="s">
        <v>43633</v>
      </c>
      <c r="W5035" t="s">
        <v>26009</v>
      </c>
    </row>
    <row r="5036" spans="1:23" x14ac:dyDescent="0.35">
      <c r="A5036">
        <v>1394547</v>
      </c>
      <c r="B5036" t="s">
        <v>43634</v>
      </c>
      <c r="C5036" t="str">
        <f>"9781107026292"</f>
        <v>9781107026292</v>
      </c>
      <c r="D5036" t="str">
        <f>"9781107420458"</f>
        <v>9781107420458</v>
      </c>
      <c r="E5036" t="s">
        <v>167</v>
      </c>
      <c r="F5036" t="s">
        <v>167</v>
      </c>
      <c r="G5036" t="s">
        <v>22179</v>
      </c>
      <c r="H5036" t="s">
        <v>26004</v>
      </c>
      <c r="I5036" s="26">
        <v>41529</v>
      </c>
      <c r="J5036">
        <v>2013</v>
      </c>
      <c r="K5036" t="s">
        <v>167</v>
      </c>
      <c r="L5036">
        <v>358</v>
      </c>
      <c r="M5036" t="s">
        <v>43635</v>
      </c>
      <c r="N5036">
        <v>1</v>
      </c>
      <c r="Q5036" t="s">
        <v>43636</v>
      </c>
      <c r="R5036">
        <v>153</v>
      </c>
      <c r="S5036" t="s">
        <v>7945</v>
      </c>
      <c r="T5036" t="s">
        <v>30</v>
      </c>
      <c r="U5036" t="s">
        <v>46</v>
      </c>
      <c r="W5036" t="s">
        <v>26020</v>
      </c>
    </row>
    <row r="5037" spans="1:23" x14ac:dyDescent="0.35">
      <c r="A5037">
        <v>1394550</v>
      </c>
      <c r="B5037" t="s">
        <v>10237</v>
      </c>
      <c r="C5037" t="str">
        <f>"9781107026957"</f>
        <v>9781107026957</v>
      </c>
      <c r="D5037" t="str">
        <f>"9781107420496"</f>
        <v>9781107420496</v>
      </c>
      <c r="E5037" t="s">
        <v>167</v>
      </c>
      <c r="F5037" t="s">
        <v>167</v>
      </c>
      <c r="G5037" t="s">
        <v>22179</v>
      </c>
      <c r="H5037" t="s">
        <v>26004</v>
      </c>
      <c r="I5037" s="26">
        <v>41547</v>
      </c>
      <c r="J5037">
        <v>2013</v>
      </c>
      <c r="K5037" t="s">
        <v>167</v>
      </c>
      <c r="L5037">
        <v>438</v>
      </c>
      <c r="M5037" t="s">
        <v>43637</v>
      </c>
      <c r="N5037">
        <v>1</v>
      </c>
      <c r="Q5037" t="s">
        <v>43638</v>
      </c>
      <c r="R5037">
        <v>150.1</v>
      </c>
      <c r="S5037" t="s">
        <v>10238</v>
      </c>
      <c r="T5037" t="s">
        <v>30</v>
      </c>
      <c r="U5037" t="s">
        <v>26679</v>
      </c>
      <c r="W5037" t="s">
        <v>26020</v>
      </c>
    </row>
    <row r="5038" spans="1:23" x14ac:dyDescent="0.35">
      <c r="A5038">
        <v>1394575</v>
      </c>
      <c r="B5038" t="s">
        <v>43639</v>
      </c>
      <c r="C5038" t="str">
        <f>"9781107039216"</f>
        <v>9781107039216</v>
      </c>
      <c r="D5038" t="str">
        <f>"9781107420908"</f>
        <v>9781107420908</v>
      </c>
      <c r="E5038" t="s">
        <v>167</v>
      </c>
      <c r="F5038" t="s">
        <v>167</v>
      </c>
      <c r="G5038" t="s">
        <v>22179</v>
      </c>
      <c r="H5038" t="s">
        <v>26004</v>
      </c>
      <c r="I5038" s="26">
        <v>41487</v>
      </c>
      <c r="J5038">
        <v>2013</v>
      </c>
      <c r="K5038" t="s">
        <v>167</v>
      </c>
      <c r="L5038">
        <v>308</v>
      </c>
      <c r="M5038" t="s">
        <v>43640</v>
      </c>
      <c r="N5038">
        <v>1</v>
      </c>
      <c r="O5038" t="s">
        <v>43641</v>
      </c>
      <c r="Q5038" t="s">
        <v>43642</v>
      </c>
      <c r="R5038">
        <v>616.029</v>
      </c>
      <c r="S5038" t="s">
        <v>43643</v>
      </c>
      <c r="T5038" t="s">
        <v>30</v>
      </c>
      <c r="U5038" t="s">
        <v>26040</v>
      </c>
      <c r="W5038" t="s">
        <v>26020</v>
      </c>
    </row>
    <row r="5039" spans="1:23" x14ac:dyDescent="0.35">
      <c r="A5039">
        <v>1394596</v>
      </c>
      <c r="B5039" t="s">
        <v>8931</v>
      </c>
      <c r="C5039" t="str">
        <f>"9781107041325"</f>
        <v>9781107041325</v>
      </c>
      <c r="D5039" t="str">
        <f>"9781107421394"</f>
        <v>9781107421394</v>
      </c>
      <c r="E5039" t="s">
        <v>167</v>
      </c>
      <c r="F5039" t="s">
        <v>167</v>
      </c>
      <c r="G5039" t="s">
        <v>22179</v>
      </c>
      <c r="H5039" t="s">
        <v>26004</v>
      </c>
      <c r="I5039" s="26">
        <v>41480</v>
      </c>
      <c r="J5039">
        <v>2013</v>
      </c>
      <c r="K5039" t="s">
        <v>167</v>
      </c>
      <c r="L5039">
        <v>208</v>
      </c>
      <c r="M5039" t="s">
        <v>43644</v>
      </c>
      <c r="N5039">
        <v>1</v>
      </c>
      <c r="Q5039" t="s">
        <v>43645</v>
      </c>
      <c r="R5039" t="s">
        <v>43646</v>
      </c>
      <c r="S5039" t="s">
        <v>43647</v>
      </c>
      <c r="T5039" t="s">
        <v>30</v>
      </c>
      <c r="U5039" t="s">
        <v>46</v>
      </c>
      <c r="W5039" t="s">
        <v>26020</v>
      </c>
    </row>
    <row r="5040" spans="1:23" x14ac:dyDescent="0.35">
      <c r="A5040">
        <v>1394609</v>
      </c>
      <c r="B5040" t="s">
        <v>9021</v>
      </c>
      <c r="C5040" t="str">
        <f>"9781107096448"</f>
        <v>9781107096448</v>
      </c>
      <c r="D5040" t="str">
        <f>"9781107421691"</f>
        <v>9781107421691</v>
      </c>
      <c r="E5040" t="s">
        <v>167</v>
      </c>
      <c r="F5040" t="s">
        <v>167</v>
      </c>
      <c r="G5040" t="s">
        <v>22179</v>
      </c>
      <c r="H5040" t="s">
        <v>26004</v>
      </c>
      <c r="I5040" s="26">
        <v>41526</v>
      </c>
      <c r="J5040">
        <v>2013</v>
      </c>
      <c r="K5040" t="s">
        <v>167</v>
      </c>
      <c r="L5040">
        <v>382</v>
      </c>
      <c r="M5040" t="s">
        <v>43648</v>
      </c>
      <c r="N5040">
        <v>1</v>
      </c>
      <c r="Q5040" t="s">
        <v>43649</v>
      </c>
      <c r="R5040">
        <v>153</v>
      </c>
      <c r="S5040" t="s">
        <v>43650</v>
      </c>
      <c r="T5040" t="s">
        <v>30</v>
      </c>
      <c r="U5040" t="s">
        <v>46</v>
      </c>
      <c r="W5040" t="s">
        <v>26020</v>
      </c>
    </row>
    <row r="5041" spans="1:23" x14ac:dyDescent="0.35">
      <c r="A5041">
        <v>1394869</v>
      </c>
      <c r="B5041" t="s">
        <v>43651</v>
      </c>
      <c r="C5041" t="str">
        <f>"9780826199713"</f>
        <v>9780826199713</v>
      </c>
      <c r="D5041" t="str">
        <f>"9780826199720"</f>
        <v>9780826199720</v>
      </c>
      <c r="E5041" t="s">
        <v>1504</v>
      </c>
      <c r="F5041" t="s">
        <v>33</v>
      </c>
      <c r="G5041" t="s">
        <v>22179</v>
      </c>
      <c r="H5041" t="s">
        <v>26004</v>
      </c>
      <c r="I5041" s="26">
        <v>41821</v>
      </c>
      <c r="J5041">
        <v>2014</v>
      </c>
      <c r="K5041" t="s">
        <v>33</v>
      </c>
      <c r="L5041">
        <v>383</v>
      </c>
      <c r="M5041" t="s">
        <v>43652</v>
      </c>
      <c r="N5041">
        <v>1</v>
      </c>
      <c r="Q5041" t="s">
        <v>43653</v>
      </c>
      <c r="R5041">
        <v>616.89008349999995</v>
      </c>
      <c r="S5041" t="s">
        <v>43654</v>
      </c>
      <c r="T5041" t="s">
        <v>30</v>
      </c>
      <c r="U5041" t="s">
        <v>26019</v>
      </c>
      <c r="W5041" t="s">
        <v>26009</v>
      </c>
    </row>
    <row r="5042" spans="1:23" x14ac:dyDescent="0.35">
      <c r="A5042">
        <v>1395410</v>
      </c>
      <c r="B5042" t="s">
        <v>8390</v>
      </c>
      <c r="C5042" t="str">
        <f>"9780881634525"</f>
        <v>9780881634525</v>
      </c>
      <c r="D5042" t="str">
        <f>"9781135060336"</f>
        <v>9781135060336</v>
      </c>
      <c r="E5042" t="s">
        <v>26010</v>
      </c>
      <c r="F5042" t="s">
        <v>35</v>
      </c>
      <c r="G5042" t="s">
        <v>26201</v>
      </c>
      <c r="H5042" t="s">
        <v>26011</v>
      </c>
      <c r="I5042" s="26">
        <v>38639</v>
      </c>
      <c r="J5042">
        <v>2005</v>
      </c>
      <c r="K5042" t="s">
        <v>26012</v>
      </c>
      <c r="L5042">
        <v>441</v>
      </c>
      <c r="M5042" t="s">
        <v>43655</v>
      </c>
      <c r="N5042">
        <v>1</v>
      </c>
      <c r="O5042" t="s">
        <v>40313</v>
      </c>
      <c r="Q5042" t="s">
        <v>43656</v>
      </c>
      <c r="R5042">
        <v>616.89170000000001</v>
      </c>
      <c r="S5042" t="s">
        <v>7514</v>
      </c>
      <c r="T5042" t="s">
        <v>30</v>
      </c>
      <c r="U5042" t="s">
        <v>26116</v>
      </c>
      <c r="W5042" t="s">
        <v>26009</v>
      </c>
    </row>
    <row r="5043" spans="1:23" x14ac:dyDescent="0.35">
      <c r="A5043">
        <v>1397123</v>
      </c>
      <c r="B5043" t="s">
        <v>43657</v>
      </c>
      <c r="C5043" t="str">
        <f>"9780415952774"</f>
        <v>9780415952774</v>
      </c>
      <c r="D5043" t="str">
        <f>"9781134729005"</f>
        <v>9781134729005</v>
      </c>
      <c r="E5043" t="s">
        <v>26010</v>
      </c>
      <c r="F5043" t="s">
        <v>35</v>
      </c>
      <c r="G5043" t="s">
        <v>22174</v>
      </c>
      <c r="H5043" t="s">
        <v>26011</v>
      </c>
      <c r="I5043" s="26">
        <v>38741</v>
      </c>
      <c r="J5043">
        <v>2006</v>
      </c>
      <c r="K5043" t="s">
        <v>26012</v>
      </c>
      <c r="L5043">
        <v>386</v>
      </c>
      <c r="M5043" t="s">
        <v>43658</v>
      </c>
      <c r="N5043">
        <v>1</v>
      </c>
      <c r="Q5043" t="s">
        <v>43659</v>
      </c>
      <c r="R5043">
        <v>305.896073</v>
      </c>
      <c r="S5043" t="s">
        <v>9991</v>
      </c>
      <c r="T5043" t="s">
        <v>30</v>
      </c>
      <c r="U5043" t="s">
        <v>30342</v>
      </c>
      <c r="W5043" t="s">
        <v>26009</v>
      </c>
    </row>
    <row r="5044" spans="1:23" x14ac:dyDescent="0.35">
      <c r="A5044">
        <v>1397305</v>
      </c>
      <c r="B5044" t="s">
        <v>43660</v>
      </c>
      <c r="C5044" t="str">
        <f>"9780415520621"</f>
        <v>9780415520621</v>
      </c>
      <c r="D5044" t="str">
        <f>"9781135085773"</f>
        <v>9781135085773</v>
      </c>
      <c r="E5044" t="s">
        <v>26010</v>
      </c>
      <c r="F5044" t="s">
        <v>35</v>
      </c>
      <c r="G5044" t="s">
        <v>22174</v>
      </c>
      <c r="H5044" t="s">
        <v>26011</v>
      </c>
      <c r="I5044" s="26">
        <v>41289</v>
      </c>
      <c r="J5044">
        <v>2013</v>
      </c>
      <c r="K5044" t="s">
        <v>26012</v>
      </c>
      <c r="L5044">
        <v>262</v>
      </c>
      <c r="M5044" t="s">
        <v>41941</v>
      </c>
      <c r="N5044">
        <v>1</v>
      </c>
      <c r="Q5044" t="s">
        <v>43661</v>
      </c>
      <c r="R5044">
        <v>201.7621</v>
      </c>
      <c r="S5044" t="s">
        <v>8542</v>
      </c>
      <c r="T5044" t="s">
        <v>30</v>
      </c>
      <c r="U5044" t="s">
        <v>11247</v>
      </c>
      <c r="W5044" t="s">
        <v>26009</v>
      </c>
    </row>
    <row r="5045" spans="1:23" x14ac:dyDescent="0.35">
      <c r="A5045">
        <v>1400607</v>
      </c>
      <c r="B5045" t="s">
        <v>43662</v>
      </c>
      <c r="C5045" t="str">
        <f>"9788132110057"</f>
        <v>9788132110057</v>
      </c>
      <c r="D5045" t="str">
        <f>"9788132116578"</f>
        <v>9788132116578</v>
      </c>
      <c r="E5045" t="s">
        <v>43663</v>
      </c>
      <c r="F5045" t="s">
        <v>10167</v>
      </c>
      <c r="G5045" t="s">
        <v>24490</v>
      </c>
      <c r="H5045" t="s">
        <v>33641</v>
      </c>
      <c r="I5045" s="26">
        <v>41517</v>
      </c>
      <c r="J5045">
        <v>2013</v>
      </c>
      <c r="K5045" t="s">
        <v>10167</v>
      </c>
      <c r="L5045">
        <v>597</v>
      </c>
      <c r="M5045" t="s">
        <v>43664</v>
      </c>
      <c r="N5045">
        <v>1</v>
      </c>
      <c r="Q5045" t="s">
        <v>43665</v>
      </c>
      <c r="R5045" t="s">
        <v>28243</v>
      </c>
      <c r="S5045" t="s">
        <v>43666</v>
      </c>
      <c r="T5045" t="s">
        <v>30</v>
      </c>
      <c r="U5045" t="s">
        <v>46</v>
      </c>
      <c r="W5045" t="s">
        <v>26009</v>
      </c>
    </row>
    <row r="5046" spans="1:23" x14ac:dyDescent="0.35">
      <c r="A5046">
        <v>1402698</v>
      </c>
      <c r="B5046" t="s">
        <v>43667</v>
      </c>
      <c r="C5046" t="str">
        <f>"9781482230116"</f>
        <v>9781482230116</v>
      </c>
      <c r="D5046" t="str">
        <f>"9781482230123"</f>
        <v>9781482230123</v>
      </c>
      <c r="E5046" t="s">
        <v>26010</v>
      </c>
      <c r="F5046" t="s">
        <v>35</v>
      </c>
      <c r="G5046" t="s">
        <v>22174</v>
      </c>
      <c r="H5046" t="s">
        <v>26011</v>
      </c>
      <c r="I5046" s="26">
        <v>41771</v>
      </c>
      <c r="J5046">
        <v>2014</v>
      </c>
      <c r="K5046" t="s">
        <v>26470</v>
      </c>
      <c r="L5046">
        <v>232</v>
      </c>
      <c r="M5046" t="s">
        <v>43668</v>
      </c>
      <c r="N5046">
        <v>2</v>
      </c>
      <c r="Q5046" t="s">
        <v>43669</v>
      </c>
      <c r="R5046" t="s">
        <v>43670</v>
      </c>
      <c r="S5046" t="s">
        <v>43671</v>
      </c>
      <c r="T5046" t="s">
        <v>30</v>
      </c>
      <c r="U5046" t="s">
        <v>26044</v>
      </c>
      <c r="W5046" t="s">
        <v>26009</v>
      </c>
    </row>
    <row r="5047" spans="1:23" x14ac:dyDescent="0.35">
      <c r="A5047">
        <v>1402866</v>
      </c>
      <c r="B5047" t="s">
        <v>43672</v>
      </c>
      <c r="C5047" t="str">
        <f>"9789042036956"</f>
        <v>9789042036956</v>
      </c>
      <c r="D5047" t="str">
        <f>"9789401209533"</f>
        <v>9789401209533</v>
      </c>
      <c r="E5047" t="s">
        <v>4602</v>
      </c>
      <c r="F5047" t="s">
        <v>27</v>
      </c>
      <c r="G5047" t="s">
        <v>22231</v>
      </c>
      <c r="H5047" t="s">
        <v>26004</v>
      </c>
      <c r="I5047" s="26">
        <v>41275</v>
      </c>
      <c r="J5047">
        <v>2013</v>
      </c>
      <c r="K5047" t="s">
        <v>34659</v>
      </c>
      <c r="L5047">
        <v>271</v>
      </c>
      <c r="M5047" t="s">
        <v>43673</v>
      </c>
      <c r="N5047">
        <v>1</v>
      </c>
      <c r="O5047" t="s">
        <v>34661</v>
      </c>
      <c r="P5047">
        <v>86</v>
      </c>
      <c r="R5047">
        <v>158.19999999999999</v>
      </c>
      <c r="T5047" t="s">
        <v>30</v>
      </c>
      <c r="U5047" t="s">
        <v>46</v>
      </c>
      <c r="W5047" t="s">
        <v>26009</v>
      </c>
    </row>
    <row r="5048" spans="1:23" x14ac:dyDescent="0.35">
      <c r="A5048">
        <v>1408132</v>
      </c>
      <c r="B5048" t="s">
        <v>43674</v>
      </c>
      <c r="C5048" t="str">
        <f>"9781780491608"</f>
        <v>9781780491608</v>
      </c>
      <c r="D5048" t="str">
        <f>"9781782411529"</f>
        <v>9781782411529</v>
      </c>
      <c r="E5048" t="s">
        <v>26010</v>
      </c>
      <c r="F5048" t="s">
        <v>35</v>
      </c>
      <c r="G5048" t="s">
        <v>22174</v>
      </c>
      <c r="H5048" t="s">
        <v>26011</v>
      </c>
      <c r="I5048" s="26">
        <v>41544</v>
      </c>
      <c r="J5048">
        <v>2013</v>
      </c>
      <c r="K5048" t="s">
        <v>26012</v>
      </c>
      <c r="L5048">
        <v>262</v>
      </c>
      <c r="M5048" t="s">
        <v>43675</v>
      </c>
      <c r="N5048">
        <v>1</v>
      </c>
      <c r="Q5048" t="s">
        <v>43676</v>
      </c>
      <c r="R5048">
        <v>616.89170000000001</v>
      </c>
      <c r="S5048" t="s">
        <v>43677</v>
      </c>
      <c r="T5048" t="s">
        <v>30</v>
      </c>
      <c r="U5048" t="s">
        <v>26019</v>
      </c>
      <c r="W5048" t="s">
        <v>26009</v>
      </c>
    </row>
    <row r="5049" spans="1:23" x14ac:dyDescent="0.35">
      <c r="A5049">
        <v>1408252</v>
      </c>
      <c r="B5049" t="s">
        <v>43678</v>
      </c>
      <c r="C5049" t="str">
        <f>"9780691152370"</f>
        <v>9780691152370</v>
      </c>
      <c r="D5049" t="str">
        <f>"9781400833719"</f>
        <v>9781400833719</v>
      </c>
      <c r="E5049" t="s">
        <v>33468</v>
      </c>
      <c r="F5049" t="s">
        <v>7517</v>
      </c>
      <c r="G5049" t="s">
        <v>23592</v>
      </c>
      <c r="H5049" t="s">
        <v>26004</v>
      </c>
      <c r="I5049" s="26">
        <v>40104</v>
      </c>
      <c r="J5049">
        <v>2009</v>
      </c>
      <c r="K5049" t="s">
        <v>7517</v>
      </c>
      <c r="L5049">
        <v>272</v>
      </c>
      <c r="M5049" t="s">
        <v>43679</v>
      </c>
      <c r="N5049">
        <v>1</v>
      </c>
      <c r="Q5049" t="s">
        <v>43680</v>
      </c>
      <c r="R5049">
        <v>616.85239999999999</v>
      </c>
      <c r="T5049" t="s">
        <v>30</v>
      </c>
      <c r="U5049" t="s">
        <v>26116</v>
      </c>
      <c r="W5049" t="s">
        <v>28347</v>
      </c>
    </row>
    <row r="5050" spans="1:23" x14ac:dyDescent="0.35">
      <c r="A5050">
        <v>1412134</v>
      </c>
      <c r="B5050" t="s">
        <v>9972</v>
      </c>
      <c r="C5050" t="str">
        <f>"9780199898169"</f>
        <v>9780199898169</v>
      </c>
      <c r="D5050" t="str">
        <f>"9780199337194"</f>
        <v>9780199337194</v>
      </c>
      <c r="E5050" t="s">
        <v>371</v>
      </c>
      <c r="F5050" t="s">
        <v>31</v>
      </c>
      <c r="G5050" t="s">
        <v>22703</v>
      </c>
      <c r="H5050" t="s">
        <v>26004</v>
      </c>
      <c r="I5050" s="26">
        <v>41583</v>
      </c>
      <c r="J5050">
        <v>2014</v>
      </c>
      <c r="K5050" t="s">
        <v>31</v>
      </c>
      <c r="L5050">
        <v>412</v>
      </c>
      <c r="M5050" t="s">
        <v>43681</v>
      </c>
      <c r="O5050" t="s">
        <v>43682</v>
      </c>
      <c r="Q5050" t="s">
        <v>30184</v>
      </c>
      <c r="R5050">
        <v>616.86</v>
      </c>
      <c r="S5050" t="s">
        <v>43683</v>
      </c>
      <c r="T5050" t="s">
        <v>30</v>
      </c>
      <c r="U5050" t="s">
        <v>26116</v>
      </c>
      <c r="W5050" t="s">
        <v>26009</v>
      </c>
    </row>
    <row r="5051" spans="1:23" x14ac:dyDescent="0.35">
      <c r="A5051">
        <v>1418435</v>
      </c>
      <c r="B5051" t="s">
        <v>43684</v>
      </c>
      <c r="C5051" t="str">
        <f>"9781780231853"</f>
        <v>9781780231853</v>
      </c>
      <c r="D5051" t="str">
        <f>"9781780232034"</f>
        <v>9781780232034</v>
      </c>
      <c r="E5051" t="s">
        <v>34057</v>
      </c>
      <c r="F5051" t="s">
        <v>7564</v>
      </c>
      <c r="G5051" t="s">
        <v>22174</v>
      </c>
      <c r="H5051" t="s">
        <v>26011</v>
      </c>
      <c r="I5051" s="26">
        <v>41623</v>
      </c>
      <c r="J5051">
        <v>2013</v>
      </c>
      <c r="K5051" t="s">
        <v>7564</v>
      </c>
      <c r="L5051">
        <v>473</v>
      </c>
      <c r="M5051" t="s">
        <v>43685</v>
      </c>
      <c r="N5051">
        <v>1</v>
      </c>
      <c r="Q5051" t="s">
        <v>43686</v>
      </c>
      <c r="R5051">
        <v>306.77089999999998</v>
      </c>
      <c r="S5051" t="s">
        <v>9436</v>
      </c>
      <c r="T5051" t="s">
        <v>30</v>
      </c>
      <c r="U5051" t="s">
        <v>26044</v>
      </c>
      <c r="W5051" t="s">
        <v>26009</v>
      </c>
    </row>
    <row r="5052" spans="1:23" x14ac:dyDescent="0.35">
      <c r="A5052">
        <v>1422559</v>
      </c>
      <c r="B5052" t="s">
        <v>43687</v>
      </c>
      <c r="C5052" t="str">
        <f>"9781782200598"</f>
        <v>9781782200598</v>
      </c>
      <c r="D5052" t="str">
        <f>"9780429922978"</f>
        <v>9780429922978</v>
      </c>
      <c r="E5052" t="s">
        <v>26010</v>
      </c>
      <c r="F5052" t="s">
        <v>35</v>
      </c>
      <c r="G5052" t="s">
        <v>22174</v>
      </c>
      <c r="H5052" t="s">
        <v>26011</v>
      </c>
      <c r="I5052" s="26">
        <v>41565</v>
      </c>
      <c r="J5052">
        <v>2013</v>
      </c>
      <c r="K5052" t="s">
        <v>26012</v>
      </c>
      <c r="L5052">
        <v>289</v>
      </c>
      <c r="M5052" t="s">
        <v>43688</v>
      </c>
      <c r="N5052">
        <v>1</v>
      </c>
      <c r="O5052" t="s">
        <v>36500</v>
      </c>
      <c r="Q5052" t="s">
        <v>43689</v>
      </c>
      <c r="R5052">
        <v>616.89139999999998</v>
      </c>
      <c r="S5052" t="s">
        <v>43690</v>
      </c>
      <c r="T5052" t="s">
        <v>30</v>
      </c>
      <c r="U5052" t="s">
        <v>26116</v>
      </c>
      <c r="W5052" t="s">
        <v>26009</v>
      </c>
    </row>
    <row r="5053" spans="1:23" x14ac:dyDescent="0.35">
      <c r="A5053">
        <v>1422560</v>
      </c>
      <c r="B5053" t="s">
        <v>43691</v>
      </c>
      <c r="C5053" t="str">
        <f>"9781782200789"</f>
        <v>9781782200789</v>
      </c>
      <c r="D5053" t="str">
        <f>"9781782411697"</f>
        <v>9781782411697</v>
      </c>
      <c r="E5053" t="s">
        <v>26010</v>
      </c>
      <c r="F5053" t="s">
        <v>35</v>
      </c>
      <c r="G5053" t="s">
        <v>22174</v>
      </c>
      <c r="H5053" t="s">
        <v>26011</v>
      </c>
      <c r="I5053" s="26">
        <v>41578</v>
      </c>
      <c r="J5053">
        <v>2013</v>
      </c>
      <c r="K5053" t="s">
        <v>26012</v>
      </c>
      <c r="L5053">
        <v>369</v>
      </c>
      <c r="M5053" t="s">
        <v>43692</v>
      </c>
      <c r="N5053">
        <v>1</v>
      </c>
      <c r="Q5053" t="s">
        <v>43693</v>
      </c>
      <c r="R5053">
        <v>155.41</v>
      </c>
      <c r="S5053" t="s">
        <v>37339</v>
      </c>
      <c r="T5053" t="s">
        <v>30</v>
      </c>
      <c r="U5053" t="s">
        <v>46</v>
      </c>
      <c r="W5053" t="s">
        <v>26009</v>
      </c>
    </row>
    <row r="5054" spans="1:23" x14ac:dyDescent="0.35">
      <c r="A5054">
        <v>1426687</v>
      </c>
      <c r="B5054" t="s">
        <v>33074</v>
      </c>
      <c r="C5054" t="str">
        <f>"9780199329250"</f>
        <v>9780199329250</v>
      </c>
      <c r="D5054" t="str">
        <f>"9780199329267"</f>
        <v>9780199329267</v>
      </c>
      <c r="E5054" t="s">
        <v>371</v>
      </c>
      <c r="F5054" t="s">
        <v>31</v>
      </c>
      <c r="G5054" t="s">
        <v>22242</v>
      </c>
      <c r="H5054" t="s">
        <v>26004</v>
      </c>
      <c r="I5054" s="26">
        <v>41593</v>
      </c>
      <c r="J5054">
        <v>2013</v>
      </c>
      <c r="K5054" t="s">
        <v>31</v>
      </c>
      <c r="L5054">
        <v>219</v>
      </c>
      <c r="M5054" t="s">
        <v>43694</v>
      </c>
      <c r="N5054">
        <v>2</v>
      </c>
      <c r="Q5054" t="s">
        <v>43695</v>
      </c>
      <c r="R5054">
        <v>616.85226999999998</v>
      </c>
      <c r="S5054" t="s">
        <v>43696</v>
      </c>
      <c r="T5054" t="s">
        <v>30</v>
      </c>
      <c r="U5054" t="s">
        <v>26116</v>
      </c>
      <c r="W5054" t="s">
        <v>26009</v>
      </c>
    </row>
    <row r="5055" spans="1:23" x14ac:dyDescent="0.35">
      <c r="A5055">
        <v>1426689</v>
      </c>
      <c r="B5055" t="s">
        <v>7852</v>
      </c>
      <c r="C5055" t="str">
        <f>"9780199896677"</f>
        <v>9780199896677</v>
      </c>
      <c r="D5055" t="str">
        <f>"9780199346721"</f>
        <v>9780199346721</v>
      </c>
      <c r="E5055" t="s">
        <v>371</v>
      </c>
      <c r="F5055" t="s">
        <v>31</v>
      </c>
      <c r="G5055" t="s">
        <v>22242</v>
      </c>
      <c r="H5055" t="s">
        <v>26004</v>
      </c>
      <c r="I5055" s="26">
        <v>41585</v>
      </c>
      <c r="J5055">
        <v>2014</v>
      </c>
      <c r="K5055" t="s">
        <v>31</v>
      </c>
      <c r="L5055">
        <v>666</v>
      </c>
      <c r="M5055" t="s">
        <v>43697</v>
      </c>
      <c r="Q5055" t="s">
        <v>43698</v>
      </c>
      <c r="R5055">
        <v>616.80075999999997</v>
      </c>
      <c r="S5055" t="s">
        <v>43699</v>
      </c>
      <c r="T5055" t="s">
        <v>30</v>
      </c>
      <c r="U5055" t="s">
        <v>26040</v>
      </c>
      <c r="W5055" t="s">
        <v>26009</v>
      </c>
    </row>
    <row r="5056" spans="1:23" x14ac:dyDescent="0.35">
      <c r="A5056">
        <v>1426690</v>
      </c>
      <c r="B5056" t="s">
        <v>8246</v>
      </c>
      <c r="C5056" t="str">
        <f>"9780199937899"</f>
        <v>9780199937899</v>
      </c>
      <c r="D5056" t="str">
        <f>"9780199938759"</f>
        <v>9780199938759</v>
      </c>
      <c r="E5056" t="s">
        <v>371</v>
      </c>
      <c r="F5056" t="s">
        <v>31</v>
      </c>
      <c r="G5056" t="s">
        <v>22703</v>
      </c>
      <c r="H5056" t="s">
        <v>26004</v>
      </c>
      <c r="I5056" s="26">
        <v>41586</v>
      </c>
      <c r="J5056">
        <v>2013</v>
      </c>
      <c r="K5056" t="s">
        <v>31</v>
      </c>
      <c r="L5056">
        <v>311</v>
      </c>
      <c r="M5056" t="s">
        <v>43700</v>
      </c>
      <c r="Q5056" t="s">
        <v>43701</v>
      </c>
      <c r="R5056">
        <v>616.89121999999998</v>
      </c>
      <c r="S5056" t="s">
        <v>43702</v>
      </c>
      <c r="T5056" t="s">
        <v>30</v>
      </c>
      <c r="U5056" t="s">
        <v>26116</v>
      </c>
      <c r="W5056" t="s">
        <v>26009</v>
      </c>
    </row>
    <row r="5057" spans="1:23" x14ac:dyDescent="0.35">
      <c r="A5057">
        <v>1426693</v>
      </c>
      <c r="B5057" t="s">
        <v>43703</v>
      </c>
      <c r="C5057" t="str">
        <f>"9780199981380"</f>
        <v>9780199981380</v>
      </c>
      <c r="D5057" t="str">
        <f>"9780199981397"</f>
        <v>9780199981397</v>
      </c>
      <c r="E5057" t="s">
        <v>371</v>
      </c>
      <c r="F5057" t="s">
        <v>31</v>
      </c>
      <c r="G5057" t="s">
        <v>22242</v>
      </c>
      <c r="H5057" t="s">
        <v>26004</v>
      </c>
      <c r="I5057" s="26">
        <v>41576</v>
      </c>
      <c r="J5057">
        <v>2014</v>
      </c>
      <c r="K5057" t="s">
        <v>31</v>
      </c>
      <c r="L5057">
        <v>374</v>
      </c>
      <c r="M5057" t="s">
        <v>41337</v>
      </c>
      <c r="Q5057" t="s">
        <v>43704</v>
      </c>
      <c r="R5057">
        <v>155.25</v>
      </c>
      <c r="S5057" t="s">
        <v>7785</v>
      </c>
      <c r="T5057" t="s">
        <v>30</v>
      </c>
      <c r="U5057" t="s">
        <v>46</v>
      </c>
      <c r="W5057" t="s">
        <v>26009</v>
      </c>
    </row>
    <row r="5058" spans="1:23" x14ac:dyDescent="0.35">
      <c r="A5058">
        <v>1426694</v>
      </c>
      <c r="B5058" t="s">
        <v>43705</v>
      </c>
      <c r="C5058" t="str">
        <f>"9780199982042"</f>
        <v>9780199982042</v>
      </c>
      <c r="D5058" t="str">
        <f>"9780199982059"</f>
        <v>9780199982059</v>
      </c>
      <c r="E5058" t="s">
        <v>371</v>
      </c>
      <c r="F5058" t="s">
        <v>31</v>
      </c>
      <c r="G5058" t="s">
        <v>22703</v>
      </c>
      <c r="H5058" t="s">
        <v>26004</v>
      </c>
      <c r="I5058" s="26">
        <v>41557</v>
      </c>
      <c r="J5058">
        <v>2014</v>
      </c>
      <c r="K5058" t="s">
        <v>31</v>
      </c>
      <c r="L5058">
        <v>227</v>
      </c>
      <c r="M5058" t="s">
        <v>43706</v>
      </c>
      <c r="Q5058" t="s">
        <v>43707</v>
      </c>
      <c r="R5058">
        <v>616.89165000000003</v>
      </c>
      <c r="S5058" t="s">
        <v>43708</v>
      </c>
      <c r="T5058" t="s">
        <v>30</v>
      </c>
      <c r="U5058" t="s">
        <v>26019</v>
      </c>
      <c r="W5058" t="s">
        <v>26009</v>
      </c>
    </row>
    <row r="5059" spans="1:23" x14ac:dyDescent="0.35">
      <c r="A5059">
        <v>1433792</v>
      </c>
      <c r="B5059" t="s">
        <v>43709</v>
      </c>
      <c r="C5059" t="str">
        <f>"9780881633771"</f>
        <v>9780881633771</v>
      </c>
      <c r="D5059" t="str">
        <f>"9781135061012"</f>
        <v>9781135061012</v>
      </c>
      <c r="E5059" t="s">
        <v>26010</v>
      </c>
      <c r="F5059" t="s">
        <v>35</v>
      </c>
      <c r="G5059" t="s">
        <v>22174</v>
      </c>
      <c r="H5059" t="s">
        <v>26011</v>
      </c>
      <c r="I5059" s="26">
        <v>38181</v>
      </c>
      <c r="J5059">
        <v>2004</v>
      </c>
      <c r="K5059" t="s">
        <v>26012</v>
      </c>
      <c r="L5059">
        <v>207</v>
      </c>
      <c r="M5059" t="s">
        <v>43710</v>
      </c>
      <c r="N5059">
        <v>1</v>
      </c>
      <c r="O5059" t="s">
        <v>40313</v>
      </c>
      <c r="Q5059" t="s">
        <v>43711</v>
      </c>
      <c r="R5059" t="s">
        <v>26422</v>
      </c>
      <c r="S5059" t="s">
        <v>7860</v>
      </c>
      <c r="T5059" t="s">
        <v>30</v>
      </c>
      <c r="U5059" t="s">
        <v>26019</v>
      </c>
      <c r="W5059" t="s">
        <v>26009</v>
      </c>
    </row>
    <row r="5060" spans="1:23" x14ac:dyDescent="0.35">
      <c r="A5060">
        <v>1433848</v>
      </c>
      <c r="B5060" t="s">
        <v>43712</v>
      </c>
      <c r="C5060" t="str">
        <f>"9780881634501"</f>
        <v>9780881634501</v>
      </c>
      <c r="D5060" t="str">
        <f>"9781135060374"</f>
        <v>9781135060374</v>
      </c>
      <c r="E5060" t="s">
        <v>26010</v>
      </c>
      <c r="F5060" t="s">
        <v>35</v>
      </c>
      <c r="G5060" t="s">
        <v>22174</v>
      </c>
      <c r="H5060" t="s">
        <v>26011</v>
      </c>
      <c r="I5060" s="26">
        <v>38685</v>
      </c>
      <c r="J5060">
        <v>2005</v>
      </c>
      <c r="K5060" t="s">
        <v>26012</v>
      </c>
      <c r="L5060">
        <v>219</v>
      </c>
      <c r="M5060" t="s">
        <v>43713</v>
      </c>
      <c r="N5060">
        <v>1</v>
      </c>
      <c r="O5060" t="s">
        <v>40313</v>
      </c>
      <c r="P5060">
        <v>4</v>
      </c>
      <c r="Q5060" t="s">
        <v>43714</v>
      </c>
      <c r="R5060">
        <v>616.89170000000001</v>
      </c>
      <c r="S5060" t="s">
        <v>43715</v>
      </c>
      <c r="T5060" t="s">
        <v>30</v>
      </c>
      <c r="U5060" t="s">
        <v>26116</v>
      </c>
      <c r="W5060" t="s">
        <v>26009</v>
      </c>
    </row>
    <row r="5061" spans="1:23" x14ac:dyDescent="0.35">
      <c r="A5061">
        <v>1433856</v>
      </c>
      <c r="B5061" t="s">
        <v>43716</v>
      </c>
      <c r="C5061" t="str">
        <f>"9780881634129"</f>
        <v>9780881634129</v>
      </c>
      <c r="D5061" t="str">
        <f>"9781134912384"</f>
        <v>9781134912384</v>
      </c>
      <c r="E5061" t="s">
        <v>26010</v>
      </c>
      <c r="F5061" t="s">
        <v>35</v>
      </c>
      <c r="G5061" t="s">
        <v>26128</v>
      </c>
      <c r="H5061" t="s">
        <v>26011</v>
      </c>
      <c r="I5061" s="26">
        <v>38349</v>
      </c>
      <c r="J5061">
        <v>2004</v>
      </c>
      <c r="K5061" t="s">
        <v>26012</v>
      </c>
      <c r="L5061">
        <v>437</v>
      </c>
      <c r="M5061" t="s">
        <v>43717</v>
      </c>
      <c r="N5061">
        <v>1</v>
      </c>
      <c r="Q5061" t="s">
        <v>43718</v>
      </c>
      <c r="R5061">
        <v>306.89</v>
      </c>
      <c r="S5061" t="s">
        <v>43719</v>
      </c>
      <c r="T5061" t="s">
        <v>30</v>
      </c>
      <c r="U5061" t="s">
        <v>26044</v>
      </c>
      <c r="W5061" t="s">
        <v>26009</v>
      </c>
    </row>
    <row r="5062" spans="1:23" x14ac:dyDescent="0.35">
      <c r="A5062">
        <v>1433887</v>
      </c>
      <c r="B5062" t="s">
        <v>43720</v>
      </c>
      <c r="C5062" t="str">
        <f>"9780881634228"</f>
        <v>9780881634228</v>
      </c>
      <c r="D5062" t="str">
        <f>"9781135891367"</f>
        <v>9781135891367</v>
      </c>
      <c r="E5062" t="s">
        <v>26010</v>
      </c>
      <c r="F5062" t="s">
        <v>35</v>
      </c>
      <c r="G5062" t="s">
        <v>22174</v>
      </c>
      <c r="H5062" t="s">
        <v>26011</v>
      </c>
      <c r="I5062" s="26">
        <v>38076</v>
      </c>
      <c r="J5062">
        <v>2004</v>
      </c>
      <c r="K5062" t="s">
        <v>26012</v>
      </c>
      <c r="L5062">
        <v>297</v>
      </c>
      <c r="M5062" t="s">
        <v>43721</v>
      </c>
      <c r="N5062">
        <v>1</v>
      </c>
      <c r="Q5062" t="s">
        <v>43722</v>
      </c>
      <c r="R5062" t="s">
        <v>28519</v>
      </c>
      <c r="S5062" t="s">
        <v>8099</v>
      </c>
      <c r="T5062" t="s">
        <v>30</v>
      </c>
      <c r="U5062" t="s">
        <v>46</v>
      </c>
      <c r="W5062" t="s">
        <v>26009</v>
      </c>
    </row>
    <row r="5063" spans="1:23" x14ac:dyDescent="0.35">
      <c r="A5063">
        <v>1433913</v>
      </c>
      <c r="B5063" t="s">
        <v>43723</v>
      </c>
      <c r="C5063" t="str">
        <f>"9780881634266"</f>
        <v>9780881634266</v>
      </c>
      <c r="D5063" t="str">
        <f>"9781135060497"</f>
        <v>9781135060497</v>
      </c>
      <c r="E5063" t="s">
        <v>26010</v>
      </c>
      <c r="F5063" t="s">
        <v>35</v>
      </c>
      <c r="G5063" t="s">
        <v>22174</v>
      </c>
      <c r="H5063" t="s">
        <v>26011</v>
      </c>
      <c r="I5063" s="26">
        <v>38303</v>
      </c>
      <c r="J5063">
        <v>2004</v>
      </c>
      <c r="K5063" t="s">
        <v>26012</v>
      </c>
      <c r="L5063">
        <v>259</v>
      </c>
      <c r="M5063" t="s">
        <v>43724</v>
      </c>
      <c r="N5063">
        <v>1</v>
      </c>
      <c r="O5063" t="s">
        <v>35537</v>
      </c>
      <c r="P5063">
        <v>29</v>
      </c>
      <c r="Q5063" t="s">
        <v>43725</v>
      </c>
      <c r="R5063" t="s">
        <v>29813</v>
      </c>
      <c r="S5063" t="s">
        <v>7807</v>
      </c>
      <c r="T5063" t="s">
        <v>30</v>
      </c>
      <c r="U5063" t="s">
        <v>26019</v>
      </c>
      <c r="W5063" t="s">
        <v>26009</v>
      </c>
    </row>
    <row r="5064" spans="1:23" x14ac:dyDescent="0.35">
      <c r="A5064">
        <v>1433936</v>
      </c>
      <c r="B5064" t="s">
        <v>7700</v>
      </c>
      <c r="C5064" t="str">
        <f>"9780415051149"</f>
        <v>9780415051149</v>
      </c>
      <c r="D5064" t="str">
        <f>"9781134964253"</f>
        <v>9781134964253</v>
      </c>
      <c r="E5064" t="s">
        <v>26010</v>
      </c>
      <c r="F5064" t="s">
        <v>35</v>
      </c>
      <c r="G5064" t="s">
        <v>26201</v>
      </c>
      <c r="H5064" t="s">
        <v>26011</v>
      </c>
      <c r="I5064" s="26">
        <v>40409</v>
      </c>
      <c r="J5064">
        <v>1988</v>
      </c>
      <c r="K5064" t="s">
        <v>26012</v>
      </c>
      <c r="L5064">
        <v>373</v>
      </c>
      <c r="M5064" t="s">
        <v>43726</v>
      </c>
      <c r="N5064">
        <v>2</v>
      </c>
      <c r="Q5064" t="s">
        <v>43727</v>
      </c>
      <c r="R5064">
        <v>302.22199999999998</v>
      </c>
      <c r="S5064" t="s">
        <v>7701</v>
      </c>
      <c r="T5064" t="s">
        <v>30</v>
      </c>
      <c r="U5064" t="s">
        <v>26228</v>
      </c>
      <c r="W5064" t="s">
        <v>26009</v>
      </c>
    </row>
    <row r="5065" spans="1:23" x14ac:dyDescent="0.35">
      <c r="A5065">
        <v>1433950</v>
      </c>
      <c r="B5065" t="s">
        <v>10062</v>
      </c>
      <c r="C5065" t="str">
        <f>"9781841690582"</f>
        <v>9781841690582</v>
      </c>
      <c r="D5065" t="str">
        <f>"9781134950188"</f>
        <v>9781134950188</v>
      </c>
      <c r="E5065" t="s">
        <v>26010</v>
      </c>
      <c r="F5065" t="s">
        <v>35</v>
      </c>
      <c r="G5065" t="s">
        <v>22174</v>
      </c>
      <c r="H5065" t="s">
        <v>26011</v>
      </c>
      <c r="I5065" s="26">
        <v>37764</v>
      </c>
      <c r="J5065">
        <v>2003</v>
      </c>
      <c r="K5065" t="s">
        <v>660</v>
      </c>
      <c r="L5065">
        <v>244</v>
      </c>
      <c r="M5065" t="s">
        <v>43728</v>
      </c>
      <c r="N5065">
        <v>1</v>
      </c>
      <c r="Q5065" t="s">
        <v>43729</v>
      </c>
      <c r="R5065" t="s">
        <v>43730</v>
      </c>
      <c r="S5065" t="s">
        <v>10063</v>
      </c>
      <c r="T5065" t="s">
        <v>30</v>
      </c>
      <c r="U5065" t="s">
        <v>26228</v>
      </c>
      <c r="W5065" t="s">
        <v>26009</v>
      </c>
    </row>
    <row r="5066" spans="1:23" x14ac:dyDescent="0.35">
      <c r="A5066">
        <v>1434038</v>
      </c>
      <c r="B5066" t="s">
        <v>43731</v>
      </c>
      <c r="C5066" t="str">
        <f>"9780415574204"</f>
        <v>9780415574204</v>
      </c>
      <c r="D5066" t="str">
        <f>"9781136816703"</f>
        <v>9781136816703</v>
      </c>
      <c r="E5066" t="s">
        <v>26010</v>
      </c>
      <c r="F5066" t="s">
        <v>35</v>
      </c>
      <c r="G5066" t="s">
        <v>22174</v>
      </c>
      <c r="H5066" t="s">
        <v>26011</v>
      </c>
      <c r="I5066" s="26">
        <v>40680</v>
      </c>
      <c r="J5066">
        <v>2011</v>
      </c>
      <c r="K5066" t="s">
        <v>26012</v>
      </c>
      <c r="L5066">
        <v>140</v>
      </c>
      <c r="M5066" t="s">
        <v>34853</v>
      </c>
      <c r="N5066">
        <v>1</v>
      </c>
      <c r="O5066" t="s">
        <v>43732</v>
      </c>
      <c r="Q5066" t="s">
        <v>43733</v>
      </c>
      <c r="R5066">
        <v>372.21010000000001</v>
      </c>
      <c r="S5066" t="s">
        <v>8871</v>
      </c>
      <c r="T5066" t="s">
        <v>30</v>
      </c>
      <c r="U5066" t="s">
        <v>337</v>
      </c>
      <c r="W5066" t="s">
        <v>26009</v>
      </c>
    </row>
    <row r="5067" spans="1:23" x14ac:dyDescent="0.35">
      <c r="A5067">
        <v>1441247</v>
      </c>
      <c r="B5067" t="s">
        <v>9748</v>
      </c>
      <c r="C5067" t="str">
        <f>"9781462512522"</f>
        <v>9781462512522</v>
      </c>
      <c r="D5067" t="str">
        <f>"9781462512645"</f>
        <v>9781462512645</v>
      </c>
      <c r="E5067" t="s">
        <v>30112</v>
      </c>
      <c r="F5067" t="s">
        <v>7420</v>
      </c>
      <c r="G5067" t="s">
        <v>22179</v>
      </c>
      <c r="H5067" t="s">
        <v>26004</v>
      </c>
      <c r="I5067" s="26">
        <v>41578</v>
      </c>
      <c r="J5067">
        <v>2014</v>
      </c>
      <c r="K5067" t="s">
        <v>30113</v>
      </c>
      <c r="L5067">
        <v>370</v>
      </c>
      <c r="M5067" t="s">
        <v>43734</v>
      </c>
      <c r="N5067">
        <v>1</v>
      </c>
      <c r="Q5067" t="s">
        <v>43735</v>
      </c>
      <c r="R5067">
        <v>152.4</v>
      </c>
      <c r="S5067" t="s">
        <v>43736</v>
      </c>
      <c r="T5067" t="s">
        <v>30</v>
      </c>
      <c r="U5067" t="s">
        <v>46</v>
      </c>
      <c r="W5067" t="s">
        <v>28347</v>
      </c>
    </row>
    <row r="5068" spans="1:23" x14ac:dyDescent="0.35">
      <c r="A5068">
        <v>1441533</v>
      </c>
      <c r="B5068" t="s">
        <v>43737</v>
      </c>
      <c r="C5068" t="str">
        <f>"9780826199829"</f>
        <v>9780826199829</v>
      </c>
      <c r="D5068" t="str">
        <f>"9780826199836"</f>
        <v>9780826199836</v>
      </c>
      <c r="E5068" t="s">
        <v>1504</v>
      </c>
      <c r="F5068" t="s">
        <v>33</v>
      </c>
      <c r="G5068" t="s">
        <v>22179</v>
      </c>
      <c r="H5068" t="s">
        <v>26004</v>
      </c>
      <c r="I5068" s="26">
        <v>41821</v>
      </c>
      <c r="J5068">
        <v>2014</v>
      </c>
      <c r="K5068" t="s">
        <v>33</v>
      </c>
      <c r="L5068">
        <v>329</v>
      </c>
      <c r="M5068" t="s">
        <v>43738</v>
      </c>
      <c r="N5068">
        <v>1</v>
      </c>
      <c r="Q5068" t="s">
        <v>43739</v>
      </c>
      <c r="R5068">
        <v>616.89139999999998</v>
      </c>
      <c r="S5068" t="s">
        <v>43740</v>
      </c>
      <c r="T5068" t="s">
        <v>30</v>
      </c>
      <c r="U5068" t="s">
        <v>26116</v>
      </c>
      <c r="W5068" t="s">
        <v>26009</v>
      </c>
    </row>
    <row r="5069" spans="1:23" x14ac:dyDescent="0.35">
      <c r="A5069">
        <v>1441534</v>
      </c>
      <c r="B5069" t="s">
        <v>8352</v>
      </c>
      <c r="C5069" t="str">
        <f>"9780826107183"</f>
        <v>9780826107183</v>
      </c>
      <c r="D5069" t="str">
        <f>"9780826107190"</f>
        <v>9780826107190</v>
      </c>
      <c r="E5069" t="s">
        <v>1504</v>
      </c>
      <c r="F5069" t="s">
        <v>33</v>
      </c>
      <c r="G5069" t="s">
        <v>22179</v>
      </c>
      <c r="H5069" t="s">
        <v>26004</v>
      </c>
      <c r="I5069" s="26">
        <v>41557</v>
      </c>
      <c r="J5069">
        <v>2013</v>
      </c>
      <c r="K5069" t="s">
        <v>33</v>
      </c>
      <c r="L5069">
        <v>234</v>
      </c>
      <c r="M5069" t="s">
        <v>43741</v>
      </c>
      <c r="N5069">
        <v>1</v>
      </c>
      <c r="Q5069" t="s">
        <v>43742</v>
      </c>
      <c r="S5069" t="s">
        <v>43743</v>
      </c>
      <c r="T5069" t="s">
        <v>30</v>
      </c>
      <c r="U5069" t="s">
        <v>46</v>
      </c>
      <c r="W5069" t="s">
        <v>26009</v>
      </c>
    </row>
    <row r="5070" spans="1:23" x14ac:dyDescent="0.35">
      <c r="A5070">
        <v>1441665</v>
      </c>
      <c r="B5070" t="s">
        <v>43744</v>
      </c>
      <c r="C5070" t="str">
        <f>"9780820345543"</f>
        <v>9780820345543</v>
      </c>
      <c r="D5070" t="str">
        <f>"9780820346526"</f>
        <v>9780820346526</v>
      </c>
      <c r="E5070" t="s">
        <v>7925</v>
      </c>
      <c r="F5070" t="s">
        <v>7925</v>
      </c>
      <c r="G5070" t="s">
        <v>25359</v>
      </c>
      <c r="H5070" t="s">
        <v>26004</v>
      </c>
      <c r="I5070" s="26">
        <v>41562</v>
      </c>
      <c r="J5070">
        <v>2013</v>
      </c>
      <c r="K5070" t="s">
        <v>7925</v>
      </c>
      <c r="L5070">
        <v>399</v>
      </c>
      <c r="M5070" t="s">
        <v>43745</v>
      </c>
      <c r="N5070">
        <v>1</v>
      </c>
      <c r="O5070" t="s">
        <v>43746</v>
      </c>
      <c r="Q5070" t="s">
        <v>43747</v>
      </c>
      <c r="R5070" t="s">
        <v>43748</v>
      </c>
      <c r="S5070" t="s">
        <v>43749</v>
      </c>
      <c r="T5070" t="s">
        <v>30</v>
      </c>
      <c r="U5070" t="s">
        <v>26044</v>
      </c>
      <c r="W5070" t="s">
        <v>26009</v>
      </c>
    </row>
    <row r="5071" spans="1:23" x14ac:dyDescent="0.35">
      <c r="A5071">
        <v>1441832</v>
      </c>
      <c r="B5071" t="s">
        <v>43750</v>
      </c>
      <c r="C5071" t="str">
        <f>"9780765709356"</f>
        <v>9780765709356</v>
      </c>
      <c r="D5071" t="str">
        <f>"9780765709363"</f>
        <v>9780765709363</v>
      </c>
      <c r="E5071" t="s">
        <v>33803</v>
      </c>
      <c r="F5071" t="s">
        <v>38</v>
      </c>
      <c r="G5071" t="s">
        <v>34138</v>
      </c>
      <c r="H5071" t="s">
        <v>26004</v>
      </c>
      <c r="I5071" s="26">
        <v>41543</v>
      </c>
      <c r="J5071">
        <v>2013</v>
      </c>
      <c r="K5071" t="s">
        <v>33811</v>
      </c>
      <c r="L5071">
        <v>139</v>
      </c>
      <c r="M5071" t="s">
        <v>43751</v>
      </c>
      <c r="N5071">
        <v>1</v>
      </c>
      <c r="Q5071" t="s">
        <v>43752</v>
      </c>
      <c r="R5071">
        <v>362.1</v>
      </c>
      <c r="S5071" t="s">
        <v>8294</v>
      </c>
      <c r="T5071" t="s">
        <v>30</v>
      </c>
      <c r="U5071" t="s">
        <v>29740</v>
      </c>
      <c r="W5071" t="s">
        <v>26009</v>
      </c>
    </row>
    <row r="5072" spans="1:23" x14ac:dyDescent="0.35">
      <c r="A5072">
        <v>1443904</v>
      </c>
      <c r="B5072" t="s">
        <v>9044</v>
      </c>
      <c r="C5072" t="str">
        <f>"9781780490366"</f>
        <v>9781780490366</v>
      </c>
      <c r="D5072" t="str">
        <f>"9781782410911"</f>
        <v>9781782410911</v>
      </c>
      <c r="E5072" t="s">
        <v>26010</v>
      </c>
      <c r="F5072" t="s">
        <v>35</v>
      </c>
      <c r="G5072" t="s">
        <v>22174</v>
      </c>
      <c r="H5072" t="s">
        <v>26011</v>
      </c>
      <c r="I5072" s="26">
        <v>41579</v>
      </c>
      <c r="J5072">
        <v>2013</v>
      </c>
      <c r="K5072" t="s">
        <v>26012</v>
      </c>
      <c r="L5072">
        <v>330</v>
      </c>
      <c r="M5072" t="s">
        <v>43753</v>
      </c>
      <c r="N5072">
        <v>1</v>
      </c>
      <c r="Q5072" t="s">
        <v>43754</v>
      </c>
      <c r="R5072">
        <v>155.4</v>
      </c>
      <c r="S5072" t="s">
        <v>43755</v>
      </c>
      <c r="T5072" t="s">
        <v>30</v>
      </c>
      <c r="U5072" t="s">
        <v>26019</v>
      </c>
      <c r="W5072" t="s">
        <v>26009</v>
      </c>
    </row>
    <row r="5073" spans="1:23" x14ac:dyDescent="0.35">
      <c r="A5073">
        <v>1447193</v>
      </c>
      <c r="B5073" t="s">
        <v>9831</v>
      </c>
      <c r="C5073" t="str">
        <f>"9781439854471"</f>
        <v>9781439854471</v>
      </c>
      <c r="D5073" t="str">
        <f>"9781466511453"</f>
        <v>9781466511453</v>
      </c>
      <c r="E5073" t="s">
        <v>26010</v>
      </c>
      <c r="F5073" t="s">
        <v>35</v>
      </c>
      <c r="G5073" t="s">
        <v>43756</v>
      </c>
      <c r="H5073" t="s">
        <v>26004</v>
      </c>
      <c r="I5073" s="26">
        <v>40884</v>
      </c>
      <c r="J5073">
        <v>2012</v>
      </c>
      <c r="K5073" t="s">
        <v>26012</v>
      </c>
      <c r="L5073">
        <v>279</v>
      </c>
      <c r="M5073" t="s">
        <v>43757</v>
      </c>
      <c r="N5073">
        <v>1</v>
      </c>
      <c r="Q5073" t="s">
        <v>43758</v>
      </c>
      <c r="R5073" t="s">
        <v>33500</v>
      </c>
      <c r="S5073" t="s">
        <v>43759</v>
      </c>
      <c r="T5073" t="s">
        <v>30</v>
      </c>
      <c r="U5073" t="s">
        <v>26044</v>
      </c>
      <c r="W5073" t="s">
        <v>26159</v>
      </c>
    </row>
    <row r="5074" spans="1:23" x14ac:dyDescent="0.35">
      <c r="A5074">
        <v>1460768</v>
      </c>
      <c r="B5074" t="s">
        <v>43760</v>
      </c>
      <c r="C5074" t="str">
        <f>"9781781909768"</f>
        <v>9781781909768</v>
      </c>
      <c r="D5074" t="str">
        <f>"9781781909775"</f>
        <v>9781781909775</v>
      </c>
      <c r="E5074" t="s">
        <v>7442</v>
      </c>
      <c r="F5074" t="s">
        <v>7442</v>
      </c>
      <c r="G5074" t="s">
        <v>22261</v>
      </c>
      <c r="H5074" t="s">
        <v>26011</v>
      </c>
      <c r="I5074" s="26">
        <v>41555</v>
      </c>
      <c r="J5074">
        <v>2013</v>
      </c>
      <c r="K5074" t="s">
        <v>7442</v>
      </c>
      <c r="L5074">
        <v>328</v>
      </c>
      <c r="M5074" t="s">
        <v>35092</v>
      </c>
      <c r="N5074">
        <v>30</v>
      </c>
      <c r="O5074" t="s">
        <v>35093</v>
      </c>
      <c r="P5074">
        <v>30</v>
      </c>
      <c r="Q5074" t="s">
        <v>43761</v>
      </c>
      <c r="R5074">
        <v>302.3</v>
      </c>
      <c r="S5074" t="s">
        <v>8562</v>
      </c>
      <c r="T5074" t="s">
        <v>30</v>
      </c>
      <c r="U5074" t="s">
        <v>26044</v>
      </c>
      <c r="W5074" t="s">
        <v>33559</v>
      </c>
    </row>
    <row r="5075" spans="1:23" x14ac:dyDescent="0.35">
      <c r="A5075">
        <v>1460777</v>
      </c>
      <c r="B5075" t="s">
        <v>9266</v>
      </c>
      <c r="C5075" t="str">
        <f>"9780273728672"</f>
        <v>9780273728672</v>
      </c>
      <c r="D5075" t="str">
        <f>"9781317906209"</f>
        <v>9781317906209</v>
      </c>
      <c r="E5075" t="s">
        <v>26010</v>
      </c>
      <c r="F5075" t="s">
        <v>35</v>
      </c>
      <c r="G5075" t="s">
        <v>22174</v>
      </c>
      <c r="H5075" t="s">
        <v>26011</v>
      </c>
      <c r="I5075" s="26">
        <v>40476</v>
      </c>
      <c r="J5075">
        <v>2010</v>
      </c>
      <c r="K5075" t="s">
        <v>26012</v>
      </c>
      <c r="L5075">
        <v>47</v>
      </c>
      <c r="M5075" t="s">
        <v>43762</v>
      </c>
      <c r="N5075">
        <v>1</v>
      </c>
      <c r="O5075" t="s">
        <v>43763</v>
      </c>
      <c r="Q5075" t="s">
        <v>43764</v>
      </c>
      <c r="R5075">
        <v>614.44000000000005</v>
      </c>
      <c r="S5075" t="s">
        <v>43765</v>
      </c>
      <c r="T5075" t="s">
        <v>30</v>
      </c>
      <c r="U5075" t="s">
        <v>43766</v>
      </c>
      <c r="W5075" t="s">
        <v>26009</v>
      </c>
    </row>
    <row r="5076" spans="1:23" x14ac:dyDescent="0.35">
      <c r="A5076">
        <v>1460826</v>
      </c>
      <c r="B5076" t="s">
        <v>43767</v>
      </c>
      <c r="C5076" t="str">
        <f>"9780815337539"</f>
        <v>9780815337539</v>
      </c>
      <c r="D5076" t="str">
        <f>"9781136785412"</f>
        <v>9781136785412</v>
      </c>
      <c r="E5076" t="s">
        <v>26010</v>
      </c>
      <c r="F5076" t="s">
        <v>35</v>
      </c>
      <c r="G5076" t="s">
        <v>26201</v>
      </c>
      <c r="H5076" t="s">
        <v>26011</v>
      </c>
      <c r="I5076" s="26">
        <v>37246</v>
      </c>
      <c r="J5076">
        <v>2002</v>
      </c>
      <c r="K5076" t="s">
        <v>26012</v>
      </c>
      <c r="L5076">
        <v>362</v>
      </c>
      <c r="M5076" t="s">
        <v>43768</v>
      </c>
      <c r="N5076">
        <v>1</v>
      </c>
      <c r="Q5076" t="s">
        <v>43769</v>
      </c>
      <c r="R5076">
        <v>616</v>
      </c>
      <c r="S5076" t="s">
        <v>43770</v>
      </c>
      <c r="T5076" t="s">
        <v>30</v>
      </c>
      <c r="U5076" t="s">
        <v>26019</v>
      </c>
      <c r="W5076" t="s">
        <v>26009</v>
      </c>
    </row>
    <row r="5077" spans="1:23" x14ac:dyDescent="0.35">
      <c r="A5077">
        <v>1463554</v>
      </c>
      <c r="B5077" t="s">
        <v>43771</v>
      </c>
      <c r="C5077" t="str">
        <f>"9780826199591"</f>
        <v>9780826199591</v>
      </c>
      <c r="D5077" t="str">
        <f>"9780826199614"</f>
        <v>9780826199614</v>
      </c>
      <c r="E5077" t="s">
        <v>1504</v>
      </c>
      <c r="F5077" t="s">
        <v>33</v>
      </c>
      <c r="G5077" t="s">
        <v>22179</v>
      </c>
      <c r="H5077" t="s">
        <v>26004</v>
      </c>
      <c r="I5077" s="26">
        <v>41562</v>
      </c>
      <c r="J5077">
        <v>2013</v>
      </c>
      <c r="K5077" t="s">
        <v>33</v>
      </c>
      <c r="L5077">
        <v>577</v>
      </c>
      <c r="M5077" t="s">
        <v>43772</v>
      </c>
      <c r="N5077">
        <v>1</v>
      </c>
      <c r="Q5077" t="s">
        <v>43773</v>
      </c>
      <c r="R5077">
        <v>618.9289</v>
      </c>
      <c r="S5077" t="s">
        <v>43774</v>
      </c>
      <c r="T5077" t="s">
        <v>30</v>
      </c>
      <c r="U5077" t="s">
        <v>26019</v>
      </c>
      <c r="W5077" t="s">
        <v>26009</v>
      </c>
    </row>
    <row r="5078" spans="1:23" x14ac:dyDescent="0.35">
      <c r="A5078">
        <v>1466208</v>
      </c>
      <c r="B5078" t="s">
        <v>43775</v>
      </c>
      <c r="C5078" t="str">
        <f>""</f>
        <v/>
      </c>
      <c r="D5078" t="str">
        <f>"9780857455598"</f>
        <v>9780857455598</v>
      </c>
      <c r="E5078" t="s">
        <v>34636</v>
      </c>
      <c r="F5078" t="s">
        <v>7472</v>
      </c>
      <c r="G5078" t="s">
        <v>31126</v>
      </c>
      <c r="H5078" t="s">
        <v>26004</v>
      </c>
      <c r="I5078" s="26">
        <v>38777</v>
      </c>
      <c r="J5078">
        <v>2006</v>
      </c>
      <c r="K5078" t="s">
        <v>7472</v>
      </c>
      <c r="L5078">
        <v>240</v>
      </c>
      <c r="M5078" t="s">
        <v>40247</v>
      </c>
      <c r="N5078">
        <v>1</v>
      </c>
      <c r="Q5078" t="s">
        <v>43776</v>
      </c>
      <c r="R5078">
        <v>306.09469999999999</v>
      </c>
      <c r="S5078" t="s">
        <v>43777</v>
      </c>
      <c r="T5078" t="s">
        <v>30</v>
      </c>
      <c r="U5078" t="s">
        <v>26044</v>
      </c>
      <c r="W5078" t="s">
        <v>26009</v>
      </c>
    </row>
    <row r="5079" spans="1:23" x14ac:dyDescent="0.35">
      <c r="A5079">
        <v>1466980</v>
      </c>
      <c r="B5079" t="s">
        <v>8778</v>
      </c>
      <c r="C5079" t="str">
        <f>"9780765709844"</f>
        <v>9780765709844</v>
      </c>
      <c r="D5079" t="str">
        <f>"9780765708830"</f>
        <v>9780765708830</v>
      </c>
      <c r="E5079" t="s">
        <v>33803</v>
      </c>
      <c r="F5079" t="s">
        <v>38</v>
      </c>
      <c r="G5079" t="s">
        <v>34138</v>
      </c>
      <c r="H5079" t="s">
        <v>26004</v>
      </c>
      <c r="I5079" s="26">
        <v>40808</v>
      </c>
      <c r="J5079">
        <v>2011</v>
      </c>
      <c r="K5079" t="s">
        <v>33811</v>
      </c>
      <c r="L5079">
        <v>271</v>
      </c>
      <c r="M5079" t="s">
        <v>43778</v>
      </c>
      <c r="N5079">
        <v>1</v>
      </c>
      <c r="Q5079" t="s">
        <v>43779</v>
      </c>
      <c r="R5079" t="s">
        <v>27831</v>
      </c>
      <c r="S5079" t="s">
        <v>43780</v>
      </c>
      <c r="T5079" t="s">
        <v>30</v>
      </c>
      <c r="U5079" t="s">
        <v>26019</v>
      </c>
      <c r="W5079" t="s">
        <v>26009</v>
      </c>
    </row>
    <row r="5080" spans="1:23" x14ac:dyDescent="0.35">
      <c r="A5080">
        <v>1466998</v>
      </c>
      <c r="B5080" t="s">
        <v>43781</v>
      </c>
      <c r="C5080" t="str">
        <f>"9789027241580"</f>
        <v>9789027241580</v>
      </c>
      <c r="D5080" t="str">
        <f>"9789027271112"</f>
        <v>9789027271112</v>
      </c>
      <c r="E5080" t="s">
        <v>35211</v>
      </c>
      <c r="F5080" t="s">
        <v>7610</v>
      </c>
      <c r="G5080" t="s">
        <v>22222</v>
      </c>
      <c r="H5080" t="s">
        <v>27983</v>
      </c>
      <c r="I5080" s="26">
        <v>41562</v>
      </c>
      <c r="J5080">
        <v>2013</v>
      </c>
      <c r="K5080" t="s">
        <v>7610</v>
      </c>
      <c r="L5080">
        <v>186</v>
      </c>
      <c r="M5080" t="s">
        <v>35382</v>
      </c>
      <c r="N5080">
        <v>1</v>
      </c>
      <c r="O5080" t="s">
        <v>40185</v>
      </c>
      <c r="P5080">
        <v>8</v>
      </c>
      <c r="Q5080" t="s">
        <v>43782</v>
      </c>
      <c r="R5080">
        <v>138</v>
      </c>
      <c r="S5080" t="s">
        <v>43783</v>
      </c>
      <c r="T5080" t="s">
        <v>30</v>
      </c>
      <c r="U5080" t="s">
        <v>26679</v>
      </c>
      <c r="W5080" t="s">
        <v>26009</v>
      </c>
    </row>
    <row r="5081" spans="1:23" x14ac:dyDescent="0.35">
      <c r="A5081">
        <v>1474644</v>
      </c>
      <c r="B5081" t="s">
        <v>8310</v>
      </c>
      <c r="C5081" t="str">
        <f>"9780415291118"</f>
        <v>9780415291118</v>
      </c>
      <c r="D5081" t="str">
        <f>"9781134557431"</f>
        <v>9781134557431</v>
      </c>
      <c r="E5081" t="s">
        <v>26010</v>
      </c>
      <c r="F5081" t="s">
        <v>35</v>
      </c>
      <c r="G5081" t="s">
        <v>26128</v>
      </c>
      <c r="H5081" t="s">
        <v>26011</v>
      </c>
      <c r="I5081" s="26">
        <v>37603</v>
      </c>
      <c r="J5081">
        <v>2002</v>
      </c>
      <c r="K5081" t="s">
        <v>26012</v>
      </c>
      <c r="L5081">
        <v>349</v>
      </c>
      <c r="M5081" t="s">
        <v>43784</v>
      </c>
      <c r="N5081">
        <v>1</v>
      </c>
      <c r="S5081" t="s">
        <v>8419</v>
      </c>
      <c r="T5081" t="s">
        <v>30</v>
      </c>
      <c r="U5081" t="s">
        <v>43785</v>
      </c>
      <c r="W5081" t="s">
        <v>26009</v>
      </c>
    </row>
    <row r="5082" spans="1:23" x14ac:dyDescent="0.35">
      <c r="A5082">
        <v>1474793</v>
      </c>
      <c r="B5082" t="s">
        <v>43786</v>
      </c>
      <c r="C5082" t="str">
        <f>"9780826467805"</f>
        <v>9780826467805</v>
      </c>
      <c r="D5082" t="str">
        <f>"9781446265161"</f>
        <v>9781446265161</v>
      </c>
      <c r="E5082" t="s">
        <v>28007</v>
      </c>
      <c r="F5082" t="s">
        <v>7430</v>
      </c>
      <c r="G5082" t="s">
        <v>22174</v>
      </c>
      <c r="H5082" t="s">
        <v>26011</v>
      </c>
      <c r="I5082" s="26">
        <v>37856</v>
      </c>
      <c r="J5082">
        <v>2002</v>
      </c>
      <c r="K5082" t="s">
        <v>7430</v>
      </c>
      <c r="L5082">
        <v>209</v>
      </c>
      <c r="M5082" t="s">
        <v>43787</v>
      </c>
      <c r="N5082">
        <v>1</v>
      </c>
      <c r="Q5082" t="s">
        <v>43788</v>
      </c>
      <c r="R5082">
        <v>155.19999999999999</v>
      </c>
      <c r="S5082" t="s">
        <v>7977</v>
      </c>
      <c r="T5082" t="s">
        <v>30</v>
      </c>
      <c r="U5082" t="s">
        <v>46</v>
      </c>
      <c r="W5082" t="s">
        <v>26009</v>
      </c>
    </row>
    <row r="5083" spans="1:23" x14ac:dyDescent="0.35">
      <c r="A5083">
        <v>1474807</v>
      </c>
      <c r="B5083" t="s">
        <v>43789</v>
      </c>
      <c r="C5083" t="str">
        <f>"9780803979994"</f>
        <v>9780803979994</v>
      </c>
      <c r="D5083" t="str">
        <f>"9781446264652"</f>
        <v>9781446264652</v>
      </c>
      <c r="E5083" t="s">
        <v>28007</v>
      </c>
      <c r="F5083" t="s">
        <v>7430</v>
      </c>
      <c r="G5083" t="s">
        <v>22174</v>
      </c>
      <c r="H5083" t="s">
        <v>26011</v>
      </c>
      <c r="I5083" s="26">
        <v>35444</v>
      </c>
      <c r="J5083">
        <v>1997</v>
      </c>
      <c r="K5083" t="s">
        <v>7430</v>
      </c>
      <c r="L5083">
        <v>157</v>
      </c>
      <c r="M5083" t="s">
        <v>43790</v>
      </c>
      <c r="N5083">
        <v>1</v>
      </c>
      <c r="O5083" t="s">
        <v>28068</v>
      </c>
      <c r="P5083">
        <v>3</v>
      </c>
      <c r="Q5083" t="s">
        <v>43791</v>
      </c>
      <c r="R5083" t="s">
        <v>41525</v>
      </c>
      <c r="S5083" t="s">
        <v>8004</v>
      </c>
      <c r="T5083" t="s">
        <v>30</v>
      </c>
      <c r="U5083" t="s">
        <v>26228</v>
      </c>
      <c r="W5083" t="s">
        <v>26009</v>
      </c>
    </row>
    <row r="5084" spans="1:23" x14ac:dyDescent="0.35">
      <c r="A5084">
        <v>1474925</v>
      </c>
      <c r="B5084" t="s">
        <v>8272</v>
      </c>
      <c r="C5084" t="str">
        <f>"9781841694344"</f>
        <v>9781841694344</v>
      </c>
      <c r="D5084" t="str">
        <f>"9781135205645"</f>
        <v>9781135205645</v>
      </c>
      <c r="E5084" t="s">
        <v>26010</v>
      </c>
      <c r="F5084" t="s">
        <v>35</v>
      </c>
      <c r="G5084" t="s">
        <v>22174</v>
      </c>
      <c r="H5084" t="s">
        <v>26011</v>
      </c>
      <c r="I5084" s="26">
        <v>38730</v>
      </c>
      <c r="J5084">
        <v>2006</v>
      </c>
      <c r="K5084" t="s">
        <v>660</v>
      </c>
      <c r="L5084">
        <v>313</v>
      </c>
      <c r="M5084" t="s">
        <v>43792</v>
      </c>
      <c r="N5084">
        <v>2</v>
      </c>
      <c r="Q5084" t="s">
        <v>43793</v>
      </c>
      <c r="R5084">
        <v>152.4</v>
      </c>
      <c r="S5084" t="s">
        <v>8273</v>
      </c>
      <c r="T5084" t="s">
        <v>30</v>
      </c>
      <c r="U5084" t="s">
        <v>46</v>
      </c>
      <c r="W5084" t="s">
        <v>26009</v>
      </c>
    </row>
    <row r="5085" spans="1:23" x14ac:dyDescent="0.35">
      <c r="A5085">
        <v>1474933</v>
      </c>
      <c r="B5085" t="s">
        <v>8801</v>
      </c>
      <c r="C5085" t="str">
        <f>"9780415949408"</f>
        <v>9780415949408</v>
      </c>
      <c r="D5085" t="str">
        <f>"9781135932282"</f>
        <v>9781135932282</v>
      </c>
      <c r="E5085" t="s">
        <v>26010</v>
      </c>
      <c r="F5085" t="s">
        <v>35</v>
      </c>
      <c r="G5085" t="s">
        <v>22174</v>
      </c>
      <c r="H5085" t="s">
        <v>26011</v>
      </c>
      <c r="I5085" s="26">
        <v>38396</v>
      </c>
      <c r="J5085">
        <v>2005</v>
      </c>
      <c r="K5085" t="s">
        <v>26012</v>
      </c>
      <c r="L5085">
        <v>164</v>
      </c>
      <c r="M5085" t="s">
        <v>43794</v>
      </c>
      <c r="N5085">
        <v>1</v>
      </c>
      <c r="Q5085" t="s">
        <v>43795</v>
      </c>
      <c r="R5085" t="s">
        <v>43796</v>
      </c>
      <c r="S5085" t="s">
        <v>43797</v>
      </c>
      <c r="T5085" t="s">
        <v>30</v>
      </c>
      <c r="U5085" t="s">
        <v>26044</v>
      </c>
      <c r="W5085" t="s">
        <v>26009</v>
      </c>
    </row>
    <row r="5086" spans="1:23" x14ac:dyDescent="0.35">
      <c r="A5086">
        <v>1477300</v>
      </c>
      <c r="B5086" t="s">
        <v>43798</v>
      </c>
      <c r="C5086" t="str">
        <f>"9781614991885"</f>
        <v>9781614991885</v>
      </c>
      <c r="D5086" t="str">
        <f>"9781614991892"</f>
        <v>9781614991892</v>
      </c>
      <c r="E5086" t="s">
        <v>28275</v>
      </c>
      <c r="F5086" t="s">
        <v>7658</v>
      </c>
      <c r="G5086" t="s">
        <v>22222</v>
      </c>
      <c r="H5086" t="s">
        <v>27983</v>
      </c>
      <c r="I5086" s="26">
        <v>41526</v>
      </c>
      <c r="J5086">
        <v>2013</v>
      </c>
      <c r="K5086" t="s">
        <v>7658</v>
      </c>
      <c r="L5086">
        <v>232</v>
      </c>
      <c r="M5086" t="s">
        <v>39474</v>
      </c>
      <c r="N5086">
        <v>1</v>
      </c>
      <c r="O5086" t="s">
        <v>35621</v>
      </c>
      <c r="P5086">
        <v>108</v>
      </c>
      <c r="Q5086" t="s">
        <v>43799</v>
      </c>
      <c r="R5086" t="s">
        <v>27184</v>
      </c>
      <c r="T5086" t="s">
        <v>30</v>
      </c>
      <c r="U5086" t="s">
        <v>26019</v>
      </c>
      <c r="W5086" t="s">
        <v>26009</v>
      </c>
    </row>
    <row r="5087" spans="1:23" x14ac:dyDescent="0.35">
      <c r="A5087">
        <v>1477535</v>
      </c>
      <c r="B5087" t="s">
        <v>43800</v>
      </c>
      <c r="C5087" t="str">
        <f>"9781443849753"</f>
        <v>9781443849753</v>
      </c>
      <c r="D5087" t="str">
        <f>"9781443852890"</f>
        <v>9781443852890</v>
      </c>
      <c r="E5087" t="s">
        <v>7812</v>
      </c>
      <c r="F5087" t="s">
        <v>7812</v>
      </c>
      <c r="G5087" t="s">
        <v>41984</v>
      </c>
      <c r="H5087" t="s">
        <v>26011</v>
      </c>
      <c r="I5087" s="26">
        <v>41561</v>
      </c>
      <c r="J5087">
        <v>2013</v>
      </c>
      <c r="K5087" t="s">
        <v>7812</v>
      </c>
      <c r="L5087">
        <v>230</v>
      </c>
      <c r="M5087" t="s">
        <v>43801</v>
      </c>
      <c r="N5087">
        <v>1</v>
      </c>
      <c r="Q5087" t="s">
        <v>43802</v>
      </c>
      <c r="R5087">
        <v>230</v>
      </c>
      <c r="S5087" t="s">
        <v>7977</v>
      </c>
      <c r="T5087" t="s">
        <v>30</v>
      </c>
      <c r="U5087" t="s">
        <v>33231</v>
      </c>
      <c r="W5087" t="s">
        <v>26009</v>
      </c>
    </row>
    <row r="5088" spans="1:23" x14ac:dyDescent="0.35">
      <c r="A5088">
        <v>1477543</v>
      </c>
      <c r="B5088" t="s">
        <v>43803</v>
      </c>
      <c r="C5088" t="str">
        <f>"9781443848459"</f>
        <v>9781443848459</v>
      </c>
      <c r="D5088" t="str">
        <f>"9781443853224"</f>
        <v>9781443853224</v>
      </c>
      <c r="E5088" t="s">
        <v>7812</v>
      </c>
      <c r="F5088" t="s">
        <v>7812</v>
      </c>
      <c r="G5088" t="s">
        <v>41984</v>
      </c>
      <c r="H5088" t="s">
        <v>26011</v>
      </c>
      <c r="I5088" s="26">
        <v>41549</v>
      </c>
      <c r="J5088">
        <v>2013</v>
      </c>
      <c r="K5088" t="s">
        <v>7812</v>
      </c>
      <c r="L5088">
        <v>295</v>
      </c>
      <c r="M5088" t="s">
        <v>43804</v>
      </c>
      <c r="N5088">
        <v>1</v>
      </c>
      <c r="Q5088" t="s">
        <v>43805</v>
      </c>
      <c r="R5088">
        <v>295</v>
      </c>
      <c r="S5088" t="s">
        <v>43806</v>
      </c>
      <c r="T5088" t="s">
        <v>30</v>
      </c>
      <c r="U5088" t="s">
        <v>43807</v>
      </c>
      <c r="W5088" t="s">
        <v>26009</v>
      </c>
    </row>
    <row r="5089" spans="1:23" x14ac:dyDescent="0.35">
      <c r="A5089">
        <v>1477550</v>
      </c>
      <c r="B5089" t="s">
        <v>10258</v>
      </c>
      <c r="C5089" t="str">
        <f>"9781443849791"</f>
        <v>9781443849791</v>
      </c>
      <c r="D5089" t="str">
        <f>"9781443853293"</f>
        <v>9781443853293</v>
      </c>
      <c r="E5089" t="s">
        <v>7812</v>
      </c>
      <c r="F5089" t="s">
        <v>7812</v>
      </c>
      <c r="G5089" t="s">
        <v>41984</v>
      </c>
      <c r="H5089" t="s">
        <v>26011</v>
      </c>
      <c r="I5089" s="26">
        <v>41557</v>
      </c>
      <c r="J5089">
        <v>2013</v>
      </c>
      <c r="K5089" t="s">
        <v>7812</v>
      </c>
      <c r="L5089">
        <v>244</v>
      </c>
      <c r="M5089" t="s">
        <v>43808</v>
      </c>
      <c r="N5089">
        <v>1</v>
      </c>
      <c r="Q5089" t="s">
        <v>43809</v>
      </c>
      <c r="R5089">
        <v>244</v>
      </c>
      <c r="S5089" t="s">
        <v>43810</v>
      </c>
      <c r="T5089" t="s">
        <v>30</v>
      </c>
      <c r="U5089" t="s">
        <v>34980</v>
      </c>
      <c r="W5089" t="s">
        <v>26009</v>
      </c>
    </row>
    <row r="5090" spans="1:23" x14ac:dyDescent="0.35">
      <c r="A5090">
        <v>1480985</v>
      </c>
      <c r="B5090" t="s">
        <v>43811</v>
      </c>
      <c r="C5090" t="str">
        <f>"9780199752201"</f>
        <v>9780199752201</v>
      </c>
      <c r="D5090" t="str">
        <f>"9780199344017"</f>
        <v>9780199344017</v>
      </c>
      <c r="E5090" t="s">
        <v>371</v>
      </c>
      <c r="F5090" t="s">
        <v>31</v>
      </c>
      <c r="G5090" t="s">
        <v>22703</v>
      </c>
      <c r="H5090" t="s">
        <v>26004</v>
      </c>
      <c r="I5090" s="26">
        <v>41305</v>
      </c>
      <c r="J5090">
        <v>2013</v>
      </c>
      <c r="K5090" t="s">
        <v>31</v>
      </c>
      <c r="L5090">
        <v>337</v>
      </c>
      <c r="M5090" t="s">
        <v>43812</v>
      </c>
      <c r="Q5090" t="s">
        <v>43813</v>
      </c>
      <c r="R5090" t="s">
        <v>43814</v>
      </c>
      <c r="S5090" t="s">
        <v>43815</v>
      </c>
      <c r="T5090" t="s">
        <v>30</v>
      </c>
      <c r="U5090" t="s">
        <v>28189</v>
      </c>
      <c r="W5090" t="s">
        <v>26009</v>
      </c>
    </row>
    <row r="5091" spans="1:23" x14ac:dyDescent="0.35">
      <c r="A5091">
        <v>1480987</v>
      </c>
      <c r="B5091" t="s">
        <v>8211</v>
      </c>
      <c r="C5091" t="str">
        <f>"9780199757404"</f>
        <v>9780199757404</v>
      </c>
      <c r="D5091" t="str">
        <f>"9780199909162"</f>
        <v>9780199909162</v>
      </c>
      <c r="E5091" t="s">
        <v>371</v>
      </c>
      <c r="F5091" t="s">
        <v>31</v>
      </c>
      <c r="G5091" t="s">
        <v>22703</v>
      </c>
      <c r="H5091" t="s">
        <v>26004</v>
      </c>
      <c r="I5091" s="26">
        <v>41229</v>
      </c>
      <c r="J5091">
        <v>2012</v>
      </c>
      <c r="K5091" t="s">
        <v>31</v>
      </c>
      <c r="L5091">
        <v>143</v>
      </c>
      <c r="M5091" t="s">
        <v>43816</v>
      </c>
      <c r="O5091" t="s">
        <v>35758</v>
      </c>
      <c r="Q5091" t="s">
        <v>43817</v>
      </c>
      <c r="R5091">
        <v>1.42</v>
      </c>
      <c r="S5091" t="s">
        <v>43818</v>
      </c>
      <c r="T5091" t="s">
        <v>30</v>
      </c>
      <c r="U5091" t="s">
        <v>34900</v>
      </c>
      <c r="W5091" t="s">
        <v>26009</v>
      </c>
    </row>
    <row r="5092" spans="1:23" x14ac:dyDescent="0.35">
      <c r="A5092">
        <v>1480990</v>
      </c>
      <c r="B5092" t="s">
        <v>43819</v>
      </c>
      <c r="C5092" t="str">
        <f>"9780199764181"</f>
        <v>9780199764181</v>
      </c>
      <c r="D5092" t="str">
        <f>"9780199909155"</f>
        <v>9780199909155</v>
      </c>
      <c r="E5092" t="s">
        <v>371</v>
      </c>
      <c r="F5092" t="s">
        <v>31</v>
      </c>
      <c r="G5092" t="s">
        <v>22703</v>
      </c>
      <c r="H5092" t="s">
        <v>26004</v>
      </c>
      <c r="I5092" s="26">
        <v>41333</v>
      </c>
      <c r="J5092">
        <v>2013</v>
      </c>
      <c r="K5092" t="s">
        <v>31</v>
      </c>
      <c r="L5092">
        <v>416</v>
      </c>
      <c r="M5092" t="s">
        <v>43820</v>
      </c>
      <c r="O5092" t="s">
        <v>32000</v>
      </c>
      <c r="Q5092" t="s">
        <v>43821</v>
      </c>
      <c r="R5092" t="s">
        <v>43822</v>
      </c>
      <c r="S5092" t="s">
        <v>43823</v>
      </c>
      <c r="T5092" t="s">
        <v>30</v>
      </c>
      <c r="U5092" t="s">
        <v>26019</v>
      </c>
      <c r="W5092" t="s">
        <v>26009</v>
      </c>
    </row>
    <row r="5093" spans="1:23" x14ac:dyDescent="0.35">
      <c r="A5093">
        <v>1480995</v>
      </c>
      <c r="B5093" t="s">
        <v>10191</v>
      </c>
      <c r="C5093" t="str">
        <f>"9780199791040"</f>
        <v>9780199791040</v>
      </c>
      <c r="D5093" t="str">
        <f>"9780199359240"</f>
        <v>9780199359240</v>
      </c>
      <c r="E5093" t="s">
        <v>371</v>
      </c>
      <c r="F5093" t="s">
        <v>31</v>
      </c>
      <c r="G5093" t="s">
        <v>22703</v>
      </c>
      <c r="H5093" t="s">
        <v>26004</v>
      </c>
      <c r="I5093" s="26">
        <v>41548</v>
      </c>
      <c r="J5093">
        <v>2013</v>
      </c>
      <c r="K5093" t="s">
        <v>31</v>
      </c>
      <c r="L5093">
        <v>217</v>
      </c>
      <c r="M5093" t="s">
        <v>43824</v>
      </c>
      <c r="O5093" t="s">
        <v>41680</v>
      </c>
      <c r="Q5093" t="s">
        <v>43825</v>
      </c>
      <c r="R5093">
        <v>1.4219999999999999</v>
      </c>
      <c r="S5093" t="s">
        <v>43826</v>
      </c>
      <c r="T5093" t="s">
        <v>30</v>
      </c>
      <c r="U5093" t="s">
        <v>34900</v>
      </c>
      <c r="W5093" t="s">
        <v>26009</v>
      </c>
    </row>
    <row r="5094" spans="1:23" x14ac:dyDescent="0.35">
      <c r="A5094">
        <v>1480996</v>
      </c>
      <c r="B5094" t="s">
        <v>9327</v>
      </c>
      <c r="C5094" t="str">
        <f>"9780199796304"</f>
        <v>9780199796304</v>
      </c>
      <c r="D5094" t="str">
        <f>"9780199796359"</f>
        <v>9780199796359</v>
      </c>
      <c r="E5094" t="s">
        <v>371</v>
      </c>
      <c r="F5094" t="s">
        <v>31</v>
      </c>
      <c r="G5094" t="s">
        <v>22703</v>
      </c>
      <c r="H5094" t="s">
        <v>26004</v>
      </c>
      <c r="I5094" s="26">
        <v>41381</v>
      </c>
      <c r="J5094">
        <v>2013</v>
      </c>
      <c r="K5094" t="s">
        <v>31</v>
      </c>
      <c r="L5094">
        <v>885</v>
      </c>
      <c r="M5094" t="s">
        <v>43827</v>
      </c>
      <c r="N5094">
        <v>1</v>
      </c>
      <c r="O5094" t="s">
        <v>40610</v>
      </c>
      <c r="Q5094" t="s">
        <v>43828</v>
      </c>
      <c r="R5094" t="s">
        <v>43829</v>
      </c>
      <c r="S5094" t="s">
        <v>43830</v>
      </c>
      <c r="T5094" t="s">
        <v>30</v>
      </c>
      <c r="U5094" t="s">
        <v>46</v>
      </c>
      <c r="W5094" t="s">
        <v>26009</v>
      </c>
    </row>
    <row r="5095" spans="1:23" x14ac:dyDescent="0.35">
      <c r="A5095">
        <v>1481000</v>
      </c>
      <c r="B5095" t="s">
        <v>8987</v>
      </c>
      <c r="C5095" t="str">
        <f>"9780199838554"</f>
        <v>9780199838554</v>
      </c>
      <c r="D5095" t="str">
        <f>"9780199343935"</f>
        <v>9780199343935</v>
      </c>
      <c r="E5095" t="s">
        <v>371</v>
      </c>
      <c r="F5095" t="s">
        <v>31</v>
      </c>
      <c r="G5095" t="s">
        <v>22703</v>
      </c>
      <c r="H5095" t="s">
        <v>26004</v>
      </c>
      <c r="I5095" s="26">
        <v>41347</v>
      </c>
      <c r="J5095">
        <v>2013</v>
      </c>
      <c r="K5095" t="s">
        <v>31</v>
      </c>
      <c r="L5095">
        <v>289</v>
      </c>
      <c r="M5095" t="s">
        <v>43831</v>
      </c>
      <c r="O5095" t="s">
        <v>43832</v>
      </c>
      <c r="Q5095" t="s">
        <v>43833</v>
      </c>
      <c r="R5095" t="s">
        <v>43834</v>
      </c>
      <c r="S5095" t="s">
        <v>43835</v>
      </c>
      <c r="T5095" t="s">
        <v>30</v>
      </c>
      <c r="U5095" t="s">
        <v>27827</v>
      </c>
      <c r="W5095" t="s">
        <v>26009</v>
      </c>
    </row>
    <row r="5096" spans="1:23" x14ac:dyDescent="0.35">
      <c r="A5096">
        <v>1481002</v>
      </c>
      <c r="B5096" t="s">
        <v>9333</v>
      </c>
      <c r="C5096" t="str">
        <f>"9780199873630"</f>
        <v>9780199873630</v>
      </c>
      <c r="D5096" t="str">
        <f>"9780199873647"</f>
        <v>9780199873647</v>
      </c>
      <c r="E5096" t="s">
        <v>371</v>
      </c>
      <c r="F5096" t="s">
        <v>31</v>
      </c>
      <c r="G5096" t="s">
        <v>22703</v>
      </c>
      <c r="H5096" t="s">
        <v>26004</v>
      </c>
      <c r="I5096" s="26">
        <v>41550</v>
      </c>
      <c r="J5096">
        <v>2013</v>
      </c>
      <c r="K5096" t="s">
        <v>31</v>
      </c>
      <c r="L5096">
        <v>653</v>
      </c>
      <c r="M5096" t="s">
        <v>43836</v>
      </c>
      <c r="O5096" t="s">
        <v>40610</v>
      </c>
      <c r="Q5096" t="s">
        <v>43837</v>
      </c>
      <c r="R5096">
        <v>618.92849799999999</v>
      </c>
      <c r="S5096" t="s">
        <v>43838</v>
      </c>
      <c r="T5096" t="s">
        <v>30</v>
      </c>
      <c r="U5096" t="s">
        <v>26019</v>
      </c>
      <c r="W5096" t="s">
        <v>26009</v>
      </c>
    </row>
    <row r="5097" spans="1:23" x14ac:dyDescent="0.35">
      <c r="A5097">
        <v>1481005</v>
      </c>
      <c r="B5097" t="s">
        <v>43839</v>
      </c>
      <c r="C5097" t="str">
        <f>"9780199917273"</f>
        <v>9780199917273</v>
      </c>
      <c r="D5097" t="str">
        <f>"9780199917280"</f>
        <v>9780199917280</v>
      </c>
      <c r="E5097" t="s">
        <v>371</v>
      </c>
      <c r="F5097" t="s">
        <v>31</v>
      </c>
      <c r="G5097" t="s">
        <v>22703</v>
      </c>
      <c r="H5097" t="s">
        <v>26004</v>
      </c>
      <c r="I5097" s="26">
        <v>41243</v>
      </c>
      <c r="J5097">
        <v>2012</v>
      </c>
      <c r="K5097" t="s">
        <v>31</v>
      </c>
      <c r="L5097">
        <v>320</v>
      </c>
      <c r="M5097" t="s">
        <v>43840</v>
      </c>
      <c r="Q5097" t="s">
        <v>43841</v>
      </c>
      <c r="R5097" t="s">
        <v>30751</v>
      </c>
      <c r="S5097" t="s">
        <v>7660</v>
      </c>
      <c r="T5097" t="s">
        <v>30</v>
      </c>
      <c r="U5097" t="s">
        <v>26116</v>
      </c>
      <c r="W5097" t="s">
        <v>26009</v>
      </c>
    </row>
    <row r="5098" spans="1:23" x14ac:dyDescent="0.35">
      <c r="A5098">
        <v>1481006</v>
      </c>
      <c r="B5098" t="s">
        <v>43842</v>
      </c>
      <c r="C5098" t="str">
        <f>"9780199920181"</f>
        <v>9780199920181</v>
      </c>
      <c r="D5098" t="str">
        <f>"9780199336340"</f>
        <v>9780199336340</v>
      </c>
      <c r="E5098" t="s">
        <v>371</v>
      </c>
      <c r="F5098" t="s">
        <v>31</v>
      </c>
      <c r="G5098" t="s">
        <v>22703</v>
      </c>
      <c r="H5098" t="s">
        <v>26004</v>
      </c>
      <c r="I5098" s="26">
        <v>41564</v>
      </c>
      <c r="J5098">
        <v>2013</v>
      </c>
      <c r="K5098" t="s">
        <v>31</v>
      </c>
      <c r="L5098">
        <v>511</v>
      </c>
      <c r="M5098" t="s">
        <v>43843</v>
      </c>
      <c r="Q5098" t="s">
        <v>43844</v>
      </c>
      <c r="R5098">
        <v>362.19689</v>
      </c>
      <c r="S5098" t="s">
        <v>43845</v>
      </c>
      <c r="T5098" t="s">
        <v>30</v>
      </c>
      <c r="U5098" t="s">
        <v>26094</v>
      </c>
      <c r="W5098" t="s">
        <v>26009</v>
      </c>
    </row>
    <row r="5099" spans="1:23" x14ac:dyDescent="0.35">
      <c r="A5099">
        <v>1481009</v>
      </c>
      <c r="B5099" t="s">
        <v>9420</v>
      </c>
      <c r="C5099" t="str">
        <f>"9780199933853"</f>
        <v>9780199933853</v>
      </c>
      <c r="D5099" t="str">
        <f>"9780199933860"</f>
        <v>9780199933860</v>
      </c>
      <c r="E5099" t="s">
        <v>371</v>
      </c>
      <c r="F5099" t="s">
        <v>31</v>
      </c>
      <c r="G5099" t="s">
        <v>22703</v>
      </c>
      <c r="H5099" t="s">
        <v>26004</v>
      </c>
      <c r="I5099" s="26">
        <v>41274</v>
      </c>
      <c r="J5099">
        <v>2012</v>
      </c>
      <c r="K5099" t="s">
        <v>31</v>
      </c>
      <c r="L5099">
        <v>188</v>
      </c>
      <c r="M5099" t="s">
        <v>43846</v>
      </c>
      <c r="Q5099" t="s">
        <v>43847</v>
      </c>
      <c r="R5099">
        <v>615.5</v>
      </c>
      <c r="S5099" t="s">
        <v>43848</v>
      </c>
      <c r="T5099" t="s">
        <v>30</v>
      </c>
      <c r="U5099" t="s">
        <v>30799</v>
      </c>
      <c r="W5099" t="s">
        <v>26009</v>
      </c>
    </row>
    <row r="5100" spans="1:23" x14ac:dyDescent="0.35">
      <c r="A5100">
        <v>1481012</v>
      </c>
      <c r="B5100" t="s">
        <v>43849</v>
      </c>
      <c r="C5100" t="str">
        <f>"9780199996926"</f>
        <v>9780199996926</v>
      </c>
      <c r="D5100" t="str">
        <f>"9780199996933"</f>
        <v>9780199996933</v>
      </c>
      <c r="E5100" t="s">
        <v>371</v>
      </c>
      <c r="F5100" t="s">
        <v>31</v>
      </c>
      <c r="G5100" t="s">
        <v>22703</v>
      </c>
      <c r="H5100" t="s">
        <v>26004</v>
      </c>
      <c r="I5100" s="26">
        <v>41548</v>
      </c>
      <c r="J5100">
        <v>2013</v>
      </c>
      <c r="K5100" t="s">
        <v>31</v>
      </c>
      <c r="L5100">
        <v>329</v>
      </c>
      <c r="M5100" t="s">
        <v>43850</v>
      </c>
      <c r="Q5100" t="s">
        <v>43851</v>
      </c>
      <c r="R5100">
        <v>133.43019000000001</v>
      </c>
      <c r="S5100" t="s">
        <v>7662</v>
      </c>
      <c r="T5100" t="s">
        <v>30</v>
      </c>
      <c r="U5100" t="s">
        <v>152</v>
      </c>
      <c r="W5100" t="s">
        <v>26009</v>
      </c>
    </row>
    <row r="5101" spans="1:23" x14ac:dyDescent="0.35">
      <c r="A5101">
        <v>1481316</v>
      </c>
      <c r="B5101" t="s">
        <v>43852</v>
      </c>
      <c r="C5101" t="str">
        <f>"9781780491783"</f>
        <v>9781780491783</v>
      </c>
      <c r="D5101" t="str">
        <f>"9781782410959"</f>
        <v>9781782410959</v>
      </c>
      <c r="E5101" t="s">
        <v>26010</v>
      </c>
      <c r="F5101" t="s">
        <v>35</v>
      </c>
      <c r="G5101" t="s">
        <v>22174</v>
      </c>
      <c r="H5101" t="s">
        <v>26011</v>
      </c>
      <c r="I5101" s="26">
        <v>41577</v>
      </c>
      <c r="J5101">
        <v>2013</v>
      </c>
      <c r="K5101" t="s">
        <v>26012</v>
      </c>
      <c r="L5101">
        <v>123</v>
      </c>
      <c r="M5101" t="s">
        <v>43853</v>
      </c>
      <c r="N5101">
        <v>1</v>
      </c>
      <c r="Q5101" t="s">
        <v>43854</v>
      </c>
      <c r="R5101">
        <v>155.19999999999999</v>
      </c>
      <c r="S5101" t="s">
        <v>43855</v>
      </c>
      <c r="T5101" t="s">
        <v>30</v>
      </c>
      <c r="U5101" t="s">
        <v>46</v>
      </c>
      <c r="W5101" t="s">
        <v>26009</v>
      </c>
    </row>
    <row r="5102" spans="1:23" x14ac:dyDescent="0.35">
      <c r="A5102">
        <v>1486358</v>
      </c>
      <c r="B5102" t="s">
        <v>43856</v>
      </c>
      <c r="C5102" t="str">
        <f>"9781845190842"</f>
        <v>9781845190842</v>
      </c>
      <c r="D5102" t="str">
        <f>"9781782840275"</f>
        <v>9781782840275</v>
      </c>
      <c r="E5102" t="s">
        <v>4363</v>
      </c>
      <c r="F5102" t="s">
        <v>4363</v>
      </c>
      <c r="G5102" t="s">
        <v>24431</v>
      </c>
      <c r="H5102" t="s">
        <v>26011</v>
      </c>
      <c r="I5102" s="26">
        <v>41487</v>
      </c>
      <c r="J5102">
        <v>2013</v>
      </c>
      <c r="K5102" t="s">
        <v>4363</v>
      </c>
      <c r="L5102">
        <v>417</v>
      </c>
      <c r="M5102" t="s">
        <v>43857</v>
      </c>
      <c r="N5102">
        <v>1</v>
      </c>
      <c r="Q5102" t="s">
        <v>43858</v>
      </c>
      <c r="R5102">
        <v>618.92891399999996</v>
      </c>
      <c r="S5102" t="s">
        <v>43859</v>
      </c>
      <c r="T5102" t="s">
        <v>30</v>
      </c>
      <c r="U5102" t="s">
        <v>26116</v>
      </c>
      <c r="W5102" t="s">
        <v>26009</v>
      </c>
    </row>
    <row r="5103" spans="1:23" x14ac:dyDescent="0.35">
      <c r="A5103">
        <v>1492554</v>
      </c>
      <c r="B5103" t="s">
        <v>10272</v>
      </c>
      <c r="C5103" t="str">
        <f>"9781462511976"</f>
        <v>9781462511976</v>
      </c>
      <c r="D5103" t="str">
        <f>"9781462512195"</f>
        <v>9781462512195</v>
      </c>
      <c r="E5103" t="s">
        <v>30112</v>
      </c>
      <c r="F5103" t="s">
        <v>7420</v>
      </c>
      <c r="G5103" t="s">
        <v>22179</v>
      </c>
      <c r="H5103" t="s">
        <v>26004</v>
      </c>
      <c r="I5103" s="26">
        <v>41550</v>
      </c>
      <c r="J5103">
        <v>2013</v>
      </c>
      <c r="K5103" t="s">
        <v>30113</v>
      </c>
      <c r="L5103">
        <v>240</v>
      </c>
      <c r="M5103" t="s">
        <v>43860</v>
      </c>
      <c r="N5103">
        <v>1</v>
      </c>
      <c r="Q5103" t="s">
        <v>43861</v>
      </c>
      <c r="R5103">
        <v>618.92849999999999</v>
      </c>
      <c r="S5103" t="s">
        <v>43862</v>
      </c>
      <c r="T5103" t="s">
        <v>30</v>
      </c>
      <c r="U5103" t="s">
        <v>26019</v>
      </c>
      <c r="W5103" t="s">
        <v>28347</v>
      </c>
    </row>
    <row r="5104" spans="1:23" x14ac:dyDescent="0.35">
      <c r="A5104">
        <v>1501714</v>
      </c>
      <c r="B5104" t="s">
        <v>43863</v>
      </c>
      <c r="C5104" t="str">
        <f>"9781442250895"</f>
        <v>9781442250895</v>
      </c>
      <c r="D5104" t="str">
        <f>"9780765709882"</f>
        <v>9780765709882</v>
      </c>
      <c r="E5104" t="s">
        <v>33803</v>
      </c>
      <c r="F5104" t="s">
        <v>38</v>
      </c>
      <c r="G5104" t="s">
        <v>33804</v>
      </c>
      <c r="H5104" t="s">
        <v>26004</v>
      </c>
      <c r="I5104" s="26">
        <v>41569</v>
      </c>
      <c r="J5104">
        <v>2013</v>
      </c>
      <c r="K5104" t="s">
        <v>33811</v>
      </c>
      <c r="L5104">
        <v>195</v>
      </c>
      <c r="M5104" t="s">
        <v>43864</v>
      </c>
      <c r="N5104">
        <v>1</v>
      </c>
      <c r="Q5104" t="s">
        <v>43865</v>
      </c>
      <c r="R5104">
        <v>616.89139999999998</v>
      </c>
      <c r="S5104" t="s">
        <v>43866</v>
      </c>
      <c r="T5104" t="s">
        <v>30</v>
      </c>
      <c r="U5104" t="s">
        <v>26019</v>
      </c>
      <c r="W5104" t="s">
        <v>26009</v>
      </c>
    </row>
    <row r="5105" spans="1:23" x14ac:dyDescent="0.35">
      <c r="A5105">
        <v>1501752</v>
      </c>
      <c r="B5105" t="s">
        <v>43867</v>
      </c>
      <c r="C5105" t="str">
        <f>"9781780491233"</f>
        <v>9781780491233</v>
      </c>
      <c r="D5105" t="str">
        <f>"9781782410843"</f>
        <v>9781782410843</v>
      </c>
      <c r="E5105" t="s">
        <v>26010</v>
      </c>
      <c r="F5105" t="s">
        <v>35</v>
      </c>
      <c r="G5105" t="s">
        <v>22174</v>
      </c>
      <c r="H5105" t="s">
        <v>26011</v>
      </c>
      <c r="I5105" s="26">
        <v>41597</v>
      </c>
      <c r="J5105">
        <v>2013</v>
      </c>
      <c r="K5105" t="s">
        <v>26012</v>
      </c>
      <c r="L5105">
        <v>175</v>
      </c>
      <c r="M5105" t="s">
        <v>43868</v>
      </c>
      <c r="N5105">
        <v>1</v>
      </c>
      <c r="O5105" t="s">
        <v>36855</v>
      </c>
      <c r="Q5105" t="s">
        <v>43869</v>
      </c>
      <c r="R5105">
        <v>649.1</v>
      </c>
      <c r="S5105" t="s">
        <v>43870</v>
      </c>
      <c r="T5105" t="s">
        <v>30</v>
      </c>
      <c r="U5105" t="s">
        <v>27319</v>
      </c>
      <c r="W5105" t="s">
        <v>26009</v>
      </c>
    </row>
    <row r="5106" spans="1:23" x14ac:dyDescent="0.35">
      <c r="A5106">
        <v>1510738</v>
      </c>
      <c r="B5106" t="s">
        <v>43871</v>
      </c>
      <c r="C5106" t="str">
        <f>"9781909330535"</f>
        <v>9781909330535</v>
      </c>
      <c r="D5106" t="str">
        <f>"9781909330559"</f>
        <v>9781909330559</v>
      </c>
      <c r="E5106" t="s">
        <v>28153</v>
      </c>
      <c r="F5106" t="s">
        <v>9156</v>
      </c>
      <c r="G5106" t="s">
        <v>43872</v>
      </c>
      <c r="H5106" t="s">
        <v>26011</v>
      </c>
      <c r="I5106" s="26">
        <v>41387</v>
      </c>
      <c r="J5106">
        <v>2013</v>
      </c>
      <c r="K5106" t="s">
        <v>9156</v>
      </c>
      <c r="L5106">
        <v>194</v>
      </c>
      <c r="M5106" t="s">
        <v>43873</v>
      </c>
      <c r="N5106">
        <v>1</v>
      </c>
      <c r="O5106" t="s">
        <v>43874</v>
      </c>
      <c r="Q5106" t="s">
        <v>43875</v>
      </c>
      <c r="R5106">
        <v>362.20400000000001</v>
      </c>
      <c r="S5106" t="s">
        <v>9157</v>
      </c>
      <c r="T5106" t="s">
        <v>30</v>
      </c>
      <c r="U5106" t="s">
        <v>33552</v>
      </c>
      <c r="W5106" t="s">
        <v>26009</v>
      </c>
    </row>
    <row r="5107" spans="1:23" x14ac:dyDescent="0.35">
      <c r="A5107">
        <v>1517587</v>
      </c>
      <c r="B5107" t="s">
        <v>43876</v>
      </c>
      <c r="C5107" t="str">
        <f>"9781848726147"</f>
        <v>9781848726147</v>
      </c>
      <c r="D5107" t="str">
        <f>"9781136208171"</f>
        <v>9781136208171</v>
      </c>
      <c r="E5107" t="s">
        <v>26010</v>
      </c>
      <c r="F5107" t="s">
        <v>35</v>
      </c>
      <c r="G5107" t="s">
        <v>22174</v>
      </c>
      <c r="H5107" t="s">
        <v>26011</v>
      </c>
      <c r="I5107" s="26">
        <v>41249</v>
      </c>
      <c r="J5107">
        <v>2013</v>
      </c>
      <c r="K5107" t="s">
        <v>660</v>
      </c>
      <c r="L5107">
        <v>321</v>
      </c>
      <c r="M5107" t="s">
        <v>43877</v>
      </c>
      <c r="N5107">
        <v>1</v>
      </c>
      <c r="O5107" t="s">
        <v>43878</v>
      </c>
      <c r="Q5107" t="s">
        <v>43879</v>
      </c>
      <c r="R5107">
        <v>153.12</v>
      </c>
      <c r="S5107" t="s">
        <v>43880</v>
      </c>
      <c r="T5107" t="s">
        <v>30</v>
      </c>
      <c r="U5107" t="s">
        <v>46</v>
      </c>
      <c r="W5107" t="s">
        <v>26009</v>
      </c>
    </row>
    <row r="5108" spans="1:23" x14ac:dyDescent="0.35">
      <c r="A5108">
        <v>1520746</v>
      </c>
      <c r="B5108" t="s">
        <v>43881</v>
      </c>
      <c r="C5108" t="str">
        <f>"9780765710048"</f>
        <v>9780765710048</v>
      </c>
      <c r="D5108" t="str">
        <f>"9780765710055"</f>
        <v>9780765710055</v>
      </c>
      <c r="E5108" t="s">
        <v>33803</v>
      </c>
      <c r="F5108" t="s">
        <v>38</v>
      </c>
      <c r="G5108" t="s">
        <v>33804</v>
      </c>
      <c r="H5108" t="s">
        <v>26004</v>
      </c>
      <c r="I5108" s="26">
        <v>41576</v>
      </c>
      <c r="J5108">
        <v>2013</v>
      </c>
      <c r="K5108" t="s">
        <v>33811</v>
      </c>
      <c r="L5108">
        <v>231</v>
      </c>
      <c r="M5108" t="s">
        <v>43882</v>
      </c>
      <c r="N5108">
        <v>1</v>
      </c>
      <c r="O5108" t="s">
        <v>43883</v>
      </c>
      <c r="Q5108" t="s">
        <v>43884</v>
      </c>
      <c r="R5108">
        <v>152.41086942000001</v>
      </c>
      <c r="S5108" t="s">
        <v>43885</v>
      </c>
      <c r="T5108" t="s">
        <v>30</v>
      </c>
      <c r="U5108" t="s">
        <v>26228</v>
      </c>
      <c r="W5108" t="s">
        <v>26009</v>
      </c>
    </row>
    <row r="5109" spans="1:23" x14ac:dyDescent="0.35">
      <c r="A5109">
        <v>1524111</v>
      </c>
      <c r="B5109" t="s">
        <v>43886</v>
      </c>
      <c r="C5109" t="str">
        <f>"9781440803741"</f>
        <v>9781440803741</v>
      </c>
      <c r="D5109" t="str">
        <f>"9781440803758"</f>
        <v>9781440803758</v>
      </c>
      <c r="E5109" t="s">
        <v>28336</v>
      </c>
      <c r="F5109" t="s">
        <v>28340</v>
      </c>
      <c r="G5109" t="s">
        <v>22179</v>
      </c>
      <c r="H5109" t="s">
        <v>26004</v>
      </c>
      <c r="I5109" s="26">
        <v>41568</v>
      </c>
      <c r="J5109">
        <v>2013</v>
      </c>
      <c r="K5109" t="s">
        <v>28341</v>
      </c>
      <c r="L5109">
        <v>513</v>
      </c>
      <c r="M5109" t="s">
        <v>43887</v>
      </c>
      <c r="N5109">
        <v>1</v>
      </c>
      <c r="Q5109" t="s">
        <v>43888</v>
      </c>
      <c r="R5109" t="s">
        <v>32009</v>
      </c>
      <c r="S5109" t="s">
        <v>8266</v>
      </c>
      <c r="T5109" t="s">
        <v>30</v>
      </c>
      <c r="U5109" t="s">
        <v>46</v>
      </c>
      <c r="W5109" t="s">
        <v>28347</v>
      </c>
    </row>
    <row r="5110" spans="1:23" x14ac:dyDescent="0.35">
      <c r="A5110">
        <v>1524277</v>
      </c>
      <c r="B5110" t="s">
        <v>43889</v>
      </c>
      <c r="C5110" t="str">
        <f>""</f>
        <v/>
      </c>
      <c r="D5110" t="str">
        <f>"9781611685237"</f>
        <v>9781611685237</v>
      </c>
      <c r="E5110" t="s">
        <v>42000</v>
      </c>
      <c r="F5110" t="s">
        <v>8423</v>
      </c>
      <c r="G5110" t="s">
        <v>41988</v>
      </c>
      <c r="H5110" t="s">
        <v>26004</v>
      </c>
      <c r="I5110" s="26">
        <v>41702</v>
      </c>
      <c r="J5110">
        <v>2014</v>
      </c>
      <c r="K5110" t="s">
        <v>8423</v>
      </c>
      <c r="L5110">
        <v>217</v>
      </c>
      <c r="M5110" t="s">
        <v>43890</v>
      </c>
      <c r="N5110">
        <v>1</v>
      </c>
      <c r="O5110" t="s">
        <v>42006</v>
      </c>
      <c r="Q5110" t="s">
        <v>43891</v>
      </c>
      <c r="R5110" t="s">
        <v>27449</v>
      </c>
      <c r="S5110" t="s">
        <v>43892</v>
      </c>
      <c r="T5110" t="s">
        <v>30</v>
      </c>
      <c r="U5110" t="s">
        <v>26228</v>
      </c>
      <c r="W5110" t="s">
        <v>26009</v>
      </c>
    </row>
    <row r="5111" spans="1:23" x14ac:dyDescent="0.35">
      <c r="A5111">
        <v>1527422</v>
      </c>
      <c r="B5111" t="s">
        <v>43893</v>
      </c>
      <c r="C5111" t="str">
        <f>"9781780491752"</f>
        <v>9781780491752</v>
      </c>
      <c r="D5111" t="str">
        <f>"9781782410874"</f>
        <v>9781782410874</v>
      </c>
      <c r="E5111" t="s">
        <v>26010</v>
      </c>
      <c r="F5111" t="s">
        <v>35</v>
      </c>
      <c r="G5111" t="s">
        <v>22174</v>
      </c>
      <c r="H5111" t="s">
        <v>26011</v>
      </c>
      <c r="I5111" s="26">
        <v>41585</v>
      </c>
      <c r="J5111">
        <v>2013</v>
      </c>
      <c r="K5111" t="s">
        <v>26012</v>
      </c>
      <c r="L5111">
        <v>150</v>
      </c>
      <c r="M5111" t="s">
        <v>43894</v>
      </c>
      <c r="N5111">
        <v>1</v>
      </c>
      <c r="Q5111" t="s">
        <v>43895</v>
      </c>
      <c r="R5111">
        <v>155</v>
      </c>
      <c r="S5111" t="s">
        <v>43896</v>
      </c>
      <c r="T5111" t="s">
        <v>30</v>
      </c>
      <c r="U5111" t="s">
        <v>26116</v>
      </c>
      <c r="W5111" t="s">
        <v>26009</v>
      </c>
    </row>
    <row r="5112" spans="1:23" x14ac:dyDescent="0.35">
      <c r="A5112">
        <v>1527423</v>
      </c>
      <c r="B5112" t="s">
        <v>8883</v>
      </c>
      <c r="C5112" t="str">
        <f>"9781780491622"</f>
        <v>9781780491622</v>
      </c>
      <c r="D5112" t="str">
        <f>"9781782411369"</f>
        <v>9781782411369</v>
      </c>
      <c r="E5112" t="s">
        <v>26010</v>
      </c>
      <c r="F5112" t="s">
        <v>35</v>
      </c>
      <c r="G5112" t="s">
        <v>22174</v>
      </c>
      <c r="H5112" t="s">
        <v>26011</v>
      </c>
      <c r="I5112" s="26">
        <v>41585</v>
      </c>
      <c r="J5112">
        <v>2013</v>
      </c>
      <c r="K5112" t="s">
        <v>26012</v>
      </c>
      <c r="L5112">
        <v>253</v>
      </c>
      <c r="M5112" t="s">
        <v>43897</v>
      </c>
      <c r="N5112">
        <v>1</v>
      </c>
      <c r="Q5112" t="s">
        <v>43898</v>
      </c>
      <c r="R5112">
        <v>331.25599999999997</v>
      </c>
      <c r="S5112" t="s">
        <v>43899</v>
      </c>
      <c r="T5112" t="s">
        <v>30</v>
      </c>
      <c r="U5112" t="s">
        <v>43900</v>
      </c>
      <c r="W5112" t="s">
        <v>26009</v>
      </c>
    </row>
    <row r="5113" spans="1:23" x14ac:dyDescent="0.35">
      <c r="A5113">
        <v>1527425</v>
      </c>
      <c r="B5113" t="s">
        <v>43901</v>
      </c>
      <c r="C5113" t="str">
        <f>"9781780491721"</f>
        <v>9781780491721</v>
      </c>
      <c r="D5113" t="str">
        <f>"9781782412021"</f>
        <v>9781782412021</v>
      </c>
      <c r="E5113" t="s">
        <v>26010</v>
      </c>
      <c r="F5113" t="s">
        <v>35</v>
      </c>
      <c r="G5113" t="s">
        <v>22174</v>
      </c>
      <c r="H5113" t="s">
        <v>26011</v>
      </c>
      <c r="I5113" s="26">
        <v>41585</v>
      </c>
      <c r="J5113">
        <v>2013</v>
      </c>
      <c r="K5113" t="s">
        <v>26012</v>
      </c>
      <c r="L5113">
        <v>320</v>
      </c>
      <c r="M5113" t="s">
        <v>43902</v>
      </c>
      <c r="N5113">
        <v>1</v>
      </c>
      <c r="O5113" t="s">
        <v>36855</v>
      </c>
      <c r="Q5113" t="s">
        <v>43903</v>
      </c>
      <c r="R5113">
        <v>658.31240000000003</v>
      </c>
      <c r="S5113" t="s">
        <v>43904</v>
      </c>
      <c r="T5113" t="s">
        <v>30</v>
      </c>
      <c r="U5113" t="s">
        <v>33989</v>
      </c>
      <c r="W5113" t="s">
        <v>26009</v>
      </c>
    </row>
    <row r="5114" spans="1:23" x14ac:dyDescent="0.35">
      <c r="A5114">
        <v>1527426</v>
      </c>
      <c r="B5114" t="s">
        <v>43905</v>
      </c>
      <c r="C5114" t="str">
        <f>"9781780491691"</f>
        <v>9781780491691</v>
      </c>
      <c r="D5114" t="str">
        <f>"9781782411833"</f>
        <v>9781782411833</v>
      </c>
      <c r="E5114" t="s">
        <v>26010</v>
      </c>
      <c r="F5114" t="s">
        <v>35</v>
      </c>
      <c r="G5114" t="s">
        <v>22174</v>
      </c>
      <c r="H5114" t="s">
        <v>26011</v>
      </c>
      <c r="I5114" s="26">
        <v>41597</v>
      </c>
      <c r="J5114">
        <v>2013</v>
      </c>
      <c r="K5114" t="s">
        <v>26012</v>
      </c>
      <c r="L5114">
        <v>395</v>
      </c>
      <c r="M5114" t="s">
        <v>41843</v>
      </c>
      <c r="N5114">
        <v>1</v>
      </c>
      <c r="Q5114" t="s">
        <v>43906</v>
      </c>
      <c r="R5114">
        <v>616.89170000000001</v>
      </c>
      <c r="S5114" t="s">
        <v>43907</v>
      </c>
      <c r="T5114" t="s">
        <v>30</v>
      </c>
      <c r="U5114" t="s">
        <v>26019</v>
      </c>
      <c r="W5114" t="s">
        <v>26009</v>
      </c>
    </row>
    <row r="5115" spans="1:23" x14ac:dyDescent="0.35">
      <c r="A5115">
        <v>1531545</v>
      </c>
      <c r="B5115" t="s">
        <v>9620</v>
      </c>
      <c r="C5115" t="str">
        <f>"9780826109354"</f>
        <v>9780826109354</v>
      </c>
      <c r="D5115" t="str">
        <f>"9780826109361"</f>
        <v>9780826109361</v>
      </c>
      <c r="E5115" t="s">
        <v>1504</v>
      </c>
      <c r="F5115" t="s">
        <v>33</v>
      </c>
      <c r="G5115" t="s">
        <v>22179</v>
      </c>
      <c r="H5115" t="s">
        <v>26004</v>
      </c>
      <c r="I5115" s="26">
        <v>41562</v>
      </c>
      <c r="J5115">
        <v>2013</v>
      </c>
      <c r="K5115" t="s">
        <v>33</v>
      </c>
      <c r="L5115">
        <v>223</v>
      </c>
      <c r="M5115" t="s">
        <v>43908</v>
      </c>
      <c r="N5115">
        <v>1</v>
      </c>
      <c r="Q5115" t="s">
        <v>43909</v>
      </c>
      <c r="S5115" t="s">
        <v>43910</v>
      </c>
      <c r="T5115" t="s">
        <v>30</v>
      </c>
      <c r="U5115" t="s">
        <v>46</v>
      </c>
      <c r="W5115" t="s">
        <v>26009</v>
      </c>
    </row>
    <row r="5116" spans="1:23" x14ac:dyDescent="0.35">
      <c r="A5116">
        <v>1531546</v>
      </c>
      <c r="B5116" t="s">
        <v>8831</v>
      </c>
      <c r="C5116" t="str">
        <f>"9780826111258"</f>
        <v>9780826111258</v>
      </c>
      <c r="D5116" t="str">
        <f>"9780826111265"</f>
        <v>9780826111265</v>
      </c>
      <c r="E5116" t="s">
        <v>1504</v>
      </c>
      <c r="F5116" t="s">
        <v>33</v>
      </c>
      <c r="G5116" t="s">
        <v>22179</v>
      </c>
      <c r="H5116" t="s">
        <v>26004</v>
      </c>
      <c r="I5116" s="26">
        <v>41821</v>
      </c>
      <c r="J5116">
        <v>2014</v>
      </c>
      <c r="K5116" t="s">
        <v>33</v>
      </c>
      <c r="L5116">
        <v>190</v>
      </c>
      <c r="M5116" t="s">
        <v>43911</v>
      </c>
      <c r="N5116">
        <v>1</v>
      </c>
      <c r="Q5116" t="s">
        <v>43912</v>
      </c>
      <c r="R5116">
        <v>153.9</v>
      </c>
      <c r="S5116" t="s">
        <v>43913</v>
      </c>
      <c r="T5116" t="s">
        <v>30</v>
      </c>
      <c r="U5116" t="s">
        <v>46</v>
      </c>
      <c r="W5116" t="s">
        <v>26009</v>
      </c>
    </row>
    <row r="5117" spans="1:23" x14ac:dyDescent="0.35">
      <c r="A5117">
        <v>1538261</v>
      </c>
      <c r="B5117" t="s">
        <v>43914</v>
      </c>
      <c r="C5117" t="str">
        <f>"9780691124056"</f>
        <v>9780691124056</v>
      </c>
      <c r="D5117" t="str">
        <f>"9781400850693"</f>
        <v>9781400850693</v>
      </c>
      <c r="E5117" t="s">
        <v>33468</v>
      </c>
      <c r="F5117" t="s">
        <v>7517</v>
      </c>
      <c r="G5117" t="s">
        <v>23592</v>
      </c>
      <c r="H5117" t="s">
        <v>26004</v>
      </c>
      <c r="I5117" s="26">
        <v>38004</v>
      </c>
      <c r="J5117">
        <v>2004</v>
      </c>
      <c r="K5117" t="s">
        <v>7517</v>
      </c>
      <c r="L5117">
        <v>340</v>
      </c>
      <c r="M5117" t="s">
        <v>43915</v>
      </c>
      <c r="N5117">
        <v>1</v>
      </c>
      <c r="Q5117" t="s">
        <v>43916</v>
      </c>
      <c r="R5117">
        <v>155.69999999999999</v>
      </c>
      <c r="T5117" t="s">
        <v>30</v>
      </c>
      <c r="U5117" t="s">
        <v>46</v>
      </c>
      <c r="W5117" t="s">
        <v>28347</v>
      </c>
    </row>
    <row r="5118" spans="1:23" x14ac:dyDescent="0.35">
      <c r="A5118">
        <v>1538396</v>
      </c>
      <c r="B5118" t="s">
        <v>43917</v>
      </c>
      <c r="C5118" t="str">
        <f>"9780199948925"</f>
        <v>9780199948925</v>
      </c>
      <c r="D5118" t="str">
        <f>"9780199948932"</f>
        <v>9780199948932</v>
      </c>
      <c r="E5118" t="s">
        <v>371</v>
      </c>
      <c r="F5118" t="s">
        <v>31</v>
      </c>
      <c r="G5118" t="s">
        <v>22703</v>
      </c>
      <c r="H5118" t="s">
        <v>26004</v>
      </c>
      <c r="I5118" s="26">
        <v>41626</v>
      </c>
      <c r="J5118">
        <v>2013</v>
      </c>
      <c r="K5118" t="s">
        <v>31</v>
      </c>
      <c r="L5118">
        <v>257</v>
      </c>
      <c r="M5118" t="s">
        <v>43918</v>
      </c>
      <c r="Q5118" t="s">
        <v>43919</v>
      </c>
      <c r="R5118" t="s">
        <v>33466</v>
      </c>
      <c r="S5118" t="s">
        <v>43920</v>
      </c>
      <c r="T5118" t="s">
        <v>30</v>
      </c>
      <c r="U5118" t="s">
        <v>26116</v>
      </c>
      <c r="W5118" t="s">
        <v>26009</v>
      </c>
    </row>
    <row r="5119" spans="1:23" x14ac:dyDescent="0.35">
      <c r="A5119">
        <v>1538397</v>
      </c>
      <c r="B5119" t="s">
        <v>43921</v>
      </c>
      <c r="C5119" t="str">
        <f>"9780199957972"</f>
        <v>9780199957972</v>
      </c>
      <c r="D5119" t="str">
        <f>"9780199957989"</f>
        <v>9780199957989</v>
      </c>
      <c r="E5119" t="s">
        <v>371</v>
      </c>
      <c r="F5119" t="s">
        <v>31</v>
      </c>
      <c r="G5119" t="s">
        <v>22242</v>
      </c>
      <c r="H5119" t="s">
        <v>26004</v>
      </c>
      <c r="I5119" s="26">
        <v>41617</v>
      </c>
      <c r="J5119">
        <v>2014</v>
      </c>
      <c r="K5119" t="s">
        <v>31</v>
      </c>
      <c r="L5119">
        <v>374</v>
      </c>
      <c r="M5119" t="s">
        <v>43922</v>
      </c>
      <c r="Q5119" t="s">
        <v>43923</v>
      </c>
      <c r="R5119" t="s">
        <v>43924</v>
      </c>
      <c r="S5119" t="s">
        <v>43925</v>
      </c>
      <c r="T5119" t="s">
        <v>30</v>
      </c>
      <c r="U5119" t="s">
        <v>30799</v>
      </c>
      <c r="W5119" t="s">
        <v>26009</v>
      </c>
    </row>
    <row r="5120" spans="1:23" x14ac:dyDescent="0.35">
      <c r="A5120">
        <v>1538976</v>
      </c>
      <c r="B5120" t="s">
        <v>43926</v>
      </c>
      <c r="C5120" t="str">
        <f>"9780826106100"</f>
        <v>9780826106100</v>
      </c>
      <c r="D5120" t="str">
        <f>"9780826106117"</f>
        <v>9780826106117</v>
      </c>
      <c r="E5120" t="s">
        <v>1504</v>
      </c>
      <c r="F5120" t="s">
        <v>33</v>
      </c>
      <c r="G5120" t="s">
        <v>22179</v>
      </c>
      <c r="H5120" t="s">
        <v>26004</v>
      </c>
      <c r="I5120" s="26">
        <v>41518</v>
      </c>
      <c r="J5120">
        <v>2013</v>
      </c>
      <c r="K5120" t="s">
        <v>33</v>
      </c>
      <c r="L5120">
        <v>148</v>
      </c>
      <c r="M5120" t="s">
        <v>43927</v>
      </c>
      <c r="N5120">
        <v>1</v>
      </c>
      <c r="Q5120" t="s">
        <v>43928</v>
      </c>
      <c r="R5120">
        <v>155.232</v>
      </c>
      <c r="S5120" t="s">
        <v>43929</v>
      </c>
      <c r="T5120" t="s">
        <v>30</v>
      </c>
      <c r="U5120" t="s">
        <v>26116</v>
      </c>
      <c r="W5120" t="s">
        <v>26009</v>
      </c>
    </row>
    <row r="5121" spans="1:23" x14ac:dyDescent="0.35">
      <c r="A5121">
        <v>1538977</v>
      </c>
      <c r="B5121" t="s">
        <v>43930</v>
      </c>
      <c r="C5121" t="str">
        <f>"9780826195913"</f>
        <v>9780826195913</v>
      </c>
      <c r="D5121" t="str">
        <f>"9780826195920"</f>
        <v>9780826195920</v>
      </c>
      <c r="E5121" t="s">
        <v>1504</v>
      </c>
      <c r="F5121" t="s">
        <v>33</v>
      </c>
      <c r="G5121" t="s">
        <v>22179</v>
      </c>
      <c r="H5121" t="s">
        <v>26004</v>
      </c>
      <c r="I5121" s="26">
        <v>41821</v>
      </c>
      <c r="J5121">
        <v>2014</v>
      </c>
      <c r="K5121" t="s">
        <v>33</v>
      </c>
      <c r="L5121">
        <v>477</v>
      </c>
      <c r="M5121" t="s">
        <v>43931</v>
      </c>
      <c r="N5121">
        <v>1</v>
      </c>
      <c r="Q5121" t="s">
        <v>43932</v>
      </c>
      <c r="S5121" t="s">
        <v>674</v>
      </c>
      <c r="T5121" t="s">
        <v>30</v>
      </c>
      <c r="U5121" t="s">
        <v>26019</v>
      </c>
      <c r="W5121" t="s">
        <v>26009</v>
      </c>
    </row>
    <row r="5122" spans="1:23" x14ac:dyDescent="0.35">
      <c r="A5122">
        <v>1543536</v>
      </c>
      <c r="B5122" t="s">
        <v>43933</v>
      </c>
      <c r="C5122" t="str">
        <f>"9780521769389"</f>
        <v>9780521769389</v>
      </c>
      <c r="D5122" t="str">
        <f>"9781107468092"</f>
        <v>9781107468092</v>
      </c>
      <c r="E5122" t="s">
        <v>167</v>
      </c>
      <c r="F5122" t="s">
        <v>167</v>
      </c>
      <c r="G5122" t="s">
        <v>22179</v>
      </c>
      <c r="H5122" t="s">
        <v>26004</v>
      </c>
      <c r="I5122" s="26">
        <v>41592</v>
      </c>
      <c r="J5122">
        <v>2013</v>
      </c>
      <c r="K5122" t="s">
        <v>167</v>
      </c>
      <c r="L5122">
        <v>446</v>
      </c>
      <c r="M5122" t="s">
        <v>43934</v>
      </c>
      <c r="N5122">
        <v>1</v>
      </c>
      <c r="Q5122" t="s">
        <v>43935</v>
      </c>
      <c r="R5122">
        <v>302</v>
      </c>
      <c r="S5122" t="s">
        <v>8737</v>
      </c>
      <c r="T5122" t="s">
        <v>30</v>
      </c>
      <c r="U5122" t="s">
        <v>26228</v>
      </c>
      <c r="W5122" t="s">
        <v>26020</v>
      </c>
    </row>
    <row r="5123" spans="1:23" x14ac:dyDescent="0.35">
      <c r="A5123">
        <v>1543544</v>
      </c>
      <c r="B5123" t="s">
        <v>9603</v>
      </c>
      <c r="C5123" t="str">
        <f>"9781107019324"</f>
        <v>9781107019324</v>
      </c>
      <c r="D5123" t="str">
        <f>"9781107468245"</f>
        <v>9781107468245</v>
      </c>
      <c r="E5123" t="s">
        <v>167</v>
      </c>
      <c r="F5123" t="s">
        <v>167</v>
      </c>
      <c r="G5123" t="s">
        <v>22179</v>
      </c>
      <c r="H5123" t="s">
        <v>26004</v>
      </c>
      <c r="I5123" s="26">
        <v>41557</v>
      </c>
      <c r="J5123">
        <v>2013</v>
      </c>
      <c r="K5123" t="s">
        <v>167</v>
      </c>
      <c r="L5123">
        <v>410</v>
      </c>
      <c r="M5123" t="s">
        <v>43936</v>
      </c>
      <c r="N5123">
        <v>1</v>
      </c>
      <c r="Q5123" t="s">
        <v>43937</v>
      </c>
      <c r="R5123">
        <v>701.1</v>
      </c>
      <c r="S5123" t="s">
        <v>43938</v>
      </c>
      <c r="T5123" t="s">
        <v>30</v>
      </c>
      <c r="U5123" t="s">
        <v>27699</v>
      </c>
      <c r="W5123" t="s">
        <v>26020</v>
      </c>
    </row>
    <row r="5124" spans="1:23" x14ac:dyDescent="0.35">
      <c r="A5124">
        <v>1543657</v>
      </c>
      <c r="B5124" t="s">
        <v>43939</v>
      </c>
      <c r="C5124" t="str">
        <f>"9780521888202"</f>
        <v>9780521888202</v>
      </c>
      <c r="D5124" t="str">
        <f>"9781107703537"</f>
        <v>9781107703537</v>
      </c>
      <c r="E5124" t="s">
        <v>167</v>
      </c>
      <c r="F5124" t="s">
        <v>167</v>
      </c>
      <c r="G5124" t="s">
        <v>22179</v>
      </c>
      <c r="H5124" t="s">
        <v>26004</v>
      </c>
      <c r="I5124" s="26">
        <v>39569</v>
      </c>
      <c r="J5124">
        <v>2008</v>
      </c>
      <c r="K5124" t="s">
        <v>167</v>
      </c>
      <c r="L5124">
        <v>540</v>
      </c>
      <c r="M5124" t="s">
        <v>43940</v>
      </c>
      <c r="N5124">
        <v>2</v>
      </c>
      <c r="O5124" t="s">
        <v>43941</v>
      </c>
      <c r="P5124">
        <v>70</v>
      </c>
      <c r="Q5124" t="s">
        <v>43942</v>
      </c>
      <c r="R5124" t="s">
        <v>43943</v>
      </c>
      <c r="S5124" t="s">
        <v>7712</v>
      </c>
      <c r="T5124" t="s">
        <v>30</v>
      </c>
      <c r="U5124" t="s">
        <v>46</v>
      </c>
      <c r="W5124" t="s">
        <v>26020</v>
      </c>
    </row>
    <row r="5125" spans="1:23" x14ac:dyDescent="0.35">
      <c r="A5125">
        <v>1543665</v>
      </c>
      <c r="B5125" t="s">
        <v>43944</v>
      </c>
      <c r="C5125" t="str">
        <f>"9781107014657"</f>
        <v>9781107014657</v>
      </c>
      <c r="D5125" t="str">
        <f>"9781107703612"</f>
        <v>9781107703612</v>
      </c>
      <c r="E5125" t="s">
        <v>167</v>
      </c>
      <c r="F5125" t="s">
        <v>167</v>
      </c>
      <c r="G5125" t="s">
        <v>22179</v>
      </c>
      <c r="H5125" t="s">
        <v>26004</v>
      </c>
      <c r="I5125" s="26">
        <v>41596</v>
      </c>
      <c r="J5125">
        <v>2013</v>
      </c>
      <c r="K5125" t="s">
        <v>167</v>
      </c>
      <c r="L5125">
        <v>266</v>
      </c>
      <c r="M5125" t="s">
        <v>43945</v>
      </c>
      <c r="N5125">
        <v>1</v>
      </c>
      <c r="Q5125" t="s">
        <v>43946</v>
      </c>
      <c r="R5125">
        <v>370.11500000000001</v>
      </c>
      <c r="S5125" t="s">
        <v>43947</v>
      </c>
      <c r="T5125" t="s">
        <v>30</v>
      </c>
      <c r="U5125" t="s">
        <v>337</v>
      </c>
      <c r="W5125" t="s">
        <v>26020</v>
      </c>
    </row>
    <row r="5126" spans="1:23" x14ac:dyDescent="0.35">
      <c r="A5126">
        <v>1543669</v>
      </c>
      <c r="B5126" t="s">
        <v>43948</v>
      </c>
      <c r="C5126" t="str">
        <f>"9781107023697"</f>
        <v>9781107023697</v>
      </c>
      <c r="D5126" t="str">
        <f>"9781107703650"</f>
        <v>9781107703650</v>
      </c>
      <c r="E5126" t="s">
        <v>167</v>
      </c>
      <c r="F5126" t="s">
        <v>167</v>
      </c>
      <c r="G5126" t="s">
        <v>22179</v>
      </c>
      <c r="H5126" t="s">
        <v>26004</v>
      </c>
      <c r="I5126" s="26">
        <v>41596</v>
      </c>
      <c r="J5126">
        <v>2013</v>
      </c>
      <c r="K5126" t="s">
        <v>167</v>
      </c>
      <c r="L5126">
        <v>318</v>
      </c>
      <c r="M5126" t="s">
        <v>43949</v>
      </c>
      <c r="N5126">
        <v>1</v>
      </c>
      <c r="O5126" t="s">
        <v>43950</v>
      </c>
      <c r="P5126">
        <v>40</v>
      </c>
      <c r="Q5126" t="s">
        <v>43951</v>
      </c>
      <c r="R5126">
        <v>155.19999999999999</v>
      </c>
      <c r="S5126" t="s">
        <v>43952</v>
      </c>
      <c r="T5126" t="s">
        <v>30</v>
      </c>
      <c r="U5126" t="s">
        <v>46</v>
      </c>
      <c r="W5126" t="s">
        <v>26020</v>
      </c>
    </row>
    <row r="5127" spans="1:23" x14ac:dyDescent="0.35">
      <c r="A5127">
        <v>1543761</v>
      </c>
      <c r="B5127" t="s">
        <v>43953</v>
      </c>
      <c r="C5127" t="str">
        <f>"9780520276734"</f>
        <v>9780520276734</v>
      </c>
      <c r="D5127" t="str">
        <f>"9780520957480"</f>
        <v>9780520957480</v>
      </c>
      <c r="E5127" t="s">
        <v>1612</v>
      </c>
      <c r="F5127" t="s">
        <v>1612</v>
      </c>
      <c r="G5127" t="s">
        <v>22630</v>
      </c>
      <c r="H5127" t="s">
        <v>26004</v>
      </c>
      <c r="I5127" s="26">
        <v>41615</v>
      </c>
      <c r="J5127">
        <v>2013</v>
      </c>
      <c r="K5127" t="s">
        <v>1612</v>
      </c>
      <c r="L5127">
        <v>354</v>
      </c>
      <c r="M5127" t="s">
        <v>43954</v>
      </c>
      <c r="N5127">
        <v>1</v>
      </c>
      <c r="O5127" t="s">
        <v>43955</v>
      </c>
      <c r="P5127">
        <v>29</v>
      </c>
      <c r="Q5127" t="s">
        <v>43956</v>
      </c>
      <c r="R5127" t="s">
        <v>43957</v>
      </c>
      <c r="S5127" t="s">
        <v>43958</v>
      </c>
      <c r="T5127" t="s">
        <v>30</v>
      </c>
      <c r="U5127" t="s">
        <v>26094</v>
      </c>
      <c r="W5127" t="s">
        <v>26009</v>
      </c>
    </row>
    <row r="5128" spans="1:23" x14ac:dyDescent="0.35">
      <c r="A5128">
        <v>1550671</v>
      </c>
      <c r="B5128" t="s">
        <v>9196</v>
      </c>
      <c r="C5128" t="str">
        <f>"9781780490441"</f>
        <v>9781780490441</v>
      </c>
      <c r="D5128" t="str">
        <f>"9781782411048"</f>
        <v>9781782411048</v>
      </c>
      <c r="E5128" t="s">
        <v>26010</v>
      </c>
      <c r="F5128" t="s">
        <v>35</v>
      </c>
      <c r="G5128" t="s">
        <v>22174</v>
      </c>
      <c r="H5128" t="s">
        <v>26011</v>
      </c>
      <c r="I5128" s="26">
        <v>41579</v>
      </c>
      <c r="J5128">
        <v>2013</v>
      </c>
      <c r="K5128" t="s">
        <v>26012</v>
      </c>
      <c r="L5128">
        <v>253</v>
      </c>
      <c r="M5128" t="s">
        <v>43959</v>
      </c>
      <c r="N5128">
        <v>1</v>
      </c>
      <c r="O5128" t="s">
        <v>36552</v>
      </c>
      <c r="Q5128" t="s">
        <v>43960</v>
      </c>
      <c r="R5128">
        <v>617.481044</v>
      </c>
      <c r="S5128" t="s">
        <v>43961</v>
      </c>
      <c r="T5128" t="s">
        <v>30</v>
      </c>
      <c r="U5128" t="s">
        <v>26116</v>
      </c>
      <c r="W5128" t="s">
        <v>26009</v>
      </c>
    </row>
    <row r="5129" spans="1:23" x14ac:dyDescent="0.35">
      <c r="A5129">
        <v>1550672</v>
      </c>
      <c r="B5129" t="s">
        <v>9547</v>
      </c>
      <c r="C5129" t="str">
        <f>"9781780490847"</f>
        <v>9781780490847</v>
      </c>
      <c r="D5129" t="str">
        <f>"9781782411840"</f>
        <v>9781782411840</v>
      </c>
      <c r="E5129" t="s">
        <v>26010</v>
      </c>
      <c r="F5129" t="s">
        <v>35</v>
      </c>
      <c r="G5129" t="s">
        <v>22174</v>
      </c>
      <c r="H5129" t="s">
        <v>26011</v>
      </c>
      <c r="I5129" s="26">
        <v>41597</v>
      </c>
      <c r="J5129">
        <v>2014</v>
      </c>
      <c r="K5129" t="s">
        <v>26012</v>
      </c>
      <c r="L5129">
        <v>304</v>
      </c>
      <c r="M5129" t="s">
        <v>39185</v>
      </c>
      <c r="N5129">
        <v>1</v>
      </c>
      <c r="Q5129" t="s">
        <v>43962</v>
      </c>
      <c r="R5129">
        <v>158.19999999999999</v>
      </c>
      <c r="S5129" t="s">
        <v>37004</v>
      </c>
      <c r="T5129" t="s">
        <v>30</v>
      </c>
      <c r="U5129" t="s">
        <v>26116</v>
      </c>
      <c r="W5129" t="s">
        <v>26009</v>
      </c>
    </row>
    <row r="5130" spans="1:23" x14ac:dyDescent="0.35">
      <c r="A5130">
        <v>1550744</v>
      </c>
      <c r="B5130" t="s">
        <v>43963</v>
      </c>
      <c r="C5130" t="str">
        <f>"9781611323139"</f>
        <v>9781611323139</v>
      </c>
      <c r="D5130" t="str">
        <f>"9781611323153"</f>
        <v>9781611323153</v>
      </c>
      <c r="E5130" t="s">
        <v>26010</v>
      </c>
      <c r="F5130" t="s">
        <v>35</v>
      </c>
      <c r="G5130" t="s">
        <v>36267</v>
      </c>
      <c r="H5130" t="s">
        <v>26004</v>
      </c>
      <c r="I5130" s="26">
        <v>42537</v>
      </c>
      <c r="J5130">
        <v>2014</v>
      </c>
      <c r="K5130" t="s">
        <v>26012</v>
      </c>
      <c r="L5130">
        <v>252</v>
      </c>
      <c r="M5130" t="s">
        <v>43964</v>
      </c>
      <c r="N5130">
        <v>1</v>
      </c>
      <c r="O5130" t="s">
        <v>43965</v>
      </c>
      <c r="P5130">
        <v>13</v>
      </c>
      <c r="Q5130" t="s">
        <v>43966</v>
      </c>
      <c r="R5130">
        <v>305</v>
      </c>
      <c r="S5130" t="s">
        <v>43967</v>
      </c>
      <c r="T5130" t="s">
        <v>30</v>
      </c>
      <c r="U5130" t="s">
        <v>26044</v>
      </c>
      <c r="W5130" t="s">
        <v>26009</v>
      </c>
    </row>
    <row r="5131" spans="1:23" x14ac:dyDescent="0.35">
      <c r="A5131">
        <v>1561301</v>
      </c>
      <c r="B5131" t="s">
        <v>10092</v>
      </c>
      <c r="C5131" t="str">
        <f>"9780826109422"</f>
        <v>9780826109422</v>
      </c>
      <c r="D5131" t="str">
        <f>"9780826109439"</f>
        <v>9780826109439</v>
      </c>
      <c r="E5131" t="s">
        <v>1504</v>
      </c>
      <c r="F5131" t="s">
        <v>33</v>
      </c>
      <c r="G5131" t="s">
        <v>22179</v>
      </c>
      <c r="H5131" t="s">
        <v>26004</v>
      </c>
      <c r="I5131" s="26">
        <v>41821</v>
      </c>
      <c r="J5131">
        <v>2014</v>
      </c>
      <c r="K5131" t="s">
        <v>33</v>
      </c>
      <c r="L5131">
        <v>651</v>
      </c>
      <c r="M5131" t="s">
        <v>43968</v>
      </c>
      <c r="N5131">
        <v>1</v>
      </c>
      <c r="Q5131" t="s">
        <v>43969</v>
      </c>
      <c r="R5131">
        <v>616.89</v>
      </c>
      <c r="S5131" t="s">
        <v>43970</v>
      </c>
      <c r="T5131" t="s">
        <v>30</v>
      </c>
      <c r="U5131" t="s">
        <v>26019</v>
      </c>
      <c r="W5131" t="s">
        <v>26009</v>
      </c>
    </row>
    <row r="5132" spans="1:23" x14ac:dyDescent="0.35">
      <c r="A5132">
        <v>1564373</v>
      </c>
      <c r="B5132" t="s">
        <v>43971</v>
      </c>
      <c r="C5132" t="str">
        <f>"9780826196774"</f>
        <v>9780826196774</v>
      </c>
      <c r="D5132" t="str">
        <f>"9780826196781"</f>
        <v>9780826196781</v>
      </c>
      <c r="E5132" t="s">
        <v>1504</v>
      </c>
      <c r="F5132" t="s">
        <v>33</v>
      </c>
      <c r="G5132" t="s">
        <v>22179</v>
      </c>
      <c r="H5132" t="s">
        <v>26004</v>
      </c>
      <c r="I5132" s="26">
        <v>41586</v>
      </c>
      <c r="J5132">
        <v>2013</v>
      </c>
      <c r="K5132" t="s">
        <v>33</v>
      </c>
      <c r="L5132">
        <v>413</v>
      </c>
      <c r="M5132" t="s">
        <v>33317</v>
      </c>
      <c r="N5132">
        <v>2</v>
      </c>
      <c r="Q5132" t="s">
        <v>43972</v>
      </c>
      <c r="R5132">
        <v>616.85821999999996</v>
      </c>
      <c r="S5132" t="s">
        <v>43973</v>
      </c>
      <c r="T5132" t="s">
        <v>30</v>
      </c>
      <c r="U5132" t="s">
        <v>26019</v>
      </c>
      <c r="W5132" t="s">
        <v>26009</v>
      </c>
    </row>
    <row r="5133" spans="1:23" x14ac:dyDescent="0.35">
      <c r="A5133">
        <v>1564374</v>
      </c>
      <c r="B5133" t="s">
        <v>8619</v>
      </c>
      <c r="C5133" t="str">
        <f>"9780826199355"</f>
        <v>9780826199355</v>
      </c>
      <c r="D5133" t="str">
        <f>"9780826199362"</f>
        <v>9780826199362</v>
      </c>
      <c r="E5133" t="s">
        <v>1504</v>
      </c>
      <c r="F5133" t="s">
        <v>33</v>
      </c>
      <c r="G5133" t="s">
        <v>22179</v>
      </c>
      <c r="H5133" t="s">
        <v>26004</v>
      </c>
      <c r="I5133" s="26">
        <v>41586</v>
      </c>
      <c r="J5133">
        <v>2013</v>
      </c>
      <c r="K5133" t="s">
        <v>33</v>
      </c>
      <c r="L5133">
        <v>530</v>
      </c>
      <c r="M5133" t="s">
        <v>43974</v>
      </c>
      <c r="N5133">
        <v>4</v>
      </c>
      <c r="Q5133" t="s">
        <v>43975</v>
      </c>
      <c r="S5133" t="s">
        <v>43976</v>
      </c>
      <c r="T5133" t="s">
        <v>30</v>
      </c>
      <c r="U5133" t="s">
        <v>26250</v>
      </c>
      <c r="W5133" t="s">
        <v>26009</v>
      </c>
    </row>
    <row r="5134" spans="1:23" x14ac:dyDescent="0.35">
      <c r="A5134">
        <v>1565230</v>
      </c>
      <c r="B5134" t="s">
        <v>43977</v>
      </c>
      <c r="C5134" t="str">
        <f>"9780691122458"</f>
        <v>9780691122458</v>
      </c>
      <c r="D5134" t="str">
        <f>"9781400843732"</f>
        <v>9781400843732</v>
      </c>
      <c r="E5134" t="s">
        <v>33468</v>
      </c>
      <c r="F5134" t="s">
        <v>7517</v>
      </c>
      <c r="G5134" t="s">
        <v>23592</v>
      </c>
      <c r="H5134" t="s">
        <v>26004</v>
      </c>
      <c r="I5134" s="26">
        <v>38558</v>
      </c>
      <c r="J5134">
        <v>2005</v>
      </c>
      <c r="K5134" t="s">
        <v>7517</v>
      </c>
      <c r="L5134">
        <v>345</v>
      </c>
      <c r="M5134" t="s">
        <v>43978</v>
      </c>
      <c r="N5134">
        <v>1</v>
      </c>
      <c r="Q5134" t="s">
        <v>43979</v>
      </c>
      <c r="R5134" t="s">
        <v>43980</v>
      </c>
      <c r="T5134" t="s">
        <v>30</v>
      </c>
      <c r="U5134" t="s">
        <v>26044</v>
      </c>
      <c r="W5134" t="s">
        <v>28347</v>
      </c>
    </row>
    <row r="5135" spans="1:23" x14ac:dyDescent="0.35">
      <c r="A5135">
        <v>1565260</v>
      </c>
      <c r="B5135" t="s">
        <v>43981</v>
      </c>
      <c r="C5135" t="str">
        <f>"9780765708625"</f>
        <v>9780765708625</v>
      </c>
      <c r="D5135" t="str">
        <f>"9780765708632"</f>
        <v>9780765708632</v>
      </c>
      <c r="E5135" t="s">
        <v>33803</v>
      </c>
      <c r="F5135" t="s">
        <v>38</v>
      </c>
      <c r="G5135" t="s">
        <v>33804</v>
      </c>
      <c r="H5135" t="s">
        <v>26004</v>
      </c>
      <c r="I5135" s="26">
        <v>41592</v>
      </c>
      <c r="J5135">
        <v>2013</v>
      </c>
      <c r="K5135" t="s">
        <v>33811</v>
      </c>
      <c r="L5135">
        <v>220</v>
      </c>
      <c r="M5135" t="s">
        <v>43982</v>
      </c>
      <c r="N5135">
        <v>1</v>
      </c>
      <c r="Q5135" t="s">
        <v>43983</v>
      </c>
      <c r="R5135">
        <v>618.92858820000004</v>
      </c>
      <c r="S5135" t="s">
        <v>43984</v>
      </c>
      <c r="T5135" t="s">
        <v>30</v>
      </c>
      <c r="U5135" t="s">
        <v>26116</v>
      </c>
      <c r="W5135" t="s">
        <v>26009</v>
      </c>
    </row>
    <row r="5136" spans="1:23" x14ac:dyDescent="0.35">
      <c r="A5136">
        <v>1565604</v>
      </c>
      <c r="B5136" t="s">
        <v>9535</v>
      </c>
      <c r="C5136" t="str">
        <f>"9781444145656"</f>
        <v>9781444145656</v>
      </c>
      <c r="D5136" t="str">
        <f>"9781444145663"</f>
        <v>9781444145663</v>
      </c>
      <c r="E5136" t="s">
        <v>26010</v>
      </c>
      <c r="F5136" t="s">
        <v>35</v>
      </c>
      <c r="G5136" t="s">
        <v>22174</v>
      </c>
      <c r="H5136" t="s">
        <v>26004</v>
      </c>
      <c r="I5136" s="26">
        <v>41225</v>
      </c>
      <c r="J5136">
        <v>2013</v>
      </c>
      <c r="K5136" t="s">
        <v>26470</v>
      </c>
      <c r="L5136">
        <v>304</v>
      </c>
      <c r="M5136" t="s">
        <v>43985</v>
      </c>
      <c r="N5136">
        <v>1</v>
      </c>
      <c r="O5136" t="s">
        <v>43986</v>
      </c>
      <c r="Q5136" t="s">
        <v>43987</v>
      </c>
      <c r="R5136">
        <v>616.89007600000002</v>
      </c>
      <c r="S5136" t="s">
        <v>9536</v>
      </c>
      <c r="T5136" t="s">
        <v>30</v>
      </c>
      <c r="U5136" t="s">
        <v>26040</v>
      </c>
      <c r="W5136" t="s">
        <v>26009</v>
      </c>
    </row>
    <row r="5137" spans="1:23" x14ac:dyDescent="0.35">
      <c r="A5137">
        <v>1565981</v>
      </c>
      <c r="B5137" t="s">
        <v>43988</v>
      </c>
      <c r="C5137" t="str">
        <f>"9781626561458"</f>
        <v>9781626561458</v>
      </c>
      <c r="D5137" t="str">
        <f>"9781626561465"</f>
        <v>9781626561465</v>
      </c>
      <c r="E5137" t="s">
        <v>30551</v>
      </c>
      <c r="F5137" t="s">
        <v>7718</v>
      </c>
      <c r="G5137" t="s">
        <v>23047</v>
      </c>
      <c r="H5137" t="s">
        <v>26004</v>
      </c>
      <c r="I5137" s="26">
        <v>41743</v>
      </c>
      <c r="J5137">
        <v>2014</v>
      </c>
      <c r="K5137" t="s">
        <v>7718</v>
      </c>
      <c r="L5137">
        <v>97</v>
      </c>
      <c r="M5137" t="s">
        <v>43989</v>
      </c>
      <c r="N5137">
        <v>1</v>
      </c>
      <c r="Q5137" t="s">
        <v>43990</v>
      </c>
      <c r="R5137">
        <v>303.61</v>
      </c>
      <c r="S5137" t="s">
        <v>43991</v>
      </c>
      <c r="T5137" t="s">
        <v>30</v>
      </c>
      <c r="U5137" t="s">
        <v>26044</v>
      </c>
      <c r="W5137" t="s">
        <v>26009</v>
      </c>
    </row>
    <row r="5138" spans="1:23" x14ac:dyDescent="0.35">
      <c r="A5138">
        <v>1566083</v>
      </c>
      <c r="B5138" t="s">
        <v>43992</v>
      </c>
      <c r="C5138" t="str">
        <f>"9781409434795"</f>
        <v>9781409434795</v>
      </c>
      <c r="D5138" t="str">
        <f>"9781409434801"</f>
        <v>9781409434801</v>
      </c>
      <c r="E5138" t="s">
        <v>26010</v>
      </c>
      <c r="F5138" t="s">
        <v>35</v>
      </c>
      <c r="G5138" t="s">
        <v>33516</v>
      </c>
      <c r="H5138" t="s">
        <v>26011</v>
      </c>
      <c r="I5138" s="26">
        <v>41626</v>
      </c>
      <c r="J5138">
        <v>2013</v>
      </c>
      <c r="K5138" t="s">
        <v>26012</v>
      </c>
      <c r="L5138">
        <v>325</v>
      </c>
      <c r="M5138" t="s">
        <v>43993</v>
      </c>
      <c r="N5138">
        <v>1</v>
      </c>
      <c r="O5138" t="s">
        <v>43994</v>
      </c>
      <c r="Q5138" t="s">
        <v>43995</v>
      </c>
      <c r="R5138">
        <v>613.20000000000005</v>
      </c>
      <c r="S5138" t="s">
        <v>43996</v>
      </c>
      <c r="T5138" t="s">
        <v>30</v>
      </c>
      <c r="U5138" t="s">
        <v>26250</v>
      </c>
      <c r="W5138" t="s">
        <v>26009</v>
      </c>
    </row>
    <row r="5139" spans="1:23" x14ac:dyDescent="0.35">
      <c r="A5139">
        <v>1568967</v>
      </c>
      <c r="B5139" t="s">
        <v>43997</v>
      </c>
      <c r="C5139" t="str">
        <f>"9780765710154"</f>
        <v>9780765710154</v>
      </c>
      <c r="D5139" t="str">
        <f>"9780765710161"</f>
        <v>9780765710161</v>
      </c>
      <c r="E5139" t="s">
        <v>33803</v>
      </c>
      <c r="F5139" t="s">
        <v>38</v>
      </c>
      <c r="G5139" t="s">
        <v>34138</v>
      </c>
      <c r="H5139" t="s">
        <v>26004</v>
      </c>
      <c r="I5139" s="26">
        <v>41599</v>
      </c>
      <c r="J5139">
        <v>2013</v>
      </c>
      <c r="K5139" t="s">
        <v>33811</v>
      </c>
      <c r="L5139">
        <v>247</v>
      </c>
      <c r="M5139" t="s">
        <v>43998</v>
      </c>
      <c r="N5139">
        <v>1</v>
      </c>
      <c r="O5139" t="s">
        <v>35142</v>
      </c>
      <c r="P5139">
        <v>9</v>
      </c>
      <c r="Q5139" t="s">
        <v>43999</v>
      </c>
      <c r="R5139">
        <v>150.19499999999999</v>
      </c>
      <c r="S5139" t="s">
        <v>8053</v>
      </c>
      <c r="T5139" t="s">
        <v>30</v>
      </c>
      <c r="U5139" t="s">
        <v>46</v>
      </c>
      <c r="W5139" t="s">
        <v>26009</v>
      </c>
    </row>
    <row r="5140" spans="1:23" x14ac:dyDescent="0.35">
      <c r="A5140">
        <v>1568970</v>
      </c>
      <c r="B5140" t="s">
        <v>44000</v>
      </c>
      <c r="C5140" t="str">
        <f>"9781442228771"</f>
        <v>9781442228771</v>
      </c>
      <c r="D5140" t="str">
        <f>"9781442228788"</f>
        <v>9781442228788</v>
      </c>
      <c r="E5140" t="s">
        <v>33803</v>
      </c>
      <c r="F5140" t="s">
        <v>38</v>
      </c>
      <c r="G5140" t="s">
        <v>34328</v>
      </c>
      <c r="H5140" t="s">
        <v>26004</v>
      </c>
      <c r="I5140" s="26">
        <v>41599</v>
      </c>
      <c r="J5140">
        <v>2013</v>
      </c>
      <c r="K5140" t="s">
        <v>38</v>
      </c>
      <c r="L5140">
        <v>147</v>
      </c>
      <c r="M5140" t="s">
        <v>44001</v>
      </c>
      <c r="N5140">
        <v>1</v>
      </c>
      <c r="Q5140" t="s">
        <v>44002</v>
      </c>
      <c r="R5140">
        <v>616.89140099999997</v>
      </c>
      <c r="S5140" t="s">
        <v>9407</v>
      </c>
      <c r="T5140" t="s">
        <v>30</v>
      </c>
      <c r="U5140" t="s">
        <v>26019</v>
      </c>
      <c r="W5140" t="s">
        <v>26009</v>
      </c>
    </row>
    <row r="5141" spans="1:23" x14ac:dyDescent="0.35">
      <c r="A5141">
        <v>1569505</v>
      </c>
      <c r="B5141" t="s">
        <v>9197</v>
      </c>
      <c r="C5141" t="str">
        <f>"9780826199379"</f>
        <v>9780826199379</v>
      </c>
      <c r="D5141" t="str">
        <f>"9780826199386"</f>
        <v>9780826199386</v>
      </c>
      <c r="E5141" t="s">
        <v>1504</v>
      </c>
      <c r="F5141" t="s">
        <v>33</v>
      </c>
      <c r="G5141" t="s">
        <v>22179</v>
      </c>
      <c r="H5141" t="s">
        <v>26004</v>
      </c>
      <c r="I5141" s="26">
        <v>41579</v>
      </c>
      <c r="J5141">
        <v>2013</v>
      </c>
      <c r="K5141" t="s">
        <v>33</v>
      </c>
      <c r="L5141">
        <v>257</v>
      </c>
      <c r="M5141" t="s">
        <v>44003</v>
      </c>
      <c r="N5141">
        <v>1</v>
      </c>
      <c r="Q5141" t="s">
        <v>44004</v>
      </c>
      <c r="S5141" t="s">
        <v>44005</v>
      </c>
      <c r="T5141" t="s">
        <v>30</v>
      </c>
      <c r="U5141" t="s">
        <v>26044</v>
      </c>
      <c r="W5141" t="s">
        <v>26009</v>
      </c>
    </row>
    <row r="5142" spans="1:23" x14ac:dyDescent="0.35">
      <c r="A5142">
        <v>1573137</v>
      </c>
      <c r="B5142" t="s">
        <v>44006</v>
      </c>
      <c r="C5142" t="str">
        <f>"9780199916177"</f>
        <v>9780199916177</v>
      </c>
      <c r="D5142" t="str">
        <f>"9780199916184"</f>
        <v>9780199916184</v>
      </c>
      <c r="E5142" t="s">
        <v>371</v>
      </c>
      <c r="F5142" t="s">
        <v>31</v>
      </c>
      <c r="G5142" t="s">
        <v>22242</v>
      </c>
      <c r="H5142" t="s">
        <v>26004</v>
      </c>
      <c r="I5142" s="26">
        <v>41639</v>
      </c>
      <c r="J5142">
        <v>2014</v>
      </c>
      <c r="K5142" t="s">
        <v>31</v>
      </c>
      <c r="L5142">
        <v>289</v>
      </c>
      <c r="M5142" t="s">
        <v>44007</v>
      </c>
      <c r="Q5142" t="s">
        <v>44008</v>
      </c>
      <c r="R5142" t="s">
        <v>44009</v>
      </c>
      <c r="S5142" t="s">
        <v>44010</v>
      </c>
      <c r="T5142" t="s">
        <v>30</v>
      </c>
      <c r="U5142" t="s">
        <v>33415</v>
      </c>
      <c r="W5142" t="s">
        <v>26009</v>
      </c>
    </row>
    <row r="5143" spans="1:23" x14ac:dyDescent="0.35">
      <c r="A5143">
        <v>1573141</v>
      </c>
      <c r="B5143" t="s">
        <v>9930</v>
      </c>
      <c r="C5143" t="str">
        <f>"9780195382327"</f>
        <v>9780195382327</v>
      </c>
      <c r="D5143" t="str">
        <f>"9780199700233"</f>
        <v>9780199700233</v>
      </c>
      <c r="E5143" t="s">
        <v>371</v>
      </c>
      <c r="F5143" t="s">
        <v>31</v>
      </c>
      <c r="G5143" t="s">
        <v>22703</v>
      </c>
      <c r="H5143" t="s">
        <v>26004</v>
      </c>
      <c r="I5143" s="26">
        <v>41579</v>
      </c>
      <c r="J5143">
        <v>2013</v>
      </c>
      <c r="K5143" t="s">
        <v>31</v>
      </c>
      <c r="L5143">
        <v>214</v>
      </c>
      <c r="M5143" t="s">
        <v>44011</v>
      </c>
      <c r="O5143" t="s">
        <v>43335</v>
      </c>
      <c r="Q5143" t="s">
        <v>44012</v>
      </c>
      <c r="R5143">
        <v>153</v>
      </c>
      <c r="S5143" t="s">
        <v>44013</v>
      </c>
      <c r="T5143" t="s">
        <v>30</v>
      </c>
      <c r="U5143" t="s">
        <v>46</v>
      </c>
      <c r="W5143" t="s">
        <v>26009</v>
      </c>
    </row>
    <row r="5144" spans="1:23" x14ac:dyDescent="0.35">
      <c r="A5144">
        <v>1573155</v>
      </c>
      <c r="B5144" t="s">
        <v>44014</v>
      </c>
      <c r="C5144" t="str">
        <f>"9780199897612"</f>
        <v>9780199897612</v>
      </c>
      <c r="D5144" t="str">
        <f>"9780199897629"</f>
        <v>9780199897629</v>
      </c>
      <c r="E5144" t="s">
        <v>371</v>
      </c>
      <c r="F5144" t="s">
        <v>31</v>
      </c>
      <c r="G5144" t="s">
        <v>22703</v>
      </c>
      <c r="H5144" t="s">
        <v>26004</v>
      </c>
      <c r="I5144" s="26">
        <v>41627</v>
      </c>
      <c r="J5144">
        <v>2013</v>
      </c>
      <c r="K5144" t="s">
        <v>31</v>
      </c>
      <c r="L5144">
        <v>209</v>
      </c>
      <c r="M5144" t="s">
        <v>44015</v>
      </c>
      <c r="Q5144" t="s">
        <v>44016</v>
      </c>
      <c r="R5144">
        <v>302</v>
      </c>
      <c r="S5144" t="s">
        <v>44017</v>
      </c>
      <c r="T5144" t="s">
        <v>30</v>
      </c>
      <c r="U5144" t="s">
        <v>26044</v>
      </c>
      <c r="W5144" t="s">
        <v>26009</v>
      </c>
    </row>
    <row r="5145" spans="1:23" x14ac:dyDescent="0.35">
      <c r="A5145">
        <v>1573156</v>
      </c>
      <c r="B5145" t="s">
        <v>8849</v>
      </c>
      <c r="C5145" t="str">
        <f>"9780199924554"</f>
        <v>9780199924554</v>
      </c>
      <c r="D5145" t="str">
        <f>"9780199340958"</f>
        <v>9780199340958</v>
      </c>
      <c r="E5145" t="s">
        <v>371</v>
      </c>
      <c r="F5145" t="s">
        <v>31</v>
      </c>
      <c r="G5145" t="s">
        <v>22703</v>
      </c>
      <c r="H5145" t="s">
        <v>26004</v>
      </c>
      <c r="I5145" s="26">
        <v>41611</v>
      </c>
      <c r="J5145">
        <v>2013</v>
      </c>
      <c r="K5145" t="s">
        <v>31</v>
      </c>
      <c r="L5145">
        <v>426</v>
      </c>
      <c r="M5145" t="s">
        <v>44018</v>
      </c>
      <c r="Q5145" t="s">
        <v>44019</v>
      </c>
      <c r="R5145">
        <v>363.32</v>
      </c>
      <c r="S5145" t="s">
        <v>44020</v>
      </c>
      <c r="T5145" t="s">
        <v>30</v>
      </c>
      <c r="U5145" t="s">
        <v>28085</v>
      </c>
      <c r="W5145" t="s">
        <v>26009</v>
      </c>
    </row>
    <row r="5146" spans="1:23" x14ac:dyDescent="0.35">
      <c r="A5146">
        <v>1573158</v>
      </c>
      <c r="B5146" t="s">
        <v>44021</v>
      </c>
      <c r="C5146" t="str">
        <f>"9780199931651"</f>
        <v>9780199931651</v>
      </c>
      <c r="D5146" t="str">
        <f>"9780199330317"</f>
        <v>9780199330317</v>
      </c>
      <c r="E5146" t="s">
        <v>371</v>
      </c>
      <c r="F5146" t="s">
        <v>31</v>
      </c>
      <c r="G5146" t="s">
        <v>22242</v>
      </c>
      <c r="H5146" t="s">
        <v>26004</v>
      </c>
      <c r="I5146" s="26">
        <v>41523</v>
      </c>
      <c r="J5146">
        <v>2013</v>
      </c>
      <c r="K5146" t="s">
        <v>31</v>
      </c>
      <c r="L5146">
        <v>490</v>
      </c>
      <c r="M5146" t="s">
        <v>44022</v>
      </c>
      <c r="N5146">
        <v>2</v>
      </c>
      <c r="Q5146" t="s">
        <v>44023</v>
      </c>
      <c r="R5146">
        <v>616.89139999999998</v>
      </c>
      <c r="S5146" t="s">
        <v>44024</v>
      </c>
      <c r="T5146" t="s">
        <v>30</v>
      </c>
      <c r="U5146" t="s">
        <v>26019</v>
      </c>
      <c r="W5146" t="s">
        <v>26009</v>
      </c>
    </row>
    <row r="5147" spans="1:23" x14ac:dyDescent="0.35">
      <c r="A5147">
        <v>1573466</v>
      </c>
      <c r="B5147" t="s">
        <v>44025</v>
      </c>
      <c r="C5147" t="str">
        <f>"9780691098678"</f>
        <v>9780691098678</v>
      </c>
      <c r="D5147" t="str">
        <f>"9781400851034"</f>
        <v>9781400851034</v>
      </c>
      <c r="E5147" t="s">
        <v>33468</v>
      </c>
      <c r="F5147" t="s">
        <v>7517</v>
      </c>
      <c r="G5147" t="s">
        <v>23592</v>
      </c>
      <c r="H5147" t="s">
        <v>26004</v>
      </c>
      <c r="I5147" s="26">
        <v>28966</v>
      </c>
      <c r="J5147">
        <v>1979</v>
      </c>
      <c r="K5147" t="s">
        <v>7517</v>
      </c>
      <c r="L5147">
        <v>752</v>
      </c>
      <c r="M5147" t="s">
        <v>44026</v>
      </c>
      <c r="N5147">
        <v>1</v>
      </c>
      <c r="O5147" t="s">
        <v>44027</v>
      </c>
      <c r="P5147">
        <v>66</v>
      </c>
      <c r="R5147" t="s">
        <v>26746</v>
      </c>
      <c r="S5147" t="s">
        <v>44028</v>
      </c>
      <c r="T5147" t="s">
        <v>30</v>
      </c>
      <c r="U5147" t="s">
        <v>46</v>
      </c>
      <c r="W5147" t="s">
        <v>28347</v>
      </c>
    </row>
    <row r="5148" spans="1:23" x14ac:dyDescent="0.35">
      <c r="A5148">
        <v>1573468</v>
      </c>
      <c r="B5148" t="s">
        <v>44029</v>
      </c>
      <c r="C5148" t="str">
        <f>"9780691098920"</f>
        <v>9780691098920</v>
      </c>
      <c r="D5148" t="str">
        <f>"9781400851010"</f>
        <v>9781400851010</v>
      </c>
      <c r="E5148" t="s">
        <v>33468</v>
      </c>
      <c r="F5148" t="s">
        <v>7517</v>
      </c>
      <c r="G5148" t="s">
        <v>23592</v>
      </c>
      <c r="H5148" t="s">
        <v>26004</v>
      </c>
      <c r="I5148" s="26">
        <v>28177</v>
      </c>
      <c r="J5148">
        <v>1977</v>
      </c>
      <c r="K5148" t="s">
        <v>7517</v>
      </c>
      <c r="L5148">
        <v>934</v>
      </c>
      <c r="M5148" t="s">
        <v>44026</v>
      </c>
      <c r="N5148">
        <v>1</v>
      </c>
      <c r="O5148" t="s">
        <v>44027</v>
      </c>
      <c r="P5148">
        <v>53</v>
      </c>
      <c r="Q5148" t="s">
        <v>44030</v>
      </c>
      <c r="S5148" t="s">
        <v>7514</v>
      </c>
      <c r="T5148" t="s">
        <v>30</v>
      </c>
      <c r="U5148" t="s">
        <v>46</v>
      </c>
      <c r="W5148" t="s">
        <v>28347</v>
      </c>
    </row>
    <row r="5149" spans="1:23" x14ac:dyDescent="0.35">
      <c r="A5149">
        <v>1573469</v>
      </c>
      <c r="B5149" t="s">
        <v>44031</v>
      </c>
      <c r="C5149" t="str">
        <f>"9780691097671"</f>
        <v>9780691097671</v>
      </c>
      <c r="D5149" t="str">
        <f>"9781400851003"</f>
        <v>9781400851003</v>
      </c>
      <c r="E5149" t="s">
        <v>33468</v>
      </c>
      <c r="F5149" t="s">
        <v>7517</v>
      </c>
      <c r="G5149" t="s">
        <v>23592</v>
      </c>
      <c r="H5149" t="s">
        <v>26004</v>
      </c>
      <c r="I5149" s="26">
        <v>24279</v>
      </c>
      <c r="J5149">
        <v>1966</v>
      </c>
      <c r="K5149" t="s">
        <v>7517</v>
      </c>
      <c r="L5149">
        <v>412</v>
      </c>
      <c r="M5149" t="s">
        <v>44026</v>
      </c>
      <c r="N5149">
        <v>1</v>
      </c>
      <c r="O5149" t="s">
        <v>44027</v>
      </c>
      <c r="P5149">
        <v>4</v>
      </c>
      <c r="S5149" t="s">
        <v>44032</v>
      </c>
      <c r="T5149" t="s">
        <v>30</v>
      </c>
      <c r="U5149" t="s">
        <v>46</v>
      </c>
      <c r="W5149" t="s">
        <v>28347</v>
      </c>
    </row>
    <row r="5150" spans="1:23" x14ac:dyDescent="0.35">
      <c r="A5150">
        <v>1573470</v>
      </c>
      <c r="B5150" t="s">
        <v>44033</v>
      </c>
      <c r="C5150" t="str">
        <f>"9780691018492"</f>
        <v>9780691018492</v>
      </c>
      <c r="D5150" t="str">
        <f>"9781400850990"</f>
        <v>9781400850990</v>
      </c>
      <c r="E5150" t="s">
        <v>33468</v>
      </c>
      <c r="F5150" t="s">
        <v>7517</v>
      </c>
      <c r="G5150" t="s">
        <v>23592</v>
      </c>
      <c r="H5150" t="s">
        <v>26004</v>
      </c>
      <c r="I5150" s="26">
        <v>24889</v>
      </c>
      <c r="J5150">
        <v>1968</v>
      </c>
      <c r="K5150" t="s">
        <v>7517</v>
      </c>
      <c r="L5150">
        <v>518</v>
      </c>
      <c r="M5150" t="s">
        <v>44026</v>
      </c>
      <c r="N5150">
        <v>1</v>
      </c>
      <c r="O5150" t="s">
        <v>44027</v>
      </c>
      <c r="P5150">
        <v>8</v>
      </c>
      <c r="R5150" t="s">
        <v>44034</v>
      </c>
      <c r="S5150" t="s">
        <v>7514</v>
      </c>
      <c r="T5150" t="s">
        <v>30</v>
      </c>
      <c r="U5150" t="s">
        <v>46</v>
      </c>
      <c r="W5150" t="s">
        <v>28347</v>
      </c>
    </row>
    <row r="5151" spans="1:23" x14ac:dyDescent="0.35">
      <c r="A5151">
        <v>1573473</v>
      </c>
      <c r="B5151" t="s">
        <v>44035</v>
      </c>
      <c r="C5151" t="str">
        <f>"9780691018331"</f>
        <v>9780691018331</v>
      </c>
      <c r="D5151" t="str">
        <f>"9781400850969"</f>
        <v>9781400850969</v>
      </c>
      <c r="E5151" t="s">
        <v>33468</v>
      </c>
      <c r="F5151" t="s">
        <v>7517</v>
      </c>
      <c r="G5151" t="s">
        <v>23592</v>
      </c>
      <c r="H5151" t="s">
        <v>26004</v>
      </c>
      <c r="I5151" s="26">
        <v>25224</v>
      </c>
      <c r="J5151">
        <v>1969</v>
      </c>
      <c r="K5151" t="s">
        <v>7517</v>
      </c>
      <c r="L5151">
        <v>552</v>
      </c>
      <c r="M5151" t="s">
        <v>44026</v>
      </c>
      <c r="N5151">
        <v>1</v>
      </c>
      <c r="O5151" t="s">
        <v>44027</v>
      </c>
      <c r="P5151">
        <v>10</v>
      </c>
      <c r="S5151" t="s">
        <v>44036</v>
      </c>
      <c r="T5151" t="s">
        <v>30</v>
      </c>
      <c r="U5151" t="s">
        <v>46</v>
      </c>
      <c r="W5151" t="s">
        <v>28347</v>
      </c>
    </row>
    <row r="5152" spans="1:23" x14ac:dyDescent="0.35">
      <c r="A5152">
        <v>1573474</v>
      </c>
      <c r="B5152" t="s">
        <v>44037</v>
      </c>
      <c r="C5152" t="str">
        <f>"9780691097749"</f>
        <v>9780691097749</v>
      </c>
      <c r="D5152" t="str">
        <f>"9781400850952"</f>
        <v>9781400850952</v>
      </c>
      <c r="E5152" t="s">
        <v>33468</v>
      </c>
      <c r="F5152" t="s">
        <v>7517</v>
      </c>
      <c r="G5152" t="s">
        <v>23592</v>
      </c>
      <c r="H5152" t="s">
        <v>26004</v>
      </c>
      <c r="I5152" s="26">
        <v>25589</v>
      </c>
      <c r="J5152">
        <v>1970</v>
      </c>
      <c r="K5152" t="s">
        <v>7517</v>
      </c>
      <c r="L5152">
        <v>610</v>
      </c>
      <c r="M5152" t="s">
        <v>44026</v>
      </c>
      <c r="N5152">
        <v>1</v>
      </c>
      <c r="O5152" t="s">
        <v>44027</v>
      </c>
      <c r="P5152">
        <v>47</v>
      </c>
      <c r="T5152" t="s">
        <v>30</v>
      </c>
      <c r="U5152" t="s">
        <v>46</v>
      </c>
      <c r="W5152" t="s">
        <v>28347</v>
      </c>
    </row>
    <row r="5153" spans="1:23" x14ac:dyDescent="0.35">
      <c r="A5153">
        <v>1573475</v>
      </c>
      <c r="B5153" t="s">
        <v>44038</v>
      </c>
      <c r="C5153" t="str">
        <f>"9780691018157"</f>
        <v>9780691018157</v>
      </c>
      <c r="D5153" t="str">
        <f>"9781400850945"</f>
        <v>9781400850945</v>
      </c>
      <c r="E5153" t="s">
        <v>33468</v>
      </c>
      <c r="F5153" t="s">
        <v>7517</v>
      </c>
      <c r="G5153" t="s">
        <v>23592</v>
      </c>
      <c r="H5153" t="s">
        <v>26004</v>
      </c>
      <c r="I5153" s="26">
        <v>24736</v>
      </c>
      <c r="J5153">
        <v>1967</v>
      </c>
      <c r="K5153" t="s">
        <v>7517</v>
      </c>
      <c r="L5153">
        <v>662</v>
      </c>
      <c r="M5153" t="s">
        <v>44026</v>
      </c>
      <c r="N5153">
        <v>1</v>
      </c>
      <c r="O5153" t="s">
        <v>44027</v>
      </c>
      <c r="P5153">
        <v>7</v>
      </c>
      <c r="T5153" t="s">
        <v>30</v>
      </c>
      <c r="U5153" t="s">
        <v>29259</v>
      </c>
      <c r="W5153" t="s">
        <v>28347</v>
      </c>
    </row>
    <row r="5154" spans="1:23" x14ac:dyDescent="0.35">
      <c r="A5154">
        <v>1573476</v>
      </c>
      <c r="B5154" t="s">
        <v>44039</v>
      </c>
      <c r="C5154" t="str">
        <f>"9780691097657"</f>
        <v>9780691097657</v>
      </c>
      <c r="D5154" t="str">
        <f>"9781400850938"</f>
        <v>9781400850938</v>
      </c>
      <c r="E5154" t="s">
        <v>33468</v>
      </c>
      <c r="F5154" t="s">
        <v>7517</v>
      </c>
      <c r="G5154" t="s">
        <v>23592</v>
      </c>
      <c r="H5154" t="s">
        <v>26004</v>
      </c>
      <c r="I5154" s="26">
        <v>22545</v>
      </c>
      <c r="J5154">
        <v>1962</v>
      </c>
      <c r="K5154" t="s">
        <v>7517</v>
      </c>
      <c r="L5154">
        <v>390</v>
      </c>
      <c r="M5154" t="s">
        <v>44026</v>
      </c>
      <c r="N5154">
        <v>1</v>
      </c>
      <c r="O5154" t="s">
        <v>44027</v>
      </c>
      <c r="P5154">
        <v>3</v>
      </c>
      <c r="R5154" t="s">
        <v>44040</v>
      </c>
      <c r="T5154" t="s">
        <v>30</v>
      </c>
      <c r="U5154" t="s">
        <v>46</v>
      </c>
      <c r="W5154" t="s">
        <v>28347</v>
      </c>
    </row>
    <row r="5155" spans="1:23" x14ac:dyDescent="0.35">
      <c r="A5155">
        <v>1573477</v>
      </c>
      <c r="B5155" t="s">
        <v>44041</v>
      </c>
      <c r="C5155" t="str">
        <f>"9780691097695"</f>
        <v>9780691097695</v>
      </c>
      <c r="D5155" t="str">
        <f>"9781400850921"</f>
        <v>9781400850921</v>
      </c>
      <c r="E5155" t="s">
        <v>33468</v>
      </c>
      <c r="F5155" t="s">
        <v>7517</v>
      </c>
      <c r="G5155" t="s">
        <v>23592</v>
      </c>
      <c r="H5155" t="s">
        <v>26004</v>
      </c>
      <c r="I5155" s="26">
        <v>22271</v>
      </c>
      <c r="J5155">
        <v>1961</v>
      </c>
      <c r="K5155" t="s">
        <v>7517</v>
      </c>
      <c r="L5155">
        <v>320</v>
      </c>
      <c r="M5155" t="s">
        <v>44042</v>
      </c>
      <c r="N5155">
        <v>1</v>
      </c>
      <c r="O5155" t="s">
        <v>44027</v>
      </c>
      <c r="P5155">
        <v>62</v>
      </c>
      <c r="R5155">
        <v>616.89</v>
      </c>
      <c r="T5155" t="s">
        <v>30</v>
      </c>
      <c r="U5155" t="s">
        <v>26040</v>
      </c>
      <c r="W5155" t="s">
        <v>28347</v>
      </c>
    </row>
    <row r="5156" spans="1:23" x14ac:dyDescent="0.35">
      <c r="A5156">
        <v>1573478</v>
      </c>
      <c r="B5156" t="s">
        <v>44043</v>
      </c>
      <c r="C5156" t="str">
        <f>"9780691097640"</f>
        <v>9780691097640</v>
      </c>
      <c r="D5156" t="str">
        <f>"9781400850914"</f>
        <v>9781400850914</v>
      </c>
      <c r="E5156" t="s">
        <v>33468</v>
      </c>
      <c r="F5156" t="s">
        <v>7517</v>
      </c>
      <c r="G5156" t="s">
        <v>23592</v>
      </c>
      <c r="H5156" t="s">
        <v>26004</v>
      </c>
      <c r="I5156" s="26">
        <v>26744</v>
      </c>
      <c r="J5156">
        <v>1973</v>
      </c>
      <c r="K5156" t="s">
        <v>7517</v>
      </c>
      <c r="L5156">
        <v>662</v>
      </c>
      <c r="M5156" t="s">
        <v>44026</v>
      </c>
      <c r="N5156">
        <v>1</v>
      </c>
      <c r="O5156" t="s">
        <v>44027</v>
      </c>
      <c r="P5156">
        <v>69</v>
      </c>
      <c r="R5156" t="s">
        <v>44044</v>
      </c>
      <c r="T5156" t="s">
        <v>30</v>
      </c>
      <c r="U5156" t="s">
        <v>46</v>
      </c>
      <c r="W5156" t="s">
        <v>28347</v>
      </c>
    </row>
    <row r="5157" spans="1:23" x14ac:dyDescent="0.35">
      <c r="A5157">
        <v>1573479</v>
      </c>
      <c r="B5157" t="s">
        <v>44045</v>
      </c>
      <c r="C5157" t="str">
        <f>"9780691097688"</f>
        <v>9780691097688</v>
      </c>
      <c r="D5157" t="str">
        <f>"9781400850907"</f>
        <v>9781400850907</v>
      </c>
      <c r="E5157" t="s">
        <v>33468</v>
      </c>
      <c r="F5157" t="s">
        <v>7517</v>
      </c>
      <c r="G5157" t="s">
        <v>23592</v>
      </c>
      <c r="H5157" t="s">
        <v>26004</v>
      </c>
      <c r="I5157" s="26">
        <v>25770</v>
      </c>
      <c r="J5157">
        <v>1970</v>
      </c>
      <c r="K5157" t="s">
        <v>7517</v>
      </c>
      <c r="L5157">
        <v>284</v>
      </c>
      <c r="M5157" t="s">
        <v>44046</v>
      </c>
      <c r="N5157">
        <v>1</v>
      </c>
      <c r="O5157" t="s">
        <v>44027</v>
      </c>
      <c r="P5157">
        <v>64</v>
      </c>
      <c r="R5157" t="s">
        <v>44047</v>
      </c>
      <c r="T5157" t="s">
        <v>30</v>
      </c>
      <c r="U5157" t="s">
        <v>26040</v>
      </c>
      <c r="W5157" t="s">
        <v>28347</v>
      </c>
    </row>
    <row r="5158" spans="1:23" x14ac:dyDescent="0.35">
      <c r="A5158">
        <v>1573480</v>
      </c>
      <c r="B5158" t="s">
        <v>44048</v>
      </c>
      <c r="C5158" t="str">
        <f>"9780691017822"</f>
        <v>9780691017822</v>
      </c>
      <c r="D5158" t="str">
        <f>"9781400850891"</f>
        <v>9781400850891</v>
      </c>
      <c r="E5158" t="s">
        <v>33468</v>
      </c>
      <c r="F5158" t="s">
        <v>7517</v>
      </c>
      <c r="G5158" t="s">
        <v>23592</v>
      </c>
      <c r="H5158" t="s">
        <v>26004</v>
      </c>
      <c r="I5158" s="26">
        <v>24524</v>
      </c>
      <c r="J5158">
        <v>1967</v>
      </c>
      <c r="K5158" t="s">
        <v>7517</v>
      </c>
      <c r="L5158">
        <v>373</v>
      </c>
      <c r="M5158" t="s">
        <v>44026</v>
      </c>
      <c r="N5158">
        <v>1</v>
      </c>
      <c r="O5158" t="s">
        <v>44027</v>
      </c>
      <c r="P5158">
        <v>6</v>
      </c>
      <c r="R5158" t="s">
        <v>44049</v>
      </c>
      <c r="T5158" t="s">
        <v>30</v>
      </c>
      <c r="U5158" t="s">
        <v>46</v>
      </c>
      <c r="W5158" t="s">
        <v>28347</v>
      </c>
    </row>
    <row r="5159" spans="1:23" x14ac:dyDescent="0.35">
      <c r="A5159">
        <v>1573481</v>
      </c>
      <c r="B5159" t="s">
        <v>44050</v>
      </c>
      <c r="C5159" t="str">
        <f>"9780691017754"</f>
        <v>9780691017754</v>
      </c>
      <c r="D5159" t="str">
        <f>"9781400850884"</f>
        <v>9781400850884</v>
      </c>
      <c r="E5159" t="s">
        <v>33468</v>
      </c>
      <c r="F5159" t="s">
        <v>7517</v>
      </c>
      <c r="G5159" t="s">
        <v>23592</v>
      </c>
      <c r="H5159" t="s">
        <v>26004</v>
      </c>
      <c r="I5159" s="26">
        <v>24462</v>
      </c>
      <c r="J5159">
        <v>1966</v>
      </c>
      <c r="K5159" t="s">
        <v>7517</v>
      </c>
      <c r="L5159">
        <v>178</v>
      </c>
      <c r="M5159" t="s">
        <v>44026</v>
      </c>
      <c r="N5159">
        <v>1</v>
      </c>
      <c r="O5159" t="s">
        <v>44027</v>
      </c>
      <c r="P5159">
        <v>5</v>
      </c>
      <c r="T5159" t="s">
        <v>30</v>
      </c>
      <c r="U5159" t="s">
        <v>29032</v>
      </c>
      <c r="W5159" t="s">
        <v>28347</v>
      </c>
    </row>
    <row r="5160" spans="1:23" x14ac:dyDescent="0.35">
      <c r="A5160">
        <v>1573482</v>
      </c>
      <c r="B5160" t="s">
        <v>44051</v>
      </c>
      <c r="C5160" t="str">
        <f>"9780691018317"</f>
        <v>9780691018317</v>
      </c>
      <c r="D5160" t="str">
        <f>"9781400850877"</f>
        <v>9781400850877</v>
      </c>
      <c r="E5160" t="s">
        <v>33468</v>
      </c>
      <c r="F5160" t="s">
        <v>7517</v>
      </c>
      <c r="G5160" t="s">
        <v>23592</v>
      </c>
      <c r="H5160" t="s">
        <v>26004</v>
      </c>
      <c r="I5160" s="26">
        <v>25071</v>
      </c>
      <c r="J5160">
        <v>1968</v>
      </c>
      <c r="K5160" t="s">
        <v>7517</v>
      </c>
      <c r="L5160">
        <v>618</v>
      </c>
      <c r="M5160" t="s">
        <v>44026</v>
      </c>
      <c r="N5160">
        <v>1</v>
      </c>
      <c r="O5160" t="s">
        <v>44027</v>
      </c>
      <c r="P5160">
        <v>9</v>
      </c>
      <c r="T5160" t="s">
        <v>30</v>
      </c>
      <c r="U5160" t="s">
        <v>26679</v>
      </c>
      <c r="W5160" t="s">
        <v>28347</v>
      </c>
    </row>
    <row r="5161" spans="1:23" x14ac:dyDescent="0.35">
      <c r="A5161">
        <v>1573483</v>
      </c>
      <c r="B5161" t="s">
        <v>44052</v>
      </c>
      <c r="C5161" t="str">
        <f>"9780691097701"</f>
        <v>9780691097701</v>
      </c>
      <c r="D5161" t="str">
        <f>"9781400850860"</f>
        <v>9781400850860</v>
      </c>
      <c r="E5161" t="s">
        <v>33468</v>
      </c>
      <c r="F5161" t="s">
        <v>7517</v>
      </c>
      <c r="G5161" t="s">
        <v>23592</v>
      </c>
      <c r="H5161" t="s">
        <v>26004</v>
      </c>
      <c r="I5161" s="26">
        <v>26166</v>
      </c>
      <c r="J5161">
        <v>1971</v>
      </c>
      <c r="K5161" t="s">
        <v>7517</v>
      </c>
      <c r="L5161">
        <v>634</v>
      </c>
      <c r="M5161" t="s">
        <v>44026</v>
      </c>
      <c r="N5161">
        <v>1</v>
      </c>
      <c r="O5161" t="s">
        <v>44027</v>
      </c>
      <c r="P5161">
        <v>16</v>
      </c>
      <c r="T5161" t="s">
        <v>30</v>
      </c>
      <c r="U5161" t="s">
        <v>46</v>
      </c>
      <c r="W5161" t="s">
        <v>28347</v>
      </c>
    </row>
    <row r="5162" spans="1:23" x14ac:dyDescent="0.35">
      <c r="A5162">
        <v>1573485</v>
      </c>
      <c r="B5162" t="s">
        <v>44053</v>
      </c>
      <c r="C5162" t="str">
        <f>"9780691097633"</f>
        <v>9780691097633</v>
      </c>
      <c r="D5162" t="str">
        <f>"9781400850839"</f>
        <v>9781400850839</v>
      </c>
      <c r="E5162" t="s">
        <v>33468</v>
      </c>
      <c r="F5162" t="s">
        <v>7517</v>
      </c>
      <c r="G5162" t="s">
        <v>23592</v>
      </c>
      <c r="H5162" t="s">
        <v>26004</v>
      </c>
      <c r="I5162" s="26">
        <v>19988</v>
      </c>
      <c r="J5162">
        <v>1954</v>
      </c>
      <c r="K5162" t="s">
        <v>7517</v>
      </c>
      <c r="L5162">
        <v>243</v>
      </c>
      <c r="M5162" t="s">
        <v>44026</v>
      </c>
      <c r="N5162">
        <v>1</v>
      </c>
      <c r="O5162" t="s">
        <v>44027</v>
      </c>
      <c r="P5162">
        <v>1</v>
      </c>
      <c r="S5162" t="s">
        <v>44054</v>
      </c>
      <c r="T5162" t="s">
        <v>30</v>
      </c>
      <c r="U5162" t="s">
        <v>46</v>
      </c>
      <c r="W5162" t="s">
        <v>28347</v>
      </c>
    </row>
    <row r="5163" spans="1:23" x14ac:dyDescent="0.35">
      <c r="A5163">
        <v>1574415</v>
      </c>
      <c r="B5163" t="s">
        <v>44055</v>
      </c>
      <c r="C5163" t="str">
        <f>"9780761862390"</f>
        <v>9780761862390</v>
      </c>
      <c r="D5163" t="str">
        <f>"9780761862406"</f>
        <v>9780761862406</v>
      </c>
      <c r="E5163" t="s">
        <v>33803</v>
      </c>
      <c r="F5163" t="s">
        <v>34051</v>
      </c>
      <c r="G5163" t="s">
        <v>34328</v>
      </c>
      <c r="H5163" t="s">
        <v>26004</v>
      </c>
      <c r="I5163" s="26">
        <v>41598</v>
      </c>
      <c r="J5163">
        <v>2013</v>
      </c>
      <c r="K5163" t="s">
        <v>34051</v>
      </c>
      <c r="L5163">
        <v>161</v>
      </c>
      <c r="M5163" t="s">
        <v>44056</v>
      </c>
      <c r="N5163">
        <v>3</v>
      </c>
      <c r="Q5163" t="s">
        <v>44057</v>
      </c>
      <c r="R5163" t="s">
        <v>44058</v>
      </c>
      <c r="S5163" t="s">
        <v>10014</v>
      </c>
      <c r="T5163" t="s">
        <v>30</v>
      </c>
      <c r="U5163" t="s">
        <v>27827</v>
      </c>
      <c r="W5163" t="s">
        <v>26009</v>
      </c>
    </row>
    <row r="5164" spans="1:23" x14ac:dyDescent="0.35">
      <c r="A5164">
        <v>1574426</v>
      </c>
      <c r="B5164" t="s">
        <v>44059</v>
      </c>
      <c r="C5164" t="str">
        <f>"9781442253100"</f>
        <v>9781442253100</v>
      </c>
      <c r="D5164" t="str">
        <f>"9781442222960"</f>
        <v>9781442222960</v>
      </c>
      <c r="E5164" t="s">
        <v>33803</v>
      </c>
      <c r="F5164" t="s">
        <v>38</v>
      </c>
      <c r="G5164" t="s">
        <v>33804</v>
      </c>
      <c r="H5164" t="s">
        <v>26004</v>
      </c>
      <c r="I5164" s="26">
        <v>42195</v>
      </c>
      <c r="J5164">
        <v>2015</v>
      </c>
      <c r="K5164" t="s">
        <v>38</v>
      </c>
      <c r="L5164">
        <v>345</v>
      </c>
      <c r="M5164" t="s">
        <v>44060</v>
      </c>
      <c r="N5164">
        <v>1</v>
      </c>
      <c r="R5164">
        <v>306.83999999999997</v>
      </c>
      <c r="S5164" t="s">
        <v>8616</v>
      </c>
      <c r="T5164" t="s">
        <v>30</v>
      </c>
      <c r="U5164" t="s">
        <v>26044</v>
      </c>
      <c r="W5164" t="s">
        <v>26009</v>
      </c>
    </row>
    <row r="5165" spans="1:23" x14ac:dyDescent="0.35">
      <c r="A5165">
        <v>1574879</v>
      </c>
      <c r="B5165" t="s">
        <v>44061</v>
      </c>
      <c r="C5165" t="str">
        <f>"9780789017147"</f>
        <v>9780789017147</v>
      </c>
      <c r="D5165" t="str">
        <f>"9781317788065"</f>
        <v>9781317788065</v>
      </c>
      <c r="E5165" t="s">
        <v>26010</v>
      </c>
      <c r="F5165" t="s">
        <v>35</v>
      </c>
      <c r="G5165" t="s">
        <v>26201</v>
      </c>
      <c r="H5165" t="s">
        <v>26011</v>
      </c>
      <c r="I5165" s="26">
        <v>37602</v>
      </c>
      <c r="J5165">
        <v>2002</v>
      </c>
      <c r="K5165" t="s">
        <v>26012</v>
      </c>
      <c r="L5165">
        <v>111</v>
      </c>
      <c r="M5165" t="s">
        <v>44062</v>
      </c>
      <c r="N5165">
        <v>1</v>
      </c>
      <c r="Q5165" t="s">
        <v>44063</v>
      </c>
      <c r="R5165">
        <v>362.70890000000003</v>
      </c>
      <c r="S5165" t="s">
        <v>44064</v>
      </c>
      <c r="T5165" t="s">
        <v>30</v>
      </c>
      <c r="U5165" t="s">
        <v>26044</v>
      </c>
      <c r="W5165" t="s">
        <v>26009</v>
      </c>
    </row>
    <row r="5166" spans="1:23" x14ac:dyDescent="0.35">
      <c r="A5166">
        <v>1574889</v>
      </c>
      <c r="B5166" t="s">
        <v>8145</v>
      </c>
      <c r="C5166" t="str">
        <f>"9780805843224"</f>
        <v>9780805843224</v>
      </c>
      <c r="D5166" t="str">
        <f>"9781317778134"</f>
        <v>9781317778134</v>
      </c>
      <c r="E5166" t="s">
        <v>26010</v>
      </c>
      <c r="F5166" t="s">
        <v>35</v>
      </c>
      <c r="G5166" t="s">
        <v>22174</v>
      </c>
      <c r="H5166" t="s">
        <v>26011</v>
      </c>
      <c r="I5166" s="26">
        <v>38504</v>
      </c>
      <c r="J5166">
        <v>2005</v>
      </c>
      <c r="K5166" t="s">
        <v>660</v>
      </c>
      <c r="L5166">
        <v>397</v>
      </c>
      <c r="M5166" t="s">
        <v>44065</v>
      </c>
      <c r="N5166">
        <v>1</v>
      </c>
      <c r="Q5166" t="s">
        <v>44066</v>
      </c>
      <c r="R5166" t="s">
        <v>26360</v>
      </c>
      <c r="S5166" t="s">
        <v>44067</v>
      </c>
      <c r="T5166" t="s">
        <v>30</v>
      </c>
      <c r="U5166" t="s">
        <v>46</v>
      </c>
      <c r="W5166" t="s">
        <v>26009</v>
      </c>
    </row>
    <row r="5167" spans="1:23" x14ac:dyDescent="0.35">
      <c r="A5167">
        <v>1575005</v>
      </c>
      <c r="B5167" t="s">
        <v>44068</v>
      </c>
      <c r="C5167" t="str">
        <f>"9781843347347"</f>
        <v>9781843347347</v>
      </c>
      <c r="D5167" t="str">
        <f>"9781780634005"</f>
        <v>9781780634005</v>
      </c>
      <c r="E5167" t="s">
        <v>27482</v>
      </c>
      <c r="F5167" t="s">
        <v>7447</v>
      </c>
      <c r="G5167" t="s">
        <v>22689</v>
      </c>
      <c r="H5167" t="s">
        <v>26011</v>
      </c>
      <c r="I5167" s="26">
        <v>41578</v>
      </c>
      <c r="J5167">
        <v>2013</v>
      </c>
      <c r="K5167" t="s">
        <v>44069</v>
      </c>
      <c r="L5167">
        <v>223</v>
      </c>
      <c r="M5167" t="s">
        <v>44070</v>
      </c>
      <c r="N5167">
        <v>1</v>
      </c>
      <c r="O5167" t="s">
        <v>44071</v>
      </c>
      <c r="Q5167" t="s">
        <v>44072</v>
      </c>
      <c r="R5167">
        <v>158.72302402</v>
      </c>
      <c r="S5167" t="s">
        <v>9034</v>
      </c>
      <c r="T5167" t="s">
        <v>30</v>
      </c>
      <c r="U5167" t="s">
        <v>46</v>
      </c>
      <c r="W5167" t="s">
        <v>26009</v>
      </c>
    </row>
    <row r="5168" spans="1:23" x14ac:dyDescent="0.35">
      <c r="A5168">
        <v>1575445</v>
      </c>
      <c r="B5168" t="s">
        <v>8979</v>
      </c>
      <c r="C5168" t="str">
        <f>"9783110338690"</f>
        <v>9783110338690</v>
      </c>
      <c r="D5168" t="str">
        <f>"9783110338737"</f>
        <v>9783110338737</v>
      </c>
      <c r="E5168" t="s">
        <v>30630</v>
      </c>
      <c r="F5168" t="s">
        <v>3143</v>
      </c>
      <c r="G5168" t="s">
        <v>43516</v>
      </c>
      <c r="H5168" t="s">
        <v>30632</v>
      </c>
      <c r="I5168" s="26">
        <v>41870</v>
      </c>
      <c r="J5168">
        <v>2014</v>
      </c>
      <c r="K5168" t="s">
        <v>43517</v>
      </c>
      <c r="L5168">
        <v>280</v>
      </c>
      <c r="M5168" t="s">
        <v>44073</v>
      </c>
      <c r="N5168">
        <v>1</v>
      </c>
      <c r="O5168" t="s">
        <v>44074</v>
      </c>
      <c r="R5168">
        <v>305.24</v>
      </c>
      <c r="S5168" t="s">
        <v>44075</v>
      </c>
      <c r="T5168" t="s">
        <v>30</v>
      </c>
      <c r="U5168" t="s">
        <v>26044</v>
      </c>
      <c r="W5168" t="s">
        <v>26009</v>
      </c>
    </row>
    <row r="5169" spans="1:23" x14ac:dyDescent="0.35">
      <c r="A5169">
        <v>1575451</v>
      </c>
      <c r="B5169" t="s">
        <v>44076</v>
      </c>
      <c r="C5169" t="str">
        <f>"9783110350173"</f>
        <v>9783110350173</v>
      </c>
      <c r="D5169" t="str">
        <f>"9783110350296"</f>
        <v>9783110350296</v>
      </c>
      <c r="E5169" t="s">
        <v>30630</v>
      </c>
      <c r="F5169" t="s">
        <v>7451</v>
      </c>
      <c r="G5169" t="s">
        <v>30631</v>
      </c>
      <c r="H5169" t="s">
        <v>30632</v>
      </c>
      <c r="I5169" s="26">
        <v>41876</v>
      </c>
      <c r="J5169">
        <v>2014</v>
      </c>
      <c r="K5169" t="s">
        <v>7451</v>
      </c>
      <c r="L5169">
        <v>186</v>
      </c>
      <c r="M5169" t="s">
        <v>44077</v>
      </c>
      <c r="N5169">
        <v>1</v>
      </c>
      <c r="O5169" t="s">
        <v>30634</v>
      </c>
      <c r="P5169">
        <v>16</v>
      </c>
      <c r="S5169" t="s">
        <v>44078</v>
      </c>
      <c r="T5169" t="s">
        <v>30</v>
      </c>
      <c r="U5169" t="s">
        <v>26158</v>
      </c>
      <c r="W5169" t="s">
        <v>26009</v>
      </c>
    </row>
    <row r="5170" spans="1:23" x14ac:dyDescent="0.35">
      <c r="A5170">
        <v>1576709</v>
      </c>
      <c r="B5170" t="s">
        <v>44079</v>
      </c>
      <c r="C5170" t="str">
        <f>"9781780491134"</f>
        <v>9781780491134</v>
      </c>
      <c r="D5170" t="str">
        <f>"9781782411338"</f>
        <v>9781782411338</v>
      </c>
      <c r="E5170" t="s">
        <v>26010</v>
      </c>
      <c r="F5170" t="s">
        <v>35</v>
      </c>
      <c r="G5170" t="s">
        <v>22174</v>
      </c>
      <c r="H5170" t="s">
        <v>26011</v>
      </c>
      <c r="I5170" s="26">
        <v>41619</v>
      </c>
      <c r="J5170">
        <v>2013</v>
      </c>
      <c r="K5170" t="s">
        <v>26012</v>
      </c>
      <c r="L5170">
        <v>249</v>
      </c>
      <c r="M5170" t="s">
        <v>44080</v>
      </c>
      <c r="N5170">
        <v>1</v>
      </c>
      <c r="Q5170" t="s">
        <v>44081</v>
      </c>
      <c r="R5170">
        <v>616.99400189999994</v>
      </c>
      <c r="S5170" t="s">
        <v>10069</v>
      </c>
      <c r="T5170" t="s">
        <v>30</v>
      </c>
      <c r="U5170" t="s">
        <v>26040</v>
      </c>
      <c r="W5170" t="s">
        <v>26009</v>
      </c>
    </row>
    <row r="5171" spans="1:23" x14ac:dyDescent="0.35">
      <c r="A5171">
        <v>1576710</v>
      </c>
      <c r="B5171" t="s">
        <v>44082</v>
      </c>
      <c r="C5171" t="str">
        <f>"9781782200734"</f>
        <v>9781782200734</v>
      </c>
      <c r="D5171" t="str">
        <f>"9781782412038"</f>
        <v>9781782412038</v>
      </c>
      <c r="E5171" t="s">
        <v>26010</v>
      </c>
      <c r="F5171" t="s">
        <v>35</v>
      </c>
      <c r="G5171" t="s">
        <v>22174</v>
      </c>
      <c r="H5171" t="s">
        <v>26011</v>
      </c>
      <c r="I5171" s="26">
        <v>41639</v>
      </c>
      <c r="J5171">
        <v>2013</v>
      </c>
      <c r="K5171" t="s">
        <v>26012</v>
      </c>
      <c r="L5171">
        <v>119</v>
      </c>
      <c r="M5171" t="s">
        <v>44083</v>
      </c>
      <c r="N5171">
        <v>1</v>
      </c>
      <c r="Q5171" t="s">
        <v>44084</v>
      </c>
      <c r="R5171">
        <v>616.85209999999995</v>
      </c>
      <c r="S5171" t="s">
        <v>44085</v>
      </c>
      <c r="T5171" t="s">
        <v>30</v>
      </c>
      <c r="U5171" t="s">
        <v>26116</v>
      </c>
      <c r="W5171" t="s">
        <v>26009</v>
      </c>
    </row>
    <row r="5172" spans="1:23" x14ac:dyDescent="0.35">
      <c r="A5172">
        <v>1578288</v>
      </c>
      <c r="B5172" t="s">
        <v>44086</v>
      </c>
      <c r="C5172" t="str">
        <f>"9780826108807"</f>
        <v>9780826108807</v>
      </c>
      <c r="D5172" t="str">
        <f>"9780826108845"</f>
        <v>9780826108845</v>
      </c>
      <c r="E5172" t="s">
        <v>1504</v>
      </c>
      <c r="F5172" t="s">
        <v>33</v>
      </c>
      <c r="G5172" t="s">
        <v>22179</v>
      </c>
      <c r="H5172" t="s">
        <v>26004</v>
      </c>
      <c r="I5172" s="26">
        <v>41821</v>
      </c>
      <c r="J5172">
        <v>2014</v>
      </c>
      <c r="K5172" t="s">
        <v>33</v>
      </c>
      <c r="L5172">
        <v>334</v>
      </c>
      <c r="M5172" t="s">
        <v>44087</v>
      </c>
      <c r="N5172">
        <v>1</v>
      </c>
      <c r="Q5172" t="s">
        <v>44088</v>
      </c>
      <c r="S5172" t="s">
        <v>44089</v>
      </c>
      <c r="T5172" t="s">
        <v>30</v>
      </c>
      <c r="U5172" t="s">
        <v>26044</v>
      </c>
      <c r="W5172" t="s">
        <v>26009</v>
      </c>
    </row>
    <row r="5173" spans="1:23" x14ac:dyDescent="0.35">
      <c r="A5173">
        <v>1578290</v>
      </c>
      <c r="B5173" t="s">
        <v>8114</v>
      </c>
      <c r="C5173" t="str">
        <f>"9780826171061"</f>
        <v>9780826171061</v>
      </c>
      <c r="D5173" t="str">
        <f>"9780826171078"</f>
        <v>9780826171078</v>
      </c>
      <c r="E5173" t="s">
        <v>1504</v>
      </c>
      <c r="F5173" t="s">
        <v>33</v>
      </c>
      <c r="G5173" t="s">
        <v>22179</v>
      </c>
      <c r="H5173" t="s">
        <v>26004</v>
      </c>
      <c r="I5173" s="26">
        <v>41609</v>
      </c>
      <c r="J5173">
        <v>2013</v>
      </c>
      <c r="K5173" t="s">
        <v>33</v>
      </c>
      <c r="L5173">
        <v>338</v>
      </c>
      <c r="M5173" t="s">
        <v>44090</v>
      </c>
      <c r="N5173">
        <v>1</v>
      </c>
      <c r="Q5173" t="s">
        <v>44091</v>
      </c>
      <c r="R5173" t="s">
        <v>28830</v>
      </c>
      <c r="S5173" t="s">
        <v>8115</v>
      </c>
      <c r="T5173" t="s">
        <v>30</v>
      </c>
      <c r="U5173" t="s">
        <v>26019</v>
      </c>
      <c r="W5173" t="s">
        <v>26009</v>
      </c>
    </row>
    <row r="5174" spans="1:23" x14ac:dyDescent="0.35">
      <c r="A5174">
        <v>1578291</v>
      </c>
      <c r="B5174" t="s">
        <v>44092</v>
      </c>
      <c r="C5174" t="str">
        <f>"9780826199256"</f>
        <v>9780826199256</v>
      </c>
      <c r="D5174" t="str">
        <f>"9780826199263"</f>
        <v>9780826199263</v>
      </c>
      <c r="E5174" t="s">
        <v>1504</v>
      </c>
      <c r="F5174" t="s">
        <v>33</v>
      </c>
      <c r="G5174" t="s">
        <v>22179</v>
      </c>
      <c r="H5174" t="s">
        <v>26004</v>
      </c>
      <c r="I5174" s="26">
        <v>41548</v>
      </c>
      <c r="J5174">
        <v>2013</v>
      </c>
      <c r="K5174" t="s">
        <v>33</v>
      </c>
      <c r="L5174">
        <v>328</v>
      </c>
      <c r="M5174" t="s">
        <v>44093</v>
      </c>
      <c r="N5174">
        <v>1</v>
      </c>
      <c r="Q5174" t="s">
        <v>44094</v>
      </c>
      <c r="R5174">
        <v>305</v>
      </c>
      <c r="S5174" t="s">
        <v>44095</v>
      </c>
      <c r="T5174" t="s">
        <v>30</v>
      </c>
      <c r="U5174" t="s">
        <v>26044</v>
      </c>
      <c r="W5174" t="s">
        <v>26009</v>
      </c>
    </row>
    <row r="5175" spans="1:23" x14ac:dyDescent="0.35">
      <c r="A5175">
        <v>1578392</v>
      </c>
      <c r="B5175" t="s">
        <v>8607</v>
      </c>
      <c r="C5175" t="str">
        <f>"9781609185091"</f>
        <v>9781609185091</v>
      </c>
      <c r="D5175" t="str">
        <f>"9781462513086"</f>
        <v>9781462513086</v>
      </c>
      <c r="E5175" t="s">
        <v>30112</v>
      </c>
      <c r="F5175" t="s">
        <v>7420</v>
      </c>
      <c r="G5175" t="s">
        <v>22179</v>
      </c>
      <c r="H5175" t="s">
        <v>26004</v>
      </c>
      <c r="I5175" s="26">
        <v>41626</v>
      </c>
      <c r="J5175">
        <v>2014</v>
      </c>
      <c r="K5175" t="s">
        <v>30113</v>
      </c>
      <c r="L5175">
        <v>529</v>
      </c>
      <c r="M5175" t="s">
        <v>44096</v>
      </c>
      <c r="N5175">
        <v>1</v>
      </c>
      <c r="Q5175" t="s">
        <v>44097</v>
      </c>
      <c r="R5175">
        <v>155</v>
      </c>
      <c r="S5175" t="s">
        <v>44098</v>
      </c>
      <c r="T5175" t="s">
        <v>30</v>
      </c>
      <c r="U5175" t="s">
        <v>46</v>
      </c>
      <c r="W5175" t="s">
        <v>28347</v>
      </c>
    </row>
    <row r="5176" spans="1:23" x14ac:dyDescent="0.35">
      <c r="A5176">
        <v>1579865</v>
      </c>
      <c r="B5176" t="s">
        <v>44099</v>
      </c>
      <c r="C5176" t="str">
        <f>"9780761862840"</f>
        <v>9780761862840</v>
      </c>
      <c r="D5176" t="str">
        <f>"9780761862857"</f>
        <v>9780761862857</v>
      </c>
      <c r="E5176" t="s">
        <v>33803</v>
      </c>
      <c r="F5176" t="s">
        <v>34051</v>
      </c>
      <c r="G5176" t="s">
        <v>33804</v>
      </c>
      <c r="H5176" t="s">
        <v>26004</v>
      </c>
      <c r="I5176" s="26">
        <v>41614</v>
      </c>
      <c r="J5176">
        <v>2013</v>
      </c>
      <c r="K5176" t="s">
        <v>34051</v>
      </c>
      <c r="L5176">
        <v>98</v>
      </c>
      <c r="M5176" t="s">
        <v>44100</v>
      </c>
      <c r="N5176">
        <v>1</v>
      </c>
      <c r="Q5176" t="s">
        <v>44101</v>
      </c>
      <c r="R5176">
        <v>363.3</v>
      </c>
      <c r="S5176" t="s">
        <v>9109</v>
      </c>
      <c r="T5176" t="s">
        <v>30</v>
      </c>
      <c r="U5176" t="s">
        <v>26044</v>
      </c>
      <c r="W5176" t="s">
        <v>26009</v>
      </c>
    </row>
    <row r="5177" spans="1:23" x14ac:dyDescent="0.35">
      <c r="A5177">
        <v>1580115</v>
      </c>
      <c r="B5177" t="s">
        <v>9204</v>
      </c>
      <c r="C5177" t="str">
        <f>"9781780491028"</f>
        <v>9781780491028</v>
      </c>
      <c r="D5177" t="str">
        <f>"9781782411109"</f>
        <v>9781782411109</v>
      </c>
      <c r="E5177" t="s">
        <v>26010</v>
      </c>
      <c r="F5177" t="s">
        <v>35</v>
      </c>
      <c r="G5177" t="s">
        <v>22174</v>
      </c>
      <c r="H5177" t="s">
        <v>26011</v>
      </c>
      <c r="I5177" s="26">
        <v>41627</v>
      </c>
      <c r="J5177">
        <v>2013</v>
      </c>
      <c r="K5177" t="s">
        <v>26012</v>
      </c>
      <c r="L5177">
        <v>305</v>
      </c>
      <c r="M5177" t="s">
        <v>41632</v>
      </c>
      <c r="N5177">
        <v>1</v>
      </c>
      <c r="O5177" t="s">
        <v>36539</v>
      </c>
      <c r="Q5177" t="s">
        <v>44102</v>
      </c>
      <c r="R5177">
        <v>320.54019</v>
      </c>
      <c r="S5177" t="s">
        <v>44103</v>
      </c>
      <c r="T5177" t="s">
        <v>30</v>
      </c>
      <c r="U5177" t="s">
        <v>30336</v>
      </c>
      <c r="W5177" t="s">
        <v>26009</v>
      </c>
    </row>
    <row r="5178" spans="1:23" x14ac:dyDescent="0.35">
      <c r="A5178">
        <v>1580117</v>
      </c>
      <c r="B5178" t="s">
        <v>44104</v>
      </c>
      <c r="C5178" t="str">
        <f>"9781782200581"</f>
        <v>9781782200581</v>
      </c>
      <c r="D5178" t="str">
        <f>"9781782411949"</f>
        <v>9781782411949</v>
      </c>
      <c r="E5178" t="s">
        <v>26010</v>
      </c>
      <c r="F5178" t="s">
        <v>35</v>
      </c>
      <c r="G5178" t="s">
        <v>22174</v>
      </c>
      <c r="H5178" t="s">
        <v>26011</v>
      </c>
      <c r="I5178" s="26">
        <v>41660</v>
      </c>
      <c r="J5178">
        <v>2014</v>
      </c>
      <c r="K5178" t="s">
        <v>26012</v>
      </c>
      <c r="L5178">
        <v>175</v>
      </c>
      <c r="M5178" t="s">
        <v>44105</v>
      </c>
      <c r="N5178">
        <v>1</v>
      </c>
      <c r="O5178" t="s">
        <v>36603</v>
      </c>
      <c r="Q5178" t="s">
        <v>44106</v>
      </c>
      <c r="R5178">
        <v>155.64500000000001</v>
      </c>
      <c r="S5178" t="s">
        <v>44107</v>
      </c>
      <c r="T5178" t="s">
        <v>30</v>
      </c>
      <c r="U5178" t="s">
        <v>46</v>
      </c>
      <c r="W5178" t="s">
        <v>26009</v>
      </c>
    </row>
    <row r="5179" spans="1:23" x14ac:dyDescent="0.35">
      <c r="A5179">
        <v>1580118</v>
      </c>
      <c r="B5179" t="s">
        <v>44108</v>
      </c>
      <c r="C5179" t="str">
        <f>"9781780491592"</f>
        <v>9781780491592</v>
      </c>
      <c r="D5179" t="str">
        <f>"9781782411970"</f>
        <v>9781782411970</v>
      </c>
      <c r="E5179" t="s">
        <v>26010</v>
      </c>
      <c r="F5179" t="s">
        <v>35</v>
      </c>
      <c r="G5179" t="s">
        <v>22174</v>
      </c>
      <c r="H5179" t="s">
        <v>26011</v>
      </c>
      <c r="I5179" s="26">
        <v>41626</v>
      </c>
      <c r="J5179">
        <v>2013</v>
      </c>
      <c r="K5179" t="s">
        <v>26012</v>
      </c>
      <c r="L5179">
        <v>239</v>
      </c>
      <c r="M5179" t="s">
        <v>44109</v>
      </c>
      <c r="N5179">
        <v>1</v>
      </c>
      <c r="Q5179" t="s">
        <v>44110</v>
      </c>
      <c r="R5179">
        <v>150.19499999999999</v>
      </c>
      <c r="S5179" t="s">
        <v>44111</v>
      </c>
      <c r="T5179" t="s">
        <v>30</v>
      </c>
      <c r="U5179" t="s">
        <v>26019</v>
      </c>
      <c r="W5179" t="s">
        <v>26009</v>
      </c>
    </row>
    <row r="5180" spans="1:23" x14ac:dyDescent="0.35">
      <c r="A5180">
        <v>1581168</v>
      </c>
      <c r="B5180" t="s">
        <v>44112</v>
      </c>
      <c r="C5180" t="str">
        <f>"9780826171047"</f>
        <v>9780826171047</v>
      </c>
      <c r="D5180" t="str">
        <f>"9780826171054"</f>
        <v>9780826171054</v>
      </c>
      <c r="E5180" t="s">
        <v>1504</v>
      </c>
      <c r="F5180" t="s">
        <v>33</v>
      </c>
      <c r="G5180" t="s">
        <v>22179</v>
      </c>
      <c r="H5180" t="s">
        <v>26004</v>
      </c>
      <c r="I5180" s="26">
        <v>41548</v>
      </c>
      <c r="J5180">
        <v>2013</v>
      </c>
      <c r="K5180" t="s">
        <v>33</v>
      </c>
      <c r="L5180">
        <v>150</v>
      </c>
      <c r="M5180" t="s">
        <v>32799</v>
      </c>
      <c r="N5180">
        <v>1</v>
      </c>
      <c r="Q5180" t="s">
        <v>44113</v>
      </c>
      <c r="R5180">
        <v>616.89142500000003</v>
      </c>
      <c r="S5180" t="s">
        <v>7889</v>
      </c>
      <c r="T5180" t="s">
        <v>30</v>
      </c>
      <c r="U5180" t="s">
        <v>26019</v>
      </c>
      <c r="W5180" t="s">
        <v>26009</v>
      </c>
    </row>
    <row r="5181" spans="1:23" x14ac:dyDescent="0.35">
      <c r="A5181">
        <v>1581494</v>
      </c>
      <c r="B5181" t="s">
        <v>44114</v>
      </c>
      <c r="C5181" t="str">
        <f>"9781608823345"</f>
        <v>9781608823345</v>
      </c>
      <c r="D5181" t="str">
        <f>"9781608823352"</f>
        <v>9781608823352</v>
      </c>
      <c r="E5181" t="s">
        <v>7424</v>
      </c>
      <c r="F5181" t="s">
        <v>7419</v>
      </c>
      <c r="G5181" t="s">
        <v>23047</v>
      </c>
      <c r="H5181" t="s">
        <v>26004</v>
      </c>
      <c r="I5181" s="26">
        <v>41641</v>
      </c>
      <c r="J5181">
        <v>2013</v>
      </c>
      <c r="K5181" t="s">
        <v>7419</v>
      </c>
      <c r="L5181">
        <v>298</v>
      </c>
      <c r="M5181" t="s">
        <v>44115</v>
      </c>
      <c r="N5181">
        <v>1</v>
      </c>
      <c r="Q5181" t="s">
        <v>44116</v>
      </c>
      <c r="R5181">
        <v>616.89156200000002</v>
      </c>
      <c r="S5181" t="s">
        <v>7426</v>
      </c>
      <c r="T5181" t="s">
        <v>30</v>
      </c>
      <c r="U5181" t="s">
        <v>26019</v>
      </c>
      <c r="W5181" t="s">
        <v>26009</v>
      </c>
    </row>
    <row r="5182" spans="1:23" x14ac:dyDescent="0.35">
      <c r="A5182">
        <v>1581608</v>
      </c>
      <c r="B5182" t="s">
        <v>44117</v>
      </c>
      <c r="C5182" t="str">
        <f>"9780415209427"</f>
        <v>9780415209427</v>
      </c>
      <c r="D5182" t="str">
        <f>"9781136301452"</f>
        <v>9781136301452</v>
      </c>
      <c r="E5182" t="s">
        <v>26010</v>
      </c>
      <c r="F5182" t="s">
        <v>35</v>
      </c>
      <c r="G5182" t="s">
        <v>22174</v>
      </c>
      <c r="H5182" t="s">
        <v>26011</v>
      </c>
      <c r="I5182" s="26">
        <v>36372</v>
      </c>
      <c r="J5182">
        <v>1956</v>
      </c>
      <c r="K5182" t="s">
        <v>26012</v>
      </c>
      <c r="L5182">
        <v>192</v>
      </c>
      <c r="M5182" t="s">
        <v>44118</v>
      </c>
      <c r="N5182">
        <v>1</v>
      </c>
      <c r="Q5182" t="s">
        <v>44119</v>
      </c>
      <c r="R5182">
        <v>150.19540000000001</v>
      </c>
      <c r="S5182" t="s">
        <v>44120</v>
      </c>
      <c r="T5182" t="s">
        <v>30</v>
      </c>
      <c r="U5182" t="s">
        <v>29032</v>
      </c>
      <c r="W5182" t="s">
        <v>26009</v>
      </c>
    </row>
    <row r="5183" spans="1:23" x14ac:dyDescent="0.35">
      <c r="A5183">
        <v>1581937</v>
      </c>
      <c r="B5183" t="s">
        <v>8776</v>
      </c>
      <c r="C5183" t="str">
        <f>"9780789018298"</f>
        <v>9780789018298</v>
      </c>
      <c r="D5183" t="str">
        <f>"9781317787822"</f>
        <v>9781317787822</v>
      </c>
      <c r="E5183" t="s">
        <v>26010</v>
      </c>
      <c r="F5183" t="s">
        <v>35</v>
      </c>
      <c r="G5183" t="s">
        <v>26201</v>
      </c>
      <c r="H5183" t="s">
        <v>26011</v>
      </c>
      <c r="I5183" s="26">
        <v>38160</v>
      </c>
      <c r="J5183">
        <v>2004</v>
      </c>
      <c r="K5183" t="s">
        <v>26012</v>
      </c>
      <c r="L5183">
        <v>284</v>
      </c>
      <c r="M5183" t="s">
        <v>44121</v>
      </c>
      <c r="N5183">
        <v>1</v>
      </c>
      <c r="Q5183" t="s">
        <v>44122</v>
      </c>
      <c r="R5183" t="s">
        <v>44123</v>
      </c>
      <c r="S5183" t="s">
        <v>8777</v>
      </c>
      <c r="T5183" t="s">
        <v>30</v>
      </c>
      <c r="U5183" t="s">
        <v>26044</v>
      </c>
      <c r="W5183" t="s">
        <v>26009</v>
      </c>
    </row>
    <row r="5184" spans="1:23" x14ac:dyDescent="0.35">
      <c r="A5184">
        <v>1582010</v>
      </c>
      <c r="B5184" t="s">
        <v>44124</v>
      </c>
      <c r="C5184" t="str">
        <f>"9781560231639"</f>
        <v>9781560231639</v>
      </c>
      <c r="D5184" t="str">
        <f>"9781317766407"</f>
        <v>9781317766407</v>
      </c>
      <c r="E5184" t="s">
        <v>26010</v>
      </c>
      <c r="F5184" t="s">
        <v>35</v>
      </c>
      <c r="G5184" t="s">
        <v>26201</v>
      </c>
      <c r="H5184" t="s">
        <v>26011</v>
      </c>
      <c r="I5184" s="26">
        <v>37288</v>
      </c>
      <c r="J5184">
        <v>2002</v>
      </c>
      <c r="K5184" t="s">
        <v>26012</v>
      </c>
      <c r="L5184">
        <v>239</v>
      </c>
      <c r="M5184" t="s">
        <v>44125</v>
      </c>
      <c r="N5184">
        <v>1</v>
      </c>
      <c r="Q5184" t="s">
        <v>44126</v>
      </c>
      <c r="R5184" t="s">
        <v>34719</v>
      </c>
      <c r="S5184" t="s">
        <v>44127</v>
      </c>
      <c r="T5184" t="s">
        <v>30</v>
      </c>
      <c r="U5184" t="s">
        <v>26044</v>
      </c>
      <c r="W5184" t="s">
        <v>26009</v>
      </c>
    </row>
    <row r="5185" spans="1:23" x14ac:dyDescent="0.35">
      <c r="A5185">
        <v>1582028</v>
      </c>
      <c r="B5185" t="s">
        <v>44128</v>
      </c>
      <c r="C5185" t="str">
        <f>"9780415451185"</f>
        <v>9780415451185</v>
      </c>
      <c r="D5185" t="str">
        <f>"9781317850823"</f>
        <v>9781317850823</v>
      </c>
      <c r="E5185" t="s">
        <v>26010</v>
      </c>
      <c r="F5185" t="s">
        <v>35</v>
      </c>
      <c r="G5185" t="s">
        <v>26201</v>
      </c>
      <c r="H5185" t="s">
        <v>26011</v>
      </c>
      <c r="I5185" s="26">
        <v>40052</v>
      </c>
      <c r="J5185">
        <v>2010</v>
      </c>
      <c r="K5185" t="s">
        <v>26012</v>
      </c>
      <c r="L5185">
        <v>369</v>
      </c>
      <c r="M5185" t="s">
        <v>44129</v>
      </c>
      <c r="N5185">
        <v>2</v>
      </c>
      <c r="Q5185" t="s">
        <v>44130</v>
      </c>
      <c r="R5185">
        <v>155.93700000000001</v>
      </c>
      <c r="S5185" t="s">
        <v>36522</v>
      </c>
      <c r="T5185" t="s">
        <v>30</v>
      </c>
      <c r="U5185" t="s">
        <v>46</v>
      </c>
      <c r="W5185" t="s">
        <v>26009</v>
      </c>
    </row>
    <row r="5186" spans="1:23" x14ac:dyDescent="0.35">
      <c r="A5186">
        <v>1582067</v>
      </c>
      <c r="B5186" t="s">
        <v>8914</v>
      </c>
      <c r="C5186" t="str">
        <f>"9781583919019"</f>
        <v>9781583919019</v>
      </c>
      <c r="D5186" t="str">
        <f>"9781317710486"</f>
        <v>9781317710486</v>
      </c>
      <c r="E5186" t="s">
        <v>26010</v>
      </c>
      <c r="F5186" t="s">
        <v>35</v>
      </c>
      <c r="G5186" t="s">
        <v>22174</v>
      </c>
      <c r="H5186" t="s">
        <v>26011</v>
      </c>
      <c r="I5186" s="26">
        <v>38524</v>
      </c>
      <c r="J5186">
        <v>2005</v>
      </c>
      <c r="K5186" t="s">
        <v>26012</v>
      </c>
      <c r="L5186">
        <v>237</v>
      </c>
      <c r="M5186" t="s">
        <v>40575</v>
      </c>
      <c r="N5186">
        <v>1</v>
      </c>
      <c r="Q5186" t="s">
        <v>44131</v>
      </c>
      <c r="R5186" t="s">
        <v>44132</v>
      </c>
      <c r="S5186" t="s">
        <v>8915</v>
      </c>
      <c r="T5186" t="s">
        <v>30</v>
      </c>
      <c r="U5186" t="s">
        <v>46</v>
      </c>
      <c r="W5186" t="s">
        <v>26009</v>
      </c>
    </row>
    <row r="5187" spans="1:23" x14ac:dyDescent="0.35">
      <c r="A5187">
        <v>1582862</v>
      </c>
      <c r="B5187" t="s">
        <v>44133</v>
      </c>
      <c r="C5187" t="str">
        <f>"9780691018263"</f>
        <v>9780691018263</v>
      </c>
      <c r="D5187" t="str">
        <f>"9781400851058"</f>
        <v>9781400851058</v>
      </c>
      <c r="E5187" t="s">
        <v>33468</v>
      </c>
      <c r="F5187" t="s">
        <v>7517</v>
      </c>
      <c r="G5187" t="s">
        <v>23592</v>
      </c>
      <c r="H5187" t="s">
        <v>26004</v>
      </c>
      <c r="I5187" s="26">
        <v>25224</v>
      </c>
      <c r="J5187">
        <v>1969</v>
      </c>
      <c r="K5187" t="s">
        <v>7517</v>
      </c>
      <c r="L5187">
        <v>362</v>
      </c>
      <c r="M5187" t="s">
        <v>44026</v>
      </c>
      <c r="N5187">
        <v>1</v>
      </c>
      <c r="O5187" t="s">
        <v>44027</v>
      </c>
      <c r="P5187">
        <v>11</v>
      </c>
      <c r="R5187" t="s">
        <v>26746</v>
      </c>
      <c r="S5187" t="s">
        <v>7514</v>
      </c>
      <c r="T5187" t="s">
        <v>30</v>
      </c>
      <c r="U5187" t="s">
        <v>46</v>
      </c>
      <c r="W5187" t="s">
        <v>28347</v>
      </c>
    </row>
    <row r="5188" spans="1:23" x14ac:dyDescent="0.35">
      <c r="A5188">
        <v>1583244</v>
      </c>
      <c r="B5188" t="s">
        <v>8318</v>
      </c>
      <c r="C5188" t="str">
        <f>"9780415197755"</f>
        <v>9780415197755</v>
      </c>
      <c r="D5188" t="str">
        <f>"9781317835318"</f>
        <v>9781317835318</v>
      </c>
      <c r="E5188" t="s">
        <v>26010</v>
      </c>
      <c r="F5188" t="s">
        <v>35</v>
      </c>
      <c r="G5188" t="s">
        <v>22174</v>
      </c>
      <c r="H5188" t="s">
        <v>26011</v>
      </c>
      <c r="I5188" s="26">
        <v>38545</v>
      </c>
      <c r="J5188">
        <v>2005</v>
      </c>
      <c r="K5188" t="s">
        <v>26012</v>
      </c>
      <c r="L5188">
        <v>160</v>
      </c>
      <c r="M5188" t="s">
        <v>44134</v>
      </c>
      <c r="N5188">
        <v>1</v>
      </c>
      <c r="Q5188" t="s">
        <v>44135</v>
      </c>
      <c r="R5188" t="s">
        <v>44136</v>
      </c>
      <c r="S5188" t="s">
        <v>7677</v>
      </c>
      <c r="T5188" t="s">
        <v>30</v>
      </c>
      <c r="U5188" t="s">
        <v>26116</v>
      </c>
      <c r="W5188" t="s">
        <v>26009</v>
      </c>
    </row>
    <row r="5189" spans="1:23" x14ac:dyDescent="0.35">
      <c r="A5189">
        <v>1583294</v>
      </c>
      <c r="B5189" t="s">
        <v>8610</v>
      </c>
      <c r="C5189" t="str">
        <f>"9780805851281"</f>
        <v>9780805851281</v>
      </c>
      <c r="D5189" t="str">
        <f>"9781317824213"</f>
        <v>9781317824213</v>
      </c>
      <c r="E5189" t="s">
        <v>26010</v>
      </c>
      <c r="F5189" t="s">
        <v>35</v>
      </c>
      <c r="G5189" t="s">
        <v>22174</v>
      </c>
      <c r="H5189" t="s">
        <v>26011</v>
      </c>
      <c r="I5189" s="26">
        <v>38628</v>
      </c>
      <c r="J5189">
        <v>2006</v>
      </c>
      <c r="K5189" t="s">
        <v>660</v>
      </c>
      <c r="L5189">
        <v>696</v>
      </c>
      <c r="M5189" t="s">
        <v>44137</v>
      </c>
      <c r="N5189">
        <v>1</v>
      </c>
      <c r="Q5189" t="s">
        <v>44138</v>
      </c>
      <c r="R5189">
        <v>523.46</v>
      </c>
      <c r="S5189" t="s">
        <v>44139</v>
      </c>
      <c r="T5189" t="s">
        <v>30</v>
      </c>
      <c r="U5189" t="s">
        <v>44140</v>
      </c>
      <c r="W5189" t="s">
        <v>26009</v>
      </c>
    </row>
    <row r="5190" spans="1:23" x14ac:dyDescent="0.35">
      <c r="A5190">
        <v>1583570</v>
      </c>
      <c r="B5190" t="s">
        <v>44141</v>
      </c>
      <c r="C5190" t="str">
        <f>"9780739182840"</f>
        <v>9780739182840</v>
      </c>
      <c r="D5190" t="str">
        <f>"9780739182857"</f>
        <v>9780739182857</v>
      </c>
      <c r="E5190" t="s">
        <v>33803</v>
      </c>
      <c r="F5190" t="s">
        <v>8174</v>
      </c>
      <c r="G5190" t="s">
        <v>34328</v>
      </c>
      <c r="H5190" t="s">
        <v>26004</v>
      </c>
      <c r="I5190" s="26">
        <v>41624</v>
      </c>
      <c r="J5190">
        <v>2013</v>
      </c>
      <c r="K5190" t="s">
        <v>8174</v>
      </c>
      <c r="L5190">
        <v>174</v>
      </c>
      <c r="M5190" t="s">
        <v>44142</v>
      </c>
      <c r="N5190">
        <v>1</v>
      </c>
      <c r="Q5190" t="s">
        <v>44143</v>
      </c>
      <c r="R5190">
        <v>146.4</v>
      </c>
      <c r="S5190" t="s">
        <v>8932</v>
      </c>
      <c r="T5190" t="s">
        <v>30</v>
      </c>
      <c r="U5190" t="s">
        <v>26679</v>
      </c>
      <c r="W5190" t="s">
        <v>26009</v>
      </c>
    </row>
    <row r="5191" spans="1:23" x14ac:dyDescent="0.35">
      <c r="A5191">
        <v>1584868</v>
      </c>
      <c r="B5191" t="s">
        <v>44144</v>
      </c>
      <c r="C5191" t="str">
        <f>"9781608827985"</f>
        <v>9781608827985</v>
      </c>
      <c r="D5191" t="str">
        <f>"9781608827992"</f>
        <v>9781608827992</v>
      </c>
      <c r="E5191" t="s">
        <v>7424</v>
      </c>
      <c r="F5191" t="s">
        <v>7424</v>
      </c>
      <c r="G5191" t="s">
        <v>23047</v>
      </c>
      <c r="H5191" t="s">
        <v>26004</v>
      </c>
      <c r="I5191" s="26">
        <v>41641</v>
      </c>
      <c r="J5191">
        <v>2014</v>
      </c>
      <c r="K5191" t="s">
        <v>7424</v>
      </c>
      <c r="L5191">
        <v>282</v>
      </c>
      <c r="M5191" t="s">
        <v>44145</v>
      </c>
      <c r="N5191">
        <v>1</v>
      </c>
      <c r="Q5191" t="s">
        <v>44146</v>
      </c>
      <c r="R5191">
        <v>616.89142000000004</v>
      </c>
      <c r="S5191" t="s">
        <v>44147</v>
      </c>
      <c r="T5191" t="s">
        <v>30</v>
      </c>
      <c r="U5191" t="s">
        <v>26019</v>
      </c>
      <c r="W5191" t="s">
        <v>26009</v>
      </c>
    </row>
    <row r="5192" spans="1:23" x14ac:dyDescent="0.35">
      <c r="A5192">
        <v>1584900</v>
      </c>
      <c r="B5192" t="s">
        <v>44148</v>
      </c>
      <c r="C5192" t="str">
        <f>"9781442231733"</f>
        <v>9781442231733</v>
      </c>
      <c r="D5192" t="str">
        <f>"9781442231740"</f>
        <v>9781442231740</v>
      </c>
      <c r="E5192" t="s">
        <v>33803</v>
      </c>
      <c r="F5192" t="s">
        <v>38</v>
      </c>
      <c r="G5192" t="s">
        <v>33804</v>
      </c>
      <c r="H5192" t="s">
        <v>26004</v>
      </c>
      <c r="I5192" s="26">
        <v>41626</v>
      </c>
      <c r="J5192">
        <v>2013</v>
      </c>
      <c r="K5192" t="s">
        <v>38</v>
      </c>
      <c r="L5192">
        <v>168</v>
      </c>
      <c r="M5192" t="s">
        <v>44149</v>
      </c>
      <c r="N5192">
        <v>1</v>
      </c>
      <c r="O5192" t="s">
        <v>44150</v>
      </c>
      <c r="Q5192" t="s">
        <v>44151</v>
      </c>
      <c r="R5192">
        <v>150.1952</v>
      </c>
      <c r="S5192" t="s">
        <v>38743</v>
      </c>
      <c r="T5192" t="s">
        <v>30</v>
      </c>
      <c r="U5192" t="s">
        <v>46</v>
      </c>
      <c r="W5192" t="s">
        <v>26009</v>
      </c>
    </row>
    <row r="5193" spans="1:23" x14ac:dyDescent="0.35">
      <c r="A5193">
        <v>1585261</v>
      </c>
      <c r="B5193" t="s">
        <v>44152</v>
      </c>
      <c r="C5193" t="str">
        <f>"9781611323658"</f>
        <v>9781611323658</v>
      </c>
      <c r="D5193" t="str">
        <f>"9781611323672"</f>
        <v>9781611323672</v>
      </c>
      <c r="E5193" t="s">
        <v>26010</v>
      </c>
      <c r="F5193" t="s">
        <v>35</v>
      </c>
      <c r="G5193" t="s">
        <v>36267</v>
      </c>
      <c r="H5193" t="s">
        <v>26004</v>
      </c>
      <c r="I5193" s="26">
        <v>41623</v>
      </c>
      <c r="J5193">
        <v>2014</v>
      </c>
      <c r="K5193" t="s">
        <v>26012</v>
      </c>
      <c r="L5193">
        <v>319</v>
      </c>
      <c r="M5193" t="s">
        <v>44153</v>
      </c>
      <c r="N5193">
        <v>1</v>
      </c>
      <c r="Q5193" t="s">
        <v>44154</v>
      </c>
      <c r="R5193">
        <v>616.85209999999995</v>
      </c>
      <c r="S5193" t="s">
        <v>7680</v>
      </c>
      <c r="T5193" t="s">
        <v>30</v>
      </c>
      <c r="U5193" t="s">
        <v>26019</v>
      </c>
      <c r="W5193" t="s">
        <v>26009</v>
      </c>
    </row>
    <row r="5194" spans="1:23" x14ac:dyDescent="0.35">
      <c r="A5194">
        <v>1585268</v>
      </c>
      <c r="B5194" t="s">
        <v>8858</v>
      </c>
      <c r="C5194" t="str">
        <f>"9780765708694"</f>
        <v>9780765708694</v>
      </c>
      <c r="D5194" t="str">
        <f>"9780765708700"</f>
        <v>9780765708700</v>
      </c>
      <c r="E5194" t="s">
        <v>33803</v>
      </c>
      <c r="F5194" t="s">
        <v>38</v>
      </c>
      <c r="G5194" t="s">
        <v>34138</v>
      </c>
      <c r="H5194" t="s">
        <v>26004</v>
      </c>
      <c r="I5194" s="26">
        <v>40829</v>
      </c>
      <c r="J5194">
        <v>2011</v>
      </c>
      <c r="K5194" t="s">
        <v>33811</v>
      </c>
      <c r="L5194">
        <v>174</v>
      </c>
      <c r="M5194" t="s">
        <v>44155</v>
      </c>
      <c r="N5194">
        <v>1</v>
      </c>
      <c r="O5194" t="s">
        <v>39334</v>
      </c>
      <c r="Q5194" t="s">
        <v>44156</v>
      </c>
      <c r="R5194" t="s">
        <v>26422</v>
      </c>
      <c r="S5194" t="s">
        <v>44157</v>
      </c>
      <c r="T5194" t="s">
        <v>30</v>
      </c>
      <c r="U5194" t="s">
        <v>26019</v>
      </c>
      <c r="W5194" t="s">
        <v>26009</v>
      </c>
    </row>
    <row r="5195" spans="1:23" x14ac:dyDescent="0.35">
      <c r="A5195">
        <v>1585848</v>
      </c>
      <c r="B5195" t="s">
        <v>7616</v>
      </c>
      <c r="C5195" t="str">
        <f>"9783486713251"</f>
        <v>9783486713251</v>
      </c>
      <c r="D5195" t="str">
        <f>"9783486854824"</f>
        <v>9783486854824</v>
      </c>
      <c r="E5195" t="s">
        <v>30630</v>
      </c>
      <c r="F5195" t="s">
        <v>3143</v>
      </c>
      <c r="G5195" t="s">
        <v>43516</v>
      </c>
      <c r="H5195" t="s">
        <v>30632</v>
      </c>
      <c r="I5195" s="26">
        <v>41605</v>
      </c>
      <c r="J5195">
        <v>2014</v>
      </c>
      <c r="K5195" t="s">
        <v>43517</v>
      </c>
      <c r="L5195">
        <v>238</v>
      </c>
      <c r="M5195" t="s">
        <v>44158</v>
      </c>
      <c r="N5195">
        <v>1</v>
      </c>
      <c r="O5195" t="s">
        <v>44159</v>
      </c>
      <c r="S5195" t="s">
        <v>44160</v>
      </c>
      <c r="T5195" t="s">
        <v>2583</v>
      </c>
      <c r="U5195" t="s">
        <v>5222</v>
      </c>
      <c r="W5195" t="s">
        <v>26009</v>
      </c>
    </row>
    <row r="5196" spans="1:23" x14ac:dyDescent="0.35">
      <c r="A5196">
        <v>1588406</v>
      </c>
      <c r="B5196" t="s">
        <v>44161</v>
      </c>
      <c r="C5196" t="str">
        <f>"9780815340393"</f>
        <v>9780815340393</v>
      </c>
      <c r="D5196" t="str">
        <f>"9781135725907"</f>
        <v>9781135725907</v>
      </c>
      <c r="E5196" t="s">
        <v>26010</v>
      </c>
      <c r="F5196" t="s">
        <v>35</v>
      </c>
      <c r="G5196" t="s">
        <v>44162</v>
      </c>
      <c r="H5196" t="s">
        <v>26011</v>
      </c>
      <c r="I5196" s="26">
        <v>36978</v>
      </c>
      <c r="J5196">
        <v>2001</v>
      </c>
      <c r="K5196" t="s">
        <v>26012</v>
      </c>
      <c r="L5196">
        <v>244</v>
      </c>
      <c r="M5196" t="s">
        <v>44163</v>
      </c>
      <c r="N5196">
        <v>1</v>
      </c>
      <c r="O5196" t="s">
        <v>44164</v>
      </c>
      <c r="Q5196" t="s">
        <v>44165</v>
      </c>
      <c r="R5196">
        <v>302</v>
      </c>
      <c r="S5196" t="s">
        <v>8961</v>
      </c>
      <c r="T5196" t="s">
        <v>30</v>
      </c>
      <c r="U5196" t="s">
        <v>26044</v>
      </c>
      <c r="W5196" t="s">
        <v>26009</v>
      </c>
    </row>
    <row r="5197" spans="1:23" x14ac:dyDescent="0.35">
      <c r="A5197">
        <v>1588498</v>
      </c>
      <c r="B5197" t="s">
        <v>44166</v>
      </c>
      <c r="C5197" t="str">
        <f>"9780789019745"</f>
        <v>9780789019745</v>
      </c>
      <c r="D5197" t="str">
        <f>"9781317787679"</f>
        <v>9781317787679</v>
      </c>
      <c r="E5197" t="s">
        <v>26010</v>
      </c>
      <c r="F5197" t="s">
        <v>35</v>
      </c>
      <c r="G5197" t="s">
        <v>26201</v>
      </c>
      <c r="H5197" t="s">
        <v>26011</v>
      </c>
      <c r="I5197" s="26">
        <v>37502</v>
      </c>
      <c r="J5197">
        <v>2002</v>
      </c>
      <c r="K5197" t="s">
        <v>26012</v>
      </c>
      <c r="L5197">
        <v>299</v>
      </c>
      <c r="M5197" t="s">
        <v>44167</v>
      </c>
      <c r="N5197">
        <v>1</v>
      </c>
      <c r="Q5197" t="s">
        <v>44168</v>
      </c>
      <c r="R5197" t="s">
        <v>44169</v>
      </c>
      <c r="S5197" t="s">
        <v>44170</v>
      </c>
      <c r="T5197" t="s">
        <v>30</v>
      </c>
      <c r="U5197" t="s">
        <v>26044</v>
      </c>
      <c r="W5197" t="s">
        <v>26009</v>
      </c>
    </row>
    <row r="5198" spans="1:23" x14ac:dyDescent="0.35">
      <c r="A5198">
        <v>1588499</v>
      </c>
      <c r="B5198" t="s">
        <v>44171</v>
      </c>
      <c r="C5198" t="str">
        <f>"9780789022080"</f>
        <v>9780789022080</v>
      </c>
      <c r="D5198" t="str">
        <f>"9781317787341"</f>
        <v>9781317787341</v>
      </c>
      <c r="E5198" t="s">
        <v>26010</v>
      </c>
      <c r="F5198" t="s">
        <v>35</v>
      </c>
      <c r="G5198" t="s">
        <v>26201</v>
      </c>
      <c r="H5198" t="s">
        <v>26011</v>
      </c>
      <c r="I5198" s="26">
        <v>38044</v>
      </c>
      <c r="J5198">
        <v>2004</v>
      </c>
      <c r="K5198" t="s">
        <v>26012</v>
      </c>
      <c r="L5198">
        <v>118</v>
      </c>
      <c r="M5198" t="s">
        <v>44172</v>
      </c>
      <c r="N5198">
        <v>1</v>
      </c>
      <c r="Q5198" t="s">
        <v>44173</v>
      </c>
      <c r="R5198">
        <v>361.20679999999999</v>
      </c>
      <c r="S5198" t="s">
        <v>44174</v>
      </c>
      <c r="T5198" t="s">
        <v>30</v>
      </c>
      <c r="U5198" t="s">
        <v>26044</v>
      </c>
      <c r="W5198" t="s">
        <v>26009</v>
      </c>
    </row>
    <row r="5199" spans="1:23" x14ac:dyDescent="0.35">
      <c r="A5199">
        <v>1588518</v>
      </c>
      <c r="B5199" t="s">
        <v>44175</v>
      </c>
      <c r="C5199" t="str">
        <f>"9781560322276"</f>
        <v>9781560322276</v>
      </c>
      <c r="D5199" t="str">
        <f>"9781317756897"</f>
        <v>9781317756897</v>
      </c>
      <c r="E5199" t="s">
        <v>26010</v>
      </c>
      <c r="F5199" t="s">
        <v>7770</v>
      </c>
      <c r="G5199" t="s">
        <v>22174</v>
      </c>
      <c r="H5199" t="s">
        <v>26011</v>
      </c>
      <c r="I5199" s="26">
        <v>32599</v>
      </c>
      <c r="J5199">
        <v>1989</v>
      </c>
      <c r="K5199" t="s">
        <v>26010</v>
      </c>
      <c r="L5199">
        <v>206</v>
      </c>
      <c r="M5199" t="s">
        <v>44176</v>
      </c>
      <c r="N5199">
        <v>1</v>
      </c>
      <c r="O5199" t="s">
        <v>44177</v>
      </c>
      <c r="Q5199" t="s">
        <v>44178</v>
      </c>
      <c r="R5199">
        <v>362.47362198970001</v>
      </c>
      <c r="S5199" t="s">
        <v>44179</v>
      </c>
      <c r="T5199" t="s">
        <v>30</v>
      </c>
      <c r="U5199" t="s">
        <v>26250</v>
      </c>
      <c r="W5199" t="s">
        <v>26009</v>
      </c>
    </row>
    <row r="5200" spans="1:23" x14ac:dyDescent="0.35">
      <c r="A5200">
        <v>1588553</v>
      </c>
      <c r="B5200" t="s">
        <v>8416</v>
      </c>
      <c r="C5200" t="str">
        <f>"9780789025463"</f>
        <v>9780789025463</v>
      </c>
      <c r="D5200" t="str">
        <f>"9781317786924"</f>
        <v>9781317786924</v>
      </c>
      <c r="E5200" t="s">
        <v>26010</v>
      </c>
      <c r="F5200" t="s">
        <v>35</v>
      </c>
      <c r="G5200" t="s">
        <v>26201</v>
      </c>
      <c r="H5200" t="s">
        <v>26011</v>
      </c>
      <c r="I5200" s="26">
        <v>38168</v>
      </c>
      <c r="J5200">
        <v>2004</v>
      </c>
      <c r="K5200" t="s">
        <v>26012</v>
      </c>
      <c r="L5200">
        <v>153</v>
      </c>
      <c r="M5200" t="s">
        <v>44180</v>
      </c>
      <c r="N5200">
        <v>1</v>
      </c>
      <c r="Q5200" t="s">
        <v>44181</v>
      </c>
      <c r="R5200">
        <v>616.89156000000003</v>
      </c>
      <c r="S5200" t="s">
        <v>44182</v>
      </c>
      <c r="T5200" t="s">
        <v>30</v>
      </c>
      <c r="U5200" t="s">
        <v>26116</v>
      </c>
      <c r="W5200" t="s">
        <v>26009</v>
      </c>
    </row>
    <row r="5201" spans="1:23" x14ac:dyDescent="0.35">
      <c r="A5201">
        <v>1588559</v>
      </c>
      <c r="B5201" t="s">
        <v>44183</v>
      </c>
      <c r="C5201" t="str">
        <f>"9780789015747"</f>
        <v>9780789015747</v>
      </c>
      <c r="D5201" t="str">
        <f>"9781317788393"</f>
        <v>9781317788393</v>
      </c>
      <c r="E5201" t="s">
        <v>26010</v>
      </c>
      <c r="F5201" t="s">
        <v>35</v>
      </c>
      <c r="G5201" t="s">
        <v>26201</v>
      </c>
      <c r="H5201" t="s">
        <v>26011</v>
      </c>
      <c r="I5201" s="26">
        <v>38217</v>
      </c>
      <c r="J5201">
        <v>2005</v>
      </c>
      <c r="K5201" t="s">
        <v>26012</v>
      </c>
      <c r="L5201">
        <v>269</v>
      </c>
      <c r="M5201" t="s">
        <v>44184</v>
      </c>
      <c r="N5201">
        <v>1</v>
      </c>
      <c r="Q5201" t="s">
        <v>44185</v>
      </c>
      <c r="R5201" t="s">
        <v>44186</v>
      </c>
      <c r="S5201" t="s">
        <v>44187</v>
      </c>
      <c r="T5201" t="s">
        <v>30</v>
      </c>
      <c r="U5201" t="s">
        <v>26079</v>
      </c>
      <c r="W5201" t="s">
        <v>26009</v>
      </c>
    </row>
    <row r="5202" spans="1:23" x14ac:dyDescent="0.35">
      <c r="A5202">
        <v>1588562</v>
      </c>
      <c r="B5202" t="s">
        <v>44188</v>
      </c>
      <c r="C5202" t="str">
        <f>"9780789019943"</f>
        <v>9780789019943</v>
      </c>
      <c r="D5202" t="str">
        <f>"9781317787617"</f>
        <v>9781317787617</v>
      </c>
      <c r="E5202" t="s">
        <v>26010</v>
      </c>
      <c r="F5202" t="s">
        <v>35</v>
      </c>
      <c r="G5202" t="s">
        <v>26201</v>
      </c>
      <c r="H5202" t="s">
        <v>26011</v>
      </c>
      <c r="I5202" s="26">
        <v>37665</v>
      </c>
      <c r="J5202">
        <v>2003</v>
      </c>
      <c r="K5202" t="s">
        <v>26012</v>
      </c>
      <c r="L5202">
        <v>220</v>
      </c>
      <c r="M5202" t="s">
        <v>44189</v>
      </c>
      <c r="N5202">
        <v>1</v>
      </c>
      <c r="Q5202" t="s">
        <v>44190</v>
      </c>
      <c r="R5202" t="s">
        <v>41256</v>
      </c>
      <c r="S5202" t="s">
        <v>10193</v>
      </c>
      <c r="T5202" t="s">
        <v>30</v>
      </c>
      <c r="U5202" t="s">
        <v>26044</v>
      </c>
      <c r="W5202" t="s">
        <v>26009</v>
      </c>
    </row>
    <row r="5203" spans="1:23" x14ac:dyDescent="0.35">
      <c r="A5203">
        <v>1588568</v>
      </c>
      <c r="B5203" t="s">
        <v>44191</v>
      </c>
      <c r="C5203" t="str">
        <f>"9780789009180"</f>
        <v>9780789009180</v>
      </c>
      <c r="D5203" t="str">
        <f>"9781317789291"</f>
        <v>9781317789291</v>
      </c>
      <c r="E5203" t="s">
        <v>26010</v>
      </c>
      <c r="F5203" t="s">
        <v>35</v>
      </c>
      <c r="G5203" t="s">
        <v>26201</v>
      </c>
      <c r="H5203" t="s">
        <v>26011</v>
      </c>
      <c r="I5203" s="26">
        <v>37328</v>
      </c>
      <c r="J5203">
        <v>2002</v>
      </c>
      <c r="K5203" t="s">
        <v>26012</v>
      </c>
      <c r="L5203">
        <v>515</v>
      </c>
      <c r="M5203" t="s">
        <v>44192</v>
      </c>
      <c r="N5203">
        <v>1</v>
      </c>
      <c r="Q5203" t="s">
        <v>44193</v>
      </c>
      <c r="R5203" t="s">
        <v>29581</v>
      </c>
      <c r="S5203" t="s">
        <v>44194</v>
      </c>
      <c r="T5203" t="s">
        <v>30</v>
      </c>
      <c r="U5203" t="s">
        <v>26044</v>
      </c>
      <c r="W5203" t="s">
        <v>26009</v>
      </c>
    </row>
    <row r="5204" spans="1:23" x14ac:dyDescent="0.35">
      <c r="A5204">
        <v>1589056</v>
      </c>
      <c r="B5204" t="s">
        <v>44195</v>
      </c>
      <c r="C5204" t="str">
        <f>"9781782200680"</f>
        <v>9781782200680</v>
      </c>
      <c r="D5204" t="str">
        <f>"9781782412052"</f>
        <v>9781782412052</v>
      </c>
      <c r="E5204" t="s">
        <v>26010</v>
      </c>
      <c r="F5204" t="s">
        <v>35</v>
      </c>
      <c r="G5204" t="s">
        <v>22174</v>
      </c>
      <c r="H5204" t="s">
        <v>26011</v>
      </c>
      <c r="I5204" s="26">
        <v>41626</v>
      </c>
      <c r="J5204">
        <v>2013</v>
      </c>
      <c r="K5204" t="s">
        <v>26012</v>
      </c>
      <c r="L5204">
        <v>265</v>
      </c>
      <c r="M5204" t="s">
        <v>35717</v>
      </c>
      <c r="N5204">
        <v>1</v>
      </c>
      <c r="Q5204" t="s">
        <v>44196</v>
      </c>
      <c r="R5204">
        <v>152.46</v>
      </c>
      <c r="S5204" t="s">
        <v>44197</v>
      </c>
      <c r="T5204" t="s">
        <v>30</v>
      </c>
      <c r="U5204" t="s">
        <v>46</v>
      </c>
      <c r="W5204" t="s">
        <v>26009</v>
      </c>
    </row>
    <row r="5205" spans="1:23" x14ac:dyDescent="0.35">
      <c r="A5205">
        <v>1589057</v>
      </c>
      <c r="B5205" t="s">
        <v>44198</v>
      </c>
      <c r="C5205" t="str">
        <f>"9781782200338"</f>
        <v>9781782200338</v>
      </c>
      <c r="D5205" t="str">
        <f>"9781782411185"</f>
        <v>9781782411185</v>
      </c>
      <c r="E5205" t="s">
        <v>26010</v>
      </c>
      <c r="F5205" t="s">
        <v>7673</v>
      </c>
      <c r="G5205" t="s">
        <v>22174</v>
      </c>
      <c r="H5205" t="s">
        <v>26011</v>
      </c>
      <c r="I5205" s="26">
        <v>41698</v>
      </c>
      <c r="J5205">
        <v>2014</v>
      </c>
      <c r="K5205" t="s">
        <v>7673</v>
      </c>
      <c r="L5205">
        <v>267</v>
      </c>
      <c r="M5205" t="s">
        <v>44199</v>
      </c>
      <c r="N5205">
        <v>1</v>
      </c>
      <c r="O5205" t="s">
        <v>42847</v>
      </c>
      <c r="Q5205" t="s">
        <v>44200</v>
      </c>
      <c r="R5205">
        <v>364.15230919999999</v>
      </c>
      <c r="S5205" t="s">
        <v>8226</v>
      </c>
      <c r="T5205" t="s">
        <v>30</v>
      </c>
      <c r="U5205" t="s">
        <v>44201</v>
      </c>
      <c r="W5205" t="s">
        <v>26009</v>
      </c>
    </row>
    <row r="5206" spans="1:23" x14ac:dyDescent="0.35">
      <c r="A5206">
        <v>1589058</v>
      </c>
      <c r="B5206" t="s">
        <v>44202</v>
      </c>
      <c r="C5206" t="str">
        <f>"9781780491448"</f>
        <v>9781780491448</v>
      </c>
      <c r="D5206" t="str">
        <f>"9781782411673"</f>
        <v>9781782411673</v>
      </c>
      <c r="E5206" t="s">
        <v>26010</v>
      </c>
      <c r="F5206" t="s">
        <v>35</v>
      </c>
      <c r="G5206" t="s">
        <v>22174</v>
      </c>
      <c r="H5206" t="s">
        <v>26011</v>
      </c>
      <c r="I5206" s="26">
        <v>41649</v>
      </c>
      <c r="J5206">
        <v>2014</v>
      </c>
      <c r="K5206" t="s">
        <v>26012</v>
      </c>
      <c r="L5206">
        <v>247</v>
      </c>
      <c r="M5206" t="s">
        <v>44203</v>
      </c>
      <c r="N5206">
        <v>1</v>
      </c>
      <c r="Q5206" t="s">
        <v>44204</v>
      </c>
      <c r="R5206">
        <v>150.19499999999999</v>
      </c>
      <c r="S5206" t="s">
        <v>9549</v>
      </c>
      <c r="T5206" t="s">
        <v>30</v>
      </c>
      <c r="U5206" t="s">
        <v>26116</v>
      </c>
      <c r="W5206" t="s">
        <v>26009</v>
      </c>
    </row>
    <row r="5207" spans="1:23" x14ac:dyDescent="0.35">
      <c r="A5207">
        <v>1589060</v>
      </c>
      <c r="B5207" t="s">
        <v>8387</v>
      </c>
      <c r="C5207" t="str">
        <f>"9781780490823"</f>
        <v>9781780490823</v>
      </c>
      <c r="D5207" t="str">
        <f>"9781782411925"</f>
        <v>9781782411925</v>
      </c>
      <c r="E5207" t="s">
        <v>26010</v>
      </c>
      <c r="F5207" t="s">
        <v>35</v>
      </c>
      <c r="G5207" t="s">
        <v>22174</v>
      </c>
      <c r="H5207" t="s">
        <v>26011</v>
      </c>
      <c r="I5207" s="26">
        <v>41670</v>
      </c>
      <c r="J5207">
        <v>2014</v>
      </c>
      <c r="K5207" t="s">
        <v>26012</v>
      </c>
      <c r="L5207">
        <v>555</v>
      </c>
      <c r="M5207" t="s">
        <v>44205</v>
      </c>
      <c r="N5207">
        <v>1</v>
      </c>
      <c r="O5207" t="s">
        <v>39133</v>
      </c>
      <c r="Q5207" t="s">
        <v>44206</v>
      </c>
      <c r="R5207">
        <v>150.19499999999999</v>
      </c>
      <c r="S5207" t="s">
        <v>44207</v>
      </c>
      <c r="T5207" t="s">
        <v>30</v>
      </c>
      <c r="U5207" t="s">
        <v>46</v>
      </c>
      <c r="W5207" t="s">
        <v>26009</v>
      </c>
    </row>
    <row r="5208" spans="1:23" x14ac:dyDescent="0.35">
      <c r="A5208">
        <v>1589061</v>
      </c>
      <c r="B5208" t="s">
        <v>44208</v>
      </c>
      <c r="C5208" t="str">
        <f>"9781782200123"</f>
        <v>9781782200123</v>
      </c>
      <c r="D5208" t="str">
        <f>"9781782411932"</f>
        <v>9781782411932</v>
      </c>
      <c r="E5208" t="s">
        <v>26010</v>
      </c>
      <c r="F5208" t="s">
        <v>35</v>
      </c>
      <c r="G5208" t="s">
        <v>22174</v>
      </c>
      <c r="H5208" t="s">
        <v>26011</v>
      </c>
      <c r="I5208" s="26">
        <v>41656</v>
      </c>
      <c r="J5208">
        <v>2014</v>
      </c>
      <c r="K5208" t="s">
        <v>26012</v>
      </c>
      <c r="L5208">
        <v>369</v>
      </c>
      <c r="M5208" t="s">
        <v>44155</v>
      </c>
      <c r="N5208">
        <v>1</v>
      </c>
      <c r="O5208" t="s">
        <v>36603</v>
      </c>
      <c r="Q5208" t="s">
        <v>44209</v>
      </c>
      <c r="R5208" t="s">
        <v>33676</v>
      </c>
      <c r="S5208" t="s">
        <v>44210</v>
      </c>
      <c r="T5208" t="s">
        <v>30</v>
      </c>
      <c r="U5208" t="s">
        <v>26116</v>
      </c>
      <c r="W5208" t="s">
        <v>26009</v>
      </c>
    </row>
    <row r="5209" spans="1:23" x14ac:dyDescent="0.35">
      <c r="A5209">
        <v>1589062</v>
      </c>
      <c r="B5209" t="s">
        <v>44211</v>
      </c>
      <c r="C5209" t="str">
        <f>"9781780491707"</f>
        <v>9781780491707</v>
      </c>
      <c r="D5209" t="str">
        <f>"9781782411789"</f>
        <v>9781782411789</v>
      </c>
      <c r="E5209" t="s">
        <v>26010</v>
      </c>
      <c r="F5209" t="s">
        <v>35</v>
      </c>
      <c r="G5209" t="s">
        <v>22174</v>
      </c>
      <c r="H5209" t="s">
        <v>26011</v>
      </c>
      <c r="I5209" s="26">
        <v>41647</v>
      </c>
      <c r="J5209">
        <v>2014</v>
      </c>
      <c r="K5209" t="s">
        <v>26012</v>
      </c>
      <c r="L5209">
        <v>279</v>
      </c>
      <c r="M5209" t="s">
        <v>44212</v>
      </c>
      <c r="N5209">
        <v>1</v>
      </c>
      <c r="Q5209" t="s">
        <v>44213</v>
      </c>
      <c r="R5209">
        <v>618.92891699999996</v>
      </c>
      <c r="S5209" t="s">
        <v>44214</v>
      </c>
      <c r="T5209" t="s">
        <v>30</v>
      </c>
      <c r="U5209" t="s">
        <v>26116</v>
      </c>
      <c r="W5209" t="s">
        <v>26009</v>
      </c>
    </row>
    <row r="5210" spans="1:23" x14ac:dyDescent="0.35">
      <c r="A5210">
        <v>1589063</v>
      </c>
      <c r="B5210" t="s">
        <v>44215</v>
      </c>
      <c r="C5210" t="str">
        <f>"9781780491950"</f>
        <v>9781780491950</v>
      </c>
      <c r="D5210" t="str">
        <f>"9781782412076"</f>
        <v>9781782412076</v>
      </c>
      <c r="E5210" t="s">
        <v>26010</v>
      </c>
      <c r="F5210" t="s">
        <v>35</v>
      </c>
      <c r="G5210" t="s">
        <v>22174</v>
      </c>
      <c r="H5210" t="s">
        <v>26011</v>
      </c>
      <c r="I5210" s="26">
        <v>41647</v>
      </c>
      <c r="J5210">
        <v>2014</v>
      </c>
      <c r="K5210" t="s">
        <v>26012</v>
      </c>
      <c r="L5210">
        <v>185</v>
      </c>
      <c r="M5210" t="s">
        <v>44216</v>
      </c>
      <c r="N5210">
        <v>1</v>
      </c>
      <c r="Q5210" t="s">
        <v>44217</v>
      </c>
      <c r="R5210">
        <v>616.89170000000001</v>
      </c>
      <c r="S5210" t="s">
        <v>7995</v>
      </c>
      <c r="T5210" t="s">
        <v>30</v>
      </c>
      <c r="U5210" t="s">
        <v>26019</v>
      </c>
      <c r="W5210" t="s">
        <v>26009</v>
      </c>
    </row>
    <row r="5211" spans="1:23" x14ac:dyDescent="0.35">
      <c r="A5211">
        <v>1589064</v>
      </c>
      <c r="B5211" t="s">
        <v>44218</v>
      </c>
      <c r="C5211" t="str">
        <f>"9781782201434"</f>
        <v>9781782201434</v>
      </c>
      <c r="D5211" t="str">
        <f>"9781782412113"</f>
        <v>9781782412113</v>
      </c>
      <c r="E5211" t="s">
        <v>26010</v>
      </c>
      <c r="F5211" t="s">
        <v>35</v>
      </c>
      <c r="G5211" t="s">
        <v>22174</v>
      </c>
      <c r="H5211" t="s">
        <v>26011</v>
      </c>
      <c r="I5211" s="26">
        <v>41647</v>
      </c>
      <c r="J5211">
        <v>2014</v>
      </c>
      <c r="K5211" t="s">
        <v>26012</v>
      </c>
      <c r="L5211">
        <v>257</v>
      </c>
      <c r="M5211" t="s">
        <v>44219</v>
      </c>
      <c r="N5211">
        <v>2</v>
      </c>
      <c r="Q5211" t="s">
        <v>44220</v>
      </c>
      <c r="R5211" t="s">
        <v>44221</v>
      </c>
      <c r="S5211" t="s">
        <v>44222</v>
      </c>
      <c r="T5211" t="s">
        <v>30</v>
      </c>
      <c r="U5211" t="s">
        <v>46</v>
      </c>
      <c r="W5211" t="s">
        <v>26009</v>
      </c>
    </row>
    <row r="5212" spans="1:23" x14ac:dyDescent="0.35">
      <c r="A5212">
        <v>1589065</v>
      </c>
      <c r="B5212" t="s">
        <v>44223</v>
      </c>
      <c r="C5212" t="str">
        <f>"9781782201618"</f>
        <v>9781782201618</v>
      </c>
      <c r="D5212" t="str">
        <f>"9781782412328"</f>
        <v>9781782412328</v>
      </c>
      <c r="E5212" t="s">
        <v>26010</v>
      </c>
      <c r="F5212" t="s">
        <v>35</v>
      </c>
      <c r="G5212" t="s">
        <v>22174</v>
      </c>
      <c r="H5212" t="s">
        <v>26011</v>
      </c>
      <c r="I5212" s="26">
        <v>41649</v>
      </c>
      <c r="J5212">
        <v>2014</v>
      </c>
      <c r="K5212" t="s">
        <v>26012</v>
      </c>
      <c r="L5212">
        <v>199</v>
      </c>
      <c r="M5212" t="s">
        <v>44224</v>
      </c>
      <c r="N5212">
        <v>1</v>
      </c>
      <c r="Q5212" t="s">
        <v>44225</v>
      </c>
      <c r="R5212">
        <v>155.44300000000001</v>
      </c>
      <c r="S5212" t="s">
        <v>44226</v>
      </c>
      <c r="T5212" t="s">
        <v>30</v>
      </c>
      <c r="U5212" t="s">
        <v>26116</v>
      </c>
      <c r="W5212" t="s">
        <v>26009</v>
      </c>
    </row>
    <row r="5213" spans="1:23" x14ac:dyDescent="0.35">
      <c r="A5213">
        <v>1589254</v>
      </c>
      <c r="B5213" t="s">
        <v>44227</v>
      </c>
      <c r="C5213" t="str">
        <f>"9780739183021"</f>
        <v>9780739183021</v>
      </c>
      <c r="D5213" t="str">
        <f>"9780739183038"</f>
        <v>9780739183038</v>
      </c>
      <c r="E5213" t="s">
        <v>33803</v>
      </c>
      <c r="F5213" t="s">
        <v>8174</v>
      </c>
      <c r="G5213" t="s">
        <v>33804</v>
      </c>
      <c r="H5213" t="s">
        <v>26004</v>
      </c>
      <c r="I5213" s="26">
        <v>41626</v>
      </c>
      <c r="J5213">
        <v>2013</v>
      </c>
      <c r="K5213" t="s">
        <v>8174</v>
      </c>
      <c r="L5213">
        <v>132</v>
      </c>
      <c r="M5213" t="s">
        <v>44228</v>
      </c>
      <c r="N5213">
        <v>1</v>
      </c>
      <c r="Q5213" t="s">
        <v>44229</v>
      </c>
      <c r="R5213" t="s">
        <v>44230</v>
      </c>
      <c r="S5213" t="s">
        <v>44231</v>
      </c>
      <c r="T5213" t="s">
        <v>30</v>
      </c>
      <c r="U5213" t="s">
        <v>26116</v>
      </c>
      <c r="W5213" t="s">
        <v>26009</v>
      </c>
    </row>
    <row r="5214" spans="1:23" x14ac:dyDescent="0.35">
      <c r="A5214">
        <v>1591022</v>
      </c>
      <c r="B5214" t="s">
        <v>44232</v>
      </c>
      <c r="C5214" t="str">
        <f>"9780199934874"</f>
        <v>9780199934874</v>
      </c>
      <c r="D5214" t="str">
        <f>"9780199934881"</f>
        <v>9780199934881</v>
      </c>
      <c r="E5214" t="s">
        <v>371</v>
      </c>
      <c r="F5214" t="s">
        <v>31</v>
      </c>
      <c r="G5214" t="s">
        <v>22703</v>
      </c>
      <c r="H5214" t="s">
        <v>26004</v>
      </c>
      <c r="I5214" s="26">
        <v>41317</v>
      </c>
      <c r="J5214">
        <v>2013</v>
      </c>
      <c r="K5214" t="s">
        <v>31</v>
      </c>
      <c r="L5214">
        <v>507</v>
      </c>
      <c r="M5214" t="s">
        <v>43359</v>
      </c>
      <c r="O5214" t="s">
        <v>40610</v>
      </c>
      <c r="Q5214" t="s">
        <v>44233</v>
      </c>
      <c r="R5214" t="s">
        <v>44234</v>
      </c>
      <c r="S5214" t="s">
        <v>43361</v>
      </c>
      <c r="T5214" t="s">
        <v>30</v>
      </c>
      <c r="U5214" t="s">
        <v>46</v>
      </c>
      <c r="W5214" t="s">
        <v>26009</v>
      </c>
    </row>
    <row r="5215" spans="1:23" x14ac:dyDescent="0.35">
      <c r="A5215">
        <v>1591059</v>
      </c>
      <c r="B5215" t="s">
        <v>44235</v>
      </c>
      <c r="C5215" t="str">
        <f>"9780199334551"</f>
        <v>9780199334551</v>
      </c>
      <c r="D5215" t="str">
        <f>"9780199334568"</f>
        <v>9780199334568</v>
      </c>
      <c r="E5215" t="s">
        <v>371</v>
      </c>
      <c r="F5215" t="s">
        <v>31</v>
      </c>
      <c r="G5215" t="s">
        <v>22242</v>
      </c>
      <c r="H5215" t="s">
        <v>26004</v>
      </c>
      <c r="I5215" s="26">
        <v>41699</v>
      </c>
      <c r="J5215">
        <v>2014</v>
      </c>
      <c r="K5215" t="s">
        <v>31</v>
      </c>
      <c r="L5215">
        <v>266</v>
      </c>
      <c r="M5215" t="s">
        <v>44236</v>
      </c>
      <c r="Q5215" t="s">
        <v>44237</v>
      </c>
      <c r="R5215">
        <v>362.28</v>
      </c>
      <c r="S5215" t="s">
        <v>44238</v>
      </c>
      <c r="T5215" t="s">
        <v>30</v>
      </c>
      <c r="U5215" t="s">
        <v>26250</v>
      </c>
      <c r="W5215" t="s">
        <v>26009</v>
      </c>
    </row>
    <row r="5216" spans="1:23" x14ac:dyDescent="0.35">
      <c r="A5216">
        <v>1591065</v>
      </c>
      <c r="B5216" t="s">
        <v>44239</v>
      </c>
      <c r="C5216" t="str">
        <f>"9780199739028"</f>
        <v>9780199739028</v>
      </c>
      <c r="D5216" t="str">
        <f>"9780199876419"</f>
        <v>9780199876419</v>
      </c>
      <c r="E5216" t="s">
        <v>371</v>
      </c>
      <c r="F5216" t="s">
        <v>31</v>
      </c>
      <c r="G5216" t="s">
        <v>22703</v>
      </c>
      <c r="H5216" t="s">
        <v>26004</v>
      </c>
      <c r="I5216" s="26">
        <v>41670</v>
      </c>
      <c r="J5216">
        <v>2014</v>
      </c>
      <c r="K5216" t="s">
        <v>31</v>
      </c>
      <c r="L5216">
        <v>370</v>
      </c>
      <c r="M5216" t="s">
        <v>44240</v>
      </c>
      <c r="N5216">
        <v>1</v>
      </c>
      <c r="Q5216" t="s">
        <v>44241</v>
      </c>
      <c r="R5216">
        <v>362.29083500000002</v>
      </c>
      <c r="S5216" t="s">
        <v>44242</v>
      </c>
      <c r="T5216" t="s">
        <v>30</v>
      </c>
      <c r="U5216" t="s">
        <v>26250</v>
      </c>
      <c r="W5216" t="s">
        <v>26009</v>
      </c>
    </row>
    <row r="5217" spans="1:23" x14ac:dyDescent="0.35">
      <c r="A5217">
        <v>1591077</v>
      </c>
      <c r="B5217" t="s">
        <v>44243</v>
      </c>
      <c r="C5217" t="str">
        <f>"9780199972234"</f>
        <v>9780199972234</v>
      </c>
      <c r="D5217" t="str">
        <f>"9780199972241"</f>
        <v>9780199972241</v>
      </c>
      <c r="E5217" t="s">
        <v>371</v>
      </c>
      <c r="F5217" t="s">
        <v>31</v>
      </c>
      <c r="G5217" t="s">
        <v>22242</v>
      </c>
      <c r="H5217" t="s">
        <v>26004</v>
      </c>
      <c r="I5217" s="26">
        <v>41675</v>
      </c>
      <c r="J5217">
        <v>2014</v>
      </c>
      <c r="K5217" t="s">
        <v>31</v>
      </c>
      <c r="L5217">
        <v>290</v>
      </c>
      <c r="M5217" t="s">
        <v>44244</v>
      </c>
      <c r="Q5217" t="s">
        <v>44245</v>
      </c>
      <c r="R5217" t="s">
        <v>28519</v>
      </c>
      <c r="S5217" t="s">
        <v>44246</v>
      </c>
      <c r="T5217" t="s">
        <v>30</v>
      </c>
      <c r="U5217" t="s">
        <v>46</v>
      </c>
      <c r="W5217" t="s">
        <v>26009</v>
      </c>
    </row>
    <row r="5218" spans="1:23" x14ac:dyDescent="0.35">
      <c r="A5218">
        <v>1591281</v>
      </c>
      <c r="B5218" t="s">
        <v>44247</v>
      </c>
      <c r="C5218" t="str">
        <f>"9780195139327"</f>
        <v>9780195139327</v>
      </c>
      <c r="D5218" t="str">
        <f>"9780195349993"</f>
        <v>9780195349993</v>
      </c>
      <c r="E5218" t="s">
        <v>371</v>
      </c>
      <c r="F5218" t="s">
        <v>31</v>
      </c>
      <c r="G5218" t="s">
        <v>22703</v>
      </c>
      <c r="H5218" t="s">
        <v>26004</v>
      </c>
      <c r="I5218" s="26">
        <v>38365</v>
      </c>
      <c r="J5218">
        <v>2004</v>
      </c>
      <c r="K5218" t="s">
        <v>31</v>
      </c>
      <c r="L5218">
        <v>564</v>
      </c>
      <c r="M5218" t="s">
        <v>44248</v>
      </c>
      <c r="Q5218" t="s">
        <v>44249</v>
      </c>
      <c r="R5218">
        <v>153</v>
      </c>
      <c r="S5218" t="s">
        <v>44250</v>
      </c>
      <c r="T5218" t="s">
        <v>30</v>
      </c>
      <c r="U5218" t="s">
        <v>46</v>
      </c>
      <c r="W5218" t="s">
        <v>26009</v>
      </c>
    </row>
    <row r="5219" spans="1:23" x14ac:dyDescent="0.35">
      <c r="A5219">
        <v>1591295</v>
      </c>
      <c r="B5219" t="s">
        <v>8768</v>
      </c>
      <c r="C5219" t="str">
        <f>"9780195146295"</f>
        <v>9780195146295</v>
      </c>
      <c r="D5219" t="str">
        <f>"9780195349153"</f>
        <v>9780195349153</v>
      </c>
      <c r="E5219" t="s">
        <v>371</v>
      </c>
      <c r="F5219" t="s">
        <v>31</v>
      </c>
      <c r="G5219" t="s">
        <v>22179</v>
      </c>
      <c r="H5219" t="s">
        <v>26004</v>
      </c>
      <c r="I5219" s="26">
        <v>37014</v>
      </c>
      <c r="J5219">
        <v>1999</v>
      </c>
      <c r="K5219" t="s">
        <v>31</v>
      </c>
      <c r="L5219">
        <v>224</v>
      </c>
      <c r="M5219" t="s">
        <v>44251</v>
      </c>
      <c r="Q5219" t="s">
        <v>44252</v>
      </c>
      <c r="R5219" t="s">
        <v>44253</v>
      </c>
      <c r="S5219" t="s">
        <v>8769</v>
      </c>
      <c r="T5219" t="s">
        <v>30</v>
      </c>
      <c r="U5219" t="s">
        <v>46</v>
      </c>
      <c r="W5219" t="s">
        <v>26009</v>
      </c>
    </row>
    <row r="5220" spans="1:23" x14ac:dyDescent="0.35">
      <c r="A5220">
        <v>1591318</v>
      </c>
      <c r="B5220" t="s">
        <v>8233</v>
      </c>
      <c r="C5220" t="str">
        <f>"9780195165494"</f>
        <v>9780195165494</v>
      </c>
      <c r="D5220" t="str">
        <f>"9780195347395"</f>
        <v>9780195347395</v>
      </c>
      <c r="E5220" t="s">
        <v>371</v>
      </c>
      <c r="F5220" t="s">
        <v>31</v>
      </c>
      <c r="G5220" t="s">
        <v>22703</v>
      </c>
      <c r="H5220" t="s">
        <v>26004</v>
      </c>
      <c r="I5220" s="26">
        <v>37756</v>
      </c>
      <c r="J5220">
        <v>2000</v>
      </c>
      <c r="K5220" t="s">
        <v>31</v>
      </c>
      <c r="L5220">
        <v>247</v>
      </c>
      <c r="M5220" t="s">
        <v>44254</v>
      </c>
      <c r="Q5220" t="s">
        <v>44255</v>
      </c>
      <c r="R5220" t="s">
        <v>44256</v>
      </c>
      <c r="S5220" t="s">
        <v>44257</v>
      </c>
      <c r="T5220" t="s">
        <v>30</v>
      </c>
      <c r="U5220" t="s">
        <v>46</v>
      </c>
      <c r="W5220" t="s">
        <v>26009</v>
      </c>
    </row>
    <row r="5221" spans="1:23" x14ac:dyDescent="0.35">
      <c r="A5221">
        <v>1591339</v>
      </c>
      <c r="B5221" t="s">
        <v>8341</v>
      </c>
      <c r="C5221" t="str">
        <f>"9780195341096"</f>
        <v>9780195341096</v>
      </c>
      <c r="D5221" t="str">
        <f>"9780199712403"</f>
        <v>9780199712403</v>
      </c>
      <c r="E5221" t="s">
        <v>371</v>
      </c>
      <c r="F5221" t="s">
        <v>31</v>
      </c>
      <c r="G5221" t="s">
        <v>22703</v>
      </c>
      <c r="H5221" t="s">
        <v>26004</v>
      </c>
      <c r="I5221" s="26">
        <v>40716</v>
      </c>
      <c r="J5221">
        <v>2011</v>
      </c>
      <c r="K5221" t="s">
        <v>31</v>
      </c>
      <c r="L5221">
        <v>192</v>
      </c>
      <c r="M5221" t="s">
        <v>44258</v>
      </c>
      <c r="O5221" t="s">
        <v>33147</v>
      </c>
      <c r="Q5221" t="s">
        <v>44259</v>
      </c>
      <c r="R5221" t="s">
        <v>28587</v>
      </c>
      <c r="S5221" t="s">
        <v>44260</v>
      </c>
      <c r="T5221" t="s">
        <v>30</v>
      </c>
      <c r="U5221" t="s">
        <v>26391</v>
      </c>
      <c r="W5221" t="s">
        <v>26009</v>
      </c>
    </row>
    <row r="5222" spans="1:23" x14ac:dyDescent="0.35">
      <c r="A5222">
        <v>1591391</v>
      </c>
      <c r="B5222" t="s">
        <v>44261</v>
      </c>
      <c r="C5222" t="str">
        <f>"9780199581481"</f>
        <v>9780199581481</v>
      </c>
      <c r="D5222" t="str">
        <f>"9780191512193"</f>
        <v>9780191512193</v>
      </c>
      <c r="E5222" t="s">
        <v>371</v>
      </c>
      <c r="F5222" t="s">
        <v>31</v>
      </c>
      <c r="G5222" t="s">
        <v>22242</v>
      </c>
      <c r="H5222" t="s">
        <v>26011</v>
      </c>
      <c r="I5222" s="26">
        <v>40263</v>
      </c>
      <c r="J5222">
        <v>2010</v>
      </c>
      <c r="K5222" t="s">
        <v>31</v>
      </c>
      <c r="L5222">
        <v>248</v>
      </c>
      <c r="M5222" t="s">
        <v>44262</v>
      </c>
      <c r="Q5222" t="s">
        <v>44263</v>
      </c>
      <c r="R5222" t="s">
        <v>44264</v>
      </c>
      <c r="S5222" t="s">
        <v>44265</v>
      </c>
      <c r="T5222" t="s">
        <v>30</v>
      </c>
      <c r="U5222" t="s">
        <v>26250</v>
      </c>
      <c r="W5222" t="s">
        <v>26009</v>
      </c>
    </row>
    <row r="5223" spans="1:23" x14ac:dyDescent="0.35">
      <c r="A5223">
        <v>1591550</v>
      </c>
      <c r="B5223" t="s">
        <v>44266</v>
      </c>
      <c r="C5223" t="str">
        <f>"9780199557257"</f>
        <v>9780199557257</v>
      </c>
      <c r="D5223" t="str">
        <f>"9780191650185"</f>
        <v>9780191650185</v>
      </c>
      <c r="E5223" t="s">
        <v>371</v>
      </c>
      <c r="F5223" t="s">
        <v>31</v>
      </c>
      <c r="G5223" t="s">
        <v>22242</v>
      </c>
      <c r="H5223" t="s">
        <v>26011</v>
      </c>
      <c r="I5223" s="26">
        <v>41742</v>
      </c>
      <c r="J5223">
        <v>2012</v>
      </c>
      <c r="K5223" t="s">
        <v>31</v>
      </c>
      <c r="L5223">
        <v>1137</v>
      </c>
      <c r="M5223" t="s">
        <v>44267</v>
      </c>
      <c r="O5223" t="s">
        <v>40610</v>
      </c>
      <c r="Q5223" t="s">
        <v>44268</v>
      </c>
      <c r="R5223">
        <v>158</v>
      </c>
      <c r="S5223" t="s">
        <v>8677</v>
      </c>
      <c r="T5223" t="s">
        <v>30</v>
      </c>
      <c r="U5223" t="s">
        <v>46</v>
      </c>
      <c r="W5223" t="s">
        <v>26009</v>
      </c>
    </row>
    <row r="5224" spans="1:23" x14ac:dyDescent="0.35">
      <c r="A5224">
        <v>1593775</v>
      </c>
      <c r="B5224" t="s">
        <v>44269</v>
      </c>
      <c r="C5224" t="str">
        <f>"9780814724637"</f>
        <v>9780814724637</v>
      </c>
      <c r="D5224" t="str">
        <f>"9780814770696"</f>
        <v>9780814770696</v>
      </c>
      <c r="E5224" t="s">
        <v>39652</v>
      </c>
      <c r="F5224" t="s">
        <v>7532</v>
      </c>
      <c r="G5224" t="s">
        <v>22179</v>
      </c>
      <c r="H5224" t="s">
        <v>26004</v>
      </c>
      <c r="I5224" s="26">
        <v>41691</v>
      </c>
      <c r="J5224">
        <v>2014</v>
      </c>
      <c r="K5224" t="s">
        <v>7532</v>
      </c>
      <c r="L5224">
        <v>273</v>
      </c>
      <c r="M5224" t="s">
        <v>44270</v>
      </c>
      <c r="N5224">
        <v>3</v>
      </c>
      <c r="Q5224" t="s">
        <v>44271</v>
      </c>
      <c r="R5224">
        <v>155.232</v>
      </c>
      <c r="S5224" t="s">
        <v>7781</v>
      </c>
      <c r="T5224" t="s">
        <v>30</v>
      </c>
      <c r="U5224" t="s">
        <v>26116</v>
      </c>
      <c r="W5224" t="s">
        <v>28347</v>
      </c>
    </row>
    <row r="5225" spans="1:23" x14ac:dyDescent="0.35">
      <c r="A5225">
        <v>1594262</v>
      </c>
      <c r="B5225" t="s">
        <v>44272</v>
      </c>
      <c r="C5225" t="str">
        <f>"9781608827664"</f>
        <v>9781608827664</v>
      </c>
      <c r="D5225" t="str">
        <f>"9781608827671"</f>
        <v>9781608827671</v>
      </c>
      <c r="E5225" t="s">
        <v>7424</v>
      </c>
      <c r="F5225" t="s">
        <v>7424</v>
      </c>
      <c r="G5225" t="s">
        <v>43459</v>
      </c>
      <c r="H5225" t="s">
        <v>26004</v>
      </c>
      <c r="I5225" s="26">
        <v>41672</v>
      </c>
      <c r="J5225">
        <v>2014</v>
      </c>
      <c r="K5225" t="s">
        <v>7424</v>
      </c>
      <c r="L5225">
        <v>218</v>
      </c>
      <c r="M5225" t="s">
        <v>44273</v>
      </c>
      <c r="N5225">
        <v>1</v>
      </c>
      <c r="Q5225" t="s">
        <v>44274</v>
      </c>
      <c r="R5225">
        <v>616.89499999999998</v>
      </c>
      <c r="S5225" t="s">
        <v>7692</v>
      </c>
      <c r="T5225" t="s">
        <v>30</v>
      </c>
      <c r="U5225" t="s">
        <v>26019</v>
      </c>
      <c r="W5225" t="s">
        <v>26009</v>
      </c>
    </row>
    <row r="5226" spans="1:23" x14ac:dyDescent="0.35">
      <c r="A5226">
        <v>1594263</v>
      </c>
      <c r="B5226" t="s">
        <v>44275</v>
      </c>
      <c r="C5226" t="str">
        <f>"9781608828531"</f>
        <v>9781608828531</v>
      </c>
      <c r="D5226" t="str">
        <f>"9781608828555"</f>
        <v>9781608828555</v>
      </c>
      <c r="E5226" t="s">
        <v>7424</v>
      </c>
      <c r="F5226" t="s">
        <v>7424</v>
      </c>
      <c r="G5226" t="s">
        <v>23047</v>
      </c>
      <c r="H5226" t="s">
        <v>26004</v>
      </c>
      <c r="I5226" s="26">
        <v>41641</v>
      </c>
      <c r="J5226">
        <v>2013</v>
      </c>
      <c r="K5226" t="s">
        <v>7424</v>
      </c>
      <c r="L5226">
        <v>266</v>
      </c>
      <c r="M5226" t="s">
        <v>44276</v>
      </c>
      <c r="N5226">
        <v>1</v>
      </c>
      <c r="Q5226" t="s">
        <v>44277</v>
      </c>
      <c r="R5226">
        <v>362.29</v>
      </c>
      <c r="S5226" t="s">
        <v>44278</v>
      </c>
      <c r="T5226" t="s">
        <v>30</v>
      </c>
      <c r="U5226" t="s">
        <v>35074</v>
      </c>
      <c r="W5226" t="s">
        <v>26009</v>
      </c>
    </row>
    <row r="5227" spans="1:23" x14ac:dyDescent="0.35">
      <c r="A5227">
        <v>1594962</v>
      </c>
      <c r="B5227" t="s">
        <v>44279</v>
      </c>
      <c r="C5227" t="str">
        <f>"9781560320364"</f>
        <v>9781560320364</v>
      </c>
      <c r="D5227" t="str">
        <f>"9781135910426"</f>
        <v>9781135910426</v>
      </c>
      <c r="E5227" t="s">
        <v>26010</v>
      </c>
      <c r="F5227" t="s">
        <v>35</v>
      </c>
      <c r="G5227" t="s">
        <v>22254</v>
      </c>
      <c r="H5227" t="s">
        <v>26011</v>
      </c>
      <c r="I5227" s="26">
        <v>32964</v>
      </c>
      <c r="J5227">
        <v>1990</v>
      </c>
      <c r="K5227" t="s">
        <v>26012</v>
      </c>
      <c r="L5227">
        <v>218</v>
      </c>
      <c r="M5227" t="s">
        <v>44280</v>
      </c>
      <c r="N5227">
        <v>1</v>
      </c>
      <c r="Q5227" t="s">
        <v>44281</v>
      </c>
      <c r="R5227">
        <v>618.20000000000005</v>
      </c>
      <c r="S5227" t="s">
        <v>44282</v>
      </c>
      <c r="T5227" t="s">
        <v>30</v>
      </c>
      <c r="U5227" t="s">
        <v>26040</v>
      </c>
      <c r="W5227" t="s">
        <v>26009</v>
      </c>
    </row>
    <row r="5228" spans="1:23" x14ac:dyDescent="0.35">
      <c r="A5228">
        <v>1595037</v>
      </c>
      <c r="B5228" t="s">
        <v>44283</v>
      </c>
      <c r="C5228" t="str">
        <f>"9781560247609"</f>
        <v>9781560247609</v>
      </c>
      <c r="D5228" t="str">
        <f>"9781317764397"</f>
        <v>9781317764397</v>
      </c>
      <c r="E5228" t="s">
        <v>26010</v>
      </c>
      <c r="F5228" t="s">
        <v>35</v>
      </c>
      <c r="G5228" t="s">
        <v>26201</v>
      </c>
      <c r="H5228" t="s">
        <v>26011</v>
      </c>
      <c r="I5228" s="26">
        <v>35340</v>
      </c>
      <c r="J5228">
        <v>1996</v>
      </c>
      <c r="K5228" t="s">
        <v>26012</v>
      </c>
      <c r="L5228">
        <v>123</v>
      </c>
      <c r="M5228" t="s">
        <v>44284</v>
      </c>
      <c r="N5228">
        <v>1</v>
      </c>
      <c r="Q5228" t="s">
        <v>44285</v>
      </c>
      <c r="R5228">
        <v>331.5</v>
      </c>
      <c r="S5228" t="s">
        <v>44286</v>
      </c>
      <c r="T5228" t="s">
        <v>30</v>
      </c>
      <c r="U5228" t="s">
        <v>33432</v>
      </c>
      <c r="W5228" t="s">
        <v>26009</v>
      </c>
    </row>
    <row r="5229" spans="1:23" x14ac:dyDescent="0.35">
      <c r="A5229">
        <v>1595041</v>
      </c>
      <c r="B5229" t="s">
        <v>8141</v>
      </c>
      <c r="C5229" t="str">
        <f>"9780815332855"</f>
        <v>9780815332855</v>
      </c>
      <c r="D5229" t="str">
        <f>"9781317733287"</f>
        <v>9781317733287</v>
      </c>
      <c r="E5229" t="s">
        <v>26010</v>
      </c>
      <c r="F5229" t="s">
        <v>35</v>
      </c>
      <c r="G5229" t="s">
        <v>26201</v>
      </c>
      <c r="H5229" t="s">
        <v>26011</v>
      </c>
      <c r="I5229" s="26">
        <v>36100</v>
      </c>
      <c r="J5229">
        <v>1999</v>
      </c>
      <c r="K5229" t="s">
        <v>26012</v>
      </c>
      <c r="L5229">
        <v>137</v>
      </c>
      <c r="M5229" t="s">
        <v>44287</v>
      </c>
      <c r="N5229">
        <v>1</v>
      </c>
      <c r="O5229" t="s">
        <v>44288</v>
      </c>
      <c r="Q5229" t="s">
        <v>44289</v>
      </c>
      <c r="R5229">
        <v>305.38868072999998</v>
      </c>
      <c r="S5229" t="s">
        <v>44290</v>
      </c>
      <c r="T5229" t="s">
        <v>30</v>
      </c>
      <c r="U5229" t="s">
        <v>26044</v>
      </c>
      <c r="W5229" t="s">
        <v>26009</v>
      </c>
    </row>
    <row r="5230" spans="1:23" x14ac:dyDescent="0.35">
      <c r="A5230">
        <v>1595049</v>
      </c>
      <c r="B5230" t="s">
        <v>44291</v>
      </c>
      <c r="C5230" t="str">
        <f>"9781560248347"</f>
        <v>9781560248347</v>
      </c>
      <c r="D5230" t="str">
        <f>"9781317764151"</f>
        <v>9781317764151</v>
      </c>
      <c r="E5230" t="s">
        <v>26010</v>
      </c>
      <c r="F5230" t="s">
        <v>35</v>
      </c>
      <c r="G5230" t="s">
        <v>26201</v>
      </c>
      <c r="H5230" t="s">
        <v>26011</v>
      </c>
      <c r="I5230" s="26">
        <v>35346</v>
      </c>
      <c r="J5230">
        <v>1997</v>
      </c>
      <c r="K5230" t="s">
        <v>26012</v>
      </c>
      <c r="L5230">
        <v>184</v>
      </c>
      <c r="M5230" t="s">
        <v>44292</v>
      </c>
      <c r="N5230">
        <v>1</v>
      </c>
      <c r="Q5230" t="s">
        <v>44293</v>
      </c>
      <c r="R5230">
        <v>364.15300000000002</v>
      </c>
      <c r="S5230" t="s">
        <v>44294</v>
      </c>
      <c r="T5230" t="s">
        <v>30</v>
      </c>
      <c r="U5230" t="s">
        <v>28085</v>
      </c>
      <c r="W5230" t="s">
        <v>26009</v>
      </c>
    </row>
    <row r="5231" spans="1:23" x14ac:dyDescent="0.35">
      <c r="A5231">
        <v>1595056</v>
      </c>
      <c r="B5231" t="s">
        <v>44295</v>
      </c>
      <c r="C5231" t="str">
        <f>"9781560249337"</f>
        <v>9781560249337</v>
      </c>
      <c r="D5231" t="str">
        <f>"9781317763970"</f>
        <v>9781317763970</v>
      </c>
      <c r="E5231" t="s">
        <v>26010</v>
      </c>
      <c r="F5231" t="s">
        <v>35</v>
      </c>
      <c r="G5231" t="s">
        <v>26128</v>
      </c>
      <c r="H5231" t="s">
        <v>26011</v>
      </c>
      <c r="I5231" s="26">
        <v>34969</v>
      </c>
      <c r="J5231">
        <v>1995</v>
      </c>
      <c r="K5231" t="s">
        <v>26012</v>
      </c>
      <c r="L5231">
        <v>194</v>
      </c>
      <c r="M5231" t="s">
        <v>44296</v>
      </c>
      <c r="N5231">
        <v>1</v>
      </c>
      <c r="Q5231" t="s">
        <v>44297</v>
      </c>
      <c r="S5231" t="s">
        <v>7648</v>
      </c>
      <c r="T5231" t="s">
        <v>30</v>
      </c>
      <c r="U5231" t="s">
        <v>26116</v>
      </c>
      <c r="W5231" t="s">
        <v>26009</v>
      </c>
    </row>
    <row r="5232" spans="1:23" x14ac:dyDescent="0.35">
      <c r="A5232">
        <v>1595057</v>
      </c>
      <c r="B5232" t="s">
        <v>9038</v>
      </c>
      <c r="C5232" t="str">
        <f>"9781560246763"</f>
        <v>9781560246763</v>
      </c>
      <c r="D5232" t="str">
        <f>"9781317764694"</f>
        <v>9781317764694</v>
      </c>
      <c r="E5232" t="s">
        <v>26010</v>
      </c>
      <c r="F5232" t="s">
        <v>35</v>
      </c>
      <c r="G5232" t="s">
        <v>26201</v>
      </c>
      <c r="H5232" t="s">
        <v>26011</v>
      </c>
      <c r="I5232" s="26">
        <v>34563</v>
      </c>
      <c r="J5232">
        <v>1994</v>
      </c>
      <c r="K5232" t="s">
        <v>26012</v>
      </c>
      <c r="L5232">
        <v>143</v>
      </c>
      <c r="M5232" t="s">
        <v>44298</v>
      </c>
      <c r="N5232">
        <v>1</v>
      </c>
      <c r="Q5232" t="s">
        <v>44299</v>
      </c>
      <c r="R5232" t="s">
        <v>44300</v>
      </c>
      <c r="S5232" t="s">
        <v>44301</v>
      </c>
      <c r="T5232" t="s">
        <v>30</v>
      </c>
      <c r="U5232" t="s">
        <v>26079</v>
      </c>
      <c r="W5232" t="s">
        <v>26009</v>
      </c>
    </row>
    <row r="5233" spans="1:23" x14ac:dyDescent="0.35">
      <c r="A5233">
        <v>1595327</v>
      </c>
      <c r="B5233" t="s">
        <v>44302</v>
      </c>
      <c r="C5233" t="str">
        <f>"9781443852395"</f>
        <v>9781443852395</v>
      </c>
      <c r="D5233" t="str">
        <f>"9781443854313"</f>
        <v>9781443854313</v>
      </c>
      <c r="E5233" t="s">
        <v>7812</v>
      </c>
      <c r="F5233" t="s">
        <v>7812</v>
      </c>
      <c r="G5233" t="s">
        <v>41984</v>
      </c>
      <c r="H5233" t="s">
        <v>26011</v>
      </c>
      <c r="I5233" s="26">
        <v>41586</v>
      </c>
      <c r="J5233">
        <v>2013</v>
      </c>
      <c r="K5233" t="s">
        <v>7812</v>
      </c>
      <c r="L5233">
        <v>221</v>
      </c>
      <c r="M5233" t="s">
        <v>44303</v>
      </c>
      <c r="N5233">
        <v>1</v>
      </c>
      <c r="Q5233" t="s">
        <v>44304</v>
      </c>
      <c r="R5233">
        <v>305.23500000000001</v>
      </c>
      <c r="S5233" t="s">
        <v>44305</v>
      </c>
      <c r="T5233" t="s">
        <v>30</v>
      </c>
      <c r="U5233" t="s">
        <v>26044</v>
      </c>
      <c r="W5233" t="s">
        <v>26009</v>
      </c>
    </row>
    <row r="5234" spans="1:23" x14ac:dyDescent="0.35">
      <c r="A5234">
        <v>1595341</v>
      </c>
      <c r="B5234" t="s">
        <v>44306</v>
      </c>
      <c r="C5234" t="str">
        <f>"9781443850537"</f>
        <v>9781443850537</v>
      </c>
      <c r="D5234" t="str">
        <f>"9781443854856"</f>
        <v>9781443854856</v>
      </c>
      <c r="E5234" t="s">
        <v>7812</v>
      </c>
      <c r="F5234" t="s">
        <v>7812</v>
      </c>
      <c r="G5234" t="s">
        <v>41984</v>
      </c>
      <c r="H5234" t="s">
        <v>26011</v>
      </c>
      <c r="I5234" s="26">
        <v>41579</v>
      </c>
      <c r="J5234">
        <v>2013</v>
      </c>
      <c r="K5234" t="s">
        <v>7812</v>
      </c>
      <c r="L5234">
        <v>205</v>
      </c>
      <c r="M5234" t="s">
        <v>44307</v>
      </c>
      <c r="N5234">
        <v>1</v>
      </c>
      <c r="Q5234" t="s">
        <v>44308</v>
      </c>
      <c r="R5234">
        <v>616.89142500000003</v>
      </c>
      <c r="S5234" t="s">
        <v>7886</v>
      </c>
      <c r="T5234" t="s">
        <v>30</v>
      </c>
      <c r="U5234" t="s">
        <v>26019</v>
      </c>
      <c r="W5234" t="s">
        <v>26009</v>
      </c>
    </row>
    <row r="5235" spans="1:23" x14ac:dyDescent="0.35">
      <c r="A5235">
        <v>1595352</v>
      </c>
      <c r="B5235" t="s">
        <v>44309</v>
      </c>
      <c r="C5235" t="str">
        <f>"9781443851657"</f>
        <v>9781443851657</v>
      </c>
      <c r="D5235" t="str">
        <f>"9781443855266"</f>
        <v>9781443855266</v>
      </c>
      <c r="E5235" t="s">
        <v>7812</v>
      </c>
      <c r="F5235" t="s">
        <v>7812</v>
      </c>
      <c r="G5235" t="s">
        <v>44310</v>
      </c>
      <c r="H5235" t="s">
        <v>26011</v>
      </c>
      <c r="I5235" s="26">
        <v>41586</v>
      </c>
      <c r="J5235">
        <v>2014</v>
      </c>
      <c r="K5235" t="s">
        <v>7812</v>
      </c>
      <c r="L5235">
        <v>249</v>
      </c>
      <c r="M5235" t="s">
        <v>44311</v>
      </c>
      <c r="N5235">
        <v>1</v>
      </c>
      <c r="Q5235" t="s">
        <v>44312</v>
      </c>
      <c r="R5235">
        <v>809.933581</v>
      </c>
      <c r="S5235" t="s">
        <v>44313</v>
      </c>
      <c r="T5235" t="s">
        <v>30</v>
      </c>
      <c r="U5235" t="s">
        <v>26158</v>
      </c>
      <c r="W5235" t="s">
        <v>26009</v>
      </c>
    </row>
    <row r="5236" spans="1:23" x14ac:dyDescent="0.35">
      <c r="A5236">
        <v>1595429</v>
      </c>
      <c r="B5236" t="s">
        <v>44314</v>
      </c>
      <c r="C5236" t="str">
        <f>"9780335247578"</f>
        <v>9780335247578</v>
      </c>
      <c r="D5236" t="str">
        <f>"9780335247585"</f>
        <v>9780335247585</v>
      </c>
      <c r="E5236" t="s">
        <v>29061</v>
      </c>
      <c r="F5236" t="s">
        <v>7477</v>
      </c>
      <c r="G5236" t="s">
        <v>29068</v>
      </c>
      <c r="H5236" t="s">
        <v>26011</v>
      </c>
      <c r="I5236" s="26">
        <v>41686</v>
      </c>
      <c r="J5236">
        <v>2013</v>
      </c>
      <c r="K5236" t="s">
        <v>29063</v>
      </c>
      <c r="L5236">
        <v>202</v>
      </c>
      <c r="M5236" t="s">
        <v>44315</v>
      </c>
      <c r="N5236">
        <v>1</v>
      </c>
      <c r="O5236" t="s">
        <v>30777</v>
      </c>
      <c r="Q5236" t="s">
        <v>44316</v>
      </c>
      <c r="S5236" t="s">
        <v>44317</v>
      </c>
      <c r="T5236" t="s">
        <v>30</v>
      </c>
      <c r="U5236" t="s">
        <v>26044</v>
      </c>
      <c r="W5236" t="s">
        <v>26009</v>
      </c>
    </row>
    <row r="5237" spans="1:23" x14ac:dyDescent="0.35">
      <c r="A5237">
        <v>1595953</v>
      </c>
      <c r="B5237" t="s">
        <v>9449</v>
      </c>
      <c r="C5237" t="str">
        <f>"9781462513338"</f>
        <v>9781462513338</v>
      </c>
      <c r="D5237" t="str">
        <f>"9781462513406"</f>
        <v>9781462513406</v>
      </c>
      <c r="E5237" t="s">
        <v>30112</v>
      </c>
      <c r="F5237" t="s">
        <v>7420</v>
      </c>
      <c r="G5237" t="s">
        <v>22179</v>
      </c>
      <c r="H5237" t="s">
        <v>26004</v>
      </c>
      <c r="I5237" s="26">
        <v>41666</v>
      </c>
      <c r="J5237">
        <v>2014</v>
      </c>
      <c r="K5237" t="s">
        <v>30113</v>
      </c>
      <c r="L5237">
        <v>322</v>
      </c>
      <c r="M5237" t="s">
        <v>44318</v>
      </c>
      <c r="N5237">
        <v>1</v>
      </c>
      <c r="Q5237" t="s">
        <v>44319</v>
      </c>
      <c r="R5237">
        <v>152.4</v>
      </c>
      <c r="S5237" t="s">
        <v>7860</v>
      </c>
      <c r="T5237" t="s">
        <v>30</v>
      </c>
      <c r="U5237" t="s">
        <v>46</v>
      </c>
      <c r="W5237" t="s">
        <v>28347</v>
      </c>
    </row>
    <row r="5238" spans="1:23" x14ac:dyDescent="0.35">
      <c r="A5238">
        <v>1596089</v>
      </c>
      <c r="B5238" t="s">
        <v>44320</v>
      </c>
      <c r="C5238" t="str">
        <f>"9781462513178"</f>
        <v>9781462513178</v>
      </c>
      <c r="D5238" t="str">
        <f>"9781462513307"</f>
        <v>9781462513307</v>
      </c>
      <c r="E5238" t="s">
        <v>30112</v>
      </c>
      <c r="F5238" t="s">
        <v>7420</v>
      </c>
      <c r="G5238" t="s">
        <v>22179</v>
      </c>
      <c r="H5238" t="s">
        <v>26004</v>
      </c>
      <c r="I5238" s="26">
        <v>41652</v>
      </c>
      <c r="J5238">
        <v>2014</v>
      </c>
      <c r="K5238" t="s">
        <v>30113</v>
      </c>
      <c r="L5238">
        <v>378</v>
      </c>
      <c r="M5238" t="s">
        <v>44321</v>
      </c>
      <c r="N5238">
        <v>1</v>
      </c>
      <c r="Q5238" t="s">
        <v>44322</v>
      </c>
      <c r="R5238">
        <v>616.85209999999995</v>
      </c>
      <c r="S5238" t="s">
        <v>44323</v>
      </c>
      <c r="T5238" t="s">
        <v>30</v>
      </c>
      <c r="U5238" t="s">
        <v>26116</v>
      </c>
      <c r="W5238" t="s">
        <v>28347</v>
      </c>
    </row>
    <row r="5239" spans="1:23" x14ac:dyDescent="0.35">
      <c r="A5239">
        <v>1596094</v>
      </c>
      <c r="B5239" t="s">
        <v>44324</v>
      </c>
      <c r="C5239" t="str">
        <f>"9781462513666"</f>
        <v>9781462513666</v>
      </c>
      <c r="D5239" t="str">
        <f>"9781462513840"</f>
        <v>9781462513840</v>
      </c>
      <c r="E5239" t="s">
        <v>30112</v>
      </c>
      <c r="F5239" t="s">
        <v>7420</v>
      </c>
      <c r="G5239" t="s">
        <v>22179</v>
      </c>
      <c r="H5239" t="s">
        <v>26004</v>
      </c>
      <c r="I5239" s="26">
        <v>41667</v>
      </c>
      <c r="J5239">
        <v>2014</v>
      </c>
      <c r="K5239" t="s">
        <v>30113</v>
      </c>
      <c r="L5239">
        <v>292</v>
      </c>
      <c r="M5239" t="s">
        <v>44325</v>
      </c>
      <c r="N5239">
        <v>1</v>
      </c>
      <c r="Q5239" t="s">
        <v>44326</v>
      </c>
      <c r="R5239">
        <v>612.82330000000002</v>
      </c>
      <c r="S5239" t="s">
        <v>44327</v>
      </c>
      <c r="T5239" t="s">
        <v>30</v>
      </c>
      <c r="U5239" t="s">
        <v>44328</v>
      </c>
      <c r="W5239" t="s">
        <v>28347</v>
      </c>
    </row>
    <row r="5240" spans="1:23" x14ac:dyDescent="0.35">
      <c r="A5240">
        <v>1596095</v>
      </c>
      <c r="B5240" t="s">
        <v>8643</v>
      </c>
      <c r="C5240" t="str">
        <f>"9781462513970"</f>
        <v>9781462513970</v>
      </c>
      <c r="D5240" t="str">
        <f>"9781462514298"</f>
        <v>9781462514298</v>
      </c>
      <c r="E5240" t="s">
        <v>30112</v>
      </c>
      <c r="F5240" t="s">
        <v>7420</v>
      </c>
      <c r="G5240" t="s">
        <v>22179</v>
      </c>
      <c r="H5240" t="s">
        <v>26004</v>
      </c>
      <c r="I5240" s="26">
        <v>41673</v>
      </c>
      <c r="J5240">
        <v>2014</v>
      </c>
      <c r="K5240" t="s">
        <v>30113</v>
      </c>
      <c r="L5240">
        <v>545</v>
      </c>
      <c r="M5240" t="s">
        <v>44329</v>
      </c>
      <c r="N5240">
        <v>1</v>
      </c>
      <c r="Q5240" t="s">
        <v>44330</v>
      </c>
      <c r="R5240">
        <v>150.19880000000001</v>
      </c>
      <c r="S5240" t="s">
        <v>44331</v>
      </c>
      <c r="T5240" t="s">
        <v>30</v>
      </c>
      <c r="U5240" t="s">
        <v>46</v>
      </c>
      <c r="W5240" t="s">
        <v>28347</v>
      </c>
    </row>
    <row r="5241" spans="1:23" x14ac:dyDescent="0.35">
      <c r="A5241">
        <v>1596503</v>
      </c>
      <c r="B5241" t="s">
        <v>8570</v>
      </c>
      <c r="C5241" t="str">
        <f>"9780789022615"</f>
        <v>9780789022615</v>
      </c>
      <c r="D5241" t="str">
        <f>"9781317718345"</f>
        <v>9781317718345</v>
      </c>
      <c r="E5241" t="s">
        <v>26010</v>
      </c>
      <c r="F5241" t="s">
        <v>35</v>
      </c>
      <c r="G5241" t="s">
        <v>26128</v>
      </c>
      <c r="H5241" t="s">
        <v>26011</v>
      </c>
      <c r="I5241" s="26">
        <v>38134</v>
      </c>
      <c r="J5241">
        <v>2004</v>
      </c>
      <c r="K5241" t="s">
        <v>26012</v>
      </c>
      <c r="L5241">
        <v>236</v>
      </c>
      <c r="M5241" t="s">
        <v>39300</v>
      </c>
      <c r="N5241">
        <v>1</v>
      </c>
      <c r="Q5241" t="s">
        <v>44332</v>
      </c>
      <c r="R5241" t="s">
        <v>44333</v>
      </c>
      <c r="S5241" t="s">
        <v>44334</v>
      </c>
      <c r="T5241" t="s">
        <v>30</v>
      </c>
      <c r="U5241" t="s">
        <v>44335</v>
      </c>
      <c r="W5241" t="s">
        <v>26009</v>
      </c>
    </row>
    <row r="5242" spans="1:23" x14ac:dyDescent="0.35">
      <c r="A5242">
        <v>1596512</v>
      </c>
      <c r="B5242" t="s">
        <v>44336</v>
      </c>
      <c r="C5242" t="str">
        <f>"9780789019363"</f>
        <v>9780789019363</v>
      </c>
      <c r="D5242" t="str">
        <f>"9781317718826"</f>
        <v>9781317718826</v>
      </c>
      <c r="E5242" t="s">
        <v>26010</v>
      </c>
      <c r="F5242" t="s">
        <v>35</v>
      </c>
      <c r="G5242" t="s">
        <v>26201</v>
      </c>
      <c r="H5242" t="s">
        <v>26011</v>
      </c>
      <c r="I5242" s="26">
        <v>37917</v>
      </c>
      <c r="J5242">
        <v>2004</v>
      </c>
      <c r="K5242" t="s">
        <v>26012</v>
      </c>
      <c r="L5242">
        <v>428</v>
      </c>
      <c r="M5242" t="s">
        <v>44337</v>
      </c>
      <c r="N5242">
        <v>1</v>
      </c>
      <c r="Q5242" t="s">
        <v>44338</v>
      </c>
      <c r="R5242">
        <v>362.4</v>
      </c>
      <c r="S5242" t="s">
        <v>10259</v>
      </c>
      <c r="T5242" t="s">
        <v>30</v>
      </c>
      <c r="U5242" t="s">
        <v>26044</v>
      </c>
      <c r="W5242" t="s">
        <v>26009</v>
      </c>
    </row>
    <row r="5243" spans="1:23" x14ac:dyDescent="0.35">
      <c r="A5243">
        <v>1596534</v>
      </c>
      <c r="B5243" t="s">
        <v>44339</v>
      </c>
      <c r="C5243" t="str">
        <f>"9781560239659"</f>
        <v>9781560239659</v>
      </c>
      <c r="D5243" t="str">
        <f>"9781317765899"</f>
        <v>9781317765899</v>
      </c>
      <c r="E5243" t="s">
        <v>26010</v>
      </c>
      <c r="F5243" t="s">
        <v>35</v>
      </c>
      <c r="G5243" t="s">
        <v>26201</v>
      </c>
      <c r="H5243" t="s">
        <v>26011</v>
      </c>
      <c r="I5243" s="26">
        <v>36404</v>
      </c>
      <c r="J5243">
        <v>1999</v>
      </c>
      <c r="K5243" t="s">
        <v>26012</v>
      </c>
      <c r="L5243">
        <v>126</v>
      </c>
      <c r="M5243" t="s">
        <v>44340</v>
      </c>
      <c r="N5243">
        <v>1</v>
      </c>
      <c r="Q5243" t="s">
        <v>44341</v>
      </c>
      <c r="R5243" t="s">
        <v>41739</v>
      </c>
      <c r="S5243" t="s">
        <v>44342</v>
      </c>
      <c r="T5243" t="s">
        <v>30</v>
      </c>
      <c r="U5243" t="s">
        <v>26044</v>
      </c>
      <c r="W5243" t="s">
        <v>26009</v>
      </c>
    </row>
    <row r="5244" spans="1:23" x14ac:dyDescent="0.35">
      <c r="A5244">
        <v>1596595</v>
      </c>
      <c r="B5244" t="s">
        <v>44343</v>
      </c>
      <c r="C5244" t="str">
        <f>"9781560248774"</f>
        <v>9781560248774</v>
      </c>
      <c r="D5244" t="str">
        <f>"9781317764090"</f>
        <v>9781317764090</v>
      </c>
      <c r="E5244" t="s">
        <v>26010</v>
      </c>
      <c r="F5244" t="s">
        <v>35</v>
      </c>
      <c r="G5244" t="s">
        <v>22174</v>
      </c>
      <c r="H5244" t="s">
        <v>26011</v>
      </c>
      <c r="I5244" s="26">
        <v>34669</v>
      </c>
      <c r="J5244">
        <v>1994</v>
      </c>
      <c r="K5244" t="s">
        <v>26012</v>
      </c>
      <c r="L5244">
        <v>179</v>
      </c>
      <c r="M5244" t="s">
        <v>44344</v>
      </c>
      <c r="N5244">
        <v>1</v>
      </c>
      <c r="Q5244" t="s">
        <v>44345</v>
      </c>
      <c r="R5244">
        <v>259.509747</v>
      </c>
      <c r="S5244" t="s">
        <v>44346</v>
      </c>
      <c r="T5244" t="s">
        <v>30</v>
      </c>
      <c r="U5244" t="s">
        <v>11247</v>
      </c>
      <c r="W5244" t="s">
        <v>26009</v>
      </c>
    </row>
    <row r="5245" spans="1:23" x14ac:dyDescent="0.35">
      <c r="A5245">
        <v>1596642</v>
      </c>
      <c r="B5245" t="s">
        <v>7987</v>
      </c>
      <c r="C5245" t="str">
        <f>"9781559590303"</f>
        <v>9781559590303</v>
      </c>
      <c r="D5245" t="str">
        <f>"9781317706281"</f>
        <v>9781317706281</v>
      </c>
      <c r="E5245" t="s">
        <v>26010</v>
      </c>
      <c r="F5245" t="s">
        <v>35</v>
      </c>
      <c r="G5245" t="s">
        <v>26201</v>
      </c>
      <c r="H5245" t="s">
        <v>26011</v>
      </c>
      <c r="I5245" s="26">
        <v>33420</v>
      </c>
      <c r="J5245">
        <v>1991</v>
      </c>
      <c r="K5245" t="s">
        <v>26012</v>
      </c>
      <c r="L5245">
        <v>362</v>
      </c>
      <c r="M5245" t="s">
        <v>44347</v>
      </c>
      <c r="N5245">
        <v>1</v>
      </c>
      <c r="Q5245" t="s">
        <v>44348</v>
      </c>
      <c r="R5245">
        <v>373.14</v>
      </c>
      <c r="S5245" t="s">
        <v>44349</v>
      </c>
      <c r="T5245" t="s">
        <v>30</v>
      </c>
      <c r="U5245" t="s">
        <v>337</v>
      </c>
      <c r="W5245" t="s">
        <v>26009</v>
      </c>
    </row>
    <row r="5246" spans="1:23" x14ac:dyDescent="0.35">
      <c r="A5246">
        <v>1596743</v>
      </c>
      <c r="B5246" t="s">
        <v>44350</v>
      </c>
      <c r="C5246" t="str">
        <f>"9781560233107"</f>
        <v>9781560233107</v>
      </c>
      <c r="D5246" t="str">
        <f>"9781317712886"</f>
        <v>9781317712886</v>
      </c>
      <c r="E5246" t="s">
        <v>26010</v>
      </c>
      <c r="F5246" t="s">
        <v>35</v>
      </c>
      <c r="G5246" t="s">
        <v>26201</v>
      </c>
      <c r="H5246" t="s">
        <v>26011</v>
      </c>
      <c r="I5246" s="26">
        <v>37704</v>
      </c>
      <c r="J5246">
        <v>2003</v>
      </c>
      <c r="K5246" t="s">
        <v>26012</v>
      </c>
      <c r="L5246">
        <v>176</v>
      </c>
      <c r="M5246" t="s">
        <v>44351</v>
      </c>
      <c r="N5246">
        <v>1</v>
      </c>
      <c r="Q5246" t="s">
        <v>44352</v>
      </c>
      <c r="R5246">
        <v>362.20866430000001</v>
      </c>
      <c r="S5246" t="s">
        <v>44353</v>
      </c>
      <c r="T5246" t="s">
        <v>30</v>
      </c>
      <c r="U5246" t="s">
        <v>29209</v>
      </c>
      <c r="W5246" t="s">
        <v>26009</v>
      </c>
    </row>
    <row r="5247" spans="1:23" x14ac:dyDescent="0.35">
      <c r="A5247">
        <v>1596761</v>
      </c>
      <c r="B5247" t="s">
        <v>7926</v>
      </c>
      <c r="C5247" t="str">
        <f>"9780898590371"</f>
        <v>9780898590371</v>
      </c>
      <c r="D5247" t="str">
        <f>"9781317770152"</f>
        <v>9781317770152</v>
      </c>
      <c r="E5247" t="s">
        <v>26010</v>
      </c>
      <c r="F5247" t="s">
        <v>35</v>
      </c>
      <c r="G5247" t="s">
        <v>22174</v>
      </c>
      <c r="H5247" t="s">
        <v>26011</v>
      </c>
      <c r="I5247" s="26">
        <v>29434</v>
      </c>
      <c r="J5247">
        <v>1980</v>
      </c>
      <c r="K5247" t="s">
        <v>660</v>
      </c>
      <c r="L5247">
        <v>321</v>
      </c>
      <c r="M5247" t="s">
        <v>44354</v>
      </c>
      <c r="N5247">
        <v>1</v>
      </c>
      <c r="O5247" t="s">
        <v>31203</v>
      </c>
      <c r="Q5247" t="s">
        <v>44355</v>
      </c>
      <c r="R5247">
        <v>156</v>
      </c>
      <c r="S5247" t="s">
        <v>44356</v>
      </c>
      <c r="T5247" t="s">
        <v>30</v>
      </c>
      <c r="U5247" t="s">
        <v>46</v>
      </c>
      <c r="W5247" t="s">
        <v>26009</v>
      </c>
    </row>
    <row r="5248" spans="1:23" x14ac:dyDescent="0.35">
      <c r="A5248">
        <v>1597004</v>
      </c>
      <c r="B5248" t="s">
        <v>44357</v>
      </c>
      <c r="C5248" t="str">
        <f>"9780520275690"</f>
        <v>9780520275690</v>
      </c>
      <c r="D5248" t="str">
        <f>"9780520958173"</f>
        <v>9780520958173</v>
      </c>
      <c r="E5248" t="s">
        <v>1612</v>
      </c>
      <c r="F5248" t="s">
        <v>1612</v>
      </c>
      <c r="G5248" t="s">
        <v>22630</v>
      </c>
      <c r="H5248" t="s">
        <v>26004</v>
      </c>
      <c r="I5248" s="26">
        <v>41760</v>
      </c>
      <c r="J5248">
        <v>2014</v>
      </c>
      <c r="K5248" t="s">
        <v>1612</v>
      </c>
      <c r="L5248">
        <v>156</v>
      </c>
      <c r="M5248" t="s">
        <v>44358</v>
      </c>
      <c r="N5248">
        <v>1</v>
      </c>
      <c r="Q5248" t="s">
        <v>44359</v>
      </c>
      <c r="R5248">
        <v>394.13</v>
      </c>
      <c r="S5248" t="s">
        <v>44360</v>
      </c>
      <c r="T5248" t="s">
        <v>30</v>
      </c>
      <c r="U5248" t="s">
        <v>26044</v>
      </c>
      <c r="W5248" t="s">
        <v>26009</v>
      </c>
    </row>
    <row r="5249" spans="1:23" x14ac:dyDescent="0.35">
      <c r="A5249">
        <v>1597191</v>
      </c>
      <c r="B5249" t="s">
        <v>44361</v>
      </c>
      <c r="C5249" t="str">
        <f>"9780803249523"</f>
        <v>9780803249523</v>
      </c>
      <c r="D5249" t="str">
        <f>"9780803254022"</f>
        <v>9780803254022</v>
      </c>
      <c r="E5249" t="s">
        <v>30383</v>
      </c>
      <c r="F5249" t="s">
        <v>8304</v>
      </c>
      <c r="G5249" t="s">
        <v>25437</v>
      </c>
      <c r="H5249" t="s">
        <v>26004</v>
      </c>
      <c r="I5249" s="26">
        <v>41699</v>
      </c>
      <c r="J5249">
        <v>2014</v>
      </c>
      <c r="K5249" t="s">
        <v>6414</v>
      </c>
      <c r="L5249">
        <v>115</v>
      </c>
      <c r="M5249" t="s">
        <v>44362</v>
      </c>
      <c r="N5249">
        <v>1</v>
      </c>
      <c r="O5249" t="s">
        <v>44363</v>
      </c>
      <c r="Q5249" t="s">
        <v>44364</v>
      </c>
      <c r="R5249">
        <v>306.88200000000001</v>
      </c>
      <c r="S5249" t="s">
        <v>44365</v>
      </c>
      <c r="T5249" t="s">
        <v>30</v>
      </c>
      <c r="U5249" t="s">
        <v>26044</v>
      </c>
      <c r="W5249" t="s">
        <v>26009</v>
      </c>
    </row>
    <row r="5250" spans="1:23" x14ac:dyDescent="0.35">
      <c r="A5250">
        <v>1597571</v>
      </c>
      <c r="B5250" t="s">
        <v>10295</v>
      </c>
      <c r="C5250" t="str">
        <f>"9783110351927"</f>
        <v>9783110351927</v>
      </c>
      <c r="D5250" t="str">
        <f>"9783110352610"</f>
        <v>9783110352610</v>
      </c>
      <c r="E5250" t="s">
        <v>30630</v>
      </c>
      <c r="F5250" t="s">
        <v>7451</v>
      </c>
      <c r="G5250" t="s">
        <v>30631</v>
      </c>
      <c r="H5250" t="s">
        <v>30632</v>
      </c>
      <c r="I5250" s="26">
        <v>41806</v>
      </c>
      <c r="J5250">
        <v>2014</v>
      </c>
      <c r="K5250" t="s">
        <v>7451</v>
      </c>
      <c r="L5250">
        <v>140</v>
      </c>
      <c r="M5250" t="s">
        <v>44366</v>
      </c>
      <c r="N5250">
        <v>1</v>
      </c>
      <c r="O5250" t="s">
        <v>44367</v>
      </c>
      <c r="P5250">
        <v>5</v>
      </c>
      <c r="R5250" t="s">
        <v>37697</v>
      </c>
      <c r="S5250" t="s">
        <v>44368</v>
      </c>
      <c r="T5250" t="s">
        <v>30</v>
      </c>
      <c r="U5250" t="s">
        <v>26044</v>
      </c>
      <c r="W5250" t="s">
        <v>26009</v>
      </c>
    </row>
    <row r="5251" spans="1:23" x14ac:dyDescent="0.35">
      <c r="A5251">
        <v>1598290</v>
      </c>
      <c r="B5251" t="s">
        <v>44369</v>
      </c>
      <c r="C5251" t="str">
        <f>"9781412916295"</f>
        <v>9781412916295</v>
      </c>
      <c r="D5251" t="str">
        <f>"9781452245072"</f>
        <v>9781452245072</v>
      </c>
      <c r="E5251" t="s">
        <v>40883</v>
      </c>
      <c r="F5251" t="s">
        <v>7434</v>
      </c>
      <c r="G5251" t="s">
        <v>22194</v>
      </c>
      <c r="H5251" t="s">
        <v>26004</v>
      </c>
      <c r="I5251" s="26">
        <v>39043</v>
      </c>
      <c r="J5251">
        <v>2007</v>
      </c>
      <c r="K5251" t="s">
        <v>7434</v>
      </c>
      <c r="L5251">
        <v>473</v>
      </c>
      <c r="M5251" t="s">
        <v>44370</v>
      </c>
      <c r="N5251">
        <v>1</v>
      </c>
      <c r="Q5251" t="s">
        <v>44371</v>
      </c>
      <c r="R5251" t="s">
        <v>26562</v>
      </c>
      <c r="T5251" t="s">
        <v>30</v>
      </c>
      <c r="U5251" t="s">
        <v>46</v>
      </c>
      <c r="W5251" t="s">
        <v>26009</v>
      </c>
    </row>
    <row r="5252" spans="1:23" x14ac:dyDescent="0.35">
      <c r="A5252">
        <v>1598293</v>
      </c>
      <c r="B5252" t="s">
        <v>44372</v>
      </c>
      <c r="C5252" t="str">
        <f>"9781412904223"</f>
        <v>9781412904223</v>
      </c>
      <c r="D5252" t="str">
        <f>"9781452245287"</f>
        <v>9781452245287</v>
      </c>
      <c r="E5252" t="s">
        <v>40883</v>
      </c>
      <c r="F5252" t="s">
        <v>7434</v>
      </c>
      <c r="G5252" t="s">
        <v>22194</v>
      </c>
      <c r="H5252" t="s">
        <v>26004</v>
      </c>
      <c r="I5252" s="26">
        <v>39225</v>
      </c>
      <c r="J5252">
        <v>2007</v>
      </c>
      <c r="K5252" t="s">
        <v>7434</v>
      </c>
      <c r="L5252">
        <v>417</v>
      </c>
      <c r="M5252" t="s">
        <v>44373</v>
      </c>
      <c r="N5252">
        <v>1</v>
      </c>
      <c r="T5252" t="s">
        <v>30</v>
      </c>
      <c r="U5252" t="s">
        <v>46</v>
      </c>
      <c r="W5252" t="s">
        <v>26009</v>
      </c>
    </row>
    <row r="5253" spans="1:23" x14ac:dyDescent="0.35">
      <c r="A5253">
        <v>1598295</v>
      </c>
      <c r="B5253" t="s">
        <v>44374</v>
      </c>
      <c r="C5253" t="str">
        <f>"9780761925606"</f>
        <v>9780761925606</v>
      </c>
      <c r="D5253" t="str">
        <f>"9781452245508"</f>
        <v>9781452245508</v>
      </c>
      <c r="E5253" t="s">
        <v>40883</v>
      </c>
      <c r="F5253" t="s">
        <v>7434</v>
      </c>
      <c r="G5253" t="s">
        <v>22194</v>
      </c>
      <c r="H5253" t="s">
        <v>26004</v>
      </c>
      <c r="I5253" s="26">
        <v>37636</v>
      </c>
      <c r="J5253">
        <v>2003</v>
      </c>
      <c r="K5253" t="s">
        <v>7434</v>
      </c>
      <c r="L5253">
        <v>385</v>
      </c>
      <c r="M5253" t="s">
        <v>44375</v>
      </c>
      <c r="N5253">
        <v>1</v>
      </c>
      <c r="Q5253" t="s">
        <v>44376</v>
      </c>
      <c r="T5253" t="s">
        <v>30</v>
      </c>
      <c r="U5253" t="s">
        <v>46</v>
      </c>
      <c r="W5253" t="s">
        <v>26009</v>
      </c>
    </row>
    <row r="5254" spans="1:23" x14ac:dyDescent="0.35">
      <c r="A5254">
        <v>1598297</v>
      </c>
      <c r="B5254" t="s">
        <v>44377</v>
      </c>
      <c r="C5254" t="str">
        <f>"9780761927327"</f>
        <v>9780761927327</v>
      </c>
      <c r="D5254" t="str">
        <f>"9781452245638"</f>
        <v>9781452245638</v>
      </c>
      <c r="E5254" t="s">
        <v>40883</v>
      </c>
      <c r="F5254" t="s">
        <v>7434</v>
      </c>
      <c r="G5254" t="s">
        <v>22194</v>
      </c>
      <c r="H5254" t="s">
        <v>26004</v>
      </c>
      <c r="I5254" s="26">
        <v>37574</v>
      </c>
      <c r="J5254">
        <v>2002</v>
      </c>
      <c r="K5254" t="s">
        <v>7434</v>
      </c>
      <c r="L5254">
        <v>401</v>
      </c>
      <c r="M5254" t="s">
        <v>44378</v>
      </c>
      <c r="N5254">
        <v>1</v>
      </c>
      <c r="Q5254" t="s">
        <v>44379</v>
      </c>
      <c r="R5254">
        <v>306.77</v>
      </c>
      <c r="T5254" t="s">
        <v>30</v>
      </c>
      <c r="U5254" t="s">
        <v>26044</v>
      </c>
      <c r="W5254" t="s">
        <v>26009</v>
      </c>
    </row>
    <row r="5255" spans="1:23" x14ac:dyDescent="0.35">
      <c r="A5255">
        <v>1598326</v>
      </c>
      <c r="B5255" t="s">
        <v>44380</v>
      </c>
      <c r="C5255" t="str">
        <f>"9781412994347"</f>
        <v>9781412994347</v>
      </c>
      <c r="D5255" t="str">
        <f>"9781412999243"</f>
        <v>9781412999243</v>
      </c>
      <c r="E5255" t="s">
        <v>40883</v>
      </c>
      <c r="F5255" t="s">
        <v>7434</v>
      </c>
      <c r="G5255" t="s">
        <v>22194</v>
      </c>
      <c r="H5255" t="s">
        <v>26004</v>
      </c>
      <c r="I5255" s="26">
        <v>40550</v>
      </c>
      <c r="J5255">
        <v>2012</v>
      </c>
      <c r="K5255" t="s">
        <v>7434</v>
      </c>
      <c r="L5255">
        <v>337</v>
      </c>
      <c r="M5255" t="s">
        <v>44381</v>
      </c>
      <c r="N5255">
        <v>1</v>
      </c>
      <c r="R5255">
        <v>362.70972999999998</v>
      </c>
      <c r="T5255" t="s">
        <v>30</v>
      </c>
      <c r="U5255" t="s">
        <v>26044</v>
      </c>
      <c r="W5255" t="s">
        <v>26009</v>
      </c>
    </row>
    <row r="5256" spans="1:23" x14ac:dyDescent="0.35">
      <c r="A5256">
        <v>1598330</v>
      </c>
      <c r="B5256" t="s">
        <v>44382</v>
      </c>
      <c r="C5256" t="str">
        <f>"9781412987219"</f>
        <v>9781412987219</v>
      </c>
      <c r="D5256" t="str">
        <f>"9781452224190"</f>
        <v>9781452224190</v>
      </c>
      <c r="E5256" t="s">
        <v>40883</v>
      </c>
      <c r="F5256" t="s">
        <v>7434</v>
      </c>
      <c r="G5256" t="s">
        <v>22194</v>
      </c>
      <c r="H5256" t="s">
        <v>26004</v>
      </c>
      <c r="I5256" s="26">
        <v>40567</v>
      </c>
      <c r="J5256">
        <v>2012</v>
      </c>
      <c r="K5256" t="s">
        <v>7434</v>
      </c>
      <c r="L5256">
        <v>393</v>
      </c>
      <c r="M5256" t="s">
        <v>44383</v>
      </c>
      <c r="N5256">
        <v>1</v>
      </c>
      <c r="T5256" t="s">
        <v>30</v>
      </c>
      <c r="U5256" t="s">
        <v>46</v>
      </c>
      <c r="W5256" t="s">
        <v>26009</v>
      </c>
    </row>
    <row r="5257" spans="1:23" x14ac:dyDescent="0.35">
      <c r="A5257">
        <v>1598333</v>
      </c>
      <c r="B5257" t="s">
        <v>44384</v>
      </c>
      <c r="C5257" t="str">
        <f>"9781412970761"</f>
        <v>9781412970761</v>
      </c>
      <c r="D5257" t="str">
        <f>"9781452223384"</f>
        <v>9781452223384</v>
      </c>
      <c r="E5257" t="s">
        <v>40883</v>
      </c>
      <c r="F5257" t="s">
        <v>7434</v>
      </c>
      <c r="G5257" t="s">
        <v>22194</v>
      </c>
      <c r="H5257" t="s">
        <v>26004</v>
      </c>
      <c r="I5257" s="26">
        <v>40511</v>
      </c>
      <c r="J5257">
        <v>2011</v>
      </c>
      <c r="K5257" t="s">
        <v>7434</v>
      </c>
      <c r="L5257">
        <v>377</v>
      </c>
      <c r="M5257" t="s">
        <v>44385</v>
      </c>
      <c r="N5257">
        <v>1</v>
      </c>
      <c r="T5257" t="s">
        <v>30</v>
      </c>
      <c r="U5257" t="s">
        <v>46</v>
      </c>
      <c r="W5257" t="s">
        <v>26009</v>
      </c>
    </row>
    <row r="5258" spans="1:23" x14ac:dyDescent="0.35">
      <c r="A5258">
        <v>1598338</v>
      </c>
      <c r="B5258" t="s">
        <v>44386</v>
      </c>
      <c r="C5258" t="str">
        <f>"9780803948808"</f>
        <v>9780803948808</v>
      </c>
      <c r="D5258" t="str">
        <f>"9781452255323"</f>
        <v>9781452255323</v>
      </c>
      <c r="E5258" t="s">
        <v>40883</v>
      </c>
      <c r="F5258" t="s">
        <v>7434</v>
      </c>
      <c r="G5258" t="s">
        <v>22194</v>
      </c>
      <c r="H5258" t="s">
        <v>26004</v>
      </c>
      <c r="I5258" s="26">
        <v>34668</v>
      </c>
      <c r="J5258">
        <v>1994</v>
      </c>
      <c r="K5258" t="s">
        <v>7434</v>
      </c>
      <c r="L5258">
        <v>161</v>
      </c>
      <c r="M5258" t="s">
        <v>44387</v>
      </c>
      <c r="N5258">
        <v>1</v>
      </c>
      <c r="O5258" t="s">
        <v>41274</v>
      </c>
      <c r="Q5258" t="s">
        <v>44388</v>
      </c>
      <c r="R5258" t="s">
        <v>30488</v>
      </c>
      <c r="T5258" t="s">
        <v>30</v>
      </c>
      <c r="U5258" t="s">
        <v>28384</v>
      </c>
      <c r="W5258" t="s">
        <v>26009</v>
      </c>
    </row>
    <row r="5259" spans="1:23" x14ac:dyDescent="0.35">
      <c r="A5259">
        <v>1598339</v>
      </c>
      <c r="B5259" t="s">
        <v>44389</v>
      </c>
      <c r="C5259" t="str">
        <f>"9780803970694"</f>
        <v>9780803970694</v>
      </c>
      <c r="D5259" t="str">
        <f>"9781452255354"</f>
        <v>9781452255354</v>
      </c>
      <c r="E5259" t="s">
        <v>40883</v>
      </c>
      <c r="F5259" t="s">
        <v>7434</v>
      </c>
      <c r="G5259" t="s">
        <v>22194</v>
      </c>
      <c r="H5259" t="s">
        <v>26004</v>
      </c>
      <c r="I5259" s="26">
        <v>34687</v>
      </c>
      <c r="J5259">
        <v>1994</v>
      </c>
      <c r="K5259" t="s">
        <v>7434</v>
      </c>
      <c r="L5259">
        <v>175</v>
      </c>
      <c r="M5259" t="s">
        <v>11535</v>
      </c>
      <c r="N5259">
        <v>1</v>
      </c>
      <c r="Q5259" t="s">
        <v>44390</v>
      </c>
      <c r="R5259" t="s">
        <v>44391</v>
      </c>
      <c r="T5259" t="s">
        <v>30</v>
      </c>
      <c r="U5259" t="s">
        <v>26044</v>
      </c>
      <c r="W5259" t="s">
        <v>26009</v>
      </c>
    </row>
    <row r="5260" spans="1:23" x14ac:dyDescent="0.35">
      <c r="A5260">
        <v>1598347</v>
      </c>
      <c r="B5260" t="s">
        <v>44392</v>
      </c>
      <c r="C5260" t="str">
        <f>"9780803954427"</f>
        <v>9780803954427</v>
      </c>
      <c r="D5260" t="str">
        <f>"9781452255149"</f>
        <v>9781452255149</v>
      </c>
      <c r="E5260" t="s">
        <v>40883</v>
      </c>
      <c r="F5260" t="s">
        <v>7434</v>
      </c>
      <c r="G5260" t="s">
        <v>22194</v>
      </c>
      <c r="H5260" t="s">
        <v>26004</v>
      </c>
      <c r="I5260" s="26">
        <v>34610</v>
      </c>
      <c r="J5260">
        <v>1994</v>
      </c>
      <c r="K5260" t="s">
        <v>7434</v>
      </c>
      <c r="L5260">
        <v>257</v>
      </c>
      <c r="M5260" t="s">
        <v>44393</v>
      </c>
      <c r="N5260">
        <v>1</v>
      </c>
      <c r="Q5260" t="s">
        <v>44394</v>
      </c>
      <c r="R5260" t="s">
        <v>44395</v>
      </c>
      <c r="T5260" t="s">
        <v>30</v>
      </c>
      <c r="U5260" t="s">
        <v>26044</v>
      </c>
      <c r="W5260" t="s">
        <v>26009</v>
      </c>
    </row>
    <row r="5261" spans="1:23" x14ac:dyDescent="0.35">
      <c r="A5261">
        <v>1598355</v>
      </c>
      <c r="B5261" t="s">
        <v>44396</v>
      </c>
      <c r="C5261" t="str">
        <f>"9780803939615"</f>
        <v>9780803939615</v>
      </c>
      <c r="D5261" t="str">
        <f>"9781452252902"</f>
        <v>9781452252902</v>
      </c>
      <c r="E5261" t="s">
        <v>40883</v>
      </c>
      <c r="F5261" t="s">
        <v>7434</v>
      </c>
      <c r="G5261" t="s">
        <v>22194</v>
      </c>
      <c r="H5261" t="s">
        <v>26004</v>
      </c>
      <c r="I5261" s="26">
        <v>33295</v>
      </c>
      <c r="J5261">
        <v>1991</v>
      </c>
      <c r="K5261" t="s">
        <v>7434</v>
      </c>
      <c r="L5261">
        <v>257</v>
      </c>
      <c r="M5261" t="s">
        <v>44397</v>
      </c>
      <c r="N5261">
        <v>1</v>
      </c>
      <c r="Q5261" t="s">
        <v>44398</v>
      </c>
      <c r="R5261" t="s">
        <v>44399</v>
      </c>
      <c r="T5261" t="s">
        <v>30</v>
      </c>
      <c r="U5261" t="s">
        <v>26044</v>
      </c>
      <c r="W5261" t="s">
        <v>26009</v>
      </c>
    </row>
    <row r="5262" spans="1:23" x14ac:dyDescent="0.35">
      <c r="A5262">
        <v>1598358</v>
      </c>
      <c r="B5262" t="s">
        <v>44400</v>
      </c>
      <c r="C5262" t="str">
        <f>"9780803941830"</f>
        <v>9780803941830</v>
      </c>
      <c r="D5262" t="str">
        <f>"9781452253305"</f>
        <v>9781452253305</v>
      </c>
      <c r="E5262" t="s">
        <v>40883</v>
      </c>
      <c r="F5262" t="s">
        <v>7434</v>
      </c>
      <c r="G5262" t="s">
        <v>22194</v>
      </c>
      <c r="H5262" t="s">
        <v>26004</v>
      </c>
      <c r="I5262" s="26">
        <v>33417</v>
      </c>
      <c r="J5262">
        <v>1991</v>
      </c>
      <c r="K5262" t="s">
        <v>7434</v>
      </c>
      <c r="L5262">
        <v>267</v>
      </c>
      <c r="M5262" t="s">
        <v>44401</v>
      </c>
      <c r="N5262">
        <v>1</v>
      </c>
      <c r="Q5262" t="s">
        <v>44402</v>
      </c>
      <c r="R5262">
        <v>306.81</v>
      </c>
      <c r="T5262" t="s">
        <v>30</v>
      </c>
      <c r="U5262" t="s">
        <v>26044</v>
      </c>
      <c r="W5262" t="s">
        <v>26009</v>
      </c>
    </row>
    <row r="5263" spans="1:23" x14ac:dyDescent="0.35">
      <c r="A5263">
        <v>1598363</v>
      </c>
      <c r="B5263" t="s">
        <v>44403</v>
      </c>
      <c r="C5263" t="str">
        <f>"9780803927742"</f>
        <v>9780803927742</v>
      </c>
      <c r="D5263" t="str">
        <f>"9781452253343"</f>
        <v>9781452253343</v>
      </c>
      <c r="E5263" t="s">
        <v>40883</v>
      </c>
      <c r="F5263" t="s">
        <v>7434</v>
      </c>
      <c r="G5263" t="s">
        <v>22194</v>
      </c>
      <c r="H5263" t="s">
        <v>26004</v>
      </c>
      <c r="I5263" s="26">
        <v>33534</v>
      </c>
      <c r="J5263">
        <v>1991</v>
      </c>
      <c r="K5263" t="s">
        <v>7434</v>
      </c>
      <c r="L5263">
        <v>379</v>
      </c>
      <c r="M5263" t="s">
        <v>43114</v>
      </c>
      <c r="N5263">
        <v>2</v>
      </c>
      <c r="Q5263" t="s">
        <v>44404</v>
      </c>
      <c r="R5263">
        <v>150</v>
      </c>
      <c r="T5263" t="s">
        <v>30</v>
      </c>
      <c r="U5263" t="s">
        <v>46</v>
      </c>
      <c r="W5263" t="s">
        <v>26009</v>
      </c>
    </row>
    <row r="5264" spans="1:23" x14ac:dyDescent="0.35">
      <c r="A5264">
        <v>1598369</v>
      </c>
      <c r="B5264" t="s">
        <v>44405</v>
      </c>
      <c r="C5264" t="str">
        <f>"9780803949188"</f>
        <v>9780803949188</v>
      </c>
      <c r="D5264" t="str">
        <f>"9781452253985"</f>
        <v>9781452253985</v>
      </c>
      <c r="E5264" t="s">
        <v>40883</v>
      </c>
      <c r="F5264" t="s">
        <v>7434</v>
      </c>
      <c r="G5264" t="s">
        <v>22194</v>
      </c>
      <c r="H5264" t="s">
        <v>26004</v>
      </c>
      <c r="I5264" s="26">
        <v>34052</v>
      </c>
      <c r="J5264">
        <v>1993</v>
      </c>
      <c r="K5264" t="s">
        <v>7434</v>
      </c>
      <c r="L5264">
        <v>275</v>
      </c>
      <c r="M5264" t="s">
        <v>44406</v>
      </c>
      <c r="N5264">
        <v>1</v>
      </c>
      <c r="Q5264" t="s">
        <v>44407</v>
      </c>
      <c r="R5264">
        <v>362.1</v>
      </c>
      <c r="T5264" t="s">
        <v>30</v>
      </c>
      <c r="U5264" t="s">
        <v>26094</v>
      </c>
      <c r="W5264" t="s">
        <v>26009</v>
      </c>
    </row>
    <row r="5265" spans="1:23" x14ac:dyDescent="0.35">
      <c r="A5265">
        <v>1598374</v>
      </c>
      <c r="B5265" t="s">
        <v>44408</v>
      </c>
      <c r="C5265" t="str">
        <f>"9780803939974"</f>
        <v>9780803939974</v>
      </c>
      <c r="D5265" t="str">
        <f>"9781452253152"</f>
        <v>9781452253152</v>
      </c>
      <c r="E5265" t="s">
        <v>40883</v>
      </c>
      <c r="F5265" t="s">
        <v>7434</v>
      </c>
      <c r="G5265" t="s">
        <v>22194</v>
      </c>
      <c r="H5265" t="s">
        <v>26004</v>
      </c>
      <c r="I5265" s="26">
        <v>33526</v>
      </c>
      <c r="J5265">
        <v>1991</v>
      </c>
      <c r="K5265" t="s">
        <v>7434</v>
      </c>
      <c r="L5265">
        <v>169</v>
      </c>
      <c r="M5265" t="s">
        <v>44409</v>
      </c>
      <c r="N5265">
        <v>1</v>
      </c>
      <c r="O5265" t="s">
        <v>40895</v>
      </c>
      <c r="Q5265" t="s">
        <v>44410</v>
      </c>
      <c r="R5265">
        <v>618.9289</v>
      </c>
      <c r="T5265" t="s">
        <v>30</v>
      </c>
      <c r="U5265" t="s">
        <v>26019</v>
      </c>
      <c r="W5265" t="s">
        <v>26009</v>
      </c>
    </row>
    <row r="5266" spans="1:23" x14ac:dyDescent="0.35">
      <c r="A5266">
        <v>1598375</v>
      </c>
      <c r="B5266" t="s">
        <v>44411</v>
      </c>
      <c r="C5266" t="str">
        <f>"9780803936836"</f>
        <v>9780803936836</v>
      </c>
      <c r="D5266" t="str">
        <f>"9781452253176"</f>
        <v>9781452253176</v>
      </c>
      <c r="E5266" t="s">
        <v>40883</v>
      </c>
      <c r="F5266" t="s">
        <v>7434</v>
      </c>
      <c r="G5266" t="s">
        <v>22194</v>
      </c>
      <c r="H5266" t="s">
        <v>26004</v>
      </c>
      <c r="I5266" s="26">
        <v>33498</v>
      </c>
      <c r="J5266">
        <v>1991</v>
      </c>
      <c r="K5266" t="s">
        <v>7434</v>
      </c>
      <c r="L5266">
        <v>113</v>
      </c>
      <c r="M5266" t="s">
        <v>44412</v>
      </c>
      <c r="N5266">
        <v>1</v>
      </c>
      <c r="O5266" t="s">
        <v>40895</v>
      </c>
      <c r="Q5266" t="s">
        <v>44413</v>
      </c>
      <c r="R5266">
        <v>618.92852600000003</v>
      </c>
      <c r="T5266" t="s">
        <v>30</v>
      </c>
      <c r="U5266" t="s">
        <v>26019</v>
      </c>
      <c r="W5266" t="s">
        <v>26009</v>
      </c>
    </row>
    <row r="5267" spans="1:23" x14ac:dyDescent="0.35">
      <c r="A5267">
        <v>1598377</v>
      </c>
      <c r="B5267" t="s">
        <v>44414</v>
      </c>
      <c r="C5267" t="str">
        <f>"9780803937741"</f>
        <v>9780803937741</v>
      </c>
      <c r="D5267" t="str">
        <f>"9781452253077"</f>
        <v>9781452253077</v>
      </c>
      <c r="E5267" t="s">
        <v>40883</v>
      </c>
      <c r="F5267" t="s">
        <v>7434</v>
      </c>
      <c r="G5267" t="s">
        <v>22194</v>
      </c>
      <c r="H5267" t="s">
        <v>26004</v>
      </c>
      <c r="I5267" s="26">
        <v>33660</v>
      </c>
      <c r="J5267">
        <v>1992</v>
      </c>
      <c r="K5267" t="s">
        <v>7434</v>
      </c>
      <c r="L5267">
        <v>257</v>
      </c>
      <c r="M5267" t="s">
        <v>41175</v>
      </c>
      <c r="N5267">
        <v>1</v>
      </c>
      <c r="O5267" t="s">
        <v>41090</v>
      </c>
      <c r="Q5267" t="s">
        <v>44415</v>
      </c>
      <c r="R5267">
        <v>302.34080999999998</v>
      </c>
      <c r="T5267" t="s">
        <v>30</v>
      </c>
      <c r="U5267" t="s">
        <v>26044</v>
      </c>
      <c r="W5267" t="s">
        <v>26009</v>
      </c>
    </row>
    <row r="5268" spans="1:23" x14ac:dyDescent="0.35">
      <c r="A5268">
        <v>1598391</v>
      </c>
      <c r="B5268" t="s">
        <v>44416</v>
      </c>
      <c r="C5268" t="str">
        <f>"9780803951969"</f>
        <v>9780803951969</v>
      </c>
      <c r="D5268" t="str">
        <f>"9781452254623"</f>
        <v>9781452254623</v>
      </c>
      <c r="E5268" t="s">
        <v>40883</v>
      </c>
      <c r="F5268" t="s">
        <v>7434</v>
      </c>
      <c r="G5268" t="s">
        <v>22194</v>
      </c>
      <c r="H5268" t="s">
        <v>26004</v>
      </c>
      <c r="I5268" s="26">
        <v>34323</v>
      </c>
      <c r="J5268">
        <v>1993</v>
      </c>
      <c r="K5268" t="s">
        <v>7434</v>
      </c>
      <c r="L5268">
        <v>169</v>
      </c>
      <c r="M5268" t="s">
        <v>44417</v>
      </c>
      <c r="N5268">
        <v>1</v>
      </c>
      <c r="O5268" t="s">
        <v>40895</v>
      </c>
      <c r="Q5268" t="s">
        <v>44418</v>
      </c>
      <c r="R5268" t="s">
        <v>33466</v>
      </c>
      <c r="T5268" t="s">
        <v>30</v>
      </c>
      <c r="U5268" t="s">
        <v>26116</v>
      </c>
      <c r="W5268" t="s">
        <v>26009</v>
      </c>
    </row>
    <row r="5269" spans="1:23" x14ac:dyDescent="0.35">
      <c r="A5269">
        <v>1598392</v>
      </c>
      <c r="B5269" t="s">
        <v>44419</v>
      </c>
      <c r="C5269" t="str">
        <f>"9780803953123"</f>
        <v>9780803953123</v>
      </c>
      <c r="D5269" t="str">
        <f>"9781452254630"</f>
        <v>9781452254630</v>
      </c>
      <c r="E5269" t="s">
        <v>40883</v>
      </c>
      <c r="F5269" t="s">
        <v>7434</v>
      </c>
      <c r="G5269" t="s">
        <v>22194</v>
      </c>
      <c r="H5269" t="s">
        <v>26004</v>
      </c>
      <c r="I5269" s="26">
        <v>34339</v>
      </c>
      <c r="J5269">
        <v>1994</v>
      </c>
      <c r="K5269" t="s">
        <v>7434</v>
      </c>
      <c r="L5269">
        <v>257</v>
      </c>
      <c r="M5269" t="s">
        <v>44420</v>
      </c>
      <c r="N5269">
        <v>1</v>
      </c>
      <c r="O5269" t="s">
        <v>41235</v>
      </c>
      <c r="Q5269" t="s">
        <v>44421</v>
      </c>
      <c r="T5269" t="s">
        <v>30</v>
      </c>
      <c r="U5269" t="s">
        <v>26044</v>
      </c>
      <c r="W5269" t="s">
        <v>26009</v>
      </c>
    </row>
    <row r="5270" spans="1:23" x14ac:dyDescent="0.35">
      <c r="A5270">
        <v>1598393</v>
      </c>
      <c r="B5270" t="s">
        <v>44422</v>
      </c>
      <c r="C5270" t="str">
        <f>"9780803953697"</f>
        <v>9780803953697</v>
      </c>
      <c r="D5270" t="str">
        <f>"9781452255002"</f>
        <v>9781452255002</v>
      </c>
      <c r="E5270" t="s">
        <v>40883</v>
      </c>
      <c r="F5270" t="s">
        <v>7434</v>
      </c>
      <c r="G5270" t="s">
        <v>22194</v>
      </c>
      <c r="H5270" t="s">
        <v>26004</v>
      </c>
      <c r="I5270" s="26">
        <v>34593</v>
      </c>
      <c r="J5270">
        <v>1994</v>
      </c>
      <c r="K5270" t="s">
        <v>7434</v>
      </c>
      <c r="L5270">
        <v>317</v>
      </c>
      <c r="M5270" t="s">
        <v>44423</v>
      </c>
      <c r="N5270">
        <v>1</v>
      </c>
      <c r="Q5270" t="s">
        <v>44424</v>
      </c>
      <c r="R5270" t="s">
        <v>27731</v>
      </c>
      <c r="T5270" t="s">
        <v>30</v>
      </c>
      <c r="U5270" t="s">
        <v>26509</v>
      </c>
      <c r="W5270" t="s">
        <v>26009</v>
      </c>
    </row>
    <row r="5271" spans="1:23" x14ac:dyDescent="0.35">
      <c r="A5271">
        <v>1598395</v>
      </c>
      <c r="B5271" t="s">
        <v>44425</v>
      </c>
      <c r="C5271" t="str">
        <f>"9780803952898"</f>
        <v>9780803952898</v>
      </c>
      <c r="D5271" t="str">
        <f>"9781452254944"</f>
        <v>9781452254944</v>
      </c>
      <c r="E5271" t="s">
        <v>40883</v>
      </c>
      <c r="F5271" t="s">
        <v>7434</v>
      </c>
      <c r="G5271" t="s">
        <v>22194</v>
      </c>
      <c r="H5271" t="s">
        <v>26004</v>
      </c>
      <c r="I5271" s="26">
        <v>34597</v>
      </c>
      <c r="J5271">
        <v>1994</v>
      </c>
      <c r="K5271" t="s">
        <v>7434</v>
      </c>
      <c r="L5271">
        <v>141</v>
      </c>
      <c r="M5271" t="s">
        <v>44426</v>
      </c>
      <c r="N5271">
        <v>1</v>
      </c>
      <c r="O5271" t="s">
        <v>40922</v>
      </c>
      <c r="Q5271" t="s">
        <v>44427</v>
      </c>
      <c r="T5271" t="s">
        <v>30</v>
      </c>
      <c r="U5271" t="s">
        <v>26044</v>
      </c>
      <c r="W5271" t="s">
        <v>26009</v>
      </c>
    </row>
    <row r="5272" spans="1:23" x14ac:dyDescent="0.35">
      <c r="A5272">
        <v>1598398</v>
      </c>
      <c r="B5272" t="s">
        <v>44428</v>
      </c>
      <c r="C5272" t="str">
        <f>"9780803956018"</f>
        <v>9780803956018</v>
      </c>
      <c r="D5272" t="str">
        <f>"9781452254722"</f>
        <v>9781452254722</v>
      </c>
      <c r="E5272" t="s">
        <v>40883</v>
      </c>
      <c r="F5272" t="s">
        <v>7434</v>
      </c>
      <c r="G5272" t="s">
        <v>22194</v>
      </c>
      <c r="H5272" t="s">
        <v>26004</v>
      </c>
      <c r="I5272" s="26">
        <v>34404</v>
      </c>
      <c r="J5272">
        <v>1994</v>
      </c>
      <c r="K5272" t="s">
        <v>7434</v>
      </c>
      <c r="L5272">
        <v>141</v>
      </c>
      <c r="M5272" t="s">
        <v>42803</v>
      </c>
      <c r="N5272">
        <v>1</v>
      </c>
      <c r="O5272" t="s">
        <v>44429</v>
      </c>
      <c r="Q5272" t="s">
        <v>44430</v>
      </c>
      <c r="R5272">
        <v>364.24</v>
      </c>
      <c r="T5272" t="s">
        <v>30</v>
      </c>
      <c r="U5272" t="s">
        <v>26044</v>
      </c>
      <c r="W5272" t="s">
        <v>26009</v>
      </c>
    </row>
    <row r="5273" spans="1:23" x14ac:dyDescent="0.35">
      <c r="A5273">
        <v>1598399</v>
      </c>
      <c r="B5273" t="s">
        <v>44431</v>
      </c>
      <c r="C5273" t="str">
        <f>"9780803955530"</f>
        <v>9780803955530</v>
      </c>
      <c r="D5273" t="str">
        <f>"9781452254807"</f>
        <v>9781452254807</v>
      </c>
      <c r="E5273" t="s">
        <v>40883</v>
      </c>
      <c r="F5273" t="s">
        <v>7434</v>
      </c>
      <c r="G5273" t="s">
        <v>22194</v>
      </c>
      <c r="H5273" t="s">
        <v>26004</v>
      </c>
      <c r="I5273" s="26">
        <v>34652</v>
      </c>
      <c r="J5273">
        <v>1994</v>
      </c>
      <c r="K5273" t="s">
        <v>7434</v>
      </c>
      <c r="L5273">
        <v>405</v>
      </c>
      <c r="M5273" t="s">
        <v>44432</v>
      </c>
      <c r="N5273">
        <v>1</v>
      </c>
      <c r="Q5273" t="s">
        <v>44433</v>
      </c>
      <c r="R5273" t="s">
        <v>44434</v>
      </c>
      <c r="T5273" t="s">
        <v>30</v>
      </c>
      <c r="U5273" t="s">
        <v>38406</v>
      </c>
      <c r="W5273" t="s">
        <v>26009</v>
      </c>
    </row>
    <row r="5274" spans="1:23" x14ac:dyDescent="0.35">
      <c r="A5274">
        <v>1598400</v>
      </c>
      <c r="B5274" t="s">
        <v>44435</v>
      </c>
      <c r="C5274" t="str">
        <f>"9780803947849"</f>
        <v>9780803947849</v>
      </c>
      <c r="D5274" t="str">
        <f>"9781452254852"</f>
        <v>9781452254852</v>
      </c>
      <c r="E5274" t="s">
        <v>40883</v>
      </c>
      <c r="F5274" t="s">
        <v>7434</v>
      </c>
      <c r="G5274" t="s">
        <v>22194</v>
      </c>
      <c r="H5274" t="s">
        <v>26004</v>
      </c>
      <c r="I5274" s="26">
        <v>34674</v>
      </c>
      <c r="J5274">
        <v>1994</v>
      </c>
      <c r="K5274" t="s">
        <v>7434</v>
      </c>
      <c r="L5274">
        <v>549</v>
      </c>
      <c r="M5274" t="s">
        <v>44436</v>
      </c>
      <c r="N5274">
        <v>3</v>
      </c>
      <c r="Q5274" t="s">
        <v>44437</v>
      </c>
      <c r="R5274" t="s">
        <v>28995</v>
      </c>
      <c r="S5274" t="s">
        <v>44438</v>
      </c>
      <c r="T5274" t="s">
        <v>30</v>
      </c>
      <c r="U5274" t="s">
        <v>30799</v>
      </c>
      <c r="W5274" t="s">
        <v>26009</v>
      </c>
    </row>
    <row r="5275" spans="1:23" x14ac:dyDescent="0.35">
      <c r="A5275">
        <v>1598406</v>
      </c>
      <c r="B5275" t="s">
        <v>44439</v>
      </c>
      <c r="C5275" t="str">
        <f>"9780803950535"</f>
        <v>9780803950535</v>
      </c>
      <c r="D5275" t="str">
        <f>"9781452254081"</f>
        <v>9781452254081</v>
      </c>
      <c r="E5275" t="s">
        <v>40883</v>
      </c>
      <c r="F5275" t="s">
        <v>7434</v>
      </c>
      <c r="G5275" t="s">
        <v>22194</v>
      </c>
      <c r="H5275" t="s">
        <v>26004</v>
      </c>
      <c r="I5275" s="26">
        <v>34078</v>
      </c>
      <c r="J5275">
        <v>1993</v>
      </c>
      <c r="K5275" t="s">
        <v>7434</v>
      </c>
      <c r="L5275">
        <v>189</v>
      </c>
      <c r="M5275" t="s">
        <v>44440</v>
      </c>
      <c r="N5275">
        <v>1</v>
      </c>
      <c r="Q5275" t="s">
        <v>44441</v>
      </c>
      <c r="R5275">
        <v>362.88</v>
      </c>
      <c r="T5275" t="s">
        <v>30</v>
      </c>
      <c r="U5275" t="s">
        <v>26044</v>
      </c>
      <c r="W5275" t="s">
        <v>26009</v>
      </c>
    </row>
    <row r="5276" spans="1:23" x14ac:dyDescent="0.35">
      <c r="A5276">
        <v>1598409</v>
      </c>
      <c r="B5276" t="s">
        <v>44442</v>
      </c>
      <c r="C5276" t="str">
        <f>"9780803950214"</f>
        <v>9780803950214</v>
      </c>
      <c r="D5276" t="str">
        <f>"9781452254234"</f>
        <v>9781452254234</v>
      </c>
      <c r="E5276" t="s">
        <v>40883</v>
      </c>
      <c r="F5276" t="s">
        <v>7434</v>
      </c>
      <c r="G5276" t="s">
        <v>22194</v>
      </c>
      <c r="H5276" t="s">
        <v>26004</v>
      </c>
      <c r="I5276" s="26">
        <v>34190</v>
      </c>
      <c r="J5276">
        <v>1993</v>
      </c>
      <c r="K5276" t="s">
        <v>7434</v>
      </c>
      <c r="L5276">
        <v>234</v>
      </c>
      <c r="M5276" t="s">
        <v>44443</v>
      </c>
      <c r="N5276">
        <v>1</v>
      </c>
      <c r="O5276" t="s">
        <v>41335</v>
      </c>
      <c r="Q5276" t="s">
        <v>44444</v>
      </c>
      <c r="R5276">
        <v>362.1968</v>
      </c>
      <c r="T5276" t="s">
        <v>30</v>
      </c>
      <c r="U5276" t="s">
        <v>26250</v>
      </c>
      <c r="W5276" t="s">
        <v>26009</v>
      </c>
    </row>
    <row r="5277" spans="1:23" x14ac:dyDescent="0.35">
      <c r="A5277">
        <v>1598410</v>
      </c>
      <c r="B5277" t="s">
        <v>8158</v>
      </c>
      <c r="C5277" t="str">
        <f>"9780803953338"</f>
        <v>9780803953338</v>
      </c>
      <c r="D5277" t="str">
        <f>"9781452254340"</f>
        <v>9781452254340</v>
      </c>
      <c r="E5277" t="s">
        <v>40883</v>
      </c>
      <c r="F5277" t="s">
        <v>7434</v>
      </c>
      <c r="G5277" t="s">
        <v>22194</v>
      </c>
      <c r="H5277" t="s">
        <v>26004</v>
      </c>
      <c r="I5277" s="26">
        <v>34190</v>
      </c>
      <c r="J5277">
        <v>1993</v>
      </c>
      <c r="K5277" t="s">
        <v>7434</v>
      </c>
      <c r="L5277">
        <v>493</v>
      </c>
      <c r="M5277" t="s">
        <v>44445</v>
      </c>
      <c r="N5277">
        <v>1</v>
      </c>
      <c r="Q5277" t="s">
        <v>44446</v>
      </c>
      <c r="T5277" t="s">
        <v>30</v>
      </c>
      <c r="U5277" t="s">
        <v>26019</v>
      </c>
      <c r="W5277" t="s">
        <v>26009</v>
      </c>
    </row>
    <row r="5278" spans="1:23" x14ac:dyDescent="0.35">
      <c r="A5278">
        <v>1598427</v>
      </c>
      <c r="B5278" t="s">
        <v>9488</v>
      </c>
      <c r="C5278" t="str">
        <f>""</f>
        <v/>
      </c>
      <c r="D5278" t="str">
        <f>"9781452248554"</f>
        <v>9781452248554</v>
      </c>
      <c r="E5278" t="s">
        <v>40883</v>
      </c>
      <c r="F5278" t="s">
        <v>7434</v>
      </c>
      <c r="G5278" t="s">
        <v>22194</v>
      </c>
      <c r="H5278" t="s">
        <v>26004</v>
      </c>
      <c r="I5278" s="26">
        <v>35234</v>
      </c>
      <c r="J5278">
        <v>1996</v>
      </c>
      <c r="K5278" t="s">
        <v>7434</v>
      </c>
      <c r="L5278">
        <v>401</v>
      </c>
      <c r="M5278" t="s">
        <v>44447</v>
      </c>
      <c r="N5278">
        <v>1</v>
      </c>
      <c r="O5278" t="s">
        <v>44448</v>
      </c>
      <c r="Q5278" t="s">
        <v>44449</v>
      </c>
      <c r="T5278" t="s">
        <v>30</v>
      </c>
      <c r="U5278" t="s">
        <v>26116</v>
      </c>
      <c r="W5278" t="s">
        <v>26009</v>
      </c>
    </row>
    <row r="5279" spans="1:23" x14ac:dyDescent="0.35">
      <c r="A5279">
        <v>1598433</v>
      </c>
      <c r="B5279" t="s">
        <v>44450</v>
      </c>
      <c r="C5279" t="str">
        <f>"9780803973695"</f>
        <v>9780803973695</v>
      </c>
      <c r="D5279" t="str">
        <f>"9781452249148"</f>
        <v>9781452249148</v>
      </c>
      <c r="E5279" t="s">
        <v>40883</v>
      </c>
      <c r="F5279" t="s">
        <v>7434</v>
      </c>
      <c r="G5279" t="s">
        <v>22194</v>
      </c>
      <c r="H5279" t="s">
        <v>26004</v>
      </c>
      <c r="I5279" s="26">
        <v>35485</v>
      </c>
      <c r="J5279">
        <v>1997</v>
      </c>
      <c r="K5279" t="s">
        <v>7434</v>
      </c>
      <c r="L5279">
        <v>241</v>
      </c>
      <c r="M5279" t="s">
        <v>44451</v>
      </c>
      <c r="N5279">
        <v>1</v>
      </c>
      <c r="Q5279" t="s">
        <v>44452</v>
      </c>
      <c r="R5279" t="s">
        <v>44453</v>
      </c>
      <c r="T5279" t="s">
        <v>30</v>
      </c>
      <c r="U5279" t="s">
        <v>26044</v>
      </c>
      <c r="W5279" t="s">
        <v>26009</v>
      </c>
    </row>
    <row r="5280" spans="1:23" x14ac:dyDescent="0.35">
      <c r="A5280">
        <v>1598435</v>
      </c>
      <c r="B5280" t="s">
        <v>44454</v>
      </c>
      <c r="C5280" t="str">
        <f>"9780761900412"</f>
        <v>9780761900412</v>
      </c>
      <c r="D5280" t="str">
        <f>"9781452247830"</f>
        <v>9781452247830</v>
      </c>
      <c r="E5280" t="s">
        <v>40883</v>
      </c>
      <c r="F5280" t="s">
        <v>7434</v>
      </c>
      <c r="G5280" t="s">
        <v>22194</v>
      </c>
      <c r="H5280" t="s">
        <v>26004</v>
      </c>
      <c r="I5280" s="26">
        <v>35019</v>
      </c>
      <c r="J5280">
        <v>1995</v>
      </c>
      <c r="K5280" t="s">
        <v>7434</v>
      </c>
      <c r="L5280">
        <v>325</v>
      </c>
      <c r="M5280" t="s">
        <v>44455</v>
      </c>
      <c r="N5280">
        <v>1</v>
      </c>
      <c r="O5280" t="s">
        <v>41231</v>
      </c>
      <c r="Q5280" t="s">
        <v>44456</v>
      </c>
      <c r="R5280" t="s">
        <v>44457</v>
      </c>
      <c r="T5280" t="s">
        <v>30</v>
      </c>
      <c r="U5280" t="s">
        <v>26044</v>
      </c>
      <c r="W5280" t="s">
        <v>26009</v>
      </c>
    </row>
    <row r="5281" spans="1:23" x14ac:dyDescent="0.35">
      <c r="A5281">
        <v>1598445</v>
      </c>
      <c r="B5281" t="s">
        <v>44458</v>
      </c>
      <c r="C5281" t="str">
        <f>"9780761907756"</f>
        <v>9780761907756</v>
      </c>
      <c r="D5281" t="str">
        <f>"9781452249810"</f>
        <v>9781452249810</v>
      </c>
      <c r="E5281" t="s">
        <v>40883</v>
      </c>
      <c r="F5281" t="s">
        <v>7434</v>
      </c>
      <c r="G5281" t="s">
        <v>22194</v>
      </c>
      <c r="H5281" t="s">
        <v>26004</v>
      </c>
      <c r="I5281" s="26">
        <v>35629</v>
      </c>
      <c r="J5281">
        <v>1997</v>
      </c>
      <c r="K5281" t="s">
        <v>7434</v>
      </c>
      <c r="L5281">
        <v>345</v>
      </c>
      <c r="M5281" t="s">
        <v>44459</v>
      </c>
      <c r="N5281">
        <v>1</v>
      </c>
      <c r="Q5281" t="s">
        <v>44460</v>
      </c>
      <c r="R5281" t="s">
        <v>27731</v>
      </c>
      <c r="T5281" t="s">
        <v>30</v>
      </c>
      <c r="U5281" t="s">
        <v>26044</v>
      </c>
      <c r="W5281" t="s">
        <v>26009</v>
      </c>
    </row>
    <row r="5282" spans="1:23" x14ac:dyDescent="0.35">
      <c r="A5282">
        <v>1598452</v>
      </c>
      <c r="B5282" t="s">
        <v>44461</v>
      </c>
      <c r="C5282" t="str">
        <f>"9780803957428"</f>
        <v>9780803957428</v>
      </c>
      <c r="D5282" t="str">
        <f>"9781452247885"</f>
        <v>9781452247885</v>
      </c>
      <c r="E5282" t="s">
        <v>40883</v>
      </c>
      <c r="F5282" t="s">
        <v>7434</v>
      </c>
      <c r="G5282" t="s">
        <v>22194</v>
      </c>
      <c r="H5282" t="s">
        <v>26004</v>
      </c>
      <c r="I5282" s="26">
        <v>35037</v>
      </c>
      <c r="J5282">
        <v>1995</v>
      </c>
      <c r="K5282" t="s">
        <v>7434</v>
      </c>
      <c r="L5282">
        <v>153</v>
      </c>
      <c r="M5282" t="s">
        <v>44462</v>
      </c>
      <c r="N5282">
        <v>1</v>
      </c>
      <c r="Q5282" t="s">
        <v>44463</v>
      </c>
      <c r="R5282">
        <v>302</v>
      </c>
      <c r="T5282" t="s">
        <v>30</v>
      </c>
      <c r="U5282" t="s">
        <v>26044</v>
      </c>
      <c r="W5282" t="s">
        <v>26009</v>
      </c>
    </row>
    <row r="5283" spans="1:23" x14ac:dyDescent="0.35">
      <c r="A5283">
        <v>1598455</v>
      </c>
      <c r="B5283" t="s">
        <v>44464</v>
      </c>
      <c r="C5283" t="str">
        <f>"9780761913344"</f>
        <v>9780761913344</v>
      </c>
      <c r="D5283" t="str">
        <f>"9781452250397"</f>
        <v>9781452250397</v>
      </c>
      <c r="E5283" t="s">
        <v>40883</v>
      </c>
      <c r="F5283" t="s">
        <v>7434</v>
      </c>
      <c r="G5283" t="s">
        <v>22194</v>
      </c>
      <c r="H5283" t="s">
        <v>26004</v>
      </c>
      <c r="I5283" s="26">
        <v>35765</v>
      </c>
      <c r="J5283">
        <v>1997</v>
      </c>
      <c r="K5283" t="s">
        <v>7434</v>
      </c>
      <c r="L5283">
        <v>329</v>
      </c>
      <c r="M5283" t="s">
        <v>44465</v>
      </c>
      <c r="N5283">
        <v>1</v>
      </c>
      <c r="O5283" t="s">
        <v>40966</v>
      </c>
      <c r="Q5283" t="s">
        <v>44466</v>
      </c>
      <c r="T5283" t="s">
        <v>30</v>
      </c>
      <c r="U5283" t="s">
        <v>26044</v>
      </c>
      <c r="W5283" t="s">
        <v>26009</v>
      </c>
    </row>
    <row r="5284" spans="1:23" x14ac:dyDescent="0.35">
      <c r="A5284">
        <v>1598457</v>
      </c>
      <c r="B5284" t="s">
        <v>44467</v>
      </c>
      <c r="C5284" t="str">
        <f>"9780761909415"</f>
        <v>9780761909415</v>
      </c>
      <c r="D5284" t="str">
        <f>"9781452250649"</f>
        <v>9781452250649</v>
      </c>
      <c r="E5284" t="s">
        <v>40883</v>
      </c>
      <c r="F5284" t="s">
        <v>7434</v>
      </c>
      <c r="G5284" t="s">
        <v>22194</v>
      </c>
      <c r="H5284" t="s">
        <v>26004</v>
      </c>
      <c r="I5284" s="26">
        <v>35863</v>
      </c>
      <c r="J5284">
        <v>1998</v>
      </c>
      <c r="K5284" t="s">
        <v>7434</v>
      </c>
      <c r="L5284">
        <v>345</v>
      </c>
      <c r="M5284" t="s">
        <v>44468</v>
      </c>
      <c r="N5284">
        <v>1</v>
      </c>
      <c r="O5284" t="s">
        <v>40932</v>
      </c>
      <c r="Q5284" t="s">
        <v>44469</v>
      </c>
      <c r="R5284">
        <v>362.1</v>
      </c>
      <c r="T5284" t="s">
        <v>30</v>
      </c>
      <c r="U5284" t="s">
        <v>26057</v>
      </c>
      <c r="W5284" t="s">
        <v>26009</v>
      </c>
    </row>
    <row r="5285" spans="1:23" x14ac:dyDescent="0.35">
      <c r="A5285">
        <v>1598459</v>
      </c>
      <c r="B5285" t="s">
        <v>44470</v>
      </c>
      <c r="C5285" t="str">
        <f>"9780761905424"</f>
        <v>9780761905424</v>
      </c>
      <c r="D5285" t="str">
        <f>"9781452251295"</f>
        <v>9781452251295</v>
      </c>
      <c r="E5285" t="s">
        <v>40883</v>
      </c>
      <c r="F5285" t="s">
        <v>7434</v>
      </c>
      <c r="G5285" t="s">
        <v>22194</v>
      </c>
      <c r="H5285" t="s">
        <v>26004</v>
      </c>
      <c r="I5285" s="26">
        <v>36018</v>
      </c>
      <c r="J5285">
        <v>1998</v>
      </c>
      <c r="K5285" t="s">
        <v>7434</v>
      </c>
      <c r="L5285">
        <v>361</v>
      </c>
      <c r="M5285" t="s">
        <v>44471</v>
      </c>
      <c r="N5285">
        <v>1</v>
      </c>
      <c r="Q5285" t="s">
        <v>44472</v>
      </c>
      <c r="R5285" t="s">
        <v>41100</v>
      </c>
      <c r="T5285" t="s">
        <v>30</v>
      </c>
      <c r="U5285" t="s">
        <v>26250</v>
      </c>
      <c r="W5285" t="s">
        <v>26009</v>
      </c>
    </row>
    <row r="5286" spans="1:23" x14ac:dyDescent="0.35">
      <c r="A5286">
        <v>1598466</v>
      </c>
      <c r="B5286" t="s">
        <v>44473</v>
      </c>
      <c r="C5286" t="str">
        <f>"9780761918073"</f>
        <v>9780761918073</v>
      </c>
      <c r="D5286" t="str">
        <f>"9781452251714"</f>
        <v>9781452251714</v>
      </c>
      <c r="E5286" t="s">
        <v>40883</v>
      </c>
      <c r="F5286" t="s">
        <v>7434</v>
      </c>
      <c r="G5286" t="s">
        <v>22194</v>
      </c>
      <c r="H5286" t="s">
        <v>26004</v>
      </c>
      <c r="I5286" s="26">
        <v>36495</v>
      </c>
      <c r="J5286">
        <v>1999</v>
      </c>
      <c r="K5286" t="s">
        <v>7434</v>
      </c>
      <c r="L5286">
        <v>222</v>
      </c>
      <c r="M5286" t="s">
        <v>44474</v>
      </c>
      <c r="N5286">
        <v>1</v>
      </c>
      <c r="Q5286" t="s">
        <v>44475</v>
      </c>
      <c r="R5286" t="s">
        <v>26873</v>
      </c>
      <c r="T5286" t="s">
        <v>30</v>
      </c>
      <c r="U5286" t="s">
        <v>46</v>
      </c>
      <c r="W5286" t="s">
        <v>26009</v>
      </c>
    </row>
    <row r="5287" spans="1:23" x14ac:dyDescent="0.35">
      <c r="A5287">
        <v>1598478</v>
      </c>
      <c r="B5287" t="s">
        <v>44476</v>
      </c>
      <c r="C5287" t="str">
        <f>"9780803952577"</f>
        <v>9780803952577</v>
      </c>
      <c r="D5287" t="str">
        <f>"9781452246550"</f>
        <v>9781452246550</v>
      </c>
      <c r="E5287" t="s">
        <v>40883</v>
      </c>
      <c r="F5287" t="s">
        <v>7434</v>
      </c>
      <c r="G5287" t="s">
        <v>22194</v>
      </c>
      <c r="H5287" t="s">
        <v>26004</v>
      </c>
      <c r="I5287" s="26">
        <v>34870</v>
      </c>
      <c r="J5287">
        <v>1995</v>
      </c>
      <c r="K5287" t="s">
        <v>7434</v>
      </c>
      <c r="L5287">
        <v>177</v>
      </c>
      <c r="M5287" t="s">
        <v>44477</v>
      </c>
      <c r="N5287">
        <v>1</v>
      </c>
      <c r="Q5287" t="s">
        <v>44478</v>
      </c>
      <c r="T5287" t="s">
        <v>30</v>
      </c>
      <c r="U5287" t="s">
        <v>46</v>
      </c>
      <c r="W5287" t="s">
        <v>26009</v>
      </c>
    </row>
    <row r="5288" spans="1:23" x14ac:dyDescent="0.35">
      <c r="A5288">
        <v>1598479</v>
      </c>
      <c r="B5288" t="s">
        <v>44479</v>
      </c>
      <c r="C5288" t="str">
        <f>"9780761911302"</f>
        <v>9780761911302</v>
      </c>
      <c r="D5288" t="str">
        <f>"9781452246598"</f>
        <v>9781452246598</v>
      </c>
      <c r="E5288" t="s">
        <v>40883</v>
      </c>
      <c r="F5288" t="s">
        <v>7434</v>
      </c>
      <c r="G5288" t="s">
        <v>22194</v>
      </c>
      <c r="H5288" t="s">
        <v>26004</v>
      </c>
      <c r="I5288" s="26">
        <v>35696</v>
      </c>
      <c r="J5288">
        <v>1997</v>
      </c>
      <c r="K5288" t="s">
        <v>7434</v>
      </c>
      <c r="L5288">
        <v>181</v>
      </c>
      <c r="M5288" t="s">
        <v>44480</v>
      </c>
      <c r="N5288">
        <v>1</v>
      </c>
      <c r="Q5288" t="s">
        <v>44481</v>
      </c>
      <c r="R5288" t="s">
        <v>44482</v>
      </c>
      <c r="T5288" t="s">
        <v>30</v>
      </c>
      <c r="U5288" t="s">
        <v>26019</v>
      </c>
      <c r="W5288" t="s">
        <v>26009</v>
      </c>
    </row>
    <row r="5289" spans="1:23" x14ac:dyDescent="0.35">
      <c r="A5289">
        <v>1598487</v>
      </c>
      <c r="B5289" t="s">
        <v>44483</v>
      </c>
      <c r="C5289" t="str">
        <f>"9780803951709"</f>
        <v>9780803951709</v>
      </c>
      <c r="D5289" t="str">
        <f>"9781452246673"</f>
        <v>9781452246673</v>
      </c>
      <c r="E5289" t="s">
        <v>40883</v>
      </c>
      <c r="F5289" t="s">
        <v>7434</v>
      </c>
      <c r="G5289" t="s">
        <v>22194</v>
      </c>
      <c r="H5289" t="s">
        <v>26004</v>
      </c>
      <c r="I5289" s="26">
        <v>34590</v>
      </c>
      <c r="J5289">
        <v>1995</v>
      </c>
      <c r="K5289" t="s">
        <v>7434</v>
      </c>
      <c r="L5289">
        <v>179</v>
      </c>
      <c r="M5289" t="s">
        <v>44484</v>
      </c>
      <c r="N5289">
        <v>1</v>
      </c>
      <c r="O5289" t="s">
        <v>40922</v>
      </c>
      <c r="Q5289" t="s">
        <v>44485</v>
      </c>
      <c r="R5289" t="s">
        <v>44486</v>
      </c>
      <c r="T5289" t="s">
        <v>30</v>
      </c>
      <c r="U5289" t="s">
        <v>26044</v>
      </c>
      <c r="W5289" t="s">
        <v>26009</v>
      </c>
    </row>
    <row r="5290" spans="1:23" x14ac:dyDescent="0.35">
      <c r="A5290">
        <v>1598492</v>
      </c>
      <c r="B5290" t="s">
        <v>44487</v>
      </c>
      <c r="C5290" t="str">
        <f>"9780803971813"</f>
        <v>9780803971813</v>
      </c>
      <c r="D5290" t="str">
        <f>"9781452247205"</f>
        <v>9781452247205</v>
      </c>
      <c r="E5290" t="s">
        <v>40883</v>
      </c>
      <c r="F5290" t="s">
        <v>7434</v>
      </c>
      <c r="G5290" t="s">
        <v>22194</v>
      </c>
      <c r="H5290" t="s">
        <v>26004</v>
      </c>
      <c r="I5290" s="26">
        <v>34785</v>
      </c>
      <c r="J5290">
        <v>1995</v>
      </c>
      <c r="K5290" t="s">
        <v>7434</v>
      </c>
      <c r="L5290">
        <v>193</v>
      </c>
      <c r="M5290" t="s">
        <v>11504</v>
      </c>
      <c r="N5290">
        <v>1</v>
      </c>
      <c r="O5290" t="s">
        <v>40895</v>
      </c>
      <c r="Q5290" t="s">
        <v>44488</v>
      </c>
      <c r="R5290" t="s">
        <v>29630</v>
      </c>
      <c r="T5290" t="s">
        <v>30</v>
      </c>
      <c r="U5290" t="s">
        <v>26019</v>
      </c>
      <c r="W5290" t="s">
        <v>26009</v>
      </c>
    </row>
    <row r="5291" spans="1:23" x14ac:dyDescent="0.35">
      <c r="A5291">
        <v>1598495</v>
      </c>
      <c r="B5291" t="s">
        <v>44489</v>
      </c>
      <c r="C5291" t="str">
        <f>"9780803970373"</f>
        <v>9780803970373</v>
      </c>
      <c r="D5291" t="str">
        <f>"9781452247465"</f>
        <v>9781452247465</v>
      </c>
      <c r="E5291" t="s">
        <v>40883</v>
      </c>
      <c r="F5291" t="s">
        <v>7434</v>
      </c>
      <c r="G5291" t="s">
        <v>22194</v>
      </c>
      <c r="H5291" t="s">
        <v>26004</v>
      </c>
      <c r="I5291" s="26">
        <v>34914</v>
      </c>
      <c r="J5291">
        <v>1995</v>
      </c>
      <c r="K5291" t="s">
        <v>7434</v>
      </c>
      <c r="L5291">
        <v>223</v>
      </c>
      <c r="M5291" t="s">
        <v>44490</v>
      </c>
      <c r="N5291">
        <v>1</v>
      </c>
      <c r="O5291" t="s">
        <v>41335</v>
      </c>
      <c r="Q5291" t="s">
        <v>44491</v>
      </c>
      <c r="R5291" t="s">
        <v>44492</v>
      </c>
      <c r="T5291" t="s">
        <v>30</v>
      </c>
      <c r="U5291" t="s">
        <v>26044</v>
      </c>
      <c r="W5291" t="s">
        <v>26009</v>
      </c>
    </row>
    <row r="5292" spans="1:23" x14ac:dyDescent="0.35">
      <c r="A5292">
        <v>1598496</v>
      </c>
      <c r="B5292" t="s">
        <v>44493</v>
      </c>
      <c r="C5292" t="str">
        <f>"9780803973619"</f>
        <v>9780803973619</v>
      </c>
      <c r="D5292" t="str">
        <f>"9781452247489"</f>
        <v>9781452247489</v>
      </c>
      <c r="E5292" t="s">
        <v>40883</v>
      </c>
      <c r="F5292" t="s">
        <v>7434</v>
      </c>
      <c r="G5292" t="s">
        <v>22194</v>
      </c>
      <c r="H5292" t="s">
        <v>26004</v>
      </c>
      <c r="I5292" s="26">
        <v>34893</v>
      </c>
      <c r="J5292">
        <v>1995</v>
      </c>
      <c r="K5292" t="s">
        <v>7434</v>
      </c>
      <c r="L5292">
        <v>231</v>
      </c>
      <c r="M5292" t="s">
        <v>44494</v>
      </c>
      <c r="N5292">
        <v>1</v>
      </c>
      <c r="Q5292" t="s">
        <v>44495</v>
      </c>
      <c r="R5292" t="s">
        <v>44496</v>
      </c>
      <c r="T5292" t="s">
        <v>30</v>
      </c>
      <c r="U5292" t="s">
        <v>26044</v>
      </c>
      <c r="W5292" t="s">
        <v>26009</v>
      </c>
    </row>
    <row r="5293" spans="1:23" x14ac:dyDescent="0.35">
      <c r="A5293">
        <v>1598499</v>
      </c>
      <c r="B5293" t="s">
        <v>44497</v>
      </c>
      <c r="C5293" t="str">
        <f>"9780803956322"</f>
        <v>9780803956322</v>
      </c>
      <c r="D5293" t="str">
        <f>"9781452247625"</f>
        <v>9781452247625</v>
      </c>
      <c r="E5293" t="s">
        <v>40883</v>
      </c>
      <c r="F5293" t="s">
        <v>7434</v>
      </c>
      <c r="G5293" t="s">
        <v>22194</v>
      </c>
      <c r="H5293" t="s">
        <v>26004</v>
      </c>
      <c r="I5293" s="26">
        <v>34906</v>
      </c>
      <c r="J5293">
        <v>1995</v>
      </c>
      <c r="K5293" t="s">
        <v>7434</v>
      </c>
      <c r="L5293">
        <v>129</v>
      </c>
      <c r="M5293" t="s">
        <v>44498</v>
      </c>
      <c r="N5293">
        <v>1</v>
      </c>
      <c r="O5293" t="s">
        <v>40895</v>
      </c>
      <c r="Q5293" t="s">
        <v>44499</v>
      </c>
      <c r="R5293" t="s">
        <v>44500</v>
      </c>
      <c r="T5293" t="s">
        <v>30</v>
      </c>
      <c r="U5293" t="s">
        <v>337</v>
      </c>
      <c r="W5293" t="s">
        <v>26009</v>
      </c>
    </row>
    <row r="5294" spans="1:23" x14ac:dyDescent="0.35">
      <c r="A5294">
        <v>1598504</v>
      </c>
      <c r="B5294" t="s">
        <v>44501</v>
      </c>
      <c r="C5294" t="str">
        <f>"9780803956490"</f>
        <v>9780803956490</v>
      </c>
      <c r="D5294" t="str">
        <f>"9781452246710"</f>
        <v>9781452246710</v>
      </c>
      <c r="E5294" t="s">
        <v>40883</v>
      </c>
      <c r="F5294" t="s">
        <v>7434</v>
      </c>
      <c r="G5294" t="s">
        <v>22194</v>
      </c>
      <c r="H5294" t="s">
        <v>26004</v>
      </c>
      <c r="I5294" s="26">
        <v>34717</v>
      </c>
      <c r="J5294">
        <v>1995</v>
      </c>
      <c r="K5294" t="s">
        <v>7434</v>
      </c>
      <c r="L5294">
        <v>295</v>
      </c>
      <c r="M5294" t="s">
        <v>44502</v>
      </c>
      <c r="N5294">
        <v>1</v>
      </c>
      <c r="O5294" t="s">
        <v>41323</v>
      </c>
      <c r="Q5294" t="s">
        <v>44503</v>
      </c>
      <c r="R5294">
        <v>302</v>
      </c>
      <c r="T5294" t="s">
        <v>30</v>
      </c>
      <c r="U5294" t="s">
        <v>26044</v>
      </c>
      <c r="W5294" t="s">
        <v>26009</v>
      </c>
    </row>
    <row r="5295" spans="1:23" x14ac:dyDescent="0.35">
      <c r="A5295">
        <v>1598665</v>
      </c>
      <c r="B5295" t="s">
        <v>44504</v>
      </c>
      <c r="C5295" t="str">
        <f>"9781780491660"</f>
        <v>9781780491660</v>
      </c>
      <c r="D5295" t="str">
        <f>"9781782411086"</f>
        <v>9781782411086</v>
      </c>
      <c r="E5295" t="s">
        <v>26010</v>
      </c>
      <c r="F5295" t="s">
        <v>35</v>
      </c>
      <c r="G5295" t="s">
        <v>22174</v>
      </c>
      <c r="H5295" t="s">
        <v>26011</v>
      </c>
      <c r="I5295" s="26">
        <v>41661</v>
      </c>
      <c r="J5295">
        <v>2014</v>
      </c>
      <c r="K5295" t="s">
        <v>26012</v>
      </c>
      <c r="L5295">
        <v>316</v>
      </c>
      <c r="M5295" t="s">
        <v>43173</v>
      </c>
      <c r="N5295">
        <v>1</v>
      </c>
      <c r="O5295" t="s">
        <v>36539</v>
      </c>
      <c r="Q5295" t="s">
        <v>44505</v>
      </c>
      <c r="R5295">
        <v>616.89170000000001</v>
      </c>
      <c r="S5295" t="s">
        <v>7514</v>
      </c>
      <c r="T5295" t="s">
        <v>30</v>
      </c>
      <c r="U5295" t="s">
        <v>26116</v>
      </c>
      <c r="W5295" t="s">
        <v>26009</v>
      </c>
    </row>
    <row r="5296" spans="1:23" x14ac:dyDescent="0.35">
      <c r="A5296">
        <v>1599050</v>
      </c>
      <c r="B5296" t="s">
        <v>44506</v>
      </c>
      <c r="C5296" t="str">
        <f>"9781595800527"</f>
        <v>9781595800527</v>
      </c>
      <c r="D5296" t="str">
        <f>"9781595809230"</f>
        <v>9781595809230</v>
      </c>
      <c r="E5296" t="s">
        <v>28153</v>
      </c>
      <c r="F5296" t="s">
        <v>9935</v>
      </c>
      <c r="G5296" t="s">
        <v>22307</v>
      </c>
      <c r="H5296" t="s">
        <v>26004</v>
      </c>
      <c r="I5296" s="26">
        <v>40344</v>
      </c>
      <c r="J5296">
        <v>2010</v>
      </c>
      <c r="K5296" t="s">
        <v>9935</v>
      </c>
      <c r="L5296">
        <v>289</v>
      </c>
      <c r="M5296" t="s">
        <v>44507</v>
      </c>
      <c r="Q5296" t="s">
        <v>44508</v>
      </c>
      <c r="R5296" t="s">
        <v>27082</v>
      </c>
      <c r="S5296" t="s">
        <v>44509</v>
      </c>
      <c r="T5296" t="s">
        <v>30</v>
      </c>
      <c r="U5296" t="s">
        <v>26228</v>
      </c>
      <c r="W5296" t="s">
        <v>43447</v>
      </c>
    </row>
    <row r="5297" spans="1:23" x14ac:dyDescent="0.35">
      <c r="A5297">
        <v>1600504</v>
      </c>
      <c r="B5297" t="s">
        <v>44510</v>
      </c>
      <c r="C5297" t="str">
        <f>"9780415726764"</f>
        <v>9780415726764</v>
      </c>
      <c r="D5297" t="str">
        <f>"9781317928546"</f>
        <v>9781317928546</v>
      </c>
      <c r="E5297" t="s">
        <v>26010</v>
      </c>
      <c r="F5297" t="s">
        <v>35</v>
      </c>
      <c r="G5297" t="s">
        <v>26201</v>
      </c>
      <c r="H5297" t="s">
        <v>26011</v>
      </c>
      <c r="I5297" s="26">
        <v>41591</v>
      </c>
      <c r="J5297">
        <v>1991</v>
      </c>
      <c r="K5297" t="s">
        <v>26012</v>
      </c>
      <c r="L5297">
        <v>177</v>
      </c>
      <c r="M5297" t="s">
        <v>44511</v>
      </c>
      <c r="N5297">
        <v>1</v>
      </c>
      <c r="O5297" t="s">
        <v>44512</v>
      </c>
      <c r="Q5297" t="s">
        <v>44513</v>
      </c>
      <c r="R5297">
        <v>791.43015000000003</v>
      </c>
      <c r="S5297" t="s">
        <v>44514</v>
      </c>
      <c r="T5297" t="s">
        <v>30</v>
      </c>
      <c r="U5297" t="s">
        <v>27699</v>
      </c>
      <c r="W5297" t="s">
        <v>26009</v>
      </c>
    </row>
    <row r="5298" spans="1:23" x14ac:dyDescent="0.35">
      <c r="A5298">
        <v>1602158</v>
      </c>
      <c r="B5298" t="s">
        <v>44515</v>
      </c>
      <c r="C5298" t="str">
        <f>"9781560233954"</f>
        <v>9781560233954</v>
      </c>
      <c r="D5298" t="str">
        <f>"9781317766124"</f>
        <v>9781317766124</v>
      </c>
      <c r="E5298" t="s">
        <v>26010</v>
      </c>
      <c r="F5298" t="s">
        <v>35</v>
      </c>
      <c r="G5298" t="s">
        <v>26201</v>
      </c>
      <c r="H5298" t="s">
        <v>26011</v>
      </c>
      <c r="I5298" s="26">
        <v>37889</v>
      </c>
      <c r="J5298">
        <v>2003</v>
      </c>
      <c r="K5298" t="s">
        <v>26012</v>
      </c>
      <c r="L5298">
        <v>170</v>
      </c>
      <c r="M5298" t="s">
        <v>44516</v>
      </c>
      <c r="N5298">
        <v>1</v>
      </c>
      <c r="Q5298" t="s">
        <v>44517</v>
      </c>
      <c r="R5298">
        <v>306</v>
      </c>
      <c r="S5298" t="s">
        <v>8500</v>
      </c>
      <c r="T5298" t="s">
        <v>30</v>
      </c>
      <c r="U5298" t="s">
        <v>26044</v>
      </c>
      <c r="W5298" t="s">
        <v>26009</v>
      </c>
    </row>
    <row r="5299" spans="1:23" x14ac:dyDescent="0.35">
      <c r="A5299">
        <v>1602192</v>
      </c>
      <c r="B5299" t="s">
        <v>44518</v>
      </c>
      <c r="C5299" t="str">
        <f>"9781841697468"</f>
        <v>9781841697468</v>
      </c>
      <c r="D5299" t="str">
        <f>"9781317740711"</f>
        <v>9781317740711</v>
      </c>
      <c r="E5299" t="s">
        <v>26010</v>
      </c>
      <c r="F5299" t="s">
        <v>35</v>
      </c>
      <c r="G5299" t="s">
        <v>22174</v>
      </c>
      <c r="H5299" t="s">
        <v>26011</v>
      </c>
      <c r="I5299" s="26">
        <v>40091</v>
      </c>
      <c r="J5299">
        <v>2010</v>
      </c>
      <c r="K5299" t="s">
        <v>660</v>
      </c>
      <c r="L5299">
        <v>470</v>
      </c>
      <c r="M5299" t="s">
        <v>44519</v>
      </c>
      <c r="N5299">
        <v>7</v>
      </c>
      <c r="Q5299" t="s">
        <v>44520</v>
      </c>
      <c r="R5299">
        <v>155.19999999999999</v>
      </c>
      <c r="S5299" t="s">
        <v>8888</v>
      </c>
      <c r="T5299" t="s">
        <v>30</v>
      </c>
      <c r="U5299" t="s">
        <v>46</v>
      </c>
      <c r="W5299" t="s">
        <v>26159</v>
      </c>
    </row>
    <row r="5300" spans="1:23" x14ac:dyDescent="0.35">
      <c r="A5300">
        <v>1602509</v>
      </c>
      <c r="B5300" t="s">
        <v>44521</v>
      </c>
      <c r="C5300" t="str">
        <f>"9780199790555"</f>
        <v>9780199790555</v>
      </c>
      <c r="D5300" t="str">
        <f>"9780199790722"</f>
        <v>9780199790722</v>
      </c>
      <c r="E5300" t="s">
        <v>371</v>
      </c>
      <c r="F5300" t="s">
        <v>31</v>
      </c>
      <c r="G5300" t="s">
        <v>22703</v>
      </c>
      <c r="H5300" t="s">
        <v>26004</v>
      </c>
      <c r="I5300" s="26">
        <v>41701</v>
      </c>
      <c r="J5300">
        <v>2014</v>
      </c>
      <c r="K5300" t="s">
        <v>31</v>
      </c>
      <c r="L5300">
        <v>290</v>
      </c>
      <c r="M5300" t="s">
        <v>44522</v>
      </c>
      <c r="N5300">
        <v>1</v>
      </c>
      <c r="Q5300" t="s">
        <v>44523</v>
      </c>
      <c r="R5300">
        <v>616.85890083499999</v>
      </c>
      <c r="S5300" t="s">
        <v>7438</v>
      </c>
      <c r="T5300" t="s">
        <v>30</v>
      </c>
      <c r="U5300" t="s">
        <v>26019</v>
      </c>
      <c r="W5300" t="s">
        <v>26009</v>
      </c>
    </row>
    <row r="5301" spans="1:23" x14ac:dyDescent="0.35">
      <c r="A5301">
        <v>1602511</v>
      </c>
      <c r="B5301" t="s">
        <v>44524</v>
      </c>
      <c r="C5301" t="str">
        <f>"9780199989522"</f>
        <v>9780199989522</v>
      </c>
      <c r="D5301" t="str">
        <f>"9780199989539"</f>
        <v>9780199989539</v>
      </c>
      <c r="E5301" t="s">
        <v>371</v>
      </c>
      <c r="F5301" t="s">
        <v>31</v>
      </c>
      <c r="G5301" t="s">
        <v>22703</v>
      </c>
      <c r="H5301" t="s">
        <v>26004</v>
      </c>
      <c r="I5301" s="26">
        <v>41675</v>
      </c>
      <c r="J5301">
        <v>2014</v>
      </c>
      <c r="K5301" t="s">
        <v>31</v>
      </c>
      <c r="L5301">
        <v>289</v>
      </c>
      <c r="M5301" t="s">
        <v>44525</v>
      </c>
      <c r="Q5301" t="s">
        <v>44526</v>
      </c>
      <c r="R5301">
        <v>362.21</v>
      </c>
      <c r="S5301" t="s">
        <v>8960</v>
      </c>
      <c r="T5301" t="s">
        <v>30</v>
      </c>
      <c r="U5301" t="s">
        <v>29302</v>
      </c>
      <c r="W5301" t="s">
        <v>26009</v>
      </c>
    </row>
    <row r="5302" spans="1:23" x14ac:dyDescent="0.35">
      <c r="A5302">
        <v>1602518</v>
      </c>
      <c r="B5302" t="s">
        <v>44527</v>
      </c>
      <c r="C5302" t="str">
        <f>"9780199737529"</f>
        <v>9780199737529</v>
      </c>
      <c r="D5302" t="str">
        <f>"9780199389483"</f>
        <v>9780199389483</v>
      </c>
      <c r="E5302" t="s">
        <v>371</v>
      </c>
      <c r="F5302" t="s">
        <v>31</v>
      </c>
      <c r="G5302" t="s">
        <v>22703</v>
      </c>
      <c r="H5302" t="s">
        <v>26004</v>
      </c>
      <c r="I5302" s="26">
        <v>41695</v>
      </c>
      <c r="J5302">
        <v>2014</v>
      </c>
      <c r="K5302" t="s">
        <v>31</v>
      </c>
      <c r="L5302">
        <v>486</v>
      </c>
      <c r="M5302" t="s">
        <v>44528</v>
      </c>
      <c r="Q5302" t="s">
        <v>44529</v>
      </c>
      <c r="R5302">
        <v>617.481044</v>
      </c>
      <c r="S5302" t="s">
        <v>10173</v>
      </c>
      <c r="T5302" t="s">
        <v>30</v>
      </c>
      <c r="U5302" t="s">
        <v>26040</v>
      </c>
      <c r="W5302" t="s">
        <v>26009</v>
      </c>
    </row>
    <row r="5303" spans="1:23" x14ac:dyDescent="0.35">
      <c r="A5303">
        <v>1602519</v>
      </c>
      <c r="B5303" t="s">
        <v>44530</v>
      </c>
      <c r="C5303" t="str">
        <f>"9780199917532"</f>
        <v>9780199917532</v>
      </c>
      <c r="D5303" t="str">
        <f>"9780199359073"</f>
        <v>9780199359073</v>
      </c>
      <c r="E5303" t="s">
        <v>371</v>
      </c>
      <c r="F5303" t="s">
        <v>31</v>
      </c>
      <c r="G5303" t="s">
        <v>22703</v>
      </c>
      <c r="H5303" t="s">
        <v>26004</v>
      </c>
      <c r="I5303" s="26">
        <v>41701</v>
      </c>
      <c r="J5303">
        <v>2014</v>
      </c>
      <c r="K5303" t="s">
        <v>31</v>
      </c>
      <c r="L5303">
        <v>146</v>
      </c>
      <c r="M5303" t="s">
        <v>44531</v>
      </c>
      <c r="Q5303" t="s">
        <v>44532</v>
      </c>
      <c r="R5303">
        <v>155.9042</v>
      </c>
      <c r="S5303" t="s">
        <v>44533</v>
      </c>
      <c r="T5303" t="s">
        <v>30</v>
      </c>
      <c r="U5303" t="s">
        <v>46</v>
      </c>
      <c r="W5303" t="s">
        <v>26009</v>
      </c>
    </row>
    <row r="5304" spans="1:23" x14ac:dyDescent="0.35">
      <c r="A5304">
        <v>1604454</v>
      </c>
      <c r="B5304" t="s">
        <v>44534</v>
      </c>
      <c r="C5304" t="str">
        <f>"9781608829613"</f>
        <v>9781608829613</v>
      </c>
      <c r="D5304" t="str">
        <f>"9781608829620"</f>
        <v>9781608829620</v>
      </c>
      <c r="E5304" t="s">
        <v>7424</v>
      </c>
      <c r="F5304" t="s">
        <v>7424</v>
      </c>
      <c r="G5304" t="s">
        <v>23047</v>
      </c>
      <c r="H5304" t="s">
        <v>26004</v>
      </c>
      <c r="I5304" s="26">
        <v>41699</v>
      </c>
      <c r="J5304">
        <v>2014</v>
      </c>
      <c r="K5304" t="s">
        <v>7424</v>
      </c>
      <c r="L5304">
        <v>531</v>
      </c>
      <c r="M5304" t="s">
        <v>44535</v>
      </c>
      <c r="N5304">
        <v>1</v>
      </c>
      <c r="Q5304" t="s">
        <v>44536</v>
      </c>
      <c r="R5304">
        <v>158.30000000000001</v>
      </c>
      <c r="S5304" t="s">
        <v>44537</v>
      </c>
      <c r="T5304" t="s">
        <v>30</v>
      </c>
      <c r="U5304" t="s">
        <v>46</v>
      </c>
      <c r="W5304" t="s">
        <v>26009</v>
      </c>
    </row>
    <row r="5305" spans="1:23" x14ac:dyDescent="0.35">
      <c r="A5305">
        <v>1604455</v>
      </c>
      <c r="B5305" t="s">
        <v>44538</v>
      </c>
      <c r="C5305" t="str">
        <f>"9781608829231"</f>
        <v>9781608829231</v>
      </c>
      <c r="D5305" t="str">
        <f>"9781608829248"</f>
        <v>9781608829248</v>
      </c>
      <c r="E5305" t="s">
        <v>7424</v>
      </c>
      <c r="F5305" t="s">
        <v>7419</v>
      </c>
      <c r="G5305" t="s">
        <v>23047</v>
      </c>
      <c r="H5305" t="s">
        <v>26004</v>
      </c>
      <c r="I5305" s="26">
        <v>41699</v>
      </c>
      <c r="J5305">
        <v>2014</v>
      </c>
      <c r="K5305" t="s">
        <v>7419</v>
      </c>
      <c r="L5305">
        <v>281</v>
      </c>
      <c r="M5305" t="s">
        <v>44539</v>
      </c>
      <c r="N5305">
        <v>1</v>
      </c>
      <c r="Q5305" t="s">
        <v>44540</v>
      </c>
      <c r="R5305" t="s">
        <v>33588</v>
      </c>
      <c r="S5305" t="s">
        <v>44541</v>
      </c>
      <c r="T5305" t="s">
        <v>30</v>
      </c>
      <c r="U5305" t="s">
        <v>26019</v>
      </c>
      <c r="W5305" t="s">
        <v>26009</v>
      </c>
    </row>
    <row r="5306" spans="1:23" x14ac:dyDescent="0.35">
      <c r="A5306">
        <v>1604456</v>
      </c>
      <c r="B5306" t="s">
        <v>44542</v>
      </c>
      <c r="C5306" t="str">
        <f>"9781608827572"</f>
        <v>9781608827572</v>
      </c>
      <c r="D5306" t="str">
        <f>"9781608827589"</f>
        <v>9781608827589</v>
      </c>
      <c r="E5306" t="s">
        <v>7424</v>
      </c>
      <c r="F5306" t="s">
        <v>7424</v>
      </c>
      <c r="G5306" t="s">
        <v>23047</v>
      </c>
      <c r="H5306" t="s">
        <v>26004</v>
      </c>
      <c r="I5306" s="26">
        <v>41699</v>
      </c>
      <c r="J5306">
        <v>2013</v>
      </c>
      <c r="K5306" t="s">
        <v>7424</v>
      </c>
      <c r="L5306">
        <v>241</v>
      </c>
      <c r="M5306" t="s">
        <v>44543</v>
      </c>
      <c r="N5306">
        <v>1</v>
      </c>
      <c r="Q5306" t="s">
        <v>44544</v>
      </c>
      <c r="R5306" t="s">
        <v>44545</v>
      </c>
      <c r="S5306" t="s">
        <v>9953</v>
      </c>
      <c r="T5306" t="s">
        <v>30</v>
      </c>
      <c r="U5306" t="s">
        <v>46</v>
      </c>
      <c r="W5306" t="s">
        <v>26009</v>
      </c>
    </row>
    <row r="5307" spans="1:23" x14ac:dyDescent="0.35">
      <c r="A5307">
        <v>1605175</v>
      </c>
      <c r="B5307" t="s">
        <v>44546</v>
      </c>
      <c r="C5307" t="str">
        <f>"9781482228854"</f>
        <v>9781482228854</v>
      </c>
      <c r="D5307" t="str">
        <f>"9781482228878"</f>
        <v>9781482228878</v>
      </c>
      <c r="E5307" t="s">
        <v>26010</v>
      </c>
      <c r="F5307" t="s">
        <v>44547</v>
      </c>
      <c r="G5307" t="s">
        <v>43245</v>
      </c>
      <c r="H5307" t="s">
        <v>26004</v>
      </c>
      <c r="I5307" s="26">
        <v>41845</v>
      </c>
      <c r="J5307">
        <v>2015</v>
      </c>
      <c r="K5307" t="s">
        <v>44547</v>
      </c>
      <c r="L5307">
        <v>344</v>
      </c>
      <c r="M5307" t="s">
        <v>44548</v>
      </c>
      <c r="N5307">
        <v>1</v>
      </c>
      <c r="Q5307" t="s">
        <v>44549</v>
      </c>
      <c r="R5307" t="s">
        <v>44550</v>
      </c>
      <c r="S5307" t="s">
        <v>44551</v>
      </c>
      <c r="T5307" t="s">
        <v>30</v>
      </c>
      <c r="U5307" t="s">
        <v>33989</v>
      </c>
      <c r="W5307" t="s">
        <v>26009</v>
      </c>
    </row>
    <row r="5308" spans="1:23" x14ac:dyDescent="0.35">
      <c r="A5308">
        <v>1609186</v>
      </c>
      <c r="B5308" t="s">
        <v>44552</v>
      </c>
      <c r="C5308" t="str">
        <f>"9781855758933"</f>
        <v>9781855758933</v>
      </c>
      <c r="D5308" t="str">
        <f>"9781782411215"</f>
        <v>9781782411215</v>
      </c>
      <c r="E5308" t="s">
        <v>26010</v>
      </c>
      <c r="F5308" t="s">
        <v>35</v>
      </c>
      <c r="G5308" t="s">
        <v>22174</v>
      </c>
      <c r="H5308" t="s">
        <v>26011</v>
      </c>
      <c r="I5308" s="26">
        <v>41689</v>
      </c>
      <c r="J5308">
        <v>2014</v>
      </c>
      <c r="K5308" t="s">
        <v>26012</v>
      </c>
      <c r="L5308">
        <v>218</v>
      </c>
      <c r="M5308" t="s">
        <v>44553</v>
      </c>
      <c r="N5308">
        <v>1</v>
      </c>
      <c r="O5308" t="s">
        <v>36539</v>
      </c>
      <c r="Q5308" t="s">
        <v>44554</v>
      </c>
      <c r="R5308" t="s">
        <v>29524</v>
      </c>
      <c r="S5308" t="s">
        <v>9342</v>
      </c>
      <c r="T5308" t="s">
        <v>30</v>
      </c>
      <c r="U5308" t="s">
        <v>28629</v>
      </c>
      <c r="W5308" t="s">
        <v>26009</v>
      </c>
    </row>
    <row r="5309" spans="1:23" x14ac:dyDescent="0.35">
      <c r="A5309">
        <v>1609187</v>
      </c>
      <c r="B5309" t="s">
        <v>44555</v>
      </c>
      <c r="C5309" t="str">
        <f>"9781782200062"</f>
        <v>9781782200062</v>
      </c>
      <c r="D5309" t="str">
        <f>"9781782411284"</f>
        <v>9781782411284</v>
      </c>
      <c r="E5309" t="s">
        <v>26010</v>
      </c>
      <c r="F5309" t="s">
        <v>35</v>
      </c>
      <c r="G5309" t="s">
        <v>22174</v>
      </c>
      <c r="H5309" t="s">
        <v>26011</v>
      </c>
      <c r="I5309" s="26">
        <v>41680</v>
      </c>
      <c r="J5309">
        <v>2014</v>
      </c>
      <c r="K5309" t="s">
        <v>26012</v>
      </c>
      <c r="L5309">
        <v>353</v>
      </c>
      <c r="M5309" t="s">
        <v>44556</v>
      </c>
      <c r="N5309">
        <v>1</v>
      </c>
      <c r="Q5309" t="s">
        <v>44557</v>
      </c>
      <c r="R5309">
        <v>363.25018999999998</v>
      </c>
      <c r="S5309" t="s">
        <v>7958</v>
      </c>
      <c r="T5309" t="s">
        <v>30</v>
      </c>
      <c r="U5309" t="s">
        <v>26170</v>
      </c>
      <c r="W5309" t="s">
        <v>26009</v>
      </c>
    </row>
    <row r="5310" spans="1:23" x14ac:dyDescent="0.35">
      <c r="A5310">
        <v>1609188</v>
      </c>
      <c r="B5310" t="s">
        <v>44558</v>
      </c>
      <c r="C5310" t="str">
        <f>"9781780491523"</f>
        <v>9781780491523</v>
      </c>
      <c r="D5310" t="str">
        <f>"9781782411345"</f>
        <v>9781782411345</v>
      </c>
      <c r="E5310" t="s">
        <v>26010</v>
      </c>
      <c r="F5310" t="s">
        <v>35</v>
      </c>
      <c r="G5310" t="s">
        <v>22174</v>
      </c>
      <c r="H5310" t="s">
        <v>26011</v>
      </c>
      <c r="I5310" s="26">
        <v>41677</v>
      </c>
      <c r="J5310">
        <v>2014</v>
      </c>
      <c r="K5310" t="s">
        <v>26012</v>
      </c>
      <c r="L5310">
        <v>159</v>
      </c>
      <c r="M5310" t="s">
        <v>36687</v>
      </c>
      <c r="N5310">
        <v>1</v>
      </c>
      <c r="Q5310" t="s">
        <v>44559</v>
      </c>
      <c r="R5310">
        <v>616.86</v>
      </c>
      <c r="S5310" t="s">
        <v>44560</v>
      </c>
      <c r="T5310" t="s">
        <v>30</v>
      </c>
      <c r="U5310" t="s">
        <v>26019</v>
      </c>
      <c r="W5310" t="s">
        <v>26009</v>
      </c>
    </row>
    <row r="5311" spans="1:23" x14ac:dyDescent="0.35">
      <c r="A5311">
        <v>1611670</v>
      </c>
      <c r="B5311" t="s">
        <v>44561</v>
      </c>
      <c r="C5311" t="str">
        <f>"9781593327262"</f>
        <v>9781593327262</v>
      </c>
      <c r="D5311" t="str">
        <f>"9781593327545"</f>
        <v>9781593327545</v>
      </c>
      <c r="E5311" t="s">
        <v>39498</v>
      </c>
      <c r="F5311" t="s">
        <v>8775</v>
      </c>
      <c r="G5311" t="s">
        <v>39499</v>
      </c>
      <c r="H5311" t="s">
        <v>26004</v>
      </c>
      <c r="I5311" s="26">
        <v>41685</v>
      </c>
      <c r="J5311">
        <v>2014</v>
      </c>
      <c r="K5311" t="s">
        <v>8775</v>
      </c>
      <c r="L5311">
        <v>167</v>
      </c>
      <c r="M5311" t="s">
        <v>44562</v>
      </c>
      <c r="N5311">
        <v>1</v>
      </c>
      <c r="O5311" t="s">
        <v>39501</v>
      </c>
      <c r="Q5311" t="s">
        <v>44563</v>
      </c>
      <c r="R5311">
        <v>362.10820000000001</v>
      </c>
      <c r="S5311" t="s">
        <v>44564</v>
      </c>
      <c r="T5311" t="s">
        <v>30</v>
      </c>
      <c r="U5311" t="s">
        <v>26094</v>
      </c>
      <c r="W5311" t="s">
        <v>26009</v>
      </c>
    </row>
    <row r="5312" spans="1:23" x14ac:dyDescent="0.35">
      <c r="A5312">
        <v>1611805</v>
      </c>
      <c r="B5312" t="s">
        <v>9215</v>
      </c>
      <c r="C5312" t="str">
        <f>"9780199934959"</f>
        <v>9780199934959</v>
      </c>
      <c r="D5312" t="str">
        <f>"9780199934966"</f>
        <v>9780199934966</v>
      </c>
      <c r="E5312" t="s">
        <v>371</v>
      </c>
      <c r="F5312" t="s">
        <v>31</v>
      </c>
      <c r="G5312" t="s">
        <v>22703</v>
      </c>
      <c r="H5312" t="s">
        <v>26004</v>
      </c>
      <c r="I5312" s="26">
        <v>41450</v>
      </c>
      <c r="J5312">
        <v>2013</v>
      </c>
      <c r="K5312" t="s">
        <v>31</v>
      </c>
      <c r="L5312">
        <v>1259</v>
      </c>
      <c r="M5312" t="s">
        <v>44565</v>
      </c>
      <c r="N5312">
        <v>4</v>
      </c>
      <c r="Q5312" t="s">
        <v>44566</v>
      </c>
      <c r="R5312">
        <v>616.79999999999995</v>
      </c>
      <c r="S5312" t="s">
        <v>28999</v>
      </c>
      <c r="T5312" t="s">
        <v>30</v>
      </c>
      <c r="U5312" t="s">
        <v>26040</v>
      </c>
      <c r="W5312" t="s">
        <v>26009</v>
      </c>
    </row>
    <row r="5313" spans="1:23" x14ac:dyDescent="0.35">
      <c r="A5313">
        <v>1619050</v>
      </c>
      <c r="B5313" t="s">
        <v>44567</v>
      </c>
      <c r="C5313" t="str">
        <f>"9781560240365"</f>
        <v>9781560240365</v>
      </c>
      <c r="D5313" t="str">
        <f>"9781317837862"</f>
        <v>9781317837862</v>
      </c>
      <c r="E5313" t="s">
        <v>26010</v>
      </c>
      <c r="F5313" t="s">
        <v>35</v>
      </c>
      <c r="G5313" t="s">
        <v>26201</v>
      </c>
      <c r="H5313" t="s">
        <v>26011</v>
      </c>
      <c r="I5313" s="26">
        <v>33288</v>
      </c>
      <c r="J5313">
        <v>1991</v>
      </c>
      <c r="K5313" t="s">
        <v>26012</v>
      </c>
      <c r="L5313">
        <v>118</v>
      </c>
      <c r="M5313" t="s">
        <v>44568</v>
      </c>
      <c r="N5313">
        <v>1</v>
      </c>
      <c r="Q5313" t="s">
        <v>44569</v>
      </c>
      <c r="R5313" t="s">
        <v>44570</v>
      </c>
      <c r="S5313" t="s">
        <v>44571</v>
      </c>
      <c r="T5313" t="s">
        <v>30</v>
      </c>
      <c r="U5313" t="s">
        <v>26019</v>
      </c>
      <c r="W5313" t="s">
        <v>26009</v>
      </c>
    </row>
    <row r="5314" spans="1:23" x14ac:dyDescent="0.35">
      <c r="A5314">
        <v>1619063</v>
      </c>
      <c r="B5314" t="s">
        <v>44572</v>
      </c>
      <c r="C5314" t="str">
        <f>"9780815322054"</f>
        <v>9780815322054</v>
      </c>
      <c r="D5314" t="str">
        <f>"9781317777359"</f>
        <v>9781317777359</v>
      </c>
      <c r="E5314" t="s">
        <v>26010</v>
      </c>
      <c r="F5314" t="s">
        <v>35</v>
      </c>
      <c r="G5314" t="s">
        <v>26201</v>
      </c>
      <c r="H5314" t="s">
        <v>26011</v>
      </c>
      <c r="I5314" s="26">
        <v>35796</v>
      </c>
      <c r="J5314">
        <v>1998</v>
      </c>
      <c r="K5314" t="s">
        <v>26012</v>
      </c>
      <c r="L5314">
        <v>311</v>
      </c>
      <c r="M5314" t="s">
        <v>44573</v>
      </c>
      <c r="N5314">
        <v>1</v>
      </c>
      <c r="O5314" t="s">
        <v>44574</v>
      </c>
      <c r="Q5314" t="s">
        <v>44575</v>
      </c>
      <c r="R5314" t="s">
        <v>44576</v>
      </c>
      <c r="S5314" t="s">
        <v>44577</v>
      </c>
      <c r="T5314" t="s">
        <v>30</v>
      </c>
      <c r="U5314" t="s">
        <v>26044</v>
      </c>
      <c r="W5314" t="s">
        <v>26009</v>
      </c>
    </row>
    <row r="5315" spans="1:23" x14ac:dyDescent="0.35">
      <c r="A5315">
        <v>1619166</v>
      </c>
      <c r="B5315" t="s">
        <v>9317</v>
      </c>
      <c r="C5315" t="str">
        <f>"9781560248392"</f>
        <v>9781560248392</v>
      </c>
      <c r="D5315" t="str">
        <f>"9781317837268"</f>
        <v>9781317837268</v>
      </c>
      <c r="E5315" t="s">
        <v>26010</v>
      </c>
      <c r="F5315" t="s">
        <v>35</v>
      </c>
      <c r="G5315" t="s">
        <v>22174</v>
      </c>
      <c r="H5315" t="s">
        <v>26011</v>
      </c>
      <c r="I5315" s="26">
        <v>35290</v>
      </c>
      <c r="J5315">
        <v>1997</v>
      </c>
      <c r="K5315" t="s">
        <v>26012</v>
      </c>
      <c r="L5315">
        <v>110</v>
      </c>
      <c r="M5315" t="s">
        <v>44578</v>
      </c>
      <c r="N5315">
        <v>1</v>
      </c>
      <c r="Q5315" t="s">
        <v>44579</v>
      </c>
      <c r="R5315" t="s">
        <v>29813</v>
      </c>
      <c r="S5315" t="s">
        <v>44580</v>
      </c>
      <c r="T5315" t="s">
        <v>30</v>
      </c>
      <c r="U5315" t="s">
        <v>26019</v>
      </c>
      <c r="W5315" t="s">
        <v>26009</v>
      </c>
    </row>
    <row r="5316" spans="1:23" x14ac:dyDescent="0.35">
      <c r="A5316">
        <v>1619219</v>
      </c>
      <c r="B5316" t="s">
        <v>44581</v>
      </c>
      <c r="C5316" t="str">
        <f>"9781583919576"</f>
        <v>9781583919576</v>
      </c>
      <c r="D5316" t="str">
        <f>"9781317822028"</f>
        <v>9781317822028</v>
      </c>
      <c r="E5316" t="s">
        <v>26010</v>
      </c>
      <c r="F5316" t="s">
        <v>35</v>
      </c>
      <c r="G5316" t="s">
        <v>22174</v>
      </c>
      <c r="H5316" t="s">
        <v>26011</v>
      </c>
      <c r="I5316" s="26">
        <v>38624</v>
      </c>
      <c r="J5316">
        <v>2005</v>
      </c>
      <c r="K5316" t="s">
        <v>26012</v>
      </c>
      <c r="L5316">
        <v>256</v>
      </c>
      <c r="M5316" t="s">
        <v>44582</v>
      </c>
      <c r="N5316">
        <v>1</v>
      </c>
      <c r="Q5316" t="s">
        <v>44583</v>
      </c>
      <c r="R5316" t="s">
        <v>44584</v>
      </c>
      <c r="S5316" t="s">
        <v>8771</v>
      </c>
      <c r="T5316" t="s">
        <v>30</v>
      </c>
      <c r="U5316" t="s">
        <v>26019</v>
      </c>
      <c r="W5316" t="s">
        <v>26009</v>
      </c>
    </row>
    <row r="5317" spans="1:23" x14ac:dyDescent="0.35">
      <c r="A5317">
        <v>1619253</v>
      </c>
      <c r="B5317" t="s">
        <v>44585</v>
      </c>
      <c r="C5317" t="str">
        <f>"9781841690629"</f>
        <v>9781841690629</v>
      </c>
      <c r="D5317" t="str">
        <f>"9781317762775"</f>
        <v>9781317762775</v>
      </c>
      <c r="E5317" t="s">
        <v>26010</v>
      </c>
      <c r="F5317" t="s">
        <v>35</v>
      </c>
      <c r="G5317" t="s">
        <v>22174</v>
      </c>
      <c r="H5317" t="s">
        <v>26011</v>
      </c>
      <c r="I5317" s="26">
        <v>37386</v>
      </c>
      <c r="J5317">
        <v>2004</v>
      </c>
      <c r="K5317" t="s">
        <v>660</v>
      </c>
      <c r="L5317">
        <v>424</v>
      </c>
      <c r="M5317" t="s">
        <v>44586</v>
      </c>
      <c r="N5317">
        <v>1</v>
      </c>
      <c r="O5317" t="s">
        <v>30069</v>
      </c>
      <c r="Q5317" t="s">
        <v>44587</v>
      </c>
      <c r="R5317">
        <v>302</v>
      </c>
      <c r="S5317" t="s">
        <v>7707</v>
      </c>
      <c r="T5317" t="s">
        <v>30</v>
      </c>
      <c r="U5317" t="s">
        <v>26228</v>
      </c>
      <c r="W5317" t="s">
        <v>26009</v>
      </c>
    </row>
    <row r="5318" spans="1:23" x14ac:dyDescent="0.35">
      <c r="A5318">
        <v>1619264</v>
      </c>
      <c r="B5318" t="s">
        <v>44588</v>
      </c>
      <c r="C5318" t="str">
        <f>"9780415230582"</f>
        <v>9780415230582</v>
      </c>
      <c r="D5318" t="str">
        <f>"9781136361739"</f>
        <v>9781136361739</v>
      </c>
      <c r="E5318" t="s">
        <v>26010</v>
      </c>
      <c r="F5318" t="s">
        <v>35</v>
      </c>
      <c r="G5318" t="s">
        <v>26128</v>
      </c>
      <c r="H5318" t="s">
        <v>26011</v>
      </c>
      <c r="I5318" s="26">
        <v>37557</v>
      </c>
      <c r="J5318">
        <v>2002</v>
      </c>
      <c r="K5318" t="s">
        <v>26012</v>
      </c>
      <c r="L5318">
        <v>191</v>
      </c>
      <c r="M5318" t="s">
        <v>44589</v>
      </c>
      <c r="N5318">
        <v>1</v>
      </c>
      <c r="S5318" t="s">
        <v>8077</v>
      </c>
      <c r="T5318" t="s">
        <v>30</v>
      </c>
      <c r="U5318" t="s">
        <v>26179</v>
      </c>
      <c r="W5318" t="s">
        <v>26009</v>
      </c>
    </row>
    <row r="5319" spans="1:23" x14ac:dyDescent="0.35">
      <c r="A5319">
        <v>1619272</v>
      </c>
      <c r="B5319" t="s">
        <v>44590</v>
      </c>
      <c r="C5319" t="str">
        <f>"9780789008237"</f>
        <v>9780789008237</v>
      </c>
      <c r="D5319" t="str">
        <f>"9781317708896"</f>
        <v>9781317708896</v>
      </c>
      <c r="E5319" t="s">
        <v>26010</v>
      </c>
      <c r="F5319" t="s">
        <v>35</v>
      </c>
      <c r="G5319" t="s">
        <v>26201</v>
      </c>
      <c r="H5319" t="s">
        <v>26011</v>
      </c>
      <c r="I5319" s="26">
        <v>36496</v>
      </c>
      <c r="J5319">
        <v>1999</v>
      </c>
      <c r="K5319" t="s">
        <v>26012</v>
      </c>
      <c r="L5319">
        <v>147</v>
      </c>
      <c r="M5319" t="s">
        <v>44591</v>
      </c>
      <c r="N5319">
        <v>1</v>
      </c>
      <c r="Q5319" t="s">
        <v>44592</v>
      </c>
      <c r="R5319" t="s">
        <v>28066</v>
      </c>
      <c r="S5319" t="s">
        <v>44593</v>
      </c>
      <c r="T5319" t="s">
        <v>30</v>
      </c>
      <c r="U5319" t="s">
        <v>26116</v>
      </c>
      <c r="W5319" t="s">
        <v>26009</v>
      </c>
    </row>
    <row r="5320" spans="1:23" x14ac:dyDescent="0.35">
      <c r="A5320">
        <v>1619312</v>
      </c>
      <c r="B5320" t="s">
        <v>8521</v>
      </c>
      <c r="C5320" t="str">
        <f>"9780866563376"</f>
        <v>9780866563376</v>
      </c>
      <c r="D5320" t="str">
        <f>"9781317735298"</f>
        <v>9781317735298</v>
      </c>
      <c r="E5320" t="s">
        <v>26010</v>
      </c>
      <c r="F5320" t="s">
        <v>35</v>
      </c>
      <c r="G5320" t="s">
        <v>26201</v>
      </c>
      <c r="H5320" t="s">
        <v>26011</v>
      </c>
      <c r="I5320" s="26">
        <v>30682</v>
      </c>
      <c r="J5320">
        <v>1984</v>
      </c>
      <c r="K5320" t="s">
        <v>26012</v>
      </c>
      <c r="L5320">
        <v>125</v>
      </c>
      <c r="M5320" t="s">
        <v>44594</v>
      </c>
      <c r="N5320">
        <v>1</v>
      </c>
      <c r="Q5320" t="s">
        <v>44595</v>
      </c>
      <c r="R5320">
        <v>362.6</v>
      </c>
      <c r="S5320" t="s">
        <v>44596</v>
      </c>
      <c r="T5320" t="s">
        <v>30</v>
      </c>
      <c r="U5320" t="s">
        <v>26044</v>
      </c>
      <c r="W5320" t="s">
        <v>26009</v>
      </c>
    </row>
    <row r="5321" spans="1:23" x14ac:dyDescent="0.35">
      <c r="A5321">
        <v>1619318</v>
      </c>
      <c r="B5321" t="s">
        <v>9397</v>
      </c>
      <c r="C5321" t="str">
        <f>"9780866565868"</f>
        <v>9780866565868</v>
      </c>
      <c r="D5321" t="str">
        <f>"9781317735687"</f>
        <v>9781317735687</v>
      </c>
      <c r="E5321" t="s">
        <v>26010</v>
      </c>
      <c r="F5321" t="s">
        <v>35</v>
      </c>
      <c r="G5321" t="s">
        <v>26201</v>
      </c>
      <c r="H5321" t="s">
        <v>26011</v>
      </c>
      <c r="I5321" s="26">
        <v>31645</v>
      </c>
      <c r="J5321">
        <v>1986</v>
      </c>
      <c r="K5321" t="s">
        <v>26012</v>
      </c>
      <c r="L5321">
        <v>141</v>
      </c>
      <c r="M5321" t="s">
        <v>44597</v>
      </c>
      <c r="N5321">
        <v>1</v>
      </c>
      <c r="Q5321" t="s">
        <v>44598</v>
      </c>
      <c r="R5321" t="s">
        <v>44599</v>
      </c>
      <c r="S5321" t="s">
        <v>44600</v>
      </c>
      <c r="T5321" t="s">
        <v>30</v>
      </c>
      <c r="U5321" t="s">
        <v>26094</v>
      </c>
      <c r="W5321" t="s">
        <v>26009</v>
      </c>
    </row>
    <row r="5322" spans="1:23" x14ac:dyDescent="0.35">
      <c r="A5322">
        <v>1619361</v>
      </c>
      <c r="B5322" t="s">
        <v>44601</v>
      </c>
      <c r="C5322" t="str">
        <f>"9781583917169"</f>
        <v>9781583917169</v>
      </c>
      <c r="D5322" t="str">
        <f>"9781317710547"</f>
        <v>9781317710547</v>
      </c>
      <c r="E5322" t="s">
        <v>26010</v>
      </c>
      <c r="F5322" t="s">
        <v>35</v>
      </c>
      <c r="G5322" t="s">
        <v>22174</v>
      </c>
      <c r="H5322" t="s">
        <v>26011</v>
      </c>
      <c r="I5322" s="26">
        <v>38552</v>
      </c>
      <c r="J5322">
        <v>2005</v>
      </c>
      <c r="K5322" t="s">
        <v>26012</v>
      </c>
      <c r="L5322">
        <v>132</v>
      </c>
      <c r="M5322" t="s">
        <v>38142</v>
      </c>
      <c r="N5322">
        <v>1</v>
      </c>
      <c r="O5322" t="s">
        <v>26344</v>
      </c>
      <c r="Q5322" t="s">
        <v>44602</v>
      </c>
      <c r="R5322">
        <v>616.89</v>
      </c>
      <c r="S5322" t="s">
        <v>7514</v>
      </c>
      <c r="T5322" t="s">
        <v>30</v>
      </c>
      <c r="U5322" t="s">
        <v>26019</v>
      </c>
      <c r="W5322" t="s">
        <v>26009</v>
      </c>
    </row>
    <row r="5323" spans="1:23" x14ac:dyDescent="0.35">
      <c r="A5323">
        <v>1619383</v>
      </c>
      <c r="B5323" t="s">
        <v>9640</v>
      </c>
      <c r="C5323" t="str">
        <f>"9780866564618"</f>
        <v>9780866564618</v>
      </c>
      <c r="D5323" t="str">
        <f>"9781317840299"</f>
        <v>9781317840299</v>
      </c>
      <c r="E5323" t="s">
        <v>26010</v>
      </c>
      <c r="F5323" t="s">
        <v>35</v>
      </c>
      <c r="G5323" t="s">
        <v>22174</v>
      </c>
      <c r="H5323" t="s">
        <v>26011</v>
      </c>
      <c r="I5323" s="26">
        <v>31778</v>
      </c>
      <c r="J5323">
        <v>1987</v>
      </c>
      <c r="K5323" t="s">
        <v>26012</v>
      </c>
      <c r="L5323">
        <v>161</v>
      </c>
      <c r="M5323" t="s">
        <v>44603</v>
      </c>
      <c r="N5323">
        <v>1</v>
      </c>
      <c r="Q5323" t="s">
        <v>44604</v>
      </c>
      <c r="R5323">
        <v>616.029</v>
      </c>
      <c r="S5323" t="s">
        <v>44605</v>
      </c>
      <c r="T5323" t="s">
        <v>30</v>
      </c>
      <c r="U5323" t="s">
        <v>26040</v>
      </c>
      <c r="W5323" t="s">
        <v>26009</v>
      </c>
    </row>
    <row r="5324" spans="1:23" x14ac:dyDescent="0.35">
      <c r="A5324">
        <v>1619396</v>
      </c>
      <c r="B5324" t="s">
        <v>44606</v>
      </c>
      <c r="C5324" t="str">
        <f>"9781583911921"</f>
        <v>9781583911921</v>
      </c>
      <c r="D5324" t="str">
        <f>"9781317763048"</f>
        <v>9781317763048</v>
      </c>
      <c r="E5324" t="s">
        <v>26010</v>
      </c>
      <c r="F5324" t="s">
        <v>35</v>
      </c>
      <c r="G5324" t="s">
        <v>22174</v>
      </c>
      <c r="H5324" t="s">
        <v>26011</v>
      </c>
      <c r="I5324" s="26">
        <v>37330</v>
      </c>
      <c r="J5324">
        <v>2002</v>
      </c>
      <c r="K5324" t="s">
        <v>26012</v>
      </c>
      <c r="L5324">
        <v>143</v>
      </c>
      <c r="M5324" t="s">
        <v>44607</v>
      </c>
      <c r="N5324">
        <v>1</v>
      </c>
      <c r="Q5324" t="s">
        <v>44608</v>
      </c>
      <c r="R5324" t="s">
        <v>27929</v>
      </c>
      <c r="S5324" t="s">
        <v>10011</v>
      </c>
      <c r="T5324" t="s">
        <v>30</v>
      </c>
      <c r="U5324" t="s">
        <v>26099</v>
      </c>
      <c r="W5324" t="s">
        <v>26009</v>
      </c>
    </row>
    <row r="5325" spans="1:23" x14ac:dyDescent="0.35">
      <c r="A5325">
        <v>1619415</v>
      </c>
      <c r="B5325" t="s">
        <v>44609</v>
      </c>
      <c r="C5325" t="str">
        <f>"9780866568586"</f>
        <v>9780866568586</v>
      </c>
      <c r="D5325" t="str">
        <f>"9781317736226"</f>
        <v>9781317736226</v>
      </c>
      <c r="E5325" t="s">
        <v>26010</v>
      </c>
      <c r="F5325" t="s">
        <v>35</v>
      </c>
      <c r="G5325" t="s">
        <v>26128</v>
      </c>
      <c r="H5325" t="s">
        <v>26011</v>
      </c>
      <c r="I5325" s="26">
        <v>32566</v>
      </c>
      <c r="J5325">
        <v>1989</v>
      </c>
      <c r="K5325" t="s">
        <v>26012</v>
      </c>
      <c r="L5325">
        <v>187</v>
      </c>
      <c r="M5325" t="s">
        <v>28437</v>
      </c>
      <c r="N5325">
        <v>1</v>
      </c>
      <c r="Q5325" t="s">
        <v>44610</v>
      </c>
      <c r="R5325" t="s">
        <v>44611</v>
      </c>
      <c r="S5325" t="s">
        <v>44612</v>
      </c>
      <c r="T5325" t="s">
        <v>30</v>
      </c>
      <c r="U5325" t="s">
        <v>26044</v>
      </c>
      <c r="W5325" t="s">
        <v>26009</v>
      </c>
    </row>
    <row r="5326" spans="1:23" x14ac:dyDescent="0.35">
      <c r="A5326">
        <v>1629282</v>
      </c>
      <c r="B5326" t="s">
        <v>44613</v>
      </c>
      <c r="C5326" t="str">
        <f>"9781459728592"</f>
        <v>9781459728592</v>
      </c>
      <c r="D5326" t="str">
        <f>"9781459728585"</f>
        <v>9781459728585</v>
      </c>
      <c r="E5326" t="s">
        <v>40165</v>
      </c>
      <c r="F5326" t="s">
        <v>40166</v>
      </c>
      <c r="G5326" t="s">
        <v>22634</v>
      </c>
      <c r="H5326" t="s">
        <v>28207</v>
      </c>
      <c r="I5326" s="26">
        <v>41996</v>
      </c>
      <c r="J5326">
        <v>2014</v>
      </c>
      <c r="K5326" t="s">
        <v>40166</v>
      </c>
      <c r="L5326">
        <v>257</v>
      </c>
      <c r="M5326" t="s">
        <v>44614</v>
      </c>
      <c r="N5326">
        <v>1</v>
      </c>
      <c r="Q5326" t="s">
        <v>44615</v>
      </c>
      <c r="R5326" t="s">
        <v>28279</v>
      </c>
      <c r="S5326" t="s">
        <v>8431</v>
      </c>
      <c r="T5326" t="s">
        <v>30</v>
      </c>
      <c r="U5326" t="s">
        <v>26019</v>
      </c>
      <c r="W5326" t="s">
        <v>26009</v>
      </c>
    </row>
    <row r="5327" spans="1:23" x14ac:dyDescent="0.35">
      <c r="A5327">
        <v>1629466</v>
      </c>
      <c r="B5327" t="s">
        <v>44616</v>
      </c>
      <c r="C5327" t="str">
        <f>"9781780491486"</f>
        <v>9781780491486</v>
      </c>
      <c r="D5327" t="str">
        <f>"9781782411765"</f>
        <v>9781782411765</v>
      </c>
      <c r="E5327" t="s">
        <v>26010</v>
      </c>
      <c r="F5327" t="s">
        <v>35</v>
      </c>
      <c r="G5327" t="s">
        <v>22174</v>
      </c>
      <c r="H5327" t="s">
        <v>26011</v>
      </c>
      <c r="I5327" s="26">
        <v>41688</v>
      </c>
      <c r="J5327">
        <v>2014</v>
      </c>
      <c r="K5327" t="s">
        <v>26012</v>
      </c>
      <c r="L5327">
        <v>304</v>
      </c>
      <c r="M5327" t="s">
        <v>44617</v>
      </c>
      <c r="N5327">
        <v>3</v>
      </c>
      <c r="Q5327" t="s">
        <v>44618</v>
      </c>
      <c r="R5327" t="s">
        <v>26759</v>
      </c>
      <c r="S5327" t="s">
        <v>44619</v>
      </c>
      <c r="T5327" t="s">
        <v>30</v>
      </c>
      <c r="U5327" t="s">
        <v>46</v>
      </c>
      <c r="W5327" t="s">
        <v>26009</v>
      </c>
    </row>
    <row r="5328" spans="1:23" x14ac:dyDescent="0.35">
      <c r="A5328">
        <v>1629467</v>
      </c>
      <c r="B5328" t="s">
        <v>44620</v>
      </c>
      <c r="C5328" t="str">
        <f>"9781782200529"</f>
        <v>9781782200529</v>
      </c>
      <c r="D5328" t="str">
        <f>"9781782411895"</f>
        <v>9781782411895</v>
      </c>
      <c r="E5328" t="s">
        <v>26010</v>
      </c>
      <c r="F5328" t="s">
        <v>35</v>
      </c>
      <c r="G5328" t="s">
        <v>22174</v>
      </c>
      <c r="H5328" t="s">
        <v>26011</v>
      </c>
      <c r="I5328" s="26">
        <v>41680</v>
      </c>
      <c r="J5328">
        <v>2014</v>
      </c>
      <c r="K5328" t="s">
        <v>26012</v>
      </c>
      <c r="L5328">
        <v>305</v>
      </c>
      <c r="M5328" t="s">
        <v>44621</v>
      </c>
      <c r="N5328">
        <v>1</v>
      </c>
      <c r="Q5328" t="s">
        <v>44622</v>
      </c>
      <c r="R5328">
        <v>155.91999999999999</v>
      </c>
      <c r="S5328" t="s">
        <v>7679</v>
      </c>
      <c r="T5328" t="s">
        <v>30</v>
      </c>
      <c r="U5328" t="s">
        <v>46</v>
      </c>
      <c r="W5328" t="s">
        <v>26009</v>
      </c>
    </row>
    <row r="5329" spans="1:23" x14ac:dyDescent="0.35">
      <c r="A5329">
        <v>1630249</v>
      </c>
      <c r="B5329" t="s">
        <v>44623</v>
      </c>
      <c r="C5329" t="str">
        <f>""</f>
        <v/>
      </c>
      <c r="D5329" t="str">
        <f>"9781775587033"</f>
        <v>9781775587033</v>
      </c>
      <c r="E5329" t="s">
        <v>27422</v>
      </c>
      <c r="F5329" t="s">
        <v>10205</v>
      </c>
      <c r="G5329" t="s">
        <v>22748</v>
      </c>
      <c r="H5329" t="s">
        <v>26004</v>
      </c>
      <c r="I5329" s="26">
        <v>41644</v>
      </c>
      <c r="J5329">
        <v>2014</v>
      </c>
      <c r="K5329" t="s">
        <v>10205</v>
      </c>
      <c r="L5329">
        <v>184</v>
      </c>
      <c r="M5329" t="s">
        <v>44624</v>
      </c>
      <c r="Q5329" t="s">
        <v>44625</v>
      </c>
      <c r="R5329">
        <v>612.79999999999995</v>
      </c>
      <c r="S5329" t="s">
        <v>44626</v>
      </c>
      <c r="T5329" t="s">
        <v>30</v>
      </c>
      <c r="U5329" t="s">
        <v>44627</v>
      </c>
      <c r="W5329" t="s">
        <v>44628</v>
      </c>
    </row>
    <row r="5330" spans="1:23" x14ac:dyDescent="0.35">
      <c r="A5330">
        <v>1630367</v>
      </c>
      <c r="B5330" t="s">
        <v>10088</v>
      </c>
      <c r="C5330" t="str">
        <f>"9781780937267"</f>
        <v>9781780937267</v>
      </c>
      <c r="D5330" t="str">
        <f>"9781780937199"</f>
        <v>9781780937199</v>
      </c>
      <c r="E5330" t="s">
        <v>31671</v>
      </c>
      <c r="F5330" t="s">
        <v>7760</v>
      </c>
      <c r="G5330" t="s">
        <v>22174</v>
      </c>
      <c r="H5330" t="s">
        <v>26011</v>
      </c>
      <c r="I5330" s="26">
        <v>41711</v>
      </c>
      <c r="J5330">
        <v>2014</v>
      </c>
      <c r="K5330" t="s">
        <v>44629</v>
      </c>
      <c r="L5330">
        <v>289</v>
      </c>
      <c r="M5330" t="s">
        <v>41881</v>
      </c>
      <c r="N5330">
        <v>1</v>
      </c>
      <c r="Q5330" t="s">
        <v>44630</v>
      </c>
      <c r="R5330">
        <v>610.19000000000005</v>
      </c>
      <c r="S5330" t="s">
        <v>10089</v>
      </c>
      <c r="T5330" t="s">
        <v>30</v>
      </c>
      <c r="U5330" t="s">
        <v>26040</v>
      </c>
      <c r="W5330" t="s">
        <v>28347</v>
      </c>
    </row>
    <row r="5331" spans="1:23" x14ac:dyDescent="0.35">
      <c r="A5331">
        <v>1630568</v>
      </c>
      <c r="B5331" t="s">
        <v>9330</v>
      </c>
      <c r="C5331" t="str">
        <f>"9780199874019"</f>
        <v>9780199874019</v>
      </c>
      <c r="D5331" t="str">
        <f>"9780199874026"</f>
        <v>9780199874026</v>
      </c>
      <c r="E5331" t="s">
        <v>371</v>
      </c>
      <c r="F5331" t="s">
        <v>31</v>
      </c>
      <c r="G5331" t="s">
        <v>22179</v>
      </c>
      <c r="H5331" t="s">
        <v>26004</v>
      </c>
      <c r="I5331" s="26">
        <v>41725</v>
      </c>
      <c r="J5331">
        <v>2014</v>
      </c>
      <c r="K5331" t="s">
        <v>31</v>
      </c>
      <c r="L5331">
        <v>610</v>
      </c>
      <c r="M5331" t="s">
        <v>44631</v>
      </c>
      <c r="O5331" t="s">
        <v>40610</v>
      </c>
      <c r="Q5331" t="s">
        <v>44632</v>
      </c>
      <c r="R5331">
        <v>150.71100000000001</v>
      </c>
      <c r="S5331" t="s">
        <v>44633</v>
      </c>
      <c r="T5331" t="s">
        <v>30</v>
      </c>
      <c r="U5331" t="s">
        <v>46</v>
      </c>
      <c r="W5331" t="s">
        <v>26009</v>
      </c>
    </row>
    <row r="5332" spans="1:23" x14ac:dyDescent="0.35">
      <c r="A5332">
        <v>1630569</v>
      </c>
      <c r="B5332" t="s">
        <v>7844</v>
      </c>
      <c r="C5332" t="str">
        <f>"9780199926480"</f>
        <v>9780199926480</v>
      </c>
      <c r="D5332" t="str">
        <f>"9780199368495"</f>
        <v>9780199368495</v>
      </c>
      <c r="E5332" t="s">
        <v>371</v>
      </c>
      <c r="F5332" t="s">
        <v>31</v>
      </c>
      <c r="G5332" t="s">
        <v>22179</v>
      </c>
      <c r="H5332" t="s">
        <v>26004</v>
      </c>
      <c r="I5332" s="26">
        <v>41719</v>
      </c>
      <c r="J5332">
        <v>2014</v>
      </c>
      <c r="K5332" t="s">
        <v>31</v>
      </c>
      <c r="L5332">
        <v>194</v>
      </c>
      <c r="M5332" t="s">
        <v>44634</v>
      </c>
      <c r="Q5332" t="s">
        <v>44635</v>
      </c>
      <c r="R5332">
        <v>616.89099999999996</v>
      </c>
      <c r="S5332" t="s">
        <v>44636</v>
      </c>
      <c r="T5332" t="s">
        <v>30</v>
      </c>
      <c r="U5332" t="s">
        <v>26116</v>
      </c>
      <c r="W5332" t="s">
        <v>26009</v>
      </c>
    </row>
    <row r="5333" spans="1:23" x14ac:dyDescent="0.35">
      <c r="A5333">
        <v>1630622</v>
      </c>
      <c r="B5333" t="s">
        <v>8430</v>
      </c>
      <c r="C5333" t="str">
        <f>"9780199856169"</f>
        <v>9780199856169</v>
      </c>
      <c r="D5333" t="str">
        <f>"9780199383962"</f>
        <v>9780199383962</v>
      </c>
      <c r="E5333" t="s">
        <v>371</v>
      </c>
      <c r="F5333" t="s">
        <v>31</v>
      </c>
      <c r="G5333" t="s">
        <v>22703</v>
      </c>
      <c r="H5333" t="s">
        <v>26004</v>
      </c>
      <c r="I5333" s="26">
        <v>41653</v>
      </c>
      <c r="J5333">
        <v>2013</v>
      </c>
      <c r="K5333" t="s">
        <v>31</v>
      </c>
      <c r="L5333">
        <v>231</v>
      </c>
      <c r="M5333" t="s">
        <v>44637</v>
      </c>
      <c r="O5333" t="s">
        <v>35758</v>
      </c>
      <c r="Q5333" t="s">
        <v>44638</v>
      </c>
      <c r="R5333">
        <v>1.42</v>
      </c>
      <c r="S5333" t="s">
        <v>44639</v>
      </c>
      <c r="T5333" t="s">
        <v>30</v>
      </c>
      <c r="U5333" t="s">
        <v>28449</v>
      </c>
      <c r="W5333" t="s">
        <v>26009</v>
      </c>
    </row>
    <row r="5334" spans="1:23" x14ac:dyDescent="0.35">
      <c r="A5334">
        <v>1630623</v>
      </c>
      <c r="B5334" t="s">
        <v>9091</v>
      </c>
      <c r="C5334" t="str">
        <f>"9780199860753"</f>
        <v>9780199860753</v>
      </c>
      <c r="D5334" t="str">
        <f>"9780199393473"</f>
        <v>9780199393473</v>
      </c>
      <c r="E5334" t="s">
        <v>371</v>
      </c>
      <c r="F5334" t="s">
        <v>31</v>
      </c>
      <c r="G5334" t="s">
        <v>22179</v>
      </c>
      <c r="H5334" t="s">
        <v>26004</v>
      </c>
      <c r="I5334" s="26">
        <v>41736</v>
      </c>
      <c r="J5334">
        <v>2014</v>
      </c>
      <c r="K5334" t="s">
        <v>31</v>
      </c>
      <c r="L5334">
        <v>322</v>
      </c>
      <c r="M5334" t="s">
        <v>44640</v>
      </c>
      <c r="O5334" t="s">
        <v>43832</v>
      </c>
      <c r="Q5334" t="s">
        <v>44641</v>
      </c>
      <c r="R5334">
        <v>617.79999999999995</v>
      </c>
      <c r="S5334" t="s">
        <v>44642</v>
      </c>
      <c r="T5334" t="s">
        <v>30</v>
      </c>
      <c r="U5334" t="s">
        <v>26116</v>
      </c>
      <c r="W5334" t="s">
        <v>26009</v>
      </c>
    </row>
    <row r="5335" spans="1:23" x14ac:dyDescent="0.35">
      <c r="A5335">
        <v>1630626</v>
      </c>
      <c r="B5335" t="s">
        <v>9332</v>
      </c>
      <c r="C5335" t="str">
        <f>"9780199937783"</f>
        <v>9780199937783</v>
      </c>
      <c r="D5335" t="str">
        <f>"9780199937790"</f>
        <v>9780199937790</v>
      </c>
      <c r="E5335" t="s">
        <v>371</v>
      </c>
      <c r="F5335" t="s">
        <v>31</v>
      </c>
      <c r="G5335" t="s">
        <v>22703</v>
      </c>
      <c r="H5335" t="s">
        <v>26004</v>
      </c>
      <c r="I5335" s="26">
        <v>41646</v>
      </c>
      <c r="J5335">
        <v>2013</v>
      </c>
      <c r="K5335" t="s">
        <v>31</v>
      </c>
      <c r="L5335">
        <v>433</v>
      </c>
      <c r="M5335" t="s">
        <v>30076</v>
      </c>
      <c r="O5335" t="s">
        <v>40610</v>
      </c>
      <c r="Q5335" t="s">
        <v>44643</v>
      </c>
      <c r="R5335">
        <v>616.85839999999996</v>
      </c>
      <c r="S5335" t="s">
        <v>44644</v>
      </c>
      <c r="T5335" t="s">
        <v>30</v>
      </c>
      <c r="U5335" t="s">
        <v>26019</v>
      </c>
      <c r="W5335" t="s">
        <v>26009</v>
      </c>
    </row>
    <row r="5336" spans="1:23" x14ac:dyDescent="0.35">
      <c r="A5336">
        <v>1630627</v>
      </c>
      <c r="B5336" t="s">
        <v>44645</v>
      </c>
      <c r="C5336" t="str">
        <f>"9780199941575"</f>
        <v>9780199941575</v>
      </c>
      <c r="D5336" t="str">
        <f>"9780199941582"</f>
        <v>9780199941582</v>
      </c>
      <c r="E5336" t="s">
        <v>371</v>
      </c>
      <c r="F5336" t="s">
        <v>31</v>
      </c>
      <c r="G5336" t="s">
        <v>22179</v>
      </c>
      <c r="H5336" t="s">
        <v>26004</v>
      </c>
      <c r="I5336" s="26">
        <v>41733</v>
      </c>
      <c r="J5336">
        <v>2014</v>
      </c>
      <c r="K5336" t="s">
        <v>31</v>
      </c>
      <c r="L5336">
        <v>290</v>
      </c>
      <c r="M5336" t="s">
        <v>36352</v>
      </c>
      <c r="Q5336" t="s">
        <v>44646</v>
      </c>
      <c r="R5336" t="s">
        <v>28378</v>
      </c>
      <c r="S5336" t="s">
        <v>44647</v>
      </c>
      <c r="T5336" t="s">
        <v>30</v>
      </c>
      <c r="U5336" t="s">
        <v>26019</v>
      </c>
      <c r="W5336" t="s">
        <v>26009</v>
      </c>
    </row>
    <row r="5337" spans="1:23" x14ac:dyDescent="0.35">
      <c r="A5337">
        <v>1634168</v>
      </c>
      <c r="B5337" t="s">
        <v>44648</v>
      </c>
      <c r="C5337" t="str">
        <f>"9780761862925"</f>
        <v>9780761862925</v>
      </c>
      <c r="D5337" t="str">
        <f>"9780761862932"</f>
        <v>9780761862932</v>
      </c>
      <c r="E5337" t="s">
        <v>33803</v>
      </c>
      <c r="F5337" t="s">
        <v>34051</v>
      </c>
      <c r="G5337" t="s">
        <v>33804</v>
      </c>
      <c r="H5337" t="s">
        <v>26004</v>
      </c>
      <c r="I5337" s="26">
        <v>41632</v>
      </c>
      <c r="J5337">
        <v>2013</v>
      </c>
      <c r="K5337" t="s">
        <v>34051</v>
      </c>
      <c r="L5337">
        <v>154</v>
      </c>
      <c r="M5337" t="s">
        <v>44649</v>
      </c>
      <c r="N5337">
        <v>1</v>
      </c>
      <c r="Q5337" t="s">
        <v>44650</v>
      </c>
      <c r="R5337">
        <v>130</v>
      </c>
      <c r="S5337" t="s">
        <v>44651</v>
      </c>
      <c r="T5337" t="s">
        <v>30</v>
      </c>
      <c r="U5337" t="s">
        <v>26679</v>
      </c>
      <c r="W5337" t="s">
        <v>26009</v>
      </c>
    </row>
    <row r="5338" spans="1:23" x14ac:dyDescent="0.35">
      <c r="A5338">
        <v>1634850</v>
      </c>
      <c r="B5338" t="s">
        <v>8812</v>
      </c>
      <c r="C5338" t="str">
        <f>"9780231167857"</f>
        <v>9780231167857</v>
      </c>
      <c r="D5338" t="str">
        <f>"9780231536936"</f>
        <v>9780231536936</v>
      </c>
      <c r="E5338" t="s">
        <v>31708</v>
      </c>
      <c r="F5338" t="s">
        <v>294</v>
      </c>
      <c r="G5338" t="s">
        <v>22179</v>
      </c>
      <c r="H5338" t="s">
        <v>26004</v>
      </c>
      <c r="I5338" s="26">
        <v>41786</v>
      </c>
      <c r="J5338">
        <v>2014</v>
      </c>
      <c r="K5338" t="s">
        <v>294</v>
      </c>
      <c r="L5338">
        <v>283</v>
      </c>
      <c r="M5338" t="s">
        <v>44652</v>
      </c>
      <c r="O5338" t="s">
        <v>44653</v>
      </c>
      <c r="Q5338" t="s">
        <v>44654</v>
      </c>
      <c r="R5338">
        <v>306.89999999999998</v>
      </c>
      <c r="S5338" t="s">
        <v>8813</v>
      </c>
      <c r="T5338" t="s">
        <v>30</v>
      </c>
      <c r="U5338" t="s">
        <v>26228</v>
      </c>
      <c r="W5338" t="s">
        <v>28347</v>
      </c>
    </row>
    <row r="5339" spans="1:23" x14ac:dyDescent="0.35">
      <c r="A5339">
        <v>1635707</v>
      </c>
      <c r="B5339" t="s">
        <v>29954</v>
      </c>
      <c r="C5339" t="str">
        <f>"9780826110190"</f>
        <v>9780826110190</v>
      </c>
      <c r="D5339" t="str">
        <f>"9780826110206"</f>
        <v>9780826110206</v>
      </c>
      <c r="E5339" t="s">
        <v>1504</v>
      </c>
      <c r="F5339" t="s">
        <v>33</v>
      </c>
      <c r="G5339" t="s">
        <v>22179</v>
      </c>
      <c r="H5339" t="s">
        <v>26004</v>
      </c>
      <c r="I5339" s="26">
        <v>41548</v>
      </c>
      <c r="J5339">
        <v>2013</v>
      </c>
      <c r="K5339" t="s">
        <v>33</v>
      </c>
      <c r="L5339">
        <v>303</v>
      </c>
      <c r="M5339" t="s">
        <v>29955</v>
      </c>
      <c r="N5339">
        <v>2</v>
      </c>
      <c r="R5339" t="s">
        <v>29957</v>
      </c>
      <c r="S5339" t="s">
        <v>29958</v>
      </c>
      <c r="T5339" t="s">
        <v>30</v>
      </c>
      <c r="U5339" t="s">
        <v>26044</v>
      </c>
      <c r="W5339" t="s">
        <v>26009</v>
      </c>
    </row>
    <row r="5340" spans="1:23" x14ac:dyDescent="0.35">
      <c r="A5340">
        <v>1637548</v>
      </c>
      <c r="B5340" t="s">
        <v>44655</v>
      </c>
      <c r="C5340" t="str">
        <f>"9781446211106"</f>
        <v>9781446211106</v>
      </c>
      <c r="D5340" t="str">
        <f>"9781446287248"</f>
        <v>9781446287248</v>
      </c>
      <c r="E5340" t="s">
        <v>28007</v>
      </c>
      <c r="F5340" t="s">
        <v>7430</v>
      </c>
      <c r="G5340" t="s">
        <v>22174</v>
      </c>
      <c r="H5340" t="s">
        <v>26011</v>
      </c>
      <c r="I5340" s="26">
        <v>41582</v>
      </c>
      <c r="J5340">
        <v>2013</v>
      </c>
      <c r="K5340" t="s">
        <v>7430</v>
      </c>
      <c r="L5340">
        <v>186</v>
      </c>
      <c r="M5340" t="s">
        <v>44656</v>
      </c>
      <c r="N5340">
        <v>1</v>
      </c>
      <c r="Q5340" t="s">
        <v>44657</v>
      </c>
      <c r="R5340">
        <v>616.89139999999998</v>
      </c>
      <c r="S5340" t="s">
        <v>44658</v>
      </c>
      <c r="T5340" t="s">
        <v>30</v>
      </c>
      <c r="U5340" t="s">
        <v>26019</v>
      </c>
      <c r="W5340" t="s">
        <v>26009</v>
      </c>
    </row>
    <row r="5341" spans="1:23" x14ac:dyDescent="0.35">
      <c r="A5341">
        <v>1637610</v>
      </c>
      <c r="B5341" t="s">
        <v>44659</v>
      </c>
      <c r="C5341" t="str">
        <f>"9781782200345"</f>
        <v>9781782200345</v>
      </c>
      <c r="D5341" t="str">
        <f>"9781782411512"</f>
        <v>9781782411512</v>
      </c>
      <c r="E5341" t="s">
        <v>26010</v>
      </c>
      <c r="F5341" t="s">
        <v>35</v>
      </c>
      <c r="G5341" t="s">
        <v>22174</v>
      </c>
      <c r="H5341" t="s">
        <v>26011</v>
      </c>
      <c r="I5341" s="26">
        <v>41694</v>
      </c>
      <c r="J5341">
        <v>2014</v>
      </c>
      <c r="K5341" t="s">
        <v>26012</v>
      </c>
      <c r="L5341">
        <v>401</v>
      </c>
      <c r="M5341" t="s">
        <v>44660</v>
      </c>
      <c r="N5341">
        <v>1</v>
      </c>
      <c r="O5341" t="s">
        <v>36547</v>
      </c>
      <c r="Q5341" t="s">
        <v>44661</v>
      </c>
      <c r="R5341">
        <v>616.89156000000003</v>
      </c>
      <c r="S5341" t="s">
        <v>44662</v>
      </c>
      <c r="T5341" t="s">
        <v>30</v>
      </c>
      <c r="U5341" t="s">
        <v>26116</v>
      </c>
      <c r="W5341" t="s">
        <v>26009</v>
      </c>
    </row>
    <row r="5342" spans="1:23" x14ac:dyDescent="0.35">
      <c r="A5342">
        <v>1637611</v>
      </c>
      <c r="B5342" t="s">
        <v>44663</v>
      </c>
      <c r="C5342" t="str">
        <f>"9781782200543"</f>
        <v>9781782200543</v>
      </c>
      <c r="D5342" t="str">
        <f>"9781782411628"</f>
        <v>9781782411628</v>
      </c>
      <c r="E5342" t="s">
        <v>26010</v>
      </c>
      <c r="F5342" t="s">
        <v>35</v>
      </c>
      <c r="G5342" t="s">
        <v>22174</v>
      </c>
      <c r="H5342" t="s">
        <v>26011</v>
      </c>
      <c r="I5342" s="26">
        <v>41695</v>
      </c>
      <c r="J5342">
        <v>2014</v>
      </c>
      <c r="K5342" t="s">
        <v>26012</v>
      </c>
      <c r="L5342">
        <v>238</v>
      </c>
      <c r="M5342" t="s">
        <v>44664</v>
      </c>
      <c r="N5342">
        <v>1</v>
      </c>
      <c r="O5342" t="s">
        <v>36633</v>
      </c>
      <c r="Q5342" t="s">
        <v>44665</v>
      </c>
      <c r="R5342">
        <v>150.19499999999999</v>
      </c>
      <c r="S5342" t="s">
        <v>8329</v>
      </c>
      <c r="T5342" t="s">
        <v>30</v>
      </c>
      <c r="U5342" t="s">
        <v>26116</v>
      </c>
      <c r="W5342" t="s">
        <v>26009</v>
      </c>
    </row>
    <row r="5343" spans="1:23" x14ac:dyDescent="0.35">
      <c r="A5343">
        <v>1637612</v>
      </c>
      <c r="B5343" t="s">
        <v>44666</v>
      </c>
      <c r="C5343" t="str">
        <f>"9781782200949"</f>
        <v>9781782200949</v>
      </c>
      <c r="D5343" t="str">
        <f>"9781782412120"</f>
        <v>9781782412120</v>
      </c>
      <c r="E5343" t="s">
        <v>26010</v>
      </c>
      <c r="F5343" t="s">
        <v>35</v>
      </c>
      <c r="G5343" t="s">
        <v>22174</v>
      </c>
      <c r="H5343" t="s">
        <v>26011</v>
      </c>
      <c r="I5343" s="26">
        <v>41705</v>
      </c>
      <c r="J5343">
        <v>2014</v>
      </c>
      <c r="K5343" t="s">
        <v>26012</v>
      </c>
      <c r="L5343">
        <v>416</v>
      </c>
      <c r="M5343" t="s">
        <v>44667</v>
      </c>
      <c r="N5343">
        <v>1</v>
      </c>
      <c r="Q5343" t="s">
        <v>44668</v>
      </c>
      <c r="R5343">
        <v>616.89139999999998</v>
      </c>
      <c r="S5343" t="s">
        <v>10071</v>
      </c>
      <c r="T5343" t="s">
        <v>30</v>
      </c>
      <c r="U5343" t="s">
        <v>26116</v>
      </c>
      <c r="W5343" t="s">
        <v>26009</v>
      </c>
    </row>
    <row r="5344" spans="1:23" x14ac:dyDescent="0.35">
      <c r="A5344">
        <v>1637613</v>
      </c>
      <c r="B5344" t="s">
        <v>44669</v>
      </c>
      <c r="C5344" t="str">
        <f>"9781782200802"</f>
        <v>9781782200802</v>
      </c>
      <c r="D5344" t="str">
        <f>"9781782411772"</f>
        <v>9781782411772</v>
      </c>
      <c r="E5344" t="s">
        <v>26010</v>
      </c>
      <c r="F5344" t="s">
        <v>35</v>
      </c>
      <c r="G5344" t="s">
        <v>22174</v>
      </c>
      <c r="H5344" t="s">
        <v>26011</v>
      </c>
      <c r="I5344" s="26">
        <v>41695</v>
      </c>
      <c r="J5344">
        <v>2014</v>
      </c>
      <c r="K5344" t="s">
        <v>26012</v>
      </c>
      <c r="L5344">
        <v>129</v>
      </c>
      <c r="M5344" t="s">
        <v>44670</v>
      </c>
      <c r="N5344">
        <v>1</v>
      </c>
      <c r="Q5344" t="s">
        <v>44671</v>
      </c>
      <c r="R5344">
        <v>150.19540000000001</v>
      </c>
      <c r="S5344" t="s">
        <v>9186</v>
      </c>
      <c r="T5344" t="s">
        <v>30</v>
      </c>
      <c r="U5344" t="s">
        <v>46</v>
      </c>
      <c r="W5344" t="s">
        <v>26009</v>
      </c>
    </row>
  </sheetData>
  <autoFilter ref="A1:W5344" xr:uid="{BD6D2449-5DDD-4CE2-A795-64B4E975839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77D80-1585-46AC-AAD8-3F2F50BFC650}">
  <dimension ref="A1:R2968"/>
  <sheetViews>
    <sheetView workbookViewId="0">
      <pane ySplit="1" topLeftCell="A2" activePane="bottomLeft" state="frozen"/>
      <selection pane="bottomLeft" activeCell="A31" sqref="A31"/>
    </sheetView>
  </sheetViews>
  <sheetFormatPr defaultRowHeight="12.75" x14ac:dyDescent="0.35"/>
  <cols>
    <col min="1" max="1" width="72.1328125" customWidth="1"/>
    <col min="2" max="2" width="18.73046875" customWidth="1"/>
    <col min="5" max="5" width="20.265625" customWidth="1"/>
    <col min="6" max="6" width="27.3984375" customWidth="1"/>
    <col min="9" max="9" width="11.1328125" customWidth="1"/>
  </cols>
  <sheetData>
    <row r="1" spans="1:18" x14ac:dyDescent="0.35">
      <c r="A1" t="s">
        <v>0</v>
      </c>
      <c r="B1" t="s">
        <v>13972</v>
      </c>
      <c r="C1" t="s">
        <v>13973</v>
      </c>
      <c r="D1" t="s">
        <v>44672</v>
      </c>
      <c r="E1" t="s">
        <v>44673</v>
      </c>
      <c r="F1" t="s">
        <v>2</v>
      </c>
      <c r="G1" t="s">
        <v>44674</v>
      </c>
      <c r="H1" t="s">
        <v>44675</v>
      </c>
      <c r="I1" t="s">
        <v>44676</v>
      </c>
      <c r="J1" t="s">
        <v>44677</v>
      </c>
      <c r="K1" t="s">
        <v>44678</v>
      </c>
      <c r="L1" t="s">
        <v>44679</v>
      </c>
      <c r="M1" t="s">
        <v>44680</v>
      </c>
      <c r="N1" t="s">
        <v>4</v>
      </c>
      <c r="O1" t="s">
        <v>44681</v>
      </c>
      <c r="P1" t="s">
        <v>6</v>
      </c>
      <c r="Q1" t="s">
        <v>25999</v>
      </c>
      <c r="R1" t="s">
        <v>44682</v>
      </c>
    </row>
    <row r="2" spans="1:18" x14ac:dyDescent="0.35">
      <c r="A2" t="s">
        <v>14643</v>
      </c>
      <c r="D2" t="s">
        <v>2462</v>
      </c>
      <c r="E2" t="s">
        <v>43</v>
      </c>
      <c r="I2" s="26">
        <v>43831</v>
      </c>
      <c r="J2" s="28">
        <v>43831</v>
      </c>
      <c r="Q2" t="s">
        <v>44683</v>
      </c>
      <c r="R2" t="s">
        <v>44684</v>
      </c>
    </row>
    <row r="3" spans="1:18" x14ac:dyDescent="0.35">
      <c r="A3" t="s">
        <v>14644</v>
      </c>
      <c r="D3" t="s">
        <v>2462</v>
      </c>
      <c r="E3" t="s">
        <v>43</v>
      </c>
      <c r="I3" s="26">
        <v>43831</v>
      </c>
      <c r="J3" s="28">
        <v>43831</v>
      </c>
      <c r="Q3" t="s">
        <v>44683</v>
      </c>
      <c r="R3" t="s">
        <v>44685</v>
      </c>
    </row>
    <row r="4" spans="1:18" x14ac:dyDescent="0.35">
      <c r="A4" t="s">
        <v>14645</v>
      </c>
      <c r="D4" t="s">
        <v>2462</v>
      </c>
      <c r="E4" t="s">
        <v>43</v>
      </c>
      <c r="I4" s="26">
        <v>43831</v>
      </c>
      <c r="J4" s="28">
        <v>43831</v>
      </c>
      <c r="Q4" t="s">
        <v>44683</v>
      </c>
      <c r="R4" t="s">
        <v>44686</v>
      </c>
    </row>
    <row r="5" spans="1:18" x14ac:dyDescent="0.35">
      <c r="A5" t="s">
        <v>14646</v>
      </c>
      <c r="D5" t="s">
        <v>2462</v>
      </c>
      <c r="E5" t="s">
        <v>43</v>
      </c>
      <c r="I5" s="26">
        <v>43831</v>
      </c>
      <c r="J5" s="28">
        <v>43831</v>
      </c>
      <c r="Q5" t="s">
        <v>44683</v>
      </c>
      <c r="R5" t="s">
        <v>44687</v>
      </c>
    </row>
    <row r="6" spans="1:18" x14ac:dyDescent="0.35">
      <c r="A6" t="s">
        <v>44688</v>
      </c>
      <c r="E6" t="s">
        <v>43</v>
      </c>
      <c r="F6" t="s">
        <v>22238</v>
      </c>
      <c r="I6" s="26">
        <v>43831</v>
      </c>
      <c r="J6" s="28">
        <v>43831</v>
      </c>
      <c r="Q6" t="s">
        <v>44683</v>
      </c>
      <c r="R6" t="s">
        <v>44689</v>
      </c>
    </row>
    <row r="7" spans="1:18" x14ac:dyDescent="0.35">
      <c r="A7" t="s">
        <v>44690</v>
      </c>
      <c r="E7" t="s">
        <v>43</v>
      </c>
      <c r="F7" t="s">
        <v>22238</v>
      </c>
      <c r="I7" s="26">
        <v>44562</v>
      </c>
      <c r="J7" s="28">
        <v>44562</v>
      </c>
      <c r="Q7" t="s">
        <v>44683</v>
      </c>
      <c r="R7" t="s">
        <v>44691</v>
      </c>
    </row>
    <row r="8" spans="1:18" x14ac:dyDescent="0.35">
      <c r="A8" t="s">
        <v>44692</v>
      </c>
      <c r="E8" t="s">
        <v>43</v>
      </c>
      <c r="F8" t="s">
        <v>22238</v>
      </c>
      <c r="I8" s="26">
        <v>43831</v>
      </c>
      <c r="J8" s="28">
        <v>43831</v>
      </c>
      <c r="Q8" t="s">
        <v>44683</v>
      </c>
      <c r="R8" t="s">
        <v>44693</v>
      </c>
    </row>
    <row r="9" spans="1:18" x14ac:dyDescent="0.35">
      <c r="A9" t="s">
        <v>44694</v>
      </c>
      <c r="E9" t="s">
        <v>43</v>
      </c>
      <c r="F9" t="s">
        <v>22238</v>
      </c>
      <c r="I9" s="26">
        <v>44562</v>
      </c>
      <c r="J9" s="28">
        <v>44562</v>
      </c>
      <c r="Q9" t="s">
        <v>44683</v>
      </c>
      <c r="R9" t="s">
        <v>44695</v>
      </c>
    </row>
    <row r="10" spans="1:18" x14ac:dyDescent="0.35">
      <c r="A10" t="s">
        <v>44696</v>
      </c>
      <c r="E10" t="s">
        <v>43</v>
      </c>
      <c r="F10" t="s">
        <v>22238</v>
      </c>
      <c r="I10" s="26">
        <v>44562</v>
      </c>
      <c r="J10" s="28">
        <v>44562</v>
      </c>
      <c r="Q10" t="s">
        <v>44683</v>
      </c>
      <c r="R10" t="s">
        <v>44697</v>
      </c>
    </row>
    <row r="11" spans="1:18" x14ac:dyDescent="0.35">
      <c r="A11" t="s">
        <v>14648</v>
      </c>
      <c r="D11" t="s">
        <v>2462</v>
      </c>
      <c r="E11" t="s">
        <v>43</v>
      </c>
      <c r="I11" s="26">
        <v>43831</v>
      </c>
      <c r="J11" s="28">
        <v>43831</v>
      </c>
      <c r="Q11" t="s">
        <v>44683</v>
      </c>
      <c r="R11" t="s">
        <v>44698</v>
      </c>
    </row>
    <row r="12" spans="1:18" x14ac:dyDescent="0.35">
      <c r="A12" t="s">
        <v>44699</v>
      </c>
      <c r="E12" t="s">
        <v>43</v>
      </c>
      <c r="F12" t="s">
        <v>22238</v>
      </c>
      <c r="I12" s="26">
        <v>43831</v>
      </c>
      <c r="J12" s="28">
        <v>43831</v>
      </c>
      <c r="Q12" t="s">
        <v>44683</v>
      </c>
      <c r="R12" t="s">
        <v>44700</v>
      </c>
    </row>
    <row r="13" spans="1:18" x14ac:dyDescent="0.35">
      <c r="A13" t="s">
        <v>14649</v>
      </c>
      <c r="D13" t="s">
        <v>2462</v>
      </c>
      <c r="E13" t="s">
        <v>43</v>
      </c>
      <c r="I13" s="26">
        <v>43831</v>
      </c>
      <c r="J13" s="28">
        <v>43831</v>
      </c>
      <c r="Q13" t="s">
        <v>44683</v>
      </c>
      <c r="R13" t="s">
        <v>44701</v>
      </c>
    </row>
    <row r="14" spans="1:18" x14ac:dyDescent="0.35">
      <c r="A14" t="s">
        <v>44702</v>
      </c>
      <c r="E14" t="s">
        <v>43</v>
      </c>
      <c r="F14" t="s">
        <v>22238</v>
      </c>
      <c r="I14" s="26">
        <v>43831</v>
      </c>
      <c r="J14" s="28">
        <v>43831</v>
      </c>
      <c r="Q14" t="s">
        <v>44683</v>
      </c>
      <c r="R14" t="s">
        <v>44703</v>
      </c>
    </row>
    <row r="15" spans="1:18" x14ac:dyDescent="0.35">
      <c r="A15" t="s">
        <v>44704</v>
      </c>
      <c r="E15" t="s">
        <v>43</v>
      </c>
      <c r="F15" t="s">
        <v>22238</v>
      </c>
      <c r="I15" s="26">
        <v>44562</v>
      </c>
      <c r="J15" s="28">
        <v>44562</v>
      </c>
      <c r="Q15" t="s">
        <v>44683</v>
      </c>
      <c r="R15" t="s">
        <v>44705</v>
      </c>
    </row>
    <row r="16" spans="1:18" x14ac:dyDescent="0.35">
      <c r="A16" t="s">
        <v>14651</v>
      </c>
      <c r="D16" t="s">
        <v>2462</v>
      </c>
      <c r="E16" t="s">
        <v>43</v>
      </c>
      <c r="I16" s="26">
        <v>43831</v>
      </c>
      <c r="J16" s="28">
        <v>43831</v>
      </c>
      <c r="Q16" t="s">
        <v>44683</v>
      </c>
      <c r="R16" t="s">
        <v>44706</v>
      </c>
    </row>
    <row r="17" spans="1:18" x14ac:dyDescent="0.35">
      <c r="A17" t="s">
        <v>14650</v>
      </c>
      <c r="D17" t="s">
        <v>2462</v>
      </c>
      <c r="E17" t="s">
        <v>43</v>
      </c>
      <c r="I17" s="26">
        <v>43831</v>
      </c>
      <c r="J17" s="28">
        <v>43831</v>
      </c>
      <c r="Q17" t="s">
        <v>44683</v>
      </c>
      <c r="R17" t="s">
        <v>44707</v>
      </c>
    </row>
    <row r="18" spans="1:18" x14ac:dyDescent="0.35">
      <c r="A18" t="s">
        <v>14652</v>
      </c>
      <c r="D18" t="s">
        <v>2462</v>
      </c>
      <c r="E18" t="s">
        <v>43</v>
      </c>
      <c r="I18" s="26">
        <v>43831</v>
      </c>
      <c r="J18" s="28">
        <v>43831</v>
      </c>
      <c r="Q18" t="s">
        <v>44683</v>
      </c>
      <c r="R18" t="s">
        <v>44708</v>
      </c>
    </row>
    <row r="19" spans="1:18" x14ac:dyDescent="0.35">
      <c r="A19" t="s">
        <v>14654</v>
      </c>
      <c r="D19" t="s">
        <v>2462</v>
      </c>
      <c r="E19" t="s">
        <v>43</v>
      </c>
      <c r="I19" s="26">
        <v>43831</v>
      </c>
      <c r="J19" s="28">
        <v>43831</v>
      </c>
      <c r="Q19" t="s">
        <v>44683</v>
      </c>
      <c r="R19" t="s">
        <v>44709</v>
      </c>
    </row>
    <row r="20" spans="1:18" x14ac:dyDescent="0.35">
      <c r="A20" t="s">
        <v>44710</v>
      </c>
      <c r="E20" t="s">
        <v>43</v>
      </c>
      <c r="F20" t="s">
        <v>44711</v>
      </c>
      <c r="I20" s="26">
        <v>44927</v>
      </c>
      <c r="J20" s="28">
        <v>44927</v>
      </c>
      <c r="Q20" t="s">
        <v>44683</v>
      </c>
      <c r="R20" t="s">
        <v>44712</v>
      </c>
    </row>
    <row r="21" spans="1:18" x14ac:dyDescent="0.35">
      <c r="A21" t="s">
        <v>14655</v>
      </c>
      <c r="D21" t="s">
        <v>2462</v>
      </c>
      <c r="E21" t="s">
        <v>43</v>
      </c>
      <c r="I21" s="26">
        <v>43831</v>
      </c>
      <c r="J21" s="28">
        <v>43831</v>
      </c>
      <c r="Q21" t="s">
        <v>44683</v>
      </c>
      <c r="R21" t="s">
        <v>44713</v>
      </c>
    </row>
    <row r="22" spans="1:18" x14ac:dyDescent="0.35">
      <c r="A22" t="s">
        <v>14656</v>
      </c>
      <c r="D22" t="s">
        <v>2462</v>
      </c>
      <c r="E22" t="s">
        <v>43</v>
      </c>
      <c r="I22" s="26">
        <v>43831</v>
      </c>
      <c r="J22" s="28">
        <v>43831</v>
      </c>
      <c r="Q22" t="s">
        <v>44683</v>
      </c>
      <c r="R22" t="s">
        <v>44714</v>
      </c>
    </row>
    <row r="23" spans="1:18" x14ac:dyDescent="0.35">
      <c r="A23" t="s">
        <v>14657</v>
      </c>
      <c r="D23" t="s">
        <v>2462</v>
      </c>
      <c r="E23" t="s">
        <v>43</v>
      </c>
      <c r="I23" s="26">
        <v>43831</v>
      </c>
      <c r="J23" s="28">
        <v>43831</v>
      </c>
      <c r="Q23" t="s">
        <v>44683</v>
      </c>
      <c r="R23" t="s">
        <v>44715</v>
      </c>
    </row>
    <row r="24" spans="1:18" x14ac:dyDescent="0.35">
      <c r="A24" t="s">
        <v>14658</v>
      </c>
      <c r="D24" t="s">
        <v>2462</v>
      </c>
      <c r="E24" t="s">
        <v>43</v>
      </c>
      <c r="I24" s="26">
        <v>43831</v>
      </c>
      <c r="J24" s="28">
        <v>43831</v>
      </c>
      <c r="Q24" t="s">
        <v>44683</v>
      </c>
      <c r="R24" t="s">
        <v>44716</v>
      </c>
    </row>
    <row r="25" spans="1:18" x14ac:dyDescent="0.35">
      <c r="A25" t="s">
        <v>14662</v>
      </c>
      <c r="D25" t="s">
        <v>2462</v>
      </c>
      <c r="E25" t="s">
        <v>43</v>
      </c>
      <c r="I25" s="26">
        <v>43831</v>
      </c>
      <c r="J25" s="28">
        <v>43831</v>
      </c>
      <c r="Q25" t="s">
        <v>44683</v>
      </c>
      <c r="R25" t="s">
        <v>44717</v>
      </c>
    </row>
    <row r="26" spans="1:18" x14ac:dyDescent="0.35">
      <c r="A26" t="s">
        <v>14663</v>
      </c>
      <c r="D26" t="s">
        <v>2462</v>
      </c>
      <c r="E26" t="s">
        <v>43</v>
      </c>
      <c r="I26" s="26">
        <v>43831</v>
      </c>
      <c r="J26" s="28">
        <v>43831</v>
      </c>
      <c r="Q26" t="s">
        <v>44683</v>
      </c>
      <c r="R26" t="s">
        <v>44718</v>
      </c>
    </row>
    <row r="27" spans="1:18" x14ac:dyDescent="0.35">
      <c r="A27" t="s">
        <v>14664</v>
      </c>
      <c r="D27" t="s">
        <v>2462</v>
      </c>
      <c r="E27" t="s">
        <v>43</v>
      </c>
      <c r="I27" s="26">
        <v>43831</v>
      </c>
      <c r="J27" s="28">
        <v>43831</v>
      </c>
      <c r="Q27" t="s">
        <v>44683</v>
      </c>
      <c r="R27" t="s">
        <v>44719</v>
      </c>
    </row>
    <row r="28" spans="1:18" x14ac:dyDescent="0.35">
      <c r="A28" t="s">
        <v>14665</v>
      </c>
      <c r="D28" t="s">
        <v>2462</v>
      </c>
      <c r="E28" t="s">
        <v>43</v>
      </c>
      <c r="I28" s="26">
        <v>43831</v>
      </c>
      <c r="J28" s="28">
        <v>43831</v>
      </c>
      <c r="Q28" t="s">
        <v>44683</v>
      </c>
      <c r="R28" t="s">
        <v>44720</v>
      </c>
    </row>
    <row r="29" spans="1:18" x14ac:dyDescent="0.35">
      <c r="A29" t="s">
        <v>14667</v>
      </c>
      <c r="D29" t="s">
        <v>2462</v>
      </c>
      <c r="E29" t="s">
        <v>43</v>
      </c>
      <c r="I29" s="26">
        <v>43831</v>
      </c>
      <c r="J29" s="28">
        <v>43831</v>
      </c>
      <c r="Q29" t="s">
        <v>44683</v>
      </c>
      <c r="R29" t="s">
        <v>44721</v>
      </c>
    </row>
    <row r="30" spans="1:18" x14ac:dyDescent="0.35">
      <c r="A30" t="s">
        <v>14668</v>
      </c>
      <c r="D30" t="s">
        <v>2462</v>
      </c>
      <c r="E30" t="s">
        <v>43</v>
      </c>
      <c r="I30" s="26">
        <v>43831</v>
      </c>
      <c r="J30" s="28">
        <v>43831</v>
      </c>
      <c r="Q30" t="s">
        <v>44683</v>
      </c>
      <c r="R30" t="s">
        <v>44722</v>
      </c>
    </row>
    <row r="31" spans="1:18" x14ac:dyDescent="0.35">
      <c r="A31" t="s">
        <v>14669</v>
      </c>
      <c r="D31" t="s">
        <v>2462</v>
      </c>
      <c r="E31" t="s">
        <v>43</v>
      </c>
      <c r="I31" s="26">
        <v>43831</v>
      </c>
      <c r="J31" s="28">
        <v>43831</v>
      </c>
      <c r="Q31" t="s">
        <v>44683</v>
      </c>
      <c r="R31" t="s">
        <v>44723</v>
      </c>
    </row>
    <row r="32" spans="1:18" x14ac:dyDescent="0.35">
      <c r="A32" t="s">
        <v>14670</v>
      </c>
      <c r="D32" t="s">
        <v>2462</v>
      </c>
      <c r="E32" t="s">
        <v>43</v>
      </c>
      <c r="I32" s="26">
        <v>43831</v>
      </c>
      <c r="J32" s="28">
        <v>43831</v>
      </c>
      <c r="Q32" t="s">
        <v>44683</v>
      </c>
      <c r="R32" t="s">
        <v>44724</v>
      </c>
    </row>
    <row r="33" spans="1:18" x14ac:dyDescent="0.35">
      <c r="A33" t="s">
        <v>14671</v>
      </c>
      <c r="D33" t="s">
        <v>2462</v>
      </c>
      <c r="E33" t="s">
        <v>43</v>
      </c>
      <c r="I33" s="26">
        <v>43831</v>
      </c>
      <c r="J33" s="28">
        <v>43831</v>
      </c>
      <c r="Q33" t="s">
        <v>44683</v>
      </c>
      <c r="R33" t="s">
        <v>44725</v>
      </c>
    </row>
    <row r="34" spans="1:18" x14ac:dyDescent="0.35">
      <c r="A34" t="s">
        <v>14672</v>
      </c>
      <c r="D34" t="s">
        <v>2462</v>
      </c>
      <c r="E34" t="s">
        <v>43</v>
      </c>
      <c r="I34" s="26">
        <v>43831</v>
      </c>
      <c r="J34" s="28">
        <v>43831</v>
      </c>
      <c r="Q34" t="s">
        <v>44683</v>
      </c>
      <c r="R34" t="s">
        <v>44726</v>
      </c>
    </row>
    <row r="35" spans="1:18" x14ac:dyDescent="0.35">
      <c r="A35" t="s">
        <v>14673</v>
      </c>
      <c r="D35" t="s">
        <v>2462</v>
      </c>
      <c r="E35" t="s">
        <v>43</v>
      </c>
      <c r="I35" s="26">
        <v>43831</v>
      </c>
      <c r="J35" s="28">
        <v>43831</v>
      </c>
      <c r="Q35" t="s">
        <v>44683</v>
      </c>
      <c r="R35" t="s">
        <v>44727</v>
      </c>
    </row>
    <row r="36" spans="1:18" x14ac:dyDescent="0.35">
      <c r="A36" t="s">
        <v>16239</v>
      </c>
      <c r="D36" t="s">
        <v>5300</v>
      </c>
      <c r="E36" t="s">
        <v>43</v>
      </c>
      <c r="I36" s="26">
        <v>43831</v>
      </c>
      <c r="J36" s="28">
        <v>43831</v>
      </c>
      <c r="Q36" t="s">
        <v>44683</v>
      </c>
      <c r="R36" t="s">
        <v>44728</v>
      </c>
    </row>
    <row r="37" spans="1:18" x14ac:dyDescent="0.35">
      <c r="A37" t="s">
        <v>14674</v>
      </c>
      <c r="D37" t="s">
        <v>2462</v>
      </c>
      <c r="E37" t="s">
        <v>43</v>
      </c>
      <c r="I37" s="26">
        <v>43831</v>
      </c>
      <c r="J37" s="28">
        <v>43831</v>
      </c>
      <c r="Q37" t="s">
        <v>44683</v>
      </c>
      <c r="R37" t="s">
        <v>44729</v>
      </c>
    </row>
    <row r="38" spans="1:18" x14ac:dyDescent="0.35">
      <c r="A38" t="s">
        <v>14675</v>
      </c>
      <c r="D38" t="s">
        <v>2462</v>
      </c>
      <c r="E38" t="s">
        <v>43</v>
      </c>
      <c r="I38" s="26">
        <v>43831</v>
      </c>
      <c r="J38" s="28">
        <v>43831</v>
      </c>
      <c r="Q38" t="s">
        <v>44683</v>
      </c>
      <c r="R38" t="s">
        <v>44730</v>
      </c>
    </row>
    <row r="39" spans="1:18" x14ac:dyDescent="0.35">
      <c r="A39" t="s">
        <v>14676</v>
      </c>
      <c r="D39" t="s">
        <v>2462</v>
      </c>
      <c r="E39" t="s">
        <v>43</v>
      </c>
      <c r="I39" s="26">
        <v>43831</v>
      </c>
      <c r="J39" s="28">
        <v>43831</v>
      </c>
      <c r="Q39" t="s">
        <v>44683</v>
      </c>
      <c r="R39" t="s">
        <v>44731</v>
      </c>
    </row>
    <row r="40" spans="1:18" x14ac:dyDescent="0.35">
      <c r="A40" t="s">
        <v>44732</v>
      </c>
      <c r="E40" t="s">
        <v>43</v>
      </c>
      <c r="F40" t="s">
        <v>22238</v>
      </c>
      <c r="I40" s="26">
        <v>44562</v>
      </c>
      <c r="J40" s="28">
        <v>44562</v>
      </c>
      <c r="Q40" t="s">
        <v>44683</v>
      </c>
      <c r="R40" t="s">
        <v>44733</v>
      </c>
    </row>
    <row r="41" spans="1:18" x14ac:dyDescent="0.35">
      <c r="A41" t="s">
        <v>44734</v>
      </c>
      <c r="E41" t="s">
        <v>43</v>
      </c>
      <c r="F41" t="s">
        <v>22238</v>
      </c>
      <c r="I41" s="26">
        <v>44562</v>
      </c>
      <c r="J41" s="28">
        <v>44562</v>
      </c>
      <c r="Q41" t="s">
        <v>44683</v>
      </c>
      <c r="R41" t="s">
        <v>44735</v>
      </c>
    </row>
    <row r="42" spans="1:18" x14ac:dyDescent="0.35">
      <c r="A42" t="s">
        <v>44736</v>
      </c>
      <c r="E42" t="s">
        <v>43</v>
      </c>
      <c r="F42" t="s">
        <v>22238</v>
      </c>
      <c r="I42" s="26">
        <v>43831</v>
      </c>
      <c r="J42" s="28">
        <v>43831</v>
      </c>
      <c r="Q42" t="s">
        <v>44683</v>
      </c>
      <c r="R42" t="s">
        <v>44737</v>
      </c>
    </row>
    <row r="43" spans="1:18" x14ac:dyDescent="0.35">
      <c r="A43" t="s">
        <v>44738</v>
      </c>
      <c r="E43" t="s">
        <v>43</v>
      </c>
      <c r="F43" t="s">
        <v>22238</v>
      </c>
      <c r="I43" s="26">
        <v>43831</v>
      </c>
      <c r="J43" s="28">
        <v>43831</v>
      </c>
      <c r="Q43" t="s">
        <v>44683</v>
      </c>
      <c r="R43" t="s">
        <v>44739</v>
      </c>
    </row>
    <row r="44" spans="1:18" x14ac:dyDescent="0.35">
      <c r="A44" t="s">
        <v>14681</v>
      </c>
      <c r="D44" t="s">
        <v>2462</v>
      </c>
      <c r="E44" t="s">
        <v>43</v>
      </c>
      <c r="I44" s="26">
        <v>43831</v>
      </c>
      <c r="J44" s="28">
        <v>43831</v>
      </c>
      <c r="Q44" t="s">
        <v>44683</v>
      </c>
      <c r="R44" t="s">
        <v>44740</v>
      </c>
    </row>
    <row r="45" spans="1:18" x14ac:dyDescent="0.35">
      <c r="A45" t="s">
        <v>14682</v>
      </c>
      <c r="D45" t="s">
        <v>2462</v>
      </c>
      <c r="E45" t="s">
        <v>43</v>
      </c>
      <c r="I45" s="26">
        <v>43831</v>
      </c>
      <c r="J45" s="28">
        <v>43831</v>
      </c>
      <c r="Q45" t="s">
        <v>44683</v>
      </c>
      <c r="R45" t="s">
        <v>44741</v>
      </c>
    </row>
    <row r="46" spans="1:18" x14ac:dyDescent="0.35">
      <c r="A46" t="s">
        <v>44742</v>
      </c>
      <c r="E46" t="s">
        <v>43</v>
      </c>
      <c r="F46" t="s">
        <v>22238</v>
      </c>
      <c r="I46" s="26">
        <v>44562</v>
      </c>
      <c r="J46" s="28">
        <v>44562</v>
      </c>
      <c r="Q46" t="s">
        <v>44683</v>
      </c>
      <c r="R46" t="s">
        <v>44743</v>
      </c>
    </row>
    <row r="47" spans="1:18" x14ac:dyDescent="0.35">
      <c r="A47" t="s">
        <v>44744</v>
      </c>
      <c r="E47" t="s">
        <v>43</v>
      </c>
      <c r="F47" t="s">
        <v>22238</v>
      </c>
      <c r="I47" s="26">
        <v>44562</v>
      </c>
      <c r="J47" s="28">
        <v>44562</v>
      </c>
      <c r="Q47" t="s">
        <v>44683</v>
      </c>
      <c r="R47" t="s">
        <v>44745</v>
      </c>
    </row>
    <row r="48" spans="1:18" x14ac:dyDescent="0.35">
      <c r="A48" t="s">
        <v>14684</v>
      </c>
      <c r="D48" t="s">
        <v>2462</v>
      </c>
      <c r="E48" t="s">
        <v>43</v>
      </c>
      <c r="I48" s="26">
        <v>43831</v>
      </c>
      <c r="J48" s="28">
        <v>43831</v>
      </c>
      <c r="Q48" t="s">
        <v>44683</v>
      </c>
      <c r="R48" t="s">
        <v>44746</v>
      </c>
    </row>
    <row r="49" spans="1:18" x14ac:dyDescent="0.35">
      <c r="A49" t="s">
        <v>44747</v>
      </c>
      <c r="E49" t="s">
        <v>43</v>
      </c>
      <c r="F49" t="s">
        <v>22238</v>
      </c>
      <c r="I49" s="26">
        <v>44562</v>
      </c>
      <c r="J49" s="28">
        <v>44562</v>
      </c>
      <c r="Q49" t="s">
        <v>44683</v>
      </c>
      <c r="R49" t="s">
        <v>44748</v>
      </c>
    </row>
    <row r="50" spans="1:18" x14ac:dyDescent="0.35">
      <c r="A50" t="s">
        <v>14686</v>
      </c>
      <c r="D50" t="s">
        <v>2462</v>
      </c>
      <c r="E50" t="s">
        <v>43</v>
      </c>
      <c r="I50" s="26">
        <v>43831</v>
      </c>
      <c r="J50" s="28">
        <v>43831</v>
      </c>
      <c r="Q50" t="s">
        <v>44683</v>
      </c>
      <c r="R50" t="s">
        <v>44749</v>
      </c>
    </row>
    <row r="51" spans="1:18" x14ac:dyDescent="0.35">
      <c r="A51" t="s">
        <v>44750</v>
      </c>
      <c r="E51" t="s">
        <v>43</v>
      </c>
      <c r="F51" t="s">
        <v>22238</v>
      </c>
      <c r="I51" s="26">
        <v>43831</v>
      </c>
      <c r="J51" s="28">
        <v>43831</v>
      </c>
      <c r="Q51" t="s">
        <v>44683</v>
      </c>
      <c r="R51" t="s">
        <v>44751</v>
      </c>
    </row>
    <row r="52" spans="1:18" x14ac:dyDescent="0.35">
      <c r="A52" t="s">
        <v>44752</v>
      </c>
      <c r="E52" t="s">
        <v>43</v>
      </c>
      <c r="F52" t="s">
        <v>22238</v>
      </c>
      <c r="I52" s="26">
        <v>44562</v>
      </c>
      <c r="J52" s="28">
        <v>44562</v>
      </c>
      <c r="Q52" t="s">
        <v>44683</v>
      </c>
      <c r="R52" t="s">
        <v>44753</v>
      </c>
    </row>
    <row r="53" spans="1:18" x14ac:dyDescent="0.35">
      <c r="A53" t="s">
        <v>14687</v>
      </c>
      <c r="D53" t="s">
        <v>2462</v>
      </c>
      <c r="E53" t="s">
        <v>43</v>
      </c>
      <c r="I53" s="26">
        <v>43831</v>
      </c>
      <c r="J53" s="28">
        <v>43831</v>
      </c>
      <c r="Q53" t="s">
        <v>44683</v>
      </c>
      <c r="R53" t="s">
        <v>44754</v>
      </c>
    </row>
    <row r="54" spans="1:18" x14ac:dyDescent="0.35">
      <c r="A54" t="s">
        <v>44755</v>
      </c>
      <c r="E54" t="s">
        <v>43</v>
      </c>
      <c r="F54" t="s">
        <v>22238</v>
      </c>
      <c r="I54" s="26">
        <v>43831</v>
      </c>
      <c r="J54" s="28">
        <v>43831</v>
      </c>
      <c r="Q54" t="s">
        <v>44683</v>
      </c>
      <c r="R54" t="s">
        <v>44756</v>
      </c>
    </row>
    <row r="55" spans="1:18" x14ac:dyDescent="0.35">
      <c r="A55" t="s">
        <v>44757</v>
      </c>
      <c r="E55" t="s">
        <v>43</v>
      </c>
      <c r="F55" t="s">
        <v>22238</v>
      </c>
      <c r="I55" s="26">
        <v>44562</v>
      </c>
      <c r="J55" s="28">
        <v>44562</v>
      </c>
      <c r="Q55" t="s">
        <v>44683</v>
      </c>
      <c r="R55" t="s">
        <v>44758</v>
      </c>
    </row>
    <row r="56" spans="1:18" x14ac:dyDescent="0.35">
      <c r="A56" t="s">
        <v>44759</v>
      </c>
      <c r="E56" t="s">
        <v>43</v>
      </c>
      <c r="F56" t="s">
        <v>22238</v>
      </c>
      <c r="I56" s="26">
        <v>44562</v>
      </c>
      <c r="J56" s="28">
        <v>44562</v>
      </c>
      <c r="Q56" t="s">
        <v>44683</v>
      </c>
      <c r="R56" t="s">
        <v>44760</v>
      </c>
    </row>
    <row r="57" spans="1:18" x14ac:dyDescent="0.35">
      <c r="A57" t="s">
        <v>44761</v>
      </c>
      <c r="E57" t="s">
        <v>43</v>
      </c>
      <c r="F57" t="s">
        <v>22238</v>
      </c>
      <c r="I57" s="26">
        <v>43831</v>
      </c>
      <c r="J57" s="28">
        <v>43831</v>
      </c>
      <c r="Q57" t="s">
        <v>44683</v>
      </c>
      <c r="R57" t="s">
        <v>44762</v>
      </c>
    </row>
    <row r="58" spans="1:18" x14ac:dyDescent="0.35">
      <c r="A58" t="s">
        <v>44763</v>
      </c>
      <c r="E58" t="s">
        <v>43</v>
      </c>
      <c r="F58" t="s">
        <v>22238</v>
      </c>
      <c r="I58" s="26">
        <v>44562</v>
      </c>
      <c r="J58" s="28">
        <v>44562</v>
      </c>
      <c r="Q58" t="s">
        <v>44683</v>
      </c>
      <c r="R58" t="s">
        <v>44764</v>
      </c>
    </row>
    <row r="59" spans="1:18" x14ac:dyDescent="0.35">
      <c r="A59" t="s">
        <v>44765</v>
      </c>
      <c r="E59" t="s">
        <v>43</v>
      </c>
      <c r="F59" t="s">
        <v>22238</v>
      </c>
      <c r="I59" s="26">
        <v>44562</v>
      </c>
      <c r="J59" s="28">
        <v>44562</v>
      </c>
      <c r="Q59" t="s">
        <v>44683</v>
      </c>
      <c r="R59" t="s">
        <v>44766</v>
      </c>
    </row>
    <row r="60" spans="1:18" x14ac:dyDescent="0.35">
      <c r="A60" t="s">
        <v>44767</v>
      </c>
      <c r="E60" t="s">
        <v>43</v>
      </c>
      <c r="F60" t="s">
        <v>22238</v>
      </c>
      <c r="I60" s="26">
        <v>44562</v>
      </c>
      <c r="J60" s="28">
        <v>44562</v>
      </c>
      <c r="Q60" t="s">
        <v>44683</v>
      </c>
      <c r="R60" t="s">
        <v>44768</v>
      </c>
    </row>
    <row r="61" spans="1:18" x14ac:dyDescent="0.35">
      <c r="A61" t="s">
        <v>44769</v>
      </c>
      <c r="E61" t="s">
        <v>43</v>
      </c>
      <c r="F61" t="s">
        <v>22238</v>
      </c>
      <c r="I61" s="26">
        <v>43831</v>
      </c>
      <c r="J61" s="28">
        <v>43831</v>
      </c>
      <c r="Q61" t="s">
        <v>44683</v>
      </c>
      <c r="R61" t="s">
        <v>44770</v>
      </c>
    </row>
    <row r="62" spans="1:18" x14ac:dyDescent="0.35">
      <c r="A62" t="s">
        <v>14690</v>
      </c>
      <c r="D62" t="s">
        <v>2462</v>
      </c>
      <c r="E62" t="s">
        <v>43</v>
      </c>
      <c r="I62" s="26">
        <v>43831</v>
      </c>
      <c r="J62" s="28">
        <v>43831</v>
      </c>
      <c r="Q62" t="s">
        <v>44683</v>
      </c>
      <c r="R62" t="s">
        <v>44771</v>
      </c>
    </row>
    <row r="63" spans="1:18" x14ac:dyDescent="0.35">
      <c r="A63" t="s">
        <v>44772</v>
      </c>
      <c r="E63" t="s">
        <v>43</v>
      </c>
      <c r="F63" t="s">
        <v>44711</v>
      </c>
      <c r="I63" s="26">
        <v>44927</v>
      </c>
      <c r="J63" s="28">
        <v>44927</v>
      </c>
      <c r="Q63" t="s">
        <v>44683</v>
      </c>
      <c r="R63" t="s">
        <v>44773</v>
      </c>
    </row>
    <row r="64" spans="1:18" x14ac:dyDescent="0.35">
      <c r="A64" t="s">
        <v>14691</v>
      </c>
      <c r="D64" t="s">
        <v>2462</v>
      </c>
      <c r="E64" t="s">
        <v>43</v>
      </c>
      <c r="I64" s="26">
        <v>43831</v>
      </c>
      <c r="J64" s="28">
        <v>43831</v>
      </c>
      <c r="Q64" t="s">
        <v>44683</v>
      </c>
      <c r="R64" t="s">
        <v>44774</v>
      </c>
    </row>
    <row r="65" spans="1:18" x14ac:dyDescent="0.35">
      <c r="A65" t="s">
        <v>14692</v>
      </c>
      <c r="D65" t="s">
        <v>2462</v>
      </c>
      <c r="E65" t="s">
        <v>43</v>
      </c>
      <c r="I65" s="26">
        <v>43831</v>
      </c>
      <c r="J65" s="28">
        <v>43831</v>
      </c>
      <c r="Q65" t="s">
        <v>44683</v>
      </c>
      <c r="R65" t="s">
        <v>44775</v>
      </c>
    </row>
    <row r="66" spans="1:18" x14ac:dyDescent="0.35">
      <c r="A66" t="s">
        <v>14693</v>
      </c>
      <c r="D66" t="s">
        <v>2462</v>
      </c>
      <c r="E66" t="s">
        <v>43</v>
      </c>
      <c r="I66" s="26">
        <v>43831</v>
      </c>
      <c r="J66" s="28">
        <v>43831</v>
      </c>
      <c r="Q66" t="s">
        <v>44683</v>
      </c>
      <c r="R66" t="s">
        <v>44776</v>
      </c>
    </row>
    <row r="67" spans="1:18" x14ac:dyDescent="0.35">
      <c r="A67" t="s">
        <v>44777</v>
      </c>
      <c r="E67" t="s">
        <v>43</v>
      </c>
      <c r="F67" t="s">
        <v>22238</v>
      </c>
      <c r="I67" s="26">
        <v>44562</v>
      </c>
      <c r="J67" s="28">
        <v>44562</v>
      </c>
      <c r="Q67" t="s">
        <v>44683</v>
      </c>
      <c r="R67" t="s">
        <v>44778</v>
      </c>
    </row>
    <row r="68" spans="1:18" x14ac:dyDescent="0.35">
      <c r="A68" t="s">
        <v>44779</v>
      </c>
      <c r="E68" t="s">
        <v>43</v>
      </c>
      <c r="F68" t="s">
        <v>22238</v>
      </c>
      <c r="I68" s="26">
        <v>43831</v>
      </c>
      <c r="J68" s="28">
        <v>43831</v>
      </c>
      <c r="Q68" t="s">
        <v>44683</v>
      </c>
      <c r="R68" t="s">
        <v>44780</v>
      </c>
    </row>
    <row r="69" spans="1:18" x14ac:dyDescent="0.35">
      <c r="A69" t="s">
        <v>14694</v>
      </c>
      <c r="D69" t="s">
        <v>2462</v>
      </c>
      <c r="E69" t="s">
        <v>43</v>
      </c>
      <c r="I69" s="26">
        <v>43831</v>
      </c>
      <c r="J69" s="28">
        <v>43831</v>
      </c>
      <c r="Q69" t="s">
        <v>44683</v>
      </c>
      <c r="R69" t="s">
        <v>44781</v>
      </c>
    </row>
    <row r="70" spans="1:18" x14ac:dyDescent="0.35">
      <c r="A70" t="s">
        <v>44782</v>
      </c>
      <c r="E70" t="s">
        <v>43</v>
      </c>
      <c r="F70" t="s">
        <v>22238</v>
      </c>
      <c r="I70" s="26">
        <v>44562</v>
      </c>
      <c r="J70" s="28">
        <v>44562</v>
      </c>
      <c r="Q70" t="s">
        <v>44683</v>
      </c>
      <c r="R70" t="s">
        <v>44783</v>
      </c>
    </row>
    <row r="71" spans="1:18" x14ac:dyDescent="0.35">
      <c r="A71" t="s">
        <v>44784</v>
      </c>
      <c r="E71" t="s">
        <v>43</v>
      </c>
      <c r="F71" t="s">
        <v>22238</v>
      </c>
      <c r="I71" s="26">
        <v>44562</v>
      </c>
      <c r="J71" s="28">
        <v>44562</v>
      </c>
      <c r="Q71" t="s">
        <v>44683</v>
      </c>
      <c r="R71" t="s">
        <v>44785</v>
      </c>
    </row>
    <row r="72" spans="1:18" x14ac:dyDescent="0.35">
      <c r="A72" t="s">
        <v>14695</v>
      </c>
      <c r="D72" t="s">
        <v>2462</v>
      </c>
      <c r="E72" t="s">
        <v>43</v>
      </c>
      <c r="I72" s="26">
        <v>43831</v>
      </c>
      <c r="J72" s="28">
        <v>43831</v>
      </c>
      <c r="Q72" t="s">
        <v>44683</v>
      </c>
      <c r="R72" t="s">
        <v>44786</v>
      </c>
    </row>
    <row r="73" spans="1:18" x14ac:dyDescent="0.35">
      <c r="A73" t="s">
        <v>14214</v>
      </c>
      <c r="D73" t="s">
        <v>1168</v>
      </c>
      <c r="E73" t="s">
        <v>43</v>
      </c>
      <c r="I73" s="26">
        <v>43831</v>
      </c>
      <c r="J73" s="28">
        <v>43831</v>
      </c>
      <c r="Q73" t="s">
        <v>44683</v>
      </c>
      <c r="R73" t="s">
        <v>44787</v>
      </c>
    </row>
    <row r="74" spans="1:18" x14ac:dyDescent="0.35">
      <c r="A74" t="s">
        <v>44788</v>
      </c>
      <c r="E74" t="s">
        <v>43</v>
      </c>
      <c r="F74" t="s">
        <v>22238</v>
      </c>
      <c r="I74" s="26">
        <v>43831</v>
      </c>
      <c r="J74" s="28">
        <v>43831</v>
      </c>
      <c r="Q74" t="s">
        <v>44683</v>
      </c>
      <c r="R74" t="s">
        <v>44789</v>
      </c>
    </row>
    <row r="75" spans="1:18" x14ac:dyDescent="0.35">
      <c r="A75" t="s">
        <v>14697</v>
      </c>
      <c r="D75" t="s">
        <v>2462</v>
      </c>
      <c r="E75" t="s">
        <v>43</v>
      </c>
      <c r="I75" s="26">
        <v>43831</v>
      </c>
      <c r="J75" s="28">
        <v>43831</v>
      </c>
      <c r="Q75" t="s">
        <v>44683</v>
      </c>
      <c r="R75" t="s">
        <v>44790</v>
      </c>
    </row>
    <row r="76" spans="1:18" x14ac:dyDescent="0.35">
      <c r="A76" t="s">
        <v>44791</v>
      </c>
      <c r="E76" t="s">
        <v>43</v>
      </c>
      <c r="F76" t="s">
        <v>22238</v>
      </c>
      <c r="I76" s="26">
        <v>44562</v>
      </c>
      <c r="J76" s="28">
        <v>44562</v>
      </c>
      <c r="Q76" t="s">
        <v>44683</v>
      </c>
      <c r="R76" t="s">
        <v>44792</v>
      </c>
    </row>
    <row r="77" spans="1:18" x14ac:dyDescent="0.35">
      <c r="A77" t="s">
        <v>44793</v>
      </c>
      <c r="E77" t="s">
        <v>43</v>
      </c>
      <c r="F77" t="s">
        <v>22238</v>
      </c>
      <c r="I77" s="26">
        <v>44562</v>
      </c>
      <c r="J77" s="28">
        <v>44562</v>
      </c>
      <c r="Q77" t="s">
        <v>44683</v>
      </c>
      <c r="R77" t="s">
        <v>44794</v>
      </c>
    </row>
    <row r="78" spans="1:18" x14ac:dyDescent="0.35">
      <c r="A78" t="s">
        <v>44795</v>
      </c>
      <c r="E78" t="s">
        <v>43</v>
      </c>
      <c r="F78" t="s">
        <v>22238</v>
      </c>
      <c r="I78" s="26">
        <v>44562</v>
      </c>
      <c r="J78" s="28">
        <v>44562</v>
      </c>
      <c r="Q78" t="s">
        <v>44683</v>
      </c>
      <c r="R78" t="s">
        <v>44796</v>
      </c>
    </row>
    <row r="79" spans="1:18" x14ac:dyDescent="0.35">
      <c r="A79" t="s">
        <v>14699</v>
      </c>
      <c r="D79" t="s">
        <v>2462</v>
      </c>
      <c r="E79" t="s">
        <v>43</v>
      </c>
      <c r="I79" s="26">
        <v>43831</v>
      </c>
      <c r="J79" s="28">
        <v>43831</v>
      </c>
      <c r="Q79" t="s">
        <v>44683</v>
      </c>
      <c r="R79" t="s">
        <v>44797</v>
      </c>
    </row>
    <row r="80" spans="1:18" x14ac:dyDescent="0.35">
      <c r="A80" t="s">
        <v>44798</v>
      </c>
      <c r="E80" t="s">
        <v>43</v>
      </c>
      <c r="F80" t="s">
        <v>22238</v>
      </c>
      <c r="I80" s="26">
        <v>43831</v>
      </c>
      <c r="J80" s="28">
        <v>43831</v>
      </c>
      <c r="Q80" t="s">
        <v>44683</v>
      </c>
      <c r="R80" t="s">
        <v>44799</v>
      </c>
    </row>
    <row r="81" spans="1:18" x14ac:dyDescent="0.35">
      <c r="A81" t="s">
        <v>14700</v>
      </c>
      <c r="D81" t="s">
        <v>2462</v>
      </c>
      <c r="E81" t="s">
        <v>43</v>
      </c>
      <c r="I81" s="26">
        <v>43831</v>
      </c>
      <c r="J81" s="28">
        <v>43831</v>
      </c>
      <c r="Q81" t="s">
        <v>44683</v>
      </c>
      <c r="R81" t="s">
        <v>44800</v>
      </c>
    </row>
    <row r="82" spans="1:18" x14ac:dyDescent="0.35">
      <c r="A82" t="s">
        <v>16008</v>
      </c>
      <c r="D82" t="s">
        <v>7067</v>
      </c>
      <c r="E82" t="s">
        <v>43</v>
      </c>
      <c r="I82" s="26">
        <v>44145</v>
      </c>
      <c r="J82" s="28">
        <v>44145</v>
      </c>
      <c r="Q82" t="s">
        <v>44683</v>
      </c>
      <c r="R82" t="s">
        <v>44801</v>
      </c>
    </row>
    <row r="83" spans="1:18" x14ac:dyDescent="0.35">
      <c r="A83" t="s">
        <v>14702</v>
      </c>
      <c r="D83" t="s">
        <v>2462</v>
      </c>
      <c r="E83" t="s">
        <v>43</v>
      </c>
      <c r="I83" s="26">
        <v>43831</v>
      </c>
      <c r="J83" s="28">
        <v>43831</v>
      </c>
      <c r="Q83" t="s">
        <v>44683</v>
      </c>
      <c r="R83" t="s">
        <v>44802</v>
      </c>
    </row>
    <row r="84" spans="1:18" x14ac:dyDescent="0.35">
      <c r="A84" t="s">
        <v>14703</v>
      </c>
      <c r="D84" t="s">
        <v>2462</v>
      </c>
      <c r="E84" t="s">
        <v>43</v>
      </c>
      <c r="I84" s="26">
        <v>43831</v>
      </c>
      <c r="J84" s="28">
        <v>43831</v>
      </c>
      <c r="Q84" t="s">
        <v>44683</v>
      </c>
      <c r="R84" t="s">
        <v>44803</v>
      </c>
    </row>
    <row r="85" spans="1:18" x14ac:dyDescent="0.35">
      <c r="A85" t="s">
        <v>44804</v>
      </c>
      <c r="E85" t="s">
        <v>43</v>
      </c>
      <c r="F85" t="s">
        <v>22238</v>
      </c>
      <c r="I85" s="26">
        <v>44562</v>
      </c>
      <c r="J85" s="28">
        <v>44562</v>
      </c>
      <c r="Q85" t="s">
        <v>44683</v>
      </c>
      <c r="R85" t="s">
        <v>44805</v>
      </c>
    </row>
    <row r="86" spans="1:18" x14ac:dyDescent="0.35">
      <c r="A86" t="s">
        <v>14704</v>
      </c>
      <c r="D86" t="s">
        <v>2462</v>
      </c>
      <c r="E86" t="s">
        <v>43</v>
      </c>
      <c r="I86" s="26">
        <v>43831</v>
      </c>
      <c r="J86" s="28">
        <v>43831</v>
      </c>
      <c r="Q86" t="s">
        <v>44683</v>
      </c>
      <c r="R86" t="s">
        <v>44806</v>
      </c>
    </row>
    <row r="87" spans="1:18" x14ac:dyDescent="0.35">
      <c r="A87" t="s">
        <v>44807</v>
      </c>
      <c r="E87" t="s">
        <v>43</v>
      </c>
      <c r="F87" t="s">
        <v>22238</v>
      </c>
      <c r="I87" s="26">
        <v>44562</v>
      </c>
      <c r="J87" s="28">
        <v>44562</v>
      </c>
      <c r="Q87" t="s">
        <v>44683</v>
      </c>
      <c r="R87" t="s">
        <v>44808</v>
      </c>
    </row>
    <row r="88" spans="1:18" x14ac:dyDescent="0.35">
      <c r="A88" t="s">
        <v>44809</v>
      </c>
      <c r="E88" t="s">
        <v>43</v>
      </c>
      <c r="F88" t="s">
        <v>22238</v>
      </c>
      <c r="I88" s="26">
        <v>44562</v>
      </c>
      <c r="J88" s="28">
        <v>44562</v>
      </c>
      <c r="Q88" t="s">
        <v>44683</v>
      </c>
      <c r="R88" t="s">
        <v>44810</v>
      </c>
    </row>
    <row r="89" spans="1:18" x14ac:dyDescent="0.35">
      <c r="A89" t="s">
        <v>14706</v>
      </c>
      <c r="D89" t="s">
        <v>2462</v>
      </c>
      <c r="E89" t="s">
        <v>43</v>
      </c>
      <c r="I89" s="26">
        <v>43831</v>
      </c>
      <c r="J89" s="28">
        <v>43831</v>
      </c>
      <c r="Q89" t="s">
        <v>44683</v>
      </c>
      <c r="R89" t="s">
        <v>44811</v>
      </c>
    </row>
    <row r="90" spans="1:18" x14ac:dyDescent="0.35">
      <c r="A90" t="s">
        <v>14707</v>
      </c>
      <c r="D90" t="s">
        <v>2462</v>
      </c>
      <c r="E90" t="s">
        <v>43</v>
      </c>
      <c r="I90" s="26">
        <v>43831</v>
      </c>
      <c r="J90" s="28">
        <v>43831</v>
      </c>
      <c r="Q90" t="s">
        <v>44683</v>
      </c>
      <c r="R90" t="s">
        <v>44812</v>
      </c>
    </row>
    <row r="91" spans="1:18" x14ac:dyDescent="0.35">
      <c r="A91" t="s">
        <v>44813</v>
      </c>
      <c r="E91" t="s">
        <v>43</v>
      </c>
      <c r="F91" t="s">
        <v>22238</v>
      </c>
      <c r="I91" s="26">
        <v>44562</v>
      </c>
      <c r="J91" s="28">
        <v>44562</v>
      </c>
      <c r="Q91" t="s">
        <v>44683</v>
      </c>
      <c r="R91" t="s">
        <v>44814</v>
      </c>
    </row>
    <row r="92" spans="1:18" x14ac:dyDescent="0.35">
      <c r="A92" t="s">
        <v>14708</v>
      </c>
      <c r="D92" t="s">
        <v>2462</v>
      </c>
      <c r="E92" t="s">
        <v>43</v>
      </c>
      <c r="I92" s="26">
        <v>43831</v>
      </c>
      <c r="J92" s="28">
        <v>43831</v>
      </c>
      <c r="Q92" t="s">
        <v>44683</v>
      </c>
      <c r="R92" t="s">
        <v>44815</v>
      </c>
    </row>
    <row r="93" spans="1:18" x14ac:dyDescent="0.35">
      <c r="A93" t="s">
        <v>44816</v>
      </c>
      <c r="E93" t="s">
        <v>43</v>
      </c>
      <c r="F93" t="s">
        <v>22238</v>
      </c>
      <c r="I93" s="26">
        <v>43831</v>
      </c>
      <c r="J93" s="28">
        <v>43831</v>
      </c>
      <c r="Q93" t="s">
        <v>44683</v>
      </c>
      <c r="R93" t="s">
        <v>44817</v>
      </c>
    </row>
    <row r="94" spans="1:18" x14ac:dyDescent="0.35">
      <c r="A94" t="s">
        <v>14709</v>
      </c>
      <c r="D94" t="s">
        <v>2462</v>
      </c>
      <c r="E94" t="s">
        <v>43</v>
      </c>
      <c r="I94" s="26">
        <v>43831</v>
      </c>
      <c r="J94" s="28">
        <v>43831</v>
      </c>
      <c r="Q94" t="s">
        <v>44683</v>
      </c>
      <c r="R94" t="s">
        <v>44818</v>
      </c>
    </row>
    <row r="95" spans="1:18" x14ac:dyDescent="0.35">
      <c r="A95" t="s">
        <v>44819</v>
      </c>
      <c r="E95" t="s">
        <v>43</v>
      </c>
      <c r="F95" t="s">
        <v>22238</v>
      </c>
      <c r="I95" s="26">
        <v>44562</v>
      </c>
      <c r="J95" s="28">
        <v>44562</v>
      </c>
      <c r="Q95" t="s">
        <v>44683</v>
      </c>
      <c r="R95" t="s">
        <v>44820</v>
      </c>
    </row>
    <row r="96" spans="1:18" x14ac:dyDescent="0.35">
      <c r="A96" t="s">
        <v>44821</v>
      </c>
      <c r="E96" t="s">
        <v>43</v>
      </c>
      <c r="F96" t="s">
        <v>22238</v>
      </c>
      <c r="I96" s="26">
        <v>44562</v>
      </c>
      <c r="J96" s="28">
        <v>44562</v>
      </c>
      <c r="Q96" t="s">
        <v>44683</v>
      </c>
      <c r="R96" t="s">
        <v>44822</v>
      </c>
    </row>
    <row r="97" spans="1:18" x14ac:dyDescent="0.35">
      <c r="A97" t="s">
        <v>44823</v>
      </c>
      <c r="E97" t="s">
        <v>43</v>
      </c>
      <c r="F97" t="s">
        <v>22238</v>
      </c>
      <c r="I97" s="26">
        <v>44562</v>
      </c>
      <c r="J97" s="28">
        <v>44562</v>
      </c>
      <c r="Q97" t="s">
        <v>44683</v>
      </c>
      <c r="R97" t="s">
        <v>44824</v>
      </c>
    </row>
    <row r="98" spans="1:18" x14ac:dyDescent="0.35">
      <c r="A98" t="s">
        <v>44825</v>
      </c>
      <c r="E98" t="s">
        <v>43</v>
      </c>
      <c r="F98" t="s">
        <v>22238</v>
      </c>
      <c r="I98" s="26">
        <v>44562</v>
      </c>
      <c r="J98" s="28">
        <v>44562</v>
      </c>
      <c r="Q98" t="s">
        <v>44683</v>
      </c>
      <c r="R98" t="s">
        <v>44826</v>
      </c>
    </row>
    <row r="99" spans="1:18" x14ac:dyDescent="0.35">
      <c r="A99" t="s">
        <v>14712</v>
      </c>
      <c r="D99" t="s">
        <v>2462</v>
      </c>
      <c r="E99" t="s">
        <v>43</v>
      </c>
      <c r="I99" s="26">
        <v>43831</v>
      </c>
      <c r="J99" s="28">
        <v>43831</v>
      </c>
      <c r="Q99" t="s">
        <v>44683</v>
      </c>
      <c r="R99" t="s">
        <v>44827</v>
      </c>
    </row>
    <row r="100" spans="1:18" x14ac:dyDescent="0.35">
      <c r="A100" t="s">
        <v>14714</v>
      </c>
      <c r="D100" t="s">
        <v>2462</v>
      </c>
      <c r="E100" t="s">
        <v>43</v>
      </c>
      <c r="I100" s="26">
        <v>43831</v>
      </c>
      <c r="J100" s="28">
        <v>43831</v>
      </c>
      <c r="Q100" t="s">
        <v>44683</v>
      </c>
      <c r="R100" t="s">
        <v>44828</v>
      </c>
    </row>
    <row r="101" spans="1:18" x14ac:dyDescent="0.35">
      <c r="A101" t="s">
        <v>14713</v>
      </c>
      <c r="D101" t="s">
        <v>2462</v>
      </c>
      <c r="E101" t="s">
        <v>43</v>
      </c>
      <c r="I101" s="26">
        <v>43831</v>
      </c>
      <c r="J101" s="28">
        <v>43831</v>
      </c>
      <c r="Q101" t="s">
        <v>44683</v>
      </c>
      <c r="R101" t="s">
        <v>44829</v>
      </c>
    </row>
    <row r="102" spans="1:18" x14ac:dyDescent="0.35">
      <c r="A102" t="s">
        <v>15502</v>
      </c>
      <c r="D102" t="s">
        <v>5690</v>
      </c>
      <c r="E102" t="s">
        <v>43</v>
      </c>
      <c r="I102" s="26">
        <v>43466</v>
      </c>
      <c r="J102" s="28">
        <v>43466</v>
      </c>
      <c r="Q102" t="s">
        <v>44683</v>
      </c>
      <c r="R102" t="s">
        <v>44830</v>
      </c>
    </row>
    <row r="103" spans="1:18" x14ac:dyDescent="0.35">
      <c r="A103" t="s">
        <v>14647</v>
      </c>
      <c r="D103" t="s">
        <v>2462</v>
      </c>
      <c r="E103" t="s">
        <v>43</v>
      </c>
      <c r="I103" s="26">
        <v>43831</v>
      </c>
      <c r="J103" s="28">
        <v>43831</v>
      </c>
      <c r="Q103" t="s">
        <v>44683</v>
      </c>
      <c r="R103" t="s">
        <v>44831</v>
      </c>
    </row>
    <row r="104" spans="1:18" x14ac:dyDescent="0.35">
      <c r="A104" t="s">
        <v>15479</v>
      </c>
      <c r="D104" t="s">
        <v>5690</v>
      </c>
      <c r="E104" t="s">
        <v>43</v>
      </c>
      <c r="I104" s="26">
        <v>43831</v>
      </c>
      <c r="J104" s="28">
        <v>43831</v>
      </c>
      <c r="Q104" t="s">
        <v>44683</v>
      </c>
      <c r="R104" t="s">
        <v>44832</v>
      </c>
    </row>
    <row r="105" spans="1:18" x14ac:dyDescent="0.35">
      <c r="A105" t="s">
        <v>15480</v>
      </c>
      <c r="D105" t="s">
        <v>5690</v>
      </c>
      <c r="E105" t="s">
        <v>43</v>
      </c>
      <c r="I105" s="26">
        <v>43831</v>
      </c>
      <c r="J105" s="28">
        <v>43831</v>
      </c>
      <c r="Q105" t="s">
        <v>44683</v>
      </c>
      <c r="R105" t="s">
        <v>44833</v>
      </c>
    </row>
    <row r="106" spans="1:18" x14ac:dyDescent="0.35">
      <c r="A106" t="s">
        <v>15481</v>
      </c>
      <c r="D106" t="s">
        <v>5690</v>
      </c>
      <c r="E106" t="s">
        <v>43</v>
      </c>
      <c r="I106" s="26">
        <v>43831</v>
      </c>
      <c r="J106" s="28">
        <v>43831</v>
      </c>
      <c r="Q106" t="s">
        <v>44683</v>
      </c>
      <c r="R106" t="s">
        <v>44834</v>
      </c>
    </row>
    <row r="107" spans="1:18" x14ac:dyDescent="0.35">
      <c r="A107" t="s">
        <v>15504</v>
      </c>
      <c r="D107" t="s">
        <v>5690</v>
      </c>
      <c r="E107" t="s">
        <v>43</v>
      </c>
      <c r="I107" s="26">
        <v>43831</v>
      </c>
      <c r="J107" s="28">
        <v>43831</v>
      </c>
      <c r="Q107" t="s">
        <v>44683</v>
      </c>
      <c r="R107" t="s">
        <v>44835</v>
      </c>
    </row>
    <row r="108" spans="1:18" x14ac:dyDescent="0.35">
      <c r="A108" t="s">
        <v>15507</v>
      </c>
      <c r="D108" t="s">
        <v>5690</v>
      </c>
      <c r="E108" t="s">
        <v>43</v>
      </c>
      <c r="I108" s="26">
        <v>43831</v>
      </c>
      <c r="J108" s="28">
        <v>43831</v>
      </c>
      <c r="Q108" t="s">
        <v>44683</v>
      </c>
      <c r="R108" t="s">
        <v>44836</v>
      </c>
    </row>
    <row r="109" spans="1:18" x14ac:dyDescent="0.35">
      <c r="A109" t="s">
        <v>15505</v>
      </c>
      <c r="D109" t="s">
        <v>5690</v>
      </c>
      <c r="E109" t="s">
        <v>43</v>
      </c>
      <c r="I109" s="26">
        <v>43831</v>
      </c>
      <c r="J109" s="28">
        <v>43831</v>
      </c>
      <c r="Q109" t="s">
        <v>44683</v>
      </c>
      <c r="R109" t="s">
        <v>44837</v>
      </c>
    </row>
    <row r="110" spans="1:18" x14ac:dyDescent="0.35">
      <c r="A110" t="s">
        <v>15506</v>
      </c>
      <c r="D110" t="s">
        <v>5690</v>
      </c>
      <c r="E110" t="s">
        <v>43</v>
      </c>
      <c r="I110" s="26">
        <v>43831</v>
      </c>
      <c r="J110" s="28">
        <v>43831</v>
      </c>
      <c r="Q110" t="s">
        <v>44683</v>
      </c>
      <c r="R110" t="s">
        <v>44838</v>
      </c>
    </row>
    <row r="111" spans="1:18" x14ac:dyDescent="0.35">
      <c r="A111" t="s">
        <v>15509</v>
      </c>
      <c r="D111" t="s">
        <v>5690</v>
      </c>
      <c r="E111" t="s">
        <v>43</v>
      </c>
      <c r="I111" s="26">
        <v>43831</v>
      </c>
      <c r="J111" s="28">
        <v>43831</v>
      </c>
      <c r="Q111" t="s">
        <v>44683</v>
      </c>
      <c r="R111" t="s">
        <v>44839</v>
      </c>
    </row>
    <row r="112" spans="1:18" x14ac:dyDescent="0.35">
      <c r="A112" t="s">
        <v>15508</v>
      </c>
      <c r="D112" t="s">
        <v>5690</v>
      </c>
      <c r="E112" t="s">
        <v>43</v>
      </c>
      <c r="I112" s="26">
        <v>43831</v>
      </c>
      <c r="J112" s="28">
        <v>43831</v>
      </c>
      <c r="Q112" t="s">
        <v>44683</v>
      </c>
      <c r="R112" t="s">
        <v>44840</v>
      </c>
    </row>
    <row r="113" spans="1:18" x14ac:dyDescent="0.35">
      <c r="A113" t="s">
        <v>14653</v>
      </c>
      <c r="D113" t="s">
        <v>2462</v>
      </c>
      <c r="E113" t="s">
        <v>43</v>
      </c>
      <c r="I113" s="26">
        <v>43831</v>
      </c>
      <c r="J113" s="28">
        <v>43831</v>
      </c>
      <c r="Q113" t="s">
        <v>44683</v>
      </c>
      <c r="R113" t="s">
        <v>44841</v>
      </c>
    </row>
    <row r="114" spans="1:18" x14ac:dyDescent="0.35">
      <c r="A114" t="s">
        <v>15510</v>
      </c>
      <c r="D114" t="s">
        <v>5690</v>
      </c>
      <c r="E114" t="s">
        <v>43</v>
      </c>
      <c r="I114" s="26">
        <v>43831</v>
      </c>
      <c r="J114" s="28">
        <v>43831</v>
      </c>
      <c r="Q114" t="s">
        <v>44683</v>
      </c>
      <c r="R114" t="s">
        <v>44842</v>
      </c>
    </row>
    <row r="115" spans="1:18" x14ac:dyDescent="0.35">
      <c r="A115" t="s">
        <v>14659</v>
      </c>
      <c r="D115" t="s">
        <v>2462</v>
      </c>
      <c r="E115" t="s">
        <v>43</v>
      </c>
      <c r="I115" s="26">
        <v>43831</v>
      </c>
      <c r="J115" s="28">
        <v>43831</v>
      </c>
      <c r="Q115" t="s">
        <v>44683</v>
      </c>
      <c r="R115" t="s">
        <v>44843</v>
      </c>
    </row>
    <row r="116" spans="1:18" x14ac:dyDescent="0.35">
      <c r="A116" t="s">
        <v>15511</v>
      </c>
      <c r="D116" t="s">
        <v>5690</v>
      </c>
      <c r="E116" t="s">
        <v>43</v>
      </c>
      <c r="I116" s="26">
        <v>43831</v>
      </c>
      <c r="J116" s="28">
        <v>43831</v>
      </c>
      <c r="Q116" t="s">
        <v>44683</v>
      </c>
      <c r="R116" t="s">
        <v>44844</v>
      </c>
    </row>
    <row r="117" spans="1:18" x14ac:dyDescent="0.35">
      <c r="A117" t="s">
        <v>14660</v>
      </c>
      <c r="D117" t="s">
        <v>2462</v>
      </c>
      <c r="E117" t="s">
        <v>43</v>
      </c>
      <c r="I117" s="26">
        <v>43831</v>
      </c>
      <c r="J117" s="28">
        <v>43831</v>
      </c>
      <c r="Q117" t="s">
        <v>44683</v>
      </c>
      <c r="R117" t="s">
        <v>44845</v>
      </c>
    </row>
    <row r="118" spans="1:18" x14ac:dyDescent="0.35">
      <c r="A118" t="s">
        <v>14661</v>
      </c>
      <c r="D118" t="s">
        <v>2462</v>
      </c>
      <c r="E118" t="s">
        <v>43</v>
      </c>
      <c r="I118" s="26">
        <v>43831</v>
      </c>
      <c r="J118" s="28">
        <v>43831</v>
      </c>
      <c r="Q118" t="s">
        <v>44683</v>
      </c>
      <c r="R118" t="s">
        <v>44846</v>
      </c>
    </row>
    <row r="119" spans="1:18" x14ac:dyDescent="0.35">
      <c r="A119" t="s">
        <v>15512</v>
      </c>
      <c r="D119" t="s">
        <v>5690</v>
      </c>
      <c r="E119" t="s">
        <v>43</v>
      </c>
      <c r="I119" s="26">
        <v>43831</v>
      </c>
      <c r="J119" s="28">
        <v>43831</v>
      </c>
      <c r="Q119" t="s">
        <v>44683</v>
      </c>
      <c r="R119" t="s">
        <v>44847</v>
      </c>
    </row>
    <row r="120" spans="1:18" x14ac:dyDescent="0.35">
      <c r="A120" t="s">
        <v>15513</v>
      </c>
      <c r="D120" t="s">
        <v>5690</v>
      </c>
      <c r="E120" t="s">
        <v>43</v>
      </c>
      <c r="I120" s="26">
        <v>43831</v>
      </c>
      <c r="J120" s="28">
        <v>43831</v>
      </c>
      <c r="Q120" t="s">
        <v>44683</v>
      </c>
      <c r="R120" t="s">
        <v>44848</v>
      </c>
    </row>
    <row r="121" spans="1:18" x14ac:dyDescent="0.35">
      <c r="A121" t="s">
        <v>15482</v>
      </c>
      <c r="D121" t="s">
        <v>5690</v>
      </c>
      <c r="E121" t="s">
        <v>43</v>
      </c>
      <c r="I121" s="26">
        <v>43831</v>
      </c>
      <c r="J121" s="28">
        <v>43831</v>
      </c>
      <c r="Q121" t="s">
        <v>44683</v>
      </c>
      <c r="R121" t="s">
        <v>44849</v>
      </c>
    </row>
    <row r="122" spans="1:18" x14ac:dyDescent="0.35">
      <c r="A122" t="s">
        <v>15515</v>
      </c>
      <c r="D122" t="s">
        <v>5690</v>
      </c>
      <c r="E122" t="s">
        <v>43</v>
      </c>
      <c r="I122" s="26">
        <v>43831</v>
      </c>
      <c r="J122" s="28">
        <v>43831</v>
      </c>
      <c r="Q122" t="s">
        <v>44683</v>
      </c>
      <c r="R122" t="s">
        <v>44850</v>
      </c>
    </row>
    <row r="123" spans="1:18" x14ac:dyDescent="0.35">
      <c r="A123" t="s">
        <v>15519</v>
      </c>
      <c r="D123" t="s">
        <v>5690</v>
      </c>
      <c r="E123" t="s">
        <v>43</v>
      </c>
      <c r="I123" s="26">
        <v>43831</v>
      </c>
      <c r="J123" s="28">
        <v>43831</v>
      </c>
      <c r="Q123" t="s">
        <v>44683</v>
      </c>
      <c r="R123" t="s">
        <v>44851</v>
      </c>
    </row>
    <row r="124" spans="1:18" x14ac:dyDescent="0.35">
      <c r="A124" t="s">
        <v>14666</v>
      </c>
      <c r="D124" t="s">
        <v>2462</v>
      </c>
      <c r="E124" t="s">
        <v>43</v>
      </c>
      <c r="I124" s="26">
        <v>43831</v>
      </c>
      <c r="J124" s="28">
        <v>43831</v>
      </c>
      <c r="Q124" t="s">
        <v>44683</v>
      </c>
      <c r="R124" t="s">
        <v>44852</v>
      </c>
    </row>
    <row r="125" spans="1:18" x14ac:dyDescent="0.35">
      <c r="A125" t="s">
        <v>15483</v>
      </c>
      <c r="D125" t="s">
        <v>5690</v>
      </c>
      <c r="E125" t="s">
        <v>43</v>
      </c>
      <c r="I125" s="26">
        <v>43831</v>
      </c>
      <c r="J125" s="28">
        <v>43831</v>
      </c>
      <c r="Q125" t="s">
        <v>44683</v>
      </c>
      <c r="R125" t="s">
        <v>44853</v>
      </c>
    </row>
    <row r="126" spans="1:18" x14ac:dyDescent="0.35">
      <c r="A126" t="s">
        <v>16418</v>
      </c>
      <c r="D126" t="s">
        <v>16419</v>
      </c>
      <c r="E126" t="s">
        <v>43</v>
      </c>
      <c r="I126" s="26">
        <v>43831</v>
      </c>
      <c r="J126" s="28">
        <v>43831</v>
      </c>
      <c r="Q126" t="s">
        <v>44683</v>
      </c>
      <c r="R126" t="s">
        <v>44854</v>
      </c>
    </row>
    <row r="127" spans="1:18" x14ac:dyDescent="0.35">
      <c r="A127" t="s">
        <v>15484</v>
      </c>
      <c r="D127" t="s">
        <v>5690</v>
      </c>
      <c r="E127" t="s">
        <v>43</v>
      </c>
      <c r="I127" s="26">
        <v>43831</v>
      </c>
      <c r="J127" s="28">
        <v>43831</v>
      </c>
      <c r="Q127" t="s">
        <v>44683</v>
      </c>
      <c r="R127" t="s">
        <v>44855</v>
      </c>
    </row>
    <row r="128" spans="1:18" x14ac:dyDescent="0.35">
      <c r="A128" t="s">
        <v>15485</v>
      </c>
      <c r="D128" t="s">
        <v>5690</v>
      </c>
      <c r="E128" t="s">
        <v>43</v>
      </c>
      <c r="I128" s="26">
        <v>43831</v>
      </c>
      <c r="J128" s="28">
        <v>43831</v>
      </c>
      <c r="Q128" t="s">
        <v>44683</v>
      </c>
      <c r="R128" t="s">
        <v>44856</v>
      </c>
    </row>
    <row r="129" spans="1:18" x14ac:dyDescent="0.35">
      <c r="A129" t="s">
        <v>15486</v>
      </c>
      <c r="D129" t="s">
        <v>5690</v>
      </c>
      <c r="E129" t="s">
        <v>43</v>
      </c>
      <c r="I129" s="26">
        <v>43831</v>
      </c>
      <c r="J129" s="28">
        <v>43831</v>
      </c>
      <c r="Q129" t="s">
        <v>44683</v>
      </c>
      <c r="R129" t="s">
        <v>44857</v>
      </c>
    </row>
    <row r="130" spans="1:18" x14ac:dyDescent="0.35">
      <c r="A130" t="s">
        <v>15487</v>
      </c>
      <c r="D130" t="s">
        <v>5690</v>
      </c>
      <c r="E130" t="s">
        <v>43</v>
      </c>
      <c r="I130" s="26">
        <v>43831</v>
      </c>
      <c r="J130" s="28">
        <v>43831</v>
      </c>
      <c r="Q130" t="s">
        <v>44683</v>
      </c>
      <c r="R130" t="s">
        <v>44858</v>
      </c>
    </row>
    <row r="131" spans="1:18" x14ac:dyDescent="0.35">
      <c r="A131" t="s">
        <v>15522</v>
      </c>
      <c r="D131" t="s">
        <v>5690</v>
      </c>
      <c r="E131" t="s">
        <v>43</v>
      </c>
      <c r="I131" s="26">
        <v>43831</v>
      </c>
      <c r="J131" s="28">
        <v>43831</v>
      </c>
      <c r="Q131" t="s">
        <v>44683</v>
      </c>
      <c r="R131" t="s">
        <v>44859</v>
      </c>
    </row>
    <row r="132" spans="1:18" x14ac:dyDescent="0.35">
      <c r="A132" t="s">
        <v>15523</v>
      </c>
      <c r="D132" t="s">
        <v>5690</v>
      </c>
      <c r="E132" t="s">
        <v>43</v>
      </c>
      <c r="I132" s="26">
        <v>43831</v>
      </c>
      <c r="J132" s="28">
        <v>43831</v>
      </c>
      <c r="Q132" t="s">
        <v>44683</v>
      </c>
      <c r="R132" t="s">
        <v>44860</v>
      </c>
    </row>
    <row r="133" spans="1:18" x14ac:dyDescent="0.35">
      <c r="A133" t="s">
        <v>15488</v>
      </c>
      <c r="D133" t="s">
        <v>5690</v>
      </c>
      <c r="E133" t="s">
        <v>43</v>
      </c>
      <c r="I133" s="26">
        <v>43831</v>
      </c>
      <c r="J133" s="28">
        <v>43831</v>
      </c>
      <c r="Q133" t="s">
        <v>44683</v>
      </c>
      <c r="R133" t="s">
        <v>44861</v>
      </c>
    </row>
    <row r="134" spans="1:18" x14ac:dyDescent="0.35">
      <c r="A134" t="s">
        <v>15524</v>
      </c>
      <c r="D134" t="s">
        <v>5690</v>
      </c>
      <c r="E134" t="s">
        <v>43</v>
      </c>
      <c r="I134" s="26">
        <v>43831</v>
      </c>
      <c r="J134" s="28">
        <v>43831</v>
      </c>
      <c r="Q134" t="s">
        <v>44683</v>
      </c>
      <c r="R134" t="s">
        <v>44862</v>
      </c>
    </row>
    <row r="135" spans="1:18" x14ac:dyDescent="0.35">
      <c r="A135" t="s">
        <v>15525</v>
      </c>
      <c r="D135" t="s">
        <v>5690</v>
      </c>
      <c r="E135" t="s">
        <v>43</v>
      </c>
      <c r="I135" s="26">
        <v>43831</v>
      </c>
      <c r="J135" s="28">
        <v>43831</v>
      </c>
      <c r="Q135" t="s">
        <v>44683</v>
      </c>
      <c r="R135" t="s">
        <v>44863</v>
      </c>
    </row>
    <row r="136" spans="1:18" x14ac:dyDescent="0.35">
      <c r="A136" t="s">
        <v>15489</v>
      </c>
      <c r="D136" t="s">
        <v>5690</v>
      </c>
      <c r="E136" t="s">
        <v>43</v>
      </c>
      <c r="I136" s="26">
        <v>43831</v>
      </c>
      <c r="J136" s="28">
        <v>43831</v>
      </c>
      <c r="Q136" t="s">
        <v>44683</v>
      </c>
      <c r="R136" t="s">
        <v>44864</v>
      </c>
    </row>
    <row r="137" spans="1:18" x14ac:dyDescent="0.35">
      <c r="A137" t="s">
        <v>15527</v>
      </c>
      <c r="D137" t="s">
        <v>5690</v>
      </c>
      <c r="E137" t="s">
        <v>43</v>
      </c>
      <c r="I137" s="26">
        <v>43831</v>
      </c>
      <c r="J137" s="28">
        <v>43831</v>
      </c>
      <c r="Q137" t="s">
        <v>44683</v>
      </c>
      <c r="R137" t="s">
        <v>44865</v>
      </c>
    </row>
    <row r="138" spans="1:18" x14ac:dyDescent="0.35">
      <c r="A138" t="s">
        <v>15529</v>
      </c>
      <c r="D138" t="s">
        <v>5690</v>
      </c>
      <c r="E138" t="s">
        <v>43</v>
      </c>
      <c r="I138" s="26">
        <v>43831</v>
      </c>
      <c r="J138" s="28">
        <v>43831</v>
      </c>
      <c r="Q138" t="s">
        <v>44683</v>
      </c>
      <c r="R138" t="s">
        <v>44866</v>
      </c>
    </row>
    <row r="139" spans="1:18" x14ac:dyDescent="0.35">
      <c r="A139" t="s">
        <v>15531</v>
      </c>
      <c r="D139" t="s">
        <v>5690</v>
      </c>
      <c r="E139" t="s">
        <v>43</v>
      </c>
      <c r="I139" s="26">
        <v>43831</v>
      </c>
      <c r="J139" s="28">
        <v>43831</v>
      </c>
      <c r="Q139" t="s">
        <v>44683</v>
      </c>
      <c r="R139" t="s">
        <v>44867</v>
      </c>
    </row>
    <row r="140" spans="1:18" x14ac:dyDescent="0.35">
      <c r="A140" t="s">
        <v>15533</v>
      </c>
      <c r="D140" t="s">
        <v>5690</v>
      </c>
      <c r="E140" t="s">
        <v>43</v>
      </c>
      <c r="I140" s="26">
        <v>43831</v>
      </c>
      <c r="J140" s="28">
        <v>43831</v>
      </c>
      <c r="Q140" t="s">
        <v>44683</v>
      </c>
      <c r="R140" t="s">
        <v>44868</v>
      </c>
    </row>
    <row r="141" spans="1:18" x14ac:dyDescent="0.35">
      <c r="A141" t="s">
        <v>14678</v>
      </c>
      <c r="D141" t="s">
        <v>2462</v>
      </c>
      <c r="E141" t="s">
        <v>43</v>
      </c>
      <c r="I141" s="26">
        <v>43831</v>
      </c>
      <c r="J141" s="28">
        <v>43831</v>
      </c>
      <c r="Q141" t="s">
        <v>44683</v>
      </c>
      <c r="R141" t="s">
        <v>44869</v>
      </c>
    </row>
    <row r="142" spans="1:18" x14ac:dyDescent="0.35">
      <c r="A142" t="s">
        <v>14677</v>
      </c>
      <c r="D142" t="s">
        <v>2462</v>
      </c>
      <c r="E142" t="s">
        <v>43</v>
      </c>
      <c r="I142" s="26">
        <v>43831</v>
      </c>
      <c r="J142" s="28">
        <v>43831</v>
      </c>
      <c r="Q142" t="s">
        <v>44683</v>
      </c>
      <c r="R142" t="s">
        <v>44870</v>
      </c>
    </row>
    <row r="143" spans="1:18" x14ac:dyDescent="0.35">
      <c r="A143" t="s">
        <v>15490</v>
      </c>
      <c r="D143" t="s">
        <v>5690</v>
      </c>
      <c r="E143" t="s">
        <v>43</v>
      </c>
      <c r="I143" s="26">
        <v>43831</v>
      </c>
      <c r="J143" s="28">
        <v>43831</v>
      </c>
      <c r="Q143" t="s">
        <v>44683</v>
      </c>
      <c r="R143" t="s">
        <v>44871</v>
      </c>
    </row>
    <row r="144" spans="1:18" x14ac:dyDescent="0.35">
      <c r="A144" t="s">
        <v>15491</v>
      </c>
      <c r="D144" t="s">
        <v>5690</v>
      </c>
      <c r="E144" t="s">
        <v>43</v>
      </c>
      <c r="I144" s="26">
        <v>43831</v>
      </c>
      <c r="J144" s="28">
        <v>43831</v>
      </c>
      <c r="Q144" t="s">
        <v>44683</v>
      </c>
      <c r="R144" t="s">
        <v>44872</v>
      </c>
    </row>
    <row r="145" spans="1:18" x14ac:dyDescent="0.35">
      <c r="A145" t="s">
        <v>14679</v>
      </c>
      <c r="D145" t="s">
        <v>2462</v>
      </c>
      <c r="E145" t="s">
        <v>43</v>
      </c>
      <c r="I145" s="26">
        <v>43831</v>
      </c>
      <c r="J145" s="28">
        <v>43831</v>
      </c>
      <c r="Q145" t="s">
        <v>44683</v>
      </c>
      <c r="R145" t="s">
        <v>44873</v>
      </c>
    </row>
    <row r="146" spans="1:18" x14ac:dyDescent="0.35">
      <c r="A146" t="s">
        <v>15492</v>
      </c>
      <c r="D146" t="s">
        <v>5690</v>
      </c>
      <c r="E146" t="s">
        <v>43</v>
      </c>
      <c r="I146" s="26">
        <v>43831</v>
      </c>
      <c r="J146" s="28">
        <v>43831</v>
      </c>
      <c r="Q146" t="s">
        <v>44683</v>
      </c>
      <c r="R146" t="s">
        <v>44874</v>
      </c>
    </row>
    <row r="147" spans="1:18" x14ac:dyDescent="0.35">
      <c r="A147" t="s">
        <v>15534</v>
      </c>
      <c r="D147" t="s">
        <v>5690</v>
      </c>
      <c r="E147" t="s">
        <v>43</v>
      </c>
      <c r="I147" s="26">
        <v>43831</v>
      </c>
      <c r="J147" s="28">
        <v>43831</v>
      </c>
      <c r="Q147" t="s">
        <v>44683</v>
      </c>
      <c r="R147" t="s">
        <v>44875</v>
      </c>
    </row>
    <row r="148" spans="1:18" x14ac:dyDescent="0.35">
      <c r="A148" t="s">
        <v>14680</v>
      </c>
      <c r="D148" t="s">
        <v>2462</v>
      </c>
      <c r="E148" t="s">
        <v>43</v>
      </c>
      <c r="I148" s="26">
        <v>43831</v>
      </c>
      <c r="J148" s="28">
        <v>43831</v>
      </c>
      <c r="Q148" t="s">
        <v>44683</v>
      </c>
      <c r="R148" t="s">
        <v>44876</v>
      </c>
    </row>
    <row r="149" spans="1:18" x14ac:dyDescent="0.35">
      <c r="A149" t="s">
        <v>15536</v>
      </c>
      <c r="D149" t="s">
        <v>5690</v>
      </c>
      <c r="E149" t="s">
        <v>43</v>
      </c>
      <c r="I149" s="26">
        <v>43831</v>
      </c>
      <c r="J149" s="28">
        <v>43831</v>
      </c>
      <c r="Q149" t="s">
        <v>44683</v>
      </c>
      <c r="R149" t="s">
        <v>44877</v>
      </c>
    </row>
    <row r="150" spans="1:18" x14ac:dyDescent="0.35">
      <c r="A150" t="s">
        <v>15493</v>
      </c>
      <c r="D150" t="s">
        <v>5690</v>
      </c>
      <c r="E150" t="s">
        <v>43</v>
      </c>
      <c r="I150" s="26">
        <v>43831</v>
      </c>
      <c r="J150" s="28">
        <v>43831</v>
      </c>
      <c r="Q150" t="s">
        <v>44683</v>
      </c>
      <c r="R150" t="s">
        <v>44878</v>
      </c>
    </row>
    <row r="151" spans="1:18" x14ac:dyDescent="0.35">
      <c r="A151" t="s">
        <v>15494</v>
      </c>
      <c r="D151" t="s">
        <v>5690</v>
      </c>
      <c r="E151" t="s">
        <v>43</v>
      </c>
      <c r="I151" s="26">
        <v>43831</v>
      </c>
      <c r="J151" s="28">
        <v>43831</v>
      </c>
      <c r="Q151" t="s">
        <v>44683</v>
      </c>
      <c r="R151" t="s">
        <v>44879</v>
      </c>
    </row>
    <row r="152" spans="1:18" x14ac:dyDescent="0.35">
      <c r="A152" t="s">
        <v>15537</v>
      </c>
      <c r="D152" t="s">
        <v>5690</v>
      </c>
      <c r="E152" t="s">
        <v>43</v>
      </c>
      <c r="I152" s="26">
        <v>43831</v>
      </c>
      <c r="J152" s="28">
        <v>43831</v>
      </c>
      <c r="Q152" t="s">
        <v>44683</v>
      </c>
      <c r="R152" t="s">
        <v>44880</v>
      </c>
    </row>
    <row r="153" spans="1:18" x14ac:dyDescent="0.35">
      <c r="A153" t="s">
        <v>15538</v>
      </c>
      <c r="D153" t="s">
        <v>5690</v>
      </c>
      <c r="E153" t="s">
        <v>43</v>
      </c>
      <c r="I153" s="26">
        <v>43831</v>
      </c>
      <c r="J153" s="28">
        <v>43831</v>
      </c>
      <c r="Q153" t="s">
        <v>44683</v>
      </c>
      <c r="R153" t="s">
        <v>44881</v>
      </c>
    </row>
    <row r="154" spans="1:18" x14ac:dyDescent="0.35">
      <c r="A154" t="s">
        <v>16210</v>
      </c>
      <c r="D154" t="s">
        <v>1782</v>
      </c>
      <c r="E154" t="s">
        <v>43</v>
      </c>
      <c r="I154" s="26">
        <v>43831</v>
      </c>
      <c r="J154" s="28">
        <v>43831</v>
      </c>
      <c r="Q154" t="s">
        <v>44683</v>
      </c>
      <c r="R154" t="s">
        <v>44882</v>
      </c>
    </row>
    <row r="155" spans="1:18" x14ac:dyDescent="0.35">
      <c r="A155" t="s">
        <v>15542</v>
      </c>
      <c r="D155" t="s">
        <v>5690</v>
      </c>
      <c r="E155" t="s">
        <v>43</v>
      </c>
      <c r="I155" s="26">
        <v>43831</v>
      </c>
      <c r="J155" s="28">
        <v>43831</v>
      </c>
      <c r="Q155" t="s">
        <v>44683</v>
      </c>
      <c r="R155" t="s">
        <v>44883</v>
      </c>
    </row>
    <row r="156" spans="1:18" x14ac:dyDescent="0.35">
      <c r="A156" t="s">
        <v>44884</v>
      </c>
      <c r="D156" t="s">
        <v>16419</v>
      </c>
      <c r="E156" t="s">
        <v>43</v>
      </c>
      <c r="I156" s="26">
        <v>43831</v>
      </c>
      <c r="J156" s="28">
        <v>43831</v>
      </c>
      <c r="Q156" t="s">
        <v>44683</v>
      </c>
      <c r="R156" t="s">
        <v>44885</v>
      </c>
    </row>
    <row r="157" spans="1:18" x14ac:dyDescent="0.35">
      <c r="A157" t="s">
        <v>15543</v>
      </c>
      <c r="D157" t="s">
        <v>5690</v>
      </c>
      <c r="E157" t="s">
        <v>43</v>
      </c>
      <c r="I157" s="26">
        <v>43831</v>
      </c>
      <c r="J157" s="28">
        <v>43831</v>
      </c>
      <c r="Q157" t="s">
        <v>44683</v>
      </c>
      <c r="R157" t="s">
        <v>44886</v>
      </c>
    </row>
    <row r="158" spans="1:18" x14ac:dyDescent="0.35">
      <c r="A158" t="s">
        <v>15544</v>
      </c>
      <c r="D158" t="s">
        <v>5690</v>
      </c>
      <c r="E158" t="s">
        <v>43</v>
      </c>
      <c r="I158" s="26">
        <v>43831</v>
      </c>
      <c r="J158" s="28">
        <v>43831</v>
      </c>
      <c r="Q158" t="s">
        <v>44683</v>
      </c>
      <c r="R158" t="s">
        <v>44887</v>
      </c>
    </row>
    <row r="159" spans="1:18" x14ac:dyDescent="0.35">
      <c r="A159" t="s">
        <v>15545</v>
      </c>
      <c r="D159" t="s">
        <v>5690</v>
      </c>
      <c r="E159" t="s">
        <v>43</v>
      </c>
      <c r="I159" s="26">
        <v>43831</v>
      </c>
      <c r="J159" s="28">
        <v>43831</v>
      </c>
      <c r="Q159" t="s">
        <v>44683</v>
      </c>
      <c r="R159" t="s">
        <v>44888</v>
      </c>
    </row>
    <row r="160" spans="1:18" x14ac:dyDescent="0.35">
      <c r="A160" t="s">
        <v>15546</v>
      </c>
      <c r="D160" t="s">
        <v>5690</v>
      </c>
      <c r="E160" t="s">
        <v>43</v>
      </c>
      <c r="I160" s="26">
        <v>43831</v>
      </c>
      <c r="J160" s="28">
        <v>43831</v>
      </c>
      <c r="Q160" t="s">
        <v>44683</v>
      </c>
      <c r="R160" t="s">
        <v>44889</v>
      </c>
    </row>
    <row r="161" spans="1:18" x14ac:dyDescent="0.35">
      <c r="A161" t="s">
        <v>15547</v>
      </c>
      <c r="D161" t="s">
        <v>5690</v>
      </c>
      <c r="E161" t="s">
        <v>43</v>
      </c>
      <c r="I161" s="26">
        <v>43831</v>
      </c>
      <c r="J161" s="28">
        <v>43831</v>
      </c>
      <c r="Q161" t="s">
        <v>44683</v>
      </c>
      <c r="R161" t="s">
        <v>44890</v>
      </c>
    </row>
    <row r="162" spans="1:18" x14ac:dyDescent="0.35">
      <c r="A162" t="s">
        <v>14683</v>
      </c>
      <c r="D162" t="s">
        <v>2462</v>
      </c>
      <c r="E162" t="s">
        <v>43</v>
      </c>
      <c r="I162" s="26">
        <v>43831</v>
      </c>
      <c r="J162" s="28">
        <v>43831</v>
      </c>
      <c r="Q162" t="s">
        <v>44683</v>
      </c>
      <c r="R162" t="s">
        <v>44891</v>
      </c>
    </row>
    <row r="163" spans="1:18" x14ac:dyDescent="0.35">
      <c r="A163" t="s">
        <v>14685</v>
      </c>
      <c r="D163" t="s">
        <v>2462</v>
      </c>
      <c r="E163" t="s">
        <v>43</v>
      </c>
      <c r="I163" s="26">
        <v>43831</v>
      </c>
      <c r="J163" s="28">
        <v>43831</v>
      </c>
      <c r="Q163" t="s">
        <v>44683</v>
      </c>
      <c r="R163" t="s">
        <v>44892</v>
      </c>
    </row>
    <row r="164" spans="1:18" x14ac:dyDescent="0.35">
      <c r="A164" t="s">
        <v>14688</v>
      </c>
      <c r="D164" t="s">
        <v>2462</v>
      </c>
      <c r="E164" t="s">
        <v>43</v>
      </c>
      <c r="I164" s="26">
        <v>43831</v>
      </c>
      <c r="J164" s="28">
        <v>43831</v>
      </c>
      <c r="Q164" t="s">
        <v>44683</v>
      </c>
      <c r="R164" t="s">
        <v>44893</v>
      </c>
    </row>
    <row r="165" spans="1:18" x14ac:dyDescent="0.35">
      <c r="A165" t="s">
        <v>14689</v>
      </c>
      <c r="D165" t="s">
        <v>2462</v>
      </c>
      <c r="E165" t="s">
        <v>43</v>
      </c>
      <c r="I165" s="26">
        <v>43831</v>
      </c>
      <c r="J165" s="28">
        <v>43831</v>
      </c>
      <c r="Q165" t="s">
        <v>44683</v>
      </c>
      <c r="R165" t="s">
        <v>44894</v>
      </c>
    </row>
    <row r="166" spans="1:18" x14ac:dyDescent="0.35">
      <c r="A166" t="s">
        <v>15495</v>
      </c>
      <c r="D166" t="s">
        <v>5690</v>
      </c>
      <c r="E166" t="s">
        <v>43</v>
      </c>
      <c r="I166" s="26">
        <v>43831</v>
      </c>
      <c r="J166" s="28">
        <v>43831</v>
      </c>
      <c r="Q166" t="s">
        <v>44683</v>
      </c>
      <c r="R166" t="s">
        <v>44895</v>
      </c>
    </row>
    <row r="167" spans="1:18" x14ac:dyDescent="0.35">
      <c r="A167" t="s">
        <v>15496</v>
      </c>
      <c r="D167" t="s">
        <v>5690</v>
      </c>
      <c r="E167" t="s">
        <v>43</v>
      </c>
      <c r="I167" s="26">
        <v>43831</v>
      </c>
      <c r="J167" s="28">
        <v>43831</v>
      </c>
      <c r="Q167" t="s">
        <v>44683</v>
      </c>
      <c r="R167" t="s">
        <v>44896</v>
      </c>
    </row>
    <row r="168" spans="1:18" x14ac:dyDescent="0.35">
      <c r="A168" t="s">
        <v>15548</v>
      </c>
      <c r="D168" t="s">
        <v>5690</v>
      </c>
      <c r="E168" t="s">
        <v>43</v>
      </c>
      <c r="I168" s="26">
        <v>43831</v>
      </c>
      <c r="J168" s="28">
        <v>43831</v>
      </c>
      <c r="Q168" t="s">
        <v>44683</v>
      </c>
      <c r="R168" t="s">
        <v>44897</v>
      </c>
    </row>
    <row r="169" spans="1:18" x14ac:dyDescent="0.35">
      <c r="A169" t="s">
        <v>16648</v>
      </c>
      <c r="E169" t="s">
        <v>43</v>
      </c>
      <c r="F169" t="s">
        <v>16649</v>
      </c>
      <c r="I169" s="26">
        <v>43466</v>
      </c>
      <c r="J169" s="28">
        <v>43466</v>
      </c>
      <c r="Q169" t="s">
        <v>44683</v>
      </c>
      <c r="R169" t="s">
        <v>44898</v>
      </c>
    </row>
    <row r="170" spans="1:18" x14ac:dyDescent="0.35">
      <c r="A170" t="s">
        <v>15549</v>
      </c>
      <c r="D170" t="s">
        <v>5690</v>
      </c>
      <c r="E170" t="s">
        <v>43</v>
      </c>
      <c r="I170" s="26">
        <v>43831</v>
      </c>
      <c r="J170" s="28">
        <v>43831</v>
      </c>
      <c r="Q170" t="s">
        <v>44683</v>
      </c>
      <c r="R170" t="s">
        <v>44899</v>
      </c>
    </row>
    <row r="171" spans="1:18" x14ac:dyDescent="0.35">
      <c r="A171" t="s">
        <v>15552</v>
      </c>
      <c r="D171" t="s">
        <v>5690</v>
      </c>
      <c r="E171" t="s">
        <v>43</v>
      </c>
      <c r="I171" s="26">
        <v>43831</v>
      </c>
      <c r="J171" s="28">
        <v>43831</v>
      </c>
      <c r="Q171" t="s">
        <v>44683</v>
      </c>
      <c r="R171" t="s">
        <v>44900</v>
      </c>
    </row>
    <row r="172" spans="1:18" x14ac:dyDescent="0.35">
      <c r="A172" t="s">
        <v>15551</v>
      </c>
      <c r="D172" t="s">
        <v>5690</v>
      </c>
      <c r="E172" t="s">
        <v>43</v>
      </c>
      <c r="I172" s="26">
        <v>43831</v>
      </c>
      <c r="J172" s="28">
        <v>43831</v>
      </c>
      <c r="Q172" t="s">
        <v>44683</v>
      </c>
      <c r="R172" t="s">
        <v>44901</v>
      </c>
    </row>
    <row r="173" spans="1:18" x14ac:dyDescent="0.35">
      <c r="A173" t="s">
        <v>15553</v>
      </c>
      <c r="D173" t="s">
        <v>5690</v>
      </c>
      <c r="E173" t="s">
        <v>43</v>
      </c>
      <c r="I173" s="26">
        <v>43831</v>
      </c>
      <c r="J173" s="28">
        <v>43831</v>
      </c>
      <c r="Q173" t="s">
        <v>44683</v>
      </c>
      <c r="R173" t="s">
        <v>44902</v>
      </c>
    </row>
    <row r="174" spans="1:18" x14ac:dyDescent="0.35">
      <c r="A174" t="s">
        <v>15555</v>
      </c>
      <c r="D174" t="s">
        <v>5690</v>
      </c>
      <c r="E174" t="s">
        <v>43</v>
      </c>
      <c r="I174" s="26">
        <v>43831</v>
      </c>
      <c r="J174" s="28">
        <v>43831</v>
      </c>
      <c r="Q174" t="s">
        <v>44683</v>
      </c>
      <c r="R174" t="s">
        <v>44903</v>
      </c>
    </row>
    <row r="175" spans="1:18" x14ac:dyDescent="0.35">
      <c r="A175" t="s">
        <v>15556</v>
      </c>
      <c r="D175" t="s">
        <v>5690</v>
      </c>
      <c r="E175" t="s">
        <v>43</v>
      </c>
      <c r="I175" s="26">
        <v>43831</v>
      </c>
      <c r="J175" s="28">
        <v>43831</v>
      </c>
      <c r="Q175" t="s">
        <v>44683</v>
      </c>
      <c r="R175" t="s">
        <v>44904</v>
      </c>
    </row>
    <row r="176" spans="1:18" x14ac:dyDescent="0.35">
      <c r="A176" t="s">
        <v>15497</v>
      </c>
      <c r="D176" t="s">
        <v>5690</v>
      </c>
      <c r="E176" t="s">
        <v>43</v>
      </c>
      <c r="I176" s="26">
        <v>43831</v>
      </c>
      <c r="J176" s="28">
        <v>43831</v>
      </c>
      <c r="Q176" t="s">
        <v>44683</v>
      </c>
      <c r="R176" t="s">
        <v>44905</v>
      </c>
    </row>
    <row r="177" spans="1:18" x14ac:dyDescent="0.35">
      <c r="A177" t="s">
        <v>15557</v>
      </c>
      <c r="D177" t="s">
        <v>5690</v>
      </c>
      <c r="E177" t="s">
        <v>43</v>
      </c>
      <c r="I177" s="26">
        <v>43831</v>
      </c>
      <c r="J177" s="28">
        <v>43831</v>
      </c>
      <c r="Q177" t="s">
        <v>44683</v>
      </c>
      <c r="R177" t="s">
        <v>44906</v>
      </c>
    </row>
    <row r="178" spans="1:18" x14ac:dyDescent="0.35">
      <c r="A178" t="s">
        <v>15558</v>
      </c>
      <c r="D178" t="s">
        <v>5690</v>
      </c>
      <c r="E178" t="s">
        <v>43</v>
      </c>
      <c r="I178" s="26">
        <v>43831</v>
      </c>
      <c r="J178" s="28">
        <v>43831</v>
      </c>
      <c r="Q178" t="s">
        <v>44683</v>
      </c>
      <c r="R178" t="s">
        <v>44907</v>
      </c>
    </row>
    <row r="179" spans="1:18" x14ac:dyDescent="0.35">
      <c r="A179" t="s">
        <v>15559</v>
      </c>
      <c r="D179" t="s">
        <v>5690</v>
      </c>
      <c r="E179" t="s">
        <v>43</v>
      </c>
      <c r="I179" s="26">
        <v>43831</v>
      </c>
      <c r="J179" s="28">
        <v>43831</v>
      </c>
      <c r="Q179" t="s">
        <v>44683</v>
      </c>
      <c r="R179" t="s">
        <v>44908</v>
      </c>
    </row>
    <row r="180" spans="1:18" x14ac:dyDescent="0.35">
      <c r="A180" t="s">
        <v>14696</v>
      </c>
      <c r="D180" t="s">
        <v>2462</v>
      </c>
      <c r="E180" t="s">
        <v>43</v>
      </c>
      <c r="I180" s="26">
        <v>43831</v>
      </c>
      <c r="J180" s="28">
        <v>43831</v>
      </c>
      <c r="Q180" t="s">
        <v>44683</v>
      </c>
      <c r="R180" t="s">
        <v>44909</v>
      </c>
    </row>
    <row r="181" spans="1:18" x14ac:dyDescent="0.35">
      <c r="A181" t="s">
        <v>15498</v>
      </c>
      <c r="D181" t="s">
        <v>5690</v>
      </c>
      <c r="E181" t="s">
        <v>43</v>
      </c>
      <c r="I181" s="26">
        <v>43831</v>
      </c>
      <c r="J181" s="28">
        <v>43831</v>
      </c>
      <c r="Q181" t="s">
        <v>44683</v>
      </c>
      <c r="R181" t="s">
        <v>44910</v>
      </c>
    </row>
    <row r="182" spans="1:18" x14ac:dyDescent="0.35">
      <c r="A182" t="s">
        <v>15499</v>
      </c>
      <c r="D182" t="s">
        <v>5690</v>
      </c>
      <c r="E182" t="s">
        <v>43</v>
      </c>
      <c r="I182" s="26">
        <v>43831</v>
      </c>
      <c r="J182" s="28">
        <v>43831</v>
      </c>
      <c r="Q182" t="s">
        <v>44683</v>
      </c>
      <c r="R182" t="s">
        <v>44911</v>
      </c>
    </row>
    <row r="183" spans="1:18" x14ac:dyDescent="0.35">
      <c r="A183" t="s">
        <v>14698</v>
      </c>
      <c r="D183" t="s">
        <v>2462</v>
      </c>
      <c r="E183" t="s">
        <v>43</v>
      </c>
      <c r="I183" s="26">
        <v>43831</v>
      </c>
      <c r="J183" s="28">
        <v>43831</v>
      </c>
      <c r="Q183" t="s">
        <v>44683</v>
      </c>
      <c r="R183" t="s">
        <v>44912</v>
      </c>
    </row>
    <row r="184" spans="1:18" x14ac:dyDescent="0.35">
      <c r="A184" t="s">
        <v>15561</v>
      </c>
      <c r="D184" t="s">
        <v>5690</v>
      </c>
      <c r="E184" t="s">
        <v>43</v>
      </c>
      <c r="I184" s="26">
        <v>43831</v>
      </c>
      <c r="J184" s="28">
        <v>43831</v>
      </c>
      <c r="Q184" t="s">
        <v>44683</v>
      </c>
      <c r="R184" t="s">
        <v>44913</v>
      </c>
    </row>
    <row r="185" spans="1:18" x14ac:dyDescent="0.35">
      <c r="A185" t="s">
        <v>15562</v>
      </c>
      <c r="D185" t="s">
        <v>5690</v>
      </c>
      <c r="E185" t="s">
        <v>43</v>
      </c>
      <c r="I185" s="26">
        <v>43831</v>
      </c>
      <c r="J185" s="28">
        <v>43831</v>
      </c>
      <c r="Q185" t="s">
        <v>44683</v>
      </c>
      <c r="R185" t="s">
        <v>44914</v>
      </c>
    </row>
    <row r="186" spans="1:18" x14ac:dyDescent="0.35">
      <c r="A186" t="s">
        <v>15563</v>
      </c>
      <c r="D186" t="s">
        <v>5690</v>
      </c>
      <c r="E186" t="s">
        <v>43</v>
      </c>
      <c r="I186" s="26">
        <v>43831</v>
      </c>
      <c r="J186" s="28">
        <v>43831</v>
      </c>
      <c r="Q186" t="s">
        <v>44683</v>
      </c>
      <c r="R186" t="s">
        <v>44915</v>
      </c>
    </row>
    <row r="187" spans="1:18" x14ac:dyDescent="0.35">
      <c r="A187" t="s">
        <v>15564</v>
      </c>
      <c r="D187" t="s">
        <v>5690</v>
      </c>
      <c r="E187" t="s">
        <v>43</v>
      </c>
      <c r="I187" s="26">
        <v>43831</v>
      </c>
      <c r="J187" s="28">
        <v>43831</v>
      </c>
      <c r="Q187" t="s">
        <v>44683</v>
      </c>
      <c r="R187" t="s">
        <v>44916</v>
      </c>
    </row>
    <row r="188" spans="1:18" x14ac:dyDescent="0.35">
      <c r="A188" t="s">
        <v>15565</v>
      </c>
      <c r="D188" t="s">
        <v>5690</v>
      </c>
      <c r="E188" t="s">
        <v>43</v>
      </c>
      <c r="I188" s="26">
        <v>43831</v>
      </c>
      <c r="J188" s="28">
        <v>43831</v>
      </c>
      <c r="Q188" t="s">
        <v>44683</v>
      </c>
      <c r="R188" t="s">
        <v>44917</v>
      </c>
    </row>
    <row r="189" spans="1:18" x14ac:dyDescent="0.35">
      <c r="A189" t="s">
        <v>15566</v>
      </c>
      <c r="D189" t="s">
        <v>5690</v>
      </c>
      <c r="E189" t="s">
        <v>43</v>
      </c>
      <c r="I189" s="26">
        <v>43831</v>
      </c>
      <c r="J189" s="28">
        <v>43831</v>
      </c>
      <c r="Q189" t="s">
        <v>44683</v>
      </c>
      <c r="R189" t="s">
        <v>44918</v>
      </c>
    </row>
    <row r="190" spans="1:18" x14ac:dyDescent="0.35">
      <c r="A190" t="s">
        <v>14701</v>
      </c>
      <c r="D190" t="s">
        <v>2462</v>
      </c>
      <c r="E190" t="s">
        <v>43</v>
      </c>
      <c r="I190" s="26">
        <v>43831</v>
      </c>
      <c r="J190" s="28">
        <v>43831</v>
      </c>
      <c r="Q190" t="s">
        <v>44683</v>
      </c>
      <c r="R190" t="s">
        <v>44919</v>
      </c>
    </row>
    <row r="191" spans="1:18" x14ac:dyDescent="0.35">
      <c r="A191" t="s">
        <v>14705</v>
      </c>
      <c r="D191" t="s">
        <v>2462</v>
      </c>
      <c r="E191" t="s">
        <v>43</v>
      </c>
      <c r="I191" s="26">
        <v>43831</v>
      </c>
      <c r="J191" s="28">
        <v>43831</v>
      </c>
      <c r="Q191" t="s">
        <v>44683</v>
      </c>
      <c r="R191" t="s">
        <v>44920</v>
      </c>
    </row>
    <row r="192" spans="1:18" x14ac:dyDescent="0.35">
      <c r="A192" t="s">
        <v>15569</v>
      </c>
      <c r="D192" t="s">
        <v>5690</v>
      </c>
      <c r="E192" t="s">
        <v>43</v>
      </c>
      <c r="I192" s="26">
        <v>43831</v>
      </c>
      <c r="J192" s="28">
        <v>43831</v>
      </c>
      <c r="Q192" t="s">
        <v>44683</v>
      </c>
      <c r="R192" t="s">
        <v>44921</v>
      </c>
    </row>
    <row r="193" spans="1:18" x14ac:dyDescent="0.35">
      <c r="A193" t="s">
        <v>15501</v>
      </c>
      <c r="D193" t="s">
        <v>5690</v>
      </c>
      <c r="E193" t="s">
        <v>43</v>
      </c>
      <c r="I193" s="26">
        <v>43831</v>
      </c>
      <c r="J193" s="28">
        <v>43831</v>
      </c>
      <c r="Q193" t="s">
        <v>44683</v>
      </c>
      <c r="R193" t="s">
        <v>44922</v>
      </c>
    </row>
    <row r="194" spans="1:18" x14ac:dyDescent="0.35">
      <c r="A194" t="s">
        <v>15500</v>
      </c>
      <c r="D194" t="s">
        <v>5690</v>
      </c>
      <c r="E194" t="s">
        <v>43</v>
      </c>
      <c r="I194" s="26">
        <v>43831</v>
      </c>
      <c r="J194" s="28">
        <v>43831</v>
      </c>
      <c r="Q194" t="s">
        <v>44683</v>
      </c>
      <c r="R194" t="s">
        <v>44923</v>
      </c>
    </row>
    <row r="195" spans="1:18" x14ac:dyDescent="0.35">
      <c r="A195" t="s">
        <v>15570</v>
      </c>
      <c r="D195" t="s">
        <v>5690</v>
      </c>
      <c r="E195" t="s">
        <v>43</v>
      </c>
      <c r="I195" s="26">
        <v>43831</v>
      </c>
      <c r="J195" s="28">
        <v>43831</v>
      </c>
      <c r="Q195" t="s">
        <v>44683</v>
      </c>
      <c r="R195" t="s">
        <v>44924</v>
      </c>
    </row>
    <row r="196" spans="1:18" x14ac:dyDescent="0.35">
      <c r="A196" t="s">
        <v>14710</v>
      </c>
      <c r="D196" t="s">
        <v>2462</v>
      </c>
      <c r="E196" t="s">
        <v>43</v>
      </c>
      <c r="I196" s="26">
        <v>43831</v>
      </c>
      <c r="J196" s="28">
        <v>43831</v>
      </c>
      <c r="Q196" t="s">
        <v>44683</v>
      </c>
      <c r="R196" t="s">
        <v>44925</v>
      </c>
    </row>
    <row r="197" spans="1:18" x14ac:dyDescent="0.35">
      <c r="A197" t="s">
        <v>14711</v>
      </c>
      <c r="D197" t="s">
        <v>2462</v>
      </c>
      <c r="E197" t="s">
        <v>43</v>
      </c>
      <c r="I197" s="26">
        <v>43831</v>
      </c>
      <c r="J197" s="28">
        <v>43831</v>
      </c>
      <c r="Q197" t="s">
        <v>44683</v>
      </c>
      <c r="R197" t="s">
        <v>44926</v>
      </c>
    </row>
    <row r="198" spans="1:18" x14ac:dyDescent="0.35">
      <c r="A198" t="s">
        <v>15571</v>
      </c>
      <c r="D198" t="s">
        <v>5690</v>
      </c>
      <c r="E198" t="s">
        <v>43</v>
      </c>
      <c r="I198" s="26">
        <v>43831</v>
      </c>
      <c r="J198" s="28">
        <v>43831</v>
      </c>
      <c r="Q198" t="s">
        <v>44683</v>
      </c>
      <c r="R198" t="s">
        <v>44927</v>
      </c>
    </row>
    <row r="199" spans="1:18" x14ac:dyDescent="0.35">
      <c r="A199" t="s">
        <v>15573</v>
      </c>
      <c r="D199" t="s">
        <v>5690</v>
      </c>
      <c r="E199" t="s">
        <v>43</v>
      </c>
      <c r="I199" s="26">
        <v>43831</v>
      </c>
      <c r="J199" s="28">
        <v>43831</v>
      </c>
      <c r="Q199" t="s">
        <v>44683</v>
      </c>
      <c r="R199" t="s">
        <v>44928</v>
      </c>
    </row>
    <row r="200" spans="1:18" x14ac:dyDescent="0.35">
      <c r="A200" t="s">
        <v>15574</v>
      </c>
      <c r="D200" t="s">
        <v>5690</v>
      </c>
      <c r="E200" t="s">
        <v>43</v>
      </c>
      <c r="I200" s="26">
        <v>43831</v>
      </c>
      <c r="J200" s="28">
        <v>43831</v>
      </c>
      <c r="Q200" t="s">
        <v>44683</v>
      </c>
      <c r="R200" t="s">
        <v>44929</v>
      </c>
    </row>
    <row r="201" spans="1:18" x14ac:dyDescent="0.35">
      <c r="A201" t="s">
        <v>15575</v>
      </c>
      <c r="D201" t="s">
        <v>5690</v>
      </c>
      <c r="E201" t="s">
        <v>43</v>
      </c>
      <c r="I201" s="26">
        <v>43831</v>
      </c>
      <c r="J201" s="28">
        <v>43831</v>
      </c>
      <c r="Q201" t="s">
        <v>44683</v>
      </c>
      <c r="R201" t="s">
        <v>44930</v>
      </c>
    </row>
    <row r="202" spans="1:18" x14ac:dyDescent="0.35">
      <c r="A202" t="s">
        <v>16009</v>
      </c>
      <c r="D202" t="s">
        <v>7067</v>
      </c>
      <c r="E202" t="s">
        <v>43</v>
      </c>
      <c r="I202" s="26">
        <v>43101</v>
      </c>
      <c r="J202" s="28">
        <v>43101</v>
      </c>
      <c r="Q202" t="s">
        <v>44683</v>
      </c>
      <c r="R202" t="s">
        <v>44931</v>
      </c>
    </row>
    <row r="203" spans="1:18" x14ac:dyDescent="0.35">
      <c r="A203" t="s">
        <v>44932</v>
      </c>
      <c r="D203" t="s">
        <v>773</v>
      </c>
      <c r="E203" t="s">
        <v>43</v>
      </c>
      <c r="I203" s="26">
        <v>43101</v>
      </c>
      <c r="J203" s="28">
        <v>43101</v>
      </c>
      <c r="Q203" t="s">
        <v>44683</v>
      </c>
      <c r="R203" t="s">
        <v>44933</v>
      </c>
    </row>
    <row r="204" spans="1:18" x14ac:dyDescent="0.35">
      <c r="A204" t="s">
        <v>16390</v>
      </c>
      <c r="D204" t="s">
        <v>7199</v>
      </c>
      <c r="E204" t="s">
        <v>43</v>
      </c>
      <c r="I204" s="26">
        <v>43466</v>
      </c>
      <c r="J204" s="28">
        <v>43466</v>
      </c>
      <c r="Q204" t="s">
        <v>44683</v>
      </c>
      <c r="R204" t="s">
        <v>44934</v>
      </c>
    </row>
    <row r="205" spans="1:18" x14ac:dyDescent="0.35">
      <c r="A205" t="s">
        <v>16010</v>
      </c>
      <c r="D205" t="s">
        <v>7067</v>
      </c>
      <c r="E205" t="s">
        <v>43</v>
      </c>
      <c r="I205" s="26">
        <v>43101</v>
      </c>
      <c r="J205" s="28">
        <v>43101</v>
      </c>
      <c r="Q205" t="s">
        <v>44683</v>
      </c>
      <c r="R205" t="s">
        <v>44935</v>
      </c>
    </row>
    <row r="206" spans="1:18" x14ac:dyDescent="0.35">
      <c r="A206" t="s">
        <v>44936</v>
      </c>
      <c r="D206" t="s">
        <v>6585</v>
      </c>
      <c r="E206" t="s">
        <v>43</v>
      </c>
      <c r="I206" s="26">
        <v>43101</v>
      </c>
      <c r="J206" s="28">
        <v>43101</v>
      </c>
      <c r="Q206" t="s">
        <v>44683</v>
      </c>
      <c r="R206" t="s">
        <v>44937</v>
      </c>
    </row>
    <row r="207" spans="1:18" x14ac:dyDescent="0.35">
      <c r="A207" t="s">
        <v>16011</v>
      </c>
      <c r="D207" t="s">
        <v>7067</v>
      </c>
      <c r="E207" t="s">
        <v>43</v>
      </c>
      <c r="I207" s="26">
        <v>43101</v>
      </c>
      <c r="J207" s="28">
        <v>43101</v>
      </c>
      <c r="Q207" t="s">
        <v>44683</v>
      </c>
      <c r="R207" t="s">
        <v>44938</v>
      </c>
    </row>
    <row r="208" spans="1:18" x14ac:dyDescent="0.35">
      <c r="A208" t="s">
        <v>44939</v>
      </c>
      <c r="D208" t="s">
        <v>773</v>
      </c>
      <c r="E208" t="s">
        <v>43</v>
      </c>
      <c r="I208" s="26">
        <v>43101</v>
      </c>
      <c r="J208" s="28">
        <v>43101</v>
      </c>
      <c r="Q208" t="s">
        <v>44683</v>
      </c>
      <c r="R208" t="s">
        <v>44940</v>
      </c>
    </row>
    <row r="209" spans="1:18" x14ac:dyDescent="0.35">
      <c r="A209" t="s">
        <v>15436</v>
      </c>
      <c r="D209" t="s">
        <v>5594</v>
      </c>
      <c r="E209" t="s">
        <v>43</v>
      </c>
      <c r="I209" s="26">
        <v>43101</v>
      </c>
      <c r="J209" s="28">
        <v>43101</v>
      </c>
      <c r="Q209" t="s">
        <v>44683</v>
      </c>
      <c r="R209" t="s">
        <v>44941</v>
      </c>
    </row>
    <row r="210" spans="1:18" x14ac:dyDescent="0.35">
      <c r="A210" t="s">
        <v>44942</v>
      </c>
      <c r="E210" t="s">
        <v>43</v>
      </c>
      <c r="F210" t="s">
        <v>22238</v>
      </c>
      <c r="I210" s="26">
        <v>43101</v>
      </c>
      <c r="J210" s="28">
        <v>43101</v>
      </c>
      <c r="Q210" t="s">
        <v>44683</v>
      </c>
      <c r="R210" t="s">
        <v>44943</v>
      </c>
    </row>
    <row r="211" spans="1:18" x14ac:dyDescent="0.35">
      <c r="A211" t="s">
        <v>14215</v>
      </c>
      <c r="D211" t="s">
        <v>1168</v>
      </c>
      <c r="E211" t="s">
        <v>43</v>
      </c>
      <c r="I211" s="26">
        <v>43466</v>
      </c>
      <c r="J211" s="28">
        <v>43466</v>
      </c>
      <c r="Q211" t="s">
        <v>44683</v>
      </c>
      <c r="R211" t="s">
        <v>44944</v>
      </c>
    </row>
    <row r="212" spans="1:18" x14ac:dyDescent="0.35">
      <c r="A212" t="s">
        <v>15503</v>
      </c>
      <c r="D212" t="s">
        <v>5690</v>
      </c>
      <c r="E212" t="s">
        <v>43</v>
      </c>
      <c r="I212" s="26">
        <v>43466</v>
      </c>
      <c r="J212" s="28">
        <v>43466</v>
      </c>
      <c r="Q212" t="s">
        <v>44683</v>
      </c>
      <c r="R212" t="s">
        <v>44945</v>
      </c>
    </row>
    <row r="213" spans="1:18" x14ac:dyDescent="0.35">
      <c r="A213" t="s">
        <v>16391</v>
      </c>
      <c r="D213" t="s">
        <v>7199</v>
      </c>
      <c r="E213" t="s">
        <v>43</v>
      </c>
      <c r="I213" s="26">
        <v>43466</v>
      </c>
      <c r="J213" s="28">
        <v>43466</v>
      </c>
      <c r="Q213" t="s">
        <v>44683</v>
      </c>
      <c r="R213" t="s">
        <v>44946</v>
      </c>
    </row>
    <row r="214" spans="1:18" x14ac:dyDescent="0.35">
      <c r="A214" t="s">
        <v>44947</v>
      </c>
      <c r="E214" t="s">
        <v>43</v>
      </c>
      <c r="F214" t="s">
        <v>22238</v>
      </c>
      <c r="I214" s="26">
        <v>43101</v>
      </c>
      <c r="J214" s="28">
        <v>43101</v>
      </c>
      <c r="Q214" t="s">
        <v>44683</v>
      </c>
      <c r="R214" t="s">
        <v>44948</v>
      </c>
    </row>
    <row r="215" spans="1:18" x14ac:dyDescent="0.35">
      <c r="A215" t="s">
        <v>44949</v>
      </c>
      <c r="D215" t="s">
        <v>6585</v>
      </c>
      <c r="E215" t="s">
        <v>43</v>
      </c>
      <c r="I215" s="26">
        <v>43101</v>
      </c>
      <c r="J215" s="28">
        <v>43101</v>
      </c>
      <c r="Q215" t="s">
        <v>44683</v>
      </c>
      <c r="R215" t="s">
        <v>44950</v>
      </c>
    </row>
    <row r="216" spans="1:18" x14ac:dyDescent="0.35">
      <c r="A216" t="s">
        <v>15357</v>
      </c>
      <c r="D216" t="s">
        <v>5399</v>
      </c>
      <c r="E216" t="s">
        <v>43</v>
      </c>
      <c r="I216" s="26">
        <v>43466</v>
      </c>
      <c r="J216" s="28">
        <v>43466</v>
      </c>
      <c r="Q216" t="s">
        <v>44683</v>
      </c>
      <c r="R216" t="s">
        <v>44951</v>
      </c>
    </row>
    <row r="217" spans="1:18" x14ac:dyDescent="0.35">
      <c r="A217" t="s">
        <v>16012</v>
      </c>
      <c r="D217" t="s">
        <v>7067</v>
      </c>
      <c r="E217" t="s">
        <v>43</v>
      </c>
      <c r="I217" s="26">
        <v>43101</v>
      </c>
      <c r="J217" s="28">
        <v>43101</v>
      </c>
      <c r="Q217" t="s">
        <v>44683</v>
      </c>
      <c r="R217" t="s">
        <v>44952</v>
      </c>
    </row>
    <row r="218" spans="1:18" x14ac:dyDescent="0.35">
      <c r="A218" t="s">
        <v>44953</v>
      </c>
      <c r="D218" t="s">
        <v>773</v>
      </c>
      <c r="E218" t="s">
        <v>43</v>
      </c>
      <c r="I218" s="26">
        <v>43101</v>
      </c>
      <c r="J218" s="28">
        <v>43101</v>
      </c>
      <c r="Q218" t="s">
        <v>44683</v>
      </c>
      <c r="R218" t="s">
        <v>44954</v>
      </c>
    </row>
    <row r="219" spans="1:18" x14ac:dyDescent="0.35">
      <c r="A219" t="s">
        <v>16392</v>
      </c>
      <c r="D219" t="s">
        <v>7199</v>
      </c>
      <c r="E219" t="s">
        <v>43</v>
      </c>
      <c r="I219" s="26">
        <v>43466</v>
      </c>
      <c r="J219" s="28">
        <v>43466</v>
      </c>
      <c r="Q219" t="s">
        <v>44683</v>
      </c>
      <c r="R219" t="s">
        <v>44955</v>
      </c>
    </row>
    <row r="220" spans="1:18" x14ac:dyDescent="0.35">
      <c r="A220" t="s">
        <v>15455</v>
      </c>
      <c r="D220" t="s">
        <v>5628</v>
      </c>
      <c r="E220" t="s">
        <v>43</v>
      </c>
      <c r="I220" s="26">
        <v>43466</v>
      </c>
      <c r="J220" s="28">
        <v>43466</v>
      </c>
      <c r="Q220" t="s">
        <v>44683</v>
      </c>
      <c r="R220" t="s">
        <v>44956</v>
      </c>
    </row>
    <row r="221" spans="1:18" x14ac:dyDescent="0.35">
      <c r="A221" t="s">
        <v>44957</v>
      </c>
      <c r="D221" t="s">
        <v>6585</v>
      </c>
      <c r="E221" t="s">
        <v>43</v>
      </c>
      <c r="I221" s="26">
        <v>43101</v>
      </c>
      <c r="J221" s="28">
        <v>43101</v>
      </c>
      <c r="Q221" t="s">
        <v>44683</v>
      </c>
      <c r="R221" t="s">
        <v>44958</v>
      </c>
    </row>
    <row r="222" spans="1:18" x14ac:dyDescent="0.35">
      <c r="A222" t="s">
        <v>15358</v>
      </c>
      <c r="D222" t="s">
        <v>5399</v>
      </c>
      <c r="E222" t="s">
        <v>43</v>
      </c>
      <c r="I222" s="26">
        <v>43466</v>
      </c>
      <c r="J222" s="28">
        <v>43466</v>
      </c>
      <c r="Q222" t="s">
        <v>44683</v>
      </c>
      <c r="R222" t="s">
        <v>44959</v>
      </c>
    </row>
    <row r="223" spans="1:18" x14ac:dyDescent="0.35">
      <c r="A223" t="s">
        <v>16638</v>
      </c>
      <c r="D223" t="s">
        <v>7376</v>
      </c>
      <c r="E223" t="s">
        <v>43</v>
      </c>
      <c r="I223" s="26">
        <v>43466</v>
      </c>
      <c r="J223" s="28">
        <v>43466</v>
      </c>
      <c r="Q223" t="s">
        <v>44683</v>
      </c>
      <c r="R223" t="s">
        <v>44960</v>
      </c>
    </row>
    <row r="224" spans="1:18" x14ac:dyDescent="0.35">
      <c r="A224" t="s">
        <v>16016</v>
      </c>
      <c r="D224" t="s">
        <v>7067</v>
      </c>
      <c r="E224" t="s">
        <v>43</v>
      </c>
      <c r="I224" s="26">
        <v>43101</v>
      </c>
      <c r="J224" s="28">
        <v>43101</v>
      </c>
      <c r="Q224" t="s">
        <v>44683</v>
      </c>
      <c r="R224" t="s">
        <v>44961</v>
      </c>
    </row>
    <row r="225" spans="1:18" x14ac:dyDescent="0.35">
      <c r="A225" t="s">
        <v>15359</v>
      </c>
      <c r="D225" t="s">
        <v>5399</v>
      </c>
      <c r="E225" t="s">
        <v>43</v>
      </c>
      <c r="I225" s="26">
        <v>43466</v>
      </c>
      <c r="J225" s="28">
        <v>43466</v>
      </c>
      <c r="Q225" t="s">
        <v>44683</v>
      </c>
      <c r="R225" t="s">
        <v>44962</v>
      </c>
    </row>
    <row r="226" spans="1:18" x14ac:dyDescent="0.35">
      <c r="A226" t="s">
        <v>16017</v>
      </c>
      <c r="D226" t="s">
        <v>7067</v>
      </c>
      <c r="E226" t="s">
        <v>43</v>
      </c>
      <c r="I226" s="26">
        <v>43101</v>
      </c>
      <c r="J226" s="28">
        <v>43101</v>
      </c>
      <c r="Q226" t="s">
        <v>44683</v>
      </c>
      <c r="R226" t="s">
        <v>44963</v>
      </c>
    </row>
    <row r="227" spans="1:18" x14ac:dyDescent="0.35">
      <c r="A227" t="s">
        <v>15955</v>
      </c>
      <c r="D227" t="s">
        <v>6289</v>
      </c>
      <c r="E227" t="s">
        <v>43</v>
      </c>
      <c r="I227" s="26">
        <v>43466</v>
      </c>
      <c r="J227" s="28">
        <v>43466</v>
      </c>
      <c r="Q227" t="s">
        <v>44683</v>
      </c>
      <c r="R227" t="s">
        <v>44964</v>
      </c>
    </row>
    <row r="228" spans="1:18" x14ac:dyDescent="0.35">
      <c r="A228" t="s">
        <v>15643</v>
      </c>
      <c r="D228" t="s">
        <v>5877</v>
      </c>
      <c r="E228" t="s">
        <v>43</v>
      </c>
      <c r="I228" s="26">
        <v>43466</v>
      </c>
      <c r="J228" s="28">
        <v>43466</v>
      </c>
      <c r="Q228" t="s">
        <v>44683</v>
      </c>
      <c r="R228" t="s">
        <v>44965</v>
      </c>
    </row>
    <row r="229" spans="1:18" x14ac:dyDescent="0.35">
      <c r="A229" t="s">
        <v>44966</v>
      </c>
      <c r="D229" t="s">
        <v>5389</v>
      </c>
      <c r="E229" t="s">
        <v>43</v>
      </c>
      <c r="I229" s="26">
        <v>43101</v>
      </c>
      <c r="J229" s="28">
        <v>43101</v>
      </c>
      <c r="Q229" t="s">
        <v>44683</v>
      </c>
      <c r="R229" t="s">
        <v>44967</v>
      </c>
    </row>
    <row r="230" spans="1:18" x14ac:dyDescent="0.35">
      <c r="A230" t="s">
        <v>15514</v>
      </c>
      <c r="D230" t="s">
        <v>5690</v>
      </c>
      <c r="E230" t="s">
        <v>43</v>
      </c>
      <c r="I230" s="26">
        <v>43466</v>
      </c>
      <c r="J230" s="28">
        <v>43466</v>
      </c>
      <c r="Q230" t="s">
        <v>44683</v>
      </c>
      <c r="R230" t="s">
        <v>44968</v>
      </c>
    </row>
    <row r="231" spans="1:18" x14ac:dyDescent="0.35">
      <c r="A231" t="s">
        <v>15438</v>
      </c>
      <c r="D231" t="s">
        <v>5594</v>
      </c>
      <c r="E231" t="s">
        <v>43</v>
      </c>
      <c r="I231" s="26">
        <v>43101</v>
      </c>
      <c r="J231" s="28">
        <v>43101</v>
      </c>
      <c r="Q231" t="s">
        <v>44683</v>
      </c>
      <c r="R231" t="s">
        <v>44969</v>
      </c>
    </row>
    <row r="232" spans="1:18" x14ac:dyDescent="0.35">
      <c r="A232" t="s">
        <v>15439</v>
      </c>
      <c r="D232" t="s">
        <v>5594</v>
      </c>
      <c r="E232" t="s">
        <v>43</v>
      </c>
      <c r="I232" s="26">
        <v>43101</v>
      </c>
      <c r="J232" s="28">
        <v>43101</v>
      </c>
      <c r="Q232" t="s">
        <v>44683</v>
      </c>
      <c r="R232" t="s">
        <v>44970</v>
      </c>
    </row>
    <row r="233" spans="1:18" x14ac:dyDescent="0.35">
      <c r="A233" t="s">
        <v>15516</v>
      </c>
      <c r="D233" t="s">
        <v>5690</v>
      </c>
      <c r="E233" t="s">
        <v>43</v>
      </c>
      <c r="I233" s="26">
        <v>43466</v>
      </c>
      <c r="J233" s="28">
        <v>43466</v>
      </c>
      <c r="Q233" t="s">
        <v>44683</v>
      </c>
      <c r="R233" t="s">
        <v>44971</v>
      </c>
    </row>
    <row r="234" spans="1:18" x14ac:dyDescent="0.35">
      <c r="A234" t="s">
        <v>15517</v>
      </c>
      <c r="D234" t="s">
        <v>5690</v>
      </c>
      <c r="E234" t="s">
        <v>43</v>
      </c>
      <c r="I234" s="26">
        <v>43466</v>
      </c>
      <c r="J234" s="28">
        <v>43466</v>
      </c>
      <c r="Q234" t="s">
        <v>44683</v>
      </c>
      <c r="R234" t="s">
        <v>44972</v>
      </c>
    </row>
    <row r="235" spans="1:18" x14ac:dyDescent="0.35">
      <c r="A235" t="s">
        <v>15518</v>
      </c>
      <c r="D235" t="s">
        <v>5690</v>
      </c>
      <c r="E235" t="s">
        <v>43</v>
      </c>
      <c r="I235" s="26">
        <v>43466</v>
      </c>
      <c r="J235" s="28">
        <v>43466</v>
      </c>
      <c r="Q235" t="s">
        <v>44683</v>
      </c>
      <c r="R235" t="s">
        <v>44973</v>
      </c>
    </row>
    <row r="236" spans="1:18" x14ac:dyDescent="0.35">
      <c r="A236" t="s">
        <v>15956</v>
      </c>
      <c r="D236" t="s">
        <v>6289</v>
      </c>
      <c r="E236" t="s">
        <v>43</v>
      </c>
      <c r="I236" s="26">
        <v>43466</v>
      </c>
      <c r="J236" s="28">
        <v>43466</v>
      </c>
      <c r="Q236" t="s">
        <v>44683</v>
      </c>
      <c r="R236" t="s">
        <v>44974</v>
      </c>
    </row>
    <row r="237" spans="1:18" x14ac:dyDescent="0.35">
      <c r="A237" t="s">
        <v>15520</v>
      </c>
      <c r="D237" t="s">
        <v>5690</v>
      </c>
      <c r="E237" t="s">
        <v>43</v>
      </c>
      <c r="I237" s="26">
        <v>43466</v>
      </c>
      <c r="J237" s="28">
        <v>43466</v>
      </c>
      <c r="Q237" t="s">
        <v>44683</v>
      </c>
      <c r="R237" t="s">
        <v>44975</v>
      </c>
    </row>
    <row r="238" spans="1:18" x14ac:dyDescent="0.35">
      <c r="A238" t="s">
        <v>16021</v>
      </c>
      <c r="D238" t="s">
        <v>7067</v>
      </c>
      <c r="E238" t="s">
        <v>43</v>
      </c>
      <c r="I238" s="26">
        <v>43101</v>
      </c>
      <c r="J238" s="28">
        <v>43101</v>
      </c>
      <c r="Q238" t="s">
        <v>44683</v>
      </c>
      <c r="R238" t="s">
        <v>44976</v>
      </c>
    </row>
    <row r="239" spans="1:18" x14ac:dyDescent="0.35">
      <c r="A239" t="s">
        <v>15146</v>
      </c>
      <c r="D239" t="s">
        <v>5115</v>
      </c>
      <c r="E239" t="s">
        <v>43</v>
      </c>
      <c r="I239" s="26">
        <v>43466</v>
      </c>
      <c r="J239" s="28">
        <v>43466</v>
      </c>
      <c r="Q239" t="s">
        <v>44683</v>
      </c>
      <c r="R239" t="s">
        <v>44977</v>
      </c>
    </row>
    <row r="240" spans="1:18" x14ac:dyDescent="0.35">
      <c r="A240" t="s">
        <v>15147</v>
      </c>
      <c r="D240" t="s">
        <v>5115</v>
      </c>
      <c r="E240" t="s">
        <v>43</v>
      </c>
      <c r="I240" s="26">
        <v>43466</v>
      </c>
      <c r="J240" s="28">
        <v>43466</v>
      </c>
      <c r="Q240" t="s">
        <v>44683</v>
      </c>
      <c r="R240" t="s">
        <v>44978</v>
      </c>
    </row>
    <row r="241" spans="1:18" x14ac:dyDescent="0.35">
      <c r="A241" t="s">
        <v>15521</v>
      </c>
      <c r="D241" t="s">
        <v>5690</v>
      </c>
      <c r="E241" t="s">
        <v>43</v>
      </c>
      <c r="I241" s="26">
        <v>43466</v>
      </c>
      <c r="J241" s="28">
        <v>43466</v>
      </c>
      <c r="Q241" t="s">
        <v>44683</v>
      </c>
      <c r="R241" t="s">
        <v>44979</v>
      </c>
    </row>
    <row r="242" spans="1:18" x14ac:dyDescent="0.35">
      <c r="A242" t="s">
        <v>15644</v>
      </c>
      <c r="D242" t="s">
        <v>5877</v>
      </c>
      <c r="E242" t="s">
        <v>43</v>
      </c>
      <c r="I242" s="26">
        <v>43466</v>
      </c>
      <c r="J242" s="28">
        <v>43466</v>
      </c>
      <c r="Q242" t="s">
        <v>44683</v>
      </c>
      <c r="R242" t="s">
        <v>44980</v>
      </c>
    </row>
    <row r="243" spans="1:18" x14ac:dyDescent="0.35">
      <c r="A243" t="s">
        <v>15454</v>
      </c>
      <c r="D243" t="s">
        <v>5628</v>
      </c>
      <c r="E243" t="s">
        <v>43</v>
      </c>
      <c r="I243" s="26">
        <v>43466</v>
      </c>
      <c r="J243" s="28">
        <v>43466</v>
      </c>
      <c r="Q243" t="s">
        <v>44683</v>
      </c>
      <c r="R243" t="s">
        <v>44981</v>
      </c>
    </row>
    <row r="244" spans="1:18" x14ac:dyDescent="0.35">
      <c r="A244" t="s">
        <v>15148</v>
      </c>
      <c r="D244" t="s">
        <v>5115</v>
      </c>
      <c r="E244" t="s">
        <v>43</v>
      </c>
      <c r="I244" s="26">
        <v>43466</v>
      </c>
      <c r="J244" s="28">
        <v>43466</v>
      </c>
      <c r="Q244" t="s">
        <v>44683</v>
      </c>
      <c r="R244" t="s">
        <v>44982</v>
      </c>
    </row>
    <row r="245" spans="1:18" x14ac:dyDescent="0.35">
      <c r="A245" t="s">
        <v>15526</v>
      </c>
      <c r="D245" t="s">
        <v>5690</v>
      </c>
      <c r="E245" t="s">
        <v>43</v>
      </c>
      <c r="I245" s="26">
        <v>43466</v>
      </c>
      <c r="J245" s="28">
        <v>43466</v>
      </c>
      <c r="Q245" t="s">
        <v>44683</v>
      </c>
      <c r="R245" t="s">
        <v>44983</v>
      </c>
    </row>
    <row r="246" spans="1:18" x14ac:dyDescent="0.35">
      <c r="A246" t="s">
        <v>16025</v>
      </c>
      <c r="D246" t="s">
        <v>7067</v>
      </c>
      <c r="E246" t="s">
        <v>43</v>
      </c>
      <c r="I246" s="26">
        <v>43101</v>
      </c>
      <c r="J246" s="28">
        <v>43101</v>
      </c>
      <c r="Q246" t="s">
        <v>44683</v>
      </c>
      <c r="R246" t="s">
        <v>44984</v>
      </c>
    </row>
    <row r="247" spans="1:18" x14ac:dyDescent="0.35">
      <c r="A247" t="s">
        <v>15149</v>
      </c>
      <c r="D247" t="s">
        <v>5115</v>
      </c>
      <c r="E247" t="s">
        <v>43</v>
      </c>
      <c r="I247" s="26">
        <v>43466</v>
      </c>
      <c r="J247" s="28">
        <v>43466</v>
      </c>
      <c r="Q247" t="s">
        <v>44683</v>
      </c>
      <c r="R247" t="s">
        <v>44985</v>
      </c>
    </row>
    <row r="248" spans="1:18" x14ac:dyDescent="0.35">
      <c r="A248" t="s">
        <v>15528</v>
      </c>
      <c r="D248" t="s">
        <v>5690</v>
      </c>
      <c r="E248" t="s">
        <v>43</v>
      </c>
      <c r="I248" s="26">
        <v>43466</v>
      </c>
      <c r="J248" s="28">
        <v>43466</v>
      </c>
      <c r="Q248" t="s">
        <v>44683</v>
      </c>
      <c r="R248" t="s">
        <v>44986</v>
      </c>
    </row>
    <row r="249" spans="1:18" x14ac:dyDescent="0.35">
      <c r="A249" t="s">
        <v>15530</v>
      </c>
      <c r="D249" t="s">
        <v>5690</v>
      </c>
      <c r="E249" t="s">
        <v>43</v>
      </c>
      <c r="I249" s="26">
        <v>43466</v>
      </c>
      <c r="J249" s="28">
        <v>43466</v>
      </c>
      <c r="Q249" t="s">
        <v>44683</v>
      </c>
      <c r="R249" t="s">
        <v>44987</v>
      </c>
    </row>
    <row r="250" spans="1:18" x14ac:dyDescent="0.35">
      <c r="A250" t="s">
        <v>16028</v>
      </c>
      <c r="D250" t="s">
        <v>7067</v>
      </c>
      <c r="E250" t="s">
        <v>43</v>
      </c>
      <c r="I250" s="26">
        <v>43101</v>
      </c>
      <c r="J250" s="28">
        <v>43101</v>
      </c>
      <c r="Q250" t="s">
        <v>44683</v>
      </c>
      <c r="R250" t="s">
        <v>44988</v>
      </c>
    </row>
    <row r="251" spans="1:18" x14ac:dyDescent="0.35">
      <c r="A251" t="s">
        <v>15532</v>
      </c>
      <c r="D251" t="s">
        <v>5690</v>
      </c>
      <c r="E251" t="s">
        <v>43</v>
      </c>
      <c r="I251" s="26">
        <v>43466</v>
      </c>
      <c r="J251" s="28">
        <v>43466</v>
      </c>
      <c r="Q251" t="s">
        <v>44683</v>
      </c>
      <c r="R251" t="s">
        <v>44989</v>
      </c>
    </row>
    <row r="252" spans="1:18" x14ac:dyDescent="0.35">
      <c r="A252" t="s">
        <v>15150</v>
      </c>
      <c r="D252" t="s">
        <v>5115</v>
      </c>
      <c r="E252" t="s">
        <v>43</v>
      </c>
      <c r="I252" s="26">
        <v>43466</v>
      </c>
      <c r="J252" s="28">
        <v>43466</v>
      </c>
      <c r="Q252" t="s">
        <v>44683</v>
      </c>
      <c r="R252" t="s">
        <v>44990</v>
      </c>
    </row>
    <row r="253" spans="1:18" x14ac:dyDescent="0.35">
      <c r="A253" t="s">
        <v>14342</v>
      </c>
      <c r="D253" t="s">
        <v>1771</v>
      </c>
      <c r="E253" t="s">
        <v>43</v>
      </c>
      <c r="I253" s="26">
        <v>43466</v>
      </c>
      <c r="J253" s="28">
        <v>43466</v>
      </c>
      <c r="Q253" t="s">
        <v>44683</v>
      </c>
      <c r="R253" t="s">
        <v>44991</v>
      </c>
    </row>
    <row r="254" spans="1:18" x14ac:dyDescent="0.35">
      <c r="A254" t="s">
        <v>16639</v>
      </c>
      <c r="D254" t="s">
        <v>7376</v>
      </c>
      <c r="E254" t="s">
        <v>43</v>
      </c>
      <c r="I254" s="26">
        <v>43466</v>
      </c>
      <c r="J254" s="28">
        <v>43466</v>
      </c>
      <c r="Q254" t="s">
        <v>44683</v>
      </c>
      <c r="R254" t="s">
        <v>44992</v>
      </c>
    </row>
    <row r="255" spans="1:18" x14ac:dyDescent="0.35">
      <c r="A255" t="s">
        <v>14343</v>
      </c>
      <c r="D255" t="s">
        <v>1771</v>
      </c>
      <c r="E255" t="s">
        <v>43</v>
      </c>
      <c r="I255" s="26">
        <v>43466</v>
      </c>
      <c r="J255" s="28">
        <v>43466</v>
      </c>
      <c r="Q255" t="s">
        <v>44683</v>
      </c>
      <c r="R255" t="s">
        <v>44993</v>
      </c>
    </row>
    <row r="256" spans="1:18" x14ac:dyDescent="0.35">
      <c r="A256" t="s">
        <v>15456</v>
      </c>
      <c r="D256" t="s">
        <v>5628</v>
      </c>
      <c r="E256" t="s">
        <v>43</v>
      </c>
      <c r="I256" s="26">
        <v>43466</v>
      </c>
      <c r="J256" s="28">
        <v>43466</v>
      </c>
      <c r="Q256" t="s">
        <v>44683</v>
      </c>
      <c r="R256" t="s">
        <v>44994</v>
      </c>
    </row>
    <row r="257" spans="1:18" x14ac:dyDescent="0.35">
      <c r="A257" t="s">
        <v>15535</v>
      </c>
      <c r="D257" t="s">
        <v>5690</v>
      </c>
      <c r="E257" t="s">
        <v>43</v>
      </c>
      <c r="I257" s="26">
        <v>43466</v>
      </c>
      <c r="J257" s="28">
        <v>43466</v>
      </c>
      <c r="Q257" t="s">
        <v>44683</v>
      </c>
      <c r="R257" t="s">
        <v>44995</v>
      </c>
    </row>
    <row r="258" spans="1:18" x14ac:dyDescent="0.35">
      <c r="A258" t="s">
        <v>15151</v>
      </c>
      <c r="D258" t="s">
        <v>5115</v>
      </c>
      <c r="E258" t="s">
        <v>43</v>
      </c>
      <c r="I258" s="26">
        <v>43466</v>
      </c>
      <c r="J258" s="28">
        <v>43466</v>
      </c>
      <c r="Q258" t="s">
        <v>44683</v>
      </c>
      <c r="R258" t="s">
        <v>44996</v>
      </c>
    </row>
    <row r="259" spans="1:18" x14ac:dyDescent="0.35">
      <c r="A259" t="s">
        <v>44997</v>
      </c>
      <c r="D259" t="s">
        <v>6585</v>
      </c>
      <c r="E259" t="s">
        <v>43</v>
      </c>
      <c r="I259" s="26">
        <v>43101</v>
      </c>
      <c r="J259" s="28">
        <v>43101</v>
      </c>
      <c r="Q259" t="s">
        <v>44683</v>
      </c>
      <c r="R259" t="s">
        <v>44998</v>
      </c>
    </row>
    <row r="260" spans="1:18" x14ac:dyDescent="0.35">
      <c r="A260" t="s">
        <v>14964</v>
      </c>
      <c r="D260" t="s">
        <v>2987</v>
      </c>
      <c r="E260" t="s">
        <v>43</v>
      </c>
      <c r="I260" s="26">
        <v>43101</v>
      </c>
      <c r="J260" s="28">
        <v>43101</v>
      </c>
      <c r="Q260" t="s">
        <v>44683</v>
      </c>
      <c r="R260" t="s">
        <v>44999</v>
      </c>
    </row>
    <row r="261" spans="1:18" x14ac:dyDescent="0.35">
      <c r="A261" t="s">
        <v>15152</v>
      </c>
      <c r="D261" t="s">
        <v>5115</v>
      </c>
      <c r="E261" t="s">
        <v>43</v>
      </c>
      <c r="I261" s="26">
        <v>43466</v>
      </c>
      <c r="J261" s="28">
        <v>43466</v>
      </c>
      <c r="Q261" t="s">
        <v>44683</v>
      </c>
      <c r="R261" t="s">
        <v>45000</v>
      </c>
    </row>
    <row r="262" spans="1:18" x14ac:dyDescent="0.35">
      <c r="A262" t="s">
        <v>45001</v>
      </c>
      <c r="E262" t="s">
        <v>43</v>
      </c>
      <c r="F262" t="s">
        <v>22238</v>
      </c>
      <c r="I262" s="26">
        <v>43101</v>
      </c>
      <c r="J262" s="28">
        <v>43101</v>
      </c>
      <c r="Q262" t="s">
        <v>44683</v>
      </c>
      <c r="R262" t="s">
        <v>45002</v>
      </c>
    </row>
    <row r="263" spans="1:18" x14ac:dyDescent="0.35">
      <c r="A263" t="s">
        <v>15957</v>
      </c>
      <c r="D263" t="s">
        <v>6289</v>
      </c>
      <c r="E263" t="s">
        <v>43</v>
      </c>
      <c r="I263" s="26">
        <v>43466</v>
      </c>
      <c r="J263" s="28">
        <v>43466</v>
      </c>
      <c r="Q263" t="s">
        <v>44683</v>
      </c>
      <c r="R263" t="s">
        <v>45003</v>
      </c>
    </row>
    <row r="264" spans="1:18" x14ac:dyDescent="0.35">
      <c r="A264" t="s">
        <v>14344</v>
      </c>
      <c r="D264" t="s">
        <v>1771</v>
      </c>
      <c r="E264" t="s">
        <v>43</v>
      </c>
      <c r="I264" s="26">
        <v>43466</v>
      </c>
      <c r="J264" s="28">
        <v>43466</v>
      </c>
      <c r="Q264" t="s">
        <v>44683</v>
      </c>
      <c r="R264" t="s">
        <v>45004</v>
      </c>
    </row>
    <row r="265" spans="1:18" x14ac:dyDescent="0.35">
      <c r="A265" t="s">
        <v>15958</v>
      </c>
      <c r="D265" t="s">
        <v>6289</v>
      </c>
      <c r="E265" t="s">
        <v>43</v>
      </c>
      <c r="I265" s="26">
        <v>43466</v>
      </c>
      <c r="J265" s="28">
        <v>43466</v>
      </c>
      <c r="Q265" t="s">
        <v>44683</v>
      </c>
      <c r="R265" t="s">
        <v>45005</v>
      </c>
    </row>
    <row r="266" spans="1:18" x14ac:dyDescent="0.35">
      <c r="A266" t="s">
        <v>15539</v>
      </c>
      <c r="D266" t="s">
        <v>5690</v>
      </c>
      <c r="E266" t="s">
        <v>43</v>
      </c>
      <c r="I266" s="26">
        <v>43466</v>
      </c>
      <c r="J266" s="28">
        <v>43466</v>
      </c>
      <c r="Q266" t="s">
        <v>44683</v>
      </c>
      <c r="R266" t="s">
        <v>45006</v>
      </c>
    </row>
    <row r="267" spans="1:18" x14ac:dyDescent="0.35">
      <c r="A267" t="s">
        <v>15153</v>
      </c>
      <c r="D267" t="s">
        <v>5115</v>
      </c>
      <c r="E267" t="s">
        <v>43</v>
      </c>
      <c r="I267" s="26">
        <v>43466</v>
      </c>
      <c r="J267" s="28">
        <v>43466</v>
      </c>
      <c r="Q267" t="s">
        <v>44683</v>
      </c>
      <c r="R267" t="s">
        <v>45007</v>
      </c>
    </row>
    <row r="268" spans="1:18" x14ac:dyDescent="0.35">
      <c r="A268" t="s">
        <v>15540</v>
      </c>
      <c r="D268" t="s">
        <v>5690</v>
      </c>
      <c r="E268" t="s">
        <v>43</v>
      </c>
      <c r="I268" s="26">
        <v>43466</v>
      </c>
      <c r="J268" s="28">
        <v>43466</v>
      </c>
      <c r="Q268" t="s">
        <v>44683</v>
      </c>
      <c r="R268" t="s">
        <v>45008</v>
      </c>
    </row>
    <row r="269" spans="1:18" x14ac:dyDescent="0.35">
      <c r="A269" t="s">
        <v>15541</v>
      </c>
      <c r="D269" t="s">
        <v>5690</v>
      </c>
      <c r="E269" t="s">
        <v>43</v>
      </c>
      <c r="I269" s="26">
        <v>43466</v>
      </c>
      <c r="J269" s="28">
        <v>43466</v>
      </c>
      <c r="Q269" t="s">
        <v>44683</v>
      </c>
      <c r="R269" t="s">
        <v>45009</v>
      </c>
    </row>
    <row r="270" spans="1:18" x14ac:dyDescent="0.35">
      <c r="A270" t="s">
        <v>16636</v>
      </c>
      <c r="D270" t="s">
        <v>7375</v>
      </c>
      <c r="E270" t="s">
        <v>43</v>
      </c>
      <c r="I270" s="26">
        <v>43466</v>
      </c>
      <c r="J270" s="28">
        <v>43466</v>
      </c>
      <c r="Q270" t="s">
        <v>44683</v>
      </c>
      <c r="R270" t="s">
        <v>45010</v>
      </c>
    </row>
    <row r="271" spans="1:18" x14ac:dyDescent="0.35">
      <c r="A271" t="s">
        <v>45011</v>
      </c>
      <c r="E271" t="s">
        <v>43</v>
      </c>
      <c r="F271" t="s">
        <v>22238</v>
      </c>
      <c r="I271" s="26">
        <v>43101</v>
      </c>
      <c r="J271" s="28">
        <v>43101</v>
      </c>
      <c r="Q271" t="s">
        <v>44683</v>
      </c>
      <c r="R271" t="s">
        <v>45012</v>
      </c>
    </row>
    <row r="272" spans="1:18" x14ac:dyDescent="0.35">
      <c r="A272" t="s">
        <v>15350</v>
      </c>
      <c r="D272" t="s">
        <v>5389</v>
      </c>
      <c r="E272" t="s">
        <v>43</v>
      </c>
      <c r="I272" s="26">
        <v>43101</v>
      </c>
      <c r="J272" s="28">
        <v>43101</v>
      </c>
      <c r="Q272" t="s">
        <v>44683</v>
      </c>
      <c r="R272" t="s">
        <v>45013</v>
      </c>
    </row>
    <row r="273" spans="1:18" x14ac:dyDescent="0.35">
      <c r="A273" t="s">
        <v>45014</v>
      </c>
      <c r="E273" t="s">
        <v>43</v>
      </c>
      <c r="F273" t="s">
        <v>22238</v>
      </c>
      <c r="I273" s="26">
        <v>43101</v>
      </c>
      <c r="J273" s="28">
        <v>43101</v>
      </c>
      <c r="Q273" t="s">
        <v>44683</v>
      </c>
      <c r="R273" t="s">
        <v>45015</v>
      </c>
    </row>
    <row r="274" spans="1:18" x14ac:dyDescent="0.35">
      <c r="A274" t="s">
        <v>15154</v>
      </c>
      <c r="D274" t="s">
        <v>5115</v>
      </c>
      <c r="E274" t="s">
        <v>43</v>
      </c>
      <c r="I274" s="26">
        <v>43466</v>
      </c>
      <c r="J274" s="28">
        <v>43466</v>
      </c>
      <c r="Q274" t="s">
        <v>44683</v>
      </c>
      <c r="R274" t="s">
        <v>45016</v>
      </c>
    </row>
    <row r="275" spans="1:18" x14ac:dyDescent="0.35">
      <c r="A275" t="s">
        <v>15155</v>
      </c>
      <c r="D275" t="s">
        <v>5115</v>
      </c>
      <c r="E275" t="s">
        <v>43</v>
      </c>
      <c r="I275" s="26">
        <v>43466</v>
      </c>
      <c r="J275" s="28">
        <v>43466</v>
      </c>
      <c r="Q275" t="s">
        <v>44683</v>
      </c>
      <c r="R275" t="s">
        <v>45017</v>
      </c>
    </row>
    <row r="276" spans="1:18" x14ac:dyDescent="0.35">
      <c r="A276" t="s">
        <v>45018</v>
      </c>
      <c r="E276" t="s">
        <v>43</v>
      </c>
      <c r="F276" t="s">
        <v>22238</v>
      </c>
      <c r="I276" s="26">
        <v>43101</v>
      </c>
      <c r="J276" s="28">
        <v>43101</v>
      </c>
      <c r="Q276" t="s">
        <v>44683</v>
      </c>
      <c r="R276" t="s">
        <v>45019</v>
      </c>
    </row>
    <row r="277" spans="1:18" x14ac:dyDescent="0.35">
      <c r="A277" t="s">
        <v>45020</v>
      </c>
      <c r="E277" t="s">
        <v>43</v>
      </c>
      <c r="F277" t="s">
        <v>22238</v>
      </c>
      <c r="I277" s="26">
        <v>43101</v>
      </c>
      <c r="J277" s="28">
        <v>43101</v>
      </c>
      <c r="Q277" t="s">
        <v>44683</v>
      </c>
      <c r="R277" t="s">
        <v>45021</v>
      </c>
    </row>
    <row r="278" spans="1:18" x14ac:dyDescent="0.35">
      <c r="A278" t="s">
        <v>15157</v>
      </c>
      <c r="D278" t="s">
        <v>5115</v>
      </c>
      <c r="E278" t="s">
        <v>43</v>
      </c>
      <c r="I278" s="26">
        <v>43466</v>
      </c>
      <c r="J278" s="28">
        <v>43466</v>
      </c>
      <c r="Q278" t="s">
        <v>44683</v>
      </c>
      <c r="R278" t="s">
        <v>45022</v>
      </c>
    </row>
    <row r="279" spans="1:18" x14ac:dyDescent="0.35">
      <c r="A279" t="s">
        <v>15156</v>
      </c>
      <c r="D279" t="s">
        <v>5115</v>
      </c>
      <c r="E279" t="s">
        <v>43</v>
      </c>
      <c r="I279" s="26">
        <v>43466</v>
      </c>
      <c r="J279" s="28">
        <v>43466</v>
      </c>
      <c r="Q279" t="s">
        <v>44683</v>
      </c>
      <c r="R279" t="s">
        <v>45023</v>
      </c>
    </row>
    <row r="280" spans="1:18" x14ac:dyDescent="0.35">
      <c r="A280" t="s">
        <v>15550</v>
      </c>
      <c r="D280" t="s">
        <v>5690</v>
      </c>
      <c r="E280" t="s">
        <v>43</v>
      </c>
      <c r="I280" s="26">
        <v>43466</v>
      </c>
      <c r="J280" s="28">
        <v>43466</v>
      </c>
      <c r="Q280" t="s">
        <v>44683</v>
      </c>
      <c r="R280" t="s">
        <v>45024</v>
      </c>
    </row>
    <row r="281" spans="1:18" x14ac:dyDescent="0.35">
      <c r="A281" t="s">
        <v>15554</v>
      </c>
      <c r="D281" t="s">
        <v>5690</v>
      </c>
      <c r="E281" t="s">
        <v>43</v>
      </c>
      <c r="I281" s="26">
        <v>43466</v>
      </c>
      <c r="J281" s="28">
        <v>43466</v>
      </c>
      <c r="Q281" t="s">
        <v>44683</v>
      </c>
      <c r="R281" t="s">
        <v>45025</v>
      </c>
    </row>
    <row r="282" spans="1:18" x14ac:dyDescent="0.35">
      <c r="A282" t="s">
        <v>15443</v>
      </c>
      <c r="D282" t="s">
        <v>5594</v>
      </c>
      <c r="E282" t="s">
        <v>43</v>
      </c>
      <c r="I282" s="26">
        <v>43101</v>
      </c>
      <c r="J282" s="28">
        <v>43101</v>
      </c>
      <c r="Q282" t="s">
        <v>44683</v>
      </c>
      <c r="R282" t="s">
        <v>45026</v>
      </c>
    </row>
    <row r="283" spans="1:18" x14ac:dyDescent="0.35">
      <c r="A283" t="s">
        <v>14968</v>
      </c>
      <c r="D283" t="s">
        <v>2987</v>
      </c>
      <c r="E283" t="s">
        <v>43</v>
      </c>
      <c r="I283" s="26">
        <v>43101</v>
      </c>
      <c r="J283" s="28">
        <v>43101</v>
      </c>
      <c r="Q283" t="s">
        <v>44683</v>
      </c>
      <c r="R283" t="s">
        <v>45027</v>
      </c>
    </row>
    <row r="284" spans="1:18" x14ac:dyDescent="0.35">
      <c r="A284" t="s">
        <v>15351</v>
      </c>
      <c r="D284" t="s">
        <v>5389</v>
      </c>
      <c r="E284" t="s">
        <v>43</v>
      </c>
      <c r="I284" s="26">
        <v>43101</v>
      </c>
      <c r="J284" s="28">
        <v>43101</v>
      </c>
      <c r="Q284" t="s">
        <v>44683</v>
      </c>
      <c r="R284" t="s">
        <v>45028</v>
      </c>
    </row>
    <row r="285" spans="1:18" x14ac:dyDescent="0.35">
      <c r="A285" t="s">
        <v>15444</v>
      </c>
      <c r="D285" t="s">
        <v>5594</v>
      </c>
      <c r="E285" t="s">
        <v>43</v>
      </c>
      <c r="I285" s="26">
        <v>43101</v>
      </c>
      <c r="J285" s="28">
        <v>43101</v>
      </c>
      <c r="Q285" t="s">
        <v>44683</v>
      </c>
      <c r="R285" t="s">
        <v>45029</v>
      </c>
    </row>
    <row r="286" spans="1:18" x14ac:dyDescent="0.35">
      <c r="A286" t="s">
        <v>15560</v>
      </c>
      <c r="D286" t="s">
        <v>5690</v>
      </c>
      <c r="E286" t="s">
        <v>43</v>
      </c>
      <c r="I286" s="26">
        <v>43466</v>
      </c>
      <c r="J286" s="28">
        <v>43466</v>
      </c>
      <c r="Q286" t="s">
        <v>44683</v>
      </c>
      <c r="R286" t="s">
        <v>45030</v>
      </c>
    </row>
    <row r="287" spans="1:18" x14ac:dyDescent="0.35">
      <c r="A287" t="s">
        <v>14345</v>
      </c>
      <c r="D287" t="s">
        <v>1771</v>
      </c>
      <c r="E287" t="s">
        <v>43</v>
      </c>
      <c r="I287" s="26">
        <v>43466</v>
      </c>
      <c r="J287" s="28">
        <v>43466</v>
      </c>
      <c r="Q287" t="s">
        <v>44683</v>
      </c>
      <c r="R287" t="s">
        <v>45031</v>
      </c>
    </row>
    <row r="288" spans="1:18" x14ac:dyDescent="0.35">
      <c r="A288" t="s">
        <v>45032</v>
      </c>
      <c r="E288" t="s">
        <v>43</v>
      </c>
      <c r="F288" t="s">
        <v>22238</v>
      </c>
      <c r="I288" s="26">
        <v>43101</v>
      </c>
      <c r="J288" s="28">
        <v>43101</v>
      </c>
      <c r="Q288" t="s">
        <v>44683</v>
      </c>
      <c r="R288" t="s">
        <v>45033</v>
      </c>
    </row>
    <row r="289" spans="1:18" x14ac:dyDescent="0.35">
      <c r="A289" t="s">
        <v>15457</v>
      </c>
      <c r="D289" t="s">
        <v>5628</v>
      </c>
      <c r="E289" t="s">
        <v>43</v>
      </c>
      <c r="I289" s="26">
        <v>43466</v>
      </c>
      <c r="J289" s="28">
        <v>43466</v>
      </c>
      <c r="Q289" t="s">
        <v>44683</v>
      </c>
      <c r="R289" t="s">
        <v>45034</v>
      </c>
    </row>
    <row r="290" spans="1:18" x14ac:dyDescent="0.35">
      <c r="A290" t="s">
        <v>16640</v>
      </c>
      <c r="D290" t="s">
        <v>7376</v>
      </c>
      <c r="E290" t="s">
        <v>43</v>
      </c>
      <c r="I290" s="26">
        <v>43466</v>
      </c>
      <c r="J290" s="28">
        <v>43466</v>
      </c>
      <c r="Q290" t="s">
        <v>44683</v>
      </c>
      <c r="R290" t="s">
        <v>45035</v>
      </c>
    </row>
    <row r="291" spans="1:18" x14ac:dyDescent="0.35">
      <c r="A291" t="s">
        <v>15158</v>
      </c>
      <c r="D291" t="s">
        <v>5115</v>
      </c>
      <c r="E291" t="s">
        <v>43</v>
      </c>
      <c r="I291" s="26">
        <v>43466</v>
      </c>
      <c r="J291" s="28">
        <v>43466</v>
      </c>
      <c r="Q291" t="s">
        <v>44683</v>
      </c>
      <c r="R291" t="s">
        <v>45036</v>
      </c>
    </row>
    <row r="292" spans="1:18" x14ac:dyDescent="0.35">
      <c r="A292" t="s">
        <v>15445</v>
      </c>
      <c r="D292" t="s">
        <v>5594</v>
      </c>
      <c r="E292" t="s">
        <v>43</v>
      </c>
      <c r="I292" s="26">
        <v>43101</v>
      </c>
      <c r="J292" s="28">
        <v>43101</v>
      </c>
      <c r="Q292" t="s">
        <v>44683</v>
      </c>
      <c r="R292" t="s">
        <v>45037</v>
      </c>
    </row>
    <row r="293" spans="1:18" x14ac:dyDescent="0.35">
      <c r="A293" t="s">
        <v>45038</v>
      </c>
      <c r="D293" t="s">
        <v>773</v>
      </c>
      <c r="E293" t="s">
        <v>43</v>
      </c>
      <c r="I293" s="26">
        <v>43101</v>
      </c>
      <c r="J293" s="28">
        <v>43101</v>
      </c>
      <c r="Q293" t="s">
        <v>44683</v>
      </c>
      <c r="R293" t="s">
        <v>45039</v>
      </c>
    </row>
    <row r="294" spans="1:18" x14ac:dyDescent="0.35">
      <c r="A294" t="s">
        <v>15567</v>
      </c>
      <c r="D294" t="s">
        <v>5690</v>
      </c>
      <c r="E294" t="s">
        <v>43</v>
      </c>
      <c r="I294" s="26">
        <v>43466</v>
      </c>
      <c r="J294" s="28">
        <v>43466</v>
      </c>
      <c r="Q294" t="s">
        <v>44683</v>
      </c>
      <c r="R294" t="s">
        <v>45040</v>
      </c>
    </row>
    <row r="295" spans="1:18" x14ac:dyDescent="0.35">
      <c r="A295" t="s">
        <v>16393</v>
      </c>
      <c r="D295" t="s">
        <v>7199</v>
      </c>
      <c r="E295" t="s">
        <v>43</v>
      </c>
      <c r="I295" s="26">
        <v>43466</v>
      </c>
      <c r="J295" s="28">
        <v>43466</v>
      </c>
      <c r="Q295" t="s">
        <v>44683</v>
      </c>
      <c r="R295" t="s">
        <v>45041</v>
      </c>
    </row>
    <row r="296" spans="1:18" x14ac:dyDescent="0.35">
      <c r="A296" t="s">
        <v>45042</v>
      </c>
      <c r="E296" t="s">
        <v>43</v>
      </c>
      <c r="F296" t="s">
        <v>22238</v>
      </c>
      <c r="I296" s="26">
        <v>43101</v>
      </c>
      <c r="J296" s="28">
        <v>43101</v>
      </c>
      <c r="Q296" t="s">
        <v>44683</v>
      </c>
      <c r="R296" t="s">
        <v>45043</v>
      </c>
    </row>
    <row r="297" spans="1:18" x14ac:dyDescent="0.35">
      <c r="A297" t="s">
        <v>15568</v>
      </c>
      <c r="D297" t="s">
        <v>5690</v>
      </c>
      <c r="E297" t="s">
        <v>43</v>
      </c>
      <c r="I297" s="26">
        <v>43466</v>
      </c>
      <c r="J297" s="28">
        <v>43466</v>
      </c>
      <c r="Q297" t="s">
        <v>44683</v>
      </c>
      <c r="R297" t="s">
        <v>45044</v>
      </c>
    </row>
    <row r="298" spans="1:18" x14ac:dyDescent="0.35">
      <c r="A298" t="s">
        <v>16637</v>
      </c>
      <c r="D298" t="s">
        <v>7375</v>
      </c>
      <c r="E298" t="s">
        <v>43</v>
      </c>
      <c r="I298" s="26">
        <v>43466</v>
      </c>
      <c r="J298" s="28">
        <v>43466</v>
      </c>
      <c r="Q298" t="s">
        <v>44683</v>
      </c>
      <c r="R298" t="s">
        <v>45045</v>
      </c>
    </row>
    <row r="299" spans="1:18" x14ac:dyDescent="0.35">
      <c r="A299" t="s">
        <v>15959</v>
      </c>
      <c r="D299" t="s">
        <v>6289</v>
      </c>
      <c r="E299" t="s">
        <v>43</v>
      </c>
      <c r="I299" s="26">
        <v>43466</v>
      </c>
      <c r="J299" s="28">
        <v>43466</v>
      </c>
      <c r="Q299" t="s">
        <v>44683</v>
      </c>
      <c r="R299" t="s">
        <v>45046</v>
      </c>
    </row>
    <row r="300" spans="1:18" x14ac:dyDescent="0.35">
      <c r="A300" t="s">
        <v>15572</v>
      </c>
      <c r="D300" t="s">
        <v>5690</v>
      </c>
      <c r="E300" t="s">
        <v>43</v>
      </c>
      <c r="I300" s="26">
        <v>43466</v>
      </c>
      <c r="J300" s="28">
        <v>43466</v>
      </c>
      <c r="Q300" t="s">
        <v>44683</v>
      </c>
      <c r="R300" t="s">
        <v>45047</v>
      </c>
    </row>
    <row r="301" spans="1:18" x14ac:dyDescent="0.35">
      <c r="A301" t="s">
        <v>16394</v>
      </c>
      <c r="D301" t="s">
        <v>7199</v>
      </c>
      <c r="E301" t="s">
        <v>43</v>
      </c>
      <c r="I301" s="26">
        <v>43466</v>
      </c>
      <c r="J301" s="28">
        <v>43466</v>
      </c>
      <c r="Q301" t="s">
        <v>44683</v>
      </c>
      <c r="R301" t="s">
        <v>45048</v>
      </c>
    </row>
    <row r="302" spans="1:18" x14ac:dyDescent="0.35">
      <c r="A302" t="s">
        <v>16042</v>
      </c>
      <c r="D302" t="s">
        <v>7067</v>
      </c>
      <c r="E302" t="s">
        <v>43</v>
      </c>
      <c r="I302" s="26">
        <v>43101</v>
      </c>
      <c r="J302" s="28">
        <v>43101</v>
      </c>
      <c r="Q302" t="s">
        <v>44683</v>
      </c>
      <c r="R302" t="s">
        <v>45049</v>
      </c>
    </row>
    <row r="303" spans="1:18" x14ac:dyDescent="0.35">
      <c r="A303" t="s">
        <v>14970</v>
      </c>
      <c r="D303" t="s">
        <v>2987</v>
      </c>
      <c r="E303" t="s">
        <v>43</v>
      </c>
      <c r="I303" s="26">
        <v>43101</v>
      </c>
      <c r="J303" s="28">
        <v>43101</v>
      </c>
      <c r="Q303" t="s">
        <v>44683</v>
      </c>
      <c r="R303" t="s">
        <v>45050</v>
      </c>
    </row>
    <row r="304" spans="1:18" x14ac:dyDescent="0.35">
      <c r="A304" t="s">
        <v>14971</v>
      </c>
      <c r="D304" t="s">
        <v>2987</v>
      </c>
      <c r="E304" t="s">
        <v>43</v>
      </c>
      <c r="I304" s="26">
        <v>43101</v>
      </c>
      <c r="J304" s="28">
        <v>43101</v>
      </c>
      <c r="Q304" t="s">
        <v>44683</v>
      </c>
      <c r="R304" t="s">
        <v>45051</v>
      </c>
    </row>
    <row r="305" spans="1:18" x14ac:dyDescent="0.35">
      <c r="A305" t="s">
        <v>15446</v>
      </c>
      <c r="D305" t="s">
        <v>5594</v>
      </c>
      <c r="E305" t="s">
        <v>43</v>
      </c>
      <c r="I305" s="26">
        <v>43101</v>
      </c>
      <c r="J305" s="28">
        <v>43101</v>
      </c>
      <c r="Q305" t="s">
        <v>44683</v>
      </c>
      <c r="R305" t="s">
        <v>45052</v>
      </c>
    </row>
    <row r="306" spans="1:18" x14ac:dyDescent="0.35">
      <c r="A306" t="s">
        <v>16043</v>
      </c>
      <c r="D306" t="s">
        <v>7067</v>
      </c>
      <c r="E306" t="s">
        <v>43</v>
      </c>
      <c r="I306" s="26">
        <v>43101</v>
      </c>
      <c r="J306" s="28">
        <v>43101</v>
      </c>
      <c r="Q306" t="s">
        <v>44683</v>
      </c>
      <c r="R306" t="s">
        <v>45053</v>
      </c>
    </row>
    <row r="307" spans="1:18" x14ac:dyDescent="0.35">
      <c r="A307" t="s">
        <v>16015</v>
      </c>
      <c r="D307" t="s">
        <v>7067</v>
      </c>
      <c r="E307" t="s">
        <v>43</v>
      </c>
      <c r="I307" s="26">
        <v>43101</v>
      </c>
      <c r="J307" s="28">
        <v>43101</v>
      </c>
      <c r="Q307" t="s">
        <v>44683</v>
      </c>
      <c r="R307" t="s">
        <v>45054</v>
      </c>
    </row>
    <row r="308" spans="1:18" x14ac:dyDescent="0.35">
      <c r="A308" t="s">
        <v>16013</v>
      </c>
      <c r="D308" t="s">
        <v>7067</v>
      </c>
      <c r="E308" t="s">
        <v>43</v>
      </c>
      <c r="I308" s="26">
        <v>43101</v>
      </c>
      <c r="J308" s="28">
        <v>43101</v>
      </c>
      <c r="Q308" t="s">
        <v>44683</v>
      </c>
      <c r="R308" t="s">
        <v>45055</v>
      </c>
    </row>
    <row r="309" spans="1:18" x14ac:dyDescent="0.35">
      <c r="A309" t="s">
        <v>16014</v>
      </c>
      <c r="D309" t="s">
        <v>7067</v>
      </c>
      <c r="E309" t="s">
        <v>43</v>
      </c>
      <c r="I309" s="26">
        <v>43101</v>
      </c>
      <c r="J309" s="28">
        <v>43101</v>
      </c>
      <c r="Q309" t="s">
        <v>44683</v>
      </c>
      <c r="R309" t="s">
        <v>45056</v>
      </c>
    </row>
    <row r="310" spans="1:18" x14ac:dyDescent="0.35">
      <c r="A310" t="s">
        <v>45057</v>
      </c>
      <c r="D310" t="s">
        <v>5389</v>
      </c>
      <c r="E310" t="s">
        <v>43</v>
      </c>
      <c r="I310" s="26">
        <v>43101</v>
      </c>
      <c r="J310" s="28">
        <v>43101</v>
      </c>
      <c r="Q310" t="s">
        <v>44683</v>
      </c>
      <c r="R310" t="s">
        <v>45058</v>
      </c>
    </row>
    <row r="311" spans="1:18" x14ac:dyDescent="0.35">
      <c r="A311" t="s">
        <v>14961</v>
      </c>
      <c r="D311" t="s">
        <v>2987</v>
      </c>
      <c r="E311" t="s">
        <v>43</v>
      </c>
      <c r="I311" s="26">
        <v>43101</v>
      </c>
      <c r="J311" s="28">
        <v>43101</v>
      </c>
      <c r="Q311" t="s">
        <v>44683</v>
      </c>
      <c r="R311" t="s">
        <v>45059</v>
      </c>
    </row>
    <row r="312" spans="1:18" x14ac:dyDescent="0.35">
      <c r="A312" t="s">
        <v>14279</v>
      </c>
      <c r="D312" t="s">
        <v>1742</v>
      </c>
      <c r="E312" t="s">
        <v>43</v>
      </c>
      <c r="I312" s="26">
        <v>43101</v>
      </c>
      <c r="J312" s="28">
        <v>43101</v>
      </c>
      <c r="Q312" t="s">
        <v>44683</v>
      </c>
      <c r="R312" t="s">
        <v>45060</v>
      </c>
    </row>
    <row r="313" spans="1:18" x14ac:dyDescent="0.35">
      <c r="A313" t="s">
        <v>45061</v>
      </c>
      <c r="D313" t="s">
        <v>2984</v>
      </c>
      <c r="E313" t="s">
        <v>43</v>
      </c>
      <c r="I313" s="26">
        <v>43101</v>
      </c>
      <c r="J313" s="28">
        <v>43101</v>
      </c>
      <c r="Q313" t="s">
        <v>44683</v>
      </c>
      <c r="R313" t="s">
        <v>45062</v>
      </c>
    </row>
    <row r="314" spans="1:18" x14ac:dyDescent="0.35">
      <c r="A314" t="s">
        <v>15329</v>
      </c>
      <c r="D314" t="s">
        <v>5363</v>
      </c>
      <c r="E314" t="s">
        <v>43</v>
      </c>
      <c r="I314" s="26">
        <v>43101</v>
      </c>
      <c r="J314" s="28">
        <v>43101</v>
      </c>
      <c r="Q314" t="s">
        <v>44683</v>
      </c>
      <c r="R314" t="s">
        <v>45063</v>
      </c>
    </row>
    <row r="315" spans="1:18" x14ac:dyDescent="0.35">
      <c r="A315" t="s">
        <v>45064</v>
      </c>
      <c r="D315" t="s">
        <v>867</v>
      </c>
      <c r="E315" t="s">
        <v>43</v>
      </c>
      <c r="I315" s="26">
        <v>43101</v>
      </c>
      <c r="J315" s="28">
        <v>43101</v>
      </c>
      <c r="Q315" t="s">
        <v>44683</v>
      </c>
      <c r="R315" t="s">
        <v>45065</v>
      </c>
    </row>
    <row r="316" spans="1:18" x14ac:dyDescent="0.35">
      <c r="A316" t="s">
        <v>45066</v>
      </c>
      <c r="D316" t="s">
        <v>5594</v>
      </c>
      <c r="E316" t="s">
        <v>43</v>
      </c>
      <c r="I316" s="26">
        <v>43101</v>
      </c>
      <c r="J316" s="28">
        <v>43101</v>
      </c>
      <c r="Q316" t="s">
        <v>44683</v>
      </c>
      <c r="R316" t="s">
        <v>45067</v>
      </c>
    </row>
    <row r="317" spans="1:18" x14ac:dyDescent="0.35">
      <c r="A317" t="s">
        <v>45068</v>
      </c>
      <c r="D317" t="s">
        <v>1742</v>
      </c>
      <c r="E317" t="s">
        <v>43</v>
      </c>
      <c r="I317" s="26">
        <v>43101</v>
      </c>
      <c r="J317" s="28">
        <v>43101</v>
      </c>
      <c r="Q317" t="s">
        <v>44683</v>
      </c>
      <c r="R317" t="s">
        <v>45069</v>
      </c>
    </row>
    <row r="318" spans="1:18" x14ac:dyDescent="0.35">
      <c r="A318" t="s">
        <v>15969</v>
      </c>
      <c r="D318" t="s">
        <v>6585</v>
      </c>
      <c r="E318" t="s">
        <v>43</v>
      </c>
      <c r="I318" s="26">
        <v>43101</v>
      </c>
      <c r="J318" s="28">
        <v>43101</v>
      </c>
      <c r="Q318" t="s">
        <v>44683</v>
      </c>
      <c r="R318" t="s">
        <v>45070</v>
      </c>
    </row>
    <row r="319" spans="1:18" x14ac:dyDescent="0.35">
      <c r="A319" t="s">
        <v>45071</v>
      </c>
      <c r="D319" t="s">
        <v>5389</v>
      </c>
      <c r="E319" t="s">
        <v>43</v>
      </c>
      <c r="I319" s="26">
        <v>43101</v>
      </c>
      <c r="J319" s="28">
        <v>43101</v>
      </c>
      <c r="Q319" t="s">
        <v>44683</v>
      </c>
      <c r="R319" t="s">
        <v>45072</v>
      </c>
    </row>
    <row r="320" spans="1:18" x14ac:dyDescent="0.35">
      <c r="A320" t="s">
        <v>15971</v>
      </c>
      <c r="D320" t="s">
        <v>6585</v>
      </c>
      <c r="E320" t="s">
        <v>43</v>
      </c>
      <c r="I320" s="26">
        <v>43101</v>
      </c>
      <c r="J320" s="28">
        <v>43101</v>
      </c>
      <c r="Q320" t="s">
        <v>44683</v>
      </c>
      <c r="R320" t="s">
        <v>45073</v>
      </c>
    </row>
    <row r="321" spans="1:18" x14ac:dyDescent="0.35">
      <c r="A321" t="s">
        <v>16018</v>
      </c>
      <c r="D321" t="s">
        <v>7067</v>
      </c>
      <c r="E321" t="s">
        <v>43</v>
      </c>
      <c r="I321" s="26">
        <v>43101</v>
      </c>
      <c r="J321" s="28">
        <v>43101</v>
      </c>
      <c r="Q321" t="s">
        <v>44683</v>
      </c>
      <c r="R321" t="s">
        <v>45074</v>
      </c>
    </row>
    <row r="322" spans="1:18" x14ac:dyDescent="0.35">
      <c r="A322" t="s">
        <v>45075</v>
      </c>
      <c r="D322" t="s">
        <v>2987</v>
      </c>
      <c r="E322" t="s">
        <v>43</v>
      </c>
      <c r="I322" s="26">
        <v>43101</v>
      </c>
      <c r="J322" s="28">
        <v>43101</v>
      </c>
      <c r="Q322" t="s">
        <v>44683</v>
      </c>
      <c r="R322" t="s">
        <v>45076</v>
      </c>
    </row>
    <row r="323" spans="1:18" x14ac:dyDescent="0.35">
      <c r="A323" t="s">
        <v>15437</v>
      </c>
      <c r="D323" t="s">
        <v>5594</v>
      </c>
      <c r="E323" t="s">
        <v>43</v>
      </c>
      <c r="I323" s="26">
        <v>43101</v>
      </c>
      <c r="J323" s="28">
        <v>43101</v>
      </c>
      <c r="Q323" t="s">
        <v>44683</v>
      </c>
      <c r="R323" t="s">
        <v>45077</v>
      </c>
    </row>
    <row r="324" spans="1:18" x14ac:dyDescent="0.35">
      <c r="A324" t="s">
        <v>45078</v>
      </c>
      <c r="D324" t="s">
        <v>6585</v>
      </c>
      <c r="E324" t="s">
        <v>43</v>
      </c>
      <c r="I324" s="26">
        <v>43101</v>
      </c>
      <c r="J324" s="28">
        <v>43101</v>
      </c>
      <c r="Q324" t="s">
        <v>44683</v>
      </c>
      <c r="R324" t="s">
        <v>45079</v>
      </c>
    </row>
    <row r="325" spans="1:18" x14ac:dyDescent="0.35">
      <c r="A325" t="s">
        <v>16019</v>
      </c>
      <c r="D325" t="s">
        <v>7067</v>
      </c>
      <c r="E325" t="s">
        <v>43</v>
      </c>
      <c r="I325" s="26">
        <v>43101</v>
      </c>
      <c r="J325" s="28">
        <v>43101</v>
      </c>
      <c r="Q325" t="s">
        <v>44683</v>
      </c>
      <c r="R325" t="s">
        <v>45080</v>
      </c>
    </row>
    <row r="326" spans="1:18" x14ac:dyDescent="0.35">
      <c r="A326" t="s">
        <v>16044</v>
      </c>
      <c r="D326" t="s">
        <v>7067</v>
      </c>
      <c r="E326" t="s">
        <v>43</v>
      </c>
      <c r="I326" s="26">
        <v>43101</v>
      </c>
      <c r="J326" s="28">
        <v>43101</v>
      </c>
      <c r="Q326" t="s">
        <v>44683</v>
      </c>
      <c r="R326" t="s">
        <v>45081</v>
      </c>
    </row>
    <row r="327" spans="1:18" x14ac:dyDescent="0.35">
      <c r="A327" t="s">
        <v>16020</v>
      </c>
      <c r="D327" t="s">
        <v>7067</v>
      </c>
      <c r="E327" t="s">
        <v>43</v>
      </c>
      <c r="I327" s="26">
        <v>43101</v>
      </c>
      <c r="J327" s="28">
        <v>43101</v>
      </c>
      <c r="Q327" t="s">
        <v>44683</v>
      </c>
      <c r="R327" t="s">
        <v>45082</v>
      </c>
    </row>
    <row r="328" spans="1:18" x14ac:dyDescent="0.35">
      <c r="A328" t="s">
        <v>16045</v>
      </c>
      <c r="D328" t="s">
        <v>7067</v>
      </c>
      <c r="E328" t="s">
        <v>43</v>
      </c>
      <c r="I328" s="26">
        <v>43101</v>
      </c>
      <c r="J328" s="28">
        <v>43101</v>
      </c>
      <c r="Q328" t="s">
        <v>44683</v>
      </c>
      <c r="R328" t="s">
        <v>45083</v>
      </c>
    </row>
    <row r="329" spans="1:18" x14ac:dyDescent="0.35">
      <c r="A329" t="s">
        <v>16046</v>
      </c>
      <c r="D329" t="s">
        <v>7067</v>
      </c>
      <c r="E329" t="s">
        <v>43</v>
      </c>
      <c r="I329" s="26">
        <v>43101</v>
      </c>
      <c r="J329" s="28">
        <v>43101</v>
      </c>
      <c r="Q329" t="s">
        <v>44683</v>
      </c>
      <c r="R329" t="s">
        <v>45084</v>
      </c>
    </row>
    <row r="330" spans="1:18" x14ac:dyDescent="0.35">
      <c r="A330" t="s">
        <v>16047</v>
      </c>
      <c r="D330" t="s">
        <v>7067</v>
      </c>
      <c r="E330" t="s">
        <v>43</v>
      </c>
      <c r="I330" s="26">
        <v>43101</v>
      </c>
      <c r="J330" s="28">
        <v>43101</v>
      </c>
      <c r="Q330" t="s">
        <v>44683</v>
      </c>
      <c r="R330" t="s">
        <v>45085</v>
      </c>
    </row>
    <row r="331" spans="1:18" x14ac:dyDescent="0.35">
      <c r="A331" t="s">
        <v>15447</v>
      </c>
      <c r="D331" t="s">
        <v>5594</v>
      </c>
      <c r="E331" t="s">
        <v>43</v>
      </c>
      <c r="I331" s="26">
        <v>43101</v>
      </c>
      <c r="J331" s="28">
        <v>43101</v>
      </c>
      <c r="Q331" t="s">
        <v>44683</v>
      </c>
      <c r="R331" t="s">
        <v>45086</v>
      </c>
    </row>
    <row r="332" spans="1:18" x14ac:dyDescent="0.35">
      <c r="A332" t="s">
        <v>45087</v>
      </c>
      <c r="D332" t="s">
        <v>866</v>
      </c>
      <c r="E332" t="s">
        <v>43</v>
      </c>
      <c r="I332" s="26">
        <v>43101</v>
      </c>
      <c r="J332" s="28">
        <v>43101</v>
      </c>
      <c r="Q332" t="s">
        <v>44683</v>
      </c>
      <c r="R332" t="s">
        <v>45088</v>
      </c>
    </row>
    <row r="333" spans="1:18" x14ac:dyDescent="0.35">
      <c r="A333" t="s">
        <v>45089</v>
      </c>
      <c r="D333" t="s">
        <v>5389</v>
      </c>
      <c r="E333" t="s">
        <v>43</v>
      </c>
      <c r="I333" s="26">
        <v>43101</v>
      </c>
      <c r="J333" s="28">
        <v>43101</v>
      </c>
      <c r="Q333" t="s">
        <v>44683</v>
      </c>
      <c r="R333" t="s">
        <v>45090</v>
      </c>
    </row>
    <row r="334" spans="1:18" x14ac:dyDescent="0.35">
      <c r="A334" t="s">
        <v>14090</v>
      </c>
      <c r="D334" t="s">
        <v>773</v>
      </c>
      <c r="E334" t="s">
        <v>43</v>
      </c>
      <c r="I334" s="26">
        <v>43101</v>
      </c>
      <c r="J334" s="28">
        <v>43101</v>
      </c>
      <c r="Q334" t="s">
        <v>44683</v>
      </c>
      <c r="R334" t="s">
        <v>45091</v>
      </c>
    </row>
    <row r="335" spans="1:18" x14ac:dyDescent="0.35">
      <c r="A335" t="s">
        <v>16022</v>
      </c>
      <c r="D335" t="s">
        <v>7067</v>
      </c>
      <c r="E335" t="s">
        <v>43</v>
      </c>
      <c r="I335" s="26">
        <v>43101</v>
      </c>
      <c r="J335" s="28">
        <v>43101</v>
      </c>
      <c r="Q335" t="s">
        <v>44683</v>
      </c>
      <c r="R335" t="s">
        <v>45092</v>
      </c>
    </row>
    <row r="336" spans="1:18" x14ac:dyDescent="0.35">
      <c r="A336" t="s">
        <v>16023</v>
      </c>
      <c r="D336" t="s">
        <v>7067</v>
      </c>
      <c r="E336" t="s">
        <v>43</v>
      </c>
      <c r="I336" s="26">
        <v>43101</v>
      </c>
      <c r="J336" s="28">
        <v>43101</v>
      </c>
      <c r="Q336" t="s">
        <v>44683</v>
      </c>
      <c r="R336" t="s">
        <v>45093</v>
      </c>
    </row>
    <row r="337" spans="1:18" x14ac:dyDescent="0.35">
      <c r="A337" t="s">
        <v>15972</v>
      </c>
      <c r="D337" t="s">
        <v>6585</v>
      </c>
      <c r="E337" t="s">
        <v>43</v>
      </c>
      <c r="I337" s="26">
        <v>43101</v>
      </c>
      <c r="J337" s="28">
        <v>43101</v>
      </c>
      <c r="Q337" t="s">
        <v>44683</v>
      </c>
      <c r="R337" t="s">
        <v>45094</v>
      </c>
    </row>
    <row r="338" spans="1:18" x14ac:dyDescent="0.35">
      <c r="A338" t="s">
        <v>15352</v>
      </c>
      <c r="D338" t="s">
        <v>5389</v>
      </c>
      <c r="E338" t="s">
        <v>43</v>
      </c>
      <c r="I338" s="26">
        <v>43101</v>
      </c>
      <c r="J338" s="28">
        <v>43101</v>
      </c>
      <c r="Q338" t="s">
        <v>44683</v>
      </c>
      <c r="R338" t="s">
        <v>45095</v>
      </c>
    </row>
    <row r="339" spans="1:18" x14ac:dyDescent="0.35">
      <c r="A339" t="s">
        <v>45096</v>
      </c>
      <c r="D339" t="s">
        <v>1936</v>
      </c>
      <c r="E339" t="s">
        <v>43</v>
      </c>
      <c r="I339" s="26">
        <v>43101</v>
      </c>
      <c r="J339" s="28">
        <v>43101</v>
      </c>
      <c r="Q339" t="s">
        <v>44683</v>
      </c>
      <c r="R339" t="s">
        <v>45097</v>
      </c>
    </row>
    <row r="340" spans="1:18" x14ac:dyDescent="0.35">
      <c r="A340" t="s">
        <v>45098</v>
      </c>
      <c r="D340" t="s">
        <v>769</v>
      </c>
      <c r="E340" t="s">
        <v>43</v>
      </c>
      <c r="I340" s="26">
        <v>43101</v>
      </c>
      <c r="J340" s="28">
        <v>43101</v>
      </c>
      <c r="Q340" t="s">
        <v>44683</v>
      </c>
      <c r="R340" t="s">
        <v>45099</v>
      </c>
    </row>
    <row r="341" spans="1:18" x14ac:dyDescent="0.35">
      <c r="A341" t="s">
        <v>45100</v>
      </c>
      <c r="D341" t="s">
        <v>773</v>
      </c>
      <c r="E341" t="s">
        <v>43</v>
      </c>
      <c r="I341" s="26">
        <v>43101</v>
      </c>
      <c r="J341" s="28">
        <v>43101</v>
      </c>
      <c r="Q341" t="s">
        <v>44683</v>
      </c>
      <c r="R341" t="s">
        <v>45101</v>
      </c>
    </row>
    <row r="342" spans="1:18" x14ac:dyDescent="0.35">
      <c r="A342" t="s">
        <v>16024</v>
      </c>
      <c r="D342" t="s">
        <v>7067</v>
      </c>
      <c r="E342" t="s">
        <v>43</v>
      </c>
      <c r="I342" s="26">
        <v>43101</v>
      </c>
      <c r="J342" s="28">
        <v>43101</v>
      </c>
      <c r="Q342" t="s">
        <v>44683</v>
      </c>
      <c r="R342" t="s">
        <v>45102</v>
      </c>
    </row>
    <row r="343" spans="1:18" x14ac:dyDescent="0.35">
      <c r="A343" t="s">
        <v>45103</v>
      </c>
      <c r="D343" t="s">
        <v>6585</v>
      </c>
      <c r="E343" t="s">
        <v>43</v>
      </c>
      <c r="I343" s="26">
        <v>43101</v>
      </c>
      <c r="J343" s="28">
        <v>43101</v>
      </c>
      <c r="Q343" t="s">
        <v>44683</v>
      </c>
      <c r="R343" t="s">
        <v>45104</v>
      </c>
    </row>
    <row r="344" spans="1:18" x14ac:dyDescent="0.35">
      <c r="A344" t="s">
        <v>45105</v>
      </c>
      <c r="D344" t="s">
        <v>6585</v>
      </c>
      <c r="E344" t="s">
        <v>43</v>
      </c>
      <c r="I344" s="26">
        <v>43101</v>
      </c>
      <c r="J344" s="28">
        <v>43101</v>
      </c>
      <c r="Q344" t="s">
        <v>44683</v>
      </c>
      <c r="R344" t="s">
        <v>45106</v>
      </c>
    </row>
    <row r="345" spans="1:18" x14ac:dyDescent="0.35">
      <c r="A345" t="s">
        <v>16026</v>
      </c>
      <c r="D345" t="s">
        <v>7067</v>
      </c>
      <c r="E345" t="s">
        <v>43</v>
      </c>
      <c r="I345" s="26">
        <v>43101</v>
      </c>
      <c r="J345" s="28">
        <v>43101</v>
      </c>
      <c r="Q345" t="s">
        <v>44683</v>
      </c>
      <c r="R345" t="s">
        <v>45107</v>
      </c>
    </row>
    <row r="346" spans="1:18" x14ac:dyDescent="0.35">
      <c r="A346" t="s">
        <v>16027</v>
      </c>
      <c r="D346" t="s">
        <v>7067</v>
      </c>
      <c r="E346" t="s">
        <v>43</v>
      </c>
      <c r="I346" s="26">
        <v>43101</v>
      </c>
      <c r="J346" s="28">
        <v>43101</v>
      </c>
      <c r="Q346" t="s">
        <v>44683</v>
      </c>
      <c r="R346" t="s">
        <v>45108</v>
      </c>
    </row>
    <row r="347" spans="1:18" x14ac:dyDescent="0.35">
      <c r="A347" t="s">
        <v>16048</v>
      </c>
      <c r="D347" t="s">
        <v>7067</v>
      </c>
      <c r="E347" t="s">
        <v>43</v>
      </c>
      <c r="I347" s="26">
        <v>43101</v>
      </c>
      <c r="J347" s="28">
        <v>43101</v>
      </c>
      <c r="Q347" t="s">
        <v>44683</v>
      </c>
      <c r="R347" t="s">
        <v>45109</v>
      </c>
    </row>
    <row r="348" spans="1:18" x14ac:dyDescent="0.35">
      <c r="A348" t="s">
        <v>16029</v>
      </c>
      <c r="D348" t="s">
        <v>7067</v>
      </c>
      <c r="E348" t="s">
        <v>43</v>
      </c>
      <c r="I348" s="26">
        <v>43101</v>
      </c>
      <c r="J348" s="28">
        <v>43101</v>
      </c>
      <c r="Q348" t="s">
        <v>44683</v>
      </c>
      <c r="R348" t="s">
        <v>45110</v>
      </c>
    </row>
    <row r="349" spans="1:18" x14ac:dyDescent="0.35">
      <c r="A349" t="s">
        <v>45111</v>
      </c>
      <c r="D349" t="s">
        <v>6585</v>
      </c>
      <c r="E349" t="s">
        <v>43</v>
      </c>
      <c r="I349" s="26">
        <v>43101</v>
      </c>
      <c r="J349" s="28">
        <v>43101</v>
      </c>
      <c r="Q349" t="s">
        <v>44683</v>
      </c>
      <c r="R349" t="s">
        <v>45112</v>
      </c>
    </row>
    <row r="350" spans="1:18" x14ac:dyDescent="0.35">
      <c r="A350" t="s">
        <v>16030</v>
      </c>
      <c r="D350" t="s">
        <v>7067</v>
      </c>
      <c r="E350" t="s">
        <v>43</v>
      </c>
      <c r="I350" s="26">
        <v>43101</v>
      </c>
      <c r="J350" s="28">
        <v>43101</v>
      </c>
      <c r="Q350" t="s">
        <v>44683</v>
      </c>
      <c r="R350" t="s">
        <v>45113</v>
      </c>
    </row>
    <row r="351" spans="1:18" x14ac:dyDescent="0.35">
      <c r="A351" t="s">
        <v>15349</v>
      </c>
      <c r="D351" t="s">
        <v>5389</v>
      </c>
      <c r="E351" t="s">
        <v>43</v>
      </c>
      <c r="I351" s="26">
        <v>43101</v>
      </c>
      <c r="J351" s="28">
        <v>43101</v>
      </c>
      <c r="Q351" t="s">
        <v>44683</v>
      </c>
      <c r="R351" t="s">
        <v>45114</v>
      </c>
    </row>
    <row r="352" spans="1:18" x14ac:dyDescent="0.35">
      <c r="A352" t="s">
        <v>14962</v>
      </c>
      <c r="D352" t="s">
        <v>2987</v>
      </c>
      <c r="E352" t="s">
        <v>43</v>
      </c>
      <c r="I352" s="26">
        <v>43101</v>
      </c>
      <c r="J352" s="28">
        <v>43101</v>
      </c>
      <c r="Q352" t="s">
        <v>44683</v>
      </c>
      <c r="R352" t="s">
        <v>45115</v>
      </c>
    </row>
    <row r="353" spans="1:18" x14ac:dyDescent="0.35">
      <c r="A353" t="s">
        <v>14963</v>
      </c>
      <c r="D353" t="s">
        <v>2987</v>
      </c>
      <c r="E353" t="s">
        <v>43</v>
      </c>
      <c r="I353" s="26">
        <v>43101</v>
      </c>
      <c r="J353" s="28">
        <v>43101</v>
      </c>
      <c r="Q353" t="s">
        <v>44683</v>
      </c>
      <c r="R353" t="s">
        <v>45116</v>
      </c>
    </row>
    <row r="354" spans="1:18" x14ac:dyDescent="0.35">
      <c r="A354" t="s">
        <v>15973</v>
      </c>
      <c r="D354" t="s">
        <v>6585</v>
      </c>
      <c r="E354" t="s">
        <v>43</v>
      </c>
      <c r="I354" s="26">
        <v>43101</v>
      </c>
      <c r="J354" s="28">
        <v>43101</v>
      </c>
      <c r="Q354" t="s">
        <v>44683</v>
      </c>
      <c r="R354" t="s">
        <v>45117</v>
      </c>
    </row>
    <row r="355" spans="1:18" x14ac:dyDescent="0.35">
      <c r="A355" t="s">
        <v>15440</v>
      </c>
      <c r="D355" t="s">
        <v>5594</v>
      </c>
      <c r="E355" t="s">
        <v>43</v>
      </c>
      <c r="I355" s="26">
        <v>43101</v>
      </c>
      <c r="J355" s="28">
        <v>43101</v>
      </c>
      <c r="Q355" t="s">
        <v>44683</v>
      </c>
      <c r="R355" t="s">
        <v>45118</v>
      </c>
    </row>
    <row r="356" spans="1:18" x14ac:dyDescent="0.35">
      <c r="A356" t="s">
        <v>16050</v>
      </c>
      <c r="D356" t="s">
        <v>7067</v>
      </c>
      <c r="E356" t="s">
        <v>43</v>
      </c>
      <c r="I356" s="26">
        <v>43101</v>
      </c>
      <c r="J356" s="28">
        <v>43101</v>
      </c>
      <c r="Q356" t="s">
        <v>44683</v>
      </c>
      <c r="R356" t="s">
        <v>45119</v>
      </c>
    </row>
    <row r="357" spans="1:18" x14ac:dyDescent="0.35">
      <c r="A357" t="s">
        <v>16051</v>
      </c>
      <c r="D357" t="s">
        <v>7067</v>
      </c>
      <c r="E357" t="s">
        <v>43</v>
      </c>
      <c r="I357" s="26">
        <v>43101</v>
      </c>
      <c r="J357" s="28">
        <v>43101</v>
      </c>
      <c r="Q357" t="s">
        <v>44683</v>
      </c>
      <c r="R357" t="s">
        <v>45120</v>
      </c>
    </row>
    <row r="358" spans="1:18" x14ac:dyDescent="0.35">
      <c r="A358" t="s">
        <v>16052</v>
      </c>
      <c r="D358" t="s">
        <v>7067</v>
      </c>
      <c r="E358" t="s">
        <v>43</v>
      </c>
      <c r="I358" s="26">
        <v>43101</v>
      </c>
      <c r="J358" s="28">
        <v>43101</v>
      </c>
      <c r="Q358" t="s">
        <v>44683</v>
      </c>
      <c r="R358" t="s">
        <v>45121</v>
      </c>
    </row>
    <row r="359" spans="1:18" x14ac:dyDescent="0.35">
      <c r="A359" t="s">
        <v>16031</v>
      </c>
      <c r="D359" t="s">
        <v>7067</v>
      </c>
      <c r="E359" t="s">
        <v>43</v>
      </c>
      <c r="I359" s="26">
        <v>43101</v>
      </c>
      <c r="J359" s="28">
        <v>43101</v>
      </c>
      <c r="Q359" t="s">
        <v>44683</v>
      </c>
      <c r="R359" t="s">
        <v>45122</v>
      </c>
    </row>
    <row r="360" spans="1:18" x14ac:dyDescent="0.35">
      <c r="A360" t="s">
        <v>15441</v>
      </c>
      <c r="D360" t="s">
        <v>5594</v>
      </c>
      <c r="E360" t="s">
        <v>43</v>
      </c>
      <c r="I360" s="26">
        <v>43101</v>
      </c>
      <c r="J360" s="28">
        <v>43101</v>
      </c>
      <c r="Q360" t="s">
        <v>44683</v>
      </c>
      <c r="R360" t="s">
        <v>45123</v>
      </c>
    </row>
    <row r="361" spans="1:18" x14ac:dyDescent="0.35">
      <c r="A361" t="s">
        <v>14965</v>
      </c>
      <c r="D361" t="s">
        <v>2987</v>
      </c>
      <c r="E361" t="s">
        <v>43</v>
      </c>
      <c r="I361" s="26">
        <v>43101</v>
      </c>
      <c r="J361" s="28">
        <v>43101</v>
      </c>
      <c r="Q361" t="s">
        <v>44683</v>
      </c>
      <c r="R361" t="s">
        <v>45124</v>
      </c>
    </row>
    <row r="362" spans="1:18" x14ac:dyDescent="0.35">
      <c r="A362" t="s">
        <v>45125</v>
      </c>
      <c r="D362" t="s">
        <v>2987</v>
      </c>
      <c r="E362" t="s">
        <v>43</v>
      </c>
      <c r="I362" s="26">
        <v>43101</v>
      </c>
      <c r="J362" s="28">
        <v>43101</v>
      </c>
      <c r="Q362" t="s">
        <v>44683</v>
      </c>
      <c r="R362" t="s">
        <v>45126</v>
      </c>
    </row>
    <row r="363" spans="1:18" x14ac:dyDescent="0.35">
      <c r="A363" t="s">
        <v>16032</v>
      </c>
      <c r="D363" t="s">
        <v>7067</v>
      </c>
      <c r="E363" t="s">
        <v>43</v>
      </c>
      <c r="I363" s="26">
        <v>43101</v>
      </c>
      <c r="J363" s="28">
        <v>43101</v>
      </c>
      <c r="Q363" t="s">
        <v>44683</v>
      </c>
      <c r="R363" t="s">
        <v>45127</v>
      </c>
    </row>
    <row r="364" spans="1:18" x14ac:dyDescent="0.35">
      <c r="A364" t="s">
        <v>15442</v>
      </c>
      <c r="D364" t="s">
        <v>5594</v>
      </c>
      <c r="E364" t="s">
        <v>43</v>
      </c>
      <c r="I364" s="26">
        <v>43101</v>
      </c>
      <c r="J364" s="28">
        <v>43101</v>
      </c>
      <c r="Q364" t="s">
        <v>44683</v>
      </c>
      <c r="R364" t="s">
        <v>45128</v>
      </c>
    </row>
    <row r="365" spans="1:18" x14ac:dyDescent="0.35">
      <c r="A365" t="s">
        <v>16033</v>
      </c>
      <c r="D365" t="s">
        <v>7067</v>
      </c>
      <c r="E365" t="s">
        <v>43</v>
      </c>
      <c r="I365" s="26">
        <v>43101</v>
      </c>
      <c r="J365" s="28">
        <v>43101</v>
      </c>
      <c r="Q365" t="s">
        <v>44683</v>
      </c>
      <c r="R365" t="s">
        <v>45129</v>
      </c>
    </row>
    <row r="366" spans="1:18" x14ac:dyDescent="0.35">
      <c r="A366" t="s">
        <v>45130</v>
      </c>
      <c r="D366" t="s">
        <v>6585</v>
      </c>
      <c r="E366" t="s">
        <v>43</v>
      </c>
      <c r="I366" s="26">
        <v>43101</v>
      </c>
      <c r="J366" s="28">
        <v>43101</v>
      </c>
      <c r="Q366" t="s">
        <v>44683</v>
      </c>
      <c r="R366" t="s">
        <v>45131</v>
      </c>
    </row>
    <row r="367" spans="1:18" x14ac:dyDescent="0.35">
      <c r="A367" t="s">
        <v>45132</v>
      </c>
      <c r="D367" t="s">
        <v>5594</v>
      </c>
      <c r="E367" t="s">
        <v>43</v>
      </c>
      <c r="I367" s="26">
        <v>43101</v>
      </c>
      <c r="J367" s="28">
        <v>43101</v>
      </c>
      <c r="Q367" t="s">
        <v>44683</v>
      </c>
      <c r="R367" t="s">
        <v>45133</v>
      </c>
    </row>
    <row r="368" spans="1:18" x14ac:dyDescent="0.35">
      <c r="A368" t="s">
        <v>14966</v>
      </c>
      <c r="D368" t="s">
        <v>2987</v>
      </c>
      <c r="E368" t="s">
        <v>43</v>
      </c>
      <c r="I368" s="26">
        <v>43101</v>
      </c>
      <c r="J368" s="28">
        <v>43101</v>
      </c>
      <c r="Q368" t="s">
        <v>44683</v>
      </c>
      <c r="R368" t="s">
        <v>45134</v>
      </c>
    </row>
    <row r="369" spans="1:18" x14ac:dyDescent="0.35">
      <c r="A369" t="s">
        <v>16034</v>
      </c>
      <c r="D369" t="s">
        <v>7067</v>
      </c>
      <c r="E369" t="s">
        <v>43</v>
      </c>
      <c r="I369" s="26">
        <v>43101</v>
      </c>
      <c r="J369" s="28">
        <v>43101</v>
      </c>
      <c r="Q369" t="s">
        <v>44683</v>
      </c>
      <c r="R369" t="s">
        <v>45135</v>
      </c>
    </row>
    <row r="370" spans="1:18" x14ac:dyDescent="0.35">
      <c r="A370" t="s">
        <v>16035</v>
      </c>
      <c r="D370" t="s">
        <v>7067</v>
      </c>
      <c r="E370" t="s">
        <v>43</v>
      </c>
      <c r="I370" s="26">
        <v>43101</v>
      </c>
      <c r="J370" s="28">
        <v>43101</v>
      </c>
      <c r="Q370" t="s">
        <v>44683</v>
      </c>
      <c r="R370" t="s">
        <v>45136</v>
      </c>
    </row>
    <row r="371" spans="1:18" x14ac:dyDescent="0.35">
      <c r="A371" t="s">
        <v>14967</v>
      </c>
      <c r="D371" t="s">
        <v>2987</v>
      </c>
      <c r="E371" t="s">
        <v>43</v>
      </c>
      <c r="I371" s="26">
        <v>43101</v>
      </c>
      <c r="J371" s="28">
        <v>43101</v>
      </c>
      <c r="Q371" t="s">
        <v>44683</v>
      </c>
      <c r="R371" t="s">
        <v>45137</v>
      </c>
    </row>
    <row r="372" spans="1:18" x14ac:dyDescent="0.35">
      <c r="A372" t="s">
        <v>45138</v>
      </c>
      <c r="D372" t="s">
        <v>5389</v>
      </c>
      <c r="E372" t="s">
        <v>43</v>
      </c>
      <c r="I372" s="26">
        <v>43101</v>
      </c>
      <c r="J372" s="28">
        <v>43101</v>
      </c>
      <c r="Q372" t="s">
        <v>44683</v>
      </c>
      <c r="R372" t="s">
        <v>45139</v>
      </c>
    </row>
    <row r="373" spans="1:18" x14ac:dyDescent="0.35">
      <c r="A373" t="s">
        <v>15353</v>
      </c>
      <c r="D373" t="s">
        <v>5389</v>
      </c>
      <c r="E373" t="s">
        <v>43</v>
      </c>
      <c r="I373" s="26">
        <v>43101</v>
      </c>
      <c r="J373" s="28">
        <v>43101</v>
      </c>
      <c r="Q373" t="s">
        <v>44683</v>
      </c>
      <c r="R373" t="s">
        <v>45140</v>
      </c>
    </row>
    <row r="374" spans="1:18" x14ac:dyDescent="0.35">
      <c r="A374" t="s">
        <v>16036</v>
      </c>
      <c r="D374" t="s">
        <v>7067</v>
      </c>
      <c r="E374" t="s">
        <v>43</v>
      </c>
      <c r="I374" s="26">
        <v>43101</v>
      </c>
      <c r="J374" s="28">
        <v>43101</v>
      </c>
      <c r="Q374" t="s">
        <v>44683</v>
      </c>
      <c r="R374" t="s">
        <v>45141</v>
      </c>
    </row>
    <row r="375" spans="1:18" x14ac:dyDescent="0.35">
      <c r="A375" t="s">
        <v>45142</v>
      </c>
      <c r="D375" t="s">
        <v>5389</v>
      </c>
      <c r="E375" t="s">
        <v>43</v>
      </c>
      <c r="I375" s="26">
        <v>43101</v>
      </c>
      <c r="J375" s="28">
        <v>43101</v>
      </c>
      <c r="Q375" t="s">
        <v>44683</v>
      </c>
      <c r="R375" t="s">
        <v>45143</v>
      </c>
    </row>
    <row r="376" spans="1:18" x14ac:dyDescent="0.35">
      <c r="A376" t="s">
        <v>16037</v>
      </c>
      <c r="D376" t="s">
        <v>7067</v>
      </c>
      <c r="E376" t="s">
        <v>43</v>
      </c>
      <c r="I376" s="26">
        <v>43101</v>
      </c>
      <c r="J376" s="28">
        <v>43101</v>
      </c>
      <c r="Q376" t="s">
        <v>44683</v>
      </c>
      <c r="R376" t="s">
        <v>45144</v>
      </c>
    </row>
    <row r="377" spans="1:18" x14ac:dyDescent="0.35">
      <c r="A377" t="s">
        <v>16038</v>
      </c>
      <c r="D377" t="s">
        <v>7067</v>
      </c>
      <c r="E377" t="s">
        <v>43</v>
      </c>
      <c r="I377" s="26">
        <v>43101</v>
      </c>
      <c r="J377" s="28">
        <v>43101</v>
      </c>
      <c r="Q377" t="s">
        <v>44683</v>
      </c>
      <c r="R377" t="s">
        <v>45145</v>
      </c>
    </row>
    <row r="378" spans="1:18" x14ac:dyDescent="0.35">
      <c r="A378" t="s">
        <v>16039</v>
      </c>
      <c r="D378" t="s">
        <v>7067</v>
      </c>
      <c r="E378" t="s">
        <v>43</v>
      </c>
      <c r="I378" s="26">
        <v>43101</v>
      </c>
      <c r="J378" s="28">
        <v>43101</v>
      </c>
      <c r="Q378" t="s">
        <v>44683</v>
      </c>
      <c r="R378" t="s">
        <v>45146</v>
      </c>
    </row>
    <row r="379" spans="1:18" x14ac:dyDescent="0.35">
      <c r="A379" t="s">
        <v>15974</v>
      </c>
      <c r="D379" t="s">
        <v>6585</v>
      </c>
      <c r="E379" t="s">
        <v>43</v>
      </c>
      <c r="I379" s="26">
        <v>43101</v>
      </c>
      <c r="J379" s="28">
        <v>43101</v>
      </c>
      <c r="Q379" t="s">
        <v>44683</v>
      </c>
      <c r="R379" t="s">
        <v>45147</v>
      </c>
    </row>
    <row r="380" spans="1:18" x14ac:dyDescent="0.35">
      <c r="A380" t="s">
        <v>15448</v>
      </c>
      <c r="D380" t="s">
        <v>5594</v>
      </c>
      <c r="E380" t="s">
        <v>43</v>
      </c>
      <c r="I380" s="26">
        <v>43101</v>
      </c>
      <c r="J380" s="28">
        <v>43101</v>
      </c>
      <c r="Q380" t="s">
        <v>44683</v>
      </c>
      <c r="R380" t="s">
        <v>45148</v>
      </c>
    </row>
    <row r="381" spans="1:18" x14ac:dyDescent="0.35">
      <c r="A381" t="s">
        <v>14533</v>
      </c>
      <c r="D381" t="s">
        <v>1936</v>
      </c>
      <c r="E381" t="s">
        <v>43</v>
      </c>
      <c r="I381" s="26">
        <v>43101</v>
      </c>
      <c r="J381" s="28">
        <v>43101</v>
      </c>
      <c r="Q381" t="s">
        <v>44683</v>
      </c>
      <c r="R381" t="s">
        <v>45149</v>
      </c>
    </row>
    <row r="382" spans="1:18" x14ac:dyDescent="0.35">
      <c r="A382" t="s">
        <v>14969</v>
      </c>
      <c r="D382" t="s">
        <v>2987</v>
      </c>
      <c r="E382" t="s">
        <v>43</v>
      </c>
      <c r="I382" s="26">
        <v>43101</v>
      </c>
      <c r="J382" s="28">
        <v>43101</v>
      </c>
      <c r="Q382" t="s">
        <v>44683</v>
      </c>
      <c r="R382" t="s">
        <v>45150</v>
      </c>
    </row>
    <row r="383" spans="1:18" x14ac:dyDescent="0.35">
      <c r="A383" t="s">
        <v>45151</v>
      </c>
      <c r="D383" t="s">
        <v>6585</v>
      </c>
      <c r="E383" t="s">
        <v>43</v>
      </c>
      <c r="I383" s="26">
        <v>43101</v>
      </c>
      <c r="J383" s="28">
        <v>43101</v>
      </c>
      <c r="Q383" t="s">
        <v>44683</v>
      </c>
      <c r="R383" t="s">
        <v>45152</v>
      </c>
    </row>
    <row r="384" spans="1:18" x14ac:dyDescent="0.35">
      <c r="A384" t="s">
        <v>14091</v>
      </c>
      <c r="D384" t="s">
        <v>773</v>
      </c>
      <c r="E384" t="s">
        <v>43</v>
      </c>
      <c r="I384" s="26">
        <v>43101</v>
      </c>
      <c r="J384" s="28">
        <v>43101</v>
      </c>
      <c r="Q384" t="s">
        <v>44683</v>
      </c>
      <c r="R384" t="s">
        <v>45153</v>
      </c>
    </row>
    <row r="385" spans="1:18" x14ac:dyDescent="0.35">
      <c r="A385" t="s">
        <v>16054</v>
      </c>
      <c r="D385" t="s">
        <v>7067</v>
      </c>
      <c r="E385" t="s">
        <v>43</v>
      </c>
      <c r="I385" s="26">
        <v>43101</v>
      </c>
      <c r="J385" s="28">
        <v>43101</v>
      </c>
      <c r="Q385" t="s">
        <v>44683</v>
      </c>
      <c r="R385" t="s">
        <v>45154</v>
      </c>
    </row>
    <row r="386" spans="1:18" x14ac:dyDescent="0.35">
      <c r="A386" t="s">
        <v>45155</v>
      </c>
      <c r="D386" t="s">
        <v>773</v>
      </c>
      <c r="E386" t="s">
        <v>43</v>
      </c>
      <c r="I386" s="26">
        <v>43101</v>
      </c>
      <c r="J386" s="28">
        <v>43101</v>
      </c>
      <c r="Q386" t="s">
        <v>44683</v>
      </c>
      <c r="R386" t="s">
        <v>45156</v>
      </c>
    </row>
    <row r="387" spans="1:18" x14ac:dyDescent="0.35">
      <c r="A387" t="s">
        <v>16053</v>
      </c>
      <c r="D387" t="s">
        <v>7067</v>
      </c>
      <c r="E387" t="s">
        <v>43</v>
      </c>
      <c r="I387" s="26">
        <v>43101</v>
      </c>
      <c r="J387" s="28">
        <v>43101</v>
      </c>
      <c r="Q387" t="s">
        <v>44683</v>
      </c>
      <c r="R387" t="s">
        <v>45157</v>
      </c>
    </row>
    <row r="388" spans="1:18" x14ac:dyDescent="0.35">
      <c r="A388" t="s">
        <v>14972</v>
      </c>
      <c r="D388" t="s">
        <v>2987</v>
      </c>
      <c r="E388" t="s">
        <v>43</v>
      </c>
      <c r="I388" s="26">
        <v>43101</v>
      </c>
      <c r="J388" s="28">
        <v>43101</v>
      </c>
      <c r="Q388" t="s">
        <v>44683</v>
      </c>
      <c r="R388" t="s">
        <v>45158</v>
      </c>
    </row>
    <row r="389" spans="1:18" x14ac:dyDescent="0.35">
      <c r="A389" t="s">
        <v>15354</v>
      </c>
      <c r="D389" t="s">
        <v>5389</v>
      </c>
      <c r="E389" t="s">
        <v>43</v>
      </c>
      <c r="I389" s="26">
        <v>43101</v>
      </c>
      <c r="J389" s="28">
        <v>43101</v>
      </c>
      <c r="Q389" t="s">
        <v>44683</v>
      </c>
      <c r="R389" t="s">
        <v>45159</v>
      </c>
    </row>
    <row r="390" spans="1:18" x14ac:dyDescent="0.35">
      <c r="A390" t="s">
        <v>14973</v>
      </c>
      <c r="D390" t="s">
        <v>2987</v>
      </c>
      <c r="E390" t="s">
        <v>43</v>
      </c>
      <c r="I390" s="26">
        <v>43101</v>
      </c>
      <c r="J390" s="28">
        <v>43101</v>
      </c>
      <c r="Q390" t="s">
        <v>44683</v>
      </c>
      <c r="R390" t="s">
        <v>45160</v>
      </c>
    </row>
    <row r="391" spans="1:18" x14ac:dyDescent="0.35">
      <c r="A391" t="s">
        <v>45161</v>
      </c>
      <c r="D391" t="s">
        <v>5594</v>
      </c>
      <c r="E391" t="s">
        <v>43</v>
      </c>
      <c r="I391" s="26">
        <v>43101</v>
      </c>
      <c r="J391" s="28">
        <v>43101</v>
      </c>
      <c r="Q391" t="s">
        <v>44683</v>
      </c>
      <c r="R391" t="s">
        <v>45162</v>
      </c>
    </row>
    <row r="392" spans="1:18" x14ac:dyDescent="0.35">
      <c r="A392" t="s">
        <v>45163</v>
      </c>
      <c r="D392" t="s">
        <v>5389</v>
      </c>
      <c r="E392" t="s">
        <v>43</v>
      </c>
      <c r="I392" s="26">
        <v>43101</v>
      </c>
      <c r="J392" s="28">
        <v>43101</v>
      </c>
      <c r="Q392" t="s">
        <v>44683</v>
      </c>
      <c r="R392" t="s">
        <v>45164</v>
      </c>
    </row>
    <row r="393" spans="1:18" x14ac:dyDescent="0.35">
      <c r="A393" t="s">
        <v>14974</v>
      </c>
      <c r="D393" t="s">
        <v>2987</v>
      </c>
      <c r="E393" t="s">
        <v>43</v>
      </c>
      <c r="I393" s="26">
        <v>43101</v>
      </c>
      <c r="J393" s="28">
        <v>43101</v>
      </c>
      <c r="Q393" t="s">
        <v>44683</v>
      </c>
      <c r="R393" t="s">
        <v>45165</v>
      </c>
    </row>
    <row r="394" spans="1:18" x14ac:dyDescent="0.35">
      <c r="A394" t="s">
        <v>45166</v>
      </c>
      <c r="D394" t="s">
        <v>773</v>
      </c>
      <c r="E394" t="s">
        <v>43</v>
      </c>
      <c r="I394" s="26">
        <v>43101</v>
      </c>
      <c r="J394" s="28">
        <v>43101</v>
      </c>
      <c r="Q394" t="s">
        <v>44683</v>
      </c>
      <c r="R394" t="s">
        <v>45167</v>
      </c>
    </row>
    <row r="395" spans="1:18" x14ac:dyDescent="0.35">
      <c r="A395" t="s">
        <v>16040</v>
      </c>
      <c r="D395" t="s">
        <v>7067</v>
      </c>
      <c r="E395" t="s">
        <v>43</v>
      </c>
      <c r="I395" s="26">
        <v>43101</v>
      </c>
      <c r="J395" s="28">
        <v>43101</v>
      </c>
      <c r="Q395" t="s">
        <v>44683</v>
      </c>
      <c r="R395" t="s">
        <v>45168</v>
      </c>
    </row>
    <row r="396" spans="1:18" x14ac:dyDescent="0.35">
      <c r="A396" t="s">
        <v>15970</v>
      </c>
      <c r="D396" t="s">
        <v>6585</v>
      </c>
      <c r="E396" t="s">
        <v>43</v>
      </c>
      <c r="I396" s="26">
        <v>43101</v>
      </c>
      <c r="J396" s="28">
        <v>43101</v>
      </c>
      <c r="Q396" t="s">
        <v>44683</v>
      </c>
      <c r="R396" t="s">
        <v>45169</v>
      </c>
    </row>
    <row r="397" spans="1:18" x14ac:dyDescent="0.35">
      <c r="A397" t="s">
        <v>15355</v>
      </c>
      <c r="D397" t="s">
        <v>5389</v>
      </c>
      <c r="E397" t="s">
        <v>43</v>
      </c>
      <c r="I397" s="26">
        <v>43101</v>
      </c>
      <c r="J397" s="28">
        <v>43101</v>
      </c>
      <c r="Q397" t="s">
        <v>44683</v>
      </c>
      <c r="R397" t="s">
        <v>45170</v>
      </c>
    </row>
    <row r="398" spans="1:18" x14ac:dyDescent="0.35">
      <c r="A398" t="s">
        <v>16041</v>
      </c>
      <c r="D398" t="s">
        <v>7067</v>
      </c>
      <c r="E398" t="s">
        <v>43</v>
      </c>
      <c r="I398" s="26">
        <v>43101</v>
      </c>
      <c r="J398" s="28">
        <v>43101</v>
      </c>
      <c r="Q398" t="s">
        <v>44683</v>
      </c>
      <c r="R398" t="s">
        <v>45171</v>
      </c>
    </row>
    <row r="399" spans="1:18" x14ac:dyDescent="0.35">
      <c r="A399" t="s">
        <v>16056</v>
      </c>
      <c r="D399" t="s">
        <v>7067</v>
      </c>
      <c r="E399" t="s">
        <v>43</v>
      </c>
      <c r="I399" s="26">
        <v>43101</v>
      </c>
      <c r="J399" s="28">
        <v>43101</v>
      </c>
      <c r="Q399" t="s">
        <v>44683</v>
      </c>
      <c r="R399" t="s">
        <v>45172</v>
      </c>
    </row>
    <row r="400" spans="1:18" x14ac:dyDescent="0.35">
      <c r="A400" t="s">
        <v>15449</v>
      </c>
      <c r="D400" t="s">
        <v>5594</v>
      </c>
      <c r="E400" t="s">
        <v>43</v>
      </c>
      <c r="I400" s="26">
        <v>43101</v>
      </c>
      <c r="J400" s="28">
        <v>43101</v>
      </c>
      <c r="Q400" t="s">
        <v>44683</v>
      </c>
      <c r="R400" t="s">
        <v>45173</v>
      </c>
    </row>
    <row r="401" spans="1:18" x14ac:dyDescent="0.35">
      <c r="A401" t="s">
        <v>16057</v>
      </c>
      <c r="D401" t="s">
        <v>7067</v>
      </c>
      <c r="E401" t="s">
        <v>43</v>
      </c>
      <c r="I401" s="26">
        <v>43101</v>
      </c>
      <c r="J401" s="28">
        <v>43101</v>
      </c>
      <c r="Q401" t="s">
        <v>44683</v>
      </c>
      <c r="R401" t="s">
        <v>45174</v>
      </c>
    </row>
    <row r="402" spans="1:18" x14ac:dyDescent="0.35">
      <c r="A402" t="s">
        <v>14526</v>
      </c>
      <c r="D402" t="s">
        <v>1935</v>
      </c>
      <c r="E402" t="s">
        <v>43</v>
      </c>
      <c r="I402" s="26">
        <v>43101</v>
      </c>
      <c r="J402" s="28">
        <v>43101</v>
      </c>
      <c r="Q402" t="s">
        <v>44683</v>
      </c>
      <c r="R402" t="s">
        <v>45175</v>
      </c>
    </row>
    <row r="403" spans="1:18" x14ac:dyDescent="0.35">
      <c r="A403" t="s">
        <v>14955</v>
      </c>
      <c r="D403" t="s">
        <v>2986</v>
      </c>
      <c r="E403" t="s">
        <v>43</v>
      </c>
      <c r="I403" s="26">
        <v>43101</v>
      </c>
      <c r="J403" s="28">
        <v>43101</v>
      </c>
      <c r="Q403" t="s">
        <v>44683</v>
      </c>
      <c r="R403" t="s">
        <v>45176</v>
      </c>
    </row>
    <row r="404" spans="1:18" x14ac:dyDescent="0.35">
      <c r="A404" t="s">
        <v>14522</v>
      </c>
      <c r="D404" t="s">
        <v>1934</v>
      </c>
      <c r="E404" t="s">
        <v>43</v>
      </c>
      <c r="I404" s="26">
        <v>43101</v>
      </c>
      <c r="J404" s="28">
        <v>43101</v>
      </c>
      <c r="Q404" t="s">
        <v>44683</v>
      </c>
      <c r="R404" t="s">
        <v>45177</v>
      </c>
    </row>
    <row r="405" spans="1:18" x14ac:dyDescent="0.35">
      <c r="A405" t="s">
        <v>16058</v>
      </c>
      <c r="D405" t="s">
        <v>7067</v>
      </c>
      <c r="E405" t="s">
        <v>43</v>
      </c>
      <c r="I405" s="26">
        <v>43101</v>
      </c>
      <c r="J405" s="28">
        <v>43101</v>
      </c>
      <c r="Q405" t="s">
        <v>44683</v>
      </c>
      <c r="R405" t="s">
        <v>45178</v>
      </c>
    </row>
    <row r="406" spans="1:18" x14ac:dyDescent="0.35">
      <c r="A406" t="s">
        <v>15293</v>
      </c>
      <c r="D406" t="s">
        <v>5360</v>
      </c>
      <c r="E406" t="s">
        <v>43</v>
      </c>
      <c r="I406" s="26">
        <v>43101</v>
      </c>
      <c r="J406" s="28">
        <v>43101</v>
      </c>
      <c r="Q406" t="s">
        <v>44683</v>
      </c>
      <c r="R406" t="s">
        <v>45179</v>
      </c>
    </row>
    <row r="407" spans="1:18" x14ac:dyDescent="0.35">
      <c r="A407" t="s">
        <v>15333</v>
      </c>
      <c r="D407" t="s">
        <v>5363</v>
      </c>
      <c r="E407" t="s">
        <v>43</v>
      </c>
      <c r="I407" s="26">
        <v>43101</v>
      </c>
      <c r="J407" s="28">
        <v>43101</v>
      </c>
      <c r="Q407" t="s">
        <v>44683</v>
      </c>
      <c r="R407" t="s">
        <v>45180</v>
      </c>
    </row>
    <row r="408" spans="1:18" x14ac:dyDescent="0.35">
      <c r="A408" t="s">
        <v>14981</v>
      </c>
      <c r="D408" t="s">
        <v>2988</v>
      </c>
      <c r="E408" t="s">
        <v>43</v>
      </c>
      <c r="I408" s="26">
        <v>43101</v>
      </c>
      <c r="J408" s="28">
        <v>43101</v>
      </c>
      <c r="Q408" t="s">
        <v>44683</v>
      </c>
      <c r="R408" t="s">
        <v>45181</v>
      </c>
    </row>
    <row r="409" spans="1:18" x14ac:dyDescent="0.35">
      <c r="A409" t="s">
        <v>14539</v>
      </c>
      <c r="D409" t="s">
        <v>1936</v>
      </c>
      <c r="E409" t="s">
        <v>43</v>
      </c>
      <c r="I409" s="26">
        <v>43101</v>
      </c>
      <c r="J409" s="28">
        <v>43101</v>
      </c>
      <c r="Q409" t="s">
        <v>44683</v>
      </c>
      <c r="R409" t="s">
        <v>45182</v>
      </c>
    </row>
    <row r="410" spans="1:18" x14ac:dyDescent="0.35">
      <c r="A410" t="s">
        <v>15294</v>
      </c>
      <c r="D410" t="s">
        <v>5360</v>
      </c>
      <c r="E410" t="s">
        <v>43</v>
      </c>
      <c r="I410" s="26">
        <v>43101</v>
      </c>
      <c r="J410" s="28">
        <v>43101</v>
      </c>
      <c r="Q410" t="s">
        <v>44683</v>
      </c>
      <c r="R410" t="s">
        <v>45183</v>
      </c>
    </row>
    <row r="411" spans="1:18" x14ac:dyDescent="0.35">
      <c r="A411" t="s">
        <v>15295</v>
      </c>
      <c r="D411" t="s">
        <v>5360</v>
      </c>
      <c r="E411" t="s">
        <v>43</v>
      </c>
      <c r="I411" s="26">
        <v>43101</v>
      </c>
      <c r="J411" s="28">
        <v>43101</v>
      </c>
      <c r="Q411" t="s">
        <v>44683</v>
      </c>
      <c r="R411" t="s">
        <v>45184</v>
      </c>
    </row>
    <row r="412" spans="1:18" x14ac:dyDescent="0.35">
      <c r="A412" t="s">
        <v>45185</v>
      </c>
      <c r="D412" t="s">
        <v>867</v>
      </c>
      <c r="E412" t="s">
        <v>43</v>
      </c>
      <c r="I412" s="26">
        <v>43101</v>
      </c>
      <c r="J412" s="28">
        <v>43101</v>
      </c>
      <c r="Q412" t="s">
        <v>44683</v>
      </c>
      <c r="R412" t="s">
        <v>45186</v>
      </c>
    </row>
    <row r="413" spans="1:18" x14ac:dyDescent="0.35">
      <c r="A413" t="s">
        <v>45187</v>
      </c>
      <c r="D413" t="s">
        <v>1742</v>
      </c>
      <c r="E413" t="s">
        <v>43</v>
      </c>
      <c r="I413" s="26">
        <v>43101</v>
      </c>
      <c r="J413" s="28">
        <v>43101</v>
      </c>
      <c r="Q413" t="s">
        <v>44683</v>
      </c>
      <c r="R413" t="s">
        <v>45188</v>
      </c>
    </row>
    <row r="414" spans="1:18" x14ac:dyDescent="0.35">
      <c r="A414" t="s">
        <v>15328</v>
      </c>
      <c r="D414" t="s">
        <v>5363</v>
      </c>
      <c r="E414" t="s">
        <v>43</v>
      </c>
      <c r="I414" s="26">
        <v>43101</v>
      </c>
      <c r="J414" s="28">
        <v>43101</v>
      </c>
      <c r="Q414" t="s">
        <v>44683</v>
      </c>
      <c r="R414" t="s">
        <v>45189</v>
      </c>
    </row>
    <row r="415" spans="1:18" x14ac:dyDescent="0.35">
      <c r="A415" t="s">
        <v>14534</v>
      </c>
      <c r="D415" t="s">
        <v>1936</v>
      </c>
      <c r="E415" t="s">
        <v>43</v>
      </c>
      <c r="I415" s="26">
        <v>43101</v>
      </c>
      <c r="J415" s="28">
        <v>43101</v>
      </c>
      <c r="Q415" t="s">
        <v>44683</v>
      </c>
      <c r="R415" t="s">
        <v>45190</v>
      </c>
    </row>
    <row r="416" spans="1:18" x14ac:dyDescent="0.35">
      <c r="A416" t="s">
        <v>45191</v>
      </c>
      <c r="D416" t="s">
        <v>867</v>
      </c>
      <c r="E416" t="s">
        <v>43</v>
      </c>
      <c r="I416" s="26">
        <v>43101</v>
      </c>
      <c r="J416" s="28">
        <v>43101</v>
      </c>
      <c r="Q416" t="s">
        <v>44683</v>
      </c>
      <c r="R416" t="s">
        <v>45192</v>
      </c>
    </row>
    <row r="417" spans="1:18" x14ac:dyDescent="0.35">
      <c r="A417" t="s">
        <v>14086</v>
      </c>
      <c r="D417" t="s">
        <v>772</v>
      </c>
      <c r="E417" t="s">
        <v>43</v>
      </c>
      <c r="I417" s="26">
        <v>43101</v>
      </c>
      <c r="J417" s="28">
        <v>43101</v>
      </c>
      <c r="Q417" t="s">
        <v>44683</v>
      </c>
      <c r="R417" t="s">
        <v>45193</v>
      </c>
    </row>
    <row r="418" spans="1:18" x14ac:dyDescent="0.35">
      <c r="A418" t="s">
        <v>45194</v>
      </c>
      <c r="D418" t="s">
        <v>867</v>
      </c>
      <c r="E418" t="s">
        <v>43</v>
      </c>
      <c r="I418" s="26">
        <v>43101</v>
      </c>
      <c r="J418" s="28">
        <v>43101</v>
      </c>
      <c r="Q418" t="s">
        <v>44683</v>
      </c>
      <c r="R418" t="s">
        <v>45195</v>
      </c>
    </row>
    <row r="419" spans="1:18" x14ac:dyDescent="0.35">
      <c r="A419" t="s">
        <v>45196</v>
      </c>
      <c r="D419" t="s">
        <v>769</v>
      </c>
      <c r="E419" t="s">
        <v>43</v>
      </c>
      <c r="I419" s="26">
        <v>43101</v>
      </c>
      <c r="J419" s="28">
        <v>43101</v>
      </c>
      <c r="Q419" t="s">
        <v>44683</v>
      </c>
      <c r="R419" t="s">
        <v>45197</v>
      </c>
    </row>
    <row r="420" spans="1:18" x14ac:dyDescent="0.35">
      <c r="A420" t="s">
        <v>45198</v>
      </c>
      <c r="D420" t="s">
        <v>5360</v>
      </c>
      <c r="E420" t="s">
        <v>43</v>
      </c>
      <c r="I420" s="26">
        <v>43101</v>
      </c>
      <c r="J420" s="28">
        <v>43101</v>
      </c>
      <c r="Q420" t="s">
        <v>44683</v>
      </c>
      <c r="R420" t="s">
        <v>45199</v>
      </c>
    </row>
    <row r="421" spans="1:18" x14ac:dyDescent="0.35">
      <c r="A421" t="s">
        <v>14956</v>
      </c>
      <c r="D421" t="s">
        <v>2986</v>
      </c>
      <c r="E421" t="s">
        <v>43</v>
      </c>
      <c r="I421" s="26">
        <v>43101</v>
      </c>
      <c r="J421" s="28">
        <v>43101</v>
      </c>
      <c r="Q421" t="s">
        <v>44683</v>
      </c>
      <c r="R421" t="s">
        <v>45200</v>
      </c>
    </row>
    <row r="422" spans="1:18" x14ac:dyDescent="0.35">
      <c r="A422" t="s">
        <v>45201</v>
      </c>
      <c r="D422" t="s">
        <v>3516</v>
      </c>
      <c r="E422" t="s">
        <v>43</v>
      </c>
      <c r="I422" s="26">
        <v>43101</v>
      </c>
      <c r="J422" s="28">
        <v>43101</v>
      </c>
      <c r="Q422" t="s">
        <v>44683</v>
      </c>
      <c r="R422" t="s">
        <v>45202</v>
      </c>
    </row>
    <row r="423" spans="1:18" x14ac:dyDescent="0.35">
      <c r="A423" t="s">
        <v>14085</v>
      </c>
      <c r="D423" t="s">
        <v>772</v>
      </c>
      <c r="E423" t="s">
        <v>43</v>
      </c>
      <c r="I423" s="26">
        <v>43101</v>
      </c>
      <c r="J423" s="28">
        <v>43101</v>
      </c>
      <c r="Q423" t="s">
        <v>44683</v>
      </c>
      <c r="R423" t="s">
        <v>45203</v>
      </c>
    </row>
    <row r="424" spans="1:18" x14ac:dyDescent="0.35">
      <c r="A424" t="s">
        <v>15296</v>
      </c>
      <c r="D424" t="s">
        <v>5360</v>
      </c>
      <c r="E424" t="s">
        <v>43</v>
      </c>
      <c r="I424" s="26">
        <v>43101</v>
      </c>
      <c r="J424" s="28">
        <v>43101</v>
      </c>
      <c r="Q424" t="s">
        <v>44683</v>
      </c>
      <c r="R424" t="s">
        <v>45204</v>
      </c>
    </row>
    <row r="425" spans="1:18" x14ac:dyDescent="0.35">
      <c r="A425" t="s">
        <v>14280</v>
      </c>
      <c r="D425" t="s">
        <v>1742</v>
      </c>
      <c r="E425" t="s">
        <v>43</v>
      </c>
      <c r="I425" s="26">
        <v>43101</v>
      </c>
      <c r="J425" s="28">
        <v>43101</v>
      </c>
      <c r="Q425" t="s">
        <v>44683</v>
      </c>
      <c r="R425" t="s">
        <v>45205</v>
      </c>
    </row>
    <row r="426" spans="1:18" x14ac:dyDescent="0.35">
      <c r="A426" t="s">
        <v>15297</v>
      </c>
      <c r="D426" t="s">
        <v>5360</v>
      </c>
      <c r="E426" t="s">
        <v>43</v>
      </c>
      <c r="I426" s="26">
        <v>43101</v>
      </c>
      <c r="J426" s="28">
        <v>43101</v>
      </c>
      <c r="Q426" t="s">
        <v>44683</v>
      </c>
      <c r="R426" t="s">
        <v>45206</v>
      </c>
    </row>
    <row r="427" spans="1:18" x14ac:dyDescent="0.35">
      <c r="A427" t="s">
        <v>15330</v>
      </c>
      <c r="D427" t="s">
        <v>5363</v>
      </c>
      <c r="E427" t="s">
        <v>43</v>
      </c>
      <c r="I427" s="26">
        <v>43101</v>
      </c>
      <c r="J427" s="28">
        <v>43101</v>
      </c>
      <c r="Q427" t="s">
        <v>44683</v>
      </c>
      <c r="R427" t="s">
        <v>45207</v>
      </c>
    </row>
    <row r="428" spans="1:18" x14ac:dyDescent="0.35">
      <c r="A428" t="s">
        <v>45208</v>
      </c>
      <c r="D428" t="s">
        <v>2984</v>
      </c>
      <c r="E428" t="s">
        <v>43</v>
      </c>
      <c r="I428" s="26">
        <v>43101</v>
      </c>
      <c r="J428" s="28">
        <v>43101</v>
      </c>
      <c r="Q428" t="s">
        <v>44683</v>
      </c>
      <c r="R428" t="s">
        <v>45209</v>
      </c>
    </row>
    <row r="429" spans="1:18" x14ac:dyDescent="0.35">
      <c r="A429" t="s">
        <v>15089</v>
      </c>
      <c r="D429" t="s">
        <v>3516</v>
      </c>
      <c r="E429" t="s">
        <v>43</v>
      </c>
      <c r="I429" s="26">
        <v>43101</v>
      </c>
      <c r="J429" s="28">
        <v>43101</v>
      </c>
      <c r="Q429" t="s">
        <v>44683</v>
      </c>
      <c r="R429" t="s">
        <v>45210</v>
      </c>
    </row>
    <row r="430" spans="1:18" x14ac:dyDescent="0.35">
      <c r="A430" t="s">
        <v>15309</v>
      </c>
      <c r="D430" t="s">
        <v>5360</v>
      </c>
      <c r="E430" t="s">
        <v>43</v>
      </c>
      <c r="I430" s="26">
        <v>43101</v>
      </c>
      <c r="J430" s="28">
        <v>43101</v>
      </c>
      <c r="Q430" t="s">
        <v>44683</v>
      </c>
      <c r="R430" t="s">
        <v>45211</v>
      </c>
    </row>
    <row r="431" spans="1:18" x14ac:dyDescent="0.35">
      <c r="A431" t="s">
        <v>14542</v>
      </c>
      <c r="D431" t="s">
        <v>1936</v>
      </c>
      <c r="E431" t="s">
        <v>43</v>
      </c>
      <c r="I431" s="26">
        <v>43101</v>
      </c>
      <c r="J431" s="28">
        <v>43101</v>
      </c>
      <c r="Q431" t="s">
        <v>44683</v>
      </c>
      <c r="R431" t="s">
        <v>45212</v>
      </c>
    </row>
    <row r="432" spans="1:18" x14ac:dyDescent="0.35">
      <c r="A432" t="s">
        <v>45213</v>
      </c>
      <c r="D432" t="s">
        <v>5360</v>
      </c>
      <c r="E432" t="s">
        <v>43</v>
      </c>
      <c r="I432" s="26">
        <v>43101</v>
      </c>
      <c r="J432" s="28">
        <v>43101</v>
      </c>
      <c r="Q432" t="s">
        <v>44683</v>
      </c>
      <c r="R432" t="s">
        <v>45214</v>
      </c>
    </row>
    <row r="433" spans="1:18" x14ac:dyDescent="0.35">
      <c r="A433" t="s">
        <v>15310</v>
      </c>
      <c r="D433" t="s">
        <v>5360</v>
      </c>
      <c r="E433" t="s">
        <v>43</v>
      </c>
      <c r="I433" s="26">
        <v>43101</v>
      </c>
      <c r="J433" s="28">
        <v>43101</v>
      </c>
      <c r="Q433" t="s">
        <v>44683</v>
      </c>
      <c r="R433" t="s">
        <v>45215</v>
      </c>
    </row>
    <row r="434" spans="1:18" x14ac:dyDescent="0.35">
      <c r="A434" t="s">
        <v>15086</v>
      </c>
      <c r="D434" t="s">
        <v>3516</v>
      </c>
      <c r="E434" t="s">
        <v>43</v>
      </c>
      <c r="I434" s="26">
        <v>43101</v>
      </c>
      <c r="J434" s="28">
        <v>43101</v>
      </c>
      <c r="Q434" t="s">
        <v>44683</v>
      </c>
      <c r="R434" t="s">
        <v>45216</v>
      </c>
    </row>
    <row r="435" spans="1:18" x14ac:dyDescent="0.35">
      <c r="A435" t="s">
        <v>15087</v>
      </c>
      <c r="D435" t="s">
        <v>3516</v>
      </c>
      <c r="E435" t="s">
        <v>43</v>
      </c>
      <c r="I435" s="26">
        <v>43101</v>
      </c>
      <c r="J435" s="28">
        <v>43101</v>
      </c>
      <c r="Q435" t="s">
        <v>44683</v>
      </c>
      <c r="R435" t="s">
        <v>45217</v>
      </c>
    </row>
    <row r="436" spans="1:18" x14ac:dyDescent="0.35">
      <c r="A436" t="s">
        <v>15312</v>
      </c>
      <c r="D436" t="s">
        <v>5360</v>
      </c>
      <c r="E436" t="s">
        <v>43</v>
      </c>
      <c r="I436" s="26">
        <v>43101</v>
      </c>
      <c r="J436" s="28">
        <v>43101</v>
      </c>
      <c r="Q436" t="s">
        <v>44683</v>
      </c>
      <c r="R436" t="s">
        <v>45218</v>
      </c>
    </row>
    <row r="437" spans="1:18" x14ac:dyDescent="0.35">
      <c r="A437" t="s">
        <v>14599</v>
      </c>
      <c r="D437" t="s">
        <v>1950</v>
      </c>
      <c r="E437" t="s">
        <v>43</v>
      </c>
      <c r="I437" s="26">
        <v>43101</v>
      </c>
      <c r="J437" s="28">
        <v>43101</v>
      </c>
      <c r="Q437" t="s">
        <v>44683</v>
      </c>
      <c r="R437" t="s">
        <v>45219</v>
      </c>
    </row>
    <row r="438" spans="1:18" x14ac:dyDescent="0.35">
      <c r="A438" t="s">
        <v>15313</v>
      </c>
      <c r="D438" t="s">
        <v>5360</v>
      </c>
      <c r="E438" t="s">
        <v>43</v>
      </c>
      <c r="I438" s="26">
        <v>43101</v>
      </c>
      <c r="J438" s="28">
        <v>43101</v>
      </c>
      <c r="Q438" t="s">
        <v>44683</v>
      </c>
      <c r="R438" t="s">
        <v>45220</v>
      </c>
    </row>
    <row r="439" spans="1:18" x14ac:dyDescent="0.35">
      <c r="A439" t="s">
        <v>15298</v>
      </c>
      <c r="D439" t="s">
        <v>5360</v>
      </c>
      <c r="E439" t="s">
        <v>43</v>
      </c>
      <c r="I439" s="26">
        <v>43101</v>
      </c>
      <c r="J439" s="28">
        <v>43101</v>
      </c>
      <c r="Q439" t="s">
        <v>44683</v>
      </c>
      <c r="R439" t="s">
        <v>45221</v>
      </c>
    </row>
    <row r="440" spans="1:18" x14ac:dyDescent="0.35">
      <c r="A440" t="s">
        <v>45222</v>
      </c>
      <c r="D440" t="s">
        <v>5360</v>
      </c>
      <c r="E440" t="s">
        <v>43</v>
      </c>
      <c r="I440" s="26">
        <v>43101</v>
      </c>
      <c r="J440" s="28">
        <v>43101</v>
      </c>
      <c r="Q440" t="s">
        <v>44683</v>
      </c>
      <c r="R440" t="s">
        <v>45223</v>
      </c>
    </row>
    <row r="441" spans="1:18" x14ac:dyDescent="0.35">
      <c r="A441" t="s">
        <v>16060</v>
      </c>
      <c r="D441" t="s">
        <v>7067</v>
      </c>
      <c r="E441" t="s">
        <v>43</v>
      </c>
      <c r="I441" s="26">
        <v>43101</v>
      </c>
      <c r="J441" s="28">
        <v>43101</v>
      </c>
      <c r="Q441" t="s">
        <v>44683</v>
      </c>
      <c r="R441" t="s">
        <v>45224</v>
      </c>
    </row>
    <row r="442" spans="1:18" x14ac:dyDescent="0.35">
      <c r="A442" t="s">
        <v>14528</v>
      </c>
      <c r="D442" t="s">
        <v>1935</v>
      </c>
      <c r="E442" t="s">
        <v>43</v>
      </c>
      <c r="I442" s="26">
        <v>43101</v>
      </c>
      <c r="J442" s="28">
        <v>43101</v>
      </c>
      <c r="Q442" t="s">
        <v>44683</v>
      </c>
      <c r="R442" t="s">
        <v>45225</v>
      </c>
    </row>
    <row r="443" spans="1:18" x14ac:dyDescent="0.35">
      <c r="A443" t="s">
        <v>15315</v>
      </c>
      <c r="D443" t="s">
        <v>5360</v>
      </c>
      <c r="E443" t="s">
        <v>43</v>
      </c>
      <c r="I443" s="26">
        <v>43101</v>
      </c>
      <c r="J443" s="28">
        <v>43101</v>
      </c>
      <c r="Q443" t="s">
        <v>44683</v>
      </c>
      <c r="R443" t="s">
        <v>45226</v>
      </c>
    </row>
    <row r="444" spans="1:18" x14ac:dyDescent="0.35">
      <c r="A444" t="s">
        <v>15314</v>
      </c>
      <c r="D444" t="s">
        <v>5360</v>
      </c>
      <c r="E444" t="s">
        <v>43</v>
      </c>
      <c r="I444" s="26">
        <v>43101</v>
      </c>
      <c r="J444" s="28">
        <v>43101</v>
      </c>
      <c r="Q444" t="s">
        <v>44683</v>
      </c>
      <c r="R444" t="s">
        <v>45227</v>
      </c>
    </row>
    <row r="445" spans="1:18" x14ac:dyDescent="0.35">
      <c r="A445" t="s">
        <v>14082</v>
      </c>
      <c r="D445" t="s">
        <v>771</v>
      </c>
      <c r="E445" t="s">
        <v>43</v>
      </c>
      <c r="I445" s="26">
        <v>43101</v>
      </c>
      <c r="J445" s="28">
        <v>43101</v>
      </c>
      <c r="Q445" t="s">
        <v>44683</v>
      </c>
      <c r="R445" t="s">
        <v>45228</v>
      </c>
    </row>
    <row r="446" spans="1:18" x14ac:dyDescent="0.35">
      <c r="A446" t="s">
        <v>14087</v>
      </c>
      <c r="D446" t="s">
        <v>772</v>
      </c>
      <c r="E446" t="s">
        <v>43</v>
      </c>
      <c r="I446" s="26">
        <v>43101</v>
      </c>
      <c r="J446" s="28">
        <v>43101</v>
      </c>
      <c r="Q446" t="s">
        <v>44683</v>
      </c>
      <c r="R446" t="s">
        <v>45229</v>
      </c>
    </row>
    <row r="447" spans="1:18" x14ac:dyDescent="0.35">
      <c r="A447" t="s">
        <v>15090</v>
      </c>
      <c r="D447" t="s">
        <v>3516</v>
      </c>
      <c r="E447" t="s">
        <v>43</v>
      </c>
      <c r="I447" s="26">
        <v>43101</v>
      </c>
      <c r="J447" s="28">
        <v>43101</v>
      </c>
      <c r="Q447" t="s">
        <v>44683</v>
      </c>
      <c r="R447" t="s">
        <v>45230</v>
      </c>
    </row>
    <row r="448" spans="1:18" x14ac:dyDescent="0.35">
      <c r="A448" t="s">
        <v>14983</v>
      </c>
      <c r="D448" t="s">
        <v>2989</v>
      </c>
      <c r="E448" t="s">
        <v>43</v>
      </c>
      <c r="I448" s="26">
        <v>43101</v>
      </c>
      <c r="J448" s="28">
        <v>43101</v>
      </c>
      <c r="Q448" t="s">
        <v>44683</v>
      </c>
      <c r="R448" t="s">
        <v>45231</v>
      </c>
    </row>
    <row r="449" spans="1:18" x14ac:dyDescent="0.35">
      <c r="A449" t="s">
        <v>45232</v>
      </c>
      <c r="D449" t="s">
        <v>772</v>
      </c>
      <c r="E449" t="s">
        <v>43</v>
      </c>
      <c r="I449" s="26">
        <v>43101</v>
      </c>
      <c r="J449" s="28">
        <v>43101</v>
      </c>
      <c r="Q449" t="s">
        <v>44683</v>
      </c>
      <c r="R449" t="s">
        <v>45233</v>
      </c>
    </row>
    <row r="450" spans="1:18" x14ac:dyDescent="0.35">
      <c r="A450" t="s">
        <v>16049</v>
      </c>
      <c r="D450" t="s">
        <v>7067</v>
      </c>
      <c r="E450" t="s">
        <v>43</v>
      </c>
      <c r="I450" s="26">
        <v>43101</v>
      </c>
      <c r="J450" s="28">
        <v>43101</v>
      </c>
      <c r="Q450" t="s">
        <v>44683</v>
      </c>
      <c r="R450" t="s">
        <v>45234</v>
      </c>
    </row>
    <row r="451" spans="1:18" x14ac:dyDescent="0.35">
      <c r="A451" t="s">
        <v>14281</v>
      </c>
      <c r="D451" t="s">
        <v>1742</v>
      </c>
      <c r="E451" t="s">
        <v>43</v>
      </c>
      <c r="I451" s="26">
        <v>43101</v>
      </c>
      <c r="J451" s="28">
        <v>43101</v>
      </c>
      <c r="Q451" t="s">
        <v>44683</v>
      </c>
      <c r="R451" t="s">
        <v>45235</v>
      </c>
    </row>
    <row r="452" spans="1:18" x14ac:dyDescent="0.35">
      <c r="A452" t="s">
        <v>15316</v>
      </c>
      <c r="D452" t="s">
        <v>5360</v>
      </c>
      <c r="E452" t="s">
        <v>43</v>
      </c>
      <c r="I452" s="26">
        <v>43101</v>
      </c>
      <c r="J452" s="28">
        <v>43101</v>
      </c>
      <c r="Q452" t="s">
        <v>44683</v>
      </c>
      <c r="R452" t="s">
        <v>45236</v>
      </c>
    </row>
    <row r="453" spans="1:18" x14ac:dyDescent="0.35">
      <c r="A453" t="s">
        <v>14535</v>
      </c>
      <c r="D453" t="s">
        <v>1936</v>
      </c>
      <c r="E453" t="s">
        <v>43</v>
      </c>
      <c r="I453" s="26">
        <v>43101</v>
      </c>
      <c r="J453" s="28">
        <v>43101</v>
      </c>
      <c r="Q453" t="s">
        <v>44683</v>
      </c>
      <c r="R453" t="s">
        <v>45237</v>
      </c>
    </row>
    <row r="454" spans="1:18" x14ac:dyDescent="0.35">
      <c r="A454" t="s">
        <v>45238</v>
      </c>
      <c r="D454" t="s">
        <v>769</v>
      </c>
      <c r="E454" t="s">
        <v>43</v>
      </c>
      <c r="I454" s="26">
        <v>43101</v>
      </c>
      <c r="J454" s="28">
        <v>43101</v>
      </c>
      <c r="Q454" t="s">
        <v>44683</v>
      </c>
      <c r="R454" t="s">
        <v>45239</v>
      </c>
    </row>
    <row r="455" spans="1:18" x14ac:dyDescent="0.35">
      <c r="A455" t="s">
        <v>45240</v>
      </c>
      <c r="D455" t="s">
        <v>1742</v>
      </c>
      <c r="E455" t="s">
        <v>43</v>
      </c>
      <c r="I455" s="26">
        <v>43101</v>
      </c>
      <c r="J455" s="28">
        <v>43101</v>
      </c>
      <c r="Q455" t="s">
        <v>44683</v>
      </c>
      <c r="R455" t="s">
        <v>45241</v>
      </c>
    </row>
    <row r="456" spans="1:18" x14ac:dyDescent="0.35">
      <c r="A456" t="s">
        <v>15317</v>
      </c>
      <c r="D456" t="s">
        <v>5360</v>
      </c>
      <c r="E456" t="s">
        <v>43</v>
      </c>
      <c r="I456" s="26">
        <v>43101</v>
      </c>
      <c r="J456" s="28">
        <v>43101</v>
      </c>
      <c r="Q456" t="s">
        <v>44683</v>
      </c>
      <c r="R456" t="s">
        <v>45242</v>
      </c>
    </row>
    <row r="457" spans="1:18" x14ac:dyDescent="0.35">
      <c r="A457" t="s">
        <v>16061</v>
      </c>
      <c r="D457" t="s">
        <v>7067</v>
      </c>
      <c r="E457" t="s">
        <v>43</v>
      </c>
      <c r="I457" s="26">
        <v>43101</v>
      </c>
      <c r="J457" s="28">
        <v>43101</v>
      </c>
      <c r="Q457" t="s">
        <v>44683</v>
      </c>
      <c r="R457" t="s">
        <v>45243</v>
      </c>
    </row>
    <row r="458" spans="1:18" x14ac:dyDescent="0.35">
      <c r="A458" t="s">
        <v>14951</v>
      </c>
      <c r="D458" t="s">
        <v>2985</v>
      </c>
      <c r="E458" t="s">
        <v>43</v>
      </c>
      <c r="I458" s="26">
        <v>43101</v>
      </c>
      <c r="J458" s="28">
        <v>43101</v>
      </c>
      <c r="Q458" t="s">
        <v>44683</v>
      </c>
      <c r="R458" t="s">
        <v>45244</v>
      </c>
    </row>
    <row r="459" spans="1:18" x14ac:dyDescent="0.35">
      <c r="A459" t="s">
        <v>14544</v>
      </c>
      <c r="D459" t="s">
        <v>1936</v>
      </c>
      <c r="E459" t="s">
        <v>43</v>
      </c>
      <c r="I459" s="26">
        <v>43101</v>
      </c>
      <c r="J459" s="28">
        <v>43101</v>
      </c>
      <c r="Q459" t="s">
        <v>44683</v>
      </c>
      <c r="R459" t="s">
        <v>45245</v>
      </c>
    </row>
    <row r="460" spans="1:18" x14ac:dyDescent="0.35">
      <c r="A460" t="s">
        <v>14284</v>
      </c>
      <c r="D460" t="s">
        <v>1742</v>
      </c>
      <c r="E460" t="s">
        <v>43</v>
      </c>
      <c r="I460" s="26">
        <v>43101</v>
      </c>
      <c r="J460" s="28">
        <v>43101</v>
      </c>
      <c r="Q460" t="s">
        <v>44683</v>
      </c>
      <c r="R460" t="s">
        <v>45246</v>
      </c>
    </row>
    <row r="461" spans="1:18" x14ac:dyDescent="0.35">
      <c r="A461" t="s">
        <v>45247</v>
      </c>
      <c r="D461" t="s">
        <v>771</v>
      </c>
      <c r="E461" t="s">
        <v>43</v>
      </c>
      <c r="I461" s="26">
        <v>43101</v>
      </c>
      <c r="J461" s="28">
        <v>43101</v>
      </c>
      <c r="Q461" t="s">
        <v>44683</v>
      </c>
      <c r="R461" t="s">
        <v>45248</v>
      </c>
    </row>
    <row r="462" spans="1:18" x14ac:dyDescent="0.35">
      <c r="A462" t="s">
        <v>15299</v>
      </c>
      <c r="D462" t="s">
        <v>5360</v>
      </c>
      <c r="E462" t="s">
        <v>43</v>
      </c>
      <c r="I462" s="26">
        <v>43101</v>
      </c>
      <c r="J462" s="28">
        <v>43101</v>
      </c>
      <c r="Q462" t="s">
        <v>44683</v>
      </c>
      <c r="R462" t="s">
        <v>45249</v>
      </c>
    </row>
    <row r="463" spans="1:18" x14ac:dyDescent="0.35">
      <c r="A463" t="s">
        <v>45250</v>
      </c>
      <c r="D463" t="s">
        <v>2984</v>
      </c>
      <c r="E463" t="s">
        <v>43</v>
      </c>
      <c r="I463" s="26">
        <v>43101</v>
      </c>
      <c r="J463" s="28">
        <v>43101</v>
      </c>
      <c r="Q463" t="s">
        <v>44683</v>
      </c>
      <c r="R463" t="s">
        <v>45251</v>
      </c>
    </row>
    <row r="464" spans="1:18" x14ac:dyDescent="0.35">
      <c r="A464" t="s">
        <v>14982</v>
      </c>
      <c r="D464" t="s">
        <v>2988</v>
      </c>
      <c r="E464" t="s">
        <v>43</v>
      </c>
      <c r="I464" s="26">
        <v>43101</v>
      </c>
      <c r="J464" s="28">
        <v>43101</v>
      </c>
      <c r="Q464" t="s">
        <v>44683</v>
      </c>
      <c r="R464" t="s">
        <v>45252</v>
      </c>
    </row>
    <row r="465" spans="1:18" x14ac:dyDescent="0.35">
      <c r="A465" t="s">
        <v>15318</v>
      </c>
      <c r="D465" t="s">
        <v>5360</v>
      </c>
      <c r="E465" t="s">
        <v>43</v>
      </c>
      <c r="I465" s="26">
        <v>43101</v>
      </c>
      <c r="J465" s="28">
        <v>43101</v>
      </c>
      <c r="Q465" t="s">
        <v>44683</v>
      </c>
      <c r="R465" t="s">
        <v>45253</v>
      </c>
    </row>
    <row r="466" spans="1:18" x14ac:dyDescent="0.35">
      <c r="A466" t="s">
        <v>14985</v>
      </c>
      <c r="D466" t="s">
        <v>2989</v>
      </c>
      <c r="E466" t="s">
        <v>43</v>
      </c>
      <c r="I466" s="26">
        <v>43101</v>
      </c>
      <c r="J466" s="28">
        <v>43101</v>
      </c>
      <c r="Q466" t="s">
        <v>44683</v>
      </c>
      <c r="R466" t="s">
        <v>45254</v>
      </c>
    </row>
    <row r="467" spans="1:18" x14ac:dyDescent="0.35">
      <c r="A467" t="s">
        <v>14975</v>
      </c>
      <c r="D467" t="s">
        <v>2987</v>
      </c>
      <c r="E467" t="s">
        <v>43</v>
      </c>
      <c r="I467" s="26">
        <v>43101</v>
      </c>
      <c r="J467" s="28">
        <v>43101</v>
      </c>
      <c r="Q467" t="s">
        <v>44683</v>
      </c>
      <c r="R467" t="s">
        <v>45255</v>
      </c>
    </row>
    <row r="468" spans="1:18" x14ac:dyDescent="0.35">
      <c r="A468" t="s">
        <v>14545</v>
      </c>
      <c r="D468" t="s">
        <v>1936</v>
      </c>
      <c r="E468" t="s">
        <v>43</v>
      </c>
      <c r="I468" s="26">
        <v>43101</v>
      </c>
      <c r="J468" s="28">
        <v>43101</v>
      </c>
      <c r="Q468" t="s">
        <v>44683</v>
      </c>
      <c r="R468" t="s">
        <v>45256</v>
      </c>
    </row>
    <row r="469" spans="1:18" x14ac:dyDescent="0.35">
      <c r="A469" t="s">
        <v>45257</v>
      </c>
      <c r="D469" t="s">
        <v>2990</v>
      </c>
      <c r="E469" t="s">
        <v>43</v>
      </c>
      <c r="I469" s="26">
        <v>43101</v>
      </c>
      <c r="J469" s="28">
        <v>43101</v>
      </c>
      <c r="Q469" t="s">
        <v>44683</v>
      </c>
      <c r="R469" t="s">
        <v>45258</v>
      </c>
    </row>
    <row r="470" spans="1:18" x14ac:dyDescent="0.35">
      <c r="A470" t="s">
        <v>45259</v>
      </c>
      <c r="D470" t="s">
        <v>1933</v>
      </c>
      <c r="E470" t="s">
        <v>43</v>
      </c>
      <c r="I470" s="26">
        <v>43101</v>
      </c>
      <c r="J470" s="28">
        <v>43101</v>
      </c>
      <c r="Q470" t="s">
        <v>44683</v>
      </c>
      <c r="R470" t="s">
        <v>45260</v>
      </c>
    </row>
    <row r="471" spans="1:18" x14ac:dyDescent="0.35">
      <c r="A471" t="s">
        <v>15331</v>
      </c>
      <c r="D471" t="s">
        <v>5363</v>
      </c>
      <c r="E471" t="s">
        <v>43</v>
      </c>
      <c r="I471" s="26">
        <v>43101</v>
      </c>
      <c r="J471" s="28">
        <v>43101</v>
      </c>
      <c r="Q471" t="s">
        <v>44683</v>
      </c>
      <c r="R471" t="s">
        <v>45261</v>
      </c>
    </row>
    <row r="472" spans="1:18" x14ac:dyDescent="0.35">
      <c r="A472" t="s">
        <v>14282</v>
      </c>
      <c r="D472" t="s">
        <v>1742</v>
      </c>
      <c r="E472" t="s">
        <v>43</v>
      </c>
      <c r="I472" s="26">
        <v>43101</v>
      </c>
      <c r="J472" s="28">
        <v>43101</v>
      </c>
      <c r="Q472" t="s">
        <v>44683</v>
      </c>
      <c r="R472" t="s">
        <v>45262</v>
      </c>
    </row>
    <row r="473" spans="1:18" x14ac:dyDescent="0.35">
      <c r="A473" t="s">
        <v>45263</v>
      </c>
      <c r="D473" t="s">
        <v>867</v>
      </c>
      <c r="E473" t="s">
        <v>43</v>
      </c>
      <c r="I473" s="26">
        <v>43101</v>
      </c>
      <c r="J473" s="28">
        <v>43101</v>
      </c>
      <c r="Q473" t="s">
        <v>44683</v>
      </c>
      <c r="R473" t="s">
        <v>45264</v>
      </c>
    </row>
    <row r="474" spans="1:18" x14ac:dyDescent="0.35">
      <c r="A474" t="s">
        <v>15300</v>
      </c>
      <c r="D474" t="s">
        <v>5360</v>
      </c>
      <c r="E474" t="s">
        <v>43</v>
      </c>
      <c r="I474" s="26">
        <v>43101</v>
      </c>
      <c r="J474" s="28">
        <v>43101</v>
      </c>
      <c r="Q474" t="s">
        <v>44683</v>
      </c>
      <c r="R474" t="s">
        <v>45265</v>
      </c>
    </row>
    <row r="475" spans="1:18" x14ac:dyDescent="0.35">
      <c r="A475" t="s">
        <v>45266</v>
      </c>
      <c r="D475" t="s">
        <v>772</v>
      </c>
      <c r="E475" t="s">
        <v>43</v>
      </c>
      <c r="I475" s="26">
        <v>43101</v>
      </c>
      <c r="J475" s="28">
        <v>43101</v>
      </c>
      <c r="Q475" t="s">
        <v>44683</v>
      </c>
      <c r="R475" t="s">
        <v>45267</v>
      </c>
    </row>
    <row r="476" spans="1:18" x14ac:dyDescent="0.35">
      <c r="A476" t="s">
        <v>15319</v>
      </c>
      <c r="D476" t="s">
        <v>5360</v>
      </c>
      <c r="E476" t="s">
        <v>43</v>
      </c>
      <c r="I476" s="26">
        <v>43101</v>
      </c>
      <c r="J476" s="28">
        <v>43101</v>
      </c>
      <c r="Q476" t="s">
        <v>44683</v>
      </c>
      <c r="R476" t="s">
        <v>45268</v>
      </c>
    </row>
    <row r="477" spans="1:18" x14ac:dyDescent="0.35">
      <c r="A477" t="s">
        <v>45269</v>
      </c>
      <c r="D477" t="s">
        <v>5360</v>
      </c>
      <c r="E477" t="s">
        <v>43</v>
      </c>
      <c r="I477" s="26">
        <v>43101</v>
      </c>
      <c r="J477" s="28">
        <v>43101</v>
      </c>
      <c r="Q477" t="s">
        <v>44683</v>
      </c>
      <c r="R477" t="s">
        <v>45270</v>
      </c>
    </row>
    <row r="478" spans="1:18" x14ac:dyDescent="0.35">
      <c r="A478" t="s">
        <v>15320</v>
      </c>
      <c r="D478" t="s">
        <v>5360</v>
      </c>
      <c r="E478" t="s">
        <v>43</v>
      </c>
      <c r="I478" s="26">
        <v>43101</v>
      </c>
      <c r="J478" s="28">
        <v>43101</v>
      </c>
      <c r="Q478" t="s">
        <v>44683</v>
      </c>
      <c r="R478" t="s">
        <v>45271</v>
      </c>
    </row>
    <row r="479" spans="1:18" x14ac:dyDescent="0.35">
      <c r="A479" t="s">
        <v>14582</v>
      </c>
      <c r="D479" t="s">
        <v>1946</v>
      </c>
      <c r="E479" t="s">
        <v>43</v>
      </c>
      <c r="I479" s="26">
        <v>43101</v>
      </c>
      <c r="J479" s="28">
        <v>43101</v>
      </c>
      <c r="Q479" t="s">
        <v>44683</v>
      </c>
      <c r="R479" t="s">
        <v>45272</v>
      </c>
    </row>
    <row r="480" spans="1:18" x14ac:dyDescent="0.35">
      <c r="A480" t="s">
        <v>45273</v>
      </c>
      <c r="D480" t="s">
        <v>771</v>
      </c>
      <c r="E480" t="s">
        <v>43</v>
      </c>
      <c r="I480" s="26">
        <v>43101</v>
      </c>
      <c r="J480" s="28">
        <v>43101</v>
      </c>
      <c r="Q480" t="s">
        <v>44683</v>
      </c>
      <c r="R480" t="s">
        <v>45274</v>
      </c>
    </row>
    <row r="481" spans="1:18" x14ac:dyDescent="0.35">
      <c r="A481" t="s">
        <v>15301</v>
      </c>
      <c r="D481" t="s">
        <v>5360</v>
      </c>
      <c r="E481" t="s">
        <v>43</v>
      </c>
      <c r="I481" s="26">
        <v>43101</v>
      </c>
      <c r="J481" s="28">
        <v>43101</v>
      </c>
      <c r="Q481" t="s">
        <v>44683</v>
      </c>
      <c r="R481" t="s">
        <v>45275</v>
      </c>
    </row>
    <row r="482" spans="1:18" x14ac:dyDescent="0.35">
      <c r="A482" t="s">
        <v>14584</v>
      </c>
      <c r="D482" t="s">
        <v>1947</v>
      </c>
      <c r="E482" t="s">
        <v>43</v>
      </c>
      <c r="I482" s="26">
        <v>43101</v>
      </c>
      <c r="J482" s="28">
        <v>43101</v>
      </c>
      <c r="Q482" t="s">
        <v>44683</v>
      </c>
      <c r="R482" t="s">
        <v>45276</v>
      </c>
    </row>
    <row r="483" spans="1:18" x14ac:dyDescent="0.35">
      <c r="A483" t="s">
        <v>14283</v>
      </c>
      <c r="D483" t="s">
        <v>1742</v>
      </c>
      <c r="E483" t="s">
        <v>43</v>
      </c>
      <c r="I483" s="26">
        <v>43101</v>
      </c>
      <c r="J483" s="28">
        <v>43101</v>
      </c>
      <c r="Q483" t="s">
        <v>44683</v>
      </c>
      <c r="R483" t="s">
        <v>45277</v>
      </c>
    </row>
    <row r="484" spans="1:18" x14ac:dyDescent="0.35">
      <c r="A484" t="s">
        <v>45278</v>
      </c>
      <c r="D484" t="s">
        <v>1936</v>
      </c>
      <c r="E484" t="s">
        <v>43</v>
      </c>
      <c r="I484" s="26">
        <v>43101</v>
      </c>
      <c r="J484" s="28">
        <v>43101</v>
      </c>
      <c r="Q484" t="s">
        <v>44683</v>
      </c>
      <c r="R484" t="s">
        <v>45279</v>
      </c>
    </row>
    <row r="485" spans="1:18" x14ac:dyDescent="0.35">
      <c r="A485" t="s">
        <v>14950</v>
      </c>
      <c r="D485" t="s">
        <v>2985</v>
      </c>
      <c r="E485" t="s">
        <v>43</v>
      </c>
      <c r="I485" s="26">
        <v>43101</v>
      </c>
      <c r="J485" s="28">
        <v>43101</v>
      </c>
      <c r="Q485" t="s">
        <v>44683</v>
      </c>
      <c r="R485" t="s">
        <v>45280</v>
      </c>
    </row>
    <row r="486" spans="1:18" x14ac:dyDescent="0.35">
      <c r="A486" t="s">
        <v>45281</v>
      </c>
      <c r="D486" t="s">
        <v>1937</v>
      </c>
      <c r="E486" t="s">
        <v>43</v>
      </c>
      <c r="I486" s="26">
        <v>43101</v>
      </c>
      <c r="J486" s="28">
        <v>43101</v>
      </c>
      <c r="Q486" t="s">
        <v>44683</v>
      </c>
      <c r="R486" t="s">
        <v>45282</v>
      </c>
    </row>
    <row r="487" spans="1:18" x14ac:dyDescent="0.35">
      <c r="A487" t="s">
        <v>15302</v>
      </c>
      <c r="D487" t="s">
        <v>5360</v>
      </c>
      <c r="E487" t="s">
        <v>43</v>
      </c>
      <c r="I487" s="26">
        <v>43101</v>
      </c>
      <c r="J487" s="28">
        <v>43101</v>
      </c>
      <c r="Q487" t="s">
        <v>44683</v>
      </c>
      <c r="R487" t="s">
        <v>45283</v>
      </c>
    </row>
    <row r="488" spans="1:18" x14ac:dyDescent="0.35">
      <c r="A488" t="s">
        <v>14954</v>
      </c>
      <c r="D488" t="s">
        <v>2986</v>
      </c>
      <c r="E488" t="s">
        <v>43</v>
      </c>
      <c r="I488" s="26">
        <v>43101</v>
      </c>
      <c r="J488" s="28">
        <v>43101</v>
      </c>
      <c r="Q488" t="s">
        <v>44683</v>
      </c>
      <c r="R488" t="s">
        <v>45284</v>
      </c>
    </row>
    <row r="489" spans="1:18" x14ac:dyDescent="0.35">
      <c r="A489" t="s">
        <v>14536</v>
      </c>
      <c r="D489" t="s">
        <v>1936</v>
      </c>
      <c r="E489" t="s">
        <v>43</v>
      </c>
      <c r="I489" s="26">
        <v>43101</v>
      </c>
      <c r="J489" s="28">
        <v>43101</v>
      </c>
      <c r="Q489" t="s">
        <v>44683</v>
      </c>
      <c r="R489" t="s">
        <v>45285</v>
      </c>
    </row>
    <row r="490" spans="1:18" x14ac:dyDescent="0.35">
      <c r="A490" t="s">
        <v>14537</v>
      </c>
      <c r="D490" t="s">
        <v>1936</v>
      </c>
      <c r="E490" t="s">
        <v>43</v>
      </c>
      <c r="I490" s="26">
        <v>43101</v>
      </c>
      <c r="J490" s="28">
        <v>43101</v>
      </c>
      <c r="Q490" t="s">
        <v>44683</v>
      </c>
      <c r="R490" t="s">
        <v>45286</v>
      </c>
    </row>
    <row r="491" spans="1:18" x14ac:dyDescent="0.35">
      <c r="A491" t="s">
        <v>15088</v>
      </c>
      <c r="D491" t="s">
        <v>3516</v>
      </c>
      <c r="E491" t="s">
        <v>43</v>
      </c>
      <c r="I491" s="26">
        <v>43101</v>
      </c>
      <c r="J491" s="28">
        <v>43101</v>
      </c>
      <c r="Q491" t="s">
        <v>44683</v>
      </c>
      <c r="R491" t="s">
        <v>45287</v>
      </c>
    </row>
    <row r="492" spans="1:18" x14ac:dyDescent="0.35">
      <c r="A492" t="s">
        <v>15332</v>
      </c>
      <c r="D492" t="s">
        <v>5363</v>
      </c>
      <c r="E492" t="s">
        <v>43</v>
      </c>
      <c r="I492" s="26">
        <v>43101</v>
      </c>
      <c r="J492" s="28">
        <v>43101</v>
      </c>
      <c r="Q492" t="s">
        <v>44683</v>
      </c>
      <c r="R492" t="s">
        <v>45288</v>
      </c>
    </row>
    <row r="493" spans="1:18" x14ac:dyDescent="0.35">
      <c r="A493" t="s">
        <v>45289</v>
      </c>
      <c r="D493" t="s">
        <v>769</v>
      </c>
      <c r="E493" t="s">
        <v>43</v>
      </c>
      <c r="I493" s="26">
        <v>43101</v>
      </c>
      <c r="J493" s="28">
        <v>43101</v>
      </c>
      <c r="Q493" t="s">
        <v>44683</v>
      </c>
      <c r="R493" t="s">
        <v>45290</v>
      </c>
    </row>
    <row r="494" spans="1:18" x14ac:dyDescent="0.35">
      <c r="A494" t="s">
        <v>45291</v>
      </c>
      <c r="D494" t="s">
        <v>866</v>
      </c>
      <c r="E494" t="s">
        <v>43</v>
      </c>
      <c r="I494" s="26">
        <v>43101</v>
      </c>
      <c r="J494" s="28">
        <v>43101</v>
      </c>
      <c r="Q494" t="s">
        <v>44683</v>
      </c>
      <c r="R494" t="s">
        <v>45292</v>
      </c>
    </row>
    <row r="495" spans="1:18" x14ac:dyDescent="0.35">
      <c r="A495" t="s">
        <v>15303</v>
      </c>
      <c r="D495" t="s">
        <v>5360</v>
      </c>
      <c r="E495" t="s">
        <v>43</v>
      </c>
      <c r="I495" s="26">
        <v>43101</v>
      </c>
      <c r="J495" s="28">
        <v>43101</v>
      </c>
      <c r="Q495" t="s">
        <v>44683</v>
      </c>
      <c r="R495" t="s">
        <v>45293</v>
      </c>
    </row>
    <row r="496" spans="1:18" x14ac:dyDescent="0.35">
      <c r="A496" t="s">
        <v>45294</v>
      </c>
      <c r="D496" t="s">
        <v>2984</v>
      </c>
      <c r="E496" t="s">
        <v>43</v>
      </c>
      <c r="I496" s="26">
        <v>43101</v>
      </c>
      <c r="J496" s="28">
        <v>43101</v>
      </c>
      <c r="Q496" t="s">
        <v>44683</v>
      </c>
      <c r="R496" t="s">
        <v>45295</v>
      </c>
    </row>
    <row r="497" spans="1:18" x14ac:dyDescent="0.35">
      <c r="A497" t="s">
        <v>15304</v>
      </c>
      <c r="D497" t="s">
        <v>5360</v>
      </c>
      <c r="E497" t="s">
        <v>43</v>
      </c>
      <c r="I497" s="26">
        <v>43101</v>
      </c>
      <c r="J497" s="28">
        <v>43101</v>
      </c>
      <c r="Q497" t="s">
        <v>44683</v>
      </c>
      <c r="R497" t="s">
        <v>45296</v>
      </c>
    </row>
    <row r="498" spans="1:18" x14ac:dyDescent="0.35">
      <c r="A498" t="s">
        <v>14585</v>
      </c>
      <c r="D498" t="s">
        <v>1947</v>
      </c>
      <c r="E498" t="s">
        <v>43</v>
      </c>
      <c r="I498" s="26">
        <v>43101</v>
      </c>
      <c r="J498" s="28">
        <v>43101</v>
      </c>
      <c r="Q498" t="s">
        <v>44683</v>
      </c>
      <c r="R498" t="s">
        <v>45297</v>
      </c>
    </row>
    <row r="499" spans="1:18" x14ac:dyDescent="0.35">
      <c r="A499" t="s">
        <v>45298</v>
      </c>
      <c r="D499" t="s">
        <v>769</v>
      </c>
      <c r="E499" t="s">
        <v>43</v>
      </c>
      <c r="I499" s="26">
        <v>43101</v>
      </c>
      <c r="J499" s="28">
        <v>43101</v>
      </c>
      <c r="Q499" t="s">
        <v>44683</v>
      </c>
      <c r="R499" t="s">
        <v>45299</v>
      </c>
    </row>
    <row r="500" spans="1:18" x14ac:dyDescent="0.35">
      <c r="A500" t="s">
        <v>15305</v>
      </c>
      <c r="D500" t="s">
        <v>5360</v>
      </c>
      <c r="E500" t="s">
        <v>43</v>
      </c>
      <c r="I500" s="26">
        <v>43101</v>
      </c>
      <c r="J500" s="28">
        <v>43101</v>
      </c>
      <c r="Q500" t="s">
        <v>44683</v>
      </c>
      <c r="R500" t="s">
        <v>45300</v>
      </c>
    </row>
    <row r="501" spans="1:18" x14ac:dyDescent="0.35">
      <c r="A501" t="s">
        <v>16055</v>
      </c>
      <c r="D501" t="s">
        <v>7067</v>
      </c>
      <c r="E501" t="s">
        <v>43</v>
      </c>
      <c r="I501" s="26">
        <v>43101</v>
      </c>
      <c r="J501" s="28">
        <v>43101</v>
      </c>
      <c r="Q501" t="s">
        <v>44683</v>
      </c>
      <c r="R501" t="s">
        <v>45301</v>
      </c>
    </row>
    <row r="502" spans="1:18" x14ac:dyDescent="0.35">
      <c r="A502" t="s">
        <v>15306</v>
      </c>
      <c r="D502" t="s">
        <v>5360</v>
      </c>
      <c r="E502" t="s">
        <v>43</v>
      </c>
      <c r="I502" s="26">
        <v>43101</v>
      </c>
      <c r="J502" s="28">
        <v>43101</v>
      </c>
      <c r="Q502" t="s">
        <v>44683</v>
      </c>
      <c r="R502" t="s">
        <v>45302</v>
      </c>
    </row>
    <row r="503" spans="1:18" x14ac:dyDescent="0.35">
      <c r="A503" t="s">
        <v>45303</v>
      </c>
      <c r="D503" t="s">
        <v>1742</v>
      </c>
      <c r="E503" t="s">
        <v>43</v>
      </c>
      <c r="I503" s="26">
        <v>43101</v>
      </c>
      <c r="J503" s="28">
        <v>43101</v>
      </c>
      <c r="Q503" t="s">
        <v>44683</v>
      </c>
      <c r="R503" t="s">
        <v>45304</v>
      </c>
    </row>
    <row r="504" spans="1:18" x14ac:dyDescent="0.35">
      <c r="A504" t="s">
        <v>14952</v>
      </c>
      <c r="D504" t="s">
        <v>2985</v>
      </c>
      <c r="E504" t="s">
        <v>43</v>
      </c>
      <c r="I504" s="26">
        <v>43101</v>
      </c>
      <c r="J504" s="28">
        <v>43101</v>
      </c>
      <c r="Q504" t="s">
        <v>44683</v>
      </c>
      <c r="R504" t="s">
        <v>45305</v>
      </c>
    </row>
    <row r="505" spans="1:18" x14ac:dyDescent="0.35">
      <c r="A505" t="s">
        <v>14084</v>
      </c>
      <c r="D505" t="s">
        <v>771</v>
      </c>
      <c r="E505" t="s">
        <v>43</v>
      </c>
      <c r="I505" s="26">
        <v>43101</v>
      </c>
      <c r="J505" s="28">
        <v>43101</v>
      </c>
      <c r="Q505" t="s">
        <v>44683</v>
      </c>
      <c r="R505" t="s">
        <v>45306</v>
      </c>
    </row>
    <row r="506" spans="1:18" x14ac:dyDescent="0.35">
      <c r="A506" t="s">
        <v>14538</v>
      </c>
      <c r="D506" t="s">
        <v>1936</v>
      </c>
      <c r="E506" t="s">
        <v>43</v>
      </c>
      <c r="I506" s="26">
        <v>43101</v>
      </c>
      <c r="J506" s="28">
        <v>43101</v>
      </c>
      <c r="Q506" t="s">
        <v>44683</v>
      </c>
      <c r="R506" t="s">
        <v>45307</v>
      </c>
    </row>
    <row r="507" spans="1:18" x14ac:dyDescent="0.35">
      <c r="A507" t="s">
        <v>14523</v>
      </c>
      <c r="D507" t="s">
        <v>1934</v>
      </c>
      <c r="E507" t="s">
        <v>43</v>
      </c>
      <c r="I507" s="26">
        <v>43101</v>
      </c>
      <c r="J507" s="28">
        <v>43101</v>
      </c>
      <c r="Q507" t="s">
        <v>44683</v>
      </c>
      <c r="R507" t="s">
        <v>45308</v>
      </c>
    </row>
    <row r="508" spans="1:18" x14ac:dyDescent="0.35">
      <c r="A508" t="s">
        <v>16064</v>
      </c>
      <c r="D508" t="s">
        <v>7067</v>
      </c>
      <c r="E508" t="s">
        <v>43</v>
      </c>
      <c r="I508" s="26">
        <v>43101</v>
      </c>
      <c r="J508" s="28">
        <v>43101</v>
      </c>
      <c r="Q508" t="s">
        <v>44683</v>
      </c>
      <c r="R508" t="s">
        <v>45309</v>
      </c>
    </row>
    <row r="509" spans="1:18" x14ac:dyDescent="0.35">
      <c r="A509" t="s">
        <v>16065</v>
      </c>
      <c r="D509" t="s">
        <v>7067</v>
      </c>
      <c r="E509" t="s">
        <v>43</v>
      </c>
      <c r="I509" s="26">
        <v>43101</v>
      </c>
      <c r="J509" s="28">
        <v>43101</v>
      </c>
      <c r="Q509" t="s">
        <v>44683</v>
      </c>
      <c r="R509" t="s">
        <v>45310</v>
      </c>
    </row>
    <row r="510" spans="1:18" x14ac:dyDescent="0.35">
      <c r="A510" t="s">
        <v>16066</v>
      </c>
      <c r="D510" t="s">
        <v>7067</v>
      </c>
      <c r="E510" t="s">
        <v>43</v>
      </c>
      <c r="I510" s="26">
        <v>43101</v>
      </c>
      <c r="J510" s="28">
        <v>43101</v>
      </c>
      <c r="Q510" t="s">
        <v>44683</v>
      </c>
      <c r="R510" t="s">
        <v>45311</v>
      </c>
    </row>
    <row r="511" spans="1:18" x14ac:dyDescent="0.35">
      <c r="A511" t="s">
        <v>15334</v>
      </c>
      <c r="D511" t="s">
        <v>5363</v>
      </c>
      <c r="E511" t="s">
        <v>43</v>
      </c>
      <c r="I511" s="26">
        <v>43101</v>
      </c>
      <c r="J511" s="28">
        <v>43101</v>
      </c>
      <c r="Q511" t="s">
        <v>44683</v>
      </c>
      <c r="R511" t="s">
        <v>45312</v>
      </c>
    </row>
    <row r="512" spans="1:18" x14ac:dyDescent="0.35">
      <c r="A512" t="s">
        <v>45313</v>
      </c>
      <c r="D512" t="s">
        <v>867</v>
      </c>
      <c r="E512" t="s">
        <v>43</v>
      </c>
      <c r="I512" s="26">
        <v>43101</v>
      </c>
      <c r="J512" s="28">
        <v>43101</v>
      </c>
      <c r="Q512" t="s">
        <v>44683</v>
      </c>
      <c r="R512" t="s">
        <v>45314</v>
      </c>
    </row>
    <row r="513" spans="1:18" x14ac:dyDescent="0.35">
      <c r="A513" t="s">
        <v>16067</v>
      </c>
      <c r="D513" t="s">
        <v>7067</v>
      </c>
      <c r="E513" t="s">
        <v>43</v>
      </c>
      <c r="I513" s="26">
        <v>43101</v>
      </c>
      <c r="J513" s="28">
        <v>43101</v>
      </c>
      <c r="Q513" t="s">
        <v>44683</v>
      </c>
      <c r="R513" t="s">
        <v>45315</v>
      </c>
    </row>
    <row r="514" spans="1:18" x14ac:dyDescent="0.35">
      <c r="A514" t="s">
        <v>15324</v>
      </c>
      <c r="D514" t="s">
        <v>5360</v>
      </c>
      <c r="E514" t="s">
        <v>43</v>
      </c>
      <c r="I514" s="26">
        <v>43101</v>
      </c>
      <c r="J514" s="28">
        <v>43101</v>
      </c>
      <c r="Q514" t="s">
        <v>44683</v>
      </c>
      <c r="R514" t="s">
        <v>45316</v>
      </c>
    </row>
    <row r="515" spans="1:18" x14ac:dyDescent="0.35">
      <c r="A515" t="s">
        <v>45317</v>
      </c>
      <c r="D515" t="s">
        <v>1946</v>
      </c>
      <c r="E515" t="s">
        <v>43</v>
      </c>
      <c r="I515" s="26">
        <v>43101</v>
      </c>
      <c r="J515" s="28">
        <v>43101</v>
      </c>
      <c r="Q515" t="s">
        <v>44683</v>
      </c>
      <c r="R515" t="s">
        <v>45318</v>
      </c>
    </row>
    <row r="516" spans="1:18" x14ac:dyDescent="0.35">
      <c r="A516" t="s">
        <v>14540</v>
      </c>
      <c r="D516" t="s">
        <v>1936</v>
      </c>
      <c r="E516" t="s">
        <v>43</v>
      </c>
      <c r="I516" s="26">
        <v>43101</v>
      </c>
      <c r="J516" s="28">
        <v>43101</v>
      </c>
      <c r="Q516" t="s">
        <v>44683</v>
      </c>
      <c r="R516" t="s">
        <v>45319</v>
      </c>
    </row>
    <row r="517" spans="1:18" x14ac:dyDescent="0.35">
      <c r="A517" t="s">
        <v>45320</v>
      </c>
      <c r="D517" t="s">
        <v>866</v>
      </c>
      <c r="E517" t="s">
        <v>43</v>
      </c>
      <c r="I517" s="26">
        <v>43101</v>
      </c>
      <c r="J517" s="28">
        <v>43101</v>
      </c>
      <c r="Q517" t="s">
        <v>44683</v>
      </c>
      <c r="R517" t="s">
        <v>45321</v>
      </c>
    </row>
    <row r="518" spans="1:18" x14ac:dyDescent="0.35">
      <c r="A518" t="s">
        <v>15335</v>
      </c>
      <c r="D518" t="s">
        <v>5363</v>
      </c>
      <c r="E518" t="s">
        <v>43</v>
      </c>
      <c r="I518" s="26">
        <v>43101</v>
      </c>
      <c r="J518" s="28">
        <v>43101</v>
      </c>
      <c r="Q518" t="s">
        <v>44683</v>
      </c>
      <c r="R518" t="s">
        <v>45322</v>
      </c>
    </row>
    <row r="519" spans="1:18" x14ac:dyDescent="0.35">
      <c r="A519" t="s">
        <v>14541</v>
      </c>
      <c r="D519" t="s">
        <v>1936</v>
      </c>
      <c r="E519" t="s">
        <v>43</v>
      </c>
      <c r="I519" s="26">
        <v>43101</v>
      </c>
      <c r="J519" s="28">
        <v>43101</v>
      </c>
      <c r="Q519" t="s">
        <v>44683</v>
      </c>
      <c r="R519" t="s">
        <v>45323</v>
      </c>
    </row>
    <row r="520" spans="1:18" x14ac:dyDescent="0.35">
      <c r="A520" t="s">
        <v>16068</v>
      </c>
      <c r="D520" t="s">
        <v>7067</v>
      </c>
      <c r="E520" t="s">
        <v>43</v>
      </c>
      <c r="I520" s="26">
        <v>43101</v>
      </c>
      <c r="J520" s="28">
        <v>43101</v>
      </c>
      <c r="Q520" t="s">
        <v>44683</v>
      </c>
      <c r="R520" t="s">
        <v>45324</v>
      </c>
    </row>
    <row r="521" spans="1:18" x14ac:dyDescent="0.35">
      <c r="A521" t="s">
        <v>14548</v>
      </c>
      <c r="D521" t="s">
        <v>1936</v>
      </c>
      <c r="E521" t="s">
        <v>43</v>
      </c>
      <c r="I521" s="26">
        <v>43101</v>
      </c>
      <c r="J521" s="28">
        <v>43101</v>
      </c>
      <c r="Q521" t="s">
        <v>44683</v>
      </c>
      <c r="R521" t="s">
        <v>45325</v>
      </c>
    </row>
    <row r="522" spans="1:18" x14ac:dyDescent="0.35">
      <c r="A522" t="s">
        <v>15307</v>
      </c>
      <c r="D522" t="s">
        <v>5360</v>
      </c>
      <c r="E522" t="s">
        <v>43</v>
      </c>
      <c r="I522" s="26">
        <v>43101</v>
      </c>
      <c r="J522" s="28">
        <v>43101</v>
      </c>
      <c r="Q522" t="s">
        <v>44683</v>
      </c>
      <c r="R522" t="s">
        <v>45326</v>
      </c>
    </row>
    <row r="523" spans="1:18" x14ac:dyDescent="0.35">
      <c r="A523" t="s">
        <v>15308</v>
      </c>
      <c r="D523" t="s">
        <v>5360</v>
      </c>
      <c r="E523" t="s">
        <v>43</v>
      </c>
      <c r="I523" s="26">
        <v>43101</v>
      </c>
      <c r="J523" s="28">
        <v>43101</v>
      </c>
      <c r="Q523" t="s">
        <v>44683</v>
      </c>
      <c r="R523" t="s">
        <v>45327</v>
      </c>
    </row>
    <row r="524" spans="1:18" x14ac:dyDescent="0.35">
      <c r="A524" t="s">
        <v>16069</v>
      </c>
      <c r="D524" t="s">
        <v>7067</v>
      </c>
      <c r="E524" t="s">
        <v>43</v>
      </c>
      <c r="I524" s="26">
        <v>43101</v>
      </c>
      <c r="J524" s="28">
        <v>43101</v>
      </c>
      <c r="Q524" t="s">
        <v>44683</v>
      </c>
      <c r="R524" t="s">
        <v>45328</v>
      </c>
    </row>
    <row r="525" spans="1:18" x14ac:dyDescent="0.35">
      <c r="A525" t="s">
        <v>15336</v>
      </c>
      <c r="D525" t="s">
        <v>5363</v>
      </c>
      <c r="E525" t="s">
        <v>43</v>
      </c>
      <c r="I525" s="26">
        <v>43101</v>
      </c>
      <c r="J525" s="28">
        <v>43101</v>
      </c>
      <c r="Q525" t="s">
        <v>44683</v>
      </c>
      <c r="R525" t="s">
        <v>45329</v>
      </c>
    </row>
    <row r="526" spans="1:18" x14ac:dyDescent="0.35">
      <c r="A526" t="s">
        <v>16059</v>
      </c>
      <c r="D526" t="s">
        <v>7067</v>
      </c>
      <c r="E526" t="s">
        <v>43</v>
      </c>
      <c r="I526" s="26">
        <v>43101</v>
      </c>
      <c r="J526" s="28">
        <v>43101</v>
      </c>
      <c r="Q526" t="s">
        <v>44683</v>
      </c>
      <c r="R526" t="s">
        <v>45330</v>
      </c>
    </row>
    <row r="527" spans="1:18" x14ac:dyDescent="0.35">
      <c r="A527" t="s">
        <v>14527</v>
      </c>
      <c r="D527" t="s">
        <v>1935</v>
      </c>
      <c r="E527" t="s">
        <v>43</v>
      </c>
      <c r="I527" s="26">
        <v>43101</v>
      </c>
      <c r="J527" s="28">
        <v>43101</v>
      </c>
      <c r="Q527" t="s">
        <v>44683</v>
      </c>
      <c r="R527" t="s">
        <v>45331</v>
      </c>
    </row>
    <row r="528" spans="1:18" x14ac:dyDescent="0.35">
      <c r="A528" t="s">
        <v>45332</v>
      </c>
      <c r="D528" t="s">
        <v>769</v>
      </c>
      <c r="E528" t="s">
        <v>43</v>
      </c>
      <c r="I528" s="26">
        <v>43101</v>
      </c>
      <c r="J528" s="28">
        <v>43101</v>
      </c>
      <c r="Q528" t="s">
        <v>44683</v>
      </c>
      <c r="R528" t="s">
        <v>45333</v>
      </c>
    </row>
    <row r="529" spans="1:18" x14ac:dyDescent="0.35">
      <c r="A529" t="s">
        <v>14543</v>
      </c>
      <c r="D529" t="s">
        <v>1936</v>
      </c>
      <c r="E529" t="s">
        <v>43</v>
      </c>
      <c r="I529" s="26">
        <v>43101</v>
      </c>
      <c r="J529" s="28">
        <v>43101</v>
      </c>
      <c r="Q529" t="s">
        <v>44683</v>
      </c>
      <c r="R529" t="s">
        <v>45334</v>
      </c>
    </row>
    <row r="530" spans="1:18" x14ac:dyDescent="0.35">
      <c r="A530" t="s">
        <v>45335</v>
      </c>
      <c r="D530" t="s">
        <v>866</v>
      </c>
      <c r="E530" t="s">
        <v>43</v>
      </c>
      <c r="I530" s="26">
        <v>43101</v>
      </c>
      <c r="J530" s="28">
        <v>43101</v>
      </c>
      <c r="Q530" t="s">
        <v>44683</v>
      </c>
      <c r="R530" t="s">
        <v>45336</v>
      </c>
    </row>
    <row r="531" spans="1:18" x14ac:dyDescent="0.35">
      <c r="A531" t="s">
        <v>15311</v>
      </c>
      <c r="D531" t="s">
        <v>5360</v>
      </c>
      <c r="E531" t="s">
        <v>43</v>
      </c>
      <c r="I531" s="26">
        <v>43101</v>
      </c>
      <c r="J531" s="28">
        <v>43101</v>
      </c>
      <c r="Q531" t="s">
        <v>44683</v>
      </c>
      <c r="R531" t="s">
        <v>45337</v>
      </c>
    </row>
    <row r="532" spans="1:18" x14ac:dyDescent="0.35">
      <c r="A532" t="s">
        <v>16071</v>
      </c>
      <c r="D532" t="s">
        <v>7067</v>
      </c>
      <c r="E532" t="s">
        <v>43</v>
      </c>
      <c r="I532" s="26">
        <v>43101</v>
      </c>
      <c r="J532" s="28">
        <v>43101</v>
      </c>
      <c r="Q532" t="s">
        <v>44683</v>
      </c>
      <c r="R532" t="s">
        <v>45338</v>
      </c>
    </row>
    <row r="533" spans="1:18" x14ac:dyDescent="0.35">
      <c r="A533" t="s">
        <v>16072</v>
      </c>
      <c r="D533" t="s">
        <v>7067</v>
      </c>
      <c r="E533" t="s">
        <v>43</v>
      </c>
      <c r="I533" s="26">
        <v>43101</v>
      </c>
      <c r="J533" s="28">
        <v>43101</v>
      </c>
      <c r="Q533" t="s">
        <v>44683</v>
      </c>
      <c r="R533" t="s">
        <v>45339</v>
      </c>
    </row>
    <row r="534" spans="1:18" x14ac:dyDescent="0.35">
      <c r="A534" t="s">
        <v>16075</v>
      </c>
      <c r="D534" t="s">
        <v>7067</v>
      </c>
      <c r="E534" t="s">
        <v>43</v>
      </c>
      <c r="I534" s="26">
        <v>43101</v>
      </c>
      <c r="J534" s="28">
        <v>43101</v>
      </c>
      <c r="Q534" t="s">
        <v>44683</v>
      </c>
      <c r="R534" t="s">
        <v>45340</v>
      </c>
    </row>
    <row r="535" spans="1:18" x14ac:dyDescent="0.35">
      <c r="A535" t="s">
        <v>16076</v>
      </c>
      <c r="D535" t="s">
        <v>7067</v>
      </c>
      <c r="E535" t="s">
        <v>43</v>
      </c>
      <c r="I535" s="26">
        <v>43101</v>
      </c>
      <c r="J535" s="28">
        <v>43101</v>
      </c>
      <c r="Q535" t="s">
        <v>44683</v>
      </c>
      <c r="R535" t="s">
        <v>45341</v>
      </c>
    </row>
    <row r="536" spans="1:18" x14ac:dyDescent="0.35">
      <c r="A536" t="s">
        <v>16077</v>
      </c>
      <c r="D536" t="s">
        <v>7067</v>
      </c>
      <c r="E536" t="s">
        <v>43</v>
      </c>
      <c r="I536" s="26">
        <v>43101</v>
      </c>
      <c r="J536" s="28">
        <v>43101</v>
      </c>
      <c r="Q536" t="s">
        <v>44683</v>
      </c>
      <c r="R536" t="s">
        <v>45342</v>
      </c>
    </row>
    <row r="537" spans="1:18" x14ac:dyDescent="0.35">
      <c r="A537" t="s">
        <v>14285</v>
      </c>
      <c r="D537" t="s">
        <v>1742</v>
      </c>
      <c r="E537" t="s">
        <v>43</v>
      </c>
      <c r="I537" s="26">
        <v>43101</v>
      </c>
      <c r="J537" s="28">
        <v>43101</v>
      </c>
      <c r="Q537" t="s">
        <v>44683</v>
      </c>
      <c r="R537" t="s">
        <v>45343</v>
      </c>
    </row>
    <row r="538" spans="1:18" x14ac:dyDescent="0.35">
      <c r="A538" t="s">
        <v>15093</v>
      </c>
      <c r="D538" t="s">
        <v>3516</v>
      </c>
      <c r="E538" t="s">
        <v>43</v>
      </c>
      <c r="I538" s="26">
        <v>43101</v>
      </c>
      <c r="J538" s="28">
        <v>43101</v>
      </c>
      <c r="Q538" t="s">
        <v>44683</v>
      </c>
      <c r="R538" t="s">
        <v>45344</v>
      </c>
    </row>
    <row r="539" spans="1:18" x14ac:dyDescent="0.35">
      <c r="A539" t="s">
        <v>15325</v>
      </c>
      <c r="D539" t="s">
        <v>5360</v>
      </c>
      <c r="E539" t="s">
        <v>43</v>
      </c>
      <c r="I539" s="26">
        <v>43101</v>
      </c>
      <c r="J539" s="28">
        <v>43101</v>
      </c>
      <c r="Q539" t="s">
        <v>44683</v>
      </c>
      <c r="R539" t="s">
        <v>45345</v>
      </c>
    </row>
    <row r="540" spans="1:18" x14ac:dyDescent="0.35">
      <c r="A540" t="s">
        <v>16078</v>
      </c>
      <c r="D540" t="s">
        <v>7067</v>
      </c>
      <c r="E540" t="s">
        <v>43</v>
      </c>
      <c r="I540" s="26">
        <v>43101</v>
      </c>
      <c r="J540" s="28">
        <v>43101</v>
      </c>
      <c r="Q540" t="s">
        <v>44683</v>
      </c>
      <c r="R540" t="s">
        <v>45346</v>
      </c>
    </row>
    <row r="541" spans="1:18" x14ac:dyDescent="0.35">
      <c r="A541" t="s">
        <v>15337</v>
      </c>
      <c r="D541" t="s">
        <v>5363</v>
      </c>
      <c r="E541" t="s">
        <v>43</v>
      </c>
      <c r="I541" s="26">
        <v>43101</v>
      </c>
      <c r="J541" s="28">
        <v>43101</v>
      </c>
      <c r="Q541" t="s">
        <v>44683</v>
      </c>
      <c r="R541" t="s">
        <v>45347</v>
      </c>
    </row>
    <row r="542" spans="1:18" x14ac:dyDescent="0.35">
      <c r="A542" t="s">
        <v>15094</v>
      </c>
      <c r="D542" t="s">
        <v>3516</v>
      </c>
      <c r="E542" t="s">
        <v>43</v>
      </c>
      <c r="I542" s="26">
        <v>43101</v>
      </c>
      <c r="J542" s="28">
        <v>43101</v>
      </c>
      <c r="Q542" t="s">
        <v>44683</v>
      </c>
      <c r="R542" t="s">
        <v>45348</v>
      </c>
    </row>
    <row r="543" spans="1:18" x14ac:dyDescent="0.35">
      <c r="A543" t="s">
        <v>45349</v>
      </c>
      <c r="D543" t="s">
        <v>2988</v>
      </c>
      <c r="E543" t="s">
        <v>43</v>
      </c>
      <c r="I543" s="26">
        <v>43101</v>
      </c>
      <c r="J543" s="28">
        <v>43101</v>
      </c>
      <c r="Q543" t="s">
        <v>44683</v>
      </c>
      <c r="R543" t="s">
        <v>45350</v>
      </c>
    </row>
    <row r="544" spans="1:18" x14ac:dyDescent="0.35">
      <c r="A544" t="s">
        <v>14959</v>
      </c>
      <c r="D544" t="s">
        <v>2986</v>
      </c>
      <c r="E544" t="s">
        <v>43</v>
      </c>
      <c r="I544" s="26">
        <v>43101</v>
      </c>
      <c r="J544" s="28">
        <v>43101</v>
      </c>
      <c r="Q544" t="s">
        <v>44683</v>
      </c>
      <c r="R544" t="s">
        <v>45351</v>
      </c>
    </row>
    <row r="545" spans="1:18" x14ac:dyDescent="0.35">
      <c r="A545" t="s">
        <v>14529</v>
      </c>
      <c r="D545" t="s">
        <v>1935</v>
      </c>
      <c r="E545" t="s">
        <v>43</v>
      </c>
      <c r="I545" s="26">
        <v>43101</v>
      </c>
      <c r="J545" s="28">
        <v>43101</v>
      </c>
      <c r="Q545" t="s">
        <v>44683</v>
      </c>
      <c r="R545" t="s">
        <v>45352</v>
      </c>
    </row>
    <row r="546" spans="1:18" x14ac:dyDescent="0.35">
      <c r="A546" t="s">
        <v>15095</v>
      </c>
      <c r="D546" t="s">
        <v>3516</v>
      </c>
      <c r="E546" t="s">
        <v>43</v>
      </c>
      <c r="I546" s="26">
        <v>43101</v>
      </c>
      <c r="J546" s="28">
        <v>43101</v>
      </c>
      <c r="Q546" t="s">
        <v>44683</v>
      </c>
      <c r="R546" t="s">
        <v>45353</v>
      </c>
    </row>
    <row r="547" spans="1:18" x14ac:dyDescent="0.35">
      <c r="A547" t="s">
        <v>14953</v>
      </c>
      <c r="D547" t="s">
        <v>2985</v>
      </c>
      <c r="E547" t="s">
        <v>43</v>
      </c>
      <c r="I547" s="26">
        <v>43101</v>
      </c>
      <c r="J547" s="28">
        <v>43101</v>
      </c>
      <c r="Q547" t="s">
        <v>44683</v>
      </c>
      <c r="R547" t="s">
        <v>45354</v>
      </c>
    </row>
    <row r="548" spans="1:18" x14ac:dyDescent="0.35">
      <c r="A548" t="s">
        <v>14531</v>
      </c>
      <c r="D548" t="s">
        <v>1935</v>
      </c>
      <c r="E548" t="s">
        <v>43</v>
      </c>
      <c r="I548" s="26">
        <v>43101</v>
      </c>
      <c r="J548" s="28">
        <v>43101</v>
      </c>
      <c r="Q548" t="s">
        <v>44683</v>
      </c>
      <c r="R548" t="s">
        <v>45355</v>
      </c>
    </row>
    <row r="549" spans="1:18" x14ac:dyDescent="0.35">
      <c r="A549" t="s">
        <v>14550</v>
      </c>
      <c r="D549" t="s">
        <v>1936</v>
      </c>
      <c r="E549" t="s">
        <v>43</v>
      </c>
      <c r="I549" s="26">
        <v>43101</v>
      </c>
      <c r="J549" s="28">
        <v>43101</v>
      </c>
      <c r="Q549" t="s">
        <v>44683</v>
      </c>
      <c r="R549" t="s">
        <v>45356</v>
      </c>
    </row>
    <row r="550" spans="1:18" x14ac:dyDescent="0.35">
      <c r="A550" t="s">
        <v>16080</v>
      </c>
      <c r="D550" t="s">
        <v>7067</v>
      </c>
      <c r="E550" t="s">
        <v>43</v>
      </c>
      <c r="I550" s="26">
        <v>43101</v>
      </c>
      <c r="J550" s="28">
        <v>43101</v>
      </c>
      <c r="Q550" t="s">
        <v>44683</v>
      </c>
      <c r="R550" t="s">
        <v>45357</v>
      </c>
    </row>
    <row r="551" spans="1:18" x14ac:dyDescent="0.35">
      <c r="A551" t="s">
        <v>16081</v>
      </c>
      <c r="D551" t="s">
        <v>7067</v>
      </c>
      <c r="E551" t="s">
        <v>43</v>
      </c>
      <c r="I551" s="26">
        <v>43101</v>
      </c>
      <c r="J551" s="28">
        <v>43101</v>
      </c>
      <c r="Q551" t="s">
        <v>44683</v>
      </c>
      <c r="R551" t="s">
        <v>45358</v>
      </c>
    </row>
    <row r="552" spans="1:18" x14ac:dyDescent="0.35">
      <c r="A552" t="s">
        <v>45359</v>
      </c>
      <c r="D552" t="s">
        <v>867</v>
      </c>
      <c r="E552" t="s">
        <v>43</v>
      </c>
      <c r="I552" s="26">
        <v>43101</v>
      </c>
      <c r="J552" s="28">
        <v>43101</v>
      </c>
      <c r="Q552" t="s">
        <v>44683</v>
      </c>
      <c r="R552" t="s">
        <v>45360</v>
      </c>
    </row>
    <row r="553" spans="1:18" x14ac:dyDescent="0.35">
      <c r="A553" t="s">
        <v>15338</v>
      </c>
      <c r="D553" t="s">
        <v>5363</v>
      </c>
      <c r="E553" t="s">
        <v>43</v>
      </c>
      <c r="I553" s="26">
        <v>43101</v>
      </c>
      <c r="J553" s="28">
        <v>43101</v>
      </c>
      <c r="Q553" t="s">
        <v>44683</v>
      </c>
      <c r="R553" t="s">
        <v>45361</v>
      </c>
    </row>
    <row r="554" spans="1:18" x14ac:dyDescent="0.35">
      <c r="A554" t="s">
        <v>15091</v>
      </c>
      <c r="D554" t="s">
        <v>3516</v>
      </c>
      <c r="E554" t="s">
        <v>43</v>
      </c>
      <c r="I554" s="26">
        <v>43101</v>
      </c>
      <c r="J554" s="28">
        <v>43101</v>
      </c>
      <c r="Q554" t="s">
        <v>44683</v>
      </c>
      <c r="R554" t="s">
        <v>45362</v>
      </c>
    </row>
    <row r="555" spans="1:18" x14ac:dyDescent="0.35">
      <c r="A555" t="s">
        <v>16082</v>
      </c>
      <c r="D555" t="s">
        <v>7067</v>
      </c>
      <c r="E555" t="s">
        <v>43</v>
      </c>
      <c r="I555" s="26">
        <v>43101</v>
      </c>
      <c r="J555" s="28">
        <v>43101</v>
      </c>
      <c r="Q555" t="s">
        <v>44683</v>
      </c>
      <c r="R555" t="s">
        <v>45363</v>
      </c>
    </row>
    <row r="556" spans="1:18" x14ac:dyDescent="0.35">
      <c r="A556" t="s">
        <v>14978</v>
      </c>
      <c r="D556" t="s">
        <v>2987</v>
      </c>
      <c r="E556" t="s">
        <v>43</v>
      </c>
      <c r="I556" s="26">
        <v>43101</v>
      </c>
      <c r="J556" s="28">
        <v>43101</v>
      </c>
      <c r="Q556" t="s">
        <v>44683</v>
      </c>
      <c r="R556" t="s">
        <v>45364</v>
      </c>
    </row>
    <row r="557" spans="1:18" x14ac:dyDescent="0.35">
      <c r="A557" t="s">
        <v>14957</v>
      </c>
      <c r="D557" t="s">
        <v>2986</v>
      </c>
      <c r="E557" t="s">
        <v>43</v>
      </c>
      <c r="I557" s="26">
        <v>43101</v>
      </c>
      <c r="J557" s="28">
        <v>43101</v>
      </c>
      <c r="Q557" t="s">
        <v>44683</v>
      </c>
      <c r="R557" t="s">
        <v>45365</v>
      </c>
    </row>
    <row r="558" spans="1:18" x14ac:dyDescent="0.35">
      <c r="A558" t="s">
        <v>14986</v>
      </c>
      <c r="D558" t="s">
        <v>2990</v>
      </c>
      <c r="E558" t="s">
        <v>43</v>
      </c>
      <c r="I558" s="26">
        <v>43101</v>
      </c>
      <c r="J558" s="28">
        <v>43101</v>
      </c>
      <c r="Q558" t="s">
        <v>44683</v>
      </c>
      <c r="R558" t="s">
        <v>45366</v>
      </c>
    </row>
    <row r="559" spans="1:18" x14ac:dyDescent="0.35">
      <c r="A559" t="s">
        <v>16083</v>
      </c>
      <c r="D559" t="s">
        <v>7067</v>
      </c>
      <c r="E559" t="s">
        <v>43</v>
      </c>
      <c r="I559" s="26">
        <v>43101</v>
      </c>
      <c r="J559" s="28">
        <v>43101</v>
      </c>
      <c r="Q559" t="s">
        <v>44683</v>
      </c>
      <c r="R559" t="s">
        <v>45367</v>
      </c>
    </row>
    <row r="560" spans="1:18" x14ac:dyDescent="0.35">
      <c r="A560" t="s">
        <v>14984</v>
      </c>
      <c r="D560" t="s">
        <v>2989</v>
      </c>
      <c r="E560" t="s">
        <v>43</v>
      </c>
      <c r="I560" s="26">
        <v>43101</v>
      </c>
      <c r="J560" s="28">
        <v>43101</v>
      </c>
      <c r="Q560" t="s">
        <v>44683</v>
      </c>
      <c r="R560" t="s">
        <v>45368</v>
      </c>
    </row>
    <row r="561" spans="1:18" x14ac:dyDescent="0.35">
      <c r="A561" t="s">
        <v>45369</v>
      </c>
      <c r="D561" t="s">
        <v>769</v>
      </c>
      <c r="E561" t="s">
        <v>43</v>
      </c>
      <c r="I561" s="26">
        <v>43101</v>
      </c>
      <c r="J561" s="28">
        <v>43101</v>
      </c>
      <c r="Q561" t="s">
        <v>44683</v>
      </c>
      <c r="R561" t="s">
        <v>45370</v>
      </c>
    </row>
    <row r="562" spans="1:18" x14ac:dyDescent="0.35">
      <c r="A562" t="s">
        <v>16088</v>
      </c>
      <c r="D562" t="s">
        <v>7067</v>
      </c>
      <c r="E562" t="s">
        <v>43</v>
      </c>
      <c r="I562" s="26">
        <v>43101</v>
      </c>
      <c r="J562" s="28">
        <v>43101</v>
      </c>
      <c r="Q562" t="s">
        <v>44683</v>
      </c>
      <c r="R562" t="s">
        <v>45371</v>
      </c>
    </row>
    <row r="563" spans="1:18" x14ac:dyDescent="0.35">
      <c r="A563" t="s">
        <v>15339</v>
      </c>
      <c r="D563" t="s">
        <v>5363</v>
      </c>
      <c r="E563" t="s">
        <v>43</v>
      </c>
      <c r="I563" s="26">
        <v>43101</v>
      </c>
      <c r="J563" s="28">
        <v>43101</v>
      </c>
      <c r="Q563" t="s">
        <v>44683</v>
      </c>
      <c r="R563" t="s">
        <v>45372</v>
      </c>
    </row>
    <row r="564" spans="1:18" x14ac:dyDescent="0.35">
      <c r="A564" t="s">
        <v>14583</v>
      </c>
      <c r="D564" t="s">
        <v>1946</v>
      </c>
      <c r="E564" t="s">
        <v>43</v>
      </c>
      <c r="I564" s="26">
        <v>43101</v>
      </c>
      <c r="J564" s="28">
        <v>43101</v>
      </c>
      <c r="Q564" t="s">
        <v>44683</v>
      </c>
      <c r="R564" t="s">
        <v>45373</v>
      </c>
    </row>
    <row r="565" spans="1:18" x14ac:dyDescent="0.35">
      <c r="A565" t="s">
        <v>45374</v>
      </c>
      <c r="D565" t="s">
        <v>1933</v>
      </c>
      <c r="E565" t="s">
        <v>43</v>
      </c>
      <c r="I565" s="26">
        <v>43101</v>
      </c>
      <c r="J565" s="28">
        <v>43101</v>
      </c>
      <c r="Q565" t="s">
        <v>44683</v>
      </c>
      <c r="R565" t="s">
        <v>45375</v>
      </c>
    </row>
    <row r="566" spans="1:18" x14ac:dyDescent="0.35">
      <c r="A566" t="s">
        <v>45376</v>
      </c>
      <c r="D566" t="s">
        <v>1933</v>
      </c>
      <c r="E566" t="s">
        <v>43</v>
      </c>
      <c r="I566" s="26">
        <v>43101</v>
      </c>
      <c r="J566" s="28">
        <v>43101</v>
      </c>
      <c r="Q566" t="s">
        <v>44683</v>
      </c>
      <c r="R566" t="s">
        <v>45377</v>
      </c>
    </row>
    <row r="567" spans="1:18" x14ac:dyDescent="0.35">
      <c r="A567" t="s">
        <v>16062</v>
      </c>
      <c r="D567" t="s">
        <v>7067</v>
      </c>
      <c r="E567" t="s">
        <v>43</v>
      </c>
      <c r="I567" s="26">
        <v>43101</v>
      </c>
      <c r="J567" s="28">
        <v>43101</v>
      </c>
      <c r="Q567" t="s">
        <v>44683</v>
      </c>
      <c r="R567" t="s">
        <v>45378</v>
      </c>
    </row>
    <row r="568" spans="1:18" x14ac:dyDescent="0.35">
      <c r="A568" t="s">
        <v>14524</v>
      </c>
      <c r="D568" t="s">
        <v>1934</v>
      </c>
      <c r="E568" t="s">
        <v>43</v>
      </c>
      <c r="I568" s="26">
        <v>43101</v>
      </c>
      <c r="J568" s="28">
        <v>43101</v>
      </c>
      <c r="Q568" t="s">
        <v>44683</v>
      </c>
      <c r="R568" t="s">
        <v>45379</v>
      </c>
    </row>
    <row r="569" spans="1:18" x14ac:dyDescent="0.35">
      <c r="A569" t="s">
        <v>14551</v>
      </c>
      <c r="D569" t="s">
        <v>1936</v>
      </c>
      <c r="E569" t="s">
        <v>43</v>
      </c>
      <c r="I569" s="26">
        <v>43101</v>
      </c>
      <c r="J569" s="28">
        <v>43101</v>
      </c>
      <c r="Q569" t="s">
        <v>44683</v>
      </c>
      <c r="R569" t="s">
        <v>45380</v>
      </c>
    </row>
    <row r="570" spans="1:18" x14ac:dyDescent="0.35">
      <c r="A570" t="s">
        <v>15092</v>
      </c>
      <c r="D570" t="s">
        <v>3516</v>
      </c>
      <c r="E570" t="s">
        <v>43</v>
      </c>
      <c r="I570" s="26">
        <v>43101</v>
      </c>
      <c r="J570" s="28">
        <v>43101</v>
      </c>
      <c r="Q570" t="s">
        <v>44683</v>
      </c>
      <c r="R570" t="s">
        <v>45381</v>
      </c>
    </row>
    <row r="571" spans="1:18" x14ac:dyDescent="0.35">
      <c r="A571" t="s">
        <v>14987</v>
      </c>
      <c r="D571" t="s">
        <v>2990</v>
      </c>
      <c r="E571" t="s">
        <v>43</v>
      </c>
      <c r="I571" s="26">
        <v>43101</v>
      </c>
      <c r="J571" s="28">
        <v>43101</v>
      </c>
      <c r="Q571" t="s">
        <v>44683</v>
      </c>
      <c r="R571" t="s">
        <v>45382</v>
      </c>
    </row>
    <row r="572" spans="1:18" x14ac:dyDescent="0.35">
      <c r="A572" t="s">
        <v>14088</v>
      </c>
      <c r="D572" t="s">
        <v>772</v>
      </c>
      <c r="E572" t="s">
        <v>43</v>
      </c>
      <c r="I572" s="26">
        <v>43101</v>
      </c>
      <c r="J572" s="28">
        <v>43101</v>
      </c>
      <c r="Q572" t="s">
        <v>44683</v>
      </c>
      <c r="R572" t="s">
        <v>45383</v>
      </c>
    </row>
    <row r="573" spans="1:18" x14ac:dyDescent="0.35">
      <c r="A573" t="s">
        <v>14089</v>
      </c>
      <c r="D573" t="s">
        <v>772</v>
      </c>
      <c r="E573" t="s">
        <v>43</v>
      </c>
      <c r="I573" s="26">
        <v>43101</v>
      </c>
      <c r="J573" s="28">
        <v>43101</v>
      </c>
      <c r="Q573" t="s">
        <v>44683</v>
      </c>
      <c r="R573" t="s">
        <v>45384</v>
      </c>
    </row>
    <row r="574" spans="1:18" x14ac:dyDescent="0.35">
      <c r="A574" t="s">
        <v>14979</v>
      </c>
      <c r="D574" t="s">
        <v>2987</v>
      </c>
      <c r="E574" t="s">
        <v>43</v>
      </c>
      <c r="I574" s="26">
        <v>43101</v>
      </c>
      <c r="J574" s="28">
        <v>43101</v>
      </c>
      <c r="Q574" t="s">
        <v>44683</v>
      </c>
      <c r="R574" t="s">
        <v>45385</v>
      </c>
    </row>
    <row r="575" spans="1:18" x14ac:dyDescent="0.35">
      <c r="A575" t="s">
        <v>14976</v>
      </c>
      <c r="D575" t="s">
        <v>2987</v>
      </c>
      <c r="E575" t="s">
        <v>43</v>
      </c>
      <c r="I575" s="26">
        <v>43101</v>
      </c>
      <c r="J575" s="28">
        <v>43101</v>
      </c>
      <c r="Q575" t="s">
        <v>44683</v>
      </c>
      <c r="R575" t="s">
        <v>45386</v>
      </c>
    </row>
    <row r="576" spans="1:18" x14ac:dyDescent="0.35">
      <c r="A576" t="s">
        <v>14546</v>
      </c>
      <c r="D576" t="s">
        <v>1936</v>
      </c>
      <c r="E576" t="s">
        <v>43</v>
      </c>
      <c r="I576" s="26">
        <v>43101</v>
      </c>
      <c r="J576" s="28">
        <v>43101</v>
      </c>
      <c r="Q576" t="s">
        <v>44683</v>
      </c>
      <c r="R576" t="s">
        <v>45387</v>
      </c>
    </row>
    <row r="577" spans="1:18" x14ac:dyDescent="0.35">
      <c r="A577" t="s">
        <v>45388</v>
      </c>
      <c r="D577" t="s">
        <v>1933</v>
      </c>
      <c r="E577" t="s">
        <v>43</v>
      </c>
      <c r="I577" s="26">
        <v>43101</v>
      </c>
      <c r="J577" s="28">
        <v>43101</v>
      </c>
      <c r="Q577" t="s">
        <v>44683</v>
      </c>
      <c r="R577" t="s">
        <v>45389</v>
      </c>
    </row>
    <row r="578" spans="1:18" x14ac:dyDescent="0.35">
      <c r="A578" t="s">
        <v>45390</v>
      </c>
      <c r="D578" t="s">
        <v>769</v>
      </c>
      <c r="E578" t="s">
        <v>43</v>
      </c>
      <c r="I578" s="26">
        <v>43101</v>
      </c>
      <c r="J578" s="28">
        <v>43101</v>
      </c>
      <c r="Q578" t="s">
        <v>44683</v>
      </c>
      <c r="R578" t="s">
        <v>45391</v>
      </c>
    </row>
    <row r="579" spans="1:18" x14ac:dyDescent="0.35">
      <c r="A579" t="s">
        <v>14530</v>
      </c>
      <c r="D579" t="s">
        <v>1935</v>
      </c>
      <c r="E579" t="s">
        <v>43</v>
      </c>
      <c r="I579" s="26">
        <v>43101</v>
      </c>
      <c r="J579" s="28">
        <v>43101</v>
      </c>
      <c r="Q579" t="s">
        <v>44683</v>
      </c>
      <c r="R579" t="s">
        <v>45392</v>
      </c>
    </row>
    <row r="580" spans="1:18" x14ac:dyDescent="0.35">
      <c r="A580" t="s">
        <v>15321</v>
      </c>
      <c r="D580" t="s">
        <v>5360</v>
      </c>
      <c r="E580" t="s">
        <v>43</v>
      </c>
      <c r="I580" s="26">
        <v>43101</v>
      </c>
      <c r="J580" s="28">
        <v>43101</v>
      </c>
      <c r="Q580" t="s">
        <v>44683</v>
      </c>
      <c r="R580" t="s">
        <v>45393</v>
      </c>
    </row>
    <row r="581" spans="1:18" x14ac:dyDescent="0.35">
      <c r="A581" t="s">
        <v>14960</v>
      </c>
      <c r="D581" t="s">
        <v>2986</v>
      </c>
      <c r="E581" t="s">
        <v>43</v>
      </c>
      <c r="I581" s="26">
        <v>43101</v>
      </c>
      <c r="J581" s="28">
        <v>43101</v>
      </c>
      <c r="Q581" t="s">
        <v>44683</v>
      </c>
      <c r="R581" t="s">
        <v>45394</v>
      </c>
    </row>
    <row r="582" spans="1:18" x14ac:dyDescent="0.35">
      <c r="A582" t="s">
        <v>15340</v>
      </c>
      <c r="D582" t="s">
        <v>5363</v>
      </c>
      <c r="E582" t="s">
        <v>43</v>
      </c>
      <c r="I582" s="26">
        <v>43101</v>
      </c>
      <c r="J582" s="28">
        <v>43101</v>
      </c>
      <c r="Q582" t="s">
        <v>44683</v>
      </c>
      <c r="R582" t="s">
        <v>45395</v>
      </c>
    </row>
    <row r="583" spans="1:18" x14ac:dyDescent="0.35">
      <c r="A583" t="s">
        <v>15327</v>
      </c>
      <c r="D583" t="s">
        <v>5360</v>
      </c>
      <c r="E583" t="s">
        <v>43</v>
      </c>
      <c r="I583" s="26">
        <v>43101</v>
      </c>
      <c r="J583" s="28">
        <v>43101</v>
      </c>
      <c r="Q583" t="s">
        <v>44683</v>
      </c>
      <c r="R583" t="s">
        <v>45396</v>
      </c>
    </row>
    <row r="584" spans="1:18" x14ac:dyDescent="0.35">
      <c r="A584" t="s">
        <v>14977</v>
      </c>
      <c r="D584" t="s">
        <v>2987</v>
      </c>
      <c r="E584" t="s">
        <v>43</v>
      </c>
      <c r="I584" s="26">
        <v>43101</v>
      </c>
      <c r="J584" s="28">
        <v>43101</v>
      </c>
      <c r="Q584" t="s">
        <v>44683</v>
      </c>
      <c r="R584" t="s">
        <v>45397</v>
      </c>
    </row>
    <row r="585" spans="1:18" x14ac:dyDescent="0.35">
      <c r="A585" t="s">
        <v>15322</v>
      </c>
      <c r="D585" t="s">
        <v>5360</v>
      </c>
      <c r="E585" t="s">
        <v>43</v>
      </c>
      <c r="I585" s="26">
        <v>43101</v>
      </c>
      <c r="J585" s="28">
        <v>43101</v>
      </c>
      <c r="Q585" t="s">
        <v>44683</v>
      </c>
      <c r="R585" t="s">
        <v>45398</v>
      </c>
    </row>
    <row r="586" spans="1:18" x14ac:dyDescent="0.35">
      <c r="A586" t="s">
        <v>16095</v>
      </c>
      <c r="D586" t="s">
        <v>7067</v>
      </c>
      <c r="E586" t="s">
        <v>43</v>
      </c>
      <c r="I586" s="26">
        <v>43101</v>
      </c>
      <c r="J586" s="28">
        <v>43101</v>
      </c>
      <c r="Q586" t="s">
        <v>44683</v>
      </c>
      <c r="R586" t="s">
        <v>45399</v>
      </c>
    </row>
    <row r="587" spans="1:18" x14ac:dyDescent="0.35">
      <c r="A587" t="s">
        <v>45400</v>
      </c>
      <c r="D587" t="s">
        <v>769</v>
      </c>
      <c r="E587" t="s">
        <v>43</v>
      </c>
      <c r="I587" s="26">
        <v>43101</v>
      </c>
      <c r="J587" s="28">
        <v>43101</v>
      </c>
      <c r="Q587" t="s">
        <v>44683</v>
      </c>
      <c r="R587" t="s">
        <v>45401</v>
      </c>
    </row>
    <row r="588" spans="1:18" x14ac:dyDescent="0.35">
      <c r="A588" t="s">
        <v>14532</v>
      </c>
      <c r="D588" t="s">
        <v>1935</v>
      </c>
      <c r="E588" t="s">
        <v>43</v>
      </c>
      <c r="I588" s="26">
        <v>43101</v>
      </c>
      <c r="J588" s="28">
        <v>43101</v>
      </c>
      <c r="Q588" t="s">
        <v>44683</v>
      </c>
      <c r="R588" t="s">
        <v>45402</v>
      </c>
    </row>
    <row r="589" spans="1:18" x14ac:dyDescent="0.35">
      <c r="A589" t="s">
        <v>45403</v>
      </c>
      <c r="D589" t="s">
        <v>1742</v>
      </c>
      <c r="E589" t="s">
        <v>43</v>
      </c>
      <c r="I589" s="26">
        <v>43101</v>
      </c>
      <c r="J589" s="28">
        <v>43101</v>
      </c>
      <c r="Q589" t="s">
        <v>44683</v>
      </c>
      <c r="R589" t="s">
        <v>45404</v>
      </c>
    </row>
    <row r="590" spans="1:18" x14ac:dyDescent="0.35">
      <c r="A590" t="s">
        <v>14958</v>
      </c>
      <c r="D590" t="s">
        <v>2986</v>
      </c>
      <c r="E590" t="s">
        <v>43</v>
      </c>
      <c r="I590" s="26">
        <v>43101</v>
      </c>
      <c r="J590" s="28">
        <v>43101</v>
      </c>
      <c r="Q590" t="s">
        <v>44683</v>
      </c>
      <c r="R590" t="s">
        <v>45405</v>
      </c>
    </row>
    <row r="591" spans="1:18" x14ac:dyDescent="0.35">
      <c r="A591" t="s">
        <v>14552</v>
      </c>
      <c r="D591" t="s">
        <v>1936</v>
      </c>
      <c r="E591" t="s">
        <v>43</v>
      </c>
      <c r="I591" s="26">
        <v>43101</v>
      </c>
      <c r="J591" s="28">
        <v>43101</v>
      </c>
      <c r="Q591" t="s">
        <v>44683</v>
      </c>
      <c r="R591" t="s">
        <v>45406</v>
      </c>
    </row>
    <row r="592" spans="1:18" x14ac:dyDescent="0.35">
      <c r="A592" t="s">
        <v>14558</v>
      </c>
      <c r="D592" t="s">
        <v>1941</v>
      </c>
      <c r="E592" t="s">
        <v>43</v>
      </c>
      <c r="I592" s="26">
        <v>43101</v>
      </c>
      <c r="J592" s="28">
        <v>43101</v>
      </c>
      <c r="Q592" t="s">
        <v>44683</v>
      </c>
      <c r="R592" t="s">
        <v>45407</v>
      </c>
    </row>
    <row r="593" spans="1:18" x14ac:dyDescent="0.35">
      <c r="A593" t="s">
        <v>14525</v>
      </c>
      <c r="D593" t="s">
        <v>1934</v>
      </c>
      <c r="E593" t="s">
        <v>43</v>
      </c>
      <c r="I593" s="26">
        <v>43101</v>
      </c>
      <c r="J593" s="28">
        <v>43101</v>
      </c>
      <c r="Q593" t="s">
        <v>44683</v>
      </c>
      <c r="R593" t="s">
        <v>45408</v>
      </c>
    </row>
    <row r="594" spans="1:18" x14ac:dyDescent="0.35">
      <c r="A594" t="s">
        <v>16103</v>
      </c>
      <c r="D594" t="s">
        <v>7067</v>
      </c>
      <c r="E594" t="s">
        <v>43</v>
      </c>
      <c r="I594" s="26">
        <v>43101</v>
      </c>
      <c r="J594" s="28">
        <v>43101</v>
      </c>
      <c r="Q594" t="s">
        <v>44683</v>
      </c>
      <c r="R594" t="s">
        <v>45409</v>
      </c>
    </row>
    <row r="595" spans="1:18" x14ac:dyDescent="0.35">
      <c r="A595" t="s">
        <v>45410</v>
      </c>
      <c r="D595" t="s">
        <v>866</v>
      </c>
      <c r="E595" t="s">
        <v>43</v>
      </c>
      <c r="I595" s="26">
        <v>43101</v>
      </c>
      <c r="J595" s="28">
        <v>43101</v>
      </c>
      <c r="Q595" t="s">
        <v>44683</v>
      </c>
      <c r="R595" t="s">
        <v>45411</v>
      </c>
    </row>
    <row r="596" spans="1:18" x14ac:dyDescent="0.35">
      <c r="A596" t="s">
        <v>14083</v>
      </c>
      <c r="D596" t="s">
        <v>771</v>
      </c>
      <c r="E596" t="s">
        <v>43</v>
      </c>
      <c r="I596" s="26">
        <v>43101</v>
      </c>
      <c r="J596" s="28">
        <v>43101</v>
      </c>
      <c r="Q596" t="s">
        <v>44683</v>
      </c>
      <c r="R596" t="s">
        <v>45412</v>
      </c>
    </row>
    <row r="597" spans="1:18" x14ac:dyDescent="0.35">
      <c r="A597" t="s">
        <v>14547</v>
      </c>
      <c r="D597" t="s">
        <v>1936</v>
      </c>
      <c r="E597" t="s">
        <v>43</v>
      </c>
      <c r="I597" s="26">
        <v>43101</v>
      </c>
      <c r="J597" s="28">
        <v>43101</v>
      </c>
      <c r="Q597" t="s">
        <v>44683</v>
      </c>
      <c r="R597" t="s">
        <v>45413</v>
      </c>
    </row>
    <row r="598" spans="1:18" x14ac:dyDescent="0.35">
      <c r="A598" t="s">
        <v>15341</v>
      </c>
      <c r="D598" t="s">
        <v>5363</v>
      </c>
      <c r="E598" t="s">
        <v>43</v>
      </c>
      <c r="I598" s="26">
        <v>43101</v>
      </c>
      <c r="J598" s="28">
        <v>43101</v>
      </c>
      <c r="Q598" t="s">
        <v>44683</v>
      </c>
      <c r="R598" t="s">
        <v>45414</v>
      </c>
    </row>
    <row r="599" spans="1:18" x14ac:dyDescent="0.35">
      <c r="A599" t="s">
        <v>16104</v>
      </c>
      <c r="D599" t="s">
        <v>7067</v>
      </c>
      <c r="E599" t="s">
        <v>43</v>
      </c>
      <c r="I599" s="26">
        <v>43101</v>
      </c>
      <c r="J599" s="28">
        <v>43101</v>
      </c>
      <c r="Q599" t="s">
        <v>44683</v>
      </c>
      <c r="R599" t="s">
        <v>45415</v>
      </c>
    </row>
    <row r="600" spans="1:18" x14ac:dyDescent="0.35">
      <c r="A600" t="s">
        <v>15323</v>
      </c>
      <c r="D600" t="s">
        <v>5360</v>
      </c>
      <c r="E600" t="s">
        <v>43</v>
      </c>
      <c r="I600" s="26">
        <v>43101</v>
      </c>
      <c r="J600" s="28">
        <v>43101</v>
      </c>
      <c r="Q600" t="s">
        <v>44683</v>
      </c>
      <c r="R600" t="s">
        <v>45416</v>
      </c>
    </row>
    <row r="601" spans="1:18" x14ac:dyDescent="0.35">
      <c r="A601" t="s">
        <v>16105</v>
      </c>
      <c r="D601" t="s">
        <v>7067</v>
      </c>
      <c r="E601" t="s">
        <v>43</v>
      </c>
      <c r="I601" s="26">
        <v>43101</v>
      </c>
      <c r="J601" s="28">
        <v>43101</v>
      </c>
      <c r="Q601" t="s">
        <v>44683</v>
      </c>
      <c r="R601" t="s">
        <v>45417</v>
      </c>
    </row>
    <row r="602" spans="1:18" x14ac:dyDescent="0.35">
      <c r="A602" t="s">
        <v>45418</v>
      </c>
      <c r="D602" t="s">
        <v>6585</v>
      </c>
      <c r="E602" t="s">
        <v>43</v>
      </c>
      <c r="I602" s="26">
        <v>43101</v>
      </c>
      <c r="J602" s="28">
        <v>43101</v>
      </c>
      <c r="Q602" t="s">
        <v>44683</v>
      </c>
      <c r="R602" t="s">
        <v>45419</v>
      </c>
    </row>
    <row r="603" spans="1:18" x14ac:dyDescent="0.35">
      <c r="A603" t="s">
        <v>16063</v>
      </c>
      <c r="D603" t="s">
        <v>7067</v>
      </c>
      <c r="E603" t="s">
        <v>43</v>
      </c>
      <c r="I603" s="26">
        <v>43101</v>
      </c>
      <c r="J603" s="28">
        <v>43101</v>
      </c>
      <c r="Q603" t="s">
        <v>44683</v>
      </c>
      <c r="R603" t="s">
        <v>45420</v>
      </c>
    </row>
    <row r="604" spans="1:18" x14ac:dyDescent="0.35">
      <c r="A604" t="s">
        <v>14989</v>
      </c>
      <c r="D604" t="s">
        <v>2991</v>
      </c>
      <c r="E604" t="s">
        <v>43</v>
      </c>
      <c r="I604" s="26">
        <v>43101</v>
      </c>
      <c r="J604" s="28">
        <v>43101</v>
      </c>
      <c r="Q604" t="s">
        <v>44683</v>
      </c>
      <c r="R604" t="s">
        <v>45421</v>
      </c>
    </row>
    <row r="605" spans="1:18" x14ac:dyDescent="0.35">
      <c r="A605" t="s">
        <v>14559</v>
      </c>
      <c r="D605" t="s">
        <v>1942</v>
      </c>
      <c r="E605" t="s">
        <v>43</v>
      </c>
      <c r="I605" s="26">
        <v>43101</v>
      </c>
      <c r="J605" s="28">
        <v>43101</v>
      </c>
      <c r="Q605" t="s">
        <v>44683</v>
      </c>
      <c r="R605" t="s">
        <v>45422</v>
      </c>
    </row>
    <row r="606" spans="1:18" x14ac:dyDescent="0.35">
      <c r="A606" t="s">
        <v>14364</v>
      </c>
      <c r="D606" t="s">
        <v>1932</v>
      </c>
      <c r="E606" t="s">
        <v>43</v>
      </c>
      <c r="I606" s="26">
        <v>43101</v>
      </c>
      <c r="J606" s="28">
        <v>43101</v>
      </c>
      <c r="Q606" t="s">
        <v>44683</v>
      </c>
      <c r="R606" t="s">
        <v>45423</v>
      </c>
    </row>
    <row r="607" spans="1:18" x14ac:dyDescent="0.35">
      <c r="A607" t="s">
        <v>45424</v>
      </c>
      <c r="D607" t="s">
        <v>768</v>
      </c>
      <c r="E607" t="s">
        <v>43</v>
      </c>
      <c r="I607" s="26">
        <v>43101</v>
      </c>
      <c r="J607" s="28">
        <v>43101</v>
      </c>
      <c r="Q607" t="s">
        <v>44683</v>
      </c>
      <c r="R607" t="s">
        <v>45425</v>
      </c>
    </row>
    <row r="608" spans="1:18" x14ac:dyDescent="0.35">
      <c r="A608" t="s">
        <v>15388</v>
      </c>
      <c r="D608" t="s">
        <v>5468</v>
      </c>
      <c r="E608" t="s">
        <v>43</v>
      </c>
      <c r="I608" s="26">
        <v>43101</v>
      </c>
      <c r="J608" s="28">
        <v>43101</v>
      </c>
      <c r="Q608" t="s">
        <v>44683</v>
      </c>
      <c r="R608" t="s">
        <v>45426</v>
      </c>
    </row>
    <row r="609" spans="1:18" x14ac:dyDescent="0.35">
      <c r="A609" t="s">
        <v>14194</v>
      </c>
      <c r="D609" t="s">
        <v>1097</v>
      </c>
      <c r="E609" t="s">
        <v>43</v>
      </c>
      <c r="I609" s="26">
        <v>43101</v>
      </c>
      <c r="J609" s="28">
        <v>43101</v>
      </c>
      <c r="Q609" t="s">
        <v>44683</v>
      </c>
      <c r="R609" t="s">
        <v>45427</v>
      </c>
    </row>
    <row r="610" spans="1:18" x14ac:dyDescent="0.35">
      <c r="A610" t="s">
        <v>15356</v>
      </c>
      <c r="D610" t="s">
        <v>5389</v>
      </c>
      <c r="E610" t="s">
        <v>43</v>
      </c>
      <c r="I610" s="26">
        <v>43101</v>
      </c>
      <c r="J610" s="28">
        <v>43101</v>
      </c>
      <c r="Q610" t="s">
        <v>44683</v>
      </c>
      <c r="R610" t="s">
        <v>45428</v>
      </c>
    </row>
    <row r="611" spans="1:18" x14ac:dyDescent="0.35">
      <c r="A611" t="s">
        <v>15998</v>
      </c>
      <c r="D611" t="s">
        <v>7066</v>
      </c>
      <c r="E611" t="s">
        <v>43</v>
      </c>
      <c r="I611" s="26">
        <v>43101</v>
      </c>
      <c r="J611" s="28">
        <v>43101</v>
      </c>
      <c r="Q611" t="s">
        <v>44683</v>
      </c>
      <c r="R611" t="s">
        <v>45429</v>
      </c>
    </row>
    <row r="612" spans="1:18" x14ac:dyDescent="0.35">
      <c r="A612" t="s">
        <v>14365</v>
      </c>
      <c r="D612" t="s">
        <v>1932</v>
      </c>
      <c r="E612" t="s">
        <v>43</v>
      </c>
      <c r="I612" s="26">
        <v>43101</v>
      </c>
      <c r="J612" s="28">
        <v>43101</v>
      </c>
      <c r="Q612" t="s">
        <v>44683</v>
      </c>
      <c r="R612" t="s">
        <v>45430</v>
      </c>
    </row>
    <row r="613" spans="1:18" x14ac:dyDescent="0.35">
      <c r="A613" t="s">
        <v>14988</v>
      </c>
      <c r="D613" t="s">
        <v>2990</v>
      </c>
      <c r="E613" t="s">
        <v>43</v>
      </c>
      <c r="I613" s="26">
        <v>43101</v>
      </c>
      <c r="J613" s="28">
        <v>43101</v>
      </c>
      <c r="Q613" t="s">
        <v>44683</v>
      </c>
      <c r="R613" t="s">
        <v>45431</v>
      </c>
    </row>
    <row r="614" spans="1:18" x14ac:dyDescent="0.35">
      <c r="A614" t="s">
        <v>45432</v>
      </c>
      <c r="D614" t="s">
        <v>768</v>
      </c>
      <c r="E614" t="s">
        <v>43</v>
      </c>
      <c r="I614" s="26">
        <v>43101</v>
      </c>
      <c r="J614" s="28">
        <v>43101</v>
      </c>
      <c r="Q614" t="s">
        <v>44683</v>
      </c>
      <c r="R614" t="s">
        <v>45433</v>
      </c>
    </row>
    <row r="615" spans="1:18" x14ac:dyDescent="0.35">
      <c r="A615" t="s">
        <v>45434</v>
      </c>
      <c r="D615" t="s">
        <v>770</v>
      </c>
      <c r="E615" t="s">
        <v>43</v>
      </c>
      <c r="I615" s="26">
        <v>43101</v>
      </c>
      <c r="J615" s="28">
        <v>43101</v>
      </c>
      <c r="Q615" t="s">
        <v>44683</v>
      </c>
      <c r="R615" t="s">
        <v>45435</v>
      </c>
    </row>
    <row r="616" spans="1:18" x14ac:dyDescent="0.35">
      <c r="A616" t="s">
        <v>14178</v>
      </c>
      <c r="D616" t="s">
        <v>1096</v>
      </c>
      <c r="E616" t="s">
        <v>43</v>
      </c>
      <c r="I616" s="26">
        <v>43101</v>
      </c>
      <c r="J616" s="28">
        <v>43101</v>
      </c>
      <c r="Q616" t="s">
        <v>44683</v>
      </c>
      <c r="R616" t="s">
        <v>45436</v>
      </c>
    </row>
    <row r="617" spans="1:18" x14ac:dyDescent="0.35">
      <c r="A617" t="s">
        <v>15376</v>
      </c>
      <c r="D617" t="s">
        <v>5467</v>
      </c>
      <c r="E617" t="s">
        <v>43</v>
      </c>
      <c r="I617" s="26">
        <v>43101</v>
      </c>
      <c r="J617" s="28">
        <v>43101</v>
      </c>
      <c r="Q617" t="s">
        <v>44683</v>
      </c>
      <c r="R617" t="s">
        <v>45437</v>
      </c>
    </row>
    <row r="618" spans="1:18" x14ac:dyDescent="0.35">
      <c r="A618" t="s">
        <v>14179</v>
      </c>
      <c r="D618" t="s">
        <v>1096</v>
      </c>
      <c r="E618" t="s">
        <v>43</v>
      </c>
      <c r="I618" s="26">
        <v>43101</v>
      </c>
      <c r="J618" s="28">
        <v>43101</v>
      </c>
      <c r="Q618" t="s">
        <v>44683</v>
      </c>
      <c r="R618" t="s">
        <v>45438</v>
      </c>
    </row>
    <row r="619" spans="1:18" x14ac:dyDescent="0.35">
      <c r="A619" t="s">
        <v>14063</v>
      </c>
      <c r="D619" t="s">
        <v>651</v>
      </c>
      <c r="E619" t="s">
        <v>43</v>
      </c>
      <c r="I619" s="26">
        <v>43101</v>
      </c>
      <c r="J619" s="28">
        <v>43101</v>
      </c>
      <c r="Q619" t="s">
        <v>44683</v>
      </c>
      <c r="R619" t="s">
        <v>45439</v>
      </c>
    </row>
    <row r="620" spans="1:18" x14ac:dyDescent="0.35">
      <c r="A620" t="s">
        <v>14600</v>
      </c>
      <c r="D620" t="s">
        <v>1950</v>
      </c>
      <c r="E620" t="s">
        <v>43</v>
      </c>
      <c r="I620" s="26">
        <v>43101</v>
      </c>
      <c r="J620" s="28">
        <v>43101</v>
      </c>
      <c r="Q620" t="s">
        <v>44683</v>
      </c>
      <c r="R620" t="s">
        <v>45440</v>
      </c>
    </row>
    <row r="621" spans="1:18" x14ac:dyDescent="0.35">
      <c r="A621" t="s">
        <v>14366</v>
      </c>
      <c r="D621" t="s">
        <v>1932</v>
      </c>
      <c r="E621" t="s">
        <v>43</v>
      </c>
      <c r="I621" s="26">
        <v>43101</v>
      </c>
      <c r="J621" s="28">
        <v>43101</v>
      </c>
      <c r="Q621" t="s">
        <v>44683</v>
      </c>
      <c r="R621" t="s">
        <v>45441</v>
      </c>
    </row>
    <row r="622" spans="1:18" x14ac:dyDescent="0.35">
      <c r="A622" t="s">
        <v>45442</v>
      </c>
      <c r="D622" t="s">
        <v>5641</v>
      </c>
      <c r="E622" t="s">
        <v>43</v>
      </c>
      <c r="I622" s="26">
        <v>43101</v>
      </c>
      <c r="J622" s="28">
        <v>43101</v>
      </c>
      <c r="Q622" t="s">
        <v>44683</v>
      </c>
      <c r="R622" t="s">
        <v>45443</v>
      </c>
    </row>
    <row r="623" spans="1:18" x14ac:dyDescent="0.35">
      <c r="A623" t="s">
        <v>16070</v>
      </c>
      <c r="D623" t="s">
        <v>7067</v>
      </c>
      <c r="E623" t="s">
        <v>43</v>
      </c>
      <c r="I623" s="26">
        <v>43101</v>
      </c>
      <c r="J623" s="28">
        <v>43101</v>
      </c>
      <c r="Q623" t="s">
        <v>44683</v>
      </c>
      <c r="R623" t="s">
        <v>45444</v>
      </c>
    </row>
    <row r="624" spans="1:18" x14ac:dyDescent="0.35">
      <c r="A624" t="s">
        <v>45445</v>
      </c>
      <c r="D624" t="s">
        <v>771</v>
      </c>
      <c r="E624" t="s">
        <v>43</v>
      </c>
      <c r="I624" s="26">
        <v>43101</v>
      </c>
      <c r="J624" s="28">
        <v>43101</v>
      </c>
      <c r="Q624" t="s">
        <v>44683</v>
      </c>
      <c r="R624" t="s">
        <v>45446</v>
      </c>
    </row>
    <row r="625" spans="1:18" x14ac:dyDescent="0.35">
      <c r="A625" t="s">
        <v>15975</v>
      </c>
      <c r="D625" t="s">
        <v>6654</v>
      </c>
      <c r="E625" t="s">
        <v>43</v>
      </c>
      <c r="I625" s="26">
        <v>43101</v>
      </c>
      <c r="J625" s="28">
        <v>43101</v>
      </c>
      <c r="Q625" t="s">
        <v>44683</v>
      </c>
      <c r="R625" t="s">
        <v>45447</v>
      </c>
    </row>
    <row r="626" spans="1:18" x14ac:dyDescent="0.35">
      <c r="A626" t="s">
        <v>14156</v>
      </c>
      <c r="D626" t="s">
        <v>1095</v>
      </c>
      <c r="E626" t="s">
        <v>43</v>
      </c>
      <c r="I626" s="26">
        <v>43101</v>
      </c>
      <c r="J626" s="28">
        <v>43101</v>
      </c>
      <c r="Q626" t="s">
        <v>44683</v>
      </c>
      <c r="R626" t="s">
        <v>45448</v>
      </c>
    </row>
    <row r="627" spans="1:18" x14ac:dyDescent="0.35">
      <c r="A627" t="s">
        <v>16073</v>
      </c>
      <c r="D627" t="s">
        <v>7067</v>
      </c>
      <c r="E627" t="s">
        <v>43</v>
      </c>
      <c r="I627" s="26">
        <v>43101</v>
      </c>
      <c r="J627" s="28">
        <v>43101</v>
      </c>
      <c r="Q627" t="s">
        <v>44683</v>
      </c>
      <c r="R627" t="s">
        <v>45449</v>
      </c>
    </row>
    <row r="628" spans="1:18" x14ac:dyDescent="0.35">
      <c r="A628" t="s">
        <v>16074</v>
      </c>
      <c r="D628" t="s">
        <v>7067</v>
      </c>
      <c r="E628" t="s">
        <v>43</v>
      </c>
      <c r="I628" s="26">
        <v>43101</v>
      </c>
      <c r="J628" s="28">
        <v>43101</v>
      </c>
      <c r="Q628" t="s">
        <v>44683</v>
      </c>
      <c r="R628" t="s">
        <v>45450</v>
      </c>
    </row>
    <row r="629" spans="1:18" x14ac:dyDescent="0.35">
      <c r="A629" t="s">
        <v>15999</v>
      </c>
      <c r="D629" t="s">
        <v>7066</v>
      </c>
      <c r="E629" t="s">
        <v>43</v>
      </c>
      <c r="I629" s="26">
        <v>43101</v>
      </c>
      <c r="J629" s="28">
        <v>43101</v>
      </c>
      <c r="Q629" t="s">
        <v>44683</v>
      </c>
      <c r="R629" t="s">
        <v>45451</v>
      </c>
    </row>
    <row r="630" spans="1:18" x14ac:dyDescent="0.35">
      <c r="A630" t="s">
        <v>16000</v>
      </c>
      <c r="D630" t="s">
        <v>7066</v>
      </c>
      <c r="E630" t="s">
        <v>43</v>
      </c>
      <c r="I630" s="26">
        <v>43101</v>
      </c>
      <c r="J630" s="28">
        <v>43101</v>
      </c>
      <c r="Q630" t="s">
        <v>44683</v>
      </c>
      <c r="R630" t="s">
        <v>45452</v>
      </c>
    </row>
    <row r="631" spans="1:18" x14ac:dyDescent="0.35">
      <c r="A631" t="s">
        <v>14064</v>
      </c>
      <c r="D631" t="s">
        <v>651</v>
      </c>
      <c r="E631" t="s">
        <v>43</v>
      </c>
      <c r="I631" s="26">
        <v>43101</v>
      </c>
      <c r="J631" s="28">
        <v>43101</v>
      </c>
      <c r="Q631" t="s">
        <v>44683</v>
      </c>
      <c r="R631" t="s">
        <v>45453</v>
      </c>
    </row>
    <row r="632" spans="1:18" x14ac:dyDescent="0.35">
      <c r="A632" t="s">
        <v>14571</v>
      </c>
      <c r="D632" t="s">
        <v>1943</v>
      </c>
      <c r="E632" t="s">
        <v>43</v>
      </c>
      <c r="I632" s="26">
        <v>43101</v>
      </c>
      <c r="J632" s="28">
        <v>43101</v>
      </c>
      <c r="Q632" t="s">
        <v>44683</v>
      </c>
      <c r="R632" t="s">
        <v>45454</v>
      </c>
    </row>
    <row r="633" spans="1:18" x14ac:dyDescent="0.35">
      <c r="A633" t="s">
        <v>15976</v>
      </c>
      <c r="D633" t="s">
        <v>6654</v>
      </c>
      <c r="E633" t="s">
        <v>43</v>
      </c>
      <c r="I633" s="26">
        <v>43101</v>
      </c>
      <c r="J633" s="28">
        <v>43101</v>
      </c>
      <c r="Q633" t="s">
        <v>44683</v>
      </c>
      <c r="R633" t="s">
        <v>45455</v>
      </c>
    </row>
    <row r="634" spans="1:18" x14ac:dyDescent="0.35">
      <c r="A634" t="s">
        <v>45456</v>
      </c>
      <c r="D634" t="s">
        <v>1950</v>
      </c>
      <c r="E634" t="s">
        <v>43</v>
      </c>
      <c r="I634" s="26">
        <v>43101</v>
      </c>
      <c r="J634" s="28">
        <v>43101</v>
      </c>
      <c r="Q634" t="s">
        <v>44683</v>
      </c>
      <c r="R634" t="s">
        <v>45457</v>
      </c>
    </row>
    <row r="635" spans="1:18" x14ac:dyDescent="0.35">
      <c r="A635" t="s">
        <v>14549</v>
      </c>
      <c r="D635" t="s">
        <v>1936</v>
      </c>
      <c r="E635" t="s">
        <v>43</v>
      </c>
      <c r="I635" s="26">
        <v>43101</v>
      </c>
      <c r="J635" s="28">
        <v>43101</v>
      </c>
      <c r="Q635" t="s">
        <v>44683</v>
      </c>
      <c r="R635" t="s">
        <v>45458</v>
      </c>
    </row>
    <row r="636" spans="1:18" x14ac:dyDescent="0.35">
      <c r="A636" t="s">
        <v>15378</v>
      </c>
      <c r="D636" t="s">
        <v>5467</v>
      </c>
      <c r="E636" t="s">
        <v>43</v>
      </c>
      <c r="I636" s="26">
        <v>43101</v>
      </c>
      <c r="J636" s="28">
        <v>43101</v>
      </c>
      <c r="Q636" t="s">
        <v>44683</v>
      </c>
      <c r="R636" t="s">
        <v>45459</v>
      </c>
    </row>
    <row r="637" spans="1:18" x14ac:dyDescent="0.35">
      <c r="A637" t="s">
        <v>16079</v>
      </c>
      <c r="D637" t="s">
        <v>7067</v>
      </c>
      <c r="E637" t="s">
        <v>43</v>
      </c>
      <c r="I637" s="26">
        <v>43101</v>
      </c>
      <c r="J637" s="28">
        <v>43101</v>
      </c>
      <c r="Q637" t="s">
        <v>44683</v>
      </c>
      <c r="R637" t="s">
        <v>45460</v>
      </c>
    </row>
    <row r="638" spans="1:18" x14ac:dyDescent="0.35">
      <c r="A638" t="s">
        <v>45461</v>
      </c>
      <c r="D638" t="s">
        <v>3516</v>
      </c>
      <c r="E638" t="s">
        <v>43</v>
      </c>
      <c r="I638" s="26">
        <v>43101</v>
      </c>
      <c r="J638" s="28">
        <v>43101</v>
      </c>
      <c r="Q638" t="s">
        <v>44683</v>
      </c>
      <c r="R638" t="s">
        <v>45462</v>
      </c>
    </row>
    <row r="639" spans="1:18" x14ac:dyDescent="0.35">
      <c r="A639" t="s">
        <v>14990</v>
      </c>
      <c r="D639" t="s">
        <v>2991</v>
      </c>
      <c r="E639" t="s">
        <v>43</v>
      </c>
      <c r="I639" s="26">
        <v>43101</v>
      </c>
      <c r="J639" s="28">
        <v>43101</v>
      </c>
      <c r="Q639" t="s">
        <v>44683</v>
      </c>
      <c r="R639" t="s">
        <v>45463</v>
      </c>
    </row>
    <row r="640" spans="1:18" x14ac:dyDescent="0.35">
      <c r="A640" t="s">
        <v>45464</v>
      </c>
      <c r="D640" t="s">
        <v>6585</v>
      </c>
      <c r="E640" t="s">
        <v>43</v>
      </c>
      <c r="I640" s="26">
        <v>43101</v>
      </c>
      <c r="J640" s="28">
        <v>43101</v>
      </c>
      <c r="Q640" t="s">
        <v>44683</v>
      </c>
      <c r="R640" t="s">
        <v>45465</v>
      </c>
    </row>
    <row r="641" spans="1:18" x14ac:dyDescent="0.35">
      <c r="A641" t="s">
        <v>14367</v>
      </c>
      <c r="D641" t="s">
        <v>1932</v>
      </c>
      <c r="E641" t="s">
        <v>43</v>
      </c>
      <c r="I641" s="26">
        <v>43101</v>
      </c>
      <c r="J641" s="28">
        <v>43101</v>
      </c>
      <c r="Q641" t="s">
        <v>44683</v>
      </c>
      <c r="R641" t="s">
        <v>45466</v>
      </c>
    </row>
    <row r="642" spans="1:18" x14ac:dyDescent="0.35">
      <c r="A642" t="s">
        <v>16001</v>
      </c>
      <c r="D642" t="s">
        <v>7066</v>
      </c>
      <c r="E642" t="s">
        <v>43</v>
      </c>
      <c r="I642" s="26">
        <v>43101</v>
      </c>
      <c r="J642" s="28">
        <v>43101</v>
      </c>
      <c r="Q642" t="s">
        <v>44683</v>
      </c>
      <c r="R642" t="s">
        <v>45467</v>
      </c>
    </row>
    <row r="643" spans="1:18" x14ac:dyDescent="0.35">
      <c r="A643" t="s">
        <v>14065</v>
      </c>
      <c r="D643" t="s">
        <v>651</v>
      </c>
      <c r="E643" t="s">
        <v>43</v>
      </c>
      <c r="I643" s="26">
        <v>43101</v>
      </c>
      <c r="J643" s="28">
        <v>43101</v>
      </c>
      <c r="Q643" t="s">
        <v>44683</v>
      </c>
      <c r="R643" t="s">
        <v>45468</v>
      </c>
    </row>
    <row r="644" spans="1:18" x14ac:dyDescent="0.35">
      <c r="A644" t="s">
        <v>15326</v>
      </c>
      <c r="D644" t="s">
        <v>5360</v>
      </c>
      <c r="E644" t="s">
        <v>43</v>
      </c>
      <c r="I644" s="26">
        <v>43101</v>
      </c>
      <c r="J644" s="28">
        <v>43101</v>
      </c>
      <c r="Q644" t="s">
        <v>44683</v>
      </c>
      <c r="R644" t="s">
        <v>45469</v>
      </c>
    </row>
    <row r="645" spans="1:18" x14ac:dyDescent="0.35">
      <c r="A645" t="s">
        <v>45470</v>
      </c>
      <c r="D645" t="s">
        <v>1950</v>
      </c>
      <c r="E645" t="s">
        <v>43</v>
      </c>
      <c r="I645" s="26">
        <v>43101</v>
      </c>
      <c r="J645" s="28">
        <v>43101</v>
      </c>
      <c r="Q645" t="s">
        <v>44683</v>
      </c>
      <c r="R645" t="s">
        <v>45471</v>
      </c>
    </row>
    <row r="646" spans="1:18" x14ac:dyDescent="0.35">
      <c r="A646" t="s">
        <v>15402</v>
      </c>
      <c r="D646" t="s">
        <v>5469</v>
      </c>
      <c r="E646" t="s">
        <v>43</v>
      </c>
      <c r="I646" s="26">
        <v>43101</v>
      </c>
      <c r="J646" s="28">
        <v>43101</v>
      </c>
      <c r="Q646" t="s">
        <v>44683</v>
      </c>
      <c r="R646" t="s">
        <v>45472</v>
      </c>
    </row>
    <row r="647" spans="1:18" x14ac:dyDescent="0.35">
      <c r="A647" t="s">
        <v>16084</v>
      </c>
      <c r="D647" t="s">
        <v>7067</v>
      </c>
      <c r="E647" t="s">
        <v>43</v>
      </c>
      <c r="I647" s="26">
        <v>43101</v>
      </c>
      <c r="J647" s="28">
        <v>43101</v>
      </c>
      <c r="Q647" t="s">
        <v>44683</v>
      </c>
      <c r="R647" t="s">
        <v>45473</v>
      </c>
    </row>
    <row r="648" spans="1:18" x14ac:dyDescent="0.35">
      <c r="A648" t="s">
        <v>16085</v>
      </c>
      <c r="D648" t="s">
        <v>7067</v>
      </c>
      <c r="E648" t="s">
        <v>43</v>
      </c>
      <c r="I648" s="26">
        <v>43101</v>
      </c>
      <c r="J648" s="28">
        <v>43101</v>
      </c>
      <c r="Q648" t="s">
        <v>44683</v>
      </c>
      <c r="R648" t="s">
        <v>45474</v>
      </c>
    </row>
    <row r="649" spans="1:18" x14ac:dyDescent="0.35">
      <c r="A649" t="s">
        <v>45475</v>
      </c>
      <c r="D649" t="s">
        <v>768</v>
      </c>
      <c r="E649" t="s">
        <v>43</v>
      </c>
      <c r="I649" s="26">
        <v>43101</v>
      </c>
      <c r="J649" s="28">
        <v>43101</v>
      </c>
      <c r="Q649" t="s">
        <v>44683</v>
      </c>
      <c r="R649" t="s">
        <v>45476</v>
      </c>
    </row>
    <row r="650" spans="1:18" x14ac:dyDescent="0.35">
      <c r="A650" t="s">
        <v>16086</v>
      </c>
      <c r="D650" t="s">
        <v>7067</v>
      </c>
      <c r="E650" t="s">
        <v>43</v>
      </c>
      <c r="I650" s="26">
        <v>43101</v>
      </c>
      <c r="J650" s="28">
        <v>43101</v>
      </c>
      <c r="Q650" t="s">
        <v>44683</v>
      </c>
      <c r="R650" t="s">
        <v>45477</v>
      </c>
    </row>
    <row r="651" spans="1:18" x14ac:dyDescent="0.35">
      <c r="A651" t="s">
        <v>45478</v>
      </c>
      <c r="D651" t="s">
        <v>5641</v>
      </c>
      <c r="E651" t="s">
        <v>43</v>
      </c>
      <c r="I651" s="26">
        <v>43101</v>
      </c>
      <c r="J651" s="28">
        <v>43101</v>
      </c>
      <c r="Q651" t="s">
        <v>44683</v>
      </c>
      <c r="R651" t="s">
        <v>45479</v>
      </c>
    </row>
    <row r="652" spans="1:18" x14ac:dyDescent="0.35">
      <c r="A652" t="s">
        <v>45480</v>
      </c>
      <c r="D652" t="s">
        <v>768</v>
      </c>
      <c r="E652" t="s">
        <v>43</v>
      </c>
      <c r="I652" s="26">
        <v>43101</v>
      </c>
      <c r="J652" s="28">
        <v>43101</v>
      </c>
      <c r="Q652" t="s">
        <v>44683</v>
      </c>
      <c r="R652" t="s">
        <v>45481</v>
      </c>
    </row>
    <row r="653" spans="1:18" x14ac:dyDescent="0.35">
      <c r="A653" t="s">
        <v>16002</v>
      </c>
      <c r="D653" t="s">
        <v>7066</v>
      </c>
      <c r="E653" t="s">
        <v>43</v>
      </c>
      <c r="I653" s="26">
        <v>43101</v>
      </c>
      <c r="J653" s="28">
        <v>43101</v>
      </c>
      <c r="Q653" t="s">
        <v>44683</v>
      </c>
      <c r="R653" t="s">
        <v>45482</v>
      </c>
    </row>
    <row r="654" spans="1:18" x14ac:dyDescent="0.35">
      <c r="A654" t="s">
        <v>16087</v>
      </c>
      <c r="D654" t="s">
        <v>7067</v>
      </c>
      <c r="E654" t="s">
        <v>43</v>
      </c>
      <c r="I654" s="26">
        <v>43101</v>
      </c>
      <c r="J654" s="28">
        <v>43101</v>
      </c>
      <c r="Q654" t="s">
        <v>44683</v>
      </c>
      <c r="R654" t="s">
        <v>45483</v>
      </c>
    </row>
    <row r="655" spans="1:18" x14ac:dyDescent="0.35">
      <c r="A655" t="s">
        <v>15390</v>
      </c>
      <c r="D655" t="s">
        <v>5468</v>
      </c>
      <c r="E655" t="s">
        <v>43</v>
      </c>
      <c r="I655" s="26">
        <v>43101</v>
      </c>
      <c r="J655" s="28">
        <v>43101</v>
      </c>
      <c r="Q655" t="s">
        <v>44683</v>
      </c>
      <c r="R655" t="s">
        <v>45484</v>
      </c>
    </row>
    <row r="656" spans="1:18" x14ac:dyDescent="0.35">
      <c r="A656" t="s">
        <v>14409</v>
      </c>
      <c r="D656" t="s">
        <v>2001</v>
      </c>
      <c r="E656" t="s">
        <v>43</v>
      </c>
      <c r="I656" s="26">
        <v>43101</v>
      </c>
      <c r="J656" s="28">
        <v>43101</v>
      </c>
      <c r="Q656" t="s">
        <v>44683</v>
      </c>
      <c r="R656" t="s">
        <v>45485</v>
      </c>
    </row>
    <row r="657" spans="1:18" x14ac:dyDescent="0.35">
      <c r="A657" t="s">
        <v>14601</v>
      </c>
      <c r="D657" t="s">
        <v>1950</v>
      </c>
      <c r="E657" t="s">
        <v>43</v>
      </c>
      <c r="I657" s="26">
        <v>43101</v>
      </c>
      <c r="J657" s="28">
        <v>43101</v>
      </c>
      <c r="Q657" t="s">
        <v>44683</v>
      </c>
      <c r="R657" t="s">
        <v>45486</v>
      </c>
    </row>
    <row r="658" spans="1:18" x14ac:dyDescent="0.35">
      <c r="A658" t="s">
        <v>45487</v>
      </c>
      <c r="D658" t="s">
        <v>5641</v>
      </c>
      <c r="E658" t="s">
        <v>43</v>
      </c>
      <c r="I658" s="26">
        <v>43101</v>
      </c>
      <c r="J658" s="28">
        <v>43101</v>
      </c>
      <c r="Q658" t="s">
        <v>44683</v>
      </c>
      <c r="R658" t="s">
        <v>45488</v>
      </c>
    </row>
    <row r="659" spans="1:18" x14ac:dyDescent="0.35">
      <c r="A659" t="s">
        <v>16089</v>
      </c>
      <c r="D659" t="s">
        <v>7067</v>
      </c>
      <c r="E659" t="s">
        <v>43</v>
      </c>
      <c r="I659" s="26">
        <v>43101</v>
      </c>
      <c r="J659" s="28">
        <v>43101</v>
      </c>
      <c r="Q659" t="s">
        <v>44683</v>
      </c>
      <c r="R659" t="s">
        <v>45489</v>
      </c>
    </row>
    <row r="660" spans="1:18" x14ac:dyDescent="0.35">
      <c r="A660" t="s">
        <v>13505</v>
      </c>
      <c r="D660" t="s">
        <v>7066</v>
      </c>
      <c r="E660" t="s">
        <v>43</v>
      </c>
      <c r="I660" s="26">
        <v>43101</v>
      </c>
      <c r="J660" s="28">
        <v>43101</v>
      </c>
      <c r="Q660" t="s">
        <v>44683</v>
      </c>
      <c r="R660" t="s">
        <v>45490</v>
      </c>
    </row>
    <row r="661" spans="1:18" x14ac:dyDescent="0.35">
      <c r="A661" t="s">
        <v>45491</v>
      </c>
      <c r="D661" t="s">
        <v>5641</v>
      </c>
      <c r="E661" t="s">
        <v>43</v>
      </c>
      <c r="I661" s="26">
        <v>43101</v>
      </c>
      <c r="J661" s="28">
        <v>43101</v>
      </c>
      <c r="Q661" t="s">
        <v>44683</v>
      </c>
      <c r="R661" t="s">
        <v>45492</v>
      </c>
    </row>
    <row r="662" spans="1:18" x14ac:dyDescent="0.35">
      <c r="A662" t="s">
        <v>16090</v>
      </c>
      <c r="D662" t="s">
        <v>7067</v>
      </c>
      <c r="E662" t="s">
        <v>43</v>
      </c>
      <c r="I662" s="26">
        <v>43101</v>
      </c>
      <c r="J662" s="28">
        <v>43101</v>
      </c>
      <c r="Q662" t="s">
        <v>44683</v>
      </c>
      <c r="R662" t="s">
        <v>45493</v>
      </c>
    </row>
    <row r="663" spans="1:18" x14ac:dyDescent="0.35">
      <c r="A663" t="s">
        <v>45494</v>
      </c>
      <c r="D663" t="s">
        <v>768</v>
      </c>
      <c r="E663" t="s">
        <v>43</v>
      </c>
      <c r="I663" s="26">
        <v>43101</v>
      </c>
      <c r="J663" s="28">
        <v>43101</v>
      </c>
      <c r="Q663" t="s">
        <v>44683</v>
      </c>
      <c r="R663" t="s">
        <v>45495</v>
      </c>
    </row>
    <row r="664" spans="1:18" x14ac:dyDescent="0.35">
      <c r="A664" t="s">
        <v>45496</v>
      </c>
      <c r="D664" t="s">
        <v>7066</v>
      </c>
      <c r="E664" t="s">
        <v>43</v>
      </c>
      <c r="I664" s="26">
        <v>43101</v>
      </c>
      <c r="J664" s="28">
        <v>43101</v>
      </c>
      <c r="Q664" t="s">
        <v>44683</v>
      </c>
      <c r="R664" t="s">
        <v>45497</v>
      </c>
    </row>
    <row r="665" spans="1:18" x14ac:dyDescent="0.35">
      <c r="A665" t="s">
        <v>15417</v>
      </c>
      <c r="D665" t="s">
        <v>5470</v>
      </c>
      <c r="E665" t="s">
        <v>43</v>
      </c>
      <c r="I665" s="26">
        <v>43101</v>
      </c>
      <c r="J665" s="28">
        <v>43101</v>
      </c>
      <c r="Q665" t="s">
        <v>44683</v>
      </c>
      <c r="R665" t="s">
        <v>45498</v>
      </c>
    </row>
    <row r="666" spans="1:18" x14ac:dyDescent="0.35">
      <c r="A666" t="s">
        <v>14431</v>
      </c>
      <c r="D666" t="s">
        <v>2003</v>
      </c>
      <c r="E666" t="s">
        <v>43</v>
      </c>
      <c r="I666" s="26">
        <v>43101</v>
      </c>
      <c r="J666" s="28">
        <v>43101</v>
      </c>
      <c r="Q666" t="s">
        <v>44683</v>
      </c>
      <c r="R666" t="s">
        <v>45499</v>
      </c>
    </row>
    <row r="667" spans="1:18" x14ac:dyDescent="0.35">
      <c r="A667" t="s">
        <v>14158</v>
      </c>
      <c r="D667" t="s">
        <v>1095</v>
      </c>
      <c r="E667" t="s">
        <v>43</v>
      </c>
      <c r="I667" s="26">
        <v>43101</v>
      </c>
      <c r="J667" s="28">
        <v>43101</v>
      </c>
      <c r="Q667" t="s">
        <v>44683</v>
      </c>
      <c r="R667" t="s">
        <v>45500</v>
      </c>
    </row>
    <row r="668" spans="1:18" x14ac:dyDescent="0.35">
      <c r="A668" t="s">
        <v>16091</v>
      </c>
      <c r="D668" t="s">
        <v>7067</v>
      </c>
      <c r="E668" t="s">
        <v>43</v>
      </c>
      <c r="I668" s="26">
        <v>43101</v>
      </c>
      <c r="J668" s="28">
        <v>43101</v>
      </c>
      <c r="Q668" t="s">
        <v>44683</v>
      </c>
      <c r="R668" t="s">
        <v>45501</v>
      </c>
    </row>
    <row r="669" spans="1:18" x14ac:dyDescent="0.35">
      <c r="A669" t="s">
        <v>45502</v>
      </c>
      <c r="D669" t="s">
        <v>5641</v>
      </c>
      <c r="E669" t="s">
        <v>43</v>
      </c>
      <c r="I669" s="26">
        <v>43101</v>
      </c>
      <c r="J669" s="28">
        <v>43101</v>
      </c>
      <c r="Q669" t="s">
        <v>44683</v>
      </c>
      <c r="R669" t="s">
        <v>45503</v>
      </c>
    </row>
    <row r="670" spans="1:18" x14ac:dyDescent="0.35">
      <c r="A670" t="s">
        <v>14370</v>
      </c>
      <c r="D670" t="s">
        <v>1932</v>
      </c>
      <c r="E670" t="s">
        <v>43</v>
      </c>
      <c r="I670" s="26">
        <v>43101</v>
      </c>
      <c r="J670" s="28">
        <v>43101</v>
      </c>
      <c r="Q670" t="s">
        <v>44683</v>
      </c>
      <c r="R670" t="s">
        <v>45504</v>
      </c>
    </row>
    <row r="671" spans="1:18" x14ac:dyDescent="0.35">
      <c r="A671" t="s">
        <v>45505</v>
      </c>
      <c r="D671" t="s">
        <v>5641</v>
      </c>
      <c r="E671" t="s">
        <v>43</v>
      </c>
      <c r="I671" s="26">
        <v>43101</v>
      </c>
      <c r="J671" s="28">
        <v>43101</v>
      </c>
      <c r="Q671" t="s">
        <v>44683</v>
      </c>
      <c r="R671" t="s">
        <v>45506</v>
      </c>
    </row>
    <row r="672" spans="1:18" x14ac:dyDescent="0.35">
      <c r="A672" t="s">
        <v>14041</v>
      </c>
      <c r="D672" t="s">
        <v>218</v>
      </c>
      <c r="E672" t="s">
        <v>43</v>
      </c>
      <c r="I672" s="26">
        <v>43101</v>
      </c>
      <c r="J672" s="28">
        <v>43101</v>
      </c>
      <c r="Q672" t="s">
        <v>44683</v>
      </c>
      <c r="R672" t="s">
        <v>45507</v>
      </c>
    </row>
    <row r="673" spans="1:18" x14ac:dyDescent="0.35">
      <c r="A673" t="s">
        <v>14145</v>
      </c>
      <c r="D673" t="s">
        <v>1094</v>
      </c>
      <c r="E673" t="s">
        <v>43</v>
      </c>
      <c r="I673" s="26">
        <v>43101</v>
      </c>
      <c r="J673" s="28">
        <v>43101</v>
      </c>
      <c r="Q673" t="s">
        <v>44683</v>
      </c>
      <c r="R673" t="s">
        <v>45508</v>
      </c>
    </row>
    <row r="674" spans="1:18" x14ac:dyDescent="0.35">
      <c r="A674" t="s">
        <v>14181</v>
      </c>
      <c r="D674" t="s">
        <v>1096</v>
      </c>
      <c r="E674" t="s">
        <v>43</v>
      </c>
      <c r="I674" s="26">
        <v>43101</v>
      </c>
      <c r="J674" s="28">
        <v>43101</v>
      </c>
      <c r="Q674" t="s">
        <v>44683</v>
      </c>
      <c r="R674" t="s">
        <v>45509</v>
      </c>
    </row>
    <row r="675" spans="1:18" x14ac:dyDescent="0.35">
      <c r="A675" t="s">
        <v>15403</v>
      </c>
      <c r="D675" t="s">
        <v>5469</v>
      </c>
      <c r="E675" t="s">
        <v>43</v>
      </c>
      <c r="I675" s="26">
        <v>43101</v>
      </c>
      <c r="J675" s="28">
        <v>43101</v>
      </c>
      <c r="Q675" t="s">
        <v>44683</v>
      </c>
      <c r="R675" t="s">
        <v>45510</v>
      </c>
    </row>
    <row r="676" spans="1:18" x14ac:dyDescent="0.35">
      <c r="A676" t="s">
        <v>45511</v>
      </c>
      <c r="D676" t="s">
        <v>5641</v>
      </c>
      <c r="E676" t="s">
        <v>43</v>
      </c>
      <c r="I676" s="26">
        <v>43101</v>
      </c>
      <c r="J676" s="28">
        <v>43101</v>
      </c>
      <c r="Q676" t="s">
        <v>44683</v>
      </c>
      <c r="R676" t="s">
        <v>45512</v>
      </c>
    </row>
    <row r="677" spans="1:18" x14ac:dyDescent="0.35">
      <c r="A677" t="s">
        <v>16092</v>
      </c>
      <c r="D677" t="s">
        <v>7067</v>
      </c>
      <c r="E677" t="s">
        <v>43</v>
      </c>
      <c r="I677" s="26">
        <v>43101</v>
      </c>
      <c r="J677" s="28">
        <v>43101</v>
      </c>
      <c r="Q677" t="s">
        <v>44683</v>
      </c>
      <c r="R677" t="s">
        <v>45513</v>
      </c>
    </row>
    <row r="678" spans="1:18" x14ac:dyDescent="0.35">
      <c r="A678" t="s">
        <v>14422</v>
      </c>
      <c r="D678" t="s">
        <v>2002</v>
      </c>
      <c r="E678" t="s">
        <v>43</v>
      </c>
      <c r="I678" s="26">
        <v>43101</v>
      </c>
      <c r="J678" s="28">
        <v>43101</v>
      </c>
      <c r="Q678" t="s">
        <v>44683</v>
      </c>
      <c r="R678" t="s">
        <v>45514</v>
      </c>
    </row>
    <row r="679" spans="1:18" x14ac:dyDescent="0.35">
      <c r="A679" t="s">
        <v>16093</v>
      </c>
      <c r="D679" t="s">
        <v>7067</v>
      </c>
      <c r="E679" t="s">
        <v>43</v>
      </c>
      <c r="I679" s="26">
        <v>43101</v>
      </c>
      <c r="J679" s="28">
        <v>43101</v>
      </c>
      <c r="Q679" t="s">
        <v>44683</v>
      </c>
      <c r="R679" t="s">
        <v>45515</v>
      </c>
    </row>
    <row r="680" spans="1:18" x14ac:dyDescent="0.35">
      <c r="A680" t="s">
        <v>16094</v>
      </c>
      <c r="D680" t="s">
        <v>7067</v>
      </c>
      <c r="E680" t="s">
        <v>43</v>
      </c>
      <c r="I680" s="26">
        <v>43101</v>
      </c>
      <c r="J680" s="28">
        <v>43101</v>
      </c>
      <c r="Q680" t="s">
        <v>44683</v>
      </c>
      <c r="R680" t="s">
        <v>45516</v>
      </c>
    </row>
    <row r="681" spans="1:18" x14ac:dyDescent="0.35">
      <c r="A681" t="s">
        <v>16096</v>
      </c>
      <c r="D681" t="s">
        <v>7067</v>
      </c>
      <c r="E681" t="s">
        <v>43</v>
      </c>
      <c r="I681" s="26">
        <v>43101</v>
      </c>
      <c r="J681" s="28">
        <v>43101</v>
      </c>
      <c r="Q681" t="s">
        <v>44683</v>
      </c>
      <c r="R681" t="s">
        <v>45517</v>
      </c>
    </row>
    <row r="682" spans="1:18" x14ac:dyDescent="0.35">
      <c r="A682" t="s">
        <v>16097</v>
      </c>
      <c r="D682" t="s">
        <v>7067</v>
      </c>
      <c r="E682" t="s">
        <v>43</v>
      </c>
      <c r="I682" s="26">
        <v>43101</v>
      </c>
      <c r="J682" s="28">
        <v>43101</v>
      </c>
      <c r="Q682" t="s">
        <v>44683</v>
      </c>
      <c r="R682" t="s">
        <v>45518</v>
      </c>
    </row>
    <row r="683" spans="1:18" x14ac:dyDescent="0.35">
      <c r="A683" t="s">
        <v>16098</v>
      </c>
      <c r="D683" t="s">
        <v>7067</v>
      </c>
      <c r="E683" t="s">
        <v>43</v>
      </c>
      <c r="I683" s="26">
        <v>43101</v>
      </c>
      <c r="J683" s="28">
        <v>43101</v>
      </c>
      <c r="Q683" t="s">
        <v>44683</v>
      </c>
      <c r="R683" t="s">
        <v>45519</v>
      </c>
    </row>
    <row r="684" spans="1:18" x14ac:dyDescent="0.35">
      <c r="A684" t="s">
        <v>14980</v>
      </c>
      <c r="D684" t="s">
        <v>2987</v>
      </c>
      <c r="E684" t="s">
        <v>43</v>
      </c>
      <c r="I684" s="26">
        <v>43101</v>
      </c>
      <c r="J684" s="28">
        <v>43101</v>
      </c>
      <c r="Q684" t="s">
        <v>44683</v>
      </c>
      <c r="R684" t="s">
        <v>45520</v>
      </c>
    </row>
    <row r="685" spans="1:18" x14ac:dyDescent="0.35">
      <c r="A685" t="s">
        <v>16099</v>
      </c>
      <c r="D685" t="s">
        <v>7067</v>
      </c>
      <c r="E685" t="s">
        <v>43</v>
      </c>
      <c r="I685" s="26">
        <v>43101</v>
      </c>
      <c r="J685" s="28">
        <v>43101</v>
      </c>
      <c r="Q685" t="s">
        <v>44683</v>
      </c>
      <c r="R685" t="s">
        <v>45521</v>
      </c>
    </row>
    <row r="686" spans="1:18" x14ac:dyDescent="0.35">
      <c r="A686" t="s">
        <v>16100</v>
      </c>
      <c r="D686" t="s">
        <v>7067</v>
      </c>
      <c r="E686" t="s">
        <v>43</v>
      </c>
      <c r="I686" s="26">
        <v>43101</v>
      </c>
      <c r="J686" s="28">
        <v>43101</v>
      </c>
      <c r="Q686" t="s">
        <v>44683</v>
      </c>
      <c r="R686" t="s">
        <v>45522</v>
      </c>
    </row>
    <row r="687" spans="1:18" x14ac:dyDescent="0.35">
      <c r="A687" t="s">
        <v>16101</v>
      </c>
      <c r="D687" t="s">
        <v>7067</v>
      </c>
      <c r="E687" t="s">
        <v>43</v>
      </c>
      <c r="I687" s="26">
        <v>43101</v>
      </c>
      <c r="J687" s="28">
        <v>43101</v>
      </c>
      <c r="Q687" t="s">
        <v>44683</v>
      </c>
      <c r="R687" t="s">
        <v>45523</v>
      </c>
    </row>
    <row r="688" spans="1:18" x14ac:dyDescent="0.35">
      <c r="A688" t="s">
        <v>16003</v>
      </c>
      <c r="D688" t="s">
        <v>7066</v>
      </c>
      <c r="E688" t="s">
        <v>43</v>
      </c>
      <c r="I688" s="26">
        <v>43101</v>
      </c>
      <c r="J688" s="28">
        <v>43101</v>
      </c>
      <c r="Q688" t="s">
        <v>44683</v>
      </c>
      <c r="R688" t="s">
        <v>45524</v>
      </c>
    </row>
    <row r="689" spans="1:18" x14ac:dyDescent="0.35">
      <c r="A689" t="s">
        <v>16102</v>
      </c>
      <c r="D689" t="s">
        <v>7067</v>
      </c>
      <c r="E689" t="s">
        <v>43</v>
      </c>
      <c r="I689" s="26">
        <v>43101</v>
      </c>
      <c r="J689" s="28">
        <v>43101</v>
      </c>
      <c r="Q689" t="s">
        <v>44683</v>
      </c>
      <c r="R689" t="s">
        <v>45525</v>
      </c>
    </row>
    <row r="690" spans="1:18" x14ac:dyDescent="0.35">
      <c r="A690" t="s">
        <v>16004</v>
      </c>
      <c r="D690" t="s">
        <v>7066</v>
      </c>
      <c r="E690" t="s">
        <v>43</v>
      </c>
      <c r="I690" s="26">
        <v>43101</v>
      </c>
      <c r="J690" s="28">
        <v>43101</v>
      </c>
      <c r="Q690" t="s">
        <v>44683</v>
      </c>
      <c r="R690" t="s">
        <v>45526</v>
      </c>
    </row>
    <row r="691" spans="1:18" x14ac:dyDescent="0.35">
      <c r="A691" t="s">
        <v>45527</v>
      </c>
      <c r="D691" t="s">
        <v>768</v>
      </c>
      <c r="E691" t="s">
        <v>43</v>
      </c>
      <c r="I691" s="26">
        <v>43101</v>
      </c>
      <c r="J691" s="28">
        <v>43101</v>
      </c>
      <c r="Q691" t="s">
        <v>44683</v>
      </c>
      <c r="R691" t="s">
        <v>45528</v>
      </c>
    </row>
    <row r="692" spans="1:18" x14ac:dyDescent="0.35">
      <c r="A692" t="s">
        <v>16005</v>
      </c>
      <c r="D692" t="s">
        <v>7066</v>
      </c>
      <c r="E692" t="s">
        <v>43</v>
      </c>
      <c r="I692" s="26">
        <v>43101</v>
      </c>
      <c r="J692" s="28">
        <v>43101</v>
      </c>
      <c r="Q692" t="s">
        <v>44683</v>
      </c>
      <c r="R692" t="s">
        <v>45529</v>
      </c>
    </row>
    <row r="693" spans="1:18" x14ac:dyDescent="0.35">
      <c r="A693" t="s">
        <v>45530</v>
      </c>
      <c r="D693" t="s">
        <v>770</v>
      </c>
      <c r="E693" t="s">
        <v>43</v>
      </c>
      <c r="I693" s="26">
        <v>43101</v>
      </c>
      <c r="J693" s="28">
        <v>43101</v>
      </c>
      <c r="Q693" t="s">
        <v>44683</v>
      </c>
      <c r="R693" t="s">
        <v>45531</v>
      </c>
    </row>
    <row r="694" spans="1:18" x14ac:dyDescent="0.35">
      <c r="A694" t="s">
        <v>14368</v>
      </c>
      <c r="D694" t="s">
        <v>1932</v>
      </c>
      <c r="E694" t="s">
        <v>43</v>
      </c>
      <c r="I694" s="26">
        <v>43101</v>
      </c>
      <c r="J694" s="28">
        <v>43101</v>
      </c>
      <c r="Q694" t="s">
        <v>44683</v>
      </c>
      <c r="R694" t="s">
        <v>45532</v>
      </c>
    </row>
    <row r="695" spans="1:18" x14ac:dyDescent="0.35">
      <c r="A695" t="s">
        <v>14160</v>
      </c>
      <c r="D695" t="s">
        <v>1095</v>
      </c>
      <c r="E695" t="s">
        <v>43</v>
      </c>
      <c r="I695" s="26">
        <v>43101</v>
      </c>
      <c r="J695" s="28">
        <v>43101</v>
      </c>
      <c r="Q695" t="s">
        <v>44683</v>
      </c>
      <c r="R695" t="s">
        <v>45533</v>
      </c>
    </row>
    <row r="696" spans="1:18" x14ac:dyDescent="0.35">
      <c r="A696" t="s">
        <v>45534</v>
      </c>
      <c r="D696" t="s">
        <v>1932</v>
      </c>
      <c r="E696" t="s">
        <v>43</v>
      </c>
      <c r="I696" s="26">
        <v>43101</v>
      </c>
      <c r="J696" s="28">
        <v>43101</v>
      </c>
      <c r="Q696" t="s">
        <v>44683</v>
      </c>
      <c r="R696" t="s">
        <v>45535</v>
      </c>
    </row>
    <row r="697" spans="1:18" x14ac:dyDescent="0.35">
      <c r="A697" t="s">
        <v>14603</v>
      </c>
      <c r="D697" t="s">
        <v>2127</v>
      </c>
      <c r="E697" t="s">
        <v>43</v>
      </c>
      <c r="I697" s="26">
        <v>43101</v>
      </c>
      <c r="J697" s="28">
        <v>43101</v>
      </c>
      <c r="Q697" t="s">
        <v>44683</v>
      </c>
      <c r="R697" t="s">
        <v>45536</v>
      </c>
    </row>
    <row r="698" spans="1:18" x14ac:dyDescent="0.35">
      <c r="A698" t="s">
        <v>15367</v>
      </c>
      <c r="D698" t="s">
        <v>5466</v>
      </c>
      <c r="E698" t="s">
        <v>43</v>
      </c>
      <c r="I698" s="26">
        <v>43101</v>
      </c>
      <c r="J698" s="28">
        <v>43101</v>
      </c>
      <c r="Q698" t="s">
        <v>44683</v>
      </c>
      <c r="R698" t="s">
        <v>45537</v>
      </c>
    </row>
    <row r="699" spans="1:18" x14ac:dyDescent="0.35">
      <c r="A699" t="s">
        <v>14991</v>
      </c>
      <c r="D699" t="s">
        <v>2991</v>
      </c>
      <c r="E699" t="s">
        <v>43</v>
      </c>
      <c r="I699" s="26">
        <v>43101</v>
      </c>
      <c r="J699" s="28">
        <v>43101</v>
      </c>
      <c r="Q699" t="s">
        <v>44683</v>
      </c>
      <c r="R699" t="s">
        <v>45538</v>
      </c>
    </row>
    <row r="700" spans="1:18" x14ac:dyDescent="0.35">
      <c r="A700" t="s">
        <v>14369</v>
      </c>
      <c r="D700" t="s">
        <v>1932</v>
      </c>
      <c r="E700" t="s">
        <v>43</v>
      </c>
      <c r="I700" s="26">
        <v>43101</v>
      </c>
      <c r="J700" s="28">
        <v>43101</v>
      </c>
      <c r="Q700" t="s">
        <v>44683</v>
      </c>
      <c r="R700" t="s">
        <v>45539</v>
      </c>
    </row>
    <row r="701" spans="1:18" x14ac:dyDescent="0.35">
      <c r="A701" t="s">
        <v>15392</v>
      </c>
      <c r="D701" t="s">
        <v>5468</v>
      </c>
      <c r="E701" t="s">
        <v>43</v>
      </c>
      <c r="I701" s="26">
        <v>43101</v>
      </c>
      <c r="J701" s="28">
        <v>43101</v>
      </c>
      <c r="Q701" t="s">
        <v>44683</v>
      </c>
      <c r="R701" t="s">
        <v>45540</v>
      </c>
    </row>
    <row r="702" spans="1:18" x14ac:dyDescent="0.35">
      <c r="A702" t="s">
        <v>14030</v>
      </c>
      <c r="D702" t="s">
        <v>217</v>
      </c>
      <c r="E702" t="s">
        <v>43</v>
      </c>
      <c r="I702" s="26">
        <v>43101</v>
      </c>
      <c r="J702" s="28">
        <v>43101</v>
      </c>
      <c r="Q702" t="s">
        <v>44683</v>
      </c>
      <c r="R702" t="s">
        <v>45541</v>
      </c>
    </row>
    <row r="703" spans="1:18" x14ac:dyDescent="0.35">
      <c r="A703" t="s">
        <v>14066</v>
      </c>
      <c r="D703" t="s">
        <v>651</v>
      </c>
      <c r="E703" t="s">
        <v>43</v>
      </c>
      <c r="I703" s="26">
        <v>43101</v>
      </c>
      <c r="J703" s="28">
        <v>43101</v>
      </c>
      <c r="Q703" t="s">
        <v>44683</v>
      </c>
      <c r="R703" t="s">
        <v>45542</v>
      </c>
    </row>
    <row r="704" spans="1:18" x14ac:dyDescent="0.35">
      <c r="A704" t="s">
        <v>14424</v>
      </c>
      <c r="D704" t="s">
        <v>2002</v>
      </c>
      <c r="E704" t="s">
        <v>43</v>
      </c>
      <c r="I704" s="26">
        <v>43101</v>
      </c>
      <c r="J704" s="28">
        <v>43101</v>
      </c>
      <c r="Q704" t="s">
        <v>44683</v>
      </c>
      <c r="R704" t="s">
        <v>45543</v>
      </c>
    </row>
    <row r="705" spans="1:18" x14ac:dyDescent="0.35">
      <c r="A705" t="s">
        <v>14128</v>
      </c>
      <c r="D705" t="s">
        <v>1093</v>
      </c>
      <c r="E705" t="s">
        <v>43</v>
      </c>
      <c r="I705" s="26">
        <v>43101</v>
      </c>
      <c r="J705" s="28">
        <v>43101</v>
      </c>
      <c r="Q705" t="s">
        <v>44683</v>
      </c>
      <c r="R705" t="s">
        <v>45544</v>
      </c>
    </row>
    <row r="706" spans="1:18" x14ac:dyDescent="0.35">
      <c r="A706" t="s">
        <v>14175</v>
      </c>
      <c r="D706" t="s">
        <v>1096</v>
      </c>
      <c r="E706" t="s">
        <v>43</v>
      </c>
      <c r="I706" s="26">
        <v>43101</v>
      </c>
      <c r="J706" s="28">
        <v>43101</v>
      </c>
      <c r="Q706" t="s">
        <v>44683</v>
      </c>
      <c r="R706" t="s">
        <v>45545</v>
      </c>
    </row>
    <row r="707" spans="1:18" x14ac:dyDescent="0.35">
      <c r="A707" t="s">
        <v>15362</v>
      </c>
      <c r="D707" t="s">
        <v>5466</v>
      </c>
      <c r="E707" t="s">
        <v>43</v>
      </c>
      <c r="I707" s="26">
        <v>43101</v>
      </c>
      <c r="J707" s="28">
        <v>43101</v>
      </c>
      <c r="Q707" t="s">
        <v>44683</v>
      </c>
      <c r="R707" t="s">
        <v>45546</v>
      </c>
    </row>
    <row r="708" spans="1:18" x14ac:dyDescent="0.35">
      <c r="A708" t="s">
        <v>15375</v>
      </c>
      <c r="D708" t="s">
        <v>5467</v>
      </c>
      <c r="E708" t="s">
        <v>43</v>
      </c>
      <c r="I708" s="26">
        <v>43101</v>
      </c>
      <c r="J708" s="28">
        <v>43101</v>
      </c>
      <c r="Q708" t="s">
        <v>44683</v>
      </c>
      <c r="R708" t="s">
        <v>45547</v>
      </c>
    </row>
    <row r="709" spans="1:18" x14ac:dyDescent="0.35">
      <c r="A709" t="s">
        <v>14072</v>
      </c>
      <c r="D709" t="s">
        <v>652</v>
      </c>
      <c r="E709" t="s">
        <v>43</v>
      </c>
      <c r="I709" s="26">
        <v>43101</v>
      </c>
      <c r="J709" s="28">
        <v>43101</v>
      </c>
      <c r="Q709" t="s">
        <v>44683</v>
      </c>
      <c r="R709" t="s">
        <v>45548</v>
      </c>
    </row>
    <row r="710" spans="1:18" x14ac:dyDescent="0.35">
      <c r="A710" t="s">
        <v>14611</v>
      </c>
      <c r="D710" t="s">
        <v>14612</v>
      </c>
      <c r="E710" t="s">
        <v>43</v>
      </c>
      <c r="I710" s="26">
        <v>43101</v>
      </c>
      <c r="J710" s="28">
        <v>43101</v>
      </c>
      <c r="Q710" t="s">
        <v>44683</v>
      </c>
      <c r="R710" t="s">
        <v>45549</v>
      </c>
    </row>
    <row r="711" spans="1:18" x14ac:dyDescent="0.35">
      <c r="A711" t="s">
        <v>14147</v>
      </c>
      <c r="D711" t="s">
        <v>1094</v>
      </c>
      <c r="E711" t="s">
        <v>43</v>
      </c>
      <c r="I711" s="26">
        <v>43101</v>
      </c>
      <c r="J711" s="28">
        <v>43101</v>
      </c>
      <c r="Q711" t="s">
        <v>44683</v>
      </c>
      <c r="R711" t="s">
        <v>45550</v>
      </c>
    </row>
    <row r="712" spans="1:18" x14ac:dyDescent="0.35">
      <c r="A712" t="s">
        <v>14203</v>
      </c>
      <c r="D712" t="s">
        <v>1097</v>
      </c>
      <c r="E712" t="s">
        <v>43</v>
      </c>
      <c r="I712" s="26">
        <v>43101</v>
      </c>
      <c r="J712" s="28">
        <v>43101</v>
      </c>
      <c r="Q712" t="s">
        <v>44683</v>
      </c>
      <c r="R712" t="s">
        <v>45551</v>
      </c>
    </row>
    <row r="713" spans="1:18" x14ac:dyDescent="0.35">
      <c r="A713" t="s">
        <v>14038</v>
      </c>
      <c r="D713" t="s">
        <v>218</v>
      </c>
      <c r="E713" t="s">
        <v>43</v>
      </c>
      <c r="I713" s="26">
        <v>43101</v>
      </c>
      <c r="J713" s="28">
        <v>43101</v>
      </c>
      <c r="Q713" t="s">
        <v>44683</v>
      </c>
      <c r="R713" t="s">
        <v>45552</v>
      </c>
    </row>
    <row r="714" spans="1:18" x14ac:dyDescent="0.35">
      <c r="A714" t="s">
        <v>14141</v>
      </c>
      <c r="D714" t="s">
        <v>1094</v>
      </c>
      <c r="E714" t="s">
        <v>43</v>
      </c>
      <c r="I714" s="26">
        <v>43101</v>
      </c>
      <c r="J714" s="28">
        <v>43101</v>
      </c>
      <c r="Q714" t="s">
        <v>44683</v>
      </c>
      <c r="R714" t="s">
        <v>45553</v>
      </c>
    </row>
    <row r="715" spans="1:18" x14ac:dyDescent="0.35">
      <c r="A715" t="s">
        <v>14176</v>
      </c>
      <c r="D715" t="s">
        <v>1096</v>
      </c>
      <c r="E715" t="s">
        <v>43</v>
      </c>
      <c r="I715" s="26">
        <v>43101</v>
      </c>
      <c r="J715" s="28">
        <v>43101</v>
      </c>
      <c r="Q715" t="s">
        <v>44683</v>
      </c>
      <c r="R715" t="s">
        <v>45554</v>
      </c>
    </row>
    <row r="716" spans="1:18" x14ac:dyDescent="0.35">
      <c r="A716" t="s">
        <v>14067</v>
      </c>
      <c r="D716" t="s">
        <v>651</v>
      </c>
      <c r="E716" t="s">
        <v>43</v>
      </c>
      <c r="I716" s="26">
        <v>43101</v>
      </c>
      <c r="J716" s="28">
        <v>43101</v>
      </c>
      <c r="Q716" t="s">
        <v>44683</v>
      </c>
      <c r="R716" t="s">
        <v>45555</v>
      </c>
    </row>
    <row r="717" spans="1:18" x14ac:dyDescent="0.35">
      <c r="A717" t="s">
        <v>15419</v>
      </c>
      <c r="D717" t="s">
        <v>5470</v>
      </c>
      <c r="E717" t="s">
        <v>43</v>
      </c>
      <c r="I717" s="26">
        <v>43101</v>
      </c>
      <c r="J717" s="28">
        <v>43101</v>
      </c>
      <c r="Q717" t="s">
        <v>44683</v>
      </c>
      <c r="R717" t="s">
        <v>45556</v>
      </c>
    </row>
    <row r="718" spans="1:18" x14ac:dyDescent="0.35">
      <c r="A718" t="s">
        <v>14425</v>
      </c>
      <c r="D718" t="s">
        <v>2002</v>
      </c>
      <c r="E718" t="s">
        <v>43</v>
      </c>
      <c r="I718" s="26">
        <v>43101</v>
      </c>
      <c r="J718" s="28">
        <v>43101</v>
      </c>
      <c r="Q718" t="s">
        <v>44683</v>
      </c>
      <c r="R718" t="s">
        <v>45557</v>
      </c>
    </row>
    <row r="719" spans="1:18" x14ac:dyDescent="0.35">
      <c r="A719" t="s">
        <v>15363</v>
      </c>
      <c r="D719" t="s">
        <v>5466</v>
      </c>
      <c r="E719" t="s">
        <v>43</v>
      </c>
      <c r="I719" s="26">
        <v>43101</v>
      </c>
      <c r="J719" s="28">
        <v>43101</v>
      </c>
      <c r="Q719" t="s">
        <v>44683</v>
      </c>
      <c r="R719" t="s">
        <v>45558</v>
      </c>
    </row>
    <row r="720" spans="1:18" x14ac:dyDescent="0.35">
      <c r="A720" t="s">
        <v>14177</v>
      </c>
      <c r="D720" t="s">
        <v>1096</v>
      </c>
      <c r="E720" t="s">
        <v>43</v>
      </c>
      <c r="I720" s="26">
        <v>43101</v>
      </c>
      <c r="J720" s="28">
        <v>43101</v>
      </c>
      <c r="Q720" t="s">
        <v>44683</v>
      </c>
      <c r="R720" t="s">
        <v>45559</v>
      </c>
    </row>
    <row r="721" spans="1:18" x14ac:dyDescent="0.35">
      <c r="A721" t="s">
        <v>14613</v>
      </c>
      <c r="D721" t="s">
        <v>14612</v>
      </c>
      <c r="E721" t="s">
        <v>43</v>
      </c>
      <c r="I721" s="26">
        <v>43101</v>
      </c>
      <c r="J721" s="28">
        <v>43101</v>
      </c>
      <c r="Q721" t="s">
        <v>44683</v>
      </c>
      <c r="R721" t="s">
        <v>45560</v>
      </c>
    </row>
    <row r="722" spans="1:18" x14ac:dyDescent="0.35">
      <c r="A722" t="s">
        <v>15414</v>
      </c>
      <c r="D722" t="s">
        <v>5470</v>
      </c>
      <c r="E722" t="s">
        <v>43</v>
      </c>
      <c r="I722" s="26">
        <v>43101</v>
      </c>
      <c r="J722" s="28">
        <v>43101</v>
      </c>
      <c r="Q722" t="s">
        <v>44683</v>
      </c>
      <c r="R722" t="s">
        <v>45561</v>
      </c>
    </row>
    <row r="723" spans="1:18" x14ac:dyDescent="0.35">
      <c r="A723" t="s">
        <v>14413</v>
      </c>
      <c r="D723" t="s">
        <v>2001</v>
      </c>
      <c r="E723" t="s">
        <v>43</v>
      </c>
      <c r="I723" s="26">
        <v>43101</v>
      </c>
      <c r="J723" s="28">
        <v>43101</v>
      </c>
      <c r="Q723" t="s">
        <v>44683</v>
      </c>
      <c r="R723" t="s">
        <v>45562</v>
      </c>
    </row>
    <row r="724" spans="1:18" x14ac:dyDescent="0.35">
      <c r="A724" t="s">
        <v>14031</v>
      </c>
      <c r="D724" t="s">
        <v>217</v>
      </c>
      <c r="E724" t="s">
        <v>43</v>
      </c>
      <c r="I724" s="26">
        <v>43101</v>
      </c>
      <c r="J724" s="28">
        <v>43101</v>
      </c>
      <c r="Q724" t="s">
        <v>44683</v>
      </c>
      <c r="R724" t="s">
        <v>45563</v>
      </c>
    </row>
    <row r="725" spans="1:18" x14ac:dyDescent="0.35">
      <c r="A725" t="s">
        <v>15394</v>
      </c>
      <c r="D725" t="s">
        <v>5468</v>
      </c>
      <c r="E725" t="s">
        <v>43</v>
      </c>
      <c r="I725" s="26">
        <v>43101</v>
      </c>
      <c r="J725" s="28">
        <v>43101</v>
      </c>
      <c r="Q725" t="s">
        <v>44683</v>
      </c>
      <c r="R725" t="s">
        <v>45564</v>
      </c>
    </row>
    <row r="726" spans="1:18" x14ac:dyDescent="0.35">
      <c r="A726" t="s">
        <v>14039</v>
      </c>
      <c r="D726" t="s">
        <v>218</v>
      </c>
      <c r="E726" t="s">
        <v>43</v>
      </c>
      <c r="I726" s="26">
        <v>43101</v>
      </c>
      <c r="J726" s="28">
        <v>43101</v>
      </c>
      <c r="Q726" t="s">
        <v>44683</v>
      </c>
      <c r="R726" t="s">
        <v>45565</v>
      </c>
    </row>
    <row r="727" spans="1:18" x14ac:dyDescent="0.35">
      <c r="A727" t="s">
        <v>14419</v>
      </c>
      <c r="D727" t="s">
        <v>2002</v>
      </c>
      <c r="E727" t="s">
        <v>43</v>
      </c>
      <c r="I727" s="26">
        <v>43101</v>
      </c>
      <c r="J727" s="28">
        <v>43101</v>
      </c>
      <c r="Q727" t="s">
        <v>44683</v>
      </c>
      <c r="R727" t="s">
        <v>45566</v>
      </c>
    </row>
    <row r="728" spans="1:18" x14ac:dyDescent="0.35">
      <c r="A728" t="s">
        <v>14184</v>
      </c>
      <c r="D728" t="s">
        <v>1096</v>
      </c>
      <c r="E728" t="s">
        <v>43</v>
      </c>
      <c r="I728" s="26">
        <v>43101</v>
      </c>
      <c r="J728" s="28">
        <v>43101</v>
      </c>
      <c r="Q728" t="s">
        <v>44683</v>
      </c>
      <c r="R728" t="s">
        <v>45567</v>
      </c>
    </row>
    <row r="729" spans="1:18" x14ac:dyDescent="0.35">
      <c r="A729" t="s">
        <v>14155</v>
      </c>
      <c r="D729" t="s">
        <v>1095</v>
      </c>
      <c r="E729" t="s">
        <v>43</v>
      </c>
      <c r="I729" s="26">
        <v>43101</v>
      </c>
      <c r="J729" s="28">
        <v>43101</v>
      </c>
      <c r="Q729" t="s">
        <v>44683</v>
      </c>
      <c r="R729" t="s">
        <v>45568</v>
      </c>
    </row>
    <row r="730" spans="1:18" x14ac:dyDescent="0.35">
      <c r="A730" t="s">
        <v>14131</v>
      </c>
      <c r="D730" t="s">
        <v>1093</v>
      </c>
      <c r="E730" t="s">
        <v>43</v>
      </c>
      <c r="I730" s="26">
        <v>43101</v>
      </c>
      <c r="J730" s="28">
        <v>43101</v>
      </c>
      <c r="Q730" t="s">
        <v>44683</v>
      </c>
      <c r="R730" t="s">
        <v>45569</v>
      </c>
    </row>
    <row r="731" spans="1:18" x14ac:dyDescent="0.35">
      <c r="A731" t="s">
        <v>15377</v>
      </c>
      <c r="D731" t="s">
        <v>5467</v>
      </c>
      <c r="E731" t="s">
        <v>43</v>
      </c>
      <c r="I731" s="26">
        <v>43101</v>
      </c>
      <c r="J731" s="28">
        <v>43101</v>
      </c>
      <c r="Q731" t="s">
        <v>44683</v>
      </c>
      <c r="R731" t="s">
        <v>45570</v>
      </c>
    </row>
    <row r="732" spans="1:18" x14ac:dyDescent="0.35">
      <c r="A732" t="s">
        <v>15401</v>
      </c>
      <c r="D732" t="s">
        <v>5469</v>
      </c>
      <c r="E732" t="s">
        <v>43</v>
      </c>
      <c r="I732" s="26">
        <v>43101</v>
      </c>
      <c r="J732" s="28">
        <v>43101</v>
      </c>
      <c r="Q732" t="s">
        <v>44683</v>
      </c>
      <c r="R732" t="s">
        <v>45571</v>
      </c>
    </row>
    <row r="733" spans="1:18" x14ac:dyDescent="0.35">
      <c r="A733" t="s">
        <v>14605</v>
      </c>
      <c r="D733" t="s">
        <v>2127</v>
      </c>
      <c r="E733" t="s">
        <v>43</v>
      </c>
      <c r="I733" s="26">
        <v>43101</v>
      </c>
      <c r="J733" s="28">
        <v>43101</v>
      </c>
      <c r="Q733" t="s">
        <v>44683</v>
      </c>
      <c r="R733" t="s">
        <v>45572</v>
      </c>
    </row>
    <row r="734" spans="1:18" x14ac:dyDescent="0.35">
      <c r="A734" t="s">
        <v>14025</v>
      </c>
      <c r="D734" t="s">
        <v>216</v>
      </c>
      <c r="E734" t="s">
        <v>43</v>
      </c>
      <c r="I734" s="26">
        <v>43101</v>
      </c>
      <c r="J734" s="28">
        <v>43101</v>
      </c>
      <c r="Q734" t="s">
        <v>44683</v>
      </c>
      <c r="R734" t="s">
        <v>45573</v>
      </c>
    </row>
    <row r="735" spans="1:18" x14ac:dyDescent="0.35">
      <c r="A735" t="s">
        <v>14429</v>
      </c>
      <c r="D735" t="s">
        <v>2003</v>
      </c>
      <c r="E735" t="s">
        <v>43</v>
      </c>
      <c r="I735" s="26">
        <v>43101</v>
      </c>
      <c r="J735" s="28">
        <v>43101</v>
      </c>
      <c r="Q735" t="s">
        <v>44683</v>
      </c>
      <c r="R735" t="s">
        <v>45574</v>
      </c>
    </row>
    <row r="736" spans="1:18" x14ac:dyDescent="0.35">
      <c r="A736" t="s">
        <v>14436</v>
      </c>
      <c r="D736" t="s">
        <v>2004</v>
      </c>
      <c r="E736" t="s">
        <v>43</v>
      </c>
      <c r="I736" s="26">
        <v>43101</v>
      </c>
      <c r="J736" s="28">
        <v>43101</v>
      </c>
      <c r="Q736" t="s">
        <v>44683</v>
      </c>
      <c r="R736" t="s">
        <v>45575</v>
      </c>
    </row>
    <row r="737" spans="1:18" x14ac:dyDescent="0.35">
      <c r="A737" t="s">
        <v>14414</v>
      </c>
      <c r="D737" t="s">
        <v>2001</v>
      </c>
      <c r="E737" t="s">
        <v>43</v>
      </c>
      <c r="I737" s="26">
        <v>43101</v>
      </c>
      <c r="J737" s="28">
        <v>43101</v>
      </c>
      <c r="Q737" t="s">
        <v>44683</v>
      </c>
      <c r="R737" t="s">
        <v>45576</v>
      </c>
    </row>
    <row r="738" spans="1:18" x14ac:dyDescent="0.35">
      <c r="A738" t="s">
        <v>15368</v>
      </c>
      <c r="D738" t="s">
        <v>5466</v>
      </c>
      <c r="E738" t="s">
        <v>43</v>
      </c>
      <c r="I738" s="26">
        <v>43101</v>
      </c>
      <c r="J738" s="28">
        <v>43101</v>
      </c>
      <c r="Q738" t="s">
        <v>44683</v>
      </c>
      <c r="R738" t="s">
        <v>45577</v>
      </c>
    </row>
    <row r="739" spans="1:18" x14ac:dyDescent="0.35">
      <c r="A739" t="s">
        <v>14161</v>
      </c>
      <c r="D739" t="s">
        <v>1095</v>
      </c>
      <c r="E739" t="s">
        <v>43</v>
      </c>
      <c r="I739" s="26">
        <v>43101</v>
      </c>
      <c r="J739" s="28">
        <v>43101</v>
      </c>
      <c r="Q739" t="s">
        <v>44683</v>
      </c>
      <c r="R739" t="s">
        <v>45578</v>
      </c>
    </row>
    <row r="740" spans="1:18" x14ac:dyDescent="0.35">
      <c r="A740" t="s">
        <v>14157</v>
      </c>
      <c r="D740" t="s">
        <v>1095</v>
      </c>
      <c r="E740" t="s">
        <v>43</v>
      </c>
      <c r="I740" s="26">
        <v>43101</v>
      </c>
      <c r="J740" s="28">
        <v>43101</v>
      </c>
      <c r="Q740" t="s">
        <v>44683</v>
      </c>
      <c r="R740" t="s">
        <v>45579</v>
      </c>
    </row>
    <row r="741" spans="1:18" x14ac:dyDescent="0.35">
      <c r="A741" t="s">
        <v>14602</v>
      </c>
      <c r="D741" t="s">
        <v>2127</v>
      </c>
      <c r="E741" t="s">
        <v>43</v>
      </c>
      <c r="I741" s="26">
        <v>43101</v>
      </c>
      <c r="J741" s="28">
        <v>43101</v>
      </c>
      <c r="Q741" t="s">
        <v>44683</v>
      </c>
      <c r="R741" t="s">
        <v>45580</v>
      </c>
    </row>
    <row r="742" spans="1:18" x14ac:dyDescent="0.35">
      <c r="A742" t="s">
        <v>14437</v>
      </c>
      <c r="D742" t="s">
        <v>2004</v>
      </c>
      <c r="E742" t="s">
        <v>43</v>
      </c>
      <c r="I742" s="26">
        <v>43101</v>
      </c>
      <c r="J742" s="28">
        <v>43101</v>
      </c>
      <c r="Q742" t="s">
        <v>44683</v>
      </c>
      <c r="R742" t="s">
        <v>45581</v>
      </c>
    </row>
    <row r="743" spans="1:18" x14ac:dyDescent="0.35">
      <c r="A743" t="s">
        <v>14142</v>
      </c>
      <c r="D743" t="s">
        <v>1094</v>
      </c>
      <c r="E743" t="s">
        <v>43</v>
      </c>
      <c r="I743" s="26">
        <v>43101</v>
      </c>
      <c r="J743" s="28">
        <v>43101</v>
      </c>
      <c r="Q743" t="s">
        <v>44683</v>
      </c>
      <c r="R743" t="s">
        <v>45582</v>
      </c>
    </row>
    <row r="744" spans="1:18" x14ac:dyDescent="0.35">
      <c r="A744" t="s">
        <v>14162</v>
      </c>
      <c r="D744" t="s">
        <v>1095</v>
      </c>
      <c r="E744" t="s">
        <v>43</v>
      </c>
      <c r="I744" s="26">
        <v>43101</v>
      </c>
      <c r="J744" s="28">
        <v>43101</v>
      </c>
      <c r="Q744" t="s">
        <v>44683</v>
      </c>
      <c r="R744" t="s">
        <v>45583</v>
      </c>
    </row>
    <row r="745" spans="1:18" x14ac:dyDescent="0.35">
      <c r="A745" t="s">
        <v>14032</v>
      </c>
      <c r="D745" t="s">
        <v>217</v>
      </c>
      <c r="E745" t="s">
        <v>43</v>
      </c>
      <c r="I745" s="26">
        <v>43101</v>
      </c>
      <c r="J745" s="28">
        <v>43101</v>
      </c>
      <c r="Q745" t="s">
        <v>44683</v>
      </c>
      <c r="R745" t="s">
        <v>45584</v>
      </c>
    </row>
    <row r="746" spans="1:18" x14ac:dyDescent="0.35">
      <c r="A746" t="s">
        <v>14150</v>
      </c>
      <c r="D746" t="s">
        <v>1094</v>
      </c>
      <c r="E746" t="s">
        <v>43</v>
      </c>
      <c r="I746" s="26">
        <v>43101</v>
      </c>
      <c r="J746" s="28">
        <v>43101</v>
      </c>
      <c r="Q746" t="s">
        <v>44683</v>
      </c>
      <c r="R746" t="s">
        <v>45585</v>
      </c>
    </row>
    <row r="747" spans="1:18" x14ac:dyDescent="0.35">
      <c r="A747" t="s">
        <v>15406</v>
      </c>
      <c r="D747" t="s">
        <v>5469</v>
      </c>
      <c r="E747" t="s">
        <v>43</v>
      </c>
      <c r="I747" s="26">
        <v>43101</v>
      </c>
      <c r="J747" s="28">
        <v>43101</v>
      </c>
      <c r="Q747" t="s">
        <v>44683</v>
      </c>
      <c r="R747" t="s">
        <v>45586</v>
      </c>
    </row>
    <row r="748" spans="1:18" x14ac:dyDescent="0.35">
      <c r="A748" t="s">
        <v>14195</v>
      </c>
      <c r="D748" t="s">
        <v>1097</v>
      </c>
      <c r="E748" t="s">
        <v>43</v>
      </c>
      <c r="I748" s="26">
        <v>43101</v>
      </c>
      <c r="J748" s="28">
        <v>43101</v>
      </c>
      <c r="Q748" t="s">
        <v>44683</v>
      </c>
      <c r="R748" t="s">
        <v>45587</v>
      </c>
    </row>
    <row r="749" spans="1:18" x14ac:dyDescent="0.35">
      <c r="A749" t="s">
        <v>14132</v>
      </c>
      <c r="D749" t="s">
        <v>1093</v>
      </c>
      <c r="E749" t="s">
        <v>43</v>
      </c>
      <c r="I749" s="26">
        <v>43101</v>
      </c>
      <c r="J749" s="28">
        <v>43101</v>
      </c>
      <c r="Q749" t="s">
        <v>44683</v>
      </c>
      <c r="R749" t="s">
        <v>45588</v>
      </c>
    </row>
    <row r="750" spans="1:18" x14ac:dyDescent="0.35">
      <c r="A750" t="s">
        <v>14133</v>
      </c>
      <c r="D750" t="s">
        <v>1093</v>
      </c>
      <c r="E750" t="s">
        <v>43</v>
      </c>
      <c r="I750" s="26">
        <v>43101</v>
      </c>
      <c r="J750" s="28">
        <v>43101</v>
      </c>
      <c r="Q750" t="s">
        <v>44683</v>
      </c>
      <c r="R750" t="s">
        <v>45589</v>
      </c>
    </row>
    <row r="751" spans="1:18" x14ac:dyDescent="0.35">
      <c r="A751" t="s">
        <v>15382</v>
      </c>
      <c r="D751" t="s">
        <v>5467</v>
      </c>
      <c r="E751" t="s">
        <v>43</v>
      </c>
      <c r="I751" s="26">
        <v>43101</v>
      </c>
      <c r="J751" s="28">
        <v>43101</v>
      </c>
      <c r="Q751" t="s">
        <v>44683</v>
      </c>
      <c r="R751" t="s">
        <v>45590</v>
      </c>
    </row>
    <row r="752" spans="1:18" x14ac:dyDescent="0.35">
      <c r="A752" t="s">
        <v>14196</v>
      </c>
      <c r="D752" t="s">
        <v>1097</v>
      </c>
      <c r="E752" t="s">
        <v>43</v>
      </c>
      <c r="I752" s="26">
        <v>43101</v>
      </c>
      <c r="J752" s="28">
        <v>43101</v>
      </c>
      <c r="Q752" t="s">
        <v>44683</v>
      </c>
      <c r="R752" t="s">
        <v>45591</v>
      </c>
    </row>
    <row r="753" spans="1:18" x14ac:dyDescent="0.35">
      <c r="A753" t="s">
        <v>14180</v>
      </c>
      <c r="D753" t="s">
        <v>1096</v>
      </c>
      <c r="E753" t="s">
        <v>43</v>
      </c>
      <c r="I753" s="26">
        <v>43101</v>
      </c>
      <c r="J753" s="28">
        <v>43101</v>
      </c>
      <c r="Q753" t="s">
        <v>44683</v>
      </c>
      <c r="R753" t="s">
        <v>45592</v>
      </c>
    </row>
    <row r="754" spans="1:18" x14ac:dyDescent="0.35">
      <c r="A754" t="s">
        <v>15369</v>
      </c>
      <c r="D754" t="s">
        <v>5466</v>
      </c>
      <c r="E754" t="s">
        <v>43</v>
      </c>
      <c r="I754" s="26">
        <v>43101</v>
      </c>
      <c r="J754" s="28">
        <v>43101</v>
      </c>
      <c r="Q754" t="s">
        <v>44683</v>
      </c>
      <c r="R754" t="s">
        <v>45593</v>
      </c>
    </row>
    <row r="755" spans="1:18" x14ac:dyDescent="0.35">
      <c r="A755" t="s">
        <v>14430</v>
      </c>
      <c r="D755" t="s">
        <v>2003</v>
      </c>
      <c r="E755" t="s">
        <v>43</v>
      </c>
      <c r="I755" s="26">
        <v>43101</v>
      </c>
      <c r="J755" s="28">
        <v>43101</v>
      </c>
      <c r="Q755" t="s">
        <v>44683</v>
      </c>
      <c r="R755" t="s">
        <v>45594</v>
      </c>
    </row>
    <row r="756" spans="1:18" x14ac:dyDescent="0.35">
      <c r="A756" t="s">
        <v>15980</v>
      </c>
      <c r="D756" t="s">
        <v>6654</v>
      </c>
      <c r="E756" t="s">
        <v>43</v>
      </c>
      <c r="I756" s="26">
        <v>43101</v>
      </c>
      <c r="J756" s="28">
        <v>43101</v>
      </c>
      <c r="Q756" t="s">
        <v>44683</v>
      </c>
      <c r="R756" t="s">
        <v>45595</v>
      </c>
    </row>
    <row r="757" spans="1:18" x14ac:dyDescent="0.35">
      <c r="A757" t="s">
        <v>15420</v>
      </c>
      <c r="D757" t="s">
        <v>5470</v>
      </c>
      <c r="E757" t="s">
        <v>43</v>
      </c>
      <c r="I757" s="26">
        <v>43101</v>
      </c>
      <c r="J757" s="28">
        <v>43101</v>
      </c>
      <c r="Q757" t="s">
        <v>44683</v>
      </c>
      <c r="R757" t="s">
        <v>45596</v>
      </c>
    </row>
    <row r="758" spans="1:18" x14ac:dyDescent="0.35">
      <c r="A758" t="s">
        <v>15415</v>
      </c>
      <c r="D758" t="s">
        <v>5470</v>
      </c>
      <c r="E758" t="s">
        <v>43</v>
      </c>
      <c r="I758" s="26">
        <v>43101</v>
      </c>
      <c r="J758" s="28">
        <v>43101</v>
      </c>
      <c r="Q758" t="s">
        <v>44683</v>
      </c>
      <c r="R758" t="s">
        <v>45597</v>
      </c>
    </row>
    <row r="759" spans="1:18" x14ac:dyDescent="0.35">
      <c r="A759" t="s">
        <v>14134</v>
      </c>
      <c r="D759" t="s">
        <v>1093</v>
      </c>
      <c r="E759" t="s">
        <v>43</v>
      </c>
      <c r="I759" s="26">
        <v>43101</v>
      </c>
      <c r="J759" s="28">
        <v>43101</v>
      </c>
      <c r="Q759" t="s">
        <v>44683</v>
      </c>
      <c r="R759" t="s">
        <v>45598</v>
      </c>
    </row>
    <row r="760" spans="1:18" x14ac:dyDescent="0.35">
      <c r="A760" t="s">
        <v>15389</v>
      </c>
      <c r="D760" t="s">
        <v>5468</v>
      </c>
      <c r="E760" t="s">
        <v>43</v>
      </c>
      <c r="I760" s="26">
        <v>43101</v>
      </c>
      <c r="J760" s="28">
        <v>43101</v>
      </c>
      <c r="Q760" t="s">
        <v>44683</v>
      </c>
      <c r="R760" t="s">
        <v>45599</v>
      </c>
    </row>
    <row r="761" spans="1:18" x14ac:dyDescent="0.35">
      <c r="A761" t="s">
        <v>15981</v>
      </c>
      <c r="D761" t="s">
        <v>6654</v>
      </c>
      <c r="E761" t="s">
        <v>43</v>
      </c>
      <c r="I761" s="26">
        <v>43101</v>
      </c>
      <c r="J761" s="28">
        <v>43101</v>
      </c>
      <c r="Q761" t="s">
        <v>44683</v>
      </c>
      <c r="R761" t="s">
        <v>45600</v>
      </c>
    </row>
    <row r="762" spans="1:18" x14ac:dyDescent="0.35">
      <c r="A762" t="s">
        <v>14070</v>
      </c>
      <c r="D762" t="s">
        <v>651</v>
      </c>
      <c r="E762" t="s">
        <v>43</v>
      </c>
      <c r="I762" s="26">
        <v>43101</v>
      </c>
      <c r="J762" s="28">
        <v>43101</v>
      </c>
      <c r="Q762" t="s">
        <v>44683</v>
      </c>
      <c r="R762" t="s">
        <v>45601</v>
      </c>
    </row>
    <row r="763" spans="1:18" x14ac:dyDescent="0.35">
      <c r="A763" t="s">
        <v>14129</v>
      </c>
      <c r="D763" t="s">
        <v>1093</v>
      </c>
      <c r="E763" t="s">
        <v>43</v>
      </c>
      <c r="I763" s="26">
        <v>43101</v>
      </c>
      <c r="J763" s="28">
        <v>43101</v>
      </c>
      <c r="Q763" t="s">
        <v>44683</v>
      </c>
      <c r="R763" t="s">
        <v>45602</v>
      </c>
    </row>
    <row r="764" spans="1:18" x14ac:dyDescent="0.35">
      <c r="A764" t="s">
        <v>14143</v>
      </c>
      <c r="D764" t="s">
        <v>1094</v>
      </c>
      <c r="E764" t="s">
        <v>43</v>
      </c>
      <c r="I764" s="26">
        <v>43101</v>
      </c>
      <c r="J764" s="28">
        <v>43101</v>
      </c>
      <c r="Q764" t="s">
        <v>44683</v>
      </c>
      <c r="R764" t="s">
        <v>45603</v>
      </c>
    </row>
    <row r="765" spans="1:18" x14ac:dyDescent="0.35">
      <c r="A765" t="s">
        <v>15364</v>
      </c>
      <c r="D765" t="s">
        <v>5466</v>
      </c>
      <c r="E765" t="s">
        <v>43</v>
      </c>
      <c r="I765" s="26">
        <v>43101</v>
      </c>
      <c r="J765" s="28">
        <v>43101</v>
      </c>
      <c r="Q765" t="s">
        <v>44683</v>
      </c>
      <c r="R765" t="s">
        <v>45604</v>
      </c>
    </row>
    <row r="766" spans="1:18" x14ac:dyDescent="0.35">
      <c r="A766" t="s">
        <v>14144</v>
      </c>
      <c r="D766" t="s">
        <v>1094</v>
      </c>
      <c r="E766" t="s">
        <v>43</v>
      </c>
      <c r="I766" s="26">
        <v>43101</v>
      </c>
      <c r="J766" s="28">
        <v>43101</v>
      </c>
      <c r="Q766" t="s">
        <v>44683</v>
      </c>
      <c r="R766" t="s">
        <v>45605</v>
      </c>
    </row>
    <row r="767" spans="1:18" x14ac:dyDescent="0.35">
      <c r="A767" t="s">
        <v>15416</v>
      </c>
      <c r="D767" t="s">
        <v>5470</v>
      </c>
      <c r="E767" t="s">
        <v>43</v>
      </c>
      <c r="I767" s="26">
        <v>43101</v>
      </c>
      <c r="J767" s="28">
        <v>43101</v>
      </c>
      <c r="Q767" t="s">
        <v>44683</v>
      </c>
      <c r="R767" t="s">
        <v>45606</v>
      </c>
    </row>
    <row r="768" spans="1:18" x14ac:dyDescent="0.35">
      <c r="A768" t="s">
        <v>14420</v>
      </c>
      <c r="D768" t="s">
        <v>2002</v>
      </c>
      <c r="E768" t="s">
        <v>43</v>
      </c>
      <c r="I768" s="26">
        <v>43101</v>
      </c>
      <c r="J768" s="28">
        <v>43101</v>
      </c>
      <c r="Q768" t="s">
        <v>44683</v>
      </c>
      <c r="R768" t="s">
        <v>45607</v>
      </c>
    </row>
    <row r="769" spans="1:18" x14ac:dyDescent="0.35">
      <c r="A769" t="s">
        <v>15365</v>
      </c>
      <c r="D769" t="s">
        <v>5466</v>
      </c>
      <c r="E769" t="s">
        <v>43</v>
      </c>
      <c r="I769" s="26">
        <v>43101</v>
      </c>
      <c r="J769" s="28">
        <v>43101</v>
      </c>
      <c r="Q769" t="s">
        <v>44683</v>
      </c>
      <c r="R769" t="s">
        <v>45608</v>
      </c>
    </row>
    <row r="770" spans="1:18" x14ac:dyDescent="0.35">
      <c r="A770" t="s">
        <v>14197</v>
      </c>
      <c r="D770" t="s">
        <v>1097</v>
      </c>
      <c r="E770" t="s">
        <v>43</v>
      </c>
      <c r="I770" s="26">
        <v>43101</v>
      </c>
      <c r="J770" s="28">
        <v>43101</v>
      </c>
      <c r="Q770" t="s">
        <v>44683</v>
      </c>
      <c r="R770" t="s">
        <v>45609</v>
      </c>
    </row>
    <row r="771" spans="1:18" x14ac:dyDescent="0.35">
      <c r="A771" t="s">
        <v>14040</v>
      </c>
      <c r="D771" t="s">
        <v>218</v>
      </c>
      <c r="E771" t="s">
        <v>43</v>
      </c>
      <c r="I771" s="26">
        <v>43101</v>
      </c>
      <c r="J771" s="28">
        <v>43101</v>
      </c>
      <c r="Q771" t="s">
        <v>44683</v>
      </c>
      <c r="R771" t="s">
        <v>45610</v>
      </c>
    </row>
    <row r="772" spans="1:18" x14ac:dyDescent="0.35">
      <c r="A772" t="s">
        <v>14415</v>
      </c>
      <c r="D772" t="s">
        <v>2001</v>
      </c>
      <c r="E772" t="s">
        <v>43</v>
      </c>
      <c r="I772" s="26">
        <v>43101</v>
      </c>
      <c r="J772" s="28">
        <v>43101</v>
      </c>
      <c r="Q772" t="s">
        <v>44683</v>
      </c>
      <c r="R772" t="s">
        <v>45611</v>
      </c>
    </row>
    <row r="773" spans="1:18" x14ac:dyDescent="0.35">
      <c r="A773" t="s">
        <v>14187</v>
      </c>
      <c r="D773" t="s">
        <v>1096</v>
      </c>
      <c r="E773" t="s">
        <v>43</v>
      </c>
      <c r="I773" s="26">
        <v>43101</v>
      </c>
      <c r="J773" s="28">
        <v>43101</v>
      </c>
      <c r="Q773" t="s">
        <v>44683</v>
      </c>
      <c r="R773" t="s">
        <v>45612</v>
      </c>
    </row>
    <row r="774" spans="1:18" x14ac:dyDescent="0.35">
      <c r="A774" t="s">
        <v>14074</v>
      </c>
      <c r="D774" t="s">
        <v>652</v>
      </c>
      <c r="E774" t="s">
        <v>43</v>
      </c>
      <c r="I774" s="26">
        <v>43101</v>
      </c>
      <c r="J774" s="28">
        <v>43101</v>
      </c>
      <c r="Q774" t="s">
        <v>44683</v>
      </c>
      <c r="R774" t="s">
        <v>45613</v>
      </c>
    </row>
    <row r="775" spans="1:18" x14ac:dyDescent="0.35">
      <c r="A775" t="s">
        <v>15391</v>
      </c>
      <c r="D775" t="s">
        <v>5468</v>
      </c>
      <c r="E775" t="s">
        <v>43</v>
      </c>
      <c r="I775" s="26">
        <v>43101</v>
      </c>
      <c r="J775" s="28">
        <v>43101</v>
      </c>
      <c r="Q775" t="s">
        <v>44683</v>
      </c>
      <c r="R775" t="s">
        <v>45614</v>
      </c>
    </row>
    <row r="776" spans="1:18" x14ac:dyDescent="0.35">
      <c r="A776" t="s">
        <v>14421</v>
      </c>
      <c r="D776" t="s">
        <v>2002</v>
      </c>
      <c r="E776" t="s">
        <v>43</v>
      </c>
      <c r="I776" s="26">
        <v>43101</v>
      </c>
      <c r="J776" s="28">
        <v>43101</v>
      </c>
      <c r="Q776" t="s">
        <v>44683</v>
      </c>
      <c r="R776" t="s">
        <v>45615</v>
      </c>
    </row>
    <row r="777" spans="1:18" x14ac:dyDescent="0.35">
      <c r="A777" t="s">
        <v>15977</v>
      </c>
      <c r="D777" t="s">
        <v>6654</v>
      </c>
      <c r="E777" t="s">
        <v>43</v>
      </c>
      <c r="I777" s="26">
        <v>43101</v>
      </c>
      <c r="J777" s="28">
        <v>43101</v>
      </c>
      <c r="Q777" t="s">
        <v>44683</v>
      </c>
      <c r="R777" t="s">
        <v>45616</v>
      </c>
    </row>
    <row r="778" spans="1:18" x14ac:dyDescent="0.35">
      <c r="A778" t="s">
        <v>14206</v>
      </c>
      <c r="D778" t="s">
        <v>1097</v>
      </c>
      <c r="E778" t="s">
        <v>43</v>
      </c>
      <c r="I778" s="26">
        <v>43101</v>
      </c>
      <c r="J778" s="28">
        <v>43101</v>
      </c>
      <c r="Q778" t="s">
        <v>44683</v>
      </c>
      <c r="R778" t="s">
        <v>45617</v>
      </c>
    </row>
    <row r="779" spans="1:18" x14ac:dyDescent="0.35">
      <c r="A779" t="s">
        <v>14198</v>
      </c>
      <c r="D779" t="s">
        <v>1097</v>
      </c>
      <c r="E779" t="s">
        <v>43</v>
      </c>
      <c r="I779" s="26">
        <v>43101</v>
      </c>
      <c r="J779" s="28">
        <v>43101</v>
      </c>
      <c r="Q779" t="s">
        <v>44683</v>
      </c>
      <c r="R779" t="s">
        <v>45618</v>
      </c>
    </row>
    <row r="780" spans="1:18" x14ac:dyDescent="0.35">
      <c r="A780" t="s">
        <v>14035</v>
      </c>
      <c r="D780" t="s">
        <v>217</v>
      </c>
      <c r="E780" t="s">
        <v>43</v>
      </c>
      <c r="I780" s="26">
        <v>43101</v>
      </c>
      <c r="J780" s="28">
        <v>43101</v>
      </c>
      <c r="Q780" t="s">
        <v>44683</v>
      </c>
      <c r="R780" t="s">
        <v>45619</v>
      </c>
    </row>
    <row r="781" spans="1:18" x14ac:dyDescent="0.35">
      <c r="A781" t="s">
        <v>15408</v>
      </c>
      <c r="D781" t="s">
        <v>5469</v>
      </c>
      <c r="E781" t="s">
        <v>43</v>
      </c>
      <c r="I781" s="26">
        <v>43101</v>
      </c>
      <c r="J781" s="28">
        <v>43101</v>
      </c>
      <c r="Q781" t="s">
        <v>44683</v>
      </c>
      <c r="R781" t="s">
        <v>45620</v>
      </c>
    </row>
    <row r="782" spans="1:18" x14ac:dyDescent="0.35">
      <c r="A782" t="s">
        <v>15379</v>
      </c>
      <c r="D782" t="s">
        <v>5467</v>
      </c>
      <c r="E782" t="s">
        <v>43</v>
      </c>
      <c r="I782" s="26">
        <v>43101</v>
      </c>
      <c r="J782" s="28">
        <v>43101</v>
      </c>
      <c r="Q782" t="s">
        <v>44683</v>
      </c>
      <c r="R782" t="s">
        <v>45621</v>
      </c>
    </row>
    <row r="783" spans="1:18" x14ac:dyDescent="0.35">
      <c r="A783" t="s">
        <v>14159</v>
      </c>
      <c r="D783" t="s">
        <v>1095</v>
      </c>
      <c r="E783" t="s">
        <v>43</v>
      </c>
      <c r="I783" s="26">
        <v>43101</v>
      </c>
      <c r="J783" s="28">
        <v>43101</v>
      </c>
      <c r="Q783" t="s">
        <v>44683</v>
      </c>
      <c r="R783" t="s">
        <v>45622</v>
      </c>
    </row>
    <row r="784" spans="1:18" x14ac:dyDescent="0.35">
      <c r="A784" t="s">
        <v>14199</v>
      </c>
      <c r="D784" t="s">
        <v>1097</v>
      </c>
      <c r="E784" t="s">
        <v>43</v>
      </c>
      <c r="I784" s="26">
        <v>43101</v>
      </c>
      <c r="J784" s="28">
        <v>43101</v>
      </c>
      <c r="Q784" t="s">
        <v>44683</v>
      </c>
      <c r="R784" t="s">
        <v>45623</v>
      </c>
    </row>
    <row r="785" spans="1:18" x14ac:dyDescent="0.35">
      <c r="A785" t="s">
        <v>14614</v>
      </c>
      <c r="D785" t="s">
        <v>14612</v>
      </c>
      <c r="E785" t="s">
        <v>43</v>
      </c>
      <c r="I785" s="26">
        <v>43101</v>
      </c>
      <c r="J785" s="28">
        <v>43101</v>
      </c>
      <c r="Q785" t="s">
        <v>44683</v>
      </c>
      <c r="R785" t="s">
        <v>45624</v>
      </c>
    </row>
    <row r="786" spans="1:18" x14ac:dyDescent="0.35">
      <c r="A786" t="s">
        <v>15366</v>
      </c>
      <c r="D786" t="s">
        <v>5466</v>
      </c>
      <c r="E786" t="s">
        <v>43</v>
      </c>
      <c r="I786" s="26">
        <v>43101</v>
      </c>
      <c r="J786" s="28">
        <v>43101</v>
      </c>
      <c r="Q786" t="s">
        <v>44683</v>
      </c>
      <c r="R786" t="s">
        <v>45625</v>
      </c>
    </row>
    <row r="787" spans="1:18" x14ac:dyDescent="0.35">
      <c r="A787" t="s">
        <v>14410</v>
      </c>
      <c r="D787" t="s">
        <v>2001</v>
      </c>
      <c r="E787" t="s">
        <v>43</v>
      </c>
      <c r="I787" s="26">
        <v>43101</v>
      </c>
      <c r="J787" s="28">
        <v>43101</v>
      </c>
      <c r="Q787" t="s">
        <v>44683</v>
      </c>
      <c r="R787" t="s">
        <v>45626</v>
      </c>
    </row>
    <row r="788" spans="1:18" x14ac:dyDescent="0.35">
      <c r="A788" t="s">
        <v>14075</v>
      </c>
      <c r="D788" t="s">
        <v>652</v>
      </c>
      <c r="E788" t="s">
        <v>43</v>
      </c>
      <c r="I788" s="26">
        <v>43101</v>
      </c>
      <c r="J788" s="28">
        <v>43101</v>
      </c>
      <c r="Q788" t="s">
        <v>44683</v>
      </c>
      <c r="R788" t="s">
        <v>45627</v>
      </c>
    </row>
    <row r="789" spans="1:18" x14ac:dyDescent="0.35">
      <c r="A789" t="s">
        <v>15978</v>
      </c>
      <c r="D789" t="s">
        <v>6654</v>
      </c>
      <c r="E789" t="s">
        <v>43</v>
      </c>
      <c r="I789" s="26">
        <v>43101</v>
      </c>
      <c r="J789" s="28">
        <v>43101</v>
      </c>
      <c r="Q789" t="s">
        <v>44683</v>
      </c>
      <c r="R789" t="s">
        <v>45628</v>
      </c>
    </row>
    <row r="790" spans="1:18" x14ac:dyDescent="0.35">
      <c r="A790" t="s">
        <v>15380</v>
      </c>
      <c r="D790" t="s">
        <v>5467</v>
      </c>
      <c r="E790" t="s">
        <v>43</v>
      </c>
      <c r="I790" s="26">
        <v>43101</v>
      </c>
      <c r="J790" s="28">
        <v>43101</v>
      </c>
      <c r="Q790" t="s">
        <v>44683</v>
      </c>
      <c r="R790" t="s">
        <v>45629</v>
      </c>
    </row>
    <row r="791" spans="1:18" x14ac:dyDescent="0.35">
      <c r="A791" t="s">
        <v>14076</v>
      </c>
      <c r="D791" t="s">
        <v>652</v>
      </c>
      <c r="E791" t="s">
        <v>43</v>
      </c>
      <c r="I791" s="26">
        <v>43101</v>
      </c>
      <c r="J791" s="28">
        <v>43101</v>
      </c>
      <c r="Q791" t="s">
        <v>44683</v>
      </c>
      <c r="R791" t="s">
        <v>45630</v>
      </c>
    </row>
    <row r="792" spans="1:18" x14ac:dyDescent="0.35">
      <c r="A792" t="s">
        <v>14426</v>
      </c>
      <c r="D792" t="s">
        <v>2002</v>
      </c>
      <c r="E792" t="s">
        <v>43</v>
      </c>
      <c r="I792" s="26">
        <v>43101</v>
      </c>
      <c r="J792" s="28">
        <v>43101</v>
      </c>
      <c r="Q792" t="s">
        <v>44683</v>
      </c>
      <c r="R792" t="s">
        <v>45631</v>
      </c>
    </row>
    <row r="793" spans="1:18" x14ac:dyDescent="0.35">
      <c r="A793" t="s">
        <v>14423</v>
      </c>
      <c r="D793" t="s">
        <v>2002</v>
      </c>
      <c r="E793" t="s">
        <v>43</v>
      </c>
      <c r="I793" s="26">
        <v>43101</v>
      </c>
      <c r="J793" s="28">
        <v>43101</v>
      </c>
      <c r="Q793" t="s">
        <v>44683</v>
      </c>
      <c r="R793" t="s">
        <v>45632</v>
      </c>
    </row>
    <row r="794" spans="1:18" x14ac:dyDescent="0.35">
      <c r="A794" t="s">
        <v>15418</v>
      </c>
      <c r="D794" t="s">
        <v>5470</v>
      </c>
      <c r="E794" t="s">
        <v>43</v>
      </c>
      <c r="I794" s="26">
        <v>43101</v>
      </c>
      <c r="J794" s="28">
        <v>43101</v>
      </c>
      <c r="Q794" t="s">
        <v>44683</v>
      </c>
      <c r="R794" t="s">
        <v>45633</v>
      </c>
    </row>
    <row r="795" spans="1:18" x14ac:dyDescent="0.35">
      <c r="A795" t="s">
        <v>14200</v>
      </c>
      <c r="D795" t="s">
        <v>1097</v>
      </c>
      <c r="E795" t="s">
        <v>43</v>
      </c>
      <c r="I795" s="26">
        <v>43101</v>
      </c>
      <c r="J795" s="28">
        <v>43101</v>
      </c>
      <c r="Q795" t="s">
        <v>44683</v>
      </c>
      <c r="R795" t="s">
        <v>45634</v>
      </c>
    </row>
    <row r="796" spans="1:18" x14ac:dyDescent="0.35">
      <c r="A796" t="s">
        <v>14042</v>
      </c>
      <c r="D796" t="s">
        <v>218</v>
      </c>
      <c r="E796" t="s">
        <v>43</v>
      </c>
      <c r="I796" s="26">
        <v>43101</v>
      </c>
      <c r="J796" s="28">
        <v>43101</v>
      </c>
      <c r="Q796" t="s">
        <v>44683</v>
      </c>
      <c r="R796" t="s">
        <v>45635</v>
      </c>
    </row>
    <row r="797" spans="1:18" x14ac:dyDescent="0.35">
      <c r="A797" t="s">
        <v>15396</v>
      </c>
      <c r="D797" t="s">
        <v>5468</v>
      </c>
      <c r="E797" t="s">
        <v>43</v>
      </c>
      <c r="I797" s="26">
        <v>43101</v>
      </c>
      <c r="J797" s="28">
        <v>43101</v>
      </c>
      <c r="Q797" t="s">
        <v>44683</v>
      </c>
      <c r="R797" t="s">
        <v>45636</v>
      </c>
    </row>
    <row r="798" spans="1:18" x14ac:dyDescent="0.35">
      <c r="A798" t="s">
        <v>14604</v>
      </c>
      <c r="D798" t="s">
        <v>2127</v>
      </c>
      <c r="E798" t="s">
        <v>43</v>
      </c>
      <c r="I798" s="26">
        <v>43101</v>
      </c>
      <c r="J798" s="28">
        <v>43101</v>
      </c>
      <c r="Q798" t="s">
        <v>44683</v>
      </c>
      <c r="R798" t="s">
        <v>45637</v>
      </c>
    </row>
    <row r="799" spans="1:18" x14ac:dyDescent="0.35">
      <c r="A799" t="s">
        <v>14615</v>
      </c>
      <c r="D799" t="s">
        <v>14612</v>
      </c>
      <c r="E799" t="s">
        <v>43</v>
      </c>
      <c r="I799" s="26">
        <v>43101</v>
      </c>
      <c r="J799" s="28">
        <v>43101</v>
      </c>
      <c r="Q799" t="s">
        <v>44683</v>
      </c>
      <c r="R799" t="s">
        <v>45638</v>
      </c>
    </row>
    <row r="800" spans="1:18" x14ac:dyDescent="0.35">
      <c r="A800" t="s">
        <v>14137</v>
      </c>
      <c r="D800" t="s">
        <v>1093</v>
      </c>
      <c r="E800" t="s">
        <v>43</v>
      </c>
      <c r="I800" s="26">
        <v>43101</v>
      </c>
      <c r="J800" s="28">
        <v>43101</v>
      </c>
      <c r="Q800" t="s">
        <v>44683</v>
      </c>
      <c r="R800" t="s">
        <v>45639</v>
      </c>
    </row>
    <row r="801" spans="1:18" x14ac:dyDescent="0.35">
      <c r="A801" t="s">
        <v>15393</v>
      </c>
      <c r="D801" t="s">
        <v>5468</v>
      </c>
      <c r="E801" t="s">
        <v>43</v>
      </c>
      <c r="I801" s="26">
        <v>43101</v>
      </c>
      <c r="J801" s="28">
        <v>43101</v>
      </c>
      <c r="Q801" t="s">
        <v>44683</v>
      </c>
      <c r="R801" t="s">
        <v>45640</v>
      </c>
    </row>
    <row r="802" spans="1:18" x14ac:dyDescent="0.35">
      <c r="A802" t="s">
        <v>14201</v>
      </c>
      <c r="D802" t="s">
        <v>1097</v>
      </c>
      <c r="E802" t="s">
        <v>43</v>
      </c>
      <c r="I802" s="26">
        <v>43101</v>
      </c>
      <c r="J802" s="28">
        <v>43101</v>
      </c>
      <c r="Q802" t="s">
        <v>44683</v>
      </c>
      <c r="R802" t="s">
        <v>45641</v>
      </c>
    </row>
    <row r="803" spans="1:18" x14ac:dyDescent="0.35">
      <c r="A803" t="s">
        <v>14146</v>
      </c>
      <c r="D803" t="s">
        <v>1094</v>
      </c>
      <c r="E803" t="s">
        <v>43</v>
      </c>
      <c r="I803" s="26">
        <v>43101</v>
      </c>
      <c r="J803" s="28">
        <v>43101</v>
      </c>
      <c r="Q803" t="s">
        <v>44683</v>
      </c>
      <c r="R803" t="s">
        <v>45642</v>
      </c>
    </row>
    <row r="804" spans="1:18" x14ac:dyDescent="0.35">
      <c r="A804" t="s">
        <v>14166</v>
      </c>
      <c r="D804" t="s">
        <v>1095</v>
      </c>
      <c r="E804" t="s">
        <v>43</v>
      </c>
      <c r="I804" s="26">
        <v>43101</v>
      </c>
      <c r="J804" s="28">
        <v>43101</v>
      </c>
      <c r="Q804" t="s">
        <v>44683</v>
      </c>
      <c r="R804" t="s">
        <v>45643</v>
      </c>
    </row>
    <row r="805" spans="1:18" x14ac:dyDescent="0.35">
      <c r="A805" t="s">
        <v>14411</v>
      </c>
      <c r="D805" t="s">
        <v>2001</v>
      </c>
      <c r="E805" t="s">
        <v>43</v>
      </c>
      <c r="I805" s="26">
        <v>43101</v>
      </c>
      <c r="J805" s="28">
        <v>43101</v>
      </c>
      <c r="Q805" t="s">
        <v>44683</v>
      </c>
      <c r="R805" t="s">
        <v>45644</v>
      </c>
    </row>
    <row r="806" spans="1:18" x14ac:dyDescent="0.35">
      <c r="A806" t="s">
        <v>15979</v>
      </c>
      <c r="D806" t="s">
        <v>6654</v>
      </c>
      <c r="E806" t="s">
        <v>43</v>
      </c>
      <c r="I806" s="26">
        <v>43101</v>
      </c>
      <c r="J806" s="28">
        <v>43101</v>
      </c>
      <c r="Q806" t="s">
        <v>44683</v>
      </c>
      <c r="R806" t="s">
        <v>45645</v>
      </c>
    </row>
    <row r="807" spans="1:18" x14ac:dyDescent="0.35">
      <c r="A807" t="s">
        <v>14026</v>
      </c>
      <c r="D807" t="s">
        <v>216</v>
      </c>
      <c r="E807" t="s">
        <v>43</v>
      </c>
      <c r="I807" s="26">
        <v>43101</v>
      </c>
      <c r="J807" s="28">
        <v>43101</v>
      </c>
      <c r="Q807" t="s">
        <v>44683</v>
      </c>
      <c r="R807" t="s">
        <v>45646</v>
      </c>
    </row>
    <row r="808" spans="1:18" x14ac:dyDescent="0.35">
      <c r="A808" t="s">
        <v>14202</v>
      </c>
      <c r="D808" t="s">
        <v>1097</v>
      </c>
      <c r="E808" t="s">
        <v>43</v>
      </c>
      <c r="I808" s="26">
        <v>43101</v>
      </c>
      <c r="J808" s="28">
        <v>43101</v>
      </c>
      <c r="Q808" t="s">
        <v>44683</v>
      </c>
      <c r="R808" t="s">
        <v>45647</v>
      </c>
    </row>
    <row r="809" spans="1:18" x14ac:dyDescent="0.35">
      <c r="A809" t="s">
        <v>14045</v>
      </c>
      <c r="D809" t="s">
        <v>218</v>
      </c>
      <c r="E809" t="s">
        <v>43</v>
      </c>
      <c r="I809" s="26">
        <v>43101</v>
      </c>
      <c r="J809" s="28">
        <v>43101</v>
      </c>
      <c r="Q809" t="s">
        <v>44683</v>
      </c>
      <c r="R809" t="s">
        <v>45648</v>
      </c>
    </row>
    <row r="810" spans="1:18" x14ac:dyDescent="0.35">
      <c r="A810" t="s">
        <v>15404</v>
      </c>
      <c r="D810" t="s">
        <v>5469</v>
      </c>
      <c r="E810" t="s">
        <v>43</v>
      </c>
      <c r="I810" s="26">
        <v>43101</v>
      </c>
      <c r="J810" s="28">
        <v>43101</v>
      </c>
      <c r="Q810" t="s">
        <v>44683</v>
      </c>
      <c r="R810" t="s">
        <v>45649</v>
      </c>
    </row>
    <row r="811" spans="1:18" x14ac:dyDescent="0.35">
      <c r="A811" t="s">
        <v>14043</v>
      </c>
      <c r="D811" t="s">
        <v>218</v>
      </c>
      <c r="E811" t="s">
        <v>43</v>
      </c>
      <c r="I811" s="26">
        <v>43101</v>
      </c>
      <c r="J811" s="28">
        <v>43101</v>
      </c>
      <c r="Q811" t="s">
        <v>44683</v>
      </c>
      <c r="R811" t="s">
        <v>45650</v>
      </c>
    </row>
    <row r="812" spans="1:18" x14ac:dyDescent="0.35">
      <c r="A812" t="s">
        <v>14130</v>
      </c>
      <c r="D812" t="s">
        <v>1093</v>
      </c>
      <c r="E812" t="s">
        <v>43</v>
      </c>
      <c r="I812" s="26">
        <v>43101</v>
      </c>
      <c r="J812" s="28">
        <v>43101</v>
      </c>
      <c r="Q812" t="s">
        <v>44683</v>
      </c>
      <c r="R812" t="s">
        <v>45651</v>
      </c>
    </row>
    <row r="813" spans="1:18" x14ac:dyDescent="0.35">
      <c r="A813" t="s">
        <v>14148</v>
      </c>
      <c r="D813" t="s">
        <v>1094</v>
      </c>
      <c r="E813" t="s">
        <v>43</v>
      </c>
      <c r="I813" s="26">
        <v>43101</v>
      </c>
      <c r="J813" s="28">
        <v>43101</v>
      </c>
      <c r="Q813" t="s">
        <v>44683</v>
      </c>
      <c r="R813" t="s">
        <v>45652</v>
      </c>
    </row>
    <row r="814" spans="1:18" x14ac:dyDescent="0.35">
      <c r="A814" t="s">
        <v>14073</v>
      </c>
      <c r="D814" t="s">
        <v>652</v>
      </c>
      <c r="E814" t="s">
        <v>43</v>
      </c>
      <c r="I814" s="26">
        <v>43101</v>
      </c>
      <c r="J814" s="28">
        <v>43101</v>
      </c>
      <c r="Q814" t="s">
        <v>44683</v>
      </c>
      <c r="R814" t="s">
        <v>45653</v>
      </c>
    </row>
    <row r="815" spans="1:18" x14ac:dyDescent="0.35">
      <c r="A815" t="s">
        <v>14412</v>
      </c>
      <c r="D815" t="s">
        <v>2001</v>
      </c>
      <c r="E815" t="s">
        <v>43</v>
      </c>
      <c r="I815" s="26">
        <v>43101</v>
      </c>
      <c r="J815" s="28">
        <v>43101</v>
      </c>
      <c r="Q815" t="s">
        <v>44683</v>
      </c>
      <c r="R815" t="s">
        <v>45654</v>
      </c>
    </row>
    <row r="816" spans="1:18" x14ac:dyDescent="0.35">
      <c r="A816" t="s">
        <v>14182</v>
      </c>
      <c r="D816" t="s">
        <v>1096</v>
      </c>
      <c r="E816" t="s">
        <v>43</v>
      </c>
      <c r="I816" s="26">
        <v>43101</v>
      </c>
      <c r="J816" s="28">
        <v>43101</v>
      </c>
      <c r="Q816" t="s">
        <v>44683</v>
      </c>
      <c r="R816" t="s">
        <v>45655</v>
      </c>
    </row>
    <row r="817" spans="1:18" x14ac:dyDescent="0.35">
      <c r="A817" t="s">
        <v>14068</v>
      </c>
      <c r="D817" t="s">
        <v>651</v>
      </c>
      <c r="E817" t="s">
        <v>43</v>
      </c>
      <c r="I817" s="26">
        <v>43101</v>
      </c>
      <c r="J817" s="28">
        <v>43101</v>
      </c>
      <c r="Q817" t="s">
        <v>44683</v>
      </c>
      <c r="R817" t="s">
        <v>45656</v>
      </c>
    </row>
    <row r="818" spans="1:18" x14ac:dyDescent="0.35">
      <c r="A818" t="s">
        <v>14183</v>
      </c>
      <c r="D818" t="s">
        <v>1096</v>
      </c>
      <c r="E818" t="s">
        <v>43</v>
      </c>
      <c r="I818" s="26">
        <v>43101</v>
      </c>
      <c r="J818" s="28">
        <v>43101</v>
      </c>
      <c r="Q818" t="s">
        <v>44683</v>
      </c>
      <c r="R818" t="s">
        <v>45657</v>
      </c>
    </row>
    <row r="819" spans="1:18" x14ac:dyDescent="0.35">
      <c r="A819" t="s">
        <v>14416</v>
      </c>
      <c r="D819" t="s">
        <v>2001</v>
      </c>
      <c r="E819" t="s">
        <v>43</v>
      </c>
      <c r="I819" s="26">
        <v>43101</v>
      </c>
      <c r="J819" s="28">
        <v>43101</v>
      </c>
      <c r="Q819" t="s">
        <v>44683</v>
      </c>
      <c r="R819" t="s">
        <v>45658</v>
      </c>
    </row>
    <row r="820" spans="1:18" x14ac:dyDescent="0.35">
      <c r="A820" t="s">
        <v>14435</v>
      </c>
      <c r="D820" t="s">
        <v>2004</v>
      </c>
      <c r="E820" t="s">
        <v>43</v>
      </c>
      <c r="I820" s="26">
        <v>43101</v>
      </c>
      <c r="J820" s="28">
        <v>43101</v>
      </c>
      <c r="Q820" t="s">
        <v>44683</v>
      </c>
      <c r="R820" t="s">
        <v>45659</v>
      </c>
    </row>
    <row r="821" spans="1:18" x14ac:dyDescent="0.35">
      <c r="A821" t="s">
        <v>15381</v>
      </c>
      <c r="D821" t="s">
        <v>5467</v>
      </c>
      <c r="E821" t="s">
        <v>43</v>
      </c>
      <c r="I821" s="26">
        <v>43101</v>
      </c>
      <c r="J821" s="28">
        <v>43101</v>
      </c>
      <c r="Q821" t="s">
        <v>44683</v>
      </c>
      <c r="R821" t="s">
        <v>45660</v>
      </c>
    </row>
    <row r="822" spans="1:18" x14ac:dyDescent="0.35">
      <c r="A822" t="s">
        <v>14069</v>
      </c>
      <c r="D822" t="s">
        <v>651</v>
      </c>
      <c r="E822" t="s">
        <v>43</v>
      </c>
      <c r="I822" s="26">
        <v>43101</v>
      </c>
      <c r="J822" s="28">
        <v>43101</v>
      </c>
      <c r="Q822" t="s">
        <v>44683</v>
      </c>
      <c r="R822" t="s">
        <v>45661</v>
      </c>
    </row>
    <row r="823" spans="1:18" x14ac:dyDescent="0.35">
      <c r="A823" t="s">
        <v>14149</v>
      </c>
      <c r="D823" t="s">
        <v>1094</v>
      </c>
      <c r="E823" t="s">
        <v>43</v>
      </c>
      <c r="I823" s="26">
        <v>43101</v>
      </c>
      <c r="J823" s="28">
        <v>43101</v>
      </c>
      <c r="Q823" t="s">
        <v>44683</v>
      </c>
      <c r="R823" t="s">
        <v>45662</v>
      </c>
    </row>
    <row r="824" spans="1:18" x14ac:dyDescent="0.35">
      <c r="A824" t="s">
        <v>15398</v>
      </c>
      <c r="D824" t="s">
        <v>5468</v>
      </c>
      <c r="E824" t="s">
        <v>43</v>
      </c>
      <c r="I824" s="26">
        <v>43101</v>
      </c>
      <c r="J824" s="28">
        <v>43101</v>
      </c>
      <c r="Q824" t="s">
        <v>44683</v>
      </c>
      <c r="R824" t="s">
        <v>45663</v>
      </c>
    </row>
    <row r="825" spans="1:18" x14ac:dyDescent="0.35">
      <c r="A825" t="s">
        <v>14190</v>
      </c>
      <c r="D825" t="s">
        <v>1096</v>
      </c>
      <c r="E825" t="s">
        <v>43</v>
      </c>
      <c r="I825" s="26">
        <v>43101</v>
      </c>
      <c r="J825" s="28">
        <v>43101</v>
      </c>
      <c r="Q825" t="s">
        <v>44683</v>
      </c>
      <c r="R825" t="s">
        <v>45664</v>
      </c>
    </row>
    <row r="826" spans="1:18" x14ac:dyDescent="0.35">
      <c r="A826" t="s">
        <v>14169</v>
      </c>
      <c r="D826" t="s">
        <v>1095</v>
      </c>
      <c r="E826" t="s">
        <v>43</v>
      </c>
      <c r="I826" s="26">
        <v>43101</v>
      </c>
      <c r="J826" s="28">
        <v>43101</v>
      </c>
      <c r="Q826" t="s">
        <v>44683</v>
      </c>
      <c r="R826" t="s">
        <v>45665</v>
      </c>
    </row>
    <row r="827" spans="1:18" x14ac:dyDescent="0.35">
      <c r="A827" t="s">
        <v>14204</v>
      </c>
      <c r="D827" t="s">
        <v>1097</v>
      </c>
      <c r="E827" t="s">
        <v>43</v>
      </c>
      <c r="I827" s="26">
        <v>43101</v>
      </c>
      <c r="J827" s="28">
        <v>43101</v>
      </c>
      <c r="Q827" t="s">
        <v>44683</v>
      </c>
      <c r="R827" t="s">
        <v>45666</v>
      </c>
    </row>
    <row r="828" spans="1:18" x14ac:dyDescent="0.35">
      <c r="A828" t="s">
        <v>15405</v>
      </c>
      <c r="D828" t="s">
        <v>5469</v>
      </c>
      <c r="E828" t="s">
        <v>43</v>
      </c>
      <c r="I828" s="26">
        <v>43101</v>
      </c>
      <c r="J828" s="28">
        <v>43101</v>
      </c>
      <c r="Q828" t="s">
        <v>44683</v>
      </c>
      <c r="R828" t="s">
        <v>45667</v>
      </c>
    </row>
    <row r="829" spans="1:18" x14ac:dyDescent="0.35">
      <c r="A829" t="s">
        <v>14440</v>
      </c>
      <c r="D829" t="s">
        <v>2004</v>
      </c>
      <c r="E829" t="s">
        <v>43</v>
      </c>
      <c r="I829" s="26">
        <v>43101</v>
      </c>
      <c r="J829" s="28">
        <v>43101</v>
      </c>
      <c r="Q829" t="s">
        <v>44683</v>
      </c>
      <c r="R829" t="s">
        <v>45668</v>
      </c>
    </row>
    <row r="830" spans="1:18" x14ac:dyDescent="0.35">
      <c r="A830" t="s">
        <v>14034</v>
      </c>
      <c r="D830" t="s">
        <v>217</v>
      </c>
      <c r="E830" t="s">
        <v>43</v>
      </c>
      <c r="I830" s="26">
        <v>43101</v>
      </c>
      <c r="J830" s="28">
        <v>43101</v>
      </c>
      <c r="Q830" t="s">
        <v>44683</v>
      </c>
      <c r="R830" t="s">
        <v>45669</v>
      </c>
    </row>
    <row r="831" spans="1:18" x14ac:dyDescent="0.35">
      <c r="A831" t="s">
        <v>14033</v>
      </c>
      <c r="D831" t="s">
        <v>217</v>
      </c>
      <c r="E831" t="s">
        <v>43</v>
      </c>
      <c r="I831" s="26">
        <v>43101</v>
      </c>
      <c r="J831" s="28">
        <v>43101</v>
      </c>
      <c r="Q831" t="s">
        <v>44683</v>
      </c>
      <c r="R831" t="s">
        <v>45670</v>
      </c>
    </row>
    <row r="832" spans="1:18" x14ac:dyDescent="0.35">
      <c r="A832" t="s">
        <v>14432</v>
      </c>
      <c r="D832" t="s">
        <v>2003</v>
      </c>
      <c r="E832" t="s">
        <v>43</v>
      </c>
      <c r="I832" s="26">
        <v>43101</v>
      </c>
      <c r="J832" s="28">
        <v>43101</v>
      </c>
      <c r="Q832" t="s">
        <v>44683</v>
      </c>
      <c r="R832" t="s">
        <v>45671</v>
      </c>
    </row>
    <row r="833" spans="1:18" x14ac:dyDescent="0.35">
      <c r="A833" t="s">
        <v>15984</v>
      </c>
      <c r="D833" t="s">
        <v>6654</v>
      </c>
      <c r="E833" t="s">
        <v>43</v>
      </c>
      <c r="I833" s="26">
        <v>43101</v>
      </c>
      <c r="J833" s="28">
        <v>43101</v>
      </c>
      <c r="Q833" t="s">
        <v>44683</v>
      </c>
      <c r="R833" t="s">
        <v>45672</v>
      </c>
    </row>
    <row r="834" spans="1:18" x14ac:dyDescent="0.35">
      <c r="A834" t="s">
        <v>14417</v>
      </c>
      <c r="D834" t="s">
        <v>2001</v>
      </c>
      <c r="E834" t="s">
        <v>43</v>
      </c>
      <c r="I834" s="26">
        <v>43101</v>
      </c>
      <c r="J834" s="28">
        <v>43101</v>
      </c>
      <c r="Q834" t="s">
        <v>44683</v>
      </c>
      <c r="R834" t="s">
        <v>45673</v>
      </c>
    </row>
    <row r="835" spans="1:18" x14ac:dyDescent="0.35">
      <c r="A835" t="s">
        <v>14170</v>
      </c>
      <c r="D835" t="s">
        <v>1095</v>
      </c>
      <c r="E835" t="s">
        <v>43</v>
      </c>
      <c r="I835" s="26">
        <v>43101</v>
      </c>
      <c r="J835" s="28">
        <v>43101</v>
      </c>
      <c r="Q835" t="s">
        <v>44683</v>
      </c>
      <c r="R835" t="s">
        <v>45674</v>
      </c>
    </row>
    <row r="836" spans="1:18" x14ac:dyDescent="0.35">
      <c r="A836" t="s">
        <v>14139</v>
      </c>
      <c r="D836" t="s">
        <v>1093</v>
      </c>
      <c r="E836" t="s">
        <v>43</v>
      </c>
      <c r="I836" s="26">
        <v>43101</v>
      </c>
      <c r="J836" s="28">
        <v>43101</v>
      </c>
      <c r="Q836" t="s">
        <v>44683</v>
      </c>
      <c r="R836" t="s">
        <v>45675</v>
      </c>
    </row>
    <row r="837" spans="1:18" x14ac:dyDescent="0.35">
      <c r="A837" t="s">
        <v>14140</v>
      </c>
      <c r="D837" t="s">
        <v>1093</v>
      </c>
      <c r="E837" t="s">
        <v>43</v>
      </c>
      <c r="I837" s="26">
        <v>43101</v>
      </c>
      <c r="J837" s="28">
        <v>43101</v>
      </c>
      <c r="Q837" t="s">
        <v>44683</v>
      </c>
      <c r="R837" t="s">
        <v>45676</v>
      </c>
    </row>
    <row r="838" spans="1:18" x14ac:dyDescent="0.35">
      <c r="A838" t="s">
        <v>15370</v>
      </c>
      <c r="D838" t="s">
        <v>5466</v>
      </c>
      <c r="E838" t="s">
        <v>43</v>
      </c>
      <c r="I838" s="26">
        <v>43101</v>
      </c>
      <c r="J838" s="28">
        <v>43101</v>
      </c>
      <c r="Q838" t="s">
        <v>44683</v>
      </c>
      <c r="R838" t="s">
        <v>45677</v>
      </c>
    </row>
    <row r="839" spans="1:18" x14ac:dyDescent="0.35">
      <c r="A839" t="s">
        <v>14185</v>
      </c>
      <c r="D839" t="s">
        <v>1096</v>
      </c>
      <c r="E839" t="s">
        <v>43</v>
      </c>
      <c r="I839" s="26">
        <v>43101</v>
      </c>
      <c r="J839" s="28">
        <v>43101</v>
      </c>
      <c r="Q839" t="s">
        <v>44683</v>
      </c>
      <c r="R839" t="s">
        <v>45678</v>
      </c>
    </row>
    <row r="840" spans="1:18" x14ac:dyDescent="0.35">
      <c r="A840" t="s">
        <v>14205</v>
      </c>
      <c r="D840" t="s">
        <v>1097</v>
      </c>
      <c r="E840" t="s">
        <v>43</v>
      </c>
      <c r="I840" s="26">
        <v>43101</v>
      </c>
      <c r="J840" s="28">
        <v>43101</v>
      </c>
      <c r="Q840" t="s">
        <v>44683</v>
      </c>
      <c r="R840" t="s">
        <v>45679</v>
      </c>
    </row>
    <row r="841" spans="1:18" x14ac:dyDescent="0.35">
      <c r="A841" t="s">
        <v>14434</v>
      </c>
      <c r="D841" t="s">
        <v>2003</v>
      </c>
      <c r="E841" t="s">
        <v>43</v>
      </c>
      <c r="I841" s="26">
        <v>43101</v>
      </c>
      <c r="J841" s="28">
        <v>43101</v>
      </c>
      <c r="Q841" t="s">
        <v>44683</v>
      </c>
      <c r="R841" t="s">
        <v>45680</v>
      </c>
    </row>
    <row r="842" spans="1:18" x14ac:dyDescent="0.35">
      <c r="A842" t="s">
        <v>14441</v>
      </c>
      <c r="D842" t="s">
        <v>2004</v>
      </c>
      <c r="E842" t="s">
        <v>43</v>
      </c>
      <c r="I842" s="26">
        <v>43101</v>
      </c>
      <c r="J842" s="28">
        <v>43101</v>
      </c>
      <c r="Q842" t="s">
        <v>44683</v>
      </c>
      <c r="R842" t="s">
        <v>45681</v>
      </c>
    </row>
    <row r="843" spans="1:18" x14ac:dyDescent="0.35">
      <c r="A843" t="s">
        <v>15413</v>
      </c>
      <c r="D843" t="s">
        <v>5469</v>
      </c>
      <c r="E843" t="s">
        <v>43</v>
      </c>
      <c r="I843" s="26">
        <v>43101</v>
      </c>
      <c r="J843" s="28">
        <v>43101</v>
      </c>
      <c r="Q843" t="s">
        <v>44683</v>
      </c>
      <c r="R843" t="s">
        <v>45682</v>
      </c>
    </row>
    <row r="844" spans="1:18" x14ac:dyDescent="0.35">
      <c r="A844" t="s">
        <v>14209</v>
      </c>
      <c r="D844" t="s">
        <v>1097</v>
      </c>
      <c r="E844" t="s">
        <v>43</v>
      </c>
      <c r="I844" s="26">
        <v>43101</v>
      </c>
      <c r="J844" s="28">
        <v>43101</v>
      </c>
      <c r="Q844" t="s">
        <v>44683</v>
      </c>
      <c r="R844" t="s">
        <v>45683</v>
      </c>
    </row>
    <row r="845" spans="1:18" x14ac:dyDescent="0.35">
      <c r="A845" t="s">
        <v>15985</v>
      </c>
      <c r="D845" t="s">
        <v>6654</v>
      </c>
      <c r="E845" t="s">
        <v>43</v>
      </c>
      <c r="I845" s="26">
        <v>43101</v>
      </c>
      <c r="J845" s="28">
        <v>43101</v>
      </c>
      <c r="Q845" t="s">
        <v>44683</v>
      </c>
      <c r="R845" t="s">
        <v>45684</v>
      </c>
    </row>
    <row r="846" spans="1:18" x14ac:dyDescent="0.35">
      <c r="A846" t="s">
        <v>14616</v>
      </c>
      <c r="D846" t="s">
        <v>14612</v>
      </c>
      <c r="E846" t="s">
        <v>43</v>
      </c>
      <c r="I846" s="26">
        <v>43101</v>
      </c>
      <c r="J846" s="28">
        <v>43101</v>
      </c>
      <c r="Q846" t="s">
        <v>44683</v>
      </c>
      <c r="R846" t="s">
        <v>45685</v>
      </c>
    </row>
    <row r="847" spans="1:18" x14ac:dyDescent="0.35">
      <c r="A847" t="s">
        <v>14418</v>
      </c>
      <c r="D847" t="s">
        <v>2001</v>
      </c>
      <c r="E847" t="s">
        <v>43</v>
      </c>
      <c r="I847" s="26">
        <v>43101</v>
      </c>
      <c r="J847" s="28">
        <v>43101</v>
      </c>
      <c r="Q847" t="s">
        <v>44683</v>
      </c>
      <c r="R847" t="s">
        <v>45686</v>
      </c>
    </row>
    <row r="848" spans="1:18" x14ac:dyDescent="0.35">
      <c r="A848" t="s">
        <v>14171</v>
      </c>
      <c r="D848" t="s">
        <v>1095</v>
      </c>
      <c r="E848" t="s">
        <v>43</v>
      </c>
      <c r="I848" s="26">
        <v>43101</v>
      </c>
      <c r="J848" s="28">
        <v>43101</v>
      </c>
      <c r="Q848" t="s">
        <v>44683</v>
      </c>
      <c r="R848" t="s">
        <v>45687</v>
      </c>
    </row>
    <row r="849" spans="1:18" x14ac:dyDescent="0.35">
      <c r="A849" t="s">
        <v>14152</v>
      </c>
      <c r="D849" t="s">
        <v>1094</v>
      </c>
      <c r="E849" t="s">
        <v>43</v>
      </c>
      <c r="I849" s="26">
        <v>43101</v>
      </c>
      <c r="J849" s="28">
        <v>43101</v>
      </c>
      <c r="Q849" t="s">
        <v>44683</v>
      </c>
      <c r="R849" t="s">
        <v>45688</v>
      </c>
    </row>
    <row r="850" spans="1:18" x14ac:dyDescent="0.35">
      <c r="A850" t="s">
        <v>14186</v>
      </c>
      <c r="D850" t="s">
        <v>1096</v>
      </c>
      <c r="E850" t="s">
        <v>43</v>
      </c>
      <c r="I850" s="26">
        <v>43101</v>
      </c>
      <c r="J850" s="28">
        <v>43101</v>
      </c>
      <c r="Q850" t="s">
        <v>44683</v>
      </c>
      <c r="R850" t="s">
        <v>45689</v>
      </c>
    </row>
    <row r="851" spans="1:18" x14ac:dyDescent="0.35">
      <c r="A851" t="s">
        <v>15407</v>
      </c>
      <c r="D851" t="s">
        <v>5469</v>
      </c>
      <c r="E851" t="s">
        <v>43</v>
      </c>
      <c r="I851" s="26">
        <v>43101</v>
      </c>
      <c r="J851" s="28">
        <v>43101</v>
      </c>
      <c r="Q851" t="s">
        <v>44683</v>
      </c>
      <c r="R851" t="s">
        <v>45690</v>
      </c>
    </row>
    <row r="852" spans="1:18" x14ac:dyDescent="0.35">
      <c r="A852" t="s">
        <v>14438</v>
      </c>
      <c r="D852" t="s">
        <v>2004</v>
      </c>
      <c r="E852" t="s">
        <v>43</v>
      </c>
      <c r="I852" s="26">
        <v>43101</v>
      </c>
      <c r="J852" s="28">
        <v>43101</v>
      </c>
      <c r="Q852" t="s">
        <v>44683</v>
      </c>
      <c r="R852" t="s">
        <v>45691</v>
      </c>
    </row>
    <row r="853" spans="1:18" x14ac:dyDescent="0.35">
      <c r="A853" t="s">
        <v>14135</v>
      </c>
      <c r="D853" t="s">
        <v>1093</v>
      </c>
      <c r="E853" t="s">
        <v>43</v>
      </c>
      <c r="I853" s="26">
        <v>43101</v>
      </c>
      <c r="J853" s="28">
        <v>43101</v>
      </c>
      <c r="Q853" t="s">
        <v>44683</v>
      </c>
      <c r="R853" t="s">
        <v>45692</v>
      </c>
    </row>
    <row r="854" spans="1:18" x14ac:dyDescent="0.35">
      <c r="A854" t="s">
        <v>14163</v>
      </c>
      <c r="D854" t="s">
        <v>1095</v>
      </c>
      <c r="E854" t="s">
        <v>43</v>
      </c>
      <c r="I854" s="26">
        <v>43101</v>
      </c>
      <c r="J854" s="28">
        <v>43101</v>
      </c>
      <c r="Q854" t="s">
        <v>44683</v>
      </c>
      <c r="R854" t="s">
        <v>45693</v>
      </c>
    </row>
    <row r="855" spans="1:18" x14ac:dyDescent="0.35">
      <c r="A855" t="s">
        <v>15383</v>
      </c>
      <c r="D855" t="s">
        <v>5467</v>
      </c>
      <c r="E855" t="s">
        <v>43</v>
      </c>
      <c r="I855" s="26">
        <v>43101</v>
      </c>
      <c r="J855" s="28">
        <v>43101</v>
      </c>
      <c r="Q855" t="s">
        <v>44683</v>
      </c>
      <c r="R855" t="s">
        <v>45694</v>
      </c>
    </row>
    <row r="856" spans="1:18" x14ac:dyDescent="0.35">
      <c r="A856" t="s">
        <v>15982</v>
      </c>
      <c r="D856" t="s">
        <v>6654</v>
      </c>
      <c r="E856" t="s">
        <v>43</v>
      </c>
      <c r="I856" s="26">
        <v>43101</v>
      </c>
      <c r="J856" s="28">
        <v>43101</v>
      </c>
      <c r="Q856" t="s">
        <v>44683</v>
      </c>
      <c r="R856" t="s">
        <v>45695</v>
      </c>
    </row>
    <row r="857" spans="1:18" x14ac:dyDescent="0.35">
      <c r="A857" t="s">
        <v>14027</v>
      </c>
      <c r="D857" t="s">
        <v>216</v>
      </c>
      <c r="E857" t="s">
        <v>43</v>
      </c>
      <c r="I857" s="26">
        <v>43101</v>
      </c>
      <c r="J857" s="28">
        <v>43101</v>
      </c>
      <c r="Q857" t="s">
        <v>44683</v>
      </c>
      <c r="R857" t="s">
        <v>45696</v>
      </c>
    </row>
    <row r="858" spans="1:18" x14ac:dyDescent="0.35">
      <c r="A858" t="s">
        <v>15386</v>
      </c>
      <c r="D858" t="s">
        <v>5467</v>
      </c>
      <c r="E858" t="s">
        <v>43</v>
      </c>
      <c r="I858" s="26">
        <v>43101</v>
      </c>
      <c r="J858" s="28">
        <v>43101</v>
      </c>
      <c r="Q858" t="s">
        <v>44683</v>
      </c>
      <c r="R858" t="s">
        <v>45697</v>
      </c>
    </row>
    <row r="859" spans="1:18" x14ac:dyDescent="0.35">
      <c r="A859" t="s">
        <v>14610</v>
      </c>
      <c r="D859" t="s">
        <v>2127</v>
      </c>
      <c r="E859" t="s">
        <v>43</v>
      </c>
      <c r="I859" s="26">
        <v>43101</v>
      </c>
      <c r="J859" s="28">
        <v>43101</v>
      </c>
      <c r="Q859" t="s">
        <v>44683</v>
      </c>
      <c r="R859" t="s">
        <v>45698</v>
      </c>
    </row>
    <row r="860" spans="1:18" x14ac:dyDescent="0.35">
      <c r="A860" t="s">
        <v>14153</v>
      </c>
      <c r="D860" t="s">
        <v>1094</v>
      </c>
      <c r="E860" t="s">
        <v>43</v>
      </c>
      <c r="I860" s="26">
        <v>43101</v>
      </c>
      <c r="J860" s="28">
        <v>43101</v>
      </c>
      <c r="Q860" t="s">
        <v>44683</v>
      </c>
      <c r="R860" t="s">
        <v>45699</v>
      </c>
    </row>
    <row r="861" spans="1:18" x14ac:dyDescent="0.35">
      <c r="A861" t="s">
        <v>14172</v>
      </c>
      <c r="D861" t="s">
        <v>1095</v>
      </c>
      <c r="E861" t="s">
        <v>43</v>
      </c>
      <c r="I861" s="26">
        <v>43101</v>
      </c>
      <c r="J861" s="28">
        <v>43101</v>
      </c>
      <c r="Q861" t="s">
        <v>44683</v>
      </c>
      <c r="R861" t="s">
        <v>45700</v>
      </c>
    </row>
    <row r="862" spans="1:18" x14ac:dyDescent="0.35">
      <c r="A862" t="s">
        <v>15384</v>
      </c>
      <c r="D862" t="s">
        <v>5467</v>
      </c>
      <c r="E862" t="s">
        <v>43</v>
      </c>
      <c r="I862" s="26">
        <v>43101</v>
      </c>
      <c r="J862" s="28">
        <v>43101</v>
      </c>
      <c r="Q862" t="s">
        <v>44683</v>
      </c>
      <c r="R862" t="s">
        <v>45701</v>
      </c>
    </row>
    <row r="863" spans="1:18" x14ac:dyDescent="0.35">
      <c r="A863" t="s">
        <v>15395</v>
      </c>
      <c r="D863" t="s">
        <v>5468</v>
      </c>
      <c r="E863" t="s">
        <v>43</v>
      </c>
      <c r="I863" s="26">
        <v>43101</v>
      </c>
      <c r="J863" s="28">
        <v>43101</v>
      </c>
      <c r="Q863" t="s">
        <v>44683</v>
      </c>
      <c r="R863" t="s">
        <v>45702</v>
      </c>
    </row>
    <row r="864" spans="1:18" x14ac:dyDescent="0.35">
      <c r="A864" t="s">
        <v>14188</v>
      </c>
      <c r="D864" t="s">
        <v>1096</v>
      </c>
      <c r="E864" t="s">
        <v>43</v>
      </c>
      <c r="I864" s="26">
        <v>43101</v>
      </c>
      <c r="J864" s="28">
        <v>43101</v>
      </c>
      <c r="Q864" t="s">
        <v>44683</v>
      </c>
      <c r="R864" t="s">
        <v>45703</v>
      </c>
    </row>
    <row r="865" spans="1:18" x14ac:dyDescent="0.35">
      <c r="A865" t="s">
        <v>14433</v>
      </c>
      <c r="D865" t="s">
        <v>2003</v>
      </c>
      <c r="E865" t="s">
        <v>43</v>
      </c>
      <c r="I865" s="26">
        <v>43101</v>
      </c>
      <c r="J865" s="28">
        <v>43101</v>
      </c>
      <c r="Q865" t="s">
        <v>44683</v>
      </c>
      <c r="R865" t="s">
        <v>45704</v>
      </c>
    </row>
    <row r="866" spans="1:18" x14ac:dyDescent="0.35">
      <c r="A866" t="s">
        <v>15399</v>
      </c>
      <c r="D866" t="s">
        <v>5468</v>
      </c>
      <c r="E866" t="s">
        <v>43</v>
      </c>
      <c r="I866" s="26">
        <v>43101</v>
      </c>
      <c r="J866" s="28">
        <v>43101</v>
      </c>
      <c r="Q866" t="s">
        <v>44683</v>
      </c>
      <c r="R866" t="s">
        <v>45705</v>
      </c>
    </row>
    <row r="867" spans="1:18" x14ac:dyDescent="0.35">
      <c r="A867" t="s">
        <v>14173</v>
      </c>
      <c r="D867" t="s">
        <v>1095</v>
      </c>
      <c r="E867" t="s">
        <v>43</v>
      </c>
      <c r="I867" s="26">
        <v>43101</v>
      </c>
      <c r="J867" s="28">
        <v>43101</v>
      </c>
      <c r="Q867" t="s">
        <v>44683</v>
      </c>
      <c r="R867" t="s">
        <v>45706</v>
      </c>
    </row>
    <row r="868" spans="1:18" x14ac:dyDescent="0.35">
      <c r="A868" t="s">
        <v>14210</v>
      </c>
      <c r="D868" t="s">
        <v>1097</v>
      </c>
      <c r="E868" t="s">
        <v>43</v>
      </c>
      <c r="I868" s="26">
        <v>43101</v>
      </c>
      <c r="J868" s="28">
        <v>43101</v>
      </c>
      <c r="Q868" t="s">
        <v>44683</v>
      </c>
      <c r="R868" t="s">
        <v>45707</v>
      </c>
    </row>
    <row r="869" spans="1:18" x14ac:dyDescent="0.35">
      <c r="A869" t="s">
        <v>15983</v>
      </c>
      <c r="D869" t="s">
        <v>6654</v>
      </c>
      <c r="E869" t="s">
        <v>43</v>
      </c>
      <c r="I869" s="26">
        <v>43101</v>
      </c>
      <c r="J869" s="28">
        <v>43101</v>
      </c>
      <c r="Q869" t="s">
        <v>44683</v>
      </c>
      <c r="R869" t="s">
        <v>45708</v>
      </c>
    </row>
    <row r="870" spans="1:18" x14ac:dyDescent="0.35">
      <c r="A870" t="s">
        <v>14191</v>
      </c>
      <c r="D870" t="s">
        <v>1096</v>
      </c>
      <c r="E870" t="s">
        <v>43</v>
      </c>
      <c r="I870" s="26">
        <v>43101</v>
      </c>
      <c r="J870" s="28">
        <v>43101</v>
      </c>
      <c r="Q870" t="s">
        <v>44683</v>
      </c>
      <c r="R870" t="s">
        <v>45709</v>
      </c>
    </row>
    <row r="871" spans="1:18" x14ac:dyDescent="0.35">
      <c r="A871" t="s">
        <v>15986</v>
      </c>
      <c r="D871" t="s">
        <v>6654</v>
      </c>
      <c r="E871" t="s">
        <v>43</v>
      </c>
      <c r="I871" s="26">
        <v>43101</v>
      </c>
      <c r="J871" s="28">
        <v>43101</v>
      </c>
      <c r="Q871" t="s">
        <v>44683</v>
      </c>
      <c r="R871" t="s">
        <v>45710</v>
      </c>
    </row>
    <row r="872" spans="1:18" x14ac:dyDescent="0.35">
      <c r="A872" t="s">
        <v>14151</v>
      </c>
      <c r="D872" t="s">
        <v>1094</v>
      </c>
      <c r="E872" t="s">
        <v>43</v>
      </c>
      <c r="I872" s="26">
        <v>43101</v>
      </c>
      <c r="J872" s="28">
        <v>43101</v>
      </c>
      <c r="Q872" t="s">
        <v>44683</v>
      </c>
      <c r="R872" t="s">
        <v>45711</v>
      </c>
    </row>
    <row r="873" spans="1:18" x14ac:dyDescent="0.35">
      <c r="A873" t="s">
        <v>14439</v>
      </c>
      <c r="D873" t="s">
        <v>2004</v>
      </c>
      <c r="E873" t="s">
        <v>43</v>
      </c>
      <c r="I873" s="26">
        <v>43101</v>
      </c>
      <c r="J873" s="28">
        <v>43101</v>
      </c>
      <c r="Q873" t="s">
        <v>44683</v>
      </c>
      <c r="R873" t="s">
        <v>45712</v>
      </c>
    </row>
    <row r="874" spans="1:18" x14ac:dyDescent="0.35">
      <c r="A874" t="s">
        <v>14164</v>
      </c>
      <c r="D874" t="s">
        <v>1095</v>
      </c>
      <c r="E874" t="s">
        <v>43</v>
      </c>
      <c r="I874" s="26">
        <v>43101</v>
      </c>
      <c r="J874" s="28">
        <v>43101</v>
      </c>
      <c r="Q874" t="s">
        <v>44683</v>
      </c>
      <c r="R874" t="s">
        <v>45713</v>
      </c>
    </row>
    <row r="875" spans="1:18" x14ac:dyDescent="0.35">
      <c r="A875" t="s">
        <v>15371</v>
      </c>
      <c r="D875" t="s">
        <v>5466</v>
      </c>
      <c r="E875" t="s">
        <v>43</v>
      </c>
      <c r="I875" s="26">
        <v>43101</v>
      </c>
      <c r="J875" s="28">
        <v>43101</v>
      </c>
      <c r="Q875" t="s">
        <v>44683</v>
      </c>
      <c r="R875" t="s">
        <v>45714</v>
      </c>
    </row>
    <row r="876" spans="1:18" x14ac:dyDescent="0.35">
      <c r="A876" t="s">
        <v>15409</v>
      </c>
      <c r="D876" t="s">
        <v>5469</v>
      </c>
      <c r="E876" t="s">
        <v>43</v>
      </c>
      <c r="I876" s="26">
        <v>43101</v>
      </c>
      <c r="J876" s="28">
        <v>43101</v>
      </c>
      <c r="Q876" t="s">
        <v>44683</v>
      </c>
      <c r="R876" t="s">
        <v>45715</v>
      </c>
    </row>
    <row r="877" spans="1:18" x14ac:dyDescent="0.35">
      <c r="A877" t="s">
        <v>14047</v>
      </c>
      <c r="D877" t="s">
        <v>218</v>
      </c>
      <c r="E877" t="s">
        <v>43</v>
      </c>
      <c r="I877" s="26">
        <v>43101</v>
      </c>
      <c r="J877" s="28">
        <v>43101</v>
      </c>
      <c r="Q877" t="s">
        <v>44683</v>
      </c>
      <c r="R877" t="s">
        <v>45716</v>
      </c>
    </row>
    <row r="878" spans="1:18" x14ac:dyDescent="0.35">
      <c r="A878" t="s">
        <v>15987</v>
      </c>
      <c r="D878" t="s">
        <v>6654</v>
      </c>
      <c r="E878" t="s">
        <v>43</v>
      </c>
      <c r="I878" s="26">
        <v>43101</v>
      </c>
      <c r="J878" s="28">
        <v>43101</v>
      </c>
      <c r="Q878" t="s">
        <v>44683</v>
      </c>
      <c r="R878" t="s">
        <v>45717</v>
      </c>
    </row>
    <row r="879" spans="1:18" x14ac:dyDescent="0.35">
      <c r="A879" t="s">
        <v>14192</v>
      </c>
      <c r="D879" t="s">
        <v>1096</v>
      </c>
      <c r="E879" t="s">
        <v>43</v>
      </c>
      <c r="I879" s="26">
        <v>43101</v>
      </c>
      <c r="J879" s="28">
        <v>43101</v>
      </c>
      <c r="Q879" t="s">
        <v>44683</v>
      </c>
      <c r="R879" t="s">
        <v>45718</v>
      </c>
    </row>
    <row r="880" spans="1:18" x14ac:dyDescent="0.35">
      <c r="A880" t="s">
        <v>14154</v>
      </c>
      <c r="D880" t="s">
        <v>1094</v>
      </c>
      <c r="E880" t="s">
        <v>43</v>
      </c>
      <c r="I880" s="26">
        <v>43101</v>
      </c>
      <c r="J880" s="28">
        <v>43101</v>
      </c>
      <c r="Q880" t="s">
        <v>44683</v>
      </c>
      <c r="R880" t="s">
        <v>45719</v>
      </c>
    </row>
    <row r="881" spans="1:18" x14ac:dyDescent="0.35">
      <c r="A881" t="s">
        <v>14028</v>
      </c>
      <c r="D881" t="s">
        <v>216</v>
      </c>
      <c r="E881" t="s">
        <v>43</v>
      </c>
      <c r="I881" s="26">
        <v>43101</v>
      </c>
      <c r="J881" s="28">
        <v>43101</v>
      </c>
      <c r="Q881" t="s">
        <v>44683</v>
      </c>
      <c r="R881" t="s">
        <v>45720</v>
      </c>
    </row>
    <row r="882" spans="1:18" x14ac:dyDescent="0.35">
      <c r="A882" t="s">
        <v>14427</v>
      </c>
      <c r="D882" t="s">
        <v>2002</v>
      </c>
      <c r="E882" t="s">
        <v>43</v>
      </c>
      <c r="I882" s="26">
        <v>43101</v>
      </c>
      <c r="J882" s="28">
        <v>43101</v>
      </c>
      <c r="Q882" t="s">
        <v>44683</v>
      </c>
      <c r="R882" t="s">
        <v>45721</v>
      </c>
    </row>
    <row r="883" spans="1:18" x14ac:dyDescent="0.35">
      <c r="A883" t="s">
        <v>14037</v>
      </c>
      <c r="D883" t="s">
        <v>217</v>
      </c>
      <c r="E883" t="s">
        <v>43</v>
      </c>
      <c r="I883" s="26">
        <v>43101</v>
      </c>
      <c r="J883" s="28">
        <v>43101</v>
      </c>
      <c r="Q883" t="s">
        <v>44683</v>
      </c>
      <c r="R883" t="s">
        <v>45722</v>
      </c>
    </row>
    <row r="884" spans="1:18" x14ac:dyDescent="0.35">
      <c r="A884" t="s">
        <v>14606</v>
      </c>
      <c r="D884" t="s">
        <v>2127</v>
      </c>
      <c r="E884" t="s">
        <v>43</v>
      </c>
      <c r="I884" s="26">
        <v>43101</v>
      </c>
      <c r="J884" s="28">
        <v>43101</v>
      </c>
      <c r="Q884" t="s">
        <v>44683</v>
      </c>
      <c r="R884" t="s">
        <v>45723</v>
      </c>
    </row>
    <row r="885" spans="1:18" x14ac:dyDescent="0.35">
      <c r="A885" t="s">
        <v>14077</v>
      </c>
      <c r="D885" t="s">
        <v>652</v>
      </c>
      <c r="E885" t="s">
        <v>43</v>
      </c>
      <c r="I885" s="26">
        <v>43101</v>
      </c>
      <c r="J885" s="28">
        <v>43101</v>
      </c>
      <c r="Q885" t="s">
        <v>44683</v>
      </c>
      <c r="R885" t="s">
        <v>45724</v>
      </c>
    </row>
    <row r="886" spans="1:18" x14ac:dyDescent="0.35">
      <c r="A886" t="s">
        <v>14193</v>
      </c>
      <c r="D886" t="s">
        <v>1096</v>
      </c>
      <c r="E886" t="s">
        <v>43</v>
      </c>
      <c r="I886" s="26">
        <v>43101</v>
      </c>
      <c r="J886" s="28">
        <v>43101</v>
      </c>
      <c r="Q886" t="s">
        <v>44683</v>
      </c>
      <c r="R886" t="s">
        <v>45725</v>
      </c>
    </row>
    <row r="887" spans="1:18" x14ac:dyDescent="0.35">
      <c r="A887" t="s">
        <v>15374</v>
      </c>
      <c r="D887" t="s">
        <v>5466</v>
      </c>
      <c r="E887" t="s">
        <v>43</v>
      </c>
      <c r="I887" s="26">
        <v>43101</v>
      </c>
      <c r="J887" s="28">
        <v>43101</v>
      </c>
      <c r="Q887" t="s">
        <v>44683</v>
      </c>
      <c r="R887" t="s">
        <v>45726</v>
      </c>
    </row>
    <row r="888" spans="1:18" x14ac:dyDescent="0.35">
      <c r="A888" t="s">
        <v>15410</v>
      </c>
      <c r="D888" t="s">
        <v>5469</v>
      </c>
      <c r="E888" t="s">
        <v>43</v>
      </c>
      <c r="I888" s="26">
        <v>43101</v>
      </c>
      <c r="J888" s="28">
        <v>43101</v>
      </c>
      <c r="Q888" t="s">
        <v>44683</v>
      </c>
      <c r="R888" t="s">
        <v>45727</v>
      </c>
    </row>
    <row r="889" spans="1:18" x14ac:dyDescent="0.35">
      <c r="A889" t="s">
        <v>14607</v>
      </c>
      <c r="D889" t="s">
        <v>2127</v>
      </c>
      <c r="E889" t="s">
        <v>43</v>
      </c>
      <c r="I889" s="26">
        <v>43101</v>
      </c>
      <c r="J889" s="28">
        <v>43101</v>
      </c>
      <c r="Q889" t="s">
        <v>44683</v>
      </c>
      <c r="R889" t="s">
        <v>45728</v>
      </c>
    </row>
    <row r="890" spans="1:18" x14ac:dyDescent="0.35">
      <c r="A890" t="s">
        <v>14608</v>
      </c>
      <c r="D890" t="s">
        <v>2127</v>
      </c>
      <c r="E890" t="s">
        <v>43</v>
      </c>
      <c r="I890" s="26">
        <v>43101</v>
      </c>
      <c r="J890" s="28">
        <v>43101</v>
      </c>
      <c r="Q890" t="s">
        <v>44683</v>
      </c>
      <c r="R890" t="s">
        <v>45729</v>
      </c>
    </row>
    <row r="891" spans="1:18" x14ac:dyDescent="0.35">
      <c r="A891" t="s">
        <v>14207</v>
      </c>
      <c r="D891" t="s">
        <v>1097</v>
      </c>
      <c r="E891" t="s">
        <v>43</v>
      </c>
      <c r="I891" s="26">
        <v>43101</v>
      </c>
      <c r="J891" s="28">
        <v>43101</v>
      </c>
      <c r="Q891" t="s">
        <v>44683</v>
      </c>
      <c r="R891" t="s">
        <v>45730</v>
      </c>
    </row>
    <row r="892" spans="1:18" x14ac:dyDescent="0.35">
      <c r="A892" t="s">
        <v>14044</v>
      </c>
      <c r="D892" t="s">
        <v>218</v>
      </c>
      <c r="E892" t="s">
        <v>43</v>
      </c>
      <c r="I892" s="26">
        <v>43101</v>
      </c>
      <c r="J892" s="28">
        <v>43101</v>
      </c>
      <c r="Q892" t="s">
        <v>44683</v>
      </c>
      <c r="R892" t="s">
        <v>45731</v>
      </c>
    </row>
    <row r="893" spans="1:18" x14ac:dyDescent="0.35">
      <c r="A893" t="s">
        <v>15421</v>
      </c>
      <c r="D893" t="s">
        <v>5470</v>
      </c>
      <c r="E893" t="s">
        <v>43</v>
      </c>
      <c r="I893" s="26">
        <v>43101</v>
      </c>
      <c r="J893" s="28">
        <v>43101</v>
      </c>
      <c r="Q893" t="s">
        <v>44683</v>
      </c>
      <c r="R893" t="s">
        <v>45732</v>
      </c>
    </row>
    <row r="894" spans="1:18" x14ac:dyDescent="0.35">
      <c r="A894" t="s">
        <v>15411</v>
      </c>
      <c r="D894" t="s">
        <v>5469</v>
      </c>
      <c r="E894" t="s">
        <v>43</v>
      </c>
      <c r="I894" s="26">
        <v>43101</v>
      </c>
      <c r="J894" s="28">
        <v>43101</v>
      </c>
      <c r="Q894" t="s">
        <v>44683</v>
      </c>
      <c r="R894" t="s">
        <v>45733</v>
      </c>
    </row>
    <row r="895" spans="1:18" x14ac:dyDescent="0.35">
      <c r="A895" t="s">
        <v>14609</v>
      </c>
      <c r="D895" t="s">
        <v>2127</v>
      </c>
      <c r="E895" t="s">
        <v>43</v>
      </c>
      <c r="I895" s="26">
        <v>43101</v>
      </c>
      <c r="J895" s="28">
        <v>43101</v>
      </c>
      <c r="Q895" t="s">
        <v>44683</v>
      </c>
      <c r="R895" t="s">
        <v>45734</v>
      </c>
    </row>
    <row r="896" spans="1:18" x14ac:dyDescent="0.35">
      <c r="A896" t="s">
        <v>14136</v>
      </c>
      <c r="D896" t="s">
        <v>1093</v>
      </c>
      <c r="E896" t="s">
        <v>43</v>
      </c>
      <c r="I896" s="26">
        <v>43101</v>
      </c>
      <c r="J896" s="28">
        <v>43101</v>
      </c>
      <c r="Q896" t="s">
        <v>44683</v>
      </c>
      <c r="R896" t="s">
        <v>45735</v>
      </c>
    </row>
    <row r="897" spans="1:18" x14ac:dyDescent="0.35">
      <c r="A897" t="s">
        <v>15372</v>
      </c>
      <c r="D897" t="s">
        <v>5466</v>
      </c>
      <c r="E897" t="s">
        <v>43</v>
      </c>
      <c r="I897" s="26">
        <v>43101</v>
      </c>
      <c r="J897" s="28">
        <v>43101</v>
      </c>
      <c r="Q897" t="s">
        <v>44683</v>
      </c>
      <c r="R897" t="s">
        <v>45736</v>
      </c>
    </row>
    <row r="898" spans="1:18" x14ac:dyDescent="0.35">
      <c r="A898" t="s">
        <v>14029</v>
      </c>
      <c r="D898" t="s">
        <v>216</v>
      </c>
      <c r="E898" t="s">
        <v>43</v>
      </c>
      <c r="I898" s="26">
        <v>43101</v>
      </c>
      <c r="J898" s="28">
        <v>43101</v>
      </c>
      <c r="Q898" t="s">
        <v>44683</v>
      </c>
      <c r="R898" t="s">
        <v>45737</v>
      </c>
    </row>
    <row r="899" spans="1:18" x14ac:dyDescent="0.35">
      <c r="A899" t="s">
        <v>15400</v>
      </c>
      <c r="D899" t="s">
        <v>5468</v>
      </c>
      <c r="E899" t="s">
        <v>43</v>
      </c>
      <c r="I899" s="26">
        <v>43101</v>
      </c>
      <c r="J899" s="28">
        <v>43101</v>
      </c>
      <c r="Q899" t="s">
        <v>44683</v>
      </c>
      <c r="R899" t="s">
        <v>45738</v>
      </c>
    </row>
    <row r="900" spans="1:18" x14ac:dyDescent="0.35">
      <c r="A900" t="s">
        <v>14211</v>
      </c>
      <c r="D900" t="s">
        <v>1097</v>
      </c>
      <c r="E900" t="s">
        <v>43</v>
      </c>
      <c r="I900" s="26">
        <v>43101</v>
      </c>
      <c r="J900" s="28">
        <v>43101</v>
      </c>
      <c r="Q900" t="s">
        <v>44683</v>
      </c>
      <c r="R900" t="s">
        <v>45739</v>
      </c>
    </row>
    <row r="901" spans="1:18" x14ac:dyDescent="0.35">
      <c r="A901" t="s">
        <v>14165</v>
      </c>
      <c r="D901" t="s">
        <v>1095</v>
      </c>
      <c r="E901" t="s">
        <v>43</v>
      </c>
      <c r="I901" s="26">
        <v>43101</v>
      </c>
      <c r="J901" s="28">
        <v>43101</v>
      </c>
      <c r="Q901" t="s">
        <v>44683</v>
      </c>
      <c r="R901" t="s">
        <v>45740</v>
      </c>
    </row>
    <row r="902" spans="1:18" x14ac:dyDescent="0.35">
      <c r="A902" t="s">
        <v>16113</v>
      </c>
      <c r="D902" t="s">
        <v>7067</v>
      </c>
      <c r="E902" t="s">
        <v>43</v>
      </c>
      <c r="I902" s="26">
        <v>42736</v>
      </c>
      <c r="J902" s="28">
        <v>42736</v>
      </c>
      <c r="Q902" t="s">
        <v>44683</v>
      </c>
      <c r="R902" t="s">
        <v>45741</v>
      </c>
    </row>
    <row r="903" spans="1:18" x14ac:dyDescent="0.35">
      <c r="A903" t="s">
        <v>15988</v>
      </c>
      <c r="D903" t="s">
        <v>6779</v>
      </c>
      <c r="E903" t="s">
        <v>43</v>
      </c>
      <c r="I903" s="26">
        <v>42736</v>
      </c>
      <c r="J903" s="28">
        <v>42736</v>
      </c>
      <c r="Q903" t="s">
        <v>44683</v>
      </c>
      <c r="R903" t="s">
        <v>45742</v>
      </c>
    </row>
    <row r="904" spans="1:18" x14ac:dyDescent="0.35">
      <c r="A904" t="s">
        <v>14167</v>
      </c>
      <c r="D904" t="s">
        <v>1095</v>
      </c>
      <c r="E904" t="s">
        <v>43</v>
      </c>
      <c r="I904" s="26">
        <v>43101</v>
      </c>
      <c r="J904" s="28">
        <v>43101</v>
      </c>
      <c r="Q904" t="s">
        <v>44683</v>
      </c>
      <c r="R904" t="s">
        <v>45743</v>
      </c>
    </row>
    <row r="905" spans="1:18" x14ac:dyDescent="0.35">
      <c r="A905" t="s">
        <v>15645</v>
      </c>
      <c r="D905" t="s">
        <v>5877</v>
      </c>
      <c r="E905" t="s">
        <v>43</v>
      </c>
      <c r="I905" s="26">
        <v>43101</v>
      </c>
      <c r="J905" s="28">
        <v>43101</v>
      </c>
      <c r="Q905" t="s">
        <v>44683</v>
      </c>
      <c r="R905" t="s">
        <v>45744</v>
      </c>
    </row>
    <row r="906" spans="1:18" x14ac:dyDescent="0.35">
      <c r="A906" t="s">
        <v>15412</v>
      </c>
      <c r="D906" t="s">
        <v>5469</v>
      </c>
      <c r="E906" t="s">
        <v>43</v>
      </c>
      <c r="I906" s="26">
        <v>43101</v>
      </c>
      <c r="J906" s="28">
        <v>43101</v>
      </c>
      <c r="Q906" t="s">
        <v>44683</v>
      </c>
      <c r="R906" t="s">
        <v>45745</v>
      </c>
    </row>
    <row r="907" spans="1:18" x14ac:dyDescent="0.35">
      <c r="A907" t="s">
        <v>16114</v>
      </c>
      <c r="D907" t="s">
        <v>7067</v>
      </c>
      <c r="E907" t="s">
        <v>43</v>
      </c>
      <c r="I907" s="26">
        <v>42736</v>
      </c>
      <c r="J907" s="28">
        <v>42736</v>
      </c>
      <c r="Q907" t="s">
        <v>44683</v>
      </c>
      <c r="R907" t="s">
        <v>45746</v>
      </c>
    </row>
    <row r="908" spans="1:18" x14ac:dyDescent="0.35">
      <c r="A908" t="s">
        <v>15646</v>
      </c>
      <c r="D908" t="s">
        <v>5877</v>
      </c>
      <c r="E908" t="s">
        <v>43</v>
      </c>
      <c r="I908" s="26">
        <v>43101</v>
      </c>
      <c r="J908" s="28">
        <v>43101</v>
      </c>
      <c r="Q908" t="s">
        <v>44683</v>
      </c>
      <c r="R908" t="s">
        <v>45747</v>
      </c>
    </row>
    <row r="909" spans="1:18" x14ac:dyDescent="0.35">
      <c r="A909" t="s">
        <v>16115</v>
      </c>
      <c r="D909" t="s">
        <v>7067</v>
      </c>
      <c r="E909" t="s">
        <v>43</v>
      </c>
      <c r="I909" s="26">
        <v>42736</v>
      </c>
      <c r="J909" s="28">
        <v>42736</v>
      </c>
      <c r="Q909" t="s">
        <v>44683</v>
      </c>
      <c r="R909" t="s">
        <v>45748</v>
      </c>
    </row>
    <row r="910" spans="1:18" x14ac:dyDescent="0.35">
      <c r="A910" t="s">
        <v>16303</v>
      </c>
      <c r="D910" t="s">
        <v>5357</v>
      </c>
      <c r="E910" t="s">
        <v>43</v>
      </c>
      <c r="I910" s="26">
        <v>42736</v>
      </c>
      <c r="J910" s="28">
        <v>42736</v>
      </c>
      <c r="Q910" t="s">
        <v>44683</v>
      </c>
      <c r="R910" t="s">
        <v>45749</v>
      </c>
    </row>
    <row r="911" spans="1:18" x14ac:dyDescent="0.35">
      <c r="A911" t="s">
        <v>16116</v>
      </c>
      <c r="D911" t="s">
        <v>7067</v>
      </c>
      <c r="E911" t="s">
        <v>43</v>
      </c>
      <c r="I911" s="26">
        <v>42736</v>
      </c>
      <c r="J911" s="28">
        <v>42736</v>
      </c>
      <c r="Q911" t="s">
        <v>44683</v>
      </c>
      <c r="R911" t="s">
        <v>45750</v>
      </c>
    </row>
    <row r="912" spans="1:18" x14ac:dyDescent="0.35">
      <c r="A912" t="s">
        <v>15397</v>
      </c>
      <c r="D912" t="s">
        <v>5468</v>
      </c>
      <c r="E912" t="s">
        <v>43</v>
      </c>
      <c r="I912" s="26">
        <v>43101</v>
      </c>
      <c r="J912" s="28">
        <v>43101</v>
      </c>
      <c r="Q912" t="s">
        <v>44683</v>
      </c>
      <c r="R912" t="s">
        <v>45751</v>
      </c>
    </row>
    <row r="913" spans="1:18" x14ac:dyDescent="0.35">
      <c r="A913" t="s">
        <v>16117</v>
      </c>
      <c r="D913" t="s">
        <v>7067</v>
      </c>
      <c r="E913" t="s">
        <v>43</v>
      </c>
      <c r="I913" s="26">
        <v>42736</v>
      </c>
      <c r="J913" s="28">
        <v>42736</v>
      </c>
      <c r="Q913" t="s">
        <v>44683</v>
      </c>
      <c r="R913" t="s">
        <v>45752</v>
      </c>
    </row>
    <row r="914" spans="1:18" x14ac:dyDescent="0.35">
      <c r="A914" t="s">
        <v>16118</v>
      </c>
      <c r="D914" t="s">
        <v>7067</v>
      </c>
      <c r="E914" t="s">
        <v>43</v>
      </c>
      <c r="I914" s="26">
        <v>42736</v>
      </c>
      <c r="J914" s="28">
        <v>42736</v>
      </c>
      <c r="Q914" t="s">
        <v>44683</v>
      </c>
      <c r="R914" t="s">
        <v>45753</v>
      </c>
    </row>
    <row r="915" spans="1:18" x14ac:dyDescent="0.35">
      <c r="A915" t="s">
        <v>16119</v>
      </c>
      <c r="D915" t="s">
        <v>7067</v>
      </c>
      <c r="E915" t="s">
        <v>43</v>
      </c>
      <c r="I915" s="26">
        <v>42736</v>
      </c>
      <c r="J915" s="28">
        <v>42736</v>
      </c>
      <c r="Q915" t="s">
        <v>44683</v>
      </c>
      <c r="R915" t="s">
        <v>45754</v>
      </c>
    </row>
    <row r="916" spans="1:18" x14ac:dyDescent="0.35">
      <c r="A916" t="s">
        <v>15647</v>
      </c>
      <c r="D916" t="s">
        <v>5877</v>
      </c>
      <c r="E916" t="s">
        <v>43</v>
      </c>
      <c r="I916" s="26">
        <v>43101</v>
      </c>
      <c r="J916" s="28">
        <v>43101</v>
      </c>
      <c r="Q916" t="s">
        <v>44683</v>
      </c>
      <c r="R916" t="s">
        <v>45755</v>
      </c>
    </row>
    <row r="917" spans="1:18" x14ac:dyDescent="0.35">
      <c r="A917" t="s">
        <v>14189</v>
      </c>
      <c r="D917" t="s">
        <v>1096</v>
      </c>
      <c r="E917" t="s">
        <v>43</v>
      </c>
      <c r="I917" s="26">
        <v>43101</v>
      </c>
      <c r="J917" s="28">
        <v>43101</v>
      </c>
      <c r="Q917" t="s">
        <v>44683</v>
      </c>
      <c r="R917" t="s">
        <v>45756</v>
      </c>
    </row>
    <row r="918" spans="1:18" x14ac:dyDescent="0.35">
      <c r="A918" t="s">
        <v>14138</v>
      </c>
      <c r="D918" t="s">
        <v>1093</v>
      </c>
      <c r="E918" t="s">
        <v>43</v>
      </c>
      <c r="I918" s="26">
        <v>43101</v>
      </c>
      <c r="J918" s="28">
        <v>43101</v>
      </c>
      <c r="Q918" t="s">
        <v>44683</v>
      </c>
      <c r="R918" t="s">
        <v>45757</v>
      </c>
    </row>
    <row r="919" spans="1:18" x14ac:dyDescent="0.35">
      <c r="A919" t="s">
        <v>15385</v>
      </c>
      <c r="D919" t="s">
        <v>5467</v>
      </c>
      <c r="E919" t="s">
        <v>43</v>
      </c>
      <c r="I919" s="26">
        <v>43101</v>
      </c>
      <c r="J919" s="28">
        <v>43101</v>
      </c>
      <c r="Q919" t="s">
        <v>44683</v>
      </c>
      <c r="R919" t="s">
        <v>45758</v>
      </c>
    </row>
    <row r="920" spans="1:18" x14ac:dyDescent="0.35">
      <c r="A920" t="s">
        <v>14168</v>
      </c>
      <c r="D920" t="s">
        <v>1095</v>
      </c>
      <c r="E920" t="s">
        <v>43</v>
      </c>
      <c r="I920" s="26">
        <v>43101</v>
      </c>
      <c r="J920" s="28">
        <v>43101</v>
      </c>
      <c r="Q920" t="s">
        <v>44683</v>
      </c>
      <c r="R920" t="s">
        <v>45759</v>
      </c>
    </row>
    <row r="921" spans="1:18" x14ac:dyDescent="0.35">
      <c r="A921" t="s">
        <v>16120</v>
      </c>
      <c r="D921" t="s">
        <v>7067</v>
      </c>
      <c r="E921" t="s">
        <v>43</v>
      </c>
      <c r="I921" s="26">
        <v>42736</v>
      </c>
      <c r="J921" s="28">
        <v>42736</v>
      </c>
      <c r="Q921" t="s">
        <v>44683</v>
      </c>
      <c r="R921" t="s">
        <v>45760</v>
      </c>
    </row>
    <row r="922" spans="1:18" x14ac:dyDescent="0.35">
      <c r="A922" t="s">
        <v>16121</v>
      </c>
      <c r="D922" t="s">
        <v>7067</v>
      </c>
      <c r="E922" t="s">
        <v>43</v>
      </c>
      <c r="I922" s="26">
        <v>42736</v>
      </c>
      <c r="J922" s="28">
        <v>42736</v>
      </c>
      <c r="Q922" t="s">
        <v>44683</v>
      </c>
      <c r="R922" t="s">
        <v>45761</v>
      </c>
    </row>
    <row r="923" spans="1:18" x14ac:dyDescent="0.35">
      <c r="A923" t="s">
        <v>14346</v>
      </c>
      <c r="D923" t="s">
        <v>1771</v>
      </c>
      <c r="E923" t="s">
        <v>43</v>
      </c>
      <c r="I923" s="26">
        <v>43101</v>
      </c>
      <c r="J923" s="28">
        <v>43101</v>
      </c>
      <c r="Q923" t="s">
        <v>44683</v>
      </c>
      <c r="R923" t="s">
        <v>45762</v>
      </c>
    </row>
    <row r="924" spans="1:18" x14ac:dyDescent="0.35">
      <c r="A924" t="s">
        <v>14104</v>
      </c>
      <c r="D924" t="s">
        <v>884</v>
      </c>
      <c r="E924" t="s">
        <v>43</v>
      </c>
      <c r="I924" s="26">
        <v>43101</v>
      </c>
      <c r="J924" s="28">
        <v>43101</v>
      </c>
      <c r="Q924" t="s">
        <v>44683</v>
      </c>
      <c r="R924" t="s">
        <v>45763</v>
      </c>
    </row>
    <row r="925" spans="1:18" x14ac:dyDescent="0.35">
      <c r="A925" t="s">
        <v>16122</v>
      </c>
      <c r="D925" t="s">
        <v>7067</v>
      </c>
      <c r="E925" t="s">
        <v>43</v>
      </c>
      <c r="I925" s="26">
        <v>42736</v>
      </c>
      <c r="J925" s="28">
        <v>42736</v>
      </c>
      <c r="Q925" t="s">
        <v>44683</v>
      </c>
      <c r="R925" t="s">
        <v>45764</v>
      </c>
    </row>
    <row r="926" spans="1:18" x14ac:dyDescent="0.35">
      <c r="A926" t="s">
        <v>16123</v>
      </c>
      <c r="D926" t="s">
        <v>7067</v>
      </c>
      <c r="E926" t="s">
        <v>43</v>
      </c>
      <c r="I926" s="26">
        <v>42736</v>
      </c>
      <c r="J926" s="28">
        <v>42736</v>
      </c>
      <c r="Q926" t="s">
        <v>44683</v>
      </c>
      <c r="R926" t="s">
        <v>45765</v>
      </c>
    </row>
    <row r="927" spans="1:18" x14ac:dyDescent="0.35">
      <c r="A927" t="s">
        <v>16124</v>
      </c>
      <c r="D927" t="s">
        <v>7067</v>
      </c>
      <c r="E927" t="s">
        <v>43</v>
      </c>
      <c r="I927" s="26">
        <v>42736</v>
      </c>
      <c r="J927" s="28">
        <v>42736</v>
      </c>
      <c r="Q927" t="s">
        <v>44683</v>
      </c>
      <c r="R927" t="s">
        <v>45766</v>
      </c>
    </row>
    <row r="928" spans="1:18" x14ac:dyDescent="0.35">
      <c r="A928" t="s">
        <v>14208</v>
      </c>
      <c r="D928" t="s">
        <v>1097</v>
      </c>
      <c r="E928" t="s">
        <v>43</v>
      </c>
      <c r="I928" s="26">
        <v>43101</v>
      </c>
      <c r="J928" s="28">
        <v>43101</v>
      </c>
      <c r="Q928" t="s">
        <v>44683</v>
      </c>
      <c r="R928" t="s">
        <v>45767</v>
      </c>
    </row>
    <row r="929" spans="1:18" x14ac:dyDescent="0.35">
      <c r="A929" t="s">
        <v>15373</v>
      </c>
      <c r="D929" t="s">
        <v>5466</v>
      </c>
      <c r="E929" t="s">
        <v>43</v>
      </c>
      <c r="I929" s="26">
        <v>43101</v>
      </c>
      <c r="J929" s="28">
        <v>43101</v>
      </c>
      <c r="Q929" t="s">
        <v>44683</v>
      </c>
      <c r="R929" t="s">
        <v>45768</v>
      </c>
    </row>
    <row r="930" spans="1:18" x14ac:dyDescent="0.35">
      <c r="A930" t="s">
        <v>14071</v>
      </c>
      <c r="D930" t="s">
        <v>651</v>
      </c>
      <c r="E930" t="s">
        <v>43</v>
      </c>
      <c r="I930" s="26">
        <v>43101</v>
      </c>
      <c r="J930" s="28">
        <v>43101</v>
      </c>
      <c r="Q930" t="s">
        <v>44683</v>
      </c>
      <c r="R930" t="s">
        <v>45769</v>
      </c>
    </row>
    <row r="931" spans="1:18" x14ac:dyDescent="0.35">
      <c r="A931" t="s">
        <v>14715</v>
      </c>
      <c r="D931" t="s">
        <v>2462</v>
      </c>
      <c r="E931" t="s">
        <v>43</v>
      </c>
      <c r="I931" s="26">
        <v>43101</v>
      </c>
      <c r="J931" s="28">
        <v>43101</v>
      </c>
      <c r="Q931" t="s">
        <v>44683</v>
      </c>
      <c r="R931" t="s">
        <v>45770</v>
      </c>
    </row>
    <row r="932" spans="1:18" x14ac:dyDescent="0.35">
      <c r="A932" t="s">
        <v>14716</v>
      </c>
      <c r="D932" t="s">
        <v>2462</v>
      </c>
      <c r="E932" t="s">
        <v>43</v>
      </c>
      <c r="I932" s="26">
        <v>43101</v>
      </c>
      <c r="J932" s="28">
        <v>43101</v>
      </c>
      <c r="Q932" t="s">
        <v>44683</v>
      </c>
      <c r="R932" t="s">
        <v>45771</v>
      </c>
    </row>
    <row r="933" spans="1:18" x14ac:dyDescent="0.35">
      <c r="A933" t="s">
        <v>14717</v>
      </c>
      <c r="D933" t="s">
        <v>2462</v>
      </c>
      <c r="E933" t="s">
        <v>43</v>
      </c>
      <c r="I933" s="26">
        <v>43101</v>
      </c>
      <c r="J933" s="28">
        <v>43101</v>
      </c>
      <c r="Q933" t="s">
        <v>44683</v>
      </c>
      <c r="R933" t="s">
        <v>45772</v>
      </c>
    </row>
    <row r="934" spans="1:18" x14ac:dyDescent="0.35">
      <c r="A934" t="s">
        <v>14718</v>
      </c>
      <c r="D934" t="s">
        <v>2462</v>
      </c>
      <c r="E934" t="s">
        <v>43</v>
      </c>
      <c r="I934" s="26">
        <v>43101</v>
      </c>
      <c r="J934" s="28">
        <v>43101</v>
      </c>
      <c r="Q934" t="s">
        <v>44683</v>
      </c>
      <c r="R934" t="s">
        <v>45773</v>
      </c>
    </row>
    <row r="935" spans="1:18" x14ac:dyDescent="0.35">
      <c r="A935" t="s">
        <v>16125</v>
      </c>
      <c r="D935" t="s">
        <v>7067</v>
      </c>
      <c r="E935" t="s">
        <v>43</v>
      </c>
      <c r="I935" s="26">
        <v>42736</v>
      </c>
      <c r="J935" s="28">
        <v>42736</v>
      </c>
      <c r="Q935" t="s">
        <v>44683</v>
      </c>
      <c r="R935" t="s">
        <v>45774</v>
      </c>
    </row>
    <row r="936" spans="1:18" x14ac:dyDescent="0.35">
      <c r="A936" t="s">
        <v>16126</v>
      </c>
      <c r="D936" t="s">
        <v>7067</v>
      </c>
      <c r="E936" t="s">
        <v>43</v>
      </c>
      <c r="I936" s="26">
        <v>42736</v>
      </c>
      <c r="J936" s="28">
        <v>42736</v>
      </c>
      <c r="Q936" t="s">
        <v>44683</v>
      </c>
      <c r="R936" t="s">
        <v>45775</v>
      </c>
    </row>
    <row r="937" spans="1:18" x14ac:dyDescent="0.35">
      <c r="A937" t="s">
        <v>16127</v>
      </c>
      <c r="D937" t="s">
        <v>7067</v>
      </c>
      <c r="E937" t="s">
        <v>43</v>
      </c>
      <c r="I937" s="26">
        <v>42736</v>
      </c>
      <c r="J937" s="28">
        <v>42736</v>
      </c>
      <c r="Q937" t="s">
        <v>44683</v>
      </c>
      <c r="R937" t="s">
        <v>45776</v>
      </c>
    </row>
    <row r="938" spans="1:18" x14ac:dyDescent="0.35">
      <c r="A938" t="s">
        <v>16128</v>
      </c>
      <c r="D938" t="s">
        <v>7067</v>
      </c>
      <c r="E938" t="s">
        <v>43</v>
      </c>
      <c r="I938" s="26">
        <v>42736</v>
      </c>
      <c r="J938" s="28">
        <v>42736</v>
      </c>
      <c r="Q938" t="s">
        <v>44683</v>
      </c>
      <c r="R938" t="s">
        <v>45777</v>
      </c>
    </row>
    <row r="939" spans="1:18" x14ac:dyDescent="0.35">
      <c r="A939" t="s">
        <v>16129</v>
      </c>
      <c r="D939" t="s">
        <v>7067</v>
      </c>
      <c r="E939" t="s">
        <v>43</v>
      </c>
      <c r="I939" s="26">
        <v>42736</v>
      </c>
      <c r="J939" s="28">
        <v>42736</v>
      </c>
      <c r="Q939" t="s">
        <v>44683</v>
      </c>
      <c r="R939" t="s">
        <v>45778</v>
      </c>
    </row>
    <row r="940" spans="1:18" x14ac:dyDescent="0.35">
      <c r="A940" t="s">
        <v>16131</v>
      </c>
      <c r="D940" t="s">
        <v>7067</v>
      </c>
      <c r="E940" t="s">
        <v>43</v>
      </c>
      <c r="I940" s="26">
        <v>42736</v>
      </c>
      <c r="J940" s="28">
        <v>42736</v>
      </c>
      <c r="Q940" t="s">
        <v>44683</v>
      </c>
      <c r="R940" t="s">
        <v>45779</v>
      </c>
    </row>
    <row r="941" spans="1:18" x14ac:dyDescent="0.35">
      <c r="A941" t="s">
        <v>16130</v>
      </c>
      <c r="D941" t="s">
        <v>7067</v>
      </c>
      <c r="E941" t="s">
        <v>43</v>
      </c>
      <c r="I941" s="26">
        <v>42736</v>
      </c>
      <c r="J941" s="28">
        <v>42736</v>
      </c>
      <c r="Q941" t="s">
        <v>44683</v>
      </c>
      <c r="R941" t="s">
        <v>45780</v>
      </c>
    </row>
    <row r="942" spans="1:18" x14ac:dyDescent="0.35">
      <c r="A942" t="s">
        <v>16132</v>
      </c>
      <c r="D942" t="s">
        <v>7067</v>
      </c>
      <c r="E942" t="s">
        <v>43</v>
      </c>
      <c r="I942" s="26">
        <v>42736</v>
      </c>
      <c r="J942" s="28">
        <v>42736</v>
      </c>
      <c r="Q942" t="s">
        <v>44683</v>
      </c>
      <c r="R942" t="s">
        <v>45781</v>
      </c>
    </row>
    <row r="943" spans="1:18" x14ac:dyDescent="0.35">
      <c r="A943" t="s">
        <v>16133</v>
      </c>
      <c r="D943" t="s">
        <v>7067</v>
      </c>
      <c r="E943" t="s">
        <v>43</v>
      </c>
      <c r="I943" s="26">
        <v>42736</v>
      </c>
      <c r="J943" s="28">
        <v>42736</v>
      </c>
      <c r="Q943" t="s">
        <v>44683</v>
      </c>
      <c r="R943" t="s">
        <v>45782</v>
      </c>
    </row>
    <row r="944" spans="1:18" x14ac:dyDescent="0.35">
      <c r="A944" t="s">
        <v>14347</v>
      </c>
      <c r="D944" t="s">
        <v>1771</v>
      </c>
      <c r="E944" t="s">
        <v>43</v>
      </c>
      <c r="I944" s="26">
        <v>43101</v>
      </c>
      <c r="J944" s="28">
        <v>43101</v>
      </c>
      <c r="Q944" t="s">
        <v>44683</v>
      </c>
      <c r="R944" t="s">
        <v>45783</v>
      </c>
    </row>
    <row r="945" spans="1:18" x14ac:dyDescent="0.35">
      <c r="A945" t="s">
        <v>16134</v>
      </c>
      <c r="D945" t="s">
        <v>7067</v>
      </c>
      <c r="E945" t="s">
        <v>43</v>
      </c>
      <c r="I945" s="26">
        <v>42736</v>
      </c>
      <c r="J945" s="28">
        <v>42736</v>
      </c>
      <c r="Q945" t="s">
        <v>44683</v>
      </c>
      <c r="R945" t="s">
        <v>45784</v>
      </c>
    </row>
    <row r="946" spans="1:18" x14ac:dyDescent="0.35">
      <c r="A946" t="s">
        <v>14719</v>
      </c>
      <c r="D946" t="s">
        <v>2462</v>
      </c>
      <c r="E946" t="s">
        <v>43</v>
      </c>
      <c r="I946" s="26">
        <v>43101</v>
      </c>
      <c r="J946" s="28">
        <v>43101</v>
      </c>
      <c r="Q946" t="s">
        <v>44683</v>
      </c>
      <c r="R946" t="s">
        <v>45785</v>
      </c>
    </row>
    <row r="947" spans="1:18" x14ac:dyDescent="0.35">
      <c r="A947" t="s">
        <v>16135</v>
      </c>
      <c r="D947" t="s">
        <v>7067</v>
      </c>
      <c r="E947" t="s">
        <v>43</v>
      </c>
      <c r="I947" s="26">
        <v>42736</v>
      </c>
      <c r="J947" s="28">
        <v>42736</v>
      </c>
      <c r="Q947" t="s">
        <v>44683</v>
      </c>
      <c r="R947" t="s">
        <v>45786</v>
      </c>
    </row>
    <row r="948" spans="1:18" x14ac:dyDescent="0.35">
      <c r="A948" t="s">
        <v>14720</v>
      </c>
      <c r="D948" t="s">
        <v>2462</v>
      </c>
      <c r="E948" t="s">
        <v>43</v>
      </c>
      <c r="I948" s="26">
        <v>43101</v>
      </c>
      <c r="J948" s="28">
        <v>43101</v>
      </c>
      <c r="Q948" t="s">
        <v>44683</v>
      </c>
      <c r="R948" t="s">
        <v>45787</v>
      </c>
    </row>
    <row r="949" spans="1:18" x14ac:dyDescent="0.35">
      <c r="A949" t="s">
        <v>16106</v>
      </c>
      <c r="D949" t="s">
        <v>7067</v>
      </c>
      <c r="E949" t="s">
        <v>43</v>
      </c>
      <c r="I949" s="26">
        <v>42736</v>
      </c>
      <c r="J949" s="28">
        <v>42736</v>
      </c>
      <c r="Q949" t="s">
        <v>44683</v>
      </c>
      <c r="R949" t="s">
        <v>45788</v>
      </c>
    </row>
    <row r="950" spans="1:18" x14ac:dyDescent="0.35">
      <c r="A950" t="s">
        <v>16136</v>
      </c>
      <c r="D950" t="s">
        <v>7067</v>
      </c>
      <c r="E950" t="s">
        <v>43</v>
      </c>
      <c r="I950" s="26">
        <v>42736</v>
      </c>
      <c r="J950" s="28">
        <v>42736</v>
      </c>
      <c r="Q950" t="s">
        <v>44683</v>
      </c>
      <c r="R950" t="s">
        <v>45789</v>
      </c>
    </row>
    <row r="951" spans="1:18" x14ac:dyDescent="0.35">
      <c r="A951" t="s">
        <v>14036</v>
      </c>
      <c r="D951" t="s">
        <v>217</v>
      </c>
      <c r="E951" t="s">
        <v>43</v>
      </c>
      <c r="I951" s="26">
        <v>43101</v>
      </c>
      <c r="J951" s="28">
        <v>43101</v>
      </c>
      <c r="Q951" t="s">
        <v>44683</v>
      </c>
      <c r="R951" t="s">
        <v>45790</v>
      </c>
    </row>
    <row r="952" spans="1:18" x14ac:dyDescent="0.35">
      <c r="A952" t="s">
        <v>16107</v>
      </c>
      <c r="D952" t="s">
        <v>7067</v>
      </c>
      <c r="E952" t="s">
        <v>43</v>
      </c>
      <c r="I952" s="26">
        <v>42736</v>
      </c>
      <c r="J952" s="28">
        <v>42736</v>
      </c>
      <c r="Q952" t="s">
        <v>44683</v>
      </c>
      <c r="R952" t="s">
        <v>45791</v>
      </c>
    </row>
    <row r="953" spans="1:18" x14ac:dyDescent="0.35">
      <c r="A953" t="s">
        <v>14348</v>
      </c>
      <c r="D953" t="s">
        <v>1771</v>
      </c>
      <c r="E953" t="s">
        <v>43</v>
      </c>
      <c r="I953" s="26">
        <v>43101</v>
      </c>
      <c r="J953" s="28">
        <v>43101</v>
      </c>
      <c r="Q953" t="s">
        <v>44683</v>
      </c>
      <c r="R953" t="s">
        <v>45792</v>
      </c>
    </row>
    <row r="954" spans="1:18" x14ac:dyDescent="0.35">
      <c r="A954" t="s">
        <v>16137</v>
      </c>
      <c r="D954" t="s">
        <v>7067</v>
      </c>
      <c r="E954" t="s">
        <v>43</v>
      </c>
      <c r="I954" s="26">
        <v>42736</v>
      </c>
      <c r="J954" s="28">
        <v>42736</v>
      </c>
      <c r="Q954" t="s">
        <v>44683</v>
      </c>
      <c r="R954" t="s">
        <v>45793</v>
      </c>
    </row>
    <row r="955" spans="1:18" x14ac:dyDescent="0.35">
      <c r="A955" t="s">
        <v>16108</v>
      </c>
      <c r="D955" t="s">
        <v>7067</v>
      </c>
      <c r="E955" t="s">
        <v>43</v>
      </c>
      <c r="I955" s="26">
        <v>42736</v>
      </c>
      <c r="J955" s="28">
        <v>42736</v>
      </c>
      <c r="Q955" t="s">
        <v>44683</v>
      </c>
      <c r="R955" t="s">
        <v>45794</v>
      </c>
    </row>
    <row r="956" spans="1:18" x14ac:dyDescent="0.35">
      <c r="A956" t="s">
        <v>15648</v>
      </c>
      <c r="D956" t="s">
        <v>5877</v>
      </c>
      <c r="E956" t="s">
        <v>43</v>
      </c>
      <c r="I956" s="26">
        <v>43101</v>
      </c>
      <c r="J956" s="28">
        <v>43101</v>
      </c>
      <c r="Q956" t="s">
        <v>44683</v>
      </c>
      <c r="R956" t="s">
        <v>45795</v>
      </c>
    </row>
    <row r="957" spans="1:18" x14ac:dyDescent="0.35">
      <c r="A957" t="s">
        <v>14721</v>
      </c>
      <c r="D957" t="s">
        <v>2462</v>
      </c>
      <c r="E957" t="s">
        <v>43</v>
      </c>
      <c r="I957" s="26">
        <v>43101</v>
      </c>
      <c r="J957" s="28">
        <v>43101</v>
      </c>
      <c r="Q957" t="s">
        <v>44683</v>
      </c>
      <c r="R957" t="s">
        <v>45796</v>
      </c>
    </row>
    <row r="958" spans="1:18" x14ac:dyDescent="0.35">
      <c r="A958" t="s">
        <v>15649</v>
      </c>
      <c r="D958" t="s">
        <v>5877</v>
      </c>
      <c r="E958" t="s">
        <v>43</v>
      </c>
      <c r="I958" s="26">
        <v>43101</v>
      </c>
      <c r="J958" s="28">
        <v>43101</v>
      </c>
      <c r="Q958" t="s">
        <v>44683</v>
      </c>
      <c r="R958" t="s">
        <v>45797</v>
      </c>
    </row>
    <row r="959" spans="1:18" x14ac:dyDescent="0.35">
      <c r="A959" t="s">
        <v>14722</v>
      </c>
      <c r="D959" t="s">
        <v>2462</v>
      </c>
      <c r="E959" t="s">
        <v>43</v>
      </c>
      <c r="I959" s="26">
        <v>43101</v>
      </c>
      <c r="J959" s="28">
        <v>43101</v>
      </c>
      <c r="Q959" t="s">
        <v>44683</v>
      </c>
      <c r="R959" t="s">
        <v>45798</v>
      </c>
    </row>
    <row r="960" spans="1:18" x14ac:dyDescent="0.35">
      <c r="A960" t="s">
        <v>16109</v>
      </c>
      <c r="D960" t="s">
        <v>7067</v>
      </c>
      <c r="E960" t="s">
        <v>43</v>
      </c>
      <c r="I960" s="26">
        <v>42736</v>
      </c>
      <c r="J960" s="28">
        <v>42736</v>
      </c>
      <c r="Q960" t="s">
        <v>44683</v>
      </c>
      <c r="R960" t="s">
        <v>45799</v>
      </c>
    </row>
    <row r="961" spans="1:18" x14ac:dyDescent="0.35">
      <c r="A961" t="s">
        <v>16138</v>
      </c>
      <c r="D961" t="s">
        <v>7067</v>
      </c>
      <c r="E961" t="s">
        <v>43</v>
      </c>
      <c r="I961" s="26">
        <v>42736</v>
      </c>
      <c r="J961" s="28">
        <v>42736</v>
      </c>
      <c r="Q961" t="s">
        <v>44683</v>
      </c>
      <c r="R961" t="s">
        <v>45800</v>
      </c>
    </row>
    <row r="962" spans="1:18" x14ac:dyDescent="0.35">
      <c r="A962" t="s">
        <v>16139</v>
      </c>
      <c r="D962" t="s">
        <v>7067</v>
      </c>
      <c r="E962" t="s">
        <v>43</v>
      </c>
      <c r="I962" s="26">
        <v>42736</v>
      </c>
      <c r="J962" s="28">
        <v>42736</v>
      </c>
      <c r="Q962" t="s">
        <v>44683</v>
      </c>
      <c r="R962" t="s">
        <v>45801</v>
      </c>
    </row>
    <row r="963" spans="1:18" x14ac:dyDescent="0.35">
      <c r="A963" t="s">
        <v>15650</v>
      </c>
      <c r="D963" t="s">
        <v>5877</v>
      </c>
      <c r="E963" t="s">
        <v>43</v>
      </c>
      <c r="I963" s="26">
        <v>43101</v>
      </c>
      <c r="J963" s="28">
        <v>43101</v>
      </c>
      <c r="Q963" t="s">
        <v>44683</v>
      </c>
      <c r="R963" t="s">
        <v>45802</v>
      </c>
    </row>
    <row r="964" spans="1:18" x14ac:dyDescent="0.35">
      <c r="A964" t="s">
        <v>16140</v>
      </c>
      <c r="D964" t="s">
        <v>7067</v>
      </c>
      <c r="E964" t="s">
        <v>43</v>
      </c>
      <c r="I964" s="26">
        <v>42736</v>
      </c>
      <c r="J964" s="28">
        <v>42736</v>
      </c>
      <c r="Q964" t="s">
        <v>44683</v>
      </c>
      <c r="R964" t="s">
        <v>45803</v>
      </c>
    </row>
    <row r="965" spans="1:18" x14ac:dyDescent="0.35">
      <c r="A965" t="s">
        <v>14046</v>
      </c>
      <c r="D965" t="s">
        <v>218</v>
      </c>
      <c r="E965" t="s">
        <v>43</v>
      </c>
      <c r="I965" s="26">
        <v>43101</v>
      </c>
      <c r="J965" s="28">
        <v>43101</v>
      </c>
      <c r="Q965" t="s">
        <v>44683</v>
      </c>
      <c r="R965" t="s">
        <v>45804</v>
      </c>
    </row>
    <row r="966" spans="1:18" x14ac:dyDescent="0.35">
      <c r="A966" t="s">
        <v>16142</v>
      </c>
      <c r="D966" t="s">
        <v>7067</v>
      </c>
      <c r="E966" t="s">
        <v>43</v>
      </c>
      <c r="I966" s="26">
        <v>42736</v>
      </c>
      <c r="J966" s="28">
        <v>42736</v>
      </c>
      <c r="Q966" t="s">
        <v>44683</v>
      </c>
      <c r="R966" t="s">
        <v>45805</v>
      </c>
    </row>
    <row r="967" spans="1:18" x14ac:dyDescent="0.35">
      <c r="A967" t="s">
        <v>16141</v>
      </c>
      <c r="D967" t="s">
        <v>7067</v>
      </c>
      <c r="E967" t="s">
        <v>43</v>
      </c>
      <c r="I967" s="26">
        <v>42736</v>
      </c>
      <c r="J967" s="28">
        <v>42736</v>
      </c>
      <c r="Q967" t="s">
        <v>44683</v>
      </c>
      <c r="R967" t="s">
        <v>45806</v>
      </c>
    </row>
    <row r="968" spans="1:18" x14ac:dyDescent="0.35">
      <c r="A968" t="s">
        <v>16143</v>
      </c>
      <c r="D968" t="s">
        <v>7067</v>
      </c>
      <c r="E968" t="s">
        <v>43</v>
      </c>
      <c r="I968" s="26">
        <v>42736</v>
      </c>
      <c r="J968" s="28">
        <v>42736</v>
      </c>
      <c r="Q968" t="s">
        <v>44683</v>
      </c>
      <c r="R968" t="s">
        <v>45807</v>
      </c>
    </row>
    <row r="969" spans="1:18" x14ac:dyDescent="0.35">
      <c r="A969" t="s">
        <v>14174</v>
      </c>
      <c r="D969" t="s">
        <v>1095</v>
      </c>
      <c r="E969" t="s">
        <v>43</v>
      </c>
      <c r="I969" s="26">
        <v>43101</v>
      </c>
      <c r="J969" s="28">
        <v>43101</v>
      </c>
      <c r="Q969" t="s">
        <v>44683</v>
      </c>
      <c r="R969" t="s">
        <v>45808</v>
      </c>
    </row>
    <row r="970" spans="1:18" x14ac:dyDescent="0.35">
      <c r="A970" t="s">
        <v>16144</v>
      </c>
      <c r="D970" t="s">
        <v>7067</v>
      </c>
      <c r="E970" t="s">
        <v>43</v>
      </c>
      <c r="I970" s="26">
        <v>42736</v>
      </c>
      <c r="J970" s="28">
        <v>42736</v>
      </c>
      <c r="Q970" t="s">
        <v>44683</v>
      </c>
      <c r="R970" t="s">
        <v>45809</v>
      </c>
    </row>
    <row r="971" spans="1:18" x14ac:dyDescent="0.35">
      <c r="A971" t="s">
        <v>16145</v>
      </c>
      <c r="D971" t="s">
        <v>7067</v>
      </c>
      <c r="E971" t="s">
        <v>43</v>
      </c>
      <c r="I971" s="26">
        <v>42736</v>
      </c>
      <c r="J971" s="28">
        <v>42736</v>
      </c>
      <c r="Q971" t="s">
        <v>44683</v>
      </c>
      <c r="R971" t="s">
        <v>45810</v>
      </c>
    </row>
    <row r="972" spans="1:18" x14ac:dyDescent="0.35">
      <c r="A972" t="s">
        <v>15387</v>
      </c>
      <c r="D972" t="s">
        <v>5467</v>
      </c>
      <c r="E972" t="s">
        <v>43</v>
      </c>
      <c r="I972" s="26">
        <v>43101</v>
      </c>
      <c r="J972" s="28">
        <v>43101</v>
      </c>
      <c r="Q972" t="s">
        <v>44683</v>
      </c>
      <c r="R972" t="s">
        <v>45811</v>
      </c>
    </row>
    <row r="973" spans="1:18" x14ac:dyDescent="0.35">
      <c r="A973" t="s">
        <v>16146</v>
      </c>
      <c r="D973" t="s">
        <v>7067</v>
      </c>
      <c r="E973" t="s">
        <v>43</v>
      </c>
      <c r="I973" s="26">
        <v>42736</v>
      </c>
      <c r="J973" s="28">
        <v>42736</v>
      </c>
      <c r="Q973" t="s">
        <v>44683</v>
      </c>
      <c r="R973" t="s">
        <v>45812</v>
      </c>
    </row>
    <row r="974" spans="1:18" x14ac:dyDescent="0.35">
      <c r="A974" t="s">
        <v>15651</v>
      </c>
      <c r="D974" t="s">
        <v>5877</v>
      </c>
      <c r="E974" t="s">
        <v>43</v>
      </c>
      <c r="I974" s="26">
        <v>43101</v>
      </c>
      <c r="J974" s="28">
        <v>43101</v>
      </c>
      <c r="Q974" t="s">
        <v>44683</v>
      </c>
      <c r="R974" t="s">
        <v>45813</v>
      </c>
    </row>
    <row r="975" spans="1:18" x14ac:dyDescent="0.35">
      <c r="A975" t="s">
        <v>16147</v>
      </c>
      <c r="D975" t="s">
        <v>7067</v>
      </c>
      <c r="E975" t="s">
        <v>43</v>
      </c>
      <c r="I975" s="26">
        <v>42736</v>
      </c>
      <c r="J975" s="28">
        <v>42736</v>
      </c>
      <c r="Q975" t="s">
        <v>44683</v>
      </c>
      <c r="R975" t="s">
        <v>45814</v>
      </c>
    </row>
    <row r="976" spans="1:18" x14ac:dyDescent="0.35">
      <c r="A976" t="s">
        <v>16148</v>
      </c>
      <c r="D976" t="s">
        <v>7067</v>
      </c>
      <c r="E976" t="s">
        <v>43</v>
      </c>
      <c r="I976" s="26">
        <v>42736</v>
      </c>
      <c r="J976" s="28">
        <v>42736</v>
      </c>
      <c r="Q976" t="s">
        <v>44683</v>
      </c>
      <c r="R976" t="s">
        <v>45815</v>
      </c>
    </row>
    <row r="977" spans="1:18" x14ac:dyDescent="0.35">
      <c r="A977" t="s">
        <v>16149</v>
      </c>
      <c r="D977" t="s">
        <v>7067</v>
      </c>
      <c r="E977" t="s">
        <v>43</v>
      </c>
      <c r="I977" s="26">
        <v>42736</v>
      </c>
      <c r="J977" s="28">
        <v>42736</v>
      </c>
      <c r="Q977" t="s">
        <v>44683</v>
      </c>
      <c r="R977" t="s">
        <v>45816</v>
      </c>
    </row>
    <row r="978" spans="1:18" x14ac:dyDescent="0.35">
      <c r="A978" t="s">
        <v>16150</v>
      </c>
      <c r="D978" t="s">
        <v>7067</v>
      </c>
      <c r="E978" t="s">
        <v>43</v>
      </c>
      <c r="I978" s="26">
        <v>42736</v>
      </c>
      <c r="J978" s="28">
        <v>42736</v>
      </c>
      <c r="Q978" t="s">
        <v>44683</v>
      </c>
      <c r="R978" t="s">
        <v>45817</v>
      </c>
    </row>
    <row r="979" spans="1:18" x14ac:dyDescent="0.35">
      <c r="A979" t="s">
        <v>16151</v>
      </c>
      <c r="D979" t="s">
        <v>7067</v>
      </c>
      <c r="E979" t="s">
        <v>43</v>
      </c>
      <c r="I979" s="26">
        <v>42736</v>
      </c>
      <c r="J979" s="28">
        <v>42736</v>
      </c>
      <c r="Q979" t="s">
        <v>44683</v>
      </c>
      <c r="R979" t="s">
        <v>45818</v>
      </c>
    </row>
    <row r="980" spans="1:18" x14ac:dyDescent="0.35">
      <c r="A980" t="s">
        <v>15360</v>
      </c>
      <c r="D980" t="s">
        <v>5399</v>
      </c>
      <c r="E980" t="s">
        <v>43</v>
      </c>
      <c r="I980" s="26">
        <v>43101</v>
      </c>
      <c r="J980" s="28">
        <v>43101</v>
      </c>
      <c r="Q980" t="s">
        <v>44683</v>
      </c>
      <c r="R980" t="s">
        <v>45819</v>
      </c>
    </row>
    <row r="981" spans="1:18" x14ac:dyDescent="0.35">
      <c r="A981" t="s">
        <v>16152</v>
      </c>
      <c r="D981" t="s">
        <v>7067</v>
      </c>
      <c r="E981" t="s">
        <v>43</v>
      </c>
      <c r="I981" s="26">
        <v>42736</v>
      </c>
      <c r="J981" s="28">
        <v>42736</v>
      </c>
      <c r="Q981" t="s">
        <v>44683</v>
      </c>
      <c r="R981" t="s">
        <v>45820</v>
      </c>
    </row>
    <row r="982" spans="1:18" x14ac:dyDescent="0.35">
      <c r="A982" t="s">
        <v>16650</v>
      </c>
      <c r="E982" t="s">
        <v>43</v>
      </c>
      <c r="F982" t="s">
        <v>16649</v>
      </c>
      <c r="I982" s="26">
        <v>42736</v>
      </c>
      <c r="J982" s="28">
        <v>42736</v>
      </c>
      <c r="Q982" t="s">
        <v>44683</v>
      </c>
      <c r="R982" t="s">
        <v>45821</v>
      </c>
    </row>
    <row r="983" spans="1:18" x14ac:dyDescent="0.35">
      <c r="A983" t="s">
        <v>16153</v>
      </c>
      <c r="D983" t="s">
        <v>7067</v>
      </c>
      <c r="E983" t="s">
        <v>43</v>
      </c>
      <c r="I983" s="26">
        <v>42736</v>
      </c>
      <c r="J983" s="28">
        <v>42736</v>
      </c>
      <c r="Q983" t="s">
        <v>44683</v>
      </c>
      <c r="R983" t="s">
        <v>45822</v>
      </c>
    </row>
    <row r="984" spans="1:18" x14ac:dyDescent="0.35">
      <c r="A984" t="s">
        <v>16154</v>
      </c>
      <c r="D984" t="s">
        <v>7067</v>
      </c>
      <c r="E984" t="s">
        <v>43</v>
      </c>
      <c r="I984" s="26">
        <v>42736</v>
      </c>
      <c r="J984" s="28">
        <v>42736</v>
      </c>
      <c r="Q984" t="s">
        <v>44683</v>
      </c>
      <c r="R984" t="s">
        <v>45823</v>
      </c>
    </row>
    <row r="985" spans="1:18" x14ac:dyDescent="0.35">
      <c r="A985" t="s">
        <v>16155</v>
      </c>
      <c r="D985" t="s">
        <v>7067</v>
      </c>
      <c r="E985" t="s">
        <v>43</v>
      </c>
      <c r="I985" s="26">
        <v>42736</v>
      </c>
      <c r="J985" s="28">
        <v>42736</v>
      </c>
      <c r="Q985" t="s">
        <v>44683</v>
      </c>
      <c r="R985" t="s">
        <v>45824</v>
      </c>
    </row>
    <row r="986" spans="1:18" x14ac:dyDescent="0.35">
      <c r="A986" t="s">
        <v>16156</v>
      </c>
      <c r="D986" t="s">
        <v>7067</v>
      </c>
      <c r="E986" t="s">
        <v>43</v>
      </c>
      <c r="I986" s="26">
        <v>42736</v>
      </c>
      <c r="J986" s="28">
        <v>42736</v>
      </c>
      <c r="Q986" t="s">
        <v>44683</v>
      </c>
      <c r="R986" t="s">
        <v>45825</v>
      </c>
    </row>
    <row r="987" spans="1:18" x14ac:dyDescent="0.35">
      <c r="A987" t="s">
        <v>14428</v>
      </c>
      <c r="D987" t="s">
        <v>2002</v>
      </c>
      <c r="E987" t="s">
        <v>43</v>
      </c>
      <c r="I987" s="26">
        <v>43101</v>
      </c>
      <c r="J987" s="28">
        <v>43101</v>
      </c>
      <c r="Q987" t="s">
        <v>44683</v>
      </c>
      <c r="R987" t="s">
        <v>45826</v>
      </c>
    </row>
    <row r="988" spans="1:18" x14ac:dyDescent="0.35">
      <c r="A988" t="s">
        <v>14723</v>
      </c>
      <c r="D988" t="s">
        <v>2462</v>
      </c>
      <c r="E988" t="s">
        <v>43</v>
      </c>
      <c r="I988" s="26">
        <v>43101</v>
      </c>
      <c r="J988" s="28">
        <v>43101</v>
      </c>
      <c r="Q988" t="s">
        <v>44683</v>
      </c>
      <c r="R988" t="s">
        <v>45827</v>
      </c>
    </row>
    <row r="989" spans="1:18" x14ac:dyDescent="0.35">
      <c r="A989" t="s">
        <v>14724</v>
      </c>
      <c r="D989" t="s">
        <v>2462</v>
      </c>
      <c r="E989" t="s">
        <v>43</v>
      </c>
      <c r="I989" s="26">
        <v>43101</v>
      </c>
      <c r="J989" s="28">
        <v>43101</v>
      </c>
      <c r="Q989" t="s">
        <v>44683</v>
      </c>
      <c r="R989" t="s">
        <v>45828</v>
      </c>
    </row>
    <row r="990" spans="1:18" x14ac:dyDescent="0.35">
      <c r="A990" t="s">
        <v>14725</v>
      </c>
      <c r="D990" t="s">
        <v>2462</v>
      </c>
      <c r="E990" t="s">
        <v>43</v>
      </c>
      <c r="I990" s="26">
        <v>43101</v>
      </c>
      <c r="J990" s="28">
        <v>43101</v>
      </c>
      <c r="Q990" t="s">
        <v>44683</v>
      </c>
      <c r="R990" t="s">
        <v>45829</v>
      </c>
    </row>
    <row r="991" spans="1:18" x14ac:dyDescent="0.35">
      <c r="A991" t="s">
        <v>14726</v>
      </c>
      <c r="D991" t="s">
        <v>2462</v>
      </c>
      <c r="E991" t="s">
        <v>43</v>
      </c>
      <c r="I991" s="26">
        <v>43101</v>
      </c>
      <c r="J991" s="28">
        <v>43101</v>
      </c>
      <c r="Q991" t="s">
        <v>44683</v>
      </c>
      <c r="R991" t="s">
        <v>45830</v>
      </c>
    </row>
    <row r="992" spans="1:18" x14ac:dyDescent="0.35">
      <c r="A992" t="s">
        <v>16157</v>
      </c>
      <c r="D992" t="s">
        <v>7067</v>
      </c>
      <c r="E992" t="s">
        <v>43</v>
      </c>
      <c r="I992" s="26">
        <v>42736</v>
      </c>
      <c r="J992" s="28">
        <v>42736</v>
      </c>
      <c r="Q992" t="s">
        <v>44683</v>
      </c>
      <c r="R992" t="s">
        <v>45831</v>
      </c>
    </row>
    <row r="993" spans="1:18" x14ac:dyDescent="0.35">
      <c r="A993" t="s">
        <v>45832</v>
      </c>
      <c r="D993" t="s">
        <v>345</v>
      </c>
      <c r="E993" t="s">
        <v>43</v>
      </c>
      <c r="I993" s="26">
        <v>42736</v>
      </c>
      <c r="J993" s="28">
        <v>42736</v>
      </c>
      <c r="Q993" t="s">
        <v>44683</v>
      </c>
      <c r="R993" t="s">
        <v>45833</v>
      </c>
    </row>
    <row r="994" spans="1:18" x14ac:dyDescent="0.35">
      <c r="A994" t="s">
        <v>16110</v>
      </c>
      <c r="D994" t="s">
        <v>7067</v>
      </c>
      <c r="E994" t="s">
        <v>43</v>
      </c>
      <c r="I994" s="26">
        <v>42736</v>
      </c>
      <c r="J994" s="28">
        <v>42736</v>
      </c>
      <c r="Q994" t="s">
        <v>44683</v>
      </c>
      <c r="R994" t="s">
        <v>45834</v>
      </c>
    </row>
    <row r="995" spans="1:18" x14ac:dyDescent="0.35">
      <c r="A995" t="s">
        <v>14349</v>
      </c>
      <c r="D995" t="s">
        <v>1771</v>
      </c>
      <c r="E995" t="s">
        <v>43</v>
      </c>
      <c r="I995" s="26">
        <v>43101</v>
      </c>
      <c r="J995" s="28">
        <v>43101</v>
      </c>
      <c r="Q995" t="s">
        <v>44683</v>
      </c>
      <c r="R995" t="s">
        <v>45835</v>
      </c>
    </row>
    <row r="996" spans="1:18" x14ac:dyDescent="0.35">
      <c r="A996" t="s">
        <v>14727</v>
      </c>
      <c r="D996" t="s">
        <v>2462</v>
      </c>
      <c r="E996" t="s">
        <v>43</v>
      </c>
      <c r="I996" s="26">
        <v>43101</v>
      </c>
      <c r="J996" s="28">
        <v>43101</v>
      </c>
      <c r="Q996" t="s">
        <v>44683</v>
      </c>
      <c r="R996" t="s">
        <v>45836</v>
      </c>
    </row>
    <row r="997" spans="1:18" x14ac:dyDescent="0.35">
      <c r="A997" t="s">
        <v>14728</v>
      </c>
      <c r="D997" t="s">
        <v>2462</v>
      </c>
      <c r="E997" t="s">
        <v>43</v>
      </c>
      <c r="I997" s="26">
        <v>43101</v>
      </c>
      <c r="J997" s="28">
        <v>43101</v>
      </c>
      <c r="Q997" t="s">
        <v>44683</v>
      </c>
      <c r="R997" t="s">
        <v>45837</v>
      </c>
    </row>
    <row r="998" spans="1:18" x14ac:dyDescent="0.35">
      <c r="A998" t="s">
        <v>14729</v>
      </c>
      <c r="D998" t="s">
        <v>2462</v>
      </c>
      <c r="E998" t="s">
        <v>43</v>
      </c>
      <c r="I998" s="26">
        <v>43101</v>
      </c>
      <c r="J998" s="28">
        <v>43101</v>
      </c>
      <c r="Q998" t="s">
        <v>44683</v>
      </c>
      <c r="R998" t="s">
        <v>45838</v>
      </c>
    </row>
    <row r="999" spans="1:18" x14ac:dyDescent="0.35">
      <c r="A999" t="s">
        <v>16111</v>
      </c>
      <c r="D999" t="s">
        <v>7067</v>
      </c>
      <c r="E999" t="s">
        <v>43</v>
      </c>
      <c r="I999" s="26">
        <v>42736</v>
      </c>
      <c r="J999" s="28">
        <v>42736</v>
      </c>
      <c r="Q999" t="s">
        <v>44683</v>
      </c>
      <c r="R999" t="s">
        <v>45839</v>
      </c>
    </row>
    <row r="1000" spans="1:18" x14ac:dyDescent="0.35">
      <c r="A1000" t="s">
        <v>14730</v>
      </c>
      <c r="D1000" t="s">
        <v>2462</v>
      </c>
      <c r="E1000" t="s">
        <v>43</v>
      </c>
      <c r="I1000" s="26">
        <v>43101</v>
      </c>
      <c r="J1000" s="28">
        <v>43101</v>
      </c>
      <c r="Q1000" t="s">
        <v>44683</v>
      </c>
      <c r="R1000" t="s">
        <v>45840</v>
      </c>
    </row>
    <row r="1001" spans="1:18" x14ac:dyDescent="0.35">
      <c r="A1001" t="s">
        <v>16112</v>
      </c>
      <c r="D1001" t="s">
        <v>7067</v>
      </c>
      <c r="E1001" t="s">
        <v>43</v>
      </c>
      <c r="I1001" s="26">
        <v>42736</v>
      </c>
      <c r="J1001" s="28">
        <v>42736</v>
      </c>
      <c r="Q1001" t="s">
        <v>44683</v>
      </c>
      <c r="R1001" t="s">
        <v>45841</v>
      </c>
    </row>
    <row r="1002" spans="1:18" x14ac:dyDescent="0.35">
      <c r="A1002" t="s">
        <v>16524</v>
      </c>
      <c r="D1002" t="s">
        <v>7308</v>
      </c>
      <c r="E1002" t="s">
        <v>43</v>
      </c>
      <c r="I1002" s="26">
        <v>42736</v>
      </c>
      <c r="J1002" s="28">
        <v>42736</v>
      </c>
      <c r="Q1002" t="s">
        <v>44683</v>
      </c>
      <c r="R1002" t="s">
        <v>45842</v>
      </c>
    </row>
    <row r="1003" spans="1:18" x14ac:dyDescent="0.35">
      <c r="A1003" t="s">
        <v>16158</v>
      </c>
      <c r="D1003" t="s">
        <v>7067</v>
      </c>
      <c r="E1003" t="s">
        <v>43</v>
      </c>
      <c r="I1003" s="26">
        <v>42370</v>
      </c>
      <c r="J1003" s="28">
        <v>42370</v>
      </c>
      <c r="Q1003" t="s">
        <v>44683</v>
      </c>
      <c r="R1003" t="s">
        <v>45843</v>
      </c>
    </row>
    <row r="1004" spans="1:18" x14ac:dyDescent="0.35">
      <c r="A1004" t="s">
        <v>15655</v>
      </c>
      <c r="D1004" t="s">
        <v>5877</v>
      </c>
      <c r="E1004" t="s">
        <v>43</v>
      </c>
      <c r="I1004" s="26">
        <v>42736</v>
      </c>
      <c r="J1004" s="28">
        <v>42736</v>
      </c>
      <c r="Q1004" t="s">
        <v>44683</v>
      </c>
      <c r="R1004" t="s">
        <v>45844</v>
      </c>
    </row>
    <row r="1005" spans="1:18" x14ac:dyDescent="0.35">
      <c r="A1005" t="s">
        <v>16159</v>
      </c>
      <c r="D1005" t="s">
        <v>7067</v>
      </c>
      <c r="E1005" t="s">
        <v>43</v>
      </c>
      <c r="I1005" s="26">
        <v>42370</v>
      </c>
      <c r="J1005" s="28">
        <v>42370</v>
      </c>
      <c r="Q1005" t="s">
        <v>44683</v>
      </c>
      <c r="R1005" t="s">
        <v>45845</v>
      </c>
    </row>
    <row r="1006" spans="1:18" x14ac:dyDescent="0.35">
      <c r="A1006" t="s">
        <v>16160</v>
      </c>
      <c r="D1006" t="s">
        <v>7067</v>
      </c>
      <c r="E1006" t="s">
        <v>43</v>
      </c>
      <c r="I1006" s="26">
        <v>42370</v>
      </c>
      <c r="J1006" s="28">
        <v>42370</v>
      </c>
      <c r="Q1006" t="s">
        <v>44683</v>
      </c>
      <c r="R1006" t="s">
        <v>45846</v>
      </c>
    </row>
    <row r="1007" spans="1:18" x14ac:dyDescent="0.35">
      <c r="A1007" t="s">
        <v>16161</v>
      </c>
      <c r="D1007" t="s">
        <v>7067</v>
      </c>
      <c r="E1007" t="s">
        <v>43</v>
      </c>
      <c r="I1007" s="26">
        <v>42370</v>
      </c>
      <c r="J1007" s="28">
        <v>42370</v>
      </c>
      <c r="Q1007" t="s">
        <v>44683</v>
      </c>
      <c r="R1007" t="s">
        <v>45847</v>
      </c>
    </row>
    <row r="1008" spans="1:18" x14ac:dyDescent="0.35">
      <c r="A1008" t="s">
        <v>16560</v>
      </c>
      <c r="D1008" t="s">
        <v>7314</v>
      </c>
      <c r="E1008" t="s">
        <v>43</v>
      </c>
      <c r="I1008" s="26">
        <v>42736</v>
      </c>
      <c r="J1008" s="28">
        <v>42736</v>
      </c>
      <c r="Q1008" t="s">
        <v>44683</v>
      </c>
      <c r="R1008" t="s">
        <v>45848</v>
      </c>
    </row>
    <row r="1009" spans="1:18" x14ac:dyDescent="0.35">
      <c r="A1009" t="s">
        <v>45849</v>
      </c>
      <c r="D1009" t="s">
        <v>345</v>
      </c>
      <c r="E1009" t="s">
        <v>43</v>
      </c>
      <c r="I1009" s="26">
        <v>42736</v>
      </c>
      <c r="J1009" s="28">
        <v>42736</v>
      </c>
      <c r="Q1009" t="s">
        <v>44683</v>
      </c>
      <c r="R1009" t="s">
        <v>45850</v>
      </c>
    </row>
    <row r="1010" spans="1:18" x14ac:dyDescent="0.35">
      <c r="A1010" t="s">
        <v>14617</v>
      </c>
      <c r="D1010" t="s">
        <v>2154</v>
      </c>
      <c r="E1010" t="s">
        <v>43</v>
      </c>
      <c r="I1010" s="26">
        <v>42736</v>
      </c>
      <c r="J1010" s="28">
        <v>42736</v>
      </c>
      <c r="Q1010" t="s">
        <v>44683</v>
      </c>
      <c r="R1010" t="s">
        <v>45851</v>
      </c>
    </row>
    <row r="1011" spans="1:18" x14ac:dyDescent="0.35">
      <c r="A1011" t="s">
        <v>16561</v>
      </c>
      <c r="D1011" t="s">
        <v>7314</v>
      </c>
      <c r="E1011" t="s">
        <v>43</v>
      </c>
      <c r="I1011" s="26">
        <v>42736</v>
      </c>
      <c r="J1011" s="28">
        <v>42736</v>
      </c>
      <c r="Q1011" t="s">
        <v>44683</v>
      </c>
      <c r="R1011" t="s">
        <v>45852</v>
      </c>
    </row>
    <row r="1012" spans="1:18" x14ac:dyDescent="0.35">
      <c r="A1012" t="s">
        <v>15656</v>
      </c>
      <c r="D1012" t="s">
        <v>5877</v>
      </c>
      <c r="E1012" t="s">
        <v>43</v>
      </c>
      <c r="I1012" s="26">
        <v>42736</v>
      </c>
      <c r="J1012" s="28">
        <v>42736</v>
      </c>
      <c r="Q1012" t="s">
        <v>44683</v>
      </c>
      <c r="R1012" t="s">
        <v>45853</v>
      </c>
    </row>
    <row r="1013" spans="1:18" x14ac:dyDescent="0.35">
      <c r="A1013" t="s">
        <v>15992</v>
      </c>
      <c r="D1013" t="s">
        <v>7051</v>
      </c>
      <c r="E1013" t="s">
        <v>43</v>
      </c>
      <c r="I1013" s="26">
        <v>42736</v>
      </c>
      <c r="J1013" s="28">
        <v>42736</v>
      </c>
      <c r="Q1013" t="s">
        <v>44683</v>
      </c>
      <c r="R1013" t="s">
        <v>45854</v>
      </c>
    </row>
    <row r="1014" spans="1:18" x14ac:dyDescent="0.35">
      <c r="A1014" t="s">
        <v>16162</v>
      </c>
      <c r="D1014" t="s">
        <v>7067</v>
      </c>
      <c r="E1014" t="s">
        <v>43</v>
      </c>
      <c r="I1014" s="26">
        <v>42370</v>
      </c>
      <c r="J1014" s="28">
        <v>42370</v>
      </c>
      <c r="Q1014" t="s">
        <v>44683</v>
      </c>
      <c r="R1014" t="s">
        <v>45855</v>
      </c>
    </row>
    <row r="1015" spans="1:18" x14ac:dyDescent="0.35">
      <c r="A1015" t="s">
        <v>15576</v>
      </c>
      <c r="D1015" t="s">
        <v>5690</v>
      </c>
      <c r="E1015" t="s">
        <v>43</v>
      </c>
      <c r="I1015" s="26">
        <v>42736</v>
      </c>
      <c r="J1015" s="28">
        <v>42736</v>
      </c>
      <c r="Q1015" t="s">
        <v>44683</v>
      </c>
      <c r="R1015" t="s">
        <v>45856</v>
      </c>
    </row>
    <row r="1016" spans="1:18" x14ac:dyDescent="0.35">
      <c r="A1016" t="s">
        <v>14618</v>
      </c>
      <c r="D1016" t="s">
        <v>2154</v>
      </c>
      <c r="E1016" t="s">
        <v>43</v>
      </c>
      <c r="I1016" s="26">
        <v>42736</v>
      </c>
      <c r="J1016" s="28">
        <v>42736</v>
      </c>
      <c r="Q1016" t="s">
        <v>44683</v>
      </c>
      <c r="R1016" t="s">
        <v>45857</v>
      </c>
    </row>
    <row r="1017" spans="1:18" x14ac:dyDescent="0.35">
      <c r="A1017" t="s">
        <v>16164</v>
      </c>
      <c r="D1017" t="s">
        <v>7067</v>
      </c>
      <c r="E1017" t="s">
        <v>43</v>
      </c>
      <c r="I1017" s="26">
        <v>42370</v>
      </c>
      <c r="J1017" s="28">
        <v>42370</v>
      </c>
      <c r="Q1017" t="s">
        <v>44683</v>
      </c>
      <c r="R1017" t="s">
        <v>45858</v>
      </c>
    </row>
    <row r="1018" spans="1:18" x14ac:dyDescent="0.35">
      <c r="A1018" t="s">
        <v>14619</v>
      </c>
      <c r="D1018" t="s">
        <v>2154</v>
      </c>
      <c r="E1018" t="s">
        <v>43</v>
      </c>
      <c r="I1018" s="26">
        <v>42736</v>
      </c>
      <c r="J1018" s="28">
        <v>42736</v>
      </c>
      <c r="Q1018" t="s">
        <v>44683</v>
      </c>
      <c r="R1018" t="s">
        <v>45859</v>
      </c>
    </row>
    <row r="1019" spans="1:18" x14ac:dyDescent="0.35">
      <c r="A1019" t="s">
        <v>16548</v>
      </c>
      <c r="D1019" t="s">
        <v>7312</v>
      </c>
      <c r="E1019" t="s">
        <v>43</v>
      </c>
      <c r="I1019" s="26">
        <v>42736</v>
      </c>
      <c r="J1019" s="28">
        <v>42736</v>
      </c>
      <c r="Q1019" t="s">
        <v>44683</v>
      </c>
      <c r="R1019" t="s">
        <v>45860</v>
      </c>
    </row>
    <row r="1020" spans="1:18" x14ac:dyDescent="0.35">
      <c r="A1020" t="s">
        <v>14620</v>
      </c>
      <c r="D1020" t="s">
        <v>2154</v>
      </c>
      <c r="E1020" t="s">
        <v>43</v>
      </c>
      <c r="I1020" s="26">
        <v>42736</v>
      </c>
      <c r="J1020" s="28">
        <v>42736</v>
      </c>
      <c r="Q1020" t="s">
        <v>44683</v>
      </c>
      <c r="R1020" t="s">
        <v>45861</v>
      </c>
    </row>
    <row r="1021" spans="1:18" x14ac:dyDescent="0.35">
      <c r="A1021" t="s">
        <v>15993</v>
      </c>
      <c r="D1021" t="s">
        <v>7051</v>
      </c>
      <c r="E1021" t="s">
        <v>43</v>
      </c>
      <c r="I1021" s="26">
        <v>42736</v>
      </c>
      <c r="J1021" s="28">
        <v>42736</v>
      </c>
      <c r="Q1021" t="s">
        <v>44683</v>
      </c>
      <c r="R1021" t="s">
        <v>45862</v>
      </c>
    </row>
    <row r="1022" spans="1:18" x14ac:dyDescent="0.35">
      <c r="A1022" t="s">
        <v>15266</v>
      </c>
      <c r="D1022" t="s">
        <v>5318</v>
      </c>
      <c r="E1022" t="s">
        <v>43</v>
      </c>
      <c r="I1022" s="26">
        <v>42736</v>
      </c>
      <c r="J1022" s="28">
        <v>42736</v>
      </c>
      <c r="Q1022" t="s">
        <v>44683</v>
      </c>
      <c r="R1022" t="s">
        <v>45863</v>
      </c>
    </row>
    <row r="1023" spans="1:18" x14ac:dyDescent="0.35">
      <c r="A1023" t="s">
        <v>15657</v>
      </c>
      <c r="D1023" t="s">
        <v>5877</v>
      </c>
      <c r="E1023" t="s">
        <v>43</v>
      </c>
      <c r="I1023" s="26">
        <v>42736</v>
      </c>
      <c r="J1023" s="28">
        <v>42736</v>
      </c>
      <c r="Q1023" t="s">
        <v>44683</v>
      </c>
      <c r="R1023" t="s">
        <v>45864</v>
      </c>
    </row>
    <row r="1024" spans="1:18" x14ac:dyDescent="0.35">
      <c r="A1024" t="s">
        <v>15658</v>
      </c>
      <c r="D1024" t="s">
        <v>5877</v>
      </c>
      <c r="E1024" t="s">
        <v>43</v>
      </c>
      <c r="I1024" s="26">
        <v>42736</v>
      </c>
      <c r="J1024" s="28">
        <v>42736</v>
      </c>
      <c r="Q1024" t="s">
        <v>44683</v>
      </c>
      <c r="R1024" t="s">
        <v>45865</v>
      </c>
    </row>
    <row r="1025" spans="1:18" x14ac:dyDescent="0.35">
      <c r="A1025" t="s">
        <v>14621</v>
      </c>
      <c r="D1025" t="s">
        <v>2154</v>
      </c>
      <c r="E1025" t="s">
        <v>43</v>
      </c>
      <c r="I1025" s="26">
        <v>42736</v>
      </c>
      <c r="J1025" s="28">
        <v>42736</v>
      </c>
      <c r="Q1025" t="s">
        <v>44683</v>
      </c>
      <c r="R1025" t="s">
        <v>45866</v>
      </c>
    </row>
    <row r="1026" spans="1:18" x14ac:dyDescent="0.35">
      <c r="A1026" t="s">
        <v>16525</v>
      </c>
      <c r="D1026" t="s">
        <v>7308</v>
      </c>
      <c r="E1026" t="s">
        <v>43</v>
      </c>
      <c r="I1026" s="26">
        <v>42736</v>
      </c>
      <c r="J1026" s="28">
        <v>42736</v>
      </c>
      <c r="Q1026" t="s">
        <v>44683</v>
      </c>
      <c r="R1026" t="s">
        <v>45867</v>
      </c>
    </row>
    <row r="1027" spans="1:18" x14ac:dyDescent="0.35">
      <c r="A1027" t="s">
        <v>15659</v>
      </c>
      <c r="D1027" t="s">
        <v>5877</v>
      </c>
      <c r="E1027" t="s">
        <v>43</v>
      </c>
      <c r="I1027" s="26">
        <v>42736</v>
      </c>
      <c r="J1027" s="28">
        <v>42736</v>
      </c>
      <c r="Q1027" t="s">
        <v>44683</v>
      </c>
      <c r="R1027" t="s">
        <v>45868</v>
      </c>
    </row>
    <row r="1028" spans="1:18" x14ac:dyDescent="0.35">
      <c r="A1028" t="s">
        <v>16526</v>
      </c>
      <c r="D1028" t="s">
        <v>7308</v>
      </c>
      <c r="E1028" t="s">
        <v>43</v>
      </c>
      <c r="I1028" s="26">
        <v>42736</v>
      </c>
      <c r="J1028" s="28">
        <v>42736</v>
      </c>
      <c r="Q1028" t="s">
        <v>44683</v>
      </c>
      <c r="R1028" t="s">
        <v>45869</v>
      </c>
    </row>
    <row r="1029" spans="1:18" x14ac:dyDescent="0.35">
      <c r="A1029" t="s">
        <v>16166</v>
      </c>
      <c r="D1029" t="s">
        <v>7067</v>
      </c>
      <c r="E1029" t="s">
        <v>43</v>
      </c>
      <c r="I1029" s="26">
        <v>42370</v>
      </c>
      <c r="J1029" s="28">
        <v>42370</v>
      </c>
      <c r="Q1029" t="s">
        <v>44683</v>
      </c>
      <c r="R1029" t="s">
        <v>45870</v>
      </c>
    </row>
    <row r="1030" spans="1:18" x14ac:dyDescent="0.35">
      <c r="A1030" t="s">
        <v>15989</v>
      </c>
      <c r="D1030" t="s">
        <v>6779</v>
      </c>
      <c r="E1030" t="s">
        <v>43</v>
      </c>
      <c r="I1030" s="26">
        <v>42736</v>
      </c>
      <c r="J1030" s="28">
        <v>42736</v>
      </c>
      <c r="Q1030" t="s">
        <v>44683</v>
      </c>
      <c r="R1030" t="s">
        <v>45871</v>
      </c>
    </row>
    <row r="1031" spans="1:18" x14ac:dyDescent="0.35">
      <c r="A1031" t="s">
        <v>16549</v>
      </c>
      <c r="D1031" t="s">
        <v>7312</v>
      </c>
      <c r="E1031" t="s">
        <v>43</v>
      </c>
      <c r="I1031" s="26">
        <v>42736</v>
      </c>
      <c r="J1031" s="28">
        <v>42736</v>
      </c>
      <c r="Q1031" t="s">
        <v>44683</v>
      </c>
      <c r="R1031" t="s">
        <v>45872</v>
      </c>
    </row>
    <row r="1032" spans="1:18" x14ac:dyDescent="0.35">
      <c r="A1032" t="s">
        <v>15660</v>
      </c>
      <c r="D1032" t="s">
        <v>5877</v>
      </c>
      <c r="E1032" t="s">
        <v>43</v>
      </c>
      <c r="I1032" s="26">
        <v>42736</v>
      </c>
      <c r="J1032" s="28">
        <v>42736</v>
      </c>
      <c r="Q1032" t="s">
        <v>44683</v>
      </c>
      <c r="R1032" t="s">
        <v>45873</v>
      </c>
    </row>
    <row r="1033" spans="1:18" x14ac:dyDescent="0.35">
      <c r="A1033" t="s">
        <v>15577</v>
      </c>
      <c r="D1033" t="s">
        <v>5690</v>
      </c>
      <c r="E1033" t="s">
        <v>43</v>
      </c>
      <c r="I1033" s="26">
        <v>42736</v>
      </c>
      <c r="J1033" s="28">
        <v>42736</v>
      </c>
      <c r="Q1033" t="s">
        <v>44683</v>
      </c>
      <c r="R1033" t="s">
        <v>45874</v>
      </c>
    </row>
    <row r="1034" spans="1:18" x14ac:dyDescent="0.35">
      <c r="A1034" t="s">
        <v>16562</v>
      </c>
      <c r="D1034" t="s">
        <v>7314</v>
      </c>
      <c r="E1034" t="s">
        <v>43</v>
      </c>
      <c r="I1034" s="26">
        <v>42736</v>
      </c>
      <c r="J1034" s="28">
        <v>42736</v>
      </c>
      <c r="Q1034" t="s">
        <v>44683</v>
      </c>
      <c r="R1034" t="s">
        <v>45875</v>
      </c>
    </row>
    <row r="1035" spans="1:18" x14ac:dyDescent="0.35">
      <c r="A1035" t="s">
        <v>16622</v>
      </c>
      <c r="D1035" t="s">
        <v>7325</v>
      </c>
      <c r="E1035" t="s">
        <v>43</v>
      </c>
      <c r="I1035" s="26">
        <v>42736</v>
      </c>
      <c r="J1035" s="28">
        <v>42736</v>
      </c>
      <c r="Q1035" t="s">
        <v>44683</v>
      </c>
      <c r="R1035" t="s">
        <v>45876</v>
      </c>
    </row>
    <row r="1036" spans="1:18" x14ac:dyDescent="0.35">
      <c r="A1036" t="s">
        <v>16623</v>
      </c>
      <c r="D1036" t="s">
        <v>7325</v>
      </c>
      <c r="E1036" t="s">
        <v>43</v>
      </c>
      <c r="I1036" s="26">
        <v>42736</v>
      </c>
      <c r="J1036" s="28">
        <v>42736</v>
      </c>
      <c r="Q1036" t="s">
        <v>44683</v>
      </c>
      <c r="R1036" t="s">
        <v>45877</v>
      </c>
    </row>
    <row r="1037" spans="1:18" x14ac:dyDescent="0.35">
      <c r="A1037" t="s">
        <v>16167</v>
      </c>
      <c r="D1037" t="s">
        <v>7067</v>
      </c>
      <c r="E1037" t="s">
        <v>43</v>
      </c>
      <c r="I1037" s="26">
        <v>42370</v>
      </c>
      <c r="J1037" s="28">
        <v>42370</v>
      </c>
      <c r="Q1037" t="s">
        <v>44683</v>
      </c>
      <c r="R1037" t="s">
        <v>45878</v>
      </c>
    </row>
    <row r="1038" spans="1:18" x14ac:dyDescent="0.35">
      <c r="A1038" t="s">
        <v>16006</v>
      </c>
      <c r="D1038" t="s">
        <v>7066</v>
      </c>
      <c r="E1038" t="s">
        <v>43</v>
      </c>
      <c r="I1038" s="26">
        <v>42736</v>
      </c>
      <c r="J1038" s="28">
        <v>42736</v>
      </c>
      <c r="Q1038" t="s">
        <v>44683</v>
      </c>
      <c r="R1038" t="s">
        <v>45879</v>
      </c>
    </row>
    <row r="1039" spans="1:18" x14ac:dyDescent="0.35">
      <c r="A1039" t="s">
        <v>16619</v>
      </c>
      <c r="D1039" t="s">
        <v>7324</v>
      </c>
      <c r="E1039" t="s">
        <v>43</v>
      </c>
      <c r="I1039" s="26">
        <v>42736</v>
      </c>
      <c r="J1039" s="28">
        <v>42736</v>
      </c>
      <c r="Q1039" t="s">
        <v>44683</v>
      </c>
      <c r="R1039" t="s">
        <v>45880</v>
      </c>
    </row>
    <row r="1040" spans="1:18" x14ac:dyDescent="0.35">
      <c r="A1040" t="s">
        <v>15994</v>
      </c>
      <c r="D1040" t="s">
        <v>7051</v>
      </c>
      <c r="E1040" t="s">
        <v>43</v>
      </c>
      <c r="I1040" s="26">
        <v>42736</v>
      </c>
      <c r="J1040" s="28">
        <v>42736</v>
      </c>
      <c r="Q1040" t="s">
        <v>44683</v>
      </c>
      <c r="R1040" t="s">
        <v>45881</v>
      </c>
    </row>
    <row r="1041" spans="1:18" x14ac:dyDescent="0.35">
      <c r="A1041" t="s">
        <v>15652</v>
      </c>
      <c r="D1041" t="s">
        <v>5877</v>
      </c>
      <c r="E1041" t="s">
        <v>43</v>
      </c>
      <c r="I1041" s="26">
        <v>42736</v>
      </c>
      <c r="J1041" s="28">
        <v>42736</v>
      </c>
      <c r="Q1041" t="s">
        <v>44683</v>
      </c>
      <c r="R1041" t="s">
        <v>45882</v>
      </c>
    </row>
    <row r="1042" spans="1:18" x14ac:dyDescent="0.35">
      <c r="A1042" t="s">
        <v>16620</v>
      </c>
      <c r="D1042" t="s">
        <v>7324</v>
      </c>
      <c r="E1042" t="s">
        <v>43</v>
      </c>
      <c r="I1042" s="26">
        <v>42736</v>
      </c>
      <c r="J1042" s="28">
        <v>42736</v>
      </c>
      <c r="Q1042" t="s">
        <v>44683</v>
      </c>
      <c r="R1042" t="s">
        <v>45883</v>
      </c>
    </row>
    <row r="1043" spans="1:18" x14ac:dyDescent="0.35">
      <c r="A1043" t="s">
        <v>16527</v>
      </c>
      <c r="D1043" t="s">
        <v>7308</v>
      </c>
      <c r="E1043" t="s">
        <v>43</v>
      </c>
      <c r="I1043" s="26">
        <v>42736</v>
      </c>
      <c r="J1043" s="28">
        <v>42736</v>
      </c>
      <c r="Q1043" t="s">
        <v>44683</v>
      </c>
      <c r="R1043" t="s">
        <v>45884</v>
      </c>
    </row>
    <row r="1044" spans="1:18" x14ac:dyDescent="0.35">
      <c r="A1044" t="s">
        <v>15653</v>
      </c>
      <c r="D1044" t="s">
        <v>5877</v>
      </c>
      <c r="E1044" t="s">
        <v>43</v>
      </c>
      <c r="I1044" s="26">
        <v>42736</v>
      </c>
      <c r="J1044" s="28">
        <v>42736</v>
      </c>
      <c r="Q1044" t="s">
        <v>44683</v>
      </c>
      <c r="R1044" t="s">
        <v>45885</v>
      </c>
    </row>
    <row r="1045" spans="1:18" x14ac:dyDescent="0.35">
      <c r="A1045" t="s">
        <v>45886</v>
      </c>
      <c r="D1045" t="s">
        <v>345</v>
      </c>
      <c r="E1045" t="s">
        <v>43</v>
      </c>
      <c r="I1045" s="26">
        <v>42736</v>
      </c>
      <c r="J1045" s="28">
        <v>42736</v>
      </c>
      <c r="Q1045" t="s">
        <v>44683</v>
      </c>
      <c r="R1045" t="s">
        <v>45887</v>
      </c>
    </row>
    <row r="1046" spans="1:18" x14ac:dyDescent="0.35">
      <c r="A1046" t="s">
        <v>16172</v>
      </c>
      <c r="D1046" t="s">
        <v>7067</v>
      </c>
      <c r="E1046" t="s">
        <v>43</v>
      </c>
      <c r="I1046" s="26">
        <v>42370</v>
      </c>
      <c r="J1046" s="28">
        <v>42370</v>
      </c>
      <c r="Q1046" t="s">
        <v>44683</v>
      </c>
      <c r="R1046" t="s">
        <v>45888</v>
      </c>
    </row>
    <row r="1047" spans="1:18" x14ac:dyDescent="0.35">
      <c r="A1047" t="s">
        <v>16173</v>
      </c>
      <c r="D1047" t="s">
        <v>7067</v>
      </c>
      <c r="E1047" t="s">
        <v>43</v>
      </c>
      <c r="I1047" s="26">
        <v>42370</v>
      </c>
      <c r="J1047" s="28">
        <v>42370</v>
      </c>
      <c r="Q1047" t="s">
        <v>44683</v>
      </c>
      <c r="R1047" t="s">
        <v>45889</v>
      </c>
    </row>
    <row r="1048" spans="1:18" x14ac:dyDescent="0.35">
      <c r="A1048" t="s">
        <v>16174</v>
      </c>
      <c r="D1048" t="s">
        <v>7067</v>
      </c>
      <c r="E1048" t="s">
        <v>43</v>
      </c>
      <c r="I1048" s="26">
        <v>42370</v>
      </c>
      <c r="J1048" s="28">
        <v>42370</v>
      </c>
      <c r="Q1048" t="s">
        <v>44683</v>
      </c>
      <c r="R1048" t="s">
        <v>45890</v>
      </c>
    </row>
    <row r="1049" spans="1:18" x14ac:dyDescent="0.35">
      <c r="A1049" t="s">
        <v>16528</v>
      </c>
      <c r="D1049" t="s">
        <v>7308</v>
      </c>
      <c r="E1049" t="s">
        <v>43</v>
      </c>
      <c r="I1049" s="26">
        <v>42736</v>
      </c>
      <c r="J1049" s="28">
        <v>42736</v>
      </c>
      <c r="Q1049" t="s">
        <v>44683</v>
      </c>
      <c r="R1049" t="s">
        <v>45891</v>
      </c>
    </row>
    <row r="1050" spans="1:18" x14ac:dyDescent="0.35">
      <c r="A1050" t="s">
        <v>15654</v>
      </c>
      <c r="D1050" t="s">
        <v>5877</v>
      </c>
      <c r="E1050" t="s">
        <v>43</v>
      </c>
      <c r="I1050" s="26">
        <v>42736</v>
      </c>
      <c r="J1050" s="28">
        <v>42736</v>
      </c>
      <c r="Q1050" t="s">
        <v>44683</v>
      </c>
      <c r="R1050" t="s">
        <v>45892</v>
      </c>
    </row>
    <row r="1051" spans="1:18" x14ac:dyDescent="0.35">
      <c r="A1051" t="s">
        <v>16175</v>
      </c>
      <c r="D1051" t="s">
        <v>7067</v>
      </c>
      <c r="E1051" t="s">
        <v>43</v>
      </c>
      <c r="I1051" s="26">
        <v>42370</v>
      </c>
      <c r="J1051" s="28">
        <v>42370</v>
      </c>
      <c r="Q1051" t="s">
        <v>44683</v>
      </c>
      <c r="R1051" t="s">
        <v>45893</v>
      </c>
    </row>
    <row r="1052" spans="1:18" x14ac:dyDescent="0.35">
      <c r="A1052" t="s">
        <v>16176</v>
      </c>
      <c r="D1052" t="s">
        <v>7067</v>
      </c>
      <c r="E1052" t="s">
        <v>43</v>
      </c>
      <c r="I1052" s="26">
        <v>42370</v>
      </c>
      <c r="J1052" s="28">
        <v>42370</v>
      </c>
      <c r="Q1052" t="s">
        <v>44683</v>
      </c>
      <c r="R1052" t="s">
        <v>45894</v>
      </c>
    </row>
    <row r="1053" spans="1:18" x14ac:dyDescent="0.35">
      <c r="A1053" t="s">
        <v>16178</v>
      </c>
      <c r="D1053" t="s">
        <v>7067</v>
      </c>
      <c r="E1053" t="s">
        <v>43</v>
      </c>
      <c r="I1053" s="26">
        <v>42370</v>
      </c>
      <c r="J1053" s="28">
        <v>42370</v>
      </c>
      <c r="Q1053" t="s">
        <v>44683</v>
      </c>
      <c r="R1053" t="s">
        <v>45895</v>
      </c>
    </row>
    <row r="1054" spans="1:18" x14ac:dyDescent="0.35">
      <c r="A1054" t="s">
        <v>16179</v>
      </c>
      <c r="D1054" t="s">
        <v>7067</v>
      </c>
      <c r="E1054" t="s">
        <v>43</v>
      </c>
      <c r="I1054" s="26">
        <v>42370</v>
      </c>
      <c r="J1054" s="28">
        <v>42370</v>
      </c>
      <c r="Q1054" t="s">
        <v>44683</v>
      </c>
      <c r="R1054" t="s">
        <v>45896</v>
      </c>
    </row>
    <row r="1055" spans="1:18" x14ac:dyDescent="0.35">
      <c r="A1055" t="s">
        <v>16180</v>
      </c>
      <c r="D1055" t="s">
        <v>7067</v>
      </c>
      <c r="E1055" t="s">
        <v>43</v>
      </c>
      <c r="I1055" s="26">
        <v>42370</v>
      </c>
      <c r="J1055" s="28">
        <v>42370</v>
      </c>
      <c r="Q1055" t="s">
        <v>44683</v>
      </c>
      <c r="R1055" t="s">
        <v>45897</v>
      </c>
    </row>
    <row r="1056" spans="1:18" x14ac:dyDescent="0.35">
      <c r="A1056" t="s">
        <v>15578</v>
      </c>
      <c r="D1056" t="s">
        <v>5690</v>
      </c>
      <c r="E1056" t="s">
        <v>43</v>
      </c>
      <c r="I1056" s="26">
        <v>42736</v>
      </c>
      <c r="J1056" s="28">
        <v>42736</v>
      </c>
      <c r="Q1056" t="s">
        <v>44683</v>
      </c>
      <c r="R1056" t="s">
        <v>45898</v>
      </c>
    </row>
    <row r="1057" spans="1:18" x14ac:dyDescent="0.35">
      <c r="A1057" t="s">
        <v>16181</v>
      </c>
      <c r="D1057" t="s">
        <v>7067</v>
      </c>
      <c r="E1057" t="s">
        <v>43</v>
      </c>
      <c r="I1057" s="26">
        <v>42370</v>
      </c>
      <c r="J1057" s="28">
        <v>42370</v>
      </c>
      <c r="Q1057" t="s">
        <v>44683</v>
      </c>
      <c r="R1057" t="s">
        <v>45899</v>
      </c>
    </row>
    <row r="1058" spans="1:18" x14ac:dyDescent="0.35">
      <c r="A1058" t="s">
        <v>16182</v>
      </c>
      <c r="D1058" t="s">
        <v>7067</v>
      </c>
      <c r="E1058" t="s">
        <v>43</v>
      </c>
      <c r="I1058" s="26">
        <v>42370</v>
      </c>
      <c r="J1058" s="28">
        <v>42370</v>
      </c>
      <c r="Q1058" t="s">
        <v>44683</v>
      </c>
      <c r="R1058" t="s">
        <v>45900</v>
      </c>
    </row>
    <row r="1059" spans="1:18" x14ac:dyDescent="0.35">
      <c r="A1059" t="s">
        <v>16563</v>
      </c>
      <c r="D1059" t="s">
        <v>7314</v>
      </c>
      <c r="E1059" t="s">
        <v>43</v>
      </c>
      <c r="I1059" s="26">
        <v>42736</v>
      </c>
      <c r="J1059" s="28">
        <v>42736</v>
      </c>
      <c r="Q1059" t="s">
        <v>44683</v>
      </c>
      <c r="R1059" t="s">
        <v>45901</v>
      </c>
    </row>
    <row r="1060" spans="1:18" x14ac:dyDescent="0.35">
      <c r="A1060" t="s">
        <v>16183</v>
      </c>
      <c r="D1060" t="s">
        <v>7067</v>
      </c>
      <c r="E1060" t="s">
        <v>43</v>
      </c>
      <c r="I1060" s="26">
        <v>42370</v>
      </c>
      <c r="J1060" s="28">
        <v>42370</v>
      </c>
      <c r="Q1060" t="s">
        <v>44683</v>
      </c>
      <c r="R1060" t="s">
        <v>45902</v>
      </c>
    </row>
    <row r="1061" spans="1:18" x14ac:dyDescent="0.35">
      <c r="A1061" t="s">
        <v>16185</v>
      </c>
      <c r="D1061" t="s">
        <v>7067</v>
      </c>
      <c r="E1061" t="s">
        <v>43</v>
      </c>
      <c r="I1061" s="26">
        <v>42370</v>
      </c>
      <c r="J1061" s="28">
        <v>42370</v>
      </c>
      <c r="Q1061" t="s">
        <v>44683</v>
      </c>
      <c r="R1061" t="s">
        <v>45903</v>
      </c>
    </row>
    <row r="1062" spans="1:18" x14ac:dyDescent="0.35">
      <c r="A1062" t="s">
        <v>16186</v>
      </c>
      <c r="D1062" t="s">
        <v>7067</v>
      </c>
      <c r="E1062" t="s">
        <v>43</v>
      </c>
      <c r="I1062" s="26">
        <v>42370</v>
      </c>
      <c r="J1062" s="28">
        <v>42370</v>
      </c>
      <c r="Q1062" t="s">
        <v>44683</v>
      </c>
      <c r="R1062" t="s">
        <v>45904</v>
      </c>
    </row>
    <row r="1063" spans="1:18" x14ac:dyDescent="0.35">
      <c r="A1063" t="s">
        <v>16529</v>
      </c>
      <c r="D1063" t="s">
        <v>7308</v>
      </c>
      <c r="E1063" t="s">
        <v>43</v>
      </c>
      <c r="I1063" s="26">
        <v>42736</v>
      </c>
      <c r="J1063" s="28">
        <v>42736</v>
      </c>
      <c r="Q1063" t="s">
        <v>44683</v>
      </c>
      <c r="R1063" t="s">
        <v>45905</v>
      </c>
    </row>
    <row r="1064" spans="1:18" x14ac:dyDescent="0.35">
      <c r="A1064" t="s">
        <v>15995</v>
      </c>
      <c r="D1064" t="s">
        <v>7051</v>
      </c>
      <c r="E1064" t="s">
        <v>43</v>
      </c>
      <c r="I1064" s="26">
        <v>42736</v>
      </c>
      <c r="J1064" s="28">
        <v>42736</v>
      </c>
      <c r="Q1064" t="s">
        <v>44683</v>
      </c>
      <c r="R1064" t="s">
        <v>45906</v>
      </c>
    </row>
    <row r="1065" spans="1:18" x14ac:dyDescent="0.35">
      <c r="A1065" t="s">
        <v>16187</v>
      </c>
      <c r="D1065" t="s">
        <v>7067</v>
      </c>
      <c r="E1065" t="s">
        <v>43</v>
      </c>
      <c r="I1065" s="26">
        <v>42370</v>
      </c>
      <c r="J1065" s="28">
        <v>42370</v>
      </c>
      <c r="Q1065" t="s">
        <v>44683</v>
      </c>
      <c r="R1065" t="s">
        <v>45907</v>
      </c>
    </row>
    <row r="1066" spans="1:18" x14ac:dyDescent="0.35">
      <c r="A1066" t="s">
        <v>16530</v>
      </c>
      <c r="D1066" t="s">
        <v>7308</v>
      </c>
      <c r="E1066" t="s">
        <v>43</v>
      </c>
      <c r="I1066" s="26">
        <v>42736</v>
      </c>
      <c r="J1066" s="28">
        <v>42736</v>
      </c>
      <c r="Q1066" t="s">
        <v>44683</v>
      </c>
      <c r="R1066" t="s">
        <v>45908</v>
      </c>
    </row>
    <row r="1067" spans="1:18" x14ac:dyDescent="0.35">
      <c r="A1067" t="s">
        <v>15661</v>
      </c>
      <c r="D1067" t="s">
        <v>5877</v>
      </c>
      <c r="E1067" t="s">
        <v>43</v>
      </c>
      <c r="I1067" s="26">
        <v>42736</v>
      </c>
      <c r="J1067" s="28">
        <v>42736</v>
      </c>
      <c r="Q1067" t="s">
        <v>44683</v>
      </c>
      <c r="R1067" t="s">
        <v>45909</v>
      </c>
    </row>
    <row r="1068" spans="1:18" x14ac:dyDescent="0.35">
      <c r="A1068" t="s">
        <v>15990</v>
      </c>
      <c r="D1068" t="s">
        <v>6779</v>
      </c>
      <c r="E1068" t="s">
        <v>43</v>
      </c>
      <c r="I1068" s="26">
        <v>42736</v>
      </c>
      <c r="J1068" s="28">
        <v>42736</v>
      </c>
      <c r="Q1068" t="s">
        <v>44683</v>
      </c>
      <c r="R1068" t="s">
        <v>45910</v>
      </c>
    </row>
    <row r="1069" spans="1:18" x14ac:dyDescent="0.35">
      <c r="A1069" t="s">
        <v>14473</v>
      </c>
      <c r="D1069" t="s">
        <v>2053</v>
      </c>
      <c r="E1069" t="s">
        <v>43</v>
      </c>
      <c r="I1069" s="26">
        <v>42736</v>
      </c>
      <c r="J1069" s="28">
        <v>42736</v>
      </c>
      <c r="Q1069" t="s">
        <v>14474</v>
      </c>
      <c r="R1069" t="s">
        <v>45911</v>
      </c>
    </row>
    <row r="1070" spans="1:18" x14ac:dyDescent="0.35">
      <c r="A1070" t="s">
        <v>16564</v>
      </c>
      <c r="D1070" t="s">
        <v>7314</v>
      </c>
      <c r="E1070" t="s">
        <v>43</v>
      </c>
      <c r="I1070" s="26">
        <v>42736</v>
      </c>
      <c r="J1070" s="28">
        <v>42736</v>
      </c>
      <c r="Q1070" t="s">
        <v>44683</v>
      </c>
      <c r="R1070" t="s">
        <v>45912</v>
      </c>
    </row>
    <row r="1071" spans="1:18" x14ac:dyDescent="0.35">
      <c r="A1071" t="s">
        <v>16531</v>
      </c>
      <c r="D1071" t="s">
        <v>7308</v>
      </c>
      <c r="E1071" t="s">
        <v>43</v>
      </c>
      <c r="I1071" s="26">
        <v>42736</v>
      </c>
      <c r="J1071" s="28">
        <v>42736</v>
      </c>
      <c r="Q1071" t="s">
        <v>44683</v>
      </c>
      <c r="R1071" t="s">
        <v>45913</v>
      </c>
    </row>
    <row r="1072" spans="1:18" x14ac:dyDescent="0.35">
      <c r="A1072" t="s">
        <v>16189</v>
      </c>
      <c r="D1072" t="s">
        <v>7067</v>
      </c>
      <c r="E1072" t="s">
        <v>43</v>
      </c>
      <c r="I1072" s="26">
        <v>42370</v>
      </c>
      <c r="J1072" s="28">
        <v>42370</v>
      </c>
      <c r="Q1072" t="s">
        <v>44683</v>
      </c>
      <c r="R1072" t="s">
        <v>45914</v>
      </c>
    </row>
    <row r="1073" spans="1:18" x14ac:dyDescent="0.35">
      <c r="A1073" t="s">
        <v>16240</v>
      </c>
      <c r="D1073" t="s">
        <v>5300</v>
      </c>
      <c r="E1073" t="s">
        <v>43</v>
      </c>
      <c r="I1073" s="26">
        <v>42736</v>
      </c>
      <c r="J1073" s="28">
        <v>42736</v>
      </c>
      <c r="Q1073" t="s">
        <v>44683</v>
      </c>
      <c r="R1073" t="s">
        <v>45915</v>
      </c>
    </row>
    <row r="1074" spans="1:18" x14ac:dyDescent="0.35">
      <c r="A1074" t="s">
        <v>16550</v>
      </c>
      <c r="D1074" t="s">
        <v>7312</v>
      </c>
      <c r="E1074" t="s">
        <v>43</v>
      </c>
      <c r="I1074" s="26">
        <v>42736</v>
      </c>
      <c r="J1074" s="28">
        <v>42736</v>
      </c>
      <c r="Q1074" t="s">
        <v>44683</v>
      </c>
      <c r="R1074" t="s">
        <v>45916</v>
      </c>
    </row>
    <row r="1075" spans="1:18" x14ac:dyDescent="0.35">
      <c r="A1075" t="s">
        <v>15996</v>
      </c>
      <c r="D1075" t="s">
        <v>7051</v>
      </c>
      <c r="E1075" t="s">
        <v>43</v>
      </c>
      <c r="I1075" s="26">
        <v>42736</v>
      </c>
      <c r="J1075" s="28">
        <v>42736</v>
      </c>
      <c r="Q1075" t="s">
        <v>44683</v>
      </c>
      <c r="R1075" t="s">
        <v>45917</v>
      </c>
    </row>
    <row r="1076" spans="1:18" x14ac:dyDescent="0.35">
      <c r="A1076" t="s">
        <v>16651</v>
      </c>
      <c r="E1076" t="s">
        <v>43</v>
      </c>
      <c r="F1076" t="s">
        <v>16652</v>
      </c>
      <c r="I1076" s="26">
        <v>42736</v>
      </c>
      <c r="J1076" s="28">
        <v>42736</v>
      </c>
      <c r="Q1076" t="s">
        <v>44683</v>
      </c>
      <c r="R1076" t="s">
        <v>45918</v>
      </c>
    </row>
    <row r="1077" spans="1:18" x14ac:dyDescent="0.35">
      <c r="A1077" t="s">
        <v>15267</v>
      </c>
      <c r="D1077" t="s">
        <v>5318</v>
      </c>
      <c r="E1077" t="s">
        <v>43</v>
      </c>
      <c r="I1077" s="26">
        <v>42736</v>
      </c>
      <c r="J1077" s="28">
        <v>42736</v>
      </c>
      <c r="Q1077" t="s">
        <v>44683</v>
      </c>
      <c r="R1077" t="s">
        <v>45919</v>
      </c>
    </row>
    <row r="1078" spans="1:18" x14ac:dyDescent="0.35">
      <c r="A1078" t="s">
        <v>16624</v>
      </c>
      <c r="D1078" t="s">
        <v>7325</v>
      </c>
      <c r="E1078" t="s">
        <v>43</v>
      </c>
      <c r="I1078" s="26">
        <v>42736</v>
      </c>
      <c r="J1078" s="28">
        <v>42736</v>
      </c>
      <c r="Q1078" t="s">
        <v>44683</v>
      </c>
      <c r="R1078" t="s">
        <v>45920</v>
      </c>
    </row>
    <row r="1079" spans="1:18" x14ac:dyDescent="0.35">
      <c r="A1079" t="s">
        <v>15662</v>
      </c>
      <c r="D1079" t="s">
        <v>5877</v>
      </c>
      <c r="E1079" t="s">
        <v>43</v>
      </c>
      <c r="I1079" s="26">
        <v>42736</v>
      </c>
      <c r="J1079" s="28">
        <v>42736</v>
      </c>
      <c r="Q1079" t="s">
        <v>44683</v>
      </c>
      <c r="R1079" t="s">
        <v>45921</v>
      </c>
    </row>
    <row r="1080" spans="1:18" x14ac:dyDescent="0.35">
      <c r="A1080" t="s">
        <v>16190</v>
      </c>
      <c r="D1080" t="s">
        <v>7067</v>
      </c>
      <c r="E1080" t="s">
        <v>43</v>
      </c>
      <c r="I1080" s="26">
        <v>42370</v>
      </c>
      <c r="J1080" s="28">
        <v>42370</v>
      </c>
      <c r="Q1080" t="s">
        <v>44683</v>
      </c>
      <c r="R1080" t="s">
        <v>45922</v>
      </c>
    </row>
    <row r="1081" spans="1:18" x14ac:dyDescent="0.35">
      <c r="A1081" t="s">
        <v>16551</v>
      </c>
      <c r="D1081" t="s">
        <v>7312</v>
      </c>
      <c r="E1081" t="s">
        <v>43</v>
      </c>
      <c r="I1081" s="26">
        <v>42736</v>
      </c>
      <c r="J1081" s="28">
        <v>42736</v>
      </c>
      <c r="Q1081" t="s">
        <v>44683</v>
      </c>
      <c r="R1081" t="s">
        <v>45923</v>
      </c>
    </row>
    <row r="1082" spans="1:18" x14ac:dyDescent="0.35">
      <c r="A1082" t="s">
        <v>16625</v>
      </c>
      <c r="D1082" t="s">
        <v>7325</v>
      </c>
      <c r="E1082" t="s">
        <v>43</v>
      </c>
      <c r="I1082" s="26">
        <v>42736</v>
      </c>
      <c r="J1082" s="28">
        <v>42736</v>
      </c>
      <c r="Q1082" t="s">
        <v>44683</v>
      </c>
      <c r="R1082" t="s">
        <v>45924</v>
      </c>
    </row>
    <row r="1083" spans="1:18" x14ac:dyDescent="0.35">
      <c r="A1083" t="s">
        <v>16192</v>
      </c>
      <c r="D1083" t="s">
        <v>7067</v>
      </c>
      <c r="E1083" t="s">
        <v>43</v>
      </c>
      <c r="I1083" s="26">
        <v>42370</v>
      </c>
      <c r="J1083" s="28">
        <v>42370</v>
      </c>
      <c r="Q1083" t="s">
        <v>44683</v>
      </c>
      <c r="R1083" t="s">
        <v>45925</v>
      </c>
    </row>
    <row r="1084" spans="1:18" x14ac:dyDescent="0.35">
      <c r="A1084" t="s">
        <v>15997</v>
      </c>
      <c r="D1084" t="s">
        <v>7051</v>
      </c>
      <c r="E1084" t="s">
        <v>43</v>
      </c>
      <c r="I1084" s="26">
        <v>42736</v>
      </c>
      <c r="J1084" s="28">
        <v>42736</v>
      </c>
      <c r="Q1084" t="s">
        <v>44683</v>
      </c>
      <c r="R1084" t="s">
        <v>45926</v>
      </c>
    </row>
    <row r="1085" spans="1:18" x14ac:dyDescent="0.35">
      <c r="A1085" t="s">
        <v>16193</v>
      </c>
      <c r="D1085" t="s">
        <v>7067</v>
      </c>
      <c r="E1085" t="s">
        <v>43</v>
      </c>
      <c r="I1085" s="26">
        <v>42370</v>
      </c>
      <c r="J1085" s="28">
        <v>42370</v>
      </c>
      <c r="Q1085" t="s">
        <v>44683</v>
      </c>
      <c r="R1085" t="s">
        <v>45927</v>
      </c>
    </row>
    <row r="1086" spans="1:18" x14ac:dyDescent="0.35">
      <c r="A1086" t="s">
        <v>16621</v>
      </c>
      <c r="D1086" t="s">
        <v>7324</v>
      </c>
      <c r="E1086" t="s">
        <v>43</v>
      </c>
      <c r="I1086" s="26">
        <v>42736</v>
      </c>
      <c r="J1086" s="28">
        <v>42736</v>
      </c>
      <c r="Q1086" t="s">
        <v>44683</v>
      </c>
      <c r="R1086" t="s">
        <v>45928</v>
      </c>
    </row>
    <row r="1087" spans="1:18" x14ac:dyDescent="0.35">
      <c r="A1087" t="s">
        <v>16565</v>
      </c>
      <c r="D1087" t="s">
        <v>7314</v>
      </c>
      <c r="E1087" t="s">
        <v>43</v>
      </c>
      <c r="I1087" s="26">
        <v>42736</v>
      </c>
      <c r="J1087" s="28">
        <v>42736</v>
      </c>
      <c r="Q1087" t="s">
        <v>44683</v>
      </c>
      <c r="R1087" t="s">
        <v>45929</v>
      </c>
    </row>
    <row r="1088" spans="1:18" x14ac:dyDescent="0.35">
      <c r="A1088" t="s">
        <v>16241</v>
      </c>
      <c r="D1088" t="s">
        <v>5300</v>
      </c>
      <c r="E1088" t="s">
        <v>43</v>
      </c>
      <c r="I1088" s="26">
        <v>42736</v>
      </c>
      <c r="J1088" s="28">
        <v>42736</v>
      </c>
      <c r="Q1088" t="s">
        <v>44683</v>
      </c>
      <c r="R1088" t="s">
        <v>45930</v>
      </c>
    </row>
    <row r="1089" spans="1:18" x14ac:dyDescent="0.35">
      <c r="A1089" t="s">
        <v>16195</v>
      </c>
      <c r="D1089" t="s">
        <v>7067</v>
      </c>
      <c r="E1089" t="s">
        <v>43</v>
      </c>
      <c r="I1089" s="26">
        <v>42370</v>
      </c>
      <c r="J1089" s="28">
        <v>42370</v>
      </c>
      <c r="Q1089" t="s">
        <v>44683</v>
      </c>
      <c r="R1089" t="s">
        <v>45931</v>
      </c>
    </row>
    <row r="1090" spans="1:18" x14ac:dyDescent="0.35">
      <c r="A1090" t="s">
        <v>16194</v>
      </c>
      <c r="D1090" t="s">
        <v>7067</v>
      </c>
      <c r="E1090" t="s">
        <v>43</v>
      </c>
      <c r="I1090" s="26">
        <v>42370</v>
      </c>
      <c r="J1090" s="28">
        <v>42370</v>
      </c>
      <c r="Q1090" t="s">
        <v>44683</v>
      </c>
      <c r="R1090" t="s">
        <v>45932</v>
      </c>
    </row>
    <row r="1091" spans="1:18" x14ac:dyDescent="0.35">
      <c r="A1091" t="s">
        <v>16242</v>
      </c>
      <c r="D1091" t="s">
        <v>5300</v>
      </c>
      <c r="E1091" t="s">
        <v>43</v>
      </c>
      <c r="I1091" s="26">
        <v>42736</v>
      </c>
      <c r="J1091" s="28">
        <v>42736</v>
      </c>
      <c r="Q1091" t="s">
        <v>44683</v>
      </c>
      <c r="R1091" t="s">
        <v>45933</v>
      </c>
    </row>
    <row r="1092" spans="1:18" x14ac:dyDescent="0.35">
      <c r="A1092" t="s">
        <v>16552</v>
      </c>
      <c r="D1092" t="s">
        <v>7312</v>
      </c>
      <c r="E1092" t="s">
        <v>43</v>
      </c>
      <c r="I1092" s="26">
        <v>42736</v>
      </c>
      <c r="J1092" s="28">
        <v>42736</v>
      </c>
      <c r="Q1092" t="s">
        <v>44683</v>
      </c>
      <c r="R1092" t="s">
        <v>45934</v>
      </c>
    </row>
    <row r="1093" spans="1:18" x14ac:dyDescent="0.35">
      <c r="A1093" t="s">
        <v>16243</v>
      </c>
      <c r="D1093" t="s">
        <v>5300</v>
      </c>
      <c r="E1093" t="s">
        <v>43</v>
      </c>
      <c r="I1093" s="26">
        <v>42736</v>
      </c>
      <c r="J1093" s="28">
        <v>42736</v>
      </c>
      <c r="Q1093" t="s">
        <v>44683</v>
      </c>
      <c r="R1093" t="s">
        <v>45935</v>
      </c>
    </row>
    <row r="1094" spans="1:18" x14ac:dyDescent="0.35">
      <c r="A1094" t="s">
        <v>45936</v>
      </c>
      <c r="D1094" t="s">
        <v>345</v>
      </c>
      <c r="E1094" t="s">
        <v>43</v>
      </c>
      <c r="I1094" s="26">
        <v>42736</v>
      </c>
      <c r="J1094" s="28">
        <v>42736</v>
      </c>
      <c r="Q1094" t="s">
        <v>44683</v>
      </c>
      <c r="R1094" t="s">
        <v>45937</v>
      </c>
    </row>
    <row r="1095" spans="1:18" x14ac:dyDescent="0.35">
      <c r="A1095" t="s">
        <v>14622</v>
      </c>
      <c r="D1095" t="s">
        <v>2154</v>
      </c>
      <c r="E1095" t="s">
        <v>43</v>
      </c>
      <c r="I1095" s="26">
        <v>42736</v>
      </c>
      <c r="J1095" s="28">
        <v>42736</v>
      </c>
      <c r="Q1095" t="s">
        <v>44683</v>
      </c>
      <c r="R1095" t="s">
        <v>45938</v>
      </c>
    </row>
    <row r="1096" spans="1:18" x14ac:dyDescent="0.35">
      <c r="A1096" t="s">
        <v>16566</v>
      </c>
      <c r="D1096" t="s">
        <v>7314</v>
      </c>
      <c r="E1096" t="s">
        <v>43</v>
      </c>
      <c r="I1096" s="26">
        <v>42736</v>
      </c>
      <c r="J1096" s="28">
        <v>42736</v>
      </c>
      <c r="Q1096" t="s">
        <v>44683</v>
      </c>
      <c r="R1096" t="s">
        <v>45939</v>
      </c>
    </row>
    <row r="1097" spans="1:18" x14ac:dyDescent="0.35">
      <c r="A1097" t="s">
        <v>16196</v>
      </c>
      <c r="D1097" t="s">
        <v>7067</v>
      </c>
      <c r="E1097" t="s">
        <v>43</v>
      </c>
      <c r="I1097" s="26">
        <v>42370</v>
      </c>
      <c r="J1097" s="28">
        <v>42370</v>
      </c>
      <c r="Q1097" t="s">
        <v>44683</v>
      </c>
      <c r="R1097" t="s">
        <v>45940</v>
      </c>
    </row>
    <row r="1098" spans="1:18" x14ac:dyDescent="0.35">
      <c r="A1098" t="s">
        <v>16197</v>
      </c>
      <c r="D1098" t="s">
        <v>7067</v>
      </c>
      <c r="E1098" t="s">
        <v>43</v>
      </c>
      <c r="I1098" s="26">
        <v>42370</v>
      </c>
      <c r="J1098" s="28">
        <v>42370</v>
      </c>
      <c r="Q1098" t="s">
        <v>44683</v>
      </c>
      <c r="R1098" t="s">
        <v>45941</v>
      </c>
    </row>
    <row r="1099" spans="1:18" x14ac:dyDescent="0.35">
      <c r="A1099" t="s">
        <v>15991</v>
      </c>
      <c r="D1099" t="s">
        <v>6779</v>
      </c>
      <c r="E1099" t="s">
        <v>43</v>
      </c>
      <c r="I1099" s="26">
        <v>42736</v>
      </c>
      <c r="J1099" s="28">
        <v>42736</v>
      </c>
      <c r="Q1099" t="s">
        <v>44683</v>
      </c>
      <c r="R1099" t="s">
        <v>45942</v>
      </c>
    </row>
    <row r="1100" spans="1:18" x14ac:dyDescent="0.35">
      <c r="A1100" t="s">
        <v>16244</v>
      </c>
      <c r="D1100" t="s">
        <v>5300</v>
      </c>
      <c r="E1100" t="s">
        <v>43</v>
      </c>
      <c r="I1100" s="26">
        <v>42736</v>
      </c>
      <c r="J1100" s="28">
        <v>42736</v>
      </c>
      <c r="Q1100" t="s">
        <v>44683</v>
      </c>
      <c r="R1100" t="s">
        <v>45943</v>
      </c>
    </row>
    <row r="1101" spans="1:18" x14ac:dyDescent="0.35">
      <c r="A1101" t="s">
        <v>16245</v>
      </c>
      <c r="D1101" t="s">
        <v>5300</v>
      </c>
      <c r="E1101" t="s">
        <v>43</v>
      </c>
      <c r="I1101" s="26">
        <v>42736</v>
      </c>
      <c r="J1101" s="28">
        <v>42736</v>
      </c>
      <c r="Q1101" t="s">
        <v>44683</v>
      </c>
      <c r="R1101" t="s">
        <v>45944</v>
      </c>
    </row>
    <row r="1102" spans="1:18" x14ac:dyDescent="0.35">
      <c r="A1102" t="s">
        <v>15579</v>
      </c>
      <c r="D1102" t="s">
        <v>5690</v>
      </c>
      <c r="E1102" t="s">
        <v>43</v>
      </c>
      <c r="I1102" s="26">
        <v>42370</v>
      </c>
      <c r="J1102" s="28">
        <v>42370</v>
      </c>
      <c r="Q1102" t="s">
        <v>44683</v>
      </c>
      <c r="R1102" t="s">
        <v>45945</v>
      </c>
    </row>
    <row r="1103" spans="1:18" x14ac:dyDescent="0.35">
      <c r="A1103" t="s">
        <v>14005</v>
      </c>
      <c r="D1103" t="s">
        <v>52</v>
      </c>
      <c r="E1103" t="s">
        <v>43</v>
      </c>
      <c r="I1103" s="26">
        <v>42370</v>
      </c>
      <c r="J1103" s="28">
        <v>42370</v>
      </c>
      <c r="Q1103" t="s">
        <v>44683</v>
      </c>
      <c r="R1103" t="s">
        <v>45946</v>
      </c>
    </row>
    <row r="1104" spans="1:18" x14ac:dyDescent="0.35">
      <c r="A1104" t="s">
        <v>14006</v>
      </c>
      <c r="D1104" t="s">
        <v>52</v>
      </c>
      <c r="E1104" t="s">
        <v>43</v>
      </c>
      <c r="I1104" s="26">
        <v>42370</v>
      </c>
      <c r="J1104" s="28">
        <v>42370</v>
      </c>
      <c r="Q1104" t="s">
        <v>44683</v>
      </c>
      <c r="R1104" t="s">
        <v>45947</v>
      </c>
    </row>
    <row r="1105" spans="1:18" x14ac:dyDescent="0.35">
      <c r="A1105" t="s">
        <v>16532</v>
      </c>
      <c r="D1105" t="s">
        <v>7309</v>
      </c>
      <c r="E1105" t="s">
        <v>43</v>
      </c>
      <c r="I1105" s="26">
        <v>42370</v>
      </c>
      <c r="J1105" s="28">
        <v>42370</v>
      </c>
      <c r="Q1105" t="s">
        <v>44683</v>
      </c>
      <c r="R1105" t="s">
        <v>45948</v>
      </c>
    </row>
    <row r="1106" spans="1:18" x14ac:dyDescent="0.35">
      <c r="A1106" t="s">
        <v>16246</v>
      </c>
      <c r="D1106" t="s">
        <v>5300</v>
      </c>
      <c r="E1106" t="s">
        <v>43</v>
      </c>
      <c r="I1106" s="26">
        <v>42370</v>
      </c>
      <c r="J1106" s="28">
        <v>42370</v>
      </c>
      <c r="Q1106" t="s">
        <v>44683</v>
      </c>
      <c r="R1106" t="s">
        <v>45949</v>
      </c>
    </row>
    <row r="1107" spans="1:18" x14ac:dyDescent="0.35">
      <c r="A1107" t="s">
        <v>16247</v>
      </c>
      <c r="D1107" t="s">
        <v>5300</v>
      </c>
      <c r="E1107" t="s">
        <v>43</v>
      </c>
      <c r="I1107" s="26">
        <v>42370</v>
      </c>
      <c r="J1107" s="28">
        <v>42370</v>
      </c>
      <c r="Q1107" t="s">
        <v>44683</v>
      </c>
      <c r="R1107" t="s">
        <v>45950</v>
      </c>
    </row>
    <row r="1108" spans="1:18" x14ac:dyDescent="0.35">
      <c r="A1108" t="s">
        <v>16537</v>
      </c>
      <c r="D1108" t="s">
        <v>7310</v>
      </c>
      <c r="E1108" t="s">
        <v>43</v>
      </c>
      <c r="I1108" s="26">
        <v>42370</v>
      </c>
      <c r="J1108" s="28">
        <v>42370</v>
      </c>
      <c r="Q1108" t="s">
        <v>44683</v>
      </c>
      <c r="R1108" t="s">
        <v>45951</v>
      </c>
    </row>
    <row r="1109" spans="1:18" x14ac:dyDescent="0.35">
      <c r="A1109" t="s">
        <v>15039</v>
      </c>
      <c r="D1109" t="s">
        <v>3016</v>
      </c>
      <c r="E1109" t="s">
        <v>43</v>
      </c>
      <c r="I1109" s="26">
        <v>42370</v>
      </c>
      <c r="J1109" s="28">
        <v>42370</v>
      </c>
      <c r="Q1109" t="s">
        <v>15040</v>
      </c>
      <c r="R1109" t="s">
        <v>45952</v>
      </c>
    </row>
    <row r="1110" spans="1:18" x14ac:dyDescent="0.35">
      <c r="A1110" t="s">
        <v>16615</v>
      </c>
      <c r="D1110" t="s">
        <v>7323</v>
      </c>
      <c r="E1110" t="s">
        <v>43</v>
      </c>
      <c r="I1110" s="26">
        <v>42370</v>
      </c>
      <c r="J1110" s="28">
        <v>42370</v>
      </c>
      <c r="Q1110" t="s">
        <v>44683</v>
      </c>
      <c r="R1110" t="s">
        <v>45953</v>
      </c>
    </row>
    <row r="1111" spans="1:18" x14ac:dyDescent="0.35">
      <c r="A1111" t="s">
        <v>14007</v>
      </c>
      <c r="D1111" t="s">
        <v>52</v>
      </c>
      <c r="E1111" t="s">
        <v>43</v>
      </c>
      <c r="I1111" s="26">
        <v>42370</v>
      </c>
      <c r="J1111" s="28">
        <v>42370</v>
      </c>
      <c r="Q1111" t="s">
        <v>44683</v>
      </c>
      <c r="R1111" t="s">
        <v>45954</v>
      </c>
    </row>
    <row r="1112" spans="1:18" x14ac:dyDescent="0.35">
      <c r="A1112" t="s">
        <v>16553</v>
      </c>
      <c r="D1112" t="s">
        <v>7313</v>
      </c>
      <c r="E1112" t="s">
        <v>43</v>
      </c>
      <c r="I1112" s="26">
        <v>42370</v>
      </c>
      <c r="J1112" s="28">
        <v>42370</v>
      </c>
      <c r="Q1112" t="s">
        <v>44683</v>
      </c>
      <c r="R1112" t="s">
        <v>45955</v>
      </c>
    </row>
    <row r="1113" spans="1:18" x14ac:dyDescent="0.35">
      <c r="A1113" t="s">
        <v>15581</v>
      </c>
      <c r="D1113" t="s">
        <v>5690</v>
      </c>
      <c r="E1113" t="s">
        <v>43</v>
      </c>
      <c r="I1113" s="26">
        <v>42370</v>
      </c>
      <c r="J1113" s="28">
        <v>42370</v>
      </c>
      <c r="Q1113" t="s">
        <v>44683</v>
      </c>
      <c r="R1113" t="s">
        <v>45956</v>
      </c>
    </row>
    <row r="1114" spans="1:18" x14ac:dyDescent="0.35">
      <c r="A1114" t="s">
        <v>16538</v>
      </c>
      <c r="D1114" t="s">
        <v>7310</v>
      </c>
      <c r="E1114" t="s">
        <v>43</v>
      </c>
      <c r="I1114" s="26">
        <v>42370</v>
      </c>
      <c r="J1114" s="28">
        <v>42370</v>
      </c>
      <c r="Q1114" t="s">
        <v>44683</v>
      </c>
      <c r="R1114" t="s">
        <v>45957</v>
      </c>
    </row>
    <row r="1115" spans="1:18" x14ac:dyDescent="0.35">
      <c r="A1115" t="s">
        <v>45958</v>
      </c>
      <c r="D1115" t="s">
        <v>7323</v>
      </c>
      <c r="E1115" t="s">
        <v>43</v>
      </c>
      <c r="I1115" s="26">
        <v>42370</v>
      </c>
      <c r="J1115" s="28">
        <v>42370</v>
      </c>
      <c r="Q1115" t="s">
        <v>44683</v>
      </c>
      <c r="R1115" t="s">
        <v>45959</v>
      </c>
    </row>
    <row r="1116" spans="1:18" x14ac:dyDescent="0.35">
      <c r="A1116" t="s">
        <v>16554</v>
      </c>
      <c r="D1116" t="s">
        <v>7313</v>
      </c>
      <c r="E1116" t="s">
        <v>43</v>
      </c>
      <c r="I1116" s="26">
        <v>42370</v>
      </c>
      <c r="J1116" s="28">
        <v>42370</v>
      </c>
      <c r="Q1116" t="s">
        <v>44683</v>
      </c>
      <c r="R1116" t="s">
        <v>45960</v>
      </c>
    </row>
    <row r="1117" spans="1:18" x14ac:dyDescent="0.35">
      <c r="A1117" t="s">
        <v>16457</v>
      </c>
      <c r="D1117" t="s">
        <v>7297</v>
      </c>
      <c r="E1117" t="s">
        <v>43</v>
      </c>
      <c r="I1117" s="26">
        <v>42370</v>
      </c>
      <c r="J1117" s="28">
        <v>42370</v>
      </c>
      <c r="Q1117" t="s">
        <v>44683</v>
      </c>
      <c r="R1117" t="s">
        <v>45961</v>
      </c>
    </row>
    <row r="1118" spans="1:18" x14ac:dyDescent="0.35">
      <c r="A1118" t="s">
        <v>16589</v>
      </c>
      <c r="D1118" t="s">
        <v>7318</v>
      </c>
      <c r="E1118" t="s">
        <v>43</v>
      </c>
      <c r="I1118" s="26">
        <v>42370</v>
      </c>
      <c r="J1118" s="28">
        <v>42370</v>
      </c>
      <c r="Q1118" t="s">
        <v>44683</v>
      </c>
      <c r="R1118" t="s">
        <v>45962</v>
      </c>
    </row>
    <row r="1119" spans="1:18" x14ac:dyDescent="0.35">
      <c r="A1119" t="s">
        <v>16555</v>
      </c>
      <c r="D1119" t="s">
        <v>7313</v>
      </c>
      <c r="E1119" t="s">
        <v>43</v>
      </c>
      <c r="I1119" s="26">
        <v>42370</v>
      </c>
      <c r="J1119" s="28">
        <v>42370</v>
      </c>
      <c r="Q1119" t="s">
        <v>44683</v>
      </c>
      <c r="R1119" t="s">
        <v>45963</v>
      </c>
    </row>
    <row r="1120" spans="1:18" x14ac:dyDescent="0.35">
      <c r="A1120" t="s">
        <v>16163</v>
      </c>
      <c r="D1120" t="s">
        <v>7067</v>
      </c>
      <c r="E1120" t="s">
        <v>43</v>
      </c>
      <c r="I1120" s="26">
        <v>42370</v>
      </c>
      <c r="J1120" s="28">
        <v>42370</v>
      </c>
      <c r="Q1120" t="s">
        <v>44683</v>
      </c>
      <c r="R1120" t="s">
        <v>45964</v>
      </c>
    </row>
    <row r="1121" spans="1:18" x14ac:dyDescent="0.35">
      <c r="A1121" t="s">
        <v>16458</v>
      </c>
      <c r="D1121" t="s">
        <v>7297</v>
      </c>
      <c r="E1121" t="s">
        <v>43</v>
      </c>
      <c r="I1121" s="26">
        <v>42370</v>
      </c>
      <c r="J1121" s="28">
        <v>42370</v>
      </c>
      <c r="Q1121" t="s">
        <v>44683</v>
      </c>
      <c r="R1121" t="s">
        <v>45965</v>
      </c>
    </row>
    <row r="1122" spans="1:18" x14ac:dyDescent="0.35">
      <c r="A1122" t="s">
        <v>16583</v>
      </c>
      <c r="D1122" t="s">
        <v>7317</v>
      </c>
      <c r="E1122" t="s">
        <v>43</v>
      </c>
      <c r="I1122" s="26">
        <v>42370</v>
      </c>
      <c r="J1122" s="28">
        <v>42370</v>
      </c>
      <c r="Q1122" t="s">
        <v>44683</v>
      </c>
      <c r="R1122" t="s">
        <v>45966</v>
      </c>
    </row>
    <row r="1123" spans="1:18" x14ac:dyDescent="0.35">
      <c r="A1123" t="s">
        <v>16478</v>
      </c>
      <c r="D1123" t="s">
        <v>7301</v>
      </c>
      <c r="E1123" t="s">
        <v>43</v>
      </c>
      <c r="I1123" s="26">
        <v>42370</v>
      </c>
      <c r="J1123" s="28">
        <v>42370</v>
      </c>
      <c r="Q1123" t="s">
        <v>44683</v>
      </c>
      <c r="R1123" t="s">
        <v>45967</v>
      </c>
    </row>
    <row r="1124" spans="1:18" x14ac:dyDescent="0.35">
      <c r="A1124" t="s">
        <v>45968</v>
      </c>
      <c r="D1124" t="s">
        <v>7323</v>
      </c>
      <c r="E1124" t="s">
        <v>43</v>
      </c>
      <c r="I1124" s="26">
        <v>42370</v>
      </c>
      <c r="J1124" s="28">
        <v>42370</v>
      </c>
      <c r="Q1124" t="s">
        <v>44683</v>
      </c>
      <c r="R1124" t="s">
        <v>45969</v>
      </c>
    </row>
    <row r="1125" spans="1:18" x14ac:dyDescent="0.35">
      <c r="A1125" t="s">
        <v>16578</v>
      </c>
      <c r="D1125" t="s">
        <v>7316</v>
      </c>
      <c r="E1125" t="s">
        <v>43</v>
      </c>
      <c r="I1125" s="26">
        <v>42370</v>
      </c>
      <c r="J1125" s="28">
        <v>42370</v>
      </c>
      <c r="Q1125" t="s">
        <v>44683</v>
      </c>
      <c r="R1125" t="s">
        <v>45970</v>
      </c>
    </row>
    <row r="1126" spans="1:18" x14ac:dyDescent="0.35">
      <c r="A1126" t="s">
        <v>16539</v>
      </c>
      <c r="D1126" t="s">
        <v>7310</v>
      </c>
      <c r="E1126" t="s">
        <v>43</v>
      </c>
      <c r="I1126" s="26">
        <v>42370</v>
      </c>
      <c r="J1126" s="28">
        <v>42370</v>
      </c>
      <c r="Q1126" t="s">
        <v>44683</v>
      </c>
      <c r="R1126" t="s">
        <v>45971</v>
      </c>
    </row>
    <row r="1127" spans="1:18" x14ac:dyDescent="0.35">
      <c r="A1127" t="s">
        <v>14008</v>
      </c>
      <c r="D1127" t="s">
        <v>52</v>
      </c>
      <c r="E1127" t="s">
        <v>43</v>
      </c>
      <c r="I1127" s="26">
        <v>42370</v>
      </c>
      <c r="J1127" s="28">
        <v>42370</v>
      </c>
      <c r="Q1127" t="s">
        <v>44683</v>
      </c>
      <c r="R1127" t="s">
        <v>45972</v>
      </c>
    </row>
    <row r="1128" spans="1:18" x14ac:dyDescent="0.35">
      <c r="A1128" t="s">
        <v>14009</v>
      </c>
      <c r="D1128" t="s">
        <v>52</v>
      </c>
      <c r="E1128" t="s">
        <v>43</v>
      </c>
      <c r="I1128" s="26">
        <v>42370</v>
      </c>
      <c r="J1128" s="28">
        <v>42370</v>
      </c>
      <c r="Q1128" t="s">
        <v>44683</v>
      </c>
      <c r="R1128" t="s">
        <v>45973</v>
      </c>
    </row>
    <row r="1129" spans="1:18" x14ac:dyDescent="0.35">
      <c r="A1129" t="s">
        <v>16479</v>
      </c>
      <c r="D1129" t="s">
        <v>7301</v>
      </c>
      <c r="E1129" t="s">
        <v>43</v>
      </c>
      <c r="I1129" s="26">
        <v>42370</v>
      </c>
      <c r="J1129" s="28">
        <v>42370</v>
      </c>
      <c r="Q1129" t="s">
        <v>44683</v>
      </c>
      <c r="R1129" t="s">
        <v>45974</v>
      </c>
    </row>
    <row r="1130" spans="1:18" x14ac:dyDescent="0.35">
      <c r="A1130" t="s">
        <v>16480</v>
      </c>
      <c r="D1130" t="s">
        <v>7301</v>
      </c>
      <c r="E1130" t="s">
        <v>43</v>
      </c>
      <c r="I1130" s="26">
        <v>42370</v>
      </c>
      <c r="J1130" s="28">
        <v>42370</v>
      </c>
      <c r="Q1130" t="s">
        <v>44683</v>
      </c>
      <c r="R1130" t="s">
        <v>45975</v>
      </c>
    </row>
    <row r="1131" spans="1:18" x14ac:dyDescent="0.35">
      <c r="A1131" t="s">
        <v>16165</v>
      </c>
      <c r="D1131" t="s">
        <v>7067</v>
      </c>
      <c r="E1131" t="s">
        <v>43</v>
      </c>
      <c r="I1131" s="26">
        <v>42370</v>
      </c>
      <c r="J1131" s="28">
        <v>42370</v>
      </c>
      <c r="Q1131" t="s">
        <v>44683</v>
      </c>
      <c r="R1131" t="s">
        <v>45976</v>
      </c>
    </row>
    <row r="1132" spans="1:18" x14ac:dyDescent="0.35">
      <c r="A1132" t="s">
        <v>14010</v>
      </c>
      <c r="D1132" t="s">
        <v>52</v>
      </c>
      <c r="E1132" t="s">
        <v>43</v>
      </c>
      <c r="I1132" s="26">
        <v>42370</v>
      </c>
      <c r="J1132" s="28">
        <v>42370</v>
      </c>
      <c r="Q1132" t="s">
        <v>44683</v>
      </c>
      <c r="R1132" t="s">
        <v>45977</v>
      </c>
    </row>
    <row r="1133" spans="1:18" x14ac:dyDescent="0.35">
      <c r="A1133" t="s">
        <v>16481</v>
      </c>
      <c r="D1133" t="s">
        <v>7301</v>
      </c>
      <c r="E1133" t="s">
        <v>43</v>
      </c>
      <c r="I1133" s="26">
        <v>42370</v>
      </c>
      <c r="J1133" s="28">
        <v>42370</v>
      </c>
      <c r="Q1133" t="s">
        <v>44683</v>
      </c>
      <c r="R1133" t="s">
        <v>45978</v>
      </c>
    </row>
    <row r="1134" spans="1:18" x14ac:dyDescent="0.35">
      <c r="A1134" t="s">
        <v>15628</v>
      </c>
      <c r="D1134" t="s">
        <v>5876</v>
      </c>
      <c r="E1134" t="s">
        <v>43</v>
      </c>
      <c r="I1134" s="26">
        <v>42370</v>
      </c>
      <c r="J1134" s="28">
        <v>42370</v>
      </c>
      <c r="Q1134" t="s">
        <v>44683</v>
      </c>
      <c r="R1134" t="s">
        <v>45979</v>
      </c>
    </row>
    <row r="1135" spans="1:18" x14ac:dyDescent="0.35">
      <c r="A1135" t="s">
        <v>15041</v>
      </c>
      <c r="D1135" t="s">
        <v>3016</v>
      </c>
      <c r="E1135" t="s">
        <v>43</v>
      </c>
      <c r="I1135" s="26">
        <v>42370</v>
      </c>
      <c r="J1135" s="28">
        <v>42370</v>
      </c>
      <c r="Q1135" t="s">
        <v>15040</v>
      </c>
      <c r="R1135" t="s">
        <v>45980</v>
      </c>
    </row>
    <row r="1136" spans="1:18" x14ac:dyDescent="0.35">
      <c r="A1136" t="s">
        <v>16248</v>
      </c>
      <c r="D1136" t="s">
        <v>5300</v>
      </c>
      <c r="E1136" t="s">
        <v>43</v>
      </c>
      <c r="I1136" s="26">
        <v>42370</v>
      </c>
      <c r="J1136" s="28">
        <v>42370</v>
      </c>
      <c r="Q1136" t="s">
        <v>44683</v>
      </c>
      <c r="R1136" t="s">
        <v>45981</v>
      </c>
    </row>
    <row r="1137" spans="1:18" x14ac:dyDescent="0.35">
      <c r="A1137" t="s">
        <v>16249</v>
      </c>
      <c r="D1137" t="s">
        <v>5300</v>
      </c>
      <c r="E1137" t="s">
        <v>43</v>
      </c>
      <c r="I1137" s="26">
        <v>42370</v>
      </c>
      <c r="J1137" s="28">
        <v>42370</v>
      </c>
      <c r="Q1137" t="s">
        <v>44683</v>
      </c>
      <c r="R1137" t="s">
        <v>45982</v>
      </c>
    </row>
    <row r="1138" spans="1:18" x14ac:dyDescent="0.35">
      <c r="A1138" t="s">
        <v>14011</v>
      </c>
      <c r="D1138" t="s">
        <v>52</v>
      </c>
      <c r="E1138" t="s">
        <v>43</v>
      </c>
      <c r="I1138" s="26">
        <v>42370</v>
      </c>
      <c r="J1138" s="28">
        <v>42370</v>
      </c>
      <c r="Q1138" t="s">
        <v>44683</v>
      </c>
      <c r="R1138" t="s">
        <v>45983</v>
      </c>
    </row>
    <row r="1139" spans="1:18" x14ac:dyDescent="0.35">
      <c r="A1139" t="s">
        <v>16556</v>
      </c>
      <c r="D1139" t="s">
        <v>7313</v>
      </c>
      <c r="E1139" t="s">
        <v>43</v>
      </c>
      <c r="I1139" s="26">
        <v>42370</v>
      </c>
      <c r="J1139" s="28">
        <v>42370</v>
      </c>
      <c r="Q1139" t="s">
        <v>44683</v>
      </c>
      <c r="R1139" t="s">
        <v>45984</v>
      </c>
    </row>
    <row r="1140" spans="1:18" x14ac:dyDescent="0.35">
      <c r="A1140" t="s">
        <v>16250</v>
      </c>
      <c r="D1140" t="s">
        <v>5300</v>
      </c>
      <c r="E1140" t="s">
        <v>43</v>
      </c>
      <c r="I1140" s="26">
        <v>42370</v>
      </c>
      <c r="J1140" s="28">
        <v>42370</v>
      </c>
      <c r="Q1140" t="s">
        <v>44683</v>
      </c>
      <c r="R1140" t="s">
        <v>45985</v>
      </c>
    </row>
    <row r="1141" spans="1:18" x14ac:dyDescent="0.35">
      <c r="A1141" t="s">
        <v>15582</v>
      </c>
      <c r="D1141" t="s">
        <v>5690</v>
      </c>
      <c r="E1141" t="s">
        <v>43</v>
      </c>
      <c r="I1141" s="26">
        <v>42370</v>
      </c>
      <c r="J1141" s="28">
        <v>42370</v>
      </c>
      <c r="Q1141" t="s">
        <v>44683</v>
      </c>
      <c r="R1141" t="s">
        <v>45986</v>
      </c>
    </row>
    <row r="1142" spans="1:18" x14ac:dyDescent="0.35">
      <c r="A1142" t="s">
        <v>16533</v>
      </c>
      <c r="D1142" t="s">
        <v>7309</v>
      </c>
      <c r="E1142" t="s">
        <v>43</v>
      </c>
      <c r="I1142" s="26">
        <v>42370</v>
      </c>
      <c r="J1142" s="28">
        <v>42370</v>
      </c>
      <c r="Q1142" t="s">
        <v>44683</v>
      </c>
      <c r="R1142" t="s">
        <v>45987</v>
      </c>
    </row>
    <row r="1143" spans="1:18" x14ac:dyDescent="0.35">
      <c r="A1143" t="s">
        <v>16459</v>
      </c>
      <c r="D1143" t="s">
        <v>7297</v>
      </c>
      <c r="E1143" t="s">
        <v>43</v>
      </c>
      <c r="I1143" s="26">
        <v>42370</v>
      </c>
      <c r="J1143" s="28">
        <v>42370</v>
      </c>
      <c r="Q1143" t="s">
        <v>44683</v>
      </c>
      <c r="R1143" t="s">
        <v>45988</v>
      </c>
    </row>
    <row r="1144" spans="1:18" x14ac:dyDescent="0.35">
      <c r="A1144" t="s">
        <v>16584</v>
      </c>
      <c r="D1144" t="s">
        <v>7317</v>
      </c>
      <c r="E1144" t="s">
        <v>43</v>
      </c>
      <c r="I1144" s="26">
        <v>42370</v>
      </c>
      <c r="J1144" s="28">
        <v>42370</v>
      </c>
      <c r="Q1144" t="s">
        <v>44683</v>
      </c>
      <c r="R1144" t="s">
        <v>45989</v>
      </c>
    </row>
    <row r="1145" spans="1:18" x14ac:dyDescent="0.35">
      <c r="A1145" t="s">
        <v>15075</v>
      </c>
      <c r="D1145" t="s">
        <v>3512</v>
      </c>
      <c r="E1145" t="s">
        <v>43</v>
      </c>
      <c r="I1145" s="26">
        <v>42370</v>
      </c>
      <c r="J1145" s="28">
        <v>42370</v>
      </c>
      <c r="Q1145" t="s">
        <v>15076</v>
      </c>
      <c r="R1145" t="s">
        <v>45990</v>
      </c>
    </row>
    <row r="1146" spans="1:18" x14ac:dyDescent="0.35">
      <c r="A1146" t="s">
        <v>45991</v>
      </c>
      <c r="D1146" t="s">
        <v>7323</v>
      </c>
      <c r="E1146" t="s">
        <v>43</v>
      </c>
      <c r="I1146" s="26">
        <v>42370</v>
      </c>
      <c r="J1146" s="28">
        <v>42370</v>
      </c>
      <c r="Q1146" t="s">
        <v>44683</v>
      </c>
      <c r="R1146" t="s">
        <v>45992</v>
      </c>
    </row>
    <row r="1147" spans="1:18" x14ac:dyDescent="0.35">
      <c r="A1147" t="s">
        <v>16585</v>
      </c>
      <c r="D1147" t="s">
        <v>7317</v>
      </c>
      <c r="E1147" t="s">
        <v>43</v>
      </c>
      <c r="I1147" s="26">
        <v>42370</v>
      </c>
      <c r="J1147" s="28">
        <v>42370</v>
      </c>
      <c r="Q1147" t="s">
        <v>44683</v>
      </c>
      <c r="R1147" t="s">
        <v>45993</v>
      </c>
    </row>
    <row r="1148" spans="1:18" x14ac:dyDescent="0.35">
      <c r="A1148" t="s">
        <v>16581</v>
      </c>
      <c r="D1148" t="s">
        <v>7316</v>
      </c>
      <c r="E1148" t="s">
        <v>43</v>
      </c>
      <c r="I1148" s="26">
        <v>42370</v>
      </c>
      <c r="J1148" s="28">
        <v>42370</v>
      </c>
      <c r="Q1148" t="s">
        <v>44683</v>
      </c>
      <c r="R1148" t="s">
        <v>45994</v>
      </c>
    </row>
    <row r="1149" spans="1:18" x14ac:dyDescent="0.35">
      <c r="A1149" t="s">
        <v>16590</v>
      </c>
      <c r="D1149" t="s">
        <v>7318</v>
      </c>
      <c r="E1149" t="s">
        <v>43</v>
      </c>
      <c r="I1149" s="26">
        <v>42370</v>
      </c>
      <c r="J1149" s="28">
        <v>42370</v>
      </c>
      <c r="Q1149" t="s">
        <v>44683</v>
      </c>
      <c r="R1149" t="s">
        <v>45995</v>
      </c>
    </row>
    <row r="1150" spans="1:18" x14ac:dyDescent="0.35">
      <c r="A1150" t="s">
        <v>16618</v>
      </c>
      <c r="D1150" t="s">
        <v>7323</v>
      </c>
      <c r="E1150" t="s">
        <v>43</v>
      </c>
      <c r="I1150" s="26">
        <v>42370</v>
      </c>
      <c r="J1150" s="28">
        <v>42370</v>
      </c>
      <c r="Q1150" t="s">
        <v>44683</v>
      </c>
      <c r="R1150" t="s">
        <v>45996</v>
      </c>
    </row>
    <row r="1151" spans="1:18" x14ac:dyDescent="0.35">
      <c r="A1151" t="s">
        <v>45997</v>
      </c>
      <c r="D1151" t="s">
        <v>7323</v>
      </c>
      <c r="E1151" t="s">
        <v>43</v>
      </c>
      <c r="I1151" s="26">
        <v>42370</v>
      </c>
      <c r="J1151" s="28">
        <v>42370</v>
      </c>
      <c r="Q1151" t="s">
        <v>44683</v>
      </c>
      <c r="R1151" t="s">
        <v>45998</v>
      </c>
    </row>
    <row r="1152" spans="1:18" x14ac:dyDescent="0.35">
      <c r="A1152" t="s">
        <v>16460</v>
      </c>
      <c r="D1152" t="s">
        <v>7297</v>
      </c>
      <c r="E1152" t="s">
        <v>43</v>
      </c>
      <c r="I1152" s="26">
        <v>42370</v>
      </c>
      <c r="J1152" s="28">
        <v>42370</v>
      </c>
      <c r="Q1152" t="s">
        <v>44683</v>
      </c>
      <c r="R1152" t="s">
        <v>45999</v>
      </c>
    </row>
    <row r="1153" spans="1:18" x14ac:dyDescent="0.35">
      <c r="A1153" t="s">
        <v>16251</v>
      </c>
      <c r="D1153" t="s">
        <v>5300</v>
      </c>
      <c r="E1153" t="s">
        <v>43</v>
      </c>
      <c r="I1153" s="26">
        <v>42370</v>
      </c>
      <c r="J1153" s="28">
        <v>42370</v>
      </c>
      <c r="Q1153" t="s">
        <v>44683</v>
      </c>
      <c r="R1153" t="s">
        <v>46000</v>
      </c>
    </row>
    <row r="1154" spans="1:18" x14ac:dyDescent="0.35">
      <c r="A1154" t="s">
        <v>16168</v>
      </c>
      <c r="D1154" t="s">
        <v>7067</v>
      </c>
      <c r="E1154" t="s">
        <v>43</v>
      </c>
      <c r="I1154" s="26">
        <v>42370</v>
      </c>
      <c r="J1154" s="28">
        <v>42370</v>
      </c>
      <c r="Q1154" t="s">
        <v>44683</v>
      </c>
      <c r="R1154" t="s">
        <v>46001</v>
      </c>
    </row>
    <row r="1155" spans="1:18" x14ac:dyDescent="0.35">
      <c r="A1155" t="s">
        <v>16169</v>
      </c>
      <c r="D1155" t="s">
        <v>7067</v>
      </c>
      <c r="E1155" t="s">
        <v>43</v>
      </c>
      <c r="I1155" s="26">
        <v>42370</v>
      </c>
      <c r="J1155" s="28">
        <v>42370</v>
      </c>
      <c r="Q1155" t="s">
        <v>44683</v>
      </c>
      <c r="R1155" t="s">
        <v>46002</v>
      </c>
    </row>
    <row r="1156" spans="1:18" x14ac:dyDescent="0.35">
      <c r="A1156" t="s">
        <v>16582</v>
      </c>
      <c r="D1156" t="s">
        <v>7316</v>
      </c>
      <c r="E1156" t="s">
        <v>43</v>
      </c>
      <c r="I1156" s="26">
        <v>42370</v>
      </c>
      <c r="J1156" s="28">
        <v>42370</v>
      </c>
      <c r="Q1156" t="s">
        <v>44683</v>
      </c>
      <c r="R1156" t="s">
        <v>46003</v>
      </c>
    </row>
    <row r="1157" spans="1:18" x14ac:dyDescent="0.35">
      <c r="A1157" t="s">
        <v>16170</v>
      </c>
      <c r="D1157" t="s">
        <v>7067</v>
      </c>
      <c r="E1157" t="s">
        <v>43</v>
      </c>
      <c r="I1157" s="26">
        <v>42370</v>
      </c>
      <c r="J1157" s="28">
        <v>42370</v>
      </c>
      <c r="Q1157" t="s">
        <v>44683</v>
      </c>
      <c r="R1157" t="s">
        <v>46004</v>
      </c>
    </row>
    <row r="1158" spans="1:18" x14ac:dyDescent="0.35">
      <c r="A1158" t="s">
        <v>16171</v>
      </c>
      <c r="D1158" t="s">
        <v>7067</v>
      </c>
      <c r="E1158" t="s">
        <v>43</v>
      </c>
      <c r="I1158" s="26">
        <v>42370</v>
      </c>
      <c r="J1158" s="28">
        <v>42370</v>
      </c>
      <c r="Q1158" t="s">
        <v>44683</v>
      </c>
      <c r="R1158" t="s">
        <v>46005</v>
      </c>
    </row>
    <row r="1159" spans="1:18" x14ac:dyDescent="0.35">
      <c r="A1159" t="s">
        <v>16558</v>
      </c>
      <c r="D1159" t="s">
        <v>7313</v>
      </c>
      <c r="E1159" t="s">
        <v>43</v>
      </c>
      <c r="I1159" s="26">
        <v>42370</v>
      </c>
      <c r="J1159" s="28">
        <v>42370</v>
      </c>
      <c r="Q1159" t="s">
        <v>44683</v>
      </c>
      <c r="R1159" t="s">
        <v>46006</v>
      </c>
    </row>
    <row r="1160" spans="1:18" x14ac:dyDescent="0.35">
      <c r="A1160" t="s">
        <v>16591</v>
      </c>
      <c r="D1160" t="s">
        <v>7318</v>
      </c>
      <c r="E1160" t="s">
        <v>43</v>
      </c>
      <c r="I1160" s="26">
        <v>42370</v>
      </c>
      <c r="J1160" s="28">
        <v>42370</v>
      </c>
      <c r="Q1160" t="s">
        <v>44683</v>
      </c>
      <c r="R1160" t="s">
        <v>46007</v>
      </c>
    </row>
    <row r="1161" spans="1:18" x14ac:dyDescent="0.35">
      <c r="A1161" t="s">
        <v>16616</v>
      </c>
      <c r="D1161" t="s">
        <v>7323</v>
      </c>
      <c r="E1161" t="s">
        <v>43</v>
      </c>
      <c r="I1161" s="26">
        <v>42370</v>
      </c>
      <c r="J1161" s="28">
        <v>42370</v>
      </c>
      <c r="Q1161" t="s">
        <v>44683</v>
      </c>
      <c r="R1161" t="s">
        <v>46008</v>
      </c>
    </row>
    <row r="1162" spans="1:18" x14ac:dyDescent="0.35">
      <c r="A1162" t="s">
        <v>16540</v>
      </c>
      <c r="D1162" t="s">
        <v>7310</v>
      </c>
      <c r="E1162" t="s">
        <v>43</v>
      </c>
      <c r="I1162" s="26">
        <v>42370</v>
      </c>
      <c r="J1162" s="28">
        <v>42370</v>
      </c>
      <c r="Q1162" t="s">
        <v>44683</v>
      </c>
      <c r="R1162" t="s">
        <v>46009</v>
      </c>
    </row>
    <row r="1163" spans="1:18" x14ac:dyDescent="0.35">
      <c r="A1163" t="s">
        <v>16579</v>
      </c>
      <c r="D1163" t="s">
        <v>7316</v>
      </c>
      <c r="E1163" t="s">
        <v>43</v>
      </c>
      <c r="I1163" s="26">
        <v>42370</v>
      </c>
      <c r="J1163" s="28">
        <v>42370</v>
      </c>
      <c r="Q1163" t="s">
        <v>44683</v>
      </c>
      <c r="R1163" t="s">
        <v>46010</v>
      </c>
    </row>
    <row r="1164" spans="1:18" x14ac:dyDescent="0.35">
      <c r="A1164" t="s">
        <v>16462</v>
      </c>
      <c r="D1164" t="s">
        <v>7297</v>
      </c>
      <c r="E1164" t="s">
        <v>43</v>
      </c>
      <c r="I1164" s="26">
        <v>42370</v>
      </c>
      <c r="J1164" s="28">
        <v>42370</v>
      </c>
      <c r="Q1164" t="s">
        <v>44683</v>
      </c>
      <c r="R1164" t="s">
        <v>46011</v>
      </c>
    </row>
    <row r="1165" spans="1:18" x14ac:dyDescent="0.35">
      <c r="A1165" t="s">
        <v>46012</v>
      </c>
      <c r="D1165" t="s">
        <v>7301</v>
      </c>
      <c r="E1165" t="s">
        <v>43</v>
      </c>
      <c r="I1165" s="26">
        <v>42370</v>
      </c>
      <c r="J1165" s="28">
        <v>42370</v>
      </c>
      <c r="Q1165" t="s">
        <v>44683</v>
      </c>
      <c r="R1165" t="s">
        <v>46013</v>
      </c>
    </row>
    <row r="1166" spans="1:18" x14ac:dyDescent="0.35">
      <c r="A1166" t="s">
        <v>16559</v>
      </c>
      <c r="D1166" t="s">
        <v>7313</v>
      </c>
      <c r="E1166" t="s">
        <v>43</v>
      </c>
      <c r="I1166" s="26">
        <v>42370</v>
      </c>
      <c r="J1166" s="28">
        <v>42370</v>
      </c>
      <c r="Q1166" t="s">
        <v>44683</v>
      </c>
      <c r="R1166" t="s">
        <v>46014</v>
      </c>
    </row>
    <row r="1167" spans="1:18" x14ac:dyDescent="0.35">
      <c r="A1167" t="s">
        <v>16252</v>
      </c>
      <c r="D1167" t="s">
        <v>5300</v>
      </c>
      <c r="E1167" t="s">
        <v>43</v>
      </c>
      <c r="I1167" s="26">
        <v>42370</v>
      </c>
      <c r="J1167" s="28">
        <v>42370</v>
      </c>
      <c r="Q1167" t="s">
        <v>44683</v>
      </c>
      <c r="R1167" t="s">
        <v>46015</v>
      </c>
    </row>
    <row r="1168" spans="1:18" x14ac:dyDescent="0.35">
      <c r="A1168" t="s">
        <v>16253</v>
      </c>
      <c r="D1168" t="s">
        <v>5300</v>
      </c>
      <c r="E1168" t="s">
        <v>43</v>
      </c>
      <c r="I1168" s="26">
        <v>42370</v>
      </c>
      <c r="J1168" s="28">
        <v>42370</v>
      </c>
      <c r="Q1168" t="s">
        <v>44683</v>
      </c>
      <c r="R1168" t="s">
        <v>46016</v>
      </c>
    </row>
    <row r="1169" spans="1:18" x14ac:dyDescent="0.35">
      <c r="A1169" t="s">
        <v>16254</v>
      </c>
      <c r="D1169" t="s">
        <v>5300</v>
      </c>
      <c r="E1169" t="s">
        <v>43</v>
      </c>
      <c r="I1169" s="26">
        <v>42370</v>
      </c>
      <c r="J1169" s="28">
        <v>42370</v>
      </c>
      <c r="Q1169" t="s">
        <v>44683</v>
      </c>
      <c r="R1169" t="s">
        <v>46017</v>
      </c>
    </row>
    <row r="1170" spans="1:18" x14ac:dyDescent="0.35">
      <c r="A1170" t="s">
        <v>16255</v>
      </c>
      <c r="D1170" t="s">
        <v>5300</v>
      </c>
      <c r="E1170" t="s">
        <v>43</v>
      </c>
      <c r="I1170" s="26">
        <v>42370</v>
      </c>
      <c r="J1170" s="28">
        <v>42370</v>
      </c>
      <c r="Q1170" t="s">
        <v>44683</v>
      </c>
      <c r="R1170" t="s">
        <v>46018</v>
      </c>
    </row>
    <row r="1171" spans="1:18" x14ac:dyDescent="0.35">
      <c r="A1171" t="s">
        <v>16177</v>
      </c>
      <c r="D1171" t="s">
        <v>7067</v>
      </c>
      <c r="E1171" t="s">
        <v>43</v>
      </c>
      <c r="I1171" s="26">
        <v>42370</v>
      </c>
      <c r="J1171" s="28">
        <v>42370</v>
      </c>
      <c r="Q1171" t="s">
        <v>44683</v>
      </c>
      <c r="R1171" t="s">
        <v>46019</v>
      </c>
    </row>
    <row r="1172" spans="1:18" x14ac:dyDescent="0.35">
      <c r="A1172" t="s">
        <v>16256</v>
      </c>
      <c r="D1172" t="s">
        <v>5300</v>
      </c>
      <c r="E1172" t="s">
        <v>43</v>
      </c>
      <c r="I1172" s="26">
        <v>42370</v>
      </c>
      <c r="J1172" s="28">
        <v>42370</v>
      </c>
      <c r="Q1172" t="s">
        <v>44683</v>
      </c>
      <c r="R1172" t="s">
        <v>46020</v>
      </c>
    </row>
    <row r="1173" spans="1:18" x14ac:dyDescent="0.35">
      <c r="A1173" t="s">
        <v>16580</v>
      </c>
      <c r="D1173" t="s">
        <v>7316</v>
      </c>
      <c r="E1173" t="s">
        <v>43</v>
      </c>
      <c r="I1173" s="26">
        <v>42370</v>
      </c>
      <c r="J1173" s="28">
        <v>42370</v>
      </c>
      <c r="Q1173" t="s">
        <v>44683</v>
      </c>
      <c r="R1173" t="s">
        <v>46021</v>
      </c>
    </row>
    <row r="1174" spans="1:18" x14ac:dyDescent="0.35">
      <c r="A1174" t="s">
        <v>16586</v>
      </c>
      <c r="D1174" t="s">
        <v>7317</v>
      </c>
      <c r="E1174" t="s">
        <v>43</v>
      </c>
      <c r="I1174" s="26">
        <v>42370</v>
      </c>
      <c r="J1174" s="28">
        <v>42370</v>
      </c>
      <c r="Q1174" t="s">
        <v>44683</v>
      </c>
      <c r="R1174" t="s">
        <v>46022</v>
      </c>
    </row>
    <row r="1175" spans="1:18" x14ac:dyDescent="0.35">
      <c r="A1175" t="s">
        <v>16534</v>
      </c>
      <c r="D1175" t="s">
        <v>7309</v>
      </c>
      <c r="E1175" t="s">
        <v>43</v>
      </c>
      <c r="I1175" s="26">
        <v>42370</v>
      </c>
      <c r="J1175" s="28">
        <v>42370</v>
      </c>
      <c r="Q1175" t="s">
        <v>44683</v>
      </c>
      <c r="R1175" t="s">
        <v>46023</v>
      </c>
    </row>
    <row r="1176" spans="1:18" x14ac:dyDescent="0.35">
      <c r="A1176" t="s">
        <v>16594</v>
      </c>
      <c r="D1176" t="s">
        <v>7318</v>
      </c>
      <c r="E1176" t="s">
        <v>43</v>
      </c>
      <c r="I1176" s="26">
        <v>42370</v>
      </c>
      <c r="J1176" s="28">
        <v>42370</v>
      </c>
      <c r="Q1176" t="s">
        <v>44683</v>
      </c>
      <c r="R1176" t="s">
        <v>46024</v>
      </c>
    </row>
    <row r="1177" spans="1:18" x14ac:dyDescent="0.35">
      <c r="A1177" t="s">
        <v>15588</v>
      </c>
      <c r="D1177" t="s">
        <v>5690</v>
      </c>
      <c r="E1177" t="s">
        <v>43</v>
      </c>
      <c r="I1177" s="26">
        <v>42370</v>
      </c>
      <c r="J1177" s="28">
        <v>42370</v>
      </c>
      <c r="Q1177" t="s">
        <v>44683</v>
      </c>
      <c r="R1177" t="s">
        <v>46025</v>
      </c>
    </row>
    <row r="1178" spans="1:18" x14ac:dyDescent="0.35">
      <c r="A1178" t="s">
        <v>16541</v>
      </c>
      <c r="D1178" t="s">
        <v>7310</v>
      </c>
      <c r="E1178" t="s">
        <v>43</v>
      </c>
      <c r="I1178" s="26">
        <v>42370</v>
      </c>
      <c r="J1178" s="28">
        <v>42370</v>
      </c>
      <c r="Q1178" t="s">
        <v>44683</v>
      </c>
      <c r="R1178" t="s">
        <v>46026</v>
      </c>
    </row>
    <row r="1179" spans="1:18" x14ac:dyDescent="0.35">
      <c r="A1179" t="s">
        <v>46027</v>
      </c>
      <c r="D1179" t="s">
        <v>7301</v>
      </c>
      <c r="E1179" t="s">
        <v>43</v>
      </c>
      <c r="I1179" s="26">
        <v>42370</v>
      </c>
      <c r="J1179" s="28">
        <v>42370</v>
      </c>
      <c r="Q1179" t="s">
        <v>44683</v>
      </c>
      <c r="R1179" t="s">
        <v>46028</v>
      </c>
    </row>
    <row r="1180" spans="1:18" x14ac:dyDescent="0.35">
      <c r="A1180" t="s">
        <v>16535</v>
      </c>
      <c r="D1180" t="s">
        <v>7309</v>
      </c>
      <c r="E1180" t="s">
        <v>43</v>
      </c>
      <c r="I1180" s="26">
        <v>42370</v>
      </c>
      <c r="J1180" s="28">
        <v>42370</v>
      </c>
      <c r="Q1180" t="s">
        <v>44683</v>
      </c>
      <c r="R1180" t="s">
        <v>46029</v>
      </c>
    </row>
    <row r="1181" spans="1:18" x14ac:dyDescent="0.35">
      <c r="A1181" t="s">
        <v>16587</v>
      </c>
      <c r="D1181" t="s">
        <v>7317</v>
      </c>
      <c r="E1181" t="s">
        <v>43</v>
      </c>
      <c r="I1181" s="26">
        <v>42370</v>
      </c>
      <c r="J1181" s="28">
        <v>42370</v>
      </c>
      <c r="Q1181" t="s">
        <v>44683</v>
      </c>
      <c r="R1181" t="s">
        <v>46030</v>
      </c>
    </row>
    <row r="1182" spans="1:18" x14ac:dyDescent="0.35">
      <c r="A1182" t="s">
        <v>16557</v>
      </c>
      <c r="D1182" t="s">
        <v>7313</v>
      </c>
      <c r="E1182" t="s">
        <v>43</v>
      </c>
      <c r="I1182" s="26">
        <v>42370</v>
      </c>
      <c r="J1182" s="28">
        <v>42370</v>
      </c>
      <c r="Q1182" t="s">
        <v>44683</v>
      </c>
      <c r="R1182" t="s">
        <v>46031</v>
      </c>
    </row>
    <row r="1183" spans="1:18" x14ac:dyDescent="0.35">
      <c r="A1183" t="s">
        <v>16592</v>
      </c>
      <c r="D1183" t="s">
        <v>7318</v>
      </c>
      <c r="E1183" t="s">
        <v>43</v>
      </c>
      <c r="I1183" s="26">
        <v>42370</v>
      </c>
      <c r="J1183" s="28">
        <v>42370</v>
      </c>
      <c r="Q1183" t="s">
        <v>44683</v>
      </c>
      <c r="R1183" t="s">
        <v>46032</v>
      </c>
    </row>
    <row r="1184" spans="1:18" x14ac:dyDescent="0.35">
      <c r="A1184" t="s">
        <v>16536</v>
      </c>
      <c r="D1184" t="s">
        <v>7309</v>
      </c>
      <c r="E1184" t="s">
        <v>43</v>
      </c>
      <c r="I1184" s="26">
        <v>42370</v>
      </c>
      <c r="J1184" s="28">
        <v>42370</v>
      </c>
      <c r="Q1184" t="s">
        <v>44683</v>
      </c>
      <c r="R1184" t="s">
        <v>46033</v>
      </c>
    </row>
    <row r="1185" spans="1:18" x14ac:dyDescent="0.35">
      <c r="A1185" t="s">
        <v>16184</v>
      </c>
      <c r="D1185" t="s">
        <v>7067</v>
      </c>
      <c r="E1185" t="s">
        <v>43</v>
      </c>
      <c r="I1185" s="26">
        <v>42370</v>
      </c>
      <c r="J1185" s="28">
        <v>42370</v>
      </c>
      <c r="Q1185" t="s">
        <v>44683</v>
      </c>
      <c r="R1185" t="s">
        <v>46034</v>
      </c>
    </row>
    <row r="1186" spans="1:18" x14ac:dyDescent="0.35">
      <c r="A1186" t="s">
        <v>15589</v>
      </c>
      <c r="D1186" t="s">
        <v>5690</v>
      </c>
      <c r="E1186" t="s">
        <v>43</v>
      </c>
      <c r="I1186" s="26">
        <v>42370</v>
      </c>
      <c r="J1186" s="28">
        <v>42370</v>
      </c>
      <c r="Q1186" t="s">
        <v>44683</v>
      </c>
      <c r="R1186" t="s">
        <v>46035</v>
      </c>
    </row>
    <row r="1187" spans="1:18" x14ac:dyDescent="0.35">
      <c r="A1187" t="s">
        <v>16461</v>
      </c>
      <c r="D1187" t="s">
        <v>7297</v>
      </c>
      <c r="E1187" t="s">
        <v>43</v>
      </c>
      <c r="I1187" s="26">
        <v>42370</v>
      </c>
      <c r="J1187" s="28">
        <v>42370</v>
      </c>
      <c r="Q1187" t="s">
        <v>44683</v>
      </c>
      <c r="R1187" t="s">
        <v>46036</v>
      </c>
    </row>
    <row r="1188" spans="1:18" x14ac:dyDescent="0.35">
      <c r="A1188" t="s">
        <v>14992</v>
      </c>
      <c r="D1188" t="s">
        <v>2991</v>
      </c>
      <c r="E1188" t="s">
        <v>43</v>
      </c>
      <c r="I1188" s="26">
        <v>42370</v>
      </c>
      <c r="J1188" s="28">
        <v>42370</v>
      </c>
      <c r="Q1188" t="s">
        <v>44683</v>
      </c>
      <c r="R1188" t="s">
        <v>46037</v>
      </c>
    </row>
    <row r="1189" spans="1:18" x14ac:dyDescent="0.35">
      <c r="A1189" t="s">
        <v>15631</v>
      </c>
      <c r="D1189" t="s">
        <v>5876</v>
      </c>
      <c r="E1189" t="s">
        <v>43</v>
      </c>
      <c r="I1189" s="26">
        <v>42370</v>
      </c>
      <c r="J1189" s="28">
        <v>42370</v>
      </c>
      <c r="Q1189" t="s">
        <v>44683</v>
      </c>
      <c r="R1189" t="s">
        <v>46038</v>
      </c>
    </row>
    <row r="1190" spans="1:18" x14ac:dyDescent="0.35">
      <c r="A1190" t="s">
        <v>16188</v>
      </c>
      <c r="D1190" t="s">
        <v>7067</v>
      </c>
      <c r="E1190" t="s">
        <v>43</v>
      </c>
      <c r="I1190" s="26">
        <v>42370</v>
      </c>
      <c r="J1190" s="28">
        <v>42370</v>
      </c>
      <c r="Q1190" t="s">
        <v>44683</v>
      </c>
      <c r="R1190" t="s">
        <v>46039</v>
      </c>
    </row>
    <row r="1191" spans="1:18" x14ac:dyDescent="0.35">
      <c r="A1191" t="s">
        <v>16588</v>
      </c>
      <c r="D1191" t="s">
        <v>7317</v>
      </c>
      <c r="E1191" t="s">
        <v>43</v>
      </c>
      <c r="I1191" s="26">
        <v>42370</v>
      </c>
      <c r="J1191" s="28">
        <v>42370</v>
      </c>
      <c r="Q1191" t="s">
        <v>44683</v>
      </c>
      <c r="R1191" t="s">
        <v>46040</v>
      </c>
    </row>
    <row r="1192" spans="1:18" x14ac:dyDescent="0.35">
      <c r="A1192" t="s">
        <v>15592</v>
      </c>
      <c r="D1192" t="s">
        <v>5690</v>
      </c>
      <c r="E1192" t="s">
        <v>43</v>
      </c>
      <c r="I1192" s="26">
        <v>42370</v>
      </c>
      <c r="J1192" s="28">
        <v>42370</v>
      </c>
      <c r="Q1192" t="s">
        <v>44683</v>
      </c>
      <c r="R1192" t="s">
        <v>46041</v>
      </c>
    </row>
    <row r="1193" spans="1:18" x14ac:dyDescent="0.35">
      <c r="A1193" t="s">
        <v>16191</v>
      </c>
      <c r="D1193" t="s">
        <v>7067</v>
      </c>
      <c r="E1193" t="s">
        <v>43</v>
      </c>
      <c r="I1193" s="26">
        <v>42370</v>
      </c>
      <c r="J1193" s="28">
        <v>42370</v>
      </c>
      <c r="Q1193" t="s">
        <v>44683</v>
      </c>
      <c r="R1193" t="s">
        <v>46042</v>
      </c>
    </row>
    <row r="1194" spans="1:18" x14ac:dyDescent="0.35">
      <c r="A1194" t="s">
        <v>14012</v>
      </c>
      <c r="D1194" t="s">
        <v>52</v>
      </c>
      <c r="E1194" t="s">
        <v>43</v>
      </c>
      <c r="I1194" s="26">
        <v>42370</v>
      </c>
      <c r="J1194" s="28">
        <v>42370</v>
      </c>
      <c r="Q1194" t="s">
        <v>44683</v>
      </c>
      <c r="R1194" t="s">
        <v>46043</v>
      </c>
    </row>
    <row r="1195" spans="1:18" x14ac:dyDescent="0.35">
      <c r="A1195" t="s">
        <v>16593</v>
      </c>
      <c r="D1195" t="s">
        <v>7318</v>
      </c>
      <c r="E1195" t="s">
        <v>43</v>
      </c>
      <c r="I1195" s="26">
        <v>42370</v>
      </c>
      <c r="J1195" s="28">
        <v>42370</v>
      </c>
      <c r="Q1195" t="s">
        <v>44683</v>
      </c>
      <c r="R1195" t="s">
        <v>46044</v>
      </c>
    </row>
    <row r="1196" spans="1:18" x14ac:dyDescent="0.35">
      <c r="A1196" t="s">
        <v>16617</v>
      </c>
      <c r="D1196" t="s">
        <v>7323</v>
      </c>
      <c r="E1196" t="s">
        <v>43</v>
      </c>
      <c r="I1196" s="26">
        <v>42370</v>
      </c>
      <c r="J1196" s="28">
        <v>42370</v>
      </c>
      <c r="Q1196" t="s">
        <v>44683</v>
      </c>
      <c r="R1196" t="s">
        <v>46045</v>
      </c>
    </row>
    <row r="1197" spans="1:18" x14ac:dyDescent="0.35">
      <c r="A1197" t="s">
        <v>16257</v>
      </c>
      <c r="D1197" t="s">
        <v>5300</v>
      </c>
      <c r="E1197" t="s">
        <v>43</v>
      </c>
      <c r="I1197" s="26">
        <v>42370</v>
      </c>
      <c r="J1197" s="28">
        <v>42370</v>
      </c>
      <c r="Q1197" t="s">
        <v>44683</v>
      </c>
      <c r="R1197" t="s">
        <v>46046</v>
      </c>
    </row>
    <row r="1198" spans="1:18" x14ac:dyDescent="0.35">
      <c r="A1198" t="s">
        <v>16258</v>
      </c>
      <c r="D1198" t="s">
        <v>5300</v>
      </c>
      <c r="E1198" t="s">
        <v>43</v>
      </c>
      <c r="I1198" s="26">
        <v>42370</v>
      </c>
      <c r="J1198" s="28">
        <v>42370</v>
      </c>
      <c r="Q1198" t="s">
        <v>44683</v>
      </c>
      <c r="R1198" t="s">
        <v>46047</v>
      </c>
    </row>
    <row r="1199" spans="1:18" x14ac:dyDescent="0.35">
      <c r="A1199" t="s">
        <v>16482</v>
      </c>
      <c r="D1199" t="s">
        <v>7301</v>
      </c>
      <c r="E1199" t="s">
        <v>43</v>
      </c>
      <c r="I1199" s="26">
        <v>42370</v>
      </c>
      <c r="J1199" s="28">
        <v>42370</v>
      </c>
      <c r="Q1199" t="s">
        <v>44683</v>
      </c>
      <c r="R1199" t="s">
        <v>46048</v>
      </c>
    </row>
    <row r="1200" spans="1:18" x14ac:dyDescent="0.35">
      <c r="A1200" t="s">
        <v>16259</v>
      </c>
      <c r="D1200" t="s">
        <v>5300</v>
      </c>
      <c r="E1200" t="s">
        <v>43</v>
      </c>
      <c r="I1200" s="26">
        <v>42370</v>
      </c>
      <c r="J1200" s="28">
        <v>42370</v>
      </c>
      <c r="Q1200" t="s">
        <v>44683</v>
      </c>
      <c r="R1200" t="s">
        <v>46049</v>
      </c>
    </row>
    <row r="1201" spans="1:18" x14ac:dyDescent="0.35">
      <c r="A1201" t="s">
        <v>14013</v>
      </c>
      <c r="D1201" t="s">
        <v>52</v>
      </c>
      <c r="E1201" t="s">
        <v>43</v>
      </c>
      <c r="I1201" s="26">
        <v>42370</v>
      </c>
      <c r="J1201" s="28">
        <v>42370</v>
      </c>
      <c r="Q1201" t="s">
        <v>44683</v>
      </c>
      <c r="R1201" t="s">
        <v>46050</v>
      </c>
    </row>
    <row r="1202" spans="1:18" x14ac:dyDescent="0.35">
      <c r="A1202" t="s">
        <v>16497</v>
      </c>
      <c r="D1202" t="s">
        <v>7304</v>
      </c>
      <c r="E1202" t="s">
        <v>43</v>
      </c>
      <c r="I1202" s="26">
        <v>42005</v>
      </c>
      <c r="J1202" s="28">
        <v>42005</v>
      </c>
      <c r="Q1202" t="s">
        <v>44683</v>
      </c>
      <c r="R1202" t="s">
        <v>46051</v>
      </c>
    </row>
    <row r="1203" spans="1:18" x14ac:dyDescent="0.35">
      <c r="A1203" t="s">
        <v>16306</v>
      </c>
      <c r="D1203" t="s">
        <v>6771</v>
      </c>
      <c r="E1203" t="s">
        <v>43</v>
      </c>
      <c r="I1203" s="26">
        <v>42370</v>
      </c>
      <c r="J1203" s="28">
        <v>42370</v>
      </c>
      <c r="Q1203" t="s">
        <v>44683</v>
      </c>
      <c r="R1203" t="s">
        <v>46052</v>
      </c>
    </row>
    <row r="1204" spans="1:18" x14ac:dyDescent="0.35">
      <c r="A1204" t="s">
        <v>46053</v>
      </c>
      <c r="D1204" t="s">
        <v>7299</v>
      </c>
      <c r="E1204" t="s">
        <v>43</v>
      </c>
      <c r="I1204" s="26">
        <v>42005</v>
      </c>
      <c r="J1204" s="28">
        <v>42005</v>
      </c>
      <c r="Q1204" t="s">
        <v>44683</v>
      </c>
      <c r="R1204" t="s">
        <v>46054</v>
      </c>
    </row>
    <row r="1205" spans="1:18" x14ac:dyDescent="0.35">
      <c r="A1205" t="s">
        <v>16211</v>
      </c>
      <c r="D1205" t="s">
        <v>1782</v>
      </c>
      <c r="E1205" t="s">
        <v>43</v>
      </c>
      <c r="I1205" s="26">
        <v>42370</v>
      </c>
      <c r="J1205" s="28">
        <v>42370</v>
      </c>
      <c r="Q1205" t="s">
        <v>44683</v>
      </c>
      <c r="R1205" t="s">
        <v>46055</v>
      </c>
    </row>
    <row r="1206" spans="1:18" x14ac:dyDescent="0.35">
      <c r="A1206" t="s">
        <v>16511</v>
      </c>
      <c r="D1206" t="s">
        <v>7306</v>
      </c>
      <c r="E1206" t="s">
        <v>43</v>
      </c>
      <c r="I1206" s="26">
        <v>42005</v>
      </c>
      <c r="J1206" s="28">
        <v>42005</v>
      </c>
      <c r="Q1206" t="s">
        <v>44683</v>
      </c>
      <c r="R1206" t="s">
        <v>46056</v>
      </c>
    </row>
    <row r="1207" spans="1:18" x14ac:dyDescent="0.35">
      <c r="A1207" t="s">
        <v>16512</v>
      </c>
      <c r="D1207" t="s">
        <v>7306</v>
      </c>
      <c r="E1207" t="s">
        <v>43</v>
      </c>
      <c r="I1207" s="26">
        <v>42005</v>
      </c>
      <c r="J1207" s="28">
        <v>42005</v>
      </c>
      <c r="Q1207" t="s">
        <v>44683</v>
      </c>
      <c r="R1207" t="s">
        <v>46057</v>
      </c>
    </row>
    <row r="1208" spans="1:18" x14ac:dyDescent="0.35">
      <c r="A1208" t="s">
        <v>15037</v>
      </c>
      <c r="D1208" t="s">
        <v>3013</v>
      </c>
      <c r="E1208" t="s">
        <v>43</v>
      </c>
      <c r="I1208" s="26">
        <v>42370</v>
      </c>
      <c r="J1208" s="28">
        <v>42370</v>
      </c>
      <c r="Q1208" t="s">
        <v>44683</v>
      </c>
      <c r="R1208" t="s">
        <v>46058</v>
      </c>
    </row>
    <row r="1209" spans="1:18" x14ac:dyDescent="0.35">
      <c r="A1209" t="s">
        <v>14451</v>
      </c>
      <c r="D1209" t="s">
        <v>14452</v>
      </c>
      <c r="E1209" t="s">
        <v>43</v>
      </c>
      <c r="I1209" s="26">
        <v>42370</v>
      </c>
      <c r="J1209" s="28">
        <v>42370</v>
      </c>
      <c r="Q1209" t="s">
        <v>44683</v>
      </c>
      <c r="R1209" t="s">
        <v>46059</v>
      </c>
    </row>
    <row r="1210" spans="1:18" x14ac:dyDescent="0.35">
      <c r="A1210" t="s">
        <v>16503</v>
      </c>
      <c r="D1210" t="s">
        <v>7305</v>
      </c>
      <c r="E1210" t="s">
        <v>43</v>
      </c>
      <c r="I1210" s="26">
        <v>42005</v>
      </c>
      <c r="J1210" s="28">
        <v>42005</v>
      </c>
      <c r="Q1210" t="s">
        <v>44683</v>
      </c>
      <c r="R1210" t="s">
        <v>46060</v>
      </c>
    </row>
    <row r="1211" spans="1:18" x14ac:dyDescent="0.35">
      <c r="A1211" t="s">
        <v>14461</v>
      </c>
      <c r="D1211" t="s">
        <v>14452</v>
      </c>
      <c r="E1211" t="s">
        <v>43</v>
      </c>
      <c r="I1211" s="26">
        <v>42370</v>
      </c>
      <c r="J1211" s="28">
        <v>42370</v>
      </c>
      <c r="Q1211" t="s">
        <v>44683</v>
      </c>
      <c r="R1211" t="s">
        <v>46061</v>
      </c>
    </row>
    <row r="1212" spans="1:18" x14ac:dyDescent="0.35">
      <c r="A1212" t="s">
        <v>15663</v>
      </c>
      <c r="D1212" t="s">
        <v>5877</v>
      </c>
      <c r="E1212" t="s">
        <v>43</v>
      </c>
      <c r="I1212" s="26">
        <v>42370</v>
      </c>
      <c r="J1212" s="28">
        <v>42370</v>
      </c>
      <c r="Q1212" t="s">
        <v>44683</v>
      </c>
      <c r="R1212" t="s">
        <v>46062</v>
      </c>
    </row>
    <row r="1213" spans="1:18" x14ac:dyDescent="0.35">
      <c r="A1213" t="s">
        <v>16498</v>
      </c>
      <c r="D1213" t="s">
        <v>7304</v>
      </c>
      <c r="E1213" t="s">
        <v>43</v>
      </c>
      <c r="I1213" s="26">
        <v>42005</v>
      </c>
      <c r="J1213" s="28">
        <v>42005</v>
      </c>
      <c r="Q1213" t="s">
        <v>44683</v>
      </c>
      <c r="R1213" t="s">
        <v>46063</v>
      </c>
    </row>
    <row r="1214" spans="1:18" x14ac:dyDescent="0.35">
      <c r="A1214" t="s">
        <v>16469</v>
      </c>
      <c r="D1214" t="s">
        <v>7299</v>
      </c>
      <c r="E1214" t="s">
        <v>43</v>
      </c>
      <c r="I1214" s="26">
        <v>42005</v>
      </c>
      <c r="J1214" s="28">
        <v>42005</v>
      </c>
      <c r="Q1214" t="s">
        <v>44683</v>
      </c>
      <c r="R1214" t="s">
        <v>46064</v>
      </c>
    </row>
    <row r="1215" spans="1:18" x14ac:dyDescent="0.35">
      <c r="A1215" t="s">
        <v>15580</v>
      </c>
      <c r="D1215" t="s">
        <v>5690</v>
      </c>
      <c r="E1215" t="s">
        <v>43</v>
      </c>
      <c r="I1215" s="26">
        <v>42370</v>
      </c>
      <c r="J1215" s="28">
        <v>42370</v>
      </c>
      <c r="Q1215" t="s">
        <v>44683</v>
      </c>
      <c r="R1215" t="s">
        <v>46065</v>
      </c>
    </row>
    <row r="1216" spans="1:18" x14ac:dyDescent="0.35">
      <c r="A1216" t="s">
        <v>14462</v>
      </c>
      <c r="D1216" t="s">
        <v>14452</v>
      </c>
      <c r="E1216" t="s">
        <v>43</v>
      </c>
      <c r="I1216" s="26">
        <v>42370</v>
      </c>
      <c r="J1216" s="28">
        <v>42370</v>
      </c>
      <c r="Q1216" t="s">
        <v>44683</v>
      </c>
      <c r="R1216" t="s">
        <v>46066</v>
      </c>
    </row>
    <row r="1217" spans="1:18" x14ac:dyDescent="0.35">
      <c r="A1217" t="s">
        <v>16307</v>
      </c>
      <c r="D1217" t="s">
        <v>6771</v>
      </c>
      <c r="E1217" t="s">
        <v>43</v>
      </c>
      <c r="I1217" s="26">
        <v>42370</v>
      </c>
      <c r="J1217" s="28">
        <v>42370</v>
      </c>
      <c r="Q1217" t="s">
        <v>44683</v>
      </c>
      <c r="R1217" t="s">
        <v>46067</v>
      </c>
    </row>
    <row r="1218" spans="1:18" x14ac:dyDescent="0.35">
      <c r="A1218" t="s">
        <v>16490</v>
      </c>
      <c r="D1218" t="s">
        <v>7303</v>
      </c>
      <c r="E1218" t="s">
        <v>43</v>
      </c>
      <c r="I1218" s="26">
        <v>42005</v>
      </c>
      <c r="J1218" s="28">
        <v>42005</v>
      </c>
      <c r="Q1218" t="s">
        <v>44683</v>
      </c>
      <c r="R1218" t="s">
        <v>46068</v>
      </c>
    </row>
    <row r="1219" spans="1:18" x14ac:dyDescent="0.35">
      <c r="A1219" t="s">
        <v>15664</v>
      </c>
      <c r="D1219" t="s">
        <v>5877</v>
      </c>
      <c r="E1219" t="s">
        <v>43</v>
      </c>
      <c r="I1219" s="26">
        <v>42370</v>
      </c>
      <c r="J1219" s="28">
        <v>42370</v>
      </c>
      <c r="Q1219" t="s">
        <v>44683</v>
      </c>
      <c r="R1219" t="s">
        <v>46069</v>
      </c>
    </row>
    <row r="1220" spans="1:18" x14ac:dyDescent="0.35">
      <c r="A1220" t="s">
        <v>16504</v>
      </c>
      <c r="D1220" t="s">
        <v>7305</v>
      </c>
      <c r="E1220" t="s">
        <v>43</v>
      </c>
      <c r="I1220" s="26">
        <v>42005</v>
      </c>
      <c r="J1220" s="28">
        <v>42005</v>
      </c>
      <c r="Q1220" t="s">
        <v>44683</v>
      </c>
      <c r="R1220" t="s">
        <v>46070</v>
      </c>
    </row>
    <row r="1221" spans="1:18" x14ac:dyDescent="0.35">
      <c r="A1221" t="s">
        <v>16513</v>
      </c>
      <c r="D1221" t="s">
        <v>7306</v>
      </c>
      <c r="E1221" t="s">
        <v>43</v>
      </c>
      <c r="I1221" s="26">
        <v>42005</v>
      </c>
      <c r="J1221" s="28">
        <v>42005</v>
      </c>
      <c r="Q1221" t="s">
        <v>44683</v>
      </c>
      <c r="R1221" t="s">
        <v>46071</v>
      </c>
    </row>
    <row r="1222" spans="1:18" x14ac:dyDescent="0.35">
      <c r="A1222" t="s">
        <v>16505</v>
      </c>
      <c r="D1222" t="s">
        <v>7305</v>
      </c>
      <c r="E1222" t="s">
        <v>43</v>
      </c>
      <c r="I1222" s="26">
        <v>42005</v>
      </c>
      <c r="J1222" s="28">
        <v>42005</v>
      </c>
      <c r="Q1222" t="s">
        <v>44683</v>
      </c>
      <c r="R1222" t="s">
        <v>46072</v>
      </c>
    </row>
    <row r="1223" spans="1:18" x14ac:dyDescent="0.35">
      <c r="A1223" t="s">
        <v>16600</v>
      </c>
      <c r="D1223" t="s">
        <v>7320</v>
      </c>
      <c r="E1223" t="s">
        <v>43</v>
      </c>
      <c r="I1223" s="26">
        <v>42005</v>
      </c>
      <c r="J1223" s="28">
        <v>42005</v>
      </c>
      <c r="Q1223" t="s">
        <v>44683</v>
      </c>
      <c r="R1223" t="s">
        <v>46073</v>
      </c>
    </row>
    <row r="1224" spans="1:18" x14ac:dyDescent="0.35">
      <c r="A1224" t="s">
        <v>16506</v>
      </c>
      <c r="D1224" t="s">
        <v>7305</v>
      </c>
      <c r="E1224" t="s">
        <v>43</v>
      </c>
      <c r="I1224" s="26">
        <v>42005</v>
      </c>
      <c r="J1224" s="28">
        <v>42005</v>
      </c>
      <c r="Q1224" t="s">
        <v>44683</v>
      </c>
      <c r="R1224" t="s">
        <v>46074</v>
      </c>
    </row>
    <row r="1225" spans="1:18" x14ac:dyDescent="0.35">
      <c r="A1225" t="s">
        <v>16212</v>
      </c>
      <c r="D1225" t="s">
        <v>1782</v>
      </c>
      <c r="E1225" t="s">
        <v>43</v>
      </c>
      <c r="I1225" s="26">
        <v>42370</v>
      </c>
      <c r="J1225" s="28">
        <v>42370</v>
      </c>
      <c r="Q1225" t="s">
        <v>44683</v>
      </c>
      <c r="R1225" t="s">
        <v>46075</v>
      </c>
    </row>
    <row r="1226" spans="1:18" x14ac:dyDescent="0.35">
      <c r="A1226" t="s">
        <v>16202</v>
      </c>
      <c r="D1226" t="s">
        <v>62</v>
      </c>
      <c r="E1226" t="s">
        <v>43</v>
      </c>
      <c r="I1226" s="26">
        <v>42370</v>
      </c>
      <c r="J1226" s="28">
        <v>42370</v>
      </c>
      <c r="Q1226" t="s">
        <v>44683</v>
      </c>
      <c r="R1226" t="s">
        <v>46076</v>
      </c>
    </row>
    <row r="1227" spans="1:18" x14ac:dyDescent="0.35">
      <c r="A1227" t="s">
        <v>16213</v>
      </c>
      <c r="D1227" t="s">
        <v>1782</v>
      </c>
      <c r="E1227" t="s">
        <v>43</v>
      </c>
      <c r="I1227" s="26">
        <v>42370</v>
      </c>
      <c r="J1227" s="28">
        <v>42370</v>
      </c>
      <c r="Q1227" t="s">
        <v>44683</v>
      </c>
      <c r="R1227" t="s">
        <v>46077</v>
      </c>
    </row>
    <row r="1228" spans="1:18" x14ac:dyDescent="0.35">
      <c r="A1228" t="s">
        <v>16214</v>
      </c>
      <c r="D1228" t="s">
        <v>1782</v>
      </c>
      <c r="E1228" t="s">
        <v>43</v>
      </c>
      <c r="I1228" s="26">
        <v>42370</v>
      </c>
      <c r="J1228" s="28">
        <v>42370</v>
      </c>
      <c r="Q1228" t="s">
        <v>44683</v>
      </c>
      <c r="R1228" t="s">
        <v>46078</v>
      </c>
    </row>
    <row r="1229" spans="1:18" x14ac:dyDescent="0.35">
      <c r="A1229" t="s">
        <v>14453</v>
      </c>
      <c r="D1229" t="s">
        <v>14452</v>
      </c>
      <c r="E1229" t="s">
        <v>43</v>
      </c>
      <c r="I1229" s="26">
        <v>42370</v>
      </c>
      <c r="J1229" s="28">
        <v>42370</v>
      </c>
      <c r="Q1229" t="s">
        <v>44683</v>
      </c>
      <c r="R1229" t="s">
        <v>46079</v>
      </c>
    </row>
    <row r="1230" spans="1:18" x14ac:dyDescent="0.35">
      <c r="A1230" t="s">
        <v>15583</v>
      </c>
      <c r="D1230" t="s">
        <v>5690</v>
      </c>
      <c r="E1230" t="s">
        <v>43</v>
      </c>
      <c r="I1230" s="26">
        <v>42370</v>
      </c>
      <c r="J1230" s="28">
        <v>42370</v>
      </c>
      <c r="Q1230" t="s">
        <v>44683</v>
      </c>
      <c r="R1230" t="s">
        <v>46080</v>
      </c>
    </row>
    <row r="1231" spans="1:18" x14ac:dyDescent="0.35">
      <c r="A1231" t="s">
        <v>16470</v>
      </c>
      <c r="D1231" t="s">
        <v>7299</v>
      </c>
      <c r="E1231" t="s">
        <v>43</v>
      </c>
      <c r="I1231" s="26">
        <v>42005</v>
      </c>
      <c r="J1231" s="28">
        <v>42005</v>
      </c>
      <c r="Q1231" t="s">
        <v>44683</v>
      </c>
      <c r="R1231" t="s">
        <v>46081</v>
      </c>
    </row>
    <row r="1232" spans="1:18" x14ac:dyDescent="0.35">
      <c r="A1232" t="s">
        <v>15960</v>
      </c>
      <c r="D1232" t="s">
        <v>6297</v>
      </c>
      <c r="E1232" t="s">
        <v>43</v>
      </c>
      <c r="I1232" s="26">
        <v>42192</v>
      </c>
      <c r="J1232" s="28">
        <v>42192</v>
      </c>
      <c r="Q1232" t="s">
        <v>44683</v>
      </c>
      <c r="R1232" t="s">
        <v>46082</v>
      </c>
    </row>
    <row r="1233" spans="1:18" x14ac:dyDescent="0.35">
      <c r="A1233" t="s">
        <v>16491</v>
      </c>
      <c r="D1233" t="s">
        <v>7303</v>
      </c>
      <c r="E1233" t="s">
        <v>43</v>
      </c>
      <c r="I1233" s="26">
        <v>42005</v>
      </c>
      <c r="J1233" s="28">
        <v>42005</v>
      </c>
      <c r="Q1233" t="s">
        <v>44683</v>
      </c>
      <c r="R1233" t="s">
        <v>46083</v>
      </c>
    </row>
    <row r="1234" spans="1:18" x14ac:dyDescent="0.35">
      <c r="A1234" t="s">
        <v>16601</v>
      </c>
      <c r="D1234" t="s">
        <v>7320</v>
      </c>
      <c r="E1234" t="s">
        <v>43</v>
      </c>
      <c r="I1234" s="26">
        <v>42005</v>
      </c>
      <c r="J1234" s="28">
        <v>42005</v>
      </c>
      <c r="Q1234" t="s">
        <v>44683</v>
      </c>
      <c r="R1234" t="s">
        <v>46084</v>
      </c>
    </row>
    <row r="1235" spans="1:18" x14ac:dyDescent="0.35">
      <c r="A1235" t="s">
        <v>15961</v>
      </c>
      <c r="D1235" t="s">
        <v>6297</v>
      </c>
      <c r="E1235" t="s">
        <v>43</v>
      </c>
      <c r="I1235" s="26">
        <v>42192</v>
      </c>
      <c r="J1235" s="28">
        <v>42192</v>
      </c>
      <c r="Q1235" t="s">
        <v>44683</v>
      </c>
      <c r="R1235" t="s">
        <v>46085</v>
      </c>
    </row>
    <row r="1236" spans="1:18" x14ac:dyDescent="0.35">
      <c r="A1236" t="s">
        <v>14454</v>
      </c>
      <c r="D1236" t="s">
        <v>14452</v>
      </c>
      <c r="E1236" t="s">
        <v>43</v>
      </c>
      <c r="I1236" s="26">
        <v>42370</v>
      </c>
      <c r="J1236" s="28">
        <v>42370</v>
      </c>
      <c r="Q1236" t="s">
        <v>44683</v>
      </c>
      <c r="R1236" t="s">
        <v>46086</v>
      </c>
    </row>
    <row r="1237" spans="1:18" x14ac:dyDescent="0.35">
      <c r="A1237" t="s">
        <v>16471</v>
      </c>
      <c r="D1237" t="s">
        <v>7299</v>
      </c>
      <c r="E1237" t="s">
        <v>43</v>
      </c>
      <c r="I1237" s="26">
        <v>42005</v>
      </c>
      <c r="J1237" s="28">
        <v>42005</v>
      </c>
      <c r="Q1237" t="s">
        <v>44683</v>
      </c>
      <c r="R1237" t="s">
        <v>46087</v>
      </c>
    </row>
    <row r="1238" spans="1:18" x14ac:dyDescent="0.35">
      <c r="A1238" t="s">
        <v>16215</v>
      </c>
      <c r="D1238" t="s">
        <v>1782</v>
      </c>
      <c r="E1238" t="s">
        <v>43</v>
      </c>
      <c r="I1238" s="26">
        <v>42370</v>
      </c>
      <c r="J1238" s="28">
        <v>42370</v>
      </c>
      <c r="Q1238" t="s">
        <v>44683</v>
      </c>
      <c r="R1238" t="s">
        <v>46088</v>
      </c>
    </row>
    <row r="1239" spans="1:18" x14ac:dyDescent="0.35">
      <c r="A1239" t="s">
        <v>15665</v>
      </c>
      <c r="D1239" t="s">
        <v>5877</v>
      </c>
      <c r="E1239" t="s">
        <v>43</v>
      </c>
      <c r="I1239" s="26">
        <v>42370</v>
      </c>
      <c r="J1239" s="28">
        <v>42370</v>
      </c>
      <c r="Q1239" t="s">
        <v>44683</v>
      </c>
      <c r="R1239" t="s">
        <v>46089</v>
      </c>
    </row>
    <row r="1240" spans="1:18" x14ac:dyDescent="0.35">
      <c r="A1240" t="s">
        <v>16516</v>
      </c>
      <c r="D1240" t="s">
        <v>7307</v>
      </c>
      <c r="E1240" t="s">
        <v>43</v>
      </c>
      <c r="I1240" s="26">
        <v>42005</v>
      </c>
      <c r="J1240" s="28">
        <v>42005</v>
      </c>
      <c r="Q1240" t="s">
        <v>44683</v>
      </c>
      <c r="R1240" t="s">
        <v>46090</v>
      </c>
    </row>
    <row r="1241" spans="1:18" x14ac:dyDescent="0.35">
      <c r="A1241" t="s">
        <v>16514</v>
      </c>
      <c r="D1241" t="s">
        <v>7306</v>
      </c>
      <c r="E1241" t="s">
        <v>43</v>
      </c>
      <c r="I1241" s="26">
        <v>42005</v>
      </c>
      <c r="J1241" s="28">
        <v>42005</v>
      </c>
      <c r="Q1241" t="s">
        <v>44683</v>
      </c>
      <c r="R1241" t="s">
        <v>46091</v>
      </c>
    </row>
    <row r="1242" spans="1:18" x14ac:dyDescent="0.35">
      <c r="A1242" t="s">
        <v>16499</v>
      </c>
      <c r="D1242" t="s">
        <v>7304</v>
      </c>
      <c r="E1242" t="s">
        <v>43</v>
      </c>
      <c r="I1242" s="26">
        <v>42005</v>
      </c>
      <c r="J1242" s="28">
        <v>42005</v>
      </c>
      <c r="Q1242" t="s">
        <v>44683</v>
      </c>
      <c r="R1242" t="s">
        <v>46092</v>
      </c>
    </row>
    <row r="1243" spans="1:18" x14ac:dyDescent="0.35">
      <c r="A1243" t="s">
        <v>16517</v>
      </c>
      <c r="D1243" t="s">
        <v>7307</v>
      </c>
      <c r="E1243" t="s">
        <v>43</v>
      </c>
      <c r="I1243" s="26">
        <v>42005</v>
      </c>
      <c r="J1243" s="28">
        <v>42005</v>
      </c>
      <c r="Q1243" t="s">
        <v>44683</v>
      </c>
      <c r="R1243" t="s">
        <v>46093</v>
      </c>
    </row>
    <row r="1244" spans="1:18" x14ac:dyDescent="0.35">
      <c r="A1244" t="s">
        <v>16216</v>
      </c>
      <c r="D1244" t="s">
        <v>1782</v>
      </c>
      <c r="E1244" t="s">
        <v>43</v>
      </c>
      <c r="I1244" s="26">
        <v>42370</v>
      </c>
      <c r="J1244" s="28">
        <v>42370</v>
      </c>
      <c r="Q1244" t="s">
        <v>44683</v>
      </c>
      <c r="R1244" t="s">
        <v>46094</v>
      </c>
    </row>
    <row r="1245" spans="1:18" x14ac:dyDescent="0.35">
      <c r="A1245" t="s">
        <v>14455</v>
      </c>
      <c r="D1245" t="s">
        <v>14452</v>
      </c>
      <c r="E1245" t="s">
        <v>43</v>
      </c>
      <c r="I1245" s="26">
        <v>42370</v>
      </c>
      <c r="J1245" s="28">
        <v>42370</v>
      </c>
      <c r="Q1245" t="s">
        <v>44683</v>
      </c>
      <c r="R1245" t="s">
        <v>46095</v>
      </c>
    </row>
    <row r="1246" spans="1:18" x14ac:dyDescent="0.35">
      <c r="A1246" t="s">
        <v>15584</v>
      </c>
      <c r="D1246" t="s">
        <v>5690</v>
      </c>
      <c r="E1246" t="s">
        <v>43</v>
      </c>
      <c r="I1246" s="26">
        <v>42370</v>
      </c>
      <c r="J1246" s="28">
        <v>42370</v>
      </c>
      <c r="Q1246" t="s">
        <v>44683</v>
      </c>
      <c r="R1246" t="s">
        <v>46096</v>
      </c>
    </row>
    <row r="1247" spans="1:18" x14ac:dyDescent="0.35">
      <c r="A1247" t="s">
        <v>16217</v>
      </c>
      <c r="D1247" t="s">
        <v>1782</v>
      </c>
      <c r="E1247" t="s">
        <v>43</v>
      </c>
      <c r="I1247" s="26">
        <v>42370</v>
      </c>
      <c r="J1247" s="28">
        <v>42370</v>
      </c>
      <c r="Q1247" t="s">
        <v>44683</v>
      </c>
      <c r="R1247" t="s">
        <v>46097</v>
      </c>
    </row>
    <row r="1248" spans="1:18" x14ac:dyDescent="0.35">
      <c r="A1248" t="s">
        <v>15585</v>
      </c>
      <c r="D1248" t="s">
        <v>5690</v>
      </c>
      <c r="E1248" t="s">
        <v>43</v>
      </c>
      <c r="I1248" s="26">
        <v>42370</v>
      </c>
      <c r="J1248" s="28">
        <v>42370</v>
      </c>
      <c r="Q1248" t="s">
        <v>44683</v>
      </c>
      <c r="R1248" t="s">
        <v>46098</v>
      </c>
    </row>
    <row r="1249" spans="1:18" x14ac:dyDescent="0.35">
      <c r="A1249" t="s">
        <v>16507</v>
      </c>
      <c r="D1249" t="s">
        <v>7305</v>
      </c>
      <c r="E1249" t="s">
        <v>43</v>
      </c>
      <c r="I1249" s="26">
        <v>42005</v>
      </c>
      <c r="J1249" s="28">
        <v>42005</v>
      </c>
      <c r="Q1249" t="s">
        <v>44683</v>
      </c>
      <c r="R1249" t="s">
        <v>46099</v>
      </c>
    </row>
    <row r="1250" spans="1:18" x14ac:dyDescent="0.35">
      <c r="A1250" t="s">
        <v>14456</v>
      </c>
      <c r="D1250" t="s">
        <v>14452</v>
      </c>
      <c r="E1250" t="s">
        <v>43</v>
      </c>
      <c r="I1250" s="26">
        <v>42370</v>
      </c>
      <c r="J1250" s="28">
        <v>42370</v>
      </c>
      <c r="Q1250" t="s">
        <v>44683</v>
      </c>
      <c r="R1250" t="s">
        <v>46100</v>
      </c>
    </row>
    <row r="1251" spans="1:18" x14ac:dyDescent="0.35">
      <c r="A1251" t="s">
        <v>16518</v>
      </c>
      <c r="D1251" t="s">
        <v>7307</v>
      </c>
      <c r="E1251" t="s">
        <v>43</v>
      </c>
      <c r="I1251" s="26">
        <v>42005</v>
      </c>
      <c r="J1251" s="28">
        <v>42005</v>
      </c>
      <c r="Q1251" t="s">
        <v>44683</v>
      </c>
      <c r="R1251" t="s">
        <v>46101</v>
      </c>
    </row>
    <row r="1252" spans="1:18" x14ac:dyDescent="0.35">
      <c r="A1252" t="s">
        <v>15159</v>
      </c>
      <c r="D1252" t="s">
        <v>5132</v>
      </c>
      <c r="E1252" t="s">
        <v>43</v>
      </c>
      <c r="I1252" s="26">
        <v>42370</v>
      </c>
      <c r="J1252" s="28">
        <v>42370</v>
      </c>
      <c r="Q1252" t="s">
        <v>44683</v>
      </c>
      <c r="R1252" t="s">
        <v>46102</v>
      </c>
    </row>
    <row r="1253" spans="1:18" x14ac:dyDescent="0.35">
      <c r="A1253" t="s">
        <v>16515</v>
      </c>
      <c r="D1253" t="s">
        <v>7306</v>
      </c>
      <c r="E1253" t="s">
        <v>43</v>
      </c>
      <c r="I1253" s="26">
        <v>42005</v>
      </c>
      <c r="J1253" s="28">
        <v>42005</v>
      </c>
      <c r="Q1253" t="s">
        <v>44683</v>
      </c>
      <c r="R1253" t="s">
        <v>46103</v>
      </c>
    </row>
    <row r="1254" spans="1:18" x14ac:dyDescent="0.35">
      <c r="A1254" t="s">
        <v>16218</v>
      </c>
      <c r="D1254" t="s">
        <v>1782</v>
      </c>
      <c r="E1254" t="s">
        <v>43</v>
      </c>
      <c r="I1254" s="26">
        <v>42370</v>
      </c>
      <c r="J1254" s="28">
        <v>42370</v>
      </c>
      <c r="Q1254" t="s">
        <v>44683</v>
      </c>
      <c r="R1254" t="s">
        <v>46104</v>
      </c>
    </row>
    <row r="1255" spans="1:18" x14ac:dyDescent="0.35">
      <c r="A1255" t="s">
        <v>15666</v>
      </c>
      <c r="D1255" t="s">
        <v>5877</v>
      </c>
      <c r="E1255" t="s">
        <v>43</v>
      </c>
      <c r="I1255" s="26">
        <v>42370</v>
      </c>
      <c r="J1255" s="28">
        <v>42370</v>
      </c>
      <c r="Q1255" t="s">
        <v>44683</v>
      </c>
      <c r="R1255" t="s">
        <v>46105</v>
      </c>
    </row>
    <row r="1256" spans="1:18" x14ac:dyDescent="0.35">
      <c r="A1256" t="s">
        <v>16500</v>
      </c>
      <c r="D1256" t="s">
        <v>7304</v>
      </c>
      <c r="E1256" t="s">
        <v>43</v>
      </c>
      <c r="I1256" s="26">
        <v>42005</v>
      </c>
      <c r="J1256" s="28">
        <v>42005</v>
      </c>
      <c r="Q1256" t="s">
        <v>44683</v>
      </c>
      <c r="R1256" t="s">
        <v>46106</v>
      </c>
    </row>
    <row r="1257" spans="1:18" x14ac:dyDescent="0.35">
      <c r="A1257" t="s">
        <v>14463</v>
      </c>
      <c r="D1257" t="s">
        <v>14452</v>
      </c>
      <c r="E1257" t="s">
        <v>43</v>
      </c>
      <c r="I1257" s="26">
        <v>42370</v>
      </c>
      <c r="J1257" s="28">
        <v>42370</v>
      </c>
      <c r="Q1257" t="s">
        <v>44683</v>
      </c>
      <c r="R1257" t="s">
        <v>46107</v>
      </c>
    </row>
    <row r="1258" spans="1:18" x14ac:dyDescent="0.35">
      <c r="A1258" t="s">
        <v>15629</v>
      </c>
      <c r="D1258" t="s">
        <v>5876</v>
      </c>
      <c r="E1258" t="s">
        <v>43</v>
      </c>
      <c r="I1258" s="26">
        <v>42370</v>
      </c>
      <c r="J1258" s="28">
        <v>42370</v>
      </c>
      <c r="Q1258" t="s">
        <v>44683</v>
      </c>
      <c r="R1258" t="s">
        <v>46108</v>
      </c>
    </row>
    <row r="1259" spans="1:18" x14ac:dyDescent="0.35">
      <c r="A1259" t="s">
        <v>14457</v>
      </c>
      <c r="D1259" t="s">
        <v>14452</v>
      </c>
      <c r="E1259" t="s">
        <v>43</v>
      </c>
      <c r="I1259" s="26">
        <v>42370</v>
      </c>
      <c r="J1259" s="28">
        <v>42370</v>
      </c>
      <c r="Q1259" t="s">
        <v>44683</v>
      </c>
      <c r="R1259" t="s">
        <v>46109</v>
      </c>
    </row>
    <row r="1260" spans="1:18" x14ac:dyDescent="0.35">
      <c r="A1260" t="s">
        <v>46110</v>
      </c>
      <c r="D1260" t="s">
        <v>7320</v>
      </c>
      <c r="E1260" t="s">
        <v>43</v>
      </c>
      <c r="I1260" s="26">
        <v>42005</v>
      </c>
      <c r="J1260" s="28">
        <v>42005</v>
      </c>
      <c r="Q1260" t="s">
        <v>44683</v>
      </c>
      <c r="R1260" t="s">
        <v>46111</v>
      </c>
    </row>
    <row r="1261" spans="1:18" x14ac:dyDescent="0.35">
      <c r="A1261" t="s">
        <v>14464</v>
      </c>
      <c r="D1261" t="s">
        <v>14452</v>
      </c>
      <c r="E1261" t="s">
        <v>43</v>
      </c>
      <c r="I1261" s="26">
        <v>42370</v>
      </c>
      <c r="J1261" s="28">
        <v>42370</v>
      </c>
      <c r="Q1261" t="s">
        <v>44683</v>
      </c>
      <c r="R1261" t="s">
        <v>46112</v>
      </c>
    </row>
    <row r="1262" spans="1:18" x14ac:dyDescent="0.35">
      <c r="A1262" t="s">
        <v>16219</v>
      </c>
      <c r="D1262" t="s">
        <v>1782</v>
      </c>
      <c r="E1262" t="s">
        <v>43</v>
      </c>
      <c r="I1262" s="26">
        <v>42370</v>
      </c>
      <c r="J1262" s="28">
        <v>42370</v>
      </c>
      <c r="Q1262" t="s">
        <v>44683</v>
      </c>
      <c r="R1262" t="s">
        <v>46113</v>
      </c>
    </row>
    <row r="1263" spans="1:18" x14ac:dyDescent="0.35">
      <c r="A1263" t="s">
        <v>15586</v>
      </c>
      <c r="D1263" t="s">
        <v>5690</v>
      </c>
      <c r="E1263" t="s">
        <v>43</v>
      </c>
      <c r="I1263" s="26">
        <v>42370</v>
      </c>
      <c r="J1263" s="28">
        <v>42370</v>
      </c>
      <c r="Q1263" t="s">
        <v>44683</v>
      </c>
      <c r="R1263" t="s">
        <v>46114</v>
      </c>
    </row>
    <row r="1264" spans="1:18" x14ac:dyDescent="0.35">
      <c r="A1264" t="s">
        <v>15587</v>
      </c>
      <c r="D1264" t="s">
        <v>5690</v>
      </c>
      <c r="E1264" t="s">
        <v>43</v>
      </c>
      <c r="I1264" s="26">
        <v>42370</v>
      </c>
      <c r="J1264" s="28">
        <v>42370</v>
      </c>
      <c r="Q1264" t="s">
        <v>44683</v>
      </c>
      <c r="R1264" t="s">
        <v>46115</v>
      </c>
    </row>
    <row r="1265" spans="1:18" x14ac:dyDescent="0.35">
      <c r="A1265" t="s">
        <v>16602</v>
      </c>
      <c r="D1265" t="s">
        <v>7320</v>
      </c>
      <c r="E1265" t="s">
        <v>43</v>
      </c>
      <c r="I1265" s="26">
        <v>42005</v>
      </c>
      <c r="J1265" s="28">
        <v>42005</v>
      </c>
      <c r="Q1265" t="s">
        <v>44683</v>
      </c>
      <c r="R1265" t="s">
        <v>46116</v>
      </c>
    </row>
    <row r="1266" spans="1:18" x14ac:dyDescent="0.35">
      <c r="A1266" t="s">
        <v>16508</v>
      </c>
      <c r="D1266" t="s">
        <v>7305</v>
      </c>
      <c r="E1266" t="s">
        <v>43</v>
      </c>
      <c r="I1266" s="26">
        <v>42005</v>
      </c>
      <c r="J1266" s="28">
        <v>42005</v>
      </c>
      <c r="Q1266" t="s">
        <v>44683</v>
      </c>
      <c r="R1266" t="s">
        <v>46117</v>
      </c>
    </row>
    <row r="1267" spans="1:18" x14ac:dyDescent="0.35">
      <c r="A1267" t="s">
        <v>16603</v>
      </c>
      <c r="D1267" t="s">
        <v>7320</v>
      </c>
      <c r="E1267" t="s">
        <v>43</v>
      </c>
      <c r="I1267" s="26">
        <v>42005</v>
      </c>
      <c r="J1267" s="28">
        <v>42005</v>
      </c>
      <c r="Q1267" t="s">
        <v>44683</v>
      </c>
      <c r="R1267" t="s">
        <v>46118</v>
      </c>
    </row>
    <row r="1268" spans="1:18" x14ac:dyDescent="0.35">
      <c r="A1268" t="s">
        <v>15667</v>
      </c>
      <c r="D1268" t="s">
        <v>5877</v>
      </c>
      <c r="E1268" t="s">
        <v>43</v>
      </c>
      <c r="I1268" s="26">
        <v>42370</v>
      </c>
      <c r="J1268" s="28">
        <v>42370</v>
      </c>
      <c r="Q1268" t="s">
        <v>44683</v>
      </c>
      <c r="R1268" t="s">
        <v>46119</v>
      </c>
    </row>
    <row r="1269" spans="1:18" x14ac:dyDescent="0.35">
      <c r="A1269" t="s">
        <v>16509</v>
      </c>
      <c r="D1269" t="s">
        <v>7305</v>
      </c>
      <c r="E1269" t="s">
        <v>43</v>
      </c>
      <c r="I1269" s="26">
        <v>42005</v>
      </c>
      <c r="J1269" s="28">
        <v>42005</v>
      </c>
      <c r="Q1269" t="s">
        <v>44683</v>
      </c>
      <c r="R1269" t="s">
        <v>46120</v>
      </c>
    </row>
    <row r="1270" spans="1:18" x14ac:dyDescent="0.35">
      <c r="A1270" t="s">
        <v>14458</v>
      </c>
      <c r="D1270" t="s">
        <v>14452</v>
      </c>
      <c r="E1270" t="s">
        <v>43</v>
      </c>
      <c r="I1270" s="26">
        <v>42370</v>
      </c>
      <c r="J1270" s="28">
        <v>42370</v>
      </c>
      <c r="Q1270" t="s">
        <v>44683</v>
      </c>
      <c r="R1270" t="s">
        <v>46121</v>
      </c>
    </row>
    <row r="1271" spans="1:18" x14ac:dyDescent="0.35">
      <c r="A1271" t="s">
        <v>16501</v>
      </c>
      <c r="D1271" t="s">
        <v>7304</v>
      </c>
      <c r="E1271" t="s">
        <v>43</v>
      </c>
      <c r="I1271" s="26">
        <v>42005</v>
      </c>
      <c r="J1271" s="28">
        <v>42005</v>
      </c>
      <c r="Q1271" t="s">
        <v>44683</v>
      </c>
      <c r="R1271" t="s">
        <v>46122</v>
      </c>
    </row>
    <row r="1272" spans="1:18" x14ac:dyDescent="0.35">
      <c r="A1272" t="s">
        <v>16492</v>
      </c>
      <c r="D1272" t="s">
        <v>7303</v>
      </c>
      <c r="E1272" t="s">
        <v>43</v>
      </c>
      <c r="I1272" s="26">
        <v>42005</v>
      </c>
      <c r="J1272" s="28">
        <v>42005</v>
      </c>
      <c r="Q1272" t="s">
        <v>44683</v>
      </c>
      <c r="R1272" t="s">
        <v>46123</v>
      </c>
    </row>
    <row r="1273" spans="1:18" x14ac:dyDescent="0.35">
      <c r="A1273" t="s">
        <v>16520</v>
      </c>
      <c r="D1273" t="s">
        <v>7307</v>
      </c>
      <c r="E1273" t="s">
        <v>43</v>
      </c>
      <c r="I1273" s="26">
        <v>42005</v>
      </c>
      <c r="J1273" s="28">
        <v>42005</v>
      </c>
      <c r="Q1273" t="s">
        <v>44683</v>
      </c>
      <c r="R1273" t="s">
        <v>46124</v>
      </c>
    </row>
    <row r="1274" spans="1:18" x14ac:dyDescent="0.35">
      <c r="A1274" t="s">
        <v>16521</v>
      </c>
      <c r="D1274" t="s">
        <v>7307</v>
      </c>
      <c r="E1274" t="s">
        <v>43</v>
      </c>
      <c r="I1274" s="26">
        <v>42005</v>
      </c>
      <c r="J1274" s="28">
        <v>42005</v>
      </c>
      <c r="Q1274" t="s">
        <v>44683</v>
      </c>
      <c r="R1274" t="s">
        <v>46125</v>
      </c>
    </row>
    <row r="1275" spans="1:18" x14ac:dyDescent="0.35">
      <c r="A1275" t="s">
        <v>16510</v>
      </c>
      <c r="D1275" t="s">
        <v>7305</v>
      </c>
      <c r="E1275" t="s">
        <v>43</v>
      </c>
      <c r="I1275" s="26">
        <v>42005</v>
      </c>
      <c r="J1275" s="28">
        <v>42005</v>
      </c>
      <c r="Q1275" t="s">
        <v>44683</v>
      </c>
      <c r="R1275" t="s">
        <v>46126</v>
      </c>
    </row>
    <row r="1276" spans="1:18" x14ac:dyDescent="0.35">
      <c r="A1276" t="s">
        <v>16203</v>
      </c>
      <c r="D1276" t="s">
        <v>62</v>
      </c>
      <c r="E1276" t="s">
        <v>43</v>
      </c>
      <c r="I1276" s="26">
        <v>42370</v>
      </c>
      <c r="J1276" s="28">
        <v>42370</v>
      </c>
      <c r="Q1276" t="s">
        <v>44683</v>
      </c>
      <c r="R1276" t="s">
        <v>46127</v>
      </c>
    </row>
    <row r="1277" spans="1:18" x14ac:dyDescent="0.35">
      <c r="A1277" t="s">
        <v>16220</v>
      </c>
      <c r="D1277" t="s">
        <v>1782</v>
      </c>
      <c r="E1277" t="s">
        <v>43</v>
      </c>
      <c r="I1277" s="26">
        <v>42370</v>
      </c>
      <c r="J1277" s="28">
        <v>42370</v>
      </c>
      <c r="Q1277" t="s">
        <v>44683</v>
      </c>
      <c r="R1277" t="s">
        <v>46128</v>
      </c>
    </row>
    <row r="1278" spans="1:18" x14ac:dyDescent="0.35">
      <c r="A1278" t="s">
        <v>15668</v>
      </c>
      <c r="D1278" t="s">
        <v>5877</v>
      </c>
      <c r="E1278" t="s">
        <v>43</v>
      </c>
      <c r="I1278" s="26">
        <v>42370</v>
      </c>
      <c r="J1278" s="28">
        <v>42370</v>
      </c>
      <c r="Q1278" t="s">
        <v>44683</v>
      </c>
      <c r="R1278" t="s">
        <v>46129</v>
      </c>
    </row>
    <row r="1279" spans="1:18" x14ac:dyDescent="0.35">
      <c r="A1279" t="s">
        <v>15630</v>
      </c>
      <c r="D1279" t="s">
        <v>5876</v>
      </c>
      <c r="E1279" t="s">
        <v>43</v>
      </c>
      <c r="I1279" s="26">
        <v>42370</v>
      </c>
      <c r="J1279" s="28">
        <v>42370</v>
      </c>
      <c r="Q1279" t="s">
        <v>44683</v>
      </c>
      <c r="R1279" t="s">
        <v>46130</v>
      </c>
    </row>
    <row r="1280" spans="1:18" x14ac:dyDescent="0.35">
      <c r="A1280" t="s">
        <v>15590</v>
      </c>
      <c r="D1280" t="s">
        <v>5690</v>
      </c>
      <c r="E1280" t="s">
        <v>43</v>
      </c>
      <c r="I1280" s="26">
        <v>42370</v>
      </c>
      <c r="J1280" s="28">
        <v>42370</v>
      </c>
      <c r="Q1280" t="s">
        <v>44683</v>
      </c>
      <c r="R1280" t="s">
        <v>46131</v>
      </c>
    </row>
    <row r="1281" spans="1:18" x14ac:dyDescent="0.35">
      <c r="A1281" t="s">
        <v>15591</v>
      </c>
      <c r="D1281" t="s">
        <v>5690</v>
      </c>
      <c r="E1281" t="s">
        <v>43</v>
      </c>
      <c r="I1281" s="26">
        <v>42370</v>
      </c>
      <c r="J1281" s="28">
        <v>42370</v>
      </c>
      <c r="Q1281" t="s">
        <v>44683</v>
      </c>
      <c r="R1281" t="s">
        <v>46132</v>
      </c>
    </row>
    <row r="1282" spans="1:18" x14ac:dyDescent="0.35">
      <c r="A1282" t="s">
        <v>16522</v>
      </c>
      <c r="D1282" t="s">
        <v>7307</v>
      </c>
      <c r="E1282" t="s">
        <v>43</v>
      </c>
      <c r="I1282" s="26">
        <v>42005</v>
      </c>
      <c r="J1282" s="28">
        <v>42005</v>
      </c>
      <c r="Q1282" t="s">
        <v>44683</v>
      </c>
      <c r="R1282" t="s">
        <v>46133</v>
      </c>
    </row>
    <row r="1283" spans="1:18" x14ac:dyDescent="0.35">
      <c r="A1283" t="s">
        <v>16308</v>
      </c>
      <c r="D1283" t="s">
        <v>6771</v>
      </c>
      <c r="E1283" t="s">
        <v>43</v>
      </c>
      <c r="I1283" s="26">
        <v>42370</v>
      </c>
      <c r="J1283" s="28">
        <v>42370</v>
      </c>
      <c r="Q1283" t="s">
        <v>44683</v>
      </c>
      <c r="R1283" t="s">
        <v>46134</v>
      </c>
    </row>
    <row r="1284" spans="1:18" x14ac:dyDescent="0.35">
      <c r="A1284" t="s">
        <v>16502</v>
      </c>
      <c r="D1284" t="s">
        <v>7304</v>
      </c>
      <c r="E1284" t="s">
        <v>43</v>
      </c>
      <c r="I1284" s="26">
        <v>42005</v>
      </c>
      <c r="J1284" s="28">
        <v>42005</v>
      </c>
      <c r="Q1284" t="s">
        <v>44683</v>
      </c>
      <c r="R1284" t="s">
        <v>46135</v>
      </c>
    </row>
    <row r="1285" spans="1:18" x14ac:dyDescent="0.35">
      <c r="A1285" t="s">
        <v>16495</v>
      </c>
      <c r="D1285" t="s">
        <v>7303</v>
      </c>
      <c r="E1285" t="s">
        <v>43</v>
      </c>
      <c r="I1285" s="26">
        <v>42005</v>
      </c>
      <c r="J1285" s="28">
        <v>42005</v>
      </c>
      <c r="Q1285" t="s">
        <v>44683</v>
      </c>
      <c r="R1285" t="s">
        <v>46136</v>
      </c>
    </row>
    <row r="1286" spans="1:18" x14ac:dyDescent="0.35">
      <c r="A1286" t="s">
        <v>16221</v>
      </c>
      <c r="D1286" t="s">
        <v>1782</v>
      </c>
      <c r="E1286" t="s">
        <v>43</v>
      </c>
      <c r="I1286" s="26">
        <v>42370</v>
      </c>
      <c r="J1286" s="28">
        <v>42370</v>
      </c>
      <c r="Q1286" t="s">
        <v>44683</v>
      </c>
      <c r="R1286" t="s">
        <v>46137</v>
      </c>
    </row>
    <row r="1287" spans="1:18" x14ac:dyDescent="0.35">
      <c r="A1287" t="s">
        <v>16496</v>
      </c>
      <c r="D1287" t="s">
        <v>7303</v>
      </c>
      <c r="E1287" t="s">
        <v>43</v>
      </c>
      <c r="I1287" s="26">
        <v>42005</v>
      </c>
      <c r="J1287" s="28">
        <v>42005</v>
      </c>
      <c r="Q1287" t="s">
        <v>44683</v>
      </c>
      <c r="R1287" t="s">
        <v>46138</v>
      </c>
    </row>
    <row r="1288" spans="1:18" x14ac:dyDescent="0.35">
      <c r="A1288" t="s">
        <v>15962</v>
      </c>
      <c r="D1288" t="s">
        <v>6297</v>
      </c>
      <c r="E1288" t="s">
        <v>43</v>
      </c>
      <c r="I1288" s="26">
        <v>42192</v>
      </c>
      <c r="J1288" s="28">
        <v>42192</v>
      </c>
      <c r="Q1288" t="s">
        <v>44683</v>
      </c>
      <c r="R1288" t="s">
        <v>46139</v>
      </c>
    </row>
    <row r="1289" spans="1:18" x14ac:dyDescent="0.35">
      <c r="A1289" t="s">
        <v>14459</v>
      </c>
      <c r="D1289" t="s">
        <v>14452</v>
      </c>
      <c r="E1289" t="s">
        <v>43</v>
      </c>
      <c r="I1289" s="26">
        <v>42370</v>
      </c>
      <c r="J1289" s="28">
        <v>42370</v>
      </c>
      <c r="Q1289" t="s">
        <v>44683</v>
      </c>
      <c r="R1289" t="s">
        <v>46140</v>
      </c>
    </row>
    <row r="1290" spans="1:18" x14ac:dyDescent="0.35">
      <c r="A1290" t="s">
        <v>16222</v>
      </c>
      <c r="D1290" t="s">
        <v>1782</v>
      </c>
      <c r="E1290" t="s">
        <v>43</v>
      </c>
      <c r="I1290" s="26">
        <v>42370</v>
      </c>
      <c r="J1290" s="28">
        <v>42370</v>
      </c>
      <c r="Q1290" t="s">
        <v>44683</v>
      </c>
      <c r="R1290" t="s">
        <v>46141</v>
      </c>
    </row>
    <row r="1291" spans="1:18" x14ac:dyDescent="0.35">
      <c r="A1291" t="s">
        <v>15632</v>
      </c>
      <c r="D1291" t="s">
        <v>5876</v>
      </c>
      <c r="E1291" t="s">
        <v>43</v>
      </c>
      <c r="I1291" s="26">
        <v>42370</v>
      </c>
      <c r="J1291" s="28">
        <v>42370</v>
      </c>
      <c r="Q1291" t="s">
        <v>44683</v>
      </c>
      <c r="R1291" t="s">
        <v>46142</v>
      </c>
    </row>
    <row r="1292" spans="1:18" x14ac:dyDescent="0.35">
      <c r="A1292" t="s">
        <v>15593</v>
      </c>
      <c r="D1292" t="s">
        <v>5690</v>
      </c>
      <c r="E1292" t="s">
        <v>43</v>
      </c>
      <c r="I1292" s="26">
        <v>42370</v>
      </c>
      <c r="J1292" s="28">
        <v>42370</v>
      </c>
      <c r="Q1292" t="s">
        <v>44683</v>
      </c>
      <c r="R1292" t="s">
        <v>46143</v>
      </c>
    </row>
    <row r="1293" spans="1:18" x14ac:dyDescent="0.35">
      <c r="A1293" t="s">
        <v>16310</v>
      </c>
      <c r="D1293" t="s">
        <v>6771</v>
      </c>
      <c r="E1293" t="s">
        <v>43</v>
      </c>
      <c r="I1293" s="26">
        <v>42370</v>
      </c>
      <c r="J1293" s="28">
        <v>42370</v>
      </c>
      <c r="Q1293" t="s">
        <v>44683</v>
      </c>
      <c r="R1293" t="s">
        <v>46144</v>
      </c>
    </row>
    <row r="1294" spans="1:18" x14ac:dyDescent="0.35">
      <c r="A1294" t="s">
        <v>16309</v>
      </c>
      <c r="D1294" t="s">
        <v>6771</v>
      </c>
      <c r="E1294" t="s">
        <v>43</v>
      </c>
      <c r="I1294" s="26">
        <v>42370</v>
      </c>
      <c r="J1294" s="28">
        <v>42370</v>
      </c>
      <c r="Q1294" t="s">
        <v>44683</v>
      </c>
      <c r="R1294" t="s">
        <v>46145</v>
      </c>
    </row>
    <row r="1295" spans="1:18" x14ac:dyDescent="0.35">
      <c r="A1295" t="s">
        <v>16223</v>
      </c>
      <c r="D1295" t="s">
        <v>1782</v>
      </c>
      <c r="E1295" t="s">
        <v>43</v>
      </c>
      <c r="I1295" s="26">
        <v>42370</v>
      </c>
      <c r="J1295" s="28">
        <v>42370</v>
      </c>
      <c r="Q1295" t="s">
        <v>44683</v>
      </c>
      <c r="R1295" t="s">
        <v>46146</v>
      </c>
    </row>
    <row r="1296" spans="1:18" x14ac:dyDescent="0.35">
      <c r="A1296" t="s">
        <v>15963</v>
      </c>
      <c r="D1296" t="s">
        <v>6297</v>
      </c>
      <c r="E1296" t="s">
        <v>43</v>
      </c>
      <c r="I1296" s="26">
        <v>42192</v>
      </c>
      <c r="J1296" s="28">
        <v>42192</v>
      </c>
      <c r="Q1296" t="s">
        <v>44683</v>
      </c>
      <c r="R1296" t="s">
        <v>46147</v>
      </c>
    </row>
    <row r="1297" spans="1:18" x14ac:dyDescent="0.35">
      <c r="A1297" t="s">
        <v>15594</v>
      </c>
      <c r="D1297" t="s">
        <v>5690</v>
      </c>
      <c r="E1297" t="s">
        <v>43</v>
      </c>
      <c r="I1297" s="26">
        <v>42370</v>
      </c>
      <c r="J1297" s="28">
        <v>42370</v>
      </c>
      <c r="Q1297" t="s">
        <v>44683</v>
      </c>
      <c r="R1297" t="s">
        <v>46148</v>
      </c>
    </row>
    <row r="1298" spans="1:18" x14ac:dyDescent="0.35">
      <c r="A1298" t="s">
        <v>14460</v>
      </c>
      <c r="D1298" t="s">
        <v>14452</v>
      </c>
      <c r="E1298" t="s">
        <v>43</v>
      </c>
      <c r="I1298" s="26">
        <v>42370</v>
      </c>
      <c r="J1298" s="28">
        <v>42370</v>
      </c>
      <c r="Q1298" t="s">
        <v>44683</v>
      </c>
      <c r="R1298" t="s">
        <v>46149</v>
      </c>
    </row>
    <row r="1299" spans="1:18" x14ac:dyDescent="0.35">
      <c r="A1299" t="s">
        <v>16224</v>
      </c>
      <c r="D1299" t="s">
        <v>1782</v>
      </c>
      <c r="E1299" t="s">
        <v>43</v>
      </c>
      <c r="I1299" s="26">
        <v>42370</v>
      </c>
      <c r="J1299" s="28">
        <v>42370</v>
      </c>
      <c r="Q1299" t="s">
        <v>44683</v>
      </c>
      <c r="R1299" t="s">
        <v>46150</v>
      </c>
    </row>
    <row r="1300" spans="1:18" x14ac:dyDescent="0.35">
      <c r="A1300" t="s">
        <v>16523</v>
      </c>
      <c r="D1300" t="s">
        <v>7307</v>
      </c>
      <c r="E1300" t="s">
        <v>43</v>
      </c>
      <c r="I1300" s="26">
        <v>42005</v>
      </c>
      <c r="J1300" s="28">
        <v>42005</v>
      </c>
      <c r="Q1300" t="s">
        <v>44683</v>
      </c>
      <c r="R1300" t="s">
        <v>46151</v>
      </c>
    </row>
    <row r="1301" spans="1:18" x14ac:dyDescent="0.35">
      <c r="A1301" t="s">
        <v>14465</v>
      </c>
      <c r="D1301" t="s">
        <v>14452</v>
      </c>
      <c r="E1301" t="s">
        <v>43</v>
      </c>
      <c r="I1301" s="26">
        <v>42370</v>
      </c>
      <c r="J1301" s="28">
        <v>42370</v>
      </c>
      <c r="Q1301" t="s">
        <v>44683</v>
      </c>
      <c r="R1301" t="s">
        <v>46152</v>
      </c>
    </row>
    <row r="1302" spans="1:18" x14ac:dyDescent="0.35">
      <c r="A1302" t="s">
        <v>13997</v>
      </c>
      <c r="D1302" t="s">
        <v>50</v>
      </c>
      <c r="E1302" t="s">
        <v>43</v>
      </c>
      <c r="I1302" s="26">
        <v>42005</v>
      </c>
      <c r="J1302" s="28">
        <v>42005</v>
      </c>
      <c r="Q1302" t="s">
        <v>44683</v>
      </c>
      <c r="R1302" t="s">
        <v>46153</v>
      </c>
    </row>
    <row r="1303" spans="1:18" x14ac:dyDescent="0.35">
      <c r="A1303" t="s">
        <v>13974</v>
      </c>
      <c r="D1303" t="s">
        <v>41</v>
      </c>
      <c r="E1303" t="s">
        <v>43</v>
      </c>
      <c r="I1303" s="26">
        <v>42005</v>
      </c>
      <c r="J1303" s="28">
        <v>42005</v>
      </c>
      <c r="Q1303" t="s">
        <v>44683</v>
      </c>
      <c r="R1303" t="s">
        <v>46154</v>
      </c>
    </row>
    <row r="1304" spans="1:18" x14ac:dyDescent="0.35">
      <c r="A1304" t="s">
        <v>13998</v>
      </c>
      <c r="D1304" t="s">
        <v>50</v>
      </c>
      <c r="E1304" t="s">
        <v>43</v>
      </c>
      <c r="I1304" s="26">
        <v>42005</v>
      </c>
      <c r="J1304" s="28">
        <v>42005</v>
      </c>
      <c r="Q1304" t="s">
        <v>44683</v>
      </c>
      <c r="R1304" t="s">
        <v>46155</v>
      </c>
    </row>
    <row r="1305" spans="1:18" x14ac:dyDescent="0.35">
      <c r="A1305" t="s">
        <v>15038</v>
      </c>
      <c r="D1305" t="s">
        <v>3013</v>
      </c>
      <c r="E1305" t="s">
        <v>43</v>
      </c>
      <c r="I1305" s="26">
        <v>42005</v>
      </c>
      <c r="J1305" s="28">
        <v>42005</v>
      </c>
      <c r="Q1305" t="s">
        <v>44683</v>
      </c>
      <c r="R1305" t="s">
        <v>46156</v>
      </c>
    </row>
    <row r="1306" spans="1:18" x14ac:dyDescent="0.35">
      <c r="A1306" t="s">
        <v>14856</v>
      </c>
      <c r="D1306" t="s">
        <v>2714</v>
      </c>
      <c r="E1306" t="s">
        <v>43</v>
      </c>
      <c r="I1306" s="26">
        <v>42005</v>
      </c>
      <c r="J1306" s="28">
        <v>42005</v>
      </c>
      <c r="Q1306" t="s">
        <v>44683</v>
      </c>
      <c r="R1306" t="s">
        <v>46157</v>
      </c>
    </row>
    <row r="1307" spans="1:18" x14ac:dyDescent="0.35">
      <c r="A1307" t="s">
        <v>14843</v>
      </c>
      <c r="D1307" t="s">
        <v>2714</v>
      </c>
      <c r="E1307" t="s">
        <v>43</v>
      </c>
      <c r="I1307" s="26">
        <v>42005</v>
      </c>
      <c r="J1307" s="28">
        <v>42005</v>
      </c>
      <c r="Q1307" t="s">
        <v>44683</v>
      </c>
      <c r="R1307" t="s">
        <v>46158</v>
      </c>
    </row>
    <row r="1308" spans="1:18" x14ac:dyDescent="0.35">
      <c r="A1308" t="s">
        <v>14857</v>
      </c>
      <c r="D1308" t="s">
        <v>2714</v>
      </c>
      <c r="E1308" t="s">
        <v>43</v>
      </c>
      <c r="I1308" s="26">
        <v>42005</v>
      </c>
      <c r="J1308" s="28">
        <v>42005</v>
      </c>
      <c r="Q1308" t="s">
        <v>44683</v>
      </c>
      <c r="R1308" t="s">
        <v>46159</v>
      </c>
    </row>
    <row r="1309" spans="1:18" x14ac:dyDescent="0.35">
      <c r="A1309" t="s">
        <v>15672</v>
      </c>
      <c r="D1309" t="s">
        <v>5877</v>
      </c>
      <c r="E1309" t="s">
        <v>43</v>
      </c>
      <c r="I1309" s="26">
        <v>42005</v>
      </c>
      <c r="J1309" s="28">
        <v>42005</v>
      </c>
      <c r="Q1309" t="s">
        <v>44683</v>
      </c>
      <c r="R1309" t="s">
        <v>46160</v>
      </c>
    </row>
    <row r="1310" spans="1:18" x14ac:dyDescent="0.35">
      <c r="A1310" t="s">
        <v>14233</v>
      </c>
      <c r="D1310" t="s">
        <v>1254</v>
      </c>
      <c r="E1310" t="s">
        <v>43</v>
      </c>
      <c r="I1310" s="26">
        <v>42005</v>
      </c>
      <c r="J1310" s="28">
        <v>42005</v>
      </c>
      <c r="Q1310" t="s">
        <v>44683</v>
      </c>
      <c r="R1310" t="s">
        <v>46161</v>
      </c>
    </row>
    <row r="1311" spans="1:18" x14ac:dyDescent="0.35">
      <c r="A1311" t="s">
        <v>14232</v>
      </c>
      <c r="D1311" t="s">
        <v>1254</v>
      </c>
      <c r="E1311" t="s">
        <v>43</v>
      </c>
      <c r="I1311" s="26">
        <v>42005</v>
      </c>
      <c r="J1311" s="28">
        <v>42005</v>
      </c>
      <c r="Q1311" t="s">
        <v>44683</v>
      </c>
      <c r="R1311" t="s">
        <v>46162</v>
      </c>
    </row>
    <row r="1312" spans="1:18" x14ac:dyDescent="0.35">
      <c r="A1312" t="s">
        <v>14858</v>
      </c>
      <c r="D1312" t="s">
        <v>2714</v>
      </c>
      <c r="E1312" t="s">
        <v>43</v>
      </c>
      <c r="I1312" s="26">
        <v>42005</v>
      </c>
      <c r="J1312" s="28">
        <v>42005</v>
      </c>
      <c r="Q1312" t="s">
        <v>44683</v>
      </c>
      <c r="R1312" t="s">
        <v>46163</v>
      </c>
    </row>
    <row r="1313" spans="1:18" x14ac:dyDescent="0.35">
      <c r="A1313" t="s">
        <v>13975</v>
      </c>
      <c r="D1313" t="s">
        <v>41</v>
      </c>
      <c r="E1313" t="s">
        <v>43</v>
      </c>
      <c r="I1313" s="26">
        <v>42005</v>
      </c>
      <c r="J1313" s="28">
        <v>42005</v>
      </c>
      <c r="Q1313" t="s">
        <v>44683</v>
      </c>
      <c r="R1313" t="s">
        <v>46164</v>
      </c>
    </row>
    <row r="1314" spans="1:18" x14ac:dyDescent="0.35">
      <c r="A1314" t="s">
        <v>14859</v>
      </c>
      <c r="D1314" t="s">
        <v>2714</v>
      </c>
      <c r="E1314" t="s">
        <v>43</v>
      </c>
      <c r="I1314" s="26">
        <v>42005</v>
      </c>
      <c r="J1314" s="28">
        <v>42005</v>
      </c>
      <c r="Q1314" t="s">
        <v>44683</v>
      </c>
      <c r="R1314" t="s">
        <v>46165</v>
      </c>
    </row>
    <row r="1315" spans="1:18" x14ac:dyDescent="0.35">
      <c r="A1315" t="s">
        <v>13999</v>
      </c>
      <c r="D1315" t="s">
        <v>50</v>
      </c>
      <c r="E1315" t="s">
        <v>43</v>
      </c>
      <c r="I1315" s="26">
        <v>42005</v>
      </c>
      <c r="J1315" s="28">
        <v>42005</v>
      </c>
      <c r="Q1315" t="s">
        <v>44683</v>
      </c>
      <c r="R1315" t="s">
        <v>46166</v>
      </c>
    </row>
    <row r="1316" spans="1:18" x14ac:dyDescent="0.35">
      <c r="A1316" t="s">
        <v>13977</v>
      </c>
      <c r="D1316" t="s">
        <v>41</v>
      </c>
      <c r="E1316" t="s">
        <v>43</v>
      </c>
      <c r="I1316" s="26">
        <v>42005</v>
      </c>
      <c r="J1316" s="28">
        <v>42005</v>
      </c>
      <c r="Q1316" t="s">
        <v>44683</v>
      </c>
      <c r="R1316" t="s">
        <v>46167</v>
      </c>
    </row>
    <row r="1317" spans="1:18" x14ac:dyDescent="0.35">
      <c r="A1317" t="s">
        <v>13976</v>
      </c>
      <c r="D1317" t="s">
        <v>41</v>
      </c>
      <c r="E1317" t="s">
        <v>43</v>
      </c>
      <c r="I1317" s="26">
        <v>42005</v>
      </c>
      <c r="J1317" s="28">
        <v>42005</v>
      </c>
      <c r="Q1317" t="s">
        <v>44683</v>
      </c>
      <c r="R1317" t="s">
        <v>46168</v>
      </c>
    </row>
    <row r="1318" spans="1:18" x14ac:dyDescent="0.35">
      <c r="A1318" t="s">
        <v>15468</v>
      </c>
      <c r="D1318" t="s">
        <v>5726</v>
      </c>
      <c r="E1318" t="s">
        <v>43</v>
      </c>
      <c r="I1318" s="26">
        <v>42005</v>
      </c>
      <c r="J1318" s="28">
        <v>42005</v>
      </c>
      <c r="Q1318" t="s">
        <v>44683</v>
      </c>
      <c r="R1318" t="s">
        <v>46169</v>
      </c>
    </row>
    <row r="1319" spans="1:18" x14ac:dyDescent="0.35">
      <c r="A1319" t="s">
        <v>14860</v>
      </c>
      <c r="D1319" t="s">
        <v>2714</v>
      </c>
      <c r="E1319" t="s">
        <v>43</v>
      </c>
      <c r="I1319" s="26">
        <v>42005</v>
      </c>
      <c r="J1319" s="28">
        <v>42005</v>
      </c>
      <c r="Q1319" t="s">
        <v>44683</v>
      </c>
      <c r="R1319" t="s">
        <v>46170</v>
      </c>
    </row>
    <row r="1320" spans="1:18" x14ac:dyDescent="0.35">
      <c r="A1320" t="s">
        <v>14098</v>
      </c>
      <c r="D1320" t="s">
        <v>787</v>
      </c>
      <c r="E1320" t="s">
        <v>43</v>
      </c>
      <c r="I1320" s="26">
        <v>42005</v>
      </c>
      <c r="J1320" s="28">
        <v>42005</v>
      </c>
      <c r="Q1320" t="s">
        <v>44683</v>
      </c>
      <c r="R1320" t="s">
        <v>46171</v>
      </c>
    </row>
    <row r="1321" spans="1:18" x14ac:dyDescent="0.35">
      <c r="A1321" t="s">
        <v>14234</v>
      </c>
      <c r="D1321" t="s">
        <v>1254</v>
      </c>
      <c r="E1321" t="s">
        <v>43</v>
      </c>
      <c r="I1321" s="26">
        <v>42005</v>
      </c>
      <c r="J1321" s="28">
        <v>42005</v>
      </c>
      <c r="Q1321" t="s">
        <v>44683</v>
      </c>
      <c r="R1321" t="s">
        <v>46172</v>
      </c>
    </row>
    <row r="1322" spans="1:18" x14ac:dyDescent="0.35">
      <c r="A1322" t="s">
        <v>15469</v>
      </c>
      <c r="D1322" t="s">
        <v>5726</v>
      </c>
      <c r="E1322" t="s">
        <v>43</v>
      </c>
      <c r="I1322" s="26">
        <v>42005</v>
      </c>
      <c r="J1322" s="28">
        <v>42005</v>
      </c>
      <c r="Q1322" t="s">
        <v>14474</v>
      </c>
      <c r="R1322" t="s">
        <v>46173</v>
      </c>
    </row>
    <row r="1323" spans="1:18" x14ac:dyDescent="0.35">
      <c r="A1323" t="s">
        <v>14861</v>
      </c>
      <c r="D1323" t="s">
        <v>2714</v>
      </c>
      <c r="E1323" t="s">
        <v>43</v>
      </c>
      <c r="I1323" s="26">
        <v>42005</v>
      </c>
      <c r="J1323" s="28">
        <v>42005</v>
      </c>
      <c r="Q1323" t="s">
        <v>44683</v>
      </c>
      <c r="R1323" t="s">
        <v>46174</v>
      </c>
    </row>
    <row r="1324" spans="1:18" x14ac:dyDescent="0.35">
      <c r="A1324" t="s">
        <v>13978</v>
      </c>
      <c r="D1324" t="s">
        <v>41</v>
      </c>
      <c r="E1324" t="s">
        <v>43</v>
      </c>
      <c r="I1324" s="26">
        <v>42005</v>
      </c>
      <c r="J1324" s="28">
        <v>42005</v>
      </c>
      <c r="Q1324" t="s">
        <v>44683</v>
      </c>
      <c r="R1324" t="s">
        <v>46175</v>
      </c>
    </row>
    <row r="1325" spans="1:18" x14ac:dyDescent="0.35">
      <c r="A1325" t="s">
        <v>13979</v>
      </c>
      <c r="D1325" t="s">
        <v>41</v>
      </c>
      <c r="E1325" t="s">
        <v>43</v>
      </c>
      <c r="I1325" s="26">
        <v>42005</v>
      </c>
      <c r="J1325" s="28">
        <v>42005</v>
      </c>
      <c r="Q1325" t="s">
        <v>44683</v>
      </c>
      <c r="R1325" t="s">
        <v>46176</v>
      </c>
    </row>
    <row r="1326" spans="1:18" x14ac:dyDescent="0.35">
      <c r="A1326" t="s">
        <v>13980</v>
      </c>
      <c r="D1326" t="s">
        <v>41</v>
      </c>
      <c r="E1326" t="s">
        <v>43</v>
      </c>
      <c r="I1326" s="26">
        <v>42005</v>
      </c>
      <c r="J1326" s="28">
        <v>42005</v>
      </c>
      <c r="Q1326" t="s">
        <v>44683</v>
      </c>
      <c r="R1326" t="s">
        <v>46177</v>
      </c>
    </row>
    <row r="1327" spans="1:18" x14ac:dyDescent="0.35">
      <c r="A1327" t="s">
        <v>13981</v>
      </c>
      <c r="D1327" t="s">
        <v>41</v>
      </c>
      <c r="E1327" t="s">
        <v>43</v>
      </c>
      <c r="I1327" s="26">
        <v>42005</v>
      </c>
      <c r="J1327" s="28">
        <v>42005</v>
      </c>
      <c r="Q1327" t="s">
        <v>44683</v>
      </c>
      <c r="R1327" t="s">
        <v>46178</v>
      </c>
    </row>
    <row r="1328" spans="1:18" x14ac:dyDescent="0.35">
      <c r="A1328" t="s">
        <v>13982</v>
      </c>
      <c r="D1328" t="s">
        <v>41</v>
      </c>
      <c r="E1328" t="s">
        <v>43</v>
      </c>
      <c r="I1328" s="26">
        <v>42005</v>
      </c>
      <c r="J1328" s="28">
        <v>42005</v>
      </c>
      <c r="Q1328" t="s">
        <v>44683</v>
      </c>
      <c r="R1328" t="s">
        <v>46179</v>
      </c>
    </row>
    <row r="1329" spans="1:18" x14ac:dyDescent="0.35">
      <c r="A1329" t="s">
        <v>14862</v>
      </c>
      <c r="D1329" t="s">
        <v>2714</v>
      </c>
      <c r="E1329" t="s">
        <v>43</v>
      </c>
      <c r="I1329" s="26">
        <v>42005</v>
      </c>
      <c r="J1329" s="28">
        <v>42005</v>
      </c>
      <c r="Q1329" t="s">
        <v>44683</v>
      </c>
      <c r="R1329" t="s">
        <v>46180</v>
      </c>
    </row>
    <row r="1330" spans="1:18" x14ac:dyDescent="0.35">
      <c r="A1330" t="s">
        <v>15669</v>
      </c>
      <c r="D1330" t="s">
        <v>5877</v>
      </c>
      <c r="E1330" t="s">
        <v>43</v>
      </c>
      <c r="I1330" s="26">
        <v>42005</v>
      </c>
      <c r="J1330" s="28">
        <v>42005</v>
      </c>
      <c r="Q1330" t="s">
        <v>44683</v>
      </c>
      <c r="R1330" t="s">
        <v>46181</v>
      </c>
    </row>
    <row r="1331" spans="1:18" x14ac:dyDescent="0.35">
      <c r="A1331" t="s">
        <v>14235</v>
      </c>
      <c r="D1331" t="s">
        <v>1254</v>
      </c>
      <c r="E1331" t="s">
        <v>43</v>
      </c>
      <c r="I1331" s="26">
        <v>42005</v>
      </c>
      <c r="J1331" s="28">
        <v>42005</v>
      </c>
      <c r="Q1331" t="s">
        <v>44683</v>
      </c>
      <c r="R1331" t="s">
        <v>46182</v>
      </c>
    </row>
    <row r="1332" spans="1:18" x14ac:dyDescent="0.35">
      <c r="A1332" t="s">
        <v>14844</v>
      </c>
      <c r="D1332" t="s">
        <v>2714</v>
      </c>
      <c r="E1332" t="s">
        <v>43</v>
      </c>
      <c r="I1332" s="26">
        <v>42005</v>
      </c>
      <c r="J1332" s="28">
        <v>42005</v>
      </c>
      <c r="Q1332" t="s">
        <v>44683</v>
      </c>
      <c r="R1332" t="s">
        <v>46183</v>
      </c>
    </row>
    <row r="1333" spans="1:18" x14ac:dyDescent="0.35">
      <c r="A1333" t="s">
        <v>14863</v>
      </c>
      <c r="D1333" t="s">
        <v>2714</v>
      </c>
      <c r="E1333" t="s">
        <v>43</v>
      </c>
      <c r="I1333" s="26">
        <v>42005</v>
      </c>
      <c r="J1333" s="28">
        <v>42005</v>
      </c>
      <c r="Q1333" t="s">
        <v>44683</v>
      </c>
      <c r="R1333" t="s">
        <v>46184</v>
      </c>
    </row>
    <row r="1334" spans="1:18" x14ac:dyDescent="0.35">
      <c r="A1334" t="s">
        <v>14864</v>
      </c>
      <c r="D1334" t="s">
        <v>2714</v>
      </c>
      <c r="E1334" t="s">
        <v>43</v>
      </c>
      <c r="I1334" s="26">
        <v>42005</v>
      </c>
      <c r="J1334" s="28">
        <v>42005</v>
      </c>
      <c r="Q1334" t="s">
        <v>44683</v>
      </c>
      <c r="R1334" t="s">
        <v>46185</v>
      </c>
    </row>
    <row r="1335" spans="1:18" x14ac:dyDescent="0.35">
      <c r="A1335" t="s">
        <v>14865</v>
      </c>
      <c r="D1335" t="s">
        <v>2714</v>
      </c>
      <c r="E1335" t="s">
        <v>43</v>
      </c>
      <c r="I1335" s="26">
        <v>42005</v>
      </c>
      <c r="J1335" s="28">
        <v>42005</v>
      </c>
      <c r="Q1335" t="s">
        <v>44683</v>
      </c>
      <c r="R1335" t="s">
        <v>46186</v>
      </c>
    </row>
    <row r="1336" spans="1:18" x14ac:dyDescent="0.35">
      <c r="A1336" t="s">
        <v>16395</v>
      </c>
      <c r="D1336" t="s">
        <v>7210</v>
      </c>
      <c r="E1336" t="s">
        <v>43</v>
      </c>
      <c r="I1336" s="26">
        <v>42005</v>
      </c>
      <c r="J1336" s="28">
        <v>42005</v>
      </c>
      <c r="Q1336" t="s">
        <v>44683</v>
      </c>
      <c r="R1336" t="s">
        <v>46187</v>
      </c>
    </row>
    <row r="1337" spans="1:18" x14ac:dyDescent="0.35">
      <c r="A1337" t="s">
        <v>13983</v>
      </c>
      <c r="D1337" t="s">
        <v>41</v>
      </c>
      <c r="E1337" t="s">
        <v>43</v>
      </c>
      <c r="I1337" s="26">
        <v>42005</v>
      </c>
      <c r="J1337" s="28">
        <v>42005</v>
      </c>
      <c r="Q1337" t="s">
        <v>44683</v>
      </c>
      <c r="R1337" t="s">
        <v>46188</v>
      </c>
    </row>
    <row r="1338" spans="1:18" x14ac:dyDescent="0.35">
      <c r="A1338" t="s">
        <v>13984</v>
      </c>
      <c r="D1338" t="s">
        <v>41</v>
      </c>
      <c r="E1338" t="s">
        <v>43</v>
      </c>
      <c r="I1338" s="26">
        <v>42005</v>
      </c>
      <c r="J1338" s="28">
        <v>42005</v>
      </c>
      <c r="Q1338" t="s">
        <v>44683</v>
      </c>
      <c r="R1338" t="s">
        <v>46189</v>
      </c>
    </row>
    <row r="1339" spans="1:18" x14ac:dyDescent="0.35">
      <c r="A1339" t="s">
        <v>13985</v>
      </c>
      <c r="D1339" t="s">
        <v>41</v>
      </c>
      <c r="E1339" t="s">
        <v>43</v>
      </c>
      <c r="I1339" s="26">
        <v>42005</v>
      </c>
      <c r="J1339" s="28">
        <v>42005</v>
      </c>
      <c r="Q1339" t="s">
        <v>44683</v>
      </c>
      <c r="R1339" t="s">
        <v>46190</v>
      </c>
    </row>
    <row r="1340" spans="1:18" x14ac:dyDescent="0.35">
      <c r="A1340" t="s">
        <v>14867</v>
      </c>
      <c r="D1340" t="s">
        <v>2714</v>
      </c>
      <c r="E1340" t="s">
        <v>43</v>
      </c>
      <c r="I1340" s="26">
        <v>42005</v>
      </c>
      <c r="J1340" s="28">
        <v>42005</v>
      </c>
      <c r="Q1340" t="s">
        <v>44683</v>
      </c>
      <c r="R1340" t="s">
        <v>46191</v>
      </c>
    </row>
    <row r="1341" spans="1:18" x14ac:dyDescent="0.35">
      <c r="A1341" t="s">
        <v>14868</v>
      </c>
      <c r="D1341" t="s">
        <v>2714</v>
      </c>
      <c r="E1341" t="s">
        <v>43</v>
      </c>
      <c r="I1341" s="26">
        <v>42005</v>
      </c>
      <c r="J1341" s="28">
        <v>42005</v>
      </c>
      <c r="Q1341" t="s">
        <v>44683</v>
      </c>
      <c r="R1341" t="s">
        <v>46192</v>
      </c>
    </row>
    <row r="1342" spans="1:18" x14ac:dyDescent="0.35">
      <c r="A1342" t="s">
        <v>14845</v>
      </c>
      <c r="D1342" t="s">
        <v>2714</v>
      </c>
      <c r="E1342" t="s">
        <v>43</v>
      </c>
      <c r="I1342" s="26">
        <v>42005</v>
      </c>
      <c r="J1342" s="28">
        <v>42005</v>
      </c>
      <c r="Q1342" t="s">
        <v>44683</v>
      </c>
      <c r="R1342" t="s">
        <v>46193</v>
      </c>
    </row>
    <row r="1343" spans="1:18" x14ac:dyDescent="0.35">
      <c r="A1343" t="s">
        <v>14846</v>
      </c>
      <c r="D1343" t="s">
        <v>2714</v>
      </c>
      <c r="E1343" t="s">
        <v>43</v>
      </c>
      <c r="I1343" s="26">
        <v>42005</v>
      </c>
      <c r="J1343" s="28">
        <v>42005</v>
      </c>
      <c r="Q1343" t="s">
        <v>44683</v>
      </c>
      <c r="R1343" t="s">
        <v>46194</v>
      </c>
    </row>
    <row r="1344" spans="1:18" x14ac:dyDescent="0.35">
      <c r="A1344" t="s">
        <v>14869</v>
      </c>
      <c r="D1344" t="s">
        <v>2714</v>
      </c>
      <c r="E1344" t="s">
        <v>43</v>
      </c>
      <c r="I1344" s="26">
        <v>42005</v>
      </c>
      <c r="J1344" s="28">
        <v>42005</v>
      </c>
      <c r="Q1344" t="s">
        <v>44683</v>
      </c>
      <c r="R1344" t="s">
        <v>46195</v>
      </c>
    </row>
    <row r="1345" spans="1:18" x14ac:dyDescent="0.35">
      <c r="A1345" t="s">
        <v>14847</v>
      </c>
      <c r="D1345" t="s">
        <v>2714</v>
      </c>
      <c r="E1345" t="s">
        <v>43</v>
      </c>
      <c r="I1345" s="26">
        <v>42005</v>
      </c>
      <c r="J1345" s="28">
        <v>42005</v>
      </c>
      <c r="Q1345" t="s">
        <v>44683</v>
      </c>
      <c r="R1345" t="s">
        <v>46196</v>
      </c>
    </row>
    <row r="1346" spans="1:18" x14ac:dyDescent="0.35">
      <c r="A1346" t="s">
        <v>15624</v>
      </c>
      <c r="D1346" t="s">
        <v>5912</v>
      </c>
      <c r="E1346" t="s">
        <v>43</v>
      </c>
      <c r="I1346" s="26">
        <v>42005</v>
      </c>
      <c r="J1346" s="28">
        <v>42005</v>
      </c>
      <c r="Q1346" t="s">
        <v>44683</v>
      </c>
      <c r="R1346" t="s">
        <v>46197</v>
      </c>
    </row>
    <row r="1347" spans="1:18" x14ac:dyDescent="0.35">
      <c r="A1347" t="s">
        <v>14870</v>
      </c>
      <c r="D1347" t="s">
        <v>2714</v>
      </c>
      <c r="E1347" t="s">
        <v>43</v>
      </c>
      <c r="I1347" s="26">
        <v>42005</v>
      </c>
      <c r="J1347" s="28">
        <v>42005</v>
      </c>
      <c r="Q1347" t="s">
        <v>44683</v>
      </c>
      <c r="R1347" t="s">
        <v>46198</v>
      </c>
    </row>
    <row r="1348" spans="1:18" x14ac:dyDescent="0.35">
      <c r="A1348" t="s">
        <v>14000</v>
      </c>
      <c r="D1348" t="s">
        <v>50</v>
      </c>
      <c r="E1348" t="s">
        <v>43</v>
      </c>
      <c r="I1348" s="26">
        <v>42005</v>
      </c>
      <c r="J1348" s="28">
        <v>42005</v>
      </c>
      <c r="Q1348" t="s">
        <v>44683</v>
      </c>
      <c r="R1348" t="s">
        <v>46199</v>
      </c>
    </row>
    <row r="1349" spans="1:18" x14ac:dyDescent="0.35">
      <c r="A1349" t="s">
        <v>13986</v>
      </c>
      <c r="D1349" t="s">
        <v>41</v>
      </c>
      <c r="E1349" t="s">
        <v>43</v>
      </c>
      <c r="I1349" s="26">
        <v>42005</v>
      </c>
      <c r="J1349" s="28">
        <v>42005</v>
      </c>
      <c r="Q1349" t="s">
        <v>44683</v>
      </c>
      <c r="R1349" t="s">
        <v>46200</v>
      </c>
    </row>
    <row r="1350" spans="1:18" x14ac:dyDescent="0.35">
      <c r="A1350" t="s">
        <v>13987</v>
      </c>
      <c r="D1350" t="s">
        <v>41</v>
      </c>
      <c r="E1350" t="s">
        <v>43</v>
      </c>
      <c r="I1350" s="26">
        <v>42005</v>
      </c>
      <c r="J1350" s="28">
        <v>42005</v>
      </c>
      <c r="Q1350" t="s">
        <v>44683</v>
      </c>
      <c r="R1350" t="s">
        <v>46201</v>
      </c>
    </row>
    <row r="1351" spans="1:18" x14ac:dyDescent="0.35">
      <c r="A1351" t="s">
        <v>14848</v>
      </c>
      <c r="D1351" t="s">
        <v>2714</v>
      </c>
      <c r="E1351" t="s">
        <v>43</v>
      </c>
      <c r="I1351" s="26">
        <v>42005</v>
      </c>
      <c r="J1351" s="28">
        <v>42005</v>
      </c>
      <c r="Q1351" t="s">
        <v>44683</v>
      </c>
      <c r="R1351" t="s">
        <v>46202</v>
      </c>
    </row>
    <row r="1352" spans="1:18" x14ac:dyDescent="0.35">
      <c r="A1352" t="s">
        <v>13988</v>
      </c>
      <c r="D1352" t="s">
        <v>41</v>
      </c>
      <c r="E1352" t="s">
        <v>43</v>
      </c>
      <c r="I1352" s="26">
        <v>42005</v>
      </c>
      <c r="J1352" s="28">
        <v>42005</v>
      </c>
      <c r="Q1352" t="s">
        <v>44683</v>
      </c>
      <c r="R1352" t="s">
        <v>46203</v>
      </c>
    </row>
    <row r="1353" spans="1:18" x14ac:dyDescent="0.35">
      <c r="A1353" t="s">
        <v>16519</v>
      </c>
      <c r="D1353" t="s">
        <v>7307</v>
      </c>
      <c r="E1353" t="s">
        <v>43</v>
      </c>
      <c r="I1353" s="26">
        <v>42005</v>
      </c>
      <c r="J1353" s="28">
        <v>42005</v>
      </c>
      <c r="Q1353" t="s">
        <v>44683</v>
      </c>
      <c r="R1353" t="s">
        <v>46204</v>
      </c>
    </row>
    <row r="1354" spans="1:18" x14ac:dyDescent="0.35">
      <c r="A1354" t="s">
        <v>14236</v>
      </c>
      <c r="D1354" t="s">
        <v>1254</v>
      </c>
      <c r="E1354" t="s">
        <v>43</v>
      </c>
      <c r="I1354" s="26">
        <v>42005</v>
      </c>
      <c r="J1354" s="28">
        <v>42005</v>
      </c>
      <c r="Q1354" t="s">
        <v>44683</v>
      </c>
      <c r="R1354" t="s">
        <v>46205</v>
      </c>
    </row>
    <row r="1355" spans="1:18" x14ac:dyDescent="0.35">
      <c r="A1355" t="s">
        <v>16472</v>
      </c>
      <c r="D1355" t="s">
        <v>7299</v>
      </c>
      <c r="E1355" t="s">
        <v>43</v>
      </c>
      <c r="I1355" s="26">
        <v>42005</v>
      </c>
      <c r="J1355" s="28">
        <v>42005</v>
      </c>
      <c r="Q1355" t="s">
        <v>44683</v>
      </c>
      <c r="R1355" t="s">
        <v>46206</v>
      </c>
    </row>
    <row r="1356" spans="1:18" x14ac:dyDescent="0.35">
      <c r="A1356" t="s">
        <v>14849</v>
      </c>
      <c r="D1356" t="s">
        <v>2714</v>
      </c>
      <c r="E1356" t="s">
        <v>43</v>
      </c>
      <c r="I1356" s="26">
        <v>42005</v>
      </c>
      <c r="J1356" s="28">
        <v>42005</v>
      </c>
      <c r="Q1356" t="s">
        <v>44683</v>
      </c>
      <c r="R1356" t="s">
        <v>46207</v>
      </c>
    </row>
    <row r="1357" spans="1:18" x14ac:dyDescent="0.35">
      <c r="A1357" t="s">
        <v>14469</v>
      </c>
      <c r="D1357" t="s">
        <v>14452</v>
      </c>
      <c r="E1357" t="s">
        <v>43</v>
      </c>
      <c r="I1357" s="26">
        <v>42005</v>
      </c>
      <c r="J1357" s="28">
        <v>42005</v>
      </c>
      <c r="Q1357" t="s">
        <v>44683</v>
      </c>
      <c r="R1357" t="s">
        <v>46208</v>
      </c>
    </row>
    <row r="1358" spans="1:18" x14ac:dyDescent="0.35">
      <c r="A1358" t="s">
        <v>15458</v>
      </c>
      <c r="D1358" t="s">
        <v>5725</v>
      </c>
      <c r="E1358" t="s">
        <v>43</v>
      </c>
      <c r="I1358" s="26">
        <v>42005</v>
      </c>
      <c r="J1358" s="28">
        <v>42005</v>
      </c>
      <c r="Q1358" t="s">
        <v>44683</v>
      </c>
      <c r="R1358" t="s">
        <v>46209</v>
      </c>
    </row>
    <row r="1359" spans="1:18" x14ac:dyDescent="0.35">
      <c r="A1359" t="s">
        <v>15673</v>
      </c>
      <c r="D1359" t="s">
        <v>5877</v>
      </c>
      <c r="E1359" t="s">
        <v>43</v>
      </c>
      <c r="I1359" s="26">
        <v>42005</v>
      </c>
      <c r="J1359" s="28">
        <v>42005</v>
      </c>
      <c r="Q1359" t="s">
        <v>44683</v>
      </c>
      <c r="R1359" t="s">
        <v>46210</v>
      </c>
    </row>
    <row r="1360" spans="1:18" x14ac:dyDescent="0.35">
      <c r="A1360" t="s">
        <v>14850</v>
      </c>
      <c r="D1360" t="s">
        <v>2714</v>
      </c>
      <c r="E1360" t="s">
        <v>43</v>
      </c>
      <c r="I1360" s="26">
        <v>42005</v>
      </c>
      <c r="J1360" s="28">
        <v>42005</v>
      </c>
      <c r="Q1360" t="s">
        <v>44683</v>
      </c>
      <c r="R1360" t="s">
        <v>46211</v>
      </c>
    </row>
    <row r="1361" spans="1:18" x14ac:dyDescent="0.35">
      <c r="A1361" t="s">
        <v>14355</v>
      </c>
      <c r="D1361" t="s">
        <v>1784</v>
      </c>
      <c r="E1361" t="s">
        <v>43</v>
      </c>
      <c r="I1361" s="26">
        <v>42005</v>
      </c>
      <c r="J1361" s="28">
        <v>42005</v>
      </c>
      <c r="Q1361" t="s">
        <v>44683</v>
      </c>
      <c r="R1361" t="s">
        <v>46212</v>
      </c>
    </row>
    <row r="1362" spans="1:18" x14ac:dyDescent="0.35">
      <c r="A1362" t="s">
        <v>14001</v>
      </c>
      <c r="D1362" t="s">
        <v>50</v>
      </c>
      <c r="E1362" t="s">
        <v>43</v>
      </c>
      <c r="I1362" s="26">
        <v>42005</v>
      </c>
      <c r="J1362" s="28">
        <v>42005</v>
      </c>
      <c r="Q1362" t="s">
        <v>44683</v>
      </c>
      <c r="R1362" t="s">
        <v>46213</v>
      </c>
    </row>
    <row r="1363" spans="1:18" x14ac:dyDescent="0.35">
      <c r="A1363" t="s">
        <v>15674</v>
      </c>
      <c r="D1363" t="s">
        <v>5877</v>
      </c>
      <c r="E1363" t="s">
        <v>43</v>
      </c>
      <c r="I1363" s="26">
        <v>42005</v>
      </c>
      <c r="J1363" s="28">
        <v>42005</v>
      </c>
      <c r="Q1363" t="s">
        <v>44683</v>
      </c>
      <c r="R1363" t="s">
        <v>46214</v>
      </c>
    </row>
    <row r="1364" spans="1:18" x14ac:dyDescent="0.35">
      <c r="A1364" t="s">
        <v>13989</v>
      </c>
      <c r="D1364" t="s">
        <v>41</v>
      </c>
      <c r="E1364" t="s">
        <v>43</v>
      </c>
      <c r="I1364" s="26">
        <v>42005</v>
      </c>
      <c r="J1364" s="28">
        <v>42005</v>
      </c>
      <c r="Q1364" t="s">
        <v>44683</v>
      </c>
      <c r="R1364" t="s">
        <v>46215</v>
      </c>
    </row>
    <row r="1365" spans="1:18" x14ac:dyDescent="0.35">
      <c r="A1365" t="s">
        <v>14002</v>
      </c>
      <c r="D1365" t="s">
        <v>50</v>
      </c>
      <c r="E1365" t="s">
        <v>43</v>
      </c>
      <c r="I1365" s="26">
        <v>42005</v>
      </c>
      <c r="J1365" s="28">
        <v>42005</v>
      </c>
      <c r="Q1365" t="s">
        <v>44683</v>
      </c>
      <c r="R1365" t="s">
        <v>46216</v>
      </c>
    </row>
    <row r="1366" spans="1:18" x14ac:dyDescent="0.35">
      <c r="A1366" t="s">
        <v>13990</v>
      </c>
      <c r="D1366" t="s">
        <v>41</v>
      </c>
      <c r="E1366" t="s">
        <v>43</v>
      </c>
      <c r="I1366" s="26">
        <v>42005</v>
      </c>
      <c r="J1366" s="28">
        <v>42005</v>
      </c>
      <c r="Q1366" t="s">
        <v>44683</v>
      </c>
      <c r="R1366" t="s">
        <v>46217</v>
      </c>
    </row>
    <row r="1367" spans="1:18" x14ac:dyDescent="0.35">
      <c r="A1367" t="s">
        <v>13991</v>
      </c>
      <c r="D1367" t="s">
        <v>41</v>
      </c>
      <c r="E1367" t="s">
        <v>43</v>
      </c>
      <c r="I1367" s="26">
        <v>42005</v>
      </c>
      <c r="J1367" s="28">
        <v>42005</v>
      </c>
      <c r="Q1367" t="s">
        <v>44683</v>
      </c>
      <c r="R1367" t="s">
        <v>46218</v>
      </c>
    </row>
    <row r="1368" spans="1:18" x14ac:dyDescent="0.35">
      <c r="A1368" t="s">
        <v>13992</v>
      </c>
      <c r="D1368" t="s">
        <v>41</v>
      </c>
      <c r="E1368" t="s">
        <v>43</v>
      </c>
      <c r="I1368" s="26">
        <v>42005</v>
      </c>
      <c r="J1368" s="28">
        <v>42005</v>
      </c>
      <c r="Q1368" t="s">
        <v>44683</v>
      </c>
      <c r="R1368" t="s">
        <v>46219</v>
      </c>
    </row>
    <row r="1369" spans="1:18" x14ac:dyDescent="0.35">
      <c r="A1369" t="s">
        <v>13993</v>
      </c>
      <c r="D1369" t="s">
        <v>41</v>
      </c>
      <c r="E1369" t="s">
        <v>43</v>
      </c>
      <c r="I1369" s="26">
        <v>42005</v>
      </c>
      <c r="J1369" s="28">
        <v>42005</v>
      </c>
      <c r="Q1369" t="s">
        <v>44683</v>
      </c>
      <c r="R1369" t="s">
        <v>46220</v>
      </c>
    </row>
    <row r="1370" spans="1:18" x14ac:dyDescent="0.35">
      <c r="A1370" t="s">
        <v>15670</v>
      </c>
      <c r="D1370" t="s">
        <v>5877</v>
      </c>
      <c r="E1370" t="s">
        <v>43</v>
      </c>
      <c r="I1370" s="26">
        <v>42005</v>
      </c>
      <c r="J1370" s="28">
        <v>42005</v>
      </c>
      <c r="Q1370" t="s">
        <v>44683</v>
      </c>
      <c r="R1370" t="s">
        <v>46221</v>
      </c>
    </row>
    <row r="1371" spans="1:18" x14ac:dyDescent="0.35">
      <c r="A1371" t="s">
        <v>13994</v>
      </c>
      <c r="D1371" t="s">
        <v>41</v>
      </c>
      <c r="E1371" t="s">
        <v>43</v>
      </c>
      <c r="I1371" s="26">
        <v>42005</v>
      </c>
      <c r="J1371" s="28">
        <v>42005</v>
      </c>
      <c r="Q1371" t="s">
        <v>44683</v>
      </c>
      <c r="R1371" t="s">
        <v>46222</v>
      </c>
    </row>
    <row r="1372" spans="1:18" x14ac:dyDescent="0.35">
      <c r="A1372" t="s">
        <v>14851</v>
      </c>
      <c r="D1372" t="s">
        <v>2714</v>
      </c>
      <c r="E1372" t="s">
        <v>43</v>
      </c>
      <c r="I1372" s="26">
        <v>42005</v>
      </c>
      <c r="J1372" s="28">
        <v>42005</v>
      </c>
      <c r="Q1372" t="s">
        <v>44683</v>
      </c>
      <c r="R1372" t="s">
        <v>46223</v>
      </c>
    </row>
    <row r="1373" spans="1:18" x14ac:dyDescent="0.35">
      <c r="A1373" t="s">
        <v>16493</v>
      </c>
      <c r="D1373" t="s">
        <v>7303</v>
      </c>
      <c r="E1373" t="s">
        <v>43</v>
      </c>
      <c r="I1373" s="26">
        <v>42005</v>
      </c>
      <c r="J1373" s="28">
        <v>42005</v>
      </c>
      <c r="Q1373" t="s">
        <v>44683</v>
      </c>
      <c r="R1373" t="s">
        <v>46224</v>
      </c>
    </row>
    <row r="1374" spans="1:18" x14ac:dyDescent="0.35">
      <c r="A1374" t="s">
        <v>14852</v>
      </c>
      <c r="D1374" t="s">
        <v>2714</v>
      </c>
      <c r="E1374" t="s">
        <v>43</v>
      </c>
      <c r="I1374" s="26">
        <v>42005</v>
      </c>
      <c r="J1374" s="28">
        <v>42005</v>
      </c>
      <c r="Q1374" t="s">
        <v>44683</v>
      </c>
      <c r="R1374" t="s">
        <v>46225</v>
      </c>
    </row>
    <row r="1375" spans="1:18" x14ac:dyDescent="0.35">
      <c r="A1375" t="s">
        <v>16494</v>
      </c>
      <c r="D1375" t="s">
        <v>7303</v>
      </c>
      <c r="E1375" t="s">
        <v>43</v>
      </c>
      <c r="I1375" s="26">
        <v>42005</v>
      </c>
      <c r="J1375" s="28">
        <v>42005</v>
      </c>
      <c r="Q1375" t="s">
        <v>44683</v>
      </c>
      <c r="R1375" t="s">
        <v>46226</v>
      </c>
    </row>
    <row r="1376" spans="1:18" x14ac:dyDescent="0.35">
      <c r="A1376" t="s">
        <v>14237</v>
      </c>
      <c r="D1376" t="s">
        <v>1254</v>
      </c>
      <c r="E1376" t="s">
        <v>43</v>
      </c>
      <c r="I1376" s="26">
        <v>42005</v>
      </c>
      <c r="J1376" s="28">
        <v>42005</v>
      </c>
      <c r="Q1376" t="s">
        <v>44683</v>
      </c>
      <c r="R1376" t="s">
        <v>46227</v>
      </c>
    </row>
    <row r="1377" spans="1:18" x14ac:dyDescent="0.35">
      <c r="A1377" t="s">
        <v>14853</v>
      </c>
      <c r="D1377" t="s">
        <v>2714</v>
      </c>
      <c r="E1377" t="s">
        <v>43</v>
      </c>
      <c r="I1377" s="26">
        <v>42005</v>
      </c>
      <c r="J1377" s="28">
        <v>42005</v>
      </c>
      <c r="Q1377" t="s">
        <v>44683</v>
      </c>
      <c r="R1377" t="s">
        <v>46228</v>
      </c>
    </row>
    <row r="1378" spans="1:18" x14ac:dyDescent="0.35">
      <c r="A1378" t="s">
        <v>14238</v>
      </c>
      <c r="D1378" t="s">
        <v>1254</v>
      </c>
      <c r="E1378" t="s">
        <v>43</v>
      </c>
      <c r="I1378" s="26">
        <v>42005</v>
      </c>
      <c r="J1378" s="28">
        <v>42005</v>
      </c>
      <c r="Q1378" t="s">
        <v>44683</v>
      </c>
      <c r="R1378" t="s">
        <v>46229</v>
      </c>
    </row>
    <row r="1379" spans="1:18" x14ac:dyDescent="0.35">
      <c r="A1379" t="s">
        <v>14854</v>
      </c>
      <c r="D1379" t="s">
        <v>2714</v>
      </c>
      <c r="E1379" t="s">
        <v>43</v>
      </c>
      <c r="I1379" s="26">
        <v>42005</v>
      </c>
      <c r="J1379" s="28">
        <v>42005</v>
      </c>
      <c r="Q1379" t="s">
        <v>44683</v>
      </c>
      <c r="R1379" t="s">
        <v>46230</v>
      </c>
    </row>
    <row r="1380" spans="1:18" x14ac:dyDescent="0.35">
      <c r="A1380" t="s">
        <v>14470</v>
      </c>
      <c r="D1380" t="s">
        <v>14452</v>
      </c>
      <c r="E1380" t="s">
        <v>43</v>
      </c>
      <c r="I1380" s="26">
        <v>42005</v>
      </c>
      <c r="J1380" s="28">
        <v>42005</v>
      </c>
      <c r="Q1380" t="s">
        <v>44683</v>
      </c>
      <c r="R1380" t="s">
        <v>46231</v>
      </c>
    </row>
    <row r="1381" spans="1:18" x14ac:dyDescent="0.35">
      <c r="A1381" t="s">
        <v>14475</v>
      </c>
      <c r="D1381" t="s">
        <v>2053</v>
      </c>
      <c r="E1381" t="s">
        <v>43</v>
      </c>
      <c r="I1381" s="26">
        <v>42005</v>
      </c>
      <c r="J1381" s="28">
        <v>42005</v>
      </c>
      <c r="Q1381" t="s">
        <v>44683</v>
      </c>
      <c r="R1381" t="s">
        <v>46232</v>
      </c>
    </row>
    <row r="1382" spans="1:18" x14ac:dyDescent="0.35">
      <c r="A1382" t="s">
        <v>14623</v>
      </c>
      <c r="D1382" t="s">
        <v>2221</v>
      </c>
      <c r="E1382" t="s">
        <v>43</v>
      </c>
      <c r="I1382" s="26">
        <v>42005</v>
      </c>
      <c r="J1382" s="28">
        <v>42005</v>
      </c>
      <c r="Q1382" t="s">
        <v>44683</v>
      </c>
      <c r="R1382" t="s">
        <v>46233</v>
      </c>
    </row>
    <row r="1383" spans="1:18" x14ac:dyDescent="0.35">
      <c r="A1383" t="s">
        <v>16304</v>
      </c>
      <c r="D1383" t="s">
        <v>5675</v>
      </c>
      <c r="E1383" t="s">
        <v>43</v>
      </c>
      <c r="I1383" s="26">
        <v>42005</v>
      </c>
      <c r="J1383" s="28">
        <v>42005</v>
      </c>
      <c r="Q1383" t="s">
        <v>44683</v>
      </c>
      <c r="R1383" t="s">
        <v>46234</v>
      </c>
    </row>
    <row r="1384" spans="1:18" x14ac:dyDescent="0.35">
      <c r="A1384" t="s">
        <v>13995</v>
      </c>
      <c r="D1384" t="s">
        <v>41</v>
      </c>
      <c r="E1384" t="s">
        <v>43</v>
      </c>
      <c r="I1384" s="26">
        <v>42005</v>
      </c>
      <c r="J1384" s="28">
        <v>42005</v>
      </c>
      <c r="Q1384" t="s">
        <v>44683</v>
      </c>
      <c r="R1384" t="s">
        <v>46235</v>
      </c>
    </row>
    <row r="1385" spans="1:18" x14ac:dyDescent="0.35">
      <c r="A1385" t="s">
        <v>14871</v>
      </c>
      <c r="D1385" t="s">
        <v>2714</v>
      </c>
      <c r="E1385" t="s">
        <v>43</v>
      </c>
      <c r="I1385" s="26">
        <v>42005</v>
      </c>
      <c r="J1385" s="28">
        <v>42005</v>
      </c>
      <c r="Q1385" t="s">
        <v>44683</v>
      </c>
      <c r="R1385" t="s">
        <v>46236</v>
      </c>
    </row>
    <row r="1386" spans="1:18" x14ac:dyDescent="0.35">
      <c r="A1386" t="s">
        <v>14872</v>
      </c>
      <c r="D1386" t="s">
        <v>2714</v>
      </c>
      <c r="E1386" t="s">
        <v>43</v>
      </c>
      <c r="I1386" s="26">
        <v>42005</v>
      </c>
      <c r="J1386" s="28">
        <v>42005</v>
      </c>
      <c r="Q1386" t="s">
        <v>44683</v>
      </c>
      <c r="R1386" t="s">
        <v>46237</v>
      </c>
    </row>
    <row r="1387" spans="1:18" x14ac:dyDescent="0.35">
      <c r="A1387" t="s">
        <v>15675</v>
      </c>
      <c r="D1387" t="s">
        <v>5877</v>
      </c>
      <c r="E1387" t="s">
        <v>43</v>
      </c>
      <c r="I1387" s="26">
        <v>42005</v>
      </c>
      <c r="J1387" s="28">
        <v>42005</v>
      </c>
      <c r="Q1387" t="s">
        <v>44683</v>
      </c>
      <c r="R1387" t="s">
        <v>46238</v>
      </c>
    </row>
    <row r="1388" spans="1:18" x14ac:dyDescent="0.35">
      <c r="A1388" t="s">
        <v>15595</v>
      </c>
      <c r="D1388" t="s">
        <v>5690</v>
      </c>
      <c r="E1388" t="s">
        <v>43</v>
      </c>
      <c r="I1388" s="26">
        <v>42005</v>
      </c>
      <c r="J1388" s="28">
        <v>42005</v>
      </c>
      <c r="Q1388" t="s">
        <v>44683</v>
      </c>
      <c r="R1388" t="s">
        <v>46239</v>
      </c>
    </row>
    <row r="1389" spans="1:18" x14ac:dyDescent="0.35">
      <c r="A1389" t="s">
        <v>13996</v>
      </c>
      <c r="D1389" t="s">
        <v>41</v>
      </c>
      <c r="E1389" t="s">
        <v>43</v>
      </c>
      <c r="I1389" s="26">
        <v>42005</v>
      </c>
      <c r="J1389" s="28">
        <v>42005</v>
      </c>
      <c r="Q1389" t="s">
        <v>44683</v>
      </c>
      <c r="R1389" t="s">
        <v>46240</v>
      </c>
    </row>
    <row r="1390" spans="1:18" x14ac:dyDescent="0.35">
      <c r="A1390" t="s">
        <v>14239</v>
      </c>
      <c r="D1390" t="s">
        <v>1254</v>
      </c>
      <c r="E1390" t="s">
        <v>43</v>
      </c>
      <c r="I1390" s="26">
        <v>42005</v>
      </c>
      <c r="J1390" s="28">
        <v>42005</v>
      </c>
      <c r="Q1390" t="s">
        <v>44683</v>
      </c>
      <c r="R1390" t="s">
        <v>46241</v>
      </c>
    </row>
    <row r="1391" spans="1:18" x14ac:dyDescent="0.35">
      <c r="A1391" t="s">
        <v>16396</v>
      </c>
      <c r="D1391" t="s">
        <v>7210</v>
      </c>
      <c r="E1391" t="s">
        <v>43</v>
      </c>
      <c r="I1391" s="26">
        <v>42005</v>
      </c>
      <c r="J1391" s="28">
        <v>42005</v>
      </c>
      <c r="Q1391" t="s">
        <v>44683</v>
      </c>
      <c r="R1391" t="s">
        <v>46242</v>
      </c>
    </row>
    <row r="1392" spans="1:18" x14ac:dyDescent="0.35">
      <c r="A1392" t="s">
        <v>15077</v>
      </c>
      <c r="D1392" t="s">
        <v>3512</v>
      </c>
      <c r="E1392" t="s">
        <v>43</v>
      </c>
      <c r="I1392" s="26">
        <v>42005</v>
      </c>
      <c r="J1392" s="28">
        <v>42005</v>
      </c>
      <c r="Q1392" t="s">
        <v>15078</v>
      </c>
      <c r="R1392" t="s">
        <v>46243</v>
      </c>
    </row>
    <row r="1393" spans="1:18" x14ac:dyDescent="0.35">
      <c r="A1393" t="s">
        <v>14003</v>
      </c>
      <c r="D1393" t="s">
        <v>50</v>
      </c>
      <c r="E1393" t="s">
        <v>43</v>
      </c>
      <c r="I1393" s="26">
        <v>42005</v>
      </c>
      <c r="J1393" s="28">
        <v>42005</v>
      </c>
      <c r="Q1393" t="s">
        <v>44683</v>
      </c>
      <c r="R1393" t="s">
        <v>46244</v>
      </c>
    </row>
    <row r="1394" spans="1:18" x14ac:dyDescent="0.35">
      <c r="A1394" t="s">
        <v>14004</v>
      </c>
      <c r="D1394" t="s">
        <v>50</v>
      </c>
      <c r="E1394" t="s">
        <v>43</v>
      </c>
      <c r="I1394" s="26">
        <v>42005</v>
      </c>
      <c r="J1394" s="28">
        <v>42005</v>
      </c>
      <c r="Q1394" t="s">
        <v>44683</v>
      </c>
      <c r="R1394" t="s">
        <v>46245</v>
      </c>
    </row>
    <row r="1395" spans="1:18" x14ac:dyDescent="0.35">
      <c r="A1395" t="s">
        <v>16397</v>
      </c>
      <c r="D1395" t="s">
        <v>7210</v>
      </c>
      <c r="E1395" t="s">
        <v>43</v>
      </c>
      <c r="I1395" s="26">
        <v>42005</v>
      </c>
      <c r="J1395" s="28">
        <v>42005</v>
      </c>
      <c r="Q1395" t="s">
        <v>44683</v>
      </c>
      <c r="R1395" t="s">
        <v>46246</v>
      </c>
    </row>
    <row r="1396" spans="1:18" x14ac:dyDescent="0.35">
      <c r="A1396" t="s">
        <v>16305</v>
      </c>
      <c r="D1396" t="s">
        <v>5675</v>
      </c>
      <c r="E1396" t="s">
        <v>43</v>
      </c>
      <c r="I1396" s="26">
        <v>42005</v>
      </c>
      <c r="J1396" s="28">
        <v>42005</v>
      </c>
      <c r="Q1396" t="s">
        <v>44683</v>
      </c>
      <c r="R1396" t="s">
        <v>46247</v>
      </c>
    </row>
    <row r="1397" spans="1:18" x14ac:dyDescent="0.35">
      <c r="A1397" t="s">
        <v>16398</v>
      </c>
      <c r="D1397" t="s">
        <v>7210</v>
      </c>
      <c r="E1397" t="s">
        <v>43</v>
      </c>
      <c r="I1397" s="26">
        <v>42005</v>
      </c>
      <c r="J1397" s="28">
        <v>42005</v>
      </c>
      <c r="Q1397" t="s">
        <v>44683</v>
      </c>
      <c r="R1397" t="s">
        <v>46248</v>
      </c>
    </row>
    <row r="1398" spans="1:18" x14ac:dyDescent="0.35">
      <c r="A1398" t="s">
        <v>14873</v>
      </c>
      <c r="D1398" t="s">
        <v>2714</v>
      </c>
      <c r="E1398" t="s">
        <v>43</v>
      </c>
      <c r="I1398" s="26">
        <v>42005</v>
      </c>
      <c r="J1398" s="28">
        <v>42005</v>
      </c>
      <c r="Q1398" t="s">
        <v>44683</v>
      </c>
      <c r="R1398" t="s">
        <v>46249</v>
      </c>
    </row>
    <row r="1399" spans="1:18" x14ac:dyDescent="0.35">
      <c r="A1399" t="s">
        <v>14855</v>
      </c>
      <c r="D1399" t="s">
        <v>2714</v>
      </c>
      <c r="E1399" t="s">
        <v>43</v>
      </c>
      <c r="I1399" s="26">
        <v>42005</v>
      </c>
      <c r="J1399" s="28">
        <v>42005</v>
      </c>
      <c r="Q1399" t="s">
        <v>44683</v>
      </c>
      <c r="R1399" t="s">
        <v>46250</v>
      </c>
    </row>
    <row r="1400" spans="1:18" x14ac:dyDescent="0.35">
      <c r="A1400" t="s">
        <v>14354</v>
      </c>
      <c r="D1400" t="s">
        <v>1784</v>
      </c>
      <c r="E1400" t="s">
        <v>43</v>
      </c>
      <c r="I1400" s="26">
        <v>42005</v>
      </c>
      <c r="J1400" s="28">
        <v>42005</v>
      </c>
      <c r="Q1400" t="s">
        <v>44683</v>
      </c>
      <c r="R1400" t="s">
        <v>46251</v>
      </c>
    </row>
    <row r="1401" spans="1:18" x14ac:dyDescent="0.35">
      <c r="A1401" t="s">
        <v>14240</v>
      </c>
      <c r="D1401" t="s">
        <v>1254</v>
      </c>
      <c r="E1401" t="s">
        <v>43</v>
      </c>
      <c r="I1401" s="26">
        <v>42005</v>
      </c>
      <c r="J1401" s="28">
        <v>42005</v>
      </c>
      <c r="Q1401" t="s">
        <v>44683</v>
      </c>
      <c r="R1401" t="s">
        <v>46252</v>
      </c>
    </row>
    <row r="1402" spans="1:18" x14ac:dyDescent="0.35">
      <c r="A1402" t="s">
        <v>16567</v>
      </c>
      <c r="D1402" t="s">
        <v>7315</v>
      </c>
      <c r="E1402" t="s">
        <v>43</v>
      </c>
      <c r="I1402" s="26">
        <v>41640</v>
      </c>
      <c r="J1402" s="28">
        <v>41640</v>
      </c>
      <c r="Q1402" t="s">
        <v>44683</v>
      </c>
      <c r="R1402" t="s">
        <v>46253</v>
      </c>
    </row>
    <row r="1403" spans="1:18" x14ac:dyDescent="0.35">
      <c r="A1403" t="s">
        <v>14466</v>
      </c>
      <c r="D1403" t="s">
        <v>14452</v>
      </c>
      <c r="E1403" t="s">
        <v>43</v>
      </c>
      <c r="I1403" s="26">
        <v>42005</v>
      </c>
      <c r="J1403" s="28">
        <v>42005</v>
      </c>
      <c r="Q1403" t="s">
        <v>44683</v>
      </c>
      <c r="R1403" t="s">
        <v>46254</v>
      </c>
    </row>
    <row r="1404" spans="1:18" x14ac:dyDescent="0.35">
      <c r="A1404" t="s">
        <v>14593</v>
      </c>
      <c r="D1404" t="s">
        <v>1949</v>
      </c>
      <c r="E1404" t="s">
        <v>43</v>
      </c>
      <c r="I1404" s="26">
        <v>41640</v>
      </c>
      <c r="J1404" s="28">
        <v>41640</v>
      </c>
      <c r="Q1404" t="s">
        <v>44683</v>
      </c>
      <c r="R1404" t="s">
        <v>46255</v>
      </c>
    </row>
    <row r="1405" spans="1:18" x14ac:dyDescent="0.35">
      <c r="A1405" t="s">
        <v>16464</v>
      </c>
      <c r="D1405" t="s">
        <v>7298</v>
      </c>
      <c r="E1405" t="s">
        <v>43</v>
      </c>
      <c r="I1405" s="26">
        <v>41640</v>
      </c>
      <c r="J1405" s="28">
        <v>41640</v>
      </c>
      <c r="Q1405" t="s">
        <v>44683</v>
      </c>
      <c r="R1405" t="s">
        <v>46256</v>
      </c>
    </row>
    <row r="1406" spans="1:18" x14ac:dyDescent="0.35">
      <c r="A1406" t="s">
        <v>16604</v>
      </c>
      <c r="D1406" t="s">
        <v>7321</v>
      </c>
      <c r="E1406" t="s">
        <v>43</v>
      </c>
      <c r="I1406" s="26">
        <v>41640</v>
      </c>
      <c r="J1406" s="28">
        <v>41640</v>
      </c>
      <c r="Q1406" t="s">
        <v>44683</v>
      </c>
      <c r="R1406" t="s">
        <v>46257</v>
      </c>
    </row>
    <row r="1407" spans="1:18" x14ac:dyDescent="0.35">
      <c r="A1407" t="s">
        <v>16609</v>
      </c>
      <c r="D1407" t="s">
        <v>7322</v>
      </c>
      <c r="E1407" t="s">
        <v>43</v>
      </c>
      <c r="I1407" s="26">
        <v>41640</v>
      </c>
      <c r="J1407" s="28">
        <v>41640</v>
      </c>
      <c r="Q1407" t="s">
        <v>44683</v>
      </c>
      <c r="R1407" t="s">
        <v>46258</v>
      </c>
    </row>
    <row r="1408" spans="1:18" x14ac:dyDescent="0.35">
      <c r="A1408" t="s">
        <v>14587</v>
      </c>
      <c r="D1408" t="s">
        <v>1949</v>
      </c>
      <c r="E1408" t="s">
        <v>43</v>
      </c>
      <c r="I1408" s="26">
        <v>41640</v>
      </c>
      <c r="J1408" s="28">
        <v>41640</v>
      </c>
      <c r="Q1408" t="s">
        <v>44683</v>
      </c>
      <c r="R1408" t="s">
        <v>46259</v>
      </c>
    </row>
    <row r="1409" spans="1:18" x14ac:dyDescent="0.35">
      <c r="A1409" t="s">
        <v>14586</v>
      </c>
      <c r="D1409" t="s">
        <v>1948</v>
      </c>
      <c r="E1409" t="s">
        <v>43</v>
      </c>
      <c r="I1409" s="26">
        <v>41640</v>
      </c>
      <c r="J1409" s="28">
        <v>41640</v>
      </c>
      <c r="Q1409" t="s">
        <v>44683</v>
      </c>
      <c r="R1409" t="s">
        <v>46260</v>
      </c>
    </row>
    <row r="1410" spans="1:18" x14ac:dyDescent="0.35">
      <c r="A1410" t="s">
        <v>16568</v>
      </c>
      <c r="D1410" t="s">
        <v>7315</v>
      </c>
      <c r="E1410" t="s">
        <v>43</v>
      </c>
      <c r="I1410" s="26">
        <v>41640</v>
      </c>
      <c r="J1410" s="28">
        <v>41640</v>
      </c>
      <c r="Q1410" t="s">
        <v>44683</v>
      </c>
      <c r="R1410" t="s">
        <v>46261</v>
      </c>
    </row>
    <row r="1411" spans="1:18" x14ac:dyDescent="0.35">
      <c r="A1411" t="s">
        <v>16484</v>
      </c>
      <c r="D1411" t="s">
        <v>7302</v>
      </c>
      <c r="E1411" t="s">
        <v>43</v>
      </c>
      <c r="I1411" s="26">
        <v>41640</v>
      </c>
      <c r="J1411" s="28">
        <v>41640</v>
      </c>
      <c r="Q1411" t="s">
        <v>44683</v>
      </c>
      <c r="R1411" t="s">
        <v>46262</v>
      </c>
    </row>
    <row r="1412" spans="1:18" x14ac:dyDescent="0.35">
      <c r="A1412" t="s">
        <v>16542</v>
      </c>
      <c r="D1412" t="s">
        <v>7311</v>
      </c>
      <c r="E1412" t="s">
        <v>43</v>
      </c>
      <c r="I1412" s="26">
        <v>41640</v>
      </c>
      <c r="J1412" s="28">
        <v>41640</v>
      </c>
      <c r="Q1412" t="s">
        <v>44683</v>
      </c>
      <c r="R1412" t="s">
        <v>46263</v>
      </c>
    </row>
    <row r="1413" spans="1:18" x14ac:dyDescent="0.35">
      <c r="A1413" t="s">
        <v>15671</v>
      </c>
      <c r="D1413" t="s">
        <v>5877</v>
      </c>
      <c r="E1413" t="s">
        <v>43</v>
      </c>
      <c r="I1413" s="26">
        <v>41660</v>
      </c>
      <c r="J1413" s="28">
        <v>41660</v>
      </c>
      <c r="Q1413" t="s">
        <v>44683</v>
      </c>
      <c r="R1413" t="s">
        <v>46264</v>
      </c>
    </row>
    <row r="1414" spans="1:18" x14ac:dyDescent="0.35">
      <c r="A1414" t="s">
        <v>14260</v>
      </c>
      <c r="D1414" t="s">
        <v>1372</v>
      </c>
      <c r="E1414" t="s">
        <v>43</v>
      </c>
      <c r="I1414" s="26">
        <v>41640</v>
      </c>
      <c r="J1414" s="28">
        <v>41640</v>
      </c>
      <c r="Q1414" t="s">
        <v>44683</v>
      </c>
      <c r="R1414" t="s">
        <v>46265</v>
      </c>
    </row>
    <row r="1415" spans="1:18" x14ac:dyDescent="0.35">
      <c r="A1415" t="s">
        <v>14467</v>
      </c>
      <c r="D1415" t="s">
        <v>14452</v>
      </c>
      <c r="E1415" t="s">
        <v>43</v>
      </c>
      <c r="I1415" s="26">
        <v>42005</v>
      </c>
      <c r="J1415" s="28">
        <v>42005</v>
      </c>
      <c r="Q1415" t="s">
        <v>44683</v>
      </c>
      <c r="R1415" t="s">
        <v>46266</v>
      </c>
    </row>
    <row r="1416" spans="1:18" x14ac:dyDescent="0.35">
      <c r="A1416" t="s">
        <v>46267</v>
      </c>
      <c r="D1416" t="s">
        <v>46268</v>
      </c>
      <c r="E1416" t="s">
        <v>43</v>
      </c>
      <c r="I1416" s="26">
        <v>41640</v>
      </c>
      <c r="J1416" s="28">
        <v>41640</v>
      </c>
      <c r="Q1416" t="s">
        <v>44683</v>
      </c>
      <c r="R1416" t="s">
        <v>46269</v>
      </c>
    </row>
    <row r="1417" spans="1:18" x14ac:dyDescent="0.35">
      <c r="A1417" t="s">
        <v>16473</v>
      </c>
      <c r="D1417" t="s">
        <v>7300</v>
      </c>
      <c r="E1417" t="s">
        <v>43</v>
      </c>
      <c r="I1417" s="26">
        <v>41640</v>
      </c>
      <c r="J1417" s="28">
        <v>41640</v>
      </c>
      <c r="Q1417" t="s">
        <v>44683</v>
      </c>
      <c r="R1417" t="s">
        <v>46270</v>
      </c>
    </row>
    <row r="1418" spans="1:18" x14ac:dyDescent="0.35">
      <c r="A1418" t="s">
        <v>14588</v>
      </c>
      <c r="D1418" t="s">
        <v>1949</v>
      </c>
      <c r="E1418" t="s">
        <v>43</v>
      </c>
      <c r="I1418" s="26">
        <v>41640</v>
      </c>
      <c r="J1418" s="28">
        <v>41640</v>
      </c>
      <c r="Q1418" t="s">
        <v>44683</v>
      </c>
      <c r="R1418" t="s">
        <v>46271</v>
      </c>
    </row>
    <row r="1419" spans="1:18" x14ac:dyDescent="0.35">
      <c r="A1419" t="s">
        <v>14356</v>
      </c>
      <c r="D1419" t="s">
        <v>1784</v>
      </c>
      <c r="E1419" t="s">
        <v>43</v>
      </c>
      <c r="I1419" s="26">
        <v>41640</v>
      </c>
      <c r="J1419" s="28">
        <v>41640</v>
      </c>
      <c r="Q1419" t="s">
        <v>44683</v>
      </c>
      <c r="R1419" t="s">
        <v>46272</v>
      </c>
    </row>
    <row r="1420" spans="1:18" x14ac:dyDescent="0.35">
      <c r="A1420" t="s">
        <v>15268</v>
      </c>
      <c r="D1420" t="s">
        <v>5325</v>
      </c>
      <c r="E1420" t="s">
        <v>43</v>
      </c>
      <c r="I1420" s="26">
        <v>41640</v>
      </c>
      <c r="J1420" s="28">
        <v>41640</v>
      </c>
      <c r="Q1420" t="s">
        <v>44683</v>
      </c>
      <c r="R1420" t="s">
        <v>46273</v>
      </c>
    </row>
    <row r="1421" spans="1:18" x14ac:dyDescent="0.35">
      <c r="A1421" t="s">
        <v>46274</v>
      </c>
      <c r="D1421" t="s">
        <v>23554</v>
      </c>
      <c r="E1421" t="s">
        <v>43</v>
      </c>
      <c r="I1421" s="26">
        <v>41640</v>
      </c>
      <c r="J1421" s="28">
        <v>41640</v>
      </c>
      <c r="Q1421" t="s">
        <v>44683</v>
      </c>
      <c r="R1421" t="s">
        <v>46275</v>
      </c>
    </row>
    <row r="1422" spans="1:18" x14ac:dyDescent="0.35">
      <c r="A1422" t="s">
        <v>46276</v>
      </c>
      <c r="D1422" t="s">
        <v>46268</v>
      </c>
      <c r="E1422" t="s">
        <v>43</v>
      </c>
      <c r="I1422" s="26">
        <v>41640</v>
      </c>
      <c r="J1422" s="28">
        <v>41640</v>
      </c>
      <c r="Q1422" t="s">
        <v>44683</v>
      </c>
      <c r="R1422" t="s">
        <v>46277</v>
      </c>
    </row>
    <row r="1423" spans="1:18" x14ac:dyDescent="0.35">
      <c r="A1423" t="s">
        <v>16326</v>
      </c>
      <c r="D1423" t="s">
        <v>7154</v>
      </c>
      <c r="E1423" t="s">
        <v>43</v>
      </c>
      <c r="I1423" s="26">
        <v>41640</v>
      </c>
      <c r="J1423" s="28">
        <v>41640</v>
      </c>
      <c r="Q1423" t="s">
        <v>44683</v>
      </c>
      <c r="R1423" t="s">
        <v>46278</v>
      </c>
    </row>
    <row r="1424" spans="1:18" x14ac:dyDescent="0.35">
      <c r="A1424" t="s">
        <v>16543</v>
      </c>
      <c r="D1424" t="s">
        <v>7311</v>
      </c>
      <c r="E1424" t="s">
        <v>43</v>
      </c>
      <c r="I1424" s="26">
        <v>41640</v>
      </c>
      <c r="J1424" s="28">
        <v>41640</v>
      </c>
      <c r="Q1424" t="s">
        <v>44683</v>
      </c>
      <c r="R1424" t="s">
        <v>46279</v>
      </c>
    </row>
    <row r="1425" spans="1:18" x14ac:dyDescent="0.35">
      <c r="A1425" t="s">
        <v>46280</v>
      </c>
      <c r="D1425" t="s">
        <v>7300</v>
      </c>
      <c r="E1425" t="s">
        <v>43</v>
      </c>
      <c r="I1425" s="26">
        <v>41640</v>
      </c>
      <c r="J1425" s="28">
        <v>41640</v>
      </c>
      <c r="Q1425" t="s">
        <v>44683</v>
      </c>
      <c r="R1425" t="s">
        <v>46281</v>
      </c>
    </row>
    <row r="1426" spans="1:18" x14ac:dyDescent="0.35">
      <c r="A1426" t="s">
        <v>16605</v>
      </c>
      <c r="D1426" t="s">
        <v>7321</v>
      </c>
      <c r="E1426" t="s">
        <v>43</v>
      </c>
      <c r="I1426" s="26">
        <v>41640</v>
      </c>
      <c r="J1426" s="28">
        <v>41640</v>
      </c>
      <c r="Q1426" t="s">
        <v>44683</v>
      </c>
      <c r="R1426" t="s">
        <v>46282</v>
      </c>
    </row>
    <row r="1427" spans="1:18" x14ac:dyDescent="0.35">
      <c r="A1427" t="s">
        <v>46283</v>
      </c>
      <c r="D1427" t="s">
        <v>7321</v>
      </c>
      <c r="E1427" t="s">
        <v>43</v>
      </c>
      <c r="I1427" s="26">
        <v>41640</v>
      </c>
      <c r="J1427" s="28">
        <v>41640</v>
      </c>
      <c r="Q1427" t="s">
        <v>44683</v>
      </c>
      <c r="R1427" t="s">
        <v>46284</v>
      </c>
    </row>
    <row r="1428" spans="1:18" x14ac:dyDescent="0.35">
      <c r="A1428" t="s">
        <v>46285</v>
      </c>
      <c r="D1428" t="s">
        <v>1948</v>
      </c>
      <c r="E1428" t="s">
        <v>43</v>
      </c>
      <c r="I1428" s="26">
        <v>41640</v>
      </c>
      <c r="J1428" s="28">
        <v>41640</v>
      </c>
      <c r="Q1428" t="s">
        <v>44683</v>
      </c>
      <c r="R1428" t="s">
        <v>46286</v>
      </c>
    </row>
    <row r="1429" spans="1:18" x14ac:dyDescent="0.35">
      <c r="A1429" t="s">
        <v>15459</v>
      </c>
      <c r="D1429" t="s">
        <v>5725</v>
      </c>
      <c r="E1429" t="s">
        <v>43</v>
      </c>
      <c r="I1429" s="26">
        <v>41640</v>
      </c>
      <c r="J1429" s="28">
        <v>41640</v>
      </c>
      <c r="Q1429" t="s">
        <v>44683</v>
      </c>
      <c r="R1429" t="s">
        <v>46287</v>
      </c>
    </row>
    <row r="1430" spans="1:18" x14ac:dyDescent="0.35">
      <c r="A1430" t="s">
        <v>16569</v>
      </c>
      <c r="D1430" t="s">
        <v>7315</v>
      </c>
      <c r="E1430" t="s">
        <v>43</v>
      </c>
      <c r="I1430" s="26">
        <v>41640</v>
      </c>
      <c r="J1430" s="28">
        <v>41640</v>
      </c>
      <c r="Q1430" t="s">
        <v>44683</v>
      </c>
      <c r="R1430" t="s">
        <v>46288</v>
      </c>
    </row>
    <row r="1431" spans="1:18" x14ac:dyDescent="0.35">
      <c r="A1431" t="s">
        <v>16595</v>
      </c>
      <c r="D1431" t="s">
        <v>7319</v>
      </c>
      <c r="E1431" t="s">
        <v>43</v>
      </c>
      <c r="I1431" s="26">
        <v>41640</v>
      </c>
      <c r="J1431" s="28">
        <v>41640</v>
      </c>
      <c r="Q1431" t="s">
        <v>44683</v>
      </c>
      <c r="R1431" t="s">
        <v>46289</v>
      </c>
    </row>
    <row r="1432" spans="1:18" x14ac:dyDescent="0.35">
      <c r="A1432" t="s">
        <v>46290</v>
      </c>
      <c r="D1432" t="s">
        <v>23554</v>
      </c>
      <c r="E1432" t="s">
        <v>43</v>
      </c>
      <c r="I1432" s="26">
        <v>41640</v>
      </c>
      <c r="J1432" s="28">
        <v>41640</v>
      </c>
      <c r="Q1432" t="s">
        <v>44683</v>
      </c>
      <c r="R1432" t="s">
        <v>46291</v>
      </c>
    </row>
    <row r="1433" spans="1:18" x14ac:dyDescent="0.35">
      <c r="A1433" t="s">
        <v>16575</v>
      </c>
      <c r="D1433" t="s">
        <v>7315</v>
      </c>
      <c r="E1433" t="s">
        <v>43</v>
      </c>
      <c r="I1433" s="26">
        <v>41640</v>
      </c>
      <c r="J1433" s="28">
        <v>41640</v>
      </c>
      <c r="Q1433" t="s">
        <v>44683</v>
      </c>
      <c r="R1433" t="s">
        <v>46292</v>
      </c>
    </row>
    <row r="1434" spans="1:18" x14ac:dyDescent="0.35">
      <c r="A1434" t="s">
        <v>14594</v>
      </c>
      <c r="D1434" t="s">
        <v>1949</v>
      </c>
      <c r="E1434" t="s">
        <v>43</v>
      </c>
      <c r="I1434" s="26">
        <v>41640</v>
      </c>
      <c r="J1434" s="28">
        <v>41640</v>
      </c>
      <c r="Q1434" t="s">
        <v>44683</v>
      </c>
      <c r="R1434" t="s">
        <v>46293</v>
      </c>
    </row>
    <row r="1435" spans="1:18" x14ac:dyDescent="0.35">
      <c r="A1435" t="s">
        <v>16612</v>
      </c>
      <c r="D1435" t="s">
        <v>7322</v>
      </c>
      <c r="E1435" t="s">
        <v>43</v>
      </c>
      <c r="I1435" s="26">
        <v>41640</v>
      </c>
      <c r="J1435" s="28">
        <v>41640</v>
      </c>
      <c r="Q1435" t="s">
        <v>44683</v>
      </c>
      <c r="R1435" t="s">
        <v>46294</v>
      </c>
    </row>
    <row r="1436" spans="1:18" x14ac:dyDescent="0.35">
      <c r="A1436" t="s">
        <v>16485</v>
      </c>
      <c r="D1436" t="s">
        <v>7302</v>
      </c>
      <c r="E1436" t="s">
        <v>43</v>
      </c>
      <c r="I1436" s="26">
        <v>41640</v>
      </c>
      <c r="J1436" s="28">
        <v>41640</v>
      </c>
      <c r="Q1436" t="s">
        <v>44683</v>
      </c>
      <c r="R1436" t="s">
        <v>46295</v>
      </c>
    </row>
    <row r="1437" spans="1:18" x14ac:dyDescent="0.35">
      <c r="A1437" t="s">
        <v>14020</v>
      </c>
      <c r="D1437" t="s">
        <v>5758</v>
      </c>
      <c r="E1437" t="s">
        <v>43</v>
      </c>
      <c r="I1437" s="26">
        <v>41640</v>
      </c>
      <c r="J1437" s="28">
        <v>41640</v>
      </c>
      <c r="Q1437" t="s">
        <v>44683</v>
      </c>
      <c r="R1437" t="s">
        <v>46296</v>
      </c>
    </row>
    <row r="1438" spans="1:18" x14ac:dyDescent="0.35">
      <c r="A1438" t="s">
        <v>16576</v>
      </c>
      <c r="D1438" t="s">
        <v>7315</v>
      </c>
      <c r="E1438" t="s">
        <v>43</v>
      </c>
      <c r="I1438" s="26">
        <v>41640</v>
      </c>
      <c r="J1438" s="28">
        <v>41640</v>
      </c>
      <c r="Q1438" t="s">
        <v>44683</v>
      </c>
      <c r="R1438" t="s">
        <v>46297</v>
      </c>
    </row>
    <row r="1439" spans="1:18" x14ac:dyDescent="0.35">
      <c r="A1439" t="s">
        <v>14595</v>
      </c>
      <c r="D1439" t="s">
        <v>1949</v>
      </c>
      <c r="E1439" t="s">
        <v>43</v>
      </c>
      <c r="I1439" s="26">
        <v>41640</v>
      </c>
      <c r="J1439" s="28">
        <v>41640</v>
      </c>
      <c r="Q1439" t="s">
        <v>44683</v>
      </c>
      <c r="R1439" t="s">
        <v>46298</v>
      </c>
    </row>
    <row r="1440" spans="1:18" x14ac:dyDescent="0.35">
      <c r="A1440" t="s">
        <v>14596</v>
      </c>
      <c r="D1440" t="s">
        <v>1949</v>
      </c>
      <c r="E1440" t="s">
        <v>43</v>
      </c>
      <c r="I1440" s="26">
        <v>41640</v>
      </c>
      <c r="J1440" s="28">
        <v>41640</v>
      </c>
      <c r="Q1440" t="s">
        <v>44683</v>
      </c>
      <c r="R1440" t="s">
        <v>46299</v>
      </c>
    </row>
    <row r="1441" spans="1:18" x14ac:dyDescent="0.35">
      <c r="A1441" t="s">
        <v>16477</v>
      </c>
      <c r="D1441" t="s">
        <v>7300</v>
      </c>
      <c r="E1441" t="s">
        <v>43</v>
      </c>
      <c r="I1441" s="26">
        <v>41640</v>
      </c>
      <c r="J1441" s="28">
        <v>41640</v>
      </c>
      <c r="Q1441" t="s">
        <v>44683</v>
      </c>
      <c r="R1441" t="s">
        <v>46300</v>
      </c>
    </row>
    <row r="1442" spans="1:18" x14ac:dyDescent="0.35">
      <c r="A1442" t="s">
        <v>14597</v>
      </c>
      <c r="D1442" t="s">
        <v>1949</v>
      </c>
      <c r="E1442" t="s">
        <v>43</v>
      </c>
      <c r="I1442" s="26">
        <v>41640</v>
      </c>
      <c r="J1442" s="28">
        <v>41640</v>
      </c>
      <c r="Q1442" t="s">
        <v>44683</v>
      </c>
      <c r="R1442" t="s">
        <v>46301</v>
      </c>
    </row>
    <row r="1443" spans="1:18" x14ac:dyDescent="0.35">
      <c r="A1443" t="s">
        <v>14468</v>
      </c>
      <c r="D1443" t="s">
        <v>14452</v>
      </c>
      <c r="E1443" t="s">
        <v>43</v>
      </c>
      <c r="I1443" s="26">
        <v>42005</v>
      </c>
      <c r="J1443" s="28">
        <v>42005</v>
      </c>
      <c r="Q1443" t="s">
        <v>44683</v>
      </c>
      <c r="R1443" t="s">
        <v>46302</v>
      </c>
    </row>
    <row r="1444" spans="1:18" x14ac:dyDescent="0.35">
      <c r="A1444" t="s">
        <v>14866</v>
      </c>
      <c r="D1444" t="s">
        <v>2714</v>
      </c>
      <c r="E1444" t="s">
        <v>43</v>
      </c>
      <c r="I1444" s="26">
        <v>42005</v>
      </c>
      <c r="J1444" s="28">
        <v>42005</v>
      </c>
      <c r="Q1444" t="s">
        <v>44683</v>
      </c>
      <c r="R1444" t="s">
        <v>46303</v>
      </c>
    </row>
    <row r="1445" spans="1:18" x14ac:dyDescent="0.35">
      <c r="A1445" t="s">
        <v>15079</v>
      </c>
      <c r="D1445" t="s">
        <v>3512</v>
      </c>
      <c r="E1445" t="s">
        <v>43</v>
      </c>
      <c r="I1445" s="26">
        <v>41640</v>
      </c>
      <c r="J1445" s="28">
        <v>41640</v>
      </c>
      <c r="Q1445" t="s">
        <v>14474</v>
      </c>
      <c r="R1445" t="s">
        <v>46304</v>
      </c>
    </row>
    <row r="1446" spans="1:18" x14ac:dyDescent="0.35">
      <c r="A1446" t="s">
        <v>14021</v>
      </c>
      <c r="D1446" t="s">
        <v>5758</v>
      </c>
      <c r="E1446" t="s">
        <v>43</v>
      </c>
      <c r="I1446" s="26">
        <v>41640</v>
      </c>
      <c r="J1446" s="28">
        <v>41640</v>
      </c>
      <c r="Q1446" t="s">
        <v>44683</v>
      </c>
      <c r="R1446" t="s">
        <v>46305</v>
      </c>
    </row>
    <row r="1447" spans="1:18" x14ac:dyDescent="0.35">
      <c r="A1447" t="s">
        <v>16486</v>
      </c>
      <c r="D1447" t="s">
        <v>7302</v>
      </c>
      <c r="E1447" t="s">
        <v>43</v>
      </c>
      <c r="I1447" s="26">
        <v>41640</v>
      </c>
      <c r="J1447" s="28">
        <v>41640</v>
      </c>
      <c r="Q1447" t="s">
        <v>44683</v>
      </c>
      <c r="R1447" t="s">
        <v>46306</v>
      </c>
    </row>
    <row r="1448" spans="1:18" x14ac:dyDescent="0.35">
      <c r="A1448" t="s">
        <v>16474</v>
      </c>
      <c r="D1448" t="s">
        <v>7300</v>
      </c>
      <c r="E1448" t="s">
        <v>43</v>
      </c>
      <c r="I1448" s="26">
        <v>41640</v>
      </c>
      <c r="J1448" s="28">
        <v>41640</v>
      </c>
      <c r="Q1448" t="s">
        <v>44683</v>
      </c>
      <c r="R1448" t="s">
        <v>46307</v>
      </c>
    </row>
    <row r="1449" spans="1:18" x14ac:dyDescent="0.35">
      <c r="A1449" t="s">
        <v>16487</v>
      </c>
      <c r="D1449" t="s">
        <v>7302</v>
      </c>
      <c r="E1449" t="s">
        <v>43</v>
      </c>
      <c r="I1449" s="26">
        <v>41640</v>
      </c>
      <c r="J1449" s="28">
        <v>41640</v>
      </c>
      <c r="Q1449" t="s">
        <v>44683</v>
      </c>
      <c r="R1449" t="s">
        <v>46308</v>
      </c>
    </row>
    <row r="1450" spans="1:18" x14ac:dyDescent="0.35">
      <c r="A1450" t="s">
        <v>16596</v>
      </c>
      <c r="D1450" t="s">
        <v>7319</v>
      </c>
      <c r="E1450" t="s">
        <v>43</v>
      </c>
      <c r="I1450" s="26">
        <v>41640</v>
      </c>
      <c r="J1450" s="28">
        <v>41640</v>
      </c>
      <c r="Q1450" t="s">
        <v>44683</v>
      </c>
      <c r="R1450" t="s">
        <v>46309</v>
      </c>
    </row>
    <row r="1451" spans="1:18" x14ac:dyDescent="0.35">
      <c r="A1451" t="s">
        <v>16597</v>
      </c>
      <c r="D1451" t="s">
        <v>7319</v>
      </c>
      <c r="E1451" t="s">
        <v>43</v>
      </c>
      <c r="I1451" s="26">
        <v>41640</v>
      </c>
      <c r="J1451" s="28">
        <v>41640</v>
      </c>
      <c r="Q1451" t="s">
        <v>44683</v>
      </c>
      <c r="R1451" t="s">
        <v>46310</v>
      </c>
    </row>
    <row r="1452" spans="1:18" x14ac:dyDescent="0.35">
      <c r="A1452" t="s">
        <v>14589</v>
      </c>
      <c r="D1452" t="s">
        <v>1949</v>
      </c>
      <c r="E1452" t="s">
        <v>43</v>
      </c>
      <c r="I1452" s="26">
        <v>41640</v>
      </c>
      <c r="J1452" s="28">
        <v>41640</v>
      </c>
      <c r="Q1452" t="s">
        <v>44683</v>
      </c>
      <c r="R1452" t="s">
        <v>46311</v>
      </c>
    </row>
    <row r="1453" spans="1:18" x14ac:dyDescent="0.35">
      <c r="A1453" t="s">
        <v>16570</v>
      </c>
      <c r="D1453" t="s">
        <v>7315</v>
      </c>
      <c r="E1453" t="s">
        <v>43</v>
      </c>
      <c r="I1453" s="26">
        <v>41640</v>
      </c>
      <c r="J1453" s="28">
        <v>41640</v>
      </c>
      <c r="Q1453" t="s">
        <v>44683</v>
      </c>
      <c r="R1453" t="s">
        <v>46312</v>
      </c>
    </row>
    <row r="1454" spans="1:18" x14ac:dyDescent="0.35">
      <c r="A1454" t="s">
        <v>15269</v>
      </c>
      <c r="D1454" t="s">
        <v>5325</v>
      </c>
      <c r="E1454" t="s">
        <v>43</v>
      </c>
      <c r="I1454" s="26">
        <v>41640</v>
      </c>
      <c r="J1454" s="28">
        <v>41640</v>
      </c>
      <c r="Q1454" t="s">
        <v>44683</v>
      </c>
      <c r="R1454" t="s">
        <v>46313</v>
      </c>
    </row>
    <row r="1455" spans="1:18" x14ac:dyDescent="0.35">
      <c r="A1455" t="s">
        <v>16545</v>
      </c>
      <c r="D1455" t="s">
        <v>7311</v>
      </c>
      <c r="E1455" t="s">
        <v>43</v>
      </c>
      <c r="I1455" s="26">
        <v>41640</v>
      </c>
      <c r="J1455" s="28">
        <v>41640</v>
      </c>
      <c r="Q1455" t="s">
        <v>44683</v>
      </c>
      <c r="R1455" t="s">
        <v>46314</v>
      </c>
    </row>
    <row r="1456" spans="1:18" x14ac:dyDescent="0.35">
      <c r="A1456" t="s">
        <v>14590</v>
      </c>
      <c r="D1456" t="s">
        <v>1949</v>
      </c>
      <c r="E1456" t="s">
        <v>43</v>
      </c>
      <c r="I1456" s="26">
        <v>41640</v>
      </c>
      <c r="J1456" s="28">
        <v>41640</v>
      </c>
      <c r="Q1456" t="s">
        <v>44683</v>
      </c>
      <c r="R1456" t="s">
        <v>46315</v>
      </c>
    </row>
    <row r="1457" spans="1:18" x14ac:dyDescent="0.35">
      <c r="A1457" t="s">
        <v>16465</v>
      </c>
      <c r="D1457" t="s">
        <v>7298</v>
      </c>
      <c r="E1457" t="s">
        <v>43</v>
      </c>
      <c r="I1457" s="26">
        <v>41640</v>
      </c>
      <c r="J1457" s="28">
        <v>41640</v>
      </c>
      <c r="Q1457" t="s">
        <v>44683</v>
      </c>
      <c r="R1457" t="s">
        <v>46316</v>
      </c>
    </row>
    <row r="1458" spans="1:18" x14ac:dyDescent="0.35">
      <c r="A1458" t="s">
        <v>14022</v>
      </c>
      <c r="D1458" t="s">
        <v>5758</v>
      </c>
      <c r="E1458" t="s">
        <v>43</v>
      </c>
      <c r="I1458" s="26">
        <v>41640</v>
      </c>
      <c r="J1458" s="28">
        <v>41640</v>
      </c>
      <c r="Q1458" t="s">
        <v>44683</v>
      </c>
      <c r="R1458" t="s">
        <v>46317</v>
      </c>
    </row>
    <row r="1459" spans="1:18" x14ac:dyDescent="0.35">
      <c r="A1459" t="s">
        <v>16544</v>
      </c>
      <c r="D1459" t="s">
        <v>7311</v>
      </c>
      <c r="E1459" t="s">
        <v>43</v>
      </c>
      <c r="I1459" s="26">
        <v>41640</v>
      </c>
      <c r="J1459" s="28">
        <v>41640</v>
      </c>
      <c r="Q1459" t="s">
        <v>44683</v>
      </c>
      <c r="R1459" t="s">
        <v>46318</v>
      </c>
    </row>
    <row r="1460" spans="1:18" x14ac:dyDescent="0.35">
      <c r="A1460" t="s">
        <v>16571</v>
      </c>
      <c r="D1460" t="s">
        <v>7315</v>
      </c>
      <c r="E1460" t="s">
        <v>43</v>
      </c>
      <c r="I1460" s="26">
        <v>41640</v>
      </c>
      <c r="J1460" s="28">
        <v>41640</v>
      </c>
      <c r="Q1460" t="s">
        <v>44683</v>
      </c>
      <c r="R1460" t="s">
        <v>46319</v>
      </c>
    </row>
    <row r="1461" spans="1:18" x14ac:dyDescent="0.35">
      <c r="A1461" t="s">
        <v>16577</v>
      </c>
      <c r="D1461" t="s">
        <v>7315</v>
      </c>
      <c r="E1461" t="s">
        <v>43</v>
      </c>
      <c r="I1461" s="26">
        <v>41640</v>
      </c>
      <c r="J1461" s="28">
        <v>41640</v>
      </c>
      <c r="Q1461" t="s">
        <v>44683</v>
      </c>
      <c r="R1461" t="s">
        <v>46320</v>
      </c>
    </row>
    <row r="1462" spans="1:18" x14ac:dyDescent="0.35">
      <c r="A1462" t="s">
        <v>14591</v>
      </c>
      <c r="D1462" t="s">
        <v>1949</v>
      </c>
      <c r="E1462" t="s">
        <v>43</v>
      </c>
      <c r="I1462" s="26">
        <v>41640</v>
      </c>
      <c r="J1462" s="28">
        <v>41640</v>
      </c>
      <c r="Q1462" t="s">
        <v>44683</v>
      </c>
      <c r="R1462" t="s">
        <v>46321</v>
      </c>
    </row>
    <row r="1463" spans="1:18" x14ac:dyDescent="0.35">
      <c r="A1463" t="s">
        <v>16606</v>
      </c>
      <c r="D1463" t="s">
        <v>7321</v>
      </c>
      <c r="E1463" t="s">
        <v>43</v>
      </c>
      <c r="I1463" s="26">
        <v>41640</v>
      </c>
      <c r="J1463" s="28">
        <v>41640</v>
      </c>
      <c r="Q1463" t="s">
        <v>44683</v>
      </c>
      <c r="R1463" t="s">
        <v>46322</v>
      </c>
    </row>
    <row r="1464" spans="1:18" x14ac:dyDescent="0.35">
      <c r="A1464" t="s">
        <v>16466</v>
      </c>
      <c r="D1464" t="s">
        <v>7298</v>
      </c>
      <c r="E1464" t="s">
        <v>43</v>
      </c>
      <c r="I1464" s="26">
        <v>41640</v>
      </c>
      <c r="J1464" s="28">
        <v>41640</v>
      </c>
      <c r="Q1464" t="s">
        <v>44683</v>
      </c>
      <c r="R1464" t="s">
        <v>46323</v>
      </c>
    </row>
    <row r="1465" spans="1:18" x14ac:dyDescent="0.35">
      <c r="A1465" t="s">
        <v>16488</v>
      </c>
      <c r="D1465" t="s">
        <v>7302</v>
      </c>
      <c r="E1465" t="s">
        <v>43</v>
      </c>
      <c r="I1465" s="26">
        <v>41640</v>
      </c>
      <c r="J1465" s="28">
        <v>41640</v>
      </c>
      <c r="Q1465" t="s">
        <v>44683</v>
      </c>
      <c r="R1465" t="s">
        <v>46324</v>
      </c>
    </row>
    <row r="1466" spans="1:18" x14ac:dyDescent="0.35">
      <c r="A1466" t="s">
        <v>16599</v>
      </c>
      <c r="D1466" t="s">
        <v>7319</v>
      </c>
      <c r="E1466" t="s">
        <v>43</v>
      </c>
      <c r="I1466" s="26">
        <v>41640</v>
      </c>
      <c r="J1466" s="28">
        <v>41640</v>
      </c>
      <c r="Q1466" t="s">
        <v>44683</v>
      </c>
      <c r="R1466" t="s">
        <v>46325</v>
      </c>
    </row>
    <row r="1467" spans="1:18" x14ac:dyDescent="0.35">
      <c r="A1467" t="s">
        <v>16610</v>
      </c>
      <c r="D1467" t="s">
        <v>7322</v>
      </c>
      <c r="E1467" t="s">
        <v>43</v>
      </c>
      <c r="I1467" s="26">
        <v>41640</v>
      </c>
      <c r="J1467" s="28">
        <v>41640</v>
      </c>
      <c r="Q1467" t="s">
        <v>44683</v>
      </c>
      <c r="R1467" t="s">
        <v>46326</v>
      </c>
    </row>
    <row r="1468" spans="1:18" x14ac:dyDescent="0.35">
      <c r="A1468" t="s">
        <v>16572</v>
      </c>
      <c r="D1468" t="s">
        <v>7315</v>
      </c>
      <c r="E1468" t="s">
        <v>43</v>
      </c>
      <c r="I1468" s="26">
        <v>41640</v>
      </c>
      <c r="J1468" s="28">
        <v>41640</v>
      </c>
      <c r="Q1468" t="s">
        <v>44683</v>
      </c>
      <c r="R1468" t="s">
        <v>46327</v>
      </c>
    </row>
    <row r="1469" spans="1:18" x14ac:dyDescent="0.35">
      <c r="A1469" t="s">
        <v>16607</v>
      </c>
      <c r="D1469" t="s">
        <v>7321</v>
      </c>
      <c r="E1469" t="s">
        <v>43</v>
      </c>
      <c r="I1469" s="26">
        <v>41640</v>
      </c>
      <c r="J1469" s="28">
        <v>41640</v>
      </c>
      <c r="Q1469" t="s">
        <v>44683</v>
      </c>
      <c r="R1469" t="s">
        <v>46328</v>
      </c>
    </row>
    <row r="1470" spans="1:18" x14ac:dyDescent="0.35">
      <c r="A1470" t="s">
        <v>16573</v>
      </c>
      <c r="D1470" t="s">
        <v>7315</v>
      </c>
      <c r="E1470" t="s">
        <v>43</v>
      </c>
      <c r="I1470" s="26">
        <v>41640</v>
      </c>
      <c r="J1470" s="28">
        <v>41640</v>
      </c>
      <c r="Q1470" t="s">
        <v>44683</v>
      </c>
      <c r="R1470" t="s">
        <v>46329</v>
      </c>
    </row>
    <row r="1471" spans="1:18" x14ac:dyDescent="0.35">
      <c r="A1471" t="s">
        <v>16613</v>
      </c>
      <c r="D1471" t="s">
        <v>7322</v>
      </c>
      <c r="E1471" t="s">
        <v>43</v>
      </c>
      <c r="I1471" s="26">
        <v>41640</v>
      </c>
      <c r="J1471" s="28">
        <v>41640</v>
      </c>
      <c r="Q1471" t="s">
        <v>44683</v>
      </c>
      <c r="R1471" t="s">
        <v>46330</v>
      </c>
    </row>
    <row r="1472" spans="1:18" x14ac:dyDescent="0.35">
      <c r="A1472" t="s">
        <v>16598</v>
      </c>
      <c r="D1472" t="s">
        <v>7319</v>
      </c>
      <c r="E1472" t="s">
        <v>43</v>
      </c>
      <c r="I1472" s="26">
        <v>41640</v>
      </c>
      <c r="J1472" s="28">
        <v>41640</v>
      </c>
      <c r="Q1472" t="s">
        <v>44683</v>
      </c>
      <c r="R1472" t="s">
        <v>46331</v>
      </c>
    </row>
    <row r="1473" spans="1:18" x14ac:dyDescent="0.35">
      <c r="A1473" t="s">
        <v>16475</v>
      </c>
      <c r="D1473" t="s">
        <v>7300</v>
      </c>
      <c r="E1473" t="s">
        <v>43</v>
      </c>
      <c r="I1473" s="26">
        <v>41640</v>
      </c>
      <c r="J1473" s="28">
        <v>41640</v>
      </c>
      <c r="Q1473" t="s">
        <v>44683</v>
      </c>
      <c r="R1473" t="s">
        <v>46332</v>
      </c>
    </row>
    <row r="1474" spans="1:18" x14ac:dyDescent="0.35">
      <c r="A1474" t="s">
        <v>16546</v>
      </c>
      <c r="D1474" t="s">
        <v>7311</v>
      </c>
      <c r="E1474" t="s">
        <v>43</v>
      </c>
      <c r="I1474" s="26">
        <v>41640</v>
      </c>
      <c r="J1474" s="28">
        <v>41640</v>
      </c>
      <c r="Q1474" t="s">
        <v>44683</v>
      </c>
      <c r="R1474" t="s">
        <v>46333</v>
      </c>
    </row>
    <row r="1475" spans="1:18" x14ac:dyDescent="0.35">
      <c r="A1475" t="s">
        <v>16547</v>
      </c>
      <c r="D1475" t="s">
        <v>7311</v>
      </c>
      <c r="E1475" t="s">
        <v>43</v>
      </c>
      <c r="I1475" s="26">
        <v>41640</v>
      </c>
      <c r="J1475" s="28">
        <v>41640</v>
      </c>
      <c r="Q1475" t="s">
        <v>44683</v>
      </c>
      <c r="R1475" t="s">
        <v>46334</v>
      </c>
    </row>
    <row r="1476" spans="1:18" x14ac:dyDescent="0.35">
      <c r="A1476" t="s">
        <v>16467</v>
      </c>
      <c r="D1476" t="s">
        <v>7298</v>
      </c>
      <c r="E1476" t="s">
        <v>43</v>
      </c>
      <c r="I1476" s="26">
        <v>41640</v>
      </c>
      <c r="J1476" s="28">
        <v>41640</v>
      </c>
      <c r="Q1476" t="s">
        <v>44683</v>
      </c>
      <c r="R1476" t="s">
        <v>46335</v>
      </c>
    </row>
    <row r="1477" spans="1:18" x14ac:dyDescent="0.35">
      <c r="A1477" t="s">
        <v>16614</v>
      </c>
      <c r="D1477" t="s">
        <v>7322</v>
      </c>
      <c r="E1477" t="s">
        <v>43</v>
      </c>
      <c r="I1477" s="26">
        <v>41640</v>
      </c>
      <c r="J1477" s="28">
        <v>41640</v>
      </c>
      <c r="Q1477" t="s">
        <v>44683</v>
      </c>
      <c r="R1477" t="s">
        <v>46336</v>
      </c>
    </row>
    <row r="1478" spans="1:18" x14ac:dyDescent="0.35">
      <c r="A1478" t="s">
        <v>15270</v>
      </c>
      <c r="D1478" t="s">
        <v>5325</v>
      </c>
      <c r="E1478" t="s">
        <v>43</v>
      </c>
      <c r="I1478" s="26">
        <v>41640</v>
      </c>
      <c r="J1478" s="28">
        <v>41640</v>
      </c>
      <c r="Q1478" t="s">
        <v>44683</v>
      </c>
      <c r="R1478" t="s">
        <v>46337</v>
      </c>
    </row>
    <row r="1479" spans="1:18" x14ac:dyDescent="0.35">
      <c r="A1479" t="s">
        <v>16468</v>
      </c>
      <c r="D1479" t="s">
        <v>7298</v>
      </c>
      <c r="E1479" t="s">
        <v>43</v>
      </c>
      <c r="I1479" s="26">
        <v>41640</v>
      </c>
      <c r="J1479" s="28">
        <v>41640</v>
      </c>
      <c r="Q1479" t="s">
        <v>44683</v>
      </c>
      <c r="R1479" t="s">
        <v>46338</v>
      </c>
    </row>
    <row r="1480" spans="1:18" x14ac:dyDescent="0.35">
      <c r="A1480" t="s">
        <v>16611</v>
      </c>
      <c r="D1480" t="s">
        <v>7322</v>
      </c>
      <c r="E1480" t="s">
        <v>43</v>
      </c>
      <c r="I1480" s="26">
        <v>41640</v>
      </c>
      <c r="J1480" s="28">
        <v>41640</v>
      </c>
      <c r="Q1480" t="s">
        <v>44683</v>
      </c>
      <c r="R1480" t="s">
        <v>46339</v>
      </c>
    </row>
    <row r="1481" spans="1:18" x14ac:dyDescent="0.35">
      <c r="A1481" t="s">
        <v>46340</v>
      </c>
      <c r="D1481" t="s">
        <v>7319</v>
      </c>
      <c r="E1481" t="s">
        <v>43</v>
      </c>
      <c r="I1481" s="26">
        <v>41640</v>
      </c>
      <c r="J1481" s="28">
        <v>41640</v>
      </c>
      <c r="Q1481" t="s">
        <v>44683</v>
      </c>
      <c r="R1481" t="s">
        <v>46341</v>
      </c>
    </row>
    <row r="1482" spans="1:18" x14ac:dyDescent="0.35">
      <c r="A1482" t="s">
        <v>16608</v>
      </c>
      <c r="D1482" t="s">
        <v>7321</v>
      </c>
      <c r="E1482" t="s">
        <v>43</v>
      </c>
      <c r="I1482" s="26">
        <v>41640</v>
      </c>
      <c r="J1482" s="28">
        <v>41640</v>
      </c>
      <c r="Q1482" t="s">
        <v>44683</v>
      </c>
      <c r="R1482" t="s">
        <v>46342</v>
      </c>
    </row>
    <row r="1483" spans="1:18" x14ac:dyDescent="0.35">
      <c r="A1483" t="s">
        <v>16463</v>
      </c>
      <c r="D1483" t="s">
        <v>7298</v>
      </c>
      <c r="E1483" t="s">
        <v>43</v>
      </c>
      <c r="I1483" s="26">
        <v>41640</v>
      </c>
      <c r="J1483" s="28">
        <v>41640</v>
      </c>
      <c r="Q1483" t="s">
        <v>44683</v>
      </c>
      <c r="R1483" t="s">
        <v>46343</v>
      </c>
    </row>
    <row r="1484" spans="1:18" x14ac:dyDescent="0.35">
      <c r="A1484" t="s">
        <v>46344</v>
      </c>
      <c r="D1484" t="s">
        <v>7322</v>
      </c>
      <c r="E1484" t="s">
        <v>43</v>
      </c>
      <c r="I1484" s="26">
        <v>41640</v>
      </c>
      <c r="J1484" s="28">
        <v>41640</v>
      </c>
      <c r="Q1484" t="s">
        <v>44683</v>
      </c>
      <c r="R1484" t="s">
        <v>46345</v>
      </c>
    </row>
    <row r="1485" spans="1:18" x14ac:dyDescent="0.35">
      <c r="A1485" t="s">
        <v>16476</v>
      </c>
      <c r="D1485" t="s">
        <v>7300</v>
      </c>
      <c r="E1485" t="s">
        <v>43</v>
      </c>
      <c r="I1485" s="26">
        <v>41640</v>
      </c>
      <c r="J1485" s="28">
        <v>41640</v>
      </c>
      <c r="Q1485" t="s">
        <v>44683</v>
      </c>
      <c r="R1485" t="s">
        <v>46346</v>
      </c>
    </row>
    <row r="1486" spans="1:18" x14ac:dyDescent="0.35">
      <c r="A1486" t="s">
        <v>16574</v>
      </c>
      <c r="D1486" t="s">
        <v>7315</v>
      </c>
      <c r="E1486" t="s">
        <v>43</v>
      </c>
      <c r="I1486" s="26">
        <v>41640</v>
      </c>
      <c r="J1486" s="28">
        <v>41640</v>
      </c>
      <c r="Q1486" t="s">
        <v>44683</v>
      </c>
      <c r="R1486" t="s">
        <v>46347</v>
      </c>
    </row>
    <row r="1487" spans="1:18" x14ac:dyDescent="0.35">
      <c r="A1487" t="s">
        <v>15470</v>
      </c>
      <c r="D1487" t="s">
        <v>5726</v>
      </c>
      <c r="E1487" t="s">
        <v>43</v>
      </c>
      <c r="I1487" s="26">
        <v>41640</v>
      </c>
      <c r="J1487" s="28">
        <v>41640</v>
      </c>
      <c r="Q1487" t="s">
        <v>44683</v>
      </c>
      <c r="R1487" t="s">
        <v>46348</v>
      </c>
    </row>
    <row r="1488" spans="1:18" x14ac:dyDescent="0.35">
      <c r="A1488" t="s">
        <v>14592</v>
      </c>
      <c r="D1488" t="s">
        <v>1949</v>
      </c>
      <c r="E1488" t="s">
        <v>43</v>
      </c>
      <c r="I1488" s="26">
        <v>41640</v>
      </c>
      <c r="J1488" s="28">
        <v>41640</v>
      </c>
      <c r="Q1488" t="s">
        <v>44683</v>
      </c>
      <c r="R1488" t="s">
        <v>46349</v>
      </c>
    </row>
    <row r="1489" spans="1:18" x14ac:dyDescent="0.35">
      <c r="A1489" t="s">
        <v>14471</v>
      </c>
      <c r="D1489" t="s">
        <v>14452</v>
      </c>
      <c r="E1489" t="s">
        <v>43</v>
      </c>
      <c r="I1489" s="26">
        <v>42005</v>
      </c>
      <c r="J1489" s="28">
        <v>42005</v>
      </c>
      <c r="Q1489" t="s">
        <v>44683</v>
      </c>
      <c r="R1489" t="s">
        <v>46350</v>
      </c>
    </row>
    <row r="1490" spans="1:18" x14ac:dyDescent="0.35">
      <c r="A1490" t="s">
        <v>46351</v>
      </c>
      <c r="D1490" t="s">
        <v>7302</v>
      </c>
      <c r="E1490" t="s">
        <v>43</v>
      </c>
      <c r="I1490" s="26">
        <v>41640</v>
      </c>
      <c r="J1490" s="28">
        <v>41640</v>
      </c>
      <c r="Q1490" t="s">
        <v>44683</v>
      </c>
      <c r="R1490" t="s">
        <v>46352</v>
      </c>
    </row>
    <row r="1491" spans="1:18" x14ac:dyDescent="0.35">
      <c r="A1491" t="s">
        <v>14598</v>
      </c>
      <c r="D1491" t="s">
        <v>1949</v>
      </c>
      <c r="E1491" t="s">
        <v>43</v>
      </c>
      <c r="I1491" s="26">
        <v>41640</v>
      </c>
      <c r="J1491" s="28">
        <v>41640</v>
      </c>
      <c r="Q1491" t="s">
        <v>44683</v>
      </c>
      <c r="R1491" t="s">
        <v>46353</v>
      </c>
    </row>
    <row r="1492" spans="1:18" x14ac:dyDescent="0.35">
      <c r="A1492" t="s">
        <v>14357</v>
      </c>
      <c r="D1492" t="s">
        <v>1784</v>
      </c>
      <c r="E1492" t="s">
        <v>43</v>
      </c>
      <c r="I1492" s="26">
        <v>41640</v>
      </c>
      <c r="J1492" s="28">
        <v>41640</v>
      </c>
      <c r="Q1492" t="s">
        <v>44683</v>
      </c>
      <c r="R1492" t="s">
        <v>46354</v>
      </c>
    </row>
    <row r="1493" spans="1:18" x14ac:dyDescent="0.35">
      <c r="A1493" t="s">
        <v>14840</v>
      </c>
      <c r="D1493" t="s">
        <v>2711</v>
      </c>
      <c r="E1493" t="s">
        <v>43</v>
      </c>
      <c r="I1493" s="26">
        <v>41640</v>
      </c>
      <c r="J1493" s="28">
        <v>41640</v>
      </c>
      <c r="Q1493" t="s">
        <v>44683</v>
      </c>
      <c r="R1493" t="s">
        <v>46355</v>
      </c>
    </row>
    <row r="1494" spans="1:18" x14ac:dyDescent="0.35">
      <c r="A1494" t="s">
        <v>16355</v>
      </c>
      <c r="D1494" t="s">
        <v>7155</v>
      </c>
      <c r="E1494" t="s">
        <v>43</v>
      </c>
      <c r="I1494" s="26">
        <v>41640</v>
      </c>
      <c r="J1494" s="28">
        <v>41640</v>
      </c>
      <c r="Q1494" t="s">
        <v>44683</v>
      </c>
      <c r="R1494" t="s">
        <v>46356</v>
      </c>
    </row>
    <row r="1495" spans="1:18" x14ac:dyDescent="0.35">
      <c r="A1495" t="s">
        <v>16489</v>
      </c>
      <c r="D1495" t="s">
        <v>7302</v>
      </c>
      <c r="E1495" t="s">
        <v>43</v>
      </c>
      <c r="I1495" s="26">
        <v>41640</v>
      </c>
      <c r="J1495" s="28">
        <v>41640</v>
      </c>
      <c r="Q1495" t="s">
        <v>44683</v>
      </c>
      <c r="R1495" t="s">
        <v>46357</v>
      </c>
    </row>
    <row r="1496" spans="1:18" x14ac:dyDescent="0.35">
      <c r="A1496" t="s">
        <v>15471</v>
      </c>
      <c r="D1496" t="s">
        <v>5726</v>
      </c>
      <c r="E1496" t="s">
        <v>43</v>
      </c>
      <c r="I1496" s="26">
        <v>41640</v>
      </c>
      <c r="J1496" s="28">
        <v>41640</v>
      </c>
      <c r="Q1496" t="s">
        <v>15472</v>
      </c>
      <c r="R1496" t="s">
        <v>46358</v>
      </c>
    </row>
    <row r="1497" spans="1:18" x14ac:dyDescent="0.35">
      <c r="A1497" t="s">
        <v>46359</v>
      </c>
      <c r="D1497" t="s">
        <v>46268</v>
      </c>
      <c r="E1497" t="s">
        <v>43</v>
      </c>
      <c r="I1497" s="26">
        <v>41640</v>
      </c>
      <c r="J1497" s="28">
        <v>41640</v>
      </c>
      <c r="Q1497" t="s">
        <v>44683</v>
      </c>
      <c r="R1497" t="s">
        <v>46360</v>
      </c>
    </row>
    <row r="1498" spans="1:18" x14ac:dyDescent="0.35">
      <c r="A1498" t="s">
        <v>16327</v>
      </c>
      <c r="D1498" t="s">
        <v>7154</v>
      </c>
      <c r="E1498" t="s">
        <v>43</v>
      </c>
      <c r="I1498" s="26">
        <v>41640</v>
      </c>
      <c r="J1498" s="28">
        <v>41640</v>
      </c>
      <c r="Q1498" t="s">
        <v>44683</v>
      </c>
      <c r="R1498" t="s">
        <v>46361</v>
      </c>
    </row>
    <row r="1499" spans="1:18" x14ac:dyDescent="0.35">
      <c r="A1499" t="s">
        <v>14472</v>
      </c>
      <c r="D1499" t="s">
        <v>14452</v>
      </c>
      <c r="E1499" t="s">
        <v>43</v>
      </c>
      <c r="I1499" s="26">
        <v>42005</v>
      </c>
      <c r="J1499" s="28">
        <v>42005</v>
      </c>
      <c r="Q1499" t="s">
        <v>44683</v>
      </c>
      <c r="R1499" t="s">
        <v>46362</v>
      </c>
    </row>
    <row r="1500" spans="1:18" x14ac:dyDescent="0.35">
      <c r="A1500" t="s">
        <v>14841</v>
      </c>
      <c r="D1500" t="s">
        <v>2711</v>
      </c>
      <c r="E1500" t="s">
        <v>43</v>
      </c>
      <c r="I1500" s="26">
        <v>41640</v>
      </c>
      <c r="J1500" s="28">
        <v>41640</v>
      </c>
      <c r="Q1500" t="s">
        <v>44683</v>
      </c>
      <c r="R1500" t="s">
        <v>46363</v>
      </c>
    </row>
    <row r="1501" spans="1:18" x14ac:dyDescent="0.35">
      <c r="A1501" t="s">
        <v>46364</v>
      </c>
      <c r="D1501" t="s">
        <v>46268</v>
      </c>
      <c r="E1501" t="s">
        <v>43</v>
      </c>
      <c r="I1501" s="26">
        <v>41640</v>
      </c>
      <c r="J1501" s="28">
        <v>41640</v>
      </c>
      <c r="Q1501" t="s">
        <v>44683</v>
      </c>
      <c r="R1501" t="s">
        <v>46365</v>
      </c>
    </row>
    <row r="1502" spans="1:18" x14ac:dyDescent="0.35">
      <c r="A1502" t="s">
        <v>16328</v>
      </c>
      <c r="D1502" t="s">
        <v>7155</v>
      </c>
      <c r="E1502" t="s">
        <v>43</v>
      </c>
      <c r="I1502" s="26">
        <v>41640</v>
      </c>
      <c r="J1502" s="28">
        <v>41640</v>
      </c>
      <c r="Q1502" t="s">
        <v>44683</v>
      </c>
      <c r="R1502" t="s">
        <v>46366</v>
      </c>
    </row>
    <row r="1503" spans="1:18" x14ac:dyDescent="0.35">
      <c r="A1503" t="s">
        <v>15254</v>
      </c>
      <c r="D1503" t="s">
        <v>5280</v>
      </c>
      <c r="E1503" t="s">
        <v>43</v>
      </c>
      <c r="I1503" s="26">
        <v>41640</v>
      </c>
      <c r="J1503" s="28">
        <v>41640</v>
      </c>
      <c r="Q1503" t="s">
        <v>44683</v>
      </c>
      <c r="R1503" t="s">
        <v>46367</v>
      </c>
    </row>
    <row r="1504" spans="1:18" x14ac:dyDescent="0.35">
      <c r="A1504" t="s">
        <v>15686</v>
      </c>
      <c r="D1504" t="s">
        <v>5877</v>
      </c>
      <c r="E1504" t="s">
        <v>43</v>
      </c>
      <c r="I1504" s="26">
        <v>41576</v>
      </c>
      <c r="J1504" s="28">
        <v>41576</v>
      </c>
      <c r="Q1504" t="s">
        <v>44683</v>
      </c>
      <c r="R1504" t="s">
        <v>46368</v>
      </c>
    </row>
    <row r="1505" spans="1:18" x14ac:dyDescent="0.35">
      <c r="A1505" t="s">
        <v>14993</v>
      </c>
      <c r="D1505" t="s">
        <v>2991</v>
      </c>
      <c r="E1505" t="s">
        <v>43</v>
      </c>
      <c r="I1505" s="26">
        <v>41275</v>
      </c>
      <c r="J1505" s="28">
        <v>41275</v>
      </c>
      <c r="Q1505" t="s">
        <v>44683</v>
      </c>
      <c r="R1505" t="s">
        <v>46369</v>
      </c>
    </row>
    <row r="1506" spans="1:18" x14ac:dyDescent="0.35">
      <c r="A1506" t="s">
        <v>15255</v>
      </c>
      <c r="D1506" t="s">
        <v>5280</v>
      </c>
      <c r="E1506" t="s">
        <v>43</v>
      </c>
      <c r="I1506" s="26">
        <v>41640</v>
      </c>
      <c r="J1506" s="28">
        <v>41640</v>
      </c>
      <c r="Q1506" t="s">
        <v>44683</v>
      </c>
      <c r="R1506" t="s">
        <v>46370</v>
      </c>
    </row>
    <row r="1507" spans="1:18" x14ac:dyDescent="0.35">
      <c r="A1507" t="s">
        <v>15259</v>
      </c>
      <c r="C1507" t="s">
        <v>46371</v>
      </c>
      <c r="D1507" t="s">
        <v>5280</v>
      </c>
      <c r="E1507" t="s">
        <v>43</v>
      </c>
      <c r="I1507" s="26">
        <v>41640</v>
      </c>
      <c r="J1507" s="28">
        <v>41640</v>
      </c>
      <c r="Q1507" t="s">
        <v>44683</v>
      </c>
      <c r="R1507" t="s">
        <v>46372</v>
      </c>
    </row>
    <row r="1508" spans="1:18" x14ac:dyDescent="0.35">
      <c r="A1508" t="s">
        <v>16329</v>
      </c>
      <c r="C1508" t="s">
        <v>46373</v>
      </c>
      <c r="D1508" t="s">
        <v>7155</v>
      </c>
      <c r="E1508" t="s">
        <v>43</v>
      </c>
      <c r="I1508" s="26">
        <v>41640</v>
      </c>
      <c r="J1508" s="28">
        <v>41640</v>
      </c>
      <c r="Q1508" t="s">
        <v>44683</v>
      </c>
      <c r="R1508" t="s">
        <v>46374</v>
      </c>
    </row>
    <row r="1509" spans="1:18" x14ac:dyDescent="0.35">
      <c r="A1509" t="s">
        <v>15061</v>
      </c>
      <c r="D1509" t="s">
        <v>3453</v>
      </c>
      <c r="E1509" t="s">
        <v>43</v>
      </c>
      <c r="I1509" s="26">
        <v>41640</v>
      </c>
      <c r="J1509" s="28">
        <v>41640</v>
      </c>
      <c r="Q1509" t="s">
        <v>44683</v>
      </c>
      <c r="R1509" t="s">
        <v>46375</v>
      </c>
    </row>
    <row r="1510" spans="1:18" x14ac:dyDescent="0.35">
      <c r="A1510" t="s">
        <v>15260</v>
      </c>
      <c r="D1510" t="s">
        <v>5280</v>
      </c>
      <c r="E1510" t="s">
        <v>43</v>
      </c>
      <c r="I1510" s="26">
        <v>41640</v>
      </c>
      <c r="J1510" s="28">
        <v>41640</v>
      </c>
      <c r="Q1510" t="s">
        <v>44683</v>
      </c>
      <c r="R1510" t="s">
        <v>46376</v>
      </c>
    </row>
    <row r="1511" spans="1:18" x14ac:dyDescent="0.35">
      <c r="A1511" t="s">
        <v>14994</v>
      </c>
      <c r="D1511" t="s">
        <v>2991</v>
      </c>
      <c r="E1511" t="s">
        <v>43</v>
      </c>
      <c r="I1511" s="26">
        <v>41275</v>
      </c>
      <c r="J1511" s="28">
        <v>41275</v>
      </c>
      <c r="Q1511" t="s">
        <v>44683</v>
      </c>
      <c r="R1511" t="s">
        <v>46377</v>
      </c>
    </row>
    <row r="1512" spans="1:18" x14ac:dyDescent="0.35">
      <c r="A1512" t="s">
        <v>14826</v>
      </c>
      <c r="D1512" t="s">
        <v>2536</v>
      </c>
      <c r="E1512" t="s">
        <v>43</v>
      </c>
      <c r="I1512" s="26">
        <v>41640</v>
      </c>
      <c r="J1512" s="28">
        <v>41640</v>
      </c>
      <c r="Q1512" t="s">
        <v>44683</v>
      </c>
      <c r="R1512" t="s">
        <v>46378</v>
      </c>
    </row>
    <row r="1513" spans="1:18" x14ac:dyDescent="0.35">
      <c r="A1513" t="s">
        <v>16330</v>
      </c>
      <c r="C1513" t="s">
        <v>46373</v>
      </c>
      <c r="D1513" t="s">
        <v>7155</v>
      </c>
      <c r="E1513" t="s">
        <v>43</v>
      </c>
      <c r="I1513" s="26">
        <v>41640</v>
      </c>
      <c r="J1513" s="28">
        <v>41640</v>
      </c>
      <c r="Q1513" t="s">
        <v>44683</v>
      </c>
      <c r="R1513" t="s">
        <v>46379</v>
      </c>
    </row>
    <row r="1514" spans="1:18" x14ac:dyDescent="0.35">
      <c r="A1514" t="s">
        <v>16331</v>
      </c>
      <c r="D1514" t="s">
        <v>7155</v>
      </c>
      <c r="E1514" t="s">
        <v>43</v>
      </c>
      <c r="I1514" s="26">
        <v>41640</v>
      </c>
      <c r="J1514" s="28">
        <v>41640</v>
      </c>
      <c r="Q1514" t="s">
        <v>44683</v>
      </c>
      <c r="R1514" t="s">
        <v>46380</v>
      </c>
    </row>
    <row r="1515" spans="1:18" x14ac:dyDescent="0.35">
      <c r="A1515" t="s">
        <v>14995</v>
      </c>
      <c r="D1515" t="s">
        <v>2991</v>
      </c>
      <c r="E1515" t="s">
        <v>43</v>
      </c>
      <c r="I1515" s="26">
        <v>41275</v>
      </c>
      <c r="J1515" s="28">
        <v>41275</v>
      </c>
      <c r="Q1515" t="s">
        <v>44683</v>
      </c>
      <c r="R1515" t="s">
        <v>46381</v>
      </c>
    </row>
    <row r="1516" spans="1:18" x14ac:dyDescent="0.35">
      <c r="A1516" t="s">
        <v>15596</v>
      </c>
      <c r="D1516" t="s">
        <v>5690</v>
      </c>
      <c r="E1516" t="s">
        <v>43</v>
      </c>
      <c r="I1516" s="26">
        <v>41640</v>
      </c>
      <c r="J1516" s="28">
        <v>41640</v>
      </c>
      <c r="Q1516" t="s">
        <v>44683</v>
      </c>
      <c r="R1516" t="s">
        <v>46382</v>
      </c>
    </row>
    <row r="1517" spans="1:18" x14ac:dyDescent="0.35">
      <c r="A1517" t="s">
        <v>14054</v>
      </c>
      <c r="D1517" t="s">
        <v>386</v>
      </c>
      <c r="E1517" t="s">
        <v>43</v>
      </c>
      <c r="I1517" s="26">
        <v>41356</v>
      </c>
      <c r="J1517" s="28">
        <v>41356</v>
      </c>
      <c r="Q1517" t="s">
        <v>44683</v>
      </c>
      <c r="R1517" t="s">
        <v>46383</v>
      </c>
    </row>
    <row r="1518" spans="1:18" x14ac:dyDescent="0.35">
      <c r="A1518" t="s">
        <v>15261</v>
      </c>
      <c r="D1518" t="s">
        <v>5280</v>
      </c>
      <c r="E1518" t="s">
        <v>43</v>
      </c>
      <c r="I1518" s="26">
        <v>41640</v>
      </c>
      <c r="J1518" s="28">
        <v>41640</v>
      </c>
      <c r="Q1518" t="s">
        <v>44683</v>
      </c>
      <c r="R1518" t="s">
        <v>46384</v>
      </c>
    </row>
    <row r="1519" spans="1:18" x14ac:dyDescent="0.35">
      <c r="A1519" t="s">
        <v>15062</v>
      </c>
      <c r="D1519" t="s">
        <v>3453</v>
      </c>
      <c r="E1519" t="s">
        <v>43</v>
      </c>
      <c r="I1519" s="26">
        <v>41640</v>
      </c>
      <c r="J1519" s="28">
        <v>41640</v>
      </c>
      <c r="Q1519" t="s">
        <v>44683</v>
      </c>
      <c r="R1519" t="s">
        <v>46385</v>
      </c>
    </row>
    <row r="1520" spans="1:18" x14ac:dyDescent="0.35">
      <c r="A1520" t="s">
        <v>15063</v>
      </c>
      <c r="D1520" t="s">
        <v>3453</v>
      </c>
      <c r="E1520" t="s">
        <v>43</v>
      </c>
      <c r="I1520" s="26">
        <v>41640</v>
      </c>
      <c r="J1520" s="28">
        <v>41640</v>
      </c>
      <c r="Q1520" t="s">
        <v>44683</v>
      </c>
      <c r="R1520" t="s">
        <v>46386</v>
      </c>
    </row>
    <row r="1521" spans="1:18" x14ac:dyDescent="0.35">
      <c r="A1521" t="s">
        <v>15688</v>
      </c>
      <c r="D1521" t="s">
        <v>5877</v>
      </c>
      <c r="E1521" t="s">
        <v>43</v>
      </c>
      <c r="I1521" s="26">
        <v>41576</v>
      </c>
      <c r="J1521" s="28">
        <v>41576</v>
      </c>
      <c r="Q1521" t="s">
        <v>44683</v>
      </c>
      <c r="R1521" t="s">
        <v>46387</v>
      </c>
    </row>
    <row r="1522" spans="1:18" x14ac:dyDescent="0.35">
      <c r="A1522" t="s">
        <v>16332</v>
      </c>
      <c r="D1522" t="s">
        <v>7155</v>
      </c>
      <c r="E1522" t="s">
        <v>43</v>
      </c>
      <c r="I1522" s="26">
        <v>41640</v>
      </c>
      <c r="J1522" s="28">
        <v>41640</v>
      </c>
      <c r="Q1522" t="s">
        <v>44683</v>
      </c>
      <c r="R1522" t="s">
        <v>46388</v>
      </c>
    </row>
    <row r="1523" spans="1:18" x14ac:dyDescent="0.35">
      <c r="A1523" t="s">
        <v>14997</v>
      </c>
      <c r="D1523" t="s">
        <v>2991</v>
      </c>
      <c r="E1523" t="s">
        <v>43</v>
      </c>
      <c r="I1523" s="26">
        <v>41275</v>
      </c>
      <c r="J1523" s="28">
        <v>41275</v>
      </c>
      <c r="Q1523" t="s">
        <v>44683</v>
      </c>
      <c r="R1523" t="s">
        <v>46389</v>
      </c>
    </row>
    <row r="1524" spans="1:18" x14ac:dyDescent="0.35">
      <c r="A1524" t="s">
        <v>15621</v>
      </c>
      <c r="D1524" t="s">
        <v>5898</v>
      </c>
      <c r="E1524" t="s">
        <v>43</v>
      </c>
      <c r="I1524" s="26">
        <v>41640</v>
      </c>
      <c r="J1524" s="28">
        <v>41640</v>
      </c>
      <c r="Q1524" t="s">
        <v>44683</v>
      </c>
      <c r="R1524" t="s">
        <v>46390</v>
      </c>
    </row>
    <row r="1525" spans="1:18" x14ac:dyDescent="0.35">
      <c r="A1525" t="s">
        <v>14998</v>
      </c>
      <c r="D1525" t="s">
        <v>2991</v>
      </c>
      <c r="E1525" t="s">
        <v>43</v>
      </c>
      <c r="I1525" s="26">
        <v>41275</v>
      </c>
      <c r="J1525" s="28">
        <v>41275</v>
      </c>
      <c r="Q1525" t="s">
        <v>44683</v>
      </c>
      <c r="R1525" t="s">
        <v>46391</v>
      </c>
    </row>
    <row r="1526" spans="1:18" x14ac:dyDescent="0.35">
      <c r="A1526" t="s">
        <v>14624</v>
      </c>
      <c r="D1526" t="s">
        <v>2221</v>
      </c>
      <c r="E1526" t="s">
        <v>43</v>
      </c>
      <c r="I1526" s="26">
        <v>41640</v>
      </c>
      <c r="J1526" s="28">
        <v>41640</v>
      </c>
      <c r="Q1526" t="s">
        <v>44683</v>
      </c>
      <c r="R1526" t="s">
        <v>46392</v>
      </c>
    </row>
    <row r="1527" spans="1:18" x14ac:dyDescent="0.35">
      <c r="A1527" t="s">
        <v>16333</v>
      </c>
      <c r="D1527" t="s">
        <v>7155</v>
      </c>
      <c r="E1527" t="s">
        <v>43</v>
      </c>
      <c r="I1527" s="26">
        <v>41640</v>
      </c>
      <c r="J1527" s="28">
        <v>41640</v>
      </c>
      <c r="Q1527" t="s">
        <v>44683</v>
      </c>
      <c r="R1527" t="s">
        <v>46393</v>
      </c>
    </row>
    <row r="1528" spans="1:18" x14ac:dyDescent="0.35">
      <c r="A1528" t="s">
        <v>16334</v>
      </c>
      <c r="D1528" t="s">
        <v>7155</v>
      </c>
      <c r="E1528" t="s">
        <v>43</v>
      </c>
      <c r="I1528" s="26">
        <v>41640</v>
      </c>
      <c r="J1528" s="28">
        <v>41640</v>
      </c>
      <c r="Q1528" t="s">
        <v>44683</v>
      </c>
      <c r="R1528" t="s">
        <v>46394</v>
      </c>
    </row>
    <row r="1529" spans="1:18" x14ac:dyDescent="0.35">
      <c r="A1529" t="s">
        <v>15256</v>
      </c>
      <c r="D1529" t="s">
        <v>5280</v>
      </c>
      <c r="E1529" t="s">
        <v>43</v>
      </c>
      <c r="I1529" s="26">
        <v>41640</v>
      </c>
      <c r="J1529" s="28">
        <v>41640</v>
      </c>
      <c r="Q1529" t="s">
        <v>44683</v>
      </c>
      <c r="R1529" t="s">
        <v>46395</v>
      </c>
    </row>
    <row r="1530" spans="1:18" x14ac:dyDescent="0.35">
      <c r="A1530" t="s">
        <v>16335</v>
      </c>
      <c r="D1530" t="s">
        <v>7155</v>
      </c>
      <c r="E1530" t="s">
        <v>43</v>
      </c>
      <c r="I1530" s="26">
        <v>41640</v>
      </c>
      <c r="J1530" s="28">
        <v>41640</v>
      </c>
      <c r="Q1530" t="s">
        <v>44683</v>
      </c>
      <c r="R1530" t="s">
        <v>46396</v>
      </c>
    </row>
    <row r="1531" spans="1:18" x14ac:dyDescent="0.35">
      <c r="A1531" t="s">
        <v>16336</v>
      </c>
      <c r="D1531" t="s">
        <v>7155</v>
      </c>
      <c r="E1531" t="s">
        <v>43</v>
      </c>
      <c r="I1531" s="26">
        <v>41640</v>
      </c>
      <c r="J1531" s="28">
        <v>41640</v>
      </c>
      <c r="Q1531" t="s">
        <v>44683</v>
      </c>
      <c r="R1531" t="s">
        <v>46397</v>
      </c>
    </row>
    <row r="1532" spans="1:18" x14ac:dyDescent="0.35">
      <c r="A1532" t="s">
        <v>15689</v>
      </c>
      <c r="D1532" t="s">
        <v>5877</v>
      </c>
      <c r="E1532" t="s">
        <v>43</v>
      </c>
      <c r="I1532" s="26">
        <v>41576</v>
      </c>
      <c r="J1532" s="28">
        <v>41576</v>
      </c>
      <c r="Q1532" t="s">
        <v>44683</v>
      </c>
      <c r="R1532" t="s">
        <v>46398</v>
      </c>
    </row>
    <row r="1533" spans="1:18" x14ac:dyDescent="0.35">
      <c r="A1533" t="s">
        <v>16337</v>
      </c>
      <c r="D1533" t="s">
        <v>7155</v>
      </c>
      <c r="E1533" t="s">
        <v>43</v>
      </c>
      <c r="I1533" s="26">
        <v>41640</v>
      </c>
      <c r="J1533" s="28">
        <v>41640</v>
      </c>
      <c r="Q1533" t="s">
        <v>44683</v>
      </c>
      <c r="R1533" t="s">
        <v>46399</v>
      </c>
    </row>
    <row r="1534" spans="1:18" x14ac:dyDescent="0.35">
      <c r="A1534" t="s">
        <v>16338</v>
      </c>
      <c r="D1534" t="s">
        <v>7155</v>
      </c>
      <c r="E1534" t="s">
        <v>43</v>
      </c>
      <c r="I1534" s="26">
        <v>41640</v>
      </c>
      <c r="J1534" s="28">
        <v>41640</v>
      </c>
      <c r="Q1534" t="s">
        <v>44683</v>
      </c>
      <c r="R1534" t="s">
        <v>46400</v>
      </c>
    </row>
    <row r="1535" spans="1:18" x14ac:dyDescent="0.35">
      <c r="A1535" t="s">
        <v>16339</v>
      </c>
      <c r="C1535" t="s">
        <v>46401</v>
      </c>
      <c r="D1535" t="s">
        <v>7155</v>
      </c>
      <c r="E1535" t="s">
        <v>43</v>
      </c>
      <c r="I1535" s="26">
        <v>41640</v>
      </c>
      <c r="J1535" s="28">
        <v>41640</v>
      </c>
      <c r="Q1535" t="s">
        <v>44683</v>
      </c>
      <c r="R1535" t="s">
        <v>46402</v>
      </c>
    </row>
    <row r="1536" spans="1:18" x14ac:dyDescent="0.35">
      <c r="A1536" t="s">
        <v>14050</v>
      </c>
      <c r="D1536" t="s">
        <v>386</v>
      </c>
      <c r="E1536" t="s">
        <v>43</v>
      </c>
      <c r="I1536" s="26">
        <v>41640</v>
      </c>
      <c r="J1536" s="28">
        <v>41640</v>
      </c>
      <c r="Q1536" t="s">
        <v>44683</v>
      </c>
      <c r="R1536" t="s">
        <v>46403</v>
      </c>
    </row>
    <row r="1537" spans="1:18" x14ac:dyDescent="0.35">
      <c r="A1537" t="s">
        <v>15690</v>
      </c>
      <c r="D1537" t="s">
        <v>5877</v>
      </c>
      <c r="E1537" t="s">
        <v>43</v>
      </c>
      <c r="I1537" s="26">
        <v>41640</v>
      </c>
      <c r="J1537" s="28">
        <v>41640</v>
      </c>
      <c r="Q1537" t="s">
        <v>44683</v>
      </c>
      <c r="R1537" t="s">
        <v>46404</v>
      </c>
    </row>
    <row r="1538" spans="1:18" x14ac:dyDescent="0.35">
      <c r="A1538" t="s">
        <v>14999</v>
      </c>
      <c r="D1538" t="s">
        <v>2991</v>
      </c>
      <c r="E1538" t="s">
        <v>43</v>
      </c>
      <c r="I1538" s="26">
        <v>41275</v>
      </c>
      <c r="J1538" s="28">
        <v>41275</v>
      </c>
      <c r="Q1538" t="s">
        <v>44683</v>
      </c>
      <c r="R1538" t="s">
        <v>46405</v>
      </c>
    </row>
    <row r="1539" spans="1:18" x14ac:dyDescent="0.35">
      <c r="A1539" t="s">
        <v>15000</v>
      </c>
      <c r="D1539" t="s">
        <v>2991</v>
      </c>
      <c r="E1539" t="s">
        <v>43</v>
      </c>
      <c r="I1539" s="26">
        <v>41275</v>
      </c>
      <c r="J1539" s="28">
        <v>41275</v>
      </c>
      <c r="Q1539" t="s">
        <v>44683</v>
      </c>
      <c r="R1539" t="s">
        <v>46406</v>
      </c>
    </row>
    <row r="1540" spans="1:18" x14ac:dyDescent="0.35">
      <c r="A1540" t="s">
        <v>16340</v>
      </c>
      <c r="C1540" t="s">
        <v>46407</v>
      </c>
      <c r="D1540" t="s">
        <v>7155</v>
      </c>
      <c r="E1540" t="s">
        <v>43</v>
      </c>
      <c r="I1540" s="26">
        <v>41640</v>
      </c>
      <c r="J1540" s="28">
        <v>41640</v>
      </c>
      <c r="Q1540" t="s">
        <v>44683</v>
      </c>
      <c r="R1540" t="s">
        <v>46408</v>
      </c>
    </row>
    <row r="1541" spans="1:18" x14ac:dyDescent="0.35">
      <c r="A1541" t="s">
        <v>15257</v>
      </c>
      <c r="D1541" t="s">
        <v>5280</v>
      </c>
      <c r="E1541" t="s">
        <v>43</v>
      </c>
      <c r="I1541" s="26">
        <v>41640</v>
      </c>
      <c r="J1541" s="28">
        <v>41640</v>
      </c>
      <c r="Q1541" t="s">
        <v>44683</v>
      </c>
      <c r="R1541" t="s">
        <v>46409</v>
      </c>
    </row>
    <row r="1542" spans="1:18" x14ac:dyDescent="0.35">
      <c r="A1542" t="s">
        <v>15691</v>
      </c>
      <c r="D1542" t="s">
        <v>5877</v>
      </c>
      <c r="E1542" t="s">
        <v>43</v>
      </c>
      <c r="I1542" s="26">
        <v>41640</v>
      </c>
      <c r="J1542" s="28">
        <v>41640</v>
      </c>
      <c r="Q1542" t="s">
        <v>44683</v>
      </c>
      <c r="R1542" t="s">
        <v>46410</v>
      </c>
    </row>
    <row r="1543" spans="1:18" x14ac:dyDescent="0.35">
      <c r="A1543" t="s">
        <v>14051</v>
      </c>
      <c r="D1543" t="s">
        <v>386</v>
      </c>
      <c r="E1543" t="s">
        <v>43</v>
      </c>
      <c r="I1543" s="26">
        <v>41640</v>
      </c>
      <c r="J1543" s="28">
        <v>41640</v>
      </c>
      <c r="Q1543" t="s">
        <v>44683</v>
      </c>
      <c r="R1543" t="s">
        <v>46411</v>
      </c>
    </row>
    <row r="1544" spans="1:18" x14ac:dyDescent="0.35">
      <c r="A1544" t="s">
        <v>15676</v>
      </c>
      <c r="D1544" t="s">
        <v>5877</v>
      </c>
      <c r="E1544" t="s">
        <v>43</v>
      </c>
      <c r="I1544" s="26">
        <v>41640</v>
      </c>
      <c r="J1544" s="28">
        <v>41640</v>
      </c>
      <c r="Q1544" t="s">
        <v>44683</v>
      </c>
      <c r="R1544" t="s">
        <v>46412</v>
      </c>
    </row>
    <row r="1545" spans="1:18" x14ac:dyDescent="0.35">
      <c r="A1545" t="s">
        <v>15692</v>
      </c>
      <c r="D1545" t="s">
        <v>5877</v>
      </c>
      <c r="E1545" t="s">
        <v>43</v>
      </c>
      <c r="I1545" s="26">
        <v>41640</v>
      </c>
      <c r="J1545" s="28">
        <v>41640</v>
      </c>
      <c r="Q1545" t="s">
        <v>44683</v>
      </c>
      <c r="R1545" t="s">
        <v>46413</v>
      </c>
    </row>
    <row r="1546" spans="1:18" x14ac:dyDescent="0.35">
      <c r="A1546" t="s">
        <v>15597</v>
      </c>
      <c r="D1546" t="s">
        <v>5690</v>
      </c>
      <c r="E1546" t="s">
        <v>43</v>
      </c>
      <c r="I1546" s="26">
        <v>41640</v>
      </c>
      <c r="J1546" s="28">
        <v>41640</v>
      </c>
      <c r="Q1546" t="s">
        <v>44683</v>
      </c>
      <c r="R1546" t="s">
        <v>46414</v>
      </c>
    </row>
    <row r="1547" spans="1:18" x14ac:dyDescent="0.35">
      <c r="A1547" t="s">
        <v>15693</v>
      </c>
      <c r="D1547" t="s">
        <v>5877</v>
      </c>
      <c r="E1547" t="s">
        <v>43</v>
      </c>
      <c r="I1547" s="26">
        <v>41640</v>
      </c>
      <c r="J1547" s="28">
        <v>41640</v>
      </c>
      <c r="Q1547" t="s">
        <v>44683</v>
      </c>
      <c r="R1547" t="s">
        <v>46415</v>
      </c>
    </row>
    <row r="1548" spans="1:18" x14ac:dyDescent="0.35">
      <c r="A1548" t="s">
        <v>14827</v>
      </c>
      <c r="D1548" t="s">
        <v>2536</v>
      </c>
      <c r="E1548" t="s">
        <v>43</v>
      </c>
      <c r="I1548" s="26">
        <v>41640</v>
      </c>
      <c r="J1548" s="28">
        <v>41640</v>
      </c>
      <c r="Q1548" t="s">
        <v>44683</v>
      </c>
      <c r="R1548" t="s">
        <v>46416</v>
      </c>
    </row>
    <row r="1549" spans="1:18" x14ac:dyDescent="0.35">
      <c r="A1549" t="s">
        <v>14828</v>
      </c>
      <c r="D1549" t="s">
        <v>2536</v>
      </c>
      <c r="E1549" t="s">
        <v>43</v>
      </c>
      <c r="I1549" s="26">
        <v>41640</v>
      </c>
      <c r="J1549" s="28">
        <v>41640</v>
      </c>
      <c r="Q1549" t="s">
        <v>44683</v>
      </c>
      <c r="R1549" t="s">
        <v>46417</v>
      </c>
    </row>
    <row r="1550" spans="1:18" x14ac:dyDescent="0.35">
      <c r="A1550" t="s">
        <v>15598</v>
      </c>
      <c r="C1550" t="s">
        <v>46418</v>
      </c>
      <c r="D1550" t="s">
        <v>5690</v>
      </c>
      <c r="E1550" t="s">
        <v>43</v>
      </c>
      <c r="I1550" s="26">
        <v>41576</v>
      </c>
      <c r="J1550" s="28">
        <v>41576</v>
      </c>
      <c r="Q1550" t="s">
        <v>44683</v>
      </c>
      <c r="R1550" t="s">
        <v>46419</v>
      </c>
    </row>
    <row r="1551" spans="1:18" x14ac:dyDescent="0.35">
      <c r="A1551" t="s">
        <v>16341</v>
      </c>
      <c r="D1551" t="s">
        <v>7155</v>
      </c>
      <c r="E1551" t="s">
        <v>43</v>
      </c>
      <c r="I1551" s="26">
        <v>41640</v>
      </c>
      <c r="J1551" s="28">
        <v>41640</v>
      </c>
      <c r="Q1551" t="s">
        <v>44683</v>
      </c>
      <c r="R1551" t="s">
        <v>46420</v>
      </c>
    </row>
    <row r="1552" spans="1:18" x14ac:dyDescent="0.35">
      <c r="A1552" t="s">
        <v>14264</v>
      </c>
      <c r="D1552" t="s">
        <v>1374</v>
      </c>
      <c r="E1552" t="s">
        <v>43</v>
      </c>
      <c r="I1552" s="26">
        <v>41640</v>
      </c>
      <c r="J1552" s="28">
        <v>41640</v>
      </c>
      <c r="Q1552" t="s">
        <v>14265</v>
      </c>
      <c r="R1552" t="s">
        <v>46421</v>
      </c>
    </row>
    <row r="1553" spans="1:18" x14ac:dyDescent="0.35">
      <c r="A1553" t="s">
        <v>16342</v>
      </c>
      <c r="C1553" t="s">
        <v>46422</v>
      </c>
      <c r="D1553" t="s">
        <v>7155</v>
      </c>
      <c r="E1553" t="s">
        <v>43</v>
      </c>
      <c r="I1553" s="26">
        <v>41640</v>
      </c>
      <c r="J1553" s="28">
        <v>41640</v>
      </c>
      <c r="Q1553" t="s">
        <v>44683</v>
      </c>
      <c r="R1553" t="s">
        <v>46423</v>
      </c>
    </row>
    <row r="1554" spans="1:18" x14ac:dyDescent="0.35">
      <c r="A1554" t="s">
        <v>16343</v>
      </c>
      <c r="D1554" t="s">
        <v>7155</v>
      </c>
      <c r="E1554" t="s">
        <v>43</v>
      </c>
      <c r="I1554" s="26">
        <v>41640</v>
      </c>
      <c r="J1554" s="28">
        <v>41640</v>
      </c>
      <c r="Q1554" t="s">
        <v>44683</v>
      </c>
      <c r="R1554" t="s">
        <v>46424</v>
      </c>
    </row>
    <row r="1555" spans="1:18" x14ac:dyDescent="0.35">
      <c r="A1555" t="s">
        <v>15677</v>
      </c>
      <c r="C1555" t="s">
        <v>46425</v>
      </c>
      <c r="D1555" t="s">
        <v>5877</v>
      </c>
      <c r="E1555" t="s">
        <v>43</v>
      </c>
      <c r="I1555" s="26">
        <v>41640</v>
      </c>
      <c r="J1555" s="28">
        <v>41640</v>
      </c>
      <c r="Q1555" t="s">
        <v>44683</v>
      </c>
      <c r="R1555" t="s">
        <v>46426</v>
      </c>
    </row>
    <row r="1556" spans="1:18" x14ac:dyDescent="0.35">
      <c r="A1556" t="s">
        <v>15599</v>
      </c>
      <c r="D1556" t="s">
        <v>5690</v>
      </c>
      <c r="E1556" t="s">
        <v>43</v>
      </c>
      <c r="I1556" s="26">
        <v>41640</v>
      </c>
      <c r="J1556" s="28">
        <v>41640</v>
      </c>
      <c r="Q1556" t="s">
        <v>44683</v>
      </c>
      <c r="R1556" t="s">
        <v>46427</v>
      </c>
    </row>
    <row r="1557" spans="1:18" x14ac:dyDescent="0.35">
      <c r="A1557" t="s">
        <v>14829</v>
      </c>
      <c r="D1557" t="s">
        <v>2536</v>
      </c>
      <c r="E1557" t="s">
        <v>43</v>
      </c>
      <c r="I1557" s="26">
        <v>41640</v>
      </c>
      <c r="J1557" s="28">
        <v>41640</v>
      </c>
      <c r="Q1557" t="s">
        <v>44683</v>
      </c>
      <c r="R1557" t="s">
        <v>46428</v>
      </c>
    </row>
    <row r="1558" spans="1:18" x14ac:dyDescent="0.35">
      <c r="A1558" t="s">
        <v>15002</v>
      </c>
      <c r="D1558" t="s">
        <v>2991</v>
      </c>
      <c r="E1558" t="s">
        <v>43</v>
      </c>
      <c r="I1558" s="26">
        <v>41275</v>
      </c>
      <c r="J1558" s="28">
        <v>41275</v>
      </c>
      <c r="Q1558" t="s">
        <v>44683</v>
      </c>
      <c r="R1558" t="s">
        <v>46429</v>
      </c>
    </row>
    <row r="1559" spans="1:18" x14ac:dyDescent="0.35">
      <c r="A1559" t="s">
        <v>16344</v>
      </c>
      <c r="D1559" t="s">
        <v>7155</v>
      </c>
      <c r="E1559" t="s">
        <v>43</v>
      </c>
      <c r="I1559" s="26">
        <v>41640</v>
      </c>
      <c r="J1559" s="28">
        <v>41640</v>
      </c>
      <c r="Q1559" t="s">
        <v>44683</v>
      </c>
      <c r="R1559" t="s">
        <v>46430</v>
      </c>
    </row>
    <row r="1560" spans="1:18" x14ac:dyDescent="0.35">
      <c r="A1560" t="s">
        <v>15600</v>
      </c>
      <c r="D1560" t="s">
        <v>5690</v>
      </c>
      <c r="E1560" t="s">
        <v>43</v>
      </c>
      <c r="I1560" s="26">
        <v>41640</v>
      </c>
      <c r="J1560" s="28">
        <v>41640</v>
      </c>
      <c r="Q1560" t="s">
        <v>44683</v>
      </c>
      <c r="R1560" t="s">
        <v>46431</v>
      </c>
    </row>
    <row r="1561" spans="1:18" x14ac:dyDescent="0.35">
      <c r="A1561" t="s">
        <v>16345</v>
      </c>
      <c r="D1561" t="s">
        <v>7155</v>
      </c>
      <c r="E1561" t="s">
        <v>43</v>
      </c>
      <c r="I1561" s="26">
        <v>41640</v>
      </c>
      <c r="J1561" s="28">
        <v>41640</v>
      </c>
      <c r="Q1561" t="s">
        <v>44683</v>
      </c>
      <c r="R1561" t="s">
        <v>46432</v>
      </c>
    </row>
    <row r="1562" spans="1:18" x14ac:dyDescent="0.35">
      <c r="A1562" t="s">
        <v>16346</v>
      </c>
      <c r="D1562" t="s">
        <v>7155</v>
      </c>
      <c r="E1562" t="s">
        <v>43</v>
      </c>
      <c r="I1562" s="26">
        <v>41640</v>
      </c>
      <c r="J1562" s="28">
        <v>41640</v>
      </c>
      <c r="Q1562" t="s">
        <v>44683</v>
      </c>
      <c r="R1562" t="s">
        <v>46433</v>
      </c>
    </row>
    <row r="1563" spans="1:18" x14ac:dyDescent="0.35">
      <c r="A1563" t="s">
        <v>16347</v>
      </c>
      <c r="D1563" t="s">
        <v>7155</v>
      </c>
      <c r="E1563" t="s">
        <v>43</v>
      </c>
      <c r="I1563" s="26">
        <v>41640</v>
      </c>
      <c r="J1563" s="28">
        <v>41640</v>
      </c>
      <c r="Q1563" t="s">
        <v>44683</v>
      </c>
      <c r="R1563" t="s">
        <v>46434</v>
      </c>
    </row>
    <row r="1564" spans="1:18" x14ac:dyDescent="0.35">
      <c r="A1564" t="s">
        <v>15678</v>
      </c>
      <c r="D1564" t="s">
        <v>5877</v>
      </c>
      <c r="E1564" t="s">
        <v>43</v>
      </c>
      <c r="I1564" s="26">
        <v>41640</v>
      </c>
      <c r="J1564" s="28">
        <v>41640</v>
      </c>
      <c r="Q1564" t="s">
        <v>44683</v>
      </c>
      <c r="R1564" t="s">
        <v>46435</v>
      </c>
    </row>
    <row r="1565" spans="1:18" x14ac:dyDescent="0.35">
      <c r="A1565" t="s">
        <v>14625</v>
      </c>
      <c r="D1565" t="s">
        <v>2221</v>
      </c>
      <c r="E1565" t="s">
        <v>43</v>
      </c>
      <c r="I1565" s="26">
        <v>41640</v>
      </c>
      <c r="J1565" s="28">
        <v>41640</v>
      </c>
      <c r="Q1565" t="s">
        <v>44683</v>
      </c>
      <c r="R1565" t="s">
        <v>46436</v>
      </c>
    </row>
    <row r="1566" spans="1:18" x14ac:dyDescent="0.35">
      <c r="A1566" t="s">
        <v>15601</v>
      </c>
      <c r="D1566" t="s">
        <v>5690</v>
      </c>
      <c r="E1566" t="s">
        <v>43</v>
      </c>
      <c r="I1566" s="26">
        <v>41640</v>
      </c>
      <c r="J1566" s="28">
        <v>41640</v>
      </c>
      <c r="Q1566" t="s">
        <v>44683</v>
      </c>
      <c r="R1566" t="s">
        <v>46437</v>
      </c>
    </row>
    <row r="1567" spans="1:18" x14ac:dyDescent="0.35">
      <c r="A1567" t="s">
        <v>14052</v>
      </c>
      <c r="D1567" t="s">
        <v>386</v>
      </c>
      <c r="E1567" t="s">
        <v>43</v>
      </c>
      <c r="I1567" s="26">
        <v>41640</v>
      </c>
      <c r="J1567" s="28">
        <v>41640</v>
      </c>
      <c r="Q1567" t="s">
        <v>44683</v>
      </c>
      <c r="R1567" t="s">
        <v>46438</v>
      </c>
    </row>
    <row r="1568" spans="1:18" x14ac:dyDescent="0.35">
      <c r="A1568" t="s">
        <v>15679</v>
      </c>
      <c r="D1568" t="s">
        <v>5877</v>
      </c>
      <c r="E1568" t="s">
        <v>43</v>
      </c>
      <c r="I1568" s="26">
        <v>41640</v>
      </c>
      <c r="J1568" s="28">
        <v>41640</v>
      </c>
      <c r="Q1568" t="s">
        <v>44683</v>
      </c>
      <c r="R1568" t="s">
        <v>46439</v>
      </c>
    </row>
    <row r="1569" spans="1:18" x14ac:dyDescent="0.35">
      <c r="A1569" t="s">
        <v>15680</v>
      </c>
      <c r="D1569" t="s">
        <v>5877</v>
      </c>
      <c r="E1569" t="s">
        <v>43</v>
      </c>
      <c r="I1569" s="26">
        <v>41640</v>
      </c>
      <c r="J1569" s="28">
        <v>41640</v>
      </c>
      <c r="Q1569" t="s">
        <v>44683</v>
      </c>
      <c r="R1569" t="s">
        <v>46440</v>
      </c>
    </row>
    <row r="1570" spans="1:18" x14ac:dyDescent="0.35">
      <c r="A1570" t="s">
        <v>16348</v>
      </c>
      <c r="D1570" t="s">
        <v>7155</v>
      </c>
      <c r="E1570" t="s">
        <v>43</v>
      </c>
      <c r="I1570" s="26">
        <v>41640</v>
      </c>
      <c r="J1570" s="28">
        <v>41640</v>
      </c>
      <c r="Q1570" t="s">
        <v>44683</v>
      </c>
      <c r="R1570" t="s">
        <v>46441</v>
      </c>
    </row>
    <row r="1571" spans="1:18" x14ac:dyDescent="0.35">
      <c r="A1571" t="s">
        <v>15003</v>
      </c>
      <c r="D1571" t="s">
        <v>2991</v>
      </c>
      <c r="E1571" t="s">
        <v>43</v>
      </c>
      <c r="I1571" s="26">
        <v>41275</v>
      </c>
      <c r="J1571" s="28">
        <v>41275</v>
      </c>
      <c r="Q1571" t="s">
        <v>44683</v>
      </c>
      <c r="R1571" t="s">
        <v>46442</v>
      </c>
    </row>
    <row r="1572" spans="1:18" x14ac:dyDescent="0.35">
      <c r="A1572" t="s">
        <v>16349</v>
      </c>
      <c r="D1572" t="s">
        <v>7155</v>
      </c>
      <c r="E1572" t="s">
        <v>43</v>
      </c>
      <c r="I1572" s="26">
        <v>41640</v>
      </c>
      <c r="J1572" s="28">
        <v>41640</v>
      </c>
      <c r="Q1572" t="s">
        <v>44683</v>
      </c>
      <c r="R1572" t="s">
        <v>46443</v>
      </c>
    </row>
    <row r="1573" spans="1:18" x14ac:dyDescent="0.35">
      <c r="A1573" t="s">
        <v>15160</v>
      </c>
      <c r="D1573" t="s">
        <v>5132</v>
      </c>
      <c r="E1573" t="s">
        <v>43</v>
      </c>
      <c r="I1573" s="26">
        <v>41640</v>
      </c>
      <c r="J1573" s="28">
        <v>41640</v>
      </c>
      <c r="Q1573" t="s">
        <v>44683</v>
      </c>
      <c r="R1573" t="s">
        <v>46444</v>
      </c>
    </row>
    <row r="1574" spans="1:18" x14ac:dyDescent="0.35">
      <c r="A1574" t="s">
        <v>16350</v>
      </c>
      <c r="D1574" t="s">
        <v>7155</v>
      </c>
      <c r="E1574" t="s">
        <v>43</v>
      </c>
      <c r="I1574" s="26">
        <v>41640</v>
      </c>
      <c r="J1574" s="28">
        <v>41640</v>
      </c>
      <c r="Q1574" t="s">
        <v>44683</v>
      </c>
      <c r="R1574" t="s">
        <v>46445</v>
      </c>
    </row>
    <row r="1575" spans="1:18" x14ac:dyDescent="0.35">
      <c r="A1575" t="s">
        <v>16351</v>
      </c>
      <c r="D1575" t="s">
        <v>7155</v>
      </c>
      <c r="E1575" t="s">
        <v>43</v>
      </c>
      <c r="I1575" s="26">
        <v>41640</v>
      </c>
      <c r="J1575" s="28">
        <v>41640</v>
      </c>
      <c r="Q1575" t="s">
        <v>44683</v>
      </c>
      <c r="R1575" t="s">
        <v>46446</v>
      </c>
    </row>
    <row r="1576" spans="1:18" x14ac:dyDescent="0.35">
      <c r="A1576" t="s">
        <v>16352</v>
      </c>
      <c r="D1576" t="s">
        <v>7155</v>
      </c>
      <c r="E1576" t="s">
        <v>43</v>
      </c>
      <c r="I1576" s="26">
        <v>41640</v>
      </c>
      <c r="J1576" s="28">
        <v>41640</v>
      </c>
      <c r="Q1576" t="s">
        <v>44683</v>
      </c>
      <c r="R1576" t="s">
        <v>46447</v>
      </c>
    </row>
    <row r="1577" spans="1:18" x14ac:dyDescent="0.35">
      <c r="A1577" t="s">
        <v>15695</v>
      </c>
      <c r="D1577" t="s">
        <v>5877</v>
      </c>
      <c r="E1577" t="s">
        <v>43</v>
      </c>
      <c r="I1577" s="26">
        <v>41576</v>
      </c>
      <c r="J1577" s="28">
        <v>41576</v>
      </c>
      <c r="Q1577" t="s">
        <v>44683</v>
      </c>
      <c r="R1577" t="s">
        <v>46448</v>
      </c>
    </row>
    <row r="1578" spans="1:18" x14ac:dyDescent="0.35">
      <c r="A1578" t="s">
        <v>15696</v>
      </c>
      <c r="D1578" t="s">
        <v>5877</v>
      </c>
      <c r="E1578" t="s">
        <v>43</v>
      </c>
      <c r="I1578" s="26">
        <v>41640</v>
      </c>
      <c r="J1578" s="28">
        <v>41640</v>
      </c>
      <c r="Q1578" t="s">
        <v>44683</v>
      </c>
      <c r="R1578" t="s">
        <v>46449</v>
      </c>
    </row>
    <row r="1579" spans="1:18" x14ac:dyDescent="0.35">
      <c r="A1579" t="s">
        <v>16399</v>
      </c>
      <c r="D1579" t="s">
        <v>7210</v>
      </c>
      <c r="E1579" t="s">
        <v>43</v>
      </c>
      <c r="I1579" s="26">
        <v>41640</v>
      </c>
      <c r="J1579" s="28">
        <v>41640</v>
      </c>
      <c r="Q1579" t="s">
        <v>44683</v>
      </c>
      <c r="R1579" t="s">
        <v>46450</v>
      </c>
    </row>
    <row r="1580" spans="1:18" x14ac:dyDescent="0.35">
      <c r="A1580" t="s">
        <v>15681</v>
      </c>
      <c r="D1580" t="s">
        <v>5877</v>
      </c>
      <c r="E1580" t="s">
        <v>43</v>
      </c>
      <c r="I1580" s="26">
        <v>41640</v>
      </c>
      <c r="J1580" s="28">
        <v>41640</v>
      </c>
      <c r="Q1580" t="s">
        <v>15682</v>
      </c>
      <c r="R1580" t="s">
        <v>46451</v>
      </c>
    </row>
    <row r="1581" spans="1:18" x14ac:dyDescent="0.35">
      <c r="A1581" t="s">
        <v>15258</v>
      </c>
      <c r="D1581" t="s">
        <v>5280</v>
      </c>
      <c r="E1581" t="s">
        <v>43</v>
      </c>
      <c r="I1581" s="26">
        <v>41640</v>
      </c>
      <c r="J1581" s="28">
        <v>41640</v>
      </c>
      <c r="Q1581" t="s">
        <v>44683</v>
      </c>
      <c r="R1581" t="s">
        <v>46452</v>
      </c>
    </row>
    <row r="1582" spans="1:18" x14ac:dyDescent="0.35">
      <c r="A1582" t="s">
        <v>16353</v>
      </c>
      <c r="D1582" t="s">
        <v>7155</v>
      </c>
      <c r="E1582" t="s">
        <v>43</v>
      </c>
      <c r="I1582" s="26">
        <v>41640</v>
      </c>
      <c r="J1582" s="28">
        <v>41640</v>
      </c>
      <c r="Q1582" t="s">
        <v>44683</v>
      </c>
      <c r="R1582" t="s">
        <v>46453</v>
      </c>
    </row>
    <row r="1583" spans="1:18" x14ac:dyDescent="0.35">
      <c r="A1583" t="s">
        <v>15683</v>
      </c>
      <c r="D1583" t="s">
        <v>5877</v>
      </c>
      <c r="E1583" t="s">
        <v>43</v>
      </c>
      <c r="I1583" s="26">
        <v>41640</v>
      </c>
      <c r="J1583" s="28">
        <v>41640</v>
      </c>
      <c r="Q1583" t="s">
        <v>44683</v>
      </c>
      <c r="R1583" t="s">
        <v>46454</v>
      </c>
    </row>
    <row r="1584" spans="1:18" x14ac:dyDescent="0.35">
      <c r="A1584" t="s">
        <v>16354</v>
      </c>
      <c r="D1584" t="s">
        <v>7155</v>
      </c>
      <c r="E1584" t="s">
        <v>43</v>
      </c>
      <c r="I1584" s="26">
        <v>41640</v>
      </c>
      <c r="J1584" s="28">
        <v>41640</v>
      </c>
      <c r="Q1584" t="s">
        <v>44683</v>
      </c>
      <c r="R1584" t="s">
        <v>46455</v>
      </c>
    </row>
    <row r="1585" spans="1:18" x14ac:dyDescent="0.35">
      <c r="A1585" t="s">
        <v>15602</v>
      </c>
      <c r="D1585" t="s">
        <v>5690</v>
      </c>
      <c r="E1585" t="s">
        <v>43</v>
      </c>
      <c r="I1585" s="26">
        <v>41640</v>
      </c>
      <c r="J1585" s="28">
        <v>41640</v>
      </c>
      <c r="Q1585" t="s">
        <v>44683</v>
      </c>
      <c r="R1585" t="s">
        <v>46456</v>
      </c>
    </row>
    <row r="1586" spans="1:18" x14ac:dyDescent="0.35">
      <c r="A1586" t="s">
        <v>16356</v>
      </c>
      <c r="D1586" t="s">
        <v>7155</v>
      </c>
      <c r="E1586" t="s">
        <v>43</v>
      </c>
      <c r="I1586" s="26">
        <v>41640</v>
      </c>
      <c r="J1586" s="28">
        <v>41640</v>
      </c>
      <c r="Q1586" t="s">
        <v>44683</v>
      </c>
      <c r="R1586" t="s">
        <v>46457</v>
      </c>
    </row>
    <row r="1587" spans="1:18" x14ac:dyDescent="0.35">
      <c r="A1587" t="s">
        <v>15697</v>
      </c>
      <c r="D1587" t="s">
        <v>5877</v>
      </c>
      <c r="E1587" t="s">
        <v>43</v>
      </c>
      <c r="I1587" s="26">
        <v>41576</v>
      </c>
      <c r="J1587" s="28">
        <v>41576</v>
      </c>
      <c r="Q1587" t="s">
        <v>44683</v>
      </c>
      <c r="R1587" t="s">
        <v>46458</v>
      </c>
    </row>
    <row r="1588" spans="1:18" x14ac:dyDescent="0.35">
      <c r="A1588" t="s">
        <v>16357</v>
      </c>
      <c r="D1588" t="s">
        <v>7155</v>
      </c>
      <c r="E1588" t="s">
        <v>43</v>
      </c>
      <c r="I1588" s="26">
        <v>41640</v>
      </c>
      <c r="J1588" s="28">
        <v>41640</v>
      </c>
      <c r="Q1588" t="s">
        <v>44683</v>
      </c>
      <c r="R1588" t="s">
        <v>46459</v>
      </c>
    </row>
    <row r="1589" spans="1:18" x14ac:dyDescent="0.35">
      <c r="A1589" t="s">
        <v>16358</v>
      </c>
      <c r="D1589" t="s">
        <v>7155</v>
      </c>
      <c r="E1589" t="s">
        <v>43</v>
      </c>
      <c r="I1589" s="26">
        <v>41640</v>
      </c>
      <c r="J1589" s="28">
        <v>41640</v>
      </c>
      <c r="Q1589" t="s">
        <v>44683</v>
      </c>
      <c r="R1589" t="s">
        <v>46460</v>
      </c>
    </row>
    <row r="1590" spans="1:18" x14ac:dyDescent="0.35">
      <c r="A1590" t="s">
        <v>15064</v>
      </c>
      <c r="D1590" t="s">
        <v>3453</v>
      </c>
      <c r="E1590" t="s">
        <v>43</v>
      </c>
      <c r="I1590" s="26">
        <v>41640</v>
      </c>
      <c r="J1590" s="28">
        <v>41640</v>
      </c>
      <c r="Q1590" t="s">
        <v>44683</v>
      </c>
      <c r="R1590" t="s">
        <v>46461</v>
      </c>
    </row>
    <row r="1591" spans="1:18" x14ac:dyDescent="0.35">
      <c r="A1591" t="s">
        <v>15684</v>
      </c>
      <c r="C1591" t="s">
        <v>46462</v>
      </c>
      <c r="D1591" t="s">
        <v>5877</v>
      </c>
      <c r="E1591" t="s">
        <v>43</v>
      </c>
      <c r="I1591" s="26">
        <v>41640</v>
      </c>
      <c r="J1591" s="28">
        <v>41640</v>
      </c>
      <c r="Q1591" t="s">
        <v>44683</v>
      </c>
      <c r="R1591" t="s">
        <v>46463</v>
      </c>
    </row>
    <row r="1592" spans="1:18" x14ac:dyDescent="0.35">
      <c r="A1592" t="s">
        <v>14053</v>
      </c>
      <c r="D1592" t="s">
        <v>386</v>
      </c>
      <c r="E1592" t="s">
        <v>43</v>
      </c>
      <c r="I1592" s="26">
        <v>41640</v>
      </c>
      <c r="J1592" s="28">
        <v>41640</v>
      </c>
      <c r="Q1592" t="s">
        <v>44683</v>
      </c>
      <c r="R1592" t="s">
        <v>46464</v>
      </c>
    </row>
    <row r="1593" spans="1:18" x14ac:dyDescent="0.35">
      <c r="A1593" t="s">
        <v>15005</v>
      </c>
      <c r="D1593" t="s">
        <v>2991</v>
      </c>
      <c r="E1593" t="s">
        <v>43</v>
      </c>
      <c r="I1593" s="26">
        <v>41275</v>
      </c>
      <c r="J1593" s="28">
        <v>41275</v>
      </c>
      <c r="Q1593" t="s">
        <v>44683</v>
      </c>
      <c r="R1593" t="s">
        <v>46465</v>
      </c>
    </row>
    <row r="1594" spans="1:18" x14ac:dyDescent="0.35">
      <c r="A1594" t="s">
        <v>15603</v>
      </c>
      <c r="D1594" t="s">
        <v>5690</v>
      </c>
      <c r="E1594" t="s">
        <v>43</v>
      </c>
      <c r="I1594" s="26">
        <v>41640</v>
      </c>
      <c r="J1594" s="28">
        <v>41640</v>
      </c>
      <c r="Q1594" t="s">
        <v>44683</v>
      </c>
      <c r="R1594" t="s">
        <v>46466</v>
      </c>
    </row>
    <row r="1595" spans="1:18" x14ac:dyDescent="0.35">
      <c r="A1595" t="s">
        <v>15685</v>
      </c>
      <c r="D1595" t="s">
        <v>5877</v>
      </c>
      <c r="E1595" t="s">
        <v>43</v>
      </c>
      <c r="I1595" s="26">
        <v>41640</v>
      </c>
      <c r="J1595" s="28">
        <v>41640</v>
      </c>
      <c r="Q1595" t="s">
        <v>44683</v>
      </c>
      <c r="R1595" t="s">
        <v>46467</v>
      </c>
    </row>
    <row r="1596" spans="1:18" x14ac:dyDescent="0.35">
      <c r="A1596" t="s">
        <v>16225</v>
      </c>
      <c r="D1596" t="s">
        <v>1782</v>
      </c>
      <c r="E1596" t="s">
        <v>43</v>
      </c>
      <c r="I1596" s="26">
        <v>41640</v>
      </c>
      <c r="J1596" s="28">
        <v>41640</v>
      </c>
      <c r="Q1596" t="s">
        <v>44683</v>
      </c>
      <c r="R1596" t="s">
        <v>46468</v>
      </c>
    </row>
    <row r="1597" spans="1:18" x14ac:dyDescent="0.35">
      <c r="A1597" t="s">
        <v>15262</v>
      </c>
      <c r="D1597" t="s">
        <v>5280</v>
      </c>
      <c r="E1597" t="s">
        <v>43</v>
      </c>
      <c r="I1597" s="26">
        <v>41640</v>
      </c>
      <c r="J1597" s="28">
        <v>41640</v>
      </c>
      <c r="Q1597" t="s">
        <v>44683</v>
      </c>
      <c r="R1597" t="s">
        <v>46469</v>
      </c>
    </row>
    <row r="1598" spans="1:18" x14ac:dyDescent="0.35">
      <c r="A1598" t="s">
        <v>15604</v>
      </c>
      <c r="D1598" t="s">
        <v>5690</v>
      </c>
      <c r="E1598" t="s">
        <v>43</v>
      </c>
      <c r="I1598" s="26">
        <v>41640</v>
      </c>
      <c r="J1598" s="28">
        <v>41640</v>
      </c>
      <c r="Q1598" t="s">
        <v>44683</v>
      </c>
      <c r="R1598" t="s">
        <v>46470</v>
      </c>
    </row>
    <row r="1599" spans="1:18" x14ac:dyDescent="0.35">
      <c r="A1599" t="s">
        <v>15263</v>
      </c>
      <c r="D1599" t="s">
        <v>5280</v>
      </c>
      <c r="E1599" t="s">
        <v>43</v>
      </c>
      <c r="I1599" s="26">
        <v>41640</v>
      </c>
      <c r="J1599" s="28">
        <v>41640</v>
      </c>
      <c r="Q1599" t="s">
        <v>44683</v>
      </c>
      <c r="R1599" t="s">
        <v>46471</v>
      </c>
    </row>
    <row r="1600" spans="1:18" x14ac:dyDescent="0.35">
      <c r="A1600" t="s">
        <v>15161</v>
      </c>
      <c r="D1600" t="s">
        <v>5132</v>
      </c>
      <c r="E1600" t="s">
        <v>43</v>
      </c>
      <c r="I1600" s="26">
        <v>41640</v>
      </c>
      <c r="J1600" s="28">
        <v>41640</v>
      </c>
      <c r="Q1600" t="s">
        <v>44683</v>
      </c>
      <c r="R1600" t="s">
        <v>46472</v>
      </c>
    </row>
    <row r="1601" spans="1:18" x14ac:dyDescent="0.35">
      <c r="A1601" t="s">
        <v>16359</v>
      </c>
      <c r="D1601" t="s">
        <v>7155</v>
      </c>
      <c r="E1601" t="s">
        <v>43</v>
      </c>
      <c r="I1601" s="26">
        <v>41640</v>
      </c>
      <c r="J1601" s="28">
        <v>41640</v>
      </c>
      <c r="Q1601" t="s">
        <v>44683</v>
      </c>
      <c r="R1601" t="s">
        <v>46473</v>
      </c>
    </row>
    <row r="1602" spans="1:18" x14ac:dyDescent="0.35">
      <c r="A1602" t="s">
        <v>14817</v>
      </c>
      <c r="D1602" t="s">
        <v>2494</v>
      </c>
      <c r="E1602" t="s">
        <v>43</v>
      </c>
      <c r="I1602" s="26">
        <v>41275</v>
      </c>
      <c r="J1602" s="28">
        <v>41275</v>
      </c>
      <c r="Q1602" t="s">
        <v>44683</v>
      </c>
      <c r="R1602" t="s">
        <v>46474</v>
      </c>
    </row>
    <row r="1603" spans="1:18" x14ac:dyDescent="0.35">
      <c r="A1603" t="s">
        <v>14514</v>
      </c>
      <c r="D1603" t="s">
        <v>2092</v>
      </c>
      <c r="E1603" t="s">
        <v>43</v>
      </c>
      <c r="I1603" s="26">
        <v>41275</v>
      </c>
      <c r="J1603" s="28">
        <v>41275</v>
      </c>
      <c r="Q1603" t="s">
        <v>44683</v>
      </c>
      <c r="R1603" t="s">
        <v>46475</v>
      </c>
    </row>
    <row r="1604" spans="1:18" x14ac:dyDescent="0.35">
      <c r="A1604" t="s">
        <v>16261</v>
      </c>
      <c r="D1604" t="s">
        <v>5300</v>
      </c>
      <c r="E1604" t="s">
        <v>43</v>
      </c>
      <c r="I1604" s="26">
        <v>41275</v>
      </c>
      <c r="J1604" s="28">
        <v>41275</v>
      </c>
      <c r="Q1604" t="s">
        <v>44683</v>
      </c>
      <c r="R1604" t="s">
        <v>46476</v>
      </c>
    </row>
    <row r="1605" spans="1:18" x14ac:dyDescent="0.35">
      <c r="A1605" t="s">
        <v>15213</v>
      </c>
      <c r="D1605" t="s">
        <v>5220</v>
      </c>
      <c r="E1605" t="s">
        <v>43</v>
      </c>
      <c r="I1605" s="26">
        <v>41275</v>
      </c>
      <c r="J1605" s="28">
        <v>41275</v>
      </c>
      <c r="Q1605" t="s">
        <v>44683</v>
      </c>
      <c r="R1605" t="s">
        <v>46477</v>
      </c>
    </row>
    <row r="1606" spans="1:18" x14ac:dyDescent="0.35">
      <c r="A1606" t="s">
        <v>14650</v>
      </c>
      <c r="D1606" t="s">
        <v>2462</v>
      </c>
      <c r="E1606" t="s">
        <v>43</v>
      </c>
      <c r="I1606" s="26">
        <v>41275</v>
      </c>
      <c r="J1606" s="28">
        <v>41275</v>
      </c>
      <c r="Q1606" t="s">
        <v>44683</v>
      </c>
      <c r="R1606" t="s">
        <v>46478</v>
      </c>
    </row>
    <row r="1607" spans="1:18" x14ac:dyDescent="0.35">
      <c r="A1607" t="s">
        <v>14753</v>
      </c>
      <c r="D1607" t="s">
        <v>2462</v>
      </c>
      <c r="E1607" t="s">
        <v>43</v>
      </c>
      <c r="I1607" s="26">
        <v>41275</v>
      </c>
      <c r="J1607" s="28">
        <v>41275</v>
      </c>
      <c r="Q1607" t="s">
        <v>44683</v>
      </c>
      <c r="R1607" t="s">
        <v>46479</v>
      </c>
    </row>
    <row r="1608" spans="1:18" x14ac:dyDescent="0.35">
      <c r="A1608" t="s">
        <v>15214</v>
      </c>
      <c r="D1608" t="s">
        <v>5220</v>
      </c>
      <c r="E1608" t="s">
        <v>43</v>
      </c>
      <c r="I1608" s="26">
        <v>41275</v>
      </c>
      <c r="J1608" s="28">
        <v>41275</v>
      </c>
      <c r="Q1608" t="s">
        <v>44683</v>
      </c>
      <c r="R1608" t="s">
        <v>46480</v>
      </c>
    </row>
    <row r="1609" spans="1:18" x14ac:dyDescent="0.35">
      <c r="A1609" t="s">
        <v>14309</v>
      </c>
      <c r="D1609" t="s">
        <v>1772</v>
      </c>
      <c r="E1609" t="s">
        <v>43</v>
      </c>
      <c r="I1609" s="26">
        <v>41275</v>
      </c>
      <c r="J1609" s="28">
        <v>41275</v>
      </c>
      <c r="Q1609" t="s">
        <v>44683</v>
      </c>
      <c r="R1609" t="s">
        <v>46481</v>
      </c>
    </row>
    <row r="1610" spans="1:18" x14ac:dyDescent="0.35">
      <c r="A1610" t="s">
        <v>14731</v>
      </c>
      <c r="D1610" t="s">
        <v>2462</v>
      </c>
      <c r="E1610" t="s">
        <v>43</v>
      </c>
      <c r="I1610" s="26">
        <v>41275</v>
      </c>
      <c r="J1610" s="28">
        <v>41275</v>
      </c>
      <c r="Q1610" t="s">
        <v>44683</v>
      </c>
      <c r="R1610" t="s">
        <v>46482</v>
      </c>
    </row>
    <row r="1611" spans="1:18" x14ac:dyDescent="0.35">
      <c r="A1611" t="s">
        <v>14755</v>
      </c>
      <c r="D1611" t="s">
        <v>2462</v>
      </c>
      <c r="E1611" t="s">
        <v>43</v>
      </c>
      <c r="I1611" s="26">
        <v>41275</v>
      </c>
      <c r="J1611" s="28">
        <v>41275</v>
      </c>
      <c r="Q1611" t="s">
        <v>44683</v>
      </c>
      <c r="R1611" t="s">
        <v>46483</v>
      </c>
    </row>
    <row r="1612" spans="1:18" x14ac:dyDescent="0.35">
      <c r="A1612" t="s">
        <v>14310</v>
      </c>
      <c r="D1612" t="s">
        <v>1772</v>
      </c>
      <c r="E1612" t="s">
        <v>43</v>
      </c>
      <c r="I1612" s="26">
        <v>41275</v>
      </c>
      <c r="J1612" s="28">
        <v>41275</v>
      </c>
      <c r="Q1612" t="s">
        <v>44683</v>
      </c>
      <c r="R1612" t="s">
        <v>46484</v>
      </c>
    </row>
    <row r="1613" spans="1:18" x14ac:dyDescent="0.35">
      <c r="A1613" t="s">
        <v>14732</v>
      </c>
      <c r="D1613" t="s">
        <v>2462</v>
      </c>
      <c r="E1613" t="s">
        <v>43</v>
      </c>
      <c r="I1613" s="26">
        <v>41275</v>
      </c>
      <c r="J1613" s="28">
        <v>41275</v>
      </c>
      <c r="Q1613" t="s">
        <v>44683</v>
      </c>
      <c r="R1613" t="s">
        <v>46485</v>
      </c>
    </row>
    <row r="1614" spans="1:18" x14ac:dyDescent="0.35">
      <c r="A1614" t="s">
        <v>14756</v>
      </c>
      <c r="D1614" t="s">
        <v>2462</v>
      </c>
      <c r="E1614" t="s">
        <v>43</v>
      </c>
      <c r="I1614" s="26">
        <v>41275</v>
      </c>
      <c r="J1614" s="28">
        <v>41275</v>
      </c>
      <c r="Q1614" t="s">
        <v>44683</v>
      </c>
      <c r="R1614" t="s">
        <v>46486</v>
      </c>
    </row>
    <row r="1615" spans="1:18" x14ac:dyDescent="0.35">
      <c r="A1615" t="s">
        <v>14733</v>
      </c>
      <c r="D1615" t="s">
        <v>2462</v>
      </c>
      <c r="E1615" t="s">
        <v>43</v>
      </c>
      <c r="I1615" s="26">
        <v>41275</v>
      </c>
      <c r="J1615" s="28">
        <v>41275</v>
      </c>
      <c r="Q1615" t="s">
        <v>44683</v>
      </c>
      <c r="R1615" t="s">
        <v>46487</v>
      </c>
    </row>
    <row r="1616" spans="1:18" x14ac:dyDescent="0.35">
      <c r="A1616" t="s">
        <v>15687</v>
      </c>
      <c r="D1616" t="s">
        <v>5877</v>
      </c>
      <c r="E1616" t="s">
        <v>43</v>
      </c>
      <c r="I1616" s="26">
        <v>41275</v>
      </c>
      <c r="J1616" s="28">
        <v>41275</v>
      </c>
      <c r="Q1616" t="s">
        <v>44683</v>
      </c>
      <c r="R1616" t="s">
        <v>46488</v>
      </c>
    </row>
    <row r="1617" spans="1:18" x14ac:dyDescent="0.35">
      <c r="A1617" t="s">
        <v>15218</v>
      </c>
      <c r="D1617" t="s">
        <v>5220</v>
      </c>
      <c r="E1617" t="s">
        <v>43</v>
      </c>
      <c r="I1617" s="26">
        <v>41275</v>
      </c>
      <c r="J1617" s="28">
        <v>41275</v>
      </c>
      <c r="Q1617" t="s">
        <v>44683</v>
      </c>
      <c r="R1617" t="s">
        <v>46489</v>
      </c>
    </row>
    <row r="1618" spans="1:18" x14ac:dyDescent="0.35">
      <c r="A1618" t="s">
        <v>16262</v>
      </c>
      <c r="C1618" t="s">
        <v>46490</v>
      </c>
      <c r="D1618" t="s">
        <v>5300</v>
      </c>
      <c r="E1618" t="s">
        <v>43</v>
      </c>
      <c r="I1618" s="26">
        <v>41275</v>
      </c>
      <c r="J1618" s="28">
        <v>41275</v>
      </c>
      <c r="Q1618" t="s">
        <v>44683</v>
      </c>
      <c r="R1618" t="s">
        <v>46491</v>
      </c>
    </row>
    <row r="1619" spans="1:18" x14ac:dyDescent="0.35">
      <c r="A1619" t="s">
        <v>14734</v>
      </c>
      <c r="D1619" t="s">
        <v>2462</v>
      </c>
      <c r="E1619" t="s">
        <v>43</v>
      </c>
      <c r="I1619" s="26">
        <v>41275</v>
      </c>
      <c r="J1619" s="28">
        <v>41275</v>
      </c>
      <c r="Q1619" t="s">
        <v>44683</v>
      </c>
      <c r="R1619" t="s">
        <v>46492</v>
      </c>
    </row>
    <row r="1620" spans="1:18" x14ac:dyDescent="0.35">
      <c r="A1620" t="s">
        <v>14712</v>
      </c>
      <c r="D1620" t="s">
        <v>2462</v>
      </c>
      <c r="E1620" t="s">
        <v>43</v>
      </c>
      <c r="I1620" s="26">
        <v>41275</v>
      </c>
      <c r="J1620" s="28">
        <v>41275</v>
      </c>
      <c r="Q1620" t="s">
        <v>44683</v>
      </c>
      <c r="R1620" t="s">
        <v>46493</v>
      </c>
    </row>
    <row r="1621" spans="1:18" x14ac:dyDescent="0.35">
      <c r="A1621" t="s">
        <v>14757</v>
      </c>
      <c r="D1621" t="s">
        <v>2462</v>
      </c>
      <c r="E1621" t="s">
        <v>43</v>
      </c>
      <c r="I1621" s="26">
        <v>41275</v>
      </c>
      <c r="J1621" s="28">
        <v>41275</v>
      </c>
      <c r="Q1621" t="s">
        <v>44683</v>
      </c>
      <c r="R1621" t="s">
        <v>46494</v>
      </c>
    </row>
    <row r="1622" spans="1:18" x14ac:dyDescent="0.35">
      <c r="A1622" t="s">
        <v>14758</v>
      </c>
      <c r="D1622" t="s">
        <v>2462</v>
      </c>
      <c r="E1622" t="s">
        <v>43</v>
      </c>
      <c r="I1622" s="26">
        <v>41275</v>
      </c>
      <c r="J1622" s="28">
        <v>41275</v>
      </c>
      <c r="Q1622" t="s">
        <v>44683</v>
      </c>
      <c r="R1622" t="s">
        <v>46495</v>
      </c>
    </row>
    <row r="1623" spans="1:18" x14ac:dyDescent="0.35">
      <c r="A1623" t="s">
        <v>14735</v>
      </c>
      <c r="C1623" t="s">
        <v>46496</v>
      </c>
      <c r="D1623" t="s">
        <v>2462</v>
      </c>
      <c r="E1623" t="s">
        <v>43</v>
      </c>
      <c r="I1623" s="26">
        <v>41275</v>
      </c>
      <c r="J1623" s="28">
        <v>41275</v>
      </c>
      <c r="Q1623" t="s">
        <v>44683</v>
      </c>
      <c r="R1623" t="s">
        <v>46497</v>
      </c>
    </row>
    <row r="1624" spans="1:18" x14ac:dyDescent="0.35">
      <c r="A1624" t="s">
        <v>14736</v>
      </c>
      <c r="D1624" t="s">
        <v>2462</v>
      </c>
      <c r="E1624" t="s">
        <v>43</v>
      </c>
      <c r="I1624" s="26">
        <v>41275</v>
      </c>
      <c r="J1624" s="28">
        <v>41275</v>
      </c>
      <c r="Q1624" t="s">
        <v>44683</v>
      </c>
      <c r="R1624" t="s">
        <v>46498</v>
      </c>
    </row>
    <row r="1625" spans="1:18" x14ac:dyDescent="0.35">
      <c r="A1625" t="s">
        <v>14311</v>
      </c>
      <c r="D1625" t="s">
        <v>1772</v>
      </c>
      <c r="E1625" t="s">
        <v>43</v>
      </c>
      <c r="I1625" s="26">
        <v>41275</v>
      </c>
      <c r="J1625" s="28">
        <v>41275</v>
      </c>
      <c r="Q1625" t="s">
        <v>44683</v>
      </c>
      <c r="R1625" t="s">
        <v>46499</v>
      </c>
    </row>
    <row r="1626" spans="1:18" x14ac:dyDescent="0.35">
      <c r="A1626" t="s">
        <v>16264</v>
      </c>
      <c r="D1626" t="s">
        <v>5300</v>
      </c>
      <c r="E1626" t="s">
        <v>43</v>
      </c>
      <c r="I1626" s="26">
        <v>41275</v>
      </c>
      <c r="J1626" s="28">
        <v>41275</v>
      </c>
      <c r="Q1626" t="s">
        <v>44683</v>
      </c>
      <c r="R1626" t="s">
        <v>46500</v>
      </c>
    </row>
    <row r="1627" spans="1:18" x14ac:dyDescent="0.35">
      <c r="A1627" t="s">
        <v>14759</v>
      </c>
      <c r="D1627" t="s">
        <v>2462</v>
      </c>
      <c r="E1627" t="s">
        <v>43</v>
      </c>
      <c r="I1627" s="26">
        <v>41275</v>
      </c>
      <c r="J1627" s="28">
        <v>41275</v>
      </c>
      <c r="Q1627" t="s">
        <v>44683</v>
      </c>
      <c r="R1627" t="s">
        <v>46501</v>
      </c>
    </row>
    <row r="1628" spans="1:18" x14ac:dyDescent="0.35">
      <c r="A1628" t="s">
        <v>14996</v>
      </c>
      <c r="D1628" t="s">
        <v>2991</v>
      </c>
      <c r="E1628" t="s">
        <v>43</v>
      </c>
      <c r="I1628" s="26">
        <v>41275</v>
      </c>
      <c r="J1628" s="28">
        <v>41275</v>
      </c>
      <c r="Q1628" t="s">
        <v>44683</v>
      </c>
      <c r="R1628" t="s">
        <v>46502</v>
      </c>
    </row>
    <row r="1629" spans="1:18" x14ac:dyDescent="0.35">
      <c r="A1629" t="s">
        <v>14737</v>
      </c>
      <c r="D1629" t="s">
        <v>2462</v>
      </c>
      <c r="E1629" t="s">
        <v>43</v>
      </c>
      <c r="I1629" s="26">
        <v>41275</v>
      </c>
      <c r="J1629" s="28">
        <v>41275</v>
      </c>
      <c r="Q1629" t="s">
        <v>44683</v>
      </c>
      <c r="R1629" t="s">
        <v>46503</v>
      </c>
    </row>
    <row r="1630" spans="1:18" x14ac:dyDescent="0.35">
      <c r="A1630" t="s">
        <v>14096</v>
      </c>
      <c r="D1630" t="s">
        <v>775</v>
      </c>
      <c r="E1630" t="s">
        <v>43</v>
      </c>
      <c r="I1630" s="26">
        <v>41275</v>
      </c>
      <c r="J1630" s="28">
        <v>41275</v>
      </c>
      <c r="Q1630" t="s">
        <v>44683</v>
      </c>
      <c r="R1630" t="s">
        <v>46504</v>
      </c>
    </row>
    <row r="1631" spans="1:18" x14ac:dyDescent="0.35">
      <c r="A1631" t="s">
        <v>14760</v>
      </c>
      <c r="D1631" t="s">
        <v>2462</v>
      </c>
      <c r="E1631" t="s">
        <v>43</v>
      </c>
      <c r="I1631" s="26">
        <v>41275</v>
      </c>
      <c r="J1631" s="28">
        <v>41275</v>
      </c>
      <c r="Q1631" t="s">
        <v>44683</v>
      </c>
      <c r="R1631" t="s">
        <v>46505</v>
      </c>
    </row>
    <row r="1632" spans="1:18" x14ac:dyDescent="0.35">
      <c r="A1632" t="s">
        <v>14738</v>
      </c>
      <c r="D1632" t="s">
        <v>2462</v>
      </c>
      <c r="E1632" t="s">
        <v>43</v>
      </c>
      <c r="I1632" s="26">
        <v>41275</v>
      </c>
      <c r="J1632" s="28">
        <v>41275</v>
      </c>
      <c r="Q1632" t="s">
        <v>44683</v>
      </c>
      <c r="R1632" t="s">
        <v>46506</v>
      </c>
    </row>
    <row r="1633" spans="1:18" x14ac:dyDescent="0.35">
      <c r="A1633" t="s">
        <v>14739</v>
      </c>
      <c r="D1633" t="s">
        <v>2462</v>
      </c>
      <c r="E1633" t="s">
        <v>43</v>
      </c>
      <c r="I1633" s="26">
        <v>41275</v>
      </c>
      <c r="J1633" s="28">
        <v>41275</v>
      </c>
      <c r="Q1633" t="s">
        <v>44683</v>
      </c>
      <c r="R1633" t="s">
        <v>46507</v>
      </c>
    </row>
    <row r="1634" spans="1:18" x14ac:dyDescent="0.35">
      <c r="A1634" t="s">
        <v>10135</v>
      </c>
      <c r="D1634" t="s">
        <v>5220</v>
      </c>
      <c r="E1634" t="s">
        <v>43</v>
      </c>
      <c r="I1634" s="26">
        <v>41275</v>
      </c>
      <c r="J1634" s="28">
        <v>41275</v>
      </c>
      <c r="Q1634" t="s">
        <v>44683</v>
      </c>
      <c r="R1634" t="s">
        <v>46508</v>
      </c>
    </row>
    <row r="1635" spans="1:18" x14ac:dyDescent="0.35">
      <c r="A1635" t="s">
        <v>14740</v>
      </c>
      <c r="D1635" t="s">
        <v>2462</v>
      </c>
      <c r="E1635" t="s">
        <v>43</v>
      </c>
      <c r="I1635" s="26">
        <v>41275</v>
      </c>
      <c r="J1635" s="28">
        <v>41275</v>
      </c>
      <c r="Q1635" t="s">
        <v>44683</v>
      </c>
      <c r="R1635" t="s">
        <v>46509</v>
      </c>
    </row>
    <row r="1636" spans="1:18" x14ac:dyDescent="0.35">
      <c r="A1636" t="s">
        <v>14741</v>
      </c>
      <c r="D1636" t="s">
        <v>2462</v>
      </c>
      <c r="E1636" t="s">
        <v>43</v>
      </c>
      <c r="I1636" s="26">
        <v>41275</v>
      </c>
      <c r="J1636" s="28">
        <v>41275</v>
      </c>
      <c r="Q1636" t="s">
        <v>44683</v>
      </c>
      <c r="R1636" t="s">
        <v>46510</v>
      </c>
    </row>
    <row r="1637" spans="1:18" x14ac:dyDescent="0.35">
      <c r="A1637" t="s">
        <v>14742</v>
      </c>
      <c r="D1637" t="s">
        <v>2462</v>
      </c>
      <c r="E1637" t="s">
        <v>43</v>
      </c>
      <c r="I1637" s="26">
        <v>41275</v>
      </c>
      <c r="J1637" s="28">
        <v>41275</v>
      </c>
      <c r="Q1637" t="s">
        <v>44683</v>
      </c>
      <c r="R1637" t="s">
        <v>46511</v>
      </c>
    </row>
    <row r="1638" spans="1:18" x14ac:dyDescent="0.35">
      <c r="A1638" t="s">
        <v>14762</v>
      </c>
      <c r="D1638" t="s">
        <v>2462</v>
      </c>
      <c r="E1638" t="s">
        <v>43</v>
      </c>
      <c r="I1638" s="26">
        <v>41275</v>
      </c>
      <c r="J1638" s="28">
        <v>41275</v>
      </c>
      <c r="Q1638" t="s">
        <v>44683</v>
      </c>
      <c r="R1638" t="s">
        <v>46512</v>
      </c>
    </row>
    <row r="1639" spans="1:18" x14ac:dyDescent="0.35">
      <c r="A1639" t="s">
        <v>14763</v>
      </c>
      <c r="D1639" t="s">
        <v>2462</v>
      </c>
      <c r="E1639" t="s">
        <v>43</v>
      </c>
      <c r="I1639" s="26">
        <v>41275</v>
      </c>
      <c r="J1639" s="28">
        <v>41275</v>
      </c>
      <c r="Q1639" t="s">
        <v>44683</v>
      </c>
      <c r="R1639" t="s">
        <v>46513</v>
      </c>
    </row>
    <row r="1640" spans="1:18" x14ac:dyDescent="0.35">
      <c r="A1640" t="s">
        <v>14764</v>
      </c>
      <c r="D1640" t="s">
        <v>2462</v>
      </c>
      <c r="E1640" t="s">
        <v>43</v>
      </c>
      <c r="I1640" s="26">
        <v>41275</v>
      </c>
      <c r="J1640" s="28">
        <v>41275</v>
      </c>
      <c r="Q1640" t="s">
        <v>44683</v>
      </c>
      <c r="R1640" t="s">
        <v>46514</v>
      </c>
    </row>
    <row r="1641" spans="1:18" x14ac:dyDescent="0.35">
      <c r="A1641" t="s">
        <v>14312</v>
      </c>
      <c r="D1641" t="s">
        <v>1772</v>
      </c>
      <c r="E1641" t="s">
        <v>43</v>
      </c>
      <c r="I1641" s="26">
        <v>41275</v>
      </c>
      <c r="J1641" s="28">
        <v>41275</v>
      </c>
      <c r="Q1641" t="s">
        <v>44683</v>
      </c>
      <c r="R1641" t="s">
        <v>46515</v>
      </c>
    </row>
    <row r="1642" spans="1:18" x14ac:dyDescent="0.35">
      <c r="A1642" t="s">
        <v>16260</v>
      </c>
      <c r="D1642" t="s">
        <v>5300</v>
      </c>
      <c r="E1642" t="s">
        <v>43</v>
      </c>
      <c r="I1642" s="26">
        <v>41275</v>
      </c>
      <c r="J1642" s="28">
        <v>41275</v>
      </c>
      <c r="Q1642" t="s">
        <v>44683</v>
      </c>
      <c r="R1642" t="s">
        <v>46516</v>
      </c>
    </row>
    <row r="1643" spans="1:18" x14ac:dyDescent="0.35">
      <c r="A1643" t="s">
        <v>14515</v>
      </c>
      <c r="D1643" t="s">
        <v>2092</v>
      </c>
      <c r="E1643" t="s">
        <v>43</v>
      </c>
      <c r="I1643" s="26">
        <v>41275</v>
      </c>
      <c r="J1643" s="28">
        <v>41275</v>
      </c>
      <c r="Q1643" t="s">
        <v>44683</v>
      </c>
      <c r="R1643" t="s">
        <v>46517</v>
      </c>
    </row>
    <row r="1644" spans="1:18" x14ac:dyDescent="0.35">
      <c r="A1644" t="s">
        <v>16237</v>
      </c>
      <c r="D1644" t="s">
        <v>3519</v>
      </c>
      <c r="E1644" t="s">
        <v>43</v>
      </c>
      <c r="I1644" s="26">
        <v>41275</v>
      </c>
      <c r="J1644" s="28">
        <v>41275</v>
      </c>
      <c r="Q1644" t="s">
        <v>44683</v>
      </c>
      <c r="R1644" t="s">
        <v>46518</v>
      </c>
    </row>
    <row r="1645" spans="1:18" x14ac:dyDescent="0.35">
      <c r="A1645" t="s">
        <v>14765</v>
      </c>
      <c r="D1645" t="s">
        <v>2462</v>
      </c>
      <c r="E1645" t="s">
        <v>43</v>
      </c>
      <c r="I1645" s="26">
        <v>41275</v>
      </c>
      <c r="J1645" s="28">
        <v>41275</v>
      </c>
      <c r="Q1645" t="s">
        <v>44683</v>
      </c>
      <c r="R1645" t="s">
        <v>46519</v>
      </c>
    </row>
    <row r="1646" spans="1:18" x14ac:dyDescent="0.35">
      <c r="A1646" t="s">
        <v>14743</v>
      </c>
      <c r="D1646" t="s">
        <v>2462</v>
      </c>
      <c r="E1646" t="s">
        <v>43</v>
      </c>
      <c r="I1646" s="26">
        <v>41275</v>
      </c>
      <c r="J1646" s="28">
        <v>41275</v>
      </c>
      <c r="Q1646" t="s">
        <v>44683</v>
      </c>
      <c r="R1646" t="s">
        <v>46520</v>
      </c>
    </row>
    <row r="1647" spans="1:18" x14ac:dyDescent="0.35">
      <c r="A1647" t="s">
        <v>14766</v>
      </c>
      <c r="D1647" t="s">
        <v>2462</v>
      </c>
      <c r="E1647" t="s">
        <v>43</v>
      </c>
      <c r="I1647" s="26">
        <v>41275</v>
      </c>
      <c r="J1647" s="28">
        <v>41275</v>
      </c>
      <c r="Q1647" t="s">
        <v>44683</v>
      </c>
      <c r="R1647" t="s">
        <v>46521</v>
      </c>
    </row>
    <row r="1648" spans="1:18" x14ac:dyDescent="0.35">
      <c r="A1648" t="s">
        <v>14768</v>
      </c>
      <c r="D1648" t="s">
        <v>2462</v>
      </c>
      <c r="E1648" t="s">
        <v>43</v>
      </c>
      <c r="I1648" s="26">
        <v>41275</v>
      </c>
      <c r="J1648" s="28">
        <v>41275</v>
      </c>
      <c r="Q1648" t="s">
        <v>44683</v>
      </c>
      <c r="R1648" t="s">
        <v>46522</v>
      </c>
    </row>
    <row r="1649" spans="1:18" x14ac:dyDescent="0.35">
      <c r="A1649" t="s">
        <v>14652</v>
      </c>
      <c r="D1649" t="s">
        <v>2462</v>
      </c>
      <c r="E1649" t="s">
        <v>43</v>
      </c>
      <c r="I1649" s="26">
        <v>41275</v>
      </c>
      <c r="J1649" s="28">
        <v>41275</v>
      </c>
      <c r="Q1649" t="s">
        <v>44683</v>
      </c>
      <c r="R1649" t="s">
        <v>46523</v>
      </c>
    </row>
    <row r="1650" spans="1:18" x14ac:dyDescent="0.35">
      <c r="A1650" t="s">
        <v>14476</v>
      </c>
      <c r="D1650" t="s">
        <v>2053</v>
      </c>
      <c r="E1650" t="s">
        <v>43</v>
      </c>
      <c r="I1650" s="26">
        <v>41275</v>
      </c>
      <c r="J1650" s="28">
        <v>41275</v>
      </c>
      <c r="Q1650" t="s">
        <v>44683</v>
      </c>
      <c r="R1650" t="s">
        <v>46524</v>
      </c>
    </row>
    <row r="1651" spans="1:18" x14ac:dyDescent="0.35">
      <c r="A1651" t="s">
        <v>14744</v>
      </c>
      <c r="D1651" t="s">
        <v>2462</v>
      </c>
      <c r="E1651" t="s">
        <v>43</v>
      </c>
      <c r="I1651" s="26">
        <v>41275</v>
      </c>
      <c r="J1651" s="28">
        <v>41275</v>
      </c>
      <c r="Q1651" t="s">
        <v>44683</v>
      </c>
      <c r="R1651" t="s">
        <v>46525</v>
      </c>
    </row>
    <row r="1652" spans="1:18" x14ac:dyDescent="0.35">
      <c r="A1652" t="s">
        <v>14516</v>
      </c>
      <c r="D1652" t="s">
        <v>2092</v>
      </c>
      <c r="E1652" t="s">
        <v>43</v>
      </c>
      <c r="I1652" s="26">
        <v>41275</v>
      </c>
      <c r="J1652" s="28">
        <v>41275</v>
      </c>
      <c r="Q1652" t="s">
        <v>44683</v>
      </c>
      <c r="R1652" t="s">
        <v>46526</v>
      </c>
    </row>
    <row r="1653" spans="1:18" x14ac:dyDescent="0.35">
      <c r="A1653" t="s">
        <v>14517</v>
      </c>
      <c r="D1653" t="s">
        <v>2092</v>
      </c>
      <c r="E1653" t="s">
        <v>43</v>
      </c>
      <c r="I1653" s="26">
        <v>41275</v>
      </c>
      <c r="J1653" s="28">
        <v>41275</v>
      </c>
      <c r="Q1653" t="s">
        <v>44683</v>
      </c>
      <c r="R1653" t="s">
        <v>46527</v>
      </c>
    </row>
    <row r="1654" spans="1:18" x14ac:dyDescent="0.35">
      <c r="A1654" t="s">
        <v>15224</v>
      </c>
      <c r="D1654" t="s">
        <v>5220</v>
      </c>
      <c r="E1654" t="s">
        <v>43</v>
      </c>
      <c r="I1654" s="26">
        <v>41275</v>
      </c>
      <c r="J1654" s="28">
        <v>41275</v>
      </c>
      <c r="Q1654" t="s">
        <v>44683</v>
      </c>
      <c r="R1654" t="s">
        <v>46528</v>
      </c>
    </row>
    <row r="1655" spans="1:18" x14ac:dyDescent="0.35">
      <c r="A1655" t="s">
        <v>14745</v>
      </c>
      <c r="D1655" t="s">
        <v>2462</v>
      </c>
      <c r="E1655" t="s">
        <v>43</v>
      </c>
      <c r="I1655" s="26">
        <v>41275</v>
      </c>
      <c r="J1655" s="28">
        <v>41275</v>
      </c>
      <c r="Q1655" t="s">
        <v>44683</v>
      </c>
      <c r="R1655" t="s">
        <v>46529</v>
      </c>
    </row>
    <row r="1656" spans="1:18" x14ac:dyDescent="0.35">
      <c r="A1656" t="s">
        <v>14770</v>
      </c>
      <c r="D1656" t="s">
        <v>2462</v>
      </c>
      <c r="E1656" t="s">
        <v>43</v>
      </c>
      <c r="I1656" s="26">
        <v>41275</v>
      </c>
      <c r="J1656" s="28">
        <v>41275</v>
      </c>
      <c r="Q1656" t="s">
        <v>44683</v>
      </c>
      <c r="R1656" t="s">
        <v>46530</v>
      </c>
    </row>
    <row r="1657" spans="1:18" x14ac:dyDescent="0.35">
      <c r="A1657" t="s">
        <v>15225</v>
      </c>
      <c r="D1657" t="s">
        <v>5220</v>
      </c>
      <c r="E1657" t="s">
        <v>43</v>
      </c>
      <c r="I1657" s="26">
        <v>41275</v>
      </c>
      <c r="J1657" s="28">
        <v>41275</v>
      </c>
      <c r="Q1657" t="s">
        <v>44683</v>
      </c>
      <c r="R1657" t="s">
        <v>46531</v>
      </c>
    </row>
    <row r="1658" spans="1:18" x14ac:dyDescent="0.35">
      <c r="A1658" t="s">
        <v>14746</v>
      </c>
      <c r="D1658" t="s">
        <v>2462</v>
      </c>
      <c r="E1658" t="s">
        <v>43</v>
      </c>
      <c r="I1658" s="26">
        <v>41275</v>
      </c>
      <c r="J1658" s="28">
        <v>41275</v>
      </c>
      <c r="Q1658" t="s">
        <v>44683</v>
      </c>
      <c r="R1658" t="s">
        <v>46532</v>
      </c>
    </row>
    <row r="1659" spans="1:18" x14ac:dyDescent="0.35">
      <c r="A1659" t="s">
        <v>14771</v>
      </c>
      <c r="D1659" t="s">
        <v>2462</v>
      </c>
      <c r="E1659" t="s">
        <v>43</v>
      </c>
      <c r="I1659" s="26">
        <v>41275</v>
      </c>
      <c r="J1659" s="28">
        <v>41275</v>
      </c>
      <c r="Q1659" t="s">
        <v>44683</v>
      </c>
      <c r="R1659" t="s">
        <v>46533</v>
      </c>
    </row>
    <row r="1660" spans="1:18" x14ac:dyDescent="0.35">
      <c r="A1660" t="s">
        <v>14772</v>
      </c>
      <c r="D1660" t="s">
        <v>2462</v>
      </c>
      <c r="E1660" t="s">
        <v>43</v>
      </c>
      <c r="I1660" s="26">
        <v>41275</v>
      </c>
      <c r="J1660" s="28">
        <v>41275</v>
      </c>
      <c r="Q1660" t="s">
        <v>44683</v>
      </c>
      <c r="R1660" t="s">
        <v>46534</v>
      </c>
    </row>
    <row r="1661" spans="1:18" x14ac:dyDescent="0.35">
      <c r="A1661" t="s">
        <v>15001</v>
      </c>
      <c r="D1661" t="s">
        <v>2991</v>
      </c>
      <c r="E1661" t="s">
        <v>43</v>
      </c>
      <c r="I1661" s="26">
        <v>41275</v>
      </c>
      <c r="J1661" s="28">
        <v>41275</v>
      </c>
      <c r="Q1661" t="s">
        <v>44683</v>
      </c>
      <c r="R1661" t="s">
        <v>46535</v>
      </c>
    </row>
    <row r="1662" spans="1:18" x14ac:dyDescent="0.35">
      <c r="A1662" t="s">
        <v>14773</v>
      </c>
      <c r="D1662" t="s">
        <v>2462</v>
      </c>
      <c r="E1662" t="s">
        <v>43</v>
      </c>
      <c r="I1662" s="26">
        <v>41275</v>
      </c>
      <c r="J1662" s="28">
        <v>41275</v>
      </c>
      <c r="Q1662" t="s">
        <v>44683</v>
      </c>
      <c r="R1662" t="s">
        <v>46536</v>
      </c>
    </row>
    <row r="1663" spans="1:18" x14ac:dyDescent="0.35">
      <c r="A1663" t="s">
        <v>14774</v>
      </c>
      <c r="D1663" t="s">
        <v>2462</v>
      </c>
      <c r="E1663" t="s">
        <v>43</v>
      </c>
      <c r="I1663" s="26">
        <v>41275</v>
      </c>
      <c r="J1663" s="28">
        <v>41275</v>
      </c>
      <c r="Q1663" t="s">
        <v>44683</v>
      </c>
      <c r="R1663" t="s">
        <v>46537</v>
      </c>
    </row>
    <row r="1664" spans="1:18" x14ac:dyDescent="0.35">
      <c r="A1664" t="s">
        <v>16270</v>
      </c>
      <c r="D1664" t="s">
        <v>5300</v>
      </c>
      <c r="E1664" t="s">
        <v>43</v>
      </c>
      <c r="I1664" s="26">
        <v>41275</v>
      </c>
      <c r="J1664" s="28">
        <v>41275</v>
      </c>
      <c r="Q1664" t="s">
        <v>44683</v>
      </c>
      <c r="R1664" t="s">
        <v>46538</v>
      </c>
    </row>
    <row r="1665" spans="1:18" x14ac:dyDescent="0.35">
      <c r="A1665" t="s">
        <v>15271</v>
      </c>
      <c r="D1665" t="s">
        <v>5325</v>
      </c>
      <c r="E1665" t="s">
        <v>43</v>
      </c>
      <c r="I1665" s="26">
        <v>41275</v>
      </c>
      <c r="J1665" s="28">
        <v>41275</v>
      </c>
      <c r="Q1665" t="s">
        <v>44683</v>
      </c>
      <c r="R1665" t="s">
        <v>46539</v>
      </c>
    </row>
    <row r="1666" spans="1:18" x14ac:dyDescent="0.35">
      <c r="A1666" t="s">
        <v>14313</v>
      </c>
      <c r="D1666" t="s">
        <v>1772</v>
      </c>
      <c r="E1666" t="s">
        <v>43</v>
      </c>
      <c r="I1666" s="26">
        <v>41275</v>
      </c>
      <c r="J1666" s="28">
        <v>41275</v>
      </c>
      <c r="Q1666" t="s">
        <v>44683</v>
      </c>
      <c r="R1666" t="s">
        <v>46540</v>
      </c>
    </row>
    <row r="1667" spans="1:18" x14ac:dyDescent="0.35">
      <c r="A1667" t="s">
        <v>15694</v>
      </c>
      <c r="D1667" t="s">
        <v>5877</v>
      </c>
      <c r="E1667" t="s">
        <v>43</v>
      </c>
      <c r="I1667" s="26">
        <v>41275</v>
      </c>
      <c r="J1667" s="28">
        <v>41275</v>
      </c>
      <c r="Q1667" t="s">
        <v>44683</v>
      </c>
      <c r="R1667" t="s">
        <v>46541</v>
      </c>
    </row>
    <row r="1668" spans="1:18" x14ac:dyDescent="0.35">
      <c r="A1668" t="s">
        <v>15228</v>
      </c>
      <c r="D1668" t="s">
        <v>5220</v>
      </c>
      <c r="E1668" t="s">
        <v>43</v>
      </c>
      <c r="I1668" s="26">
        <v>41275</v>
      </c>
      <c r="J1668" s="28">
        <v>41275</v>
      </c>
      <c r="Q1668" t="s">
        <v>44683</v>
      </c>
      <c r="R1668" t="s">
        <v>46542</v>
      </c>
    </row>
    <row r="1669" spans="1:18" x14ac:dyDescent="0.35">
      <c r="A1669" t="s">
        <v>14775</v>
      </c>
      <c r="D1669" t="s">
        <v>2462</v>
      </c>
      <c r="E1669" t="s">
        <v>43</v>
      </c>
      <c r="I1669" s="26">
        <v>41275</v>
      </c>
      <c r="J1669" s="28">
        <v>41275</v>
      </c>
      <c r="Q1669" t="s">
        <v>44683</v>
      </c>
      <c r="R1669" t="s">
        <v>46543</v>
      </c>
    </row>
    <row r="1670" spans="1:18" x14ac:dyDescent="0.35">
      <c r="A1670" t="s">
        <v>14747</v>
      </c>
      <c r="D1670" t="s">
        <v>2462</v>
      </c>
      <c r="E1670" t="s">
        <v>43</v>
      </c>
      <c r="I1670" s="26">
        <v>41275</v>
      </c>
      <c r="J1670" s="28">
        <v>41275</v>
      </c>
      <c r="Q1670" t="s">
        <v>44683</v>
      </c>
      <c r="R1670" t="s">
        <v>46544</v>
      </c>
    </row>
    <row r="1671" spans="1:18" x14ac:dyDescent="0.35">
      <c r="A1671" t="s">
        <v>14776</v>
      </c>
      <c r="D1671" t="s">
        <v>2462</v>
      </c>
      <c r="E1671" t="s">
        <v>43</v>
      </c>
      <c r="I1671" s="26">
        <v>41275</v>
      </c>
      <c r="J1671" s="28">
        <v>41275</v>
      </c>
      <c r="Q1671" t="s">
        <v>44683</v>
      </c>
      <c r="R1671" t="s">
        <v>46545</v>
      </c>
    </row>
    <row r="1672" spans="1:18" x14ac:dyDescent="0.35">
      <c r="A1672" t="s">
        <v>15230</v>
      </c>
      <c r="D1672" t="s">
        <v>5220</v>
      </c>
      <c r="E1672" t="s">
        <v>43</v>
      </c>
      <c r="I1672" s="26">
        <v>41275</v>
      </c>
      <c r="J1672" s="28">
        <v>41275</v>
      </c>
      <c r="Q1672" t="s">
        <v>44683</v>
      </c>
      <c r="R1672" t="s">
        <v>46546</v>
      </c>
    </row>
    <row r="1673" spans="1:18" x14ac:dyDescent="0.35">
      <c r="A1673" t="s">
        <v>15231</v>
      </c>
      <c r="D1673" t="s">
        <v>5220</v>
      </c>
      <c r="E1673" t="s">
        <v>43</v>
      </c>
      <c r="I1673" s="26">
        <v>41275</v>
      </c>
      <c r="J1673" s="28">
        <v>41275</v>
      </c>
      <c r="Q1673" t="s">
        <v>44683</v>
      </c>
      <c r="R1673" t="s">
        <v>46547</v>
      </c>
    </row>
    <row r="1674" spans="1:18" x14ac:dyDescent="0.35">
      <c r="A1674" t="s">
        <v>14748</v>
      </c>
      <c r="D1674" t="s">
        <v>2462</v>
      </c>
      <c r="E1674" t="s">
        <v>43</v>
      </c>
      <c r="I1674" s="26">
        <v>41275</v>
      </c>
      <c r="J1674" s="28">
        <v>41275</v>
      </c>
      <c r="Q1674" t="s">
        <v>44683</v>
      </c>
      <c r="R1674" t="s">
        <v>46548</v>
      </c>
    </row>
    <row r="1675" spans="1:18" x14ac:dyDescent="0.35">
      <c r="A1675" t="s">
        <v>14777</v>
      </c>
      <c r="D1675" t="s">
        <v>2462</v>
      </c>
      <c r="E1675" t="s">
        <v>43</v>
      </c>
      <c r="I1675" s="26">
        <v>41275</v>
      </c>
      <c r="J1675" s="28">
        <v>41275</v>
      </c>
      <c r="Q1675" t="s">
        <v>44683</v>
      </c>
      <c r="R1675" t="s">
        <v>46549</v>
      </c>
    </row>
    <row r="1676" spans="1:18" x14ac:dyDescent="0.35">
      <c r="A1676" t="s">
        <v>14778</v>
      </c>
      <c r="D1676" t="s">
        <v>2462</v>
      </c>
      <c r="E1676" t="s">
        <v>43</v>
      </c>
      <c r="I1676" s="26">
        <v>41275</v>
      </c>
      <c r="J1676" s="28">
        <v>41275</v>
      </c>
      <c r="Q1676" t="s">
        <v>44683</v>
      </c>
      <c r="R1676" t="s">
        <v>46550</v>
      </c>
    </row>
    <row r="1677" spans="1:18" x14ac:dyDescent="0.35">
      <c r="A1677" t="s">
        <v>14518</v>
      </c>
      <c r="D1677" t="s">
        <v>2092</v>
      </c>
      <c r="E1677" t="s">
        <v>43</v>
      </c>
      <c r="I1677" s="26">
        <v>41275</v>
      </c>
      <c r="J1677" s="28">
        <v>41275</v>
      </c>
      <c r="Q1677" t="s">
        <v>44683</v>
      </c>
      <c r="R1677" t="s">
        <v>46551</v>
      </c>
    </row>
    <row r="1678" spans="1:18" x14ac:dyDescent="0.35">
      <c r="A1678" t="s">
        <v>14477</v>
      </c>
      <c r="D1678" t="s">
        <v>2053</v>
      </c>
      <c r="E1678" t="s">
        <v>43</v>
      </c>
      <c r="I1678" s="26">
        <v>41275</v>
      </c>
      <c r="J1678" s="28">
        <v>41275</v>
      </c>
      <c r="Q1678" t="s">
        <v>44683</v>
      </c>
      <c r="R1678" t="s">
        <v>46552</v>
      </c>
    </row>
    <row r="1679" spans="1:18" x14ac:dyDescent="0.35">
      <c r="A1679" t="s">
        <v>15234</v>
      </c>
      <c r="D1679" t="s">
        <v>5220</v>
      </c>
      <c r="E1679" t="s">
        <v>43</v>
      </c>
      <c r="I1679" s="26">
        <v>41275</v>
      </c>
      <c r="J1679" s="28">
        <v>41275</v>
      </c>
      <c r="Q1679" t="s">
        <v>44683</v>
      </c>
      <c r="R1679" t="s">
        <v>46553</v>
      </c>
    </row>
    <row r="1680" spans="1:18" x14ac:dyDescent="0.35">
      <c r="A1680" t="s">
        <v>14749</v>
      </c>
      <c r="D1680" t="s">
        <v>2462</v>
      </c>
      <c r="E1680" t="s">
        <v>43</v>
      </c>
      <c r="I1680" s="26">
        <v>41275</v>
      </c>
      <c r="J1680" s="28">
        <v>41275</v>
      </c>
      <c r="Q1680" t="s">
        <v>44683</v>
      </c>
      <c r="R1680" t="s">
        <v>46554</v>
      </c>
    </row>
    <row r="1681" spans="1:18" x14ac:dyDescent="0.35">
      <c r="A1681" t="s">
        <v>14780</v>
      </c>
      <c r="D1681" t="s">
        <v>2462</v>
      </c>
      <c r="E1681" t="s">
        <v>43</v>
      </c>
      <c r="I1681" s="26">
        <v>41275</v>
      </c>
      <c r="J1681" s="28">
        <v>41275</v>
      </c>
      <c r="Q1681" t="s">
        <v>44683</v>
      </c>
      <c r="R1681" t="s">
        <v>46555</v>
      </c>
    </row>
    <row r="1682" spans="1:18" x14ac:dyDescent="0.35">
      <c r="A1682" t="s">
        <v>16238</v>
      </c>
      <c r="D1682" t="s">
        <v>3519</v>
      </c>
      <c r="E1682" t="s">
        <v>43</v>
      </c>
      <c r="I1682" s="26">
        <v>41275</v>
      </c>
      <c r="J1682" s="28">
        <v>41275</v>
      </c>
      <c r="Q1682" t="s">
        <v>44683</v>
      </c>
      <c r="R1682" t="s">
        <v>46556</v>
      </c>
    </row>
    <row r="1683" spans="1:18" x14ac:dyDescent="0.35">
      <c r="A1683" t="s">
        <v>14781</v>
      </c>
      <c r="D1683" t="s">
        <v>2462</v>
      </c>
      <c r="E1683" t="s">
        <v>43</v>
      </c>
      <c r="I1683" s="26">
        <v>41275</v>
      </c>
      <c r="J1683" s="28">
        <v>41275</v>
      </c>
      <c r="Q1683" t="s">
        <v>44683</v>
      </c>
      <c r="R1683" t="s">
        <v>46557</v>
      </c>
    </row>
    <row r="1684" spans="1:18" x14ac:dyDescent="0.35">
      <c r="A1684" t="s">
        <v>14750</v>
      </c>
      <c r="C1684" t="s">
        <v>46558</v>
      </c>
      <c r="D1684" t="s">
        <v>2462</v>
      </c>
      <c r="E1684" t="s">
        <v>43</v>
      </c>
      <c r="I1684" s="26">
        <v>41275</v>
      </c>
      <c r="J1684" s="28">
        <v>41275</v>
      </c>
      <c r="Q1684" t="s">
        <v>44683</v>
      </c>
      <c r="R1684" t="s">
        <v>46559</v>
      </c>
    </row>
    <row r="1685" spans="1:18" x14ac:dyDescent="0.35">
      <c r="A1685" t="s">
        <v>14314</v>
      </c>
      <c r="D1685" t="s">
        <v>1772</v>
      </c>
      <c r="E1685" t="s">
        <v>43</v>
      </c>
      <c r="I1685" s="26">
        <v>41275</v>
      </c>
      <c r="J1685" s="28">
        <v>41275</v>
      </c>
      <c r="Q1685" t="s">
        <v>44683</v>
      </c>
      <c r="R1685" t="s">
        <v>46560</v>
      </c>
    </row>
    <row r="1686" spans="1:18" x14ac:dyDescent="0.35">
      <c r="A1686" t="s">
        <v>14315</v>
      </c>
      <c r="D1686" t="s">
        <v>1772</v>
      </c>
      <c r="E1686" t="s">
        <v>43</v>
      </c>
      <c r="I1686" s="26">
        <v>41275</v>
      </c>
      <c r="J1686" s="28">
        <v>41275</v>
      </c>
      <c r="Q1686" t="s">
        <v>44683</v>
      </c>
      <c r="R1686" t="s">
        <v>46561</v>
      </c>
    </row>
    <row r="1687" spans="1:18" x14ac:dyDescent="0.35">
      <c r="A1687" t="s">
        <v>14751</v>
      </c>
      <c r="D1687" t="s">
        <v>2462</v>
      </c>
      <c r="E1687" t="s">
        <v>43</v>
      </c>
      <c r="I1687" s="26">
        <v>41275</v>
      </c>
      <c r="J1687" s="28">
        <v>41275</v>
      </c>
      <c r="Q1687" t="s">
        <v>44683</v>
      </c>
      <c r="R1687" t="s">
        <v>46562</v>
      </c>
    </row>
    <row r="1688" spans="1:18" x14ac:dyDescent="0.35">
      <c r="A1688" t="s">
        <v>14519</v>
      </c>
      <c r="D1688" t="s">
        <v>2092</v>
      </c>
      <c r="E1688" t="s">
        <v>43</v>
      </c>
      <c r="I1688" s="26">
        <v>41275</v>
      </c>
      <c r="J1688" s="28">
        <v>41275</v>
      </c>
      <c r="Q1688" t="s">
        <v>44683</v>
      </c>
      <c r="R1688" t="s">
        <v>46563</v>
      </c>
    </row>
    <row r="1689" spans="1:18" x14ac:dyDescent="0.35">
      <c r="A1689" t="s">
        <v>14097</v>
      </c>
      <c r="D1689" t="s">
        <v>775</v>
      </c>
      <c r="E1689" t="s">
        <v>43</v>
      </c>
      <c r="I1689" s="26">
        <v>41275</v>
      </c>
      <c r="J1689" s="28">
        <v>41275</v>
      </c>
      <c r="Q1689" t="s">
        <v>44683</v>
      </c>
      <c r="R1689" t="s">
        <v>46564</v>
      </c>
    </row>
    <row r="1690" spans="1:18" x14ac:dyDescent="0.35">
      <c r="A1690" t="s">
        <v>14520</v>
      </c>
      <c r="D1690" t="s">
        <v>2092</v>
      </c>
      <c r="E1690" t="s">
        <v>43</v>
      </c>
      <c r="I1690" s="26">
        <v>41275</v>
      </c>
      <c r="J1690" s="28">
        <v>41275</v>
      </c>
      <c r="Q1690" t="s">
        <v>44683</v>
      </c>
      <c r="R1690" t="s">
        <v>46565</v>
      </c>
    </row>
    <row r="1691" spans="1:18" x14ac:dyDescent="0.35">
      <c r="A1691" t="s">
        <v>15004</v>
      </c>
      <c r="D1691" t="s">
        <v>2991</v>
      </c>
      <c r="E1691" t="s">
        <v>43</v>
      </c>
      <c r="I1691" s="26">
        <v>41275</v>
      </c>
      <c r="J1691" s="28">
        <v>41275</v>
      </c>
      <c r="Q1691" t="s">
        <v>44683</v>
      </c>
      <c r="R1691" t="s">
        <v>46566</v>
      </c>
    </row>
    <row r="1692" spans="1:18" x14ac:dyDescent="0.35">
      <c r="A1692" t="s">
        <v>14691</v>
      </c>
      <c r="D1692" t="s">
        <v>2462</v>
      </c>
      <c r="E1692" t="s">
        <v>43</v>
      </c>
      <c r="I1692" s="26">
        <v>41275</v>
      </c>
      <c r="J1692" s="28">
        <v>41275</v>
      </c>
      <c r="Q1692" t="s">
        <v>44683</v>
      </c>
      <c r="R1692" t="s">
        <v>46567</v>
      </c>
    </row>
    <row r="1693" spans="1:18" x14ac:dyDescent="0.35">
      <c r="A1693" t="s">
        <v>14521</v>
      </c>
      <c r="D1693" t="s">
        <v>2092</v>
      </c>
      <c r="E1693" t="s">
        <v>43</v>
      </c>
      <c r="I1693" s="26">
        <v>41275</v>
      </c>
      <c r="J1693" s="28">
        <v>41275</v>
      </c>
      <c r="Q1693" t="s">
        <v>44683</v>
      </c>
      <c r="R1693" t="s">
        <v>46568</v>
      </c>
    </row>
    <row r="1694" spans="1:18" x14ac:dyDescent="0.35">
      <c r="A1694" t="s">
        <v>14316</v>
      </c>
      <c r="D1694" t="s">
        <v>1772</v>
      </c>
      <c r="E1694" t="s">
        <v>43</v>
      </c>
      <c r="I1694" s="26">
        <v>41275</v>
      </c>
      <c r="J1694" s="28">
        <v>41275</v>
      </c>
      <c r="Q1694" t="s">
        <v>44683</v>
      </c>
      <c r="R1694" t="s">
        <v>46569</v>
      </c>
    </row>
    <row r="1695" spans="1:18" x14ac:dyDescent="0.35">
      <c r="A1695" t="s">
        <v>14782</v>
      </c>
      <c r="D1695" t="s">
        <v>2462</v>
      </c>
      <c r="E1695" t="s">
        <v>43</v>
      </c>
      <c r="I1695" s="26">
        <v>41275</v>
      </c>
      <c r="J1695" s="28">
        <v>41275</v>
      </c>
      <c r="Q1695" t="s">
        <v>44683</v>
      </c>
      <c r="R1695" t="s">
        <v>46570</v>
      </c>
    </row>
    <row r="1696" spans="1:18" x14ac:dyDescent="0.35">
      <c r="A1696" t="s">
        <v>14783</v>
      </c>
      <c r="D1696" t="s">
        <v>2462</v>
      </c>
      <c r="E1696" t="s">
        <v>43</v>
      </c>
      <c r="I1696" s="26">
        <v>41275</v>
      </c>
      <c r="J1696" s="28">
        <v>41275</v>
      </c>
      <c r="Q1696" t="s">
        <v>44683</v>
      </c>
      <c r="R1696" t="s">
        <v>46571</v>
      </c>
    </row>
    <row r="1697" spans="1:18" x14ac:dyDescent="0.35">
      <c r="A1697" t="s">
        <v>14317</v>
      </c>
      <c r="D1697" t="s">
        <v>1772</v>
      </c>
      <c r="E1697" t="s">
        <v>43</v>
      </c>
      <c r="I1697" s="26">
        <v>41275</v>
      </c>
      <c r="J1697" s="28">
        <v>41275</v>
      </c>
      <c r="Q1697" t="s">
        <v>44683</v>
      </c>
      <c r="R1697" t="s">
        <v>46572</v>
      </c>
    </row>
    <row r="1698" spans="1:18" x14ac:dyDescent="0.35">
      <c r="A1698" t="s">
        <v>15625</v>
      </c>
      <c r="D1698" t="s">
        <v>5912</v>
      </c>
      <c r="E1698" t="s">
        <v>43</v>
      </c>
      <c r="I1698" s="26">
        <v>41275</v>
      </c>
      <c r="J1698" s="28">
        <v>41275</v>
      </c>
      <c r="Q1698" t="s">
        <v>44683</v>
      </c>
      <c r="R1698" t="s">
        <v>46573</v>
      </c>
    </row>
    <row r="1699" spans="1:18" x14ac:dyDescent="0.35">
      <c r="A1699" t="s">
        <v>7713</v>
      </c>
      <c r="D1699" t="s">
        <v>5325</v>
      </c>
      <c r="E1699" t="s">
        <v>43</v>
      </c>
      <c r="I1699" s="26">
        <v>41275</v>
      </c>
      <c r="J1699" s="28">
        <v>41275</v>
      </c>
      <c r="Q1699" t="s">
        <v>44683</v>
      </c>
      <c r="R1699" t="s">
        <v>46574</v>
      </c>
    </row>
    <row r="1700" spans="1:18" x14ac:dyDescent="0.35">
      <c r="A1700" t="s">
        <v>15460</v>
      </c>
      <c r="D1700" t="s">
        <v>5725</v>
      </c>
      <c r="E1700" t="s">
        <v>43</v>
      </c>
      <c r="I1700" s="26">
        <v>41275</v>
      </c>
      <c r="J1700" s="28">
        <v>41275</v>
      </c>
      <c r="Q1700" t="s">
        <v>44683</v>
      </c>
      <c r="R1700" t="s">
        <v>46575</v>
      </c>
    </row>
    <row r="1701" spans="1:18" x14ac:dyDescent="0.35">
      <c r="A1701" t="s">
        <v>14318</v>
      </c>
      <c r="D1701" t="s">
        <v>1772</v>
      </c>
      <c r="E1701" t="s">
        <v>43</v>
      </c>
      <c r="I1701" s="26">
        <v>41275</v>
      </c>
      <c r="J1701" s="28">
        <v>41275</v>
      </c>
      <c r="Q1701" t="s">
        <v>44683</v>
      </c>
      <c r="R1701" t="s">
        <v>46576</v>
      </c>
    </row>
    <row r="1702" spans="1:18" x14ac:dyDescent="0.35">
      <c r="A1702" t="s">
        <v>15698</v>
      </c>
      <c r="D1702" t="s">
        <v>5877</v>
      </c>
      <c r="E1702" t="s">
        <v>43</v>
      </c>
      <c r="I1702" s="26">
        <v>41275</v>
      </c>
      <c r="J1702" s="28">
        <v>41275</v>
      </c>
      <c r="Q1702" t="s">
        <v>44683</v>
      </c>
      <c r="R1702" t="s">
        <v>46577</v>
      </c>
    </row>
    <row r="1703" spans="1:18" x14ac:dyDescent="0.35">
      <c r="A1703" t="s">
        <v>14372</v>
      </c>
      <c r="D1703" t="s">
        <v>1951</v>
      </c>
      <c r="E1703" t="s">
        <v>43</v>
      </c>
      <c r="I1703" s="26">
        <v>41275</v>
      </c>
      <c r="J1703" s="28">
        <v>41275</v>
      </c>
      <c r="Q1703" t="s">
        <v>44683</v>
      </c>
      <c r="R1703" t="s">
        <v>46578</v>
      </c>
    </row>
    <row r="1704" spans="1:18" x14ac:dyDescent="0.35">
      <c r="A1704" t="s">
        <v>15710</v>
      </c>
      <c r="D1704" t="s">
        <v>5877</v>
      </c>
      <c r="E1704" t="s">
        <v>43</v>
      </c>
      <c r="I1704" s="26">
        <v>41275</v>
      </c>
      <c r="J1704" s="28">
        <v>41275</v>
      </c>
      <c r="Q1704" t="s">
        <v>44683</v>
      </c>
      <c r="R1704" t="s">
        <v>46579</v>
      </c>
    </row>
    <row r="1705" spans="1:18" x14ac:dyDescent="0.35">
      <c r="A1705" t="s">
        <v>14373</v>
      </c>
      <c r="D1705" t="s">
        <v>1951</v>
      </c>
      <c r="E1705" t="s">
        <v>43</v>
      </c>
      <c r="I1705" s="26">
        <v>41275</v>
      </c>
      <c r="J1705" s="28">
        <v>41275</v>
      </c>
      <c r="Q1705" t="s">
        <v>44683</v>
      </c>
      <c r="R1705" t="s">
        <v>46580</v>
      </c>
    </row>
    <row r="1706" spans="1:18" x14ac:dyDescent="0.35">
      <c r="A1706" t="s">
        <v>14055</v>
      </c>
      <c r="D1706" t="s">
        <v>386</v>
      </c>
      <c r="E1706" t="s">
        <v>43</v>
      </c>
      <c r="I1706" s="26">
        <v>41275</v>
      </c>
      <c r="J1706" s="28">
        <v>41275</v>
      </c>
      <c r="Q1706" t="s">
        <v>44683</v>
      </c>
      <c r="R1706" t="s">
        <v>46581</v>
      </c>
    </row>
    <row r="1707" spans="1:18" x14ac:dyDescent="0.35">
      <c r="A1707" t="s">
        <v>14374</v>
      </c>
      <c r="D1707" t="s">
        <v>1951</v>
      </c>
      <c r="E1707" t="s">
        <v>43</v>
      </c>
      <c r="I1707" s="26">
        <v>41275</v>
      </c>
      <c r="J1707" s="28">
        <v>41275</v>
      </c>
      <c r="Q1707" t="s">
        <v>44683</v>
      </c>
      <c r="R1707" t="s">
        <v>46582</v>
      </c>
    </row>
    <row r="1708" spans="1:18" x14ac:dyDescent="0.35">
      <c r="A1708" t="s">
        <v>14375</v>
      </c>
      <c r="D1708" t="s">
        <v>1951</v>
      </c>
      <c r="E1708" t="s">
        <v>43</v>
      </c>
      <c r="I1708" s="26">
        <v>41275</v>
      </c>
      <c r="J1708" s="28">
        <v>41275</v>
      </c>
      <c r="Q1708" t="s">
        <v>44683</v>
      </c>
      <c r="R1708" t="s">
        <v>46583</v>
      </c>
    </row>
    <row r="1709" spans="1:18" x14ac:dyDescent="0.35">
      <c r="A1709" t="s">
        <v>15711</v>
      </c>
      <c r="D1709" t="s">
        <v>5877</v>
      </c>
      <c r="E1709" t="s">
        <v>43</v>
      </c>
      <c r="I1709" s="26">
        <v>41275</v>
      </c>
      <c r="J1709" s="28">
        <v>41275</v>
      </c>
      <c r="Q1709" t="s">
        <v>44683</v>
      </c>
      <c r="R1709" t="s">
        <v>46584</v>
      </c>
    </row>
    <row r="1710" spans="1:18" x14ac:dyDescent="0.35">
      <c r="A1710" t="s">
        <v>14377</v>
      </c>
      <c r="D1710" t="s">
        <v>1951</v>
      </c>
      <c r="E1710" t="s">
        <v>43</v>
      </c>
      <c r="I1710" s="26">
        <v>41275</v>
      </c>
      <c r="J1710" s="28">
        <v>41275</v>
      </c>
      <c r="Q1710" t="s">
        <v>44683</v>
      </c>
      <c r="R1710" t="s">
        <v>46585</v>
      </c>
    </row>
    <row r="1711" spans="1:18" x14ac:dyDescent="0.35">
      <c r="A1711" t="s">
        <v>14376</v>
      </c>
      <c r="D1711" t="s">
        <v>1951</v>
      </c>
      <c r="E1711" t="s">
        <v>43</v>
      </c>
      <c r="I1711" s="26">
        <v>41275</v>
      </c>
      <c r="J1711" s="28">
        <v>41275</v>
      </c>
      <c r="Q1711" t="s">
        <v>44683</v>
      </c>
      <c r="R1711" t="s">
        <v>46586</v>
      </c>
    </row>
    <row r="1712" spans="1:18" x14ac:dyDescent="0.35">
      <c r="A1712" t="s">
        <v>14378</v>
      </c>
      <c r="D1712" t="s">
        <v>1951</v>
      </c>
      <c r="E1712" t="s">
        <v>43</v>
      </c>
      <c r="I1712" s="26">
        <v>41275</v>
      </c>
      <c r="J1712" s="28">
        <v>41275</v>
      </c>
      <c r="Q1712" t="s">
        <v>44683</v>
      </c>
      <c r="R1712" t="s">
        <v>46587</v>
      </c>
    </row>
    <row r="1713" spans="1:18" x14ac:dyDescent="0.35">
      <c r="A1713" t="s">
        <v>14752</v>
      </c>
      <c r="D1713" t="s">
        <v>2462</v>
      </c>
      <c r="E1713" t="s">
        <v>43</v>
      </c>
      <c r="I1713" s="26">
        <v>41275</v>
      </c>
      <c r="J1713" s="28">
        <v>41275</v>
      </c>
      <c r="Q1713" t="s">
        <v>44683</v>
      </c>
      <c r="R1713" t="s">
        <v>46588</v>
      </c>
    </row>
    <row r="1714" spans="1:18" x14ac:dyDescent="0.35">
      <c r="A1714" t="s">
        <v>14754</v>
      </c>
      <c r="D1714" t="s">
        <v>2462</v>
      </c>
      <c r="E1714" t="s">
        <v>43</v>
      </c>
      <c r="I1714" s="26">
        <v>41275</v>
      </c>
      <c r="J1714" s="28">
        <v>41275</v>
      </c>
      <c r="Q1714" t="s">
        <v>44683</v>
      </c>
      <c r="R1714" t="s">
        <v>46589</v>
      </c>
    </row>
    <row r="1715" spans="1:18" x14ac:dyDescent="0.35">
      <c r="A1715" t="s">
        <v>15215</v>
      </c>
      <c r="D1715" t="s">
        <v>5220</v>
      </c>
      <c r="E1715" t="s">
        <v>43</v>
      </c>
      <c r="I1715" s="26">
        <v>41275</v>
      </c>
      <c r="J1715" s="28">
        <v>41275</v>
      </c>
      <c r="Q1715" t="s">
        <v>44683</v>
      </c>
      <c r="R1715" t="s">
        <v>46590</v>
      </c>
    </row>
    <row r="1716" spans="1:18" x14ac:dyDescent="0.35">
      <c r="A1716" t="s">
        <v>15216</v>
      </c>
      <c r="D1716" t="s">
        <v>5220</v>
      </c>
      <c r="E1716" t="s">
        <v>43</v>
      </c>
      <c r="I1716" s="26">
        <v>41275</v>
      </c>
      <c r="J1716" s="28">
        <v>41275</v>
      </c>
      <c r="Q1716" t="s">
        <v>44683</v>
      </c>
      <c r="R1716" t="s">
        <v>46591</v>
      </c>
    </row>
    <row r="1717" spans="1:18" x14ac:dyDescent="0.35">
      <c r="A1717" t="s">
        <v>15712</v>
      </c>
      <c r="C1717" t="s">
        <v>46592</v>
      </c>
      <c r="D1717" t="s">
        <v>5877</v>
      </c>
      <c r="E1717" t="s">
        <v>43</v>
      </c>
      <c r="I1717" s="26">
        <v>41275</v>
      </c>
      <c r="J1717" s="28">
        <v>41275</v>
      </c>
      <c r="Q1717" t="s">
        <v>44683</v>
      </c>
      <c r="R1717" t="s">
        <v>46593</v>
      </c>
    </row>
    <row r="1718" spans="1:18" x14ac:dyDescent="0.35">
      <c r="A1718" t="s">
        <v>14379</v>
      </c>
      <c r="D1718" t="s">
        <v>1951</v>
      </c>
      <c r="E1718" t="s">
        <v>43</v>
      </c>
      <c r="I1718" s="26">
        <v>41275</v>
      </c>
      <c r="J1718" s="28">
        <v>41275</v>
      </c>
      <c r="Q1718" t="s">
        <v>44683</v>
      </c>
      <c r="R1718" t="s">
        <v>46594</v>
      </c>
    </row>
    <row r="1719" spans="1:18" x14ac:dyDescent="0.35">
      <c r="A1719" t="s">
        <v>15700</v>
      </c>
      <c r="D1719" t="s">
        <v>5877</v>
      </c>
      <c r="E1719" t="s">
        <v>43</v>
      </c>
      <c r="I1719" s="26">
        <v>41275</v>
      </c>
      <c r="J1719" s="28">
        <v>41275</v>
      </c>
      <c r="Q1719" t="s">
        <v>44683</v>
      </c>
      <c r="R1719" t="s">
        <v>46595</v>
      </c>
    </row>
    <row r="1720" spans="1:18" x14ac:dyDescent="0.35">
      <c r="A1720" t="s">
        <v>15699</v>
      </c>
      <c r="D1720" t="s">
        <v>5877</v>
      </c>
      <c r="E1720" t="s">
        <v>43</v>
      </c>
      <c r="I1720" s="26">
        <v>41275</v>
      </c>
      <c r="J1720" s="28">
        <v>41275</v>
      </c>
      <c r="Q1720" t="s">
        <v>44683</v>
      </c>
      <c r="R1720" t="s">
        <v>46596</v>
      </c>
    </row>
    <row r="1721" spans="1:18" x14ac:dyDescent="0.35">
      <c r="A1721" t="s">
        <v>15217</v>
      </c>
      <c r="D1721" t="s">
        <v>5220</v>
      </c>
      <c r="E1721" t="s">
        <v>43</v>
      </c>
      <c r="I1721" s="26">
        <v>41275</v>
      </c>
      <c r="J1721" s="28">
        <v>41275</v>
      </c>
      <c r="Q1721" t="s">
        <v>44683</v>
      </c>
      <c r="R1721" t="s">
        <v>46597</v>
      </c>
    </row>
    <row r="1722" spans="1:18" x14ac:dyDescent="0.35">
      <c r="A1722" t="s">
        <v>15701</v>
      </c>
      <c r="D1722" t="s">
        <v>5877</v>
      </c>
      <c r="E1722" t="s">
        <v>43</v>
      </c>
      <c r="I1722" s="26">
        <v>41275</v>
      </c>
      <c r="J1722" s="28">
        <v>41275</v>
      </c>
      <c r="Q1722" t="s">
        <v>44683</v>
      </c>
      <c r="R1722" t="s">
        <v>46598</v>
      </c>
    </row>
    <row r="1723" spans="1:18" x14ac:dyDescent="0.35">
      <c r="A1723" t="s">
        <v>16263</v>
      </c>
      <c r="D1723" t="s">
        <v>5300</v>
      </c>
      <c r="E1723" t="s">
        <v>43</v>
      </c>
      <c r="I1723" s="26">
        <v>41275</v>
      </c>
      <c r="J1723" s="28">
        <v>41275</v>
      </c>
      <c r="Q1723" t="s">
        <v>44683</v>
      </c>
      <c r="R1723" t="s">
        <v>46599</v>
      </c>
    </row>
    <row r="1724" spans="1:18" x14ac:dyDescent="0.35">
      <c r="A1724" t="s">
        <v>15702</v>
      </c>
      <c r="D1724" t="s">
        <v>5877</v>
      </c>
      <c r="E1724" t="s">
        <v>43</v>
      </c>
      <c r="I1724" s="26">
        <v>41275</v>
      </c>
      <c r="J1724" s="28">
        <v>41275</v>
      </c>
      <c r="Q1724" t="s">
        <v>44683</v>
      </c>
      <c r="R1724" t="s">
        <v>46600</v>
      </c>
    </row>
    <row r="1725" spans="1:18" x14ac:dyDescent="0.35">
      <c r="A1725" t="s">
        <v>15219</v>
      </c>
      <c r="D1725" t="s">
        <v>5220</v>
      </c>
      <c r="E1725" t="s">
        <v>43</v>
      </c>
      <c r="I1725" s="26">
        <v>41275</v>
      </c>
      <c r="J1725" s="28">
        <v>41275</v>
      </c>
      <c r="Q1725" t="s">
        <v>44683</v>
      </c>
      <c r="R1725" t="s">
        <v>46601</v>
      </c>
    </row>
    <row r="1726" spans="1:18" x14ac:dyDescent="0.35">
      <c r="A1726" t="s">
        <v>15220</v>
      </c>
      <c r="D1726" t="s">
        <v>5220</v>
      </c>
      <c r="E1726" t="s">
        <v>43</v>
      </c>
      <c r="I1726" s="26">
        <v>41275</v>
      </c>
      <c r="J1726" s="28">
        <v>41275</v>
      </c>
      <c r="Q1726" t="s">
        <v>44683</v>
      </c>
      <c r="R1726" t="s">
        <v>46602</v>
      </c>
    </row>
    <row r="1727" spans="1:18" x14ac:dyDescent="0.35">
      <c r="A1727" t="s">
        <v>14626</v>
      </c>
      <c r="D1727" t="s">
        <v>2221</v>
      </c>
      <c r="E1727" t="s">
        <v>43</v>
      </c>
      <c r="I1727" s="26">
        <v>41275</v>
      </c>
      <c r="J1727" s="28">
        <v>41275</v>
      </c>
      <c r="Q1727" t="s">
        <v>44683</v>
      </c>
      <c r="R1727" t="s">
        <v>46603</v>
      </c>
    </row>
    <row r="1728" spans="1:18" x14ac:dyDescent="0.35">
      <c r="A1728" t="s">
        <v>15049</v>
      </c>
      <c r="C1728" t="s">
        <v>46604</v>
      </c>
      <c r="D1728" t="s">
        <v>3438</v>
      </c>
      <c r="E1728" t="s">
        <v>43</v>
      </c>
      <c r="I1728" s="26">
        <v>41275</v>
      </c>
      <c r="J1728" s="28">
        <v>41275</v>
      </c>
      <c r="Q1728" t="s">
        <v>44683</v>
      </c>
      <c r="R1728" t="s">
        <v>46605</v>
      </c>
    </row>
    <row r="1729" spans="1:18" x14ac:dyDescent="0.35">
      <c r="A1729" t="s">
        <v>14381</v>
      </c>
      <c r="D1729" t="s">
        <v>1951</v>
      </c>
      <c r="E1729" t="s">
        <v>43</v>
      </c>
      <c r="I1729" s="26">
        <v>41275</v>
      </c>
      <c r="J1729" s="28">
        <v>41275</v>
      </c>
      <c r="Q1729" t="s">
        <v>44683</v>
      </c>
      <c r="R1729" t="s">
        <v>46606</v>
      </c>
    </row>
    <row r="1730" spans="1:18" x14ac:dyDescent="0.35">
      <c r="A1730" t="s">
        <v>14382</v>
      </c>
      <c r="D1730" t="s">
        <v>1951</v>
      </c>
      <c r="E1730" t="s">
        <v>43</v>
      </c>
      <c r="I1730" s="26">
        <v>41275</v>
      </c>
      <c r="J1730" s="28">
        <v>41275</v>
      </c>
      <c r="Q1730" t="s">
        <v>44683</v>
      </c>
      <c r="R1730" t="s">
        <v>46607</v>
      </c>
    </row>
    <row r="1731" spans="1:18" x14ac:dyDescent="0.35">
      <c r="A1731" t="s">
        <v>16400</v>
      </c>
      <c r="D1731" t="s">
        <v>7210</v>
      </c>
      <c r="E1731" t="s">
        <v>43</v>
      </c>
      <c r="I1731" s="26">
        <v>41275</v>
      </c>
      <c r="J1731" s="28">
        <v>41275</v>
      </c>
      <c r="Q1731" t="s">
        <v>44683</v>
      </c>
      <c r="R1731" t="s">
        <v>46608</v>
      </c>
    </row>
    <row r="1732" spans="1:18" x14ac:dyDescent="0.35">
      <c r="A1732" t="s">
        <v>15221</v>
      </c>
      <c r="D1732" t="s">
        <v>5220</v>
      </c>
      <c r="E1732" t="s">
        <v>43</v>
      </c>
      <c r="I1732" s="26">
        <v>41275</v>
      </c>
      <c r="J1732" s="28">
        <v>41275</v>
      </c>
      <c r="Q1732" t="s">
        <v>44683</v>
      </c>
      <c r="R1732" t="s">
        <v>46609</v>
      </c>
    </row>
    <row r="1733" spans="1:18" x14ac:dyDescent="0.35">
      <c r="A1733" t="s">
        <v>14384</v>
      </c>
      <c r="D1733" t="s">
        <v>1951</v>
      </c>
      <c r="E1733" t="s">
        <v>43</v>
      </c>
      <c r="I1733" s="26">
        <v>41275</v>
      </c>
      <c r="J1733" s="28">
        <v>41275</v>
      </c>
      <c r="Q1733" t="s">
        <v>44683</v>
      </c>
      <c r="R1733" t="s">
        <v>46610</v>
      </c>
    </row>
    <row r="1734" spans="1:18" x14ac:dyDescent="0.35">
      <c r="A1734" t="s">
        <v>14274</v>
      </c>
      <c r="C1734" t="s">
        <v>46611</v>
      </c>
      <c r="D1734" t="s">
        <v>1485</v>
      </c>
      <c r="E1734" t="s">
        <v>43</v>
      </c>
      <c r="I1734" s="26">
        <v>41275</v>
      </c>
      <c r="J1734" s="28">
        <v>41275</v>
      </c>
      <c r="Q1734" t="s">
        <v>44683</v>
      </c>
      <c r="R1734" t="s">
        <v>46612</v>
      </c>
    </row>
    <row r="1735" spans="1:18" x14ac:dyDescent="0.35">
      <c r="A1735" t="s">
        <v>14386</v>
      </c>
      <c r="D1735" t="s">
        <v>1951</v>
      </c>
      <c r="E1735" t="s">
        <v>43</v>
      </c>
      <c r="I1735" s="26">
        <v>41275</v>
      </c>
      <c r="J1735" s="28">
        <v>41275</v>
      </c>
      <c r="Q1735" t="s">
        <v>44683</v>
      </c>
      <c r="R1735" t="s">
        <v>46613</v>
      </c>
    </row>
    <row r="1736" spans="1:18" x14ac:dyDescent="0.35">
      <c r="A1736" t="s">
        <v>15703</v>
      </c>
      <c r="D1736" t="s">
        <v>5877</v>
      </c>
      <c r="E1736" t="s">
        <v>43</v>
      </c>
      <c r="I1736" s="26">
        <v>41275</v>
      </c>
      <c r="J1736" s="28">
        <v>41275</v>
      </c>
      <c r="Q1736" t="s">
        <v>44683</v>
      </c>
      <c r="R1736" t="s">
        <v>46614</v>
      </c>
    </row>
    <row r="1737" spans="1:18" x14ac:dyDescent="0.35">
      <c r="A1737" t="s">
        <v>14761</v>
      </c>
      <c r="D1737" t="s">
        <v>2462</v>
      </c>
      <c r="E1737" t="s">
        <v>43</v>
      </c>
      <c r="I1737" s="26">
        <v>41275</v>
      </c>
      <c r="J1737" s="28">
        <v>41275</v>
      </c>
      <c r="Q1737" t="s">
        <v>44683</v>
      </c>
      <c r="R1737" t="s">
        <v>46615</v>
      </c>
    </row>
    <row r="1738" spans="1:18" x14ac:dyDescent="0.35">
      <c r="A1738" t="s">
        <v>15704</v>
      </c>
      <c r="C1738" t="s">
        <v>46616</v>
      </c>
      <c r="D1738" t="s">
        <v>5877</v>
      </c>
      <c r="E1738" t="s">
        <v>43</v>
      </c>
      <c r="I1738" s="26">
        <v>41275</v>
      </c>
      <c r="J1738" s="28">
        <v>41275</v>
      </c>
      <c r="Q1738" t="s">
        <v>44683</v>
      </c>
      <c r="R1738" t="s">
        <v>46617</v>
      </c>
    </row>
    <row r="1739" spans="1:18" x14ac:dyDescent="0.35">
      <c r="A1739" t="s">
        <v>16265</v>
      </c>
      <c r="D1739" t="s">
        <v>5300</v>
      </c>
      <c r="E1739" t="s">
        <v>43</v>
      </c>
      <c r="I1739" s="26">
        <v>41275</v>
      </c>
      <c r="J1739" s="28">
        <v>41275</v>
      </c>
      <c r="Q1739" t="s">
        <v>44683</v>
      </c>
      <c r="R1739" t="s">
        <v>46618</v>
      </c>
    </row>
    <row r="1740" spans="1:18" x14ac:dyDescent="0.35">
      <c r="A1740" t="s">
        <v>14266</v>
      </c>
      <c r="D1740" t="s">
        <v>1374</v>
      </c>
      <c r="E1740" t="s">
        <v>43</v>
      </c>
      <c r="I1740" s="26">
        <v>41275</v>
      </c>
      <c r="J1740" s="28">
        <v>41275</v>
      </c>
      <c r="Q1740" t="s">
        <v>44683</v>
      </c>
      <c r="R1740" t="s">
        <v>46619</v>
      </c>
    </row>
    <row r="1741" spans="1:18" x14ac:dyDescent="0.35">
      <c r="A1741" t="s">
        <v>15222</v>
      </c>
      <c r="D1741" t="s">
        <v>5220</v>
      </c>
      <c r="E1741" t="s">
        <v>43</v>
      </c>
      <c r="I1741" s="26">
        <v>41275</v>
      </c>
      <c r="J1741" s="28">
        <v>41275</v>
      </c>
      <c r="Q1741" t="s">
        <v>44683</v>
      </c>
      <c r="R1741" t="s">
        <v>46620</v>
      </c>
    </row>
    <row r="1742" spans="1:18" x14ac:dyDescent="0.35">
      <c r="A1742" t="s">
        <v>16266</v>
      </c>
      <c r="D1742" t="s">
        <v>5300</v>
      </c>
      <c r="E1742" t="s">
        <v>43</v>
      </c>
      <c r="I1742" s="26">
        <v>41275</v>
      </c>
      <c r="J1742" s="28">
        <v>41275</v>
      </c>
      <c r="Q1742" t="s">
        <v>44683</v>
      </c>
      <c r="R1742" t="s">
        <v>46621</v>
      </c>
    </row>
    <row r="1743" spans="1:18" x14ac:dyDescent="0.35">
      <c r="A1743" t="s">
        <v>16267</v>
      </c>
      <c r="D1743" t="s">
        <v>5300</v>
      </c>
      <c r="E1743" t="s">
        <v>43</v>
      </c>
      <c r="I1743" s="26">
        <v>41275</v>
      </c>
      <c r="J1743" s="28">
        <v>41275</v>
      </c>
      <c r="Q1743" t="s">
        <v>44683</v>
      </c>
      <c r="R1743" t="s">
        <v>46622</v>
      </c>
    </row>
    <row r="1744" spans="1:18" x14ac:dyDescent="0.35">
      <c r="A1744" t="s">
        <v>15705</v>
      </c>
      <c r="D1744" t="s">
        <v>5877</v>
      </c>
      <c r="E1744" t="s">
        <v>43</v>
      </c>
      <c r="I1744" s="26">
        <v>41275</v>
      </c>
      <c r="J1744" s="28">
        <v>41275</v>
      </c>
      <c r="Q1744" t="s">
        <v>44683</v>
      </c>
      <c r="R1744" t="s">
        <v>46623</v>
      </c>
    </row>
    <row r="1745" spans="1:18" x14ac:dyDescent="0.35">
      <c r="A1745" t="s">
        <v>15223</v>
      </c>
      <c r="D1745" t="s">
        <v>5220</v>
      </c>
      <c r="E1745" t="s">
        <v>43</v>
      </c>
      <c r="I1745" s="26">
        <v>41275</v>
      </c>
      <c r="J1745" s="28">
        <v>41275</v>
      </c>
      <c r="Q1745" t="s">
        <v>44683</v>
      </c>
      <c r="R1745" t="s">
        <v>46624</v>
      </c>
    </row>
    <row r="1746" spans="1:18" x14ac:dyDescent="0.35">
      <c r="A1746" t="s">
        <v>14389</v>
      </c>
      <c r="D1746" t="s">
        <v>1951</v>
      </c>
      <c r="E1746" t="s">
        <v>43</v>
      </c>
      <c r="I1746" s="26">
        <v>41275</v>
      </c>
      <c r="J1746" s="28">
        <v>41275</v>
      </c>
      <c r="Q1746" t="s">
        <v>44683</v>
      </c>
      <c r="R1746" t="s">
        <v>46625</v>
      </c>
    </row>
    <row r="1747" spans="1:18" x14ac:dyDescent="0.35">
      <c r="A1747" t="s">
        <v>14390</v>
      </c>
      <c r="D1747" t="s">
        <v>1951</v>
      </c>
      <c r="E1747" t="s">
        <v>43</v>
      </c>
      <c r="I1747" s="26">
        <v>41275</v>
      </c>
      <c r="J1747" s="28">
        <v>41275</v>
      </c>
      <c r="Q1747" t="s">
        <v>44683</v>
      </c>
      <c r="R1747" t="s">
        <v>46626</v>
      </c>
    </row>
    <row r="1748" spans="1:18" x14ac:dyDescent="0.35">
      <c r="A1748" t="s">
        <v>14767</v>
      </c>
      <c r="D1748" t="s">
        <v>2462</v>
      </c>
      <c r="E1748" t="s">
        <v>43</v>
      </c>
      <c r="I1748" s="26">
        <v>41275</v>
      </c>
      <c r="J1748" s="28">
        <v>41275</v>
      </c>
      <c r="Q1748" t="s">
        <v>44683</v>
      </c>
      <c r="R1748" t="s">
        <v>46627</v>
      </c>
    </row>
    <row r="1749" spans="1:18" x14ac:dyDescent="0.35">
      <c r="A1749" t="s">
        <v>15622</v>
      </c>
      <c r="D1749" t="s">
        <v>5898</v>
      </c>
      <c r="E1749" t="s">
        <v>43</v>
      </c>
      <c r="I1749" s="26">
        <v>41275</v>
      </c>
      <c r="J1749" s="28">
        <v>41275</v>
      </c>
      <c r="Q1749" t="s">
        <v>44683</v>
      </c>
      <c r="R1749" t="s">
        <v>46628</v>
      </c>
    </row>
    <row r="1750" spans="1:18" x14ac:dyDescent="0.35">
      <c r="A1750" t="s">
        <v>15713</v>
      </c>
      <c r="D1750" t="s">
        <v>5877</v>
      </c>
      <c r="E1750" t="s">
        <v>43</v>
      </c>
      <c r="I1750" s="26">
        <v>41275</v>
      </c>
      <c r="J1750" s="28">
        <v>41275</v>
      </c>
      <c r="Q1750" t="s">
        <v>44683</v>
      </c>
      <c r="R1750" t="s">
        <v>46629</v>
      </c>
    </row>
    <row r="1751" spans="1:18" x14ac:dyDescent="0.35">
      <c r="A1751" t="s">
        <v>16198</v>
      </c>
      <c r="D1751" t="s">
        <v>7089</v>
      </c>
      <c r="E1751" t="s">
        <v>43</v>
      </c>
      <c r="I1751" s="26">
        <v>41275</v>
      </c>
      <c r="J1751" s="28">
        <v>41275</v>
      </c>
      <c r="Q1751" t="s">
        <v>44683</v>
      </c>
      <c r="R1751" t="s">
        <v>46630</v>
      </c>
    </row>
    <row r="1752" spans="1:18" x14ac:dyDescent="0.35">
      <c r="A1752" t="s">
        <v>14769</v>
      </c>
      <c r="D1752" t="s">
        <v>2462</v>
      </c>
      <c r="E1752" t="s">
        <v>43</v>
      </c>
      <c r="I1752" s="26">
        <v>41275</v>
      </c>
      <c r="J1752" s="28">
        <v>41275</v>
      </c>
      <c r="Q1752" t="s">
        <v>44683</v>
      </c>
      <c r="R1752" t="s">
        <v>46631</v>
      </c>
    </row>
    <row r="1753" spans="1:18" x14ac:dyDescent="0.35">
      <c r="A1753" t="s">
        <v>16268</v>
      </c>
      <c r="D1753" t="s">
        <v>5300</v>
      </c>
      <c r="E1753" t="s">
        <v>43</v>
      </c>
      <c r="I1753" s="26">
        <v>41275</v>
      </c>
      <c r="J1753" s="28">
        <v>41275</v>
      </c>
      <c r="Q1753" t="s">
        <v>44683</v>
      </c>
      <c r="R1753" t="s">
        <v>46632</v>
      </c>
    </row>
    <row r="1754" spans="1:18" x14ac:dyDescent="0.35">
      <c r="A1754" t="s">
        <v>15714</v>
      </c>
      <c r="D1754" t="s">
        <v>5877</v>
      </c>
      <c r="E1754" t="s">
        <v>43</v>
      </c>
      <c r="I1754" s="26">
        <v>41275</v>
      </c>
      <c r="J1754" s="28">
        <v>41275</v>
      </c>
      <c r="Q1754" t="s">
        <v>44683</v>
      </c>
      <c r="R1754" t="s">
        <v>46633</v>
      </c>
    </row>
    <row r="1755" spans="1:18" x14ac:dyDescent="0.35">
      <c r="A1755" t="s">
        <v>16269</v>
      </c>
      <c r="D1755" t="s">
        <v>5300</v>
      </c>
      <c r="E1755" t="s">
        <v>43</v>
      </c>
      <c r="I1755" s="26">
        <v>41275</v>
      </c>
      <c r="J1755" s="28">
        <v>41275</v>
      </c>
      <c r="Q1755" t="s">
        <v>44683</v>
      </c>
      <c r="R1755" t="s">
        <v>46634</v>
      </c>
    </row>
    <row r="1756" spans="1:18" x14ac:dyDescent="0.35">
      <c r="A1756" t="s">
        <v>15226</v>
      </c>
      <c r="D1756" t="s">
        <v>5220</v>
      </c>
      <c r="E1756" t="s">
        <v>43</v>
      </c>
      <c r="I1756" s="26">
        <v>41275</v>
      </c>
      <c r="J1756" s="28">
        <v>41275</v>
      </c>
      <c r="Q1756" t="s">
        <v>44683</v>
      </c>
      <c r="R1756" t="s">
        <v>46635</v>
      </c>
    </row>
    <row r="1757" spans="1:18" x14ac:dyDescent="0.35">
      <c r="A1757" t="s">
        <v>16199</v>
      </c>
      <c r="D1757" t="s">
        <v>7089</v>
      </c>
      <c r="E1757" t="s">
        <v>43</v>
      </c>
      <c r="I1757" s="26">
        <v>41275</v>
      </c>
      <c r="J1757" s="28">
        <v>41275</v>
      </c>
      <c r="Q1757" t="s">
        <v>44683</v>
      </c>
      <c r="R1757" t="s">
        <v>46636</v>
      </c>
    </row>
    <row r="1758" spans="1:18" x14ac:dyDescent="0.35">
      <c r="A1758" t="s">
        <v>14763</v>
      </c>
      <c r="D1758" t="s">
        <v>2462</v>
      </c>
      <c r="E1758" t="s">
        <v>43</v>
      </c>
      <c r="I1758" s="26">
        <v>41275</v>
      </c>
      <c r="J1758" s="28">
        <v>41275</v>
      </c>
      <c r="Q1758" t="s">
        <v>44683</v>
      </c>
      <c r="R1758" t="s">
        <v>46637</v>
      </c>
    </row>
    <row r="1759" spans="1:18" x14ac:dyDescent="0.35">
      <c r="A1759" t="s">
        <v>15227</v>
      </c>
      <c r="D1759" t="s">
        <v>5220</v>
      </c>
      <c r="E1759" t="s">
        <v>43</v>
      </c>
      <c r="I1759" s="26">
        <v>41275</v>
      </c>
      <c r="J1759" s="28">
        <v>41275</v>
      </c>
      <c r="Q1759" t="s">
        <v>44683</v>
      </c>
      <c r="R1759" t="s">
        <v>46638</v>
      </c>
    </row>
    <row r="1760" spans="1:18" x14ac:dyDescent="0.35">
      <c r="A1760" t="s">
        <v>15706</v>
      </c>
      <c r="D1760" t="s">
        <v>5877</v>
      </c>
      <c r="E1760" t="s">
        <v>43</v>
      </c>
      <c r="I1760" s="26">
        <v>41275</v>
      </c>
      <c r="J1760" s="28">
        <v>41275</v>
      </c>
      <c r="Q1760" t="s">
        <v>44683</v>
      </c>
      <c r="R1760" t="s">
        <v>46639</v>
      </c>
    </row>
    <row r="1761" spans="1:18" x14ac:dyDescent="0.35">
      <c r="A1761" t="s">
        <v>15707</v>
      </c>
      <c r="D1761" t="s">
        <v>5877</v>
      </c>
      <c r="E1761" t="s">
        <v>43</v>
      </c>
      <c r="I1761" s="26">
        <v>41275</v>
      </c>
      <c r="J1761" s="28">
        <v>41275</v>
      </c>
      <c r="Q1761" t="s">
        <v>44683</v>
      </c>
      <c r="R1761" t="s">
        <v>46640</v>
      </c>
    </row>
    <row r="1762" spans="1:18" x14ac:dyDescent="0.35">
      <c r="A1762" t="s">
        <v>16271</v>
      </c>
      <c r="D1762" t="s">
        <v>5300</v>
      </c>
      <c r="E1762" t="s">
        <v>43</v>
      </c>
      <c r="I1762" s="26">
        <v>41275</v>
      </c>
      <c r="J1762" s="28">
        <v>41275</v>
      </c>
      <c r="Q1762" t="s">
        <v>44683</v>
      </c>
      <c r="R1762" t="s">
        <v>46641</v>
      </c>
    </row>
    <row r="1763" spans="1:18" x14ac:dyDescent="0.35">
      <c r="A1763" t="s">
        <v>3519</v>
      </c>
      <c r="D1763" t="s">
        <v>5690</v>
      </c>
      <c r="E1763" t="s">
        <v>43</v>
      </c>
      <c r="I1763" s="26">
        <v>41275</v>
      </c>
      <c r="J1763" s="28">
        <v>41275</v>
      </c>
      <c r="Q1763" t="s">
        <v>44683</v>
      </c>
      <c r="R1763" t="s">
        <v>46642</v>
      </c>
    </row>
    <row r="1764" spans="1:18" x14ac:dyDescent="0.35">
      <c r="A1764" t="s">
        <v>15708</v>
      </c>
      <c r="D1764" t="s">
        <v>5877</v>
      </c>
      <c r="E1764" t="s">
        <v>43</v>
      </c>
      <c r="I1764" s="26">
        <v>41275</v>
      </c>
      <c r="J1764" s="28">
        <v>41275</v>
      </c>
      <c r="Q1764" t="s">
        <v>44683</v>
      </c>
      <c r="R1764" t="s">
        <v>46643</v>
      </c>
    </row>
    <row r="1765" spans="1:18" x14ac:dyDescent="0.35">
      <c r="A1765" t="s">
        <v>16272</v>
      </c>
      <c r="D1765" t="s">
        <v>5300</v>
      </c>
      <c r="E1765" t="s">
        <v>43</v>
      </c>
      <c r="I1765" s="26">
        <v>41275</v>
      </c>
      <c r="J1765" s="28">
        <v>41275</v>
      </c>
      <c r="Q1765" t="s">
        <v>44683</v>
      </c>
      <c r="R1765" t="s">
        <v>46644</v>
      </c>
    </row>
    <row r="1766" spans="1:18" x14ac:dyDescent="0.35">
      <c r="A1766" t="s">
        <v>14393</v>
      </c>
      <c r="D1766" t="s">
        <v>1951</v>
      </c>
      <c r="E1766" t="s">
        <v>43</v>
      </c>
      <c r="I1766" s="26">
        <v>41275</v>
      </c>
      <c r="J1766" s="28">
        <v>41275</v>
      </c>
      <c r="Q1766" t="s">
        <v>44683</v>
      </c>
      <c r="R1766" t="s">
        <v>46645</v>
      </c>
    </row>
    <row r="1767" spans="1:18" x14ac:dyDescent="0.35">
      <c r="A1767" t="s">
        <v>14392</v>
      </c>
      <c r="D1767" t="s">
        <v>1951</v>
      </c>
      <c r="E1767" t="s">
        <v>43</v>
      </c>
      <c r="I1767" s="26">
        <v>41275</v>
      </c>
      <c r="J1767" s="28">
        <v>41275</v>
      </c>
      <c r="Q1767" t="s">
        <v>44683</v>
      </c>
      <c r="R1767" t="s">
        <v>46646</v>
      </c>
    </row>
    <row r="1768" spans="1:18" x14ac:dyDescent="0.35">
      <c r="A1768" t="s">
        <v>14394</v>
      </c>
      <c r="D1768" t="s">
        <v>1951</v>
      </c>
      <c r="E1768" t="s">
        <v>43</v>
      </c>
      <c r="I1768" s="26">
        <v>41275</v>
      </c>
      <c r="J1768" s="28">
        <v>41275</v>
      </c>
      <c r="Q1768" t="s">
        <v>44683</v>
      </c>
      <c r="R1768" t="s">
        <v>46647</v>
      </c>
    </row>
    <row r="1769" spans="1:18" x14ac:dyDescent="0.35">
      <c r="A1769" t="s">
        <v>14275</v>
      </c>
      <c r="C1769" t="s">
        <v>46648</v>
      </c>
      <c r="D1769" t="s">
        <v>1485</v>
      </c>
      <c r="E1769" t="s">
        <v>43</v>
      </c>
      <c r="I1769" s="26">
        <v>41275</v>
      </c>
      <c r="J1769" s="28">
        <v>41275</v>
      </c>
      <c r="Q1769" t="s">
        <v>44683</v>
      </c>
      <c r="R1769" t="s">
        <v>46649</v>
      </c>
    </row>
    <row r="1770" spans="1:18" x14ac:dyDescent="0.35">
      <c r="A1770" t="s">
        <v>14395</v>
      </c>
      <c r="D1770" t="s">
        <v>1951</v>
      </c>
      <c r="E1770" t="s">
        <v>43</v>
      </c>
      <c r="I1770" s="26">
        <v>41275</v>
      </c>
      <c r="J1770" s="28">
        <v>41275</v>
      </c>
      <c r="Q1770" t="s">
        <v>44683</v>
      </c>
      <c r="R1770" t="s">
        <v>46650</v>
      </c>
    </row>
    <row r="1771" spans="1:18" x14ac:dyDescent="0.35">
      <c r="A1771" t="s">
        <v>14056</v>
      </c>
      <c r="D1771" t="s">
        <v>386</v>
      </c>
      <c r="E1771" t="s">
        <v>43</v>
      </c>
      <c r="I1771" s="26">
        <v>41275</v>
      </c>
      <c r="J1771" s="28">
        <v>41275</v>
      </c>
      <c r="Q1771" t="s">
        <v>44683</v>
      </c>
      <c r="R1771" t="s">
        <v>46651</v>
      </c>
    </row>
    <row r="1772" spans="1:18" x14ac:dyDescent="0.35">
      <c r="A1772" t="s">
        <v>15715</v>
      </c>
      <c r="D1772" t="s">
        <v>5877</v>
      </c>
      <c r="E1772" t="s">
        <v>43</v>
      </c>
      <c r="I1772" s="26">
        <v>41275</v>
      </c>
      <c r="J1772" s="28">
        <v>41275</v>
      </c>
      <c r="Q1772" t="s">
        <v>44683</v>
      </c>
      <c r="R1772" t="s">
        <v>46652</v>
      </c>
    </row>
    <row r="1773" spans="1:18" x14ac:dyDescent="0.35">
      <c r="A1773" t="s">
        <v>14691</v>
      </c>
      <c r="D1773" t="s">
        <v>2462</v>
      </c>
      <c r="E1773" t="s">
        <v>43</v>
      </c>
      <c r="I1773" s="26">
        <v>41275</v>
      </c>
      <c r="J1773" s="28">
        <v>41275</v>
      </c>
      <c r="Q1773" t="s">
        <v>44683</v>
      </c>
      <c r="R1773" t="s">
        <v>46653</v>
      </c>
    </row>
    <row r="1774" spans="1:18" x14ac:dyDescent="0.35">
      <c r="A1774" t="s">
        <v>14276</v>
      </c>
      <c r="D1774" t="s">
        <v>1485</v>
      </c>
      <c r="E1774" t="s">
        <v>43</v>
      </c>
      <c r="I1774" s="26">
        <v>41275</v>
      </c>
      <c r="J1774" s="28">
        <v>41275</v>
      </c>
      <c r="Q1774" t="s">
        <v>44683</v>
      </c>
      <c r="R1774" t="s">
        <v>46654</v>
      </c>
    </row>
    <row r="1775" spans="1:18" x14ac:dyDescent="0.35">
      <c r="A1775" t="s">
        <v>15229</v>
      </c>
      <c r="D1775" t="s">
        <v>5220</v>
      </c>
      <c r="E1775" t="s">
        <v>43</v>
      </c>
      <c r="I1775" s="26">
        <v>41275</v>
      </c>
      <c r="J1775" s="28">
        <v>41275</v>
      </c>
      <c r="Q1775" t="s">
        <v>44683</v>
      </c>
      <c r="R1775" t="s">
        <v>46655</v>
      </c>
    </row>
    <row r="1776" spans="1:18" x14ac:dyDescent="0.35">
      <c r="A1776" t="s">
        <v>16273</v>
      </c>
      <c r="D1776" t="s">
        <v>5300</v>
      </c>
      <c r="E1776" t="s">
        <v>43</v>
      </c>
      <c r="I1776" s="26">
        <v>41275</v>
      </c>
      <c r="J1776" s="28">
        <v>41275</v>
      </c>
      <c r="Q1776" t="s">
        <v>44683</v>
      </c>
      <c r="R1776" t="s">
        <v>46656</v>
      </c>
    </row>
    <row r="1777" spans="1:18" x14ac:dyDescent="0.35">
      <c r="A1777" t="s">
        <v>16200</v>
      </c>
      <c r="D1777" t="s">
        <v>7089</v>
      </c>
      <c r="E1777" t="s">
        <v>43</v>
      </c>
      <c r="I1777" s="26">
        <v>41275</v>
      </c>
      <c r="J1777" s="28">
        <v>41275</v>
      </c>
      <c r="Q1777" t="s">
        <v>44683</v>
      </c>
      <c r="R1777" t="s">
        <v>46657</v>
      </c>
    </row>
    <row r="1778" spans="1:18" x14ac:dyDescent="0.35">
      <c r="A1778" t="s">
        <v>15716</v>
      </c>
      <c r="D1778" t="s">
        <v>5877</v>
      </c>
      <c r="E1778" t="s">
        <v>43</v>
      </c>
      <c r="I1778" s="26">
        <v>41275</v>
      </c>
      <c r="J1778" s="28">
        <v>41275</v>
      </c>
      <c r="Q1778" t="s">
        <v>44683</v>
      </c>
      <c r="R1778" t="s">
        <v>46658</v>
      </c>
    </row>
    <row r="1779" spans="1:18" x14ac:dyDescent="0.35">
      <c r="A1779" t="s">
        <v>16274</v>
      </c>
      <c r="D1779" t="s">
        <v>5300</v>
      </c>
      <c r="E1779" t="s">
        <v>43</v>
      </c>
      <c r="I1779" s="26">
        <v>41275</v>
      </c>
      <c r="J1779" s="28">
        <v>41275</v>
      </c>
      <c r="Q1779" t="s">
        <v>44683</v>
      </c>
      <c r="R1779" t="s">
        <v>46659</v>
      </c>
    </row>
    <row r="1780" spans="1:18" x14ac:dyDescent="0.35">
      <c r="A1780" t="s">
        <v>15232</v>
      </c>
      <c r="D1780" t="s">
        <v>5220</v>
      </c>
      <c r="E1780" t="s">
        <v>43</v>
      </c>
      <c r="I1780" s="26">
        <v>41275</v>
      </c>
      <c r="J1780" s="28">
        <v>41275</v>
      </c>
      <c r="Q1780" t="s">
        <v>44683</v>
      </c>
      <c r="R1780" t="s">
        <v>46660</v>
      </c>
    </row>
    <row r="1781" spans="1:18" x14ac:dyDescent="0.35">
      <c r="A1781" t="s">
        <v>16275</v>
      </c>
      <c r="D1781" t="s">
        <v>5300</v>
      </c>
      <c r="E1781" t="s">
        <v>43</v>
      </c>
      <c r="I1781" s="26">
        <v>41275</v>
      </c>
      <c r="J1781" s="28">
        <v>41275</v>
      </c>
      <c r="Q1781" t="s">
        <v>44683</v>
      </c>
      <c r="R1781" t="s">
        <v>46661</v>
      </c>
    </row>
    <row r="1782" spans="1:18" x14ac:dyDescent="0.35">
      <c r="A1782" t="s">
        <v>16276</v>
      </c>
      <c r="D1782" t="s">
        <v>5300</v>
      </c>
      <c r="E1782" t="s">
        <v>43</v>
      </c>
      <c r="I1782" s="26">
        <v>41275</v>
      </c>
      <c r="J1782" s="28">
        <v>41275</v>
      </c>
      <c r="Q1782" t="s">
        <v>44683</v>
      </c>
      <c r="R1782" t="s">
        <v>46662</v>
      </c>
    </row>
    <row r="1783" spans="1:18" x14ac:dyDescent="0.35">
      <c r="A1783" t="s">
        <v>14396</v>
      </c>
      <c r="D1783" t="s">
        <v>1951</v>
      </c>
      <c r="E1783" t="s">
        <v>43</v>
      </c>
      <c r="I1783" s="26">
        <v>41275</v>
      </c>
      <c r="J1783" s="28">
        <v>41275</v>
      </c>
      <c r="Q1783" t="s">
        <v>44683</v>
      </c>
      <c r="R1783" t="s">
        <v>46663</v>
      </c>
    </row>
    <row r="1784" spans="1:18" x14ac:dyDescent="0.35">
      <c r="A1784" t="s">
        <v>14277</v>
      </c>
      <c r="D1784" t="s">
        <v>1485</v>
      </c>
      <c r="E1784" t="s">
        <v>43</v>
      </c>
      <c r="I1784" s="26">
        <v>41275</v>
      </c>
      <c r="J1784" s="28">
        <v>41275</v>
      </c>
      <c r="Q1784" t="s">
        <v>44683</v>
      </c>
      <c r="R1784" t="s">
        <v>46664</v>
      </c>
    </row>
    <row r="1785" spans="1:18" x14ac:dyDescent="0.35">
      <c r="A1785" t="s">
        <v>15233</v>
      </c>
      <c r="D1785" t="s">
        <v>5220</v>
      </c>
      <c r="E1785" t="s">
        <v>43</v>
      </c>
      <c r="I1785" s="26">
        <v>41275</v>
      </c>
      <c r="J1785" s="28">
        <v>41275</v>
      </c>
      <c r="Q1785" t="s">
        <v>44683</v>
      </c>
      <c r="R1785" t="s">
        <v>46665</v>
      </c>
    </row>
    <row r="1786" spans="1:18" x14ac:dyDescent="0.35">
      <c r="A1786" t="s">
        <v>14398</v>
      </c>
      <c r="D1786" t="s">
        <v>1951</v>
      </c>
      <c r="E1786" t="s">
        <v>43</v>
      </c>
      <c r="I1786" s="26">
        <v>41275</v>
      </c>
      <c r="J1786" s="28">
        <v>41275</v>
      </c>
      <c r="Q1786" t="s">
        <v>44683</v>
      </c>
      <c r="R1786" t="s">
        <v>46666</v>
      </c>
    </row>
    <row r="1787" spans="1:18" x14ac:dyDescent="0.35">
      <c r="A1787" t="s">
        <v>14779</v>
      </c>
      <c r="D1787" t="s">
        <v>2462</v>
      </c>
      <c r="E1787" t="s">
        <v>43</v>
      </c>
      <c r="I1787" s="26">
        <v>41275</v>
      </c>
      <c r="J1787" s="28">
        <v>41275</v>
      </c>
      <c r="Q1787" t="s">
        <v>44683</v>
      </c>
      <c r="R1787" t="s">
        <v>46667</v>
      </c>
    </row>
    <row r="1788" spans="1:18" x14ac:dyDescent="0.35">
      <c r="A1788" t="s">
        <v>16277</v>
      </c>
      <c r="D1788" t="s">
        <v>5300</v>
      </c>
      <c r="E1788" t="s">
        <v>43</v>
      </c>
      <c r="I1788" s="26">
        <v>41275</v>
      </c>
      <c r="J1788" s="28">
        <v>41275</v>
      </c>
      <c r="Q1788" t="s">
        <v>44683</v>
      </c>
      <c r="R1788" t="s">
        <v>46668</v>
      </c>
    </row>
    <row r="1789" spans="1:18" x14ac:dyDescent="0.35">
      <c r="A1789" t="s">
        <v>16278</v>
      </c>
      <c r="C1789" t="s">
        <v>46669</v>
      </c>
      <c r="D1789" t="s">
        <v>5300</v>
      </c>
      <c r="E1789" t="s">
        <v>43</v>
      </c>
      <c r="I1789" s="26">
        <v>41275</v>
      </c>
      <c r="J1789" s="28">
        <v>41275</v>
      </c>
      <c r="Q1789" t="s">
        <v>44683</v>
      </c>
      <c r="R1789" t="s">
        <v>46670</v>
      </c>
    </row>
    <row r="1790" spans="1:18" x14ac:dyDescent="0.35">
      <c r="A1790" t="s">
        <v>15717</v>
      </c>
      <c r="D1790" t="s">
        <v>5877</v>
      </c>
      <c r="E1790" t="s">
        <v>43</v>
      </c>
      <c r="I1790" s="26">
        <v>41275</v>
      </c>
      <c r="J1790" s="28">
        <v>41275</v>
      </c>
      <c r="Q1790" t="s">
        <v>44683</v>
      </c>
      <c r="R1790" t="s">
        <v>46671</v>
      </c>
    </row>
    <row r="1791" spans="1:18" x14ac:dyDescent="0.35">
      <c r="A1791" t="s">
        <v>10347</v>
      </c>
      <c r="C1791" t="s">
        <v>46672</v>
      </c>
      <c r="D1791" t="s">
        <v>1485</v>
      </c>
      <c r="E1791" t="s">
        <v>43</v>
      </c>
      <c r="I1791" s="26">
        <v>41275</v>
      </c>
      <c r="J1791" s="28">
        <v>41275</v>
      </c>
      <c r="Q1791" t="s">
        <v>44683</v>
      </c>
      <c r="R1791" t="s">
        <v>46673</v>
      </c>
    </row>
    <row r="1792" spans="1:18" x14ac:dyDescent="0.35">
      <c r="A1792" t="s">
        <v>16279</v>
      </c>
      <c r="D1792" t="s">
        <v>5300</v>
      </c>
      <c r="E1792" t="s">
        <v>43</v>
      </c>
      <c r="I1792" s="26">
        <v>41275</v>
      </c>
      <c r="J1792" s="28">
        <v>41275</v>
      </c>
      <c r="Q1792" t="s">
        <v>44683</v>
      </c>
      <c r="R1792" t="s">
        <v>46674</v>
      </c>
    </row>
    <row r="1793" spans="1:18" x14ac:dyDescent="0.35">
      <c r="A1793" t="s">
        <v>15718</v>
      </c>
      <c r="D1793" t="s">
        <v>5877</v>
      </c>
      <c r="E1793" t="s">
        <v>43</v>
      </c>
      <c r="I1793" s="26">
        <v>41275</v>
      </c>
      <c r="J1793" s="28">
        <v>41275</v>
      </c>
      <c r="Q1793" t="s">
        <v>44683</v>
      </c>
      <c r="R1793" t="s">
        <v>46675</v>
      </c>
    </row>
    <row r="1794" spans="1:18" x14ac:dyDescent="0.35">
      <c r="A1794" t="s">
        <v>15709</v>
      </c>
      <c r="D1794" t="s">
        <v>5877</v>
      </c>
      <c r="E1794" t="s">
        <v>43</v>
      </c>
      <c r="I1794" s="26">
        <v>41275</v>
      </c>
      <c r="J1794" s="28">
        <v>41275</v>
      </c>
      <c r="Q1794" t="s">
        <v>44683</v>
      </c>
      <c r="R1794" t="s">
        <v>46676</v>
      </c>
    </row>
    <row r="1795" spans="1:18" x14ac:dyDescent="0.35">
      <c r="A1795" t="s">
        <v>16201</v>
      </c>
      <c r="D1795" t="s">
        <v>7089</v>
      </c>
      <c r="E1795" t="s">
        <v>43</v>
      </c>
      <c r="I1795" s="26">
        <v>41275</v>
      </c>
      <c r="J1795" s="28">
        <v>41275</v>
      </c>
      <c r="Q1795" t="s">
        <v>44683</v>
      </c>
      <c r="R1795" t="s">
        <v>46677</v>
      </c>
    </row>
    <row r="1796" spans="1:18" x14ac:dyDescent="0.35">
      <c r="A1796" t="s">
        <v>15162</v>
      </c>
      <c r="D1796" t="s">
        <v>5132</v>
      </c>
      <c r="E1796" t="s">
        <v>43</v>
      </c>
      <c r="I1796" s="26">
        <v>41275</v>
      </c>
      <c r="J1796" s="28">
        <v>41275</v>
      </c>
      <c r="Q1796" t="s">
        <v>44683</v>
      </c>
      <c r="R1796" t="s">
        <v>46678</v>
      </c>
    </row>
    <row r="1797" spans="1:18" x14ac:dyDescent="0.35">
      <c r="A1797" t="s">
        <v>14399</v>
      </c>
      <c r="D1797" t="s">
        <v>1951</v>
      </c>
      <c r="E1797" t="s">
        <v>43</v>
      </c>
      <c r="I1797" s="26">
        <v>41275</v>
      </c>
      <c r="J1797" s="28">
        <v>41275</v>
      </c>
      <c r="Q1797" t="s">
        <v>44683</v>
      </c>
      <c r="R1797" t="s">
        <v>46679</v>
      </c>
    </row>
    <row r="1798" spans="1:18" x14ac:dyDescent="0.35">
      <c r="A1798" t="s">
        <v>14400</v>
      </c>
      <c r="D1798" t="s">
        <v>1951</v>
      </c>
      <c r="E1798" t="s">
        <v>43</v>
      </c>
      <c r="I1798" s="26">
        <v>41275</v>
      </c>
      <c r="J1798" s="28">
        <v>41275</v>
      </c>
      <c r="Q1798" t="s">
        <v>44683</v>
      </c>
      <c r="R1798" t="s">
        <v>46680</v>
      </c>
    </row>
    <row r="1799" spans="1:18" x14ac:dyDescent="0.35">
      <c r="A1799" t="s">
        <v>16280</v>
      </c>
      <c r="D1799" t="s">
        <v>5300</v>
      </c>
      <c r="E1799" t="s">
        <v>43</v>
      </c>
      <c r="I1799" s="26">
        <v>41275</v>
      </c>
      <c r="J1799" s="28">
        <v>41275</v>
      </c>
      <c r="Q1799" t="s">
        <v>44683</v>
      </c>
      <c r="R1799" t="s">
        <v>46681</v>
      </c>
    </row>
    <row r="1800" spans="1:18" x14ac:dyDescent="0.35">
      <c r="A1800" t="s">
        <v>15235</v>
      </c>
      <c r="D1800" t="s">
        <v>5220</v>
      </c>
      <c r="E1800" t="s">
        <v>43</v>
      </c>
      <c r="I1800" s="26">
        <v>41275</v>
      </c>
      <c r="J1800" s="28">
        <v>41275</v>
      </c>
      <c r="Q1800" t="s">
        <v>44683</v>
      </c>
      <c r="R1800" t="s">
        <v>46682</v>
      </c>
    </row>
    <row r="1801" spans="1:18" x14ac:dyDescent="0.35">
      <c r="A1801" t="s">
        <v>14784</v>
      </c>
      <c r="D1801" t="s">
        <v>2462</v>
      </c>
      <c r="E1801" t="s">
        <v>43</v>
      </c>
      <c r="I1801" s="26">
        <v>41275</v>
      </c>
      <c r="J1801" s="28">
        <v>41275</v>
      </c>
      <c r="Q1801" t="s">
        <v>44683</v>
      </c>
      <c r="R1801" t="s">
        <v>46683</v>
      </c>
    </row>
    <row r="1802" spans="1:18" x14ac:dyDescent="0.35">
      <c r="A1802" t="s">
        <v>14371</v>
      </c>
      <c r="D1802" t="s">
        <v>1951</v>
      </c>
      <c r="E1802" t="s">
        <v>43</v>
      </c>
      <c r="I1802" s="26">
        <v>41275</v>
      </c>
      <c r="J1802" s="28">
        <v>41275</v>
      </c>
      <c r="Q1802" t="s">
        <v>44683</v>
      </c>
      <c r="R1802" t="s">
        <v>46684</v>
      </c>
    </row>
    <row r="1803" spans="1:18" x14ac:dyDescent="0.35">
      <c r="A1803" t="s">
        <v>15006</v>
      </c>
      <c r="D1803" t="s">
        <v>2991</v>
      </c>
      <c r="E1803" t="s">
        <v>43</v>
      </c>
      <c r="I1803" s="26">
        <v>40909</v>
      </c>
      <c r="J1803" s="28">
        <v>40909</v>
      </c>
      <c r="Q1803" t="s">
        <v>44683</v>
      </c>
      <c r="R1803" t="s">
        <v>46685</v>
      </c>
    </row>
    <row r="1804" spans="1:18" x14ac:dyDescent="0.35">
      <c r="A1804" t="s">
        <v>14941</v>
      </c>
      <c r="D1804" t="s">
        <v>2930</v>
      </c>
      <c r="E1804" t="s">
        <v>43</v>
      </c>
      <c r="I1804" s="26">
        <v>40909</v>
      </c>
      <c r="J1804" s="28">
        <v>40909</v>
      </c>
      <c r="Q1804" t="s">
        <v>44683</v>
      </c>
      <c r="R1804" t="s">
        <v>46686</v>
      </c>
    </row>
    <row r="1805" spans="1:18" x14ac:dyDescent="0.35">
      <c r="A1805" t="s">
        <v>15013</v>
      </c>
      <c r="D1805" t="s">
        <v>2991</v>
      </c>
      <c r="E1805" t="s">
        <v>43</v>
      </c>
      <c r="I1805" s="26">
        <v>40909</v>
      </c>
      <c r="J1805" s="28">
        <v>40909</v>
      </c>
      <c r="Q1805" t="s">
        <v>44683</v>
      </c>
      <c r="R1805" t="s">
        <v>46687</v>
      </c>
    </row>
    <row r="1806" spans="1:18" x14ac:dyDescent="0.35">
      <c r="A1806" t="s">
        <v>14923</v>
      </c>
      <c r="D1806" t="s">
        <v>2927</v>
      </c>
      <c r="E1806" t="s">
        <v>43</v>
      </c>
      <c r="I1806" s="26">
        <v>40909</v>
      </c>
      <c r="J1806" s="28">
        <v>40909</v>
      </c>
      <c r="Q1806" t="s">
        <v>44683</v>
      </c>
      <c r="R1806" t="s">
        <v>46688</v>
      </c>
    </row>
    <row r="1807" spans="1:18" x14ac:dyDescent="0.35">
      <c r="A1807" t="s">
        <v>14288</v>
      </c>
      <c r="D1807" t="s">
        <v>1743</v>
      </c>
      <c r="E1807" t="s">
        <v>43</v>
      </c>
      <c r="I1807" s="26">
        <v>40909</v>
      </c>
      <c r="J1807" s="28">
        <v>40909</v>
      </c>
      <c r="Q1807" t="s">
        <v>44683</v>
      </c>
      <c r="R1807" t="s">
        <v>46689</v>
      </c>
    </row>
    <row r="1808" spans="1:18" x14ac:dyDescent="0.35">
      <c r="A1808" t="s">
        <v>14936</v>
      </c>
      <c r="D1808" t="s">
        <v>2929</v>
      </c>
      <c r="E1808" t="s">
        <v>43</v>
      </c>
      <c r="I1808" s="26">
        <v>40909</v>
      </c>
      <c r="J1808" s="28">
        <v>40909</v>
      </c>
      <c r="Q1808" t="s">
        <v>44683</v>
      </c>
      <c r="R1808" t="s">
        <v>46690</v>
      </c>
    </row>
    <row r="1809" spans="1:18" x14ac:dyDescent="0.35">
      <c r="A1809" t="s">
        <v>14903</v>
      </c>
      <c r="D1809" t="s">
        <v>2924</v>
      </c>
      <c r="E1809" t="s">
        <v>43</v>
      </c>
      <c r="I1809" s="26">
        <v>40909</v>
      </c>
      <c r="J1809" s="28">
        <v>40909</v>
      </c>
      <c r="Q1809" t="s">
        <v>44683</v>
      </c>
      <c r="R1809" t="s">
        <v>46691</v>
      </c>
    </row>
    <row r="1810" spans="1:18" x14ac:dyDescent="0.35">
      <c r="A1810" t="s">
        <v>46692</v>
      </c>
      <c r="D1810" t="s">
        <v>1945</v>
      </c>
      <c r="E1810" t="s">
        <v>43</v>
      </c>
      <c r="I1810" s="26">
        <v>40909</v>
      </c>
      <c r="J1810" s="28">
        <v>40909</v>
      </c>
      <c r="Q1810" t="s">
        <v>44683</v>
      </c>
      <c r="R1810" t="s">
        <v>46693</v>
      </c>
    </row>
    <row r="1811" spans="1:18" x14ac:dyDescent="0.35">
      <c r="A1811" t="s">
        <v>14922</v>
      </c>
      <c r="D1811" t="s">
        <v>2927</v>
      </c>
      <c r="E1811" t="s">
        <v>43</v>
      </c>
      <c r="I1811" s="26">
        <v>40909</v>
      </c>
      <c r="J1811" s="28">
        <v>40909</v>
      </c>
      <c r="Q1811" t="s">
        <v>44683</v>
      </c>
      <c r="R1811" t="s">
        <v>46694</v>
      </c>
    </row>
    <row r="1812" spans="1:18" x14ac:dyDescent="0.35">
      <c r="A1812" t="s">
        <v>14932</v>
      </c>
      <c r="D1812" t="s">
        <v>2928</v>
      </c>
      <c r="E1812" t="s">
        <v>43</v>
      </c>
      <c r="I1812" s="26">
        <v>40909</v>
      </c>
      <c r="J1812" s="28">
        <v>40909</v>
      </c>
      <c r="Q1812" t="s">
        <v>44683</v>
      </c>
      <c r="R1812" t="s">
        <v>46695</v>
      </c>
    </row>
    <row r="1813" spans="1:18" x14ac:dyDescent="0.35">
      <c r="A1813" t="s">
        <v>46696</v>
      </c>
      <c r="D1813" t="s">
        <v>1940</v>
      </c>
      <c r="E1813" t="s">
        <v>43</v>
      </c>
      <c r="I1813" s="26">
        <v>40909</v>
      </c>
      <c r="J1813" s="28">
        <v>40909</v>
      </c>
      <c r="Q1813" t="s">
        <v>44683</v>
      </c>
      <c r="R1813" t="s">
        <v>46697</v>
      </c>
    </row>
    <row r="1814" spans="1:18" x14ac:dyDescent="0.35">
      <c r="A1814" t="s">
        <v>14289</v>
      </c>
      <c r="D1814" t="s">
        <v>1743</v>
      </c>
      <c r="E1814" t="s">
        <v>43</v>
      </c>
      <c r="I1814" s="26">
        <v>40909</v>
      </c>
      <c r="J1814" s="28">
        <v>40909</v>
      </c>
      <c r="Q1814" t="s">
        <v>44683</v>
      </c>
      <c r="R1814" t="s">
        <v>46698</v>
      </c>
    </row>
    <row r="1815" spans="1:18" x14ac:dyDescent="0.35">
      <c r="A1815" t="s">
        <v>14573</v>
      </c>
      <c r="D1815" t="s">
        <v>1943</v>
      </c>
      <c r="E1815" t="s">
        <v>43</v>
      </c>
      <c r="I1815" s="26">
        <v>40909</v>
      </c>
      <c r="J1815" s="28">
        <v>40909</v>
      </c>
      <c r="Q1815" t="s">
        <v>44683</v>
      </c>
      <c r="R1815" t="s">
        <v>46699</v>
      </c>
    </row>
    <row r="1816" spans="1:18" x14ac:dyDescent="0.35">
      <c r="A1816" t="s">
        <v>15017</v>
      </c>
      <c r="D1816" t="s">
        <v>2991</v>
      </c>
      <c r="E1816" t="s">
        <v>43</v>
      </c>
      <c r="I1816" s="26">
        <v>40909</v>
      </c>
      <c r="J1816" s="28">
        <v>40909</v>
      </c>
      <c r="Q1816" t="s">
        <v>44683</v>
      </c>
      <c r="R1816" t="s">
        <v>46700</v>
      </c>
    </row>
    <row r="1817" spans="1:18" x14ac:dyDescent="0.35">
      <c r="A1817" t="s">
        <v>15007</v>
      </c>
      <c r="D1817" t="s">
        <v>2991</v>
      </c>
      <c r="E1817" t="s">
        <v>43</v>
      </c>
      <c r="I1817" s="26">
        <v>40909</v>
      </c>
      <c r="J1817" s="28">
        <v>40909</v>
      </c>
      <c r="Q1817" t="s">
        <v>44683</v>
      </c>
      <c r="R1817" t="s">
        <v>46701</v>
      </c>
    </row>
    <row r="1818" spans="1:18" x14ac:dyDescent="0.35">
      <c r="A1818" t="s">
        <v>14572</v>
      </c>
      <c r="D1818" t="s">
        <v>1943</v>
      </c>
      <c r="E1818" t="s">
        <v>43</v>
      </c>
      <c r="I1818" s="26">
        <v>40909</v>
      </c>
      <c r="J1818" s="28">
        <v>40909</v>
      </c>
      <c r="Q1818" t="s">
        <v>44683</v>
      </c>
      <c r="R1818" t="s">
        <v>46702</v>
      </c>
    </row>
    <row r="1819" spans="1:18" x14ac:dyDescent="0.35">
      <c r="A1819" t="s">
        <v>14286</v>
      </c>
      <c r="D1819" t="s">
        <v>1743</v>
      </c>
      <c r="E1819" t="s">
        <v>43</v>
      </c>
      <c r="I1819" s="26">
        <v>40909</v>
      </c>
      <c r="J1819" s="28">
        <v>40909</v>
      </c>
      <c r="Q1819" t="s">
        <v>44683</v>
      </c>
      <c r="R1819" t="s">
        <v>46703</v>
      </c>
    </row>
    <row r="1820" spans="1:18" x14ac:dyDescent="0.35">
      <c r="A1820" t="s">
        <v>15196</v>
      </c>
      <c r="D1820" t="s">
        <v>5219</v>
      </c>
      <c r="E1820" t="s">
        <v>43</v>
      </c>
      <c r="I1820" s="26">
        <v>40909</v>
      </c>
      <c r="J1820" s="28">
        <v>40909</v>
      </c>
      <c r="Q1820" t="s">
        <v>44683</v>
      </c>
      <c r="R1820" t="s">
        <v>46704</v>
      </c>
    </row>
    <row r="1821" spans="1:18" x14ac:dyDescent="0.35">
      <c r="A1821" t="s">
        <v>14924</v>
      </c>
      <c r="D1821" t="s">
        <v>2927</v>
      </c>
      <c r="E1821" t="s">
        <v>43</v>
      </c>
      <c r="I1821" s="26">
        <v>40909</v>
      </c>
      <c r="J1821" s="28">
        <v>40909</v>
      </c>
      <c r="Q1821" t="s">
        <v>44683</v>
      </c>
      <c r="R1821" t="s">
        <v>46705</v>
      </c>
    </row>
    <row r="1822" spans="1:18" x14ac:dyDescent="0.35">
      <c r="A1822" t="s">
        <v>46706</v>
      </c>
      <c r="D1822" t="s">
        <v>1944</v>
      </c>
      <c r="E1822" t="s">
        <v>43</v>
      </c>
      <c r="I1822" s="26">
        <v>40909</v>
      </c>
      <c r="J1822" s="28">
        <v>40909</v>
      </c>
      <c r="Q1822" t="s">
        <v>44683</v>
      </c>
      <c r="R1822" t="s">
        <v>46707</v>
      </c>
    </row>
    <row r="1823" spans="1:18" x14ac:dyDescent="0.35">
      <c r="A1823" t="s">
        <v>15129</v>
      </c>
      <c r="D1823" t="s">
        <v>5001</v>
      </c>
      <c r="E1823" t="s">
        <v>43</v>
      </c>
      <c r="I1823" s="26">
        <v>40909</v>
      </c>
      <c r="J1823" s="28">
        <v>40909</v>
      </c>
      <c r="Q1823" t="s">
        <v>44683</v>
      </c>
      <c r="R1823" t="s">
        <v>46708</v>
      </c>
    </row>
    <row r="1824" spans="1:18" x14ac:dyDescent="0.35">
      <c r="A1824" t="s">
        <v>15123</v>
      </c>
      <c r="D1824" t="s">
        <v>5000</v>
      </c>
      <c r="E1824" t="s">
        <v>43</v>
      </c>
      <c r="I1824" s="26">
        <v>40909</v>
      </c>
      <c r="J1824" s="28">
        <v>40909</v>
      </c>
      <c r="Q1824" t="s">
        <v>44683</v>
      </c>
      <c r="R1824" t="s">
        <v>46709</v>
      </c>
    </row>
    <row r="1825" spans="1:18" x14ac:dyDescent="0.35">
      <c r="A1825" t="s">
        <v>14905</v>
      </c>
      <c r="D1825" t="s">
        <v>2924</v>
      </c>
      <c r="E1825" t="s">
        <v>43</v>
      </c>
      <c r="I1825" s="26">
        <v>40909</v>
      </c>
      <c r="J1825" s="28">
        <v>40909</v>
      </c>
      <c r="Q1825" t="s">
        <v>44683</v>
      </c>
      <c r="R1825" t="s">
        <v>46710</v>
      </c>
    </row>
    <row r="1826" spans="1:18" x14ac:dyDescent="0.35">
      <c r="A1826" t="s">
        <v>15197</v>
      </c>
      <c r="D1826" t="s">
        <v>5219</v>
      </c>
      <c r="E1826" t="s">
        <v>43</v>
      </c>
      <c r="I1826" s="26">
        <v>40909</v>
      </c>
      <c r="J1826" s="28">
        <v>40909</v>
      </c>
      <c r="Q1826" t="s">
        <v>44683</v>
      </c>
      <c r="R1826" t="s">
        <v>46711</v>
      </c>
    </row>
    <row r="1827" spans="1:18" x14ac:dyDescent="0.35">
      <c r="A1827" t="s">
        <v>14290</v>
      </c>
      <c r="D1827" t="s">
        <v>1743</v>
      </c>
      <c r="E1827" t="s">
        <v>43</v>
      </c>
      <c r="I1827" s="26">
        <v>40909</v>
      </c>
      <c r="J1827" s="28">
        <v>40909</v>
      </c>
      <c r="Q1827" t="s">
        <v>44683</v>
      </c>
      <c r="R1827" t="s">
        <v>46712</v>
      </c>
    </row>
    <row r="1828" spans="1:18" x14ac:dyDescent="0.35">
      <c r="A1828" t="s">
        <v>15198</v>
      </c>
      <c r="D1828" t="s">
        <v>5219</v>
      </c>
      <c r="E1828" t="s">
        <v>43</v>
      </c>
      <c r="I1828" s="26">
        <v>40909</v>
      </c>
      <c r="J1828" s="28">
        <v>40909</v>
      </c>
      <c r="Q1828" t="s">
        <v>44683</v>
      </c>
      <c r="R1828" t="s">
        <v>46713</v>
      </c>
    </row>
    <row r="1829" spans="1:18" x14ac:dyDescent="0.35">
      <c r="A1829" t="s">
        <v>14380</v>
      </c>
      <c r="D1829" t="s">
        <v>1951</v>
      </c>
      <c r="E1829" t="s">
        <v>43</v>
      </c>
      <c r="I1829" s="26">
        <v>41275</v>
      </c>
      <c r="J1829" s="28">
        <v>41275</v>
      </c>
      <c r="Q1829" t="s">
        <v>44683</v>
      </c>
      <c r="R1829" t="s">
        <v>46714</v>
      </c>
    </row>
    <row r="1830" spans="1:18" x14ac:dyDescent="0.35">
      <c r="A1830" t="s">
        <v>15199</v>
      </c>
      <c r="D1830" t="s">
        <v>5219</v>
      </c>
      <c r="E1830" t="s">
        <v>43</v>
      </c>
      <c r="I1830" s="26">
        <v>40909</v>
      </c>
      <c r="J1830" s="28">
        <v>40909</v>
      </c>
      <c r="Q1830" t="s">
        <v>44683</v>
      </c>
      <c r="R1830" t="s">
        <v>46715</v>
      </c>
    </row>
    <row r="1831" spans="1:18" x14ac:dyDescent="0.35">
      <c r="A1831" t="s">
        <v>14939</v>
      </c>
      <c r="D1831" t="s">
        <v>2929</v>
      </c>
      <c r="E1831" t="s">
        <v>43</v>
      </c>
      <c r="I1831" s="26">
        <v>40909</v>
      </c>
      <c r="J1831" s="28">
        <v>40909</v>
      </c>
      <c r="Q1831" t="s">
        <v>44683</v>
      </c>
      <c r="R1831" t="s">
        <v>46716</v>
      </c>
    </row>
    <row r="1832" spans="1:18" x14ac:dyDescent="0.35">
      <c r="A1832" t="s">
        <v>14291</v>
      </c>
      <c r="D1832" t="s">
        <v>1743</v>
      </c>
      <c r="E1832" t="s">
        <v>43</v>
      </c>
      <c r="I1832" s="26">
        <v>40909</v>
      </c>
      <c r="J1832" s="28">
        <v>40909</v>
      </c>
      <c r="Q1832" t="s">
        <v>44683</v>
      </c>
      <c r="R1832" t="s">
        <v>46717</v>
      </c>
    </row>
    <row r="1833" spans="1:18" x14ac:dyDescent="0.35">
      <c r="A1833" t="s">
        <v>14910</v>
      </c>
      <c r="D1833" t="s">
        <v>2925</v>
      </c>
      <c r="E1833" t="s">
        <v>43</v>
      </c>
      <c r="I1833" s="26">
        <v>40909</v>
      </c>
      <c r="J1833" s="28">
        <v>40909</v>
      </c>
      <c r="Q1833" t="s">
        <v>44683</v>
      </c>
      <c r="R1833" t="s">
        <v>46718</v>
      </c>
    </row>
    <row r="1834" spans="1:18" x14ac:dyDescent="0.35">
      <c r="A1834" t="s">
        <v>15200</v>
      </c>
      <c r="D1834" t="s">
        <v>5219</v>
      </c>
      <c r="E1834" t="s">
        <v>43</v>
      </c>
      <c r="I1834" s="26">
        <v>40909</v>
      </c>
      <c r="J1834" s="28">
        <v>40909</v>
      </c>
      <c r="Q1834" t="s">
        <v>44683</v>
      </c>
      <c r="R1834" t="s">
        <v>46719</v>
      </c>
    </row>
    <row r="1835" spans="1:18" x14ac:dyDescent="0.35">
      <c r="A1835" t="s">
        <v>14579</v>
      </c>
      <c r="D1835" t="s">
        <v>1944</v>
      </c>
      <c r="E1835" t="s">
        <v>43</v>
      </c>
      <c r="I1835" s="26">
        <v>40909</v>
      </c>
      <c r="J1835" s="28">
        <v>40909</v>
      </c>
      <c r="Q1835" t="s">
        <v>44683</v>
      </c>
      <c r="R1835" t="s">
        <v>46720</v>
      </c>
    </row>
    <row r="1836" spans="1:18" x14ac:dyDescent="0.35">
      <c r="A1836" t="s">
        <v>15201</v>
      </c>
      <c r="D1836" t="s">
        <v>5219</v>
      </c>
      <c r="E1836" t="s">
        <v>43</v>
      </c>
      <c r="I1836" s="26">
        <v>40909</v>
      </c>
      <c r="J1836" s="28">
        <v>40909</v>
      </c>
      <c r="Q1836" t="s">
        <v>44683</v>
      </c>
      <c r="R1836" t="s">
        <v>46721</v>
      </c>
    </row>
    <row r="1837" spans="1:18" x14ac:dyDescent="0.35">
      <c r="A1837" t="s">
        <v>14383</v>
      </c>
      <c r="D1837" t="s">
        <v>1951</v>
      </c>
      <c r="E1837" t="s">
        <v>43</v>
      </c>
      <c r="I1837" s="26">
        <v>41275</v>
      </c>
      <c r="J1837" s="28">
        <v>41275</v>
      </c>
      <c r="Q1837" t="s">
        <v>44683</v>
      </c>
      <c r="R1837" t="s">
        <v>46722</v>
      </c>
    </row>
    <row r="1838" spans="1:18" x14ac:dyDescent="0.35">
      <c r="A1838" t="s">
        <v>14553</v>
      </c>
      <c r="D1838" t="s">
        <v>1937</v>
      </c>
      <c r="E1838" t="s">
        <v>43</v>
      </c>
      <c r="I1838" s="26">
        <v>40909</v>
      </c>
      <c r="J1838" s="28">
        <v>40909</v>
      </c>
      <c r="Q1838" t="s">
        <v>44683</v>
      </c>
      <c r="R1838" t="s">
        <v>46723</v>
      </c>
    </row>
    <row r="1839" spans="1:18" x14ac:dyDescent="0.35">
      <c r="A1839" t="s">
        <v>15202</v>
      </c>
      <c r="D1839" t="s">
        <v>5219</v>
      </c>
      <c r="E1839" t="s">
        <v>43</v>
      </c>
      <c r="I1839" s="26">
        <v>40909</v>
      </c>
      <c r="J1839" s="28">
        <v>40909</v>
      </c>
      <c r="Q1839" t="s">
        <v>44683</v>
      </c>
      <c r="R1839" t="s">
        <v>46724</v>
      </c>
    </row>
    <row r="1840" spans="1:18" x14ac:dyDescent="0.35">
      <c r="A1840" t="s">
        <v>14385</v>
      </c>
      <c r="D1840" t="s">
        <v>1951</v>
      </c>
      <c r="E1840" t="s">
        <v>43</v>
      </c>
      <c r="I1840" s="26">
        <v>41275</v>
      </c>
      <c r="J1840" s="28">
        <v>41275</v>
      </c>
      <c r="Q1840" t="s">
        <v>44683</v>
      </c>
      <c r="R1840" t="s">
        <v>46725</v>
      </c>
    </row>
    <row r="1841" spans="1:18" x14ac:dyDescent="0.35">
      <c r="A1841" t="s">
        <v>14574</v>
      </c>
      <c r="D1841" t="s">
        <v>1943</v>
      </c>
      <c r="E1841" t="s">
        <v>43</v>
      </c>
      <c r="I1841" s="26">
        <v>40909</v>
      </c>
      <c r="J1841" s="28">
        <v>40909</v>
      </c>
      <c r="Q1841" t="s">
        <v>44683</v>
      </c>
      <c r="R1841" t="s">
        <v>46726</v>
      </c>
    </row>
    <row r="1842" spans="1:18" x14ac:dyDescent="0.35">
      <c r="A1842" t="s">
        <v>15018</v>
      </c>
      <c r="D1842" t="s">
        <v>2991</v>
      </c>
      <c r="E1842" t="s">
        <v>43</v>
      </c>
      <c r="I1842" s="26">
        <v>40909</v>
      </c>
      <c r="J1842" s="28">
        <v>40909</v>
      </c>
      <c r="Q1842" t="s">
        <v>44683</v>
      </c>
      <c r="R1842" t="s">
        <v>46727</v>
      </c>
    </row>
    <row r="1843" spans="1:18" x14ac:dyDescent="0.35">
      <c r="A1843" t="s">
        <v>15019</v>
      </c>
      <c r="D1843" t="s">
        <v>2991</v>
      </c>
      <c r="E1843" t="s">
        <v>43</v>
      </c>
      <c r="I1843" s="26">
        <v>40909</v>
      </c>
      <c r="J1843" s="28">
        <v>40909</v>
      </c>
      <c r="Q1843" t="s">
        <v>44683</v>
      </c>
      <c r="R1843" t="s">
        <v>46728</v>
      </c>
    </row>
    <row r="1844" spans="1:18" x14ac:dyDescent="0.35">
      <c r="A1844" t="s">
        <v>14917</v>
      </c>
      <c r="D1844" t="s">
        <v>2926</v>
      </c>
      <c r="E1844" t="s">
        <v>43</v>
      </c>
      <c r="I1844" s="26">
        <v>40909</v>
      </c>
      <c r="J1844" s="28">
        <v>40909</v>
      </c>
      <c r="Q1844" t="s">
        <v>44683</v>
      </c>
      <c r="R1844" t="s">
        <v>46729</v>
      </c>
    </row>
    <row r="1845" spans="1:18" x14ac:dyDescent="0.35">
      <c r="A1845" t="s">
        <v>46730</v>
      </c>
      <c r="D1845" t="s">
        <v>1940</v>
      </c>
      <c r="E1845" t="s">
        <v>43</v>
      </c>
      <c r="I1845" s="26">
        <v>40909</v>
      </c>
      <c r="J1845" s="28">
        <v>40909</v>
      </c>
      <c r="Q1845" t="s">
        <v>44683</v>
      </c>
      <c r="R1845" t="s">
        <v>46731</v>
      </c>
    </row>
    <row r="1846" spans="1:18" x14ac:dyDescent="0.35">
      <c r="A1846" t="s">
        <v>14293</v>
      </c>
      <c r="D1846" t="s">
        <v>1743</v>
      </c>
      <c r="E1846" t="s">
        <v>43</v>
      </c>
      <c r="I1846" s="26">
        <v>40909</v>
      </c>
      <c r="J1846" s="28">
        <v>40909</v>
      </c>
      <c r="Q1846" t="s">
        <v>44683</v>
      </c>
      <c r="R1846" t="s">
        <v>46732</v>
      </c>
    </row>
    <row r="1847" spans="1:18" x14ac:dyDescent="0.35">
      <c r="A1847" t="s">
        <v>14387</v>
      </c>
      <c r="D1847" t="s">
        <v>1951</v>
      </c>
      <c r="E1847" t="s">
        <v>43</v>
      </c>
      <c r="I1847" s="26">
        <v>41275</v>
      </c>
      <c r="J1847" s="28">
        <v>41275</v>
      </c>
      <c r="Q1847" t="s">
        <v>44683</v>
      </c>
      <c r="R1847" t="s">
        <v>46733</v>
      </c>
    </row>
    <row r="1848" spans="1:18" x14ac:dyDescent="0.35">
      <c r="A1848" t="s">
        <v>14557</v>
      </c>
      <c r="D1848" t="s">
        <v>1940</v>
      </c>
      <c r="E1848" t="s">
        <v>43</v>
      </c>
      <c r="I1848" s="26">
        <v>40909</v>
      </c>
      <c r="J1848" s="28">
        <v>40909</v>
      </c>
      <c r="Q1848" t="s">
        <v>44683</v>
      </c>
      <c r="R1848" t="s">
        <v>46734</v>
      </c>
    </row>
    <row r="1849" spans="1:18" x14ac:dyDescent="0.35">
      <c r="A1849" t="s">
        <v>14388</v>
      </c>
      <c r="D1849" t="s">
        <v>1951</v>
      </c>
      <c r="E1849" t="s">
        <v>43</v>
      </c>
      <c r="I1849" s="26">
        <v>41275</v>
      </c>
      <c r="J1849" s="28">
        <v>41275</v>
      </c>
      <c r="Q1849" t="s">
        <v>44683</v>
      </c>
      <c r="R1849" t="s">
        <v>46735</v>
      </c>
    </row>
    <row r="1850" spans="1:18" x14ac:dyDescent="0.35">
      <c r="A1850" t="s">
        <v>15127</v>
      </c>
      <c r="D1850" t="s">
        <v>5001</v>
      </c>
      <c r="E1850" t="s">
        <v>43</v>
      </c>
      <c r="I1850" s="26">
        <v>40909</v>
      </c>
      <c r="J1850" s="28">
        <v>40909</v>
      </c>
      <c r="Q1850" t="s">
        <v>44683</v>
      </c>
      <c r="R1850" t="s">
        <v>46736</v>
      </c>
    </row>
    <row r="1851" spans="1:18" x14ac:dyDescent="0.35">
      <c r="A1851" t="s">
        <v>15124</v>
      </c>
      <c r="D1851" t="s">
        <v>5000</v>
      </c>
      <c r="E1851" t="s">
        <v>43</v>
      </c>
      <c r="I1851" s="26">
        <v>40909</v>
      </c>
      <c r="J1851" s="28">
        <v>40909</v>
      </c>
      <c r="Q1851" t="s">
        <v>44683</v>
      </c>
      <c r="R1851" t="s">
        <v>46737</v>
      </c>
    </row>
    <row r="1852" spans="1:18" x14ac:dyDescent="0.35">
      <c r="A1852" t="s">
        <v>15203</v>
      </c>
      <c r="D1852" t="s">
        <v>5219</v>
      </c>
      <c r="E1852" t="s">
        <v>43</v>
      </c>
      <c r="I1852" s="26">
        <v>40909</v>
      </c>
      <c r="J1852" s="28">
        <v>40909</v>
      </c>
      <c r="Q1852" t="s">
        <v>44683</v>
      </c>
      <c r="R1852" t="s">
        <v>46738</v>
      </c>
    </row>
    <row r="1853" spans="1:18" x14ac:dyDescent="0.35">
      <c r="A1853" t="s">
        <v>14933</v>
      </c>
      <c r="D1853" t="s">
        <v>2928</v>
      </c>
      <c r="E1853" t="s">
        <v>43</v>
      </c>
      <c r="I1853" s="26">
        <v>40909</v>
      </c>
      <c r="J1853" s="28">
        <v>40909</v>
      </c>
      <c r="Q1853" t="s">
        <v>44683</v>
      </c>
      <c r="R1853" t="s">
        <v>46739</v>
      </c>
    </row>
    <row r="1854" spans="1:18" x14ac:dyDescent="0.35">
      <c r="A1854" t="s">
        <v>14925</v>
      </c>
      <c r="D1854" t="s">
        <v>2927</v>
      </c>
      <c r="E1854" t="s">
        <v>43</v>
      </c>
      <c r="I1854" s="26">
        <v>40909</v>
      </c>
      <c r="J1854" s="28">
        <v>40909</v>
      </c>
      <c r="Q1854" t="s">
        <v>44683</v>
      </c>
      <c r="R1854" t="s">
        <v>46740</v>
      </c>
    </row>
    <row r="1855" spans="1:18" x14ac:dyDescent="0.35">
      <c r="A1855" t="s">
        <v>15130</v>
      </c>
      <c r="D1855" t="s">
        <v>5002</v>
      </c>
      <c r="E1855" t="s">
        <v>43</v>
      </c>
      <c r="I1855" s="26">
        <v>40909</v>
      </c>
      <c r="J1855" s="28">
        <v>40909</v>
      </c>
      <c r="Q1855" t="s">
        <v>44683</v>
      </c>
      <c r="R1855" t="s">
        <v>46741</v>
      </c>
    </row>
    <row r="1856" spans="1:18" x14ac:dyDescent="0.35">
      <c r="A1856" t="s">
        <v>15128</v>
      </c>
      <c r="D1856" t="s">
        <v>5001</v>
      </c>
      <c r="E1856" t="s">
        <v>43</v>
      </c>
      <c r="I1856" s="26">
        <v>40909</v>
      </c>
      <c r="J1856" s="28">
        <v>40909</v>
      </c>
      <c r="Q1856" t="s">
        <v>44683</v>
      </c>
      <c r="R1856" t="s">
        <v>46742</v>
      </c>
    </row>
    <row r="1857" spans="1:18" x14ac:dyDescent="0.35">
      <c r="A1857" t="s">
        <v>15204</v>
      </c>
      <c r="D1857" t="s">
        <v>5219</v>
      </c>
      <c r="E1857" t="s">
        <v>43</v>
      </c>
      <c r="I1857" s="26">
        <v>40909</v>
      </c>
      <c r="J1857" s="28">
        <v>40909</v>
      </c>
      <c r="Q1857" t="s">
        <v>44683</v>
      </c>
      <c r="R1857" t="s">
        <v>46743</v>
      </c>
    </row>
    <row r="1858" spans="1:18" x14ac:dyDescent="0.35">
      <c r="A1858" t="s">
        <v>15008</v>
      </c>
      <c r="D1858" t="s">
        <v>2991</v>
      </c>
      <c r="E1858" t="s">
        <v>43</v>
      </c>
      <c r="I1858" s="26">
        <v>40909</v>
      </c>
      <c r="J1858" s="28">
        <v>40909</v>
      </c>
      <c r="Q1858" t="s">
        <v>44683</v>
      </c>
      <c r="R1858" t="s">
        <v>46744</v>
      </c>
    </row>
    <row r="1859" spans="1:18" x14ac:dyDescent="0.35">
      <c r="A1859" t="s">
        <v>15205</v>
      </c>
      <c r="D1859" t="s">
        <v>5219</v>
      </c>
      <c r="E1859" t="s">
        <v>43</v>
      </c>
      <c r="I1859" s="26">
        <v>40909</v>
      </c>
      <c r="J1859" s="28">
        <v>40909</v>
      </c>
      <c r="Q1859" t="s">
        <v>44683</v>
      </c>
      <c r="R1859" t="s">
        <v>46745</v>
      </c>
    </row>
    <row r="1860" spans="1:18" x14ac:dyDescent="0.35">
      <c r="A1860" t="s">
        <v>15206</v>
      </c>
      <c r="D1860" t="s">
        <v>5219</v>
      </c>
      <c r="E1860" t="s">
        <v>43</v>
      </c>
      <c r="I1860" s="26">
        <v>40909</v>
      </c>
      <c r="J1860" s="28">
        <v>40909</v>
      </c>
      <c r="Q1860" t="s">
        <v>44683</v>
      </c>
      <c r="R1860" t="s">
        <v>46746</v>
      </c>
    </row>
    <row r="1861" spans="1:18" x14ac:dyDescent="0.35">
      <c r="A1861" t="s">
        <v>14296</v>
      </c>
      <c r="D1861" t="s">
        <v>1743</v>
      </c>
      <c r="E1861" t="s">
        <v>43</v>
      </c>
      <c r="I1861" s="26">
        <v>40909</v>
      </c>
      <c r="J1861" s="28">
        <v>40909</v>
      </c>
      <c r="Q1861" t="s">
        <v>44683</v>
      </c>
      <c r="R1861" t="s">
        <v>46747</v>
      </c>
    </row>
    <row r="1862" spans="1:18" x14ac:dyDescent="0.35">
      <c r="A1862" t="s">
        <v>15207</v>
      </c>
      <c r="D1862" t="s">
        <v>5219</v>
      </c>
      <c r="E1862" t="s">
        <v>43</v>
      </c>
      <c r="I1862" s="26">
        <v>40909</v>
      </c>
      <c r="J1862" s="28">
        <v>40909</v>
      </c>
      <c r="Q1862" t="s">
        <v>44683</v>
      </c>
      <c r="R1862" t="s">
        <v>46748</v>
      </c>
    </row>
    <row r="1863" spans="1:18" x14ac:dyDescent="0.35">
      <c r="A1863" t="s">
        <v>46749</v>
      </c>
      <c r="D1863" t="s">
        <v>1940</v>
      </c>
      <c r="E1863" t="s">
        <v>43</v>
      </c>
      <c r="I1863" s="26">
        <v>40909</v>
      </c>
      <c r="J1863" s="28">
        <v>40909</v>
      </c>
      <c r="Q1863" t="s">
        <v>44683</v>
      </c>
      <c r="R1863" t="s">
        <v>46750</v>
      </c>
    </row>
    <row r="1864" spans="1:18" x14ac:dyDescent="0.35">
      <c r="A1864" t="s">
        <v>15131</v>
      </c>
      <c r="D1864" t="s">
        <v>5002</v>
      </c>
      <c r="E1864" t="s">
        <v>43</v>
      </c>
      <c r="I1864" s="26">
        <v>40909</v>
      </c>
      <c r="J1864" s="28">
        <v>40909</v>
      </c>
      <c r="Q1864" t="s">
        <v>44683</v>
      </c>
      <c r="R1864" t="s">
        <v>46751</v>
      </c>
    </row>
    <row r="1865" spans="1:18" x14ac:dyDescent="0.35">
      <c r="A1865" t="s">
        <v>15208</v>
      </c>
      <c r="D1865" t="s">
        <v>5219</v>
      </c>
      <c r="E1865" t="s">
        <v>43</v>
      </c>
      <c r="I1865" s="26">
        <v>40909</v>
      </c>
      <c r="J1865" s="28">
        <v>40909</v>
      </c>
      <c r="Q1865" t="s">
        <v>44683</v>
      </c>
      <c r="R1865" t="s">
        <v>46752</v>
      </c>
    </row>
    <row r="1866" spans="1:18" x14ac:dyDescent="0.35">
      <c r="A1866" t="s">
        <v>15021</v>
      </c>
      <c r="D1866" t="s">
        <v>2991</v>
      </c>
      <c r="E1866" t="s">
        <v>43</v>
      </c>
      <c r="I1866" s="26">
        <v>40909</v>
      </c>
      <c r="J1866" s="28">
        <v>40909</v>
      </c>
      <c r="Q1866" t="s">
        <v>44683</v>
      </c>
      <c r="R1866" t="s">
        <v>46753</v>
      </c>
    </row>
    <row r="1867" spans="1:18" x14ac:dyDescent="0.35">
      <c r="A1867" t="s">
        <v>15209</v>
      </c>
      <c r="D1867" t="s">
        <v>5219</v>
      </c>
      <c r="E1867" t="s">
        <v>43</v>
      </c>
      <c r="I1867" s="26">
        <v>40909</v>
      </c>
      <c r="J1867" s="28">
        <v>40909</v>
      </c>
      <c r="Q1867" t="s">
        <v>44683</v>
      </c>
      <c r="R1867" t="s">
        <v>46754</v>
      </c>
    </row>
    <row r="1868" spans="1:18" x14ac:dyDescent="0.35">
      <c r="A1868" t="s">
        <v>14297</v>
      </c>
      <c r="D1868" t="s">
        <v>1743</v>
      </c>
      <c r="E1868" t="s">
        <v>43</v>
      </c>
      <c r="I1868" s="26">
        <v>40909</v>
      </c>
      <c r="J1868" s="28">
        <v>40909</v>
      </c>
      <c r="Q1868" t="s">
        <v>44683</v>
      </c>
      <c r="R1868" t="s">
        <v>46755</v>
      </c>
    </row>
    <row r="1869" spans="1:18" x14ac:dyDescent="0.35">
      <c r="A1869" t="s">
        <v>15022</v>
      </c>
      <c r="D1869" t="s">
        <v>2991</v>
      </c>
      <c r="E1869" t="s">
        <v>43</v>
      </c>
      <c r="I1869" s="26">
        <v>40909</v>
      </c>
      <c r="J1869" s="28">
        <v>40909</v>
      </c>
      <c r="Q1869" t="s">
        <v>44683</v>
      </c>
      <c r="R1869" t="s">
        <v>46756</v>
      </c>
    </row>
    <row r="1870" spans="1:18" x14ac:dyDescent="0.35">
      <c r="A1870" t="s">
        <v>14298</v>
      </c>
      <c r="D1870" t="s">
        <v>1743</v>
      </c>
      <c r="E1870" t="s">
        <v>43</v>
      </c>
      <c r="I1870" s="26">
        <v>40909</v>
      </c>
      <c r="J1870" s="28">
        <v>40909</v>
      </c>
      <c r="Q1870" t="s">
        <v>44683</v>
      </c>
      <c r="R1870" t="s">
        <v>46757</v>
      </c>
    </row>
    <row r="1871" spans="1:18" x14ac:dyDescent="0.35">
      <c r="A1871" t="s">
        <v>14948</v>
      </c>
      <c r="D1871" t="s">
        <v>2932</v>
      </c>
      <c r="E1871" t="s">
        <v>43</v>
      </c>
      <c r="I1871" s="26">
        <v>40909</v>
      </c>
      <c r="J1871" s="28">
        <v>40909</v>
      </c>
      <c r="Q1871" t="s">
        <v>44683</v>
      </c>
      <c r="R1871" t="s">
        <v>46758</v>
      </c>
    </row>
    <row r="1872" spans="1:18" x14ac:dyDescent="0.35">
      <c r="A1872" t="s">
        <v>15132</v>
      </c>
      <c r="D1872" t="s">
        <v>5002</v>
      </c>
      <c r="E1872" t="s">
        <v>43</v>
      </c>
      <c r="I1872" s="26">
        <v>40909</v>
      </c>
      <c r="J1872" s="28">
        <v>40909</v>
      </c>
      <c r="Q1872" t="s">
        <v>44683</v>
      </c>
      <c r="R1872" t="s">
        <v>46759</v>
      </c>
    </row>
    <row r="1873" spans="1:18" x14ac:dyDescent="0.35">
      <c r="A1873" t="s">
        <v>15125</v>
      </c>
      <c r="D1873" t="s">
        <v>5000</v>
      </c>
      <c r="E1873" t="s">
        <v>43</v>
      </c>
      <c r="I1873" s="26">
        <v>40909</v>
      </c>
      <c r="J1873" s="28">
        <v>40909</v>
      </c>
      <c r="Q1873" t="s">
        <v>44683</v>
      </c>
      <c r="R1873" t="s">
        <v>46760</v>
      </c>
    </row>
    <row r="1874" spans="1:18" x14ac:dyDescent="0.35">
      <c r="A1874" t="s">
        <v>14391</v>
      </c>
      <c r="D1874" t="s">
        <v>1951</v>
      </c>
      <c r="E1874" t="s">
        <v>43</v>
      </c>
      <c r="I1874" s="26">
        <v>41275</v>
      </c>
      <c r="J1874" s="28">
        <v>41275</v>
      </c>
      <c r="Q1874" t="s">
        <v>44683</v>
      </c>
      <c r="R1874" t="s">
        <v>46761</v>
      </c>
    </row>
    <row r="1875" spans="1:18" x14ac:dyDescent="0.35">
      <c r="A1875" t="s">
        <v>15009</v>
      </c>
      <c r="D1875" t="s">
        <v>2991</v>
      </c>
      <c r="E1875" t="s">
        <v>43</v>
      </c>
      <c r="I1875" s="26">
        <v>40909</v>
      </c>
      <c r="J1875" s="28">
        <v>40909</v>
      </c>
      <c r="Q1875" t="s">
        <v>44683</v>
      </c>
      <c r="R1875" t="s">
        <v>46762</v>
      </c>
    </row>
    <row r="1876" spans="1:18" x14ac:dyDescent="0.35">
      <c r="A1876" t="s">
        <v>15024</v>
      </c>
      <c r="D1876" t="s">
        <v>2991</v>
      </c>
      <c r="E1876" t="s">
        <v>43</v>
      </c>
      <c r="I1876" s="26">
        <v>40909</v>
      </c>
      <c r="J1876" s="28">
        <v>40909</v>
      </c>
      <c r="Q1876" t="s">
        <v>44683</v>
      </c>
      <c r="R1876" t="s">
        <v>46763</v>
      </c>
    </row>
    <row r="1877" spans="1:18" x14ac:dyDescent="0.35">
      <c r="A1877" t="s">
        <v>15010</v>
      </c>
      <c r="D1877" t="s">
        <v>2991</v>
      </c>
      <c r="E1877" t="s">
        <v>43</v>
      </c>
      <c r="I1877" s="26">
        <v>40909</v>
      </c>
      <c r="J1877" s="28">
        <v>40909</v>
      </c>
      <c r="Q1877" t="s">
        <v>44683</v>
      </c>
      <c r="R1877" t="s">
        <v>46764</v>
      </c>
    </row>
    <row r="1878" spans="1:18" x14ac:dyDescent="0.35">
      <c r="A1878" t="s">
        <v>14094</v>
      </c>
      <c r="D1878" t="s">
        <v>774</v>
      </c>
      <c r="E1878" t="s">
        <v>43</v>
      </c>
      <c r="I1878" s="26">
        <v>40909</v>
      </c>
      <c r="J1878" s="28">
        <v>40909</v>
      </c>
      <c r="Q1878" t="s">
        <v>44683</v>
      </c>
      <c r="R1878" t="s">
        <v>46765</v>
      </c>
    </row>
    <row r="1879" spans="1:18" x14ac:dyDescent="0.35">
      <c r="A1879" t="s">
        <v>15210</v>
      </c>
      <c r="D1879" t="s">
        <v>5219</v>
      </c>
      <c r="E1879" t="s">
        <v>43</v>
      </c>
      <c r="I1879" s="26">
        <v>40909</v>
      </c>
      <c r="J1879" s="28">
        <v>40909</v>
      </c>
      <c r="Q1879" t="s">
        <v>44683</v>
      </c>
      <c r="R1879" t="s">
        <v>46766</v>
      </c>
    </row>
    <row r="1880" spans="1:18" x14ac:dyDescent="0.35">
      <c r="A1880" t="s">
        <v>15133</v>
      </c>
      <c r="D1880" t="s">
        <v>5002</v>
      </c>
      <c r="E1880" t="s">
        <v>43</v>
      </c>
      <c r="I1880" s="26">
        <v>40909</v>
      </c>
      <c r="J1880" s="28">
        <v>40909</v>
      </c>
      <c r="Q1880" t="s">
        <v>44683</v>
      </c>
      <c r="R1880" t="s">
        <v>46767</v>
      </c>
    </row>
    <row r="1881" spans="1:18" x14ac:dyDescent="0.35">
      <c r="A1881" t="s">
        <v>15211</v>
      </c>
      <c r="D1881" t="s">
        <v>5219</v>
      </c>
      <c r="E1881" t="s">
        <v>43</v>
      </c>
      <c r="I1881" s="26">
        <v>40909</v>
      </c>
      <c r="J1881" s="28">
        <v>40909</v>
      </c>
      <c r="Q1881" t="s">
        <v>44683</v>
      </c>
      <c r="R1881" t="s">
        <v>46768</v>
      </c>
    </row>
    <row r="1882" spans="1:18" x14ac:dyDescent="0.35">
      <c r="A1882" t="s">
        <v>14942</v>
      </c>
      <c r="D1882" t="s">
        <v>2930</v>
      </c>
      <c r="E1882" t="s">
        <v>43</v>
      </c>
      <c r="I1882" s="26">
        <v>40909</v>
      </c>
      <c r="J1882" s="28">
        <v>40909</v>
      </c>
      <c r="Q1882" t="s">
        <v>44683</v>
      </c>
      <c r="R1882" t="s">
        <v>46769</v>
      </c>
    </row>
    <row r="1883" spans="1:18" x14ac:dyDescent="0.35">
      <c r="A1883" t="s">
        <v>15011</v>
      </c>
      <c r="D1883" t="s">
        <v>2991</v>
      </c>
      <c r="E1883" t="s">
        <v>43</v>
      </c>
      <c r="I1883" s="26">
        <v>40909</v>
      </c>
      <c r="J1883" s="28">
        <v>40909</v>
      </c>
      <c r="Q1883" t="s">
        <v>44683</v>
      </c>
      <c r="R1883" t="s">
        <v>46770</v>
      </c>
    </row>
    <row r="1884" spans="1:18" x14ac:dyDescent="0.35">
      <c r="A1884" t="s">
        <v>15212</v>
      </c>
      <c r="D1884" t="s">
        <v>5219</v>
      </c>
      <c r="E1884" t="s">
        <v>43</v>
      </c>
      <c r="I1884" s="26">
        <v>40909</v>
      </c>
      <c r="J1884" s="28">
        <v>40909</v>
      </c>
      <c r="Q1884" t="s">
        <v>44683</v>
      </c>
      <c r="R1884" t="s">
        <v>46771</v>
      </c>
    </row>
    <row r="1885" spans="1:18" x14ac:dyDescent="0.35">
      <c r="A1885" t="s">
        <v>46772</v>
      </c>
      <c r="D1885" t="s">
        <v>1941</v>
      </c>
      <c r="E1885" t="s">
        <v>43</v>
      </c>
      <c r="I1885" s="26">
        <v>40909</v>
      </c>
      <c r="J1885" s="28">
        <v>40909</v>
      </c>
      <c r="Q1885" t="s">
        <v>44683</v>
      </c>
      <c r="R1885" t="s">
        <v>46773</v>
      </c>
    </row>
    <row r="1886" spans="1:18" x14ac:dyDescent="0.35">
      <c r="A1886" t="s">
        <v>14302</v>
      </c>
      <c r="D1886" t="s">
        <v>1743</v>
      </c>
      <c r="E1886" t="s">
        <v>43</v>
      </c>
      <c r="I1886" s="26">
        <v>40909</v>
      </c>
      <c r="J1886" s="28">
        <v>40909</v>
      </c>
      <c r="Q1886" t="s">
        <v>44683</v>
      </c>
      <c r="R1886" t="s">
        <v>46774</v>
      </c>
    </row>
    <row r="1887" spans="1:18" x14ac:dyDescent="0.35">
      <c r="A1887" t="s">
        <v>46775</v>
      </c>
      <c r="D1887" t="s">
        <v>1944</v>
      </c>
      <c r="E1887" t="s">
        <v>43</v>
      </c>
      <c r="I1887" s="26">
        <v>40909</v>
      </c>
      <c r="J1887" s="28">
        <v>40909</v>
      </c>
      <c r="Q1887" t="s">
        <v>44683</v>
      </c>
      <c r="R1887" t="s">
        <v>46776</v>
      </c>
    </row>
    <row r="1888" spans="1:18" x14ac:dyDescent="0.35">
      <c r="A1888" t="s">
        <v>14397</v>
      </c>
      <c r="D1888" t="s">
        <v>1951</v>
      </c>
      <c r="E1888" t="s">
        <v>43</v>
      </c>
      <c r="I1888" s="26">
        <v>41275</v>
      </c>
      <c r="J1888" s="28">
        <v>41275</v>
      </c>
      <c r="Q1888" t="s">
        <v>44683</v>
      </c>
      <c r="R1888" t="s">
        <v>46777</v>
      </c>
    </row>
    <row r="1889" spans="1:18" x14ac:dyDescent="0.35">
      <c r="A1889" t="s">
        <v>14303</v>
      </c>
      <c r="D1889" t="s">
        <v>1743</v>
      </c>
      <c r="E1889" t="s">
        <v>43</v>
      </c>
      <c r="I1889" s="26">
        <v>40909</v>
      </c>
      <c r="J1889" s="28">
        <v>40909</v>
      </c>
      <c r="Q1889" t="s">
        <v>44683</v>
      </c>
      <c r="R1889" t="s">
        <v>46778</v>
      </c>
    </row>
    <row r="1890" spans="1:18" x14ac:dyDescent="0.35">
      <c r="A1890" t="s">
        <v>14581</v>
      </c>
      <c r="D1890" t="s">
        <v>1944</v>
      </c>
      <c r="E1890" t="s">
        <v>43</v>
      </c>
      <c r="I1890" s="26">
        <v>40909</v>
      </c>
      <c r="J1890" s="28">
        <v>40909</v>
      </c>
      <c r="Q1890" t="s">
        <v>44683</v>
      </c>
      <c r="R1890" t="s">
        <v>46779</v>
      </c>
    </row>
    <row r="1891" spans="1:18" x14ac:dyDescent="0.35">
      <c r="A1891" t="s">
        <v>14935</v>
      </c>
      <c r="D1891" t="s">
        <v>2928</v>
      </c>
      <c r="E1891" t="s">
        <v>43</v>
      </c>
      <c r="I1891" s="26">
        <v>40909</v>
      </c>
      <c r="J1891" s="28">
        <v>40909</v>
      </c>
      <c r="Q1891" t="s">
        <v>44683</v>
      </c>
      <c r="R1891" t="s">
        <v>46780</v>
      </c>
    </row>
    <row r="1892" spans="1:18" x14ac:dyDescent="0.35">
      <c r="A1892" t="s">
        <v>14911</v>
      </c>
      <c r="D1892" t="s">
        <v>2925</v>
      </c>
      <c r="E1892" t="s">
        <v>43</v>
      </c>
      <c r="I1892" s="26">
        <v>40909</v>
      </c>
      <c r="J1892" s="28">
        <v>40909</v>
      </c>
      <c r="Q1892" t="s">
        <v>44683</v>
      </c>
      <c r="R1892" t="s">
        <v>46781</v>
      </c>
    </row>
    <row r="1893" spans="1:18" x14ac:dyDescent="0.35">
      <c r="A1893" t="s">
        <v>16007</v>
      </c>
      <c r="D1893" t="s">
        <v>7066</v>
      </c>
      <c r="E1893" t="s">
        <v>43</v>
      </c>
      <c r="I1893" s="26">
        <v>40909</v>
      </c>
      <c r="J1893" s="28">
        <v>40909</v>
      </c>
      <c r="Q1893" t="s">
        <v>44683</v>
      </c>
      <c r="R1893" t="s">
        <v>46782</v>
      </c>
    </row>
    <row r="1894" spans="1:18" x14ac:dyDescent="0.35">
      <c r="A1894" t="s">
        <v>14401</v>
      </c>
      <c r="D1894" t="s">
        <v>1951</v>
      </c>
      <c r="E1894" t="s">
        <v>43</v>
      </c>
      <c r="I1894" s="26">
        <v>41275</v>
      </c>
      <c r="J1894" s="28">
        <v>41275</v>
      </c>
      <c r="Q1894" t="s">
        <v>44683</v>
      </c>
      <c r="R1894" t="s">
        <v>46783</v>
      </c>
    </row>
    <row r="1895" spans="1:18" x14ac:dyDescent="0.35">
      <c r="A1895" t="s">
        <v>14560</v>
      </c>
      <c r="D1895" t="s">
        <v>1942</v>
      </c>
      <c r="E1895" t="s">
        <v>43</v>
      </c>
      <c r="I1895" s="26">
        <v>40909</v>
      </c>
      <c r="J1895" s="28">
        <v>40909</v>
      </c>
      <c r="Q1895" t="s">
        <v>44683</v>
      </c>
      <c r="R1895" t="s">
        <v>46784</v>
      </c>
    </row>
    <row r="1896" spans="1:18" x14ac:dyDescent="0.35">
      <c r="A1896" t="s">
        <v>16483</v>
      </c>
      <c r="D1896" t="s">
        <v>7301</v>
      </c>
      <c r="E1896" t="s">
        <v>43</v>
      </c>
      <c r="I1896" s="26">
        <v>40909</v>
      </c>
      <c r="J1896" s="28">
        <v>40909</v>
      </c>
      <c r="Q1896" t="s">
        <v>44683</v>
      </c>
      <c r="R1896" t="s">
        <v>46785</v>
      </c>
    </row>
    <row r="1897" spans="1:18" x14ac:dyDescent="0.35">
      <c r="A1897" t="s">
        <v>14577</v>
      </c>
      <c r="D1897" t="s">
        <v>1943</v>
      </c>
      <c r="E1897" t="s">
        <v>43</v>
      </c>
      <c r="I1897" s="26">
        <v>40909</v>
      </c>
      <c r="J1897" s="28">
        <v>40909</v>
      </c>
      <c r="Q1897" t="s">
        <v>44683</v>
      </c>
      <c r="R1897" t="s">
        <v>46786</v>
      </c>
    </row>
    <row r="1898" spans="1:18" x14ac:dyDescent="0.35">
      <c r="A1898" t="s">
        <v>14949</v>
      </c>
      <c r="D1898" t="s">
        <v>2932</v>
      </c>
      <c r="E1898" t="s">
        <v>43</v>
      </c>
      <c r="I1898" s="26">
        <v>40909</v>
      </c>
      <c r="J1898" s="28">
        <v>40909</v>
      </c>
      <c r="Q1898" t="s">
        <v>44683</v>
      </c>
      <c r="R1898" t="s">
        <v>46787</v>
      </c>
    </row>
    <row r="1899" spans="1:18" x14ac:dyDescent="0.35">
      <c r="A1899" t="s">
        <v>14915</v>
      </c>
      <c r="D1899" t="s">
        <v>2926</v>
      </c>
      <c r="E1899" t="s">
        <v>43</v>
      </c>
      <c r="I1899" s="26">
        <v>40909</v>
      </c>
      <c r="J1899" s="28">
        <v>40909</v>
      </c>
      <c r="Q1899" t="s">
        <v>44683</v>
      </c>
      <c r="R1899" t="s">
        <v>46788</v>
      </c>
    </row>
    <row r="1900" spans="1:18" x14ac:dyDescent="0.35">
      <c r="A1900" t="s">
        <v>15028</v>
      </c>
      <c r="D1900" t="s">
        <v>2991</v>
      </c>
      <c r="E1900" t="s">
        <v>43</v>
      </c>
      <c r="I1900" s="26">
        <v>40909</v>
      </c>
      <c r="J1900" s="28">
        <v>40909</v>
      </c>
      <c r="Q1900" t="s">
        <v>44683</v>
      </c>
      <c r="R1900" t="s">
        <v>46789</v>
      </c>
    </row>
    <row r="1901" spans="1:18" x14ac:dyDescent="0.35">
      <c r="A1901" t="s">
        <v>15029</v>
      </c>
      <c r="D1901" t="s">
        <v>2991</v>
      </c>
      <c r="E1901" t="s">
        <v>43</v>
      </c>
      <c r="I1901" s="26">
        <v>40909</v>
      </c>
      <c r="J1901" s="28">
        <v>40909</v>
      </c>
      <c r="Q1901" t="s">
        <v>44683</v>
      </c>
      <c r="R1901" t="s">
        <v>46790</v>
      </c>
    </row>
    <row r="1902" spans="1:18" x14ac:dyDescent="0.35">
      <c r="A1902" t="s">
        <v>14912</v>
      </c>
      <c r="D1902" t="s">
        <v>2925</v>
      </c>
      <c r="E1902" t="s">
        <v>43</v>
      </c>
      <c r="I1902" s="26">
        <v>40909</v>
      </c>
      <c r="J1902" s="28">
        <v>40909</v>
      </c>
      <c r="Q1902" t="s">
        <v>44683</v>
      </c>
      <c r="R1902" t="s">
        <v>46791</v>
      </c>
    </row>
    <row r="1903" spans="1:18" x14ac:dyDescent="0.35">
      <c r="A1903" t="s">
        <v>14931</v>
      </c>
      <c r="D1903" t="s">
        <v>2928</v>
      </c>
      <c r="E1903" t="s">
        <v>43</v>
      </c>
      <c r="I1903" s="26">
        <v>40909</v>
      </c>
      <c r="J1903" s="28">
        <v>40909</v>
      </c>
      <c r="Q1903" t="s">
        <v>44683</v>
      </c>
      <c r="R1903" t="s">
        <v>46792</v>
      </c>
    </row>
    <row r="1904" spans="1:18" x14ac:dyDescent="0.35">
      <c r="A1904" t="s">
        <v>14554</v>
      </c>
      <c r="D1904" t="s">
        <v>1938</v>
      </c>
      <c r="E1904" t="s">
        <v>43</v>
      </c>
      <c r="I1904" s="26">
        <v>40909</v>
      </c>
      <c r="J1904" s="28">
        <v>40909</v>
      </c>
      <c r="Q1904" t="s">
        <v>44683</v>
      </c>
      <c r="R1904" t="s">
        <v>46793</v>
      </c>
    </row>
    <row r="1905" spans="1:18" x14ac:dyDescent="0.35">
      <c r="A1905" t="s">
        <v>46794</v>
      </c>
      <c r="D1905" t="s">
        <v>1939</v>
      </c>
      <c r="E1905" t="s">
        <v>43</v>
      </c>
      <c r="I1905" s="26">
        <v>40909</v>
      </c>
      <c r="J1905" s="28">
        <v>40909</v>
      </c>
      <c r="Q1905" t="s">
        <v>44683</v>
      </c>
      <c r="R1905" t="s">
        <v>46795</v>
      </c>
    </row>
    <row r="1906" spans="1:18" x14ac:dyDescent="0.35">
      <c r="A1906" t="s">
        <v>15012</v>
      </c>
      <c r="D1906" t="s">
        <v>2991</v>
      </c>
      <c r="E1906" t="s">
        <v>43</v>
      </c>
      <c r="I1906" s="26">
        <v>40909</v>
      </c>
      <c r="J1906" s="28">
        <v>40909</v>
      </c>
      <c r="Q1906" t="s">
        <v>44683</v>
      </c>
      <c r="R1906" t="s">
        <v>46796</v>
      </c>
    </row>
    <row r="1907" spans="1:18" x14ac:dyDescent="0.35">
      <c r="A1907" t="s">
        <v>15030</v>
      </c>
      <c r="D1907" t="s">
        <v>2991</v>
      </c>
      <c r="E1907" t="s">
        <v>43</v>
      </c>
      <c r="I1907" s="26">
        <v>40909</v>
      </c>
      <c r="J1907" s="28">
        <v>40909</v>
      </c>
      <c r="Q1907" t="s">
        <v>44683</v>
      </c>
      <c r="R1907" t="s">
        <v>46797</v>
      </c>
    </row>
    <row r="1908" spans="1:18" x14ac:dyDescent="0.35">
      <c r="A1908" t="s">
        <v>14567</v>
      </c>
      <c r="D1908" t="s">
        <v>1942</v>
      </c>
      <c r="E1908" t="s">
        <v>43</v>
      </c>
      <c r="I1908" s="26">
        <v>40909</v>
      </c>
      <c r="J1908" s="28">
        <v>40909</v>
      </c>
      <c r="Q1908" t="s">
        <v>44683</v>
      </c>
      <c r="R1908" t="s">
        <v>46798</v>
      </c>
    </row>
    <row r="1909" spans="1:18" x14ac:dyDescent="0.35">
      <c r="A1909" t="s">
        <v>14921</v>
      </c>
      <c r="D1909" t="s">
        <v>2926</v>
      </c>
      <c r="E1909" t="s">
        <v>43</v>
      </c>
      <c r="I1909" s="26">
        <v>40909</v>
      </c>
      <c r="J1909" s="28">
        <v>40909</v>
      </c>
      <c r="Q1909" t="s">
        <v>44683</v>
      </c>
      <c r="R1909" t="s">
        <v>46799</v>
      </c>
    </row>
    <row r="1910" spans="1:18" x14ac:dyDescent="0.35">
      <c r="A1910" t="s">
        <v>14555</v>
      </c>
      <c r="D1910" t="s">
        <v>1938</v>
      </c>
      <c r="E1910" t="s">
        <v>43</v>
      </c>
      <c r="I1910" s="26">
        <v>40909</v>
      </c>
      <c r="J1910" s="28">
        <v>40909</v>
      </c>
      <c r="Q1910" t="s">
        <v>44683</v>
      </c>
      <c r="R1910" t="s">
        <v>46800</v>
      </c>
    </row>
    <row r="1911" spans="1:18" x14ac:dyDescent="0.35">
      <c r="A1911" t="s">
        <v>46801</v>
      </c>
      <c r="D1911" t="s">
        <v>1942</v>
      </c>
      <c r="E1911" t="s">
        <v>43</v>
      </c>
      <c r="I1911" s="26">
        <v>40909</v>
      </c>
      <c r="J1911" s="28">
        <v>40909</v>
      </c>
      <c r="Q1911" t="s">
        <v>44683</v>
      </c>
      <c r="R1911" t="s">
        <v>46802</v>
      </c>
    </row>
    <row r="1912" spans="1:18" x14ac:dyDescent="0.35">
      <c r="A1912" t="s">
        <v>14568</v>
      </c>
      <c r="D1912" t="s">
        <v>1942</v>
      </c>
      <c r="E1912" t="s">
        <v>43</v>
      </c>
      <c r="I1912" s="26">
        <v>40909</v>
      </c>
      <c r="J1912" s="28">
        <v>40909</v>
      </c>
      <c r="Q1912" t="s">
        <v>44683</v>
      </c>
      <c r="R1912" t="s">
        <v>46803</v>
      </c>
    </row>
    <row r="1913" spans="1:18" x14ac:dyDescent="0.35">
      <c r="A1913" t="s">
        <v>14944</v>
      </c>
      <c r="D1913" t="s">
        <v>2931</v>
      </c>
      <c r="E1913" t="s">
        <v>43</v>
      </c>
      <c r="I1913" s="26">
        <v>40909</v>
      </c>
      <c r="J1913" s="28">
        <v>40909</v>
      </c>
      <c r="Q1913" t="s">
        <v>44683</v>
      </c>
      <c r="R1913" t="s">
        <v>46804</v>
      </c>
    </row>
    <row r="1914" spans="1:18" x14ac:dyDescent="0.35">
      <c r="A1914" t="s">
        <v>14287</v>
      </c>
      <c r="D1914" t="s">
        <v>1743</v>
      </c>
      <c r="E1914" t="s">
        <v>43</v>
      </c>
      <c r="I1914" s="26">
        <v>40909</v>
      </c>
      <c r="J1914" s="28">
        <v>40909</v>
      </c>
      <c r="Q1914" t="s">
        <v>44683</v>
      </c>
      <c r="R1914" t="s">
        <v>46805</v>
      </c>
    </row>
    <row r="1915" spans="1:18" x14ac:dyDescent="0.35">
      <c r="A1915" t="s">
        <v>15014</v>
      </c>
      <c r="D1915" t="s">
        <v>2991</v>
      </c>
      <c r="E1915" t="s">
        <v>43</v>
      </c>
      <c r="I1915" s="26">
        <v>40909</v>
      </c>
      <c r="J1915" s="28">
        <v>40909</v>
      </c>
      <c r="Q1915" t="s">
        <v>44683</v>
      </c>
      <c r="R1915" t="s">
        <v>46806</v>
      </c>
    </row>
    <row r="1916" spans="1:18" x14ac:dyDescent="0.35">
      <c r="A1916" t="s">
        <v>14937</v>
      </c>
      <c r="D1916" t="s">
        <v>2929</v>
      </c>
      <c r="E1916" t="s">
        <v>43</v>
      </c>
      <c r="I1916" s="26">
        <v>40909</v>
      </c>
      <c r="J1916" s="28">
        <v>40909</v>
      </c>
      <c r="Q1916" t="s">
        <v>44683</v>
      </c>
      <c r="R1916" t="s">
        <v>46807</v>
      </c>
    </row>
    <row r="1917" spans="1:18" x14ac:dyDescent="0.35">
      <c r="A1917" t="s">
        <v>14092</v>
      </c>
      <c r="D1917" t="s">
        <v>774</v>
      </c>
      <c r="E1917" t="s">
        <v>43</v>
      </c>
      <c r="I1917" s="26">
        <v>40909</v>
      </c>
      <c r="J1917" s="28">
        <v>40909</v>
      </c>
      <c r="Q1917" t="s">
        <v>44683</v>
      </c>
      <c r="R1917" t="s">
        <v>46808</v>
      </c>
    </row>
    <row r="1918" spans="1:18" x14ac:dyDescent="0.35">
      <c r="A1918" t="s">
        <v>14842</v>
      </c>
      <c r="D1918" t="s">
        <v>2711</v>
      </c>
      <c r="E1918" t="s">
        <v>43</v>
      </c>
      <c r="I1918" s="26">
        <v>40909</v>
      </c>
      <c r="J1918" s="28">
        <v>40909</v>
      </c>
      <c r="Q1918" t="s">
        <v>44683</v>
      </c>
      <c r="R1918" t="s">
        <v>46809</v>
      </c>
    </row>
    <row r="1919" spans="1:18" x14ac:dyDescent="0.35">
      <c r="A1919" t="s">
        <v>14916</v>
      </c>
      <c r="D1919" t="s">
        <v>2926</v>
      </c>
      <c r="E1919" t="s">
        <v>43</v>
      </c>
      <c r="I1919" s="26">
        <v>40909</v>
      </c>
      <c r="J1919" s="28">
        <v>40909</v>
      </c>
      <c r="Q1919" t="s">
        <v>44683</v>
      </c>
      <c r="R1919" t="s">
        <v>46810</v>
      </c>
    </row>
    <row r="1920" spans="1:18" x14ac:dyDescent="0.35">
      <c r="A1920" t="s">
        <v>15015</v>
      </c>
      <c r="D1920" t="s">
        <v>2991</v>
      </c>
      <c r="E1920" t="s">
        <v>43</v>
      </c>
      <c r="I1920" s="26">
        <v>40909</v>
      </c>
      <c r="J1920" s="28">
        <v>40909</v>
      </c>
      <c r="Q1920" t="s">
        <v>44683</v>
      </c>
      <c r="R1920" t="s">
        <v>46811</v>
      </c>
    </row>
    <row r="1921" spans="1:18" x14ac:dyDescent="0.35">
      <c r="A1921" t="s">
        <v>15016</v>
      </c>
      <c r="D1921" t="s">
        <v>2991</v>
      </c>
      <c r="E1921" t="s">
        <v>43</v>
      </c>
      <c r="I1921" s="26">
        <v>40909</v>
      </c>
      <c r="J1921" s="28">
        <v>40909</v>
      </c>
      <c r="Q1921" t="s">
        <v>44683</v>
      </c>
      <c r="R1921" t="s">
        <v>46812</v>
      </c>
    </row>
    <row r="1922" spans="1:18" x14ac:dyDescent="0.35">
      <c r="A1922" t="s">
        <v>14578</v>
      </c>
      <c r="D1922" t="s">
        <v>1943</v>
      </c>
      <c r="E1922" t="s">
        <v>43</v>
      </c>
      <c r="I1922" s="26">
        <v>40909</v>
      </c>
      <c r="J1922" s="28">
        <v>40909</v>
      </c>
      <c r="Q1922" t="s">
        <v>44683</v>
      </c>
      <c r="R1922" t="s">
        <v>46813</v>
      </c>
    </row>
    <row r="1923" spans="1:18" x14ac:dyDescent="0.35">
      <c r="A1923" t="s">
        <v>14904</v>
      </c>
      <c r="D1923" t="s">
        <v>2924</v>
      </c>
      <c r="E1923" t="s">
        <v>43</v>
      </c>
      <c r="I1923" s="26">
        <v>40909</v>
      </c>
      <c r="J1923" s="28">
        <v>40909</v>
      </c>
      <c r="Q1923" t="s">
        <v>44683</v>
      </c>
      <c r="R1923" t="s">
        <v>46814</v>
      </c>
    </row>
    <row r="1924" spans="1:18" x14ac:dyDescent="0.35">
      <c r="A1924" t="s">
        <v>14928</v>
      </c>
      <c r="D1924" t="s">
        <v>2927</v>
      </c>
      <c r="E1924" t="s">
        <v>43</v>
      </c>
      <c r="I1924" s="26">
        <v>40909</v>
      </c>
      <c r="J1924" s="28">
        <v>40909</v>
      </c>
      <c r="Q1924" t="s">
        <v>44683</v>
      </c>
      <c r="R1924" t="s">
        <v>46815</v>
      </c>
    </row>
    <row r="1925" spans="1:18" x14ac:dyDescent="0.35">
      <c r="A1925" t="s">
        <v>14938</v>
      </c>
      <c r="D1925" t="s">
        <v>2929</v>
      </c>
      <c r="E1925" t="s">
        <v>43</v>
      </c>
      <c r="I1925" s="26">
        <v>40909</v>
      </c>
      <c r="J1925" s="28">
        <v>40909</v>
      </c>
      <c r="Q1925" t="s">
        <v>44683</v>
      </c>
      <c r="R1925" t="s">
        <v>46816</v>
      </c>
    </row>
    <row r="1926" spans="1:18" x14ac:dyDescent="0.35">
      <c r="A1926" t="s">
        <v>15031</v>
      </c>
      <c r="D1926" t="s">
        <v>2991</v>
      </c>
      <c r="E1926" t="s">
        <v>43</v>
      </c>
      <c r="I1926" s="26">
        <v>40909</v>
      </c>
      <c r="J1926" s="28">
        <v>40909</v>
      </c>
      <c r="Q1926" t="s">
        <v>44683</v>
      </c>
      <c r="R1926" t="s">
        <v>46817</v>
      </c>
    </row>
    <row r="1927" spans="1:18" x14ac:dyDescent="0.35">
      <c r="A1927" t="s">
        <v>46818</v>
      </c>
      <c r="D1927" t="s">
        <v>2991</v>
      </c>
      <c r="E1927" t="s">
        <v>43</v>
      </c>
      <c r="I1927" s="26">
        <v>40909</v>
      </c>
      <c r="J1927" s="28">
        <v>40909</v>
      </c>
      <c r="Q1927" t="s">
        <v>44683</v>
      </c>
      <c r="R1927" t="s">
        <v>46819</v>
      </c>
    </row>
    <row r="1928" spans="1:18" x14ac:dyDescent="0.35">
      <c r="A1928" t="s">
        <v>14909</v>
      </c>
      <c r="D1928" t="s">
        <v>2925</v>
      </c>
      <c r="E1928" t="s">
        <v>43</v>
      </c>
      <c r="I1928" s="26">
        <v>40909</v>
      </c>
      <c r="J1928" s="28">
        <v>40909</v>
      </c>
      <c r="Q1928" t="s">
        <v>44683</v>
      </c>
      <c r="R1928" t="s">
        <v>46820</v>
      </c>
    </row>
    <row r="1929" spans="1:18" x14ac:dyDescent="0.35">
      <c r="A1929" t="s">
        <v>46821</v>
      </c>
      <c r="D1929" t="s">
        <v>2991</v>
      </c>
      <c r="E1929" t="s">
        <v>43</v>
      </c>
      <c r="I1929" s="26">
        <v>40909</v>
      </c>
      <c r="J1929" s="28">
        <v>40909</v>
      </c>
      <c r="Q1929" t="s">
        <v>44683</v>
      </c>
      <c r="R1929" t="s">
        <v>46822</v>
      </c>
    </row>
    <row r="1930" spans="1:18" x14ac:dyDescent="0.35">
      <c r="A1930" t="s">
        <v>46823</v>
      </c>
      <c r="D1930" t="s">
        <v>2991</v>
      </c>
      <c r="E1930" t="s">
        <v>43</v>
      </c>
      <c r="I1930" s="26">
        <v>40909</v>
      </c>
      <c r="J1930" s="28">
        <v>40909</v>
      </c>
      <c r="Q1930" t="s">
        <v>44683</v>
      </c>
      <c r="R1930" t="s">
        <v>46824</v>
      </c>
    </row>
    <row r="1931" spans="1:18" x14ac:dyDescent="0.35">
      <c r="A1931" t="s">
        <v>46825</v>
      </c>
      <c r="D1931" t="s">
        <v>2991</v>
      </c>
      <c r="E1931" t="s">
        <v>43</v>
      </c>
      <c r="I1931" s="26">
        <v>40909</v>
      </c>
      <c r="J1931" s="28">
        <v>40909</v>
      </c>
      <c r="Q1931" t="s">
        <v>44683</v>
      </c>
      <c r="R1931" t="s">
        <v>46826</v>
      </c>
    </row>
    <row r="1932" spans="1:18" x14ac:dyDescent="0.35">
      <c r="A1932" t="s">
        <v>46827</v>
      </c>
      <c r="D1932" t="s">
        <v>1940</v>
      </c>
      <c r="E1932" t="s">
        <v>43</v>
      </c>
      <c r="I1932" s="26">
        <v>40909</v>
      </c>
      <c r="J1932" s="28">
        <v>40909</v>
      </c>
      <c r="Q1932" t="s">
        <v>44683</v>
      </c>
      <c r="R1932" t="s">
        <v>46828</v>
      </c>
    </row>
    <row r="1933" spans="1:18" x14ac:dyDescent="0.35">
      <c r="A1933" t="s">
        <v>14023</v>
      </c>
      <c r="C1933" t="s">
        <v>46829</v>
      </c>
      <c r="D1933" t="s">
        <v>63</v>
      </c>
      <c r="E1933" t="s">
        <v>43</v>
      </c>
      <c r="I1933" s="26">
        <v>40909</v>
      </c>
      <c r="J1933" s="28">
        <v>40909</v>
      </c>
      <c r="Q1933" t="s">
        <v>44683</v>
      </c>
      <c r="R1933" t="s">
        <v>46830</v>
      </c>
    </row>
    <row r="1934" spans="1:18" x14ac:dyDescent="0.35">
      <c r="A1934" t="s">
        <v>16643</v>
      </c>
      <c r="D1934" t="s">
        <v>7401</v>
      </c>
      <c r="E1934" t="s">
        <v>43</v>
      </c>
      <c r="I1934" s="26">
        <v>40909</v>
      </c>
      <c r="J1934" s="28">
        <v>40909</v>
      </c>
      <c r="Q1934" t="s">
        <v>44683</v>
      </c>
      <c r="R1934" t="s">
        <v>46831</v>
      </c>
    </row>
    <row r="1935" spans="1:18" x14ac:dyDescent="0.35">
      <c r="A1935" t="s">
        <v>14906</v>
      </c>
      <c r="D1935" t="s">
        <v>2924</v>
      </c>
      <c r="E1935" t="s">
        <v>43</v>
      </c>
      <c r="I1935" s="26">
        <v>40909</v>
      </c>
      <c r="J1935" s="28">
        <v>40909</v>
      </c>
      <c r="Q1935" t="s">
        <v>44683</v>
      </c>
      <c r="R1935" t="s">
        <v>46832</v>
      </c>
    </row>
    <row r="1936" spans="1:18" x14ac:dyDescent="0.35">
      <c r="A1936" t="s">
        <v>14561</v>
      </c>
      <c r="D1936" t="s">
        <v>1942</v>
      </c>
      <c r="E1936" t="s">
        <v>43</v>
      </c>
      <c r="I1936" s="26">
        <v>40909</v>
      </c>
      <c r="J1936" s="28">
        <v>40909</v>
      </c>
      <c r="Q1936" t="s">
        <v>44683</v>
      </c>
      <c r="R1936" t="s">
        <v>46833</v>
      </c>
    </row>
    <row r="1937" spans="1:18" x14ac:dyDescent="0.35">
      <c r="A1937" t="s">
        <v>14305</v>
      </c>
      <c r="D1937" t="s">
        <v>1743</v>
      </c>
      <c r="E1937" t="s">
        <v>43</v>
      </c>
      <c r="I1937" s="26">
        <v>40909</v>
      </c>
      <c r="J1937" s="28">
        <v>40909</v>
      </c>
      <c r="Q1937" t="s">
        <v>44683</v>
      </c>
      <c r="R1937" t="s">
        <v>46834</v>
      </c>
    </row>
    <row r="1938" spans="1:18" x14ac:dyDescent="0.35">
      <c r="A1938" t="s">
        <v>14929</v>
      </c>
      <c r="D1938" t="s">
        <v>2927</v>
      </c>
      <c r="E1938" t="s">
        <v>43</v>
      </c>
      <c r="I1938" s="26">
        <v>40909</v>
      </c>
      <c r="J1938" s="28">
        <v>40909</v>
      </c>
      <c r="Q1938" t="s">
        <v>44683</v>
      </c>
      <c r="R1938" t="s">
        <v>46835</v>
      </c>
    </row>
    <row r="1939" spans="1:18" x14ac:dyDescent="0.35">
      <c r="A1939" t="s">
        <v>14556</v>
      </c>
      <c r="D1939" t="s">
        <v>1938</v>
      </c>
      <c r="E1939" t="s">
        <v>43</v>
      </c>
      <c r="I1939" s="26">
        <v>40909</v>
      </c>
      <c r="J1939" s="28">
        <v>40909</v>
      </c>
      <c r="Q1939" t="s">
        <v>44683</v>
      </c>
      <c r="R1939" t="s">
        <v>46836</v>
      </c>
    </row>
    <row r="1940" spans="1:18" x14ac:dyDescent="0.35">
      <c r="A1940" t="s">
        <v>14292</v>
      </c>
      <c r="D1940" t="s">
        <v>1743</v>
      </c>
      <c r="E1940" t="s">
        <v>43</v>
      </c>
      <c r="I1940" s="26">
        <v>40909</v>
      </c>
      <c r="J1940" s="28">
        <v>40909</v>
      </c>
      <c r="Q1940" t="s">
        <v>44683</v>
      </c>
      <c r="R1940" t="s">
        <v>46837</v>
      </c>
    </row>
    <row r="1941" spans="1:18" x14ac:dyDescent="0.35">
      <c r="A1941" t="s">
        <v>14945</v>
      </c>
      <c r="D1941" t="s">
        <v>2931</v>
      </c>
      <c r="E1941" t="s">
        <v>43</v>
      </c>
      <c r="I1941" s="26">
        <v>40909</v>
      </c>
      <c r="J1941" s="28">
        <v>40909</v>
      </c>
      <c r="Q1941" t="s">
        <v>44683</v>
      </c>
      <c r="R1941" t="s">
        <v>46838</v>
      </c>
    </row>
    <row r="1942" spans="1:18" x14ac:dyDescent="0.35">
      <c r="A1942" t="s">
        <v>14580</v>
      </c>
      <c r="D1942" t="s">
        <v>1944</v>
      </c>
      <c r="E1942" t="s">
        <v>43</v>
      </c>
      <c r="I1942" s="26">
        <v>40909</v>
      </c>
      <c r="J1942" s="28">
        <v>40909</v>
      </c>
      <c r="Q1942" t="s">
        <v>44683</v>
      </c>
      <c r="R1942" t="s">
        <v>46839</v>
      </c>
    </row>
    <row r="1943" spans="1:18" x14ac:dyDescent="0.35">
      <c r="A1943" t="s">
        <v>46840</v>
      </c>
      <c r="D1943" t="s">
        <v>1937</v>
      </c>
      <c r="E1943" t="s">
        <v>43</v>
      </c>
      <c r="I1943" s="26">
        <v>40909</v>
      </c>
      <c r="J1943" s="28">
        <v>40909</v>
      </c>
      <c r="Q1943" t="s">
        <v>44683</v>
      </c>
      <c r="R1943" t="s">
        <v>46841</v>
      </c>
    </row>
    <row r="1944" spans="1:18" x14ac:dyDescent="0.35">
      <c r="A1944" t="s">
        <v>14907</v>
      </c>
      <c r="D1944" t="s">
        <v>2924</v>
      </c>
      <c r="E1944" t="s">
        <v>43</v>
      </c>
      <c r="I1944" s="26">
        <v>40909</v>
      </c>
      <c r="J1944" s="28">
        <v>40909</v>
      </c>
      <c r="Q1944" t="s">
        <v>44683</v>
      </c>
      <c r="R1944" t="s">
        <v>46842</v>
      </c>
    </row>
    <row r="1945" spans="1:18" x14ac:dyDescent="0.35">
      <c r="A1945" t="s">
        <v>14306</v>
      </c>
      <c r="D1945" t="s">
        <v>1743</v>
      </c>
      <c r="E1945" t="s">
        <v>43</v>
      </c>
      <c r="I1945" s="26">
        <v>40909</v>
      </c>
      <c r="J1945" s="28">
        <v>40909</v>
      </c>
      <c r="Q1945" t="s">
        <v>44683</v>
      </c>
      <c r="R1945" t="s">
        <v>46843</v>
      </c>
    </row>
    <row r="1946" spans="1:18" x14ac:dyDescent="0.35">
      <c r="A1946" t="s">
        <v>15032</v>
      </c>
      <c r="D1946" t="s">
        <v>2991</v>
      </c>
      <c r="E1946" t="s">
        <v>43</v>
      </c>
      <c r="I1946" s="26">
        <v>40909</v>
      </c>
      <c r="J1946" s="28">
        <v>40909</v>
      </c>
      <c r="Q1946" t="s">
        <v>44683</v>
      </c>
      <c r="R1946" t="s">
        <v>46844</v>
      </c>
    </row>
    <row r="1947" spans="1:18" x14ac:dyDescent="0.35">
      <c r="A1947" t="s">
        <v>14307</v>
      </c>
      <c r="D1947" t="s">
        <v>1743</v>
      </c>
      <c r="E1947" t="s">
        <v>43</v>
      </c>
      <c r="I1947" s="26">
        <v>40909</v>
      </c>
      <c r="J1947" s="28">
        <v>40909</v>
      </c>
      <c r="Q1947" t="s">
        <v>44683</v>
      </c>
      <c r="R1947" t="s">
        <v>46845</v>
      </c>
    </row>
    <row r="1948" spans="1:18" x14ac:dyDescent="0.35">
      <c r="A1948" t="s">
        <v>14930</v>
      </c>
      <c r="D1948" t="s">
        <v>2927</v>
      </c>
      <c r="E1948" t="s">
        <v>43</v>
      </c>
      <c r="I1948" s="26">
        <v>40909</v>
      </c>
      <c r="J1948" s="28">
        <v>40909</v>
      </c>
      <c r="Q1948" t="s">
        <v>44683</v>
      </c>
      <c r="R1948" t="s">
        <v>46846</v>
      </c>
    </row>
    <row r="1949" spans="1:18" x14ac:dyDescent="0.35">
      <c r="A1949" t="s">
        <v>14908</v>
      </c>
      <c r="D1949" t="s">
        <v>2924</v>
      </c>
      <c r="E1949" t="s">
        <v>43</v>
      </c>
      <c r="I1949" s="26">
        <v>40909</v>
      </c>
      <c r="J1949" s="28">
        <v>40909</v>
      </c>
      <c r="Q1949" t="s">
        <v>44683</v>
      </c>
      <c r="R1949" t="s">
        <v>46847</v>
      </c>
    </row>
    <row r="1950" spans="1:18" x14ac:dyDescent="0.35">
      <c r="A1950" t="s">
        <v>14946</v>
      </c>
      <c r="D1950" t="s">
        <v>2931</v>
      </c>
      <c r="E1950" t="s">
        <v>43</v>
      </c>
      <c r="I1950" s="26">
        <v>40909</v>
      </c>
      <c r="J1950" s="28">
        <v>40909</v>
      </c>
      <c r="Q1950" t="s">
        <v>44683</v>
      </c>
      <c r="R1950" t="s">
        <v>46848</v>
      </c>
    </row>
    <row r="1951" spans="1:18" x14ac:dyDescent="0.35">
      <c r="A1951" t="s">
        <v>14926</v>
      </c>
      <c r="D1951" t="s">
        <v>2927</v>
      </c>
      <c r="E1951" t="s">
        <v>43</v>
      </c>
      <c r="I1951" s="26">
        <v>40909</v>
      </c>
      <c r="J1951" s="28">
        <v>40909</v>
      </c>
      <c r="Q1951" t="s">
        <v>44683</v>
      </c>
      <c r="R1951" t="s">
        <v>46849</v>
      </c>
    </row>
    <row r="1952" spans="1:18" x14ac:dyDescent="0.35">
      <c r="A1952" t="s">
        <v>14093</v>
      </c>
      <c r="D1952" t="s">
        <v>774</v>
      </c>
      <c r="E1952" t="s">
        <v>43</v>
      </c>
      <c r="I1952" s="26">
        <v>40909</v>
      </c>
      <c r="J1952" s="28">
        <v>40909</v>
      </c>
      <c r="Q1952" t="s">
        <v>44683</v>
      </c>
      <c r="R1952" t="s">
        <v>46850</v>
      </c>
    </row>
    <row r="1953" spans="1:18" x14ac:dyDescent="0.35">
      <c r="A1953" t="s">
        <v>14294</v>
      </c>
      <c r="D1953" t="s">
        <v>1743</v>
      </c>
      <c r="E1953" t="s">
        <v>43</v>
      </c>
      <c r="I1953" s="26">
        <v>40909</v>
      </c>
      <c r="J1953" s="28">
        <v>40909</v>
      </c>
      <c r="Q1953" t="s">
        <v>44683</v>
      </c>
      <c r="R1953" t="s">
        <v>46851</v>
      </c>
    </row>
    <row r="1954" spans="1:18" x14ac:dyDescent="0.35">
      <c r="A1954" t="s">
        <v>14918</v>
      </c>
      <c r="D1954" t="s">
        <v>2926</v>
      </c>
      <c r="E1954" t="s">
        <v>43</v>
      </c>
      <c r="I1954" s="26">
        <v>40909</v>
      </c>
      <c r="J1954" s="28">
        <v>40909</v>
      </c>
      <c r="Q1954" t="s">
        <v>44683</v>
      </c>
      <c r="R1954" t="s">
        <v>46852</v>
      </c>
    </row>
    <row r="1955" spans="1:18" x14ac:dyDescent="0.35">
      <c r="A1955" t="s">
        <v>14295</v>
      </c>
      <c r="D1955" t="s">
        <v>1743</v>
      </c>
      <c r="E1955" t="s">
        <v>43</v>
      </c>
      <c r="I1955" s="26">
        <v>40909</v>
      </c>
      <c r="J1955" s="28">
        <v>40909</v>
      </c>
      <c r="Q1955" t="s">
        <v>44683</v>
      </c>
      <c r="R1955" t="s">
        <v>46853</v>
      </c>
    </row>
    <row r="1956" spans="1:18" x14ac:dyDescent="0.35">
      <c r="A1956" t="s">
        <v>14569</v>
      </c>
      <c r="D1956" t="s">
        <v>1942</v>
      </c>
      <c r="E1956" t="s">
        <v>43</v>
      </c>
      <c r="I1956" s="26">
        <v>40909</v>
      </c>
      <c r="J1956" s="28">
        <v>40909</v>
      </c>
      <c r="Q1956" t="s">
        <v>44683</v>
      </c>
      <c r="R1956" t="s">
        <v>46854</v>
      </c>
    </row>
    <row r="1957" spans="1:18" x14ac:dyDescent="0.35">
      <c r="A1957" t="s">
        <v>14562</v>
      </c>
      <c r="D1957" t="s">
        <v>1942</v>
      </c>
      <c r="E1957" t="s">
        <v>43</v>
      </c>
      <c r="I1957" s="26">
        <v>40909</v>
      </c>
      <c r="J1957" s="28">
        <v>40909</v>
      </c>
      <c r="Q1957" t="s">
        <v>44683</v>
      </c>
      <c r="R1957" t="s">
        <v>46855</v>
      </c>
    </row>
    <row r="1958" spans="1:18" x14ac:dyDescent="0.35">
      <c r="A1958" t="s">
        <v>14913</v>
      </c>
      <c r="D1958" t="s">
        <v>2925</v>
      </c>
      <c r="E1958" t="s">
        <v>43</v>
      </c>
      <c r="I1958" s="26">
        <v>40909</v>
      </c>
      <c r="J1958" s="28">
        <v>40909</v>
      </c>
      <c r="Q1958" t="s">
        <v>44683</v>
      </c>
      <c r="R1958" t="s">
        <v>46856</v>
      </c>
    </row>
    <row r="1959" spans="1:18" x14ac:dyDescent="0.35">
      <c r="A1959" t="s">
        <v>15020</v>
      </c>
      <c r="D1959" t="s">
        <v>2991</v>
      </c>
      <c r="E1959" t="s">
        <v>43</v>
      </c>
      <c r="I1959" s="26">
        <v>40909</v>
      </c>
      <c r="J1959" s="28">
        <v>40909</v>
      </c>
      <c r="Q1959" t="s">
        <v>44683</v>
      </c>
      <c r="R1959" t="s">
        <v>46857</v>
      </c>
    </row>
    <row r="1960" spans="1:18" x14ac:dyDescent="0.35">
      <c r="A1960" t="s">
        <v>14934</v>
      </c>
      <c r="D1960" t="s">
        <v>2928</v>
      </c>
      <c r="E1960" t="s">
        <v>43</v>
      </c>
      <c r="I1960" s="26">
        <v>40909</v>
      </c>
      <c r="J1960" s="28">
        <v>40909</v>
      </c>
      <c r="Q1960" t="s">
        <v>44683</v>
      </c>
      <c r="R1960" t="s">
        <v>46858</v>
      </c>
    </row>
    <row r="1961" spans="1:18" x14ac:dyDescent="0.35">
      <c r="A1961" t="s">
        <v>46859</v>
      </c>
      <c r="D1961" t="s">
        <v>2991</v>
      </c>
      <c r="E1961" t="s">
        <v>43</v>
      </c>
      <c r="I1961" s="26">
        <v>40909</v>
      </c>
      <c r="J1961" s="28">
        <v>40909</v>
      </c>
      <c r="Q1961" t="s">
        <v>44683</v>
      </c>
      <c r="R1961" t="s">
        <v>46860</v>
      </c>
    </row>
    <row r="1962" spans="1:18" x14ac:dyDescent="0.35">
      <c r="A1962" t="s">
        <v>46861</v>
      </c>
      <c r="D1962" t="s">
        <v>2991</v>
      </c>
      <c r="E1962" t="s">
        <v>43</v>
      </c>
      <c r="I1962" s="26">
        <v>40909</v>
      </c>
      <c r="J1962" s="28">
        <v>40909</v>
      </c>
      <c r="Q1962" t="s">
        <v>44683</v>
      </c>
      <c r="R1962" t="s">
        <v>46862</v>
      </c>
    </row>
    <row r="1963" spans="1:18" x14ac:dyDescent="0.35">
      <c r="A1963" t="s">
        <v>46863</v>
      </c>
      <c r="D1963" t="s">
        <v>2991</v>
      </c>
      <c r="E1963" t="s">
        <v>43</v>
      </c>
      <c r="I1963" s="26">
        <v>40909</v>
      </c>
      <c r="J1963" s="28">
        <v>40909</v>
      </c>
      <c r="Q1963" t="s">
        <v>44683</v>
      </c>
      <c r="R1963" t="s">
        <v>46864</v>
      </c>
    </row>
    <row r="1964" spans="1:18" x14ac:dyDescent="0.35">
      <c r="A1964" t="s">
        <v>14299</v>
      </c>
      <c r="D1964" t="s">
        <v>1743</v>
      </c>
      <c r="E1964" t="s">
        <v>43</v>
      </c>
      <c r="I1964" s="26">
        <v>40909</v>
      </c>
      <c r="J1964" s="28">
        <v>40909</v>
      </c>
      <c r="Q1964" t="s">
        <v>44683</v>
      </c>
      <c r="R1964" t="s">
        <v>46865</v>
      </c>
    </row>
    <row r="1965" spans="1:18" x14ac:dyDescent="0.35">
      <c r="A1965" t="s">
        <v>14300</v>
      </c>
      <c r="D1965" t="s">
        <v>1743</v>
      </c>
      <c r="E1965" t="s">
        <v>43</v>
      </c>
      <c r="I1965" s="26">
        <v>40909</v>
      </c>
      <c r="J1965" s="28">
        <v>40909</v>
      </c>
      <c r="Q1965" t="s">
        <v>44683</v>
      </c>
      <c r="R1965" t="s">
        <v>46866</v>
      </c>
    </row>
    <row r="1966" spans="1:18" x14ac:dyDescent="0.35">
      <c r="A1966" t="s">
        <v>15023</v>
      </c>
      <c r="D1966" t="s">
        <v>2991</v>
      </c>
      <c r="E1966" t="s">
        <v>43</v>
      </c>
      <c r="I1966" s="26">
        <v>40909</v>
      </c>
      <c r="J1966" s="28">
        <v>40909</v>
      </c>
      <c r="Q1966" t="s">
        <v>44683</v>
      </c>
      <c r="R1966" t="s">
        <v>46867</v>
      </c>
    </row>
    <row r="1967" spans="1:18" x14ac:dyDescent="0.35">
      <c r="A1967" t="s">
        <v>14575</v>
      </c>
      <c r="D1967" t="s">
        <v>1943</v>
      </c>
      <c r="E1967" t="s">
        <v>43</v>
      </c>
      <c r="I1967" s="26">
        <v>40909</v>
      </c>
      <c r="J1967" s="28">
        <v>40909</v>
      </c>
      <c r="Q1967" t="s">
        <v>44683</v>
      </c>
      <c r="R1967" t="s">
        <v>46868</v>
      </c>
    </row>
    <row r="1968" spans="1:18" x14ac:dyDescent="0.35">
      <c r="A1968" t="s">
        <v>14947</v>
      </c>
      <c r="D1968" t="s">
        <v>2931</v>
      </c>
      <c r="E1968" t="s">
        <v>43</v>
      </c>
      <c r="I1968" s="26">
        <v>40909</v>
      </c>
      <c r="J1968" s="28">
        <v>40909</v>
      </c>
      <c r="Q1968" t="s">
        <v>44683</v>
      </c>
      <c r="R1968" t="s">
        <v>46869</v>
      </c>
    </row>
    <row r="1969" spans="1:18" x14ac:dyDescent="0.35">
      <c r="A1969" t="s">
        <v>15033</v>
      </c>
      <c r="D1969" t="s">
        <v>2991</v>
      </c>
      <c r="E1969" t="s">
        <v>43</v>
      </c>
      <c r="I1969" s="26">
        <v>40909</v>
      </c>
      <c r="J1969" s="28">
        <v>40909</v>
      </c>
      <c r="Q1969" t="s">
        <v>44683</v>
      </c>
      <c r="R1969" t="s">
        <v>46870</v>
      </c>
    </row>
    <row r="1970" spans="1:18" x14ac:dyDescent="0.35">
      <c r="A1970" t="s">
        <v>14943</v>
      </c>
      <c r="D1970" t="s">
        <v>2930</v>
      </c>
      <c r="E1970" t="s">
        <v>43</v>
      </c>
      <c r="I1970" s="26">
        <v>40909</v>
      </c>
      <c r="J1970" s="28">
        <v>40909</v>
      </c>
      <c r="Q1970" t="s">
        <v>44683</v>
      </c>
      <c r="R1970" t="s">
        <v>46871</v>
      </c>
    </row>
    <row r="1971" spans="1:18" x14ac:dyDescent="0.35">
      <c r="A1971" t="s">
        <v>14914</v>
      </c>
      <c r="D1971" t="s">
        <v>2925</v>
      </c>
      <c r="E1971" t="s">
        <v>43</v>
      </c>
      <c r="I1971" s="26">
        <v>40909</v>
      </c>
      <c r="J1971" s="28">
        <v>40909</v>
      </c>
      <c r="Q1971" t="s">
        <v>44683</v>
      </c>
      <c r="R1971" t="s">
        <v>46872</v>
      </c>
    </row>
    <row r="1972" spans="1:18" x14ac:dyDescent="0.35">
      <c r="A1972" t="s">
        <v>14919</v>
      </c>
      <c r="D1972" t="s">
        <v>2926</v>
      </c>
      <c r="E1972" t="s">
        <v>43</v>
      </c>
      <c r="I1972" s="26">
        <v>40909</v>
      </c>
      <c r="J1972" s="28">
        <v>40909</v>
      </c>
      <c r="Q1972" t="s">
        <v>44683</v>
      </c>
      <c r="R1972" t="s">
        <v>46873</v>
      </c>
    </row>
    <row r="1973" spans="1:18" x14ac:dyDescent="0.35">
      <c r="A1973" t="s">
        <v>46874</v>
      </c>
      <c r="D1973" t="s">
        <v>1945</v>
      </c>
      <c r="E1973" t="s">
        <v>43</v>
      </c>
      <c r="I1973" s="26">
        <v>40909</v>
      </c>
      <c r="J1973" s="28">
        <v>40909</v>
      </c>
      <c r="Q1973" t="s">
        <v>44683</v>
      </c>
      <c r="R1973" t="s">
        <v>46875</v>
      </c>
    </row>
    <row r="1974" spans="1:18" x14ac:dyDescent="0.35">
      <c r="A1974" t="s">
        <v>14301</v>
      </c>
      <c r="D1974" t="s">
        <v>1743</v>
      </c>
      <c r="E1974" t="s">
        <v>43</v>
      </c>
      <c r="I1974" s="26">
        <v>40909</v>
      </c>
      <c r="J1974" s="28">
        <v>40909</v>
      </c>
      <c r="Q1974" t="s">
        <v>44683</v>
      </c>
      <c r="R1974" t="s">
        <v>46876</v>
      </c>
    </row>
    <row r="1975" spans="1:18" x14ac:dyDescent="0.35">
      <c r="A1975" t="s">
        <v>14563</v>
      </c>
      <c r="D1975" t="s">
        <v>1942</v>
      </c>
      <c r="E1975" t="s">
        <v>43</v>
      </c>
      <c r="I1975" s="26">
        <v>40909</v>
      </c>
      <c r="J1975" s="28">
        <v>40909</v>
      </c>
      <c r="Q1975" t="s">
        <v>44683</v>
      </c>
      <c r="R1975" t="s">
        <v>46877</v>
      </c>
    </row>
    <row r="1976" spans="1:18" x14ac:dyDescent="0.35">
      <c r="A1976" t="s">
        <v>14564</v>
      </c>
      <c r="D1976" t="s">
        <v>1942</v>
      </c>
      <c r="E1976" t="s">
        <v>43</v>
      </c>
      <c r="I1976" s="26">
        <v>40909</v>
      </c>
      <c r="J1976" s="28">
        <v>40909</v>
      </c>
      <c r="Q1976" t="s">
        <v>44683</v>
      </c>
      <c r="R1976" t="s">
        <v>46878</v>
      </c>
    </row>
    <row r="1977" spans="1:18" x14ac:dyDescent="0.35">
      <c r="A1977" t="s">
        <v>15025</v>
      </c>
      <c r="D1977" t="s">
        <v>2991</v>
      </c>
      <c r="E1977" t="s">
        <v>43</v>
      </c>
      <c r="I1977" s="26">
        <v>40909</v>
      </c>
      <c r="J1977" s="28">
        <v>40909</v>
      </c>
      <c r="Q1977" t="s">
        <v>44683</v>
      </c>
      <c r="R1977" t="s">
        <v>46879</v>
      </c>
    </row>
    <row r="1978" spans="1:18" x14ac:dyDescent="0.35">
      <c r="A1978" t="s">
        <v>15034</v>
      </c>
      <c r="D1978" t="s">
        <v>2991</v>
      </c>
      <c r="E1978" t="s">
        <v>43</v>
      </c>
      <c r="I1978" s="26">
        <v>40909</v>
      </c>
      <c r="J1978" s="28">
        <v>40909</v>
      </c>
      <c r="Q1978" t="s">
        <v>44683</v>
      </c>
      <c r="R1978" t="s">
        <v>46880</v>
      </c>
    </row>
    <row r="1979" spans="1:18" x14ac:dyDescent="0.35">
      <c r="A1979" t="s">
        <v>46881</v>
      </c>
      <c r="D1979" t="s">
        <v>2991</v>
      </c>
      <c r="E1979" t="s">
        <v>43</v>
      </c>
      <c r="I1979" s="26">
        <v>40909</v>
      </c>
      <c r="J1979" s="28">
        <v>40909</v>
      </c>
      <c r="Q1979" t="s">
        <v>44683</v>
      </c>
      <c r="R1979" t="s">
        <v>46882</v>
      </c>
    </row>
    <row r="1980" spans="1:18" x14ac:dyDescent="0.35">
      <c r="A1980" t="s">
        <v>14570</v>
      </c>
      <c r="D1980" t="s">
        <v>1942</v>
      </c>
      <c r="E1980" t="s">
        <v>43</v>
      </c>
      <c r="I1980" s="26">
        <v>40909</v>
      </c>
      <c r="J1980" s="28">
        <v>40909</v>
      </c>
      <c r="Q1980" t="s">
        <v>44683</v>
      </c>
      <c r="R1980" t="s">
        <v>46883</v>
      </c>
    </row>
    <row r="1981" spans="1:18" x14ac:dyDescent="0.35">
      <c r="A1981" t="s">
        <v>46884</v>
      </c>
      <c r="D1981" t="s">
        <v>1939</v>
      </c>
      <c r="E1981" t="s">
        <v>43</v>
      </c>
      <c r="I1981" s="26">
        <v>40909</v>
      </c>
      <c r="J1981" s="28">
        <v>40909</v>
      </c>
      <c r="Q1981" t="s">
        <v>44683</v>
      </c>
      <c r="R1981" t="s">
        <v>46885</v>
      </c>
    </row>
    <row r="1982" spans="1:18" x14ac:dyDescent="0.35">
      <c r="A1982" t="s">
        <v>14308</v>
      </c>
      <c r="D1982" t="s">
        <v>1743</v>
      </c>
      <c r="E1982" t="s">
        <v>43</v>
      </c>
      <c r="I1982" s="26">
        <v>40909</v>
      </c>
      <c r="J1982" s="28">
        <v>40909</v>
      </c>
      <c r="Q1982" t="s">
        <v>44683</v>
      </c>
      <c r="R1982" t="s">
        <v>46886</v>
      </c>
    </row>
    <row r="1983" spans="1:18" x14ac:dyDescent="0.35">
      <c r="A1983" t="s">
        <v>14927</v>
      </c>
      <c r="D1983" t="s">
        <v>2927</v>
      </c>
      <c r="E1983" t="s">
        <v>43</v>
      </c>
      <c r="I1983" s="26">
        <v>40909</v>
      </c>
      <c r="J1983" s="28">
        <v>40909</v>
      </c>
      <c r="Q1983" t="s">
        <v>44683</v>
      </c>
      <c r="R1983" t="s">
        <v>46887</v>
      </c>
    </row>
    <row r="1984" spans="1:18" x14ac:dyDescent="0.35">
      <c r="A1984" t="s">
        <v>14565</v>
      </c>
      <c r="D1984" t="s">
        <v>1942</v>
      </c>
      <c r="E1984" t="s">
        <v>43</v>
      </c>
      <c r="I1984" s="26">
        <v>40909</v>
      </c>
      <c r="J1984" s="28">
        <v>40909</v>
      </c>
      <c r="Q1984" t="s">
        <v>44683</v>
      </c>
      <c r="R1984" t="s">
        <v>46888</v>
      </c>
    </row>
    <row r="1985" spans="1:18" x14ac:dyDescent="0.35">
      <c r="A1985" t="s">
        <v>14920</v>
      </c>
      <c r="D1985" t="s">
        <v>2926</v>
      </c>
      <c r="E1985" t="s">
        <v>43</v>
      </c>
      <c r="I1985" s="26">
        <v>40909</v>
      </c>
      <c r="J1985" s="28">
        <v>40909</v>
      </c>
      <c r="Q1985" t="s">
        <v>44683</v>
      </c>
      <c r="R1985" t="s">
        <v>46889</v>
      </c>
    </row>
    <row r="1986" spans="1:18" x14ac:dyDescent="0.35">
      <c r="A1986" t="s">
        <v>15126</v>
      </c>
      <c r="D1986" t="s">
        <v>5000</v>
      </c>
      <c r="E1986" t="s">
        <v>43</v>
      </c>
      <c r="I1986" s="26">
        <v>40909</v>
      </c>
      <c r="J1986" s="28">
        <v>40909</v>
      </c>
      <c r="Q1986" t="s">
        <v>44683</v>
      </c>
      <c r="R1986" t="s">
        <v>46890</v>
      </c>
    </row>
    <row r="1987" spans="1:18" x14ac:dyDescent="0.35">
      <c r="A1987" t="s">
        <v>46891</v>
      </c>
      <c r="C1987" t="s">
        <v>46892</v>
      </c>
      <c r="D1987" t="s">
        <v>63</v>
      </c>
      <c r="E1987" t="s">
        <v>43</v>
      </c>
      <c r="I1987" s="26">
        <v>40909</v>
      </c>
      <c r="J1987" s="28">
        <v>40909</v>
      </c>
      <c r="Q1987" t="s">
        <v>44683</v>
      </c>
      <c r="R1987" t="s">
        <v>46893</v>
      </c>
    </row>
    <row r="1988" spans="1:18" x14ac:dyDescent="0.35">
      <c r="A1988" t="s">
        <v>46894</v>
      </c>
      <c r="C1988" t="s">
        <v>46895</v>
      </c>
      <c r="D1988" t="s">
        <v>63</v>
      </c>
      <c r="E1988" t="s">
        <v>43</v>
      </c>
      <c r="I1988" s="26">
        <v>40909</v>
      </c>
      <c r="J1988" s="28">
        <v>40909</v>
      </c>
      <c r="Q1988" t="s">
        <v>44683</v>
      </c>
      <c r="R1988" t="s">
        <v>46896</v>
      </c>
    </row>
    <row r="1989" spans="1:18" x14ac:dyDescent="0.35">
      <c r="A1989" t="s">
        <v>15035</v>
      </c>
      <c r="D1989" t="s">
        <v>2991</v>
      </c>
      <c r="E1989" t="s">
        <v>43</v>
      </c>
      <c r="I1989" s="26">
        <v>40909</v>
      </c>
      <c r="J1989" s="28">
        <v>40909</v>
      </c>
      <c r="Q1989" t="s">
        <v>44683</v>
      </c>
      <c r="R1989" t="s">
        <v>46897</v>
      </c>
    </row>
    <row r="1990" spans="1:18" x14ac:dyDescent="0.35">
      <c r="A1990" t="s">
        <v>15036</v>
      </c>
      <c r="D1990" t="s">
        <v>2991</v>
      </c>
      <c r="E1990" t="s">
        <v>43</v>
      </c>
      <c r="I1990" s="26">
        <v>40909</v>
      </c>
      <c r="J1990" s="28">
        <v>40909</v>
      </c>
      <c r="Q1990" t="s">
        <v>44683</v>
      </c>
      <c r="R1990" t="s">
        <v>46898</v>
      </c>
    </row>
    <row r="1991" spans="1:18" x14ac:dyDescent="0.35">
      <c r="A1991" t="s">
        <v>14095</v>
      </c>
      <c r="D1991" t="s">
        <v>774</v>
      </c>
      <c r="E1991" t="s">
        <v>43</v>
      </c>
      <c r="I1991" s="26">
        <v>40909</v>
      </c>
      <c r="J1991" s="28">
        <v>40909</v>
      </c>
      <c r="Q1991" t="s">
        <v>44683</v>
      </c>
      <c r="R1991" t="s">
        <v>46899</v>
      </c>
    </row>
    <row r="1992" spans="1:18" x14ac:dyDescent="0.35">
      <c r="A1992" t="s">
        <v>14304</v>
      </c>
      <c r="D1992" t="s">
        <v>1743</v>
      </c>
      <c r="E1992" t="s">
        <v>43</v>
      </c>
      <c r="I1992" s="26">
        <v>40909</v>
      </c>
      <c r="J1992" s="28">
        <v>40909</v>
      </c>
      <c r="Q1992" t="s">
        <v>44683</v>
      </c>
      <c r="R1992" t="s">
        <v>46900</v>
      </c>
    </row>
    <row r="1993" spans="1:18" x14ac:dyDescent="0.35">
      <c r="A1993" t="s">
        <v>14576</v>
      </c>
      <c r="D1993" t="s">
        <v>1943</v>
      </c>
      <c r="E1993" t="s">
        <v>43</v>
      </c>
      <c r="I1993" s="26">
        <v>40909</v>
      </c>
      <c r="J1993" s="28">
        <v>40909</v>
      </c>
      <c r="Q1993" t="s">
        <v>44683</v>
      </c>
      <c r="R1993" t="s">
        <v>46901</v>
      </c>
    </row>
    <row r="1994" spans="1:18" x14ac:dyDescent="0.35">
      <c r="A1994" t="s">
        <v>15026</v>
      </c>
      <c r="D1994" t="s">
        <v>2991</v>
      </c>
      <c r="E1994" t="s">
        <v>43</v>
      </c>
      <c r="I1994" s="26">
        <v>40909</v>
      </c>
      <c r="J1994" s="28">
        <v>40909</v>
      </c>
      <c r="Q1994" t="s">
        <v>44683</v>
      </c>
      <c r="R1994" t="s">
        <v>46902</v>
      </c>
    </row>
    <row r="1995" spans="1:18" x14ac:dyDescent="0.35">
      <c r="A1995" t="s">
        <v>14566</v>
      </c>
      <c r="D1995" t="s">
        <v>1942</v>
      </c>
      <c r="E1995" t="s">
        <v>43</v>
      </c>
      <c r="I1995" s="26">
        <v>40909</v>
      </c>
      <c r="J1995" s="28">
        <v>40909</v>
      </c>
      <c r="Q1995" t="s">
        <v>44683</v>
      </c>
      <c r="R1995" t="s">
        <v>46903</v>
      </c>
    </row>
    <row r="1996" spans="1:18" x14ac:dyDescent="0.35">
      <c r="A1996" t="s">
        <v>14940</v>
      </c>
      <c r="D1996" t="s">
        <v>2929</v>
      </c>
      <c r="E1996" t="s">
        <v>43</v>
      </c>
      <c r="I1996" s="26">
        <v>40909</v>
      </c>
      <c r="J1996" s="28">
        <v>40909</v>
      </c>
      <c r="Q1996" t="s">
        <v>44683</v>
      </c>
      <c r="R1996" t="s">
        <v>46904</v>
      </c>
    </row>
    <row r="1997" spans="1:18" x14ac:dyDescent="0.35">
      <c r="A1997" t="s">
        <v>46905</v>
      </c>
      <c r="D1997" t="s">
        <v>1945</v>
      </c>
      <c r="E1997" t="s">
        <v>43</v>
      </c>
      <c r="I1997" s="26">
        <v>40909</v>
      </c>
      <c r="J1997" s="28">
        <v>40909</v>
      </c>
      <c r="Q1997" t="s">
        <v>44683</v>
      </c>
      <c r="R1997" t="s">
        <v>46906</v>
      </c>
    </row>
    <row r="1998" spans="1:18" x14ac:dyDescent="0.35">
      <c r="A1998" t="s">
        <v>46907</v>
      </c>
      <c r="C1998" t="s">
        <v>46908</v>
      </c>
      <c r="D1998" t="s">
        <v>63</v>
      </c>
      <c r="E1998" t="s">
        <v>43</v>
      </c>
      <c r="I1998" s="26">
        <v>40909</v>
      </c>
      <c r="J1998" s="28">
        <v>40909</v>
      </c>
      <c r="Q1998" t="s">
        <v>44683</v>
      </c>
      <c r="R1998" t="s">
        <v>46909</v>
      </c>
    </row>
    <row r="1999" spans="1:18" x14ac:dyDescent="0.35">
      <c r="A1999" t="s">
        <v>15027</v>
      </c>
      <c r="D1999" t="s">
        <v>2991</v>
      </c>
      <c r="E1999" t="s">
        <v>43</v>
      </c>
      <c r="I1999" s="26">
        <v>40909</v>
      </c>
      <c r="J1999" s="28">
        <v>40909</v>
      </c>
      <c r="Q1999" t="s">
        <v>44683</v>
      </c>
      <c r="R1999" t="s">
        <v>46910</v>
      </c>
    </row>
    <row r="2000" spans="1:18" x14ac:dyDescent="0.35">
      <c r="A2000" t="s">
        <v>46911</v>
      </c>
      <c r="C2000" t="s">
        <v>46912</v>
      </c>
      <c r="D2000" t="s">
        <v>63</v>
      </c>
      <c r="E2000" t="s">
        <v>43</v>
      </c>
      <c r="I2000" s="26">
        <v>40909</v>
      </c>
      <c r="J2000" s="28">
        <v>40909</v>
      </c>
      <c r="Q2000" t="s">
        <v>44683</v>
      </c>
      <c r="R2000" t="s">
        <v>46913</v>
      </c>
    </row>
    <row r="2001" spans="1:18" x14ac:dyDescent="0.35">
      <c r="A2001" t="s">
        <v>16644</v>
      </c>
      <c r="D2001" t="s">
        <v>7401</v>
      </c>
      <c r="E2001" t="s">
        <v>43</v>
      </c>
      <c r="I2001" s="26">
        <v>40909</v>
      </c>
      <c r="J2001" s="28">
        <v>40909</v>
      </c>
      <c r="Q2001" t="s">
        <v>44683</v>
      </c>
      <c r="R2001" t="s">
        <v>46914</v>
      </c>
    </row>
    <row r="2002" spans="1:18" x14ac:dyDescent="0.35">
      <c r="A2002" t="s">
        <v>14015</v>
      </c>
      <c r="D2002" t="s">
        <v>54</v>
      </c>
      <c r="E2002" t="s">
        <v>43</v>
      </c>
      <c r="I2002" s="26">
        <v>40909</v>
      </c>
      <c r="J2002" s="28">
        <v>40909</v>
      </c>
      <c r="Q2002" t="s">
        <v>44683</v>
      </c>
      <c r="R2002" t="s">
        <v>46915</v>
      </c>
    </row>
    <row r="2003" spans="1:18" x14ac:dyDescent="0.35">
      <c r="A2003" t="s">
        <v>16311</v>
      </c>
      <c r="C2003" t="s">
        <v>46916</v>
      </c>
      <c r="D2003" t="s">
        <v>7144</v>
      </c>
      <c r="E2003" t="s">
        <v>43</v>
      </c>
      <c r="I2003" s="26">
        <v>40909</v>
      </c>
      <c r="J2003" s="28">
        <v>40909</v>
      </c>
      <c r="Q2003" t="s">
        <v>44683</v>
      </c>
      <c r="R2003" t="s">
        <v>46917</v>
      </c>
    </row>
    <row r="2004" spans="1:18" x14ac:dyDescent="0.35">
      <c r="A2004" t="s">
        <v>16234</v>
      </c>
      <c r="D2004" t="s">
        <v>1800</v>
      </c>
      <c r="E2004" t="s">
        <v>43</v>
      </c>
      <c r="I2004" s="26">
        <v>40909</v>
      </c>
      <c r="J2004" s="28">
        <v>40909</v>
      </c>
      <c r="Q2004" t="s">
        <v>44683</v>
      </c>
      <c r="R2004" t="s">
        <v>46918</v>
      </c>
    </row>
    <row r="2005" spans="1:18" x14ac:dyDescent="0.35">
      <c r="A2005" t="s">
        <v>15428</v>
      </c>
      <c r="D2005" t="s">
        <v>5579</v>
      </c>
      <c r="E2005" t="s">
        <v>43</v>
      </c>
      <c r="I2005" s="26">
        <v>40909</v>
      </c>
      <c r="J2005" s="28">
        <v>40909</v>
      </c>
      <c r="Q2005" t="s">
        <v>44683</v>
      </c>
      <c r="R2005" t="s">
        <v>46919</v>
      </c>
    </row>
    <row r="2006" spans="1:18" x14ac:dyDescent="0.35">
      <c r="A2006" t="s">
        <v>16235</v>
      </c>
      <c r="D2006" t="s">
        <v>1800</v>
      </c>
      <c r="E2006" t="s">
        <v>43</v>
      </c>
      <c r="I2006" s="26">
        <v>40909</v>
      </c>
      <c r="J2006" s="28">
        <v>40909</v>
      </c>
      <c r="Q2006" t="s">
        <v>44683</v>
      </c>
      <c r="R2006" t="s">
        <v>46920</v>
      </c>
    </row>
    <row r="2007" spans="1:18" x14ac:dyDescent="0.35">
      <c r="A2007" t="s">
        <v>15719</v>
      </c>
      <c r="C2007" t="s">
        <v>46921</v>
      </c>
      <c r="D2007" t="s">
        <v>5877</v>
      </c>
      <c r="E2007" t="s">
        <v>43</v>
      </c>
      <c r="I2007" s="26">
        <v>40909</v>
      </c>
      <c r="J2007" s="28">
        <v>40909</v>
      </c>
      <c r="Q2007" t="s">
        <v>44683</v>
      </c>
      <c r="R2007" t="s">
        <v>46922</v>
      </c>
    </row>
    <row r="2008" spans="1:18" x14ac:dyDescent="0.35">
      <c r="A2008" t="s">
        <v>16435</v>
      </c>
      <c r="C2008" t="s">
        <v>46923</v>
      </c>
      <c r="D2008" t="s">
        <v>7245</v>
      </c>
      <c r="E2008" t="s">
        <v>43</v>
      </c>
      <c r="I2008" s="26">
        <v>40909</v>
      </c>
      <c r="J2008" s="28">
        <v>40909</v>
      </c>
      <c r="Q2008" t="s">
        <v>44683</v>
      </c>
      <c r="R2008" t="s">
        <v>46924</v>
      </c>
    </row>
    <row r="2009" spans="1:18" x14ac:dyDescent="0.35">
      <c r="A2009" t="s">
        <v>14636</v>
      </c>
      <c r="D2009" t="s">
        <v>2240</v>
      </c>
      <c r="E2009" t="s">
        <v>43</v>
      </c>
      <c r="I2009" s="26">
        <v>40909</v>
      </c>
      <c r="J2009" s="28">
        <v>40909</v>
      </c>
      <c r="Q2009" t="s">
        <v>44683</v>
      </c>
      <c r="R2009" t="s">
        <v>46925</v>
      </c>
    </row>
    <row r="2010" spans="1:18" x14ac:dyDescent="0.35">
      <c r="A2010" t="s">
        <v>16281</v>
      </c>
      <c r="D2010" t="s">
        <v>5300</v>
      </c>
      <c r="E2010" t="s">
        <v>43</v>
      </c>
      <c r="I2010" s="26">
        <v>40909</v>
      </c>
      <c r="J2010" s="28">
        <v>40909</v>
      </c>
      <c r="Q2010" t="s">
        <v>44683</v>
      </c>
      <c r="R2010" t="s">
        <v>46926</v>
      </c>
    </row>
    <row r="2011" spans="1:18" x14ac:dyDescent="0.35">
      <c r="A2011" t="s">
        <v>15429</v>
      </c>
      <c r="D2011" t="s">
        <v>5579</v>
      </c>
      <c r="E2011" t="s">
        <v>43</v>
      </c>
      <c r="I2011" s="26">
        <v>40909</v>
      </c>
      <c r="J2011" s="28">
        <v>40909</v>
      </c>
      <c r="Q2011" t="s">
        <v>44683</v>
      </c>
      <c r="R2011" t="s">
        <v>46927</v>
      </c>
    </row>
    <row r="2012" spans="1:18" x14ac:dyDescent="0.35">
      <c r="A2012" t="s">
        <v>16653</v>
      </c>
      <c r="E2012" t="s">
        <v>43</v>
      </c>
      <c r="F2012" t="s">
        <v>16654</v>
      </c>
      <c r="I2012" s="26">
        <v>40909</v>
      </c>
      <c r="J2012" s="28">
        <v>40909</v>
      </c>
      <c r="Q2012" t="s">
        <v>44683</v>
      </c>
      <c r="R2012" t="s">
        <v>46928</v>
      </c>
    </row>
    <row r="2013" spans="1:18" x14ac:dyDescent="0.35">
      <c r="A2013" t="s">
        <v>16436</v>
      </c>
      <c r="C2013" t="s">
        <v>46923</v>
      </c>
      <c r="D2013" t="s">
        <v>7245</v>
      </c>
      <c r="E2013" t="s">
        <v>43</v>
      </c>
      <c r="I2013" s="26">
        <v>40909</v>
      </c>
      <c r="J2013" s="28">
        <v>40909</v>
      </c>
      <c r="Q2013" t="s">
        <v>44683</v>
      </c>
      <c r="R2013" t="s">
        <v>46929</v>
      </c>
    </row>
    <row r="2014" spans="1:18" x14ac:dyDescent="0.35">
      <c r="A2014" t="s">
        <v>14785</v>
      </c>
      <c r="C2014" t="s">
        <v>46930</v>
      </c>
      <c r="D2014" t="s">
        <v>2462</v>
      </c>
      <c r="E2014" t="s">
        <v>43</v>
      </c>
      <c r="I2014" s="26">
        <v>40909</v>
      </c>
      <c r="J2014" s="28">
        <v>40909</v>
      </c>
      <c r="Q2014" t="s">
        <v>44683</v>
      </c>
      <c r="R2014" t="s">
        <v>46931</v>
      </c>
    </row>
    <row r="2015" spans="1:18" x14ac:dyDescent="0.35">
      <c r="A2015" t="s">
        <v>15720</v>
      </c>
      <c r="C2015" t="s">
        <v>46921</v>
      </c>
      <c r="D2015" t="s">
        <v>5877</v>
      </c>
      <c r="E2015" t="s">
        <v>43</v>
      </c>
      <c r="I2015" s="26">
        <v>40909</v>
      </c>
      <c r="J2015" s="28">
        <v>40909</v>
      </c>
      <c r="Q2015" t="s">
        <v>44683</v>
      </c>
      <c r="R2015" t="s">
        <v>46932</v>
      </c>
    </row>
    <row r="2016" spans="1:18" x14ac:dyDescent="0.35">
      <c r="A2016" t="s">
        <v>15191</v>
      </c>
      <c r="D2016" t="s">
        <v>5218</v>
      </c>
      <c r="E2016" t="s">
        <v>43</v>
      </c>
      <c r="I2016" s="26">
        <v>40909</v>
      </c>
      <c r="J2016" s="28">
        <v>40909</v>
      </c>
      <c r="Q2016" t="s">
        <v>44683</v>
      </c>
      <c r="R2016" t="s">
        <v>46933</v>
      </c>
    </row>
    <row r="2017" spans="1:18" x14ac:dyDescent="0.35">
      <c r="A2017" t="s">
        <v>15721</v>
      </c>
      <c r="C2017" t="s">
        <v>46934</v>
      </c>
      <c r="D2017" t="s">
        <v>5877</v>
      </c>
      <c r="E2017" t="s">
        <v>43</v>
      </c>
      <c r="I2017" s="26">
        <v>40909</v>
      </c>
      <c r="J2017" s="28">
        <v>40909</v>
      </c>
      <c r="Q2017" t="s">
        <v>44683</v>
      </c>
      <c r="R2017" t="s">
        <v>46935</v>
      </c>
    </row>
    <row r="2018" spans="1:18" x14ac:dyDescent="0.35">
      <c r="A2018" t="s">
        <v>14118</v>
      </c>
      <c r="C2018" t="s">
        <v>46936</v>
      </c>
      <c r="D2018" t="s">
        <v>1052</v>
      </c>
      <c r="E2018" t="s">
        <v>43</v>
      </c>
      <c r="I2018" s="26">
        <v>40909</v>
      </c>
      <c r="J2018" s="28">
        <v>40909</v>
      </c>
      <c r="Q2018" t="s">
        <v>44683</v>
      </c>
      <c r="R2018" t="s">
        <v>46937</v>
      </c>
    </row>
    <row r="2019" spans="1:18" x14ac:dyDescent="0.35">
      <c r="A2019" t="s">
        <v>15623</v>
      </c>
      <c r="D2019" t="s">
        <v>5898</v>
      </c>
      <c r="E2019" t="s">
        <v>43</v>
      </c>
      <c r="I2019" s="26">
        <v>40909</v>
      </c>
      <c r="J2019" s="28">
        <v>40909</v>
      </c>
      <c r="Q2019" t="s">
        <v>44683</v>
      </c>
      <c r="R2019" t="s">
        <v>46938</v>
      </c>
    </row>
    <row r="2020" spans="1:18" x14ac:dyDescent="0.35">
      <c r="A2020" t="s">
        <v>14637</v>
      </c>
      <c r="D2020" t="s">
        <v>2240</v>
      </c>
      <c r="E2020" t="s">
        <v>43</v>
      </c>
      <c r="I2020" s="26">
        <v>40909</v>
      </c>
      <c r="J2020" s="28">
        <v>40909</v>
      </c>
      <c r="Q2020" t="s">
        <v>44683</v>
      </c>
      <c r="R2020" t="s">
        <v>46939</v>
      </c>
    </row>
    <row r="2021" spans="1:18" x14ac:dyDescent="0.35">
      <c r="A2021" t="s">
        <v>14241</v>
      </c>
      <c r="C2021" t="s">
        <v>46940</v>
      </c>
      <c r="D2021" t="s">
        <v>1359</v>
      </c>
      <c r="E2021" t="s">
        <v>43</v>
      </c>
      <c r="I2021" s="26">
        <v>40909</v>
      </c>
      <c r="J2021" s="28">
        <v>40909</v>
      </c>
      <c r="Q2021" t="s">
        <v>44683</v>
      </c>
      <c r="R2021" t="s">
        <v>46941</v>
      </c>
    </row>
    <row r="2022" spans="1:18" x14ac:dyDescent="0.35">
      <c r="A2022" t="s">
        <v>16282</v>
      </c>
      <c r="D2022" t="s">
        <v>5300</v>
      </c>
      <c r="E2022" t="s">
        <v>43</v>
      </c>
      <c r="I2022" s="26">
        <v>40909</v>
      </c>
      <c r="J2022" s="28">
        <v>40909</v>
      </c>
      <c r="Q2022" t="s">
        <v>44683</v>
      </c>
      <c r="R2022" t="s">
        <v>46942</v>
      </c>
    </row>
    <row r="2023" spans="1:18" x14ac:dyDescent="0.35">
      <c r="A2023" t="s">
        <v>14016</v>
      </c>
      <c r="D2023" t="s">
        <v>54</v>
      </c>
      <c r="E2023" t="s">
        <v>43</v>
      </c>
      <c r="I2023" s="26">
        <v>40909</v>
      </c>
      <c r="J2023" s="28">
        <v>40909</v>
      </c>
      <c r="Q2023" t="s">
        <v>44683</v>
      </c>
      <c r="R2023" t="s">
        <v>46943</v>
      </c>
    </row>
    <row r="2024" spans="1:18" x14ac:dyDescent="0.35">
      <c r="A2024" t="s">
        <v>15272</v>
      </c>
      <c r="D2024" t="s">
        <v>5325</v>
      </c>
      <c r="E2024" t="s">
        <v>43</v>
      </c>
      <c r="I2024" s="26">
        <v>40909</v>
      </c>
      <c r="J2024" s="28">
        <v>40909</v>
      </c>
      <c r="Q2024" t="s">
        <v>44683</v>
      </c>
      <c r="R2024" t="s">
        <v>46944</v>
      </c>
    </row>
    <row r="2025" spans="1:18" x14ac:dyDescent="0.35">
      <c r="A2025" t="s">
        <v>15070</v>
      </c>
      <c r="D2025" t="s">
        <v>3470</v>
      </c>
      <c r="E2025" t="s">
        <v>43</v>
      </c>
      <c r="I2025" s="26">
        <v>40909</v>
      </c>
      <c r="J2025" s="28">
        <v>40909</v>
      </c>
      <c r="Q2025" t="s">
        <v>44683</v>
      </c>
      <c r="R2025" t="s">
        <v>46945</v>
      </c>
    </row>
    <row r="2026" spans="1:18" x14ac:dyDescent="0.35">
      <c r="A2026" t="s">
        <v>14024</v>
      </c>
      <c r="C2026" t="s">
        <v>46946</v>
      </c>
      <c r="D2026" t="s">
        <v>63</v>
      </c>
      <c r="E2026" t="s">
        <v>43</v>
      </c>
      <c r="I2026" s="26">
        <v>40909</v>
      </c>
      <c r="J2026" s="28">
        <v>40909</v>
      </c>
      <c r="Q2026" t="s">
        <v>44683</v>
      </c>
      <c r="R2026" t="s">
        <v>46947</v>
      </c>
    </row>
    <row r="2027" spans="1:18" x14ac:dyDescent="0.35">
      <c r="A2027" t="s">
        <v>46948</v>
      </c>
      <c r="C2027" t="s">
        <v>46949</v>
      </c>
      <c r="D2027" t="s">
        <v>63</v>
      </c>
      <c r="E2027" t="s">
        <v>43</v>
      </c>
      <c r="I2027" s="26">
        <v>40909</v>
      </c>
      <c r="J2027" s="28">
        <v>40909</v>
      </c>
      <c r="Q2027" t="s">
        <v>44683</v>
      </c>
      <c r="R2027" t="s">
        <v>46950</v>
      </c>
    </row>
    <row r="2028" spans="1:18" x14ac:dyDescent="0.35">
      <c r="A2028" t="s">
        <v>15738</v>
      </c>
      <c r="D2028" t="s">
        <v>5877</v>
      </c>
      <c r="E2028" t="s">
        <v>43</v>
      </c>
      <c r="I2028" s="26">
        <v>40909</v>
      </c>
      <c r="J2028" s="28">
        <v>40909</v>
      </c>
      <c r="Q2028" t="s">
        <v>44683</v>
      </c>
      <c r="R2028" t="s">
        <v>46951</v>
      </c>
    </row>
    <row r="2029" spans="1:18" x14ac:dyDescent="0.35">
      <c r="A2029" t="s">
        <v>15071</v>
      </c>
      <c r="D2029" t="s">
        <v>3470</v>
      </c>
      <c r="E2029" t="s">
        <v>43</v>
      </c>
      <c r="I2029" s="26">
        <v>40909</v>
      </c>
      <c r="J2029" s="28">
        <v>40909</v>
      </c>
      <c r="Q2029" t="s">
        <v>44683</v>
      </c>
      <c r="R2029" t="s">
        <v>46952</v>
      </c>
    </row>
    <row r="2030" spans="1:18" x14ac:dyDescent="0.35">
      <c r="A2030" t="s">
        <v>46953</v>
      </c>
      <c r="C2030" t="s">
        <v>46954</v>
      </c>
      <c r="D2030" t="s">
        <v>63</v>
      </c>
      <c r="E2030" t="s">
        <v>43</v>
      </c>
      <c r="I2030" s="26">
        <v>40909</v>
      </c>
      <c r="J2030" s="28">
        <v>40909</v>
      </c>
      <c r="Q2030" t="s">
        <v>44683</v>
      </c>
      <c r="R2030" t="s">
        <v>46955</v>
      </c>
    </row>
    <row r="2031" spans="1:18" x14ac:dyDescent="0.35">
      <c r="A2031" t="s">
        <v>46956</v>
      </c>
      <c r="C2031" t="s">
        <v>46957</v>
      </c>
      <c r="D2031" t="s">
        <v>63</v>
      </c>
      <c r="E2031" t="s">
        <v>43</v>
      </c>
      <c r="I2031" s="26">
        <v>40909</v>
      </c>
      <c r="J2031" s="28">
        <v>40909</v>
      </c>
      <c r="Q2031" t="s">
        <v>44683</v>
      </c>
      <c r="R2031" t="s">
        <v>46958</v>
      </c>
    </row>
    <row r="2032" spans="1:18" x14ac:dyDescent="0.35">
      <c r="A2032" t="s">
        <v>15461</v>
      </c>
      <c r="D2032" t="s">
        <v>5725</v>
      </c>
      <c r="E2032" t="s">
        <v>43</v>
      </c>
      <c r="I2032" s="26">
        <v>40909</v>
      </c>
      <c r="J2032" s="28">
        <v>40909</v>
      </c>
      <c r="Q2032" t="s">
        <v>44683</v>
      </c>
      <c r="R2032" t="s">
        <v>46959</v>
      </c>
    </row>
    <row r="2033" spans="1:18" x14ac:dyDescent="0.35">
      <c r="A2033" t="s">
        <v>15192</v>
      </c>
      <c r="D2033" t="s">
        <v>5218</v>
      </c>
      <c r="E2033" t="s">
        <v>43</v>
      </c>
      <c r="I2033" s="26">
        <v>40909</v>
      </c>
      <c r="J2033" s="28">
        <v>40909</v>
      </c>
      <c r="Q2033" t="s">
        <v>44683</v>
      </c>
      <c r="R2033" t="s">
        <v>46960</v>
      </c>
    </row>
    <row r="2034" spans="1:18" x14ac:dyDescent="0.35">
      <c r="A2034" t="s">
        <v>16384</v>
      </c>
      <c r="D2034" t="s">
        <v>7185</v>
      </c>
      <c r="E2034" t="s">
        <v>43</v>
      </c>
      <c r="I2034" s="26">
        <v>40909</v>
      </c>
      <c r="J2034" s="28">
        <v>40909</v>
      </c>
      <c r="Q2034" t="s">
        <v>44683</v>
      </c>
      <c r="R2034" t="s">
        <v>46961</v>
      </c>
    </row>
    <row r="2035" spans="1:18" x14ac:dyDescent="0.35">
      <c r="A2035" t="s">
        <v>15193</v>
      </c>
      <c r="D2035" t="s">
        <v>5218</v>
      </c>
      <c r="E2035" t="s">
        <v>43</v>
      </c>
      <c r="I2035" s="26">
        <v>40909</v>
      </c>
      <c r="J2035" s="28">
        <v>40909</v>
      </c>
      <c r="Q2035" t="s">
        <v>44683</v>
      </c>
      <c r="R2035" t="s">
        <v>46962</v>
      </c>
    </row>
    <row r="2036" spans="1:18" x14ac:dyDescent="0.35">
      <c r="A2036" t="s">
        <v>15422</v>
      </c>
      <c r="D2036" t="s">
        <v>5578</v>
      </c>
      <c r="E2036" t="s">
        <v>43</v>
      </c>
      <c r="I2036" s="26">
        <v>40909</v>
      </c>
      <c r="J2036" s="28">
        <v>40909</v>
      </c>
      <c r="Q2036" t="s">
        <v>44683</v>
      </c>
      <c r="R2036" t="s">
        <v>46963</v>
      </c>
    </row>
    <row r="2037" spans="1:18" x14ac:dyDescent="0.35">
      <c r="A2037" t="s">
        <v>14119</v>
      </c>
      <c r="C2037" t="s">
        <v>46964</v>
      </c>
      <c r="D2037" t="s">
        <v>1052</v>
      </c>
      <c r="E2037" t="s">
        <v>43</v>
      </c>
      <c r="I2037" s="26">
        <v>40909</v>
      </c>
      <c r="J2037" s="28">
        <v>40909</v>
      </c>
      <c r="Q2037" t="s">
        <v>44683</v>
      </c>
      <c r="R2037" t="s">
        <v>46965</v>
      </c>
    </row>
    <row r="2038" spans="1:18" x14ac:dyDescent="0.35">
      <c r="A2038" t="s">
        <v>16204</v>
      </c>
      <c r="D2038" t="s">
        <v>740</v>
      </c>
      <c r="E2038" t="s">
        <v>43</v>
      </c>
      <c r="I2038" s="26">
        <v>40909</v>
      </c>
      <c r="J2038" s="28">
        <v>40909</v>
      </c>
      <c r="Q2038" t="s">
        <v>44683</v>
      </c>
      <c r="R2038" t="s">
        <v>46966</v>
      </c>
    </row>
    <row r="2039" spans="1:18" x14ac:dyDescent="0.35">
      <c r="A2039" t="s">
        <v>15722</v>
      </c>
      <c r="C2039" t="s">
        <v>46967</v>
      </c>
      <c r="D2039" t="s">
        <v>5877</v>
      </c>
      <c r="E2039" t="s">
        <v>43</v>
      </c>
      <c r="I2039" s="26">
        <v>40909</v>
      </c>
      <c r="J2039" s="28">
        <v>40909</v>
      </c>
      <c r="Q2039" t="s">
        <v>44683</v>
      </c>
      <c r="R2039" t="s">
        <v>46968</v>
      </c>
    </row>
    <row r="2040" spans="1:18" x14ac:dyDescent="0.35">
      <c r="A2040" t="s">
        <v>16437</v>
      </c>
      <c r="C2040" t="s">
        <v>46923</v>
      </c>
      <c r="D2040" t="s">
        <v>7245</v>
      </c>
      <c r="E2040" t="s">
        <v>43</v>
      </c>
      <c r="I2040" s="26">
        <v>40909</v>
      </c>
      <c r="J2040" s="28">
        <v>40909</v>
      </c>
      <c r="Q2040" t="s">
        <v>44683</v>
      </c>
      <c r="R2040" t="s">
        <v>46969</v>
      </c>
    </row>
    <row r="2041" spans="1:18" x14ac:dyDescent="0.35">
      <c r="A2041" t="s">
        <v>46970</v>
      </c>
      <c r="D2041" t="s">
        <v>46971</v>
      </c>
      <c r="E2041" t="s">
        <v>43</v>
      </c>
      <c r="I2041" s="26">
        <v>40909</v>
      </c>
      <c r="J2041" s="28">
        <v>40909</v>
      </c>
      <c r="Q2041" t="s">
        <v>44683</v>
      </c>
      <c r="R2041" t="s">
        <v>46972</v>
      </c>
    </row>
    <row r="2042" spans="1:18" x14ac:dyDescent="0.35">
      <c r="A2042" t="s">
        <v>15723</v>
      </c>
      <c r="C2042" t="s">
        <v>46973</v>
      </c>
      <c r="D2042" t="s">
        <v>5877</v>
      </c>
      <c r="E2042" t="s">
        <v>43</v>
      </c>
      <c r="I2042" s="26">
        <v>40909</v>
      </c>
      <c r="J2042" s="28">
        <v>40909</v>
      </c>
      <c r="Q2042" t="s">
        <v>44683</v>
      </c>
      <c r="R2042" t="s">
        <v>46974</v>
      </c>
    </row>
    <row r="2043" spans="1:18" x14ac:dyDescent="0.35">
      <c r="A2043" t="s">
        <v>14120</v>
      </c>
      <c r="C2043" t="s">
        <v>46975</v>
      </c>
      <c r="D2043" t="s">
        <v>1052</v>
      </c>
      <c r="E2043" t="s">
        <v>43</v>
      </c>
      <c r="I2043" s="26">
        <v>40909</v>
      </c>
      <c r="J2043" s="28">
        <v>40909</v>
      </c>
      <c r="Q2043" t="s">
        <v>44683</v>
      </c>
      <c r="R2043" t="s">
        <v>46976</v>
      </c>
    </row>
    <row r="2044" spans="1:18" x14ac:dyDescent="0.35">
      <c r="A2044" t="s">
        <v>16438</v>
      </c>
      <c r="C2044" t="s">
        <v>46923</v>
      </c>
      <c r="D2044" t="s">
        <v>7245</v>
      </c>
      <c r="E2044" t="s">
        <v>43</v>
      </c>
      <c r="I2044" s="26">
        <v>40909</v>
      </c>
      <c r="J2044" s="28">
        <v>40909</v>
      </c>
      <c r="Q2044" t="s">
        <v>44683</v>
      </c>
      <c r="R2044" t="s">
        <v>46977</v>
      </c>
    </row>
    <row r="2045" spans="1:18" x14ac:dyDescent="0.35">
      <c r="A2045" t="s">
        <v>14638</v>
      </c>
      <c r="D2045" t="s">
        <v>2240</v>
      </c>
      <c r="E2045" t="s">
        <v>43</v>
      </c>
      <c r="I2045" s="26">
        <v>40909</v>
      </c>
      <c r="J2045" s="28">
        <v>40909</v>
      </c>
      <c r="Q2045" t="s">
        <v>44683</v>
      </c>
      <c r="R2045" t="s">
        <v>46978</v>
      </c>
    </row>
    <row r="2046" spans="1:18" x14ac:dyDescent="0.35">
      <c r="A2046" t="s">
        <v>16385</v>
      </c>
      <c r="D2046" t="s">
        <v>7185</v>
      </c>
      <c r="E2046" t="s">
        <v>43</v>
      </c>
      <c r="I2046" s="26">
        <v>40909</v>
      </c>
      <c r="J2046" s="28">
        <v>40909</v>
      </c>
      <c r="Q2046" t="s">
        <v>44683</v>
      </c>
      <c r="R2046" t="s">
        <v>46979</v>
      </c>
    </row>
    <row r="2047" spans="1:18" x14ac:dyDescent="0.35">
      <c r="A2047" t="s">
        <v>15194</v>
      </c>
      <c r="D2047" t="s">
        <v>5218</v>
      </c>
      <c r="E2047" t="s">
        <v>43</v>
      </c>
      <c r="I2047" s="26">
        <v>40909</v>
      </c>
      <c r="J2047" s="28">
        <v>40909</v>
      </c>
      <c r="Q2047" t="s">
        <v>44683</v>
      </c>
      <c r="R2047" t="s">
        <v>46980</v>
      </c>
    </row>
    <row r="2048" spans="1:18" x14ac:dyDescent="0.35">
      <c r="A2048" t="s">
        <v>16283</v>
      </c>
      <c r="D2048" t="s">
        <v>5300</v>
      </c>
      <c r="E2048" t="s">
        <v>43</v>
      </c>
      <c r="I2048" s="26">
        <v>40909</v>
      </c>
      <c r="J2048" s="28">
        <v>40909</v>
      </c>
      <c r="Q2048" t="s">
        <v>44683</v>
      </c>
      <c r="R2048" t="s">
        <v>46981</v>
      </c>
    </row>
    <row r="2049" spans="1:18" x14ac:dyDescent="0.35">
      <c r="A2049" t="s">
        <v>16205</v>
      </c>
      <c r="D2049" t="s">
        <v>740</v>
      </c>
      <c r="E2049" t="s">
        <v>43</v>
      </c>
      <c r="I2049" s="26">
        <v>40909</v>
      </c>
      <c r="J2049" s="28">
        <v>40909</v>
      </c>
      <c r="Q2049" t="s">
        <v>44683</v>
      </c>
      <c r="R2049" t="s">
        <v>46982</v>
      </c>
    </row>
    <row r="2050" spans="1:18" x14ac:dyDescent="0.35">
      <c r="A2050" t="s">
        <v>15072</v>
      </c>
      <c r="D2050" t="s">
        <v>3470</v>
      </c>
      <c r="E2050" t="s">
        <v>43</v>
      </c>
      <c r="I2050" s="26">
        <v>40909</v>
      </c>
      <c r="J2050" s="28">
        <v>40909</v>
      </c>
      <c r="Q2050" t="s">
        <v>44683</v>
      </c>
      <c r="R2050" t="s">
        <v>46983</v>
      </c>
    </row>
    <row r="2051" spans="1:18" x14ac:dyDescent="0.35">
      <c r="A2051" t="s">
        <v>15724</v>
      </c>
      <c r="C2051" t="s">
        <v>46984</v>
      </c>
      <c r="D2051" t="s">
        <v>5877</v>
      </c>
      <c r="E2051" t="s">
        <v>43</v>
      </c>
      <c r="I2051" s="26">
        <v>40909</v>
      </c>
      <c r="J2051" s="28">
        <v>40909</v>
      </c>
      <c r="Q2051" t="s">
        <v>44683</v>
      </c>
      <c r="R2051" t="s">
        <v>46985</v>
      </c>
    </row>
    <row r="2052" spans="1:18" x14ac:dyDescent="0.35">
      <c r="A2052" t="s">
        <v>46986</v>
      </c>
      <c r="D2052" t="s">
        <v>46971</v>
      </c>
      <c r="E2052" t="s">
        <v>43</v>
      </c>
      <c r="I2052" s="26">
        <v>40909</v>
      </c>
      <c r="J2052" s="28">
        <v>40909</v>
      </c>
      <c r="Q2052" t="s">
        <v>44683</v>
      </c>
      <c r="R2052" t="s">
        <v>46987</v>
      </c>
    </row>
    <row r="2053" spans="1:18" x14ac:dyDescent="0.35">
      <c r="A2053" t="s">
        <v>14261</v>
      </c>
      <c r="C2053" t="s">
        <v>46988</v>
      </c>
      <c r="D2053" t="s">
        <v>1372</v>
      </c>
      <c r="E2053" t="s">
        <v>43</v>
      </c>
      <c r="I2053" s="26">
        <v>40909</v>
      </c>
      <c r="J2053" s="28">
        <v>40909</v>
      </c>
      <c r="Q2053" t="s">
        <v>44683</v>
      </c>
      <c r="R2053" t="s">
        <v>46989</v>
      </c>
    </row>
    <row r="2054" spans="1:18" x14ac:dyDescent="0.35">
      <c r="A2054" t="s">
        <v>15424</v>
      </c>
      <c r="D2054" t="s">
        <v>5578</v>
      </c>
      <c r="E2054" t="s">
        <v>43</v>
      </c>
      <c r="I2054" s="26">
        <v>40909</v>
      </c>
      <c r="J2054" s="28">
        <v>40909</v>
      </c>
      <c r="Q2054" t="s">
        <v>44683</v>
      </c>
      <c r="R2054" t="s">
        <v>46990</v>
      </c>
    </row>
    <row r="2055" spans="1:18" x14ac:dyDescent="0.35">
      <c r="A2055" t="s">
        <v>15430</v>
      </c>
      <c r="D2055" t="s">
        <v>5579</v>
      </c>
      <c r="E2055" t="s">
        <v>43</v>
      </c>
      <c r="I2055" s="26">
        <v>40909</v>
      </c>
      <c r="J2055" s="28">
        <v>40909</v>
      </c>
      <c r="Q2055" t="s">
        <v>44683</v>
      </c>
      <c r="R2055" t="s">
        <v>46991</v>
      </c>
    </row>
    <row r="2056" spans="1:18" x14ac:dyDescent="0.35">
      <c r="A2056" t="s">
        <v>46992</v>
      </c>
      <c r="D2056" t="s">
        <v>46971</v>
      </c>
      <c r="E2056" t="s">
        <v>43</v>
      </c>
      <c r="I2056" s="26">
        <v>40909</v>
      </c>
      <c r="J2056" s="28">
        <v>40909</v>
      </c>
      <c r="Q2056" t="s">
        <v>44683</v>
      </c>
      <c r="R2056" t="s">
        <v>46993</v>
      </c>
    </row>
    <row r="2057" spans="1:18" x14ac:dyDescent="0.35">
      <c r="A2057" t="s">
        <v>16386</v>
      </c>
      <c r="D2057" t="s">
        <v>7185</v>
      </c>
      <c r="E2057" t="s">
        <v>43</v>
      </c>
      <c r="I2057" s="26">
        <v>40909</v>
      </c>
      <c r="J2057" s="28">
        <v>40909</v>
      </c>
      <c r="Q2057" t="s">
        <v>44683</v>
      </c>
      <c r="R2057" t="s">
        <v>46994</v>
      </c>
    </row>
    <row r="2058" spans="1:18" x14ac:dyDescent="0.35">
      <c r="A2058" t="s">
        <v>14242</v>
      </c>
      <c r="C2058" t="s">
        <v>46995</v>
      </c>
      <c r="D2058" t="s">
        <v>1359</v>
      </c>
      <c r="E2058" t="s">
        <v>43</v>
      </c>
      <c r="I2058" s="26">
        <v>40909</v>
      </c>
      <c r="J2058" s="28">
        <v>40909</v>
      </c>
      <c r="Q2058" t="s">
        <v>44683</v>
      </c>
      <c r="R2058" t="s">
        <v>46996</v>
      </c>
    </row>
    <row r="2059" spans="1:18" x14ac:dyDescent="0.35">
      <c r="A2059" t="s">
        <v>16387</v>
      </c>
      <c r="D2059" t="s">
        <v>7185</v>
      </c>
      <c r="E2059" t="s">
        <v>43</v>
      </c>
      <c r="I2059" s="26">
        <v>40909</v>
      </c>
      <c r="J2059" s="28">
        <v>40909</v>
      </c>
      <c r="Q2059" t="s">
        <v>44683</v>
      </c>
      <c r="R2059" t="s">
        <v>46997</v>
      </c>
    </row>
    <row r="2060" spans="1:18" x14ac:dyDescent="0.35">
      <c r="A2060" t="s">
        <v>46998</v>
      </c>
      <c r="D2060" t="s">
        <v>1953</v>
      </c>
      <c r="E2060" t="s">
        <v>43</v>
      </c>
      <c r="I2060" s="26">
        <v>40909</v>
      </c>
      <c r="J2060" s="28">
        <v>40909</v>
      </c>
      <c r="Q2060" t="s">
        <v>44683</v>
      </c>
      <c r="R2060" t="s">
        <v>46999</v>
      </c>
    </row>
    <row r="2061" spans="1:18" x14ac:dyDescent="0.35">
      <c r="A2061" t="s">
        <v>16284</v>
      </c>
      <c r="D2061" t="s">
        <v>5300</v>
      </c>
      <c r="E2061" t="s">
        <v>43</v>
      </c>
      <c r="I2061" s="26">
        <v>40909</v>
      </c>
      <c r="J2061" s="28">
        <v>40909</v>
      </c>
      <c r="Q2061" t="s">
        <v>44683</v>
      </c>
      <c r="R2061" t="s">
        <v>47000</v>
      </c>
    </row>
    <row r="2062" spans="1:18" x14ac:dyDescent="0.35">
      <c r="A2062" t="s">
        <v>14121</v>
      </c>
      <c r="C2062" t="s">
        <v>47001</v>
      </c>
      <c r="D2062" t="s">
        <v>1052</v>
      </c>
      <c r="E2062" t="s">
        <v>43</v>
      </c>
      <c r="I2062" s="26">
        <v>40909</v>
      </c>
      <c r="J2062" s="28">
        <v>40909</v>
      </c>
      <c r="Q2062" t="s">
        <v>44683</v>
      </c>
      <c r="R2062" t="s">
        <v>47002</v>
      </c>
    </row>
    <row r="2063" spans="1:18" x14ac:dyDescent="0.35">
      <c r="A2063" t="s">
        <v>14017</v>
      </c>
      <c r="C2063" t="s">
        <v>47003</v>
      </c>
      <c r="D2063" t="s">
        <v>54</v>
      </c>
      <c r="E2063" t="s">
        <v>43</v>
      </c>
      <c r="I2063" s="26">
        <v>40909</v>
      </c>
      <c r="J2063" s="28">
        <v>40909</v>
      </c>
      <c r="Q2063" t="s">
        <v>44683</v>
      </c>
      <c r="R2063" t="s">
        <v>47004</v>
      </c>
    </row>
    <row r="2064" spans="1:18" x14ac:dyDescent="0.35">
      <c r="A2064" t="s">
        <v>15725</v>
      </c>
      <c r="C2064" t="s">
        <v>46984</v>
      </c>
      <c r="D2064" t="s">
        <v>5877</v>
      </c>
      <c r="E2064" t="s">
        <v>43</v>
      </c>
      <c r="I2064" s="26">
        <v>40909</v>
      </c>
      <c r="J2064" s="28">
        <v>40909</v>
      </c>
      <c r="Q2064" t="s">
        <v>44683</v>
      </c>
      <c r="R2064" t="s">
        <v>47005</v>
      </c>
    </row>
    <row r="2065" spans="1:18" x14ac:dyDescent="0.35">
      <c r="A2065" t="s">
        <v>15104</v>
      </c>
      <c r="D2065" t="s">
        <v>4994</v>
      </c>
      <c r="E2065" t="s">
        <v>43</v>
      </c>
      <c r="I2065" s="26">
        <v>40909</v>
      </c>
      <c r="J2065" s="28">
        <v>40909</v>
      </c>
      <c r="Q2065" t="s">
        <v>44683</v>
      </c>
      <c r="R2065" t="s">
        <v>47006</v>
      </c>
    </row>
    <row r="2066" spans="1:18" x14ac:dyDescent="0.35">
      <c r="A2066" t="s">
        <v>14252</v>
      </c>
      <c r="C2066" t="s">
        <v>47007</v>
      </c>
      <c r="D2066" t="s">
        <v>1373</v>
      </c>
      <c r="E2066" t="s">
        <v>43</v>
      </c>
      <c r="I2066" s="26">
        <v>40909</v>
      </c>
      <c r="J2066" s="28">
        <v>40909</v>
      </c>
      <c r="Q2066" t="s">
        <v>44683</v>
      </c>
      <c r="R2066" t="s">
        <v>47008</v>
      </c>
    </row>
    <row r="2067" spans="1:18" x14ac:dyDescent="0.35">
      <c r="A2067" t="s">
        <v>14014</v>
      </c>
      <c r="C2067" t="s">
        <v>47003</v>
      </c>
      <c r="D2067" t="s">
        <v>54</v>
      </c>
      <c r="E2067" t="s">
        <v>43</v>
      </c>
      <c r="I2067" s="26">
        <v>40909</v>
      </c>
      <c r="J2067" s="28">
        <v>40909</v>
      </c>
      <c r="Q2067" t="s">
        <v>44683</v>
      </c>
      <c r="R2067" t="s">
        <v>47009</v>
      </c>
    </row>
    <row r="2068" spans="1:18" x14ac:dyDescent="0.35">
      <c r="A2068" t="s">
        <v>47010</v>
      </c>
      <c r="D2068" t="s">
        <v>46971</v>
      </c>
      <c r="E2068" t="s">
        <v>43</v>
      </c>
      <c r="I2068" s="26">
        <v>40909</v>
      </c>
      <c r="J2068" s="28">
        <v>40909</v>
      </c>
      <c r="Q2068" t="s">
        <v>44683</v>
      </c>
      <c r="R2068" t="s">
        <v>47011</v>
      </c>
    </row>
    <row r="2069" spans="1:18" x14ac:dyDescent="0.35">
      <c r="A2069" t="s">
        <v>14639</v>
      </c>
      <c r="D2069" t="s">
        <v>2240</v>
      </c>
      <c r="E2069" t="s">
        <v>43</v>
      </c>
      <c r="I2069" s="26">
        <v>40909</v>
      </c>
      <c r="J2069" s="28">
        <v>40909</v>
      </c>
      <c r="Q2069" t="s">
        <v>44683</v>
      </c>
      <c r="R2069" t="s">
        <v>47012</v>
      </c>
    </row>
    <row r="2070" spans="1:18" x14ac:dyDescent="0.35">
      <c r="A2070" t="s">
        <v>15431</v>
      </c>
      <c r="D2070" t="s">
        <v>5579</v>
      </c>
      <c r="E2070" t="s">
        <v>43</v>
      </c>
      <c r="I2070" s="26">
        <v>40909</v>
      </c>
      <c r="J2070" s="28">
        <v>40909</v>
      </c>
      <c r="Q2070" t="s">
        <v>44683</v>
      </c>
      <c r="R2070" t="s">
        <v>47013</v>
      </c>
    </row>
    <row r="2071" spans="1:18" x14ac:dyDescent="0.35">
      <c r="A2071" t="s">
        <v>15195</v>
      </c>
      <c r="D2071" t="s">
        <v>5218</v>
      </c>
      <c r="E2071" t="s">
        <v>43</v>
      </c>
      <c r="I2071" s="26">
        <v>40909</v>
      </c>
      <c r="J2071" s="28">
        <v>40909</v>
      </c>
      <c r="Q2071" t="s">
        <v>44683</v>
      </c>
      <c r="R2071" t="s">
        <v>47014</v>
      </c>
    </row>
    <row r="2072" spans="1:18" x14ac:dyDescent="0.35">
      <c r="A2072" t="s">
        <v>15432</v>
      </c>
      <c r="D2072" t="s">
        <v>5579</v>
      </c>
      <c r="E2072" t="s">
        <v>43</v>
      </c>
      <c r="I2072" s="26">
        <v>40909</v>
      </c>
      <c r="J2072" s="28">
        <v>40909</v>
      </c>
      <c r="Q2072" t="s">
        <v>44683</v>
      </c>
      <c r="R2072" t="s">
        <v>47015</v>
      </c>
    </row>
    <row r="2073" spans="1:18" x14ac:dyDescent="0.35">
      <c r="A2073" t="s">
        <v>15105</v>
      </c>
      <c r="D2073" t="s">
        <v>4994</v>
      </c>
      <c r="E2073" t="s">
        <v>43</v>
      </c>
      <c r="I2073" s="26">
        <v>40909</v>
      </c>
      <c r="J2073" s="28">
        <v>40909</v>
      </c>
      <c r="Q2073" t="s">
        <v>44683</v>
      </c>
      <c r="R2073" t="s">
        <v>47016</v>
      </c>
    </row>
    <row r="2074" spans="1:18" x14ac:dyDescent="0.35">
      <c r="A2074" t="s">
        <v>15726</v>
      </c>
      <c r="C2074" t="s">
        <v>47017</v>
      </c>
      <c r="D2074" t="s">
        <v>5877</v>
      </c>
      <c r="E2074" t="s">
        <v>43</v>
      </c>
      <c r="I2074" s="26">
        <v>40909</v>
      </c>
      <c r="J2074" s="28">
        <v>40909</v>
      </c>
      <c r="Q2074" t="s">
        <v>44683</v>
      </c>
      <c r="R2074" t="s">
        <v>47018</v>
      </c>
    </row>
    <row r="2075" spans="1:18" x14ac:dyDescent="0.35">
      <c r="A2075" t="s">
        <v>14099</v>
      </c>
      <c r="C2075" t="s">
        <v>47019</v>
      </c>
      <c r="D2075" t="s">
        <v>787</v>
      </c>
      <c r="E2075" t="s">
        <v>43</v>
      </c>
      <c r="I2075" s="26">
        <v>40909</v>
      </c>
      <c r="J2075" s="28">
        <v>40909</v>
      </c>
      <c r="Q2075" t="s">
        <v>44683</v>
      </c>
      <c r="R2075" t="s">
        <v>47020</v>
      </c>
    </row>
    <row r="2076" spans="1:18" x14ac:dyDescent="0.35">
      <c r="A2076" t="s">
        <v>14018</v>
      </c>
      <c r="D2076" t="s">
        <v>54</v>
      </c>
      <c r="E2076" t="s">
        <v>43</v>
      </c>
      <c r="I2076" s="26">
        <v>40909</v>
      </c>
      <c r="J2076" s="28">
        <v>40909</v>
      </c>
      <c r="Q2076" t="s">
        <v>44683</v>
      </c>
      <c r="R2076" t="s">
        <v>47021</v>
      </c>
    </row>
    <row r="2077" spans="1:18" x14ac:dyDescent="0.35">
      <c r="A2077" t="s">
        <v>15727</v>
      </c>
      <c r="C2077" t="s">
        <v>47022</v>
      </c>
      <c r="D2077" t="s">
        <v>5877</v>
      </c>
      <c r="E2077" t="s">
        <v>43</v>
      </c>
      <c r="I2077" s="26">
        <v>40909</v>
      </c>
      <c r="J2077" s="28">
        <v>40909</v>
      </c>
      <c r="Q2077" t="s">
        <v>44683</v>
      </c>
      <c r="R2077" t="s">
        <v>47023</v>
      </c>
    </row>
    <row r="2078" spans="1:18" x14ac:dyDescent="0.35">
      <c r="A2078" t="s">
        <v>16439</v>
      </c>
      <c r="C2078" t="s">
        <v>47024</v>
      </c>
      <c r="D2078" t="s">
        <v>7245</v>
      </c>
      <c r="E2078" t="s">
        <v>43</v>
      </c>
      <c r="I2078" s="26">
        <v>40909</v>
      </c>
      <c r="J2078" s="28">
        <v>40909</v>
      </c>
      <c r="Q2078" t="s">
        <v>44683</v>
      </c>
      <c r="R2078" t="s">
        <v>47025</v>
      </c>
    </row>
    <row r="2079" spans="1:18" x14ac:dyDescent="0.35">
      <c r="A2079" t="s">
        <v>15433</v>
      </c>
      <c r="D2079" t="s">
        <v>5579</v>
      </c>
      <c r="E2079" t="s">
        <v>43</v>
      </c>
      <c r="I2079" s="26">
        <v>40909</v>
      </c>
      <c r="J2079" s="28">
        <v>40909</v>
      </c>
      <c r="Q2079" t="s">
        <v>44683</v>
      </c>
      <c r="R2079" t="s">
        <v>47026</v>
      </c>
    </row>
    <row r="2080" spans="1:18" x14ac:dyDescent="0.35">
      <c r="A2080" t="s">
        <v>15745</v>
      </c>
      <c r="D2080" t="s">
        <v>5877</v>
      </c>
      <c r="E2080" t="s">
        <v>43</v>
      </c>
      <c r="I2080" s="26">
        <v>40909</v>
      </c>
      <c r="J2080" s="28">
        <v>40909</v>
      </c>
      <c r="Q2080" t="s">
        <v>44683</v>
      </c>
      <c r="R2080" t="s">
        <v>47027</v>
      </c>
    </row>
    <row r="2081" spans="1:18" x14ac:dyDescent="0.35">
      <c r="A2081" t="s">
        <v>16388</v>
      </c>
      <c r="D2081" t="s">
        <v>7185</v>
      </c>
      <c r="E2081" t="s">
        <v>43</v>
      </c>
      <c r="I2081" s="26">
        <v>40909</v>
      </c>
      <c r="J2081" s="28">
        <v>40909</v>
      </c>
      <c r="Q2081" t="s">
        <v>44683</v>
      </c>
      <c r="R2081" t="s">
        <v>47028</v>
      </c>
    </row>
    <row r="2082" spans="1:18" x14ac:dyDescent="0.35">
      <c r="A2082" t="s">
        <v>16285</v>
      </c>
      <c r="D2082" t="s">
        <v>5300</v>
      </c>
      <c r="E2082" t="s">
        <v>43</v>
      </c>
      <c r="I2082" s="26">
        <v>40909</v>
      </c>
      <c r="J2082" s="28">
        <v>40909</v>
      </c>
      <c r="Q2082" t="s">
        <v>44683</v>
      </c>
      <c r="R2082" t="s">
        <v>47029</v>
      </c>
    </row>
    <row r="2083" spans="1:18" x14ac:dyDescent="0.35">
      <c r="A2083" t="s">
        <v>14640</v>
      </c>
      <c r="D2083" t="s">
        <v>2240</v>
      </c>
      <c r="E2083" t="s">
        <v>43</v>
      </c>
      <c r="I2083" s="26">
        <v>40909</v>
      </c>
      <c r="J2083" s="28">
        <v>40909</v>
      </c>
      <c r="Q2083" t="s">
        <v>44683</v>
      </c>
      <c r="R2083" t="s">
        <v>47030</v>
      </c>
    </row>
    <row r="2084" spans="1:18" x14ac:dyDescent="0.35">
      <c r="A2084" t="s">
        <v>15728</v>
      </c>
      <c r="C2084" t="s">
        <v>47031</v>
      </c>
      <c r="D2084" t="s">
        <v>5877</v>
      </c>
      <c r="E2084" t="s">
        <v>43</v>
      </c>
      <c r="I2084" s="26">
        <v>40909</v>
      </c>
      <c r="J2084" s="28">
        <v>40909</v>
      </c>
      <c r="Q2084" t="s">
        <v>44683</v>
      </c>
      <c r="R2084" t="s">
        <v>47032</v>
      </c>
    </row>
    <row r="2085" spans="1:18" x14ac:dyDescent="0.35">
      <c r="A2085" t="s">
        <v>14122</v>
      </c>
      <c r="C2085" t="s">
        <v>47033</v>
      </c>
      <c r="D2085" t="s">
        <v>1052</v>
      </c>
      <c r="E2085" t="s">
        <v>43</v>
      </c>
      <c r="I2085" s="26">
        <v>40909</v>
      </c>
      <c r="J2085" s="28">
        <v>40909</v>
      </c>
      <c r="Q2085" t="s">
        <v>44683</v>
      </c>
      <c r="R2085" t="s">
        <v>47034</v>
      </c>
    </row>
    <row r="2086" spans="1:18" x14ac:dyDescent="0.35">
      <c r="A2086" t="s">
        <v>16407</v>
      </c>
      <c r="D2086" t="s">
        <v>7219</v>
      </c>
      <c r="E2086" t="s">
        <v>43</v>
      </c>
      <c r="I2086" s="26">
        <v>40909</v>
      </c>
      <c r="J2086" s="28">
        <v>40909</v>
      </c>
      <c r="Q2086" t="s">
        <v>44683</v>
      </c>
      <c r="R2086" t="s">
        <v>47035</v>
      </c>
    </row>
    <row r="2087" spans="1:18" x14ac:dyDescent="0.35">
      <c r="A2087" t="s">
        <v>14243</v>
      </c>
      <c r="C2087" t="s">
        <v>47036</v>
      </c>
      <c r="D2087" t="s">
        <v>1359</v>
      </c>
      <c r="E2087" t="s">
        <v>43</v>
      </c>
      <c r="I2087" s="26">
        <v>40909</v>
      </c>
      <c r="J2087" s="28">
        <v>40909</v>
      </c>
      <c r="Q2087" t="s">
        <v>44683</v>
      </c>
      <c r="R2087" t="s">
        <v>47037</v>
      </c>
    </row>
    <row r="2088" spans="1:18" x14ac:dyDescent="0.35">
      <c r="A2088" t="s">
        <v>15730</v>
      </c>
      <c r="C2088" t="s">
        <v>47038</v>
      </c>
      <c r="D2088" t="s">
        <v>5877</v>
      </c>
      <c r="E2088" t="s">
        <v>43</v>
      </c>
      <c r="I2088" s="26">
        <v>40909</v>
      </c>
      <c r="J2088" s="28">
        <v>40909</v>
      </c>
      <c r="Q2088" t="s">
        <v>44683</v>
      </c>
      <c r="R2088" t="s">
        <v>47039</v>
      </c>
    </row>
    <row r="2089" spans="1:18" x14ac:dyDescent="0.35">
      <c r="A2089" t="s">
        <v>14786</v>
      </c>
      <c r="C2089" t="s">
        <v>46930</v>
      </c>
      <c r="D2089" t="s">
        <v>2462</v>
      </c>
      <c r="E2089" t="s">
        <v>43</v>
      </c>
      <c r="I2089" s="26">
        <v>40909</v>
      </c>
      <c r="J2089" s="28">
        <v>40909</v>
      </c>
      <c r="Q2089" t="s">
        <v>44683</v>
      </c>
      <c r="R2089" t="s">
        <v>47040</v>
      </c>
    </row>
    <row r="2090" spans="1:18" x14ac:dyDescent="0.35">
      <c r="A2090" t="s">
        <v>15729</v>
      </c>
      <c r="C2090" t="s">
        <v>47041</v>
      </c>
      <c r="D2090" t="s">
        <v>5877</v>
      </c>
      <c r="E2090" t="s">
        <v>43</v>
      </c>
      <c r="I2090" s="26">
        <v>40909</v>
      </c>
      <c r="J2090" s="28">
        <v>40909</v>
      </c>
      <c r="Q2090" t="s">
        <v>44683</v>
      </c>
      <c r="R2090" t="s">
        <v>47042</v>
      </c>
    </row>
    <row r="2091" spans="1:18" x14ac:dyDescent="0.35">
      <c r="A2091" t="s">
        <v>14253</v>
      </c>
      <c r="C2091" t="s">
        <v>47007</v>
      </c>
      <c r="D2091" t="s">
        <v>1373</v>
      </c>
      <c r="E2091" t="s">
        <v>43</v>
      </c>
      <c r="I2091" s="26">
        <v>40909</v>
      </c>
      <c r="J2091" s="28">
        <v>40909</v>
      </c>
      <c r="Q2091" t="s">
        <v>44683</v>
      </c>
      <c r="R2091" t="s">
        <v>47043</v>
      </c>
    </row>
    <row r="2092" spans="1:18" x14ac:dyDescent="0.35">
      <c r="A2092" t="s">
        <v>14641</v>
      </c>
      <c r="D2092" t="s">
        <v>2240</v>
      </c>
      <c r="E2092" t="s">
        <v>43</v>
      </c>
      <c r="I2092" s="26">
        <v>40909</v>
      </c>
      <c r="J2092" s="28">
        <v>40909</v>
      </c>
      <c r="Q2092" t="s">
        <v>44683</v>
      </c>
      <c r="R2092" t="s">
        <v>47044</v>
      </c>
    </row>
    <row r="2093" spans="1:18" x14ac:dyDescent="0.35">
      <c r="A2093" t="s">
        <v>16389</v>
      </c>
      <c r="D2093" t="s">
        <v>7185</v>
      </c>
      <c r="E2093" t="s">
        <v>43</v>
      </c>
      <c r="I2093" s="26">
        <v>40909</v>
      </c>
      <c r="J2093" s="28">
        <v>40909</v>
      </c>
      <c r="Q2093" t="s">
        <v>44683</v>
      </c>
      <c r="R2093" t="s">
        <v>47045</v>
      </c>
    </row>
    <row r="2094" spans="1:18" x14ac:dyDescent="0.35">
      <c r="A2094" t="s">
        <v>15434</v>
      </c>
      <c r="D2094" t="s">
        <v>5579</v>
      </c>
      <c r="E2094" t="s">
        <v>43</v>
      </c>
      <c r="I2094" s="26">
        <v>40909</v>
      </c>
      <c r="J2094" s="28">
        <v>40909</v>
      </c>
      <c r="Q2094" t="s">
        <v>44683</v>
      </c>
      <c r="R2094" t="s">
        <v>47046</v>
      </c>
    </row>
    <row r="2095" spans="1:18" x14ac:dyDescent="0.35">
      <c r="A2095" t="s">
        <v>47047</v>
      </c>
      <c r="D2095" t="s">
        <v>46971</v>
      </c>
      <c r="E2095" t="s">
        <v>43</v>
      </c>
      <c r="I2095" s="26">
        <v>40909</v>
      </c>
      <c r="J2095" s="28">
        <v>40909</v>
      </c>
      <c r="Q2095" t="s">
        <v>44683</v>
      </c>
      <c r="R2095" t="s">
        <v>47048</v>
      </c>
    </row>
    <row r="2096" spans="1:18" x14ac:dyDescent="0.35">
      <c r="A2096" t="s">
        <v>47049</v>
      </c>
      <c r="C2096" t="s">
        <v>47050</v>
      </c>
      <c r="D2096" t="s">
        <v>63</v>
      </c>
      <c r="E2096" t="s">
        <v>43</v>
      </c>
      <c r="I2096" s="26">
        <v>40909</v>
      </c>
      <c r="J2096" s="28">
        <v>40909</v>
      </c>
      <c r="Q2096" t="s">
        <v>44683</v>
      </c>
      <c r="R2096" t="s">
        <v>47051</v>
      </c>
    </row>
    <row r="2097" spans="1:18" x14ac:dyDescent="0.35">
      <c r="A2097" t="s">
        <v>47052</v>
      </c>
      <c r="C2097" t="s">
        <v>47053</v>
      </c>
      <c r="D2097" t="s">
        <v>63</v>
      </c>
      <c r="E2097" t="s">
        <v>43</v>
      </c>
      <c r="I2097" s="26">
        <v>40909</v>
      </c>
      <c r="J2097" s="28">
        <v>40909</v>
      </c>
      <c r="Q2097" t="s">
        <v>44683</v>
      </c>
      <c r="R2097" t="s">
        <v>47054</v>
      </c>
    </row>
    <row r="2098" spans="1:18" x14ac:dyDescent="0.35">
      <c r="A2098" t="s">
        <v>15435</v>
      </c>
      <c r="D2098" t="s">
        <v>5579</v>
      </c>
      <c r="E2098" t="s">
        <v>43</v>
      </c>
      <c r="I2098" s="26">
        <v>40909</v>
      </c>
      <c r="J2098" s="28">
        <v>40909</v>
      </c>
      <c r="Q2098" t="s">
        <v>44683</v>
      </c>
      <c r="R2098" t="s">
        <v>47055</v>
      </c>
    </row>
    <row r="2099" spans="1:18" x14ac:dyDescent="0.35">
      <c r="A2099" t="s">
        <v>15427</v>
      </c>
      <c r="D2099" t="s">
        <v>5578</v>
      </c>
      <c r="E2099" t="s">
        <v>43</v>
      </c>
      <c r="I2099" s="26">
        <v>40909</v>
      </c>
      <c r="J2099" s="28">
        <v>40909</v>
      </c>
      <c r="Q2099" t="s">
        <v>44683</v>
      </c>
      <c r="R2099" t="s">
        <v>47056</v>
      </c>
    </row>
    <row r="2100" spans="1:18" x14ac:dyDescent="0.35">
      <c r="A2100" t="s">
        <v>14123</v>
      </c>
      <c r="C2100" t="s">
        <v>47057</v>
      </c>
      <c r="D2100" t="s">
        <v>1052</v>
      </c>
      <c r="E2100" t="s">
        <v>43</v>
      </c>
      <c r="I2100" s="26">
        <v>40909</v>
      </c>
      <c r="J2100" s="28">
        <v>40909</v>
      </c>
      <c r="Q2100" t="s">
        <v>44683</v>
      </c>
      <c r="R2100" t="s">
        <v>47058</v>
      </c>
    </row>
    <row r="2101" spans="1:18" x14ac:dyDescent="0.35">
      <c r="A2101" t="s">
        <v>14124</v>
      </c>
      <c r="C2101" t="s">
        <v>47059</v>
      </c>
      <c r="D2101" t="s">
        <v>1052</v>
      </c>
      <c r="E2101" t="s">
        <v>43</v>
      </c>
      <c r="I2101" s="26">
        <v>40909</v>
      </c>
      <c r="J2101" s="28">
        <v>40909</v>
      </c>
      <c r="Q2101" t="s">
        <v>44683</v>
      </c>
      <c r="R2101" t="s">
        <v>47060</v>
      </c>
    </row>
    <row r="2102" spans="1:18" x14ac:dyDescent="0.35">
      <c r="A2102" t="s">
        <v>14830</v>
      </c>
      <c r="D2102" t="s">
        <v>2598</v>
      </c>
      <c r="E2102" t="s">
        <v>43</v>
      </c>
      <c r="I2102" s="26">
        <v>40544</v>
      </c>
      <c r="J2102" s="28">
        <v>40544</v>
      </c>
      <c r="Q2102" t="s">
        <v>44683</v>
      </c>
      <c r="R2102" t="s">
        <v>47061</v>
      </c>
    </row>
    <row r="2103" spans="1:18" x14ac:dyDescent="0.35">
      <c r="A2103" t="s">
        <v>15347</v>
      </c>
      <c r="C2103" t="s">
        <v>47062</v>
      </c>
      <c r="D2103" t="s">
        <v>5388</v>
      </c>
      <c r="E2103" t="s">
        <v>43</v>
      </c>
      <c r="I2103" s="26">
        <v>40544</v>
      </c>
      <c r="J2103" s="28">
        <v>40544</v>
      </c>
      <c r="Q2103" t="s">
        <v>44683</v>
      </c>
      <c r="R2103" t="s">
        <v>47063</v>
      </c>
    </row>
    <row r="2104" spans="1:18" x14ac:dyDescent="0.35">
      <c r="A2104" t="s">
        <v>14126</v>
      </c>
      <c r="C2104" t="s">
        <v>47064</v>
      </c>
      <c r="D2104" t="s">
        <v>1056</v>
      </c>
      <c r="E2104" t="s">
        <v>43</v>
      </c>
      <c r="I2104" s="26">
        <v>40544</v>
      </c>
      <c r="J2104" s="28">
        <v>40544</v>
      </c>
      <c r="Q2104" t="s">
        <v>44683</v>
      </c>
      <c r="R2104" t="s">
        <v>47065</v>
      </c>
    </row>
    <row r="2105" spans="1:18" x14ac:dyDescent="0.35">
      <c r="A2105" t="s">
        <v>16626</v>
      </c>
      <c r="D2105" t="s">
        <v>7260</v>
      </c>
      <c r="E2105" t="s">
        <v>43</v>
      </c>
      <c r="I2105" s="26">
        <v>40909</v>
      </c>
      <c r="J2105" s="28">
        <v>40909</v>
      </c>
      <c r="Q2105" t="s">
        <v>44683</v>
      </c>
      <c r="R2105" t="s">
        <v>47066</v>
      </c>
    </row>
    <row r="2106" spans="1:18" x14ac:dyDescent="0.35">
      <c r="A2106" t="s">
        <v>15748</v>
      </c>
      <c r="C2106" t="s">
        <v>47003</v>
      </c>
      <c r="D2106" t="s">
        <v>5877</v>
      </c>
      <c r="E2106" t="s">
        <v>43</v>
      </c>
      <c r="I2106" s="26">
        <v>40544</v>
      </c>
      <c r="J2106" s="28">
        <v>40544</v>
      </c>
      <c r="Q2106" t="s">
        <v>44683</v>
      </c>
      <c r="R2106" t="s">
        <v>47067</v>
      </c>
    </row>
    <row r="2107" spans="1:18" x14ac:dyDescent="0.35">
      <c r="A2107" t="s">
        <v>16360</v>
      </c>
      <c r="C2107" t="s">
        <v>47068</v>
      </c>
      <c r="D2107" t="s">
        <v>7160</v>
      </c>
      <c r="E2107" t="s">
        <v>43</v>
      </c>
      <c r="I2107" s="26">
        <v>40544</v>
      </c>
      <c r="J2107" s="28">
        <v>40544</v>
      </c>
      <c r="Q2107" t="s">
        <v>44683</v>
      </c>
      <c r="R2107" t="s">
        <v>47069</v>
      </c>
    </row>
    <row r="2108" spans="1:18" x14ac:dyDescent="0.35">
      <c r="A2108" t="s">
        <v>15750</v>
      </c>
      <c r="C2108" t="s">
        <v>47070</v>
      </c>
      <c r="D2108" t="s">
        <v>5877</v>
      </c>
      <c r="E2108" t="s">
        <v>43</v>
      </c>
      <c r="I2108" s="26">
        <v>40544</v>
      </c>
      <c r="J2108" s="28">
        <v>40544</v>
      </c>
      <c r="Q2108" t="s">
        <v>44683</v>
      </c>
      <c r="R2108" t="s">
        <v>47071</v>
      </c>
    </row>
    <row r="2109" spans="1:18" x14ac:dyDescent="0.35">
      <c r="A2109" t="s">
        <v>15752</v>
      </c>
      <c r="D2109" t="s">
        <v>5877</v>
      </c>
      <c r="E2109" t="s">
        <v>43</v>
      </c>
      <c r="I2109" s="26">
        <v>40544</v>
      </c>
      <c r="J2109" s="28">
        <v>40544</v>
      </c>
      <c r="Q2109" t="s">
        <v>44683</v>
      </c>
      <c r="R2109" t="s">
        <v>47072</v>
      </c>
    </row>
    <row r="2110" spans="1:18" x14ac:dyDescent="0.35">
      <c r="A2110" t="s">
        <v>14627</v>
      </c>
      <c r="D2110" t="s">
        <v>2221</v>
      </c>
      <c r="E2110" t="s">
        <v>43</v>
      </c>
      <c r="I2110" s="26">
        <v>40909</v>
      </c>
      <c r="J2110" s="28">
        <v>40909</v>
      </c>
      <c r="Q2110" t="s">
        <v>44683</v>
      </c>
      <c r="R2110" t="s">
        <v>47073</v>
      </c>
    </row>
    <row r="2111" spans="1:18" x14ac:dyDescent="0.35">
      <c r="A2111" t="s">
        <v>15754</v>
      </c>
      <c r="C2111" t="s">
        <v>47074</v>
      </c>
      <c r="D2111" t="s">
        <v>5877</v>
      </c>
      <c r="E2111" t="s">
        <v>43</v>
      </c>
      <c r="I2111" s="26">
        <v>40544</v>
      </c>
      <c r="J2111" s="28">
        <v>40544</v>
      </c>
      <c r="Q2111" t="s">
        <v>44683</v>
      </c>
      <c r="R2111" t="s">
        <v>47075</v>
      </c>
    </row>
    <row r="2112" spans="1:18" x14ac:dyDescent="0.35">
      <c r="A2112" t="s">
        <v>16630</v>
      </c>
      <c r="C2112" t="s">
        <v>47076</v>
      </c>
      <c r="D2112" t="s">
        <v>7351</v>
      </c>
      <c r="E2112" t="s">
        <v>43</v>
      </c>
      <c r="I2112" s="26">
        <v>40909</v>
      </c>
      <c r="J2112" s="28">
        <v>40909</v>
      </c>
      <c r="Q2112" t="s">
        <v>44683</v>
      </c>
      <c r="R2112" t="s">
        <v>47077</v>
      </c>
    </row>
    <row r="2113" spans="1:18" x14ac:dyDescent="0.35">
      <c r="A2113" t="s">
        <v>14262</v>
      </c>
      <c r="D2113" t="s">
        <v>1372</v>
      </c>
      <c r="E2113" t="s">
        <v>43</v>
      </c>
      <c r="I2113" s="26">
        <v>40544</v>
      </c>
      <c r="J2113" s="28">
        <v>40544</v>
      </c>
      <c r="Q2113" t="s">
        <v>44683</v>
      </c>
      <c r="R2113" t="s">
        <v>47078</v>
      </c>
    </row>
    <row r="2114" spans="1:18" x14ac:dyDescent="0.35">
      <c r="A2114" t="s">
        <v>14892</v>
      </c>
      <c r="D2114" t="s">
        <v>2859</v>
      </c>
      <c r="E2114" t="s">
        <v>43</v>
      </c>
      <c r="I2114" s="26">
        <v>40909</v>
      </c>
      <c r="J2114" s="28">
        <v>40909</v>
      </c>
      <c r="Q2114" t="s">
        <v>44683</v>
      </c>
      <c r="R2114" t="s">
        <v>47079</v>
      </c>
    </row>
    <row r="2115" spans="1:18" x14ac:dyDescent="0.35">
      <c r="A2115" t="s">
        <v>16631</v>
      </c>
      <c r="D2115" t="s">
        <v>7351</v>
      </c>
      <c r="E2115" t="s">
        <v>43</v>
      </c>
      <c r="I2115" s="26">
        <v>40909</v>
      </c>
      <c r="J2115" s="28">
        <v>40909</v>
      </c>
      <c r="Q2115" t="s">
        <v>44683</v>
      </c>
      <c r="R2115" t="s">
        <v>47080</v>
      </c>
    </row>
    <row r="2116" spans="1:18" x14ac:dyDescent="0.35">
      <c r="A2116" t="s">
        <v>16401</v>
      </c>
      <c r="D2116" t="s">
        <v>7211</v>
      </c>
      <c r="E2116" t="s">
        <v>43</v>
      </c>
      <c r="I2116" s="26">
        <v>40909</v>
      </c>
      <c r="J2116" s="28">
        <v>40909</v>
      </c>
      <c r="Q2116" t="s">
        <v>44683</v>
      </c>
      <c r="R2116" t="s">
        <v>47081</v>
      </c>
    </row>
    <row r="2117" spans="1:18" x14ac:dyDescent="0.35">
      <c r="A2117" t="s">
        <v>15190</v>
      </c>
      <c r="D2117" t="s">
        <v>5218</v>
      </c>
      <c r="E2117" t="s">
        <v>43</v>
      </c>
      <c r="I2117" s="26">
        <v>40909</v>
      </c>
      <c r="J2117" s="28">
        <v>40909</v>
      </c>
      <c r="Q2117" t="s">
        <v>44683</v>
      </c>
      <c r="R2117" t="s">
        <v>47082</v>
      </c>
    </row>
    <row r="2118" spans="1:18" x14ac:dyDescent="0.35">
      <c r="A2118" t="s">
        <v>15462</v>
      </c>
      <c r="D2118" t="s">
        <v>5725</v>
      </c>
      <c r="E2118" t="s">
        <v>43</v>
      </c>
      <c r="I2118" s="26">
        <v>40544</v>
      </c>
      <c r="J2118" s="28">
        <v>40544</v>
      </c>
      <c r="Q2118" t="s">
        <v>44683</v>
      </c>
      <c r="R2118" t="s">
        <v>47083</v>
      </c>
    </row>
    <row r="2119" spans="1:18" x14ac:dyDescent="0.35">
      <c r="A2119" t="s">
        <v>15731</v>
      </c>
      <c r="D2119" t="s">
        <v>5877</v>
      </c>
      <c r="E2119" t="s">
        <v>43</v>
      </c>
      <c r="I2119" s="26">
        <v>40909</v>
      </c>
      <c r="J2119" s="28">
        <v>40909</v>
      </c>
      <c r="Q2119" t="s">
        <v>44683</v>
      </c>
      <c r="R2119" t="s">
        <v>47084</v>
      </c>
    </row>
    <row r="2120" spans="1:18" x14ac:dyDescent="0.35">
      <c r="A2120" t="s">
        <v>15616</v>
      </c>
      <c r="C2120" t="s">
        <v>47085</v>
      </c>
      <c r="D2120" t="s">
        <v>5875</v>
      </c>
      <c r="E2120" t="s">
        <v>43</v>
      </c>
      <c r="I2120" s="26">
        <v>40544</v>
      </c>
      <c r="J2120" s="28">
        <v>40544</v>
      </c>
      <c r="Q2120" t="s">
        <v>44683</v>
      </c>
      <c r="R2120" t="s">
        <v>47086</v>
      </c>
    </row>
    <row r="2121" spans="1:18" x14ac:dyDescent="0.35">
      <c r="A2121" t="s">
        <v>16322</v>
      </c>
      <c r="D2121" t="s">
        <v>7153</v>
      </c>
      <c r="E2121" t="s">
        <v>43</v>
      </c>
      <c r="I2121" s="26">
        <v>40544</v>
      </c>
      <c r="J2121" s="28">
        <v>40544</v>
      </c>
      <c r="Q2121" t="s">
        <v>44683</v>
      </c>
      <c r="R2121" t="s">
        <v>47087</v>
      </c>
    </row>
    <row r="2122" spans="1:18" x14ac:dyDescent="0.35">
      <c r="A2122" t="s">
        <v>15755</v>
      </c>
      <c r="C2122" t="s">
        <v>47088</v>
      </c>
      <c r="D2122" t="s">
        <v>5877</v>
      </c>
      <c r="E2122" t="s">
        <v>43</v>
      </c>
      <c r="I2122" s="26">
        <v>40544</v>
      </c>
      <c r="J2122" s="28">
        <v>40544</v>
      </c>
      <c r="Q2122" t="s">
        <v>44683</v>
      </c>
      <c r="R2122" t="s">
        <v>47089</v>
      </c>
    </row>
    <row r="2123" spans="1:18" x14ac:dyDescent="0.35">
      <c r="A2123" t="s">
        <v>14062</v>
      </c>
      <c r="C2123" t="s">
        <v>47090</v>
      </c>
      <c r="D2123" t="s">
        <v>3101</v>
      </c>
      <c r="E2123" t="s">
        <v>43</v>
      </c>
      <c r="I2123" s="26">
        <v>40544</v>
      </c>
      <c r="J2123" s="28">
        <v>40544</v>
      </c>
      <c r="Q2123" t="s">
        <v>44683</v>
      </c>
      <c r="R2123" t="s">
        <v>47091</v>
      </c>
    </row>
    <row r="2124" spans="1:18" x14ac:dyDescent="0.35">
      <c r="A2124" t="s">
        <v>15163</v>
      </c>
      <c r="D2124" t="s">
        <v>5132</v>
      </c>
      <c r="E2124" t="s">
        <v>43</v>
      </c>
      <c r="I2124" s="26">
        <v>40909</v>
      </c>
      <c r="J2124" s="28">
        <v>40909</v>
      </c>
      <c r="Q2124" t="s">
        <v>44683</v>
      </c>
      <c r="R2124" t="s">
        <v>47092</v>
      </c>
    </row>
    <row r="2125" spans="1:18" x14ac:dyDescent="0.35">
      <c r="A2125" t="s">
        <v>15732</v>
      </c>
      <c r="C2125" t="s">
        <v>47093</v>
      </c>
      <c r="D2125" t="s">
        <v>5877</v>
      </c>
      <c r="E2125" t="s">
        <v>43</v>
      </c>
      <c r="I2125" s="26">
        <v>40909</v>
      </c>
      <c r="J2125" s="28">
        <v>40909</v>
      </c>
      <c r="Q2125" t="s">
        <v>44683</v>
      </c>
      <c r="R2125" t="s">
        <v>47094</v>
      </c>
    </row>
    <row r="2126" spans="1:18" x14ac:dyDescent="0.35">
      <c r="A2126" t="s">
        <v>15733</v>
      </c>
      <c r="C2126" t="s">
        <v>47095</v>
      </c>
      <c r="D2126" t="s">
        <v>5877</v>
      </c>
      <c r="E2126" t="s">
        <v>43</v>
      </c>
      <c r="I2126" s="26">
        <v>40909</v>
      </c>
      <c r="J2126" s="28">
        <v>40909</v>
      </c>
      <c r="Q2126" t="s">
        <v>44683</v>
      </c>
      <c r="R2126" t="s">
        <v>47096</v>
      </c>
    </row>
    <row r="2127" spans="1:18" x14ac:dyDescent="0.35">
      <c r="A2127" t="s">
        <v>15069</v>
      </c>
      <c r="D2127" t="s">
        <v>3470</v>
      </c>
      <c r="E2127" t="s">
        <v>43</v>
      </c>
      <c r="I2127" s="26">
        <v>40909</v>
      </c>
      <c r="J2127" s="28">
        <v>40909</v>
      </c>
      <c r="Q2127" t="s">
        <v>44683</v>
      </c>
      <c r="R2127" t="s">
        <v>47097</v>
      </c>
    </row>
    <row r="2128" spans="1:18" x14ac:dyDescent="0.35">
      <c r="A2128" t="s">
        <v>14125</v>
      </c>
      <c r="C2128" t="s">
        <v>47098</v>
      </c>
      <c r="D2128" t="s">
        <v>1052</v>
      </c>
      <c r="E2128" t="s">
        <v>43</v>
      </c>
      <c r="I2128" s="26">
        <v>40909</v>
      </c>
      <c r="J2128" s="28">
        <v>40909</v>
      </c>
      <c r="Q2128" t="s">
        <v>44683</v>
      </c>
      <c r="R2128" t="s">
        <v>47099</v>
      </c>
    </row>
    <row r="2129" spans="1:18" x14ac:dyDescent="0.35">
      <c r="A2129" t="s">
        <v>14893</v>
      </c>
      <c r="D2129" t="s">
        <v>2859</v>
      </c>
      <c r="E2129" t="s">
        <v>43</v>
      </c>
      <c r="I2129" s="26">
        <v>40909</v>
      </c>
      <c r="J2129" s="28">
        <v>40909</v>
      </c>
      <c r="Q2129" t="s">
        <v>44683</v>
      </c>
      <c r="R2129" t="s">
        <v>47100</v>
      </c>
    </row>
    <row r="2130" spans="1:18" x14ac:dyDescent="0.35">
      <c r="A2130" t="s">
        <v>14107</v>
      </c>
      <c r="D2130" t="s">
        <v>1047</v>
      </c>
      <c r="E2130" t="s">
        <v>43</v>
      </c>
      <c r="I2130" s="26">
        <v>40909</v>
      </c>
      <c r="J2130" s="28">
        <v>40909</v>
      </c>
      <c r="Q2130" t="s">
        <v>44683</v>
      </c>
      <c r="R2130" t="s">
        <v>47101</v>
      </c>
    </row>
    <row r="2131" spans="1:18" x14ac:dyDescent="0.35">
      <c r="A2131" t="s">
        <v>15734</v>
      </c>
      <c r="C2131" t="s">
        <v>47102</v>
      </c>
      <c r="D2131" t="s">
        <v>5877</v>
      </c>
      <c r="E2131" t="s">
        <v>43</v>
      </c>
      <c r="I2131" s="26">
        <v>40909</v>
      </c>
      <c r="J2131" s="28">
        <v>40909</v>
      </c>
      <c r="Q2131" t="s">
        <v>44683</v>
      </c>
      <c r="R2131" t="s">
        <v>47103</v>
      </c>
    </row>
    <row r="2132" spans="1:18" x14ac:dyDescent="0.35">
      <c r="A2132" t="s">
        <v>15735</v>
      </c>
      <c r="D2132" t="s">
        <v>5877</v>
      </c>
      <c r="E2132" t="s">
        <v>43</v>
      </c>
      <c r="I2132" s="26">
        <v>40909</v>
      </c>
      <c r="J2132" s="28">
        <v>40909</v>
      </c>
      <c r="Q2132" t="s">
        <v>44683</v>
      </c>
      <c r="R2132" t="s">
        <v>47104</v>
      </c>
    </row>
    <row r="2133" spans="1:18" x14ac:dyDescent="0.35">
      <c r="A2133" t="s">
        <v>15736</v>
      </c>
      <c r="C2133" t="s">
        <v>47105</v>
      </c>
      <c r="D2133" t="s">
        <v>5877</v>
      </c>
      <c r="E2133" t="s">
        <v>43</v>
      </c>
      <c r="I2133" s="26">
        <v>40909</v>
      </c>
      <c r="J2133" s="28">
        <v>40909</v>
      </c>
      <c r="Q2133" t="s">
        <v>44683</v>
      </c>
      <c r="R2133" t="s">
        <v>47106</v>
      </c>
    </row>
    <row r="2134" spans="1:18" x14ac:dyDescent="0.35">
      <c r="A2134" t="s">
        <v>15737</v>
      </c>
      <c r="C2134" t="s">
        <v>47107</v>
      </c>
      <c r="D2134" t="s">
        <v>5877</v>
      </c>
      <c r="E2134" t="s">
        <v>43</v>
      </c>
      <c r="I2134" s="26">
        <v>40909</v>
      </c>
      <c r="J2134" s="28">
        <v>40909</v>
      </c>
      <c r="Q2134" t="s">
        <v>44683</v>
      </c>
      <c r="R2134" t="s">
        <v>47108</v>
      </c>
    </row>
    <row r="2135" spans="1:18" x14ac:dyDescent="0.35">
      <c r="A2135" t="s">
        <v>15757</v>
      </c>
      <c r="C2135" t="s">
        <v>47109</v>
      </c>
      <c r="D2135" t="s">
        <v>5877</v>
      </c>
      <c r="E2135" t="s">
        <v>43</v>
      </c>
      <c r="I2135" s="26">
        <v>40544</v>
      </c>
      <c r="J2135" s="28">
        <v>40544</v>
      </c>
      <c r="Q2135" t="s">
        <v>44683</v>
      </c>
      <c r="R2135" t="s">
        <v>47110</v>
      </c>
    </row>
    <row r="2136" spans="1:18" x14ac:dyDescent="0.35">
      <c r="A2136" t="s">
        <v>15758</v>
      </c>
      <c r="C2136" t="s">
        <v>47111</v>
      </c>
      <c r="D2136" t="s">
        <v>5877</v>
      </c>
      <c r="E2136" t="s">
        <v>43</v>
      </c>
      <c r="I2136" s="26">
        <v>40544</v>
      </c>
      <c r="J2136" s="28">
        <v>40544</v>
      </c>
      <c r="Q2136" t="s">
        <v>44683</v>
      </c>
      <c r="R2136" t="s">
        <v>47112</v>
      </c>
    </row>
    <row r="2137" spans="1:18" x14ac:dyDescent="0.35">
      <c r="A2137" t="s">
        <v>15463</v>
      </c>
      <c r="D2137" t="s">
        <v>5725</v>
      </c>
      <c r="E2137" t="s">
        <v>43</v>
      </c>
      <c r="I2137" s="26">
        <v>40544</v>
      </c>
      <c r="J2137" s="28">
        <v>40544</v>
      </c>
      <c r="Q2137" t="s">
        <v>44683</v>
      </c>
      <c r="R2137" t="s">
        <v>47113</v>
      </c>
    </row>
    <row r="2138" spans="1:18" x14ac:dyDescent="0.35">
      <c r="A2138" t="s">
        <v>16440</v>
      </c>
      <c r="D2138" t="s">
        <v>7245</v>
      </c>
      <c r="E2138" t="s">
        <v>43</v>
      </c>
      <c r="I2138" s="26">
        <v>40909</v>
      </c>
      <c r="J2138" s="28">
        <v>40909</v>
      </c>
      <c r="Q2138" t="s">
        <v>44683</v>
      </c>
      <c r="R2138" t="s">
        <v>47114</v>
      </c>
    </row>
    <row r="2139" spans="1:18" x14ac:dyDescent="0.35">
      <c r="A2139" t="s">
        <v>16402</v>
      </c>
      <c r="D2139" t="s">
        <v>7211</v>
      </c>
      <c r="E2139" t="s">
        <v>43</v>
      </c>
      <c r="I2139" s="26">
        <v>40909</v>
      </c>
      <c r="J2139" s="28">
        <v>40909</v>
      </c>
      <c r="Q2139" t="s">
        <v>44683</v>
      </c>
      <c r="R2139" t="s">
        <v>47115</v>
      </c>
    </row>
    <row r="2140" spans="1:18" x14ac:dyDescent="0.35">
      <c r="A2140" t="s">
        <v>15739</v>
      </c>
      <c r="C2140" t="s">
        <v>47116</v>
      </c>
      <c r="D2140" t="s">
        <v>5877</v>
      </c>
      <c r="E2140" t="s">
        <v>43</v>
      </c>
      <c r="I2140" s="26">
        <v>40909</v>
      </c>
      <c r="J2140" s="28">
        <v>40909</v>
      </c>
      <c r="Q2140" t="s">
        <v>44683</v>
      </c>
      <c r="R2140" t="s">
        <v>47117</v>
      </c>
    </row>
    <row r="2141" spans="1:18" x14ac:dyDescent="0.35">
      <c r="A2141" t="s">
        <v>14628</v>
      </c>
      <c r="D2141" t="s">
        <v>2221</v>
      </c>
      <c r="E2141" t="s">
        <v>43</v>
      </c>
      <c r="I2141" s="26">
        <v>40909</v>
      </c>
      <c r="J2141" s="28">
        <v>40909</v>
      </c>
      <c r="Q2141" t="s">
        <v>44683</v>
      </c>
      <c r="R2141" t="s">
        <v>47118</v>
      </c>
    </row>
    <row r="2142" spans="1:18" x14ac:dyDescent="0.35">
      <c r="A2142" t="s">
        <v>15762</v>
      </c>
      <c r="D2142" t="s">
        <v>5877</v>
      </c>
      <c r="E2142" t="s">
        <v>43</v>
      </c>
      <c r="I2142" s="26">
        <v>40544</v>
      </c>
      <c r="J2142" s="28">
        <v>40544</v>
      </c>
      <c r="Q2142" t="s">
        <v>44683</v>
      </c>
      <c r="R2142" t="s">
        <v>47119</v>
      </c>
    </row>
    <row r="2143" spans="1:18" x14ac:dyDescent="0.35">
      <c r="A2143" t="s">
        <v>16324</v>
      </c>
      <c r="D2143" t="s">
        <v>7153</v>
      </c>
      <c r="E2143" t="s">
        <v>43</v>
      </c>
      <c r="I2143" s="26">
        <v>40544</v>
      </c>
      <c r="J2143" s="28">
        <v>40544</v>
      </c>
      <c r="Q2143" t="s">
        <v>44683</v>
      </c>
      <c r="R2143" t="s">
        <v>47120</v>
      </c>
    </row>
    <row r="2144" spans="1:18" x14ac:dyDescent="0.35">
      <c r="A2144" t="s">
        <v>15423</v>
      </c>
      <c r="D2144" t="s">
        <v>5578</v>
      </c>
      <c r="E2144" t="s">
        <v>43</v>
      </c>
      <c r="I2144" s="26">
        <v>40909</v>
      </c>
      <c r="J2144" s="28">
        <v>40909</v>
      </c>
      <c r="Q2144" t="s">
        <v>44683</v>
      </c>
      <c r="R2144" t="s">
        <v>47121</v>
      </c>
    </row>
    <row r="2145" spans="1:18" x14ac:dyDescent="0.35">
      <c r="A2145" t="s">
        <v>16362</v>
      </c>
      <c r="C2145" t="s">
        <v>47122</v>
      </c>
      <c r="D2145" t="s">
        <v>7160</v>
      </c>
      <c r="E2145" t="s">
        <v>43</v>
      </c>
      <c r="I2145" s="26">
        <v>40544</v>
      </c>
      <c r="J2145" s="28">
        <v>40544</v>
      </c>
      <c r="Q2145" t="s">
        <v>44683</v>
      </c>
      <c r="R2145" t="s">
        <v>47123</v>
      </c>
    </row>
    <row r="2146" spans="1:18" x14ac:dyDescent="0.35">
      <c r="A2146" t="s">
        <v>14894</v>
      </c>
      <c r="D2146" t="s">
        <v>2859</v>
      </c>
      <c r="E2146" t="s">
        <v>43</v>
      </c>
      <c r="I2146" s="26">
        <v>40909</v>
      </c>
      <c r="J2146" s="28">
        <v>40909</v>
      </c>
      <c r="Q2146" t="s">
        <v>44683</v>
      </c>
      <c r="R2146" t="s">
        <v>47124</v>
      </c>
    </row>
    <row r="2147" spans="1:18" x14ac:dyDescent="0.35">
      <c r="A2147" t="s">
        <v>16226</v>
      </c>
      <c r="D2147" t="s">
        <v>1782</v>
      </c>
      <c r="E2147" t="s">
        <v>43</v>
      </c>
      <c r="I2147" s="26">
        <v>40909</v>
      </c>
      <c r="J2147" s="28">
        <v>40909</v>
      </c>
      <c r="Q2147" t="s">
        <v>44683</v>
      </c>
      <c r="R2147" t="s">
        <v>47125</v>
      </c>
    </row>
    <row r="2148" spans="1:18" x14ac:dyDescent="0.35">
      <c r="A2148" t="s">
        <v>14895</v>
      </c>
      <c r="D2148" t="s">
        <v>2859</v>
      </c>
      <c r="E2148" t="s">
        <v>43</v>
      </c>
      <c r="I2148" s="26">
        <v>40909</v>
      </c>
      <c r="J2148" s="28">
        <v>40909</v>
      </c>
      <c r="Q2148" t="s">
        <v>44683</v>
      </c>
      <c r="R2148" t="s">
        <v>47126</v>
      </c>
    </row>
    <row r="2149" spans="1:18" x14ac:dyDescent="0.35">
      <c r="A2149" t="s">
        <v>15740</v>
      </c>
      <c r="C2149" t="s">
        <v>47127</v>
      </c>
      <c r="D2149" t="s">
        <v>5877</v>
      </c>
      <c r="E2149" t="s">
        <v>43</v>
      </c>
      <c r="I2149" s="26">
        <v>40909</v>
      </c>
      <c r="J2149" s="28">
        <v>40909</v>
      </c>
      <c r="Q2149" t="s">
        <v>44683</v>
      </c>
      <c r="R2149" t="s">
        <v>47128</v>
      </c>
    </row>
    <row r="2150" spans="1:18" x14ac:dyDescent="0.35">
      <c r="A2150" t="s">
        <v>15273</v>
      </c>
      <c r="D2150" t="s">
        <v>5325</v>
      </c>
      <c r="E2150" t="s">
        <v>43</v>
      </c>
      <c r="I2150" s="26">
        <v>40544</v>
      </c>
      <c r="J2150" s="28">
        <v>40544</v>
      </c>
      <c r="Q2150" t="s">
        <v>44683</v>
      </c>
      <c r="R2150" t="s">
        <v>47129</v>
      </c>
    </row>
    <row r="2151" spans="1:18" x14ac:dyDescent="0.35">
      <c r="A2151" t="s">
        <v>15741</v>
      </c>
      <c r="C2151" t="s">
        <v>47130</v>
      </c>
      <c r="D2151" t="s">
        <v>5877</v>
      </c>
      <c r="E2151" t="s">
        <v>43</v>
      </c>
      <c r="I2151" s="26">
        <v>40909</v>
      </c>
      <c r="J2151" s="28">
        <v>40909</v>
      </c>
      <c r="Q2151" t="s">
        <v>44683</v>
      </c>
      <c r="R2151" t="s">
        <v>47131</v>
      </c>
    </row>
    <row r="2152" spans="1:18" x14ac:dyDescent="0.35">
      <c r="A2152" t="s">
        <v>15742</v>
      </c>
      <c r="C2152" t="s">
        <v>46934</v>
      </c>
      <c r="D2152" t="s">
        <v>5877</v>
      </c>
      <c r="E2152" t="s">
        <v>43</v>
      </c>
      <c r="I2152" s="26">
        <v>40909</v>
      </c>
      <c r="J2152" s="28">
        <v>40909</v>
      </c>
      <c r="Q2152" t="s">
        <v>44683</v>
      </c>
      <c r="R2152" t="s">
        <v>47132</v>
      </c>
    </row>
    <row r="2153" spans="1:18" x14ac:dyDescent="0.35">
      <c r="A2153" t="s">
        <v>15763</v>
      </c>
      <c r="C2153" t="s">
        <v>47062</v>
      </c>
      <c r="D2153" t="s">
        <v>5877</v>
      </c>
      <c r="E2153" t="s">
        <v>43</v>
      </c>
      <c r="I2153" s="26">
        <v>40544</v>
      </c>
      <c r="J2153" s="28">
        <v>40544</v>
      </c>
      <c r="Q2153" t="s">
        <v>44683</v>
      </c>
      <c r="R2153" t="s">
        <v>47133</v>
      </c>
    </row>
    <row r="2154" spans="1:18" x14ac:dyDescent="0.35">
      <c r="A2154" t="s">
        <v>16627</v>
      </c>
      <c r="D2154" t="s">
        <v>7260</v>
      </c>
      <c r="E2154" t="s">
        <v>43</v>
      </c>
      <c r="I2154" s="26">
        <v>40909</v>
      </c>
      <c r="J2154" s="28">
        <v>40909</v>
      </c>
      <c r="Q2154" t="s">
        <v>44683</v>
      </c>
      <c r="R2154" t="s">
        <v>47134</v>
      </c>
    </row>
    <row r="2155" spans="1:18" x14ac:dyDescent="0.35">
      <c r="A2155" t="s">
        <v>13460</v>
      </c>
      <c r="C2155" t="s">
        <v>47093</v>
      </c>
      <c r="D2155" t="s">
        <v>5877</v>
      </c>
      <c r="E2155" t="s">
        <v>43</v>
      </c>
      <c r="I2155" s="26">
        <v>40909</v>
      </c>
      <c r="J2155" s="28">
        <v>40909</v>
      </c>
      <c r="Q2155" t="s">
        <v>44683</v>
      </c>
      <c r="R2155" t="s">
        <v>47135</v>
      </c>
    </row>
    <row r="2156" spans="1:18" x14ac:dyDescent="0.35">
      <c r="A2156" t="s">
        <v>15274</v>
      </c>
      <c r="D2156" t="s">
        <v>5325</v>
      </c>
      <c r="E2156" t="s">
        <v>43</v>
      </c>
      <c r="I2156" s="26">
        <v>40544</v>
      </c>
      <c r="J2156" s="28">
        <v>40544</v>
      </c>
      <c r="Q2156" t="s">
        <v>44683</v>
      </c>
      <c r="R2156" t="s">
        <v>47136</v>
      </c>
    </row>
    <row r="2157" spans="1:18" x14ac:dyDescent="0.35">
      <c r="A2157" t="s">
        <v>16441</v>
      </c>
      <c r="D2157" t="s">
        <v>7245</v>
      </c>
      <c r="E2157" t="s">
        <v>43</v>
      </c>
      <c r="I2157" s="26">
        <v>40909</v>
      </c>
      <c r="J2157" s="28">
        <v>40909</v>
      </c>
      <c r="Q2157" t="s">
        <v>44683</v>
      </c>
      <c r="R2157" t="s">
        <v>47137</v>
      </c>
    </row>
    <row r="2158" spans="1:18" x14ac:dyDescent="0.35">
      <c r="A2158" t="s">
        <v>15425</v>
      </c>
      <c r="D2158" t="s">
        <v>5578</v>
      </c>
      <c r="E2158" t="s">
        <v>43</v>
      </c>
      <c r="I2158" s="26">
        <v>40909</v>
      </c>
      <c r="J2158" s="28">
        <v>40909</v>
      </c>
      <c r="Q2158" t="s">
        <v>44683</v>
      </c>
      <c r="R2158" t="s">
        <v>47138</v>
      </c>
    </row>
    <row r="2159" spans="1:18" x14ac:dyDescent="0.35">
      <c r="A2159" t="s">
        <v>16403</v>
      </c>
      <c r="D2159" t="s">
        <v>7211</v>
      </c>
      <c r="E2159" t="s">
        <v>43</v>
      </c>
      <c r="I2159" s="26">
        <v>40909</v>
      </c>
      <c r="J2159" s="28">
        <v>40909</v>
      </c>
      <c r="Q2159" t="s">
        <v>44683</v>
      </c>
      <c r="R2159" t="s">
        <v>47139</v>
      </c>
    </row>
    <row r="2160" spans="1:18" x14ac:dyDescent="0.35">
      <c r="A2160" t="s">
        <v>14896</v>
      </c>
      <c r="D2160" t="s">
        <v>2859</v>
      </c>
      <c r="E2160" t="s">
        <v>43</v>
      </c>
      <c r="I2160" s="26">
        <v>40909</v>
      </c>
      <c r="J2160" s="28">
        <v>40909</v>
      </c>
      <c r="Q2160" t="s">
        <v>44683</v>
      </c>
      <c r="R2160" t="s">
        <v>47140</v>
      </c>
    </row>
    <row r="2161" spans="1:18" x14ac:dyDescent="0.35">
      <c r="A2161" t="s">
        <v>47141</v>
      </c>
      <c r="D2161" t="s">
        <v>1953</v>
      </c>
      <c r="E2161" t="s">
        <v>43</v>
      </c>
      <c r="I2161" s="26">
        <v>40544</v>
      </c>
      <c r="J2161" s="28">
        <v>40544</v>
      </c>
      <c r="Q2161" t="s">
        <v>44683</v>
      </c>
      <c r="R2161" t="s">
        <v>47142</v>
      </c>
    </row>
    <row r="2162" spans="1:18" x14ac:dyDescent="0.35">
      <c r="A2162" t="s">
        <v>15767</v>
      </c>
      <c r="C2162" t="s">
        <v>47143</v>
      </c>
      <c r="D2162" t="s">
        <v>5877</v>
      </c>
      <c r="E2162" t="s">
        <v>43</v>
      </c>
      <c r="I2162" s="26">
        <v>40544</v>
      </c>
      <c r="J2162" s="28">
        <v>40544</v>
      </c>
      <c r="Q2162" t="s">
        <v>44683</v>
      </c>
      <c r="R2162" t="s">
        <v>47144</v>
      </c>
    </row>
    <row r="2163" spans="1:18" x14ac:dyDescent="0.35">
      <c r="A2163" t="s">
        <v>16632</v>
      </c>
      <c r="D2163" t="s">
        <v>7351</v>
      </c>
      <c r="E2163" t="s">
        <v>43</v>
      </c>
      <c r="I2163" s="26">
        <v>40909</v>
      </c>
      <c r="J2163" s="28">
        <v>40909</v>
      </c>
      <c r="Q2163" t="s">
        <v>44683</v>
      </c>
      <c r="R2163" t="s">
        <v>47145</v>
      </c>
    </row>
    <row r="2164" spans="1:18" x14ac:dyDescent="0.35">
      <c r="A2164" t="s">
        <v>14818</v>
      </c>
      <c r="C2164" t="s">
        <v>47146</v>
      </c>
      <c r="D2164" t="s">
        <v>2494</v>
      </c>
      <c r="E2164" t="s">
        <v>43</v>
      </c>
      <c r="I2164" s="26">
        <v>40909</v>
      </c>
      <c r="J2164" s="28">
        <v>40909</v>
      </c>
      <c r="Q2164" t="s">
        <v>44683</v>
      </c>
      <c r="R2164" t="s">
        <v>47147</v>
      </c>
    </row>
    <row r="2165" spans="1:18" x14ac:dyDescent="0.35">
      <c r="A2165" t="s">
        <v>15743</v>
      </c>
      <c r="C2165" t="s">
        <v>47148</v>
      </c>
      <c r="D2165" t="s">
        <v>5877</v>
      </c>
      <c r="E2165" t="s">
        <v>43</v>
      </c>
      <c r="I2165" s="26">
        <v>40909</v>
      </c>
      <c r="J2165" s="28">
        <v>40909</v>
      </c>
      <c r="Q2165" t="s">
        <v>44683</v>
      </c>
      <c r="R2165" t="s">
        <v>47149</v>
      </c>
    </row>
    <row r="2166" spans="1:18" x14ac:dyDescent="0.35">
      <c r="A2166" t="s">
        <v>15744</v>
      </c>
      <c r="D2166" t="s">
        <v>5877</v>
      </c>
      <c r="E2166" t="s">
        <v>43</v>
      </c>
      <c r="I2166" s="26">
        <v>40909</v>
      </c>
      <c r="J2166" s="28">
        <v>40909</v>
      </c>
      <c r="Q2166" t="s">
        <v>44683</v>
      </c>
      <c r="R2166" t="s">
        <v>47150</v>
      </c>
    </row>
    <row r="2167" spans="1:18" x14ac:dyDescent="0.35">
      <c r="A2167" t="s">
        <v>16404</v>
      </c>
      <c r="D2167" t="s">
        <v>7211</v>
      </c>
      <c r="E2167" t="s">
        <v>43</v>
      </c>
      <c r="I2167" s="26">
        <v>40909</v>
      </c>
      <c r="J2167" s="28">
        <v>40909</v>
      </c>
      <c r="Q2167" t="s">
        <v>44683</v>
      </c>
      <c r="R2167" t="s">
        <v>47151</v>
      </c>
    </row>
    <row r="2168" spans="1:18" x14ac:dyDescent="0.35">
      <c r="A2168" t="s">
        <v>15073</v>
      </c>
      <c r="D2168" t="s">
        <v>3470</v>
      </c>
      <c r="E2168" t="s">
        <v>43</v>
      </c>
      <c r="I2168" s="26">
        <v>40909</v>
      </c>
      <c r="J2168" s="28">
        <v>40909</v>
      </c>
      <c r="Q2168" t="s">
        <v>44683</v>
      </c>
      <c r="R2168" t="s">
        <v>47152</v>
      </c>
    </row>
    <row r="2169" spans="1:18" x14ac:dyDescent="0.35">
      <c r="A2169" t="s">
        <v>15770</v>
      </c>
      <c r="C2169" t="s">
        <v>47153</v>
      </c>
      <c r="D2169" t="s">
        <v>5877</v>
      </c>
      <c r="E2169" t="s">
        <v>43</v>
      </c>
      <c r="I2169" s="26">
        <v>40544</v>
      </c>
      <c r="J2169" s="28">
        <v>40544</v>
      </c>
      <c r="Q2169" t="s">
        <v>14474</v>
      </c>
      <c r="R2169" t="s">
        <v>47154</v>
      </c>
    </row>
    <row r="2170" spans="1:18" x14ac:dyDescent="0.35">
      <c r="A2170" t="s">
        <v>16442</v>
      </c>
      <c r="D2170" t="s">
        <v>7245</v>
      </c>
      <c r="E2170" t="s">
        <v>43</v>
      </c>
      <c r="I2170" s="26">
        <v>40909</v>
      </c>
      <c r="J2170" s="28">
        <v>40909</v>
      </c>
      <c r="Q2170" t="s">
        <v>44683</v>
      </c>
      <c r="R2170" t="s">
        <v>47155</v>
      </c>
    </row>
    <row r="2171" spans="1:18" x14ac:dyDescent="0.35">
      <c r="A2171" t="s">
        <v>15771</v>
      </c>
      <c r="C2171" t="s">
        <v>47156</v>
      </c>
      <c r="D2171" t="s">
        <v>5877</v>
      </c>
      <c r="E2171" t="s">
        <v>43</v>
      </c>
      <c r="I2171" s="26">
        <v>40544</v>
      </c>
      <c r="J2171" s="28">
        <v>40544</v>
      </c>
      <c r="Q2171" t="s">
        <v>44683</v>
      </c>
      <c r="R2171" t="s">
        <v>47157</v>
      </c>
    </row>
    <row r="2172" spans="1:18" x14ac:dyDescent="0.35">
      <c r="A2172" t="s">
        <v>14629</v>
      </c>
      <c r="D2172" t="s">
        <v>2221</v>
      </c>
      <c r="E2172" t="s">
        <v>43</v>
      </c>
      <c r="I2172" s="26">
        <v>40909</v>
      </c>
      <c r="J2172" s="28">
        <v>40909</v>
      </c>
      <c r="Q2172" t="s">
        <v>44683</v>
      </c>
      <c r="R2172" t="s">
        <v>47158</v>
      </c>
    </row>
    <row r="2173" spans="1:18" x14ac:dyDescent="0.35">
      <c r="A2173" t="s">
        <v>15074</v>
      </c>
      <c r="D2173" t="s">
        <v>3470</v>
      </c>
      <c r="E2173" t="s">
        <v>43</v>
      </c>
      <c r="I2173" s="26">
        <v>40909</v>
      </c>
      <c r="J2173" s="28">
        <v>40909</v>
      </c>
      <c r="Q2173" t="s">
        <v>44683</v>
      </c>
      <c r="R2173" t="s">
        <v>47159</v>
      </c>
    </row>
    <row r="2174" spans="1:18" x14ac:dyDescent="0.35">
      <c r="A2174" t="s">
        <v>14100</v>
      </c>
      <c r="C2174" t="s">
        <v>47160</v>
      </c>
      <c r="D2174" t="s">
        <v>825</v>
      </c>
      <c r="E2174" t="s">
        <v>43</v>
      </c>
      <c r="I2174" s="26">
        <v>40909</v>
      </c>
      <c r="J2174" s="28">
        <v>40909</v>
      </c>
      <c r="Q2174" t="s">
        <v>44683</v>
      </c>
      <c r="R2174" t="s">
        <v>47161</v>
      </c>
    </row>
    <row r="2175" spans="1:18" x14ac:dyDescent="0.35">
      <c r="A2175" t="s">
        <v>15426</v>
      </c>
      <c r="D2175" t="s">
        <v>5578</v>
      </c>
      <c r="E2175" t="s">
        <v>43</v>
      </c>
      <c r="I2175" s="26">
        <v>40909</v>
      </c>
      <c r="J2175" s="28">
        <v>40909</v>
      </c>
      <c r="Q2175" t="s">
        <v>44683</v>
      </c>
      <c r="R2175" t="s">
        <v>47162</v>
      </c>
    </row>
    <row r="2176" spans="1:18" x14ac:dyDescent="0.35">
      <c r="A2176" t="s">
        <v>16633</v>
      </c>
      <c r="D2176" t="s">
        <v>7351</v>
      </c>
      <c r="E2176" t="s">
        <v>43</v>
      </c>
      <c r="I2176" s="26">
        <v>40909</v>
      </c>
      <c r="J2176" s="28">
        <v>40909</v>
      </c>
      <c r="Q2176" t="s">
        <v>44683</v>
      </c>
      <c r="R2176" t="s">
        <v>47163</v>
      </c>
    </row>
    <row r="2177" spans="1:18" x14ac:dyDescent="0.35">
      <c r="A2177" t="s">
        <v>16405</v>
      </c>
      <c r="D2177" t="s">
        <v>7211</v>
      </c>
      <c r="E2177" t="s">
        <v>43</v>
      </c>
      <c r="I2177" s="26">
        <v>40909</v>
      </c>
      <c r="J2177" s="28">
        <v>40909</v>
      </c>
      <c r="Q2177" t="s">
        <v>44683</v>
      </c>
      <c r="R2177" t="s">
        <v>47164</v>
      </c>
    </row>
    <row r="2178" spans="1:18" x14ac:dyDescent="0.35">
      <c r="A2178" t="s">
        <v>14897</v>
      </c>
      <c r="D2178" t="s">
        <v>2859</v>
      </c>
      <c r="E2178" t="s">
        <v>43</v>
      </c>
      <c r="I2178" s="26">
        <v>40909</v>
      </c>
      <c r="J2178" s="28">
        <v>40909</v>
      </c>
      <c r="Q2178" t="s">
        <v>44683</v>
      </c>
      <c r="R2178" t="s">
        <v>47165</v>
      </c>
    </row>
    <row r="2179" spans="1:18" x14ac:dyDescent="0.35">
      <c r="A2179" t="s">
        <v>16634</v>
      </c>
      <c r="D2179" t="s">
        <v>7351</v>
      </c>
      <c r="E2179" t="s">
        <v>43</v>
      </c>
      <c r="I2179" s="26">
        <v>40909</v>
      </c>
      <c r="J2179" s="28">
        <v>40909</v>
      </c>
      <c r="Q2179" t="s">
        <v>44683</v>
      </c>
      <c r="R2179" t="s">
        <v>47166</v>
      </c>
    </row>
    <row r="2180" spans="1:18" x14ac:dyDescent="0.35">
      <c r="A2180" t="s">
        <v>15618</v>
      </c>
      <c r="C2180" t="s">
        <v>47167</v>
      </c>
      <c r="D2180" t="s">
        <v>5875</v>
      </c>
      <c r="E2180" t="s">
        <v>43</v>
      </c>
      <c r="I2180" s="26">
        <v>40544</v>
      </c>
      <c r="J2180" s="28">
        <v>40544</v>
      </c>
      <c r="Q2180" t="s">
        <v>44683</v>
      </c>
      <c r="R2180" t="s">
        <v>47168</v>
      </c>
    </row>
    <row r="2181" spans="1:18" x14ac:dyDescent="0.35">
      <c r="A2181" t="s">
        <v>15773</v>
      </c>
      <c r="C2181" t="s">
        <v>47169</v>
      </c>
      <c r="D2181" t="s">
        <v>5877</v>
      </c>
      <c r="E2181" t="s">
        <v>43</v>
      </c>
      <c r="I2181" s="26">
        <v>40544</v>
      </c>
      <c r="J2181" s="28">
        <v>40544</v>
      </c>
      <c r="Q2181" t="s">
        <v>44683</v>
      </c>
      <c r="R2181" t="s">
        <v>47170</v>
      </c>
    </row>
    <row r="2182" spans="1:18" x14ac:dyDescent="0.35">
      <c r="A2182" t="s">
        <v>15746</v>
      </c>
      <c r="C2182" t="s">
        <v>47171</v>
      </c>
      <c r="D2182" t="s">
        <v>5877</v>
      </c>
      <c r="E2182" t="s">
        <v>43</v>
      </c>
      <c r="I2182" s="26">
        <v>40909</v>
      </c>
      <c r="J2182" s="28">
        <v>40909</v>
      </c>
      <c r="Q2182" t="s">
        <v>44683</v>
      </c>
      <c r="R2182" t="s">
        <v>47172</v>
      </c>
    </row>
    <row r="2183" spans="1:18" x14ac:dyDescent="0.35">
      <c r="A2183" t="s">
        <v>15619</v>
      </c>
      <c r="C2183" t="s">
        <v>47173</v>
      </c>
      <c r="D2183" t="s">
        <v>5875</v>
      </c>
      <c r="E2183" t="s">
        <v>43</v>
      </c>
      <c r="I2183" s="26">
        <v>40544</v>
      </c>
      <c r="J2183" s="28">
        <v>40544</v>
      </c>
      <c r="Q2183" t="s">
        <v>44683</v>
      </c>
      <c r="R2183" t="s">
        <v>47174</v>
      </c>
    </row>
    <row r="2184" spans="1:18" x14ac:dyDescent="0.35">
      <c r="A2184" t="s">
        <v>14819</v>
      </c>
      <c r="C2184" t="s">
        <v>47146</v>
      </c>
      <c r="D2184" t="s">
        <v>2494</v>
      </c>
      <c r="E2184" t="s">
        <v>43</v>
      </c>
      <c r="I2184" s="26">
        <v>40544</v>
      </c>
      <c r="J2184" s="28">
        <v>40544</v>
      </c>
      <c r="Q2184" t="s">
        <v>44683</v>
      </c>
      <c r="R2184" t="s">
        <v>47175</v>
      </c>
    </row>
    <row r="2185" spans="1:18" x14ac:dyDescent="0.35">
      <c r="A2185" t="s">
        <v>15747</v>
      </c>
      <c r="C2185" t="s">
        <v>46934</v>
      </c>
      <c r="D2185" t="s">
        <v>5877</v>
      </c>
      <c r="E2185" t="s">
        <v>43</v>
      </c>
      <c r="I2185" s="26">
        <v>40909</v>
      </c>
      <c r="J2185" s="28">
        <v>40909</v>
      </c>
      <c r="Q2185" t="s">
        <v>44683</v>
      </c>
      <c r="R2185" t="s">
        <v>47176</v>
      </c>
    </row>
    <row r="2186" spans="1:18" x14ac:dyDescent="0.35">
      <c r="A2186" t="s">
        <v>16363</v>
      </c>
      <c r="C2186" t="s">
        <v>47177</v>
      </c>
      <c r="D2186" t="s">
        <v>7160</v>
      </c>
      <c r="E2186" t="s">
        <v>43</v>
      </c>
      <c r="I2186" s="26">
        <v>40544</v>
      </c>
      <c r="J2186" s="28">
        <v>40544</v>
      </c>
      <c r="Q2186" t="s">
        <v>44683</v>
      </c>
      <c r="R2186" t="s">
        <v>47178</v>
      </c>
    </row>
    <row r="2187" spans="1:18" x14ac:dyDescent="0.35">
      <c r="A2187" t="s">
        <v>15774</v>
      </c>
      <c r="C2187" t="s">
        <v>47179</v>
      </c>
      <c r="D2187" t="s">
        <v>5877</v>
      </c>
      <c r="E2187" t="s">
        <v>43</v>
      </c>
      <c r="I2187" s="26">
        <v>40544</v>
      </c>
      <c r="J2187" s="28">
        <v>40544</v>
      </c>
      <c r="Q2187" t="s">
        <v>44683</v>
      </c>
      <c r="R2187" t="s">
        <v>47180</v>
      </c>
    </row>
    <row r="2188" spans="1:18" x14ac:dyDescent="0.35">
      <c r="A2188" t="s">
        <v>15473</v>
      </c>
      <c r="D2188" t="s">
        <v>5726</v>
      </c>
      <c r="E2188" t="s">
        <v>43</v>
      </c>
      <c r="I2188" s="26">
        <v>40544</v>
      </c>
      <c r="J2188" s="28">
        <v>40544</v>
      </c>
      <c r="Q2188" t="s">
        <v>44683</v>
      </c>
      <c r="R2188" t="s">
        <v>47181</v>
      </c>
    </row>
    <row r="2189" spans="1:18" x14ac:dyDescent="0.35">
      <c r="A2189" t="s">
        <v>15620</v>
      </c>
      <c r="C2189" t="s">
        <v>47182</v>
      </c>
      <c r="D2189" t="s">
        <v>5875</v>
      </c>
      <c r="E2189" t="s">
        <v>43</v>
      </c>
      <c r="I2189" s="26">
        <v>40544</v>
      </c>
      <c r="J2189" s="28">
        <v>40544</v>
      </c>
      <c r="Q2189" t="s">
        <v>44683</v>
      </c>
      <c r="R2189" t="s">
        <v>47183</v>
      </c>
    </row>
    <row r="2190" spans="1:18" x14ac:dyDescent="0.35">
      <c r="A2190" t="s">
        <v>15275</v>
      </c>
      <c r="D2190" t="s">
        <v>5325</v>
      </c>
      <c r="E2190" t="s">
        <v>43</v>
      </c>
      <c r="I2190" s="26">
        <v>40544</v>
      </c>
      <c r="J2190" s="28">
        <v>40544</v>
      </c>
      <c r="Q2190" t="s">
        <v>44683</v>
      </c>
      <c r="R2190" t="s">
        <v>47184</v>
      </c>
    </row>
    <row r="2191" spans="1:18" x14ac:dyDescent="0.35">
      <c r="A2191" t="s">
        <v>15775</v>
      </c>
      <c r="C2191" t="s">
        <v>47062</v>
      </c>
      <c r="D2191" t="s">
        <v>5877</v>
      </c>
      <c r="E2191" t="s">
        <v>43</v>
      </c>
      <c r="I2191" s="26">
        <v>40544</v>
      </c>
      <c r="J2191" s="28">
        <v>40544</v>
      </c>
      <c r="Q2191" t="s">
        <v>44683</v>
      </c>
      <c r="R2191" t="s">
        <v>47185</v>
      </c>
    </row>
    <row r="2192" spans="1:18" x14ac:dyDescent="0.35">
      <c r="A2192" t="s">
        <v>15276</v>
      </c>
      <c r="D2192" t="s">
        <v>5325</v>
      </c>
      <c r="E2192" t="s">
        <v>43</v>
      </c>
      <c r="I2192" s="26">
        <v>40544</v>
      </c>
      <c r="J2192" s="28">
        <v>40544</v>
      </c>
      <c r="Q2192" t="s">
        <v>44683</v>
      </c>
      <c r="R2192" t="s">
        <v>47186</v>
      </c>
    </row>
    <row r="2193" spans="1:18" x14ac:dyDescent="0.35">
      <c r="A2193" t="s">
        <v>15048</v>
      </c>
      <c r="C2193" t="s">
        <v>47090</v>
      </c>
      <c r="D2193" t="s">
        <v>3436</v>
      </c>
      <c r="E2193" t="s">
        <v>43</v>
      </c>
      <c r="I2193" s="26">
        <v>40544</v>
      </c>
      <c r="J2193" s="28">
        <v>40544</v>
      </c>
      <c r="Q2193" t="s">
        <v>44683</v>
      </c>
      <c r="R2193" t="s">
        <v>47187</v>
      </c>
    </row>
    <row r="2194" spans="1:18" x14ac:dyDescent="0.35">
      <c r="A2194" t="s">
        <v>14898</v>
      </c>
      <c r="D2194" t="s">
        <v>2859</v>
      </c>
      <c r="E2194" t="s">
        <v>43</v>
      </c>
      <c r="I2194" s="26">
        <v>40909</v>
      </c>
      <c r="J2194" s="28">
        <v>40909</v>
      </c>
      <c r="Q2194" t="s">
        <v>44683</v>
      </c>
      <c r="R2194" t="s">
        <v>47188</v>
      </c>
    </row>
    <row r="2195" spans="1:18" x14ac:dyDescent="0.35">
      <c r="A2195" t="s">
        <v>14899</v>
      </c>
      <c r="D2195" t="s">
        <v>2859</v>
      </c>
      <c r="E2195" t="s">
        <v>43</v>
      </c>
      <c r="I2195" s="26">
        <v>40909</v>
      </c>
      <c r="J2195" s="28">
        <v>40909</v>
      </c>
      <c r="Q2195" t="s">
        <v>44683</v>
      </c>
      <c r="R2195" t="s">
        <v>47189</v>
      </c>
    </row>
    <row r="2196" spans="1:18" x14ac:dyDescent="0.35">
      <c r="A2196" t="s">
        <v>16635</v>
      </c>
      <c r="D2196" t="s">
        <v>7351</v>
      </c>
      <c r="E2196" t="s">
        <v>43</v>
      </c>
      <c r="I2196" s="26">
        <v>40909</v>
      </c>
      <c r="J2196" s="28">
        <v>40909</v>
      </c>
      <c r="Q2196" t="s">
        <v>44683</v>
      </c>
      <c r="R2196" t="s">
        <v>47190</v>
      </c>
    </row>
    <row r="2197" spans="1:18" x14ac:dyDescent="0.35">
      <c r="A2197" t="s">
        <v>14127</v>
      </c>
      <c r="C2197" t="s">
        <v>47064</v>
      </c>
      <c r="D2197" t="s">
        <v>1056</v>
      </c>
      <c r="E2197" t="s">
        <v>43</v>
      </c>
      <c r="I2197" s="26">
        <v>40544</v>
      </c>
      <c r="J2197" s="28">
        <v>40544</v>
      </c>
      <c r="Q2197" t="s">
        <v>44683</v>
      </c>
      <c r="R2197" t="s">
        <v>47191</v>
      </c>
    </row>
    <row r="2198" spans="1:18" x14ac:dyDescent="0.35">
      <c r="A2198" t="s">
        <v>14630</v>
      </c>
      <c r="D2198" t="s">
        <v>2221</v>
      </c>
      <c r="E2198" t="s">
        <v>43</v>
      </c>
      <c r="I2198" s="26">
        <v>40909</v>
      </c>
      <c r="J2198" s="28">
        <v>40909</v>
      </c>
      <c r="Q2198" t="s">
        <v>44683</v>
      </c>
      <c r="R2198" t="s">
        <v>47192</v>
      </c>
    </row>
    <row r="2199" spans="1:18" x14ac:dyDescent="0.35">
      <c r="A2199" t="s">
        <v>16406</v>
      </c>
      <c r="D2199" t="s">
        <v>7211</v>
      </c>
      <c r="E2199" t="s">
        <v>43</v>
      </c>
      <c r="I2199" s="26">
        <v>40909</v>
      </c>
      <c r="J2199" s="28">
        <v>40909</v>
      </c>
      <c r="Q2199" t="s">
        <v>44683</v>
      </c>
      <c r="R2199" t="s">
        <v>47193</v>
      </c>
    </row>
    <row r="2200" spans="1:18" x14ac:dyDescent="0.35">
      <c r="A2200" t="s">
        <v>15776</v>
      </c>
      <c r="C2200" t="s">
        <v>47194</v>
      </c>
      <c r="D2200" t="s">
        <v>5877</v>
      </c>
      <c r="E2200" t="s">
        <v>43</v>
      </c>
      <c r="I2200" s="26">
        <v>40544</v>
      </c>
      <c r="J2200" s="28">
        <v>40544</v>
      </c>
      <c r="Q2200" t="s">
        <v>44683</v>
      </c>
      <c r="R2200" t="s">
        <v>47195</v>
      </c>
    </row>
    <row r="2201" spans="1:18" x14ac:dyDescent="0.35">
      <c r="A2201" t="s">
        <v>16443</v>
      </c>
      <c r="D2201" t="s">
        <v>7245</v>
      </c>
      <c r="E2201" t="s">
        <v>43</v>
      </c>
      <c r="I2201" s="26">
        <v>40909</v>
      </c>
      <c r="J2201" s="28">
        <v>40909</v>
      </c>
      <c r="Q2201" t="s">
        <v>44683</v>
      </c>
      <c r="R2201" t="s">
        <v>47196</v>
      </c>
    </row>
    <row r="2202" spans="1:18" x14ac:dyDescent="0.35">
      <c r="A2202" t="s">
        <v>15236</v>
      </c>
      <c r="C2202" t="s">
        <v>47197</v>
      </c>
      <c r="D2202" t="s">
        <v>5220</v>
      </c>
      <c r="E2202" t="s">
        <v>43</v>
      </c>
      <c r="I2202" s="26">
        <v>40544</v>
      </c>
      <c r="J2202" s="28">
        <v>40544</v>
      </c>
      <c r="Q2202" t="s">
        <v>44683</v>
      </c>
      <c r="R2202" t="s">
        <v>47198</v>
      </c>
    </row>
    <row r="2203" spans="1:18" x14ac:dyDescent="0.35">
      <c r="A2203" t="s">
        <v>15749</v>
      </c>
      <c r="C2203" t="s">
        <v>47194</v>
      </c>
      <c r="D2203" t="s">
        <v>5877</v>
      </c>
      <c r="E2203" t="s">
        <v>43</v>
      </c>
      <c r="I2203" s="26">
        <v>40544</v>
      </c>
      <c r="J2203" s="28">
        <v>40544</v>
      </c>
      <c r="Q2203" t="s">
        <v>44683</v>
      </c>
      <c r="R2203" t="s">
        <v>47199</v>
      </c>
    </row>
    <row r="2204" spans="1:18" x14ac:dyDescent="0.35">
      <c r="A2204" t="s">
        <v>15751</v>
      </c>
      <c r="C2204" t="s">
        <v>47200</v>
      </c>
      <c r="D2204" t="s">
        <v>5877</v>
      </c>
      <c r="E2204" t="s">
        <v>43</v>
      </c>
      <c r="I2204" s="26">
        <v>40544</v>
      </c>
      <c r="J2204" s="28">
        <v>40544</v>
      </c>
      <c r="Q2204" t="s">
        <v>44683</v>
      </c>
      <c r="R2204" t="s">
        <v>47201</v>
      </c>
    </row>
    <row r="2205" spans="1:18" x14ac:dyDescent="0.35">
      <c r="A2205" t="s">
        <v>16444</v>
      </c>
      <c r="C2205" t="s">
        <v>47202</v>
      </c>
      <c r="D2205" t="s">
        <v>7245</v>
      </c>
      <c r="E2205" t="s">
        <v>43</v>
      </c>
      <c r="I2205" s="26">
        <v>40544</v>
      </c>
      <c r="J2205" s="28">
        <v>40544</v>
      </c>
      <c r="Q2205" t="s">
        <v>44683</v>
      </c>
      <c r="R2205" t="s">
        <v>47203</v>
      </c>
    </row>
    <row r="2206" spans="1:18" x14ac:dyDescent="0.35">
      <c r="A2206" t="s">
        <v>16321</v>
      </c>
      <c r="D2206" t="s">
        <v>7153</v>
      </c>
      <c r="E2206" t="s">
        <v>43</v>
      </c>
      <c r="I2206" s="26">
        <v>40544</v>
      </c>
      <c r="J2206" s="28">
        <v>40544</v>
      </c>
      <c r="Q2206" t="s">
        <v>44683</v>
      </c>
      <c r="R2206" t="s">
        <v>47204</v>
      </c>
    </row>
    <row r="2207" spans="1:18" x14ac:dyDescent="0.35">
      <c r="A2207" t="s">
        <v>16641</v>
      </c>
      <c r="C2207" t="s">
        <v>47156</v>
      </c>
      <c r="D2207" t="s">
        <v>7378</v>
      </c>
      <c r="E2207" t="s">
        <v>43</v>
      </c>
      <c r="I2207" s="26">
        <v>40544</v>
      </c>
      <c r="J2207" s="28">
        <v>40544</v>
      </c>
      <c r="Q2207" t="s">
        <v>44683</v>
      </c>
      <c r="R2207" t="s">
        <v>47205</v>
      </c>
    </row>
    <row r="2208" spans="1:18" x14ac:dyDescent="0.35">
      <c r="A2208" t="s">
        <v>15753</v>
      </c>
      <c r="C2208" t="s">
        <v>47206</v>
      </c>
      <c r="D2208" t="s">
        <v>5877</v>
      </c>
      <c r="E2208" t="s">
        <v>43</v>
      </c>
      <c r="I2208" s="26">
        <v>40544</v>
      </c>
      <c r="J2208" s="28">
        <v>40544</v>
      </c>
      <c r="Q2208" t="s">
        <v>44683</v>
      </c>
      <c r="R2208" t="s">
        <v>47207</v>
      </c>
    </row>
    <row r="2209" spans="1:18" x14ac:dyDescent="0.35">
      <c r="A2209" t="s">
        <v>14060</v>
      </c>
      <c r="C2209" t="s">
        <v>47090</v>
      </c>
      <c r="D2209" t="s">
        <v>3101</v>
      </c>
      <c r="E2209" t="s">
        <v>43</v>
      </c>
      <c r="I2209" s="26">
        <v>40544</v>
      </c>
      <c r="J2209" s="28">
        <v>40544</v>
      </c>
      <c r="Q2209" t="s">
        <v>44683</v>
      </c>
      <c r="R2209" t="s">
        <v>47208</v>
      </c>
    </row>
    <row r="2210" spans="1:18" x14ac:dyDescent="0.35">
      <c r="A2210" t="s">
        <v>16288</v>
      </c>
      <c r="C2210" t="s">
        <v>47209</v>
      </c>
      <c r="D2210" t="s">
        <v>5300</v>
      </c>
      <c r="E2210" t="s">
        <v>43</v>
      </c>
      <c r="I2210" s="26">
        <v>40179</v>
      </c>
      <c r="J2210" s="28">
        <v>40179</v>
      </c>
      <c r="Q2210" t="s">
        <v>44683</v>
      </c>
      <c r="R2210" t="s">
        <v>47210</v>
      </c>
    </row>
    <row r="2211" spans="1:18" x14ac:dyDescent="0.35">
      <c r="A2211" t="s">
        <v>15778</v>
      </c>
      <c r="C2211" t="s">
        <v>47211</v>
      </c>
      <c r="D2211" t="s">
        <v>5877</v>
      </c>
      <c r="E2211" t="s">
        <v>43</v>
      </c>
      <c r="I2211" s="26">
        <v>40179</v>
      </c>
      <c r="J2211" s="28">
        <v>40179</v>
      </c>
      <c r="Q2211" t="s">
        <v>44683</v>
      </c>
      <c r="R2211" t="s">
        <v>47212</v>
      </c>
    </row>
    <row r="2212" spans="1:18" x14ac:dyDescent="0.35">
      <c r="A2212" t="s">
        <v>15779</v>
      </c>
      <c r="C2212" t="s">
        <v>47213</v>
      </c>
      <c r="D2212" t="s">
        <v>5877</v>
      </c>
      <c r="E2212" t="s">
        <v>43</v>
      </c>
      <c r="I2212" s="26">
        <v>40179</v>
      </c>
      <c r="J2212" s="28">
        <v>40179</v>
      </c>
      <c r="Q2212" t="s">
        <v>44683</v>
      </c>
      <c r="R2212" t="s">
        <v>47214</v>
      </c>
    </row>
    <row r="2213" spans="1:18" x14ac:dyDescent="0.35">
      <c r="A2213" t="s">
        <v>16642</v>
      </c>
      <c r="C2213" t="s">
        <v>47156</v>
      </c>
      <c r="D2213" t="s">
        <v>7378</v>
      </c>
      <c r="E2213" t="s">
        <v>43</v>
      </c>
      <c r="I2213" s="26">
        <v>40544</v>
      </c>
      <c r="J2213" s="28">
        <v>40544</v>
      </c>
      <c r="Q2213" t="s">
        <v>44683</v>
      </c>
      <c r="R2213" t="s">
        <v>47215</v>
      </c>
    </row>
    <row r="2214" spans="1:18" x14ac:dyDescent="0.35">
      <c r="A2214" t="s">
        <v>15475</v>
      </c>
      <c r="C2214" t="s">
        <v>47216</v>
      </c>
      <c r="D2214" t="s">
        <v>5788</v>
      </c>
      <c r="E2214" t="s">
        <v>43</v>
      </c>
      <c r="I2214" s="26">
        <v>40179</v>
      </c>
      <c r="J2214" s="28">
        <v>40179</v>
      </c>
      <c r="Q2214" t="s">
        <v>44683</v>
      </c>
      <c r="R2214" t="s">
        <v>47217</v>
      </c>
    </row>
    <row r="2215" spans="1:18" x14ac:dyDescent="0.35">
      <c r="A2215" t="s">
        <v>15780</v>
      </c>
      <c r="C2215" t="s">
        <v>47218</v>
      </c>
      <c r="D2215" t="s">
        <v>5877</v>
      </c>
      <c r="E2215" t="s">
        <v>43</v>
      </c>
      <c r="I2215" s="26">
        <v>40179</v>
      </c>
      <c r="J2215" s="28">
        <v>40179</v>
      </c>
      <c r="Q2215" t="s">
        <v>44683</v>
      </c>
      <c r="R2215" t="s">
        <v>47219</v>
      </c>
    </row>
    <row r="2216" spans="1:18" x14ac:dyDescent="0.35">
      <c r="A2216" t="s">
        <v>47220</v>
      </c>
      <c r="C2216" t="s">
        <v>47221</v>
      </c>
      <c r="D2216" t="s">
        <v>2462</v>
      </c>
      <c r="E2216" t="s">
        <v>43</v>
      </c>
      <c r="I2216" s="26">
        <v>40544</v>
      </c>
      <c r="J2216" s="28">
        <v>40544</v>
      </c>
      <c r="Q2216" t="s">
        <v>44683</v>
      </c>
      <c r="R2216" t="s">
        <v>47222</v>
      </c>
    </row>
    <row r="2217" spans="1:18" x14ac:dyDescent="0.35">
      <c r="A2217" t="s">
        <v>16208</v>
      </c>
      <c r="D2217" t="s">
        <v>1770</v>
      </c>
      <c r="E2217" t="s">
        <v>43</v>
      </c>
      <c r="I2217" s="26">
        <v>40544</v>
      </c>
      <c r="J2217" s="28">
        <v>40544</v>
      </c>
      <c r="Q2217" t="s">
        <v>44683</v>
      </c>
      <c r="R2217" t="s">
        <v>47223</v>
      </c>
    </row>
    <row r="2218" spans="1:18" x14ac:dyDescent="0.35">
      <c r="A2218" t="s">
        <v>15756</v>
      </c>
      <c r="C2218" t="s">
        <v>47156</v>
      </c>
      <c r="D2218" t="s">
        <v>5877</v>
      </c>
      <c r="E2218" t="s">
        <v>43</v>
      </c>
      <c r="I2218" s="26">
        <v>40544</v>
      </c>
      <c r="J2218" s="28">
        <v>40544</v>
      </c>
      <c r="Q2218" t="s">
        <v>44683</v>
      </c>
      <c r="R2218" t="s">
        <v>47224</v>
      </c>
    </row>
    <row r="2219" spans="1:18" x14ac:dyDescent="0.35">
      <c r="A2219" t="s">
        <v>14319</v>
      </c>
      <c r="C2219" t="s">
        <v>47225</v>
      </c>
      <c r="D2219" t="s">
        <v>1776</v>
      </c>
      <c r="E2219" t="s">
        <v>43</v>
      </c>
      <c r="I2219" s="26">
        <v>40544</v>
      </c>
      <c r="J2219" s="28">
        <v>40544</v>
      </c>
      <c r="Q2219" t="s">
        <v>44683</v>
      </c>
      <c r="R2219" t="s">
        <v>47226</v>
      </c>
    </row>
    <row r="2220" spans="1:18" x14ac:dyDescent="0.35">
      <c r="A2220" t="s">
        <v>14061</v>
      </c>
      <c r="C2220" t="s">
        <v>47090</v>
      </c>
      <c r="D2220" t="s">
        <v>3101</v>
      </c>
      <c r="E2220" t="s">
        <v>43</v>
      </c>
      <c r="I2220" s="26">
        <v>40544</v>
      </c>
      <c r="J2220" s="28">
        <v>40544</v>
      </c>
      <c r="Q2220" t="s">
        <v>44683</v>
      </c>
      <c r="R2220" t="s">
        <v>47227</v>
      </c>
    </row>
    <row r="2221" spans="1:18" x14ac:dyDescent="0.35">
      <c r="A2221" t="s">
        <v>15782</v>
      </c>
      <c r="C2221" t="s">
        <v>47228</v>
      </c>
      <c r="D2221" t="s">
        <v>5877</v>
      </c>
      <c r="E2221" t="s">
        <v>43</v>
      </c>
      <c r="I2221" s="26">
        <v>40179</v>
      </c>
      <c r="J2221" s="28">
        <v>40179</v>
      </c>
      <c r="Q2221" t="s">
        <v>44683</v>
      </c>
      <c r="R2221" t="s">
        <v>47229</v>
      </c>
    </row>
    <row r="2222" spans="1:18" x14ac:dyDescent="0.35">
      <c r="A2222" t="s">
        <v>14332</v>
      </c>
      <c r="C2222" t="s">
        <v>47156</v>
      </c>
      <c r="D2222" t="s">
        <v>1763</v>
      </c>
      <c r="E2222" t="s">
        <v>43</v>
      </c>
      <c r="I2222" s="26">
        <v>40544</v>
      </c>
      <c r="J2222" s="28">
        <v>40544</v>
      </c>
      <c r="Q2222" t="s">
        <v>44683</v>
      </c>
      <c r="R2222" t="s">
        <v>47230</v>
      </c>
    </row>
    <row r="2223" spans="1:18" x14ac:dyDescent="0.35">
      <c r="A2223" t="s">
        <v>15047</v>
      </c>
      <c r="C2223" t="s">
        <v>47090</v>
      </c>
      <c r="D2223" t="s">
        <v>3436</v>
      </c>
      <c r="E2223" t="s">
        <v>43</v>
      </c>
      <c r="I2223" s="26">
        <v>40544</v>
      </c>
      <c r="J2223" s="28">
        <v>40544</v>
      </c>
      <c r="Q2223" t="s">
        <v>44683</v>
      </c>
      <c r="R2223" t="s">
        <v>47231</v>
      </c>
    </row>
    <row r="2224" spans="1:18" x14ac:dyDescent="0.35">
      <c r="A2224" t="s">
        <v>14820</v>
      </c>
      <c r="C2224" t="s">
        <v>47232</v>
      </c>
      <c r="D2224" t="s">
        <v>2494</v>
      </c>
      <c r="E2224" t="s">
        <v>43</v>
      </c>
      <c r="I2224" s="26">
        <v>40179</v>
      </c>
      <c r="J2224" s="28">
        <v>40179</v>
      </c>
      <c r="Q2224" t="s">
        <v>44683</v>
      </c>
      <c r="R2224" t="s">
        <v>47233</v>
      </c>
    </row>
    <row r="2225" spans="1:18" x14ac:dyDescent="0.35">
      <c r="A2225" t="s">
        <v>16323</v>
      </c>
      <c r="D2225" t="s">
        <v>7153</v>
      </c>
      <c r="E2225" t="s">
        <v>43</v>
      </c>
      <c r="I2225" s="26">
        <v>40544</v>
      </c>
      <c r="J2225" s="28">
        <v>40544</v>
      </c>
      <c r="Q2225" t="s">
        <v>44683</v>
      </c>
      <c r="R2225" t="s">
        <v>47234</v>
      </c>
    </row>
    <row r="2226" spans="1:18" x14ac:dyDescent="0.35">
      <c r="A2226" t="s">
        <v>14333</v>
      </c>
      <c r="C2226" t="s">
        <v>47156</v>
      </c>
      <c r="D2226" t="s">
        <v>1763</v>
      </c>
      <c r="E2226" t="s">
        <v>43</v>
      </c>
      <c r="I2226" s="26">
        <v>40544</v>
      </c>
      <c r="J2226" s="28">
        <v>40544</v>
      </c>
      <c r="Q2226" t="s">
        <v>44683</v>
      </c>
      <c r="R2226" t="s">
        <v>47235</v>
      </c>
    </row>
    <row r="2227" spans="1:18" x14ac:dyDescent="0.35">
      <c r="A2227" t="s">
        <v>15784</v>
      </c>
      <c r="C2227" t="s">
        <v>47236</v>
      </c>
      <c r="D2227" t="s">
        <v>5877</v>
      </c>
      <c r="E2227" t="s">
        <v>43</v>
      </c>
      <c r="I2227" s="26">
        <v>40179</v>
      </c>
      <c r="J2227" s="28">
        <v>40179</v>
      </c>
      <c r="Q2227" t="s">
        <v>44683</v>
      </c>
      <c r="R2227" t="s">
        <v>47237</v>
      </c>
    </row>
    <row r="2228" spans="1:18" x14ac:dyDescent="0.35">
      <c r="A2228" t="s">
        <v>15785</v>
      </c>
      <c r="C2228" t="s">
        <v>47238</v>
      </c>
      <c r="D2228" t="s">
        <v>5877</v>
      </c>
      <c r="E2228" t="s">
        <v>43</v>
      </c>
      <c r="I2228" s="26">
        <v>40179</v>
      </c>
      <c r="J2228" s="28">
        <v>40179</v>
      </c>
      <c r="Q2228" t="s">
        <v>44683</v>
      </c>
      <c r="R2228" t="s">
        <v>47239</v>
      </c>
    </row>
    <row r="2229" spans="1:18" x14ac:dyDescent="0.35">
      <c r="A2229" t="s">
        <v>16290</v>
      </c>
      <c r="C2229" t="s">
        <v>47240</v>
      </c>
      <c r="D2229" t="s">
        <v>5300</v>
      </c>
      <c r="E2229" t="s">
        <v>43</v>
      </c>
      <c r="I2229" s="26">
        <v>40179</v>
      </c>
      <c r="J2229" s="28">
        <v>40179</v>
      </c>
      <c r="Q2229" t="s">
        <v>44683</v>
      </c>
      <c r="R2229" t="s">
        <v>47241</v>
      </c>
    </row>
    <row r="2230" spans="1:18" x14ac:dyDescent="0.35">
      <c r="A2230" t="s">
        <v>15238</v>
      </c>
      <c r="C2230" t="s">
        <v>47242</v>
      </c>
      <c r="D2230" t="s">
        <v>5220</v>
      </c>
      <c r="E2230" t="s">
        <v>43</v>
      </c>
      <c r="I2230" s="26">
        <v>40544</v>
      </c>
      <c r="J2230" s="28">
        <v>40544</v>
      </c>
      <c r="Q2230" t="s">
        <v>44683</v>
      </c>
      <c r="R2230" t="s">
        <v>47243</v>
      </c>
    </row>
    <row r="2231" spans="1:18" x14ac:dyDescent="0.35">
      <c r="A2231" t="s">
        <v>47244</v>
      </c>
      <c r="C2231" t="s">
        <v>47245</v>
      </c>
      <c r="D2231" t="s">
        <v>2462</v>
      </c>
      <c r="E2231" t="s">
        <v>43</v>
      </c>
      <c r="I2231" s="26">
        <v>40544</v>
      </c>
      <c r="J2231" s="28">
        <v>40544</v>
      </c>
      <c r="Q2231" t="s">
        <v>44683</v>
      </c>
      <c r="R2231" t="s">
        <v>47246</v>
      </c>
    </row>
    <row r="2232" spans="1:18" x14ac:dyDescent="0.35">
      <c r="A2232" t="s">
        <v>14320</v>
      </c>
      <c r="C2232" t="s">
        <v>47247</v>
      </c>
      <c r="D2232" t="s">
        <v>1776</v>
      </c>
      <c r="E2232" t="s">
        <v>43</v>
      </c>
      <c r="I2232" s="26">
        <v>40544</v>
      </c>
      <c r="J2232" s="28">
        <v>40544</v>
      </c>
      <c r="Q2232" t="s">
        <v>44683</v>
      </c>
      <c r="R2232" t="s">
        <v>47248</v>
      </c>
    </row>
    <row r="2233" spans="1:18" x14ac:dyDescent="0.35">
      <c r="A2233" t="s">
        <v>15759</v>
      </c>
      <c r="C2233" t="s">
        <v>47206</v>
      </c>
      <c r="D2233" t="s">
        <v>5877</v>
      </c>
      <c r="E2233" t="s">
        <v>43</v>
      </c>
      <c r="I2233" s="26">
        <v>40544</v>
      </c>
      <c r="J2233" s="28">
        <v>40544</v>
      </c>
      <c r="Q2233" t="s">
        <v>44683</v>
      </c>
      <c r="R2233" t="s">
        <v>47249</v>
      </c>
    </row>
    <row r="2234" spans="1:18" x14ac:dyDescent="0.35">
      <c r="A2234" t="s">
        <v>15617</v>
      </c>
      <c r="C2234" t="s">
        <v>47250</v>
      </c>
      <c r="D2234" t="s">
        <v>5875</v>
      </c>
      <c r="E2234" t="s">
        <v>43</v>
      </c>
      <c r="I2234" s="26">
        <v>40544</v>
      </c>
      <c r="J2234" s="28">
        <v>40544</v>
      </c>
      <c r="Q2234" t="s">
        <v>44683</v>
      </c>
      <c r="R2234" t="s">
        <v>47251</v>
      </c>
    </row>
    <row r="2235" spans="1:18" x14ac:dyDescent="0.35">
      <c r="A2235" t="s">
        <v>15760</v>
      </c>
      <c r="C2235" t="s">
        <v>47156</v>
      </c>
      <c r="D2235" t="s">
        <v>5877</v>
      </c>
      <c r="E2235" t="s">
        <v>43</v>
      </c>
      <c r="I2235" s="26">
        <v>40544</v>
      </c>
      <c r="J2235" s="28">
        <v>40544</v>
      </c>
      <c r="Q2235" t="s">
        <v>44683</v>
      </c>
      <c r="R2235" t="s">
        <v>47252</v>
      </c>
    </row>
    <row r="2236" spans="1:18" x14ac:dyDescent="0.35">
      <c r="A2236" t="s">
        <v>14835</v>
      </c>
      <c r="D2236" t="s">
        <v>2688</v>
      </c>
      <c r="E2236" t="s">
        <v>43</v>
      </c>
      <c r="I2236" s="26">
        <v>40544</v>
      </c>
      <c r="J2236" s="28">
        <v>40544</v>
      </c>
      <c r="Q2236" t="s">
        <v>44683</v>
      </c>
      <c r="R2236" t="s">
        <v>47253</v>
      </c>
    </row>
    <row r="2237" spans="1:18" x14ac:dyDescent="0.35">
      <c r="A2237" t="s">
        <v>15790</v>
      </c>
      <c r="C2237" t="s">
        <v>47254</v>
      </c>
      <c r="D2237" t="s">
        <v>5877</v>
      </c>
      <c r="E2237" t="s">
        <v>43</v>
      </c>
      <c r="I2237" s="26">
        <v>40179</v>
      </c>
      <c r="J2237" s="28">
        <v>40179</v>
      </c>
      <c r="Q2237" t="s">
        <v>44683</v>
      </c>
      <c r="R2237" t="s">
        <v>47255</v>
      </c>
    </row>
    <row r="2238" spans="1:18" x14ac:dyDescent="0.35">
      <c r="A2238" t="s">
        <v>14482</v>
      </c>
      <c r="C2238" t="s">
        <v>47064</v>
      </c>
      <c r="D2238" t="s">
        <v>2088</v>
      </c>
      <c r="E2238" t="s">
        <v>43</v>
      </c>
      <c r="I2238" s="26">
        <v>40544</v>
      </c>
      <c r="J2238" s="28">
        <v>40544</v>
      </c>
      <c r="Q2238" t="s">
        <v>44683</v>
      </c>
      <c r="R2238" t="s">
        <v>47256</v>
      </c>
    </row>
    <row r="2239" spans="1:18" x14ac:dyDescent="0.35">
      <c r="A2239" t="s">
        <v>15791</v>
      </c>
      <c r="C2239" t="s">
        <v>47257</v>
      </c>
      <c r="D2239" t="s">
        <v>5877</v>
      </c>
      <c r="E2239" t="s">
        <v>43</v>
      </c>
      <c r="I2239" s="26">
        <v>40179</v>
      </c>
      <c r="J2239" s="28">
        <v>40179</v>
      </c>
      <c r="Q2239" t="s">
        <v>44683</v>
      </c>
      <c r="R2239" t="s">
        <v>47258</v>
      </c>
    </row>
    <row r="2240" spans="1:18" x14ac:dyDescent="0.35">
      <c r="A2240" t="s">
        <v>15761</v>
      </c>
      <c r="C2240" t="s">
        <v>47259</v>
      </c>
      <c r="D2240" t="s">
        <v>5877</v>
      </c>
      <c r="E2240" t="s">
        <v>43</v>
      </c>
      <c r="I2240" s="26">
        <v>40544</v>
      </c>
      <c r="J2240" s="28">
        <v>40544</v>
      </c>
      <c r="Q2240" t="s">
        <v>44683</v>
      </c>
      <c r="R2240" t="s">
        <v>47260</v>
      </c>
    </row>
    <row r="2241" spans="1:18" x14ac:dyDescent="0.35">
      <c r="A2241" t="s">
        <v>15793</v>
      </c>
      <c r="C2241" t="s">
        <v>47173</v>
      </c>
      <c r="D2241" t="s">
        <v>5877</v>
      </c>
      <c r="E2241" t="s">
        <v>43</v>
      </c>
      <c r="I2241" s="26">
        <v>40179</v>
      </c>
      <c r="J2241" s="28">
        <v>40179</v>
      </c>
      <c r="Q2241" t="s">
        <v>44683</v>
      </c>
      <c r="R2241" t="s">
        <v>47261</v>
      </c>
    </row>
    <row r="2242" spans="1:18" x14ac:dyDescent="0.35">
      <c r="A2242" t="s">
        <v>15164</v>
      </c>
      <c r="D2242" t="s">
        <v>5132</v>
      </c>
      <c r="E2242" t="s">
        <v>43</v>
      </c>
      <c r="I2242" s="26">
        <v>40544</v>
      </c>
      <c r="J2242" s="28">
        <v>40544</v>
      </c>
      <c r="Q2242" t="s">
        <v>44683</v>
      </c>
      <c r="R2242" t="s">
        <v>47262</v>
      </c>
    </row>
    <row r="2243" spans="1:18" x14ac:dyDescent="0.35">
      <c r="A2243" t="s">
        <v>15240</v>
      </c>
      <c r="C2243" t="s">
        <v>47263</v>
      </c>
      <c r="D2243" t="s">
        <v>5220</v>
      </c>
      <c r="E2243" t="s">
        <v>43</v>
      </c>
      <c r="I2243" s="26">
        <v>40544</v>
      </c>
      <c r="J2243" s="28">
        <v>40544</v>
      </c>
      <c r="Q2243" t="s">
        <v>44683</v>
      </c>
      <c r="R2243" t="s">
        <v>47264</v>
      </c>
    </row>
    <row r="2244" spans="1:18" x14ac:dyDescent="0.35">
      <c r="A2244" t="s">
        <v>15241</v>
      </c>
      <c r="C2244" t="s">
        <v>47265</v>
      </c>
      <c r="D2244" t="s">
        <v>5220</v>
      </c>
      <c r="E2244" t="s">
        <v>43</v>
      </c>
      <c r="I2244" s="26">
        <v>40544</v>
      </c>
      <c r="J2244" s="28">
        <v>40544</v>
      </c>
      <c r="Q2244" t="s">
        <v>44683</v>
      </c>
      <c r="R2244" t="s">
        <v>47266</v>
      </c>
    </row>
    <row r="2245" spans="1:18" x14ac:dyDescent="0.35">
      <c r="A2245" t="s">
        <v>15242</v>
      </c>
      <c r="C2245" t="s">
        <v>47267</v>
      </c>
      <c r="D2245" t="s">
        <v>5220</v>
      </c>
      <c r="E2245" t="s">
        <v>43</v>
      </c>
      <c r="I2245" s="26">
        <v>40544</v>
      </c>
      <c r="J2245" s="28">
        <v>40544</v>
      </c>
      <c r="Q2245" t="s">
        <v>44683</v>
      </c>
      <c r="R2245" t="s">
        <v>47268</v>
      </c>
    </row>
    <row r="2246" spans="1:18" x14ac:dyDescent="0.35">
      <c r="A2246" t="s">
        <v>15348</v>
      </c>
      <c r="C2246" t="s">
        <v>47062</v>
      </c>
      <c r="D2246" t="s">
        <v>5388</v>
      </c>
      <c r="E2246" t="s">
        <v>43</v>
      </c>
      <c r="I2246" s="26">
        <v>40544</v>
      </c>
      <c r="J2246" s="28">
        <v>40544</v>
      </c>
      <c r="Q2246" t="s">
        <v>44683</v>
      </c>
      <c r="R2246" t="s">
        <v>47269</v>
      </c>
    </row>
    <row r="2247" spans="1:18" x14ac:dyDescent="0.35">
      <c r="A2247" t="s">
        <v>14102</v>
      </c>
      <c r="C2247" t="s">
        <v>47270</v>
      </c>
      <c r="D2247" t="s">
        <v>924</v>
      </c>
      <c r="E2247" t="s">
        <v>43</v>
      </c>
      <c r="I2247" s="26">
        <v>40544</v>
      </c>
      <c r="J2247" s="28">
        <v>40544</v>
      </c>
      <c r="Q2247" t="s">
        <v>44683</v>
      </c>
      <c r="R2247" t="s">
        <v>47271</v>
      </c>
    </row>
    <row r="2248" spans="1:18" x14ac:dyDescent="0.35">
      <c r="A2248" t="s">
        <v>16361</v>
      </c>
      <c r="C2248" t="s">
        <v>47272</v>
      </c>
      <c r="D2248" t="s">
        <v>7160</v>
      </c>
      <c r="E2248" t="s">
        <v>43</v>
      </c>
      <c r="I2248" s="26">
        <v>40544</v>
      </c>
      <c r="J2248" s="28">
        <v>40544</v>
      </c>
      <c r="Q2248" t="s">
        <v>44683</v>
      </c>
      <c r="R2248" t="s">
        <v>47273</v>
      </c>
    </row>
    <row r="2249" spans="1:18" x14ac:dyDescent="0.35">
      <c r="A2249" t="s">
        <v>16446</v>
      </c>
      <c r="C2249" t="s">
        <v>47274</v>
      </c>
      <c r="D2249" t="s">
        <v>7245</v>
      </c>
      <c r="E2249" t="s">
        <v>43</v>
      </c>
      <c r="I2249" s="26">
        <v>40179</v>
      </c>
      <c r="J2249" s="28">
        <v>40179</v>
      </c>
      <c r="Q2249" t="s">
        <v>44683</v>
      </c>
      <c r="R2249" t="s">
        <v>47275</v>
      </c>
    </row>
    <row r="2250" spans="1:18" x14ac:dyDescent="0.35">
      <c r="A2250" t="s">
        <v>14321</v>
      </c>
      <c r="C2250" t="s">
        <v>47276</v>
      </c>
      <c r="D2250" t="s">
        <v>1776</v>
      </c>
      <c r="E2250" t="s">
        <v>43</v>
      </c>
      <c r="I2250" s="26">
        <v>40544</v>
      </c>
      <c r="J2250" s="28">
        <v>40544</v>
      </c>
      <c r="Q2250" t="s">
        <v>44683</v>
      </c>
      <c r="R2250" t="s">
        <v>47277</v>
      </c>
    </row>
    <row r="2251" spans="1:18" x14ac:dyDescent="0.35">
      <c r="A2251" t="s">
        <v>15796</v>
      </c>
      <c r="C2251" t="s">
        <v>47278</v>
      </c>
      <c r="D2251" t="s">
        <v>5877</v>
      </c>
      <c r="E2251" t="s">
        <v>43</v>
      </c>
      <c r="I2251" s="26">
        <v>40179</v>
      </c>
      <c r="J2251" s="28">
        <v>40179</v>
      </c>
      <c r="Q2251" t="s">
        <v>44683</v>
      </c>
      <c r="R2251" t="s">
        <v>47279</v>
      </c>
    </row>
    <row r="2252" spans="1:18" x14ac:dyDescent="0.35">
      <c r="A2252" t="s">
        <v>47280</v>
      </c>
      <c r="C2252" t="s">
        <v>47281</v>
      </c>
      <c r="D2252" t="s">
        <v>1172</v>
      </c>
      <c r="E2252" t="s">
        <v>43</v>
      </c>
      <c r="I2252" s="26">
        <v>40179</v>
      </c>
      <c r="J2252" s="28">
        <v>40179</v>
      </c>
      <c r="Q2252" t="s">
        <v>44683</v>
      </c>
      <c r="R2252" t="s">
        <v>47282</v>
      </c>
    </row>
    <row r="2253" spans="1:18" x14ac:dyDescent="0.35">
      <c r="A2253" t="s">
        <v>14103</v>
      </c>
      <c r="C2253" t="s">
        <v>47270</v>
      </c>
      <c r="D2253" t="s">
        <v>924</v>
      </c>
      <c r="E2253" t="s">
        <v>43</v>
      </c>
      <c r="I2253" s="26">
        <v>40544</v>
      </c>
      <c r="J2253" s="28">
        <v>40544</v>
      </c>
      <c r="Q2253" t="s">
        <v>44683</v>
      </c>
      <c r="R2253" t="s">
        <v>47283</v>
      </c>
    </row>
    <row r="2254" spans="1:18" x14ac:dyDescent="0.35">
      <c r="A2254" t="s">
        <v>16291</v>
      </c>
      <c r="C2254" t="s">
        <v>47284</v>
      </c>
      <c r="D2254" t="s">
        <v>5300</v>
      </c>
      <c r="E2254" t="s">
        <v>43</v>
      </c>
      <c r="I2254" s="26">
        <v>40179</v>
      </c>
      <c r="J2254" s="28">
        <v>40179</v>
      </c>
      <c r="Q2254" t="s">
        <v>44683</v>
      </c>
      <c r="R2254" t="s">
        <v>47285</v>
      </c>
    </row>
    <row r="2255" spans="1:18" x14ac:dyDescent="0.35">
      <c r="A2255" t="s">
        <v>15244</v>
      </c>
      <c r="C2255" t="s">
        <v>47090</v>
      </c>
      <c r="D2255" t="s">
        <v>5220</v>
      </c>
      <c r="E2255" t="s">
        <v>43</v>
      </c>
      <c r="I2255" s="26">
        <v>40544</v>
      </c>
      <c r="J2255" s="28">
        <v>40544</v>
      </c>
      <c r="Q2255" t="s">
        <v>44683</v>
      </c>
      <c r="R2255" t="s">
        <v>47286</v>
      </c>
    </row>
    <row r="2256" spans="1:18" x14ac:dyDescent="0.35">
      <c r="A2256" t="s">
        <v>14836</v>
      </c>
      <c r="D2256" t="s">
        <v>2688</v>
      </c>
      <c r="E2256" t="s">
        <v>43</v>
      </c>
      <c r="I2256" s="26">
        <v>40544</v>
      </c>
      <c r="J2256" s="28">
        <v>40544</v>
      </c>
      <c r="Q2256" t="s">
        <v>44683</v>
      </c>
      <c r="R2256" t="s">
        <v>47287</v>
      </c>
    </row>
    <row r="2257" spans="1:18" x14ac:dyDescent="0.35">
      <c r="A2257" t="s">
        <v>16209</v>
      </c>
      <c r="D2257" t="s">
        <v>1770</v>
      </c>
      <c r="E2257" t="s">
        <v>43</v>
      </c>
      <c r="I2257" s="26">
        <v>40544</v>
      </c>
      <c r="J2257" s="28">
        <v>40544</v>
      </c>
      <c r="Q2257" t="s">
        <v>44683</v>
      </c>
      <c r="R2257" t="s">
        <v>47288</v>
      </c>
    </row>
    <row r="2258" spans="1:18" x14ac:dyDescent="0.35">
      <c r="A2258" t="s">
        <v>15245</v>
      </c>
      <c r="C2258" t="s">
        <v>47070</v>
      </c>
      <c r="D2258" t="s">
        <v>5220</v>
      </c>
      <c r="E2258" t="s">
        <v>43</v>
      </c>
      <c r="I2258" s="26">
        <v>40544</v>
      </c>
      <c r="J2258" s="28">
        <v>40544</v>
      </c>
      <c r="Q2258" t="s">
        <v>44683</v>
      </c>
      <c r="R2258" t="s">
        <v>47289</v>
      </c>
    </row>
    <row r="2259" spans="1:18" x14ac:dyDescent="0.35">
      <c r="A2259" t="s">
        <v>15477</v>
      </c>
      <c r="C2259" t="s">
        <v>47216</v>
      </c>
      <c r="D2259" t="s">
        <v>5788</v>
      </c>
      <c r="E2259" t="s">
        <v>43</v>
      </c>
      <c r="I2259" s="26">
        <v>40179</v>
      </c>
      <c r="J2259" s="28">
        <v>40179</v>
      </c>
      <c r="Q2259" t="s">
        <v>44683</v>
      </c>
      <c r="R2259" t="s">
        <v>47290</v>
      </c>
    </row>
    <row r="2260" spans="1:18" x14ac:dyDescent="0.35">
      <c r="A2260" t="s">
        <v>14322</v>
      </c>
      <c r="C2260" t="s">
        <v>40913</v>
      </c>
      <c r="D2260" t="s">
        <v>1776</v>
      </c>
      <c r="E2260" t="s">
        <v>43</v>
      </c>
      <c r="I2260" s="26">
        <v>40544</v>
      </c>
      <c r="J2260" s="28">
        <v>40544</v>
      </c>
      <c r="Q2260" t="s">
        <v>44683</v>
      </c>
      <c r="R2260" t="s">
        <v>47291</v>
      </c>
    </row>
    <row r="2261" spans="1:18" x14ac:dyDescent="0.35">
      <c r="A2261" t="s">
        <v>14334</v>
      </c>
      <c r="C2261" t="s">
        <v>47156</v>
      </c>
      <c r="D2261" t="s">
        <v>1763</v>
      </c>
      <c r="E2261" t="s">
        <v>43</v>
      </c>
      <c r="I2261" s="26">
        <v>40544</v>
      </c>
      <c r="J2261" s="28">
        <v>40544</v>
      </c>
      <c r="Q2261" t="s">
        <v>44683</v>
      </c>
      <c r="R2261" t="s">
        <v>47292</v>
      </c>
    </row>
    <row r="2262" spans="1:18" x14ac:dyDescent="0.35">
      <c r="A2262" t="s">
        <v>47293</v>
      </c>
      <c r="C2262" t="s">
        <v>47294</v>
      </c>
      <c r="D2262" t="s">
        <v>2462</v>
      </c>
      <c r="E2262" t="s">
        <v>43</v>
      </c>
      <c r="I2262" s="26">
        <v>40544</v>
      </c>
      <c r="J2262" s="28">
        <v>40544</v>
      </c>
      <c r="Q2262" t="s">
        <v>44683</v>
      </c>
      <c r="R2262" t="s">
        <v>47295</v>
      </c>
    </row>
    <row r="2263" spans="1:18" x14ac:dyDescent="0.35">
      <c r="A2263" t="s">
        <v>15764</v>
      </c>
      <c r="C2263" t="s">
        <v>47296</v>
      </c>
      <c r="D2263" t="s">
        <v>5877</v>
      </c>
      <c r="E2263" t="s">
        <v>43</v>
      </c>
      <c r="I2263" s="26">
        <v>40544</v>
      </c>
      <c r="J2263" s="28">
        <v>40544</v>
      </c>
      <c r="Q2263" t="s">
        <v>44683</v>
      </c>
      <c r="R2263" t="s">
        <v>47297</v>
      </c>
    </row>
    <row r="2264" spans="1:18" x14ac:dyDescent="0.35">
      <c r="A2264" t="s">
        <v>15765</v>
      </c>
      <c r="C2264" t="s">
        <v>47298</v>
      </c>
      <c r="D2264" t="s">
        <v>5877</v>
      </c>
      <c r="E2264" t="s">
        <v>43</v>
      </c>
      <c r="I2264" s="26">
        <v>40544</v>
      </c>
      <c r="J2264" s="28">
        <v>40544</v>
      </c>
      <c r="Q2264" t="s">
        <v>44683</v>
      </c>
      <c r="R2264" t="s">
        <v>47299</v>
      </c>
    </row>
    <row r="2265" spans="1:18" x14ac:dyDescent="0.35">
      <c r="A2265" t="s">
        <v>47300</v>
      </c>
      <c r="C2265" t="s">
        <v>47301</v>
      </c>
      <c r="D2265" t="s">
        <v>2462</v>
      </c>
      <c r="E2265" t="s">
        <v>43</v>
      </c>
      <c r="I2265" s="26">
        <v>40179</v>
      </c>
      <c r="J2265" s="28">
        <v>40179</v>
      </c>
      <c r="Q2265" t="s">
        <v>44683</v>
      </c>
      <c r="R2265" t="s">
        <v>47302</v>
      </c>
    </row>
    <row r="2266" spans="1:18" x14ac:dyDescent="0.35">
      <c r="A2266" t="s">
        <v>15278</v>
      </c>
      <c r="D2266" t="s">
        <v>5325</v>
      </c>
      <c r="E2266" t="s">
        <v>43</v>
      </c>
      <c r="I2266" s="26">
        <v>40179</v>
      </c>
      <c r="J2266" s="28">
        <v>40179</v>
      </c>
      <c r="Q2266" t="s">
        <v>44683</v>
      </c>
      <c r="R2266" t="s">
        <v>47303</v>
      </c>
    </row>
    <row r="2267" spans="1:18" x14ac:dyDescent="0.35">
      <c r="A2267" t="s">
        <v>15248</v>
      </c>
      <c r="C2267" t="s">
        <v>47304</v>
      </c>
      <c r="D2267" t="s">
        <v>5220</v>
      </c>
      <c r="E2267" t="s">
        <v>43</v>
      </c>
      <c r="I2267" s="26">
        <v>40544</v>
      </c>
      <c r="J2267" s="28">
        <v>40544</v>
      </c>
      <c r="Q2267" t="s">
        <v>44683</v>
      </c>
      <c r="R2267" t="s">
        <v>47305</v>
      </c>
    </row>
    <row r="2268" spans="1:18" x14ac:dyDescent="0.35">
      <c r="A2268" t="s">
        <v>15766</v>
      </c>
      <c r="C2268" t="s">
        <v>47306</v>
      </c>
      <c r="D2268" t="s">
        <v>5877</v>
      </c>
      <c r="E2268" t="s">
        <v>43</v>
      </c>
      <c r="I2268" s="26">
        <v>40544</v>
      </c>
      <c r="J2268" s="28">
        <v>40544</v>
      </c>
      <c r="Q2268" t="s">
        <v>44683</v>
      </c>
      <c r="R2268" t="s">
        <v>47307</v>
      </c>
    </row>
    <row r="2269" spans="1:18" x14ac:dyDescent="0.35">
      <c r="A2269" t="s">
        <v>14101</v>
      </c>
      <c r="C2269" t="s">
        <v>47308</v>
      </c>
      <c r="D2269" t="s">
        <v>825</v>
      </c>
      <c r="E2269" t="s">
        <v>43</v>
      </c>
      <c r="I2269" s="26">
        <v>40544</v>
      </c>
      <c r="J2269" s="28">
        <v>40544</v>
      </c>
      <c r="Q2269" t="s">
        <v>44683</v>
      </c>
      <c r="R2269" t="s">
        <v>47309</v>
      </c>
    </row>
    <row r="2270" spans="1:18" x14ac:dyDescent="0.35">
      <c r="A2270" t="s">
        <v>15799</v>
      </c>
      <c r="C2270" t="s">
        <v>47310</v>
      </c>
      <c r="D2270" t="s">
        <v>5877</v>
      </c>
      <c r="E2270" t="s">
        <v>43</v>
      </c>
      <c r="I2270" s="26">
        <v>40179</v>
      </c>
      <c r="J2270" s="28">
        <v>40179</v>
      </c>
      <c r="Q2270" t="s">
        <v>44683</v>
      </c>
      <c r="R2270" t="s">
        <v>47311</v>
      </c>
    </row>
    <row r="2271" spans="1:18" x14ac:dyDescent="0.35">
      <c r="A2271" t="s">
        <v>16325</v>
      </c>
      <c r="D2271" t="s">
        <v>7153</v>
      </c>
      <c r="E2271" t="s">
        <v>43</v>
      </c>
      <c r="I2271" s="26">
        <v>40544</v>
      </c>
      <c r="J2271" s="28">
        <v>40544</v>
      </c>
      <c r="Q2271" t="s">
        <v>44683</v>
      </c>
      <c r="R2271" t="s">
        <v>47312</v>
      </c>
    </row>
    <row r="2272" spans="1:18" x14ac:dyDescent="0.35">
      <c r="A2272" t="s">
        <v>15768</v>
      </c>
      <c r="C2272" t="s">
        <v>47313</v>
      </c>
      <c r="D2272" t="s">
        <v>5877</v>
      </c>
      <c r="E2272" t="s">
        <v>43</v>
      </c>
      <c r="I2272" s="26">
        <v>40544</v>
      </c>
      <c r="J2272" s="28">
        <v>40544</v>
      </c>
      <c r="Q2272" t="s">
        <v>44683</v>
      </c>
      <c r="R2272" t="s">
        <v>47314</v>
      </c>
    </row>
    <row r="2273" spans="1:18" x14ac:dyDescent="0.35">
      <c r="A2273" t="s">
        <v>15478</v>
      </c>
      <c r="C2273" t="s">
        <v>47216</v>
      </c>
      <c r="D2273" t="s">
        <v>5788</v>
      </c>
      <c r="E2273" t="s">
        <v>43</v>
      </c>
      <c r="I2273" s="26">
        <v>40179</v>
      </c>
      <c r="J2273" s="28">
        <v>40179</v>
      </c>
      <c r="Q2273" t="s">
        <v>44683</v>
      </c>
      <c r="R2273" t="s">
        <v>47315</v>
      </c>
    </row>
    <row r="2274" spans="1:18" x14ac:dyDescent="0.35">
      <c r="A2274" t="s">
        <v>47316</v>
      </c>
      <c r="C2274" t="s">
        <v>47317</v>
      </c>
      <c r="D2274" t="s">
        <v>5877</v>
      </c>
      <c r="E2274" t="s">
        <v>43</v>
      </c>
      <c r="I2274" s="26">
        <v>40544</v>
      </c>
      <c r="J2274" s="28">
        <v>40544</v>
      </c>
      <c r="Q2274" t="s">
        <v>44683</v>
      </c>
      <c r="R2274" t="s">
        <v>47318</v>
      </c>
    </row>
    <row r="2275" spans="1:18" x14ac:dyDescent="0.35">
      <c r="A2275" t="s">
        <v>15769</v>
      </c>
      <c r="C2275" t="s">
        <v>47319</v>
      </c>
      <c r="D2275" t="s">
        <v>5877</v>
      </c>
      <c r="E2275" t="s">
        <v>43</v>
      </c>
      <c r="I2275" s="26">
        <v>40544</v>
      </c>
      <c r="J2275" s="28">
        <v>40544</v>
      </c>
      <c r="Q2275" t="s">
        <v>44683</v>
      </c>
      <c r="R2275" t="s">
        <v>47320</v>
      </c>
    </row>
    <row r="2276" spans="1:18" x14ac:dyDescent="0.35">
      <c r="A2276" t="s">
        <v>14244</v>
      </c>
      <c r="D2276" t="s">
        <v>1369</v>
      </c>
      <c r="E2276" t="s">
        <v>43</v>
      </c>
      <c r="I2276" s="26">
        <v>40544</v>
      </c>
      <c r="J2276" s="28">
        <v>40544</v>
      </c>
      <c r="Q2276" t="s">
        <v>44683</v>
      </c>
      <c r="R2276" t="s">
        <v>47321</v>
      </c>
    </row>
    <row r="2277" spans="1:18" x14ac:dyDescent="0.35">
      <c r="A2277" t="s">
        <v>15250</v>
      </c>
      <c r="C2277" t="s">
        <v>47322</v>
      </c>
      <c r="D2277" t="s">
        <v>5220</v>
      </c>
      <c r="E2277" t="s">
        <v>43</v>
      </c>
      <c r="I2277" s="26">
        <v>40544</v>
      </c>
      <c r="J2277" s="28">
        <v>40544</v>
      </c>
      <c r="Q2277" t="s">
        <v>44683</v>
      </c>
      <c r="R2277" t="s">
        <v>47323</v>
      </c>
    </row>
    <row r="2278" spans="1:18" x14ac:dyDescent="0.35">
      <c r="A2278" t="s">
        <v>15801</v>
      </c>
      <c r="C2278" t="s">
        <v>47324</v>
      </c>
      <c r="D2278" t="s">
        <v>5877</v>
      </c>
      <c r="E2278" t="s">
        <v>43</v>
      </c>
      <c r="I2278" s="26">
        <v>40179</v>
      </c>
      <c r="J2278" s="28">
        <v>40179</v>
      </c>
      <c r="Q2278" t="s">
        <v>44683</v>
      </c>
      <c r="R2278" t="s">
        <v>47325</v>
      </c>
    </row>
    <row r="2279" spans="1:18" x14ac:dyDescent="0.35">
      <c r="A2279" t="s">
        <v>15166</v>
      </c>
      <c r="D2279" t="s">
        <v>5132</v>
      </c>
      <c r="E2279" t="s">
        <v>43</v>
      </c>
      <c r="I2279" s="26">
        <v>40544</v>
      </c>
      <c r="J2279" s="28">
        <v>40544</v>
      </c>
      <c r="Q2279" t="s">
        <v>44683</v>
      </c>
      <c r="R2279" t="s">
        <v>47326</v>
      </c>
    </row>
    <row r="2280" spans="1:18" x14ac:dyDescent="0.35">
      <c r="A2280" t="s">
        <v>14323</v>
      </c>
      <c r="C2280" t="s">
        <v>47327</v>
      </c>
      <c r="D2280" t="s">
        <v>1776</v>
      </c>
      <c r="E2280" t="s">
        <v>43</v>
      </c>
      <c r="I2280" s="26">
        <v>40544</v>
      </c>
      <c r="J2280" s="28">
        <v>40544</v>
      </c>
      <c r="Q2280" t="s">
        <v>44683</v>
      </c>
      <c r="R2280" t="s">
        <v>47328</v>
      </c>
    </row>
    <row r="2281" spans="1:18" x14ac:dyDescent="0.35">
      <c r="A2281" t="s">
        <v>14324</v>
      </c>
      <c r="C2281" t="s">
        <v>40913</v>
      </c>
      <c r="D2281" t="s">
        <v>1776</v>
      </c>
      <c r="E2281" t="s">
        <v>43</v>
      </c>
      <c r="I2281" s="26">
        <v>40544</v>
      </c>
      <c r="J2281" s="28">
        <v>40544</v>
      </c>
      <c r="Q2281" t="s">
        <v>44683</v>
      </c>
      <c r="R2281" t="s">
        <v>47329</v>
      </c>
    </row>
    <row r="2282" spans="1:18" x14ac:dyDescent="0.35">
      <c r="A2282" t="s">
        <v>14837</v>
      </c>
      <c r="D2282" t="s">
        <v>2688</v>
      </c>
      <c r="E2282" t="s">
        <v>43</v>
      </c>
      <c r="I2282" s="26">
        <v>40544</v>
      </c>
      <c r="J2282" s="28">
        <v>40544</v>
      </c>
      <c r="Q2282" t="s">
        <v>44683</v>
      </c>
      <c r="R2282" t="s">
        <v>47330</v>
      </c>
    </row>
    <row r="2283" spans="1:18" x14ac:dyDescent="0.35">
      <c r="A2283" t="s">
        <v>47331</v>
      </c>
      <c r="C2283" t="s">
        <v>47240</v>
      </c>
      <c r="D2283" t="s">
        <v>1172</v>
      </c>
      <c r="E2283" t="s">
        <v>43</v>
      </c>
      <c r="I2283" s="26">
        <v>40179</v>
      </c>
      <c r="J2283" s="28">
        <v>40179</v>
      </c>
      <c r="Q2283" t="s">
        <v>44683</v>
      </c>
      <c r="R2283" t="s">
        <v>47332</v>
      </c>
    </row>
    <row r="2284" spans="1:18" x14ac:dyDescent="0.35">
      <c r="A2284" t="s">
        <v>16286</v>
      </c>
      <c r="C2284" t="s">
        <v>47333</v>
      </c>
      <c r="D2284" t="s">
        <v>5300</v>
      </c>
      <c r="E2284" t="s">
        <v>43</v>
      </c>
      <c r="I2284" s="26">
        <v>40544</v>
      </c>
      <c r="J2284" s="28">
        <v>40544</v>
      </c>
      <c r="Q2284" t="s">
        <v>44683</v>
      </c>
      <c r="R2284" t="s">
        <v>47334</v>
      </c>
    </row>
    <row r="2285" spans="1:18" x14ac:dyDescent="0.35">
      <c r="A2285" t="s">
        <v>16287</v>
      </c>
      <c r="C2285" t="s">
        <v>47335</v>
      </c>
      <c r="D2285" t="s">
        <v>5300</v>
      </c>
      <c r="E2285" t="s">
        <v>43</v>
      </c>
      <c r="I2285" s="26">
        <v>40544</v>
      </c>
      <c r="J2285" s="28">
        <v>40544</v>
      </c>
      <c r="Q2285" t="s">
        <v>44683</v>
      </c>
      <c r="R2285" t="s">
        <v>47336</v>
      </c>
    </row>
    <row r="2286" spans="1:18" x14ac:dyDescent="0.35">
      <c r="A2286" t="s">
        <v>15772</v>
      </c>
      <c r="D2286" t="s">
        <v>5877</v>
      </c>
      <c r="E2286" t="s">
        <v>43</v>
      </c>
      <c r="I2286" s="26">
        <v>40544</v>
      </c>
      <c r="J2286" s="28">
        <v>40544</v>
      </c>
      <c r="Q2286" t="s">
        <v>44683</v>
      </c>
      <c r="R2286" t="s">
        <v>47337</v>
      </c>
    </row>
    <row r="2287" spans="1:18" x14ac:dyDescent="0.35">
      <c r="A2287" t="s">
        <v>14838</v>
      </c>
      <c r="D2287" t="s">
        <v>2688</v>
      </c>
      <c r="E2287" t="s">
        <v>43</v>
      </c>
      <c r="I2287" s="26">
        <v>40544</v>
      </c>
      <c r="J2287" s="28">
        <v>40544</v>
      </c>
      <c r="Q2287" t="s">
        <v>44683</v>
      </c>
      <c r="R2287" t="s">
        <v>47338</v>
      </c>
    </row>
    <row r="2288" spans="1:18" x14ac:dyDescent="0.35">
      <c r="A2288" t="s">
        <v>16292</v>
      </c>
      <c r="C2288" t="s">
        <v>47339</v>
      </c>
      <c r="D2288" t="s">
        <v>5300</v>
      </c>
      <c r="E2288" t="s">
        <v>43</v>
      </c>
      <c r="I2288" s="26">
        <v>40179</v>
      </c>
      <c r="J2288" s="28">
        <v>40179</v>
      </c>
      <c r="Q2288" t="s">
        <v>44683</v>
      </c>
      <c r="R2288" t="s">
        <v>47340</v>
      </c>
    </row>
    <row r="2289" spans="1:18" x14ac:dyDescent="0.35">
      <c r="A2289" t="s">
        <v>16293</v>
      </c>
      <c r="C2289" t="s">
        <v>46669</v>
      </c>
      <c r="D2289" t="s">
        <v>5300</v>
      </c>
      <c r="E2289" t="s">
        <v>43</v>
      </c>
      <c r="I2289" s="26">
        <v>40179</v>
      </c>
      <c r="J2289" s="28">
        <v>40179</v>
      </c>
      <c r="Q2289" t="s">
        <v>44683</v>
      </c>
      <c r="R2289" t="s">
        <v>47341</v>
      </c>
    </row>
    <row r="2290" spans="1:18" x14ac:dyDescent="0.35">
      <c r="A2290" t="s">
        <v>16294</v>
      </c>
      <c r="C2290" t="s">
        <v>47342</v>
      </c>
      <c r="D2290" t="s">
        <v>5300</v>
      </c>
      <c r="E2290" t="s">
        <v>43</v>
      </c>
      <c r="I2290" s="26">
        <v>40179</v>
      </c>
      <c r="J2290" s="28">
        <v>40179</v>
      </c>
      <c r="Q2290" t="s">
        <v>44683</v>
      </c>
      <c r="R2290" t="s">
        <v>47343</v>
      </c>
    </row>
    <row r="2291" spans="1:18" x14ac:dyDescent="0.35">
      <c r="A2291" t="s">
        <v>47344</v>
      </c>
      <c r="C2291" t="s">
        <v>47345</v>
      </c>
      <c r="D2291" t="s">
        <v>2462</v>
      </c>
      <c r="E2291" t="s">
        <v>43</v>
      </c>
      <c r="I2291" s="26">
        <v>40544</v>
      </c>
      <c r="J2291" s="28">
        <v>40544</v>
      </c>
      <c r="Q2291" t="s">
        <v>44683</v>
      </c>
      <c r="R2291" t="s">
        <v>47346</v>
      </c>
    </row>
    <row r="2292" spans="1:18" x14ac:dyDescent="0.35">
      <c r="A2292" t="s">
        <v>15251</v>
      </c>
      <c r="C2292" t="s">
        <v>47347</v>
      </c>
      <c r="D2292" t="s">
        <v>5220</v>
      </c>
      <c r="E2292" t="s">
        <v>43</v>
      </c>
      <c r="I2292" s="26">
        <v>40544</v>
      </c>
      <c r="J2292" s="28">
        <v>40544</v>
      </c>
      <c r="Q2292" t="s">
        <v>44683</v>
      </c>
      <c r="R2292" t="s">
        <v>47348</v>
      </c>
    </row>
    <row r="2293" spans="1:18" x14ac:dyDescent="0.35">
      <c r="A2293" t="s">
        <v>47349</v>
      </c>
      <c r="C2293" t="s">
        <v>47350</v>
      </c>
      <c r="D2293" t="s">
        <v>2462</v>
      </c>
      <c r="E2293" t="s">
        <v>43</v>
      </c>
      <c r="I2293" s="26">
        <v>40544</v>
      </c>
      <c r="J2293" s="28">
        <v>40544</v>
      </c>
      <c r="Q2293" t="s">
        <v>44683</v>
      </c>
      <c r="R2293" t="s">
        <v>47351</v>
      </c>
    </row>
    <row r="2294" spans="1:18" x14ac:dyDescent="0.35">
      <c r="A2294" t="s">
        <v>14231</v>
      </c>
      <c r="C2294" t="s">
        <v>47352</v>
      </c>
      <c r="D2294" t="s">
        <v>1172</v>
      </c>
      <c r="E2294" t="s">
        <v>43</v>
      </c>
      <c r="I2294" s="26">
        <v>40179</v>
      </c>
      <c r="J2294" s="28">
        <v>40179</v>
      </c>
      <c r="Q2294" t="s">
        <v>44683</v>
      </c>
      <c r="R2294" t="s">
        <v>47353</v>
      </c>
    </row>
    <row r="2295" spans="1:18" x14ac:dyDescent="0.35">
      <c r="A2295" t="s">
        <v>47354</v>
      </c>
      <c r="C2295" t="s">
        <v>46490</v>
      </c>
      <c r="D2295" t="s">
        <v>1172</v>
      </c>
      <c r="E2295" t="s">
        <v>43</v>
      </c>
      <c r="I2295" s="26">
        <v>40179</v>
      </c>
      <c r="J2295" s="28">
        <v>40179</v>
      </c>
      <c r="Q2295" t="s">
        <v>44683</v>
      </c>
      <c r="R2295" t="s">
        <v>47355</v>
      </c>
    </row>
    <row r="2296" spans="1:18" x14ac:dyDescent="0.35">
      <c r="A2296" t="s">
        <v>15605</v>
      </c>
      <c r="D2296" t="s">
        <v>5811</v>
      </c>
      <c r="E2296" t="s">
        <v>43</v>
      </c>
      <c r="I2296" s="26">
        <v>40179</v>
      </c>
      <c r="J2296" s="28">
        <v>40179</v>
      </c>
      <c r="Q2296" t="s">
        <v>44683</v>
      </c>
      <c r="R2296" t="s">
        <v>47356</v>
      </c>
    </row>
    <row r="2297" spans="1:18" x14ac:dyDescent="0.35">
      <c r="A2297" t="s">
        <v>16296</v>
      </c>
      <c r="C2297" t="s">
        <v>47357</v>
      </c>
      <c r="D2297" t="s">
        <v>5300</v>
      </c>
      <c r="E2297" t="s">
        <v>43</v>
      </c>
      <c r="I2297" s="26">
        <v>40179</v>
      </c>
      <c r="J2297" s="28">
        <v>40179</v>
      </c>
      <c r="Q2297" t="s">
        <v>44683</v>
      </c>
      <c r="R2297" t="s">
        <v>47358</v>
      </c>
    </row>
    <row r="2298" spans="1:18" x14ac:dyDescent="0.35">
      <c r="A2298" t="s">
        <v>15252</v>
      </c>
      <c r="C2298" t="s">
        <v>47359</v>
      </c>
      <c r="D2298" t="s">
        <v>5220</v>
      </c>
      <c r="E2298" t="s">
        <v>43</v>
      </c>
      <c r="I2298" s="26">
        <v>40544</v>
      </c>
      <c r="J2298" s="28">
        <v>40544</v>
      </c>
      <c r="Q2298" t="s">
        <v>44683</v>
      </c>
      <c r="R2298" t="s">
        <v>47360</v>
      </c>
    </row>
    <row r="2299" spans="1:18" x14ac:dyDescent="0.35">
      <c r="A2299" t="s">
        <v>14263</v>
      </c>
      <c r="D2299" t="s">
        <v>1372</v>
      </c>
      <c r="E2299" t="s">
        <v>43</v>
      </c>
      <c r="I2299" s="26">
        <v>40179</v>
      </c>
      <c r="J2299" s="28">
        <v>40179</v>
      </c>
      <c r="Q2299" t="s">
        <v>44683</v>
      </c>
      <c r="R2299" t="s">
        <v>47361</v>
      </c>
    </row>
    <row r="2300" spans="1:18" x14ac:dyDescent="0.35">
      <c r="A2300" t="s">
        <v>15253</v>
      </c>
      <c r="C2300" t="s">
        <v>47362</v>
      </c>
      <c r="D2300" t="s">
        <v>5220</v>
      </c>
      <c r="E2300" t="s">
        <v>43</v>
      </c>
      <c r="I2300" s="26">
        <v>40544</v>
      </c>
      <c r="J2300" s="28">
        <v>40544</v>
      </c>
      <c r="Q2300" t="s">
        <v>44683</v>
      </c>
      <c r="R2300" t="s">
        <v>47363</v>
      </c>
    </row>
    <row r="2301" spans="1:18" x14ac:dyDescent="0.35">
      <c r="A2301" t="s">
        <v>47364</v>
      </c>
      <c r="C2301" t="s">
        <v>47365</v>
      </c>
      <c r="D2301" t="s">
        <v>2462</v>
      </c>
      <c r="E2301" t="s">
        <v>43</v>
      </c>
      <c r="I2301" s="26">
        <v>40544</v>
      </c>
      <c r="J2301" s="28">
        <v>40544</v>
      </c>
      <c r="Q2301" t="s">
        <v>44683</v>
      </c>
      <c r="R2301" t="s">
        <v>47366</v>
      </c>
    </row>
    <row r="2302" spans="1:18" x14ac:dyDescent="0.35">
      <c r="A2302" t="s">
        <v>15803</v>
      </c>
      <c r="C2302" t="s">
        <v>47367</v>
      </c>
      <c r="D2302" t="s">
        <v>5877</v>
      </c>
      <c r="E2302" t="s">
        <v>43</v>
      </c>
      <c r="I2302" s="26">
        <v>39814</v>
      </c>
      <c r="J2302" s="28">
        <v>39814</v>
      </c>
      <c r="Q2302" t="s">
        <v>44683</v>
      </c>
      <c r="R2302" t="s">
        <v>47368</v>
      </c>
    </row>
    <row r="2303" spans="1:18" x14ac:dyDescent="0.35">
      <c r="A2303" t="s">
        <v>14787</v>
      </c>
      <c r="C2303" t="s">
        <v>47369</v>
      </c>
      <c r="D2303" t="s">
        <v>2462</v>
      </c>
      <c r="E2303" t="s">
        <v>43</v>
      </c>
      <c r="I2303" s="26">
        <v>39814</v>
      </c>
      <c r="J2303" s="28">
        <v>39814</v>
      </c>
      <c r="Q2303" t="s">
        <v>44683</v>
      </c>
      <c r="R2303" t="s">
        <v>47370</v>
      </c>
    </row>
    <row r="2304" spans="1:18" x14ac:dyDescent="0.35">
      <c r="A2304" t="s">
        <v>15277</v>
      </c>
      <c r="D2304" t="s">
        <v>5325</v>
      </c>
      <c r="E2304" t="s">
        <v>43</v>
      </c>
      <c r="I2304" s="26">
        <v>39814</v>
      </c>
      <c r="J2304" s="28">
        <v>39814</v>
      </c>
      <c r="Q2304" t="s">
        <v>44683</v>
      </c>
      <c r="R2304" t="s">
        <v>47371</v>
      </c>
    </row>
    <row r="2305" spans="1:18" x14ac:dyDescent="0.35">
      <c r="A2305" t="s">
        <v>15804</v>
      </c>
      <c r="C2305" t="s">
        <v>47017</v>
      </c>
      <c r="D2305" t="s">
        <v>5877</v>
      </c>
      <c r="E2305" t="s">
        <v>43</v>
      </c>
      <c r="I2305" s="26">
        <v>39814</v>
      </c>
      <c r="J2305" s="28">
        <v>39814</v>
      </c>
      <c r="Q2305" t="s">
        <v>44683</v>
      </c>
      <c r="R2305" t="s">
        <v>47372</v>
      </c>
    </row>
    <row r="2306" spans="1:18" x14ac:dyDescent="0.35">
      <c r="A2306" t="s">
        <v>15777</v>
      </c>
      <c r="C2306" t="s">
        <v>47373</v>
      </c>
      <c r="D2306" t="s">
        <v>5877</v>
      </c>
      <c r="E2306" t="s">
        <v>43</v>
      </c>
      <c r="I2306" s="26">
        <v>39814</v>
      </c>
      <c r="J2306" s="28">
        <v>39814</v>
      </c>
      <c r="Q2306" t="s">
        <v>44683</v>
      </c>
      <c r="R2306" t="s">
        <v>47374</v>
      </c>
    </row>
    <row r="2307" spans="1:18" x14ac:dyDescent="0.35">
      <c r="A2307" t="s">
        <v>15805</v>
      </c>
      <c r="C2307" t="s">
        <v>47375</v>
      </c>
      <c r="D2307" t="s">
        <v>5877</v>
      </c>
      <c r="E2307" t="s">
        <v>43</v>
      </c>
      <c r="I2307" s="26">
        <v>39814</v>
      </c>
      <c r="J2307" s="28">
        <v>39814</v>
      </c>
      <c r="Q2307" t="s">
        <v>44683</v>
      </c>
      <c r="R2307" t="s">
        <v>47376</v>
      </c>
    </row>
    <row r="2308" spans="1:18" x14ac:dyDescent="0.35">
      <c r="A2308" t="s">
        <v>16289</v>
      </c>
      <c r="C2308" t="s">
        <v>47377</v>
      </c>
      <c r="D2308" t="s">
        <v>5300</v>
      </c>
      <c r="E2308" t="s">
        <v>43</v>
      </c>
      <c r="I2308" s="26">
        <v>39814</v>
      </c>
      <c r="J2308" s="28">
        <v>39814</v>
      </c>
      <c r="Q2308" t="s">
        <v>44683</v>
      </c>
      <c r="R2308" t="s">
        <v>47378</v>
      </c>
    </row>
    <row r="2309" spans="1:18" x14ac:dyDescent="0.35">
      <c r="A2309" t="s">
        <v>15633</v>
      </c>
      <c r="C2309" t="s">
        <v>47270</v>
      </c>
      <c r="D2309" t="s">
        <v>5876</v>
      </c>
      <c r="E2309" t="s">
        <v>43</v>
      </c>
      <c r="I2309" s="26">
        <v>39814</v>
      </c>
      <c r="J2309" s="28">
        <v>39814</v>
      </c>
      <c r="Q2309" t="s">
        <v>14474</v>
      </c>
      <c r="R2309" t="s">
        <v>47379</v>
      </c>
    </row>
    <row r="2310" spans="1:18" x14ac:dyDescent="0.35">
      <c r="A2310" t="s">
        <v>15237</v>
      </c>
      <c r="C2310" t="s">
        <v>47380</v>
      </c>
      <c r="D2310" t="s">
        <v>5220</v>
      </c>
      <c r="E2310" t="s">
        <v>43</v>
      </c>
      <c r="I2310" s="26">
        <v>40179</v>
      </c>
      <c r="J2310" s="28">
        <v>40179</v>
      </c>
      <c r="Q2310" t="s">
        <v>44683</v>
      </c>
      <c r="R2310" t="s">
        <v>47381</v>
      </c>
    </row>
    <row r="2311" spans="1:18" x14ac:dyDescent="0.35">
      <c r="A2311" t="s">
        <v>14057</v>
      </c>
      <c r="C2311" t="s">
        <v>47382</v>
      </c>
      <c r="D2311" t="s">
        <v>386</v>
      </c>
      <c r="E2311" t="s">
        <v>43</v>
      </c>
      <c r="I2311" s="26">
        <v>40179</v>
      </c>
      <c r="J2311" s="28">
        <v>40179</v>
      </c>
      <c r="Q2311" t="s">
        <v>44683</v>
      </c>
      <c r="R2311" t="s">
        <v>47383</v>
      </c>
    </row>
    <row r="2312" spans="1:18" x14ac:dyDescent="0.35">
      <c r="A2312" t="s">
        <v>14788</v>
      </c>
      <c r="C2312" t="s">
        <v>47384</v>
      </c>
      <c r="D2312" t="s">
        <v>2462</v>
      </c>
      <c r="E2312" t="s">
        <v>43</v>
      </c>
      <c r="I2312" s="26">
        <v>39814</v>
      </c>
      <c r="J2312" s="28">
        <v>39814</v>
      </c>
      <c r="Q2312" t="s">
        <v>44683</v>
      </c>
      <c r="R2312" t="s">
        <v>47385</v>
      </c>
    </row>
    <row r="2313" spans="1:18" x14ac:dyDescent="0.35">
      <c r="A2313" t="s">
        <v>15065</v>
      </c>
      <c r="D2313" t="s">
        <v>3454</v>
      </c>
      <c r="E2313" t="s">
        <v>43</v>
      </c>
      <c r="I2313" s="26">
        <v>39814</v>
      </c>
      <c r="J2313" s="28">
        <v>39814</v>
      </c>
      <c r="Q2313" t="s">
        <v>44683</v>
      </c>
      <c r="R2313" t="s">
        <v>47386</v>
      </c>
    </row>
    <row r="2314" spans="1:18" x14ac:dyDescent="0.35">
      <c r="A2314" t="s">
        <v>15096</v>
      </c>
      <c r="D2314" t="s">
        <v>3517</v>
      </c>
      <c r="E2314" t="s">
        <v>43</v>
      </c>
      <c r="I2314" s="26">
        <v>40179</v>
      </c>
      <c r="J2314" s="28">
        <v>40179</v>
      </c>
      <c r="Q2314" t="s">
        <v>44683</v>
      </c>
      <c r="R2314" t="s">
        <v>47387</v>
      </c>
    </row>
    <row r="2315" spans="1:18" x14ac:dyDescent="0.35">
      <c r="A2315" t="s">
        <v>15808</v>
      </c>
      <c r="C2315" t="s">
        <v>47388</v>
      </c>
      <c r="D2315" t="s">
        <v>5877</v>
      </c>
      <c r="E2315" t="s">
        <v>43</v>
      </c>
      <c r="I2315" s="26">
        <v>39814</v>
      </c>
      <c r="J2315" s="28">
        <v>39814</v>
      </c>
      <c r="Q2315" t="s">
        <v>44683</v>
      </c>
      <c r="R2315" t="s">
        <v>47389</v>
      </c>
    </row>
    <row r="2316" spans="1:18" x14ac:dyDescent="0.35">
      <c r="A2316" t="s">
        <v>15781</v>
      </c>
      <c r="C2316" t="s">
        <v>47390</v>
      </c>
      <c r="D2316" t="s">
        <v>5877</v>
      </c>
      <c r="E2316" t="s">
        <v>43</v>
      </c>
      <c r="I2316" s="26">
        <v>40179</v>
      </c>
      <c r="J2316" s="28">
        <v>40179</v>
      </c>
      <c r="Q2316" t="s">
        <v>44683</v>
      </c>
      <c r="R2316" t="s">
        <v>47391</v>
      </c>
    </row>
    <row r="2317" spans="1:18" x14ac:dyDescent="0.35">
      <c r="A2317" t="s">
        <v>16445</v>
      </c>
      <c r="C2317" t="s">
        <v>47392</v>
      </c>
      <c r="D2317" t="s">
        <v>7245</v>
      </c>
      <c r="E2317" t="s">
        <v>43</v>
      </c>
      <c r="I2317" s="26">
        <v>39814</v>
      </c>
      <c r="J2317" s="28">
        <v>39814</v>
      </c>
      <c r="Q2317" t="s">
        <v>44683</v>
      </c>
      <c r="R2317" t="s">
        <v>47393</v>
      </c>
    </row>
    <row r="2318" spans="1:18" x14ac:dyDescent="0.35">
      <c r="A2318" t="s">
        <v>15810</v>
      </c>
      <c r="C2318" t="s">
        <v>47394</v>
      </c>
      <c r="D2318" t="s">
        <v>5877</v>
      </c>
      <c r="E2318" t="s">
        <v>43</v>
      </c>
      <c r="I2318" s="26">
        <v>39814</v>
      </c>
      <c r="J2318" s="28">
        <v>39814</v>
      </c>
      <c r="Q2318" t="s">
        <v>44683</v>
      </c>
      <c r="R2318" t="s">
        <v>47395</v>
      </c>
    </row>
    <row r="2319" spans="1:18" x14ac:dyDescent="0.35">
      <c r="A2319" t="s">
        <v>15813</v>
      </c>
      <c r="C2319" t="s">
        <v>47396</v>
      </c>
      <c r="D2319" t="s">
        <v>5877</v>
      </c>
      <c r="E2319" t="s">
        <v>43</v>
      </c>
      <c r="I2319" s="26">
        <v>39814</v>
      </c>
      <c r="J2319" s="28">
        <v>39814</v>
      </c>
      <c r="Q2319" t="s">
        <v>44683</v>
      </c>
      <c r="R2319" t="s">
        <v>47397</v>
      </c>
    </row>
    <row r="2320" spans="1:18" x14ac:dyDescent="0.35">
      <c r="A2320" t="s">
        <v>15783</v>
      </c>
      <c r="C2320" t="s">
        <v>47398</v>
      </c>
      <c r="D2320" t="s">
        <v>5877</v>
      </c>
      <c r="E2320" t="s">
        <v>43</v>
      </c>
      <c r="I2320" s="26">
        <v>39814</v>
      </c>
      <c r="J2320" s="28">
        <v>39814</v>
      </c>
      <c r="Q2320" t="s">
        <v>44683</v>
      </c>
      <c r="R2320" t="s">
        <v>47399</v>
      </c>
    </row>
    <row r="2321" spans="1:18" x14ac:dyDescent="0.35">
      <c r="A2321" t="s">
        <v>15814</v>
      </c>
      <c r="C2321" t="s">
        <v>47400</v>
      </c>
      <c r="D2321" t="s">
        <v>5877</v>
      </c>
      <c r="E2321" t="s">
        <v>43</v>
      </c>
      <c r="I2321" s="26">
        <v>39814</v>
      </c>
      <c r="J2321" s="28">
        <v>39814</v>
      </c>
      <c r="Q2321" t="s">
        <v>44683</v>
      </c>
      <c r="R2321" t="s">
        <v>47401</v>
      </c>
    </row>
    <row r="2322" spans="1:18" x14ac:dyDescent="0.35">
      <c r="A2322" t="s">
        <v>15279</v>
      </c>
      <c r="D2322" t="s">
        <v>5325</v>
      </c>
      <c r="E2322" t="s">
        <v>43</v>
      </c>
      <c r="I2322" s="26">
        <v>39448</v>
      </c>
      <c r="J2322" s="28">
        <v>39448</v>
      </c>
      <c r="Q2322" t="s">
        <v>44683</v>
      </c>
      <c r="R2322" t="s">
        <v>47402</v>
      </c>
    </row>
    <row r="2323" spans="1:18" x14ac:dyDescent="0.35">
      <c r="A2323" t="s">
        <v>15816</v>
      </c>
      <c r="C2323" t="s">
        <v>47403</v>
      </c>
      <c r="D2323" t="s">
        <v>5877</v>
      </c>
      <c r="E2323" t="s">
        <v>43</v>
      </c>
      <c r="I2323" s="26">
        <v>39814</v>
      </c>
      <c r="J2323" s="28">
        <v>39814</v>
      </c>
      <c r="Q2323" t="s">
        <v>44683</v>
      </c>
      <c r="R2323" t="s">
        <v>47404</v>
      </c>
    </row>
    <row r="2324" spans="1:18" x14ac:dyDescent="0.35">
      <c r="A2324" t="s">
        <v>14631</v>
      </c>
      <c r="D2324" t="s">
        <v>2221</v>
      </c>
      <c r="E2324" t="s">
        <v>43</v>
      </c>
      <c r="I2324" s="26">
        <v>40179</v>
      </c>
      <c r="J2324" s="28">
        <v>40179</v>
      </c>
      <c r="Q2324" t="s">
        <v>44683</v>
      </c>
      <c r="R2324" t="s">
        <v>47405</v>
      </c>
    </row>
    <row r="2325" spans="1:18" x14ac:dyDescent="0.35">
      <c r="A2325" t="s">
        <v>16229</v>
      </c>
      <c r="D2325" t="s">
        <v>1782</v>
      </c>
      <c r="E2325" t="s">
        <v>43</v>
      </c>
      <c r="I2325" s="26">
        <v>39814</v>
      </c>
      <c r="J2325" s="28">
        <v>39814</v>
      </c>
      <c r="Q2325" t="s">
        <v>44683</v>
      </c>
      <c r="R2325" t="s">
        <v>47406</v>
      </c>
    </row>
    <row r="2326" spans="1:18" x14ac:dyDescent="0.35">
      <c r="A2326" t="s">
        <v>15786</v>
      </c>
      <c r="C2326" t="s">
        <v>47407</v>
      </c>
      <c r="D2326" t="s">
        <v>5877</v>
      </c>
      <c r="E2326" t="s">
        <v>43</v>
      </c>
      <c r="I2326" s="26">
        <v>40179</v>
      </c>
      <c r="J2326" s="28">
        <v>40179</v>
      </c>
      <c r="Q2326" t="s">
        <v>44683</v>
      </c>
      <c r="R2326" t="s">
        <v>47408</v>
      </c>
    </row>
    <row r="2327" spans="1:18" x14ac:dyDescent="0.35">
      <c r="A2327" t="s">
        <v>16227</v>
      </c>
      <c r="D2327" t="s">
        <v>1782</v>
      </c>
      <c r="E2327" t="s">
        <v>43</v>
      </c>
      <c r="I2327" s="26">
        <v>40179</v>
      </c>
      <c r="J2327" s="28">
        <v>40179</v>
      </c>
      <c r="Q2327" t="s">
        <v>44683</v>
      </c>
      <c r="R2327" t="s">
        <v>47409</v>
      </c>
    </row>
    <row r="2328" spans="1:18" x14ac:dyDescent="0.35">
      <c r="A2328" t="s">
        <v>15097</v>
      </c>
      <c r="D2328" t="s">
        <v>3517</v>
      </c>
      <c r="E2328" t="s">
        <v>43</v>
      </c>
      <c r="I2328" s="26">
        <v>39814</v>
      </c>
      <c r="J2328" s="28">
        <v>39814</v>
      </c>
      <c r="Q2328" t="s">
        <v>44683</v>
      </c>
      <c r="R2328" t="s">
        <v>47410</v>
      </c>
    </row>
    <row r="2329" spans="1:18" x14ac:dyDescent="0.35">
      <c r="A2329" t="s">
        <v>14108</v>
      </c>
      <c r="D2329" t="s">
        <v>1047</v>
      </c>
      <c r="E2329" t="s">
        <v>43</v>
      </c>
      <c r="I2329" s="26">
        <v>40179</v>
      </c>
      <c r="J2329" s="28">
        <v>40179</v>
      </c>
      <c r="Q2329" t="s">
        <v>44683</v>
      </c>
      <c r="R2329" t="s">
        <v>47411</v>
      </c>
    </row>
    <row r="2330" spans="1:18" x14ac:dyDescent="0.35">
      <c r="A2330" t="s">
        <v>15066</v>
      </c>
      <c r="D2330" t="s">
        <v>3454</v>
      </c>
      <c r="E2330" t="s">
        <v>43</v>
      </c>
      <c r="I2330" s="26">
        <v>39814</v>
      </c>
      <c r="J2330" s="28">
        <v>39814</v>
      </c>
      <c r="Q2330" t="s">
        <v>44683</v>
      </c>
      <c r="R2330" t="s">
        <v>47412</v>
      </c>
    </row>
    <row r="2331" spans="1:18" x14ac:dyDescent="0.35">
      <c r="A2331" t="s">
        <v>14789</v>
      </c>
      <c r="C2331" t="s">
        <v>46490</v>
      </c>
      <c r="D2331" t="s">
        <v>2462</v>
      </c>
      <c r="E2331" t="s">
        <v>43</v>
      </c>
      <c r="I2331" s="26">
        <v>39814</v>
      </c>
      <c r="J2331" s="28">
        <v>39814</v>
      </c>
      <c r="Q2331" t="s">
        <v>44683</v>
      </c>
      <c r="R2331" t="s">
        <v>47413</v>
      </c>
    </row>
    <row r="2332" spans="1:18" x14ac:dyDescent="0.35">
      <c r="A2332" t="s">
        <v>47414</v>
      </c>
      <c r="C2332" t="s">
        <v>47415</v>
      </c>
      <c r="D2332" t="s">
        <v>1172</v>
      </c>
      <c r="E2332" t="s">
        <v>43</v>
      </c>
      <c r="I2332" s="26">
        <v>40179</v>
      </c>
      <c r="J2332" s="28">
        <v>40179</v>
      </c>
      <c r="Q2332" t="s">
        <v>44683</v>
      </c>
      <c r="R2332" t="s">
        <v>47416</v>
      </c>
    </row>
    <row r="2333" spans="1:18" x14ac:dyDescent="0.35">
      <c r="A2333" t="s">
        <v>15964</v>
      </c>
      <c r="C2333" t="s">
        <v>47417</v>
      </c>
      <c r="D2333" t="s">
        <v>6370</v>
      </c>
      <c r="E2333" t="s">
        <v>43</v>
      </c>
      <c r="I2333" s="26">
        <v>40179</v>
      </c>
      <c r="J2333" s="28">
        <v>40179</v>
      </c>
      <c r="Q2333" t="s">
        <v>44683</v>
      </c>
      <c r="R2333" t="s">
        <v>47418</v>
      </c>
    </row>
    <row r="2334" spans="1:18" x14ac:dyDescent="0.35">
      <c r="A2334" t="s">
        <v>15787</v>
      </c>
      <c r="C2334" t="s">
        <v>47419</v>
      </c>
      <c r="D2334" t="s">
        <v>5877</v>
      </c>
      <c r="E2334" t="s">
        <v>43</v>
      </c>
      <c r="I2334" s="26">
        <v>40179</v>
      </c>
      <c r="J2334" s="28">
        <v>40179</v>
      </c>
      <c r="Q2334" t="s">
        <v>44683</v>
      </c>
      <c r="R2334" t="s">
        <v>47420</v>
      </c>
    </row>
    <row r="2335" spans="1:18" x14ac:dyDescent="0.35">
      <c r="A2335" t="s">
        <v>15819</v>
      </c>
      <c r="C2335" t="s">
        <v>47421</v>
      </c>
      <c r="D2335" t="s">
        <v>5877</v>
      </c>
      <c r="E2335" t="s">
        <v>43</v>
      </c>
      <c r="I2335" s="26">
        <v>39814</v>
      </c>
      <c r="J2335" s="28">
        <v>39814</v>
      </c>
      <c r="Q2335" t="s">
        <v>44683</v>
      </c>
      <c r="R2335" t="s">
        <v>47422</v>
      </c>
    </row>
    <row r="2336" spans="1:18" x14ac:dyDescent="0.35">
      <c r="A2336" t="s">
        <v>16447</v>
      </c>
      <c r="C2336" t="s">
        <v>47423</v>
      </c>
      <c r="D2336" t="s">
        <v>7245</v>
      </c>
      <c r="E2336" t="s">
        <v>43</v>
      </c>
      <c r="I2336" s="26">
        <v>39814</v>
      </c>
      <c r="J2336" s="28">
        <v>39814</v>
      </c>
      <c r="Q2336" t="s">
        <v>44683</v>
      </c>
      <c r="R2336" t="s">
        <v>47424</v>
      </c>
    </row>
    <row r="2337" spans="1:18" x14ac:dyDescent="0.35">
      <c r="A2337" t="s">
        <v>15239</v>
      </c>
      <c r="C2337" t="s">
        <v>47304</v>
      </c>
      <c r="D2337" t="s">
        <v>5220</v>
      </c>
      <c r="E2337" t="s">
        <v>43</v>
      </c>
      <c r="I2337" s="26">
        <v>40179</v>
      </c>
      <c r="J2337" s="28">
        <v>40179</v>
      </c>
      <c r="Q2337" t="s">
        <v>44683</v>
      </c>
      <c r="R2337" t="s">
        <v>47425</v>
      </c>
    </row>
    <row r="2338" spans="1:18" x14ac:dyDescent="0.35">
      <c r="A2338" t="s">
        <v>47426</v>
      </c>
      <c r="C2338" t="s">
        <v>47357</v>
      </c>
      <c r="D2338" t="s">
        <v>2462</v>
      </c>
      <c r="E2338" t="s">
        <v>43</v>
      </c>
      <c r="I2338" s="26">
        <v>39814</v>
      </c>
      <c r="J2338" s="28">
        <v>39814</v>
      </c>
      <c r="Q2338" t="s">
        <v>44683</v>
      </c>
      <c r="R2338" t="s">
        <v>47427</v>
      </c>
    </row>
    <row r="2339" spans="1:18" x14ac:dyDescent="0.35">
      <c r="A2339" t="s">
        <v>47428</v>
      </c>
      <c r="C2339" t="s">
        <v>47429</v>
      </c>
      <c r="D2339" t="s">
        <v>7244</v>
      </c>
      <c r="E2339" t="s">
        <v>43</v>
      </c>
      <c r="I2339" s="26">
        <v>39814</v>
      </c>
      <c r="J2339" s="28">
        <v>39814</v>
      </c>
      <c r="Q2339" t="s">
        <v>44683</v>
      </c>
      <c r="R2339" t="s">
        <v>47430</v>
      </c>
    </row>
    <row r="2340" spans="1:18" x14ac:dyDescent="0.35">
      <c r="A2340" t="s">
        <v>15789</v>
      </c>
      <c r="C2340" t="s">
        <v>47431</v>
      </c>
      <c r="D2340" t="s">
        <v>5877</v>
      </c>
      <c r="E2340" t="s">
        <v>43</v>
      </c>
      <c r="I2340" s="26">
        <v>39814</v>
      </c>
      <c r="J2340" s="28">
        <v>39814</v>
      </c>
      <c r="Q2340" t="s">
        <v>44683</v>
      </c>
      <c r="R2340" t="s">
        <v>47432</v>
      </c>
    </row>
    <row r="2341" spans="1:18" x14ac:dyDescent="0.35">
      <c r="A2341" t="s">
        <v>15788</v>
      </c>
      <c r="D2341" t="s">
        <v>5877</v>
      </c>
      <c r="E2341" t="s">
        <v>43</v>
      </c>
      <c r="I2341" s="26">
        <v>39814</v>
      </c>
      <c r="J2341" s="28">
        <v>39814</v>
      </c>
      <c r="Q2341" t="s">
        <v>44683</v>
      </c>
      <c r="R2341" t="s">
        <v>47433</v>
      </c>
    </row>
    <row r="2342" spans="1:18" x14ac:dyDescent="0.35">
      <c r="A2342" t="s">
        <v>14823</v>
      </c>
      <c r="C2342" t="s">
        <v>47434</v>
      </c>
      <c r="D2342" t="s">
        <v>2494</v>
      </c>
      <c r="E2342" t="s">
        <v>43</v>
      </c>
      <c r="I2342" s="26">
        <v>39814</v>
      </c>
      <c r="J2342" s="28">
        <v>39814</v>
      </c>
      <c r="Q2342" t="s">
        <v>44683</v>
      </c>
      <c r="R2342" t="s">
        <v>47435</v>
      </c>
    </row>
    <row r="2343" spans="1:18" x14ac:dyDescent="0.35">
      <c r="A2343" t="s">
        <v>15476</v>
      </c>
      <c r="C2343" t="s">
        <v>47216</v>
      </c>
      <c r="D2343" t="s">
        <v>5788</v>
      </c>
      <c r="E2343" t="s">
        <v>43</v>
      </c>
      <c r="I2343" s="26">
        <v>40179</v>
      </c>
      <c r="J2343" s="28">
        <v>40179</v>
      </c>
      <c r="Q2343" t="s">
        <v>44683</v>
      </c>
      <c r="R2343" t="s">
        <v>47436</v>
      </c>
    </row>
    <row r="2344" spans="1:18" x14ac:dyDescent="0.35">
      <c r="A2344" t="s">
        <v>14078</v>
      </c>
      <c r="D2344" t="s">
        <v>762</v>
      </c>
      <c r="E2344" t="s">
        <v>43</v>
      </c>
      <c r="I2344" s="26">
        <v>39814</v>
      </c>
      <c r="J2344" s="28">
        <v>39814</v>
      </c>
      <c r="Q2344" t="s">
        <v>44683</v>
      </c>
      <c r="R2344" t="s">
        <v>47437</v>
      </c>
    </row>
    <row r="2345" spans="1:18" x14ac:dyDescent="0.35">
      <c r="A2345" t="s">
        <v>15792</v>
      </c>
      <c r="C2345" t="s">
        <v>47367</v>
      </c>
      <c r="D2345" t="s">
        <v>5877</v>
      </c>
      <c r="E2345" t="s">
        <v>43</v>
      </c>
      <c r="I2345" s="26">
        <v>40179</v>
      </c>
      <c r="J2345" s="28">
        <v>40179</v>
      </c>
      <c r="Q2345" t="s">
        <v>44683</v>
      </c>
      <c r="R2345" t="s">
        <v>47438</v>
      </c>
    </row>
    <row r="2346" spans="1:18" x14ac:dyDescent="0.35">
      <c r="A2346" t="s">
        <v>16312</v>
      </c>
      <c r="D2346" t="s">
        <v>7144</v>
      </c>
      <c r="E2346" t="s">
        <v>43</v>
      </c>
      <c r="I2346" s="26">
        <v>39814</v>
      </c>
      <c r="J2346" s="28">
        <v>39814</v>
      </c>
      <c r="Q2346" t="s">
        <v>44683</v>
      </c>
      <c r="R2346" t="s">
        <v>47439</v>
      </c>
    </row>
    <row r="2347" spans="1:18" x14ac:dyDescent="0.35">
      <c r="A2347" t="s">
        <v>14080</v>
      </c>
      <c r="D2347" t="s">
        <v>763</v>
      </c>
      <c r="E2347" t="s">
        <v>43</v>
      </c>
      <c r="I2347" s="26">
        <v>39814</v>
      </c>
      <c r="J2347" s="28">
        <v>39814</v>
      </c>
      <c r="Q2347" t="s">
        <v>44683</v>
      </c>
      <c r="R2347" t="s">
        <v>47440</v>
      </c>
    </row>
    <row r="2348" spans="1:18" x14ac:dyDescent="0.35">
      <c r="A2348" t="s">
        <v>16420</v>
      </c>
      <c r="C2348" t="s">
        <v>47441</v>
      </c>
      <c r="D2348" t="s">
        <v>7244</v>
      </c>
      <c r="E2348" t="s">
        <v>43</v>
      </c>
      <c r="I2348" s="26">
        <v>39814</v>
      </c>
      <c r="J2348" s="28">
        <v>39814</v>
      </c>
      <c r="Q2348" t="s">
        <v>44683</v>
      </c>
      <c r="R2348" t="s">
        <v>47442</v>
      </c>
    </row>
    <row r="2349" spans="1:18" x14ac:dyDescent="0.35">
      <c r="A2349" t="s">
        <v>14019</v>
      </c>
      <c r="D2349" t="s">
        <v>2751</v>
      </c>
      <c r="E2349" t="s">
        <v>43</v>
      </c>
      <c r="I2349" s="26">
        <v>39814</v>
      </c>
      <c r="J2349" s="28">
        <v>39814</v>
      </c>
      <c r="Q2349" t="s">
        <v>44683</v>
      </c>
      <c r="R2349" t="s">
        <v>47443</v>
      </c>
    </row>
    <row r="2350" spans="1:18" x14ac:dyDescent="0.35">
      <c r="A2350" t="s">
        <v>15067</v>
      </c>
      <c r="D2350" t="s">
        <v>3454</v>
      </c>
      <c r="E2350" t="s">
        <v>43</v>
      </c>
      <c r="I2350" s="26">
        <v>39814</v>
      </c>
      <c r="J2350" s="28">
        <v>39814</v>
      </c>
      <c r="Q2350" t="s">
        <v>44683</v>
      </c>
      <c r="R2350" t="s">
        <v>47444</v>
      </c>
    </row>
    <row r="2351" spans="1:18" x14ac:dyDescent="0.35">
      <c r="A2351" t="s">
        <v>15264</v>
      </c>
      <c r="D2351" t="s">
        <v>5145</v>
      </c>
      <c r="E2351" t="s">
        <v>43</v>
      </c>
      <c r="I2351" s="26">
        <v>39448</v>
      </c>
      <c r="J2351" s="28">
        <v>39448</v>
      </c>
      <c r="Q2351" t="s">
        <v>44683</v>
      </c>
      <c r="R2351" t="s">
        <v>47445</v>
      </c>
    </row>
    <row r="2352" spans="1:18" x14ac:dyDescent="0.35">
      <c r="A2352" t="s">
        <v>15824</v>
      </c>
      <c r="D2352" t="s">
        <v>5877</v>
      </c>
      <c r="E2352" t="s">
        <v>43</v>
      </c>
      <c r="I2352" s="26">
        <v>39814</v>
      </c>
      <c r="J2352" s="28">
        <v>39814</v>
      </c>
      <c r="Q2352" t="s">
        <v>44683</v>
      </c>
      <c r="R2352" t="s">
        <v>47446</v>
      </c>
    </row>
    <row r="2353" spans="1:18" x14ac:dyDescent="0.35">
      <c r="A2353" t="s">
        <v>15826</v>
      </c>
      <c r="C2353" t="s">
        <v>47447</v>
      </c>
      <c r="D2353" t="s">
        <v>5877</v>
      </c>
      <c r="E2353" t="s">
        <v>43</v>
      </c>
      <c r="I2353" s="26">
        <v>39814</v>
      </c>
      <c r="J2353" s="28">
        <v>39814</v>
      </c>
      <c r="Q2353" t="s">
        <v>44683</v>
      </c>
      <c r="R2353" t="s">
        <v>47448</v>
      </c>
    </row>
    <row r="2354" spans="1:18" x14ac:dyDescent="0.35">
      <c r="A2354" t="s">
        <v>15243</v>
      </c>
      <c r="C2354" t="s">
        <v>47449</v>
      </c>
      <c r="D2354" t="s">
        <v>5220</v>
      </c>
      <c r="E2354" t="s">
        <v>43</v>
      </c>
      <c r="I2354" s="26">
        <v>40179</v>
      </c>
      <c r="J2354" s="28">
        <v>40179</v>
      </c>
      <c r="Q2354" t="s">
        <v>44683</v>
      </c>
      <c r="R2354" t="s">
        <v>47450</v>
      </c>
    </row>
    <row r="2355" spans="1:18" x14ac:dyDescent="0.35">
      <c r="A2355" t="s">
        <v>15794</v>
      </c>
      <c r="C2355" t="s">
        <v>47451</v>
      </c>
      <c r="D2355" t="s">
        <v>5877</v>
      </c>
      <c r="E2355" t="s">
        <v>43</v>
      </c>
      <c r="I2355" s="26">
        <v>40179</v>
      </c>
      <c r="J2355" s="28">
        <v>40179</v>
      </c>
      <c r="Q2355" t="s">
        <v>44683</v>
      </c>
      <c r="R2355" t="s">
        <v>47452</v>
      </c>
    </row>
    <row r="2356" spans="1:18" x14ac:dyDescent="0.35">
      <c r="A2356" t="s">
        <v>14249</v>
      </c>
      <c r="C2356" t="s">
        <v>47453</v>
      </c>
      <c r="D2356" t="s">
        <v>1371</v>
      </c>
      <c r="E2356" t="s">
        <v>43</v>
      </c>
      <c r="I2356" s="26">
        <v>39814</v>
      </c>
      <c r="J2356" s="28">
        <v>39814</v>
      </c>
      <c r="Q2356" t="s">
        <v>44683</v>
      </c>
      <c r="R2356" t="s">
        <v>47454</v>
      </c>
    </row>
    <row r="2357" spans="1:18" x14ac:dyDescent="0.35">
      <c r="A2357" t="s">
        <v>15280</v>
      </c>
      <c r="D2357" t="s">
        <v>5325</v>
      </c>
      <c r="E2357" t="s">
        <v>43</v>
      </c>
      <c r="I2357" s="26">
        <v>39448</v>
      </c>
      <c r="J2357" s="28">
        <v>39448</v>
      </c>
      <c r="Q2357" t="s">
        <v>44683</v>
      </c>
      <c r="R2357" t="s">
        <v>47455</v>
      </c>
    </row>
    <row r="2358" spans="1:18" x14ac:dyDescent="0.35">
      <c r="A2358" t="s">
        <v>16206</v>
      </c>
      <c r="D2358" t="s">
        <v>1493</v>
      </c>
      <c r="E2358" t="s">
        <v>43</v>
      </c>
      <c r="I2358" s="26">
        <v>40179</v>
      </c>
      <c r="J2358" s="28">
        <v>40179</v>
      </c>
      <c r="Q2358" t="s">
        <v>44683</v>
      </c>
      <c r="R2358" t="s">
        <v>47456</v>
      </c>
    </row>
    <row r="2359" spans="1:18" x14ac:dyDescent="0.35">
      <c r="A2359" t="s">
        <v>15828</v>
      </c>
      <c r="C2359" t="s">
        <v>47211</v>
      </c>
      <c r="D2359" t="s">
        <v>5877</v>
      </c>
      <c r="E2359" t="s">
        <v>43</v>
      </c>
      <c r="I2359" s="26">
        <v>39814</v>
      </c>
      <c r="J2359" s="28">
        <v>39814</v>
      </c>
      <c r="Q2359" t="s">
        <v>44683</v>
      </c>
      <c r="R2359" t="s">
        <v>47457</v>
      </c>
    </row>
    <row r="2360" spans="1:18" x14ac:dyDescent="0.35">
      <c r="A2360" t="s">
        <v>47458</v>
      </c>
      <c r="C2360" t="s">
        <v>47459</v>
      </c>
      <c r="D2360" t="s">
        <v>1953</v>
      </c>
      <c r="E2360" t="s">
        <v>43</v>
      </c>
      <c r="I2360" s="26">
        <v>40179</v>
      </c>
      <c r="J2360" s="28">
        <v>40179</v>
      </c>
      <c r="Q2360" t="s">
        <v>44683</v>
      </c>
      <c r="R2360" t="s">
        <v>47460</v>
      </c>
    </row>
    <row r="2361" spans="1:18" x14ac:dyDescent="0.35">
      <c r="A2361" t="s">
        <v>15282</v>
      </c>
      <c r="D2361" t="s">
        <v>5325</v>
      </c>
      <c r="E2361" t="s">
        <v>43</v>
      </c>
      <c r="I2361" s="26">
        <v>39448</v>
      </c>
      <c r="J2361" s="28">
        <v>39448</v>
      </c>
      <c r="Q2361" t="s">
        <v>44683</v>
      </c>
      <c r="R2361" t="s">
        <v>47461</v>
      </c>
    </row>
    <row r="2362" spans="1:18" x14ac:dyDescent="0.35">
      <c r="A2362" t="s">
        <v>14833</v>
      </c>
      <c r="D2362" t="s">
        <v>2603</v>
      </c>
      <c r="E2362" t="s">
        <v>43</v>
      </c>
      <c r="I2362" s="26">
        <v>39814</v>
      </c>
      <c r="J2362" s="28">
        <v>39814</v>
      </c>
      <c r="Q2362" t="s">
        <v>44683</v>
      </c>
      <c r="R2362" t="s">
        <v>47462</v>
      </c>
    </row>
    <row r="2363" spans="1:18" x14ac:dyDescent="0.35">
      <c r="A2363" t="s">
        <v>15795</v>
      </c>
      <c r="C2363" t="s">
        <v>47463</v>
      </c>
      <c r="D2363" t="s">
        <v>5877</v>
      </c>
      <c r="E2363" t="s">
        <v>43</v>
      </c>
      <c r="I2363" s="26">
        <v>40179</v>
      </c>
      <c r="J2363" s="28">
        <v>40179</v>
      </c>
      <c r="Q2363" t="s">
        <v>44683</v>
      </c>
      <c r="R2363" t="s">
        <v>47464</v>
      </c>
    </row>
    <row r="2364" spans="1:18" x14ac:dyDescent="0.35">
      <c r="A2364" t="s">
        <v>16230</v>
      </c>
      <c r="D2364" t="s">
        <v>1782</v>
      </c>
      <c r="E2364" t="s">
        <v>43</v>
      </c>
      <c r="I2364" s="26">
        <v>39814</v>
      </c>
      <c r="J2364" s="28">
        <v>39814</v>
      </c>
      <c r="Q2364" t="s">
        <v>44683</v>
      </c>
      <c r="R2364" t="s">
        <v>47465</v>
      </c>
    </row>
    <row r="2365" spans="1:18" x14ac:dyDescent="0.35">
      <c r="A2365" t="s">
        <v>15797</v>
      </c>
      <c r="C2365" t="s">
        <v>47466</v>
      </c>
      <c r="D2365" t="s">
        <v>5877</v>
      </c>
      <c r="E2365" t="s">
        <v>43</v>
      </c>
      <c r="I2365" s="26">
        <v>40179</v>
      </c>
      <c r="J2365" s="28">
        <v>40179</v>
      </c>
      <c r="Q2365" t="s">
        <v>44683</v>
      </c>
      <c r="R2365" t="s">
        <v>47467</v>
      </c>
    </row>
    <row r="2366" spans="1:18" x14ac:dyDescent="0.35">
      <c r="A2366" t="s">
        <v>15829</v>
      </c>
      <c r="C2366" t="s">
        <v>47468</v>
      </c>
      <c r="D2366" t="s">
        <v>5877</v>
      </c>
      <c r="E2366" t="s">
        <v>43</v>
      </c>
      <c r="I2366" s="26">
        <v>39814</v>
      </c>
      <c r="J2366" s="28">
        <v>39814</v>
      </c>
      <c r="Q2366" t="s">
        <v>44683</v>
      </c>
      <c r="R2366" t="s">
        <v>47469</v>
      </c>
    </row>
    <row r="2367" spans="1:18" x14ac:dyDescent="0.35">
      <c r="A2367" t="s">
        <v>16421</v>
      </c>
      <c r="C2367" t="s">
        <v>47441</v>
      </c>
      <c r="D2367" t="s">
        <v>7244</v>
      </c>
      <c r="E2367" t="s">
        <v>43</v>
      </c>
      <c r="I2367" s="26">
        <v>39814</v>
      </c>
      <c r="J2367" s="28">
        <v>39814</v>
      </c>
      <c r="Q2367" t="s">
        <v>44683</v>
      </c>
      <c r="R2367" t="s">
        <v>47470</v>
      </c>
    </row>
    <row r="2368" spans="1:18" x14ac:dyDescent="0.35">
      <c r="A2368" t="s">
        <v>15798</v>
      </c>
      <c r="C2368" t="s">
        <v>47471</v>
      </c>
      <c r="D2368" t="s">
        <v>5877</v>
      </c>
      <c r="E2368" t="s">
        <v>43</v>
      </c>
      <c r="I2368" s="26">
        <v>39814</v>
      </c>
      <c r="J2368" s="28">
        <v>39814</v>
      </c>
      <c r="Q2368" t="s">
        <v>44683</v>
      </c>
      <c r="R2368" t="s">
        <v>47472</v>
      </c>
    </row>
    <row r="2369" spans="1:18" x14ac:dyDescent="0.35">
      <c r="A2369" t="s">
        <v>15830</v>
      </c>
      <c r="C2369" t="s">
        <v>47473</v>
      </c>
      <c r="D2369" t="s">
        <v>5877</v>
      </c>
      <c r="E2369" t="s">
        <v>43</v>
      </c>
      <c r="I2369" s="26">
        <v>39814</v>
      </c>
      <c r="J2369" s="28">
        <v>39814</v>
      </c>
      <c r="Q2369" t="s">
        <v>44683</v>
      </c>
      <c r="R2369" t="s">
        <v>47474</v>
      </c>
    </row>
    <row r="2370" spans="1:18" x14ac:dyDescent="0.35">
      <c r="A2370" t="s">
        <v>16231</v>
      </c>
      <c r="D2370" t="s">
        <v>1782</v>
      </c>
      <c r="E2370" t="s">
        <v>43</v>
      </c>
      <c r="I2370" s="26">
        <v>39814</v>
      </c>
      <c r="J2370" s="28">
        <v>39814</v>
      </c>
      <c r="Q2370" t="s">
        <v>44683</v>
      </c>
      <c r="R2370" t="s">
        <v>47475</v>
      </c>
    </row>
    <row r="2371" spans="1:18" x14ac:dyDescent="0.35">
      <c r="A2371" t="s">
        <v>14079</v>
      </c>
      <c r="D2371" t="s">
        <v>762</v>
      </c>
      <c r="E2371" t="s">
        <v>43</v>
      </c>
      <c r="I2371" s="26">
        <v>39814</v>
      </c>
      <c r="J2371" s="28">
        <v>39814</v>
      </c>
      <c r="Q2371" t="s">
        <v>44683</v>
      </c>
      <c r="R2371" t="s">
        <v>47476</v>
      </c>
    </row>
    <row r="2372" spans="1:18" x14ac:dyDescent="0.35">
      <c r="A2372" t="s">
        <v>47477</v>
      </c>
      <c r="C2372" t="s">
        <v>47357</v>
      </c>
      <c r="D2372" t="s">
        <v>1172</v>
      </c>
      <c r="E2372" t="s">
        <v>43</v>
      </c>
      <c r="I2372" s="26">
        <v>40179</v>
      </c>
      <c r="J2372" s="28">
        <v>40179</v>
      </c>
      <c r="Q2372" t="s">
        <v>44683</v>
      </c>
      <c r="R2372" t="s">
        <v>47478</v>
      </c>
    </row>
    <row r="2373" spans="1:18" x14ac:dyDescent="0.35">
      <c r="A2373" t="s">
        <v>15165</v>
      </c>
      <c r="D2373" t="s">
        <v>5132</v>
      </c>
      <c r="E2373" t="s">
        <v>43</v>
      </c>
      <c r="I2373" s="26">
        <v>40179</v>
      </c>
      <c r="J2373" s="28">
        <v>40179</v>
      </c>
      <c r="Q2373" t="s">
        <v>14474</v>
      </c>
      <c r="R2373" t="s">
        <v>47479</v>
      </c>
    </row>
    <row r="2374" spans="1:18" x14ac:dyDescent="0.35">
      <c r="A2374" t="s">
        <v>47480</v>
      </c>
      <c r="C2374" t="s">
        <v>47415</v>
      </c>
      <c r="D2374" t="s">
        <v>2462</v>
      </c>
      <c r="E2374" t="s">
        <v>43</v>
      </c>
      <c r="I2374" s="26">
        <v>39814</v>
      </c>
      <c r="J2374" s="28">
        <v>39814</v>
      </c>
      <c r="Q2374" t="s">
        <v>44683</v>
      </c>
      <c r="R2374" t="s">
        <v>47481</v>
      </c>
    </row>
    <row r="2375" spans="1:18" x14ac:dyDescent="0.35">
      <c r="A2375" t="s">
        <v>15246</v>
      </c>
      <c r="C2375" t="s">
        <v>47482</v>
      </c>
      <c r="D2375" t="s">
        <v>5220</v>
      </c>
      <c r="E2375" t="s">
        <v>43</v>
      </c>
      <c r="I2375" s="26">
        <v>40179</v>
      </c>
      <c r="J2375" s="28">
        <v>40179</v>
      </c>
      <c r="Q2375" t="s">
        <v>44683</v>
      </c>
      <c r="R2375" t="s">
        <v>47483</v>
      </c>
    </row>
    <row r="2376" spans="1:18" x14ac:dyDescent="0.35">
      <c r="A2376" t="s">
        <v>15247</v>
      </c>
      <c r="C2376" t="s">
        <v>47484</v>
      </c>
      <c r="D2376" t="s">
        <v>5220</v>
      </c>
      <c r="E2376" t="s">
        <v>43</v>
      </c>
      <c r="I2376" s="26">
        <v>40179</v>
      </c>
      <c r="J2376" s="28">
        <v>40179</v>
      </c>
      <c r="Q2376" t="s">
        <v>44683</v>
      </c>
      <c r="R2376" t="s">
        <v>47485</v>
      </c>
    </row>
    <row r="2377" spans="1:18" x14ac:dyDescent="0.35">
      <c r="A2377" t="s">
        <v>14081</v>
      </c>
      <c r="D2377" t="s">
        <v>763</v>
      </c>
      <c r="E2377" t="s">
        <v>43</v>
      </c>
      <c r="I2377" s="26">
        <v>39814</v>
      </c>
      <c r="J2377" s="28">
        <v>39814</v>
      </c>
      <c r="Q2377" t="s">
        <v>44683</v>
      </c>
      <c r="R2377" t="s">
        <v>47486</v>
      </c>
    </row>
    <row r="2378" spans="1:18" x14ac:dyDescent="0.35">
      <c r="A2378" t="s">
        <v>15834</v>
      </c>
      <c r="D2378" t="s">
        <v>5877</v>
      </c>
      <c r="E2378" t="s">
        <v>43</v>
      </c>
      <c r="I2378" s="26">
        <v>39814</v>
      </c>
      <c r="J2378" s="28">
        <v>39814</v>
      </c>
      <c r="Q2378" t="s">
        <v>44683</v>
      </c>
      <c r="R2378" t="s">
        <v>47487</v>
      </c>
    </row>
    <row r="2379" spans="1:18" x14ac:dyDescent="0.35">
      <c r="A2379" t="s">
        <v>14790</v>
      </c>
      <c r="C2379" t="s">
        <v>46669</v>
      </c>
      <c r="D2379" t="s">
        <v>2462</v>
      </c>
      <c r="E2379" t="s">
        <v>43</v>
      </c>
      <c r="I2379" s="26">
        <v>39814</v>
      </c>
      <c r="J2379" s="28">
        <v>39814</v>
      </c>
      <c r="Q2379" t="s">
        <v>44683</v>
      </c>
      <c r="R2379" t="s">
        <v>47488</v>
      </c>
    </row>
    <row r="2380" spans="1:18" x14ac:dyDescent="0.35">
      <c r="A2380" t="s">
        <v>15283</v>
      </c>
      <c r="D2380" t="s">
        <v>5325</v>
      </c>
      <c r="E2380" t="s">
        <v>43</v>
      </c>
      <c r="I2380" s="26">
        <v>39448</v>
      </c>
      <c r="J2380" s="28">
        <v>39448</v>
      </c>
      <c r="Q2380" t="s">
        <v>44683</v>
      </c>
      <c r="R2380" t="s">
        <v>47489</v>
      </c>
    </row>
    <row r="2381" spans="1:18" x14ac:dyDescent="0.35">
      <c r="A2381" t="s">
        <v>14250</v>
      </c>
      <c r="D2381" t="s">
        <v>1371</v>
      </c>
      <c r="E2381" t="s">
        <v>43</v>
      </c>
      <c r="I2381" s="26">
        <v>39814</v>
      </c>
      <c r="J2381" s="28">
        <v>39814</v>
      </c>
      <c r="Q2381" t="s">
        <v>44683</v>
      </c>
      <c r="R2381" t="s">
        <v>47490</v>
      </c>
    </row>
    <row r="2382" spans="1:18" x14ac:dyDescent="0.35">
      <c r="A2382" t="s">
        <v>14251</v>
      </c>
      <c r="D2382" t="s">
        <v>1371</v>
      </c>
      <c r="E2382" t="s">
        <v>43</v>
      </c>
      <c r="I2382" s="26">
        <v>39814</v>
      </c>
      <c r="J2382" s="28">
        <v>39814</v>
      </c>
      <c r="Q2382" t="s">
        <v>44683</v>
      </c>
      <c r="R2382" t="s">
        <v>47491</v>
      </c>
    </row>
    <row r="2383" spans="1:18" x14ac:dyDescent="0.35">
      <c r="A2383" t="s">
        <v>15249</v>
      </c>
      <c r="C2383" t="s">
        <v>47492</v>
      </c>
      <c r="D2383" t="s">
        <v>5220</v>
      </c>
      <c r="E2383" t="s">
        <v>43</v>
      </c>
      <c r="I2383" s="26">
        <v>40179</v>
      </c>
      <c r="J2383" s="28">
        <v>40179</v>
      </c>
      <c r="Q2383" t="s">
        <v>44683</v>
      </c>
      <c r="R2383" t="s">
        <v>47493</v>
      </c>
    </row>
    <row r="2384" spans="1:18" x14ac:dyDescent="0.35">
      <c r="A2384" t="s">
        <v>15800</v>
      </c>
      <c r="C2384" t="s">
        <v>47259</v>
      </c>
      <c r="D2384" t="s">
        <v>5877</v>
      </c>
      <c r="E2384" t="s">
        <v>43</v>
      </c>
      <c r="I2384" s="26">
        <v>40179</v>
      </c>
      <c r="J2384" s="28">
        <v>40179</v>
      </c>
      <c r="Q2384" t="s">
        <v>44683</v>
      </c>
      <c r="R2384" t="s">
        <v>47494</v>
      </c>
    </row>
    <row r="2385" spans="1:18" x14ac:dyDescent="0.35">
      <c r="A2385" t="s">
        <v>14230</v>
      </c>
      <c r="C2385" t="s">
        <v>47495</v>
      </c>
      <c r="D2385" t="s">
        <v>1172</v>
      </c>
      <c r="E2385" t="s">
        <v>43</v>
      </c>
      <c r="I2385" s="26">
        <v>40179</v>
      </c>
      <c r="J2385" s="28">
        <v>40179</v>
      </c>
      <c r="Q2385" t="s">
        <v>44683</v>
      </c>
      <c r="R2385" t="s">
        <v>47496</v>
      </c>
    </row>
    <row r="2386" spans="1:18" x14ac:dyDescent="0.35">
      <c r="A2386" t="s">
        <v>14109</v>
      </c>
      <c r="D2386" t="s">
        <v>1047</v>
      </c>
      <c r="E2386" t="s">
        <v>43</v>
      </c>
      <c r="I2386" s="26">
        <v>39814</v>
      </c>
      <c r="J2386" s="28">
        <v>39814</v>
      </c>
      <c r="Q2386" t="s">
        <v>44683</v>
      </c>
      <c r="R2386" t="s">
        <v>47497</v>
      </c>
    </row>
    <row r="2387" spans="1:18" x14ac:dyDescent="0.35">
      <c r="A2387" t="s">
        <v>14791</v>
      </c>
      <c r="C2387" t="s">
        <v>47498</v>
      </c>
      <c r="D2387" t="s">
        <v>2462</v>
      </c>
      <c r="E2387" t="s">
        <v>43</v>
      </c>
      <c r="I2387" s="26">
        <v>39814</v>
      </c>
      <c r="J2387" s="28">
        <v>39814</v>
      </c>
      <c r="Q2387" t="s">
        <v>44683</v>
      </c>
      <c r="R2387" t="s">
        <v>47499</v>
      </c>
    </row>
    <row r="2388" spans="1:18" x14ac:dyDescent="0.35">
      <c r="A2388" t="s">
        <v>15284</v>
      </c>
      <c r="D2388" t="s">
        <v>5325</v>
      </c>
      <c r="E2388" t="s">
        <v>43</v>
      </c>
      <c r="I2388" s="26">
        <v>39448</v>
      </c>
      <c r="J2388" s="28">
        <v>39448</v>
      </c>
      <c r="Q2388" t="s">
        <v>44683</v>
      </c>
      <c r="R2388" t="s">
        <v>47500</v>
      </c>
    </row>
    <row r="2389" spans="1:18" x14ac:dyDescent="0.35">
      <c r="A2389" t="s">
        <v>16228</v>
      </c>
      <c r="D2389" t="s">
        <v>1782</v>
      </c>
      <c r="E2389" t="s">
        <v>43</v>
      </c>
      <c r="I2389" s="26">
        <v>40179</v>
      </c>
      <c r="J2389" s="28">
        <v>40179</v>
      </c>
      <c r="Q2389" t="s">
        <v>44683</v>
      </c>
      <c r="R2389" t="s">
        <v>47501</v>
      </c>
    </row>
    <row r="2390" spans="1:18" x14ac:dyDescent="0.35">
      <c r="A2390" t="s">
        <v>16207</v>
      </c>
      <c r="D2390" t="s">
        <v>1493</v>
      </c>
      <c r="E2390" t="s">
        <v>43</v>
      </c>
      <c r="I2390" s="26">
        <v>40179</v>
      </c>
      <c r="J2390" s="28">
        <v>40179</v>
      </c>
      <c r="Q2390" t="s">
        <v>44683</v>
      </c>
      <c r="R2390" t="s">
        <v>47502</v>
      </c>
    </row>
    <row r="2391" spans="1:18" x14ac:dyDescent="0.35">
      <c r="A2391" t="s">
        <v>14831</v>
      </c>
      <c r="D2391" t="s">
        <v>2598</v>
      </c>
      <c r="E2391" t="s">
        <v>43</v>
      </c>
      <c r="I2391" s="26">
        <v>39814</v>
      </c>
      <c r="J2391" s="28">
        <v>39814</v>
      </c>
      <c r="Q2391" t="s">
        <v>14832</v>
      </c>
      <c r="R2391" t="s">
        <v>47503</v>
      </c>
    </row>
    <row r="2392" spans="1:18" x14ac:dyDescent="0.35">
      <c r="A2392" t="s">
        <v>16232</v>
      </c>
      <c r="D2392" t="s">
        <v>1782</v>
      </c>
      <c r="E2392" t="s">
        <v>43</v>
      </c>
      <c r="I2392" s="26">
        <v>39448</v>
      </c>
      <c r="J2392" s="28">
        <v>39448</v>
      </c>
      <c r="Q2392" t="s">
        <v>44683</v>
      </c>
      <c r="R2392" t="s">
        <v>47504</v>
      </c>
    </row>
    <row r="2393" spans="1:18" x14ac:dyDescent="0.35">
      <c r="A2393" t="s">
        <v>14110</v>
      </c>
      <c r="D2393" t="s">
        <v>1047</v>
      </c>
      <c r="E2393" t="s">
        <v>43</v>
      </c>
      <c r="I2393" s="26">
        <v>39814</v>
      </c>
      <c r="J2393" s="28">
        <v>39814</v>
      </c>
      <c r="Q2393" t="s">
        <v>44683</v>
      </c>
      <c r="R2393" t="s">
        <v>47505</v>
      </c>
    </row>
    <row r="2394" spans="1:18" x14ac:dyDescent="0.35">
      <c r="A2394" t="s">
        <v>16422</v>
      </c>
      <c r="C2394" t="s">
        <v>47506</v>
      </c>
      <c r="D2394" t="s">
        <v>7244</v>
      </c>
      <c r="E2394" t="s">
        <v>43</v>
      </c>
      <c r="I2394" s="26">
        <v>39814</v>
      </c>
      <c r="J2394" s="28">
        <v>39814</v>
      </c>
      <c r="Q2394" t="s">
        <v>44683</v>
      </c>
      <c r="R2394" t="s">
        <v>47507</v>
      </c>
    </row>
    <row r="2395" spans="1:18" x14ac:dyDescent="0.35">
      <c r="A2395" t="s">
        <v>15464</v>
      </c>
      <c r="D2395" t="s">
        <v>5725</v>
      </c>
      <c r="E2395" t="s">
        <v>43</v>
      </c>
      <c r="I2395" s="26">
        <v>39814</v>
      </c>
      <c r="J2395" s="28">
        <v>39814</v>
      </c>
      <c r="Q2395" t="s">
        <v>44683</v>
      </c>
      <c r="R2395" t="s">
        <v>47508</v>
      </c>
    </row>
    <row r="2396" spans="1:18" x14ac:dyDescent="0.35">
      <c r="A2396" t="s">
        <v>16295</v>
      </c>
      <c r="C2396" t="s">
        <v>47509</v>
      </c>
      <c r="D2396" t="s">
        <v>5300</v>
      </c>
      <c r="E2396" t="s">
        <v>43</v>
      </c>
      <c r="I2396" s="26">
        <v>39814</v>
      </c>
      <c r="J2396" s="28">
        <v>39814</v>
      </c>
      <c r="Q2396" t="s">
        <v>44683</v>
      </c>
      <c r="R2396" t="s">
        <v>47510</v>
      </c>
    </row>
    <row r="2397" spans="1:18" x14ac:dyDescent="0.35">
      <c r="A2397" t="s">
        <v>15802</v>
      </c>
      <c r="C2397" t="s">
        <v>47367</v>
      </c>
      <c r="D2397" t="s">
        <v>5877</v>
      </c>
      <c r="E2397" t="s">
        <v>43</v>
      </c>
      <c r="I2397" s="26">
        <v>39814</v>
      </c>
      <c r="J2397" s="28">
        <v>39814</v>
      </c>
      <c r="Q2397" t="s">
        <v>44683</v>
      </c>
      <c r="R2397" t="s">
        <v>47511</v>
      </c>
    </row>
    <row r="2398" spans="1:18" x14ac:dyDescent="0.35">
      <c r="A2398" t="s">
        <v>14632</v>
      </c>
      <c r="D2398" t="s">
        <v>2221</v>
      </c>
      <c r="E2398" t="s">
        <v>43</v>
      </c>
      <c r="I2398" s="26">
        <v>39814</v>
      </c>
      <c r="J2398" s="28">
        <v>39814</v>
      </c>
      <c r="Q2398" t="s">
        <v>44683</v>
      </c>
      <c r="R2398" t="s">
        <v>47512</v>
      </c>
    </row>
    <row r="2399" spans="1:18" x14ac:dyDescent="0.35">
      <c r="A2399" t="s">
        <v>15839</v>
      </c>
      <c r="C2399" t="s">
        <v>47513</v>
      </c>
      <c r="D2399" t="s">
        <v>5877</v>
      </c>
      <c r="E2399" t="s">
        <v>43</v>
      </c>
      <c r="I2399" s="26">
        <v>39814</v>
      </c>
      <c r="J2399" s="28">
        <v>39814</v>
      </c>
      <c r="Q2399" t="s">
        <v>44683</v>
      </c>
      <c r="R2399" t="s">
        <v>47514</v>
      </c>
    </row>
    <row r="2400" spans="1:18" x14ac:dyDescent="0.35">
      <c r="A2400" t="s">
        <v>14246</v>
      </c>
      <c r="D2400" t="s">
        <v>1255</v>
      </c>
      <c r="E2400" t="s">
        <v>43</v>
      </c>
      <c r="I2400" s="26">
        <v>40179</v>
      </c>
      <c r="J2400" s="28">
        <v>40179</v>
      </c>
      <c r="Q2400" t="s">
        <v>44683</v>
      </c>
      <c r="R2400" t="s">
        <v>47515</v>
      </c>
    </row>
    <row r="2401" spans="1:18" x14ac:dyDescent="0.35">
      <c r="A2401" t="s">
        <v>15068</v>
      </c>
      <c r="D2401" t="s">
        <v>3454</v>
      </c>
      <c r="E2401" t="s">
        <v>43</v>
      </c>
      <c r="I2401" s="26">
        <v>39814</v>
      </c>
      <c r="J2401" s="28">
        <v>39814</v>
      </c>
      <c r="Q2401" t="s">
        <v>44683</v>
      </c>
      <c r="R2401" t="s">
        <v>47516</v>
      </c>
    </row>
    <row r="2402" spans="1:18" x14ac:dyDescent="0.35">
      <c r="A2402" t="s">
        <v>15840</v>
      </c>
      <c r="C2402" t="s">
        <v>47517</v>
      </c>
      <c r="D2402" t="s">
        <v>5877</v>
      </c>
      <c r="E2402" t="s">
        <v>43</v>
      </c>
      <c r="I2402" s="26">
        <v>39083</v>
      </c>
      <c r="J2402" s="28">
        <v>39083</v>
      </c>
      <c r="Q2402" t="s">
        <v>44683</v>
      </c>
      <c r="R2402" t="s">
        <v>47518</v>
      </c>
    </row>
    <row r="2403" spans="1:18" x14ac:dyDescent="0.35">
      <c r="A2403" t="s">
        <v>15843</v>
      </c>
      <c r="C2403" t="s">
        <v>47519</v>
      </c>
      <c r="D2403" t="s">
        <v>5877</v>
      </c>
      <c r="E2403" t="s">
        <v>43</v>
      </c>
      <c r="I2403" s="26">
        <v>39083</v>
      </c>
      <c r="J2403" s="28">
        <v>39083</v>
      </c>
      <c r="Q2403" t="s">
        <v>44683</v>
      </c>
      <c r="R2403" t="s">
        <v>47520</v>
      </c>
    </row>
    <row r="2404" spans="1:18" x14ac:dyDescent="0.35">
      <c r="A2404" t="s">
        <v>15842</v>
      </c>
      <c r="C2404" t="s">
        <v>47521</v>
      </c>
      <c r="D2404" t="s">
        <v>5877</v>
      </c>
      <c r="E2404" t="s">
        <v>43</v>
      </c>
      <c r="I2404" s="26">
        <v>39083</v>
      </c>
      <c r="J2404" s="28">
        <v>39083</v>
      </c>
      <c r="Q2404" t="s">
        <v>44683</v>
      </c>
      <c r="R2404" t="s">
        <v>47522</v>
      </c>
    </row>
    <row r="2405" spans="1:18" x14ac:dyDescent="0.35">
      <c r="A2405" t="s">
        <v>15106</v>
      </c>
      <c r="D2405" t="s">
        <v>4994</v>
      </c>
      <c r="E2405" t="s">
        <v>43</v>
      </c>
      <c r="I2405" s="26">
        <v>39448</v>
      </c>
      <c r="J2405" s="28">
        <v>39448</v>
      </c>
      <c r="Q2405" t="s">
        <v>44683</v>
      </c>
      <c r="R2405" t="s">
        <v>47523</v>
      </c>
    </row>
    <row r="2406" spans="1:18" x14ac:dyDescent="0.35">
      <c r="A2406" t="s">
        <v>15844</v>
      </c>
      <c r="C2406" t="s">
        <v>47524</v>
      </c>
      <c r="D2406" t="s">
        <v>5877</v>
      </c>
      <c r="E2406" t="s">
        <v>43</v>
      </c>
      <c r="I2406" s="26">
        <v>39083</v>
      </c>
      <c r="J2406" s="28">
        <v>39083</v>
      </c>
      <c r="Q2406" t="s">
        <v>44683</v>
      </c>
      <c r="R2406" t="s">
        <v>47525</v>
      </c>
    </row>
    <row r="2407" spans="1:18" x14ac:dyDescent="0.35">
      <c r="A2407" t="s">
        <v>15845</v>
      </c>
      <c r="C2407" t="s">
        <v>47526</v>
      </c>
      <c r="D2407" t="s">
        <v>5877</v>
      </c>
      <c r="E2407" t="s">
        <v>43</v>
      </c>
      <c r="I2407" s="26">
        <v>39083</v>
      </c>
      <c r="J2407" s="28">
        <v>39083</v>
      </c>
      <c r="Q2407" t="s">
        <v>44683</v>
      </c>
      <c r="R2407" t="s">
        <v>47527</v>
      </c>
    </row>
    <row r="2408" spans="1:18" x14ac:dyDescent="0.35">
      <c r="A2408" t="s">
        <v>14821</v>
      </c>
      <c r="C2408" t="s">
        <v>47528</v>
      </c>
      <c r="D2408" t="s">
        <v>2494</v>
      </c>
      <c r="E2408" t="s">
        <v>43</v>
      </c>
      <c r="I2408" s="26">
        <v>39448</v>
      </c>
      <c r="J2408" s="28">
        <v>39448</v>
      </c>
      <c r="Q2408" t="s">
        <v>44683</v>
      </c>
      <c r="R2408" t="s">
        <v>47529</v>
      </c>
    </row>
    <row r="2409" spans="1:18" x14ac:dyDescent="0.35">
      <c r="A2409" t="s">
        <v>14483</v>
      </c>
      <c r="D2409" t="s">
        <v>2088</v>
      </c>
      <c r="E2409" t="s">
        <v>43</v>
      </c>
      <c r="I2409" s="26">
        <v>39448</v>
      </c>
      <c r="J2409" s="28">
        <v>39448</v>
      </c>
      <c r="Q2409" t="s">
        <v>44683</v>
      </c>
      <c r="R2409" t="s">
        <v>47530</v>
      </c>
    </row>
    <row r="2410" spans="1:18" x14ac:dyDescent="0.35">
      <c r="A2410" t="s">
        <v>15846</v>
      </c>
      <c r="C2410" t="s">
        <v>47531</v>
      </c>
      <c r="D2410" t="s">
        <v>5877</v>
      </c>
      <c r="E2410" t="s">
        <v>43</v>
      </c>
      <c r="I2410" s="26">
        <v>39083</v>
      </c>
      <c r="J2410" s="28">
        <v>39083</v>
      </c>
      <c r="Q2410" t="s">
        <v>44683</v>
      </c>
      <c r="R2410" t="s">
        <v>47532</v>
      </c>
    </row>
    <row r="2411" spans="1:18" x14ac:dyDescent="0.35">
      <c r="A2411" t="s">
        <v>15848</v>
      </c>
      <c r="C2411" t="s">
        <v>47533</v>
      </c>
      <c r="D2411" t="s">
        <v>5877</v>
      </c>
      <c r="E2411" t="s">
        <v>43</v>
      </c>
      <c r="I2411" s="26">
        <v>39083</v>
      </c>
      <c r="J2411" s="28">
        <v>39083</v>
      </c>
      <c r="Q2411" t="s">
        <v>44683</v>
      </c>
      <c r="R2411" t="s">
        <v>47534</v>
      </c>
    </row>
    <row r="2412" spans="1:18" x14ac:dyDescent="0.35">
      <c r="A2412" t="s">
        <v>15806</v>
      </c>
      <c r="C2412" t="s">
        <v>47535</v>
      </c>
      <c r="D2412" t="s">
        <v>5877</v>
      </c>
      <c r="E2412" t="s">
        <v>43</v>
      </c>
      <c r="I2412" s="26">
        <v>39448</v>
      </c>
      <c r="J2412" s="28">
        <v>39448</v>
      </c>
      <c r="Q2412" t="s">
        <v>44683</v>
      </c>
      <c r="R2412" t="s">
        <v>47536</v>
      </c>
    </row>
    <row r="2413" spans="1:18" x14ac:dyDescent="0.35">
      <c r="A2413" t="s">
        <v>15849</v>
      </c>
      <c r="C2413" t="s">
        <v>47537</v>
      </c>
      <c r="D2413" t="s">
        <v>5877</v>
      </c>
      <c r="E2413" t="s">
        <v>43</v>
      </c>
      <c r="I2413" s="26">
        <v>39083</v>
      </c>
      <c r="J2413" s="28">
        <v>39083</v>
      </c>
      <c r="Q2413" t="s">
        <v>44683</v>
      </c>
      <c r="R2413" t="s">
        <v>47538</v>
      </c>
    </row>
    <row r="2414" spans="1:18" x14ac:dyDescent="0.35">
      <c r="A2414" t="s">
        <v>15851</v>
      </c>
      <c r="C2414" t="s">
        <v>47539</v>
      </c>
      <c r="D2414" t="s">
        <v>5877</v>
      </c>
      <c r="E2414" t="s">
        <v>43</v>
      </c>
      <c r="I2414" s="26">
        <v>39083</v>
      </c>
      <c r="J2414" s="28">
        <v>39083</v>
      </c>
      <c r="Q2414" t="s">
        <v>44683</v>
      </c>
      <c r="R2414" t="s">
        <v>47540</v>
      </c>
    </row>
    <row r="2415" spans="1:18" x14ac:dyDescent="0.35">
      <c r="A2415" t="s">
        <v>15852</v>
      </c>
      <c r="C2415" t="s">
        <v>47541</v>
      </c>
      <c r="D2415" t="s">
        <v>5877</v>
      </c>
      <c r="E2415" t="s">
        <v>43</v>
      </c>
      <c r="I2415" s="26">
        <v>39083</v>
      </c>
      <c r="J2415" s="28">
        <v>39083</v>
      </c>
      <c r="Q2415" t="s">
        <v>44683</v>
      </c>
      <c r="R2415" t="s">
        <v>47542</v>
      </c>
    </row>
    <row r="2416" spans="1:18" x14ac:dyDescent="0.35">
      <c r="A2416" t="s">
        <v>15099</v>
      </c>
      <c r="C2416" t="s">
        <v>47543</v>
      </c>
      <c r="D2416" t="s">
        <v>3517</v>
      </c>
      <c r="E2416" t="s">
        <v>43</v>
      </c>
      <c r="I2416" s="26">
        <v>39083</v>
      </c>
      <c r="J2416" s="28">
        <v>39083</v>
      </c>
      <c r="Q2416" t="s">
        <v>44683</v>
      </c>
      <c r="R2416" t="s">
        <v>47544</v>
      </c>
    </row>
    <row r="2417" spans="1:18" x14ac:dyDescent="0.35">
      <c r="A2417" t="s">
        <v>15134</v>
      </c>
      <c r="C2417" t="s">
        <v>47545</v>
      </c>
      <c r="D2417" t="s">
        <v>5082</v>
      </c>
      <c r="E2417" t="s">
        <v>43</v>
      </c>
      <c r="I2417" s="26">
        <v>39448</v>
      </c>
      <c r="J2417" s="28">
        <v>39448</v>
      </c>
      <c r="Q2417" t="s">
        <v>44683</v>
      </c>
      <c r="R2417" t="s">
        <v>47546</v>
      </c>
    </row>
    <row r="2418" spans="1:18" x14ac:dyDescent="0.35">
      <c r="A2418" t="s">
        <v>15807</v>
      </c>
      <c r="C2418" t="s">
        <v>47547</v>
      </c>
      <c r="D2418" t="s">
        <v>5877</v>
      </c>
      <c r="E2418" t="s">
        <v>43</v>
      </c>
      <c r="I2418" s="26">
        <v>39448</v>
      </c>
      <c r="J2418" s="28">
        <v>39448</v>
      </c>
      <c r="Q2418" t="s">
        <v>44683</v>
      </c>
      <c r="R2418" t="s">
        <v>47548</v>
      </c>
    </row>
    <row r="2419" spans="1:18" x14ac:dyDescent="0.35">
      <c r="A2419" t="s">
        <v>11327</v>
      </c>
      <c r="D2419" t="s">
        <v>5876</v>
      </c>
      <c r="E2419" t="s">
        <v>43</v>
      </c>
      <c r="I2419" s="26">
        <v>39448</v>
      </c>
      <c r="J2419" s="28">
        <v>39448</v>
      </c>
      <c r="Q2419" t="s">
        <v>44683</v>
      </c>
      <c r="R2419" t="s">
        <v>47549</v>
      </c>
    </row>
    <row r="2420" spans="1:18" x14ac:dyDescent="0.35">
      <c r="A2420" t="s">
        <v>15855</v>
      </c>
      <c r="C2420" t="s">
        <v>47550</v>
      </c>
      <c r="D2420" t="s">
        <v>5877</v>
      </c>
      <c r="E2420" t="s">
        <v>43</v>
      </c>
      <c r="I2420" s="26">
        <v>39083</v>
      </c>
      <c r="J2420" s="28">
        <v>39083</v>
      </c>
      <c r="Q2420" t="s">
        <v>44683</v>
      </c>
      <c r="R2420" t="s">
        <v>47551</v>
      </c>
    </row>
    <row r="2421" spans="1:18" x14ac:dyDescent="0.35">
      <c r="A2421" t="s">
        <v>15854</v>
      </c>
      <c r="C2421" t="s">
        <v>47552</v>
      </c>
      <c r="D2421" t="s">
        <v>5877</v>
      </c>
      <c r="E2421" t="s">
        <v>43</v>
      </c>
      <c r="I2421" s="26">
        <v>39083</v>
      </c>
      <c r="J2421" s="28">
        <v>39083</v>
      </c>
      <c r="Q2421" t="s">
        <v>44683</v>
      </c>
      <c r="R2421" t="s">
        <v>47553</v>
      </c>
    </row>
    <row r="2422" spans="1:18" x14ac:dyDescent="0.35">
      <c r="A2422" t="s">
        <v>15107</v>
      </c>
      <c r="D2422" t="s">
        <v>4994</v>
      </c>
      <c r="E2422" t="s">
        <v>43</v>
      </c>
      <c r="I2422" s="26">
        <v>39448</v>
      </c>
      <c r="J2422" s="28">
        <v>39448</v>
      </c>
      <c r="Q2422" t="s">
        <v>44683</v>
      </c>
      <c r="R2422" t="s">
        <v>47554</v>
      </c>
    </row>
    <row r="2423" spans="1:18" x14ac:dyDescent="0.35">
      <c r="A2423" t="s">
        <v>14822</v>
      </c>
      <c r="C2423" t="s">
        <v>47146</v>
      </c>
      <c r="D2423" t="s">
        <v>2494</v>
      </c>
      <c r="E2423" t="s">
        <v>43</v>
      </c>
      <c r="I2423" s="26">
        <v>39448</v>
      </c>
      <c r="J2423" s="28">
        <v>39448</v>
      </c>
      <c r="Q2423" t="s">
        <v>44683</v>
      </c>
      <c r="R2423" t="s">
        <v>47555</v>
      </c>
    </row>
    <row r="2424" spans="1:18" x14ac:dyDescent="0.35">
      <c r="A2424" t="s">
        <v>15135</v>
      </c>
      <c r="C2424" t="s">
        <v>47545</v>
      </c>
      <c r="D2424" t="s">
        <v>5082</v>
      </c>
      <c r="E2424" t="s">
        <v>43</v>
      </c>
      <c r="I2424" s="26">
        <v>39448</v>
      </c>
      <c r="J2424" s="28">
        <v>39448</v>
      </c>
      <c r="Q2424" t="s">
        <v>44683</v>
      </c>
      <c r="R2424" t="s">
        <v>47556</v>
      </c>
    </row>
    <row r="2425" spans="1:18" x14ac:dyDescent="0.35">
      <c r="A2425" t="s">
        <v>47557</v>
      </c>
      <c r="D2425" t="s">
        <v>1953</v>
      </c>
      <c r="E2425" t="s">
        <v>43</v>
      </c>
      <c r="I2425" s="26">
        <v>39083</v>
      </c>
      <c r="J2425" s="28">
        <v>39083</v>
      </c>
      <c r="Q2425" t="s">
        <v>44683</v>
      </c>
      <c r="R2425" t="s">
        <v>47558</v>
      </c>
    </row>
    <row r="2426" spans="1:18" x14ac:dyDescent="0.35">
      <c r="A2426" t="s">
        <v>15809</v>
      </c>
      <c r="C2426" t="s">
        <v>47559</v>
      </c>
      <c r="D2426" t="s">
        <v>5877</v>
      </c>
      <c r="E2426" t="s">
        <v>43</v>
      </c>
      <c r="I2426" s="26">
        <v>39448</v>
      </c>
      <c r="J2426" s="28">
        <v>39448</v>
      </c>
      <c r="Q2426" t="s">
        <v>44683</v>
      </c>
      <c r="R2426" t="s">
        <v>47560</v>
      </c>
    </row>
    <row r="2427" spans="1:18" x14ac:dyDescent="0.35">
      <c r="A2427" t="s">
        <v>15856</v>
      </c>
      <c r="C2427" t="s">
        <v>47561</v>
      </c>
      <c r="D2427" t="s">
        <v>5877</v>
      </c>
      <c r="E2427" t="s">
        <v>43</v>
      </c>
      <c r="I2427" s="26">
        <v>39083</v>
      </c>
      <c r="J2427" s="28">
        <v>39083</v>
      </c>
      <c r="Q2427" t="s">
        <v>44683</v>
      </c>
      <c r="R2427" t="s">
        <v>47562</v>
      </c>
    </row>
    <row r="2428" spans="1:18" x14ac:dyDescent="0.35">
      <c r="A2428" t="s">
        <v>15811</v>
      </c>
      <c r="C2428" t="s">
        <v>47563</v>
      </c>
      <c r="D2428" t="s">
        <v>5877</v>
      </c>
      <c r="E2428" t="s">
        <v>43</v>
      </c>
      <c r="I2428" s="26">
        <v>39448</v>
      </c>
      <c r="J2428" s="28">
        <v>39448</v>
      </c>
      <c r="Q2428" t="s">
        <v>44683</v>
      </c>
      <c r="R2428" t="s">
        <v>47564</v>
      </c>
    </row>
    <row r="2429" spans="1:18" x14ac:dyDescent="0.35">
      <c r="A2429" t="s">
        <v>15812</v>
      </c>
      <c r="C2429" t="s">
        <v>47565</v>
      </c>
      <c r="D2429" t="s">
        <v>5877</v>
      </c>
      <c r="E2429" t="s">
        <v>43</v>
      </c>
      <c r="I2429" s="26">
        <v>39448</v>
      </c>
      <c r="J2429" s="28">
        <v>39448</v>
      </c>
      <c r="Q2429" t="s">
        <v>44683</v>
      </c>
      <c r="R2429" t="s">
        <v>47566</v>
      </c>
    </row>
    <row r="2430" spans="1:18" x14ac:dyDescent="0.35">
      <c r="A2430" t="s">
        <v>16370</v>
      </c>
      <c r="C2430" t="s">
        <v>47567</v>
      </c>
      <c r="D2430" t="s">
        <v>7160</v>
      </c>
      <c r="E2430" t="s">
        <v>43</v>
      </c>
      <c r="I2430" s="26">
        <v>38718</v>
      </c>
      <c r="J2430" s="28">
        <v>38718</v>
      </c>
      <c r="Q2430" t="s">
        <v>44683</v>
      </c>
      <c r="R2430" t="s">
        <v>47568</v>
      </c>
    </row>
    <row r="2431" spans="1:18" x14ac:dyDescent="0.35">
      <c r="A2431" t="s">
        <v>16449</v>
      </c>
      <c r="C2431" t="s">
        <v>47274</v>
      </c>
      <c r="D2431" t="s">
        <v>7245</v>
      </c>
      <c r="E2431" t="s">
        <v>43</v>
      </c>
      <c r="I2431" s="26">
        <v>39083</v>
      </c>
      <c r="J2431" s="28">
        <v>39083</v>
      </c>
      <c r="Q2431" t="s">
        <v>44683</v>
      </c>
      <c r="R2431" t="s">
        <v>47569</v>
      </c>
    </row>
    <row r="2432" spans="1:18" x14ac:dyDescent="0.35">
      <c r="A2432" t="s">
        <v>15815</v>
      </c>
      <c r="C2432" t="s">
        <v>47570</v>
      </c>
      <c r="D2432" t="s">
        <v>5877</v>
      </c>
      <c r="E2432" t="s">
        <v>43</v>
      </c>
      <c r="I2432" s="26">
        <v>39448</v>
      </c>
      <c r="J2432" s="28">
        <v>39448</v>
      </c>
      <c r="Q2432" t="s">
        <v>44683</v>
      </c>
      <c r="R2432" t="s">
        <v>47571</v>
      </c>
    </row>
    <row r="2433" spans="1:18" x14ac:dyDescent="0.35">
      <c r="A2433" t="s">
        <v>15817</v>
      </c>
      <c r="C2433" t="s">
        <v>47572</v>
      </c>
      <c r="D2433" t="s">
        <v>5877</v>
      </c>
      <c r="E2433" t="s">
        <v>43</v>
      </c>
      <c r="I2433" s="26">
        <v>39448</v>
      </c>
      <c r="J2433" s="28">
        <v>39448</v>
      </c>
      <c r="Q2433" t="s">
        <v>44683</v>
      </c>
      <c r="R2433" t="s">
        <v>47573</v>
      </c>
    </row>
    <row r="2434" spans="1:18" x14ac:dyDescent="0.35">
      <c r="A2434" t="s">
        <v>15175</v>
      </c>
      <c r="D2434" t="s">
        <v>5184</v>
      </c>
      <c r="E2434" t="s">
        <v>43</v>
      </c>
      <c r="I2434" s="26">
        <v>39083</v>
      </c>
      <c r="J2434" s="28">
        <v>39083</v>
      </c>
      <c r="Q2434" t="s">
        <v>44683</v>
      </c>
      <c r="R2434" t="s">
        <v>47574</v>
      </c>
    </row>
    <row r="2435" spans="1:18" x14ac:dyDescent="0.35">
      <c r="A2435" t="s">
        <v>14245</v>
      </c>
      <c r="D2435" t="s">
        <v>1369</v>
      </c>
      <c r="E2435" t="s">
        <v>43</v>
      </c>
      <c r="I2435" s="26">
        <v>39083</v>
      </c>
      <c r="J2435" s="28">
        <v>39083</v>
      </c>
      <c r="Q2435" t="s">
        <v>44683</v>
      </c>
      <c r="R2435" t="s">
        <v>47575</v>
      </c>
    </row>
    <row r="2436" spans="1:18" x14ac:dyDescent="0.35">
      <c r="A2436" t="s">
        <v>15818</v>
      </c>
      <c r="D2436" t="s">
        <v>5877</v>
      </c>
      <c r="E2436" t="s">
        <v>43</v>
      </c>
      <c r="I2436" s="26">
        <v>39083</v>
      </c>
      <c r="J2436" s="28">
        <v>39083</v>
      </c>
      <c r="Q2436" t="s">
        <v>44683</v>
      </c>
      <c r="R2436" t="s">
        <v>47576</v>
      </c>
    </row>
    <row r="2437" spans="1:18" x14ac:dyDescent="0.35">
      <c r="A2437" t="s">
        <v>14633</v>
      </c>
      <c r="D2437" t="s">
        <v>2221</v>
      </c>
      <c r="E2437" t="s">
        <v>43</v>
      </c>
      <c r="I2437" s="26">
        <v>39083</v>
      </c>
      <c r="J2437" s="28">
        <v>39083</v>
      </c>
      <c r="Q2437" t="s">
        <v>44683</v>
      </c>
      <c r="R2437" t="s">
        <v>47577</v>
      </c>
    </row>
    <row r="2438" spans="1:18" x14ac:dyDescent="0.35">
      <c r="A2438" t="s">
        <v>15820</v>
      </c>
      <c r="C2438" t="s">
        <v>47578</v>
      </c>
      <c r="D2438" t="s">
        <v>5877</v>
      </c>
      <c r="E2438" t="s">
        <v>43</v>
      </c>
      <c r="I2438" s="26">
        <v>39448</v>
      </c>
      <c r="J2438" s="28">
        <v>39448</v>
      </c>
      <c r="Q2438" t="s">
        <v>44683</v>
      </c>
      <c r="R2438" t="s">
        <v>47579</v>
      </c>
    </row>
    <row r="2439" spans="1:18" x14ac:dyDescent="0.35">
      <c r="A2439" t="s">
        <v>15859</v>
      </c>
      <c r="C2439" t="s">
        <v>47580</v>
      </c>
      <c r="D2439" t="s">
        <v>5877</v>
      </c>
      <c r="E2439" t="s">
        <v>43</v>
      </c>
      <c r="I2439" s="26">
        <v>39083</v>
      </c>
      <c r="J2439" s="28">
        <v>39083</v>
      </c>
      <c r="Q2439" t="s">
        <v>44683</v>
      </c>
      <c r="R2439" t="s">
        <v>47581</v>
      </c>
    </row>
    <row r="2440" spans="1:18" x14ac:dyDescent="0.35">
      <c r="A2440" t="s">
        <v>15821</v>
      </c>
      <c r="C2440" t="s">
        <v>47582</v>
      </c>
      <c r="D2440" t="s">
        <v>5877</v>
      </c>
      <c r="E2440" t="s">
        <v>43</v>
      </c>
      <c r="I2440" s="26">
        <v>39448</v>
      </c>
      <c r="J2440" s="28">
        <v>39448</v>
      </c>
      <c r="Q2440" t="s">
        <v>44683</v>
      </c>
      <c r="R2440" t="s">
        <v>47583</v>
      </c>
    </row>
    <row r="2441" spans="1:18" x14ac:dyDescent="0.35">
      <c r="A2441" t="s">
        <v>15822</v>
      </c>
      <c r="C2441" t="s">
        <v>47584</v>
      </c>
      <c r="D2441" t="s">
        <v>5877</v>
      </c>
      <c r="E2441" t="s">
        <v>43</v>
      </c>
      <c r="I2441" s="26">
        <v>39448</v>
      </c>
      <c r="J2441" s="28">
        <v>39448</v>
      </c>
      <c r="Q2441" t="s">
        <v>44683</v>
      </c>
      <c r="R2441" t="s">
        <v>47585</v>
      </c>
    </row>
    <row r="2442" spans="1:18" x14ac:dyDescent="0.35">
      <c r="A2442" t="s">
        <v>16450</v>
      </c>
      <c r="C2442" t="s">
        <v>47586</v>
      </c>
      <c r="D2442" t="s">
        <v>7245</v>
      </c>
      <c r="E2442" t="s">
        <v>43</v>
      </c>
      <c r="I2442" s="26">
        <v>39083</v>
      </c>
      <c r="J2442" s="28">
        <v>39083</v>
      </c>
      <c r="Q2442" t="s">
        <v>44683</v>
      </c>
      <c r="R2442" t="s">
        <v>47587</v>
      </c>
    </row>
    <row r="2443" spans="1:18" x14ac:dyDescent="0.35">
      <c r="A2443" t="s">
        <v>15860</v>
      </c>
      <c r="C2443" t="s">
        <v>47588</v>
      </c>
      <c r="D2443" t="s">
        <v>5877</v>
      </c>
      <c r="E2443" t="s">
        <v>43</v>
      </c>
      <c r="I2443" s="26">
        <v>39083</v>
      </c>
      <c r="J2443" s="28">
        <v>39083</v>
      </c>
      <c r="Q2443" t="s">
        <v>44683</v>
      </c>
      <c r="R2443" t="s">
        <v>47589</v>
      </c>
    </row>
    <row r="2444" spans="1:18" x14ac:dyDescent="0.35">
      <c r="A2444" t="s">
        <v>14487</v>
      </c>
      <c r="C2444" t="s">
        <v>47590</v>
      </c>
      <c r="D2444" t="s">
        <v>2088</v>
      </c>
      <c r="E2444" t="s">
        <v>43</v>
      </c>
      <c r="I2444" s="26">
        <v>39083</v>
      </c>
      <c r="J2444" s="28">
        <v>39083</v>
      </c>
      <c r="Q2444" t="s">
        <v>44683</v>
      </c>
      <c r="R2444" t="s">
        <v>47591</v>
      </c>
    </row>
    <row r="2445" spans="1:18" x14ac:dyDescent="0.35">
      <c r="A2445" t="s">
        <v>15098</v>
      </c>
      <c r="D2445" t="s">
        <v>3517</v>
      </c>
      <c r="E2445" t="s">
        <v>43</v>
      </c>
      <c r="I2445" s="26">
        <v>39448</v>
      </c>
      <c r="J2445" s="28">
        <v>39448</v>
      </c>
      <c r="Q2445" t="s">
        <v>44683</v>
      </c>
      <c r="R2445" t="s">
        <v>47592</v>
      </c>
    </row>
    <row r="2446" spans="1:18" x14ac:dyDescent="0.35">
      <c r="A2446" t="s">
        <v>14634</v>
      </c>
      <c r="D2446" t="s">
        <v>2221</v>
      </c>
      <c r="E2446" t="s">
        <v>43</v>
      </c>
      <c r="I2446" s="26">
        <v>39083</v>
      </c>
      <c r="J2446" s="28">
        <v>39083</v>
      </c>
      <c r="Q2446" t="s">
        <v>44683</v>
      </c>
      <c r="R2446" t="s">
        <v>47593</v>
      </c>
    </row>
    <row r="2447" spans="1:18" x14ac:dyDescent="0.35">
      <c r="A2447" t="s">
        <v>15823</v>
      </c>
      <c r="C2447" t="s">
        <v>47070</v>
      </c>
      <c r="D2447" t="s">
        <v>5877</v>
      </c>
      <c r="E2447" t="s">
        <v>43</v>
      </c>
      <c r="I2447" s="26">
        <v>39448</v>
      </c>
      <c r="J2447" s="28">
        <v>39448</v>
      </c>
      <c r="Q2447" t="s">
        <v>44683</v>
      </c>
      <c r="R2447" t="s">
        <v>47594</v>
      </c>
    </row>
    <row r="2448" spans="1:18" x14ac:dyDescent="0.35">
      <c r="A2448" t="s">
        <v>15108</v>
      </c>
      <c r="D2448" t="s">
        <v>4998</v>
      </c>
      <c r="E2448" t="s">
        <v>43</v>
      </c>
      <c r="I2448" s="26">
        <v>39448</v>
      </c>
      <c r="J2448" s="28">
        <v>39448</v>
      </c>
      <c r="Q2448" t="s">
        <v>44683</v>
      </c>
      <c r="R2448" t="s">
        <v>47595</v>
      </c>
    </row>
    <row r="2449" spans="1:18" x14ac:dyDescent="0.35">
      <c r="A2449" t="s">
        <v>15825</v>
      </c>
      <c r="C2449" t="s">
        <v>47596</v>
      </c>
      <c r="D2449" t="s">
        <v>5877</v>
      </c>
      <c r="E2449" t="s">
        <v>43</v>
      </c>
      <c r="I2449" s="26">
        <v>39448</v>
      </c>
      <c r="J2449" s="28">
        <v>39448</v>
      </c>
      <c r="Q2449" t="s">
        <v>44683</v>
      </c>
      <c r="R2449" t="s">
        <v>47597</v>
      </c>
    </row>
    <row r="2450" spans="1:18" x14ac:dyDescent="0.35">
      <c r="A2450" t="s">
        <v>15861</v>
      </c>
      <c r="C2450" t="s">
        <v>47211</v>
      </c>
      <c r="D2450" t="s">
        <v>5877</v>
      </c>
      <c r="E2450" t="s">
        <v>43</v>
      </c>
      <c r="I2450" s="26">
        <v>39083</v>
      </c>
      <c r="J2450" s="28">
        <v>39083</v>
      </c>
      <c r="Q2450" t="s">
        <v>44683</v>
      </c>
      <c r="R2450" t="s">
        <v>47598</v>
      </c>
    </row>
    <row r="2451" spans="1:18" x14ac:dyDescent="0.35">
      <c r="A2451" t="s">
        <v>15286</v>
      </c>
      <c r="D2451" t="s">
        <v>5325</v>
      </c>
      <c r="E2451" t="s">
        <v>43</v>
      </c>
      <c r="I2451" s="26">
        <v>38718</v>
      </c>
      <c r="J2451" s="28">
        <v>38718</v>
      </c>
      <c r="Q2451" t="s">
        <v>44683</v>
      </c>
      <c r="R2451" t="s">
        <v>47599</v>
      </c>
    </row>
    <row r="2452" spans="1:18" x14ac:dyDescent="0.35">
      <c r="A2452" t="s">
        <v>15827</v>
      </c>
      <c r="C2452" t="s">
        <v>47526</v>
      </c>
      <c r="D2452" t="s">
        <v>5877</v>
      </c>
      <c r="E2452" t="s">
        <v>43</v>
      </c>
      <c r="I2452" s="26">
        <v>39448</v>
      </c>
      <c r="J2452" s="28">
        <v>39448</v>
      </c>
      <c r="Q2452" t="s">
        <v>44683</v>
      </c>
      <c r="R2452" t="s">
        <v>47600</v>
      </c>
    </row>
    <row r="2453" spans="1:18" x14ac:dyDescent="0.35">
      <c r="A2453" t="s">
        <v>15281</v>
      </c>
      <c r="D2453" t="s">
        <v>5325</v>
      </c>
      <c r="E2453" t="s">
        <v>43</v>
      </c>
      <c r="I2453" s="26">
        <v>39083</v>
      </c>
      <c r="J2453" s="28">
        <v>39083</v>
      </c>
      <c r="Q2453" t="s">
        <v>44683</v>
      </c>
      <c r="R2453" t="s">
        <v>47601</v>
      </c>
    </row>
    <row r="2454" spans="1:18" x14ac:dyDescent="0.35">
      <c r="A2454" t="s">
        <v>15862</v>
      </c>
      <c r="C2454" t="s">
        <v>47602</v>
      </c>
      <c r="D2454" t="s">
        <v>5877</v>
      </c>
      <c r="E2454" t="s">
        <v>43</v>
      </c>
      <c r="I2454" s="26">
        <v>39083</v>
      </c>
      <c r="J2454" s="28">
        <v>39083</v>
      </c>
      <c r="Q2454" t="s">
        <v>44683</v>
      </c>
      <c r="R2454" t="s">
        <v>47603</v>
      </c>
    </row>
    <row r="2455" spans="1:18" x14ac:dyDescent="0.35">
      <c r="A2455" t="s">
        <v>15109</v>
      </c>
      <c r="D2455" t="s">
        <v>4998</v>
      </c>
      <c r="E2455" t="s">
        <v>43</v>
      </c>
      <c r="I2455" s="26">
        <v>39448</v>
      </c>
      <c r="J2455" s="28">
        <v>39448</v>
      </c>
      <c r="Q2455" t="s">
        <v>44683</v>
      </c>
      <c r="R2455" t="s">
        <v>47604</v>
      </c>
    </row>
    <row r="2456" spans="1:18" x14ac:dyDescent="0.35">
      <c r="A2456" t="s">
        <v>14402</v>
      </c>
      <c r="C2456" t="s">
        <v>47605</v>
      </c>
      <c r="D2456" t="s">
        <v>1953</v>
      </c>
      <c r="E2456" t="s">
        <v>43</v>
      </c>
      <c r="I2456" s="26">
        <v>39083</v>
      </c>
      <c r="J2456" s="28">
        <v>39083</v>
      </c>
      <c r="Q2456" t="s">
        <v>44683</v>
      </c>
      <c r="R2456" t="s">
        <v>47606</v>
      </c>
    </row>
    <row r="2457" spans="1:18" x14ac:dyDescent="0.35">
      <c r="A2457" t="s">
        <v>15863</v>
      </c>
      <c r="C2457" t="s">
        <v>47607</v>
      </c>
      <c r="D2457" t="s">
        <v>5877</v>
      </c>
      <c r="E2457" t="s">
        <v>43</v>
      </c>
      <c r="I2457" s="26">
        <v>39083</v>
      </c>
      <c r="J2457" s="28">
        <v>39083</v>
      </c>
      <c r="Q2457" t="s">
        <v>44683</v>
      </c>
      <c r="R2457" t="s">
        <v>47608</v>
      </c>
    </row>
    <row r="2458" spans="1:18" x14ac:dyDescent="0.35">
      <c r="A2458" t="s">
        <v>15100</v>
      </c>
      <c r="C2458" t="s">
        <v>30820</v>
      </c>
      <c r="D2458" t="s">
        <v>3517</v>
      </c>
      <c r="E2458" t="s">
        <v>43</v>
      </c>
      <c r="I2458" s="26">
        <v>39083</v>
      </c>
      <c r="J2458" s="28">
        <v>39083</v>
      </c>
      <c r="Q2458" t="s">
        <v>44683</v>
      </c>
      <c r="R2458" t="s">
        <v>47609</v>
      </c>
    </row>
    <row r="2459" spans="1:18" x14ac:dyDescent="0.35">
      <c r="A2459" t="s">
        <v>15865</v>
      </c>
      <c r="C2459" t="s">
        <v>47610</v>
      </c>
      <c r="D2459" t="s">
        <v>5877</v>
      </c>
      <c r="E2459" t="s">
        <v>43</v>
      </c>
      <c r="I2459" s="26">
        <v>39083</v>
      </c>
      <c r="J2459" s="28">
        <v>39083</v>
      </c>
      <c r="Q2459" t="s">
        <v>44683</v>
      </c>
      <c r="R2459" t="s">
        <v>47611</v>
      </c>
    </row>
    <row r="2460" spans="1:18" x14ac:dyDescent="0.35">
      <c r="A2460" t="s">
        <v>15831</v>
      </c>
      <c r="C2460" t="s">
        <v>47612</v>
      </c>
      <c r="D2460" t="s">
        <v>5877</v>
      </c>
      <c r="E2460" t="s">
        <v>43</v>
      </c>
      <c r="I2460" s="26">
        <v>39448</v>
      </c>
      <c r="J2460" s="28">
        <v>39448</v>
      </c>
      <c r="Q2460" t="s">
        <v>44683</v>
      </c>
      <c r="R2460" t="s">
        <v>47613</v>
      </c>
    </row>
    <row r="2461" spans="1:18" x14ac:dyDescent="0.35">
      <c r="A2461" t="s">
        <v>15832</v>
      </c>
      <c r="C2461" t="s">
        <v>47614</v>
      </c>
      <c r="D2461" t="s">
        <v>5877</v>
      </c>
      <c r="E2461" t="s">
        <v>43</v>
      </c>
      <c r="I2461" s="26">
        <v>39448</v>
      </c>
      <c r="J2461" s="28">
        <v>39448</v>
      </c>
      <c r="Q2461" t="s">
        <v>44683</v>
      </c>
      <c r="R2461" t="s">
        <v>47615</v>
      </c>
    </row>
    <row r="2462" spans="1:18" x14ac:dyDescent="0.35">
      <c r="A2462" t="s">
        <v>15110</v>
      </c>
      <c r="C2462" t="s">
        <v>47616</v>
      </c>
      <c r="D2462" t="s">
        <v>4998</v>
      </c>
      <c r="E2462" t="s">
        <v>43</v>
      </c>
      <c r="I2462" s="26">
        <v>39448</v>
      </c>
      <c r="J2462" s="28">
        <v>39448</v>
      </c>
      <c r="Q2462" t="s">
        <v>44683</v>
      </c>
      <c r="R2462" t="s">
        <v>47617</v>
      </c>
    </row>
    <row r="2463" spans="1:18" x14ac:dyDescent="0.35">
      <c r="A2463" t="s">
        <v>14488</v>
      </c>
      <c r="D2463" t="s">
        <v>2088</v>
      </c>
      <c r="E2463" t="s">
        <v>43</v>
      </c>
      <c r="I2463" s="26">
        <v>39083</v>
      </c>
      <c r="J2463" s="28">
        <v>39083</v>
      </c>
      <c r="Q2463" t="s">
        <v>44683</v>
      </c>
      <c r="R2463" t="s">
        <v>47618</v>
      </c>
    </row>
    <row r="2464" spans="1:18" x14ac:dyDescent="0.35">
      <c r="A2464" t="s">
        <v>16313</v>
      </c>
      <c r="D2464" t="s">
        <v>7144</v>
      </c>
      <c r="E2464" t="s">
        <v>43</v>
      </c>
      <c r="I2464" s="26">
        <v>38718</v>
      </c>
      <c r="J2464" s="28">
        <v>38718</v>
      </c>
      <c r="Q2464" t="s">
        <v>44683</v>
      </c>
      <c r="R2464" t="s">
        <v>47619</v>
      </c>
    </row>
    <row r="2465" spans="1:18" x14ac:dyDescent="0.35">
      <c r="A2465" t="s">
        <v>15833</v>
      </c>
      <c r="C2465" t="s">
        <v>47620</v>
      </c>
      <c r="D2465" t="s">
        <v>5877</v>
      </c>
      <c r="E2465" t="s">
        <v>43</v>
      </c>
      <c r="I2465" s="26">
        <v>39448</v>
      </c>
      <c r="J2465" s="28">
        <v>39448</v>
      </c>
      <c r="Q2465" t="s">
        <v>44683</v>
      </c>
      <c r="R2465" t="s">
        <v>47621</v>
      </c>
    </row>
    <row r="2466" spans="1:18" x14ac:dyDescent="0.35">
      <c r="A2466" t="s">
        <v>15607</v>
      </c>
      <c r="C2466" t="s">
        <v>47622</v>
      </c>
      <c r="D2466" t="s">
        <v>5811</v>
      </c>
      <c r="E2466" t="s">
        <v>43</v>
      </c>
      <c r="I2466" s="26">
        <v>39083</v>
      </c>
      <c r="J2466" s="28">
        <v>39083</v>
      </c>
      <c r="Q2466" t="s">
        <v>44683</v>
      </c>
      <c r="R2466" t="s">
        <v>47623</v>
      </c>
    </row>
    <row r="2467" spans="1:18" x14ac:dyDescent="0.35">
      <c r="A2467" t="s">
        <v>15606</v>
      </c>
      <c r="C2467" t="s">
        <v>47624</v>
      </c>
      <c r="D2467" t="s">
        <v>5811</v>
      </c>
      <c r="E2467" t="s">
        <v>43</v>
      </c>
      <c r="I2467" s="26">
        <v>39448</v>
      </c>
      <c r="J2467" s="28">
        <v>39448</v>
      </c>
      <c r="Q2467" t="s">
        <v>44683</v>
      </c>
      <c r="R2467" t="s">
        <v>47625</v>
      </c>
    </row>
    <row r="2468" spans="1:18" x14ac:dyDescent="0.35">
      <c r="A2468" t="s">
        <v>14490</v>
      </c>
      <c r="D2468" t="s">
        <v>2088</v>
      </c>
      <c r="E2468" t="s">
        <v>43</v>
      </c>
      <c r="I2468" s="26">
        <v>39083</v>
      </c>
      <c r="J2468" s="28">
        <v>39083</v>
      </c>
      <c r="Q2468" t="s">
        <v>44683</v>
      </c>
      <c r="R2468" t="s">
        <v>47626</v>
      </c>
    </row>
    <row r="2469" spans="1:18" x14ac:dyDescent="0.35">
      <c r="A2469" t="s">
        <v>15634</v>
      </c>
      <c r="D2469" t="s">
        <v>5876</v>
      </c>
      <c r="E2469" t="s">
        <v>43</v>
      </c>
      <c r="I2469" s="26">
        <v>39448</v>
      </c>
      <c r="J2469" s="28">
        <v>39448</v>
      </c>
      <c r="Q2469" t="s">
        <v>44683</v>
      </c>
      <c r="R2469" t="s">
        <v>47627</v>
      </c>
    </row>
    <row r="2470" spans="1:18" x14ac:dyDescent="0.35">
      <c r="A2470" t="s">
        <v>16448</v>
      </c>
      <c r="C2470" t="s">
        <v>47628</v>
      </c>
      <c r="D2470" t="s">
        <v>7245</v>
      </c>
      <c r="E2470" t="s">
        <v>43</v>
      </c>
      <c r="I2470" s="26">
        <v>39448</v>
      </c>
      <c r="J2470" s="28">
        <v>39448</v>
      </c>
      <c r="Q2470" t="s">
        <v>44683</v>
      </c>
      <c r="R2470" t="s">
        <v>47629</v>
      </c>
    </row>
    <row r="2471" spans="1:18" x14ac:dyDescent="0.35">
      <c r="A2471" t="s">
        <v>14484</v>
      </c>
      <c r="D2471" t="s">
        <v>2088</v>
      </c>
      <c r="E2471" t="s">
        <v>43</v>
      </c>
      <c r="I2471" s="26">
        <v>39448</v>
      </c>
      <c r="J2471" s="28">
        <v>39448</v>
      </c>
      <c r="Q2471" t="s">
        <v>44683</v>
      </c>
      <c r="R2471" t="s">
        <v>47630</v>
      </c>
    </row>
    <row r="2472" spans="1:18" x14ac:dyDescent="0.35">
      <c r="A2472" t="s">
        <v>15867</v>
      </c>
      <c r="C2472" t="s">
        <v>47531</v>
      </c>
      <c r="D2472" t="s">
        <v>5877</v>
      </c>
      <c r="E2472" t="s">
        <v>43</v>
      </c>
      <c r="I2472" s="26">
        <v>39083</v>
      </c>
      <c r="J2472" s="28">
        <v>39083</v>
      </c>
      <c r="Q2472" t="s">
        <v>44683</v>
      </c>
      <c r="R2472" t="s">
        <v>47631</v>
      </c>
    </row>
    <row r="2473" spans="1:18" x14ac:dyDescent="0.35">
      <c r="A2473" t="s">
        <v>15835</v>
      </c>
      <c r="C2473" t="s">
        <v>47632</v>
      </c>
      <c r="D2473" t="s">
        <v>5877</v>
      </c>
      <c r="E2473" t="s">
        <v>43</v>
      </c>
      <c r="I2473" s="26">
        <v>39448</v>
      </c>
      <c r="J2473" s="28">
        <v>39448</v>
      </c>
      <c r="Q2473" t="s">
        <v>44683</v>
      </c>
      <c r="R2473" t="s">
        <v>47633</v>
      </c>
    </row>
    <row r="2474" spans="1:18" x14ac:dyDescent="0.35">
      <c r="A2474" t="s">
        <v>15635</v>
      </c>
      <c r="D2474" t="s">
        <v>5876</v>
      </c>
      <c r="E2474" t="s">
        <v>43</v>
      </c>
      <c r="I2474" s="26">
        <v>39448</v>
      </c>
      <c r="J2474" s="28">
        <v>39448</v>
      </c>
      <c r="Q2474" t="s">
        <v>44683</v>
      </c>
      <c r="R2474" t="s">
        <v>47634</v>
      </c>
    </row>
    <row r="2475" spans="1:18" x14ac:dyDescent="0.35">
      <c r="A2475" t="s">
        <v>14824</v>
      </c>
      <c r="C2475" t="s">
        <v>47146</v>
      </c>
      <c r="D2475" t="s">
        <v>2494</v>
      </c>
      <c r="E2475" t="s">
        <v>43</v>
      </c>
      <c r="I2475" s="26">
        <v>39448</v>
      </c>
      <c r="J2475" s="28">
        <v>39448</v>
      </c>
      <c r="Q2475" t="s">
        <v>44683</v>
      </c>
      <c r="R2475" t="s">
        <v>47635</v>
      </c>
    </row>
    <row r="2476" spans="1:18" x14ac:dyDescent="0.35">
      <c r="A2476" t="s">
        <v>16298</v>
      </c>
      <c r="C2476" t="s">
        <v>47636</v>
      </c>
      <c r="D2476" t="s">
        <v>5300</v>
      </c>
      <c r="E2476" t="s">
        <v>43</v>
      </c>
      <c r="I2476" s="26">
        <v>38718</v>
      </c>
      <c r="J2476" s="28">
        <v>38718</v>
      </c>
      <c r="Q2476" t="s">
        <v>44683</v>
      </c>
      <c r="R2476" t="s">
        <v>47637</v>
      </c>
    </row>
    <row r="2477" spans="1:18" x14ac:dyDescent="0.35">
      <c r="A2477" t="s">
        <v>14825</v>
      </c>
      <c r="C2477" t="s">
        <v>47146</v>
      </c>
      <c r="D2477" t="s">
        <v>2494</v>
      </c>
      <c r="E2477" t="s">
        <v>43</v>
      </c>
      <c r="I2477" s="26">
        <v>39448</v>
      </c>
      <c r="J2477" s="28">
        <v>39448</v>
      </c>
      <c r="Q2477" t="s">
        <v>44683</v>
      </c>
      <c r="R2477" t="s">
        <v>47638</v>
      </c>
    </row>
    <row r="2478" spans="1:18" x14ac:dyDescent="0.35">
      <c r="A2478" t="s">
        <v>15265</v>
      </c>
      <c r="D2478" t="s">
        <v>5145</v>
      </c>
      <c r="E2478" t="s">
        <v>43</v>
      </c>
      <c r="I2478" s="26">
        <v>39083</v>
      </c>
      <c r="J2478" s="28">
        <v>39083</v>
      </c>
      <c r="Q2478" t="s">
        <v>44683</v>
      </c>
      <c r="R2478" t="s">
        <v>47639</v>
      </c>
    </row>
    <row r="2479" spans="1:18" x14ac:dyDescent="0.35">
      <c r="A2479" t="s">
        <v>15868</v>
      </c>
      <c r="C2479" t="s">
        <v>47640</v>
      </c>
      <c r="D2479" t="s">
        <v>5877</v>
      </c>
      <c r="E2479" t="s">
        <v>43</v>
      </c>
      <c r="I2479" s="26">
        <v>39083</v>
      </c>
      <c r="J2479" s="28">
        <v>39083</v>
      </c>
      <c r="Q2479" t="s">
        <v>44683</v>
      </c>
      <c r="R2479" t="s">
        <v>47641</v>
      </c>
    </row>
    <row r="2480" spans="1:18" x14ac:dyDescent="0.35">
      <c r="A2480" t="s">
        <v>15178</v>
      </c>
      <c r="D2480" t="s">
        <v>5184</v>
      </c>
      <c r="E2480" t="s">
        <v>43</v>
      </c>
      <c r="I2480" s="26">
        <v>39083</v>
      </c>
      <c r="J2480" s="28">
        <v>39083</v>
      </c>
      <c r="Q2480" t="s">
        <v>44683</v>
      </c>
      <c r="R2480" t="s">
        <v>47642</v>
      </c>
    </row>
    <row r="2481" spans="1:18" x14ac:dyDescent="0.35">
      <c r="A2481" t="s">
        <v>14325</v>
      </c>
      <c r="C2481" t="s">
        <v>47643</v>
      </c>
      <c r="D2481" t="s">
        <v>1761</v>
      </c>
      <c r="E2481" t="s">
        <v>43</v>
      </c>
      <c r="I2481" s="26">
        <v>39448</v>
      </c>
      <c r="J2481" s="28">
        <v>39448</v>
      </c>
      <c r="Q2481" t="s">
        <v>44683</v>
      </c>
      <c r="R2481" t="s">
        <v>47644</v>
      </c>
    </row>
    <row r="2482" spans="1:18" x14ac:dyDescent="0.35">
      <c r="A2482" t="s">
        <v>15836</v>
      </c>
      <c r="C2482" t="s">
        <v>47645</v>
      </c>
      <c r="D2482" t="s">
        <v>5877</v>
      </c>
      <c r="E2482" t="s">
        <v>43</v>
      </c>
      <c r="I2482" s="26">
        <v>39448</v>
      </c>
      <c r="J2482" s="28">
        <v>39448</v>
      </c>
      <c r="Q2482" t="s">
        <v>44683</v>
      </c>
      <c r="R2482" t="s">
        <v>47646</v>
      </c>
    </row>
    <row r="2483" spans="1:18" x14ac:dyDescent="0.35">
      <c r="A2483" t="s">
        <v>14326</v>
      </c>
      <c r="C2483" t="s">
        <v>47643</v>
      </c>
      <c r="D2483" t="s">
        <v>1761</v>
      </c>
      <c r="E2483" t="s">
        <v>43</v>
      </c>
      <c r="I2483" s="26">
        <v>39448</v>
      </c>
      <c r="J2483" s="28">
        <v>39448</v>
      </c>
      <c r="Q2483" t="s">
        <v>44683</v>
      </c>
      <c r="R2483" t="s">
        <v>47647</v>
      </c>
    </row>
    <row r="2484" spans="1:18" x14ac:dyDescent="0.35">
      <c r="A2484" t="s">
        <v>15871</v>
      </c>
      <c r="C2484" t="s">
        <v>47648</v>
      </c>
      <c r="D2484" t="s">
        <v>5877</v>
      </c>
      <c r="E2484" t="s">
        <v>43</v>
      </c>
      <c r="I2484" s="26">
        <v>39083</v>
      </c>
      <c r="J2484" s="28">
        <v>39083</v>
      </c>
      <c r="Q2484" t="s">
        <v>44683</v>
      </c>
      <c r="R2484" t="s">
        <v>47649</v>
      </c>
    </row>
    <row r="2485" spans="1:18" x14ac:dyDescent="0.35">
      <c r="A2485" t="s">
        <v>7713</v>
      </c>
      <c r="D2485" t="s">
        <v>5325</v>
      </c>
      <c r="E2485" t="s">
        <v>43</v>
      </c>
      <c r="I2485" s="26">
        <v>39448</v>
      </c>
      <c r="J2485" s="28">
        <v>39448</v>
      </c>
      <c r="Q2485" t="s">
        <v>44683</v>
      </c>
      <c r="R2485" t="s">
        <v>47650</v>
      </c>
    </row>
    <row r="2486" spans="1:18" x14ac:dyDescent="0.35">
      <c r="A2486" t="s">
        <v>15136</v>
      </c>
      <c r="C2486" t="s">
        <v>47545</v>
      </c>
      <c r="D2486" t="s">
        <v>5082</v>
      </c>
      <c r="E2486" t="s">
        <v>43</v>
      </c>
      <c r="I2486" s="26">
        <v>39448</v>
      </c>
      <c r="J2486" s="28">
        <v>39448</v>
      </c>
      <c r="Q2486" t="s">
        <v>44683</v>
      </c>
      <c r="R2486" t="s">
        <v>47651</v>
      </c>
    </row>
    <row r="2487" spans="1:18" x14ac:dyDescent="0.35">
      <c r="A2487" t="s">
        <v>15874</v>
      </c>
      <c r="C2487" t="s">
        <v>47652</v>
      </c>
      <c r="D2487" t="s">
        <v>5877</v>
      </c>
      <c r="E2487" t="s">
        <v>43</v>
      </c>
      <c r="I2487" s="26">
        <v>39083</v>
      </c>
      <c r="J2487" s="28">
        <v>39083</v>
      </c>
      <c r="Q2487" t="s">
        <v>44683</v>
      </c>
      <c r="R2487" t="s">
        <v>47653</v>
      </c>
    </row>
    <row r="2488" spans="1:18" x14ac:dyDescent="0.35">
      <c r="A2488" t="s">
        <v>47654</v>
      </c>
      <c r="D2488" t="s">
        <v>1953</v>
      </c>
      <c r="E2488" t="s">
        <v>43</v>
      </c>
      <c r="I2488" s="26">
        <v>39448</v>
      </c>
      <c r="J2488" s="28">
        <v>39448</v>
      </c>
      <c r="Q2488" t="s">
        <v>44683</v>
      </c>
      <c r="R2488" t="s">
        <v>47655</v>
      </c>
    </row>
    <row r="2489" spans="1:18" x14ac:dyDescent="0.35">
      <c r="A2489" t="s">
        <v>15875</v>
      </c>
      <c r="C2489" t="s">
        <v>47656</v>
      </c>
      <c r="D2489" t="s">
        <v>5877</v>
      </c>
      <c r="E2489" t="s">
        <v>43</v>
      </c>
      <c r="I2489" s="26">
        <v>39083</v>
      </c>
      <c r="J2489" s="28">
        <v>39083</v>
      </c>
      <c r="Q2489" t="s">
        <v>44683</v>
      </c>
      <c r="R2489" t="s">
        <v>47657</v>
      </c>
    </row>
    <row r="2490" spans="1:18" x14ac:dyDescent="0.35">
      <c r="A2490" t="s">
        <v>14491</v>
      </c>
      <c r="D2490" t="s">
        <v>2088</v>
      </c>
      <c r="E2490" t="s">
        <v>43</v>
      </c>
      <c r="I2490" s="26">
        <v>39083</v>
      </c>
      <c r="J2490" s="28">
        <v>39083</v>
      </c>
      <c r="Q2490" t="s">
        <v>44683</v>
      </c>
      <c r="R2490" t="s">
        <v>47658</v>
      </c>
    </row>
    <row r="2491" spans="1:18" x14ac:dyDescent="0.35">
      <c r="A2491" t="s">
        <v>15285</v>
      </c>
      <c r="D2491" t="s">
        <v>5325</v>
      </c>
      <c r="E2491" t="s">
        <v>43</v>
      </c>
      <c r="I2491" s="26">
        <v>39448</v>
      </c>
      <c r="J2491" s="28">
        <v>39448</v>
      </c>
      <c r="Q2491" t="s">
        <v>44683</v>
      </c>
      <c r="R2491" t="s">
        <v>47659</v>
      </c>
    </row>
    <row r="2492" spans="1:18" x14ac:dyDescent="0.35">
      <c r="A2492" t="s">
        <v>16233</v>
      </c>
      <c r="D2492" t="s">
        <v>1782</v>
      </c>
      <c r="E2492" t="s">
        <v>43</v>
      </c>
      <c r="I2492" s="26">
        <v>39448</v>
      </c>
      <c r="J2492" s="28">
        <v>39448</v>
      </c>
      <c r="Q2492" t="s">
        <v>44683</v>
      </c>
      <c r="R2492" t="s">
        <v>47660</v>
      </c>
    </row>
    <row r="2493" spans="1:18" x14ac:dyDescent="0.35">
      <c r="A2493" t="s">
        <v>15287</v>
      </c>
      <c r="D2493" t="s">
        <v>5325</v>
      </c>
      <c r="E2493" t="s">
        <v>43</v>
      </c>
      <c r="I2493" s="26">
        <v>39083</v>
      </c>
      <c r="J2493" s="28">
        <v>39083</v>
      </c>
      <c r="Q2493" t="s">
        <v>44683</v>
      </c>
      <c r="R2493" t="s">
        <v>47661</v>
      </c>
    </row>
    <row r="2494" spans="1:18" x14ac:dyDescent="0.35">
      <c r="A2494" t="s">
        <v>16297</v>
      </c>
      <c r="C2494" t="s">
        <v>47369</v>
      </c>
      <c r="D2494" t="s">
        <v>5300</v>
      </c>
      <c r="E2494" t="s">
        <v>43</v>
      </c>
      <c r="I2494" s="26">
        <v>39448</v>
      </c>
      <c r="J2494" s="28">
        <v>39448</v>
      </c>
      <c r="Q2494" t="s">
        <v>44683</v>
      </c>
      <c r="R2494" t="s">
        <v>47662</v>
      </c>
    </row>
    <row r="2495" spans="1:18" x14ac:dyDescent="0.35">
      <c r="A2495" t="s">
        <v>15837</v>
      </c>
      <c r="C2495" t="s">
        <v>47614</v>
      </c>
      <c r="D2495" t="s">
        <v>5877</v>
      </c>
      <c r="E2495" t="s">
        <v>43</v>
      </c>
      <c r="I2495" s="26">
        <v>39448</v>
      </c>
      <c r="J2495" s="28">
        <v>39448</v>
      </c>
      <c r="Q2495" t="s">
        <v>44683</v>
      </c>
      <c r="R2495" t="s">
        <v>47663</v>
      </c>
    </row>
    <row r="2496" spans="1:18" x14ac:dyDescent="0.35">
      <c r="A2496" t="s">
        <v>15838</v>
      </c>
      <c r="C2496" t="s">
        <v>47614</v>
      </c>
      <c r="D2496" t="s">
        <v>5877</v>
      </c>
      <c r="E2496" t="s">
        <v>43</v>
      </c>
      <c r="I2496" s="26">
        <v>39448</v>
      </c>
      <c r="J2496" s="28">
        <v>39448</v>
      </c>
      <c r="Q2496" t="s">
        <v>44683</v>
      </c>
      <c r="R2496" t="s">
        <v>47664</v>
      </c>
    </row>
    <row r="2497" spans="1:18" x14ac:dyDescent="0.35">
      <c r="A2497" t="s">
        <v>14403</v>
      </c>
      <c r="D2497" t="s">
        <v>1953</v>
      </c>
      <c r="E2497" t="s">
        <v>43</v>
      </c>
      <c r="I2497" s="26">
        <v>39083</v>
      </c>
      <c r="J2497" s="28">
        <v>39083</v>
      </c>
      <c r="Q2497" t="s">
        <v>44683</v>
      </c>
      <c r="R2497" t="s">
        <v>47665</v>
      </c>
    </row>
    <row r="2498" spans="1:18" x14ac:dyDescent="0.35">
      <c r="A2498" t="s">
        <v>15877</v>
      </c>
      <c r="C2498" t="s">
        <v>47017</v>
      </c>
      <c r="D2498" t="s">
        <v>5877</v>
      </c>
      <c r="E2498" t="s">
        <v>43</v>
      </c>
      <c r="I2498" s="26">
        <v>39083</v>
      </c>
      <c r="J2498" s="28">
        <v>39083</v>
      </c>
      <c r="Q2498" t="s">
        <v>44683</v>
      </c>
      <c r="R2498" t="s">
        <v>47666</v>
      </c>
    </row>
    <row r="2499" spans="1:18" x14ac:dyDescent="0.35">
      <c r="A2499" t="s">
        <v>14478</v>
      </c>
      <c r="D2499" t="s">
        <v>2076</v>
      </c>
      <c r="E2499" t="s">
        <v>43</v>
      </c>
      <c r="I2499" s="26">
        <v>39448</v>
      </c>
      <c r="J2499" s="28">
        <v>39448</v>
      </c>
      <c r="Q2499" t="s">
        <v>44683</v>
      </c>
      <c r="R2499" t="s">
        <v>47667</v>
      </c>
    </row>
    <row r="2500" spans="1:18" x14ac:dyDescent="0.35">
      <c r="A2500" t="s">
        <v>11803</v>
      </c>
      <c r="D2500" t="s">
        <v>5876</v>
      </c>
      <c r="E2500" t="s">
        <v>43</v>
      </c>
      <c r="I2500" s="26">
        <v>39448</v>
      </c>
      <c r="J2500" s="28">
        <v>39448</v>
      </c>
      <c r="Q2500" t="s">
        <v>44683</v>
      </c>
      <c r="R2500" t="s">
        <v>47668</v>
      </c>
    </row>
    <row r="2501" spans="1:18" x14ac:dyDescent="0.35">
      <c r="A2501" t="s">
        <v>15288</v>
      </c>
      <c r="D2501" t="s">
        <v>5325</v>
      </c>
      <c r="E2501" t="s">
        <v>43</v>
      </c>
      <c r="I2501" s="26">
        <v>38718</v>
      </c>
      <c r="J2501" s="28">
        <v>38718</v>
      </c>
      <c r="Q2501" t="s">
        <v>44683</v>
      </c>
      <c r="R2501" t="s">
        <v>47669</v>
      </c>
    </row>
    <row r="2502" spans="1:18" x14ac:dyDescent="0.35">
      <c r="A2502" t="s">
        <v>15626</v>
      </c>
      <c r="D2502" t="s">
        <v>5912</v>
      </c>
      <c r="E2502" t="s">
        <v>43</v>
      </c>
      <c r="I2502" s="26">
        <v>38353</v>
      </c>
      <c r="J2502" s="28">
        <v>38353</v>
      </c>
      <c r="Q2502" t="s">
        <v>44683</v>
      </c>
      <c r="R2502" t="s">
        <v>47670</v>
      </c>
    </row>
    <row r="2503" spans="1:18" x14ac:dyDescent="0.35">
      <c r="A2503" t="s">
        <v>15841</v>
      </c>
      <c r="C2503" t="s">
        <v>47607</v>
      </c>
      <c r="D2503" t="s">
        <v>5877</v>
      </c>
      <c r="E2503" t="s">
        <v>43</v>
      </c>
      <c r="I2503" s="26">
        <v>38718</v>
      </c>
      <c r="J2503" s="28">
        <v>38718</v>
      </c>
      <c r="Q2503" t="s">
        <v>44683</v>
      </c>
      <c r="R2503" t="s">
        <v>47671</v>
      </c>
    </row>
    <row r="2504" spans="1:18" x14ac:dyDescent="0.35">
      <c r="A2504" t="s">
        <v>14492</v>
      </c>
      <c r="C2504" t="s">
        <v>47672</v>
      </c>
      <c r="D2504" t="s">
        <v>2088</v>
      </c>
      <c r="E2504" t="s">
        <v>43</v>
      </c>
      <c r="I2504" s="26">
        <v>38353</v>
      </c>
      <c r="J2504" s="28">
        <v>38353</v>
      </c>
      <c r="Q2504" t="s">
        <v>44683</v>
      </c>
      <c r="R2504" t="s">
        <v>47673</v>
      </c>
    </row>
    <row r="2505" spans="1:18" x14ac:dyDescent="0.35">
      <c r="A2505" t="s">
        <v>15847</v>
      </c>
      <c r="C2505" t="s">
        <v>47310</v>
      </c>
      <c r="D2505" t="s">
        <v>5877</v>
      </c>
      <c r="E2505" t="s">
        <v>43</v>
      </c>
      <c r="I2505" s="26">
        <v>38718</v>
      </c>
      <c r="J2505" s="28">
        <v>38718</v>
      </c>
      <c r="Q2505" t="s">
        <v>44683</v>
      </c>
      <c r="R2505" t="s">
        <v>47674</v>
      </c>
    </row>
    <row r="2506" spans="1:18" x14ac:dyDescent="0.35">
      <c r="A2506" t="s">
        <v>14900</v>
      </c>
      <c r="D2506" t="s">
        <v>2873</v>
      </c>
      <c r="E2506" t="s">
        <v>43</v>
      </c>
      <c r="I2506" s="26">
        <v>38718</v>
      </c>
      <c r="J2506" s="28">
        <v>38718</v>
      </c>
      <c r="Q2506" t="s">
        <v>44683</v>
      </c>
      <c r="R2506" t="s">
        <v>47675</v>
      </c>
    </row>
    <row r="2507" spans="1:18" x14ac:dyDescent="0.35">
      <c r="A2507" t="s">
        <v>16364</v>
      </c>
      <c r="C2507" t="s">
        <v>47676</v>
      </c>
      <c r="D2507" t="s">
        <v>7160</v>
      </c>
      <c r="E2507" t="s">
        <v>43</v>
      </c>
      <c r="I2507" s="26">
        <v>38718</v>
      </c>
      <c r="J2507" s="28">
        <v>38718</v>
      </c>
      <c r="Q2507" t="s">
        <v>44683</v>
      </c>
      <c r="R2507" t="s">
        <v>47677</v>
      </c>
    </row>
    <row r="2508" spans="1:18" x14ac:dyDescent="0.35">
      <c r="A2508" t="s">
        <v>16365</v>
      </c>
      <c r="C2508" t="s">
        <v>47678</v>
      </c>
      <c r="D2508" t="s">
        <v>7160</v>
      </c>
      <c r="E2508" t="s">
        <v>43</v>
      </c>
      <c r="I2508" s="26">
        <v>38718</v>
      </c>
      <c r="J2508" s="28">
        <v>38718</v>
      </c>
      <c r="Q2508" t="s">
        <v>44683</v>
      </c>
      <c r="R2508" t="s">
        <v>47679</v>
      </c>
    </row>
    <row r="2509" spans="1:18" x14ac:dyDescent="0.35">
      <c r="A2509" t="s">
        <v>15850</v>
      </c>
      <c r="C2509" t="s">
        <v>47447</v>
      </c>
      <c r="D2509" t="s">
        <v>5877</v>
      </c>
      <c r="E2509" t="s">
        <v>43</v>
      </c>
      <c r="I2509" s="26">
        <v>38718</v>
      </c>
      <c r="J2509" s="28">
        <v>38718</v>
      </c>
      <c r="Q2509" t="s">
        <v>44683</v>
      </c>
      <c r="R2509" t="s">
        <v>47680</v>
      </c>
    </row>
    <row r="2510" spans="1:18" x14ac:dyDescent="0.35">
      <c r="A2510" t="s">
        <v>47681</v>
      </c>
      <c r="C2510" t="s">
        <v>47682</v>
      </c>
      <c r="D2510" t="s">
        <v>25371</v>
      </c>
      <c r="E2510" t="s">
        <v>43</v>
      </c>
      <c r="I2510" s="26">
        <v>38353</v>
      </c>
      <c r="J2510" s="28">
        <v>38353</v>
      </c>
      <c r="Q2510" t="s">
        <v>44683</v>
      </c>
      <c r="R2510" t="s">
        <v>47683</v>
      </c>
    </row>
    <row r="2511" spans="1:18" x14ac:dyDescent="0.35">
      <c r="A2511" t="s">
        <v>16366</v>
      </c>
      <c r="C2511" t="s">
        <v>47684</v>
      </c>
      <c r="D2511" t="s">
        <v>7160</v>
      </c>
      <c r="E2511" t="s">
        <v>43</v>
      </c>
      <c r="I2511" s="26">
        <v>38718</v>
      </c>
      <c r="J2511" s="28">
        <v>38718</v>
      </c>
      <c r="Q2511" t="s">
        <v>44683</v>
      </c>
      <c r="R2511" t="s">
        <v>47685</v>
      </c>
    </row>
    <row r="2512" spans="1:18" x14ac:dyDescent="0.35">
      <c r="A2512" t="s">
        <v>16367</v>
      </c>
      <c r="C2512" t="s">
        <v>47676</v>
      </c>
      <c r="D2512" t="s">
        <v>7160</v>
      </c>
      <c r="E2512" t="s">
        <v>43</v>
      </c>
      <c r="I2512" s="26">
        <v>38718</v>
      </c>
      <c r="J2512" s="28">
        <v>38718</v>
      </c>
      <c r="Q2512" t="s">
        <v>44683</v>
      </c>
      <c r="R2512" t="s">
        <v>47686</v>
      </c>
    </row>
    <row r="2513" spans="1:18" x14ac:dyDescent="0.35">
      <c r="A2513" t="s">
        <v>15101</v>
      </c>
      <c r="D2513" t="s">
        <v>3517</v>
      </c>
      <c r="E2513" t="s">
        <v>43</v>
      </c>
      <c r="I2513" s="26">
        <v>38718</v>
      </c>
      <c r="J2513" s="28">
        <v>38718</v>
      </c>
      <c r="Q2513" t="s">
        <v>44683</v>
      </c>
      <c r="R2513" t="s">
        <v>47687</v>
      </c>
    </row>
    <row r="2514" spans="1:18" x14ac:dyDescent="0.35">
      <c r="A2514" t="s">
        <v>15853</v>
      </c>
      <c r="C2514" t="s">
        <v>47070</v>
      </c>
      <c r="D2514" t="s">
        <v>5877</v>
      </c>
      <c r="E2514" t="s">
        <v>43</v>
      </c>
      <c r="I2514" s="26">
        <v>38718</v>
      </c>
      <c r="J2514" s="28">
        <v>38718</v>
      </c>
      <c r="Q2514" t="s">
        <v>44683</v>
      </c>
      <c r="R2514" t="s">
        <v>47688</v>
      </c>
    </row>
    <row r="2515" spans="1:18" x14ac:dyDescent="0.35">
      <c r="A2515" t="s">
        <v>15881</v>
      </c>
      <c r="C2515" t="s">
        <v>47689</v>
      </c>
      <c r="D2515" t="s">
        <v>5877</v>
      </c>
      <c r="E2515" t="s">
        <v>43</v>
      </c>
      <c r="I2515" s="26">
        <v>38353</v>
      </c>
      <c r="J2515" s="28">
        <v>38353</v>
      </c>
      <c r="Q2515" t="s">
        <v>44683</v>
      </c>
      <c r="R2515" t="s">
        <v>47690</v>
      </c>
    </row>
    <row r="2516" spans="1:18" x14ac:dyDescent="0.35">
      <c r="A2516" t="s">
        <v>15882</v>
      </c>
      <c r="C2516" t="s">
        <v>47691</v>
      </c>
      <c r="D2516" t="s">
        <v>5877</v>
      </c>
      <c r="E2516" t="s">
        <v>43</v>
      </c>
      <c r="I2516" s="26">
        <v>38353</v>
      </c>
      <c r="J2516" s="28">
        <v>38353</v>
      </c>
      <c r="Q2516" t="s">
        <v>44683</v>
      </c>
      <c r="R2516" t="s">
        <v>47692</v>
      </c>
    </row>
    <row r="2517" spans="1:18" x14ac:dyDescent="0.35">
      <c r="A2517" t="s">
        <v>14901</v>
      </c>
      <c r="D2517" t="s">
        <v>2873</v>
      </c>
      <c r="E2517" t="s">
        <v>43</v>
      </c>
      <c r="I2517" s="26">
        <v>38718</v>
      </c>
      <c r="J2517" s="28">
        <v>38718</v>
      </c>
      <c r="Q2517" t="s">
        <v>44683</v>
      </c>
      <c r="R2517" t="s">
        <v>47693</v>
      </c>
    </row>
    <row r="2518" spans="1:18" x14ac:dyDescent="0.35">
      <c r="A2518" t="s">
        <v>16368</v>
      </c>
      <c r="C2518" t="s">
        <v>47694</v>
      </c>
      <c r="D2518" t="s">
        <v>7160</v>
      </c>
      <c r="E2518" t="s">
        <v>43</v>
      </c>
      <c r="I2518" s="26">
        <v>38718</v>
      </c>
      <c r="J2518" s="28">
        <v>38718</v>
      </c>
      <c r="Q2518" t="s">
        <v>44683</v>
      </c>
      <c r="R2518" t="s">
        <v>47695</v>
      </c>
    </row>
    <row r="2519" spans="1:18" x14ac:dyDescent="0.35">
      <c r="A2519" t="s">
        <v>15613</v>
      </c>
      <c r="D2519" t="s">
        <v>5870</v>
      </c>
      <c r="E2519" t="s">
        <v>43</v>
      </c>
      <c r="I2519" s="26">
        <v>38353</v>
      </c>
      <c r="J2519" s="28">
        <v>38353</v>
      </c>
      <c r="Q2519" t="s">
        <v>44683</v>
      </c>
      <c r="R2519" t="s">
        <v>47696</v>
      </c>
    </row>
    <row r="2520" spans="1:18" x14ac:dyDescent="0.35">
      <c r="A2520" t="s">
        <v>14485</v>
      </c>
      <c r="C2520" t="s">
        <v>47697</v>
      </c>
      <c r="D2520" t="s">
        <v>2088</v>
      </c>
      <c r="E2520" t="s">
        <v>43</v>
      </c>
      <c r="I2520" s="26">
        <v>38718</v>
      </c>
      <c r="J2520" s="28">
        <v>38718</v>
      </c>
      <c r="Q2520" t="s">
        <v>44683</v>
      </c>
      <c r="R2520" t="s">
        <v>47698</v>
      </c>
    </row>
    <row r="2521" spans="1:18" x14ac:dyDescent="0.35">
      <c r="A2521" t="s">
        <v>16369</v>
      </c>
      <c r="C2521" t="s">
        <v>47694</v>
      </c>
      <c r="D2521" t="s">
        <v>7160</v>
      </c>
      <c r="E2521" t="s">
        <v>43</v>
      </c>
      <c r="I2521" s="26">
        <v>38718</v>
      </c>
      <c r="J2521" s="28">
        <v>38718</v>
      </c>
      <c r="Q2521" t="s">
        <v>44683</v>
      </c>
      <c r="R2521" t="s">
        <v>47699</v>
      </c>
    </row>
    <row r="2522" spans="1:18" x14ac:dyDescent="0.35">
      <c r="A2522" t="s">
        <v>15885</v>
      </c>
      <c r="C2522" t="s">
        <v>47700</v>
      </c>
      <c r="D2522" t="s">
        <v>5877</v>
      </c>
      <c r="E2522" t="s">
        <v>43</v>
      </c>
      <c r="I2522" s="26">
        <v>38353</v>
      </c>
      <c r="J2522" s="28">
        <v>38353</v>
      </c>
      <c r="Q2522" t="s">
        <v>44683</v>
      </c>
      <c r="R2522" t="s">
        <v>47701</v>
      </c>
    </row>
    <row r="2523" spans="1:18" x14ac:dyDescent="0.35">
      <c r="A2523" t="s">
        <v>16299</v>
      </c>
      <c r="C2523" t="s">
        <v>47245</v>
      </c>
      <c r="D2523" t="s">
        <v>5300</v>
      </c>
      <c r="E2523" t="s">
        <v>43</v>
      </c>
      <c r="I2523" s="26">
        <v>38353</v>
      </c>
      <c r="J2523" s="28">
        <v>38353</v>
      </c>
      <c r="Q2523" t="s">
        <v>44683</v>
      </c>
      <c r="R2523" t="s">
        <v>47702</v>
      </c>
    </row>
    <row r="2524" spans="1:18" x14ac:dyDescent="0.35">
      <c r="A2524" t="s">
        <v>15886</v>
      </c>
      <c r="C2524" t="s">
        <v>47703</v>
      </c>
      <c r="D2524" t="s">
        <v>5877</v>
      </c>
      <c r="E2524" t="s">
        <v>43</v>
      </c>
      <c r="I2524" s="26">
        <v>38353</v>
      </c>
      <c r="J2524" s="28">
        <v>38353</v>
      </c>
      <c r="Q2524" t="s">
        <v>44683</v>
      </c>
      <c r="R2524" t="s">
        <v>47704</v>
      </c>
    </row>
    <row r="2525" spans="1:18" x14ac:dyDescent="0.35">
      <c r="A2525" t="s">
        <v>15887</v>
      </c>
      <c r="C2525" t="s">
        <v>47705</v>
      </c>
      <c r="D2525" t="s">
        <v>5877</v>
      </c>
      <c r="E2525" t="s">
        <v>43</v>
      </c>
      <c r="I2525" s="26">
        <v>38353</v>
      </c>
      <c r="J2525" s="28">
        <v>38353</v>
      </c>
      <c r="Q2525" t="s">
        <v>44683</v>
      </c>
      <c r="R2525" t="s">
        <v>47706</v>
      </c>
    </row>
    <row r="2526" spans="1:18" x14ac:dyDescent="0.35">
      <c r="A2526" t="s">
        <v>14350</v>
      </c>
      <c r="C2526" t="s">
        <v>47707</v>
      </c>
      <c r="D2526" t="s">
        <v>1783</v>
      </c>
      <c r="E2526" t="s">
        <v>43</v>
      </c>
      <c r="I2526" s="26">
        <v>38718</v>
      </c>
      <c r="J2526" s="28">
        <v>38718</v>
      </c>
      <c r="Q2526" t="s">
        <v>44683</v>
      </c>
      <c r="R2526" t="s">
        <v>47708</v>
      </c>
    </row>
    <row r="2527" spans="1:18" x14ac:dyDescent="0.35">
      <c r="A2527" t="s">
        <v>15857</v>
      </c>
      <c r="C2527" t="s">
        <v>47709</v>
      </c>
      <c r="D2527" t="s">
        <v>5877</v>
      </c>
      <c r="E2527" t="s">
        <v>43</v>
      </c>
      <c r="I2527" s="26">
        <v>38718</v>
      </c>
      <c r="J2527" s="28">
        <v>38718</v>
      </c>
      <c r="Q2527" t="s">
        <v>44683</v>
      </c>
      <c r="R2527" t="s">
        <v>47710</v>
      </c>
    </row>
    <row r="2528" spans="1:18" x14ac:dyDescent="0.35">
      <c r="A2528" t="s">
        <v>15888</v>
      </c>
      <c r="C2528" t="s">
        <v>47711</v>
      </c>
      <c r="D2528" t="s">
        <v>5877</v>
      </c>
      <c r="E2528" t="s">
        <v>43</v>
      </c>
      <c r="I2528" s="26">
        <v>38353</v>
      </c>
      <c r="J2528" s="28">
        <v>38353</v>
      </c>
      <c r="Q2528" t="s">
        <v>44683</v>
      </c>
      <c r="R2528" t="s">
        <v>47712</v>
      </c>
    </row>
    <row r="2529" spans="1:18" x14ac:dyDescent="0.35">
      <c r="A2529" t="s">
        <v>14495</v>
      </c>
      <c r="D2529" t="s">
        <v>2088</v>
      </c>
      <c r="E2529" t="s">
        <v>43</v>
      </c>
      <c r="I2529" s="26">
        <v>38353</v>
      </c>
      <c r="J2529" s="28">
        <v>38353</v>
      </c>
      <c r="Q2529" t="s">
        <v>44683</v>
      </c>
      <c r="R2529" t="s">
        <v>47713</v>
      </c>
    </row>
    <row r="2530" spans="1:18" x14ac:dyDescent="0.35">
      <c r="A2530" t="s">
        <v>15174</v>
      </c>
      <c r="D2530" t="s">
        <v>5184</v>
      </c>
      <c r="E2530" t="s">
        <v>43</v>
      </c>
      <c r="I2530" s="26">
        <v>38718</v>
      </c>
      <c r="J2530" s="28">
        <v>38718</v>
      </c>
      <c r="Q2530" t="s">
        <v>44683</v>
      </c>
      <c r="R2530" t="s">
        <v>47714</v>
      </c>
    </row>
    <row r="2531" spans="1:18" x14ac:dyDescent="0.35">
      <c r="A2531" t="s">
        <v>15176</v>
      </c>
      <c r="D2531" t="s">
        <v>5184</v>
      </c>
      <c r="E2531" t="s">
        <v>43</v>
      </c>
      <c r="I2531" s="26">
        <v>38718</v>
      </c>
      <c r="J2531" s="28">
        <v>38718</v>
      </c>
      <c r="Q2531" t="s">
        <v>14474</v>
      </c>
      <c r="R2531" t="s">
        <v>47715</v>
      </c>
    </row>
    <row r="2532" spans="1:18" x14ac:dyDescent="0.35">
      <c r="A2532" t="s">
        <v>47716</v>
      </c>
      <c r="C2532" t="s">
        <v>47717</v>
      </c>
      <c r="D2532" t="s">
        <v>5730</v>
      </c>
      <c r="E2532" t="s">
        <v>43</v>
      </c>
      <c r="I2532" s="26">
        <v>37987</v>
      </c>
      <c r="J2532" s="28">
        <v>37987</v>
      </c>
      <c r="Q2532" t="s">
        <v>44683</v>
      </c>
      <c r="R2532" t="s">
        <v>47718</v>
      </c>
    </row>
    <row r="2533" spans="1:18" x14ac:dyDescent="0.35">
      <c r="A2533" t="s">
        <v>15889</v>
      </c>
      <c r="C2533" t="s">
        <v>47719</v>
      </c>
      <c r="D2533" t="s">
        <v>5877</v>
      </c>
      <c r="E2533" t="s">
        <v>43</v>
      </c>
      <c r="I2533" s="26">
        <v>38353</v>
      </c>
      <c r="J2533" s="28">
        <v>38353</v>
      </c>
      <c r="Q2533" t="s">
        <v>44683</v>
      </c>
      <c r="R2533" t="s">
        <v>47720</v>
      </c>
    </row>
    <row r="2534" spans="1:18" x14ac:dyDescent="0.35">
      <c r="A2534" t="s">
        <v>15858</v>
      </c>
      <c r="C2534" t="s">
        <v>47447</v>
      </c>
      <c r="D2534" t="s">
        <v>5877</v>
      </c>
      <c r="E2534" t="s">
        <v>43</v>
      </c>
      <c r="I2534" s="26">
        <v>38718</v>
      </c>
      <c r="J2534" s="28">
        <v>38718</v>
      </c>
      <c r="Q2534" t="s">
        <v>44683</v>
      </c>
      <c r="R2534" t="s">
        <v>47721</v>
      </c>
    </row>
    <row r="2535" spans="1:18" x14ac:dyDescent="0.35">
      <c r="A2535" t="s">
        <v>15890</v>
      </c>
      <c r="C2535" t="s">
        <v>47722</v>
      </c>
      <c r="D2535" t="s">
        <v>5877</v>
      </c>
      <c r="E2535" t="s">
        <v>43</v>
      </c>
      <c r="I2535" s="26">
        <v>38353</v>
      </c>
      <c r="J2535" s="28">
        <v>38353</v>
      </c>
      <c r="Q2535" t="s">
        <v>44683</v>
      </c>
      <c r="R2535" t="s">
        <v>47723</v>
      </c>
    </row>
    <row r="2536" spans="1:18" x14ac:dyDescent="0.35">
      <c r="A2536" t="s">
        <v>15114</v>
      </c>
      <c r="C2536" t="s">
        <v>47616</v>
      </c>
      <c r="D2536" t="s">
        <v>4998</v>
      </c>
      <c r="E2536" t="s">
        <v>43</v>
      </c>
      <c r="I2536" s="26">
        <v>38353</v>
      </c>
      <c r="J2536" s="28">
        <v>38353</v>
      </c>
      <c r="Q2536" t="s">
        <v>44683</v>
      </c>
      <c r="R2536" t="s">
        <v>47724</v>
      </c>
    </row>
    <row r="2537" spans="1:18" x14ac:dyDescent="0.35">
      <c r="A2537" t="s">
        <v>16371</v>
      </c>
      <c r="C2537" t="s">
        <v>47725</v>
      </c>
      <c r="D2537" t="s">
        <v>7160</v>
      </c>
      <c r="E2537" t="s">
        <v>43</v>
      </c>
      <c r="I2537" s="26">
        <v>38718</v>
      </c>
      <c r="J2537" s="28">
        <v>38718</v>
      </c>
      <c r="Q2537" t="s">
        <v>44683</v>
      </c>
      <c r="R2537" t="s">
        <v>47726</v>
      </c>
    </row>
    <row r="2538" spans="1:18" x14ac:dyDescent="0.35">
      <c r="A2538" t="s">
        <v>16372</v>
      </c>
      <c r="C2538" t="s">
        <v>47727</v>
      </c>
      <c r="D2538" t="s">
        <v>7160</v>
      </c>
      <c r="E2538" t="s">
        <v>43</v>
      </c>
      <c r="I2538" s="26">
        <v>38718</v>
      </c>
      <c r="J2538" s="28">
        <v>38718</v>
      </c>
      <c r="Q2538" t="s">
        <v>44683</v>
      </c>
      <c r="R2538" t="s">
        <v>47728</v>
      </c>
    </row>
    <row r="2539" spans="1:18" x14ac:dyDescent="0.35">
      <c r="A2539" t="s">
        <v>14351</v>
      </c>
      <c r="C2539" t="s">
        <v>47707</v>
      </c>
      <c r="D2539" t="s">
        <v>1783</v>
      </c>
      <c r="E2539" t="s">
        <v>43</v>
      </c>
      <c r="I2539" s="26">
        <v>38718</v>
      </c>
      <c r="J2539" s="28">
        <v>38718</v>
      </c>
      <c r="Q2539" t="s">
        <v>44683</v>
      </c>
      <c r="R2539" t="s">
        <v>47729</v>
      </c>
    </row>
    <row r="2540" spans="1:18" x14ac:dyDescent="0.35">
      <c r="A2540" t="s">
        <v>15111</v>
      </c>
      <c r="D2540" t="s">
        <v>4998</v>
      </c>
      <c r="E2540" t="s">
        <v>43</v>
      </c>
      <c r="I2540" s="26">
        <v>38718</v>
      </c>
      <c r="J2540" s="28">
        <v>38718</v>
      </c>
      <c r="Q2540" t="s">
        <v>44683</v>
      </c>
      <c r="R2540" t="s">
        <v>47730</v>
      </c>
    </row>
    <row r="2541" spans="1:18" x14ac:dyDescent="0.35">
      <c r="A2541" t="s">
        <v>14105</v>
      </c>
      <c r="D2541" t="s">
        <v>884</v>
      </c>
      <c r="E2541" t="s">
        <v>43</v>
      </c>
      <c r="I2541" s="26">
        <v>38353</v>
      </c>
      <c r="J2541" s="28">
        <v>38353</v>
      </c>
      <c r="Q2541" t="s">
        <v>44683</v>
      </c>
      <c r="R2541" t="s">
        <v>47731</v>
      </c>
    </row>
    <row r="2542" spans="1:18" x14ac:dyDescent="0.35">
      <c r="A2542" t="s">
        <v>14486</v>
      </c>
      <c r="D2542" t="s">
        <v>2088</v>
      </c>
      <c r="E2542" t="s">
        <v>43</v>
      </c>
      <c r="I2542" s="26">
        <v>38718</v>
      </c>
      <c r="J2542" s="28">
        <v>38718</v>
      </c>
      <c r="Q2542" t="s">
        <v>44683</v>
      </c>
      <c r="R2542" t="s">
        <v>47732</v>
      </c>
    </row>
    <row r="2543" spans="1:18" x14ac:dyDescent="0.35">
      <c r="A2543" t="s">
        <v>15614</v>
      </c>
      <c r="D2543" t="s">
        <v>5870</v>
      </c>
      <c r="E2543" t="s">
        <v>43</v>
      </c>
      <c r="I2543" s="26">
        <v>38353</v>
      </c>
      <c r="J2543" s="28">
        <v>38353</v>
      </c>
      <c r="Q2543" t="s">
        <v>44683</v>
      </c>
      <c r="R2543" t="s">
        <v>47733</v>
      </c>
    </row>
    <row r="2544" spans="1:18" x14ac:dyDescent="0.35">
      <c r="A2544" t="s">
        <v>15609</v>
      </c>
      <c r="D2544" t="s">
        <v>5865</v>
      </c>
      <c r="E2544" t="s">
        <v>43</v>
      </c>
      <c r="I2544" s="26">
        <v>38353</v>
      </c>
      <c r="J2544" s="28">
        <v>38353</v>
      </c>
      <c r="Q2544" t="s">
        <v>44683</v>
      </c>
      <c r="R2544" t="s">
        <v>47734</v>
      </c>
    </row>
    <row r="2545" spans="1:18" x14ac:dyDescent="0.35">
      <c r="A2545" t="s">
        <v>14111</v>
      </c>
      <c r="D2545" t="s">
        <v>1047</v>
      </c>
      <c r="E2545" t="s">
        <v>43</v>
      </c>
      <c r="I2545" s="26">
        <v>38353</v>
      </c>
      <c r="J2545" s="28">
        <v>38353</v>
      </c>
      <c r="Q2545" t="s">
        <v>44683</v>
      </c>
      <c r="R2545" t="s">
        <v>47735</v>
      </c>
    </row>
    <row r="2546" spans="1:18" x14ac:dyDescent="0.35">
      <c r="A2546" t="s">
        <v>15891</v>
      </c>
      <c r="C2546" t="s">
        <v>47736</v>
      </c>
      <c r="D2546" t="s">
        <v>5877</v>
      </c>
      <c r="E2546" t="s">
        <v>43</v>
      </c>
      <c r="I2546" s="26">
        <v>38353</v>
      </c>
      <c r="J2546" s="28">
        <v>38353</v>
      </c>
      <c r="Q2546" t="s">
        <v>44683</v>
      </c>
      <c r="R2546" t="s">
        <v>47737</v>
      </c>
    </row>
    <row r="2547" spans="1:18" x14ac:dyDescent="0.35">
      <c r="A2547" t="s">
        <v>15965</v>
      </c>
      <c r="C2547" t="s">
        <v>47417</v>
      </c>
      <c r="D2547" t="s">
        <v>6370</v>
      </c>
      <c r="E2547" t="s">
        <v>43</v>
      </c>
      <c r="I2547" s="26">
        <v>38718</v>
      </c>
      <c r="J2547" s="28">
        <v>38718</v>
      </c>
      <c r="Q2547" t="s">
        <v>44683</v>
      </c>
      <c r="R2547" t="s">
        <v>47738</v>
      </c>
    </row>
    <row r="2548" spans="1:18" x14ac:dyDescent="0.35">
      <c r="A2548" t="s">
        <v>16373</v>
      </c>
      <c r="C2548" t="s">
        <v>47739</v>
      </c>
      <c r="D2548" t="s">
        <v>7160</v>
      </c>
      <c r="E2548" t="s">
        <v>43</v>
      </c>
      <c r="I2548" s="26">
        <v>38718</v>
      </c>
      <c r="J2548" s="28">
        <v>38718</v>
      </c>
      <c r="Q2548" t="s">
        <v>44683</v>
      </c>
      <c r="R2548" t="s">
        <v>47740</v>
      </c>
    </row>
    <row r="2549" spans="1:18" x14ac:dyDescent="0.35">
      <c r="A2549" t="s">
        <v>15893</v>
      </c>
      <c r="C2549" t="s">
        <v>47741</v>
      </c>
      <c r="D2549" t="s">
        <v>5877</v>
      </c>
      <c r="E2549" t="s">
        <v>43</v>
      </c>
      <c r="I2549" s="26">
        <v>38353</v>
      </c>
      <c r="J2549" s="28">
        <v>38353</v>
      </c>
      <c r="Q2549" t="s">
        <v>44683</v>
      </c>
      <c r="R2549" t="s">
        <v>47742</v>
      </c>
    </row>
    <row r="2550" spans="1:18" x14ac:dyDescent="0.35">
      <c r="A2550" t="s">
        <v>15116</v>
      </c>
      <c r="D2550" t="s">
        <v>4998</v>
      </c>
      <c r="E2550" t="s">
        <v>43</v>
      </c>
      <c r="I2550" s="26">
        <v>38353</v>
      </c>
      <c r="J2550" s="28">
        <v>38353</v>
      </c>
      <c r="Q2550" t="s">
        <v>44683</v>
      </c>
      <c r="R2550" t="s">
        <v>47743</v>
      </c>
    </row>
    <row r="2551" spans="1:18" x14ac:dyDescent="0.35">
      <c r="A2551" t="s">
        <v>15612</v>
      </c>
      <c r="D2551" t="s">
        <v>5870</v>
      </c>
      <c r="E2551" t="s">
        <v>43</v>
      </c>
      <c r="I2551" s="26">
        <v>38718</v>
      </c>
      <c r="J2551" s="28">
        <v>38718</v>
      </c>
      <c r="Q2551" t="s">
        <v>44683</v>
      </c>
      <c r="R2551" t="s">
        <v>47744</v>
      </c>
    </row>
    <row r="2552" spans="1:18" x14ac:dyDescent="0.35">
      <c r="A2552" t="s">
        <v>15117</v>
      </c>
      <c r="D2552" t="s">
        <v>4998</v>
      </c>
      <c r="E2552" t="s">
        <v>43</v>
      </c>
      <c r="I2552" s="26">
        <v>38353</v>
      </c>
      <c r="J2552" s="28">
        <v>38353</v>
      </c>
      <c r="Q2552" t="s">
        <v>44683</v>
      </c>
      <c r="R2552" t="s">
        <v>47745</v>
      </c>
    </row>
    <row r="2553" spans="1:18" x14ac:dyDescent="0.35">
      <c r="A2553" t="s">
        <v>16374</v>
      </c>
      <c r="C2553" t="s">
        <v>47746</v>
      </c>
      <c r="D2553" t="s">
        <v>7160</v>
      </c>
      <c r="E2553" t="s">
        <v>43</v>
      </c>
      <c r="I2553" s="26">
        <v>38718</v>
      </c>
      <c r="J2553" s="28">
        <v>38718</v>
      </c>
      <c r="Q2553" t="s">
        <v>44683</v>
      </c>
      <c r="R2553" t="s">
        <v>47747</v>
      </c>
    </row>
    <row r="2554" spans="1:18" x14ac:dyDescent="0.35">
      <c r="A2554" t="s">
        <v>14352</v>
      </c>
      <c r="C2554" t="s">
        <v>47707</v>
      </c>
      <c r="D2554" t="s">
        <v>1783</v>
      </c>
      <c r="E2554" t="s">
        <v>43</v>
      </c>
      <c r="I2554" s="26">
        <v>38718</v>
      </c>
      <c r="J2554" s="28">
        <v>38718</v>
      </c>
      <c r="Q2554" t="s">
        <v>44683</v>
      </c>
      <c r="R2554" t="s">
        <v>47748</v>
      </c>
    </row>
    <row r="2555" spans="1:18" x14ac:dyDescent="0.35">
      <c r="A2555" t="s">
        <v>15864</v>
      </c>
      <c r="C2555" t="s">
        <v>47749</v>
      </c>
      <c r="D2555" t="s">
        <v>5877</v>
      </c>
      <c r="E2555" t="s">
        <v>43</v>
      </c>
      <c r="I2555" s="26">
        <v>38718</v>
      </c>
      <c r="J2555" s="28">
        <v>38718</v>
      </c>
      <c r="Q2555" t="s">
        <v>44683</v>
      </c>
      <c r="R2555" t="s">
        <v>47750</v>
      </c>
    </row>
    <row r="2556" spans="1:18" x14ac:dyDescent="0.35">
      <c r="A2556" t="s">
        <v>15895</v>
      </c>
      <c r="C2556" t="s">
        <v>47751</v>
      </c>
      <c r="D2556" t="s">
        <v>5877</v>
      </c>
      <c r="E2556" t="s">
        <v>43</v>
      </c>
      <c r="I2556" s="26">
        <v>38353</v>
      </c>
      <c r="J2556" s="28">
        <v>38353</v>
      </c>
      <c r="Q2556" t="s">
        <v>44683</v>
      </c>
      <c r="R2556" t="s">
        <v>47752</v>
      </c>
    </row>
    <row r="2557" spans="1:18" x14ac:dyDescent="0.35">
      <c r="A2557" t="s">
        <v>15042</v>
      </c>
      <c r="C2557" t="s">
        <v>47753</v>
      </c>
      <c r="D2557" t="s">
        <v>3031</v>
      </c>
      <c r="E2557" t="s">
        <v>43</v>
      </c>
      <c r="I2557" s="26">
        <v>38718</v>
      </c>
      <c r="J2557" s="28">
        <v>38718</v>
      </c>
      <c r="Q2557" t="s">
        <v>44683</v>
      </c>
      <c r="R2557" t="s">
        <v>47754</v>
      </c>
    </row>
    <row r="2558" spans="1:18" x14ac:dyDescent="0.35">
      <c r="A2558" t="s">
        <v>15102</v>
      </c>
      <c r="C2558" t="s">
        <v>47755</v>
      </c>
      <c r="D2558" t="s">
        <v>3517</v>
      </c>
      <c r="E2558" t="s">
        <v>43</v>
      </c>
      <c r="I2558" s="26">
        <v>38718</v>
      </c>
      <c r="J2558" s="28">
        <v>38718</v>
      </c>
      <c r="Q2558" t="s">
        <v>44683</v>
      </c>
      <c r="R2558" t="s">
        <v>47756</v>
      </c>
    </row>
    <row r="2559" spans="1:18" x14ac:dyDescent="0.35">
      <c r="A2559" t="s">
        <v>14902</v>
      </c>
      <c r="D2559" t="s">
        <v>2873</v>
      </c>
      <c r="E2559" t="s">
        <v>43</v>
      </c>
      <c r="I2559" s="26">
        <v>38718</v>
      </c>
      <c r="J2559" s="28">
        <v>38718</v>
      </c>
      <c r="Q2559" t="s">
        <v>44683</v>
      </c>
      <c r="R2559" t="s">
        <v>47757</v>
      </c>
    </row>
    <row r="2560" spans="1:18" x14ac:dyDescent="0.35">
      <c r="A2560" t="s">
        <v>47758</v>
      </c>
      <c r="C2560" t="s">
        <v>47682</v>
      </c>
      <c r="D2560" t="s">
        <v>25371</v>
      </c>
      <c r="E2560" t="s">
        <v>43</v>
      </c>
      <c r="I2560" s="26">
        <v>38353</v>
      </c>
      <c r="J2560" s="28">
        <v>38353</v>
      </c>
      <c r="Q2560" t="s">
        <v>44683</v>
      </c>
      <c r="R2560" t="s">
        <v>47759</v>
      </c>
    </row>
    <row r="2561" spans="1:18" x14ac:dyDescent="0.35">
      <c r="A2561" t="s">
        <v>15118</v>
      </c>
      <c r="D2561" t="s">
        <v>4998</v>
      </c>
      <c r="E2561" t="s">
        <v>43</v>
      </c>
      <c r="I2561" s="26">
        <v>38353</v>
      </c>
      <c r="J2561" s="28">
        <v>38353</v>
      </c>
      <c r="Q2561" t="s">
        <v>44683</v>
      </c>
      <c r="R2561" t="s">
        <v>47760</v>
      </c>
    </row>
    <row r="2562" spans="1:18" x14ac:dyDescent="0.35">
      <c r="A2562" t="s">
        <v>15615</v>
      </c>
      <c r="D2562" t="s">
        <v>5870</v>
      </c>
      <c r="E2562" t="s">
        <v>43</v>
      </c>
      <c r="I2562" s="26">
        <v>38353</v>
      </c>
      <c r="J2562" s="28">
        <v>38353</v>
      </c>
      <c r="Q2562" t="s">
        <v>44683</v>
      </c>
      <c r="R2562" t="s">
        <v>47761</v>
      </c>
    </row>
    <row r="2563" spans="1:18" x14ac:dyDescent="0.35">
      <c r="A2563" t="s">
        <v>14489</v>
      </c>
      <c r="D2563" t="s">
        <v>2088</v>
      </c>
      <c r="E2563" t="s">
        <v>43</v>
      </c>
      <c r="I2563" s="26">
        <v>38718</v>
      </c>
      <c r="J2563" s="28">
        <v>38718</v>
      </c>
      <c r="Q2563" t="s">
        <v>44683</v>
      </c>
      <c r="R2563" t="s">
        <v>47762</v>
      </c>
    </row>
    <row r="2564" spans="1:18" x14ac:dyDescent="0.35">
      <c r="A2564" t="s">
        <v>15177</v>
      </c>
      <c r="D2564" t="s">
        <v>5184</v>
      </c>
      <c r="E2564" t="s">
        <v>43</v>
      </c>
      <c r="I2564" s="26">
        <v>38718</v>
      </c>
      <c r="J2564" s="28">
        <v>38718</v>
      </c>
      <c r="Q2564" t="s">
        <v>44683</v>
      </c>
      <c r="R2564" t="s">
        <v>47763</v>
      </c>
    </row>
    <row r="2565" spans="1:18" x14ac:dyDescent="0.35">
      <c r="A2565" t="s">
        <v>14353</v>
      </c>
      <c r="C2565" t="s">
        <v>47707</v>
      </c>
      <c r="D2565" t="s">
        <v>1783</v>
      </c>
      <c r="E2565" t="s">
        <v>43</v>
      </c>
      <c r="I2565" s="26">
        <v>38718</v>
      </c>
      <c r="J2565" s="28">
        <v>38718</v>
      </c>
      <c r="Q2565" t="s">
        <v>44683</v>
      </c>
      <c r="R2565" t="s">
        <v>47764</v>
      </c>
    </row>
    <row r="2566" spans="1:18" x14ac:dyDescent="0.35">
      <c r="A2566" t="s">
        <v>15112</v>
      </c>
      <c r="D2566" t="s">
        <v>4998</v>
      </c>
      <c r="E2566" t="s">
        <v>43</v>
      </c>
      <c r="I2566" s="26">
        <v>38718</v>
      </c>
      <c r="J2566" s="28">
        <v>38718</v>
      </c>
      <c r="Q2566" t="s">
        <v>44683</v>
      </c>
      <c r="R2566" t="s">
        <v>47765</v>
      </c>
    </row>
    <row r="2567" spans="1:18" x14ac:dyDescent="0.35">
      <c r="A2567" t="s">
        <v>15866</v>
      </c>
      <c r="C2567" t="s">
        <v>47766</v>
      </c>
      <c r="D2567" t="s">
        <v>5877</v>
      </c>
      <c r="E2567" t="s">
        <v>43</v>
      </c>
      <c r="I2567" s="26">
        <v>38718</v>
      </c>
      <c r="J2567" s="28">
        <v>38718</v>
      </c>
      <c r="Q2567" t="s">
        <v>44683</v>
      </c>
      <c r="R2567" t="s">
        <v>47767</v>
      </c>
    </row>
    <row r="2568" spans="1:18" x14ac:dyDescent="0.35">
      <c r="A2568" t="s">
        <v>47768</v>
      </c>
      <c r="C2568" t="s">
        <v>47682</v>
      </c>
      <c r="D2568" t="s">
        <v>25371</v>
      </c>
      <c r="E2568" t="s">
        <v>43</v>
      </c>
      <c r="I2568" s="26">
        <v>38353</v>
      </c>
      <c r="J2568" s="28">
        <v>38353</v>
      </c>
      <c r="Q2568" t="s">
        <v>44683</v>
      </c>
      <c r="R2568" t="s">
        <v>47769</v>
      </c>
    </row>
    <row r="2569" spans="1:18" x14ac:dyDescent="0.35">
      <c r="A2569" t="s">
        <v>16375</v>
      </c>
      <c r="C2569" t="s">
        <v>47770</v>
      </c>
      <c r="D2569" t="s">
        <v>7160</v>
      </c>
      <c r="E2569" t="s">
        <v>43</v>
      </c>
      <c r="I2569" s="26">
        <v>38718</v>
      </c>
      <c r="J2569" s="28">
        <v>38718</v>
      </c>
      <c r="Q2569" t="s">
        <v>44683</v>
      </c>
      <c r="R2569" t="s">
        <v>47771</v>
      </c>
    </row>
    <row r="2570" spans="1:18" x14ac:dyDescent="0.35">
      <c r="A2570" t="s">
        <v>16376</v>
      </c>
      <c r="C2570" t="s">
        <v>47739</v>
      </c>
      <c r="D2570" t="s">
        <v>7160</v>
      </c>
      <c r="E2570" t="s">
        <v>43</v>
      </c>
      <c r="I2570" s="26">
        <v>38718</v>
      </c>
      <c r="J2570" s="28">
        <v>38718</v>
      </c>
      <c r="Q2570" t="s">
        <v>44683</v>
      </c>
      <c r="R2570" t="s">
        <v>47772</v>
      </c>
    </row>
    <row r="2571" spans="1:18" x14ac:dyDescent="0.35">
      <c r="A2571" t="s">
        <v>16377</v>
      </c>
      <c r="C2571" t="s">
        <v>47773</v>
      </c>
      <c r="D2571" t="s">
        <v>7160</v>
      </c>
      <c r="E2571" t="s">
        <v>43</v>
      </c>
      <c r="I2571" s="26">
        <v>38718</v>
      </c>
      <c r="J2571" s="28">
        <v>38718</v>
      </c>
      <c r="Q2571" t="s">
        <v>44683</v>
      </c>
      <c r="R2571" t="s">
        <v>47774</v>
      </c>
    </row>
    <row r="2572" spans="1:18" x14ac:dyDescent="0.35">
      <c r="A2572" t="s">
        <v>47775</v>
      </c>
      <c r="C2572" t="s">
        <v>47682</v>
      </c>
      <c r="D2572" t="s">
        <v>25371</v>
      </c>
      <c r="E2572" t="s">
        <v>43</v>
      </c>
      <c r="I2572" s="26">
        <v>38353</v>
      </c>
      <c r="J2572" s="28">
        <v>38353</v>
      </c>
      <c r="Q2572" t="s">
        <v>44683</v>
      </c>
      <c r="R2572" t="s">
        <v>47776</v>
      </c>
    </row>
    <row r="2573" spans="1:18" x14ac:dyDescent="0.35">
      <c r="A2573" t="s">
        <v>15044</v>
      </c>
      <c r="C2573" t="s">
        <v>47777</v>
      </c>
      <c r="D2573" t="s">
        <v>3031</v>
      </c>
      <c r="E2573" t="s">
        <v>43</v>
      </c>
      <c r="I2573" s="26">
        <v>38353</v>
      </c>
      <c r="J2573" s="28">
        <v>38353</v>
      </c>
      <c r="Q2573" t="s">
        <v>44683</v>
      </c>
      <c r="R2573" t="s">
        <v>47778</v>
      </c>
    </row>
    <row r="2574" spans="1:18" x14ac:dyDescent="0.35">
      <c r="A2574" t="s">
        <v>16378</v>
      </c>
      <c r="C2574" t="s">
        <v>47779</v>
      </c>
      <c r="D2574" t="s">
        <v>7160</v>
      </c>
      <c r="E2574" t="s">
        <v>43</v>
      </c>
      <c r="I2574" s="26">
        <v>38718</v>
      </c>
      <c r="J2574" s="28">
        <v>38718</v>
      </c>
      <c r="Q2574" t="s">
        <v>44683</v>
      </c>
      <c r="R2574" t="s">
        <v>47780</v>
      </c>
    </row>
    <row r="2575" spans="1:18" x14ac:dyDescent="0.35">
      <c r="A2575" t="s">
        <v>15046</v>
      </c>
      <c r="C2575" t="s">
        <v>47781</v>
      </c>
      <c r="D2575" t="s">
        <v>3031</v>
      </c>
      <c r="E2575" t="s">
        <v>43</v>
      </c>
      <c r="I2575" s="26">
        <v>38353</v>
      </c>
      <c r="J2575" s="28">
        <v>38353</v>
      </c>
      <c r="Q2575" t="s">
        <v>44683</v>
      </c>
      <c r="R2575" t="s">
        <v>47782</v>
      </c>
    </row>
    <row r="2576" spans="1:18" x14ac:dyDescent="0.35">
      <c r="A2576" t="s">
        <v>15897</v>
      </c>
      <c r="C2576" t="s">
        <v>47783</v>
      </c>
      <c r="D2576" t="s">
        <v>5877</v>
      </c>
      <c r="E2576" t="s">
        <v>43</v>
      </c>
      <c r="I2576" s="26">
        <v>38353</v>
      </c>
      <c r="J2576" s="28">
        <v>38353</v>
      </c>
      <c r="Q2576" t="s">
        <v>44683</v>
      </c>
      <c r="R2576" t="s">
        <v>47784</v>
      </c>
    </row>
    <row r="2577" spans="1:18" x14ac:dyDescent="0.35">
      <c r="A2577" t="s">
        <v>15869</v>
      </c>
      <c r="C2577" t="s">
        <v>47785</v>
      </c>
      <c r="D2577" t="s">
        <v>5877</v>
      </c>
      <c r="E2577" t="s">
        <v>43</v>
      </c>
      <c r="I2577" s="26">
        <v>38718</v>
      </c>
      <c r="J2577" s="28">
        <v>38718</v>
      </c>
      <c r="Q2577" t="s">
        <v>44683</v>
      </c>
      <c r="R2577" t="s">
        <v>47786</v>
      </c>
    </row>
    <row r="2578" spans="1:18" x14ac:dyDescent="0.35">
      <c r="A2578" t="s">
        <v>14635</v>
      </c>
      <c r="D2578" t="s">
        <v>2221</v>
      </c>
      <c r="E2578" t="s">
        <v>43</v>
      </c>
      <c r="I2578" s="26">
        <v>38353</v>
      </c>
      <c r="J2578" s="28">
        <v>38353</v>
      </c>
      <c r="Q2578" t="s">
        <v>44683</v>
      </c>
      <c r="R2578" t="s">
        <v>47787</v>
      </c>
    </row>
    <row r="2579" spans="1:18" x14ac:dyDescent="0.35">
      <c r="A2579" t="s">
        <v>15610</v>
      </c>
      <c r="D2579" t="s">
        <v>5865</v>
      </c>
      <c r="E2579" t="s">
        <v>43</v>
      </c>
      <c r="I2579" s="26">
        <v>38353</v>
      </c>
      <c r="J2579" s="28">
        <v>38353</v>
      </c>
      <c r="Q2579" t="s">
        <v>44683</v>
      </c>
      <c r="R2579" t="s">
        <v>47788</v>
      </c>
    </row>
    <row r="2580" spans="1:18" x14ac:dyDescent="0.35">
      <c r="A2580" t="s">
        <v>16379</v>
      </c>
      <c r="C2580" t="s">
        <v>47789</v>
      </c>
      <c r="D2580" t="s">
        <v>7160</v>
      </c>
      <c r="E2580" t="s">
        <v>43</v>
      </c>
      <c r="I2580" s="26">
        <v>38718</v>
      </c>
      <c r="J2580" s="28">
        <v>38718</v>
      </c>
      <c r="Q2580" t="s">
        <v>44683</v>
      </c>
      <c r="R2580" t="s">
        <v>47790</v>
      </c>
    </row>
    <row r="2581" spans="1:18" x14ac:dyDescent="0.35">
      <c r="A2581" t="s">
        <v>15292</v>
      </c>
      <c r="D2581" t="s">
        <v>5325</v>
      </c>
      <c r="E2581" t="s">
        <v>43</v>
      </c>
      <c r="I2581" s="26">
        <v>38353</v>
      </c>
      <c r="J2581" s="28">
        <v>38353</v>
      </c>
      <c r="Q2581" t="s">
        <v>44683</v>
      </c>
      <c r="R2581" t="s">
        <v>47791</v>
      </c>
    </row>
    <row r="2582" spans="1:18" x14ac:dyDescent="0.35">
      <c r="A2582" t="s">
        <v>15870</v>
      </c>
      <c r="C2582" t="s">
        <v>47766</v>
      </c>
      <c r="D2582" t="s">
        <v>5877</v>
      </c>
      <c r="E2582" t="s">
        <v>43</v>
      </c>
      <c r="I2582" s="26">
        <v>38718</v>
      </c>
      <c r="J2582" s="28">
        <v>38718</v>
      </c>
      <c r="Q2582" t="s">
        <v>44683</v>
      </c>
      <c r="R2582" t="s">
        <v>47792</v>
      </c>
    </row>
    <row r="2583" spans="1:18" x14ac:dyDescent="0.35">
      <c r="A2583" t="s">
        <v>15113</v>
      </c>
      <c r="D2583" t="s">
        <v>4998</v>
      </c>
      <c r="E2583" t="s">
        <v>43</v>
      </c>
      <c r="I2583" s="26">
        <v>38718</v>
      </c>
      <c r="J2583" s="28">
        <v>38718</v>
      </c>
      <c r="Q2583" t="s">
        <v>44683</v>
      </c>
      <c r="R2583" t="s">
        <v>47793</v>
      </c>
    </row>
    <row r="2584" spans="1:18" x14ac:dyDescent="0.35">
      <c r="A2584" t="s">
        <v>16451</v>
      </c>
      <c r="C2584" t="s">
        <v>47794</v>
      </c>
      <c r="D2584" t="s">
        <v>7245</v>
      </c>
      <c r="E2584" t="s">
        <v>43</v>
      </c>
      <c r="I2584" s="26">
        <v>38718</v>
      </c>
      <c r="J2584" s="28">
        <v>38718</v>
      </c>
      <c r="Q2584" t="s">
        <v>44683</v>
      </c>
      <c r="R2584" t="s">
        <v>47795</v>
      </c>
    </row>
    <row r="2585" spans="1:18" x14ac:dyDescent="0.35">
      <c r="A2585" t="s">
        <v>47796</v>
      </c>
      <c r="C2585" t="s">
        <v>47682</v>
      </c>
      <c r="D2585" t="s">
        <v>25371</v>
      </c>
      <c r="E2585" t="s">
        <v>43</v>
      </c>
      <c r="I2585" s="26">
        <v>38353</v>
      </c>
      <c r="J2585" s="28">
        <v>38353</v>
      </c>
      <c r="Q2585" t="s">
        <v>44683</v>
      </c>
      <c r="R2585" t="s">
        <v>47797</v>
      </c>
    </row>
    <row r="2586" spans="1:18" x14ac:dyDescent="0.35">
      <c r="A2586" t="s">
        <v>15872</v>
      </c>
      <c r="C2586" t="s">
        <v>47798</v>
      </c>
      <c r="D2586" t="s">
        <v>5877</v>
      </c>
      <c r="E2586" t="s">
        <v>43</v>
      </c>
      <c r="I2586" s="26">
        <v>38718</v>
      </c>
      <c r="J2586" s="28">
        <v>38718</v>
      </c>
      <c r="Q2586" t="s">
        <v>44683</v>
      </c>
      <c r="R2586" t="s">
        <v>47799</v>
      </c>
    </row>
    <row r="2587" spans="1:18" x14ac:dyDescent="0.35">
      <c r="A2587" t="s">
        <v>14405</v>
      </c>
      <c r="D2587" t="s">
        <v>1953</v>
      </c>
      <c r="E2587" t="s">
        <v>43</v>
      </c>
      <c r="I2587" s="26">
        <v>38353</v>
      </c>
      <c r="J2587" s="28">
        <v>38353</v>
      </c>
      <c r="Q2587" t="s">
        <v>44683</v>
      </c>
      <c r="R2587" t="s">
        <v>47800</v>
      </c>
    </row>
    <row r="2588" spans="1:18" x14ac:dyDescent="0.35">
      <c r="A2588" t="s">
        <v>15873</v>
      </c>
      <c r="C2588" t="s">
        <v>47801</v>
      </c>
      <c r="D2588" t="s">
        <v>5877</v>
      </c>
      <c r="E2588" t="s">
        <v>43</v>
      </c>
      <c r="I2588" s="26">
        <v>38718</v>
      </c>
      <c r="J2588" s="28">
        <v>38718</v>
      </c>
      <c r="Q2588" t="s">
        <v>44683</v>
      </c>
      <c r="R2588" t="s">
        <v>47802</v>
      </c>
    </row>
    <row r="2589" spans="1:18" x14ac:dyDescent="0.35">
      <c r="A2589" t="s">
        <v>47803</v>
      </c>
      <c r="C2589" t="s">
        <v>47804</v>
      </c>
      <c r="D2589" t="s">
        <v>5730</v>
      </c>
      <c r="E2589" t="s">
        <v>43</v>
      </c>
      <c r="I2589" s="26">
        <v>37987</v>
      </c>
      <c r="J2589" s="28">
        <v>37987</v>
      </c>
      <c r="Q2589" t="s">
        <v>44683</v>
      </c>
      <c r="R2589" t="s">
        <v>47805</v>
      </c>
    </row>
    <row r="2590" spans="1:18" x14ac:dyDescent="0.35">
      <c r="A2590" t="s">
        <v>15876</v>
      </c>
      <c r="C2590" t="s">
        <v>47310</v>
      </c>
      <c r="D2590" t="s">
        <v>5877</v>
      </c>
      <c r="E2590" t="s">
        <v>43</v>
      </c>
      <c r="I2590" s="26">
        <v>38718</v>
      </c>
      <c r="J2590" s="28">
        <v>38718</v>
      </c>
      <c r="Q2590" t="s">
        <v>44683</v>
      </c>
      <c r="R2590" t="s">
        <v>47806</v>
      </c>
    </row>
    <row r="2591" spans="1:18" x14ac:dyDescent="0.35">
      <c r="A2591" t="s">
        <v>15179</v>
      </c>
      <c r="D2591" t="s">
        <v>5184</v>
      </c>
      <c r="E2591" t="s">
        <v>43</v>
      </c>
      <c r="I2591" s="26">
        <v>38718</v>
      </c>
      <c r="J2591" s="28">
        <v>38718</v>
      </c>
      <c r="Q2591" t="s">
        <v>44683</v>
      </c>
      <c r="R2591" t="s">
        <v>47807</v>
      </c>
    </row>
    <row r="2592" spans="1:18" x14ac:dyDescent="0.35">
      <c r="A2592" t="s">
        <v>15901</v>
      </c>
      <c r="C2592" t="s">
        <v>47808</v>
      </c>
      <c r="D2592" t="s">
        <v>5877</v>
      </c>
      <c r="E2592" t="s">
        <v>43</v>
      </c>
      <c r="I2592" s="26">
        <v>38353</v>
      </c>
      <c r="J2592" s="28">
        <v>38353</v>
      </c>
      <c r="Q2592" t="s">
        <v>44683</v>
      </c>
      <c r="R2592" t="s">
        <v>47809</v>
      </c>
    </row>
    <row r="2593" spans="1:18" x14ac:dyDescent="0.35">
      <c r="A2593" t="s">
        <v>15902</v>
      </c>
      <c r="C2593" t="s">
        <v>26765</v>
      </c>
      <c r="D2593" t="s">
        <v>5877</v>
      </c>
      <c r="E2593" t="s">
        <v>43</v>
      </c>
      <c r="I2593" s="26">
        <v>38353</v>
      </c>
      <c r="J2593" s="28">
        <v>38353</v>
      </c>
      <c r="Q2593" t="s">
        <v>44683</v>
      </c>
      <c r="R2593" t="s">
        <v>47810</v>
      </c>
    </row>
    <row r="2594" spans="1:18" x14ac:dyDescent="0.35">
      <c r="A2594" t="s">
        <v>47811</v>
      </c>
      <c r="C2594" t="s">
        <v>47682</v>
      </c>
      <c r="D2594" t="s">
        <v>25371</v>
      </c>
      <c r="E2594" t="s">
        <v>43</v>
      </c>
      <c r="I2594" s="26">
        <v>38353</v>
      </c>
      <c r="J2594" s="28">
        <v>38353</v>
      </c>
      <c r="Q2594" t="s">
        <v>44683</v>
      </c>
      <c r="R2594" t="s">
        <v>47812</v>
      </c>
    </row>
    <row r="2595" spans="1:18" x14ac:dyDescent="0.35">
      <c r="A2595" t="s">
        <v>16453</v>
      </c>
      <c r="C2595" t="s">
        <v>47423</v>
      </c>
      <c r="D2595" t="s">
        <v>7245</v>
      </c>
      <c r="E2595" t="s">
        <v>43</v>
      </c>
      <c r="I2595" s="26">
        <v>38353</v>
      </c>
      <c r="J2595" s="28">
        <v>38353</v>
      </c>
      <c r="Q2595" t="s">
        <v>44683</v>
      </c>
      <c r="R2595" t="s">
        <v>47813</v>
      </c>
    </row>
    <row r="2596" spans="1:18" x14ac:dyDescent="0.35">
      <c r="A2596" t="s">
        <v>15119</v>
      </c>
      <c r="D2596" t="s">
        <v>4998</v>
      </c>
      <c r="E2596" t="s">
        <v>43</v>
      </c>
      <c r="I2596" s="26">
        <v>38353</v>
      </c>
      <c r="J2596" s="28">
        <v>38353</v>
      </c>
      <c r="Q2596" t="s">
        <v>44683</v>
      </c>
      <c r="R2596" t="s">
        <v>47814</v>
      </c>
    </row>
    <row r="2597" spans="1:18" x14ac:dyDescent="0.35">
      <c r="A2597" t="s">
        <v>47815</v>
      </c>
      <c r="C2597" t="s">
        <v>47682</v>
      </c>
      <c r="D2597" t="s">
        <v>25371</v>
      </c>
      <c r="E2597" t="s">
        <v>43</v>
      </c>
      <c r="I2597" s="26">
        <v>38353</v>
      </c>
      <c r="J2597" s="28">
        <v>38353</v>
      </c>
      <c r="Q2597" t="s">
        <v>44683</v>
      </c>
      <c r="R2597" t="s">
        <v>47816</v>
      </c>
    </row>
    <row r="2598" spans="1:18" x14ac:dyDescent="0.35">
      <c r="A2598" t="s">
        <v>15904</v>
      </c>
      <c r="C2598" t="s">
        <v>47817</v>
      </c>
      <c r="D2598" t="s">
        <v>5877</v>
      </c>
      <c r="E2598" t="s">
        <v>43</v>
      </c>
      <c r="I2598" s="26">
        <v>38353</v>
      </c>
      <c r="J2598" s="28">
        <v>38353</v>
      </c>
      <c r="Q2598" t="s">
        <v>44683</v>
      </c>
      <c r="R2598" t="s">
        <v>47818</v>
      </c>
    </row>
    <row r="2599" spans="1:18" x14ac:dyDescent="0.35">
      <c r="A2599" t="s">
        <v>16380</v>
      </c>
      <c r="C2599" t="s">
        <v>47819</v>
      </c>
      <c r="D2599" t="s">
        <v>7160</v>
      </c>
      <c r="E2599" t="s">
        <v>43</v>
      </c>
      <c r="I2599" s="26">
        <v>38718</v>
      </c>
      <c r="J2599" s="28">
        <v>38718</v>
      </c>
      <c r="Q2599" t="s">
        <v>44683</v>
      </c>
      <c r="R2599" t="s">
        <v>47820</v>
      </c>
    </row>
    <row r="2600" spans="1:18" x14ac:dyDescent="0.35">
      <c r="A2600" t="s">
        <v>16314</v>
      </c>
      <c r="D2600" t="s">
        <v>7144</v>
      </c>
      <c r="E2600" t="s">
        <v>43</v>
      </c>
      <c r="I2600" s="26">
        <v>38718</v>
      </c>
      <c r="J2600" s="28">
        <v>38718</v>
      </c>
      <c r="Q2600" t="s">
        <v>44683</v>
      </c>
      <c r="R2600" t="s">
        <v>47821</v>
      </c>
    </row>
    <row r="2601" spans="1:18" x14ac:dyDescent="0.35">
      <c r="A2601" t="s">
        <v>15181</v>
      </c>
      <c r="D2601" t="s">
        <v>5184</v>
      </c>
      <c r="E2601" t="s">
        <v>43</v>
      </c>
      <c r="I2601" s="26">
        <v>38353</v>
      </c>
      <c r="J2601" s="28">
        <v>38353</v>
      </c>
      <c r="Q2601" t="s">
        <v>44683</v>
      </c>
      <c r="R2601" t="s">
        <v>47822</v>
      </c>
    </row>
    <row r="2602" spans="1:18" x14ac:dyDescent="0.35">
      <c r="A2602" t="s">
        <v>14254</v>
      </c>
      <c r="C2602" t="s">
        <v>47007</v>
      </c>
      <c r="D2602" t="s">
        <v>1373</v>
      </c>
      <c r="E2602" t="s">
        <v>43</v>
      </c>
      <c r="I2602" s="26">
        <v>37622</v>
      </c>
      <c r="J2602" s="28">
        <v>37622</v>
      </c>
      <c r="Q2602" t="s">
        <v>44683</v>
      </c>
      <c r="R2602" t="s">
        <v>47823</v>
      </c>
    </row>
    <row r="2603" spans="1:18" x14ac:dyDescent="0.35">
      <c r="A2603" t="s">
        <v>15906</v>
      </c>
      <c r="C2603" t="s">
        <v>47824</v>
      </c>
      <c r="D2603" t="s">
        <v>5877</v>
      </c>
      <c r="E2603" t="s">
        <v>43</v>
      </c>
      <c r="I2603" s="26">
        <v>37257</v>
      </c>
      <c r="J2603" s="28">
        <v>37257</v>
      </c>
      <c r="Q2603" t="s">
        <v>44683</v>
      </c>
      <c r="R2603" t="s">
        <v>47825</v>
      </c>
    </row>
    <row r="2604" spans="1:18" x14ac:dyDescent="0.35">
      <c r="A2604" t="s">
        <v>16423</v>
      </c>
      <c r="C2604" t="s">
        <v>47826</v>
      </c>
      <c r="D2604" t="s">
        <v>7244</v>
      </c>
      <c r="E2604" t="s">
        <v>43</v>
      </c>
      <c r="I2604" s="26">
        <v>37622</v>
      </c>
      <c r="J2604" s="28">
        <v>37622</v>
      </c>
      <c r="Q2604" t="s">
        <v>44683</v>
      </c>
      <c r="R2604" t="s">
        <v>47827</v>
      </c>
    </row>
    <row r="2605" spans="1:18" x14ac:dyDescent="0.35">
      <c r="A2605" t="s">
        <v>16424</v>
      </c>
      <c r="C2605" t="s">
        <v>47826</v>
      </c>
      <c r="D2605" t="s">
        <v>7244</v>
      </c>
      <c r="E2605" t="s">
        <v>43</v>
      </c>
      <c r="I2605" s="26">
        <v>37622</v>
      </c>
      <c r="J2605" s="28">
        <v>37622</v>
      </c>
      <c r="Q2605" t="s">
        <v>44683</v>
      </c>
      <c r="R2605" t="s">
        <v>47828</v>
      </c>
    </row>
    <row r="2606" spans="1:18" x14ac:dyDescent="0.35">
      <c r="A2606" t="s">
        <v>15878</v>
      </c>
      <c r="C2606" t="s">
        <v>47829</v>
      </c>
      <c r="D2606" t="s">
        <v>5877</v>
      </c>
      <c r="E2606" t="s">
        <v>43</v>
      </c>
      <c r="I2606" s="26">
        <v>37987</v>
      </c>
      <c r="J2606" s="28">
        <v>37987</v>
      </c>
      <c r="Q2606" t="s">
        <v>44683</v>
      </c>
      <c r="R2606" t="s">
        <v>47830</v>
      </c>
    </row>
    <row r="2607" spans="1:18" x14ac:dyDescent="0.35">
      <c r="A2607" t="s">
        <v>14501</v>
      </c>
      <c r="D2607" t="s">
        <v>2088</v>
      </c>
      <c r="E2607" t="s">
        <v>43</v>
      </c>
      <c r="I2607" s="26">
        <v>37622</v>
      </c>
      <c r="J2607" s="28">
        <v>37622</v>
      </c>
      <c r="Q2607" t="s">
        <v>44683</v>
      </c>
      <c r="R2607" t="s">
        <v>47831</v>
      </c>
    </row>
    <row r="2608" spans="1:18" x14ac:dyDescent="0.35">
      <c r="A2608" t="s">
        <v>15879</v>
      </c>
      <c r="C2608" t="s">
        <v>47832</v>
      </c>
      <c r="D2608" t="s">
        <v>5877</v>
      </c>
      <c r="E2608" t="s">
        <v>43</v>
      </c>
      <c r="I2608" s="26">
        <v>37987</v>
      </c>
      <c r="J2608" s="28">
        <v>37987</v>
      </c>
      <c r="Q2608" t="s">
        <v>44683</v>
      </c>
      <c r="R2608" t="s">
        <v>47833</v>
      </c>
    </row>
    <row r="2609" spans="1:18" x14ac:dyDescent="0.35">
      <c r="A2609" t="s">
        <v>14502</v>
      </c>
      <c r="D2609" t="s">
        <v>2088</v>
      </c>
      <c r="E2609" t="s">
        <v>43</v>
      </c>
      <c r="I2609" s="26">
        <v>37257</v>
      </c>
      <c r="J2609" s="28">
        <v>37257</v>
      </c>
      <c r="Q2609" t="s">
        <v>44683</v>
      </c>
      <c r="R2609" t="s">
        <v>47834</v>
      </c>
    </row>
    <row r="2610" spans="1:18" x14ac:dyDescent="0.35">
      <c r="A2610" t="s">
        <v>15137</v>
      </c>
      <c r="C2610" t="s">
        <v>47835</v>
      </c>
      <c r="D2610" t="s">
        <v>5106</v>
      </c>
      <c r="E2610" t="s">
        <v>43</v>
      </c>
      <c r="I2610" s="26">
        <v>37257</v>
      </c>
      <c r="J2610" s="28">
        <v>37257</v>
      </c>
      <c r="Q2610" t="s">
        <v>44683</v>
      </c>
      <c r="R2610" t="s">
        <v>47836</v>
      </c>
    </row>
    <row r="2611" spans="1:18" x14ac:dyDescent="0.35">
      <c r="A2611" t="s">
        <v>15120</v>
      </c>
      <c r="D2611" t="s">
        <v>4998</v>
      </c>
      <c r="E2611" t="s">
        <v>43</v>
      </c>
      <c r="I2611" s="26">
        <v>37622</v>
      </c>
      <c r="J2611" s="28">
        <v>37622</v>
      </c>
      <c r="Q2611" t="s">
        <v>44683</v>
      </c>
      <c r="R2611" t="s">
        <v>47837</v>
      </c>
    </row>
    <row r="2612" spans="1:18" x14ac:dyDescent="0.35">
      <c r="A2612" t="s">
        <v>15342</v>
      </c>
      <c r="C2612" t="s">
        <v>47838</v>
      </c>
      <c r="D2612" t="s">
        <v>5366</v>
      </c>
      <c r="E2612" t="s">
        <v>43</v>
      </c>
      <c r="I2612" s="26">
        <v>37987</v>
      </c>
      <c r="J2612" s="28">
        <v>37987</v>
      </c>
      <c r="Q2612" t="s">
        <v>44683</v>
      </c>
      <c r="R2612" t="s">
        <v>47839</v>
      </c>
    </row>
    <row r="2613" spans="1:18" x14ac:dyDescent="0.35">
      <c r="A2613" t="s">
        <v>15289</v>
      </c>
      <c r="D2613" t="s">
        <v>5325</v>
      </c>
      <c r="E2613" t="s">
        <v>43</v>
      </c>
      <c r="I2613" s="26">
        <v>37987</v>
      </c>
      <c r="J2613" s="28">
        <v>37987</v>
      </c>
      <c r="Q2613" t="s">
        <v>44683</v>
      </c>
      <c r="R2613" t="s">
        <v>47840</v>
      </c>
    </row>
    <row r="2614" spans="1:18" x14ac:dyDescent="0.35">
      <c r="A2614" t="s">
        <v>14335</v>
      </c>
      <c r="C2614" t="s">
        <v>47841</v>
      </c>
      <c r="D2614" t="s">
        <v>1781</v>
      </c>
      <c r="E2614" t="s">
        <v>43</v>
      </c>
      <c r="I2614" s="26">
        <v>37622</v>
      </c>
      <c r="J2614" s="28">
        <v>37622</v>
      </c>
      <c r="Q2614" t="s">
        <v>44683</v>
      </c>
      <c r="R2614" t="s">
        <v>47842</v>
      </c>
    </row>
    <row r="2615" spans="1:18" x14ac:dyDescent="0.35">
      <c r="A2615" t="s">
        <v>15627</v>
      </c>
      <c r="D2615" t="s">
        <v>5912</v>
      </c>
      <c r="E2615" t="s">
        <v>43</v>
      </c>
      <c r="I2615" s="26">
        <v>37987</v>
      </c>
      <c r="J2615" s="28">
        <v>37987</v>
      </c>
      <c r="Q2615" t="s">
        <v>44683</v>
      </c>
      <c r="R2615" t="s">
        <v>47843</v>
      </c>
    </row>
    <row r="2616" spans="1:18" x14ac:dyDescent="0.35">
      <c r="A2616" t="s">
        <v>16315</v>
      </c>
      <c r="D2616" t="s">
        <v>7144</v>
      </c>
      <c r="E2616" t="s">
        <v>43</v>
      </c>
      <c r="I2616" s="26">
        <v>37987</v>
      </c>
      <c r="J2616" s="28">
        <v>37987</v>
      </c>
      <c r="Q2616" t="s">
        <v>44683</v>
      </c>
      <c r="R2616" t="s">
        <v>47844</v>
      </c>
    </row>
    <row r="2617" spans="1:18" x14ac:dyDescent="0.35">
      <c r="A2617" t="s">
        <v>15880</v>
      </c>
      <c r="C2617" t="s">
        <v>47845</v>
      </c>
      <c r="D2617" t="s">
        <v>5877</v>
      </c>
      <c r="E2617" t="s">
        <v>43</v>
      </c>
      <c r="I2617" s="26">
        <v>37987</v>
      </c>
      <c r="J2617" s="28">
        <v>37987</v>
      </c>
      <c r="Q2617" t="s">
        <v>44683</v>
      </c>
      <c r="R2617" t="s">
        <v>47846</v>
      </c>
    </row>
    <row r="2618" spans="1:18" x14ac:dyDescent="0.35">
      <c r="A2618" t="s">
        <v>16300</v>
      </c>
      <c r="C2618" t="s">
        <v>47847</v>
      </c>
      <c r="D2618" t="s">
        <v>5300</v>
      </c>
      <c r="E2618" t="s">
        <v>43</v>
      </c>
      <c r="I2618" s="26">
        <v>37622</v>
      </c>
      <c r="J2618" s="28">
        <v>37622</v>
      </c>
      <c r="Q2618" t="s">
        <v>44683</v>
      </c>
      <c r="R2618" t="s">
        <v>47848</v>
      </c>
    </row>
    <row r="2619" spans="1:18" x14ac:dyDescent="0.35">
      <c r="A2619" t="s">
        <v>14493</v>
      </c>
      <c r="D2619" t="s">
        <v>2088</v>
      </c>
      <c r="E2619" t="s">
        <v>43</v>
      </c>
      <c r="I2619" s="26">
        <v>37622</v>
      </c>
      <c r="J2619" s="28">
        <v>37622</v>
      </c>
      <c r="Q2619" t="s">
        <v>44683</v>
      </c>
      <c r="R2619" t="s">
        <v>47849</v>
      </c>
    </row>
    <row r="2620" spans="1:18" x14ac:dyDescent="0.35">
      <c r="A2620" t="s">
        <v>15909</v>
      </c>
      <c r="C2620" t="s">
        <v>47850</v>
      </c>
      <c r="D2620" t="s">
        <v>5877</v>
      </c>
      <c r="E2620" t="s">
        <v>43</v>
      </c>
      <c r="I2620" s="26">
        <v>37257</v>
      </c>
      <c r="J2620" s="28">
        <v>37257</v>
      </c>
      <c r="Q2620" t="s">
        <v>44683</v>
      </c>
      <c r="R2620" t="s">
        <v>47851</v>
      </c>
    </row>
    <row r="2621" spans="1:18" x14ac:dyDescent="0.35">
      <c r="A2621" t="s">
        <v>15883</v>
      </c>
      <c r="C2621" t="s">
        <v>47841</v>
      </c>
      <c r="D2621" t="s">
        <v>5877</v>
      </c>
      <c r="E2621" t="s">
        <v>43</v>
      </c>
      <c r="I2621" s="26">
        <v>37987</v>
      </c>
      <c r="J2621" s="28">
        <v>37987</v>
      </c>
      <c r="Q2621" t="s">
        <v>44683</v>
      </c>
      <c r="R2621" t="s">
        <v>47852</v>
      </c>
    </row>
    <row r="2622" spans="1:18" x14ac:dyDescent="0.35">
      <c r="A2622" t="s">
        <v>14494</v>
      </c>
      <c r="D2622" t="s">
        <v>2088</v>
      </c>
      <c r="E2622" t="s">
        <v>43</v>
      </c>
      <c r="I2622" s="26">
        <v>37987</v>
      </c>
      <c r="J2622" s="28">
        <v>37987</v>
      </c>
      <c r="Q2622" t="s">
        <v>44683</v>
      </c>
      <c r="R2622" t="s">
        <v>47853</v>
      </c>
    </row>
    <row r="2623" spans="1:18" x14ac:dyDescent="0.35">
      <c r="A2623" t="s">
        <v>15884</v>
      </c>
      <c r="C2623" t="s">
        <v>47854</v>
      </c>
      <c r="D2623" t="s">
        <v>5877</v>
      </c>
      <c r="E2623" t="s">
        <v>43</v>
      </c>
      <c r="I2623" s="26">
        <v>37987</v>
      </c>
      <c r="J2623" s="28">
        <v>37987</v>
      </c>
      <c r="Q2623" t="s">
        <v>44683</v>
      </c>
      <c r="R2623" t="s">
        <v>47855</v>
      </c>
    </row>
    <row r="2624" spans="1:18" x14ac:dyDescent="0.35">
      <c r="A2624" t="s">
        <v>14503</v>
      </c>
      <c r="D2624" t="s">
        <v>2088</v>
      </c>
      <c r="E2624" t="s">
        <v>43</v>
      </c>
      <c r="I2624" s="26">
        <v>37622</v>
      </c>
      <c r="J2624" s="28">
        <v>37622</v>
      </c>
      <c r="Q2624" t="s">
        <v>44683</v>
      </c>
      <c r="R2624" t="s">
        <v>47856</v>
      </c>
    </row>
    <row r="2625" spans="1:18" x14ac:dyDescent="0.35">
      <c r="A2625" t="s">
        <v>15910</v>
      </c>
      <c r="C2625" t="s">
        <v>47541</v>
      </c>
      <c r="D2625" t="s">
        <v>5877</v>
      </c>
      <c r="E2625" t="s">
        <v>43</v>
      </c>
      <c r="I2625" s="26">
        <v>37257</v>
      </c>
      <c r="J2625" s="28">
        <v>37257</v>
      </c>
      <c r="Q2625" t="s">
        <v>44683</v>
      </c>
      <c r="R2625" t="s">
        <v>47857</v>
      </c>
    </row>
    <row r="2626" spans="1:18" x14ac:dyDescent="0.35">
      <c r="A2626" t="s">
        <v>14058</v>
      </c>
      <c r="C2626" t="s">
        <v>47858</v>
      </c>
      <c r="D2626" t="s">
        <v>386</v>
      </c>
      <c r="E2626" t="s">
        <v>43</v>
      </c>
      <c r="I2626" s="26">
        <v>37987</v>
      </c>
      <c r="J2626" s="28">
        <v>37987</v>
      </c>
      <c r="Q2626" t="s">
        <v>44683</v>
      </c>
      <c r="R2626" t="s">
        <v>47859</v>
      </c>
    </row>
    <row r="2627" spans="1:18" x14ac:dyDescent="0.35">
      <c r="A2627" t="s">
        <v>15636</v>
      </c>
      <c r="D2627" t="s">
        <v>5876</v>
      </c>
      <c r="E2627" t="s">
        <v>43</v>
      </c>
      <c r="I2627" s="26">
        <v>37987</v>
      </c>
      <c r="J2627" s="28">
        <v>37987</v>
      </c>
      <c r="Q2627" t="s">
        <v>44683</v>
      </c>
      <c r="R2627" t="s">
        <v>47860</v>
      </c>
    </row>
    <row r="2628" spans="1:18" x14ac:dyDescent="0.35">
      <c r="A2628" t="s">
        <v>47861</v>
      </c>
      <c r="D2628" t="s">
        <v>1953</v>
      </c>
      <c r="E2628" t="s">
        <v>43</v>
      </c>
      <c r="I2628" s="26">
        <v>37987</v>
      </c>
      <c r="J2628" s="28">
        <v>37987</v>
      </c>
      <c r="Q2628" t="s">
        <v>44683</v>
      </c>
      <c r="R2628" t="s">
        <v>47862</v>
      </c>
    </row>
    <row r="2629" spans="1:18" x14ac:dyDescent="0.35">
      <c r="A2629" t="s">
        <v>16316</v>
      </c>
      <c r="D2629" t="s">
        <v>7144</v>
      </c>
      <c r="E2629" t="s">
        <v>43</v>
      </c>
      <c r="I2629" s="26">
        <v>37622</v>
      </c>
      <c r="J2629" s="28">
        <v>37622</v>
      </c>
      <c r="Q2629" t="s">
        <v>44683</v>
      </c>
      <c r="R2629" t="s">
        <v>47863</v>
      </c>
    </row>
    <row r="2630" spans="1:18" x14ac:dyDescent="0.35">
      <c r="A2630" t="s">
        <v>15182</v>
      </c>
      <c r="D2630" t="s">
        <v>5184</v>
      </c>
      <c r="E2630" t="s">
        <v>43</v>
      </c>
      <c r="I2630" s="26">
        <v>37622</v>
      </c>
      <c r="J2630" s="28">
        <v>37622</v>
      </c>
      <c r="Q2630" t="s">
        <v>14474</v>
      </c>
      <c r="R2630" t="s">
        <v>47864</v>
      </c>
    </row>
    <row r="2631" spans="1:18" x14ac:dyDescent="0.35">
      <c r="A2631" t="s">
        <v>16452</v>
      </c>
      <c r="C2631" t="s">
        <v>47423</v>
      </c>
      <c r="D2631" t="s">
        <v>7245</v>
      </c>
      <c r="E2631" t="s">
        <v>43</v>
      </c>
      <c r="I2631" s="26">
        <v>37987</v>
      </c>
      <c r="J2631" s="28">
        <v>37987</v>
      </c>
      <c r="Q2631" t="s">
        <v>44683</v>
      </c>
      <c r="R2631" t="s">
        <v>47865</v>
      </c>
    </row>
    <row r="2632" spans="1:18" x14ac:dyDescent="0.35">
      <c r="A2632" t="s">
        <v>14504</v>
      </c>
      <c r="C2632" t="s">
        <v>47616</v>
      </c>
      <c r="D2632" t="s">
        <v>2088</v>
      </c>
      <c r="E2632" t="s">
        <v>43</v>
      </c>
      <c r="I2632" s="26">
        <v>37622</v>
      </c>
      <c r="J2632" s="28">
        <v>37622</v>
      </c>
      <c r="Q2632" t="s">
        <v>44683</v>
      </c>
      <c r="R2632" t="s">
        <v>47866</v>
      </c>
    </row>
    <row r="2633" spans="1:18" x14ac:dyDescent="0.35">
      <c r="A2633" t="s">
        <v>15115</v>
      </c>
      <c r="D2633" t="s">
        <v>4998</v>
      </c>
      <c r="E2633" t="s">
        <v>43</v>
      </c>
      <c r="I2633" s="26">
        <v>37987</v>
      </c>
      <c r="J2633" s="28">
        <v>37987</v>
      </c>
      <c r="Q2633" t="s">
        <v>44683</v>
      </c>
      <c r="R2633" t="s">
        <v>47867</v>
      </c>
    </row>
    <row r="2634" spans="1:18" x14ac:dyDescent="0.35">
      <c r="A2634" t="s">
        <v>14875</v>
      </c>
      <c r="C2634" t="s">
        <v>47868</v>
      </c>
      <c r="D2634" t="s">
        <v>2756</v>
      </c>
      <c r="E2634" t="s">
        <v>43</v>
      </c>
      <c r="I2634" s="26">
        <v>37257</v>
      </c>
      <c r="J2634" s="28">
        <v>37257</v>
      </c>
      <c r="Q2634" t="s">
        <v>44683</v>
      </c>
      <c r="R2634" t="s">
        <v>47869</v>
      </c>
    </row>
    <row r="2635" spans="1:18" x14ac:dyDescent="0.35">
      <c r="A2635" t="s">
        <v>14506</v>
      </c>
      <c r="C2635" t="s">
        <v>47870</v>
      </c>
      <c r="D2635" t="s">
        <v>2088</v>
      </c>
      <c r="E2635" t="s">
        <v>43</v>
      </c>
      <c r="I2635" s="26">
        <v>37257</v>
      </c>
      <c r="J2635" s="28">
        <v>37257</v>
      </c>
      <c r="Q2635" t="s">
        <v>44683</v>
      </c>
      <c r="R2635" t="s">
        <v>47871</v>
      </c>
    </row>
    <row r="2636" spans="1:18" x14ac:dyDescent="0.35">
      <c r="A2636" t="s">
        <v>14496</v>
      </c>
      <c r="C2636" t="s">
        <v>47872</v>
      </c>
      <c r="D2636" t="s">
        <v>2088</v>
      </c>
      <c r="E2636" t="s">
        <v>43</v>
      </c>
      <c r="I2636" s="26">
        <v>37987</v>
      </c>
      <c r="J2636" s="28">
        <v>37987</v>
      </c>
      <c r="Q2636" t="s">
        <v>44683</v>
      </c>
      <c r="R2636" t="s">
        <v>47873</v>
      </c>
    </row>
    <row r="2637" spans="1:18" x14ac:dyDescent="0.35">
      <c r="A2637" t="s">
        <v>15043</v>
      </c>
      <c r="C2637" t="s">
        <v>47874</v>
      </c>
      <c r="D2637" t="s">
        <v>3031</v>
      </c>
      <c r="E2637" t="s">
        <v>43</v>
      </c>
      <c r="I2637" s="26">
        <v>37987</v>
      </c>
      <c r="J2637" s="28">
        <v>37987</v>
      </c>
      <c r="Q2637" t="s">
        <v>44683</v>
      </c>
      <c r="R2637" t="s">
        <v>47875</v>
      </c>
    </row>
    <row r="2638" spans="1:18" x14ac:dyDescent="0.35">
      <c r="A2638" t="s">
        <v>14442</v>
      </c>
      <c r="C2638" t="s">
        <v>47841</v>
      </c>
      <c r="D2638" t="s">
        <v>2005</v>
      </c>
      <c r="E2638" t="s">
        <v>43</v>
      </c>
      <c r="I2638" s="26">
        <v>37987</v>
      </c>
      <c r="J2638" s="28">
        <v>37987</v>
      </c>
      <c r="Q2638" t="s">
        <v>44683</v>
      </c>
      <c r="R2638" t="s">
        <v>47876</v>
      </c>
    </row>
    <row r="2639" spans="1:18" x14ac:dyDescent="0.35">
      <c r="A2639" t="s">
        <v>15185</v>
      </c>
      <c r="D2639" t="s">
        <v>5184</v>
      </c>
      <c r="E2639" t="s">
        <v>43</v>
      </c>
      <c r="I2639" s="26">
        <v>37622</v>
      </c>
      <c r="J2639" s="28">
        <v>37622</v>
      </c>
      <c r="Q2639" t="s">
        <v>44683</v>
      </c>
      <c r="R2639" t="s">
        <v>47877</v>
      </c>
    </row>
    <row r="2640" spans="1:18" x14ac:dyDescent="0.35">
      <c r="A2640" t="s">
        <v>14443</v>
      </c>
      <c r="C2640" t="s">
        <v>47841</v>
      </c>
      <c r="D2640" t="s">
        <v>2005</v>
      </c>
      <c r="E2640" t="s">
        <v>43</v>
      </c>
      <c r="I2640" s="26">
        <v>37987</v>
      </c>
      <c r="J2640" s="28">
        <v>37987</v>
      </c>
      <c r="Q2640" t="s">
        <v>44683</v>
      </c>
      <c r="R2640" t="s">
        <v>47878</v>
      </c>
    </row>
    <row r="2641" spans="1:18" x14ac:dyDescent="0.35">
      <c r="A2641" t="s">
        <v>15911</v>
      </c>
      <c r="C2641" t="s">
        <v>47879</v>
      </c>
      <c r="D2641" t="s">
        <v>5877</v>
      </c>
      <c r="E2641" t="s">
        <v>43</v>
      </c>
      <c r="I2641" s="26">
        <v>37257</v>
      </c>
      <c r="J2641" s="28">
        <v>37257</v>
      </c>
      <c r="Q2641" t="s">
        <v>44683</v>
      </c>
      <c r="R2641" t="s">
        <v>47880</v>
      </c>
    </row>
    <row r="2642" spans="1:18" x14ac:dyDescent="0.35">
      <c r="A2642" t="s">
        <v>15290</v>
      </c>
      <c r="D2642" t="s">
        <v>5325</v>
      </c>
      <c r="E2642" t="s">
        <v>43</v>
      </c>
      <c r="I2642" s="26">
        <v>37987</v>
      </c>
      <c r="J2642" s="28">
        <v>37987</v>
      </c>
      <c r="Q2642" t="s">
        <v>44683</v>
      </c>
      <c r="R2642" t="s">
        <v>47881</v>
      </c>
    </row>
    <row r="2643" spans="1:18" x14ac:dyDescent="0.35">
      <c r="A2643" t="s">
        <v>15892</v>
      </c>
      <c r="C2643" t="s">
        <v>47882</v>
      </c>
      <c r="D2643" t="s">
        <v>5877</v>
      </c>
      <c r="E2643" t="s">
        <v>43</v>
      </c>
      <c r="I2643" s="26">
        <v>37987</v>
      </c>
      <c r="J2643" s="28">
        <v>37987</v>
      </c>
      <c r="Q2643" t="s">
        <v>44683</v>
      </c>
      <c r="R2643" t="s">
        <v>47883</v>
      </c>
    </row>
    <row r="2644" spans="1:18" x14ac:dyDescent="0.35">
      <c r="A2644" t="s">
        <v>14508</v>
      </c>
      <c r="C2644" t="s">
        <v>47884</v>
      </c>
      <c r="D2644" t="s">
        <v>2088</v>
      </c>
      <c r="E2644" t="s">
        <v>43</v>
      </c>
      <c r="I2644" s="26">
        <v>37257</v>
      </c>
      <c r="J2644" s="28">
        <v>37257</v>
      </c>
      <c r="Q2644" t="s">
        <v>44683</v>
      </c>
      <c r="R2644" t="s">
        <v>47885</v>
      </c>
    </row>
    <row r="2645" spans="1:18" x14ac:dyDescent="0.35">
      <c r="A2645" t="s">
        <v>14336</v>
      </c>
      <c r="C2645" t="s">
        <v>47841</v>
      </c>
      <c r="D2645" t="s">
        <v>1781</v>
      </c>
      <c r="E2645" t="s">
        <v>43</v>
      </c>
      <c r="I2645" s="26">
        <v>37622</v>
      </c>
      <c r="J2645" s="28">
        <v>37622</v>
      </c>
      <c r="Q2645" t="s">
        <v>44683</v>
      </c>
      <c r="R2645" t="s">
        <v>47886</v>
      </c>
    </row>
    <row r="2646" spans="1:18" x14ac:dyDescent="0.35">
      <c r="A2646" t="s">
        <v>15894</v>
      </c>
      <c r="C2646" t="s">
        <v>47887</v>
      </c>
      <c r="D2646" t="s">
        <v>5877</v>
      </c>
      <c r="E2646" t="s">
        <v>43</v>
      </c>
      <c r="I2646" s="26">
        <v>37987</v>
      </c>
      <c r="J2646" s="28">
        <v>37987</v>
      </c>
      <c r="Q2646" t="s">
        <v>44683</v>
      </c>
      <c r="R2646" t="s">
        <v>47888</v>
      </c>
    </row>
    <row r="2647" spans="1:18" x14ac:dyDescent="0.35">
      <c r="A2647" t="s">
        <v>16455</v>
      </c>
      <c r="C2647" t="s">
        <v>47423</v>
      </c>
      <c r="D2647" t="s">
        <v>7245</v>
      </c>
      <c r="E2647" t="s">
        <v>43</v>
      </c>
      <c r="I2647" s="26">
        <v>37257</v>
      </c>
      <c r="J2647" s="28">
        <v>37257</v>
      </c>
      <c r="Q2647" t="s">
        <v>44683</v>
      </c>
      <c r="R2647" t="s">
        <v>47889</v>
      </c>
    </row>
    <row r="2648" spans="1:18" x14ac:dyDescent="0.35">
      <c r="A2648" t="s">
        <v>15291</v>
      </c>
      <c r="D2648" t="s">
        <v>5325</v>
      </c>
      <c r="E2648" t="s">
        <v>43</v>
      </c>
      <c r="I2648" s="26">
        <v>37987</v>
      </c>
      <c r="J2648" s="28">
        <v>37987</v>
      </c>
      <c r="Q2648" t="s">
        <v>44683</v>
      </c>
      <c r="R2648" t="s">
        <v>47890</v>
      </c>
    </row>
    <row r="2649" spans="1:18" x14ac:dyDescent="0.35">
      <c r="A2649" t="s">
        <v>47891</v>
      </c>
      <c r="C2649" t="s">
        <v>47892</v>
      </c>
      <c r="D2649" t="s">
        <v>5730</v>
      </c>
      <c r="E2649" t="s">
        <v>43</v>
      </c>
      <c r="I2649" s="26">
        <v>37987</v>
      </c>
      <c r="J2649" s="28">
        <v>37987</v>
      </c>
      <c r="Q2649" t="s">
        <v>44683</v>
      </c>
      <c r="R2649" t="s">
        <v>47893</v>
      </c>
    </row>
    <row r="2650" spans="1:18" x14ac:dyDescent="0.35">
      <c r="A2650" t="s">
        <v>16408</v>
      </c>
      <c r="C2650" t="s">
        <v>47835</v>
      </c>
      <c r="D2650" t="s">
        <v>7219</v>
      </c>
      <c r="E2650" t="s">
        <v>43</v>
      </c>
      <c r="I2650" s="26">
        <v>37257</v>
      </c>
      <c r="J2650" s="28">
        <v>37257</v>
      </c>
      <c r="Q2650" t="s">
        <v>44683</v>
      </c>
      <c r="R2650" t="s">
        <v>47894</v>
      </c>
    </row>
    <row r="2651" spans="1:18" x14ac:dyDescent="0.35">
      <c r="A2651" t="s">
        <v>14497</v>
      </c>
      <c r="D2651" t="s">
        <v>2088</v>
      </c>
      <c r="E2651" t="s">
        <v>43</v>
      </c>
      <c r="I2651" s="26">
        <v>37987</v>
      </c>
      <c r="J2651" s="28">
        <v>37987</v>
      </c>
      <c r="Q2651" t="s">
        <v>44683</v>
      </c>
      <c r="R2651" t="s">
        <v>47895</v>
      </c>
    </row>
    <row r="2652" spans="1:18" x14ac:dyDescent="0.35">
      <c r="A2652" t="s">
        <v>14337</v>
      </c>
      <c r="C2652" t="s">
        <v>47841</v>
      </c>
      <c r="D2652" t="s">
        <v>1781</v>
      </c>
      <c r="E2652" t="s">
        <v>43</v>
      </c>
      <c r="I2652" s="26">
        <v>37622</v>
      </c>
      <c r="J2652" s="28">
        <v>37622</v>
      </c>
      <c r="Q2652" t="s">
        <v>44683</v>
      </c>
      <c r="R2652" t="s">
        <v>47896</v>
      </c>
    </row>
    <row r="2653" spans="1:18" x14ac:dyDescent="0.35">
      <c r="A2653" t="s">
        <v>15913</v>
      </c>
      <c r="C2653" t="s">
        <v>47897</v>
      </c>
      <c r="D2653" t="s">
        <v>5877</v>
      </c>
      <c r="E2653" t="s">
        <v>43</v>
      </c>
      <c r="I2653" s="26">
        <v>37257</v>
      </c>
      <c r="J2653" s="28">
        <v>37257</v>
      </c>
      <c r="Q2653" t="s">
        <v>44683</v>
      </c>
      <c r="R2653" t="s">
        <v>47898</v>
      </c>
    </row>
    <row r="2654" spans="1:18" x14ac:dyDescent="0.35">
      <c r="A2654" t="s">
        <v>14498</v>
      </c>
      <c r="D2654" t="s">
        <v>2088</v>
      </c>
      <c r="E2654" t="s">
        <v>43</v>
      </c>
      <c r="I2654" s="26">
        <v>37622</v>
      </c>
      <c r="J2654" s="28">
        <v>37622</v>
      </c>
      <c r="Q2654" t="s">
        <v>44683</v>
      </c>
      <c r="R2654" t="s">
        <v>47899</v>
      </c>
    </row>
    <row r="2655" spans="1:18" x14ac:dyDescent="0.35">
      <c r="A2655" t="s">
        <v>14255</v>
      </c>
      <c r="C2655" t="s">
        <v>47007</v>
      </c>
      <c r="D2655" t="s">
        <v>1373</v>
      </c>
      <c r="E2655" t="s">
        <v>43</v>
      </c>
      <c r="I2655" s="26">
        <v>37622</v>
      </c>
      <c r="J2655" s="28">
        <v>37622</v>
      </c>
      <c r="Q2655" t="s">
        <v>44683</v>
      </c>
      <c r="R2655" t="s">
        <v>47900</v>
      </c>
    </row>
    <row r="2656" spans="1:18" x14ac:dyDescent="0.35">
      <c r="A2656" t="s">
        <v>15914</v>
      </c>
      <c r="C2656" t="s">
        <v>47901</v>
      </c>
      <c r="D2656" t="s">
        <v>5877</v>
      </c>
      <c r="E2656" t="s">
        <v>43</v>
      </c>
      <c r="I2656" s="26">
        <v>37257</v>
      </c>
      <c r="J2656" s="28">
        <v>37257</v>
      </c>
      <c r="Q2656" t="s">
        <v>44683</v>
      </c>
      <c r="R2656" t="s">
        <v>47902</v>
      </c>
    </row>
    <row r="2657" spans="1:18" x14ac:dyDescent="0.35">
      <c r="A2657" t="s">
        <v>15186</v>
      </c>
      <c r="D2657" t="s">
        <v>5184</v>
      </c>
      <c r="E2657" t="s">
        <v>43</v>
      </c>
      <c r="I2657" s="26">
        <v>37622</v>
      </c>
      <c r="J2657" s="28">
        <v>37622</v>
      </c>
      <c r="Q2657" t="s">
        <v>44683</v>
      </c>
      <c r="R2657" t="s">
        <v>47903</v>
      </c>
    </row>
    <row r="2658" spans="1:18" x14ac:dyDescent="0.35">
      <c r="A2658" t="s">
        <v>14444</v>
      </c>
      <c r="C2658" t="s">
        <v>47841</v>
      </c>
      <c r="D2658" t="s">
        <v>2005</v>
      </c>
      <c r="E2658" t="s">
        <v>43</v>
      </c>
      <c r="I2658" s="26">
        <v>37987</v>
      </c>
      <c r="J2658" s="28">
        <v>37987</v>
      </c>
      <c r="Q2658" t="s">
        <v>44683</v>
      </c>
      <c r="R2658" t="s">
        <v>47904</v>
      </c>
    </row>
    <row r="2659" spans="1:18" x14ac:dyDescent="0.35">
      <c r="A2659" t="s">
        <v>14499</v>
      </c>
      <c r="D2659" t="s">
        <v>2088</v>
      </c>
      <c r="E2659" t="s">
        <v>43</v>
      </c>
      <c r="I2659" s="26">
        <v>37622</v>
      </c>
      <c r="J2659" s="28">
        <v>37622</v>
      </c>
      <c r="Q2659" t="s">
        <v>44683</v>
      </c>
      <c r="R2659" t="s">
        <v>47905</v>
      </c>
    </row>
    <row r="2660" spans="1:18" x14ac:dyDescent="0.35">
      <c r="A2660" t="s">
        <v>14338</v>
      </c>
      <c r="C2660" t="s">
        <v>47841</v>
      </c>
      <c r="D2660" t="s">
        <v>1781</v>
      </c>
      <c r="E2660" t="s">
        <v>43</v>
      </c>
      <c r="I2660" s="26">
        <v>37622</v>
      </c>
      <c r="J2660" s="28">
        <v>37622</v>
      </c>
      <c r="Q2660" t="s">
        <v>44683</v>
      </c>
      <c r="R2660" t="s">
        <v>47906</v>
      </c>
    </row>
    <row r="2661" spans="1:18" x14ac:dyDescent="0.35">
      <c r="A2661" t="s">
        <v>15915</v>
      </c>
      <c r="C2661" t="s">
        <v>47907</v>
      </c>
      <c r="D2661" t="s">
        <v>5877</v>
      </c>
      <c r="E2661" t="s">
        <v>43</v>
      </c>
      <c r="I2661" s="26">
        <v>37257</v>
      </c>
      <c r="J2661" s="28">
        <v>37257</v>
      </c>
      <c r="Q2661" t="s">
        <v>44683</v>
      </c>
      <c r="R2661" t="s">
        <v>47908</v>
      </c>
    </row>
    <row r="2662" spans="1:18" x14ac:dyDescent="0.35">
      <c r="A2662" t="s">
        <v>15916</v>
      </c>
      <c r="C2662" t="s">
        <v>47909</v>
      </c>
      <c r="D2662" t="s">
        <v>5877</v>
      </c>
      <c r="E2662" t="s">
        <v>43</v>
      </c>
      <c r="I2662" s="26">
        <v>37257</v>
      </c>
      <c r="J2662" s="28">
        <v>37257</v>
      </c>
      <c r="Q2662" t="s">
        <v>44683</v>
      </c>
      <c r="R2662" t="s">
        <v>47910</v>
      </c>
    </row>
    <row r="2663" spans="1:18" x14ac:dyDescent="0.35">
      <c r="A2663" t="s">
        <v>14404</v>
      </c>
      <c r="D2663" t="s">
        <v>1953</v>
      </c>
      <c r="E2663" t="s">
        <v>43</v>
      </c>
      <c r="I2663" s="26">
        <v>37622</v>
      </c>
      <c r="J2663" s="28">
        <v>37622</v>
      </c>
      <c r="Q2663" t="s">
        <v>44683</v>
      </c>
      <c r="R2663" t="s">
        <v>47911</v>
      </c>
    </row>
    <row r="2664" spans="1:18" x14ac:dyDescent="0.35">
      <c r="A2664" t="s">
        <v>14874</v>
      </c>
      <c r="D2664" t="s">
        <v>2756</v>
      </c>
      <c r="E2664" t="s">
        <v>43</v>
      </c>
      <c r="I2664" s="26">
        <v>37622</v>
      </c>
      <c r="J2664" s="28">
        <v>37622</v>
      </c>
      <c r="Q2664" t="s">
        <v>44683</v>
      </c>
      <c r="R2664" t="s">
        <v>47912</v>
      </c>
    </row>
    <row r="2665" spans="1:18" x14ac:dyDescent="0.35">
      <c r="A2665" t="s">
        <v>14792</v>
      </c>
      <c r="C2665" t="s">
        <v>46930</v>
      </c>
      <c r="D2665" t="s">
        <v>2462</v>
      </c>
      <c r="E2665" t="s">
        <v>43</v>
      </c>
      <c r="I2665" s="26">
        <v>37622</v>
      </c>
      <c r="J2665" s="28">
        <v>37622</v>
      </c>
      <c r="Q2665" t="s">
        <v>44683</v>
      </c>
      <c r="R2665" t="s">
        <v>47913</v>
      </c>
    </row>
    <row r="2666" spans="1:18" x14ac:dyDescent="0.35">
      <c r="A2666" t="s">
        <v>16645</v>
      </c>
      <c r="C2666" t="s">
        <v>47914</v>
      </c>
      <c r="D2666" t="s">
        <v>7401</v>
      </c>
      <c r="E2666" t="s">
        <v>43</v>
      </c>
      <c r="I2666" s="26">
        <v>37622</v>
      </c>
      <c r="J2666" s="28">
        <v>37622</v>
      </c>
      <c r="Q2666" t="s">
        <v>44683</v>
      </c>
      <c r="R2666" t="s">
        <v>47915</v>
      </c>
    </row>
    <row r="2667" spans="1:18" x14ac:dyDescent="0.35">
      <c r="A2667" t="s">
        <v>15917</v>
      </c>
      <c r="C2667" t="s">
        <v>47916</v>
      </c>
      <c r="D2667" t="s">
        <v>5877</v>
      </c>
      <c r="E2667" t="s">
        <v>43</v>
      </c>
      <c r="I2667" s="26">
        <v>37257</v>
      </c>
      <c r="J2667" s="28">
        <v>37257</v>
      </c>
      <c r="Q2667" t="s">
        <v>44683</v>
      </c>
      <c r="R2667" t="s">
        <v>47917</v>
      </c>
    </row>
    <row r="2668" spans="1:18" x14ac:dyDescent="0.35">
      <c r="A2668" t="s">
        <v>15466</v>
      </c>
      <c r="D2668" t="s">
        <v>5725</v>
      </c>
      <c r="E2668" t="s">
        <v>43</v>
      </c>
      <c r="I2668" s="26">
        <v>37257</v>
      </c>
      <c r="J2668" s="28">
        <v>37257</v>
      </c>
      <c r="Q2668" t="s">
        <v>44683</v>
      </c>
      <c r="R2668" t="s">
        <v>47918</v>
      </c>
    </row>
    <row r="2669" spans="1:18" x14ac:dyDescent="0.35">
      <c r="A2669" t="s">
        <v>16628</v>
      </c>
      <c r="C2669" t="s">
        <v>47919</v>
      </c>
      <c r="D2669" t="s">
        <v>7329</v>
      </c>
      <c r="E2669" t="s">
        <v>43</v>
      </c>
      <c r="I2669" s="26">
        <v>37987</v>
      </c>
      <c r="J2669" s="28">
        <v>37987</v>
      </c>
      <c r="Q2669" t="s">
        <v>44683</v>
      </c>
      <c r="R2669" t="s">
        <v>47920</v>
      </c>
    </row>
    <row r="2670" spans="1:18" x14ac:dyDescent="0.35">
      <c r="A2670" t="s">
        <v>15608</v>
      </c>
      <c r="C2670" t="s">
        <v>47622</v>
      </c>
      <c r="D2670" t="s">
        <v>5811</v>
      </c>
      <c r="E2670" t="s">
        <v>43</v>
      </c>
      <c r="I2670" s="26">
        <v>37987</v>
      </c>
      <c r="J2670" s="28">
        <v>37987</v>
      </c>
      <c r="Q2670" t="s">
        <v>44683</v>
      </c>
      <c r="R2670" t="s">
        <v>47921</v>
      </c>
    </row>
    <row r="2671" spans="1:18" x14ac:dyDescent="0.35">
      <c r="A2671" t="s">
        <v>15465</v>
      </c>
      <c r="D2671" t="s">
        <v>5725</v>
      </c>
      <c r="E2671" t="s">
        <v>43</v>
      </c>
      <c r="I2671" s="26">
        <v>37987</v>
      </c>
      <c r="J2671" s="28">
        <v>37987</v>
      </c>
      <c r="Q2671" t="s">
        <v>44683</v>
      </c>
      <c r="R2671" t="s">
        <v>47922</v>
      </c>
    </row>
    <row r="2672" spans="1:18" x14ac:dyDescent="0.35">
      <c r="A2672" t="s">
        <v>14500</v>
      </c>
      <c r="D2672" t="s">
        <v>2088</v>
      </c>
      <c r="E2672" t="s">
        <v>43</v>
      </c>
      <c r="I2672" s="26">
        <v>37987</v>
      </c>
      <c r="J2672" s="28">
        <v>37987</v>
      </c>
      <c r="Q2672" t="s">
        <v>44683</v>
      </c>
      <c r="R2672" t="s">
        <v>47923</v>
      </c>
    </row>
    <row r="2673" spans="1:18" x14ac:dyDescent="0.35">
      <c r="A2673" t="s">
        <v>15045</v>
      </c>
      <c r="C2673" t="s">
        <v>47924</v>
      </c>
      <c r="D2673" t="s">
        <v>3031</v>
      </c>
      <c r="E2673" t="s">
        <v>43</v>
      </c>
      <c r="I2673" s="26">
        <v>37987</v>
      </c>
      <c r="J2673" s="28">
        <v>37987</v>
      </c>
      <c r="Q2673" t="s">
        <v>44683</v>
      </c>
      <c r="R2673" t="s">
        <v>47925</v>
      </c>
    </row>
    <row r="2674" spans="1:18" x14ac:dyDescent="0.35">
      <c r="A2674" t="s">
        <v>15918</v>
      </c>
      <c r="C2674" t="s">
        <v>47339</v>
      </c>
      <c r="D2674" t="s">
        <v>5877</v>
      </c>
      <c r="E2674" t="s">
        <v>43</v>
      </c>
      <c r="I2674" s="26">
        <v>37622</v>
      </c>
      <c r="J2674" s="28">
        <v>37622</v>
      </c>
      <c r="Q2674" t="s">
        <v>44683</v>
      </c>
      <c r="R2674" t="s">
        <v>47926</v>
      </c>
    </row>
    <row r="2675" spans="1:18" x14ac:dyDescent="0.35">
      <c r="A2675" t="s">
        <v>15896</v>
      </c>
      <c r="C2675" t="s">
        <v>47541</v>
      </c>
      <c r="D2675" t="s">
        <v>5877</v>
      </c>
      <c r="E2675" t="s">
        <v>43</v>
      </c>
      <c r="I2675" s="26">
        <v>37987</v>
      </c>
      <c r="J2675" s="28">
        <v>37987</v>
      </c>
      <c r="Q2675" t="s">
        <v>44683</v>
      </c>
      <c r="R2675" t="s">
        <v>47927</v>
      </c>
    </row>
    <row r="2676" spans="1:18" x14ac:dyDescent="0.35">
      <c r="A2676" t="s">
        <v>15898</v>
      </c>
      <c r="C2676" t="s">
        <v>47928</v>
      </c>
      <c r="D2676" t="s">
        <v>5877</v>
      </c>
      <c r="E2676" t="s">
        <v>43</v>
      </c>
      <c r="I2676" s="26">
        <v>37987</v>
      </c>
      <c r="J2676" s="28">
        <v>37987</v>
      </c>
      <c r="Q2676" t="s">
        <v>44683</v>
      </c>
      <c r="R2676" t="s">
        <v>47929</v>
      </c>
    </row>
    <row r="2677" spans="1:18" x14ac:dyDescent="0.35">
      <c r="A2677" t="s">
        <v>15900</v>
      </c>
      <c r="C2677" t="s">
        <v>47824</v>
      </c>
      <c r="D2677" t="s">
        <v>5877</v>
      </c>
      <c r="E2677" t="s">
        <v>43</v>
      </c>
      <c r="I2677" s="26">
        <v>37987</v>
      </c>
      <c r="J2677" s="28">
        <v>37987</v>
      </c>
      <c r="Q2677" t="s">
        <v>44683</v>
      </c>
      <c r="R2677" t="s">
        <v>47930</v>
      </c>
    </row>
    <row r="2678" spans="1:18" x14ac:dyDescent="0.35">
      <c r="A2678" t="s">
        <v>14445</v>
      </c>
      <c r="C2678" t="s">
        <v>47841</v>
      </c>
      <c r="D2678" t="s">
        <v>2005</v>
      </c>
      <c r="E2678" t="s">
        <v>43</v>
      </c>
      <c r="I2678" s="26">
        <v>37622</v>
      </c>
      <c r="J2678" s="28">
        <v>37622</v>
      </c>
      <c r="Q2678" t="s">
        <v>44683</v>
      </c>
      <c r="R2678" t="s">
        <v>47931</v>
      </c>
    </row>
    <row r="2679" spans="1:18" x14ac:dyDescent="0.35">
      <c r="A2679" t="s">
        <v>15899</v>
      </c>
      <c r="C2679" t="s">
        <v>47932</v>
      </c>
      <c r="D2679" t="s">
        <v>5877</v>
      </c>
      <c r="E2679" t="s">
        <v>43</v>
      </c>
      <c r="I2679" s="26">
        <v>37987</v>
      </c>
      <c r="J2679" s="28">
        <v>37987</v>
      </c>
      <c r="Q2679" t="s">
        <v>44683</v>
      </c>
      <c r="R2679" t="s">
        <v>47933</v>
      </c>
    </row>
    <row r="2680" spans="1:18" x14ac:dyDescent="0.35">
      <c r="A2680" t="s">
        <v>15611</v>
      </c>
      <c r="D2680" t="s">
        <v>5865</v>
      </c>
      <c r="E2680" t="s">
        <v>43</v>
      </c>
      <c r="I2680" s="26">
        <v>37987</v>
      </c>
      <c r="J2680" s="28">
        <v>37987</v>
      </c>
      <c r="Q2680" t="s">
        <v>44683</v>
      </c>
      <c r="R2680" t="s">
        <v>47934</v>
      </c>
    </row>
    <row r="2681" spans="1:18" x14ac:dyDescent="0.35">
      <c r="A2681" t="s">
        <v>16646</v>
      </c>
      <c r="C2681" t="s">
        <v>47914</v>
      </c>
      <c r="D2681" t="s">
        <v>7401</v>
      </c>
      <c r="E2681" t="s">
        <v>43</v>
      </c>
      <c r="I2681" s="26">
        <v>37622</v>
      </c>
      <c r="J2681" s="28">
        <v>37622</v>
      </c>
      <c r="Q2681" t="s">
        <v>44683</v>
      </c>
      <c r="R2681" t="s">
        <v>47935</v>
      </c>
    </row>
    <row r="2682" spans="1:18" x14ac:dyDescent="0.35">
      <c r="A2682" t="s">
        <v>14339</v>
      </c>
      <c r="C2682" t="s">
        <v>47841</v>
      </c>
      <c r="D2682" t="s">
        <v>1781</v>
      </c>
      <c r="E2682" t="s">
        <v>43</v>
      </c>
      <c r="I2682" s="26">
        <v>37622</v>
      </c>
      <c r="J2682" s="28">
        <v>37622</v>
      </c>
      <c r="Q2682" t="s">
        <v>44683</v>
      </c>
      <c r="R2682" t="s">
        <v>47936</v>
      </c>
    </row>
    <row r="2683" spans="1:18" x14ac:dyDescent="0.35">
      <c r="A2683" t="s">
        <v>15187</v>
      </c>
      <c r="D2683" t="s">
        <v>5184</v>
      </c>
      <c r="E2683" t="s">
        <v>43</v>
      </c>
      <c r="I2683" s="26">
        <v>37622</v>
      </c>
      <c r="J2683" s="28">
        <v>37622</v>
      </c>
      <c r="Q2683" t="s">
        <v>44683</v>
      </c>
      <c r="R2683" t="s">
        <v>47937</v>
      </c>
    </row>
    <row r="2684" spans="1:18" x14ac:dyDescent="0.35">
      <c r="A2684" t="s">
        <v>16456</v>
      </c>
      <c r="C2684" t="s">
        <v>47938</v>
      </c>
      <c r="D2684" t="s">
        <v>7245</v>
      </c>
      <c r="E2684" t="s">
        <v>43</v>
      </c>
      <c r="I2684" s="26">
        <v>37622</v>
      </c>
      <c r="J2684" s="28">
        <v>37622</v>
      </c>
      <c r="Q2684" t="s">
        <v>44683</v>
      </c>
      <c r="R2684" t="s">
        <v>47939</v>
      </c>
    </row>
    <row r="2685" spans="1:18" x14ac:dyDescent="0.35">
      <c r="A2685" t="s">
        <v>14340</v>
      </c>
      <c r="C2685" t="s">
        <v>47841</v>
      </c>
      <c r="D2685" t="s">
        <v>1781</v>
      </c>
      <c r="E2685" t="s">
        <v>43</v>
      </c>
      <c r="I2685" s="26">
        <v>37622</v>
      </c>
      <c r="J2685" s="28">
        <v>37622</v>
      </c>
      <c r="Q2685" t="s">
        <v>44683</v>
      </c>
      <c r="R2685" t="s">
        <v>47940</v>
      </c>
    </row>
    <row r="2686" spans="1:18" x14ac:dyDescent="0.35">
      <c r="A2686" t="s">
        <v>16317</v>
      </c>
      <c r="D2686" t="s">
        <v>7144</v>
      </c>
      <c r="E2686" t="s">
        <v>43</v>
      </c>
      <c r="I2686" s="26">
        <v>37622</v>
      </c>
      <c r="J2686" s="28">
        <v>37622</v>
      </c>
      <c r="Q2686" t="s">
        <v>44683</v>
      </c>
      <c r="R2686" t="s">
        <v>47941</v>
      </c>
    </row>
    <row r="2687" spans="1:18" x14ac:dyDescent="0.35">
      <c r="A2687" t="s">
        <v>14406</v>
      </c>
      <c r="D2687" t="s">
        <v>1953</v>
      </c>
      <c r="E2687" t="s">
        <v>43</v>
      </c>
      <c r="I2687" s="26">
        <v>37257</v>
      </c>
      <c r="J2687" s="28">
        <v>37257</v>
      </c>
      <c r="Q2687" t="s">
        <v>44683</v>
      </c>
      <c r="R2687" t="s">
        <v>47942</v>
      </c>
    </row>
    <row r="2688" spans="1:18" x14ac:dyDescent="0.35">
      <c r="A2688" t="s">
        <v>15121</v>
      </c>
      <c r="D2688" t="s">
        <v>4998</v>
      </c>
      <c r="E2688" t="s">
        <v>43</v>
      </c>
      <c r="I2688" s="26">
        <v>37257</v>
      </c>
      <c r="J2688" s="28">
        <v>37257</v>
      </c>
      <c r="Q2688" t="s">
        <v>44683</v>
      </c>
      <c r="R2688" t="s">
        <v>47943</v>
      </c>
    </row>
    <row r="2689" spans="1:18" x14ac:dyDescent="0.35">
      <c r="A2689" t="s">
        <v>16318</v>
      </c>
      <c r="D2689" t="s">
        <v>7144</v>
      </c>
      <c r="E2689" t="s">
        <v>43</v>
      </c>
      <c r="I2689" s="26">
        <v>37622</v>
      </c>
      <c r="J2689" s="28">
        <v>37622</v>
      </c>
      <c r="Q2689" t="s">
        <v>44683</v>
      </c>
      <c r="R2689" t="s">
        <v>47944</v>
      </c>
    </row>
    <row r="2690" spans="1:18" x14ac:dyDescent="0.35">
      <c r="A2690" t="s">
        <v>47945</v>
      </c>
      <c r="C2690" t="s">
        <v>47946</v>
      </c>
      <c r="D2690" t="s">
        <v>5730</v>
      </c>
      <c r="E2690" t="s">
        <v>43</v>
      </c>
      <c r="I2690" s="26">
        <v>37987</v>
      </c>
      <c r="J2690" s="28">
        <v>37987</v>
      </c>
      <c r="Q2690" t="s">
        <v>44683</v>
      </c>
      <c r="R2690" t="s">
        <v>47947</v>
      </c>
    </row>
    <row r="2691" spans="1:18" x14ac:dyDescent="0.35">
      <c r="A2691" t="s">
        <v>14256</v>
      </c>
      <c r="C2691" t="s">
        <v>47007</v>
      </c>
      <c r="D2691" t="s">
        <v>1373</v>
      </c>
      <c r="E2691" t="s">
        <v>43</v>
      </c>
      <c r="I2691" s="26">
        <v>37622</v>
      </c>
      <c r="J2691" s="28">
        <v>37622</v>
      </c>
      <c r="Q2691" t="s">
        <v>44683</v>
      </c>
      <c r="R2691" t="s">
        <v>47948</v>
      </c>
    </row>
    <row r="2692" spans="1:18" x14ac:dyDescent="0.35">
      <c r="A2692" t="s">
        <v>15920</v>
      </c>
      <c r="C2692" t="s">
        <v>47949</v>
      </c>
      <c r="D2692" t="s">
        <v>5877</v>
      </c>
      <c r="E2692" t="s">
        <v>43</v>
      </c>
      <c r="I2692" s="26">
        <v>37257</v>
      </c>
      <c r="J2692" s="28">
        <v>37257</v>
      </c>
      <c r="Q2692" t="s">
        <v>44683</v>
      </c>
      <c r="R2692" t="s">
        <v>47950</v>
      </c>
    </row>
    <row r="2693" spans="1:18" x14ac:dyDescent="0.35">
      <c r="A2693" t="s">
        <v>14257</v>
      </c>
      <c r="C2693" t="s">
        <v>47007</v>
      </c>
      <c r="D2693" t="s">
        <v>1373</v>
      </c>
      <c r="E2693" t="s">
        <v>43</v>
      </c>
      <c r="I2693" s="26">
        <v>37622</v>
      </c>
      <c r="J2693" s="28">
        <v>37622</v>
      </c>
      <c r="Q2693" t="s">
        <v>44683</v>
      </c>
      <c r="R2693" t="s">
        <v>47951</v>
      </c>
    </row>
    <row r="2694" spans="1:18" x14ac:dyDescent="0.35">
      <c r="A2694" t="s">
        <v>16647</v>
      </c>
      <c r="C2694" t="s">
        <v>47914</v>
      </c>
      <c r="D2694" t="s">
        <v>7401</v>
      </c>
      <c r="E2694" t="s">
        <v>43</v>
      </c>
      <c r="I2694" s="26">
        <v>37622</v>
      </c>
      <c r="J2694" s="28">
        <v>37622</v>
      </c>
      <c r="Q2694" t="s">
        <v>44683</v>
      </c>
      <c r="R2694" t="s">
        <v>47952</v>
      </c>
    </row>
    <row r="2695" spans="1:18" x14ac:dyDescent="0.35">
      <c r="A2695" t="s">
        <v>16454</v>
      </c>
      <c r="D2695" t="s">
        <v>7245</v>
      </c>
      <c r="E2695" t="s">
        <v>43</v>
      </c>
      <c r="I2695" s="26">
        <v>37987</v>
      </c>
      <c r="J2695" s="28">
        <v>37987</v>
      </c>
      <c r="Q2695" t="s">
        <v>44683</v>
      </c>
      <c r="R2695" t="s">
        <v>47953</v>
      </c>
    </row>
    <row r="2696" spans="1:18" x14ac:dyDescent="0.35">
      <c r="A2696" t="s">
        <v>15903</v>
      </c>
      <c r="C2696" t="s">
        <v>47541</v>
      </c>
      <c r="D2696" t="s">
        <v>5877</v>
      </c>
      <c r="E2696" t="s">
        <v>43</v>
      </c>
      <c r="I2696" s="26">
        <v>37987</v>
      </c>
      <c r="J2696" s="28">
        <v>37987</v>
      </c>
      <c r="Q2696" t="s">
        <v>44683</v>
      </c>
      <c r="R2696" t="s">
        <v>47954</v>
      </c>
    </row>
    <row r="2697" spans="1:18" x14ac:dyDescent="0.35">
      <c r="A2697" t="s">
        <v>16320</v>
      </c>
      <c r="D2697" t="s">
        <v>7144</v>
      </c>
      <c r="E2697" t="s">
        <v>43</v>
      </c>
      <c r="I2697" s="26">
        <v>37257</v>
      </c>
      <c r="J2697" s="28">
        <v>37257</v>
      </c>
      <c r="Q2697" t="s">
        <v>44683</v>
      </c>
      <c r="R2697" t="s">
        <v>47955</v>
      </c>
    </row>
    <row r="2698" spans="1:18" x14ac:dyDescent="0.35">
      <c r="A2698" t="s">
        <v>14341</v>
      </c>
      <c r="C2698" t="s">
        <v>47956</v>
      </c>
      <c r="D2698" t="s">
        <v>1781</v>
      </c>
      <c r="E2698" t="s">
        <v>43</v>
      </c>
      <c r="I2698" s="26">
        <v>37622</v>
      </c>
      <c r="J2698" s="28">
        <v>37622</v>
      </c>
      <c r="Q2698" t="s">
        <v>44683</v>
      </c>
      <c r="R2698" t="s">
        <v>47957</v>
      </c>
    </row>
    <row r="2699" spans="1:18" x14ac:dyDescent="0.35">
      <c r="A2699" t="s">
        <v>14258</v>
      </c>
      <c r="C2699" t="s">
        <v>47007</v>
      </c>
      <c r="D2699" t="s">
        <v>1373</v>
      </c>
      <c r="E2699" t="s">
        <v>43</v>
      </c>
      <c r="I2699" s="26">
        <v>37622</v>
      </c>
      <c r="J2699" s="28">
        <v>37622</v>
      </c>
      <c r="Q2699" t="s">
        <v>44683</v>
      </c>
      <c r="R2699" t="s">
        <v>47958</v>
      </c>
    </row>
    <row r="2700" spans="1:18" x14ac:dyDescent="0.35">
      <c r="A2700" t="s">
        <v>15905</v>
      </c>
      <c r="C2700" t="s">
        <v>47431</v>
      </c>
      <c r="D2700" t="s">
        <v>5877</v>
      </c>
      <c r="E2700" t="s">
        <v>43</v>
      </c>
      <c r="I2700" s="26">
        <v>37987</v>
      </c>
      <c r="J2700" s="28">
        <v>37987</v>
      </c>
      <c r="Q2700" t="s">
        <v>44683</v>
      </c>
      <c r="R2700" t="s">
        <v>47959</v>
      </c>
    </row>
    <row r="2701" spans="1:18" x14ac:dyDescent="0.35">
      <c r="A2701" t="s">
        <v>15180</v>
      </c>
      <c r="D2701" t="s">
        <v>5184</v>
      </c>
      <c r="E2701" t="s">
        <v>43</v>
      </c>
      <c r="I2701" s="26">
        <v>37987</v>
      </c>
      <c r="J2701" s="28">
        <v>37987</v>
      </c>
      <c r="Q2701" t="s">
        <v>44683</v>
      </c>
      <c r="R2701" t="s">
        <v>47960</v>
      </c>
    </row>
    <row r="2702" spans="1:18" x14ac:dyDescent="0.35">
      <c r="A2702" t="s">
        <v>15923</v>
      </c>
      <c r="C2702" t="s">
        <v>47074</v>
      </c>
      <c r="D2702" t="s">
        <v>5877</v>
      </c>
      <c r="E2702" t="s">
        <v>43</v>
      </c>
      <c r="I2702" s="26">
        <v>36526</v>
      </c>
      <c r="J2702" s="28">
        <v>36526</v>
      </c>
      <c r="Q2702" t="s">
        <v>44683</v>
      </c>
      <c r="R2702" t="s">
        <v>47961</v>
      </c>
    </row>
    <row r="2703" spans="1:18" x14ac:dyDescent="0.35">
      <c r="A2703" t="s">
        <v>15907</v>
      </c>
      <c r="C2703" t="s">
        <v>47962</v>
      </c>
      <c r="D2703" t="s">
        <v>5877</v>
      </c>
      <c r="E2703" t="s">
        <v>43</v>
      </c>
      <c r="I2703" s="26">
        <v>36892</v>
      </c>
      <c r="J2703" s="28">
        <v>36892</v>
      </c>
      <c r="Q2703" t="s">
        <v>44683</v>
      </c>
      <c r="R2703" t="s">
        <v>47963</v>
      </c>
    </row>
    <row r="2704" spans="1:18" x14ac:dyDescent="0.35">
      <c r="A2704" t="s">
        <v>15343</v>
      </c>
      <c r="C2704" t="s">
        <v>47838</v>
      </c>
      <c r="D2704" t="s">
        <v>5366</v>
      </c>
      <c r="E2704" t="s">
        <v>43</v>
      </c>
      <c r="I2704" s="26">
        <v>36892</v>
      </c>
      <c r="J2704" s="28">
        <v>36892</v>
      </c>
      <c r="Q2704" t="s">
        <v>44683</v>
      </c>
      <c r="R2704" t="s">
        <v>47964</v>
      </c>
    </row>
    <row r="2705" spans="1:18" x14ac:dyDescent="0.35">
      <c r="A2705" t="s">
        <v>15143</v>
      </c>
      <c r="C2705" t="s">
        <v>47965</v>
      </c>
      <c r="D2705" t="s">
        <v>5106</v>
      </c>
      <c r="E2705" t="s">
        <v>43</v>
      </c>
      <c r="I2705" s="26">
        <v>36161</v>
      </c>
      <c r="J2705" s="28">
        <v>36161</v>
      </c>
      <c r="Q2705" t="s">
        <v>44683</v>
      </c>
      <c r="R2705" t="s">
        <v>47966</v>
      </c>
    </row>
    <row r="2706" spans="1:18" x14ac:dyDescent="0.35">
      <c r="A2706" t="s">
        <v>14217</v>
      </c>
      <c r="C2706" t="s">
        <v>47967</v>
      </c>
      <c r="D2706" t="s">
        <v>1171</v>
      </c>
      <c r="E2706" t="s">
        <v>43</v>
      </c>
      <c r="I2706" s="26">
        <v>36526</v>
      </c>
      <c r="J2706" s="28">
        <v>36526</v>
      </c>
      <c r="Q2706" t="s">
        <v>44683</v>
      </c>
      <c r="R2706" t="s">
        <v>47968</v>
      </c>
    </row>
    <row r="2707" spans="1:18" x14ac:dyDescent="0.35">
      <c r="A2707" t="s">
        <v>14216</v>
      </c>
      <c r="C2707" t="s">
        <v>47969</v>
      </c>
      <c r="D2707" t="s">
        <v>1171</v>
      </c>
      <c r="E2707" t="s">
        <v>43</v>
      </c>
      <c r="I2707" s="26">
        <v>36526</v>
      </c>
      <c r="J2707" s="28">
        <v>36526</v>
      </c>
      <c r="Q2707" t="s">
        <v>44683</v>
      </c>
      <c r="R2707" t="s">
        <v>47970</v>
      </c>
    </row>
    <row r="2708" spans="1:18" x14ac:dyDescent="0.35">
      <c r="A2708" t="s">
        <v>15344</v>
      </c>
      <c r="C2708" t="s">
        <v>47971</v>
      </c>
      <c r="D2708" t="s">
        <v>5366</v>
      </c>
      <c r="E2708" t="s">
        <v>43</v>
      </c>
      <c r="I2708" s="26">
        <v>36892</v>
      </c>
      <c r="J2708" s="28">
        <v>36892</v>
      </c>
      <c r="Q2708" t="s">
        <v>44683</v>
      </c>
      <c r="R2708" t="s">
        <v>47972</v>
      </c>
    </row>
    <row r="2709" spans="1:18" x14ac:dyDescent="0.35">
      <c r="A2709" t="s">
        <v>15925</v>
      </c>
      <c r="C2709" t="s">
        <v>47973</v>
      </c>
      <c r="D2709" t="s">
        <v>5877</v>
      </c>
      <c r="E2709" t="s">
        <v>43</v>
      </c>
      <c r="I2709" s="26">
        <v>36526</v>
      </c>
      <c r="J2709" s="28">
        <v>36526</v>
      </c>
      <c r="Q2709" t="s">
        <v>44683</v>
      </c>
      <c r="R2709" t="s">
        <v>47974</v>
      </c>
    </row>
    <row r="2710" spans="1:18" x14ac:dyDescent="0.35">
      <c r="A2710" t="s">
        <v>14218</v>
      </c>
      <c r="C2710" t="s">
        <v>47975</v>
      </c>
      <c r="D2710" t="s">
        <v>1171</v>
      </c>
      <c r="E2710" t="s">
        <v>43</v>
      </c>
      <c r="I2710" s="26">
        <v>36526</v>
      </c>
      <c r="J2710" s="28">
        <v>36526</v>
      </c>
      <c r="Q2710" t="s">
        <v>44683</v>
      </c>
      <c r="R2710" t="s">
        <v>47976</v>
      </c>
    </row>
    <row r="2711" spans="1:18" x14ac:dyDescent="0.35">
      <c r="A2711" t="s">
        <v>15345</v>
      </c>
      <c r="C2711" t="s">
        <v>47838</v>
      </c>
      <c r="D2711" t="s">
        <v>5366</v>
      </c>
      <c r="E2711" t="s">
        <v>43</v>
      </c>
      <c r="I2711" s="26">
        <v>36892</v>
      </c>
      <c r="J2711" s="28">
        <v>36892</v>
      </c>
      <c r="Q2711" t="s">
        <v>44683</v>
      </c>
      <c r="R2711" t="s">
        <v>47977</v>
      </c>
    </row>
    <row r="2712" spans="1:18" x14ac:dyDescent="0.35">
      <c r="A2712" t="s">
        <v>15167</v>
      </c>
      <c r="C2712" t="s">
        <v>47978</v>
      </c>
      <c r="D2712" t="s">
        <v>5141</v>
      </c>
      <c r="E2712" t="s">
        <v>43</v>
      </c>
      <c r="I2712" s="26">
        <v>36526</v>
      </c>
      <c r="J2712" s="28">
        <v>36526</v>
      </c>
      <c r="Q2712" t="s">
        <v>44683</v>
      </c>
      <c r="R2712" t="s">
        <v>47979</v>
      </c>
    </row>
    <row r="2713" spans="1:18" x14ac:dyDescent="0.35">
      <c r="A2713" t="s">
        <v>14213</v>
      </c>
      <c r="C2713" t="s">
        <v>47980</v>
      </c>
      <c r="D2713" t="s">
        <v>1107</v>
      </c>
      <c r="E2713" t="s">
        <v>43</v>
      </c>
      <c r="I2713" s="26">
        <v>36526</v>
      </c>
      <c r="J2713" s="28">
        <v>36526</v>
      </c>
      <c r="Q2713" t="s">
        <v>44683</v>
      </c>
      <c r="R2713" t="s">
        <v>47981</v>
      </c>
    </row>
    <row r="2714" spans="1:18" x14ac:dyDescent="0.35">
      <c r="A2714" t="s">
        <v>47982</v>
      </c>
      <c r="D2714" t="s">
        <v>1953</v>
      </c>
      <c r="E2714" t="s">
        <v>43</v>
      </c>
      <c r="I2714" s="26">
        <v>36526</v>
      </c>
      <c r="J2714" s="28">
        <v>36526</v>
      </c>
      <c r="Q2714" t="s">
        <v>44683</v>
      </c>
      <c r="R2714" t="s">
        <v>47983</v>
      </c>
    </row>
    <row r="2715" spans="1:18" x14ac:dyDescent="0.35">
      <c r="A2715" t="s">
        <v>15927</v>
      </c>
      <c r="C2715" t="s">
        <v>47984</v>
      </c>
      <c r="D2715" t="s">
        <v>5877</v>
      </c>
      <c r="E2715" t="s">
        <v>43</v>
      </c>
      <c r="I2715" s="26">
        <v>35796</v>
      </c>
      <c r="J2715" s="28">
        <v>35796</v>
      </c>
      <c r="Q2715" t="s">
        <v>44683</v>
      </c>
      <c r="R2715" t="s">
        <v>47985</v>
      </c>
    </row>
    <row r="2716" spans="1:18" x14ac:dyDescent="0.35">
      <c r="A2716" t="s">
        <v>16629</v>
      </c>
      <c r="D2716" t="s">
        <v>7329</v>
      </c>
      <c r="E2716" t="s">
        <v>43</v>
      </c>
      <c r="I2716" s="26">
        <v>36161</v>
      </c>
      <c r="J2716" s="28">
        <v>36161</v>
      </c>
      <c r="Q2716" t="s">
        <v>44683</v>
      </c>
      <c r="R2716" t="s">
        <v>47986</v>
      </c>
    </row>
    <row r="2717" spans="1:18" x14ac:dyDescent="0.35">
      <c r="A2717" t="s">
        <v>15168</v>
      </c>
      <c r="C2717" t="s">
        <v>47294</v>
      </c>
      <c r="D2717" t="s">
        <v>5141</v>
      </c>
      <c r="E2717" t="s">
        <v>43</v>
      </c>
      <c r="I2717" s="26">
        <v>36526</v>
      </c>
      <c r="J2717" s="28">
        <v>36526</v>
      </c>
      <c r="Q2717" t="s">
        <v>44683</v>
      </c>
      <c r="R2717" t="s">
        <v>47987</v>
      </c>
    </row>
    <row r="2718" spans="1:18" x14ac:dyDescent="0.35">
      <c r="A2718" t="s">
        <v>15908</v>
      </c>
      <c r="C2718" t="s">
        <v>47988</v>
      </c>
      <c r="D2718" t="s">
        <v>5877</v>
      </c>
      <c r="E2718" t="s">
        <v>43</v>
      </c>
      <c r="I2718" s="26">
        <v>36892</v>
      </c>
      <c r="J2718" s="28">
        <v>36892</v>
      </c>
      <c r="Q2718" t="s">
        <v>44683</v>
      </c>
      <c r="R2718" t="s">
        <v>47989</v>
      </c>
    </row>
    <row r="2719" spans="1:18" x14ac:dyDescent="0.35">
      <c r="A2719" t="s">
        <v>47990</v>
      </c>
      <c r="D2719" t="s">
        <v>1953</v>
      </c>
      <c r="E2719" t="s">
        <v>43</v>
      </c>
      <c r="I2719" s="26">
        <v>36892</v>
      </c>
      <c r="J2719" s="28">
        <v>36892</v>
      </c>
      <c r="Q2719" t="s">
        <v>44683</v>
      </c>
      <c r="R2719" t="s">
        <v>47991</v>
      </c>
    </row>
    <row r="2720" spans="1:18" x14ac:dyDescent="0.35">
      <c r="A2720" t="s">
        <v>14219</v>
      </c>
      <c r="C2720" t="s">
        <v>47992</v>
      </c>
      <c r="D2720" t="s">
        <v>1171</v>
      </c>
      <c r="E2720" t="s">
        <v>43</v>
      </c>
      <c r="I2720" s="26">
        <v>36526</v>
      </c>
      <c r="J2720" s="28">
        <v>36526</v>
      </c>
      <c r="Q2720" t="s">
        <v>44683</v>
      </c>
      <c r="R2720" t="s">
        <v>47993</v>
      </c>
    </row>
    <row r="2721" spans="1:18" x14ac:dyDescent="0.35">
      <c r="A2721" t="s">
        <v>15138</v>
      </c>
      <c r="C2721" t="s">
        <v>47835</v>
      </c>
      <c r="D2721" t="s">
        <v>5106</v>
      </c>
      <c r="E2721" t="s">
        <v>43</v>
      </c>
      <c r="I2721" s="26">
        <v>36526</v>
      </c>
      <c r="J2721" s="28">
        <v>36526</v>
      </c>
      <c r="Q2721" t="s">
        <v>44683</v>
      </c>
      <c r="R2721" t="s">
        <v>47994</v>
      </c>
    </row>
    <row r="2722" spans="1:18" x14ac:dyDescent="0.35">
      <c r="A2722" t="s">
        <v>47995</v>
      </c>
      <c r="C2722" t="s">
        <v>47996</v>
      </c>
      <c r="D2722" t="s">
        <v>5877</v>
      </c>
      <c r="E2722" t="s">
        <v>43</v>
      </c>
      <c r="I2722" s="26">
        <v>36892</v>
      </c>
      <c r="J2722" s="28">
        <v>36892</v>
      </c>
      <c r="Q2722" t="s">
        <v>44683</v>
      </c>
      <c r="R2722" t="s">
        <v>47997</v>
      </c>
    </row>
    <row r="2723" spans="1:18" x14ac:dyDescent="0.35">
      <c r="A2723" t="s">
        <v>15139</v>
      </c>
      <c r="C2723" t="s">
        <v>47835</v>
      </c>
      <c r="D2723" t="s">
        <v>5106</v>
      </c>
      <c r="E2723" t="s">
        <v>43</v>
      </c>
      <c r="I2723" s="26">
        <v>36892</v>
      </c>
      <c r="J2723" s="28">
        <v>36892</v>
      </c>
      <c r="Q2723" t="s">
        <v>44683</v>
      </c>
      <c r="R2723" t="s">
        <v>47998</v>
      </c>
    </row>
    <row r="2724" spans="1:18" x14ac:dyDescent="0.35">
      <c r="A2724" t="s">
        <v>14220</v>
      </c>
      <c r="C2724" t="s">
        <v>47999</v>
      </c>
      <c r="D2724" t="s">
        <v>1171</v>
      </c>
      <c r="E2724" t="s">
        <v>43</v>
      </c>
      <c r="I2724" s="26">
        <v>36526</v>
      </c>
      <c r="J2724" s="28">
        <v>36526</v>
      </c>
      <c r="Q2724" t="s">
        <v>44683</v>
      </c>
      <c r="R2724" t="s">
        <v>48000</v>
      </c>
    </row>
    <row r="2725" spans="1:18" x14ac:dyDescent="0.35">
      <c r="A2725" t="s">
        <v>15140</v>
      </c>
      <c r="C2725" t="s">
        <v>47835</v>
      </c>
      <c r="D2725" t="s">
        <v>5106</v>
      </c>
      <c r="E2725" t="s">
        <v>43</v>
      </c>
      <c r="I2725" s="26">
        <v>36526</v>
      </c>
      <c r="J2725" s="28">
        <v>36526</v>
      </c>
      <c r="Q2725" t="s">
        <v>44683</v>
      </c>
      <c r="R2725" t="s">
        <v>48001</v>
      </c>
    </row>
    <row r="2726" spans="1:18" x14ac:dyDescent="0.35">
      <c r="A2726" t="s">
        <v>14793</v>
      </c>
      <c r="C2726" t="s">
        <v>48002</v>
      </c>
      <c r="D2726" t="s">
        <v>2462</v>
      </c>
      <c r="E2726" t="s">
        <v>43</v>
      </c>
      <c r="I2726" s="26">
        <v>36526</v>
      </c>
      <c r="J2726" s="28">
        <v>36526</v>
      </c>
      <c r="Q2726" t="s">
        <v>44683</v>
      </c>
      <c r="R2726" t="s">
        <v>48003</v>
      </c>
    </row>
    <row r="2727" spans="1:18" x14ac:dyDescent="0.35">
      <c r="A2727" t="s">
        <v>15932</v>
      </c>
      <c r="C2727" t="s">
        <v>48004</v>
      </c>
      <c r="D2727" t="s">
        <v>5877</v>
      </c>
      <c r="E2727" t="s">
        <v>43</v>
      </c>
      <c r="I2727" s="26">
        <v>36161</v>
      </c>
      <c r="J2727" s="28">
        <v>36161</v>
      </c>
      <c r="Q2727" t="s">
        <v>44683</v>
      </c>
      <c r="R2727" t="s">
        <v>48005</v>
      </c>
    </row>
    <row r="2728" spans="1:18" x14ac:dyDescent="0.35">
      <c r="A2728" t="s">
        <v>15169</v>
      </c>
      <c r="C2728" t="s">
        <v>48006</v>
      </c>
      <c r="D2728" t="s">
        <v>5141</v>
      </c>
      <c r="E2728" t="s">
        <v>43</v>
      </c>
      <c r="I2728" s="26">
        <v>36526</v>
      </c>
      <c r="J2728" s="28">
        <v>36526</v>
      </c>
      <c r="Q2728" t="s">
        <v>44683</v>
      </c>
      <c r="R2728" t="s">
        <v>48007</v>
      </c>
    </row>
    <row r="2729" spans="1:18" x14ac:dyDescent="0.35">
      <c r="A2729" t="s">
        <v>14221</v>
      </c>
      <c r="C2729" t="s">
        <v>48008</v>
      </c>
      <c r="D2729" t="s">
        <v>1171</v>
      </c>
      <c r="E2729" t="s">
        <v>43</v>
      </c>
      <c r="I2729" s="26">
        <v>36526</v>
      </c>
      <c r="J2729" s="28">
        <v>36526</v>
      </c>
      <c r="Q2729" t="s">
        <v>44683</v>
      </c>
      <c r="R2729" t="s">
        <v>48009</v>
      </c>
    </row>
    <row r="2730" spans="1:18" x14ac:dyDescent="0.35">
      <c r="A2730" t="s">
        <v>15933</v>
      </c>
      <c r="C2730" t="s">
        <v>47362</v>
      </c>
      <c r="D2730" t="s">
        <v>5877</v>
      </c>
      <c r="E2730" t="s">
        <v>43</v>
      </c>
      <c r="I2730" s="26">
        <v>36161</v>
      </c>
      <c r="J2730" s="28">
        <v>36161</v>
      </c>
      <c r="Q2730" t="s">
        <v>44683</v>
      </c>
      <c r="R2730" t="s">
        <v>48010</v>
      </c>
    </row>
    <row r="2731" spans="1:18" x14ac:dyDescent="0.35">
      <c r="A2731" t="s">
        <v>14222</v>
      </c>
      <c r="C2731" t="s">
        <v>48011</v>
      </c>
      <c r="D2731" t="s">
        <v>1171</v>
      </c>
      <c r="E2731" t="s">
        <v>43</v>
      </c>
      <c r="I2731" s="26">
        <v>36526</v>
      </c>
      <c r="J2731" s="28">
        <v>36526</v>
      </c>
      <c r="Q2731" t="s">
        <v>44683</v>
      </c>
      <c r="R2731" t="s">
        <v>48012</v>
      </c>
    </row>
    <row r="2732" spans="1:18" x14ac:dyDescent="0.35">
      <c r="A2732" t="s">
        <v>14112</v>
      </c>
      <c r="D2732" t="s">
        <v>1047</v>
      </c>
      <c r="E2732" t="s">
        <v>43</v>
      </c>
      <c r="I2732" s="26">
        <v>36526</v>
      </c>
      <c r="J2732" s="28">
        <v>36526</v>
      </c>
      <c r="Q2732" t="s">
        <v>14113</v>
      </c>
      <c r="R2732" t="s">
        <v>48013</v>
      </c>
    </row>
    <row r="2733" spans="1:18" x14ac:dyDescent="0.35">
      <c r="A2733" t="s">
        <v>14223</v>
      </c>
      <c r="C2733" t="s">
        <v>48014</v>
      </c>
      <c r="D2733" t="s">
        <v>1171</v>
      </c>
      <c r="E2733" t="s">
        <v>43</v>
      </c>
      <c r="I2733" s="26">
        <v>36526</v>
      </c>
      <c r="J2733" s="28">
        <v>36526</v>
      </c>
      <c r="Q2733" t="s">
        <v>44683</v>
      </c>
      <c r="R2733" t="s">
        <v>48015</v>
      </c>
    </row>
    <row r="2734" spans="1:18" x14ac:dyDescent="0.35">
      <c r="A2734" t="s">
        <v>15183</v>
      </c>
      <c r="D2734" t="s">
        <v>5184</v>
      </c>
      <c r="E2734" t="s">
        <v>43</v>
      </c>
      <c r="I2734" s="26">
        <v>37257</v>
      </c>
      <c r="J2734" s="28">
        <v>37257</v>
      </c>
      <c r="Q2734" t="s">
        <v>15184</v>
      </c>
      <c r="R2734" t="s">
        <v>48016</v>
      </c>
    </row>
    <row r="2735" spans="1:18" x14ac:dyDescent="0.35">
      <c r="A2735" t="s">
        <v>14794</v>
      </c>
      <c r="C2735" t="s">
        <v>46930</v>
      </c>
      <c r="D2735" t="s">
        <v>2462</v>
      </c>
      <c r="E2735" t="s">
        <v>43</v>
      </c>
      <c r="I2735" s="26">
        <v>36526</v>
      </c>
      <c r="J2735" s="28">
        <v>36526</v>
      </c>
      <c r="Q2735" t="s">
        <v>44683</v>
      </c>
      <c r="R2735" t="s">
        <v>48017</v>
      </c>
    </row>
    <row r="2736" spans="1:18" x14ac:dyDescent="0.35">
      <c r="A2736" t="s">
        <v>14224</v>
      </c>
      <c r="C2736" t="s">
        <v>48018</v>
      </c>
      <c r="D2736" t="s">
        <v>1171</v>
      </c>
      <c r="E2736" t="s">
        <v>43</v>
      </c>
      <c r="I2736" s="26">
        <v>36526</v>
      </c>
      <c r="J2736" s="28">
        <v>36526</v>
      </c>
      <c r="Q2736" t="s">
        <v>44683</v>
      </c>
      <c r="R2736" t="s">
        <v>48019</v>
      </c>
    </row>
    <row r="2737" spans="1:18" x14ac:dyDescent="0.35">
      <c r="A2737" t="s">
        <v>14795</v>
      </c>
      <c r="C2737" t="s">
        <v>48020</v>
      </c>
      <c r="D2737" t="s">
        <v>2462</v>
      </c>
      <c r="E2737" t="s">
        <v>43</v>
      </c>
      <c r="I2737" s="26">
        <v>36526</v>
      </c>
      <c r="J2737" s="28">
        <v>36526</v>
      </c>
      <c r="Q2737" t="s">
        <v>44683</v>
      </c>
      <c r="R2737" t="s">
        <v>48021</v>
      </c>
    </row>
    <row r="2738" spans="1:18" x14ac:dyDescent="0.35">
      <c r="A2738" t="s">
        <v>15170</v>
      </c>
      <c r="C2738" t="s">
        <v>48022</v>
      </c>
      <c r="D2738" t="s">
        <v>5141</v>
      </c>
      <c r="E2738" t="s">
        <v>43</v>
      </c>
      <c r="I2738" s="26">
        <v>36526</v>
      </c>
      <c r="J2738" s="28">
        <v>36526</v>
      </c>
      <c r="Q2738" t="s">
        <v>44683</v>
      </c>
      <c r="R2738" t="s">
        <v>48023</v>
      </c>
    </row>
    <row r="2739" spans="1:18" x14ac:dyDescent="0.35">
      <c r="A2739" t="s">
        <v>48024</v>
      </c>
      <c r="D2739" t="s">
        <v>1953</v>
      </c>
      <c r="E2739" t="s">
        <v>43</v>
      </c>
      <c r="I2739" s="26">
        <v>36161</v>
      </c>
      <c r="J2739" s="28">
        <v>36161</v>
      </c>
      <c r="Q2739" t="s">
        <v>44683</v>
      </c>
      <c r="R2739" t="s">
        <v>48025</v>
      </c>
    </row>
    <row r="2740" spans="1:18" x14ac:dyDescent="0.35">
      <c r="A2740" t="s">
        <v>14881</v>
      </c>
      <c r="C2740" t="s">
        <v>48026</v>
      </c>
      <c r="D2740" t="s">
        <v>2756</v>
      </c>
      <c r="E2740" t="s">
        <v>43</v>
      </c>
      <c r="I2740" s="26">
        <v>35796</v>
      </c>
      <c r="J2740" s="28">
        <v>35796</v>
      </c>
      <c r="Q2740" t="s">
        <v>44683</v>
      </c>
      <c r="R2740" t="s">
        <v>48027</v>
      </c>
    </row>
    <row r="2741" spans="1:18" x14ac:dyDescent="0.35">
      <c r="A2741" t="s">
        <v>15141</v>
      </c>
      <c r="C2741" t="s">
        <v>47835</v>
      </c>
      <c r="D2741" t="s">
        <v>5106</v>
      </c>
      <c r="E2741" t="s">
        <v>43</v>
      </c>
      <c r="I2741" s="26">
        <v>36526</v>
      </c>
      <c r="J2741" s="28">
        <v>36526</v>
      </c>
      <c r="Q2741" t="s">
        <v>44683</v>
      </c>
      <c r="R2741" t="s">
        <v>48028</v>
      </c>
    </row>
    <row r="2742" spans="1:18" x14ac:dyDescent="0.35">
      <c r="A2742" t="s">
        <v>15934</v>
      </c>
      <c r="C2742" t="s">
        <v>47211</v>
      </c>
      <c r="D2742" t="s">
        <v>5877</v>
      </c>
      <c r="E2742" t="s">
        <v>43</v>
      </c>
      <c r="I2742" s="26">
        <v>36161</v>
      </c>
      <c r="J2742" s="28">
        <v>36161</v>
      </c>
      <c r="Q2742" t="s">
        <v>44683</v>
      </c>
      <c r="R2742" t="s">
        <v>48029</v>
      </c>
    </row>
    <row r="2743" spans="1:18" x14ac:dyDescent="0.35">
      <c r="A2743" t="s">
        <v>14505</v>
      </c>
      <c r="C2743" t="s">
        <v>48030</v>
      </c>
      <c r="D2743" t="s">
        <v>2088</v>
      </c>
      <c r="E2743" t="s">
        <v>43</v>
      </c>
      <c r="I2743" s="26">
        <v>36892</v>
      </c>
      <c r="J2743" s="28">
        <v>36892</v>
      </c>
      <c r="Q2743" t="s">
        <v>44683</v>
      </c>
      <c r="R2743" t="s">
        <v>48031</v>
      </c>
    </row>
    <row r="2744" spans="1:18" x14ac:dyDescent="0.35">
      <c r="A2744" t="s">
        <v>14225</v>
      </c>
      <c r="C2744" t="s">
        <v>48032</v>
      </c>
      <c r="D2744" t="s">
        <v>1171</v>
      </c>
      <c r="E2744" t="s">
        <v>43</v>
      </c>
      <c r="I2744" s="26">
        <v>36526</v>
      </c>
      <c r="J2744" s="28">
        <v>36526</v>
      </c>
      <c r="Q2744" t="s">
        <v>44683</v>
      </c>
      <c r="R2744" t="s">
        <v>48033</v>
      </c>
    </row>
    <row r="2745" spans="1:18" x14ac:dyDescent="0.35">
      <c r="A2745" t="s">
        <v>14226</v>
      </c>
      <c r="C2745" t="s">
        <v>48034</v>
      </c>
      <c r="D2745" t="s">
        <v>1171</v>
      </c>
      <c r="E2745" t="s">
        <v>43</v>
      </c>
      <c r="I2745" s="26">
        <v>36526</v>
      </c>
      <c r="J2745" s="28">
        <v>36526</v>
      </c>
      <c r="Q2745" t="s">
        <v>44683</v>
      </c>
      <c r="R2745" t="s">
        <v>48035</v>
      </c>
    </row>
    <row r="2746" spans="1:18" x14ac:dyDescent="0.35">
      <c r="A2746" t="s">
        <v>14507</v>
      </c>
      <c r="D2746" t="s">
        <v>2088</v>
      </c>
      <c r="E2746" t="s">
        <v>43</v>
      </c>
      <c r="I2746" s="26">
        <v>36526</v>
      </c>
      <c r="J2746" s="28">
        <v>36526</v>
      </c>
      <c r="Q2746" t="s">
        <v>44683</v>
      </c>
      <c r="R2746" t="s">
        <v>48036</v>
      </c>
    </row>
    <row r="2747" spans="1:18" x14ac:dyDescent="0.35">
      <c r="A2747" t="s">
        <v>15171</v>
      </c>
      <c r="C2747" t="s">
        <v>47281</v>
      </c>
      <c r="D2747" t="s">
        <v>5141</v>
      </c>
      <c r="E2747" t="s">
        <v>43</v>
      </c>
      <c r="I2747" s="26">
        <v>36526</v>
      </c>
      <c r="J2747" s="28">
        <v>36526</v>
      </c>
      <c r="Q2747" t="s">
        <v>44683</v>
      </c>
      <c r="R2747" t="s">
        <v>48037</v>
      </c>
    </row>
    <row r="2748" spans="1:18" x14ac:dyDescent="0.35">
      <c r="A2748" t="s">
        <v>14359</v>
      </c>
      <c r="C2748" t="s">
        <v>48038</v>
      </c>
      <c r="D2748" t="s">
        <v>1878</v>
      </c>
      <c r="E2748" t="s">
        <v>43</v>
      </c>
      <c r="I2748" s="26">
        <v>36526</v>
      </c>
      <c r="J2748" s="28">
        <v>36526</v>
      </c>
      <c r="Q2748" t="s">
        <v>44683</v>
      </c>
      <c r="R2748" t="s">
        <v>48039</v>
      </c>
    </row>
    <row r="2749" spans="1:18" x14ac:dyDescent="0.35">
      <c r="A2749" t="s">
        <v>15188</v>
      </c>
      <c r="D2749" t="s">
        <v>5184</v>
      </c>
      <c r="E2749" t="s">
        <v>43</v>
      </c>
      <c r="I2749" s="26">
        <v>36161</v>
      </c>
      <c r="J2749" s="28">
        <v>36161</v>
      </c>
      <c r="Q2749" t="s">
        <v>44683</v>
      </c>
      <c r="R2749" t="s">
        <v>48040</v>
      </c>
    </row>
    <row r="2750" spans="1:18" x14ac:dyDescent="0.35">
      <c r="A2750" t="s">
        <v>14796</v>
      </c>
      <c r="C2750" t="s">
        <v>48041</v>
      </c>
      <c r="D2750" t="s">
        <v>2462</v>
      </c>
      <c r="E2750" t="s">
        <v>43</v>
      </c>
      <c r="I2750" s="26">
        <v>36526</v>
      </c>
      <c r="J2750" s="28">
        <v>36526</v>
      </c>
      <c r="Q2750" t="s">
        <v>44683</v>
      </c>
      <c r="R2750" t="s">
        <v>48042</v>
      </c>
    </row>
    <row r="2751" spans="1:18" x14ac:dyDescent="0.35">
      <c r="A2751" t="s">
        <v>15936</v>
      </c>
      <c r="C2751" t="s">
        <v>47431</v>
      </c>
      <c r="D2751" t="s">
        <v>5877</v>
      </c>
      <c r="E2751" t="s">
        <v>43</v>
      </c>
      <c r="I2751" s="26">
        <v>36526</v>
      </c>
      <c r="J2751" s="28">
        <v>36526</v>
      </c>
      <c r="Q2751" t="s">
        <v>44683</v>
      </c>
      <c r="R2751" t="s">
        <v>48043</v>
      </c>
    </row>
    <row r="2752" spans="1:18" x14ac:dyDescent="0.35">
      <c r="A2752" t="s">
        <v>15912</v>
      </c>
      <c r="C2752" t="s">
        <v>46988</v>
      </c>
      <c r="D2752" t="s">
        <v>5877</v>
      </c>
      <c r="E2752" t="s">
        <v>43</v>
      </c>
      <c r="I2752" s="26">
        <v>36892</v>
      </c>
      <c r="J2752" s="28">
        <v>36892</v>
      </c>
      <c r="Q2752" t="s">
        <v>44683</v>
      </c>
      <c r="R2752" t="s">
        <v>48044</v>
      </c>
    </row>
    <row r="2753" spans="1:18" x14ac:dyDescent="0.35">
      <c r="A2753" t="s">
        <v>14883</v>
      </c>
      <c r="D2753" t="s">
        <v>2756</v>
      </c>
      <c r="E2753" t="s">
        <v>43</v>
      </c>
      <c r="I2753" s="26">
        <v>35796</v>
      </c>
      <c r="J2753" s="28">
        <v>35796</v>
      </c>
      <c r="Q2753" t="s">
        <v>44683</v>
      </c>
      <c r="R2753" t="s">
        <v>48045</v>
      </c>
    </row>
    <row r="2754" spans="1:18" x14ac:dyDescent="0.35">
      <c r="A2754" t="s">
        <v>15144</v>
      </c>
      <c r="C2754" t="s">
        <v>47835</v>
      </c>
      <c r="D2754" t="s">
        <v>5106</v>
      </c>
      <c r="E2754" t="s">
        <v>43</v>
      </c>
      <c r="I2754" s="26">
        <v>35796</v>
      </c>
      <c r="J2754" s="28">
        <v>35796</v>
      </c>
      <c r="Q2754" t="s">
        <v>44683</v>
      </c>
      <c r="R2754" t="s">
        <v>48046</v>
      </c>
    </row>
    <row r="2755" spans="1:18" x14ac:dyDescent="0.35">
      <c r="A2755" t="s">
        <v>16426</v>
      </c>
      <c r="C2755" t="s">
        <v>28092</v>
      </c>
      <c r="D2755" t="s">
        <v>7244</v>
      </c>
      <c r="E2755" t="s">
        <v>43</v>
      </c>
      <c r="I2755" s="26">
        <v>36161</v>
      </c>
      <c r="J2755" s="28">
        <v>36161</v>
      </c>
      <c r="Q2755" t="s">
        <v>44683</v>
      </c>
      <c r="R2755" t="s">
        <v>48047</v>
      </c>
    </row>
    <row r="2756" spans="1:18" x14ac:dyDescent="0.35">
      <c r="A2756" t="s">
        <v>15937</v>
      </c>
      <c r="C2756" t="s">
        <v>48048</v>
      </c>
      <c r="D2756" t="s">
        <v>5877</v>
      </c>
      <c r="E2756" t="s">
        <v>43</v>
      </c>
      <c r="I2756" s="26">
        <v>36526</v>
      </c>
      <c r="J2756" s="28">
        <v>36526</v>
      </c>
      <c r="Q2756" t="s">
        <v>44683</v>
      </c>
      <c r="R2756" t="s">
        <v>48049</v>
      </c>
    </row>
    <row r="2757" spans="1:18" x14ac:dyDescent="0.35">
      <c r="A2757" t="s">
        <v>14227</v>
      </c>
      <c r="C2757" t="s">
        <v>48050</v>
      </c>
      <c r="D2757" t="s">
        <v>1171</v>
      </c>
      <c r="E2757" t="s">
        <v>43</v>
      </c>
      <c r="I2757" s="26">
        <v>36526</v>
      </c>
      <c r="J2757" s="28">
        <v>36526</v>
      </c>
      <c r="Q2757" t="s">
        <v>44683</v>
      </c>
      <c r="R2757" t="s">
        <v>48051</v>
      </c>
    </row>
    <row r="2758" spans="1:18" x14ac:dyDescent="0.35">
      <c r="A2758" t="s">
        <v>14884</v>
      </c>
      <c r="C2758" t="s">
        <v>48052</v>
      </c>
      <c r="D2758" t="s">
        <v>2756</v>
      </c>
      <c r="E2758" t="s">
        <v>43</v>
      </c>
      <c r="I2758" s="26">
        <v>35796</v>
      </c>
      <c r="J2758" s="28">
        <v>35796</v>
      </c>
      <c r="Q2758" t="s">
        <v>44683</v>
      </c>
      <c r="R2758" t="s">
        <v>48053</v>
      </c>
    </row>
    <row r="2759" spans="1:18" x14ac:dyDescent="0.35">
      <c r="A2759" t="s">
        <v>14885</v>
      </c>
      <c r="C2759" t="s">
        <v>48054</v>
      </c>
      <c r="D2759" t="s">
        <v>2756</v>
      </c>
      <c r="E2759" t="s">
        <v>43</v>
      </c>
      <c r="I2759" s="26">
        <v>35796</v>
      </c>
      <c r="J2759" s="28">
        <v>35796</v>
      </c>
      <c r="Q2759" t="s">
        <v>44683</v>
      </c>
      <c r="R2759" t="s">
        <v>48055</v>
      </c>
    </row>
    <row r="2760" spans="1:18" x14ac:dyDescent="0.35">
      <c r="A2760" t="s">
        <v>15085</v>
      </c>
      <c r="D2760" t="s">
        <v>3515</v>
      </c>
      <c r="E2760" t="s">
        <v>43</v>
      </c>
      <c r="I2760" s="26">
        <v>36526</v>
      </c>
      <c r="J2760" s="28">
        <v>36526</v>
      </c>
      <c r="Q2760" t="s">
        <v>44683</v>
      </c>
      <c r="R2760" t="s">
        <v>48056</v>
      </c>
    </row>
    <row r="2761" spans="1:18" x14ac:dyDescent="0.35">
      <c r="A2761" t="s">
        <v>14228</v>
      </c>
      <c r="C2761" t="s">
        <v>48057</v>
      </c>
      <c r="D2761" t="s">
        <v>1171</v>
      </c>
      <c r="E2761" t="s">
        <v>43</v>
      </c>
      <c r="I2761" s="26">
        <v>36526</v>
      </c>
      <c r="J2761" s="28">
        <v>36526</v>
      </c>
      <c r="Q2761" t="s">
        <v>44683</v>
      </c>
      <c r="R2761" t="s">
        <v>48058</v>
      </c>
    </row>
    <row r="2762" spans="1:18" x14ac:dyDescent="0.35">
      <c r="A2762" t="s">
        <v>14797</v>
      </c>
      <c r="C2762" t="s">
        <v>48059</v>
      </c>
      <c r="D2762" t="s">
        <v>2462</v>
      </c>
      <c r="E2762" t="s">
        <v>43</v>
      </c>
      <c r="I2762" s="26">
        <v>36526</v>
      </c>
      <c r="J2762" s="28">
        <v>36526</v>
      </c>
      <c r="Q2762" t="s">
        <v>44683</v>
      </c>
      <c r="R2762" t="s">
        <v>48060</v>
      </c>
    </row>
    <row r="2763" spans="1:18" x14ac:dyDescent="0.35">
      <c r="A2763" t="s">
        <v>16319</v>
      </c>
      <c r="C2763" t="s">
        <v>46916</v>
      </c>
      <c r="D2763" t="s">
        <v>7144</v>
      </c>
      <c r="E2763" t="s">
        <v>43</v>
      </c>
      <c r="I2763" s="26">
        <v>36892</v>
      </c>
      <c r="J2763" s="28">
        <v>36892</v>
      </c>
      <c r="Q2763" t="s">
        <v>44683</v>
      </c>
      <c r="R2763" t="s">
        <v>48061</v>
      </c>
    </row>
    <row r="2764" spans="1:18" x14ac:dyDescent="0.35">
      <c r="A2764" t="s">
        <v>14512</v>
      </c>
      <c r="D2764" t="s">
        <v>2088</v>
      </c>
      <c r="E2764" t="s">
        <v>43</v>
      </c>
      <c r="I2764" s="26">
        <v>36526</v>
      </c>
      <c r="J2764" s="28">
        <v>36526</v>
      </c>
      <c r="Q2764" t="s">
        <v>44683</v>
      </c>
      <c r="R2764" t="s">
        <v>48062</v>
      </c>
    </row>
    <row r="2765" spans="1:18" x14ac:dyDescent="0.35">
      <c r="A2765" t="s">
        <v>14509</v>
      </c>
      <c r="C2765" t="s">
        <v>48063</v>
      </c>
      <c r="D2765" t="s">
        <v>2088</v>
      </c>
      <c r="E2765" t="s">
        <v>43</v>
      </c>
      <c r="I2765" s="26">
        <v>36892</v>
      </c>
      <c r="J2765" s="28">
        <v>36892</v>
      </c>
      <c r="Q2765" t="s">
        <v>44683</v>
      </c>
      <c r="R2765" t="s">
        <v>48064</v>
      </c>
    </row>
    <row r="2766" spans="1:18" x14ac:dyDescent="0.35">
      <c r="A2766" t="s">
        <v>14798</v>
      </c>
      <c r="C2766" t="s">
        <v>48065</v>
      </c>
      <c r="D2766" t="s">
        <v>2462</v>
      </c>
      <c r="E2766" t="s">
        <v>43</v>
      </c>
      <c r="I2766" s="26">
        <v>36526</v>
      </c>
      <c r="J2766" s="28">
        <v>36526</v>
      </c>
      <c r="Q2766" t="s">
        <v>44683</v>
      </c>
      <c r="R2766" t="s">
        <v>48066</v>
      </c>
    </row>
    <row r="2767" spans="1:18" x14ac:dyDescent="0.35">
      <c r="A2767" t="s">
        <v>15122</v>
      </c>
      <c r="D2767" t="s">
        <v>4998</v>
      </c>
      <c r="E2767" t="s">
        <v>43</v>
      </c>
      <c r="I2767" s="26">
        <v>36526</v>
      </c>
      <c r="J2767" s="28">
        <v>36526</v>
      </c>
      <c r="Q2767" t="s">
        <v>44683</v>
      </c>
      <c r="R2767" t="s">
        <v>48067</v>
      </c>
    </row>
    <row r="2768" spans="1:18" x14ac:dyDescent="0.35">
      <c r="A2768" t="s">
        <v>15938</v>
      </c>
      <c r="C2768" t="s">
        <v>47537</v>
      </c>
      <c r="D2768" t="s">
        <v>5877</v>
      </c>
      <c r="E2768" t="s">
        <v>43</v>
      </c>
      <c r="I2768" s="26">
        <v>36526</v>
      </c>
      <c r="J2768" s="28">
        <v>36526</v>
      </c>
      <c r="Q2768" t="s">
        <v>44683</v>
      </c>
      <c r="R2768" t="s">
        <v>48068</v>
      </c>
    </row>
    <row r="2769" spans="1:18" x14ac:dyDescent="0.35">
      <c r="A2769" t="s">
        <v>16415</v>
      </c>
      <c r="C2769" t="s">
        <v>48069</v>
      </c>
      <c r="D2769" t="s">
        <v>7219</v>
      </c>
      <c r="E2769" t="s">
        <v>43</v>
      </c>
      <c r="I2769" s="26">
        <v>35796</v>
      </c>
      <c r="J2769" s="28">
        <v>35796</v>
      </c>
      <c r="Q2769" t="s">
        <v>44683</v>
      </c>
      <c r="R2769" t="s">
        <v>48070</v>
      </c>
    </row>
    <row r="2770" spans="1:18" x14ac:dyDescent="0.35">
      <c r="A2770" t="s">
        <v>15103</v>
      </c>
      <c r="D2770" t="s">
        <v>3517</v>
      </c>
      <c r="E2770" t="s">
        <v>43</v>
      </c>
      <c r="I2770" s="26">
        <v>36526</v>
      </c>
      <c r="J2770" s="28">
        <v>36526</v>
      </c>
      <c r="Q2770" t="s">
        <v>44683</v>
      </c>
      <c r="R2770" t="s">
        <v>48071</v>
      </c>
    </row>
    <row r="2771" spans="1:18" x14ac:dyDescent="0.35">
      <c r="A2771" t="s">
        <v>14510</v>
      </c>
      <c r="C2771" t="s">
        <v>47980</v>
      </c>
      <c r="D2771" t="s">
        <v>2088</v>
      </c>
      <c r="E2771" t="s">
        <v>43</v>
      </c>
      <c r="I2771" s="26">
        <v>36526</v>
      </c>
      <c r="J2771" s="28">
        <v>36526</v>
      </c>
      <c r="Q2771" t="s">
        <v>44683</v>
      </c>
      <c r="R2771" t="s">
        <v>48072</v>
      </c>
    </row>
    <row r="2772" spans="1:18" x14ac:dyDescent="0.35">
      <c r="A2772" t="s">
        <v>14876</v>
      </c>
      <c r="D2772" t="s">
        <v>2756</v>
      </c>
      <c r="E2772" t="s">
        <v>43</v>
      </c>
      <c r="I2772" s="26">
        <v>36526</v>
      </c>
      <c r="J2772" s="28">
        <v>36526</v>
      </c>
      <c r="Q2772" t="s">
        <v>44683</v>
      </c>
      <c r="R2772" t="s">
        <v>48073</v>
      </c>
    </row>
    <row r="2773" spans="1:18" x14ac:dyDescent="0.35">
      <c r="A2773" t="s">
        <v>14877</v>
      </c>
      <c r="C2773" t="s">
        <v>48074</v>
      </c>
      <c r="D2773" t="s">
        <v>2756</v>
      </c>
      <c r="E2773" t="s">
        <v>43</v>
      </c>
      <c r="I2773" s="26">
        <v>36526</v>
      </c>
      <c r="J2773" s="28">
        <v>36526</v>
      </c>
      <c r="Q2773" t="s">
        <v>44683</v>
      </c>
      <c r="R2773" t="s">
        <v>48075</v>
      </c>
    </row>
    <row r="2774" spans="1:18" x14ac:dyDescent="0.35">
      <c r="A2774" t="s">
        <v>14360</v>
      </c>
      <c r="C2774" t="s">
        <v>48076</v>
      </c>
      <c r="D2774" t="s">
        <v>1878</v>
      </c>
      <c r="E2774" t="s">
        <v>43</v>
      </c>
      <c r="I2774" s="26">
        <v>36526</v>
      </c>
      <c r="J2774" s="28">
        <v>36526</v>
      </c>
      <c r="Q2774" t="s">
        <v>44683</v>
      </c>
      <c r="R2774" t="s">
        <v>48077</v>
      </c>
    </row>
    <row r="2775" spans="1:18" x14ac:dyDescent="0.35">
      <c r="A2775" t="s">
        <v>14114</v>
      </c>
      <c r="D2775" t="s">
        <v>1047</v>
      </c>
      <c r="E2775" t="s">
        <v>43</v>
      </c>
      <c r="I2775" s="26">
        <v>36526</v>
      </c>
      <c r="J2775" s="28">
        <v>36526</v>
      </c>
      <c r="Q2775" t="s">
        <v>44683</v>
      </c>
      <c r="R2775" t="s">
        <v>48078</v>
      </c>
    </row>
    <row r="2776" spans="1:18" x14ac:dyDescent="0.35">
      <c r="A2776" t="s">
        <v>15172</v>
      </c>
      <c r="C2776" t="s">
        <v>48079</v>
      </c>
      <c r="D2776" t="s">
        <v>5141</v>
      </c>
      <c r="E2776" t="s">
        <v>43</v>
      </c>
      <c r="I2776" s="26">
        <v>36526</v>
      </c>
      <c r="J2776" s="28">
        <v>36526</v>
      </c>
      <c r="Q2776" t="s">
        <v>44683</v>
      </c>
      <c r="R2776" t="s">
        <v>48080</v>
      </c>
    </row>
    <row r="2777" spans="1:18" x14ac:dyDescent="0.35">
      <c r="A2777" t="s">
        <v>15939</v>
      </c>
      <c r="C2777" t="s">
        <v>48081</v>
      </c>
      <c r="D2777" t="s">
        <v>5877</v>
      </c>
      <c r="E2777" t="s">
        <v>43</v>
      </c>
      <c r="I2777" s="26">
        <v>36161</v>
      </c>
      <c r="J2777" s="28">
        <v>36161</v>
      </c>
      <c r="Q2777" t="s">
        <v>44683</v>
      </c>
      <c r="R2777" t="s">
        <v>48082</v>
      </c>
    </row>
    <row r="2778" spans="1:18" x14ac:dyDescent="0.35">
      <c r="A2778" t="s">
        <v>48083</v>
      </c>
      <c r="C2778" t="s">
        <v>47835</v>
      </c>
      <c r="D2778" t="s">
        <v>7219</v>
      </c>
      <c r="E2778" t="s">
        <v>43</v>
      </c>
      <c r="I2778" s="26">
        <v>35796</v>
      </c>
      <c r="J2778" s="28">
        <v>35796</v>
      </c>
      <c r="Q2778" t="s">
        <v>44683</v>
      </c>
      <c r="R2778" t="s">
        <v>48084</v>
      </c>
    </row>
    <row r="2779" spans="1:18" x14ac:dyDescent="0.35">
      <c r="A2779" t="s">
        <v>14799</v>
      </c>
      <c r="C2779" t="s">
        <v>48085</v>
      </c>
      <c r="D2779" t="s">
        <v>2462</v>
      </c>
      <c r="E2779" t="s">
        <v>43</v>
      </c>
      <c r="I2779" s="26">
        <v>36526</v>
      </c>
      <c r="J2779" s="28">
        <v>36526</v>
      </c>
      <c r="Q2779" t="s">
        <v>44683</v>
      </c>
      <c r="R2779" t="s">
        <v>48086</v>
      </c>
    </row>
    <row r="2780" spans="1:18" x14ac:dyDescent="0.35">
      <c r="A2780" t="s">
        <v>15145</v>
      </c>
      <c r="C2780" t="s">
        <v>47835</v>
      </c>
      <c r="D2780" t="s">
        <v>5106</v>
      </c>
      <c r="E2780" t="s">
        <v>43</v>
      </c>
      <c r="I2780" s="26">
        <v>36161</v>
      </c>
      <c r="J2780" s="28">
        <v>36161</v>
      </c>
      <c r="Q2780" t="s">
        <v>44683</v>
      </c>
      <c r="R2780" t="s">
        <v>48087</v>
      </c>
    </row>
    <row r="2781" spans="1:18" x14ac:dyDescent="0.35">
      <c r="A2781" t="s">
        <v>15467</v>
      </c>
      <c r="D2781" t="s">
        <v>5725</v>
      </c>
      <c r="E2781" t="s">
        <v>43</v>
      </c>
      <c r="I2781" s="26">
        <v>36892</v>
      </c>
      <c r="J2781" s="28">
        <v>36892</v>
      </c>
      <c r="Q2781" t="s">
        <v>44683</v>
      </c>
      <c r="R2781" t="s">
        <v>48088</v>
      </c>
    </row>
    <row r="2782" spans="1:18" x14ac:dyDescent="0.35">
      <c r="A2782" t="s">
        <v>15474</v>
      </c>
      <c r="D2782" t="s">
        <v>5726</v>
      </c>
      <c r="E2782" t="s">
        <v>43</v>
      </c>
      <c r="I2782" s="26">
        <v>36892</v>
      </c>
      <c r="J2782" s="28">
        <v>36892</v>
      </c>
      <c r="Q2782" t="s">
        <v>44683</v>
      </c>
      <c r="R2782" t="s">
        <v>48089</v>
      </c>
    </row>
    <row r="2783" spans="1:18" x14ac:dyDescent="0.35">
      <c r="A2783" t="s">
        <v>15346</v>
      </c>
      <c r="C2783" t="s">
        <v>47838</v>
      </c>
      <c r="D2783" t="s">
        <v>5366</v>
      </c>
      <c r="E2783" t="s">
        <v>43</v>
      </c>
      <c r="I2783" s="26">
        <v>36892</v>
      </c>
      <c r="J2783" s="28">
        <v>36892</v>
      </c>
      <c r="Q2783" t="s">
        <v>44683</v>
      </c>
      <c r="R2783" t="s">
        <v>48090</v>
      </c>
    </row>
    <row r="2784" spans="1:18" x14ac:dyDescent="0.35">
      <c r="A2784" t="s">
        <v>14888</v>
      </c>
      <c r="C2784" t="s">
        <v>48052</v>
      </c>
      <c r="D2784" t="s">
        <v>2756</v>
      </c>
      <c r="E2784" t="s">
        <v>43</v>
      </c>
      <c r="I2784" s="26">
        <v>35796</v>
      </c>
      <c r="J2784" s="28">
        <v>35796</v>
      </c>
      <c r="Q2784" t="s">
        <v>44683</v>
      </c>
      <c r="R2784" t="s">
        <v>48091</v>
      </c>
    </row>
    <row r="2785" spans="1:18" x14ac:dyDescent="0.35">
      <c r="A2785" t="s">
        <v>14212</v>
      </c>
      <c r="C2785" t="s">
        <v>47980</v>
      </c>
      <c r="D2785" t="s">
        <v>1107</v>
      </c>
      <c r="E2785" t="s">
        <v>43</v>
      </c>
      <c r="I2785" s="26">
        <v>36526</v>
      </c>
      <c r="J2785" s="28">
        <v>36526</v>
      </c>
      <c r="Q2785" t="s">
        <v>44683</v>
      </c>
      <c r="R2785" t="s">
        <v>48092</v>
      </c>
    </row>
    <row r="2786" spans="1:18" x14ac:dyDescent="0.35">
      <c r="A2786" t="s">
        <v>14408</v>
      </c>
      <c r="D2786" t="s">
        <v>1953</v>
      </c>
      <c r="E2786" t="s">
        <v>43</v>
      </c>
      <c r="I2786" s="26">
        <v>36161</v>
      </c>
      <c r="J2786" s="28">
        <v>36161</v>
      </c>
      <c r="Q2786" t="s">
        <v>44683</v>
      </c>
      <c r="R2786" t="s">
        <v>48093</v>
      </c>
    </row>
    <row r="2787" spans="1:18" x14ac:dyDescent="0.35">
      <c r="A2787" t="s">
        <v>48094</v>
      </c>
      <c r="C2787" t="s">
        <v>48095</v>
      </c>
      <c r="D2787" t="s">
        <v>7401</v>
      </c>
      <c r="E2787" t="s">
        <v>43</v>
      </c>
      <c r="I2787" s="26">
        <v>36526</v>
      </c>
      <c r="J2787" s="28">
        <v>36526</v>
      </c>
      <c r="Q2787" t="s">
        <v>44683</v>
      </c>
      <c r="R2787" t="s">
        <v>48096</v>
      </c>
    </row>
    <row r="2788" spans="1:18" x14ac:dyDescent="0.35">
      <c r="A2788" t="s">
        <v>14407</v>
      </c>
      <c r="D2788" t="s">
        <v>1953</v>
      </c>
      <c r="E2788" t="s">
        <v>43</v>
      </c>
      <c r="I2788" s="26">
        <v>36526</v>
      </c>
      <c r="J2788" s="28">
        <v>36526</v>
      </c>
      <c r="Q2788" t="s">
        <v>44683</v>
      </c>
      <c r="R2788" t="s">
        <v>48097</v>
      </c>
    </row>
    <row r="2789" spans="1:18" x14ac:dyDescent="0.35">
      <c r="A2789" t="s">
        <v>15919</v>
      </c>
      <c r="C2789" t="s">
        <v>48098</v>
      </c>
      <c r="D2789" t="s">
        <v>5877</v>
      </c>
      <c r="E2789" t="s">
        <v>43</v>
      </c>
      <c r="I2789" s="26">
        <v>36892</v>
      </c>
      <c r="J2789" s="28">
        <v>36892</v>
      </c>
      <c r="Q2789" t="s">
        <v>44683</v>
      </c>
      <c r="R2789" t="s">
        <v>48099</v>
      </c>
    </row>
    <row r="2790" spans="1:18" x14ac:dyDescent="0.35">
      <c r="A2790" t="s">
        <v>15940</v>
      </c>
      <c r="C2790" t="s">
        <v>47751</v>
      </c>
      <c r="D2790" t="s">
        <v>5877</v>
      </c>
      <c r="E2790" t="s">
        <v>43</v>
      </c>
      <c r="I2790" s="26">
        <v>36161</v>
      </c>
      <c r="J2790" s="28">
        <v>36161</v>
      </c>
      <c r="Q2790" t="s">
        <v>44683</v>
      </c>
      <c r="R2790" t="s">
        <v>48100</v>
      </c>
    </row>
    <row r="2791" spans="1:18" x14ac:dyDescent="0.35">
      <c r="A2791" t="s">
        <v>15084</v>
      </c>
      <c r="C2791" t="s">
        <v>48069</v>
      </c>
      <c r="D2791" t="s">
        <v>3515</v>
      </c>
      <c r="E2791" t="s">
        <v>43</v>
      </c>
      <c r="I2791" s="26">
        <v>36526</v>
      </c>
      <c r="J2791" s="28">
        <v>36526</v>
      </c>
      <c r="Q2791" t="s">
        <v>44683</v>
      </c>
      <c r="R2791" t="s">
        <v>48101</v>
      </c>
    </row>
    <row r="2792" spans="1:18" x14ac:dyDescent="0.35">
      <c r="A2792" t="s">
        <v>14361</v>
      </c>
      <c r="C2792" t="s">
        <v>48102</v>
      </c>
      <c r="D2792" t="s">
        <v>1878</v>
      </c>
      <c r="E2792" t="s">
        <v>43</v>
      </c>
      <c r="I2792" s="26">
        <v>36526</v>
      </c>
      <c r="J2792" s="28">
        <v>36526</v>
      </c>
      <c r="Q2792" t="s">
        <v>44683</v>
      </c>
      <c r="R2792" t="s">
        <v>48103</v>
      </c>
    </row>
    <row r="2793" spans="1:18" x14ac:dyDescent="0.35">
      <c r="A2793" t="s">
        <v>14229</v>
      </c>
      <c r="C2793" t="s">
        <v>48104</v>
      </c>
      <c r="D2793" t="s">
        <v>1171</v>
      </c>
      <c r="E2793" t="s">
        <v>43</v>
      </c>
      <c r="I2793" s="26">
        <v>36526</v>
      </c>
      <c r="J2793" s="28">
        <v>36526</v>
      </c>
      <c r="Q2793" t="s">
        <v>44683</v>
      </c>
      <c r="R2793" t="s">
        <v>48105</v>
      </c>
    </row>
    <row r="2794" spans="1:18" x14ac:dyDescent="0.35">
      <c r="A2794" t="s">
        <v>14362</v>
      </c>
      <c r="C2794" t="s">
        <v>48106</v>
      </c>
      <c r="D2794" t="s">
        <v>1878</v>
      </c>
      <c r="E2794" t="s">
        <v>43</v>
      </c>
      <c r="I2794" s="26">
        <v>36526</v>
      </c>
      <c r="J2794" s="28">
        <v>36526</v>
      </c>
      <c r="Q2794" t="s">
        <v>44683</v>
      </c>
      <c r="R2794" t="s">
        <v>48107</v>
      </c>
    </row>
    <row r="2795" spans="1:18" x14ac:dyDescent="0.35">
      <c r="A2795" t="s">
        <v>15142</v>
      </c>
      <c r="C2795" t="s">
        <v>47835</v>
      </c>
      <c r="D2795" t="s">
        <v>5106</v>
      </c>
      <c r="E2795" t="s">
        <v>43</v>
      </c>
      <c r="I2795" s="26">
        <v>36892</v>
      </c>
      <c r="J2795" s="28">
        <v>36892</v>
      </c>
      <c r="Q2795" t="s">
        <v>44683</v>
      </c>
      <c r="R2795" t="s">
        <v>48108</v>
      </c>
    </row>
    <row r="2796" spans="1:18" x14ac:dyDescent="0.35">
      <c r="A2796" t="s">
        <v>15942</v>
      </c>
      <c r="C2796" t="s">
        <v>48109</v>
      </c>
      <c r="D2796" t="s">
        <v>5877</v>
      </c>
      <c r="E2796" t="s">
        <v>43</v>
      </c>
      <c r="I2796" s="26">
        <v>36161</v>
      </c>
      <c r="J2796" s="28">
        <v>36161</v>
      </c>
      <c r="Q2796" t="s">
        <v>44683</v>
      </c>
      <c r="R2796" t="s">
        <v>48110</v>
      </c>
    </row>
    <row r="2797" spans="1:18" x14ac:dyDescent="0.35">
      <c r="A2797" t="s">
        <v>15921</v>
      </c>
      <c r="C2797" t="s">
        <v>48111</v>
      </c>
      <c r="D2797" t="s">
        <v>5877</v>
      </c>
      <c r="E2797" t="s">
        <v>43</v>
      </c>
      <c r="I2797" s="26">
        <v>36892</v>
      </c>
      <c r="J2797" s="28">
        <v>36892</v>
      </c>
      <c r="Q2797" t="s">
        <v>44683</v>
      </c>
      <c r="R2797" t="s">
        <v>48112</v>
      </c>
    </row>
    <row r="2798" spans="1:18" x14ac:dyDescent="0.35">
      <c r="A2798" t="s">
        <v>15922</v>
      </c>
      <c r="C2798" t="s">
        <v>48113</v>
      </c>
      <c r="D2798" t="s">
        <v>5877</v>
      </c>
      <c r="E2798" t="s">
        <v>43</v>
      </c>
      <c r="I2798" s="26">
        <v>36892</v>
      </c>
      <c r="J2798" s="28">
        <v>36892</v>
      </c>
      <c r="Q2798" t="s">
        <v>44683</v>
      </c>
      <c r="R2798" t="s">
        <v>48114</v>
      </c>
    </row>
    <row r="2799" spans="1:18" x14ac:dyDescent="0.35">
      <c r="A2799" t="s">
        <v>15173</v>
      </c>
      <c r="C2799" t="s">
        <v>48115</v>
      </c>
      <c r="D2799" t="s">
        <v>5141</v>
      </c>
      <c r="E2799" t="s">
        <v>43</v>
      </c>
      <c r="I2799" s="26">
        <v>36526</v>
      </c>
      <c r="J2799" s="28">
        <v>36526</v>
      </c>
      <c r="Q2799" t="s">
        <v>44683</v>
      </c>
      <c r="R2799" t="s">
        <v>48116</v>
      </c>
    </row>
    <row r="2800" spans="1:18" x14ac:dyDescent="0.35">
      <c r="A2800" t="s">
        <v>14513</v>
      </c>
      <c r="D2800" t="s">
        <v>2088</v>
      </c>
      <c r="E2800" t="s">
        <v>43</v>
      </c>
      <c r="I2800" s="26">
        <v>36526</v>
      </c>
      <c r="J2800" s="28">
        <v>36526</v>
      </c>
      <c r="Q2800" t="s">
        <v>44683</v>
      </c>
      <c r="R2800" t="s">
        <v>48117</v>
      </c>
    </row>
    <row r="2801" spans="1:18" x14ac:dyDescent="0.35">
      <c r="A2801" t="s">
        <v>14363</v>
      </c>
      <c r="C2801" t="s">
        <v>48118</v>
      </c>
      <c r="D2801" t="s">
        <v>1878</v>
      </c>
      <c r="E2801" t="s">
        <v>43</v>
      </c>
      <c r="I2801" s="26">
        <v>36526</v>
      </c>
      <c r="J2801" s="28">
        <v>36526</v>
      </c>
      <c r="Q2801" t="s">
        <v>44683</v>
      </c>
      <c r="R2801" t="s">
        <v>48119</v>
      </c>
    </row>
    <row r="2802" spans="1:18" x14ac:dyDescent="0.35">
      <c r="A2802" t="s">
        <v>15080</v>
      </c>
      <c r="C2802" t="s">
        <v>48069</v>
      </c>
      <c r="D2802" t="s">
        <v>3514</v>
      </c>
      <c r="E2802" t="s">
        <v>43</v>
      </c>
      <c r="I2802" s="26">
        <v>34335</v>
      </c>
      <c r="J2802" s="28">
        <v>34335</v>
      </c>
      <c r="Q2802" t="s">
        <v>44683</v>
      </c>
      <c r="R2802" t="s">
        <v>48120</v>
      </c>
    </row>
    <row r="2803" spans="1:18" x14ac:dyDescent="0.35">
      <c r="A2803" t="s">
        <v>15050</v>
      </c>
      <c r="C2803" t="s">
        <v>46604</v>
      </c>
      <c r="D2803" t="s">
        <v>3438</v>
      </c>
      <c r="E2803" t="s">
        <v>43</v>
      </c>
      <c r="I2803" s="26">
        <v>34700</v>
      </c>
      <c r="J2803" s="28">
        <v>34700</v>
      </c>
      <c r="Q2803" t="s">
        <v>44683</v>
      </c>
      <c r="R2803" t="s">
        <v>48121</v>
      </c>
    </row>
    <row r="2804" spans="1:18" x14ac:dyDescent="0.35">
      <c r="A2804" t="s">
        <v>14048</v>
      </c>
      <c r="C2804" t="s">
        <v>47211</v>
      </c>
      <c r="D2804" t="s">
        <v>307</v>
      </c>
      <c r="E2804" t="s">
        <v>43</v>
      </c>
      <c r="I2804" s="26">
        <v>33604</v>
      </c>
      <c r="J2804" s="28">
        <v>33604</v>
      </c>
      <c r="Q2804" t="s">
        <v>44683</v>
      </c>
      <c r="R2804" t="s">
        <v>48122</v>
      </c>
    </row>
    <row r="2805" spans="1:18" x14ac:dyDescent="0.35">
      <c r="A2805" t="s">
        <v>15051</v>
      </c>
      <c r="C2805" t="s">
        <v>46604</v>
      </c>
      <c r="D2805" t="s">
        <v>3438</v>
      </c>
      <c r="E2805" t="s">
        <v>43</v>
      </c>
      <c r="I2805" s="26">
        <v>34700</v>
      </c>
      <c r="J2805" s="28">
        <v>34700</v>
      </c>
      <c r="Q2805" t="s">
        <v>44683</v>
      </c>
      <c r="R2805" t="s">
        <v>48123</v>
      </c>
    </row>
    <row r="2806" spans="1:18" x14ac:dyDescent="0.35">
      <c r="A2806" t="s">
        <v>16409</v>
      </c>
      <c r="C2806" t="s">
        <v>48124</v>
      </c>
      <c r="D2806" t="s">
        <v>7219</v>
      </c>
      <c r="E2806" t="s">
        <v>43</v>
      </c>
      <c r="I2806" s="26">
        <v>35431</v>
      </c>
      <c r="J2806" s="28">
        <v>35431</v>
      </c>
      <c r="Q2806" t="s">
        <v>44683</v>
      </c>
      <c r="R2806" t="s">
        <v>48125</v>
      </c>
    </row>
    <row r="2807" spans="1:18" x14ac:dyDescent="0.35">
      <c r="A2807" t="s">
        <v>15052</v>
      </c>
      <c r="C2807" t="s">
        <v>46604</v>
      </c>
      <c r="D2807" t="s">
        <v>3438</v>
      </c>
      <c r="E2807" t="s">
        <v>43</v>
      </c>
      <c r="I2807" s="26">
        <v>34700</v>
      </c>
      <c r="J2807" s="28">
        <v>34700</v>
      </c>
      <c r="Q2807" t="s">
        <v>44683</v>
      </c>
      <c r="R2807" t="s">
        <v>48126</v>
      </c>
    </row>
    <row r="2808" spans="1:18" x14ac:dyDescent="0.35">
      <c r="A2808" t="s">
        <v>15924</v>
      </c>
      <c r="C2808" t="s">
        <v>48127</v>
      </c>
      <c r="D2808" t="s">
        <v>5877</v>
      </c>
      <c r="E2808" t="s">
        <v>43</v>
      </c>
      <c r="I2808" s="26">
        <v>34700</v>
      </c>
      <c r="J2808" s="28">
        <v>34700</v>
      </c>
      <c r="Q2808" t="s">
        <v>44683</v>
      </c>
      <c r="R2808" t="s">
        <v>48128</v>
      </c>
    </row>
    <row r="2809" spans="1:18" x14ac:dyDescent="0.35">
      <c r="A2809" t="s">
        <v>15945</v>
      </c>
      <c r="C2809" t="s">
        <v>48129</v>
      </c>
      <c r="D2809" t="s">
        <v>5877</v>
      </c>
      <c r="E2809" t="s">
        <v>43</v>
      </c>
      <c r="I2809" s="26">
        <v>34335</v>
      </c>
      <c r="J2809" s="28">
        <v>34335</v>
      </c>
      <c r="Q2809" t="s">
        <v>44683</v>
      </c>
      <c r="R2809" t="s">
        <v>48130</v>
      </c>
    </row>
    <row r="2810" spans="1:18" x14ac:dyDescent="0.35">
      <c r="A2810" t="s">
        <v>14247</v>
      </c>
      <c r="D2810" t="s">
        <v>1255</v>
      </c>
      <c r="E2810" t="s">
        <v>43</v>
      </c>
      <c r="I2810" s="26">
        <v>35431</v>
      </c>
      <c r="J2810" s="28">
        <v>35431</v>
      </c>
      <c r="Q2810" t="s">
        <v>44683</v>
      </c>
      <c r="R2810" t="s">
        <v>48131</v>
      </c>
    </row>
    <row r="2811" spans="1:18" x14ac:dyDescent="0.35">
      <c r="A2811" t="s">
        <v>14878</v>
      </c>
      <c r="C2811" t="s">
        <v>47384</v>
      </c>
      <c r="D2811" t="s">
        <v>2756</v>
      </c>
      <c r="E2811" t="s">
        <v>43</v>
      </c>
      <c r="I2811" s="26">
        <v>34700</v>
      </c>
      <c r="J2811" s="28">
        <v>34700</v>
      </c>
      <c r="Q2811" t="s">
        <v>44683</v>
      </c>
      <c r="R2811" t="s">
        <v>48132</v>
      </c>
    </row>
    <row r="2812" spans="1:18" x14ac:dyDescent="0.35">
      <c r="A2812" t="s">
        <v>14890</v>
      </c>
      <c r="C2812" t="s">
        <v>48074</v>
      </c>
      <c r="D2812" t="s">
        <v>2756</v>
      </c>
      <c r="E2812" t="s">
        <v>43</v>
      </c>
      <c r="I2812" s="26">
        <v>33604</v>
      </c>
      <c r="J2812" s="28">
        <v>33604</v>
      </c>
      <c r="Q2812" t="s">
        <v>44683</v>
      </c>
      <c r="R2812" t="s">
        <v>48133</v>
      </c>
    </row>
    <row r="2813" spans="1:18" x14ac:dyDescent="0.35">
      <c r="A2813" t="s">
        <v>15053</v>
      </c>
      <c r="C2813" t="s">
        <v>46604</v>
      </c>
      <c r="D2813" t="s">
        <v>3438</v>
      </c>
      <c r="E2813" t="s">
        <v>43</v>
      </c>
      <c r="I2813" s="26">
        <v>34700</v>
      </c>
      <c r="J2813" s="28">
        <v>34700</v>
      </c>
      <c r="Q2813" t="s">
        <v>44683</v>
      </c>
      <c r="R2813" t="s">
        <v>48134</v>
      </c>
    </row>
    <row r="2814" spans="1:18" x14ac:dyDescent="0.35">
      <c r="A2814" t="s">
        <v>14879</v>
      </c>
      <c r="C2814" t="s">
        <v>48074</v>
      </c>
      <c r="D2814" t="s">
        <v>2756</v>
      </c>
      <c r="E2814" t="s">
        <v>43</v>
      </c>
      <c r="I2814" s="26">
        <v>35431</v>
      </c>
      <c r="J2814" s="28">
        <v>35431</v>
      </c>
      <c r="Q2814" t="s">
        <v>44683</v>
      </c>
      <c r="R2814" t="s">
        <v>48135</v>
      </c>
    </row>
    <row r="2815" spans="1:18" x14ac:dyDescent="0.35">
      <c r="A2815" t="s">
        <v>48136</v>
      </c>
      <c r="D2815" t="s">
        <v>1953</v>
      </c>
      <c r="E2815" t="s">
        <v>43</v>
      </c>
      <c r="I2815" s="26">
        <v>33239</v>
      </c>
      <c r="J2815" s="28">
        <v>33239</v>
      </c>
      <c r="Q2815" t="s">
        <v>44683</v>
      </c>
      <c r="R2815" t="s">
        <v>48137</v>
      </c>
    </row>
    <row r="2816" spans="1:18" x14ac:dyDescent="0.35">
      <c r="A2816" t="s">
        <v>15926</v>
      </c>
      <c r="C2816" t="s">
        <v>46988</v>
      </c>
      <c r="D2816" t="s">
        <v>5877</v>
      </c>
      <c r="E2816" t="s">
        <v>43</v>
      </c>
      <c r="I2816" s="26">
        <v>35431</v>
      </c>
      <c r="J2816" s="28">
        <v>35431</v>
      </c>
      <c r="Q2816" t="s">
        <v>44683</v>
      </c>
      <c r="R2816" t="s">
        <v>48138</v>
      </c>
    </row>
    <row r="2817" spans="1:18" x14ac:dyDescent="0.35">
      <c r="A2817" t="s">
        <v>14446</v>
      </c>
      <c r="C2817" t="s">
        <v>48139</v>
      </c>
      <c r="D2817" t="s">
        <v>2019</v>
      </c>
      <c r="E2817" t="s">
        <v>43</v>
      </c>
      <c r="I2817" s="26">
        <v>33239</v>
      </c>
      <c r="J2817" s="28">
        <v>33239</v>
      </c>
      <c r="Q2817" t="s">
        <v>44683</v>
      </c>
      <c r="R2817" t="s">
        <v>48140</v>
      </c>
    </row>
    <row r="2818" spans="1:18" x14ac:dyDescent="0.35">
      <c r="A2818" t="s">
        <v>16301</v>
      </c>
      <c r="C2818" t="s">
        <v>48141</v>
      </c>
      <c r="D2818" t="s">
        <v>5300</v>
      </c>
      <c r="E2818" t="s">
        <v>43</v>
      </c>
      <c r="I2818" s="26">
        <v>32874</v>
      </c>
      <c r="J2818" s="28">
        <v>32874</v>
      </c>
      <c r="Q2818" t="s">
        <v>44683</v>
      </c>
      <c r="R2818" t="s">
        <v>48142</v>
      </c>
    </row>
    <row r="2819" spans="1:18" x14ac:dyDescent="0.35">
      <c r="A2819" t="s">
        <v>14278</v>
      </c>
      <c r="D2819" t="s">
        <v>1485</v>
      </c>
      <c r="E2819" t="s">
        <v>43</v>
      </c>
      <c r="I2819" s="26">
        <v>35796</v>
      </c>
      <c r="J2819" s="28">
        <v>35796</v>
      </c>
      <c r="Q2819" t="s">
        <v>44683</v>
      </c>
      <c r="R2819" t="s">
        <v>48143</v>
      </c>
    </row>
    <row r="2820" spans="1:18" x14ac:dyDescent="0.35">
      <c r="A2820" t="s">
        <v>14259</v>
      </c>
      <c r="C2820" t="s">
        <v>47007</v>
      </c>
      <c r="D2820" t="s">
        <v>1373</v>
      </c>
      <c r="E2820" t="s">
        <v>43</v>
      </c>
      <c r="I2820" s="26">
        <v>35065</v>
      </c>
      <c r="J2820" s="28">
        <v>35065</v>
      </c>
      <c r="Q2820" t="s">
        <v>44683</v>
      </c>
      <c r="R2820" t="s">
        <v>48144</v>
      </c>
    </row>
    <row r="2821" spans="1:18" x14ac:dyDescent="0.35">
      <c r="A2821" t="s">
        <v>15054</v>
      </c>
      <c r="C2821" t="s">
        <v>46604</v>
      </c>
      <c r="D2821" t="s">
        <v>3438</v>
      </c>
      <c r="E2821" t="s">
        <v>43</v>
      </c>
      <c r="I2821" s="26">
        <v>34700</v>
      </c>
      <c r="J2821" s="28">
        <v>34700</v>
      </c>
      <c r="Q2821" t="s">
        <v>44683</v>
      </c>
      <c r="R2821" t="s">
        <v>48145</v>
      </c>
    </row>
    <row r="2822" spans="1:18" x14ac:dyDescent="0.35">
      <c r="A2822" t="s">
        <v>15928</v>
      </c>
      <c r="C2822" t="s">
        <v>48146</v>
      </c>
      <c r="D2822" t="s">
        <v>5877</v>
      </c>
      <c r="E2822" t="s">
        <v>43</v>
      </c>
      <c r="I2822" s="26">
        <v>35431</v>
      </c>
      <c r="J2822" s="28">
        <v>35431</v>
      </c>
      <c r="Q2822" t="s">
        <v>44683</v>
      </c>
      <c r="R2822" t="s">
        <v>48147</v>
      </c>
    </row>
    <row r="2823" spans="1:18" x14ac:dyDescent="0.35">
      <c r="A2823" t="s">
        <v>14810</v>
      </c>
      <c r="C2823" t="s">
        <v>11103</v>
      </c>
      <c r="D2823" t="s">
        <v>2462</v>
      </c>
      <c r="E2823" t="s">
        <v>43</v>
      </c>
      <c r="I2823" s="26">
        <v>32874</v>
      </c>
      <c r="J2823" s="28">
        <v>32874</v>
      </c>
      <c r="Q2823" t="s">
        <v>44683</v>
      </c>
      <c r="R2823" t="s">
        <v>48148</v>
      </c>
    </row>
    <row r="2824" spans="1:18" x14ac:dyDescent="0.35">
      <c r="A2824" t="s">
        <v>14327</v>
      </c>
      <c r="C2824" t="s">
        <v>48149</v>
      </c>
      <c r="D2824" t="s">
        <v>1762</v>
      </c>
      <c r="E2824" t="s">
        <v>43</v>
      </c>
      <c r="I2824" s="26">
        <v>32874</v>
      </c>
      <c r="J2824" s="28">
        <v>32874</v>
      </c>
      <c r="Q2824" t="s">
        <v>44683</v>
      </c>
      <c r="R2824" t="s">
        <v>48150</v>
      </c>
    </row>
    <row r="2825" spans="1:18" x14ac:dyDescent="0.35">
      <c r="A2825" t="s">
        <v>15929</v>
      </c>
      <c r="C2825" t="s">
        <v>46988</v>
      </c>
      <c r="D2825" t="s">
        <v>5877</v>
      </c>
      <c r="E2825" t="s">
        <v>43</v>
      </c>
      <c r="I2825" s="26">
        <v>35065</v>
      </c>
      <c r="J2825" s="28">
        <v>35065</v>
      </c>
      <c r="Q2825" t="s">
        <v>44683</v>
      </c>
      <c r="R2825" t="s">
        <v>48151</v>
      </c>
    </row>
    <row r="2826" spans="1:18" x14ac:dyDescent="0.35">
      <c r="A2826" t="s">
        <v>14059</v>
      </c>
      <c r="C2826" t="s">
        <v>47017</v>
      </c>
      <c r="D2826" t="s">
        <v>386</v>
      </c>
      <c r="E2826" t="s">
        <v>43</v>
      </c>
      <c r="I2826" s="26">
        <v>32874</v>
      </c>
      <c r="J2826" s="28">
        <v>32874</v>
      </c>
      <c r="Q2826" t="s">
        <v>44683</v>
      </c>
      <c r="R2826" t="s">
        <v>48152</v>
      </c>
    </row>
    <row r="2827" spans="1:18" x14ac:dyDescent="0.35">
      <c r="A2827" t="s">
        <v>15930</v>
      </c>
      <c r="C2827" t="s">
        <v>47070</v>
      </c>
      <c r="D2827" t="s">
        <v>5877</v>
      </c>
      <c r="E2827" t="s">
        <v>43</v>
      </c>
      <c r="I2827" s="26">
        <v>35431</v>
      </c>
      <c r="J2827" s="28">
        <v>35431</v>
      </c>
      <c r="Q2827" t="s">
        <v>44683</v>
      </c>
      <c r="R2827" t="s">
        <v>48153</v>
      </c>
    </row>
    <row r="2828" spans="1:18" x14ac:dyDescent="0.35">
      <c r="A2828" t="s">
        <v>15947</v>
      </c>
      <c r="C2828" t="s">
        <v>48154</v>
      </c>
      <c r="D2828" t="s">
        <v>5877</v>
      </c>
      <c r="E2828" t="s">
        <v>43</v>
      </c>
      <c r="I2828" s="26">
        <v>33970</v>
      </c>
      <c r="J2828" s="28">
        <v>33970</v>
      </c>
      <c r="Q2828" t="s">
        <v>44683</v>
      </c>
      <c r="R2828" t="s">
        <v>48155</v>
      </c>
    </row>
    <row r="2829" spans="1:18" x14ac:dyDescent="0.35">
      <c r="A2829" t="s">
        <v>15931</v>
      </c>
      <c r="C2829" t="s">
        <v>48156</v>
      </c>
      <c r="D2829" t="s">
        <v>5877</v>
      </c>
      <c r="E2829" t="s">
        <v>43</v>
      </c>
      <c r="I2829" s="26">
        <v>34335</v>
      </c>
      <c r="J2829" s="28">
        <v>34335</v>
      </c>
      <c r="Q2829" t="s">
        <v>44683</v>
      </c>
      <c r="R2829" t="s">
        <v>48157</v>
      </c>
    </row>
    <row r="2830" spans="1:18" x14ac:dyDescent="0.35">
      <c r="A2830" t="s">
        <v>14049</v>
      </c>
      <c r="C2830" t="s">
        <v>47211</v>
      </c>
      <c r="D2830" t="s">
        <v>307</v>
      </c>
      <c r="E2830" t="s">
        <v>43</v>
      </c>
      <c r="I2830" s="26">
        <v>33604</v>
      </c>
      <c r="J2830" s="28">
        <v>33604</v>
      </c>
      <c r="Q2830" t="s">
        <v>44683</v>
      </c>
      <c r="R2830" t="s">
        <v>48158</v>
      </c>
    </row>
    <row r="2831" spans="1:18" x14ac:dyDescent="0.35">
      <c r="A2831" t="s">
        <v>48159</v>
      </c>
      <c r="D2831" t="s">
        <v>1953</v>
      </c>
      <c r="E2831" t="s">
        <v>43</v>
      </c>
      <c r="I2831" s="26">
        <v>35065</v>
      </c>
      <c r="J2831" s="28">
        <v>35065</v>
      </c>
      <c r="Q2831" t="s">
        <v>44683</v>
      </c>
      <c r="R2831" t="s">
        <v>48160</v>
      </c>
    </row>
    <row r="2832" spans="1:18" x14ac:dyDescent="0.35">
      <c r="A2832" t="s">
        <v>48161</v>
      </c>
      <c r="D2832" t="s">
        <v>1953</v>
      </c>
      <c r="E2832" t="s">
        <v>43</v>
      </c>
      <c r="I2832" s="26">
        <v>35065</v>
      </c>
      <c r="J2832" s="28">
        <v>35065</v>
      </c>
      <c r="Q2832" t="s">
        <v>44683</v>
      </c>
      <c r="R2832" t="s">
        <v>48162</v>
      </c>
    </row>
    <row r="2833" spans="1:18" x14ac:dyDescent="0.35">
      <c r="A2833" t="s">
        <v>14880</v>
      </c>
      <c r="C2833" t="s">
        <v>48163</v>
      </c>
      <c r="D2833" t="s">
        <v>2756</v>
      </c>
      <c r="E2833" t="s">
        <v>43</v>
      </c>
      <c r="I2833" s="26">
        <v>34335</v>
      </c>
      <c r="J2833" s="28">
        <v>34335</v>
      </c>
      <c r="Q2833" t="s">
        <v>44683</v>
      </c>
      <c r="R2833" t="s">
        <v>48164</v>
      </c>
    </row>
    <row r="2834" spans="1:18" x14ac:dyDescent="0.35">
      <c r="A2834" t="s">
        <v>14800</v>
      </c>
      <c r="C2834" t="s">
        <v>48165</v>
      </c>
      <c r="D2834" t="s">
        <v>2462</v>
      </c>
      <c r="E2834" t="s">
        <v>43</v>
      </c>
      <c r="I2834" s="26">
        <v>34700</v>
      </c>
      <c r="J2834" s="28">
        <v>34700</v>
      </c>
      <c r="Q2834" t="s">
        <v>44683</v>
      </c>
      <c r="R2834" t="s">
        <v>48166</v>
      </c>
    </row>
    <row r="2835" spans="1:18" x14ac:dyDescent="0.35">
      <c r="A2835" t="s">
        <v>15949</v>
      </c>
      <c r="C2835" t="s">
        <v>48167</v>
      </c>
      <c r="D2835" t="s">
        <v>5877</v>
      </c>
      <c r="E2835" t="s">
        <v>43</v>
      </c>
      <c r="I2835" s="26">
        <v>34335</v>
      </c>
      <c r="J2835" s="28">
        <v>34335</v>
      </c>
      <c r="Q2835" t="s">
        <v>44683</v>
      </c>
      <c r="R2835" t="s">
        <v>48168</v>
      </c>
    </row>
    <row r="2836" spans="1:18" x14ac:dyDescent="0.35">
      <c r="A2836" t="s">
        <v>14801</v>
      </c>
      <c r="C2836" t="s">
        <v>48059</v>
      </c>
      <c r="D2836" t="s">
        <v>2462</v>
      </c>
      <c r="E2836" t="s">
        <v>43</v>
      </c>
      <c r="I2836" s="26">
        <v>34700</v>
      </c>
      <c r="J2836" s="28">
        <v>34700</v>
      </c>
      <c r="Q2836" t="s">
        <v>44683</v>
      </c>
      <c r="R2836" t="s">
        <v>48169</v>
      </c>
    </row>
    <row r="2837" spans="1:18" x14ac:dyDescent="0.35">
      <c r="A2837" t="s">
        <v>14329</v>
      </c>
      <c r="C2837" t="s">
        <v>48149</v>
      </c>
      <c r="D2837" t="s">
        <v>1762</v>
      </c>
      <c r="E2837" t="s">
        <v>43</v>
      </c>
      <c r="I2837" s="26">
        <v>32874</v>
      </c>
      <c r="J2837" s="28">
        <v>32874</v>
      </c>
      <c r="Q2837" t="s">
        <v>44683</v>
      </c>
      <c r="R2837" t="s">
        <v>48170</v>
      </c>
    </row>
    <row r="2838" spans="1:18" x14ac:dyDescent="0.35">
      <c r="A2838" t="s">
        <v>16432</v>
      </c>
      <c r="C2838" t="s">
        <v>28092</v>
      </c>
      <c r="D2838" t="s">
        <v>7244</v>
      </c>
      <c r="E2838" t="s">
        <v>43</v>
      </c>
      <c r="I2838" s="26">
        <v>33970</v>
      </c>
      <c r="J2838" s="28">
        <v>33970</v>
      </c>
      <c r="Q2838" t="s">
        <v>44683</v>
      </c>
      <c r="R2838" t="s">
        <v>48171</v>
      </c>
    </row>
    <row r="2839" spans="1:18" x14ac:dyDescent="0.35">
      <c r="A2839" t="s">
        <v>14511</v>
      </c>
      <c r="D2839" t="s">
        <v>2088</v>
      </c>
      <c r="E2839" t="s">
        <v>43</v>
      </c>
      <c r="I2839" s="26">
        <v>35431</v>
      </c>
      <c r="J2839" s="28">
        <v>35431</v>
      </c>
      <c r="Q2839" t="s">
        <v>44683</v>
      </c>
      <c r="R2839" t="s">
        <v>48172</v>
      </c>
    </row>
    <row r="2840" spans="1:18" x14ac:dyDescent="0.35">
      <c r="A2840" t="s">
        <v>15055</v>
      </c>
      <c r="C2840" t="s">
        <v>46604</v>
      </c>
      <c r="D2840" t="s">
        <v>3438</v>
      </c>
      <c r="E2840" t="s">
        <v>43</v>
      </c>
      <c r="I2840" s="26">
        <v>34700</v>
      </c>
      <c r="J2840" s="28">
        <v>34700</v>
      </c>
      <c r="Q2840" t="s">
        <v>44683</v>
      </c>
      <c r="R2840" t="s">
        <v>48173</v>
      </c>
    </row>
    <row r="2841" spans="1:18" x14ac:dyDescent="0.35">
      <c r="A2841" t="s">
        <v>16425</v>
      </c>
      <c r="C2841" t="s">
        <v>48174</v>
      </c>
      <c r="D2841" t="s">
        <v>7244</v>
      </c>
      <c r="E2841" t="s">
        <v>43</v>
      </c>
      <c r="I2841" s="26">
        <v>35431</v>
      </c>
      <c r="J2841" s="28">
        <v>35431</v>
      </c>
      <c r="Q2841" t="s">
        <v>44683</v>
      </c>
      <c r="R2841" t="s">
        <v>48175</v>
      </c>
    </row>
    <row r="2842" spans="1:18" x14ac:dyDescent="0.35">
      <c r="A2842" t="s">
        <v>15056</v>
      </c>
      <c r="C2842" t="s">
        <v>46604</v>
      </c>
      <c r="D2842" t="s">
        <v>3438</v>
      </c>
      <c r="E2842" t="s">
        <v>43</v>
      </c>
      <c r="I2842" s="26">
        <v>34700</v>
      </c>
      <c r="J2842" s="28">
        <v>34700</v>
      </c>
      <c r="Q2842" t="s">
        <v>44683</v>
      </c>
      <c r="R2842" t="s">
        <v>48176</v>
      </c>
    </row>
    <row r="2843" spans="1:18" x14ac:dyDescent="0.35">
      <c r="A2843" t="s">
        <v>15081</v>
      </c>
      <c r="C2843" t="s">
        <v>48069</v>
      </c>
      <c r="D2843" t="s">
        <v>3514</v>
      </c>
      <c r="E2843" t="s">
        <v>43</v>
      </c>
      <c r="I2843" s="26">
        <v>34335</v>
      </c>
      <c r="J2843" s="28">
        <v>34335</v>
      </c>
      <c r="Q2843" t="s">
        <v>44683</v>
      </c>
      <c r="R2843" t="s">
        <v>48177</v>
      </c>
    </row>
    <row r="2844" spans="1:18" x14ac:dyDescent="0.35">
      <c r="A2844" t="s">
        <v>15935</v>
      </c>
      <c r="C2844" t="s">
        <v>48178</v>
      </c>
      <c r="D2844" t="s">
        <v>5877</v>
      </c>
      <c r="E2844" t="s">
        <v>43</v>
      </c>
      <c r="I2844" s="26">
        <v>35796</v>
      </c>
      <c r="J2844" s="28">
        <v>35796</v>
      </c>
      <c r="Q2844" t="s">
        <v>44683</v>
      </c>
      <c r="R2844" t="s">
        <v>48179</v>
      </c>
    </row>
    <row r="2845" spans="1:18" x14ac:dyDescent="0.35">
      <c r="A2845" t="s">
        <v>15952</v>
      </c>
      <c r="C2845" t="s">
        <v>47841</v>
      </c>
      <c r="D2845" t="s">
        <v>5877</v>
      </c>
      <c r="E2845" t="s">
        <v>43</v>
      </c>
      <c r="I2845" s="26">
        <v>34335</v>
      </c>
      <c r="J2845" s="28">
        <v>34335</v>
      </c>
      <c r="Q2845" t="s">
        <v>44683</v>
      </c>
      <c r="R2845" t="s">
        <v>48180</v>
      </c>
    </row>
    <row r="2846" spans="1:18" x14ac:dyDescent="0.35">
      <c r="A2846" t="s">
        <v>14882</v>
      </c>
      <c r="C2846" t="s">
        <v>47384</v>
      </c>
      <c r="D2846" t="s">
        <v>2756</v>
      </c>
      <c r="E2846" t="s">
        <v>43</v>
      </c>
      <c r="I2846" s="26">
        <v>34700</v>
      </c>
      <c r="J2846" s="28">
        <v>34700</v>
      </c>
      <c r="Q2846" t="s">
        <v>44683</v>
      </c>
      <c r="R2846" t="s">
        <v>48181</v>
      </c>
    </row>
    <row r="2847" spans="1:18" x14ac:dyDescent="0.35">
      <c r="A2847" t="s">
        <v>14479</v>
      </c>
      <c r="D2847" t="s">
        <v>2076</v>
      </c>
      <c r="E2847" t="s">
        <v>43</v>
      </c>
      <c r="I2847" s="26">
        <v>35431</v>
      </c>
      <c r="J2847" s="28">
        <v>35431</v>
      </c>
      <c r="Q2847" t="s">
        <v>44683</v>
      </c>
      <c r="R2847" t="s">
        <v>48182</v>
      </c>
    </row>
    <row r="2848" spans="1:18" x14ac:dyDescent="0.35">
      <c r="A2848" t="s">
        <v>15057</v>
      </c>
      <c r="C2848" t="s">
        <v>46604</v>
      </c>
      <c r="D2848" t="s">
        <v>3438</v>
      </c>
      <c r="E2848" t="s">
        <v>43</v>
      </c>
      <c r="I2848" s="26">
        <v>34700</v>
      </c>
      <c r="J2848" s="28">
        <v>34700</v>
      </c>
      <c r="Q2848" t="s">
        <v>44683</v>
      </c>
      <c r="R2848" t="s">
        <v>48183</v>
      </c>
    </row>
    <row r="2849" spans="1:18" x14ac:dyDescent="0.35">
      <c r="A2849" t="s">
        <v>16410</v>
      </c>
      <c r="C2849" t="s">
        <v>47835</v>
      </c>
      <c r="D2849" t="s">
        <v>7219</v>
      </c>
      <c r="E2849" t="s">
        <v>43</v>
      </c>
      <c r="I2849" s="26">
        <v>34700</v>
      </c>
      <c r="J2849" s="28">
        <v>34700</v>
      </c>
      <c r="Q2849" t="s">
        <v>44683</v>
      </c>
      <c r="R2849" t="s">
        <v>48184</v>
      </c>
    </row>
    <row r="2850" spans="1:18" x14ac:dyDescent="0.35">
      <c r="A2850" t="s">
        <v>14802</v>
      </c>
      <c r="C2850" t="s">
        <v>47415</v>
      </c>
      <c r="D2850" t="s">
        <v>2462</v>
      </c>
      <c r="E2850" t="s">
        <v>43</v>
      </c>
      <c r="I2850" s="26">
        <v>34700</v>
      </c>
      <c r="J2850" s="28">
        <v>34700</v>
      </c>
      <c r="Q2850" t="s">
        <v>44683</v>
      </c>
      <c r="R2850" t="s">
        <v>48185</v>
      </c>
    </row>
    <row r="2851" spans="1:18" x14ac:dyDescent="0.35">
      <c r="A2851" t="s">
        <v>14803</v>
      </c>
      <c r="C2851" t="s">
        <v>47245</v>
      </c>
      <c r="D2851" t="s">
        <v>2462</v>
      </c>
      <c r="E2851" t="s">
        <v>43</v>
      </c>
      <c r="I2851" s="26">
        <v>34700</v>
      </c>
      <c r="J2851" s="28">
        <v>34700</v>
      </c>
      <c r="Q2851" t="s">
        <v>44683</v>
      </c>
      <c r="R2851" t="s">
        <v>48186</v>
      </c>
    </row>
    <row r="2852" spans="1:18" x14ac:dyDescent="0.35">
      <c r="A2852" t="s">
        <v>14804</v>
      </c>
      <c r="C2852" t="s">
        <v>47509</v>
      </c>
      <c r="D2852" t="s">
        <v>2462</v>
      </c>
      <c r="E2852" t="s">
        <v>43</v>
      </c>
      <c r="I2852" s="26">
        <v>34700</v>
      </c>
      <c r="J2852" s="28">
        <v>34700</v>
      </c>
      <c r="Q2852" t="s">
        <v>44683</v>
      </c>
      <c r="R2852" t="s">
        <v>48187</v>
      </c>
    </row>
    <row r="2853" spans="1:18" x14ac:dyDescent="0.35">
      <c r="A2853" t="s">
        <v>14447</v>
      </c>
      <c r="C2853" t="s">
        <v>48139</v>
      </c>
      <c r="D2853" t="s">
        <v>2019</v>
      </c>
      <c r="E2853" t="s">
        <v>43</v>
      </c>
      <c r="I2853" s="26">
        <v>33239</v>
      </c>
      <c r="J2853" s="28">
        <v>33239</v>
      </c>
      <c r="Q2853" t="s">
        <v>44683</v>
      </c>
      <c r="R2853" t="s">
        <v>48188</v>
      </c>
    </row>
    <row r="2854" spans="1:18" x14ac:dyDescent="0.35">
      <c r="A2854" t="s">
        <v>14448</v>
      </c>
      <c r="C2854" t="s">
        <v>48139</v>
      </c>
      <c r="D2854" t="s">
        <v>2019</v>
      </c>
      <c r="E2854" t="s">
        <v>43</v>
      </c>
      <c r="I2854" s="26">
        <v>33239</v>
      </c>
      <c r="J2854" s="28">
        <v>33239</v>
      </c>
      <c r="Q2854" t="s">
        <v>44683</v>
      </c>
      <c r="R2854" t="s">
        <v>48189</v>
      </c>
    </row>
    <row r="2855" spans="1:18" x14ac:dyDescent="0.35">
      <c r="A2855" t="s">
        <v>15058</v>
      </c>
      <c r="C2855" t="s">
        <v>46604</v>
      </c>
      <c r="D2855" t="s">
        <v>3438</v>
      </c>
      <c r="E2855" t="s">
        <v>43</v>
      </c>
      <c r="I2855" s="26">
        <v>34700</v>
      </c>
      <c r="J2855" s="28">
        <v>34700</v>
      </c>
      <c r="Q2855" t="s">
        <v>44683</v>
      </c>
      <c r="R2855" t="s">
        <v>48190</v>
      </c>
    </row>
    <row r="2856" spans="1:18" x14ac:dyDescent="0.35">
      <c r="A2856" t="s">
        <v>15059</v>
      </c>
      <c r="C2856" t="s">
        <v>46604</v>
      </c>
      <c r="D2856" t="s">
        <v>3438</v>
      </c>
      <c r="E2856" t="s">
        <v>43</v>
      </c>
      <c r="I2856" s="26">
        <v>34700</v>
      </c>
      <c r="J2856" s="28">
        <v>34700</v>
      </c>
      <c r="Q2856" t="s">
        <v>44683</v>
      </c>
      <c r="R2856" t="s">
        <v>48191</v>
      </c>
    </row>
    <row r="2857" spans="1:18" x14ac:dyDescent="0.35">
      <c r="A2857" t="s">
        <v>16411</v>
      </c>
      <c r="C2857" t="s">
        <v>48069</v>
      </c>
      <c r="D2857" t="s">
        <v>7219</v>
      </c>
      <c r="E2857" t="s">
        <v>43</v>
      </c>
      <c r="I2857" s="26">
        <v>35431</v>
      </c>
      <c r="J2857" s="28">
        <v>35431</v>
      </c>
      <c r="Q2857" t="s">
        <v>44683</v>
      </c>
      <c r="R2857" t="s">
        <v>48192</v>
      </c>
    </row>
    <row r="2858" spans="1:18" x14ac:dyDescent="0.35">
      <c r="A2858" t="s">
        <v>48193</v>
      </c>
      <c r="D2858" t="s">
        <v>1953</v>
      </c>
      <c r="E2858" t="s">
        <v>43</v>
      </c>
      <c r="I2858" s="26">
        <v>35065</v>
      </c>
      <c r="J2858" s="28">
        <v>35065</v>
      </c>
      <c r="Q2858" t="s">
        <v>44683</v>
      </c>
      <c r="R2858" t="s">
        <v>48194</v>
      </c>
    </row>
    <row r="2859" spans="1:18" x14ac:dyDescent="0.35">
      <c r="A2859" t="s">
        <v>14886</v>
      </c>
      <c r="C2859" t="s">
        <v>48195</v>
      </c>
      <c r="D2859" t="s">
        <v>2756</v>
      </c>
      <c r="E2859" t="s">
        <v>43</v>
      </c>
      <c r="I2859" s="26">
        <v>34335</v>
      </c>
      <c r="J2859" s="28">
        <v>34335</v>
      </c>
      <c r="Q2859" t="s">
        <v>44683</v>
      </c>
      <c r="R2859" t="s">
        <v>48196</v>
      </c>
    </row>
    <row r="2860" spans="1:18" x14ac:dyDescent="0.35">
      <c r="A2860" t="s">
        <v>48197</v>
      </c>
      <c r="D2860" t="s">
        <v>1953</v>
      </c>
      <c r="E2860" t="s">
        <v>43</v>
      </c>
      <c r="I2860" s="26">
        <v>33239</v>
      </c>
      <c r="J2860" s="28">
        <v>33239</v>
      </c>
      <c r="Q2860" t="s">
        <v>44683</v>
      </c>
      <c r="R2860" t="s">
        <v>48198</v>
      </c>
    </row>
    <row r="2861" spans="1:18" x14ac:dyDescent="0.35">
      <c r="A2861" t="s">
        <v>48199</v>
      </c>
      <c r="C2861" t="s">
        <v>48200</v>
      </c>
      <c r="D2861" t="s">
        <v>386</v>
      </c>
      <c r="E2861" t="s">
        <v>43</v>
      </c>
      <c r="I2861" s="26">
        <v>35065</v>
      </c>
      <c r="J2861" s="28">
        <v>35065</v>
      </c>
      <c r="Q2861" t="s">
        <v>44683</v>
      </c>
      <c r="R2861" t="s">
        <v>48201</v>
      </c>
    </row>
    <row r="2862" spans="1:18" x14ac:dyDescent="0.35">
      <c r="A2862" t="s">
        <v>48202</v>
      </c>
      <c r="D2862" t="s">
        <v>1953</v>
      </c>
      <c r="E2862" t="s">
        <v>43</v>
      </c>
      <c r="I2862" s="26">
        <v>33970</v>
      </c>
      <c r="J2862" s="28">
        <v>33970</v>
      </c>
      <c r="Q2862" t="s">
        <v>44683</v>
      </c>
      <c r="R2862" t="s">
        <v>48203</v>
      </c>
    </row>
    <row r="2863" spans="1:18" x14ac:dyDescent="0.35">
      <c r="A2863" t="s">
        <v>16427</v>
      </c>
      <c r="C2863" t="s">
        <v>48204</v>
      </c>
      <c r="D2863" t="s">
        <v>7244</v>
      </c>
      <c r="E2863" t="s">
        <v>43</v>
      </c>
      <c r="I2863" s="26">
        <v>34700</v>
      </c>
      <c r="J2863" s="28">
        <v>34700</v>
      </c>
      <c r="Q2863" t="s">
        <v>44683</v>
      </c>
      <c r="R2863" t="s">
        <v>48205</v>
      </c>
    </row>
    <row r="2864" spans="1:18" x14ac:dyDescent="0.35">
      <c r="A2864" t="s">
        <v>16412</v>
      </c>
      <c r="C2864" t="s">
        <v>47835</v>
      </c>
      <c r="D2864" t="s">
        <v>7219</v>
      </c>
      <c r="E2864" t="s">
        <v>43</v>
      </c>
      <c r="I2864" s="26">
        <v>35431</v>
      </c>
      <c r="J2864" s="28">
        <v>35431</v>
      </c>
      <c r="Q2864" t="s">
        <v>44683</v>
      </c>
      <c r="R2864" t="s">
        <v>48206</v>
      </c>
    </row>
    <row r="2865" spans="1:18" x14ac:dyDescent="0.35">
      <c r="A2865" t="s">
        <v>14331</v>
      </c>
      <c r="C2865" t="s">
        <v>48149</v>
      </c>
      <c r="D2865" t="s">
        <v>1762</v>
      </c>
      <c r="E2865" t="s">
        <v>43</v>
      </c>
      <c r="I2865" s="26">
        <v>32874</v>
      </c>
      <c r="J2865" s="28">
        <v>32874</v>
      </c>
      <c r="Q2865" t="s">
        <v>44683</v>
      </c>
      <c r="R2865" t="s">
        <v>48207</v>
      </c>
    </row>
    <row r="2866" spans="1:18" x14ac:dyDescent="0.35">
      <c r="A2866" t="s">
        <v>16413</v>
      </c>
      <c r="C2866" t="s">
        <v>48208</v>
      </c>
      <c r="D2866" t="s">
        <v>7219</v>
      </c>
      <c r="E2866" t="s">
        <v>43</v>
      </c>
      <c r="I2866" s="26">
        <v>34335</v>
      </c>
      <c r="J2866" s="28">
        <v>34335</v>
      </c>
      <c r="Q2866" t="s">
        <v>44683</v>
      </c>
      <c r="R2866" t="s">
        <v>48209</v>
      </c>
    </row>
    <row r="2867" spans="1:18" x14ac:dyDescent="0.35">
      <c r="A2867" t="s">
        <v>48210</v>
      </c>
      <c r="D2867" t="s">
        <v>1953</v>
      </c>
      <c r="E2867" t="s">
        <v>43</v>
      </c>
      <c r="I2867" s="26">
        <v>34335</v>
      </c>
      <c r="J2867" s="28">
        <v>34335</v>
      </c>
      <c r="Q2867" t="s">
        <v>44683</v>
      </c>
      <c r="R2867" t="s">
        <v>48211</v>
      </c>
    </row>
    <row r="2868" spans="1:18" x14ac:dyDescent="0.35">
      <c r="A2868" t="s">
        <v>14887</v>
      </c>
      <c r="C2868" t="s">
        <v>48074</v>
      </c>
      <c r="D2868" t="s">
        <v>2756</v>
      </c>
      <c r="E2868" t="s">
        <v>43</v>
      </c>
      <c r="I2868" s="26">
        <v>35431</v>
      </c>
      <c r="J2868" s="28">
        <v>35431</v>
      </c>
      <c r="Q2868" t="s">
        <v>44683</v>
      </c>
      <c r="R2868" t="s">
        <v>48212</v>
      </c>
    </row>
    <row r="2869" spans="1:18" x14ac:dyDescent="0.35">
      <c r="A2869" t="s">
        <v>15946</v>
      </c>
      <c r="C2869" t="s">
        <v>48213</v>
      </c>
      <c r="D2869" t="s">
        <v>5877</v>
      </c>
      <c r="E2869" t="s">
        <v>43</v>
      </c>
      <c r="I2869" s="26">
        <v>34335</v>
      </c>
      <c r="J2869" s="28">
        <v>34335</v>
      </c>
      <c r="Q2869" t="s">
        <v>44683</v>
      </c>
      <c r="R2869" t="s">
        <v>48214</v>
      </c>
    </row>
    <row r="2870" spans="1:18" x14ac:dyDescent="0.35">
      <c r="A2870" t="s">
        <v>16414</v>
      </c>
      <c r="C2870" t="s">
        <v>47965</v>
      </c>
      <c r="D2870" t="s">
        <v>7219</v>
      </c>
      <c r="E2870" t="s">
        <v>43</v>
      </c>
      <c r="I2870" s="26">
        <v>35431</v>
      </c>
      <c r="J2870" s="28">
        <v>35431</v>
      </c>
      <c r="Q2870" t="s">
        <v>44683</v>
      </c>
      <c r="R2870" t="s">
        <v>48215</v>
      </c>
    </row>
    <row r="2871" spans="1:18" x14ac:dyDescent="0.35">
      <c r="A2871" t="s">
        <v>14480</v>
      </c>
      <c r="D2871" t="s">
        <v>2076</v>
      </c>
      <c r="E2871" t="s">
        <v>43</v>
      </c>
      <c r="I2871" s="26">
        <v>35431</v>
      </c>
      <c r="J2871" s="28">
        <v>35431</v>
      </c>
      <c r="Q2871" t="s">
        <v>44683</v>
      </c>
      <c r="R2871" t="s">
        <v>48216</v>
      </c>
    </row>
    <row r="2872" spans="1:18" x14ac:dyDescent="0.35">
      <c r="A2872" t="s">
        <v>13970</v>
      </c>
      <c r="D2872" t="s">
        <v>1047</v>
      </c>
      <c r="E2872" t="s">
        <v>43</v>
      </c>
      <c r="I2872" s="26">
        <v>33604</v>
      </c>
      <c r="J2872" s="28">
        <v>33604</v>
      </c>
      <c r="Q2872" t="s">
        <v>44683</v>
      </c>
      <c r="R2872" t="s">
        <v>48217</v>
      </c>
    </row>
    <row r="2873" spans="1:18" x14ac:dyDescent="0.35">
      <c r="A2873" t="s">
        <v>15082</v>
      </c>
      <c r="C2873" t="s">
        <v>48069</v>
      </c>
      <c r="D2873" t="s">
        <v>3514</v>
      </c>
      <c r="E2873" t="s">
        <v>43</v>
      </c>
      <c r="I2873" s="26">
        <v>34335</v>
      </c>
      <c r="J2873" s="28">
        <v>34335</v>
      </c>
      <c r="Q2873" t="s">
        <v>44683</v>
      </c>
      <c r="R2873" t="s">
        <v>48218</v>
      </c>
    </row>
    <row r="2874" spans="1:18" x14ac:dyDescent="0.35">
      <c r="A2874" t="s">
        <v>14328</v>
      </c>
      <c r="C2874" t="s">
        <v>48149</v>
      </c>
      <c r="D2874" t="s">
        <v>1762</v>
      </c>
      <c r="E2874" t="s">
        <v>43</v>
      </c>
      <c r="I2874" s="26">
        <v>32874</v>
      </c>
      <c r="J2874" s="28">
        <v>32874</v>
      </c>
      <c r="Q2874" t="s">
        <v>44683</v>
      </c>
      <c r="R2874" t="s">
        <v>48219</v>
      </c>
    </row>
    <row r="2875" spans="1:18" x14ac:dyDescent="0.35">
      <c r="A2875" t="s">
        <v>14106</v>
      </c>
      <c r="D2875" t="s">
        <v>884</v>
      </c>
      <c r="E2875" t="s">
        <v>43</v>
      </c>
      <c r="I2875" s="26">
        <v>34700</v>
      </c>
      <c r="J2875" s="28">
        <v>34700</v>
      </c>
      <c r="Q2875" t="s">
        <v>44683</v>
      </c>
      <c r="R2875" t="s">
        <v>48220</v>
      </c>
    </row>
    <row r="2876" spans="1:18" x14ac:dyDescent="0.35">
      <c r="A2876" t="s">
        <v>16416</v>
      </c>
      <c r="C2876" t="s">
        <v>48124</v>
      </c>
      <c r="D2876" t="s">
        <v>7219</v>
      </c>
      <c r="E2876" t="s">
        <v>43</v>
      </c>
      <c r="I2876" s="26">
        <v>35431</v>
      </c>
      <c r="J2876" s="28">
        <v>35431</v>
      </c>
      <c r="Q2876" t="s">
        <v>44683</v>
      </c>
      <c r="R2876" t="s">
        <v>48221</v>
      </c>
    </row>
    <row r="2877" spans="1:18" x14ac:dyDescent="0.35">
      <c r="A2877" t="s">
        <v>14891</v>
      </c>
      <c r="C2877" t="s">
        <v>48222</v>
      </c>
      <c r="D2877" t="s">
        <v>2756</v>
      </c>
      <c r="E2877" t="s">
        <v>43</v>
      </c>
      <c r="I2877" s="26">
        <v>33604</v>
      </c>
      <c r="J2877" s="28">
        <v>33604</v>
      </c>
      <c r="Q2877" t="s">
        <v>44683</v>
      </c>
      <c r="R2877" t="s">
        <v>48223</v>
      </c>
    </row>
    <row r="2878" spans="1:18" x14ac:dyDescent="0.35">
      <c r="A2878" t="s">
        <v>48224</v>
      </c>
      <c r="D2878" t="s">
        <v>1953</v>
      </c>
      <c r="E2878" t="s">
        <v>43</v>
      </c>
      <c r="I2878" s="26">
        <v>35431</v>
      </c>
      <c r="J2878" s="28">
        <v>35431</v>
      </c>
      <c r="Q2878" t="s">
        <v>44683</v>
      </c>
      <c r="R2878" t="s">
        <v>48225</v>
      </c>
    </row>
    <row r="2879" spans="1:18" x14ac:dyDescent="0.35">
      <c r="A2879" t="s">
        <v>14805</v>
      </c>
      <c r="C2879" t="s">
        <v>48065</v>
      </c>
      <c r="D2879" t="s">
        <v>2462</v>
      </c>
      <c r="E2879" t="s">
        <v>43</v>
      </c>
      <c r="I2879" s="26">
        <v>34700</v>
      </c>
      <c r="J2879" s="28">
        <v>34700</v>
      </c>
      <c r="Q2879" t="s">
        <v>44683</v>
      </c>
      <c r="R2879" t="s">
        <v>48226</v>
      </c>
    </row>
    <row r="2880" spans="1:18" x14ac:dyDescent="0.35">
      <c r="A2880" t="s">
        <v>15189</v>
      </c>
      <c r="D2880" t="s">
        <v>5184</v>
      </c>
      <c r="E2880" t="s">
        <v>43</v>
      </c>
      <c r="I2880" s="26">
        <v>35796</v>
      </c>
      <c r="J2880" s="28">
        <v>35796</v>
      </c>
      <c r="Q2880" t="s">
        <v>44683</v>
      </c>
      <c r="R2880" t="s">
        <v>48227</v>
      </c>
    </row>
    <row r="2881" spans="1:18" x14ac:dyDescent="0.35">
      <c r="A2881" t="s">
        <v>48228</v>
      </c>
      <c r="D2881" t="s">
        <v>1953</v>
      </c>
      <c r="E2881" t="s">
        <v>43</v>
      </c>
      <c r="I2881" s="26">
        <v>33970</v>
      </c>
      <c r="J2881" s="28">
        <v>33970</v>
      </c>
      <c r="Q2881" t="s">
        <v>44683</v>
      </c>
      <c r="R2881" t="s">
        <v>48229</v>
      </c>
    </row>
    <row r="2882" spans="1:18" x14ac:dyDescent="0.35">
      <c r="A2882" t="s">
        <v>14812</v>
      </c>
      <c r="C2882" t="s">
        <v>47914</v>
      </c>
      <c r="D2882" t="s">
        <v>2462</v>
      </c>
      <c r="E2882" t="s">
        <v>43</v>
      </c>
      <c r="I2882" s="26">
        <v>32874</v>
      </c>
      <c r="J2882" s="28">
        <v>32874</v>
      </c>
      <c r="Q2882" t="s">
        <v>44683</v>
      </c>
      <c r="R2882" t="s">
        <v>48230</v>
      </c>
    </row>
    <row r="2883" spans="1:18" x14ac:dyDescent="0.35">
      <c r="A2883" t="s">
        <v>14449</v>
      </c>
      <c r="C2883" t="s">
        <v>48231</v>
      </c>
      <c r="D2883" t="s">
        <v>2023</v>
      </c>
      <c r="E2883" t="s">
        <v>43</v>
      </c>
      <c r="I2883" s="26">
        <v>32874</v>
      </c>
      <c r="J2883" s="28">
        <v>32874</v>
      </c>
      <c r="Q2883" t="s">
        <v>44683</v>
      </c>
      <c r="R2883" t="s">
        <v>48232</v>
      </c>
    </row>
    <row r="2884" spans="1:18" x14ac:dyDescent="0.35">
      <c r="A2884" t="s">
        <v>16431</v>
      </c>
      <c r="C2884" t="s">
        <v>28092</v>
      </c>
      <c r="D2884" t="s">
        <v>7244</v>
      </c>
      <c r="E2884" t="s">
        <v>43</v>
      </c>
      <c r="I2884" s="26">
        <v>34335</v>
      </c>
      <c r="J2884" s="28">
        <v>34335</v>
      </c>
      <c r="Q2884" t="s">
        <v>44683</v>
      </c>
      <c r="R2884" t="s">
        <v>48233</v>
      </c>
    </row>
    <row r="2885" spans="1:18" x14ac:dyDescent="0.35">
      <c r="A2885" t="s">
        <v>48234</v>
      </c>
      <c r="D2885" t="s">
        <v>1953</v>
      </c>
      <c r="E2885" t="s">
        <v>43</v>
      </c>
      <c r="I2885" s="26">
        <v>35065</v>
      </c>
      <c r="J2885" s="28">
        <v>35065</v>
      </c>
      <c r="Q2885" t="s">
        <v>44683</v>
      </c>
      <c r="R2885" t="s">
        <v>48235</v>
      </c>
    </row>
    <row r="2886" spans="1:18" x14ac:dyDescent="0.35">
      <c r="A2886" t="s">
        <v>16417</v>
      </c>
      <c r="C2886" t="s">
        <v>47835</v>
      </c>
      <c r="D2886" t="s">
        <v>7219</v>
      </c>
      <c r="E2886" t="s">
        <v>43</v>
      </c>
      <c r="I2886" s="26">
        <v>33970</v>
      </c>
      <c r="J2886" s="28">
        <v>33970</v>
      </c>
      <c r="Q2886" t="s">
        <v>44683</v>
      </c>
      <c r="R2886" t="s">
        <v>48236</v>
      </c>
    </row>
    <row r="2887" spans="1:18" x14ac:dyDescent="0.35">
      <c r="A2887" t="s">
        <v>14450</v>
      </c>
      <c r="C2887" t="s">
        <v>48231</v>
      </c>
      <c r="D2887" t="s">
        <v>2023</v>
      </c>
      <c r="E2887" t="s">
        <v>43</v>
      </c>
      <c r="I2887" s="26">
        <v>32874</v>
      </c>
      <c r="J2887" s="28">
        <v>32874</v>
      </c>
      <c r="Q2887" t="s">
        <v>44683</v>
      </c>
      <c r="R2887" t="s">
        <v>48237</v>
      </c>
    </row>
    <row r="2888" spans="1:18" x14ac:dyDescent="0.35">
      <c r="A2888" t="s">
        <v>14889</v>
      </c>
      <c r="C2888" t="s">
        <v>48074</v>
      </c>
      <c r="D2888" t="s">
        <v>2756</v>
      </c>
      <c r="E2888" t="s">
        <v>43</v>
      </c>
      <c r="I2888" s="26">
        <v>34335</v>
      </c>
      <c r="J2888" s="28">
        <v>34335</v>
      </c>
      <c r="Q2888" t="s">
        <v>44683</v>
      </c>
      <c r="R2888" t="s">
        <v>48238</v>
      </c>
    </row>
    <row r="2889" spans="1:18" x14ac:dyDescent="0.35">
      <c r="A2889" t="s">
        <v>15953</v>
      </c>
      <c r="C2889" t="s">
        <v>48239</v>
      </c>
      <c r="D2889" t="s">
        <v>5877</v>
      </c>
      <c r="E2889" t="s">
        <v>43</v>
      </c>
      <c r="I2889" s="26">
        <v>33970</v>
      </c>
      <c r="J2889" s="28">
        <v>33970</v>
      </c>
      <c r="Q2889" t="s">
        <v>44683</v>
      </c>
      <c r="R2889" t="s">
        <v>48240</v>
      </c>
    </row>
    <row r="2890" spans="1:18" x14ac:dyDescent="0.35">
      <c r="A2890" t="s">
        <v>14330</v>
      </c>
      <c r="C2890" t="s">
        <v>48149</v>
      </c>
      <c r="D2890" t="s">
        <v>1762</v>
      </c>
      <c r="E2890" t="s">
        <v>43</v>
      </c>
      <c r="I2890" s="26">
        <v>32874</v>
      </c>
      <c r="J2890" s="28">
        <v>32874</v>
      </c>
      <c r="Q2890" t="s">
        <v>44683</v>
      </c>
      <c r="R2890" t="s">
        <v>48241</v>
      </c>
    </row>
    <row r="2891" spans="1:18" x14ac:dyDescent="0.35">
      <c r="A2891" t="s">
        <v>14806</v>
      </c>
      <c r="C2891" t="s">
        <v>48242</v>
      </c>
      <c r="D2891" t="s">
        <v>2462</v>
      </c>
      <c r="E2891" t="s">
        <v>43</v>
      </c>
      <c r="I2891" s="26">
        <v>34700</v>
      </c>
      <c r="J2891" s="28">
        <v>34700</v>
      </c>
      <c r="Q2891" t="s">
        <v>44683</v>
      </c>
      <c r="R2891" t="s">
        <v>48243</v>
      </c>
    </row>
    <row r="2892" spans="1:18" x14ac:dyDescent="0.35">
      <c r="A2892" t="s">
        <v>15941</v>
      </c>
      <c r="C2892" t="s">
        <v>48146</v>
      </c>
      <c r="D2892" t="s">
        <v>5877</v>
      </c>
      <c r="E2892" t="s">
        <v>43</v>
      </c>
      <c r="I2892" s="26">
        <v>35431</v>
      </c>
      <c r="J2892" s="28">
        <v>35431</v>
      </c>
      <c r="Q2892" t="s">
        <v>44683</v>
      </c>
      <c r="R2892" t="s">
        <v>48244</v>
      </c>
    </row>
    <row r="2893" spans="1:18" x14ac:dyDescent="0.35">
      <c r="A2893" t="s">
        <v>14815</v>
      </c>
      <c r="C2893" t="s">
        <v>48245</v>
      </c>
      <c r="D2893" t="s">
        <v>2462</v>
      </c>
      <c r="E2893" t="s">
        <v>43</v>
      </c>
      <c r="I2893" s="26">
        <v>32874</v>
      </c>
      <c r="J2893" s="28">
        <v>32874</v>
      </c>
      <c r="Q2893" t="s">
        <v>44683</v>
      </c>
      <c r="R2893" t="s">
        <v>48246</v>
      </c>
    </row>
    <row r="2894" spans="1:18" x14ac:dyDescent="0.35">
      <c r="A2894" t="s">
        <v>15361</v>
      </c>
      <c r="D2894" t="s">
        <v>5414</v>
      </c>
      <c r="E2894" t="s">
        <v>43</v>
      </c>
      <c r="I2894" s="26">
        <v>33970</v>
      </c>
      <c r="J2894" s="28">
        <v>33970</v>
      </c>
      <c r="Q2894" t="s">
        <v>44683</v>
      </c>
      <c r="R2894" t="s">
        <v>48247</v>
      </c>
    </row>
    <row r="2895" spans="1:18" x14ac:dyDescent="0.35">
      <c r="A2895" t="s">
        <v>14248</v>
      </c>
      <c r="D2895" t="s">
        <v>1255</v>
      </c>
      <c r="E2895" t="s">
        <v>43</v>
      </c>
      <c r="I2895" s="26">
        <v>33970</v>
      </c>
      <c r="J2895" s="28">
        <v>33970</v>
      </c>
      <c r="Q2895" t="s">
        <v>44683</v>
      </c>
      <c r="R2895" t="s">
        <v>48248</v>
      </c>
    </row>
    <row r="2896" spans="1:18" x14ac:dyDescent="0.35">
      <c r="A2896" t="s">
        <v>15060</v>
      </c>
      <c r="C2896" t="s">
        <v>46604</v>
      </c>
      <c r="D2896" t="s">
        <v>3438</v>
      </c>
      <c r="E2896" t="s">
        <v>43</v>
      </c>
      <c r="I2896" s="26">
        <v>34700</v>
      </c>
      <c r="J2896" s="28">
        <v>34700</v>
      </c>
      <c r="Q2896" t="s">
        <v>44683</v>
      </c>
      <c r="R2896" t="s">
        <v>48249</v>
      </c>
    </row>
    <row r="2897" spans="1:18" x14ac:dyDescent="0.35">
      <c r="A2897" t="s">
        <v>14481</v>
      </c>
      <c r="D2897" t="s">
        <v>2076</v>
      </c>
      <c r="E2897" t="s">
        <v>43</v>
      </c>
      <c r="I2897" s="26">
        <v>35431</v>
      </c>
      <c r="J2897" s="28">
        <v>35431</v>
      </c>
      <c r="Q2897" t="s">
        <v>44683</v>
      </c>
      <c r="R2897" t="s">
        <v>48250</v>
      </c>
    </row>
    <row r="2898" spans="1:18" x14ac:dyDescent="0.35">
      <c r="A2898" t="s">
        <v>15083</v>
      </c>
      <c r="C2898" t="s">
        <v>48069</v>
      </c>
      <c r="D2898" t="s">
        <v>3514</v>
      </c>
      <c r="E2898" t="s">
        <v>43</v>
      </c>
      <c r="I2898" s="26">
        <v>34335</v>
      </c>
      <c r="J2898" s="28">
        <v>34335</v>
      </c>
      <c r="Q2898" t="s">
        <v>44683</v>
      </c>
      <c r="R2898" t="s">
        <v>48251</v>
      </c>
    </row>
    <row r="2899" spans="1:18" x14ac:dyDescent="0.35">
      <c r="A2899" t="s">
        <v>14807</v>
      </c>
      <c r="C2899" t="s">
        <v>46930</v>
      </c>
      <c r="D2899" t="s">
        <v>2462</v>
      </c>
      <c r="E2899" t="s">
        <v>43</v>
      </c>
      <c r="I2899" s="26">
        <v>34700</v>
      </c>
      <c r="J2899" s="28">
        <v>34700</v>
      </c>
      <c r="Q2899" t="s">
        <v>44683</v>
      </c>
      <c r="R2899" t="s">
        <v>48252</v>
      </c>
    </row>
    <row r="2900" spans="1:18" x14ac:dyDescent="0.35">
      <c r="A2900" t="s">
        <v>15943</v>
      </c>
      <c r="C2900" t="s">
        <v>47901</v>
      </c>
      <c r="D2900" t="s">
        <v>5877</v>
      </c>
      <c r="E2900" t="s">
        <v>43</v>
      </c>
      <c r="I2900" s="26">
        <v>34700</v>
      </c>
      <c r="J2900" s="28">
        <v>34700</v>
      </c>
      <c r="Q2900" t="s">
        <v>44683</v>
      </c>
      <c r="R2900" t="s">
        <v>48253</v>
      </c>
    </row>
    <row r="2901" spans="1:18" x14ac:dyDescent="0.35">
      <c r="A2901" t="s">
        <v>14115</v>
      </c>
      <c r="D2901" t="s">
        <v>1047</v>
      </c>
      <c r="E2901" t="s">
        <v>43</v>
      </c>
      <c r="I2901" s="26">
        <v>34700</v>
      </c>
      <c r="J2901" s="28">
        <v>34700</v>
      </c>
      <c r="Q2901" t="s">
        <v>44683</v>
      </c>
      <c r="R2901" t="s">
        <v>48254</v>
      </c>
    </row>
    <row r="2902" spans="1:18" x14ac:dyDescent="0.35">
      <c r="A2902" t="s">
        <v>14116</v>
      </c>
      <c r="D2902" t="s">
        <v>1047</v>
      </c>
      <c r="E2902" t="s">
        <v>43</v>
      </c>
      <c r="I2902" s="26">
        <v>25569</v>
      </c>
      <c r="J2902" s="28">
        <v>25569</v>
      </c>
      <c r="Q2902" t="s">
        <v>44683</v>
      </c>
      <c r="R2902" t="s">
        <v>48255</v>
      </c>
    </row>
    <row r="2903" spans="1:18" x14ac:dyDescent="0.35">
      <c r="A2903" t="s">
        <v>15944</v>
      </c>
      <c r="C2903" t="s">
        <v>47070</v>
      </c>
      <c r="D2903" t="s">
        <v>5877</v>
      </c>
      <c r="E2903" t="s">
        <v>43</v>
      </c>
      <c r="I2903" s="26">
        <v>30317</v>
      </c>
      <c r="J2903" s="28">
        <v>30317</v>
      </c>
      <c r="Q2903" t="s">
        <v>44683</v>
      </c>
      <c r="R2903" t="s">
        <v>48256</v>
      </c>
    </row>
    <row r="2904" spans="1:18" x14ac:dyDescent="0.35">
      <c r="A2904" t="s">
        <v>14267</v>
      </c>
      <c r="D2904" t="s">
        <v>1374</v>
      </c>
      <c r="E2904" t="s">
        <v>43</v>
      </c>
      <c r="I2904" s="26">
        <v>32143</v>
      </c>
      <c r="J2904" s="28">
        <v>32143</v>
      </c>
      <c r="Q2904" t="s">
        <v>44683</v>
      </c>
      <c r="R2904" t="s">
        <v>48257</v>
      </c>
    </row>
    <row r="2905" spans="1:18" x14ac:dyDescent="0.35">
      <c r="A2905" t="s">
        <v>16655</v>
      </c>
      <c r="E2905" t="s">
        <v>43</v>
      </c>
      <c r="I2905" s="26">
        <v>23377</v>
      </c>
      <c r="J2905" s="28">
        <v>23377</v>
      </c>
      <c r="Q2905" t="s">
        <v>44683</v>
      </c>
      <c r="R2905" t="s">
        <v>48258</v>
      </c>
    </row>
    <row r="2906" spans="1:18" x14ac:dyDescent="0.35">
      <c r="A2906" t="s">
        <v>15966</v>
      </c>
      <c r="D2906" t="s">
        <v>6555</v>
      </c>
      <c r="E2906" t="s">
        <v>43</v>
      </c>
      <c r="I2906" s="26">
        <v>28126</v>
      </c>
      <c r="J2906" s="28">
        <v>28126</v>
      </c>
      <c r="Q2906" t="s">
        <v>44683</v>
      </c>
      <c r="R2906" t="s">
        <v>48259</v>
      </c>
    </row>
    <row r="2907" spans="1:18" x14ac:dyDescent="0.35">
      <c r="A2907" t="s">
        <v>14268</v>
      </c>
      <c r="D2907" t="s">
        <v>1374</v>
      </c>
      <c r="E2907" t="s">
        <v>43</v>
      </c>
      <c r="I2907" s="26">
        <v>32143</v>
      </c>
      <c r="J2907" s="28">
        <v>32143</v>
      </c>
      <c r="Q2907" t="s">
        <v>44683</v>
      </c>
      <c r="R2907" t="s">
        <v>48260</v>
      </c>
    </row>
    <row r="2908" spans="1:18" x14ac:dyDescent="0.35">
      <c r="A2908" t="s">
        <v>48261</v>
      </c>
      <c r="D2908" t="s">
        <v>1953</v>
      </c>
      <c r="E2908" t="s">
        <v>43</v>
      </c>
      <c r="I2908" s="26">
        <v>24473</v>
      </c>
      <c r="J2908" s="28">
        <v>24473</v>
      </c>
      <c r="Q2908" t="s">
        <v>44683</v>
      </c>
      <c r="R2908" t="s">
        <v>48262</v>
      </c>
    </row>
    <row r="2909" spans="1:18" x14ac:dyDescent="0.35">
      <c r="A2909" t="s">
        <v>16656</v>
      </c>
      <c r="E2909" t="s">
        <v>43</v>
      </c>
      <c r="I2909" s="26">
        <v>23377</v>
      </c>
      <c r="J2909" s="28">
        <v>23377</v>
      </c>
      <c r="Q2909" t="s">
        <v>44683</v>
      </c>
      <c r="R2909" t="s">
        <v>48263</v>
      </c>
    </row>
    <row r="2910" spans="1:18" x14ac:dyDescent="0.35">
      <c r="A2910" t="s">
        <v>16657</v>
      </c>
      <c r="E2910" t="s">
        <v>43</v>
      </c>
      <c r="F2910" t="s">
        <v>16658</v>
      </c>
      <c r="I2910" s="26">
        <v>19360</v>
      </c>
      <c r="J2910" s="28">
        <v>19360</v>
      </c>
      <c r="Q2910" t="s">
        <v>44683</v>
      </c>
      <c r="R2910" t="s">
        <v>48264</v>
      </c>
    </row>
    <row r="2911" spans="1:18" x14ac:dyDescent="0.35">
      <c r="A2911" t="s">
        <v>15450</v>
      </c>
      <c r="C2911" t="s">
        <v>48265</v>
      </c>
      <c r="D2911" t="s">
        <v>5618</v>
      </c>
      <c r="E2911" t="s">
        <v>43</v>
      </c>
      <c r="I2911" s="26">
        <v>28491</v>
      </c>
      <c r="J2911" s="28">
        <v>28491</v>
      </c>
      <c r="Q2911" t="s">
        <v>44683</v>
      </c>
      <c r="R2911" t="s">
        <v>48266</v>
      </c>
    </row>
    <row r="2912" spans="1:18" x14ac:dyDescent="0.35">
      <c r="A2912" t="s">
        <v>14808</v>
      </c>
      <c r="C2912" t="s">
        <v>11103</v>
      </c>
      <c r="D2912" t="s">
        <v>2462</v>
      </c>
      <c r="E2912" t="s">
        <v>43</v>
      </c>
      <c r="I2912" s="26">
        <v>31048</v>
      </c>
      <c r="J2912" s="28">
        <v>31048</v>
      </c>
      <c r="Q2912" t="s">
        <v>44683</v>
      </c>
      <c r="R2912" t="s">
        <v>48267</v>
      </c>
    </row>
    <row r="2913" spans="1:18" x14ac:dyDescent="0.35">
      <c r="A2913" t="s">
        <v>14809</v>
      </c>
      <c r="C2913" t="s">
        <v>48020</v>
      </c>
      <c r="D2913" t="s">
        <v>2462</v>
      </c>
      <c r="E2913" t="s">
        <v>43</v>
      </c>
      <c r="I2913" s="26">
        <v>31048</v>
      </c>
      <c r="J2913" s="28">
        <v>31048</v>
      </c>
      <c r="Q2913" t="s">
        <v>44683</v>
      </c>
      <c r="R2913" t="s">
        <v>48268</v>
      </c>
    </row>
    <row r="2914" spans="1:18" x14ac:dyDescent="0.35">
      <c r="A2914" t="s">
        <v>16659</v>
      </c>
      <c r="E2914" t="s">
        <v>43</v>
      </c>
      <c r="F2914" t="s">
        <v>16658</v>
      </c>
      <c r="I2914" s="26">
        <v>19360</v>
      </c>
      <c r="J2914" s="28">
        <v>19360</v>
      </c>
      <c r="Q2914" t="s">
        <v>44683</v>
      </c>
      <c r="R2914" t="s">
        <v>48269</v>
      </c>
    </row>
    <row r="2915" spans="1:18" x14ac:dyDescent="0.35">
      <c r="A2915" t="s">
        <v>48270</v>
      </c>
      <c r="E2915" t="s">
        <v>43</v>
      </c>
      <c r="F2915" t="s">
        <v>48271</v>
      </c>
      <c r="I2915" s="26">
        <v>32509</v>
      </c>
      <c r="J2915" s="28">
        <v>32509</v>
      </c>
      <c r="Q2915" t="s">
        <v>44683</v>
      </c>
      <c r="R2915" t="s">
        <v>48272</v>
      </c>
    </row>
    <row r="2916" spans="1:18" x14ac:dyDescent="0.35">
      <c r="A2916" t="s">
        <v>16428</v>
      </c>
      <c r="C2916" t="s">
        <v>48273</v>
      </c>
      <c r="D2916" t="s">
        <v>7244</v>
      </c>
      <c r="E2916" t="s">
        <v>43</v>
      </c>
      <c r="I2916" s="26">
        <v>31048</v>
      </c>
      <c r="J2916" s="28">
        <v>31048</v>
      </c>
      <c r="Q2916" t="s">
        <v>44683</v>
      </c>
      <c r="R2916" t="s">
        <v>48274</v>
      </c>
    </row>
    <row r="2917" spans="1:18" x14ac:dyDescent="0.35">
      <c r="A2917" t="s">
        <v>14117</v>
      </c>
      <c r="D2917" t="s">
        <v>1047</v>
      </c>
      <c r="E2917" t="s">
        <v>43</v>
      </c>
      <c r="I2917" s="26">
        <v>32509</v>
      </c>
      <c r="J2917" s="28">
        <v>32509</v>
      </c>
      <c r="Q2917" t="s">
        <v>44683</v>
      </c>
      <c r="R2917" t="s">
        <v>48275</v>
      </c>
    </row>
    <row r="2918" spans="1:18" x14ac:dyDescent="0.35">
      <c r="A2918" t="s">
        <v>16429</v>
      </c>
      <c r="C2918" t="s">
        <v>48276</v>
      </c>
      <c r="D2918" t="s">
        <v>7244</v>
      </c>
      <c r="E2918" t="s">
        <v>43</v>
      </c>
      <c r="I2918" s="26">
        <v>31048</v>
      </c>
      <c r="J2918" s="28">
        <v>31048</v>
      </c>
      <c r="Q2918" t="s">
        <v>44683</v>
      </c>
      <c r="R2918" t="s">
        <v>48277</v>
      </c>
    </row>
    <row r="2919" spans="1:18" x14ac:dyDescent="0.35">
      <c r="A2919" t="s">
        <v>10347</v>
      </c>
      <c r="C2919" t="s">
        <v>48278</v>
      </c>
      <c r="D2919" t="s">
        <v>10347</v>
      </c>
      <c r="E2919" t="s">
        <v>43</v>
      </c>
      <c r="I2919" s="26">
        <v>19360</v>
      </c>
      <c r="J2919" s="28">
        <v>19360</v>
      </c>
      <c r="Q2919" t="s">
        <v>44683</v>
      </c>
      <c r="R2919" t="s">
        <v>48279</v>
      </c>
    </row>
    <row r="2920" spans="1:18" x14ac:dyDescent="0.35">
      <c r="A2920" t="s">
        <v>16660</v>
      </c>
      <c r="E2920" t="s">
        <v>43</v>
      </c>
      <c r="I2920" s="26">
        <v>23377</v>
      </c>
      <c r="J2920" s="28">
        <v>23377</v>
      </c>
      <c r="Q2920" t="s">
        <v>44683</v>
      </c>
      <c r="R2920" t="s">
        <v>48280</v>
      </c>
    </row>
    <row r="2921" spans="1:18" x14ac:dyDescent="0.35">
      <c r="A2921" t="s">
        <v>48281</v>
      </c>
      <c r="D2921" t="s">
        <v>1953</v>
      </c>
      <c r="E2921" t="s">
        <v>43</v>
      </c>
      <c r="I2921" s="26">
        <v>28491</v>
      </c>
      <c r="J2921" s="28">
        <v>28491</v>
      </c>
      <c r="Q2921" t="s">
        <v>44683</v>
      </c>
      <c r="R2921" t="s">
        <v>48282</v>
      </c>
    </row>
    <row r="2922" spans="1:18" x14ac:dyDescent="0.35">
      <c r="A2922" t="s">
        <v>16661</v>
      </c>
      <c r="E2922" t="s">
        <v>43</v>
      </c>
      <c r="I2922" s="26">
        <v>23377</v>
      </c>
      <c r="J2922" s="28">
        <v>23377</v>
      </c>
      <c r="Q2922" t="s">
        <v>44683</v>
      </c>
      <c r="R2922" t="s">
        <v>48283</v>
      </c>
    </row>
    <row r="2923" spans="1:18" x14ac:dyDescent="0.35">
      <c r="A2923" t="s">
        <v>48284</v>
      </c>
      <c r="D2923" t="s">
        <v>1953</v>
      </c>
      <c r="E2923" t="s">
        <v>43</v>
      </c>
      <c r="I2923" s="26">
        <v>24838</v>
      </c>
      <c r="J2923" s="28">
        <v>24838</v>
      </c>
      <c r="Q2923" t="s">
        <v>44683</v>
      </c>
      <c r="R2923" t="s">
        <v>48285</v>
      </c>
    </row>
    <row r="2924" spans="1:18" x14ac:dyDescent="0.35">
      <c r="A2924" t="s">
        <v>14269</v>
      </c>
      <c r="D2924" t="s">
        <v>1374</v>
      </c>
      <c r="E2924" t="s">
        <v>43</v>
      </c>
      <c r="I2924" s="26">
        <v>17168</v>
      </c>
      <c r="J2924" s="28">
        <v>17168</v>
      </c>
      <c r="Q2924" t="s">
        <v>44683</v>
      </c>
      <c r="R2924" t="s">
        <v>48286</v>
      </c>
    </row>
    <row r="2925" spans="1:18" x14ac:dyDescent="0.35">
      <c r="A2925" t="s">
        <v>15451</v>
      </c>
      <c r="C2925" t="s">
        <v>48265</v>
      </c>
      <c r="D2925" t="s">
        <v>5618</v>
      </c>
      <c r="E2925" t="s">
        <v>43</v>
      </c>
      <c r="I2925" s="26">
        <v>25934</v>
      </c>
      <c r="J2925" s="28">
        <v>25934</v>
      </c>
      <c r="Q2925" t="s">
        <v>44683</v>
      </c>
      <c r="R2925" t="s">
        <v>48287</v>
      </c>
    </row>
    <row r="2926" spans="1:18" x14ac:dyDescent="0.35">
      <c r="A2926" t="s">
        <v>16302</v>
      </c>
      <c r="C2926" t="s">
        <v>48288</v>
      </c>
      <c r="D2926" t="s">
        <v>5300</v>
      </c>
      <c r="E2926" t="s">
        <v>43</v>
      </c>
      <c r="I2926" s="26">
        <v>30682</v>
      </c>
      <c r="J2926" s="28">
        <v>30682</v>
      </c>
      <c r="Q2926" t="s">
        <v>44683</v>
      </c>
      <c r="R2926" t="s">
        <v>48289</v>
      </c>
    </row>
    <row r="2927" spans="1:18" x14ac:dyDescent="0.35">
      <c r="A2927" t="s">
        <v>16381</v>
      </c>
      <c r="D2927" t="s">
        <v>7162</v>
      </c>
      <c r="E2927" t="s">
        <v>43</v>
      </c>
      <c r="I2927" s="26">
        <v>23377</v>
      </c>
      <c r="J2927" s="28">
        <v>23377</v>
      </c>
      <c r="Q2927" t="s">
        <v>44683</v>
      </c>
      <c r="R2927" t="s">
        <v>48290</v>
      </c>
    </row>
    <row r="2928" spans="1:18" x14ac:dyDescent="0.35">
      <c r="A2928" t="s">
        <v>16662</v>
      </c>
      <c r="E2928" t="s">
        <v>43</v>
      </c>
      <c r="F2928" t="s">
        <v>16658</v>
      </c>
      <c r="I2928" s="26">
        <v>16072</v>
      </c>
      <c r="J2928" s="28">
        <v>16072</v>
      </c>
      <c r="Q2928" t="s">
        <v>44683</v>
      </c>
      <c r="R2928" t="s">
        <v>48291</v>
      </c>
    </row>
    <row r="2929" spans="1:18" x14ac:dyDescent="0.35">
      <c r="A2929" t="s">
        <v>15637</v>
      </c>
      <c r="D2929" t="s">
        <v>5876</v>
      </c>
      <c r="E2929" t="s">
        <v>43</v>
      </c>
      <c r="I2929" s="26">
        <v>27395</v>
      </c>
      <c r="J2929" s="28">
        <v>27395</v>
      </c>
      <c r="Q2929" t="s">
        <v>44683</v>
      </c>
      <c r="R2929" t="s">
        <v>48292</v>
      </c>
    </row>
    <row r="2930" spans="1:18" x14ac:dyDescent="0.35">
      <c r="A2930" t="s">
        <v>16430</v>
      </c>
      <c r="C2930" t="s">
        <v>48293</v>
      </c>
      <c r="D2930" t="s">
        <v>7244</v>
      </c>
      <c r="E2930" t="s">
        <v>43</v>
      </c>
      <c r="I2930" s="26">
        <v>32509</v>
      </c>
      <c r="J2930" s="28">
        <v>32509</v>
      </c>
      <c r="Q2930" t="s">
        <v>44683</v>
      </c>
      <c r="R2930" t="s">
        <v>48294</v>
      </c>
    </row>
    <row r="2931" spans="1:18" x14ac:dyDescent="0.35">
      <c r="A2931" t="s">
        <v>14811</v>
      </c>
      <c r="C2931" t="s">
        <v>48295</v>
      </c>
      <c r="D2931" t="s">
        <v>2462</v>
      </c>
      <c r="E2931" t="s">
        <v>43</v>
      </c>
      <c r="I2931" s="26">
        <v>31048</v>
      </c>
      <c r="J2931" s="28">
        <v>31048</v>
      </c>
      <c r="Q2931" t="s">
        <v>44683</v>
      </c>
      <c r="R2931" t="s">
        <v>48296</v>
      </c>
    </row>
    <row r="2932" spans="1:18" x14ac:dyDescent="0.35">
      <c r="A2932" t="s">
        <v>16663</v>
      </c>
      <c r="E2932" t="s">
        <v>43</v>
      </c>
      <c r="F2932" t="s">
        <v>16658</v>
      </c>
      <c r="I2932" s="26">
        <v>19725</v>
      </c>
      <c r="J2932" s="28">
        <v>19725</v>
      </c>
      <c r="Q2932" t="s">
        <v>44683</v>
      </c>
      <c r="R2932" t="s">
        <v>48297</v>
      </c>
    </row>
    <row r="2933" spans="1:18" x14ac:dyDescent="0.35">
      <c r="A2933" t="s">
        <v>15950</v>
      </c>
      <c r="C2933" t="s">
        <v>47447</v>
      </c>
      <c r="D2933" t="s">
        <v>5877</v>
      </c>
      <c r="E2933" t="s">
        <v>43</v>
      </c>
      <c r="I2933" s="26">
        <v>29221</v>
      </c>
      <c r="J2933" s="28">
        <v>29221</v>
      </c>
      <c r="Q2933" t="s">
        <v>44683</v>
      </c>
      <c r="R2933" t="s">
        <v>48298</v>
      </c>
    </row>
    <row r="2934" spans="1:18" x14ac:dyDescent="0.35">
      <c r="A2934" t="s">
        <v>48299</v>
      </c>
      <c r="D2934" t="s">
        <v>1953</v>
      </c>
      <c r="E2934" t="s">
        <v>43</v>
      </c>
      <c r="I2934" s="26">
        <v>26665</v>
      </c>
      <c r="J2934" s="28">
        <v>26665</v>
      </c>
      <c r="Q2934" t="s">
        <v>15078</v>
      </c>
      <c r="R2934" t="s">
        <v>48300</v>
      </c>
    </row>
    <row r="2935" spans="1:18" x14ac:dyDescent="0.35">
      <c r="A2935" t="s">
        <v>15967</v>
      </c>
      <c r="D2935" t="s">
        <v>6555</v>
      </c>
      <c r="E2935" t="s">
        <v>43</v>
      </c>
      <c r="I2935" s="26">
        <v>26299</v>
      </c>
      <c r="J2935" s="28">
        <v>26299</v>
      </c>
      <c r="Q2935" t="s">
        <v>44683</v>
      </c>
      <c r="R2935" t="s">
        <v>48301</v>
      </c>
    </row>
    <row r="2936" spans="1:18" x14ac:dyDescent="0.35">
      <c r="A2936" t="s">
        <v>15638</v>
      </c>
      <c r="D2936" t="s">
        <v>5876</v>
      </c>
      <c r="E2936" t="s">
        <v>43</v>
      </c>
      <c r="I2936" s="26">
        <v>27395</v>
      </c>
      <c r="J2936" s="28">
        <v>27395</v>
      </c>
      <c r="Q2936" t="s">
        <v>44683</v>
      </c>
      <c r="R2936" t="s">
        <v>48302</v>
      </c>
    </row>
    <row r="2937" spans="1:18" x14ac:dyDescent="0.35">
      <c r="A2937" t="s">
        <v>15951</v>
      </c>
      <c r="C2937" t="s">
        <v>48303</v>
      </c>
      <c r="D2937" t="s">
        <v>5877</v>
      </c>
      <c r="E2937" t="s">
        <v>43</v>
      </c>
      <c r="I2937" s="26">
        <v>32509</v>
      </c>
      <c r="J2937" s="28">
        <v>32509</v>
      </c>
      <c r="Q2937" t="s">
        <v>44683</v>
      </c>
      <c r="R2937" t="s">
        <v>48304</v>
      </c>
    </row>
    <row r="2938" spans="1:18" x14ac:dyDescent="0.35">
      <c r="A2938" t="s">
        <v>14270</v>
      </c>
      <c r="D2938" t="s">
        <v>1374</v>
      </c>
      <c r="E2938" t="s">
        <v>43</v>
      </c>
      <c r="I2938" s="26">
        <v>23377</v>
      </c>
      <c r="J2938" s="28">
        <v>23377</v>
      </c>
      <c r="Q2938" t="s">
        <v>44683</v>
      </c>
      <c r="R2938" t="s">
        <v>48305</v>
      </c>
    </row>
    <row r="2939" spans="1:18" x14ac:dyDescent="0.35">
      <c r="A2939" t="s">
        <v>16382</v>
      </c>
      <c r="D2939" t="s">
        <v>7162</v>
      </c>
      <c r="E2939" t="s">
        <v>43</v>
      </c>
      <c r="I2939" s="26">
        <v>23377</v>
      </c>
      <c r="J2939" s="28">
        <v>23377</v>
      </c>
      <c r="Q2939" t="s">
        <v>44683</v>
      </c>
      <c r="R2939" t="s">
        <v>48306</v>
      </c>
    </row>
    <row r="2940" spans="1:18" x14ac:dyDescent="0.35">
      <c r="A2940" t="s">
        <v>15639</v>
      </c>
      <c r="D2940" t="s">
        <v>5876</v>
      </c>
      <c r="E2940" t="s">
        <v>43</v>
      </c>
      <c r="I2940" s="26">
        <v>27760</v>
      </c>
      <c r="J2940" s="28">
        <v>27760</v>
      </c>
      <c r="Q2940" t="s">
        <v>44683</v>
      </c>
      <c r="R2940" t="s">
        <v>48307</v>
      </c>
    </row>
    <row r="2941" spans="1:18" x14ac:dyDescent="0.35">
      <c r="A2941" t="s">
        <v>15640</v>
      </c>
      <c r="D2941" t="s">
        <v>5876</v>
      </c>
      <c r="E2941" t="s">
        <v>43</v>
      </c>
      <c r="I2941" s="26">
        <v>22647</v>
      </c>
      <c r="J2941" s="28">
        <v>22647</v>
      </c>
      <c r="Q2941" t="s">
        <v>44683</v>
      </c>
      <c r="R2941" t="s">
        <v>48308</v>
      </c>
    </row>
    <row r="2942" spans="1:18" x14ac:dyDescent="0.35">
      <c r="A2942" t="s">
        <v>16433</v>
      </c>
      <c r="C2942" t="s">
        <v>48309</v>
      </c>
      <c r="D2942" t="s">
        <v>7244</v>
      </c>
      <c r="E2942" t="s">
        <v>43</v>
      </c>
      <c r="I2942" s="26">
        <v>32143</v>
      </c>
      <c r="J2942" s="28">
        <v>32143</v>
      </c>
      <c r="Q2942" t="s">
        <v>44683</v>
      </c>
      <c r="R2942" t="s">
        <v>48310</v>
      </c>
    </row>
    <row r="2943" spans="1:18" x14ac:dyDescent="0.35">
      <c r="A2943" t="s">
        <v>48311</v>
      </c>
      <c r="D2943" t="s">
        <v>1953</v>
      </c>
      <c r="E2943" t="s">
        <v>43</v>
      </c>
      <c r="I2943" s="26">
        <v>24838</v>
      </c>
      <c r="J2943" s="28">
        <v>24838</v>
      </c>
      <c r="Q2943" t="s">
        <v>44683</v>
      </c>
      <c r="R2943" t="s">
        <v>48312</v>
      </c>
    </row>
    <row r="2944" spans="1:18" x14ac:dyDescent="0.35">
      <c r="A2944" t="s">
        <v>16664</v>
      </c>
      <c r="E2944" t="s">
        <v>43</v>
      </c>
      <c r="I2944" s="26">
        <v>23377</v>
      </c>
      <c r="J2944" s="28">
        <v>23377</v>
      </c>
      <c r="Q2944" t="s">
        <v>44683</v>
      </c>
      <c r="R2944" t="s">
        <v>48313</v>
      </c>
    </row>
    <row r="2945" spans="1:18" x14ac:dyDescent="0.35">
      <c r="A2945" t="s">
        <v>14271</v>
      </c>
      <c r="D2945" t="s">
        <v>1374</v>
      </c>
      <c r="E2945" t="s">
        <v>43</v>
      </c>
      <c r="I2945" s="26">
        <v>23377</v>
      </c>
      <c r="J2945" s="28">
        <v>23377</v>
      </c>
      <c r="Q2945" t="s">
        <v>44683</v>
      </c>
      <c r="R2945" t="s">
        <v>48314</v>
      </c>
    </row>
    <row r="2946" spans="1:18" x14ac:dyDescent="0.35">
      <c r="A2946" t="s">
        <v>16665</v>
      </c>
      <c r="E2946" t="s">
        <v>43</v>
      </c>
      <c r="F2946" t="s">
        <v>16658</v>
      </c>
      <c r="I2946" s="26">
        <v>19360</v>
      </c>
      <c r="J2946" s="28">
        <v>19360</v>
      </c>
      <c r="Q2946" t="s">
        <v>44683</v>
      </c>
      <c r="R2946" t="s">
        <v>48315</v>
      </c>
    </row>
    <row r="2947" spans="1:18" x14ac:dyDescent="0.35">
      <c r="A2947" t="s">
        <v>48316</v>
      </c>
      <c r="D2947" t="s">
        <v>1953</v>
      </c>
      <c r="E2947" t="s">
        <v>43</v>
      </c>
      <c r="I2947" s="26">
        <v>28126</v>
      </c>
      <c r="J2947" s="28">
        <v>28126</v>
      </c>
      <c r="Q2947" t="s">
        <v>44683</v>
      </c>
      <c r="R2947" t="s">
        <v>48317</v>
      </c>
    </row>
    <row r="2948" spans="1:18" x14ac:dyDescent="0.35">
      <c r="A2948" t="s">
        <v>16666</v>
      </c>
      <c r="E2948" t="s">
        <v>43</v>
      </c>
      <c r="F2948" t="s">
        <v>16658</v>
      </c>
      <c r="I2948" s="26">
        <v>17899</v>
      </c>
      <c r="J2948" s="28">
        <v>17899</v>
      </c>
      <c r="Q2948" t="s">
        <v>44683</v>
      </c>
      <c r="R2948" t="s">
        <v>48318</v>
      </c>
    </row>
    <row r="2949" spans="1:18" x14ac:dyDescent="0.35">
      <c r="A2949" t="s">
        <v>15641</v>
      </c>
      <c r="D2949" t="s">
        <v>5876</v>
      </c>
      <c r="E2949" t="s">
        <v>43</v>
      </c>
      <c r="I2949" s="26">
        <v>27760</v>
      </c>
      <c r="J2949" s="28">
        <v>27760</v>
      </c>
      <c r="Q2949" t="s">
        <v>44683</v>
      </c>
      <c r="R2949" t="s">
        <v>48319</v>
      </c>
    </row>
    <row r="2950" spans="1:18" x14ac:dyDescent="0.35">
      <c r="A2950" t="s">
        <v>15452</v>
      </c>
      <c r="C2950" t="s">
        <v>48265</v>
      </c>
      <c r="D2950" t="s">
        <v>5618</v>
      </c>
      <c r="E2950" t="s">
        <v>43</v>
      </c>
      <c r="I2950" s="26">
        <v>28491</v>
      </c>
      <c r="J2950" s="28">
        <v>28491</v>
      </c>
      <c r="Q2950" t="s">
        <v>44683</v>
      </c>
      <c r="R2950" t="s">
        <v>48320</v>
      </c>
    </row>
    <row r="2951" spans="1:18" x14ac:dyDescent="0.35">
      <c r="A2951" t="s">
        <v>16667</v>
      </c>
      <c r="E2951" t="s">
        <v>43</v>
      </c>
      <c r="I2951" s="26">
        <v>23397</v>
      </c>
      <c r="J2951" s="28">
        <v>23397</v>
      </c>
      <c r="Q2951" t="s">
        <v>44683</v>
      </c>
      <c r="R2951" t="s">
        <v>48321</v>
      </c>
    </row>
    <row r="2952" spans="1:18" x14ac:dyDescent="0.35">
      <c r="A2952" t="s">
        <v>14813</v>
      </c>
      <c r="C2952" t="s">
        <v>48322</v>
      </c>
      <c r="D2952" t="s">
        <v>2462</v>
      </c>
      <c r="E2952" t="s">
        <v>43</v>
      </c>
      <c r="I2952" s="26">
        <v>31048</v>
      </c>
      <c r="J2952" s="28">
        <v>31048</v>
      </c>
      <c r="Q2952" t="s">
        <v>44683</v>
      </c>
      <c r="R2952" t="s">
        <v>48323</v>
      </c>
    </row>
    <row r="2953" spans="1:18" x14ac:dyDescent="0.35">
      <c r="A2953" t="s">
        <v>15968</v>
      </c>
      <c r="D2953" t="s">
        <v>6555</v>
      </c>
      <c r="E2953" t="s">
        <v>43</v>
      </c>
      <c r="I2953" s="26">
        <v>26299</v>
      </c>
      <c r="J2953" s="28">
        <v>26299</v>
      </c>
      <c r="Q2953" t="s">
        <v>44683</v>
      </c>
      <c r="R2953" t="s">
        <v>48324</v>
      </c>
    </row>
    <row r="2954" spans="1:18" x14ac:dyDescent="0.35">
      <c r="A2954" t="s">
        <v>14814</v>
      </c>
      <c r="C2954" t="s">
        <v>48085</v>
      </c>
      <c r="D2954" t="s">
        <v>2462</v>
      </c>
      <c r="E2954" t="s">
        <v>43</v>
      </c>
      <c r="I2954" s="26">
        <v>32874</v>
      </c>
      <c r="J2954" s="28">
        <v>32874</v>
      </c>
      <c r="Q2954" t="s">
        <v>44683</v>
      </c>
      <c r="R2954" t="s">
        <v>48325</v>
      </c>
    </row>
    <row r="2955" spans="1:18" x14ac:dyDescent="0.35">
      <c r="A2955" t="s">
        <v>16236</v>
      </c>
      <c r="C2955" t="s">
        <v>48326</v>
      </c>
      <c r="D2955" t="s">
        <v>2498</v>
      </c>
      <c r="E2955" t="s">
        <v>43</v>
      </c>
      <c r="I2955" s="26">
        <v>25569</v>
      </c>
      <c r="J2955" s="28">
        <v>25569</v>
      </c>
      <c r="Q2955" t="s">
        <v>44683</v>
      </c>
      <c r="R2955" t="s">
        <v>48327</v>
      </c>
    </row>
    <row r="2956" spans="1:18" x14ac:dyDescent="0.35">
      <c r="A2956" t="s">
        <v>16434</v>
      </c>
      <c r="C2956" t="s">
        <v>48276</v>
      </c>
      <c r="D2956" t="s">
        <v>7244</v>
      </c>
      <c r="E2956" t="s">
        <v>43</v>
      </c>
      <c r="I2956" s="26">
        <v>32143</v>
      </c>
      <c r="J2956" s="28">
        <v>32143</v>
      </c>
      <c r="Q2956" t="s">
        <v>44683</v>
      </c>
      <c r="R2956" t="s">
        <v>48328</v>
      </c>
    </row>
    <row r="2957" spans="1:18" x14ac:dyDescent="0.35">
      <c r="A2957" t="s">
        <v>48329</v>
      </c>
      <c r="D2957" t="s">
        <v>1953</v>
      </c>
      <c r="E2957" t="s">
        <v>43</v>
      </c>
      <c r="I2957" s="26">
        <v>32509</v>
      </c>
      <c r="J2957" s="28">
        <v>32509</v>
      </c>
      <c r="Q2957" t="s">
        <v>44683</v>
      </c>
      <c r="R2957" t="s">
        <v>48330</v>
      </c>
    </row>
    <row r="2958" spans="1:18" x14ac:dyDescent="0.35">
      <c r="A2958" t="s">
        <v>15642</v>
      </c>
      <c r="D2958" t="s">
        <v>5876</v>
      </c>
      <c r="E2958" t="s">
        <v>43</v>
      </c>
      <c r="I2958" s="26">
        <v>26665</v>
      </c>
      <c r="J2958" s="28">
        <v>26665</v>
      </c>
      <c r="Q2958" t="s">
        <v>44683</v>
      </c>
      <c r="R2958" t="s">
        <v>48331</v>
      </c>
    </row>
    <row r="2959" spans="1:18" x14ac:dyDescent="0.35">
      <c r="A2959" t="s">
        <v>14834</v>
      </c>
      <c r="D2959" t="s">
        <v>2603</v>
      </c>
      <c r="E2959" t="s">
        <v>43</v>
      </c>
      <c r="I2959" s="26">
        <v>27760</v>
      </c>
      <c r="J2959" s="28">
        <v>27760</v>
      </c>
      <c r="Q2959" t="s">
        <v>44683</v>
      </c>
      <c r="R2959" t="s">
        <v>48332</v>
      </c>
    </row>
    <row r="2960" spans="1:18" x14ac:dyDescent="0.35">
      <c r="A2960" t="s">
        <v>16668</v>
      </c>
      <c r="E2960" t="s">
        <v>43</v>
      </c>
      <c r="I2960" s="26">
        <v>23377</v>
      </c>
      <c r="J2960" s="28">
        <v>23377</v>
      </c>
      <c r="Q2960" t="s">
        <v>44683</v>
      </c>
      <c r="R2960" t="s">
        <v>48333</v>
      </c>
    </row>
    <row r="2961" spans="1:18" x14ac:dyDescent="0.35">
      <c r="A2961" t="s">
        <v>14272</v>
      </c>
      <c r="D2961" t="s">
        <v>1374</v>
      </c>
      <c r="E2961" t="s">
        <v>43</v>
      </c>
      <c r="I2961" s="26">
        <v>7306</v>
      </c>
      <c r="J2961" s="28">
        <v>7306</v>
      </c>
      <c r="Q2961" t="s">
        <v>44683</v>
      </c>
      <c r="R2961" t="s">
        <v>48334</v>
      </c>
    </row>
    <row r="2962" spans="1:18" x14ac:dyDescent="0.35">
      <c r="A2962" t="s">
        <v>48335</v>
      </c>
      <c r="D2962" t="s">
        <v>1953</v>
      </c>
      <c r="E2962" t="s">
        <v>43</v>
      </c>
      <c r="I2962" s="26">
        <v>26665</v>
      </c>
      <c r="J2962" s="28">
        <v>26665</v>
      </c>
      <c r="Q2962" t="s">
        <v>44683</v>
      </c>
      <c r="R2962" t="s">
        <v>48336</v>
      </c>
    </row>
    <row r="2963" spans="1:18" x14ac:dyDescent="0.35">
      <c r="A2963" t="s">
        <v>16383</v>
      </c>
      <c r="D2963" t="s">
        <v>7162</v>
      </c>
      <c r="E2963" t="s">
        <v>43</v>
      </c>
      <c r="I2963" s="26">
        <v>23377</v>
      </c>
      <c r="J2963" s="28">
        <v>23377</v>
      </c>
      <c r="Q2963" t="s">
        <v>44683</v>
      </c>
      <c r="R2963" t="s">
        <v>48337</v>
      </c>
    </row>
    <row r="2964" spans="1:18" x14ac:dyDescent="0.35">
      <c r="A2964" t="s">
        <v>15453</v>
      </c>
      <c r="C2964" t="s">
        <v>48265</v>
      </c>
      <c r="D2964" t="s">
        <v>5618</v>
      </c>
      <c r="E2964" t="s">
        <v>43</v>
      </c>
      <c r="I2964" s="26">
        <v>25934</v>
      </c>
      <c r="J2964" s="28">
        <v>25934</v>
      </c>
      <c r="Q2964" t="s">
        <v>44683</v>
      </c>
      <c r="R2964" t="s">
        <v>48338</v>
      </c>
    </row>
    <row r="2965" spans="1:18" x14ac:dyDescent="0.35">
      <c r="A2965" t="s">
        <v>16669</v>
      </c>
      <c r="E2965" t="s">
        <v>43</v>
      </c>
      <c r="F2965" t="s">
        <v>16658</v>
      </c>
      <c r="I2965" s="26">
        <v>17533</v>
      </c>
      <c r="J2965" s="28">
        <v>17533</v>
      </c>
      <c r="Q2965" t="s">
        <v>44683</v>
      </c>
      <c r="R2965" t="s">
        <v>48339</v>
      </c>
    </row>
    <row r="2966" spans="1:18" x14ac:dyDescent="0.35">
      <c r="A2966" t="s">
        <v>14816</v>
      </c>
      <c r="C2966" t="s">
        <v>48340</v>
      </c>
      <c r="D2966" t="s">
        <v>2462</v>
      </c>
      <c r="E2966" t="s">
        <v>43</v>
      </c>
      <c r="I2966" s="26">
        <v>31048</v>
      </c>
      <c r="J2966" s="28">
        <v>31048</v>
      </c>
      <c r="Q2966" t="s">
        <v>44683</v>
      </c>
      <c r="R2966" t="s">
        <v>48341</v>
      </c>
    </row>
    <row r="2967" spans="1:18" x14ac:dyDescent="0.35">
      <c r="A2967" t="s">
        <v>14273</v>
      </c>
      <c r="C2967" t="s">
        <v>48265</v>
      </c>
      <c r="D2967" t="s">
        <v>1374</v>
      </c>
      <c r="E2967" t="s">
        <v>43</v>
      </c>
      <c r="I2967" s="26">
        <v>31413</v>
      </c>
      <c r="J2967" s="28">
        <v>31413</v>
      </c>
      <c r="Q2967" t="s">
        <v>44683</v>
      </c>
      <c r="R2967" t="s">
        <v>48342</v>
      </c>
    </row>
    <row r="2968" spans="1:18" x14ac:dyDescent="0.35">
      <c r="A2968" t="s">
        <v>15954</v>
      </c>
      <c r="D2968" t="s">
        <v>5877</v>
      </c>
      <c r="E2968" t="s">
        <v>43</v>
      </c>
      <c r="I2968" s="26">
        <v>27760</v>
      </c>
      <c r="J2968" s="28">
        <v>27760</v>
      </c>
      <c r="Q2968" t="s">
        <v>44683</v>
      </c>
      <c r="R2968" t="s">
        <v>48343</v>
      </c>
    </row>
  </sheetData>
  <autoFilter ref="A1:R2968" xr:uid="{B6777D80-1585-46AC-AAD8-3F2F50BFC65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97"/>
  <sheetViews>
    <sheetView workbookViewId="0">
      <pane ySplit="2" topLeftCell="A3" activePane="bottomLeft" state="frozen"/>
      <selection pane="bottomLeft" activeCell="A3" sqref="A3"/>
    </sheetView>
  </sheetViews>
  <sheetFormatPr defaultRowHeight="12.75" x14ac:dyDescent="0.35"/>
  <cols>
    <col min="1" max="1" width="55" customWidth="1"/>
    <col min="2" max="2" width="52" bestFit="1" customWidth="1"/>
    <col min="3" max="3" width="9" bestFit="1" customWidth="1"/>
    <col min="4" max="4" width="17.86328125" bestFit="1" customWidth="1"/>
    <col min="5" max="7" width="10.73046875" bestFit="1" customWidth="1"/>
    <col min="8" max="8" width="10.1328125" customWidth="1"/>
    <col min="10" max="10" width="11.86328125" customWidth="1"/>
    <col min="11" max="11" width="10.59765625" customWidth="1"/>
    <col min="12" max="12" width="11.265625" customWidth="1"/>
    <col min="13" max="13" width="11.1328125" customWidth="1"/>
    <col min="14" max="14" width="26.86328125" bestFit="1" customWidth="1"/>
    <col min="15" max="15" width="12.59765625" bestFit="1" customWidth="1"/>
    <col min="16" max="16" width="40.1328125" bestFit="1" customWidth="1"/>
  </cols>
  <sheetData>
    <row r="1" spans="1:16" s="10" customFormat="1" ht="76.5" customHeight="1" thickBot="1" x14ac:dyDescent="0.45">
      <c r="A1" s="31" t="s">
        <v>22139</v>
      </c>
      <c r="B1" s="31"/>
      <c r="C1" s="19"/>
      <c r="D1" s="19"/>
      <c r="E1" s="19"/>
      <c r="F1" s="19"/>
      <c r="G1" s="19"/>
      <c r="H1" s="19"/>
      <c r="I1" s="19"/>
      <c r="J1" s="19"/>
      <c r="K1" s="19"/>
      <c r="L1" s="19"/>
      <c r="M1" s="19"/>
      <c r="N1" s="19"/>
      <c r="O1" s="19"/>
      <c r="P1" s="19"/>
    </row>
    <row r="2" spans="1:16" s="1" customFormat="1" ht="51" customHeight="1" thickBot="1" x14ac:dyDescent="0.4">
      <c r="A2" s="3" t="s">
        <v>0</v>
      </c>
      <c r="B2" s="9" t="s">
        <v>16671</v>
      </c>
      <c r="C2" s="3" t="s">
        <v>2</v>
      </c>
      <c r="D2" s="3" t="s">
        <v>3</v>
      </c>
      <c r="E2" s="4" t="s">
        <v>7</v>
      </c>
      <c r="F2" s="4" t="s">
        <v>8</v>
      </c>
      <c r="G2" s="4" t="s">
        <v>9</v>
      </c>
      <c r="H2" s="4" t="s">
        <v>10</v>
      </c>
      <c r="I2" s="4" t="s">
        <v>11</v>
      </c>
      <c r="J2" s="4" t="s">
        <v>12</v>
      </c>
      <c r="K2" s="4" t="s">
        <v>13</v>
      </c>
      <c r="L2" s="4" t="s">
        <v>14</v>
      </c>
      <c r="M2" s="4" t="s">
        <v>21</v>
      </c>
      <c r="N2" s="3" t="s">
        <v>22</v>
      </c>
      <c r="O2" s="3" t="s">
        <v>23</v>
      </c>
      <c r="P2" s="3" t="s">
        <v>16670</v>
      </c>
    </row>
    <row r="3" spans="1:16" ht="13.15" x14ac:dyDescent="0.4">
      <c r="A3" s="2" t="s">
        <v>10712</v>
      </c>
      <c r="B3" s="2" t="s">
        <v>5878</v>
      </c>
      <c r="C3" s="6" t="s">
        <v>5879</v>
      </c>
      <c r="D3" s="6" t="s">
        <v>42</v>
      </c>
      <c r="E3" s="7">
        <v>44927</v>
      </c>
      <c r="F3" s="8" t="s">
        <v>77</v>
      </c>
      <c r="G3" s="2" t="s">
        <v>26</v>
      </c>
      <c r="H3" s="8" t="s">
        <v>28</v>
      </c>
      <c r="I3" s="2" t="s">
        <v>26</v>
      </c>
      <c r="J3" s="7">
        <v>44927</v>
      </c>
      <c r="K3" s="8" t="s">
        <v>77</v>
      </c>
      <c r="L3" s="2" t="s">
        <v>26</v>
      </c>
      <c r="M3" s="8" t="s">
        <v>28</v>
      </c>
      <c r="N3" s="6" t="s">
        <v>2264</v>
      </c>
      <c r="O3" s="6" t="s">
        <v>30</v>
      </c>
      <c r="P3" s="2" t="s">
        <v>10746</v>
      </c>
    </row>
    <row r="4" spans="1:16" ht="13.15" x14ac:dyDescent="0.4">
      <c r="A4" s="2" t="s">
        <v>10710</v>
      </c>
      <c r="B4" s="2" t="s">
        <v>5878</v>
      </c>
      <c r="C4" s="6" t="s">
        <v>5879</v>
      </c>
      <c r="D4" s="6" t="s">
        <v>42</v>
      </c>
      <c r="E4" s="7">
        <v>44927</v>
      </c>
      <c r="F4" s="8" t="s">
        <v>77</v>
      </c>
      <c r="G4" s="2" t="s">
        <v>26</v>
      </c>
      <c r="H4" s="8" t="s">
        <v>28</v>
      </c>
      <c r="I4" s="2" t="s">
        <v>26</v>
      </c>
      <c r="J4" s="7">
        <v>44927</v>
      </c>
      <c r="K4" s="8" t="s">
        <v>77</v>
      </c>
      <c r="L4" s="2" t="s">
        <v>26</v>
      </c>
      <c r="M4" s="8" t="s">
        <v>28</v>
      </c>
      <c r="N4" s="6" t="s">
        <v>2264</v>
      </c>
      <c r="O4" s="6" t="s">
        <v>30</v>
      </c>
      <c r="P4" s="2" t="s">
        <v>10744</v>
      </c>
    </row>
    <row r="5" spans="1:16" ht="13.15" x14ac:dyDescent="0.4">
      <c r="A5" s="2" t="s">
        <v>10717</v>
      </c>
      <c r="B5" s="2" t="s">
        <v>5878</v>
      </c>
      <c r="C5" s="6" t="s">
        <v>5879</v>
      </c>
      <c r="D5" s="6" t="s">
        <v>42</v>
      </c>
      <c r="E5" s="7">
        <v>44927</v>
      </c>
      <c r="F5" s="8" t="s">
        <v>77</v>
      </c>
      <c r="G5" s="2" t="s">
        <v>26</v>
      </c>
      <c r="H5" s="8" t="s">
        <v>28</v>
      </c>
      <c r="I5" s="2" t="s">
        <v>26</v>
      </c>
      <c r="J5" s="7">
        <v>44927</v>
      </c>
      <c r="K5" s="8" t="s">
        <v>77</v>
      </c>
      <c r="L5" s="2" t="s">
        <v>26</v>
      </c>
      <c r="M5" s="8" t="s">
        <v>28</v>
      </c>
      <c r="N5" s="6" t="s">
        <v>2264</v>
      </c>
      <c r="O5" s="6" t="s">
        <v>30</v>
      </c>
      <c r="P5" s="2" t="s">
        <v>10751</v>
      </c>
    </row>
    <row r="6" spans="1:16" ht="13.15" x14ac:dyDescent="0.4">
      <c r="A6" s="2" t="s">
        <v>10714</v>
      </c>
      <c r="B6" s="2" t="s">
        <v>5878</v>
      </c>
      <c r="C6" s="6" t="s">
        <v>5879</v>
      </c>
      <c r="D6" s="6" t="s">
        <v>42</v>
      </c>
      <c r="E6" s="7">
        <v>44927</v>
      </c>
      <c r="F6" s="8" t="s">
        <v>77</v>
      </c>
      <c r="G6" s="2" t="s">
        <v>26</v>
      </c>
      <c r="H6" s="8" t="s">
        <v>28</v>
      </c>
      <c r="I6" s="2" t="s">
        <v>26</v>
      </c>
      <c r="J6" s="7">
        <v>44927</v>
      </c>
      <c r="K6" s="8" t="s">
        <v>77</v>
      </c>
      <c r="L6" s="2" t="s">
        <v>26</v>
      </c>
      <c r="M6" s="8" t="s">
        <v>28</v>
      </c>
      <c r="N6" s="6" t="s">
        <v>2264</v>
      </c>
      <c r="O6" s="6" t="s">
        <v>30</v>
      </c>
      <c r="P6" s="2" t="s">
        <v>10748</v>
      </c>
    </row>
    <row r="7" spans="1:16" ht="13.15" x14ac:dyDescent="0.4">
      <c r="A7" s="2" t="s">
        <v>10711</v>
      </c>
      <c r="B7" s="2" t="s">
        <v>5878</v>
      </c>
      <c r="C7" s="6" t="s">
        <v>5879</v>
      </c>
      <c r="D7" s="6" t="s">
        <v>42</v>
      </c>
      <c r="E7" s="7">
        <v>44927</v>
      </c>
      <c r="F7" s="8" t="s">
        <v>77</v>
      </c>
      <c r="G7" s="2" t="s">
        <v>26</v>
      </c>
      <c r="H7" s="8" t="s">
        <v>28</v>
      </c>
      <c r="I7" s="2" t="s">
        <v>26</v>
      </c>
      <c r="J7" s="7">
        <v>44927</v>
      </c>
      <c r="K7" s="8" t="s">
        <v>77</v>
      </c>
      <c r="L7" s="2" t="s">
        <v>26</v>
      </c>
      <c r="M7" s="8" t="s">
        <v>28</v>
      </c>
      <c r="N7" s="6" t="s">
        <v>2264</v>
      </c>
      <c r="O7" s="6" t="s">
        <v>30</v>
      </c>
      <c r="P7" s="2" t="s">
        <v>10745</v>
      </c>
    </row>
    <row r="8" spans="1:16" ht="13.15" x14ac:dyDescent="0.4">
      <c r="A8" s="2" t="s">
        <v>10716</v>
      </c>
      <c r="B8" s="2" t="s">
        <v>5878</v>
      </c>
      <c r="C8" s="6" t="s">
        <v>5879</v>
      </c>
      <c r="D8" s="6" t="s">
        <v>42</v>
      </c>
      <c r="E8" s="7">
        <v>44927</v>
      </c>
      <c r="F8" s="8" t="s">
        <v>77</v>
      </c>
      <c r="G8" s="2" t="s">
        <v>26</v>
      </c>
      <c r="H8" s="8" t="s">
        <v>28</v>
      </c>
      <c r="I8" s="2" t="s">
        <v>26</v>
      </c>
      <c r="J8" s="7">
        <v>44927</v>
      </c>
      <c r="K8" s="8" t="s">
        <v>77</v>
      </c>
      <c r="L8" s="2" t="s">
        <v>26</v>
      </c>
      <c r="M8" s="8" t="s">
        <v>28</v>
      </c>
      <c r="N8" s="6" t="s">
        <v>2264</v>
      </c>
      <c r="O8" s="6" t="s">
        <v>30</v>
      </c>
      <c r="P8" s="2" t="s">
        <v>10750</v>
      </c>
    </row>
    <row r="9" spans="1:16" ht="13.15" x14ac:dyDescent="0.4">
      <c r="A9" s="2" t="s">
        <v>10715</v>
      </c>
      <c r="B9" s="2" t="s">
        <v>5878</v>
      </c>
      <c r="C9" s="6" t="s">
        <v>5879</v>
      </c>
      <c r="D9" s="6" t="s">
        <v>42</v>
      </c>
      <c r="E9" s="7">
        <v>44927</v>
      </c>
      <c r="F9" s="8" t="s">
        <v>77</v>
      </c>
      <c r="G9" s="2" t="s">
        <v>26</v>
      </c>
      <c r="H9" s="8" t="s">
        <v>28</v>
      </c>
      <c r="I9" s="2" t="s">
        <v>26</v>
      </c>
      <c r="J9" s="7">
        <v>44927</v>
      </c>
      <c r="K9" s="8" t="s">
        <v>77</v>
      </c>
      <c r="L9" s="2" t="s">
        <v>26</v>
      </c>
      <c r="M9" s="8" t="s">
        <v>28</v>
      </c>
      <c r="N9" s="6" t="s">
        <v>2264</v>
      </c>
      <c r="O9" s="6" t="s">
        <v>30</v>
      </c>
      <c r="P9" s="2" t="s">
        <v>10749</v>
      </c>
    </row>
    <row r="10" spans="1:16" ht="13.15" x14ac:dyDescent="0.4">
      <c r="A10" s="2" t="s">
        <v>10709</v>
      </c>
      <c r="B10" s="2" t="s">
        <v>5878</v>
      </c>
      <c r="C10" s="6" t="s">
        <v>5879</v>
      </c>
      <c r="D10" s="6" t="s">
        <v>42</v>
      </c>
      <c r="E10" s="7">
        <v>44927</v>
      </c>
      <c r="F10" s="8" t="s">
        <v>77</v>
      </c>
      <c r="G10" s="2" t="s">
        <v>26</v>
      </c>
      <c r="H10" s="8" t="s">
        <v>28</v>
      </c>
      <c r="I10" s="2" t="s">
        <v>26</v>
      </c>
      <c r="J10" s="7">
        <v>44927</v>
      </c>
      <c r="K10" s="8" t="s">
        <v>77</v>
      </c>
      <c r="L10" s="2" t="s">
        <v>26</v>
      </c>
      <c r="M10" s="8" t="s">
        <v>28</v>
      </c>
      <c r="N10" s="6" t="s">
        <v>2264</v>
      </c>
      <c r="O10" s="6" t="s">
        <v>30</v>
      </c>
      <c r="P10" s="2" t="s">
        <v>10743</v>
      </c>
    </row>
    <row r="11" spans="1:16" ht="13.15" x14ac:dyDescent="0.4">
      <c r="A11" s="2" t="s">
        <v>10713</v>
      </c>
      <c r="B11" s="2" t="s">
        <v>5878</v>
      </c>
      <c r="C11" s="6" t="s">
        <v>5879</v>
      </c>
      <c r="D11" s="6" t="s">
        <v>42</v>
      </c>
      <c r="E11" s="7">
        <v>44927</v>
      </c>
      <c r="F11" s="8" t="s">
        <v>77</v>
      </c>
      <c r="G11" s="2" t="s">
        <v>26</v>
      </c>
      <c r="H11" s="8" t="s">
        <v>28</v>
      </c>
      <c r="I11" s="2" t="s">
        <v>26</v>
      </c>
      <c r="J11" s="7">
        <v>44927</v>
      </c>
      <c r="K11" s="8" t="s">
        <v>77</v>
      </c>
      <c r="L11" s="2" t="s">
        <v>26</v>
      </c>
      <c r="M11" s="8" t="s">
        <v>28</v>
      </c>
      <c r="N11" s="6" t="s">
        <v>2264</v>
      </c>
      <c r="O11" s="6" t="s">
        <v>30</v>
      </c>
      <c r="P11" s="2" t="s">
        <v>10747</v>
      </c>
    </row>
    <row r="12" spans="1:16" ht="13.15" x14ac:dyDescent="0.4">
      <c r="A12" s="2" t="s">
        <v>10708</v>
      </c>
      <c r="B12" s="2" t="s">
        <v>5878</v>
      </c>
      <c r="C12" s="6" t="s">
        <v>5879</v>
      </c>
      <c r="D12" s="6" t="s">
        <v>42</v>
      </c>
      <c r="E12" s="7">
        <v>44927</v>
      </c>
      <c r="F12" s="8" t="s">
        <v>77</v>
      </c>
      <c r="G12" s="2" t="s">
        <v>26</v>
      </c>
      <c r="H12" s="8" t="s">
        <v>28</v>
      </c>
      <c r="I12" s="2" t="s">
        <v>26</v>
      </c>
      <c r="J12" s="7">
        <v>44927</v>
      </c>
      <c r="K12" s="8" t="s">
        <v>77</v>
      </c>
      <c r="L12" s="2" t="s">
        <v>26</v>
      </c>
      <c r="M12" s="8" t="s">
        <v>28</v>
      </c>
      <c r="N12" s="6" t="s">
        <v>2264</v>
      </c>
      <c r="O12" s="6" t="s">
        <v>30</v>
      </c>
      <c r="P12" s="2" t="s">
        <v>10742</v>
      </c>
    </row>
    <row r="13" spans="1:16" ht="13.15" x14ac:dyDescent="0.4">
      <c r="A13" s="2" t="s">
        <v>10704</v>
      </c>
      <c r="B13" s="2" t="s">
        <v>5878</v>
      </c>
      <c r="C13" s="6" t="s">
        <v>5879</v>
      </c>
      <c r="D13" s="6" t="s">
        <v>42</v>
      </c>
      <c r="E13" s="7">
        <v>44927</v>
      </c>
      <c r="F13" s="8" t="s">
        <v>77</v>
      </c>
      <c r="G13" s="2" t="s">
        <v>26</v>
      </c>
      <c r="H13" s="8" t="s">
        <v>28</v>
      </c>
      <c r="I13" s="2" t="s">
        <v>26</v>
      </c>
      <c r="J13" s="7">
        <v>44927</v>
      </c>
      <c r="K13" s="8" t="s">
        <v>77</v>
      </c>
      <c r="L13" s="2" t="s">
        <v>26</v>
      </c>
      <c r="M13" s="8" t="s">
        <v>28</v>
      </c>
      <c r="N13" s="6" t="s">
        <v>2264</v>
      </c>
      <c r="O13" s="6" t="s">
        <v>30</v>
      </c>
      <c r="P13" s="2" t="s">
        <v>10738</v>
      </c>
    </row>
    <row r="14" spans="1:16" ht="13.15" x14ac:dyDescent="0.4">
      <c r="A14" s="2" t="s">
        <v>10707</v>
      </c>
      <c r="B14" s="2" t="s">
        <v>5878</v>
      </c>
      <c r="C14" s="6" t="s">
        <v>5879</v>
      </c>
      <c r="D14" s="6" t="s">
        <v>42</v>
      </c>
      <c r="E14" s="7">
        <v>44927</v>
      </c>
      <c r="F14" s="8" t="s">
        <v>77</v>
      </c>
      <c r="G14" s="2" t="s">
        <v>26</v>
      </c>
      <c r="H14" s="8" t="s">
        <v>28</v>
      </c>
      <c r="I14" s="2" t="s">
        <v>26</v>
      </c>
      <c r="J14" s="7">
        <v>44927</v>
      </c>
      <c r="K14" s="8" t="s">
        <v>77</v>
      </c>
      <c r="L14" s="2" t="s">
        <v>26</v>
      </c>
      <c r="M14" s="8" t="s">
        <v>28</v>
      </c>
      <c r="N14" s="6" t="s">
        <v>2264</v>
      </c>
      <c r="O14" s="6" t="s">
        <v>30</v>
      </c>
      <c r="P14" s="2" t="s">
        <v>10741</v>
      </c>
    </row>
    <row r="15" spans="1:16" ht="13.15" x14ac:dyDescent="0.4">
      <c r="A15" s="2" t="s">
        <v>10706</v>
      </c>
      <c r="B15" s="2" t="s">
        <v>5878</v>
      </c>
      <c r="C15" s="6" t="s">
        <v>5879</v>
      </c>
      <c r="D15" s="6" t="s">
        <v>42</v>
      </c>
      <c r="E15" s="7">
        <v>44927</v>
      </c>
      <c r="F15" s="8" t="s">
        <v>77</v>
      </c>
      <c r="G15" s="2" t="s">
        <v>26</v>
      </c>
      <c r="H15" s="8" t="s">
        <v>28</v>
      </c>
      <c r="I15" s="2" t="s">
        <v>26</v>
      </c>
      <c r="J15" s="7">
        <v>44927</v>
      </c>
      <c r="K15" s="8" t="s">
        <v>77</v>
      </c>
      <c r="L15" s="2" t="s">
        <v>26</v>
      </c>
      <c r="M15" s="8" t="s">
        <v>28</v>
      </c>
      <c r="N15" s="6" t="s">
        <v>2264</v>
      </c>
      <c r="O15" s="6" t="s">
        <v>30</v>
      </c>
      <c r="P15" s="2" t="s">
        <v>10740</v>
      </c>
    </row>
    <row r="16" spans="1:16" ht="13.15" x14ac:dyDescent="0.4">
      <c r="A16" s="2" t="s">
        <v>10698</v>
      </c>
      <c r="B16" s="2" t="s">
        <v>5878</v>
      </c>
      <c r="C16" s="6" t="s">
        <v>5879</v>
      </c>
      <c r="D16" s="6" t="s">
        <v>42</v>
      </c>
      <c r="E16" s="7">
        <v>44927</v>
      </c>
      <c r="F16" s="8" t="s">
        <v>77</v>
      </c>
      <c r="G16" s="2" t="s">
        <v>26</v>
      </c>
      <c r="H16" s="8" t="s">
        <v>28</v>
      </c>
      <c r="I16" s="2" t="s">
        <v>26</v>
      </c>
      <c r="J16" s="7">
        <v>44927</v>
      </c>
      <c r="K16" s="8" t="s">
        <v>77</v>
      </c>
      <c r="L16" s="2" t="s">
        <v>26</v>
      </c>
      <c r="M16" s="8" t="s">
        <v>28</v>
      </c>
      <c r="N16" s="6" t="s">
        <v>2264</v>
      </c>
      <c r="O16" s="6" t="s">
        <v>30</v>
      </c>
      <c r="P16" s="2" t="s">
        <v>10732</v>
      </c>
    </row>
    <row r="17" spans="1:16" ht="13.15" x14ac:dyDescent="0.4">
      <c r="A17" s="2" t="s">
        <v>10686</v>
      </c>
      <c r="B17" s="2" t="s">
        <v>5878</v>
      </c>
      <c r="C17" s="6" t="s">
        <v>5879</v>
      </c>
      <c r="D17" s="6" t="s">
        <v>42</v>
      </c>
      <c r="E17" s="7">
        <v>44927</v>
      </c>
      <c r="F17" s="8" t="s">
        <v>77</v>
      </c>
      <c r="G17" s="2" t="s">
        <v>26</v>
      </c>
      <c r="H17" s="8" t="s">
        <v>28</v>
      </c>
      <c r="I17" s="2" t="s">
        <v>26</v>
      </c>
      <c r="J17" s="7">
        <v>44927</v>
      </c>
      <c r="K17" s="8" t="s">
        <v>77</v>
      </c>
      <c r="L17" s="2" t="s">
        <v>26</v>
      </c>
      <c r="M17" s="8" t="s">
        <v>28</v>
      </c>
      <c r="N17" s="6" t="s">
        <v>2264</v>
      </c>
      <c r="O17" s="6" t="s">
        <v>30</v>
      </c>
      <c r="P17" s="2" t="s">
        <v>10720</v>
      </c>
    </row>
    <row r="18" spans="1:16" ht="13.15" x14ac:dyDescent="0.4">
      <c r="A18" s="2" t="s">
        <v>10705</v>
      </c>
      <c r="B18" s="2" t="s">
        <v>5878</v>
      </c>
      <c r="C18" s="6" t="s">
        <v>5879</v>
      </c>
      <c r="D18" s="6" t="s">
        <v>42</v>
      </c>
      <c r="E18" s="7">
        <v>44927</v>
      </c>
      <c r="F18" s="8" t="s">
        <v>77</v>
      </c>
      <c r="G18" s="2" t="s">
        <v>26</v>
      </c>
      <c r="H18" s="8" t="s">
        <v>28</v>
      </c>
      <c r="I18" s="2" t="s">
        <v>26</v>
      </c>
      <c r="J18" s="7">
        <v>44927</v>
      </c>
      <c r="K18" s="8" t="s">
        <v>77</v>
      </c>
      <c r="L18" s="2" t="s">
        <v>26</v>
      </c>
      <c r="M18" s="8" t="s">
        <v>28</v>
      </c>
      <c r="N18" s="6" t="s">
        <v>2264</v>
      </c>
      <c r="O18" s="6" t="s">
        <v>30</v>
      </c>
      <c r="P18" s="2" t="s">
        <v>10739</v>
      </c>
    </row>
    <row r="19" spans="1:16" ht="13.15" x14ac:dyDescent="0.4">
      <c r="A19" s="2" t="s">
        <v>10691</v>
      </c>
      <c r="B19" s="2" t="s">
        <v>5878</v>
      </c>
      <c r="C19" s="6" t="s">
        <v>5879</v>
      </c>
      <c r="D19" s="6" t="s">
        <v>42</v>
      </c>
      <c r="E19" s="7">
        <v>44927</v>
      </c>
      <c r="F19" s="8" t="s">
        <v>77</v>
      </c>
      <c r="G19" s="2" t="s">
        <v>26</v>
      </c>
      <c r="H19" s="8" t="s">
        <v>28</v>
      </c>
      <c r="I19" s="2" t="s">
        <v>26</v>
      </c>
      <c r="J19" s="7">
        <v>44927</v>
      </c>
      <c r="K19" s="8" t="s">
        <v>77</v>
      </c>
      <c r="L19" s="2" t="s">
        <v>26</v>
      </c>
      <c r="M19" s="8" t="s">
        <v>28</v>
      </c>
      <c r="N19" s="6" t="s">
        <v>2264</v>
      </c>
      <c r="O19" s="6" t="s">
        <v>30</v>
      </c>
      <c r="P19" s="2" t="s">
        <v>10725</v>
      </c>
    </row>
    <row r="20" spans="1:16" ht="13.15" x14ac:dyDescent="0.4">
      <c r="A20" s="2" t="s">
        <v>10697</v>
      </c>
      <c r="B20" s="2" t="s">
        <v>5878</v>
      </c>
      <c r="C20" s="6" t="s">
        <v>5879</v>
      </c>
      <c r="D20" s="6" t="s">
        <v>42</v>
      </c>
      <c r="E20" s="7">
        <v>44927</v>
      </c>
      <c r="F20" s="8" t="s">
        <v>77</v>
      </c>
      <c r="G20" s="2" t="s">
        <v>26</v>
      </c>
      <c r="H20" s="8" t="s">
        <v>28</v>
      </c>
      <c r="I20" s="2" t="s">
        <v>26</v>
      </c>
      <c r="J20" s="7">
        <v>44927</v>
      </c>
      <c r="K20" s="8" t="s">
        <v>77</v>
      </c>
      <c r="L20" s="2" t="s">
        <v>26</v>
      </c>
      <c r="M20" s="8" t="s">
        <v>28</v>
      </c>
      <c r="N20" s="6" t="s">
        <v>2264</v>
      </c>
      <c r="O20" s="6" t="s">
        <v>30</v>
      </c>
      <c r="P20" s="2" t="s">
        <v>10731</v>
      </c>
    </row>
    <row r="21" spans="1:16" ht="13.15" x14ac:dyDescent="0.4">
      <c r="A21" s="2" t="s">
        <v>10695</v>
      </c>
      <c r="B21" s="2" t="s">
        <v>5878</v>
      </c>
      <c r="C21" s="6" t="s">
        <v>5879</v>
      </c>
      <c r="D21" s="6" t="s">
        <v>42</v>
      </c>
      <c r="E21" s="7">
        <v>44927</v>
      </c>
      <c r="F21" s="8" t="s">
        <v>77</v>
      </c>
      <c r="G21" s="2" t="s">
        <v>26</v>
      </c>
      <c r="H21" s="8" t="s">
        <v>28</v>
      </c>
      <c r="I21" s="2" t="s">
        <v>26</v>
      </c>
      <c r="J21" s="7">
        <v>44927</v>
      </c>
      <c r="K21" s="8" t="s">
        <v>77</v>
      </c>
      <c r="L21" s="2" t="s">
        <v>26</v>
      </c>
      <c r="M21" s="8" t="s">
        <v>28</v>
      </c>
      <c r="N21" s="6" t="s">
        <v>2264</v>
      </c>
      <c r="O21" s="6" t="s">
        <v>30</v>
      </c>
      <c r="P21" s="2" t="s">
        <v>10729</v>
      </c>
    </row>
    <row r="22" spans="1:16" ht="13.15" x14ac:dyDescent="0.4">
      <c r="A22" s="2" t="s">
        <v>10690</v>
      </c>
      <c r="B22" s="2" t="s">
        <v>5878</v>
      </c>
      <c r="C22" s="6" t="s">
        <v>5879</v>
      </c>
      <c r="D22" s="6" t="s">
        <v>42</v>
      </c>
      <c r="E22" s="7">
        <v>44927</v>
      </c>
      <c r="F22" s="8" t="s">
        <v>77</v>
      </c>
      <c r="G22" s="2" t="s">
        <v>26</v>
      </c>
      <c r="H22" s="8" t="s">
        <v>28</v>
      </c>
      <c r="I22" s="2" t="s">
        <v>26</v>
      </c>
      <c r="J22" s="7">
        <v>44927</v>
      </c>
      <c r="K22" s="8" t="s">
        <v>77</v>
      </c>
      <c r="L22" s="2" t="s">
        <v>26</v>
      </c>
      <c r="M22" s="8" t="s">
        <v>28</v>
      </c>
      <c r="N22" s="6" t="s">
        <v>2264</v>
      </c>
      <c r="O22" s="6" t="s">
        <v>30</v>
      </c>
      <c r="P22" s="2" t="s">
        <v>10724</v>
      </c>
    </row>
    <row r="23" spans="1:16" ht="13.15" x14ac:dyDescent="0.4">
      <c r="A23" s="2" t="s">
        <v>10692</v>
      </c>
      <c r="B23" s="2" t="s">
        <v>5878</v>
      </c>
      <c r="C23" s="6" t="s">
        <v>5879</v>
      </c>
      <c r="D23" s="6" t="s">
        <v>42</v>
      </c>
      <c r="E23" s="7">
        <v>44927</v>
      </c>
      <c r="F23" s="8" t="s">
        <v>77</v>
      </c>
      <c r="G23" s="2" t="s">
        <v>26</v>
      </c>
      <c r="H23" s="8" t="s">
        <v>28</v>
      </c>
      <c r="I23" s="2" t="s">
        <v>26</v>
      </c>
      <c r="J23" s="7">
        <v>44927</v>
      </c>
      <c r="K23" s="8" t="s">
        <v>77</v>
      </c>
      <c r="L23" s="2" t="s">
        <v>26</v>
      </c>
      <c r="M23" s="8" t="s">
        <v>28</v>
      </c>
      <c r="N23" s="6" t="s">
        <v>2264</v>
      </c>
      <c r="O23" s="6" t="s">
        <v>30</v>
      </c>
      <c r="P23" s="2" t="s">
        <v>10726</v>
      </c>
    </row>
    <row r="24" spans="1:16" ht="13.15" x14ac:dyDescent="0.4">
      <c r="A24" s="2" t="s">
        <v>10688</v>
      </c>
      <c r="B24" s="2" t="s">
        <v>5878</v>
      </c>
      <c r="C24" s="6" t="s">
        <v>5879</v>
      </c>
      <c r="D24" s="6" t="s">
        <v>42</v>
      </c>
      <c r="E24" s="7">
        <v>44927</v>
      </c>
      <c r="F24" s="8" t="s">
        <v>77</v>
      </c>
      <c r="G24" s="2" t="s">
        <v>26</v>
      </c>
      <c r="H24" s="8" t="s">
        <v>28</v>
      </c>
      <c r="I24" s="2" t="s">
        <v>26</v>
      </c>
      <c r="J24" s="7">
        <v>44927</v>
      </c>
      <c r="K24" s="8" t="s">
        <v>77</v>
      </c>
      <c r="L24" s="2" t="s">
        <v>26</v>
      </c>
      <c r="M24" s="8" t="s">
        <v>28</v>
      </c>
      <c r="N24" s="6" t="s">
        <v>2264</v>
      </c>
      <c r="O24" s="6" t="s">
        <v>30</v>
      </c>
      <c r="P24" s="2" t="s">
        <v>10722</v>
      </c>
    </row>
    <row r="25" spans="1:16" ht="13.15" x14ac:dyDescent="0.4">
      <c r="A25" s="2" t="s">
        <v>10696</v>
      </c>
      <c r="B25" s="2" t="s">
        <v>5878</v>
      </c>
      <c r="C25" s="6" t="s">
        <v>5879</v>
      </c>
      <c r="D25" s="6" t="s">
        <v>42</v>
      </c>
      <c r="E25" s="7">
        <v>44927</v>
      </c>
      <c r="F25" s="8" t="s">
        <v>77</v>
      </c>
      <c r="G25" s="2" t="s">
        <v>26</v>
      </c>
      <c r="H25" s="8" t="s">
        <v>28</v>
      </c>
      <c r="I25" s="2" t="s">
        <v>26</v>
      </c>
      <c r="J25" s="7">
        <v>44927</v>
      </c>
      <c r="K25" s="8" t="s">
        <v>77</v>
      </c>
      <c r="L25" s="2" t="s">
        <v>26</v>
      </c>
      <c r="M25" s="8" t="s">
        <v>28</v>
      </c>
      <c r="N25" s="6" t="s">
        <v>2264</v>
      </c>
      <c r="O25" s="6" t="s">
        <v>30</v>
      </c>
      <c r="P25" s="2" t="s">
        <v>10730</v>
      </c>
    </row>
    <row r="26" spans="1:16" ht="13.15" x14ac:dyDescent="0.4">
      <c r="A26" s="2" t="s">
        <v>10702</v>
      </c>
      <c r="B26" s="2" t="s">
        <v>5878</v>
      </c>
      <c r="C26" s="6" t="s">
        <v>5879</v>
      </c>
      <c r="D26" s="6" t="s">
        <v>42</v>
      </c>
      <c r="E26" s="7">
        <v>44927</v>
      </c>
      <c r="F26" s="8" t="s">
        <v>77</v>
      </c>
      <c r="G26" s="2" t="s">
        <v>26</v>
      </c>
      <c r="H26" s="8" t="s">
        <v>28</v>
      </c>
      <c r="I26" s="2" t="s">
        <v>26</v>
      </c>
      <c r="J26" s="7">
        <v>44927</v>
      </c>
      <c r="K26" s="8" t="s">
        <v>77</v>
      </c>
      <c r="L26" s="2" t="s">
        <v>26</v>
      </c>
      <c r="M26" s="8" t="s">
        <v>28</v>
      </c>
      <c r="N26" s="6" t="s">
        <v>2264</v>
      </c>
      <c r="O26" s="6" t="s">
        <v>30</v>
      </c>
      <c r="P26" s="2" t="s">
        <v>10736</v>
      </c>
    </row>
    <row r="27" spans="1:16" ht="13.15" x14ac:dyDescent="0.4">
      <c r="A27" s="2" t="s">
        <v>10687</v>
      </c>
      <c r="B27" s="2" t="s">
        <v>5878</v>
      </c>
      <c r="C27" s="6" t="s">
        <v>5879</v>
      </c>
      <c r="D27" s="6" t="s">
        <v>42</v>
      </c>
      <c r="E27" s="7">
        <v>44927</v>
      </c>
      <c r="F27" s="8" t="s">
        <v>77</v>
      </c>
      <c r="G27" s="2" t="s">
        <v>26</v>
      </c>
      <c r="H27" s="8" t="s">
        <v>28</v>
      </c>
      <c r="I27" s="2" t="s">
        <v>26</v>
      </c>
      <c r="J27" s="7">
        <v>44927</v>
      </c>
      <c r="K27" s="8" t="s">
        <v>77</v>
      </c>
      <c r="L27" s="2" t="s">
        <v>26</v>
      </c>
      <c r="M27" s="8" t="s">
        <v>28</v>
      </c>
      <c r="N27" s="6" t="s">
        <v>2264</v>
      </c>
      <c r="O27" s="6" t="s">
        <v>30</v>
      </c>
      <c r="P27" s="2" t="s">
        <v>10721</v>
      </c>
    </row>
    <row r="28" spans="1:16" ht="13.15" x14ac:dyDescent="0.4">
      <c r="A28" s="2" t="s">
        <v>10694</v>
      </c>
      <c r="B28" s="2" t="s">
        <v>5878</v>
      </c>
      <c r="C28" s="6" t="s">
        <v>5879</v>
      </c>
      <c r="D28" s="6" t="s">
        <v>42</v>
      </c>
      <c r="E28" s="7">
        <v>44927</v>
      </c>
      <c r="F28" s="8" t="s">
        <v>77</v>
      </c>
      <c r="G28" s="2" t="s">
        <v>26</v>
      </c>
      <c r="H28" s="8" t="s">
        <v>28</v>
      </c>
      <c r="I28" s="2" t="s">
        <v>26</v>
      </c>
      <c r="J28" s="7">
        <v>44927</v>
      </c>
      <c r="K28" s="8" t="s">
        <v>77</v>
      </c>
      <c r="L28" s="2" t="s">
        <v>26</v>
      </c>
      <c r="M28" s="8" t="s">
        <v>28</v>
      </c>
      <c r="N28" s="6" t="s">
        <v>2264</v>
      </c>
      <c r="O28" s="6" t="s">
        <v>30</v>
      </c>
      <c r="P28" s="2" t="s">
        <v>10728</v>
      </c>
    </row>
    <row r="29" spans="1:16" ht="13.15" x14ac:dyDescent="0.4">
      <c r="A29" s="2" t="s">
        <v>10701</v>
      </c>
      <c r="B29" s="2" t="s">
        <v>5878</v>
      </c>
      <c r="C29" s="6" t="s">
        <v>5879</v>
      </c>
      <c r="D29" s="6" t="s">
        <v>42</v>
      </c>
      <c r="E29" s="7">
        <v>44927</v>
      </c>
      <c r="F29" s="8" t="s">
        <v>77</v>
      </c>
      <c r="G29" s="2" t="s">
        <v>26</v>
      </c>
      <c r="H29" s="8" t="s">
        <v>28</v>
      </c>
      <c r="I29" s="2" t="s">
        <v>26</v>
      </c>
      <c r="J29" s="7">
        <v>44927</v>
      </c>
      <c r="K29" s="8" t="s">
        <v>77</v>
      </c>
      <c r="L29" s="2" t="s">
        <v>26</v>
      </c>
      <c r="M29" s="8" t="s">
        <v>28</v>
      </c>
      <c r="N29" s="6" t="s">
        <v>2264</v>
      </c>
      <c r="O29" s="6" t="s">
        <v>30</v>
      </c>
      <c r="P29" s="2" t="s">
        <v>10735</v>
      </c>
    </row>
    <row r="30" spans="1:16" ht="13.15" x14ac:dyDescent="0.4">
      <c r="A30" s="2" t="s">
        <v>10689</v>
      </c>
      <c r="B30" s="2" t="s">
        <v>5878</v>
      </c>
      <c r="C30" s="6" t="s">
        <v>5879</v>
      </c>
      <c r="D30" s="6" t="s">
        <v>42</v>
      </c>
      <c r="E30" s="7">
        <v>44927</v>
      </c>
      <c r="F30" s="8" t="s">
        <v>77</v>
      </c>
      <c r="G30" s="2" t="s">
        <v>26</v>
      </c>
      <c r="H30" s="8" t="s">
        <v>28</v>
      </c>
      <c r="I30" s="2" t="s">
        <v>26</v>
      </c>
      <c r="J30" s="7">
        <v>44927</v>
      </c>
      <c r="K30" s="8" t="s">
        <v>77</v>
      </c>
      <c r="L30" s="2" t="s">
        <v>26</v>
      </c>
      <c r="M30" s="8" t="s">
        <v>28</v>
      </c>
      <c r="N30" s="6" t="s">
        <v>2264</v>
      </c>
      <c r="O30" s="6" t="s">
        <v>30</v>
      </c>
      <c r="P30" s="2" t="s">
        <v>10723</v>
      </c>
    </row>
    <row r="31" spans="1:16" ht="13.15" x14ac:dyDescent="0.4">
      <c r="A31" s="2" t="s">
        <v>10700</v>
      </c>
      <c r="B31" s="2" t="s">
        <v>5878</v>
      </c>
      <c r="C31" s="6" t="s">
        <v>5879</v>
      </c>
      <c r="D31" s="6" t="s">
        <v>42</v>
      </c>
      <c r="E31" s="7">
        <v>44927</v>
      </c>
      <c r="F31" s="8" t="s">
        <v>77</v>
      </c>
      <c r="G31" s="2" t="s">
        <v>26</v>
      </c>
      <c r="H31" s="8" t="s">
        <v>28</v>
      </c>
      <c r="I31" s="2" t="s">
        <v>26</v>
      </c>
      <c r="J31" s="7">
        <v>44927</v>
      </c>
      <c r="K31" s="8" t="s">
        <v>77</v>
      </c>
      <c r="L31" s="2" t="s">
        <v>26</v>
      </c>
      <c r="M31" s="8" t="s">
        <v>28</v>
      </c>
      <c r="N31" s="6" t="s">
        <v>2264</v>
      </c>
      <c r="O31" s="6" t="s">
        <v>30</v>
      </c>
      <c r="P31" s="2" t="s">
        <v>10734</v>
      </c>
    </row>
    <row r="32" spans="1:16" ht="13.15" x14ac:dyDescent="0.4">
      <c r="A32" s="2" t="s">
        <v>10699</v>
      </c>
      <c r="B32" s="2" t="s">
        <v>5878</v>
      </c>
      <c r="C32" s="6" t="s">
        <v>5879</v>
      </c>
      <c r="D32" s="6" t="s">
        <v>42</v>
      </c>
      <c r="E32" s="7">
        <v>44927</v>
      </c>
      <c r="F32" s="8" t="s">
        <v>77</v>
      </c>
      <c r="G32" s="2" t="s">
        <v>26</v>
      </c>
      <c r="H32" s="8" t="s">
        <v>28</v>
      </c>
      <c r="I32" s="2" t="s">
        <v>26</v>
      </c>
      <c r="J32" s="7">
        <v>44927</v>
      </c>
      <c r="K32" s="8" t="s">
        <v>77</v>
      </c>
      <c r="L32" s="2" t="s">
        <v>26</v>
      </c>
      <c r="M32" s="8" t="s">
        <v>28</v>
      </c>
      <c r="N32" s="6" t="s">
        <v>2264</v>
      </c>
      <c r="O32" s="6" t="s">
        <v>30</v>
      </c>
      <c r="P32" s="2" t="s">
        <v>10733</v>
      </c>
    </row>
    <row r="33" spans="1:16" ht="13.15" x14ac:dyDescent="0.4">
      <c r="A33" s="2" t="s">
        <v>10703</v>
      </c>
      <c r="B33" s="2" t="s">
        <v>5878</v>
      </c>
      <c r="C33" s="6" t="s">
        <v>5879</v>
      </c>
      <c r="D33" s="6" t="s">
        <v>42</v>
      </c>
      <c r="E33" s="7">
        <v>44927</v>
      </c>
      <c r="F33" s="8" t="s">
        <v>77</v>
      </c>
      <c r="G33" s="2" t="s">
        <v>26</v>
      </c>
      <c r="H33" s="8" t="s">
        <v>28</v>
      </c>
      <c r="I33" s="2" t="s">
        <v>26</v>
      </c>
      <c r="J33" s="7">
        <v>44927</v>
      </c>
      <c r="K33" s="8" t="s">
        <v>77</v>
      </c>
      <c r="L33" s="2" t="s">
        <v>26</v>
      </c>
      <c r="M33" s="8" t="s">
        <v>28</v>
      </c>
      <c r="N33" s="6" t="s">
        <v>2264</v>
      </c>
      <c r="O33" s="6" t="s">
        <v>30</v>
      </c>
      <c r="P33" s="2" t="s">
        <v>10737</v>
      </c>
    </row>
    <row r="34" spans="1:16" ht="13.15" x14ac:dyDescent="0.4">
      <c r="A34" s="2" t="s">
        <v>10693</v>
      </c>
      <c r="B34" s="2" t="s">
        <v>5878</v>
      </c>
      <c r="C34" s="6" t="s">
        <v>5879</v>
      </c>
      <c r="D34" s="6" t="s">
        <v>42</v>
      </c>
      <c r="E34" s="7">
        <v>44927</v>
      </c>
      <c r="F34" s="8" t="s">
        <v>77</v>
      </c>
      <c r="G34" s="2" t="s">
        <v>26</v>
      </c>
      <c r="H34" s="8" t="s">
        <v>28</v>
      </c>
      <c r="I34" s="2" t="s">
        <v>26</v>
      </c>
      <c r="J34" s="7">
        <v>44927</v>
      </c>
      <c r="K34" s="8" t="s">
        <v>77</v>
      </c>
      <c r="L34" s="2" t="s">
        <v>26</v>
      </c>
      <c r="M34" s="8" t="s">
        <v>28</v>
      </c>
      <c r="N34" s="6" t="s">
        <v>2264</v>
      </c>
      <c r="O34" s="6" t="s">
        <v>30</v>
      </c>
      <c r="P34" s="2" t="s">
        <v>10727</v>
      </c>
    </row>
    <row r="35" spans="1:16" ht="13.15" x14ac:dyDescent="0.4">
      <c r="A35" s="2" t="s">
        <v>10685</v>
      </c>
      <c r="B35" s="2" t="s">
        <v>5878</v>
      </c>
      <c r="C35" s="6" t="s">
        <v>5879</v>
      </c>
      <c r="D35" s="6" t="s">
        <v>42</v>
      </c>
      <c r="E35" s="7">
        <v>44927</v>
      </c>
      <c r="F35" s="8" t="s">
        <v>77</v>
      </c>
      <c r="G35" s="2" t="s">
        <v>26</v>
      </c>
      <c r="H35" s="8" t="s">
        <v>28</v>
      </c>
      <c r="I35" s="2" t="s">
        <v>26</v>
      </c>
      <c r="J35" s="7">
        <v>44927</v>
      </c>
      <c r="K35" s="8" t="s">
        <v>77</v>
      </c>
      <c r="L35" s="2" t="s">
        <v>26</v>
      </c>
      <c r="M35" s="8" t="s">
        <v>28</v>
      </c>
      <c r="N35" s="6" t="s">
        <v>2264</v>
      </c>
      <c r="O35" s="6" t="s">
        <v>30</v>
      </c>
      <c r="P35" s="2" t="s">
        <v>10719</v>
      </c>
    </row>
    <row r="36" spans="1:16" ht="13.15" x14ac:dyDescent="0.4">
      <c r="A36" s="2" t="s">
        <v>10684</v>
      </c>
      <c r="B36" s="2" t="s">
        <v>5878</v>
      </c>
      <c r="C36" s="6" t="s">
        <v>5879</v>
      </c>
      <c r="D36" s="6" t="s">
        <v>42</v>
      </c>
      <c r="E36" s="7">
        <v>44927</v>
      </c>
      <c r="F36" s="8" t="s">
        <v>77</v>
      </c>
      <c r="G36" s="2" t="s">
        <v>26</v>
      </c>
      <c r="H36" s="8" t="s">
        <v>28</v>
      </c>
      <c r="I36" s="2" t="s">
        <v>26</v>
      </c>
      <c r="J36" s="7">
        <v>44927</v>
      </c>
      <c r="K36" s="8" t="s">
        <v>77</v>
      </c>
      <c r="L36" s="2" t="s">
        <v>26</v>
      </c>
      <c r="M36" s="8" t="s">
        <v>28</v>
      </c>
      <c r="N36" s="6" t="s">
        <v>2264</v>
      </c>
      <c r="O36" s="6" t="s">
        <v>30</v>
      </c>
      <c r="P36" s="2" t="s">
        <v>10718</v>
      </c>
    </row>
    <row r="37" spans="1:16" ht="13.15" x14ac:dyDescent="0.4">
      <c r="A37" s="2" t="s">
        <v>10442</v>
      </c>
      <c r="B37" s="2" t="s">
        <v>5880</v>
      </c>
      <c r="C37" s="6" t="s">
        <v>5879</v>
      </c>
      <c r="D37" s="6" t="s">
        <v>42</v>
      </c>
      <c r="E37" s="7">
        <v>44927</v>
      </c>
      <c r="F37" s="8" t="s">
        <v>77</v>
      </c>
      <c r="G37" s="2" t="s">
        <v>26</v>
      </c>
      <c r="H37" s="8" t="s">
        <v>28</v>
      </c>
      <c r="I37" s="2" t="s">
        <v>26</v>
      </c>
      <c r="J37" s="7">
        <v>44927</v>
      </c>
      <c r="K37" s="8" t="s">
        <v>77</v>
      </c>
      <c r="L37" s="2" t="s">
        <v>26</v>
      </c>
      <c r="M37" s="8" t="s">
        <v>28</v>
      </c>
      <c r="N37" s="6" t="s">
        <v>2264</v>
      </c>
      <c r="O37" s="6" t="s">
        <v>30</v>
      </c>
      <c r="P37" s="2" t="s">
        <v>10641</v>
      </c>
    </row>
    <row r="38" spans="1:16" ht="13.15" x14ac:dyDescent="0.4">
      <c r="A38" s="2" t="s">
        <v>9160</v>
      </c>
      <c r="B38" s="2" t="s">
        <v>5880</v>
      </c>
      <c r="C38" s="6" t="s">
        <v>5879</v>
      </c>
      <c r="D38" s="6" t="s">
        <v>42</v>
      </c>
      <c r="E38" s="7">
        <v>44927</v>
      </c>
      <c r="F38" s="8" t="s">
        <v>77</v>
      </c>
      <c r="G38" s="2" t="s">
        <v>26</v>
      </c>
      <c r="H38" s="8" t="s">
        <v>28</v>
      </c>
      <c r="I38" s="2" t="s">
        <v>26</v>
      </c>
      <c r="J38" s="7">
        <v>44927</v>
      </c>
      <c r="K38" s="8" t="s">
        <v>77</v>
      </c>
      <c r="L38" s="2" t="s">
        <v>26</v>
      </c>
      <c r="M38" s="8" t="s">
        <v>28</v>
      </c>
      <c r="N38" s="6" t="s">
        <v>2264</v>
      </c>
      <c r="O38" s="6" t="s">
        <v>30</v>
      </c>
      <c r="P38" s="2" t="s">
        <v>10673</v>
      </c>
    </row>
    <row r="39" spans="1:16" ht="13.15" x14ac:dyDescent="0.4">
      <c r="A39" s="2" t="s">
        <v>7435</v>
      </c>
      <c r="B39" s="2" t="s">
        <v>5880</v>
      </c>
      <c r="C39" s="6" t="s">
        <v>5879</v>
      </c>
      <c r="D39" s="6" t="s">
        <v>42</v>
      </c>
      <c r="E39" s="7">
        <v>44927</v>
      </c>
      <c r="F39" s="8" t="s">
        <v>77</v>
      </c>
      <c r="G39" s="2" t="s">
        <v>26</v>
      </c>
      <c r="H39" s="8" t="s">
        <v>28</v>
      </c>
      <c r="I39" s="2" t="s">
        <v>26</v>
      </c>
      <c r="J39" s="7">
        <v>44927</v>
      </c>
      <c r="K39" s="8" t="s">
        <v>77</v>
      </c>
      <c r="L39" s="2" t="s">
        <v>26</v>
      </c>
      <c r="M39" s="8" t="s">
        <v>28</v>
      </c>
      <c r="N39" s="6" t="s">
        <v>2264</v>
      </c>
      <c r="O39" s="6" t="s">
        <v>30</v>
      </c>
      <c r="P39" s="2" t="s">
        <v>10676</v>
      </c>
    </row>
    <row r="40" spans="1:16" ht="13.15" x14ac:dyDescent="0.4">
      <c r="A40" s="2" t="s">
        <v>10460</v>
      </c>
      <c r="B40" s="2" t="s">
        <v>5880</v>
      </c>
      <c r="C40" s="6" t="s">
        <v>5879</v>
      </c>
      <c r="D40" s="6" t="s">
        <v>42</v>
      </c>
      <c r="E40" s="7">
        <v>44927</v>
      </c>
      <c r="F40" s="8" t="s">
        <v>77</v>
      </c>
      <c r="G40" s="2" t="s">
        <v>26</v>
      </c>
      <c r="H40" s="8" t="s">
        <v>28</v>
      </c>
      <c r="I40" s="2" t="s">
        <v>26</v>
      </c>
      <c r="J40" s="7">
        <v>44927</v>
      </c>
      <c r="K40" s="8" t="s">
        <v>77</v>
      </c>
      <c r="L40" s="2" t="s">
        <v>26</v>
      </c>
      <c r="M40" s="8" t="s">
        <v>28</v>
      </c>
      <c r="N40" s="6" t="s">
        <v>2264</v>
      </c>
      <c r="O40" s="6" t="s">
        <v>30</v>
      </c>
      <c r="P40" s="2" t="s">
        <v>10663</v>
      </c>
    </row>
    <row r="41" spans="1:16" ht="13.15" x14ac:dyDescent="0.4">
      <c r="A41" s="2" t="s">
        <v>10456</v>
      </c>
      <c r="B41" s="2" t="s">
        <v>5880</v>
      </c>
      <c r="C41" s="6" t="s">
        <v>5879</v>
      </c>
      <c r="D41" s="6" t="s">
        <v>42</v>
      </c>
      <c r="E41" s="7">
        <v>44927</v>
      </c>
      <c r="F41" s="8" t="s">
        <v>77</v>
      </c>
      <c r="G41" s="2" t="s">
        <v>26</v>
      </c>
      <c r="H41" s="8" t="s">
        <v>28</v>
      </c>
      <c r="I41" s="2" t="s">
        <v>26</v>
      </c>
      <c r="J41" s="7">
        <v>44927</v>
      </c>
      <c r="K41" s="8" t="s">
        <v>77</v>
      </c>
      <c r="L41" s="2" t="s">
        <v>26</v>
      </c>
      <c r="M41" s="8" t="s">
        <v>28</v>
      </c>
      <c r="N41" s="6" t="s">
        <v>2264</v>
      </c>
      <c r="O41" s="6" t="s">
        <v>30</v>
      </c>
      <c r="P41" s="2" t="s">
        <v>10659</v>
      </c>
    </row>
    <row r="42" spans="1:16" ht="13.15" x14ac:dyDescent="0.4">
      <c r="A42" s="2" t="s">
        <v>10446</v>
      </c>
      <c r="B42" s="2" t="s">
        <v>5880</v>
      </c>
      <c r="C42" s="6" t="s">
        <v>5879</v>
      </c>
      <c r="D42" s="6" t="s">
        <v>42</v>
      </c>
      <c r="E42" s="7">
        <v>44927</v>
      </c>
      <c r="F42" s="8" t="s">
        <v>77</v>
      </c>
      <c r="G42" s="2" t="s">
        <v>26</v>
      </c>
      <c r="H42" s="8" t="s">
        <v>28</v>
      </c>
      <c r="I42" s="2" t="s">
        <v>26</v>
      </c>
      <c r="J42" s="7">
        <v>44927</v>
      </c>
      <c r="K42" s="8" t="s">
        <v>77</v>
      </c>
      <c r="L42" s="2" t="s">
        <v>26</v>
      </c>
      <c r="M42" s="8" t="s">
        <v>28</v>
      </c>
      <c r="N42" s="6" t="s">
        <v>2264</v>
      </c>
      <c r="O42" s="6" t="s">
        <v>30</v>
      </c>
      <c r="P42" s="2" t="s">
        <v>10646</v>
      </c>
    </row>
    <row r="43" spans="1:16" ht="13.15" x14ac:dyDescent="0.4">
      <c r="A43" s="2" t="s">
        <v>9889</v>
      </c>
      <c r="B43" s="2" t="s">
        <v>5880</v>
      </c>
      <c r="C43" s="6" t="s">
        <v>5879</v>
      </c>
      <c r="D43" s="6" t="s">
        <v>42</v>
      </c>
      <c r="E43" s="7">
        <v>44927</v>
      </c>
      <c r="F43" s="8" t="s">
        <v>77</v>
      </c>
      <c r="G43" s="2" t="s">
        <v>26</v>
      </c>
      <c r="H43" s="8" t="s">
        <v>28</v>
      </c>
      <c r="I43" s="2" t="s">
        <v>26</v>
      </c>
      <c r="J43" s="7">
        <v>44927</v>
      </c>
      <c r="K43" s="8" t="s">
        <v>77</v>
      </c>
      <c r="L43" s="2" t="s">
        <v>26</v>
      </c>
      <c r="M43" s="8" t="s">
        <v>28</v>
      </c>
      <c r="N43" s="6" t="s">
        <v>2264</v>
      </c>
      <c r="O43" s="6" t="s">
        <v>30</v>
      </c>
      <c r="P43" s="2" t="s">
        <v>10668</v>
      </c>
    </row>
    <row r="44" spans="1:16" ht="13.15" x14ac:dyDescent="0.4">
      <c r="A44" s="2" t="s">
        <v>10465</v>
      </c>
      <c r="B44" s="2" t="s">
        <v>5880</v>
      </c>
      <c r="C44" s="6" t="s">
        <v>5879</v>
      </c>
      <c r="D44" s="6" t="s">
        <v>42</v>
      </c>
      <c r="E44" s="7">
        <v>44927</v>
      </c>
      <c r="F44" s="8" t="s">
        <v>77</v>
      </c>
      <c r="G44" s="2" t="s">
        <v>26</v>
      </c>
      <c r="H44" s="8" t="s">
        <v>28</v>
      </c>
      <c r="I44" s="2" t="s">
        <v>26</v>
      </c>
      <c r="J44" s="7">
        <v>44927</v>
      </c>
      <c r="K44" s="8" t="s">
        <v>77</v>
      </c>
      <c r="L44" s="2" t="s">
        <v>26</v>
      </c>
      <c r="M44" s="8" t="s">
        <v>28</v>
      </c>
      <c r="N44" s="6" t="s">
        <v>2264</v>
      </c>
      <c r="O44" s="6" t="s">
        <v>30</v>
      </c>
      <c r="P44" s="2" t="s">
        <v>10669</v>
      </c>
    </row>
    <row r="45" spans="1:16" ht="13.15" x14ac:dyDescent="0.4">
      <c r="A45" s="2" t="s">
        <v>354</v>
      </c>
      <c r="B45" s="2" t="s">
        <v>5880</v>
      </c>
      <c r="C45" s="6" t="s">
        <v>5879</v>
      </c>
      <c r="D45" s="6" t="s">
        <v>42</v>
      </c>
      <c r="E45" s="7">
        <v>44927</v>
      </c>
      <c r="F45" s="8" t="s">
        <v>77</v>
      </c>
      <c r="G45" s="2" t="s">
        <v>26</v>
      </c>
      <c r="H45" s="8" t="s">
        <v>28</v>
      </c>
      <c r="I45" s="2" t="s">
        <v>26</v>
      </c>
      <c r="J45" s="7">
        <v>44927</v>
      </c>
      <c r="K45" s="8" t="s">
        <v>77</v>
      </c>
      <c r="L45" s="2" t="s">
        <v>26</v>
      </c>
      <c r="M45" s="8" t="s">
        <v>28</v>
      </c>
      <c r="N45" s="6" t="s">
        <v>2264</v>
      </c>
      <c r="O45" s="6" t="s">
        <v>30</v>
      </c>
      <c r="P45" s="2" t="s">
        <v>10670</v>
      </c>
    </row>
    <row r="46" spans="1:16" ht="13.15" x14ac:dyDescent="0.4">
      <c r="A46" s="2" t="s">
        <v>10444</v>
      </c>
      <c r="B46" s="2" t="s">
        <v>5880</v>
      </c>
      <c r="C46" s="6" t="s">
        <v>5879</v>
      </c>
      <c r="D46" s="6" t="s">
        <v>42</v>
      </c>
      <c r="E46" s="7">
        <v>44927</v>
      </c>
      <c r="F46" s="8" t="s">
        <v>77</v>
      </c>
      <c r="G46" s="2" t="s">
        <v>26</v>
      </c>
      <c r="H46" s="8" t="s">
        <v>28</v>
      </c>
      <c r="I46" s="2" t="s">
        <v>26</v>
      </c>
      <c r="J46" s="7">
        <v>44927</v>
      </c>
      <c r="K46" s="8" t="s">
        <v>77</v>
      </c>
      <c r="L46" s="2" t="s">
        <v>26</v>
      </c>
      <c r="M46" s="8" t="s">
        <v>28</v>
      </c>
      <c r="N46" s="6" t="s">
        <v>2264</v>
      </c>
      <c r="O46" s="6" t="s">
        <v>30</v>
      </c>
      <c r="P46" s="2" t="s">
        <v>10644</v>
      </c>
    </row>
    <row r="47" spans="1:16" ht="13.15" x14ac:dyDescent="0.4">
      <c r="A47" s="2" t="s">
        <v>9174</v>
      </c>
      <c r="B47" s="2" t="s">
        <v>5880</v>
      </c>
      <c r="C47" s="6" t="s">
        <v>5879</v>
      </c>
      <c r="D47" s="6" t="s">
        <v>42</v>
      </c>
      <c r="E47" s="7">
        <v>44927</v>
      </c>
      <c r="F47" s="8" t="s">
        <v>77</v>
      </c>
      <c r="G47" s="2" t="s">
        <v>26</v>
      </c>
      <c r="H47" s="8" t="s">
        <v>28</v>
      </c>
      <c r="I47" s="2" t="s">
        <v>26</v>
      </c>
      <c r="J47" s="7">
        <v>44927</v>
      </c>
      <c r="K47" s="8" t="s">
        <v>77</v>
      </c>
      <c r="L47" s="2" t="s">
        <v>26</v>
      </c>
      <c r="M47" s="8" t="s">
        <v>28</v>
      </c>
      <c r="N47" s="6" t="s">
        <v>2264</v>
      </c>
      <c r="O47" s="6" t="s">
        <v>30</v>
      </c>
      <c r="P47" s="2" t="s">
        <v>10642</v>
      </c>
    </row>
    <row r="48" spans="1:16" ht="13.15" x14ac:dyDescent="0.4">
      <c r="A48" s="2" t="s">
        <v>10457</v>
      </c>
      <c r="B48" s="2" t="s">
        <v>5880</v>
      </c>
      <c r="C48" s="6" t="s">
        <v>5879</v>
      </c>
      <c r="D48" s="6" t="s">
        <v>42</v>
      </c>
      <c r="E48" s="7">
        <v>44927</v>
      </c>
      <c r="F48" s="8" t="s">
        <v>77</v>
      </c>
      <c r="G48" s="2" t="s">
        <v>26</v>
      </c>
      <c r="H48" s="8" t="s">
        <v>28</v>
      </c>
      <c r="I48" s="2" t="s">
        <v>26</v>
      </c>
      <c r="J48" s="7">
        <v>44927</v>
      </c>
      <c r="K48" s="8" t="s">
        <v>77</v>
      </c>
      <c r="L48" s="2" t="s">
        <v>26</v>
      </c>
      <c r="M48" s="8" t="s">
        <v>28</v>
      </c>
      <c r="N48" s="6" t="s">
        <v>2264</v>
      </c>
      <c r="O48" s="6" t="s">
        <v>30</v>
      </c>
      <c r="P48" s="2" t="s">
        <v>10660</v>
      </c>
    </row>
    <row r="49" spans="1:16" ht="13.15" x14ac:dyDescent="0.4">
      <c r="A49" s="2" t="s">
        <v>10451</v>
      </c>
      <c r="B49" s="2" t="s">
        <v>5880</v>
      </c>
      <c r="C49" s="6" t="s">
        <v>5879</v>
      </c>
      <c r="D49" s="6" t="s">
        <v>42</v>
      </c>
      <c r="E49" s="7">
        <v>44927</v>
      </c>
      <c r="F49" s="8" t="s">
        <v>77</v>
      </c>
      <c r="G49" s="2" t="s">
        <v>26</v>
      </c>
      <c r="H49" s="8" t="s">
        <v>28</v>
      </c>
      <c r="I49" s="2" t="s">
        <v>26</v>
      </c>
      <c r="J49" s="7">
        <v>44927</v>
      </c>
      <c r="K49" s="8" t="s">
        <v>77</v>
      </c>
      <c r="L49" s="2" t="s">
        <v>26</v>
      </c>
      <c r="M49" s="8" t="s">
        <v>28</v>
      </c>
      <c r="N49" s="6" t="s">
        <v>2264</v>
      </c>
      <c r="O49" s="6" t="s">
        <v>30</v>
      </c>
      <c r="P49" s="2" t="s">
        <v>10653</v>
      </c>
    </row>
    <row r="50" spans="1:16" ht="13.15" x14ac:dyDescent="0.4">
      <c r="A50" s="2" t="s">
        <v>10455</v>
      </c>
      <c r="B50" s="2" t="s">
        <v>5880</v>
      </c>
      <c r="C50" s="6" t="s">
        <v>5879</v>
      </c>
      <c r="D50" s="6" t="s">
        <v>42</v>
      </c>
      <c r="E50" s="7">
        <v>44927</v>
      </c>
      <c r="F50" s="8" t="s">
        <v>77</v>
      </c>
      <c r="G50" s="2" t="s">
        <v>26</v>
      </c>
      <c r="H50" s="8" t="s">
        <v>28</v>
      </c>
      <c r="I50" s="2" t="s">
        <v>26</v>
      </c>
      <c r="J50" s="7">
        <v>44927</v>
      </c>
      <c r="K50" s="8" t="s">
        <v>77</v>
      </c>
      <c r="L50" s="2" t="s">
        <v>26</v>
      </c>
      <c r="M50" s="8" t="s">
        <v>28</v>
      </c>
      <c r="N50" s="6" t="s">
        <v>2264</v>
      </c>
      <c r="O50" s="6" t="s">
        <v>30</v>
      </c>
      <c r="P50" s="2" t="s">
        <v>10658</v>
      </c>
    </row>
    <row r="51" spans="1:16" ht="13.15" x14ac:dyDescent="0.4">
      <c r="A51" s="2" t="s">
        <v>10454</v>
      </c>
      <c r="B51" s="2" t="s">
        <v>5880</v>
      </c>
      <c r="C51" s="6" t="s">
        <v>5879</v>
      </c>
      <c r="D51" s="6" t="s">
        <v>42</v>
      </c>
      <c r="E51" s="7">
        <v>44927</v>
      </c>
      <c r="F51" s="8" t="s">
        <v>77</v>
      </c>
      <c r="G51" s="2" t="s">
        <v>26</v>
      </c>
      <c r="H51" s="8" t="s">
        <v>28</v>
      </c>
      <c r="I51" s="2" t="s">
        <v>26</v>
      </c>
      <c r="J51" s="7">
        <v>44927</v>
      </c>
      <c r="K51" s="8" t="s">
        <v>77</v>
      </c>
      <c r="L51" s="2" t="s">
        <v>26</v>
      </c>
      <c r="M51" s="8" t="s">
        <v>28</v>
      </c>
      <c r="N51" s="6" t="s">
        <v>2264</v>
      </c>
      <c r="O51" s="6" t="s">
        <v>30</v>
      </c>
      <c r="P51" s="2" t="s">
        <v>10657</v>
      </c>
    </row>
    <row r="52" spans="1:16" ht="13.15" x14ac:dyDescent="0.4">
      <c r="A52" s="2" t="s">
        <v>10475</v>
      </c>
      <c r="B52" s="2" t="s">
        <v>5880</v>
      </c>
      <c r="C52" s="6" t="s">
        <v>5879</v>
      </c>
      <c r="D52" s="6" t="s">
        <v>42</v>
      </c>
      <c r="E52" s="7">
        <v>44927</v>
      </c>
      <c r="F52" s="8" t="s">
        <v>77</v>
      </c>
      <c r="G52" s="2" t="s">
        <v>26</v>
      </c>
      <c r="H52" s="8" t="s">
        <v>28</v>
      </c>
      <c r="I52" s="2" t="s">
        <v>26</v>
      </c>
      <c r="J52" s="7">
        <v>44927</v>
      </c>
      <c r="K52" s="8" t="s">
        <v>77</v>
      </c>
      <c r="L52" s="2" t="s">
        <v>26</v>
      </c>
      <c r="M52" s="8" t="s">
        <v>28</v>
      </c>
      <c r="N52" s="6" t="s">
        <v>2264</v>
      </c>
      <c r="O52" s="6" t="s">
        <v>30</v>
      </c>
      <c r="P52" s="2" t="s">
        <v>10682</v>
      </c>
    </row>
    <row r="53" spans="1:16" ht="13.15" x14ac:dyDescent="0.4">
      <c r="A53" s="2" t="s">
        <v>10467</v>
      </c>
      <c r="B53" s="2" t="s">
        <v>5880</v>
      </c>
      <c r="C53" s="6" t="s">
        <v>5879</v>
      </c>
      <c r="D53" s="6" t="s">
        <v>42</v>
      </c>
      <c r="E53" s="7">
        <v>44927</v>
      </c>
      <c r="F53" s="8" t="s">
        <v>77</v>
      </c>
      <c r="G53" s="2" t="s">
        <v>26</v>
      </c>
      <c r="H53" s="8" t="s">
        <v>28</v>
      </c>
      <c r="I53" s="2" t="s">
        <v>26</v>
      </c>
      <c r="J53" s="7">
        <v>44927</v>
      </c>
      <c r="K53" s="8" t="s">
        <v>77</v>
      </c>
      <c r="L53" s="2" t="s">
        <v>26</v>
      </c>
      <c r="M53" s="8" t="s">
        <v>28</v>
      </c>
      <c r="N53" s="6" t="s">
        <v>2264</v>
      </c>
      <c r="O53" s="6" t="s">
        <v>30</v>
      </c>
      <c r="P53" s="2" t="s">
        <v>10672</v>
      </c>
    </row>
    <row r="54" spans="1:16" ht="13.15" x14ac:dyDescent="0.4">
      <c r="A54" s="2" t="s">
        <v>7534</v>
      </c>
      <c r="B54" s="2" t="s">
        <v>5880</v>
      </c>
      <c r="C54" s="6" t="s">
        <v>5879</v>
      </c>
      <c r="D54" s="6" t="s">
        <v>42</v>
      </c>
      <c r="E54" s="7">
        <v>44927</v>
      </c>
      <c r="F54" s="8" t="s">
        <v>77</v>
      </c>
      <c r="G54" s="2" t="s">
        <v>26</v>
      </c>
      <c r="H54" s="8" t="s">
        <v>28</v>
      </c>
      <c r="I54" s="2" t="s">
        <v>26</v>
      </c>
      <c r="J54" s="7">
        <v>44927</v>
      </c>
      <c r="K54" s="8" t="s">
        <v>77</v>
      </c>
      <c r="L54" s="2" t="s">
        <v>26</v>
      </c>
      <c r="M54" s="8" t="s">
        <v>28</v>
      </c>
      <c r="N54" s="6" t="s">
        <v>2264</v>
      </c>
      <c r="O54" s="6" t="s">
        <v>30</v>
      </c>
      <c r="P54" s="2" t="s">
        <v>10650</v>
      </c>
    </row>
    <row r="55" spans="1:16" ht="13.15" x14ac:dyDescent="0.4">
      <c r="A55" s="2" t="s">
        <v>7537</v>
      </c>
      <c r="B55" s="2" t="s">
        <v>5880</v>
      </c>
      <c r="C55" s="6" t="s">
        <v>5879</v>
      </c>
      <c r="D55" s="6" t="s">
        <v>42</v>
      </c>
      <c r="E55" s="7">
        <v>44927</v>
      </c>
      <c r="F55" s="8" t="s">
        <v>77</v>
      </c>
      <c r="G55" s="2" t="s">
        <v>26</v>
      </c>
      <c r="H55" s="8" t="s">
        <v>28</v>
      </c>
      <c r="I55" s="2" t="s">
        <v>26</v>
      </c>
      <c r="J55" s="7">
        <v>44927</v>
      </c>
      <c r="K55" s="8" t="s">
        <v>77</v>
      </c>
      <c r="L55" s="2" t="s">
        <v>26</v>
      </c>
      <c r="M55" s="8" t="s">
        <v>28</v>
      </c>
      <c r="N55" s="6" t="s">
        <v>2264</v>
      </c>
      <c r="O55" s="6" t="s">
        <v>30</v>
      </c>
      <c r="P55" s="2" t="s">
        <v>10652</v>
      </c>
    </row>
    <row r="56" spans="1:16" ht="13.15" x14ac:dyDescent="0.4">
      <c r="A56" s="2" t="s">
        <v>10468</v>
      </c>
      <c r="B56" s="2" t="s">
        <v>5880</v>
      </c>
      <c r="C56" s="6" t="s">
        <v>5879</v>
      </c>
      <c r="D56" s="6" t="s">
        <v>42</v>
      </c>
      <c r="E56" s="7">
        <v>44927</v>
      </c>
      <c r="F56" s="8" t="s">
        <v>77</v>
      </c>
      <c r="G56" s="2" t="s">
        <v>26</v>
      </c>
      <c r="H56" s="8" t="s">
        <v>28</v>
      </c>
      <c r="I56" s="2" t="s">
        <v>26</v>
      </c>
      <c r="J56" s="7">
        <v>44927</v>
      </c>
      <c r="K56" s="8" t="s">
        <v>77</v>
      </c>
      <c r="L56" s="2" t="s">
        <v>26</v>
      </c>
      <c r="M56" s="8" t="s">
        <v>28</v>
      </c>
      <c r="N56" s="6" t="s">
        <v>2264</v>
      </c>
      <c r="O56" s="6" t="s">
        <v>30</v>
      </c>
      <c r="P56" s="2" t="s">
        <v>10674</v>
      </c>
    </row>
    <row r="57" spans="1:16" ht="13.15" x14ac:dyDescent="0.4">
      <c r="A57" s="2" t="s">
        <v>10438</v>
      </c>
      <c r="B57" s="2" t="s">
        <v>5880</v>
      </c>
      <c r="C57" s="6" t="s">
        <v>5879</v>
      </c>
      <c r="D57" s="6" t="s">
        <v>42</v>
      </c>
      <c r="E57" s="7">
        <v>44927</v>
      </c>
      <c r="F57" s="8" t="s">
        <v>77</v>
      </c>
      <c r="G57" s="2" t="s">
        <v>26</v>
      </c>
      <c r="H57" s="8" t="s">
        <v>28</v>
      </c>
      <c r="I57" s="2" t="s">
        <v>26</v>
      </c>
      <c r="J57" s="7">
        <v>44927</v>
      </c>
      <c r="K57" s="8" t="s">
        <v>77</v>
      </c>
      <c r="L57" s="2" t="s">
        <v>26</v>
      </c>
      <c r="M57" s="8" t="s">
        <v>28</v>
      </c>
      <c r="N57" s="6" t="s">
        <v>2264</v>
      </c>
      <c r="O57" s="6" t="s">
        <v>30</v>
      </c>
      <c r="P57" s="2" t="s">
        <v>10637</v>
      </c>
    </row>
    <row r="58" spans="1:16" ht="13.15" x14ac:dyDescent="0.4">
      <c r="A58" s="2" t="s">
        <v>10464</v>
      </c>
      <c r="B58" s="2" t="s">
        <v>5880</v>
      </c>
      <c r="C58" s="6" t="s">
        <v>5879</v>
      </c>
      <c r="D58" s="6" t="s">
        <v>42</v>
      </c>
      <c r="E58" s="7">
        <v>44927</v>
      </c>
      <c r="F58" s="8" t="s">
        <v>77</v>
      </c>
      <c r="G58" s="2" t="s">
        <v>26</v>
      </c>
      <c r="H58" s="8" t="s">
        <v>28</v>
      </c>
      <c r="I58" s="2" t="s">
        <v>26</v>
      </c>
      <c r="J58" s="7">
        <v>44927</v>
      </c>
      <c r="K58" s="8" t="s">
        <v>77</v>
      </c>
      <c r="L58" s="2" t="s">
        <v>26</v>
      </c>
      <c r="M58" s="8" t="s">
        <v>28</v>
      </c>
      <c r="N58" s="6" t="s">
        <v>2264</v>
      </c>
      <c r="O58" s="6" t="s">
        <v>30</v>
      </c>
      <c r="P58" s="2" t="s">
        <v>10667</v>
      </c>
    </row>
    <row r="59" spans="1:16" ht="13.15" x14ac:dyDescent="0.4">
      <c r="A59" s="2" t="s">
        <v>10450</v>
      </c>
      <c r="B59" s="2" t="s">
        <v>5880</v>
      </c>
      <c r="C59" s="6" t="s">
        <v>5879</v>
      </c>
      <c r="D59" s="6" t="s">
        <v>42</v>
      </c>
      <c r="E59" s="7">
        <v>44927</v>
      </c>
      <c r="F59" s="8" t="s">
        <v>77</v>
      </c>
      <c r="G59" s="2" t="s">
        <v>26</v>
      </c>
      <c r="H59" s="8" t="s">
        <v>28</v>
      </c>
      <c r="I59" s="2" t="s">
        <v>26</v>
      </c>
      <c r="J59" s="7">
        <v>44927</v>
      </c>
      <c r="K59" s="8" t="s">
        <v>77</v>
      </c>
      <c r="L59" s="2" t="s">
        <v>26</v>
      </c>
      <c r="M59" s="8" t="s">
        <v>28</v>
      </c>
      <c r="N59" s="6" t="s">
        <v>2264</v>
      </c>
      <c r="O59" s="6" t="s">
        <v>30</v>
      </c>
      <c r="P59" s="2" t="s">
        <v>10651</v>
      </c>
    </row>
    <row r="60" spans="1:16" ht="13.15" x14ac:dyDescent="0.4">
      <c r="A60" s="2" t="s">
        <v>10453</v>
      </c>
      <c r="B60" s="2" t="s">
        <v>5880</v>
      </c>
      <c r="C60" s="6" t="s">
        <v>5879</v>
      </c>
      <c r="D60" s="6" t="s">
        <v>42</v>
      </c>
      <c r="E60" s="7">
        <v>44927</v>
      </c>
      <c r="F60" s="8" t="s">
        <v>77</v>
      </c>
      <c r="G60" s="2" t="s">
        <v>26</v>
      </c>
      <c r="H60" s="8" t="s">
        <v>28</v>
      </c>
      <c r="I60" s="2" t="s">
        <v>26</v>
      </c>
      <c r="J60" s="7">
        <v>44927</v>
      </c>
      <c r="K60" s="8" t="s">
        <v>77</v>
      </c>
      <c r="L60" s="2" t="s">
        <v>26</v>
      </c>
      <c r="M60" s="8" t="s">
        <v>28</v>
      </c>
      <c r="N60" s="6" t="s">
        <v>2264</v>
      </c>
      <c r="O60" s="6" t="s">
        <v>30</v>
      </c>
      <c r="P60" s="2" t="s">
        <v>10655</v>
      </c>
    </row>
    <row r="61" spans="1:16" ht="13.15" x14ac:dyDescent="0.4">
      <c r="A61" s="2" t="s">
        <v>10473</v>
      </c>
      <c r="B61" s="2" t="s">
        <v>5880</v>
      </c>
      <c r="C61" s="6" t="s">
        <v>5879</v>
      </c>
      <c r="D61" s="6" t="s">
        <v>42</v>
      </c>
      <c r="E61" s="7">
        <v>44927</v>
      </c>
      <c r="F61" s="8" t="s">
        <v>77</v>
      </c>
      <c r="G61" s="2" t="s">
        <v>26</v>
      </c>
      <c r="H61" s="8" t="s">
        <v>28</v>
      </c>
      <c r="I61" s="2" t="s">
        <v>26</v>
      </c>
      <c r="J61" s="7">
        <v>44927</v>
      </c>
      <c r="K61" s="8" t="s">
        <v>77</v>
      </c>
      <c r="L61" s="2" t="s">
        <v>26</v>
      </c>
      <c r="M61" s="8" t="s">
        <v>28</v>
      </c>
      <c r="N61" s="6" t="s">
        <v>2264</v>
      </c>
      <c r="O61" s="6" t="s">
        <v>30</v>
      </c>
      <c r="P61" s="2" t="s">
        <v>10680</v>
      </c>
    </row>
    <row r="62" spans="1:16" ht="13.15" x14ac:dyDescent="0.4">
      <c r="A62" s="2" t="s">
        <v>10469</v>
      </c>
      <c r="B62" s="2" t="s">
        <v>5880</v>
      </c>
      <c r="C62" s="6" t="s">
        <v>5879</v>
      </c>
      <c r="D62" s="6" t="s">
        <v>42</v>
      </c>
      <c r="E62" s="7">
        <v>44927</v>
      </c>
      <c r="F62" s="8" t="s">
        <v>77</v>
      </c>
      <c r="G62" s="2" t="s">
        <v>26</v>
      </c>
      <c r="H62" s="8" t="s">
        <v>28</v>
      </c>
      <c r="I62" s="2" t="s">
        <v>26</v>
      </c>
      <c r="J62" s="7">
        <v>44927</v>
      </c>
      <c r="K62" s="8" t="s">
        <v>77</v>
      </c>
      <c r="L62" s="2" t="s">
        <v>26</v>
      </c>
      <c r="M62" s="8" t="s">
        <v>28</v>
      </c>
      <c r="N62" s="6" t="s">
        <v>2264</v>
      </c>
      <c r="O62" s="6" t="s">
        <v>30</v>
      </c>
      <c r="P62" s="2" t="s">
        <v>10675</v>
      </c>
    </row>
    <row r="63" spans="1:16" ht="13.15" x14ac:dyDescent="0.4">
      <c r="A63" s="2" t="s">
        <v>10463</v>
      </c>
      <c r="B63" s="2" t="s">
        <v>5880</v>
      </c>
      <c r="C63" s="6" t="s">
        <v>5879</v>
      </c>
      <c r="D63" s="6" t="s">
        <v>42</v>
      </c>
      <c r="E63" s="7">
        <v>44927</v>
      </c>
      <c r="F63" s="8" t="s">
        <v>77</v>
      </c>
      <c r="G63" s="2" t="s">
        <v>26</v>
      </c>
      <c r="H63" s="8" t="s">
        <v>28</v>
      </c>
      <c r="I63" s="2" t="s">
        <v>26</v>
      </c>
      <c r="J63" s="7">
        <v>44927</v>
      </c>
      <c r="K63" s="8" t="s">
        <v>77</v>
      </c>
      <c r="L63" s="2" t="s">
        <v>26</v>
      </c>
      <c r="M63" s="8" t="s">
        <v>28</v>
      </c>
      <c r="N63" s="6" t="s">
        <v>2264</v>
      </c>
      <c r="O63" s="6" t="s">
        <v>30</v>
      </c>
      <c r="P63" s="2" t="s">
        <v>10666</v>
      </c>
    </row>
    <row r="64" spans="1:16" ht="13.15" x14ac:dyDescent="0.4">
      <c r="A64" s="2" t="s">
        <v>10452</v>
      </c>
      <c r="B64" s="2" t="s">
        <v>5880</v>
      </c>
      <c r="C64" s="6" t="s">
        <v>5879</v>
      </c>
      <c r="D64" s="6" t="s">
        <v>42</v>
      </c>
      <c r="E64" s="7">
        <v>44927</v>
      </c>
      <c r="F64" s="8" t="s">
        <v>77</v>
      </c>
      <c r="G64" s="2" t="s">
        <v>26</v>
      </c>
      <c r="H64" s="8" t="s">
        <v>28</v>
      </c>
      <c r="I64" s="2" t="s">
        <v>26</v>
      </c>
      <c r="J64" s="7">
        <v>44927</v>
      </c>
      <c r="K64" s="8" t="s">
        <v>77</v>
      </c>
      <c r="L64" s="2" t="s">
        <v>26</v>
      </c>
      <c r="M64" s="8" t="s">
        <v>28</v>
      </c>
      <c r="N64" s="6" t="s">
        <v>2264</v>
      </c>
      <c r="O64" s="6" t="s">
        <v>30</v>
      </c>
      <c r="P64" s="2" t="s">
        <v>10654</v>
      </c>
    </row>
    <row r="65" spans="1:16" ht="13.15" x14ac:dyDescent="0.4">
      <c r="A65" s="2" t="s">
        <v>855</v>
      </c>
      <c r="B65" s="2" t="s">
        <v>5880</v>
      </c>
      <c r="C65" s="6" t="s">
        <v>5879</v>
      </c>
      <c r="D65" s="6" t="s">
        <v>42</v>
      </c>
      <c r="E65" s="7">
        <v>44927</v>
      </c>
      <c r="F65" s="8" t="s">
        <v>77</v>
      </c>
      <c r="G65" s="2" t="s">
        <v>26</v>
      </c>
      <c r="H65" s="8" t="s">
        <v>28</v>
      </c>
      <c r="I65" s="2" t="s">
        <v>26</v>
      </c>
      <c r="J65" s="7">
        <v>44927</v>
      </c>
      <c r="K65" s="8" t="s">
        <v>77</v>
      </c>
      <c r="L65" s="2" t="s">
        <v>26</v>
      </c>
      <c r="M65" s="8" t="s">
        <v>28</v>
      </c>
      <c r="N65" s="6" t="s">
        <v>2264</v>
      </c>
      <c r="O65" s="6" t="s">
        <v>30</v>
      </c>
      <c r="P65" s="2" t="s">
        <v>10656</v>
      </c>
    </row>
    <row r="66" spans="1:16" ht="13.15" x14ac:dyDescent="0.4">
      <c r="A66" s="2" t="s">
        <v>10472</v>
      </c>
      <c r="B66" s="2" t="s">
        <v>5880</v>
      </c>
      <c r="C66" s="6" t="s">
        <v>5879</v>
      </c>
      <c r="D66" s="6" t="s">
        <v>42</v>
      </c>
      <c r="E66" s="7">
        <v>44927</v>
      </c>
      <c r="F66" s="8" t="s">
        <v>77</v>
      </c>
      <c r="G66" s="2" t="s">
        <v>26</v>
      </c>
      <c r="H66" s="8" t="s">
        <v>28</v>
      </c>
      <c r="I66" s="2" t="s">
        <v>26</v>
      </c>
      <c r="J66" s="7">
        <v>44927</v>
      </c>
      <c r="K66" s="8" t="s">
        <v>77</v>
      </c>
      <c r="L66" s="2" t="s">
        <v>26</v>
      </c>
      <c r="M66" s="8" t="s">
        <v>28</v>
      </c>
      <c r="N66" s="6" t="s">
        <v>2264</v>
      </c>
      <c r="O66" s="6" t="s">
        <v>30</v>
      </c>
      <c r="P66" s="2" t="s">
        <v>10679</v>
      </c>
    </row>
    <row r="67" spans="1:16" ht="13.15" x14ac:dyDescent="0.4">
      <c r="A67" s="2" t="s">
        <v>10449</v>
      </c>
      <c r="B67" s="2" t="s">
        <v>5880</v>
      </c>
      <c r="C67" s="6" t="s">
        <v>5879</v>
      </c>
      <c r="D67" s="6" t="s">
        <v>42</v>
      </c>
      <c r="E67" s="7">
        <v>44927</v>
      </c>
      <c r="F67" s="8" t="s">
        <v>77</v>
      </c>
      <c r="G67" s="2" t="s">
        <v>26</v>
      </c>
      <c r="H67" s="8" t="s">
        <v>28</v>
      </c>
      <c r="I67" s="2" t="s">
        <v>26</v>
      </c>
      <c r="J67" s="7">
        <v>44927</v>
      </c>
      <c r="K67" s="8" t="s">
        <v>77</v>
      </c>
      <c r="L67" s="2" t="s">
        <v>26</v>
      </c>
      <c r="M67" s="8" t="s">
        <v>28</v>
      </c>
      <c r="N67" s="6" t="s">
        <v>2264</v>
      </c>
      <c r="O67" s="6" t="s">
        <v>30</v>
      </c>
      <c r="P67" s="2" t="s">
        <v>10649</v>
      </c>
    </row>
    <row r="68" spans="1:16" ht="13.15" x14ac:dyDescent="0.4">
      <c r="A68" s="2" t="s">
        <v>10459</v>
      </c>
      <c r="B68" s="2" t="s">
        <v>5880</v>
      </c>
      <c r="C68" s="6" t="s">
        <v>5879</v>
      </c>
      <c r="D68" s="6" t="s">
        <v>42</v>
      </c>
      <c r="E68" s="7">
        <v>44927</v>
      </c>
      <c r="F68" s="8" t="s">
        <v>77</v>
      </c>
      <c r="G68" s="2" t="s">
        <v>26</v>
      </c>
      <c r="H68" s="8" t="s">
        <v>28</v>
      </c>
      <c r="I68" s="2" t="s">
        <v>26</v>
      </c>
      <c r="J68" s="7">
        <v>44927</v>
      </c>
      <c r="K68" s="8" t="s">
        <v>77</v>
      </c>
      <c r="L68" s="2" t="s">
        <v>26</v>
      </c>
      <c r="M68" s="8" t="s">
        <v>28</v>
      </c>
      <c r="N68" s="6" t="s">
        <v>2264</v>
      </c>
      <c r="O68" s="6" t="s">
        <v>30</v>
      </c>
      <c r="P68" s="2" t="s">
        <v>10662</v>
      </c>
    </row>
    <row r="69" spans="1:16" ht="13.15" x14ac:dyDescent="0.4">
      <c r="A69" s="2" t="s">
        <v>10470</v>
      </c>
      <c r="B69" s="2" t="s">
        <v>5880</v>
      </c>
      <c r="C69" s="6" t="s">
        <v>5879</v>
      </c>
      <c r="D69" s="6" t="s">
        <v>42</v>
      </c>
      <c r="E69" s="7">
        <v>44927</v>
      </c>
      <c r="F69" s="8" t="s">
        <v>77</v>
      </c>
      <c r="G69" s="2" t="s">
        <v>26</v>
      </c>
      <c r="H69" s="8" t="s">
        <v>28</v>
      </c>
      <c r="I69" s="2" t="s">
        <v>26</v>
      </c>
      <c r="J69" s="7">
        <v>44927</v>
      </c>
      <c r="K69" s="8" t="s">
        <v>77</v>
      </c>
      <c r="L69" s="2" t="s">
        <v>26</v>
      </c>
      <c r="M69" s="8" t="s">
        <v>28</v>
      </c>
      <c r="N69" s="6" t="s">
        <v>2264</v>
      </c>
      <c r="O69" s="6" t="s">
        <v>30</v>
      </c>
      <c r="P69" s="2" t="s">
        <v>10677</v>
      </c>
    </row>
    <row r="70" spans="1:16" ht="13.15" x14ac:dyDescent="0.4">
      <c r="A70" s="2" t="s">
        <v>10461</v>
      </c>
      <c r="B70" s="2" t="s">
        <v>5880</v>
      </c>
      <c r="C70" s="6" t="s">
        <v>5879</v>
      </c>
      <c r="D70" s="6" t="s">
        <v>42</v>
      </c>
      <c r="E70" s="7">
        <v>44927</v>
      </c>
      <c r="F70" s="8" t="s">
        <v>77</v>
      </c>
      <c r="G70" s="2" t="s">
        <v>26</v>
      </c>
      <c r="H70" s="8" t="s">
        <v>28</v>
      </c>
      <c r="I70" s="2" t="s">
        <v>26</v>
      </c>
      <c r="J70" s="7">
        <v>44927</v>
      </c>
      <c r="K70" s="8" t="s">
        <v>77</v>
      </c>
      <c r="L70" s="2" t="s">
        <v>26</v>
      </c>
      <c r="M70" s="8" t="s">
        <v>28</v>
      </c>
      <c r="N70" s="6" t="s">
        <v>2264</v>
      </c>
      <c r="O70" s="6" t="s">
        <v>30</v>
      </c>
      <c r="P70" s="2" t="s">
        <v>10664</v>
      </c>
    </row>
    <row r="71" spans="1:16" ht="13.15" x14ac:dyDescent="0.4">
      <c r="A71" s="2" t="s">
        <v>7744</v>
      </c>
      <c r="B71" s="2" t="s">
        <v>5880</v>
      </c>
      <c r="C71" s="6" t="s">
        <v>5879</v>
      </c>
      <c r="D71" s="6" t="s">
        <v>42</v>
      </c>
      <c r="E71" s="7">
        <v>44927</v>
      </c>
      <c r="F71" s="8" t="s">
        <v>77</v>
      </c>
      <c r="G71" s="2" t="s">
        <v>26</v>
      </c>
      <c r="H71" s="8" t="s">
        <v>28</v>
      </c>
      <c r="I71" s="2" t="s">
        <v>26</v>
      </c>
      <c r="J71" s="7">
        <v>44927</v>
      </c>
      <c r="K71" s="8" t="s">
        <v>77</v>
      </c>
      <c r="L71" s="2" t="s">
        <v>26</v>
      </c>
      <c r="M71" s="8" t="s">
        <v>28</v>
      </c>
      <c r="N71" s="6" t="s">
        <v>2264</v>
      </c>
      <c r="O71" s="6" t="s">
        <v>30</v>
      </c>
      <c r="P71" s="2" t="s">
        <v>10634</v>
      </c>
    </row>
    <row r="72" spans="1:16" ht="13.15" x14ac:dyDescent="0.4">
      <c r="A72" s="2" t="s">
        <v>10440</v>
      </c>
      <c r="B72" s="2" t="s">
        <v>5880</v>
      </c>
      <c r="C72" s="6" t="s">
        <v>5879</v>
      </c>
      <c r="D72" s="6" t="s">
        <v>42</v>
      </c>
      <c r="E72" s="7">
        <v>44927</v>
      </c>
      <c r="F72" s="8" t="s">
        <v>77</v>
      </c>
      <c r="G72" s="2" t="s">
        <v>26</v>
      </c>
      <c r="H72" s="8" t="s">
        <v>28</v>
      </c>
      <c r="I72" s="2" t="s">
        <v>26</v>
      </c>
      <c r="J72" s="7">
        <v>44927</v>
      </c>
      <c r="K72" s="8" t="s">
        <v>77</v>
      </c>
      <c r="L72" s="2" t="s">
        <v>26</v>
      </c>
      <c r="M72" s="8" t="s">
        <v>28</v>
      </c>
      <c r="N72" s="6" t="s">
        <v>2264</v>
      </c>
      <c r="O72" s="6" t="s">
        <v>30</v>
      </c>
      <c r="P72" s="2" t="s">
        <v>10639</v>
      </c>
    </row>
    <row r="73" spans="1:16" ht="13.15" x14ac:dyDescent="0.4">
      <c r="A73" s="2" t="s">
        <v>10443</v>
      </c>
      <c r="B73" s="2" t="s">
        <v>5880</v>
      </c>
      <c r="C73" s="6" t="s">
        <v>5879</v>
      </c>
      <c r="D73" s="6" t="s">
        <v>42</v>
      </c>
      <c r="E73" s="7">
        <v>44927</v>
      </c>
      <c r="F73" s="8" t="s">
        <v>77</v>
      </c>
      <c r="G73" s="2" t="s">
        <v>26</v>
      </c>
      <c r="H73" s="8" t="s">
        <v>28</v>
      </c>
      <c r="I73" s="2" t="s">
        <v>26</v>
      </c>
      <c r="J73" s="7">
        <v>44927</v>
      </c>
      <c r="K73" s="8" t="s">
        <v>77</v>
      </c>
      <c r="L73" s="2" t="s">
        <v>26</v>
      </c>
      <c r="M73" s="8" t="s">
        <v>28</v>
      </c>
      <c r="N73" s="6" t="s">
        <v>2264</v>
      </c>
      <c r="O73" s="6" t="s">
        <v>30</v>
      </c>
      <c r="P73" s="2" t="s">
        <v>10643</v>
      </c>
    </row>
    <row r="74" spans="1:16" ht="13.15" x14ac:dyDescent="0.4">
      <c r="A74" s="2" t="s">
        <v>10436</v>
      </c>
      <c r="B74" s="2" t="s">
        <v>5880</v>
      </c>
      <c r="C74" s="6" t="s">
        <v>5879</v>
      </c>
      <c r="D74" s="6" t="s">
        <v>42</v>
      </c>
      <c r="E74" s="7">
        <v>44927</v>
      </c>
      <c r="F74" s="8" t="s">
        <v>77</v>
      </c>
      <c r="G74" s="2" t="s">
        <v>26</v>
      </c>
      <c r="H74" s="8" t="s">
        <v>28</v>
      </c>
      <c r="I74" s="2" t="s">
        <v>26</v>
      </c>
      <c r="J74" s="7">
        <v>44927</v>
      </c>
      <c r="K74" s="8" t="s">
        <v>77</v>
      </c>
      <c r="L74" s="2" t="s">
        <v>26</v>
      </c>
      <c r="M74" s="8" t="s">
        <v>28</v>
      </c>
      <c r="N74" s="6" t="s">
        <v>2264</v>
      </c>
      <c r="O74" s="6" t="s">
        <v>30</v>
      </c>
      <c r="P74" s="2" t="s">
        <v>10635</v>
      </c>
    </row>
    <row r="75" spans="1:16" ht="13.15" x14ac:dyDescent="0.4">
      <c r="A75" s="2" t="s">
        <v>10447</v>
      </c>
      <c r="B75" s="2" t="s">
        <v>5880</v>
      </c>
      <c r="C75" s="6" t="s">
        <v>5879</v>
      </c>
      <c r="D75" s="6" t="s">
        <v>42</v>
      </c>
      <c r="E75" s="7">
        <v>44927</v>
      </c>
      <c r="F75" s="8" t="s">
        <v>77</v>
      </c>
      <c r="G75" s="2" t="s">
        <v>26</v>
      </c>
      <c r="H75" s="8" t="s">
        <v>28</v>
      </c>
      <c r="I75" s="2" t="s">
        <v>26</v>
      </c>
      <c r="J75" s="7">
        <v>44927</v>
      </c>
      <c r="K75" s="8" t="s">
        <v>77</v>
      </c>
      <c r="L75" s="2" t="s">
        <v>26</v>
      </c>
      <c r="M75" s="8" t="s">
        <v>28</v>
      </c>
      <c r="N75" s="6" t="s">
        <v>2264</v>
      </c>
      <c r="O75" s="6" t="s">
        <v>30</v>
      </c>
      <c r="P75" s="2" t="s">
        <v>10647</v>
      </c>
    </row>
    <row r="76" spans="1:16" ht="13.15" x14ac:dyDescent="0.4">
      <c r="A76" s="2" t="s">
        <v>10441</v>
      </c>
      <c r="B76" s="2" t="s">
        <v>5880</v>
      </c>
      <c r="C76" s="6" t="s">
        <v>5879</v>
      </c>
      <c r="D76" s="6" t="s">
        <v>42</v>
      </c>
      <c r="E76" s="7">
        <v>44927</v>
      </c>
      <c r="F76" s="8" t="s">
        <v>77</v>
      </c>
      <c r="G76" s="2" t="s">
        <v>26</v>
      </c>
      <c r="H76" s="8" t="s">
        <v>28</v>
      </c>
      <c r="I76" s="2" t="s">
        <v>26</v>
      </c>
      <c r="J76" s="7">
        <v>44927</v>
      </c>
      <c r="K76" s="8" t="s">
        <v>77</v>
      </c>
      <c r="L76" s="2" t="s">
        <v>26</v>
      </c>
      <c r="M76" s="8" t="s">
        <v>28</v>
      </c>
      <c r="N76" s="6" t="s">
        <v>2264</v>
      </c>
      <c r="O76" s="6" t="s">
        <v>30</v>
      </c>
      <c r="P76" s="2" t="s">
        <v>10640</v>
      </c>
    </row>
    <row r="77" spans="1:16" ht="13.15" x14ac:dyDescent="0.4">
      <c r="A77" s="2" t="s">
        <v>10458</v>
      </c>
      <c r="B77" s="2" t="s">
        <v>5880</v>
      </c>
      <c r="C77" s="6" t="s">
        <v>5879</v>
      </c>
      <c r="D77" s="6" t="s">
        <v>42</v>
      </c>
      <c r="E77" s="7">
        <v>44927</v>
      </c>
      <c r="F77" s="8" t="s">
        <v>77</v>
      </c>
      <c r="G77" s="2" t="s">
        <v>26</v>
      </c>
      <c r="H77" s="8" t="s">
        <v>28</v>
      </c>
      <c r="I77" s="2" t="s">
        <v>26</v>
      </c>
      <c r="J77" s="7">
        <v>44927</v>
      </c>
      <c r="K77" s="8" t="s">
        <v>77</v>
      </c>
      <c r="L77" s="2" t="s">
        <v>26</v>
      </c>
      <c r="M77" s="8" t="s">
        <v>28</v>
      </c>
      <c r="N77" s="6" t="s">
        <v>2264</v>
      </c>
      <c r="O77" s="6" t="s">
        <v>30</v>
      </c>
      <c r="P77" s="2" t="s">
        <v>10661</v>
      </c>
    </row>
    <row r="78" spans="1:16" ht="13.15" x14ac:dyDescent="0.4">
      <c r="A78" s="2" t="s">
        <v>10462</v>
      </c>
      <c r="B78" s="2" t="s">
        <v>5880</v>
      </c>
      <c r="C78" s="6" t="s">
        <v>5879</v>
      </c>
      <c r="D78" s="6" t="s">
        <v>42</v>
      </c>
      <c r="E78" s="7">
        <v>44927</v>
      </c>
      <c r="F78" s="8" t="s">
        <v>77</v>
      </c>
      <c r="G78" s="2" t="s">
        <v>26</v>
      </c>
      <c r="H78" s="8" t="s">
        <v>28</v>
      </c>
      <c r="I78" s="2" t="s">
        <v>26</v>
      </c>
      <c r="J78" s="7">
        <v>44927</v>
      </c>
      <c r="K78" s="8" t="s">
        <v>77</v>
      </c>
      <c r="L78" s="2" t="s">
        <v>26</v>
      </c>
      <c r="M78" s="8" t="s">
        <v>28</v>
      </c>
      <c r="N78" s="6" t="s">
        <v>2264</v>
      </c>
      <c r="O78" s="6" t="s">
        <v>30</v>
      </c>
      <c r="P78" s="2" t="s">
        <v>10665</v>
      </c>
    </row>
    <row r="79" spans="1:16" ht="13.15" x14ac:dyDescent="0.4">
      <c r="A79" s="2" t="s">
        <v>10439</v>
      </c>
      <c r="B79" s="2" t="s">
        <v>5880</v>
      </c>
      <c r="C79" s="6" t="s">
        <v>5879</v>
      </c>
      <c r="D79" s="6" t="s">
        <v>42</v>
      </c>
      <c r="E79" s="7">
        <v>44927</v>
      </c>
      <c r="F79" s="8" t="s">
        <v>77</v>
      </c>
      <c r="G79" s="2" t="s">
        <v>26</v>
      </c>
      <c r="H79" s="8" t="s">
        <v>28</v>
      </c>
      <c r="I79" s="2" t="s">
        <v>26</v>
      </c>
      <c r="J79" s="7">
        <v>44927</v>
      </c>
      <c r="K79" s="8" t="s">
        <v>77</v>
      </c>
      <c r="L79" s="2" t="s">
        <v>26</v>
      </c>
      <c r="M79" s="8" t="s">
        <v>28</v>
      </c>
      <c r="N79" s="6" t="s">
        <v>2264</v>
      </c>
      <c r="O79" s="6" t="s">
        <v>30</v>
      </c>
      <c r="P79" s="2" t="s">
        <v>10638</v>
      </c>
    </row>
    <row r="80" spans="1:16" ht="13.15" x14ac:dyDescent="0.4">
      <c r="A80" s="2" t="s">
        <v>10471</v>
      </c>
      <c r="B80" s="2" t="s">
        <v>5880</v>
      </c>
      <c r="C80" s="6" t="s">
        <v>5879</v>
      </c>
      <c r="D80" s="6" t="s">
        <v>42</v>
      </c>
      <c r="E80" s="7">
        <v>44927</v>
      </c>
      <c r="F80" s="8" t="s">
        <v>77</v>
      </c>
      <c r="G80" s="2" t="s">
        <v>26</v>
      </c>
      <c r="H80" s="8" t="s">
        <v>28</v>
      </c>
      <c r="I80" s="2" t="s">
        <v>26</v>
      </c>
      <c r="J80" s="7">
        <v>44927</v>
      </c>
      <c r="K80" s="8" t="s">
        <v>77</v>
      </c>
      <c r="L80" s="2" t="s">
        <v>26</v>
      </c>
      <c r="M80" s="8" t="s">
        <v>28</v>
      </c>
      <c r="N80" s="6" t="s">
        <v>2264</v>
      </c>
      <c r="O80" s="6" t="s">
        <v>30</v>
      </c>
      <c r="P80" s="2" t="s">
        <v>10678</v>
      </c>
    </row>
    <row r="81" spans="1:16" ht="13.15" x14ac:dyDescent="0.4">
      <c r="A81" s="2" t="s">
        <v>10476</v>
      </c>
      <c r="B81" s="2" t="s">
        <v>5880</v>
      </c>
      <c r="C81" s="6" t="s">
        <v>5879</v>
      </c>
      <c r="D81" s="6" t="s">
        <v>42</v>
      </c>
      <c r="E81" s="7">
        <v>44927</v>
      </c>
      <c r="F81" s="8" t="s">
        <v>77</v>
      </c>
      <c r="G81" s="2" t="s">
        <v>26</v>
      </c>
      <c r="H81" s="8" t="s">
        <v>28</v>
      </c>
      <c r="I81" s="2" t="s">
        <v>26</v>
      </c>
      <c r="J81" s="7">
        <v>44927</v>
      </c>
      <c r="K81" s="8" t="s">
        <v>77</v>
      </c>
      <c r="L81" s="2" t="s">
        <v>26</v>
      </c>
      <c r="M81" s="8" t="s">
        <v>28</v>
      </c>
      <c r="N81" s="6" t="s">
        <v>2264</v>
      </c>
      <c r="O81" s="6" t="s">
        <v>30</v>
      </c>
      <c r="P81" s="2" t="s">
        <v>10683</v>
      </c>
    </row>
    <row r="82" spans="1:16" ht="13.15" x14ac:dyDescent="0.4">
      <c r="A82" s="2" t="s">
        <v>10445</v>
      </c>
      <c r="B82" s="2" t="s">
        <v>5880</v>
      </c>
      <c r="C82" s="6" t="s">
        <v>5879</v>
      </c>
      <c r="D82" s="6" t="s">
        <v>42</v>
      </c>
      <c r="E82" s="7">
        <v>44927</v>
      </c>
      <c r="F82" s="8" t="s">
        <v>77</v>
      </c>
      <c r="G82" s="2" t="s">
        <v>26</v>
      </c>
      <c r="H82" s="8" t="s">
        <v>28</v>
      </c>
      <c r="I82" s="2" t="s">
        <v>26</v>
      </c>
      <c r="J82" s="7">
        <v>44927</v>
      </c>
      <c r="K82" s="8" t="s">
        <v>77</v>
      </c>
      <c r="L82" s="2" t="s">
        <v>26</v>
      </c>
      <c r="M82" s="8" t="s">
        <v>28</v>
      </c>
      <c r="N82" s="6" t="s">
        <v>2264</v>
      </c>
      <c r="O82" s="6" t="s">
        <v>30</v>
      </c>
      <c r="P82" s="2" t="s">
        <v>10645</v>
      </c>
    </row>
    <row r="83" spans="1:16" ht="13.15" x14ac:dyDescent="0.4">
      <c r="A83" s="2" t="s">
        <v>10448</v>
      </c>
      <c r="B83" s="2" t="s">
        <v>5880</v>
      </c>
      <c r="C83" s="6" t="s">
        <v>5879</v>
      </c>
      <c r="D83" s="6" t="s">
        <v>42</v>
      </c>
      <c r="E83" s="7">
        <v>44927</v>
      </c>
      <c r="F83" s="8" t="s">
        <v>77</v>
      </c>
      <c r="G83" s="2" t="s">
        <v>26</v>
      </c>
      <c r="H83" s="8" t="s">
        <v>28</v>
      </c>
      <c r="I83" s="2" t="s">
        <v>26</v>
      </c>
      <c r="J83" s="7">
        <v>44927</v>
      </c>
      <c r="K83" s="8" t="s">
        <v>77</v>
      </c>
      <c r="L83" s="2" t="s">
        <v>26</v>
      </c>
      <c r="M83" s="8" t="s">
        <v>28</v>
      </c>
      <c r="N83" s="6" t="s">
        <v>2264</v>
      </c>
      <c r="O83" s="6" t="s">
        <v>30</v>
      </c>
      <c r="P83" s="2" t="s">
        <v>10648</v>
      </c>
    </row>
    <row r="84" spans="1:16" ht="13.15" x14ac:dyDescent="0.4">
      <c r="A84" s="2" t="s">
        <v>10474</v>
      </c>
      <c r="B84" s="2" t="s">
        <v>5880</v>
      </c>
      <c r="C84" s="6" t="s">
        <v>5879</v>
      </c>
      <c r="D84" s="6" t="s">
        <v>42</v>
      </c>
      <c r="E84" s="7">
        <v>44927</v>
      </c>
      <c r="F84" s="8" t="s">
        <v>77</v>
      </c>
      <c r="G84" s="2" t="s">
        <v>26</v>
      </c>
      <c r="H84" s="8" t="s">
        <v>28</v>
      </c>
      <c r="I84" s="2" t="s">
        <v>26</v>
      </c>
      <c r="J84" s="7">
        <v>44927</v>
      </c>
      <c r="K84" s="8" t="s">
        <v>77</v>
      </c>
      <c r="L84" s="2" t="s">
        <v>26</v>
      </c>
      <c r="M84" s="8" t="s">
        <v>28</v>
      </c>
      <c r="N84" s="6" t="s">
        <v>2264</v>
      </c>
      <c r="O84" s="6" t="s">
        <v>30</v>
      </c>
      <c r="P84" s="2" t="s">
        <v>10681</v>
      </c>
    </row>
    <row r="85" spans="1:16" ht="13.15" x14ac:dyDescent="0.4">
      <c r="A85" s="2" t="s">
        <v>10437</v>
      </c>
      <c r="B85" s="2" t="s">
        <v>5880</v>
      </c>
      <c r="C85" s="6" t="s">
        <v>5879</v>
      </c>
      <c r="D85" s="6" t="s">
        <v>42</v>
      </c>
      <c r="E85" s="7">
        <v>44927</v>
      </c>
      <c r="F85" s="8" t="s">
        <v>77</v>
      </c>
      <c r="G85" s="2" t="s">
        <v>26</v>
      </c>
      <c r="H85" s="8" t="s">
        <v>28</v>
      </c>
      <c r="I85" s="2" t="s">
        <v>26</v>
      </c>
      <c r="J85" s="7">
        <v>44927</v>
      </c>
      <c r="K85" s="8" t="s">
        <v>77</v>
      </c>
      <c r="L85" s="2" t="s">
        <v>26</v>
      </c>
      <c r="M85" s="8" t="s">
        <v>28</v>
      </c>
      <c r="N85" s="6" t="s">
        <v>2264</v>
      </c>
      <c r="O85" s="6" t="s">
        <v>30</v>
      </c>
      <c r="P85" s="2" t="s">
        <v>10636</v>
      </c>
    </row>
    <row r="86" spans="1:16" ht="13.15" x14ac:dyDescent="0.4">
      <c r="A86" s="2" t="s">
        <v>10466</v>
      </c>
      <c r="B86" s="2" t="s">
        <v>5880</v>
      </c>
      <c r="C86" s="6" t="s">
        <v>5879</v>
      </c>
      <c r="D86" s="6" t="s">
        <v>42</v>
      </c>
      <c r="E86" s="7">
        <v>44927</v>
      </c>
      <c r="F86" s="8" t="s">
        <v>77</v>
      </c>
      <c r="G86" s="2" t="s">
        <v>26</v>
      </c>
      <c r="H86" s="8" t="s">
        <v>28</v>
      </c>
      <c r="I86" s="2" t="s">
        <v>26</v>
      </c>
      <c r="J86" s="7">
        <v>44927</v>
      </c>
      <c r="K86" s="8" t="s">
        <v>77</v>
      </c>
      <c r="L86" s="2" t="s">
        <v>26</v>
      </c>
      <c r="M86" s="8" t="s">
        <v>28</v>
      </c>
      <c r="N86" s="6" t="s">
        <v>2264</v>
      </c>
      <c r="O86" s="6" t="s">
        <v>30</v>
      </c>
      <c r="P86" s="2" t="s">
        <v>10671</v>
      </c>
    </row>
    <row r="87" spans="1:16" ht="13.15" x14ac:dyDescent="0.4">
      <c r="A87" s="2" t="s">
        <v>10373</v>
      </c>
      <c r="B87" s="2" t="s">
        <v>5880</v>
      </c>
      <c r="C87" s="6" t="s">
        <v>5879</v>
      </c>
      <c r="D87" s="6" t="s">
        <v>42</v>
      </c>
      <c r="E87" s="7">
        <v>44927</v>
      </c>
      <c r="F87" s="8" t="s">
        <v>77</v>
      </c>
      <c r="G87" s="2" t="s">
        <v>26</v>
      </c>
      <c r="H87" s="8" t="s">
        <v>28</v>
      </c>
      <c r="I87" s="2" t="s">
        <v>26</v>
      </c>
      <c r="J87" s="7">
        <v>44927</v>
      </c>
      <c r="K87" s="8" t="s">
        <v>77</v>
      </c>
      <c r="L87" s="2" t="s">
        <v>26</v>
      </c>
      <c r="M87" s="8" t="s">
        <v>28</v>
      </c>
      <c r="N87" s="6" t="s">
        <v>2264</v>
      </c>
      <c r="O87" s="6" t="s">
        <v>30</v>
      </c>
      <c r="P87" s="2" t="s">
        <v>10563</v>
      </c>
    </row>
    <row r="88" spans="1:16" ht="13.15" x14ac:dyDescent="0.4">
      <c r="A88" s="2" t="s">
        <v>10366</v>
      </c>
      <c r="B88" s="2" t="s">
        <v>5880</v>
      </c>
      <c r="C88" s="6" t="s">
        <v>5879</v>
      </c>
      <c r="D88" s="6" t="s">
        <v>42</v>
      </c>
      <c r="E88" s="7">
        <v>44927</v>
      </c>
      <c r="F88" s="8" t="s">
        <v>77</v>
      </c>
      <c r="G88" s="2" t="s">
        <v>26</v>
      </c>
      <c r="H88" s="8" t="s">
        <v>28</v>
      </c>
      <c r="I88" s="2" t="s">
        <v>26</v>
      </c>
      <c r="J88" s="7">
        <v>44927</v>
      </c>
      <c r="K88" s="8" t="s">
        <v>77</v>
      </c>
      <c r="L88" s="2" t="s">
        <v>26</v>
      </c>
      <c r="M88" s="8" t="s">
        <v>28</v>
      </c>
      <c r="N88" s="6" t="s">
        <v>2264</v>
      </c>
      <c r="O88" s="6" t="s">
        <v>30</v>
      </c>
      <c r="P88" s="2" t="s">
        <v>10556</v>
      </c>
    </row>
    <row r="89" spans="1:16" ht="13.15" x14ac:dyDescent="0.4">
      <c r="A89" s="2" t="s">
        <v>8110</v>
      </c>
      <c r="B89" s="2" t="s">
        <v>5880</v>
      </c>
      <c r="C89" s="6" t="s">
        <v>5879</v>
      </c>
      <c r="D89" s="6" t="s">
        <v>42</v>
      </c>
      <c r="E89" s="7">
        <v>44927</v>
      </c>
      <c r="F89" s="8" t="s">
        <v>77</v>
      </c>
      <c r="G89" s="2" t="s">
        <v>26</v>
      </c>
      <c r="H89" s="8" t="s">
        <v>28</v>
      </c>
      <c r="I89" s="2" t="s">
        <v>26</v>
      </c>
      <c r="J89" s="7">
        <v>44927</v>
      </c>
      <c r="K89" s="8" t="s">
        <v>77</v>
      </c>
      <c r="L89" s="2" t="s">
        <v>26</v>
      </c>
      <c r="M89" s="8" t="s">
        <v>28</v>
      </c>
      <c r="N89" s="6" t="s">
        <v>2264</v>
      </c>
      <c r="O89" s="6" t="s">
        <v>30</v>
      </c>
      <c r="P89" s="2" t="s">
        <v>10543</v>
      </c>
    </row>
    <row r="90" spans="1:16" ht="13.15" x14ac:dyDescent="0.4">
      <c r="A90" s="2" t="s">
        <v>10351</v>
      </c>
      <c r="B90" s="2" t="s">
        <v>5880</v>
      </c>
      <c r="C90" s="6" t="s">
        <v>5879</v>
      </c>
      <c r="D90" s="6" t="s">
        <v>42</v>
      </c>
      <c r="E90" s="7">
        <v>44927</v>
      </c>
      <c r="F90" s="8" t="s">
        <v>77</v>
      </c>
      <c r="G90" s="2" t="s">
        <v>26</v>
      </c>
      <c r="H90" s="8" t="s">
        <v>28</v>
      </c>
      <c r="I90" s="2" t="s">
        <v>26</v>
      </c>
      <c r="J90" s="7">
        <v>44927</v>
      </c>
      <c r="K90" s="8" t="s">
        <v>77</v>
      </c>
      <c r="L90" s="2" t="s">
        <v>26</v>
      </c>
      <c r="M90" s="8" t="s">
        <v>28</v>
      </c>
      <c r="N90" s="6" t="s">
        <v>2264</v>
      </c>
      <c r="O90" s="6" t="s">
        <v>30</v>
      </c>
      <c r="P90" s="2" t="s">
        <v>10539</v>
      </c>
    </row>
    <row r="91" spans="1:16" ht="13.15" x14ac:dyDescent="0.4">
      <c r="A91" s="2" t="s">
        <v>10404</v>
      </c>
      <c r="B91" s="2" t="s">
        <v>5880</v>
      </c>
      <c r="C91" s="6" t="s">
        <v>5879</v>
      </c>
      <c r="D91" s="6" t="s">
        <v>42</v>
      </c>
      <c r="E91" s="7">
        <v>44927</v>
      </c>
      <c r="F91" s="8" t="s">
        <v>77</v>
      </c>
      <c r="G91" s="2" t="s">
        <v>26</v>
      </c>
      <c r="H91" s="8" t="s">
        <v>28</v>
      </c>
      <c r="I91" s="2" t="s">
        <v>26</v>
      </c>
      <c r="J91" s="7">
        <v>44927</v>
      </c>
      <c r="K91" s="8" t="s">
        <v>77</v>
      </c>
      <c r="L91" s="2" t="s">
        <v>26</v>
      </c>
      <c r="M91" s="8" t="s">
        <v>28</v>
      </c>
      <c r="N91" s="6" t="s">
        <v>2264</v>
      </c>
      <c r="O91" s="6" t="s">
        <v>30</v>
      </c>
      <c r="P91" s="2" t="s">
        <v>10598</v>
      </c>
    </row>
    <row r="92" spans="1:16" ht="13.15" x14ac:dyDescent="0.4">
      <c r="A92" s="2" t="s">
        <v>10416</v>
      </c>
      <c r="B92" s="2" t="s">
        <v>5880</v>
      </c>
      <c r="C92" s="6" t="s">
        <v>5879</v>
      </c>
      <c r="D92" s="6" t="s">
        <v>42</v>
      </c>
      <c r="E92" s="7">
        <v>44927</v>
      </c>
      <c r="F92" s="8" t="s">
        <v>77</v>
      </c>
      <c r="G92" s="2" t="s">
        <v>26</v>
      </c>
      <c r="H92" s="8" t="s">
        <v>28</v>
      </c>
      <c r="I92" s="2" t="s">
        <v>26</v>
      </c>
      <c r="J92" s="7">
        <v>44927</v>
      </c>
      <c r="K92" s="8" t="s">
        <v>77</v>
      </c>
      <c r="L92" s="2" t="s">
        <v>26</v>
      </c>
      <c r="M92" s="8" t="s">
        <v>28</v>
      </c>
      <c r="N92" s="6" t="s">
        <v>2264</v>
      </c>
      <c r="O92" s="6" t="s">
        <v>30</v>
      </c>
      <c r="P92" s="2" t="s">
        <v>10611</v>
      </c>
    </row>
    <row r="93" spans="1:16" ht="13.15" x14ac:dyDescent="0.4">
      <c r="A93" s="2" t="s">
        <v>8113</v>
      </c>
      <c r="B93" s="2" t="s">
        <v>5880</v>
      </c>
      <c r="C93" s="6" t="s">
        <v>5879</v>
      </c>
      <c r="D93" s="6" t="s">
        <v>42</v>
      </c>
      <c r="E93" s="7">
        <v>44927</v>
      </c>
      <c r="F93" s="8" t="s">
        <v>77</v>
      </c>
      <c r="G93" s="2" t="s">
        <v>26</v>
      </c>
      <c r="H93" s="8" t="s">
        <v>28</v>
      </c>
      <c r="I93" s="2" t="s">
        <v>26</v>
      </c>
      <c r="J93" s="7">
        <v>44927</v>
      </c>
      <c r="K93" s="8" t="s">
        <v>77</v>
      </c>
      <c r="L93" s="2" t="s">
        <v>26</v>
      </c>
      <c r="M93" s="8" t="s">
        <v>28</v>
      </c>
      <c r="N93" s="6" t="s">
        <v>2264</v>
      </c>
      <c r="O93" s="6" t="s">
        <v>30</v>
      </c>
      <c r="P93" s="2" t="s">
        <v>10489</v>
      </c>
    </row>
    <row r="94" spans="1:16" ht="13.15" x14ac:dyDescent="0.4">
      <c r="A94" s="2" t="s">
        <v>8116</v>
      </c>
      <c r="B94" s="2" t="s">
        <v>5880</v>
      </c>
      <c r="C94" s="6" t="s">
        <v>5879</v>
      </c>
      <c r="D94" s="6" t="s">
        <v>42</v>
      </c>
      <c r="E94" s="7">
        <v>44927</v>
      </c>
      <c r="F94" s="8" t="s">
        <v>77</v>
      </c>
      <c r="G94" s="2" t="s">
        <v>26</v>
      </c>
      <c r="H94" s="8" t="s">
        <v>28</v>
      </c>
      <c r="I94" s="2" t="s">
        <v>26</v>
      </c>
      <c r="J94" s="7">
        <v>44927</v>
      </c>
      <c r="K94" s="8" t="s">
        <v>77</v>
      </c>
      <c r="L94" s="2" t="s">
        <v>26</v>
      </c>
      <c r="M94" s="8" t="s">
        <v>28</v>
      </c>
      <c r="N94" s="6" t="s">
        <v>2264</v>
      </c>
      <c r="O94" s="6" t="s">
        <v>30</v>
      </c>
      <c r="P94" s="2" t="s">
        <v>10510</v>
      </c>
    </row>
    <row r="95" spans="1:16" ht="13.15" x14ac:dyDescent="0.4">
      <c r="A95" s="2" t="s">
        <v>10353</v>
      </c>
      <c r="B95" s="2" t="s">
        <v>5880</v>
      </c>
      <c r="C95" s="6" t="s">
        <v>5879</v>
      </c>
      <c r="D95" s="6" t="s">
        <v>42</v>
      </c>
      <c r="E95" s="7">
        <v>44927</v>
      </c>
      <c r="F95" s="8" t="s">
        <v>77</v>
      </c>
      <c r="G95" s="2" t="s">
        <v>26</v>
      </c>
      <c r="H95" s="8" t="s">
        <v>28</v>
      </c>
      <c r="I95" s="2" t="s">
        <v>26</v>
      </c>
      <c r="J95" s="7">
        <v>44927</v>
      </c>
      <c r="K95" s="8" t="s">
        <v>77</v>
      </c>
      <c r="L95" s="2" t="s">
        <v>26</v>
      </c>
      <c r="M95" s="8" t="s">
        <v>28</v>
      </c>
      <c r="N95" s="6" t="s">
        <v>2264</v>
      </c>
      <c r="O95" s="6" t="s">
        <v>30</v>
      </c>
      <c r="P95" s="2" t="s">
        <v>10541</v>
      </c>
    </row>
    <row r="96" spans="1:16" ht="13.15" x14ac:dyDescent="0.4">
      <c r="A96" s="2" t="s">
        <v>10335</v>
      </c>
      <c r="B96" s="2" t="s">
        <v>5880</v>
      </c>
      <c r="C96" s="6" t="s">
        <v>5879</v>
      </c>
      <c r="D96" s="6" t="s">
        <v>42</v>
      </c>
      <c r="E96" s="7">
        <v>44927</v>
      </c>
      <c r="F96" s="8" t="s">
        <v>77</v>
      </c>
      <c r="G96" s="2" t="s">
        <v>26</v>
      </c>
      <c r="H96" s="8" t="s">
        <v>28</v>
      </c>
      <c r="I96" s="2" t="s">
        <v>26</v>
      </c>
      <c r="J96" s="7">
        <v>44927</v>
      </c>
      <c r="K96" s="8" t="s">
        <v>77</v>
      </c>
      <c r="L96" s="2" t="s">
        <v>26</v>
      </c>
      <c r="M96" s="8" t="s">
        <v>28</v>
      </c>
      <c r="N96" s="6" t="s">
        <v>2264</v>
      </c>
      <c r="O96" s="6" t="s">
        <v>30</v>
      </c>
      <c r="P96" s="2" t="s">
        <v>10520</v>
      </c>
    </row>
    <row r="97" spans="1:16" ht="13.15" x14ac:dyDescent="0.4">
      <c r="A97" s="2" t="s">
        <v>10374</v>
      </c>
      <c r="B97" s="2" t="s">
        <v>5880</v>
      </c>
      <c r="C97" s="6" t="s">
        <v>5879</v>
      </c>
      <c r="D97" s="6" t="s">
        <v>42</v>
      </c>
      <c r="E97" s="7">
        <v>44927</v>
      </c>
      <c r="F97" s="8" t="s">
        <v>77</v>
      </c>
      <c r="G97" s="2" t="s">
        <v>26</v>
      </c>
      <c r="H97" s="8" t="s">
        <v>28</v>
      </c>
      <c r="I97" s="2" t="s">
        <v>26</v>
      </c>
      <c r="J97" s="7">
        <v>44927</v>
      </c>
      <c r="K97" s="8" t="s">
        <v>77</v>
      </c>
      <c r="L97" s="2" t="s">
        <v>26</v>
      </c>
      <c r="M97" s="8" t="s">
        <v>28</v>
      </c>
      <c r="N97" s="6" t="s">
        <v>2264</v>
      </c>
      <c r="O97" s="6" t="s">
        <v>30</v>
      </c>
      <c r="P97" s="2" t="s">
        <v>10564</v>
      </c>
    </row>
    <row r="98" spans="1:16" ht="13.15" x14ac:dyDescent="0.4">
      <c r="A98" s="2" t="s">
        <v>10360</v>
      </c>
      <c r="B98" s="2" t="s">
        <v>5880</v>
      </c>
      <c r="C98" s="6" t="s">
        <v>5879</v>
      </c>
      <c r="D98" s="6" t="s">
        <v>42</v>
      </c>
      <c r="E98" s="7">
        <v>44927</v>
      </c>
      <c r="F98" s="8" t="s">
        <v>77</v>
      </c>
      <c r="G98" s="2" t="s">
        <v>26</v>
      </c>
      <c r="H98" s="8" t="s">
        <v>28</v>
      </c>
      <c r="I98" s="2" t="s">
        <v>26</v>
      </c>
      <c r="J98" s="7">
        <v>44927</v>
      </c>
      <c r="K98" s="8" t="s">
        <v>77</v>
      </c>
      <c r="L98" s="2" t="s">
        <v>26</v>
      </c>
      <c r="M98" s="8" t="s">
        <v>28</v>
      </c>
      <c r="N98" s="6" t="s">
        <v>2264</v>
      </c>
      <c r="O98" s="6" t="s">
        <v>30</v>
      </c>
      <c r="P98" s="2" t="s">
        <v>10550</v>
      </c>
    </row>
    <row r="99" spans="1:16" ht="13.15" x14ac:dyDescent="0.4">
      <c r="A99" s="2" t="s">
        <v>10427</v>
      </c>
      <c r="B99" s="2" t="s">
        <v>5880</v>
      </c>
      <c r="C99" s="6" t="s">
        <v>5879</v>
      </c>
      <c r="D99" s="6" t="s">
        <v>42</v>
      </c>
      <c r="E99" s="7">
        <v>44927</v>
      </c>
      <c r="F99" s="8" t="s">
        <v>77</v>
      </c>
      <c r="G99" s="2" t="s">
        <v>26</v>
      </c>
      <c r="H99" s="8" t="s">
        <v>28</v>
      </c>
      <c r="I99" s="2" t="s">
        <v>26</v>
      </c>
      <c r="J99" s="7">
        <v>44927</v>
      </c>
      <c r="K99" s="8" t="s">
        <v>77</v>
      </c>
      <c r="L99" s="2" t="s">
        <v>26</v>
      </c>
      <c r="M99" s="8" t="s">
        <v>28</v>
      </c>
      <c r="N99" s="6" t="s">
        <v>2264</v>
      </c>
      <c r="O99" s="6" t="s">
        <v>30</v>
      </c>
      <c r="P99" s="2" t="s">
        <v>10624</v>
      </c>
    </row>
    <row r="100" spans="1:16" ht="13.15" x14ac:dyDescent="0.4">
      <c r="A100" s="2" t="s">
        <v>10429</v>
      </c>
      <c r="B100" s="2" t="s">
        <v>5880</v>
      </c>
      <c r="C100" s="6" t="s">
        <v>5879</v>
      </c>
      <c r="D100" s="6" t="s">
        <v>42</v>
      </c>
      <c r="E100" s="7">
        <v>44927</v>
      </c>
      <c r="F100" s="8" t="s">
        <v>77</v>
      </c>
      <c r="G100" s="2" t="s">
        <v>26</v>
      </c>
      <c r="H100" s="8" t="s">
        <v>28</v>
      </c>
      <c r="I100" s="2" t="s">
        <v>26</v>
      </c>
      <c r="J100" s="7">
        <v>44927</v>
      </c>
      <c r="K100" s="8" t="s">
        <v>77</v>
      </c>
      <c r="L100" s="2" t="s">
        <v>26</v>
      </c>
      <c r="M100" s="8" t="s">
        <v>28</v>
      </c>
      <c r="N100" s="6" t="s">
        <v>2264</v>
      </c>
      <c r="O100" s="6" t="s">
        <v>30</v>
      </c>
      <c r="P100" s="2" t="s">
        <v>10626</v>
      </c>
    </row>
    <row r="101" spans="1:16" ht="13.15" x14ac:dyDescent="0.4">
      <c r="A101" s="2" t="s">
        <v>8202</v>
      </c>
      <c r="B101" s="2" t="s">
        <v>5880</v>
      </c>
      <c r="C101" s="6" t="s">
        <v>5879</v>
      </c>
      <c r="D101" s="6" t="s">
        <v>42</v>
      </c>
      <c r="E101" s="7">
        <v>44927</v>
      </c>
      <c r="F101" s="8" t="s">
        <v>77</v>
      </c>
      <c r="G101" s="2" t="s">
        <v>26</v>
      </c>
      <c r="H101" s="8" t="s">
        <v>28</v>
      </c>
      <c r="I101" s="2" t="s">
        <v>26</v>
      </c>
      <c r="J101" s="7">
        <v>44927</v>
      </c>
      <c r="K101" s="8" t="s">
        <v>77</v>
      </c>
      <c r="L101" s="2" t="s">
        <v>26</v>
      </c>
      <c r="M101" s="8" t="s">
        <v>28</v>
      </c>
      <c r="N101" s="6" t="s">
        <v>2264</v>
      </c>
      <c r="O101" s="6" t="s">
        <v>30</v>
      </c>
      <c r="P101" s="2" t="s">
        <v>10576</v>
      </c>
    </row>
    <row r="102" spans="1:16" ht="13.15" x14ac:dyDescent="0.4">
      <c r="A102" s="2" t="s">
        <v>8205</v>
      </c>
      <c r="B102" s="2" t="s">
        <v>5880</v>
      </c>
      <c r="C102" s="6" t="s">
        <v>5879</v>
      </c>
      <c r="D102" s="6" t="s">
        <v>42</v>
      </c>
      <c r="E102" s="7">
        <v>44927</v>
      </c>
      <c r="F102" s="8" t="s">
        <v>77</v>
      </c>
      <c r="G102" s="2" t="s">
        <v>26</v>
      </c>
      <c r="H102" s="8" t="s">
        <v>28</v>
      </c>
      <c r="I102" s="2" t="s">
        <v>26</v>
      </c>
      <c r="J102" s="7">
        <v>44927</v>
      </c>
      <c r="K102" s="8" t="s">
        <v>77</v>
      </c>
      <c r="L102" s="2" t="s">
        <v>26</v>
      </c>
      <c r="M102" s="8" t="s">
        <v>28</v>
      </c>
      <c r="N102" s="6" t="s">
        <v>2264</v>
      </c>
      <c r="O102" s="6" t="s">
        <v>30</v>
      </c>
      <c r="P102" s="2" t="s">
        <v>10496</v>
      </c>
    </row>
    <row r="103" spans="1:16" ht="13.15" x14ac:dyDescent="0.4">
      <c r="A103" s="2" t="s">
        <v>10397</v>
      </c>
      <c r="B103" s="2" t="s">
        <v>5880</v>
      </c>
      <c r="C103" s="6" t="s">
        <v>5879</v>
      </c>
      <c r="D103" s="6" t="s">
        <v>42</v>
      </c>
      <c r="E103" s="7">
        <v>44927</v>
      </c>
      <c r="F103" s="8" t="s">
        <v>77</v>
      </c>
      <c r="G103" s="2" t="s">
        <v>26</v>
      </c>
      <c r="H103" s="8" t="s">
        <v>28</v>
      </c>
      <c r="I103" s="2" t="s">
        <v>26</v>
      </c>
      <c r="J103" s="7">
        <v>44927</v>
      </c>
      <c r="K103" s="8" t="s">
        <v>77</v>
      </c>
      <c r="L103" s="2" t="s">
        <v>26</v>
      </c>
      <c r="M103" s="8" t="s">
        <v>28</v>
      </c>
      <c r="N103" s="6" t="s">
        <v>2264</v>
      </c>
      <c r="O103" s="6" t="s">
        <v>30</v>
      </c>
      <c r="P103" s="2" t="s">
        <v>10590</v>
      </c>
    </row>
    <row r="104" spans="1:16" ht="13.15" x14ac:dyDescent="0.4">
      <c r="A104" s="2" t="s">
        <v>10367</v>
      </c>
      <c r="B104" s="2" t="s">
        <v>5880</v>
      </c>
      <c r="C104" s="6" t="s">
        <v>5879</v>
      </c>
      <c r="D104" s="6" t="s">
        <v>42</v>
      </c>
      <c r="E104" s="7">
        <v>44927</v>
      </c>
      <c r="F104" s="8" t="s">
        <v>77</v>
      </c>
      <c r="G104" s="2" t="s">
        <v>26</v>
      </c>
      <c r="H104" s="8" t="s">
        <v>28</v>
      </c>
      <c r="I104" s="2" t="s">
        <v>26</v>
      </c>
      <c r="J104" s="7">
        <v>44927</v>
      </c>
      <c r="K104" s="8" t="s">
        <v>77</v>
      </c>
      <c r="L104" s="2" t="s">
        <v>26</v>
      </c>
      <c r="M104" s="8" t="s">
        <v>28</v>
      </c>
      <c r="N104" s="6" t="s">
        <v>2264</v>
      </c>
      <c r="O104" s="6" t="s">
        <v>30</v>
      </c>
      <c r="P104" s="2" t="s">
        <v>10557</v>
      </c>
    </row>
    <row r="105" spans="1:16" ht="13.15" x14ac:dyDescent="0.4">
      <c r="A105" s="2" t="s">
        <v>2124</v>
      </c>
      <c r="B105" s="2" t="s">
        <v>5880</v>
      </c>
      <c r="C105" s="6" t="s">
        <v>5879</v>
      </c>
      <c r="D105" s="6" t="s">
        <v>42</v>
      </c>
      <c r="E105" s="7">
        <v>44927</v>
      </c>
      <c r="F105" s="8" t="s">
        <v>77</v>
      </c>
      <c r="G105" s="2" t="s">
        <v>26</v>
      </c>
      <c r="H105" s="8" t="s">
        <v>28</v>
      </c>
      <c r="I105" s="2" t="s">
        <v>26</v>
      </c>
      <c r="J105" s="7">
        <v>44927</v>
      </c>
      <c r="K105" s="8" t="s">
        <v>77</v>
      </c>
      <c r="L105" s="2" t="s">
        <v>26</v>
      </c>
      <c r="M105" s="8" t="s">
        <v>28</v>
      </c>
      <c r="N105" s="6" t="s">
        <v>2264</v>
      </c>
      <c r="O105" s="6" t="s">
        <v>30</v>
      </c>
      <c r="P105" s="2" t="s">
        <v>10544</v>
      </c>
    </row>
    <row r="106" spans="1:16" ht="13.15" x14ac:dyDescent="0.4">
      <c r="A106" s="2" t="s">
        <v>10371</v>
      </c>
      <c r="B106" s="2" t="s">
        <v>5880</v>
      </c>
      <c r="C106" s="6" t="s">
        <v>5879</v>
      </c>
      <c r="D106" s="6" t="s">
        <v>42</v>
      </c>
      <c r="E106" s="7">
        <v>44927</v>
      </c>
      <c r="F106" s="8" t="s">
        <v>77</v>
      </c>
      <c r="G106" s="2" t="s">
        <v>26</v>
      </c>
      <c r="H106" s="8" t="s">
        <v>28</v>
      </c>
      <c r="I106" s="2" t="s">
        <v>26</v>
      </c>
      <c r="J106" s="7">
        <v>44927</v>
      </c>
      <c r="K106" s="8" t="s">
        <v>77</v>
      </c>
      <c r="L106" s="2" t="s">
        <v>26</v>
      </c>
      <c r="M106" s="8" t="s">
        <v>28</v>
      </c>
      <c r="N106" s="6" t="s">
        <v>2264</v>
      </c>
      <c r="O106" s="6" t="s">
        <v>30</v>
      </c>
      <c r="P106" s="2" t="s">
        <v>10561</v>
      </c>
    </row>
    <row r="107" spans="1:16" ht="13.15" x14ac:dyDescent="0.4">
      <c r="A107" s="2" t="s">
        <v>10386</v>
      </c>
      <c r="B107" s="2" t="s">
        <v>5880</v>
      </c>
      <c r="C107" s="6" t="s">
        <v>5879</v>
      </c>
      <c r="D107" s="6" t="s">
        <v>42</v>
      </c>
      <c r="E107" s="7">
        <v>44927</v>
      </c>
      <c r="F107" s="8" t="s">
        <v>77</v>
      </c>
      <c r="G107" s="2" t="s">
        <v>26</v>
      </c>
      <c r="H107" s="8" t="s">
        <v>28</v>
      </c>
      <c r="I107" s="2" t="s">
        <v>26</v>
      </c>
      <c r="J107" s="7">
        <v>44927</v>
      </c>
      <c r="K107" s="8" t="s">
        <v>77</v>
      </c>
      <c r="L107" s="2" t="s">
        <v>26</v>
      </c>
      <c r="M107" s="8" t="s">
        <v>28</v>
      </c>
      <c r="N107" s="6" t="s">
        <v>2264</v>
      </c>
      <c r="O107" s="6" t="s">
        <v>30</v>
      </c>
      <c r="P107" s="2" t="s">
        <v>10578</v>
      </c>
    </row>
    <row r="108" spans="1:16" ht="13.15" x14ac:dyDescent="0.4">
      <c r="A108" s="2" t="s">
        <v>10312</v>
      </c>
      <c r="B108" s="2" t="s">
        <v>5880</v>
      </c>
      <c r="C108" s="6" t="s">
        <v>5879</v>
      </c>
      <c r="D108" s="6" t="s">
        <v>42</v>
      </c>
      <c r="E108" s="7">
        <v>44927</v>
      </c>
      <c r="F108" s="8" t="s">
        <v>77</v>
      </c>
      <c r="G108" s="2" t="s">
        <v>26</v>
      </c>
      <c r="H108" s="8" t="s">
        <v>28</v>
      </c>
      <c r="I108" s="2" t="s">
        <v>26</v>
      </c>
      <c r="J108" s="7">
        <v>44927</v>
      </c>
      <c r="K108" s="8" t="s">
        <v>77</v>
      </c>
      <c r="L108" s="2" t="s">
        <v>26</v>
      </c>
      <c r="M108" s="8" t="s">
        <v>28</v>
      </c>
      <c r="N108" s="6" t="s">
        <v>2264</v>
      </c>
      <c r="O108" s="6" t="s">
        <v>30</v>
      </c>
      <c r="P108" s="2" t="s">
        <v>10491</v>
      </c>
    </row>
    <row r="109" spans="1:16" ht="13.15" x14ac:dyDescent="0.4">
      <c r="A109" s="2" t="s">
        <v>10356</v>
      </c>
      <c r="B109" s="2" t="s">
        <v>5880</v>
      </c>
      <c r="C109" s="6" t="s">
        <v>5879</v>
      </c>
      <c r="D109" s="6" t="s">
        <v>42</v>
      </c>
      <c r="E109" s="7">
        <v>44927</v>
      </c>
      <c r="F109" s="8" t="s">
        <v>77</v>
      </c>
      <c r="G109" s="2" t="s">
        <v>26</v>
      </c>
      <c r="H109" s="8" t="s">
        <v>28</v>
      </c>
      <c r="I109" s="2" t="s">
        <v>26</v>
      </c>
      <c r="J109" s="7">
        <v>44927</v>
      </c>
      <c r="K109" s="8" t="s">
        <v>77</v>
      </c>
      <c r="L109" s="2" t="s">
        <v>26</v>
      </c>
      <c r="M109" s="8" t="s">
        <v>28</v>
      </c>
      <c r="N109" s="6" t="s">
        <v>2264</v>
      </c>
      <c r="O109" s="6" t="s">
        <v>30</v>
      </c>
      <c r="P109" s="2" t="s">
        <v>10546</v>
      </c>
    </row>
    <row r="110" spans="1:16" ht="13.15" x14ac:dyDescent="0.4">
      <c r="A110" s="2" t="s">
        <v>10307</v>
      </c>
      <c r="B110" s="2" t="s">
        <v>5880</v>
      </c>
      <c r="C110" s="6" t="s">
        <v>5879</v>
      </c>
      <c r="D110" s="6" t="s">
        <v>42</v>
      </c>
      <c r="E110" s="7">
        <v>44927</v>
      </c>
      <c r="F110" s="8" t="s">
        <v>77</v>
      </c>
      <c r="G110" s="2" t="s">
        <v>26</v>
      </c>
      <c r="H110" s="8" t="s">
        <v>28</v>
      </c>
      <c r="I110" s="2" t="s">
        <v>26</v>
      </c>
      <c r="J110" s="7">
        <v>44927</v>
      </c>
      <c r="K110" s="8" t="s">
        <v>77</v>
      </c>
      <c r="L110" s="2" t="s">
        <v>26</v>
      </c>
      <c r="M110" s="8" t="s">
        <v>28</v>
      </c>
      <c r="N110" s="6" t="s">
        <v>2264</v>
      </c>
      <c r="O110" s="6" t="s">
        <v>30</v>
      </c>
      <c r="P110" s="2" t="s">
        <v>10484</v>
      </c>
    </row>
    <row r="111" spans="1:16" ht="13.15" x14ac:dyDescent="0.4">
      <c r="A111" s="2" t="s">
        <v>10329</v>
      </c>
      <c r="B111" s="2" t="s">
        <v>5880</v>
      </c>
      <c r="C111" s="6" t="s">
        <v>5879</v>
      </c>
      <c r="D111" s="6" t="s">
        <v>42</v>
      </c>
      <c r="E111" s="7">
        <v>44927</v>
      </c>
      <c r="F111" s="8" t="s">
        <v>77</v>
      </c>
      <c r="G111" s="2" t="s">
        <v>26</v>
      </c>
      <c r="H111" s="8" t="s">
        <v>28</v>
      </c>
      <c r="I111" s="2" t="s">
        <v>26</v>
      </c>
      <c r="J111" s="7">
        <v>44927</v>
      </c>
      <c r="K111" s="8" t="s">
        <v>77</v>
      </c>
      <c r="L111" s="2" t="s">
        <v>26</v>
      </c>
      <c r="M111" s="8" t="s">
        <v>28</v>
      </c>
      <c r="N111" s="6" t="s">
        <v>2264</v>
      </c>
      <c r="O111" s="6" t="s">
        <v>30</v>
      </c>
      <c r="P111" s="2" t="s">
        <v>10511</v>
      </c>
    </row>
    <row r="112" spans="1:16" ht="13.15" x14ac:dyDescent="0.4">
      <c r="A112" s="2" t="s">
        <v>10423</v>
      </c>
      <c r="B112" s="2" t="s">
        <v>5880</v>
      </c>
      <c r="C112" s="6" t="s">
        <v>5879</v>
      </c>
      <c r="D112" s="6" t="s">
        <v>42</v>
      </c>
      <c r="E112" s="7">
        <v>44927</v>
      </c>
      <c r="F112" s="8" t="s">
        <v>77</v>
      </c>
      <c r="G112" s="2" t="s">
        <v>26</v>
      </c>
      <c r="H112" s="8" t="s">
        <v>28</v>
      </c>
      <c r="I112" s="2" t="s">
        <v>26</v>
      </c>
      <c r="J112" s="7">
        <v>44927</v>
      </c>
      <c r="K112" s="8" t="s">
        <v>77</v>
      </c>
      <c r="L112" s="2" t="s">
        <v>26</v>
      </c>
      <c r="M112" s="8" t="s">
        <v>28</v>
      </c>
      <c r="N112" s="6" t="s">
        <v>2264</v>
      </c>
      <c r="O112" s="6" t="s">
        <v>30</v>
      </c>
      <c r="P112" s="2" t="s">
        <v>10619</v>
      </c>
    </row>
    <row r="113" spans="1:16" ht="13.15" x14ac:dyDescent="0.4">
      <c r="A113" s="2" t="s">
        <v>10368</v>
      </c>
      <c r="B113" s="2" t="s">
        <v>5880</v>
      </c>
      <c r="C113" s="6" t="s">
        <v>5879</v>
      </c>
      <c r="D113" s="6" t="s">
        <v>42</v>
      </c>
      <c r="E113" s="7">
        <v>44927</v>
      </c>
      <c r="F113" s="8" t="s">
        <v>77</v>
      </c>
      <c r="G113" s="2" t="s">
        <v>26</v>
      </c>
      <c r="H113" s="8" t="s">
        <v>28</v>
      </c>
      <c r="I113" s="2" t="s">
        <v>26</v>
      </c>
      <c r="J113" s="7">
        <v>44927</v>
      </c>
      <c r="K113" s="8" t="s">
        <v>77</v>
      </c>
      <c r="L113" s="2" t="s">
        <v>26</v>
      </c>
      <c r="M113" s="8" t="s">
        <v>28</v>
      </c>
      <c r="N113" s="6" t="s">
        <v>2264</v>
      </c>
      <c r="O113" s="6" t="s">
        <v>30</v>
      </c>
      <c r="P113" s="2" t="s">
        <v>10558</v>
      </c>
    </row>
    <row r="114" spans="1:16" ht="13.15" x14ac:dyDescent="0.4">
      <c r="A114" s="2" t="s">
        <v>10422</v>
      </c>
      <c r="B114" s="2" t="s">
        <v>5880</v>
      </c>
      <c r="C114" s="6" t="s">
        <v>5879</v>
      </c>
      <c r="D114" s="6" t="s">
        <v>42</v>
      </c>
      <c r="E114" s="7">
        <v>44927</v>
      </c>
      <c r="F114" s="8" t="s">
        <v>77</v>
      </c>
      <c r="G114" s="2" t="s">
        <v>26</v>
      </c>
      <c r="H114" s="8" t="s">
        <v>28</v>
      </c>
      <c r="I114" s="2" t="s">
        <v>26</v>
      </c>
      <c r="J114" s="7">
        <v>44927</v>
      </c>
      <c r="K114" s="8" t="s">
        <v>77</v>
      </c>
      <c r="L114" s="2" t="s">
        <v>26</v>
      </c>
      <c r="M114" s="8" t="s">
        <v>28</v>
      </c>
      <c r="N114" s="6" t="s">
        <v>2264</v>
      </c>
      <c r="O114" s="6" t="s">
        <v>30</v>
      </c>
      <c r="P114" s="2" t="s">
        <v>10618</v>
      </c>
    </row>
    <row r="115" spans="1:16" ht="13.15" x14ac:dyDescent="0.4">
      <c r="A115" s="2" t="s">
        <v>10398</v>
      </c>
      <c r="B115" s="2" t="s">
        <v>5880</v>
      </c>
      <c r="C115" s="6" t="s">
        <v>5879</v>
      </c>
      <c r="D115" s="6" t="s">
        <v>42</v>
      </c>
      <c r="E115" s="7">
        <v>44927</v>
      </c>
      <c r="F115" s="8" t="s">
        <v>77</v>
      </c>
      <c r="G115" s="2" t="s">
        <v>26</v>
      </c>
      <c r="H115" s="8" t="s">
        <v>28</v>
      </c>
      <c r="I115" s="2" t="s">
        <v>26</v>
      </c>
      <c r="J115" s="7">
        <v>44927</v>
      </c>
      <c r="K115" s="8" t="s">
        <v>77</v>
      </c>
      <c r="L115" s="2" t="s">
        <v>26</v>
      </c>
      <c r="M115" s="8" t="s">
        <v>28</v>
      </c>
      <c r="N115" s="6" t="s">
        <v>2264</v>
      </c>
      <c r="O115" s="6" t="s">
        <v>30</v>
      </c>
      <c r="P115" s="2" t="s">
        <v>10591</v>
      </c>
    </row>
    <row r="116" spans="1:16" ht="13.15" x14ac:dyDescent="0.4">
      <c r="A116" s="2" t="s">
        <v>10413</v>
      </c>
      <c r="B116" s="2" t="s">
        <v>5880</v>
      </c>
      <c r="C116" s="6" t="s">
        <v>5879</v>
      </c>
      <c r="D116" s="6" t="s">
        <v>42</v>
      </c>
      <c r="E116" s="7">
        <v>44927</v>
      </c>
      <c r="F116" s="8" t="s">
        <v>77</v>
      </c>
      <c r="G116" s="2" t="s">
        <v>26</v>
      </c>
      <c r="H116" s="8" t="s">
        <v>28</v>
      </c>
      <c r="I116" s="2" t="s">
        <v>26</v>
      </c>
      <c r="J116" s="7">
        <v>44927</v>
      </c>
      <c r="K116" s="8" t="s">
        <v>77</v>
      </c>
      <c r="L116" s="2" t="s">
        <v>26</v>
      </c>
      <c r="M116" s="8" t="s">
        <v>28</v>
      </c>
      <c r="N116" s="6" t="s">
        <v>2264</v>
      </c>
      <c r="O116" s="6" t="s">
        <v>30</v>
      </c>
      <c r="P116" s="2" t="s">
        <v>10608</v>
      </c>
    </row>
    <row r="117" spans="1:16" ht="13.15" x14ac:dyDescent="0.4">
      <c r="A117" s="2" t="s">
        <v>8404</v>
      </c>
      <c r="B117" s="2" t="s">
        <v>5880</v>
      </c>
      <c r="C117" s="6" t="s">
        <v>5879</v>
      </c>
      <c r="D117" s="6" t="s">
        <v>42</v>
      </c>
      <c r="E117" s="7">
        <v>44927</v>
      </c>
      <c r="F117" s="8" t="s">
        <v>77</v>
      </c>
      <c r="G117" s="2" t="s">
        <v>26</v>
      </c>
      <c r="H117" s="8" t="s">
        <v>28</v>
      </c>
      <c r="I117" s="2" t="s">
        <v>26</v>
      </c>
      <c r="J117" s="7">
        <v>44927</v>
      </c>
      <c r="K117" s="8" t="s">
        <v>77</v>
      </c>
      <c r="L117" s="2" t="s">
        <v>26</v>
      </c>
      <c r="M117" s="8" t="s">
        <v>28</v>
      </c>
      <c r="N117" s="6" t="s">
        <v>2264</v>
      </c>
      <c r="O117" s="6" t="s">
        <v>30</v>
      </c>
      <c r="P117" s="2" t="s">
        <v>10495</v>
      </c>
    </row>
    <row r="118" spans="1:16" ht="13.15" x14ac:dyDescent="0.4">
      <c r="A118" s="2" t="s">
        <v>10378</v>
      </c>
      <c r="B118" s="2" t="s">
        <v>5880</v>
      </c>
      <c r="C118" s="6" t="s">
        <v>5879</v>
      </c>
      <c r="D118" s="6" t="s">
        <v>42</v>
      </c>
      <c r="E118" s="7">
        <v>44927</v>
      </c>
      <c r="F118" s="8" t="s">
        <v>77</v>
      </c>
      <c r="G118" s="2" t="s">
        <v>26</v>
      </c>
      <c r="H118" s="8" t="s">
        <v>28</v>
      </c>
      <c r="I118" s="2" t="s">
        <v>26</v>
      </c>
      <c r="J118" s="7">
        <v>44927</v>
      </c>
      <c r="K118" s="8" t="s">
        <v>77</v>
      </c>
      <c r="L118" s="2" t="s">
        <v>26</v>
      </c>
      <c r="M118" s="8" t="s">
        <v>28</v>
      </c>
      <c r="N118" s="6" t="s">
        <v>2264</v>
      </c>
      <c r="O118" s="6" t="s">
        <v>30</v>
      </c>
      <c r="P118" s="2" t="s">
        <v>10569</v>
      </c>
    </row>
    <row r="119" spans="1:16" ht="13.15" x14ac:dyDescent="0.4">
      <c r="A119" s="2" t="s">
        <v>10311</v>
      </c>
      <c r="B119" s="2" t="s">
        <v>5880</v>
      </c>
      <c r="C119" s="6" t="s">
        <v>5879</v>
      </c>
      <c r="D119" s="6" t="s">
        <v>42</v>
      </c>
      <c r="E119" s="7">
        <v>44927</v>
      </c>
      <c r="F119" s="8" t="s">
        <v>77</v>
      </c>
      <c r="G119" s="2" t="s">
        <v>26</v>
      </c>
      <c r="H119" s="8" t="s">
        <v>28</v>
      </c>
      <c r="I119" s="2" t="s">
        <v>26</v>
      </c>
      <c r="J119" s="7">
        <v>44927</v>
      </c>
      <c r="K119" s="8" t="s">
        <v>77</v>
      </c>
      <c r="L119" s="2" t="s">
        <v>26</v>
      </c>
      <c r="M119" s="8" t="s">
        <v>28</v>
      </c>
      <c r="N119" s="6" t="s">
        <v>2264</v>
      </c>
      <c r="O119" s="6" t="s">
        <v>30</v>
      </c>
      <c r="P119" s="2" t="s">
        <v>10488</v>
      </c>
    </row>
    <row r="120" spans="1:16" ht="13.15" x14ac:dyDescent="0.4">
      <c r="A120" s="2" t="s">
        <v>10428</v>
      </c>
      <c r="B120" s="2" t="s">
        <v>5880</v>
      </c>
      <c r="C120" s="6" t="s">
        <v>5879</v>
      </c>
      <c r="D120" s="6" t="s">
        <v>42</v>
      </c>
      <c r="E120" s="7">
        <v>44927</v>
      </c>
      <c r="F120" s="8" t="s">
        <v>77</v>
      </c>
      <c r="G120" s="2" t="s">
        <v>26</v>
      </c>
      <c r="H120" s="8" t="s">
        <v>28</v>
      </c>
      <c r="I120" s="2" t="s">
        <v>26</v>
      </c>
      <c r="J120" s="7">
        <v>44927</v>
      </c>
      <c r="K120" s="8" t="s">
        <v>77</v>
      </c>
      <c r="L120" s="2" t="s">
        <v>26</v>
      </c>
      <c r="M120" s="8" t="s">
        <v>28</v>
      </c>
      <c r="N120" s="6" t="s">
        <v>2264</v>
      </c>
      <c r="O120" s="6" t="s">
        <v>30</v>
      </c>
      <c r="P120" s="2" t="s">
        <v>10625</v>
      </c>
    </row>
    <row r="121" spans="1:16" ht="13.15" x14ac:dyDescent="0.4">
      <c r="A121" s="2" t="s">
        <v>10383</v>
      </c>
      <c r="B121" s="2" t="s">
        <v>5880</v>
      </c>
      <c r="C121" s="6" t="s">
        <v>5879</v>
      </c>
      <c r="D121" s="6" t="s">
        <v>42</v>
      </c>
      <c r="E121" s="7">
        <v>44927</v>
      </c>
      <c r="F121" s="8" t="s">
        <v>77</v>
      </c>
      <c r="G121" s="2" t="s">
        <v>26</v>
      </c>
      <c r="H121" s="8" t="s">
        <v>28</v>
      </c>
      <c r="I121" s="2" t="s">
        <v>26</v>
      </c>
      <c r="J121" s="7">
        <v>44927</v>
      </c>
      <c r="K121" s="8" t="s">
        <v>77</v>
      </c>
      <c r="L121" s="2" t="s">
        <v>26</v>
      </c>
      <c r="M121" s="8" t="s">
        <v>28</v>
      </c>
      <c r="N121" s="6" t="s">
        <v>2264</v>
      </c>
      <c r="O121" s="6" t="s">
        <v>30</v>
      </c>
      <c r="P121" s="2" t="s">
        <v>10574</v>
      </c>
    </row>
    <row r="122" spans="1:16" ht="13.15" x14ac:dyDescent="0.4">
      <c r="A122" s="2" t="s">
        <v>10415</v>
      </c>
      <c r="B122" s="2" t="s">
        <v>5880</v>
      </c>
      <c r="C122" s="6" t="s">
        <v>5879</v>
      </c>
      <c r="D122" s="6" t="s">
        <v>42</v>
      </c>
      <c r="E122" s="7">
        <v>44927</v>
      </c>
      <c r="F122" s="8" t="s">
        <v>77</v>
      </c>
      <c r="G122" s="2" t="s">
        <v>26</v>
      </c>
      <c r="H122" s="8" t="s">
        <v>28</v>
      </c>
      <c r="I122" s="2" t="s">
        <v>26</v>
      </c>
      <c r="J122" s="7">
        <v>44927</v>
      </c>
      <c r="K122" s="8" t="s">
        <v>77</v>
      </c>
      <c r="L122" s="2" t="s">
        <v>26</v>
      </c>
      <c r="M122" s="8" t="s">
        <v>28</v>
      </c>
      <c r="N122" s="6" t="s">
        <v>2264</v>
      </c>
      <c r="O122" s="6" t="s">
        <v>30</v>
      </c>
      <c r="P122" s="2" t="s">
        <v>10610</v>
      </c>
    </row>
    <row r="123" spans="1:16" ht="13.15" x14ac:dyDescent="0.4">
      <c r="A123" s="2" t="s">
        <v>10384</v>
      </c>
      <c r="B123" s="2" t="s">
        <v>5880</v>
      </c>
      <c r="C123" s="6" t="s">
        <v>5879</v>
      </c>
      <c r="D123" s="6" t="s">
        <v>42</v>
      </c>
      <c r="E123" s="7">
        <v>44927</v>
      </c>
      <c r="F123" s="8" t="s">
        <v>77</v>
      </c>
      <c r="G123" s="2" t="s">
        <v>26</v>
      </c>
      <c r="H123" s="8" t="s">
        <v>28</v>
      </c>
      <c r="I123" s="2" t="s">
        <v>26</v>
      </c>
      <c r="J123" s="7">
        <v>44927</v>
      </c>
      <c r="K123" s="8" t="s">
        <v>77</v>
      </c>
      <c r="L123" s="2" t="s">
        <v>26</v>
      </c>
      <c r="M123" s="8" t="s">
        <v>28</v>
      </c>
      <c r="N123" s="6" t="s">
        <v>2264</v>
      </c>
      <c r="O123" s="6" t="s">
        <v>30</v>
      </c>
      <c r="P123" s="2" t="s">
        <v>10575</v>
      </c>
    </row>
    <row r="124" spans="1:16" ht="13.15" x14ac:dyDescent="0.4">
      <c r="A124" s="2" t="s">
        <v>10331</v>
      </c>
      <c r="B124" s="2" t="s">
        <v>5880</v>
      </c>
      <c r="C124" s="6" t="s">
        <v>5879</v>
      </c>
      <c r="D124" s="6" t="s">
        <v>42</v>
      </c>
      <c r="E124" s="7">
        <v>44927</v>
      </c>
      <c r="F124" s="8" t="s">
        <v>77</v>
      </c>
      <c r="G124" s="2" t="s">
        <v>26</v>
      </c>
      <c r="H124" s="8" t="s">
        <v>28</v>
      </c>
      <c r="I124" s="2" t="s">
        <v>26</v>
      </c>
      <c r="J124" s="7">
        <v>44927</v>
      </c>
      <c r="K124" s="8" t="s">
        <v>77</v>
      </c>
      <c r="L124" s="2" t="s">
        <v>26</v>
      </c>
      <c r="M124" s="8" t="s">
        <v>28</v>
      </c>
      <c r="N124" s="6" t="s">
        <v>2264</v>
      </c>
      <c r="O124" s="6" t="s">
        <v>30</v>
      </c>
      <c r="P124" s="2" t="s">
        <v>10513</v>
      </c>
    </row>
    <row r="125" spans="1:16" ht="13.15" x14ac:dyDescent="0.4">
      <c r="A125" s="2" t="s">
        <v>10382</v>
      </c>
      <c r="B125" s="2" t="s">
        <v>5880</v>
      </c>
      <c r="C125" s="6" t="s">
        <v>5879</v>
      </c>
      <c r="D125" s="6" t="s">
        <v>42</v>
      </c>
      <c r="E125" s="7">
        <v>44927</v>
      </c>
      <c r="F125" s="8" t="s">
        <v>77</v>
      </c>
      <c r="G125" s="2" t="s">
        <v>26</v>
      </c>
      <c r="H125" s="8" t="s">
        <v>28</v>
      </c>
      <c r="I125" s="2" t="s">
        <v>26</v>
      </c>
      <c r="J125" s="7">
        <v>44927</v>
      </c>
      <c r="K125" s="8" t="s">
        <v>77</v>
      </c>
      <c r="L125" s="2" t="s">
        <v>26</v>
      </c>
      <c r="M125" s="8" t="s">
        <v>28</v>
      </c>
      <c r="N125" s="6" t="s">
        <v>2264</v>
      </c>
      <c r="O125" s="6" t="s">
        <v>30</v>
      </c>
      <c r="P125" s="2" t="s">
        <v>10573</v>
      </c>
    </row>
    <row r="126" spans="1:16" ht="13.15" x14ac:dyDescent="0.4">
      <c r="A126" s="2" t="s">
        <v>10433</v>
      </c>
      <c r="B126" s="2" t="s">
        <v>5880</v>
      </c>
      <c r="C126" s="6" t="s">
        <v>5879</v>
      </c>
      <c r="D126" s="6" t="s">
        <v>42</v>
      </c>
      <c r="E126" s="7">
        <v>44927</v>
      </c>
      <c r="F126" s="8" t="s">
        <v>77</v>
      </c>
      <c r="G126" s="2" t="s">
        <v>26</v>
      </c>
      <c r="H126" s="8" t="s">
        <v>28</v>
      </c>
      <c r="I126" s="2" t="s">
        <v>26</v>
      </c>
      <c r="J126" s="7">
        <v>44927</v>
      </c>
      <c r="K126" s="8" t="s">
        <v>77</v>
      </c>
      <c r="L126" s="2" t="s">
        <v>26</v>
      </c>
      <c r="M126" s="8" t="s">
        <v>28</v>
      </c>
      <c r="N126" s="6" t="s">
        <v>2264</v>
      </c>
      <c r="O126" s="6" t="s">
        <v>30</v>
      </c>
      <c r="P126" s="2" t="s">
        <v>10631</v>
      </c>
    </row>
    <row r="127" spans="1:16" ht="13.15" x14ac:dyDescent="0.4">
      <c r="A127" s="2" t="s">
        <v>10313</v>
      </c>
      <c r="B127" s="2" t="s">
        <v>5880</v>
      </c>
      <c r="C127" s="6" t="s">
        <v>5879</v>
      </c>
      <c r="D127" s="6" t="s">
        <v>42</v>
      </c>
      <c r="E127" s="7">
        <v>44927</v>
      </c>
      <c r="F127" s="8" t="s">
        <v>77</v>
      </c>
      <c r="G127" s="2" t="s">
        <v>26</v>
      </c>
      <c r="H127" s="8" t="s">
        <v>28</v>
      </c>
      <c r="I127" s="2" t="s">
        <v>26</v>
      </c>
      <c r="J127" s="7">
        <v>44927</v>
      </c>
      <c r="K127" s="8" t="s">
        <v>77</v>
      </c>
      <c r="L127" s="2" t="s">
        <v>26</v>
      </c>
      <c r="M127" s="8" t="s">
        <v>28</v>
      </c>
      <c r="N127" s="6" t="s">
        <v>2264</v>
      </c>
      <c r="O127" s="6" t="s">
        <v>30</v>
      </c>
      <c r="P127" s="2" t="s">
        <v>10492</v>
      </c>
    </row>
    <row r="128" spans="1:16" ht="13.15" x14ac:dyDescent="0.4">
      <c r="A128" s="2" t="s">
        <v>10333</v>
      </c>
      <c r="B128" s="2" t="s">
        <v>5880</v>
      </c>
      <c r="C128" s="6" t="s">
        <v>5879</v>
      </c>
      <c r="D128" s="6" t="s">
        <v>42</v>
      </c>
      <c r="E128" s="7">
        <v>44927</v>
      </c>
      <c r="F128" s="8" t="s">
        <v>77</v>
      </c>
      <c r="G128" s="2" t="s">
        <v>26</v>
      </c>
      <c r="H128" s="8" t="s">
        <v>28</v>
      </c>
      <c r="I128" s="2" t="s">
        <v>26</v>
      </c>
      <c r="J128" s="7">
        <v>44927</v>
      </c>
      <c r="K128" s="8" t="s">
        <v>77</v>
      </c>
      <c r="L128" s="2" t="s">
        <v>26</v>
      </c>
      <c r="M128" s="8" t="s">
        <v>28</v>
      </c>
      <c r="N128" s="6" t="s">
        <v>2264</v>
      </c>
      <c r="O128" s="6" t="s">
        <v>30</v>
      </c>
      <c r="P128" s="2" t="s">
        <v>10515</v>
      </c>
    </row>
    <row r="129" spans="1:16" ht="13.15" x14ac:dyDescent="0.4">
      <c r="A129" s="2" t="s">
        <v>8516</v>
      </c>
      <c r="B129" s="2" t="s">
        <v>5880</v>
      </c>
      <c r="C129" s="6" t="s">
        <v>5879</v>
      </c>
      <c r="D129" s="6" t="s">
        <v>42</v>
      </c>
      <c r="E129" s="7">
        <v>44927</v>
      </c>
      <c r="F129" s="8" t="s">
        <v>77</v>
      </c>
      <c r="G129" s="2" t="s">
        <v>26</v>
      </c>
      <c r="H129" s="8" t="s">
        <v>28</v>
      </c>
      <c r="I129" s="2" t="s">
        <v>26</v>
      </c>
      <c r="J129" s="7">
        <v>44927</v>
      </c>
      <c r="K129" s="8" t="s">
        <v>77</v>
      </c>
      <c r="L129" s="2" t="s">
        <v>26</v>
      </c>
      <c r="M129" s="8" t="s">
        <v>28</v>
      </c>
      <c r="N129" s="6" t="s">
        <v>2264</v>
      </c>
      <c r="O129" s="6" t="s">
        <v>30</v>
      </c>
      <c r="P129" s="2" t="s">
        <v>10526</v>
      </c>
    </row>
    <row r="130" spans="1:16" ht="13.15" x14ac:dyDescent="0.4">
      <c r="A130" s="2" t="s">
        <v>10364</v>
      </c>
      <c r="B130" s="2" t="s">
        <v>5880</v>
      </c>
      <c r="C130" s="6" t="s">
        <v>5879</v>
      </c>
      <c r="D130" s="6" t="s">
        <v>42</v>
      </c>
      <c r="E130" s="7">
        <v>44927</v>
      </c>
      <c r="F130" s="8" t="s">
        <v>77</v>
      </c>
      <c r="G130" s="2" t="s">
        <v>26</v>
      </c>
      <c r="H130" s="8" t="s">
        <v>28</v>
      </c>
      <c r="I130" s="2" t="s">
        <v>26</v>
      </c>
      <c r="J130" s="7">
        <v>44927</v>
      </c>
      <c r="K130" s="8" t="s">
        <v>77</v>
      </c>
      <c r="L130" s="2" t="s">
        <v>26</v>
      </c>
      <c r="M130" s="8" t="s">
        <v>28</v>
      </c>
      <c r="N130" s="6" t="s">
        <v>2264</v>
      </c>
      <c r="O130" s="6" t="s">
        <v>30</v>
      </c>
      <c r="P130" s="2" t="s">
        <v>10554</v>
      </c>
    </row>
    <row r="131" spans="1:16" ht="13.15" x14ac:dyDescent="0.4">
      <c r="A131" s="2" t="s">
        <v>8574</v>
      </c>
      <c r="B131" s="2" t="s">
        <v>5880</v>
      </c>
      <c r="C131" s="6" t="s">
        <v>5879</v>
      </c>
      <c r="D131" s="6" t="s">
        <v>42</v>
      </c>
      <c r="E131" s="7">
        <v>44927</v>
      </c>
      <c r="F131" s="8" t="s">
        <v>77</v>
      </c>
      <c r="G131" s="2" t="s">
        <v>26</v>
      </c>
      <c r="H131" s="8" t="s">
        <v>28</v>
      </c>
      <c r="I131" s="2" t="s">
        <v>26</v>
      </c>
      <c r="J131" s="7">
        <v>44927</v>
      </c>
      <c r="K131" s="8" t="s">
        <v>77</v>
      </c>
      <c r="L131" s="2" t="s">
        <v>26</v>
      </c>
      <c r="M131" s="8" t="s">
        <v>28</v>
      </c>
      <c r="N131" s="6" t="s">
        <v>2264</v>
      </c>
      <c r="O131" s="6" t="s">
        <v>30</v>
      </c>
      <c r="P131" s="2" t="s">
        <v>10517</v>
      </c>
    </row>
    <row r="132" spans="1:16" ht="13.15" x14ac:dyDescent="0.4">
      <c r="A132" s="2" t="s">
        <v>10314</v>
      </c>
      <c r="B132" s="2" t="s">
        <v>5880</v>
      </c>
      <c r="C132" s="6" t="s">
        <v>5879</v>
      </c>
      <c r="D132" s="6" t="s">
        <v>42</v>
      </c>
      <c r="E132" s="7">
        <v>44927</v>
      </c>
      <c r="F132" s="8" t="s">
        <v>77</v>
      </c>
      <c r="G132" s="2" t="s">
        <v>26</v>
      </c>
      <c r="H132" s="8" t="s">
        <v>28</v>
      </c>
      <c r="I132" s="2" t="s">
        <v>26</v>
      </c>
      <c r="J132" s="7">
        <v>44927</v>
      </c>
      <c r="K132" s="8" t="s">
        <v>77</v>
      </c>
      <c r="L132" s="2" t="s">
        <v>26</v>
      </c>
      <c r="M132" s="8" t="s">
        <v>28</v>
      </c>
      <c r="N132" s="6" t="s">
        <v>2264</v>
      </c>
      <c r="O132" s="6" t="s">
        <v>30</v>
      </c>
      <c r="P132" s="2" t="s">
        <v>10493</v>
      </c>
    </row>
    <row r="133" spans="1:16" ht="13.15" x14ac:dyDescent="0.4">
      <c r="A133" s="2" t="s">
        <v>10388</v>
      </c>
      <c r="B133" s="2" t="s">
        <v>5880</v>
      </c>
      <c r="C133" s="6" t="s">
        <v>5879</v>
      </c>
      <c r="D133" s="6" t="s">
        <v>42</v>
      </c>
      <c r="E133" s="7">
        <v>44927</v>
      </c>
      <c r="F133" s="8" t="s">
        <v>77</v>
      </c>
      <c r="G133" s="2" t="s">
        <v>26</v>
      </c>
      <c r="H133" s="8" t="s">
        <v>28</v>
      </c>
      <c r="I133" s="2" t="s">
        <v>26</v>
      </c>
      <c r="J133" s="7">
        <v>44927</v>
      </c>
      <c r="K133" s="8" t="s">
        <v>77</v>
      </c>
      <c r="L133" s="2" t="s">
        <v>26</v>
      </c>
      <c r="M133" s="8" t="s">
        <v>28</v>
      </c>
      <c r="N133" s="6" t="s">
        <v>2264</v>
      </c>
      <c r="O133" s="6" t="s">
        <v>30</v>
      </c>
      <c r="P133" s="2" t="s">
        <v>10580</v>
      </c>
    </row>
    <row r="134" spans="1:16" ht="13.15" x14ac:dyDescent="0.4">
      <c r="A134" s="2" t="s">
        <v>10316</v>
      </c>
      <c r="B134" s="2" t="s">
        <v>5880</v>
      </c>
      <c r="C134" s="6" t="s">
        <v>5879</v>
      </c>
      <c r="D134" s="6" t="s">
        <v>42</v>
      </c>
      <c r="E134" s="7">
        <v>44927</v>
      </c>
      <c r="F134" s="8" t="s">
        <v>77</v>
      </c>
      <c r="G134" s="2" t="s">
        <v>26</v>
      </c>
      <c r="H134" s="8" t="s">
        <v>28</v>
      </c>
      <c r="I134" s="2" t="s">
        <v>26</v>
      </c>
      <c r="J134" s="7">
        <v>44927</v>
      </c>
      <c r="K134" s="8" t="s">
        <v>77</v>
      </c>
      <c r="L134" s="2" t="s">
        <v>26</v>
      </c>
      <c r="M134" s="8" t="s">
        <v>28</v>
      </c>
      <c r="N134" s="6" t="s">
        <v>2264</v>
      </c>
      <c r="O134" s="6" t="s">
        <v>30</v>
      </c>
      <c r="P134" s="2" t="s">
        <v>10497</v>
      </c>
    </row>
    <row r="135" spans="1:16" ht="13.15" x14ac:dyDescent="0.4">
      <c r="A135" s="2" t="s">
        <v>10411</v>
      </c>
      <c r="B135" s="2" t="s">
        <v>5880</v>
      </c>
      <c r="C135" s="6" t="s">
        <v>5879</v>
      </c>
      <c r="D135" s="6" t="s">
        <v>42</v>
      </c>
      <c r="E135" s="7">
        <v>44927</v>
      </c>
      <c r="F135" s="8" t="s">
        <v>77</v>
      </c>
      <c r="G135" s="2" t="s">
        <v>26</v>
      </c>
      <c r="H135" s="8" t="s">
        <v>28</v>
      </c>
      <c r="I135" s="2" t="s">
        <v>26</v>
      </c>
      <c r="J135" s="7">
        <v>44927</v>
      </c>
      <c r="K135" s="8" t="s">
        <v>77</v>
      </c>
      <c r="L135" s="2" t="s">
        <v>26</v>
      </c>
      <c r="M135" s="8" t="s">
        <v>28</v>
      </c>
      <c r="N135" s="6" t="s">
        <v>2264</v>
      </c>
      <c r="O135" s="6" t="s">
        <v>30</v>
      </c>
      <c r="P135" s="2" t="s">
        <v>10606</v>
      </c>
    </row>
    <row r="136" spans="1:16" ht="13.15" x14ac:dyDescent="0.4">
      <c r="A136" s="2" t="s">
        <v>10352</v>
      </c>
      <c r="B136" s="2" t="s">
        <v>5880</v>
      </c>
      <c r="C136" s="6" t="s">
        <v>5879</v>
      </c>
      <c r="D136" s="6" t="s">
        <v>42</v>
      </c>
      <c r="E136" s="7">
        <v>44927</v>
      </c>
      <c r="F136" s="8" t="s">
        <v>77</v>
      </c>
      <c r="G136" s="2" t="s">
        <v>26</v>
      </c>
      <c r="H136" s="8" t="s">
        <v>28</v>
      </c>
      <c r="I136" s="2" t="s">
        <v>26</v>
      </c>
      <c r="J136" s="7">
        <v>44927</v>
      </c>
      <c r="K136" s="8" t="s">
        <v>77</v>
      </c>
      <c r="L136" s="2" t="s">
        <v>26</v>
      </c>
      <c r="M136" s="8" t="s">
        <v>28</v>
      </c>
      <c r="N136" s="6" t="s">
        <v>2264</v>
      </c>
      <c r="O136" s="6" t="s">
        <v>30</v>
      </c>
      <c r="P136" s="2" t="s">
        <v>10540</v>
      </c>
    </row>
    <row r="137" spans="1:16" ht="13.15" x14ac:dyDescent="0.4">
      <c r="A137" s="2" t="s">
        <v>10334</v>
      </c>
      <c r="B137" s="2" t="s">
        <v>5880</v>
      </c>
      <c r="C137" s="6" t="s">
        <v>5879</v>
      </c>
      <c r="D137" s="6" t="s">
        <v>42</v>
      </c>
      <c r="E137" s="7">
        <v>44927</v>
      </c>
      <c r="F137" s="8" t="s">
        <v>77</v>
      </c>
      <c r="G137" s="2" t="s">
        <v>26</v>
      </c>
      <c r="H137" s="8" t="s">
        <v>28</v>
      </c>
      <c r="I137" s="2" t="s">
        <v>26</v>
      </c>
      <c r="J137" s="7">
        <v>44927</v>
      </c>
      <c r="K137" s="8" t="s">
        <v>77</v>
      </c>
      <c r="L137" s="2" t="s">
        <v>26</v>
      </c>
      <c r="M137" s="8" t="s">
        <v>28</v>
      </c>
      <c r="N137" s="6" t="s">
        <v>2264</v>
      </c>
      <c r="O137" s="6" t="s">
        <v>30</v>
      </c>
      <c r="P137" s="2" t="s">
        <v>10518</v>
      </c>
    </row>
    <row r="138" spans="1:16" ht="13.15" x14ac:dyDescent="0.4">
      <c r="A138" s="2" t="s">
        <v>10345</v>
      </c>
      <c r="B138" s="2" t="s">
        <v>5880</v>
      </c>
      <c r="C138" s="6" t="s">
        <v>5879</v>
      </c>
      <c r="D138" s="6" t="s">
        <v>42</v>
      </c>
      <c r="E138" s="7">
        <v>44927</v>
      </c>
      <c r="F138" s="8" t="s">
        <v>77</v>
      </c>
      <c r="G138" s="2" t="s">
        <v>26</v>
      </c>
      <c r="H138" s="8" t="s">
        <v>28</v>
      </c>
      <c r="I138" s="2" t="s">
        <v>26</v>
      </c>
      <c r="J138" s="7">
        <v>44927</v>
      </c>
      <c r="K138" s="8" t="s">
        <v>77</v>
      </c>
      <c r="L138" s="2" t="s">
        <v>26</v>
      </c>
      <c r="M138" s="8" t="s">
        <v>28</v>
      </c>
      <c r="N138" s="6" t="s">
        <v>2264</v>
      </c>
      <c r="O138" s="6" t="s">
        <v>30</v>
      </c>
      <c r="P138" s="2" t="s">
        <v>10533</v>
      </c>
    </row>
    <row r="139" spans="1:16" ht="13.15" x14ac:dyDescent="0.4">
      <c r="A139" s="2" t="s">
        <v>10340</v>
      </c>
      <c r="B139" s="2" t="s">
        <v>5880</v>
      </c>
      <c r="C139" s="6" t="s">
        <v>5879</v>
      </c>
      <c r="D139" s="6" t="s">
        <v>42</v>
      </c>
      <c r="E139" s="7">
        <v>44927</v>
      </c>
      <c r="F139" s="8" t="s">
        <v>77</v>
      </c>
      <c r="G139" s="2" t="s">
        <v>26</v>
      </c>
      <c r="H139" s="8" t="s">
        <v>28</v>
      </c>
      <c r="I139" s="2" t="s">
        <v>26</v>
      </c>
      <c r="J139" s="7">
        <v>44927</v>
      </c>
      <c r="K139" s="8" t="s">
        <v>77</v>
      </c>
      <c r="L139" s="2" t="s">
        <v>26</v>
      </c>
      <c r="M139" s="8" t="s">
        <v>28</v>
      </c>
      <c r="N139" s="6" t="s">
        <v>2264</v>
      </c>
      <c r="O139" s="6" t="s">
        <v>30</v>
      </c>
      <c r="P139" s="2" t="s">
        <v>10525</v>
      </c>
    </row>
    <row r="140" spans="1:16" ht="13.15" x14ac:dyDescent="0.4">
      <c r="A140" s="2" t="s">
        <v>10414</v>
      </c>
      <c r="B140" s="2" t="s">
        <v>5880</v>
      </c>
      <c r="C140" s="6" t="s">
        <v>5879</v>
      </c>
      <c r="D140" s="6" t="s">
        <v>42</v>
      </c>
      <c r="E140" s="7">
        <v>44927</v>
      </c>
      <c r="F140" s="8" t="s">
        <v>77</v>
      </c>
      <c r="G140" s="2" t="s">
        <v>26</v>
      </c>
      <c r="H140" s="8" t="s">
        <v>28</v>
      </c>
      <c r="I140" s="2" t="s">
        <v>26</v>
      </c>
      <c r="J140" s="7">
        <v>44927</v>
      </c>
      <c r="K140" s="8" t="s">
        <v>77</v>
      </c>
      <c r="L140" s="2" t="s">
        <v>26</v>
      </c>
      <c r="M140" s="8" t="s">
        <v>28</v>
      </c>
      <c r="N140" s="6" t="s">
        <v>2264</v>
      </c>
      <c r="O140" s="6" t="s">
        <v>30</v>
      </c>
      <c r="P140" s="2" t="s">
        <v>10609</v>
      </c>
    </row>
    <row r="141" spans="1:16" ht="13.15" x14ac:dyDescent="0.4">
      <c r="A141" s="2" t="s">
        <v>10392</v>
      </c>
      <c r="B141" s="2" t="s">
        <v>5880</v>
      </c>
      <c r="C141" s="6" t="s">
        <v>5879</v>
      </c>
      <c r="D141" s="6" t="s">
        <v>42</v>
      </c>
      <c r="E141" s="7">
        <v>44927</v>
      </c>
      <c r="F141" s="8" t="s">
        <v>77</v>
      </c>
      <c r="G141" s="2" t="s">
        <v>26</v>
      </c>
      <c r="H141" s="8" t="s">
        <v>28</v>
      </c>
      <c r="I141" s="2" t="s">
        <v>26</v>
      </c>
      <c r="J141" s="7">
        <v>44927</v>
      </c>
      <c r="K141" s="8" t="s">
        <v>77</v>
      </c>
      <c r="L141" s="2" t="s">
        <v>26</v>
      </c>
      <c r="M141" s="8" t="s">
        <v>28</v>
      </c>
      <c r="N141" s="6" t="s">
        <v>2264</v>
      </c>
      <c r="O141" s="6" t="s">
        <v>30</v>
      </c>
      <c r="P141" s="2" t="s">
        <v>10584</v>
      </c>
    </row>
    <row r="142" spans="1:16" ht="13.15" x14ac:dyDescent="0.4">
      <c r="A142" s="2" t="s">
        <v>10391</v>
      </c>
      <c r="B142" s="2" t="s">
        <v>5880</v>
      </c>
      <c r="C142" s="6" t="s">
        <v>5879</v>
      </c>
      <c r="D142" s="6" t="s">
        <v>42</v>
      </c>
      <c r="E142" s="7">
        <v>44927</v>
      </c>
      <c r="F142" s="8" t="s">
        <v>77</v>
      </c>
      <c r="G142" s="2" t="s">
        <v>26</v>
      </c>
      <c r="H142" s="8" t="s">
        <v>28</v>
      </c>
      <c r="I142" s="2" t="s">
        <v>26</v>
      </c>
      <c r="J142" s="7">
        <v>44927</v>
      </c>
      <c r="K142" s="8" t="s">
        <v>77</v>
      </c>
      <c r="L142" s="2" t="s">
        <v>26</v>
      </c>
      <c r="M142" s="8" t="s">
        <v>28</v>
      </c>
      <c r="N142" s="6" t="s">
        <v>2264</v>
      </c>
      <c r="O142" s="6" t="s">
        <v>30</v>
      </c>
      <c r="P142" s="2" t="s">
        <v>10583</v>
      </c>
    </row>
    <row r="143" spans="1:16" ht="13.15" x14ac:dyDescent="0.4">
      <c r="A143" s="2" t="s">
        <v>10406</v>
      </c>
      <c r="B143" s="2" t="s">
        <v>5880</v>
      </c>
      <c r="C143" s="6" t="s">
        <v>5879</v>
      </c>
      <c r="D143" s="6" t="s">
        <v>42</v>
      </c>
      <c r="E143" s="7">
        <v>44927</v>
      </c>
      <c r="F143" s="8" t="s">
        <v>77</v>
      </c>
      <c r="G143" s="2" t="s">
        <v>26</v>
      </c>
      <c r="H143" s="8" t="s">
        <v>28</v>
      </c>
      <c r="I143" s="2" t="s">
        <v>26</v>
      </c>
      <c r="J143" s="7">
        <v>44927</v>
      </c>
      <c r="K143" s="8" t="s">
        <v>77</v>
      </c>
      <c r="L143" s="2" t="s">
        <v>26</v>
      </c>
      <c r="M143" s="8" t="s">
        <v>28</v>
      </c>
      <c r="N143" s="6" t="s">
        <v>2264</v>
      </c>
      <c r="O143" s="6" t="s">
        <v>30</v>
      </c>
      <c r="P143" s="2" t="s">
        <v>10601</v>
      </c>
    </row>
    <row r="144" spans="1:16" ht="13.15" x14ac:dyDescent="0.4">
      <c r="A144" s="2" t="s">
        <v>10303</v>
      </c>
      <c r="B144" s="2" t="s">
        <v>5880</v>
      </c>
      <c r="C144" s="6" t="s">
        <v>5879</v>
      </c>
      <c r="D144" s="6" t="s">
        <v>42</v>
      </c>
      <c r="E144" s="7">
        <v>44927</v>
      </c>
      <c r="F144" s="8" t="s">
        <v>77</v>
      </c>
      <c r="G144" s="2" t="s">
        <v>26</v>
      </c>
      <c r="H144" s="8" t="s">
        <v>28</v>
      </c>
      <c r="I144" s="2" t="s">
        <v>26</v>
      </c>
      <c r="J144" s="7">
        <v>44927</v>
      </c>
      <c r="K144" s="8" t="s">
        <v>77</v>
      </c>
      <c r="L144" s="2" t="s">
        <v>26</v>
      </c>
      <c r="M144" s="8" t="s">
        <v>28</v>
      </c>
      <c r="N144" s="6" t="s">
        <v>2264</v>
      </c>
      <c r="O144" s="6" t="s">
        <v>30</v>
      </c>
      <c r="P144" s="2" t="s">
        <v>10480</v>
      </c>
    </row>
    <row r="145" spans="1:16" ht="13.15" x14ac:dyDescent="0.4">
      <c r="A145" s="2" t="s">
        <v>10424</v>
      </c>
      <c r="B145" s="2" t="s">
        <v>5880</v>
      </c>
      <c r="C145" s="6" t="s">
        <v>5879</v>
      </c>
      <c r="D145" s="6" t="s">
        <v>42</v>
      </c>
      <c r="E145" s="7">
        <v>44927</v>
      </c>
      <c r="F145" s="8" t="s">
        <v>77</v>
      </c>
      <c r="G145" s="2" t="s">
        <v>26</v>
      </c>
      <c r="H145" s="8" t="s">
        <v>28</v>
      </c>
      <c r="I145" s="2" t="s">
        <v>26</v>
      </c>
      <c r="J145" s="7">
        <v>44927</v>
      </c>
      <c r="K145" s="8" t="s">
        <v>77</v>
      </c>
      <c r="L145" s="2" t="s">
        <v>26</v>
      </c>
      <c r="M145" s="8" t="s">
        <v>28</v>
      </c>
      <c r="N145" s="6" t="s">
        <v>2264</v>
      </c>
      <c r="O145" s="6" t="s">
        <v>30</v>
      </c>
      <c r="P145" s="2" t="s">
        <v>10621</v>
      </c>
    </row>
    <row r="146" spans="1:16" ht="13.15" x14ac:dyDescent="0.4">
      <c r="A146" s="2" t="s">
        <v>10330</v>
      </c>
      <c r="B146" s="2" t="s">
        <v>5880</v>
      </c>
      <c r="C146" s="6" t="s">
        <v>5879</v>
      </c>
      <c r="D146" s="6" t="s">
        <v>42</v>
      </c>
      <c r="E146" s="7">
        <v>44927</v>
      </c>
      <c r="F146" s="8" t="s">
        <v>77</v>
      </c>
      <c r="G146" s="2" t="s">
        <v>26</v>
      </c>
      <c r="H146" s="8" t="s">
        <v>28</v>
      </c>
      <c r="I146" s="2" t="s">
        <v>26</v>
      </c>
      <c r="J146" s="7">
        <v>44927</v>
      </c>
      <c r="K146" s="8" t="s">
        <v>77</v>
      </c>
      <c r="L146" s="2" t="s">
        <v>26</v>
      </c>
      <c r="M146" s="8" t="s">
        <v>28</v>
      </c>
      <c r="N146" s="6" t="s">
        <v>2264</v>
      </c>
      <c r="O146" s="6" t="s">
        <v>30</v>
      </c>
      <c r="P146" s="2" t="s">
        <v>10512</v>
      </c>
    </row>
    <row r="147" spans="1:16" ht="13.15" x14ac:dyDescent="0.4">
      <c r="A147" s="2" t="s">
        <v>8830</v>
      </c>
      <c r="B147" s="2" t="s">
        <v>5880</v>
      </c>
      <c r="C147" s="6" t="s">
        <v>5879</v>
      </c>
      <c r="D147" s="6" t="s">
        <v>42</v>
      </c>
      <c r="E147" s="7">
        <v>44927</v>
      </c>
      <c r="F147" s="8" t="s">
        <v>77</v>
      </c>
      <c r="G147" s="2" t="s">
        <v>26</v>
      </c>
      <c r="H147" s="8" t="s">
        <v>28</v>
      </c>
      <c r="I147" s="2" t="s">
        <v>26</v>
      </c>
      <c r="J147" s="7">
        <v>44927</v>
      </c>
      <c r="K147" s="8" t="s">
        <v>77</v>
      </c>
      <c r="L147" s="2" t="s">
        <v>26</v>
      </c>
      <c r="M147" s="8" t="s">
        <v>28</v>
      </c>
      <c r="N147" s="6" t="s">
        <v>2264</v>
      </c>
      <c r="O147" s="6" t="s">
        <v>30</v>
      </c>
      <c r="P147" s="2" t="s">
        <v>10616</v>
      </c>
    </row>
    <row r="148" spans="1:16" ht="13.15" x14ac:dyDescent="0.4">
      <c r="A148" s="2" t="s">
        <v>10327</v>
      </c>
      <c r="B148" s="2" t="s">
        <v>5880</v>
      </c>
      <c r="C148" s="6" t="s">
        <v>5879</v>
      </c>
      <c r="D148" s="6" t="s">
        <v>42</v>
      </c>
      <c r="E148" s="7">
        <v>44927</v>
      </c>
      <c r="F148" s="8" t="s">
        <v>77</v>
      </c>
      <c r="G148" s="2" t="s">
        <v>26</v>
      </c>
      <c r="H148" s="8" t="s">
        <v>28</v>
      </c>
      <c r="I148" s="2" t="s">
        <v>26</v>
      </c>
      <c r="J148" s="7">
        <v>44927</v>
      </c>
      <c r="K148" s="8" t="s">
        <v>77</v>
      </c>
      <c r="L148" s="2" t="s">
        <v>26</v>
      </c>
      <c r="M148" s="8" t="s">
        <v>28</v>
      </c>
      <c r="N148" s="6" t="s">
        <v>2264</v>
      </c>
      <c r="O148" s="6" t="s">
        <v>30</v>
      </c>
      <c r="P148" s="2" t="s">
        <v>10508</v>
      </c>
    </row>
    <row r="149" spans="1:16" ht="13.15" x14ac:dyDescent="0.4">
      <c r="A149" s="2" t="s">
        <v>10403</v>
      </c>
      <c r="B149" s="2" t="s">
        <v>5880</v>
      </c>
      <c r="C149" s="6" t="s">
        <v>5879</v>
      </c>
      <c r="D149" s="6" t="s">
        <v>42</v>
      </c>
      <c r="E149" s="7">
        <v>44927</v>
      </c>
      <c r="F149" s="8" t="s">
        <v>77</v>
      </c>
      <c r="G149" s="2" t="s">
        <v>26</v>
      </c>
      <c r="H149" s="8" t="s">
        <v>28</v>
      </c>
      <c r="I149" s="2" t="s">
        <v>26</v>
      </c>
      <c r="J149" s="7">
        <v>44927</v>
      </c>
      <c r="K149" s="8" t="s">
        <v>77</v>
      </c>
      <c r="L149" s="2" t="s">
        <v>26</v>
      </c>
      <c r="M149" s="8" t="s">
        <v>28</v>
      </c>
      <c r="N149" s="6" t="s">
        <v>2264</v>
      </c>
      <c r="O149" s="6" t="s">
        <v>30</v>
      </c>
      <c r="P149" s="2" t="s">
        <v>10597</v>
      </c>
    </row>
    <row r="150" spans="1:16" ht="13.15" x14ac:dyDescent="0.4">
      <c r="A150" s="2" t="s">
        <v>10380</v>
      </c>
      <c r="B150" s="2" t="s">
        <v>5880</v>
      </c>
      <c r="C150" s="6" t="s">
        <v>5879</v>
      </c>
      <c r="D150" s="6" t="s">
        <v>42</v>
      </c>
      <c r="E150" s="7">
        <v>44927</v>
      </c>
      <c r="F150" s="8" t="s">
        <v>77</v>
      </c>
      <c r="G150" s="2" t="s">
        <v>26</v>
      </c>
      <c r="H150" s="8" t="s">
        <v>28</v>
      </c>
      <c r="I150" s="2" t="s">
        <v>26</v>
      </c>
      <c r="J150" s="7">
        <v>44927</v>
      </c>
      <c r="K150" s="8" t="s">
        <v>77</v>
      </c>
      <c r="L150" s="2" t="s">
        <v>26</v>
      </c>
      <c r="M150" s="8" t="s">
        <v>28</v>
      </c>
      <c r="N150" s="6" t="s">
        <v>2264</v>
      </c>
      <c r="O150" s="6" t="s">
        <v>30</v>
      </c>
      <c r="P150" s="2" t="s">
        <v>10571</v>
      </c>
    </row>
    <row r="151" spans="1:16" ht="13.15" x14ac:dyDescent="0.4">
      <c r="A151" s="2" t="s">
        <v>10425</v>
      </c>
      <c r="B151" s="2" t="s">
        <v>5880</v>
      </c>
      <c r="C151" s="6" t="s">
        <v>5879</v>
      </c>
      <c r="D151" s="6" t="s">
        <v>42</v>
      </c>
      <c r="E151" s="7">
        <v>44927</v>
      </c>
      <c r="F151" s="8" t="s">
        <v>77</v>
      </c>
      <c r="G151" s="2" t="s">
        <v>26</v>
      </c>
      <c r="H151" s="8" t="s">
        <v>28</v>
      </c>
      <c r="I151" s="2" t="s">
        <v>26</v>
      </c>
      <c r="J151" s="7">
        <v>44927</v>
      </c>
      <c r="K151" s="8" t="s">
        <v>77</v>
      </c>
      <c r="L151" s="2" t="s">
        <v>26</v>
      </c>
      <c r="M151" s="8" t="s">
        <v>28</v>
      </c>
      <c r="N151" s="6" t="s">
        <v>2264</v>
      </c>
      <c r="O151" s="6" t="s">
        <v>30</v>
      </c>
      <c r="P151" s="2" t="s">
        <v>10622</v>
      </c>
    </row>
    <row r="152" spans="1:16" ht="13.15" x14ac:dyDescent="0.4">
      <c r="A152" s="2" t="s">
        <v>10348</v>
      </c>
      <c r="B152" s="2" t="s">
        <v>5880</v>
      </c>
      <c r="C152" s="6" t="s">
        <v>5879</v>
      </c>
      <c r="D152" s="6" t="s">
        <v>42</v>
      </c>
      <c r="E152" s="7">
        <v>44927</v>
      </c>
      <c r="F152" s="8" t="s">
        <v>77</v>
      </c>
      <c r="G152" s="2" t="s">
        <v>26</v>
      </c>
      <c r="H152" s="8" t="s">
        <v>28</v>
      </c>
      <c r="I152" s="2" t="s">
        <v>26</v>
      </c>
      <c r="J152" s="7">
        <v>44927</v>
      </c>
      <c r="K152" s="8" t="s">
        <v>77</v>
      </c>
      <c r="L152" s="2" t="s">
        <v>26</v>
      </c>
      <c r="M152" s="8" t="s">
        <v>28</v>
      </c>
      <c r="N152" s="6" t="s">
        <v>2264</v>
      </c>
      <c r="O152" s="6" t="s">
        <v>30</v>
      </c>
      <c r="P152" s="2" t="s">
        <v>10536</v>
      </c>
    </row>
    <row r="153" spans="1:16" ht="13.15" x14ac:dyDescent="0.4">
      <c r="A153" s="2" t="s">
        <v>10300</v>
      </c>
      <c r="B153" s="2" t="s">
        <v>5880</v>
      </c>
      <c r="C153" s="6" t="s">
        <v>5879</v>
      </c>
      <c r="D153" s="6" t="s">
        <v>42</v>
      </c>
      <c r="E153" s="7">
        <v>44927</v>
      </c>
      <c r="F153" s="8" t="s">
        <v>77</v>
      </c>
      <c r="G153" s="2" t="s">
        <v>26</v>
      </c>
      <c r="H153" s="8" t="s">
        <v>28</v>
      </c>
      <c r="I153" s="2" t="s">
        <v>26</v>
      </c>
      <c r="J153" s="7">
        <v>44927</v>
      </c>
      <c r="K153" s="8" t="s">
        <v>77</v>
      </c>
      <c r="L153" s="2" t="s">
        <v>26</v>
      </c>
      <c r="M153" s="8" t="s">
        <v>28</v>
      </c>
      <c r="N153" s="6" t="s">
        <v>2264</v>
      </c>
      <c r="O153" s="6" t="s">
        <v>30</v>
      </c>
      <c r="P153" s="2" t="s">
        <v>10477</v>
      </c>
    </row>
    <row r="154" spans="1:16" ht="13.15" x14ac:dyDescent="0.4">
      <c r="A154" s="2" t="s">
        <v>10324</v>
      </c>
      <c r="B154" s="2" t="s">
        <v>5880</v>
      </c>
      <c r="C154" s="6" t="s">
        <v>5879</v>
      </c>
      <c r="D154" s="6" t="s">
        <v>42</v>
      </c>
      <c r="E154" s="7">
        <v>44927</v>
      </c>
      <c r="F154" s="8" t="s">
        <v>77</v>
      </c>
      <c r="G154" s="2" t="s">
        <v>26</v>
      </c>
      <c r="H154" s="8" t="s">
        <v>28</v>
      </c>
      <c r="I154" s="2" t="s">
        <v>26</v>
      </c>
      <c r="J154" s="7">
        <v>44927</v>
      </c>
      <c r="K154" s="8" t="s">
        <v>77</v>
      </c>
      <c r="L154" s="2" t="s">
        <v>26</v>
      </c>
      <c r="M154" s="8" t="s">
        <v>28</v>
      </c>
      <c r="N154" s="6" t="s">
        <v>2264</v>
      </c>
      <c r="O154" s="6" t="s">
        <v>30</v>
      </c>
      <c r="P154" s="2" t="s">
        <v>10505</v>
      </c>
    </row>
    <row r="155" spans="1:16" ht="13.15" x14ac:dyDescent="0.4">
      <c r="A155" s="2" t="s">
        <v>10325</v>
      </c>
      <c r="B155" s="2" t="s">
        <v>5880</v>
      </c>
      <c r="C155" s="6" t="s">
        <v>5879</v>
      </c>
      <c r="D155" s="6" t="s">
        <v>42</v>
      </c>
      <c r="E155" s="7">
        <v>44927</v>
      </c>
      <c r="F155" s="8" t="s">
        <v>77</v>
      </c>
      <c r="G155" s="2" t="s">
        <v>26</v>
      </c>
      <c r="H155" s="8" t="s">
        <v>28</v>
      </c>
      <c r="I155" s="2" t="s">
        <v>26</v>
      </c>
      <c r="J155" s="7">
        <v>44927</v>
      </c>
      <c r="K155" s="8" t="s">
        <v>77</v>
      </c>
      <c r="L155" s="2" t="s">
        <v>26</v>
      </c>
      <c r="M155" s="8" t="s">
        <v>28</v>
      </c>
      <c r="N155" s="6" t="s">
        <v>2264</v>
      </c>
      <c r="O155" s="6" t="s">
        <v>30</v>
      </c>
      <c r="P155" s="2" t="s">
        <v>10506</v>
      </c>
    </row>
    <row r="156" spans="1:16" ht="13.15" x14ac:dyDescent="0.4">
      <c r="A156" s="2" t="s">
        <v>10395</v>
      </c>
      <c r="B156" s="2" t="s">
        <v>5880</v>
      </c>
      <c r="C156" s="6" t="s">
        <v>5879</v>
      </c>
      <c r="D156" s="6" t="s">
        <v>42</v>
      </c>
      <c r="E156" s="7">
        <v>44927</v>
      </c>
      <c r="F156" s="8" t="s">
        <v>77</v>
      </c>
      <c r="G156" s="2" t="s">
        <v>26</v>
      </c>
      <c r="H156" s="8" t="s">
        <v>28</v>
      </c>
      <c r="I156" s="2" t="s">
        <v>26</v>
      </c>
      <c r="J156" s="7">
        <v>44927</v>
      </c>
      <c r="K156" s="8" t="s">
        <v>77</v>
      </c>
      <c r="L156" s="2" t="s">
        <v>26</v>
      </c>
      <c r="M156" s="8" t="s">
        <v>28</v>
      </c>
      <c r="N156" s="6" t="s">
        <v>2264</v>
      </c>
      <c r="O156" s="6" t="s">
        <v>30</v>
      </c>
      <c r="P156" s="2" t="s">
        <v>10588</v>
      </c>
    </row>
    <row r="157" spans="1:16" ht="13.15" x14ac:dyDescent="0.4">
      <c r="A157" s="2" t="s">
        <v>10405</v>
      </c>
      <c r="B157" s="2" t="s">
        <v>5880</v>
      </c>
      <c r="C157" s="6" t="s">
        <v>5879</v>
      </c>
      <c r="D157" s="6" t="s">
        <v>42</v>
      </c>
      <c r="E157" s="7">
        <v>44927</v>
      </c>
      <c r="F157" s="8" t="s">
        <v>77</v>
      </c>
      <c r="G157" s="2" t="s">
        <v>26</v>
      </c>
      <c r="H157" s="8" t="s">
        <v>28</v>
      </c>
      <c r="I157" s="2" t="s">
        <v>26</v>
      </c>
      <c r="J157" s="7">
        <v>44927</v>
      </c>
      <c r="K157" s="8" t="s">
        <v>77</v>
      </c>
      <c r="L157" s="2" t="s">
        <v>26</v>
      </c>
      <c r="M157" s="8" t="s">
        <v>28</v>
      </c>
      <c r="N157" s="6" t="s">
        <v>2264</v>
      </c>
      <c r="O157" s="6" t="s">
        <v>30</v>
      </c>
      <c r="P157" s="2" t="s">
        <v>10600</v>
      </c>
    </row>
    <row r="158" spans="1:16" ht="13.15" x14ac:dyDescent="0.4">
      <c r="A158" s="2" t="s">
        <v>10359</v>
      </c>
      <c r="B158" s="2" t="s">
        <v>5880</v>
      </c>
      <c r="C158" s="6" t="s">
        <v>5879</v>
      </c>
      <c r="D158" s="6" t="s">
        <v>42</v>
      </c>
      <c r="E158" s="7">
        <v>44927</v>
      </c>
      <c r="F158" s="8" t="s">
        <v>77</v>
      </c>
      <c r="G158" s="2" t="s">
        <v>26</v>
      </c>
      <c r="H158" s="8" t="s">
        <v>28</v>
      </c>
      <c r="I158" s="2" t="s">
        <v>26</v>
      </c>
      <c r="J158" s="7">
        <v>44927</v>
      </c>
      <c r="K158" s="8" t="s">
        <v>77</v>
      </c>
      <c r="L158" s="2" t="s">
        <v>26</v>
      </c>
      <c r="M158" s="8" t="s">
        <v>28</v>
      </c>
      <c r="N158" s="6" t="s">
        <v>2264</v>
      </c>
      <c r="O158" s="6" t="s">
        <v>30</v>
      </c>
      <c r="P158" s="2" t="s">
        <v>10549</v>
      </c>
    </row>
    <row r="159" spans="1:16" ht="13.15" x14ac:dyDescent="0.4">
      <c r="A159" s="2" t="s">
        <v>10343</v>
      </c>
      <c r="B159" s="2" t="s">
        <v>5880</v>
      </c>
      <c r="C159" s="6" t="s">
        <v>5879</v>
      </c>
      <c r="D159" s="6" t="s">
        <v>42</v>
      </c>
      <c r="E159" s="7">
        <v>44927</v>
      </c>
      <c r="F159" s="8" t="s">
        <v>77</v>
      </c>
      <c r="G159" s="2" t="s">
        <v>26</v>
      </c>
      <c r="H159" s="8" t="s">
        <v>28</v>
      </c>
      <c r="I159" s="2" t="s">
        <v>26</v>
      </c>
      <c r="J159" s="7">
        <v>44927</v>
      </c>
      <c r="K159" s="8" t="s">
        <v>77</v>
      </c>
      <c r="L159" s="2" t="s">
        <v>26</v>
      </c>
      <c r="M159" s="8" t="s">
        <v>28</v>
      </c>
      <c r="N159" s="6" t="s">
        <v>2264</v>
      </c>
      <c r="O159" s="6" t="s">
        <v>30</v>
      </c>
      <c r="P159" s="2" t="s">
        <v>10531</v>
      </c>
    </row>
    <row r="160" spans="1:16" ht="13.15" x14ac:dyDescent="0.4">
      <c r="A160" s="2" t="s">
        <v>10412</v>
      </c>
      <c r="B160" s="2" t="s">
        <v>5880</v>
      </c>
      <c r="C160" s="6" t="s">
        <v>5879</v>
      </c>
      <c r="D160" s="6" t="s">
        <v>42</v>
      </c>
      <c r="E160" s="7">
        <v>44927</v>
      </c>
      <c r="F160" s="8" t="s">
        <v>77</v>
      </c>
      <c r="G160" s="2" t="s">
        <v>26</v>
      </c>
      <c r="H160" s="8" t="s">
        <v>28</v>
      </c>
      <c r="I160" s="2" t="s">
        <v>26</v>
      </c>
      <c r="J160" s="7">
        <v>44927</v>
      </c>
      <c r="K160" s="8" t="s">
        <v>77</v>
      </c>
      <c r="L160" s="2" t="s">
        <v>26</v>
      </c>
      <c r="M160" s="8" t="s">
        <v>28</v>
      </c>
      <c r="N160" s="6" t="s">
        <v>2264</v>
      </c>
      <c r="O160" s="6" t="s">
        <v>30</v>
      </c>
      <c r="P160" s="2" t="s">
        <v>10607</v>
      </c>
    </row>
    <row r="161" spans="1:16" ht="13.15" x14ac:dyDescent="0.4">
      <c r="A161" s="2" t="s">
        <v>10409</v>
      </c>
      <c r="B161" s="2" t="s">
        <v>5880</v>
      </c>
      <c r="C161" s="6" t="s">
        <v>5879</v>
      </c>
      <c r="D161" s="6" t="s">
        <v>42</v>
      </c>
      <c r="E161" s="7">
        <v>44927</v>
      </c>
      <c r="F161" s="8" t="s">
        <v>77</v>
      </c>
      <c r="G161" s="2" t="s">
        <v>26</v>
      </c>
      <c r="H161" s="8" t="s">
        <v>28</v>
      </c>
      <c r="I161" s="2" t="s">
        <v>26</v>
      </c>
      <c r="J161" s="7">
        <v>44927</v>
      </c>
      <c r="K161" s="8" t="s">
        <v>77</v>
      </c>
      <c r="L161" s="2" t="s">
        <v>26</v>
      </c>
      <c r="M161" s="8" t="s">
        <v>28</v>
      </c>
      <c r="N161" s="6" t="s">
        <v>2264</v>
      </c>
      <c r="O161" s="6" t="s">
        <v>30</v>
      </c>
      <c r="P161" s="2" t="s">
        <v>10604</v>
      </c>
    </row>
    <row r="162" spans="1:16" ht="13.15" x14ac:dyDescent="0.4">
      <c r="A162" s="2" t="s">
        <v>10399</v>
      </c>
      <c r="B162" s="2" t="s">
        <v>5880</v>
      </c>
      <c r="C162" s="6" t="s">
        <v>5879</v>
      </c>
      <c r="D162" s="6" t="s">
        <v>42</v>
      </c>
      <c r="E162" s="7">
        <v>44927</v>
      </c>
      <c r="F162" s="8" t="s">
        <v>77</v>
      </c>
      <c r="G162" s="2" t="s">
        <v>26</v>
      </c>
      <c r="H162" s="8" t="s">
        <v>28</v>
      </c>
      <c r="I162" s="2" t="s">
        <v>26</v>
      </c>
      <c r="J162" s="7">
        <v>44927</v>
      </c>
      <c r="K162" s="8" t="s">
        <v>77</v>
      </c>
      <c r="L162" s="2" t="s">
        <v>26</v>
      </c>
      <c r="M162" s="8" t="s">
        <v>28</v>
      </c>
      <c r="N162" s="6" t="s">
        <v>2264</v>
      </c>
      <c r="O162" s="6" t="s">
        <v>30</v>
      </c>
      <c r="P162" s="2" t="s">
        <v>10592</v>
      </c>
    </row>
    <row r="163" spans="1:16" ht="13.15" x14ac:dyDescent="0.4">
      <c r="A163" s="2" t="s">
        <v>10315</v>
      </c>
      <c r="B163" s="2" t="s">
        <v>5880</v>
      </c>
      <c r="C163" s="6" t="s">
        <v>5879</v>
      </c>
      <c r="D163" s="6" t="s">
        <v>42</v>
      </c>
      <c r="E163" s="7">
        <v>44927</v>
      </c>
      <c r="F163" s="8" t="s">
        <v>77</v>
      </c>
      <c r="G163" s="2" t="s">
        <v>26</v>
      </c>
      <c r="H163" s="8" t="s">
        <v>28</v>
      </c>
      <c r="I163" s="2" t="s">
        <v>26</v>
      </c>
      <c r="J163" s="7">
        <v>44927</v>
      </c>
      <c r="K163" s="8" t="s">
        <v>77</v>
      </c>
      <c r="L163" s="2" t="s">
        <v>26</v>
      </c>
      <c r="M163" s="8" t="s">
        <v>28</v>
      </c>
      <c r="N163" s="6" t="s">
        <v>2264</v>
      </c>
      <c r="O163" s="6" t="s">
        <v>30</v>
      </c>
      <c r="P163" s="2" t="s">
        <v>10494</v>
      </c>
    </row>
    <row r="164" spans="1:16" ht="13.15" x14ac:dyDescent="0.4">
      <c r="A164" s="2" t="s">
        <v>10390</v>
      </c>
      <c r="B164" s="2" t="s">
        <v>5880</v>
      </c>
      <c r="C164" s="6" t="s">
        <v>5879</v>
      </c>
      <c r="D164" s="6" t="s">
        <v>42</v>
      </c>
      <c r="E164" s="7">
        <v>44927</v>
      </c>
      <c r="F164" s="8" t="s">
        <v>77</v>
      </c>
      <c r="G164" s="2" t="s">
        <v>26</v>
      </c>
      <c r="H164" s="8" t="s">
        <v>28</v>
      </c>
      <c r="I164" s="2" t="s">
        <v>26</v>
      </c>
      <c r="J164" s="7">
        <v>44927</v>
      </c>
      <c r="K164" s="8" t="s">
        <v>77</v>
      </c>
      <c r="L164" s="2" t="s">
        <v>26</v>
      </c>
      <c r="M164" s="8" t="s">
        <v>28</v>
      </c>
      <c r="N164" s="6" t="s">
        <v>2264</v>
      </c>
      <c r="O164" s="6" t="s">
        <v>30</v>
      </c>
      <c r="P164" s="2" t="s">
        <v>10582</v>
      </c>
    </row>
    <row r="165" spans="1:16" ht="13.15" x14ac:dyDescent="0.4">
      <c r="A165" s="2" t="s">
        <v>10408</v>
      </c>
      <c r="B165" s="2" t="s">
        <v>5880</v>
      </c>
      <c r="C165" s="6" t="s">
        <v>5879</v>
      </c>
      <c r="D165" s="6" t="s">
        <v>42</v>
      </c>
      <c r="E165" s="7">
        <v>44927</v>
      </c>
      <c r="F165" s="8" t="s">
        <v>77</v>
      </c>
      <c r="G165" s="2" t="s">
        <v>26</v>
      </c>
      <c r="H165" s="8" t="s">
        <v>28</v>
      </c>
      <c r="I165" s="2" t="s">
        <v>26</v>
      </c>
      <c r="J165" s="7">
        <v>44927</v>
      </c>
      <c r="K165" s="8" t="s">
        <v>77</v>
      </c>
      <c r="L165" s="2" t="s">
        <v>26</v>
      </c>
      <c r="M165" s="8" t="s">
        <v>28</v>
      </c>
      <c r="N165" s="6" t="s">
        <v>2264</v>
      </c>
      <c r="O165" s="6" t="s">
        <v>30</v>
      </c>
      <c r="P165" s="2" t="s">
        <v>10603</v>
      </c>
    </row>
    <row r="166" spans="1:16" ht="13.15" x14ac:dyDescent="0.4">
      <c r="A166" s="2" t="s">
        <v>10350</v>
      </c>
      <c r="B166" s="2" t="s">
        <v>5880</v>
      </c>
      <c r="C166" s="6" t="s">
        <v>5879</v>
      </c>
      <c r="D166" s="6" t="s">
        <v>42</v>
      </c>
      <c r="E166" s="7">
        <v>44927</v>
      </c>
      <c r="F166" s="8" t="s">
        <v>77</v>
      </c>
      <c r="G166" s="2" t="s">
        <v>26</v>
      </c>
      <c r="H166" s="8" t="s">
        <v>28</v>
      </c>
      <c r="I166" s="2" t="s">
        <v>26</v>
      </c>
      <c r="J166" s="7">
        <v>44927</v>
      </c>
      <c r="K166" s="8" t="s">
        <v>77</v>
      </c>
      <c r="L166" s="2" t="s">
        <v>26</v>
      </c>
      <c r="M166" s="8" t="s">
        <v>28</v>
      </c>
      <c r="N166" s="6" t="s">
        <v>2264</v>
      </c>
      <c r="O166" s="6" t="s">
        <v>30</v>
      </c>
      <c r="P166" s="2" t="s">
        <v>10538</v>
      </c>
    </row>
    <row r="167" spans="1:16" ht="13.15" x14ac:dyDescent="0.4">
      <c r="A167" s="2" t="s">
        <v>10301</v>
      </c>
      <c r="B167" s="2" t="s">
        <v>5880</v>
      </c>
      <c r="C167" s="6" t="s">
        <v>5879</v>
      </c>
      <c r="D167" s="6" t="s">
        <v>42</v>
      </c>
      <c r="E167" s="7">
        <v>44927</v>
      </c>
      <c r="F167" s="8" t="s">
        <v>77</v>
      </c>
      <c r="G167" s="2" t="s">
        <v>26</v>
      </c>
      <c r="H167" s="8" t="s">
        <v>28</v>
      </c>
      <c r="I167" s="2" t="s">
        <v>26</v>
      </c>
      <c r="J167" s="7">
        <v>44927</v>
      </c>
      <c r="K167" s="8" t="s">
        <v>77</v>
      </c>
      <c r="L167" s="2" t="s">
        <v>26</v>
      </c>
      <c r="M167" s="8" t="s">
        <v>28</v>
      </c>
      <c r="N167" s="6" t="s">
        <v>2264</v>
      </c>
      <c r="O167" s="6" t="s">
        <v>30</v>
      </c>
      <c r="P167" s="2" t="s">
        <v>10478</v>
      </c>
    </row>
    <row r="168" spans="1:16" ht="13.15" x14ac:dyDescent="0.4">
      <c r="A168" s="2" t="s">
        <v>10302</v>
      </c>
      <c r="B168" s="2" t="s">
        <v>5880</v>
      </c>
      <c r="C168" s="6" t="s">
        <v>5879</v>
      </c>
      <c r="D168" s="6" t="s">
        <v>42</v>
      </c>
      <c r="E168" s="7">
        <v>44927</v>
      </c>
      <c r="F168" s="8" t="s">
        <v>77</v>
      </c>
      <c r="G168" s="2" t="s">
        <v>26</v>
      </c>
      <c r="H168" s="8" t="s">
        <v>28</v>
      </c>
      <c r="I168" s="2" t="s">
        <v>26</v>
      </c>
      <c r="J168" s="7">
        <v>44927</v>
      </c>
      <c r="K168" s="8" t="s">
        <v>77</v>
      </c>
      <c r="L168" s="2" t="s">
        <v>26</v>
      </c>
      <c r="M168" s="8" t="s">
        <v>28</v>
      </c>
      <c r="N168" s="6" t="s">
        <v>2264</v>
      </c>
      <c r="O168" s="6" t="s">
        <v>30</v>
      </c>
      <c r="P168" s="2" t="s">
        <v>10479</v>
      </c>
    </row>
    <row r="169" spans="1:16" ht="13.15" x14ac:dyDescent="0.4">
      <c r="A169" s="2" t="s">
        <v>10354</v>
      </c>
      <c r="B169" s="2" t="s">
        <v>5880</v>
      </c>
      <c r="C169" s="6" t="s">
        <v>5879</v>
      </c>
      <c r="D169" s="6" t="s">
        <v>42</v>
      </c>
      <c r="E169" s="7">
        <v>44927</v>
      </c>
      <c r="F169" s="8" t="s">
        <v>77</v>
      </c>
      <c r="G169" s="2" t="s">
        <v>26</v>
      </c>
      <c r="H169" s="8" t="s">
        <v>28</v>
      </c>
      <c r="I169" s="2" t="s">
        <v>26</v>
      </c>
      <c r="J169" s="7">
        <v>44927</v>
      </c>
      <c r="K169" s="8" t="s">
        <v>77</v>
      </c>
      <c r="L169" s="2" t="s">
        <v>26</v>
      </c>
      <c r="M169" s="8" t="s">
        <v>28</v>
      </c>
      <c r="N169" s="6" t="s">
        <v>2264</v>
      </c>
      <c r="O169" s="6" t="s">
        <v>30</v>
      </c>
      <c r="P169" s="2" t="s">
        <v>10542</v>
      </c>
    </row>
    <row r="170" spans="1:16" ht="13.15" x14ac:dyDescent="0.4">
      <c r="A170" s="2" t="s">
        <v>10319</v>
      </c>
      <c r="B170" s="2" t="s">
        <v>5880</v>
      </c>
      <c r="C170" s="6" t="s">
        <v>5879</v>
      </c>
      <c r="D170" s="6" t="s">
        <v>42</v>
      </c>
      <c r="E170" s="7">
        <v>44927</v>
      </c>
      <c r="F170" s="8" t="s">
        <v>77</v>
      </c>
      <c r="G170" s="2" t="s">
        <v>26</v>
      </c>
      <c r="H170" s="8" t="s">
        <v>28</v>
      </c>
      <c r="I170" s="2" t="s">
        <v>26</v>
      </c>
      <c r="J170" s="7">
        <v>44927</v>
      </c>
      <c r="K170" s="8" t="s">
        <v>77</v>
      </c>
      <c r="L170" s="2" t="s">
        <v>26</v>
      </c>
      <c r="M170" s="8" t="s">
        <v>28</v>
      </c>
      <c r="N170" s="6" t="s">
        <v>2264</v>
      </c>
      <c r="O170" s="6" t="s">
        <v>30</v>
      </c>
      <c r="P170" s="2" t="s">
        <v>10500</v>
      </c>
    </row>
    <row r="171" spans="1:16" ht="13.15" x14ac:dyDescent="0.4">
      <c r="A171" s="2" t="s">
        <v>10407</v>
      </c>
      <c r="B171" s="2" t="s">
        <v>5880</v>
      </c>
      <c r="C171" s="6" t="s">
        <v>5879</v>
      </c>
      <c r="D171" s="6" t="s">
        <v>42</v>
      </c>
      <c r="E171" s="7">
        <v>44927</v>
      </c>
      <c r="F171" s="8" t="s">
        <v>77</v>
      </c>
      <c r="G171" s="2" t="s">
        <v>26</v>
      </c>
      <c r="H171" s="8" t="s">
        <v>28</v>
      </c>
      <c r="I171" s="2" t="s">
        <v>26</v>
      </c>
      <c r="J171" s="7">
        <v>44927</v>
      </c>
      <c r="K171" s="8" t="s">
        <v>77</v>
      </c>
      <c r="L171" s="2" t="s">
        <v>26</v>
      </c>
      <c r="M171" s="8" t="s">
        <v>28</v>
      </c>
      <c r="N171" s="6" t="s">
        <v>2264</v>
      </c>
      <c r="O171" s="6" t="s">
        <v>30</v>
      </c>
      <c r="P171" s="2" t="s">
        <v>10602</v>
      </c>
    </row>
    <row r="172" spans="1:16" ht="13.15" x14ac:dyDescent="0.4">
      <c r="A172" s="2" t="s">
        <v>10377</v>
      </c>
      <c r="B172" s="2" t="s">
        <v>5880</v>
      </c>
      <c r="C172" s="6" t="s">
        <v>5879</v>
      </c>
      <c r="D172" s="6" t="s">
        <v>42</v>
      </c>
      <c r="E172" s="7">
        <v>44927</v>
      </c>
      <c r="F172" s="8" t="s">
        <v>77</v>
      </c>
      <c r="G172" s="2" t="s">
        <v>26</v>
      </c>
      <c r="H172" s="8" t="s">
        <v>28</v>
      </c>
      <c r="I172" s="2" t="s">
        <v>26</v>
      </c>
      <c r="J172" s="7">
        <v>44927</v>
      </c>
      <c r="K172" s="8" t="s">
        <v>77</v>
      </c>
      <c r="L172" s="2" t="s">
        <v>26</v>
      </c>
      <c r="M172" s="8" t="s">
        <v>28</v>
      </c>
      <c r="N172" s="6" t="s">
        <v>2264</v>
      </c>
      <c r="O172" s="6" t="s">
        <v>30</v>
      </c>
      <c r="P172" s="2" t="s">
        <v>10567</v>
      </c>
    </row>
    <row r="173" spans="1:16" ht="13.15" x14ac:dyDescent="0.4">
      <c r="A173" s="2" t="s">
        <v>9340</v>
      </c>
      <c r="B173" s="2" t="s">
        <v>5880</v>
      </c>
      <c r="C173" s="6" t="s">
        <v>5879</v>
      </c>
      <c r="D173" s="6" t="s">
        <v>42</v>
      </c>
      <c r="E173" s="7">
        <v>44927</v>
      </c>
      <c r="F173" s="8" t="s">
        <v>77</v>
      </c>
      <c r="G173" s="2" t="s">
        <v>26</v>
      </c>
      <c r="H173" s="8" t="s">
        <v>28</v>
      </c>
      <c r="I173" s="2" t="s">
        <v>26</v>
      </c>
      <c r="J173" s="7">
        <v>44927</v>
      </c>
      <c r="K173" s="8" t="s">
        <v>77</v>
      </c>
      <c r="L173" s="2" t="s">
        <v>26</v>
      </c>
      <c r="M173" s="8" t="s">
        <v>28</v>
      </c>
      <c r="N173" s="6" t="s">
        <v>2264</v>
      </c>
      <c r="O173" s="6" t="s">
        <v>30</v>
      </c>
      <c r="P173" s="2" t="s">
        <v>10490</v>
      </c>
    </row>
    <row r="174" spans="1:16" ht="13.15" x14ac:dyDescent="0.4">
      <c r="A174" s="2" t="s">
        <v>10369</v>
      </c>
      <c r="B174" s="2" t="s">
        <v>5880</v>
      </c>
      <c r="C174" s="6" t="s">
        <v>5879</v>
      </c>
      <c r="D174" s="6" t="s">
        <v>42</v>
      </c>
      <c r="E174" s="7">
        <v>44927</v>
      </c>
      <c r="F174" s="8" t="s">
        <v>77</v>
      </c>
      <c r="G174" s="2" t="s">
        <v>26</v>
      </c>
      <c r="H174" s="8" t="s">
        <v>28</v>
      </c>
      <c r="I174" s="2" t="s">
        <v>26</v>
      </c>
      <c r="J174" s="7">
        <v>44927</v>
      </c>
      <c r="K174" s="8" t="s">
        <v>77</v>
      </c>
      <c r="L174" s="2" t="s">
        <v>26</v>
      </c>
      <c r="M174" s="8" t="s">
        <v>28</v>
      </c>
      <c r="N174" s="6" t="s">
        <v>2264</v>
      </c>
      <c r="O174" s="6" t="s">
        <v>30</v>
      </c>
      <c r="P174" s="2" t="s">
        <v>10559</v>
      </c>
    </row>
    <row r="175" spans="1:16" ht="13.15" x14ac:dyDescent="0.4">
      <c r="A175" s="2" t="s">
        <v>10430</v>
      </c>
      <c r="B175" s="2" t="s">
        <v>5880</v>
      </c>
      <c r="C175" s="6" t="s">
        <v>5879</v>
      </c>
      <c r="D175" s="6" t="s">
        <v>42</v>
      </c>
      <c r="E175" s="7">
        <v>44927</v>
      </c>
      <c r="F175" s="8" t="s">
        <v>77</v>
      </c>
      <c r="G175" s="2" t="s">
        <v>26</v>
      </c>
      <c r="H175" s="8" t="s">
        <v>28</v>
      </c>
      <c r="I175" s="2" t="s">
        <v>26</v>
      </c>
      <c r="J175" s="7">
        <v>44927</v>
      </c>
      <c r="K175" s="8" t="s">
        <v>77</v>
      </c>
      <c r="L175" s="2" t="s">
        <v>26</v>
      </c>
      <c r="M175" s="8" t="s">
        <v>28</v>
      </c>
      <c r="N175" s="6" t="s">
        <v>2264</v>
      </c>
      <c r="O175" s="6" t="s">
        <v>30</v>
      </c>
      <c r="P175" s="2" t="s">
        <v>10627</v>
      </c>
    </row>
    <row r="176" spans="1:16" ht="13.15" x14ac:dyDescent="0.4">
      <c r="A176" s="2" t="s">
        <v>10310</v>
      </c>
      <c r="B176" s="2" t="s">
        <v>5880</v>
      </c>
      <c r="C176" s="6" t="s">
        <v>5879</v>
      </c>
      <c r="D176" s="6" t="s">
        <v>42</v>
      </c>
      <c r="E176" s="7">
        <v>44927</v>
      </c>
      <c r="F176" s="8" t="s">
        <v>77</v>
      </c>
      <c r="G176" s="2" t="s">
        <v>26</v>
      </c>
      <c r="H176" s="8" t="s">
        <v>28</v>
      </c>
      <c r="I176" s="2" t="s">
        <v>26</v>
      </c>
      <c r="J176" s="7">
        <v>44927</v>
      </c>
      <c r="K176" s="8" t="s">
        <v>77</v>
      </c>
      <c r="L176" s="2" t="s">
        <v>26</v>
      </c>
      <c r="M176" s="8" t="s">
        <v>28</v>
      </c>
      <c r="N176" s="6" t="s">
        <v>2264</v>
      </c>
      <c r="O176" s="6" t="s">
        <v>30</v>
      </c>
      <c r="P176" s="2" t="s">
        <v>10487</v>
      </c>
    </row>
    <row r="177" spans="1:16" ht="13.15" x14ac:dyDescent="0.4">
      <c r="A177" s="2" t="s">
        <v>9344</v>
      </c>
      <c r="B177" s="2" t="s">
        <v>5880</v>
      </c>
      <c r="C177" s="6" t="s">
        <v>5879</v>
      </c>
      <c r="D177" s="6" t="s">
        <v>42</v>
      </c>
      <c r="E177" s="7">
        <v>44927</v>
      </c>
      <c r="F177" s="8" t="s">
        <v>77</v>
      </c>
      <c r="G177" s="2" t="s">
        <v>26</v>
      </c>
      <c r="H177" s="8" t="s">
        <v>28</v>
      </c>
      <c r="I177" s="2" t="s">
        <v>26</v>
      </c>
      <c r="J177" s="7">
        <v>44927</v>
      </c>
      <c r="K177" s="8" t="s">
        <v>77</v>
      </c>
      <c r="L177" s="2" t="s">
        <v>26</v>
      </c>
      <c r="M177" s="8" t="s">
        <v>28</v>
      </c>
      <c r="N177" s="6" t="s">
        <v>2264</v>
      </c>
      <c r="O177" s="6" t="s">
        <v>30</v>
      </c>
      <c r="P177" s="2" t="s">
        <v>10594</v>
      </c>
    </row>
    <row r="178" spans="1:16" ht="13.15" x14ac:dyDescent="0.4">
      <c r="A178" s="2" t="s">
        <v>10328</v>
      </c>
      <c r="B178" s="2" t="s">
        <v>5880</v>
      </c>
      <c r="C178" s="6" t="s">
        <v>5879</v>
      </c>
      <c r="D178" s="6" t="s">
        <v>42</v>
      </c>
      <c r="E178" s="7">
        <v>44927</v>
      </c>
      <c r="F178" s="8" t="s">
        <v>77</v>
      </c>
      <c r="G178" s="2" t="s">
        <v>26</v>
      </c>
      <c r="H178" s="8" t="s">
        <v>28</v>
      </c>
      <c r="I178" s="2" t="s">
        <v>26</v>
      </c>
      <c r="J178" s="7">
        <v>44927</v>
      </c>
      <c r="K178" s="8" t="s">
        <v>77</v>
      </c>
      <c r="L178" s="2" t="s">
        <v>26</v>
      </c>
      <c r="M178" s="8" t="s">
        <v>28</v>
      </c>
      <c r="N178" s="6" t="s">
        <v>2264</v>
      </c>
      <c r="O178" s="6" t="s">
        <v>30</v>
      </c>
      <c r="P178" s="2" t="s">
        <v>10509</v>
      </c>
    </row>
    <row r="179" spans="1:16" ht="13.15" x14ac:dyDescent="0.4">
      <c r="A179" s="2" t="s">
        <v>10426</v>
      </c>
      <c r="B179" s="2" t="s">
        <v>5880</v>
      </c>
      <c r="C179" s="6" t="s">
        <v>5879</v>
      </c>
      <c r="D179" s="6" t="s">
        <v>42</v>
      </c>
      <c r="E179" s="7">
        <v>44927</v>
      </c>
      <c r="F179" s="8" t="s">
        <v>77</v>
      </c>
      <c r="G179" s="2" t="s">
        <v>26</v>
      </c>
      <c r="H179" s="8" t="s">
        <v>28</v>
      </c>
      <c r="I179" s="2" t="s">
        <v>26</v>
      </c>
      <c r="J179" s="7">
        <v>44927</v>
      </c>
      <c r="K179" s="8" t="s">
        <v>77</v>
      </c>
      <c r="L179" s="2" t="s">
        <v>26</v>
      </c>
      <c r="M179" s="8" t="s">
        <v>28</v>
      </c>
      <c r="N179" s="6" t="s">
        <v>2264</v>
      </c>
      <c r="O179" s="6" t="s">
        <v>30</v>
      </c>
      <c r="P179" s="2" t="s">
        <v>10623</v>
      </c>
    </row>
    <row r="180" spans="1:16" ht="13.15" x14ac:dyDescent="0.4">
      <c r="A180" s="2" t="s">
        <v>10317</v>
      </c>
      <c r="B180" s="2" t="s">
        <v>5880</v>
      </c>
      <c r="C180" s="6" t="s">
        <v>5879</v>
      </c>
      <c r="D180" s="6" t="s">
        <v>42</v>
      </c>
      <c r="E180" s="7">
        <v>44927</v>
      </c>
      <c r="F180" s="8" t="s">
        <v>77</v>
      </c>
      <c r="G180" s="2" t="s">
        <v>26</v>
      </c>
      <c r="H180" s="8" t="s">
        <v>28</v>
      </c>
      <c r="I180" s="2" t="s">
        <v>26</v>
      </c>
      <c r="J180" s="7">
        <v>44927</v>
      </c>
      <c r="K180" s="8" t="s">
        <v>77</v>
      </c>
      <c r="L180" s="2" t="s">
        <v>26</v>
      </c>
      <c r="M180" s="8" t="s">
        <v>28</v>
      </c>
      <c r="N180" s="6" t="s">
        <v>2264</v>
      </c>
      <c r="O180" s="6" t="s">
        <v>30</v>
      </c>
      <c r="P180" s="2" t="s">
        <v>10498</v>
      </c>
    </row>
    <row r="181" spans="1:16" ht="13.15" x14ac:dyDescent="0.4">
      <c r="A181" s="2" t="s">
        <v>10387</v>
      </c>
      <c r="B181" s="2" t="s">
        <v>5880</v>
      </c>
      <c r="C181" s="6" t="s">
        <v>5879</v>
      </c>
      <c r="D181" s="6" t="s">
        <v>42</v>
      </c>
      <c r="E181" s="7">
        <v>44927</v>
      </c>
      <c r="F181" s="8" t="s">
        <v>77</v>
      </c>
      <c r="G181" s="2" t="s">
        <v>26</v>
      </c>
      <c r="H181" s="8" t="s">
        <v>28</v>
      </c>
      <c r="I181" s="2" t="s">
        <v>26</v>
      </c>
      <c r="J181" s="7">
        <v>44927</v>
      </c>
      <c r="K181" s="8" t="s">
        <v>77</v>
      </c>
      <c r="L181" s="2" t="s">
        <v>26</v>
      </c>
      <c r="M181" s="8" t="s">
        <v>28</v>
      </c>
      <c r="N181" s="6" t="s">
        <v>2264</v>
      </c>
      <c r="O181" s="6" t="s">
        <v>30</v>
      </c>
      <c r="P181" s="2" t="s">
        <v>10579</v>
      </c>
    </row>
    <row r="182" spans="1:16" ht="13.15" x14ac:dyDescent="0.4">
      <c r="A182" s="2" t="s">
        <v>10308</v>
      </c>
      <c r="B182" s="2" t="s">
        <v>5880</v>
      </c>
      <c r="C182" s="6" t="s">
        <v>5879</v>
      </c>
      <c r="D182" s="6" t="s">
        <v>42</v>
      </c>
      <c r="E182" s="7">
        <v>44927</v>
      </c>
      <c r="F182" s="8" t="s">
        <v>77</v>
      </c>
      <c r="G182" s="2" t="s">
        <v>26</v>
      </c>
      <c r="H182" s="8" t="s">
        <v>28</v>
      </c>
      <c r="I182" s="2" t="s">
        <v>26</v>
      </c>
      <c r="J182" s="7">
        <v>44927</v>
      </c>
      <c r="K182" s="8" t="s">
        <v>77</v>
      </c>
      <c r="L182" s="2" t="s">
        <v>26</v>
      </c>
      <c r="M182" s="8" t="s">
        <v>28</v>
      </c>
      <c r="N182" s="6" t="s">
        <v>2264</v>
      </c>
      <c r="O182" s="6" t="s">
        <v>30</v>
      </c>
      <c r="P182" s="2" t="s">
        <v>10485</v>
      </c>
    </row>
    <row r="183" spans="1:16" ht="13.15" x14ac:dyDescent="0.4">
      <c r="A183" s="2" t="s">
        <v>10365</v>
      </c>
      <c r="B183" s="2" t="s">
        <v>5880</v>
      </c>
      <c r="C183" s="6" t="s">
        <v>5879</v>
      </c>
      <c r="D183" s="6" t="s">
        <v>42</v>
      </c>
      <c r="E183" s="7">
        <v>44927</v>
      </c>
      <c r="F183" s="8" t="s">
        <v>77</v>
      </c>
      <c r="G183" s="2" t="s">
        <v>26</v>
      </c>
      <c r="H183" s="8" t="s">
        <v>28</v>
      </c>
      <c r="I183" s="2" t="s">
        <v>26</v>
      </c>
      <c r="J183" s="7">
        <v>44927</v>
      </c>
      <c r="K183" s="8" t="s">
        <v>77</v>
      </c>
      <c r="L183" s="2" t="s">
        <v>26</v>
      </c>
      <c r="M183" s="8" t="s">
        <v>28</v>
      </c>
      <c r="N183" s="6" t="s">
        <v>2264</v>
      </c>
      <c r="O183" s="6" t="s">
        <v>30</v>
      </c>
      <c r="P183" s="2" t="s">
        <v>10555</v>
      </c>
    </row>
    <row r="184" spans="1:16" ht="13.15" x14ac:dyDescent="0.4">
      <c r="A184" s="2" t="s">
        <v>10355</v>
      </c>
      <c r="B184" s="2" t="s">
        <v>5880</v>
      </c>
      <c r="C184" s="6" t="s">
        <v>5879</v>
      </c>
      <c r="D184" s="6" t="s">
        <v>42</v>
      </c>
      <c r="E184" s="7">
        <v>44927</v>
      </c>
      <c r="F184" s="8" t="s">
        <v>77</v>
      </c>
      <c r="G184" s="2" t="s">
        <v>26</v>
      </c>
      <c r="H184" s="8" t="s">
        <v>28</v>
      </c>
      <c r="I184" s="2" t="s">
        <v>26</v>
      </c>
      <c r="J184" s="7">
        <v>44927</v>
      </c>
      <c r="K184" s="8" t="s">
        <v>77</v>
      </c>
      <c r="L184" s="2" t="s">
        <v>26</v>
      </c>
      <c r="M184" s="8" t="s">
        <v>28</v>
      </c>
      <c r="N184" s="6" t="s">
        <v>2264</v>
      </c>
      <c r="O184" s="6" t="s">
        <v>30</v>
      </c>
      <c r="P184" s="2" t="s">
        <v>10545</v>
      </c>
    </row>
    <row r="185" spans="1:16" ht="13.15" x14ac:dyDescent="0.4">
      <c r="A185" s="2" t="s">
        <v>10435</v>
      </c>
      <c r="B185" s="2" t="s">
        <v>5880</v>
      </c>
      <c r="C185" s="6" t="s">
        <v>5879</v>
      </c>
      <c r="D185" s="6" t="s">
        <v>42</v>
      </c>
      <c r="E185" s="7">
        <v>44927</v>
      </c>
      <c r="F185" s="8" t="s">
        <v>77</v>
      </c>
      <c r="G185" s="2" t="s">
        <v>26</v>
      </c>
      <c r="H185" s="8" t="s">
        <v>28</v>
      </c>
      <c r="I185" s="2" t="s">
        <v>26</v>
      </c>
      <c r="J185" s="7">
        <v>44927</v>
      </c>
      <c r="K185" s="8" t="s">
        <v>77</v>
      </c>
      <c r="L185" s="2" t="s">
        <v>26</v>
      </c>
      <c r="M185" s="8" t="s">
        <v>28</v>
      </c>
      <c r="N185" s="6" t="s">
        <v>2264</v>
      </c>
      <c r="O185" s="6" t="s">
        <v>30</v>
      </c>
      <c r="P185" s="2" t="s">
        <v>10633</v>
      </c>
    </row>
    <row r="186" spans="1:16" ht="13.15" x14ac:dyDescent="0.4">
      <c r="A186" s="2" t="s">
        <v>10304</v>
      </c>
      <c r="B186" s="2" t="s">
        <v>5880</v>
      </c>
      <c r="C186" s="6" t="s">
        <v>5879</v>
      </c>
      <c r="D186" s="6" t="s">
        <v>42</v>
      </c>
      <c r="E186" s="7">
        <v>44927</v>
      </c>
      <c r="F186" s="8" t="s">
        <v>77</v>
      </c>
      <c r="G186" s="2" t="s">
        <v>26</v>
      </c>
      <c r="H186" s="8" t="s">
        <v>28</v>
      </c>
      <c r="I186" s="2" t="s">
        <v>26</v>
      </c>
      <c r="J186" s="7">
        <v>44927</v>
      </c>
      <c r="K186" s="8" t="s">
        <v>77</v>
      </c>
      <c r="L186" s="2" t="s">
        <v>26</v>
      </c>
      <c r="M186" s="8" t="s">
        <v>28</v>
      </c>
      <c r="N186" s="6" t="s">
        <v>2264</v>
      </c>
      <c r="O186" s="6" t="s">
        <v>30</v>
      </c>
      <c r="P186" s="2" t="s">
        <v>10481</v>
      </c>
    </row>
    <row r="187" spans="1:16" ht="13.15" x14ac:dyDescent="0.4">
      <c r="A187" s="2" t="s">
        <v>10341</v>
      </c>
      <c r="B187" s="2" t="s">
        <v>5880</v>
      </c>
      <c r="C187" s="6" t="s">
        <v>5879</v>
      </c>
      <c r="D187" s="6" t="s">
        <v>42</v>
      </c>
      <c r="E187" s="7">
        <v>44927</v>
      </c>
      <c r="F187" s="8" t="s">
        <v>77</v>
      </c>
      <c r="G187" s="2" t="s">
        <v>26</v>
      </c>
      <c r="H187" s="8" t="s">
        <v>28</v>
      </c>
      <c r="I187" s="2" t="s">
        <v>26</v>
      </c>
      <c r="J187" s="7">
        <v>44927</v>
      </c>
      <c r="K187" s="8" t="s">
        <v>77</v>
      </c>
      <c r="L187" s="2" t="s">
        <v>26</v>
      </c>
      <c r="M187" s="8" t="s">
        <v>28</v>
      </c>
      <c r="N187" s="6" t="s">
        <v>2264</v>
      </c>
      <c r="O187" s="6" t="s">
        <v>30</v>
      </c>
      <c r="P187" s="2" t="s">
        <v>10527</v>
      </c>
    </row>
    <row r="188" spans="1:16" ht="13.15" x14ac:dyDescent="0.4">
      <c r="A188" s="2" t="s">
        <v>10420</v>
      </c>
      <c r="B188" s="2" t="s">
        <v>5880</v>
      </c>
      <c r="C188" s="6" t="s">
        <v>5879</v>
      </c>
      <c r="D188" s="6" t="s">
        <v>42</v>
      </c>
      <c r="E188" s="7">
        <v>44927</v>
      </c>
      <c r="F188" s="8" t="s">
        <v>77</v>
      </c>
      <c r="G188" s="2" t="s">
        <v>26</v>
      </c>
      <c r="H188" s="8" t="s">
        <v>28</v>
      </c>
      <c r="I188" s="2" t="s">
        <v>26</v>
      </c>
      <c r="J188" s="7">
        <v>44927</v>
      </c>
      <c r="K188" s="8" t="s">
        <v>77</v>
      </c>
      <c r="L188" s="2" t="s">
        <v>26</v>
      </c>
      <c r="M188" s="8" t="s">
        <v>28</v>
      </c>
      <c r="N188" s="6" t="s">
        <v>2264</v>
      </c>
      <c r="O188" s="6" t="s">
        <v>30</v>
      </c>
      <c r="P188" s="2" t="s">
        <v>10615</v>
      </c>
    </row>
    <row r="189" spans="1:16" ht="13.15" x14ac:dyDescent="0.4">
      <c r="A189" s="2" t="s">
        <v>10401</v>
      </c>
      <c r="B189" s="2" t="s">
        <v>5880</v>
      </c>
      <c r="C189" s="6" t="s">
        <v>5879</v>
      </c>
      <c r="D189" s="6" t="s">
        <v>42</v>
      </c>
      <c r="E189" s="7">
        <v>44927</v>
      </c>
      <c r="F189" s="8" t="s">
        <v>77</v>
      </c>
      <c r="G189" s="2" t="s">
        <v>26</v>
      </c>
      <c r="H189" s="8" t="s">
        <v>28</v>
      </c>
      <c r="I189" s="2" t="s">
        <v>26</v>
      </c>
      <c r="J189" s="7">
        <v>44927</v>
      </c>
      <c r="K189" s="8" t="s">
        <v>77</v>
      </c>
      <c r="L189" s="2" t="s">
        <v>26</v>
      </c>
      <c r="M189" s="8" t="s">
        <v>28</v>
      </c>
      <c r="N189" s="6" t="s">
        <v>2264</v>
      </c>
      <c r="O189" s="6" t="s">
        <v>30</v>
      </c>
      <c r="P189" s="2" t="s">
        <v>10595</v>
      </c>
    </row>
    <row r="190" spans="1:16" ht="13.15" x14ac:dyDescent="0.4">
      <c r="A190" s="2" t="s">
        <v>10385</v>
      </c>
      <c r="B190" s="2" t="s">
        <v>5880</v>
      </c>
      <c r="C190" s="6" t="s">
        <v>5879</v>
      </c>
      <c r="D190" s="6" t="s">
        <v>42</v>
      </c>
      <c r="E190" s="7">
        <v>44927</v>
      </c>
      <c r="F190" s="8" t="s">
        <v>77</v>
      </c>
      <c r="G190" s="2" t="s">
        <v>26</v>
      </c>
      <c r="H190" s="8" t="s">
        <v>28</v>
      </c>
      <c r="I190" s="2" t="s">
        <v>26</v>
      </c>
      <c r="J190" s="7">
        <v>44927</v>
      </c>
      <c r="K190" s="8" t="s">
        <v>77</v>
      </c>
      <c r="L190" s="2" t="s">
        <v>26</v>
      </c>
      <c r="M190" s="8" t="s">
        <v>28</v>
      </c>
      <c r="N190" s="6" t="s">
        <v>2264</v>
      </c>
      <c r="O190" s="6" t="s">
        <v>30</v>
      </c>
      <c r="P190" s="2" t="s">
        <v>10577</v>
      </c>
    </row>
    <row r="191" spans="1:16" ht="13.15" x14ac:dyDescent="0.4">
      <c r="A191" s="2" t="s">
        <v>6254</v>
      </c>
      <c r="B191" s="2" t="s">
        <v>5880</v>
      </c>
      <c r="C191" s="6" t="s">
        <v>5879</v>
      </c>
      <c r="D191" s="6" t="s">
        <v>42</v>
      </c>
      <c r="E191" s="7">
        <v>44927</v>
      </c>
      <c r="F191" s="8" t="s">
        <v>77</v>
      </c>
      <c r="G191" s="2" t="s">
        <v>26</v>
      </c>
      <c r="H191" s="8" t="s">
        <v>28</v>
      </c>
      <c r="I191" s="2" t="s">
        <v>26</v>
      </c>
      <c r="J191" s="7">
        <v>44927</v>
      </c>
      <c r="K191" s="8" t="s">
        <v>77</v>
      </c>
      <c r="L191" s="2" t="s">
        <v>26</v>
      </c>
      <c r="M191" s="8" t="s">
        <v>28</v>
      </c>
      <c r="N191" s="6" t="s">
        <v>2264</v>
      </c>
      <c r="O191" s="6" t="s">
        <v>30</v>
      </c>
      <c r="P191" s="2" t="s">
        <v>10530</v>
      </c>
    </row>
    <row r="192" spans="1:16" ht="13.15" x14ac:dyDescent="0.4">
      <c r="A192" s="2" t="s">
        <v>10339</v>
      </c>
      <c r="B192" s="2" t="s">
        <v>5880</v>
      </c>
      <c r="C192" s="6" t="s">
        <v>5879</v>
      </c>
      <c r="D192" s="6" t="s">
        <v>42</v>
      </c>
      <c r="E192" s="7">
        <v>44927</v>
      </c>
      <c r="F192" s="8" t="s">
        <v>77</v>
      </c>
      <c r="G192" s="2" t="s">
        <v>26</v>
      </c>
      <c r="H192" s="8" t="s">
        <v>28</v>
      </c>
      <c r="I192" s="2" t="s">
        <v>26</v>
      </c>
      <c r="J192" s="7">
        <v>44927</v>
      </c>
      <c r="K192" s="8" t="s">
        <v>77</v>
      </c>
      <c r="L192" s="2" t="s">
        <v>26</v>
      </c>
      <c r="M192" s="8" t="s">
        <v>28</v>
      </c>
      <c r="N192" s="6" t="s">
        <v>2264</v>
      </c>
      <c r="O192" s="6" t="s">
        <v>30</v>
      </c>
      <c r="P192" s="2" t="s">
        <v>10524</v>
      </c>
    </row>
    <row r="193" spans="1:16" ht="13.15" x14ac:dyDescent="0.4">
      <c r="A193" s="2" t="s">
        <v>10309</v>
      </c>
      <c r="B193" s="2" t="s">
        <v>5880</v>
      </c>
      <c r="C193" s="6" t="s">
        <v>5879</v>
      </c>
      <c r="D193" s="6" t="s">
        <v>42</v>
      </c>
      <c r="E193" s="7">
        <v>44927</v>
      </c>
      <c r="F193" s="8" t="s">
        <v>77</v>
      </c>
      <c r="G193" s="2" t="s">
        <v>26</v>
      </c>
      <c r="H193" s="8" t="s">
        <v>28</v>
      </c>
      <c r="I193" s="2" t="s">
        <v>26</v>
      </c>
      <c r="J193" s="7">
        <v>44927</v>
      </c>
      <c r="K193" s="8" t="s">
        <v>77</v>
      </c>
      <c r="L193" s="2" t="s">
        <v>26</v>
      </c>
      <c r="M193" s="8" t="s">
        <v>28</v>
      </c>
      <c r="N193" s="6" t="s">
        <v>2264</v>
      </c>
      <c r="O193" s="6" t="s">
        <v>30</v>
      </c>
      <c r="P193" s="2" t="s">
        <v>10486</v>
      </c>
    </row>
    <row r="194" spans="1:16" ht="13.15" x14ac:dyDescent="0.4">
      <c r="A194" s="2" t="s">
        <v>10337</v>
      </c>
      <c r="B194" s="2" t="s">
        <v>5880</v>
      </c>
      <c r="C194" s="6" t="s">
        <v>5879</v>
      </c>
      <c r="D194" s="6" t="s">
        <v>42</v>
      </c>
      <c r="E194" s="7">
        <v>44927</v>
      </c>
      <c r="F194" s="8" t="s">
        <v>77</v>
      </c>
      <c r="G194" s="2" t="s">
        <v>26</v>
      </c>
      <c r="H194" s="8" t="s">
        <v>28</v>
      </c>
      <c r="I194" s="2" t="s">
        <v>26</v>
      </c>
      <c r="J194" s="7">
        <v>44927</v>
      </c>
      <c r="K194" s="8" t="s">
        <v>77</v>
      </c>
      <c r="L194" s="2" t="s">
        <v>26</v>
      </c>
      <c r="M194" s="8" t="s">
        <v>28</v>
      </c>
      <c r="N194" s="6" t="s">
        <v>2264</v>
      </c>
      <c r="O194" s="6" t="s">
        <v>30</v>
      </c>
      <c r="P194" s="2" t="s">
        <v>10522</v>
      </c>
    </row>
    <row r="195" spans="1:16" ht="13.15" x14ac:dyDescent="0.4">
      <c r="A195" s="2" t="s">
        <v>10379</v>
      </c>
      <c r="B195" s="2" t="s">
        <v>5880</v>
      </c>
      <c r="C195" s="6" t="s">
        <v>5879</v>
      </c>
      <c r="D195" s="6" t="s">
        <v>42</v>
      </c>
      <c r="E195" s="7">
        <v>44927</v>
      </c>
      <c r="F195" s="8" t="s">
        <v>77</v>
      </c>
      <c r="G195" s="2" t="s">
        <v>26</v>
      </c>
      <c r="H195" s="8" t="s">
        <v>28</v>
      </c>
      <c r="I195" s="2" t="s">
        <v>26</v>
      </c>
      <c r="J195" s="7">
        <v>44927</v>
      </c>
      <c r="K195" s="8" t="s">
        <v>77</v>
      </c>
      <c r="L195" s="2" t="s">
        <v>26</v>
      </c>
      <c r="M195" s="8" t="s">
        <v>28</v>
      </c>
      <c r="N195" s="6" t="s">
        <v>2264</v>
      </c>
      <c r="O195" s="6" t="s">
        <v>30</v>
      </c>
      <c r="P195" s="2" t="s">
        <v>10570</v>
      </c>
    </row>
    <row r="196" spans="1:16" ht="13.15" x14ac:dyDescent="0.4">
      <c r="A196" s="2" t="s">
        <v>10342</v>
      </c>
      <c r="B196" s="2" t="s">
        <v>5880</v>
      </c>
      <c r="C196" s="6" t="s">
        <v>5879</v>
      </c>
      <c r="D196" s="6" t="s">
        <v>42</v>
      </c>
      <c r="E196" s="7">
        <v>44927</v>
      </c>
      <c r="F196" s="8" t="s">
        <v>77</v>
      </c>
      <c r="G196" s="2" t="s">
        <v>26</v>
      </c>
      <c r="H196" s="8" t="s">
        <v>28</v>
      </c>
      <c r="I196" s="2" t="s">
        <v>26</v>
      </c>
      <c r="J196" s="7">
        <v>44927</v>
      </c>
      <c r="K196" s="8" t="s">
        <v>77</v>
      </c>
      <c r="L196" s="2" t="s">
        <v>26</v>
      </c>
      <c r="M196" s="8" t="s">
        <v>28</v>
      </c>
      <c r="N196" s="6" t="s">
        <v>2264</v>
      </c>
      <c r="O196" s="6" t="s">
        <v>30</v>
      </c>
      <c r="P196" s="2" t="s">
        <v>10528</v>
      </c>
    </row>
    <row r="197" spans="1:16" ht="13.15" x14ac:dyDescent="0.4">
      <c r="A197" s="2" t="s">
        <v>10376</v>
      </c>
      <c r="B197" s="2" t="s">
        <v>5880</v>
      </c>
      <c r="C197" s="6" t="s">
        <v>5879</v>
      </c>
      <c r="D197" s="6" t="s">
        <v>42</v>
      </c>
      <c r="E197" s="7">
        <v>44927</v>
      </c>
      <c r="F197" s="8" t="s">
        <v>77</v>
      </c>
      <c r="G197" s="2" t="s">
        <v>26</v>
      </c>
      <c r="H197" s="8" t="s">
        <v>28</v>
      </c>
      <c r="I197" s="2" t="s">
        <v>26</v>
      </c>
      <c r="J197" s="7">
        <v>44927</v>
      </c>
      <c r="K197" s="8" t="s">
        <v>77</v>
      </c>
      <c r="L197" s="2" t="s">
        <v>26</v>
      </c>
      <c r="M197" s="8" t="s">
        <v>28</v>
      </c>
      <c r="N197" s="6" t="s">
        <v>2264</v>
      </c>
      <c r="O197" s="6" t="s">
        <v>30</v>
      </c>
      <c r="P197" s="2" t="s">
        <v>10566</v>
      </c>
    </row>
    <row r="198" spans="1:16" ht="13.15" x14ac:dyDescent="0.4">
      <c r="A198" s="2" t="s">
        <v>10326</v>
      </c>
      <c r="B198" s="2" t="s">
        <v>5880</v>
      </c>
      <c r="C198" s="6" t="s">
        <v>5879</v>
      </c>
      <c r="D198" s="6" t="s">
        <v>42</v>
      </c>
      <c r="E198" s="7">
        <v>44927</v>
      </c>
      <c r="F198" s="8" t="s">
        <v>77</v>
      </c>
      <c r="G198" s="2" t="s">
        <v>26</v>
      </c>
      <c r="H198" s="8" t="s">
        <v>28</v>
      </c>
      <c r="I198" s="2" t="s">
        <v>26</v>
      </c>
      <c r="J198" s="7">
        <v>44927</v>
      </c>
      <c r="K198" s="8" t="s">
        <v>77</v>
      </c>
      <c r="L198" s="2" t="s">
        <v>26</v>
      </c>
      <c r="M198" s="8" t="s">
        <v>28</v>
      </c>
      <c r="N198" s="6" t="s">
        <v>2264</v>
      </c>
      <c r="O198" s="6" t="s">
        <v>30</v>
      </c>
      <c r="P198" s="2" t="s">
        <v>10507</v>
      </c>
    </row>
    <row r="199" spans="1:16" ht="13.15" x14ac:dyDescent="0.4">
      <c r="A199" s="2" t="s">
        <v>10346</v>
      </c>
      <c r="B199" s="2" t="s">
        <v>5880</v>
      </c>
      <c r="C199" s="6" t="s">
        <v>5879</v>
      </c>
      <c r="D199" s="6" t="s">
        <v>42</v>
      </c>
      <c r="E199" s="7">
        <v>44927</v>
      </c>
      <c r="F199" s="8" t="s">
        <v>77</v>
      </c>
      <c r="G199" s="2" t="s">
        <v>26</v>
      </c>
      <c r="H199" s="8" t="s">
        <v>28</v>
      </c>
      <c r="I199" s="2" t="s">
        <v>26</v>
      </c>
      <c r="J199" s="7">
        <v>44927</v>
      </c>
      <c r="K199" s="8" t="s">
        <v>77</v>
      </c>
      <c r="L199" s="2" t="s">
        <v>26</v>
      </c>
      <c r="M199" s="8" t="s">
        <v>28</v>
      </c>
      <c r="N199" s="6" t="s">
        <v>2264</v>
      </c>
      <c r="O199" s="6" t="s">
        <v>30</v>
      </c>
      <c r="P199" s="2" t="s">
        <v>10534</v>
      </c>
    </row>
    <row r="200" spans="1:16" ht="13.15" x14ac:dyDescent="0.4">
      <c r="A200" s="2" t="s">
        <v>10402</v>
      </c>
      <c r="B200" s="2" t="s">
        <v>5880</v>
      </c>
      <c r="C200" s="6" t="s">
        <v>5879</v>
      </c>
      <c r="D200" s="6" t="s">
        <v>42</v>
      </c>
      <c r="E200" s="7">
        <v>44927</v>
      </c>
      <c r="F200" s="8" t="s">
        <v>77</v>
      </c>
      <c r="G200" s="2" t="s">
        <v>26</v>
      </c>
      <c r="H200" s="8" t="s">
        <v>28</v>
      </c>
      <c r="I200" s="2" t="s">
        <v>26</v>
      </c>
      <c r="J200" s="7">
        <v>44927</v>
      </c>
      <c r="K200" s="8" t="s">
        <v>77</v>
      </c>
      <c r="L200" s="2" t="s">
        <v>26</v>
      </c>
      <c r="M200" s="8" t="s">
        <v>28</v>
      </c>
      <c r="N200" s="6" t="s">
        <v>2264</v>
      </c>
      <c r="O200" s="6" t="s">
        <v>30</v>
      </c>
      <c r="P200" s="2" t="s">
        <v>10596</v>
      </c>
    </row>
    <row r="201" spans="1:16" ht="13.15" x14ac:dyDescent="0.4">
      <c r="A201" s="2" t="s">
        <v>7846</v>
      </c>
      <c r="B201" s="2" t="s">
        <v>5880</v>
      </c>
      <c r="C201" s="6" t="s">
        <v>5879</v>
      </c>
      <c r="D201" s="6" t="s">
        <v>42</v>
      </c>
      <c r="E201" s="7">
        <v>44927</v>
      </c>
      <c r="F201" s="8" t="s">
        <v>77</v>
      </c>
      <c r="G201" s="2" t="s">
        <v>26</v>
      </c>
      <c r="H201" s="8" t="s">
        <v>28</v>
      </c>
      <c r="I201" s="2" t="s">
        <v>26</v>
      </c>
      <c r="J201" s="7">
        <v>44927</v>
      </c>
      <c r="K201" s="8" t="s">
        <v>77</v>
      </c>
      <c r="L201" s="2" t="s">
        <v>26</v>
      </c>
      <c r="M201" s="8" t="s">
        <v>28</v>
      </c>
      <c r="N201" s="6" t="s">
        <v>2264</v>
      </c>
      <c r="O201" s="6" t="s">
        <v>30</v>
      </c>
      <c r="P201" s="2" t="s">
        <v>10529</v>
      </c>
    </row>
    <row r="202" spans="1:16" ht="13.15" x14ac:dyDescent="0.4">
      <c r="A202" s="2" t="s">
        <v>10381</v>
      </c>
      <c r="B202" s="2" t="s">
        <v>5880</v>
      </c>
      <c r="C202" s="6" t="s">
        <v>5879</v>
      </c>
      <c r="D202" s="6" t="s">
        <v>42</v>
      </c>
      <c r="E202" s="7">
        <v>44927</v>
      </c>
      <c r="F202" s="8" t="s">
        <v>77</v>
      </c>
      <c r="G202" s="2" t="s">
        <v>26</v>
      </c>
      <c r="H202" s="8" t="s">
        <v>28</v>
      </c>
      <c r="I202" s="2" t="s">
        <v>26</v>
      </c>
      <c r="J202" s="7">
        <v>44927</v>
      </c>
      <c r="K202" s="8" t="s">
        <v>77</v>
      </c>
      <c r="L202" s="2" t="s">
        <v>26</v>
      </c>
      <c r="M202" s="8" t="s">
        <v>28</v>
      </c>
      <c r="N202" s="6" t="s">
        <v>2264</v>
      </c>
      <c r="O202" s="6" t="s">
        <v>30</v>
      </c>
      <c r="P202" s="2" t="s">
        <v>10572</v>
      </c>
    </row>
    <row r="203" spans="1:16" ht="13.15" x14ac:dyDescent="0.4">
      <c r="A203" s="2" t="s">
        <v>10434</v>
      </c>
      <c r="B203" s="2" t="s">
        <v>5880</v>
      </c>
      <c r="C203" s="6" t="s">
        <v>5879</v>
      </c>
      <c r="D203" s="6" t="s">
        <v>42</v>
      </c>
      <c r="E203" s="7">
        <v>44927</v>
      </c>
      <c r="F203" s="8" t="s">
        <v>77</v>
      </c>
      <c r="G203" s="2" t="s">
        <v>26</v>
      </c>
      <c r="H203" s="8" t="s">
        <v>28</v>
      </c>
      <c r="I203" s="2" t="s">
        <v>26</v>
      </c>
      <c r="J203" s="7">
        <v>44927</v>
      </c>
      <c r="K203" s="8" t="s">
        <v>77</v>
      </c>
      <c r="L203" s="2" t="s">
        <v>26</v>
      </c>
      <c r="M203" s="8" t="s">
        <v>28</v>
      </c>
      <c r="N203" s="6" t="s">
        <v>2264</v>
      </c>
      <c r="O203" s="6" t="s">
        <v>30</v>
      </c>
      <c r="P203" s="2" t="s">
        <v>10632</v>
      </c>
    </row>
    <row r="204" spans="1:16" ht="13.15" x14ac:dyDescent="0.4">
      <c r="A204" s="2" t="s">
        <v>9804</v>
      </c>
      <c r="B204" s="2" t="s">
        <v>5880</v>
      </c>
      <c r="C204" s="6" t="s">
        <v>5879</v>
      </c>
      <c r="D204" s="6" t="s">
        <v>42</v>
      </c>
      <c r="E204" s="7">
        <v>44927</v>
      </c>
      <c r="F204" s="8" t="s">
        <v>77</v>
      </c>
      <c r="G204" s="2" t="s">
        <v>26</v>
      </c>
      <c r="H204" s="8" t="s">
        <v>28</v>
      </c>
      <c r="I204" s="2" t="s">
        <v>26</v>
      </c>
      <c r="J204" s="7">
        <v>44927</v>
      </c>
      <c r="K204" s="8" t="s">
        <v>77</v>
      </c>
      <c r="L204" s="2" t="s">
        <v>26</v>
      </c>
      <c r="M204" s="8" t="s">
        <v>28</v>
      </c>
      <c r="N204" s="6" t="s">
        <v>2264</v>
      </c>
      <c r="O204" s="6" t="s">
        <v>30</v>
      </c>
      <c r="P204" s="2" t="s">
        <v>10568</v>
      </c>
    </row>
    <row r="205" spans="1:16" ht="13.15" x14ac:dyDescent="0.4">
      <c r="A205" s="2" t="s">
        <v>10418</v>
      </c>
      <c r="B205" s="2" t="s">
        <v>5880</v>
      </c>
      <c r="C205" s="6" t="s">
        <v>5879</v>
      </c>
      <c r="D205" s="6" t="s">
        <v>42</v>
      </c>
      <c r="E205" s="7">
        <v>44927</v>
      </c>
      <c r="F205" s="8" t="s">
        <v>77</v>
      </c>
      <c r="G205" s="2" t="s">
        <v>26</v>
      </c>
      <c r="H205" s="8" t="s">
        <v>28</v>
      </c>
      <c r="I205" s="2" t="s">
        <v>26</v>
      </c>
      <c r="J205" s="7">
        <v>44927</v>
      </c>
      <c r="K205" s="8" t="s">
        <v>77</v>
      </c>
      <c r="L205" s="2" t="s">
        <v>26</v>
      </c>
      <c r="M205" s="8" t="s">
        <v>28</v>
      </c>
      <c r="N205" s="6" t="s">
        <v>2264</v>
      </c>
      <c r="O205" s="6" t="s">
        <v>30</v>
      </c>
      <c r="P205" s="2" t="s">
        <v>10613</v>
      </c>
    </row>
    <row r="206" spans="1:16" ht="13.15" x14ac:dyDescent="0.4">
      <c r="A206" s="2" t="s">
        <v>10417</v>
      </c>
      <c r="B206" s="2" t="s">
        <v>5880</v>
      </c>
      <c r="C206" s="6" t="s">
        <v>5879</v>
      </c>
      <c r="D206" s="6" t="s">
        <v>42</v>
      </c>
      <c r="E206" s="7">
        <v>44927</v>
      </c>
      <c r="F206" s="8" t="s">
        <v>77</v>
      </c>
      <c r="G206" s="2" t="s">
        <v>26</v>
      </c>
      <c r="H206" s="8" t="s">
        <v>28</v>
      </c>
      <c r="I206" s="2" t="s">
        <v>26</v>
      </c>
      <c r="J206" s="7">
        <v>44927</v>
      </c>
      <c r="K206" s="8" t="s">
        <v>77</v>
      </c>
      <c r="L206" s="2" t="s">
        <v>26</v>
      </c>
      <c r="M206" s="8" t="s">
        <v>28</v>
      </c>
      <c r="N206" s="6" t="s">
        <v>2264</v>
      </c>
      <c r="O206" s="6" t="s">
        <v>30</v>
      </c>
      <c r="P206" s="2" t="s">
        <v>10612</v>
      </c>
    </row>
    <row r="207" spans="1:16" ht="13.15" x14ac:dyDescent="0.4">
      <c r="A207" s="2" t="s">
        <v>10372</v>
      </c>
      <c r="B207" s="2" t="s">
        <v>5880</v>
      </c>
      <c r="C207" s="6" t="s">
        <v>5879</v>
      </c>
      <c r="D207" s="6" t="s">
        <v>42</v>
      </c>
      <c r="E207" s="7">
        <v>44927</v>
      </c>
      <c r="F207" s="8" t="s">
        <v>77</v>
      </c>
      <c r="G207" s="2" t="s">
        <v>26</v>
      </c>
      <c r="H207" s="8" t="s">
        <v>28</v>
      </c>
      <c r="I207" s="2" t="s">
        <v>26</v>
      </c>
      <c r="J207" s="7">
        <v>44927</v>
      </c>
      <c r="K207" s="8" t="s">
        <v>77</v>
      </c>
      <c r="L207" s="2" t="s">
        <v>26</v>
      </c>
      <c r="M207" s="8" t="s">
        <v>28</v>
      </c>
      <c r="N207" s="6" t="s">
        <v>2264</v>
      </c>
      <c r="O207" s="6" t="s">
        <v>30</v>
      </c>
      <c r="P207" s="2" t="s">
        <v>10562</v>
      </c>
    </row>
    <row r="208" spans="1:16" ht="13.15" x14ac:dyDescent="0.4">
      <c r="A208" s="2" t="s">
        <v>10400</v>
      </c>
      <c r="B208" s="2" t="s">
        <v>5880</v>
      </c>
      <c r="C208" s="6" t="s">
        <v>5879</v>
      </c>
      <c r="D208" s="6" t="s">
        <v>42</v>
      </c>
      <c r="E208" s="7">
        <v>44927</v>
      </c>
      <c r="F208" s="8" t="s">
        <v>77</v>
      </c>
      <c r="G208" s="2" t="s">
        <v>26</v>
      </c>
      <c r="H208" s="8" t="s">
        <v>28</v>
      </c>
      <c r="I208" s="2" t="s">
        <v>26</v>
      </c>
      <c r="J208" s="7">
        <v>44927</v>
      </c>
      <c r="K208" s="8" t="s">
        <v>77</v>
      </c>
      <c r="L208" s="2" t="s">
        <v>26</v>
      </c>
      <c r="M208" s="8" t="s">
        <v>28</v>
      </c>
      <c r="N208" s="6" t="s">
        <v>2264</v>
      </c>
      <c r="O208" s="6" t="s">
        <v>30</v>
      </c>
      <c r="P208" s="2" t="s">
        <v>10593</v>
      </c>
    </row>
    <row r="209" spans="1:16" ht="13.15" x14ac:dyDescent="0.4">
      <c r="A209" s="2" t="s">
        <v>10318</v>
      </c>
      <c r="B209" s="2" t="s">
        <v>5880</v>
      </c>
      <c r="C209" s="6" t="s">
        <v>5879</v>
      </c>
      <c r="D209" s="6" t="s">
        <v>42</v>
      </c>
      <c r="E209" s="7">
        <v>44927</v>
      </c>
      <c r="F209" s="8" t="s">
        <v>77</v>
      </c>
      <c r="G209" s="2" t="s">
        <v>26</v>
      </c>
      <c r="H209" s="8" t="s">
        <v>28</v>
      </c>
      <c r="I209" s="2" t="s">
        <v>26</v>
      </c>
      <c r="J209" s="7">
        <v>44927</v>
      </c>
      <c r="K209" s="8" t="s">
        <v>77</v>
      </c>
      <c r="L209" s="2" t="s">
        <v>26</v>
      </c>
      <c r="M209" s="8" t="s">
        <v>28</v>
      </c>
      <c r="N209" s="6" t="s">
        <v>2264</v>
      </c>
      <c r="O209" s="6" t="s">
        <v>30</v>
      </c>
      <c r="P209" s="2" t="s">
        <v>10499</v>
      </c>
    </row>
    <row r="210" spans="1:16" ht="13.15" x14ac:dyDescent="0.4">
      <c r="A210" s="2" t="s">
        <v>10349</v>
      </c>
      <c r="B210" s="2" t="s">
        <v>5880</v>
      </c>
      <c r="C210" s="6" t="s">
        <v>5879</v>
      </c>
      <c r="D210" s="6" t="s">
        <v>42</v>
      </c>
      <c r="E210" s="7">
        <v>44927</v>
      </c>
      <c r="F210" s="8" t="s">
        <v>77</v>
      </c>
      <c r="G210" s="2" t="s">
        <v>26</v>
      </c>
      <c r="H210" s="8" t="s">
        <v>28</v>
      </c>
      <c r="I210" s="2" t="s">
        <v>26</v>
      </c>
      <c r="J210" s="7">
        <v>44927</v>
      </c>
      <c r="K210" s="8" t="s">
        <v>77</v>
      </c>
      <c r="L210" s="2" t="s">
        <v>26</v>
      </c>
      <c r="M210" s="8" t="s">
        <v>28</v>
      </c>
      <c r="N210" s="6" t="s">
        <v>2264</v>
      </c>
      <c r="O210" s="6" t="s">
        <v>30</v>
      </c>
      <c r="P210" s="2" t="s">
        <v>10537</v>
      </c>
    </row>
    <row r="211" spans="1:16" ht="13.15" x14ac:dyDescent="0.4">
      <c r="A211" s="2" t="s">
        <v>9837</v>
      </c>
      <c r="B211" s="2" t="s">
        <v>5880</v>
      </c>
      <c r="C211" s="6" t="s">
        <v>5879</v>
      </c>
      <c r="D211" s="6" t="s">
        <v>42</v>
      </c>
      <c r="E211" s="7">
        <v>44927</v>
      </c>
      <c r="F211" s="8" t="s">
        <v>77</v>
      </c>
      <c r="G211" s="2" t="s">
        <v>26</v>
      </c>
      <c r="H211" s="8" t="s">
        <v>28</v>
      </c>
      <c r="I211" s="2" t="s">
        <v>26</v>
      </c>
      <c r="J211" s="7">
        <v>44927</v>
      </c>
      <c r="K211" s="8" t="s">
        <v>77</v>
      </c>
      <c r="L211" s="2" t="s">
        <v>26</v>
      </c>
      <c r="M211" s="8" t="s">
        <v>28</v>
      </c>
      <c r="N211" s="6" t="s">
        <v>2264</v>
      </c>
      <c r="O211" s="6" t="s">
        <v>30</v>
      </c>
      <c r="P211" s="2" t="s">
        <v>10628</v>
      </c>
    </row>
    <row r="212" spans="1:16" ht="13.15" x14ac:dyDescent="0.4">
      <c r="A212" s="2" t="s">
        <v>10347</v>
      </c>
      <c r="B212" s="2" t="s">
        <v>5880</v>
      </c>
      <c r="C212" s="6" t="s">
        <v>5879</v>
      </c>
      <c r="D212" s="6" t="s">
        <v>42</v>
      </c>
      <c r="E212" s="7">
        <v>44927</v>
      </c>
      <c r="F212" s="8" t="s">
        <v>77</v>
      </c>
      <c r="G212" s="2" t="s">
        <v>26</v>
      </c>
      <c r="H212" s="8" t="s">
        <v>28</v>
      </c>
      <c r="I212" s="2" t="s">
        <v>26</v>
      </c>
      <c r="J212" s="7">
        <v>44927</v>
      </c>
      <c r="K212" s="8" t="s">
        <v>77</v>
      </c>
      <c r="L212" s="2" t="s">
        <v>26</v>
      </c>
      <c r="M212" s="8" t="s">
        <v>28</v>
      </c>
      <c r="N212" s="6" t="s">
        <v>2264</v>
      </c>
      <c r="O212" s="6" t="s">
        <v>30</v>
      </c>
      <c r="P212" s="2" t="s">
        <v>10535</v>
      </c>
    </row>
    <row r="213" spans="1:16" ht="13.15" x14ac:dyDescent="0.4">
      <c r="A213" s="2" t="s">
        <v>6780</v>
      </c>
      <c r="B213" s="2" t="s">
        <v>5880</v>
      </c>
      <c r="C213" s="6" t="s">
        <v>5879</v>
      </c>
      <c r="D213" s="6" t="s">
        <v>42</v>
      </c>
      <c r="E213" s="7">
        <v>44927</v>
      </c>
      <c r="F213" s="8" t="s">
        <v>77</v>
      </c>
      <c r="G213" s="2" t="s">
        <v>26</v>
      </c>
      <c r="H213" s="8" t="s">
        <v>28</v>
      </c>
      <c r="I213" s="2" t="s">
        <v>26</v>
      </c>
      <c r="J213" s="7">
        <v>44927</v>
      </c>
      <c r="K213" s="8" t="s">
        <v>77</v>
      </c>
      <c r="L213" s="2" t="s">
        <v>26</v>
      </c>
      <c r="M213" s="8" t="s">
        <v>28</v>
      </c>
      <c r="N213" s="6" t="s">
        <v>2264</v>
      </c>
      <c r="O213" s="6" t="s">
        <v>30</v>
      </c>
      <c r="P213" s="2" t="s">
        <v>10620</v>
      </c>
    </row>
    <row r="214" spans="1:16" ht="13.15" x14ac:dyDescent="0.4">
      <c r="A214" s="2" t="s">
        <v>10358</v>
      </c>
      <c r="B214" s="2" t="s">
        <v>5880</v>
      </c>
      <c r="C214" s="6" t="s">
        <v>5879</v>
      </c>
      <c r="D214" s="6" t="s">
        <v>42</v>
      </c>
      <c r="E214" s="7">
        <v>44927</v>
      </c>
      <c r="F214" s="8" t="s">
        <v>77</v>
      </c>
      <c r="G214" s="2" t="s">
        <v>26</v>
      </c>
      <c r="H214" s="8" t="s">
        <v>28</v>
      </c>
      <c r="I214" s="2" t="s">
        <v>26</v>
      </c>
      <c r="J214" s="7">
        <v>44927</v>
      </c>
      <c r="K214" s="8" t="s">
        <v>77</v>
      </c>
      <c r="L214" s="2" t="s">
        <v>26</v>
      </c>
      <c r="M214" s="8" t="s">
        <v>28</v>
      </c>
      <c r="N214" s="6" t="s">
        <v>2264</v>
      </c>
      <c r="O214" s="6" t="s">
        <v>30</v>
      </c>
      <c r="P214" s="2" t="s">
        <v>10548</v>
      </c>
    </row>
    <row r="215" spans="1:16" ht="13.15" x14ac:dyDescent="0.4">
      <c r="A215" s="2" t="s">
        <v>10320</v>
      </c>
      <c r="B215" s="2" t="s">
        <v>5880</v>
      </c>
      <c r="C215" s="6" t="s">
        <v>5879</v>
      </c>
      <c r="D215" s="6" t="s">
        <v>42</v>
      </c>
      <c r="E215" s="7">
        <v>44927</v>
      </c>
      <c r="F215" s="8" t="s">
        <v>77</v>
      </c>
      <c r="G215" s="2" t="s">
        <v>26</v>
      </c>
      <c r="H215" s="8" t="s">
        <v>28</v>
      </c>
      <c r="I215" s="2" t="s">
        <v>26</v>
      </c>
      <c r="J215" s="7">
        <v>44927</v>
      </c>
      <c r="K215" s="8" t="s">
        <v>77</v>
      </c>
      <c r="L215" s="2" t="s">
        <v>26</v>
      </c>
      <c r="M215" s="8" t="s">
        <v>28</v>
      </c>
      <c r="N215" s="6" t="s">
        <v>2264</v>
      </c>
      <c r="O215" s="6" t="s">
        <v>30</v>
      </c>
      <c r="P215" s="2" t="s">
        <v>10501</v>
      </c>
    </row>
    <row r="216" spans="1:16" ht="13.15" x14ac:dyDescent="0.4">
      <c r="A216" s="2" t="s">
        <v>10321</v>
      </c>
      <c r="B216" s="2" t="s">
        <v>5880</v>
      </c>
      <c r="C216" s="6" t="s">
        <v>5879</v>
      </c>
      <c r="D216" s="6" t="s">
        <v>42</v>
      </c>
      <c r="E216" s="7">
        <v>44927</v>
      </c>
      <c r="F216" s="8" t="s">
        <v>77</v>
      </c>
      <c r="G216" s="2" t="s">
        <v>26</v>
      </c>
      <c r="H216" s="8" t="s">
        <v>28</v>
      </c>
      <c r="I216" s="2" t="s">
        <v>26</v>
      </c>
      <c r="J216" s="7">
        <v>44927</v>
      </c>
      <c r="K216" s="8" t="s">
        <v>77</v>
      </c>
      <c r="L216" s="2" t="s">
        <v>26</v>
      </c>
      <c r="M216" s="8" t="s">
        <v>28</v>
      </c>
      <c r="N216" s="6" t="s">
        <v>2264</v>
      </c>
      <c r="O216" s="6" t="s">
        <v>30</v>
      </c>
      <c r="P216" s="2" t="s">
        <v>10502</v>
      </c>
    </row>
    <row r="217" spans="1:16" ht="13.15" x14ac:dyDescent="0.4">
      <c r="A217" s="2" t="s">
        <v>10394</v>
      </c>
      <c r="B217" s="2" t="s">
        <v>5880</v>
      </c>
      <c r="C217" s="6" t="s">
        <v>5879</v>
      </c>
      <c r="D217" s="6" t="s">
        <v>42</v>
      </c>
      <c r="E217" s="7">
        <v>44927</v>
      </c>
      <c r="F217" s="8" t="s">
        <v>77</v>
      </c>
      <c r="G217" s="2" t="s">
        <v>26</v>
      </c>
      <c r="H217" s="8" t="s">
        <v>28</v>
      </c>
      <c r="I217" s="2" t="s">
        <v>26</v>
      </c>
      <c r="J217" s="7">
        <v>44927</v>
      </c>
      <c r="K217" s="8" t="s">
        <v>77</v>
      </c>
      <c r="L217" s="2" t="s">
        <v>26</v>
      </c>
      <c r="M217" s="8" t="s">
        <v>28</v>
      </c>
      <c r="N217" s="6" t="s">
        <v>2264</v>
      </c>
      <c r="O217" s="6" t="s">
        <v>30</v>
      </c>
      <c r="P217" s="2" t="s">
        <v>10586</v>
      </c>
    </row>
    <row r="218" spans="1:16" ht="13.15" x14ac:dyDescent="0.4">
      <c r="A218" s="2" t="s">
        <v>10393</v>
      </c>
      <c r="B218" s="2" t="s">
        <v>5880</v>
      </c>
      <c r="C218" s="6" t="s">
        <v>5879</v>
      </c>
      <c r="D218" s="6" t="s">
        <v>42</v>
      </c>
      <c r="E218" s="7">
        <v>44927</v>
      </c>
      <c r="F218" s="8" t="s">
        <v>77</v>
      </c>
      <c r="G218" s="2" t="s">
        <v>26</v>
      </c>
      <c r="H218" s="8" t="s">
        <v>28</v>
      </c>
      <c r="I218" s="2" t="s">
        <v>26</v>
      </c>
      <c r="J218" s="7">
        <v>44927</v>
      </c>
      <c r="K218" s="8" t="s">
        <v>77</v>
      </c>
      <c r="L218" s="2" t="s">
        <v>26</v>
      </c>
      <c r="M218" s="8" t="s">
        <v>28</v>
      </c>
      <c r="N218" s="6" t="s">
        <v>2264</v>
      </c>
      <c r="O218" s="6" t="s">
        <v>30</v>
      </c>
      <c r="P218" s="2" t="s">
        <v>10585</v>
      </c>
    </row>
    <row r="219" spans="1:16" ht="13.15" x14ac:dyDescent="0.4">
      <c r="A219" s="2" t="s">
        <v>10431</v>
      </c>
      <c r="B219" s="2" t="s">
        <v>5880</v>
      </c>
      <c r="C219" s="6" t="s">
        <v>5879</v>
      </c>
      <c r="D219" s="6" t="s">
        <v>42</v>
      </c>
      <c r="E219" s="7">
        <v>44927</v>
      </c>
      <c r="F219" s="8" t="s">
        <v>77</v>
      </c>
      <c r="G219" s="2" t="s">
        <v>26</v>
      </c>
      <c r="H219" s="8" t="s">
        <v>28</v>
      </c>
      <c r="I219" s="2" t="s">
        <v>26</v>
      </c>
      <c r="J219" s="7">
        <v>44927</v>
      </c>
      <c r="K219" s="8" t="s">
        <v>77</v>
      </c>
      <c r="L219" s="2" t="s">
        <v>26</v>
      </c>
      <c r="M219" s="8" t="s">
        <v>28</v>
      </c>
      <c r="N219" s="6" t="s">
        <v>2264</v>
      </c>
      <c r="O219" s="6" t="s">
        <v>30</v>
      </c>
      <c r="P219" s="2" t="s">
        <v>10629</v>
      </c>
    </row>
    <row r="220" spans="1:16" ht="13.15" x14ac:dyDescent="0.4">
      <c r="A220" s="2" t="s">
        <v>10323</v>
      </c>
      <c r="B220" s="2" t="s">
        <v>5880</v>
      </c>
      <c r="C220" s="6" t="s">
        <v>5879</v>
      </c>
      <c r="D220" s="6" t="s">
        <v>42</v>
      </c>
      <c r="E220" s="7">
        <v>44927</v>
      </c>
      <c r="F220" s="8" t="s">
        <v>77</v>
      </c>
      <c r="G220" s="2" t="s">
        <v>26</v>
      </c>
      <c r="H220" s="8" t="s">
        <v>28</v>
      </c>
      <c r="I220" s="2" t="s">
        <v>26</v>
      </c>
      <c r="J220" s="7">
        <v>44927</v>
      </c>
      <c r="K220" s="8" t="s">
        <v>77</v>
      </c>
      <c r="L220" s="2" t="s">
        <v>26</v>
      </c>
      <c r="M220" s="8" t="s">
        <v>28</v>
      </c>
      <c r="N220" s="6" t="s">
        <v>2264</v>
      </c>
      <c r="O220" s="6" t="s">
        <v>30</v>
      </c>
      <c r="P220" s="2" t="s">
        <v>10504</v>
      </c>
    </row>
    <row r="221" spans="1:16" ht="13.15" x14ac:dyDescent="0.4">
      <c r="A221" s="2" t="s">
        <v>10421</v>
      </c>
      <c r="B221" s="2" t="s">
        <v>5880</v>
      </c>
      <c r="C221" s="6" t="s">
        <v>5879</v>
      </c>
      <c r="D221" s="6" t="s">
        <v>42</v>
      </c>
      <c r="E221" s="7">
        <v>44927</v>
      </c>
      <c r="F221" s="8" t="s">
        <v>77</v>
      </c>
      <c r="G221" s="2" t="s">
        <v>26</v>
      </c>
      <c r="H221" s="8" t="s">
        <v>28</v>
      </c>
      <c r="I221" s="2" t="s">
        <v>26</v>
      </c>
      <c r="J221" s="7">
        <v>44927</v>
      </c>
      <c r="K221" s="8" t="s">
        <v>77</v>
      </c>
      <c r="L221" s="2" t="s">
        <v>26</v>
      </c>
      <c r="M221" s="8" t="s">
        <v>28</v>
      </c>
      <c r="N221" s="6" t="s">
        <v>2264</v>
      </c>
      <c r="O221" s="6" t="s">
        <v>30</v>
      </c>
      <c r="P221" s="2" t="s">
        <v>10617</v>
      </c>
    </row>
    <row r="222" spans="1:16" ht="13.15" x14ac:dyDescent="0.4">
      <c r="A222" s="2" t="s">
        <v>10363</v>
      </c>
      <c r="B222" s="2" t="s">
        <v>5880</v>
      </c>
      <c r="C222" s="6" t="s">
        <v>5879</v>
      </c>
      <c r="D222" s="6" t="s">
        <v>42</v>
      </c>
      <c r="E222" s="7">
        <v>44927</v>
      </c>
      <c r="F222" s="8" t="s">
        <v>77</v>
      </c>
      <c r="G222" s="2" t="s">
        <v>26</v>
      </c>
      <c r="H222" s="8" t="s">
        <v>28</v>
      </c>
      <c r="I222" s="2" t="s">
        <v>26</v>
      </c>
      <c r="J222" s="7">
        <v>44927</v>
      </c>
      <c r="K222" s="8" t="s">
        <v>77</v>
      </c>
      <c r="L222" s="2" t="s">
        <v>26</v>
      </c>
      <c r="M222" s="8" t="s">
        <v>28</v>
      </c>
      <c r="N222" s="6" t="s">
        <v>2264</v>
      </c>
      <c r="O222" s="6" t="s">
        <v>30</v>
      </c>
      <c r="P222" s="2" t="s">
        <v>10553</v>
      </c>
    </row>
    <row r="223" spans="1:16" ht="13.15" x14ac:dyDescent="0.4">
      <c r="A223" s="2" t="s">
        <v>9692</v>
      </c>
      <c r="B223" s="2" t="s">
        <v>5880</v>
      </c>
      <c r="C223" s="6" t="s">
        <v>5879</v>
      </c>
      <c r="D223" s="6" t="s">
        <v>42</v>
      </c>
      <c r="E223" s="7">
        <v>44927</v>
      </c>
      <c r="F223" s="8" t="s">
        <v>77</v>
      </c>
      <c r="G223" s="2" t="s">
        <v>26</v>
      </c>
      <c r="H223" s="8" t="s">
        <v>28</v>
      </c>
      <c r="I223" s="2" t="s">
        <v>26</v>
      </c>
      <c r="J223" s="7">
        <v>44927</v>
      </c>
      <c r="K223" s="8" t="s">
        <v>77</v>
      </c>
      <c r="L223" s="2" t="s">
        <v>26</v>
      </c>
      <c r="M223" s="8" t="s">
        <v>28</v>
      </c>
      <c r="N223" s="6" t="s">
        <v>2264</v>
      </c>
      <c r="O223" s="6" t="s">
        <v>30</v>
      </c>
      <c r="P223" s="2" t="s">
        <v>10516</v>
      </c>
    </row>
    <row r="224" spans="1:16" ht="13.15" x14ac:dyDescent="0.4">
      <c r="A224" s="2" t="s">
        <v>10396</v>
      </c>
      <c r="B224" s="2" t="s">
        <v>5880</v>
      </c>
      <c r="C224" s="6" t="s">
        <v>5879</v>
      </c>
      <c r="D224" s="6" t="s">
        <v>42</v>
      </c>
      <c r="E224" s="7">
        <v>44927</v>
      </c>
      <c r="F224" s="8" t="s">
        <v>77</v>
      </c>
      <c r="G224" s="2" t="s">
        <v>26</v>
      </c>
      <c r="H224" s="8" t="s">
        <v>28</v>
      </c>
      <c r="I224" s="2" t="s">
        <v>26</v>
      </c>
      <c r="J224" s="7">
        <v>44927</v>
      </c>
      <c r="K224" s="8" t="s">
        <v>77</v>
      </c>
      <c r="L224" s="2" t="s">
        <v>26</v>
      </c>
      <c r="M224" s="8" t="s">
        <v>28</v>
      </c>
      <c r="N224" s="6" t="s">
        <v>2264</v>
      </c>
      <c r="O224" s="6" t="s">
        <v>30</v>
      </c>
      <c r="P224" s="2" t="s">
        <v>10589</v>
      </c>
    </row>
    <row r="225" spans="1:16" ht="13.15" x14ac:dyDescent="0.4">
      <c r="A225" s="2" t="s">
        <v>10357</v>
      </c>
      <c r="B225" s="2" t="s">
        <v>5880</v>
      </c>
      <c r="C225" s="6" t="s">
        <v>5879</v>
      </c>
      <c r="D225" s="6" t="s">
        <v>42</v>
      </c>
      <c r="E225" s="7">
        <v>44927</v>
      </c>
      <c r="F225" s="8" t="s">
        <v>77</v>
      </c>
      <c r="G225" s="2" t="s">
        <v>26</v>
      </c>
      <c r="H225" s="8" t="s">
        <v>28</v>
      </c>
      <c r="I225" s="2" t="s">
        <v>26</v>
      </c>
      <c r="J225" s="7">
        <v>44927</v>
      </c>
      <c r="K225" s="8" t="s">
        <v>77</v>
      </c>
      <c r="L225" s="2" t="s">
        <v>26</v>
      </c>
      <c r="M225" s="8" t="s">
        <v>28</v>
      </c>
      <c r="N225" s="6" t="s">
        <v>2264</v>
      </c>
      <c r="O225" s="6" t="s">
        <v>30</v>
      </c>
      <c r="P225" s="2" t="s">
        <v>10547</v>
      </c>
    </row>
    <row r="226" spans="1:16" ht="13.15" x14ac:dyDescent="0.4">
      <c r="A226" s="2" t="s">
        <v>9975</v>
      </c>
      <c r="B226" s="2" t="s">
        <v>5880</v>
      </c>
      <c r="C226" s="6" t="s">
        <v>5879</v>
      </c>
      <c r="D226" s="6" t="s">
        <v>42</v>
      </c>
      <c r="E226" s="7">
        <v>44927</v>
      </c>
      <c r="F226" s="8" t="s">
        <v>77</v>
      </c>
      <c r="G226" s="2" t="s">
        <v>26</v>
      </c>
      <c r="H226" s="8" t="s">
        <v>28</v>
      </c>
      <c r="I226" s="2" t="s">
        <v>26</v>
      </c>
      <c r="J226" s="7">
        <v>44927</v>
      </c>
      <c r="K226" s="8" t="s">
        <v>77</v>
      </c>
      <c r="L226" s="2" t="s">
        <v>26</v>
      </c>
      <c r="M226" s="8" t="s">
        <v>28</v>
      </c>
      <c r="N226" s="6" t="s">
        <v>2264</v>
      </c>
      <c r="O226" s="6" t="s">
        <v>30</v>
      </c>
      <c r="P226" s="2" t="s">
        <v>10519</v>
      </c>
    </row>
    <row r="227" spans="1:16" ht="13.15" x14ac:dyDescent="0.4">
      <c r="A227" s="2" t="s">
        <v>10362</v>
      </c>
      <c r="B227" s="2" t="s">
        <v>5880</v>
      </c>
      <c r="C227" s="6" t="s">
        <v>5879</v>
      </c>
      <c r="D227" s="6" t="s">
        <v>42</v>
      </c>
      <c r="E227" s="7">
        <v>44927</v>
      </c>
      <c r="F227" s="8" t="s">
        <v>77</v>
      </c>
      <c r="G227" s="2" t="s">
        <v>26</v>
      </c>
      <c r="H227" s="8" t="s">
        <v>28</v>
      </c>
      <c r="I227" s="2" t="s">
        <v>26</v>
      </c>
      <c r="J227" s="7">
        <v>44927</v>
      </c>
      <c r="K227" s="8" t="s">
        <v>77</v>
      </c>
      <c r="L227" s="2" t="s">
        <v>26</v>
      </c>
      <c r="M227" s="8" t="s">
        <v>28</v>
      </c>
      <c r="N227" s="6" t="s">
        <v>2264</v>
      </c>
      <c r="O227" s="6" t="s">
        <v>30</v>
      </c>
      <c r="P227" s="2" t="s">
        <v>10552</v>
      </c>
    </row>
    <row r="228" spans="1:16" ht="13.15" x14ac:dyDescent="0.4">
      <c r="A228" s="2" t="s">
        <v>10336</v>
      </c>
      <c r="B228" s="2" t="s">
        <v>5880</v>
      </c>
      <c r="C228" s="6" t="s">
        <v>5879</v>
      </c>
      <c r="D228" s="6" t="s">
        <v>42</v>
      </c>
      <c r="E228" s="7">
        <v>44927</v>
      </c>
      <c r="F228" s="8" t="s">
        <v>77</v>
      </c>
      <c r="G228" s="2" t="s">
        <v>26</v>
      </c>
      <c r="H228" s="8" t="s">
        <v>28</v>
      </c>
      <c r="I228" s="2" t="s">
        <v>26</v>
      </c>
      <c r="J228" s="7">
        <v>44927</v>
      </c>
      <c r="K228" s="8" t="s">
        <v>77</v>
      </c>
      <c r="L228" s="2" t="s">
        <v>26</v>
      </c>
      <c r="M228" s="8" t="s">
        <v>28</v>
      </c>
      <c r="N228" s="6" t="s">
        <v>2264</v>
      </c>
      <c r="O228" s="6" t="s">
        <v>30</v>
      </c>
      <c r="P228" s="2" t="s">
        <v>10521</v>
      </c>
    </row>
    <row r="229" spans="1:16" ht="13.15" x14ac:dyDescent="0.4">
      <c r="A229" s="2" t="s">
        <v>10410</v>
      </c>
      <c r="B229" s="2" t="s">
        <v>5880</v>
      </c>
      <c r="C229" s="6" t="s">
        <v>5879</v>
      </c>
      <c r="D229" s="6" t="s">
        <v>42</v>
      </c>
      <c r="E229" s="7">
        <v>44927</v>
      </c>
      <c r="F229" s="8" t="s">
        <v>77</v>
      </c>
      <c r="G229" s="2" t="s">
        <v>26</v>
      </c>
      <c r="H229" s="8" t="s">
        <v>28</v>
      </c>
      <c r="I229" s="2" t="s">
        <v>26</v>
      </c>
      <c r="J229" s="7">
        <v>44927</v>
      </c>
      <c r="K229" s="8" t="s">
        <v>77</v>
      </c>
      <c r="L229" s="2" t="s">
        <v>26</v>
      </c>
      <c r="M229" s="8" t="s">
        <v>28</v>
      </c>
      <c r="N229" s="6" t="s">
        <v>2264</v>
      </c>
      <c r="O229" s="6" t="s">
        <v>30</v>
      </c>
      <c r="P229" s="2" t="s">
        <v>10605</v>
      </c>
    </row>
    <row r="230" spans="1:16" ht="13.15" x14ac:dyDescent="0.4">
      <c r="A230" s="2" t="s">
        <v>10344</v>
      </c>
      <c r="B230" s="2" t="s">
        <v>5880</v>
      </c>
      <c r="C230" s="6" t="s">
        <v>5879</v>
      </c>
      <c r="D230" s="6" t="s">
        <v>42</v>
      </c>
      <c r="E230" s="7">
        <v>44927</v>
      </c>
      <c r="F230" s="8" t="s">
        <v>77</v>
      </c>
      <c r="G230" s="2" t="s">
        <v>26</v>
      </c>
      <c r="H230" s="8" t="s">
        <v>28</v>
      </c>
      <c r="I230" s="2" t="s">
        <v>26</v>
      </c>
      <c r="J230" s="7">
        <v>44927</v>
      </c>
      <c r="K230" s="8" t="s">
        <v>77</v>
      </c>
      <c r="L230" s="2" t="s">
        <v>26</v>
      </c>
      <c r="M230" s="8" t="s">
        <v>28</v>
      </c>
      <c r="N230" s="6" t="s">
        <v>2264</v>
      </c>
      <c r="O230" s="6" t="s">
        <v>30</v>
      </c>
      <c r="P230" s="2" t="s">
        <v>10532</v>
      </c>
    </row>
    <row r="231" spans="1:16" ht="13.15" x14ac:dyDescent="0.4">
      <c r="A231" s="2" t="s">
        <v>10432</v>
      </c>
      <c r="B231" s="2" t="s">
        <v>5880</v>
      </c>
      <c r="C231" s="6" t="s">
        <v>5879</v>
      </c>
      <c r="D231" s="6" t="s">
        <v>42</v>
      </c>
      <c r="E231" s="7">
        <v>44927</v>
      </c>
      <c r="F231" s="8" t="s">
        <v>77</v>
      </c>
      <c r="G231" s="2" t="s">
        <v>26</v>
      </c>
      <c r="H231" s="8" t="s">
        <v>28</v>
      </c>
      <c r="I231" s="2" t="s">
        <v>26</v>
      </c>
      <c r="J231" s="7">
        <v>44927</v>
      </c>
      <c r="K231" s="8" t="s">
        <v>77</v>
      </c>
      <c r="L231" s="2" t="s">
        <v>26</v>
      </c>
      <c r="M231" s="8" t="s">
        <v>28</v>
      </c>
      <c r="N231" s="6" t="s">
        <v>2264</v>
      </c>
      <c r="O231" s="6" t="s">
        <v>30</v>
      </c>
      <c r="P231" s="2" t="s">
        <v>10630</v>
      </c>
    </row>
    <row r="232" spans="1:16" ht="13.15" x14ac:dyDescent="0.4">
      <c r="A232" s="2" t="s">
        <v>10322</v>
      </c>
      <c r="B232" s="2" t="s">
        <v>5880</v>
      </c>
      <c r="C232" s="6" t="s">
        <v>5879</v>
      </c>
      <c r="D232" s="6" t="s">
        <v>42</v>
      </c>
      <c r="E232" s="7">
        <v>44927</v>
      </c>
      <c r="F232" s="8" t="s">
        <v>77</v>
      </c>
      <c r="G232" s="2" t="s">
        <v>26</v>
      </c>
      <c r="H232" s="8" t="s">
        <v>28</v>
      </c>
      <c r="I232" s="2" t="s">
        <v>26</v>
      </c>
      <c r="J232" s="7">
        <v>44927</v>
      </c>
      <c r="K232" s="8" t="s">
        <v>77</v>
      </c>
      <c r="L232" s="2" t="s">
        <v>26</v>
      </c>
      <c r="M232" s="8" t="s">
        <v>28</v>
      </c>
      <c r="N232" s="6" t="s">
        <v>2264</v>
      </c>
      <c r="O232" s="6" t="s">
        <v>30</v>
      </c>
      <c r="P232" s="2" t="s">
        <v>10503</v>
      </c>
    </row>
    <row r="233" spans="1:16" ht="13.15" x14ac:dyDescent="0.4">
      <c r="A233" s="2" t="s">
        <v>10361</v>
      </c>
      <c r="B233" s="2" t="s">
        <v>5880</v>
      </c>
      <c r="C233" s="6" t="s">
        <v>5879</v>
      </c>
      <c r="D233" s="6" t="s">
        <v>42</v>
      </c>
      <c r="E233" s="7">
        <v>44927</v>
      </c>
      <c r="F233" s="8" t="s">
        <v>77</v>
      </c>
      <c r="G233" s="2" t="s">
        <v>26</v>
      </c>
      <c r="H233" s="8" t="s">
        <v>28</v>
      </c>
      <c r="I233" s="2" t="s">
        <v>26</v>
      </c>
      <c r="J233" s="7">
        <v>44927</v>
      </c>
      <c r="K233" s="8" t="s">
        <v>77</v>
      </c>
      <c r="L233" s="2" t="s">
        <v>26</v>
      </c>
      <c r="M233" s="8" t="s">
        <v>28</v>
      </c>
      <c r="N233" s="6" t="s">
        <v>2264</v>
      </c>
      <c r="O233" s="6" t="s">
        <v>30</v>
      </c>
      <c r="P233" s="2" t="s">
        <v>10551</v>
      </c>
    </row>
    <row r="234" spans="1:16" ht="13.15" x14ac:dyDescent="0.4">
      <c r="A234" s="2" t="s">
        <v>10305</v>
      </c>
      <c r="B234" s="2" t="s">
        <v>5880</v>
      </c>
      <c r="C234" s="6" t="s">
        <v>5879</v>
      </c>
      <c r="D234" s="6" t="s">
        <v>42</v>
      </c>
      <c r="E234" s="7">
        <v>44927</v>
      </c>
      <c r="F234" s="8" t="s">
        <v>77</v>
      </c>
      <c r="G234" s="2" t="s">
        <v>26</v>
      </c>
      <c r="H234" s="8" t="s">
        <v>28</v>
      </c>
      <c r="I234" s="2" t="s">
        <v>26</v>
      </c>
      <c r="J234" s="7">
        <v>44927</v>
      </c>
      <c r="K234" s="8" t="s">
        <v>77</v>
      </c>
      <c r="L234" s="2" t="s">
        <v>26</v>
      </c>
      <c r="M234" s="8" t="s">
        <v>28</v>
      </c>
      <c r="N234" s="6" t="s">
        <v>2264</v>
      </c>
      <c r="O234" s="6" t="s">
        <v>30</v>
      </c>
      <c r="P234" s="2" t="s">
        <v>10482</v>
      </c>
    </row>
    <row r="235" spans="1:16" ht="13.15" x14ac:dyDescent="0.4">
      <c r="A235" s="2" t="s">
        <v>10419</v>
      </c>
      <c r="B235" s="2" t="s">
        <v>5880</v>
      </c>
      <c r="C235" s="6" t="s">
        <v>5879</v>
      </c>
      <c r="D235" s="6" t="s">
        <v>42</v>
      </c>
      <c r="E235" s="7">
        <v>44927</v>
      </c>
      <c r="F235" s="8" t="s">
        <v>77</v>
      </c>
      <c r="G235" s="2" t="s">
        <v>26</v>
      </c>
      <c r="H235" s="8" t="s">
        <v>28</v>
      </c>
      <c r="I235" s="2" t="s">
        <v>26</v>
      </c>
      <c r="J235" s="7">
        <v>44927</v>
      </c>
      <c r="K235" s="8" t="s">
        <v>77</v>
      </c>
      <c r="L235" s="2" t="s">
        <v>26</v>
      </c>
      <c r="M235" s="8" t="s">
        <v>28</v>
      </c>
      <c r="N235" s="6" t="s">
        <v>2264</v>
      </c>
      <c r="O235" s="6" t="s">
        <v>30</v>
      </c>
      <c r="P235" s="2" t="s">
        <v>10614</v>
      </c>
    </row>
    <row r="236" spans="1:16" ht="13.15" x14ac:dyDescent="0.4">
      <c r="A236" s="2" t="s">
        <v>8277</v>
      </c>
      <c r="B236" s="2" t="s">
        <v>5880</v>
      </c>
      <c r="C236" s="6" t="s">
        <v>5879</v>
      </c>
      <c r="D236" s="6" t="s">
        <v>42</v>
      </c>
      <c r="E236" s="7">
        <v>44927</v>
      </c>
      <c r="F236" s="8" t="s">
        <v>77</v>
      </c>
      <c r="G236" s="2" t="s">
        <v>26</v>
      </c>
      <c r="H236" s="8" t="s">
        <v>28</v>
      </c>
      <c r="I236" s="2" t="s">
        <v>26</v>
      </c>
      <c r="J236" s="7">
        <v>44927</v>
      </c>
      <c r="K236" s="8" t="s">
        <v>77</v>
      </c>
      <c r="L236" s="2" t="s">
        <v>26</v>
      </c>
      <c r="M236" s="8" t="s">
        <v>28</v>
      </c>
      <c r="N236" s="6" t="s">
        <v>2264</v>
      </c>
      <c r="O236" s="6" t="s">
        <v>30</v>
      </c>
      <c r="P236" s="2" t="s">
        <v>10599</v>
      </c>
    </row>
    <row r="237" spans="1:16" ht="13.15" x14ac:dyDescent="0.4">
      <c r="A237" s="2" t="s">
        <v>7756</v>
      </c>
      <c r="B237" s="2" t="s">
        <v>5880</v>
      </c>
      <c r="C237" s="6" t="s">
        <v>5879</v>
      </c>
      <c r="D237" s="6" t="s">
        <v>42</v>
      </c>
      <c r="E237" s="7">
        <v>44927</v>
      </c>
      <c r="F237" s="8" t="s">
        <v>77</v>
      </c>
      <c r="G237" s="2" t="s">
        <v>26</v>
      </c>
      <c r="H237" s="8" t="s">
        <v>28</v>
      </c>
      <c r="I237" s="2" t="s">
        <v>26</v>
      </c>
      <c r="J237" s="7">
        <v>44927</v>
      </c>
      <c r="K237" s="8" t="s">
        <v>77</v>
      </c>
      <c r="L237" s="2" t="s">
        <v>26</v>
      </c>
      <c r="M237" s="8" t="s">
        <v>28</v>
      </c>
      <c r="N237" s="6" t="s">
        <v>2264</v>
      </c>
      <c r="O237" s="6" t="s">
        <v>30</v>
      </c>
      <c r="P237" s="2" t="s">
        <v>10587</v>
      </c>
    </row>
    <row r="238" spans="1:16" ht="13.15" x14ac:dyDescent="0.4">
      <c r="A238" s="2" t="s">
        <v>10338</v>
      </c>
      <c r="B238" s="2" t="s">
        <v>5880</v>
      </c>
      <c r="C238" s="6" t="s">
        <v>5879</v>
      </c>
      <c r="D238" s="6" t="s">
        <v>42</v>
      </c>
      <c r="E238" s="7">
        <v>44927</v>
      </c>
      <c r="F238" s="8" t="s">
        <v>77</v>
      </c>
      <c r="G238" s="2" t="s">
        <v>26</v>
      </c>
      <c r="H238" s="8" t="s">
        <v>28</v>
      </c>
      <c r="I238" s="2" t="s">
        <v>26</v>
      </c>
      <c r="J238" s="7">
        <v>44927</v>
      </c>
      <c r="K238" s="8" t="s">
        <v>77</v>
      </c>
      <c r="L238" s="2" t="s">
        <v>26</v>
      </c>
      <c r="M238" s="8" t="s">
        <v>28</v>
      </c>
      <c r="N238" s="6" t="s">
        <v>2264</v>
      </c>
      <c r="O238" s="6" t="s">
        <v>30</v>
      </c>
      <c r="P238" s="2" t="s">
        <v>10523</v>
      </c>
    </row>
    <row r="239" spans="1:16" ht="13.15" x14ac:dyDescent="0.4">
      <c r="A239" s="2" t="s">
        <v>10389</v>
      </c>
      <c r="B239" s="2" t="s">
        <v>5880</v>
      </c>
      <c r="C239" s="6" t="s">
        <v>5879</v>
      </c>
      <c r="D239" s="6" t="s">
        <v>42</v>
      </c>
      <c r="E239" s="7">
        <v>44927</v>
      </c>
      <c r="F239" s="8" t="s">
        <v>77</v>
      </c>
      <c r="G239" s="2" t="s">
        <v>26</v>
      </c>
      <c r="H239" s="8" t="s">
        <v>28</v>
      </c>
      <c r="I239" s="2" t="s">
        <v>26</v>
      </c>
      <c r="J239" s="7">
        <v>44927</v>
      </c>
      <c r="K239" s="8" t="s">
        <v>77</v>
      </c>
      <c r="L239" s="2" t="s">
        <v>26</v>
      </c>
      <c r="M239" s="8" t="s">
        <v>28</v>
      </c>
      <c r="N239" s="6" t="s">
        <v>2264</v>
      </c>
      <c r="O239" s="6" t="s">
        <v>30</v>
      </c>
      <c r="P239" s="2" t="s">
        <v>10581</v>
      </c>
    </row>
    <row r="240" spans="1:16" ht="13.15" x14ac:dyDescent="0.4">
      <c r="A240" s="2" t="s">
        <v>10332</v>
      </c>
      <c r="B240" s="2" t="s">
        <v>5880</v>
      </c>
      <c r="C240" s="6" t="s">
        <v>5879</v>
      </c>
      <c r="D240" s="6" t="s">
        <v>42</v>
      </c>
      <c r="E240" s="7">
        <v>44927</v>
      </c>
      <c r="F240" s="8" t="s">
        <v>77</v>
      </c>
      <c r="G240" s="2" t="s">
        <v>26</v>
      </c>
      <c r="H240" s="8" t="s">
        <v>28</v>
      </c>
      <c r="I240" s="2" t="s">
        <v>26</v>
      </c>
      <c r="J240" s="7">
        <v>44927</v>
      </c>
      <c r="K240" s="8" t="s">
        <v>77</v>
      </c>
      <c r="L240" s="2" t="s">
        <v>26</v>
      </c>
      <c r="M240" s="8" t="s">
        <v>28</v>
      </c>
      <c r="N240" s="6" t="s">
        <v>2264</v>
      </c>
      <c r="O240" s="6" t="s">
        <v>30</v>
      </c>
      <c r="P240" s="2" t="s">
        <v>10514</v>
      </c>
    </row>
    <row r="241" spans="1:16" ht="13.15" x14ac:dyDescent="0.4">
      <c r="A241" s="2" t="s">
        <v>10370</v>
      </c>
      <c r="B241" s="2" t="s">
        <v>5880</v>
      </c>
      <c r="C241" s="6" t="s">
        <v>5879</v>
      </c>
      <c r="D241" s="6" t="s">
        <v>42</v>
      </c>
      <c r="E241" s="7">
        <v>44927</v>
      </c>
      <c r="F241" s="8" t="s">
        <v>77</v>
      </c>
      <c r="G241" s="2" t="s">
        <v>26</v>
      </c>
      <c r="H241" s="8" t="s">
        <v>28</v>
      </c>
      <c r="I241" s="2" t="s">
        <v>26</v>
      </c>
      <c r="J241" s="7">
        <v>44927</v>
      </c>
      <c r="K241" s="8" t="s">
        <v>77</v>
      </c>
      <c r="L241" s="2" t="s">
        <v>26</v>
      </c>
      <c r="M241" s="8" t="s">
        <v>28</v>
      </c>
      <c r="N241" s="6" t="s">
        <v>2264</v>
      </c>
      <c r="O241" s="6" t="s">
        <v>30</v>
      </c>
      <c r="P241" s="2" t="s">
        <v>10560</v>
      </c>
    </row>
    <row r="242" spans="1:16" ht="13.15" x14ac:dyDescent="0.4">
      <c r="A242" s="2" t="s">
        <v>10306</v>
      </c>
      <c r="B242" s="2" t="s">
        <v>5880</v>
      </c>
      <c r="C242" s="6" t="s">
        <v>5879</v>
      </c>
      <c r="D242" s="6" t="s">
        <v>42</v>
      </c>
      <c r="E242" s="7">
        <v>44927</v>
      </c>
      <c r="F242" s="8" t="s">
        <v>77</v>
      </c>
      <c r="G242" s="2" t="s">
        <v>26</v>
      </c>
      <c r="H242" s="8" t="s">
        <v>28</v>
      </c>
      <c r="I242" s="2" t="s">
        <v>26</v>
      </c>
      <c r="J242" s="7">
        <v>44927</v>
      </c>
      <c r="K242" s="8" t="s">
        <v>77</v>
      </c>
      <c r="L242" s="2" t="s">
        <v>26</v>
      </c>
      <c r="M242" s="8" t="s">
        <v>28</v>
      </c>
      <c r="N242" s="6" t="s">
        <v>2264</v>
      </c>
      <c r="O242" s="6" t="s">
        <v>30</v>
      </c>
      <c r="P242" s="2" t="s">
        <v>10483</v>
      </c>
    </row>
    <row r="243" spans="1:16" ht="13.15" x14ac:dyDescent="0.4">
      <c r="A243" s="2" t="s">
        <v>10375</v>
      </c>
      <c r="B243" s="2" t="s">
        <v>5880</v>
      </c>
      <c r="C243" s="6" t="s">
        <v>5879</v>
      </c>
      <c r="D243" s="6" t="s">
        <v>42</v>
      </c>
      <c r="E243" s="7">
        <v>44927</v>
      </c>
      <c r="F243" s="8" t="s">
        <v>77</v>
      </c>
      <c r="G243" s="2" t="s">
        <v>26</v>
      </c>
      <c r="H243" s="8" t="s">
        <v>28</v>
      </c>
      <c r="I243" s="2" t="s">
        <v>26</v>
      </c>
      <c r="J243" s="7">
        <v>44927</v>
      </c>
      <c r="K243" s="8" t="s">
        <v>77</v>
      </c>
      <c r="L243" s="2" t="s">
        <v>26</v>
      </c>
      <c r="M243" s="8" t="s">
        <v>28</v>
      </c>
      <c r="N243" s="6" t="s">
        <v>2264</v>
      </c>
      <c r="O243" s="6" t="s">
        <v>30</v>
      </c>
      <c r="P243" s="2" t="s">
        <v>10565</v>
      </c>
    </row>
    <row r="244" spans="1:16" ht="13.15" x14ac:dyDescent="0.4">
      <c r="A244" s="2" t="s">
        <v>10764</v>
      </c>
      <c r="B244" s="2" t="s">
        <v>5881</v>
      </c>
      <c r="C244" s="6" t="s">
        <v>5879</v>
      </c>
      <c r="D244" s="6" t="s">
        <v>42</v>
      </c>
      <c r="E244" s="7">
        <v>44927</v>
      </c>
      <c r="F244" s="8" t="s">
        <v>77</v>
      </c>
      <c r="G244" s="2" t="s">
        <v>26</v>
      </c>
      <c r="H244" s="8" t="s">
        <v>28</v>
      </c>
      <c r="I244" s="2" t="s">
        <v>26</v>
      </c>
      <c r="J244" s="7">
        <v>44927</v>
      </c>
      <c r="K244" s="8" t="s">
        <v>77</v>
      </c>
      <c r="L244" s="2" t="s">
        <v>26</v>
      </c>
      <c r="M244" s="8" t="s">
        <v>28</v>
      </c>
      <c r="N244" s="6" t="s">
        <v>2264</v>
      </c>
      <c r="O244" s="6" t="s">
        <v>30</v>
      </c>
      <c r="P244" s="2" t="s">
        <v>10821</v>
      </c>
    </row>
    <row r="245" spans="1:16" ht="13.15" x14ac:dyDescent="0.4">
      <c r="A245" s="2" t="s">
        <v>10786</v>
      </c>
      <c r="B245" s="2" t="s">
        <v>5881</v>
      </c>
      <c r="C245" s="6" t="s">
        <v>5879</v>
      </c>
      <c r="D245" s="6" t="s">
        <v>42</v>
      </c>
      <c r="E245" s="7">
        <v>44927</v>
      </c>
      <c r="F245" s="8" t="s">
        <v>77</v>
      </c>
      <c r="G245" s="2" t="s">
        <v>26</v>
      </c>
      <c r="H245" s="8" t="s">
        <v>28</v>
      </c>
      <c r="I245" s="2" t="s">
        <v>26</v>
      </c>
      <c r="J245" s="7">
        <v>44927</v>
      </c>
      <c r="K245" s="8" t="s">
        <v>77</v>
      </c>
      <c r="L245" s="2" t="s">
        <v>26</v>
      </c>
      <c r="M245" s="8" t="s">
        <v>28</v>
      </c>
      <c r="N245" s="6" t="s">
        <v>2264</v>
      </c>
      <c r="O245" s="6" t="s">
        <v>30</v>
      </c>
      <c r="P245" s="2" t="s">
        <v>10843</v>
      </c>
    </row>
    <row r="246" spans="1:16" ht="13.15" x14ac:dyDescent="0.4">
      <c r="A246" s="2" t="s">
        <v>10777</v>
      </c>
      <c r="B246" s="2" t="s">
        <v>5881</v>
      </c>
      <c r="C246" s="6" t="s">
        <v>5879</v>
      </c>
      <c r="D246" s="6" t="s">
        <v>42</v>
      </c>
      <c r="E246" s="7">
        <v>44927</v>
      </c>
      <c r="F246" s="8" t="s">
        <v>77</v>
      </c>
      <c r="G246" s="2" t="s">
        <v>26</v>
      </c>
      <c r="H246" s="8" t="s">
        <v>28</v>
      </c>
      <c r="I246" s="2" t="s">
        <v>26</v>
      </c>
      <c r="J246" s="7">
        <v>44927</v>
      </c>
      <c r="K246" s="8" t="s">
        <v>77</v>
      </c>
      <c r="L246" s="2" t="s">
        <v>26</v>
      </c>
      <c r="M246" s="8" t="s">
        <v>28</v>
      </c>
      <c r="N246" s="6" t="s">
        <v>2264</v>
      </c>
      <c r="O246" s="6" t="s">
        <v>30</v>
      </c>
      <c r="P246" s="2" t="s">
        <v>10834</v>
      </c>
    </row>
    <row r="247" spans="1:16" ht="13.15" x14ac:dyDescent="0.4">
      <c r="A247" s="2" t="s">
        <v>10798</v>
      </c>
      <c r="B247" s="2" t="s">
        <v>5881</v>
      </c>
      <c r="C247" s="6" t="s">
        <v>5879</v>
      </c>
      <c r="D247" s="6" t="s">
        <v>42</v>
      </c>
      <c r="E247" s="7">
        <v>44927</v>
      </c>
      <c r="F247" s="8" t="s">
        <v>77</v>
      </c>
      <c r="G247" s="2" t="s">
        <v>26</v>
      </c>
      <c r="H247" s="8" t="s">
        <v>28</v>
      </c>
      <c r="I247" s="2" t="s">
        <v>26</v>
      </c>
      <c r="J247" s="7">
        <v>44927</v>
      </c>
      <c r="K247" s="8" t="s">
        <v>77</v>
      </c>
      <c r="L247" s="2" t="s">
        <v>26</v>
      </c>
      <c r="M247" s="8" t="s">
        <v>28</v>
      </c>
      <c r="N247" s="6" t="s">
        <v>2264</v>
      </c>
      <c r="O247" s="6" t="s">
        <v>30</v>
      </c>
      <c r="P247" s="2" t="s">
        <v>10855</v>
      </c>
    </row>
    <row r="248" spans="1:16" ht="13.15" x14ac:dyDescent="0.4">
      <c r="A248" s="2" t="s">
        <v>10760</v>
      </c>
      <c r="B248" s="2" t="s">
        <v>5881</v>
      </c>
      <c r="C248" s="6" t="s">
        <v>5879</v>
      </c>
      <c r="D248" s="6" t="s">
        <v>42</v>
      </c>
      <c r="E248" s="7">
        <v>44927</v>
      </c>
      <c r="F248" s="8" t="s">
        <v>77</v>
      </c>
      <c r="G248" s="2" t="s">
        <v>26</v>
      </c>
      <c r="H248" s="8" t="s">
        <v>28</v>
      </c>
      <c r="I248" s="2" t="s">
        <v>26</v>
      </c>
      <c r="J248" s="7">
        <v>44927</v>
      </c>
      <c r="K248" s="8" t="s">
        <v>77</v>
      </c>
      <c r="L248" s="2" t="s">
        <v>26</v>
      </c>
      <c r="M248" s="8" t="s">
        <v>28</v>
      </c>
      <c r="N248" s="6" t="s">
        <v>2264</v>
      </c>
      <c r="O248" s="6" t="s">
        <v>30</v>
      </c>
      <c r="P248" s="2" t="s">
        <v>10817</v>
      </c>
    </row>
    <row r="249" spans="1:16" ht="13.15" x14ac:dyDescent="0.4">
      <c r="A249" s="2" t="s">
        <v>10799</v>
      </c>
      <c r="B249" s="2" t="s">
        <v>5881</v>
      </c>
      <c r="C249" s="6" t="s">
        <v>5879</v>
      </c>
      <c r="D249" s="6" t="s">
        <v>42</v>
      </c>
      <c r="E249" s="7">
        <v>44927</v>
      </c>
      <c r="F249" s="8" t="s">
        <v>77</v>
      </c>
      <c r="G249" s="2" t="s">
        <v>26</v>
      </c>
      <c r="H249" s="8" t="s">
        <v>28</v>
      </c>
      <c r="I249" s="2" t="s">
        <v>26</v>
      </c>
      <c r="J249" s="7">
        <v>44927</v>
      </c>
      <c r="K249" s="8" t="s">
        <v>77</v>
      </c>
      <c r="L249" s="2" t="s">
        <v>26</v>
      </c>
      <c r="M249" s="8" t="s">
        <v>28</v>
      </c>
      <c r="N249" s="6" t="s">
        <v>2264</v>
      </c>
      <c r="O249" s="6" t="s">
        <v>30</v>
      </c>
      <c r="P249" s="2" t="s">
        <v>10856</v>
      </c>
    </row>
    <row r="250" spans="1:16" ht="13.15" x14ac:dyDescent="0.4">
      <c r="A250" s="2" t="s">
        <v>10801</v>
      </c>
      <c r="B250" s="2" t="s">
        <v>5881</v>
      </c>
      <c r="C250" s="6" t="s">
        <v>5879</v>
      </c>
      <c r="D250" s="6" t="s">
        <v>42</v>
      </c>
      <c r="E250" s="7">
        <v>44927</v>
      </c>
      <c r="F250" s="8" t="s">
        <v>77</v>
      </c>
      <c r="G250" s="2" t="s">
        <v>26</v>
      </c>
      <c r="H250" s="8" t="s">
        <v>28</v>
      </c>
      <c r="I250" s="2" t="s">
        <v>26</v>
      </c>
      <c r="J250" s="7">
        <v>44927</v>
      </c>
      <c r="K250" s="8" t="s">
        <v>77</v>
      </c>
      <c r="L250" s="2" t="s">
        <v>26</v>
      </c>
      <c r="M250" s="8" t="s">
        <v>28</v>
      </c>
      <c r="N250" s="6" t="s">
        <v>2264</v>
      </c>
      <c r="O250" s="6" t="s">
        <v>30</v>
      </c>
      <c r="P250" s="2" t="s">
        <v>10858</v>
      </c>
    </row>
    <row r="251" spans="1:16" ht="13.15" x14ac:dyDescent="0.4">
      <c r="A251" s="2" t="s">
        <v>10778</v>
      </c>
      <c r="B251" s="2" t="s">
        <v>5881</v>
      </c>
      <c r="C251" s="6" t="s">
        <v>5879</v>
      </c>
      <c r="D251" s="6" t="s">
        <v>42</v>
      </c>
      <c r="E251" s="7">
        <v>44927</v>
      </c>
      <c r="F251" s="8" t="s">
        <v>77</v>
      </c>
      <c r="G251" s="2" t="s">
        <v>26</v>
      </c>
      <c r="H251" s="8" t="s">
        <v>28</v>
      </c>
      <c r="I251" s="2" t="s">
        <v>26</v>
      </c>
      <c r="J251" s="7">
        <v>44927</v>
      </c>
      <c r="K251" s="8" t="s">
        <v>77</v>
      </c>
      <c r="L251" s="2" t="s">
        <v>26</v>
      </c>
      <c r="M251" s="8" t="s">
        <v>28</v>
      </c>
      <c r="N251" s="6" t="s">
        <v>2264</v>
      </c>
      <c r="O251" s="6" t="s">
        <v>30</v>
      </c>
      <c r="P251" s="2" t="s">
        <v>10835</v>
      </c>
    </row>
    <row r="252" spans="1:16" ht="13.15" x14ac:dyDescent="0.4">
      <c r="A252" s="2" t="s">
        <v>10776</v>
      </c>
      <c r="B252" s="2" t="s">
        <v>5881</v>
      </c>
      <c r="C252" s="6" t="s">
        <v>5879</v>
      </c>
      <c r="D252" s="6" t="s">
        <v>42</v>
      </c>
      <c r="E252" s="7">
        <v>44927</v>
      </c>
      <c r="F252" s="8" t="s">
        <v>77</v>
      </c>
      <c r="G252" s="2" t="s">
        <v>26</v>
      </c>
      <c r="H252" s="8" t="s">
        <v>28</v>
      </c>
      <c r="I252" s="2" t="s">
        <v>26</v>
      </c>
      <c r="J252" s="7">
        <v>44927</v>
      </c>
      <c r="K252" s="8" t="s">
        <v>77</v>
      </c>
      <c r="L252" s="2" t="s">
        <v>26</v>
      </c>
      <c r="M252" s="8" t="s">
        <v>28</v>
      </c>
      <c r="N252" s="6" t="s">
        <v>2264</v>
      </c>
      <c r="O252" s="6" t="s">
        <v>30</v>
      </c>
      <c r="P252" s="2" t="s">
        <v>10833</v>
      </c>
    </row>
    <row r="253" spans="1:16" ht="13.15" x14ac:dyDescent="0.4">
      <c r="A253" s="2" t="s">
        <v>10753</v>
      </c>
      <c r="B253" s="2" t="s">
        <v>5881</v>
      </c>
      <c r="C253" s="6" t="s">
        <v>5879</v>
      </c>
      <c r="D253" s="6" t="s">
        <v>42</v>
      </c>
      <c r="E253" s="7">
        <v>44927</v>
      </c>
      <c r="F253" s="8" t="s">
        <v>77</v>
      </c>
      <c r="G253" s="2" t="s">
        <v>26</v>
      </c>
      <c r="H253" s="8" t="s">
        <v>28</v>
      </c>
      <c r="I253" s="2" t="s">
        <v>26</v>
      </c>
      <c r="J253" s="7">
        <v>44927</v>
      </c>
      <c r="K253" s="8" t="s">
        <v>77</v>
      </c>
      <c r="L253" s="2" t="s">
        <v>26</v>
      </c>
      <c r="M253" s="8" t="s">
        <v>28</v>
      </c>
      <c r="N253" s="6" t="s">
        <v>2264</v>
      </c>
      <c r="O253" s="6" t="s">
        <v>30</v>
      </c>
      <c r="P253" s="2" t="s">
        <v>10810</v>
      </c>
    </row>
    <row r="254" spans="1:16" ht="13.15" x14ac:dyDescent="0.4">
      <c r="A254" s="2" t="s">
        <v>10771</v>
      </c>
      <c r="B254" s="2" t="s">
        <v>5881</v>
      </c>
      <c r="C254" s="6" t="s">
        <v>5879</v>
      </c>
      <c r="D254" s="6" t="s">
        <v>42</v>
      </c>
      <c r="E254" s="7">
        <v>44927</v>
      </c>
      <c r="F254" s="8" t="s">
        <v>77</v>
      </c>
      <c r="G254" s="2" t="s">
        <v>26</v>
      </c>
      <c r="H254" s="8" t="s">
        <v>28</v>
      </c>
      <c r="I254" s="2" t="s">
        <v>26</v>
      </c>
      <c r="J254" s="7">
        <v>44927</v>
      </c>
      <c r="K254" s="8" t="s">
        <v>77</v>
      </c>
      <c r="L254" s="2" t="s">
        <v>26</v>
      </c>
      <c r="M254" s="8" t="s">
        <v>28</v>
      </c>
      <c r="N254" s="6" t="s">
        <v>2264</v>
      </c>
      <c r="O254" s="6" t="s">
        <v>30</v>
      </c>
      <c r="P254" s="2" t="s">
        <v>10828</v>
      </c>
    </row>
    <row r="255" spans="1:16" ht="13.15" x14ac:dyDescent="0.4">
      <c r="A255" s="2" t="s">
        <v>10779</v>
      </c>
      <c r="B255" s="2" t="s">
        <v>5881</v>
      </c>
      <c r="C255" s="6" t="s">
        <v>5879</v>
      </c>
      <c r="D255" s="6" t="s">
        <v>42</v>
      </c>
      <c r="E255" s="7">
        <v>44927</v>
      </c>
      <c r="F255" s="8" t="s">
        <v>77</v>
      </c>
      <c r="G255" s="2" t="s">
        <v>26</v>
      </c>
      <c r="H255" s="8" t="s">
        <v>28</v>
      </c>
      <c r="I255" s="2" t="s">
        <v>26</v>
      </c>
      <c r="J255" s="7">
        <v>44927</v>
      </c>
      <c r="K255" s="8" t="s">
        <v>77</v>
      </c>
      <c r="L255" s="2" t="s">
        <v>26</v>
      </c>
      <c r="M255" s="8" t="s">
        <v>28</v>
      </c>
      <c r="N255" s="6" t="s">
        <v>2264</v>
      </c>
      <c r="O255" s="6" t="s">
        <v>30</v>
      </c>
      <c r="P255" s="2" t="s">
        <v>10836</v>
      </c>
    </row>
    <row r="256" spans="1:16" ht="13.15" x14ac:dyDescent="0.4">
      <c r="A256" s="2" t="s">
        <v>10790</v>
      </c>
      <c r="B256" s="2" t="s">
        <v>5881</v>
      </c>
      <c r="C256" s="6" t="s">
        <v>5879</v>
      </c>
      <c r="D256" s="6" t="s">
        <v>42</v>
      </c>
      <c r="E256" s="7">
        <v>44927</v>
      </c>
      <c r="F256" s="8" t="s">
        <v>77</v>
      </c>
      <c r="G256" s="2" t="s">
        <v>26</v>
      </c>
      <c r="H256" s="8" t="s">
        <v>28</v>
      </c>
      <c r="I256" s="2" t="s">
        <v>26</v>
      </c>
      <c r="J256" s="7">
        <v>44927</v>
      </c>
      <c r="K256" s="8" t="s">
        <v>77</v>
      </c>
      <c r="L256" s="2" t="s">
        <v>26</v>
      </c>
      <c r="M256" s="8" t="s">
        <v>28</v>
      </c>
      <c r="N256" s="6" t="s">
        <v>2264</v>
      </c>
      <c r="O256" s="6" t="s">
        <v>30</v>
      </c>
      <c r="P256" s="2" t="s">
        <v>10847</v>
      </c>
    </row>
    <row r="257" spans="1:16" ht="13.15" x14ac:dyDescent="0.4">
      <c r="A257" s="2" t="s">
        <v>10754</v>
      </c>
      <c r="B257" s="2" t="s">
        <v>5881</v>
      </c>
      <c r="C257" s="6" t="s">
        <v>5879</v>
      </c>
      <c r="D257" s="6" t="s">
        <v>42</v>
      </c>
      <c r="E257" s="7">
        <v>44927</v>
      </c>
      <c r="F257" s="8" t="s">
        <v>77</v>
      </c>
      <c r="G257" s="2" t="s">
        <v>26</v>
      </c>
      <c r="H257" s="8" t="s">
        <v>28</v>
      </c>
      <c r="I257" s="2" t="s">
        <v>26</v>
      </c>
      <c r="J257" s="7">
        <v>44927</v>
      </c>
      <c r="K257" s="8" t="s">
        <v>77</v>
      </c>
      <c r="L257" s="2" t="s">
        <v>26</v>
      </c>
      <c r="M257" s="8" t="s">
        <v>28</v>
      </c>
      <c r="N257" s="6" t="s">
        <v>2264</v>
      </c>
      <c r="O257" s="6" t="s">
        <v>30</v>
      </c>
      <c r="P257" s="2" t="s">
        <v>10811</v>
      </c>
    </row>
    <row r="258" spans="1:16" ht="13.15" x14ac:dyDescent="0.4">
      <c r="A258" s="2" t="s">
        <v>10780</v>
      </c>
      <c r="B258" s="2" t="s">
        <v>5881</v>
      </c>
      <c r="C258" s="6" t="s">
        <v>5879</v>
      </c>
      <c r="D258" s="6" t="s">
        <v>42</v>
      </c>
      <c r="E258" s="7">
        <v>44927</v>
      </c>
      <c r="F258" s="8" t="s">
        <v>77</v>
      </c>
      <c r="G258" s="2" t="s">
        <v>26</v>
      </c>
      <c r="H258" s="8" t="s">
        <v>28</v>
      </c>
      <c r="I258" s="2" t="s">
        <v>26</v>
      </c>
      <c r="J258" s="7">
        <v>44927</v>
      </c>
      <c r="K258" s="8" t="s">
        <v>77</v>
      </c>
      <c r="L258" s="2" t="s">
        <v>26</v>
      </c>
      <c r="M258" s="8" t="s">
        <v>28</v>
      </c>
      <c r="N258" s="6" t="s">
        <v>2264</v>
      </c>
      <c r="O258" s="6" t="s">
        <v>30</v>
      </c>
      <c r="P258" s="2" t="s">
        <v>10837</v>
      </c>
    </row>
    <row r="259" spans="1:16" ht="13.15" x14ac:dyDescent="0.4">
      <c r="A259" s="2" t="s">
        <v>10769</v>
      </c>
      <c r="B259" s="2" t="s">
        <v>5881</v>
      </c>
      <c r="C259" s="6" t="s">
        <v>5879</v>
      </c>
      <c r="D259" s="6" t="s">
        <v>42</v>
      </c>
      <c r="E259" s="7">
        <v>44927</v>
      </c>
      <c r="F259" s="8" t="s">
        <v>77</v>
      </c>
      <c r="G259" s="2" t="s">
        <v>26</v>
      </c>
      <c r="H259" s="8" t="s">
        <v>28</v>
      </c>
      <c r="I259" s="2" t="s">
        <v>26</v>
      </c>
      <c r="J259" s="7">
        <v>44927</v>
      </c>
      <c r="K259" s="8" t="s">
        <v>77</v>
      </c>
      <c r="L259" s="2" t="s">
        <v>26</v>
      </c>
      <c r="M259" s="8" t="s">
        <v>28</v>
      </c>
      <c r="N259" s="6" t="s">
        <v>2264</v>
      </c>
      <c r="O259" s="6" t="s">
        <v>30</v>
      </c>
      <c r="P259" s="2" t="s">
        <v>10826</v>
      </c>
    </row>
    <row r="260" spans="1:16" ht="13.15" x14ac:dyDescent="0.4">
      <c r="A260" s="2" t="s">
        <v>10784</v>
      </c>
      <c r="B260" s="2" t="s">
        <v>5881</v>
      </c>
      <c r="C260" s="6" t="s">
        <v>5879</v>
      </c>
      <c r="D260" s="6" t="s">
        <v>42</v>
      </c>
      <c r="E260" s="7">
        <v>44927</v>
      </c>
      <c r="F260" s="8" t="s">
        <v>77</v>
      </c>
      <c r="G260" s="2" t="s">
        <v>26</v>
      </c>
      <c r="H260" s="8" t="s">
        <v>28</v>
      </c>
      <c r="I260" s="2" t="s">
        <v>26</v>
      </c>
      <c r="J260" s="7">
        <v>44927</v>
      </c>
      <c r="K260" s="8" t="s">
        <v>77</v>
      </c>
      <c r="L260" s="2" t="s">
        <v>26</v>
      </c>
      <c r="M260" s="8" t="s">
        <v>28</v>
      </c>
      <c r="N260" s="6" t="s">
        <v>2264</v>
      </c>
      <c r="O260" s="6" t="s">
        <v>30</v>
      </c>
      <c r="P260" s="2" t="s">
        <v>10841</v>
      </c>
    </row>
    <row r="261" spans="1:16" ht="13.15" x14ac:dyDescent="0.4">
      <c r="A261" s="2" t="s">
        <v>10787</v>
      </c>
      <c r="B261" s="2" t="s">
        <v>5881</v>
      </c>
      <c r="C261" s="6" t="s">
        <v>5879</v>
      </c>
      <c r="D261" s="6" t="s">
        <v>42</v>
      </c>
      <c r="E261" s="7">
        <v>44927</v>
      </c>
      <c r="F261" s="8" t="s">
        <v>77</v>
      </c>
      <c r="G261" s="2" t="s">
        <v>26</v>
      </c>
      <c r="H261" s="8" t="s">
        <v>28</v>
      </c>
      <c r="I261" s="2" t="s">
        <v>26</v>
      </c>
      <c r="J261" s="7">
        <v>44927</v>
      </c>
      <c r="K261" s="8" t="s">
        <v>77</v>
      </c>
      <c r="L261" s="2" t="s">
        <v>26</v>
      </c>
      <c r="M261" s="8" t="s">
        <v>28</v>
      </c>
      <c r="N261" s="6" t="s">
        <v>2264</v>
      </c>
      <c r="O261" s="6" t="s">
        <v>30</v>
      </c>
      <c r="P261" s="2" t="s">
        <v>10844</v>
      </c>
    </row>
    <row r="262" spans="1:16" ht="13.15" x14ac:dyDescent="0.4">
      <c r="A262" s="2" t="s">
        <v>10767</v>
      </c>
      <c r="B262" s="2" t="s">
        <v>5881</v>
      </c>
      <c r="C262" s="6" t="s">
        <v>5879</v>
      </c>
      <c r="D262" s="6" t="s">
        <v>42</v>
      </c>
      <c r="E262" s="7">
        <v>44927</v>
      </c>
      <c r="F262" s="8" t="s">
        <v>77</v>
      </c>
      <c r="G262" s="2" t="s">
        <v>26</v>
      </c>
      <c r="H262" s="8" t="s">
        <v>28</v>
      </c>
      <c r="I262" s="2" t="s">
        <v>26</v>
      </c>
      <c r="J262" s="7">
        <v>44927</v>
      </c>
      <c r="K262" s="8" t="s">
        <v>77</v>
      </c>
      <c r="L262" s="2" t="s">
        <v>26</v>
      </c>
      <c r="M262" s="8" t="s">
        <v>28</v>
      </c>
      <c r="N262" s="6" t="s">
        <v>2264</v>
      </c>
      <c r="O262" s="6" t="s">
        <v>30</v>
      </c>
      <c r="P262" s="2" t="s">
        <v>10824</v>
      </c>
    </row>
    <row r="263" spans="1:16" ht="13.15" x14ac:dyDescent="0.4">
      <c r="A263" s="2" t="s">
        <v>10774</v>
      </c>
      <c r="B263" s="2" t="s">
        <v>5881</v>
      </c>
      <c r="C263" s="6" t="s">
        <v>5879</v>
      </c>
      <c r="D263" s="6" t="s">
        <v>42</v>
      </c>
      <c r="E263" s="7">
        <v>44927</v>
      </c>
      <c r="F263" s="8" t="s">
        <v>77</v>
      </c>
      <c r="G263" s="2" t="s">
        <v>26</v>
      </c>
      <c r="H263" s="8" t="s">
        <v>28</v>
      </c>
      <c r="I263" s="2" t="s">
        <v>26</v>
      </c>
      <c r="J263" s="7">
        <v>44927</v>
      </c>
      <c r="K263" s="8" t="s">
        <v>77</v>
      </c>
      <c r="L263" s="2" t="s">
        <v>26</v>
      </c>
      <c r="M263" s="8" t="s">
        <v>28</v>
      </c>
      <c r="N263" s="6" t="s">
        <v>2264</v>
      </c>
      <c r="O263" s="6" t="s">
        <v>30</v>
      </c>
      <c r="P263" s="2" t="s">
        <v>10831</v>
      </c>
    </row>
    <row r="264" spans="1:16" ht="13.15" x14ac:dyDescent="0.4">
      <c r="A264" s="2" t="s">
        <v>10797</v>
      </c>
      <c r="B264" s="2" t="s">
        <v>5881</v>
      </c>
      <c r="C264" s="6" t="s">
        <v>5879</v>
      </c>
      <c r="D264" s="6" t="s">
        <v>42</v>
      </c>
      <c r="E264" s="7">
        <v>44927</v>
      </c>
      <c r="F264" s="8" t="s">
        <v>77</v>
      </c>
      <c r="G264" s="2" t="s">
        <v>26</v>
      </c>
      <c r="H264" s="8" t="s">
        <v>28</v>
      </c>
      <c r="I264" s="2" t="s">
        <v>26</v>
      </c>
      <c r="J264" s="7">
        <v>44927</v>
      </c>
      <c r="K264" s="8" t="s">
        <v>77</v>
      </c>
      <c r="L264" s="2" t="s">
        <v>26</v>
      </c>
      <c r="M264" s="8" t="s">
        <v>28</v>
      </c>
      <c r="N264" s="6" t="s">
        <v>2264</v>
      </c>
      <c r="O264" s="6" t="s">
        <v>30</v>
      </c>
      <c r="P264" s="2" t="s">
        <v>10854</v>
      </c>
    </row>
    <row r="265" spans="1:16" ht="13.15" x14ac:dyDescent="0.4">
      <c r="A265" s="2" t="s">
        <v>10768</v>
      </c>
      <c r="B265" s="2" t="s">
        <v>5881</v>
      </c>
      <c r="C265" s="6" t="s">
        <v>5879</v>
      </c>
      <c r="D265" s="6" t="s">
        <v>42</v>
      </c>
      <c r="E265" s="7">
        <v>44927</v>
      </c>
      <c r="F265" s="8" t="s">
        <v>77</v>
      </c>
      <c r="G265" s="2" t="s">
        <v>26</v>
      </c>
      <c r="H265" s="8" t="s">
        <v>28</v>
      </c>
      <c r="I265" s="2" t="s">
        <v>26</v>
      </c>
      <c r="J265" s="7">
        <v>44927</v>
      </c>
      <c r="K265" s="8" t="s">
        <v>77</v>
      </c>
      <c r="L265" s="2" t="s">
        <v>26</v>
      </c>
      <c r="M265" s="8" t="s">
        <v>28</v>
      </c>
      <c r="N265" s="6" t="s">
        <v>2264</v>
      </c>
      <c r="O265" s="6" t="s">
        <v>30</v>
      </c>
      <c r="P265" s="2" t="s">
        <v>10825</v>
      </c>
    </row>
    <row r="266" spans="1:16" ht="13.15" x14ac:dyDescent="0.4">
      <c r="A266" s="2" t="s">
        <v>10759</v>
      </c>
      <c r="B266" s="2" t="s">
        <v>5881</v>
      </c>
      <c r="C266" s="6" t="s">
        <v>5879</v>
      </c>
      <c r="D266" s="6" t="s">
        <v>42</v>
      </c>
      <c r="E266" s="7">
        <v>44927</v>
      </c>
      <c r="F266" s="8" t="s">
        <v>77</v>
      </c>
      <c r="G266" s="2" t="s">
        <v>26</v>
      </c>
      <c r="H266" s="8" t="s">
        <v>28</v>
      </c>
      <c r="I266" s="2" t="s">
        <v>26</v>
      </c>
      <c r="J266" s="7">
        <v>44927</v>
      </c>
      <c r="K266" s="8" t="s">
        <v>77</v>
      </c>
      <c r="L266" s="2" t="s">
        <v>26</v>
      </c>
      <c r="M266" s="8" t="s">
        <v>28</v>
      </c>
      <c r="N266" s="6" t="s">
        <v>2264</v>
      </c>
      <c r="O266" s="6" t="s">
        <v>30</v>
      </c>
      <c r="P266" s="2" t="s">
        <v>10816</v>
      </c>
    </row>
    <row r="267" spans="1:16" ht="13.15" x14ac:dyDescent="0.4">
      <c r="A267" s="2" t="s">
        <v>10785</v>
      </c>
      <c r="B267" s="2" t="s">
        <v>5881</v>
      </c>
      <c r="C267" s="6" t="s">
        <v>5879</v>
      </c>
      <c r="D267" s="6" t="s">
        <v>42</v>
      </c>
      <c r="E267" s="7">
        <v>44927</v>
      </c>
      <c r="F267" s="8" t="s">
        <v>77</v>
      </c>
      <c r="G267" s="2" t="s">
        <v>26</v>
      </c>
      <c r="H267" s="8" t="s">
        <v>28</v>
      </c>
      <c r="I267" s="2" t="s">
        <v>26</v>
      </c>
      <c r="J267" s="7">
        <v>44927</v>
      </c>
      <c r="K267" s="8" t="s">
        <v>77</v>
      </c>
      <c r="L267" s="2" t="s">
        <v>26</v>
      </c>
      <c r="M267" s="8" t="s">
        <v>28</v>
      </c>
      <c r="N267" s="6" t="s">
        <v>2264</v>
      </c>
      <c r="O267" s="6" t="s">
        <v>30</v>
      </c>
      <c r="P267" s="2" t="s">
        <v>10842</v>
      </c>
    </row>
    <row r="268" spans="1:16" ht="13.15" x14ac:dyDescent="0.4">
      <c r="A268" s="2" t="s">
        <v>10796</v>
      </c>
      <c r="B268" s="2" t="s">
        <v>5881</v>
      </c>
      <c r="C268" s="6" t="s">
        <v>5879</v>
      </c>
      <c r="D268" s="6" t="s">
        <v>42</v>
      </c>
      <c r="E268" s="7">
        <v>44927</v>
      </c>
      <c r="F268" s="8" t="s">
        <v>77</v>
      </c>
      <c r="G268" s="2" t="s">
        <v>26</v>
      </c>
      <c r="H268" s="8" t="s">
        <v>28</v>
      </c>
      <c r="I268" s="2" t="s">
        <v>26</v>
      </c>
      <c r="J268" s="7">
        <v>44927</v>
      </c>
      <c r="K268" s="8" t="s">
        <v>77</v>
      </c>
      <c r="L268" s="2" t="s">
        <v>26</v>
      </c>
      <c r="M268" s="8" t="s">
        <v>28</v>
      </c>
      <c r="N268" s="6" t="s">
        <v>2264</v>
      </c>
      <c r="O268" s="6" t="s">
        <v>30</v>
      </c>
      <c r="P268" s="2" t="s">
        <v>10853</v>
      </c>
    </row>
    <row r="269" spans="1:16" ht="13.15" x14ac:dyDescent="0.4">
      <c r="A269" s="2" t="s">
        <v>10805</v>
      </c>
      <c r="B269" s="2" t="s">
        <v>5881</v>
      </c>
      <c r="C269" s="6" t="s">
        <v>5879</v>
      </c>
      <c r="D269" s="6" t="s">
        <v>42</v>
      </c>
      <c r="E269" s="7">
        <v>44927</v>
      </c>
      <c r="F269" s="8" t="s">
        <v>77</v>
      </c>
      <c r="G269" s="2" t="s">
        <v>26</v>
      </c>
      <c r="H269" s="8" t="s">
        <v>28</v>
      </c>
      <c r="I269" s="2" t="s">
        <v>26</v>
      </c>
      <c r="J269" s="7">
        <v>44927</v>
      </c>
      <c r="K269" s="8" t="s">
        <v>77</v>
      </c>
      <c r="L269" s="2" t="s">
        <v>26</v>
      </c>
      <c r="M269" s="8" t="s">
        <v>28</v>
      </c>
      <c r="N269" s="6" t="s">
        <v>2264</v>
      </c>
      <c r="O269" s="6" t="s">
        <v>30</v>
      </c>
      <c r="P269" s="2" t="s">
        <v>10863</v>
      </c>
    </row>
    <row r="270" spans="1:16" ht="13.15" x14ac:dyDescent="0.4">
      <c r="A270" s="2" t="s">
        <v>10794</v>
      </c>
      <c r="B270" s="2" t="s">
        <v>5881</v>
      </c>
      <c r="C270" s="6" t="s">
        <v>5879</v>
      </c>
      <c r="D270" s="6" t="s">
        <v>42</v>
      </c>
      <c r="E270" s="7">
        <v>44927</v>
      </c>
      <c r="F270" s="8" t="s">
        <v>77</v>
      </c>
      <c r="G270" s="2" t="s">
        <v>26</v>
      </c>
      <c r="H270" s="8" t="s">
        <v>28</v>
      </c>
      <c r="I270" s="2" t="s">
        <v>26</v>
      </c>
      <c r="J270" s="7">
        <v>44927</v>
      </c>
      <c r="K270" s="8" t="s">
        <v>77</v>
      </c>
      <c r="L270" s="2" t="s">
        <v>26</v>
      </c>
      <c r="M270" s="8" t="s">
        <v>28</v>
      </c>
      <c r="N270" s="6" t="s">
        <v>2264</v>
      </c>
      <c r="O270" s="6" t="s">
        <v>30</v>
      </c>
      <c r="P270" s="2" t="s">
        <v>10851</v>
      </c>
    </row>
    <row r="271" spans="1:16" ht="13.15" x14ac:dyDescent="0.4">
      <c r="A271" s="2" t="s">
        <v>10762</v>
      </c>
      <c r="B271" s="2" t="s">
        <v>5881</v>
      </c>
      <c r="C271" s="6" t="s">
        <v>5879</v>
      </c>
      <c r="D271" s="6" t="s">
        <v>42</v>
      </c>
      <c r="E271" s="7">
        <v>44927</v>
      </c>
      <c r="F271" s="8" t="s">
        <v>77</v>
      </c>
      <c r="G271" s="2" t="s">
        <v>26</v>
      </c>
      <c r="H271" s="8" t="s">
        <v>28</v>
      </c>
      <c r="I271" s="2" t="s">
        <v>26</v>
      </c>
      <c r="J271" s="7">
        <v>44927</v>
      </c>
      <c r="K271" s="8" t="s">
        <v>77</v>
      </c>
      <c r="L271" s="2" t="s">
        <v>26</v>
      </c>
      <c r="M271" s="8" t="s">
        <v>28</v>
      </c>
      <c r="N271" s="6" t="s">
        <v>2264</v>
      </c>
      <c r="O271" s="6" t="s">
        <v>30</v>
      </c>
      <c r="P271" s="2" t="s">
        <v>10819</v>
      </c>
    </row>
    <row r="272" spans="1:16" ht="13.15" x14ac:dyDescent="0.4">
      <c r="A272" s="2" t="s">
        <v>10781</v>
      </c>
      <c r="B272" s="2" t="s">
        <v>5881</v>
      </c>
      <c r="C272" s="6" t="s">
        <v>5879</v>
      </c>
      <c r="D272" s="6" t="s">
        <v>42</v>
      </c>
      <c r="E272" s="7">
        <v>44927</v>
      </c>
      <c r="F272" s="8" t="s">
        <v>77</v>
      </c>
      <c r="G272" s="2" t="s">
        <v>26</v>
      </c>
      <c r="H272" s="8" t="s">
        <v>28</v>
      </c>
      <c r="I272" s="2" t="s">
        <v>26</v>
      </c>
      <c r="J272" s="7">
        <v>44927</v>
      </c>
      <c r="K272" s="8" t="s">
        <v>77</v>
      </c>
      <c r="L272" s="2" t="s">
        <v>26</v>
      </c>
      <c r="M272" s="8" t="s">
        <v>28</v>
      </c>
      <c r="N272" s="6" t="s">
        <v>2264</v>
      </c>
      <c r="O272" s="6" t="s">
        <v>30</v>
      </c>
      <c r="P272" s="2" t="s">
        <v>10838</v>
      </c>
    </row>
    <row r="273" spans="1:16" ht="13.15" x14ac:dyDescent="0.4">
      <c r="A273" s="2" t="s">
        <v>10763</v>
      </c>
      <c r="B273" s="2" t="s">
        <v>5881</v>
      </c>
      <c r="C273" s="6" t="s">
        <v>5879</v>
      </c>
      <c r="D273" s="6" t="s">
        <v>42</v>
      </c>
      <c r="E273" s="7">
        <v>44927</v>
      </c>
      <c r="F273" s="8" t="s">
        <v>77</v>
      </c>
      <c r="G273" s="2" t="s">
        <v>26</v>
      </c>
      <c r="H273" s="8" t="s">
        <v>28</v>
      </c>
      <c r="I273" s="2" t="s">
        <v>26</v>
      </c>
      <c r="J273" s="7">
        <v>44927</v>
      </c>
      <c r="K273" s="8" t="s">
        <v>77</v>
      </c>
      <c r="L273" s="2" t="s">
        <v>26</v>
      </c>
      <c r="M273" s="8" t="s">
        <v>28</v>
      </c>
      <c r="N273" s="6" t="s">
        <v>2264</v>
      </c>
      <c r="O273" s="6" t="s">
        <v>30</v>
      </c>
      <c r="P273" s="2" t="s">
        <v>10820</v>
      </c>
    </row>
    <row r="274" spans="1:16" ht="13.15" x14ac:dyDescent="0.4">
      <c r="A274" s="2" t="s">
        <v>10802</v>
      </c>
      <c r="B274" s="2" t="s">
        <v>5881</v>
      </c>
      <c r="C274" s="6" t="s">
        <v>5879</v>
      </c>
      <c r="D274" s="6" t="s">
        <v>42</v>
      </c>
      <c r="E274" s="7">
        <v>44927</v>
      </c>
      <c r="F274" s="8" t="s">
        <v>77</v>
      </c>
      <c r="G274" s="2" t="s">
        <v>26</v>
      </c>
      <c r="H274" s="8" t="s">
        <v>28</v>
      </c>
      <c r="I274" s="2" t="s">
        <v>26</v>
      </c>
      <c r="J274" s="7">
        <v>44927</v>
      </c>
      <c r="K274" s="8" t="s">
        <v>77</v>
      </c>
      <c r="L274" s="2" t="s">
        <v>26</v>
      </c>
      <c r="M274" s="8" t="s">
        <v>28</v>
      </c>
      <c r="N274" s="6" t="s">
        <v>2264</v>
      </c>
      <c r="O274" s="6" t="s">
        <v>30</v>
      </c>
      <c r="P274" s="2" t="s">
        <v>10859</v>
      </c>
    </row>
    <row r="275" spans="1:16" ht="13.15" x14ac:dyDescent="0.4">
      <c r="A275" s="2" t="s">
        <v>10770</v>
      </c>
      <c r="B275" s="2" t="s">
        <v>5881</v>
      </c>
      <c r="C275" s="6" t="s">
        <v>5879</v>
      </c>
      <c r="D275" s="6" t="s">
        <v>42</v>
      </c>
      <c r="E275" s="7">
        <v>44927</v>
      </c>
      <c r="F275" s="8" t="s">
        <v>77</v>
      </c>
      <c r="G275" s="2" t="s">
        <v>26</v>
      </c>
      <c r="H275" s="8" t="s">
        <v>28</v>
      </c>
      <c r="I275" s="2" t="s">
        <v>26</v>
      </c>
      <c r="J275" s="7">
        <v>44927</v>
      </c>
      <c r="K275" s="8" t="s">
        <v>77</v>
      </c>
      <c r="L275" s="2" t="s">
        <v>26</v>
      </c>
      <c r="M275" s="8" t="s">
        <v>28</v>
      </c>
      <c r="N275" s="6" t="s">
        <v>2264</v>
      </c>
      <c r="O275" s="6" t="s">
        <v>30</v>
      </c>
      <c r="P275" s="2" t="s">
        <v>10827</v>
      </c>
    </row>
    <row r="276" spans="1:16" ht="13.15" x14ac:dyDescent="0.4">
      <c r="A276" s="2" t="s">
        <v>10772</v>
      </c>
      <c r="B276" s="2" t="s">
        <v>5881</v>
      </c>
      <c r="C276" s="6" t="s">
        <v>5879</v>
      </c>
      <c r="D276" s="6" t="s">
        <v>42</v>
      </c>
      <c r="E276" s="7">
        <v>44927</v>
      </c>
      <c r="F276" s="8" t="s">
        <v>77</v>
      </c>
      <c r="G276" s="2" t="s">
        <v>26</v>
      </c>
      <c r="H276" s="8" t="s">
        <v>28</v>
      </c>
      <c r="I276" s="2" t="s">
        <v>26</v>
      </c>
      <c r="J276" s="7">
        <v>44927</v>
      </c>
      <c r="K276" s="8" t="s">
        <v>77</v>
      </c>
      <c r="L276" s="2" t="s">
        <v>26</v>
      </c>
      <c r="M276" s="8" t="s">
        <v>28</v>
      </c>
      <c r="N276" s="6" t="s">
        <v>2264</v>
      </c>
      <c r="O276" s="6" t="s">
        <v>30</v>
      </c>
      <c r="P276" s="2" t="s">
        <v>10829</v>
      </c>
    </row>
    <row r="277" spans="1:16" ht="13.15" x14ac:dyDescent="0.4">
      <c r="A277" s="2" t="s">
        <v>10791</v>
      </c>
      <c r="B277" s="2" t="s">
        <v>5881</v>
      </c>
      <c r="C277" s="6" t="s">
        <v>5879</v>
      </c>
      <c r="D277" s="6" t="s">
        <v>42</v>
      </c>
      <c r="E277" s="7">
        <v>44927</v>
      </c>
      <c r="F277" s="8" t="s">
        <v>77</v>
      </c>
      <c r="G277" s="2" t="s">
        <v>26</v>
      </c>
      <c r="H277" s="8" t="s">
        <v>28</v>
      </c>
      <c r="I277" s="2" t="s">
        <v>26</v>
      </c>
      <c r="J277" s="7">
        <v>44927</v>
      </c>
      <c r="K277" s="8" t="s">
        <v>77</v>
      </c>
      <c r="L277" s="2" t="s">
        <v>26</v>
      </c>
      <c r="M277" s="8" t="s">
        <v>28</v>
      </c>
      <c r="N277" s="6" t="s">
        <v>2264</v>
      </c>
      <c r="O277" s="6" t="s">
        <v>30</v>
      </c>
      <c r="P277" s="2" t="s">
        <v>10848</v>
      </c>
    </row>
    <row r="278" spans="1:16" ht="13.15" x14ac:dyDescent="0.4">
      <c r="A278" s="2" t="s">
        <v>10752</v>
      </c>
      <c r="B278" s="2" t="s">
        <v>5881</v>
      </c>
      <c r="C278" s="6" t="s">
        <v>5879</v>
      </c>
      <c r="D278" s="6" t="s">
        <v>42</v>
      </c>
      <c r="E278" s="7">
        <v>44927</v>
      </c>
      <c r="F278" s="8" t="s">
        <v>77</v>
      </c>
      <c r="G278" s="2" t="s">
        <v>26</v>
      </c>
      <c r="H278" s="8" t="s">
        <v>28</v>
      </c>
      <c r="I278" s="2" t="s">
        <v>26</v>
      </c>
      <c r="J278" s="7">
        <v>44927</v>
      </c>
      <c r="K278" s="8" t="s">
        <v>77</v>
      </c>
      <c r="L278" s="2" t="s">
        <v>26</v>
      </c>
      <c r="M278" s="8" t="s">
        <v>28</v>
      </c>
      <c r="N278" s="6" t="s">
        <v>2264</v>
      </c>
      <c r="O278" s="6" t="s">
        <v>30</v>
      </c>
      <c r="P278" s="2" t="s">
        <v>10809</v>
      </c>
    </row>
    <row r="279" spans="1:16" ht="13.15" x14ac:dyDescent="0.4">
      <c r="A279" s="2" t="s">
        <v>9662</v>
      </c>
      <c r="B279" s="2" t="s">
        <v>5881</v>
      </c>
      <c r="C279" s="6" t="s">
        <v>5879</v>
      </c>
      <c r="D279" s="6" t="s">
        <v>42</v>
      </c>
      <c r="E279" s="7">
        <v>44927</v>
      </c>
      <c r="F279" s="8" t="s">
        <v>77</v>
      </c>
      <c r="G279" s="2" t="s">
        <v>26</v>
      </c>
      <c r="H279" s="8" t="s">
        <v>28</v>
      </c>
      <c r="I279" s="2" t="s">
        <v>26</v>
      </c>
      <c r="J279" s="7">
        <v>44927</v>
      </c>
      <c r="K279" s="8" t="s">
        <v>77</v>
      </c>
      <c r="L279" s="2" t="s">
        <v>26</v>
      </c>
      <c r="M279" s="8" t="s">
        <v>28</v>
      </c>
      <c r="N279" s="6" t="s">
        <v>2264</v>
      </c>
      <c r="O279" s="6" t="s">
        <v>30</v>
      </c>
      <c r="P279" s="2" t="s">
        <v>10860</v>
      </c>
    </row>
    <row r="280" spans="1:16" ht="13.15" x14ac:dyDescent="0.4">
      <c r="A280" s="2" t="s">
        <v>10773</v>
      </c>
      <c r="B280" s="2" t="s">
        <v>5881</v>
      </c>
      <c r="C280" s="6" t="s">
        <v>5879</v>
      </c>
      <c r="D280" s="6" t="s">
        <v>42</v>
      </c>
      <c r="E280" s="7">
        <v>44927</v>
      </c>
      <c r="F280" s="8" t="s">
        <v>77</v>
      </c>
      <c r="G280" s="2" t="s">
        <v>26</v>
      </c>
      <c r="H280" s="8" t="s">
        <v>28</v>
      </c>
      <c r="I280" s="2" t="s">
        <v>26</v>
      </c>
      <c r="J280" s="7">
        <v>44927</v>
      </c>
      <c r="K280" s="8" t="s">
        <v>77</v>
      </c>
      <c r="L280" s="2" t="s">
        <v>26</v>
      </c>
      <c r="M280" s="8" t="s">
        <v>28</v>
      </c>
      <c r="N280" s="6" t="s">
        <v>2264</v>
      </c>
      <c r="O280" s="6" t="s">
        <v>30</v>
      </c>
      <c r="P280" s="2" t="s">
        <v>10830</v>
      </c>
    </row>
    <row r="281" spans="1:16" ht="13.15" x14ac:dyDescent="0.4">
      <c r="A281" s="2" t="s">
        <v>10782</v>
      </c>
      <c r="B281" s="2" t="s">
        <v>5881</v>
      </c>
      <c r="C281" s="6" t="s">
        <v>5879</v>
      </c>
      <c r="D281" s="6" t="s">
        <v>42</v>
      </c>
      <c r="E281" s="7">
        <v>44927</v>
      </c>
      <c r="F281" s="8" t="s">
        <v>77</v>
      </c>
      <c r="G281" s="2" t="s">
        <v>26</v>
      </c>
      <c r="H281" s="8" t="s">
        <v>28</v>
      </c>
      <c r="I281" s="2" t="s">
        <v>26</v>
      </c>
      <c r="J281" s="7">
        <v>44927</v>
      </c>
      <c r="K281" s="8" t="s">
        <v>77</v>
      </c>
      <c r="L281" s="2" t="s">
        <v>26</v>
      </c>
      <c r="M281" s="8" t="s">
        <v>28</v>
      </c>
      <c r="N281" s="6" t="s">
        <v>2264</v>
      </c>
      <c r="O281" s="6" t="s">
        <v>30</v>
      </c>
      <c r="P281" s="2" t="s">
        <v>10839</v>
      </c>
    </row>
    <row r="282" spans="1:16" ht="13.15" x14ac:dyDescent="0.4">
      <c r="A282" s="2" t="s">
        <v>10783</v>
      </c>
      <c r="B282" s="2" t="s">
        <v>5881</v>
      </c>
      <c r="C282" s="6" t="s">
        <v>5879</v>
      </c>
      <c r="D282" s="6" t="s">
        <v>42</v>
      </c>
      <c r="E282" s="7">
        <v>44927</v>
      </c>
      <c r="F282" s="8" t="s">
        <v>77</v>
      </c>
      <c r="G282" s="2" t="s">
        <v>26</v>
      </c>
      <c r="H282" s="8" t="s">
        <v>28</v>
      </c>
      <c r="I282" s="2" t="s">
        <v>26</v>
      </c>
      <c r="J282" s="7">
        <v>44927</v>
      </c>
      <c r="K282" s="8" t="s">
        <v>77</v>
      </c>
      <c r="L282" s="2" t="s">
        <v>26</v>
      </c>
      <c r="M282" s="8" t="s">
        <v>28</v>
      </c>
      <c r="N282" s="6" t="s">
        <v>2264</v>
      </c>
      <c r="O282" s="6" t="s">
        <v>30</v>
      </c>
      <c r="P282" s="2" t="s">
        <v>10840</v>
      </c>
    </row>
    <row r="283" spans="1:16" ht="13.15" x14ac:dyDescent="0.4">
      <c r="A283" s="2" t="s">
        <v>10789</v>
      </c>
      <c r="B283" s="2" t="s">
        <v>5881</v>
      </c>
      <c r="C283" s="6" t="s">
        <v>5879</v>
      </c>
      <c r="D283" s="6" t="s">
        <v>42</v>
      </c>
      <c r="E283" s="7">
        <v>44927</v>
      </c>
      <c r="F283" s="8" t="s">
        <v>77</v>
      </c>
      <c r="G283" s="2" t="s">
        <v>26</v>
      </c>
      <c r="H283" s="8" t="s">
        <v>28</v>
      </c>
      <c r="I283" s="2" t="s">
        <v>26</v>
      </c>
      <c r="J283" s="7">
        <v>44927</v>
      </c>
      <c r="K283" s="8" t="s">
        <v>77</v>
      </c>
      <c r="L283" s="2" t="s">
        <v>26</v>
      </c>
      <c r="M283" s="8" t="s">
        <v>28</v>
      </c>
      <c r="N283" s="6" t="s">
        <v>2264</v>
      </c>
      <c r="O283" s="6" t="s">
        <v>30</v>
      </c>
      <c r="P283" s="2" t="s">
        <v>10846</v>
      </c>
    </row>
    <row r="284" spans="1:16" ht="13.15" x14ac:dyDescent="0.4">
      <c r="A284" s="2" t="s">
        <v>10766</v>
      </c>
      <c r="B284" s="2" t="s">
        <v>5881</v>
      </c>
      <c r="C284" s="6" t="s">
        <v>5879</v>
      </c>
      <c r="D284" s="6" t="s">
        <v>42</v>
      </c>
      <c r="E284" s="7">
        <v>44927</v>
      </c>
      <c r="F284" s="8" t="s">
        <v>77</v>
      </c>
      <c r="G284" s="2" t="s">
        <v>26</v>
      </c>
      <c r="H284" s="8" t="s">
        <v>28</v>
      </c>
      <c r="I284" s="2" t="s">
        <v>26</v>
      </c>
      <c r="J284" s="7">
        <v>44927</v>
      </c>
      <c r="K284" s="8" t="s">
        <v>77</v>
      </c>
      <c r="L284" s="2" t="s">
        <v>26</v>
      </c>
      <c r="M284" s="8" t="s">
        <v>28</v>
      </c>
      <c r="N284" s="6" t="s">
        <v>2264</v>
      </c>
      <c r="O284" s="6" t="s">
        <v>30</v>
      </c>
      <c r="P284" s="2" t="s">
        <v>10823</v>
      </c>
    </row>
    <row r="285" spans="1:16" ht="13.15" x14ac:dyDescent="0.4">
      <c r="A285" s="2" t="s">
        <v>10808</v>
      </c>
      <c r="B285" s="2" t="s">
        <v>5881</v>
      </c>
      <c r="C285" s="6" t="s">
        <v>5879</v>
      </c>
      <c r="D285" s="6" t="s">
        <v>42</v>
      </c>
      <c r="E285" s="7">
        <v>44927</v>
      </c>
      <c r="F285" s="8" t="s">
        <v>77</v>
      </c>
      <c r="G285" s="2" t="s">
        <v>26</v>
      </c>
      <c r="H285" s="8" t="s">
        <v>28</v>
      </c>
      <c r="I285" s="2" t="s">
        <v>26</v>
      </c>
      <c r="J285" s="7">
        <v>44927</v>
      </c>
      <c r="K285" s="8" t="s">
        <v>77</v>
      </c>
      <c r="L285" s="2" t="s">
        <v>26</v>
      </c>
      <c r="M285" s="8" t="s">
        <v>28</v>
      </c>
      <c r="N285" s="6" t="s">
        <v>2264</v>
      </c>
      <c r="O285" s="6" t="s">
        <v>30</v>
      </c>
      <c r="P285" s="2" t="s">
        <v>10866</v>
      </c>
    </row>
    <row r="286" spans="1:16" ht="13.15" x14ac:dyDescent="0.4">
      <c r="A286" s="2" t="s">
        <v>10758</v>
      </c>
      <c r="B286" s="2" t="s">
        <v>5881</v>
      </c>
      <c r="C286" s="6" t="s">
        <v>5879</v>
      </c>
      <c r="D286" s="6" t="s">
        <v>42</v>
      </c>
      <c r="E286" s="7">
        <v>44927</v>
      </c>
      <c r="F286" s="8" t="s">
        <v>77</v>
      </c>
      <c r="G286" s="2" t="s">
        <v>26</v>
      </c>
      <c r="H286" s="8" t="s">
        <v>28</v>
      </c>
      <c r="I286" s="2" t="s">
        <v>26</v>
      </c>
      <c r="J286" s="7">
        <v>44927</v>
      </c>
      <c r="K286" s="8" t="s">
        <v>77</v>
      </c>
      <c r="L286" s="2" t="s">
        <v>26</v>
      </c>
      <c r="M286" s="8" t="s">
        <v>28</v>
      </c>
      <c r="N286" s="6" t="s">
        <v>2264</v>
      </c>
      <c r="O286" s="6" t="s">
        <v>30</v>
      </c>
      <c r="P286" s="2" t="s">
        <v>10815</v>
      </c>
    </row>
    <row r="287" spans="1:16" ht="13.15" x14ac:dyDescent="0.4">
      <c r="A287" s="2" t="s">
        <v>10761</v>
      </c>
      <c r="B287" s="2" t="s">
        <v>5881</v>
      </c>
      <c r="C287" s="6" t="s">
        <v>5879</v>
      </c>
      <c r="D287" s="6" t="s">
        <v>42</v>
      </c>
      <c r="E287" s="7">
        <v>44927</v>
      </c>
      <c r="F287" s="8" t="s">
        <v>77</v>
      </c>
      <c r="G287" s="2" t="s">
        <v>26</v>
      </c>
      <c r="H287" s="8" t="s">
        <v>28</v>
      </c>
      <c r="I287" s="2" t="s">
        <v>26</v>
      </c>
      <c r="J287" s="7">
        <v>44927</v>
      </c>
      <c r="K287" s="8" t="s">
        <v>77</v>
      </c>
      <c r="L287" s="2" t="s">
        <v>26</v>
      </c>
      <c r="M287" s="8" t="s">
        <v>28</v>
      </c>
      <c r="N287" s="6" t="s">
        <v>2264</v>
      </c>
      <c r="O287" s="6" t="s">
        <v>30</v>
      </c>
      <c r="P287" s="2" t="s">
        <v>10818</v>
      </c>
    </row>
    <row r="288" spans="1:16" ht="13.15" x14ac:dyDescent="0.4">
      <c r="A288" s="2" t="s">
        <v>10800</v>
      </c>
      <c r="B288" s="2" t="s">
        <v>5881</v>
      </c>
      <c r="C288" s="6" t="s">
        <v>5879</v>
      </c>
      <c r="D288" s="6" t="s">
        <v>42</v>
      </c>
      <c r="E288" s="7">
        <v>44927</v>
      </c>
      <c r="F288" s="8" t="s">
        <v>77</v>
      </c>
      <c r="G288" s="2" t="s">
        <v>26</v>
      </c>
      <c r="H288" s="8" t="s">
        <v>28</v>
      </c>
      <c r="I288" s="2" t="s">
        <v>26</v>
      </c>
      <c r="J288" s="7">
        <v>44927</v>
      </c>
      <c r="K288" s="8" t="s">
        <v>77</v>
      </c>
      <c r="L288" s="2" t="s">
        <v>26</v>
      </c>
      <c r="M288" s="8" t="s">
        <v>28</v>
      </c>
      <c r="N288" s="6" t="s">
        <v>2264</v>
      </c>
      <c r="O288" s="6" t="s">
        <v>30</v>
      </c>
      <c r="P288" s="2" t="s">
        <v>10857</v>
      </c>
    </row>
    <row r="289" spans="1:16" ht="13.15" x14ac:dyDescent="0.4">
      <c r="A289" s="2" t="s">
        <v>10795</v>
      </c>
      <c r="B289" s="2" t="s">
        <v>5881</v>
      </c>
      <c r="C289" s="6" t="s">
        <v>5879</v>
      </c>
      <c r="D289" s="6" t="s">
        <v>42</v>
      </c>
      <c r="E289" s="7">
        <v>44927</v>
      </c>
      <c r="F289" s="8" t="s">
        <v>77</v>
      </c>
      <c r="G289" s="2" t="s">
        <v>26</v>
      </c>
      <c r="H289" s="8" t="s">
        <v>28</v>
      </c>
      <c r="I289" s="2" t="s">
        <v>26</v>
      </c>
      <c r="J289" s="7">
        <v>44927</v>
      </c>
      <c r="K289" s="8" t="s">
        <v>77</v>
      </c>
      <c r="L289" s="2" t="s">
        <v>26</v>
      </c>
      <c r="M289" s="8" t="s">
        <v>28</v>
      </c>
      <c r="N289" s="6" t="s">
        <v>2264</v>
      </c>
      <c r="O289" s="6" t="s">
        <v>30</v>
      </c>
      <c r="P289" s="2" t="s">
        <v>10852</v>
      </c>
    </row>
    <row r="290" spans="1:16" ht="13.15" x14ac:dyDescent="0.4">
      <c r="A290" s="2" t="s">
        <v>10793</v>
      </c>
      <c r="B290" s="2" t="s">
        <v>5881</v>
      </c>
      <c r="C290" s="6" t="s">
        <v>5879</v>
      </c>
      <c r="D290" s="6" t="s">
        <v>42</v>
      </c>
      <c r="E290" s="7">
        <v>44927</v>
      </c>
      <c r="F290" s="8" t="s">
        <v>77</v>
      </c>
      <c r="G290" s="2" t="s">
        <v>26</v>
      </c>
      <c r="H290" s="8" t="s">
        <v>28</v>
      </c>
      <c r="I290" s="2" t="s">
        <v>26</v>
      </c>
      <c r="J290" s="7">
        <v>44927</v>
      </c>
      <c r="K290" s="8" t="s">
        <v>77</v>
      </c>
      <c r="L290" s="2" t="s">
        <v>26</v>
      </c>
      <c r="M290" s="8" t="s">
        <v>28</v>
      </c>
      <c r="N290" s="6" t="s">
        <v>2264</v>
      </c>
      <c r="O290" s="6" t="s">
        <v>30</v>
      </c>
      <c r="P290" s="2" t="s">
        <v>10850</v>
      </c>
    </row>
    <row r="291" spans="1:16" ht="13.15" x14ac:dyDescent="0.4">
      <c r="A291" s="2" t="s">
        <v>10806</v>
      </c>
      <c r="B291" s="2" t="s">
        <v>5881</v>
      </c>
      <c r="C291" s="6" t="s">
        <v>5879</v>
      </c>
      <c r="D291" s="6" t="s">
        <v>42</v>
      </c>
      <c r="E291" s="7">
        <v>44927</v>
      </c>
      <c r="F291" s="8" t="s">
        <v>77</v>
      </c>
      <c r="G291" s="2" t="s">
        <v>26</v>
      </c>
      <c r="H291" s="8" t="s">
        <v>28</v>
      </c>
      <c r="I291" s="2" t="s">
        <v>26</v>
      </c>
      <c r="J291" s="7">
        <v>44927</v>
      </c>
      <c r="K291" s="8" t="s">
        <v>77</v>
      </c>
      <c r="L291" s="2" t="s">
        <v>26</v>
      </c>
      <c r="M291" s="8" t="s">
        <v>28</v>
      </c>
      <c r="N291" s="6" t="s">
        <v>2264</v>
      </c>
      <c r="O291" s="6" t="s">
        <v>30</v>
      </c>
      <c r="P291" s="2" t="s">
        <v>10864</v>
      </c>
    </row>
    <row r="292" spans="1:16" ht="13.15" x14ac:dyDescent="0.4">
      <c r="A292" s="2" t="s">
        <v>10765</v>
      </c>
      <c r="B292" s="2" t="s">
        <v>5881</v>
      </c>
      <c r="C292" s="6" t="s">
        <v>5879</v>
      </c>
      <c r="D292" s="6" t="s">
        <v>42</v>
      </c>
      <c r="E292" s="7">
        <v>44927</v>
      </c>
      <c r="F292" s="8" t="s">
        <v>77</v>
      </c>
      <c r="G292" s="2" t="s">
        <v>26</v>
      </c>
      <c r="H292" s="8" t="s">
        <v>28</v>
      </c>
      <c r="I292" s="2" t="s">
        <v>26</v>
      </c>
      <c r="J292" s="7">
        <v>44927</v>
      </c>
      <c r="K292" s="8" t="s">
        <v>77</v>
      </c>
      <c r="L292" s="2" t="s">
        <v>26</v>
      </c>
      <c r="M292" s="8" t="s">
        <v>28</v>
      </c>
      <c r="N292" s="6" t="s">
        <v>2264</v>
      </c>
      <c r="O292" s="6" t="s">
        <v>30</v>
      </c>
      <c r="P292" s="2" t="s">
        <v>10822</v>
      </c>
    </row>
    <row r="293" spans="1:16" ht="13.15" x14ac:dyDescent="0.4">
      <c r="A293" s="2" t="s">
        <v>10803</v>
      </c>
      <c r="B293" s="2" t="s">
        <v>5881</v>
      </c>
      <c r="C293" s="6" t="s">
        <v>5879</v>
      </c>
      <c r="D293" s="6" t="s">
        <v>42</v>
      </c>
      <c r="E293" s="7">
        <v>44927</v>
      </c>
      <c r="F293" s="8" t="s">
        <v>77</v>
      </c>
      <c r="G293" s="2" t="s">
        <v>26</v>
      </c>
      <c r="H293" s="8" t="s">
        <v>28</v>
      </c>
      <c r="I293" s="2" t="s">
        <v>26</v>
      </c>
      <c r="J293" s="7">
        <v>44927</v>
      </c>
      <c r="K293" s="8" t="s">
        <v>77</v>
      </c>
      <c r="L293" s="2" t="s">
        <v>26</v>
      </c>
      <c r="M293" s="8" t="s">
        <v>28</v>
      </c>
      <c r="N293" s="6" t="s">
        <v>2264</v>
      </c>
      <c r="O293" s="6" t="s">
        <v>30</v>
      </c>
      <c r="P293" s="2" t="s">
        <v>10861</v>
      </c>
    </row>
    <row r="294" spans="1:16" ht="13.15" x14ac:dyDescent="0.4">
      <c r="A294" s="2" t="s">
        <v>10792</v>
      </c>
      <c r="B294" s="2" t="s">
        <v>5881</v>
      </c>
      <c r="C294" s="6" t="s">
        <v>5879</v>
      </c>
      <c r="D294" s="6" t="s">
        <v>42</v>
      </c>
      <c r="E294" s="7">
        <v>44927</v>
      </c>
      <c r="F294" s="8" t="s">
        <v>77</v>
      </c>
      <c r="G294" s="2" t="s">
        <v>26</v>
      </c>
      <c r="H294" s="8" t="s">
        <v>28</v>
      </c>
      <c r="I294" s="2" t="s">
        <v>26</v>
      </c>
      <c r="J294" s="7">
        <v>44927</v>
      </c>
      <c r="K294" s="8" t="s">
        <v>77</v>
      </c>
      <c r="L294" s="2" t="s">
        <v>26</v>
      </c>
      <c r="M294" s="8" t="s">
        <v>28</v>
      </c>
      <c r="N294" s="6" t="s">
        <v>2264</v>
      </c>
      <c r="O294" s="6" t="s">
        <v>30</v>
      </c>
      <c r="P294" s="2" t="s">
        <v>10849</v>
      </c>
    </row>
    <row r="295" spans="1:16" ht="13.15" x14ac:dyDescent="0.4">
      <c r="A295" s="2" t="s">
        <v>10807</v>
      </c>
      <c r="B295" s="2" t="s">
        <v>5881</v>
      </c>
      <c r="C295" s="6" t="s">
        <v>5879</v>
      </c>
      <c r="D295" s="6" t="s">
        <v>42</v>
      </c>
      <c r="E295" s="7">
        <v>44927</v>
      </c>
      <c r="F295" s="8" t="s">
        <v>77</v>
      </c>
      <c r="G295" s="2" t="s">
        <v>26</v>
      </c>
      <c r="H295" s="8" t="s">
        <v>28</v>
      </c>
      <c r="I295" s="2" t="s">
        <v>26</v>
      </c>
      <c r="J295" s="7">
        <v>44927</v>
      </c>
      <c r="K295" s="8" t="s">
        <v>77</v>
      </c>
      <c r="L295" s="2" t="s">
        <v>26</v>
      </c>
      <c r="M295" s="8" t="s">
        <v>28</v>
      </c>
      <c r="N295" s="6" t="s">
        <v>2264</v>
      </c>
      <c r="O295" s="6" t="s">
        <v>30</v>
      </c>
      <c r="P295" s="2" t="s">
        <v>10865</v>
      </c>
    </row>
    <row r="296" spans="1:16" ht="13.15" x14ac:dyDescent="0.4">
      <c r="A296" s="2" t="s">
        <v>10757</v>
      </c>
      <c r="B296" s="2" t="s">
        <v>5881</v>
      </c>
      <c r="C296" s="6" t="s">
        <v>5879</v>
      </c>
      <c r="D296" s="6" t="s">
        <v>42</v>
      </c>
      <c r="E296" s="7">
        <v>44927</v>
      </c>
      <c r="F296" s="8" t="s">
        <v>77</v>
      </c>
      <c r="G296" s="2" t="s">
        <v>26</v>
      </c>
      <c r="H296" s="8" t="s">
        <v>28</v>
      </c>
      <c r="I296" s="2" t="s">
        <v>26</v>
      </c>
      <c r="J296" s="7">
        <v>44927</v>
      </c>
      <c r="K296" s="8" t="s">
        <v>77</v>
      </c>
      <c r="L296" s="2" t="s">
        <v>26</v>
      </c>
      <c r="M296" s="8" t="s">
        <v>28</v>
      </c>
      <c r="N296" s="6" t="s">
        <v>2264</v>
      </c>
      <c r="O296" s="6" t="s">
        <v>30</v>
      </c>
      <c r="P296" s="2" t="s">
        <v>10814</v>
      </c>
    </row>
    <row r="297" spans="1:16" ht="13.15" x14ac:dyDescent="0.4">
      <c r="A297" s="2" t="s">
        <v>10804</v>
      </c>
      <c r="B297" s="2" t="s">
        <v>5881</v>
      </c>
      <c r="C297" s="6" t="s">
        <v>5879</v>
      </c>
      <c r="D297" s="6" t="s">
        <v>42</v>
      </c>
      <c r="E297" s="7">
        <v>44927</v>
      </c>
      <c r="F297" s="8" t="s">
        <v>77</v>
      </c>
      <c r="G297" s="2" t="s">
        <v>26</v>
      </c>
      <c r="H297" s="8" t="s">
        <v>28</v>
      </c>
      <c r="I297" s="2" t="s">
        <v>26</v>
      </c>
      <c r="J297" s="7">
        <v>44927</v>
      </c>
      <c r="K297" s="8" t="s">
        <v>77</v>
      </c>
      <c r="L297" s="2" t="s">
        <v>26</v>
      </c>
      <c r="M297" s="8" t="s">
        <v>28</v>
      </c>
      <c r="N297" s="6" t="s">
        <v>2264</v>
      </c>
      <c r="O297" s="6" t="s">
        <v>30</v>
      </c>
      <c r="P297" s="2" t="s">
        <v>10862</v>
      </c>
    </row>
    <row r="298" spans="1:16" ht="13.15" x14ac:dyDescent="0.4">
      <c r="A298" s="2" t="s">
        <v>10756</v>
      </c>
      <c r="B298" s="2" t="s">
        <v>5881</v>
      </c>
      <c r="C298" s="6" t="s">
        <v>5879</v>
      </c>
      <c r="D298" s="6" t="s">
        <v>42</v>
      </c>
      <c r="E298" s="7">
        <v>44927</v>
      </c>
      <c r="F298" s="8" t="s">
        <v>77</v>
      </c>
      <c r="G298" s="2" t="s">
        <v>26</v>
      </c>
      <c r="H298" s="8" t="s">
        <v>28</v>
      </c>
      <c r="I298" s="2" t="s">
        <v>26</v>
      </c>
      <c r="J298" s="7">
        <v>44927</v>
      </c>
      <c r="K298" s="8" t="s">
        <v>77</v>
      </c>
      <c r="L298" s="2" t="s">
        <v>26</v>
      </c>
      <c r="M298" s="8" t="s">
        <v>28</v>
      </c>
      <c r="N298" s="6" t="s">
        <v>2264</v>
      </c>
      <c r="O298" s="6" t="s">
        <v>30</v>
      </c>
      <c r="P298" s="2" t="s">
        <v>10813</v>
      </c>
    </row>
    <row r="299" spans="1:16" ht="13.15" x14ac:dyDescent="0.4">
      <c r="A299" s="2" t="s">
        <v>10775</v>
      </c>
      <c r="B299" s="2" t="s">
        <v>5881</v>
      </c>
      <c r="C299" s="6" t="s">
        <v>5879</v>
      </c>
      <c r="D299" s="6" t="s">
        <v>42</v>
      </c>
      <c r="E299" s="7">
        <v>44927</v>
      </c>
      <c r="F299" s="8" t="s">
        <v>77</v>
      </c>
      <c r="G299" s="2" t="s">
        <v>26</v>
      </c>
      <c r="H299" s="8" t="s">
        <v>28</v>
      </c>
      <c r="I299" s="2" t="s">
        <v>26</v>
      </c>
      <c r="J299" s="7">
        <v>44927</v>
      </c>
      <c r="K299" s="8" t="s">
        <v>77</v>
      </c>
      <c r="L299" s="2" t="s">
        <v>26</v>
      </c>
      <c r="M299" s="8" t="s">
        <v>28</v>
      </c>
      <c r="N299" s="6" t="s">
        <v>2264</v>
      </c>
      <c r="O299" s="6" t="s">
        <v>30</v>
      </c>
      <c r="P299" s="2" t="s">
        <v>10832</v>
      </c>
    </row>
    <row r="300" spans="1:16" ht="13.15" x14ac:dyDescent="0.4">
      <c r="A300" s="2" t="s">
        <v>10788</v>
      </c>
      <c r="B300" s="2" t="s">
        <v>5881</v>
      </c>
      <c r="C300" s="6" t="s">
        <v>5879</v>
      </c>
      <c r="D300" s="6" t="s">
        <v>42</v>
      </c>
      <c r="E300" s="7">
        <v>44927</v>
      </c>
      <c r="F300" s="8" t="s">
        <v>77</v>
      </c>
      <c r="G300" s="2" t="s">
        <v>26</v>
      </c>
      <c r="H300" s="8" t="s">
        <v>28</v>
      </c>
      <c r="I300" s="2" t="s">
        <v>26</v>
      </c>
      <c r="J300" s="7">
        <v>44927</v>
      </c>
      <c r="K300" s="8" t="s">
        <v>77</v>
      </c>
      <c r="L300" s="2" t="s">
        <v>26</v>
      </c>
      <c r="M300" s="8" t="s">
        <v>28</v>
      </c>
      <c r="N300" s="6" t="s">
        <v>2264</v>
      </c>
      <c r="O300" s="6" t="s">
        <v>30</v>
      </c>
      <c r="P300" s="2" t="s">
        <v>10845</v>
      </c>
    </row>
    <row r="301" spans="1:16" ht="13.15" x14ac:dyDescent="0.4">
      <c r="A301" s="2" t="s">
        <v>10755</v>
      </c>
      <c r="B301" s="2" t="s">
        <v>5881</v>
      </c>
      <c r="C301" s="6" t="s">
        <v>5879</v>
      </c>
      <c r="D301" s="6" t="s">
        <v>42</v>
      </c>
      <c r="E301" s="7">
        <v>44927</v>
      </c>
      <c r="F301" s="8" t="s">
        <v>77</v>
      </c>
      <c r="G301" s="2" t="s">
        <v>26</v>
      </c>
      <c r="H301" s="8" t="s">
        <v>28</v>
      </c>
      <c r="I301" s="2" t="s">
        <v>26</v>
      </c>
      <c r="J301" s="7">
        <v>44927</v>
      </c>
      <c r="K301" s="8" t="s">
        <v>77</v>
      </c>
      <c r="L301" s="2" t="s">
        <v>26</v>
      </c>
      <c r="M301" s="8" t="s">
        <v>28</v>
      </c>
      <c r="N301" s="6" t="s">
        <v>2264</v>
      </c>
      <c r="O301" s="6" t="s">
        <v>30</v>
      </c>
      <c r="P301" s="2" t="s">
        <v>10812</v>
      </c>
    </row>
    <row r="302" spans="1:16" ht="13.15" x14ac:dyDescent="0.4">
      <c r="A302" s="2" t="s">
        <v>10875</v>
      </c>
      <c r="B302" s="2" t="s">
        <v>5882</v>
      </c>
      <c r="C302" s="6" t="s">
        <v>5879</v>
      </c>
      <c r="D302" s="6" t="s">
        <v>42</v>
      </c>
      <c r="E302" s="7">
        <v>44927</v>
      </c>
      <c r="F302" s="8" t="s">
        <v>77</v>
      </c>
      <c r="G302" s="2" t="s">
        <v>26</v>
      </c>
      <c r="H302" s="8" t="s">
        <v>28</v>
      </c>
      <c r="I302" s="2" t="s">
        <v>26</v>
      </c>
      <c r="J302" s="7">
        <v>44927</v>
      </c>
      <c r="K302" s="8" t="s">
        <v>77</v>
      </c>
      <c r="L302" s="2" t="s">
        <v>26</v>
      </c>
      <c r="M302" s="8" t="s">
        <v>28</v>
      </c>
      <c r="N302" s="6" t="s">
        <v>2264</v>
      </c>
      <c r="O302" s="6" t="s">
        <v>30</v>
      </c>
      <c r="P302" s="2" t="s">
        <v>10917</v>
      </c>
    </row>
    <row r="303" spans="1:16" ht="13.15" x14ac:dyDescent="0.4">
      <c r="A303" s="2" t="s">
        <v>10870</v>
      </c>
      <c r="B303" s="2" t="s">
        <v>5882</v>
      </c>
      <c r="C303" s="6" t="s">
        <v>5879</v>
      </c>
      <c r="D303" s="6" t="s">
        <v>42</v>
      </c>
      <c r="E303" s="7">
        <v>44927</v>
      </c>
      <c r="F303" s="8" t="s">
        <v>77</v>
      </c>
      <c r="G303" s="2" t="s">
        <v>26</v>
      </c>
      <c r="H303" s="8" t="s">
        <v>28</v>
      </c>
      <c r="I303" s="2" t="s">
        <v>26</v>
      </c>
      <c r="J303" s="7">
        <v>44927</v>
      </c>
      <c r="K303" s="8" t="s">
        <v>77</v>
      </c>
      <c r="L303" s="2" t="s">
        <v>26</v>
      </c>
      <c r="M303" s="8" t="s">
        <v>28</v>
      </c>
      <c r="N303" s="6" t="s">
        <v>2264</v>
      </c>
      <c r="O303" s="6" t="s">
        <v>30</v>
      </c>
      <c r="P303" s="2" t="s">
        <v>10912</v>
      </c>
    </row>
    <row r="304" spans="1:16" ht="13.15" x14ac:dyDescent="0.4">
      <c r="A304" s="2" t="s">
        <v>10889</v>
      </c>
      <c r="B304" s="2" t="s">
        <v>5882</v>
      </c>
      <c r="C304" s="6" t="s">
        <v>5879</v>
      </c>
      <c r="D304" s="6" t="s">
        <v>42</v>
      </c>
      <c r="E304" s="7">
        <v>44927</v>
      </c>
      <c r="F304" s="8" t="s">
        <v>77</v>
      </c>
      <c r="G304" s="2" t="s">
        <v>26</v>
      </c>
      <c r="H304" s="8" t="s">
        <v>28</v>
      </c>
      <c r="I304" s="2" t="s">
        <v>26</v>
      </c>
      <c r="J304" s="7">
        <v>44927</v>
      </c>
      <c r="K304" s="8" t="s">
        <v>77</v>
      </c>
      <c r="L304" s="2" t="s">
        <v>26</v>
      </c>
      <c r="M304" s="8" t="s">
        <v>28</v>
      </c>
      <c r="N304" s="6" t="s">
        <v>2264</v>
      </c>
      <c r="O304" s="6" t="s">
        <v>30</v>
      </c>
      <c r="P304" s="2" t="s">
        <v>10933</v>
      </c>
    </row>
    <row r="305" spans="1:16" ht="13.15" x14ac:dyDescent="0.4">
      <c r="A305" s="2" t="s">
        <v>10871</v>
      </c>
      <c r="B305" s="2" t="s">
        <v>5882</v>
      </c>
      <c r="C305" s="6" t="s">
        <v>5879</v>
      </c>
      <c r="D305" s="6" t="s">
        <v>42</v>
      </c>
      <c r="E305" s="7">
        <v>44927</v>
      </c>
      <c r="F305" s="8" t="s">
        <v>77</v>
      </c>
      <c r="G305" s="2" t="s">
        <v>26</v>
      </c>
      <c r="H305" s="8" t="s">
        <v>28</v>
      </c>
      <c r="I305" s="2" t="s">
        <v>26</v>
      </c>
      <c r="J305" s="7">
        <v>44927</v>
      </c>
      <c r="K305" s="8" t="s">
        <v>77</v>
      </c>
      <c r="L305" s="2" t="s">
        <v>26</v>
      </c>
      <c r="M305" s="8" t="s">
        <v>28</v>
      </c>
      <c r="N305" s="6" t="s">
        <v>2264</v>
      </c>
      <c r="O305" s="6" t="s">
        <v>30</v>
      </c>
      <c r="P305" s="2" t="s">
        <v>10913</v>
      </c>
    </row>
    <row r="306" spans="1:16" ht="13.15" x14ac:dyDescent="0.4">
      <c r="A306" s="2" t="s">
        <v>10868</v>
      </c>
      <c r="B306" s="2" t="s">
        <v>5882</v>
      </c>
      <c r="C306" s="6" t="s">
        <v>5879</v>
      </c>
      <c r="D306" s="6" t="s">
        <v>42</v>
      </c>
      <c r="E306" s="7">
        <v>44927</v>
      </c>
      <c r="F306" s="8" t="s">
        <v>77</v>
      </c>
      <c r="G306" s="2" t="s">
        <v>26</v>
      </c>
      <c r="H306" s="8" t="s">
        <v>28</v>
      </c>
      <c r="I306" s="2" t="s">
        <v>26</v>
      </c>
      <c r="J306" s="7">
        <v>44927</v>
      </c>
      <c r="K306" s="8" t="s">
        <v>77</v>
      </c>
      <c r="L306" s="2" t="s">
        <v>26</v>
      </c>
      <c r="M306" s="8" t="s">
        <v>28</v>
      </c>
      <c r="N306" s="6" t="s">
        <v>2264</v>
      </c>
      <c r="O306" s="6" t="s">
        <v>30</v>
      </c>
      <c r="P306" s="2" t="s">
        <v>10910</v>
      </c>
    </row>
    <row r="307" spans="1:16" ht="13.15" x14ac:dyDescent="0.4">
      <c r="A307" s="2" t="s">
        <v>10886</v>
      </c>
      <c r="B307" s="2" t="s">
        <v>5882</v>
      </c>
      <c r="C307" s="6" t="s">
        <v>5879</v>
      </c>
      <c r="D307" s="6" t="s">
        <v>42</v>
      </c>
      <c r="E307" s="7">
        <v>44927</v>
      </c>
      <c r="F307" s="8" t="s">
        <v>77</v>
      </c>
      <c r="G307" s="2" t="s">
        <v>26</v>
      </c>
      <c r="H307" s="8" t="s">
        <v>28</v>
      </c>
      <c r="I307" s="2" t="s">
        <v>26</v>
      </c>
      <c r="J307" s="7">
        <v>44927</v>
      </c>
      <c r="K307" s="8" t="s">
        <v>77</v>
      </c>
      <c r="L307" s="2" t="s">
        <v>26</v>
      </c>
      <c r="M307" s="8" t="s">
        <v>28</v>
      </c>
      <c r="N307" s="6" t="s">
        <v>2264</v>
      </c>
      <c r="O307" s="6" t="s">
        <v>30</v>
      </c>
      <c r="P307" s="2" t="s">
        <v>10928</v>
      </c>
    </row>
    <row r="308" spans="1:16" ht="13.15" x14ac:dyDescent="0.4">
      <c r="A308" s="2" t="s">
        <v>10876</v>
      </c>
      <c r="B308" s="2" t="s">
        <v>5882</v>
      </c>
      <c r="C308" s="6" t="s">
        <v>5879</v>
      </c>
      <c r="D308" s="6" t="s">
        <v>42</v>
      </c>
      <c r="E308" s="7">
        <v>44927</v>
      </c>
      <c r="F308" s="8" t="s">
        <v>77</v>
      </c>
      <c r="G308" s="2" t="s">
        <v>26</v>
      </c>
      <c r="H308" s="8" t="s">
        <v>28</v>
      </c>
      <c r="I308" s="2" t="s">
        <v>26</v>
      </c>
      <c r="J308" s="7">
        <v>44927</v>
      </c>
      <c r="K308" s="8" t="s">
        <v>77</v>
      </c>
      <c r="L308" s="2" t="s">
        <v>26</v>
      </c>
      <c r="M308" s="8" t="s">
        <v>28</v>
      </c>
      <c r="N308" s="6" t="s">
        <v>2264</v>
      </c>
      <c r="O308" s="6" t="s">
        <v>30</v>
      </c>
      <c r="P308" s="2" t="s">
        <v>10918</v>
      </c>
    </row>
    <row r="309" spans="1:16" ht="13.15" x14ac:dyDescent="0.4">
      <c r="A309" s="2" t="s">
        <v>10873</v>
      </c>
      <c r="B309" s="2" t="s">
        <v>5882</v>
      </c>
      <c r="C309" s="6" t="s">
        <v>5879</v>
      </c>
      <c r="D309" s="6" t="s">
        <v>42</v>
      </c>
      <c r="E309" s="7">
        <v>44927</v>
      </c>
      <c r="F309" s="8" t="s">
        <v>77</v>
      </c>
      <c r="G309" s="2" t="s">
        <v>26</v>
      </c>
      <c r="H309" s="8" t="s">
        <v>28</v>
      </c>
      <c r="I309" s="2" t="s">
        <v>26</v>
      </c>
      <c r="J309" s="7">
        <v>44927</v>
      </c>
      <c r="K309" s="8" t="s">
        <v>77</v>
      </c>
      <c r="L309" s="2" t="s">
        <v>26</v>
      </c>
      <c r="M309" s="8" t="s">
        <v>28</v>
      </c>
      <c r="N309" s="6" t="s">
        <v>2264</v>
      </c>
      <c r="O309" s="6" t="s">
        <v>30</v>
      </c>
      <c r="P309" s="2" t="s">
        <v>10915</v>
      </c>
    </row>
    <row r="310" spans="1:16" ht="13.15" x14ac:dyDescent="0.4">
      <c r="A310" s="2" t="s">
        <v>10867</v>
      </c>
      <c r="B310" s="2" t="s">
        <v>5882</v>
      </c>
      <c r="C310" s="6" t="s">
        <v>5879</v>
      </c>
      <c r="D310" s="6" t="s">
        <v>42</v>
      </c>
      <c r="E310" s="7">
        <v>44927</v>
      </c>
      <c r="F310" s="8" t="s">
        <v>77</v>
      </c>
      <c r="G310" s="2" t="s">
        <v>26</v>
      </c>
      <c r="H310" s="8" t="s">
        <v>28</v>
      </c>
      <c r="I310" s="2" t="s">
        <v>26</v>
      </c>
      <c r="J310" s="7">
        <v>44927</v>
      </c>
      <c r="K310" s="8" t="s">
        <v>77</v>
      </c>
      <c r="L310" s="2" t="s">
        <v>26</v>
      </c>
      <c r="M310" s="8" t="s">
        <v>28</v>
      </c>
      <c r="N310" s="6" t="s">
        <v>2264</v>
      </c>
      <c r="O310" s="6" t="s">
        <v>30</v>
      </c>
      <c r="P310" s="2" t="s">
        <v>10909</v>
      </c>
    </row>
    <row r="311" spans="1:16" ht="13.15" x14ac:dyDescent="0.4">
      <c r="A311" s="2" t="s">
        <v>10894</v>
      </c>
      <c r="B311" s="2" t="s">
        <v>5882</v>
      </c>
      <c r="C311" s="6" t="s">
        <v>5879</v>
      </c>
      <c r="D311" s="6" t="s">
        <v>42</v>
      </c>
      <c r="E311" s="7">
        <v>44927</v>
      </c>
      <c r="F311" s="8" t="s">
        <v>77</v>
      </c>
      <c r="G311" s="2" t="s">
        <v>26</v>
      </c>
      <c r="H311" s="8" t="s">
        <v>28</v>
      </c>
      <c r="I311" s="2" t="s">
        <v>26</v>
      </c>
      <c r="J311" s="7">
        <v>44927</v>
      </c>
      <c r="K311" s="8" t="s">
        <v>77</v>
      </c>
      <c r="L311" s="2" t="s">
        <v>26</v>
      </c>
      <c r="M311" s="8" t="s">
        <v>28</v>
      </c>
      <c r="N311" s="6" t="s">
        <v>2264</v>
      </c>
      <c r="O311" s="6" t="s">
        <v>30</v>
      </c>
      <c r="P311" s="20" t="s">
        <v>10937</v>
      </c>
    </row>
    <row r="312" spans="1:16" ht="13.15" x14ac:dyDescent="0.4">
      <c r="A312" s="2" t="s">
        <v>10877</v>
      </c>
      <c r="B312" s="2" t="s">
        <v>5882</v>
      </c>
      <c r="C312" s="6" t="s">
        <v>5879</v>
      </c>
      <c r="D312" s="6" t="s">
        <v>42</v>
      </c>
      <c r="E312" s="7">
        <v>44927</v>
      </c>
      <c r="F312" s="8" t="s">
        <v>77</v>
      </c>
      <c r="G312" s="2" t="s">
        <v>26</v>
      </c>
      <c r="H312" s="8" t="s">
        <v>28</v>
      </c>
      <c r="I312" s="2" t="s">
        <v>26</v>
      </c>
      <c r="J312" s="7">
        <v>44927</v>
      </c>
      <c r="K312" s="8" t="s">
        <v>77</v>
      </c>
      <c r="L312" s="2" t="s">
        <v>26</v>
      </c>
      <c r="M312" s="8" t="s">
        <v>28</v>
      </c>
      <c r="N312" s="6" t="s">
        <v>2264</v>
      </c>
      <c r="O312" s="6" t="s">
        <v>30</v>
      </c>
      <c r="P312" s="2" t="s">
        <v>10919</v>
      </c>
    </row>
    <row r="313" spans="1:16" ht="13.15" x14ac:dyDescent="0.4">
      <c r="A313" s="2" t="s">
        <v>10891</v>
      </c>
      <c r="B313" s="2" t="s">
        <v>5882</v>
      </c>
      <c r="C313" s="6" t="s">
        <v>5879</v>
      </c>
      <c r="D313" s="6" t="s">
        <v>42</v>
      </c>
      <c r="E313" s="7">
        <v>44927</v>
      </c>
      <c r="F313" s="8" t="s">
        <v>77</v>
      </c>
      <c r="G313" s="2" t="s">
        <v>26</v>
      </c>
      <c r="H313" s="8" t="s">
        <v>28</v>
      </c>
      <c r="I313" s="2" t="s">
        <v>26</v>
      </c>
      <c r="J313" s="7">
        <v>44927</v>
      </c>
      <c r="K313" s="8" t="s">
        <v>77</v>
      </c>
      <c r="L313" s="2" t="s">
        <v>26</v>
      </c>
      <c r="M313" s="8" t="s">
        <v>28</v>
      </c>
      <c r="N313" s="6" t="s">
        <v>2264</v>
      </c>
      <c r="O313" s="6" t="s">
        <v>30</v>
      </c>
      <c r="P313" s="2" t="s">
        <v>10935</v>
      </c>
    </row>
    <row r="314" spans="1:16" ht="13.15" x14ac:dyDescent="0.4">
      <c r="A314" s="2" t="s">
        <v>10869</v>
      </c>
      <c r="B314" s="2" t="s">
        <v>5882</v>
      </c>
      <c r="C314" s="6" t="s">
        <v>5879</v>
      </c>
      <c r="D314" s="6" t="s">
        <v>42</v>
      </c>
      <c r="E314" s="7">
        <v>44927</v>
      </c>
      <c r="F314" s="8" t="s">
        <v>77</v>
      </c>
      <c r="G314" s="2" t="s">
        <v>26</v>
      </c>
      <c r="H314" s="8" t="s">
        <v>28</v>
      </c>
      <c r="I314" s="2" t="s">
        <v>26</v>
      </c>
      <c r="J314" s="7">
        <v>44927</v>
      </c>
      <c r="K314" s="8" t="s">
        <v>77</v>
      </c>
      <c r="L314" s="2" t="s">
        <v>26</v>
      </c>
      <c r="M314" s="8" t="s">
        <v>28</v>
      </c>
      <c r="N314" s="6" t="s">
        <v>2264</v>
      </c>
      <c r="O314" s="6" t="s">
        <v>30</v>
      </c>
      <c r="P314" s="2" t="s">
        <v>10911</v>
      </c>
    </row>
    <row r="315" spans="1:16" ht="13.15" x14ac:dyDescent="0.4">
      <c r="A315" s="2" t="s">
        <v>10887</v>
      </c>
      <c r="B315" s="2" t="s">
        <v>5882</v>
      </c>
      <c r="C315" s="6" t="s">
        <v>5879</v>
      </c>
      <c r="D315" s="6" t="s">
        <v>42</v>
      </c>
      <c r="E315" s="7">
        <v>44927</v>
      </c>
      <c r="F315" s="8" t="s">
        <v>77</v>
      </c>
      <c r="G315" s="2" t="s">
        <v>26</v>
      </c>
      <c r="H315" s="8" t="s">
        <v>28</v>
      </c>
      <c r="I315" s="2" t="s">
        <v>26</v>
      </c>
      <c r="J315" s="7">
        <v>44927</v>
      </c>
      <c r="K315" s="8" t="s">
        <v>77</v>
      </c>
      <c r="L315" s="2" t="s">
        <v>26</v>
      </c>
      <c r="M315" s="8" t="s">
        <v>28</v>
      </c>
      <c r="N315" s="6" t="s">
        <v>2264</v>
      </c>
      <c r="O315" s="6" t="s">
        <v>30</v>
      </c>
      <c r="P315" s="2" t="s">
        <v>10930</v>
      </c>
    </row>
    <row r="316" spans="1:16" ht="13.15" x14ac:dyDescent="0.4">
      <c r="A316" s="2" t="s">
        <v>10879</v>
      </c>
      <c r="B316" s="2" t="s">
        <v>5882</v>
      </c>
      <c r="C316" s="6" t="s">
        <v>5879</v>
      </c>
      <c r="D316" s="6" t="s">
        <v>42</v>
      </c>
      <c r="E316" s="7">
        <v>44927</v>
      </c>
      <c r="F316" s="8" t="s">
        <v>77</v>
      </c>
      <c r="G316" s="2" t="s">
        <v>26</v>
      </c>
      <c r="H316" s="8" t="s">
        <v>28</v>
      </c>
      <c r="I316" s="2" t="s">
        <v>26</v>
      </c>
      <c r="J316" s="7">
        <v>44927</v>
      </c>
      <c r="K316" s="8" t="s">
        <v>77</v>
      </c>
      <c r="L316" s="2" t="s">
        <v>26</v>
      </c>
      <c r="M316" s="8" t="s">
        <v>28</v>
      </c>
      <c r="N316" s="6" t="s">
        <v>2264</v>
      </c>
      <c r="O316" s="6" t="s">
        <v>30</v>
      </c>
      <c r="P316" s="2" t="s">
        <v>10921</v>
      </c>
    </row>
    <row r="317" spans="1:16" ht="13.15" x14ac:dyDescent="0.4">
      <c r="A317" s="2" t="s">
        <v>10890</v>
      </c>
      <c r="B317" s="2" t="s">
        <v>5882</v>
      </c>
      <c r="C317" s="6" t="s">
        <v>5879</v>
      </c>
      <c r="D317" s="6" t="s">
        <v>42</v>
      </c>
      <c r="E317" s="7">
        <v>44927</v>
      </c>
      <c r="F317" s="8" t="s">
        <v>77</v>
      </c>
      <c r="G317" s="2" t="s">
        <v>26</v>
      </c>
      <c r="H317" s="8" t="s">
        <v>28</v>
      </c>
      <c r="I317" s="2" t="s">
        <v>26</v>
      </c>
      <c r="J317" s="7">
        <v>44927</v>
      </c>
      <c r="K317" s="8" t="s">
        <v>77</v>
      </c>
      <c r="L317" s="2" t="s">
        <v>26</v>
      </c>
      <c r="M317" s="8" t="s">
        <v>28</v>
      </c>
      <c r="N317" s="6" t="s">
        <v>2264</v>
      </c>
      <c r="O317" s="6" t="s">
        <v>30</v>
      </c>
      <c r="P317" s="2" t="s">
        <v>10934</v>
      </c>
    </row>
    <row r="318" spans="1:16" ht="13.15" x14ac:dyDescent="0.4">
      <c r="A318" s="2" t="s">
        <v>10883</v>
      </c>
      <c r="B318" s="2" t="s">
        <v>5882</v>
      </c>
      <c r="C318" s="6" t="s">
        <v>5879</v>
      </c>
      <c r="D318" s="6" t="s">
        <v>42</v>
      </c>
      <c r="E318" s="7">
        <v>44927</v>
      </c>
      <c r="F318" s="8" t="s">
        <v>77</v>
      </c>
      <c r="G318" s="2" t="s">
        <v>26</v>
      </c>
      <c r="H318" s="8" t="s">
        <v>28</v>
      </c>
      <c r="I318" s="2" t="s">
        <v>26</v>
      </c>
      <c r="J318" s="7">
        <v>44927</v>
      </c>
      <c r="K318" s="8" t="s">
        <v>77</v>
      </c>
      <c r="L318" s="2" t="s">
        <v>26</v>
      </c>
      <c r="M318" s="8" t="s">
        <v>28</v>
      </c>
      <c r="N318" s="6" t="s">
        <v>2264</v>
      </c>
      <c r="O318" s="6" t="s">
        <v>30</v>
      </c>
      <c r="P318" s="2" t="s">
        <v>10925</v>
      </c>
    </row>
    <row r="319" spans="1:16" ht="13.15" x14ac:dyDescent="0.4">
      <c r="A319" s="2" t="s">
        <v>10878</v>
      </c>
      <c r="B319" s="2" t="s">
        <v>5882</v>
      </c>
      <c r="C319" s="6" t="s">
        <v>5879</v>
      </c>
      <c r="D319" s="6" t="s">
        <v>42</v>
      </c>
      <c r="E319" s="7">
        <v>44927</v>
      </c>
      <c r="F319" s="8" t="s">
        <v>77</v>
      </c>
      <c r="G319" s="2" t="s">
        <v>26</v>
      </c>
      <c r="H319" s="8" t="s">
        <v>28</v>
      </c>
      <c r="I319" s="2" t="s">
        <v>26</v>
      </c>
      <c r="J319" s="7">
        <v>44927</v>
      </c>
      <c r="K319" s="8" t="s">
        <v>77</v>
      </c>
      <c r="L319" s="2" t="s">
        <v>26</v>
      </c>
      <c r="M319" s="8" t="s">
        <v>28</v>
      </c>
      <c r="N319" s="6" t="s">
        <v>2264</v>
      </c>
      <c r="O319" s="6" t="s">
        <v>30</v>
      </c>
      <c r="P319" s="2" t="s">
        <v>10920</v>
      </c>
    </row>
    <row r="320" spans="1:16" ht="13.15" x14ac:dyDescent="0.4">
      <c r="A320" s="2" t="s">
        <v>10892</v>
      </c>
      <c r="B320" s="2" t="s">
        <v>5882</v>
      </c>
      <c r="C320" s="6" t="s">
        <v>5879</v>
      </c>
      <c r="D320" s="6" t="s">
        <v>42</v>
      </c>
      <c r="E320" s="7">
        <v>44927</v>
      </c>
      <c r="F320" s="8" t="s">
        <v>77</v>
      </c>
      <c r="G320" s="2" t="s">
        <v>26</v>
      </c>
      <c r="H320" s="8" t="s">
        <v>28</v>
      </c>
      <c r="I320" s="2" t="s">
        <v>26</v>
      </c>
      <c r="J320" s="7">
        <v>44927</v>
      </c>
      <c r="K320" s="8" t="s">
        <v>77</v>
      </c>
      <c r="L320" s="2" t="s">
        <v>26</v>
      </c>
      <c r="M320" s="8" t="s">
        <v>28</v>
      </c>
      <c r="N320" s="6" t="s">
        <v>2264</v>
      </c>
      <c r="O320" s="6" t="s">
        <v>30</v>
      </c>
      <c r="P320" s="2" t="s">
        <v>10936</v>
      </c>
    </row>
    <row r="321" spans="1:16" ht="13.15" x14ac:dyDescent="0.4">
      <c r="A321" s="2" t="s">
        <v>10893</v>
      </c>
      <c r="B321" s="2" t="s">
        <v>5882</v>
      </c>
      <c r="C321" s="6" t="s">
        <v>5879</v>
      </c>
      <c r="D321" s="6" t="s">
        <v>42</v>
      </c>
      <c r="E321" s="7">
        <v>44927</v>
      </c>
      <c r="F321" s="8" t="s">
        <v>77</v>
      </c>
      <c r="G321" s="2" t="s">
        <v>26</v>
      </c>
      <c r="H321" s="8" t="s">
        <v>28</v>
      </c>
      <c r="I321" s="2" t="s">
        <v>26</v>
      </c>
      <c r="J321" s="7">
        <v>44927</v>
      </c>
      <c r="K321" s="8" t="s">
        <v>77</v>
      </c>
      <c r="L321" s="2" t="s">
        <v>26</v>
      </c>
      <c r="M321" s="8" t="s">
        <v>28</v>
      </c>
      <c r="N321" s="6" t="s">
        <v>2264</v>
      </c>
      <c r="O321" s="6" t="s">
        <v>30</v>
      </c>
      <c r="P321" s="2" t="s">
        <v>10937</v>
      </c>
    </row>
    <row r="322" spans="1:16" ht="13.15" x14ac:dyDescent="0.4">
      <c r="A322" s="2" t="s">
        <v>10880</v>
      </c>
      <c r="B322" s="2" t="s">
        <v>5882</v>
      </c>
      <c r="C322" s="6" t="s">
        <v>5879</v>
      </c>
      <c r="D322" s="6" t="s">
        <v>42</v>
      </c>
      <c r="E322" s="7">
        <v>44927</v>
      </c>
      <c r="F322" s="8" t="s">
        <v>77</v>
      </c>
      <c r="G322" s="2" t="s">
        <v>26</v>
      </c>
      <c r="H322" s="8" t="s">
        <v>28</v>
      </c>
      <c r="I322" s="2" t="s">
        <v>26</v>
      </c>
      <c r="J322" s="7">
        <v>44927</v>
      </c>
      <c r="K322" s="8" t="s">
        <v>77</v>
      </c>
      <c r="L322" s="2" t="s">
        <v>26</v>
      </c>
      <c r="M322" s="8" t="s">
        <v>28</v>
      </c>
      <c r="N322" s="6" t="s">
        <v>2264</v>
      </c>
      <c r="O322" s="6" t="s">
        <v>30</v>
      </c>
      <c r="P322" s="2" t="s">
        <v>10922</v>
      </c>
    </row>
    <row r="323" spans="1:16" ht="13.15" x14ac:dyDescent="0.4">
      <c r="A323" s="2" t="s">
        <v>10885</v>
      </c>
      <c r="B323" s="2" t="s">
        <v>5882</v>
      </c>
      <c r="C323" s="6" t="s">
        <v>5879</v>
      </c>
      <c r="D323" s="6" t="s">
        <v>42</v>
      </c>
      <c r="E323" s="7">
        <v>44927</v>
      </c>
      <c r="F323" s="8" t="s">
        <v>77</v>
      </c>
      <c r="G323" s="2" t="s">
        <v>26</v>
      </c>
      <c r="H323" s="8" t="s">
        <v>28</v>
      </c>
      <c r="I323" s="2" t="s">
        <v>26</v>
      </c>
      <c r="J323" s="7">
        <v>44927</v>
      </c>
      <c r="K323" s="8" t="s">
        <v>77</v>
      </c>
      <c r="L323" s="2" t="s">
        <v>26</v>
      </c>
      <c r="M323" s="8" t="s">
        <v>28</v>
      </c>
      <c r="N323" s="6" t="s">
        <v>2264</v>
      </c>
      <c r="O323" s="6" t="s">
        <v>30</v>
      </c>
      <c r="P323" s="2" t="s">
        <v>10927</v>
      </c>
    </row>
    <row r="324" spans="1:16" ht="13.15" x14ac:dyDescent="0.4">
      <c r="A324" s="2" t="s">
        <v>10881</v>
      </c>
      <c r="B324" s="2" t="s">
        <v>5882</v>
      </c>
      <c r="C324" s="6" t="s">
        <v>5879</v>
      </c>
      <c r="D324" s="6" t="s">
        <v>42</v>
      </c>
      <c r="E324" s="7">
        <v>44927</v>
      </c>
      <c r="F324" s="8" t="s">
        <v>77</v>
      </c>
      <c r="G324" s="2" t="s">
        <v>26</v>
      </c>
      <c r="H324" s="8" t="s">
        <v>28</v>
      </c>
      <c r="I324" s="2" t="s">
        <v>26</v>
      </c>
      <c r="J324" s="7">
        <v>44927</v>
      </c>
      <c r="K324" s="8" t="s">
        <v>77</v>
      </c>
      <c r="L324" s="2" t="s">
        <v>26</v>
      </c>
      <c r="M324" s="8" t="s">
        <v>28</v>
      </c>
      <c r="N324" s="6" t="s">
        <v>2264</v>
      </c>
      <c r="O324" s="6" t="s">
        <v>30</v>
      </c>
      <c r="P324" s="2" t="s">
        <v>10923</v>
      </c>
    </row>
    <row r="325" spans="1:16" ht="13.15" x14ac:dyDescent="0.4">
      <c r="A325" s="2" t="s">
        <v>10874</v>
      </c>
      <c r="B325" s="2" t="s">
        <v>5882</v>
      </c>
      <c r="C325" s="6" t="s">
        <v>5879</v>
      </c>
      <c r="D325" s="6" t="s">
        <v>42</v>
      </c>
      <c r="E325" s="7">
        <v>44927</v>
      </c>
      <c r="F325" s="8" t="s">
        <v>77</v>
      </c>
      <c r="G325" s="2" t="s">
        <v>26</v>
      </c>
      <c r="H325" s="8" t="s">
        <v>28</v>
      </c>
      <c r="I325" s="2" t="s">
        <v>26</v>
      </c>
      <c r="J325" s="7">
        <v>44927</v>
      </c>
      <c r="K325" s="8" t="s">
        <v>77</v>
      </c>
      <c r="L325" s="2" t="s">
        <v>26</v>
      </c>
      <c r="M325" s="8" t="s">
        <v>28</v>
      </c>
      <c r="N325" s="6" t="s">
        <v>2264</v>
      </c>
      <c r="O325" s="6" t="s">
        <v>30</v>
      </c>
      <c r="P325" s="2" t="s">
        <v>10916</v>
      </c>
    </row>
    <row r="326" spans="1:16" ht="13.15" x14ac:dyDescent="0.4">
      <c r="A326" s="2" t="s">
        <v>10882</v>
      </c>
      <c r="B326" s="2" t="s">
        <v>5882</v>
      </c>
      <c r="C326" s="6" t="s">
        <v>5879</v>
      </c>
      <c r="D326" s="6" t="s">
        <v>42</v>
      </c>
      <c r="E326" s="7">
        <v>44927</v>
      </c>
      <c r="F326" s="8" t="s">
        <v>77</v>
      </c>
      <c r="G326" s="2" t="s">
        <v>26</v>
      </c>
      <c r="H326" s="8" t="s">
        <v>28</v>
      </c>
      <c r="I326" s="2" t="s">
        <v>26</v>
      </c>
      <c r="J326" s="7">
        <v>44927</v>
      </c>
      <c r="K326" s="8" t="s">
        <v>77</v>
      </c>
      <c r="L326" s="2" t="s">
        <v>26</v>
      </c>
      <c r="M326" s="8" t="s">
        <v>28</v>
      </c>
      <c r="N326" s="6" t="s">
        <v>2264</v>
      </c>
      <c r="O326" s="6" t="s">
        <v>30</v>
      </c>
      <c r="P326" s="2" t="s">
        <v>10924</v>
      </c>
    </row>
    <row r="327" spans="1:16" ht="13.15" x14ac:dyDescent="0.4">
      <c r="A327" s="2" t="s">
        <v>10884</v>
      </c>
      <c r="B327" s="2" t="s">
        <v>5882</v>
      </c>
      <c r="C327" s="6" t="s">
        <v>5879</v>
      </c>
      <c r="D327" s="6" t="s">
        <v>42</v>
      </c>
      <c r="E327" s="7">
        <v>44927</v>
      </c>
      <c r="F327" s="8" t="s">
        <v>77</v>
      </c>
      <c r="G327" s="2" t="s">
        <v>26</v>
      </c>
      <c r="H327" s="8" t="s">
        <v>28</v>
      </c>
      <c r="I327" s="2" t="s">
        <v>26</v>
      </c>
      <c r="J327" s="7">
        <v>44927</v>
      </c>
      <c r="K327" s="8" t="s">
        <v>77</v>
      </c>
      <c r="L327" s="2" t="s">
        <v>26</v>
      </c>
      <c r="M327" s="8" t="s">
        <v>28</v>
      </c>
      <c r="N327" s="6" t="s">
        <v>2264</v>
      </c>
      <c r="O327" s="6" t="s">
        <v>30</v>
      </c>
      <c r="P327" s="2" t="s">
        <v>10926</v>
      </c>
    </row>
    <row r="328" spans="1:16" ht="13.15" x14ac:dyDescent="0.4">
      <c r="A328" s="2" t="s">
        <v>10888</v>
      </c>
      <c r="B328" s="2" t="s">
        <v>5882</v>
      </c>
      <c r="C328" s="6" t="s">
        <v>5879</v>
      </c>
      <c r="D328" s="6" t="s">
        <v>42</v>
      </c>
      <c r="E328" s="7">
        <v>44927</v>
      </c>
      <c r="F328" s="8" t="s">
        <v>77</v>
      </c>
      <c r="G328" s="2" t="s">
        <v>26</v>
      </c>
      <c r="H328" s="8" t="s">
        <v>28</v>
      </c>
      <c r="I328" s="2" t="s">
        <v>26</v>
      </c>
      <c r="J328" s="7">
        <v>44927</v>
      </c>
      <c r="K328" s="8" t="s">
        <v>77</v>
      </c>
      <c r="L328" s="2" t="s">
        <v>26</v>
      </c>
      <c r="M328" s="8" t="s">
        <v>28</v>
      </c>
      <c r="N328" s="6" t="s">
        <v>2264</v>
      </c>
      <c r="O328" s="6" t="s">
        <v>30</v>
      </c>
      <c r="P328" s="2" t="s">
        <v>10932</v>
      </c>
    </row>
    <row r="329" spans="1:16" ht="13.15" x14ac:dyDescent="0.4">
      <c r="A329" s="2" t="s">
        <v>10872</v>
      </c>
      <c r="B329" s="2" t="s">
        <v>5882</v>
      </c>
      <c r="C329" s="6" t="s">
        <v>5879</v>
      </c>
      <c r="D329" s="6" t="s">
        <v>42</v>
      </c>
      <c r="E329" s="7">
        <v>44927</v>
      </c>
      <c r="F329" s="8" t="s">
        <v>77</v>
      </c>
      <c r="G329" s="2" t="s">
        <v>26</v>
      </c>
      <c r="H329" s="8" t="s">
        <v>28</v>
      </c>
      <c r="I329" s="2" t="s">
        <v>26</v>
      </c>
      <c r="J329" s="7">
        <v>44927</v>
      </c>
      <c r="K329" s="8" t="s">
        <v>77</v>
      </c>
      <c r="L329" s="2" t="s">
        <v>26</v>
      </c>
      <c r="M329" s="8" t="s">
        <v>28</v>
      </c>
      <c r="N329" s="6" t="s">
        <v>2264</v>
      </c>
      <c r="O329" s="6" t="s">
        <v>30</v>
      </c>
      <c r="P329" s="2" t="s">
        <v>10914</v>
      </c>
    </row>
    <row r="330" spans="1:16" ht="13.15" x14ac:dyDescent="0.4">
      <c r="A330" s="2" t="s">
        <v>7848</v>
      </c>
      <c r="B330" s="2" t="s">
        <v>5882</v>
      </c>
      <c r="C330" s="6" t="s">
        <v>5879</v>
      </c>
      <c r="D330" s="6" t="s">
        <v>42</v>
      </c>
      <c r="E330" s="7">
        <v>44927</v>
      </c>
      <c r="F330" s="8" t="s">
        <v>77</v>
      </c>
      <c r="G330" s="2" t="s">
        <v>26</v>
      </c>
      <c r="H330" s="8" t="s">
        <v>28</v>
      </c>
      <c r="I330" s="2" t="s">
        <v>26</v>
      </c>
      <c r="J330" s="7">
        <v>44927</v>
      </c>
      <c r="K330" s="8" t="s">
        <v>77</v>
      </c>
      <c r="L330" s="2" t="s">
        <v>26</v>
      </c>
      <c r="M330" s="8" t="s">
        <v>28</v>
      </c>
      <c r="N330" s="6" t="s">
        <v>2264</v>
      </c>
      <c r="O330" s="6" t="s">
        <v>30</v>
      </c>
      <c r="P330" s="2" t="s">
        <v>10929</v>
      </c>
    </row>
    <row r="331" spans="1:16" ht="13.15" x14ac:dyDescent="0.4">
      <c r="A331" s="2" t="s">
        <v>10242</v>
      </c>
      <c r="B331" s="2" t="s">
        <v>5882</v>
      </c>
      <c r="C331" s="6" t="s">
        <v>5879</v>
      </c>
      <c r="D331" s="6" t="s">
        <v>42</v>
      </c>
      <c r="E331" s="7">
        <v>44927</v>
      </c>
      <c r="F331" s="8" t="s">
        <v>77</v>
      </c>
      <c r="G331" s="2" t="s">
        <v>26</v>
      </c>
      <c r="H331" s="8" t="s">
        <v>28</v>
      </c>
      <c r="I331" s="2" t="s">
        <v>26</v>
      </c>
      <c r="J331" s="7">
        <v>44927</v>
      </c>
      <c r="K331" s="8" t="s">
        <v>77</v>
      </c>
      <c r="L331" s="2" t="s">
        <v>26</v>
      </c>
      <c r="M331" s="8" t="s">
        <v>28</v>
      </c>
      <c r="N331" s="6" t="s">
        <v>2264</v>
      </c>
      <c r="O331" s="6" t="s">
        <v>30</v>
      </c>
      <c r="P331" s="2" t="s">
        <v>10931</v>
      </c>
    </row>
    <row r="332" spans="1:16" ht="13.15" x14ac:dyDescent="0.4">
      <c r="A332" s="2" t="s">
        <v>7421</v>
      </c>
      <c r="B332" s="2" t="s">
        <v>5883</v>
      </c>
      <c r="C332" s="6" t="s">
        <v>5879</v>
      </c>
      <c r="D332" s="6" t="s">
        <v>42</v>
      </c>
      <c r="E332" s="7">
        <v>44927</v>
      </c>
      <c r="F332" s="8" t="s">
        <v>77</v>
      </c>
      <c r="G332" s="2" t="s">
        <v>26</v>
      </c>
      <c r="H332" s="8" t="s">
        <v>28</v>
      </c>
      <c r="I332" s="2" t="s">
        <v>26</v>
      </c>
      <c r="J332" s="7">
        <v>44927</v>
      </c>
      <c r="K332" s="8" t="s">
        <v>77</v>
      </c>
      <c r="L332" s="2" t="s">
        <v>26</v>
      </c>
      <c r="M332" s="8" t="s">
        <v>28</v>
      </c>
      <c r="N332" s="6" t="s">
        <v>2264</v>
      </c>
      <c r="O332" s="6" t="s">
        <v>30</v>
      </c>
      <c r="P332" s="2" t="s">
        <v>13968</v>
      </c>
    </row>
    <row r="333" spans="1:16" ht="13.15" x14ac:dyDescent="0.4">
      <c r="A333" s="2" t="s">
        <v>13305</v>
      </c>
      <c r="B333" s="2" t="s">
        <v>5883</v>
      </c>
      <c r="C333" s="6" t="s">
        <v>5879</v>
      </c>
      <c r="D333" s="6" t="s">
        <v>42</v>
      </c>
      <c r="E333" s="7">
        <v>44927</v>
      </c>
      <c r="F333" s="8" t="s">
        <v>77</v>
      </c>
      <c r="G333" s="2" t="s">
        <v>26</v>
      </c>
      <c r="H333" s="8" t="s">
        <v>28</v>
      </c>
      <c r="I333" s="2" t="s">
        <v>26</v>
      </c>
      <c r="J333" s="7">
        <v>44927</v>
      </c>
      <c r="K333" s="8" t="s">
        <v>77</v>
      </c>
      <c r="L333" s="2" t="s">
        <v>26</v>
      </c>
      <c r="M333" s="8" t="s">
        <v>28</v>
      </c>
      <c r="N333" s="6" t="s">
        <v>2264</v>
      </c>
      <c r="O333" s="6" t="s">
        <v>30</v>
      </c>
      <c r="P333" s="2" t="s">
        <v>13644</v>
      </c>
    </row>
    <row r="334" spans="1:16" ht="13.15" x14ac:dyDescent="0.4">
      <c r="A334" s="2" t="s">
        <v>13513</v>
      </c>
      <c r="B334" s="2" t="s">
        <v>5883</v>
      </c>
      <c r="C334" s="6" t="s">
        <v>5879</v>
      </c>
      <c r="D334" s="6" t="s">
        <v>42</v>
      </c>
      <c r="E334" s="7">
        <v>44927</v>
      </c>
      <c r="F334" s="8" t="s">
        <v>77</v>
      </c>
      <c r="G334" s="2" t="s">
        <v>26</v>
      </c>
      <c r="H334" s="8" t="s">
        <v>28</v>
      </c>
      <c r="I334" s="2" t="s">
        <v>26</v>
      </c>
      <c r="J334" s="7">
        <v>44927</v>
      </c>
      <c r="K334" s="8" t="s">
        <v>77</v>
      </c>
      <c r="L334" s="2" t="s">
        <v>26</v>
      </c>
      <c r="M334" s="8" t="s">
        <v>28</v>
      </c>
      <c r="N334" s="6" t="s">
        <v>2264</v>
      </c>
      <c r="O334" s="6" t="s">
        <v>30</v>
      </c>
      <c r="P334" s="2" t="s">
        <v>13864</v>
      </c>
    </row>
    <row r="335" spans="1:16" ht="13.15" x14ac:dyDescent="0.4">
      <c r="A335" s="2" t="s">
        <v>13545</v>
      </c>
      <c r="B335" s="2" t="s">
        <v>5883</v>
      </c>
      <c r="C335" s="6" t="s">
        <v>5879</v>
      </c>
      <c r="D335" s="6" t="s">
        <v>42</v>
      </c>
      <c r="E335" s="7">
        <v>44927</v>
      </c>
      <c r="F335" s="8" t="s">
        <v>77</v>
      </c>
      <c r="G335" s="2" t="s">
        <v>26</v>
      </c>
      <c r="H335" s="8" t="s">
        <v>28</v>
      </c>
      <c r="I335" s="2" t="s">
        <v>26</v>
      </c>
      <c r="J335" s="7">
        <v>44927</v>
      </c>
      <c r="K335" s="8" t="s">
        <v>77</v>
      </c>
      <c r="L335" s="2" t="s">
        <v>26</v>
      </c>
      <c r="M335" s="8" t="s">
        <v>28</v>
      </c>
      <c r="N335" s="6" t="s">
        <v>2264</v>
      </c>
      <c r="O335" s="6" t="s">
        <v>30</v>
      </c>
      <c r="P335" s="2" t="s">
        <v>13898</v>
      </c>
    </row>
    <row r="336" spans="1:16" ht="13.15" x14ac:dyDescent="0.4">
      <c r="A336" s="2" t="s">
        <v>13517</v>
      </c>
      <c r="B336" s="2" t="s">
        <v>5883</v>
      </c>
      <c r="C336" s="6" t="s">
        <v>5879</v>
      </c>
      <c r="D336" s="6" t="s">
        <v>42</v>
      </c>
      <c r="E336" s="7">
        <v>44927</v>
      </c>
      <c r="F336" s="8" t="s">
        <v>77</v>
      </c>
      <c r="G336" s="2" t="s">
        <v>26</v>
      </c>
      <c r="H336" s="8" t="s">
        <v>28</v>
      </c>
      <c r="I336" s="2" t="s">
        <v>26</v>
      </c>
      <c r="J336" s="7">
        <v>44927</v>
      </c>
      <c r="K336" s="8" t="s">
        <v>77</v>
      </c>
      <c r="L336" s="2" t="s">
        <v>26</v>
      </c>
      <c r="M336" s="8" t="s">
        <v>28</v>
      </c>
      <c r="N336" s="6" t="s">
        <v>2264</v>
      </c>
      <c r="O336" s="6" t="s">
        <v>30</v>
      </c>
      <c r="P336" s="2" t="s">
        <v>13868</v>
      </c>
    </row>
    <row r="337" spans="1:16" ht="13.15" x14ac:dyDescent="0.4">
      <c r="A337" s="2" t="s">
        <v>13425</v>
      </c>
      <c r="B337" s="2" t="s">
        <v>5883</v>
      </c>
      <c r="C337" s="6" t="s">
        <v>5879</v>
      </c>
      <c r="D337" s="6" t="s">
        <v>42</v>
      </c>
      <c r="E337" s="7">
        <v>44927</v>
      </c>
      <c r="F337" s="8" t="s">
        <v>77</v>
      </c>
      <c r="G337" s="2" t="s">
        <v>26</v>
      </c>
      <c r="H337" s="8" t="s">
        <v>28</v>
      </c>
      <c r="I337" s="2" t="s">
        <v>26</v>
      </c>
      <c r="J337" s="7">
        <v>44927</v>
      </c>
      <c r="K337" s="8" t="s">
        <v>77</v>
      </c>
      <c r="L337" s="2" t="s">
        <v>26</v>
      </c>
      <c r="M337" s="8" t="s">
        <v>28</v>
      </c>
      <c r="N337" s="6" t="s">
        <v>2264</v>
      </c>
      <c r="O337" s="6" t="s">
        <v>30</v>
      </c>
      <c r="P337" s="2" t="s">
        <v>13773</v>
      </c>
    </row>
    <row r="338" spans="1:16" ht="13.15" x14ac:dyDescent="0.4">
      <c r="A338" s="2" t="s">
        <v>13367</v>
      </c>
      <c r="B338" s="2" t="s">
        <v>5883</v>
      </c>
      <c r="C338" s="6" t="s">
        <v>5879</v>
      </c>
      <c r="D338" s="6" t="s">
        <v>42</v>
      </c>
      <c r="E338" s="7">
        <v>44927</v>
      </c>
      <c r="F338" s="8" t="s">
        <v>77</v>
      </c>
      <c r="G338" s="2" t="s">
        <v>26</v>
      </c>
      <c r="H338" s="8" t="s">
        <v>28</v>
      </c>
      <c r="I338" s="2" t="s">
        <v>26</v>
      </c>
      <c r="J338" s="7">
        <v>44927</v>
      </c>
      <c r="K338" s="8" t="s">
        <v>77</v>
      </c>
      <c r="L338" s="2" t="s">
        <v>26</v>
      </c>
      <c r="M338" s="8" t="s">
        <v>28</v>
      </c>
      <c r="N338" s="6" t="s">
        <v>2264</v>
      </c>
      <c r="O338" s="6" t="s">
        <v>30</v>
      </c>
      <c r="P338" s="2" t="s">
        <v>13711</v>
      </c>
    </row>
    <row r="339" spans="1:16" ht="13.15" x14ac:dyDescent="0.4">
      <c r="A339" s="2" t="s">
        <v>13291</v>
      </c>
      <c r="B339" s="2" t="s">
        <v>5883</v>
      </c>
      <c r="C339" s="6" t="s">
        <v>5879</v>
      </c>
      <c r="D339" s="6" t="s">
        <v>42</v>
      </c>
      <c r="E339" s="7">
        <v>44927</v>
      </c>
      <c r="F339" s="8" t="s">
        <v>77</v>
      </c>
      <c r="G339" s="2" t="s">
        <v>26</v>
      </c>
      <c r="H339" s="8" t="s">
        <v>28</v>
      </c>
      <c r="I339" s="2" t="s">
        <v>26</v>
      </c>
      <c r="J339" s="7">
        <v>44927</v>
      </c>
      <c r="K339" s="8" t="s">
        <v>77</v>
      </c>
      <c r="L339" s="2" t="s">
        <v>26</v>
      </c>
      <c r="M339" s="8" t="s">
        <v>28</v>
      </c>
      <c r="N339" s="6" t="s">
        <v>2264</v>
      </c>
      <c r="O339" s="6" t="s">
        <v>30</v>
      </c>
      <c r="P339" s="2" t="s">
        <v>13629</v>
      </c>
    </row>
    <row r="340" spans="1:16" ht="13.15" x14ac:dyDescent="0.4">
      <c r="A340" s="2" t="s">
        <v>13593</v>
      </c>
      <c r="B340" s="2" t="s">
        <v>5883</v>
      </c>
      <c r="C340" s="6" t="s">
        <v>5879</v>
      </c>
      <c r="D340" s="6" t="s">
        <v>42</v>
      </c>
      <c r="E340" s="7">
        <v>44927</v>
      </c>
      <c r="F340" s="8" t="s">
        <v>77</v>
      </c>
      <c r="G340" s="2" t="s">
        <v>26</v>
      </c>
      <c r="H340" s="8" t="s">
        <v>28</v>
      </c>
      <c r="I340" s="2" t="s">
        <v>26</v>
      </c>
      <c r="J340" s="7">
        <v>44927</v>
      </c>
      <c r="K340" s="8" t="s">
        <v>77</v>
      </c>
      <c r="L340" s="2" t="s">
        <v>26</v>
      </c>
      <c r="M340" s="8" t="s">
        <v>28</v>
      </c>
      <c r="N340" s="6" t="s">
        <v>2264</v>
      </c>
      <c r="O340" s="6" t="s">
        <v>30</v>
      </c>
      <c r="P340" s="2" t="s">
        <v>13950</v>
      </c>
    </row>
    <row r="341" spans="1:16" ht="13.15" x14ac:dyDescent="0.4">
      <c r="A341" s="2" t="s">
        <v>13465</v>
      </c>
      <c r="B341" s="2" t="s">
        <v>5883</v>
      </c>
      <c r="C341" s="6" t="s">
        <v>5879</v>
      </c>
      <c r="D341" s="6" t="s">
        <v>42</v>
      </c>
      <c r="E341" s="7">
        <v>44927</v>
      </c>
      <c r="F341" s="8" t="s">
        <v>77</v>
      </c>
      <c r="G341" s="2" t="s">
        <v>26</v>
      </c>
      <c r="H341" s="8" t="s">
        <v>28</v>
      </c>
      <c r="I341" s="2" t="s">
        <v>26</v>
      </c>
      <c r="J341" s="7">
        <v>44927</v>
      </c>
      <c r="K341" s="8" t="s">
        <v>77</v>
      </c>
      <c r="L341" s="2" t="s">
        <v>26</v>
      </c>
      <c r="M341" s="8" t="s">
        <v>28</v>
      </c>
      <c r="N341" s="6" t="s">
        <v>2264</v>
      </c>
      <c r="O341" s="6" t="s">
        <v>30</v>
      </c>
      <c r="P341" s="2" t="s">
        <v>13815</v>
      </c>
    </row>
    <row r="342" spans="1:16" ht="13.15" x14ac:dyDescent="0.4">
      <c r="A342" s="2" t="s">
        <v>13437</v>
      </c>
      <c r="B342" s="2" t="s">
        <v>5883</v>
      </c>
      <c r="C342" s="6" t="s">
        <v>5879</v>
      </c>
      <c r="D342" s="6" t="s">
        <v>42</v>
      </c>
      <c r="E342" s="7">
        <v>44927</v>
      </c>
      <c r="F342" s="8" t="s">
        <v>77</v>
      </c>
      <c r="G342" s="2" t="s">
        <v>26</v>
      </c>
      <c r="H342" s="8" t="s">
        <v>28</v>
      </c>
      <c r="I342" s="2" t="s">
        <v>26</v>
      </c>
      <c r="J342" s="7">
        <v>44927</v>
      </c>
      <c r="K342" s="8" t="s">
        <v>77</v>
      </c>
      <c r="L342" s="2" t="s">
        <v>26</v>
      </c>
      <c r="M342" s="8" t="s">
        <v>28</v>
      </c>
      <c r="N342" s="6" t="s">
        <v>2264</v>
      </c>
      <c r="O342" s="6" t="s">
        <v>30</v>
      </c>
      <c r="P342" s="2" t="s">
        <v>13786</v>
      </c>
    </row>
    <row r="343" spans="1:16" ht="13.15" x14ac:dyDescent="0.4">
      <c r="A343" s="2" t="s">
        <v>13296</v>
      </c>
      <c r="B343" s="2" t="s">
        <v>5883</v>
      </c>
      <c r="C343" s="6" t="s">
        <v>5879</v>
      </c>
      <c r="D343" s="6" t="s">
        <v>42</v>
      </c>
      <c r="E343" s="7">
        <v>44927</v>
      </c>
      <c r="F343" s="8" t="s">
        <v>77</v>
      </c>
      <c r="G343" s="2" t="s">
        <v>26</v>
      </c>
      <c r="H343" s="8" t="s">
        <v>28</v>
      </c>
      <c r="I343" s="2" t="s">
        <v>26</v>
      </c>
      <c r="J343" s="7">
        <v>44927</v>
      </c>
      <c r="K343" s="8" t="s">
        <v>77</v>
      </c>
      <c r="L343" s="2" t="s">
        <v>26</v>
      </c>
      <c r="M343" s="8" t="s">
        <v>28</v>
      </c>
      <c r="N343" s="6" t="s">
        <v>2264</v>
      </c>
      <c r="O343" s="6" t="s">
        <v>30</v>
      </c>
      <c r="P343" s="2" t="s">
        <v>13635</v>
      </c>
    </row>
    <row r="344" spans="1:16" ht="13.15" x14ac:dyDescent="0.4">
      <c r="A344" s="2" t="s">
        <v>7515</v>
      </c>
      <c r="B344" s="2" t="s">
        <v>5883</v>
      </c>
      <c r="C344" s="6" t="s">
        <v>5879</v>
      </c>
      <c r="D344" s="6" t="s">
        <v>42</v>
      </c>
      <c r="E344" s="7">
        <v>44927</v>
      </c>
      <c r="F344" s="8" t="s">
        <v>77</v>
      </c>
      <c r="G344" s="2" t="s">
        <v>26</v>
      </c>
      <c r="H344" s="8" t="s">
        <v>28</v>
      </c>
      <c r="I344" s="2" t="s">
        <v>26</v>
      </c>
      <c r="J344" s="7">
        <v>44927</v>
      </c>
      <c r="K344" s="8" t="s">
        <v>77</v>
      </c>
      <c r="L344" s="2" t="s">
        <v>26</v>
      </c>
      <c r="M344" s="8" t="s">
        <v>28</v>
      </c>
      <c r="N344" s="6" t="s">
        <v>2264</v>
      </c>
      <c r="O344" s="6" t="s">
        <v>30</v>
      </c>
      <c r="P344" s="2" t="s">
        <v>13696</v>
      </c>
    </row>
    <row r="345" spans="1:16" ht="13.15" x14ac:dyDescent="0.4">
      <c r="A345" s="2" t="s">
        <v>7522</v>
      </c>
      <c r="B345" s="2" t="s">
        <v>5883</v>
      </c>
      <c r="C345" s="6" t="s">
        <v>5879</v>
      </c>
      <c r="D345" s="6" t="s">
        <v>42</v>
      </c>
      <c r="E345" s="7">
        <v>44927</v>
      </c>
      <c r="F345" s="8" t="s">
        <v>77</v>
      </c>
      <c r="G345" s="2" t="s">
        <v>26</v>
      </c>
      <c r="H345" s="8" t="s">
        <v>28</v>
      </c>
      <c r="I345" s="2" t="s">
        <v>26</v>
      </c>
      <c r="J345" s="7">
        <v>44927</v>
      </c>
      <c r="K345" s="8" t="s">
        <v>77</v>
      </c>
      <c r="L345" s="2" t="s">
        <v>26</v>
      </c>
      <c r="M345" s="8" t="s">
        <v>28</v>
      </c>
      <c r="N345" s="6" t="s">
        <v>2264</v>
      </c>
      <c r="O345" s="6" t="s">
        <v>30</v>
      </c>
      <c r="P345" s="2" t="s">
        <v>13613</v>
      </c>
    </row>
    <row r="346" spans="1:16" ht="13.15" x14ac:dyDescent="0.4">
      <c r="A346" s="2" t="s">
        <v>13590</v>
      </c>
      <c r="B346" s="2" t="s">
        <v>5883</v>
      </c>
      <c r="C346" s="6" t="s">
        <v>5879</v>
      </c>
      <c r="D346" s="6" t="s">
        <v>42</v>
      </c>
      <c r="E346" s="7">
        <v>44927</v>
      </c>
      <c r="F346" s="8" t="s">
        <v>77</v>
      </c>
      <c r="G346" s="2" t="s">
        <v>26</v>
      </c>
      <c r="H346" s="8" t="s">
        <v>28</v>
      </c>
      <c r="I346" s="2" t="s">
        <v>26</v>
      </c>
      <c r="J346" s="7">
        <v>44927</v>
      </c>
      <c r="K346" s="8" t="s">
        <v>77</v>
      </c>
      <c r="L346" s="2" t="s">
        <v>26</v>
      </c>
      <c r="M346" s="8" t="s">
        <v>28</v>
      </c>
      <c r="N346" s="6" t="s">
        <v>2264</v>
      </c>
      <c r="O346" s="6" t="s">
        <v>30</v>
      </c>
      <c r="P346" s="2" t="s">
        <v>13947</v>
      </c>
    </row>
    <row r="347" spans="1:16" ht="13.15" x14ac:dyDescent="0.4">
      <c r="A347" s="2" t="s">
        <v>13591</v>
      </c>
      <c r="B347" s="2" t="s">
        <v>5883</v>
      </c>
      <c r="C347" s="6" t="s">
        <v>5879</v>
      </c>
      <c r="D347" s="6" t="s">
        <v>42</v>
      </c>
      <c r="E347" s="7">
        <v>44927</v>
      </c>
      <c r="F347" s="8" t="s">
        <v>77</v>
      </c>
      <c r="G347" s="2" t="s">
        <v>26</v>
      </c>
      <c r="H347" s="8" t="s">
        <v>28</v>
      </c>
      <c r="I347" s="2" t="s">
        <v>26</v>
      </c>
      <c r="J347" s="7">
        <v>44927</v>
      </c>
      <c r="K347" s="8" t="s">
        <v>77</v>
      </c>
      <c r="L347" s="2" t="s">
        <v>26</v>
      </c>
      <c r="M347" s="8" t="s">
        <v>28</v>
      </c>
      <c r="N347" s="6" t="s">
        <v>2264</v>
      </c>
      <c r="O347" s="6" t="s">
        <v>30</v>
      </c>
      <c r="P347" s="2" t="s">
        <v>13948</v>
      </c>
    </row>
    <row r="348" spans="1:16" ht="13.15" x14ac:dyDescent="0.4">
      <c r="A348" s="2" t="s">
        <v>13551</v>
      </c>
      <c r="B348" s="2" t="s">
        <v>5883</v>
      </c>
      <c r="C348" s="6" t="s">
        <v>5879</v>
      </c>
      <c r="D348" s="6" t="s">
        <v>42</v>
      </c>
      <c r="E348" s="7">
        <v>44927</v>
      </c>
      <c r="F348" s="8" t="s">
        <v>77</v>
      </c>
      <c r="G348" s="2" t="s">
        <v>26</v>
      </c>
      <c r="H348" s="8" t="s">
        <v>28</v>
      </c>
      <c r="I348" s="2" t="s">
        <v>26</v>
      </c>
      <c r="J348" s="7">
        <v>44927</v>
      </c>
      <c r="K348" s="8" t="s">
        <v>77</v>
      </c>
      <c r="L348" s="2" t="s">
        <v>26</v>
      </c>
      <c r="M348" s="8" t="s">
        <v>28</v>
      </c>
      <c r="N348" s="6" t="s">
        <v>2264</v>
      </c>
      <c r="O348" s="6" t="s">
        <v>30</v>
      </c>
      <c r="P348" s="2" t="s">
        <v>13905</v>
      </c>
    </row>
    <row r="349" spans="1:16" ht="13.15" x14ac:dyDescent="0.4">
      <c r="A349" s="2" t="s">
        <v>13518</v>
      </c>
      <c r="B349" s="2" t="s">
        <v>5883</v>
      </c>
      <c r="C349" s="6" t="s">
        <v>5879</v>
      </c>
      <c r="D349" s="6" t="s">
        <v>42</v>
      </c>
      <c r="E349" s="7">
        <v>44927</v>
      </c>
      <c r="F349" s="8" t="s">
        <v>77</v>
      </c>
      <c r="G349" s="2" t="s">
        <v>26</v>
      </c>
      <c r="H349" s="8" t="s">
        <v>28</v>
      </c>
      <c r="I349" s="2" t="s">
        <v>26</v>
      </c>
      <c r="J349" s="7">
        <v>44927</v>
      </c>
      <c r="K349" s="8" t="s">
        <v>77</v>
      </c>
      <c r="L349" s="2" t="s">
        <v>26</v>
      </c>
      <c r="M349" s="8" t="s">
        <v>28</v>
      </c>
      <c r="N349" s="6" t="s">
        <v>2264</v>
      </c>
      <c r="O349" s="6" t="s">
        <v>30</v>
      </c>
      <c r="P349" s="2" t="s">
        <v>13869</v>
      </c>
    </row>
    <row r="350" spans="1:16" ht="13.15" x14ac:dyDescent="0.4">
      <c r="A350" s="2" t="s">
        <v>13362</v>
      </c>
      <c r="B350" s="2" t="s">
        <v>5883</v>
      </c>
      <c r="C350" s="6" t="s">
        <v>5879</v>
      </c>
      <c r="D350" s="6" t="s">
        <v>42</v>
      </c>
      <c r="E350" s="7">
        <v>44927</v>
      </c>
      <c r="F350" s="8" t="s">
        <v>77</v>
      </c>
      <c r="G350" s="2" t="s">
        <v>26</v>
      </c>
      <c r="H350" s="8" t="s">
        <v>28</v>
      </c>
      <c r="I350" s="2" t="s">
        <v>26</v>
      </c>
      <c r="J350" s="7">
        <v>44927</v>
      </c>
      <c r="K350" s="8" t="s">
        <v>77</v>
      </c>
      <c r="L350" s="2" t="s">
        <v>26</v>
      </c>
      <c r="M350" s="8" t="s">
        <v>28</v>
      </c>
      <c r="N350" s="6" t="s">
        <v>2264</v>
      </c>
      <c r="O350" s="6" t="s">
        <v>30</v>
      </c>
      <c r="P350" s="2" t="s">
        <v>13706</v>
      </c>
    </row>
    <row r="351" spans="1:16" ht="13.15" x14ac:dyDescent="0.4">
      <c r="A351" s="2" t="s">
        <v>13406</v>
      </c>
      <c r="B351" s="2" t="s">
        <v>5883</v>
      </c>
      <c r="C351" s="6" t="s">
        <v>5879</v>
      </c>
      <c r="D351" s="6" t="s">
        <v>42</v>
      </c>
      <c r="E351" s="7">
        <v>44927</v>
      </c>
      <c r="F351" s="8" t="s">
        <v>77</v>
      </c>
      <c r="G351" s="2" t="s">
        <v>26</v>
      </c>
      <c r="H351" s="8" t="s">
        <v>28</v>
      </c>
      <c r="I351" s="2" t="s">
        <v>26</v>
      </c>
      <c r="J351" s="7">
        <v>44927</v>
      </c>
      <c r="K351" s="8" t="s">
        <v>77</v>
      </c>
      <c r="L351" s="2" t="s">
        <v>26</v>
      </c>
      <c r="M351" s="8" t="s">
        <v>28</v>
      </c>
      <c r="N351" s="6" t="s">
        <v>2264</v>
      </c>
      <c r="O351" s="6" t="s">
        <v>30</v>
      </c>
      <c r="P351" s="2" t="s">
        <v>13752</v>
      </c>
    </row>
    <row r="352" spans="1:16" ht="13.15" x14ac:dyDescent="0.4">
      <c r="A352" s="2" t="s">
        <v>13353</v>
      </c>
      <c r="B352" s="2" t="s">
        <v>5883</v>
      </c>
      <c r="C352" s="6" t="s">
        <v>5879</v>
      </c>
      <c r="D352" s="6" t="s">
        <v>42</v>
      </c>
      <c r="E352" s="7">
        <v>44927</v>
      </c>
      <c r="F352" s="8" t="s">
        <v>77</v>
      </c>
      <c r="G352" s="2" t="s">
        <v>26</v>
      </c>
      <c r="H352" s="8" t="s">
        <v>28</v>
      </c>
      <c r="I352" s="2" t="s">
        <v>26</v>
      </c>
      <c r="J352" s="7">
        <v>44927</v>
      </c>
      <c r="K352" s="8" t="s">
        <v>77</v>
      </c>
      <c r="L352" s="2" t="s">
        <v>26</v>
      </c>
      <c r="M352" s="8" t="s">
        <v>28</v>
      </c>
      <c r="N352" s="6" t="s">
        <v>2264</v>
      </c>
      <c r="O352" s="6" t="s">
        <v>30</v>
      </c>
      <c r="P352" s="2" t="s">
        <v>13697</v>
      </c>
    </row>
    <row r="353" spans="1:16" ht="13.15" x14ac:dyDescent="0.4">
      <c r="A353" s="2" t="s">
        <v>13602</v>
      </c>
      <c r="B353" s="2" t="s">
        <v>5883</v>
      </c>
      <c r="C353" s="6" t="s">
        <v>5879</v>
      </c>
      <c r="D353" s="6" t="s">
        <v>42</v>
      </c>
      <c r="E353" s="7">
        <v>44927</v>
      </c>
      <c r="F353" s="8" t="s">
        <v>77</v>
      </c>
      <c r="G353" s="2" t="s">
        <v>26</v>
      </c>
      <c r="H353" s="8" t="s">
        <v>28</v>
      </c>
      <c r="I353" s="2" t="s">
        <v>26</v>
      </c>
      <c r="J353" s="7">
        <v>44927</v>
      </c>
      <c r="K353" s="8" t="s">
        <v>77</v>
      </c>
      <c r="L353" s="2" t="s">
        <v>26</v>
      </c>
      <c r="M353" s="8" t="s">
        <v>28</v>
      </c>
      <c r="N353" s="6" t="s">
        <v>2264</v>
      </c>
      <c r="O353" s="6" t="s">
        <v>30</v>
      </c>
      <c r="P353" s="2" t="s">
        <v>13959</v>
      </c>
    </row>
    <row r="354" spans="1:16" ht="13.15" x14ac:dyDescent="0.4">
      <c r="A354" s="2" t="s">
        <v>13292</v>
      </c>
      <c r="B354" s="2" t="s">
        <v>5883</v>
      </c>
      <c r="C354" s="6" t="s">
        <v>5879</v>
      </c>
      <c r="D354" s="6" t="s">
        <v>42</v>
      </c>
      <c r="E354" s="7">
        <v>44927</v>
      </c>
      <c r="F354" s="8" t="s">
        <v>77</v>
      </c>
      <c r="G354" s="2" t="s">
        <v>26</v>
      </c>
      <c r="H354" s="8" t="s">
        <v>28</v>
      </c>
      <c r="I354" s="2" t="s">
        <v>26</v>
      </c>
      <c r="J354" s="7">
        <v>44927</v>
      </c>
      <c r="K354" s="8" t="s">
        <v>77</v>
      </c>
      <c r="L354" s="2" t="s">
        <v>26</v>
      </c>
      <c r="M354" s="8" t="s">
        <v>28</v>
      </c>
      <c r="N354" s="6" t="s">
        <v>2264</v>
      </c>
      <c r="O354" s="6" t="s">
        <v>30</v>
      </c>
      <c r="P354" s="2" t="s">
        <v>13630</v>
      </c>
    </row>
    <row r="355" spans="1:16" ht="13.15" x14ac:dyDescent="0.4">
      <c r="A355" s="2" t="s">
        <v>13541</v>
      </c>
      <c r="B355" s="2" t="s">
        <v>5883</v>
      </c>
      <c r="C355" s="6" t="s">
        <v>5879</v>
      </c>
      <c r="D355" s="6" t="s">
        <v>42</v>
      </c>
      <c r="E355" s="7">
        <v>44927</v>
      </c>
      <c r="F355" s="8" t="s">
        <v>77</v>
      </c>
      <c r="G355" s="2" t="s">
        <v>26</v>
      </c>
      <c r="H355" s="8" t="s">
        <v>28</v>
      </c>
      <c r="I355" s="2" t="s">
        <v>26</v>
      </c>
      <c r="J355" s="7">
        <v>44927</v>
      </c>
      <c r="K355" s="8" t="s">
        <v>77</v>
      </c>
      <c r="L355" s="2" t="s">
        <v>26</v>
      </c>
      <c r="M355" s="8" t="s">
        <v>28</v>
      </c>
      <c r="N355" s="6" t="s">
        <v>2264</v>
      </c>
      <c r="O355" s="6" t="s">
        <v>30</v>
      </c>
      <c r="P355" s="2" t="s">
        <v>13894</v>
      </c>
    </row>
    <row r="356" spans="1:16" ht="13.15" x14ac:dyDescent="0.4">
      <c r="A356" s="2" t="s">
        <v>13583</v>
      </c>
      <c r="B356" s="2" t="s">
        <v>5883</v>
      </c>
      <c r="C356" s="6" t="s">
        <v>5879</v>
      </c>
      <c r="D356" s="6" t="s">
        <v>42</v>
      </c>
      <c r="E356" s="7">
        <v>44927</v>
      </c>
      <c r="F356" s="8" t="s">
        <v>77</v>
      </c>
      <c r="G356" s="2" t="s">
        <v>26</v>
      </c>
      <c r="H356" s="8" t="s">
        <v>28</v>
      </c>
      <c r="I356" s="2" t="s">
        <v>26</v>
      </c>
      <c r="J356" s="7">
        <v>44927</v>
      </c>
      <c r="K356" s="8" t="s">
        <v>77</v>
      </c>
      <c r="L356" s="2" t="s">
        <v>26</v>
      </c>
      <c r="M356" s="8" t="s">
        <v>28</v>
      </c>
      <c r="N356" s="6" t="s">
        <v>2264</v>
      </c>
      <c r="O356" s="6" t="s">
        <v>30</v>
      </c>
      <c r="P356" s="2" t="s">
        <v>13939</v>
      </c>
    </row>
    <row r="357" spans="1:16" ht="13.15" x14ac:dyDescent="0.4">
      <c r="A357" s="2" t="s">
        <v>13312</v>
      </c>
      <c r="B357" s="2" t="s">
        <v>5883</v>
      </c>
      <c r="C357" s="6" t="s">
        <v>5879</v>
      </c>
      <c r="D357" s="6" t="s">
        <v>42</v>
      </c>
      <c r="E357" s="7">
        <v>44927</v>
      </c>
      <c r="F357" s="8" t="s">
        <v>77</v>
      </c>
      <c r="G357" s="2" t="s">
        <v>26</v>
      </c>
      <c r="H357" s="8" t="s">
        <v>28</v>
      </c>
      <c r="I357" s="2" t="s">
        <v>26</v>
      </c>
      <c r="J357" s="7">
        <v>44927</v>
      </c>
      <c r="K357" s="8" t="s">
        <v>77</v>
      </c>
      <c r="L357" s="2" t="s">
        <v>26</v>
      </c>
      <c r="M357" s="8" t="s">
        <v>28</v>
      </c>
      <c r="N357" s="6" t="s">
        <v>2264</v>
      </c>
      <c r="O357" s="6" t="s">
        <v>30</v>
      </c>
      <c r="P357" s="2" t="s">
        <v>13651</v>
      </c>
    </row>
    <row r="358" spans="1:16" ht="13.15" x14ac:dyDescent="0.4">
      <c r="A358" s="2" t="s">
        <v>13497</v>
      </c>
      <c r="B358" s="2" t="s">
        <v>5883</v>
      </c>
      <c r="C358" s="6" t="s">
        <v>5879</v>
      </c>
      <c r="D358" s="6" t="s">
        <v>42</v>
      </c>
      <c r="E358" s="7">
        <v>44927</v>
      </c>
      <c r="F358" s="8" t="s">
        <v>77</v>
      </c>
      <c r="G358" s="2" t="s">
        <v>26</v>
      </c>
      <c r="H358" s="8" t="s">
        <v>28</v>
      </c>
      <c r="I358" s="2" t="s">
        <v>26</v>
      </c>
      <c r="J358" s="7">
        <v>44927</v>
      </c>
      <c r="K358" s="8" t="s">
        <v>77</v>
      </c>
      <c r="L358" s="2" t="s">
        <v>26</v>
      </c>
      <c r="M358" s="8" t="s">
        <v>28</v>
      </c>
      <c r="N358" s="6" t="s">
        <v>2264</v>
      </c>
      <c r="O358" s="6" t="s">
        <v>30</v>
      </c>
      <c r="P358" s="2" t="s">
        <v>13847</v>
      </c>
    </row>
    <row r="359" spans="1:16" ht="13.15" x14ac:dyDescent="0.4">
      <c r="A359" s="2" t="s">
        <v>13311</v>
      </c>
      <c r="B359" s="2" t="s">
        <v>5883</v>
      </c>
      <c r="C359" s="6" t="s">
        <v>5879</v>
      </c>
      <c r="D359" s="6" t="s">
        <v>42</v>
      </c>
      <c r="E359" s="7">
        <v>44927</v>
      </c>
      <c r="F359" s="8" t="s">
        <v>77</v>
      </c>
      <c r="G359" s="2" t="s">
        <v>26</v>
      </c>
      <c r="H359" s="8" t="s">
        <v>28</v>
      </c>
      <c r="I359" s="2" t="s">
        <v>26</v>
      </c>
      <c r="J359" s="7">
        <v>44927</v>
      </c>
      <c r="K359" s="8" t="s">
        <v>77</v>
      </c>
      <c r="L359" s="2" t="s">
        <v>26</v>
      </c>
      <c r="M359" s="8" t="s">
        <v>28</v>
      </c>
      <c r="N359" s="6" t="s">
        <v>2264</v>
      </c>
      <c r="O359" s="6" t="s">
        <v>30</v>
      </c>
      <c r="P359" s="2" t="s">
        <v>13650</v>
      </c>
    </row>
    <row r="360" spans="1:16" ht="13.15" x14ac:dyDescent="0.4">
      <c r="A360" s="2" t="s">
        <v>13601</v>
      </c>
      <c r="B360" s="2" t="s">
        <v>5883</v>
      </c>
      <c r="C360" s="6" t="s">
        <v>5879</v>
      </c>
      <c r="D360" s="6" t="s">
        <v>42</v>
      </c>
      <c r="E360" s="7">
        <v>44927</v>
      </c>
      <c r="F360" s="8" t="s">
        <v>77</v>
      </c>
      <c r="G360" s="2" t="s">
        <v>26</v>
      </c>
      <c r="H360" s="8" t="s">
        <v>28</v>
      </c>
      <c r="I360" s="2" t="s">
        <v>26</v>
      </c>
      <c r="J360" s="7">
        <v>44927</v>
      </c>
      <c r="K360" s="8" t="s">
        <v>77</v>
      </c>
      <c r="L360" s="2" t="s">
        <v>26</v>
      </c>
      <c r="M360" s="8" t="s">
        <v>28</v>
      </c>
      <c r="N360" s="6" t="s">
        <v>2264</v>
      </c>
      <c r="O360" s="6" t="s">
        <v>30</v>
      </c>
      <c r="P360" s="2" t="s">
        <v>13958</v>
      </c>
    </row>
    <row r="361" spans="1:16" ht="13.15" x14ac:dyDescent="0.4">
      <c r="A361" s="2" t="s">
        <v>945</v>
      </c>
      <c r="B361" s="2" t="s">
        <v>5883</v>
      </c>
      <c r="C361" s="6" t="s">
        <v>5879</v>
      </c>
      <c r="D361" s="6" t="s">
        <v>42</v>
      </c>
      <c r="E361" s="7">
        <v>44927</v>
      </c>
      <c r="F361" s="8" t="s">
        <v>77</v>
      </c>
      <c r="G361" s="2" t="s">
        <v>26</v>
      </c>
      <c r="H361" s="8" t="s">
        <v>28</v>
      </c>
      <c r="I361" s="2" t="s">
        <v>26</v>
      </c>
      <c r="J361" s="7">
        <v>44927</v>
      </c>
      <c r="K361" s="8" t="s">
        <v>77</v>
      </c>
      <c r="L361" s="2" t="s">
        <v>26</v>
      </c>
      <c r="M361" s="8" t="s">
        <v>28</v>
      </c>
      <c r="N361" s="6" t="s">
        <v>2264</v>
      </c>
      <c r="O361" s="6" t="s">
        <v>30</v>
      </c>
      <c r="P361" s="2" t="s">
        <v>13863</v>
      </c>
    </row>
    <row r="362" spans="1:16" ht="13.15" x14ac:dyDescent="0.4">
      <c r="A362" s="2" t="s">
        <v>13448</v>
      </c>
      <c r="B362" s="2" t="s">
        <v>5883</v>
      </c>
      <c r="C362" s="6" t="s">
        <v>5879</v>
      </c>
      <c r="D362" s="6" t="s">
        <v>42</v>
      </c>
      <c r="E362" s="7">
        <v>44927</v>
      </c>
      <c r="F362" s="8" t="s">
        <v>77</v>
      </c>
      <c r="G362" s="2" t="s">
        <v>26</v>
      </c>
      <c r="H362" s="8" t="s">
        <v>28</v>
      </c>
      <c r="I362" s="2" t="s">
        <v>26</v>
      </c>
      <c r="J362" s="7">
        <v>44927</v>
      </c>
      <c r="K362" s="8" t="s">
        <v>77</v>
      </c>
      <c r="L362" s="2" t="s">
        <v>26</v>
      </c>
      <c r="M362" s="8" t="s">
        <v>28</v>
      </c>
      <c r="N362" s="6" t="s">
        <v>2264</v>
      </c>
      <c r="O362" s="6" t="s">
        <v>30</v>
      </c>
      <c r="P362" s="2" t="s">
        <v>13798</v>
      </c>
    </row>
    <row r="363" spans="1:16" ht="13.15" x14ac:dyDescent="0.4">
      <c r="A363" s="2" t="s">
        <v>13298</v>
      </c>
      <c r="B363" s="2" t="s">
        <v>5883</v>
      </c>
      <c r="C363" s="6" t="s">
        <v>5879</v>
      </c>
      <c r="D363" s="6" t="s">
        <v>42</v>
      </c>
      <c r="E363" s="7">
        <v>44927</v>
      </c>
      <c r="F363" s="8" t="s">
        <v>77</v>
      </c>
      <c r="G363" s="2" t="s">
        <v>26</v>
      </c>
      <c r="H363" s="8" t="s">
        <v>28</v>
      </c>
      <c r="I363" s="2" t="s">
        <v>26</v>
      </c>
      <c r="J363" s="7">
        <v>44927</v>
      </c>
      <c r="K363" s="8" t="s">
        <v>77</v>
      </c>
      <c r="L363" s="2" t="s">
        <v>26</v>
      </c>
      <c r="M363" s="8" t="s">
        <v>28</v>
      </c>
      <c r="N363" s="6" t="s">
        <v>2264</v>
      </c>
      <c r="O363" s="6" t="s">
        <v>30</v>
      </c>
      <c r="P363" s="2" t="s">
        <v>13637</v>
      </c>
    </row>
    <row r="364" spans="1:16" ht="13.15" x14ac:dyDescent="0.4">
      <c r="A364" s="2" t="s">
        <v>13392</v>
      </c>
      <c r="B364" s="2" t="s">
        <v>5883</v>
      </c>
      <c r="C364" s="6" t="s">
        <v>5879</v>
      </c>
      <c r="D364" s="6" t="s">
        <v>42</v>
      </c>
      <c r="E364" s="7">
        <v>44927</v>
      </c>
      <c r="F364" s="8" t="s">
        <v>77</v>
      </c>
      <c r="G364" s="2" t="s">
        <v>26</v>
      </c>
      <c r="H364" s="8" t="s">
        <v>28</v>
      </c>
      <c r="I364" s="2" t="s">
        <v>26</v>
      </c>
      <c r="J364" s="7">
        <v>44927</v>
      </c>
      <c r="K364" s="8" t="s">
        <v>77</v>
      </c>
      <c r="L364" s="2" t="s">
        <v>26</v>
      </c>
      <c r="M364" s="8" t="s">
        <v>28</v>
      </c>
      <c r="N364" s="6" t="s">
        <v>2264</v>
      </c>
      <c r="O364" s="6" t="s">
        <v>30</v>
      </c>
      <c r="P364" s="2" t="s">
        <v>13738</v>
      </c>
    </row>
    <row r="365" spans="1:16" ht="13.15" x14ac:dyDescent="0.4">
      <c r="A365" s="2" t="s">
        <v>13309</v>
      </c>
      <c r="B365" s="2" t="s">
        <v>5883</v>
      </c>
      <c r="C365" s="6" t="s">
        <v>5879</v>
      </c>
      <c r="D365" s="6" t="s">
        <v>42</v>
      </c>
      <c r="E365" s="7">
        <v>44927</v>
      </c>
      <c r="F365" s="8" t="s">
        <v>77</v>
      </c>
      <c r="G365" s="2" t="s">
        <v>26</v>
      </c>
      <c r="H365" s="8" t="s">
        <v>28</v>
      </c>
      <c r="I365" s="2" t="s">
        <v>26</v>
      </c>
      <c r="J365" s="7">
        <v>44927</v>
      </c>
      <c r="K365" s="8" t="s">
        <v>77</v>
      </c>
      <c r="L365" s="2" t="s">
        <v>26</v>
      </c>
      <c r="M365" s="8" t="s">
        <v>28</v>
      </c>
      <c r="N365" s="6" t="s">
        <v>2264</v>
      </c>
      <c r="O365" s="6" t="s">
        <v>30</v>
      </c>
      <c r="P365" s="2" t="s">
        <v>13648</v>
      </c>
    </row>
    <row r="366" spans="1:16" ht="13.15" x14ac:dyDescent="0.4">
      <c r="A366" s="2" t="s">
        <v>13562</v>
      </c>
      <c r="B366" s="2" t="s">
        <v>5883</v>
      </c>
      <c r="C366" s="6" t="s">
        <v>5879</v>
      </c>
      <c r="D366" s="6" t="s">
        <v>42</v>
      </c>
      <c r="E366" s="7">
        <v>44927</v>
      </c>
      <c r="F366" s="8" t="s">
        <v>77</v>
      </c>
      <c r="G366" s="2" t="s">
        <v>26</v>
      </c>
      <c r="H366" s="8" t="s">
        <v>28</v>
      </c>
      <c r="I366" s="2" t="s">
        <v>26</v>
      </c>
      <c r="J366" s="7">
        <v>44927</v>
      </c>
      <c r="K366" s="8" t="s">
        <v>77</v>
      </c>
      <c r="L366" s="2" t="s">
        <v>26</v>
      </c>
      <c r="M366" s="8" t="s">
        <v>28</v>
      </c>
      <c r="N366" s="6" t="s">
        <v>2264</v>
      </c>
      <c r="O366" s="6" t="s">
        <v>30</v>
      </c>
      <c r="P366" s="2" t="s">
        <v>13916</v>
      </c>
    </row>
    <row r="367" spans="1:16" ht="13.15" x14ac:dyDescent="0.4">
      <c r="A367" s="2" t="s">
        <v>13524</v>
      </c>
      <c r="B367" s="2" t="s">
        <v>5883</v>
      </c>
      <c r="C367" s="6" t="s">
        <v>5879</v>
      </c>
      <c r="D367" s="6" t="s">
        <v>42</v>
      </c>
      <c r="E367" s="7">
        <v>44927</v>
      </c>
      <c r="F367" s="8" t="s">
        <v>77</v>
      </c>
      <c r="G367" s="2" t="s">
        <v>26</v>
      </c>
      <c r="H367" s="8" t="s">
        <v>28</v>
      </c>
      <c r="I367" s="2" t="s">
        <v>26</v>
      </c>
      <c r="J367" s="7">
        <v>44927</v>
      </c>
      <c r="K367" s="8" t="s">
        <v>77</v>
      </c>
      <c r="L367" s="2" t="s">
        <v>26</v>
      </c>
      <c r="M367" s="8" t="s">
        <v>28</v>
      </c>
      <c r="N367" s="6" t="s">
        <v>2264</v>
      </c>
      <c r="O367" s="6" t="s">
        <v>30</v>
      </c>
      <c r="P367" s="2" t="s">
        <v>13875</v>
      </c>
    </row>
    <row r="368" spans="1:16" ht="13.15" x14ac:dyDescent="0.4">
      <c r="A368" s="2" t="s">
        <v>13489</v>
      </c>
      <c r="B368" s="2" t="s">
        <v>5883</v>
      </c>
      <c r="C368" s="6" t="s">
        <v>5879</v>
      </c>
      <c r="D368" s="6" t="s">
        <v>42</v>
      </c>
      <c r="E368" s="7">
        <v>44927</v>
      </c>
      <c r="F368" s="8" t="s">
        <v>77</v>
      </c>
      <c r="G368" s="2" t="s">
        <v>26</v>
      </c>
      <c r="H368" s="8" t="s">
        <v>28</v>
      </c>
      <c r="I368" s="2" t="s">
        <v>26</v>
      </c>
      <c r="J368" s="7">
        <v>44927</v>
      </c>
      <c r="K368" s="8" t="s">
        <v>77</v>
      </c>
      <c r="L368" s="2" t="s">
        <v>26</v>
      </c>
      <c r="M368" s="8" t="s">
        <v>28</v>
      </c>
      <c r="N368" s="6" t="s">
        <v>2264</v>
      </c>
      <c r="O368" s="6" t="s">
        <v>30</v>
      </c>
      <c r="P368" s="2" t="s">
        <v>13839</v>
      </c>
    </row>
    <row r="369" spans="1:16" ht="13.15" x14ac:dyDescent="0.4">
      <c r="A369" s="2" t="s">
        <v>13486</v>
      </c>
      <c r="B369" s="2" t="s">
        <v>5883</v>
      </c>
      <c r="C369" s="6" t="s">
        <v>5879</v>
      </c>
      <c r="D369" s="6" t="s">
        <v>42</v>
      </c>
      <c r="E369" s="7">
        <v>44927</v>
      </c>
      <c r="F369" s="8" t="s">
        <v>77</v>
      </c>
      <c r="G369" s="2" t="s">
        <v>26</v>
      </c>
      <c r="H369" s="8" t="s">
        <v>28</v>
      </c>
      <c r="I369" s="2" t="s">
        <v>26</v>
      </c>
      <c r="J369" s="7">
        <v>44927</v>
      </c>
      <c r="K369" s="8" t="s">
        <v>77</v>
      </c>
      <c r="L369" s="2" t="s">
        <v>26</v>
      </c>
      <c r="M369" s="8" t="s">
        <v>28</v>
      </c>
      <c r="N369" s="6" t="s">
        <v>2264</v>
      </c>
      <c r="O369" s="6" t="s">
        <v>30</v>
      </c>
      <c r="P369" s="2" t="s">
        <v>13836</v>
      </c>
    </row>
    <row r="370" spans="1:16" ht="13.15" x14ac:dyDescent="0.4">
      <c r="A370" s="2" t="s">
        <v>13546</v>
      </c>
      <c r="B370" s="2" t="s">
        <v>5883</v>
      </c>
      <c r="C370" s="6" t="s">
        <v>5879</v>
      </c>
      <c r="D370" s="6" t="s">
        <v>42</v>
      </c>
      <c r="E370" s="7">
        <v>44927</v>
      </c>
      <c r="F370" s="8" t="s">
        <v>77</v>
      </c>
      <c r="G370" s="2" t="s">
        <v>26</v>
      </c>
      <c r="H370" s="8" t="s">
        <v>28</v>
      </c>
      <c r="I370" s="2" t="s">
        <v>26</v>
      </c>
      <c r="J370" s="7">
        <v>44927</v>
      </c>
      <c r="K370" s="8" t="s">
        <v>77</v>
      </c>
      <c r="L370" s="2" t="s">
        <v>26</v>
      </c>
      <c r="M370" s="8" t="s">
        <v>28</v>
      </c>
      <c r="N370" s="6" t="s">
        <v>2264</v>
      </c>
      <c r="O370" s="6" t="s">
        <v>30</v>
      </c>
      <c r="P370" s="2" t="s">
        <v>13899</v>
      </c>
    </row>
    <row r="371" spans="1:16" ht="13.15" x14ac:dyDescent="0.4">
      <c r="A371" s="2" t="s">
        <v>13582</v>
      </c>
      <c r="B371" s="2" t="s">
        <v>5883</v>
      </c>
      <c r="C371" s="6" t="s">
        <v>5879</v>
      </c>
      <c r="D371" s="6" t="s">
        <v>42</v>
      </c>
      <c r="E371" s="7">
        <v>44927</v>
      </c>
      <c r="F371" s="8" t="s">
        <v>77</v>
      </c>
      <c r="G371" s="2" t="s">
        <v>26</v>
      </c>
      <c r="H371" s="8" t="s">
        <v>28</v>
      </c>
      <c r="I371" s="2" t="s">
        <v>26</v>
      </c>
      <c r="J371" s="7">
        <v>44927</v>
      </c>
      <c r="K371" s="8" t="s">
        <v>77</v>
      </c>
      <c r="L371" s="2" t="s">
        <v>26</v>
      </c>
      <c r="M371" s="8" t="s">
        <v>28</v>
      </c>
      <c r="N371" s="6" t="s">
        <v>2264</v>
      </c>
      <c r="O371" s="6" t="s">
        <v>30</v>
      </c>
      <c r="P371" s="2" t="s">
        <v>13938</v>
      </c>
    </row>
    <row r="372" spans="1:16" ht="13.15" x14ac:dyDescent="0.4">
      <c r="A372" s="2" t="s">
        <v>13526</v>
      </c>
      <c r="B372" s="2" t="s">
        <v>5883</v>
      </c>
      <c r="C372" s="6" t="s">
        <v>5879</v>
      </c>
      <c r="D372" s="6" t="s">
        <v>42</v>
      </c>
      <c r="E372" s="7">
        <v>44927</v>
      </c>
      <c r="F372" s="8" t="s">
        <v>77</v>
      </c>
      <c r="G372" s="2" t="s">
        <v>26</v>
      </c>
      <c r="H372" s="8" t="s">
        <v>28</v>
      </c>
      <c r="I372" s="2" t="s">
        <v>26</v>
      </c>
      <c r="J372" s="7">
        <v>44927</v>
      </c>
      <c r="K372" s="8" t="s">
        <v>77</v>
      </c>
      <c r="L372" s="2" t="s">
        <v>26</v>
      </c>
      <c r="M372" s="8" t="s">
        <v>28</v>
      </c>
      <c r="N372" s="6" t="s">
        <v>2264</v>
      </c>
      <c r="O372" s="6" t="s">
        <v>30</v>
      </c>
      <c r="P372" s="2" t="s">
        <v>13877</v>
      </c>
    </row>
    <row r="373" spans="1:16" ht="13.15" x14ac:dyDescent="0.4">
      <c r="A373" s="2" t="s">
        <v>13554</v>
      </c>
      <c r="B373" s="2" t="s">
        <v>5883</v>
      </c>
      <c r="C373" s="6" t="s">
        <v>5879</v>
      </c>
      <c r="D373" s="6" t="s">
        <v>42</v>
      </c>
      <c r="E373" s="7">
        <v>44927</v>
      </c>
      <c r="F373" s="8" t="s">
        <v>77</v>
      </c>
      <c r="G373" s="2" t="s">
        <v>26</v>
      </c>
      <c r="H373" s="8" t="s">
        <v>28</v>
      </c>
      <c r="I373" s="2" t="s">
        <v>26</v>
      </c>
      <c r="J373" s="7">
        <v>44927</v>
      </c>
      <c r="K373" s="8" t="s">
        <v>77</v>
      </c>
      <c r="L373" s="2" t="s">
        <v>26</v>
      </c>
      <c r="M373" s="8" t="s">
        <v>28</v>
      </c>
      <c r="N373" s="6" t="s">
        <v>2264</v>
      </c>
      <c r="O373" s="6" t="s">
        <v>30</v>
      </c>
      <c r="P373" s="2" t="s">
        <v>13908</v>
      </c>
    </row>
    <row r="374" spans="1:16" ht="13.15" x14ac:dyDescent="0.4">
      <c r="A374" s="2" t="s">
        <v>13561</v>
      </c>
      <c r="B374" s="2" t="s">
        <v>5883</v>
      </c>
      <c r="C374" s="6" t="s">
        <v>5879</v>
      </c>
      <c r="D374" s="6" t="s">
        <v>42</v>
      </c>
      <c r="E374" s="7">
        <v>44927</v>
      </c>
      <c r="F374" s="8" t="s">
        <v>77</v>
      </c>
      <c r="G374" s="2" t="s">
        <v>26</v>
      </c>
      <c r="H374" s="8" t="s">
        <v>28</v>
      </c>
      <c r="I374" s="2" t="s">
        <v>26</v>
      </c>
      <c r="J374" s="7">
        <v>44927</v>
      </c>
      <c r="K374" s="8" t="s">
        <v>77</v>
      </c>
      <c r="L374" s="2" t="s">
        <v>26</v>
      </c>
      <c r="M374" s="8" t="s">
        <v>28</v>
      </c>
      <c r="N374" s="6" t="s">
        <v>2264</v>
      </c>
      <c r="O374" s="6" t="s">
        <v>30</v>
      </c>
      <c r="P374" s="2" t="s">
        <v>13915</v>
      </c>
    </row>
    <row r="375" spans="1:16" ht="13.15" x14ac:dyDescent="0.4">
      <c r="A375" s="2" t="s">
        <v>13594</v>
      </c>
      <c r="B375" s="2" t="s">
        <v>5883</v>
      </c>
      <c r="C375" s="6" t="s">
        <v>5879</v>
      </c>
      <c r="D375" s="6" t="s">
        <v>42</v>
      </c>
      <c r="E375" s="7">
        <v>44927</v>
      </c>
      <c r="F375" s="8" t="s">
        <v>77</v>
      </c>
      <c r="G375" s="2" t="s">
        <v>26</v>
      </c>
      <c r="H375" s="8" t="s">
        <v>28</v>
      </c>
      <c r="I375" s="2" t="s">
        <v>26</v>
      </c>
      <c r="J375" s="7">
        <v>44927</v>
      </c>
      <c r="K375" s="8" t="s">
        <v>77</v>
      </c>
      <c r="L375" s="2" t="s">
        <v>26</v>
      </c>
      <c r="M375" s="8" t="s">
        <v>28</v>
      </c>
      <c r="N375" s="6" t="s">
        <v>2264</v>
      </c>
      <c r="O375" s="6" t="s">
        <v>30</v>
      </c>
      <c r="P375" s="2" t="s">
        <v>13951</v>
      </c>
    </row>
    <row r="376" spans="1:16" ht="13.15" x14ac:dyDescent="0.4">
      <c r="A376" s="2" t="s">
        <v>13472</v>
      </c>
      <c r="B376" s="2" t="s">
        <v>5883</v>
      </c>
      <c r="C376" s="6" t="s">
        <v>5879</v>
      </c>
      <c r="D376" s="6" t="s">
        <v>42</v>
      </c>
      <c r="E376" s="7">
        <v>44927</v>
      </c>
      <c r="F376" s="8" t="s">
        <v>77</v>
      </c>
      <c r="G376" s="2" t="s">
        <v>26</v>
      </c>
      <c r="H376" s="8" t="s">
        <v>28</v>
      </c>
      <c r="I376" s="2" t="s">
        <v>26</v>
      </c>
      <c r="J376" s="7">
        <v>44927</v>
      </c>
      <c r="K376" s="8" t="s">
        <v>77</v>
      </c>
      <c r="L376" s="2" t="s">
        <v>26</v>
      </c>
      <c r="M376" s="8" t="s">
        <v>28</v>
      </c>
      <c r="N376" s="6" t="s">
        <v>2264</v>
      </c>
      <c r="O376" s="6" t="s">
        <v>30</v>
      </c>
      <c r="P376" s="2" t="s">
        <v>13822</v>
      </c>
    </row>
    <row r="377" spans="1:16" ht="13.15" x14ac:dyDescent="0.4">
      <c r="A377" s="2" t="s">
        <v>13502</v>
      </c>
      <c r="B377" s="2" t="s">
        <v>5883</v>
      </c>
      <c r="C377" s="6" t="s">
        <v>5879</v>
      </c>
      <c r="D377" s="6" t="s">
        <v>42</v>
      </c>
      <c r="E377" s="7">
        <v>44927</v>
      </c>
      <c r="F377" s="8" t="s">
        <v>77</v>
      </c>
      <c r="G377" s="2" t="s">
        <v>26</v>
      </c>
      <c r="H377" s="8" t="s">
        <v>28</v>
      </c>
      <c r="I377" s="2" t="s">
        <v>26</v>
      </c>
      <c r="J377" s="7">
        <v>44927</v>
      </c>
      <c r="K377" s="8" t="s">
        <v>77</v>
      </c>
      <c r="L377" s="2" t="s">
        <v>26</v>
      </c>
      <c r="M377" s="8" t="s">
        <v>28</v>
      </c>
      <c r="N377" s="6" t="s">
        <v>2264</v>
      </c>
      <c r="O377" s="6" t="s">
        <v>30</v>
      </c>
      <c r="P377" s="2" t="s">
        <v>13852</v>
      </c>
    </row>
    <row r="378" spans="1:16" ht="13.15" x14ac:dyDescent="0.4">
      <c r="A378" s="2" t="s">
        <v>13471</v>
      </c>
      <c r="B378" s="2" t="s">
        <v>5883</v>
      </c>
      <c r="C378" s="6" t="s">
        <v>5879</v>
      </c>
      <c r="D378" s="6" t="s">
        <v>42</v>
      </c>
      <c r="E378" s="7">
        <v>44927</v>
      </c>
      <c r="F378" s="8" t="s">
        <v>77</v>
      </c>
      <c r="G378" s="2" t="s">
        <v>26</v>
      </c>
      <c r="H378" s="8" t="s">
        <v>28</v>
      </c>
      <c r="I378" s="2" t="s">
        <v>26</v>
      </c>
      <c r="J378" s="7">
        <v>44927</v>
      </c>
      <c r="K378" s="8" t="s">
        <v>77</v>
      </c>
      <c r="L378" s="2" t="s">
        <v>26</v>
      </c>
      <c r="M378" s="8" t="s">
        <v>28</v>
      </c>
      <c r="N378" s="6" t="s">
        <v>2264</v>
      </c>
      <c r="O378" s="6" t="s">
        <v>30</v>
      </c>
      <c r="P378" s="2" t="s">
        <v>13821</v>
      </c>
    </row>
    <row r="379" spans="1:16" ht="13.15" x14ac:dyDescent="0.4">
      <c r="A379" s="2" t="s">
        <v>13355</v>
      </c>
      <c r="B379" s="2" t="s">
        <v>5883</v>
      </c>
      <c r="C379" s="6" t="s">
        <v>5879</v>
      </c>
      <c r="D379" s="6" t="s">
        <v>42</v>
      </c>
      <c r="E379" s="7">
        <v>44927</v>
      </c>
      <c r="F379" s="8" t="s">
        <v>77</v>
      </c>
      <c r="G379" s="2" t="s">
        <v>26</v>
      </c>
      <c r="H379" s="8" t="s">
        <v>28</v>
      </c>
      <c r="I379" s="2" t="s">
        <v>26</v>
      </c>
      <c r="J379" s="7">
        <v>44927</v>
      </c>
      <c r="K379" s="8" t="s">
        <v>77</v>
      </c>
      <c r="L379" s="2" t="s">
        <v>26</v>
      </c>
      <c r="M379" s="8" t="s">
        <v>28</v>
      </c>
      <c r="N379" s="6" t="s">
        <v>2264</v>
      </c>
      <c r="O379" s="6" t="s">
        <v>30</v>
      </c>
      <c r="P379" s="2" t="s">
        <v>13699</v>
      </c>
    </row>
    <row r="380" spans="1:16" ht="13.15" x14ac:dyDescent="0.4">
      <c r="A380" s="2" t="s">
        <v>1070</v>
      </c>
      <c r="B380" s="2" t="s">
        <v>5883</v>
      </c>
      <c r="C380" s="6" t="s">
        <v>5879</v>
      </c>
      <c r="D380" s="6" t="s">
        <v>42</v>
      </c>
      <c r="E380" s="7">
        <v>44927</v>
      </c>
      <c r="F380" s="8" t="s">
        <v>77</v>
      </c>
      <c r="G380" s="2" t="s">
        <v>26</v>
      </c>
      <c r="H380" s="8" t="s">
        <v>28</v>
      </c>
      <c r="I380" s="2" t="s">
        <v>26</v>
      </c>
      <c r="J380" s="7">
        <v>44927</v>
      </c>
      <c r="K380" s="8" t="s">
        <v>77</v>
      </c>
      <c r="L380" s="2" t="s">
        <v>26</v>
      </c>
      <c r="M380" s="8" t="s">
        <v>28</v>
      </c>
      <c r="N380" s="6" t="s">
        <v>2264</v>
      </c>
      <c r="O380" s="6" t="s">
        <v>30</v>
      </c>
      <c r="P380" s="2" t="s">
        <v>13674</v>
      </c>
    </row>
    <row r="381" spans="1:16" ht="13.15" x14ac:dyDescent="0.4">
      <c r="A381" s="2" t="s">
        <v>13396</v>
      </c>
      <c r="B381" s="2" t="s">
        <v>5883</v>
      </c>
      <c r="C381" s="6" t="s">
        <v>5879</v>
      </c>
      <c r="D381" s="6" t="s">
        <v>42</v>
      </c>
      <c r="E381" s="7">
        <v>44927</v>
      </c>
      <c r="F381" s="8" t="s">
        <v>77</v>
      </c>
      <c r="G381" s="2" t="s">
        <v>26</v>
      </c>
      <c r="H381" s="8" t="s">
        <v>28</v>
      </c>
      <c r="I381" s="2" t="s">
        <v>26</v>
      </c>
      <c r="J381" s="7">
        <v>44927</v>
      </c>
      <c r="K381" s="8" t="s">
        <v>77</v>
      </c>
      <c r="L381" s="2" t="s">
        <v>26</v>
      </c>
      <c r="M381" s="8" t="s">
        <v>28</v>
      </c>
      <c r="N381" s="6" t="s">
        <v>2264</v>
      </c>
      <c r="O381" s="6" t="s">
        <v>30</v>
      </c>
      <c r="P381" s="2" t="s">
        <v>13742</v>
      </c>
    </row>
    <row r="382" spans="1:16" ht="13.15" x14ac:dyDescent="0.4">
      <c r="A382" s="2" t="s">
        <v>13460</v>
      </c>
      <c r="B382" s="2" t="s">
        <v>5883</v>
      </c>
      <c r="C382" s="6" t="s">
        <v>5879</v>
      </c>
      <c r="D382" s="6" t="s">
        <v>42</v>
      </c>
      <c r="E382" s="7">
        <v>44927</v>
      </c>
      <c r="F382" s="8" t="s">
        <v>77</v>
      </c>
      <c r="G382" s="2" t="s">
        <v>26</v>
      </c>
      <c r="H382" s="8" t="s">
        <v>28</v>
      </c>
      <c r="I382" s="2" t="s">
        <v>26</v>
      </c>
      <c r="J382" s="7">
        <v>44927</v>
      </c>
      <c r="K382" s="8" t="s">
        <v>77</v>
      </c>
      <c r="L382" s="2" t="s">
        <v>26</v>
      </c>
      <c r="M382" s="8" t="s">
        <v>28</v>
      </c>
      <c r="N382" s="6" t="s">
        <v>2264</v>
      </c>
      <c r="O382" s="6" t="s">
        <v>30</v>
      </c>
      <c r="P382" s="2" t="s">
        <v>13810</v>
      </c>
    </row>
    <row r="383" spans="1:16" ht="13.15" x14ac:dyDescent="0.4">
      <c r="A383" s="2" t="s">
        <v>13577</v>
      </c>
      <c r="B383" s="2" t="s">
        <v>5883</v>
      </c>
      <c r="C383" s="6" t="s">
        <v>5879</v>
      </c>
      <c r="D383" s="6" t="s">
        <v>42</v>
      </c>
      <c r="E383" s="7">
        <v>44927</v>
      </c>
      <c r="F383" s="8" t="s">
        <v>77</v>
      </c>
      <c r="G383" s="2" t="s">
        <v>26</v>
      </c>
      <c r="H383" s="8" t="s">
        <v>28</v>
      </c>
      <c r="I383" s="2" t="s">
        <v>26</v>
      </c>
      <c r="J383" s="7">
        <v>44927</v>
      </c>
      <c r="K383" s="8" t="s">
        <v>77</v>
      </c>
      <c r="L383" s="2" t="s">
        <v>26</v>
      </c>
      <c r="M383" s="8" t="s">
        <v>28</v>
      </c>
      <c r="N383" s="6" t="s">
        <v>2264</v>
      </c>
      <c r="O383" s="6" t="s">
        <v>30</v>
      </c>
      <c r="P383" s="2" t="s">
        <v>13933</v>
      </c>
    </row>
    <row r="384" spans="1:16" ht="13.15" x14ac:dyDescent="0.4">
      <c r="A384" s="2" t="s">
        <v>13279</v>
      </c>
      <c r="B384" s="2" t="s">
        <v>5883</v>
      </c>
      <c r="C384" s="6" t="s">
        <v>5879</v>
      </c>
      <c r="D384" s="6" t="s">
        <v>42</v>
      </c>
      <c r="E384" s="7">
        <v>44927</v>
      </c>
      <c r="F384" s="8" t="s">
        <v>77</v>
      </c>
      <c r="G384" s="2" t="s">
        <v>26</v>
      </c>
      <c r="H384" s="8" t="s">
        <v>28</v>
      </c>
      <c r="I384" s="2" t="s">
        <v>26</v>
      </c>
      <c r="J384" s="7">
        <v>44927</v>
      </c>
      <c r="K384" s="8" t="s">
        <v>77</v>
      </c>
      <c r="L384" s="2" t="s">
        <v>26</v>
      </c>
      <c r="M384" s="8" t="s">
        <v>28</v>
      </c>
      <c r="N384" s="6" t="s">
        <v>2264</v>
      </c>
      <c r="O384" s="6" t="s">
        <v>30</v>
      </c>
      <c r="P384" s="2" t="s">
        <v>13615</v>
      </c>
    </row>
    <row r="385" spans="1:16" ht="13.15" x14ac:dyDescent="0.4">
      <c r="A385" s="2" t="s">
        <v>13317</v>
      </c>
      <c r="B385" s="2" t="s">
        <v>5883</v>
      </c>
      <c r="C385" s="6" t="s">
        <v>5879</v>
      </c>
      <c r="D385" s="6" t="s">
        <v>42</v>
      </c>
      <c r="E385" s="7">
        <v>44927</v>
      </c>
      <c r="F385" s="8" t="s">
        <v>77</v>
      </c>
      <c r="G385" s="2" t="s">
        <v>26</v>
      </c>
      <c r="H385" s="8" t="s">
        <v>28</v>
      </c>
      <c r="I385" s="2" t="s">
        <v>26</v>
      </c>
      <c r="J385" s="7">
        <v>44927</v>
      </c>
      <c r="K385" s="8" t="s">
        <v>77</v>
      </c>
      <c r="L385" s="2" t="s">
        <v>26</v>
      </c>
      <c r="M385" s="8" t="s">
        <v>28</v>
      </c>
      <c r="N385" s="6" t="s">
        <v>2264</v>
      </c>
      <c r="O385" s="6" t="s">
        <v>30</v>
      </c>
      <c r="P385" s="2" t="s">
        <v>13656</v>
      </c>
    </row>
    <row r="386" spans="1:16" ht="13.15" x14ac:dyDescent="0.4">
      <c r="A386" s="2" t="s">
        <v>13558</v>
      </c>
      <c r="B386" s="2" t="s">
        <v>5883</v>
      </c>
      <c r="C386" s="6" t="s">
        <v>5879</v>
      </c>
      <c r="D386" s="6" t="s">
        <v>42</v>
      </c>
      <c r="E386" s="7">
        <v>44927</v>
      </c>
      <c r="F386" s="8" t="s">
        <v>77</v>
      </c>
      <c r="G386" s="2" t="s">
        <v>26</v>
      </c>
      <c r="H386" s="8" t="s">
        <v>28</v>
      </c>
      <c r="I386" s="2" t="s">
        <v>26</v>
      </c>
      <c r="J386" s="7">
        <v>44927</v>
      </c>
      <c r="K386" s="8" t="s">
        <v>77</v>
      </c>
      <c r="L386" s="2" t="s">
        <v>26</v>
      </c>
      <c r="M386" s="8" t="s">
        <v>28</v>
      </c>
      <c r="N386" s="6" t="s">
        <v>2264</v>
      </c>
      <c r="O386" s="6" t="s">
        <v>30</v>
      </c>
      <c r="P386" s="2" t="s">
        <v>13912</v>
      </c>
    </row>
    <row r="387" spans="1:16" ht="13.15" x14ac:dyDescent="0.4">
      <c r="A387" s="2" t="s">
        <v>13592</v>
      </c>
      <c r="B387" s="2" t="s">
        <v>5883</v>
      </c>
      <c r="C387" s="6" t="s">
        <v>5879</v>
      </c>
      <c r="D387" s="6" t="s">
        <v>42</v>
      </c>
      <c r="E387" s="7">
        <v>44927</v>
      </c>
      <c r="F387" s="8" t="s">
        <v>77</v>
      </c>
      <c r="G387" s="2" t="s">
        <v>26</v>
      </c>
      <c r="H387" s="8" t="s">
        <v>28</v>
      </c>
      <c r="I387" s="2" t="s">
        <v>26</v>
      </c>
      <c r="J387" s="7">
        <v>44927</v>
      </c>
      <c r="K387" s="8" t="s">
        <v>77</v>
      </c>
      <c r="L387" s="2" t="s">
        <v>26</v>
      </c>
      <c r="M387" s="8" t="s">
        <v>28</v>
      </c>
      <c r="N387" s="6" t="s">
        <v>2264</v>
      </c>
      <c r="O387" s="6" t="s">
        <v>30</v>
      </c>
      <c r="P387" s="2" t="s">
        <v>13949</v>
      </c>
    </row>
    <row r="388" spans="1:16" ht="13.15" x14ac:dyDescent="0.4">
      <c r="A388" s="2" t="s">
        <v>13370</v>
      </c>
      <c r="B388" s="2" t="s">
        <v>5883</v>
      </c>
      <c r="C388" s="6" t="s">
        <v>5879</v>
      </c>
      <c r="D388" s="6" t="s">
        <v>42</v>
      </c>
      <c r="E388" s="7">
        <v>44927</v>
      </c>
      <c r="F388" s="8" t="s">
        <v>77</v>
      </c>
      <c r="G388" s="2" t="s">
        <v>26</v>
      </c>
      <c r="H388" s="8" t="s">
        <v>28</v>
      </c>
      <c r="I388" s="2" t="s">
        <v>26</v>
      </c>
      <c r="J388" s="7">
        <v>44927</v>
      </c>
      <c r="K388" s="8" t="s">
        <v>77</v>
      </c>
      <c r="L388" s="2" t="s">
        <v>26</v>
      </c>
      <c r="M388" s="8" t="s">
        <v>28</v>
      </c>
      <c r="N388" s="6" t="s">
        <v>2264</v>
      </c>
      <c r="O388" s="6" t="s">
        <v>30</v>
      </c>
      <c r="P388" s="2" t="s">
        <v>13714</v>
      </c>
    </row>
    <row r="389" spans="1:16" ht="13.15" x14ac:dyDescent="0.4">
      <c r="A389" s="2" t="s">
        <v>13335</v>
      </c>
      <c r="B389" s="2" t="s">
        <v>5883</v>
      </c>
      <c r="C389" s="6" t="s">
        <v>5879</v>
      </c>
      <c r="D389" s="6" t="s">
        <v>42</v>
      </c>
      <c r="E389" s="7">
        <v>44927</v>
      </c>
      <c r="F389" s="8" t="s">
        <v>77</v>
      </c>
      <c r="G389" s="2" t="s">
        <v>26</v>
      </c>
      <c r="H389" s="8" t="s">
        <v>28</v>
      </c>
      <c r="I389" s="2" t="s">
        <v>26</v>
      </c>
      <c r="J389" s="7">
        <v>44927</v>
      </c>
      <c r="K389" s="8" t="s">
        <v>77</v>
      </c>
      <c r="L389" s="2" t="s">
        <v>26</v>
      </c>
      <c r="M389" s="8" t="s">
        <v>28</v>
      </c>
      <c r="N389" s="6" t="s">
        <v>2264</v>
      </c>
      <c r="O389" s="6" t="s">
        <v>30</v>
      </c>
      <c r="P389" s="2" t="s">
        <v>13676</v>
      </c>
    </row>
    <row r="390" spans="1:16" ht="13.15" x14ac:dyDescent="0.4">
      <c r="A390" s="2" t="s">
        <v>13485</v>
      </c>
      <c r="B390" s="2" t="s">
        <v>5883</v>
      </c>
      <c r="C390" s="6" t="s">
        <v>5879</v>
      </c>
      <c r="D390" s="6" t="s">
        <v>42</v>
      </c>
      <c r="E390" s="7">
        <v>44927</v>
      </c>
      <c r="F390" s="8" t="s">
        <v>77</v>
      </c>
      <c r="G390" s="2" t="s">
        <v>26</v>
      </c>
      <c r="H390" s="8" t="s">
        <v>28</v>
      </c>
      <c r="I390" s="2" t="s">
        <v>26</v>
      </c>
      <c r="J390" s="7">
        <v>44927</v>
      </c>
      <c r="K390" s="8" t="s">
        <v>77</v>
      </c>
      <c r="L390" s="2" t="s">
        <v>26</v>
      </c>
      <c r="M390" s="8" t="s">
        <v>28</v>
      </c>
      <c r="N390" s="6" t="s">
        <v>2264</v>
      </c>
      <c r="O390" s="6" t="s">
        <v>30</v>
      </c>
      <c r="P390" s="2" t="s">
        <v>13835</v>
      </c>
    </row>
    <row r="391" spans="1:16" ht="13.15" x14ac:dyDescent="0.4">
      <c r="A391" s="2" t="s">
        <v>13415</v>
      </c>
      <c r="B391" s="2" t="s">
        <v>5883</v>
      </c>
      <c r="C391" s="6" t="s">
        <v>5879</v>
      </c>
      <c r="D391" s="6" t="s">
        <v>42</v>
      </c>
      <c r="E391" s="7">
        <v>44927</v>
      </c>
      <c r="F391" s="8" t="s">
        <v>77</v>
      </c>
      <c r="G391" s="2" t="s">
        <v>26</v>
      </c>
      <c r="H391" s="8" t="s">
        <v>28</v>
      </c>
      <c r="I391" s="2" t="s">
        <v>26</v>
      </c>
      <c r="J391" s="7">
        <v>44927</v>
      </c>
      <c r="K391" s="8" t="s">
        <v>77</v>
      </c>
      <c r="L391" s="2" t="s">
        <v>26</v>
      </c>
      <c r="M391" s="8" t="s">
        <v>28</v>
      </c>
      <c r="N391" s="6" t="s">
        <v>2264</v>
      </c>
      <c r="O391" s="6" t="s">
        <v>30</v>
      </c>
      <c r="P391" s="2" t="s">
        <v>13763</v>
      </c>
    </row>
    <row r="392" spans="1:16" ht="13.15" x14ac:dyDescent="0.4">
      <c r="A392" s="2" t="s">
        <v>13341</v>
      </c>
      <c r="B392" s="2" t="s">
        <v>5883</v>
      </c>
      <c r="C392" s="6" t="s">
        <v>5879</v>
      </c>
      <c r="D392" s="6" t="s">
        <v>42</v>
      </c>
      <c r="E392" s="7">
        <v>44927</v>
      </c>
      <c r="F392" s="8" t="s">
        <v>77</v>
      </c>
      <c r="G392" s="2" t="s">
        <v>26</v>
      </c>
      <c r="H392" s="8" t="s">
        <v>28</v>
      </c>
      <c r="I392" s="2" t="s">
        <v>26</v>
      </c>
      <c r="J392" s="7">
        <v>44927</v>
      </c>
      <c r="K392" s="8" t="s">
        <v>77</v>
      </c>
      <c r="L392" s="2" t="s">
        <v>26</v>
      </c>
      <c r="M392" s="8" t="s">
        <v>28</v>
      </c>
      <c r="N392" s="6" t="s">
        <v>2264</v>
      </c>
      <c r="O392" s="6" t="s">
        <v>30</v>
      </c>
      <c r="P392" s="2" t="s">
        <v>13682</v>
      </c>
    </row>
    <row r="393" spans="1:16" ht="13.15" x14ac:dyDescent="0.4">
      <c r="A393" s="2" t="s">
        <v>13354</v>
      </c>
      <c r="B393" s="2" t="s">
        <v>5883</v>
      </c>
      <c r="C393" s="6" t="s">
        <v>5879</v>
      </c>
      <c r="D393" s="6" t="s">
        <v>42</v>
      </c>
      <c r="E393" s="7">
        <v>44927</v>
      </c>
      <c r="F393" s="8" t="s">
        <v>77</v>
      </c>
      <c r="G393" s="2" t="s">
        <v>26</v>
      </c>
      <c r="H393" s="8" t="s">
        <v>28</v>
      </c>
      <c r="I393" s="2" t="s">
        <v>26</v>
      </c>
      <c r="J393" s="7">
        <v>44927</v>
      </c>
      <c r="K393" s="8" t="s">
        <v>77</v>
      </c>
      <c r="L393" s="2" t="s">
        <v>26</v>
      </c>
      <c r="M393" s="8" t="s">
        <v>28</v>
      </c>
      <c r="N393" s="6" t="s">
        <v>2264</v>
      </c>
      <c r="O393" s="6" t="s">
        <v>30</v>
      </c>
      <c r="P393" s="2" t="s">
        <v>13698</v>
      </c>
    </row>
    <row r="394" spans="1:16" ht="13.15" x14ac:dyDescent="0.4">
      <c r="A394" s="2" t="s">
        <v>13570</v>
      </c>
      <c r="B394" s="2" t="s">
        <v>5883</v>
      </c>
      <c r="C394" s="6" t="s">
        <v>5879</v>
      </c>
      <c r="D394" s="6" t="s">
        <v>42</v>
      </c>
      <c r="E394" s="7">
        <v>44927</v>
      </c>
      <c r="F394" s="8" t="s">
        <v>77</v>
      </c>
      <c r="G394" s="2" t="s">
        <v>26</v>
      </c>
      <c r="H394" s="8" t="s">
        <v>28</v>
      </c>
      <c r="I394" s="2" t="s">
        <v>26</v>
      </c>
      <c r="J394" s="7">
        <v>44927</v>
      </c>
      <c r="K394" s="8" t="s">
        <v>77</v>
      </c>
      <c r="L394" s="2" t="s">
        <v>26</v>
      </c>
      <c r="M394" s="8" t="s">
        <v>28</v>
      </c>
      <c r="N394" s="6" t="s">
        <v>2264</v>
      </c>
      <c r="O394" s="6" t="s">
        <v>30</v>
      </c>
      <c r="P394" s="2" t="s">
        <v>13926</v>
      </c>
    </row>
    <row r="395" spans="1:16" ht="13.15" x14ac:dyDescent="0.4">
      <c r="A395" s="2" t="s">
        <v>13331</v>
      </c>
      <c r="B395" s="2" t="s">
        <v>5883</v>
      </c>
      <c r="C395" s="6" t="s">
        <v>5879</v>
      </c>
      <c r="D395" s="6" t="s">
        <v>42</v>
      </c>
      <c r="E395" s="7">
        <v>44927</v>
      </c>
      <c r="F395" s="8" t="s">
        <v>77</v>
      </c>
      <c r="G395" s="2" t="s">
        <v>26</v>
      </c>
      <c r="H395" s="8" t="s">
        <v>28</v>
      </c>
      <c r="I395" s="2" t="s">
        <v>26</v>
      </c>
      <c r="J395" s="7">
        <v>44927</v>
      </c>
      <c r="K395" s="8" t="s">
        <v>77</v>
      </c>
      <c r="L395" s="2" t="s">
        <v>26</v>
      </c>
      <c r="M395" s="8" t="s">
        <v>28</v>
      </c>
      <c r="N395" s="6" t="s">
        <v>2264</v>
      </c>
      <c r="O395" s="6" t="s">
        <v>30</v>
      </c>
      <c r="P395" s="2" t="s">
        <v>13671</v>
      </c>
    </row>
    <row r="396" spans="1:16" ht="13.15" x14ac:dyDescent="0.4">
      <c r="A396" s="2" t="s">
        <v>13321</v>
      </c>
      <c r="B396" s="2" t="s">
        <v>5883</v>
      </c>
      <c r="C396" s="6" t="s">
        <v>5879</v>
      </c>
      <c r="D396" s="6" t="s">
        <v>42</v>
      </c>
      <c r="E396" s="7">
        <v>44927</v>
      </c>
      <c r="F396" s="8" t="s">
        <v>77</v>
      </c>
      <c r="G396" s="2" t="s">
        <v>26</v>
      </c>
      <c r="H396" s="8" t="s">
        <v>28</v>
      </c>
      <c r="I396" s="2" t="s">
        <v>26</v>
      </c>
      <c r="J396" s="7">
        <v>44927</v>
      </c>
      <c r="K396" s="8" t="s">
        <v>77</v>
      </c>
      <c r="L396" s="2" t="s">
        <v>26</v>
      </c>
      <c r="M396" s="8" t="s">
        <v>28</v>
      </c>
      <c r="N396" s="6" t="s">
        <v>2264</v>
      </c>
      <c r="O396" s="6" t="s">
        <v>30</v>
      </c>
      <c r="P396" s="2" t="s">
        <v>13660</v>
      </c>
    </row>
    <row r="397" spans="1:16" ht="13.15" x14ac:dyDescent="0.4">
      <c r="A397" s="2" t="s">
        <v>13297</v>
      </c>
      <c r="B397" s="2" t="s">
        <v>5883</v>
      </c>
      <c r="C397" s="6" t="s">
        <v>5879</v>
      </c>
      <c r="D397" s="6" t="s">
        <v>42</v>
      </c>
      <c r="E397" s="7">
        <v>44927</v>
      </c>
      <c r="F397" s="8" t="s">
        <v>77</v>
      </c>
      <c r="G397" s="2" t="s">
        <v>26</v>
      </c>
      <c r="H397" s="8" t="s">
        <v>28</v>
      </c>
      <c r="I397" s="2" t="s">
        <v>26</v>
      </c>
      <c r="J397" s="7">
        <v>44927</v>
      </c>
      <c r="K397" s="8" t="s">
        <v>77</v>
      </c>
      <c r="L397" s="2" t="s">
        <v>26</v>
      </c>
      <c r="M397" s="8" t="s">
        <v>28</v>
      </c>
      <c r="N397" s="6" t="s">
        <v>2264</v>
      </c>
      <c r="O397" s="6" t="s">
        <v>30</v>
      </c>
      <c r="P397" s="2" t="s">
        <v>13636</v>
      </c>
    </row>
    <row r="398" spans="1:16" ht="13.15" x14ac:dyDescent="0.4">
      <c r="A398" s="2" t="s">
        <v>13439</v>
      </c>
      <c r="B398" s="2" t="s">
        <v>5883</v>
      </c>
      <c r="C398" s="6" t="s">
        <v>5879</v>
      </c>
      <c r="D398" s="6" t="s">
        <v>42</v>
      </c>
      <c r="E398" s="7">
        <v>44927</v>
      </c>
      <c r="F398" s="8" t="s">
        <v>77</v>
      </c>
      <c r="G398" s="2" t="s">
        <v>26</v>
      </c>
      <c r="H398" s="8" t="s">
        <v>28</v>
      </c>
      <c r="I398" s="2" t="s">
        <v>26</v>
      </c>
      <c r="J398" s="7">
        <v>44927</v>
      </c>
      <c r="K398" s="8" t="s">
        <v>77</v>
      </c>
      <c r="L398" s="2" t="s">
        <v>26</v>
      </c>
      <c r="M398" s="8" t="s">
        <v>28</v>
      </c>
      <c r="N398" s="6" t="s">
        <v>2264</v>
      </c>
      <c r="O398" s="6" t="s">
        <v>30</v>
      </c>
      <c r="P398" s="2" t="s">
        <v>13788</v>
      </c>
    </row>
    <row r="399" spans="1:16" ht="13.15" x14ac:dyDescent="0.4">
      <c r="A399" s="2" t="s">
        <v>13479</v>
      </c>
      <c r="B399" s="2" t="s">
        <v>5883</v>
      </c>
      <c r="C399" s="6" t="s">
        <v>5879</v>
      </c>
      <c r="D399" s="6" t="s">
        <v>42</v>
      </c>
      <c r="E399" s="7">
        <v>44927</v>
      </c>
      <c r="F399" s="8" t="s">
        <v>77</v>
      </c>
      <c r="G399" s="2" t="s">
        <v>26</v>
      </c>
      <c r="H399" s="8" t="s">
        <v>28</v>
      </c>
      <c r="I399" s="2" t="s">
        <v>26</v>
      </c>
      <c r="J399" s="7">
        <v>44927</v>
      </c>
      <c r="K399" s="8" t="s">
        <v>77</v>
      </c>
      <c r="L399" s="2" t="s">
        <v>26</v>
      </c>
      <c r="M399" s="8" t="s">
        <v>28</v>
      </c>
      <c r="N399" s="6" t="s">
        <v>2264</v>
      </c>
      <c r="O399" s="6" t="s">
        <v>30</v>
      </c>
      <c r="P399" s="2" t="s">
        <v>13829</v>
      </c>
    </row>
    <row r="400" spans="1:16" ht="13.15" x14ac:dyDescent="0.4">
      <c r="A400" s="2" t="s">
        <v>13405</v>
      </c>
      <c r="B400" s="2" t="s">
        <v>5883</v>
      </c>
      <c r="C400" s="6" t="s">
        <v>5879</v>
      </c>
      <c r="D400" s="6" t="s">
        <v>42</v>
      </c>
      <c r="E400" s="7">
        <v>44927</v>
      </c>
      <c r="F400" s="8" t="s">
        <v>77</v>
      </c>
      <c r="G400" s="2" t="s">
        <v>26</v>
      </c>
      <c r="H400" s="8" t="s">
        <v>28</v>
      </c>
      <c r="I400" s="2" t="s">
        <v>26</v>
      </c>
      <c r="J400" s="7">
        <v>44927</v>
      </c>
      <c r="K400" s="8" t="s">
        <v>77</v>
      </c>
      <c r="L400" s="2" t="s">
        <v>26</v>
      </c>
      <c r="M400" s="8" t="s">
        <v>28</v>
      </c>
      <c r="N400" s="6" t="s">
        <v>2264</v>
      </c>
      <c r="O400" s="6" t="s">
        <v>30</v>
      </c>
      <c r="P400" s="2" t="s">
        <v>13751</v>
      </c>
    </row>
    <row r="401" spans="1:16" ht="13.15" x14ac:dyDescent="0.4">
      <c r="A401" s="2" t="s">
        <v>13515</v>
      </c>
      <c r="B401" s="2" t="s">
        <v>5883</v>
      </c>
      <c r="C401" s="6" t="s">
        <v>5879</v>
      </c>
      <c r="D401" s="6" t="s">
        <v>42</v>
      </c>
      <c r="E401" s="7">
        <v>44927</v>
      </c>
      <c r="F401" s="8" t="s">
        <v>77</v>
      </c>
      <c r="G401" s="2" t="s">
        <v>26</v>
      </c>
      <c r="H401" s="8" t="s">
        <v>28</v>
      </c>
      <c r="I401" s="2" t="s">
        <v>26</v>
      </c>
      <c r="J401" s="7">
        <v>44927</v>
      </c>
      <c r="K401" s="8" t="s">
        <v>77</v>
      </c>
      <c r="L401" s="2" t="s">
        <v>26</v>
      </c>
      <c r="M401" s="8" t="s">
        <v>28</v>
      </c>
      <c r="N401" s="6" t="s">
        <v>2264</v>
      </c>
      <c r="O401" s="6" t="s">
        <v>30</v>
      </c>
      <c r="P401" s="2" t="s">
        <v>13866</v>
      </c>
    </row>
    <row r="402" spans="1:16" ht="13.15" x14ac:dyDescent="0.4">
      <c r="A402" s="2" t="s">
        <v>13413</v>
      </c>
      <c r="B402" s="2" t="s">
        <v>5883</v>
      </c>
      <c r="C402" s="6" t="s">
        <v>5879</v>
      </c>
      <c r="D402" s="6" t="s">
        <v>42</v>
      </c>
      <c r="E402" s="7">
        <v>44927</v>
      </c>
      <c r="F402" s="8" t="s">
        <v>77</v>
      </c>
      <c r="G402" s="2" t="s">
        <v>26</v>
      </c>
      <c r="H402" s="8" t="s">
        <v>28</v>
      </c>
      <c r="I402" s="2" t="s">
        <v>26</v>
      </c>
      <c r="J402" s="7">
        <v>44927</v>
      </c>
      <c r="K402" s="8" t="s">
        <v>77</v>
      </c>
      <c r="L402" s="2" t="s">
        <v>26</v>
      </c>
      <c r="M402" s="8" t="s">
        <v>28</v>
      </c>
      <c r="N402" s="6" t="s">
        <v>2264</v>
      </c>
      <c r="O402" s="6" t="s">
        <v>30</v>
      </c>
      <c r="P402" s="2" t="s">
        <v>13761</v>
      </c>
    </row>
    <row r="403" spans="1:16" ht="13.15" x14ac:dyDescent="0.4">
      <c r="A403" s="2" t="s">
        <v>13533</v>
      </c>
      <c r="B403" s="2" t="s">
        <v>5883</v>
      </c>
      <c r="C403" s="6" t="s">
        <v>5879</v>
      </c>
      <c r="D403" s="6" t="s">
        <v>42</v>
      </c>
      <c r="E403" s="7">
        <v>44927</v>
      </c>
      <c r="F403" s="8" t="s">
        <v>77</v>
      </c>
      <c r="G403" s="2" t="s">
        <v>26</v>
      </c>
      <c r="H403" s="8" t="s">
        <v>28</v>
      </c>
      <c r="I403" s="2" t="s">
        <v>26</v>
      </c>
      <c r="J403" s="7">
        <v>44927</v>
      </c>
      <c r="K403" s="8" t="s">
        <v>77</v>
      </c>
      <c r="L403" s="2" t="s">
        <v>26</v>
      </c>
      <c r="M403" s="8" t="s">
        <v>28</v>
      </c>
      <c r="N403" s="6" t="s">
        <v>2264</v>
      </c>
      <c r="O403" s="6" t="s">
        <v>30</v>
      </c>
      <c r="P403" s="2" t="s">
        <v>13885</v>
      </c>
    </row>
    <row r="404" spans="1:16" ht="13.15" x14ac:dyDescent="0.4">
      <c r="A404" s="2" t="s">
        <v>13364</v>
      </c>
      <c r="B404" s="2" t="s">
        <v>5883</v>
      </c>
      <c r="C404" s="6" t="s">
        <v>5879</v>
      </c>
      <c r="D404" s="6" t="s">
        <v>42</v>
      </c>
      <c r="E404" s="7">
        <v>44927</v>
      </c>
      <c r="F404" s="8" t="s">
        <v>77</v>
      </c>
      <c r="G404" s="2" t="s">
        <v>26</v>
      </c>
      <c r="H404" s="8" t="s">
        <v>28</v>
      </c>
      <c r="I404" s="2" t="s">
        <v>26</v>
      </c>
      <c r="J404" s="7">
        <v>44927</v>
      </c>
      <c r="K404" s="8" t="s">
        <v>77</v>
      </c>
      <c r="L404" s="2" t="s">
        <v>26</v>
      </c>
      <c r="M404" s="8" t="s">
        <v>28</v>
      </c>
      <c r="N404" s="6" t="s">
        <v>2264</v>
      </c>
      <c r="O404" s="6" t="s">
        <v>30</v>
      </c>
      <c r="P404" s="2" t="s">
        <v>13708</v>
      </c>
    </row>
    <row r="405" spans="1:16" ht="13.15" x14ac:dyDescent="0.4">
      <c r="A405" s="2" t="s">
        <v>13407</v>
      </c>
      <c r="B405" s="2" t="s">
        <v>5883</v>
      </c>
      <c r="C405" s="6" t="s">
        <v>5879</v>
      </c>
      <c r="D405" s="6" t="s">
        <v>42</v>
      </c>
      <c r="E405" s="7">
        <v>44927</v>
      </c>
      <c r="F405" s="8" t="s">
        <v>77</v>
      </c>
      <c r="G405" s="2" t="s">
        <v>26</v>
      </c>
      <c r="H405" s="8" t="s">
        <v>28</v>
      </c>
      <c r="I405" s="2" t="s">
        <v>26</v>
      </c>
      <c r="J405" s="7">
        <v>44927</v>
      </c>
      <c r="K405" s="8" t="s">
        <v>77</v>
      </c>
      <c r="L405" s="2" t="s">
        <v>26</v>
      </c>
      <c r="M405" s="8" t="s">
        <v>28</v>
      </c>
      <c r="N405" s="6" t="s">
        <v>2264</v>
      </c>
      <c r="O405" s="6" t="s">
        <v>30</v>
      </c>
      <c r="P405" s="2" t="s">
        <v>13754</v>
      </c>
    </row>
    <row r="406" spans="1:16" ht="13.15" x14ac:dyDescent="0.4">
      <c r="A406" s="2" t="s">
        <v>13345</v>
      </c>
      <c r="B406" s="2" t="s">
        <v>5883</v>
      </c>
      <c r="C406" s="6" t="s">
        <v>5879</v>
      </c>
      <c r="D406" s="6" t="s">
        <v>42</v>
      </c>
      <c r="E406" s="7">
        <v>44927</v>
      </c>
      <c r="F406" s="8" t="s">
        <v>77</v>
      </c>
      <c r="G406" s="2" t="s">
        <v>26</v>
      </c>
      <c r="H406" s="8" t="s">
        <v>28</v>
      </c>
      <c r="I406" s="2" t="s">
        <v>26</v>
      </c>
      <c r="J406" s="7">
        <v>44927</v>
      </c>
      <c r="K406" s="8" t="s">
        <v>77</v>
      </c>
      <c r="L406" s="2" t="s">
        <v>26</v>
      </c>
      <c r="M406" s="8" t="s">
        <v>28</v>
      </c>
      <c r="N406" s="6" t="s">
        <v>2264</v>
      </c>
      <c r="O406" s="6" t="s">
        <v>30</v>
      </c>
      <c r="P406" s="2" t="s">
        <v>13686</v>
      </c>
    </row>
    <row r="407" spans="1:16" ht="13.15" x14ac:dyDescent="0.4">
      <c r="A407" s="2" t="s">
        <v>13299</v>
      </c>
      <c r="B407" s="2" t="s">
        <v>5883</v>
      </c>
      <c r="C407" s="6" t="s">
        <v>5879</v>
      </c>
      <c r="D407" s="6" t="s">
        <v>42</v>
      </c>
      <c r="E407" s="7">
        <v>44927</v>
      </c>
      <c r="F407" s="8" t="s">
        <v>77</v>
      </c>
      <c r="G407" s="2" t="s">
        <v>26</v>
      </c>
      <c r="H407" s="8" t="s">
        <v>28</v>
      </c>
      <c r="I407" s="2" t="s">
        <v>26</v>
      </c>
      <c r="J407" s="7">
        <v>44927</v>
      </c>
      <c r="K407" s="8" t="s">
        <v>77</v>
      </c>
      <c r="L407" s="2" t="s">
        <v>26</v>
      </c>
      <c r="M407" s="8" t="s">
        <v>28</v>
      </c>
      <c r="N407" s="6" t="s">
        <v>2264</v>
      </c>
      <c r="O407" s="6" t="s">
        <v>30</v>
      </c>
      <c r="P407" s="2" t="s">
        <v>13638</v>
      </c>
    </row>
    <row r="408" spans="1:16" ht="13.15" x14ac:dyDescent="0.4">
      <c r="A408" s="2" t="s">
        <v>13280</v>
      </c>
      <c r="B408" s="2" t="s">
        <v>5883</v>
      </c>
      <c r="C408" s="6" t="s">
        <v>5879</v>
      </c>
      <c r="D408" s="6" t="s">
        <v>42</v>
      </c>
      <c r="E408" s="7">
        <v>44927</v>
      </c>
      <c r="F408" s="8" t="s">
        <v>77</v>
      </c>
      <c r="G408" s="2" t="s">
        <v>26</v>
      </c>
      <c r="H408" s="8" t="s">
        <v>28</v>
      </c>
      <c r="I408" s="2" t="s">
        <v>26</v>
      </c>
      <c r="J408" s="7">
        <v>44927</v>
      </c>
      <c r="K408" s="8" t="s">
        <v>77</v>
      </c>
      <c r="L408" s="2" t="s">
        <v>26</v>
      </c>
      <c r="M408" s="8" t="s">
        <v>28</v>
      </c>
      <c r="N408" s="6" t="s">
        <v>2264</v>
      </c>
      <c r="O408" s="6" t="s">
        <v>30</v>
      </c>
      <c r="P408" s="2" t="s">
        <v>13617</v>
      </c>
    </row>
    <row r="409" spans="1:16" ht="13.15" x14ac:dyDescent="0.4">
      <c r="A409" s="2" t="s">
        <v>13349</v>
      </c>
      <c r="B409" s="2" t="s">
        <v>5883</v>
      </c>
      <c r="C409" s="6" t="s">
        <v>5879</v>
      </c>
      <c r="D409" s="6" t="s">
        <v>42</v>
      </c>
      <c r="E409" s="7">
        <v>44927</v>
      </c>
      <c r="F409" s="8" t="s">
        <v>77</v>
      </c>
      <c r="G409" s="2" t="s">
        <v>26</v>
      </c>
      <c r="H409" s="8" t="s">
        <v>28</v>
      </c>
      <c r="I409" s="2" t="s">
        <v>26</v>
      </c>
      <c r="J409" s="7">
        <v>44927</v>
      </c>
      <c r="K409" s="8" t="s">
        <v>77</v>
      </c>
      <c r="L409" s="2" t="s">
        <v>26</v>
      </c>
      <c r="M409" s="8" t="s">
        <v>28</v>
      </c>
      <c r="N409" s="6" t="s">
        <v>2264</v>
      </c>
      <c r="O409" s="6" t="s">
        <v>30</v>
      </c>
      <c r="P409" s="2" t="s">
        <v>13692</v>
      </c>
    </row>
    <row r="410" spans="1:16" ht="13.15" x14ac:dyDescent="0.4">
      <c r="A410" s="2" t="s">
        <v>13484</v>
      </c>
      <c r="B410" s="2" t="s">
        <v>5883</v>
      </c>
      <c r="C410" s="6" t="s">
        <v>5879</v>
      </c>
      <c r="D410" s="6" t="s">
        <v>42</v>
      </c>
      <c r="E410" s="7">
        <v>44927</v>
      </c>
      <c r="F410" s="8" t="s">
        <v>77</v>
      </c>
      <c r="G410" s="2" t="s">
        <v>26</v>
      </c>
      <c r="H410" s="8" t="s">
        <v>28</v>
      </c>
      <c r="I410" s="2" t="s">
        <v>26</v>
      </c>
      <c r="J410" s="7">
        <v>44927</v>
      </c>
      <c r="K410" s="8" t="s">
        <v>77</v>
      </c>
      <c r="L410" s="2" t="s">
        <v>26</v>
      </c>
      <c r="M410" s="8" t="s">
        <v>28</v>
      </c>
      <c r="N410" s="6" t="s">
        <v>2264</v>
      </c>
      <c r="O410" s="6" t="s">
        <v>30</v>
      </c>
      <c r="P410" s="2" t="s">
        <v>13834</v>
      </c>
    </row>
    <row r="411" spans="1:16" ht="13.15" x14ac:dyDescent="0.4">
      <c r="A411" s="2" t="s">
        <v>13429</v>
      </c>
      <c r="B411" s="2" t="s">
        <v>5883</v>
      </c>
      <c r="C411" s="6" t="s">
        <v>5879</v>
      </c>
      <c r="D411" s="6" t="s">
        <v>42</v>
      </c>
      <c r="E411" s="7">
        <v>44927</v>
      </c>
      <c r="F411" s="8" t="s">
        <v>77</v>
      </c>
      <c r="G411" s="2" t="s">
        <v>26</v>
      </c>
      <c r="H411" s="8" t="s">
        <v>28</v>
      </c>
      <c r="I411" s="2" t="s">
        <v>26</v>
      </c>
      <c r="J411" s="7">
        <v>44927</v>
      </c>
      <c r="K411" s="8" t="s">
        <v>77</v>
      </c>
      <c r="L411" s="2" t="s">
        <v>26</v>
      </c>
      <c r="M411" s="8" t="s">
        <v>28</v>
      </c>
      <c r="N411" s="6" t="s">
        <v>2264</v>
      </c>
      <c r="O411" s="6" t="s">
        <v>30</v>
      </c>
      <c r="P411" s="2" t="s">
        <v>13778</v>
      </c>
    </row>
    <row r="412" spans="1:16" ht="13.15" x14ac:dyDescent="0.4">
      <c r="A412" s="2" t="s">
        <v>13301</v>
      </c>
      <c r="B412" s="2" t="s">
        <v>5883</v>
      </c>
      <c r="C412" s="6" t="s">
        <v>5879</v>
      </c>
      <c r="D412" s="6" t="s">
        <v>42</v>
      </c>
      <c r="E412" s="7">
        <v>44927</v>
      </c>
      <c r="F412" s="8" t="s">
        <v>77</v>
      </c>
      <c r="G412" s="2" t="s">
        <v>26</v>
      </c>
      <c r="H412" s="8" t="s">
        <v>28</v>
      </c>
      <c r="I412" s="2" t="s">
        <v>26</v>
      </c>
      <c r="J412" s="7">
        <v>44927</v>
      </c>
      <c r="K412" s="8" t="s">
        <v>77</v>
      </c>
      <c r="L412" s="2" t="s">
        <v>26</v>
      </c>
      <c r="M412" s="8" t="s">
        <v>28</v>
      </c>
      <c r="N412" s="6" t="s">
        <v>2264</v>
      </c>
      <c r="O412" s="6" t="s">
        <v>30</v>
      </c>
      <c r="P412" s="2" t="s">
        <v>13640</v>
      </c>
    </row>
    <row r="413" spans="1:16" ht="13.15" x14ac:dyDescent="0.4">
      <c r="A413" s="2" t="s">
        <v>13529</v>
      </c>
      <c r="B413" s="2" t="s">
        <v>5883</v>
      </c>
      <c r="C413" s="6" t="s">
        <v>5879</v>
      </c>
      <c r="D413" s="6" t="s">
        <v>42</v>
      </c>
      <c r="E413" s="7">
        <v>44927</v>
      </c>
      <c r="F413" s="8" t="s">
        <v>77</v>
      </c>
      <c r="G413" s="2" t="s">
        <v>26</v>
      </c>
      <c r="H413" s="8" t="s">
        <v>28</v>
      </c>
      <c r="I413" s="2" t="s">
        <v>26</v>
      </c>
      <c r="J413" s="7">
        <v>44927</v>
      </c>
      <c r="K413" s="8" t="s">
        <v>77</v>
      </c>
      <c r="L413" s="2" t="s">
        <v>26</v>
      </c>
      <c r="M413" s="8" t="s">
        <v>28</v>
      </c>
      <c r="N413" s="6" t="s">
        <v>2264</v>
      </c>
      <c r="O413" s="6" t="s">
        <v>30</v>
      </c>
      <c r="P413" s="2" t="s">
        <v>13881</v>
      </c>
    </row>
    <row r="414" spans="1:16" ht="13.15" x14ac:dyDescent="0.4">
      <c r="A414" s="2" t="s">
        <v>13522</v>
      </c>
      <c r="B414" s="2" t="s">
        <v>5883</v>
      </c>
      <c r="C414" s="6" t="s">
        <v>5879</v>
      </c>
      <c r="D414" s="6" t="s">
        <v>42</v>
      </c>
      <c r="E414" s="7">
        <v>44927</v>
      </c>
      <c r="F414" s="8" t="s">
        <v>77</v>
      </c>
      <c r="G414" s="2" t="s">
        <v>26</v>
      </c>
      <c r="H414" s="8" t="s">
        <v>28</v>
      </c>
      <c r="I414" s="2" t="s">
        <v>26</v>
      </c>
      <c r="J414" s="7">
        <v>44927</v>
      </c>
      <c r="K414" s="8" t="s">
        <v>77</v>
      </c>
      <c r="L414" s="2" t="s">
        <v>26</v>
      </c>
      <c r="M414" s="8" t="s">
        <v>28</v>
      </c>
      <c r="N414" s="6" t="s">
        <v>2264</v>
      </c>
      <c r="O414" s="6" t="s">
        <v>30</v>
      </c>
      <c r="P414" s="2" t="s">
        <v>13873</v>
      </c>
    </row>
    <row r="415" spans="1:16" ht="13.15" x14ac:dyDescent="0.4">
      <c r="A415" s="2" t="s">
        <v>13340</v>
      </c>
      <c r="B415" s="2" t="s">
        <v>5883</v>
      </c>
      <c r="C415" s="6" t="s">
        <v>5879</v>
      </c>
      <c r="D415" s="6" t="s">
        <v>42</v>
      </c>
      <c r="E415" s="7">
        <v>44927</v>
      </c>
      <c r="F415" s="8" t="s">
        <v>77</v>
      </c>
      <c r="G415" s="2" t="s">
        <v>26</v>
      </c>
      <c r="H415" s="8" t="s">
        <v>28</v>
      </c>
      <c r="I415" s="2" t="s">
        <v>26</v>
      </c>
      <c r="J415" s="7">
        <v>44927</v>
      </c>
      <c r="K415" s="8" t="s">
        <v>77</v>
      </c>
      <c r="L415" s="2" t="s">
        <v>26</v>
      </c>
      <c r="M415" s="8" t="s">
        <v>28</v>
      </c>
      <c r="N415" s="6" t="s">
        <v>2264</v>
      </c>
      <c r="O415" s="6" t="s">
        <v>30</v>
      </c>
      <c r="P415" s="2" t="s">
        <v>13681</v>
      </c>
    </row>
    <row r="416" spans="1:16" ht="13.15" x14ac:dyDescent="0.4">
      <c r="A416" s="2" t="s">
        <v>7836</v>
      </c>
      <c r="B416" s="2" t="s">
        <v>5883</v>
      </c>
      <c r="C416" s="6" t="s">
        <v>5879</v>
      </c>
      <c r="D416" s="6" t="s">
        <v>42</v>
      </c>
      <c r="E416" s="7">
        <v>44927</v>
      </c>
      <c r="F416" s="8" t="s">
        <v>77</v>
      </c>
      <c r="G416" s="2" t="s">
        <v>26</v>
      </c>
      <c r="H416" s="8" t="s">
        <v>28</v>
      </c>
      <c r="I416" s="2" t="s">
        <v>26</v>
      </c>
      <c r="J416" s="7">
        <v>44927</v>
      </c>
      <c r="K416" s="8" t="s">
        <v>77</v>
      </c>
      <c r="L416" s="2" t="s">
        <v>26</v>
      </c>
      <c r="M416" s="8" t="s">
        <v>28</v>
      </c>
      <c r="N416" s="6" t="s">
        <v>2264</v>
      </c>
      <c r="O416" s="6" t="s">
        <v>30</v>
      </c>
      <c r="P416" s="2" t="s">
        <v>13919</v>
      </c>
    </row>
    <row r="417" spans="1:16" ht="13.15" x14ac:dyDescent="0.4">
      <c r="A417" s="2" t="s">
        <v>13568</v>
      </c>
      <c r="B417" s="2" t="s">
        <v>5883</v>
      </c>
      <c r="C417" s="6" t="s">
        <v>5879</v>
      </c>
      <c r="D417" s="6" t="s">
        <v>42</v>
      </c>
      <c r="E417" s="7">
        <v>44927</v>
      </c>
      <c r="F417" s="8" t="s">
        <v>77</v>
      </c>
      <c r="G417" s="2" t="s">
        <v>26</v>
      </c>
      <c r="H417" s="8" t="s">
        <v>28</v>
      </c>
      <c r="I417" s="2" t="s">
        <v>26</v>
      </c>
      <c r="J417" s="7">
        <v>44927</v>
      </c>
      <c r="K417" s="8" t="s">
        <v>77</v>
      </c>
      <c r="L417" s="2" t="s">
        <v>26</v>
      </c>
      <c r="M417" s="8" t="s">
        <v>28</v>
      </c>
      <c r="N417" s="6" t="s">
        <v>2264</v>
      </c>
      <c r="O417" s="6" t="s">
        <v>30</v>
      </c>
      <c r="P417" s="2" t="s">
        <v>13924</v>
      </c>
    </row>
    <row r="418" spans="1:16" ht="13.15" x14ac:dyDescent="0.4">
      <c r="A418" s="2" t="s">
        <v>13523</v>
      </c>
      <c r="B418" s="2" t="s">
        <v>5883</v>
      </c>
      <c r="C418" s="6" t="s">
        <v>5879</v>
      </c>
      <c r="D418" s="6" t="s">
        <v>42</v>
      </c>
      <c r="E418" s="7">
        <v>44927</v>
      </c>
      <c r="F418" s="8" t="s">
        <v>77</v>
      </c>
      <c r="G418" s="2" t="s">
        <v>26</v>
      </c>
      <c r="H418" s="8" t="s">
        <v>28</v>
      </c>
      <c r="I418" s="2" t="s">
        <v>26</v>
      </c>
      <c r="J418" s="7">
        <v>44927</v>
      </c>
      <c r="K418" s="8" t="s">
        <v>77</v>
      </c>
      <c r="L418" s="2" t="s">
        <v>26</v>
      </c>
      <c r="M418" s="8" t="s">
        <v>28</v>
      </c>
      <c r="N418" s="6" t="s">
        <v>2264</v>
      </c>
      <c r="O418" s="6" t="s">
        <v>30</v>
      </c>
      <c r="P418" s="2" t="s">
        <v>13874</v>
      </c>
    </row>
    <row r="419" spans="1:16" ht="13.15" x14ac:dyDescent="0.4">
      <c r="A419" s="2" t="s">
        <v>13604</v>
      </c>
      <c r="B419" s="2" t="s">
        <v>5883</v>
      </c>
      <c r="C419" s="6" t="s">
        <v>5879</v>
      </c>
      <c r="D419" s="6" t="s">
        <v>42</v>
      </c>
      <c r="E419" s="7">
        <v>44927</v>
      </c>
      <c r="F419" s="8" t="s">
        <v>77</v>
      </c>
      <c r="G419" s="2" t="s">
        <v>26</v>
      </c>
      <c r="H419" s="8" t="s">
        <v>28</v>
      </c>
      <c r="I419" s="2" t="s">
        <v>26</v>
      </c>
      <c r="J419" s="7">
        <v>44927</v>
      </c>
      <c r="K419" s="8" t="s">
        <v>77</v>
      </c>
      <c r="L419" s="2" t="s">
        <v>26</v>
      </c>
      <c r="M419" s="8" t="s">
        <v>28</v>
      </c>
      <c r="N419" s="6" t="s">
        <v>2264</v>
      </c>
      <c r="O419" s="6" t="s">
        <v>30</v>
      </c>
      <c r="P419" s="2" t="s">
        <v>13961</v>
      </c>
    </row>
    <row r="420" spans="1:16" ht="13.15" x14ac:dyDescent="0.4">
      <c r="A420" s="2" t="s">
        <v>13356</v>
      </c>
      <c r="B420" s="2" t="s">
        <v>5883</v>
      </c>
      <c r="C420" s="6" t="s">
        <v>5879</v>
      </c>
      <c r="D420" s="6" t="s">
        <v>42</v>
      </c>
      <c r="E420" s="7">
        <v>44927</v>
      </c>
      <c r="F420" s="8" t="s">
        <v>77</v>
      </c>
      <c r="G420" s="2" t="s">
        <v>26</v>
      </c>
      <c r="H420" s="8" t="s">
        <v>28</v>
      </c>
      <c r="I420" s="2" t="s">
        <v>26</v>
      </c>
      <c r="J420" s="7">
        <v>44927</v>
      </c>
      <c r="K420" s="8" t="s">
        <v>77</v>
      </c>
      <c r="L420" s="2" t="s">
        <v>26</v>
      </c>
      <c r="M420" s="8" t="s">
        <v>28</v>
      </c>
      <c r="N420" s="6" t="s">
        <v>2264</v>
      </c>
      <c r="O420" s="6" t="s">
        <v>30</v>
      </c>
      <c r="P420" s="2" t="s">
        <v>13700</v>
      </c>
    </row>
    <row r="421" spans="1:16" ht="13.15" x14ac:dyDescent="0.4">
      <c r="A421" s="2" t="s">
        <v>13330</v>
      </c>
      <c r="B421" s="2" t="s">
        <v>5883</v>
      </c>
      <c r="C421" s="6" t="s">
        <v>5879</v>
      </c>
      <c r="D421" s="6" t="s">
        <v>42</v>
      </c>
      <c r="E421" s="7">
        <v>44927</v>
      </c>
      <c r="F421" s="8" t="s">
        <v>77</v>
      </c>
      <c r="G421" s="2" t="s">
        <v>26</v>
      </c>
      <c r="H421" s="8" t="s">
        <v>28</v>
      </c>
      <c r="I421" s="2" t="s">
        <v>26</v>
      </c>
      <c r="J421" s="7">
        <v>44927</v>
      </c>
      <c r="K421" s="8" t="s">
        <v>77</v>
      </c>
      <c r="L421" s="2" t="s">
        <v>26</v>
      </c>
      <c r="M421" s="8" t="s">
        <v>28</v>
      </c>
      <c r="N421" s="6" t="s">
        <v>2264</v>
      </c>
      <c r="O421" s="6" t="s">
        <v>30</v>
      </c>
      <c r="P421" s="2" t="s">
        <v>13670</v>
      </c>
    </row>
    <row r="422" spans="1:16" ht="13.15" x14ac:dyDescent="0.4">
      <c r="A422" s="2" t="s">
        <v>13494</v>
      </c>
      <c r="B422" s="2" t="s">
        <v>5883</v>
      </c>
      <c r="C422" s="6" t="s">
        <v>5879</v>
      </c>
      <c r="D422" s="6" t="s">
        <v>42</v>
      </c>
      <c r="E422" s="7">
        <v>44927</v>
      </c>
      <c r="F422" s="8" t="s">
        <v>77</v>
      </c>
      <c r="G422" s="2" t="s">
        <v>26</v>
      </c>
      <c r="H422" s="8" t="s">
        <v>28</v>
      </c>
      <c r="I422" s="2" t="s">
        <v>26</v>
      </c>
      <c r="J422" s="7">
        <v>44927</v>
      </c>
      <c r="K422" s="8" t="s">
        <v>77</v>
      </c>
      <c r="L422" s="2" t="s">
        <v>26</v>
      </c>
      <c r="M422" s="8" t="s">
        <v>28</v>
      </c>
      <c r="N422" s="6" t="s">
        <v>2264</v>
      </c>
      <c r="O422" s="6" t="s">
        <v>30</v>
      </c>
      <c r="P422" s="2" t="s">
        <v>13844</v>
      </c>
    </row>
    <row r="423" spans="1:16" ht="13.15" x14ac:dyDescent="0.4">
      <c r="A423" s="2" t="s">
        <v>13393</v>
      </c>
      <c r="B423" s="2" t="s">
        <v>5883</v>
      </c>
      <c r="C423" s="6" t="s">
        <v>5879</v>
      </c>
      <c r="D423" s="6" t="s">
        <v>42</v>
      </c>
      <c r="E423" s="7">
        <v>44927</v>
      </c>
      <c r="F423" s="8" t="s">
        <v>77</v>
      </c>
      <c r="G423" s="2" t="s">
        <v>26</v>
      </c>
      <c r="H423" s="8" t="s">
        <v>28</v>
      </c>
      <c r="I423" s="2" t="s">
        <v>26</v>
      </c>
      <c r="J423" s="7">
        <v>44927</v>
      </c>
      <c r="K423" s="8" t="s">
        <v>77</v>
      </c>
      <c r="L423" s="2" t="s">
        <v>26</v>
      </c>
      <c r="M423" s="8" t="s">
        <v>28</v>
      </c>
      <c r="N423" s="6" t="s">
        <v>2264</v>
      </c>
      <c r="O423" s="6" t="s">
        <v>30</v>
      </c>
      <c r="P423" s="2" t="s">
        <v>13739</v>
      </c>
    </row>
    <row r="424" spans="1:16" ht="13.15" x14ac:dyDescent="0.4">
      <c r="A424" s="2" t="s">
        <v>13442</v>
      </c>
      <c r="B424" s="2" t="s">
        <v>5883</v>
      </c>
      <c r="C424" s="6" t="s">
        <v>5879</v>
      </c>
      <c r="D424" s="6" t="s">
        <v>42</v>
      </c>
      <c r="E424" s="7">
        <v>44927</v>
      </c>
      <c r="F424" s="8" t="s">
        <v>77</v>
      </c>
      <c r="G424" s="2" t="s">
        <v>26</v>
      </c>
      <c r="H424" s="8" t="s">
        <v>28</v>
      </c>
      <c r="I424" s="2" t="s">
        <v>26</v>
      </c>
      <c r="J424" s="7">
        <v>44927</v>
      </c>
      <c r="K424" s="8" t="s">
        <v>77</v>
      </c>
      <c r="L424" s="2" t="s">
        <v>26</v>
      </c>
      <c r="M424" s="8" t="s">
        <v>28</v>
      </c>
      <c r="N424" s="6" t="s">
        <v>2264</v>
      </c>
      <c r="O424" s="6" t="s">
        <v>30</v>
      </c>
      <c r="P424" s="2" t="s">
        <v>13791</v>
      </c>
    </row>
    <row r="425" spans="1:16" ht="13.15" x14ac:dyDescent="0.4">
      <c r="A425" s="2" t="s">
        <v>13599</v>
      </c>
      <c r="B425" s="2" t="s">
        <v>5883</v>
      </c>
      <c r="C425" s="6" t="s">
        <v>5879</v>
      </c>
      <c r="D425" s="6" t="s">
        <v>42</v>
      </c>
      <c r="E425" s="7">
        <v>44927</v>
      </c>
      <c r="F425" s="8" t="s">
        <v>77</v>
      </c>
      <c r="G425" s="2" t="s">
        <v>26</v>
      </c>
      <c r="H425" s="8" t="s">
        <v>28</v>
      </c>
      <c r="I425" s="2" t="s">
        <v>26</v>
      </c>
      <c r="J425" s="7">
        <v>44927</v>
      </c>
      <c r="K425" s="8" t="s">
        <v>77</v>
      </c>
      <c r="L425" s="2" t="s">
        <v>26</v>
      </c>
      <c r="M425" s="8" t="s">
        <v>28</v>
      </c>
      <c r="N425" s="6" t="s">
        <v>2264</v>
      </c>
      <c r="O425" s="6" t="s">
        <v>30</v>
      </c>
      <c r="P425" s="2" t="s">
        <v>13956</v>
      </c>
    </row>
    <row r="426" spans="1:16" ht="13.15" x14ac:dyDescent="0.4">
      <c r="A426" s="2" t="s">
        <v>13402</v>
      </c>
      <c r="B426" s="2" t="s">
        <v>5883</v>
      </c>
      <c r="C426" s="6" t="s">
        <v>5879</v>
      </c>
      <c r="D426" s="6" t="s">
        <v>42</v>
      </c>
      <c r="E426" s="7">
        <v>44927</v>
      </c>
      <c r="F426" s="8" t="s">
        <v>77</v>
      </c>
      <c r="G426" s="2" t="s">
        <v>26</v>
      </c>
      <c r="H426" s="8" t="s">
        <v>28</v>
      </c>
      <c r="I426" s="2" t="s">
        <v>26</v>
      </c>
      <c r="J426" s="7">
        <v>44927</v>
      </c>
      <c r="K426" s="8" t="s">
        <v>77</v>
      </c>
      <c r="L426" s="2" t="s">
        <v>26</v>
      </c>
      <c r="M426" s="8" t="s">
        <v>28</v>
      </c>
      <c r="N426" s="6" t="s">
        <v>2264</v>
      </c>
      <c r="O426" s="6" t="s">
        <v>30</v>
      </c>
      <c r="P426" s="2" t="s">
        <v>13748</v>
      </c>
    </row>
    <row r="427" spans="1:16" ht="13.15" x14ac:dyDescent="0.4">
      <c r="A427" s="2" t="s">
        <v>13281</v>
      </c>
      <c r="B427" s="2" t="s">
        <v>5883</v>
      </c>
      <c r="C427" s="6" t="s">
        <v>5879</v>
      </c>
      <c r="D427" s="6" t="s">
        <v>42</v>
      </c>
      <c r="E427" s="7">
        <v>44927</v>
      </c>
      <c r="F427" s="8" t="s">
        <v>77</v>
      </c>
      <c r="G427" s="2" t="s">
        <v>26</v>
      </c>
      <c r="H427" s="8" t="s">
        <v>28</v>
      </c>
      <c r="I427" s="2" t="s">
        <v>26</v>
      </c>
      <c r="J427" s="7">
        <v>44927</v>
      </c>
      <c r="K427" s="8" t="s">
        <v>77</v>
      </c>
      <c r="L427" s="2" t="s">
        <v>26</v>
      </c>
      <c r="M427" s="8" t="s">
        <v>28</v>
      </c>
      <c r="N427" s="6" t="s">
        <v>2264</v>
      </c>
      <c r="O427" s="6" t="s">
        <v>30</v>
      </c>
      <c r="P427" s="2" t="s">
        <v>13618</v>
      </c>
    </row>
    <row r="428" spans="1:16" ht="13.15" x14ac:dyDescent="0.4">
      <c r="A428" s="2" t="s">
        <v>13294</v>
      </c>
      <c r="B428" s="2" t="s">
        <v>5883</v>
      </c>
      <c r="C428" s="6" t="s">
        <v>5879</v>
      </c>
      <c r="D428" s="6" t="s">
        <v>42</v>
      </c>
      <c r="E428" s="7">
        <v>44927</v>
      </c>
      <c r="F428" s="8" t="s">
        <v>77</v>
      </c>
      <c r="G428" s="2" t="s">
        <v>26</v>
      </c>
      <c r="H428" s="8" t="s">
        <v>28</v>
      </c>
      <c r="I428" s="2" t="s">
        <v>26</v>
      </c>
      <c r="J428" s="7">
        <v>44927</v>
      </c>
      <c r="K428" s="8" t="s">
        <v>77</v>
      </c>
      <c r="L428" s="2" t="s">
        <v>26</v>
      </c>
      <c r="M428" s="8" t="s">
        <v>28</v>
      </c>
      <c r="N428" s="6" t="s">
        <v>2264</v>
      </c>
      <c r="O428" s="6" t="s">
        <v>30</v>
      </c>
      <c r="P428" s="2" t="s">
        <v>13632</v>
      </c>
    </row>
    <row r="429" spans="1:16" ht="13.15" x14ac:dyDescent="0.4">
      <c r="A429" s="2" t="s">
        <v>13576</v>
      </c>
      <c r="B429" s="2" t="s">
        <v>5883</v>
      </c>
      <c r="C429" s="6" t="s">
        <v>5879</v>
      </c>
      <c r="D429" s="6" t="s">
        <v>42</v>
      </c>
      <c r="E429" s="7">
        <v>44927</v>
      </c>
      <c r="F429" s="8" t="s">
        <v>77</v>
      </c>
      <c r="G429" s="2" t="s">
        <v>26</v>
      </c>
      <c r="H429" s="8" t="s">
        <v>28</v>
      </c>
      <c r="I429" s="2" t="s">
        <v>26</v>
      </c>
      <c r="J429" s="7">
        <v>44927</v>
      </c>
      <c r="K429" s="8" t="s">
        <v>77</v>
      </c>
      <c r="L429" s="2" t="s">
        <v>26</v>
      </c>
      <c r="M429" s="8" t="s">
        <v>28</v>
      </c>
      <c r="N429" s="6" t="s">
        <v>2264</v>
      </c>
      <c r="O429" s="6" t="s">
        <v>30</v>
      </c>
      <c r="P429" s="2" t="s">
        <v>13932</v>
      </c>
    </row>
    <row r="430" spans="1:16" ht="13.15" x14ac:dyDescent="0.4">
      <c r="A430" s="2" t="s">
        <v>2023</v>
      </c>
      <c r="B430" s="2" t="s">
        <v>5883</v>
      </c>
      <c r="C430" s="6" t="s">
        <v>5879</v>
      </c>
      <c r="D430" s="6" t="s">
        <v>42</v>
      </c>
      <c r="E430" s="7">
        <v>44927</v>
      </c>
      <c r="F430" s="8" t="s">
        <v>77</v>
      </c>
      <c r="G430" s="2" t="s">
        <v>26</v>
      </c>
      <c r="H430" s="8" t="s">
        <v>28</v>
      </c>
      <c r="I430" s="2" t="s">
        <v>26</v>
      </c>
      <c r="J430" s="7">
        <v>44927</v>
      </c>
      <c r="K430" s="8" t="s">
        <v>77</v>
      </c>
      <c r="L430" s="2" t="s">
        <v>26</v>
      </c>
      <c r="M430" s="8" t="s">
        <v>28</v>
      </c>
      <c r="N430" s="6" t="s">
        <v>2264</v>
      </c>
      <c r="O430" s="6" t="s">
        <v>30</v>
      </c>
      <c r="P430" s="2" t="s">
        <v>13941</v>
      </c>
    </row>
    <row r="431" spans="1:16" ht="13.15" x14ac:dyDescent="0.4">
      <c r="A431" s="2" t="s">
        <v>13361</v>
      </c>
      <c r="B431" s="2" t="s">
        <v>5883</v>
      </c>
      <c r="C431" s="6" t="s">
        <v>5879</v>
      </c>
      <c r="D431" s="6" t="s">
        <v>42</v>
      </c>
      <c r="E431" s="7">
        <v>44927</v>
      </c>
      <c r="F431" s="8" t="s">
        <v>77</v>
      </c>
      <c r="G431" s="2" t="s">
        <v>26</v>
      </c>
      <c r="H431" s="8" t="s">
        <v>28</v>
      </c>
      <c r="I431" s="2" t="s">
        <v>26</v>
      </c>
      <c r="J431" s="7">
        <v>44927</v>
      </c>
      <c r="K431" s="8" t="s">
        <v>77</v>
      </c>
      <c r="L431" s="2" t="s">
        <v>26</v>
      </c>
      <c r="M431" s="8" t="s">
        <v>28</v>
      </c>
      <c r="N431" s="6" t="s">
        <v>2264</v>
      </c>
      <c r="O431" s="6" t="s">
        <v>30</v>
      </c>
      <c r="P431" s="2" t="s">
        <v>13705</v>
      </c>
    </row>
    <row r="432" spans="1:16" ht="13.15" x14ac:dyDescent="0.4">
      <c r="A432" s="2" t="s">
        <v>13550</v>
      </c>
      <c r="B432" s="2" t="s">
        <v>5883</v>
      </c>
      <c r="C432" s="6" t="s">
        <v>5879</v>
      </c>
      <c r="D432" s="6" t="s">
        <v>42</v>
      </c>
      <c r="E432" s="7">
        <v>44927</v>
      </c>
      <c r="F432" s="8" t="s">
        <v>77</v>
      </c>
      <c r="G432" s="2" t="s">
        <v>26</v>
      </c>
      <c r="H432" s="8" t="s">
        <v>28</v>
      </c>
      <c r="I432" s="2" t="s">
        <v>26</v>
      </c>
      <c r="J432" s="7">
        <v>44927</v>
      </c>
      <c r="K432" s="8" t="s">
        <v>77</v>
      </c>
      <c r="L432" s="2" t="s">
        <v>26</v>
      </c>
      <c r="M432" s="8" t="s">
        <v>28</v>
      </c>
      <c r="N432" s="6" t="s">
        <v>2264</v>
      </c>
      <c r="O432" s="6" t="s">
        <v>30</v>
      </c>
      <c r="P432" s="2" t="s">
        <v>13904</v>
      </c>
    </row>
    <row r="433" spans="1:16" ht="13.15" x14ac:dyDescent="0.4">
      <c r="A433" s="2" t="s">
        <v>13532</v>
      </c>
      <c r="B433" s="2" t="s">
        <v>5883</v>
      </c>
      <c r="C433" s="6" t="s">
        <v>5879</v>
      </c>
      <c r="D433" s="6" t="s">
        <v>42</v>
      </c>
      <c r="E433" s="7">
        <v>44927</v>
      </c>
      <c r="F433" s="8" t="s">
        <v>77</v>
      </c>
      <c r="G433" s="2" t="s">
        <v>26</v>
      </c>
      <c r="H433" s="8" t="s">
        <v>28</v>
      </c>
      <c r="I433" s="2" t="s">
        <v>26</v>
      </c>
      <c r="J433" s="7">
        <v>44927</v>
      </c>
      <c r="K433" s="8" t="s">
        <v>77</v>
      </c>
      <c r="L433" s="2" t="s">
        <v>26</v>
      </c>
      <c r="M433" s="8" t="s">
        <v>28</v>
      </c>
      <c r="N433" s="6" t="s">
        <v>2264</v>
      </c>
      <c r="O433" s="6" t="s">
        <v>30</v>
      </c>
      <c r="P433" s="2" t="s">
        <v>13884</v>
      </c>
    </row>
    <row r="434" spans="1:16" ht="13.15" x14ac:dyDescent="0.4">
      <c r="A434" s="2" t="s">
        <v>13535</v>
      </c>
      <c r="B434" s="2" t="s">
        <v>5883</v>
      </c>
      <c r="C434" s="6" t="s">
        <v>5879</v>
      </c>
      <c r="D434" s="6" t="s">
        <v>42</v>
      </c>
      <c r="E434" s="7">
        <v>44927</v>
      </c>
      <c r="F434" s="8" t="s">
        <v>77</v>
      </c>
      <c r="G434" s="2" t="s">
        <v>26</v>
      </c>
      <c r="H434" s="8" t="s">
        <v>28</v>
      </c>
      <c r="I434" s="2" t="s">
        <v>26</v>
      </c>
      <c r="J434" s="7">
        <v>44927</v>
      </c>
      <c r="K434" s="8" t="s">
        <v>77</v>
      </c>
      <c r="L434" s="2" t="s">
        <v>26</v>
      </c>
      <c r="M434" s="8" t="s">
        <v>28</v>
      </c>
      <c r="N434" s="6" t="s">
        <v>2264</v>
      </c>
      <c r="O434" s="6" t="s">
        <v>30</v>
      </c>
      <c r="P434" s="2" t="s">
        <v>13888</v>
      </c>
    </row>
    <row r="435" spans="1:16" ht="13.15" x14ac:dyDescent="0.4">
      <c r="A435" s="2" t="s">
        <v>13313</v>
      </c>
      <c r="B435" s="2" t="s">
        <v>5883</v>
      </c>
      <c r="C435" s="6" t="s">
        <v>5879</v>
      </c>
      <c r="D435" s="6" t="s">
        <v>42</v>
      </c>
      <c r="E435" s="7">
        <v>44927</v>
      </c>
      <c r="F435" s="8" t="s">
        <v>77</v>
      </c>
      <c r="G435" s="2" t="s">
        <v>26</v>
      </c>
      <c r="H435" s="8" t="s">
        <v>28</v>
      </c>
      <c r="I435" s="2" t="s">
        <v>26</v>
      </c>
      <c r="J435" s="7">
        <v>44927</v>
      </c>
      <c r="K435" s="8" t="s">
        <v>77</v>
      </c>
      <c r="L435" s="2" t="s">
        <v>26</v>
      </c>
      <c r="M435" s="8" t="s">
        <v>28</v>
      </c>
      <c r="N435" s="6" t="s">
        <v>2264</v>
      </c>
      <c r="O435" s="6" t="s">
        <v>30</v>
      </c>
      <c r="P435" s="2" t="s">
        <v>13652</v>
      </c>
    </row>
    <row r="436" spans="1:16" ht="13.15" x14ac:dyDescent="0.4">
      <c r="A436" s="2" t="s">
        <v>13567</v>
      </c>
      <c r="B436" s="2" t="s">
        <v>5883</v>
      </c>
      <c r="C436" s="6" t="s">
        <v>5879</v>
      </c>
      <c r="D436" s="6" t="s">
        <v>42</v>
      </c>
      <c r="E436" s="7">
        <v>44927</v>
      </c>
      <c r="F436" s="8" t="s">
        <v>77</v>
      </c>
      <c r="G436" s="2" t="s">
        <v>26</v>
      </c>
      <c r="H436" s="8" t="s">
        <v>28</v>
      </c>
      <c r="I436" s="2" t="s">
        <v>26</v>
      </c>
      <c r="J436" s="7">
        <v>44927</v>
      </c>
      <c r="K436" s="8" t="s">
        <v>77</v>
      </c>
      <c r="L436" s="2" t="s">
        <v>26</v>
      </c>
      <c r="M436" s="8" t="s">
        <v>28</v>
      </c>
      <c r="N436" s="6" t="s">
        <v>2264</v>
      </c>
      <c r="O436" s="6" t="s">
        <v>30</v>
      </c>
      <c r="P436" s="2" t="s">
        <v>13922</v>
      </c>
    </row>
    <row r="437" spans="1:16" ht="13.15" x14ac:dyDescent="0.4">
      <c r="A437" s="2" t="s">
        <v>13428</v>
      </c>
      <c r="B437" s="2" t="s">
        <v>5883</v>
      </c>
      <c r="C437" s="6" t="s">
        <v>5879</v>
      </c>
      <c r="D437" s="6" t="s">
        <v>42</v>
      </c>
      <c r="E437" s="7">
        <v>44927</v>
      </c>
      <c r="F437" s="8" t="s">
        <v>77</v>
      </c>
      <c r="G437" s="2" t="s">
        <v>26</v>
      </c>
      <c r="H437" s="8" t="s">
        <v>28</v>
      </c>
      <c r="I437" s="2" t="s">
        <v>26</v>
      </c>
      <c r="J437" s="7">
        <v>44927</v>
      </c>
      <c r="K437" s="8" t="s">
        <v>77</v>
      </c>
      <c r="L437" s="2" t="s">
        <v>26</v>
      </c>
      <c r="M437" s="8" t="s">
        <v>28</v>
      </c>
      <c r="N437" s="6" t="s">
        <v>2264</v>
      </c>
      <c r="O437" s="6" t="s">
        <v>30</v>
      </c>
      <c r="P437" s="2" t="s">
        <v>13776</v>
      </c>
    </row>
    <row r="438" spans="1:16" ht="13.15" x14ac:dyDescent="0.4">
      <c r="A438" s="2" t="s">
        <v>13552</v>
      </c>
      <c r="B438" s="2" t="s">
        <v>5883</v>
      </c>
      <c r="C438" s="6" t="s">
        <v>5879</v>
      </c>
      <c r="D438" s="6" t="s">
        <v>42</v>
      </c>
      <c r="E438" s="7">
        <v>44927</v>
      </c>
      <c r="F438" s="8" t="s">
        <v>77</v>
      </c>
      <c r="G438" s="2" t="s">
        <v>26</v>
      </c>
      <c r="H438" s="8" t="s">
        <v>28</v>
      </c>
      <c r="I438" s="2" t="s">
        <v>26</v>
      </c>
      <c r="J438" s="7">
        <v>44927</v>
      </c>
      <c r="K438" s="8" t="s">
        <v>77</v>
      </c>
      <c r="L438" s="2" t="s">
        <v>26</v>
      </c>
      <c r="M438" s="8" t="s">
        <v>28</v>
      </c>
      <c r="N438" s="6" t="s">
        <v>2264</v>
      </c>
      <c r="O438" s="6" t="s">
        <v>30</v>
      </c>
      <c r="P438" s="2" t="s">
        <v>13906</v>
      </c>
    </row>
    <row r="439" spans="1:16" ht="13.15" x14ac:dyDescent="0.4">
      <c r="A439" s="2" t="s">
        <v>13537</v>
      </c>
      <c r="B439" s="2" t="s">
        <v>5883</v>
      </c>
      <c r="C439" s="6" t="s">
        <v>5879</v>
      </c>
      <c r="D439" s="6" t="s">
        <v>42</v>
      </c>
      <c r="E439" s="7">
        <v>44927</v>
      </c>
      <c r="F439" s="8" t="s">
        <v>77</v>
      </c>
      <c r="G439" s="2" t="s">
        <v>26</v>
      </c>
      <c r="H439" s="8" t="s">
        <v>28</v>
      </c>
      <c r="I439" s="2" t="s">
        <v>26</v>
      </c>
      <c r="J439" s="7">
        <v>44927</v>
      </c>
      <c r="K439" s="8" t="s">
        <v>77</v>
      </c>
      <c r="L439" s="2" t="s">
        <v>26</v>
      </c>
      <c r="M439" s="8" t="s">
        <v>28</v>
      </c>
      <c r="N439" s="6" t="s">
        <v>2264</v>
      </c>
      <c r="O439" s="6" t="s">
        <v>30</v>
      </c>
      <c r="P439" s="2" t="s">
        <v>13890</v>
      </c>
    </row>
    <row r="440" spans="1:16" ht="13.15" x14ac:dyDescent="0.4">
      <c r="A440" s="2" t="s">
        <v>13401</v>
      </c>
      <c r="B440" s="2" t="s">
        <v>5883</v>
      </c>
      <c r="C440" s="6" t="s">
        <v>5879</v>
      </c>
      <c r="D440" s="6" t="s">
        <v>42</v>
      </c>
      <c r="E440" s="7">
        <v>44927</v>
      </c>
      <c r="F440" s="8" t="s">
        <v>77</v>
      </c>
      <c r="G440" s="2" t="s">
        <v>26</v>
      </c>
      <c r="H440" s="8" t="s">
        <v>28</v>
      </c>
      <c r="I440" s="2" t="s">
        <v>26</v>
      </c>
      <c r="J440" s="7">
        <v>44927</v>
      </c>
      <c r="K440" s="8" t="s">
        <v>77</v>
      </c>
      <c r="L440" s="2" t="s">
        <v>26</v>
      </c>
      <c r="M440" s="8" t="s">
        <v>28</v>
      </c>
      <c r="N440" s="6" t="s">
        <v>2264</v>
      </c>
      <c r="O440" s="6" t="s">
        <v>30</v>
      </c>
      <c r="P440" s="2" t="s">
        <v>13747</v>
      </c>
    </row>
    <row r="441" spans="1:16" ht="13.15" x14ac:dyDescent="0.4">
      <c r="A441" s="2" t="s">
        <v>13508</v>
      </c>
      <c r="B441" s="2" t="s">
        <v>5883</v>
      </c>
      <c r="C441" s="6" t="s">
        <v>5879</v>
      </c>
      <c r="D441" s="6" t="s">
        <v>42</v>
      </c>
      <c r="E441" s="7">
        <v>44927</v>
      </c>
      <c r="F441" s="8" t="s">
        <v>77</v>
      </c>
      <c r="G441" s="2" t="s">
        <v>26</v>
      </c>
      <c r="H441" s="8" t="s">
        <v>28</v>
      </c>
      <c r="I441" s="2" t="s">
        <v>26</v>
      </c>
      <c r="J441" s="7">
        <v>44927</v>
      </c>
      <c r="K441" s="8" t="s">
        <v>77</v>
      </c>
      <c r="L441" s="2" t="s">
        <v>26</v>
      </c>
      <c r="M441" s="8" t="s">
        <v>28</v>
      </c>
      <c r="N441" s="6" t="s">
        <v>2264</v>
      </c>
      <c r="O441" s="6" t="s">
        <v>30</v>
      </c>
      <c r="P441" s="2" t="s">
        <v>13858</v>
      </c>
    </row>
    <row r="442" spans="1:16" ht="13.15" x14ac:dyDescent="0.4">
      <c r="A442" s="2" t="s">
        <v>8201</v>
      </c>
      <c r="B442" s="2" t="s">
        <v>5883</v>
      </c>
      <c r="C442" s="6" t="s">
        <v>5879</v>
      </c>
      <c r="D442" s="6" t="s">
        <v>42</v>
      </c>
      <c r="E442" s="7">
        <v>44927</v>
      </c>
      <c r="F442" s="8" t="s">
        <v>77</v>
      </c>
      <c r="G442" s="2" t="s">
        <v>26</v>
      </c>
      <c r="H442" s="8" t="s">
        <v>28</v>
      </c>
      <c r="I442" s="2" t="s">
        <v>26</v>
      </c>
      <c r="J442" s="7">
        <v>44927</v>
      </c>
      <c r="K442" s="8" t="s">
        <v>77</v>
      </c>
      <c r="L442" s="2" t="s">
        <v>26</v>
      </c>
      <c r="M442" s="8" t="s">
        <v>28</v>
      </c>
      <c r="N442" s="6" t="s">
        <v>2264</v>
      </c>
      <c r="O442" s="6" t="s">
        <v>30</v>
      </c>
      <c r="P442" s="2" t="s">
        <v>13719</v>
      </c>
    </row>
    <row r="443" spans="1:16" ht="13.15" x14ac:dyDescent="0.4">
      <c r="A443" s="2" t="s">
        <v>13306</v>
      </c>
      <c r="B443" s="2" t="s">
        <v>5883</v>
      </c>
      <c r="C443" s="6" t="s">
        <v>5879</v>
      </c>
      <c r="D443" s="6" t="s">
        <v>42</v>
      </c>
      <c r="E443" s="7">
        <v>44927</v>
      </c>
      <c r="F443" s="8" t="s">
        <v>77</v>
      </c>
      <c r="G443" s="2" t="s">
        <v>26</v>
      </c>
      <c r="H443" s="8" t="s">
        <v>28</v>
      </c>
      <c r="I443" s="2" t="s">
        <v>26</v>
      </c>
      <c r="J443" s="7">
        <v>44927</v>
      </c>
      <c r="K443" s="8" t="s">
        <v>77</v>
      </c>
      <c r="L443" s="2" t="s">
        <v>26</v>
      </c>
      <c r="M443" s="8" t="s">
        <v>28</v>
      </c>
      <c r="N443" s="6" t="s">
        <v>2264</v>
      </c>
      <c r="O443" s="6" t="s">
        <v>30</v>
      </c>
      <c r="P443" s="2" t="s">
        <v>13645</v>
      </c>
    </row>
    <row r="444" spans="1:16" ht="13.15" x14ac:dyDescent="0.4">
      <c r="A444" s="2" t="s">
        <v>13560</v>
      </c>
      <c r="B444" s="2" t="s">
        <v>5883</v>
      </c>
      <c r="C444" s="6" t="s">
        <v>5879</v>
      </c>
      <c r="D444" s="6" t="s">
        <v>42</v>
      </c>
      <c r="E444" s="7">
        <v>44927</v>
      </c>
      <c r="F444" s="8" t="s">
        <v>77</v>
      </c>
      <c r="G444" s="2" t="s">
        <v>26</v>
      </c>
      <c r="H444" s="8" t="s">
        <v>28</v>
      </c>
      <c r="I444" s="2" t="s">
        <v>26</v>
      </c>
      <c r="J444" s="7">
        <v>44927</v>
      </c>
      <c r="K444" s="8" t="s">
        <v>77</v>
      </c>
      <c r="L444" s="2" t="s">
        <v>26</v>
      </c>
      <c r="M444" s="8" t="s">
        <v>28</v>
      </c>
      <c r="N444" s="6" t="s">
        <v>2264</v>
      </c>
      <c r="O444" s="6" t="s">
        <v>30</v>
      </c>
      <c r="P444" s="2" t="s">
        <v>13914</v>
      </c>
    </row>
    <row r="445" spans="1:16" ht="13.15" x14ac:dyDescent="0.4">
      <c r="A445" s="2" t="s">
        <v>13573</v>
      </c>
      <c r="B445" s="2" t="s">
        <v>5883</v>
      </c>
      <c r="C445" s="6" t="s">
        <v>5879</v>
      </c>
      <c r="D445" s="6" t="s">
        <v>42</v>
      </c>
      <c r="E445" s="7">
        <v>44927</v>
      </c>
      <c r="F445" s="8" t="s">
        <v>77</v>
      </c>
      <c r="G445" s="2" t="s">
        <v>26</v>
      </c>
      <c r="H445" s="8" t="s">
        <v>28</v>
      </c>
      <c r="I445" s="2" t="s">
        <v>26</v>
      </c>
      <c r="J445" s="7">
        <v>44927</v>
      </c>
      <c r="K445" s="8" t="s">
        <v>77</v>
      </c>
      <c r="L445" s="2" t="s">
        <v>26</v>
      </c>
      <c r="M445" s="8" t="s">
        <v>28</v>
      </c>
      <c r="N445" s="6" t="s">
        <v>2264</v>
      </c>
      <c r="O445" s="6" t="s">
        <v>30</v>
      </c>
      <c r="P445" s="2" t="s">
        <v>13929</v>
      </c>
    </row>
    <row r="446" spans="1:16" ht="13.15" x14ac:dyDescent="0.4">
      <c r="A446" s="2" t="s">
        <v>13588</v>
      </c>
      <c r="B446" s="2" t="s">
        <v>5883</v>
      </c>
      <c r="C446" s="6" t="s">
        <v>5879</v>
      </c>
      <c r="D446" s="6" t="s">
        <v>42</v>
      </c>
      <c r="E446" s="7">
        <v>44927</v>
      </c>
      <c r="F446" s="8" t="s">
        <v>77</v>
      </c>
      <c r="G446" s="2" t="s">
        <v>26</v>
      </c>
      <c r="H446" s="8" t="s">
        <v>28</v>
      </c>
      <c r="I446" s="2" t="s">
        <v>26</v>
      </c>
      <c r="J446" s="7">
        <v>44927</v>
      </c>
      <c r="K446" s="8" t="s">
        <v>77</v>
      </c>
      <c r="L446" s="2" t="s">
        <v>26</v>
      </c>
      <c r="M446" s="8" t="s">
        <v>28</v>
      </c>
      <c r="N446" s="6" t="s">
        <v>2264</v>
      </c>
      <c r="O446" s="6" t="s">
        <v>30</v>
      </c>
      <c r="P446" s="2" t="s">
        <v>13945</v>
      </c>
    </row>
    <row r="447" spans="1:16" ht="13.15" x14ac:dyDescent="0.4">
      <c r="A447" s="2" t="s">
        <v>13348</v>
      </c>
      <c r="B447" s="2" t="s">
        <v>5883</v>
      </c>
      <c r="C447" s="6" t="s">
        <v>5879</v>
      </c>
      <c r="D447" s="6" t="s">
        <v>42</v>
      </c>
      <c r="E447" s="7">
        <v>44927</v>
      </c>
      <c r="F447" s="8" t="s">
        <v>77</v>
      </c>
      <c r="G447" s="2" t="s">
        <v>26</v>
      </c>
      <c r="H447" s="8" t="s">
        <v>28</v>
      </c>
      <c r="I447" s="2" t="s">
        <v>26</v>
      </c>
      <c r="J447" s="7">
        <v>44927</v>
      </c>
      <c r="K447" s="8" t="s">
        <v>77</v>
      </c>
      <c r="L447" s="2" t="s">
        <v>26</v>
      </c>
      <c r="M447" s="8" t="s">
        <v>28</v>
      </c>
      <c r="N447" s="6" t="s">
        <v>2264</v>
      </c>
      <c r="O447" s="6" t="s">
        <v>30</v>
      </c>
      <c r="P447" s="2" t="s">
        <v>13691</v>
      </c>
    </row>
    <row r="448" spans="1:16" ht="13.15" x14ac:dyDescent="0.4">
      <c r="A448" s="2" t="s">
        <v>13391</v>
      </c>
      <c r="B448" s="2" t="s">
        <v>5883</v>
      </c>
      <c r="C448" s="6" t="s">
        <v>5879</v>
      </c>
      <c r="D448" s="6" t="s">
        <v>42</v>
      </c>
      <c r="E448" s="7">
        <v>44927</v>
      </c>
      <c r="F448" s="8" t="s">
        <v>77</v>
      </c>
      <c r="G448" s="2" t="s">
        <v>26</v>
      </c>
      <c r="H448" s="8" t="s">
        <v>28</v>
      </c>
      <c r="I448" s="2" t="s">
        <v>26</v>
      </c>
      <c r="J448" s="7">
        <v>44927</v>
      </c>
      <c r="K448" s="8" t="s">
        <v>77</v>
      </c>
      <c r="L448" s="2" t="s">
        <v>26</v>
      </c>
      <c r="M448" s="8" t="s">
        <v>28</v>
      </c>
      <c r="N448" s="6" t="s">
        <v>2264</v>
      </c>
      <c r="O448" s="6" t="s">
        <v>30</v>
      </c>
      <c r="P448" s="2" t="s">
        <v>13737</v>
      </c>
    </row>
    <row r="449" spans="1:16" ht="13.15" x14ac:dyDescent="0.4">
      <c r="A449" s="2" t="s">
        <v>8245</v>
      </c>
      <c r="B449" s="2" t="s">
        <v>5883</v>
      </c>
      <c r="C449" s="6" t="s">
        <v>5879</v>
      </c>
      <c r="D449" s="6" t="s">
        <v>42</v>
      </c>
      <c r="E449" s="7">
        <v>44927</v>
      </c>
      <c r="F449" s="8" t="s">
        <v>77</v>
      </c>
      <c r="G449" s="2" t="s">
        <v>26</v>
      </c>
      <c r="H449" s="8" t="s">
        <v>28</v>
      </c>
      <c r="I449" s="2" t="s">
        <v>26</v>
      </c>
      <c r="J449" s="7">
        <v>44927</v>
      </c>
      <c r="K449" s="8" t="s">
        <v>77</v>
      </c>
      <c r="L449" s="2" t="s">
        <v>26</v>
      </c>
      <c r="M449" s="8" t="s">
        <v>28</v>
      </c>
      <c r="N449" s="6" t="s">
        <v>2264</v>
      </c>
      <c r="O449" s="6" t="s">
        <v>30</v>
      </c>
      <c r="P449" s="2" t="s">
        <v>13923</v>
      </c>
    </row>
    <row r="450" spans="1:16" ht="13.15" x14ac:dyDescent="0.4">
      <c r="A450" s="2" t="s">
        <v>13434</v>
      </c>
      <c r="B450" s="2" t="s">
        <v>5883</v>
      </c>
      <c r="C450" s="6" t="s">
        <v>5879</v>
      </c>
      <c r="D450" s="6" t="s">
        <v>42</v>
      </c>
      <c r="E450" s="7">
        <v>44927</v>
      </c>
      <c r="F450" s="8" t="s">
        <v>77</v>
      </c>
      <c r="G450" s="2" t="s">
        <v>26</v>
      </c>
      <c r="H450" s="8" t="s">
        <v>28</v>
      </c>
      <c r="I450" s="2" t="s">
        <v>26</v>
      </c>
      <c r="J450" s="7">
        <v>44927</v>
      </c>
      <c r="K450" s="8" t="s">
        <v>77</v>
      </c>
      <c r="L450" s="2" t="s">
        <v>26</v>
      </c>
      <c r="M450" s="8" t="s">
        <v>28</v>
      </c>
      <c r="N450" s="6" t="s">
        <v>2264</v>
      </c>
      <c r="O450" s="6" t="s">
        <v>30</v>
      </c>
      <c r="P450" s="2" t="s">
        <v>13783</v>
      </c>
    </row>
    <row r="451" spans="1:16" ht="13.15" x14ac:dyDescent="0.4">
      <c r="A451" s="2" t="s">
        <v>13475</v>
      </c>
      <c r="B451" s="2" t="s">
        <v>5883</v>
      </c>
      <c r="C451" s="6" t="s">
        <v>5879</v>
      </c>
      <c r="D451" s="6" t="s">
        <v>42</v>
      </c>
      <c r="E451" s="7">
        <v>44927</v>
      </c>
      <c r="F451" s="8" t="s">
        <v>77</v>
      </c>
      <c r="G451" s="2" t="s">
        <v>26</v>
      </c>
      <c r="H451" s="8" t="s">
        <v>28</v>
      </c>
      <c r="I451" s="2" t="s">
        <v>26</v>
      </c>
      <c r="J451" s="7">
        <v>44927</v>
      </c>
      <c r="K451" s="8" t="s">
        <v>77</v>
      </c>
      <c r="L451" s="2" t="s">
        <v>26</v>
      </c>
      <c r="M451" s="8" t="s">
        <v>28</v>
      </c>
      <c r="N451" s="6" t="s">
        <v>2264</v>
      </c>
      <c r="O451" s="6" t="s">
        <v>30</v>
      </c>
      <c r="P451" s="2" t="s">
        <v>13825</v>
      </c>
    </row>
    <row r="452" spans="1:16" ht="13.15" x14ac:dyDescent="0.4">
      <c r="A452" s="2" t="s">
        <v>13344</v>
      </c>
      <c r="B452" s="2" t="s">
        <v>5883</v>
      </c>
      <c r="C452" s="6" t="s">
        <v>5879</v>
      </c>
      <c r="D452" s="6" t="s">
        <v>42</v>
      </c>
      <c r="E452" s="7">
        <v>44927</v>
      </c>
      <c r="F452" s="8" t="s">
        <v>77</v>
      </c>
      <c r="G452" s="2" t="s">
        <v>26</v>
      </c>
      <c r="H452" s="8" t="s">
        <v>28</v>
      </c>
      <c r="I452" s="2" t="s">
        <v>26</v>
      </c>
      <c r="J452" s="7">
        <v>44927</v>
      </c>
      <c r="K452" s="8" t="s">
        <v>77</v>
      </c>
      <c r="L452" s="2" t="s">
        <v>26</v>
      </c>
      <c r="M452" s="8" t="s">
        <v>28</v>
      </c>
      <c r="N452" s="6" t="s">
        <v>2264</v>
      </c>
      <c r="O452" s="6" t="s">
        <v>30</v>
      </c>
      <c r="P452" s="2" t="s">
        <v>13685</v>
      </c>
    </row>
    <row r="453" spans="1:16" ht="13.15" x14ac:dyDescent="0.4">
      <c r="A453" s="2" t="s">
        <v>13478</v>
      </c>
      <c r="B453" s="2" t="s">
        <v>5883</v>
      </c>
      <c r="C453" s="6" t="s">
        <v>5879</v>
      </c>
      <c r="D453" s="6" t="s">
        <v>42</v>
      </c>
      <c r="E453" s="7">
        <v>44927</v>
      </c>
      <c r="F453" s="8" t="s">
        <v>77</v>
      </c>
      <c r="G453" s="2" t="s">
        <v>26</v>
      </c>
      <c r="H453" s="8" t="s">
        <v>28</v>
      </c>
      <c r="I453" s="2" t="s">
        <v>26</v>
      </c>
      <c r="J453" s="7">
        <v>44927</v>
      </c>
      <c r="K453" s="8" t="s">
        <v>77</v>
      </c>
      <c r="L453" s="2" t="s">
        <v>26</v>
      </c>
      <c r="M453" s="8" t="s">
        <v>28</v>
      </c>
      <c r="N453" s="6" t="s">
        <v>2264</v>
      </c>
      <c r="O453" s="6" t="s">
        <v>30</v>
      </c>
      <c r="P453" s="2" t="s">
        <v>13828</v>
      </c>
    </row>
    <row r="454" spans="1:16" ht="13.15" x14ac:dyDescent="0.4">
      <c r="A454" s="2" t="s">
        <v>13457</v>
      </c>
      <c r="B454" s="2" t="s">
        <v>5883</v>
      </c>
      <c r="C454" s="6" t="s">
        <v>5879</v>
      </c>
      <c r="D454" s="6" t="s">
        <v>42</v>
      </c>
      <c r="E454" s="7">
        <v>44927</v>
      </c>
      <c r="F454" s="8" t="s">
        <v>77</v>
      </c>
      <c r="G454" s="2" t="s">
        <v>26</v>
      </c>
      <c r="H454" s="8" t="s">
        <v>28</v>
      </c>
      <c r="I454" s="2" t="s">
        <v>26</v>
      </c>
      <c r="J454" s="7">
        <v>44927</v>
      </c>
      <c r="K454" s="8" t="s">
        <v>77</v>
      </c>
      <c r="L454" s="2" t="s">
        <v>26</v>
      </c>
      <c r="M454" s="8" t="s">
        <v>28</v>
      </c>
      <c r="N454" s="6" t="s">
        <v>2264</v>
      </c>
      <c r="O454" s="6" t="s">
        <v>30</v>
      </c>
      <c r="P454" s="2" t="s">
        <v>13807</v>
      </c>
    </row>
    <row r="455" spans="1:16" ht="13.15" x14ac:dyDescent="0.4">
      <c r="A455" s="2" t="s">
        <v>13333</v>
      </c>
      <c r="B455" s="2" t="s">
        <v>5883</v>
      </c>
      <c r="C455" s="6" t="s">
        <v>5879</v>
      </c>
      <c r="D455" s="6" t="s">
        <v>42</v>
      </c>
      <c r="E455" s="7">
        <v>44927</v>
      </c>
      <c r="F455" s="8" t="s">
        <v>77</v>
      </c>
      <c r="G455" s="2" t="s">
        <v>26</v>
      </c>
      <c r="H455" s="8" t="s">
        <v>28</v>
      </c>
      <c r="I455" s="2" t="s">
        <v>26</v>
      </c>
      <c r="J455" s="7">
        <v>44927</v>
      </c>
      <c r="K455" s="8" t="s">
        <v>77</v>
      </c>
      <c r="L455" s="2" t="s">
        <v>26</v>
      </c>
      <c r="M455" s="8" t="s">
        <v>28</v>
      </c>
      <c r="N455" s="6" t="s">
        <v>2264</v>
      </c>
      <c r="O455" s="6" t="s">
        <v>30</v>
      </c>
      <c r="P455" s="2" t="s">
        <v>13673</v>
      </c>
    </row>
    <row r="456" spans="1:16" ht="13.15" x14ac:dyDescent="0.4">
      <c r="A456" s="2" t="s">
        <v>13389</v>
      </c>
      <c r="B456" s="2" t="s">
        <v>5883</v>
      </c>
      <c r="C456" s="6" t="s">
        <v>5879</v>
      </c>
      <c r="D456" s="6" t="s">
        <v>42</v>
      </c>
      <c r="E456" s="7">
        <v>44927</v>
      </c>
      <c r="F456" s="8" t="s">
        <v>77</v>
      </c>
      <c r="G456" s="2" t="s">
        <v>26</v>
      </c>
      <c r="H456" s="8" t="s">
        <v>28</v>
      </c>
      <c r="I456" s="2" t="s">
        <v>26</v>
      </c>
      <c r="J456" s="7">
        <v>44927</v>
      </c>
      <c r="K456" s="8" t="s">
        <v>77</v>
      </c>
      <c r="L456" s="2" t="s">
        <v>26</v>
      </c>
      <c r="M456" s="8" t="s">
        <v>28</v>
      </c>
      <c r="N456" s="6" t="s">
        <v>2264</v>
      </c>
      <c r="O456" s="6" t="s">
        <v>30</v>
      </c>
      <c r="P456" s="2" t="s">
        <v>13735</v>
      </c>
    </row>
    <row r="457" spans="1:16" ht="13.15" x14ac:dyDescent="0.4">
      <c r="A457" s="2" t="s">
        <v>13596</v>
      </c>
      <c r="B457" s="2" t="s">
        <v>5883</v>
      </c>
      <c r="C457" s="6" t="s">
        <v>5879</v>
      </c>
      <c r="D457" s="6" t="s">
        <v>42</v>
      </c>
      <c r="E457" s="7">
        <v>44927</v>
      </c>
      <c r="F457" s="8" t="s">
        <v>77</v>
      </c>
      <c r="G457" s="2" t="s">
        <v>26</v>
      </c>
      <c r="H457" s="8" t="s">
        <v>28</v>
      </c>
      <c r="I457" s="2" t="s">
        <v>26</v>
      </c>
      <c r="J457" s="7">
        <v>44927</v>
      </c>
      <c r="K457" s="8" t="s">
        <v>77</v>
      </c>
      <c r="L457" s="2" t="s">
        <v>26</v>
      </c>
      <c r="M457" s="8" t="s">
        <v>28</v>
      </c>
      <c r="N457" s="6" t="s">
        <v>2264</v>
      </c>
      <c r="O457" s="6" t="s">
        <v>30</v>
      </c>
      <c r="P457" s="2" t="s">
        <v>13953</v>
      </c>
    </row>
    <row r="458" spans="1:16" ht="13.15" x14ac:dyDescent="0.4">
      <c r="A458" s="2" t="s">
        <v>13512</v>
      </c>
      <c r="B458" s="2" t="s">
        <v>5883</v>
      </c>
      <c r="C458" s="6" t="s">
        <v>5879</v>
      </c>
      <c r="D458" s="6" t="s">
        <v>42</v>
      </c>
      <c r="E458" s="7">
        <v>44927</v>
      </c>
      <c r="F458" s="8" t="s">
        <v>77</v>
      </c>
      <c r="G458" s="2" t="s">
        <v>26</v>
      </c>
      <c r="H458" s="8" t="s">
        <v>28</v>
      </c>
      <c r="I458" s="2" t="s">
        <v>26</v>
      </c>
      <c r="J458" s="7">
        <v>44927</v>
      </c>
      <c r="K458" s="8" t="s">
        <v>77</v>
      </c>
      <c r="L458" s="2" t="s">
        <v>26</v>
      </c>
      <c r="M458" s="8" t="s">
        <v>28</v>
      </c>
      <c r="N458" s="6" t="s">
        <v>2264</v>
      </c>
      <c r="O458" s="6" t="s">
        <v>30</v>
      </c>
      <c r="P458" s="2" t="s">
        <v>13862</v>
      </c>
    </row>
    <row r="459" spans="1:16" ht="13.15" x14ac:dyDescent="0.4">
      <c r="A459" s="2" t="s">
        <v>13544</v>
      </c>
      <c r="B459" s="2" t="s">
        <v>5883</v>
      </c>
      <c r="C459" s="6" t="s">
        <v>5879</v>
      </c>
      <c r="D459" s="6" t="s">
        <v>42</v>
      </c>
      <c r="E459" s="7">
        <v>44927</v>
      </c>
      <c r="F459" s="8" t="s">
        <v>77</v>
      </c>
      <c r="G459" s="2" t="s">
        <v>26</v>
      </c>
      <c r="H459" s="8" t="s">
        <v>28</v>
      </c>
      <c r="I459" s="2" t="s">
        <v>26</v>
      </c>
      <c r="J459" s="7">
        <v>44927</v>
      </c>
      <c r="K459" s="8" t="s">
        <v>77</v>
      </c>
      <c r="L459" s="2" t="s">
        <v>26</v>
      </c>
      <c r="M459" s="8" t="s">
        <v>28</v>
      </c>
      <c r="N459" s="6" t="s">
        <v>2264</v>
      </c>
      <c r="O459" s="6" t="s">
        <v>30</v>
      </c>
      <c r="P459" s="2" t="s">
        <v>13897</v>
      </c>
    </row>
    <row r="460" spans="1:16" ht="13.15" x14ac:dyDescent="0.4">
      <c r="A460" s="2" t="s">
        <v>13461</v>
      </c>
      <c r="B460" s="2" t="s">
        <v>5883</v>
      </c>
      <c r="C460" s="6" t="s">
        <v>5879</v>
      </c>
      <c r="D460" s="6" t="s">
        <v>42</v>
      </c>
      <c r="E460" s="7">
        <v>44927</v>
      </c>
      <c r="F460" s="8" t="s">
        <v>77</v>
      </c>
      <c r="G460" s="2" t="s">
        <v>26</v>
      </c>
      <c r="H460" s="8" t="s">
        <v>28</v>
      </c>
      <c r="I460" s="2" t="s">
        <v>26</v>
      </c>
      <c r="J460" s="7">
        <v>44927</v>
      </c>
      <c r="K460" s="8" t="s">
        <v>77</v>
      </c>
      <c r="L460" s="2" t="s">
        <v>26</v>
      </c>
      <c r="M460" s="8" t="s">
        <v>28</v>
      </c>
      <c r="N460" s="6" t="s">
        <v>2264</v>
      </c>
      <c r="O460" s="6" t="s">
        <v>30</v>
      </c>
      <c r="P460" s="2" t="s">
        <v>13811</v>
      </c>
    </row>
    <row r="461" spans="1:16" ht="13.15" x14ac:dyDescent="0.4">
      <c r="A461" s="2" t="s">
        <v>13378</v>
      </c>
      <c r="B461" s="2" t="s">
        <v>5883</v>
      </c>
      <c r="C461" s="6" t="s">
        <v>5879</v>
      </c>
      <c r="D461" s="6" t="s">
        <v>42</v>
      </c>
      <c r="E461" s="7">
        <v>44927</v>
      </c>
      <c r="F461" s="8" t="s">
        <v>77</v>
      </c>
      <c r="G461" s="2" t="s">
        <v>26</v>
      </c>
      <c r="H461" s="8" t="s">
        <v>28</v>
      </c>
      <c r="I461" s="2" t="s">
        <v>26</v>
      </c>
      <c r="J461" s="7">
        <v>44927</v>
      </c>
      <c r="K461" s="8" t="s">
        <v>77</v>
      </c>
      <c r="L461" s="2" t="s">
        <v>26</v>
      </c>
      <c r="M461" s="8" t="s">
        <v>28</v>
      </c>
      <c r="N461" s="6" t="s">
        <v>2264</v>
      </c>
      <c r="O461" s="6" t="s">
        <v>30</v>
      </c>
      <c r="P461" s="2" t="s">
        <v>13724</v>
      </c>
    </row>
    <row r="462" spans="1:16" ht="13.15" x14ac:dyDescent="0.4">
      <c r="A462" s="2" t="s">
        <v>13542</v>
      </c>
      <c r="B462" s="2" t="s">
        <v>5883</v>
      </c>
      <c r="C462" s="6" t="s">
        <v>5879</v>
      </c>
      <c r="D462" s="6" t="s">
        <v>42</v>
      </c>
      <c r="E462" s="7">
        <v>44927</v>
      </c>
      <c r="F462" s="8" t="s">
        <v>77</v>
      </c>
      <c r="G462" s="2" t="s">
        <v>26</v>
      </c>
      <c r="H462" s="8" t="s">
        <v>28</v>
      </c>
      <c r="I462" s="2" t="s">
        <v>26</v>
      </c>
      <c r="J462" s="7">
        <v>44927</v>
      </c>
      <c r="K462" s="8" t="s">
        <v>77</v>
      </c>
      <c r="L462" s="2" t="s">
        <v>26</v>
      </c>
      <c r="M462" s="8" t="s">
        <v>28</v>
      </c>
      <c r="N462" s="6" t="s">
        <v>2264</v>
      </c>
      <c r="O462" s="6" t="s">
        <v>30</v>
      </c>
      <c r="P462" s="2" t="s">
        <v>13895</v>
      </c>
    </row>
    <row r="463" spans="1:16" ht="13.15" x14ac:dyDescent="0.4">
      <c r="A463" s="2" t="s">
        <v>13336</v>
      </c>
      <c r="B463" s="2" t="s">
        <v>5883</v>
      </c>
      <c r="C463" s="6" t="s">
        <v>5879</v>
      </c>
      <c r="D463" s="6" t="s">
        <v>42</v>
      </c>
      <c r="E463" s="7">
        <v>44927</v>
      </c>
      <c r="F463" s="8" t="s">
        <v>77</v>
      </c>
      <c r="G463" s="2" t="s">
        <v>26</v>
      </c>
      <c r="H463" s="8" t="s">
        <v>28</v>
      </c>
      <c r="I463" s="2" t="s">
        <v>26</v>
      </c>
      <c r="J463" s="7">
        <v>44927</v>
      </c>
      <c r="K463" s="8" t="s">
        <v>77</v>
      </c>
      <c r="L463" s="2" t="s">
        <v>26</v>
      </c>
      <c r="M463" s="8" t="s">
        <v>28</v>
      </c>
      <c r="N463" s="6" t="s">
        <v>2264</v>
      </c>
      <c r="O463" s="6" t="s">
        <v>30</v>
      </c>
      <c r="P463" s="2" t="s">
        <v>13677</v>
      </c>
    </row>
    <row r="464" spans="1:16" ht="13.15" x14ac:dyDescent="0.4">
      <c r="A464" s="2" t="s">
        <v>13327</v>
      </c>
      <c r="B464" s="2" t="s">
        <v>5883</v>
      </c>
      <c r="C464" s="6" t="s">
        <v>5879</v>
      </c>
      <c r="D464" s="6" t="s">
        <v>42</v>
      </c>
      <c r="E464" s="7">
        <v>44927</v>
      </c>
      <c r="F464" s="8" t="s">
        <v>77</v>
      </c>
      <c r="G464" s="2" t="s">
        <v>26</v>
      </c>
      <c r="H464" s="8" t="s">
        <v>28</v>
      </c>
      <c r="I464" s="2" t="s">
        <v>26</v>
      </c>
      <c r="J464" s="7">
        <v>44927</v>
      </c>
      <c r="K464" s="8" t="s">
        <v>77</v>
      </c>
      <c r="L464" s="2" t="s">
        <v>26</v>
      </c>
      <c r="M464" s="8" t="s">
        <v>28</v>
      </c>
      <c r="N464" s="6" t="s">
        <v>2264</v>
      </c>
      <c r="O464" s="6" t="s">
        <v>30</v>
      </c>
      <c r="P464" s="2" t="s">
        <v>13666</v>
      </c>
    </row>
    <row r="465" spans="1:16" ht="13.15" x14ac:dyDescent="0.4">
      <c r="A465" s="2" t="s">
        <v>13587</v>
      </c>
      <c r="B465" s="2" t="s">
        <v>5883</v>
      </c>
      <c r="C465" s="6" t="s">
        <v>5879</v>
      </c>
      <c r="D465" s="6" t="s">
        <v>42</v>
      </c>
      <c r="E465" s="7">
        <v>44927</v>
      </c>
      <c r="F465" s="8" t="s">
        <v>77</v>
      </c>
      <c r="G465" s="2" t="s">
        <v>26</v>
      </c>
      <c r="H465" s="8" t="s">
        <v>28</v>
      </c>
      <c r="I465" s="2" t="s">
        <v>26</v>
      </c>
      <c r="J465" s="7">
        <v>44927</v>
      </c>
      <c r="K465" s="8" t="s">
        <v>77</v>
      </c>
      <c r="L465" s="2" t="s">
        <v>26</v>
      </c>
      <c r="M465" s="8" t="s">
        <v>28</v>
      </c>
      <c r="N465" s="6" t="s">
        <v>2264</v>
      </c>
      <c r="O465" s="6" t="s">
        <v>30</v>
      </c>
      <c r="P465" s="2" t="s">
        <v>13944</v>
      </c>
    </row>
    <row r="466" spans="1:16" ht="13.15" x14ac:dyDescent="0.4">
      <c r="A466" s="2" t="s">
        <v>13307</v>
      </c>
      <c r="B466" s="2" t="s">
        <v>5883</v>
      </c>
      <c r="C466" s="6" t="s">
        <v>5879</v>
      </c>
      <c r="D466" s="6" t="s">
        <v>42</v>
      </c>
      <c r="E466" s="7">
        <v>44927</v>
      </c>
      <c r="F466" s="8" t="s">
        <v>77</v>
      </c>
      <c r="G466" s="2" t="s">
        <v>26</v>
      </c>
      <c r="H466" s="8" t="s">
        <v>28</v>
      </c>
      <c r="I466" s="2" t="s">
        <v>26</v>
      </c>
      <c r="J466" s="7">
        <v>44927</v>
      </c>
      <c r="K466" s="8" t="s">
        <v>77</v>
      </c>
      <c r="L466" s="2" t="s">
        <v>26</v>
      </c>
      <c r="M466" s="8" t="s">
        <v>28</v>
      </c>
      <c r="N466" s="6" t="s">
        <v>2264</v>
      </c>
      <c r="O466" s="6" t="s">
        <v>30</v>
      </c>
      <c r="P466" s="2" t="s">
        <v>13646</v>
      </c>
    </row>
    <row r="467" spans="1:16" ht="13.15" x14ac:dyDescent="0.4">
      <c r="A467" s="2" t="s">
        <v>13293</v>
      </c>
      <c r="B467" s="2" t="s">
        <v>5883</v>
      </c>
      <c r="C467" s="6" t="s">
        <v>5879</v>
      </c>
      <c r="D467" s="6" t="s">
        <v>42</v>
      </c>
      <c r="E467" s="7">
        <v>44927</v>
      </c>
      <c r="F467" s="8" t="s">
        <v>77</v>
      </c>
      <c r="G467" s="2" t="s">
        <v>26</v>
      </c>
      <c r="H467" s="8" t="s">
        <v>28</v>
      </c>
      <c r="I467" s="2" t="s">
        <v>26</v>
      </c>
      <c r="J467" s="7">
        <v>44927</v>
      </c>
      <c r="K467" s="8" t="s">
        <v>77</v>
      </c>
      <c r="L467" s="2" t="s">
        <v>26</v>
      </c>
      <c r="M467" s="8" t="s">
        <v>28</v>
      </c>
      <c r="N467" s="6" t="s">
        <v>2264</v>
      </c>
      <c r="O467" s="6" t="s">
        <v>30</v>
      </c>
      <c r="P467" s="2" t="s">
        <v>13631</v>
      </c>
    </row>
    <row r="468" spans="1:16" ht="13.15" x14ac:dyDescent="0.4">
      <c r="A468" s="2" t="s">
        <v>13374</v>
      </c>
      <c r="B468" s="2" t="s">
        <v>5883</v>
      </c>
      <c r="C468" s="6" t="s">
        <v>5879</v>
      </c>
      <c r="D468" s="6" t="s">
        <v>42</v>
      </c>
      <c r="E468" s="7">
        <v>44927</v>
      </c>
      <c r="F468" s="8" t="s">
        <v>77</v>
      </c>
      <c r="G468" s="2" t="s">
        <v>26</v>
      </c>
      <c r="H468" s="8" t="s">
        <v>28</v>
      </c>
      <c r="I468" s="2" t="s">
        <v>26</v>
      </c>
      <c r="J468" s="7">
        <v>44927</v>
      </c>
      <c r="K468" s="8" t="s">
        <v>77</v>
      </c>
      <c r="L468" s="2" t="s">
        <v>26</v>
      </c>
      <c r="M468" s="8" t="s">
        <v>28</v>
      </c>
      <c r="N468" s="6" t="s">
        <v>2264</v>
      </c>
      <c r="O468" s="6" t="s">
        <v>30</v>
      </c>
      <c r="P468" s="2" t="s">
        <v>13718</v>
      </c>
    </row>
    <row r="469" spans="1:16" ht="13.15" x14ac:dyDescent="0.4">
      <c r="A469" s="2" t="s">
        <v>13371</v>
      </c>
      <c r="B469" s="2" t="s">
        <v>5883</v>
      </c>
      <c r="C469" s="6" t="s">
        <v>5879</v>
      </c>
      <c r="D469" s="6" t="s">
        <v>42</v>
      </c>
      <c r="E469" s="7">
        <v>44927</v>
      </c>
      <c r="F469" s="8" t="s">
        <v>77</v>
      </c>
      <c r="G469" s="2" t="s">
        <v>26</v>
      </c>
      <c r="H469" s="8" t="s">
        <v>28</v>
      </c>
      <c r="I469" s="2" t="s">
        <v>26</v>
      </c>
      <c r="J469" s="7">
        <v>44927</v>
      </c>
      <c r="K469" s="8" t="s">
        <v>77</v>
      </c>
      <c r="L469" s="2" t="s">
        <v>26</v>
      </c>
      <c r="M469" s="8" t="s">
        <v>28</v>
      </c>
      <c r="N469" s="6" t="s">
        <v>2264</v>
      </c>
      <c r="O469" s="6" t="s">
        <v>30</v>
      </c>
      <c r="P469" s="2" t="s">
        <v>13715</v>
      </c>
    </row>
    <row r="470" spans="1:16" ht="13.15" x14ac:dyDescent="0.4">
      <c r="A470" s="2" t="s">
        <v>13377</v>
      </c>
      <c r="B470" s="2" t="s">
        <v>5883</v>
      </c>
      <c r="C470" s="6" t="s">
        <v>5879</v>
      </c>
      <c r="D470" s="6" t="s">
        <v>42</v>
      </c>
      <c r="E470" s="7">
        <v>44927</v>
      </c>
      <c r="F470" s="8" t="s">
        <v>77</v>
      </c>
      <c r="G470" s="2" t="s">
        <v>26</v>
      </c>
      <c r="H470" s="8" t="s">
        <v>28</v>
      </c>
      <c r="I470" s="2" t="s">
        <v>26</v>
      </c>
      <c r="J470" s="7">
        <v>44927</v>
      </c>
      <c r="K470" s="8" t="s">
        <v>77</v>
      </c>
      <c r="L470" s="2" t="s">
        <v>26</v>
      </c>
      <c r="M470" s="8" t="s">
        <v>28</v>
      </c>
      <c r="N470" s="6" t="s">
        <v>2264</v>
      </c>
      <c r="O470" s="6" t="s">
        <v>30</v>
      </c>
      <c r="P470" s="2" t="s">
        <v>13723</v>
      </c>
    </row>
    <row r="471" spans="1:16" ht="13.15" x14ac:dyDescent="0.4">
      <c r="A471" s="2" t="s">
        <v>13528</v>
      </c>
      <c r="B471" s="2" t="s">
        <v>5883</v>
      </c>
      <c r="C471" s="6" t="s">
        <v>5879</v>
      </c>
      <c r="D471" s="6" t="s">
        <v>42</v>
      </c>
      <c r="E471" s="7">
        <v>44927</v>
      </c>
      <c r="F471" s="8" t="s">
        <v>77</v>
      </c>
      <c r="G471" s="2" t="s">
        <v>26</v>
      </c>
      <c r="H471" s="8" t="s">
        <v>28</v>
      </c>
      <c r="I471" s="2" t="s">
        <v>26</v>
      </c>
      <c r="J471" s="7">
        <v>44927</v>
      </c>
      <c r="K471" s="8" t="s">
        <v>77</v>
      </c>
      <c r="L471" s="2" t="s">
        <v>26</v>
      </c>
      <c r="M471" s="8" t="s">
        <v>28</v>
      </c>
      <c r="N471" s="6" t="s">
        <v>2264</v>
      </c>
      <c r="O471" s="6" t="s">
        <v>30</v>
      </c>
      <c r="P471" s="2" t="s">
        <v>13880</v>
      </c>
    </row>
    <row r="472" spans="1:16" ht="13.15" x14ac:dyDescent="0.4">
      <c r="A472" s="2" t="s">
        <v>13469</v>
      </c>
      <c r="B472" s="2" t="s">
        <v>5883</v>
      </c>
      <c r="C472" s="6" t="s">
        <v>5879</v>
      </c>
      <c r="D472" s="6" t="s">
        <v>42</v>
      </c>
      <c r="E472" s="7">
        <v>44927</v>
      </c>
      <c r="F472" s="8" t="s">
        <v>77</v>
      </c>
      <c r="G472" s="2" t="s">
        <v>26</v>
      </c>
      <c r="H472" s="8" t="s">
        <v>28</v>
      </c>
      <c r="I472" s="2" t="s">
        <v>26</v>
      </c>
      <c r="J472" s="7">
        <v>44927</v>
      </c>
      <c r="K472" s="8" t="s">
        <v>77</v>
      </c>
      <c r="L472" s="2" t="s">
        <v>26</v>
      </c>
      <c r="M472" s="8" t="s">
        <v>28</v>
      </c>
      <c r="N472" s="6" t="s">
        <v>2264</v>
      </c>
      <c r="O472" s="6" t="s">
        <v>30</v>
      </c>
      <c r="P472" s="2" t="s">
        <v>13819</v>
      </c>
    </row>
    <row r="473" spans="1:16" ht="13.15" x14ac:dyDescent="0.4">
      <c r="A473" s="2" t="s">
        <v>13300</v>
      </c>
      <c r="B473" s="2" t="s">
        <v>5883</v>
      </c>
      <c r="C473" s="6" t="s">
        <v>5879</v>
      </c>
      <c r="D473" s="6" t="s">
        <v>42</v>
      </c>
      <c r="E473" s="7">
        <v>44927</v>
      </c>
      <c r="F473" s="8" t="s">
        <v>77</v>
      </c>
      <c r="G473" s="2" t="s">
        <v>26</v>
      </c>
      <c r="H473" s="8" t="s">
        <v>28</v>
      </c>
      <c r="I473" s="2" t="s">
        <v>26</v>
      </c>
      <c r="J473" s="7">
        <v>44927</v>
      </c>
      <c r="K473" s="8" t="s">
        <v>77</v>
      </c>
      <c r="L473" s="2" t="s">
        <v>26</v>
      </c>
      <c r="M473" s="8" t="s">
        <v>28</v>
      </c>
      <c r="N473" s="6" t="s">
        <v>2264</v>
      </c>
      <c r="O473" s="6" t="s">
        <v>30</v>
      </c>
      <c r="P473" s="2" t="s">
        <v>13639</v>
      </c>
    </row>
    <row r="474" spans="1:16" ht="13.15" x14ac:dyDescent="0.4">
      <c r="A474" s="2" t="s">
        <v>13606</v>
      </c>
      <c r="B474" s="2" t="s">
        <v>5883</v>
      </c>
      <c r="C474" s="6" t="s">
        <v>5879</v>
      </c>
      <c r="D474" s="6" t="s">
        <v>42</v>
      </c>
      <c r="E474" s="7">
        <v>44927</v>
      </c>
      <c r="F474" s="8" t="s">
        <v>77</v>
      </c>
      <c r="G474" s="2" t="s">
        <v>26</v>
      </c>
      <c r="H474" s="8" t="s">
        <v>28</v>
      </c>
      <c r="I474" s="2" t="s">
        <v>26</v>
      </c>
      <c r="J474" s="7">
        <v>44927</v>
      </c>
      <c r="K474" s="8" t="s">
        <v>77</v>
      </c>
      <c r="L474" s="2" t="s">
        <v>26</v>
      </c>
      <c r="M474" s="8" t="s">
        <v>28</v>
      </c>
      <c r="N474" s="6" t="s">
        <v>2264</v>
      </c>
      <c r="O474" s="6" t="s">
        <v>30</v>
      </c>
      <c r="P474" s="2" t="s">
        <v>13963</v>
      </c>
    </row>
    <row r="475" spans="1:16" ht="13.15" x14ac:dyDescent="0.4">
      <c r="A475" s="2" t="s">
        <v>13453</v>
      </c>
      <c r="B475" s="2" t="s">
        <v>5883</v>
      </c>
      <c r="C475" s="6" t="s">
        <v>5879</v>
      </c>
      <c r="D475" s="6" t="s">
        <v>42</v>
      </c>
      <c r="E475" s="7">
        <v>44927</v>
      </c>
      <c r="F475" s="8" t="s">
        <v>77</v>
      </c>
      <c r="G475" s="2" t="s">
        <v>26</v>
      </c>
      <c r="H475" s="8" t="s">
        <v>28</v>
      </c>
      <c r="I475" s="2" t="s">
        <v>26</v>
      </c>
      <c r="J475" s="7">
        <v>44927</v>
      </c>
      <c r="K475" s="8" t="s">
        <v>77</v>
      </c>
      <c r="L475" s="2" t="s">
        <v>26</v>
      </c>
      <c r="M475" s="8" t="s">
        <v>28</v>
      </c>
      <c r="N475" s="6" t="s">
        <v>2264</v>
      </c>
      <c r="O475" s="6" t="s">
        <v>30</v>
      </c>
      <c r="P475" s="2" t="s">
        <v>13803</v>
      </c>
    </row>
    <row r="476" spans="1:16" ht="13.15" x14ac:dyDescent="0.4">
      <c r="A476" s="2" t="s">
        <v>13490</v>
      </c>
      <c r="B476" s="2" t="s">
        <v>5883</v>
      </c>
      <c r="C476" s="6" t="s">
        <v>5879</v>
      </c>
      <c r="D476" s="6" t="s">
        <v>42</v>
      </c>
      <c r="E476" s="7">
        <v>44927</v>
      </c>
      <c r="F476" s="8" t="s">
        <v>77</v>
      </c>
      <c r="G476" s="2" t="s">
        <v>26</v>
      </c>
      <c r="H476" s="8" t="s">
        <v>28</v>
      </c>
      <c r="I476" s="2" t="s">
        <v>26</v>
      </c>
      <c r="J476" s="7">
        <v>44927</v>
      </c>
      <c r="K476" s="8" t="s">
        <v>77</v>
      </c>
      <c r="L476" s="2" t="s">
        <v>26</v>
      </c>
      <c r="M476" s="8" t="s">
        <v>28</v>
      </c>
      <c r="N476" s="6" t="s">
        <v>2264</v>
      </c>
      <c r="O476" s="6" t="s">
        <v>30</v>
      </c>
      <c r="P476" s="2" t="s">
        <v>13840</v>
      </c>
    </row>
    <row r="477" spans="1:16" ht="13.15" x14ac:dyDescent="0.4">
      <c r="A477" s="2" t="s">
        <v>8452</v>
      </c>
      <c r="B477" s="2" t="s">
        <v>5883</v>
      </c>
      <c r="C477" s="6" t="s">
        <v>5879</v>
      </c>
      <c r="D477" s="6" t="s">
        <v>42</v>
      </c>
      <c r="E477" s="7">
        <v>44927</v>
      </c>
      <c r="F477" s="8" t="s">
        <v>77</v>
      </c>
      <c r="G477" s="2" t="s">
        <v>26</v>
      </c>
      <c r="H477" s="8" t="s">
        <v>28</v>
      </c>
      <c r="I477" s="2" t="s">
        <v>26</v>
      </c>
      <c r="J477" s="7">
        <v>44927</v>
      </c>
      <c r="K477" s="8" t="s">
        <v>77</v>
      </c>
      <c r="L477" s="2" t="s">
        <v>26</v>
      </c>
      <c r="M477" s="8" t="s">
        <v>28</v>
      </c>
      <c r="N477" s="6" t="s">
        <v>2264</v>
      </c>
      <c r="O477" s="6" t="s">
        <v>30</v>
      </c>
      <c r="P477" s="2" t="s">
        <v>13777</v>
      </c>
    </row>
    <row r="478" spans="1:16" ht="13.15" x14ac:dyDescent="0.4">
      <c r="A478" s="2" t="s">
        <v>13329</v>
      </c>
      <c r="B478" s="2" t="s">
        <v>5883</v>
      </c>
      <c r="C478" s="6" t="s">
        <v>5879</v>
      </c>
      <c r="D478" s="6" t="s">
        <v>42</v>
      </c>
      <c r="E478" s="7">
        <v>44927</v>
      </c>
      <c r="F478" s="8" t="s">
        <v>77</v>
      </c>
      <c r="G478" s="2" t="s">
        <v>26</v>
      </c>
      <c r="H478" s="8" t="s">
        <v>28</v>
      </c>
      <c r="I478" s="2" t="s">
        <v>26</v>
      </c>
      <c r="J478" s="7">
        <v>44927</v>
      </c>
      <c r="K478" s="8" t="s">
        <v>77</v>
      </c>
      <c r="L478" s="2" t="s">
        <v>26</v>
      </c>
      <c r="M478" s="8" t="s">
        <v>28</v>
      </c>
      <c r="N478" s="6" t="s">
        <v>2264</v>
      </c>
      <c r="O478" s="6" t="s">
        <v>30</v>
      </c>
      <c r="P478" s="2" t="s">
        <v>13669</v>
      </c>
    </row>
    <row r="479" spans="1:16" ht="13.15" x14ac:dyDescent="0.4">
      <c r="A479" s="2" t="s">
        <v>8481</v>
      </c>
      <c r="B479" s="2" t="s">
        <v>5883</v>
      </c>
      <c r="C479" s="6" t="s">
        <v>5879</v>
      </c>
      <c r="D479" s="6" t="s">
        <v>42</v>
      </c>
      <c r="E479" s="7">
        <v>44927</v>
      </c>
      <c r="F479" s="8" t="s">
        <v>77</v>
      </c>
      <c r="G479" s="2" t="s">
        <v>26</v>
      </c>
      <c r="H479" s="8" t="s">
        <v>28</v>
      </c>
      <c r="I479" s="2" t="s">
        <v>26</v>
      </c>
      <c r="J479" s="7">
        <v>44927</v>
      </c>
      <c r="K479" s="8" t="s">
        <v>77</v>
      </c>
      <c r="L479" s="2" t="s">
        <v>26</v>
      </c>
      <c r="M479" s="8" t="s">
        <v>28</v>
      </c>
      <c r="N479" s="6" t="s">
        <v>2264</v>
      </c>
      <c r="O479" s="6" t="s">
        <v>30</v>
      </c>
      <c r="P479" s="2" t="s">
        <v>13901</v>
      </c>
    </row>
    <row r="480" spans="1:16" ht="13.15" x14ac:dyDescent="0.4">
      <c r="A480" s="2" t="s">
        <v>13527</v>
      </c>
      <c r="B480" s="2" t="s">
        <v>5883</v>
      </c>
      <c r="C480" s="6" t="s">
        <v>5879</v>
      </c>
      <c r="D480" s="6" t="s">
        <v>42</v>
      </c>
      <c r="E480" s="7">
        <v>44927</v>
      </c>
      <c r="F480" s="8" t="s">
        <v>77</v>
      </c>
      <c r="G480" s="2" t="s">
        <v>26</v>
      </c>
      <c r="H480" s="8" t="s">
        <v>28</v>
      </c>
      <c r="I480" s="2" t="s">
        <v>26</v>
      </c>
      <c r="J480" s="7">
        <v>44927</v>
      </c>
      <c r="K480" s="8" t="s">
        <v>77</v>
      </c>
      <c r="L480" s="2" t="s">
        <v>26</v>
      </c>
      <c r="M480" s="8" t="s">
        <v>28</v>
      </c>
      <c r="N480" s="6" t="s">
        <v>2264</v>
      </c>
      <c r="O480" s="6" t="s">
        <v>30</v>
      </c>
      <c r="P480" s="2" t="s">
        <v>13879</v>
      </c>
    </row>
    <row r="481" spans="1:16" ht="13.15" x14ac:dyDescent="0.4">
      <c r="A481" s="2" t="s">
        <v>13283</v>
      </c>
      <c r="B481" s="2" t="s">
        <v>5883</v>
      </c>
      <c r="C481" s="6" t="s">
        <v>5879</v>
      </c>
      <c r="D481" s="6" t="s">
        <v>42</v>
      </c>
      <c r="E481" s="7">
        <v>44927</v>
      </c>
      <c r="F481" s="8" t="s">
        <v>77</v>
      </c>
      <c r="G481" s="2" t="s">
        <v>26</v>
      </c>
      <c r="H481" s="8" t="s">
        <v>28</v>
      </c>
      <c r="I481" s="2" t="s">
        <v>26</v>
      </c>
      <c r="J481" s="7">
        <v>44927</v>
      </c>
      <c r="K481" s="8" t="s">
        <v>77</v>
      </c>
      <c r="L481" s="2" t="s">
        <v>26</v>
      </c>
      <c r="M481" s="8" t="s">
        <v>28</v>
      </c>
      <c r="N481" s="6" t="s">
        <v>2264</v>
      </c>
      <c r="O481" s="6" t="s">
        <v>30</v>
      </c>
      <c r="P481" s="2" t="s">
        <v>13620</v>
      </c>
    </row>
    <row r="482" spans="1:16" ht="13.15" x14ac:dyDescent="0.4">
      <c r="A482" s="2" t="s">
        <v>8523</v>
      </c>
      <c r="B482" s="2" t="s">
        <v>5883</v>
      </c>
      <c r="C482" s="6" t="s">
        <v>5879</v>
      </c>
      <c r="D482" s="6" t="s">
        <v>42</v>
      </c>
      <c r="E482" s="7">
        <v>44927</v>
      </c>
      <c r="F482" s="8" t="s">
        <v>77</v>
      </c>
      <c r="G482" s="2" t="s">
        <v>26</v>
      </c>
      <c r="H482" s="8" t="s">
        <v>28</v>
      </c>
      <c r="I482" s="2" t="s">
        <v>26</v>
      </c>
      <c r="J482" s="7">
        <v>44927</v>
      </c>
      <c r="K482" s="8" t="s">
        <v>77</v>
      </c>
      <c r="L482" s="2" t="s">
        <v>26</v>
      </c>
      <c r="M482" s="8" t="s">
        <v>28</v>
      </c>
      <c r="N482" s="6" t="s">
        <v>2264</v>
      </c>
      <c r="O482" s="6" t="s">
        <v>30</v>
      </c>
      <c r="P482" s="2" t="s">
        <v>13753</v>
      </c>
    </row>
    <row r="483" spans="1:16" ht="13.15" x14ac:dyDescent="0.4">
      <c r="A483" s="2" t="s">
        <v>13310</v>
      </c>
      <c r="B483" s="2" t="s">
        <v>5883</v>
      </c>
      <c r="C483" s="6" t="s">
        <v>5879</v>
      </c>
      <c r="D483" s="6" t="s">
        <v>42</v>
      </c>
      <c r="E483" s="7">
        <v>44927</v>
      </c>
      <c r="F483" s="8" t="s">
        <v>77</v>
      </c>
      <c r="G483" s="2" t="s">
        <v>26</v>
      </c>
      <c r="H483" s="8" t="s">
        <v>28</v>
      </c>
      <c r="I483" s="2" t="s">
        <v>26</v>
      </c>
      <c r="J483" s="7">
        <v>44927</v>
      </c>
      <c r="K483" s="8" t="s">
        <v>77</v>
      </c>
      <c r="L483" s="2" t="s">
        <v>26</v>
      </c>
      <c r="M483" s="8" t="s">
        <v>28</v>
      </c>
      <c r="N483" s="6" t="s">
        <v>2264</v>
      </c>
      <c r="O483" s="6" t="s">
        <v>30</v>
      </c>
      <c r="P483" s="2" t="s">
        <v>13649</v>
      </c>
    </row>
    <row r="484" spans="1:16" ht="13.15" x14ac:dyDescent="0.4">
      <c r="A484" s="2" t="s">
        <v>13575</v>
      </c>
      <c r="B484" s="2" t="s">
        <v>5883</v>
      </c>
      <c r="C484" s="6" t="s">
        <v>5879</v>
      </c>
      <c r="D484" s="6" t="s">
        <v>42</v>
      </c>
      <c r="E484" s="7">
        <v>44927</v>
      </c>
      <c r="F484" s="8" t="s">
        <v>77</v>
      </c>
      <c r="G484" s="2" t="s">
        <v>26</v>
      </c>
      <c r="H484" s="8" t="s">
        <v>28</v>
      </c>
      <c r="I484" s="2" t="s">
        <v>26</v>
      </c>
      <c r="J484" s="7">
        <v>44927</v>
      </c>
      <c r="K484" s="8" t="s">
        <v>77</v>
      </c>
      <c r="L484" s="2" t="s">
        <v>26</v>
      </c>
      <c r="M484" s="8" t="s">
        <v>28</v>
      </c>
      <c r="N484" s="6" t="s">
        <v>2264</v>
      </c>
      <c r="O484" s="6" t="s">
        <v>30</v>
      </c>
      <c r="P484" s="2" t="s">
        <v>13931</v>
      </c>
    </row>
    <row r="485" spans="1:16" ht="13.15" x14ac:dyDescent="0.4">
      <c r="A485" s="2" t="s">
        <v>13540</v>
      </c>
      <c r="B485" s="2" t="s">
        <v>5883</v>
      </c>
      <c r="C485" s="6" t="s">
        <v>5879</v>
      </c>
      <c r="D485" s="6" t="s">
        <v>42</v>
      </c>
      <c r="E485" s="7">
        <v>44927</v>
      </c>
      <c r="F485" s="8" t="s">
        <v>77</v>
      </c>
      <c r="G485" s="2" t="s">
        <v>26</v>
      </c>
      <c r="H485" s="8" t="s">
        <v>28</v>
      </c>
      <c r="I485" s="2" t="s">
        <v>26</v>
      </c>
      <c r="J485" s="7">
        <v>44927</v>
      </c>
      <c r="K485" s="8" t="s">
        <v>77</v>
      </c>
      <c r="L485" s="2" t="s">
        <v>26</v>
      </c>
      <c r="M485" s="8" t="s">
        <v>28</v>
      </c>
      <c r="N485" s="6" t="s">
        <v>2264</v>
      </c>
      <c r="O485" s="6" t="s">
        <v>30</v>
      </c>
      <c r="P485" s="2" t="s">
        <v>13893</v>
      </c>
    </row>
    <row r="486" spans="1:16" ht="13.15" x14ac:dyDescent="0.4">
      <c r="A486" s="2" t="s">
        <v>13569</v>
      </c>
      <c r="B486" s="2" t="s">
        <v>5883</v>
      </c>
      <c r="C486" s="6" t="s">
        <v>5879</v>
      </c>
      <c r="D486" s="6" t="s">
        <v>42</v>
      </c>
      <c r="E486" s="7">
        <v>44927</v>
      </c>
      <c r="F486" s="8" t="s">
        <v>77</v>
      </c>
      <c r="G486" s="2" t="s">
        <v>26</v>
      </c>
      <c r="H486" s="8" t="s">
        <v>28</v>
      </c>
      <c r="I486" s="2" t="s">
        <v>26</v>
      </c>
      <c r="J486" s="7">
        <v>44927</v>
      </c>
      <c r="K486" s="8" t="s">
        <v>77</v>
      </c>
      <c r="L486" s="2" t="s">
        <v>26</v>
      </c>
      <c r="M486" s="8" t="s">
        <v>28</v>
      </c>
      <c r="N486" s="6" t="s">
        <v>2264</v>
      </c>
      <c r="O486" s="6" t="s">
        <v>30</v>
      </c>
      <c r="P486" s="2" t="s">
        <v>13925</v>
      </c>
    </row>
    <row r="487" spans="1:16" ht="13.15" x14ac:dyDescent="0.4">
      <c r="A487" s="2" t="s">
        <v>13586</v>
      </c>
      <c r="B487" s="2" t="s">
        <v>5883</v>
      </c>
      <c r="C487" s="6" t="s">
        <v>5879</v>
      </c>
      <c r="D487" s="6" t="s">
        <v>42</v>
      </c>
      <c r="E487" s="7">
        <v>44927</v>
      </c>
      <c r="F487" s="8" t="s">
        <v>77</v>
      </c>
      <c r="G487" s="2" t="s">
        <v>26</v>
      </c>
      <c r="H487" s="8" t="s">
        <v>28</v>
      </c>
      <c r="I487" s="2" t="s">
        <v>26</v>
      </c>
      <c r="J487" s="7">
        <v>44927</v>
      </c>
      <c r="K487" s="8" t="s">
        <v>77</v>
      </c>
      <c r="L487" s="2" t="s">
        <v>26</v>
      </c>
      <c r="M487" s="8" t="s">
        <v>28</v>
      </c>
      <c r="N487" s="6" t="s">
        <v>2264</v>
      </c>
      <c r="O487" s="6" t="s">
        <v>30</v>
      </c>
      <c r="P487" s="2" t="s">
        <v>13943</v>
      </c>
    </row>
    <row r="488" spans="1:16" ht="13.15" x14ac:dyDescent="0.4">
      <c r="A488" s="2" t="s">
        <v>8554</v>
      </c>
      <c r="B488" s="2" t="s">
        <v>5883</v>
      </c>
      <c r="C488" s="6" t="s">
        <v>5879</v>
      </c>
      <c r="D488" s="6" t="s">
        <v>42</v>
      </c>
      <c r="E488" s="7">
        <v>44927</v>
      </c>
      <c r="F488" s="8" t="s">
        <v>77</v>
      </c>
      <c r="G488" s="2" t="s">
        <v>26</v>
      </c>
      <c r="H488" s="8" t="s">
        <v>28</v>
      </c>
      <c r="I488" s="2" t="s">
        <v>26</v>
      </c>
      <c r="J488" s="7">
        <v>44927</v>
      </c>
      <c r="K488" s="8" t="s">
        <v>77</v>
      </c>
      <c r="L488" s="2" t="s">
        <v>26</v>
      </c>
      <c r="M488" s="8" t="s">
        <v>28</v>
      </c>
      <c r="N488" s="6" t="s">
        <v>2264</v>
      </c>
      <c r="O488" s="6" t="s">
        <v>30</v>
      </c>
      <c r="P488" s="2" t="s">
        <v>13878</v>
      </c>
    </row>
    <row r="489" spans="1:16" ht="13.15" x14ac:dyDescent="0.4">
      <c r="A489" s="2" t="s">
        <v>13507</v>
      </c>
      <c r="B489" s="2" t="s">
        <v>5883</v>
      </c>
      <c r="C489" s="6" t="s">
        <v>5879</v>
      </c>
      <c r="D489" s="6" t="s">
        <v>42</v>
      </c>
      <c r="E489" s="7">
        <v>44927</v>
      </c>
      <c r="F489" s="8" t="s">
        <v>77</v>
      </c>
      <c r="G489" s="2" t="s">
        <v>26</v>
      </c>
      <c r="H489" s="8" t="s">
        <v>28</v>
      </c>
      <c r="I489" s="2" t="s">
        <v>26</v>
      </c>
      <c r="J489" s="7">
        <v>44927</v>
      </c>
      <c r="K489" s="8" t="s">
        <v>77</v>
      </c>
      <c r="L489" s="2" t="s">
        <v>26</v>
      </c>
      <c r="M489" s="8" t="s">
        <v>28</v>
      </c>
      <c r="N489" s="6" t="s">
        <v>2264</v>
      </c>
      <c r="O489" s="6" t="s">
        <v>30</v>
      </c>
      <c r="P489" s="2" t="s">
        <v>13857</v>
      </c>
    </row>
    <row r="490" spans="1:16" ht="13.15" x14ac:dyDescent="0.4">
      <c r="A490" s="2" t="s">
        <v>13373</v>
      </c>
      <c r="B490" s="2" t="s">
        <v>5883</v>
      </c>
      <c r="C490" s="6" t="s">
        <v>5879</v>
      </c>
      <c r="D490" s="6" t="s">
        <v>42</v>
      </c>
      <c r="E490" s="7">
        <v>44927</v>
      </c>
      <c r="F490" s="8" t="s">
        <v>77</v>
      </c>
      <c r="G490" s="2" t="s">
        <v>26</v>
      </c>
      <c r="H490" s="8" t="s">
        <v>28</v>
      </c>
      <c r="I490" s="2" t="s">
        <v>26</v>
      </c>
      <c r="J490" s="7">
        <v>44927</v>
      </c>
      <c r="K490" s="8" t="s">
        <v>77</v>
      </c>
      <c r="L490" s="2" t="s">
        <v>26</v>
      </c>
      <c r="M490" s="8" t="s">
        <v>28</v>
      </c>
      <c r="N490" s="6" t="s">
        <v>2264</v>
      </c>
      <c r="O490" s="6" t="s">
        <v>30</v>
      </c>
      <c r="P490" s="2" t="s">
        <v>13717</v>
      </c>
    </row>
    <row r="491" spans="1:16" ht="13.15" x14ac:dyDescent="0.4">
      <c r="A491" s="2" t="s">
        <v>13565</v>
      </c>
      <c r="B491" s="2" t="s">
        <v>5883</v>
      </c>
      <c r="C491" s="6" t="s">
        <v>5879</v>
      </c>
      <c r="D491" s="6" t="s">
        <v>42</v>
      </c>
      <c r="E491" s="7">
        <v>44927</v>
      </c>
      <c r="F491" s="8" t="s">
        <v>77</v>
      </c>
      <c r="G491" s="2" t="s">
        <v>26</v>
      </c>
      <c r="H491" s="8" t="s">
        <v>28</v>
      </c>
      <c r="I491" s="2" t="s">
        <v>26</v>
      </c>
      <c r="J491" s="7">
        <v>44927</v>
      </c>
      <c r="K491" s="8" t="s">
        <v>77</v>
      </c>
      <c r="L491" s="2" t="s">
        <v>26</v>
      </c>
      <c r="M491" s="8" t="s">
        <v>28</v>
      </c>
      <c r="N491" s="6" t="s">
        <v>2264</v>
      </c>
      <c r="O491" s="6" t="s">
        <v>30</v>
      </c>
      <c r="P491" s="2" t="s">
        <v>13920</v>
      </c>
    </row>
    <row r="492" spans="1:16" ht="13.15" x14ac:dyDescent="0.4">
      <c r="A492" s="2" t="s">
        <v>13288</v>
      </c>
      <c r="B492" s="2" t="s">
        <v>5883</v>
      </c>
      <c r="C492" s="6" t="s">
        <v>5879</v>
      </c>
      <c r="D492" s="6" t="s">
        <v>42</v>
      </c>
      <c r="E492" s="7">
        <v>44927</v>
      </c>
      <c r="F492" s="8" t="s">
        <v>77</v>
      </c>
      <c r="G492" s="2" t="s">
        <v>26</v>
      </c>
      <c r="H492" s="8" t="s">
        <v>28</v>
      </c>
      <c r="I492" s="2" t="s">
        <v>26</v>
      </c>
      <c r="J492" s="7">
        <v>44927</v>
      </c>
      <c r="K492" s="8" t="s">
        <v>77</v>
      </c>
      <c r="L492" s="2" t="s">
        <v>26</v>
      </c>
      <c r="M492" s="8" t="s">
        <v>28</v>
      </c>
      <c r="N492" s="6" t="s">
        <v>2264</v>
      </c>
      <c r="O492" s="6" t="s">
        <v>30</v>
      </c>
      <c r="P492" s="2" t="s">
        <v>13626</v>
      </c>
    </row>
    <row r="493" spans="1:16" ht="13.15" x14ac:dyDescent="0.4">
      <c r="A493" s="2" t="s">
        <v>13459</v>
      </c>
      <c r="B493" s="2" t="s">
        <v>5883</v>
      </c>
      <c r="C493" s="6" t="s">
        <v>5879</v>
      </c>
      <c r="D493" s="6" t="s">
        <v>42</v>
      </c>
      <c r="E493" s="7">
        <v>44927</v>
      </c>
      <c r="F493" s="8" t="s">
        <v>77</v>
      </c>
      <c r="G493" s="2" t="s">
        <v>26</v>
      </c>
      <c r="H493" s="8" t="s">
        <v>28</v>
      </c>
      <c r="I493" s="2" t="s">
        <v>26</v>
      </c>
      <c r="J493" s="7">
        <v>44927</v>
      </c>
      <c r="K493" s="8" t="s">
        <v>77</v>
      </c>
      <c r="L493" s="2" t="s">
        <v>26</v>
      </c>
      <c r="M493" s="8" t="s">
        <v>28</v>
      </c>
      <c r="N493" s="6" t="s">
        <v>2264</v>
      </c>
      <c r="O493" s="6" t="s">
        <v>30</v>
      </c>
      <c r="P493" s="2" t="s">
        <v>13809</v>
      </c>
    </row>
    <row r="494" spans="1:16" ht="13.15" x14ac:dyDescent="0.4">
      <c r="A494" s="2" t="s">
        <v>13605</v>
      </c>
      <c r="B494" s="2" t="s">
        <v>5883</v>
      </c>
      <c r="C494" s="6" t="s">
        <v>5879</v>
      </c>
      <c r="D494" s="6" t="s">
        <v>42</v>
      </c>
      <c r="E494" s="7">
        <v>44927</v>
      </c>
      <c r="F494" s="8" t="s">
        <v>77</v>
      </c>
      <c r="G494" s="2" t="s">
        <v>26</v>
      </c>
      <c r="H494" s="8" t="s">
        <v>28</v>
      </c>
      <c r="I494" s="2" t="s">
        <v>26</v>
      </c>
      <c r="J494" s="7">
        <v>44927</v>
      </c>
      <c r="K494" s="8" t="s">
        <v>77</v>
      </c>
      <c r="L494" s="2" t="s">
        <v>26</v>
      </c>
      <c r="M494" s="8" t="s">
        <v>28</v>
      </c>
      <c r="N494" s="6" t="s">
        <v>2264</v>
      </c>
      <c r="O494" s="6" t="s">
        <v>30</v>
      </c>
      <c r="P494" s="2" t="s">
        <v>13962</v>
      </c>
    </row>
    <row r="495" spans="1:16" ht="13.15" x14ac:dyDescent="0.4">
      <c r="A495" s="2" t="s">
        <v>13495</v>
      </c>
      <c r="B495" s="2" t="s">
        <v>5883</v>
      </c>
      <c r="C495" s="6" t="s">
        <v>5879</v>
      </c>
      <c r="D495" s="6" t="s">
        <v>42</v>
      </c>
      <c r="E495" s="7">
        <v>44927</v>
      </c>
      <c r="F495" s="8" t="s">
        <v>77</v>
      </c>
      <c r="G495" s="2" t="s">
        <v>26</v>
      </c>
      <c r="H495" s="8" t="s">
        <v>28</v>
      </c>
      <c r="I495" s="2" t="s">
        <v>26</v>
      </c>
      <c r="J495" s="7">
        <v>44927</v>
      </c>
      <c r="K495" s="8" t="s">
        <v>77</v>
      </c>
      <c r="L495" s="2" t="s">
        <v>26</v>
      </c>
      <c r="M495" s="8" t="s">
        <v>28</v>
      </c>
      <c r="N495" s="6" t="s">
        <v>2264</v>
      </c>
      <c r="O495" s="6" t="s">
        <v>30</v>
      </c>
      <c r="P495" s="2" t="s">
        <v>13845</v>
      </c>
    </row>
    <row r="496" spans="1:16" ht="13.15" x14ac:dyDescent="0.4">
      <c r="A496" s="2" t="s">
        <v>13365</v>
      </c>
      <c r="B496" s="2" t="s">
        <v>5883</v>
      </c>
      <c r="C496" s="6" t="s">
        <v>5879</v>
      </c>
      <c r="D496" s="6" t="s">
        <v>42</v>
      </c>
      <c r="E496" s="7">
        <v>44927</v>
      </c>
      <c r="F496" s="8" t="s">
        <v>77</v>
      </c>
      <c r="G496" s="2" t="s">
        <v>26</v>
      </c>
      <c r="H496" s="8" t="s">
        <v>28</v>
      </c>
      <c r="I496" s="2" t="s">
        <v>26</v>
      </c>
      <c r="J496" s="7">
        <v>44927</v>
      </c>
      <c r="K496" s="8" t="s">
        <v>77</v>
      </c>
      <c r="L496" s="2" t="s">
        <v>26</v>
      </c>
      <c r="M496" s="8" t="s">
        <v>28</v>
      </c>
      <c r="N496" s="6" t="s">
        <v>2264</v>
      </c>
      <c r="O496" s="6" t="s">
        <v>30</v>
      </c>
      <c r="P496" s="2" t="s">
        <v>13709</v>
      </c>
    </row>
    <row r="497" spans="1:16" ht="13.15" x14ac:dyDescent="0.4">
      <c r="A497" s="2" t="s">
        <v>13580</v>
      </c>
      <c r="B497" s="2" t="s">
        <v>5883</v>
      </c>
      <c r="C497" s="6" t="s">
        <v>5879</v>
      </c>
      <c r="D497" s="6" t="s">
        <v>42</v>
      </c>
      <c r="E497" s="7">
        <v>44927</v>
      </c>
      <c r="F497" s="8" t="s">
        <v>77</v>
      </c>
      <c r="G497" s="2" t="s">
        <v>26</v>
      </c>
      <c r="H497" s="8" t="s">
        <v>28</v>
      </c>
      <c r="I497" s="2" t="s">
        <v>26</v>
      </c>
      <c r="J497" s="7">
        <v>44927</v>
      </c>
      <c r="K497" s="8" t="s">
        <v>77</v>
      </c>
      <c r="L497" s="2" t="s">
        <v>26</v>
      </c>
      <c r="M497" s="8" t="s">
        <v>28</v>
      </c>
      <c r="N497" s="6" t="s">
        <v>2264</v>
      </c>
      <c r="O497" s="6" t="s">
        <v>30</v>
      </c>
      <c r="P497" s="2" t="s">
        <v>13936</v>
      </c>
    </row>
    <row r="498" spans="1:16" ht="13.15" x14ac:dyDescent="0.4">
      <c r="A498" s="2" t="s">
        <v>13368</v>
      </c>
      <c r="B498" s="2" t="s">
        <v>5883</v>
      </c>
      <c r="C498" s="6" t="s">
        <v>5879</v>
      </c>
      <c r="D498" s="6" t="s">
        <v>42</v>
      </c>
      <c r="E498" s="7">
        <v>44927</v>
      </c>
      <c r="F498" s="8" t="s">
        <v>77</v>
      </c>
      <c r="G498" s="2" t="s">
        <v>26</v>
      </c>
      <c r="H498" s="8" t="s">
        <v>28</v>
      </c>
      <c r="I498" s="2" t="s">
        <v>26</v>
      </c>
      <c r="J498" s="7">
        <v>44927</v>
      </c>
      <c r="K498" s="8" t="s">
        <v>77</v>
      </c>
      <c r="L498" s="2" t="s">
        <v>26</v>
      </c>
      <c r="M498" s="8" t="s">
        <v>28</v>
      </c>
      <c r="N498" s="6" t="s">
        <v>2264</v>
      </c>
      <c r="O498" s="6" t="s">
        <v>30</v>
      </c>
      <c r="P498" s="2" t="s">
        <v>13712</v>
      </c>
    </row>
    <row r="499" spans="1:16" ht="13.15" x14ac:dyDescent="0.4">
      <c r="A499" s="2" t="s">
        <v>13343</v>
      </c>
      <c r="B499" s="2" t="s">
        <v>5883</v>
      </c>
      <c r="C499" s="6" t="s">
        <v>5879</v>
      </c>
      <c r="D499" s="6" t="s">
        <v>42</v>
      </c>
      <c r="E499" s="7">
        <v>44927</v>
      </c>
      <c r="F499" s="8" t="s">
        <v>77</v>
      </c>
      <c r="G499" s="2" t="s">
        <v>26</v>
      </c>
      <c r="H499" s="8" t="s">
        <v>28</v>
      </c>
      <c r="I499" s="2" t="s">
        <v>26</v>
      </c>
      <c r="J499" s="7">
        <v>44927</v>
      </c>
      <c r="K499" s="8" t="s">
        <v>77</v>
      </c>
      <c r="L499" s="2" t="s">
        <v>26</v>
      </c>
      <c r="M499" s="8" t="s">
        <v>28</v>
      </c>
      <c r="N499" s="6" t="s">
        <v>2264</v>
      </c>
      <c r="O499" s="6" t="s">
        <v>30</v>
      </c>
      <c r="P499" s="2" t="s">
        <v>13684</v>
      </c>
    </row>
    <row r="500" spans="1:16" ht="13.15" x14ac:dyDescent="0.4">
      <c r="A500" s="2" t="s">
        <v>13417</v>
      </c>
      <c r="B500" s="2" t="s">
        <v>5883</v>
      </c>
      <c r="C500" s="6" t="s">
        <v>5879</v>
      </c>
      <c r="D500" s="6" t="s">
        <v>42</v>
      </c>
      <c r="E500" s="7">
        <v>44927</v>
      </c>
      <c r="F500" s="8" t="s">
        <v>77</v>
      </c>
      <c r="G500" s="2" t="s">
        <v>26</v>
      </c>
      <c r="H500" s="8" t="s">
        <v>28</v>
      </c>
      <c r="I500" s="2" t="s">
        <v>26</v>
      </c>
      <c r="J500" s="7">
        <v>44927</v>
      </c>
      <c r="K500" s="8" t="s">
        <v>77</v>
      </c>
      <c r="L500" s="2" t="s">
        <v>26</v>
      </c>
      <c r="M500" s="8" t="s">
        <v>28</v>
      </c>
      <c r="N500" s="6" t="s">
        <v>2264</v>
      </c>
      <c r="O500" s="6" t="s">
        <v>30</v>
      </c>
      <c r="P500" s="2" t="s">
        <v>13765</v>
      </c>
    </row>
    <row r="501" spans="1:16" ht="13.15" x14ac:dyDescent="0.4">
      <c r="A501" s="2" t="s">
        <v>13455</v>
      </c>
      <c r="B501" s="2" t="s">
        <v>5883</v>
      </c>
      <c r="C501" s="6" t="s">
        <v>5879</v>
      </c>
      <c r="D501" s="6" t="s">
        <v>42</v>
      </c>
      <c r="E501" s="7">
        <v>44927</v>
      </c>
      <c r="F501" s="8" t="s">
        <v>77</v>
      </c>
      <c r="G501" s="2" t="s">
        <v>26</v>
      </c>
      <c r="H501" s="8" t="s">
        <v>28</v>
      </c>
      <c r="I501" s="2" t="s">
        <v>26</v>
      </c>
      <c r="J501" s="7">
        <v>44927</v>
      </c>
      <c r="K501" s="8" t="s">
        <v>77</v>
      </c>
      <c r="L501" s="2" t="s">
        <v>26</v>
      </c>
      <c r="M501" s="8" t="s">
        <v>28</v>
      </c>
      <c r="N501" s="6" t="s">
        <v>2264</v>
      </c>
      <c r="O501" s="6" t="s">
        <v>30</v>
      </c>
      <c r="P501" s="2" t="s">
        <v>13805</v>
      </c>
    </row>
    <row r="502" spans="1:16" ht="13.15" x14ac:dyDescent="0.4">
      <c r="A502" s="2" t="s">
        <v>13451</v>
      </c>
      <c r="B502" s="2" t="s">
        <v>5883</v>
      </c>
      <c r="C502" s="6" t="s">
        <v>5879</v>
      </c>
      <c r="D502" s="6" t="s">
        <v>42</v>
      </c>
      <c r="E502" s="7">
        <v>44927</v>
      </c>
      <c r="F502" s="8" t="s">
        <v>77</v>
      </c>
      <c r="G502" s="2" t="s">
        <v>26</v>
      </c>
      <c r="H502" s="8" t="s">
        <v>28</v>
      </c>
      <c r="I502" s="2" t="s">
        <v>26</v>
      </c>
      <c r="J502" s="7">
        <v>44927</v>
      </c>
      <c r="K502" s="8" t="s">
        <v>77</v>
      </c>
      <c r="L502" s="2" t="s">
        <v>26</v>
      </c>
      <c r="M502" s="8" t="s">
        <v>28</v>
      </c>
      <c r="N502" s="6" t="s">
        <v>2264</v>
      </c>
      <c r="O502" s="6" t="s">
        <v>30</v>
      </c>
      <c r="P502" s="2" t="s">
        <v>13801</v>
      </c>
    </row>
    <row r="503" spans="1:16" ht="13.15" x14ac:dyDescent="0.4">
      <c r="A503" s="2" t="s">
        <v>13286</v>
      </c>
      <c r="B503" s="2" t="s">
        <v>5883</v>
      </c>
      <c r="C503" s="6" t="s">
        <v>5879</v>
      </c>
      <c r="D503" s="6" t="s">
        <v>42</v>
      </c>
      <c r="E503" s="7">
        <v>44927</v>
      </c>
      <c r="F503" s="8" t="s">
        <v>77</v>
      </c>
      <c r="G503" s="2" t="s">
        <v>26</v>
      </c>
      <c r="H503" s="8" t="s">
        <v>28</v>
      </c>
      <c r="I503" s="2" t="s">
        <v>26</v>
      </c>
      <c r="J503" s="7">
        <v>44927</v>
      </c>
      <c r="K503" s="8" t="s">
        <v>77</v>
      </c>
      <c r="L503" s="2" t="s">
        <v>26</v>
      </c>
      <c r="M503" s="8" t="s">
        <v>28</v>
      </c>
      <c r="N503" s="6" t="s">
        <v>2264</v>
      </c>
      <c r="O503" s="6" t="s">
        <v>30</v>
      </c>
      <c r="P503" s="2" t="s">
        <v>13624</v>
      </c>
    </row>
    <row r="504" spans="1:16" ht="13.15" x14ac:dyDescent="0.4">
      <c r="A504" s="2" t="s">
        <v>13470</v>
      </c>
      <c r="B504" s="2" t="s">
        <v>5883</v>
      </c>
      <c r="C504" s="6" t="s">
        <v>5879</v>
      </c>
      <c r="D504" s="6" t="s">
        <v>42</v>
      </c>
      <c r="E504" s="7">
        <v>44927</v>
      </c>
      <c r="F504" s="8" t="s">
        <v>77</v>
      </c>
      <c r="G504" s="2" t="s">
        <v>26</v>
      </c>
      <c r="H504" s="8" t="s">
        <v>28</v>
      </c>
      <c r="I504" s="2" t="s">
        <v>26</v>
      </c>
      <c r="J504" s="7">
        <v>44927</v>
      </c>
      <c r="K504" s="8" t="s">
        <v>77</v>
      </c>
      <c r="L504" s="2" t="s">
        <v>26</v>
      </c>
      <c r="M504" s="8" t="s">
        <v>28</v>
      </c>
      <c r="N504" s="6" t="s">
        <v>2264</v>
      </c>
      <c r="O504" s="6" t="s">
        <v>30</v>
      </c>
      <c r="P504" s="2" t="s">
        <v>13820</v>
      </c>
    </row>
    <row r="505" spans="1:16" ht="13.15" x14ac:dyDescent="0.4">
      <c r="A505" s="2" t="s">
        <v>13438</v>
      </c>
      <c r="B505" s="2" t="s">
        <v>5883</v>
      </c>
      <c r="C505" s="6" t="s">
        <v>5879</v>
      </c>
      <c r="D505" s="6" t="s">
        <v>42</v>
      </c>
      <c r="E505" s="7">
        <v>44927</v>
      </c>
      <c r="F505" s="8" t="s">
        <v>77</v>
      </c>
      <c r="G505" s="2" t="s">
        <v>26</v>
      </c>
      <c r="H505" s="8" t="s">
        <v>28</v>
      </c>
      <c r="I505" s="2" t="s">
        <v>26</v>
      </c>
      <c r="J505" s="7">
        <v>44927</v>
      </c>
      <c r="K505" s="8" t="s">
        <v>77</v>
      </c>
      <c r="L505" s="2" t="s">
        <v>26</v>
      </c>
      <c r="M505" s="8" t="s">
        <v>28</v>
      </c>
      <c r="N505" s="6" t="s">
        <v>2264</v>
      </c>
      <c r="O505" s="6" t="s">
        <v>30</v>
      </c>
      <c r="P505" s="2" t="s">
        <v>13787</v>
      </c>
    </row>
    <row r="506" spans="1:16" ht="13.15" x14ac:dyDescent="0.4">
      <c r="A506" s="2" t="s">
        <v>13318</v>
      </c>
      <c r="B506" s="2" t="s">
        <v>5883</v>
      </c>
      <c r="C506" s="6" t="s">
        <v>5879</v>
      </c>
      <c r="D506" s="6" t="s">
        <v>42</v>
      </c>
      <c r="E506" s="7">
        <v>44927</v>
      </c>
      <c r="F506" s="8" t="s">
        <v>77</v>
      </c>
      <c r="G506" s="2" t="s">
        <v>26</v>
      </c>
      <c r="H506" s="8" t="s">
        <v>28</v>
      </c>
      <c r="I506" s="2" t="s">
        <v>26</v>
      </c>
      <c r="J506" s="7">
        <v>44927</v>
      </c>
      <c r="K506" s="8" t="s">
        <v>77</v>
      </c>
      <c r="L506" s="2" t="s">
        <v>26</v>
      </c>
      <c r="M506" s="8" t="s">
        <v>28</v>
      </c>
      <c r="N506" s="6" t="s">
        <v>2264</v>
      </c>
      <c r="O506" s="6" t="s">
        <v>30</v>
      </c>
      <c r="P506" s="2" t="s">
        <v>13657</v>
      </c>
    </row>
    <row r="507" spans="1:16" ht="13.15" x14ac:dyDescent="0.4">
      <c r="A507" s="2" t="s">
        <v>13285</v>
      </c>
      <c r="B507" s="2" t="s">
        <v>5883</v>
      </c>
      <c r="C507" s="6" t="s">
        <v>5879</v>
      </c>
      <c r="D507" s="6" t="s">
        <v>42</v>
      </c>
      <c r="E507" s="7">
        <v>44927</v>
      </c>
      <c r="F507" s="8" t="s">
        <v>77</v>
      </c>
      <c r="G507" s="2" t="s">
        <v>26</v>
      </c>
      <c r="H507" s="8" t="s">
        <v>28</v>
      </c>
      <c r="I507" s="2" t="s">
        <v>26</v>
      </c>
      <c r="J507" s="7">
        <v>44927</v>
      </c>
      <c r="K507" s="8" t="s">
        <v>77</v>
      </c>
      <c r="L507" s="2" t="s">
        <v>26</v>
      </c>
      <c r="M507" s="8" t="s">
        <v>28</v>
      </c>
      <c r="N507" s="6" t="s">
        <v>2264</v>
      </c>
      <c r="O507" s="6" t="s">
        <v>30</v>
      </c>
      <c r="P507" s="2" t="s">
        <v>13623</v>
      </c>
    </row>
    <row r="508" spans="1:16" ht="13.15" x14ac:dyDescent="0.4">
      <c r="A508" s="2" t="s">
        <v>13320</v>
      </c>
      <c r="B508" s="2" t="s">
        <v>5883</v>
      </c>
      <c r="C508" s="6" t="s">
        <v>5879</v>
      </c>
      <c r="D508" s="6" t="s">
        <v>42</v>
      </c>
      <c r="E508" s="7">
        <v>44927</v>
      </c>
      <c r="F508" s="8" t="s">
        <v>77</v>
      </c>
      <c r="G508" s="2" t="s">
        <v>26</v>
      </c>
      <c r="H508" s="8" t="s">
        <v>28</v>
      </c>
      <c r="I508" s="2" t="s">
        <v>26</v>
      </c>
      <c r="J508" s="7">
        <v>44927</v>
      </c>
      <c r="K508" s="8" t="s">
        <v>77</v>
      </c>
      <c r="L508" s="2" t="s">
        <v>26</v>
      </c>
      <c r="M508" s="8" t="s">
        <v>28</v>
      </c>
      <c r="N508" s="6" t="s">
        <v>2264</v>
      </c>
      <c r="O508" s="6" t="s">
        <v>30</v>
      </c>
      <c r="P508" s="2" t="s">
        <v>13659</v>
      </c>
    </row>
    <row r="509" spans="1:16" ht="13.15" x14ac:dyDescent="0.4">
      <c r="A509" s="2" t="s">
        <v>3438</v>
      </c>
      <c r="B509" s="2" t="s">
        <v>5883</v>
      </c>
      <c r="C509" s="6" t="s">
        <v>5879</v>
      </c>
      <c r="D509" s="6" t="s">
        <v>42</v>
      </c>
      <c r="E509" s="7">
        <v>44927</v>
      </c>
      <c r="F509" s="8" t="s">
        <v>77</v>
      </c>
      <c r="G509" s="2" t="s">
        <v>26</v>
      </c>
      <c r="H509" s="8" t="s">
        <v>28</v>
      </c>
      <c r="I509" s="2" t="s">
        <v>26</v>
      </c>
      <c r="J509" s="7">
        <v>44927</v>
      </c>
      <c r="K509" s="8" t="s">
        <v>77</v>
      </c>
      <c r="L509" s="2" t="s">
        <v>26</v>
      </c>
      <c r="M509" s="8" t="s">
        <v>28</v>
      </c>
      <c r="N509" s="6" t="s">
        <v>2264</v>
      </c>
      <c r="O509" s="6" t="s">
        <v>30</v>
      </c>
      <c r="P509" s="2" t="s">
        <v>13621</v>
      </c>
    </row>
    <row r="510" spans="1:16" ht="13.15" x14ac:dyDescent="0.4">
      <c r="A510" s="2" t="s">
        <v>13432</v>
      </c>
      <c r="B510" s="2" t="s">
        <v>5883</v>
      </c>
      <c r="C510" s="6" t="s">
        <v>5879</v>
      </c>
      <c r="D510" s="6" t="s">
        <v>42</v>
      </c>
      <c r="E510" s="7">
        <v>44927</v>
      </c>
      <c r="F510" s="8" t="s">
        <v>77</v>
      </c>
      <c r="G510" s="2" t="s">
        <v>26</v>
      </c>
      <c r="H510" s="8" t="s">
        <v>28</v>
      </c>
      <c r="I510" s="2" t="s">
        <v>26</v>
      </c>
      <c r="J510" s="7">
        <v>44927</v>
      </c>
      <c r="K510" s="8" t="s">
        <v>77</v>
      </c>
      <c r="L510" s="2" t="s">
        <v>26</v>
      </c>
      <c r="M510" s="8" t="s">
        <v>28</v>
      </c>
      <c r="N510" s="6" t="s">
        <v>2264</v>
      </c>
      <c r="O510" s="6" t="s">
        <v>30</v>
      </c>
      <c r="P510" s="2" t="s">
        <v>13781</v>
      </c>
    </row>
    <row r="511" spans="1:16" ht="13.15" x14ac:dyDescent="0.4">
      <c r="A511" s="2" t="s">
        <v>13585</v>
      </c>
      <c r="B511" s="2" t="s">
        <v>5883</v>
      </c>
      <c r="C511" s="6" t="s">
        <v>5879</v>
      </c>
      <c r="D511" s="6" t="s">
        <v>42</v>
      </c>
      <c r="E511" s="7">
        <v>44927</v>
      </c>
      <c r="F511" s="8" t="s">
        <v>77</v>
      </c>
      <c r="G511" s="2" t="s">
        <v>26</v>
      </c>
      <c r="H511" s="8" t="s">
        <v>28</v>
      </c>
      <c r="I511" s="2" t="s">
        <v>26</v>
      </c>
      <c r="J511" s="7">
        <v>44927</v>
      </c>
      <c r="K511" s="8" t="s">
        <v>77</v>
      </c>
      <c r="L511" s="2" t="s">
        <v>26</v>
      </c>
      <c r="M511" s="8" t="s">
        <v>28</v>
      </c>
      <c r="N511" s="6" t="s">
        <v>2264</v>
      </c>
      <c r="O511" s="6" t="s">
        <v>30</v>
      </c>
      <c r="P511" s="2" t="s">
        <v>13942</v>
      </c>
    </row>
    <row r="512" spans="1:16" ht="13.15" x14ac:dyDescent="0.4">
      <c r="A512" s="2" t="s">
        <v>13386</v>
      </c>
      <c r="B512" s="2" t="s">
        <v>5883</v>
      </c>
      <c r="C512" s="6" t="s">
        <v>5879</v>
      </c>
      <c r="D512" s="6" t="s">
        <v>42</v>
      </c>
      <c r="E512" s="7">
        <v>44927</v>
      </c>
      <c r="F512" s="8" t="s">
        <v>77</v>
      </c>
      <c r="G512" s="2" t="s">
        <v>26</v>
      </c>
      <c r="H512" s="8" t="s">
        <v>28</v>
      </c>
      <c r="I512" s="2" t="s">
        <v>26</v>
      </c>
      <c r="J512" s="7">
        <v>44927</v>
      </c>
      <c r="K512" s="8" t="s">
        <v>77</v>
      </c>
      <c r="L512" s="2" t="s">
        <v>26</v>
      </c>
      <c r="M512" s="8" t="s">
        <v>28</v>
      </c>
      <c r="N512" s="6" t="s">
        <v>2264</v>
      </c>
      <c r="O512" s="6" t="s">
        <v>30</v>
      </c>
      <c r="P512" s="2" t="s">
        <v>13732</v>
      </c>
    </row>
    <row r="513" spans="1:16" ht="13.15" x14ac:dyDescent="0.4">
      <c r="A513" s="2" t="s">
        <v>13477</v>
      </c>
      <c r="B513" s="2" t="s">
        <v>5883</v>
      </c>
      <c r="C513" s="6" t="s">
        <v>5879</v>
      </c>
      <c r="D513" s="6" t="s">
        <v>42</v>
      </c>
      <c r="E513" s="7">
        <v>44927</v>
      </c>
      <c r="F513" s="8" t="s">
        <v>77</v>
      </c>
      <c r="G513" s="2" t="s">
        <v>26</v>
      </c>
      <c r="H513" s="8" t="s">
        <v>28</v>
      </c>
      <c r="I513" s="2" t="s">
        <v>26</v>
      </c>
      <c r="J513" s="7">
        <v>44927</v>
      </c>
      <c r="K513" s="8" t="s">
        <v>77</v>
      </c>
      <c r="L513" s="2" t="s">
        <v>26</v>
      </c>
      <c r="M513" s="8" t="s">
        <v>28</v>
      </c>
      <c r="N513" s="6" t="s">
        <v>2264</v>
      </c>
      <c r="O513" s="6" t="s">
        <v>30</v>
      </c>
      <c r="P513" s="2" t="s">
        <v>13827</v>
      </c>
    </row>
    <row r="514" spans="1:16" ht="13.15" x14ac:dyDescent="0.4">
      <c r="A514" s="2" t="s">
        <v>13487</v>
      </c>
      <c r="B514" s="2" t="s">
        <v>5883</v>
      </c>
      <c r="C514" s="6" t="s">
        <v>5879</v>
      </c>
      <c r="D514" s="6" t="s">
        <v>42</v>
      </c>
      <c r="E514" s="7">
        <v>44927</v>
      </c>
      <c r="F514" s="8" t="s">
        <v>77</v>
      </c>
      <c r="G514" s="2" t="s">
        <v>26</v>
      </c>
      <c r="H514" s="8" t="s">
        <v>28</v>
      </c>
      <c r="I514" s="2" t="s">
        <v>26</v>
      </c>
      <c r="J514" s="7">
        <v>44927</v>
      </c>
      <c r="K514" s="8" t="s">
        <v>77</v>
      </c>
      <c r="L514" s="2" t="s">
        <v>26</v>
      </c>
      <c r="M514" s="8" t="s">
        <v>28</v>
      </c>
      <c r="N514" s="6" t="s">
        <v>2264</v>
      </c>
      <c r="O514" s="6" t="s">
        <v>30</v>
      </c>
      <c r="P514" s="2" t="s">
        <v>13837</v>
      </c>
    </row>
    <row r="515" spans="1:16" ht="13.15" x14ac:dyDescent="0.4">
      <c r="A515" s="2" t="s">
        <v>13426</v>
      </c>
      <c r="B515" s="2" t="s">
        <v>5883</v>
      </c>
      <c r="C515" s="6" t="s">
        <v>5879</v>
      </c>
      <c r="D515" s="6" t="s">
        <v>42</v>
      </c>
      <c r="E515" s="7">
        <v>44927</v>
      </c>
      <c r="F515" s="8" t="s">
        <v>77</v>
      </c>
      <c r="G515" s="2" t="s">
        <v>26</v>
      </c>
      <c r="H515" s="8" t="s">
        <v>28</v>
      </c>
      <c r="I515" s="2" t="s">
        <v>26</v>
      </c>
      <c r="J515" s="7">
        <v>44927</v>
      </c>
      <c r="K515" s="8" t="s">
        <v>77</v>
      </c>
      <c r="L515" s="2" t="s">
        <v>26</v>
      </c>
      <c r="M515" s="8" t="s">
        <v>28</v>
      </c>
      <c r="N515" s="6" t="s">
        <v>2264</v>
      </c>
      <c r="O515" s="6" t="s">
        <v>30</v>
      </c>
      <c r="P515" s="2" t="s">
        <v>13774</v>
      </c>
    </row>
    <row r="516" spans="1:16" ht="13.15" x14ac:dyDescent="0.4">
      <c r="A516" s="2" t="s">
        <v>13464</v>
      </c>
      <c r="B516" s="2" t="s">
        <v>5883</v>
      </c>
      <c r="C516" s="6" t="s">
        <v>5879</v>
      </c>
      <c r="D516" s="6" t="s">
        <v>42</v>
      </c>
      <c r="E516" s="7">
        <v>44927</v>
      </c>
      <c r="F516" s="8" t="s">
        <v>77</v>
      </c>
      <c r="G516" s="2" t="s">
        <v>26</v>
      </c>
      <c r="H516" s="8" t="s">
        <v>28</v>
      </c>
      <c r="I516" s="2" t="s">
        <v>26</v>
      </c>
      <c r="J516" s="7">
        <v>44927</v>
      </c>
      <c r="K516" s="8" t="s">
        <v>77</v>
      </c>
      <c r="L516" s="2" t="s">
        <v>26</v>
      </c>
      <c r="M516" s="8" t="s">
        <v>28</v>
      </c>
      <c r="N516" s="6" t="s">
        <v>2264</v>
      </c>
      <c r="O516" s="6" t="s">
        <v>30</v>
      </c>
      <c r="P516" s="2" t="s">
        <v>13814</v>
      </c>
    </row>
    <row r="517" spans="1:16" ht="13.15" x14ac:dyDescent="0.4">
      <c r="A517" s="2" t="s">
        <v>13422</v>
      </c>
      <c r="B517" s="2" t="s">
        <v>5883</v>
      </c>
      <c r="C517" s="6" t="s">
        <v>5879</v>
      </c>
      <c r="D517" s="6" t="s">
        <v>42</v>
      </c>
      <c r="E517" s="7">
        <v>44927</v>
      </c>
      <c r="F517" s="8" t="s">
        <v>77</v>
      </c>
      <c r="G517" s="2" t="s">
        <v>26</v>
      </c>
      <c r="H517" s="8" t="s">
        <v>28</v>
      </c>
      <c r="I517" s="2" t="s">
        <v>26</v>
      </c>
      <c r="J517" s="7">
        <v>44927</v>
      </c>
      <c r="K517" s="8" t="s">
        <v>77</v>
      </c>
      <c r="L517" s="2" t="s">
        <v>26</v>
      </c>
      <c r="M517" s="8" t="s">
        <v>28</v>
      </c>
      <c r="N517" s="6" t="s">
        <v>2264</v>
      </c>
      <c r="O517" s="6" t="s">
        <v>30</v>
      </c>
      <c r="P517" s="2" t="s">
        <v>13770</v>
      </c>
    </row>
    <row r="518" spans="1:16" ht="13.15" x14ac:dyDescent="0.4">
      <c r="A518" s="2" t="s">
        <v>13574</v>
      </c>
      <c r="B518" s="2" t="s">
        <v>5883</v>
      </c>
      <c r="C518" s="6" t="s">
        <v>5879</v>
      </c>
      <c r="D518" s="6" t="s">
        <v>42</v>
      </c>
      <c r="E518" s="7">
        <v>44927</v>
      </c>
      <c r="F518" s="8" t="s">
        <v>77</v>
      </c>
      <c r="G518" s="2" t="s">
        <v>26</v>
      </c>
      <c r="H518" s="8" t="s">
        <v>28</v>
      </c>
      <c r="I518" s="2" t="s">
        <v>26</v>
      </c>
      <c r="J518" s="7">
        <v>44927</v>
      </c>
      <c r="K518" s="8" t="s">
        <v>77</v>
      </c>
      <c r="L518" s="2" t="s">
        <v>26</v>
      </c>
      <c r="M518" s="8" t="s">
        <v>28</v>
      </c>
      <c r="N518" s="6" t="s">
        <v>2264</v>
      </c>
      <c r="O518" s="6" t="s">
        <v>30</v>
      </c>
      <c r="P518" s="2" t="s">
        <v>13930</v>
      </c>
    </row>
    <row r="519" spans="1:16" ht="13.15" x14ac:dyDescent="0.4">
      <c r="A519" s="2" t="s">
        <v>13289</v>
      </c>
      <c r="B519" s="2" t="s">
        <v>5883</v>
      </c>
      <c r="C519" s="6" t="s">
        <v>5879</v>
      </c>
      <c r="D519" s="6" t="s">
        <v>42</v>
      </c>
      <c r="E519" s="7">
        <v>44927</v>
      </c>
      <c r="F519" s="8" t="s">
        <v>77</v>
      </c>
      <c r="G519" s="2" t="s">
        <v>26</v>
      </c>
      <c r="H519" s="8" t="s">
        <v>28</v>
      </c>
      <c r="I519" s="2" t="s">
        <v>26</v>
      </c>
      <c r="J519" s="7">
        <v>44927</v>
      </c>
      <c r="K519" s="8" t="s">
        <v>77</v>
      </c>
      <c r="L519" s="2" t="s">
        <v>26</v>
      </c>
      <c r="M519" s="8" t="s">
        <v>28</v>
      </c>
      <c r="N519" s="6" t="s">
        <v>2264</v>
      </c>
      <c r="O519" s="6" t="s">
        <v>30</v>
      </c>
      <c r="P519" s="2" t="s">
        <v>13627</v>
      </c>
    </row>
    <row r="520" spans="1:16" ht="13.15" x14ac:dyDescent="0.4">
      <c r="A520" s="2" t="s">
        <v>13559</v>
      </c>
      <c r="B520" s="2" t="s">
        <v>5883</v>
      </c>
      <c r="C520" s="6" t="s">
        <v>5879</v>
      </c>
      <c r="D520" s="6" t="s">
        <v>42</v>
      </c>
      <c r="E520" s="7">
        <v>44927</v>
      </c>
      <c r="F520" s="8" t="s">
        <v>77</v>
      </c>
      <c r="G520" s="2" t="s">
        <v>26</v>
      </c>
      <c r="H520" s="8" t="s">
        <v>28</v>
      </c>
      <c r="I520" s="2" t="s">
        <v>26</v>
      </c>
      <c r="J520" s="7">
        <v>44927</v>
      </c>
      <c r="K520" s="8" t="s">
        <v>77</v>
      </c>
      <c r="L520" s="2" t="s">
        <v>26</v>
      </c>
      <c r="M520" s="8" t="s">
        <v>28</v>
      </c>
      <c r="N520" s="6" t="s">
        <v>2264</v>
      </c>
      <c r="O520" s="6" t="s">
        <v>30</v>
      </c>
      <c r="P520" s="2" t="s">
        <v>13913</v>
      </c>
    </row>
    <row r="521" spans="1:16" ht="13.15" x14ac:dyDescent="0.4">
      <c r="A521" s="2" t="s">
        <v>13369</v>
      </c>
      <c r="B521" s="2" t="s">
        <v>5883</v>
      </c>
      <c r="C521" s="6" t="s">
        <v>5879</v>
      </c>
      <c r="D521" s="6" t="s">
        <v>42</v>
      </c>
      <c r="E521" s="7">
        <v>44927</v>
      </c>
      <c r="F521" s="8" t="s">
        <v>77</v>
      </c>
      <c r="G521" s="2" t="s">
        <v>26</v>
      </c>
      <c r="H521" s="8" t="s">
        <v>28</v>
      </c>
      <c r="I521" s="2" t="s">
        <v>26</v>
      </c>
      <c r="J521" s="7">
        <v>44927</v>
      </c>
      <c r="K521" s="8" t="s">
        <v>77</v>
      </c>
      <c r="L521" s="2" t="s">
        <v>26</v>
      </c>
      <c r="M521" s="8" t="s">
        <v>28</v>
      </c>
      <c r="N521" s="6" t="s">
        <v>2264</v>
      </c>
      <c r="O521" s="6" t="s">
        <v>30</v>
      </c>
      <c r="P521" s="2" t="s">
        <v>13713</v>
      </c>
    </row>
    <row r="522" spans="1:16" ht="13.15" x14ac:dyDescent="0.4">
      <c r="A522" s="2" t="s">
        <v>13358</v>
      </c>
      <c r="B522" s="2" t="s">
        <v>5883</v>
      </c>
      <c r="C522" s="6" t="s">
        <v>5879</v>
      </c>
      <c r="D522" s="6" t="s">
        <v>42</v>
      </c>
      <c r="E522" s="7">
        <v>44927</v>
      </c>
      <c r="F522" s="8" t="s">
        <v>77</v>
      </c>
      <c r="G522" s="2" t="s">
        <v>26</v>
      </c>
      <c r="H522" s="8" t="s">
        <v>28</v>
      </c>
      <c r="I522" s="2" t="s">
        <v>26</v>
      </c>
      <c r="J522" s="7">
        <v>44927</v>
      </c>
      <c r="K522" s="8" t="s">
        <v>77</v>
      </c>
      <c r="L522" s="2" t="s">
        <v>26</v>
      </c>
      <c r="M522" s="8" t="s">
        <v>28</v>
      </c>
      <c r="N522" s="6" t="s">
        <v>2264</v>
      </c>
      <c r="O522" s="6" t="s">
        <v>30</v>
      </c>
      <c r="P522" s="2" t="s">
        <v>13702</v>
      </c>
    </row>
    <row r="523" spans="1:16" ht="13.15" x14ac:dyDescent="0.4">
      <c r="A523" s="2" t="s">
        <v>13334</v>
      </c>
      <c r="B523" s="2" t="s">
        <v>5883</v>
      </c>
      <c r="C523" s="6" t="s">
        <v>5879</v>
      </c>
      <c r="D523" s="6" t="s">
        <v>42</v>
      </c>
      <c r="E523" s="7">
        <v>44927</v>
      </c>
      <c r="F523" s="8" t="s">
        <v>77</v>
      </c>
      <c r="G523" s="2" t="s">
        <v>26</v>
      </c>
      <c r="H523" s="8" t="s">
        <v>28</v>
      </c>
      <c r="I523" s="2" t="s">
        <v>26</v>
      </c>
      <c r="J523" s="7">
        <v>44927</v>
      </c>
      <c r="K523" s="8" t="s">
        <v>77</v>
      </c>
      <c r="L523" s="2" t="s">
        <v>26</v>
      </c>
      <c r="M523" s="8" t="s">
        <v>28</v>
      </c>
      <c r="N523" s="6" t="s">
        <v>2264</v>
      </c>
      <c r="O523" s="6" t="s">
        <v>30</v>
      </c>
      <c r="P523" s="2" t="s">
        <v>13675</v>
      </c>
    </row>
    <row r="524" spans="1:16" ht="13.15" x14ac:dyDescent="0.4">
      <c r="A524" s="2" t="s">
        <v>13581</v>
      </c>
      <c r="B524" s="2" t="s">
        <v>5883</v>
      </c>
      <c r="C524" s="6" t="s">
        <v>5879</v>
      </c>
      <c r="D524" s="6" t="s">
        <v>42</v>
      </c>
      <c r="E524" s="7">
        <v>44927</v>
      </c>
      <c r="F524" s="8" t="s">
        <v>77</v>
      </c>
      <c r="G524" s="2" t="s">
        <v>26</v>
      </c>
      <c r="H524" s="8" t="s">
        <v>28</v>
      </c>
      <c r="I524" s="2" t="s">
        <v>26</v>
      </c>
      <c r="J524" s="7">
        <v>44927</v>
      </c>
      <c r="K524" s="8" t="s">
        <v>77</v>
      </c>
      <c r="L524" s="2" t="s">
        <v>26</v>
      </c>
      <c r="M524" s="8" t="s">
        <v>28</v>
      </c>
      <c r="N524" s="6" t="s">
        <v>2264</v>
      </c>
      <c r="O524" s="6" t="s">
        <v>30</v>
      </c>
      <c r="P524" s="2" t="s">
        <v>13937</v>
      </c>
    </row>
    <row r="525" spans="1:16" ht="13.15" x14ac:dyDescent="0.4">
      <c r="A525" s="2" t="s">
        <v>13427</v>
      </c>
      <c r="B525" s="2" t="s">
        <v>5883</v>
      </c>
      <c r="C525" s="6" t="s">
        <v>5879</v>
      </c>
      <c r="D525" s="6" t="s">
        <v>42</v>
      </c>
      <c r="E525" s="7">
        <v>44927</v>
      </c>
      <c r="F525" s="8" t="s">
        <v>77</v>
      </c>
      <c r="G525" s="2" t="s">
        <v>26</v>
      </c>
      <c r="H525" s="8" t="s">
        <v>28</v>
      </c>
      <c r="I525" s="2" t="s">
        <v>26</v>
      </c>
      <c r="J525" s="7">
        <v>44927</v>
      </c>
      <c r="K525" s="8" t="s">
        <v>77</v>
      </c>
      <c r="L525" s="2" t="s">
        <v>26</v>
      </c>
      <c r="M525" s="8" t="s">
        <v>28</v>
      </c>
      <c r="N525" s="6" t="s">
        <v>2264</v>
      </c>
      <c r="O525" s="6" t="s">
        <v>30</v>
      </c>
      <c r="P525" s="2" t="s">
        <v>13775</v>
      </c>
    </row>
    <row r="526" spans="1:16" ht="13.15" x14ac:dyDescent="0.4">
      <c r="A526" s="2" t="s">
        <v>13316</v>
      </c>
      <c r="B526" s="2" t="s">
        <v>5883</v>
      </c>
      <c r="C526" s="6" t="s">
        <v>5879</v>
      </c>
      <c r="D526" s="6" t="s">
        <v>42</v>
      </c>
      <c r="E526" s="7">
        <v>44927</v>
      </c>
      <c r="F526" s="8" t="s">
        <v>77</v>
      </c>
      <c r="G526" s="2" t="s">
        <v>26</v>
      </c>
      <c r="H526" s="8" t="s">
        <v>28</v>
      </c>
      <c r="I526" s="2" t="s">
        <v>26</v>
      </c>
      <c r="J526" s="7">
        <v>44927</v>
      </c>
      <c r="K526" s="8" t="s">
        <v>77</v>
      </c>
      <c r="L526" s="2" t="s">
        <v>26</v>
      </c>
      <c r="M526" s="8" t="s">
        <v>28</v>
      </c>
      <c r="N526" s="6" t="s">
        <v>2264</v>
      </c>
      <c r="O526" s="6" t="s">
        <v>30</v>
      </c>
      <c r="P526" s="2" t="s">
        <v>13655</v>
      </c>
    </row>
    <row r="527" spans="1:16" ht="13.15" x14ac:dyDescent="0.4">
      <c r="A527" s="2" t="s">
        <v>13500</v>
      </c>
      <c r="B527" s="2" t="s">
        <v>5883</v>
      </c>
      <c r="C527" s="6" t="s">
        <v>5879</v>
      </c>
      <c r="D527" s="6" t="s">
        <v>42</v>
      </c>
      <c r="E527" s="7">
        <v>44927</v>
      </c>
      <c r="F527" s="8" t="s">
        <v>77</v>
      </c>
      <c r="G527" s="2" t="s">
        <v>26</v>
      </c>
      <c r="H527" s="8" t="s">
        <v>28</v>
      </c>
      <c r="I527" s="2" t="s">
        <v>26</v>
      </c>
      <c r="J527" s="7">
        <v>44927</v>
      </c>
      <c r="K527" s="8" t="s">
        <v>77</v>
      </c>
      <c r="L527" s="2" t="s">
        <v>26</v>
      </c>
      <c r="M527" s="8" t="s">
        <v>28</v>
      </c>
      <c r="N527" s="6" t="s">
        <v>2264</v>
      </c>
      <c r="O527" s="6" t="s">
        <v>30</v>
      </c>
      <c r="P527" s="2" t="s">
        <v>13850</v>
      </c>
    </row>
    <row r="528" spans="1:16" ht="13.15" x14ac:dyDescent="0.4">
      <c r="A528" s="2" t="s">
        <v>13440</v>
      </c>
      <c r="B528" s="2" t="s">
        <v>5883</v>
      </c>
      <c r="C528" s="6" t="s">
        <v>5879</v>
      </c>
      <c r="D528" s="6" t="s">
        <v>42</v>
      </c>
      <c r="E528" s="7">
        <v>44927</v>
      </c>
      <c r="F528" s="8" t="s">
        <v>77</v>
      </c>
      <c r="G528" s="2" t="s">
        <v>26</v>
      </c>
      <c r="H528" s="8" t="s">
        <v>28</v>
      </c>
      <c r="I528" s="2" t="s">
        <v>26</v>
      </c>
      <c r="J528" s="7">
        <v>44927</v>
      </c>
      <c r="K528" s="8" t="s">
        <v>77</v>
      </c>
      <c r="L528" s="2" t="s">
        <v>26</v>
      </c>
      <c r="M528" s="8" t="s">
        <v>28</v>
      </c>
      <c r="N528" s="6" t="s">
        <v>2264</v>
      </c>
      <c r="O528" s="6" t="s">
        <v>30</v>
      </c>
      <c r="P528" s="2" t="s">
        <v>13789</v>
      </c>
    </row>
    <row r="529" spans="1:16" ht="13.15" x14ac:dyDescent="0.4">
      <c r="A529" s="2" t="s">
        <v>13611</v>
      </c>
      <c r="B529" s="2" t="s">
        <v>5883</v>
      </c>
      <c r="C529" s="6" t="s">
        <v>5879</v>
      </c>
      <c r="D529" s="6" t="s">
        <v>42</v>
      </c>
      <c r="E529" s="7">
        <v>44927</v>
      </c>
      <c r="F529" s="8" t="s">
        <v>77</v>
      </c>
      <c r="G529" s="2" t="s">
        <v>26</v>
      </c>
      <c r="H529" s="8" t="s">
        <v>28</v>
      </c>
      <c r="I529" s="2" t="s">
        <v>26</v>
      </c>
      <c r="J529" s="7">
        <v>44927</v>
      </c>
      <c r="K529" s="8" t="s">
        <v>77</v>
      </c>
      <c r="L529" s="2" t="s">
        <v>26</v>
      </c>
      <c r="M529" s="8" t="s">
        <v>28</v>
      </c>
      <c r="N529" s="6" t="s">
        <v>2264</v>
      </c>
      <c r="O529" s="6" t="s">
        <v>30</v>
      </c>
      <c r="P529" s="2" t="s">
        <v>13969</v>
      </c>
    </row>
    <row r="530" spans="1:16" ht="13.15" x14ac:dyDescent="0.4">
      <c r="A530" s="2" t="s">
        <v>13282</v>
      </c>
      <c r="B530" s="2" t="s">
        <v>5883</v>
      </c>
      <c r="C530" s="6" t="s">
        <v>5879</v>
      </c>
      <c r="D530" s="6" t="s">
        <v>42</v>
      </c>
      <c r="E530" s="7">
        <v>44927</v>
      </c>
      <c r="F530" s="8" t="s">
        <v>77</v>
      </c>
      <c r="G530" s="2" t="s">
        <v>26</v>
      </c>
      <c r="H530" s="8" t="s">
        <v>28</v>
      </c>
      <c r="I530" s="2" t="s">
        <v>26</v>
      </c>
      <c r="J530" s="7">
        <v>44927</v>
      </c>
      <c r="K530" s="8" t="s">
        <v>77</v>
      </c>
      <c r="L530" s="2" t="s">
        <v>26</v>
      </c>
      <c r="M530" s="8" t="s">
        <v>28</v>
      </c>
      <c r="N530" s="6" t="s">
        <v>2264</v>
      </c>
      <c r="O530" s="6" t="s">
        <v>30</v>
      </c>
      <c r="P530" s="2" t="s">
        <v>13619</v>
      </c>
    </row>
    <row r="531" spans="1:16" ht="13.15" x14ac:dyDescent="0.4">
      <c r="A531" s="2" t="s">
        <v>13430</v>
      </c>
      <c r="B531" s="2" t="s">
        <v>5883</v>
      </c>
      <c r="C531" s="6" t="s">
        <v>5879</v>
      </c>
      <c r="D531" s="6" t="s">
        <v>42</v>
      </c>
      <c r="E531" s="7">
        <v>44927</v>
      </c>
      <c r="F531" s="8" t="s">
        <v>77</v>
      </c>
      <c r="G531" s="2" t="s">
        <v>26</v>
      </c>
      <c r="H531" s="8" t="s">
        <v>28</v>
      </c>
      <c r="I531" s="2" t="s">
        <v>26</v>
      </c>
      <c r="J531" s="7">
        <v>44927</v>
      </c>
      <c r="K531" s="8" t="s">
        <v>77</v>
      </c>
      <c r="L531" s="2" t="s">
        <v>26</v>
      </c>
      <c r="M531" s="8" t="s">
        <v>28</v>
      </c>
      <c r="N531" s="6" t="s">
        <v>2264</v>
      </c>
      <c r="O531" s="6" t="s">
        <v>30</v>
      </c>
      <c r="P531" s="2" t="s">
        <v>13779</v>
      </c>
    </row>
    <row r="532" spans="1:16" ht="13.15" x14ac:dyDescent="0.4">
      <c r="A532" s="2" t="s">
        <v>13308</v>
      </c>
      <c r="B532" s="2" t="s">
        <v>5883</v>
      </c>
      <c r="C532" s="6" t="s">
        <v>5879</v>
      </c>
      <c r="D532" s="6" t="s">
        <v>42</v>
      </c>
      <c r="E532" s="7">
        <v>44927</v>
      </c>
      <c r="F532" s="8" t="s">
        <v>77</v>
      </c>
      <c r="G532" s="2" t="s">
        <v>26</v>
      </c>
      <c r="H532" s="8" t="s">
        <v>28</v>
      </c>
      <c r="I532" s="2" t="s">
        <v>26</v>
      </c>
      <c r="J532" s="7">
        <v>44927</v>
      </c>
      <c r="K532" s="8" t="s">
        <v>77</v>
      </c>
      <c r="L532" s="2" t="s">
        <v>26</v>
      </c>
      <c r="M532" s="8" t="s">
        <v>28</v>
      </c>
      <c r="N532" s="6" t="s">
        <v>2264</v>
      </c>
      <c r="O532" s="6" t="s">
        <v>30</v>
      </c>
      <c r="P532" s="2" t="s">
        <v>13647</v>
      </c>
    </row>
    <row r="533" spans="1:16" ht="13.15" x14ac:dyDescent="0.4">
      <c r="A533" s="2" t="s">
        <v>13404</v>
      </c>
      <c r="B533" s="2" t="s">
        <v>5883</v>
      </c>
      <c r="C533" s="6" t="s">
        <v>5879</v>
      </c>
      <c r="D533" s="6" t="s">
        <v>42</v>
      </c>
      <c r="E533" s="7">
        <v>44927</v>
      </c>
      <c r="F533" s="8" t="s">
        <v>77</v>
      </c>
      <c r="G533" s="2" t="s">
        <v>26</v>
      </c>
      <c r="H533" s="8" t="s">
        <v>28</v>
      </c>
      <c r="I533" s="2" t="s">
        <v>26</v>
      </c>
      <c r="J533" s="7">
        <v>44927</v>
      </c>
      <c r="K533" s="8" t="s">
        <v>77</v>
      </c>
      <c r="L533" s="2" t="s">
        <v>26</v>
      </c>
      <c r="M533" s="8" t="s">
        <v>28</v>
      </c>
      <c r="N533" s="6" t="s">
        <v>2264</v>
      </c>
      <c r="O533" s="6" t="s">
        <v>30</v>
      </c>
      <c r="P533" s="2" t="s">
        <v>13750</v>
      </c>
    </row>
    <row r="534" spans="1:16" ht="13.15" x14ac:dyDescent="0.4">
      <c r="A534" s="2" t="s">
        <v>13290</v>
      </c>
      <c r="B534" s="2" t="s">
        <v>5883</v>
      </c>
      <c r="C534" s="6" t="s">
        <v>5879</v>
      </c>
      <c r="D534" s="6" t="s">
        <v>42</v>
      </c>
      <c r="E534" s="7">
        <v>44927</v>
      </c>
      <c r="F534" s="8" t="s">
        <v>77</v>
      </c>
      <c r="G534" s="2" t="s">
        <v>26</v>
      </c>
      <c r="H534" s="8" t="s">
        <v>28</v>
      </c>
      <c r="I534" s="2" t="s">
        <v>26</v>
      </c>
      <c r="J534" s="7">
        <v>44927</v>
      </c>
      <c r="K534" s="8" t="s">
        <v>77</v>
      </c>
      <c r="L534" s="2" t="s">
        <v>26</v>
      </c>
      <c r="M534" s="8" t="s">
        <v>28</v>
      </c>
      <c r="N534" s="6" t="s">
        <v>2264</v>
      </c>
      <c r="O534" s="6" t="s">
        <v>30</v>
      </c>
      <c r="P534" s="2" t="s">
        <v>13628</v>
      </c>
    </row>
    <row r="535" spans="1:16" ht="13.15" x14ac:dyDescent="0.4">
      <c r="A535" s="2" t="s">
        <v>13332</v>
      </c>
      <c r="B535" s="2" t="s">
        <v>5883</v>
      </c>
      <c r="C535" s="6" t="s">
        <v>5879</v>
      </c>
      <c r="D535" s="6" t="s">
        <v>42</v>
      </c>
      <c r="E535" s="7">
        <v>44927</v>
      </c>
      <c r="F535" s="8" t="s">
        <v>77</v>
      </c>
      <c r="G535" s="2" t="s">
        <v>26</v>
      </c>
      <c r="H535" s="8" t="s">
        <v>28</v>
      </c>
      <c r="I535" s="2" t="s">
        <v>26</v>
      </c>
      <c r="J535" s="7">
        <v>44927</v>
      </c>
      <c r="K535" s="8" t="s">
        <v>77</v>
      </c>
      <c r="L535" s="2" t="s">
        <v>26</v>
      </c>
      <c r="M535" s="8" t="s">
        <v>28</v>
      </c>
      <c r="N535" s="6" t="s">
        <v>2264</v>
      </c>
      <c r="O535" s="6" t="s">
        <v>30</v>
      </c>
      <c r="P535" s="2" t="s">
        <v>13672</v>
      </c>
    </row>
    <row r="536" spans="1:16" ht="13.15" x14ac:dyDescent="0.4">
      <c r="A536" s="2" t="s">
        <v>13416</v>
      </c>
      <c r="B536" s="2" t="s">
        <v>5883</v>
      </c>
      <c r="C536" s="6" t="s">
        <v>5879</v>
      </c>
      <c r="D536" s="6" t="s">
        <v>42</v>
      </c>
      <c r="E536" s="7">
        <v>44927</v>
      </c>
      <c r="F536" s="8" t="s">
        <v>77</v>
      </c>
      <c r="G536" s="2" t="s">
        <v>26</v>
      </c>
      <c r="H536" s="8" t="s">
        <v>28</v>
      </c>
      <c r="I536" s="2" t="s">
        <v>26</v>
      </c>
      <c r="J536" s="7">
        <v>44927</v>
      </c>
      <c r="K536" s="8" t="s">
        <v>77</v>
      </c>
      <c r="L536" s="2" t="s">
        <v>26</v>
      </c>
      <c r="M536" s="8" t="s">
        <v>28</v>
      </c>
      <c r="N536" s="6" t="s">
        <v>2264</v>
      </c>
      <c r="O536" s="6" t="s">
        <v>30</v>
      </c>
      <c r="P536" s="2" t="s">
        <v>13764</v>
      </c>
    </row>
    <row r="537" spans="1:16" ht="13.15" x14ac:dyDescent="0.4">
      <c r="A537" s="2" t="s">
        <v>13514</v>
      </c>
      <c r="B537" s="2" t="s">
        <v>5883</v>
      </c>
      <c r="C537" s="6" t="s">
        <v>5879</v>
      </c>
      <c r="D537" s="6" t="s">
        <v>42</v>
      </c>
      <c r="E537" s="7">
        <v>44927</v>
      </c>
      <c r="F537" s="8" t="s">
        <v>77</v>
      </c>
      <c r="G537" s="2" t="s">
        <v>26</v>
      </c>
      <c r="H537" s="8" t="s">
        <v>28</v>
      </c>
      <c r="I537" s="2" t="s">
        <v>26</v>
      </c>
      <c r="J537" s="7">
        <v>44927</v>
      </c>
      <c r="K537" s="8" t="s">
        <v>77</v>
      </c>
      <c r="L537" s="2" t="s">
        <v>26</v>
      </c>
      <c r="M537" s="8" t="s">
        <v>28</v>
      </c>
      <c r="N537" s="6" t="s">
        <v>2264</v>
      </c>
      <c r="O537" s="6" t="s">
        <v>30</v>
      </c>
      <c r="P537" s="2" t="s">
        <v>13865</v>
      </c>
    </row>
    <row r="538" spans="1:16" ht="13.15" x14ac:dyDescent="0.4">
      <c r="A538" s="2" t="s">
        <v>13521</v>
      </c>
      <c r="B538" s="2" t="s">
        <v>5883</v>
      </c>
      <c r="C538" s="6" t="s">
        <v>5879</v>
      </c>
      <c r="D538" s="6" t="s">
        <v>42</v>
      </c>
      <c r="E538" s="7">
        <v>44927</v>
      </c>
      <c r="F538" s="8" t="s">
        <v>77</v>
      </c>
      <c r="G538" s="2" t="s">
        <v>26</v>
      </c>
      <c r="H538" s="8" t="s">
        <v>28</v>
      </c>
      <c r="I538" s="2" t="s">
        <v>26</v>
      </c>
      <c r="J538" s="7">
        <v>44927</v>
      </c>
      <c r="K538" s="8" t="s">
        <v>77</v>
      </c>
      <c r="L538" s="2" t="s">
        <v>26</v>
      </c>
      <c r="M538" s="8" t="s">
        <v>28</v>
      </c>
      <c r="N538" s="6" t="s">
        <v>2264</v>
      </c>
      <c r="O538" s="6" t="s">
        <v>30</v>
      </c>
      <c r="P538" s="2" t="s">
        <v>13872</v>
      </c>
    </row>
    <row r="539" spans="1:16" ht="13.15" x14ac:dyDescent="0.4">
      <c r="A539" s="2" t="s">
        <v>9183</v>
      </c>
      <c r="B539" s="2" t="s">
        <v>5883</v>
      </c>
      <c r="C539" s="6" t="s">
        <v>5879</v>
      </c>
      <c r="D539" s="6" t="s">
        <v>42</v>
      </c>
      <c r="E539" s="7">
        <v>44927</v>
      </c>
      <c r="F539" s="8" t="s">
        <v>77</v>
      </c>
      <c r="G539" s="2" t="s">
        <v>26</v>
      </c>
      <c r="H539" s="8" t="s">
        <v>28</v>
      </c>
      <c r="I539" s="2" t="s">
        <v>26</v>
      </c>
      <c r="J539" s="7">
        <v>44927</v>
      </c>
      <c r="K539" s="8" t="s">
        <v>77</v>
      </c>
      <c r="L539" s="2" t="s">
        <v>26</v>
      </c>
      <c r="M539" s="8" t="s">
        <v>28</v>
      </c>
      <c r="N539" s="6" t="s">
        <v>2264</v>
      </c>
      <c r="O539" s="6" t="s">
        <v>30</v>
      </c>
      <c r="P539" s="2" t="s">
        <v>13688</v>
      </c>
    </row>
    <row r="540" spans="1:16" ht="13.15" x14ac:dyDescent="0.4">
      <c r="A540" s="2" t="s">
        <v>13383</v>
      </c>
      <c r="B540" s="2" t="s">
        <v>5883</v>
      </c>
      <c r="C540" s="6" t="s">
        <v>5879</v>
      </c>
      <c r="D540" s="6" t="s">
        <v>42</v>
      </c>
      <c r="E540" s="7">
        <v>44927</v>
      </c>
      <c r="F540" s="8" t="s">
        <v>77</v>
      </c>
      <c r="G540" s="2" t="s">
        <v>26</v>
      </c>
      <c r="H540" s="8" t="s">
        <v>28</v>
      </c>
      <c r="I540" s="2" t="s">
        <v>26</v>
      </c>
      <c r="J540" s="7">
        <v>44927</v>
      </c>
      <c r="K540" s="8" t="s">
        <v>77</v>
      </c>
      <c r="L540" s="2" t="s">
        <v>26</v>
      </c>
      <c r="M540" s="8" t="s">
        <v>28</v>
      </c>
      <c r="N540" s="6" t="s">
        <v>2264</v>
      </c>
      <c r="O540" s="6" t="s">
        <v>30</v>
      </c>
      <c r="P540" s="2" t="s">
        <v>13729</v>
      </c>
    </row>
    <row r="541" spans="1:16" ht="13.15" x14ac:dyDescent="0.4">
      <c r="A541" s="2" t="s">
        <v>9199</v>
      </c>
      <c r="B541" s="2" t="s">
        <v>5883</v>
      </c>
      <c r="C541" s="6" t="s">
        <v>5879</v>
      </c>
      <c r="D541" s="6" t="s">
        <v>42</v>
      </c>
      <c r="E541" s="7">
        <v>44927</v>
      </c>
      <c r="F541" s="8" t="s">
        <v>77</v>
      </c>
      <c r="G541" s="2" t="s">
        <v>26</v>
      </c>
      <c r="H541" s="8" t="s">
        <v>28</v>
      </c>
      <c r="I541" s="2" t="s">
        <v>26</v>
      </c>
      <c r="J541" s="7">
        <v>44927</v>
      </c>
      <c r="K541" s="8" t="s">
        <v>77</v>
      </c>
      <c r="L541" s="2" t="s">
        <v>26</v>
      </c>
      <c r="M541" s="8" t="s">
        <v>28</v>
      </c>
      <c r="N541" s="6" t="s">
        <v>2264</v>
      </c>
      <c r="O541" s="6" t="s">
        <v>30</v>
      </c>
      <c r="P541" s="2" t="s">
        <v>13633</v>
      </c>
    </row>
    <row r="542" spans="1:16" ht="13.15" x14ac:dyDescent="0.4">
      <c r="A542" s="2" t="s">
        <v>13480</v>
      </c>
      <c r="B542" s="2" t="s">
        <v>5883</v>
      </c>
      <c r="C542" s="6" t="s">
        <v>5879</v>
      </c>
      <c r="D542" s="6" t="s">
        <v>42</v>
      </c>
      <c r="E542" s="7">
        <v>44927</v>
      </c>
      <c r="F542" s="8" t="s">
        <v>77</v>
      </c>
      <c r="G542" s="2" t="s">
        <v>26</v>
      </c>
      <c r="H542" s="8" t="s">
        <v>28</v>
      </c>
      <c r="I542" s="2" t="s">
        <v>26</v>
      </c>
      <c r="J542" s="7">
        <v>44927</v>
      </c>
      <c r="K542" s="8" t="s">
        <v>77</v>
      </c>
      <c r="L542" s="2" t="s">
        <v>26</v>
      </c>
      <c r="M542" s="8" t="s">
        <v>28</v>
      </c>
      <c r="N542" s="6" t="s">
        <v>2264</v>
      </c>
      <c r="O542" s="6" t="s">
        <v>30</v>
      </c>
      <c r="P542" s="2" t="s">
        <v>13830</v>
      </c>
    </row>
    <row r="543" spans="1:16" ht="13.15" x14ac:dyDescent="0.4">
      <c r="A543" s="2" t="s">
        <v>13456</v>
      </c>
      <c r="B543" s="2" t="s">
        <v>5883</v>
      </c>
      <c r="C543" s="6" t="s">
        <v>5879</v>
      </c>
      <c r="D543" s="6" t="s">
        <v>42</v>
      </c>
      <c r="E543" s="7">
        <v>44927</v>
      </c>
      <c r="F543" s="8" t="s">
        <v>77</v>
      </c>
      <c r="G543" s="2" t="s">
        <v>26</v>
      </c>
      <c r="H543" s="8" t="s">
        <v>28</v>
      </c>
      <c r="I543" s="2" t="s">
        <v>26</v>
      </c>
      <c r="J543" s="7">
        <v>44927</v>
      </c>
      <c r="K543" s="8" t="s">
        <v>77</v>
      </c>
      <c r="L543" s="2" t="s">
        <v>26</v>
      </c>
      <c r="M543" s="8" t="s">
        <v>28</v>
      </c>
      <c r="N543" s="6" t="s">
        <v>2264</v>
      </c>
      <c r="O543" s="6" t="s">
        <v>30</v>
      </c>
      <c r="P543" s="2" t="s">
        <v>13806</v>
      </c>
    </row>
    <row r="544" spans="1:16" ht="13.15" x14ac:dyDescent="0.4">
      <c r="A544" s="2" t="s">
        <v>13499</v>
      </c>
      <c r="B544" s="2" t="s">
        <v>5883</v>
      </c>
      <c r="C544" s="6" t="s">
        <v>5879</v>
      </c>
      <c r="D544" s="6" t="s">
        <v>42</v>
      </c>
      <c r="E544" s="7">
        <v>44927</v>
      </c>
      <c r="F544" s="8" t="s">
        <v>77</v>
      </c>
      <c r="G544" s="2" t="s">
        <v>26</v>
      </c>
      <c r="H544" s="8" t="s">
        <v>28</v>
      </c>
      <c r="I544" s="2" t="s">
        <v>26</v>
      </c>
      <c r="J544" s="7">
        <v>44927</v>
      </c>
      <c r="K544" s="8" t="s">
        <v>77</v>
      </c>
      <c r="L544" s="2" t="s">
        <v>26</v>
      </c>
      <c r="M544" s="8" t="s">
        <v>28</v>
      </c>
      <c r="N544" s="6" t="s">
        <v>2264</v>
      </c>
      <c r="O544" s="6" t="s">
        <v>30</v>
      </c>
      <c r="P544" s="2" t="s">
        <v>13849</v>
      </c>
    </row>
    <row r="545" spans="1:16" ht="13.15" x14ac:dyDescent="0.4">
      <c r="A545" s="2" t="s">
        <v>13420</v>
      </c>
      <c r="B545" s="2" t="s">
        <v>5883</v>
      </c>
      <c r="C545" s="6" t="s">
        <v>5879</v>
      </c>
      <c r="D545" s="6" t="s">
        <v>42</v>
      </c>
      <c r="E545" s="7">
        <v>44927</v>
      </c>
      <c r="F545" s="8" t="s">
        <v>77</v>
      </c>
      <c r="G545" s="2" t="s">
        <v>26</v>
      </c>
      <c r="H545" s="8" t="s">
        <v>28</v>
      </c>
      <c r="I545" s="2" t="s">
        <v>26</v>
      </c>
      <c r="J545" s="7">
        <v>44927</v>
      </c>
      <c r="K545" s="8" t="s">
        <v>77</v>
      </c>
      <c r="L545" s="2" t="s">
        <v>26</v>
      </c>
      <c r="M545" s="8" t="s">
        <v>28</v>
      </c>
      <c r="N545" s="6" t="s">
        <v>2264</v>
      </c>
      <c r="O545" s="6" t="s">
        <v>30</v>
      </c>
      <c r="P545" s="2" t="s">
        <v>13768</v>
      </c>
    </row>
    <row r="546" spans="1:16" ht="13.15" x14ac:dyDescent="0.4">
      <c r="A546" s="2" t="s">
        <v>13342</v>
      </c>
      <c r="B546" s="2" t="s">
        <v>5883</v>
      </c>
      <c r="C546" s="6" t="s">
        <v>5879</v>
      </c>
      <c r="D546" s="6" t="s">
        <v>42</v>
      </c>
      <c r="E546" s="7">
        <v>44927</v>
      </c>
      <c r="F546" s="8" t="s">
        <v>77</v>
      </c>
      <c r="G546" s="2" t="s">
        <v>26</v>
      </c>
      <c r="H546" s="8" t="s">
        <v>28</v>
      </c>
      <c r="I546" s="2" t="s">
        <v>26</v>
      </c>
      <c r="J546" s="7">
        <v>44927</v>
      </c>
      <c r="K546" s="8" t="s">
        <v>77</v>
      </c>
      <c r="L546" s="2" t="s">
        <v>26</v>
      </c>
      <c r="M546" s="8" t="s">
        <v>28</v>
      </c>
      <c r="N546" s="6" t="s">
        <v>2264</v>
      </c>
      <c r="O546" s="6" t="s">
        <v>30</v>
      </c>
      <c r="P546" s="2" t="s">
        <v>13683</v>
      </c>
    </row>
    <row r="547" spans="1:16" ht="13.15" x14ac:dyDescent="0.4">
      <c r="A547" s="2" t="s">
        <v>13504</v>
      </c>
      <c r="B547" s="2" t="s">
        <v>5883</v>
      </c>
      <c r="C547" s="6" t="s">
        <v>5879</v>
      </c>
      <c r="D547" s="6" t="s">
        <v>42</v>
      </c>
      <c r="E547" s="7">
        <v>44927</v>
      </c>
      <c r="F547" s="8" t="s">
        <v>77</v>
      </c>
      <c r="G547" s="2" t="s">
        <v>26</v>
      </c>
      <c r="H547" s="8" t="s">
        <v>28</v>
      </c>
      <c r="I547" s="2" t="s">
        <v>26</v>
      </c>
      <c r="J547" s="7">
        <v>44927</v>
      </c>
      <c r="K547" s="8" t="s">
        <v>77</v>
      </c>
      <c r="L547" s="2" t="s">
        <v>26</v>
      </c>
      <c r="M547" s="8" t="s">
        <v>28</v>
      </c>
      <c r="N547" s="6" t="s">
        <v>2264</v>
      </c>
      <c r="O547" s="6" t="s">
        <v>30</v>
      </c>
      <c r="P547" s="2" t="s">
        <v>13854</v>
      </c>
    </row>
    <row r="548" spans="1:16" ht="13.15" x14ac:dyDescent="0.4">
      <c r="A548" s="2" t="s">
        <v>13496</v>
      </c>
      <c r="B548" s="2" t="s">
        <v>5883</v>
      </c>
      <c r="C548" s="6" t="s">
        <v>5879</v>
      </c>
      <c r="D548" s="6" t="s">
        <v>42</v>
      </c>
      <c r="E548" s="7">
        <v>44927</v>
      </c>
      <c r="F548" s="8" t="s">
        <v>77</v>
      </c>
      <c r="G548" s="2" t="s">
        <v>26</v>
      </c>
      <c r="H548" s="8" t="s">
        <v>28</v>
      </c>
      <c r="I548" s="2" t="s">
        <v>26</v>
      </c>
      <c r="J548" s="7">
        <v>44927</v>
      </c>
      <c r="K548" s="8" t="s">
        <v>77</v>
      </c>
      <c r="L548" s="2" t="s">
        <v>26</v>
      </c>
      <c r="M548" s="8" t="s">
        <v>28</v>
      </c>
      <c r="N548" s="6" t="s">
        <v>2264</v>
      </c>
      <c r="O548" s="6" t="s">
        <v>30</v>
      </c>
      <c r="P548" s="2" t="s">
        <v>13846</v>
      </c>
    </row>
    <row r="549" spans="1:16" ht="13.15" x14ac:dyDescent="0.4">
      <c r="A549" s="2" t="s">
        <v>13474</v>
      </c>
      <c r="B549" s="2" t="s">
        <v>5883</v>
      </c>
      <c r="C549" s="6" t="s">
        <v>5879</v>
      </c>
      <c r="D549" s="6" t="s">
        <v>42</v>
      </c>
      <c r="E549" s="7">
        <v>44927</v>
      </c>
      <c r="F549" s="8" t="s">
        <v>77</v>
      </c>
      <c r="G549" s="2" t="s">
        <v>26</v>
      </c>
      <c r="H549" s="8" t="s">
        <v>28</v>
      </c>
      <c r="I549" s="2" t="s">
        <v>26</v>
      </c>
      <c r="J549" s="7">
        <v>44927</v>
      </c>
      <c r="K549" s="8" t="s">
        <v>77</v>
      </c>
      <c r="L549" s="2" t="s">
        <v>26</v>
      </c>
      <c r="M549" s="8" t="s">
        <v>28</v>
      </c>
      <c r="N549" s="6" t="s">
        <v>2264</v>
      </c>
      <c r="O549" s="6" t="s">
        <v>30</v>
      </c>
      <c r="P549" s="2" t="s">
        <v>13824</v>
      </c>
    </row>
    <row r="550" spans="1:16" ht="13.15" x14ac:dyDescent="0.4">
      <c r="A550" s="2" t="s">
        <v>13403</v>
      </c>
      <c r="B550" s="2" t="s">
        <v>5883</v>
      </c>
      <c r="C550" s="6" t="s">
        <v>5879</v>
      </c>
      <c r="D550" s="6" t="s">
        <v>42</v>
      </c>
      <c r="E550" s="7">
        <v>44927</v>
      </c>
      <c r="F550" s="8" t="s">
        <v>77</v>
      </c>
      <c r="G550" s="2" t="s">
        <v>26</v>
      </c>
      <c r="H550" s="8" t="s">
        <v>28</v>
      </c>
      <c r="I550" s="2" t="s">
        <v>26</v>
      </c>
      <c r="J550" s="7">
        <v>44927</v>
      </c>
      <c r="K550" s="8" t="s">
        <v>77</v>
      </c>
      <c r="L550" s="2" t="s">
        <v>26</v>
      </c>
      <c r="M550" s="8" t="s">
        <v>28</v>
      </c>
      <c r="N550" s="6" t="s">
        <v>2264</v>
      </c>
      <c r="O550" s="6" t="s">
        <v>30</v>
      </c>
      <c r="P550" s="2" t="s">
        <v>13749</v>
      </c>
    </row>
    <row r="551" spans="1:16" ht="13.15" x14ac:dyDescent="0.4">
      <c r="A551" s="2" t="s">
        <v>13488</v>
      </c>
      <c r="B551" s="2" t="s">
        <v>5883</v>
      </c>
      <c r="C551" s="6" t="s">
        <v>5879</v>
      </c>
      <c r="D551" s="6" t="s">
        <v>42</v>
      </c>
      <c r="E551" s="7">
        <v>44927</v>
      </c>
      <c r="F551" s="8" t="s">
        <v>77</v>
      </c>
      <c r="G551" s="2" t="s">
        <v>26</v>
      </c>
      <c r="H551" s="8" t="s">
        <v>28</v>
      </c>
      <c r="I551" s="2" t="s">
        <v>26</v>
      </c>
      <c r="J551" s="7">
        <v>44927</v>
      </c>
      <c r="K551" s="8" t="s">
        <v>77</v>
      </c>
      <c r="L551" s="2" t="s">
        <v>26</v>
      </c>
      <c r="M551" s="8" t="s">
        <v>28</v>
      </c>
      <c r="N551" s="6" t="s">
        <v>2264</v>
      </c>
      <c r="O551" s="6" t="s">
        <v>30</v>
      </c>
      <c r="P551" s="2" t="s">
        <v>13838</v>
      </c>
    </row>
    <row r="552" spans="1:16" ht="13.15" x14ac:dyDescent="0.4">
      <c r="A552" s="2" t="s">
        <v>13338</v>
      </c>
      <c r="B552" s="2" t="s">
        <v>5883</v>
      </c>
      <c r="C552" s="6" t="s">
        <v>5879</v>
      </c>
      <c r="D552" s="6" t="s">
        <v>42</v>
      </c>
      <c r="E552" s="7">
        <v>44927</v>
      </c>
      <c r="F552" s="8" t="s">
        <v>77</v>
      </c>
      <c r="G552" s="2" t="s">
        <v>26</v>
      </c>
      <c r="H552" s="8" t="s">
        <v>28</v>
      </c>
      <c r="I552" s="2" t="s">
        <v>26</v>
      </c>
      <c r="J552" s="7">
        <v>44927</v>
      </c>
      <c r="K552" s="8" t="s">
        <v>77</v>
      </c>
      <c r="L552" s="2" t="s">
        <v>26</v>
      </c>
      <c r="M552" s="8" t="s">
        <v>28</v>
      </c>
      <c r="N552" s="6" t="s">
        <v>2264</v>
      </c>
      <c r="O552" s="6" t="s">
        <v>30</v>
      </c>
      <c r="P552" s="2" t="s">
        <v>13679</v>
      </c>
    </row>
    <row r="553" spans="1:16" ht="13.15" x14ac:dyDescent="0.4">
      <c r="A553" s="2" t="s">
        <v>13419</v>
      </c>
      <c r="B553" s="2" t="s">
        <v>5883</v>
      </c>
      <c r="C553" s="6" t="s">
        <v>5879</v>
      </c>
      <c r="D553" s="6" t="s">
        <v>42</v>
      </c>
      <c r="E553" s="7">
        <v>44927</v>
      </c>
      <c r="F553" s="8" t="s">
        <v>77</v>
      </c>
      <c r="G553" s="2" t="s">
        <v>26</v>
      </c>
      <c r="H553" s="8" t="s">
        <v>28</v>
      </c>
      <c r="I553" s="2" t="s">
        <v>26</v>
      </c>
      <c r="J553" s="7">
        <v>44927</v>
      </c>
      <c r="K553" s="8" t="s">
        <v>77</v>
      </c>
      <c r="L553" s="2" t="s">
        <v>26</v>
      </c>
      <c r="M553" s="8" t="s">
        <v>28</v>
      </c>
      <c r="N553" s="6" t="s">
        <v>2264</v>
      </c>
      <c r="O553" s="6" t="s">
        <v>30</v>
      </c>
      <c r="P553" s="2" t="s">
        <v>13767</v>
      </c>
    </row>
    <row r="554" spans="1:16" ht="13.15" x14ac:dyDescent="0.4">
      <c r="A554" s="2" t="s">
        <v>13525</v>
      </c>
      <c r="B554" s="2" t="s">
        <v>5883</v>
      </c>
      <c r="C554" s="6" t="s">
        <v>5879</v>
      </c>
      <c r="D554" s="6" t="s">
        <v>42</v>
      </c>
      <c r="E554" s="7">
        <v>44927</v>
      </c>
      <c r="F554" s="8" t="s">
        <v>77</v>
      </c>
      <c r="G554" s="2" t="s">
        <v>26</v>
      </c>
      <c r="H554" s="8" t="s">
        <v>28</v>
      </c>
      <c r="I554" s="2" t="s">
        <v>26</v>
      </c>
      <c r="J554" s="7">
        <v>44927</v>
      </c>
      <c r="K554" s="8" t="s">
        <v>77</v>
      </c>
      <c r="L554" s="2" t="s">
        <v>26</v>
      </c>
      <c r="M554" s="8" t="s">
        <v>28</v>
      </c>
      <c r="N554" s="6" t="s">
        <v>2264</v>
      </c>
      <c r="O554" s="6" t="s">
        <v>30</v>
      </c>
      <c r="P554" s="2" t="s">
        <v>13876</v>
      </c>
    </row>
    <row r="555" spans="1:16" ht="13.15" x14ac:dyDescent="0.4">
      <c r="A555" s="2" t="s">
        <v>13530</v>
      </c>
      <c r="B555" s="2" t="s">
        <v>5883</v>
      </c>
      <c r="C555" s="6" t="s">
        <v>5879</v>
      </c>
      <c r="D555" s="6" t="s">
        <v>42</v>
      </c>
      <c r="E555" s="7">
        <v>44927</v>
      </c>
      <c r="F555" s="8" t="s">
        <v>77</v>
      </c>
      <c r="G555" s="2" t="s">
        <v>26</v>
      </c>
      <c r="H555" s="8" t="s">
        <v>28</v>
      </c>
      <c r="I555" s="2" t="s">
        <v>26</v>
      </c>
      <c r="J555" s="7">
        <v>44927</v>
      </c>
      <c r="K555" s="8" t="s">
        <v>77</v>
      </c>
      <c r="L555" s="2" t="s">
        <v>26</v>
      </c>
      <c r="M555" s="8" t="s">
        <v>28</v>
      </c>
      <c r="N555" s="6" t="s">
        <v>2264</v>
      </c>
      <c r="O555" s="6" t="s">
        <v>30</v>
      </c>
      <c r="P555" s="2" t="s">
        <v>13882</v>
      </c>
    </row>
    <row r="556" spans="1:16" ht="13.15" x14ac:dyDescent="0.4">
      <c r="A556" s="2" t="s">
        <v>13482</v>
      </c>
      <c r="B556" s="2" t="s">
        <v>5883</v>
      </c>
      <c r="C556" s="6" t="s">
        <v>5879</v>
      </c>
      <c r="D556" s="6" t="s">
        <v>42</v>
      </c>
      <c r="E556" s="7">
        <v>44927</v>
      </c>
      <c r="F556" s="8" t="s">
        <v>77</v>
      </c>
      <c r="G556" s="2" t="s">
        <v>26</v>
      </c>
      <c r="H556" s="8" t="s">
        <v>28</v>
      </c>
      <c r="I556" s="2" t="s">
        <v>26</v>
      </c>
      <c r="J556" s="7">
        <v>44927</v>
      </c>
      <c r="K556" s="8" t="s">
        <v>77</v>
      </c>
      <c r="L556" s="2" t="s">
        <v>26</v>
      </c>
      <c r="M556" s="8" t="s">
        <v>28</v>
      </c>
      <c r="N556" s="6" t="s">
        <v>2264</v>
      </c>
      <c r="O556" s="6" t="s">
        <v>30</v>
      </c>
      <c r="P556" s="2" t="s">
        <v>13832</v>
      </c>
    </row>
    <row r="557" spans="1:16" ht="13.15" x14ac:dyDescent="0.4">
      <c r="A557" s="2" t="s">
        <v>13328</v>
      </c>
      <c r="B557" s="2" t="s">
        <v>5883</v>
      </c>
      <c r="C557" s="6" t="s">
        <v>5879</v>
      </c>
      <c r="D557" s="6" t="s">
        <v>42</v>
      </c>
      <c r="E557" s="7">
        <v>44927</v>
      </c>
      <c r="F557" s="8" t="s">
        <v>77</v>
      </c>
      <c r="G557" s="2" t="s">
        <v>26</v>
      </c>
      <c r="H557" s="8" t="s">
        <v>28</v>
      </c>
      <c r="I557" s="2" t="s">
        <v>26</v>
      </c>
      <c r="J557" s="7">
        <v>44927</v>
      </c>
      <c r="K557" s="8" t="s">
        <v>77</v>
      </c>
      <c r="L557" s="2" t="s">
        <v>26</v>
      </c>
      <c r="M557" s="8" t="s">
        <v>28</v>
      </c>
      <c r="N557" s="6" t="s">
        <v>2264</v>
      </c>
      <c r="O557" s="6" t="s">
        <v>30</v>
      </c>
      <c r="P557" s="2" t="s">
        <v>13667</v>
      </c>
    </row>
    <row r="558" spans="1:16" ht="13.15" x14ac:dyDescent="0.4">
      <c r="A558" s="2" t="s">
        <v>13539</v>
      </c>
      <c r="B558" s="2" t="s">
        <v>5883</v>
      </c>
      <c r="C558" s="6" t="s">
        <v>5879</v>
      </c>
      <c r="D558" s="6" t="s">
        <v>42</v>
      </c>
      <c r="E558" s="7">
        <v>44927</v>
      </c>
      <c r="F558" s="8" t="s">
        <v>77</v>
      </c>
      <c r="G558" s="2" t="s">
        <v>26</v>
      </c>
      <c r="H558" s="8" t="s">
        <v>28</v>
      </c>
      <c r="I558" s="2" t="s">
        <v>26</v>
      </c>
      <c r="J558" s="7">
        <v>44927</v>
      </c>
      <c r="K558" s="8" t="s">
        <v>77</v>
      </c>
      <c r="L558" s="2" t="s">
        <v>26</v>
      </c>
      <c r="M558" s="8" t="s">
        <v>28</v>
      </c>
      <c r="N558" s="6" t="s">
        <v>2264</v>
      </c>
      <c r="O558" s="6" t="s">
        <v>30</v>
      </c>
      <c r="P558" s="2" t="s">
        <v>13892</v>
      </c>
    </row>
    <row r="559" spans="1:16" ht="13.15" x14ac:dyDescent="0.4">
      <c r="A559" s="2" t="s">
        <v>13607</v>
      </c>
      <c r="B559" s="2" t="s">
        <v>5883</v>
      </c>
      <c r="C559" s="6" t="s">
        <v>5879</v>
      </c>
      <c r="D559" s="6" t="s">
        <v>42</v>
      </c>
      <c r="E559" s="7">
        <v>44927</v>
      </c>
      <c r="F559" s="8" t="s">
        <v>77</v>
      </c>
      <c r="G559" s="2" t="s">
        <v>26</v>
      </c>
      <c r="H559" s="8" t="s">
        <v>28</v>
      </c>
      <c r="I559" s="2" t="s">
        <v>26</v>
      </c>
      <c r="J559" s="7">
        <v>44927</v>
      </c>
      <c r="K559" s="8" t="s">
        <v>77</v>
      </c>
      <c r="L559" s="2" t="s">
        <v>26</v>
      </c>
      <c r="M559" s="8" t="s">
        <v>28</v>
      </c>
      <c r="N559" s="6" t="s">
        <v>2264</v>
      </c>
      <c r="O559" s="6" t="s">
        <v>30</v>
      </c>
      <c r="P559" s="2" t="s">
        <v>13964</v>
      </c>
    </row>
    <row r="560" spans="1:16" ht="13.15" x14ac:dyDescent="0.4">
      <c r="A560" s="2" t="s">
        <v>13381</v>
      </c>
      <c r="B560" s="2" t="s">
        <v>5883</v>
      </c>
      <c r="C560" s="6" t="s">
        <v>5879</v>
      </c>
      <c r="D560" s="6" t="s">
        <v>42</v>
      </c>
      <c r="E560" s="7">
        <v>44927</v>
      </c>
      <c r="F560" s="8" t="s">
        <v>77</v>
      </c>
      <c r="G560" s="2" t="s">
        <v>26</v>
      </c>
      <c r="H560" s="8" t="s">
        <v>28</v>
      </c>
      <c r="I560" s="2" t="s">
        <v>26</v>
      </c>
      <c r="J560" s="7">
        <v>44927</v>
      </c>
      <c r="K560" s="8" t="s">
        <v>77</v>
      </c>
      <c r="L560" s="2" t="s">
        <v>26</v>
      </c>
      <c r="M560" s="8" t="s">
        <v>28</v>
      </c>
      <c r="N560" s="6" t="s">
        <v>2264</v>
      </c>
      <c r="O560" s="6" t="s">
        <v>30</v>
      </c>
      <c r="P560" s="2" t="s">
        <v>13727</v>
      </c>
    </row>
    <row r="561" spans="1:16" ht="13.15" x14ac:dyDescent="0.4">
      <c r="A561" s="2" t="s">
        <v>13444</v>
      </c>
      <c r="B561" s="2" t="s">
        <v>5883</v>
      </c>
      <c r="C561" s="6" t="s">
        <v>5879</v>
      </c>
      <c r="D561" s="6" t="s">
        <v>42</v>
      </c>
      <c r="E561" s="7">
        <v>44927</v>
      </c>
      <c r="F561" s="8" t="s">
        <v>77</v>
      </c>
      <c r="G561" s="2" t="s">
        <v>26</v>
      </c>
      <c r="H561" s="8" t="s">
        <v>28</v>
      </c>
      <c r="I561" s="2" t="s">
        <v>26</v>
      </c>
      <c r="J561" s="7">
        <v>44927</v>
      </c>
      <c r="K561" s="8" t="s">
        <v>77</v>
      </c>
      <c r="L561" s="2" t="s">
        <v>26</v>
      </c>
      <c r="M561" s="8" t="s">
        <v>28</v>
      </c>
      <c r="N561" s="6" t="s">
        <v>2264</v>
      </c>
      <c r="O561" s="6" t="s">
        <v>30</v>
      </c>
      <c r="P561" s="2" t="s">
        <v>13793</v>
      </c>
    </row>
    <row r="562" spans="1:16" ht="13.15" x14ac:dyDescent="0.4">
      <c r="A562" s="2" t="s">
        <v>13385</v>
      </c>
      <c r="B562" s="2" t="s">
        <v>5883</v>
      </c>
      <c r="C562" s="6" t="s">
        <v>5879</v>
      </c>
      <c r="D562" s="6" t="s">
        <v>42</v>
      </c>
      <c r="E562" s="7">
        <v>44927</v>
      </c>
      <c r="F562" s="8" t="s">
        <v>77</v>
      </c>
      <c r="G562" s="2" t="s">
        <v>26</v>
      </c>
      <c r="H562" s="8" t="s">
        <v>28</v>
      </c>
      <c r="I562" s="2" t="s">
        <v>26</v>
      </c>
      <c r="J562" s="7">
        <v>44927</v>
      </c>
      <c r="K562" s="8" t="s">
        <v>77</v>
      </c>
      <c r="L562" s="2" t="s">
        <v>26</v>
      </c>
      <c r="M562" s="8" t="s">
        <v>28</v>
      </c>
      <c r="N562" s="6" t="s">
        <v>2264</v>
      </c>
      <c r="O562" s="6" t="s">
        <v>30</v>
      </c>
      <c r="P562" s="2" t="s">
        <v>13731</v>
      </c>
    </row>
    <row r="563" spans="1:16" ht="13.15" x14ac:dyDescent="0.4">
      <c r="A563" s="2" t="s">
        <v>13395</v>
      </c>
      <c r="B563" s="2" t="s">
        <v>5883</v>
      </c>
      <c r="C563" s="6" t="s">
        <v>5879</v>
      </c>
      <c r="D563" s="6" t="s">
        <v>42</v>
      </c>
      <c r="E563" s="7">
        <v>44927</v>
      </c>
      <c r="F563" s="8" t="s">
        <v>77</v>
      </c>
      <c r="G563" s="2" t="s">
        <v>26</v>
      </c>
      <c r="H563" s="8" t="s">
        <v>28</v>
      </c>
      <c r="I563" s="2" t="s">
        <v>26</v>
      </c>
      <c r="J563" s="7">
        <v>44927</v>
      </c>
      <c r="K563" s="8" t="s">
        <v>77</v>
      </c>
      <c r="L563" s="2" t="s">
        <v>26</v>
      </c>
      <c r="M563" s="8" t="s">
        <v>28</v>
      </c>
      <c r="N563" s="6" t="s">
        <v>2264</v>
      </c>
      <c r="O563" s="6" t="s">
        <v>30</v>
      </c>
      <c r="P563" s="2" t="s">
        <v>13741</v>
      </c>
    </row>
    <row r="564" spans="1:16" ht="13.15" x14ac:dyDescent="0.4">
      <c r="A564" s="2" t="s">
        <v>13458</v>
      </c>
      <c r="B564" s="2" t="s">
        <v>5883</v>
      </c>
      <c r="C564" s="6" t="s">
        <v>5879</v>
      </c>
      <c r="D564" s="6" t="s">
        <v>42</v>
      </c>
      <c r="E564" s="7">
        <v>44927</v>
      </c>
      <c r="F564" s="8" t="s">
        <v>77</v>
      </c>
      <c r="G564" s="2" t="s">
        <v>26</v>
      </c>
      <c r="H564" s="8" t="s">
        <v>28</v>
      </c>
      <c r="I564" s="2" t="s">
        <v>26</v>
      </c>
      <c r="J564" s="7">
        <v>44927</v>
      </c>
      <c r="K564" s="8" t="s">
        <v>77</v>
      </c>
      <c r="L564" s="2" t="s">
        <v>26</v>
      </c>
      <c r="M564" s="8" t="s">
        <v>28</v>
      </c>
      <c r="N564" s="6" t="s">
        <v>2264</v>
      </c>
      <c r="O564" s="6" t="s">
        <v>30</v>
      </c>
      <c r="P564" s="2" t="s">
        <v>13808</v>
      </c>
    </row>
    <row r="565" spans="1:16" ht="13.15" x14ac:dyDescent="0.4">
      <c r="A565" s="2" t="s">
        <v>13382</v>
      </c>
      <c r="B565" s="2" t="s">
        <v>5883</v>
      </c>
      <c r="C565" s="6" t="s">
        <v>5879</v>
      </c>
      <c r="D565" s="6" t="s">
        <v>42</v>
      </c>
      <c r="E565" s="7">
        <v>44927</v>
      </c>
      <c r="F565" s="8" t="s">
        <v>77</v>
      </c>
      <c r="G565" s="2" t="s">
        <v>26</v>
      </c>
      <c r="H565" s="8" t="s">
        <v>28</v>
      </c>
      <c r="I565" s="2" t="s">
        <v>26</v>
      </c>
      <c r="J565" s="7">
        <v>44927</v>
      </c>
      <c r="K565" s="8" t="s">
        <v>77</v>
      </c>
      <c r="L565" s="2" t="s">
        <v>26</v>
      </c>
      <c r="M565" s="8" t="s">
        <v>28</v>
      </c>
      <c r="N565" s="6" t="s">
        <v>2264</v>
      </c>
      <c r="O565" s="6" t="s">
        <v>30</v>
      </c>
      <c r="P565" s="2" t="s">
        <v>13728</v>
      </c>
    </row>
    <row r="566" spans="1:16" ht="13.15" x14ac:dyDescent="0.4">
      <c r="A566" s="2" t="s">
        <v>13436</v>
      </c>
      <c r="B566" s="2" t="s">
        <v>5883</v>
      </c>
      <c r="C566" s="6" t="s">
        <v>5879</v>
      </c>
      <c r="D566" s="6" t="s">
        <v>42</v>
      </c>
      <c r="E566" s="7">
        <v>44927</v>
      </c>
      <c r="F566" s="8" t="s">
        <v>77</v>
      </c>
      <c r="G566" s="2" t="s">
        <v>26</v>
      </c>
      <c r="H566" s="8" t="s">
        <v>28</v>
      </c>
      <c r="I566" s="2" t="s">
        <v>26</v>
      </c>
      <c r="J566" s="7">
        <v>44927</v>
      </c>
      <c r="K566" s="8" t="s">
        <v>77</v>
      </c>
      <c r="L566" s="2" t="s">
        <v>26</v>
      </c>
      <c r="M566" s="8" t="s">
        <v>28</v>
      </c>
      <c r="N566" s="6" t="s">
        <v>2264</v>
      </c>
      <c r="O566" s="6" t="s">
        <v>30</v>
      </c>
      <c r="P566" s="2" t="s">
        <v>13785</v>
      </c>
    </row>
    <row r="567" spans="1:16" ht="13.15" x14ac:dyDescent="0.4">
      <c r="A567" s="2" t="s">
        <v>13431</v>
      </c>
      <c r="B567" s="2" t="s">
        <v>5883</v>
      </c>
      <c r="C567" s="6" t="s">
        <v>5879</v>
      </c>
      <c r="D567" s="6" t="s">
        <v>42</v>
      </c>
      <c r="E567" s="7">
        <v>44927</v>
      </c>
      <c r="F567" s="8" t="s">
        <v>77</v>
      </c>
      <c r="G567" s="2" t="s">
        <v>26</v>
      </c>
      <c r="H567" s="8" t="s">
        <v>28</v>
      </c>
      <c r="I567" s="2" t="s">
        <v>26</v>
      </c>
      <c r="J567" s="7">
        <v>44927</v>
      </c>
      <c r="K567" s="8" t="s">
        <v>77</v>
      </c>
      <c r="L567" s="2" t="s">
        <v>26</v>
      </c>
      <c r="M567" s="8" t="s">
        <v>28</v>
      </c>
      <c r="N567" s="6" t="s">
        <v>2264</v>
      </c>
      <c r="O567" s="6" t="s">
        <v>30</v>
      </c>
      <c r="P567" s="2" t="s">
        <v>13780</v>
      </c>
    </row>
    <row r="568" spans="1:16" ht="13.15" x14ac:dyDescent="0.4">
      <c r="A568" s="2" t="s">
        <v>13597</v>
      </c>
      <c r="B568" s="2" t="s">
        <v>5883</v>
      </c>
      <c r="C568" s="6" t="s">
        <v>5879</v>
      </c>
      <c r="D568" s="6" t="s">
        <v>42</v>
      </c>
      <c r="E568" s="7">
        <v>44927</v>
      </c>
      <c r="F568" s="8" t="s">
        <v>77</v>
      </c>
      <c r="G568" s="2" t="s">
        <v>26</v>
      </c>
      <c r="H568" s="8" t="s">
        <v>28</v>
      </c>
      <c r="I568" s="2" t="s">
        <v>26</v>
      </c>
      <c r="J568" s="7">
        <v>44927</v>
      </c>
      <c r="K568" s="8" t="s">
        <v>77</v>
      </c>
      <c r="L568" s="2" t="s">
        <v>26</v>
      </c>
      <c r="M568" s="8" t="s">
        <v>28</v>
      </c>
      <c r="N568" s="6" t="s">
        <v>2264</v>
      </c>
      <c r="O568" s="6" t="s">
        <v>30</v>
      </c>
      <c r="P568" s="2" t="s">
        <v>13954</v>
      </c>
    </row>
    <row r="569" spans="1:16" ht="13.15" x14ac:dyDescent="0.4">
      <c r="A569" s="2" t="s">
        <v>9422</v>
      </c>
      <c r="B569" s="2" t="s">
        <v>5883</v>
      </c>
      <c r="C569" s="6" t="s">
        <v>5879</v>
      </c>
      <c r="D569" s="6" t="s">
        <v>42</v>
      </c>
      <c r="E569" s="7">
        <v>44927</v>
      </c>
      <c r="F569" s="8" t="s">
        <v>77</v>
      </c>
      <c r="G569" s="2" t="s">
        <v>26</v>
      </c>
      <c r="H569" s="8" t="s">
        <v>28</v>
      </c>
      <c r="I569" s="2" t="s">
        <v>26</v>
      </c>
      <c r="J569" s="7">
        <v>44927</v>
      </c>
      <c r="K569" s="8" t="s">
        <v>77</v>
      </c>
      <c r="L569" s="2" t="s">
        <v>26</v>
      </c>
      <c r="M569" s="8" t="s">
        <v>28</v>
      </c>
      <c r="N569" s="6" t="s">
        <v>2264</v>
      </c>
      <c r="O569" s="6" t="s">
        <v>30</v>
      </c>
      <c r="P569" s="2" t="s">
        <v>13760</v>
      </c>
    </row>
    <row r="570" spans="1:16" ht="13.15" x14ac:dyDescent="0.4">
      <c r="A570" s="2" t="s">
        <v>13278</v>
      </c>
      <c r="B570" s="2" t="s">
        <v>5883</v>
      </c>
      <c r="C570" s="6" t="s">
        <v>5879</v>
      </c>
      <c r="D570" s="6" t="s">
        <v>42</v>
      </c>
      <c r="E570" s="7">
        <v>44927</v>
      </c>
      <c r="F570" s="8" t="s">
        <v>77</v>
      </c>
      <c r="G570" s="2" t="s">
        <v>26</v>
      </c>
      <c r="H570" s="8" t="s">
        <v>28</v>
      </c>
      <c r="I570" s="2" t="s">
        <v>26</v>
      </c>
      <c r="J570" s="7">
        <v>44927</v>
      </c>
      <c r="K570" s="8" t="s">
        <v>77</v>
      </c>
      <c r="L570" s="2" t="s">
        <v>26</v>
      </c>
      <c r="M570" s="8" t="s">
        <v>28</v>
      </c>
      <c r="N570" s="6" t="s">
        <v>2264</v>
      </c>
      <c r="O570" s="6" t="s">
        <v>30</v>
      </c>
      <c r="P570" s="2" t="s">
        <v>13614</v>
      </c>
    </row>
    <row r="571" spans="1:16" ht="13.15" x14ac:dyDescent="0.4">
      <c r="A571" s="2" t="s">
        <v>7456</v>
      </c>
      <c r="B571" s="2" t="s">
        <v>5883</v>
      </c>
      <c r="C571" s="6" t="s">
        <v>5879</v>
      </c>
      <c r="D571" s="6" t="s">
        <v>42</v>
      </c>
      <c r="E571" s="7">
        <v>44927</v>
      </c>
      <c r="F571" s="8" t="s">
        <v>77</v>
      </c>
      <c r="G571" s="2" t="s">
        <v>26</v>
      </c>
      <c r="H571" s="8" t="s">
        <v>28</v>
      </c>
      <c r="I571" s="2" t="s">
        <v>26</v>
      </c>
      <c r="J571" s="7">
        <v>44927</v>
      </c>
      <c r="K571" s="8" t="s">
        <v>77</v>
      </c>
      <c r="L571" s="2" t="s">
        <v>26</v>
      </c>
      <c r="M571" s="8" t="s">
        <v>28</v>
      </c>
      <c r="N571" s="6" t="s">
        <v>2264</v>
      </c>
      <c r="O571" s="6" t="s">
        <v>30</v>
      </c>
      <c r="P571" s="2" t="s">
        <v>13721</v>
      </c>
    </row>
    <row r="572" spans="1:16" ht="13.15" x14ac:dyDescent="0.4">
      <c r="A572" s="2" t="s">
        <v>13555</v>
      </c>
      <c r="B572" s="2" t="s">
        <v>5883</v>
      </c>
      <c r="C572" s="6" t="s">
        <v>5879</v>
      </c>
      <c r="D572" s="6" t="s">
        <v>42</v>
      </c>
      <c r="E572" s="7">
        <v>44927</v>
      </c>
      <c r="F572" s="8" t="s">
        <v>77</v>
      </c>
      <c r="G572" s="2" t="s">
        <v>26</v>
      </c>
      <c r="H572" s="8" t="s">
        <v>28</v>
      </c>
      <c r="I572" s="2" t="s">
        <v>26</v>
      </c>
      <c r="J572" s="7">
        <v>44927</v>
      </c>
      <c r="K572" s="8" t="s">
        <v>77</v>
      </c>
      <c r="L572" s="2" t="s">
        <v>26</v>
      </c>
      <c r="M572" s="8" t="s">
        <v>28</v>
      </c>
      <c r="N572" s="6" t="s">
        <v>2264</v>
      </c>
      <c r="O572" s="6" t="s">
        <v>30</v>
      </c>
      <c r="P572" s="2" t="s">
        <v>13909</v>
      </c>
    </row>
    <row r="573" spans="1:16" ht="13.15" x14ac:dyDescent="0.4">
      <c r="A573" s="2" t="s">
        <v>13534</v>
      </c>
      <c r="B573" s="2" t="s">
        <v>5883</v>
      </c>
      <c r="C573" s="6" t="s">
        <v>5879</v>
      </c>
      <c r="D573" s="6" t="s">
        <v>42</v>
      </c>
      <c r="E573" s="7">
        <v>44927</v>
      </c>
      <c r="F573" s="8" t="s">
        <v>77</v>
      </c>
      <c r="G573" s="2" t="s">
        <v>26</v>
      </c>
      <c r="H573" s="8" t="s">
        <v>28</v>
      </c>
      <c r="I573" s="2" t="s">
        <v>26</v>
      </c>
      <c r="J573" s="7">
        <v>44927</v>
      </c>
      <c r="K573" s="8" t="s">
        <v>77</v>
      </c>
      <c r="L573" s="2" t="s">
        <v>26</v>
      </c>
      <c r="M573" s="8" t="s">
        <v>28</v>
      </c>
      <c r="N573" s="6" t="s">
        <v>2264</v>
      </c>
      <c r="O573" s="6" t="s">
        <v>30</v>
      </c>
      <c r="P573" s="2" t="s">
        <v>13887</v>
      </c>
    </row>
    <row r="574" spans="1:16" ht="13.15" x14ac:dyDescent="0.4">
      <c r="A574" s="2" t="s">
        <v>13322</v>
      </c>
      <c r="B574" s="2" t="s">
        <v>5883</v>
      </c>
      <c r="C574" s="6" t="s">
        <v>5879</v>
      </c>
      <c r="D574" s="6" t="s">
        <v>42</v>
      </c>
      <c r="E574" s="7">
        <v>44927</v>
      </c>
      <c r="F574" s="8" t="s">
        <v>77</v>
      </c>
      <c r="G574" s="2" t="s">
        <v>26</v>
      </c>
      <c r="H574" s="8" t="s">
        <v>28</v>
      </c>
      <c r="I574" s="2" t="s">
        <v>26</v>
      </c>
      <c r="J574" s="7">
        <v>44927</v>
      </c>
      <c r="K574" s="8" t="s">
        <v>77</v>
      </c>
      <c r="L574" s="2" t="s">
        <v>26</v>
      </c>
      <c r="M574" s="8" t="s">
        <v>28</v>
      </c>
      <c r="N574" s="6" t="s">
        <v>2264</v>
      </c>
      <c r="O574" s="6" t="s">
        <v>30</v>
      </c>
      <c r="P574" s="2" t="s">
        <v>13661</v>
      </c>
    </row>
    <row r="575" spans="1:16" ht="13.15" x14ac:dyDescent="0.4">
      <c r="A575" s="2" t="s">
        <v>13351</v>
      </c>
      <c r="B575" s="2" t="s">
        <v>5883</v>
      </c>
      <c r="C575" s="6" t="s">
        <v>5879</v>
      </c>
      <c r="D575" s="6" t="s">
        <v>42</v>
      </c>
      <c r="E575" s="7">
        <v>44927</v>
      </c>
      <c r="F575" s="8" t="s">
        <v>77</v>
      </c>
      <c r="G575" s="2" t="s">
        <v>26</v>
      </c>
      <c r="H575" s="8" t="s">
        <v>28</v>
      </c>
      <c r="I575" s="2" t="s">
        <v>26</v>
      </c>
      <c r="J575" s="7">
        <v>44927</v>
      </c>
      <c r="K575" s="8" t="s">
        <v>77</v>
      </c>
      <c r="L575" s="2" t="s">
        <v>26</v>
      </c>
      <c r="M575" s="8" t="s">
        <v>28</v>
      </c>
      <c r="N575" s="6" t="s">
        <v>2264</v>
      </c>
      <c r="O575" s="6" t="s">
        <v>30</v>
      </c>
      <c r="P575" s="2" t="s">
        <v>13694</v>
      </c>
    </row>
    <row r="576" spans="1:16" ht="13.15" x14ac:dyDescent="0.4">
      <c r="A576" s="2" t="s">
        <v>13578</v>
      </c>
      <c r="B576" s="2" t="s">
        <v>5883</v>
      </c>
      <c r="C576" s="6" t="s">
        <v>5879</v>
      </c>
      <c r="D576" s="6" t="s">
        <v>42</v>
      </c>
      <c r="E576" s="7">
        <v>44927</v>
      </c>
      <c r="F576" s="8" t="s">
        <v>77</v>
      </c>
      <c r="G576" s="2" t="s">
        <v>26</v>
      </c>
      <c r="H576" s="8" t="s">
        <v>28</v>
      </c>
      <c r="I576" s="2" t="s">
        <v>26</v>
      </c>
      <c r="J576" s="7">
        <v>44927</v>
      </c>
      <c r="K576" s="8" t="s">
        <v>77</v>
      </c>
      <c r="L576" s="2" t="s">
        <v>26</v>
      </c>
      <c r="M576" s="8" t="s">
        <v>28</v>
      </c>
      <c r="N576" s="6" t="s">
        <v>2264</v>
      </c>
      <c r="O576" s="6" t="s">
        <v>30</v>
      </c>
      <c r="P576" s="2" t="s">
        <v>13934</v>
      </c>
    </row>
    <row r="577" spans="1:16" ht="13.15" x14ac:dyDescent="0.4">
      <c r="A577" s="2" t="s">
        <v>13536</v>
      </c>
      <c r="B577" s="2" t="s">
        <v>5883</v>
      </c>
      <c r="C577" s="6" t="s">
        <v>5879</v>
      </c>
      <c r="D577" s="6" t="s">
        <v>42</v>
      </c>
      <c r="E577" s="7">
        <v>44927</v>
      </c>
      <c r="F577" s="8" t="s">
        <v>77</v>
      </c>
      <c r="G577" s="2" t="s">
        <v>26</v>
      </c>
      <c r="H577" s="8" t="s">
        <v>28</v>
      </c>
      <c r="I577" s="2" t="s">
        <v>26</v>
      </c>
      <c r="J577" s="7">
        <v>44927</v>
      </c>
      <c r="K577" s="8" t="s">
        <v>77</v>
      </c>
      <c r="L577" s="2" t="s">
        <v>26</v>
      </c>
      <c r="M577" s="8" t="s">
        <v>28</v>
      </c>
      <c r="N577" s="6" t="s">
        <v>2264</v>
      </c>
      <c r="O577" s="6" t="s">
        <v>30</v>
      </c>
      <c r="P577" s="2" t="s">
        <v>13889</v>
      </c>
    </row>
    <row r="578" spans="1:16" ht="13.15" x14ac:dyDescent="0.4">
      <c r="A578" s="2" t="s">
        <v>13520</v>
      </c>
      <c r="B578" s="2" t="s">
        <v>5883</v>
      </c>
      <c r="C578" s="6" t="s">
        <v>5879</v>
      </c>
      <c r="D578" s="6" t="s">
        <v>42</v>
      </c>
      <c r="E578" s="7">
        <v>44927</v>
      </c>
      <c r="F578" s="8" t="s">
        <v>77</v>
      </c>
      <c r="G578" s="2" t="s">
        <v>26</v>
      </c>
      <c r="H578" s="8" t="s">
        <v>28</v>
      </c>
      <c r="I578" s="2" t="s">
        <v>26</v>
      </c>
      <c r="J578" s="7">
        <v>44927</v>
      </c>
      <c r="K578" s="8" t="s">
        <v>77</v>
      </c>
      <c r="L578" s="2" t="s">
        <v>26</v>
      </c>
      <c r="M578" s="8" t="s">
        <v>28</v>
      </c>
      <c r="N578" s="6" t="s">
        <v>2264</v>
      </c>
      <c r="O578" s="6" t="s">
        <v>30</v>
      </c>
      <c r="P578" s="2" t="s">
        <v>13871</v>
      </c>
    </row>
    <row r="579" spans="1:16" ht="13.15" x14ac:dyDescent="0.4">
      <c r="A579" s="2" t="s">
        <v>9491</v>
      </c>
      <c r="B579" s="2" t="s">
        <v>5883</v>
      </c>
      <c r="C579" s="6" t="s">
        <v>5879</v>
      </c>
      <c r="D579" s="6" t="s">
        <v>42</v>
      </c>
      <c r="E579" s="7">
        <v>44927</v>
      </c>
      <c r="F579" s="8" t="s">
        <v>77</v>
      </c>
      <c r="G579" s="2" t="s">
        <v>26</v>
      </c>
      <c r="H579" s="8" t="s">
        <v>28</v>
      </c>
      <c r="I579" s="2" t="s">
        <v>26</v>
      </c>
      <c r="J579" s="7">
        <v>44927</v>
      </c>
      <c r="K579" s="8" t="s">
        <v>77</v>
      </c>
      <c r="L579" s="2" t="s">
        <v>26</v>
      </c>
      <c r="M579" s="8" t="s">
        <v>28</v>
      </c>
      <c r="N579" s="6" t="s">
        <v>2264</v>
      </c>
      <c r="O579" s="6" t="s">
        <v>30</v>
      </c>
      <c r="P579" s="2" t="s">
        <v>13886</v>
      </c>
    </row>
    <row r="580" spans="1:16" ht="13.15" x14ac:dyDescent="0.4">
      <c r="A580" s="2" t="s">
        <v>13571</v>
      </c>
      <c r="B580" s="2" t="s">
        <v>5883</v>
      </c>
      <c r="C580" s="6" t="s">
        <v>5879</v>
      </c>
      <c r="D580" s="6" t="s">
        <v>42</v>
      </c>
      <c r="E580" s="7">
        <v>44927</v>
      </c>
      <c r="F580" s="8" t="s">
        <v>77</v>
      </c>
      <c r="G580" s="2" t="s">
        <v>26</v>
      </c>
      <c r="H580" s="8" t="s">
        <v>28</v>
      </c>
      <c r="I580" s="2" t="s">
        <v>26</v>
      </c>
      <c r="J580" s="7">
        <v>44927</v>
      </c>
      <c r="K580" s="8" t="s">
        <v>77</v>
      </c>
      <c r="L580" s="2" t="s">
        <v>26</v>
      </c>
      <c r="M580" s="8" t="s">
        <v>28</v>
      </c>
      <c r="N580" s="6" t="s">
        <v>2264</v>
      </c>
      <c r="O580" s="6" t="s">
        <v>30</v>
      </c>
      <c r="P580" s="2" t="s">
        <v>13927</v>
      </c>
    </row>
    <row r="581" spans="1:16" ht="13.15" x14ac:dyDescent="0.4">
      <c r="A581" s="2" t="s">
        <v>13466</v>
      </c>
      <c r="B581" s="2" t="s">
        <v>5883</v>
      </c>
      <c r="C581" s="6" t="s">
        <v>5879</v>
      </c>
      <c r="D581" s="6" t="s">
        <v>42</v>
      </c>
      <c r="E581" s="7">
        <v>44927</v>
      </c>
      <c r="F581" s="8" t="s">
        <v>77</v>
      </c>
      <c r="G581" s="2" t="s">
        <v>26</v>
      </c>
      <c r="H581" s="8" t="s">
        <v>28</v>
      </c>
      <c r="I581" s="2" t="s">
        <v>26</v>
      </c>
      <c r="J581" s="7">
        <v>44927</v>
      </c>
      <c r="K581" s="8" t="s">
        <v>77</v>
      </c>
      <c r="L581" s="2" t="s">
        <v>26</v>
      </c>
      <c r="M581" s="8" t="s">
        <v>28</v>
      </c>
      <c r="N581" s="6" t="s">
        <v>2264</v>
      </c>
      <c r="O581" s="6" t="s">
        <v>30</v>
      </c>
      <c r="P581" s="2" t="s">
        <v>13816</v>
      </c>
    </row>
    <row r="582" spans="1:16" ht="13.15" x14ac:dyDescent="0.4">
      <c r="A582" s="2" t="s">
        <v>13598</v>
      </c>
      <c r="B582" s="2" t="s">
        <v>5883</v>
      </c>
      <c r="C582" s="6" t="s">
        <v>5879</v>
      </c>
      <c r="D582" s="6" t="s">
        <v>42</v>
      </c>
      <c r="E582" s="7">
        <v>44927</v>
      </c>
      <c r="F582" s="8" t="s">
        <v>77</v>
      </c>
      <c r="G582" s="2" t="s">
        <v>26</v>
      </c>
      <c r="H582" s="8" t="s">
        <v>28</v>
      </c>
      <c r="I582" s="2" t="s">
        <v>26</v>
      </c>
      <c r="J582" s="7">
        <v>44927</v>
      </c>
      <c r="K582" s="8" t="s">
        <v>77</v>
      </c>
      <c r="L582" s="2" t="s">
        <v>26</v>
      </c>
      <c r="M582" s="8" t="s">
        <v>28</v>
      </c>
      <c r="N582" s="6" t="s">
        <v>2264</v>
      </c>
      <c r="O582" s="6" t="s">
        <v>30</v>
      </c>
      <c r="P582" s="2" t="s">
        <v>13955</v>
      </c>
    </row>
    <row r="583" spans="1:16" ht="13.15" x14ac:dyDescent="0.4">
      <c r="A583" s="2" t="s">
        <v>13423</v>
      </c>
      <c r="B583" s="2" t="s">
        <v>5883</v>
      </c>
      <c r="C583" s="6" t="s">
        <v>5879</v>
      </c>
      <c r="D583" s="6" t="s">
        <v>42</v>
      </c>
      <c r="E583" s="7">
        <v>44927</v>
      </c>
      <c r="F583" s="8" t="s">
        <v>77</v>
      </c>
      <c r="G583" s="2" t="s">
        <v>26</v>
      </c>
      <c r="H583" s="8" t="s">
        <v>28</v>
      </c>
      <c r="I583" s="2" t="s">
        <v>26</v>
      </c>
      <c r="J583" s="7">
        <v>44927</v>
      </c>
      <c r="K583" s="8" t="s">
        <v>77</v>
      </c>
      <c r="L583" s="2" t="s">
        <v>26</v>
      </c>
      <c r="M583" s="8" t="s">
        <v>28</v>
      </c>
      <c r="N583" s="6" t="s">
        <v>2264</v>
      </c>
      <c r="O583" s="6" t="s">
        <v>30</v>
      </c>
      <c r="P583" s="2" t="s">
        <v>13771</v>
      </c>
    </row>
    <row r="584" spans="1:16" ht="13.15" x14ac:dyDescent="0.4">
      <c r="A584" s="2" t="s">
        <v>13412</v>
      </c>
      <c r="B584" s="2" t="s">
        <v>5883</v>
      </c>
      <c r="C584" s="6" t="s">
        <v>5879</v>
      </c>
      <c r="D584" s="6" t="s">
        <v>42</v>
      </c>
      <c r="E584" s="7">
        <v>44927</v>
      </c>
      <c r="F584" s="8" t="s">
        <v>77</v>
      </c>
      <c r="G584" s="2" t="s">
        <v>26</v>
      </c>
      <c r="H584" s="8" t="s">
        <v>28</v>
      </c>
      <c r="I584" s="2" t="s">
        <v>26</v>
      </c>
      <c r="J584" s="7">
        <v>44927</v>
      </c>
      <c r="K584" s="8" t="s">
        <v>77</v>
      </c>
      <c r="L584" s="2" t="s">
        <v>26</v>
      </c>
      <c r="M584" s="8" t="s">
        <v>28</v>
      </c>
      <c r="N584" s="6" t="s">
        <v>2264</v>
      </c>
      <c r="O584" s="6" t="s">
        <v>30</v>
      </c>
      <c r="P584" s="2" t="s">
        <v>13759</v>
      </c>
    </row>
    <row r="585" spans="1:16" ht="13.15" x14ac:dyDescent="0.4">
      <c r="A585" s="2" t="s">
        <v>13556</v>
      </c>
      <c r="B585" s="2" t="s">
        <v>5883</v>
      </c>
      <c r="C585" s="6" t="s">
        <v>5879</v>
      </c>
      <c r="D585" s="6" t="s">
        <v>42</v>
      </c>
      <c r="E585" s="7">
        <v>44927</v>
      </c>
      <c r="F585" s="8" t="s">
        <v>77</v>
      </c>
      <c r="G585" s="2" t="s">
        <v>26</v>
      </c>
      <c r="H585" s="8" t="s">
        <v>28</v>
      </c>
      <c r="I585" s="2" t="s">
        <v>26</v>
      </c>
      <c r="J585" s="7">
        <v>44927</v>
      </c>
      <c r="K585" s="8" t="s">
        <v>77</v>
      </c>
      <c r="L585" s="2" t="s">
        <v>26</v>
      </c>
      <c r="M585" s="8" t="s">
        <v>28</v>
      </c>
      <c r="N585" s="6" t="s">
        <v>2264</v>
      </c>
      <c r="O585" s="6" t="s">
        <v>30</v>
      </c>
      <c r="P585" s="2" t="s">
        <v>13910</v>
      </c>
    </row>
    <row r="586" spans="1:16" ht="13.15" x14ac:dyDescent="0.4">
      <c r="A586" s="2" t="s">
        <v>7661</v>
      </c>
      <c r="B586" s="2" t="s">
        <v>5883</v>
      </c>
      <c r="C586" s="6" t="s">
        <v>5879</v>
      </c>
      <c r="D586" s="6" t="s">
        <v>42</v>
      </c>
      <c r="E586" s="7">
        <v>44927</v>
      </c>
      <c r="F586" s="8" t="s">
        <v>77</v>
      </c>
      <c r="G586" s="2" t="s">
        <v>26</v>
      </c>
      <c r="H586" s="8" t="s">
        <v>28</v>
      </c>
      <c r="I586" s="2" t="s">
        <v>26</v>
      </c>
      <c r="J586" s="7">
        <v>44927</v>
      </c>
      <c r="K586" s="8" t="s">
        <v>77</v>
      </c>
      <c r="L586" s="2" t="s">
        <v>26</v>
      </c>
      <c r="M586" s="8" t="s">
        <v>28</v>
      </c>
      <c r="N586" s="6" t="s">
        <v>2264</v>
      </c>
      <c r="O586" s="6" t="s">
        <v>30</v>
      </c>
      <c r="P586" s="2" t="s">
        <v>13612</v>
      </c>
    </row>
    <row r="587" spans="1:16" ht="13.15" x14ac:dyDescent="0.4">
      <c r="A587" s="2" t="s">
        <v>13510</v>
      </c>
      <c r="B587" s="2" t="s">
        <v>5883</v>
      </c>
      <c r="C587" s="6" t="s">
        <v>5879</v>
      </c>
      <c r="D587" s="6" t="s">
        <v>42</v>
      </c>
      <c r="E587" s="7">
        <v>44927</v>
      </c>
      <c r="F587" s="8" t="s">
        <v>77</v>
      </c>
      <c r="G587" s="2" t="s">
        <v>26</v>
      </c>
      <c r="H587" s="8" t="s">
        <v>28</v>
      </c>
      <c r="I587" s="2" t="s">
        <v>26</v>
      </c>
      <c r="J587" s="7">
        <v>44927</v>
      </c>
      <c r="K587" s="8" t="s">
        <v>77</v>
      </c>
      <c r="L587" s="2" t="s">
        <v>26</v>
      </c>
      <c r="M587" s="8" t="s">
        <v>28</v>
      </c>
      <c r="N587" s="6" t="s">
        <v>2264</v>
      </c>
      <c r="O587" s="6" t="s">
        <v>30</v>
      </c>
      <c r="P587" s="2" t="s">
        <v>13860</v>
      </c>
    </row>
    <row r="588" spans="1:16" ht="13.15" x14ac:dyDescent="0.4">
      <c r="A588" s="2" t="s">
        <v>9434</v>
      </c>
      <c r="B588" s="2" t="s">
        <v>5883</v>
      </c>
      <c r="C588" s="6" t="s">
        <v>5879</v>
      </c>
      <c r="D588" s="6" t="s">
        <v>42</v>
      </c>
      <c r="E588" s="7">
        <v>44927</v>
      </c>
      <c r="F588" s="8" t="s">
        <v>77</v>
      </c>
      <c r="G588" s="2" t="s">
        <v>26</v>
      </c>
      <c r="H588" s="8" t="s">
        <v>28</v>
      </c>
      <c r="I588" s="2" t="s">
        <v>26</v>
      </c>
      <c r="J588" s="7">
        <v>44927</v>
      </c>
      <c r="K588" s="8" t="s">
        <v>77</v>
      </c>
      <c r="L588" s="2" t="s">
        <v>26</v>
      </c>
      <c r="M588" s="8" t="s">
        <v>28</v>
      </c>
      <c r="N588" s="6" t="s">
        <v>2264</v>
      </c>
      <c r="O588" s="6" t="s">
        <v>30</v>
      </c>
      <c r="P588" s="2" t="s">
        <v>13616</v>
      </c>
    </row>
    <row r="589" spans="1:16" ht="13.15" x14ac:dyDescent="0.4">
      <c r="A589" s="2" t="s">
        <v>13505</v>
      </c>
      <c r="B589" s="2" t="s">
        <v>5883</v>
      </c>
      <c r="C589" s="6" t="s">
        <v>5879</v>
      </c>
      <c r="D589" s="6" t="s">
        <v>42</v>
      </c>
      <c r="E589" s="7">
        <v>44927</v>
      </c>
      <c r="F589" s="8" t="s">
        <v>77</v>
      </c>
      <c r="G589" s="2" t="s">
        <v>26</v>
      </c>
      <c r="H589" s="8" t="s">
        <v>28</v>
      </c>
      <c r="I589" s="2" t="s">
        <v>26</v>
      </c>
      <c r="J589" s="7">
        <v>44927</v>
      </c>
      <c r="K589" s="8" t="s">
        <v>77</v>
      </c>
      <c r="L589" s="2" t="s">
        <v>26</v>
      </c>
      <c r="M589" s="8" t="s">
        <v>28</v>
      </c>
      <c r="N589" s="6" t="s">
        <v>2264</v>
      </c>
      <c r="O589" s="6" t="s">
        <v>30</v>
      </c>
      <c r="P589" s="2" t="s">
        <v>13855</v>
      </c>
    </row>
    <row r="590" spans="1:16" ht="13.15" x14ac:dyDescent="0.4">
      <c r="A590" s="2" t="s">
        <v>6273</v>
      </c>
      <c r="B590" s="2" t="s">
        <v>5883</v>
      </c>
      <c r="C590" s="6" t="s">
        <v>5879</v>
      </c>
      <c r="D590" s="6" t="s">
        <v>42</v>
      </c>
      <c r="E590" s="7">
        <v>44927</v>
      </c>
      <c r="F590" s="8" t="s">
        <v>77</v>
      </c>
      <c r="G590" s="2" t="s">
        <v>26</v>
      </c>
      <c r="H590" s="8" t="s">
        <v>28</v>
      </c>
      <c r="I590" s="2" t="s">
        <v>26</v>
      </c>
      <c r="J590" s="7">
        <v>44927</v>
      </c>
      <c r="K590" s="8" t="s">
        <v>77</v>
      </c>
      <c r="L590" s="2" t="s">
        <v>26</v>
      </c>
      <c r="M590" s="8" t="s">
        <v>28</v>
      </c>
      <c r="N590" s="6" t="s">
        <v>2264</v>
      </c>
      <c r="O590" s="6" t="s">
        <v>30</v>
      </c>
      <c r="P590" s="2" t="s">
        <v>13690</v>
      </c>
    </row>
    <row r="591" spans="1:16" ht="13.15" x14ac:dyDescent="0.4">
      <c r="A591" s="2" t="s">
        <v>13501</v>
      </c>
      <c r="B591" s="2" t="s">
        <v>5883</v>
      </c>
      <c r="C591" s="6" t="s">
        <v>5879</v>
      </c>
      <c r="D591" s="6" t="s">
        <v>42</v>
      </c>
      <c r="E591" s="7">
        <v>44927</v>
      </c>
      <c r="F591" s="8" t="s">
        <v>77</v>
      </c>
      <c r="G591" s="2" t="s">
        <v>26</v>
      </c>
      <c r="H591" s="8" t="s">
        <v>28</v>
      </c>
      <c r="I591" s="2" t="s">
        <v>26</v>
      </c>
      <c r="J591" s="7">
        <v>44927</v>
      </c>
      <c r="K591" s="8" t="s">
        <v>77</v>
      </c>
      <c r="L591" s="2" t="s">
        <v>26</v>
      </c>
      <c r="M591" s="8" t="s">
        <v>28</v>
      </c>
      <c r="N591" s="6" t="s">
        <v>2264</v>
      </c>
      <c r="O591" s="6" t="s">
        <v>30</v>
      </c>
      <c r="P591" s="2" t="s">
        <v>13851</v>
      </c>
    </row>
    <row r="592" spans="1:16" ht="13.15" x14ac:dyDescent="0.4">
      <c r="A592" s="2" t="s">
        <v>13603</v>
      </c>
      <c r="B592" s="2" t="s">
        <v>5883</v>
      </c>
      <c r="C592" s="6" t="s">
        <v>5879</v>
      </c>
      <c r="D592" s="6" t="s">
        <v>42</v>
      </c>
      <c r="E592" s="7">
        <v>44927</v>
      </c>
      <c r="F592" s="8" t="s">
        <v>77</v>
      </c>
      <c r="G592" s="2" t="s">
        <v>26</v>
      </c>
      <c r="H592" s="8" t="s">
        <v>28</v>
      </c>
      <c r="I592" s="2" t="s">
        <v>26</v>
      </c>
      <c r="J592" s="7">
        <v>44927</v>
      </c>
      <c r="K592" s="8" t="s">
        <v>77</v>
      </c>
      <c r="L592" s="2" t="s">
        <v>26</v>
      </c>
      <c r="M592" s="8" t="s">
        <v>28</v>
      </c>
      <c r="N592" s="6" t="s">
        <v>2264</v>
      </c>
      <c r="O592" s="6" t="s">
        <v>30</v>
      </c>
      <c r="P592" s="2" t="s">
        <v>13960</v>
      </c>
    </row>
    <row r="593" spans="1:16" ht="13.15" x14ac:dyDescent="0.4">
      <c r="A593" s="2" t="s">
        <v>13304</v>
      </c>
      <c r="B593" s="2" t="s">
        <v>5883</v>
      </c>
      <c r="C593" s="6" t="s">
        <v>5879</v>
      </c>
      <c r="D593" s="6" t="s">
        <v>42</v>
      </c>
      <c r="E593" s="7">
        <v>44927</v>
      </c>
      <c r="F593" s="8" t="s">
        <v>77</v>
      </c>
      <c r="G593" s="2" t="s">
        <v>26</v>
      </c>
      <c r="H593" s="8" t="s">
        <v>28</v>
      </c>
      <c r="I593" s="2" t="s">
        <v>26</v>
      </c>
      <c r="J593" s="7">
        <v>44927</v>
      </c>
      <c r="K593" s="8" t="s">
        <v>77</v>
      </c>
      <c r="L593" s="2" t="s">
        <v>26</v>
      </c>
      <c r="M593" s="8" t="s">
        <v>28</v>
      </c>
      <c r="N593" s="6" t="s">
        <v>2264</v>
      </c>
      <c r="O593" s="6" t="s">
        <v>30</v>
      </c>
      <c r="P593" s="2" t="s">
        <v>13643</v>
      </c>
    </row>
    <row r="594" spans="1:16" ht="13.15" x14ac:dyDescent="0.4">
      <c r="A594" s="2" t="s">
        <v>13511</v>
      </c>
      <c r="B594" s="2" t="s">
        <v>5883</v>
      </c>
      <c r="C594" s="6" t="s">
        <v>5879</v>
      </c>
      <c r="D594" s="6" t="s">
        <v>42</v>
      </c>
      <c r="E594" s="7">
        <v>44927</v>
      </c>
      <c r="F594" s="8" t="s">
        <v>77</v>
      </c>
      <c r="G594" s="2" t="s">
        <v>26</v>
      </c>
      <c r="H594" s="8" t="s">
        <v>28</v>
      </c>
      <c r="I594" s="2" t="s">
        <v>26</v>
      </c>
      <c r="J594" s="7">
        <v>44927</v>
      </c>
      <c r="K594" s="8" t="s">
        <v>77</v>
      </c>
      <c r="L594" s="2" t="s">
        <v>26</v>
      </c>
      <c r="M594" s="8" t="s">
        <v>28</v>
      </c>
      <c r="N594" s="6" t="s">
        <v>2264</v>
      </c>
      <c r="O594" s="6" t="s">
        <v>30</v>
      </c>
      <c r="P594" s="2" t="s">
        <v>13861</v>
      </c>
    </row>
    <row r="595" spans="1:16" ht="13.15" x14ac:dyDescent="0.4">
      <c r="A595" s="2" t="s">
        <v>13476</v>
      </c>
      <c r="B595" s="2" t="s">
        <v>5883</v>
      </c>
      <c r="C595" s="6" t="s">
        <v>5879</v>
      </c>
      <c r="D595" s="6" t="s">
        <v>42</v>
      </c>
      <c r="E595" s="7">
        <v>44927</v>
      </c>
      <c r="F595" s="8" t="s">
        <v>77</v>
      </c>
      <c r="G595" s="2" t="s">
        <v>26</v>
      </c>
      <c r="H595" s="8" t="s">
        <v>28</v>
      </c>
      <c r="I595" s="2" t="s">
        <v>26</v>
      </c>
      <c r="J595" s="7">
        <v>44927</v>
      </c>
      <c r="K595" s="8" t="s">
        <v>77</v>
      </c>
      <c r="L595" s="2" t="s">
        <v>26</v>
      </c>
      <c r="M595" s="8" t="s">
        <v>28</v>
      </c>
      <c r="N595" s="6" t="s">
        <v>2264</v>
      </c>
      <c r="O595" s="6" t="s">
        <v>30</v>
      </c>
      <c r="P595" s="2" t="s">
        <v>13826</v>
      </c>
    </row>
    <row r="596" spans="1:16" ht="13.15" x14ac:dyDescent="0.4">
      <c r="A596" s="2" t="s">
        <v>7648</v>
      </c>
      <c r="B596" s="2" t="s">
        <v>5883</v>
      </c>
      <c r="C596" s="6" t="s">
        <v>5879</v>
      </c>
      <c r="D596" s="6" t="s">
        <v>42</v>
      </c>
      <c r="E596" s="7">
        <v>44927</v>
      </c>
      <c r="F596" s="8" t="s">
        <v>77</v>
      </c>
      <c r="G596" s="2" t="s">
        <v>26</v>
      </c>
      <c r="H596" s="8" t="s">
        <v>28</v>
      </c>
      <c r="I596" s="2" t="s">
        <v>26</v>
      </c>
      <c r="J596" s="7">
        <v>44927</v>
      </c>
      <c r="K596" s="8" t="s">
        <v>77</v>
      </c>
      <c r="L596" s="2" t="s">
        <v>26</v>
      </c>
      <c r="M596" s="8" t="s">
        <v>28</v>
      </c>
      <c r="N596" s="6" t="s">
        <v>2264</v>
      </c>
      <c r="O596" s="6" t="s">
        <v>30</v>
      </c>
      <c r="P596" s="2" t="s">
        <v>13668</v>
      </c>
    </row>
    <row r="597" spans="1:16" ht="13.15" x14ac:dyDescent="0.4">
      <c r="A597" s="2" t="s">
        <v>13608</v>
      </c>
      <c r="B597" s="2" t="s">
        <v>5883</v>
      </c>
      <c r="C597" s="6" t="s">
        <v>5879</v>
      </c>
      <c r="D597" s="6" t="s">
        <v>42</v>
      </c>
      <c r="E597" s="7">
        <v>44927</v>
      </c>
      <c r="F597" s="8" t="s">
        <v>77</v>
      </c>
      <c r="G597" s="2" t="s">
        <v>26</v>
      </c>
      <c r="H597" s="8" t="s">
        <v>28</v>
      </c>
      <c r="I597" s="2" t="s">
        <v>26</v>
      </c>
      <c r="J597" s="7">
        <v>44927</v>
      </c>
      <c r="K597" s="8" t="s">
        <v>77</v>
      </c>
      <c r="L597" s="2" t="s">
        <v>26</v>
      </c>
      <c r="M597" s="8" t="s">
        <v>28</v>
      </c>
      <c r="N597" s="6" t="s">
        <v>2264</v>
      </c>
      <c r="O597" s="6" t="s">
        <v>30</v>
      </c>
      <c r="P597" s="2" t="s">
        <v>13965</v>
      </c>
    </row>
    <row r="598" spans="1:16" ht="13.15" x14ac:dyDescent="0.4">
      <c r="A598" s="2" t="s">
        <v>13302</v>
      </c>
      <c r="B598" s="2" t="s">
        <v>5883</v>
      </c>
      <c r="C598" s="6" t="s">
        <v>5879</v>
      </c>
      <c r="D598" s="6" t="s">
        <v>42</v>
      </c>
      <c r="E598" s="7">
        <v>44927</v>
      </c>
      <c r="F598" s="8" t="s">
        <v>77</v>
      </c>
      <c r="G598" s="2" t="s">
        <v>26</v>
      </c>
      <c r="H598" s="8" t="s">
        <v>28</v>
      </c>
      <c r="I598" s="2" t="s">
        <v>26</v>
      </c>
      <c r="J598" s="7">
        <v>44927</v>
      </c>
      <c r="K598" s="8" t="s">
        <v>77</v>
      </c>
      <c r="L598" s="2" t="s">
        <v>26</v>
      </c>
      <c r="M598" s="8" t="s">
        <v>28</v>
      </c>
      <c r="N598" s="6" t="s">
        <v>2264</v>
      </c>
      <c r="O598" s="6" t="s">
        <v>30</v>
      </c>
      <c r="P598" s="2" t="s">
        <v>13641</v>
      </c>
    </row>
    <row r="599" spans="1:16" ht="13.15" x14ac:dyDescent="0.4">
      <c r="A599" s="2" t="s">
        <v>13375</v>
      </c>
      <c r="B599" s="2" t="s">
        <v>5883</v>
      </c>
      <c r="C599" s="6" t="s">
        <v>5879</v>
      </c>
      <c r="D599" s="6" t="s">
        <v>42</v>
      </c>
      <c r="E599" s="7">
        <v>44927</v>
      </c>
      <c r="F599" s="8" t="s">
        <v>77</v>
      </c>
      <c r="G599" s="2" t="s">
        <v>26</v>
      </c>
      <c r="H599" s="8" t="s">
        <v>28</v>
      </c>
      <c r="I599" s="2" t="s">
        <v>26</v>
      </c>
      <c r="J599" s="7">
        <v>44927</v>
      </c>
      <c r="K599" s="8" t="s">
        <v>77</v>
      </c>
      <c r="L599" s="2" t="s">
        <v>26</v>
      </c>
      <c r="M599" s="8" t="s">
        <v>28</v>
      </c>
      <c r="N599" s="6" t="s">
        <v>2264</v>
      </c>
      <c r="O599" s="6" t="s">
        <v>30</v>
      </c>
      <c r="P599" s="2" t="s">
        <v>13720</v>
      </c>
    </row>
    <row r="600" spans="1:16" ht="13.15" x14ac:dyDescent="0.4">
      <c r="A600" s="2" t="s">
        <v>13376</v>
      </c>
      <c r="B600" s="2" t="s">
        <v>5883</v>
      </c>
      <c r="C600" s="6" t="s">
        <v>5879</v>
      </c>
      <c r="D600" s="6" t="s">
        <v>42</v>
      </c>
      <c r="E600" s="7">
        <v>44927</v>
      </c>
      <c r="F600" s="8" t="s">
        <v>77</v>
      </c>
      <c r="G600" s="2" t="s">
        <v>26</v>
      </c>
      <c r="H600" s="8" t="s">
        <v>28</v>
      </c>
      <c r="I600" s="2" t="s">
        <v>26</v>
      </c>
      <c r="J600" s="7">
        <v>44927</v>
      </c>
      <c r="K600" s="8" t="s">
        <v>77</v>
      </c>
      <c r="L600" s="2" t="s">
        <v>26</v>
      </c>
      <c r="M600" s="8" t="s">
        <v>28</v>
      </c>
      <c r="N600" s="6" t="s">
        <v>2264</v>
      </c>
      <c r="O600" s="6" t="s">
        <v>30</v>
      </c>
      <c r="P600" s="2" t="s">
        <v>13722</v>
      </c>
    </row>
    <row r="601" spans="1:16" ht="13.15" x14ac:dyDescent="0.4">
      <c r="A601" s="2" t="s">
        <v>13516</v>
      </c>
      <c r="B601" s="2" t="s">
        <v>5883</v>
      </c>
      <c r="C601" s="6" t="s">
        <v>5879</v>
      </c>
      <c r="D601" s="6" t="s">
        <v>42</v>
      </c>
      <c r="E601" s="7">
        <v>44927</v>
      </c>
      <c r="F601" s="8" t="s">
        <v>77</v>
      </c>
      <c r="G601" s="2" t="s">
        <v>26</v>
      </c>
      <c r="H601" s="8" t="s">
        <v>28</v>
      </c>
      <c r="I601" s="2" t="s">
        <v>26</v>
      </c>
      <c r="J601" s="7">
        <v>44927</v>
      </c>
      <c r="K601" s="8" t="s">
        <v>77</v>
      </c>
      <c r="L601" s="2" t="s">
        <v>26</v>
      </c>
      <c r="M601" s="8" t="s">
        <v>28</v>
      </c>
      <c r="N601" s="6" t="s">
        <v>2264</v>
      </c>
      <c r="O601" s="6" t="s">
        <v>30</v>
      </c>
      <c r="P601" s="2" t="s">
        <v>13867</v>
      </c>
    </row>
    <row r="602" spans="1:16" ht="13.15" x14ac:dyDescent="0.4">
      <c r="A602" s="2" t="s">
        <v>13531</v>
      </c>
      <c r="B602" s="2" t="s">
        <v>5883</v>
      </c>
      <c r="C602" s="6" t="s">
        <v>5879</v>
      </c>
      <c r="D602" s="6" t="s">
        <v>42</v>
      </c>
      <c r="E602" s="7">
        <v>44927</v>
      </c>
      <c r="F602" s="8" t="s">
        <v>77</v>
      </c>
      <c r="G602" s="2" t="s">
        <v>26</v>
      </c>
      <c r="H602" s="8" t="s">
        <v>28</v>
      </c>
      <c r="I602" s="2" t="s">
        <v>26</v>
      </c>
      <c r="J602" s="7">
        <v>44927</v>
      </c>
      <c r="K602" s="8" t="s">
        <v>77</v>
      </c>
      <c r="L602" s="2" t="s">
        <v>26</v>
      </c>
      <c r="M602" s="8" t="s">
        <v>28</v>
      </c>
      <c r="N602" s="6" t="s">
        <v>2264</v>
      </c>
      <c r="O602" s="6" t="s">
        <v>30</v>
      </c>
      <c r="P602" s="2" t="s">
        <v>13883</v>
      </c>
    </row>
    <row r="603" spans="1:16" ht="13.15" x14ac:dyDescent="0.4">
      <c r="A603" s="2" t="s">
        <v>13491</v>
      </c>
      <c r="B603" s="2" t="s">
        <v>5883</v>
      </c>
      <c r="C603" s="6" t="s">
        <v>5879</v>
      </c>
      <c r="D603" s="6" t="s">
        <v>42</v>
      </c>
      <c r="E603" s="7">
        <v>44927</v>
      </c>
      <c r="F603" s="8" t="s">
        <v>77</v>
      </c>
      <c r="G603" s="2" t="s">
        <v>26</v>
      </c>
      <c r="H603" s="8" t="s">
        <v>28</v>
      </c>
      <c r="I603" s="2" t="s">
        <v>26</v>
      </c>
      <c r="J603" s="7">
        <v>44927</v>
      </c>
      <c r="K603" s="8" t="s">
        <v>77</v>
      </c>
      <c r="L603" s="2" t="s">
        <v>26</v>
      </c>
      <c r="M603" s="8" t="s">
        <v>28</v>
      </c>
      <c r="N603" s="6" t="s">
        <v>2264</v>
      </c>
      <c r="O603" s="6" t="s">
        <v>30</v>
      </c>
      <c r="P603" s="2" t="s">
        <v>13841</v>
      </c>
    </row>
    <row r="604" spans="1:16" ht="13.15" x14ac:dyDescent="0.4">
      <c r="A604" s="2" t="s">
        <v>13538</v>
      </c>
      <c r="B604" s="2" t="s">
        <v>5883</v>
      </c>
      <c r="C604" s="6" t="s">
        <v>5879</v>
      </c>
      <c r="D604" s="6" t="s">
        <v>42</v>
      </c>
      <c r="E604" s="7">
        <v>44927</v>
      </c>
      <c r="F604" s="8" t="s">
        <v>77</v>
      </c>
      <c r="G604" s="2" t="s">
        <v>26</v>
      </c>
      <c r="H604" s="8" t="s">
        <v>28</v>
      </c>
      <c r="I604" s="2" t="s">
        <v>26</v>
      </c>
      <c r="J604" s="7">
        <v>44927</v>
      </c>
      <c r="K604" s="8" t="s">
        <v>77</v>
      </c>
      <c r="L604" s="2" t="s">
        <v>26</v>
      </c>
      <c r="M604" s="8" t="s">
        <v>28</v>
      </c>
      <c r="N604" s="6" t="s">
        <v>2264</v>
      </c>
      <c r="O604" s="6" t="s">
        <v>30</v>
      </c>
      <c r="P604" s="2" t="s">
        <v>13891</v>
      </c>
    </row>
    <row r="605" spans="1:16" ht="13.15" x14ac:dyDescent="0.4">
      <c r="A605" s="2" t="s">
        <v>13446</v>
      </c>
      <c r="B605" s="2" t="s">
        <v>5883</v>
      </c>
      <c r="C605" s="6" t="s">
        <v>5879</v>
      </c>
      <c r="D605" s="6" t="s">
        <v>42</v>
      </c>
      <c r="E605" s="7">
        <v>44927</v>
      </c>
      <c r="F605" s="8" t="s">
        <v>77</v>
      </c>
      <c r="G605" s="2" t="s">
        <v>26</v>
      </c>
      <c r="H605" s="8" t="s">
        <v>28</v>
      </c>
      <c r="I605" s="2" t="s">
        <v>26</v>
      </c>
      <c r="J605" s="7">
        <v>44927</v>
      </c>
      <c r="K605" s="8" t="s">
        <v>77</v>
      </c>
      <c r="L605" s="2" t="s">
        <v>26</v>
      </c>
      <c r="M605" s="8" t="s">
        <v>28</v>
      </c>
      <c r="N605" s="6" t="s">
        <v>2264</v>
      </c>
      <c r="O605" s="6" t="s">
        <v>30</v>
      </c>
      <c r="P605" s="2" t="s">
        <v>13796</v>
      </c>
    </row>
    <row r="606" spans="1:16" ht="13.15" x14ac:dyDescent="0.4">
      <c r="A606" s="2" t="s">
        <v>13547</v>
      </c>
      <c r="B606" s="2" t="s">
        <v>5883</v>
      </c>
      <c r="C606" s="6" t="s">
        <v>5879</v>
      </c>
      <c r="D606" s="6" t="s">
        <v>42</v>
      </c>
      <c r="E606" s="7">
        <v>44927</v>
      </c>
      <c r="F606" s="8" t="s">
        <v>77</v>
      </c>
      <c r="G606" s="2" t="s">
        <v>26</v>
      </c>
      <c r="H606" s="8" t="s">
        <v>28</v>
      </c>
      <c r="I606" s="2" t="s">
        <v>26</v>
      </c>
      <c r="J606" s="7">
        <v>44927</v>
      </c>
      <c r="K606" s="8" t="s">
        <v>77</v>
      </c>
      <c r="L606" s="2" t="s">
        <v>26</v>
      </c>
      <c r="M606" s="8" t="s">
        <v>28</v>
      </c>
      <c r="N606" s="6" t="s">
        <v>2264</v>
      </c>
      <c r="O606" s="6" t="s">
        <v>30</v>
      </c>
      <c r="P606" s="2" t="s">
        <v>13900</v>
      </c>
    </row>
    <row r="607" spans="1:16" ht="13.15" x14ac:dyDescent="0.4">
      <c r="A607" s="2" t="s">
        <v>13564</v>
      </c>
      <c r="B607" s="2" t="s">
        <v>5883</v>
      </c>
      <c r="C607" s="6" t="s">
        <v>5879</v>
      </c>
      <c r="D607" s="6" t="s">
        <v>42</v>
      </c>
      <c r="E607" s="7">
        <v>44927</v>
      </c>
      <c r="F607" s="8" t="s">
        <v>77</v>
      </c>
      <c r="G607" s="2" t="s">
        <v>26</v>
      </c>
      <c r="H607" s="8" t="s">
        <v>28</v>
      </c>
      <c r="I607" s="2" t="s">
        <v>26</v>
      </c>
      <c r="J607" s="7">
        <v>44927</v>
      </c>
      <c r="K607" s="8" t="s">
        <v>77</v>
      </c>
      <c r="L607" s="2" t="s">
        <v>26</v>
      </c>
      <c r="M607" s="8" t="s">
        <v>28</v>
      </c>
      <c r="N607" s="6" t="s">
        <v>2264</v>
      </c>
      <c r="O607" s="6" t="s">
        <v>30</v>
      </c>
      <c r="P607" s="2" t="s">
        <v>13918</v>
      </c>
    </row>
    <row r="608" spans="1:16" ht="13.15" x14ac:dyDescent="0.4">
      <c r="A608" s="2" t="s">
        <v>13400</v>
      </c>
      <c r="B608" s="2" t="s">
        <v>5883</v>
      </c>
      <c r="C608" s="6" t="s">
        <v>5879</v>
      </c>
      <c r="D608" s="6" t="s">
        <v>42</v>
      </c>
      <c r="E608" s="7">
        <v>44927</v>
      </c>
      <c r="F608" s="8" t="s">
        <v>77</v>
      </c>
      <c r="G608" s="2" t="s">
        <v>26</v>
      </c>
      <c r="H608" s="8" t="s">
        <v>28</v>
      </c>
      <c r="I608" s="2" t="s">
        <v>26</v>
      </c>
      <c r="J608" s="7">
        <v>44927</v>
      </c>
      <c r="K608" s="8" t="s">
        <v>77</v>
      </c>
      <c r="L608" s="2" t="s">
        <v>26</v>
      </c>
      <c r="M608" s="8" t="s">
        <v>28</v>
      </c>
      <c r="N608" s="6" t="s">
        <v>2264</v>
      </c>
      <c r="O608" s="6" t="s">
        <v>30</v>
      </c>
      <c r="P608" s="2" t="s">
        <v>13746</v>
      </c>
    </row>
    <row r="609" spans="1:16" ht="13.15" x14ac:dyDescent="0.4">
      <c r="A609" s="2" t="s">
        <v>13409</v>
      </c>
      <c r="B609" s="2" t="s">
        <v>5883</v>
      </c>
      <c r="C609" s="6" t="s">
        <v>5879</v>
      </c>
      <c r="D609" s="6" t="s">
        <v>42</v>
      </c>
      <c r="E609" s="7">
        <v>44927</v>
      </c>
      <c r="F609" s="8" t="s">
        <v>77</v>
      </c>
      <c r="G609" s="2" t="s">
        <v>26</v>
      </c>
      <c r="H609" s="8" t="s">
        <v>28</v>
      </c>
      <c r="I609" s="2" t="s">
        <v>26</v>
      </c>
      <c r="J609" s="7">
        <v>44927</v>
      </c>
      <c r="K609" s="8" t="s">
        <v>77</v>
      </c>
      <c r="L609" s="2" t="s">
        <v>26</v>
      </c>
      <c r="M609" s="8" t="s">
        <v>28</v>
      </c>
      <c r="N609" s="6" t="s">
        <v>2264</v>
      </c>
      <c r="O609" s="6" t="s">
        <v>30</v>
      </c>
      <c r="P609" s="2" t="s">
        <v>13756</v>
      </c>
    </row>
    <row r="610" spans="1:16" ht="13.15" x14ac:dyDescent="0.4">
      <c r="A610" s="2" t="s">
        <v>13350</v>
      </c>
      <c r="B610" s="2" t="s">
        <v>5883</v>
      </c>
      <c r="C610" s="6" t="s">
        <v>5879</v>
      </c>
      <c r="D610" s="6" t="s">
        <v>42</v>
      </c>
      <c r="E610" s="7">
        <v>44927</v>
      </c>
      <c r="F610" s="8" t="s">
        <v>77</v>
      </c>
      <c r="G610" s="2" t="s">
        <v>26</v>
      </c>
      <c r="H610" s="8" t="s">
        <v>28</v>
      </c>
      <c r="I610" s="2" t="s">
        <v>26</v>
      </c>
      <c r="J610" s="7">
        <v>44927</v>
      </c>
      <c r="K610" s="8" t="s">
        <v>77</v>
      </c>
      <c r="L610" s="2" t="s">
        <v>26</v>
      </c>
      <c r="M610" s="8" t="s">
        <v>28</v>
      </c>
      <c r="N610" s="6" t="s">
        <v>2264</v>
      </c>
      <c r="O610" s="6" t="s">
        <v>30</v>
      </c>
      <c r="P610" s="2" t="s">
        <v>13693</v>
      </c>
    </row>
    <row r="611" spans="1:16" ht="13.15" x14ac:dyDescent="0.4">
      <c r="A611" s="2" t="s">
        <v>13579</v>
      </c>
      <c r="B611" s="2" t="s">
        <v>5883</v>
      </c>
      <c r="C611" s="6" t="s">
        <v>5879</v>
      </c>
      <c r="D611" s="6" t="s">
        <v>42</v>
      </c>
      <c r="E611" s="7">
        <v>44927</v>
      </c>
      <c r="F611" s="8" t="s">
        <v>77</v>
      </c>
      <c r="G611" s="2" t="s">
        <v>26</v>
      </c>
      <c r="H611" s="8" t="s">
        <v>28</v>
      </c>
      <c r="I611" s="2" t="s">
        <v>26</v>
      </c>
      <c r="J611" s="7">
        <v>44927</v>
      </c>
      <c r="K611" s="8" t="s">
        <v>77</v>
      </c>
      <c r="L611" s="2" t="s">
        <v>26</v>
      </c>
      <c r="M611" s="8" t="s">
        <v>28</v>
      </c>
      <c r="N611" s="6" t="s">
        <v>2264</v>
      </c>
      <c r="O611" s="6" t="s">
        <v>30</v>
      </c>
      <c r="P611" s="2" t="s">
        <v>13935</v>
      </c>
    </row>
    <row r="612" spans="1:16" ht="13.15" x14ac:dyDescent="0.4">
      <c r="A612" s="2" t="s">
        <v>13454</v>
      </c>
      <c r="B612" s="2" t="s">
        <v>5883</v>
      </c>
      <c r="C612" s="6" t="s">
        <v>5879</v>
      </c>
      <c r="D612" s="6" t="s">
        <v>42</v>
      </c>
      <c r="E612" s="7">
        <v>44927</v>
      </c>
      <c r="F612" s="8" t="s">
        <v>77</v>
      </c>
      <c r="G612" s="2" t="s">
        <v>26</v>
      </c>
      <c r="H612" s="8" t="s">
        <v>28</v>
      </c>
      <c r="I612" s="2" t="s">
        <v>26</v>
      </c>
      <c r="J612" s="7">
        <v>44927</v>
      </c>
      <c r="K612" s="8" t="s">
        <v>77</v>
      </c>
      <c r="L612" s="2" t="s">
        <v>26</v>
      </c>
      <c r="M612" s="8" t="s">
        <v>28</v>
      </c>
      <c r="N612" s="6" t="s">
        <v>2264</v>
      </c>
      <c r="O612" s="6" t="s">
        <v>30</v>
      </c>
      <c r="P612" s="2" t="s">
        <v>13804</v>
      </c>
    </row>
    <row r="613" spans="1:16" ht="13.15" x14ac:dyDescent="0.4">
      <c r="A613" s="2" t="s">
        <v>13563</v>
      </c>
      <c r="B613" s="2" t="s">
        <v>5883</v>
      </c>
      <c r="C613" s="6" t="s">
        <v>5879</v>
      </c>
      <c r="D613" s="6" t="s">
        <v>42</v>
      </c>
      <c r="E613" s="7">
        <v>44927</v>
      </c>
      <c r="F613" s="8" t="s">
        <v>77</v>
      </c>
      <c r="G613" s="2" t="s">
        <v>26</v>
      </c>
      <c r="H613" s="8" t="s">
        <v>28</v>
      </c>
      <c r="I613" s="2" t="s">
        <v>26</v>
      </c>
      <c r="J613" s="7">
        <v>44927</v>
      </c>
      <c r="K613" s="8" t="s">
        <v>77</v>
      </c>
      <c r="L613" s="2" t="s">
        <v>26</v>
      </c>
      <c r="M613" s="8" t="s">
        <v>28</v>
      </c>
      <c r="N613" s="6" t="s">
        <v>2264</v>
      </c>
      <c r="O613" s="6" t="s">
        <v>30</v>
      </c>
      <c r="P613" s="2" t="s">
        <v>13917</v>
      </c>
    </row>
    <row r="614" spans="1:16" ht="13.15" x14ac:dyDescent="0.4">
      <c r="A614" s="2" t="s">
        <v>13408</v>
      </c>
      <c r="B614" s="2" t="s">
        <v>5883</v>
      </c>
      <c r="C614" s="6" t="s">
        <v>5879</v>
      </c>
      <c r="D614" s="6" t="s">
        <v>42</v>
      </c>
      <c r="E614" s="7">
        <v>44927</v>
      </c>
      <c r="F614" s="8" t="s">
        <v>77</v>
      </c>
      <c r="G614" s="2" t="s">
        <v>26</v>
      </c>
      <c r="H614" s="8" t="s">
        <v>28</v>
      </c>
      <c r="I614" s="2" t="s">
        <v>26</v>
      </c>
      <c r="J614" s="7">
        <v>44927</v>
      </c>
      <c r="K614" s="8" t="s">
        <v>77</v>
      </c>
      <c r="L614" s="2" t="s">
        <v>26</v>
      </c>
      <c r="M614" s="8" t="s">
        <v>28</v>
      </c>
      <c r="N614" s="6" t="s">
        <v>2264</v>
      </c>
      <c r="O614" s="6" t="s">
        <v>30</v>
      </c>
      <c r="P614" s="2" t="s">
        <v>13755</v>
      </c>
    </row>
    <row r="615" spans="1:16" ht="13.15" x14ac:dyDescent="0.4">
      <c r="A615" s="2" t="s">
        <v>13549</v>
      </c>
      <c r="B615" s="2" t="s">
        <v>5883</v>
      </c>
      <c r="C615" s="6" t="s">
        <v>5879</v>
      </c>
      <c r="D615" s="6" t="s">
        <v>42</v>
      </c>
      <c r="E615" s="7">
        <v>44927</v>
      </c>
      <c r="F615" s="8" t="s">
        <v>77</v>
      </c>
      <c r="G615" s="2" t="s">
        <v>26</v>
      </c>
      <c r="H615" s="8" t="s">
        <v>28</v>
      </c>
      <c r="I615" s="2" t="s">
        <v>26</v>
      </c>
      <c r="J615" s="7">
        <v>44927</v>
      </c>
      <c r="K615" s="8" t="s">
        <v>77</v>
      </c>
      <c r="L615" s="2" t="s">
        <v>26</v>
      </c>
      <c r="M615" s="8" t="s">
        <v>28</v>
      </c>
      <c r="N615" s="6" t="s">
        <v>2264</v>
      </c>
      <c r="O615" s="6" t="s">
        <v>30</v>
      </c>
      <c r="P615" s="2" t="s">
        <v>13903</v>
      </c>
    </row>
    <row r="616" spans="1:16" ht="13.15" x14ac:dyDescent="0.4">
      <c r="A616" s="2" t="s">
        <v>13610</v>
      </c>
      <c r="B616" s="2" t="s">
        <v>5883</v>
      </c>
      <c r="C616" s="6" t="s">
        <v>5879</v>
      </c>
      <c r="D616" s="6" t="s">
        <v>42</v>
      </c>
      <c r="E616" s="7">
        <v>44927</v>
      </c>
      <c r="F616" s="8" t="s">
        <v>77</v>
      </c>
      <c r="G616" s="2" t="s">
        <v>26</v>
      </c>
      <c r="H616" s="8" t="s">
        <v>28</v>
      </c>
      <c r="I616" s="2" t="s">
        <v>26</v>
      </c>
      <c r="J616" s="7">
        <v>44927</v>
      </c>
      <c r="K616" s="8" t="s">
        <v>77</v>
      </c>
      <c r="L616" s="2" t="s">
        <v>26</v>
      </c>
      <c r="M616" s="8" t="s">
        <v>28</v>
      </c>
      <c r="N616" s="6" t="s">
        <v>2264</v>
      </c>
      <c r="O616" s="6" t="s">
        <v>30</v>
      </c>
      <c r="P616" s="2" t="s">
        <v>13967</v>
      </c>
    </row>
    <row r="617" spans="1:16" ht="13.15" x14ac:dyDescent="0.4">
      <c r="A617" s="2" t="s">
        <v>13467</v>
      </c>
      <c r="B617" s="2" t="s">
        <v>5883</v>
      </c>
      <c r="C617" s="6" t="s">
        <v>5879</v>
      </c>
      <c r="D617" s="6" t="s">
        <v>42</v>
      </c>
      <c r="E617" s="7">
        <v>44927</v>
      </c>
      <c r="F617" s="8" t="s">
        <v>77</v>
      </c>
      <c r="G617" s="2" t="s">
        <v>26</v>
      </c>
      <c r="H617" s="8" t="s">
        <v>28</v>
      </c>
      <c r="I617" s="2" t="s">
        <v>26</v>
      </c>
      <c r="J617" s="7">
        <v>44927</v>
      </c>
      <c r="K617" s="8" t="s">
        <v>77</v>
      </c>
      <c r="L617" s="2" t="s">
        <v>26</v>
      </c>
      <c r="M617" s="8" t="s">
        <v>28</v>
      </c>
      <c r="N617" s="6" t="s">
        <v>2264</v>
      </c>
      <c r="O617" s="6" t="s">
        <v>30</v>
      </c>
      <c r="P617" s="2" t="s">
        <v>13817</v>
      </c>
    </row>
    <row r="618" spans="1:16" ht="13.15" x14ac:dyDescent="0.4">
      <c r="A618" s="2" t="s">
        <v>13363</v>
      </c>
      <c r="B618" s="2" t="s">
        <v>5883</v>
      </c>
      <c r="C618" s="6" t="s">
        <v>5879</v>
      </c>
      <c r="D618" s="6" t="s">
        <v>42</v>
      </c>
      <c r="E618" s="7">
        <v>44927</v>
      </c>
      <c r="F618" s="8" t="s">
        <v>77</v>
      </c>
      <c r="G618" s="2" t="s">
        <v>26</v>
      </c>
      <c r="H618" s="8" t="s">
        <v>28</v>
      </c>
      <c r="I618" s="2" t="s">
        <v>26</v>
      </c>
      <c r="J618" s="7">
        <v>44927</v>
      </c>
      <c r="K618" s="8" t="s">
        <v>77</v>
      </c>
      <c r="L618" s="2" t="s">
        <v>26</v>
      </c>
      <c r="M618" s="8" t="s">
        <v>28</v>
      </c>
      <c r="N618" s="6" t="s">
        <v>2264</v>
      </c>
      <c r="O618" s="6" t="s">
        <v>30</v>
      </c>
      <c r="P618" s="2" t="s">
        <v>13707</v>
      </c>
    </row>
    <row r="619" spans="1:16" ht="13.15" x14ac:dyDescent="0.4">
      <c r="A619" s="2" t="s">
        <v>13609</v>
      </c>
      <c r="B619" s="2" t="s">
        <v>5883</v>
      </c>
      <c r="C619" s="6" t="s">
        <v>5879</v>
      </c>
      <c r="D619" s="6" t="s">
        <v>42</v>
      </c>
      <c r="E619" s="7">
        <v>44927</v>
      </c>
      <c r="F619" s="8" t="s">
        <v>77</v>
      </c>
      <c r="G619" s="2" t="s">
        <v>26</v>
      </c>
      <c r="H619" s="8" t="s">
        <v>28</v>
      </c>
      <c r="I619" s="2" t="s">
        <v>26</v>
      </c>
      <c r="J619" s="7">
        <v>44927</v>
      </c>
      <c r="K619" s="8" t="s">
        <v>77</v>
      </c>
      <c r="L619" s="2" t="s">
        <v>26</v>
      </c>
      <c r="M619" s="8" t="s">
        <v>28</v>
      </c>
      <c r="N619" s="6" t="s">
        <v>2264</v>
      </c>
      <c r="O619" s="6" t="s">
        <v>30</v>
      </c>
      <c r="P619" s="2" t="s">
        <v>13966</v>
      </c>
    </row>
    <row r="620" spans="1:16" ht="13.15" x14ac:dyDescent="0.4">
      <c r="A620" s="2" t="s">
        <v>13566</v>
      </c>
      <c r="B620" s="2" t="s">
        <v>5883</v>
      </c>
      <c r="C620" s="6" t="s">
        <v>5879</v>
      </c>
      <c r="D620" s="6" t="s">
        <v>42</v>
      </c>
      <c r="E620" s="7">
        <v>44927</v>
      </c>
      <c r="F620" s="8" t="s">
        <v>77</v>
      </c>
      <c r="G620" s="2" t="s">
        <v>26</v>
      </c>
      <c r="H620" s="8" t="s">
        <v>28</v>
      </c>
      <c r="I620" s="2" t="s">
        <v>26</v>
      </c>
      <c r="J620" s="7">
        <v>44927</v>
      </c>
      <c r="K620" s="8" t="s">
        <v>77</v>
      </c>
      <c r="L620" s="2" t="s">
        <v>26</v>
      </c>
      <c r="M620" s="8" t="s">
        <v>28</v>
      </c>
      <c r="N620" s="6" t="s">
        <v>2264</v>
      </c>
      <c r="O620" s="6" t="s">
        <v>30</v>
      </c>
      <c r="P620" s="2" t="s">
        <v>13921</v>
      </c>
    </row>
    <row r="621" spans="1:16" ht="13.15" x14ac:dyDescent="0.4">
      <c r="A621" s="2" t="s">
        <v>13372</v>
      </c>
      <c r="B621" s="2" t="s">
        <v>5883</v>
      </c>
      <c r="C621" s="6" t="s">
        <v>5879</v>
      </c>
      <c r="D621" s="6" t="s">
        <v>42</v>
      </c>
      <c r="E621" s="7">
        <v>44927</v>
      </c>
      <c r="F621" s="8" t="s">
        <v>77</v>
      </c>
      <c r="G621" s="2" t="s">
        <v>26</v>
      </c>
      <c r="H621" s="8" t="s">
        <v>28</v>
      </c>
      <c r="I621" s="2" t="s">
        <v>26</v>
      </c>
      <c r="J621" s="7">
        <v>44927</v>
      </c>
      <c r="K621" s="8" t="s">
        <v>77</v>
      </c>
      <c r="L621" s="2" t="s">
        <v>26</v>
      </c>
      <c r="M621" s="8" t="s">
        <v>28</v>
      </c>
      <c r="N621" s="6" t="s">
        <v>2264</v>
      </c>
      <c r="O621" s="6" t="s">
        <v>30</v>
      </c>
      <c r="P621" s="2" t="s">
        <v>13716</v>
      </c>
    </row>
    <row r="622" spans="1:16" ht="13.15" x14ac:dyDescent="0.4">
      <c r="A622" s="2" t="s">
        <v>13450</v>
      </c>
      <c r="B622" s="2" t="s">
        <v>5883</v>
      </c>
      <c r="C622" s="6" t="s">
        <v>5879</v>
      </c>
      <c r="D622" s="6" t="s">
        <v>42</v>
      </c>
      <c r="E622" s="7">
        <v>44927</v>
      </c>
      <c r="F622" s="8" t="s">
        <v>77</v>
      </c>
      <c r="G622" s="2" t="s">
        <v>26</v>
      </c>
      <c r="H622" s="8" t="s">
        <v>28</v>
      </c>
      <c r="I622" s="2" t="s">
        <v>26</v>
      </c>
      <c r="J622" s="7">
        <v>44927</v>
      </c>
      <c r="K622" s="8" t="s">
        <v>77</v>
      </c>
      <c r="L622" s="2" t="s">
        <v>26</v>
      </c>
      <c r="M622" s="8" t="s">
        <v>28</v>
      </c>
      <c r="N622" s="6" t="s">
        <v>2264</v>
      </c>
      <c r="O622" s="6" t="s">
        <v>30</v>
      </c>
      <c r="P622" s="2" t="s">
        <v>13800</v>
      </c>
    </row>
    <row r="623" spans="1:16" ht="13.15" x14ac:dyDescent="0.4">
      <c r="A623" s="2" t="s">
        <v>13421</v>
      </c>
      <c r="B623" s="2" t="s">
        <v>5883</v>
      </c>
      <c r="C623" s="6" t="s">
        <v>5879</v>
      </c>
      <c r="D623" s="6" t="s">
        <v>42</v>
      </c>
      <c r="E623" s="7">
        <v>44927</v>
      </c>
      <c r="F623" s="8" t="s">
        <v>77</v>
      </c>
      <c r="G623" s="2" t="s">
        <v>26</v>
      </c>
      <c r="H623" s="8" t="s">
        <v>28</v>
      </c>
      <c r="I623" s="2" t="s">
        <v>26</v>
      </c>
      <c r="J623" s="7">
        <v>44927</v>
      </c>
      <c r="K623" s="8" t="s">
        <v>77</v>
      </c>
      <c r="L623" s="2" t="s">
        <v>26</v>
      </c>
      <c r="M623" s="8" t="s">
        <v>28</v>
      </c>
      <c r="N623" s="6" t="s">
        <v>2264</v>
      </c>
      <c r="O623" s="6" t="s">
        <v>30</v>
      </c>
      <c r="P623" s="2" t="s">
        <v>13769</v>
      </c>
    </row>
    <row r="624" spans="1:16" ht="13.15" x14ac:dyDescent="0.4">
      <c r="A624" s="2" t="s">
        <v>13595</v>
      </c>
      <c r="B624" s="2" t="s">
        <v>5883</v>
      </c>
      <c r="C624" s="6" t="s">
        <v>5879</v>
      </c>
      <c r="D624" s="6" t="s">
        <v>42</v>
      </c>
      <c r="E624" s="7">
        <v>44927</v>
      </c>
      <c r="F624" s="8" t="s">
        <v>77</v>
      </c>
      <c r="G624" s="2" t="s">
        <v>26</v>
      </c>
      <c r="H624" s="8" t="s">
        <v>28</v>
      </c>
      <c r="I624" s="2" t="s">
        <v>26</v>
      </c>
      <c r="J624" s="7">
        <v>44927</v>
      </c>
      <c r="K624" s="8" t="s">
        <v>77</v>
      </c>
      <c r="L624" s="2" t="s">
        <v>26</v>
      </c>
      <c r="M624" s="8" t="s">
        <v>28</v>
      </c>
      <c r="N624" s="6" t="s">
        <v>2264</v>
      </c>
      <c r="O624" s="6" t="s">
        <v>30</v>
      </c>
      <c r="P624" s="2" t="s">
        <v>13952</v>
      </c>
    </row>
    <row r="625" spans="1:16" ht="13.15" x14ac:dyDescent="0.4">
      <c r="A625" s="2" t="s">
        <v>13589</v>
      </c>
      <c r="B625" s="2" t="s">
        <v>5883</v>
      </c>
      <c r="C625" s="6" t="s">
        <v>5879</v>
      </c>
      <c r="D625" s="6" t="s">
        <v>42</v>
      </c>
      <c r="E625" s="7">
        <v>44927</v>
      </c>
      <c r="F625" s="8" t="s">
        <v>77</v>
      </c>
      <c r="G625" s="2" t="s">
        <v>26</v>
      </c>
      <c r="H625" s="8" t="s">
        <v>28</v>
      </c>
      <c r="I625" s="2" t="s">
        <v>26</v>
      </c>
      <c r="J625" s="7">
        <v>44927</v>
      </c>
      <c r="K625" s="8" t="s">
        <v>77</v>
      </c>
      <c r="L625" s="2" t="s">
        <v>26</v>
      </c>
      <c r="M625" s="8" t="s">
        <v>28</v>
      </c>
      <c r="N625" s="6" t="s">
        <v>2264</v>
      </c>
      <c r="O625" s="6" t="s">
        <v>30</v>
      </c>
      <c r="P625" s="2" t="s">
        <v>13946</v>
      </c>
    </row>
    <row r="626" spans="1:16" ht="13.15" x14ac:dyDescent="0.4">
      <c r="A626" s="2" t="s">
        <v>13323</v>
      </c>
      <c r="B626" s="2" t="s">
        <v>5883</v>
      </c>
      <c r="C626" s="6" t="s">
        <v>5879</v>
      </c>
      <c r="D626" s="6" t="s">
        <v>42</v>
      </c>
      <c r="E626" s="7">
        <v>44927</v>
      </c>
      <c r="F626" s="8" t="s">
        <v>77</v>
      </c>
      <c r="G626" s="2" t="s">
        <v>26</v>
      </c>
      <c r="H626" s="8" t="s">
        <v>28</v>
      </c>
      <c r="I626" s="2" t="s">
        <v>26</v>
      </c>
      <c r="J626" s="7">
        <v>44927</v>
      </c>
      <c r="K626" s="8" t="s">
        <v>77</v>
      </c>
      <c r="L626" s="2" t="s">
        <v>26</v>
      </c>
      <c r="M626" s="8" t="s">
        <v>28</v>
      </c>
      <c r="N626" s="6" t="s">
        <v>2264</v>
      </c>
      <c r="O626" s="6" t="s">
        <v>30</v>
      </c>
      <c r="P626" s="2" t="s">
        <v>13662</v>
      </c>
    </row>
    <row r="627" spans="1:16" ht="13.15" x14ac:dyDescent="0.4">
      <c r="A627" s="2" t="s">
        <v>13284</v>
      </c>
      <c r="B627" s="2" t="s">
        <v>5883</v>
      </c>
      <c r="C627" s="6" t="s">
        <v>5879</v>
      </c>
      <c r="D627" s="6" t="s">
        <v>42</v>
      </c>
      <c r="E627" s="7">
        <v>44927</v>
      </c>
      <c r="F627" s="8" t="s">
        <v>77</v>
      </c>
      <c r="G627" s="2" t="s">
        <v>26</v>
      </c>
      <c r="H627" s="8" t="s">
        <v>28</v>
      </c>
      <c r="I627" s="2" t="s">
        <v>26</v>
      </c>
      <c r="J627" s="7">
        <v>44927</v>
      </c>
      <c r="K627" s="8" t="s">
        <v>77</v>
      </c>
      <c r="L627" s="2" t="s">
        <v>26</v>
      </c>
      <c r="M627" s="8" t="s">
        <v>28</v>
      </c>
      <c r="N627" s="6" t="s">
        <v>2264</v>
      </c>
      <c r="O627" s="6" t="s">
        <v>30</v>
      </c>
      <c r="P627" s="2" t="s">
        <v>13622</v>
      </c>
    </row>
    <row r="628" spans="1:16" ht="13.15" x14ac:dyDescent="0.4">
      <c r="A628" s="2" t="s">
        <v>13473</v>
      </c>
      <c r="B628" s="2" t="s">
        <v>5883</v>
      </c>
      <c r="C628" s="6" t="s">
        <v>5879</v>
      </c>
      <c r="D628" s="6" t="s">
        <v>42</v>
      </c>
      <c r="E628" s="7">
        <v>44927</v>
      </c>
      <c r="F628" s="8" t="s">
        <v>77</v>
      </c>
      <c r="G628" s="2" t="s">
        <v>26</v>
      </c>
      <c r="H628" s="8" t="s">
        <v>28</v>
      </c>
      <c r="I628" s="2" t="s">
        <v>26</v>
      </c>
      <c r="J628" s="7">
        <v>44927</v>
      </c>
      <c r="K628" s="8" t="s">
        <v>77</v>
      </c>
      <c r="L628" s="2" t="s">
        <v>26</v>
      </c>
      <c r="M628" s="8" t="s">
        <v>28</v>
      </c>
      <c r="N628" s="6" t="s">
        <v>2264</v>
      </c>
      <c r="O628" s="6" t="s">
        <v>30</v>
      </c>
      <c r="P628" s="2" t="s">
        <v>13823</v>
      </c>
    </row>
    <row r="629" spans="1:16" ht="13.15" x14ac:dyDescent="0.4">
      <c r="A629" s="2" t="s">
        <v>13414</v>
      </c>
      <c r="B629" s="2" t="s">
        <v>5883</v>
      </c>
      <c r="C629" s="6" t="s">
        <v>5879</v>
      </c>
      <c r="D629" s="6" t="s">
        <v>42</v>
      </c>
      <c r="E629" s="7">
        <v>44927</v>
      </c>
      <c r="F629" s="8" t="s">
        <v>77</v>
      </c>
      <c r="G629" s="2" t="s">
        <v>26</v>
      </c>
      <c r="H629" s="8" t="s">
        <v>28</v>
      </c>
      <c r="I629" s="2" t="s">
        <v>26</v>
      </c>
      <c r="J629" s="7">
        <v>44927</v>
      </c>
      <c r="K629" s="8" t="s">
        <v>77</v>
      </c>
      <c r="L629" s="2" t="s">
        <v>26</v>
      </c>
      <c r="M629" s="8" t="s">
        <v>28</v>
      </c>
      <c r="N629" s="6" t="s">
        <v>2264</v>
      </c>
      <c r="O629" s="6" t="s">
        <v>30</v>
      </c>
      <c r="P629" s="2" t="s">
        <v>13762</v>
      </c>
    </row>
    <row r="630" spans="1:16" ht="13.15" x14ac:dyDescent="0.4">
      <c r="A630" s="2" t="s">
        <v>13287</v>
      </c>
      <c r="B630" s="2" t="s">
        <v>5883</v>
      </c>
      <c r="C630" s="6" t="s">
        <v>5879</v>
      </c>
      <c r="D630" s="6" t="s">
        <v>42</v>
      </c>
      <c r="E630" s="7">
        <v>44927</v>
      </c>
      <c r="F630" s="8" t="s">
        <v>77</v>
      </c>
      <c r="G630" s="2" t="s">
        <v>26</v>
      </c>
      <c r="H630" s="8" t="s">
        <v>28</v>
      </c>
      <c r="I630" s="2" t="s">
        <v>26</v>
      </c>
      <c r="J630" s="7">
        <v>44927</v>
      </c>
      <c r="K630" s="8" t="s">
        <v>77</v>
      </c>
      <c r="L630" s="2" t="s">
        <v>26</v>
      </c>
      <c r="M630" s="8" t="s">
        <v>28</v>
      </c>
      <c r="N630" s="6" t="s">
        <v>2264</v>
      </c>
      <c r="O630" s="6" t="s">
        <v>30</v>
      </c>
      <c r="P630" s="2" t="s">
        <v>13625</v>
      </c>
    </row>
    <row r="631" spans="1:16" ht="13.15" x14ac:dyDescent="0.4">
      <c r="A631" s="2" t="s">
        <v>13553</v>
      </c>
      <c r="B631" s="2" t="s">
        <v>5883</v>
      </c>
      <c r="C631" s="6" t="s">
        <v>5879</v>
      </c>
      <c r="D631" s="6" t="s">
        <v>42</v>
      </c>
      <c r="E631" s="7">
        <v>44927</v>
      </c>
      <c r="F631" s="8" t="s">
        <v>77</v>
      </c>
      <c r="G631" s="2" t="s">
        <v>26</v>
      </c>
      <c r="H631" s="8" t="s">
        <v>28</v>
      </c>
      <c r="I631" s="2" t="s">
        <v>26</v>
      </c>
      <c r="J631" s="7">
        <v>44927</v>
      </c>
      <c r="K631" s="8" t="s">
        <v>77</v>
      </c>
      <c r="L631" s="2" t="s">
        <v>26</v>
      </c>
      <c r="M631" s="8" t="s">
        <v>28</v>
      </c>
      <c r="N631" s="6" t="s">
        <v>2264</v>
      </c>
      <c r="O631" s="6" t="s">
        <v>30</v>
      </c>
      <c r="P631" s="2" t="s">
        <v>13907</v>
      </c>
    </row>
    <row r="632" spans="1:16" ht="13.15" x14ac:dyDescent="0.4">
      <c r="A632" s="2" t="s">
        <v>13387</v>
      </c>
      <c r="B632" s="2" t="s">
        <v>5883</v>
      </c>
      <c r="C632" s="6" t="s">
        <v>5879</v>
      </c>
      <c r="D632" s="6" t="s">
        <v>42</v>
      </c>
      <c r="E632" s="7">
        <v>44927</v>
      </c>
      <c r="F632" s="8" t="s">
        <v>77</v>
      </c>
      <c r="G632" s="2" t="s">
        <v>26</v>
      </c>
      <c r="H632" s="8" t="s">
        <v>28</v>
      </c>
      <c r="I632" s="2" t="s">
        <v>26</v>
      </c>
      <c r="J632" s="7">
        <v>44927</v>
      </c>
      <c r="K632" s="8" t="s">
        <v>77</v>
      </c>
      <c r="L632" s="2" t="s">
        <v>26</v>
      </c>
      <c r="M632" s="8" t="s">
        <v>28</v>
      </c>
      <c r="N632" s="6" t="s">
        <v>2264</v>
      </c>
      <c r="O632" s="6" t="s">
        <v>30</v>
      </c>
      <c r="P632" s="2" t="s">
        <v>13733</v>
      </c>
    </row>
    <row r="633" spans="1:16" ht="13.15" x14ac:dyDescent="0.4">
      <c r="A633" s="2" t="s">
        <v>13433</v>
      </c>
      <c r="B633" s="2" t="s">
        <v>5883</v>
      </c>
      <c r="C633" s="6" t="s">
        <v>5879</v>
      </c>
      <c r="D633" s="6" t="s">
        <v>42</v>
      </c>
      <c r="E633" s="7">
        <v>44927</v>
      </c>
      <c r="F633" s="8" t="s">
        <v>77</v>
      </c>
      <c r="G633" s="2" t="s">
        <v>26</v>
      </c>
      <c r="H633" s="8" t="s">
        <v>28</v>
      </c>
      <c r="I633" s="2" t="s">
        <v>26</v>
      </c>
      <c r="J633" s="7">
        <v>44927</v>
      </c>
      <c r="K633" s="8" t="s">
        <v>77</v>
      </c>
      <c r="L633" s="2" t="s">
        <v>26</v>
      </c>
      <c r="M633" s="8" t="s">
        <v>28</v>
      </c>
      <c r="N633" s="6" t="s">
        <v>2264</v>
      </c>
      <c r="O633" s="6" t="s">
        <v>30</v>
      </c>
      <c r="P633" s="2" t="s">
        <v>13782</v>
      </c>
    </row>
    <row r="634" spans="1:16" ht="13.15" x14ac:dyDescent="0.4">
      <c r="A634" s="2" t="s">
        <v>13357</v>
      </c>
      <c r="B634" s="2" t="s">
        <v>5883</v>
      </c>
      <c r="C634" s="6" t="s">
        <v>5879</v>
      </c>
      <c r="D634" s="6" t="s">
        <v>42</v>
      </c>
      <c r="E634" s="7">
        <v>44927</v>
      </c>
      <c r="F634" s="8" t="s">
        <v>77</v>
      </c>
      <c r="G634" s="2" t="s">
        <v>26</v>
      </c>
      <c r="H634" s="8" t="s">
        <v>28</v>
      </c>
      <c r="I634" s="2" t="s">
        <v>26</v>
      </c>
      <c r="J634" s="7">
        <v>44927</v>
      </c>
      <c r="K634" s="8" t="s">
        <v>77</v>
      </c>
      <c r="L634" s="2" t="s">
        <v>26</v>
      </c>
      <c r="M634" s="8" t="s">
        <v>28</v>
      </c>
      <c r="N634" s="6" t="s">
        <v>2264</v>
      </c>
      <c r="O634" s="6" t="s">
        <v>30</v>
      </c>
      <c r="P634" s="2" t="s">
        <v>13701</v>
      </c>
    </row>
    <row r="635" spans="1:16" ht="13.15" x14ac:dyDescent="0.4">
      <c r="A635" s="2" t="s">
        <v>13379</v>
      </c>
      <c r="B635" s="2" t="s">
        <v>5883</v>
      </c>
      <c r="C635" s="6" t="s">
        <v>5879</v>
      </c>
      <c r="D635" s="6" t="s">
        <v>42</v>
      </c>
      <c r="E635" s="7">
        <v>44927</v>
      </c>
      <c r="F635" s="8" t="s">
        <v>77</v>
      </c>
      <c r="G635" s="2" t="s">
        <v>26</v>
      </c>
      <c r="H635" s="8" t="s">
        <v>28</v>
      </c>
      <c r="I635" s="2" t="s">
        <v>26</v>
      </c>
      <c r="J635" s="7">
        <v>44927</v>
      </c>
      <c r="K635" s="8" t="s">
        <v>77</v>
      </c>
      <c r="L635" s="2" t="s">
        <v>26</v>
      </c>
      <c r="M635" s="8" t="s">
        <v>28</v>
      </c>
      <c r="N635" s="6" t="s">
        <v>2264</v>
      </c>
      <c r="O635" s="6" t="s">
        <v>30</v>
      </c>
      <c r="P635" s="2" t="s">
        <v>13725</v>
      </c>
    </row>
    <row r="636" spans="1:16" ht="13.15" x14ac:dyDescent="0.4">
      <c r="A636" s="2" t="s">
        <v>13390</v>
      </c>
      <c r="B636" s="2" t="s">
        <v>5883</v>
      </c>
      <c r="C636" s="6" t="s">
        <v>5879</v>
      </c>
      <c r="D636" s="6" t="s">
        <v>42</v>
      </c>
      <c r="E636" s="7">
        <v>44927</v>
      </c>
      <c r="F636" s="8" t="s">
        <v>77</v>
      </c>
      <c r="G636" s="2" t="s">
        <v>26</v>
      </c>
      <c r="H636" s="8" t="s">
        <v>28</v>
      </c>
      <c r="I636" s="2" t="s">
        <v>26</v>
      </c>
      <c r="J636" s="7">
        <v>44927</v>
      </c>
      <c r="K636" s="8" t="s">
        <v>77</v>
      </c>
      <c r="L636" s="2" t="s">
        <v>26</v>
      </c>
      <c r="M636" s="8" t="s">
        <v>28</v>
      </c>
      <c r="N636" s="6" t="s">
        <v>2264</v>
      </c>
      <c r="O636" s="6" t="s">
        <v>30</v>
      </c>
      <c r="P636" s="2" t="s">
        <v>13736</v>
      </c>
    </row>
    <row r="637" spans="1:16" ht="13.15" x14ac:dyDescent="0.4">
      <c r="A637" s="2" t="s">
        <v>13462</v>
      </c>
      <c r="B637" s="2" t="s">
        <v>5883</v>
      </c>
      <c r="C637" s="6" t="s">
        <v>5879</v>
      </c>
      <c r="D637" s="6" t="s">
        <v>42</v>
      </c>
      <c r="E637" s="7">
        <v>44927</v>
      </c>
      <c r="F637" s="8" t="s">
        <v>77</v>
      </c>
      <c r="G637" s="2" t="s">
        <v>26</v>
      </c>
      <c r="H637" s="8" t="s">
        <v>28</v>
      </c>
      <c r="I637" s="2" t="s">
        <v>26</v>
      </c>
      <c r="J637" s="7">
        <v>44927</v>
      </c>
      <c r="K637" s="8" t="s">
        <v>77</v>
      </c>
      <c r="L637" s="2" t="s">
        <v>26</v>
      </c>
      <c r="M637" s="8" t="s">
        <v>28</v>
      </c>
      <c r="N637" s="6" t="s">
        <v>2264</v>
      </c>
      <c r="O637" s="6" t="s">
        <v>30</v>
      </c>
      <c r="P637" s="2" t="s">
        <v>13812</v>
      </c>
    </row>
    <row r="638" spans="1:16" ht="13.15" x14ac:dyDescent="0.4">
      <c r="A638" s="2" t="s">
        <v>13303</v>
      </c>
      <c r="B638" s="2" t="s">
        <v>5883</v>
      </c>
      <c r="C638" s="6" t="s">
        <v>5879</v>
      </c>
      <c r="D638" s="6" t="s">
        <v>42</v>
      </c>
      <c r="E638" s="7">
        <v>44927</v>
      </c>
      <c r="F638" s="8" t="s">
        <v>77</v>
      </c>
      <c r="G638" s="2" t="s">
        <v>26</v>
      </c>
      <c r="H638" s="8" t="s">
        <v>28</v>
      </c>
      <c r="I638" s="2" t="s">
        <v>26</v>
      </c>
      <c r="J638" s="7">
        <v>44927</v>
      </c>
      <c r="K638" s="8" t="s">
        <v>77</v>
      </c>
      <c r="L638" s="2" t="s">
        <v>26</v>
      </c>
      <c r="M638" s="8" t="s">
        <v>28</v>
      </c>
      <c r="N638" s="6" t="s">
        <v>2264</v>
      </c>
      <c r="O638" s="6" t="s">
        <v>30</v>
      </c>
      <c r="P638" s="2" t="s">
        <v>13642</v>
      </c>
    </row>
    <row r="639" spans="1:16" ht="13.15" x14ac:dyDescent="0.4">
      <c r="A639" s="2" t="s">
        <v>13600</v>
      </c>
      <c r="B639" s="2" t="s">
        <v>5883</v>
      </c>
      <c r="C639" s="6" t="s">
        <v>5879</v>
      </c>
      <c r="D639" s="6" t="s">
        <v>42</v>
      </c>
      <c r="E639" s="7">
        <v>44927</v>
      </c>
      <c r="F639" s="8" t="s">
        <v>77</v>
      </c>
      <c r="G639" s="2" t="s">
        <v>26</v>
      </c>
      <c r="H639" s="8" t="s">
        <v>28</v>
      </c>
      <c r="I639" s="2" t="s">
        <v>26</v>
      </c>
      <c r="J639" s="7">
        <v>44927</v>
      </c>
      <c r="K639" s="8" t="s">
        <v>77</v>
      </c>
      <c r="L639" s="2" t="s">
        <v>26</v>
      </c>
      <c r="M639" s="8" t="s">
        <v>28</v>
      </c>
      <c r="N639" s="6" t="s">
        <v>2264</v>
      </c>
      <c r="O639" s="6" t="s">
        <v>30</v>
      </c>
      <c r="P639" s="2" t="s">
        <v>13957</v>
      </c>
    </row>
    <row r="640" spans="1:16" ht="13.15" x14ac:dyDescent="0.4">
      <c r="A640" s="2" t="s">
        <v>13359</v>
      </c>
      <c r="B640" s="2" t="s">
        <v>5883</v>
      </c>
      <c r="C640" s="6" t="s">
        <v>5879</v>
      </c>
      <c r="D640" s="6" t="s">
        <v>42</v>
      </c>
      <c r="E640" s="7">
        <v>44927</v>
      </c>
      <c r="F640" s="8" t="s">
        <v>77</v>
      </c>
      <c r="G640" s="2" t="s">
        <v>26</v>
      </c>
      <c r="H640" s="8" t="s">
        <v>28</v>
      </c>
      <c r="I640" s="2" t="s">
        <v>26</v>
      </c>
      <c r="J640" s="7">
        <v>44927</v>
      </c>
      <c r="K640" s="8" t="s">
        <v>77</v>
      </c>
      <c r="L640" s="2" t="s">
        <v>26</v>
      </c>
      <c r="M640" s="8" t="s">
        <v>28</v>
      </c>
      <c r="N640" s="6" t="s">
        <v>2264</v>
      </c>
      <c r="O640" s="6" t="s">
        <v>30</v>
      </c>
      <c r="P640" s="2" t="s">
        <v>13703</v>
      </c>
    </row>
    <row r="641" spans="1:16" ht="13.15" x14ac:dyDescent="0.4">
      <c r="A641" s="2" t="s">
        <v>13326</v>
      </c>
      <c r="B641" s="2" t="s">
        <v>5883</v>
      </c>
      <c r="C641" s="6" t="s">
        <v>5879</v>
      </c>
      <c r="D641" s="6" t="s">
        <v>42</v>
      </c>
      <c r="E641" s="7">
        <v>44927</v>
      </c>
      <c r="F641" s="8" t="s">
        <v>77</v>
      </c>
      <c r="G641" s="2" t="s">
        <v>26</v>
      </c>
      <c r="H641" s="8" t="s">
        <v>28</v>
      </c>
      <c r="I641" s="2" t="s">
        <v>26</v>
      </c>
      <c r="J641" s="7">
        <v>44927</v>
      </c>
      <c r="K641" s="8" t="s">
        <v>77</v>
      </c>
      <c r="L641" s="2" t="s">
        <v>26</v>
      </c>
      <c r="M641" s="8" t="s">
        <v>28</v>
      </c>
      <c r="N641" s="6" t="s">
        <v>2264</v>
      </c>
      <c r="O641" s="6" t="s">
        <v>30</v>
      </c>
      <c r="P641" s="2" t="s">
        <v>13665</v>
      </c>
    </row>
    <row r="642" spans="1:16" ht="13.15" x14ac:dyDescent="0.4">
      <c r="A642" s="2" t="s">
        <v>13441</v>
      </c>
      <c r="B642" s="2" t="s">
        <v>5883</v>
      </c>
      <c r="C642" s="6" t="s">
        <v>5879</v>
      </c>
      <c r="D642" s="6" t="s">
        <v>42</v>
      </c>
      <c r="E642" s="7">
        <v>44927</v>
      </c>
      <c r="F642" s="8" t="s">
        <v>77</v>
      </c>
      <c r="G642" s="2" t="s">
        <v>26</v>
      </c>
      <c r="H642" s="8" t="s">
        <v>28</v>
      </c>
      <c r="I642" s="2" t="s">
        <v>26</v>
      </c>
      <c r="J642" s="7">
        <v>44927</v>
      </c>
      <c r="K642" s="8" t="s">
        <v>77</v>
      </c>
      <c r="L642" s="2" t="s">
        <v>26</v>
      </c>
      <c r="M642" s="8" t="s">
        <v>28</v>
      </c>
      <c r="N642" s="6" t="s">
        <v>2264</v>
      </c>
      <c r="O642" s="6" t="s">
        <v>30</v>
      </c>
      <c r="P642" s="2" t="s">
        <v>13790</v>
      </c>
    </row>
    <row r="643" spans="1:16" ht="13.15" x14ac:dyDescent="0.4">
      <c r="A643" s="2" t="s">
        <v>13463</v>
      </c>
      <c r="B643" s="2" t="s">
        <v>5883</v>
      </c>
      <c r="C643" s="6" t="s">
        <v>5879</v>
      </c>
      <c r="D643" s="6" t="s">
        <v>42</v>
      </c>
      <c r="E643" s="7">
        <v>44927</v>
      </c>
      <c r="F643" s="8" t="s">
        <v>77</v>
      </c>
      <c r="G643" s="2" t="s">
        <v>26</v>
      </c>
      <c r="H643" s="8" t="s">
        <v>28</v>
      </c>
      <c r="I643" s="2" t="s">
        <v>26</v>
      </c>
      <c r="J643" s="7">
        <v>44927</v>
      </c>
      <c r="K643" s="8" t="s">
        <v>77</v>
      </c>
      <c r="L643" s="2" t="s">
        <v>26</v>
      </c>
      <c r="M643" s="8" t="s">
        <v>28</v>
      </c>
      <c r="N643" s="6" t="s">
        <v>2264</v>
      </c>
      <c r="O643" s="6" t="s">
        <v>30</v>
      </c>
      <c r="P643" s="2" t="s">
        <v>13813</v>
      </c>
    </row>
    <row r="644" spans="1:16" ht="13.15" x14ac:dyDescent="0.4">
      <c r="A644" s="2" t="s">
        <v>13584</v>
      </c>
      <c r="B644" s="2" t="s">
        <v>5883</v>
      </c>
      <c r="C644" s="6" t="s">
        <v>5879</v>
      </c>
      <c r="D644" s="6" t="s">
        <v>42</v>
      </c>
      <c r="E644" s="7">
        <v>44927</v>
      </c>
      <c r="F644" s="8" t="s">
        <v>77</v>
      </c>
      <c r="G644" s="2" t="s">
        <v>26</v>
      </c>
      <c r="H644" s="8" t="s">
        <v>28</v>
      </c>
      <c r="I644" s="2" t="s">
        <v>26</v>
      </c>
      <c r="J644" s="7">
        <v>44927</v>
      </c>
      <c r="K644" s="8" t="s">
        <v>77</v>
      </c>
      <c r="L644" s="2" t="s">
        <v>26</v>
      </c>
      <c r="M644" s="8" t="s">
        <v>28</v>
      </c>
      <c r="N644" s="6" t="s">
        <v>2264</v>
      </c>
      <c r="O644" s="6" t="s">
        <v>30</v>
      </c>
      <c r="P644" s="2" t="s">
        <v>13940</v>
      </c>
    </row>
    <row r="645" spans="1:16" ht="13.15" x14ac:dyDescent="0.4">
      <c r="A645" s="2" t="s">
        <v>13339</v>
      </c>
      <c r="B645" s="2" t="s">
        <v>5883</v>
      </c>
      <c r="C645" s="6" t="s">
        <v>5879</v>
      </c>
      <c r="D645" s="6" t="s">
        <v>42</v>
      </c>
      <c r="E645" s="7">
        <v>44927</v>
      </c>
      <c r="F645" s="8" t="s">
        <v>77</v>
      </c>
      <c r="G645" s="2" t="s">
        <v>26</v>
      </c>
      <c r="H645" s="8" t="s">
        <v>28</v>
      </c>
      <c r="I645" s="2" t="s">
        <v>26</v>
      </c>
      <c r="J645" s="7">
        <v>44927</v>
      </c>
      <c r="K645" s="8" t="s">
        <v>77</v>
      </c>
      <c r="L645" s="2" t="s">
        <v>26</v>
      </c>
      <c r="M645" s="8" t="s">
        <v>28</v>
      </c>
      <c r="N645" s="6" t="s">
        <v>2264</v>
      </c>
      <c r="O645" s="6" t="s">
        <v>30</v>
      </c>
      <c r="P645" s="2" t="s">
        <v>13680</v>
      </c>
    </row>
    <row r="646" spans="1:16" ht="13.15" x14ac:dyDescent="0.4">
      <c r="A646" s="2" t="s">
        <v>13557</v>
      </c>
      <c r="B646" s="2" t="s">
        <v>5883</v>
      </c>
      <c r="C646" s="6" t="s">
        <v>5879</v>
      </c>
      <c r="D646" s="6" t="s">
        <v>42</v>
      </c>
      <c r="E646" s="7">
        <v>44927</v>
      </c>
      <c r="F646" s="8" t="s">
        <v>77</v>
      </c>
      <c r="G646" s="2" t="s">
        <v>26</v>
      </c>
      <c r="H646" s="8" t="s">
        <v>28</v>
      </c>
      <c r="I646" s="2" t="s">
        <v>26</v>
      </c>
      <c r="J646" s="7">
        <v>44927</v>
      </c>
      <c r="K646" s="8" t="s">
        <v>77</v>
      </c>
      <c r="L646" s="2" t="s">
        <v>26</v>
      </c>
      <c r="M646" s="8" t="s">
        <v>28</v>
      </c>
      <c r="N646" s="6" t="s">
        <v>2264</v>
      </c>
      <c r="O646" s="6" t="s">
        <v>30</v>
      </c>
      <c r="P646" s="2" t="s">
        <v>13911</v>
      </c>
    </row>
    <row r="647" spans="1:16" ht="13.15" x14ac:dyDescent="0.4">
      <c r="A647" s="2" t="s">
        <v>13548</v>
      </c>
      <c r="B647" s="2" t="s">
        <v>5883</v>
      </c>
      <c r="C647" s="6" t="s">
        <v>5879</v>
      </c>
      <c r="D647" s="6" t="s">
        <v>42</v>
      </c>
      <c r="E647" s="7">
        <v>44927</v>
      </c>
      <c r="F647" s="8" t="s">
        <v>77</v>
      </c>
      <c r="G647" s="2" t="s">
        <v>26</v>
      </c>
      <c r="H647" s="8" t="s">
        <v>28</v>
      </c>
      <c r="I647" s="2" t="s">
        <v>26</v>
      </c>
      <c r="J647" s="7">
        <v>44927</v>
      </c>
      <c r="K647" s="8" t="s">
        <v>77</v>
      </c>
      <c r="L647" s="2" t="s">
        <v>26</v>
      </c>
      <c r="M647" s="8" t="s">
        <v>28</v>
      </c>
      <c r="N647" s="6" t="s">
        <v>2264</v>
      </c>
      <c r="O647" s="6" t="s">
        <v>30</v>
      </c>
      <c r="P647" s="2" t="s">
        <v>13902</v>
      </c>
    </row>
    <row r="648" spans="1:16" ht="13.15" x14ac:dyDescent="0.4">
      <c r="A648" s="2" t="s">
        <v>13483</v>
      </c>
      <c r="B648" s="2" t="s">
        <v>5883</v>
      </c>
      <c r="C648" s="6" t="s">
        <v>5879</v>
      </c>
      <c r="D648" s="6" t="s">
        <v>42</v>
      </c>
      <c r="E648" s="7">
        <v>44927</v>
      </c>
      <c r="F648" s="8" t="s">
        <v>77</v>
      </c>
      <c r="G648" s="2" t="s">
        <v>26</v>
      </c>
      <c r="H648" s="8" t="s">
        <v>28</v>
      </c>
      <c r="I648" s="2" t="s">
        <v>26</v>
      </c>
      <c r="J648" s="7">
        <v>44927</v>
      </c>
      <c r="K648" s="8" t="s">
        <v>77</v>
      </c>
      <c r="L648" s="2" t="s">
        <v>26</v>
      </c>
      <c r="M648" s="8" t="s">
        <v>28</v>
      </c>
      <c r="N648" s="6" t="s">
        <v>2264</v>
      </c>
      <c r="O648" s="6" t="s">
        <v>30</v>
      </c>
      <c r="P648" s="2" t="s">
        <v>13833</v>
      </c>
    </row>
    <row r="649" spans="1:16" ht="13.15" x14ac:dyDescent="0.4">
      <c r="A649" s="2" t="s">
        <v>13399</v>
      </c>
      <c r="B649" s="2" t="s">
        <v>5883</v>
      </c>
      <c r="C649" s="6" t="s">
        <v>5879</v>
      </c>
      <c r="D649" s="6" t="s">
        <v>42</v>
      </c>
      <c r="E649" s="7">
        <v>44927</v>
      </c>
      <c r="F649" s="8" t="s">
        <v>77</v>
      </c>
      <c r="G649" s="2" t="s">
        <v>26</v>
      </c>
      <c r="H649" s="8" t="s">
        <v>28</v>
      </c>
      <c r="I649" s="2" t="s">
        <v>26</v>
      </c>
      <c r="J649" s="7">
        <v>44927</v>
      </c>
      <c r="K649" s="8" t="s">
        <v>77</v>
      </c>
      <c r="L649" s="2" t="s">
        <v>26</v>
      </c>
      <c r="M649" s="8" t="s">
        <v>28</v>
      </c>
      <c r="N649" s="6" t="s">
        <v>2264</v>
      </c>
      <c r="O649" s="6" t="s">
        <v>30</v>
      </c>
      <c r="P649" s="2" t="s">
        <v>13745</v>
      </c>
    </row>
    <row r="650" spans="1:16" ht="13.15" x14ac:dyDescent="0.4">
      <c r="A650" s="2" t="s">
        <v>13445</v>
      </c>
      <c r="B650" s="2" t="s">
        <v>5883</v>
      </c>
      <c r="C650" s="6" t="s">
        <v>5879</v>
      </c>
      <c r="D650" s="6" t="s">
        <v>42</v>
      </c>
      <c r="E650" s="7">
        <v>44927</v>
      </c>
      <c r="F650" s="8" t="s">
        <v>77</v>
      </c>
      <c r="G650" s="2" t="s">
        <v>26</v>
      </c>
      <c r="H650" s="8" t="s">
        <v>28</v>
      </c>
      <c r="I650" s="2" t="s">
        <v>26</v>
      </c>
      <c r="J650" s="7">
        <v>44927</v>
      </c>
      <c r="K650" s="8" t="s">
        <v>77</v>
      </c>
      <c r="L650" s="2" t="s">
        <v>26</v>
      </c>
      <c r="M650" s="8" t="s">
        <v>28</v>
      </c>
      <c r="N650" s="6" t="s">
        <v>2264</v>
      </c>
      <c r="O650" s="6" t="s">
        <v>30</v>
      </c>
      <c r="P650" s="2" t="s">
        <v>13794</v>
      </c>
    </row>
    <row r="651" spans="1:16" ht="13.15" x14ac:dyDescent="0.4">
      <c r="A651" s="2" t="s">
        <v>13319</v>
      </c>
      <c r="B651" s="2" t="s">
        <v>5883</v>
      </c>
      <c r="C651" s="6" t="s">
        <v>5879</v>
      </c>
      <c r="D651" s="6" t="s">
        <v>42</v>
      </c>
      <c r="E651" s="7">
        <v>44927</v>
      </c>
      <c r="F651" s="8" t="s">
        <v>77</v>
      </c>
      <c r="G651" s="2" t="s">
        <v>26</v>
      </c>
      <c r="H651" s="8" t="s">
        <v>28</v>
      </c>
      <c r="I651" s="2" t="s">
        <v>26</v>
      </c>
      <c r="J651" s="7">
        <v>44927</v>
      </c>
      <c r="K651" s="8" t="s">
        <v>77</v>
      </c>
      <c r="L651" s="2" t="s">
        <v>26</v>
      </c>
      <c r="M651" s="8" t="s">
        <v>28</v>
      </c>
      <c r="N651" s="6" t="s">
        <v>2264</v>
      </c>
      <c r="O651" s="6" t="s">
        <v>30</v>
      </c>
      <c r="P651" s="2" t="s">
        <v>13658</v>
      </c>
    </row>
    <row r="652" spans="1:16" ht="13.15" x14ac:dyDescent="0.4">
      <c r="A652" s="2" t="s">
        <v>13384</v>
      </c>
      <c r="B652" s="2" t="s">
        <v>5883</v>
      </c>
      <c r="C652" s="6" t="s">
        <v>5879</v>
      </c>
      <c r="D652" s="6" t="s">
        <v>42</v>
      </c>
      <c r="E652" s="7">
        <v>44927</v>
      </c>
      <c r="F652" s="8" t="s">
        <v>77</v>
      </c>
      <c r="G652" s="2" t="s">
        <v>26</v>
      </c>
      <c r="H652" s="8" t="s">
        <v>28</v>
      </c>
      <c r="I652" s="2" t="s">
        <v>26</v>
      </c>
      <c r="J652" s="7">
        <v>44927</v>
      </c>
      <c r="K652" s="8" t="s">
        <v>77</v>
      </c>
      <c r="L652" s="2" t="s">
        <v>26</v>
      </c>
      <c r="M652" s="8" t="s">
        <v>28</v>
      </c>
      <c r="N652" s="6" t="s">
        <v>2264</v>
      </c>
      <c r="O652" s="6" t="s">
        <v>30</v>
      </c>
      <c r="P652" s="2" t="s">
        <v>13730</v>
      </c>
    </row>
    <row r="653" spans="1:16" ht="13.15" x14ac:dyDescent="0.4">
      <c r="A653" s="2" t="s">
        <v>13503</v>
      </c>
      <c r="B653" s="2" t="s">
        <v>5883</v>
      </c>
      <c r="C653" s="6" t="s">
        <v>5879</v>
      </c>
      <c r="D653" s="6" t="s">
        <v>42</v>
      </c>
      <c r="E653" s="7">
        <v>44927</v>
      </c>
      <c r="F653" s="8" t="s">
        <v>77</v>
      </c>
      <c r="G653" s="2" t="s">
        <v>26</v>
      </c>
      <c r="H653" s="8" t="s">
        <v>28</v>
      </c>
      <c r="I653" s="2" t="s">
        <v>26</v>
      </c>
      <c r="J653" s="7">
        <v>44927</v>
      </c>
      <c r="K653" s="8" t="s">
        <v>77</v>
      </c>
      <c r="L653" s="2" t="s">
        <v>26</v>
      </c>
      <c r="M653" s="8" t="s">
        <v>28</v>
      </c>
      <c r="N653" s="6" t="s">
        <v>2264</v>
      </c>
      <c r="O653" s="6" t="s">
        <v>30</v>
      </c>
      <c r="P653" s="2" t="s">
        <v>13853</v>
      </c>
    </row>
    <row r="654" spans="1:16" ht="13.15" x14ac:dyDescent="0.4">
      <c r="A654" s="2" t="s">
        <v>13498</v>
      </c>
      <c r="B654" s="2" t="s">
        <v>5883</v>
      </c>
      <c r="C654" s="6" t="s">
        <v>5879</v>
      </c>
      <c r="D654" s="6" t="s">
        <v>42</v>
      </c>
      <c r="E654" s="7">
        <v>44927</v>
      </c>
      <c r="F654" s="8" t="s">
        <v>77</v>
      </c>
      <c r="G654" s="2" t="s">
        <v>26</v>
      </c>
      <c r="H654" s="8" t="s">
        <v>28</v>
      </c>
      <c r="I654" s="2" t="s">
        <v>26</v>
      </c>
      <c r="J654" s="7">
        <v>44927</v>
      </c>
      <c r="K654" s="8" t="s">
        <v>77</v>
      </c>
      <c r="L654" s="2" t="s">
        <v>26</v>
      </c>
      <c r="M654" s="8" t="s">
        <v>28</v>
      </c>
      <c r="N654" s="6" t="s">
        <v>2264</v>
      </c>
      <c r="O654" s="6" t="s">
        <v>30</v>
      </c>
      <c r="P654" s="2" t="s">
        <v>13848</v>
      </c>
    </row>
    <row r="655" spans="1:16" ht="13.15" x14ac:dyDescent="0.4">
      <c r="A655" s="2" t="s">
        <v>13493</v>
      </c>
      <c r="B655" s="2" t="s">
        <v>5883</v>
      </c>
      <c r="C655" s="6" t="s">
        <v>5879</v>
      </c>
      <c r="D655" s="6" t="s">
        <v>42</v>
      </c>
      <c r="E655" s="7">
        <v>44927</v>
      </c>
      <c r="F655" s="8" t="s">
        <v>77</v>
      </c>
      <c r="G655" s="2" t="s">
        <v>26</v>
      </c>
      <c r="H655" s="8" t="s">
        <v>28</v>
      </c>
      <c r="I655" s="2" t="s">
        <v>26</v>
      </c>
      <c r="J655" s="7">
        <v>44927</v>
      </c>
      <c r="K655" s="8" t="s">
        <v>77</v>
      </c>
      <c r="L655" s="2" t="s">
        <v>26</v>
      </c>
      <c r="M655" s="8" t="s">
        <v>28</v>
      </c>
      <c r="N655" s="6" t="s">
        <v>2264</v>
      </c>
      <c r="O655" s="6" t="s">
        <v>30</v>
      </c>
      <c r="P655" s="2" t="s">
        <v>13843</v>
      </c>
    </row>
    <row r="656" spans="1:16" ht="13.15" x14ac:dyDescent="0.4">
      <c r="A656" s="2" t="s">
        <v>13324</v>
      </c>
      <c r="B656" s="2" t="s">
        <v>5883</v>
      </c>
      <c r="C656" s="6" t="s">
        <v>5879</v>
      </c>
      <c r="D656" s="6" t="s">
        <v>42</v>
      </c>
      <c r="E656" s="7">
        <v>44927</v>
      </c>
      <c r="F656" s="8" t="s">
        <v>77</v>
      </c>
      <c r="G656" s="2" t="s">
        <v>26</v>
      </c>
      <c r="H656" s="8" t="s">
        <v>28</v>
      </c>
      <c r="I656" s="2" t="s">
        <v>26</v>
      </c>
      <c r="J656" s="7">
        <v>44927</v>
      </c>
      <c r="K656" s="8" t="s">
        <v>77</v>
      </c>
      <c r="L656" s="2" t="s">
        <v>26</v>
      </c>
      <c r="M656" s="8" t="s">
        <v>28</v>
      </c>
      <c r="N656" s="6" t="s">
        <v>2264</v>
      </c>
      <c r="O656" s="6" t="s">
        <v>30</v>
      </c>
      <c r="P656" s="2" t="s">
        <v>13663</v>
      </c>
    </row>
    <row r="657" spans="1:16" ht="13.15" x14ac:dyDescent="0.4">
      <c r="A657" s="2" t="s">
        <v>13452</v>
      </c>
      <c r="B657" s="2" t="s">
        <v>5883</v>
      </c>
      <c r="C657" s="6" t="s">
        <v>5879</v>
      </c>
      <c r="D657" s="6" t="s">
        <v>42</v>
      </c>
      <c r="E657" s="7">
        <v>44927</v>
      </c>
      <c r="F657" s="8" t="s">
        <v>77</v>
      </c>
      <c r="G657" s="2" t="s">
        <v>26</v>
      </c>
      <c r="H657" s="8" t="s">
        <v>28</v>
      </c>
      <c r="I657" s="2" t="s">
        <v>26</v>
      </c>
      <c r="J657" s="7">
        <v>44927</v>
      </c>
      <c r="K657" s="8" t="s">
        <v>77</v>
      </c>
      <c r="L657" s="2" t="s">
        <v>26</v>
      </c>
      <c r="M657" s="8" t="s">
        <v>28</v>
      </c>
      <c r="N657" s="6" t="s">
        <v>2264</v>
      </c>
      <c r="O657" s="6" t="s">
        <v>30</v>
      </c>
      <c r="P657" s="2" t="s">
        <v>13802</v>
      </c>
    </row>
    <row r="658" spans="1:16" ht="13.15" x14ac:dyDescent="0.4">
      <c r="A658" s="2" t="s">
        <v>13418</v>
      </c>
      <c r="B658" s="2" t="s">
        <v>5883</v>
      </c>
      <c r="C658" s="6" t="s">
        <v>5879</v>
      </c>
      <c r="D658" s="6" t="s">
        <v>42</v>
      </c>
      <c r="E658" s="7">
        <v>44927</v>
      </c>
      <c r="F658" s="8" t="s">
        <v>77</v>
      </c>
      <c r="G658" s="2" t="s">
        <v>26</v>
      </c>
      <c r="H658" s="8" t="s">
        <v>28</v>
      </c>
      <c r="I658" s="2" t="s">
        <v>26</v>
      </c>
      <c r="J658" s="7">
        <v>44927</v>
      </c>
      <c r="K658" s="8" t="s">
        <v>77</v>
      </c>
      <c r="L658" s="2" t="s">
        <v>26</v>
      </c>
      <c r="M658" s="8" t="s">
        <v>28</v>
      </c>
      <c r="N658" s="6" t="s">
        <v>2264</v>
      </c>
      <c r="O658" s="6" t="s">
        <v>30</v>
      </c>
      <c r="P658" s="2" t="s">
        <v>13766</v>
      </c>
    </row>
    <row r="659" spans="1:16" ht="13.15" x14ac:dyDescent="0.4">
      <c r="A659" s="2" t="s">
        <v>9978</v>
      </c>
      <c r="B659" s="2" t="s">
        <v>5883</v>
      </c>
      <c r="C659" s="6" t="s">
        <v>5879</v>
      </c>
      <c r="D659" s="6" t="s">
        <v>42</v>
      </c>
      <c r="E659" s="7">
        <v>44927</v>
      </c>
      <c r="F659" s="8" t="s">
        <v>77</v>
      </c>
      <c r="G659" s="2" t="s">
        <v>26</v>
      </c>
      <c r="H659" s="8" t="s">
        <v>28</v>
      </c>
      <c r="I659" s="2" t="s">
        <v>26</v>
      </c>
      <c r="J659" s="7">
        <v>44927</v>
      </c>
      <c r="K659" s="8" t="s">
        <v>77</v>
      </c>
      <c r="L659" s="2" t="s">
        <v>26</v>
      </c>
      <c r="M659" s="8" t="s">
        <v>28</v>
      </c>
      <c r="N659" s="6" t="s">
        <v>2264</v>
      </c>
      <c r="O659" s="6" t="s">
        <v>30</v>
      </c>
      <c r="P659" s="2" t="s">
        <v>13795</v>
      </c>
    </row>
    <row r="660" spans="1:16" ht="13.15" x14ac:dyDescent="0.4">
      <c r="A660" s="2" t="s">
        <v>13411</v>
      </c>
      <c r="B660" s="2" t="s">
        <v>5883</v>
      </c>
      <c r="C660" s="6" t="s">
        <v>5879</v>
      </c>
      <c r="D660" s="6" t="s">
        <v>42</v>
      </c>
      <c r="E660" s="7">
        <v>44927</v>
      </c>
      <c r="F660" s="8" t="s">
        <v>77</v>
      </c>
      <c r="G660" s="2" t="s">
        <v>26</v>
      </c>
      <c r="H660" s="8" t="s">
        <v>28</v>
      </c>
      <c r="I660" s="2" t="s">
        <v>26</v>
      </c>
      <c r="J660" s="7">
        <v>44927</v>
      </c>
      <c r="K660" s="8" t="s">
        <v>77</v>
      </c>
      <c r="L660" s="2" t="s">
        <v>26</v>
      </c>
      <c r="M660" s="8" t="s">
        <v>28</v>
      </c>
      <c r="N660" s="6" t="s">
        <v>2264</v>
      </c>
      <c r="O660" s="6" t="s">
        <v>30</v>
      </c>
      <c r="P660" s="2" t="s">
        <v>13758</v>
      </c>
    </row>
    <row r="661" spans="1:16" ht="13.15" x14ac:dyDescent="0.4">
      <c r="A661" s="2" t="s">
        <v>13397</v>
      </c>
      <c r="B661" s="2" t="s">
        <v>5883</v>
      </c>
      <c r="C661" s="6" t="s">
        <v>5879</v>
      </c>
      <c r="D661" s="6" t="s">
        <v>42</v>
      </c>
      <c r="E661" s="7">
        <v>44927</v>
      </c>
      <c r="F661" s="8" t="s">
        <v>77</v>
      </c>
      <c r="G661" s="2" t="s">
        <v>26</v>
      </c>
      <c r="H661" s="8" t="s">
        <v>28</v>
      </c>
      <c r="I661" s="2" t="s">
        <v>26</v>
      </c>
      <c r="J661" s="7">
        <v>44927</v>
      </c>
      <c r="K661" s="8" t="s">
        <v>77</v>
      </c>
      <c r="L661" s="2" t="s">
        <v>26</v>
      </c>
      <c r="M661" s="8" t="s">
        <v>28</v>
      </c>
      <c r="N661" s="6" t="s">
        <v>2264</v>
      </c>
      <c r="O661" s="6" t="s">
        <v>30</v>
      </c>
      <c r="P661" s="2" t="s">
        <v>13743</v>
      </c>
    </row>
    <row r="662" spans="1:16" ht="13.15" x14ac:dyDescent="0.4">
      <c r="A662" s="2" t="s">
        <v>13447</v>
      </c>
      <c r="B662" s="2" t="s">
        <v>5883</v>
      </c>
      <c r="C662" s="6" t="s">
        <v>5879</v>
      </c>
      <c r="D662" s="6" t="s">
        <v>42</v>
      </c>
      <c r="E662" s="7">
        <v>44927</v>
      </c>
      <c r="F662" s="8" t="s">
        <v>77</v>
      </c>
      <c r="G662" s="2" t="s">
        <v>26</v>
      </c>
      <c r="H662" s="8" t="s">
        <v>28</v>
      </c>
      <c r="I662" s="2" t="s">
        <v>26</v>
      </c>
      <c r="J662" s="7">
        <v>44927</v>
      </c>
      <c r="K662" s="8" t="s">
        <v>77</v>
      </c>
      <c r="L662" s="2" t="s">
        <v>26</v>
      </c>
      <c r="M662" s="8" t="s">
        <v>28</v>
      </c>
      <c r="N662" s="6" t="s">
        <v>2264</v>
      </c>
      <c r="O662" s="6" t="s">
        <v>30</v>
      </c>
      <c r="P662" s="2" t="s">
        <v>13797</v>
      </c>
    </row>
    <row r="663" spans="1:16" ht="13.15" x14ac:dyDescent="0.4">
      <c r="A663" s="2" t="s">
        <v>13295</v>
      </c>
      <c r="B663" s="2" t="s">
        <v>5883</v>
      </c>
      <c r="C663" s="6" t="s">
        <v>5879</v>
      </c>
      <c r="D663" s="6" t="s">
        <v>42</v>
      </c>
      <c r="E663" s="7">
        <v>44927</v>
      </c>
      <c r="F663" s="8" t="s">
        <v>77</v>
      </c>
      <c r="G663" s="2" t="s">
        <v>26</v>
      </c>
      <c r="H663" s="8" t="s">
        <v>28</v>
      </c>
      <c r="I663" s="2" t="s">
        <v>26</v>
      </c>
      <c r="J663" s="7">
        <v>44927</v>
      </c>
      <c r="K663" s="8" t="s">
        <v>77</v>
      </c>
      <c r="L663" s="2" t="s">
        <v>26</v>
      </c>
      <c r="M663" s="8" t="s">
        <v>28</v>
      </c>
      <c r="N663" s="6" t="s">
        <v>2264</v>
      </c>
      <c r="O663" s="6" t="s">
        <v>30</v>
      </c>
      <c r="P663" s="2" t="s">
        <v>13634</v>
      </c>
    </row>
    <row r="664" spans="1:16" ht="13.15" x14ac:dyDescent="0.4">
      <c r="A664" s="2" t="s">
        <v>13519</v>
      </c>
      <c r="B664" s="2" t="s">
        <v>5883</v>
      </c>
      <c r="C664" s="6" t="s">
        <v>5879</v>
      </c>
      <c r="D664" s="6" t="s">
        <v>42</v>
      </c>
      <c r="E664" s="7">
        <v>44927</v>
      </c>
      <c r="F664" s="8" t="s">
        <v>77</v>
      </c>
      <c r="G664" s="2" t="s">
        <v>26</v>
      </c>
      <c r="H664" s="8" t="s">
        <v>28</v>
      </c>
      <c r="I664" s="2" t="s">
        <v>26</v>
      </c>
      <c r="J664" s="7">
        <v>44927</v>
      </c>
      <c r="K664" s="8" t="s">
        <v>77</v>
      </c>
      <c r="L664" s="2" t="s">
        <v>26</v>
      </c>
      <c r="M664" s="8" t="s">
        <v>28</v>
      </c>
      <c r="N664" s="6" t="s">
        <v>2264</v>
      </c>
      <c r="O664" s="6" t="s">
        <v>30</v>
      </c>
      <c r="P664" s="2" t="s">
        <v>13870</v>
      </c>
    </row>
    <row r="665" spans="1:16" ht="13.15" x14ac:dyDescent="0.4">
      <c r="A665" s="2" t="s">
        <v>13394</v>
      </c>
      <c r="B665" s="2" t="s">
        <v>5883</v>
      </c>
      <c r="C665" s="6" t="s">
        <v>5879</v>
      </c>
      <c r="D665" s="6" t="s">
        <v>42</v>
      </c>
      <c r="E665" s="7">
        <v>44927</v>
      </c>
      <c r="F665" s="8" t="s">
        <v>77</v>
      </c>
      <c r="G665" s="2" t="s">
        <v>26</v>
      </c>
      <c r="H665" s="8" t="s">
        <v>28</v>
      </c>
      <c r="I665" s="2" t="s">
        <v>26</v>
      </c>
      <c r="J665" s="7">
        <v>44927</v>
      </c>
      <c r="K665" s="8" t="s">
        <v>77</v>
      </c>
      <c r="L665" s="2" t="s">
        <v>26</v>
      </c>
      <c r="M665" s="8" t="s">
        <v>28</v>
      </c>
      <c r="N665" s="6" t="s">
        <v>2264</v>
      </c>
      <c r="O665" s="6" t="s">
        <v>30</v>
      </c>
      <c r="P665" s="2" t="s">
        <v>13740</v>
      </c>
    </row>
    <row r="666" spans="1:16" ht="13.15" x14ac:dyDescent="0.4">
      <c r="A666" s="2" t="s">
        <v>13435</v>
      </c>
      <c r="B666" s="2" t="s">
        <v>5883</v>
      </c>
      <c r="C666" s="6" t="s">
        <v>5879</v>
      </c>
      <c r="D666" s="6" t="s">
        <v>42</v>
      </c>
      <c r="E666" s="7">
        <v>44927</v>
      </c>
      <c r="F666" s="8" t="s">
        <v>77</v>
      </c>
      <c r="G666" s="2" t="s">
        <v>26</v>
      </c>
      <c r="H666" s="8" t="s">
        <v>28</v>
      </c>
      <c r="I666" s="2" t="s">
        <v>26</v>
      </c>
      <c r="J666" s="7">
        <v>44927</v>
      </c>
      <c r="K666" s="8" t="s">
        <v>77</v>
      </c>
      <c r="L666" s="2" t="s">
        <v>26</v>
      </c>
      <c r="M666" s="8" t="s">
        <v>28</v>
      </c>
      <c r="N666" s="6" t="s">
        <v>2264</v>
      </c>
      <c r="O666" s="6" t="s">
        <v>30</v>
      </c>
      <c r="P666" s="2" t="s">
        <v>13784</v>
      </c>
    </row>
    <row r="667" spans="1:16" ht="13.15" x14ac:dyDescent="0.4">
      <c r="A667" s="2" t="s">
        <v>13337</v>
      </c>
      <c r="B667" s="2" t="s">
        <v>5883</v>
      </c>
      <c r="C667" s="6" t="s">
        <v>5879</v>
      </c>
      <c r="D667" s="6" t="s">
        <v>42</v>
      </c>
      <c r="E667" s="7">
        <v>44927</v>
      </c>
      <c r="F667" s="8" t="s">
        <v>77</v>
      </c>
      <c r="G667" s="2" t="s">
        <v>26</v>
      </c>
      <c r="H667" s="8" t="s">
        <v>28</v>
      </c>
      <c r="I667" s="2" t="s">
        <v>26</v>
      </c>
      <c r="J667" s="7">
        <v>44927</v>
      </c>
      <c r="K667" s="8" t="s">
        <v>77</v>
      </c>
      <c r="L667" s="2" t="s">
        <v>26</v>
      </c>
      <c r="M667" s="8" t="s">
        <v>28</v>
      </c>
      <c r="N667" s="6" t="s">
        <v>2264</v>
      </c>
      <c r="O667" s="6" t="s">
        <v>30</v>
      </c>
      <c r="P667" s="2" t="s">
        <v>13678</v>
      </c>
    </row>
    <row r="668" spans="1:16" ht="13.15" x14ac:dyDescent="0.4">
      <c r="A668" s="2" t="s">
        <v>13315</v>
      </c>
      <c r="B668" s="2" t="s">
        <v>5883</v>
      </c>
      <c r="C668" s="6" t="s">
        <v>5879</v>
      </c>
      <c r="D668" s="6" t="s">
        <v>42</v>
      </c>
      <c r="E668" s="7">
        <v>44927</v>
      </c>
      <c r="F668" s="8" t="s">
        <v>77</v>
      </c>
      <c r="G668" s="2" t="s">
        <v>26</v>
      </c>
      <c r="H668" s="8" t="s">
        <v>28</v>
      </c>
      <c r="I668" s="2" t="s">
        <v>26</v>
      </c>
      <c r="J668" s="7">
        <v>44927</v>
      </c>
      <c r="K668" s="8" t="s">
        <v>77</v>
      </c>
      <c r="L668" s="2" t="s">
        <v>26</v>
      </c>
      <c r="M668" s="8" t="s">
        <v>28</v>
      </c>
      <c r="N668" s="6" t="s">
        <v>2264</v>
      </c>
      <c r="O668" s="6" t="s">
        <v>30</v>
      </c>
      <c r="P668" s="2" t="s">
        <v>13654</v>
      </c>
    </row>
    <row r="669" spans="1:16" ht="13.15" x14ac:dyDescent="0.4">
      <c r="A669" s="2" t="s">
        <v>13366</v>
      </c>
      <c r="B669" s="2" t="s">
        <v>5883</v>
      </c>
      <c r="C669" s="6" t="s">
        <v>5879</v>
      </c>
      <c r="D669" s="6" t="s">
        <v>42</v>
      </c>
      <c r="E669" s="7">
        <v>44927</v>
      </c>
      <c r="F669" s="8" t="s">
        <v>77</v>
      </c>
      <c r="G669" s="2" t="s">
        <v>26</v>
      </c>
      <c r="H669" s="8" t="s">
        <v>28</v>
      </c>
      <c r="I669" s="2" t="s">
        <v>26</v>
      </c>
      <c r="J669" s="7">
        <v>44927</v>
      </c>
      <c r="K669" s="8" t="s">
        <v>77</v>
      </c>
      <c r="L669" s="2" t="s">
        <v>26</v>
      </c>
      <c r="M669" s="8" t="s">
        <v>28</v>
      </c>
      <c r="N669" s="6" t="s">
        <v>2264</v>
      </c>
      <c r="O669" s="6" t="s">
        <v>30</v>
      </c>
      <c r="P669" s="2" t="s">
        <v>13710</v>
      </c>
    </row>
    <row r="670" spans="1:16" ht="13.15" x14ac:dyDescent="0.4">
      <c r="A670" s="2" t="s">
        <v>13543</v>
      </c>
      <c r="B670" s="2" t="s">
        <v>5883</v>
      </c>
      <c r="C670" s="6" t="s">
        <v>5879</v>
      </c>
      <c r="D670" s="6" t="s">
        <v>42</v>
      </c>
      <c r="E670" s="7">
        <v>44927</v>
      </c>
      <c r="F670" s="8" t="s">
        <v>77</v>
      </c>
      <c r="G670" s="2" t="s">
        <v>26</v>
      </c>
      <c r="H670" s="8" t="s">
        <v>28</v>
      </c>
      <c r="I670" s="2" t="s">
        <v>26</v>
      </c>
      <c r="J670" s="7">
        <v>44927</v>
      </c>
      <c r="K670" s="8" t="s">
        <v>77</v>
      </c>
      <c r="L670" s="2" t="s">
        <v>26</v>
      </c>
      <c r="M670" s="8" t="s">
        <v>28</v>
      </c>
      <c r="N670" s="6" t="s">
        <v>2264</v>
      </c>
      <c r="O670" s="6" t="s">
        <v>30</v>
      </c>
      <c r="P670" s="2" t="s">
        <v>13896</v>
      </c>
    </row>
    <row r="671" spans="1:16" ht="13.15" x14ac:dyDescent="0.4">
      <c r="A671" s="2" t="s">
        <v>13449</v>
      </c>
      <c r="B671" s="2" t="s">
        <v>5883</v>
      </c>
      <c r="C671" s="6" t="s">
        <v>5879</v>
      </c>
      <c r="D671" s="6" t="s">
        <v>42</v>
      </c>
      <c r="E671" s="7">
        <v>44927</v>
      </c>
      <c r="F671" s="8" t="s">
        <v>77</v>
      </c>
      <c r="G671" s="2" t="s">
        <v>26</v>
      </c>
      <c r="H671" s="8" t="s">
        <v>28</v>
      </c>
      <c r="I671" s="2" t="s">
        <v>26</v>
      </c>
      <c r="J671" s="7">
        <v>44927</v>
      </c>
      <c r="K671" s="8" t="s">
        <v>77</v>
      </c>
      <c r="L671" s="2" t="s">
        <v>26</v>
      </c>
      <c r="M671" s="8" t="s">
        <v>28</v>
      </c>
      <c r="N671" s="6" t="s">
        <v>2264</v>
      </c>
      <c r="O671" s="6" t="s">
        <v>30</v>
      </c>
      <c r="P671" s="2" t="s">
        <v>13799</v>
      </c>
    </row>
    <row r="672" spans="1:16" ht="13.15" x14ac:dyDescent="0.4">
      <c r="A672" s="2" t="s">
        <v>13398</v>
      </c>
      <c r="B672" s="2" t="s">
        <v>5883</v>
      </c>
      <c r="C672" s="6" t="s">
        <v>5879</v>
      </c>
      <c r="D672" s="6" t="s">
        <v>42</v>
      </c>
      <c r="E672" s="7">
        <v>44927</v>
      </c>
      <c r="F672" s="8" t="s">
        <v>77</v>
      </c>
      <c r="G672" s="2" t="s">
        <v>26</v>
      </c>
      <c r="H672" s="8" t="s">
        <v>28</v>
      </c>
      <c r="I672" s="2" t="s">
        <v>26</v>
      </c>
      <c r="J672" s="7">
        <v>44927</v>
      </c>
      <c r="K672" s="8" t="s">
        <v>77</v>
      </c>
      <c r="L672" s="2" t="s">
        <v>26</v>
      </c>
      <c r="M672" s="8" t="s">
        <v>28</v>
      </c>
      <c r="N672" s="6" t="s">
        <v>2264</v>
      </c>
      <c r="O672" s="6" t="s">
        <v>30</v>
      </c>
      <c r="P672" s="2" t="s">
        <v>13744</v>
      </c>
    </row>
    <row r="673" spans="1:16" ht="13.15" x14ac:dyDescent="0.4">
      <c r="A673" s="2" t="s">
        <v>13410</v>
      </c>
      <c r="B673" s="2" t="s">
        <v>5883</v>
      </c>
      <c r="C673" s="6" t="s">
        <v>5879</v>
      </c>
      <c r="D673" s="6" t="s">
        <v>42</v>
      </c>
      <c r="E673" s="7">
        <v>44927</v>
      </c>
      <c r="F673" s="8" t="s">
        <v>77</v>
      </c>
      <c r="G673" s="2" t="s">
        <v>26</v>
      </c>
      <c r="H673" s="8" t="s">
        <v>28</v>
      </c>
      <c r="I673" s="2" t="s">
        <v>26</v>
      </c>
      <c r="J673" s="7">
        <v>44927</v>
      </c>
      <c r="K673" s="8" t="s">
        <v>77</v>
      </c>
      <c r="L673" s="2" t="s">
        <v>26</v>
      </c>
      <c r="M673" s="8" t="s">
        <v>28</v>
      </c>
      <c r="N673" s="6" t="s">
        <v>2264</v>
      </c>
      <c r="O673" s="6" t="s">
        <v>30</v>
      </c>
      <c r="P673" s="2" t="s">
        <v>13757</v>
      </c>
    </row>
    <row r="674" spans="1:16" ht="13.15" x14ac:dyDescent="0.4">
      <c r="A674" s="2" t="s">
        <v>13443</v>
      </c>
      <c r="B674" s="2" t="s">
        <v>5883</v>
      </c>
      <c r="C674" s="6" t="s">
        <v>5879</v>
      </c>
      <c r="D674" s="6" t="s">
        <v>42</v>
      </c>
      <c r="E674" s="7">
        <v>44927</v>
      </c>
      <c r="F674" s="8" t="s">
        <v>77</v>
      </c>
      <c r="G674" s="2" t="s">
        <v>26</v>
      </c>
      <c r="H674" s="8" t="s">
        <v>28</v>
      </c>
      <c r="I674" s="2" t="s">
        <v>26</v>
      </c>
      <c r="J674" s="7">
        <v>44927</v>
      </c>
      <c r="K674" s="8" t="s">
        <v>77</v>
      </c>
      <c r="L674" s="2" t="s">
        <v>26</v>
      </c>
      <c r="M674" s="8" t="s">
        <v>28</v>
      </c>
      <c r="N674" s="6" t="s">
        <v>2264</v>
      </c>
      <c r="O674" s="6" t="s">
        <v>30</v>
      </c>
      <c r="P674" s="2" t="s">
        <v>13792</v>
      </c>
    </row>
    <row r="675" spans="1:16" ht="13.15" x14ac:dyDescent="0.4">
      <c r="A675" s="2" t="s">
        <v>13481</v>
      </c>
      <c r="B675" s="2" t="s">
        <v>5883</v>
      </c>
      <c r="C675" s="6" t="s">
        <v>5879</v>
      </c>
      <c r="D675" s="6" t="s">
        <v>42</v>
      </c>
      <c r="E675" s="7">
        <v>44927</v>
      </c>
      <c r="F675" s="8" t="s">
        <v>77</v>
      </c>
      <c r="G675" s="2" t="s">
        <v>26</v>
      </c>
      <c r="H675" s="8" t="s">
        <v>28</v>
      </c>
      <c r="I675" s="2" t="s">
        <v>26</v>
      </c>
      <c r="J675" s="7">
        <v>44927</v>
      </c>
      <c r="K675" s="8" t="s">
        <v>77</v>
      </c>
      <c r="L675" s="2" t="s">
        <v>26</v>
      </c>
      <c r="M675" s="8" t="s">
        <v>28</v>
      </c>
      <c r="N675" s="6" t="s">
        <v>2264</v>
      </c>
      <c r="O675" s="6" t="s">
        <v>30</v>
      </c>
      <c r="P675" s="2" t="s">
        <v>13831</v>
      </c>
    </row>
    <row r="676" spans="1:16" ht="13.15" x14ac:dyDescent="0.4">
      <c r="A676" s="2" t="s">
        <v>13346</v>
      </c>
      <c r="B676" s="2" t="s">
        <v>5883</v>
      </c>
      <c r="C676" s="6" t="s">
        <v>5879</v>
      </c>
      <c r="D676" s="6" t="s">
        <v>42</v>
      </c>
      <c r="E676" s="7">
        <v>44927</v>
      </c>
      <c r="F676" s="8" t="s">
        <v>77</v>
      </c>
      <c r="G676" s="2" t="s">
        <v>26</v>
      </c>
      <c r="H676" s="8" t="s">
        <v>28</v>
      </c>
      <c r="I676" s="2" t="s">
        <v>26</v>
      </c>
      <c r="J676" s="7">
        <v>44927</v>
      </c>
      <c r="K676" s="8" t="s">
        <v>77</v>
      </c>
      <c r="L676" s="2" t="s">
        <v>26</v>
      </c>
      <c r="M676" s="8" t="s">
        <v>28</v>
      </c>
      <c r="N676" s="6" t="s">
        <v>2264</v>
      </c>
      <c r="O676" s="6" t="s">
        <v>30</v>
      </c>
      <c r="P676" s="2" t="s">
        <v>13687</v>
      </c>
    </row>
    <row r="677" spans="1:16" ht="13.15" x14ac:dyDescent="0.4">
      <c r="A677" s="2" t="s">
        <v>13388</v>
      </c>
      <c r="B677" s="2" t="s">
        <v>5883</v>
      </c>
      <c r="C677" s="6" t="s">
        <v>5879</v>
      </c>
      <c r="D677" s="6" t="s">
        <v>42</v>
      </c>
      <c r="E677" s="7">
        <v>44927</v>
      </c>
      <c r="F677" s="8" t="s">
        <v>77</v>
      </c>
      <c r="G677" s="2" t="s">
        <v>26</v>
      </c>
      <c r="H677" s="8" t="s">
        <v>28</v>
      </c>
      <c r="I677" s="2" t="s">
        <v>26</v>
      </c>
      <c r="J677" s="7">
        <v>44927</v>
      </c>
      <c r="K677" s="8" t="s">
        <v>77</v>
      </c>
      <c r="L677" s="2" t="s">
        <v>26</v>
      </c>
      <c r="M677" s="8" t="s">
        <v>28</v>
      </c>
      <c r="N677" s="6" t="s">
        <v>2264</v>
      </c>
      <c r="O677" s="6" t="s">
        <v>30</v>
      </c>
      <c r="P677" s="2" t="s">
        <v>13734</v>
      </c>
    </row>
    <row r="678" spans="1:16" ht="13.15" x14ac:dyDescent="0.4">
      <c r="A678" s="2" t="s">
        <v>13492</v>
      </c>
      <c r="B678" s="2" t="s">
        <v>5883</v>
      </c>
      <c r="C678" s="6" t="s">
        <v>5879</v>
      </c>
      <c r="D678" s="6" t="s">
        <v>42</v>
      </c>
      <c r="E678" s="7">
        <v>44927</v>
      </c>
      <c r="F678" s="8" t="s">
        <v>77</v>
      </c>
      <c r="G678" s="2" t="s">
        <v>26</v>
      </c>
      <c r="H678" s="8" t="s">
        <v>28</v>
      </c>
      <c r="I678" s="2" t="s">
        <v>26</v>
      </c>
      <c r="J678" s="7">
        <v>44927</v>
      </c>
      <c r="K678" s="8" t="s">
        <v>77</v>
      </c>
      <c r="L678" s="2" t="s">
        <v>26</v>
      </c>
      <c r="M678" s="8" t="s">
        <v>28</v>
      </c>
      <c r="N678" s="6" t="s">
        <v>2264</v>
      </c>
      <c r="O678" s="6" t="s">
        <v>30</v>
      </c>
      <c r="P678" s="2" t="s">
        <v>13842</v>
      </c>
    </row>
    <row r="679" spans="1:16" ht="13.15" x14ac:dyDescent="0.4">
      <c r="A679" s="2" t="s">
        <v>13380</v>
      </c>
      <c r="B679" s="2" t="s">
        <v>5883</v>
      </c>
      <c r="C679" s="6" t="s">
        <v>5879</v>
      </c>
      <c r="D679" s="6" t="s">
        <v>42</v>
      </c>
      <c r="E679" s="7">
        <v>44927</v>
      </c>
      <c r="F679" s="8" t="s">
        <v>77</v>
      </c>
      <c r="G679" s="2" t="s">
        <v>26</v>
      </c>
      <c r="H679" s="8" t="s">
        <v>28</v>
      </c>
      <c r="I679" s="2" t="s">
        <v>26</v>
      </c>
      <c r="J679" s="7">
        <v>44927</v>
      </c>
      <c r="K679" s="8" t="s">
        <v>77</v>
      </c>
      <c r="L679" s="2" t="s">
        <v>26</v>
      </c>
      <c r="M679" s="8" t="s">
        <v>28</v>
      </c>
      <c r="N679" s="6" t="s">
        <v>2264</v>
      </c>
      <c r="O679" s="6" t="s">
        <v>30</v>
      </c>
      <c r="P679" s="2" t="s">
        <v>13726</v>
      </c>
    </row>
    <row r="680" spans="1:16" ht="13.15" x14ac:dyDescent="0.4">
      <c r="A680" s="2" t="s">
        <v>13509</v>
      </c>
      <c r="B680" s="2" t="s">
        <v>5883</v>
      </c>
      <c r="C680" s="6" t="s">
        <v>5879</v>
      </c>
      <c r="D680" s="6" t="s">
        <v>42</v>
      </c>
      <c r="E680" s="7">
        <v>44927</v>
      </c>
      <c r="F680" s="8" t="s">
        <v>77</v>
      </c>
      <c r="G680" s="2" t="s">
        <v>26</v>
      </c>
      <c r="H680" s="8" t="s">
        <v>28</v>
      </c>
      <c r="I680" s="2" t="s">
        <v>26</v>
      </c>
      <c r="J680" s="7">
        <v>44927</v>
      </c>
      <c r="K680" s="8" t="s">
        <v>77</v>
      </c>
      <c r="L680" s="2" t="s">
        <v>26</v>
      </c>
      <c r="M680" s="8" t="s">
        <v>28</v>
      </c>
      <c r="N680" s="6" t="s">
        <v>2264</v>
      </c>
      <c r="O680" s="6" t="s">
        <v>30</v>
      </c>
      <c r="P680" s="2" t="s">
        <v>13859</v>
      </c>
    </row>
    <row r="681" spans="1:16" ht="13.15" x14ac:dyDescent="0.4">
      <c r="A681" s="2" t="s">
        <v>13352</v>
      </c>
      <c r="B681" s="2" t="s">
        <v>5883</v>
      </c>
      <c r="C681" s="6" t="s">
        <v>5879</v>
      </c>
      <c r="D681" s="6" t="s">
        <v>42</v>
      </c>
      <c r="E681" s="7">
        <v>44927</v>
      </c>
      <c r="F681" s="8" t="s">
        <v>77</v>
      </c>
      <c r="G681" s="2" t="s">
        <v>26</v>
      </c>
      <c r="H681" s="8" t="s">
        <v>28</v>
      </c>
      <c r="I681" s="2" t="s">
        <v>26</v>
      </c>
      <c r="J681" s="7">
        <v>44927</v>
      </c>
      <c r="K681" s="8" t="s">
        <v>77</v>
      </c>
      <c r="L681" s="2" t="s">
        <v>26</v>
      </c>
      <c r="M681" s="8" t="s">
        <v>28</v>
      </c>
      <c r="N681" s="6" t="s">
        <v>2264</v>
      </c>
      <c r="O681" s="6" t="s">
        <v>30</v>
      </c>
      <c r="P681" s="2" t="s">
        <v>13695</v>
      </c>
    </row>
    <row r="682" spans="1:16" ht="13.15" x14ac:dyDescent="0.4">
      <c r="A682" s="2" t="s">
        <v>13347</v>
      </c>
      <c r="B682" s="2" t="s">
        <v>5883</v>
      </c>
      <c r="C682" s="6" t="s">
        <v>5879</v>
      </c>
      <c r="D682" s="6" t="s">
        <v>42</v>
      </c>
      <c r="E682" s="7">
        <v>44927</v>
      </c>
      <c r="F682" s="8" t="s">
        <v>77</v>
      </c>
      <c r="G682" s="2" t="s">
        <v>26</v>
      </c>
      <c r="H682" s="8" t="s">
        <v>28</v>
      </c>
      <c r="I682" s="2" t="s">
        <v>26</v>
      </c>
      <c r="J682" s="7">
        <v>44927</v>
      </c>
      <c r="K682" s="8" t="s">
        <v>77</v>
      </c>
      <c r="L682" s="2" t="s">
        <v>26</v>
      </c>
      <c r="M682" s="8" t="s">
        <v>28</v>
      </c>
      <c r="N682" s="6" t="s">
        <v>2264</v>
      </c>
      <c r="O682" s="6" t="s">
        <v>30</v>
      </c>
      <c r="P682" s="2" t="s">
        <v>13689</v>
      </c>
    </row>
    <row r="683" spans="1:16" ht="13.15" x14ac:dyDescent="0.4">
      <c r="A683" s="2" t="s">
        <v>13360</v>
      </c>
      <c r="B683" s="2" t="s">
        <v>5883</v>
      </c>
      <c r="C683" s="6" t="s">
        <v>5879</v>
      </c>
      <c r="D683" s="6" t="s">
        <v>42</v>
      </c>
      <c r="E683" s="7">
        <v>44927</v>
      </c>
      <c r="F683" s="8" t="s">
        <v>77</v>
      </c>
      <c r="G683" s="2" t="s">
        <v>26</v>
      </c>
      <c r="H683" s="8" t="s">
        <v>28</v>
      </c>
      <c r="I683" s="2" t="s">
        <v>26</v>
      </c>
      <c r="J683" s="7">
        <v>44927</v>
      </c>
      <c r="K683" s="8" t="s">
        <v>77</v>
      </c>
      <c r="L683" s="2" t="s">
        <v>26</v>
      </c>
      <c r="M683" s="8" t="s">
        <v>28</v>
      </c>
      <c r="N683" s="6" t="s">
        <v>2264</v>
      </c>
      <c r="O683" s="6" t="s">
        <v>30</v>
      </c>
      <c r="P683" s="2" t="s">
        <v>13704</v>
      </c>
    </row>
    <row r="684" spans="1:16" ht="13.15" x14ac:dyDescent="0.4">
      <c r="A684" s="2" t="s">
        <v>13468</v>
      </c>
      <c r="B684" s="2" t="s">
        <v>5883</v>
      </c>
      <c r="C684" s="6" t="s">
        <v>5879</v>
      </c>
      <c r="D684" s="6" t="s">
        <v>42</v>
      </c>
      <c r="E684" s="7">
        <v>44927</v>
      </c>
      <c r="F684" s="8" t="s">
        <v>77</v>
      </c>
      <c r="G684" s="2" t="s">
        <v>26</v>
      </c>
      <c r="H684" s="8" t="s">
        <v>28</v>
      </c>
      <c r="I684" s="2" t="s">
        <v>26</v>
      </c>
      <c r="J684" s="7">
        <v>44927</v>
      </c>
      <c r="K684" s="8" t="s">
        <v>77</v>
      </c>
      <c r="L684" s="2" t="s">
        <v>26</v>
      </c>
      <c r="M684" s="8" t="s">
        <v>28</v>
      </c>
      <c r="N684" s="6" t="s">
        <v>2264</v>
      </c>
      <c r="O684" s="6" t="s">
        <v>30</v>
      </c>
      <c r="P684" s="2" t="s">
        <v>13818</v>
      </c>
    </row>
    <row r="685" spans="1:16" ht="13.15" x14ac:dyDescent="0.4">
      <c r="A685" s="2" t="s">
        <v>13314</v>
      </c>
      <c r="B685" s="2" t="s">
        <v>5883</v>
      </c>
      <c r="C685" s="6" t="s">
        <v>5879</v>
      </c>
      <c r="D685" s="6" t="s">
        <v>42</v>
      </c>
      <c r="E685" s="7">
        <v>44927</v>
      </c>
      <c r="F685" s="8" t="s">
        <v>77</v>
      </c>
      <c r="G685" s="2" t="s">
        <v>26</v>
      </c>
      <c r="H685" s="8" t="s">
        <v>28</v>
      </c>
      <c r="I685" s="2" t="s">
        <v>26</v>
      </c>
      <c r="J685" s="7">
        <v>44927</v>
      </c>
      <c r="K685" s="8" t="s">
        <v>77</v>
      </c>
      <c r="L685" s="2" t="s">
        <v>26</v>
      </c>
      <c r="M685" s="8" t="s">
        <v>28</v>
      </c>
      <c r="N685" s="6" t="s">
        <v>2264</v>
      </c>
      <c r="O685" s="6" t="s">
        <v>30</v>
      </c>
      <c r="P685" s="2" t="s">
        <v>13653</v>
      </c>
    </row>
    <row r="686" spans="1:16" ht="13.15" x14ac:dyDescent="0.4">
      <c r="A686" s="2" t="s">
        <v>13325</v>
      </c>
      <c r="B686" s="2" t="s">
        <v>5883</v>
      </c>
      <c r="C686" s="6" t="s">
        <v>5879</v>
      </c>
      <c r="D686" s="6" t="s">
        <v>42</v>
      </c>
      <c r="E686" s="7">
        <v>44927</v>
      </c>
      <c r="F686" s="8" t="s">
        <v>77</v>
      </c>
      <c r="G686" s="2" t="s">
        <v>26</v>
      </c>
      <c r="H686" s="8" t="s">
        <v>28</v>
      </c>
      <c r="I686" s="2" t="s">
        <v>26</v>
      </c>
      <c r="J686" s="7">
        <v>44927</v>
      </c>
      <c r="K686" s="8" t="s">
        <v>77</v>
      </c>
      <c r="L686" s="2" t="s">
        <v>26</v>
      </c>
      <c r="M686" s="8" t="s">
        <v>28</v>
      </c>
      <c r="N686" s="6" t="s">
        <v>2264</v>
      </c>
      <c r="O686" s="6" t="s">
        <v>30</v>
      </c>
      <c r="P686" s="2" t="s">
        <v>13664</v>
      </c>
    </row>
    <row r="687" spans="1:16" ht="13.15" x14ac:dyDescent="0.4">
      <c r="A687" s="2" t="s">
        <v>13506</v>
      </c>
      <c r="B687" s="2" t="s">
        <v>5883</v>
      </c>
      <c r="C687" s="6" t="s">
        <v>5879</v>
      </c>
      <c r="D687" s="6" t="s">
        <v>42</v>
      </c>
      <c r="E687" s="7">
        <v>44927</v>
      </c>
      <c r="F687" s="8" t="s">
        <v>77</v>
      </c>
      <c r="G687" s="2" t="s">
        <v>26</v>
      </c>
      <c r="H687" s="8" t="s">
        <v>28</v>
      </c>
      <c r="I687" s="2" t="s">
        <v>26</v>
      </c>
      <c r="J687" s="7">
        <v>44927</v>
      </c>
      <c r="K687" s="8" t="s">
        <v>77</v>
      </c>
      <c r="L687" s="2" t="s">
        <v>26</v>
      </c>
      <c r="M687" s="8" t="s">
        <v>28</v>
      </c>
      <c r="N687" s="6" t="s">
        <v>2264</v>
      </c>
      <c r="O687" s="6" t="s">
        <v>30</v>
      </c>
      <c r="P687" s="2" t="s">
        <v>13856</v>
      </c>
    </row>
    <row r="688" spans="1:16" ht="13.15" x14ac:dyDescent="0.4">
      <c r="A688" s="2" t="s">
        <v>13424</v>
      </c>
      <c r="B688" s="2" t="s">
        <v>5883</v>
      </c>
      <c r="C688" s="6" t="s">
        <v>5879</v>
      </c>
      <c r="D688" s="6" t="s">
        <v>42</v>
      </c>
      <c r="E688" s="7">
        <v>44927</v>
      </c>
      <c r="F688" s="8" t="s">
        <v>77</v>
      </c>
      <c r="G688" s="2" t="s">
        <v>26</v>
      </c>
      <c r="H688" s="8" t="s">
        <v>28</v>
      </c>
      <c r="I688" s="2" t="s">
        <v>26</v>
      </c>
      <c r="J688" s="7">
        <v>44927</v>
      </c>
      <c r="K688" s="8" t="s">
        <v>77</v>
      </c>
      <c r="L688" s="2" t="s">
        <v>26</v>
      </c>
      <c r="M688" s="8" t="s">
        <v>28</v>
      </c>
      <c r="N688" s="6" t="s">
        <v>2264</v>
      </c>
      <c r="O688" s="6" t="s">
        <v>30</v>
      </c>
      <c r="P688" s="2" t="s">
        <v>13772</v>
      </c>
    </row>
    <row r="689" spans="1:16" ht="13.15" x14ac:dyDescent="0.4">
      <c r="A689" s="2" t="s">
        <v>13572</v>
      </c>
      <c r="B689" s="2" t="s">
        <v>5883</v>
      </c>
      <c r="C689" s="6" t="s">
        <v>5879</v>
      </c>
      <c r="D689" s="6" t="s">
        <v>42</v>
      </c>
      <c r="E689" s="7">
        <v>44927</v>
      </c>
      <c r="F689" s="8" t="s">
        <v>77</v>
      </c>
      <c r="G689" s="2" t="s">
        <v>26</v>
      </c>
      <c r="H689" s="8" t="s">
        <v>28</v>
      </c>
      <c r="I689" s="2" t="s">
        <v>26</v>
      </c>
      <c r="J689" s="7">
        <v>44927</v>
      </c>
      <c r="K689" s="8" t="s">
        <v>77</v>
      </c>
      <c r="L689" s="2" t="s">
        <v>26</v>
      </c>
      <c r="M689" s="8" t="s">
        <v>28</v>
      </c>
      <c r="N689" s="6" t="s">
        <v>2264</v>
      </c>
      <c r="O689" s="6" t="s">
        <v>30</v>
      </c>
      <c r="P689" s="2" t="s">
        <v>13928</v>
      </c>
    </row>
    <row r="690" spans="1:16" ht="13.15" x14ac:dyDescent="0.4">
      <c r="A690" s="2" t="s">
        <v>10897</v>
      </c>
      <c r="B690" s="2" t="s">
        <v>5884</v>
      </c>
      <c r="C690" s="6" t="s">
        <v>5879</v>
      </c>
      <c r="D690" s="6" t="s">
        <v>42</v>
      </c>
      <c r="E690" s="7">
        <v>44927</v>
      </c>
      <c r="F690" s="8" t="s">
        <v>77</v>
      </c>
      <c r="G690" s="2" t="s">
        <v>26</v>
      </c>
      <c r="H690" s="8" t="s">
        <v>28</v>
      </c>
      <c r="I690" s="2" t="s">
        <v>26</v>
      </c>
      <c r="J690" s="7">
        <v>44927</v>
      </c>
      <c r="K690" s="8" t="s">
        <v>77</v>
      </c>
      <c r="L690" s="2" t="s">
        <v>26</v>
      </c>
      <c r="M690" s="8" t="s">
        <v>28</v>
      </c>
      <c r="N690" s="6" t="s">
        <v>2264</v>
      </c>
      <c r="O690" s="6" t="s">
        <v>30</v>
      </c>
      <c r="P690" s="2" t="s">
        <v>10905</v>
      </c>
    </row>
    <row r="691" spans="1:16" ht="13.15" x14ac:dyDescent="0.4">
      <c r="A691" s="2" t="s">
        <v>7896</v>
      </c>
      <c r="B691" s="2" t="s">
        <v>5884</v>
      </c>
      <c r="C691" s="6" t="s">
        <v>5879</v>
      </c>
      <c r="D691" s="6" t="s">
        <v>42</v>
      </c>
      <c r="E691" s="7">
        <v>44927</v>
      </c>
      <c r="F691" s="8" t="s">
        <v>77</v>
      </c>
      <c r="G691" s="2" t="s">
        <v>26</v>
      </c>
      <c r="H691" s="8" t="s">
        <v>28</v>
      </c>
      <c r="I691" s="2" t="s">
        <v>26</v>
      </c>
      <c r="J691" s="7">
        <v>44927</v>
      </c>
      <c r="K691" s="8" t="s">
        <v>77</v>
      </c>
      <c r="L691" s="2" t="s">
        <v>26</v>
      </c>
      <c r="M691" s="8" t="s">
        <v>28</v>
      </c>
      <c r="N691" s="6" t="s">
        <v>2264</v>
      </c>
      <c r="O691" s="6" t="s">
        <v>30</v>
      </c>
      <c r="P691" s="2" t="s">
        <v>10902</v>
      </c>
    </row>
    <row r="692" spans="1:16" ht="13.15" x14ac:dyDescent="0.4">
      <c r="A692" s="2" t="s">
        <v>10899</v>
      </c>
      <c r="B692" s="2" t="s">
        <v>5884</v>
      </c>
      <c r="C692" s="6" t="s">
        <v>5879</v>
      </c>
      <c r="D692" s="6" t="s">
        <v>42</v>
      </c>
      <c r="E692" s="7">
        <v>44927</v>
      </c>
      <c r="F692" s="8" t="s">
        <v>77</v>
      </c>
      <c r="G692" s="2" t="s">
        <v>26</v>
      </c>
      <c r="H692" s="8" t="s">
        <v>28</v>
      </c>
      <c r="I692" s="2" t="s">
        <v>26</v>
      </c>
      <c r="J692" s="7">
        <v>44927</v>
      </c>
      <c r="K692" s="8" t="s">
        <v>77</v>
      </c>
      <c r="L692" s="2" t="s">
        <v>26</v>
      </c>
      <c r="M692" s="8" t="s">
        <v>28</v>
      </c>
      <c r="N692" s="6" t="s">
        <v>2264</v>
      </c>
      <c r="O692" s="6" t="s">
        <v>30</v>
      </c>
      <c r="P692" s="2" t="s">
        <v>10907</v>
      </c>
    </row>
    <row r="693" spans="1:16" ht="13.15" x14ac:dyDescent="0.4">
      <c r="A693" s="2" t="s">
        <v>2921</v>
      </c>
      <c r="B693" s="2" t="s">
        <v>5884</v>
      </c>
      <c r="C693" s="6" t="s">
        <v>5879</v>
      </c>
      <c r="D693" s="6" t="s">
        <v>42</v>
      </c>
      <c r="E693" s="7">
        <v>44927</v>
      </c>
      <c r="F693" s="8" t="s">
        <v>77</v>
      </c>
      <c r="G693" s="2" t="s">
        <v>26</v>
      </c>
      <c r="H693" s="8" t="s">
        <v>28</v>
      </c>
      <c r="I693" s="2" t="s">
        <v>26</v>
      </c>
      <c r="J693" s="7">
        <v>44927</v>
      </c>
      <c r="K693" s="8" t="s">
        <v>77</v>
      </c>
      <c r="L693" s="2" t="s">
        <v>26</v>
      </c>
      <c r="M693" s="8" t="s">
        <v>28</v>
      </c>
      <c r="N693" s="6" t="s">
        <v>2264</v>
      </c>
      <c r="O693" s="6" t="s">
        <v>30</v>
      </c>
      <c r="P693" s="2" t="s">
        <v>10904</v>
      </c>
    </row>
    <row r="694" spans="1:16" ht="13.15" x14ac:dyDescent="0.4">
      <c r="A694" s="2" t="s">
        <v>10898</v>
      </c>
      <c r="B694" s="2" t="s">
        <v>5884</v>
      </c>
      <c r="C694" s="6" t="s">
        <v>5879</v>
      </c>
      <c r="D694" s="6" t="s">
        <v>42</v>
      </c>
      <c r="E694" s="7">
        <v>44927</v>
      </c>
      <c r="F694" s="8" t="s">
        <v>77</v>
      </c>
      <c r="G694" s="2" t="s">
        <v>26</v>
      </c>
      <c r="H694" s="8" t="s">
        <v>28</v>
      </c>
      <c r="I694" s="2" t="s">
        <v>26</v>
      </c>
      <c r="J694" s="7">
        <v>44927</v>
      </c>
      <c r="K694" s="8" t="s">
        <v>77</v>
      </c>
      <c r="L694" s="2" t="s">
        <v>26</v>
      </c>
      <c r="M694" s="8" t="s">
        <v>28</v>
      </c>
      <c r="N694" s="6" t="s">
        <v>2264</v>
      </c>
      <c r="O694" s="6" t="s">
        <v>30</v>
      </c>
      <c r="P694" s="2" t="s">
        <v>10906</v>
      </c>
    </row>
    <row r="695" spans="1:16" ht="13.15" x14ac:dyDescent="0.4">
      <c r="A695" s="2" t="s">
        <v>10895</v>
      </c>
      <c r="B695" s="2" t="s">
        <v>5884</v>
      </c>
      <c r="C695" s="6" t="s">
        <v>5879</v>
      </c>
      <c r="D695" s="6" t="s">
        <v>42</v>
      </c>
      <c r="E695" s="7">
        <v>44927</v>
      </c>
      <c r="F695" s="8" t="s">
        <v>77</v>
      </c>
      <c r="G695" s="2" t="s">
        <v>26</v>
      </c>
      <c r="H695" s="8" t="s">
        <v>28</v>
      </c>
      <c r="I695" s="2" t="s">
        <v>26</v>
      </c>
      <c r="J695" s="7">
        <v>44927</v>
      </c>
      <c r="K695" s="8" t="s">
        <v>77</v>
      </c>
      <c r="L695" s="2" t="s">
        <v>26</v>
      </c>
      <c r="M695" s="8" t="s">
        <v>28</v>
      </c>
      <c r="N695" s="6" t="s">
        <v>2264</v>
      </c>
      <c r="O695" s="6" t="s">
        <v>30</v>
      </c>
      <c r="P695" s="2" t="s">
        <v>10901</v>
      </c>
    </row>
    <row r="696" spans="1:16" ht="13.15" x14ac:dyDescent="0.4">
      <c r="A696" s="2" t="s">
        <v>10896</v>
      </c>
      <c r="B696" s="2" t="s">
        <v>5884</v>
      </c>
      <c r="C696" s="6" t="s">
        <v>5879</v>
      </c>
      <c r="D696" s="6" t="s">
        <v>42</v>
      </c>
      <c r="E696" s="7">
        <v>44927</v>
      </c>
      <c r="F696" s="8" t="s">
        <v>77</v>
      </c>
      <c r="G696" s="2" t="s">
        <v>26</v>
      </c>
      <c r="H696" s="8" t="s">
        <v>28</v>
      </c>
      <c r="I696" s="2" t="s">
        <v>26</v>
      </c>
      <c r="J696" s="7">
        <v>44927</v>
      </c>
      <c r="K696" s="8" t="s">
        <v>77</v>
      </c>
      <c r="L696" s="2" t="s">
        <v>26</v>
      </c>
      <c r="M696" s="8" t="s">
        <v>28</v>
      </c>
      <c r="N696" s="6" t="s">
        <v>2264</v>
      </c>
      <c r="O696" s="6" t="s">
        <v>30</v>
      </c>
      <c r="P696" s="2" t="s">
        <v>10903</v>
      </c>
    </row>
    <row r="697" spans="1:16" ht="13.15" x14ac:dyDescent="0.4">
      <c r="A697" s="2" t="s">
        <v>10900</v>
      </c>
      <c r="B697" s="2" t="s">
        <v>5884</v>
      </c>
      <c r="C697" s="6" t="s">
        <v>5879</v>
      </c>
      <c r="D697" s="6" t="s">
        <v>42</v>
      </c>
      <c r="E697" s="7">
        <v>44927</v>
      </c>
      <c r="F697" s="8" t="s">
        <v>77</v>
      </c>
      <c r="G697" s="2" t="s">
        <v>26</v>
      </c>
      <c r="H697" s="8" t="s">
        <v>28</v>
      </c>
      <c r="I697" s="2" t="s">
        <v>26</v>
      </c>
      <c r="J697" s="7">
        <v>44927</v>
      </c>
      <c r="K697" s="8" t="s">
        <v>77</v>
      </c>
      <c r="L697" s="2" t="s">
        <v>26</v>
      </c>
      <c r="M697" s="8" t="s">
        <v>28</v>
      </c>
      <c r="N697" s="6" t="s">
        <v>2264</v>
      </c>
      <c r="O697" s="6" t="s">
        <v>30</v>
      </c>
      <c r="P697" s="2" t="s">
        <v>10908</v>
      </c>
    </row>
    <row r="698" spans="1:16" ht="13.15" x14ac:dyDescent="0.4">
      <c r="A698" s="2" t="s">
        <v>12005</v>
      </c>
      <c r="B698" s="2" t="s">
        <v>5885</v>
      </c>
      <c r="C698" s="6" t="s">
        <v>5879</v>
      </c>
      <c r="D698" s="6" t="s">
        <v>42</v>
      </c>
      <c r="E698" s="7">
        <v>44927</v>
      </c>
      <c r="F698" s="8" t="s">
        <v>77</v>
      </c>
      <c r="G698" s="2" t="s">
        <v>26</v>
      </c>
      <c r="H698" s="8" t="s">
        <v>28</v>
      </c>
      <c r="I698" s="2" t="s">
        <v>26</v>
      </c>
      <c r="J698" s="7">
        <v>44927</v>
      </c>
      <c r="K698" s="8" t="s">
        <v>77</v>
      </c>
      <c r="L698" s="2" t="s">
        <v>26</v>
      </c>
      <c r="M698" s="8" t="s">
        <v>28</v>
      </c>
      <c r="N698" s="6" t="s">
        <v>2264</v>
      </c>
      <c r="O698" s="6" t="s">
        <v>30</v>
      </c>
      <c r="P698" s="2" t="s">
        <v>12078</v>
      </c>
    </row>
    <row r="699" spans="1:16" ht="13.15" x14ac:dyDescent="0.4">
      <c r="A699" s="2" t="s">
        <v>12008</v>
      </c>
      <c r="B699" s="2" t="s">
        <v>5885</v>
      </c>
      <c r="C699" s="6" t="s">
        <v>5879</v>
      </c>
      <c r="D699" s="6" t="s">
        <v>42</v>
      </c>
      <c r="E699" s="7">
        <v>44927</v>
      </c>
      <c r="F699" s="8" t="s">
        <v>77</v>
      </c>
      <c r="G699" s="2" t="s">
        <v>26</v>
      </c>
      <c r="H699" s="8" t="s">
        <v>28</v>
      </c>
      <c r="I699" s="2" t="s">
        <v>26</v>
      </c>
      <c r="J699" s="7">
        <v>44927</v>
      </c>
      <c r="K699" s="8" t="s">
        <v>77</v>
      </c>
      <c r="L699" s="2" t="s">
        <v>26</v>
      </c>
      <c r="M699" s="8" t="s">
        <v>28</v>
      </c>
      <c r="N699" s="6" t="s">
        <v>2264</v>
      </c>
      <c r="O699" s="6" t="s">
        <v>30</v>
      </c>
      <c r="P699" s="2" t="s">
        <v>12079</v>
      </c>
    </row>
    <row r="700" spans="1:16" ht="13.15" x14ac:dyDescent="0.4">
      <c r="A700" s="2" t="s">
        <v>12072</v>
      </c>
      <c r="B700" s="2" t="s">
        <v>5885</v>
      </c>
      <c r="C700" s="6" t="s">
        <v>5879</v>
      </c>
      <c r="D700" s="6" t="s">
        <v>42</v>
      </c>
      <c r="E700" s="7">
        <v>44927</v>
      </c>
      <c r="F700" s="8" t="s">
        <v>77</v>
      </c>
      <c r="G700" s="2" t="s">
        <v>26</v>
      </c>
      <c r="H700" s="8" t="s">
        <v>28</v>
      </c>
      <c r="I700" s="2" t="s">
        <v>26</v>
      </c>
      <c r="J700" s="7">
        <v>44927</v>
      </c>
      <c r="K700" s="8" t="s">
        <v>77</v>
      </c>
      <c r="L700" s="2" t="s">
        <v>26</v>
      </c>
      <c r="M700" s="8" t="s">
        <v>28</v>
      </c>
      <c r="N700" s="6" t="s">
        <v>2264</v>
      </c>
      <c r="O700" s="6" t="s">
        <v>30</v>
      </c>
      <c r="P700" s="2" t="s">
        <v>12080</v>
      </c>
    </row>
    <row r="701" spans="1:16" ht="13.15" x14ac:dyDescent="0.4">
      <c r="A701" s="2" t="s">
        <v>7440</v>
      </c>
      <c r="B701" s="2" t="s">
        <v>5885</v>
      </c>
      <c r="C701" s="6" t="s">
        <v>5879</v>
      </c>
      <c r="D701" s="6" t="s">
        <v>42</v>
      </c>
      <c r="E701" s="7">
        <v>44927</v>
      </c>
      <c r="F701" s="8" t="s">
        <v>77</v>
      </c>
      <c r="G701" s="2" t="s">
        <v>26</v>
      </c>
      <c r="H701" s="8" t="s">
        <v>28</v>
      </c>
      <c r="I701" s="2" t="s">
        <v>26</v>
      </c>
      <c r="J701" s="7">
        <v>44927</v>
      </c>
      <c r="K701" s="8" t="s">
        <v>77</v>
      </c>
      <c r="L701" s="2" t="s">
        <v>26</v>
      </c>
      <c r="M701" s="8" t="s">
        <v>28</v>
      </c>
      <c r="N701" s="6" t="s">
        <v>2264</v>
      </c>
      <c r="O701" s="6" t="s">
        <v>30</v>
      </c>
      <c r="P701" s="2" t="s">
        <v>12081</v>
      </c>
    </row>
    <row r="702" spans="1:16" ht="13.15" x14ac:dyDescent="0.4">
      <c r="A702" s="2" t="s">
        <v>11986</v>
      </c>
      <c r="B702" s="2" t="s">
        <v>5885</v>
      </c>
      <c r="C702" s="6" t="s">
        <v>5879</v>
      </c>
      <c r="D702" s="6" t="s">
        <v>42</v>
      </c>
      <c r="E702" s="7">
        <v>44927</v>
      </c>
      <c r="F702" s="8" t="s">
        <v>77</v>
      </c>
      <c r="G702" s="2" t="s">
        <v>26</v>
      </c>
      <c r="H702" s="8" t="s">
        <v>28</v>
      </c>
      <c r="I702" s="2" t="s">
        <v>26</v>
      </c>
      <c r="J702" s="7">
        <v>44927</v>
      </c>
      <c r="K702" s="8" t="s">
        <v>77</v>
      </c>
      <c r="L702" s="2" t="s">
        <v>26</v>
      </c>
      <c r="M702" s="8" t="s">
        <v>28</v>
      </c>
      <c r="N702" s="6" t="s">
        <v>2264</v>
      </c>
      <c r="O702" s="6" t="s">
        <v>30</v>
      </c>
      <c r="P702" s="2" t="s">
        <v>12082</v>
      </c>
    </row>
    <row r="703" spans="1:16" ht="13.15" x14ac:dyDescent="0.4">
      <c r="A703" s="2" t="s">
        <v>11997</v>
      </c>
      <c r="B703" s="2" t="s">
        <v>5885</v>
      </c>
      <c r="C703" s="6" t="s">
        <v>5879</v>
      </c>
      <c r="D703" s="6" t="s">
        <v>42</v>
      </c>
      <c r="E703" s="7">
        <v>44927</v>
      </c>
      <c r="F703" s="8" t="s">
        <v>77</v>
      </c>
      <c r="G703" s="2" t="s">
        <v>26</v>
      </c>
      <c r="H703" s="8" t="s">
        <v>28</v>
      </c>
      <c r="I703" s="2" t="s">
        <v>26</v>
      </c>
      <c r="J703" s="7">
        <v>44927</v>
      </c>
      <c r="K703" s="8" t="s">
        <v>77</v>
      </c>
      <c r="L703" s="2" t="s">
        <v>26</v>
      </c>
      <c r="M703" s="8" t="s">
        <v>28</v>
      </c>
      <c r="N703" s="6" t="s">
        <v>2264</v>
      </c>
      <c r="O703" s="6" t="s">
        <v>30</v>
      </c>
      <c r="P703" s="2" t="s">
        <v>12083</v>
      </c>
    </row>
    <row r="704" spans="1:16" ht="13.15" x14ac:dyDescent="0.4">
      <c r="A704" s="2" t="s">
        <v>12062</v>
      </c>
      <c r="B704" s="2" t="s">
        <v>5885</v>
      </c>
      <c r="C704" s="6" t="s">
        <v>5879</v>
      </c>
      <c r="D704" s="6" t="s">
        <v>42</v>
      </c>
      <c r="E704" s="7">
        <v>44927</v>
      </c>
      <c r="F704" s="8" t="s">
        <v>77</v>
      </c>
      <c r="G704" s="2" t="s">
        <v>26</v>
      </c>
      <c r="H704" s="8" t="s">
        <v>28</v>
      </c>
      <c r="I704" s="2" t="s">
        <v>26</v>
      </c>
      <c r="J704" s="7">
        <v>44927</v>
      </c>
      <c r="K704" s="8" t="s">
        <v>77</v>
      </c>
      <c r="L704" s="2" t="s">
        <v>26</v>
      </c>
      <c r="M704" s="8" t="s">
        <v>28</v>
      </c>
      <c r="N704" s="6" t="s">
        <v>2264</v>
      </c>
      <c r="O704" s="6" t="s">
        <v>30</v>
      </c>
      <c r="P704" s="2" t="s">
        <v>12084</v>
      </c>
    </row>
    <row r="705" spans="1:16" ht="13.15" x14ac:dyDescent="0.4">
      <c r="A705" s="2" t="s">
        <v>12011</v>
      </c>
      <c r="B705" s="2" t="s">
        <v>5885</v>
      </c>
      <c r="C705" s="6" t="s">
        <v>5879</v>
      </c>
      <c r="D705" s="6" t="s">
        <v>42</v>
      </c>
      <c r="E705" s="7">
        <v>44927</v>
      </c>
      <c r="F705" s="8" t="s">
        <v>77</v>
      </c>
      <c r="G705" s="2" t="s">
        <v>26</v>
      </c>
      <c r="H705" s="8" t="s">
        <v>28</v>
      </c>
      <c r="I705" s="2" t="s">
        <v>26</v>
      </c>
      <c r="J705" s="7">
        <v>44927</v>
      </c>
      <c r="K705" s="8" t="s">
        <v>77</v>
      </c>
      <c r="L705" s="2" t="s">
        <v>26</v>
      </c>
      <c r="M705" s="8" t="s">
        <v>28</v>
      </c>
      <c r="N705" s="6" t="s">
        <v>2264</v>
      </c>
      <c r="O705" s="6" t="s">
        <v>30</v>
      </c>
      <c r="P705" s="2" t="s">
        <v>12085</v>
      </c>
    </row>
    <row r="706" spans="1:16" ht="13.15" x14ac:dyDescent="0.4">
      <c r="A706" s="2" t="s">
        <v>12060</v>
      </c>
      <c r="B706" s="2" t="s">
        <v>5885</v>
      </c>
      <c r="C706" s="6" t="s">
        <v>5879</v>
      </c>
      <c r="D706" s="6" t="s">
        <v>42</v>
      </c>
      <c r="E706" s="7">
        <v>44927</v>
      </c>
      <c r="F706" s="8" t="s">
        <v>77</v>
      </c>
      <c r="G706" s="2" t="s">
        <v>26</v>
      </c>
      <c r="H706" s="8" t="s">
        <v>28</v>
      </c>
      <c r="I706" s="2" t="s">
        <v>26</v>
      </c>
      <c r="J706" s="7">
        <v>44927</v>
      </c>
      <c r="K706" s="8" t="s">
        <v>77</v>
      </c>
      <c r="L706" s="2" t="s">
        <v>26</v>
      </c>
      <c r="M706" s="8" t="s">
        <v>28</v>
      </c>
      <c r="N706" s="6" t="s">
        <v>2264</v>
      </c>
      <c r="O706" s="6" t="s">
        <v>30</v>
      </c>
      <c r="P706" s="2" t="s">
        <v>12086</v>
      </c>
    </row>
    <row r="707" spans="1:16" ht="13.15" x14ac:dyDescent="0.4">
      <c r="A707" s="2" t="s">
        <v>12076</v>
      </c>
      <c r="B707" s="2" t="s">
        <v>5885</v>
      </c>
      <c r="C707" s="6" t="s">
        <v>5879</v>
      </c>
      <c r="D707" s="6" t="s">
        <v>42</v>
      </c>
      <c r="E707" s="7">
        <v>44927</v>
      </c>
      <c r="F707" s="8" t="s">
        <v>77</v>
      </c>
      <c r="G707" s="2" t="s">
        <v>26</v>
      </c>
      <c r="H707" s="8" t="s">
        <v>28</v>
      </c>
      <c r="I707" s="2" t="s">
        <v>26</v>
      </c>
      <c r="J707" s="7">
        <v>44927</v>
      </c>
      <c r="K707" s="8" t="s">
        <v>77</v>
      </c>
      <c r="L707" s="2" t="s">
        <v>26</v>
      </c>
      <c r="M707" s="8" t="s">
        <v>28</v>
      </c>
      <c r="N707" s="6" t="s">
        <v>2264</v>
      </c>
      <c r="O707" s="6" t="s">
        <v>30</v>
      </c>
      <c r="P707" s="2" t="s">
        <v>12087</v>
      </c>
    </row>
    <row r="708" spans="1:16" ht="13.15" x14ac:dyDescent="0.4">
      <c r="A708" s="2" t="s">
        <v>12006</v>
      </c>
      <c r="B708" s="2" t="s">
        <v>5885</v>
      </c>
      <c r="C708" s="6" t="s">
        <v>5879</v>
      </c>
      <c r="D708" s="6" t="s">
        <v>42</v>
      </c>
      <c r="E708" s="7">
        <v>44927</v>
      </c>
      <c r="F708" s="8" t="s">
        <v>77</v>
      </c>
      <c r="G708" s="2" t="s">
        <v>26</v>
      </c>
      <c r="H708" s="8" t="s">
        <v>28</v>
      </c>
      <c r="I708" s="2" t="s">
        <v>26</v>
      </c>
      <c r="J708" s="7">
        <v>44927</v>
      </c>
      <c r="K708" s="8" t="s">
        <v>77</v>
      </c>
      <c r="L708" s="2" t="s">
        <v>26</v>
      </c>
      <c r="M708" s="8" t="s">
        <v>28</v>
      </c>
      <c r="N708" s="6" t="s">
        <v>2264</v>
      </c>
      <c r="O708" s="6" t="s">
        <v>30</v>
      </c>
      <c r="P708" s="2" t="s">
        <v>12088</v>
      </c>
    </row>
    <row r="709" spans="1:16" ht="13.15" x14ac:dyDescent="0.4">
      <c r="A709" s="2" t="s">
        <v>12061</v>
      </c>
      <c r="B709" s="2" t="s">
        <v>5885</v>
      </c>
      <c r="C709" s="6" t="s">
        <v>5879</v>
      </c>
      <c r="D709" s="6" t="s">
        <v>42</v>
      </c>
      <c r="E709" s="7">
        <v>44927</v>
      </c>
      <c r="F709" s="8" t="s">
        <v>77</v>
      </c>
      <c r="G709" s="2" t="s">
        <v>26</v>
      </c>
      <c r="H709" s="8" t="s">
        <v>28</v>
      </c>
      <c r="I709" s="2" t="s">
        <v>26</v>
      </c>
      <c r="J709" s="7">
        <v>44927</v>
      </c>
      <c r="K709" s="8" t="s">
        <v>77</v>
      </c>
      <c r="L709" s="2" t="s">
        <v>26</v>
      </c>
      <c r="M709" s="8" t="s">
        <v>28</v>
      </c>
      <c r="N709" s="6" t="s">
        <v>2264</v>
      </c>
      <c r="O709" s="6" t="s">
        <v>30</v>
      </c>
      <c r="P709" s="2" t="s">
        <v>12089</v>
      </c>
    </row>
    <row r="710" spans="1:16" ht="13.15" x14ac:dyDescent="0.4">
      <c r="A710" s="2" t="s">
        <v>12071</v>
      </c>
      <c r="B710" s="2" t="s">
        <v>5885</v>
      </c>
      <c r="C710" s="6" t="s">
        <v>5879</v>
      </c>
      <c r="D710" s="6" t="s">
        <v>42</v>
      </c>
      <c r="E710" s="7">
        <v>44927</v>
      </c>
      <c r="F710" s="8" t="s">
        <v>77</v>
      </c>
      <c r="G710" s="2" t="s">
        <v>26</v>
      </c>
      <c r="H710" s="8" t="s">
        <v>28</v>
      </c>
      <c r="I710" s="2" t="s">
        <v>26</v>
      </c>
      <c r="J710" s="7">
        <v>44927</v>
      </c>
      <c r="K710" s="8" t="s">
        <v>77</v>
      </c>
      <c r="L710" s="2" t="s">
        <v>26</v>
      </c>
      <c r="M710" s="8" t="s">
        <v>28</v>
      </c>
      <c r="N710" s="6" t="s">
        <v>2264</v>
      </c>
      <c r="O710" s="6" t="s">
        <v>30</v>
      </c>
      <c r="P710" s="2" t="s">
        <v>12090</v>
      </c>
    </row>
    <row r="711" spans="1:16" ht="13.15" x14ac:dyDescent="0.4">
      <c r="A711" s="2" t="s">
        <v>11996</v>
      </c>
      <c r="B711" s="2" t="s">
        <v>5885</v>
      </c>
      <c r="C711" s="6" t="s">
        <v>5879</v>
      </c>
      <c r="D711" s="6" t="s">
        <v>42</v>
      </c>
      <c r="E711" s="7">
        <v>44927</v>
      </c>
      <c r="F711" s="8" t="s">
        <v>77</v>
      </c>
      <c r="G711" s="2" t="s">
        <v>26</v>
      </c>
      <c r="H711" s="8" t="s">
        <v>28</v>
      </c>
      <c r="I711" s="2" t="s">
        <v>26</v>
      </c>
      <c r="J711" s="7">
        <v>44927</v>
      </c>
      <c r="K711" s="8" t="s">
        <v>77</v>
      </c>
      <c r="L711" s="2" t="s">
        <v>26</v>
      </c>
      <c r="M711" s="8" t="s">
        <v>28</v>
      </c>
      <c r="N711" s="6" t="s">
        <v>2264</v>
      </c>
      <c r="O711" s="6" t="s">
        <v>30</v>
      </c>
      <c r="P711" s="2" t="s">
        <v>12091</v>
      </c>
    </row>
    <row r="712" spans="1:16" ht="13.15" x14ac:dyDescent="0.4">
      <c r="A712" s="2" t="s">
        <v>12059</v>
      </c>
      <c r="B712" s="2" t="s">
        <v>5885</v>
      </c>
      <c r="C712" s="6" t="s">
        <v>5879</v>
      </c>
      <c r="D712" s="6" t="s">
        <v>42</v>
      </c>
      <c r="E712" s="7">
        <v>44927</v>
      </c>
      <c r="F712" s="8" t="s">
        <v>77</v>
      </c>
      <c r="G712" s="2" t="s">
        <v>26</v>
      </c>
      <c r="H712" s="8" t="s">
        <v>28</v>
      </c>
      <c r="I712" s="2" t="s">
        <v>26</v>
      </c>
      <c r="J712" s="7">
        <v>44927</v>
      </c>
      <c r="K712" s="8" t="s">
        <v>77</v>
      </c>
      <c r="L712" s="2" t="s">
        <v>26</v>
      </c>
      <c r="M712" s="8" t="s">
        <v>28</v>
      </c>
      <c r="N712" s="6" t="s">
        <v>2264</v>
      </c>
      <c r="O712" s="6" t="s">
        <v>30</v>
      </c>
      <c r="P712" s="2" t="s">
        <v>12092</v>
      </c>
    </row>
    <row r="713" spans="1:16" ht="13.15" x14ac:dyDescent="0.4">
      <c r="A713" s="2" t="s">
        <v>12077</v>
      </c>
      <c r="B713" s="2" t="s">
        <v>5885</v>
      </c>
      <c r="C713" s="6" t="s">
        <v>5879</v>
      </c>
      <c r="D713" s="6" t="s">
        <v>42</v>
      </c>
      <c r="E713" s="7">
        <v>44927</v>
      </c>
      <c r="F713" s="8" t="s">
        <v>77</v>
      </c>
      <c r="G713" s="2" t="s">
        <v>26</v>
      </c>
      <c r="H713" s="8" t="s">
        <v>28</v>
      </c>
      <c r="I713" s="2" t="s">
        <v>26</v>
      </c>
      <c r="J713" s="7">
        <v>44927</v>
      </c>
      <c r="K713" s="8" t="s">
        <v>77</v>
      </c>
      <c r="L713" s="2" t="s">
        <v>26</v>
      </c>
      <c r="M713" s="8" t="s">
        <v>28</v>
      </c>
      <c r="N713" s="6" t="s">
        <v>2264</v>
      </c>
      <c r="O713" s="6" t="s">
        <v>30</v>
      </c>
      <c r="P713" s="2" t="s">
        <v>12093</v>
      </c>
    </row>
    <row r="714" spans="1:16" ht="13.15" x14ac:dyDescent="0.4">
      <c r="A714" s="2" t="s">
        <v>12002</v>
      </c>
      <c r="B714" s="2" t="s">
        <v>5885</v>
      </c>
      <c r="C714" s="6" t="s">
        <v>5879</v>
      </c>
      <c r="D714" s="6" t="s">
        <v>42</v>
      </c>
      <c r="E714" s="7">
        <v>44927</v>
      </c>
      <c r="F714" s="8" t="s">
        <v>77</v>
      </c>
      <c r="G714" s="2" t="s">
        <v>26</v>
      </c>
      <c r="H714" s="8" t="s">
        <v>28</v>
      </c>
      <c r="I714" s="2" t="s">
        <v>26</v>
      </c>
      <c r="J714" s="7">
        <v>44927</v>
      </c>
      <c r="K714" s="8" t="s">
        <v>77</v>
      </c>
      <c r="L714" s="2" t="s">
        <v>26</v>
      </c>
      <c r="M714" s="8" t="s">
        <v>28</v>
      </c>
      <c r="N714" s="6" t="s">
        <v>2264</v>
      </c>
      <c r="O714" s="6" t="s">
        <v>30</v>
      </c>
      <c r="P714" s="2" t="s">
        <v>12094</v>
      </c>
    </row>
    <row r="715" spans="1:16" ht="13.15" x14ac:dyDescent="0.4">
      <c r="A715" s="2" t="s">
        <v>12070</v>
      </c>
      <c r="B715" s="2" t="s">
        <v>5885</v>
      </c>
      <c r="C715" s="6" t="s">
        <v>5879</v>
      </c>
      <c r="D715" s="6" t="s">
        <v>42</v>
      </c>
      <c r="E715" s="7">
        <v>44927</v>
      </c>
      <c r="F715" s="8" t="s">
        <v>77</v>
      </c>
      <c r="G715" s="2" t="s">
        <v>26</v>
      </c>
      <c r="H715" s="8" t="s">
        <v>28</v>
      </c>
      <c r="I715" s="2" t="s">
        <v>26</v>
      </c>
      <c r="J715" s="7">
        <v>44927</v>
      </c>
      <c r="K715" s="8" t="s">
        <v>77</v>
      </c>
      <c r="L715" s="2" t="s">
        <v>26</v>
      </c>
      <c r="M715" s="8" t="s">
        <v>28</v>
      </c>
      <c r="N715" s="6" t="s">
        <v>2264</v>
      </c>
      <c r="O715" s="6" t="s">
        <v>30</v>
      </c>
      <c r="P715" s="2" t="s">
        <v>12095</v>
      </c>
    </row>
    <row r="716" spans="1:16" ht="13.15" x14ac:dyDescent="0.4">
      <c r="A716" s="2" t="s">
        <v>7493</v>
      </c>
      <c r="B716" s="2" t="s">
        <v>5885</v>
      </c>
      <c r="C716" s="6" t="s">
        <v>5879</v>
      </c>
      <c r="D716" s="6" t="s">
        <v>42</v>
      </c>
      <c r="E716" s="7">
        <v>44927</v>
      </c>
      <c r="F716" s="8" t="s">
        <v>77</v>
      </c>
      <c r="G716" s="2" t="s">
        <v>26</v>
      </c>
      <c r="H716" s="8" t="s">
        <v>28</v>
      </c>
      <c r="I716" s="2" t="s">
        <v>26</v>
      </c>
      <c r="J716" s="7">
        <v>44927</v>
      </c>
      <c r="K716" s="8" t="s">
        <v>77</v>
      </c>
      <c r="L716" s="2" t="s">
        <v>26</v>
      </c>
      <c r="M716" s="8" t="s">
        <v>28</v>
      </c>
      <c r="N716" s="6" t="s">
        <v>2264</v>
      </c>
      <c r="O716" s="6" t="s">
        <v>30</v>
      </c>
      <c r="P716" s="2" t="s">
        <v>12096</v>
      </c>
    </row>
    <row r="717" spans="1:16" ht="13.15" x14ac:dyDescent="0.4">
      <c r="A717" s="2" t="s">
        <v>12075</v>
      </c>
      <c r="B717" s="2" t="s">
        <v>5885</v>
      </c>
      <c r="C717" s="6" t="s">
        <v>5879</v>
      </c>
      <c r="D717" s="6" t="s">
        <v>42</v>
      </c>
      <c r="E717" s="7">
        <v>44927</v>
      </c>
      <c r="F717" s="8" t="s">
        <v>77</v>
      </c>
      <c r="G717" s="2" t="s">
        <v>26</v>
      </c>
      <c r="H717" s="8" t="s">
        <v>28</v>
      </c>
      <c r="I717" s="2" t="s">
        <v>26</v>
      </c>
      <c r="J717" s="7">
        <v>44927</v>
      </c>
      <c r="K717" s="8" t="s">
        <v>77</v>
      </c>
      <c r="L717" s="2" t="s">
        <v>26</v>
      </c>
      <c r="M717" s="8" t="s">
        <v>28</v>
      </c>
      <c r="N717" s="6" t="s">
        <v>2264</v>
      </c>
      <c r="O717" s="6" t="s">
        <v>30</v>
      </c>
      <c r="P717" s="2" t="s">
        <v>12097</v>
      </c>
    </row>
    <row r="718" spans="1:16" ht="13.15" x14ac:dyDescent="0.4">
      <c r="A718" s="2" t="s">
        <v>12063</v>
      </c>
      <c r="B718" s="2" t="s">
        <v>5885</v>
      </c>
      <c r="C718" s="6" t="s">
        <v>5879</v>
      </c>
      <c r="D718" s="6" t="s">
        <v>42</v>
      </c>
      <c r="E718" s="7">
        <v>44927</v>
      </c>
      <c r="F718" s="8" t="s">
        <v>77</v>
      </c>
      <c r="G718" s="2" t="s">
        <v>26</v>
      </c>
      <c r="H718" s="8" t="s">
        <v>28</v>
      </c>
      <c r="I718" s="2" t="s">
        <v>26</v>
      </c>
      <c r="J718" s="7">
        <v>44927</v>
      </c>
      <c r="K718" s="8" t="s">
        <v>77</v>
      </c>
      <c r="L718" s="2" t="s">
        <v>26</v>
      </c>
      <c r="M718" s="8" t="s">
        <v>28</v>
      </c>
      <c r="N718" s="6" t="s">
        <v>2264</v>
      </c>
      <c r="O718" s="6" t="s">
        <v>30</v>
      </c>
      <c r="P718" s="2" t="s">
        <v>12098</v>
      </c>
    </row>
    <row r="719" spans="1:16" ht="13.15" x14ac:dyDescent="0.4">
      <c r="A719" s="2" t="s">
        <v>11983</v>
      </c>
      <c r="B719" s="2" t="s">
        <v>5885</v>
      </c>
      <c r="C719" s="6" t="s">
        <v>5879</v>
      </c>
      <c r="D719" s="6" t="s">
        <v>42</v>
      </c>
      <c r="E719" s="7">
        <v>44927</v>
      </c>
      <c r="F719" s="8" t="s">
        <v>77</v>
      </c>
      <c r="G719" s="2" t="s">
        <v>26</v>
      </c>
      <c r="H719" s="8" t="s">
        <v>28</v>
      </c>
      <c r="I719" s="2" t="s">
        <v>26</v>
      </c>
      <c r="J719" s="7">
        <v>44927</v>
      </c>
      <c r="K719" s="8" t="s">
        <v>77</v>
      </c>
      <c r="L719" s="2" t="s">
        <v>26</v>
      </c>
      <c r="M719" s="8" t="s">
        <v>28</v>
      </c>
      <c r="N719" s="6" t="s">
        <v>2264</v>
      </c>
      <c r="O719" s="6" t="s">
        <v>30</v>
      </c>
      <c r="P719" s="2" t="s">
        <v>12099</v>
      </c>
    </row>
    <row r="720" spans="1:16" ht="13.15" x14ac:dyDescent="0.4">
      <c r="A720" s="2" t="s">
        <v>12057</v>
      </c>
      <c r="B720" s="2" t="s">
        <v>5885</v>
      </c>
      <c r="C720" s="6" t="s">
        <v>5879</v>
      </c>
      <c r="D720" s="6" t="s">
        <v>42</v>
      </c>
      <c r="E720" s="7">
        <v>44927</v>
      </c>
      <c r="F720" s="8" t="s">
        <v>77</v>
      </c>
      <c r="G720" s="2" t="s">
        <v>26</v>
      </c>
      <c r="H720" s="8" t="s">
        <v>28</v>
      </c>
      <c r="I720" s="2" t="s">
        <v>26</v>
      </c>
      <c r="J720" s="7">
        <v>44927</v>
      </c>
      <c r="K720" s="8" t="s">
        <v>77</v>
      </c>
      <c r="L720" s="2" t="s">
        <v>26</v>
      </c>
      <c r="M720" s="8" t="s">
        <v>28</v>
      </c>
      <c r="N720" s="6" t="s">
        <v>2264</v>
      </c>
      <c r="O720" s="6" t="s">
        <v>30</v>
      </c>
      <c r="P720" s="2" t="s">
        <v>12100</v>
      </c>
    </row>
    <row r="721" spans="1:16" ht="13.15" x14ac:dyDescent="0.4">
      <c r="A721" s="2" t="s">
        <v>12003</v>
      </c>
      <c r="B721" s="2" t="s">
        <v>5885</v>
      </c>
      <c r="C721" s="6" t="s">
        <v>5879</v>
      </c>
      <c r="D721" s="6" t="s">
        <v>42</v>
      </c>
      <c r="E721" s="7">
        <v>44927</v>
      </c>
      <c r="F721" s="8" t="s">
        <v>77</v>
      </c>
      <c r="G721" s="2" t="s">
        <v>26</v>
      </c>
      <c r="H721" s="8" t="s">
        <v>28</v>
      </c>
      <c r="I721" s="2" t="s">
        <v>26</v>
      </c>
      <c r="J721" s="7">
        <v>44927</v>
      </c>
      <c r="K721" s="8" t="s">
        <v>77</v>
      </c>
      <c r="L721" s="2" t="s">
        <v>26</v>
      </c>
      <c r="M721" s="8" t="s">
        <v>28</v>
      </c>
      <c r="N721" s="6" t="s">
        <v>2264</v>
      </c>
      <c r="O721" s="6" t="s">
        <v>30</v>
      </c>
      <c r="P721" s="2" t="s">
        <v>12101</v>
      </c>
    </row>
    <row r="722" spans="1:16" ht="13.15" x14ac:dyDescent="0.4">
      <c r="A722" s="2" t="s">
        <v>12000</v>
      </c>
      <c r="B722" s="2" t="s">
        <v>5885</v>
      </c>
      <c r="C722" s="6" t="s">
        <v>5879</v>
      </c>
      <c r="D722" s="6" t="s">
        <v>42</v>
      </c>
      <c r="E722" s="7">
        <v>44927</v>
      </c>
      <c r="F722" s="8" t="s">
        <v>77</v>
      </c>
      <c r="G722" s="2" t="s">
        <v>26</v>
      </c>
      <c r="H722" s="8" t="s">
        <v>28</v>
      </c>
      <c r="I722" s="2" t="s">
        <v>26</v>
      </c>
      <c r="J722" s="7">
        <v>44927</v>
      </c>
      <c r="K722" s="8" t="s">
        <v>77</v>
      </c>
      <c r="L722" s="2" t="s">
        <v>26</v>
      </c>
      <c r="M722" s="8" t="s">
        <v>28</v>
      </c>
      <c r="N722" s="6" t="s">
        <v>2264</v>
      </c>
      <c r="O722" s="6" t="s">
        <v>30</v>
      </c>
      <c r="P722" s="2" t="s">
        <v>12102</v>
      </c>
    </row>
    <row r="723" spans="1:16" ht="13.15" x14ac:dyDescent="0.4">
      <c r="A723" s="2" t="s">
        <v>12073</v>
      </c>
      <c r="B723" s="2" t="s">
        <v>5885</v>
      </c>
      <c r="C723" s="6" t="s">
        <v>5879</v>
      </c>
      <c r="D723" s="6" t="s">
        <v>42</v>
      </c>
      <c r="E723" s="7">
        <v>44927</v>
      </c>
      <c r="F723" s="8" t="s">
        <v>77</v>
      </c>
      <c r="G723" s="2" t="s">
        <v>26</v>
      </c>
      <c r="H723" s="8" t="s">
        <v>28</v>
      </c>
      <c r="I723" s="2" t="s">
        <v>26</v>
      </c>
      <c r="J723" s="7">
        <v>44927</v>
      </c>
      <c r="K723" s="8" t="s">
        <v>77</v>
      </c>
      <c r="L723" s="2" t="s">
        <v>26</v>
      </c>
      <c r="M723" s="8" t="s">
        <v>28</v>
      </c>
      <c r="N723" s="6" t="s">
        <v>2264</v>
      </c>
      <c r="O723" s="6" t="s">
        <v>30</v>
      </c>
      <c r="P723" s="2" t="s">
        <v>12103</v>
      </c>
    </row>
    <row r="724" spans="1:16" ht="13.15" x14ac:dyDescent="0.4">
      <c r="A724" s="2" t="s">
        <v>12055</v>
      </c>
      <c r="B724" s="2" t="s">
        <v>5885</v>
      </c>
      <c r="C724" s="6" t="s">
        <v>5879</v>
      </c>
      <c r="D724" s="6" t="s">
        <v>42</v>
      </c>
      <c r="E724" s="7">
        <v>44927</v>
      </c>
      <c r="F724" s="8" t="s">
        <v>77</v>
      </c>
      <c r="G724" s="2" t="s">
        <v>26</v>
      </c>
      <c r="H724" s="8" t="s">
        <v>28</v>
      </c>
      <c r="I724" s="2" t="s">
        <v>26</v>
      </c>
      <c r="J724" s="7">
        <v>44927</v>
      </c>
      <c r="K724" s="8" t="s">
        <v>77</v>
      </c>
      <c r="L724" s="2" t="s">
        <v>26</v>
      </c>
      <c r="M724" s="8" t="s">
        <v>28</v>
      </c>
      <c r="N724" s="6" t="s">
        <v>2264</v>
      </c>
      <c r="O724" s="6" t="s">
        <v>30</v>
      </c>
      <c r="P724" s="2" t="s">
        <v>12104</v>
      </c>
    </row>
    <row r="725" spans="1:16" ht="13.15" x14ac:dyDescent="0.4">
      <c r="A725" s="2" t="s">
        <v>12074</v>
      </c>
      <c r="B725" s="2" t="s">
        <v>5885</v>
      </c>
      <c r="C725" s="6" t="s">
        <v>5879</v>
      </c>
      <c r="D725" s="6" t="s">
        <v>42</v>
      </c>
      <c r="E725" s="7">
        <v>44927</v>
      </c>
      <c r="F725" s="8" t="s">
        <v>77</v>
      </c>
      <c r="G725" s="2" t="s">
        <v>26</v>
      </c>
      <c r="H725" s="8" t="s">
        <v>28</v>
      </c>
      <c r="I725" s="2" t="s">
        <v>26</v>
      </c>
      <c r="J725" s="7">
        <v>44927</v>
      </c>
      <c r="K725" s="8" t="s">
        <v>77</v>
      </c>
      <c r="L725" s="2" t="s">
        <v>26</v>
      </c>
      <c r="M725" s="8" t="s">
        <v>28</v>
      </c>
      <c r="N725" s="6" t="s">
        <v>2264</v>
      </c>
      <c r="O725" s="6" t="s">
        <v>30</v>
      </c>
      <c r="P725" s="2" t="s">
        <v>12105</v>
      </c>
    </row>
    <row r="726" spans="1:16" ht="13.15" x14ac:dyDescent="0.4">
      <c r="A726" s="2" t="s">
        <v>11999</v>
      </c>
      <c r="B726" s="2" t="s">
        <v>5885</v>
      </c>
      <c r="C726" s="6" t="s">
        <v>5879</v>
      </c>
      <c r="D726" s="6" t="s">
        <v>42</v>
      </c>
      <c r="E726" s="7">
        <v>44927</v>
      </c>
      <c r="F726" s="8" t="s">
        <v>77</v>
      </c>
      <c r="G726" s="2" t="s">
        <v>26</v>
      </c>
      <c r="H726" s="8" t="s">
        <v>28</v>
      </c>
      <c r="I726" s="2" t="s">
        <v>26</v>
      </c>
      <c r="J726" s="7">
        <v>44927</v>
      </c>
      <c r="K726" s="8" t="s">
        <v>77</v>
      </c>
      <c r="L726" s="2" t="s">
        <v>26</v>
      </c>
      <c r="M726" s="8" t="s">
        <v>28</v>
      </c>
      <c r="N726" s="6" t="s">
        <v>2264</v>
      </c>
      <c r="O726" s="6" t="s">
        <v>30</v>
      </c>
      <c r="P726" s="2" t="s">
        <v>12106</v>
      </c>
    </row>
    <row r="727" spans="1:16" ht="13.15" x14ac:dyDescent="0.4">
      <c r="A727" s="2" t="s">
        <v>12010</v>
      </c>
      <c r="B727" s="2" t="s">
        <v>5885</v>
      </c>
      <c r="C727" s="6" t="s">
        <v>5879</v>
      </c>
      <c r="D727" s="6" t="s">
        <v>42</v>
      </c>
      <c r="E727" s="7">
        <v>44927</v>
      </c>
      <c r="F727" s="8" t="s">
        <v>77</v>
      </c>
      <c r="G727" s="2" t="s">
        <v>26</v>
      </c>
      <c r="H727" s="8" t="s">
        <v>28</v>
      </c>
      <c r="I727" s="2" t="s">
        <v>26</v>
      </c>
      <c r="J727" s="7">
        <v>44927</v>
      </c>
      <c r="K727" s="8" t="s">
        <v>77</v>
      </c>
      <c r="L727" s="2" t="s">
        <v>26</v>
      </c>
      <c r="M727" s="8" t="s">
        <v>28</v>
      </c>
      <c r="N727" s="6" t="s">
        <v>2264</v>
      </c>
      <c r="O727" s="6" t="s">
        <v>30</v>
      </c>
      <c r="P727" s="2" t="s">
        <v>12107</v>
      </c>
    </row>
    <row r="728" spans="1:16" ht="13.15" x14ac:dyDescent="0.4">
      <c r="A728" s="2" t="s">
        <v>12058</v>
      </c>
      <c r="B728" s="2" t="s">
        <v>5885</v>
      </c>
      <c r="C728" s="6" t="s">
        <v>5879</v>
      </c>
      <c r="D728" s="6" t="s">
        <v>42</v>
      </c>
      <c r="E728" s="7">
        <v>44927</v>
      </c>
      <c r="F728" s="8" t="s">
        <v>77</v>
      </c>
      <c r="G728" s="2" t="s">
        <v>26</v>
      </c>
      <c r="H728" s="8" t="s">
        <v>28</v>
      </c>
      <c r="I728" s="2" t="s">
        <v>26</v>
      </c>
      <c r="J728" s="7">
        <v>44927</v>
      </c>
      <c r="K728" s="8" t="s">
        <v>77</v>
      </c>
      <c r="L728" s="2" t="s">
        <v>26</v>
      </c>
      <c r="M728" s="8" t="s">
        <v>28</v>
      </c>
      <c r="N728" s="6" t="s">
        <v>2264</v>
      </c>
      <c r="O728" s="6" t="s">
        <v>30</v>
      </c>
      <c r="P728" s="2" t="s">
        <v>12108</v>
      </c>
    </row>
    <row r="729" spans="1:16" ht="13.15" x14ac:dyDescent="0.4">
      <c r="A729" s="2" t="s">
        <v>12056</v>
      </c>
      <c r="B729" s="2" t="s">
        <v>5885</v>
      </c>
      <c r="C729" s="6" t="s">
        <v>5879</v>
      </c>
      <c r="D729" s="6" t="s">
        <v>42</v>
      </c>
      <c r="E729" s="7">
        <v>44927</v>
      </c>
      <c r="F729" s="8" t="s">
        <v>77</v>
      </c>
      <c r="G729" s="2" t="s">
        <v>26</v>
      </c>
      <c r="H729" s="8" t="s">
        <v>28</v>
      </c>
      <c r="I729" s="2" t="s">
        <v>26</v>
      </c>
      <c r="J729" s="7">
        <v>44927</v>
      </c>
      <c r="K729" s="8" t="s">
        <v>77</v>
      </c>
      <c r="L729" s="2" t="s">
        <v>26</v>
      </c>
      <c r="M729" s="8" t="s">
        <v>28</v>
      </c>
      <c r="N729" s="6" t="s">
        <v>2264</v>
      </c>
      <c r="O729" s="6" t="s">
        <v>30</v>
      </c>
      <c r="P729" s="2" t="s">
        <v>12109</v>
      </c>
    </row>
    <row r="730" spans="1:16" ht="13.15" x14ac:dyDescent="0.4">
      <c r="A730" s="2" t="s">
        <v>11979</v>
      </c>
      <c r="B730" s="2" t="s">
        <v>5885</v>
      </c>
      <c r="C730" s="6" t="s">
        <v>5879</v>
      </c>
      <c r="D730" s="6" t="s">
        <v>42</v>
      </c>
      <c r="E730" s="7">
        <v>44927</v>
      </c>
      <c r="F730" s="8" t="s">
        <v>77</v>
      </c>
      <c r="G730" s="2" t="s">
        <v>26</v>
      </c>
      <c r="H730" s="8" t="s">
        <v>28</v>
      </c>
      <c r="I730" s="2" t="s">
        <v>26</v>
      </c>
      <c r="J730" s="7">
        <v>44927</v>
      </c>
      <c r="K730" s="8" t="s">
        <v>77</v>
      </c>
      <c r="L730" s="2" t="s">
        <v>26</v>
      </c>
      <c r="M730" s="8" t="s">
        <v>28</v>
      </c>
      <c r="N730" s="6" t="s">
        <v>2264</v>
      </c>
      <c r="O730" s="6" t="s">
        <v>30</v>
      </c>
      <c r="P730" s="2" t="s">
        <v>12110</v>
      </c>
    </row>
    <row r="731" spans="1:16" ht="13.15" x14ac:dyDescent="0.4">
      <c r="A731" s="2" t="s">
        <v>11993</v>
      </c>
      <c r="B731" s="2" t="s">
        <v>5885</v>
      </c>
      <c r="C731" s="6" t="s">
        <v>5879</v>
      </c>
      <c r="D731" s="6" t="s">
        <v>42</v>
      </c>
      <c r="E731" s="7">
        <v>44927</v>
      </c>
      <c r="F731" s="8" t="s">
        <v>77</v>
      </c>
      <c r="G731" s="2" t="s">
        <v>26</v>
      </c>
      <c r="H731" s="8" t="s">
        <v>28</v>
      </c>
      <c r="I731" s="2" t="s">
        <v>26</v>
      </c>
      <c r="J731" s="7">
        <v>44927</v>
      </c>
      <c r="K731" s="8" t="s">
        <v>77</v>
      </c>
      <c r="L731" s="2" t="s">
        <v>26</v>
      </c>
      <c r="M731" s="8" t="s">
        <v>28</v>
      </c>
      <c r="N731" s="6" t="s">
        <v>2264</v>
      </c>
      <c r="O731" s="6" t="s">
        <v>30</v>
      </c>
      <c r="P731" s="2" t="s">
        <v>12111</v>
      </c>
    </row>
    <row r="732" spans="1:16" ht="13.15" x14ac:dyDescent="0.4">
      <c r="A732" s="2" t="s">
        <v>12001</v>
      </c>
      <c r="B732" s="2" t="s">
        <v>5885</v>
      </c>
      <c r="C732" s="6" t="s">
        <v>5879</v>
      </c>
      <c r="D732" s="6" t="s">
        <v>42</v>
      </c>
      <c r="E732" s="7">
        <v>44927</v>
      </c>
      <c r="F732" s="8" t="s">
        <v>77</v>
      </c>
      <c r="G732" s="2" t="s">
        <v>26</v>
      </c>
      <c r="H732" s="8" t="s">
        <v>28</v>
      </c>
      <c r="I732" s="2" t="s">
        <v>26</v>
      </c>
      <c r="J732" s="7">
        <v>44927</v>
      </c>
      <c r="K732" s="8" t="s">
        <v>77</v>
      </c>
      <c r="L732" s="2" t="s">
        <v>26</v>
      </c>
      <c r="M732" s="8" t="s">
        <v>28</v>
      </c>
      <c r="N732" s="6" t="s">
        <v>2264</v>
      </c>
      <c r="O732" s="6" t="s">
        <v>30</v>
      </c>
      <c r="P732" s="2" t="s">
        <v>12112</v>
      </c>
    </row>
    <row r="733" spans="1:16" ht="13.15" x14ac:dyDescent="0.4">
      <c r="A733" s="2" t="s">
        <v>11985</v>
      </c>
      <c r="B733" s="2" t="s">
        <v>5885</v>
      </c>
      <c r="C733" s="6" t="s">
        <v>5879</v>
      </c>
      <c r="D733" s="6" t="s">
        <v>42</v>
      </c>
      <c r="E733" s="7">
        <v>44927</v>
      </c>
      <c r="F733" s="8" t="s">
        <v>77</v>
      </c>
      <c r="G733" s="2" t="s">
        <v>26</v>
      </c>
      <c r="H733" s="8" t="s">
        <v>28</v>
      </c>
      <c r="I733" s="2" t="s">
        <v>26</v>
      </c>
      <c r="J733" s="7">
        <v>44927</v>
      </c>
      <c r="K733" s="8" t="s">
        <v>77</v>
      </c>
      <c r="L733" s="2" t="s">
        <v>26</v>
      </c>
      <c r="M733" s="8" t="s">
        <v>28</v>
      </c>
      <c r="N733" s="6" t="s">
        <v>2264</v>
      </c>
      <c r="O733" s="6" t="s">
        <v>30</v>
      </c>
      <c r="P733" s="2" t="s">
        <v>12113</v>
      </c>
    </row>
    <row r="734" spans="1:16" ht="13.15" x14ac:dyDescent="0.4">
      <c r="A734" s="2" t="s">
        <v>12009</v>
      </c>
      <c r="B734" s="2" t="s">
        <v>5885</v>
      </c>
      <c r="C734" s="6" t="s">
        <v>5879</v>
      </c>
      <c r="D734" s="6" t="s">
        <v>42</v>
      </c>
      <c r="E734" s="7">
        <v>44927</v>
      </c>
      <c r="F734" s="8" t="s">
        <v>77</v>
      </c>
      <c r="G734" s="2" t="s">
        <v>26</v>
      </c>
      <c r="H734" s="8" t="s">
        <v>28</v>
      </c>
      <c r="I734" s="2" t="s">
        <v>26</v>
      </c>
      <c r="J734" s="7">
        <v>44927</v>
      </c>
      <c r="K734" s="8" t="s">
        <v>77</v>
      </c>
      <c r="L734" s="2" t="s">
        <v>26</v>
      </c>
      <c r="M734" s="8" t="s">
        <v>28</v>
      </c>
      <c r="N734" s="6" t="s">
        <v>2264</v>
      </c>
      <c r="O734" s="6" t="s">
        <v>30</v>
      </c>
      <c r="P734" s="2" t="s">
        <v>12114</v>
      </c>
    </row>
    <row r="735" spans="1:16" ht="13.15" x14ac:dyDescent="0.4">
      <c r="A735" s="2" t="s">
        <v>11998</v>
      </c>
      <c r="B735" s="2" t="s">
        <v>5885</v>
      </c>
      <c r="C735" s="6" t="s">
        <v>5879</v>
      </c>
      <c r="D735" s="6" t="s">
        <v>42</v>
      </c>
      <c r="E735" s="7">
        <v>44927</v>
      </c>
      <c r="F735" s="8" t="s">
        <v>77</v>
      </c>
      <c r="G735" s="2" t="s">
        <v>26</v>
      </c>
      <c r="H735" s="8" t="s">
        <v>28</v>
      </c>
      <c r="I735" s="2" t="s">
        <v>26</v>
      </c>
      <c r="J735" s="7">
        <v>44927</v>
      </c>
      <c r="K735" s="8" t="s">
        <v>77</v>
      </c>
      <c r="L735" s="2" t="s">
        <v>26</v>
      </c>
      <c r="M735" s="8" t="s">
        <v>28</v>
      </c>
      <c r="N735" s="6" t="s">
        <v>2264</v>
      </c>
      <c r="O735" s="6" t="s">
        <v>30</v>
      </c>
      <c r="P735" s="2" t="s">
        <v>12115</v>
      </c>
    </row>
    <row r="736" spans="1:16" ht="13.15" x14ac:dyDescent="0.4">
      <c r="A736" s="2" t="s">
        <v>11988</v>
      </c>
      <c r="B736" s="2" t="s">
        <v>5885</v>
      </c>
      <c r="C736" s="6" t="s">
        <v>5879</v>
      </c>
      <c r="D736" s="6" t="s">
        <v>42</v>
      </c>
      <c r="E736" s="7">
        <v>44927</v>
      </c>
      <c r="F736" s="8" t="s">
        <v>77</v>
      </c>
      <c r="G736" s="2" t="s">
        <v>26</v>
      </c>
      <c r="H736" s="8" t="s">
        <v>28</v>
      </c>
      <c r="I736" s="2" t="s">
        <v>26</v>
      </c>
      <c r="J736" s="7">
        <v>44927</v>
      </c>
      <c r="K736" s="8" t="s">
        <v>77</v>
      </c>
      <c r="L736" s="2" t="s">
        <v>26</v>
      </c>
      <c r="M736" s="8" t="s">
        <v>28</v>
      </c>
      <c r="N736" s="6" t="s">
        <v>2264</v>
      </c>
      <c r="O736" s="6" t="s">
        <v>30</v>
      </c>
      <c r="P736" s="2" t="s">
        <v>12116</v>
      </c>
    </row>
    <row r="737" spans="1:16" ht="13.15" x14ac:dyDescent="0.4">
      <c r="A737" s="2" t="s">
        <v>11995</v>
      </c>
      <c r="B737" s="2" t="s">
        <v>5885</v>
      </c>
      <c r="C737" s="6" t="s">
        <v>5879</v>
      </c>
      <c r="D737" s="6" t="s">
        <v>42</v>
      </c>
      <c r="E737" s="7">
        <v>44927</v>
      </c>
      <c r="F737" s="8" t="s">
        <v>77</v>
      </c>
      <c r="G737" s="2" t="s">
        <v>26</v>
      </c>
      <c r="H737" s="8" t="s">
        <v>28</v>
      </c>
      <c r="I737" s="2" t="s">
        <v>26</v>
      </c>
      <c r="J737" s="7">
        <v>44927</v>
      </c>
      <c r="K737" s="8" t="s">
        <v>77</v>
      </c>
      <c r="L737" s="2" t="s">
        <v>26</v>
      </c>
      <c r="M737" s="8" t="s">
        <v>28</v>
      </c>
      <c r="N737" s="6" t="s">
        <v>2264</v>
      </c>
      <c r="O737" s="6" t="s">
        <v>30</v>
      </c>
      <c r="P737" s="2" t="s">
        <v>12117</v>
      </c>
    </row>
    <row r="738" spans="1:16" ht="13.15" x14ac:dyDescent="0.4">
      <c r="A738" s="2" t="s">
        <v>11994</v>
      </c>
      <c r="B738" s="2" t="s">
        <v>5885</v>
      </c>
      <c r="C738" s="6" t="s">
        <v>5879</v>
      </c>
      <c r="D738" s="6" t="s">
        <v>42</v>
      </c>
      <c r="E738" s="7">
        <v>44927</v>
      </c>
      <c r="F738" s="8" t="s">
        <v>77</v>
      </c>
      <c r="G738" s="2" t="s">
        <v>26</v>
      </c>
      <c r="H738" s="8" t="s">
        <v>28</v>
      </c>
      <c r="I738" s="2" t="s">
        <v>26</v>
      </c>
      <c r="J738" s="7">
        <v>44927</v>
      </c>
      <c r="K738" s="8" t="s">
        <v>77</v>
      </c>
      <c r="L738" s="2" t="s">
        <v>26</v>
      </c>
      <c r="M738" s="8" t="s">
        <v>28</v>
      </c>
      <c r="N738" s="6" t="s">
        <v>2264</v>
      </c>
      <c r="O738" s="6" t="s">
        <v>30</v>
      </c>
      <c r="P738" s="2" t="s">
        <v>12118</v>
      </c>
    </row>
    <row r="739" spans="1:16" ht="13.15" x14ac:dyDescent="0.4">
      <c r="A739" s="2" t="s">
        <v>12004</v>
      </c>
      <c r="B739" s="2" t="s">
        <v>5885</v>
      </c>
      <c r="C739" s="6" t="s">
        <v>5879</v>
      </c>
      <c r="D739" s="6" t="s">
        <v>42</v>
      </c>
      <c r="E739" s="7">
        <v>44927</v>
      </c>
      <c r="F739" s="8" t="s">
        <v>77</v>
      </c>
      <c r="G739" s="2" t="s">
        <v>26</v>
      </c>
      <c r="H739" s="8" t="s">
        <v>28</v>
      </c>
      <c r="I739" s="2" t="s">
        <v>26</v>
      </c>
      <c r="J739" s="7">
        <v>44927</v>
      </c>
      <c r="K739" s="8" t="s">
        <v>77</v>
      </c>
      <c r="L739" s="2" t="s">
        <v>26</v>
      </c>
      <c r="M739" s="8" t="s">
        <v>28</v>
      </c>
      <c r="N739" s="6" t="s">
        <v>2264</v>
      </c>
      <c r="O739" s="6" t="s">
        <v>30</v>
      </c>
      <c r="P739" s="2" t="s">
        <v>12119</v>
      </c>
    </row>
    <row r="740" spans="1:16" ht="13.15" x14ac:dyDescent="0.4">
      <c r="A740" s="2" t="s">
        <v>11984</v>
      </c>
      <c r="B740" s="2" t="s">
        <v>5885</v>
      </c>
      <c r="C740" s="6" t="s">
        <v>5879</v>
      </c>
      <c r="D740" s="6" t="s">
        <v>42</v>
      </c>
      <c r="E740" s="7">
        <v>44927</v>
      </c>
      <c r="F740" s="8" t="s">
        <v>77</v>
      </c>
      <c r="G740" s="2" t="s">
        <v>26</v>
      </c>
      <c r="H740" s="8" t="s">
        <v>28</v>
      </c>
      <c r="I740" s="2" t="s">
        <v>26</v>
      </c>
      <c r="J740" s="7">
        <v>44927</v>
      </c>
      <c r="K740" s="8" t="s">
        <v>77</v>
      </c>
      <c r="L740" s="2" t="s">
        <v>26</v>
      </c>
      <c r="M740" s="8" t="s">
        <v>28</v>
      </c>
      <c r="N740" s="6" t="s">
        <v>2264</v>
      </c>
      <c r="O740" s="6" t="s">
        <v>30</v>
      </c>
      <c r="P740" s="2" t="s">
        <v>12120</v>
      </c>
    </row>
    <row r="741" spans="1:16" ht="13.15" x14ac:dyDescent="0.4">
      <c r="A741" s="2" t="s">
        <v>12007</v>
      </c>
      <c r="B741" s="2" t="s">
        <v>5885</v>
      </c>
      <c r="C741" s="6" t="s">
        <v>5879</v>
      </c>
      <c r="D741" s="6" t="s">
        <v>42</v>
      </c>
      <c r="E741" s="7">
        <v>44927</v>
      </c>
      <c r="F741" s="8" t="s">
        <v>77</v>
      </c>
      <c r="G741" s="2" t="s">
        <v>26</v>
      </c>
      <c r="H741" s="8" t="s">
        <v>28</v>
      </c>
      <c r="I741" s="2" t="s">
        <v>26</v>
      </c>
      <c r="J741" s="7">
        <v>44927</v>
      </c>
      <c r="K741" s="8" t="s">
        <v>77</v>
      </c>
      <c r="L741" s="2" t="s">
        <v>26</v>
      </c>
      <c r="M741" s="8" t="s">
        <v>28</v>
      </c>
      <c r="N741" s="6" t="s">
        <v>2264</v>
      </c>
      <c r="O741" s="6" t="s">
        <v>30</v>
      </c>
      <c r="P741" s="2" t="s">
        <v>12121</v>
      </c>
    </row>
    <row r="742" spans="1:16" ht="13.15" x14ac:dyDescent="0.4">
      <c r="A742" s="2" t="s">
        <v>11989</v>
      </c>
      <c r="B742" s="2" t="s">
        <v>5885</v>
      </c>
      <c r="C742" s="6" t="s">
        <v>5879</v>
      </c>
      <c r="D742" s="6" t="s">
        <v>42</v>
      </c>
      <c r="E742" s="7">
        <v>44927</v>
      </c>
      <c r="F742" s="8" t="s">
        <v>77</v>
      </c>
      <c r="G742" s="2" t="s">
        <v>26</v>
      </c>
      <c r="H742" s="8" t="s">
        <v>28</v>
      </c>
      <c r="I742" s="2" t="s">
        <v>26</v>
      </c>
      <c r="J742" s="7">
        <v>44927</v>
      </c>
      <c r="K742" s="8" t="s">
        <v>77</v>
      </c>
      <c r="L742" s="2" t="s">
        <v>26</v>
      </c>
      <c r="M742" s="8" t="s">
        <v>28</v>
      </c>
      <c r="N742" s="6" t="s">
        <v>2264</v>
      </c>
      <c r="O742" s="6" t="s">
        <v>30</v>
      </c>
      <c r="P742" s="2" t="s">
        <v>12122</v>
      </c>
    </row>
    <row r="743" spans="1:16" ht="13.15" x14ac:dyDescent="0.4">
      <c r="A743" s="2" t="s">
        <v>11980</v>
      </c>
      <c r="B743" s="2" t="s">
        <v>5885</v>
      </c>
      <c r="C743" s="6" t="s">
        <v>5879</v>
      </c>
      <c r="D743" s="6" t="s">
        <v>42</v>
      </c>
      <c r="E743" s="7">
        <v>44927</v>
      </c>
      <c r="F743" s="8" t="s">
        <v>77</v>
      </c>
      <c r="G743" s="2" t="s">
        <v>26</v>
      </c>
      <c r="H743" s="8" t="s">
        <v>28</v>
      </c>
      <c r="I743" s="2" t="s">
        <v>26</v>
      </c>
      <c r="J743" s="7">
        <v>44927</v>
      </c>
      <c r="K743" s="8" t="s">
        <v>77</v>
      </c>
      <c r="L743" s="2" t="s">
        <v>26</v>
      </c>
      <c r="M743" s="8" t="s">
        <v>28</v>
      </c>
      <c r="N743" s="6" t="s">
        <v>2264</v>
      </c>
      <c r="O743" s="6" t="s">
        <v>30</v>
      </c>
      <c r="P743" s="2" t="s">
        <v>12123</v>
      </c>
    </row>
    <row r="744" spans="1:16" ht="13.15" x14ac:dyDescent="0.4">
      <c r="A744" s="2" t="s">
        <v>11982</v>
      </c>
      <c r="B744" s="2" t="s">
        <v>5885</v>
      </c>
      <c r="C744" s="6" t="s">
        <v>5879</v>
      </c>
      <c r="D744" s="6" t="s">
        <v>42</v>
      </c>
      <c r="E744" s="7">
        <v>44927</v>
      </c>
      <c r="F744" s="8" t="s">
        <v>77</v>
      </c>
      <c r="G744" s="2" t="s">
        <v>26</v>
      </c>
      <c r="H744" s="8" t="s">
        <v>28</v>
      </c>
      <c r="I744" s="2" t="s">
        <v>26</v>
      </c>
      <c r="J744" s="7">
        <v>44927</v>
      </c>
      <c r="K744" s="8" t="s">
        <v>77</v>
      </c>
      <c r="L744" s="2" t="s">
        <v>26</v>
      </c>
      <c r="M744" s="8" t="s">
        <v>28</v>
      </c>
      <c r="N744" s="6" t="s">
        <v>2264</v>
      </c>
      <c r="O744" s="6" t="s">
        <v>30</v>
      </c>
      <c r="P744" s="2" t="s">
        <v>12124</v>
      </c>
    </row>
    <row r="745" spans="1:16" ht="13.15" x14ac:dyDescent="0.4">
      <c r="A745" s="2" t="s">
        <v>12012</v>
      </c>
      <c r="B745" s="2" t="s">
        <v>5885</v>
      </c>
      <c r="C745" s="6" t="s">
        <v>5879</v>
      </c>
      <c r="D745" s="6" t="s">
        <v>42</v>
      </c>
      <c r="E745" s="7">
        <v>44927</v>
      </c>
      <c r="F745" s="8" t="s">
        <v>77</v>
      </c>
      <c r="G745" s="2" t="s">
        <v>26</v>
      </c>
      <c r="H745" s="8" t="s">
        <v>28</v>
      </c>
      <c r="I745" s="2" t="s">
        <v>26</v>
      </c>
      <c r="J745" s="7">
        <v>44927</v>
      </c>
      <c r="K745" s="8" t="s">
        <v>77</v>
      </c>
      <c r="L745" s="2" t="s">
        <v>26</v>
      </c>
      <c r="M745" s="8" t="s">
        <v>28</v>
      </c>
      <c r="N745" s="6" t="s">
        <v>2264</v>
      </c>
      <c r="O745" s="6" t="s">
        <v>30</v>
      </c>
      <c r="P745" s="2" t="s">
        <v>12125</v>
      </c>
    </row>
    <row r="746" spans="1:16" ht="13.15" x14ac:dyDescent="0.4">
      <c r="A746" s="2" t="s">
        <v>12052</v>
      </c>
      <c r="B746" s="2" t="s">
        <v>5885</v>
      </c>
      <c r="C746" s="6" t="s">
        <v>5879</v>
      </c>
      <c r="D746" s="6" t="s">
        <v>42</v>
      </c>
      <c r="E746" s="7">
        <v>44927</v>
      </c>
      <c r="F746" s="8" t="s">
        <v>77</v>
      </c>
      <c r="G746" s="2" t="s">
        <v>26</v>
      </c>
      <c r="H746" s="8" t="s">
        <v>28</v>
      </c>
      <c r="I746" s="2" t="s">
        <v>26</v>
      </c>
      <c r="J746" s="7">
        <v>44927</v>
      </c>
      <c r="K746" s="8" t="s">
        <v>77</v>
      </c>
      <c r="L746" s="2" t="s">
        <v>26</v>
      </c>
      <c r="M746" s="8" t="s">
        <v>28</v>
      </c>
      <c r="N746" s="6" t="s">
        <v>2264</v>
      </c>
      <c r="O746" s="6" t="s">
        <v>30</v>
      </c>
      <c r="P746" s="2" t="s">
        <v>12126</v>
      </c>
    </row>
    <row r="747" spans="1:16" ht="13.15" x14ac:dyDescent="0.4">
      <c r="A747" s="2" t="s">
        <v>7498</v>
      </c>
      <c r="B747" s="2" t="s">
        <v>5885</v>
      </c>
      <c r="C747" s="6" t="s">
        <v>5879</v>
      </c>
      <c r="D747" s="6" t="s">
        <v>42</v>
      </c>
      <c r="E747" s="7">
        <v>44927</v>
      </c>
      <c r="F747" s="8" t="s">
        <v>77</v>
      </c>
      <c r="G747" s="2" t="s">
        <v>26</v>
      </c>
      <c r="H747" s="8" t="s">
        <v>28</v>
      </c>
      <c r="I747" s="2" t="s">
        <v>26</v>
      </c>
      <c r="J747" s="7">
        <v>44927</v>
      </c>
      <c r="K747" s="8" t="s">
        <v>77</v>
      </c>
      <c r="L747" s="2" t="s">
        <v>26</v>
      </c>
      <c r="M747" s="8" t="s">
        <v>28</v>
      </c>
      <c r="N747" s="6" t="s">
        <v>2264</v>
      </c>
      <c r="O747" s="6" t="s">
        <v>30</v>
      </c>
      <c r="P747" s="2" t="s">
        <v>12127</v>
      </c>
    </row>
    <row r="748" spans="1:16" ht="13.15" x14ac:dyDescent="0.4">
      <c r="A748" s="2" t="s">
        <v>12024</v>
      </c>
      <c r="B748" s="2" t="s">
        <v>5885</v>
      </c>
      <c r="C748" s="6" t="s">
        <v>5879</v>
      </c>
      <c r="D748" s="6" t="s">
        <v>42</v>
      </c>
      <c r="E748" s="7">
        <v>44927</v>
      </c>
      <c r="F748" s="8" t="s">
        <v>77</v>
      </c>
      <c r="G748" s="2" t="s">
        <v>26</v>
      </c>
      <c r="H748" s="8" t="s">
        <v>28</v>
      </c>
      <c r="I748" s="2" t="s">
        <v>26</v>
      </c>
      <c r="J748" s="7">
        <v>44927</v>
      </c>
      <c r="K748" s="8" t="s">
        <v>77</v>
      </c>
      <c r="L748" s="2" t="s">
        <v>26</v>
      </c>
      <c r="M748" s="8" t="s">
        <v>28</v>
      </c>
      <c r="N748" s="6" t="s">
        <v>2264</v>
      </c>
      <c r="O748" s="6" t="s">
        <v>30</v>
      </c>
      <c r="P748" s="2" t="s">
        <v>12128</v>
      </c>
    </row>
    <row r="749" spans="1:16" ht="13.15" x14ac:dyDescent="0.4">
      <c r="A749" s="2" t="s">
        <v>11920</v>
      </c>
      <c r="B749" s="2" t="s">
        <v>5885</v>
      </c>
      <c r="C749" s="6" t="s">
        <v>5879</v>
      </c>
      <c r="D749" s="6" t="s">
        <v>42</v>
      </c>
      <c r="E749" s="7">
        <v>44927</v>
      </c>
      <c r="F749" s="8" t="s">
        <v>77</v>
      </c>
      <c r="G749" s="2" t="s">
        <v>26</v>
      </c>
      <c r="H749" s="8" t="s">
        <v>28</v>
      </c>
      <c r="I749" s="2" t="s">
        <v>26</v>
      </c>
      <c r="J749" s="7">
        <v>44927</v>
      </c>
      <c r="K749" s="8" t="s">
        <v>77</v>
      </c>
      <c r="L749" s="2" t="s">
        <v>26</v>
      </c>
      <c r="M749" s="8" t="s">
        <v>28</v>
      </c>
      <c r="N749" s="6" t="s">
        <v>2264</v>
      </c>
      <c r="O749" s="6" t="s">
        <v>30</v>
      </c>
      <c r="P749" s="2" t="s">
        <v>12129</v>
      </c>
    </row>
    <row r="750" spans="1:16" ht="13.15" x14ac:dyDescent="0.4">
      <c r="A750" s="2" t="s">
        <v>11923</v>
      </c>
      <c r="B750" s="2" t="s">
        <v>5885</v>
      </c>
      <c r="C750" s="6" t="s">
        <v>5879</v>
      </c>
      <c r="D750" s="6" t="s">
        <v>42</v>
      </c>
      <c r="E750" s="7">
        <v>44927</v>
      </c>
      <c r="F750" s="8" t="s">
        <v>77</v>
      </c>
      <c r="G750" s="2" t="s">
        <v>26</v>
      </c>
      <c r="H750" s="8" t="s">
        <v>28</v>
      </c>
      <c r="I750" s="2" t="s">
        <v>26</v>
      </c>
      <c r="J750" s="7">
        <v>44927</v>
      </c>
      <c r="K750" s="8" t="s">
        <v>77</v>
      </c>
      <c r="L750" s="2" t="s">
        <v>26</v>
      </c>
      <c r="M750" s="8" t="s">
        <v>28</v>
      </c>
      <c r="N750" s="6" t="s">
        <v>2264</v>
      </c>
      <c r="O750" s="6" t="s">
        <v>30</v>
      </c>
      <c r="P750" s="2" t="s">
        <v>12130</v>
      </c>
    </row>
    <row r="751" spans="1:16" ht="13.15" x14ac:dyDescent="0.4">
      <c r="A751" s="2" t="s">
        <v>11964</v>
      </c>
      <c r="B751" s="2" t="s">
        <v>5885</v>
      </c>
      <c r="C751" s="6" t="s">
        <v>5879</v>
      </c>
      <c r="D751" s="6" t="s">
        <v>42</v>
      </c>
      <c r="E751" s="7">
        <v>44927</v>
      </c>
      <c r="F751" s="8" t="s">
        <v>77</v>
      </c>
      <c r="G751" s="2" t="s">
        <v>26</v>
      </c>
      <c r="H751" s="8" t="s">
        <v>28</v>
      </c>
      <c r="I751" s="2" t="s">
        <v>26</v>
      </c>
      <c r="J751" s="7">
        <v>44927</v>
      </c>
      <c r="K751" s="8" t="s">
        <v>77</v>
      </c>
      <c r="L751" s="2" t="s">
        <v>26</v>
      </c>
      <c r="M751" s="8" t="s">
        <v>28</v>
      </c>
      <c r="N751" s="6" t="s">
        <v>2264</v>
      </c>
      <c r="O751" s="6" t="s">
        <v>30</v>
      </c>
      <c r="P751" s="2" t="s">
        <v>12131</v>
      </c>
    </row>
    <row r="752" spans="1:16" ht="13.15" x14ac:dyDescent="0.4">
      <c r="A752" s="2" t="s">
        <v>12046</v>
      </c>
      <c r="B752" s="2" t="s">
        <v>5885</v>
      </c>
      <c r="C752" s="6" t="s">
        <v>5879</v>
      </c>
      <c r="D752" s="6" t="s">
        <v>42</v>
      </c>
      <c r="E752" s="7">
        <v>44927</v>
      </c>
      <c r="F752" s="8" t="s">
        <v>77</v>
      </c>
      <c r="G752" s="2" t="s">
        <v>26</v>
      </c>
      <c r="H752" s="8" t="s">
        <v>28</v>
      </c>
      <c r="I752" s="2" t="s">
        <v>26</v>
      </c>
      <c r="J752" s="7">
        <v>44927</v>
      </c>
      <c r="K752" s="8" t="s">
        <v>77</v>
      </c>
      <c r="L752" s="2" t="s">
        <v>26</v>
      </c>
      <c r="M752" s="8" t="s">
        <v>28</v>
      </c>
      <c r="N752" s="6" t="s">
        <v>2264</v>
      </c>
      <c r="O752" s="6" t="s">
        <v>30</v>
      </c>
      <c r="P752" s="2" t="s">
        <v>12132</v>
      </c>
    </row>
    <row r="753" spans="1:16" ht="13.15" x14ac:dyDescent="0.4">
      <c r="A753" s="2" t="s">
        <v>11966</v>
      </c>
      <c r="B753" s="2" t="s">
        <v>5885</v>
      </c>
      <c r="C753" s="6" t="s">
        <v>5879</v>
      </c>
      <c r="D753" s="6" t="s">
        <v>42</v>
      </c>
      <c r="E753" s="7">
        <v>44927</v>
      </c>
      <c r="F753" s="8" t="s">
        <v>77</v>
      </c>
      <c r="G753" s="2" t="s">
        <v>26</v>
      </c>
      <c r="H753" s="8" t="s">
        <v>28</v>
      </c>
      <c r="I753" s="2" t="s">
        <v>26</v>
      </c>
      <c r="J753" s="7">
        <v>44927</v>
      </c>
      <c r="K753" s="8" t="s">
        <v>77</v>
      </c>
      <c r="L753" s="2" t="s">
        <v>26</v>
      </c>
      <c r="M753" s="8" t="s">
        <v>28</v>
      </c>
      <c r="N753" s="6" t="s">
        <v>2264</v>
      </c>
      <c r="O753" s="6" t="s">
        <v>30</v>
      </c>
      <c r="P753" s="2" t="s">
        <v>12133</v>
      </c>
    </row>
    <row r="754" spans="1:16" ht="13.15" x14ac:dyDescent="0.4">
      <c r="A754" s="2" t="s">
        <v>12027</v>
      </c>
      <c r="B754" s="2" t="s">
        <v>5885</v>
      </c>
      <c r="C754" s="6" t="s">
        <v>5879</v>
      </c>
      <c r="D754" s="6" t="s">
        <v>42</v>
      </c>
      <c r="E754" s="7">
        <v>44927</v>
      </c>
      <c r="F754" s="8" t="s">
        <v>77</v>
      </c>
      <c r="G754" s="2" t="s">
        <v>26</v>
      </c>
      <c r="H754" s="8" t="s">
        <v>28</v>
      </c>
      <c r="I754" s="2" t="s">
        <v>26</v>
      </c>
      <c r="J754" s="7">
        <v>44927</v>
      </c>
      <c r="K754" s="8" t="s">
        <v>77</v>
      </c>
      <c r="L754" s="2" t="s">
        <v>26</v>
      </c>
      <c r="M754" s="8" t="s">
        <v>28</v>
      </c>
      <c r="N754" s="6" t="s">
        <v>2264</v>
      </c>
      <c r="O754" s="6" t="s">
        <v>30</v>
      </c>
      <c r="P754" s="2" t="s">
        <v>12134</v>
      </c>
    </row>
    <row r="755" spans="1:16" ht="13.15" x14ac:dyDescent="0.4">
      <c r="A755" s="2" t="s">
        <v>12050</v>
      </c>
      <c r="B755" s="2" t="s">
        <v>5885</v>
      </c>
      <c r="C755" s="6" t="s">
        <v>5879</v>
      </c>
      <c r="D755" s="6" t="s">
        <v>42</v>
      </c>
      <c r="E755" s="7">
        <v>44927</v>
      </c>
      <c r="F755" s="8" t="s">
        <v>77</v>
      </c>
      <c r="G755" s="2" t="s">
        <v>26</v>
      </c>
      <c r="H755" s="8" t="s">
        <v>28</v>
      </c>
      <c r="I755" s="2" t="s">
        <v>26</v>
      </c>
      <c r="J755" s="7">
        <v>44927</v>
      </c>
      <c r="K755" s="8" t="s">
        <v>77</v>
      </c>
      <c r="L755" s="2" t="s">
        <v>26</v>
      </c>
      <c r="M755" s="8" t="s">
        <v>28</v>
      </c>
      <c r="N755" s="6" t="s">
        <v>2264</v>
      </c>
      <c r="O755" s="6" t="s">
        <v>30</v>
      </c>
      <c r="P755" s="2" t="s">
        <v>12135</v>
      </c>
    </row>
    <row r="756" spans="1:16" ht="13.15" x14ac:dyDescent="0.4">
      <c r="A756" s="2" t="s">
        <v>12068</v>
      </c>
      <c r="B756" s="2" t="s">
        <v>5885</v>
      </c>
      <c r="C756" s="6" t="s">
        <v>5879</v>
      </c>
      <c r="D756" s="6" t="s">
        <v>42</v>
      </c>
      <c r="E756" s="7">
        <v>44927</v>
      </c>
      <c r="F756" s="8" t="s">
        <v>77</v>
      </c>
      <c r="G756" s="2" t="s">
        <v>26</v>
      </c>
      <c r="H756" s="8" t="s">
        <v>28</v>
      </c>
      <c r="I756" s="2" t="s">
        <v>26</v>
      </c>
      <c r="J756" s="7">
        <v>44927</v>
      </c>
      <c r="K756" s="8" t="s">
        <v>77</v>
      </c>
      <c r="L756" s="2" t="s">
        <v>26</v>
      </c>
      <c r="M756" s="8" t="s">
        <v>28</v>
      </c>
      <c r="N756" s="6" t="s">
        <v>2264</v>
      </c>
      <c r="O756" s="6" t="s">
        <v>30</v>
      </c>
      <c r="P756" s="2" t="s">
        <v>12136</v>
      </c>
    </row>
    <row r="757" spans="1:16" ht="13.15" x14ac:dyDescent="0.4">
      <c r="A757" s="2" t="s">
        <v>12023</v>
      </c>
      <c r="B757" s="2" t="s">
        <v>5885</v>
      </c>
      <c r="C757" s="6" t="s">
        <v>5879</v>
      </c>
      <c r="D757" s="6" t="s">
        <v>42</v>
      </c>
      <c r="E757" s="7">
        <v>44927</v>
      </c>
      <c r="F757" s="8" t="s">
        <v>77</v>
      </c>
      <c r="G757" s="2" t="s">
        <v>26</v>
      </c>
      <c r="H757" s="8" t="s">
        <v>28</v>
      </c>
      <c r="I757" s="2" t="s">
        <v>26</v>
      </c>
      <c r="J757" s="7">
        <v>44927</v>
      </c>
      <c r="K757" s="8" t="s">
        <v>77</v>
      </c>
      <c r="L757" s="2" t="s">
        <v>26</v>
      </c>
      <c r="M757" s="8" t="s">
        <v>28</v>
      </c>
      <c r="N757" s="6" t="s">
        <v>2264</v>
      </c>
      <c r="O757" s="6" t="s">
        <v>30</v>
      </c>
      <c r="P757" s="2" t="s">
        <v>12137</v>
      </c>
    </row>
    <row r="758" spans="1:16" ht="13.15" x14ac:dyDescent="0.4">
      <c r="A758" s="2" t="s">
        <v>12015</v>
      </c>
      <c r="B758" s="2" t="s">
        <v>5885</v>
      </c>
      <c r="C758" s="6" t="s">
        <v>5879</v>
      </c>
      <c r="D758" s="6" t="s">
        <v>42</v>
      </c>
      <c r="E758" s="7">
        <v>44927</v>
      </c>
      <c r="F758" s="8" t="s">
        <v>77</v>
      </c>
      <c r="G758" s="2" t="s">
        <v>26</v>
      </c>
      <c r="H758" s="8" t="s">
        <v>28</v>
      </c>
      <c r="I758" s="2" t="s">
        <v>26</v>
      </c>
      <c r="J758" s="7">
        <v>44927</v>
      </c>
      <c r="K758" s="8" t="s">
        <v>77</v>
      </c>
      <c r="L758" s="2" t="s">
        <v>26</v>
      </c>
      <c r="M758" s="8" t="s">
        <v>28</v>
      </c>
      <c r="N758" s="6" t="s">
        <v>2264</v>
      </c>
      <c r="O758" s="6" t="s">
        <v>30</v>
      </c>
      <c r="P758" s="2" t="s">
        <v>12138</v>
      </c>
    </row>
    <row r="759" spans="1:16" ht="13.15" x14ac:dyDescent="0.4">
      <c r="A759" s="2" t="s">
        <v>12032</v>
      </c>
      <c r="B759" s="2" t="s">
        <v>5885</v>
      </c>
      <c r="C759" s="6" t="s">
        <v>5879</v>
      </c>
      <c r="D759" s="6" t="s">
        <v>42</v>
      </c>
      <c r="E759" s="7">
        <v>44927</v>
      </c>
      <c r="F759" s="8" t="s">
        <v>77</v>
      </c>
      <c r="G759" s="2" t="s">
        <v>26</v>
      </c>
      <c r="H759" s="8" t="s">
        <v>28</v>
      </c>
      <c r="I759" s="2" t="s">
        <v>26</v>
      </c>
      <c r="J759" s="7">
        <v>44927</v>
      </c>
      <c r="K759" s="8" t="s">
        <v>77</v>
      </c>
      <c r="L759" s="2" t="s">
        <v>26</v>
      </c>
      <c r="M759" s="8" t="s">
        <v>28</v>
      </c>
      <c r="N759" s="6" t="s">
        <v>2264</v>
      </c>
      <c r="O759" s="6" t="s">
        <v>30</v>
      </c>
      <c r="P759" s="2" t="s">
        <v>12139</v>
      </c>
    </row>
    <row r="760" spans="1:16" ht="13.15" x14ac:dyDescent="0.4">
      <c r="A760" s="2" t="s">
        <v>12036</v>
      </c>
      <c r="B760" s="2" t="s">
        <v>5885</v>
      </c>
      <c r="C760" s="6" t="s">
        <v>5879</v>
      </c>
      <c r="D760" s="6" t="s">
        <v>42</v>
      </c>
      <c r="E760" s="7">
        <v>44927</v>
      </c>
      <c r="F760" s="8" t="s">
        <v>77</v>
      </c>
      <c r="G760" s="2" t="s">
        <v>26</v>
      </c>
      <c r="H760" s="8" t="s">
        <v>28</v>
      </c>
      <c r="I760" s="2" t="s">
        <v>26</v>
      </c>
      <c r="J760" s="7">
        <v>44927</v>
      </c>
      <c r="K760" s="8" t="s">
        <v>77</v>
      </c>
      <c r="L760" s="2" t="s">
        <v>26</v>
      </c>
      <c r="M760" s="8" t="s">
        <v>28</v>
      </c>
      <c r="N760" s="6" t="s">
        <v>2264</v>
      </c>
      <c r="O760" s="6" t="s">
        <v>30</v>
      </c>
      <c r="P760" s="2" t="s">
        <v>12140</v>
      </c>
    </row>
    <row r="761" spans="1:16" ht="13.15" x14ac:dyDescent="0.4">
      <c r="A761" s="2" t="s">
        <v>11975</v>
      </c>
      <c r="B761" s="2" t="s">
        <v>5885</v>
      </c>
      <c r="C761" s="6" t="s">
        <v>5879</v>
      </c>
      <c r="D761" s="6" t="s">
        <v>42</v>
      </c>
      <c r="E761" s="7">
        <v>44927</v>
      </c>
      <c r="F761" s="8" t="s">
        <v>77</v>
      </c>
      <c r="G761" s="2" t="s">
        <v>26</v>
      </c>
      <c r="H761" s="8" t="s">
        <v>28</v>
      </c>
      <c r="I761" s="2" t="s">
        <v>26</v>
      </c>
      <c r="J761" s="7">
        <v>44927</v>
      </c>
      <c r="K761" s="8" t="s">
        <v>77</v>
      </c>
      <c r="L761" s="2" t="s">
        <v>26</v>
      </c>
      <c r="M761" s="8" t="s">
        <v>28</v>
      </c>
      <c r="N761" s="6" t="s">
        <v>2264</v>
      </c>
      <c r="O761" s="6" t="s">
        <v>30</v>
      </c>
      <c r="P761" s="2" t="s">
        <v>12141</v>
      </c>
    </row>
    <row r="762" spans="1:16" ht="13.15" x14ac:dyDescent="0.4">
      <c r="A762" s="2" t="s">
        <v>11972</v>
      </c>
      <c r="B762" s="2" t="s">
        <v>5885</v>
      </c>
      <c r="C762" s="6" t="s">
        <v>5879</v>
      </c>
      <c r="D762" s="6" t="s">
        <v>42</v>
      </c>
      <c r="E762" s="7">
        <v>44927</v>
      </c>
      <c r="F762" s="8" t="s">
        <v>77</v>
      </c>
      <c r="G762" s="2" t="s">
        <v>26</v>
      </c>
      <c r="H762" s="8" t="s">
        <v>28</v>
      </c>
      <c r="I762" s="2" t="s">
        <v>26</v>
      </c>
      <c r="J762" s="7">
        <v>44927</v>
      </c>
      <c r="K762" s="8" t="s">
        <v>77</v>
      </c>
      <c r="L762" s="2" t="s">
        <v>26</v>
      </c>
      <c r="M762" s="8" t="s">
        <v>28</v>
      </c>
      <c r="N762" s="6" t="s">
        <v>2264</v>
      </c>
      <c r="O762" s="6" t="s">
        <v>30</v>
      </c>
      <c r="P762" s="2" t="s">
        <v>12142</v>
      </c>
    </row>
    <row r="763" spans="1:16" ht="13.15" x14ac:dyDescent="0.4">
      <c r="A763" s="2" t="s">
        <v>11963</v>
      </c>
      <c r="B763" s="2" t="s">
        <v>5885</v>
      </c>
      <c r="C763" s="6" t="s">
        <v>5879</v>
      </c>
      <c r="D763" s="6" t="s">
        <v>42</v>
      </c>
      <c r="E763" s="7">
        <v>44927</v>
      </c>
      <c r="F763" s="8" t="s">
        <v>77</v>
      </c>
      <c r="G763" s="2" t="s">
        <v>26</v>
      </c>
      <c r="H763" s="8" t="s">
        <v>28</v>
      </c>
      <c r="I763" s="2" t="s">
        <v>26</v>
      </c>
      <c r="J763" s="7">
        <v>44927</v>
      </c>
      <c r="K763" s="8" t="s">
        <v>77</v>
      </c>
      <c r="L763" s="2" t="s">
        <v>26</v>
      </c>
      <c r="M763" s="8" t="s">
        <v>28</v>
      </c>
      <c r="N763" s="6" t="s">
        <v>2264</v>
      </c>
      <c r="O763" s="6" t="s">
        <v>30</v>
      </c>
      <c r="P763" s="2" t="s">
        <v>12143</v>
      </c>
    </row>
    <row r="764" spans="1:16" ht="13.15" x14ac:dyDescent="0.4">
      <c r="A764" s="2" t="s">
        <v>11886</v>
      </c>
      <c r="B764" s="2" t="s">
        <v>5885</v>
      </c>
      <c r="C764" s="6" t="s">
        <v>5879</v>
      </c>
      <c r="D764" s="6" t="s">
        <v>42</v>
      </c>
      <c r="E764" s="7">
        <v>44927</v>
      </c>
      <c r="F764" s="8" t="s">
        <v>77</v>
      </c>
      <c r="G764" s="2" t="s">
        <v>26</v>
      </c>
      <c r="H764" s="8" t="s">
        <v>28</v>
      </c>
      <c r="I764" s="2" t="s">
        <v>26</v>
      </c>
      <c r="J764" s="7">
        <v>44927</v>
      </c>
      <c r="K764" s="8" t="s">
        <v>77</v>
      </c>
      <c r="L764" s="2" t="s">
        <v>26</v>
      </c>
      <c r="M764" s="8" t="s">
        <v>28</v>
      </c>
      <c r="N764" s="6" t="s">
        <v>2264</v>
      </c>
      <c r="O764" s="6" t="s">
        <v>30</v>
      </c>
      <c r="P764" s="2" t="s">
        <v>12144</v>
      </c>
    </row>
    <row r="765" spans="1:16" ht="13.15" x14ac:dyDescent="0.4">
      <c r="A765" s="2" t="s">
        <v>11949</v>
      </c>
      <c r="B765" s="2" t="s">
        <v>5885</v>
      </c>
      <c r="C765" s="6" t="s">
        <v>5879</v>
      </c>
      <c r="D765" s="6" t="s">
        <v>42</v>
      </c>
      <c r="E765" s="7">
        <v>44927</v>
      </c>
      <c r="F765" s="8" t="s">
        <v>77</v>
      </c>
      <c r="G765" s="2" t="s">
        <v>26</v>
      </c>
      <c r="H765" s="8" t="s">
        <v>28</v>
      </c>
      <c r="I765" s="2" t="s">
        <v>26</v>
      </c>
      <c r="J765" s="7">
        <v>44927</v>
      </c>
      <c r="K765" s="8" t="s">
        <v>77</v>
      </c>
      <c r="L765" s="2" t="s">
        <v>26</v>
      </c>
      <c r="M765" s="8" t="s">
        <v>28</v>
      </c>
      <c r="N765" s="6" t="s">
        <v>2264</v>
      </c>
      <c r="O765" s="6" t="s">
        <v>30</v>
      </c>
      <c r="P765" s="2" t="s">
        <v>12145</v>
      </c>
    </row>
    <row r="766" spans="1:16" ht="13.15" x14ac:dyDescent="0.4">
      <c r="A766" s="2" t="s">
        <v>11991</v>
      </c>
      <c r="B766" s="2" t="s">
        <v>5885</v>
      </c>
      <c r="C766" s="6" t="s">
        <v>5879</v>
      </c>
      <c r="D766" s="6" t="s">
        <v>42</v>
      </c>
      <c r="E766" s="7">
        <v>44927</v>
      </c>
      <c r="F766" s="8" t="s">
        <v>77</v>
      </c>
      <c r="G766" s="2" t="s">
        <v>26</v>
      </c>
      <c r="H766" s="8" t="s">
        <v>28</v>
      </c>
      <c r="I766" s="2" t="s">
        <v>26</v>
      </c>
      <c r="J766" s="7">
        <v>44927</v>
      </c>
      <c r="K766" s="8" t="s">
        <v>77</v>
      </c>
      <c r="L766" s="2" t="s">
        <v>26</v>
      </c>
      <c r="M766" s="8" t="s">
        <v>28</v>
      </c>
      <c r="N766" s="6" t="s">
        <v>2264</v>
      </c>
      <c r="O766" s="6" t="s">
        <v>30</v>
      </c>
      <c r="P766" s="2" t="s">
        <v>12146</v>
      </c>
    </row>
    <row r="767" spans="1:16" ht="13.15" x14ac:dyDescent="0.4">
      <c r="A767" s="2" t="s">
        <v>11959</v>
      </c>
      <c r="B767" s="2" t="s">
        <v>5885</v>
      </c>
      <c r="C767" s="6" t="s">
        <v>5879</v>
      </c>
      <c r="D767" s="6" t="s">
        <v>42</v>
      </c>
      <c r="E767" s="7">
        <v>44927</v>
      </c>
      <c r="F767" s="8" t="s">
        <v>77</v>
      </c>
      <c r="G767" s="2" t="s">
        <v>26</v>
      </c>
      <c r="H767" s="8" t="s">
        <v>28</v>
      </c>
      <c r="I767" s="2" t="s">
        <v>26</v>
      </c>
      <c r="J767" s="7">
        <v>44927</v>
      </c>
      <c r="K767" s="8" t="s">
        <v>77</v>
      </c>
      <c r="L767" s="2" t="s">
        <v>26</v>
      </c>
      <c r="M767" s="8" t="s">
        <v>28</v>
      </c>
      <c r="N767" s="6" t="s">
        <v>2264</v>
      </c>
      <c r="O767" s="6" t="s">
        <v>30</v>
      </c>
      <c r="P767" s="2" t="s">
        <v>12147</v>
      </c>
    </row>
    <row r="768" spans="1:16" ht="13.15" x14ac:dyDescent="0.4">
      <c r="A768" s="2" t="s">
        <v>12028</v>
      </c>
      <c r="B768" s="2" t="s">
        <v>5885</v>
      </c>
      <c r="C768" s="6" t="s">
        <v>5879</v>
      </c>
      <c r="D768" s="6" t="s">
        <v>42</v>
      </c>
      <c r="E768" s="7">
        <v>44927</v>
      </c>
      <c r="F768" s="8" t="s">
        <v>77</v>
      </c>
      <c r="G768" s="2" t="s">
        <v>26</v>
      </c>
      <c r="H768" s="8" t="s">
        <v>28</v>
      </c>
      <c r="I768" s="2" t="s">
        <v>26</v>
      </c>
      <c r="J768" s="7">
        <v>44927</v>
      </c>
      <c r="K768" s="8" t="s">
        <v>77</v>
      </c>
      <c r="L768" s="2" t="s">
        <v>26</v>
      </c>
      <c r="M768" s="8" t="s">
        <v>28</v>
      </c>
      <c r="N768" s="6" t="s">
        <v>2264</v>
      </c>
      <c r="O768" s="6" t="s">
        <v>30</v>
      </c>
      <c r="P768" s="2" t="s">
        <v>12148</v>
      </c>
    </row>
    <row r="769" spans="1:16" ht="13.15" x14ac:dyDescent="0.4">
      <c r="A769" s="2" t="s">
        <v>11981</v>
      </c>
      <c r="B769" s="2" t="s">
        <v>5885</v>
      </c>
      <c r="C769" s="6" t="s">
        <v>5879</v>
      </c>
      <c r="D769" s="6" t="s">
        <v>42</v>
      </c>
      <c r="E769" s="7">
        <v>44927</v>
      </c>
      <c r="F769" s="8" t="s">
        <v>77</v>
      </c>
      <c r="G769" s="2" t="s">
        <v>26</v>
      </c>
      <c r="H769" s="8" t="s">
        <v>28</v>
      </c>
      <c r="I769" s="2" t="s">
        <v>26</v>
      </c>
      <c r="J769" s="7">
        <v>44927</v>
      </c>
      <c r="K769" s="8" t="s">
        <v>77</v>
      </c>
      <c r="L769" s="2" t="s">
        <v>26</v>
      </c>
      <c r="M769" s="8" t="s">
        <v>28</v>
      </c>
      <c r="N769" s="6" t="s">
        <v>2264</v>
      </c>
      <c r="O769" s="6" t="s">
        <v>30</v>
      </c>
      <c r="P769" s="2" t="s">
        <v>12149</v>
      </c>
    </row>
    <row r="770" spans="1:16" ht="13.15" x14ac:dyDescent="0.4">
      <c r="A770" s="2" t="s">
        <v>12066</v>
      </c>
      <c r="B770" s="2" t="s">
        <v>5885</v>
      </c>
      <c r="C770" s="6" t="s">
        <v>5879</v>
      </c>
      <c r="D770" s="6" t="s">
        <v>42</v>
      </c>
      <c r="E770" s="7">
        <v>44927</v>
      </c>
      <c r="F770" s="8" t="s">
        <v>77</v>
      </c>
      <c r="G770" s="2" t="s">
        <v>26</v>
      </c>
      <c r="H770" s="8" t="s">
        <v>28</v>
      </c>
      <c r="I770" s="2" t="s">
        <v>26</v>
      </c>
      <c r="J770" s="7">
        <v>44927</v>
      </c>
      <c r="K770" s="8" t="s">
        <v>77</v>
      </c>
      <c r="L770" s="2" t="s">
        <v>26</v>
      </c>
      <c r="M770" s="8" t="s">
        <v>28</v>
      </c>
      <c r="N770" s="6" t="s">
        <v>2264</v>
      </c>
      <c r="O770" s="6" t="s">
        <v>30</v>
      </c>
      <c r="P770" s="2" t="s">
        <v>12150</v>
      </c>
    </row>
    <row r="771" spans="1:16" ht="13.15" x14ac:dyDescent="0.4">
      <c r="A771" s="2" t="s">
        <v>11925</v>
      </c>
      <c r="B771" s="2" t="s">
        <v>5885</v>
      </c>
      <c r="C771" s="6" t="s">
        <v>5879</v>
      </c>
      <c r="D771" s="6" t="s">
        <v>42</v>
      </c>
      <c r="E771" s="7">
        <v>44927</v>
      </c>
      <c r="F771" s="8" t="s">
        <v>77</v>
      </c>
      <c r="G771" s="2" t="s">
        <v>26</v>
      </c>
      <c r="H771" s="8" t="s">
        <v>28</v>
      </c>
      <c r="I771" s="2" t="s">
        <v>26</v>
      </c>
      <c r="J771" s="7">
        <v>44927</v>
      </c>
      <c r="K771" s="8" t="s">
        <v>77</v>
      </c>
      <c r="L771" s="2" t="s">
        <v>26</v>
      </c>
      <c r="M771" s="8" t="s">
        <v>28</v>
      </c>
      <c r="N771" s="6" t="s">
        <v>2264</v>
      </c>
      <c r="O771" s="6" t="s">
        <v>30</v>
      </c>
      <c r="P771" s="2" t="s">
        <v>12151</v>
      </c>
    </row>
    <row r="772" spans="1:16" ht="13.15" x14ac:dyDescent="0.4">
      <c r="A772" s="2" t="s">
        <v>11929</v>
      </c>
      <c r="B772" s="2" t="s">
        <v>5885</v>
      </c>
      <c r="C772" s="6" t="s">
        <v>5879</v>
      </c>
      <c r="D772" s="6" t="s">
        <v>42</v>
      </c>
      <c r="E772" s="7">
        <v>44927</v>
      </c>
      <c r="F772" s="8" t="s">
        <v>77</v>
      </c>
      <c r="G772" s="2" t="s">
        <v>26</v>
      </c>
      <c r="H772" s="8" t="s">
        <v>28</v>
      </c>
      <c r="I772" s="2" t="s">
        <v>26</v>
      </c>
      <c r="J772" s="7">
        <v>44927</v>
      </c>
      <c r="K772" s="8" t="s">
        <v>77</v>
      </c>
      <c r="L772" s="2" t="s">
        <v>26</v>
      </c>
      <c r="M772" s="8" t="s">
        <v>28</v>
      </c>
      <c r="N772" s="6" t="s">
        <v>2264</v>
      </c>
      <c r="O772" s="6" t="s">
        <v>30</v>
      </c>
      <c r="P772" s="2" t="s">
        <v>12152</v>
      </c>
    </row>
    <row r="773" spans="1:16" ht="13.15" x14ac:dyDescent="0.4">
      <c r="A773" s="2" t="s">
        <v>11976</v>
      </c>
      <c r="B773" s="2" t="s">
        <v>5885</v>
      </c>
      <c r="C773" s="6" t="s">
        <v>5879</v>
      </c>
      <c r="D773" s="6" t="s">
        <v>42</v>
      </c>
      <c r="E773" s="7">
        <v>44927</v>
      </c>
      <c r="F773" s="8" t="s">
        <v>77</v>
      </c>
      <c r="G773" s="2" t="s">
        <v>26</v>
      </c>
      <c r="H773" s="8" t="s">
        <v>28</v>
      </c>
      <c r="I773" s="2" t="s">
        <v>26</v>
      </c>
      <c r="J773" s="7">
        <v>44927</v>
      </c>
      <c r="K773" s="8" t="s">
        <v>77</v>
      </c>
      <c r="L773" s="2" t="s">
        <v>26</v>
      </c>
      <c r="M773" s="8" t="s">
        <v>28</v>
      </c>
      <c r="N773" s="6" t="s">
        <v>2264</v>
      </c>
      <c r="O773" s="6" t="s">
        <v>30</v>
      </c>
      <c r="P773" s="2" t="s">
        <v>12153</v>
      </c>
    </row>
    <row r="774" spans="1:16" ht="13.15" x14ac:dyDescent="0.4">
      <c r="A774" s="2" t="s">
        <v>11912</v>
      </c>
      <c r="B774" s="2" t="s">
        <v>5885</v>
      </c>
      <c r="C774" s="6" t="s">
        <v>5879</v>
      </c>
      <c r="D774" s="6" t="s">
        <v>42</v>
      </c>
      <c r="E774" s="7">
        <v>44927</v>
      </c>
      <c r="F774" s="8" t="s">
        <v>77</v>
      </c>
      <c r="G774" s="2" t="s">
        <v>26</v>
      </c>
      <c r="H774" s="8" t="s">
        <v>28</v>
      </c>
      <c r="I774" s="2" t="s">
        <v>26</v>
      </c>
      <c r="J774" s="7">
        <v>44927</v>
      </c>
      <c r="K774" s="8" t="s">
        <v>77</v>
      </c>
      <c r="L774" s="2" t="s">
        <v>26</v>
      </c>
      <c r="M774" s="8" t="s">
        <v>28</v>
      </c>
      <c r="N774" s="6" t="s">
        <v>2264</v>
      </c>
      <c r="O774" s="6" t="s">
        <v>30</v>
      </c>
      <c r="P774" s="2" t="s">
        <v>12154</v>
      </c>
    </row>
    <row r="775" spans="1:16" ht="13.15" x14ac:dyDescent="0.4">
      <c r="A775" s="2" t="s">
        <v>11958</v>
      </c>
      <c r="B775" s="2" t="s">
        <v>5885</v>
      </c>
      <c r="C775" s="6" t="s">
        <v>5879</v>
      </c>
      <c r="D775" s="6" t="s">
        <v>42</v>
      </c>
      <c r="E775" s="7">
        <v>44927</v>
      </c>
      <c r="F775" s="8" t="s">
        <v>77</v>
      </c>
      <c r="G775" s="2" t="s">
        <v>26</v>
      </c>
      <c r="H775" s="8" t="s">
        <v>28</v>
      </c>
      <c r="I775" s="2" t="s">
        <v>26</v>
      </c>
      <c r="J775" s="7">
        <v>44927</v>
      </c>
      <c r="K775" s="8" t="s">
        <v>77</v>
      </c>
      <c r="L775" s="2" t="s">
        <v>26</v>
      </c>
      <c r="M775" s="8" t="s">
        <v>28</v>
      </c>
      <c r="N775" s="6" t="s">
        <v>2264</v>
      </c>
      <c r="O775" s="6" t="s">
        <v>30</v>
      </c>
      <c r="P775" s="2" t="s">
        <v>12155</v>
      </c>
    </row>
    <row r="776" spans="1:16" ht="13.15" x14ac:dyDescent="0.4">
      <c r="A776" s="2" t="s">
        <v>12013</v>
      </c>
      <c r="B776" s="2" t="s">
        <v>5885</v>
      </c>
      <c r="C776" s="6" t="s">
        <v>5879</v>
      </c>
      <c r="D776" s="6" t="s">
        <v>42</v>
      </c>
      <c r="E776" s="7">
        <v>44927</v>
      </c>
      <c r="F776" s="8" t="s">
        <v>77</v>
      </c>
      <c r="G776" s="2" t="s">
        <v>26</v>
      </c>
      <c r="H776" s="8" t="s">
        <v>28</v>
      </c>
      <c r="I776" s="2" t="s">
        <v>26</v>
      </c>
      <c r="J776" s="7">
        <v>44927</v>
      </c>
      <c r="K776" s="8" t="s">
        <v>77</v>
      </c>
      <c r="L776" s="2" t="s">
        <v>26</v>
      </c>
      <c r="M776" s="8" t="s">
        <v>28</v>
      </c>
      <c r="N776" s="6" t="s">
        <v>2264</v>
      </c>
      <c r="O776" s="6" t="s">
        <v>30</v>
      </c>
      <c r="P776" s="2" t="s">
        <v>12156</v>
      </c>
    </row>
    <row r="777" spans="1:16" ht="13.15" x14ac:dyDescent="0.4">
      <c r="A777" s="2" t="s">
        <v>11968</v>
      </c>
      <c r="B777" s="2" t="s">
        <v>5885</v>
      </c>
      <c r="C777" s="6" t="s">
        <v>5879</v>
      </c>
      <c r="D777" s="6" t="s">
        <v>42</v>
      </c>
      <c r="E777" s="7">
        <v>44927</v>
      </c>
      <c r="F777" s="8" t="s">
        <v>77</v>
      </c>
      <c r="G777" s="2" t="s">
        <v>26</v>
      </c>
      <c r="H777" s="8" t="s">
        <v>28</v>
      </c>
      <c r="I777" s="2" t="s">
        <v>26</v>
      </c>
      <c r="J777" s="7">
        <v>44927</v>
      </c>
      <c r="K777" s="8" t="s">
        <v>77</v>
      </c>
      <c r="L777" s="2" t="s">
        <v>26</v>
      </c>
      <c r="M777" s="8" t="s">
        <v>28</v>
      </c>
      <c r="N777" s="6" t="s">
        <v>2264</v>
      </c>
      <c r="O777" s="6" t="s">
        <v>30</v>
      </c>
      <c r="P777" s="2" t="s">
        <v>12157</v>
      </c>
    </row>
    <row r="778" spans="1:16" ht="13.15" x14ac:dyDescent="0.4">
      <c r="A778" s="2" t="s">
        <v>11899</v>
      </c>
      <c r="B778" s="2" t="s">
        <v>5885</v>
      </c>
      <c r="C778" s="6" t="s">
        <v>5879</v>
      </c>
      <c r="D778" s="6" t="s">
        <v>42</v>
      </c>
      <c r="E778" s="7">
        <v>44927</v>
      </c>
      <c r="F778" s="8" t="s">
        <v>77</v>
      </c>
      <c r="G778" s="2" t="s">
        <v>26</v>
      </c>
      <c r="H778" s="8" t="s">
        <v>28</v>
      </c>
      <c r="I778" s="2" t="s">
        <v>26</v>
      </c>
      <c r="J778" s="7">
        <v>44927</v>
      </c>
      <c r="K778" s="8" t="s">
        <v>77</v>
      </c>
      <c r="L778" s="2" t="s">
        <v>26</v>
      </c>
      <c r="M778" s="8" t="s">
        <v>28</v>
      </c>
      <c r="N778" s="6" t="s">
        <v>2264</v>
      </c>
      <c r="O778" s="6" t="s">
        <v>30</v>
      </c>
      <c r="P778" s="2" t="s">
        <v>12158</v>
      </c>
    </row>
    <row r="779" spans="1:16" ht="13.15" x14ac:dyDescent="0.4">
      <c r="A779" s="2" t="s">
        <v>12033</v>
      </c>
      <c r="B779" s="2" t="s">
        <v>5885</v>
      </c>
      <c r="C779" s="6" t="s">
        <v>5879</v>
      </c>
      <c r="D779" s="6" t="s">
        <v>42</v>
      </c>
      <c r="E779" s="7">
        <v>44927</v>
      </c>
      <c r="F779" s="8" t="s">
        <v>77</v>
      </c>
      <c r="G779" s="2" t="s">
        <v>26</v>
      </c>
      <c r="H779" s="8" t="s">
        <v>28</v>
      </c>
      <c r="I779" s="2" t="s">
        <v>26</v>
      </c>
      <c r="J779" s="7">
        <v>44927</v>
      </c>
      <c r="K779" s="8" t="s">
        <v>77</v>
      </c>
      <c r="L779" s="2" t="s">
        <v>26</v>
      </c>
      <c r="M779" s="8" t="s">
        <v>28</v>
      </c>
      <c r="N779" s="6" t="s">
        <v>2264</v>
      </c>
      <c r="O779" s="6" t="s">
        <v>30</v>
      </c>
      <c r="P779" s="2" t="s">
        <v>12159</v>
      </c>
    </row>
    <row r="780" spans="1:16" ht="13.15" x14ac:dyDescent="0.4">
      <c r="A780" s="2" t="s">
        <v>11916</v>
      </c>
      <c r="B780" s="2" t="s">
        <v>5885</v>
      </c>
      <c r="C780" s="6" t="s">
        <v>5879</v>
      </c>
      <c r="D780" s="6" t="s">
        <v>42</v>
      </c>
      <c r="E780" s="7">
        <v>44927</v>
      </c>
      <c r="F780" s="8" t="s">
        <v>77</v>
      </c>
      <c r="G780" s="2" t="s">
        <v>26</v>
      </c>
      <c r="H780" s="8" t="s">
        <v>28</v>
      </c>
      <c r="I780" s="2" t="s">
        <v>26</v>
      </c>
      <c r="J780" s="7">
        <v>44927</v>
      </c>
      <c r="K780" s="8" t="s">
        <v>77</v>
      </c>
      <c r="L780" s="2" t="s">
        <v>26</v>
      </c>
      <c r="M780" s="8" t="s">
        <v>28</v>
      </c>
      <c r="N780" s="6" t="s">
        <v>2264</v>
      </c>
      <c r="O780" s="6" t="s">
        <v>30</v>
      </c>
      <c r="P780" s="2" t="s">
        <v>12160</v>
      </c>
    </row>
    <row r="781" spans="1:16" ht="13.15" x14ac:dyDescent="0.4">
      <c r="A781" s="2" t="s">
        <v>12049</v>
      </c>
      <c r="B781" s="2" t="s">
        <v>5885</v>
      </c>
      <c r="C781" s="6" t="s">
        <v>5879</v>
      </c>
      <c r="D781" s="6" t="s">
        <v>42</v>
      </c>
      <c r="E781" s="7">
        <v>44927</v>
      </c>
      <c r="F781" s="8" t="s">
        <v>77</v>
      </c>
      <c r="G781" s="2" t="s">
        <v>26</v>
      </c>
      <c r="H781" s="8" t="s">
        <v>28</v>
      </c>
      <c r="I781" s="2" t="s">
        <v>26</v>
      </c>
      <c r="J781" s="7">
        <v>44927</v>
      </c>
      <c r="K781" s="8" t="s">
        <v>77</v>
      </c>
      <c r="L781" s="2" t="s">
        <v>26</v>
      </c>
      <c r="M781" s="8" t="s">
        <v>28</v>
      </c>
      <c r="N781" s="6" t="s">
        <v>2264</v>
      </c>
      <c r="O781" s="6" t="s">
        <v>30</v>
      </c>
      <c r="P781" s="2" t="s">
        <v>12161</v>
      </c>
    </row>
    <row r="782" spans="1:16" ht="13.15" x14ac:dyDescent="0.4">
      <c r="A782" s="2" t="s">
        <v>11969</v>
      </c>
      <c r="B782" s="2" t="s">
        <v>5885</v>
      </c>
      <c r="C782" s="6" t="s">
        <v>5879</v>
      </c>
      <c r="D782" s="6" t="s">
        <v>42</v>
      </c>
      <c r="E782" s="7">
        <v>44927</v>
      </c>
      <c r="F782" s="8" t="s">
        <v>77</v>
      </c>
      <c r="G782" s="2" t="s">
        <v>26</v>
      </c>
      <c r="H782" s="8" t="s">
        <v>28</v>
      </c>
      <c r="I782" s="2" t="s">
        <v>26</v>
      </c>
      <c r="J782" s="7">
        <v>44927</v>
      </c>
      <c r="K782" s="8" t="s">
        <v>77</v>
      </c>
      <c r="L782" s="2" t="s">
        <v>26</v>
      </c>
      <c r="M782" s="8" t="s">
        <v>28</v>
      </c>
      <c r="N782" s="6" t="s">
        <v>2264</v>
      </c>
      <c r="O782" s="6" t="s">
        <v>30</v>
      </c>
      <c r="P782" s="2" t="s">
        <v>12162</v>
      </c>
    </row>
    <row r="783" spans="1:16" ht="13.15" x14ac:dyDescent="0.4">
      <c r="A783" s="2" t="s">
        <v>7595</v>
      </c>
      <c r="B783" s="2" t="s">
        <v>5885</v>
      </c>
      <c r="C783" s="6" t="s">
        <v>5879</v>
      </c>
      <c r="D783" s="6" t="s">
        <v>42</v>
      </c>
      <c r="E783" s="7">
        <v>44927</v>
      </c>
      <c r="F783" s="8" t="s">
        <v>77</v>
      </c>
      <c r="G783" s="2" t="s">
        <v>26</v>
      </c>
      <c r="H783" s="8" t="s">
        <v>28</v>
      </c>
      <c r="I783" s="2" t="s">
        <v>26</v>
      </c>
      <c r="J783" s="7">
        <v>44927</v>
      </c>
      <c r="K783" s="8" t="s">
        <v>77</v>
      </c>
      <c r="L783" s="2" t="s">
        <v>26</v>
      </c>
      <c r="M783" s="8" t="s">
        <v>28</v>
      </c>
      <c r="N783" s="6" t="s">
        <v>2264</v>
      </c>
      <c r="O783" s="6" t="s">
        <v>30</v>
      </c>
      <c r="P783" s="2" t="s">
        <v>12163</v>
      </c>
    </row>
    <row r="784" spans="1:16" ht="13.15" x14ac:dyDescent="0.4">
      <c r="A784" s="2" t="s">
        <v>7607</v>
      </c>
      <c r="B784" s="2" t="s">
        <v>5885</v>
      </c>
      <c r="C784" s="6" t="s">
        <v>5879</v>
      </c>
      <c r="D784" s="6" t="s">
        <v>42</v>
      </c>
      <c r="E784" s="7">
        <v>44927</v>
      </c>
      <c r="F784" s="8" t="s">
        <v>77</v>
      </c>
      <c r="G784" s="2" t="s">
        <v>26</v>
      </c>
      <c r="H784" s="8" t="s">
        <v>28</v>
      </c>
      <c r="I784" s="2" t="s">
        <v>26</v>
      </c>
      <c r="J784" s="7">
        <v>44927</v>
      </c>
      <c r="K784" s="8" t="s">
        <v>77</v>
      </c>
      <c r="L784" s="2" t="s">
        <v>26</v>
      </c>
      <c r="M784" s="8" t="s">
        <v>28</v>
      </c>
      <c r="N784" s="6" t="s">
        <v>2264</v>
      </c>
      <c r="O784" s="6" t="s">
        <v>30</v>
      </c>
      <c r="P784" s="2" t="s">
        <v>12164</v>
      </c>
    </row>
    <row r="785" spans="1:16" ht="13.15" x14ac:dyDescent="0.4">
      <c r="A785" s="2" t="s">
        <v>12044</v>
      </c>
      <c r="B785" s="2" t="s">
        <v>5885</v>
      </c>
      <c r="C785" s="6" t="s">
        <v>5879</v>
      </c>
      <c r="D785" s="6" t="s">
        <v>42</v>
      </c>
      <c r="E785" s="7">
        <v>44927</v>
      </c>
      <c r="F785" s="8" t="s">
        <v>77</v>
      </c>
      <c r="G785" s="2" t="s">
        <v>26</v>
      </c>
      <c r="H785" s="8" t="s">
        <v>28</v>
      </c>
      <c r="I785" s="2" t="s">
        <v>26</v>
      </c>
      <c r="J785" s="7">
        <v>44927</v>
      </c>
      <c r="K785" s="8" t="s">
        <v>77</v>
      </c>
      <c r="L785" s="2" t="s">
        <v>26</v>
      </c>
      <c r="M785" s="8" t="s">
        <v>28</v>
      </c>
      <c r="N785" s="6" t="s">
        <v>2264</v>
      </c>
      <c r="O785" s="6" t="s">
        <v>30</v>
      </c>
      <c r="P785" s="2" t="s">
        <v>12165</v>
      </c>
    </row>
    <row r="786" spans="1:16" ht="13.15" x14ac:dyDescent="0.4">
      <c r="A786" s="2" t="s">
        <v>7809</v>
      </c>
      <c r="B786" s="2" t="s">
        <v>5885</v>
      </c>
      <c r="C786" s="6" t="s">
        <v>5879</v>
      </c>
      <c r="D786" s="6" t="s">
        <v>42</v>
      </c>
      <c r="E786" s="7">
        <v>44927</v>
      </c>
      <c r="F786" s="8" t="s">
        <v>77</v>
      </c>
      <c r="G786" s="2" t="s">
        <v>26</v>
      </c>
      <c r="H786" s="8" t="s">
        <v>28</v>
      </c>
      <c r="I786" s="2" t="s">
        <v>26</v>
      </c>
      <c r="J786" s="7">
        <v>44927</v>
      </c>
      <c r="K786" s="8" t="s">
        <v>77</v>
      </c>
      <c r="L786" s="2" t="s">
        <v>26</v>
      </c>
      <c r="M786" s="8" t="s">
        <v>28</v>
      </c>
      <c r="N786" s="6" t="s">
        <v>2264</v>
      </c>
      <c r="O786" s="6" t="s">
        <v>30</v>
      </c>
      <c r="P786" s="2" t="s">
        <v>12166</v>
      </c>
    </row>
    <row r="787" spans="1:16" ht="13.15" x14ac:dyDescent="0.4">
      <c r="A787" s="2" t="s">
        <v>11960</v>
      </c>
      <c r="B787" s="2" t="s">
        <v>5885</v>
      </c>
      <c r="C787" s="6" t="s">
        <v>5879</v>
      </c>
      <c r="D787" s="6" t="s">
        <v>42</v>
      </c>
      <c r="E787" s="7">
        <v>44927</v>
      </c>
      <c r="F787" s="8" t="s">
        <v>77</v>
      </c>
      <c r="G787" s="2" t="s">
        <v>26</v>
      </c>
      <c r="H787" s="8" t="s">
        <v>28</v>
      </c>
      <c r="I787" s="2" t="s">
        <v>26</v>
      </c>
      <c r="J787" s="7">
        <v>44927</v>
      </c>
      <c r="K787" s="8" t="s">
        <v>77</v>
      </c>
      <c r="L787" s="2" t="s">
        <v>26</v>
      </c>
      <c r="M787" s="8" t="s">
        <v>28</v>
      </c>
      <c r="N787" s="6" t="s">
        <v>2264</v>
      </c>
      <c r="O787" s="6" t="s">
        <v>30</v>
      </c>
      <c r="P787" s="2" t="s">
        <v>12167</v>
      </c>
    </row>
    <row r="788" spans="1:16" ht="13.15" x14ac:dyDescent="0.4">
      <c r="A788" s="2" t="s">
        <v>807</v>
      </c>
      <c r="B788" s="2" t="s">
        <v>5885</v>
      </c>
      <c r="C788" s="6" t="s">
        <v>5879</v>
      </c>
      <c r="D788" s="6" t="s">
        <v>42</v>
      </c>
      <c r="E788" s="7">
        <v>44927</v>
      </c>
      <c r="F788" s="8" t="s">
        <v>77</v>
      </c>
      <c r="G788" s="2" t="s">
        <v>26</v>
      </c>
      <c r="H788" s="8" t="s">
        <v>28</v>
      </c>
      <c r="I788" s="2" t="s">
        <v>26</v>
      </c>
      <c r="J788" s="7">
        <v>44927</v>
      </c>
      <c r="K788" s="8" t="s">
        <v>77</v>
      </c>
      <c r="L788" s="2" t="s">
        <v>26</v>
      </c>
      <c r="M788" s="8" t="s">
        <v>28</v>
      </c>
      <c r="N788" s="6" t="s">
        <v>2264</v>
      </c>
      <c r="O788" s="6" t="s">
        <v>30</v>
      </c>
      <c r="P788" s="2" t="s">
        <v>12168</v>
      </c>
    </row>
    <row r="789" spans="1:16" ht="13.15" x14ac:dyDescent="0.4">
      <c r="A789" s="2" t="s">
        <v>11905</v>
      </c>
      <c r="B789" s="2" t="s">
        <v>5885</v>
      </c>
      <c r="C789" s="6" t="s">
        <v>5879</v>
      </c>
      <c r="D789" s="6" t="s">
        <v>42</v>
      </c>
      <c r="E789" s="7">
        <v>44927</v>
      </c>
      <c r="F789" s="8" t="s">
        <v>77</v>
      </c>
      <c r="G789" s="2" t="s">
        <v>26</v>
      </c>
      <c r="H789" s="8" t="s">
        <v>28</v>
      </c>
      <c r="I789" s="2" t="s">
        <v>26</v>
      </c>
      <c r="J789" s="7">
        <v>44927</v>
      </c>
      <c r="K789" s="8" t="s">
        <v>77</v>
      </c>
      <c r="L789" s="2" t="s">
        <v>26</v>
      </c>
      <c r="M789" s="8" t="s">
        <v>28</v>
      </c>
      <c r="N789" s="6" t="s">
        <v>2264</v>
      </c>
      <c r="O789" s="6" t="s">
        <v>30</v>
      </c>
      <c r="P789" s="2" t="s">
        <v>12169</v>
      </c>
    </row>
    <row r="790" spans="1:16" ht="13.15" x14ac:dyDescent="0.4">
      <c r="A790" s="2" t="s">
        <v>12045</v>
      </c>
      <c r="B790" s="2" t="s">
        <v>5885</v>
      </c>
      <c r="C790" s="6" t="s">
        <v>5879</v>
      </c>
      <c r="D790" s="6" t="s">
        <v>42</v>
      </c>
      <c r="E790" s="7">
        <v>44927</v>
      </c>
      <c r="F790" s="8" t="s">
        <v>77</v>
      </c>
      <c r="G790" s="2" t="s">
        <v>26</v>
      </c>
      <c r="H790" s="8" t="s">
        <v>28</v>
      </c>
      <c r="I790" s="2" t="s">
        <v>26</v>
      </c>
      <c r="J790" s="7">
        <v>44927</v>
      </c>
      <c r="K790" s="8" t="s">
        <v>77</v>
      </c>
      <c r="L790" s="2" t="s">
        <v>26</v>
      </c>
      <c r="M790" s="8" t="s">
        <v>28</v>
      </c>
      <c r="N790" s="6" t="s">
        <v>2264</v>
      </c>
      <c r="O790" s="6" t="s">
        <v>30</v>
      </c>
      <c r="P790" s="2" t="s">
        <v>12170</v>
      </c>
    </row>
    <row r="791" spans="1:16" ht="13.15" x14ac:dyDescent="0.4">
      <c r="A791" s="2" t="s">
        <v>11971</v>
      </c>
      <c r="B791" s="2" t="s">
        <v>5885</v>
      </c>
      <c r="C791" s="6" t="s">
        <v>5879</v>
      </c>
      <c r="D791" s="6" t="s">
        <v>42</v>
      </c>
      <c r="E791" s="7">
        <v>44927</v>
      </c>
      <c r="F791" s="8" t="s">
        <v>77</v>
      </c>
      <c r="G791" s="2" t="s">
        <v>26</v>
      </c>
      <c r="H791" s="8" t="s">
        <v>28</v>
      </c>
      <c r="I791" s="2" t="s">
        <v>26</v>
      </c>
      <c r="J791" s="7">
        <v>44927</v>
      </c>
      <c r="K791" s="8" t="s">
        <v>77</v>
      </c>
      <c r="L791" s="2" t="s">
        <v>26</v>
      </c>
      <c r="M791" s="8" t="s">
        <v>28</v>
      </c>
      <c r="N791" s="6" t="s">
        <v>2264</v>
      </c>
      <c r="O791" s="6" t="s">
        <v>30</v>
      </c>
      <c r="P791" s="2" t="s">
        <v>12171</v>
      </c>
    </row>
    <row r="792" spans="1:16" ht="13.15" x14ac:dyDescent="0.4">
      <c r="A792" s="2" t="s">
        <v>12030</v>
      </c>
      <c r="B792" s="2" t="s">
        <v>5885</v>
      </c>
      <c r="C792" s="6" t="s">
        <v>5879</v>
      </c>
      <c r="D792" s="6" t="s">
        <v>42</v>
      </c>
      <c r="E792" s="7">
        <v>44927</v>
      </c>
      <c r="F792" s="8" t="s">
        <v>77</v>
      </c>
      <c r="G792" s="2" t="s">
        <v>26</v>
      </c>
      <c r="H792" s="8" t="s">
        <v>28</v>
      </c>
      <c r="I792" s="2" t="s">
        <v>26</v>
      </c>
      <c r="J792" s="7">
        <v>44927</v>
      </c>
      <c r="K792" s="8" t="s">
        <v>77</v>
      </c>
      <c r="L792" s="2" t="s">
        <v>26</v>
      </c>
      <c r="M792" s="8" t="s">
        <v>28</v>
      </c>
      <c r="N792" s="6" t="s">
        <v>2264</v>
      </c>
      <c r="O792" s="6" t="s">
        <v>30</v>
      </c>
      <c r="P792" s="2" t="s">
        <v>12172</v>
      </c>
    </row>
    <row r="793" spans="1:16" ht="13.15" x14ac:dyDescent="0.4">
      <c r="A793" s="2" t="s">
        <v>12065</v>
      </c>
      <c r="B793" s="2" t="s">
        <v>5885</v>
      </c>
      <c r="C793" s="6" t="s">
        <v>5879</v>
      </c>
      <c r="D793" s="6" t="s">
        <v>42</v>
      </c>
      <c r="E793" s="7">
        <v>44927</v>
      </c>
      <c r="F793" s="8" t="s">
        <v>77</v>
      </c>
      <c r="G793" s="2" t="s">
        <v>26</v>
      </c>
      <c r="H793" s="8" t="s">
        <v>28</v>
      </c>
      <c r="I793" s="2" t="s">
        <v>26</v>
      </c>
      <c r="J793" s="7">
        <v>44927</v>
      </c>
      <c r="K793" s="8" t="s">
        <v>77</v>
      </c>
      <c r="L793" s="2" t="s">
        <v>26</v>
      </c>
      <c r="M793" s="8" t="s">
        <v>28</v>
      </c>
      <c r="N793" s="6" t="s">
        <v>2264</v>
      </c>
      <c r="O793" s="6" t="s">
        <v>30</v>
      </c>
      <c r="P793" s="2" t="s">
        <v>12173</v>
      </c>
    </row>
    <row r="794" spans="1:16" ht="13.15" x14ac:dyDescent="0.4">
      <c r="A794" s="2" t="s">
        <v>12025</v>
      </c>
      <c r="B794" s="2" t="s">
        <v>5885</v>
      </c>
      <c r="C794" s="6" t="s">
        <v>5879</v>
      </c>
      <c r="D794" s="6" t="s">
        <v>42</v>
      </c>
      <c r="E794" s="7">
        <v>44927</v>
      </c>
      <c r="F794" s="8" t="s">
        <v>77</v>
      </c>
      <c r="G794" s="2" t="s">
        <v>26</v>
      </c>
      <c r="H794" s="8" t="s">
        <v>28</v>
      </c>
      <c r="I794" s="2" t="s">
        <v>26</v>
      </c>
      <c r="J794" s="7">
        <v>44927</v>
      </c>
      <c r="K794" s="8" t="s">
        <v>77</v>
      </c>
      <c r="L794" s="2" t="s">
        <v>26</v>
      </c>
      <c r="M794" s="8" t="s">
        <v>28</v>
      </c>
      <c r="N794" s="6" t="s">
        <v>2264</v>
      </c>
      <c r="O794" s="6" t="s">
        <v>30</v>
      </c>
      <c r="P794" s="2" t="s">
        <v>12174</v>
      </c>
    </row>
    <row r="795" spans="1:16" ht="13.15" x14ac:dyDescent="0.4">
      <c r="A795" s="2" t="s">
        <v>11931</v>
      </c>
      <c r="B795" s="2" t="s">
        <v>5885</v>
      </c>
      <c r="C795" s="6" t="s">
        <v>5879</v>
      </c>
      <c r="D795" s="6" t="s">
        <v>42</v>
      </c>
      <c r="E795" s="7">
        <v>44927</v>
      </c>
      <c r="F795" s="8" t="s">
        <v>77</v>
      </c>
      <c r="G795" s="2" t="s">
        <v>26</v>
      </c>
      <c r="H795" s="8" t="s">
        <v>28</v>
      </c>
      <c r="I795" s="2" t="s">
        <v>26</v>
      </c>
      <c r="J795" s="7">
        <v>44927</v>
      </c>
      <c r="K795" s="8" t="s">
        <v>77</v>
      </c>
      <c r="L795" s="2" t="s">
        <v>26</v>
      </c>
      <c r="M795" s="8" t="s">
        <v>28</v>
      </c>
      <c r="N795" s="6" t="s">
        <v>2264</v>
      </c>
      <c r="O795" s="6" t="s">
        <v>30</v>
      </c>
      <c r="P795" s="2" t="s">
        <v>12175</v>
      </c>
    </row>
    <row r="796" spans="1:16" ht="13.15" x14ac:dyDescent="0.4">
      <c r="A796" s="2" t="s">
        <v>11894</v>
      </c>
      <c r="B796" s="2" t="s">
        <v>5885</v>
      </c>
      <c r="C796" s="6" t="s">
        <v>5879</v>
      </c>
      <c r="D796" s="6" t="s">
        <v>42</v>
      </c>
      <c r="E796" s="7">
        <v>44927</v>
      </c>
      <c r="F796" s="8" t="s">
        <v>77</v>
      </c>
      <c r="G796" s="2" t="s">
        <v>26</v>
      </c>
      <c r="H796" s="8" t="s">
        <v>28</v>
      </c>
      <c r="I796" s="2" t="s">
        <v>26</v>
      </c>
      <c r="J796" s="7">
        <v>44927</v>
      </c>
      <c r="K796" s="8" t="s">
        <v>77</v>
      </c>
      <c r="L796" s="2" t="s">
        <v>26</v>
      </c>
      <c r="M796" s="8" t="s">
        <v>28</v>
      </c>
      <c r="N796" s="6" t="s">
        <v>2264</v>
      </c>
      <c r="O796" s="6" t="s">
        <v>30</v>
      </c>
      <c r="P796" s="2" t="s">
        <v>12176</v>
      </c>
    </row>
    <row r="797" spans="1:16" ht="13.15" x14ac:dyDescent="0.4">
      <c r="A797" s="2" t="s">
        <v>11970</v>
      </c>
      <c r="B797" s="2" t="s">
        <v>5885</v>
      </c>
      <c r="C797" s="6" t="s">
        <v>5879</v>
      </c>
      <c r="D797" s="6" t="s">
        <v>42</v>
      </c>
      <c r="E797" s="7">
        <v>44927</v>
      </c>
      <c r="F797" s="8" t="s">
        <v>77</v>
      </c>
      <c r="G797" s="2" t="s">
        <v>26</v>
      </c>
      <c r="H797" s="8" t="s">
        <v>28</v>
      </c>
      <c r="I797" s="2" t="s">
        <v>26</v>
      </c>
      <c r="J797" s="7">
        <v>44927</v>
      </c>
      <c r="K797" s="8" t="s">
        <v>77</v>
      </c>
      <c r="L797" s="2" t="s">
        <v>26</v>
      </c>
      <c r="M797" s="8" t="s">
        <v>28</v>
      </c>
      <c r="N797" s="6" t="s">
        <v>2264</v>
      </c>
      <c r="O797" s="6" t="s">
        <v>30</v>
      </c>
      <c r="P797" s="2" t="s">
        <v>12177</v>
      </c>
    </row>
    <row r="798" spans="1:16" ht="13.15" x14ac:dyDescent="0.4">
      <c r="A798" s="2" t="s">
        <v>11928</v>
      </c>
      <c r="B798" s="2" t="s">
        <v>5885</v>
      </c>
      <c r="C798" s="6" t="s">
        <v>5879</v>
      </c>
      <c r="D798" s="6" t="s">
        <v>42</v>
      </c>
      <c r="E798" s="7">
        <v>44927</v>
      </c>
      <c r="F798" s="8" t="s">
        <v>77</v>
      </c>
      <c r="G798" s="2" t="s">
        <v>26</v>
      </c>
      <c r="H798" s="8" t="s">
        <v>28</v>
      </c>
      <c r="I798" s="2" t="s">
        <v>26</v>
      </c>
      <c r="J798" s="7">
        <v>44927</v>
      </c>
      <c r="K798" s="8" t="s">
        <v>77</v>
      </c>
      <c r="L798" s="2" t="s">
        <v>26</v>
      </c>
      <c r="M798" s="8" t="s">
        <v>28</v>
      </c>
      <c r="N798" s="6" t="s">
        <v>2264</v>
      </c>
      <c r="O798" s="6" t="s">
        <v>30</v>
      </c>
      <c r="P798" s="2" t="s">
        <v>12178</v>
      </c>
    </row>
    <row r="799" spans="1:16" ht="13.15" x14ac:dyDescent="0.4">
      <c r="A799" s="2" t="s">
        <v>11898</v>
      </c>
      <c r="B799" s="2" t="s">
        <v>5885</v>
      </c>
      <c r="C799" s="6" t="s">
        <v>5879</v>
      </c>
      <c r="D799" s="6" t="s">
        <v>42</v>
      </c>
      <c r="E799" s="7">
        <v>44927</v>
      </c>
      <c r="F799" s="8" t="s">
        <v>77</v>
      </c>
      <c r="G799" s="2" t="s">
        <v>26</v>
      </c>
      <c r="H799" s="8" t="s">
        <v>28</v>
      </c>
      <c r="I799" s="2" t="s">
        <v>26</v>
      </c>
      <c r="J799" s="7">
        <v>44927</v>
      </c>
      <c r="K799" s="8" t="s">
        <v>77</v>
      </c>
      <c r="L799" s="2" t="s">
        <v>26</v>
      </c>
      <c r="M799" s="8" t="s">
        <v>28</v>
      </c>
      <c r="N799" s="6" t="s">
        <v>2264</v>
      </c>
      <c r="O799" s="6" t="s">
        <v>30</v>
      </c>
      <c r="P799" s="2" t="s">
        <v>12179</v>
      </c>
    </row>
    <row r="800" spans="1:16" ht="13.15" x14ac:dyDescent="0.4">
      <c r="A800" s="2" t="s">
        <v>11930</v>
      </c>
      <c r="B800" s="2" t="s">
        <v>5885</v>
      </c>
      <c r="C800" s="6" t="s">
        <v>5879</v>
      </c>
      <c r="D800" s="6" t="s">
        <v>42</v>
      </c>
      <c r="E800" s="7">
        <v>44927</v>
      </c>
      <c r="F800" s="8" t="s">
        <v>77</v>
      </c>
      <c r="G800" s="2" t="s">
        <v>26</v>
      </c>
      <c r="H800" s="8" t="s">
        <v>28</v>
      </c>
      <c r="I800" s="2" t="s">
        <v>26</v>
      </c>
      <c r="J800" s="7">
        <v>44927</v>
      </c>
      <c r="K800" s="8" t="s">
        <v>77</v>
      </c>
      <c r="L800" s="2" t="s">
        <v>26</v>
      </c>
      <c r="M800" s="8" t="s">
        <v>28</v>
      </c>
      <c r="N800" s="6" t="s">
        <v>2264</v>
      </c>
      <c r="O800" s="6" t="s">
        <v>30</v>
      </c>
      <c r="P800" s="2" t="s">
        <v>12180</v>
      </c>
    </row>
    <row r="801" spans="1:16" ht="13.15" x14ac:dyDescent="0.4">
      <c r="A801" s="2" t="s">
        <v>11895</v>
      </c>
      <c r="B801" s="2" t="s">
        <v>5885</v>
      </c>
      <c r="C801" s="6" t="s">
        <v>5879</v>
      </c>
      <c r="D801" s="6" t="s">
        <v>42</v>
      </c>
      <c r="E801" s="7">
        <v>44927</v>
      </c>
      <c r="F801" s="8" t="s">
        <v>77</v>
      </c>
      <c r="G801" s="2" t="s">
        <v>26</v>
      </c>
      <c r="H801" s="8" t="s">
        <v>28</v>
      </c>
      <c r="I801" s="2" t="s">
        <v>26</v>
      </c>
      <c r="J801" s="7">
        <v>44927</v>
      </c>
      <c r="K801" s="8" t="s">
        <v>77</v>
      </c>
      <c r="L801" s="2" t="s">
        <v>26</v>
      </c>
      <c r="M801" s="8" t="s">
        <v>28</v>
      </c>
      <c r="N801" s="6" t="s">
        <v>2264</v>
      </c>
      <c r="O801" s="6" t="s">
        <v>30</v>
      </c>
      <c r="P801" s="2" t="s">
        <v>12181</v>
      </c>
    </row>
    <row r="802" spans="1:16" ht="13.15" x14ac:dyDescent="0.4">
      <c r="A802" s="2" t="s">
        <v>12016</v>
      </c>
      <c r="B802" s="2" t="s">
        <v>5885</v>
      </c>
      <c r="C802" s="6" t="s">
        <v>5879</v>
      </c>
      <c r="D802" s="6" t="s">
        <v>42</v>
      </c>
      <c r="E802" s="7">
        <v>44927</v>
      </c>
      <c r="F802" s="8" t="s">
        <v>77</v>
      </c>
      <c r="G802" s="2" t="s">
        <v>26</v>
      </c>
      <c r="H802" s="8" t="s">
        <v>28</v>
      </c>
      <c r="I802" s="2" t="s">
        <v>26</v>
      </c>
      <c r="J802" s="7">
        <v>44927</v>
      </c>
      <c r="K802" s="8" t="s">
        <v>77</v>
      </c>
      <c r="L802" s="2" t="s">
        <v>26</v>
      </c>
      <c r="M802" s="8" t="s">
        <v>28</v>
      </c>
      <c r="N802" s="6" t="s">
        <v>2264</v>
      </c>
      <c r="O802" s="6" t="s">
        <v>30</v>
      </c>
      <c r="P802" s="2" t="s">
        <v>12182</v>
      </c>
    </row>
    <row r="803" spans="1:16" ht="13.15" x14ac:dyDescent="0.4">
      <c r="A803" s="2" t="s">
        <v>12022</v>
      </c>
      <c r="B803" s="2" t="s">
        <v>5885</v>
      </c>
      <c r="C803" s="6" t="s">
        <v>5879</v>
      </c>
      <c r="D803" s="6" t="s">
        <v>42</v>
      </c>
      <c r="E803" s="7">
        <v>44927</v>
      </c>
      <c r="F803" s="8" t="s">
        <v>77</v>
      </c>
      <c r="G803" s="2" t="s">
        <v>26</v>
      </c>
      <c r="H803" s="8" t="s">
        <v>28</v>
      </c>
      <c r="I803" s="2" t="s">
        <v>26</v>
      </c>
      <c r="J803" s="7">
        <v>44927</v>
      </c>
      <c r="K803" s="8" t="s">
        <v>77</v>
      </c>
      <c r="L803" s="2" t="s">
        <v>26</v>
      </c>
      <c r="M803" s="8" t="s">
        <v>28</v>
      </c>
      <c r="N803" s="6" t="s">
        <v>2264</v>
      </c>
      <c r="O803" s="6" t="s">
        <v>30</v>
      </c>
      <c r="P803" s="2" t="s">
        <v>12183</v>
      </c>
    </row>
    <row r="804" spans="1:16" ht="13.15" x14ac:dyDescent="0.4">
      <c r="A804" s="2" t="s">
        <v>11987</v>
      </c>
      <c r="B804" s="2" t="s">
        <v>5885</v>
      </c>
      <c r="C804" s="6" t="s">
        <v>5879</v>
      </c>
      <c r="D804" s="6" t="s">
        <v>42</v>
      </c>
      <c r="E804" s="7">
        <v>44927</v>
      </c>
      <c r="F804" s="8" t="s">
        <v>77</v>
      </c>
      <c r="G804" s="2" t="s">
        <v>26</v>
      </c>
      <c r="H804" s="8" t="s">
        <v>28</v>
      </c>
      <c r="I804" s="2" t="s">
        <v>26</v>
      </c>
      <c r="J804" s="7">
        <v>44927</v>
      </c>
      <c r="K804" s="8" t="s">
        <v>77</v>
      </c>
      <c r="L804" s="2" t="s">
        <v>26</v>
      </c>
      <c r="M804" s="8" t="s">
        <v>28</v>
      </c>
      <c r="N804" s="6" t="s">
        <v>2264</v>
      </c>
      <c r="O804" s="6" t="s">
        <v>30</v>
      </c>
      <c r="P804" s="2" t="s">
        <v>12184</v>
      </c>
    </row>
    <row r="805" spans="1:16" ht="13.15" x14ac:dyDescent="0.4">
      <c r="A805" s="2" t="s">
        <v>12034</v>
      </c>
      <c r="B805" s="2" t="s">
        <v>5885</v>
      </c>
      <c r="C805" s="6" t="s">
        <v>5879</v>
      </c>
      <c r="D805" s="6" t="s">
        <v>42</v>
      </c>
      <c r="E805" s="7">
        <v>44927</v>
      </c>
      <c r="F805" s="8" t="s">
        <v>77</v>
      </c>
      <c r="G805" s="2" t="s">
        <v>26</v>
      </c>
      <c r="H805" s="8" t="s">
        <v>28</v>
      </c>
      <c r="I805" s="2" t="s">
        <v>26</v>
      </c>
      <c r="J805" s="7">
        <v>44927</v>
      </c>
      <c r="K805" s="8" t="s">
        <v>77</v>
      </c>
      <c r="L805" s="2" t="s">
        <v>26</v>
      </c>
      <c r="M805" s="8" t="s">
        <v>28</v>
      </c>
      <c r="N805" s="6" t="s">
        <v>2264</v>
      </c>
      <c r="O805" s="6" t="s">
        <v>30</v>
      </c>
      <c r="P805" s="2" t="s">
        <v>12185</v>
      </c>
    </row>
    <row r="806" spans="1:16" ht="13.15" x14ac:dyDescent="0.4">
      <c r="A806" s="2" t="s">
        <v>11973</v>
      </c>
      <c r="B806" s="2" t="s">
        <v>5885</v>
      </c>
      <c r="C806" s="6" t="s">
        <v>5879</v>
      </c>
      <c r="D806" s="6" t="s">
        <v>42</v>
      </c>
      <c r="E806" s="7">
        <v>44927</v>
      </c>
      <c r="F806" s="8" t="s">
        <v>77</v>
      </c>
      <c r="G806" s="2" t="s">
        <v>26</v>
      </c>
      <c r="H806" s="8" t="s">
        <v>28</v>
      </c>
      <c r="I806" s="2" t="s">
        <v>26</v>
      </c>
      <c r="J806" s="7">
        <v>44927</v>
      </c>
      <c r="K806" s="8" t="s">
        <v>77</v>
      </c>
      <c r="L806" s="2" t="s">
        <v>26</v>
      </c>
      <c r="M806" s="8" t="s">
        <v>28</v>
      </c>
      <c r="N806" s="6" t="s">
        <v>2264</v>
      </c>
      <c r="O806" s="6" t="s">
        <v>30</v>
      </c>
      <c r="P806" s="2" t="s">
        <v>12186</v>
      </c>
    </row>
    <row r="807" spans="1:16" ht="13.15" x14ac:dyDescent="0.4">
      <c r="A807" s="2" t="s">
        <v>11889</v>
      </c>
      <c r="B807" s="2" t="s">
        <v>5885</v>
      </c>
      <c r="C807" s="6" t="s">
        <v>5879</v>
      </c>
      <c r="D807" s="6" t="s">
        <v>42</v>
      </c>
      <c r="E807" s="7">
        <v>44927</v>
      </c>
      <c r="F807" s="8" t="s">
        <v>77</v>
      </c>
      <c r="G807" s="2" t="s">
        <v>26</v>
      </c>
      <c r="H807" s="8" t="s">
        <v>28</v>
      </c>
      <c r="I807" s="2" t="s">
        <v>26</v>
      </c>
      <c r="J807" s="7">
        <v>44927</v>
      </c>
      <c r="K807" s="8" t="s">
        <v>77</v>
      </c>
      <c r="L807" s="2" t="s">
        <v>26</v>
      </c>
      <c r="M807" s="8" t="s">
        <v>28</v>
      </c>
      <c r="N807" s="6" t="s">
        <v>2264</v>
      </c>
      <c r="O807" s="6" t="s">
        <v>30</v>
      </c>
      <c r="P807" s="2" t="s">
        <v>12187</v>
      </c>
    </row>
    <row r="808" spans="1:16" ht="13.15" x14ac:dyDescent="0.4">
      <c r="A808" s="2" t="s">
        <v>12038</v>
      </c>
      <c r="B808" s="2" t="s">
        <v>5885</v>
      </c>
      <c r="C808" s="6" t="s">
        <v>5879</v>
      </c>
      <c r="D808" s="6" t="s">
        <v>42</v>
      </c>
      <c r="E808" s="7">
        <v>44927</v>
      </c>
      <c r="F808" s="8" t="s">
        <v>77</v>
      </c>
      <c r="G808" s="2" t="s">
        <v>26</v>
      </c>
      <c r="H808" s="8" t="s">
        <v>28</v>
      </c>
      <c r="I808" s="2" t="s">
        <v>26</v>
      </c>
      <c r="J808" s="7">
        <v>44927</v>
      </c>
      <c r="K808" s="8" t="s">
        <v>77</v>
      </c>
      <c r="L808" s="2" t="s">
        <v>26</v>
      </c>
      <c r="M808" s="8" t="s">
        <v>28</v>
      </c>
      <c r="N808" s="6" t="s">
        <v>2264</v>
      </c>
      <c r="O808" s="6" t="s">
        <v>30</v>
      </c>
      <c r="P808" s="2" t="s">
        <v>12188</v>
      </c>
    </row>
    <row r="809" spans="1:16" ht="13.15" x14ac:dyDescent="0.4">
      <c r="A809" s="2" t="s">
        <v>11918</v>
      </c>
      <c r="B809" s="2" t="s">
        <v>5885</v>
      </c>
      <c r="C809" s="6" t="s">
        <v>5879</v>
      </c>
      <c r="D809" s="6" t="s">
        <v>42</v>
      </c>
      <c r="E809" s="7">
        <v>44927</v>
      </c>
      <c r="F809" s="8" t="s">
        <v>77</v>
      </c>
      <c r="G809" s="2" t="s">
        <v>26</v>
      </c>
      <c r="H809" s="8" t="s">
        <v>28</v>
      </c>
      <c r="I809" s="2" t="s">
        <v>26</v>
      </c>
      <c r="J809" s="7">
        <v>44927</v>
      </c>
      <c r="K809" s="8" t="s">
        <v>77</v>
      </c>
      <c r="L809" s="2" t="s">
        <v>26</v>
      </c>
      <c r="M809" s="8" t="s">
        <v>28</v>
      </c>
      <c r="N809" s="6" t="s">
        <v>2264</v>
      </c>
      <c r="O809" s="6" t="s">
        <v>30</v>
      </c>
      <c r="P809" s="2" t="s">
        <v>12189</v>
      </c>
    </row>
    <row r="810" spans="1:16" ht="13.15" x14ac:dyDescent="0.4">
      <c r="A810" s="2" t="s">
        <v>12048</v>
      </c>
      <c r="B810" s="2" t="s">
        <v>5885</v>
      </c>
      <c r="C810" s="6" t="s">
        <v>5879</v>
      </c>
      <c r="D810" s="6" t="s">
        <v>42</v>
      </c>
      <c r="E810" s="7">
        <v>44927</v>
      </c>
      <c r="F810" s="8" t="s">
        <v>77</v>
      </c>
      <c r="G810" s="2" t="s">
        <v>26</v>
      </c>
      <c r="H810" s="8" t="s">
        <v>28</v>
      </c>
      <c r="I810" s="2" t="s">
        <v>26</v>
      </c>
      <c r="J810" s="7">
        <v>44927</v>
      </c>
      <c r="K810" s="8" t="s">
        <v>77</v>
      </c>
      <c r="L810" s="2" t="s">
        <v>26</v>
      </c>
      <c r="M810" s="8" t="s">
        <v>28</v>
      </c>
      <c r="N810" s="6" t="s">
        <v>2264</v>
      </c>
      <c r="O810" s="6" t="s">
        <v>30</v>
      </c>
      <c r="P810" s="2" t="s">
        <v>12190</v>
      </c>
    </row>
    <row r="811" spans="1:16" ht="13.15" x14ac:dyDescent="0.4">
      <c r="A811" s="2" t="s">
        <v>12040</v>
      </c>
      <c r="B811" s="2" t="s">
        <v>5885</v>
      </c>
      <c r="C811" s="6" t="s">
        <v>5879</v>
      </c>
      <c r="D811" s="6" t="s">
        <v>42</v>
      </c>
      <c r="E811" s="7">
        <v>44927</v>
      </c>
      <c r="F811" s="8" t="s">
        <v>77</v>
      </c>
      <c r="G811" s="2" t="s">
        <v>26</v>
      </c>
      <c r="H811" s="8" t="s">
        <v>28</v>
      </c>
      <c r="I811" s="2" t="s">
        <v>26</v>
      </c>
      <c r="J811" s="7">
        <v>44927</v>
      </c>
      <c r="K811" s="8" t="s">
        <v>77</v>
      </c>
      <c r="L811" s="2" t="s">
        <v>26</v>
      </c>
      <c r="M811" s="8" t="s">
        <v>28</v>
      </c>
      <c r="N811" s="6" t="s">
        <v>2264</v>
      </c>
      <c r="O811" s="6" t="s">
        <v>30</v>
      </c>
      <c r="P811" s="2" t="s">
        <v>12191</v>
      </c>
    </row>
    <row r="812" spans="1:16" ht="13.15" x14ac:dyDescent="0.4">
      <c r="A812" s="2" t="s">
        <v>12026</v>
      </c>
      <c r="B812" s="2" t="s">
        <v>5885</v>
      </c>
      <c r="C812" s="6" t="s">
        <v>5879</v>
      </c>
      <c r="D812" s="6" t="s">
        <v>42</v>
      </c>
      <c r="E812" s="7">
        <v>44927</v>
      </c>
      <c r="F812" s="8" t="s">
        <v>77</v>
      </c>
      <c r="G812" s="2" t="s">
        <v>26</v>
      </c>
      <c r="H812" s="8" t="s">
        <v>28</v>
      </c>
      <c r="I812" s="2" t="s">
        <v>26</v>
      </c>
      <c r="J812" s="7">
        <v>44927</v>
      </c>
      <c r="K812" s="8" t="s">
        <v>77</v>
      </c>
      <c r="L812" s="2" t="s">
        <v>26</v>
      </c>
      <c r="M812" s="8" t="s">
        <v>28</v>
      </c>
      <c r="N812" s="6" t="s">
        <v>2264</v>
      </c>
      <c r="O812" s="6" t="s">
        <v>30</v>
      </c>
      <c r="P812" s="2" t="s">
        <v>12192</v>
      </c>
    </row>
    <row r="813" spans="1:16" ht="13.15" x14ac:dyDescent="0.4">
      <c r="A813" s="2" t="s">
        <v>11974</v>
      </c>
      <c r="B813" s="2" t="s">
        <v>5885</v>
      </c>
      <c r="C813" s="6" t="s">
        <v>5879</v>
      </c>
      <c r="D813" s="6" t="s">
        <v>42</v>
      </c>
      <c r="E813" s="7">
        <v>44927</v>
      </c>
      <c r="F813" s="8" t="s">
        <v>77</v>
      </c>
      <c r="G813" s="2" t="s">
        <v>26</v>
      </c>
      <c r="H813" s="8" t="s">
        <v>28</v>
      </c>
      <c r="I813" s="2" t="s">
        <v>26</v>
      </c>
      <c r="J813" s="7">
        <v>44927</v>
      </c>
      <c r="K813" s="8" t="s">
        <v>77</v>
      </c>
      <c r="L813" s="2" t="s">
        <v>26</v>
      </c>
      <c r="M813" s="8" t="s">
        <v>28</v>
      </c>
      <c r="N813" s="6" t="s">
        <v>2264</v>
      </c>
      <c r="O813" s="6" t="s">
        <v>30</v>
      </c>
      <c r="P813" s="2" t="s">
        <v>12193</v>
      </c>
    </row>
    <row r="814" spans="1:16" ht="13.15" x14ac:dyDescent="0.4">
      <c r="A814" s="2" t="s">
        <v>12069</v>
      </c>
      <c r="B814" s="2" t="s">
        <v>5885</v>
      </c>
      <c r="C814" s="6" t="s">
        <v>5879</v>
      </c>
      <c r="D814" s="6" t="s">
        <v>42</v>
      </c>
      <c r="E814" s="7">
        <v>44927</v>
      </c>
      <c r="F814" s="8" t="s">
        <v>77</v>
      </c>
      <c r="G814" s="2" t="s">
        <v>26</v>
      </c>
      <c r="H814" s="8" t="s">
        <v>28</v>
      </c>
      <c r="I814" s="2" t="s">
        <v>26</v>
      </c>
      <c r="J814" s="7">
        <v>44927</v>
      </c>
      <c r="K814" s="8" t="s">
        <v>77</v>
      </c>
      <c r="L814" s="2" t="s">
        <v>26</v>
      </c>
      <c r="M814" s="8" t="s">
        <v>28</v>
      </c>
      <c r="N814" s="6" t="s">
        <v>2264</v>
      </c>
      <c r="O814" s="6" t="s">
        <v>30</v>
      </c>
      <c r="P814" s="2" t="s">
        <v>12194</v>
      </c>
    </row>
    <row r="815" spans="1:16" ht="13.15" x14ac:dyDescent="0.4">
      <c r="A815" s="2" t="s">
        <v>11965</v>
      </c>
      <c r="B815" s="2" t="s">
        <v>5885</v>
      </c>
      <c r="C815" s="6" t="s">
        <v>5879</v>
      </c>
      <c r="D815" s="6" t="s">
        <v>42</v>
      </c>
      <c r="E815" s="7">
        <v>44927</v>
      </c>
      <c r="F815" s="8" t="s">
        <v>77</v>
      </c>
      <c r="G815" s="2" t="s">
        <v>26</v>
      </c>
      <c r="H815" s="8" t="s">
        <v>28</v>
      </c>
      <c r="I815" s="2" t="s">
        <v>26</v>
      </c>
      <c r="J815" s="7">
        <v>44927</v>
      </c>
      <c r="K815" s="8" t="s">
        <v>77</v>
      </c>
      <c r="L815" s="2" t="s">
        <v>26</v>
      </c>
      <c r="M815" s="8" t="s">
        <v>28</v>
      </c>
      <c r="N815" s="6" t="s">
        <v>2264</v>
      </c>
      <c r="O815" s="6" t="s">
        <v>30</v>
      </c>
      <c r="P815" s="2" t="s">
        <v>12195</v>
      </c>
    </row>
    <row r="816" spans="1:16" ht="13.15" x14ac:dyDescent="0.4">
      <c r="A816" s="2" t="s">
        <v>12054</v>
      </c>
      <c r="B816" s="2" t="s">
        <v>5885</v>
      </c>
      <c r="C816" s="6" t="s">
        <v>5879</v>
      </c>
      <c r="D816" s="6" t="s">
        <v>42</v>
      </c>
      <c r="E816" s="7">
        <v>44927</v>
      </c>
      <c r="F816" s="8" t="s">
        <v>77</v>
      </c>
      <c r="G816" s="2" t="s">
        <v>26</v>
      </c>
      <c r="H816" s="8" t="s">
        <v>28</v>
      </c>
      <c r="I816" s="2" t="s">
        <v>26</v>
      </c>
      <c r="J816" s="7">
        <v>44927</v>
      </c>
      <c r="K816" s="8" t="s">
        <v>77</v>
      </c>
      <c r="L816" s="2" t="s">
        <v>26</v>
      </c>
      <c r="M816" s="8" t="s">
        <v>28</v>
      </c>
      <c r="N816" s="6" t="s">
        <v>2264</v>
      </c>
      <c r="O816" s="6" t="s">
        <v>30</v>
      </c>
      <c r="P816" s="2" t="s">
        <v>12196</v>
      </c>
    </row>
    <row r="817" spans="1:16" ht="13.15" x14ac:dyDescent="0.4">
      <c r="A817" s="2" t="s">
        <v>12017</v>
      </c>
      <c r="B817" s="2" t="s">
        <v>5885</v>
      </c>
      <c r="C817" s="6" t="s">
        <v>5879</v>
      </c>
      <c r="D817" s="6" t="s">
        <v>42</v>
      </c>
      <c r="E817" s="7">
        <v>44927</v>
      </c>
      <c r="F817" s="8" t="s">
        <v>77</v>
      </c>
      <c r="G817" s="2" t="s">
        <v>26</v>
      </c>
      <c r="H817" s="8" t="s">
        <v>28</v>
      </c>
      <c r="I817" s="2" t="s">
        <v>26</v>
      </c>
      <c r="J817" s="7">
        <v>44927</v>
      </c>
      <c r="K817" s="8" t="s">
        <v>77</v>
      </c>
      <c r="L817" s="2" t="s">
        <v>26</v>
      </c>
      <c r="M817" s="8" t="s">
        <v>28</v>
      </c>
      <c r="N817" s="6" t="s">
        <v>2264</v>
      </c>
      <c r="O817" s="6" t="s">
        <v>30</v>
      </c>
      <c r="P817" s="2" t="s">
        <v>12197</v>
      </c>
    </row>
    <row r="818" spans="1:16" ht="13.15" x14ac:dyDescent="0.4">
      <c r="A818" s="2" t="s">
        <v>11947</v>
      </c>
      <c r="B818" s="2" t="s">
        <v>5885</v>
      </c>
      <c r="C818" s="6" t="s">
        <v>5879</v>
      </c>
      <c r="D818" s="6" t="s">
        <v>42</v>
      </c>
      <c r="E818" s="7">
        <v>44927</v>
      </c>
      <c r="F818" s="8" t="s">
        <v>77</v>
      </c>
      <c r="G818" s="2" t="s">
        <v>26</v>
      </c>
      <c r="H818" s="8" t="s">
        <v>28</v>
      </c>
      <c r="I818" s="2" t="s">
        <v>26</v>
      </c>
      <c r="J818" s="7">
        <v>44927</v>
      </c>
      <c r="K818" s="8" t="s">
        <v>77</v>
      </c>
      <c r="L818" s="2" t="s">
        <v>26</v>
      </c>
      <c r="M818" s="8" t="s">
        <v>28</v>
      </c>
      <c r="N818" s="6" t="s">
        <v>2264</v>
      </c>
      <c r="O818" s="6" t="s">
        <v>30</v>
      </c>
      <c r="P818" s="2" t="s">
        <v>12198</v>
      </c>
    </row>
    <row r="819" spans="1:16" ht="13.15" x14ac:dyDescent="0.4">
      <c r="A819" s="2" t="s">
        <v>12031</v>
      </c>
      <c r="B819" s="2" t="s">
        <v>5885</v>
      </c>
      <c r="C819" s="6" t="s">
        <v>5879</v>
      </c>
      <c r="D819" s="6" t="s">
        <v>42</v>
      </c>
      <c r="E819" s="7">
        <v>44927</v>
      </c>
      <c r="F819" s="8" t="s">
        <v>77</v>
      </c>
      <c r="G819" s="2" t="s">
        <v>26</v>
      </c>
      <c r="H819" s="8" t="s">
        <v>28</v>
      </c>
      <c r="I819" s="2" t="s">
        <v>26</v>
      </c>
      <c r="J819" s="7">
        <v>44927</v>
      </c>
      <c r="K819" s="8" t="s">
        <v>77</v>
      </c>
      <c r="L819" s="2" t="s">
        <v>26</v>
      </c>
      <c r="M819" s="8" t="s">
        <v>28</v>
      </c>
      <c r="N819" s="6" t="s">
        <v>2264</v>
      </c>
      <c r="O819" s="6" t="s">
        <v>30</v>
      </c>
      <c r="P819" s="2" t="s">
        <v>12199</v>
      </c>
    </row>
    <row r="820" spans="1:16" ht="13.15" x14ac:dyDescent="0.4">
      <c r="A820" s="2" t="s">
        <v>12047</v>
      </c>
      <c r="B820" s="2" t="s">
        <v>5885</v>
      </c>
      <c r="C820" s="6" t="s">
        <v>5879</v>
      </c>
      <c r="D820" s="6" t="s">
        <v>42</v>
      </c>
      <c r="E820" s="7">
        <v>44927</v>
      </c>
      <c r="F820" s="8" t="s">
        <v>77</v>
      </c>
      <c r="G820" s="2" t="s">
        <v>26</v>
      </c>
      <c r="H820" s="8" t="s">
        <v>28</v>
      </c>
      <c r="I820" s="2" t="s">
        <v>26</v>
      </c>
      <c r="J820" s="7">
        <v>44927</v>
      </c>
      <c r="K820" s="8" t="s">
        <v>77</v>
      </c>
      <c r="L820" s="2" t="s">
        <v>26</v>
      </c>
      <c r="M820" s="8" t="s">
        <v>28</v>
      </c>
      <c r="N820" s="6" t="s">
        <v>2264</v>
      </c>
      <c r="O820" s="6" t="s">
        <v>30</v>
      </c>
      <c r="P820" s="2" t="s">
        <v>12200</v>
      </c>
    </row>
    <row r="821" spans="1:16" ht="13.15" x14ac:dyDescent="0.4">
      <c r="A821" s="2" t="s">
        <v>11978</v>
      </c>
      <c r="B821" s="2" t="s">
        <v>5885</v>
      </c>
      <c r="C821" s="6" t="s">
        <v>5879</v>
      </c>
      <c r="D821" s="6" t="s">
        <v>42</v>
      </c>
      <c r="E821" s="7">
        <v>44927</v>
      </c>
      <c r="F821" s="8" t="s">
        <v>77</v>
      </c>
      <c r="G821" s="2" t="s">
        <v>26</v>
      </c>
      <c r="H821" s="8" t="s">
        <v>28</v>
      </c>
      <c r="I821" s="2" t="s">
        <v>26</v>
      </c>
      <c r="J821" s="7">
        <v>44927</v>
      </c>
      <c r="K821" s="8" t="s">
        <v>77</v>
      </c>
      <c r="L821" s="2" t="s">
        <v>26</v>
      </c>
      <c r="M821" s="8" t="s">
        <v>28</v>
      </c>
      <c r="N821" s="6" t="s">
        <v>2264</v>
      </c>
      <c r="O821" s="6" t="s">
        <v>30</v>
      </c>
      <c r="P821" s="2" t="s">
        <v>12201</v>
      </c>
    </row>
    <row r="822" spans="1:16" ht="13.15" x14ac:dyDescent="0.4">
      <c r="A822" s="2" t="s">
        <v>12018</v>
      </c>
      <c r="B822" s="2" t="s">
        <v>5885</v>
      </c>
      <c r="C822" s="6" t="s">
        <v>5879</v>
      </c>
      <c r="D822" s="6" t="s">
        <v>42</v>
      </c>
      <c r="E822" s="7">
        <v>44927</v>
      </c>
      <c r="F822" s="8" t="s">
        <v>77</v>
      </c>
      <c r="G822" s="2" t="s">
        <v>26</v>
      </c>
      <c r="H822" s="8" t="s">
        <v>28</v>
      </c>
      <c r="I822" s="2" t="s">
        <v>26</v>
      </c>
      <c r="J822" s="7">
        <v>44927</v>
      </c>
      <c r="K822" s="8" t="s">
        <v>77</v>
      </c>
      <c r="L822" s="2" t="s">
        <v>26</v>
      </c>
      <c r="M822" s="8" t="s">
        <v>28</v>
      </c>
      <c r="N822" s="6" t="s">
        <v>2264</v>
      </c>
      <c r="O822" s="6" t="s">
        <v>30</v>
      </c>
      <c r="P822" s="2" t="s">
        <v>12202</v>
      </c>
    </row>
    <row r="823" spans="1:16" ht="13.15" x14ac:dyDescent="0.4">
      <c r="A823" s="2" t="s">
        <v>12042</v>
      </c>
      <c r="B823" s="2" t="s">
        <v>5885</v>
      </c>
      <c r="C823" s="6" t="s">
        <v>5879</v>
      </c>
      <c r="D823" s="6" t="s">
        <v>42</v>
      </c>
      <c r="E823" s="7">
        <v>44927</v>
      </c>
      <c r="F823" s="8" t="s">
        <v>77</v>
      </c>
      <c r="G823" s="2" t="s">
        <v>26</v>
      </c>
      <c r="H823" s="8" t="s">
        <v>28</v>
      </c>
      <c r="I823" s="2" t="s">
        <v>26</v>
      </c>
      <c r="J823" s="7">
        <v>44927</v>
      </c>
      <c r="K823" s="8" t="s">
        <v>77</v>
      </c>
      <c r="L823" s="2" t="s">
        <v>26</v>
      </c>
      <c r="M823" s="8" t="s">
        <v>28</v>
      </c>
      <c r="N823" s="6" t="s">
        <v>2264</v>
      </c>
      <c r="O823" s="6" t="s">
        <v>30</v>
      </c>
      <c r="P823" s="2" t="s">
        <v>12203</v>
      </c>
    </row>
    <row r="824" spans="1:16" ht="13.15" x14ac:dyDescent="0.4">
      <c r="A824" s="2" t="s">
        <v>11910</v>
      </c>
      <c r="B824" s="2" t="s">
        <v>5885</v>
      </c>
      <c r="C824" s="6" t="s">
        <v>5879</v>
      </c>
      <c r="D824" s="6" t="s">
        <v>42</v>
      </c>
      <c r="E824" s="7">
        <v>44927</v>
      </c>
      <c r="F824" s="8" t="s">
        <v>77</v>
      </c>
      <c r="G824" s="2" t="s">
        <v>26</v>
      </c>
      <c r="H824" s="8" t="s">
        <v>28</v>
      </c>
      <c r="I824" s="2" t="s">
        <v>26</v>
      </c>
      <c r="J824" s="7">
        <v>44927</v>
      </c>
      <c r="K824" s="8" t="s">
        <v>77</v>
      </c>
      <c r="L824" s="2" t="s">
        <v>26</v>
      </c>
      <c r="M824" s="8" t="s">
        <v>28</v>
      </c>
      <c r="N824" s="6" t="s">
        <v>2264</v>
      </c>
      <c r="O824" s="6" t="s">
        <v>30</v>
      </c>
      <c r="P824" s="2" t="s">
        <v>12204</v>
      </c>
    </row>
    <row r="825" spans="1:16" ht="13.15" x14ac:dyDescent="0.4">
      <c r="A825" s="2" t="s">
        <v>11911</v>
      </c>
      <c r="B825" s="2" t="s">
        <v>5885</v>
      </c>
      <c r="C825" s="6" t="s">
        <v>5879</v>
      </c>
      <c r="D825" s="6" t="s">
        <v>42</v>
      </c>
      <c r="E825" s="7">
        <v>44927</v>
      </c>
      <c r="F825" s="8" t="s">
        <v>77</v>
      </c>
      <c r="G825" s="2" t="s">
        <v>26</v>
      </c>
      <c r="H825" s="8" t="s">
        <v>28</v>
      </c>
      <c r="I825" s="2" t="s">
        <v>26</v>
      </c>
      <c r="J825" s="7">
        <v>44927</v>
      </c>
      <c r="K825" s="8" t="s">
        <v>77</v>
      </c>
      <c r="L825" s="2" t="s">
        <v>26</v>
      </c>
      <c r="M825" s="8" t="s">
        <v>28</v>
      </c>
      <c r="N825" s="6" t="s">
        <v>2264</v>
      </c>
      <c r="O825" s="6" t="s">
        <v>30</v>
      </c>
      <c r="P825" s="2" t="s">
        <v>12205</v>
      </c>
    </row>
    <row r="826" spans="1:16" ht="13.15" x14ac:dyDescent="0.4">
      <c r="A826" s="2" t="s">
        <v>12051</v>
      </c>
      <c r="B826" s="2" t="s">
        <v>5885</v>
      </c>
      <c r="C826" s="6" t="s">
        <v>5879</v>
      </c>
      <c r="D826" s="6" t="s">
        <v>42</v>
      </c>
      <c r="E826" s="7">
        <v>44927</v>
      </c>
      <c r="F826" s="8" t="s">
        <v>77</v>
      </c>
      <c r="G826" s="2" t="s">
        <v>26</v>
      </c>
      <c r="H826" s="8" t="s">
        <v>28</v>
      </c>
      <c r="I826" s="2" t="s">
        <v>26</v>
      </c>
      <c r="J826" s="7">
        <v>44927</v>
      </c>
      <c r="K826" s="8" t="s">
        <v>77</v>
      </c>
      <c r="L826" s="2" t="s">
        <v>26</v>
      </c>
      <c r="M826" s="8" t="s">
        <v>28</v>
      </c>
      <c r="N826" s="6" t="s">
        <v>2264</v>
      </c>
      <c r="O826" s="6" t="s">
        <v>30</v>
      </c>
      <c r="P826" s="2" t="s">
        <v>12206</v>
      </c>
    </row>
    <row r="827" spans="1:16" ht="13.15" x14ac:dyDescent="0.4">
      <c r="A827" s="2" t="s">
        <v>11921</v>
      </c>
      <c r="B827" s="2" t="s">
        <v>5885</v>
      </c>
      <c r="C827" s="6" t="s">
        <v>5879</v>
      </c>
      <c r="D827" s="6" t="s">
        <v>42</v>
      </c>
      <c r="E827" s="7">
        <v>44927</v>
      </c>
      <c r="F827" s="8" t="s">
        <v>77</v>
      </c>
      <c r="G827" s="2" t="s">
        <v>26</v>
      </c>
      <c r="H827" s="8" t="s">
        <v>28</v>
      </c>
      <c r="I827" s="2" t="s">
        <v>26</v>
      </c>
      <c r="J827" s="7">
        <v>44927</v>
      </c>
      <c r="K827" s="8" t="s">
        <v>77</v>
      </c>
      <c r="L827" s="2" t="s">
        <v>26</v>
      </c>
      <c r="M827" s="8" t="s">
        <v>28</v>
      </c>
      <c r="N827" s="6" t="s">
        <v>2264</v>
      </c>
      <c r="O827" s="6" t="s">
        <v>30</v>
      </c>
      <c r="P827" s="2" t="s">
        <v>12207</v>
      </c>
    </row>
    <row r="828" spans="1:16" ht="13.15" x14ac:dyDescent="0.4">
      <c r="A828" s="2" t="s">
        <v>11962</v>
      </c>
      <c r="B828" s="2" t="s">
        <v>5885</v>
      </c>
      <c r="C828" s="6" t="s">
        <v>5879</v>
      </c>
      <c r="D828" s="6" t="s">
        <v>42</v>
      </c>
      <c r="E828" s="7">
        <v>44927</v>
      </c>
      <c r="F828" s="8" t="s">
        <v>77</v>
      </c>
      <c r="G828" s="2" t="s">
        <v>26</v>
      </c>
      <c r="H828" s="8" t="s">
        <v>28</v>
      </c>
      <c r="I828" s="2" t="s">
        <v>26</v>
      </c>
      <c r="J828" s="7">
        <v>44927</v>
      </c>
      <c r="K828" s="8" t="s">
        <v>77</v>
      </c>
      <c r="L828" s="2" t="s">
        <v>26</v>
      </c>
      <c r="M828" s="8" t="s">
        <v>28</v>
      </c>
      <c r="N828" s="6" t="s">
        <v>2264</v>
      </c>
      <c r="O828" s="6" t="s">
        <v>30</v>
      </c>
      <c r="P828" s="2" t="s">
        <v>12208</v>
      </c>
    </row>
    <row r="829" spans="1:16" ht="13.15" x14ac:dyDescent="0.4">
      <c r="A829" s="2" t="s">
        <v>11967</v>
      </c>
      <c r="B829" s="2" t="s">
        <v>5885</v>
      </c>
      <c r="C829" s="6" t="s">
        <v>5879</v>
      </c>
      <c r="D829" s="6" t="s">
        <v>42</v>
      </c>
      <c r="E829" s="7">
        <v>44927</v>
      </c>
      <c r="F829" s="8" t="s">
        <v>77</v>
      </c>
      <c r="G829" s="2" t="s">
        <v>26</v>
      </c>
      <c r="H829" s="8" t="s">
        <v>28</v>
      </c>
      <c r="I829" s="2" t="s">
        <v>26</v>
      </c>
      <c r="J829" s="7">
        <v>44927</v>
      </c>
      <c r="K829" s="8" t="s">
        <v>77</v>
      </c>
      <c r="L829" s="2" t="s">
        <v>26</v>
      </c>
      <c r="M829" s="8" t="s">
        <v>28</v>
      </c>
      <c r="N829" s="6" t="s">
        <v>2264</v>
      </c>
      <c r="O829" s="6" t="s">
        <v>30</v>
      </c>
      <c r="P829" s="2" t="s">
        <v>12209</v>
      </c>
    </row>
    <row r="830" spans="1:16" ht="13.15" x14ac:dyDescent="0.4">
      <c r="A830" s="2" t="s">
        <v>12019</v>
      </c>
      <c r="B830" s="2" t="s">
        <v>5885</v>
      </c>
      <c r="C830" s="6" t="s">
        <v>5879</v>
      </c>
      <c r="D830" s="6" t="s">
        <v>42</v>
      </c>
      <c r="E830" s="7">
        <v>44927</v>
      </c>
      <c r="F830" s="8" t="s">
        <v>77</v>
      </c>
      <c r="G830" s="2" t="s">
        <v>26</v>
      </c>
      <c r="H830" s="8" t="s">
        <v>28</v>
      </c>
      <c r="I830" s="2" t="s">
        <v>26</v>
      </c>
      <c r="J830" s="7">
        <v>44927</v>
      </c>
      <c r="K830" s="8" t="s">
        <v>77</v>
      </c>
      <c r="L830" s="2" t="s">
        <v>26</v>
      </c>
      <c r="M830" s="8" t="s">
        <v>28</v>
      </c>
      <c r="N830" s="6" t="s">
        <v>2264</v>
      </c>
      <c r="O830" s="6" t="s">
        <v>30</v>
      </c>
      <c r="P830" s="2" t="s">
        <v>12210</v>
      </c>
    </row>
    <row r="831" spans="1:16" ht="13.15" x14ac:dyDescent="0.4">
      <c r="A831" s="2" t="s">
        <v>980</v>
      </c>
      <c r="B831" s="2" t="s">
        <v>5885</v>
      </c>
      <c r="C831" s="6" t="s">
        <v>5879</v>
      </c>
      <c r="D831" s="6" t="s">
        <v>42</v>
      </c>
      <c r="E831" s="7">
        <v>44927</v>
      </c>
      <c r="F831" s="8" t="s">
        <v>77</v>
      </c>
      <c r="G831" s="2" t="s">
        <v>26</v>
      </c>
      <c r="H831" s="8" t="s">
        <v>28</v>
      </c>
      <c r="I831" s="2" t="s">
        <v>26</v>
      </c>
      <c r="J831" s="7">
        <v>44927</v>
      </c>
      <c r="K831" s="8" t="s">
        <v>77</v>
      </c>
      <c r="L831" s="2" t="s">
        <v>26</v>
      </c>
      <c r="M831" s="8" t="s">
        <v>28</v>
      </c>
      <c r="N831" s="6" t="s">
        <v>2264</v>
      </c>
      <c r="O831" s="6" t="s">
        <v>30</v>
      </c>
      <c r="P831" s="2" t="s">
        <v>12211</v>
      </c>
    </row>
    <row r="832" spans="1:16" ht="13.15" x14ac:dyDescent="0.4">
      <c r="A832" s="2" t="s">
        <v>11913</v>
      </c>
      <c r="B832" s="2" t="s">
        <v>5885</v>
      </c>
      <c r="C832" s="6" t="s">
        <v>5879</v>
      </c>
      <c r="D832" s="6" t="s">
        <v>42</v>
      </c>
      <c r="E832" s="7">
        <v>44927</v>
      </c>
      <c r="F832" s="8" t="s">
        <v>77</v>
      </c>
      <c r="G832" s="2" t="s">
        <v>26</v>
      </c>
      <c r="H832" s="8" t="s">
        <v>28</v>
      </c>
      <c r="I832" s="2" t="s">
        <v>26</v>
      </c>
      <c r="J832" s="7">
        <v>44927</v>
      </c>
      <c r="K832" s="8" t="s">
        <v>77</v>
      </c>
      <c r="L832" s="2" t="s">
        <v>26</v>
      </c>
      <c r="M832" s="8" t="s">
        <v>28</v>
      </c>
      <c r="N832" s="6" t="s">
        <v>2264</v>
      </c>
      <c r="O832" s="6" t="s">
        <v>30</v>
      </c>
      <c r="P832" s="2" t="s">
        <v>12212</v>
      </c>
    </row>
    <row r="833" spans="1:16" ht="13.15" x14ac:dyDescent="0.4">
      <c r="A833" s="2" t="s">
        <v>11992</v>
      </c>
      <c r="B833" s="2" t="s">
        <v>5885</v>
      </c>
      <c r="C833" s="6" t="s">
        <v>5879</v>
      </c>
      <c r="D833" s="6" t="s">
        <v>42</v>
      </c>
      <c r="E833" s="7">
        <v>44927</v>
      </c>
      <c r="F833" s="8" t="s">
        <v>77</v>
      </c>
      <c r="G833" s="2" t="s">
        <v>26</v>
      </c>
      <c r="H833" s="8" t="s">
        <v>28</v>
      </c>
      <c r="I833" s="2" t="s">
        <v>26</v>
      </c>
      <c r="J833" s="7">
        <v>44927</v>
      </c>
      <c r="K833" s="8" t="s">
        <v>77</v>
      </c>
      <c r="L833" s="2" t="s">
        <v>26</v>
      </c>
      <c r="M833" s="8" t="s">
        <v>28</v>
      </c>
      <c r="N833" s="6" t="s">
        <v>2264</v>
      </c>
      <c r="O833" s="6" t="s">
        <v>30</v>
      </c>
      <c r="P833" s="2" t="s">
        <v>12213</v>
      </c>
    </row>
    <row r="834" spans="1:16" ht="13.15" x14ac:dyDescent="0.4">
      <c r="A834" s="2" t="s">
        <v>12014</v>
      </c>
      <c r="B834" s="2" t="s">
        <v>5885</v>
      </c>
      <c r="C834" s="6" t="s">
        <v>5879</v>
      </c>
      <c r="D834" s="6" t="s">
        <v>42</v>
      </c>
      <c r="E834" s="7">
        <v>44927</v>
      </c>
      <c r="F834" s="8" t="s">
        <v>77</v>
      </c>
      <c r="G834" s="2" t="s">
        <v>26</v>
      </c>
      <c r="H834" s="8" t="s">
        <v>28</v>
      </c>
      <c r="I834" s="2" t="s">
        <v>26</v>
      </c>
      <c r="J834" s="7">
        <v>44927</v>
      </c>
      <c r="K834" s="8" t="s">
        <v>77</v>
      </c>
      <c r="L834" s="2" t="s">
        <v>26</v>
      </c>
      <c r="M834" s="8" t="s">
        <v>28</v>
      </c>
      <c r="N834" s="6" t="s">
        <v>2264</v>
      </c>
      <c r="O834" s="6" t="s">
        <v>30</v>
      </c>
      <c r="P834" s="2" t="s">
        <v>12214</v>
      </c>
    </row>
    <row r="835" spans="1:16" ht="13.15" x14ac:dyDescent="0.4">
      <c r="A835" s="2" t="s">
        <v>11926</v>
      </c>
      <c r="B835" s="2" t="s">
        <v>5885</v>
      </c>
      <c r="C835" s="6" t="s">
        <v>5879</v>
      </c>
      <c r="D835" s="6" t="s">
        <v>42</v>
      </c>
      <c r="E835" s="7">
        <v>44927</v>
      </c>
      <c r="F835" s="8" t="s">
        <v>77</v>
      </c>
      <c r="G835" s="2" t="s">
        <v>26</v>
      </c>
      <c r="H835" s="8" t="s">
        <v>28</v>
      </c>
      <c r="I835" s="2" t="s">
        <v>26</v>
      </c>
      <c r="J835" s="7">
        <v>44927</v>
      </c>
      <c r="K835" s="8" t="s">
        <v>77</v>
      </c>
      <c r="L835" s="2" t="s">
        <v>26</v>
      </c>
      <c r="M835" s="8" t="s">
        <v>28</v>
      </c>
      <c r="N835" s="6" t="s">
        <v>2264</v>
      </c>
      <c r="O835" s="6" t="s">
        <v>30</v>
      </c>
      <c r="P835" s="2" t="s">
        <v>12215</v>
      </c>
    </row>
    <row r="836" spans="1:16" ht="13.15" x14ac:dyDescent="0.4">
      <c r="A836" s="2" t="s">
        <v>11885</v>
      </c>
      <c r="B836" s="2" t="s">
        <v>5885</v>
      </c>
      <c r="C836" s="6" t="s">
        <v>5879</v>
      </c>
      <c r="D836" s="6" t="s">
        <v>42</v>
      </c>
      <c r="E836" s="7">
        <v>44927</v>
      </c>
      <c r="F836" s="8" t="s">
        <v>77</v>
      </c>
      <c r="G836" s="2" t="s">
        <v>26</v>
      </c>
      <c r="H836" s="8" t="s">
        <v>28</v>
      </c>
      <c r="I836" s="2" t="s">
        <v>26</v>
      </c>
      <c r="J836" s="7">
        <v>44927</v>
      </c>
      <c r="K836" s="8" t="s">
        <v>77</v>
      </c>
      <c r="L836" s="2" t="s">
        <v>26</v>
      </c>
      <c r="M836" s="8" t="s">
        <v>28</v>
      </c>
      <c r="N836" s="6" t="s">
        <v>2264</v>
      </c>
      <c r="O836" s="6" t="s">
        <v>30</v>
      </c>
      <c r="P836" s="2" t="s">
        <v>12216</v>
      </c>
    </row>
    <row r="837" spans="1:16" ht="13.15" x14ac:dyDescent="0.4">
      <c r="A837" s="2" t="s">
        <v>11961</v>
      </c>
      <c r="B837" s="2" t="s">
        <v>5885</v>
      </c>
      <c r="C837" s="6" t="s">
        <v>5879</v>
      </c>
      <c r="D837" s="6" t="s">
        <v>42</v>
      </c>
      <c r="E837" s="7">
        <v>44927</v>
      </c>
      <c r="F837" s="8" t="s">
        <v>77</v>
      </c>
      <c r="G837" s="2" t="s">
        <v>26</v>
      </c>
      <c r="H837" s="8" t="s">
        <v>28</v>
      </c>
      <c r="I837" s="2" t="s">
        <v>26</v>
      </c>
      <c r="J837" s="7">
        <v>44927</v>
      </c>
      <c r="K837" s="8" t="s">
        <v>77</v>
      </c>
      <c r="L837" s="2" t="s">
        <v>26</v>
      </c>
      <c r="M837" s="8" t="s">
        <v>28</v>
      </c>
      <c r="N837" s="6" t="s">
        <v>2264</v>
      </c>
      <c r="O837" s="6" t="s">
        <v>30</v>
      </c>
      <c r="P837" s="2" t="s">
        <v>12217</v>
      </c>
    </row>
    <row r="838" spans="1:16" ht="13.15" x14ac:dyDescent="0.4">
      <c r="A838" s="2" t="s">
        <v>11901</v>
      </c>
      <c r="B838" s="2" t="s">
        <v>5885</v>
      </c>
      <c r="C838" s="6" t="s">
        <v>5879</v>
      </c>
      <c r="D838" s="6" t="s">
        <v>42</v>
      </c>
      <c r="E838" s="7">
        <v>44927</v>
      </c>
      <c r="F838" s="8" t="s">
        <v>77</v>
      </c>
      <c r="G838" s="2" t="s">
        <v>26</v>
      </c>
      <c r="H838" s="8" t="s">
        <v>28</v>
      </c>
      <c r="I838" s="2" t="s">
        <v>26</v>
      </c>
      <c r="J838" s="7">
        <v>44927</v>
      </c>
      <c r="K838" s="8" t="s">
        <v>77</v>
      </c>
      <c r="L838" s="2" t="s">
        <v>26</v>
      </c>
      <c r="M838" s="8" t="s">
        <v>28</v>
      </c>
      <c r="N838" s="6" t="s">
        <v>2264</v>
      </c>
      <c r="O838" s="6" t="s">
        <v>30</v>
      </c>
      <c r="P838" s="2" t="s">
        <v>12218</v>
      </c>
    </row>
    <row r="839" spans="1:16" ht="13.15" x14ac:dyDescent="0.4">
      <c r="A839" s="2" t="s">
        <v>12053</v>
      </c>
      <c r="B839" s="2" t="s">
        <v>5885</v>
      </c>
      <c r="C839" s="6" t="s">
        <v>5879</v>
      </c>
      <c r="D839" s="6" t="s">
        <v>42</v>
      </c>
      <c r="E839" s="7">
        <v>44927</v>
      </c>
      <c r="F839" s="8" t="s">
        <v>77</v>
      </c>
      <c r="G839" s="2" t="s">
        <v>26</v>
      </c>
      <c r="H839" s="8" t="s">
        <v>28</v>
      </c>
      <c r="I839" s="2" t="s">
        <v>26</v>
      </c>
      <c r="J839" s="7">
        <v>44927</v>
      </c>
      <c r="K839" s="8" t="s">
        <v>77</v>
      </c>
      <c r="L839" s="2" t="s">
        <v>26</v>
      </c>
      <c r="M839" s="8" t="s">
        <v>28</v>
      </c>
      <c r="N839" s="6" t="s">
        <v>2264</v>
      </c>
      <c r="O839" s="6" t="s">
        <v>30</v>
      </c>
      <c r="P839" s="2" t="s">
        <v>12219</v>
      </c>
    </row>
    <row r="840" spans="1:16" ht="13.15" x14ac:dyDescent="0.4">
      <c r="A840" s="2" t="s">
        <v>12039</v>
      </c>
      <c r="B840" s="2" t="s">
        <v>5885</v>
      </c>
      <c r="C840" s="6" t="s">
        <v>5879</v>
      </c>
      <c r="D840" s="6" t="s">
        <v>42</v>
      </c>
      <c r="E840" s="7">
        <v>44927</v>
      </c>
      <c r="F840" s="8" t="s">
        <v>77</v>
      </c>
      <c r="G840" s="2" t="s">
        <v>26</v>
      </c>
      <c r="H840" s="8" t="s">
        <v>28</v>
      </c>
      <c r="I840" s="2" t="s">
        <v>26</v>
      </c>
      <c r="J840" s="7">
        <v>44927</v>
      </c>
      <c r="K840" s="8" t="s">
        <v>77</v>
      </c>
      <c r="L840" s="2" t="s">
        <v>26</v>
      </c>
      <c r="M840" s="8" t="s">
        <v>28</v>
      </c>
      <c r="N840" s="6" t="s">
        <v>2264</v>
      </c>
      <c r="O840" s="6" t="s">
        <v>30</v>
      </c>
      <c r="P840" s="2" t="s">
        <v>12220</v>
      </c>
    </row>
    <row r="841" spans="1:16" ht="13.15" x14ac:dyDescent="0.4">
      <c r="A841" s="2" t="s">
        <v>11897</v>
      </c>
      <c r="B841" s="2" t="s">
        <v>5885</v>
      </c>
      <c r="C841" s="6" t="s">
        <v>5879</v>
      </c>
      <c r="D841" s="6" t="s">
        <v>42</v>
      </c>
      <c r="E841" s="7">
        <v>44927</v>
      </c>
      <c r="F841" s="8" t="s">
        <v>77</v>
      </c>
      <c r="G841" s="2" t="s">
        <v>26</v>
      </c>
      <c r="H841" s="8" t="s">
        <v>28</v>
      </c>
      <c r="I841" s="2" t="s">
        <v>26</v>
      </c>
      <c r="J841" s="7">
        <v>44927</v>
      </c>
      <c r="K841" s="8" t="s">
        <v>77</v>
      </c>
      <c r="L841" s="2" t="s">
        <v>26</v>
      </c>
      <c r="M841" s="8" t="s">
        <v>28</v>
      </c>
      <c r="N841" s="6" t="s">
        <v>2264</v>
      </c>
      <c r="O841" s="6" t="s">
        <v>30</v>
      </c>
      <c r="P841" s="2" t="s">
        <v>12221</v>
      </c>
    </row>
    <row r="842" spans="1:16" ht="13.15" x14ac:dyDescent="0.4">
      <c r="A842" s="2" t="s">
        <v>1057</v>
      </c>
      <c r="B842" s="2" t="s">
        <v>5885</v>
      </c>
      <c r="C842" s="6" t="s">
        <v>5879</v>
      </c>
      <c r="D842" s="6" t="s">
        <v>42</v>
      </c>
      <c r="E842" s="7">
        <v>44927</v>
      </c>
      <c r="F842" s="8" t="s">
        <v>77</v>
      </c>
      <c r="G842" s="2" t="s">
        <v>26</v>
      </c>
      <c r="H842" s="8" t="s">
        <v>28</v>
      </c>
      <c r="I842" s="2" t="s">
        <v>26</v>
      </c>
      <c r="J842" s="7">
        <v>44927</v>
      </c>
      <c r="K842" s="8" t="s">
        <v>77</v>
      </c>
      <c r="L842" s="2" t="s">
        <v>26</v>
      </c>
      <c r="M842" s="8" t="s">
        <v>28</v>
      </c>
      <c r="N842" s="6" t="s">
        <v>2264</v>
      </c>
      <c r="O842" s="6" t="s">
        <v>30</v>
      </c>
      <c r="P842" s="2" t="s">
        <v>12222</v>
      </c>
    </row>
    <row r="843" spans="1:16" ht="13.15" x14ac:dyDescent="0.4">
      <c r="A843" s="2" t="s">
        <v>11909</v>
      </c>
      <c r="B843" s="2" t="s">
        <v>5885</v>
      </c>
      <c r="C843" s="6" t="s">
        <v>5879</v>
      </c>
      <c r="D843" s="6" t="s">
        <v>42</v>
      </c>
      <c r="E843" s="7">
        <v>44927</v>
      </c>
      <c r="F843" s="8" t="s">
        <v>77</v>
      </c>
      <c r="G843" s="2" t="s">
        <v>26</v>
      </c>
      <c r="H843" s="8" t="s">
        <v>28</v>
      </c>
      <c r="I843" s="2" t="s">
        <v>26</v>
      </c>
      <c r="J843" s="7">
        <v>44927</v>
      </c>
      <c r="K843" s="8" t="s">
        <v>77</v>
      </c>
      <c r="L843" s="2" t="s">
        <v>26</v>
      </c>
      <c r="M843" s="8" t="s">
        <v>28</v>
      </c>
      <c r="N843" s="6" t="s">
        <v>2264</v>
      </c>
      <c r="O843" s="6" t="s">
        <v>30</v>
      </c>
      <c r="P843" s="2" t="s">
        <v>12223</v>
      </c>
    </row>
    <row r="844" spans="1:16" ht="13.15" x14ac:dyDescent="0.4">
      <c r="A844" s="2" t="s">
        <v>11902</v>
      </c>
      <c r="B844" s="2" t="s">
        <v>5885</v>
      </c>
      <c r="C844" s="6" t="s">
        <v>5879</v>
      </c>
      <c r="D844" s="6" t="s">
        <v>42</v>
      </c>
      <c r="E844" s="7">
        <v>44927</v>
      </c>
      <c r="F844" s="8" t="s">
        <v>77</v>
      </c>
      <c r="G844" s="2" t="s">
        <v>26</v>
      </c>
      <c r="H844" s="8" t="s">
        <v>28</v>
      </c>
      <c r="I844" s="2" t="s">
        <v>26</v>
      </c>
      <c r="J844" s="7">
        <v>44927</v>
      </c>
      <c r="K844" s="8" t="s">
        <v>77</v>
      </c>
      <c r="L844" s="2" t="s">
        <v>26</v>
      </c>
      <c r="M844" s="8" t="s">
        <v>28</v>
      </c>
      <c r="N844" s="6" t="s">
        <v>2264</v>
      </c>
      <c r="O844" s="6" t="s">
        <v>30</v>
      </c>
      <c r="P844" s="2" t="s">
        <v>12224</v>
      </c>
    </row>
    <row r="845" spans="1:16" ht="13.15" x14ac:dyDescent="0.4">
      <c r="A845" s="2" t="s">
        <v>11903</v>
      </c>
      <c r="B845" s="2" t="s">
        <v>5885</v>
      </c>
      <c r="C845" s="6" t="s">
        <v>5879</v>
      </c>
      <c r="D845" s="6" t="s">
        <v>42</v>
      </c>
      <c r="E845" s="7">
        <v>44927</v>
      </c>
      <c r="F845" s="8" t="s">
        <v>77</v>
      </c>
      <c r="G845" s="2" t="s">
        <v>26</v>
      </c>
      <c r="H845" s="8" t="s">
        <v>28</v>
      </c>
      <c r="I845" s="2" t="s">
        <v>26</v>
      </c>
      <c r="J845" s="7">
        <v>44927</v>
      </c>
      <c r="K845" s="8" t="s">
        <v>77</v>
      </c>
      <c r="L845" s="2" t="s">
        <v>26</v>
      </c>
      <c r="M845" s="8" t="s">
        <v>28</v>
      </c>
      <c r="N845" s="6" t="s">
        <v>2264</v>
      </c>
      <c r="O845" s="6" t="s">
        <v>30</v>
      </c>
      <c r="P845" s="2" t="s">
        <v>12225</v>
      </c>
    </row>
    <row r="846" spans="1:16" ht="13.15" x14ac:dyDescent="0.4">
      <c r="A846" s="2" t="s">
        <v>12041</v>
      </c>
      <c r="B846" s="2" t="s">
        <v>5885</v>
      </c>
      <c r="C846" s="6" t="s">
        <v>5879</v>
      </c>
      <c r="D846" s="6" t="s">
        <v>42</v>
      </c>
      <c r="E846" s="7">
        <v>44927</v>
      </c>
      <c r="F846" s="8" t="s">
        <v>77</v>
      </c>
      <c r="G846" s="2" t="s">
        <v>26</v>
      </c>
      <c r="H846" s="8" t="s">
        <v>28</v>
      </c>
      <c r="I846" s="2" t="s">
        <v>26</v>
      </c>
      <c r="J846" s="7">
        <v>44927</v>
      </c>
      <c r="K846" s="8" t="s">
        <v>77</v>
      </c>
      <c r="L846" s="2" t="s">
        <v>26</v>
      </c>
      <c r="M846" s="8" t="s">
        <v>28</v>
      </c>
      <c r="N846" s="6" t="s">
        <v>2264</v>
      </c>
      <c r="O846" s="6" t="s">
        <v>30</v>
      </c>
      <c r="P846" s="2" t="s">
        <v>12226</v>
      </c>
    </row>
    <row r="847" spans="1:16" ht="13.15" x14ac:dyDescent="0.4">
      <c r="A847" s="2" t="s">
        <v>12021</v>
      </c>
      <c r="B847" s="2" t="s">
        <v>5885</v>
      </c>
      <c r="C847" s="6" t="s">
        <v>5879</v>
      </c>
      <c r="D847" s="6" t="s">
        <v>42</v>
      </c>
      <c r="E847" s="7">
        <v>44927</v>
      </c>
      <c r="F847" s="8" t="s">
        <v>77</v>
      </c>
      <c r="G847" s="2" t="s">
        <v>26</v>
      </c>
      <c r="H847" s="8" t="s">
        <v>28</v>
      </c>
      <c r="I847" s="2" t="s">
        <v>26</v>
      </c>
      <c r="J847" s="7">
        <v>44927</v>
      </c>
      <c r="K847" s="8" t="s">
        <v>77</v>
      </c>
      <c r="L847" s="2" t="s">
        <v>26</v>
      </c>
      <c r="M847" s="8" t="s">
        <v>28</v>
      </c>
      <c r="N847" s="6" t="s">
        <v>2264</v>
      </c>
      <c r="O847" s="6" t="s">
        <v>30</v>
      </c>
      <c r="P847" s="2" t="s">
        <v>12227</v>
      </c>
    </row>
    <row r="848" spans="1:16" ht="13.15" x14ac:dyDescent="0.4">
      <c r="A848" s="2" t="s">
        <v>12035</v>
      </c>
      <c r="B848" s="2" t="s">
        <v>5885</v>
      </c>
      <c r="C848" s="6" t="s">
        <v>5879</v>
      </c>
      <c r="D848" s="6" t="s">
        <v>42</v>
      </c>
      <c r="E848" s="7">
        <v>44927</v>
      </c>
      <c r="F848" s="8" t="s">
        <v>77</v>
      </c>
      <c r="G848" s="2" t="s">
        <v>26</v>
      </c>
      <c r="H848" s="8" t="s">
        <v>28</v>
      </c>
      <c r="I848" s="2" t="s">
        <v>26</v>
      </c>
      <c r="J848" s="7">
        <v>44927</v>
      </c>
      <c r="K848" s="8" t="s">
        <v>77</v>
      </c>
      <c r="L848" s="2" t="s">
        <v>26</v>
      </c>
      <c r="M848" s="8" t="s">
        <v>28</v>
      </c>
      <c r="N848" s="6" t="s">
        <v>2264</v>
      </c>
      <c r="O848" s="6" t="s">
        <v>30</v>
      </c>
      <c r="P848" s="2" t="s">
        <v>12228</v>
      </c>
    </row>
    <row r="849" spans="1:16" ht="13.15" x14ac:dyDescent="0.4">
      <c r="A849" s="2" t="s">
        <v>12067</v>
      </c>
      <c r="B849" s="2" t="s">
        <v>5885</v>
      </c>
      <c r="C849" s="6" t="s">
        <v>5879</v>
      </c>
      <c r="D849" s="6" t="s">
        <v>42</v>
      </c>
      <c r="E849" s="7">
        <v>44927</v>
      </c>
      <c r="F849" s="8" t="s">
        <v>77</v>
      </c>
      <c r="G849" s="2" t="s">
        <v>26</v>
      </c>
      <c r="H849" s="8" t="s">
        <v>28</v>
      </c>
      <c r="I849" s="2" t="s">
        <v>26</v>
      </c>
      <c r="J849" s="7">
        <v>44927</v>
      </c>
      <c r="K849" s="8" t="s">
        <v>77</v>
      </c>
      <c r="L849" s="2" t="s">
        <v>26</v>
      </c>
      <c r="M849" s="8" t="s">
        <v>28</v>
      </c>
      <c r="N849" s="6" t="s">
        <v>2264</v>
      </c>
      <c r="O849" s="6" t="s">
        <v>30</v>
      </c>
      <c r="P849" s="2" t="s">
        <v>12229</v>
      </c>
    </row>
    <row r="850" spans="1:16" ht="13.15" x14ac:dyDescent="0.4">
      <c r="A850" s="2" t="s">
        <v>11990</v>
      </c>
      <c r="B850" s="2" t="s">
        <v>5885</v>
      </c>
      <c r="C850" s="6" t="s">
        <v>5879</v>
      </c>
      <c r="D850" s="6" t="s">
        <v>42</v>
      </c>
      <c r="E850" s="7">
        <v>44927</v>
      </c>
      <c r="F850" s="8" t="s">
        <v>77</v>
      </c>
      <c r="G850" s="2" t="s">
        <v>26</v>
      </c>
      <c r="H850" s="8" t="s">
        <v>28</v>
      </c>
      <c r="I850" s="2" t="s">
        <v>26</v>
      </c>
      <c r="J850" s="7">
        <v>44927</v>
      </c>
      <c r="K850" s="8" t="s">
        <v>77</v>
      </c>
      <c r="L850" s="2" t="s">
        <v>26</v>
      </c>
      <c r="M850" s="8" t="s">
        <v>28</v>
      </c>
      <c r="N850" s="6" t="s">
        <v>2264</v>
      </c>
      <c r="O850" s="6" t="s">
        <v>30</v>
      </c>
      <c r="P850" s="2" t="s">
        <v>12230</v>
      </c>
    </row>
    <row r="851" spans="1:16" ht="13.15" x14ac:dyDescent="0.4">
      <c r="A851" s="2" t="s">
        <v>11927</v>
      </c>
      <c r="B851" s="2" t="s">
        <v>5885</v>
      </c>
      <c r="C851" s="6" t="s">
        <v>5879</v>
      </c>
      <c r="D851" s="6" t="s">
        <v>42</v>
      </c>
      <c r="E851" s="7">
        <v>44927</v>
      </c>
      <c r="F851" s="8" t="s">
        <v>77</v>
      </c>
      <c r="G851" s="2" t="s">
        <v>26</v>
      </c>
      <c r="H851" s="8" t="s">
        <v>28</v>
      </c>
      <c r="I851" s="2" t="s">
        <v>26</v>
      </c>
      <c r="J851" s="7">
        <v>44927</v>
      </c>
      <c r="K851" s="8" t="s">
        <v>77</v>
      </c>
      <c r="L851" s="2" t="s">
        <v>26</v>
      </c>
      <c r="M851" s="8" t="s">
        <v>28</v>
      </c>
      <c r="N851" s="6" t="s">
        <v>2264</v>
      </c>
      <c r="O851" s="6" t="s">
        <v>30</v>
      </c>
      <c r="P851" s="2" t="s">
        <v>12231</v>
      </c>
    </row>
    <row r="852" spans="1:16" ht="13.15" x14ac:dyDescent="0.4">
      <c r="A852" s="2" t="s">
        <v>11977</v>
      </c>
      <c r="B852" s="2" t="s">
        <v>5885</v>
      </c>
      <c r="C852" s="6" t="s">
        <v>5879</v>
      </c>
      <c r="D852" s="6" t="s">
        <v>42</v>
      </c>
      <c r="E852" s="7">
        <v>44927</v>
      </c>
      <c r="F852" s="8" t="s">
        <v>77</v>
      </c>
      <c r="G852" s="2" t="s">
        <v>26</v>
      </c>
      <c r="H852" s="8" t="s">
        <v>28</v>
      </c>
      <c r="I852" s="2" t="s">
        <v>26</v>
      </c>
      <c r="J852" s="7">
        <v>44927</v>
      </c>
      <c r="K852" s="8" t="s">
        <v>77</v>
      </c>
      <c r="L852" s="2" t="s">
        <v>26</v>
      </c>
      <c r="M852" s="8" t="s">
        <v>28</v>
      </c>
      <c r="N852" s="6" t="s">
        <v>2264</v>
      </c>
      <c r="O852" s="6" t="s">
        <v>30</v>
      </c>
      <c r="P852" s="2" t="s">
        <v>12232</v>
      </c>
    </row>
    <row r="853" spans="1:16" ht="13.15" x14ac:dyDescent="0.4">
      <c r="A853" s="2" t="s">
        <v>12029</v>
      </c>
      <c r="B853" s="2" t="s">
        <v>5885</v>
      </c>
      <c r="C853" s="6" t="s">
        <v>5879</v>
      </c>
      <c r="D853" s="6" t="s">
        <v>42</v>
      </c>
      <c r="E853" s="7">
        <v>44927</v>
      </c>
      <c r="F853" s="8" t="s">
        <v>77</v>
      </c>
      <c r="G853" s="2" t="s">
        <v>26</v>
      </c>
      <c r="H853" s="8" t="s">
        <v>28</v>
      </c>
      <c r="I853" s="2" t="s">
        <v>26</v>
      </c>
      <c r="J853" s="7">
        <v>44927</v>
      </c>
      <c r="K853" s="8" t="s">
        <v>77</v>
      </c>
      <c r="L853" s="2" t="s">
        <v>26</v>
      </c>
      <c r="M853" s="8" t="s">
        <v>28</v>
      </c>
      <c r="N853" s="6" t="s">
        <v>2264</v>
      </c>
      <c r="O853" s="6" t="s">
        <v>30</v>
      </c>
      <c r="P853" s="2" t="s">
        <v>12233</v>
      </c>
    </row>
    <row r="854" spans="1:16" ht="13.15" x14ac:dyDescent="0.4">
      <c r="A854" s="2" t="s">
        <v>12037</v>
      </c>
      <c r="B854" s="2" t="s">
        <v>5885</v>
      </c>
      <c r="C854" s="6" t="s">
        <v>5879</v>
      </c>
      <c r="D854" s="6" t="s">
        <v>42</v>
      </c>
      <c r="E854" s="7">
        <v>44927</v>
      </c>
      <c r="F854" s="8" t="s">
        <v>77</v>
      </c>
      <c r="G854" s="2" t="s">
        <v>26</v>
      </c>
      <c r="H854" s="8" t="s">
        <v>28</v>
      </c>
      <c r="I854" s="2" t="s">
        <v>26</v>
      </c>
      <c r="J854" s="7">
        <v>44927</v>
      </c>
      <c r="K854" s="8" t="s">
        <v>77</v>
      </c>
      <c r="L854" s="2" t="s">
        <v>26</v>
      </c>
      <c r="M854" s="8" t="s">
        <v>28</v>
      </c>
      <c r="N854" s="6" t="s">
        <v>2264</v>
      </c>
      <c r="O854" s="6" t="s">
        <v>30</v>
      </c>
      <c r="P854" s="2" t="s">
        <v>12234</v>
      </c>
    </row>
    <row r="855" spans="1:16" ht="13.15" x14ac:dyDescent="0.4">
      <c r="A855" s="2" t="s">
        <v>12064</v>
      </c>
      <c r="B855" s="2" t="s">
        <v>5885</v>
      </c>
      <c r="C855" s="6" t="s">
        <v>5879</v>
      </c>
      <c r="D855" s="6" t="s">
        <v>42</v>
      </c>
      <c r="E855" s="7">
        <v>44927</v>
      </c>
      <c r="F855" s="8" t="s">
        <v>77</v>
      </c>
      <c r="G855" s="2" t="s">
        <v>26</v>
      </c>
      <c r="H855" s="8" t="s">
        <v>28</v>
      </c>
      <c r="I855" s="2" t="s">
        <v>26</v>
      </c>
      <c r="J855" s="7">
        <v>44927</v>
      </c>
      <c r="K855" s="8" t="s">
        <v>77</v>
      </c>
      <c r="L855" s="2" t="s">
        <v>26</v>
      </c>
      <c r="M855" s="8" t="s">
        <v>28</v>
      </c>
      <c r="N855" s="6" t="s">
        <v>2264</v>
      </c>
      <c r="O855" s="6" t="s">
        <v>30</v>
      </c>
      <c r="P855" s="2" t="s">
        <v>12235</v>
      </c>
    </row>
    <row r="856" spans="1:16" ht="13.15" x14ac:dyDescent="0.4">
      <c r="A856" s="2" t="s">
        <v>11896</v>
      </c>
      <c r="B856" s="2" t="s">
        <v>5885</v>
      </c>
      <c r="C856" s="6" t="s">
        <v>5879</v>
      </c>
      <c r="D856" s="6" t="s">
        <v>42</v>
      </c>
      <c r="E856" s="7">
        <v>44927</v>
      </c>
      <c r="F856" s="8" t="s">
        <v>77</v>
      </c>
      <c r="G856" s="2" t="s">
        <v>26</v>
      </c>
      <c r="H856" s="8" t="s">
        <v>28</v>
      </c>
      <c r="I856" s="2" t="s">
        <v>26</v>
      </c>
      <c r="J856" s="7">
        <v>44927</v>
      </c>
      <c r="K856" s="8" t="s">
        <v>77</v>
      </c>
      <c r="L856" s="2" t="s">
        <v>26</v>
      </c>
      <c r="M856" s="8" t="s">
        <v>28</v>
      </c>
      <c r="N856" s="6" t="s">
        <v>2264</v>
      </c>
      <c r="O856" s="6" t="s">
        <v>30</v>
      </c>
      <c r="P856" s="2" t="s">
        <v>12236</v>
      </c>
    </row>
    <row r="857" spans="1:16" ht="13.15" x14ac:dyDescent="0.4">
      <c r="A857" s="2" t="s">
        <v>12043</v>
      </c>
      <c r="B857" s="2" t="s">
        <v>5885</v>
      </c>
      <c r="C857" s="6" t="s">
        <v>5879</v>
      </c>
      <c r="D857" s="6" t="s">
        <v>42</v>
      </c>
      <c r="E857" s="7">
        <v>44927</v>
      </c>
      <c r="F857" s="8" t="s">
        <v>77</v>
      </c>
      <c r="G857" s="2" t="s">
        <v>26</v>
      </c>
      <c r="H857" s="8" t="s">
        <v>28</v>
      </c>
      <c r="I857" s="2" t="s">
        <v>26</v>
      </c>
      <c r="J857" s="7">
        <v>44927</v>
      </c>
      <c r="K857" s="8" t="s">
        <v>77</v>
      </c>
      <c r="L857" s="2" t="s">
        <v>26</v>
      </c>
      <c r="M857" s="8" t="s">
        <v>28</v>
      </c>
      <c r="N857" s="6" t="s">
        <v>2264</v>
      </c>
      <c r="O857" s="6" t="s">
        <v>30</v>
      </c>
      <c r="P857" s="2" t="s">
        <v>12237</v>
      </c>
    </row>
    <row r="858" spans="1:16" ht="13.15" x14ac:dyDescent="0.4">
      <c r="A858" s="2" t="s">
        <v>11915</v>
      </c>
      <c r="B858" s="2" t="s">
        <v>5885</v>
      </c>
      <c r="C858" s="6" t="s">
        <v>5879</v>
      </c>
      <c r="D858" s="6" t="s">
        <v>42</v>
      </c>
      <c r="E858" s="7">
        <v>44927</v>
      </c>
      <c r="F858" s="8" t="s">
        <v>77</v>
      </c>
      <c r="G858" s="2" t="s">
        <v>26</v>
      </c>
      <c r="H858" s="8" t="s">
        <v>28</v>
      </c>
      <c r="I858" s="2" t="s">
        <v>26</v>
      </c>
      <c r="J858" s="7">
        <v>44927</v>
      </c>
      <c r="K858" s="8" t="s">
        <v>77</v>
      </c>
      <c r="L858" s="2" t="s">
        <v>26</v>
      </c>
      <c r="M858" s="8" t="s">
        <v>28</v>
      </c>
      <c r="N858" s="6" t="s">
        <v>2264</v>
      </c>
      <c r="O858" s="6" t="s">
        <v>30</v>
      </c>
      <c r="P858" s="2" t="s">
        <v>12238</v>
      </c>
    </row>
    <row r="859" spans="1:16" ht="13.15" x14ac:dyDescent="0.4">
      <c r="A859" s="2" t="s">
        <v>11907</v>
      </c>
      <c r="B859" s="2" t="s">
        <v>5885</v>
      </c>
      <c r="C859" s="6" t="s">
        <v>5879</v>
      </c>
      <c r="D859" s="6" t="s">
        <v>42</v>
      </c>
      <c r="E859" s="7">
        <v>44927</v>
      </c>
      <c r="F859" s="8" t="s">
        <v>77</v>
      </c>
      <c r="G859" s="2" t="s">
        <v>26</v>
      </c>
      <c r="H859" s="8" t="s">
        <v>28</v>
      </c>
      <c r="I859" s="2" t="s">
        <v>26</v>
      </c>
      <c r="J859" s="7">
        <v>44927</v>
      </c>
      <c r="K859" s="8" t="s">
        <v>77</v>
      </c>
      <c r="L859" s="2" t="s">
        <v>26</v>
      </c>
      <c r="M859" s="8" t="s">
        <v>28</v>
      </c>
      <c r="N859" s="6" t="s">
        <v>2264</v>
      </c>
      <c r="O859" s="6" t="s">
        <v>30</v>
      </c>
      <c r="P859" s="2" t="s">
        <v>12239</v>
      </c>
    </row>
    <row r="860" spans="1:16" ht="13.15" x14ac:dyDescent="0.4">
      <c r="A860" s="2" t="s">
        <v>12020</v>
      </c>
      <c r="B860" s="2" t="s">
        <v>5885</v>
      </c>
      <c r="C860" s="6" t="s">
        <v>5879</v>
      </c>
      <c r="D860" s="6" t="s">
        <v>42</v>
      </c>
      <c r="E860" s="7">
        <v>44927</v>
      </c>
      <c r="F860" s="8" t="s">
        <v>77</v>
      </c>
      <c r="G860" s="2" t="s">
        <v>26</v>
      </c>
      <c r="H860" s="8" t="s">
        <v>28</v>
      </c>
      <c r="I860" s="2" t="s">
        <v>26</v>
      </c>
      <c r="J860" s="7">
        <v>44927</v>
      </c>
      <c r="K860" s="8" t="s">
        <v>77</v>
      </c>
      <c r="L860" s="2" t="s">
        <v>26</v>
      </c>
      <c r="M860" s="8" t="s">
        <v>28</v>
      </c>
      <c r="N860" s="6" t="s">
        <v>2264</v>
      </c>
      <c r="O860" s="6" t="s">
        <v>30</v>
      </c>
      <c r="P860" s="2" t="s">
        <v>12240</v>
      </c>
    </row>
    <row r="861" spans="1:16" ht="13.15" x14ac:dyDescent="0.4">
      <c r="A861" s="2" t="s">
        <v>11809</v>
      </c>
      <c r="B861" s="2" t="s">
        <v>5885</v>
      </c>
      <c r="C861" s="6" t="s">
        <v>5879</v>
      </c>
      <c r="D861" s="6" t="s">
        <v>42</v>
      </c>
      <c r="E861" s="7">
        <v>44927</v>
      </c>
      <c r="F861" s="8" t="s">
        <v>77</v>
      </c>
      <c r="G861" s="2" t="s">
        <v>26</v>
      </c>
      <c r="H861" s="8" t="s">
        <v>28</v>
      </c>
      <c r="I861" s="2" t="s">
        <v>26</v>
      </c>
      <c r="J861" s="7">
        <v>44927</v>
      </c>
      <c r="K861" s="8" t="s">
        <v>77</v>
      </c>
      <c r="L861" s="2" t="s">
        <v>26</v>
      </c>
      <c r="M861" s="8" t="s">
        <v>28</v>
      </c>
      <c r="N861" s="6" t="s">
        <v>2264</v>
      </c>
      <c r="O861" s="6" t="s">
        <v>30</v>
      </c>
      <c r="P861" s="2" t="s">
        <v>12241</v>
      </c>
    </row>
    <row r="862" spans="1:16" ht="13.15" x14ac:dyDescent="0.4">
      <c r="A862" s="2" t="s">
        <v>11709</v>
      </c>
      <c r="B862" s="2" t="s">
        <v>5885</v>
      </c>
      <c r="C862" s="6" t="s">
        <v>5879</v>
      </c>
      <c r="D862" s="6" t="s">
        <v>42</v>
      </c>
      <c r="E862" s="7">
        <v>44927</v>
      </c>
      <c r="F862" s="8" t="s">
        <v>77</v>
      </c>
      <c r="G862" s="2" t="s">
        <v>26</v>
      </c>
      <c r="H862" s="8" t="s">
        <v>28</v>
      </c>
      <c r="I862" s="2" t="s">
        <v>26</v>
      </c>
      <c r="J862" s="7">
        <v>44927</v>
      </c>
      <c r="K862" s="8" t="s">
        <v>77</v>
      </c>
      <c r="L862" s="2" t="s">
        <v>26</v>
      </c>
      <c r="M862" s="8" t="s">
        <v>28</v>
      </c>
      <c r="N862" s="6" t="s">
        <v>2264</v>
      </c>
      <c r="O862" s="6" t="s">
        <v>30</v>
      </c>
      <c r="P862" s="2" t="s">
        <v>12242</v>
      </c>
    </row>
    <row r="863" spans="1:16" ht="13.15" x14ac:dyDescent="0.4">
      <c r="A863" s="2" t="s">
        <v>11934</v>
      </c>
      <c r="B863" s="2" t="s">
        <v>5885</v>
      </c>
      <c r="C863" s="6" t="s">
        <v>5879</v>
      </c>
      <c r="D863" s="6" t="s">
        <v>42</v>
      </c>
      <c r="E863" s="7">
        <v>44927</v>
      </c>
      <c r="F863" s="8" t="s">
        <v>77</v>
      </c>
      <c r="G863" s="2" t="s">
        <v>26</v>
      </c>
      <c r="H863" s="8" t="s">
        <v>28</v>
      </c>
      <c r="I863" s="2" t="s">
        <v>26</v>
      </c>
      <c r="J863" s="7">
        <v>44927</v>
      </c>
      <c r="K863" s="8" t="s">
        <v>77</v>
      </c>
      <c r="L863" s="2" t="s">
        <v>26</v>
      </c>
      <c r="M863" s="8" t="s">
        <v>28</v>
      </c>
      <c r="N863" s="6" t="s">
        <v>2264</v>
      </c>
      <c r="O863" s="6" t="s">
        <v>30</v>
      </c>
      <c r="P863" s="2" t="s">
        <v>12243</v>
      </c>
    </row>
    <row r="864" spans="1:16" ht="13.15" x14ac:dyDescent="0.4">
      <c r="A864" s="2" t="s">
        <v>11861</v>
      </c>
      <c r="B864" s="2" t="s">
        <v>5885</v>
      </c>
      <c r="C864" s="6" t="s">
        <v>5879</v>
      </c>
      <c r="D864" s="6" t="s">
        <v>42</v>
      </c>
      <c r="E864" s="7">
        <v>44927</v>
      </c>
      <c r="F864" s="8" t="s">
        <v>77</v>
      </c>
      <c r="G864" s="2" t="s">
        <v>26</v>
      </c>
      <c r="H864" s="8" t="s">
        <v>28</v>
      </c>
      <c r="I864" s="2" t="s">
        <v>26</v>
      </c>
      <c r="J864" s="7">
        <v>44927</v>
      </c>
      <c r="K864" s="8" t="s">
        <v>77</v>
      </c>
      <c r="L864" s="2" t="s">
        <v>26</v>
      </c>
      <c r="M864" s="8" t="s">
        <v>28</v>
      </c>
      <c r="N864" s="6" t="s">
        <v>2264</v>
      </c>
      <c r="O864" s="6" t="s">
        <v>30</v>
      </c>
      <c r="P864" s="2" t="s">
        <v>12244</v>
      </c>
    </row>
    <row r="865" spans="1:16" ht="13.15" x14ac:dyDescent="0.4">
      <c r="A865" s="2" t="s">
        <v>7722</v>
      </c>
      <c r="B865" s="2" t="s">
        <v>5885</v>
      </c>
      <c r="C865" s="6" t="s">
        <v>5879</v>
      </c>
      <c r="D865" s="6" t="s">
        <v>42</v>
      </c>
      <c r="E865" s="7">
        <v>44927</v>
      </c>
      <c r="F865" s="8" t="s">
        <v>77</v>
      </c>
      <c r="G865" s="2" t="s">
        <v>26</v>
      </c>
      <c r="H865" s="8" t="s">
        <v>28</v>
      </c>
      <c r="I865" s="2" t="s">
        <v>26</v>
      </c>
      <c r="J865" s="7">
        <v>44927</v>
      </c>
      <c r="K865" s="8" t="s">
        <v>77</v>
      </c>
      <c r="L865" s="2" t="s">
        <v>26</v>
      </c>
      <c r="M865" s="8" t="s">
        <v>28</v>
      </c>
      <c r="N865" s="6" t="s">
        <v>2264</v>
      </c>
      <c r="O865" s="6" t="s">
        <v>30</v>
      </c>
      <c r="P865" s="2" t="s">
        <v>12245</v>
      </c>
    </row>
    <row r="866" spans="1:16" ht="13.15" x14ac:dyDescent="0.4">
      <c r="A866" s="2" t="s">
        <v>11738</v>
      </c>
      <c r="B866" s="2" t="s">
        <v>5885</v>
      </c>
      <c r="C866" s="6" t="s">
        <v>5879</v>
      </c>
      <c r="D866" s="6" t="s">
        <v>42</v>
      </c>
      <c r="E866" s="7">
        <v>44927</v>
      </c>
      <c r="F866" s="8" t="s">
        <v>77</v>
      </c>
      <c r="G866" s="2" t="s">
        <v>26</v>
      </c>
      <c r="H866" s="8" t="s">
        <v>28</v>
      </c>
      <c r="I866" s="2" t="s">
        <v>26</v>
      </c>
      <c r="J866" s="7">
        <v>44927</v>
      </c>
      <c r="K866" s="8" t="s">
        <v>77</v>
      </c>
      <c r="L866" s="2" t="s">
        <v>26</v>
      </c>
      <c r="M866" s="8" t="s">
        <v>28</v>
      </c>
      <c r="N866" s="6" t="s">
        <v>2264</v>
      </c>
      <c r="O866" s="6" t="s">
        <v>30</v>
      </c>
      <c r="P866" s="2" t="s">
        <v>12246</v>
      </c>
    </row>
    <row r="867" spans="1:16" ht="13.15" x14ac:dyDescent="0.4">
      <c r="A867" s="2" t="s">
        <v>11832</v>
      </c>
      <c r="B867" s="2" t="s">
        <v>5885</v>
      </c>
      <c r="C867" s="6" t="s">
        <v>5879</v>
      </c>
      <c r="D867" s="6" t="s">
        <v>42</v>
      </c>
      <c r="E867" s="7">
        <v>44927</v>
      </c>
      <c r="F867" s="8" t="s">
        <v>77</v>
      </c>
      <c r="G867" s="2" t="s">
        <v>26</v>
      </c>
      <c r="H867" s="8" t="s">
        <v>28</v>
      </c>
      <c r="I867" s="2" t="s">
        <v>26</v>
      </c>
      <c r="J867" s="7">
        <v>44927</v>
      </c>
      <c r="K867" s="8" t="s">
        <v>77</v>
      </c>
      <c r="L867" s="2" t="s">
        <v>26</v>
      </c>
      <c r="M867" s="8" t="s">
        <v>28</v>
      </c>
      <c r="N867" s="6" t="s">
        <v>2264</v>
      </c>
      <c r="O867" s="6" t="s">
        <v>30</v>
      </c>
      <c r="P867" s="2" t="s">
        <v>12247</v>
      </c>
    </row>
    <row r="868" spans="1:16" ht="13.15" x14ac:dyDescent="0.4">
      <c r="A868" s="2" t="s">
        <v>11829</v>
      </c>
      <c r="B868" s="2" t="s">
        <v>5885</v>
      </c>
      <c r="C868" s="6" t="s">
        <v>5879</v>
      </c>
      <c r="D868" s="6" t="s">
        <v>42</v>
      </c>
      <c r="E868" s="7">
        <v>44927</v>
      </c>
      <c r="F868" s="8" t="s">
        <v>77</v>
      </c>
      <c r="G868" s="2" t="s">
        <v>26</v>
      </c>
      <c r="H868" s="8" t="s">
        <v>28</v>
      </c>
      <c r="I868" s="2" t="s">
        <v>26</v>
      </c>
      <c r="J868" s="7">
        <v>44927</v>
      </c>
      <c r="K868" s="8" t="s">
        <v>77</v>
      </c>
      <c r="L868" s="2" t="s">
        <v>26</v>
      </c>
      <c r="M868" s="8" t="s">
        <v>28</v>
      </c>
      <c r="N868" s="6" t="s">
        <v>2264</v>
      </c>
      <c r="O868" s="6" t="s">
        <v>30</v>
      </c>
      <c r="P868" s="2" t="s">
        <v>12248</v>
      </c>
    </row>
    <row r="869" spans="1:16" ht="13.15" x14ac:dyDescent="0.4">
      <c r="A869" s="2" t="s">
        <v>11862</v>
      </c>
      <c r="B869" s="2" t="s">
        <v>5885</v>
      </c>
      <c r="C869" s="6" t="s">
        <v>5879</v>
      </c>
      <c r="D869" s="6" t="s">
        <v>42</v>
      </c>
      <c r="E869" s="7">
        <v>44927</v>
      </c>
      <c r="F869" s="8" t="s">
        <v>77</v>
      </c>
      <c r="G869" s="2" t="s">
        <v>26</v>
      </c>
      <c r="H869" s="8" t="s">
        <v>28</v>
      </c>
      <c r="I869" s="2" t="s">
        <v>26</v>
      </c>
      <c r="J869" s="7">
        <v>44927</v>
      </c>
      <c r="K869" s="8" t="s">
        <v>77</v>
      </c>
      <c r="L869" s="2" t="s">
        <v>26</v>
      </c>
      <c r="M869" s="8" t="s">
        <v>28</v>
      </c>
      <c r="N869" s="6" t="s">
        <v>2264</v>
      </c>
      <c r="O869" s="6" t="s">
        <v>30</v>
      </c>
      <c r="P869" s="2" t="s">
        <v>12249</v>
      </c>
    </row>
    <row r="870" spans="1:16" ht="13.15" x14ac:dyDescent="0.4">
      <c r="A870" s="2" t="s">
        <v>11806</v>
      </c>
      <c r="B870" s="2" t="s">
        <v>5885</v>
      </c>
      <c r="C870" s="6" t="s">
        <v>5879</v>
      </c>
      <c r="D870" s="6" t="s">
        <v>42</v>
      </c>
      <c r="E870" s="7">
        <v>44927</v>
      </c>
      <c r="F870" s="8" t="s">
        <v>77</v>
      </c>
      <c r="G870" s="2" t="s">
        <v>26</v>
      </c>
      <c r="H870" s="8" t="s">
        <v>28</v>
      </c>
      <c r="I870" s="2" t="s">
        <v>26</v>
      </c>
      <c r="J870" s="7">
        <v>44927</v>
      </c>
      <c r="K870" s="8" t="s">
        <v>77</v>
      </c>
      <c r="L870" s="2" t="s">
        <v>26</v>
      </c>
      <c r="M870" s="8" t="s">
        <v>28</v>
      </c>
      <c r="N870" s="6" t="s">
        <v>2264</v>
      </c>
      <c r="O870" s="6" t="s">
        <v>30</v>
      </c>
      <c r="P870" s="2" t="s">
        <v>12250</v>
      </c>
    </row>
    <row r="871" spans="1:16" ht="13.15" x14ac:dyDescent="0.4">
      <c r="A871" s="2" t="s">
        <v>11823</v>
      </c>
      <c r="B871" s="2" t="s">
        <v>5885</v>
      </c>
      <c r="C871" s="6" t="s">
        <v>5879</v>
      </c>
      <c r="D871" s="6" t="s">
        <v>42</v>
      </c>
      <c r="E871" s="7">
        <v>44927</v>
      </c>
      <c r="F871" s="8" t="s">
        <v>77</v>
      </c>
      <c r="G871" s="2" t="s">
        <v>26</v>
      </c>
      <c r="H871" s="8" t="s">
        <v>28</v>
      </c>
      <c r="I871" s="2" t="s">
        <v>26</v>
      </c>
      <c r="J871" s="7">
        <v>44927</v>
      </c>
      <c r="K871" s="8" t="s">
        <v>77</v>
      </c>
      <c r="L871" s="2" t="s">
        <v>26</v>
      </c>
      <c r="M871" s="8" t="s">
        <v>28</v>
      </c>
      <c r="N871" s="6" t="s">
        <v>2264</v>
      </c>
      <c r="O871" s="6" t="s">
        <v>30</v>
      </c>
      <c r="P871" s="2" t="s">
        <v>12251</v>
      </c>
    </row>
    <row r="872" spans="1:16" ht="13.15" x14ac:dyDescent="0.4">
      <c r="A872" s="2" t="s">
        <v>7746</v>
      </c>
      <c r="B872" s="2" t="s">
        <v>5885</v>
      </c>
      <c r="C872" s="6" t="s">
        <v>5879</v>
      </c>
      <c r="D872" s="6" t="s">
        <v>42</v>
      </c>
      <c r="E872" s="7">
        <v>44927</v>
      </c>
      <c r="F872" s="8" t="s">
        <v>77</v>
      </c>
      <c r="G872" s="2" t="s">
        <v>26</v>
      </c>
      <c r="H872" s="8" t="s">
        <v>28</v>
      </c>
      <c r="I872" s="2" t="s">
        <v>26</v>
      </c>
      <c r="J872" s="7">
        <v>44927</v>
      </c>
      <c r="K872" s="8" t="s">
        <v>77</v>
      </c>
      <c r="L872" s="2" t="s">
        <v>26</v>
      </c>
      <c r="M872" s="8" t="s">
        <v>28</v>
      </c>
      <c r="N872" s="6" t="s">
        <v>2264</v>
      </c>
      <c r="O872" s="6" t="s">
        <v>30</v>
      </c>
      <c r="P872" s="2" t="s">
        <v>12252</v>
      </c>
    </row>
    <row r="873" spans="1:16" ht="13.15" x14ac:dyDescent="0.4">
      <c r="A873" s="2" t="s">
        <v>11954</v>
      </c>
      <c r="B873" s="2" t="s">
        <v>5885</v>
      </c>
      <c r="C873" s="6" t="s">
        <v>5879</v>
      </c>
      <c r="D873" s="6" t="s">
        <v>42</v>
      </c>
      <c r="E873" s="7">
        <v>44927</v>
      </c>
      <c r="F873" s="8" t="s">
        <v>77</v>
      </c>
      <c r="G873" s="2" t="s">
        <v>26</v>
      </c>
      <c r="H873" s="8" t="s">
        <v>28</v>
      </c>
      <c r="I873" s="2" t="s">
        <v>26</v>
      </c>
      <c r="J873" s="7">
        <v>44927</v>
      </c>
      <c r="K873" s="8" t="s">
        <v>77</v>
      </c>
      <c r="L873" s="2" t="s">
        <v>26</v>
      </c>
      <c r="M873" s="8" t="s">
        <v>28</v>
      </c>
      <c r="N873" s="6" t="s">
        <v>2264</v>
      </c>
      <c r="O873" s="6" t="s">
        <v>30</v>
      </c>
      <c r="P873" s="2" t="s">
        <v>12253</v>
      </c>
    </row>
    <row r="874" spans="1:16" ht="13.15" x14ac:dyDescent="0.4">
      <c r="A874" s="2" t="s">
        <v>11878</v>
      </c>
      <c r="B874" s="2" t="s">
        <v>5885</v>
      </c>
      <c r="C874" s="6" t="s">
        <v>5879</v>
      </c>
      <c r="D874" s="6" t="s">
        <v>42</v>
      </c>
      <c r="E874" s="7">
        <v>44927</v>
      </c>
      <c r="F874" s="8" t="s">
        <v>77</v>
      </c>
      <c r="G874" s="2" t="s">
        <v>26</v>
      </c>
      <c r="H874" s="8" t="s">
        <v>28</v>
      </c>
      <c r="I874" s="2" t="s">
        <v>26</v>
      </c>
      <c r="J874" s="7">
        <v>44927</v>
      </c>
      <c r="K874" s="8" t="s">
        <v>77</v>
      </c>
      <c r="L874" s="2" t="s">
        <v>26</v>
      </c>
      <c r="M874" s="8" t="s">
        <v>28</v>
      </c>
      <c r="N874" s="6" t="s">
        <v>2264</v>
      </c>
      <c r="O874" s="6" t="s">
        <v>30</v>
      </c>
      <c r="P874" s="2" t="s">
        <v>12254</v>
      </c>
    </row>
    <row r="875" spans="1:16" ht="13.15" x14ac:dyDescent="0.4">
      <c r="A875" s="2" t="s">
        <v>11751</v>
      </c>
      <c r="B875" s="2" t="s">
        <v>5885</v>
      </c>
      <c r="C875" s="6" t="s">
        <v>5879</v>
      </c>
      <c r="D875" s="6" t="s">
        <v>42</v>
      </c>
      <c r="E875" s="7">
        <v>44927</v>
      </c>
      <c r="F875" s="8" t="s">
        <v>77</v>
      </c>
      <c r="G875" s="2" t="s">
        <v>26</v>
      </c>
      <c r="H875" s="8" t="s">
        <v>28</v>
      </c>
      <c r="I875" s="2" t="s">
        <v>26</v>
      </c>
      <c r="J875" s="7">
        <v>44927</v>
      </c>
      <c r="K875" s="8" t="s">
        <v>77</v>
      </c>
      <c r="L875" s="2" t="s">
        <v>26</v>
      </c>
      <c r="M875" s="8" t="s">
        <v>28</v>
      </c>
      <c r="N875" s="6" t="s">
        <v>2264</v>
      </c>
      <c r="O875" s="6" t="s">
        <v>30</v>
      </c>
      <c r="P875" s="2" t="s">
        <v>12255</v>
      </c>
    </row>
    <row r="876" spans="1:16" ht="13.15" x14ac:dyDescent="0.4">
      <c r="A876" s="2" t="s">
        <v>11812</v>
      </c>
      <c r="B876" s="2" t="s">
        <v>5885</v>
      </c>
      <c r="C876" s="6" t="s">
        <v>5879</v>
      </c>
      <c r="D876" s="6" t="s">
        <v>42</v>
      </c>
      <c r="E876" s="7">
        <v>44927</v>
      </c>
      <c r="F876" s="8" t="s">
        <v>77</v>
      </c>
      <c r="G876" s="2" t="s">
        <v>26</v>
      </c>
      <c r="H876" s="8" t="s">
        <v>28</v>
      </c>
      <c r="I876" s="2" t="s">
        <v>26</v>
      </c>
      <c r="J876" s="7">
        <v>44927</v>
      </c>
      <c r="K876" s="8" t="s">
        <v>77</v>
      </c>
      <c r="L876" s="2" t="s">
        <v>26</v>
      </c>
      <c r="M876" s="8" t="s">
        <v>28</v>
      </c>
      <c r="N876" s="6" t="s">
        <v>2264</v>
      </c>
      <c r="O876" s="6" t="s">
        <v>30</v>
      </c>
      <c r="P876" s="2" t="s">
        <v>12256</v>
      </c>
    </row>
    <row r="877" spans="1:16" ht="13.15" x14ac:dyDescent="0.4">
      <c r="A877" s="2" t="s">
        <v>11783</v>
      </c>
      <c r="B877" s="2" t="s">
        <v>5885</v>
      </c>
      <c r="C877" s="6" t="s">
        <v>5879</v>
      </c>
      <c r="D877" s="6" t="s">
        <v>42</v>
      </c>
      <c r="E877" s="7">
        <v>44927</v>
      </c>
      <c r="F877" s="8" t="s">
        <v>77</v>
      </c>
      <c r="G877" s="2" t="s">
        <v>26</v>
      </c>
      <c r="H877" s="8" t="s">
        <v>28</v>
      </c>
      <c r="I877" s="2" t="s">
        <v>26</v>
      </c>
      <c r="J877" s="7">
        <v>44927</v>
      </c>
      <c r="K877" s="8" t="s">
        <v>77</v>
      </c>
      <c r="L877" s="2" t="s">
        <v>26</v>
      </c>
      <c r="M877" s="8" t="s">
        <v>28</v>
      </c>
      <c r="N877" s="6" t="s">
        <v>2264</v>
      </c>
      <c r="O877" s="6" t="s">
        <v>30</v>
      </c>
      <c r="P877" s="2" t="s">
        <v>12257</v>
      </c>
    </row>
    <row r="878" spans="1:16" ht="13.15" x14ac:dyDescent="0.4">
      <c r="A878" s="2" t="s">
        <v>11732</v>
      </c>
      <c r="B878" s="2" t="s">
        <v>5885</v>
      </c>
      <c r="C878" s="6" t="s">
        <v>5879</v>
      </c>
      <c r="D878" s="6" t="s">
        <v>42</v>
      </c>
      <c r="E878" s="7">
        <v>44927</v>
      </c>
      <c r="F878" s="8" t="s">
        <v>77</v>
      </c>
      <c r="G878" s="2" t="s">
        <v>26</v>
      </c>
      <c r="H878" s="8" t="s">
        <v>28</v>
      </c>
      <c r="I878" s="2" t="s">
        <v>26</v>
      </c>
      <c r="J878" s="7">
        <v>44927</v>
      </c>
      <c r="K878" s="8" t="s">
        <v>77</v>
      </c>
      <c r="L878" s="2" t="s">
        <v>26</v>
      </c>
      <c r="M878" s="8" t="s">
        <v>28</v>
      </c>
      <c r="N878" s="6" t="s">
        <v>2264</v>
      </c>
      <c r="O878" s="6" t="s">
        <v>30</v>
      </c>
      <c r="P878" s="2" t="s">
        <v>12258</v>
      </c>
    </row>
    <row r="879" spans="1:16" ht="13.15" x14ac:dyDescent="0.4">
      <c r="A879" s="2" t="s">
        <v>11718</v>
      </c>
      <c r="B879" s="2" t="s">
        <v>5885</v>
      </c>
      <c r="C879" s="6" t="s">
        <v>5879</v>
      </c>
      <c r="D879" s="6" t="s">
        <v>42</v>
      </c>
      <c r="E879" s="7">
        <v>44927</v>
      </c>
      <c r="F879" s="8" t="s">
        <v>77</v>
      </c>
      <c r="G879" s="2" t="s">
        <v>26</v>
      </c>
      <c r="H879" s="8" t="s">
        <v>28</v>
      </c>
      <c r="I879" s="2" t="s">
        <v>26</v>
      </c>
      <c r="J879" s="7">
        <v>44927</v>
      </c>
      <c r="K879" s="8" t="s">
        <v>77</v>
      </c>
      <c r="L879" s="2" t="s">
        <v>26</v>
      </c>
      <c r="M879" s="8" t="s">
        <v>28</v>
      </c>
      <c r="N879" s="6" t="s">
        <v>2264</v>
      </c>
      <c r="O879" s="6" t="s">
        <v>30</v>
      </c>
      <c r="P879" s="2" t="s">
        <v>12259</v>
      </c>
    </row>
    <row r="880" spans="1:16" ht="13.15" x14ac:dyDescent="0.4">
      <c r="A880" s="2" t="s">
        <v>11945</v>
      </c>
      <c r="B880" s="2" t="s">
        <v>5885</v>
      </c>
      <c r="C880" s="6" t="s">
        <v>5879</v>
      </c>
      <c r="D880" s="6" t="s">
        <v>42</v>
      </c>
      <c r="E880" s="7">
        <v>44927</v>
      </c>
      <c r="F880" s="8" t="s">
        <v>77</v>
      </c>
      <c r="G880" s="2" t="s">
        <v>26</v>
      </c>
      <c r="H880" s="8" t="s">
        <v>28</v>
      </c>
      <c r="I880" s="2" t="s">
        <v>26</v>
      </c>
      <c r="J880" s="7">
        <v>44927</v>
      </c>
      <c r="K880" s="8" t="s">
        <v>77</v>
      </c>
      <c r="L880" s="2" t="s">
        <v>26</v>
      </c>
      <c r="M880" s="8" t="s">
        <v>28</v>
      </c>
      <c r="N880" s="6" t="s">
        <v>2264</v>
      </c>
      <c r="O880" s="6" t="s">
        <v>30</v>
      </c>
      <c r="P880" s="2" t="s">
        <v>12260</v>
      </c>
    </row>
    <row r="881" spans="1:16" ht="13.15" x14ac:dyDescent="0.4">
      <c r="A881" s="2" t="s">
        <v>11834</v>
      </c>
      <c r="B881" s="2" t="s">
        <v>5885</v>
      </c>
      <c r="C881" s="6" t="s">
        <v>5879</v>
      </c>
      <c r="D881" s="6" t="s">
        <v>42</v>
      </c>
      <c r="E881" s="7">
        <v>44927</v>
      </c>
      <c r="F881" s="8" t="s">
        <v>77</v>
      </c>
      <c r="G881" s="2" t="s">
        <v>26</v>
      </c>
      <c r="H881" s="8" t="s">
        <v>28</v>
      </c>
      <c r="I881" s="2" t="s">
        <v>26</v>
      </c>
      <c r="J881" s="7">
        <v>44927</v>
      </c>
      <c r="K881" s="8" t="s">
        <v>77</v>
      </c>
      <c r="L881" s="2" t="s">
        <v>26</v>
      </c>
      <c r="M881" s="8" t="s">
        <v>28</v>
      </c>
      <c r="N881" s="6" t="s">
        <v>2264</v>
      </c>
      <c r="O881" s="6" t="s">
        <v>30</v>
      </c>
      <c r="P881" s="2" t="s">
        <v>12261</v>
      </c>
    </row>
    <row r="882" spans="1:16" ht="13.15" x14ac:dyDescent="0.4">
      <c r="A882" s="2" t="s">
        <v>11938</v>
      </c>
      <c r="B882" s="2" t="s">
        <v>5885</v>
      </c>
      <c r="C882" s="6" t="s">
        <v>5879</v>
      </c>
      <c r="D882" s="6" t="s">
        <v>42</v>
      </c>
      <c r="E882" s="7">
        <v>44927</v>
      </c>
      <c r="F882" s="8" t="s">
        <v>77</v>
      </c>
      <c r="G882" s="2" t="s">
        <v>26</v>
      </c>
      <c r="H882" s="8" t="s">
        <v>28</v>
      </c>
      <c r="I882" s="2" t="s">
        <v>26</v>
      </c>
      <c r="J882" s="7">
        <v>44927</v>
      </c>
      <c r="K882" s="8" t="s">
        <v>77</v>
      </c>
      <c r="L882" s="2" t="s">
        <v>26</v>
      </c>
      <c r="M882" s="8" t="s">
        <v>28</v>
      </c>
      <c r="N882" s="6" t="s">
        <v>2264</v>
      </c>
      <c r="O882" s="6" t="s">
        <v>30</v>
      </c>
      <c r="P882" s="2" t="s">
        <v>12262</v>
      </c>
    </row>
    <row r="883" spans="1:16" ht="13.15" x14ac:dyDescent="0.4">
      <c r="A883" s="2" t="s">
        <v>11695</v>
      </c>
      <c r="B883" s="2" t="s">
        <v>5885</v>
      </c>
      <c r="C883" s="6" t="s">
        <v>5879</v>
      </c>
      <c r="D883" s="6" t="s">
        <v>42</v>
      </c>
      <c r="E883" s="7">
        <v>44927</v>
      </c>
      <c r="F883" s="8" t="s">
        <v>77</v>
      </c>
      <c r="G883" s="2" t="s">
        <v>26</v>
      </c>
      <c r="H883" s="8" t="s">
        <v>28</v>
      </c>
      <c r="I883" s="2" t="s">
        <v>26</v>
      </c>
      <c r="J883" s="7">
        <v>44927</v>
      </c>
      <c r="K883" s="8" t="s">
        <v>77</v>
      </c>
      <c r="L883" s="2" t="s">
        <v>26</v>
      </c>
      <c r="M883" s="8" t="s">
        <v>28</v>
      </c>
      <c r="N883" s="6" t="s">
        <v>2264</v>
      </c>
      <c r="O883" s="6" t="s">
        <v>30</v>
      </c>
      <c r="P883" s="2" t="s">
        <v>12263</v>
      </c>
    </row>
    <row r="884" spans="1:16" ht="13.15" x14ac:dyDescent="0.4">
      <c r="A884" s="2" t="s">
        <v>11755</v>
      </c>
      <c r="B884" s="2" t="s">
        <v>5885</v>
      </c>
      <c r="C884" s="6" t="s">
        <v>5879</v>
      </c>
      <c r="D884" s="6" t="s">
        <v>42</v>
      </c>
      <c r="E884" s="7">
        <v>44927</v>
      </c>
      <c r="F884" s="8" t="s">
        <v>77</v>
      </c>
      <c r="G884" s="2" t="s">
        <v>26</v>
      </c>
      <c r="H884" s="8" t="s">
        <v>28</v>
      </c>
      <c r="I884" s="2" t="s">
        <v>26</v>
      </c>
      <c r="J884" s="7">
        <v>44927</v>
      </c>
      <c r="K884" s="8" t="s">
        <v>77</v>
      </c>
      <c r="L884" s="2" t="s">
        <v>26</v>
      </c>
      <c r="M884" s="8" t="s">
        <v>28</v>
      </c>
      <c r="N884" s="6" t="s">
        <v>2264</v>
      </c>
      <c r="O884" s="6" t="s">
        <v>30</v>
      </c>
      <c r="P884" s="2" t="s">
        <v>12264</v>
      </c>
    </row>
    <row r="885" spans="1:16" ht="13.15" x14ac:dyDescent="0.4">
      <c r="A885" s="2" t="s">
        <v>11752</v>
      </c>
      <c r="B885" s="2" t="s">
        <v>5885</v>
      </c>
      <c r="C885" s="6" t="s">
        <v>5879</v>
      </c>
      <c r="D885" s="6" t="s">
        <v>42</v>
      </c>
      <c r="E885" s="7">
        <v>44927</v>
      </c>
      <c r="F885" s="8" t="s">
        <v>77</v>
      </c>
      <c r="G885" s="2" t="s">
        <v>26</v>
      </c>
      <c r="H885" s="8" t="s">
        <v>28</v>
      </c>
      <c r="I885" s="2" t="s">
        <v>26</v>
      </c>
      <c r="J885" s="7">
        <v>44927</v>
      </c>
      <c r="K885" s="8" t="s">
        <v>77</v>
      </c>
      <c r="L885" s="2" t="s">
        <v>26</v>
      </c>
      <c r="M885" s="8" t="s">
        <v>28</v>
      </c>
      <c r="N885" s="6" t="s">
        <v>2264</v>
      </c>
      <c r="O885" s="6" t="s">
        <v>30</v>
      </c>
      <c r="P885" s="2" t="s">
        <v>12265</v>
      </c>
    </row>
    <row r="886" spans="1:16" ht="13.15" x14ac:dyDescent="0.4">
      <c r="A886" s="2" t="s">
        <v>11890</v>
      </c>
      <c r="B886" s="2" t="s">
        <v>5885</v>
      </c>
      <c r="C886" s="6" t="s">
        <v>5879</v>
      </c>
      <c r="D886" s="6" t="s">
        <v>42</v>
      </c>
      <c r="E886" s="7">
        <v>44927</v>
      </c>
      <c r="F886" s="8" t="s">
        <v>77</v>
      </c>
      <c r="G886" s="2" t="s">
        <v>26</v>
      </c>
      <c r="H886" s="8" t="s">
        <v>28</v>
      </c>
      <c r="I886" s="2" t="s">
        <v>26</v>
      </c>
      <c r="J886" s="7">
        <v>44927</v>
      </c>
      <c r="K886" s="8" t="s">
        <v>77</v>
      </c>
      <c r="L886" s="2" t="s">
        <v>26</v>
      </c>
      <c r="M886" s="8" t="s">
        <v>28</v>
      </c>
      <c r="N886" s="6" t="s">
        <v>2264</v>
      </c>
      <c r="O886" s="6" t="s">
        <v>30</v>
      </c>
      <c r="P886" s="2" t="s">
        <v>12266</v>
      </c>
    </row>
    <row r="887" spans="1:16" ht="13.15" x14ac:dyDescent="0.4">
      <c r="A887" s="2" t="s">
        <v>11887</v>
      </c>
      <c r="B887" s="2" t="s">
        <v>5885</v>
      </c>
      <c r="C887" s="6" t="s">
        <v>5879</v>
      </c>
      <c r="D887" s="6" t="s">
        <v>42</v>
      </c>
      <c r="E887" s="7">
        <v>44927</v>
      </c>
      <c r="F887" s="8" t="s">
        <v>77</v>
      </c>
      <c r="G887" s="2" t="s">
        <v>26</v>
      </c>
      <c r="H887" s="8" t="s">
        <v>28</v>
      </c>
      <c r="I887" s="2" t="s">
        <v>26</v>
      </c>
      <c r="J887" s="7">
        <v>44927</v>
      </c>
      <c r="K887" s="8" t="s">
        <v>77</v>
      </c>
      <c r="L887" s="2" t="s">
        <v>26</v>
      </c>
      <c r="M887" s="8" t="s">
        <v>28</v>
      </c>
      <c r="N887" s="6" t="s">
        <v>2264</v>
      </c>
      <c r="O887" s="6" t="s">
        <v>30</v>
      </c>
      <c r="P887" s="2" t="s">
        <v>12267</v>
      </c>
    </row>
    <row r="888" spans="1:16" ht="13.15" x14ac:dyDescent="0.4">
      <c r="A888" s="2" t="s">
        <v>11941</v>
      </c>
      <c r="B888" s="2" t="s">
        <v>5885</v>
      </c>
      <c r="C888" s="6" t="s">
        <v>5879</v>
      </c>
      <c r="D888" s="6" t="s">
        <v>42</v>
      </c>
      <c r="E888" s="7">
        <v>44927</v>
      </c>
      <c r="F888" s="8" t="s">
        <v>77</v>
      </c>
      <c r="G888" s="2" t="s">
        <v>26</v>
      </c>
      <c r="H888" s="8" t="s">
        <v>28</v>
      </c>
      <c r="I888" s="2" t="s">
        <v>26</v>
      </c>
      <c r="J888" s="7">
        <v>44927</v>
      </c>
      <c r="K888" s="8" t="s">
        <v>77</v>
      </c>
      <c r="L888" s="2" t="s">
        <v>26</v>
      </c>
      <c r="M888" s="8" t="s">
        <v>28</v>
      </c>
      <c r="N888" s="6" t="s">
        <v>2264</v>
      </c>
      <c r="O888" s="6" t="s">
        <v>30</v>
      </c>
      <c r="P888" s="2" t="s">
        <v>12268</v>
      </c>
    </row>
    <row r="889" spans="1:16" ht="13.15" x14ac:dyDescent="0.4">
      <c r="A889" s="2" t="s">
        <v>11937</v>
      </c>
      <c r="B889" s="2" t="s">
        <v>5885</v>
      </c>
      <c r="C889" s="6" t="s">
        <v>5879</v>
      </c>
      <c r="D889" s="6" t="s">
        <v>42</v>
      </c>
      <c r="E889" s="7">
        <v>44927</v>
      </c>
      <c r="F889" s="8" t="s">
        <v>77</v>
      </c>
      <c r="G889" s="2" t="s">
        <v>26</v>
      </c>
      <c r="H889" s="8" t="s">
        <v>28</v>
      </c>
      <c r="I889" s="2" t="s">
        <v>26</v>
      </c>
      <c r="J889" s="7">
        <v>44927</v>
      </c>
      <c r="K889" s="8" t="s">
        <v>77</v>
      </c>
      <c r="L889" s="2" t="s">
        <v>26</v>
      </c>
      <c r="M889" s="8" t="s">
        <v>28</v>
      </c>
      <c r="N889" s="6" t="s">
        <v>2264</v>
      </c>
      <c r="O889" s="6" t="s">
        <v>30</v>
      </c>
      <c r="P889" s="2" t="s">
        <v>12269</v>
      </c>
    </row>
    <row r="890" spans="1:16" ht="13.15" x14ac:dyDescent="0.4">
      <c r="A890" s="2" t="s">
        <v>11794</v>
      </c>
      <c r="B890" s="2" t="s">
        <v>5885</v>
      </c>
      <c r="C890" s="6" t="s">
        <v>5879</v>
      </c>
      <c r="D890" s="6" t="s">
        <v>42</v>
      </c>
      <c r="E890" s="7">
        <v>44927</v>
      </c>
      <c r="F890" s="8" t="s">
        <v>77</v>
      </c>
      <c r="G890" s="2" t="s">
        <v>26</v>
      </c>
      <c r="H890" s="8" t="s">
        <v>28</v>
      </c>
      <c r="I890" s="2" t="s">
        <v>26</v>
      </c>
      <c r="J890" s="7">
        <v>44927</v>
      </c>
      <c r="K890" s="8" t="s">
        <v>77</v>
      </c>
      <c r="L890" s="2" t="s">
        <v>26</v>
      </c>
      <c r="M890" s="8" t="s">
        <v>28</v>
      </c>
      <c r="N890" s="6" t="s">
        <v>2264</v>
      </c>
      <c r="O890" s="6" t="s">
        <v>30</v>
      </c>
      <c r="P890" s="2" t="s">
        <v>12270</v>
      </c>
    </row>
    <row r="891" spans="1:16" ht="13.15" x14ac:dyDescent="0.4">
      <c r="A891" s="2" t="s">
        <v>11828</v>
      </c>
      <c r="B891" s="2" t="s">
        <v>5885</v>
      </c>
      <c r="C891" s="6" t="s">
        <v>5879</v>
      </c>
      <c r="D891" s="6" t="s">
        <v>42</v>
      </c>
      <c r="E891" s="7">
        <v>44927</v>
      </c>
      <c r="F891" s="8" t="s">
        <v>77</v>
      </c>
      <c r="G891" s="2" t="s">
        <v>26</v>
      </c>
      <c r="H891" s="8" t="s">
        <v>28</v>
      </c>
      <c r="I891" s="2" t="s">
        <v>26</v>
      </c>
      <c r="J891" s="7">
        <v>44927</v>
      </c>
      <c r="K891" s="8" t="s">
        <v>77</v>
      </c>
      <c r="L891" s="2" t="s">
        <v>26</v>
      </c>
      <c r="M891" s="8" t="s">
        <v>28</v>
      </c>
      <c r="N891" s="6" t="s">
        <v>2264</v>
      </c>
      <c r="O891" s="6" t="s">
        <v>30</v>
      </c>
      <c r="P891" s="2" t="s">
        <v>12271</v>
      </c>
    </row>
    <row r="892" spans="1:16" ht="13.15" x14ac:dyDescent="0.4">
      <c r="A892" s="2" t="s">
        <v>11891</v>
      </c>
      <c r="B892" s="2" t="s">
        <v>5885</v>
      </c>
      <c r="C892" s="6" t="s">
        <v>5879</v>
      </c>
      <c r="D892" s="6" t="s">
        <v>42</v>
      </c>
      <c r="E892" s="7">
        <v>44927</v>
      </c>
      <c r="F892" s="8" t="s">
        <v>77</v>
      </c>
      <c r="G892" s="2" t="s">
        <v>26</v>
      </c>
      <c r="H892" s="8" t="s">
        <v>28</v>
      </c>
      <c r="I892" s="2" t="s">
        <v>26</v>
      </c>
      <c r="J892" s="7">
        <v>44927</v>
      </c>
      <c r="K892" s="8" t="s">
        <v>77</v>
      </c>
      <c r="L892" s="2" t="s">
        <v>26</v>
      </c>
      <c r="M892" s="8" t="s">
        <v>28</v>
      </c>
      <c r="N892" s="6" t="s">
        <v>2264</v>
      </c>
      <c r="O892" s="6" t="s">
        <v>30</v>
      </c>
      <c r="P892" s="2" t="s">
        <v>12272</v>
      </c>
    </row>
    <row r="893" spans="1:16" ht="13.15" x14ac:dyDescent="0.4">
      <c r="A893" s="2" t="s">
        <v>11950</v>
      </c>
      <c r="B893" s="2" t="s">
        <v>5885</v>
      </c>
      <c r="C893" s="6" t="s">
        <v>5879</v>
      </c>
      <c r="D893" s="6" t="s">
        <v>42</v>
      </c>
      <c r="E893" s="7">
        <v>44927</v>
      </c>
      <c r="F893" s="8" t="s">
        <v>77</v>
      </c>
      <c r="G893" s="2" t="s">
        <v>26</v>
      </c>
      <c r="H893" s="8" t="s">
        <v>28</v>
      </c>
      <c r="I893" s="2" t="s">
        <v>26</v>
      </c>
      <c r="J893" s="7">
        <v>44927</v>
      </c>
      <c r="K893" s="8" t="s">
        <v>77</v>
      </c>
      <c r="L893" s="2" t="s">
        <v>26</v>
      </c>
      <c r="M893" s="8" t="s">
        <v>28</v>
      </c>
      <c r="N893" s="6" t="s">
        <v>2264</v>
      </c>
      <c r="O893" s="6" t="s">
        <v>30</v>
      </c>
      <c r="P893" s="2" t="s">
        <v>12273</v>
      </c>
    </row>
    <row r="894" spans="1:16" ht="13.15" x14ac:dyDescent="0.4">
      <c r="A894" s="2" t="s">
        <v>11735</v>
      </c>
      <c r="B894" s="2" t="s">
        <v>5885</v>
      </c>
      <c r="C894" s="6" t="s">
        <v>5879</v>
      </c>
      <c r="D894" s="6" t="s">
        <v>42</v>
      </c>
      <c r="E894" s="7">
        <v>44927</v>
      </c>
      <c r="F894" s="8" t="s">
        <v>77</v>
      </c>
      <c r="G894" s="2" t="s">
        <v>26</v>
      </c>
      <c r="H894" s="8" t="s">
        <v>28</v>
      </c>
      <c r="I894" s="2" t="s">
        <v>26</v>
      </c>
      <c r="J894" s="7">
        <v>44927</v>
      </c>
      <c r="K894" s="8" t="s">
        <v>77</v>
      </c>
      <c r="L894" s="2" t="s">
        <v>26</v>
      </c>
      <c r="M894" s="8" t="s">
        <v>28</v>
      </c>
      <c r="N894" s="6" t="s">
        <v>2264</v>
      </c>
      <c r="O894" s="6" t="s">
        <v>30</v>
      </c>
      <c r="P894" s="2" t="s">
        <v>12274</v>
      </c>
    </row>
    <row r="895" spans="1:16" ht="13.15" x14ac:dyDescent="0.4">
      <c r="A895" s="2" t="s">
        <v>11707</v>
      </c>
      <c r="B895" s="2" t="s">
        <v>5885</v>
      </c>
      <c r="C895" s="6" t="s">
        <v>5879</v>
      </c>
      <c r="D895" s="6" t="s">
        <v>42</v>
      </c>
      <c r="E895" s="7">
        <v>44927</v>
      </c>
      <c r="F895" s="8" t="s">
        <v>77</v>
      </c>
      <c r="G895" s="2" t="s">
        <v>26</v>
      </c>
      <c r="H895" s="8" t="s">
        <v>28</v>
      </c>
      <c r="I895" s="2" t="s">
        <v>26</v>
      </c>
      <c r="J895" s="7">
        <v>44927</v>
      </c>
      <c r="K895" s="8" t="s">
        <v>77</v>
      </c>
      <c r="L895" s="2" t="s">
        <v>26</v>
      </c>
      <c r="M895" s="8" t="s">
        <v>28</v>
      </c>
      <c r="N895" s="6" t="s">
        <v>2264</v>
      </c>
      <c r="O895" s="6" t="s">
        <v>30</v>
      </c>
      <c r="P895" s="2" t="s">
        <v>12275</v>
      </c>
    </row>
    <row r="896" spans="1:16" ht="13.15" x14ac:dyDescent="0.4">
      <c r="A896" s="2" t="s">
        <v>11846</v>
      </c>
      <c r="B896" s="2" t="s">
        <v>5885</v>
      </c>
      <c r="C896" s="6" t="s">
        <v>5879</v>
      </c>
      <c r="D896" s="6" t="s">
        <v>42</v>
      </c>
      <c r="E896" s="7">
        <v>44927</v>
      </c>
      <c r="F896" s="8" t="s">
        <v>77</v>
      </c>
      <c r="G896" s="2" t="s">
        <v>26</v>
      </c>
      <c r="H896" s="8" t="s">
        <v>28</v>
      </c>
      <c r="I896" s="2" t="s">
        <v>26</v>
      </c>
      <c r="J896" s="7">
        <v>44927</v>
      </c>
      <c r="K896" s="8" t="s">
        <v>77</v>
      </c>
      <c r="L896" s="2" t="s">
        <v>26</v>
      </c>
      <c r="M896" s="8" t="s">
        <v>28</v>
      </c>
      <c r="N896" s="6" t="s">
        <v>2264</v>
      </c>
      <c r="O896" s="6" t="s">
        <v>30</v>
      </c>
      <c r="P896" s="2" t="s">
        <v>12276</v>
      </c>
    </row>
    <row r="897" spans="1:16" ht="13.15" x14ac:dyDescent="0.4">
      <c r="A897" s="2" t="s">
        <v>11854</v>
      </c>
      <c r="B897" s="2" t="s">
        <v>5885</v>
      </c>
      <c r="C897" s="6" t="s">
        <v>5879</v>
      </c>
      <c r="D897" s="6" t="s">
        <v>42</v>
      </c>
      <c r="E897" s="7">
        <v>44927</v>
      </c>
      <c r="F897" s="8" t="s">
        <v>77</v>
      </c>
      <c r="G897" s="2" t="s">
        <v>26</v>
      </c>
      <c r="H897" s="8" t="s">
        <v>28</v>
      </c>
      <c r="I897" s="2" t="s">
        <v>26</v>
      </c>
      <c r="J897" s="7">
        <v>44927</v>
      </c>
      <c r="K897" s="8" t="s">
        <v>77</v>
      </c>
      <c r="L897" s="2" t="s">
        <v>26</v>
      </c>
      <c r="M897" s="8" t="s">
        <v>28</v>
      </c>
      <c r="N897" s="6" t="s">
        <v>2264</v>
      </c>
      <c r="O897" s="6" t="s">
        <v>30</v>
      </c>
      <c r="P897" s="2" t="s">
        <v>12277</v>
      </c>
    </row>
    <row r="898" spans="1:16" ht="13.15" x14ac:dyDescent="0.4">
      <c r="A898" s="2" t="s">
        <v>11845</v>
      </c>
      <c r="B898" s="2" t="s">
        <v>5885</v>
      </c>
      <c r="C898" s="6" t="s">
        <v>5879</v>
      </c>
      <c r="D898" s="6" t="s">
        <v>42</v>
      </c>
      <c r="E898" s="7">
        <v>44927</v>
      </c>
      <c r="F898" s="8" t="s">
        <v>77</v>
      </c>
      <c r="G898" s="2" t="s">
        <v>26</v>
      </c>
      <c r="H898" s="8" t="s">
        <v>28</v>
      </c>
      <c r="I898" s="2" t="s">
        <v>26</v>
      </c>
      <c r="J898" s="7">
        <v>44927</v>
      </c>
      <c r="K898" s="8" t="s">
        <v>77</v>
      </c>
      <c r="L898" s="2" t="s">
        <v>26</v>
      </c>
      <c r="M898" s="8" t="s">
        <v>28</v>
      </c>
      <c r="N898" s="6" t="s">
        <v>2264</v>
      </c>
      <c r="O898" s="6" t="s">
        <v>30</v>
      </c>
      <c r="P898" s="2" t="s">
        <v>12278</v>
      </c>
    </row>
    <row r="899" spans="1:16" ht="13.15" x14ac:dyDescent="0.4">
      <c r="A899" s="2" t="s">
        <v>11714</v>
      </c>
      <c r="B899" s="2" t="s">
        <v>5885</v>
      </c>
      <c r="C899" s="6" t="s">
        <v>5879</v>
      </c>
      <c r="D899" s="6" t="s">
        <v>42</v>
      </c>
      <c r="E899" s="7">
        <v>44927</v>
      </c>
      <c r="F899" s="8" t="s">
        <v>77</v>
      </c>
      <c r="G899" s="2" t="s">
        <v>26</v>
      </c>
      <c r="H899" s="8" t="s">
        <v>28</v>
      </c>
      <c r="I899" s="2" t="s">
        <v>26</v>
      </c>
      <c r="J899" s="7">
        <v>44927</v>
      </c>
      <c r="K899" s="8" t="s">
        <v>77</v>
      </c>
      <c r="L899" s="2" t="s">
        <v>26</v>
      </c>
      <c r="M899" s="8" t="s">
        <v>28</v>
      </c>
      <c r="N899" s="6" t="s">
        <v>2264</v>
      </c>
      <c r="O899" s="6" t="s">
        <v>30</v>
      </c>
      <c r="P899" s="2" t="s">
        <v>12279</v>
      </c>
    </row>
    <row r="900" spans="1:16" ht="13.15" x14ac:dyDescent="0.4">
      <c r="A900" s="2" t="s">
        <v>11795</v>
      </c>
      <c r="B900" s="2" t="s">
        <v>5885</v>
      </c>
      <c r="C900" s="6" t="s">
        <v>5879</v>
      </c>
      <c r="D900" s="6" t="s">
        <v>42</v>
      </c>
      <c r="E900" s="7">
        <v>44927</v>
      </c>
      <c r="F900" s="8" t="s">
        <v>77</v>
      </c>
      <c r="G900" s="2" t="s">
        <v>26</v>
      </c>
      <c r="H900" s="8" t="s">
        <v>28</v>
      </c>
      <c r="I900" s="2" t="s">
        <v>26</v>
      </c>
      <c r="J900" s="7">
        <v>44927</v>
      </c>
      <c r="K900" s="8" t="s">
        <v>77</v>
      </c>
      <c r="L900" s="2" t="s">
        <v>26</v>
      </c>
      <c r="M900" s="8" t="s">
        <v>28</v>
      </c>
      <c r="N900" s="6" t="s">
        <v>2264</v>
      </c>
      <c r="O900" s="6" t="s">
        <v>30</v>
      </c>
      <c r="P900" s="2" t="s">
        <v>12280</v>
      </c>
    </row>
    <row r="901" spans="1:16" ht="13.15" x14ac:dyDescent="0.4">
      <c r="A901" s="2" t="s">
        <v>11731</v>
      </c>
      <c r="B901" s="2" t="s">
        <v>5885</v>
      </c>
      <c r="C901" s="6" t="s">
        <v>5879</v>
      </c>
      <c r="D901" s="6" t="s">
        <v>42</v>
      </c>
      <c r="E901" s="7">
        <v>44927</v>
      </c>
      <c r="F901" s="8" t="s">
        <v>77</v>
      </c>
      <c r="G901" s="2" t="s">
        <v>26</v>
      </c>
      <c r="H901" s="8" t="s">
        <v>28</v>
      </c>
      <c r="I901" s="2" t="s">
        <v>26</v>
      </c>
      <c r="J901" s="7">
        <v>44927</v>
      </c>
      <c r="K901" s="8" t="s">
        <v>77</v>
      </c>
      <c r="L901" s="2" t="s">
        <v>26</v>
      </c>
      <c r="M901" s="8" t="s">
        <v>28</v>
      </c>
      <c r="N901" s="6" t="s">
        <v>2264</v>
      </c>
      <c r="O901" s="6" t="s">
        <v>30</v>
      </c>
      <c r="P901" s="2" t="s">
        <v>12281</v>
      </c>
    </row>
    <row r="902" spans="1:16" ht="13.15" x14ac:dyDescent="0.4">
      <c r="A902" s="2" t="s">
        <v>11811</v>
      </c>
      <c r="B902" s="2" t="s">
        <v>5885</v>
      </c>
      <c r="C902" s="6" t="s">
        <v>5879</v>
      </c>
      <c r="D902" s="6" t="s">
        <v>42</v>
      </c>
      <c r="E902" s="7">
        <v>44927</v>
      </c>
      <c r="F902" s="8" t="s">
        <v>77</v>
      </c>
      <c r="G902" s="2" t="s">
        <v>26</v>
      </c>
      <c r="H902" s="8" t="s">
        <v>28</v>
      </c>
      <c r="I902" s="2" t="s">
        <v>26</v>
      </c>
      <c r="J902" s="7">
        <v>44927</v>
      </c>
      <c r="K902" s="8" t="s">
        <v>77</v>
      </c>
      <c r="L902" s="2" t="s">
        <v>26</v>
      </c>
      <c r="M902" s="8" t="s">
        <v>28</v>
      </c>
      <c r="N902" s="6" t="s">
        <v>2264</v>
      </c>
      <c r="O902" s="6" t="s">
        <v>30</v>
      </c>
      <c r="P902" s="2" t="s">
        <v>12282</v>
      </c>
    </row>
    <row r="903" spans="1:16" ht="13.15" x14ac:dyDescent="0.4">
      <c r="A903" s="2" t="s">
        <v>11856</v>
      </c>
      <c r="B903" s="2" t="s">
        <v>5885</v>
      </c>
      <c r="C903" s="6" t="s">
        <v>5879</v>
      </c>
      <c r="D903" s="6" t="s">
        <v>42</v>
      </c>
      <c r="E903" s="7">
        <v>44927</v>
      </c>
      <c r="F903" s="8" t="s">
        <v>77</v>
      </c>
      <c r="G903" s="2" t="s">
        <v>26</v>
      </c>
      <c r="H903" s="8" t="s">
        <v>28</v>
      </c>
      <c r="I903" s="2" t="s">
        <v>26</v>
      </c>
      <c r="J903" s="7">
        <v>44927</v>
      </c>
      <c r="K903" s="8" t="s">
        <v>77</v>
      </c>
      <c r="L903" s="2" t="s">
        <v>26</v>
      </c>
      <c r="M903" s="8" t="s">
        <v>28</v>
      </c>
      <c r="N903" s="6" t="s">
        <v>2264</v>
      </c>
      <c r="O903" s="6" t="s">
        <v>30</v>
      </c>
      <c r="P903" s="2" t="s">
        <v>12283</v>
      </c>
    </row>
    <row r="904" spans="1:16" ht="13.15" x14ac:dyDescent="0.4">
      <c r="A904" s="2" t="s">
        <v>11871</v>
      </c>
      <c r="B904" s="2" t="s">
        <v>5885</v>
      </c>
      <c r="C904" s="6" t="s">
        <v>5879</v>
      </c>
      <c r="D904" s="6" t="s">
        <v>42</v>
      </c>
      <c r="E904" s="7">
        <v>44927</v>
      </c>
      <c r="F904" s="8" t="s">
        <v>77</v>
      </c>
      <c r="G904" s="2" t="s">
        <v>26</v>
      </c>
      <c r="H904" s="8" t="s">
        <v>28</v>
      </c>
      <c r="I904" s="2" t="s">
        <v>26</v>
      </c>
      <c r="J904" s="7">
        <v>44927</v>
      </c>
      <c r="K904" s="8" t="s">
        <v>77</v>
      </c>
      <c r="L904" s="2" t="s">
        <v>26</v>
      </c>
      <c r="M904" s="8" t="s">
        <v>28</v>
      </c>
      <c r="N904" s="6" t="s">
        <v>2264</v>
      </c>
      <c r="O904" s="6" t="s">
        <v>30</v>
      </c>
      <c r="P904" s="2" t="s">
        <v>12284</v>
      </c>
    </row>
    <row r="905" spans="1:16" ht="13.15" x14ac:dyDescent="0.4">
      <c r="A905" s="2" t="s">
        <v>11820</v>
      </c>
      <c r="B905" s="2" t="s">
        <v>5885</v>
      </c>
      <c r="C905" s="6" t="s">
        <v>5879</v>
      </c>
      <c r="D905" s="6" t="s">
        <v>42</v>
      </c>
      <c r="E905" s="7">
        <v>44927</v>
      </c>
      <c r="F905" s="8" t="s">
        <v>77</v>
      </c>
      <c r="G905" s="2" t="s">
        <v>26</v>
      </c>
      <c r="H905" s="8" t="s">
        <v>28</v>
      </c>
      <c r="I905" s="2" t="s">
        <v>26</v>
      </c>
      <c r="J905" s="7">
        <v>44927</v>
      </c>
      <c r="K905" s="8" t="s">
        <v>77</v>
      </c>
      <c r="L905" s="2" t="s">
        <v>26</v>
      </c>
      <c r="M905" s="8" t="s">
        <v>28</v>
      </c>
      <c r="N905" s="6" t="s">
        <v>2264</v>
      </c>
      <c r="O905" s="6" t="s">
        <v>30</v>
      </c>
      <c r="P905" s="2" t="s">
        <v>12285</v>
      </c>
    </row>
    <row r="906" spans="1:16" ht="13.15" x14ac:dyDescent="0.4">
      <c r="A906" s="2" t="s">
        <v>11704</v>
      </c>
      <c r="B906" s="2" t="s">
        <v>5885</v>
      </c>
      <c r="C906" s="6" t="s">
        <v>5879</v>
      </c>
      <c r="D906" s="6" t="s">
        <v>42</v>
      </c>
      <c r="E906" s="7">
        <v>44927</v>
      </c>
      <c r="F906" s="8" t="s">
        <v>77</v>
      </c>
      <c r="G906" s="2" t="s">
        <v>26</v>
      </c>
      <c r="H906" s="8" t="s">
        <v>28</v>
      </c>
      <c r="I906" s="2" t="s">
        <v>26</v>
      </c>
      <c r="J906" s="7">
        <v>44927</v>
      </c>
      <c r="K906" s="8" t="s">
        <v>77</v>
      </c>
      <c r="L906" s="2" t="s">
        <v>26</v>
      </c>
      <c r="M906" s="8" t="s">
        <v>28</v>
      </c>
      <c r="N906" s="6" t="s">
        <v>2264</v>
      </c>
      <c r="O906" s="6" t="s">
        <v>30</v>
      </c>
      <c r="P906" s="2" t="s">
        <v>12286</v>
      </c>
    </row>
    <row r="907" spans="1:16" ht="13.15" x14ac:dyDescent="0.4">
      <c r="A907" s="2" t="s">
        <v>11787</v>
      </c>
      <c r="B907" s="2" t="s">
        <v>5885</v>
      </c>
      <c r="C907" s="6" t="s">
        <v>5879</v>
      </c>
      <c r="D907" s="6" t="s">
        <v>42</v>
      </c>
      <c r="E907" s="7">
        <v>44927</v>
      </c>
      <c r="F907" s="8" t="s">
        <v>77</v>
      </c>
      <c r="G907" s="2" t="s">
        <v>26</v>
      </c>
      <c r="H907" s="8" t="s">
        <v>28</v>
      </c>
      <c r="I907" s="2" t="s">
        <v>26</v>
      </c>
      <c r="J907" s="7">
        <v>44927</v>
      </c>
      <c r="K907" s="8" t="s">
        <v>77</v>
      </c>
      <c r="L907" s="2" t="s">
        <v>26</v>
      </c>
      <c r="M907" s="8" t="s">
        <v>28</v>
      </c>
      <c r="N907" s="6" t="s">
        <v>2264</v>
      </c>
      <c r="O907" s="6" t="s">
        <v>30</v>
      </c>
      <c r="P907" s="2" t="s">
        <v>12287</v>
      </c>
    </row>
    <row r="908" spans="1:16" ht="13.15" x14ac:dyDescent="0.4">
      <c r="A908" s="2" t="s">
        <v>11881</v>
      </c>
      <c r="B908" s="2" t="s">
        <v>5885</v>
      </c>
      <c r="C908" s="6" t="s">
        <v>5879</v>
      </c>
      <c r="D908" s="6" t="s">
        <v>42</v>
      </c>
      <c r="E908" s="7">
        <v>44927</v>
      </c>
      <c r="F908" s="8" t="s">
        <v>77</v>
      </c>
      <c r="G908" s="2" t="s">
        <v>26</v>
      </c>
      <c r="H908" s="8" t="s">
        <v>28</v>
      </c>
      <c r="I908" s="2" t="s">
        <v>26</v>
      </c>
      <c r="J908" s="7">
        <v>44927</v>
      </c>
      <c r="K908" s="8" t="s">
        <v>77</v>
      </c>
      <c r="L908" s="2" t="s">
        <v>26</v>
      </c>
      <c r="M908" s="8" t="s">
        <v>28</v>
      </c>
      <c r="N908" s="6" t="s">
        <v>2264</v>
      </c>
      <c r="O908" s="6" t="s">
        <v>30</v>
      </c>
      <c r="P908" s="2" t="s">
        <v>12288</v>
      </c>
    </row>
    <row r="909" spans="1:16" ht="13.15" x14ac:dyDescent="0.4">
      <c r="A909" s="2" t="s">
        <v>11814</v>
      </c>
      <c r="B909" s="2" t="s">
        <v>5885</v>
      </c>
      <c r="C909" s="6" t="s">
        <v>5879</v>
      </c>
      <c r="D909" s="6" t="s">
        <v>42</v>
      </c>
      <c r="E909" s="7">
        <v>44927</v>
      </c>
      <c r="F909" s="8" t="s">
        <v>77</v>
      </c>
      <c r="G909" s="2" t="s">
        <v>26</v>
      </c>
      <c r="H909" s="8" t="s">
        <v>28</v>
      </c>
      <c r="I909" s="2" t="s">
        <v>26</v>
      </c>
      <c r="J909" s="7">
        <v>44927</v>
      </c>
      <c r="K909" s="8" t="s">
        <v>77</v>
      </c>
      <c r="L909" s="2" t="s">
        <v>26</v>
      </c>
      <c r="M909" s="8" t="s">
        <v>28</v>
      </c>
      <c r="N909" s="6" t="s">
        <v>2264</v>
      </c>
      <c r="O909" s="6" t="s">
        <v>30</v>
      </c>
      <c r="P909" s="2" t="s">
        <v>12289</v>
      </c>
    </row>
    <row r="910" spans="1:16" ht="13.15" x14ac:dyDescent="0.4">
      <c r="A910" s="2" t="s">
        <v>11879</v>
      </c>
      <c r="B910" s="2" t="s">
        <v>5885</v>
      </c>
      <c r="C910" s="6" t="s">
        <v>5879</v>
      </c>
      <c r="D910" s="6" t="s">
        <v>42</v>
      </c>
      <c r="E910" s="7">
        <v>44927</v>
      </c>
      <c r="F910" s="8" t="s">
        <v>77</v>
      </c>
      <c r="G910" s="2" t="s">
        <v>26</v>
      </c>
      <c r="H910" s="8" t="s">
        <v>28</v>
      </c>
      <c r="I910" s="2" t="s">
        <v>26</v>
      </c>
      <c r="J910" s="7">
        <v>44927</v>
      </c>
      <c r="K910" s="8" t="s">
        <v>77</v>
      </c>
      <c r="L910" s="2" t="s">
        <v>26</v>
      </c>
      <c r="M910" s="8" t="s">
        <v>28</v>
      </c>
      <c r="N910" s="6" t="s">
        <v>2264</v>
      </c>
      <c r="O910" s="6" t="s">
        <v>30</v>
      </c>
      <c r="P910" s="2" t="s">
        <v>12290</v>
      </c>
    </row>
    <row r="911" spans="1:16" ht="13.15" x14ac:dyDescent="0.4">
      <c r="A911" s="2" t="s">
        <v>11866</v>
      </c>
      <c r="B911" s="2" t="s">
        <v>5885</v>
      </c>
      <c r="C911" s="6" t="s">
        <v>5879</v>
      </c>
      <c r="D911" s="6" t="s">
        <v>42</v>
      </c>
      <c r="E911" s="7">
        <v>44927</v>
      </c>
      <c r="F911" s="8" t="s">
        <v>77</v>
      </c>
      <c r="G911" s="2" t="s">
        <v>26</v>
      </c>
      <c r="H911" s="8" t="s">
        <v>28</v>
      </c>
      <c r="I911" s="2" t="s">
        <v>26</v>
      </c>
      <c r="J911" s="7">
        <v>44927</v>
      </c>
      <c r="K911" s="8" t="s">
        <v>77</v>
      </c>
      <c r="L911" s="2" t="s">
        <v>26</v>
      </c>
      <c r="M911" s="8" t="s">
        <v>28</v>
      </c>
      <c r="N911" s="6" t="s">
        <v>2264</v>
      </c>
      <c r="O911" s="6" t="s">
        <v>30</v>
      </c>
      <c r="P911" s="2" t="s">
        <v>12291</v>
      </c>
    </row>
    <row r="912" spans="1:16" ht="13.15" x14ac:dyDescent="0.4">
      <c r="A912" s="2" t="s">
        <v>11782</v>
      </c>
      <c r="B912" s="2" t="s">
        <v>5885</v>
      </c>
      <c r="C912" s="6" t="s">
        <v>5879</v>
      </c>
      <c r="D912" s="6" t="s">
        <v>42</v>
      </c>
      <c r="E912" s="7">
        <v>44927</v>
      </c>
      <c r="F912" s="8" t="s">
        <v>77</v>
      </c>
      <c r="G912" s="2" t="s">
        <v>26</v>
      </c>
      <c r="H912" s="8" t="s">
        <v>28</v>
      </c>
      <c r="I912" s="2" t="s">
        <v>26</v>
      </c>
      <c r="J912" s="7">
        <v>44927</v>
      </c>
      <c r="K912" s="8" t="s">
        <v>77</v>
      </c>
      <c r="L912" s="2" t="s">
        <v>26</v>
      </c>
      <c r="M912" s="8" t="s">
        <v>28</v>
      </c>
      <c r="N912" s="6" t="s">
        <v>2264</v>
      </c>
      <c r="O912" s="6" t="s">
        <v>30</v>
      </c>
      <c r="P912" s="2" t="s">
        <v>12292</v>
      </c>
    </row>
    <row r="913" spans="1:16" ht="13.15" x14ac:dyDescent="0.4">
      <c r="A913" s="2" t="s">
        <v>11865</v>
      </c>
      <c r="B913" s="2" t="s">
        <v>5885</v>
      </c>
      <c r="C913" s="6" t="s">
        <v>5879</v>
      </c>
      <c r="D913" s="6" t="s">
        <v>42</v>
      </c>
      <c r="E913" s="7">
        <v>44927</v>
      </c>
      <c r="F913" s="8" t="s">
        <v>77</v>
      </c>
      <c r="G913" s="2" t="s">
        <v>26</v>
      </c>
      <c r="H913" s="8" t="s">
        <v>28</v>
      </c>
      <c r="I913" s="2" t="s">
        <v>26</v>
      </c>
      <c r="J913" s="7">
        <v>44927</v>
      </c>
      <c r="K913" s="8" t="s">
        <v>77</v>
      </c>
      <c r="L913" s="2" t="s">
        <v>26</v>
      </c>
      <c r="M913" s="8" t="s">
        <v>28</v>
      </c>
      <c r="N913" s="6" t="s">
        <v>2264</v>
      </c>
      <c r="O913" s="6" t="s">
        <v>30</v>
      </c>
      <c r="P913" s="2" t="s">
        <v>12293</v>
      </c>
    </row>
    <row r="914" spans="1:16" ht="13.15" x14ac:dyDescent="0.4">
      <c r="A914" s="2" t="s">
        <v>11932</v>
      </c>
      <c r="B914" s="2" t="s">
        <v>5885</v>
      </c>
      <c r="C914" s="6" t="s">
        <v>5879</v>
      </c>
      <c r="D914" s="6" t="s">
        <v>42</v>
      </c>
      <c r="E914" s="7">
        <v>44927</v>
      </c>
      <c r="F914" s="8" t="s">
        <v>77</v>
      </c>
      <c r="G914" s="2" t="s">
        <v>26</v>
      </c>
      <c r="H914" s="8" t="s">
        <v>28</v>
      </c>
      <c r="I914" s="2" t="s">
        <v>26</v>
      </c>
      <c r="J914" s="7">
        <v>44927</v>
      </c>
      <c r="K914" s="8" t="s">
        <v>77</v>
      </c>
      <c r="L914" s="2" t="s">
        <v>26</v>
      </c>
      <c r="M914" s="8" t="s">
        <v>28</v>
      </c>
      <c r="N914" s="6" t="s">
        <v>2264</v>
      </c>
      <c r="O914" s="6" t="s">
        <v>30</v>
      </c>
      <c r="P914" s="2" t="s">
        <v>12294</v>
      </c>
    </row>
    <row r="915" spans="1:16" ht="13.15" x14ac:dyDescent="0.4">
      <c r="A915" s="2" t="s">
        <v>11693</v>
      </c>
      <c r="B915" s="2" t="s">
        <v>5885</v>
      </c>
      <c r="C915" s="6" t="s">
        <v>5879</v>
      </c>
      <c r="D915" s="6" t="s">
        <v>42</v>
      </c>
      <c r="E915" s="7">
        <v>44927</v>
      </c>
      <c r="F915" s="8" t="s">
        <v>77</v>
      </c>
      <c r="G915" s="2" t="s">
        <v>26</v>
      </c>
      <c r="H915" s="8" t="s">
        <v>28</v>
      </c>
      <c r="I915" s="2" t="s">
        <v>26</v>
      </c>
      <c r="J915" s="7">
        <v>44927</v>
      </c>
      <c r="K915" s="8" t="s">
        <v>77</v>
      </c>
      <c r="L915" s="2" t="s">
        <v>26</v>
      </c>
      <c r="M915" s="8" t="s">
        <v>28</v>
      </c>
      <c r="N915" s="6" t="s">
        <v>2264</v>
      </c>
      <c r="O915" s="6" t="s">
        <v>30</v>
      </c>
      <c r="P915" s="2" t="s">
        <v>12295</v>
      </c>
    </row>
    <row r="916" spans="1:16" ht="13.15" x14ac:dyDescent="0.4">
      <c r="A916" s="2" t="s">
        <v>11773</v>
      </c>
      <c r="B916" s="2" t="s">
        <v>5885</v>
      </c>
      <c r="C916" s="6" t="s">
        <v>5879</v>
      </c>
      <c r="D916" s="6" t="s">
        <v>42</v>
      </c>
      <c r="E916" s="7">
        <v>44927</v>
      </c>
      <c r="F916" s="8" t="s">
        <v>77</v>
      </c>
      <c r="G916" s="2" t="s">
        <v>26</v>
      </c>
      <c r="H916" s="8" t="s">
        <v>28</v>
      </c>
      <c r="I916" s="2" t="s">
        <v>26</v>
      </c>
      <c r="J916" s="7">
        <v>44927</v>
      </c>
      <c r="K916" s="8" t="s">
        <v>77</v>
      </c>
      <c r="L916" s="2" t="s">
        <v>26</v>
      </c>
      <c r="M916" s="8" t="s">
        <v>28</v>
      </c>
      <c r="N916" s="6" t="s">
        <v>2264</v>
      </c>
      <c r="O916" s="6" t="s">
        <v>30</v>
      </c>
      <c r="P916" s="2" t="s">
        <v>12296</v>
      </c>
    </row>
    <row r="917" spans="1:16" ht="13.15" x14ac:dyDescent="0.4">
      <c r="A917" s="2" t="s">
        <v>11853</v>
      </c>
      <c r="B917" s="2" t="s">
        <v>5885</v>
      </c>
      <c r="C917" s="6" t="s">
        <v>5879</v>
      </c>
      <c r="D917" s="6" t="s">
        <v>42</v>
      </c>
      <c r="E917" s="7">
        <v>44927</v>
      </c>
      <c r="F917" s="8" t="s">
        <v>77</v>
      </c>
      <c r="G917" s="2" t="s">
        <v>26</v>
      </c>
      <c r="H917" s="8" t="s">
        <v>28</v>
      </c>
      <c r="I917" s="2" t="s">
        <v>26</v>
      </c>
      <c r="J917" s="7">
        <v>44927</v>
      </c>
      <c r="K917" s="8" t="s">
        <v>77</v>
      </c>
      <c r="L917" s="2" t="s">
        <v>26</v>
      </c>
      <c r="M917" s="8" t="s">
        <v>28</v>
      </c>
      <c r="N917" s="6" t="s">
        <v>2264</v>
      </c>
      <c r="O917" s="6" t="s">
        <v>30</v>
      </c>
      <c r="P917" s="2" t="s">
        <v>12297</v>
      </c>
    </row>
    <row r="918" spans="1:16" ht="13.15" x14ac:dyDescent="0.4">
      <c r="A918" s="2" t="s">
        <v>11796</v>
      </c>
      <c r="B918" s="2" t="s">
        <v>5885</v>
      </c>
      <c r="C918" s="6" t="s">
        <v>5879</v>
      </c>
      <c r="D918" s="6" t="s">
        <v>42</v>
      </c>
      <c r="E918" s="7">
        <v>44927</v>
      </c>
      <c r="F918" s="8" t="s">
        <v>77</v>
      </c>
      <c r="G918" s="2" t="s">
        <v>26</v>
      </c>
      <c r="H918" s="8" t="s">
        <v>28</v>
      </c>
      <c r="I918" s="2" t="s">
        <v>26</v>
      </c>
      <c r="J918" s="7">
        <v>44927</v>
      </c>
      <c r="K918" s="8" t="s">
        <v>77</v>
      </c>
      <c r="L918" s="2" t="s">
        <v>26</v>
      </c>
      <c r="M918" s="8" t="s">
        <v>28</v>
      </c>
      <c r="N918" s="6" t="s">
        <v>2264</v>
      </c>
      <c r="O918" s="6" t="s">
        <v>30</v>
      </c>
      <c r="P918" s="2" t="s">
        <v>12298</v>
      </c>
    </row>
    <row r="919" spans="1:16" ht="13.15" x14ac:dyDescent="0.4">
      <c r="A919" s="2" t="s">
        <v>11703</v>
      </c>
      <c r="B919" s="2" t="s">
        <v>5885</v>
      </c>
      <c r="C919" s="6" t="s">
        <v>5879</v>
      </c>
      <c r="D919" s="6" t="s">
        <v>42</v>
      </c>
      <c r="E919" s="7">
        <v>44927</v>
      </c>
      <c r="F919" s="8" t="s">
        <v>77</v>
      </c>
      <c r="G919" s="2" t="s">
        <v>26</v>
      </c>
      <c r="H919" s="8" t="s">
        <v>28</v>
      </c>
      <c r="I919" s="2" t="s">
        <v>26</v>
      </c>
      <c r="J919" s="7">
        <v>44927</v>
      </c>
      <c r="K919" s="8" t="s">
        <v>77</v>
      </c>
      <c r="L919" s="2" t="s">
        <v>26</v>
      </c>
      <c r="M919" s="8" t="s">
        <v>28</v>
      </c>
      <c r="N919" s="6" t="s">
        <v>2264</v>
      </c>
      <c r="O919" s="6" t="s">
        <v>30</v>
      </c>
      <c r="P919" s="2" t="s">
        <v>12299</v>
      </c>
    </row>
    <row r="920" spans="1:16" ht="13.15" x14ac:dyDescent="0.4">
      <c r="A920" s="2" t="s">
        <v>11870</v>
      </c>
      <c r="B920" s="2" t="s">
        <v>5885</v>
      </c>
      <c r="C920" s="6" t="s">
        <v>5879</v>
      </c>
      <c r="D920" s="6" t="s">
        <v>42</v>
      </c>
      <c r="E920" s="7">
        <v>44927</v>
      </c>
      <c r="F920" s="8" t="s">
        <v>77</v>
      </c>
      <c r="G920" s="2" t="s">
        <v>26</v>
      </c>
      <c r="H920" s="8" t="s">
        <v>28</v>
      </c>
      <c r="I920" s="2" t="s">
        <v>26</v>
      </c>
      <c r="J920" s="7">
        <v>44927</v>
      </c>
      <c r="K920" s="8" t="s">
        <v>77</v>
      </c>
      <c r="L920" s="2" t="s">
        <v>26</v>
      </c>
      <c r="M920" s="8" t="s">
        <v>28</v>
      </c>
      <c r="N920" s="6" t="s">
        <v>2264</v>
      </c>
      <c r="O920" s="6" t="s">
        <v>30</v>
      </c>
      <c r="P920" s="2" t="s">
        <v>12300</v>
      </c>
    </row>
    <row r="921" spans="1:16" ht="13.15" x14ac:dyDescent="0.4">
      <c r="A921" s="2" t="s">
        <v>11841</v>
      </c>
      <c r="B921" s="2" t="s">
        <v>5885</v>
      </c>
      <c r="C921" s="6" t="s">
        <v>5879</v>
      </c>
      <c r="D921" s="6" t="s">
        <v>42</v>
      </c>
      <c r="E921" s="7">
        <v>44927</v>
      </c>
      <c r="F921" s="8" t="s">
        <v>77</v>
      </c>
      <c r="G921" s="2" t="s">
        <v>26</v>
      </c>
      <c r="H921" s="8" t="s">
        <v>28</v>
      </c>
      <c r="I921" s="2" t="s">
        <v>26</v>
      </c>
      <c r="J921" s="7">
        <v>44927</v>
      </c>
      <c r="K921" s="8" t="s">
        <v>77</v>
      </c>
      <c r="L921" s="2" t="s">
        <v>26</v>
      </c>
      <c r="M921" s="8" t="s">
        <v>28</v>
      </c>
      <c r="N921" s="6" t="s">
        <v>2264</v>
      </c>
      <c r="O921" s="6" t="s">
        <v>30</v>
      </c>
      <c r="P921" s="2" t="s">
        <v>12301</v>
      </c>
    </row>
    <row r="922" spans="1:16" ht="13.15" x14ac:dyDescent="0.4">
      <c r="A922" s="2" t="s">
        <v>11793</v>
      </c>
      <c r="B922" s="2" t="s">
        <v>5885</v>
      </c>
      <c r="C922" s="6" t="s">
        <v>5879</v>
      </c>
      <c r="D922" s="6" t="s">
        <v>42</v>
      </c>
      <c r="E922" s="7">
        <v>44927</v>
      </c>
      <c r="F922" s="8" t="s">
        <v>77</v>
      </c>
      <c r="G922" s="2" t="s">
        <v>26</v>
      </c>
      <c r="H922" s="8" t="s">
        <v>28</v>
      </c>
      <c r="I922" s="2" t="s">
        <v>26</v>
      </c>
      <c r="J922" s="7">
        <v>44927</v>
      </c>
      <c r="K922" s="8" t="s">
        <v>77</v>
      </c>
      <c r="L922" s="2" t="s">
        <v>26</v>
      </c>
      <c r="M922" s="8" t="s">
        <v>28</v>
      </c>
      <c r="N922" s="6" t="s">
        <v>2264</v>
      </c>
      <c r="O922" s="6" t="s">
        <v>30</v>
      </c>
      <c r="P922" s="2" t="s">
        <v>12302</v>
      </c>
    </row>
    <row r="923" spans="1:16" ht="13.15" x14ac:dyDescent="0.4">
      <c r="A923" s="2" t="s">
        <v>11788</v>
      </c>
      <c r="B923" s="2" t="s">
        <v>5885</v>
      </c>
      <c r="C923" s="6" t="s">
        <v>5879</v>
      </c>
      <c r="D923" s="6" t="s">
        <v>42</v>
      </c>
      <c r="E923" s="7">
        <v>44927</v>
      </c>
      <c r="F923" s="8" t="s">
        <v>77</v>
      </c>
      <c r="G923" s="2" t="s">
        <v>26</v>
      </c>
      <c r="H923" s="8" t="s">
        <v>28</v>
      </c>
      <c r="I923" s="2" t="s">
        <v>26</v>
      </c>
      <c r="J923" s="7">
        <v>44927</v>
      </c>
      <c r="K923" s="8" t="s">
        <v>77</v>
      </c>
      <c r="L923" s="2" t="s">
        <v>26</v>
      </c>
      <c r="M923" s="8" t="s">
        <v>28</v>
      </c>
      <c r="N923" s="6" t="s">
        <v>2264</v>
      </c>
      <c r="O923" s="6" t="s">
        <v>30</v>
      </c>
      <c r="P923" s="2" t="s">
        <v>12303</v>
      </c>
    </row>
    <row r="924" spans="1:16" ht="13.15" x14ac:dyDescent="0.4">
      <c r="A924" s="2" t="s">
        <v>11852</v>
      </c>
      <c r="B924" s="2" t="s">
        <v>5885</v>
      </c>
      <c r="C924" s="6" t="s">
        <v>5879</v>
      </c>
      <c r="D924" s="6" t="s">
        <v>42</v>
      </c>
      <c r="E924" s="7">
        <v>44927</v>
      </c>
      <c r="F924" s="8" t="s">
        <v>77</v>
      </c>
      <c r="G924" s="2" t="s">
        <v>26</v>
      </c>
      <c r="H924" s="8" t="s">
        <v>28</v>
      </c>
      <c r="I924" s="2" t="s">
        <v>26</v>
      </c>
      <c r="J924" s="7">
        <v>44927</v>
      </c>
      <c r="K924" s="8" t="s">
        <v>77</v>
      </c>
      <c r="L924" s="2" t="s">
        <v>26</v>
      </c>
      <c r="M924" s="8" t="s">
        <v>28</v>
      </c>
      <c r="N924" s="6" t="s">
        <v>2264</v>
      </c>
      <c r="O924" s="6" t="s">
        <v>30</v>
      </c>
      <c r="P924" s="2" t="s">
        <v>12304</v>
      </c>
    </row>
    <row r="925" spans="1:16" ht="13.15" x14ac:dyDescent="0.4">
      <c r="A925" s="2" t="s">
        <v>11758</v>
      </c>
      <c r="B925" s="2" t="s">
        <v>5885</v>
      </c>
      <c r="C925" s="6" t="s">
        <v>5879</v>
      </c>
      <c r="D925" s="6" t="s">
        <v>42</v>
      </c>
      <c r="E925" s="7">
        <v>44927</v>
      </c>
      <c r="F925" s="8" t="s">
        <v>77</v>
      </c>
      <c r="G925" s="2" t="s">
        <v>26</v>
      </c>
      <c r="H925" s="8" t="s">
        <v>28</v>
      </c>
      <c r="I925" s="2" t="s">
        <v>26</v>
      </c>
      <c r="J925" s="7">
        <v>44927</v>
      </c>
      <c r="K925" s="8" t="s">
        <v>77</v>
      </c>
      <c r="L925" s="2" t="s">
        <v>26</v>
      </c>
      <c r="M925" s="8" t="s">
        <v>28</v>
      </c>
      <c r="N925" s="6" t="s">
        <v>2264</v>
      </c>
      <c r="O925" s="6" t="s">
        <v>30</v>
      </c>
      <c r="P925" s="2" t="s">
        <v>12305</v>
      </c>
    </row>
    <row r="926" spans="1:16" ht="13.15" x14ac:dyDescent="0.4">
      <c r="A926" s="2" t="s">
        <v>11712</v>
      </c>
      <c r="B926" s="2" t="s">
        <v>5885</v>
      </c>
      <c r="C926" s="6" t="s">
        <v>5879</v>
      </c>
      <c r="D926" s="6" t="s">
        <v>42</v>
      </c>
      <c r="E926" s="7">
        <v>44927</v>
      </c>
      <c r="F926" s="8" t="s">
        <v>77</v>
      </c>
      <c r="G926" s="2" t="s">
        <v>26</v>
      </c>
      <c r="H926" s="8" t="s">
        <v>28</v>
      </c>
      <c r="I926" s="2" t="s">
        <v>26</v>
      </c>
      <c r="J926" s="7">
        <v>44927</v>
      </c>
      <c r="K926" s="8" t="s">
        <v>77</v>
      </c>
      <c r="L926" s="2" t="s">
        <v>26</v>
      </c>
      <c r="M926" s="8" t="s">
        <v>28</v>
      </c>
      <c r="N926" s="6" t="s">
        <v>2264</v>
      </c>
      <c r="O926" s="6" t="s">
        <v>30</v>
      </c>
      <c r="P926" s="2" t="s">
        <v>12306</v>
      </c>
    </row>
    <row r="927" spans="1:16" ht="13.15" x14ac:dyDescent="0.4">
      <c r="A927" s="2" t="s">
        <v>11817</v>
      </c>
      <c r="B927" s="2" t="s">
        <v>5885</v>
      </c>
      <c r="C927" s="6" t="s">
        <v>5879</v>
      </c>
      <c r="D927" s="6" t="s">
        <v>42</v>
      </c>
      <c r="E927" s="7">
        <v>44927</v>
      </c>
      <c r="F927" s="8" t="s">
        <v>77</v>
      </c>
      <c r="G927" s="2" t="s">
        <v>26</v>
      </c>
      <c r="H927" s="8" t="s">
        <v>28</v>
      </c>
      <c r="I927" s="2" t="s">
        <v>26</v>
      </c>
      <c r="J927" s="7">
        <v>44927</v>
      </c>
      <c r="K927" s="8" t="s">
        <v>77</v>
      </c>
      <c r="L927" s="2" t="s">
        <v>26</v>
      </c>
      <c r="M927" s="8" t="s">
        <v>28</v>
      </c>
      <c r="N927" s="6" t="s">
        <v>2264</v>
      </c>
      <c r="O927" s="6" t="s">
        <v>30</v>
      </c>
      <c r="P927" s="2" t="s">
        <v>12307</v>
      </c>
    </row>
    <row r="928" spans="1:16" ht="13.15" x14ac:dyDescent="0.4">
      <c r="A928" s="2" t="s">
        <v>11774</v>
      </c>
      <c r="B928" s="2" t="s">
        <v>5885</v>
      </c>
      <c r="C928" s="6" t="s">
        <v>5879</v>
      </c>
      <c r="D928" s="6" t="s">
        <v>42</v>
      </c>
      <c r="E928" s="7">
        <v>44927</v>
      </c>
      <c r="F928" s="8" t="s">
        <v>77</v>
      </c>
      <c r="G928" s="2" t="s">
        <v>26</v>
      </c>
      <c r="H928" s="8" t="s">
        <v>28</v>
      </c>
      <c r="I928" s="2" t="s">
        <v>26</v>
      </c>
      <c r="J928" s="7">
        <v>44927</v>
      </c>
      <c r="K928" s="8" t="s">
        <v>77</v>
      </c>
      <c r="L928" s="2" t="s">
        <v>26</v>
      </c>
      <c r="M928" s="8" t="s">
        <v>28</v>
      </c>
      <c r="N928" s="6" t="s">
        <v>2264</v>
      </c>
      <c r="O928" s="6" t="s">
        <v>30</v>
      </c>
      <c r="P928" s="2" t="s">
        <v>12308</v>
      </c>
    </row>
    <row r="929" spans="1:16" ht="13.15" x14ac:dyDescent="0.4">
      <c r="A929" s="2" t="s">
        <v>11877</v>
      </c>
      <c r="B929" s="2" t="s">
        <v>5885</v>
      </c>
      <c r="C929" s="6" t="s">
        <v>5879</v>
      </c>
      <c r="D929" s="6" t="s">
        <v>42</v>
      </c>
      <c r="E929" s="7">
        <v>44927</v>
      </c>
      <c r="F929" s="8" t="s">
        <v>77</v>
      </c>
      <c r="G929" s="2" t="s">
        <v>26</v>
      </c>
      <c r="H929" s="8" t="s">
        <v>28</v>
      </c>
      <c r="I929" s="2" t="s">
        <v>26</v>
      </c>
      <c r="J929" s="7">
        <v>44927</v>
      </c>
      <c r="K929" s="8" t="s">
        <v>77</v>
      </c>
      <c r="L929" s="2" t="s">
        <v>26</v>
      </c>
      <c r="M929" s="8" t="s">
        <v>28</v>
      </c>
      <c r="N929" s="6" t="s">
        <v>2264</v>
      </c>
      <c r="O929" s="6" t="s">
        <v>30</v>
      </c>
      <c r="P929" s="2" t="s">
        <v>12309</v>
      </c>
    </row>
    <row r="930" spans="1:16" ht="13.15" x14ac:dyDescent="0.4">
      <c r="A930" s="2" t="s">
        <v>11831</v>
      </c>
      <c r="B930" s="2" t="s">
        <v>5885</v>
      </c>
      <c r="C930" s="6" t="s">
        <v>5879</v>
      </c>
      <c r="D930" s="6" t="s">
        <v>42</v>
      </c>
      <c r="E930" s="7">
        <v>44927</v>
      </c>
      <c r="F930" s="8" t="s">
        <v>77</v>
      </c>
      <c r="G930" s="2" t="s">
        <v>26</v>
      </c>
      <c r="H930" s="8" t="s">
        <v>28</v>
      </c>
      <c r="I930" s="2" t="s">
        <v>26</v>
      </c>
      <c r="J930" s="7">
        <v>44927</v>
      </c>
      <c r="K930" s="8" t="s">
        <v>77</v>
      </c>
      <c r="L930" s="2" t="s">
        <v>26</v>
      </c>
      <c r="M930" s="8" t="s">
        <v>28</v>
      </c>
      <c r="N930" s="6" t="s">
        <v>2264</v>
      </c>
      <c r="O930" s="6" t="s">
        <v>30</v>
      </c>
      <c r="P930" s="2" t="s">
        <v>12310</v>
      </c>
    </row>
    <row r="931" spans="1:16" ht="13.15" x14ac:dyDescent="0.4">
      <c r="A931" s="2" t="s">
        <v>11924</v>
      </c>
      <c r="B931" s="2" t="s">
        <v>5885</v>
      </c>
      <c r="C931" s="6" t="s">
        <v>5879</v>
      </c>
      <c r="D931" s="6" t="s">
        <v>42</v>
      </c>
      <c r="E931" s="7">
        <v>44927</v>
      </c>
      <c r="F931" s="8" t="s">
        <v>77</v>
      </c>
      <c r="G931" s="2" t="s">
        <v>26</v>
      </c>
      <c r="H931" s="8" t="s">
        <v>28</v>
      </c>
      <c r="I931" s="2" t="s">
        <v>26</v>
      </c>
      <c r="J931" s="7">
        <v>44927</v>
      </c>
      <c r="K931" s="8" t="s">
        <v>77</v>
      </c>
      <c r="L931" s="2" t="s">
        <v>26</v>
      </c>
      <c r="M931" s="8" t="s">
        <v>28</v>
      </c>
      <c r="N931" s="6" t="s">
        <v>2264</v>
      </c>
      <c r="O931" s="6" t="s">
        <v>30</v>
      </c>
      <c r="P931" s="2" t="s">
        <v>12311</v>
      </c>
    </row>
    <row r="932" spans="1:16" ht="13.15" x14ac:dyDescent="0.4">
      <c r="A932" s="2" t="s">
        <v>11830</v>
      </c>
      <c r="B932" s="2" t="s">
        <v>5885</v>
      </c>
      <c r="C932" s="6" t="s">
        <v>5879</v>
      </c>
      <c r="D932" s="6" t="s">
        <v>42</v>
      </c>
      <c r="E932" s="7">
        <v>44927</v>
      </c>
      <c r="F932" s="8" t="s">
        <v>77</v>
      </c>
      <c r="G932" s="2" t="s">
        <v>26</v>
      </c>
      <c r="H932" s="8" t="s">
        <v>28</v>
      </c>
      <c r="I932" s="2" t="s">
        <v>26</v>
      </c>
      <c r="J932" s="7">
        <v>44927</v>
      </c>
      <c r="K932" s="8" t="s">
        <v>77</v>
      </c>
      <c r="L932" s="2" t="s">
        <v>26</v>
      </c>
      <c r="M932" s="8" t="s">
        <v>28</v>
      </c>
      <c r="N932" s="6" t="s">
        <v>2264</v>
      </c>
      <c r="O932" s="6" t="s">
        <v>30</v>
      </c>
      <c r="P932" s="2" t="s">
        <v>12312</v>
      </c>
    </row>
    <row r="933" spans="1:16" ht="13.15" x14ac:dyDescent="0.4">
      <c r="A933" s="2" t="s">
        <v>11826</v>
      </c>
      <c r="B933" s="2" t="s">
        <v>5885</v>
      </c>
      <c r="C933" s="6" t="s">
        <v>5879</v>
      </c>
      <c r="D933" s="6" t="s">
        <v>42</v>
      </c>
      <c r="E933" s="7">
        <v>44927</v>
      </c>
      <c r="F933" s="8" t="s">
        <v>77</v>
      </c>
      <c r="G933" s="2" t="s">
        <v>26</v>
      </c>
      <c r="H933" s="8" t="s">
        <v>28</v>
      </c>
      <c r="I933" s="2" t="s">
        <v>26</v>
      </c>
      <c r="J933" s="7">
        <v>44927</v>
      </c>
      <c r="K933" s="8" t="s">
        <v>77</v>
      </c>
      <c r="L933" s="2" t="s">
        <v>26</v>
      </c>
      <c r="M933" s="8" t="s">
        <v>28</v>
      </c>
      <c r="N933" s="6" t="s">
        <v>2264</v>
      </c>
      <c r="O933" s="6" t="s">
        <v>30</v>
      </c>
      <c r="P933" s="2" t="s">
        <v>12313</v>
      </c>
    </row>
    <row r="934" spans="1:16" ht="13.15" x14ac:dyDescent="0.4">
      <c r="A934" s="2" t="s">
        <v>11875</v>
      </c>
      <c r="B934" s="2" t="s">
        <v>5885</v>
      </c>
      <c r="C934" s="6" t="s">
        <v>5879</v>
      </c>
      <c r="D934" s="6" t="s">
        <v>42</v>
      </c>
      <c r="E934" s="7">
        <v>44927</v>
      </c>
      <c r="F934" s="8" t="s">
        <v>77</v>
      </c>
      <c r="G934" s="2" t="s">
        <v>26</v>
      </c>
      <c r="H934" s="8" t="s">
        <v>28</v>
      </c>
      <c r="I934" s="2" t="s">
        <v>26</v>
      </c>
      <c r="J934" s="7">
        <v>44927</v>
      </c>
      <c r="K934" s="8" t="s">
        <v>77</v>
      </c>
      <c r="L934" s="2" t="s">
        <v>26</v>
      </c>
      <c r="M934" s="8" t="s">
        <v>28</v>
      </c>
      <c r="N934" s="6" t="s">
        <v>2264</v>
      </c>
      <c r="O934" s="6" t="s">
        <v>30</v>
      </c>
      <c r="P934" s="2" t="s">
        <v>12314</v>
      </c>
    </row>
    <row r="935" spans="1:16" ht="13.15" x14ac:dyDescent="0.4">
      <c r="A935" s="2" t="s">
        <v>11719</v>
      </c>
      <c r="B935" s="2" t="s">
        <v>5885</v>
      </c>
      <c r="C935" s="6" t="s">
        <v>5879</v>
      </c>
      <c r="D935" s="6" t="s">
        <v>42</v>
      </c>
      <c r="E935" s="7">
        <v>44927</v>
      </c>
      <c r="F935" s="8" t="s">
        <v>77</v>
      </c>
      <c r="G935" s="2" t="s">
        <v>26</v>
      </c>
      <c r="H935" s="8" t="s">
        <v>28</v>
      </c>
      <c r="I935" s="2" t="s">
        <v>26</v>
      </c>
      <c r="J935" s="7">
        <v>44927</v>
      </c>
      <c r="K935" s="8" t="s">
        <v>77</v>
      </c>
      <c r="L935" s="2" t="s">
        <v>26</v>
      </c>
      <c r="M935" s="8" t="s">
        <v>28</v>
      </c>
      <c r="N935" s="6" t="s">
        <v>2264</v>
      </c>
      <c r="O935" s="6" t="s">
        <v>30</v>
      </c>
      <c r="P935" s="2" t="s">
        <v>12315</v>
      </c>
    </row>
    <row r="936" spans="1:16" ht="13.15" x14ac:dyDescent="0.4">
      <c r="A936" s="2" t="s">
        <v>11805</v>
      </c>
      <c r="B936" s="2" t="s">
        <v>5885</v>
      </c>
      <c r="C936" s="6" t="s">
        <v>5879</v>
      </c>
      <c r="D936" s="6" t="s">
        <v>42</v>
      </c>
      <c r="E936" s="7">
        <v>44927</v>
      </c>
      <c r="F936" s="8" t="s">
        <v>77</v>
      </c>
      <c r="G936" s="2" t="s">
        <v>26</v>
      </c>
      <c r="H936" s="8" t="s">
        <v>28</v>
      </c>
      <c r="I936" s="2" t="s">
        <v>26</v>
      </c>
      <c r="J936" s="7">
        <v>44927</v>
      </c>
      <c r="K936" s="8" t="s">
        <v>77</v>
      </c>
      <c r="L936" s="2" t="s">
        <v>26</v>
      </c>
      <c r="M936" s="8" t="s">
        <v>28</v>
      </c>
      <c r="N936" s="6" t="s">
        <v>2264</v>
      </c>
      <c r="O936" s="6" t="s">
        <v>30</v>
      </c>
      <c r="P936" s="2" t="s">
        <v>12316</v>
      </c>
    </row>
    <row r="937" spans="1:16" ht="13.15" x14ac:dyDescent="0.4">
      <c r="A937" s="2" t="s">
        <v>11772</v>
      </c>
      <c r="B937" s="2" t="s">
        <v>5885</v>
      </c>
      <c r="C937" s="6" t="s">
        <v>5879</v>
      </c>
      <c r="D937" s="6" t="s">
        <v>42</v>
      </c>
      <c r="E937" s="7">
        <v>44927</v>
      </c>
      <c r="F937" s="8" t="s">
        <v>77</v>
      </c>
      <c r="G937" s="2" t="s">
        <v>26</v>
      </c>
      <c r="H937" s="8" t="s">
        <v>28</v>
      </c>
      <c r="I937" s="2" t="s">
        <v>26</v>
      </c>
      <c r="J937" s="7">
        <v>44927</v>
      </c>
      <c r="K937" s="8" t="s">
        <v>77</v>
      </c>
      <c r="L937" s="2" t="s">
        <v>26</v>
      </c>
      <c r="M937" s="8" t="s">
        <v>28</v>
      </c>
      <c r="N937" s="6" t="s">
        <v>2264</v>
      </c>
      <c r="O937" s="6" t="s">
        <v>30</v>
      </c>
      <c r="P937" s="2" t="s">
        <v>12317</v>
      </c>
    </row>
    <row r="938" spans="1:16" ht="13.15" x14ac:dyDescent="0.4">
      <c r="A938" s="2" t="s">
        <v>11791</v>
      </c>
      <c r="B938" s="2" t="s">
        <v>5885</v>
      </c>
      <c r="C938" s="6" t="s">
        <v>5879</v>
      </c>
      <c r="D938" s="6" t="s">
        <v>42</v>
      </c>
      <c r="E938" s="7">
        <v>44927</v>
      </c>
      <c r="F938" s="8" t="s">
        <v>77</v>
      </c>
      <c r="G938" s="2" t="s">
        <v>26</v>
      </c>
      <c r="H938" s="8" t="s">
        <v>28</v>
      </c>
      <c r="I938" s="2" t="s">
        <v>26</v>
      </c>
      <c r="J938" s="7">
        <v>44927</v>
      </c>
      <c r="K938" s="8" t="s">
        <v>77</v>
      </c>
      <c r="L938" s="2" t="s">
        <v>26</v>
      </c>
      <c r="M938" s="8" t="s">
        <v>28</v>
      </c>
      <c r="N938" s="6" t="s">
        <v>2264</v>
      </c>
      <c r="O938" s="6" t="s">
        <v>30</v>
      </c>
      <c r="P938" s="2" t="s">
        <v>12318</v>
      </c>
    </row>
    <row r="939" spans="1:16" ht="13.15" x14ac:dyDescent="0.4">
      <c r="A939" s="2" t="s">
        <v>11874</v>
      </c>
      <c r="B939" s="2" t="s">
        <v>5885</v>
      </c>
      <c r="C939" s="6" t="s">
        <v>5879</v>
      </c>
      <c r="D939" s="6" t="s">
        <v>42</v>
      </c>
      <c r="E939" s="7">
        <v>44927</v>
      </c>
      <c r="F939" s="8" t="s">
        <v>77</v>
      </c>
      <c r="G939" s="2" t="s">
        <v>26</v>
      </c>
      <c r="H939" s="8" t="s">
        <v>28</v>
      </c>
      <c r="I939" s="2" t="s">
        <v>26</v>
      </c>
      <c r="J939" s="7">
        <v>44927</v>
      </c>
      <c r="K939" s="8" t="s">
        <v>77</v>
      </c>
      <c r="L939" s="2" t="s">
        <v>26</v>
      </c>
      <c r="M939" s="8" t="s">
        <v>28</v>
      </c>
      <c r="N939" s="6" t="s">
        <v>2264</v>
      </c>
      <c r="O939" s="6" t="s">
        <v>30</v>
      </c>
      <c r="P939" s="2" t="s">
        <v>12319</v>
      </c>
    </row>
    <row r="940" spans="1:16" ht="13.15" x14ac:dyDescent="0.4">
      <c r="A940" s="2" t="s">
        <v>11859</v>
      </c>
      <c r="B940" s="2" t="s">
        <v>5885</v>
      </c>
      <c r="C940" s="6" t="s">
        <v>5879</v>
      </c>
      <c r="D940" s="6" t="s">
        <v>42</v>
      </c>
      <c r="E940" s="7">
        <v>44927</v>
      </c>
      <c r="F940" s="8" t="s">
        <v>77</v>
      </c>
      <c r="G940" s="2" t="s">
        <v>26</v>
      </c>
      <c r="H940" s="8" t="s">
        <v>28</v>
      </c>
      <c r="I940" s="2" t="s">
        <v>26</v>
      </c>
      <c r="J940" s="7">
        <v>44927</v>
      </c>
      <c r="K940" s="8" t="s">
        <v>77</v>
      </c>
      <c r="L940" s="2" t="s">
        <v>26</v>
      </c>
      <c r="M940" s="8" t="s">
        <v>28</v>
      </c>
      <c r="N940" s="6" t="s">
        <v>2264</v>
      </c>
      <c r="O940" s="6" t="s">
        <v>30</v>
      </c>
      <c r="P940" s="2" t="s">
        <v>12320</v>
      </c>
    </row>
    <row r="941" spans="1:16" ht="13.15" x14ac:dyDescent="0.4">
      <c r="A941" s="2" t="s">
        <v>11743</v>
      </c>
      <c r="B941" s="2" t="s">
        <v>5885</v>
      </c>
      <c r="C941" s="6" t="s">
        <v>5879</v>
      </c>
      <c r="D941" s="6" t="s">
        <v>42</v>
      </c>
      <c r="E941" s="7">
        <v>44927</v>
      </c>
      <c r="F941" s="8" t="s">
        <v>77</v>
      </c>
      <c r="G941" s="2" t="s">
        <v>26</v>
      </c>
      <c r="H941" s="8" t="s">
        <v>28</v>
      </c>
      <c r="I941" s="2" t="s">
        <v>26</v>
      </c>
      <c r="J941" s="7">
        <v>44927</v>
      </c>
      <c r="K941" s="8" t="s">
        <v>77</v>
      </c>
      <c r="L941" s="2" t="s">
        <v>26</v>
      </c>
      <c r="M941" s="8" t="s">
        <v>28</v>
      </c>
      <c r="N941" s="6" t="s">
        <v>2264</v>
      </c>
      <c r="O941" s="6" t="s">
        <v>30</v>
      </c>
      <c r="P941" s="2" t="s">
        <v>12321</v>
      </c>
    </row>
    <row r="942" spans="1:16" ht="13.15" x14ac:dyDescent="0.4">
      <c r="A942" s="2" t="s">
        <v>11836</v>
      </c>
      <c r="B942" s="2" t="s">
        <v>5885</v>
      </c>
      <c r="C942" s="6" t="s">
        <v>5879</v>
      </c>
      <c r="D942" s="6" t="s">
        <v>42</v>
      </c>
      <c r="E942" s="7">
        <v>44927</v>
      </c>
      <c r="F942" s="8" t="s">
        <v>77</v>
      </c>
      <c r="G942" s="2" t="s">
        <v>26</v>
      </c>
      <c r="H942" s="8" t="s">
        <v>28</v>
      </c>
      <c r="I942" s="2" t="s">
        <v>26</v>
      </c>
      <c r="J942" s="7">
        <v>44927</v>
      </c>
      <c r="K942" s="8" t="s">
        <v>77</v>
      </c>
      <c r="L942" s="2" t="s">
        <v>26</v>
      </c>
      <c r="M942" s="8" t="s">
        <v>28</v>
      </c>
      <c r="N942" s="6" t="s">
        <v>2264</v>
      </c>
      <c r="O942" s="6" t="s">
        <v>30</v>
      </c>
      <c r="P942" s="2" t="s">
        <v>12322</v>
      </c>
    </row>
    <row r="943" spans="1:16" ht="13.15" x14ac:dyDescent="0.4">
      <c r="A943" s="2" t="s">
        <v>11713</v>
      </c>
      <c r="B943" s="2" t="s">
        <v>5885</v>
      </c>
      <c r="C943" s="6" t="s">
        <v>5879</v>
      </c>
      <c r="D943" s="6" t="s">
        <v>42</v>
      </c>
      <c r="E943" s="7">
        <v>44927</v>
      </c>
      <c r="F943" s="8" t="s">
        <v>77</v>
      </c>
      <c r="G943" s="2" t="s">
        <v>26</v>
      </c>
      <c r="H943" s="8" t="s">
        <v>28</v>
      </c>
      <c r="I943" s="2" t="s">
        <v>26</v>
      </c>
      <c r="J943" s="7">
        <v>44927</v>
      </c>
      <c r="K943" s="8" t="s">
        <v>77</v>
      </c>
      <c r="L943" s="2" t="s">
        <v>26</v>
      </c>
      <c r="M943" s="8" t="s">
        <v>28</v>
      </c>
      <c r="N943" s="6" t="s">
        <v>2264</v>
      </c>
      <c r="O943" s="6" t="s">
        <v>30</v>
      </c>
      <c r="P943" s="2" t="s">
        <v>12323</v>
      </c>
    </row>
    <row r="944" spans="1:16" ht="13.15" x14ac:dyDescent="0.4">
      <c r="A944" s="2" t="s">
        <v>11944</v>
      </c>
      <c r="B944" s="2" t="s">
        <v>5885</v>
      </c>
      <c r="C944" s="6" t="s">
        <v>5879</v>
      </c>
      <c r="D944" s="6" t="s">
        <v>42</v>
      </c>
      <c r="E944" s="7">
        <v>44927</v>
      </c>
      <c r="F944" s="8" t="s">
        <v>77</v>
      </c>
      <c r="G944" s="2" t="s">
        <v>26</v>
      </c>
      <c r="H944" s="8" t="s">
        <v>28</v>
      </c>
      <c r="I944" s="2" t="s">
        <v>26</v>
      </c>
      <c r="J944" s="7">
        <v>44927</v>
      </c>
      <c r="K944" s="8" t="s">
        <v>77</v>
      </c>
      <c r="L944" s="2" t="s">
        <v>26</v>
      </c>
      <c r="M944" s="8" t="s">
        <v>28</v>
      </c>
      <c r="N944" s="6" t="s">
        <v>2264</v>
      </c>
      <c r="O944" s="6" t="s">
        <v>30</v>
      </c>
      <c r="P944" s="2" t="s">
        <v>12324</v>
      </c>
    </row>
    <row r="945" spans="1:16" ht="13.15" x14ac:dyDescent="0.4">
      <c r="A945" s="2" t="s">
        <v>7880</v>
      </c>
      <c r="B945" s="2" t="s">
        <v>5885</v>
      </c>
      <c r="C945" s="6" t="s">
        <v>5879</v>
      </c>
      <c r="D945" s="6" t="s">
        <v>42</v>
      </c>
      <c r="E945" s="7">
        <v>44927</v>
      </c>
      <c r="F945" s="8" t="s">
        <v>77</v>
      </c>
      <c r="G945" s="2" t="s">
        <v>26</v>
      </c>
      <c r="H945" s="8" t="s">
        <v>28</v>
      </c>
      <c r="I945" s="2" t="s">
        <v>26</v>
      </c>
      <c r="J945" s="7">
        <v>44927</v>
      </c>
      <c r="K945" s="8" t="s">
        <v>77</v>
      </c>
      <c r="L945" s="2" t="s">
        <v>26</v>
      </c>
      <c r="M945" s="8" t="s">
        <v>28</v>
      </c>
      <c r="N945" s="6" t="s">
        <v>2264</v>
      </c>
      <c r="O945" s="6" t="s">
        <v>30</v>
      </c>
      <c r="P945" s="2" t="s">
        <v>12325</v>
      </c>
    </row>
    <row r="946" spans="1:16" ht="13.15" x14ac:dyDescent="0.4">
      <c r="A946" s="2" t="s">
        <v>11808</v>
      </c>
      <c r="B946" s="2" t="s">
        <v>5885</v>
      </c>
      <c r="C946" s="6" t="s">
        <v>5879</v>
      </c>
      <c r="D946" s="6" t="s">
        <v>42</v>
      </c>
      <c r="E946" s="7">
        <v>44927</v>
      </c>
      <c r="F946" s="8" t="s">
        <v>77</v>
      </c>
      <c r="G946" s="2" t="s">
        <v>26</v>
      </c>
      <c r="H946" s="8" t="s">
        <v>28</v>
      </c>
      <c r="I946" s="2" t="s">
        <v>26</v>
      </c>
      <c r="J946" s="7">
        <v>44927</v>
      </c>
      <c r="K946" s="8" t="s">
        <v>77</v>
      </c>
      <c r="L946" s="2" t="s">
        <v>26</v>
      </c>
      <c r="M946" s="8" t="s">
        <v>28</v>
      </c>
      <c r="N946" s="6" t="s">
        <v>2264</v>
      </c>
      <c r="O946" s="6" t="s">
        <v>30</v>
      </c>
      <c r="P946" s="2" t="s">
        <v>12326</v>
      </c>
    </row>
    <row r="947" spans="1:16" ht="13.15" x14ac:dyDescent="0.4">
      <c r="A947" s="2" t="s">
        <v>11842</v>
      </c>
      <c r="B947" s="2" t="s">
        <v>5885</v>
      </c>
      <c r="C947" s="6" t="s">
        <v>5879</v>
      </c>
      <c r="D947" s="6" t="s">
        <v>42</v>
      </c>
      <c r="E947" s="7">
        <v>44927</v>
      </c>
      <c r="F947" s="8" t="s">
        <v>77</v>
      </c>
      <c r="G947" s="2" t="s">
        <v>26</v>
      </c>
      <c r="H947" s="8" t="s">
        <v>28</v>
      </c>
      <c r="I947" s="2" t="s">
        <v>26</v>
      </c>
      <c r="J947" s="7">
        <v>44927</v>
      </c>
      <c r="K947" s="8" t="s">
        <v>77</v>
      </c>
      <c r="L947" s="2" t="s">
        <v>26</v>
      </c>
      <c r="M947" s="8" t="s">
        <v>28</v>
      </c>
      <c r="N947" s="6" t="s">
        <v>2264</v>
      </c>
      <c r="O947" s="6" t="s">
        <v>30</v>
      </c>
      <c r="P947" s="2" t="s">
        <v>12327</v>
      </c>
    </row>
    <row r="948" spans="1:16" ht="13.15" x14ac:dyDescent="0.4">
      <c r="A948" s="2" t="s">
        <v>11798</v>
      </c>
      <c r="B948" s="2" t="s">
        <v>5885</v>
      </c>
      <c r="C948" s="6" t="s">
        <v>5879</v>
      </c>
      <c r="D948" s="6" t="s">
        <v>42</v>
      </c>
      <c r="E948" s="7">
        <v>44927</v>
      </c>
      <c r="F948" s="8" t="s">
        <v>77</v>
      </c>
      <c r="G948" s="2" t="s">
        <v>26</v>
      </c>
      <c r="H948" s="8" t="s">
        <v>28</v>
      </c>
      <c r="I948" s="2" t="s">
        <v>26</v>
      </c>
      <c r="J948" s="7">
        <v>44927</v>
      </c>
      <c r="K948" s="8" t="s">
        <v>77</v>
      </c>
      <c r="L948" s="2" t="s">
        <v>26</v>
      </c>
      <c r="M948" s="8" t="s">
        <v>28</v>
      </c>
      <c r="N948" s="6" t="s">
        <v>2264</v>
      </c>
      <c r="O948" s="6" t="s">
        <v>30</v>
      </c>
      <c r="P948" s="2" t="s">
        <v>12328</v>
      </c>
    </row>
    <row r="949" spans="1:16" ht="13.15" x14ac:dyDescent="0.4">
      <c r="A949" s="2" t="s">
        <v>11825</v>
      </c>
      <c r="B949" s="2" t="s">
        <v>5885</v>
      </c>
      <c r="C949" s="6" t="s">
        <v>5879</v>
      </c>
      <c r="D949" s="6" t="s">
        <v>42</v>
      </c>
      <c r="E949" s="7">
        <v>44927</v>
      </c>
      <c r="F949" s="8" t="s">
        <v>77</v>
      </c>
      <c r="G949" s="2" t="s">
        <v>26</v>
      </c>
      <c r="H949" s="8" t="s">
        <v>28</v>
      </c>
      <c r="I949" s="2" t="s">
        <v>26</v>
      </c>
      <c r="J949" s="7">
        <v>44927</v>
      </c>
      <c r="K949" s="8" t="s">
        <v>77</v>
      </c>
      <c r="L949" s="2" t="s">
        <v>26</v>
      </c>
      <c r="M949" s="8" t="s">
        <v>28</v>
      </c>
      <c r="N949" s="6" t="s">
        <v>2264</v>
      </c>
      <c r="O949" s="6" t="s">
        <v>30</v>
      </c>
      <c r="P949" s="2" t="s">
        <v>12329</v>
      </c>
    </row>
    <row r="950" spans="1:16" ht="13.15" x14ac:dyDescent="0.4">
      <c r="A950" s="2" t="s">
        <v>11803</v>
      </c>
      <c r="B950" s="2" t="s">
        <v>5885</v>
      </c>
      <c r="C950" s="6" t="s">
        <v>5879</v>
      </c>
      <c r="D950" s="6" t="s">
        <v>42</v>
      </c>
      <c r="E950" s="7">
        <v>44927</v>
      </c>
      <c r="F950" s="8" t="s">
        <v>77</v>
      </c>
      <c r="G950" s="2" t="s">
        <v>26</v>
      </c>
      <c r="H950" s="8" t="s">
        <v>28</v>
      </c>
      <c r="I950" s="2" t="s">
        <v>26</v>
      </c>
      <c r="J950" s="7">
        <v>44927</v>
      </c>
      <c r="K950" s="8" t="s">
        <v>77</v>
      </c>
      <c r="L950" s="2" t="s">
        <v>26</v>
      </c>
      <c r="M950" s="8" t="s">
        <v>28</v>
      </c>
      <c r="N950" s="6" t="s">
        <v>2264</v>
      </c>
      <c r="O950" s="6" t="s">
        <v>30</v>
      </c>
      <c r="P950" s="2" t="s">
        <v>12330</v>
      </c>
    </row>
    <row r="951" spans="1:16" ht="13.15" x14ac:dyDescent="0.4">
      <c r="A951" s="2" t="s">
        <v>11800</v>
      </c>
      <c r="B951" s="2" t="s">
        <v>5885</v>
      </c>
      <c r="C951" s="6" t="s">
        <v>5879</v>
      </c>
      <c r="D951" s="6" t="s">
        <v>42</v>
      </c>
      <c r="E951" s="7">
        <v>44927</v>
      </c>
      <c r="F951" s="8" t="s">
        <v>77</v>
      </c>
      <c r="G951" s="2" t="s">
        <v>26</v>
      </c>
      <c r="H951" s="8" t="s">
        <v>28</v>
      </c>
      <c r="I951" s="2" t="s">
        <v>26</v>
      </c>
      <c r="J951" s="7">
        <v>44927</v>
      </c>
      <c r="K951" s="8" t="s">
        <v>77</v>
      </c>
      <c r="L951" s="2" t="s">
        <v>26</v>
      </c>
      <c r="M951" s="8" t="s">
        <v>28</v>
      </c>
      <c r="N951" s="6" t="s">
        <v>2264</v>
      </c>
      <c r="O951" s="6" t="s">
        <v>30</v>
      </c>
      <c r="P951" s="2" t="s">
        <v>12331</v>
      </c>
    </row>
    <row r="952" spans="1:16" ht="13.15" x14ac:dyDescent="0.4">
      <c r="A952" s="2" t="s">
        <v>11844</v>
      </c>
      <c r="B952" s="2" t="s">
        <v>5885</v>
      </c>
      <c r="C952" s="6" t="s">
        <v>5879</v>
      </c>
      <c r="D952" s="6" t="s">
        <v>42</v>
      </c>
      <c r="E952" s="7">
        <v>44927</v>
      </c>
      <c r="F952" s="8" t="s">
        <v>77</v>
      </c>
      <c r="G952" s="2" t="s">
        <v>26</v>
      </c>
      <c r="H952" s="8" t="s">
        <v>28</v>
      </c>
      <c r="I952" s="2" t="s">
        <v>26</v>
      </c>
      <c r="J952" s="7">
        <v>44927</v>
      </c>
      <c r="K952" s="8" t="s">
        <v>77</v>
      </c>
      <c r="L952" s="2" t="s">
        <v>26</v>
      </c>
      <c r="M952" s="8" t="s">
        <v>28</v>
      </c>
      <c r="N952" s="6" t="s">
        <v>2264</v>
      </c>
      <c r="O952" s="6" t="s">
        <v>30</v>
      </c>
      <c r="P952" s="2" t="s">
        <v>12332</v>
      </c>
    </row>
    <row r="953" spans="1:16" ht="13.15" x14ac:dyDescent="0.4">
      <c r="A953" s="2" t="s">
        <v>11882</v>
      </c>
      <c r="B953" s="2" t="s">
        <v>5885</v>
      </c>
      <c r="C953" s="6" t="s">
        <v>5879</v>
      </c>
      <c r="D953" s="6" t="s">
        <v>42</v>
      </c>
      <c r="E953" s="7">
        <v>44927</v>
      </c>
      <c r="F953" s="8" t="s">
        <v>77</v>
      </c>
      <c r="G953" s="2" t="s">
        <v>26</v>
      </c>
      <c r="H953" s="8" t="s">
        <v>28</v>
      </c>
      <c r="I953" s="2" t="s">
        <v>26</v>
      </c>
      <c r="J953" s="7">
        <v>44927</v>
      </c>
      <c r="K953" s="8" t="s">
        <v>77</v>
      </c>
      <c r="L953" s="2" t="s">
        <v>26</v>
      </c>
      <c r="M953" s="8" t="s">
        <v>28</v>
      </c>
      <c r="N953" s="6" t="s">
        <v>2264</v>
      </c>
      <c r="O953" s="6" t="s">
        <v>30</v>
      </c>
      <c r="P953" s="2" t="s">
        <v>12333</v>
      </c>
    </row>
    <row r="954" spans="1:16" ht="13.15" x14ac:dyDescent="0.4">
      <c r="A954" s="2" t="s">
        <v>11953</v>
      </c>
      <c r="B954" s="2" t="s">
        <v>5885</v>
      </c>
      <c r="C954" s="6" t="s">
        <v>5879</v>
      </c>
      <c r="D954" s="6" t="s">
        <v>42</v>
      </c>
      <c r="E954" s="7">
        <v>44927</v>
      </c>
      <c r="F954" s="8" t="s">
        <v>77</v>
      </c>
      <c r="G954" s="2" t="s">
        <v>26</v>
      </c>
      <c r="H954" s="8" t="s">
        <v>28</v>
      </c>
      <c r="I954" s="2" t="s">
        <v>26</v>
      </c>
      <c r="J954" s="7">
        <v>44927</v>
      </c>
      <c r="K954" s="8" t="s">
        <v>77</v>
      </c>
      <c r="L954" s="2" t="s">
        <v>26</v>
      </c>
      <c r="M954" s="8" t="s">
        <v>28</v>
      </c>
      <c r="N954" s="6" t="s">
        <v>2264</v>
      </c>
      <c r="O954" s="6" t="s">
        <v>30</v>
      </c>
      <c r="P954" s="2" t="s">
        <v>12334</v>
      </c>
    </row>
    <row r="955" spans="1:16" ht="13.15" x14ac:dyDescent="0.4">
      <c r="A955" s="2" t="s">
        <v>11860</v>
      </c>
      <c r="B955" s="2" t="s">
        <v>5885</v>
      </c>
      <c r="C955" s="6" t="s">
        <v>5879</v>
      </c>
      <c r="D955" s="6" t="s">
        <v>42</v>
      </c>
      <c r="E955" s="7">
        <v>44927</v>
      </c>
      <c r="F955" s="8" t="s">
        <v>77</v>
      </c>
      <c r="G955" s="2" t="s">
        <v>26</v>
      </c>
      <c r="H955" s="8" t="s">
        <v>28</v>
      </c>
      <c r="I955" s="2" t="s">
        <v>26</v>
      </c>
      <c r="J955" s="7">
        <v>44927</v>
      </c>
      <c r="K955" s="8" t="s">
        <v>77</v>
      </c>
      <c r="L955" s="2" t="s">
        <v>26</v>
      </c>
      <c r="M955" s="8" t="s">
        <v>28</v>
      </c>
      <c r="N955" s="6" t="s">
        <v>2264</v>
      </c>
      <c r="O955" s="6" t="s">
        <v>30</v>
      </c>
      <c r="P955" s="2" t="s">
        <v>12335</v>
      </c>
    </row>
    <row r="956" spans="1:16" ht="13.15" x14ac:dyDescent="0.4">
      <c r="A956" s="2" t="s">
        <v>11868</v>
      </c>
      <c r="B956" s="2" t="s">
        <v>5885</v>
      </c>
      <c r="C956" s="6" t="s">
        <v>5879</v>
      </c>
      <c r="D956" s="6" t="s">
        <v>42</v>
      </c>
      <c r="E956" s="7">
        <v>44927</v>
      </c>
      <c r="F956" s="8" t="s">
        <v>77</v>
      </c>
      <c r="G956" s="2" t="s">
        <v>26</v>
      </c>
      <c r="H956" s="8" t="s">
        <v>28</v>
      </c>
      <c r="I956" s="2" t="s">
        <v>26</v>
      </c>
      <c r="J956" s="7">
        <v>44927</v>
      </c>
      <c r="K956" s="8" t="s">
        <v>77</v>
      </c>
      <c r="L956" s="2" t="s">
        <v>26</v>
      </c>
      <c r="M956" s="8" t="s">
        <v>28</v>
      </c>
      <c r="N956" s="6" t="s">
        <v>2264</v>
      </c>
      <c r="O956" s="6" t="s">
        <v>30</v>
      </c>
      <c r="P956" s="2" t="s">
        <v>12336</v>
      </c>
    </row>
    <row r="957" spans="1:16" ht="13.15" x14ac:dyDescent="0.4">
      <c r="A957" s="2" t="s">
        <v>11858</v>
      </c>
      <c r="B957" s="2" t="s">
        <v>5885</v>
      </c>
      <c r="C957" s="6" t="s">
        <v>5879</v>
      </c>
      <c r="D957" s="6" t="s">
        <v>42</v>
      </c>
      <c r="E957" s="7">
        <v>44927</v>
      </c>
      <c r="F957" s="8" t="s">
        <v>77</v>
      </c>
      <c r="G957" s="2" t="s">
        <v>26</v>
      </c>
      <c r="H957" s="8" t="s">
        <v>28</v>
      </c>
      <c r="I957" s="2" t="s">
        <v>26</v>
      </c>
      <c r="J957" s="7">
        <v>44927</v>
      </c>
      <c r="K957" s="8" t="s">
        <v>77</v>
      </c>
      <c r="L957" s="2" t="s">
        <v>26</v>
      </c>
      <c r="M957" s="8" t="s">
        <v>28</v>
      </c>
      <c r="N957" s="6" t="s">
        <v>2264</v>
      </c>
      <c r="O957" s="6" t="s">
        <v>30</v>
      </c>
      <c r="P957" s="2" t="s">
        <v>12337</v>
      </c>
    </row>
    <row r="958" spans="1:16" ht="13.15" x14ac:dyDescent="0.4">
      <c r="A958" s="2" t="s">
        <v>11716</v>
      </c>
      <c r="B958" s="2" t="s">
        <v>5885</v>
      </c>
      <c r="C958" s="6" t="s">
        <v>5879</v>
      </c>
      <c r="D958" s="6" t="s">
        <v>42</v>
      </c>
      <c r="E958" s="7">
        <v>44927</v>
      </c>
      <c r="F958" s="8" t="s">
        <v>77</v>
      </c>
      <c r="G958" s="2" t="s">
        <v>26</v>
      </c>
      <c r="H958" s="8" t="s">
        <v>28</v>
      </c>
      <c r="I958" s="2" t="s">
        <v>26</v>
      </c>
      <c r="J958" s="7">
        <v>44927</v>
      </c>
      <c r="K958" s="8" t="s">
        <v>77</v>
      </c>
      <c r="L958" s="2" t="s">
        <v>26</v>
      </c>
      <c r="M958" s="8" t="s">
        <v>28</v>
      </c>
      <c r="N958" s="6" t="s">
        <v>2264</v>
      </c>
      <c r="O958" s="6" t="s">
        <v>30</v>
      </c>
      <c r="P958" s="2" t="s">
        <v>12338</v>
      </c>
    </row>
    <row r="959" spans="1:16" ht="13.15" x14ac:dyDescent="0.4">
      <c r="A959" s="2" t="s">
        <v>11710</v>
      </c>
      <c r="B959" s="2" t="s">
        <v>5885</v>
      </c>
      <c r="C959" s="6" t="s">
        <v>5879</v>
      </c>
      <c r="D959" s="6" t="s">
        <v>42</v>
      </c>
      <c r="E959" s="7">
        <v>44927</v>
      </c>
      <c r="F959" s="8" t="s">
        <v>77</v>
      </c>
      <c r="G959" s="2" t="s">
        <v>26</v>
      </c>
      <c r="H959" s="8" t="s">
        <v>28</v>
      </c>
      <c r="I959" s="2" t="s">
        <v>26</v>
      </c>
      <c r="J959" s="7">
        <v>44927</v>
      </c>
      <c r="K959" s="8" t="s">
        <v>77</v>
      </c>
      <c r="L959" s="2" t="s">
        <v>26</v>
      </c>
      <c r="M959" s="8" t="s">
        <v>28</v>
      </c>
      <c r="N959" s="6" t="s">
        <v>2264</v>
      </c>
      <c r="O959" s="6" t="s">
        <v>30</v>
      </c>
      <c r="P959" s="2" t="s">
        <v>12339</v>
      </c>
    </row>
    <row r="960" spans="1:16" ht="13.15" x14ac:dyDescent="0.4">
      <c r="A960" s="2" t="s">
        <v>11789</v>
      </c>
      <c r="B960" s="2" t="s">
        <v>5885</v>
      </c>
      <c r="C960" s="6" t="s">
        <v>5879</v>
      </c>
      <c r="D960" s="6" t="s">
        <v>42</v>
      </c>
      <c r="E960" s="7">
        <v>44927</v>
      </c>
      <c r="F960" s="8" t="s">
        <v>77</v>
      </c>
      <c r="G960" s="2" t="s">
        <v>26</v>
      </c>
      <c r="H960" s="8" t="s">
        <v>28</v>
      </c>
      <c r="I960" s="2" t="s">
        <v>26</v>
      </c>
      <c r="J960" s="7">
        <v>44927</v>
      </c>
      <c r="K960" s="8" t="s">
        <v>77</v>
      </c>
      <c r="L960" s="2" t="s">
        <v>26</v>
      </c>
      <c r="M960" s="8" t="s">
        <v>28</v>
      </c>
      <c r="N960" s="6" t="s">
        <v>2264</v>
      </c>
      <c r="O960" s="6" t="s">
        <v>30</v>
      </c>
      <c r="P960" s="2" t="s">
        <v>12340</v>
      </c>
    </row>
    <row r="961" spans="1:16" ht="13.15" x14ac:dyDescent="0.4">
      <c r="A961" s="2" t="s">
        <v>11824</v>
      </c>
      <c r="B961" s="2" t="s">
        <v>5885</v>
      </c>
      <c r="C961" s="6" t="s">
        <v>5879</v>
      </c>
      <c r="D961" s="6" t="s">
        <v>42</v>
      </c>
      <c r="E961" s="7">
        <v>44927</v>
      </c>
      <c r="F961" s="8" t="s">
        <v>77</v>
      </c>
      <c r="G961" s="2" t="s">
        <v>26</v>
      </c>
      <c r="H961" s="8" t="s">
        <v>28</v>
      </c>
      <c r="I961" s="2" t="s">
        <v>26</v>
      </c>
      <c r="J961" s="7">
        <v>44927</v>
      </c>
      <c r="K961" s="8" t="s">
        <v>77</v>
      </c>
      <c r="L961" s="2" t="s">
        <v>26</v>
      </c>
      <c r="M961" s="8" t="s">
        <v>28</v>
      </c>
      <c r="N961" s="6" t="s">
        <v>2264</v>
      </c>
      <c r="O961" s="6" t="s">
        <v>30</v>
      </c>
      <c r="P961" s="2" t="s">
        <v>12341</v>
      </c>
    </row>
    <row r="962" spans="1:16" ht="13.15" x14ac:dyDescent="0.4">
      <c r="A962" s="2" t="s">
        <v>11742</v>
      </c>
      <c r="B962" s="2" t="s">
        <v>5885</v>
      </c>
      <c r="C962" s="6" t="s">
        <v>5879</v>
      </c>
      <c r="D962" s="6" t="s">
        <v>42</v>
      </c>
      <c r="E962" s="7">
        <v>44927</v>
      </c>
      <c r="F962" s="8" t="s">
        <v>77</v>
      </c>
      <c r="G962" s="2" t="s">
        <v>26</v>
      </c>
      <c r="H962" s="8" t="s">
        <v>28</v>
      </c>
      <c r="I962" s="2" t="s">
        <v>26</v>
      </c>
      <c r="J962" s="7">
        <v>44927</v>
      </c>
      <c r="K962" s="8" t="s">
        <v>77</v>
      </c>
      <c r="L962" s="2" t="s">
        <v>26</v>
      </c>
      <c r="M962" s="8" t="s">
        <v>28</v>
      </c>
      <c r="N962" s="6" t="s">
        <v>2264</v>
      </c>
      <c r="O962" s="6" t="s">
        <v>30</v>
      </c>
      <c r="P962" s="2" t="s">
        <v>12342</v>
      </c>
    </row>
    <row r="963" spans="1:16" ht="13.15" x14ac:dyDescent="0.4">
      <c r="A963" s="2" t="s">
        <v>11951</v>
      </c>
      <c r="B963" s="2" t="s">
        <v>5885</v>
      </c>
      <c r="C963" s="6" t="s">
        <v>5879</v>
      </c>
      <c r="D963" s="6" t="s">
        <v>42</v>
      </c>
      <c r="E963" s="7">
        <v>44927</v>
      </c>
      <c r="F963" s="8" t="s">
        <v>77</v>
      </c>
      <c r="G963" s="2" t="s">
        <v>26</v>
      </c>
      <c r="H963" s="8" t="s">
        <v>28</v>
      </c>
      <c r="I963" s="2" t="s">
        <v>26</v>
      </c>
      <c r="J963" s="7">
        <v>44927</v>
      </c>
      <c r="K963" s="8" t="s">
        <v>77</v>
      </c>
      <c r="L963" s="2" t="s">
        <v>26</v>
      </c>
      <c r="M963" s="8" t="s">
        <v>28</v>
      </c>
      <c r="N963" s="6" t="s">
        <v>2264</v>
      </c>
      <c r="O963" s="6" t="s">
        <v>30</v>
      </c>
      <c r="P963" s="2" t="s">
        <v>12343</v>
      </c>
    </row>
    <row r="964" spans="1:16" ht="13.15" x14ac:dyDescent="0.4">
      <c r="A964" s="2" t="s">
        <v>11904</v>
      </c>
      <c r="B964" s="2" t="s">
        <v>5885</v>
      </c>
      <c r="C964" s="6" t="s">
        <v>5879</v>
      </c>
      <c r="D964" s="6" t="s">
        <v>42</v>
      </c>
      <c r="E964" s="7">
        <v>44927</v>
      </c>
      <c r="F964" s="8" t="s">
        <v>77</v>
      </c>
      <c r="G964" s="2" t="s">
        <v>26</v>
      </c>
      <c r="H964" s="8" t="s">
        <v>28</v>
      </c>
      <c r="I964" s="2" t="s">
        <v>26</v>
      </c>
      <c r="J964" s="7">
        <v>44927</v>
      </c>
      <c r="K964" s="8" t="s">
        <v>77</v>
      </c>
      <c r="L964" s="2" t="s">
        <v>26</v>
      </c>
      <c r="M964" s="8" t="s">
        <v>28</v>
      </c>
      <c r="N964" s="6" t="s">
        <v>2264</v>
      </c>
      <c r="O964" s="6" t="s">
        <v>30</v>
      </c>
      <c r="P964" s="2" t="s">
        <v>12344</v>
      </c>
    </row>
    <row r="965" spans="1:16" ht="13.15" x14ac:dyDescent="0.4">
      <c r="A965" s="2" t="s">
        <v>11696</v>
      </c>
      <c r="B965" s="2" t="s">
        <v>5885</v>
      </c>
      <c r="C965" s="6" t="s">
        <v>5879</v>
      </c>
      <c r="D965" s="6" t="s">
        <v>42</v>
      </c>
      <c r="E965" s="7">
        <v>44927</v>
      </c>
      <c r="F965" s="8" t="s">
        <v>77</v>
      </c>
      <c r="G965" s="2" t="s">
        <v>26</v>
      </c>
      <c r="H965" s="8" t="s">
        <v>28</v>
      </c>
      <c r="I965" s="2" t="s">
        <v>26</v>
      </c>
      <c r="J965" s="7">
        <v>44927</v>
      </c>
      <c r="K965" s="8" t="s">
        <v>77</v>
      </c>
      <c r="L965" s="2" t="s">
        <v>26</v>
      </c>
      <c r="M965" s="8" t="s">
        <v>28</v>
      </c>
      <c r="N965" s="6" t="s">
        <v>2264</v>
      </c>
      <c r="O965" s="6" t="s">
        <v>30</v>
      </c>
      <c r="P965" s="2" t="s">
        <v>12345</v>
      </c>
    </row>
    <row r="966" spans="1:16" ht="13.15" x14ac:dyDescent="0.4">
      <c r="A966" s="2" t="s">
        <v>11837</v>
      </c>
      <c r="B966" s="2" t="s">
        <v>5885</v>
      </c>
      <c r="C966" s="6" t="s">
        <v>5879</v>
      </c>
      <c r="D966" s="6" t="s">
        <v>42</v>
      </c>
      <c r="E966" s="7">
        <v>44927</v>
      </c>
      <c r="F966" s="8" t="s">
        <v>77</v>
      </c>
      <c r="G966" s="2" t="s">
        <v>26</v>
      </c>
      <c r="H966" s="8" t="s">
        <v>28</v>
      </c>
      <c r="I966" s="2" t="s">
        <v>26</v>
      </c>
      <c r="J966" s="7">
        <v>44927</v>
      </c>
      <c r="K966" s="8" t="s">
        <v>77</v>
      </c>
      <c r="L966" s="2" t="s">
        <v>26</v>
      </c>
      <c r="M966" s="8" t="s">
        <v>28</v>
      </c>
      <c r="N966" s="6" t="s">
        <v>2264</v>
      </c>
      <c r="O966" s="6" t="s">
        <v>30</v>
      </c>
      <c r="P966" s="2" t="s">
        <v>12346</v>
      </c>
    </row>
    <row r="967" spans="1:16" ht="13.15" x14ac:dyDescent="0.4">
      <c r="A967" s="2" t="s">
        <v>11764</v>
      </c>
      <c r="B967" s="2" t="s">
        <v>5885</v>
      </c>
      <c r="C967" s="6" t="s">
        <v>5879</v>
      </c>
      <c r="D967" s="6" t="s">
        <v>42</v>
      </c>
      <c r="E967" s="7">
        <v>44927</v>
      </c>
      <c r="F967" s="8" t="s">
        <v>77</v>
      </c>
      <c r="G967" s="2" t="s">
        <v>26</v>
      </c>
      <c r="H967" s="8" t="s">
        <v>28</v>
      </c>
      <c r="I967" s="2" t="s">
        <v>26</v>
      </c>
      <c r="J967" s="7">
        <v>44927</v>
      </c>
      <c r="K967" s="8" t="s">
        <v>77</v>
      </c>
      <c r="L967" s="2" t="s">
        <v>26</v>
      </c>
      <c r="M967" s="8" t="s">
        <v>28</v>
      </c>
      <c r="N967" s="6" t="s">
        <v>2264</v>
      </c>
      <c r="O967" s="6" t="s">
        <v>30</v>
      </c>
      <c r="P967" s="2" t="s">
        <v>12347</v>
      </c>
    </row>
    <row r="968" spans="1:16" ht="13.15" x14ac:dyDescent="0.4">
      <c r="A968" s="2" t="s">
        <v>11942</v>
      </c>
      <c r="B968" s="2" t="s">
        <v>5885</v>
      </c>
      <c r="C968" s="6" t="s">
        <v>5879</v>
      </c>
      <c r="D968" s="6" t="s">
        <v>42</v>
      </c>
      <c r="E968" s="7">
        <v>44927</v>
      </c>
      <c r="F968" s="8" t="s">
        <v>77</v>
      </c>
      <c r="G968" s="2" t="s">
        <v>26</v>
      </c>
      <c r="H968" s="8" t="s">
        <v>28</v>
      </c>
      <c r="I968" s="2" t="s">
        <v>26</v>
      </c>
      <c r="J968" s="7">
        <v>44927</v>
      </c>
      <c r="K968" s="8" t="s">
        <v>77</v>
      </c>
      <c r="L968" s="2" t="s">
        <v>26</v>
      </c>
      <c r="M968" s="8" t="s">
        <v>28</v>
      </c>
      <c r="N968" s="6" t="s">
        <v>2264</v>
      </c>
      <c r="O968" s="6" t="s">
        <v>30</v>
      </c>
      <c r="P968" s="2" t="s">
        <v>12348</v>
      </c>
    </row>
    <row r="969" spans="1:16" ht="13.15" x14ac:dyDescent="0.4">
      <c r="A969" s="2" t="s">
        <v>11801</v>
      </c>
      <c r="B969" s="2" t="s">
        <v>5885</v>
      </c>
      <c r="C969" s="6" t="s">
        <v>5879</v>
      </c>
      <c r="D969" s="6" t="s">
        <v>42</v>
      </c>
      <c r="E969" s="7">
        <v>44927</v>
      </c>
      <c r="F969" s="8" t="s">
        <v>77</v>
      </c>
      <c r="G969" s="2" t="s">
        <v>26</v>
      </c>
      <c r="H969" s="8" t="s">
        <v>28</v>
      </c>
      <c r="I969" s="2" t="s">
        <v>26</v>
      </c>
      <c r="J969" s="7">
        <v>44927</v>
      </c>
      <c r="K969" s="8" t="s">
        <v>77</v>
      </c>
      <c r="L969" s="2" t="s">
        <v>26</v>
      </c>
      <c r="M969" s="8" t="s">
        <v>28</v>
      </c>
      <c r="N969" s="6" t="s">
        <v>2264</v>
      </c>
      <c r="O969" s="6" t="s">
        <v>30</v>
      </c>
      <c r="P969" s="2" t="s">
        <v>12349</v>
      </c>
    </row>
    <row r="970" spans="1:16" ht="13.15" x14ac:dyDescent="0.4">
      <c r="A970" s="2" t="s">
        <v>11851</v>
      </c>
      <c r="B970" s="2" t="s">
        <v>5885</v>
      </c>
      <c r="C970" s="6" t="s">
        <v>5879</v>
      </c>
      <c r="D970" s="6" t="s">
        <v>42</v>
      </c>
      <c r="E970" s="7">
        <v>44927</v>
      </c>
      <c r="F970" s="8" t="s">
        <v>77</v>
      </c>
      <c r="G970" s="2" t="s">
        <v>26</v>
      </c>
      <c r="H970" s="8" t="s">
        <v>28</v>
      </c>
      <c r="I970" s="2" t="s">
        <v>26</v>
      </c>
      <c r="J970" s="7">
        <v>44927</v>
      </c>
      <c r="K970" s="8" t="s">
        <v>77</v>
      </c>
      <c r="L970" s="2" t="s">
        <v>26</v>
      </c>
      <c r="M970" s="8" t="s">
        <v>28</v>
      </c>
      <c r="N970" s="6" t="s">
        <v>2264</v>
      </c>
      <c r="O970" s="6" t="s">
        <v>30</v>
      </c>
      <c r="P970" s="2" t="s">
        <v>12350</v>
      </c>
    </row>
    <row r="971" spans="1:16" ht="13.15" x14ac:dyDescent="0.4">
      <c r="A971" s="2" t="s">
        <v>11717</v>
      </c>
      <c r="B971" s="2" t="s">
        <v>5885</v>
      </c>
      <c r="C971" s="6" t="s">
        <v>5879</v>
      </c>
      <c r="D971" s="6" t="s">
        <v>42</v>
      </c>
      <c r="E971" s="7">
        <v>44927</v>
      </c>
      <c r="F971" s="8" t="s">
        <v>77</v>
      </c>
      <c r="G971" s="2" t="s">
        <v>26</v>
      </c>
      <c r="H971" s="8" t="s">
        <v>28</v>
      </c>
      <c r="I971" s="2" t="s">
        <v>26</v>
      </c>
      <c r="J971" s="7">
        <v>44927</v>
      </c>
      <c r="K971" s="8" t="s">
        <v>77</v>
      </c>
      <c r="L971" s="2" t="s">
        <v>26</v>
      </c>
      <c r="M971" s="8" t="s">
        <v>28</v>
      </c>
      <c r="N971" s="6" t="s">
        <v>2264</v>
      </c>
      <c r="O971" s="6" t="s">
        <v>30</v>
      </c>
      <c r="P971" s="2" t="s">
        <v>12351</v>
      </c>
    </row>
    <row r="972" spans="1:16" ht="13.15" x14ac:dyDescent="0.4">
      <c r="A972" s="2" t="s">
        <v>11872</v>
      </c>
      <c r="B972" s="2" t="s">
        <v>5885</v>
      </c>
      <c r="C972" s="6" t="s">
        <v>5879</v>
      </c>
      <c r="D972" s="6" t="s">
        <v>42</v>
      </c>
      <c r="E972" s="7">
        <v>44927</v>
      </c>
      <c r="F972" s="8" t="s">
        <v>77</v>
      </c>
      <c r="G972" s="2" t="s">
        <v>26</v>
      </c>
      <c r="H972" s="8" t="s">
        <v>28</v>
      </c>
      <c r="I972" s="2" t="s">
        <v>26</v>
      </c>
      <c r="J972" s="7">
        <v>44927</v>
      </c>
      <c r="K972" s="8" t="s">
        <v>77</v>
      </c>
      <c r="L972" s="2" t="s">
        <v>26</v>
      </c>
      <c r="M972" s="8" t="s">
        <v>28</v>
      </c>
      <c r="N972" s="6" t="s">
        <v>2264</v>
      </c>
      <c r="O972" s="6" t="s">
        <v>30</v>
      </c>
      <c r="P972" s="2" t="s">
        <v>12352</v>
      </c>
    </row>
    <row r="973" spans="1:16" ht="13.15" x14ac:dyDescent="0.4">
      <c r="A973" s="2" t="s">
        <v>11876</v>
      </c>
      <c r="B973" s="2" t="s">
        <v>5885</v>
      </c>
      <c r="C973" s="6" t="s">
        <v>5879</v>
      </c>
      <c r="D973" s="6" t="s">
        <v>42</v>
      </c>
      <c r="E973" s="7">
        <v>44927</v>
      </c>
      <c r="F973" s="8" t="s">
        <v>77</v>
      </c>
      <c r="G973" s="2" t="s">
        <v>26</v>
      </c>
      <c r="H973" s="8" t="s">
        <v>28</v>
      </c>
      <c r="I973" s="2" t="s">
        <v>26</v>
      </c>
      <c r="J973" s="7">
        <v>44927</v>
      </c>
      <c r="K973" s="8" t="s">
        <v>77</v>
      </c>
      <c r="L973" s="2" t="s">
        <v>26</v>
      </c>
      <c r="M973" s="8" t="s">
        <v>28</v>
      </c>
      <c r="N973" s="6" t="s">
        <v>2264</v>
      </c>
      <c r="O973" s="6" t="s">
        <v>30</v>
      </c>
      <c r="P973" s="2" t="s">
        <v>12353</v>
      </c>
    </row>
    <row r="974" spans="1:16" ht="13.15" x14ac:dyDescent="0.4">
      <c r="A974" s="2" t="s">
        <v>11708</v>
      </c>
      <c r="B974" s="2" t="s">
        <v>5885</v>
      </c>
      <c r="C974" s="6" t="s">
        <v>5879</v>
      </c>
      <c r="D974" s="6" t="s">
        <v>42</v>
      </c>
      <c r="E974" s="7">
        <v>44927</v>
      </c>
      <c r="F974" s="8" t="s">
        <v>77</v>
      </c>
      <c r="G974" s="2" t="s">
        <v>26</v>
      </c>
      <c r="H974" s="8" t="s">
        <v>28</v>
      </c>
      <c r="I974" s="2" t="s">
        <v>26</v>
      </c>
      <c r="J974" s="7">
        <v>44927</v>
      </c>
      <c r="K974" s="8" t="s">
        <v>77</v>
      </c>
      <c r="L974" s="2" t="s">
        <v>26</v>
      </c>
      <c r="M974" s="8" t="s">
        <v>28</v>
      </c>
      <c r="N974" s="6" t="s">
        <v>2264</v>
      </c>
      <c r="O974" s="6" t="s">
        <v>30</v>
      </c>
      <c r="P974" s="2" t="s">
        <v>12354</v>
      </c>
    </row>
    <row r="975" spans="1:16" ht="13.15" x14ac:dyDescent="0.4">
      <c r="A975" s="2" t="s">
        <v>11838</v>
      </c>
      <c r="B975" s="2" t="s">
        <v>5885</v>
      </c>
      <c r="C975" s="6" t="s">
        <v>5879</v>
      </c>
      <c r="D975" s="6" t="s">
        <v>42</v>
      </c>
      <c r="E975" s="7">
        <v>44927</v>
      </c>
      <c r="F975" s="8" t="s">
        <v>77</v>
      </c>
      <c r="G975" s="2" t="s">
        <v>26</v>
      </c>
      <c r="H975" s="8" t="s">
        <v>28</v>
      </c>
      <c r="I975" s="2" t="s">
        <v>26</v>
      </c>
      <c r="J975" s="7">
        <v>44927</v>
      </c>
      <c r="K975" s="8" t="s">
        <v>77</v>
      </c>
      <c r="L975" s="2" t="s">
        <v>26</v>
      </c>
      <c r="M975" s="8" t="s">
        <v>28</v>
      </c>
      <c r="N975" s="6" t="s">
        <v>2264</v>
      </c>
      <c r="O975" s="6" t="s">
        <v>30</v>
      </c>
      <c r="P975" s="2" t="s">
        <v>12355</v>
      </c>
    </row>
    <row r="976" spans="1:16" ht="13.15" x14ac:dyDescent="0.4">
      <c r="A976" s="2" t="s">
        <v>11739</v>
      </c>
      <c r="B976" s="2" t="s">
        <v>5885</v>
      </c>
      <c r="C976" s="6" t="s">
        <v>5879</v>
      </c>
      <c r="D976" s="6" t="s">
        <v>42</v>
      </c>
      <c r="E976" s="7">
        <v>44927</v>
      </c>
      <c r="F976" s="8" t="s">
        <v>77</v>
      </c>
      <c r="G976" s="2" t="s">
        <v>26</v>
      </c>
      <c r="H976" s="8" t="s">
        <v>28</v>
      </c>
      <c r="I976" s="2" t="s">
        <v>26</v>
      </c>
      <c r="J976" s="7">
        <v>44927</v>
      </c>
      <c r="K976" s="8" t="s">
        <v>77</v>
      </c>
      <c r="L976" s="2" t="s">
        <v>26</v>
      </c>
      <c r="M976" s="8" t="s">
        <v>28</v>
      </c>
      <c r="N976" s="6" t="s">
        <v>2264</v>
      </c>
      <c r="O976" s="6" t="s">
        <v>30</v>
      </c>
      <c r="P976" s="2" t="s">
        <v>12356</v>
      </c>
    </row>
    <row r="977" spans="1:16" ht="13.15" x14ac:dyDescent="0.4">
      <c r="A977" s="2" t="s">
        <v>11906</v>
      </c>
      <c r="B977" s="2" t="s">
        <v>5885</v>
      </c>
      <c r="C977" s="6" t="s">
        <v>5879</v>
      </c>
      <c r="D977" s="6" t="s">
        <v>42</v>
      </c>
      <c r="E977" s="7">
        <v>44927</v>
      </c>
      <c r="F977" s="8" t="s">
        <v>77</v>
      </c>
      <c r="G977" s="2" t="s">
        <v>26</v>
      </c>
      <c r="H977" s="8" t="s">
        <v>28</v>
      </c>
      <c r="I977" s="2" t="s">
        <v>26</v>
      </c>
      <c r="J977" s="7">
        <v>44927</v>
      </c>
      <c r="K977" s="8" t="s">
        <v>77</v>
      </c>
      <c r="L977" s="2" t="s">
        <v>26</v>
      </c>
      <c r="M977" s="8" t="s">
        <v>28</v>
      </c>
      <c r="N977" s="6" t="s">
        <v>2264</v>
      </c>
      <c r="O977" s="6" t="s">
        <v>30</v>
      </c>
      <c r="P977" s="2" t="s">
        <v>12357</v>
      </c>
    </row>
    <row r="978" spans="1:16" ht="13.15" x14ac:dyDescent="0.4">
      <c r="A978" s="2" t="s">
        <v>11692</v>
      </c>
      <c r="B978" s="2" t="s">
        <v>5885</v>
      </c>
      <c r="C978" s="6" t="s">
        <v>5879</v>
      </c>
      <c r="D978" s="6" t="s">
        <v>42</v>
      </c>
      <c r="E978" s="7">
        <v>44927</v>
      </c>
      <c r="F978" s="8" t="s">
        <v>77</v>
      </c>
      <c r="G978" s="2" t="s">
        <v>26</v>
      </c>
      <c r="H978" s="8" t="s">
        <v>28</v>
      </c>
      <c r="I978" s="2" t="s">
        <v>26</v>
      </c>
      <c r="J978" s="7">
        <v>44927</v>
      </c>
      <c r="K978" s="8" t="s">
        <v>77</v>
      </c>
      <c r="L978" s="2" t="s">
        <v>26</v>
      </c>
      <c r="M978" s="8" t="s">
        <v>28</v>
      </c>
      <c r="N978" s="6" t="s">
        <v>2264</v>
      </c>
      <c r="O978" s="6" t="s">
        <v>30</v>
      </c>
      <c r="P978" s="2" t="s">
        <v>12358</v>
      </c>
    </row>
    <row r="979" spans="1:16" ht="13.15" x14ac:dyDescent="0.4">
      <c r="A979" s="2" t="s">
        <v>11857</v>
      </c>
      <c r="B979" s="2" t="s">
        <v>5885</v>
      </c>
      <c r="C979" s="6" t="s">
        <v>5879</v>
      </c>
      <c r="D979" s="6" t="s">
        <v>42</v>
      </c>
      <c r="E979" s="7">
        <v>44927</v>
      </c>
      <c r="F979" s="8" t="s">
        <v>77</v>
      </c>
      <c r="G979" s="2" t="s">
        <v>26</v>
      </c>
      <c r="H979" s="8" t="s">
        <v>28</v>
      </c>
      <c r="I979" s="2" t="s">
        <v>26</v>
      </c>
      <c r="J979" s="7">
        <v>44927</v>
      </c>
      <c r="K979" s="8" t="s">
        <v>77</v>
      </c>
      <c r="L979" s="2" t="s">
        <v>26</v>
      </c>
      <c r="M979" s="8" t="s">
        <v>28</v>
      </c>
      <c r="N979" s="6" t="s">
        <v>2264</v>
      </c>
      <c r="O979" s="6" t="s">
        <v>30</v>
      </c>
      <c r="P979" s="2" t="s">
        <v>12359</v>
      </c>
    </row>
    <row r="980" spans="1:16" ht="13.15" x14ac:dyDescent="0.4">
      <c r="A980" s="2" t="s">
        <v>11770</v>
      </c>
      <c r="B980" s="2" t="s">
        <v>5885</v>
      </c>
      <c r="C980" s="6" t="s">
        <v>5879</v>
      </c>
      <c r="D980" s="6" t="s">
        <v>42</v>
      </c>
      <c r="E980" s="7">
        <v>44927</v>
      </c>
      <c r="F980" s="8" t="s">
        <v>77</v>
      </c>
      <c r="G980" s="2" t="s">
        <v>26</v>
      </c>
      <c r="H980" s="8" t="s">
        <v>28</v>
      </c>
      <c r="I980" s="2" t="s">
        <v>26</v>
      </c>
      <c r="J980" s="7">
        <v>44927</v>
      </c>
      <c r="K980" s="8" t="s">
        <v>77</v>
      </c>
      <c r="L980" s="2" t="s">
        <v>26</v>
      </c>
      <c r="M980" s="8" t="s">
        <v>28</v>
      </c>
      <c r="N980" s="6" t="s">
        <v>2264</v>
      </c>
      <c r="O980" s="6" t="s">
        <v>30</v>
      </c>
      <c r="P980" s="2" t="s">
        <v>12360</v>
      </c>
    </row>
    <row r="981" spans="1:16" ht="13.15" x14ac:dyDescent="0.4">
      <c r="A981" s="2" t="s">
        <v>11780</v>
      </c>
      <c r="B981" s="2" t="s">
        <v>5885</v>
      </c>
      <c r="C981" s="6" t="s">
        <v>5879</v>
      </c>
      <c r="D981" s="6" t="s">
        <v>42</v>
      </c>
      <c r="E981" s="7">
        <v>44927</v>
      </c>
      <c r="F981" s="8" t="s">
        <v>77</v>
      </c>
      <c r="G981" s="2" t="s">
        <v>26</v>
      </c>
      <c r="H981" s="8" t="s">
        <v>28</v>
      </c>
      <c r="I981" s="2" t="s">
        <v>26</v>
      </c>
      <c r="J981" s="7">
        <v>44927</v>
      </c>
      <c r="K981" s="8" t="s">
        <v>77</v>
      </c>
      <c r="L981" s="2" t="s">
        <v>26</v>
      </c>
      <c r="M981" s="8" t="s">
        <v>28</v>
      </c>
      <c r="N981" s="6" t="s">
        <v>2264</v>
      </c>
      <c r="O981" s="6" t="s">
        <v>30</v>
      </c>
      <c r="P981" s="2" t="s">
        <v>12361</v>
      </c>
    </row>
    <row r="982" spans="1:16" ht="13.15" x14ac:dyDescent="0.4">
      <c r="A982" s="2" t="s">
        <v>11892</v>
      </c>
      <c r="B982" s="2" t="s">
        <v>5885</v>
      </c>
      <c r="C982" s="6" t="s">
        <v>5879</v>
      </c>
      <c r="D982" s="6" t="s">
        <v>42</v>
      </c>
      <c r="E982" s="7">
        <v>44927</v>
      </c>
      <c r="F982" s="8" t="s">
        <v>77</v>
      </c>
      <c r="G982" s="2" t="s">
        <v>26</v>
      </c>
      <c r="H982" s="8" t="s">
        <v>28</v>
      </c>
      <c r="I982" s="2" t="s">
        <v>26</v>
      </c>
      <c r="J982" s="7">
        <v>44927</v>
      </c>
      <c r="K982" s="8" t="s">
        <v>77</v>
      </c>
      <c r="L982" s="2" t="s">
        <v>26</v>
      </c>
      <c r="M982" s="8" t="s">
        <v>28</v>
      </c>
      <c r="N982" s="6" t="s">
        <v>2264</v>
      </c>
      <c r="O982" s="6" t="s">
        <v>30</v>
      </c>
      <c r="P982" s="2" t="s">
        <v>12362</v>
      </c>
    </row>
    <row r="983" spans="1:16" ht="13.15" x14ac:dyDescent="0.4">
      <c r="A983" s="2" t="s">
        <v>11839</v>
      </c>
      <c r="B983" s="2" t="s">
        <v>5885</v>
      </c>
      <c r="C983" s="6" t="s">
        <v>5879</v>
      </c>
      <c r="D983" s="6" t="s">
        <v>42</v>
      </c>
      <c r="E983" s="7">
        <v>44927</v>
      </c>
      <c r="F983" s="8" t="s">
        <v>77</v>
      </c>
      <c r="G983" s="2" t="s">
        <v>26</v>
      </c>
      <c r="H983" s="8" t="s">
        <v>28</v>
      </c>
      <c r="I983" s="2" t="s">
        <v>26</v>
      </c>
      <c r="J983" s="7">
        <v>44927</v>
      </c>
      <c r="K983" s="8" t="s">
        <v>77</v>
      </c>
      <c r="L983" s="2" t="s">
        <v>26</v>
      </c>
      <c r="M983" s="8" t="s">
        <v>28</v>
      </c>
      <c r="N983" s="6" t="s">
        <v>2264</v>
      </c>
      <c r="O983" s="6" t="s">
        <v>30</v>
      </c>
      <c r="P983" s="2" t="s">
        <v>12363</v>
      </c>
    </row>
    <row r="984" spans="1:16" ht="13.15" x14ac:dyDescent="0.4">
      <c r="A984" s="2" t="s">
        <v>11835</v>
      </c>
      <c r="B984" s="2" t="s">
        <v>5885</v>
      </c>
      <c r="C984" s="6" t="s">
        <v>5879</v>
      </c>
      <c r="D984" s="6" t="s">
        <v>42</v>
      </c>
      <c r="E984" s="7">
        <v>44927</v>
      </c>
      <c r="F984" s="8" t="s">
        <v>77</v>
      </c>
      <c r="G984" s="2" t="s">
        <v>26</v>
      </c>
      <c r="H984" s="8" t="s">
        <v>28</v>
      </c>
      <c r="I984" s="2" t="s">
        <v>26</v>
      </c>
      <c r="J984" s="7">
        <v>44927</v>
      </c>
      <c r="K984" s="8" t="s">
        <v>77</v>
      </c>
      <c r="L984" s="2" t="s">
        <v>26</v>
      </c>
      <c r="M984" s="8" t="s">
        <v>28</v>
      </c>
      <c r="N984" s="6" t="s">
        <v>2264</v>
      </c>
      <c r="O984" s="6" t="s">
        <v>30</v>
      </c>
      <c r="P984" s="2" t="s">
        <v>12364</v>
      </c>
    </row>
    <row r="985" spans="1:16" ht="13.15" x14ac:dyDescent="0.4">
      <c r="A985" s="2" t="s">
        <v>11863</v>
      </c>
      <c r="B985" s="2" t="s">
        <v>5885</v>
      </c>
      <c r="C985" s="6" t="s">
        <v>5879</v>
      </c>
      <c r="D985" s="6" t="s">
        <v>42</v>
      </c>
      <c r="E985" s="7">
        <v>44927</v>
      </c>
      <c r="F985" s="8" t="s">
        <v>77</v>
      </c>
      <c r="G985" s="2" t="s">
        <v>26</v>
      </c>
      <c r="H985" s="8" t="s">
        <v>28</v>
      </c>
      <c r="I985" s="2" t="s">
        <v>26</v>
      </c>
      <c r="J985" s="7">
        <v>44927</v>
      </c>
      <c r="K985" s="8" t="s">
        <v>77</v>
      </c>
      <c r="L985" s="2" t="s">
        <v>26</v>
      </c>
      <c r="M985" s="8" t="s">
        <v>28</v>
      </c>
      <c r="N985" s="6" t="s">
        <v>2264</v>
      </c>
      <c r="O985" s="6" t="s">
        <v>30</v>
      </c>
      <c r="P985" s="2" t="s">
        <v>12365</v>
      </c>
    </row>
    <row r="986" spans="1:16" ht="13.15" x14ac:dyDescent="0.4">
      <c r="A986" s="2" t="s">
        <v>11721</v>
      </c>
      <c r="B986" s="2" t="s">
        <v>5885</v>
      </c>
      <c r="C986" s="6" t="s">
        <v>5879</v>
      </c>
      <c r="D986" s="6" t="s">
        <v>42</v>
      </c>
      <c r="E986" s="7">
        <v>44927</v>
      </c>
      <c r="F986" s="8" t="s">
        <v>77</v>
      </c>
      <c r="G986" s="2" t="s">
        <v>26</v>
      </c>
      <c r="H986" s="8" t="s">
        <v>28</v>
      </c>
      <c r="I986" s="2" t="s">
        <v>26</v>
      </c>
      <c r="J986" s="7">
        <v>44927</v>
      </c>
      <c r="K986" s="8" t="s">
        <v>77</v>
      </c>
      <c r="L986" s="2" t="s">
        <v>26</v>
      </c>
      <c r="M986" s="8" t="s">
        <v>28</v>
      </c>
      <c r="N986" s="6" t="s">
        <v>2264</v>
      </c>
      <c r="O986" s="6" t="s">
        <v>30</v>
      </c>
      <c r="P986" s="2" t="s">
        <v>12366</v>
      </c>
    </row>
    <row r="987" spans="1:16" ht="13.15" x14ac:dyDescent="0.4">
      <c r="A987" s="2" t="s">
        <v>11753</v>
      </c>
      <c r="B987" s="2" t="s">
        <v>5885</v>
      </c>
      <c r="C987" s="6" t="s">
        <v>5879</v>
      </c>
      <c r="D987" s="6" t="s">
        <v>42</v>
      </c>
      <c r="E987" s="7">
        <v>44927</v>
      </c>
      <c r="F987" s="8" t="s">
        <v>77</v>
      </c>
      <c r="G987" s="2" t="s">
        <v>26</v>
      </c>
      <c r="H987" s="8" t="s">
        <v>28</v>
      </c>
      <c r="I987" s="2" t="s">
        <v>26</v>
      </c>
      <c r="J987" s="7">
        <v>44927</v>
      </c>
      <c r="K987" s="8" t="s">
        <v>77</v>
      </c>
      <c r="L987" s="2" t="s">
        <v>26</v>
      </c>
      <c r="M987" s="8" t="s">
        <v>28</v>
      </c>
      <c r="N987" s="6" t="s">
        <v>2264</v>
      </c>
      <c r="O987" s="6" t="s">
        <v>30</v>
      </c>
      <c r="P987" s="2" t="s">
        <v>12367</v>
      </c>
    </row>
    <row r="988" spans="1:16" ht="13.15" x14ac:dyDescent="0.4">
      <c r="A988" s="2" t="s">
        <v>11756</v>
      </c>
      <c r="B988" s="2" t="s">
        <v>5885</v>
      </c>
      <c r="C988" s="6" t="s">
        <v>5879</v>
      </c>
      <c r="D988" s="6" t="s">
        <v>42</v>
      </c>
      <c r="E988" s="7">
        <v>44927</v>
      </c>
      <c r="F988" s="8" t="s">
        <v>77</v>
      </c>
      <c r="G988" s="2" t="s">
        <v>26</v>
      </c>
      <c r="H988" s="8" t="s">
        <v>28</v>
      </c>
      <c r="I988" s="2" t="s">
        <v>26</v>
      </c>
      <c r="J988" s="7">
        <v>44927</v>
      </c>
      <c r="K988" s="8" t="s">
        <v>77</v>
      </c>
      <c r="L988" s="2" t="s">
        <v>26</v>
      </c>
      <c r="M988" s="8" t="s">
        <v>28</v>
      </c>
      <c r="N988" s="6" t="s">
        <v>2264</v>
      </c>
      <c r="O988" s="6" t="s">
        <v>30</v>
      </c>
      <c r="P988" s="2" t="s">
        <v>12368</v>
      </c>
    </row>
    <row r="989" spans="1:16" ht="13.15" x14ac:dyDescent="0.4">
      <c r="A989" s="2" t="s">
        <v>11715</v>
      </c>
      <c r="B989" s="2" t="s">
        <v>5885</v>
      </c>
      <c r="C989" s="6" t="s">
        <v>5879</v>
      </c>
      <c r="D989" s="6" t="s">
        <v>42</v>
      </c>
      <c r="E989" s="7">
        <v>44927</v>
      </c>
      <c r="F989" s="8" t="s">
        <v>77</v>
      </c>
      <c r="G989" s="2" t="s">
        <v>26</v>
      </c>
      <c r="H989" s="8" t="s">
        <v>28</v>
      </c>
      <c r="I989" s="2" t="s">
        <v>26</v>
      </c>
      <c r="J989" s="7">
        <v>44927</v>
      </c>
      <c r="K989" s="8" t="s">
        <v>77</v>
      </c>
      <c r="L989" s="2" t="s">
        <v>26</v>
      </c>
      <c r="M989" s="8" t="s">
        <v>28</v>
      </c>
      <c r="N989" s="6" t="s">
        <v>2264</v>
      </c>
      <c r="O989" s="6" t="s">
        <v>30</v>
      </c>
      <c r="P989" s="2" t="s">
        <v>12369</v>
      </c>
    </row>
    <row r="990" spans="1:16" ht="13.15" x14ac:dyDescent="0.4">
      <c r="A990" s="2" t="s">
        <v>11850</v>
      </c>
      <c r="B990" s="2" t="s">
        <v>5885</v>
      </c>
      <c r="C990" s="6" t="s">
        <v>5879</v>
      </c>
      <c r="D990" s="6" t="s">
        <v>42</v>
      </c>
      <c r="E990" s="7">
        <v>44927</v>
      </c>
      <c r="F990" s="8" t="s">
        <v>77</v>
      </c>
      <c r="G990" s="2" t="s">
        <v>26</v>
      </c>
      <c r="H990" s="8" t="s">
        <v>28</v>
      </c>
      <c r="I990" s="2" t="s">
        <v>26</v>
      </c>
      <c r="J990" s="7">
        <v>44927</v>
      </c>
      <c r="K990" s="8" t="s">
        <v>77</v>
      </c>
      <c r="L990" s="2" t="s">
        <v>26</v>
      </c>
      <c r="M990" s="8" t="s">
        <v>28</v>
      </c>
      <c r="N990" s="6" t="s">
        <v>2264</v>
      </c>
      <c r="O990" s="6" t="s">
        <v>30</v>
      </c>
      <c r="P990" s="2" t="s">
        <v>12370</v>
      </c>
    </row>
    <row r="991" spans="1:16" ht="13.15" x14ac:dyDescent="0.4">
      <c r="A991" s="2" t="s">
        <v>11754</v>
      </c>
      <c r="B991" s="2" t="s">
        <v>5885</v>
      </c>
      <c r="C991" s="6" t="s">
        <v>5879</v>
      </c>
      <c r="D991" s="6" t="s">
        <v>42</v>
      </c>
      <c r="E991" s="7">
        <v>44927</v>
      </c>
      <c r="F991" s="8" t="s">
        <v>77</v>
      </c>
      <c r="G991" s="2" t="s">
        <v>26</v>
      </c>
      <c r="H991" s="8" t="s">
        <v>28</v>
      </c>
      <c r="I991" s="2" t="s">
        <v>26</v>
      </c>
      <c r="J991" s="7">
        <v>44927</v>
      </c>
      <c r="K991" s="8" t="s">
        <v>77</v>
      </c>
      <c r="L991" s="2" t="s">
        <v>26</v>
      </c>
      <c r="M991" s="8" t="s">
        <v>28</v>
      </c>
      <c r="N991" s="6" t="s">
        <v>2264</v>
      </c>
      <c r="O991" s="6" t="s">
        <v>30</v>
      </c>
      <c r="P991" s="2" t="s">
        <v>12371</v>
      </c>
    </row>
    <row r="992" spans="1:16" ht="13.15" x14ac:dyDescent="0.4">
      <c r="A992" s="2" t="s">
        <v>11771</v>
      </c>
      <c r="B992" s="2" t="s">
        <v>5885</v>
      </c>
      <c r="C992" s="6" t="s">
        <v>5879</v>
      </c>
      <c r="D992" s="6" t="s">
        <v>42</v>
      </c>
      <c r="E992" s="7">
        <v>44927</v>
      </c>
      <c r="F992" s="8" t="s">
        <v>77</v>
      </c>
      <c r="G992" s="2" t="s">
        <v>26</v>
      </c>
      <c r="H992" s="8" t="s">
        <v>28</v>
      </c>
      <c r="I992" s="2" t="s">
        <v>26</v>
      </c>
      <c r="J992" s="7">
        <v>44927</v>
      </c>
      <c r="K992" s="8" t="s">
        <v>77</v>
      </c>
      <c r="L992" s="2" t="s">
        <v>26</v>
      </c>
      <c r="M992" s="8" t="s">
        <v>28</v>
      </c>
      <c r="N992" s="6" t="s">
        <v>2264</v>
      </c>
      <c r="O992" s="6" t="s">
        <v>30</v>
      </c>
      <c r="P992" s="2" t="s">
        <v>12372</v>
      </c>
    </row>
    <row r="993" spans="1:16" ht="13.15" x14ac:dyDescent="0.4">
      <c r="A993" s="2" t="s">
        <v>11908</v>
      </c>
      <c r="B993" s="2" t="s">
        <v>5885</v>
      </c>
      <c r="C993" s="6" t="s">
        <v>5879</v>
      </c>
      <c r="D993" s="6" t="s">
        <v>42</v>
      </c>
      <c r="E993" s="7">
        <v>44927</v>
      </c>
      <c r="F993" s="8" t="s">
        <v>77</v>
      </c>
      <c r="G993" s="2" t="s">
        <v>26</v>
      </c>
      <c r="H993" s="8" t="s">
        <v>28</v>
      </c>
      <c r="I993" s="2" t="s">
        <v>26</v>
      </c>
      <c r="J993" s="7">
        <v>44927</v>
      </c>
      <c r="K993" s="8" t="s">
        <v>77</v>
      </c>
      <c r="L993" s="2" t="s">
        <v>26</v>
      </c>
      <c r="M993" s="8" t="s">
        <v>28</v>
      </c>
      <c r="N993" s="6" t="s">
        <v>2264</v>
      </c>
      <c r="O993" s="6" t="s">
        <v>30</v>
      </c>
      <c r="P993" s="2" t="s">
        <v>12373</v>
      </c>
    </row>
    <row r="994" spans="1:16" ht="13.15" x14ac:dyDescent="0.4">
      <c r="A994" s="2" t="s">
        <v>11840</v>
      </c>
      <c r="B994" s="2" t="s">
        <v>5885</v>
      </c>
      <c r="C994" s="6" t="s">
        <v>5879</v>
      </c>
      <c r="D994" s="6" t="s">
        <v>42</v>
      </c>
      <c r="E994" s="7">
        <v>44927</v>
      </c>
      <c r="F994" s="8" t="s">
        <v>77</v>
      </c>
      <c r="G994" s="2" t="s">
        <v>26</v>
      </c>
      <c r="H994" s="8" t="s">
        <v>28</v>
      </c>
      <c r="I994" s="2" t="s">
        <v>26</v>
      </c>
      <c r="J994" s="7">
        <v>44927</v>
      </c>
      <c r="K994" s="8" t="s">
        <v>77</v>
      </c>
      <c r="L994" s="2" t="s">
        <v>26</v>
      </c>
      <c r="M994" s="8" t="s">
        <v>28</v>
      </c>
      <c r="N994" s="6" t="s">
        <v>2264</v>
      </c>
      <c r="O994" s="6" t="s">
        <v>30</v>
      </c>
      <c r="P994" s="2" t="s">
        <v>12374</v>
      </c>
    </row>
    <row r="995" spans="1:16" ht="13.15" x14ac:dyDescent="0.4">
      <c r="A995" s="2" t="s">
        <v>11888</v>
      </c>
      <c r="B995" s="2" t="s">
        <v>5885</v>
      </c>
      <c r="C995" s="6" t="s">
        <v>5879</v>
      </c>
      <c r="D995" s="6" t="s">
        <v>42</v>
      </c>
      <c r="E995" s="7">
        <v>44927</v>
      </c>
      <c r="F995" s="8" t="s">
        <v>77</v>
      </c>
      <c r="G995" s="2" t="s">
        <v>26</v>
      </c>
      <c r="H995" s="8" t="s">
        <v>28</v>
      </c>
      <c r="I995" s="2" t="s">
        <v>26</v>
      </c>
      <c r="J995" s="7">
        <v>44927</v>
      </c>
      <c r="K995" s="8" t="s">
        <v>77</v>
      </c>
      <c r="L995" s="2" t="s">
        <v>26</v>
      </c>
      <c r="M995" s="8" t="s">
        <v>28</v>
      </c>
      <c r="N995" s="6" t="s">
        <v>2264</v>
      </c>
      <c r="O995" s="6" t="s">
        <v>30</v>
      </c>
      <c r="P995" s="2" t="s">
        <v>12375</v>
      </c>
    </row>
    <row r="996" spans="1:16" ht="13.15" x14ac:dyDescent="0.4">
      <c r="A996" s="2" t="s">
        <v>11802</v>
      </c>
      <c r="B996" s="2" t="s">
        <v>5885</v>
      </c>
      <c r="C996" s="6" t="s">
        <v>5879</v>
      </c>
      <c r="D996" s="6" t="s">
        <v>42</v>
      </c>
      <c r="E996" s="7">
        <v>44927</v>
      </c>
      <c r="F996" s="8" t="s">
        <v>77</v>
      </c>
      <c r="G996" s="2" t="s">
        <v>26</v>
      </c>
      <c r="H996" s="8" t="s">
        <v>28</v>
      </c>
      <c r="I996" s="2" t="s">
        <v>26</v>
      </c>
      <c r="J996" s="7">
        <v>44927</v>
      </c>
      <c r="K996" s="8" t="s">
        <v>77</v>
      </c>
      <c r="L996" s="2" t="s">
        <v>26</v>
      </c>
      <c r="M996" s="8" t="s">
        <v>28</v>
      </c>
      <c r="N996" s="6" t="s">
        <v>2264</v>
      </c>
      <c r="O996" s="6" t="s">
        <v>30</v>
      </c>
      <c r="P996" s="2" t="s">
        <v>12376</v>
      </c>
    </row>
    <row r="997" spans="1:16" ht="13.15" x14ac:dyDescent="0.4">
      <c r="A997" s="2" t="s">
        <v>11955</v>
      </c>
      <c r="B997" s="2" t="s">
        <v>5885</v>
      </c>
      <c r="C997" s="6" t="s">
        <v>5879</v>
      </c>
      <c r="D997" s="6" t="s">
        <v>42</v>
      </c>
      <c r="E997" s="7">
        <v>44927</v>
      </c>
      <c r="F997" s="8" t="s">
        <v>77</v>
      </c>
      <c r="G997" s="2" t="s">
        <v>26</v>
      </c>
      <c r="H997" s="8" t="s">
        <v>28</v>
      </c>
      <c r="I997" s="2" t="s">
        <v>26</v>
      </c>
      <c r="J997" s="7">
        <v>44927</v>
      </c>
      <c r="K997" s="8" t="s">
        <v>77</v>
      </c>
      <c r="L997" s="2" t="s">
        <v>26</v>
      </c>
      <c r="M997" s="8" t="s">
        <v>28</v>
      </c>
      <c r="N997" s="6" t="s">
        <v>2264</v>
      </c>
      <c r="O997" s="6" t="s">
        <v>30</v>
      </c>
      <c r="P997" s="2" t="s">
        <v>12377</v>
      </c>
    </row>
    <row r="998" spans="1:16" ht="13.15" x14ac:dyDescent="0.4">
      <c r="A998" s="2" t="s">
        <v>11777</v>
      </c>
      <c r="B998" s="2" t="s">
        <v>5885</v>
      </c>
      <c r="C998" s="6" t="s">
        <v>5879</v>
      </c>
      <c r="D998" s="6" t="s">
        <v>42</v>
      </c>
      <c r="E998" s="7">
        <v>44927</v>
      </c>
      <c r="F998" s="8" t="s">
        <v>77</v>
      </c>
      <c r="G998" s="2" t="s">
        <v>26</v>
      </c>
      <c r="H998" s="8" t="s">
        <v>28</v>
      </c>
      <c r="I998" s="2" t="s">
        <v>26</v>
      </c>
      <c r="J998" s="7">
        <v>44927</v>
      </c>
      <c r="K998" s="8" t="s">
        <v>77</v>
      </c>
      <c r="L998" s="2" t="s">
        <v>26</v>
      </c>
      <c r="M998" s="8" t="s">
        <v>28</v>
      </c>
      <c r="N998" s="6" t="s">
        <v>2264</v>
      </c>
      <c r="O998" s="6" t="s">
        <v>30</v>
      </c>
      <c r="P998" s="2" t="s">
        <v>12378</v>
      </c>
    </row>
    <row r="999" spans="1:16" ht="13.15" x14ac:dyDescent="0.4">
      <c r="A999" s="2" t="s">
        <v>11917</v>
      </c>
      <c r="B999" s="2" t="s">
        <v>5885</v>
      </c>
      <c r="C999" s="6" t="s">
        <v>5879</v>
      </c>
      <c r="D999" s="6" t="s">
        <v>42</v>
      </c>
      <c r="E999" s="7">
        <v>44927</v>
      </c>
      <c r="F999" s="8" t="s">
        <v>77</v>
      </c>
      <c r="G999" s="2" t="s">
        <v>26</v>
      </c>
      <c r="H999" s="8" t="s">
        <v>28</v>
      </c>
      <c r="I999" s="2" t="s">
        <v>26</v>
      </c>
      <c r="J999" s="7">
        <v>44927</v>
      </c>
      <c r="K999" s="8" t="s">
        <v>77</v>
      </c>
      <c r="L999" s="2" t="s">
        <v>26</v>
      </c>
      <c r="M999" s="8" t="s">
        <v>28</v>
      </c>
      <c r="N999" s="6" t="s">
        <v>2264</v>
      </c>
      <c r="O999" s="6" t="s">
        <v>30</v>
      </c>
      <c r="P999" s="2" t="s">
        <v>12379</v>
      </c>
    </row>
    <row r="1000" spans="1:16" ht="13.15" x14ac:dyDescent="0.4">
      <c r="A1000" s="2" t="s">
        <v>11869</v>
      </c>
      <c r="B1000" s="2" t="s">
        <v>5885</v>
      </c>
      <c r="C1000" s="6" t="s">
        <v>5879</v>
      </c>
      <c r="D1000" s="6" t="s">
        <v>42</v>
      </c>
      <c r="E1000" s="7">
        <v>44927</v>
      </c>
      <c r="F1000" s="8" t="s">
        <v>77</v>
      </c>
      <c r="G1000" s="2" t="s">
        <v>26</v>
      </c>
      <c r="H1000" s="8" t="s">
        <v>28</v>
      </c>
      <c r="I1000" s="2" t="s">
        <v>26</v>
      </c>
      <c r="J1000" s="7">
        <v>44927</v>
      </c>
      <c r="K1000" s="8" t="s">
        <v>77</v>
      </c>
      <c r="L1000" s="2" t="s">
        <v>26</v>
      </c>
      <c r="M1000" s="8" t="s">
        <v>28</v>
      </c>
      <c r="N1000" s="6" t="s">
        <v>2264</v>
      </c>
      <c r="O1000" s="6" t="s">
        <v>30</v>
      </c>
      <c r="P1000" s="2" t="s">
        <v>12380</v>
      </c>
    </row>
    <row r="1001" spans="1:16" ht="13.15" x14ac:dyDescent="0.4">
      <c r="A1001" s="2" t="s">
        <v>11855</v>
      </c>
      <c r="B1001" s="2" t="s">
        <v>5885</v>
      </c>
      <c r="C1001" s="6" t="s">
        <v>5879</v>
      </c>
      <c r="D1001" s="6" t="s">
        <v>42</v>
      </c>
      <c r="E1001" s="7">
        <v>44927</v>
      </c>
      <c r="F1001" s="8" t="s">
        <v>77</v>
      </c>
      <c r="G1001" s="2" t="s">
        <v>26</v>
      </c>
      <c r="H1001" s="8" t="s">
        <v>28</v>
      </c>
      <c r="I1001" s="2" t="s">
        <v>26</v>
      </c>
      <c r="J1001" s="7">
        <v>44927</v>
      </c>
      <c r="K1001" s="8" t="s">
        <v>77</v>
      </c>
      <c r="L1001" s="2" t="s">
        <v>26</v>
      </c>
      <c r="M1001" s="8" t="s">
        <v>28</v>
      </c>
      <c r="N1001" s="6" t="s">
        <v>2264</v>
      </c>
      <c r="O1001" s="6" t="s">
        <v>30</v>
      </c>
      <c r="P1001" s="2" t="s">
        <v>12381</v>
      </c>
    </row>
    <row r="1002" spans="1:16" ht="13.15" x14ac:dyDescent="0.4">
      <c r="A1002" s="2" t="s">
        <v>11922</v>
      </c>
      <c r="B1002" s="2" t="s">
        <v>5885</v>
      </c>
      <c r="C1002" s="6" t="s">
        <v>5879</v>
      </c>
      <c r="D1002" s="6" t="s">
        <v>42</v>
      </c>
      <c r="E1002" s="7">
        <v>44927</v>
      </c>
      <c r="F1002" s="8" t="s">
        <v>77</v>
      </c>
      <c r="G1002" s="2" t="s">
        <v>26</v>
      </c>
      <c r="H1002" s="8" t="s">
        <v>28</v>
      </c>
      <c r="I1002" s="2" t="s">
        <v>26</v>
      </c>
      <c r="J1002" s="7">
        <v>44927</v>
      </c>
      <c r="K1002" s="8" t="s">
        <v>77</v>
      </c>
      <c r="L1002" s="2" t="s">
        <v>26</v>
      </c>
      <c r="M1002" s="8" t="s">
        <v>28</v>
      </c>
      <c r="N1002" s="6" t="s">
        <v>2264</v>
      </c>
      <c r="O1002" s="6" t="s">
        <v>30</v>
      </c>
      <c r="P1002" s="2" t="s">
        <v>12382</v>
      </c>
    </row>
    <row r="1003" spans="1:16" ht="13.15" x14ac:dyDescent="0.4">
      <c r="A1003" s="2" t="s">
        <v>11711</v>
      </c>
      <c r="B1003" s="2" t="s">
        <v>5885</v>
      </c>
      <c r="C1003" s="6" t="s">
        <v>5879</v>
      </c>
      <c r="D1003" s="6" t="s">
        <v>42</v>
      </c>
      <c r="E1003" s="7">
        <v>44927</v>
      </c>
      <c r="F1003" s="8" t="s">
        <v>77</v>
      </c>
      <c r="G1003" s="2" t="s">
        <v>26</v>
      </c>
      <c r="H1003" s="8" t="s">
        <v>28</v>
      </c>
      <c r="I1003" s="2" t="s">
        <v>26</v>
      </c>
      <c r="J1003" s="7">
        <v>44927</v>
      </c>
      <c r="K1003" s="8" t="s">
        <v>77</v>
      </c>
      <c r="L1003" s="2" t="s">
        <v>26</v>
      </c>
      <c r="M1003" s="8" t="s">
        <v>28</v>
      </c>
      <c r="N1003" s="6" t="s">
        <v>2264</v>
      </c>
      <c r="O1003" s="6" t="s">
        <v>30</v>
      </c>
      <c r="P1003" s="2" t="s">
        <v>12383</v>
      </c>
    </row>
    <row r="1004" spans="1:16" ht="13.15" x14ac:dyDescent="0.4">
      <c r="A1004" s="2" t="s">
        <v>8034</v>
      </c>
      <c r="B1004" s="2" t="s">
        <v>5885</v>
      </c>
      <c r="C1004" s="6" t="s">
        <v>5879</v>
      </c>
      <c r="D1004" s="6" t="s">
        <v>42</v>
      </c>
      <c r="E1004" s="7">
        <v>44927</v>
      </c>
      <c r="F1004" s="8" t="s">
        <v>77</v>
      </c>
      <c r="G1004" s="2" t="s">
        <v>26</v>
      </c>
      <c r="H1004" s="8" t="s">
        <v>28</v>
      </c>
      <c r="I1004" s="2" t="s">
        <v>26</v>
      </c>
      <c r="J1004" s="7">
        <v>44927</v>
      </c>
      <c r="K1004" s="8" t="s">
        <v>77</v>
      </c>
      <c r="L1004" s="2" t="s">
        <v>26</v>
      </c>
      <c r="M1004" s="8" t="s">
        <v>28</v>
      </c>
      <c r="N1004" s="6" t="s">
        <v>2264</v>
      </c>
      <c r="O1004" s="6" t="s">
        <v>30</v>
      </c>
      <c r="P1004" s="2" t="s">
        <v>12384</v>
      </c>
    </row>
    <row r="1005" spans="1:16" ht="13.15" x14ac:dyDescent="0.4">
      <c r="A1005" s="2" t="s">
        <v>11816</v>
      </c>
      <c r="B1005" s="2" t="s">
        <v>5885</v>
      </c>
      <c r="C1005" s="6" t="s">
        <v>5879</v>
      </c>
      <c r="D1005" s="6" t="s">
        <v>42</v>
      </c>
      <c r="E1005" s="7">
        <v>44927</v>
      </c>
      <c r="F1005" s="8" t="s">
        <v>77</v>
      </c>
      <c r="G1005" s="2" t="s">
        <v>26</v>
      </c>
      <c r="H1005" s="8" t="s">
        <v>28</v>
      </c>
      <c r="I1005" s="2" t="s">
        <v>26</v>
      </c>
      <c r="J1005" s="7">
        <v>44927</v>
      </c>
      <c r="K1005" s="8" t="s">
        <v>77</v>
      </c>
      <c r="L1005" s="2" t="s">
        <v>26</v>
      </c>
      <c r="M1005" s="8" t="s">
        <v>28</v>
      </c>
      <c r="N1005" s="6" t="s">
        <v>2264</v>
      </c>
      <c r="O1005" s="6" t="s">
        <v>30</v>
      </c>
      <c r="P1005" s="2" t="s">
        <v>12385</v>
      </c>
    </row>
    <row r="1006" spans="1:16" ht="13.15" x14ac:dyDescent="0.4">
      <c r="A1006" s="2" t="s">
        <v>11940</v>
      </c>
      <c r="B1006" s="2" t="s">
        <v>5885</v>
      </c>
      <c r="C1006" s="6" t="s">
        <v>5879</v>
      </c>
      <c r="D1006" s="6" t="s">
        <v>42</v>
      </c>
      <c r="E1006" s="7">
        <v>44927</v>
      </c>
      <c r="F1006" s="8" t="s">
        <v>77</v>
      </c>
      <c r="G1006" s="2" t="s">
        <v>26</v>
      </c>
      <c r="H1006" s="8" t="s">
        <v>28</v>
      </c>
      <c r="I1006" s="2" t="s">
        <v>26</v>
      </c>
      <c r="J1006" s="7">
        <v>44927</v>
      </c>
      <c r="K1006" s="8" t="s">
        <v>77</v>
      </c>
      <c r="L1006" s="2" t="s">
        <v>26</v>
      </c>
      <c r="M1006" s="8" t="s">
        <v>28</v>
      </c>
      <c r="N1006" s="6" t="s">
        <v>2264</v>
      </c>
      <c r="O1006" s="6" t="s">
        <v>30</v>
      </c>
      <c r="P1006" s="2" t="s">
        <v>12386</v>
      </c>
    </row>
    <row r="1007" spans="1:16" ht="13.15" x14ac:dyDescent="0.4">
      <c r="A1007" s="2" t="s">
        <v>11936</v>
      </c>
      <c r="B1007" s="2" t="s">
        <v>5885</v>
      </c>
      <c r="C1007" s="6" t="s">
        <v>5879</v>
      </c>
      <c r="D1007" s="6" t="s">
        <v>42</v>
      </c>
      <c r="E1007" s="7">
        <v>44927</v>
      </c>
      <c r="F1007" s="8" t="s">
        <v>77</v>
      </c>
      <c r="G1007" s="2" t="s">
        <v>26</v>
      </c>
      <c r="H1007" s="8" t="s">
        <v>28</v>
      </c>
      <c r="I1007" s="2" t="s">
        <v>26</v>
      </c>
      <c r="J1007" s="7">
        <v>44927</v>
      </c>
      <c r="K1007" s="8" t="s">
        <v>77</v>
      </c>
      <c r="L1007" s="2" t="s">
        <v>26</v>
      </c>
      <c r="M1007" s="8" t="s">
        <v>28</v>
      </c>
      <c r="N1007" s="6" t="s">
        <v>2264</v>
      </c>
      <c r="O1007" s="6" t="s">
        <v>30</v>
      </c>
      <c r="P1007" s="2" t="s">
        <v>12387</v>
      </c>
    </row>
    <row r="1008" spans="1:16" ht="13.15" x14ac:dyDescent="0.4">
      <c r="A1008" s="2" t="s">
        <v>11757</v>
      </c>
      <c r="B1008" s="2" t="s">
        <v>5885</v>
      </c>
      <c r="C1008" s="6" t="s">
        <v>5879</v>
      </c>
      <c r="D1008" s="6" t="s">
        <v>42</v>
      </c>
      <c r="E1008" s="7">
        <v>44927</v>
      </c>
      <c r="F1008" s="8" t="s">
        <v>77</v>
      </c>
      <c r="G1008" s="2" t="s">
        <v>26</v>
      </c>
      <c r="H1008" s="8" t="s">
        <v>28</v>
      </c>
      <c r="I1008" s="2" t="s">
        <v>26</v>
      </c>
      <c r="J1008" s="7">
        <v>44927</v>
      </c>
      <c r="K1008" s="8" t="s">
        <v>77</v>
      </c>
      <c r="L1008" s="2" t="s">
        <v>26</v>
      </c>
      <c r="M1008" s="8" t="s">
        <v>28</v>
      </c>
      <c r="N1008" s="6" t="s">
        <v>2264</v>
      </c>
      <c r="O1008" s="6" t="s">
        <v>30</v>
      </c>
      <c r="P1008" s="2" t="s">
        <v>12388</v>
      </c>
    </row>
    <row r="1009" spans="1:16" ht="13.15" x14ac:dyDescent="0.4">
      <c r="A1009" s="2" t="s">
        <v>11883</v>
      </c>
      <c r="B1009" s="2" t="s">
        <v>5885</v>
      </c>
      <c r="C1009" s="6" t="s">
        <v>5879</v>
      </c>
      <c r="D1009" s="6" t="s">
        <v>42</v>
      </c>
      <c r="E1009" s="7">
        <v>44927</v>
      </c>
      <c r="F1009" s="8" t="s">
        <v>77</v>
      </c>
      <c r="G1009" s="2" t="s">
        <v>26</v>
      </c>
      <c r="H1009" s="8" t="s">
        <v>28</v>
      </c>
      <c r="I1009" s="2" t="s">
        <v>26</v>
      </c>
      <c r="J1009" s="7">
        <v>44927</v>
      </c>
      <c r="K1009" s="8" t="s">
        <v>77</v>
      </c>
      <c r="L1009" s="2" t="s">
        <v>26</v>
      </c>
      <c r="M1009" s="8" t="s">
        <v>28</v>
      </c>
      <c r="N1009" s="6" t="s">
        <v>2264</v>
      </c>
      <c r="O1009" s="6" t="s">
        <v>30</v>
      </c>
      <c r="P1009" s="2" t="s">
        <v>12389</v>
      </c>
    </row>
    <row r="1010" spans="1:16" ht="13.15" x14ac:dyDescent="0.4">
      <c r="A1010" s="2" t="s">
        <v>11784</v>
      </c>
      <c r="B1010" s="2" t="s">
        <v>5885</v>
      </c>
      <c r="C1010" s="6" t="s">
        <v>5879</v>
      </c>
      <c r="D1010" s="6" t="s">
        <v>42</v>
      </c>
      <c r="E1010" s="7">
        <v>44927</v>
      </c>
      <c r="F1010" s="8" t="s">
        <v>77</v>
      </c>
      <c r="G1010" s="2" t="s">
        <v>26</v>
      </c>
      <c r="H1010" s="8" t="s">
        <v>28</v>
      </c>
      <c r="I1010" s="2" t="s">
        <v>26</v>
      </c>
      <c r="J1010" s="7">
        <v>44927</v>
      </c>
      <c r="K1010" s="8" t="s">
        <v>77</v>
      </c>
      <c r="L1010" s="2" t="s">
        <v>26</v>
      </c>
      <c r="M1010" s="8" t="s">
        <v>28</v>
      </c>
      <c r="N1010" s="6" t="s">
        <v>2264</v>
      </c>
      <c r="O1010" s="6" t="s">
        <v>30</v>
      </c>
      <c r="P1010" s="2" t="s">
        <v>12390</v>
      </c>
    </row>
    <row r="1011" spans="1:16" ht="13.15" x14ac:dyDescent="0.4">
      <c r="A1011" s="2" t="s">
        <v>11933</v>
      </c>
      <c r="B1011" s="2" t="s">
        <v>5885</v>
      </c>
      <c r="C1011" s="6" t="s">
        <v>5879</v>
      </c>
      <c r="D1011" s="6" t="s">
        <v>42</v>
      </c>
      <c r="E1011" s="7">
        <v>44927</v>
      </c>
      <c r="F1011" s="8" t="s">
        <v>77</v>
      </c>
      <c r="G1011" s="2" t="s">
        <v>26</v>
      </c>
      <c r="H1011" s="8" t="s">
        <v>28</v>
      </c>
      <c r="I1011" s="2" t="s">
        <v>26</v>
      </c>
      <c r="J1011" s="7">
        <v>44927</v>
      </c>
      <c r="K1011" s="8" t="s">
        <v>77</v>
      </c>
      <c r="L1011" s="2" t="s">
        <v>26</v>
      </c>
      <c r="M1011" s="8" t="s">
        <v>28</v>
      </c>
      <c r="N1011" s="6" t="s">
        <v>2264</v>
      </c>
      <c r="O1011" s="6" t="s">
        <v>30</v>
      </c>
      <c r="P1011" s="2" t="s">
        <v>12391</v>
      </c>
    </row>
    <row r="1012" spans="1:16" ht="13.15" x14ac:dyDescent="0.4">
      <c r="A1012" s="2" t="s">
        <v>11734</v>
      </c>
      <c r="B1012" s="2" t="s">
        <v>5885</v>
      </c>
      <c r="C1012" s="6" t="s">
        <v>5879</v>
      </c>
      <c r="D1012" s="6" t="s">
        <v>42</v>
      </c>
      <c r="E1012" s="7">
        <v>44927</v>
      </c>
      <c r="F1012" s="8" t="s">
        <v>77</v>
      </c>
      <c r="G1012" s="2" t="s">
        <v>26</v>
      </c>
      <c r="H1012" s="8" t="s">
        <v>28</v>
      </c>
      <c r="I1012" s="2" t="s">
        <v>26</v>
      </c>
      <c r="J1012" s="7">
        <v>44927</v>
      </c>
      <c r="K1012" s="8" t="s">
        <v>77</v>
      </c>
      <c r="L1012" s="2" t="s">
        <v>26</v>
      </c>
      <c r="M1012" s="8" t="s">
        <v>28</v>
      </c>
      <c r="N1012" s="6" t="s">
        <v>2264</v>
      </c>
      <c r="O1012" s="6" t="s">
        <v>30</v>
      </c>
      <c r="P1012" s="2" t="s">
        <v>12392</v>
      </c>
    </row>
    <row r="1013" spans="1:16" ht="13.15" x14ac:dyDescent="0.4">
      <c r="A1013" s="2" t="s">
        <v>11813</v>
      </c>
      <c r="B1013" s="2" t="s">
        <v>5885</v>
      </c>
      <c r="C1013" s="6" t="s">
        <v>5879</v>
      </c>
      <c r="D1013" s="6" t="s">
        <v>42</v>
      </c>
      <c r="E1013" s="7">
        <v>44927</v>
      </c>
      <c r="F1013" s="8" t="s">
        <v>77</v>
      </c>
      <c r="G1013" s="2" t="s">
        <v>26</v>
      </c>
      <c r="H1013" s="8" t="s">
        <v>28</v>
      </c>
      <c r="I1013" s="2" t="s">
        <v>26</v>
      </c>
      <c r="J1013" s="7">
        <v>44927</v>
      </c>
      <c r="K1013" s="8" t="s">
        <v>77</v>
      </c>
      <c r="L1013" s="2" t="s">
        <v>26</v>
      </c>
      <c r="M1013" s="8" t="s">
        <v>28</v>
      </c>
      <c r="N1013" s="6" t="s">
        <v>2264</v>
      </c>
      <c r="O1013" s="6" t="s">
        <v>30</v>
      </c>
      <c r="P1013" s="2" t="s">
        <v>12393</v>
      </c>
    </row>
    <row r="1014" spans="1:16" ht="13.15" x14ac:dyDescent="0.4">
      <c r="A1014" s="2" t="s">
        <v>11864</v>
      </c>
      <c r="B1014" s="2" t="s">
        <v>5885</v>
      </c>
      <c r="C1014" s="6" t="s">
        <v>5879</v>
      </c>
      <c r="D1014" s="6" t="s">
        <v>42</v>
      </c>
      <c r="E1014" s="7">
        <v>44927</v>
      </c>
      <c r="F1014" s="8" t="s">
        <v>77</v>
      </c>
      <c r="G1014" s="2" t="s">
        <v>26</v>
      </c>
      <c r="H1014" s="8" t="s">
        <v>28</v>
      </c>
      <c r="I1014" s="2" t="s">
        <v>26</v>
      </c>
      <c r="J1014" s="7">
        <v>44927</v>
      </c>
      <c r="K1014" s="8" t="s">
        <v>77</v>
      </c>
      <c r="L1014" s="2" t="s">
        <v>26</v>
      </c>
      <c r="M1014" s="8" t="s">
        <v>28</v>
      </c>
      <c r="N1014" s="6" t="s">
        <v>2264</v>
      </c>
      <c r="O1014" s="6" t="s">
        <v>30</v>
      </c>
      <c r="P1014" s="2" t="s">
        <v>12394</v>
      </c>
    </row>
    <row r="1015" spans="1:16" ht="13.15" x14ac:dyDescent="0.4">
      <c r="A1015" s="2" t="s">
        <v>11818</v>
      </c>
      <c r="B1015" s="2" t="s">
        <v>5885</v>
      </c>
      <c r="C1015" s="6" t="s">
        <v>5879</v>
      </c>
      <c r="D1015" s="6" t="s">
        <v>42</v>
      </c>
      <c r="E1015" s="7">
        <v>44927</v>
      </c>
      <c r="F1015" s="8" t="s">
        <v>77</v>
      </c>
      <c r="G1015" s="2" t="s">
        <v>26</v>
      </c>
      <c r="H1015" s="8" t="s">
        <v>28</v>
      </c>
      <c r="I1015" s="2" t="s">
        <v>26</v>
      </c>
      <c r="J1015" s="7">
        <v>44927</v>
      </c>
      <c r="K1015" s="8" t="s">
        <v>77</v>
      </c>
      <c r="L1015" s="2" t="s">
        <v>26</v>
      </c>
      <c r="M1015" s="8" t="s">
        <v>28</v>
      </c>
      <c r="N1015" s="6" t="s">
        <v>2264</v>
      </c>
      <c r="O1015" s="6" t="s">
        <v>30</v>
      </c>
      <c r="P1015" s="2" t="s">
        <v>12395</v>
      </c>
    </row>
    <row r="1016" spans="1:16" ht="13.15" x14ac:dyDescent="0.4">
      <c r="A1016" s="2" t="s">
        <v>11884</v>
      </c>
      <c r="B1016" s="2" t="s">
        <v>5885</v>
      </c>
      <c r="C1016" s="6" t="s">
        <v>5879</v>
      </c>
      <c r="D1016" s="6" t="s">
        <v>42</v>
      </c>
      <c r="E1016" s="7">
        <v>44927</v>
      </c>
      <c r="F1016" s="8" t="s">
        <v>77</v>
      </c>
      <c r="G1016" s="2" t="s">
        <v>26</v>
      </c>
      <c r="H1016" s="8" t="s">
        <v>28</v>
      </c>
      <c r="I1016" s="2" t="s">
        <v>26</v>
      </c>
      <c r="J1016" s="7">
        <v>44927</v>
      </c>
      <c r="K1016" s="8" t="s">
        <v>77</v>
      </c>
      <c r="L1016" s="2" t="s">
        <v>26</v>
      </c>
      <c r="M1016" s="8" t="s">
        <v>28</v>
      </c>
      <c r="N1016" s="6" t="s">
        <v>2264</v>
      </c>
      <c r="O1016" s="6" t="s">
        <v>30</v>
      </c>
      <c r="P1016" s="2" t="s">
        <v>12396</v>
      </c>
    </row>
    <row r="1017" spans="1:16" ht="13.15" x14ac:dyDescent="0.4">
      <c r="A1017" s="2" t="s">
        <v>8063</v>
      </c>
      <c r="B1017" s="2" t="s">
        <v>5885</v>
      </c>
      <c r="C1017" s="6" t="s">
        <v>5879</v>
      </c>
      <c r="D1017" s="6" t="s">
        <v>42</v>
      </c>
      <c r="E1017" s="7">
        <v>44927</v>
      </c>
      <c r="F1017" s="8" t="s">
        <v>77</v>
      </c>
      <c r="G1017" s="2" t="s">
        <v>26</v>
      </c>
      <c r="H1017" s="8" t="s">
        <v>28</v>
      </c>
      <c r="I1017" s="2" t="s">
        <v>26</v>
      </c>
      <c r="J1017" s="7">
        <v>44927</v>
      </c>
      <c r="K1017" s="8" t="s">
        <v>77</v>
      </c>
      <c r="L1017" s="2" t="s">
        <v>26</v>
      </c>
      <c r="M1017" s="8" t="s">
        <v>28</v>
      </c>
      <c r="N1017" s="6" t="s">
        <v>2264</v>
      </c>
      <c r="O1017" s="6" t="s">
        <v>30</v>
      </c>
      <c r="P1017" s="2" t="s">
        <v>12397</v>
      </c>
    </row>
    <row r="1018" spans="1:16" ht="13.15" x14ac:dyDescent="0.4">
      <c r="A1018" s="2" t="s">
        <v>11900</v>
      </c>
      <c r="B1018" s="2" t="s">
        <v>5885</v>
      </c>
      <c r="C1018" s="6" t="s">
        <v>5879</v>
      </c>
      <c r="D1018" s="6" t="s">
        <v>42</v>
      </c>
      <c r="E1018" s="7">
        <v>44927</v>
      </c>
      <c r="F1018" s="8" t="s">
        <v>77</v>
      </c>
      <c r="G1018" s="2" t="s">
        <v>26</v>
      </c>
      <c r="H1018" s="8" t="s">
        <v>28</v>
      </c>
      <c r="I1018" s="2" t="s">
        <v>26</v>
      </c>
      <c r="J1018" s="7">
        <v>44927</v>
      </c>
      <c r="K1018" s="8" t="s">
        <v>77</v>
      </c>
      <c r="L1018" s="2" t="s">
        <v>26</v>
      </c>
      <c r="M1018" s="8" t="s">
        <v>28</v>
      </c>
      <c r="N1018" s="6" t="s">
        <v>2264</v>
      </c>
      <c r="O1018" s="6" t="s">
        <v>30</v>
      </c>
      <c r="P1018" s="2" t="s">
        <v>12398</v>
      </c>
    </row>
    <row r="1019" spans="1:16" ht="13.15" x14ac:dyDescent="0.4">
      <c r="A1019" s="2" t="s">
        <v>11728</v>
      </c>
      <c r="B1019" s="2" t="s">
        <v>5885</v>
      </c>
      <c r="C1019" s="6" t="s">
        <v>5879</v>
      </c>
      <c r="D1019" s="6" t="s">
        <v>42</v>
      </c>
      <c r="E1019" s="7">
        <v>44927</v>
      </c>
      <c r="F1019" s="8" t="s">
        <v>77</v>
      </c>
      <c r="G1019" s="2" t="s">
        <v>26</v>
      </c>
      <c r="H1019" s="8" t="s">
        <v>28</v>
      </c>
      <c r="I1019" s="2" t="s">
        <v>26</v>
      </c>
      <c r="J1019" s="7">
        <v>44927</v>
      </c>
      <c r="K1019" s="8" t="s">
        <v>77</v>
      </c>
      <c r="L1019" s="2" t="s">
        <v>26</v>
      </c>
      <c r="M1019" s="8" t="s">
        <v>28</v>
      </c>
      <c r="N1019" s="6" t="s">
        <v>2264</v>
      </c>
      <c r="O1019" s="6" t="s">
        <v>30</v>
      </c>
      <c r="P1019" s="2" t="s">
        <v>12399</v>
      </c>
    </row>
    <row r="1020" spans="1:16" ht="13.15" x14ac:dyDescent="0.4">
      <c r="A1020" s="2" t="s">
        <v>11786</v>
      </c>
      <c r="B1020" s="2" t="s">
        <v>5885</v>
      </c>
      <c r="C1020" s="6" t="s">
        <v>5879</v>
      </c>
      <c r="D1020" s="6" t="s">
        <v>42</v>
      </c>
      <c r="E1020" s="7">
        <v>44927</v>
      </c>
      <c r="F1020" s="8" t="s">
        <v>77</v>
      </c>
      <c r="G1020" s="2" t="s">
        <v>26</v>
      </c>
      <c r="H1020" s="8" t="s">
        <v>28</v>
      </c>
      <c r="I1020" s="2" t="s">
        <v>26</v>
      </c>
      <c r="J1020" s="7">
        <v>44927</v>
      </c>
      <c r="K1020" s="8" t="s">
        <v>77</v>
      </c>
      <c r="L1020" s="2" t="s">
        <v>26</v>
      </c>
      <c r="M1020" s="8" t="s">
        <v>28</v>
      </c>
      <c r="N1020" s="6" t="s">
        <v>2264</v>
      </c>
      <c r="O1020" s="6" t="s">
        <v>30</v>
      </c>
      <c r="P1020" s="2" t="s">
        <v>12400</v>
      </c>
    </row>
    <row r="1021" spans="1:16" ht="13.15" x14ac:dyDescent="0.4">
      <c r="A1021" s="2" t="s">
        <v>11880</v>
      </c>
      <c r="B1021" s="2" t="s">
        <v>5885</v>
      </c>
      <c r="C1021" s="6" t="s">
        <v>5879</v>
      </c>
      <c r="D1021" s="6" t="s">
        <v>42</v>
      </c>
      <c r="E1021" s="7">
        <v>44927</v>
      </c>
      <c r="F1021" s="8" t="s">
        <v>77</v>
      </c>
      <c r="G1021" s="2" t="s">
        <v>26</v>
      </c>
      <c r="H1021" s="8" t="s">
        <v>28</v>
      </c>
      <c r="I1021" s="2" t="s">
        <v>26</v>
      </c>
      <c r="J1021" s="7">
        <v>44927</v>
      </c>
      <c r="K1021" s="8" t="s">
        <v>77</v>
      </c>
      <c r="L1021" s="2" t="s">
        <v>26</v>
      </c>
      <c r="M1021" s="8" t="s">
        <v>28</v>
      </c>
      <c r="N1021" s="6" t="s">
        <v>2264</v>
      </c>
      <c r="O1021" s="6" t="s">
        <v>30</v>
      </c>
      <c r="P1021" s="2" t="s">
        <v>12401</v>
      </c>
    </row>
    <row r="1022" spans="1:16" ht="13.15" x14ac:dyDescent="0.4">
      <c r="A1022" s="2" t="s">
        <v>11948</v>
      </c>
      <c r="B1022" s="2" t="s">
        <v>5885</v>
      </c>
      <c r="C1022" s="6" t="s">
        <v>5879</v>
      </c>
      <c r="D1022" s="6" t="s">
        <v>42</v>
      </c>
      <c r="E1022" s="7">
        <v>44927</v>
      </c>
      <c r="F1022" s="8" t="s">
        <v>77</v>
      </c>
      <c r="G1022" s="2" t="s">
        <v>26</v>
      </c>
      <c r="H1022" s="8" t="s">
        <v>28</v>
      </c>
      <c r="I1022" s="2" t="s">
        <v>26</v>
      </c>
      <c r="J1022" s="7">
        <v>44927</v>
      </c>
      <c r="K1022" s="8" t="s">
        <v>77</v>
      </c>
      <c r="L1022" s="2" t="s">
        <v>26</v>
      </c>
      <c r="M1022" s="8" t="s">
        <v>28</v>
      </c>
      <c r="N1022" s="6" t="s">
        <v>2264</v>
      </c>
      <c r="O1022" s="6" t="s">
        <v>30</v>
      </c>
      <c r="P1022" s="2" t="s">
        <v>12402</v>
      </c>
    </row>
    <row r="1023" spans="1:16" ht="13.15" x14ac:dyDescent="0.4">
      <c r="A1023" s="2" t="s">
        <v>11848</v>
      </c>
      <c r="B1023" s="2" t="s">
        <v>5885</v>
      </c>
      <c r="C1023" s="6" t="s">
        <v>5879</v>
      </c>
      <c r="D1023" s="6" t="s">
        <v>42</v>
      </c>
      <c r="E1023" s="7">
        <v>44927</v>
      </c>
      <c r="F1023" s="8" t="s">
        <v>77</v>
      </c>
      <c r="G1023" s="2" t="s">
        <v>26</v>
      </c>
      <c r="H1023" s="8" t="s">
        <v>28</v>
      </c>
      <c r="I1023" s="2" t="s">
        <v>26</v>
      </c>
      <c r="J1023" s="7">
        <v>44927</v>
      </c>
      <c r="K1023" s="8" t="s">
        <v>77</v>
      </c>
      <c r="L1023" s="2" t="s">
        <v>26</v>
      </c>
      <c r="M1023" s="8" t="s">
        <v>28</v>
      </c>
      <c r="N1023" s="6" t="s">
        <v>2264</v>
      </c>
      <c r="O1023" s="6" t="s">
        <v>30</v>
      </c>
      <c r="P1023" s="2" t="s">
        <v>12403</v>
      </c>
    </row>
    <row r="1024" spans="1:16" ht="13.15" x14ac:dyDescent="0.4">
      <c r="A1024" s="2" t="s">
        <v>11833</v>
      </c>
      <c r="B1024" s="2" t="s">
        <v>5885</v>
      </c>
      <c r="C1024" s="6" t="s">
        <v>5879</v>
      </c>
      <c r="D1024" s="6" t="s">
        <v>42</v>
      </c>
      <c r="E1024" s="7">
        <v>44927</v>
      </c>
      <c r="F1024" s="8" t="s">
        <v>77</v>
      </c>
      <c r="G1024" s="2" t="s">
        <v>26</v>
      </c>
      <c r="H1024" s="8" t="s">
        <v>28</v>
      </c>
      <c r="I1024" s="2" t="s">
        <v>26</v>
      </c>
      <c r="J1024" s="7">
        <v>44927</v>
      </c>
      <c r="K1024" s="8" t="s">
        <v>77</v>
      </c>
      <c r="L1024" s="2" t="s">
        <v>26</v>
      </c>
      <c r="M1024" s="8" t="s">
        <v>28</v>
      </c>
      <c r="N1024" s="6" t="s">
        <v>2264</v>
      </c>
      <c r="O1024" s="6" t="s">
        <v>30</v>
      </c>
      <c r="P1024" s="2" t="s">
        <v>12404</v>
      </c>
    </row>
    <row r="1025" spans="1:16" ht="13.15" x14ac:dyDescent="0.4">
      <c r="A1025" s="2" t="s">
        <v>11946</v>
      </c>
      <c r="B1025" s="2" t="s">
        <v>5885</v>
      </c>
      <c r="C1025" s="6" t="s">
        <v>5879</v>
      </c>
      <c r="D1025" s="6" t="s">
        <v>42</v>
      </c>
      <c r="E1025" s="7">
        <v>44927</v>
      </c>
      <c r="F1025" s="8" t="s">
        <v>77</v>
      </c>
      <c r="G1025" s="2" t="s">
        <v>26</v>
      </c>
      <c r="H1025" s="8" t="s">
        <v>28</v>
      </c>
      <c r="I1025" s="2" t="s">
        <v>26</v>
      </c>
      <c r="J1025" s="7">
        <v>44927</v>
      </c>
      <c r="K1025" s="8" t="s">
        <v>77</v>
      </c>
      <c r="L1025" s="2" t="s">
        <v>26</v>
      </c>
      <c r="M1025" s="8" t="s">
        <v>28</v>
      </c>
      <c r="N1025" s="6" t="s">
        <v>2264</v>
      </c>
      <c r="O1025" s="6" t="s">
        <v>30</v>
      </c>
      <c r="P1025" s="2" t="s">
        <v>12405</v>
      </c>
    </row>
    <row r="1026" spans="1:16" ht="13.15" x14ac:dyDescent="0.4">
      <c r="A1026" s="2" t="s">
        <v>11701</v>
      </c>
      <c r="B1026" s="2" t="s">
        <v>5885</v>
      </c>
      <c r="C1026" s="6" t="s">
        <v>5879</v>
      </c>
      <c r="D1026" s="6" t="s">
        <v>42</v>
      </c>
      <c r="E1026" s="7">
        <v>44927</v>
      </c>
      <c r="F1026" s="8" t="s">
        <v>77</v>
      </c>
      <c r="G1026" s="2" t="s">
        <v>26</v>
      </c>
      <c r="H1026" s="8" t="s">
        <v>28</v>
      </c>
      <c r="I1026" s="2" t="s">
        <v>26</v>
      </c>
      <c r="J1026" s="7">
        <v>44927</v>
      </c>
      <c r="K1026" s="8" t="s">
        <v>77</v>
      </c>
      <c r="L1026" s="2" t="s">
        <v>26</v>
      </c>
      <c r="M1026" s="8" t="s">
        <v>28</v>
      </c>
      <c r="N1026" s="6" t="s">
        <v>2264</v>
      </c>
      <c r="O1026" s="6" t="s">
        <v>30</v>
      </c>
      <c r="P1026" s="2" t="s">
        <v>12406</v>
      </c>
    </row>
    <row r="1027" spans="1:16" ht="13.15" x14ac:dyDescent="0.4">
      <c r="A1027" s="2" t="s">
        <v>11957</v>
      </c>
      <c r="B1027" s="2" t="s">
        <v>5885</v>
      </c>
      <c r="C1027" s="6" t="s">
        <v>5879</v>
      </c>
      <c r="D1027" s="6" t="s">
        <v>42</v>
      </c>
      <c r="E1027" s="7">
        <v>44927</v>
      </c>
      <c r="F1027" s="8" t="s">
        <v>77</v>
      </c>
      <c r="G1027" s="2" t="s">
        <v>26</v>
      </c>
      <c r="H1027" s="8" t="s">
        <v>28</v>
      </c>
      <c r="I1027" s="2" t="s">
        <v>26</v>
      </c>
      <c r="J1027" s="7">
        <v>44927</v>
      </c>
      <c r="K1027" s="8" t="s">
        <v>77</v>
      </c>
      <c r="L1027" s="2" t="s">
        <v>26</v>
      </c>
      <c r="M1027" s="8" t="s">
        <v>28</v>
      </c>
      <c r="N1027" s="6" t="s">
        <v>2264</v>
      </c>
      <c r="O1027" s="6" t="s">
        <v>30</v>
      </c>
      <c r="P1027" s="2" t="s">
        <v>12407</v>
      </c>
    </row>
    <row r="1028" spans="1:16" ht="13.15" x14ac:dyDescent="0.4">
      <c r="A1028" s="2" t="s">
        <v>11821</v>
      </c>
      <c r="B1028" s="2" t="s">
        <v>5885</v>
      </c>
      <c r="C1028" s="6" t="s">
        <v>5879</v>
      </c>
      <c r="D1028" s="6" t="s">
        <v>42</v>
      </c>
      <c r="E1028" s="7">
        <v>44927</v>
      </c>
      <c r="F1028" s="8" t="s">
        <v>77</v>
      </c>
      <c r="G1028" s="2" t="s">
        <v>26</v>
      </c>
      <c r="H1028" s="8" t="s">
        <v>28</v>
      </c>
      <c r="I1028" s="2" t="s">
        <v>26</v>
      </c>
      <c r="J1028" s="7">
        <v>44927</v>
      </c>
      <c r="K1028" s="8" t="s">
        <v>77</v>
      </c>
      <c r="L1028" s="2" t="s">
        <v>26</v>
      </c>
      <c r="M1028" s="8" t="s">
        <v>28</v>
      </c>
      <c r="N1028" s="6" t="s">
        <v>2264</v>
      </c>
      <c r="O1028" s="6" t="s">
        <v>30</v>
      </c>
      <c r="P1028" s="2" t="s">
        <v>12408</v>
      </c>
    </row>
    <row r="1029" spans="1:16" ht="13.15" x14ac:dyDescent="0.4">
      <c r="A1029" s="2" t="s">
        <v>11702</v>
      </c>
      <c r="B1029" s="2" t="s">
        <v>5885</v>
      </c>
      <c r="C1029" s="6" t="s">
        <v>5879</v>
      </c>
      <c r="D1029" s="6" t="s">
        <v>42</v>
      </c>
      <c r="E1029" s="7">
        <v>44927</v>
      </c>
      <c r="F1029" s="8" t="s">
        <v>77</v>
      </c>
      <c r="G1029" s="2" t="s">
        <v>26</v>
      </c>
      <c r="H1029" s="8" t="s">
        <v>28</v>
      </c>
      <c r="I1029" s="2" t="s">
        <v>26</v>
      </c>
      <c r="J1029" s="7">
        <v>44927</v>
      </c>
      <c r="K1029" s="8" t="s">
        <v>77</v>
      </c>
      <c r="L1029" s="2" t="s">
        <v>26</v>
      </c>
      <c r="M1029" s="8" t="s">
        <v>28</v>
      </c>
      <c r="N1029" s="6" t="s">
        <v>2264</v>
      </c>
      <c r="O1029" s="6" t="s">
        <v>30</v>
      </c>
      <c r="P1029" s="2" t="s">
        <v>12409</v>
      </c>
    </row>
    <row r="1030" spans="1:16" ht="13.15" x14ac:dyDescent="0.4">
      <c r="A1030" s="2" t="s">
        <v>11935</v>
      </c>
      <c r="B1030" s="2" t="s">
        <v>5885</v>
      </c>
      <c r="C1030" s="6" t="s">
        <v>5879</v>
      </c>
      <c r="D1030" s="6" t="s">
        <v>42</v>
      </c>
      <c r="E1030" s="7">
        <v>44927</v>
      </c>
      <c r="F1030" s="8" t="s">
        <v>77</v>
      </c>
      <c r="G1030" s="2" t="s">
        <v>26</v>
      </c>
      <c r="H1030" s="8" t="s">
        <v>28</v>
      </c>
      <c r="I1030" s="2" t="s">
        <v>26</v>
      </c>
      <c r="J1030" s="7">
        <v>44927</v>
      </c>
      <c r="K1030" s="8" t="s">
        <v>77</v>
      </c>
      <c r="L1030" s="2" t="s">
        <v>26</v>
      </c>
      <c r="M1030" s="8" t="s">
        <v>28</v>
      </c>
      <c r="N1030" s="6" t="s">
        <v>2264</v>
      </c>
      <c r="O1030" s="6" t="s">
        <v>30</v>
      </c>
      <c r="P1030" s="2" t="s">
        <v>12410</v>
      </c>
    </row>
    <row r="1031" spans="1:16" ht="13.15" x14ac:dyDescent="0.4">
      <c r="A1031" s="2" t="s">
        <v>11815</v>
      </c>
      <c r="B1031" s="2" t="s">
        <v>5885</v>
      </c>
      <c r="C1031" s="6" t="s">
        <v>5879</v>
      </c>
      <c r="D1031" s="6" t="s">
        <v>42</v>
      </c>
      <c r="E1031" s="7">
        <v>44927</v>
      </c>
      <c r="F1031" s="8" t="s">
        <v>77</v>
      </c>
      <c r="G1031" s="2" t="s">
        <v>26</v>
      </c>
      <c r="H1031" s="8" t="s">
        <v>28</v>
      </c>
      <c r="I1031" s="2" t="s">
        <v>26</v>
      </c>
      <c r="J1031" s="7">
        <v>44927</v>
      </c>
      <c r="K1031" s="8" t="s">
        <v>77</v>
      </c>
      <c r="L1031" s="2" t="s">
        <v>26</v>
      </c>
      <c r="M1031" s="8" t="s">
        <v>28</v>
      </c>
      <c r="N1031" s="6" t="s">
        <v>2264</v>
      </c>
      <c r="O1031" s="6" t="s">
        <v>30</v>
      </c>
      <c r="P1031" s="2" t="s">
        <v>12411</v>
      </c>
    </row>
    <row r="1032" spans="1:16" ht="13.15" x14ac:dyDescent="0.4">
      <c r="A1032" s="2" t="s">
        <v>9785</v>
      </c>
      <c r="B1032" s="2" t="s">
        <v>5885</v>
      </c>
      <c r="C1032" s="6" t="s">
        <v>5879</v>
      </c>
      <c r="D1032" s="6" t="s">
        <v>42</v>
      </c>
      <c r="E1032" s="7">
        <v>44927</v>
      </c>
      <c r="F1032" s="8" t="s">
        <v>77</v>
      </c>
      <c r="G1032" s="2" t="s">
        <v>26</v>
      </c>
      <c r="H1032" s="8" t="s">
        <v>28</v>
      </c>
      <c r="I1032" s="2" t="s">
        <v>26</v>
      </c>
      <c r="J1032" s="7">
        <v>44927</v>
      </c>
      <c r="K1032" s="8" t="s">
        <v>77</v>
      </c>
      <c r="L1032" s="2" t="s">
        <v>26</v>
      </c>
      <c r="M1032" s="8" t="s">
        <v>28</v>
      </c>
      <c r="N1032" s="6" t="s">
        <v>2264</v>
      </c>
      <c r="O1032" s="6" t="s">
        <v>30</v>
      </c>
      <c r="P1032" s="2" t="s">
        <v>12412</v>
      </c>
    </row>
    <row r="1033" spans="1:16" ht="13.15" x14ac:dyDescent="0.4">
      <c r="A1033" s="2" t="s">
        <v>11807</v>
      </c>
      <c r="B1033" s="2" t="s">
        <v>5885</v>
      </c>
      <c r="C1033" s="6" t="s">
        <v>5879</v>
      </c>
      <c r="D1033" s="6" t="s">
        <v>42</v>
      </c>
      <c r="E1033" s="7">
        <v>44927</v>
      </c>
      <c r="F1033" s="8" t="s">
        <v>77</v>
      </c>
      <c r="G1033" s="2" t="s">
        <v>26</v>
      </c>
      <c r="H1033" s="8" t="s">
        <v>28</v>
      </c>
      <c r="I1033" s="2" t="s">
        <v>26</v>
      </c>
      <c r="J1033" s="7">
        <v>44927</v>
      </c>
      <c r="K1033" s="8" t="s">
        <v>77</v>
      </c>
      <c r="L1033" s="2" t="s">
        <v>26</v>
      </c>
      <c r="M1033" s="8" t="s">
        <v>28</v>
      </c>
      <c r="N1033" s="6" t="s">
        <v>2264</v>
      </c>
      <c r="O1033" s="6" t="s">
        <v>30</v>
      </c>
      <c r="P1033" s="2" t="s">
        <v>12413</v>
      </c>
    </row>
    <row r="1034" spans="1:16" ht="13.15" x14ac:dyDescent="0.4">
      <c r="A1034" s="2" t="s">
        <v>11827</v>
      </c>
      <c r="B1034" s="2" t="s">
        <v>5885</v>
      </c>
      <c r="C1034" s="6" t="s">
        <v>5879</v>
      </c>
      <c r="D1034" s="6" t="s">
        <v>42</v>
      </c>
      <c r="E1034" s="7">
        <v>44927</v>
      </c>
      <c r="F1034" s="8" t="s">
        <v>77</v>
      </c>
      <c r="G1034" s="2" t="s">
        <v>26</v>
      </c>
      <c r="H1034" s="8" t="s">
        <v>28</v>
      </c>
      <c r="I1034" s="2" t="s">
        <v>26</v>
      </c>
      <c r="J1034" s="7">
        <v>44927</v>
      </c>
      <c r="K1034" s="8" t="s">
        <v>77</v>
      </c>
      <c r="L1034" s="2" t="s">
        <v>26</v>
      </c>
      <c r="M1034" s="8" t="s">
        <v>28</v>
      </c>
      <c r="N1034" s="6" t="s">
        <v>2264</v>
      </c>
      <c r="O1034" s="6" t="s">
        <v>30</v>
      </c>
      <c r="P1034" s="2" t="s">
        <v>12414</v>
      </c>
    </row>
    <row r="1035" spans="1:16" ht="13.15" x14ac:dyDescent="0.4">
      <c r="A1035" s="2" t="s">
        <v>7500</v>
      </c>
      <c r="B1035" s="2" t="s">
        <v>5885</v>
      </c>
      <c r="C1035" s="6" t="s">
        <v>5879</v>
      </c>
      <c r="D1035" s="6" t="s">
        <v>42</v>
      </c>
      <c r="E1035" s="7">
        <v>44927</v>
      </c>
      <c r="F1035" s="8" t="s">
        <v>77</v>
      </c>
      <c r="G1035" s="2" t="s">
        <v>26</v>
      </c>
      <c r="H1035" s="8" t="s">
        <v>28</v>
      </c>
      <c r="I1035" s="2" t="s">
        <v>26</v>
      </c>
      <c r="J1035" s="7">
        <v>44927</v>
      </c>
      <c r="K1035" s="8" t="s">
        <v>77</v>
      </c>
      <c r="L1035" s="2" t="s">
        <v>26</v>
      </c>
      <c r="M1035" s="8" t="s">
        <v>28</v>
      </c>
      <c r="N1035" s="6" t="s">
        <v>2264</v>
      </c>
      <c r="O1035" s="6" t="s">
        <v>30</v>
      </c>
      <c r="P1035" s="2" t="s">
        <v>12415</v>
      </c>
    </row>
    <row r="1036" spans="1:16" ht="13.15" x14ac:dyDescent="0.4">
      <c r="A1036" s="2" t="s">
        <v>11730</v>
      </c>
      <c r="B1036" s="2" t="s">
        <v>5885</v>
      </c>
      <c r="C1036" s="6" t="s">
        <v>5879</v>
      </c>
      <c r="D1036" s="6" t="s">
        <v>42</v>
      </c>
      <c r="E1036" s="7">
        <v>44927</v>
      </c>
      <c r="F1036" s="8" t="s">
        <v>77</v>
      </c>
      <c r="G1036" s="2" t="s">
        <v>26</v>
      </c>
      <c r="H1036" s="8" t="s">
        <v>28</v>
      </c>
      <c r="I1036" s="2" t="s">
        <v>26</v>
      </c>
      <c r="J1036" s="7">
        <v>44927</v>
      </c>
      <c r="K1036" s="8" t="s">
        <v>77</v>
      </c>
      <c r="L1036" s="2" t="s">
        <v>26</v>
      </c>
      <c r="M1036" s="8" t="s">
        <v>28</v>
      </c>
      <c r="N1036" s="6" t="s">
        <v>2264</v>
      </c>
      <c r="O1036" s="6" t="s">
        <v>30</v>
      </c>
      <c r="P1036" s="2" t="s">
        <v>12416</v>
      </c>
    </row>
    <row r="1037" spans="1:16" ht="13.15" x14ac:dyDescent="0.4">
      <c r="A1037" s="2" t="s">
        <v>11729</v>
      </c>
      <c r="B1037" s="2" t="s">
        <v>5885</v>
      </c>
      <c r="C1037" s="6" t="s">
        <v>5879</v>
      </c>
      <c r="D1037" s="6" t="s">
        <v>42</v>
      </c>
      <c r="E1037" s="7">
        <v>44927</v>
      </c>
      <c r="F1037" s="8" t="s">
        <v>77</v>
      </c>
      <c r="G1037" s="2" t="s">
        <v>26</v>
      </c>
      <c r="H1037" s="8" t="s">
        <v>28</v>
      </c>
      <c r="I1037" s="2" t="s">
        <v>26</v>
      </c>
      <c r="J1037" s="7">
        <v>44927</v>
      </c>
      <c r="K1037" s="8" t="s">
        <v>77</v>
      </c>
      <c r="L1037" s="2" t="s">
        <v>26</v>
      </c>
      <c r="M1037" s="8" t="s">
        <v>28</v>
      </c>
      <c r="N1037" s="6" t="s">
        <v>2264</v>
      </c>
      <c r="O1037" s="6" t="s">
        <v>30</v>
      </c>
      <c r="P1037" s="2" t="s">
        <v>12417</v>
      </c>
    </row>
    <row r="1038" spans="1:16" ht="13.15" x14ac:dyDescent="0.4">
      <c r="A1038" s="2" t="s">
        <v>11952</v>
      </c>
      <c r="B1038" s="2" t="s">
        <v>5885</v>
      </c>
      <c r="C1038" s="6" t="s">
        <v>5879</v>
      </c>
      <c r="D1038" s="6" t="s">
        <v>42</v>
      </c>
      <c r="E1038" s="7">
        <v>44927</v>
      </c>
      <c r="F1038" s="8" t="s">
        <v>77</v>
      </c>
      <c r="G1038" s="2" t="s">
        <v>26</v>
      </c>
      <c r="H1038" s="8" t="s">
        <v>28</v>
      </c>
      <c r="I1038" s="2" t="s">
        <v>26</v>
      </c>
      <c r="J1038" s="7">
        <v>44927</v>
      </c>
      <c r="K1038" s="8" t="s">
        <v>77</v>
      </c>
      <c r="L1038" s="2" t="s">
        <v>26</v>
      </c>
      <c r="M1038" s="8" t="s">
        <v>28</v>
      </c>
      <c r="N1038" s="6" t="s">
        <v>2264</v>
      </c>
      <c r="O1038" s="6" t="s">
        <v>30</v>
      </c>
      <c r="P1038" s="2" t="s">
        <v>12418</v>
      </c>
    </row>
    <row r="1039" spans="1:16" ht="13.15" x14ac:dyDescent="0.4">
      <c r="A1039" s="2" t="s">
        <v>11810</v>
      </c>
      <c r="B1039" s="2" t="s">
        <v>5885</v>
      </c>
      <c r="C1039" s="6" t="s">
        <v>5879</v>
      </c>
      <c r="D1039" s="6" t="s">
        <v>42</v>
      </c>
      <c r="E1039" s="7">
        <v>44927</v>
      </c>
      <c r="F1039" s="8" t="s">
        <v>77</v>
      </c>
      <c r="G1039" s="2" t="s">
        <v>26</v>
      </c>
      <c r="H1039" s="8" t="s">
        <v>28</v>
      </c>
      <c r="I1039" s="2" t="s">
        <v>26</v>
      </c>
      <c r="J1039" s="7">
        <v>44927</v>
      </c>
      <c r="K1039" s="8" t="s">
        <v>77</v>
      </c>
      <c r="L1039" s="2" t="s">
        <v>26</v>
      </c>
      <c r="M1039" s="8" t="s">
        <v>28</v>
      </c>
      <c r="N1039" s="6" t="s">
        <v>2264</v>
      </c>
      <c r="O1039" s="6" t="s">
        <v>30</v>
      </c>
      <c r="P1039" s="2" t="s">
        <v>12419</v>
      </c>
    </row>
    <row r="1040" spans="1:16" ht="13.15" x14ac:dyDescent="0.4">
      <c r="A1040" s="2" t="s">
        <v>11893</v>
      </c>
      <c r="B1040" s="2" t="s">
        <v>5885</v>
      </c>
      <c r="C1040" s="6" t="s">
        <v>5879</v>
      </c>
      <c r="D1040" s="6" t="s">
        <v>42</v>
      </c>
      <c r="E1040" s="7">
        <v>44927</v>
      </c>
      <c r="F1040" s="8" t="s">
        <v>77</v>
      </c>
      <c r="G1040" s="2" t="s">
        <v>26</v>
      </c>
      <c r="H1040" s="8" t="s">
        <v>28</v>
      </c>
      <c r="I1040" s="2" t="s">
        <v>26</v>
      </c>
      <c r="J1040" s="7">
        <v>44927</v>
      </c>
      <c r="K1040" s="8" t="s">
        <v>77</v>
      </c>
      <c r="L1040" s="2" t="s">
        <v>26</v>
      </c>
      <c r="M1040" s="8" t="s">
        <v>28</v>
      </c>
      <c r="N1040" s="6" t="s">
        <v>2264</v>
      </c>
      <c r="O1040" s="6" t="s">
        <v>30</v>
      </c>
      <c r="P1040" s="2" t="s">
        <v>12420</v>
      </c>
    </row>
    <row r="1041" spans="1:16" ht="13.15" x14ac:dyDescent="0.4">
      <c r="A1041" s="2" t="s">
        <v>11785</v>
      </c>
      <c r="B1041" s="2" t="s">
        <v>5885</v>
      </c>
      <c r="C1041" s="6" t="s">
        <v>5879</v>
      </c>
      <c r="D1041" s="6" t="s">
        <v>42</v>
      </c>
      <c r="E1041" s="7">
        <v>44927</v>
      </c>
      <c r="F1041" s="8" t="s">
        <v>77</v>
      </c>
      <c r="G1041" s="2" t="s">
        <v>26</v>
      </c>
      <c r="H1041" s="8" t="s">
        <v>28</v>
      </c>
      <c r="I1041" s="2" t="s">
        <v>26</v>
      </c>
      <c r="J1041" s="7">
        <v>44927</v>
      </c>
      <c r="K1041" s="8" t="s">
        <v>77</v>
      </c>
      <c r="L1041" s="2" t="s">
        <v>26</v>
      </c>
      <c r="M1041" s="8" t="s">
        <v>28</v>
      </c>
      <c r="N1041" s="6" t="s">
        <v>2264</v>
      </c>
      <c r="O1041" s="6" t="s">
        <v>30</v>
      </c>
      <c r="P1041" s="2" t="s">
        <v>12421</v>
      </c>
    </row>
    <row r="1042" spans="1:16" ht="13.15" x14ac:dyDescent="0.4">
      <c r="A1042" s="2" t="s">
        <v>11792</v>
      </c>
      <c r="B1042" s="2" t="s">
        <v>5885</v>
      </c>
      <c r="C1042" s="6" t="s">
        <v>5879</v>
      </c>
      <c r="D1042" s="6" t="s">
        <v>42</v>
      </c>
      <c r="E1042" s="7">
        <v>44927</v>
      </c>
      <c r="F1042" s="8" t="s">
        <v>77</v>
      </c>
      <c r="G1042" s="2" t="s">
        <v>26</v>
      </c>
      <c r="H1042" s="8" t="s">
        <v>28</v>
      </c>
      <c r="I1042" s="2" t="s">
        <v>26</v>
      </c>
      <c r="J1042" s="7">
        <v>44927</v>
      </c>
      <c r="K1042" s="8" t="s">
        <v>77</v>
      </c>
      <c r="L1042" s="2" t="s">
        <v>26</v>
      </c>
      <c r="M1042" s="8" t="s">
        <v>28</v>
      </c>
      <c r="N1042" s="6" t="s">
        <v>2264</v>
      </c>
      <c r="O1042" s="6" t="s">
        <v>30</v>
      </c>
      <c r="P1042" s="2" t="s">
        <v>12422</v>
      </c>
    </row>
    <row r="1043" spans="1:16" ht="13.15" x14ac:dyDescent="0.4">
      <c r="A1043" s="2" t="s">
        <v>11847</v>
      </c>
      <c r="B1043" s="2" t="s">
        <v>5885</v>
      </c>
      <c r="C1043" s="6" t="s">
        <v>5879</v>
      </c>
      <c r="D1043" s="6" t="s">
        <v>42</v>
      </c>
      <c r="E1043" s="7">
        <v>44927</v>
      </c>
      <c r="F1043" s="8" t="s">
        <v>77</v>
      </c>
      <c r="G1043" s="2" t="s">
        <v>26</v>
      </c>
      <c r="H1043" s="8" t="s">
        <v>28</v>
      </c>
      <c r="I1043" s="2" t="s">
        <v>26</v>
      </c>
      <c r="J1043" s="7">
        <v>44927</v>
      </c>
      <c r="K1043" s="8" t="s">
        <v>77</v>
      </c>
      <c r="L1043" s="2" t="s">
        <v>26</v>
      </c>
      <c r="M1043" s="8" t="s">
        <v>28</v>
      </c>
      <c r="N1043" s="6" t="s">
        <v>2264</v>
      </c>
      <c r="O1043" s="6" t="s">
        <v>30</v>
      </c>
      <c r="P1043" s="2" t="s">
        <v>12423</v>
      </c>
    </row>
    <row r="1044" spans="1:16" ht="13.15" x14ac:dyDescent="0.4">
      <c r="A1044" s="2" t="s">
        <v>11939</v>
      </c>
      <c r="B1044" s="2" t="s">
        <v>5885</v>
      </c>
      <c r="C1044" s="6" t="s">
        <v>5879</v>
      </c>
      <c r="D1044" s="6" t="s">
        <v>42</v>
      </c>
      <c r="E1044" s="7">
        <v>44927</v>
      </c>
      <c r="F1044" s="8" t="s">
        <v>77</v>
      </c>
      <c r="G1044" s="2" t="s">
        <v>26</v>
      </c>
      <c r="H1044" s="8" t="s">
        <v>28</v>
      </c>
      <c r="I1044" s="2" t="s">
        <v>26</v>
      </c>
      <c r="J1044" s="7">
        <v>44927</v>
      </c>
      <c r="K1044" s="8" t="s">
        <v>77</v>
      </c>
      <c r="L1044" s="2" t="s">
        <v>26</v>
      </c>
      <c r="M1044" s="8" t="s">
        <v>28</v>
      </c>
      <c r="N1044" s="6" t="s">
        <v>2264</v>
      </c>
      <c r="O1044" s="6" t="s">
        <v>30</v>
      </c>
      <c r="P1044" s="2" t="s">
        <v>12424</v>
      </c>
    </row>
    <row r="1045" spans="1:16" ht="13.15" x14ac:dyDescent="0.4">
      <c r="A1045" s="2" t="s">
        <v>11705</v>
      </c>
      <c r="B1045" s="2" t="s">
        <v>5885</v>
      </c>
      <c r="C1045" s="6" t="s">
        <v>5879</v>
      </c>
      <c r="D1045" s="6" t="s">
        <v>42</v>
      </c>
      <c r="E1045" s="7">
        <v>44927</v>
      </c>
      <c r="F1045" s="8" t="s">
        <v>77</v>
      </c>
      <c r="G1045" s="2" t="s">
        <v>26</v>
      </c>
      <c r="H1045" s="8" t="s">
        <v>28</v>
      </c>
      <c r="I1045" s="2" t="s">
        <v>26</v>
      </c>
      <c r="J1045" s="7">
        <v>44927</v>
      </c>
      <c r="K1045" s="8" t="s">
        <v>77</v>
      </c>
      <c r="L1045" s="2" t="s">
        <v>26</v>
      </c>
      <c r="M1045" s="8" t="s">
        <v>28</v>
      </c>
      <c r="N1045" s="6" t="s">
        <v>2264</v>
      </c>
      <c r="O1045" s="6" t="s">
        <v>30</v>
      </c>
      <c r="P1045" s="2" t="s">
        <v>12425</v>
      </c>
    </row>
    <row r="1046" spans="1:16" ht="13.15" x14ac:dyDescent="0.4">
      <c r="A1046" s="2" t="s">
        <v>11919</v>
      </c>
      <c r="B1046" s="2" t="s">
        <v>5885</v>
      </c>
      <c r="C1046" s="6" t="s">
        <v>5879</v>
      </c>
      <c r="D1046" s="6" t="s">
        <v>42</v>
      </c>
      <c r="E1046" s="7">
        <v>44927</v>
      </c>
      <c r="F1046" s="8" t="s">
        <v>77</v>
      </c>
      <c r="G1046" s="2" t="s">
        <v>26</v>
      </c>
      <c r="H1046" s="8" t="s">
        <v>28</v>
      </c>
      <c r="I1046" s="2" t="s">
        <v>26</v>
      </c>
      <c r="J1046" s="7">
        <v>44927</v>
      </c>
      <c r="K1046" s="8" t="s">
        <v>77</v>
      </c>
      <c r="L1046" s="2" t="s">
        <v>26</v>
      </c>
      <c r="M1046" s="8" t="s">
        <v>28</v>
      </c>
      <c r="N1046" s="6" t="s">
        <v>2264</v>
      </c>
      <c r="O1046" s="6" t="s">
        <v>30</v>
      </c>
      <c r="P1046" s="2" t="s">
        <v>12426</v>
      </c>
    </row>
    <row r="1047" spans="1:16" ht="13.15" x14ac:dyDescent="0.4">
      <c r="A1047" s="2" t="s">
        <v>11914</v>
      </c>
      <c r="B1047" s="2" t="s">
        <v>5885</v>
      </c>
      <c r="C1047" s="6" t="s">
        <v>5879</v>
      </c>
      <c r="D1047" s="6" t="s">
        <v>42</v>
      </c>
      <c r="E1047" s="7">
        <v>44927</v>
      </c>
      <c r="F1047" s="8" t="s">
        <v>77</v>
      </c>
      <c r="G1047" s="2" t="s">
        <v>26</v>
      </c>
      <c r="H1047" s="8" t="s">
        <v>28</v>
      </c>
      <c r="I1047" s="2" t="s">
        <v>26</v>
      </c>
      <c r="J1047" s="7">
        <v>44927</v>
      </c>
      <c r="K1047" s="8" t="s">
        <v>77</v>
      </c>
      <c r="L1047" s="2" t="s">
        <v>26</v>
      </c>
      <c r="M1047" s="8" t="s">
        <v>28</v>
      </c>
      <c r="N1047" s="6" t="s">
        <v>2264</v>
      </c>
      <c r="O1047" s="6" t="s">
        <v>30</v>
      </c>
      <c r="P1047" s="2" t="s">
        <v>12427</v>
      </c>
    </row>
    <row r="1048" spans="1:16" ht="13.15" x14ac:dyDescent="0.4">
      <c r="A1048" s="2" t="s">
        <v>11849</v>
      </c>
      <c r="B1048" s="2" t="s">
        <v>5885</v>
      </c>
      <c r="C1048" s="6" t="s">
        <v>5879</v>
      </c>
      <c r="D1048" s="6" t="s">
        <v>42</v>
      </c>
      <c r="E1048" s="7">
        <v>44927</v>
      </c>
      <c r="F1048" s="8" t="s">
        <v>77</v>
      </c>
      <c r="G1048" s="2" t="s">
        <v>26</v>
      </c>
      <c r="H1048" s="8" t="s">
        <v>28</v>
      </c>
      <c r="I1048" s="2" t="s">
        <v>26</v>
      </c>
      <c r="J1048" s="7">
        <v>44927</v>
      </c>
      <c r="K1048" s="8" t="s">
        <v>77</v>
      </c>
      <c r="L1048" s="2" t="s">
        <v>26</v>
      </c>
      <c r="M1048" s="8" t="s">
        <v>28</v>
      </c>
      <c r="N1048" s="6" t="s">
        <v>2264</v>
      </c>
      <c r="O1048" s="6" t="s">
        <v>30</v>
      </c>
      <c r="P1048" s="2" t="s">
        <v>12428</v>
      </c>
    </row>
    <row r="1049" spans="1:16" ht="13.15" x14ac:dyDescent="0.4">
      <c r="A1049" s="2" t="s">
        <v>11797</v>
      </c>
      <c r="B1049" s="2" t="s">
        <v>5885</v>
      </c>
      <c r="C1049" s="6" t="s">
        <v>5879</v>
      </c>
      <c r="D1049" s="6" t="s">
        <v>42</v>
      </c>
      <c r="E1049" s="7">
        <v>44927</v>
      </c>
      <c r="F1049" s="8" t="s">
        <v>77</v>
      </c>
      <c r="G1049" s="2" t="s">
        <v>26</v>
      </c>
      <c r="H1049" s="8" t="s">
        <v>28</v>
      </c>
      <c r="I1049" s="2" t="s">
        <v>26</v>
      </c>
      <c r="J1049" s="7">
        <v>44927</v>
      </c>
      <c r="K1049" s="8" t="s">
        <v>77</v>
      </c>
      <c r="L1049" s="2" t="s">
        <v>26</v>
      </c>
      <c r="M1049" s="8" t="s">
        <v>28</v>
      </c>
      <c r="N1049" s="6" t="s">
        <v>2264</v>
      </c>
      <c r="O1049" s="6" t="s">
        <v>30</v>
      </c>
      <c r="P1049" s="2" t="s">
        <v>12429</v>
      </c>
    </row>
    <row r="1050" spans="1:16" ht="13.15" x14ac:dyDescent="0.4">
      <c r="A1050" s="2" t="s">
        <v>11799</v>
      </c>
      <c r="B1050" s="2" t="s">
        <v>5885</v>
      </c>
      <c r="C1050" s="6" t="s">
        <v>5879</v>
      </c>
      <c r="D1050" s="6" t="s">
        <v>42</v>
      </c>
      <c r="E1050" s="7">
        <v>44927</v>
      </c>
      <c r="F1050" s="8" t="s">
        <v>77</v>
      </c>
      <c r="G1050" s="2" t="s">
        <v>26</v>
      </c>
      <c r="H1050" s="8" t="s">
        <v>28</v>
      </c>
      <c r="I1050" s="2" t="s">
        <v>26</v>
      </c>
      <c r="J1050" s="7">
        <v>44927</v>
      </c>
      <c r="K1050" s="8" t="s">
        <v>77</v>
      </c>
      <c r="L1050" s="2" t="s">
        <v>26</v>
      </c>
      <c r="M1050" s="8" t="s">
        <v>28</v>
      </c>
      <c r="N1050" s="6" t="s">
        <v>2264</v>
      </c>
      <c r="O1050" s="6" t="s">
        <v>30</v>
      </c>
      <c r="P1050" s="2" t="s">
        <v>12430</v>
      </c>
    </row>
    <row r="1051" spans="1:16" ht="13.15" x14ac:dyDescent="0.4">
      <c r="A1051" s="2" t="s">
        <v>11843</v>
      </c>
      <c r="B1051" s="2" t="s">
        <v>5885</v>
      </c>
      <c r="C1051" s="6" t="s">
        <v>5879</v>
      </c>
      <c r="D1051" s="6" t="s">
        <v>42</v>
      </c>
      <c r="E1051" s="7">
        <v>44927</v>
      </c>
      <c r="F1051" s="8" t="s">
        <v>77</v>
      </c>
      <c r="G1051" s="2" t="s">
        <v>26</v>
      </c>
      <c r="H1051" s="8" t="s">
        <v>28</v>
      </c>
      <c r="I1051" s="2" t="s">
        <v>26</v>
      </c>
      <c r="J1051" s="7">
        <v>44927</v>
      </c>
      <c r="K1051" s="8" t="s">
        <v>77</v>
      </c>
      <c r="L1051" s="2" t="s">
        <v>26</v>
      </c>
      <c r="M1051" s="8" t="s">
        <v>28</v>
      </c>
      <c r="N1051" s="6" t="s">
        <v>2264</v>
      </c>
      <c r="O1051" s="6" t="s">
        <v>30</v>
      </c>
      <c r="P1051" s="2" t="s">
        <v>12431</v>
      </c>
    </row>
    <row r="1052" spans="1:16" ht="13.15" x14ac:dyDescent="0.4">
      <c r="A1052" s="2" t="s">
        <v>11822</v>
      </c>
      <c r="B1052" s="2" t="s">
        <v>5885</v>
      </c>
      <c r="C1052" s="6" t="s">
        <v>5879</v>
      </c>
      <c r="D1052" s="6" t="s">
        <v>42</v>
      </c>
      <c r="E1052" s="7">
        <v>44927</v>
      </c>
      <c r="F1052" s="8" t="s">
        <v>77</v>
      </c>
      <c r="G1052" s="2" t="s">
        <v>26</v>
      </c>
      <c r="H1052" s="8" t="s">
        <v>28</v>
      </c>
      <c r="I1052" s="2" t="s">
        <v>26</v>
      </c>
      <c r="J1052" s="7">
        <v>44927</v>
      </c>
      <c r="K1052" s="8" t="s">
        <v>77</v>
      </c>
      <c r="L1052" s="2" t="s">
        <v>26</v>
      </c>
      <c r="M1052" s="8" t="s">
        <v>28</v>
      </c>
      <c r="N1052" s="6" t="s">
        <v>2264</v>
      </c>
      <c r="O1052" s="6" t="s">
        <v>30</v>
      </c>
      <c r="P1052" s="2" t="s">
        <v>12432</v>
      </c>
    </row>
    <row r="1053" spans="1:16" ht="13.15" x14ac:dyDescent="0.4">
      <c r="A1053" s="2" t="s">
        <v>11956</v>
      </c>
      <c r="B1053" s="2" t="s">
        <v>5885</v>
      </c>
      <c r="C1053" s="6" t="s">
        <v>5879</v>
      </c>
      <c r="D1053" s="6" t="s">
        <v>42</v>
      </c>
      <c r="E1053" s="7">
        <v>44927</v>
      </c>
      <c r="F1053" s="8" t="s">
        <v>77</v>
      </c>
      <c r="G1053" s="2" t="s">
        <v>26</v>
      </c>
      <c r="H1053" s="8" t="s">
        <v>28</v>
      </c>
      <c r="I1053" s="2" t="s">
        <v>26</v>
      </c>
      <c r="J1053" s="7">
        <v>44927</v>
      </c>
      <c r="K1053" s="8" t="s">
        <v>77</v>
      </c>
      <c r="L1053" s="2" t="s">
        <v>26</v>
      </c>
      <c r="M1053" s="8" t="s">
        <v>28</v>
      </c>
      <c r="N1053" s="6" t="s">
        <v>2264</v>
      </c>
      <c r="O1053" s="6" t="s">
        <v>30</v>
      </c>
      <c r="P1053" s="2" t="s">
        <v>12433</v>
      </c>
    </row>
    <row r="1054" spans="1:16" ht="13.15" x14ac:dyDescent="0.4">
      <c r="A1054" s="2" t="s">
        <v>11819</v>
      </c>
      <c r="B1054" s="2" t="s">
        <v>5885</v>
      </c>
      <c r="C1054" s="6" t="s">
        <v>5879</v>
      </c>
      <c r="D1054" s="6" t="s">
        <v>42</v>
      </c>
      <c r="E1054" s="7">
        <v>44927</v>
      </c>
      <c r="F1054" s="8" t="s">
        <v>77</v>
      </c>
      <c r="G1054" s="2" t="s">
        <v>26</v>
      </c>
      <c r="H1054" s="8" t="s">
        <v>28</v>
      </c>
      <c r="I1054" s="2" t="s">
        <v>26</v>
      </c>
      <c r="J1054" s="7">
        <v>44927</v>
      </c>
      <c r="K1054" s="8" t="s">
        <v>77</v>
      </c>
      <c r="L1054" s="2" t="s">
        <v>26</v>
      </c>
      <c r="M1054" s="8" t="s">
        <v>28</v>
      </c>
      <c r="N1054" s="6" t="s">
        <v>2264</v>
      </c>
      <c r="O1054" s="6" t="s">
        <v>30</v>
      </c>
      <c r="P1054" s="2" t="s">
        <v>12434</v>
      </c>
    </row>
    <row r="1055" spans="1:16" ht="13.15" x14ac:dyDescent="0.4">
      <c r="A1055" s="2" t="s">
        <v>11790</v>
      </c>
      <c r="B1055" s="2" t="s">
        <v>5885</v>
      </c>
      <c r="C1055" s="6" t="s">
        <v>5879</v>
      </c>
      <c r="D1055" s="6" t="s">
        <v>42</v>
      </c>
      <c r="E1055" s="7">
        <v>44927</v>
      </c>
      <c r="F1055" s="8" t="s">
        <v>77</v>
      </c>
      <c r="G1055" s="2" t="s">
        <v>26</v>
      </c>
      <c r="H1055" s="8" t="s">
        <v>28</v>
      </c>
      <c r="I1055" s="2" t="s">
        <v>26</v>
      </c>
      <c r="J1055" s="7">
        <v>44927</v>
      </c>
      <c r="K1055" s="8" t="s">
        <v>77</v>
      </c>
      <c r="L1055" s="2" t="s">
        <v>26</v>
      </c>
      <c r="M1055" s="8" t="s">
        <v>28</v>
      </c>
      <c r="N1055" s="6" t="s">
        <v>2264</v>
      </c>
      <c r="O1055" s="6" t="s">
        <v>30</v>
      </c>
      <c r="P1055" s="2" t="s">
        <v>12435</v>
      </c>
    </row>
    <row r="1056" spans="1:16" ht="13.15" x14ac:dyDescent="0.4">
      <c r="A1056" s="2" t="s">
        <v>11873</v>
      </c>
      <c r="B1056" s="2" t="s">
        <v>5885</v>
      </c>
      <c r="C1056" s="6" t="s">
        <v>5879</v>
      </c>
      <c r="D1056" s="6" t="s">
        <v>42</v>
      </c>
      <c r="E1056" s="7">
        <v>44927</v>
      </c>
      <c r="F1056" s="8" t="s">
        <v>77</v>
      </c>
      <c r="G1056" s="2" t="s">
        <v>26</v>
      </c>
      <c r="H1056" s="8" t="s">
        <v>28</v>
      </c>
      <c r="I1056" s="2" t="s">
        <v>26</v>
      </c>
      <c r="J1056" s="7">
        <v>44927</v>
      </c>
      <c r="K1056" s="8" t="s">
        <v>77</v>
      </c>
      <c r="L1056" s="2" t="s">
        <v>26</v>
      </c>
      <c r="M1056" s="8" t="s">
        <v>28</v>
      </c>
      <c r="N1056" s="6" t="s">
        <v>2264</v>
      </c>
      <c r="O1056" s="6" t="s">
        <v>30</v>
      </c>
      <c r="P1056" s="2" t="s">
        <v>12436</v>
      </c>
    </row>
    <row r="1057" spans="1:16" ht="13.15" x14ac:dyDescent="0.4">
      <c r="A1057" s="2" t="s">
        <v>11943</v>
      </c>
      <c r="B1057" s="2" t="s">
        <v>5885</v>
      </c>
      <c r="C1057" s="6" t="s">
        <v>5879</v>
      </c>
      <c r="D1057" s="6" t="s">
        <v>42</v>
      </c>
      <c r="E1057" s="7">
        <v>44927</v>
      </c>
      <c r="F1057" s="8" t="s">
        <v>77</v>
      </c>
      <c r="G1057" s="2" t="s">
        <v>26</v>
      </c>
      <c r="H1057" s="8" t="s">
        <v>28</v>
      </c>
      <c r="I1057" s="2" t="s">
        <v>26</v>
      </c>
      <c r="J1057" s="7">
        <v>44927</v>
      </c>
      <c r="K1057" s="8" t="s">
        <v>77</v>
      </c>
      <c r="L1057" s="2" t="s">
        <v>26</v>
      </c>
      <c r="M1057" s="8" t="s">
        <v>28</v>
      </c>
      <c r="N1057" s="6" t="s">
        <v>2264</v>
      </c>
      <c r="O1057" s="6" t="s">
        <v>30</v>
      </c>
      <c r="P1057" s="2" t="s">
        <v>12437</v>
      </c>
    </row>
    <row r="1058" spans="1:16" ht="13.15" x14ac:dyDescent="0.4">
      <c r="A1058" s="2" t="s">
        <v>11663</v>
      </c>
      <c r="B1058" s="2" t="s">
        <v>5885</v>
      </c>
      <c r="C1058" s="6" t="s">
        <v>5879</v>
      </c>
      <c r="D1058" s="6" t="s">
        <v>42</v>
      </c>
      <c r="E1058" s="7">
        <v>44927</v>
      </c>
      <c r="F1058" s="8" t="s">
        <v>77</v>
      </c>
      <c r="G1058" s="2" t="s">
        <v>26</v>
      </c>
      <c r="H1058" s="8" t="s">
        <v>28</v>
      </c>
      <c r="I1058" s="2" t="s">
        <v>26</v>
      </c>
      <c r="J1058" s="7">
        <v>44927</v>
      </c>
      <c r="K1058" s="8" t="s">
        <v>77</v>
      </c>
      <c r="L1058" s="2" t="s">
        <v>26</v>
      </c>
      <c r="M1058" s="8" t="s">
        <v>28</v>
      </c>
      <c r="N1058" s="6" t="s">
        <v>2264</v>
      </c>
      <c r="O1058" s="6" t="s">
        <v>30</v>
      </c>
      <c r="P1058" s="2" t="s">
        <v>12438</v>
      </c>
    </row>
    <row r="1059" spans="1:16" ht="13.15" x14ac:dyDescent="0.4">
      <c r="A1059" s="2" t="s">
        <v>11628</v>
      </c>
      <c r="B1059" s="2" t="s">
        <v>5885</v>
      </c>
      <c r="C1059" s="6" t="s">
        <v>5879</v>
      </c>
      <c r="D1059" s="6" t="s">
        <v>42</v>
      </c>
      <c r="E1059" s="7">
        <v>44927</v>
      </c>
      <c r="F1059" s="8" t="s">
        <v>77</v>
      </c>
      <c r="G1059" s="2" t="s">
        <v>26</v>
      </c>
      <c r="H1059" s="8" t="s">
        <v>28</v>
      </c>
      <c r="I1059" s="2" t="s">
        <v>26</v>
      </c>
      <c r="J1059" s="7">
        <v>44927</v>
      </c>
      <c r="K1059" s="8" t="s">
        <v>77</v>
      </c>
      <c r="L1059" s="2" t="s">
        <v>26</v>
      </c>
      <c r="M1059" s="8" t="s">
        <v>28</v>
      </c>
      <c r="N1059" s="6" t="s">
        <v>2264</v>
      </c>
      <c r="O1059" s="6" t="s">
        <v>30</v>
      </c>
      <c r="P1059" s="2" t="s">
        <v>12439</v>
      </c>
    </row>
    <row r="1060" spans="1:16" ht="13.15" x14ac:dyDescent="0.4">
      <c r="A1060" s="2" t="s">
        <v>11781</v>
      </c>
      <c r="B1060" s="2" t="s">
        <v>5885</v>
      </c>
      <c r="C1060" s="6" t="s">
        <v>5879</v>
      </c>
      <c r="D1060" s="6" t="s">
        <v>42</v>
      </c>
      <c r="E1060" s="7">
        <v>44927</v>
      </c>
      <c r="F1060" s="8" t="s">
        <v>77</v>
      </c>
      <c r="G1060" s="2" t="s">
        <v>26</v>
      </c>
      <c r="H1060" s="8" t="s">
        <v>28</v>
      </c>
      <c r="I1060" s="2" t="s">
        <v>26</v>
      </c>
      <c r="J1060" s="7">
        <v>44927</v>
      </c>
      <c r="K1060" s="8" t="s">
        <v>77</v>
      </c>
      <c r="L1060" s="2" t="s">
        <v>26</v>
      </c>
      <c r="M1060" s="8" t="s">
        <v>28</v>
      </c>
      <c r="N1060" s="6" t="s">
        <v>2264</v>
      </c>
      <c r="O1060" s="6" t="s">
        <v>30</v>
      </c>
      <c r="P1060" s="2" t="s">
        <v>12440</v>
      </c>
    </row>
    <row r="1061" spans="1:16" ht="13.15" x14ac:dyDescent="0.4">
      <c r="A1061" s="2" t="s">
        <v>11647</v>
      </c>
      <c r="B1061" s="2" t="s">
        <v>5885</v>
      </c>
      <c r="C1061" s="6" t="s">
        <v>5879</v>
      </c>
      <c r="D1061" s="6" t="s">
        <v>42</v>
      </c>
      <c r="E1061" s="7">
        <v>44927</v>
      </c>
      <c r="F1061" s="8" t="s">
        <v>77</v>
      </c>
      <c r="G1061" s="2" t="s">
        <v>26</v>
      </c>
      <c r="H1061" s="8" t="s">
        <v>28</v>
      </c>
      <c r="I1061" s="2" t="s">
        <v>26</v>
      </c>
      <c r="J1061" s="7">
        <v>44927</v>
      </c>
      <c r="K1061" s="8" t="s">
        <v>77</v>
      </c>
      <c r="L1061" s="2" t="s">
        <v>26</v>
      </c>
      <c r="M1061" s="8" t="s">
        <v>28</v>
      </c>
      <c r="N1061" s="6" t="s">
        <v>2264</v>
      </c>
      <c r="O1061" s="6" t="s">
        <v>30</v>
      </c>
      <c r="P1061" s="2" t="s">
        <v>12441</v>
      </c>
    </row>
    <row r="1062" spans="1:16" ht="13.15" x14ac:dyDescent="0.4">
      <c r="A1062" s="2" t="s">
        <v>11635</v>
      </c>
      <c r="B1062" s="2" t="s">
        <v>5885</v>
      </c>
      <c r="C1062" s="6" t="s">
        <v>5879</v>
      </c>
      <c r="D1062" s="6" t="s">
        <v>42</v>
      </c>
      <c r="E1062" s="7">
        <v>44927</v>
      </c>
      <c r="F1062" s="8" t="s">
        <v>77</v>
      </c>
      <c r="G1062" s="2" t="s">
        <v>26</v>
      </c>
      <c r="H1062" s="8" t="s">
        <v>28</v>
      </c>
      <c r="I1062" s="2" t="s">
        <v>26</v>
      </c>
      <c r="J1062" s="7">
        <v>44927</v>
      </c>
      <c r="K1062" s="8" t="s">
        <v>77</v>
      </c>
      <c r="L1062" s="2" t="s">
        <v>26</v>
      </c>
      <c r="M1062" s="8" t="s">
        <v>28</v>
      </c>
      <c r="N1062" s="6" t="s">
        <v>2264</v>
      </c>
      <c r="O1062" s="6" t="s">
        <v>30</v>
      </c>
      <c r="P1062" s="2" t="s">
        <v>12442</v>
      </c>
    </row>
    <row r="1063" spans="1:16" ht="13.15" x14ac:dyDescent="0.4">
      <c r="A1063" s="2" t="s">
        <v>11804</v>
      </c>
      <c r="B1063" s="2" t="s">
        <v>5885</v>
      </c>
      <c r="C1063" s="6" t="s">
        <v>5879</v>
      </c>
      <c r="D1063" s="6" t="s">
        <v>42</v>
      </c>
      <c r="E1063" s="7">
        <v>44927</v>
      </c>
      <c r="F1063" s="8" t="s">
        <v>77</v>
      </c>
      <c r="G1063" s="2" t="s">
        <v>26</v>
      </c>
      <c r="H1063" s="8" t="s">
        <v>28</v>
      </c>
      <c r="I1063" s="2" t="s">
        <v>26</v>
      </c>
      <c r="J1063" s="7">
        <v>44927</v>
      </c>
      <c r="K1063" s="8" t="s">
        <v>77</v>
      </c>
      <c r="L1063" s="2" t="s">
        <v>26</v>
      </c>
      <c r="M1063" s="8" t="s">
        <v>28</v>
      </c>
      <c r="N1063" s="6" t="s">
        <v>2264</v>
      </c>
      <c r="O1063" s="6" t="s">
        <v>30</v>
      </c>
      <c r="P1063" s="2" t="s">
        <v>12443</v>
      </c>
    </row>
    <row r="1064" spans="1:16" ht="13.15" x14ac:dyDescent="0.4">
      <c r="A1064" s="2" t="s">
        <v>11867</v>
      </c>
      <c r="B1064" s="2" t="s">
        <v>5885</v>
      </c>
      <c r="C1064" s="6" t="s">
        <v>5879</v>
      </c>
      <c r="D1064" s="6" t="s">
        <v>42</v>
      </c>
      <c r="E1064" s="7">
        <v>44927</v>
      </c>
      <c r="F1064" s="8" t="s">
        <v>77</v>
      </c>
      <c r="G1064" s="2" t="s">
        <v>26</v>
      </c>
      <c r="H1064" s="8" t="s">
        <v>28</v>
      </c>
      <c r="I1064" s="2" t="s">
        <v>26</v>
      </c>
      <c r="J1064" s="7">
        <v>44927</v>
      </c>
      <c r="K1064" s="8" t="s">
        <v>77</v>
      </c>
      <c r="L1064" s="2" t="s">
        <v>26</v>
      </c>
      <c r="M1064" s="8" t="s">
        <v>28</v>
      </c>
      <c r="N1064" s="6" t="s">
        <v>2264</v>
      </c>
      <c r="O1064" s="6" t="s">
        <v>30</v>
      </c>
      <c r="P1064" s="2" t="s">
        <v>12444</v>
      </c>
    </row>
    <row r="1065" spans="1:16" ht="13.15" x14ac:dyDescent="0.4">
      <c r="A1065" s="2" t="s">
        <v>8179</v>
      </c>
      <c r="B1065" s="2" t="s">
        <v>5885</v>
      </c>
      <c r="C1065" s="6" t="s">
        <v>5879</v>
      </c>
      <c r="D1065" s="6" t="s">
        <v>42</v>
      </c>
      <c r="E1065" s="7">
        <v>44927</v>
      </c>
      <c r="F1065" s="8" t="s">
        <v>77</v>
      </c>
      <c r="G1065" s="2" t="s">
        <v>26</v>
      </c>
      <c r="H1065" s="8" t="s">
        <v>28</v>
      </c>
      <c r="I1065" s="2" t="s">
        <v>26</v>
      </c>
      <c r="J1065" s="7">
        <v>44927</v>
      </c>
      <c r="K1065" s="8" t="s">
        <v>77</v>
      </c>
      <c r="L1065" s="2" t="s">
        <v>26</v>
      </c>
      <c r="M1065" s="8" t="s">
        <v>28</v>
      </c>
      <c r="N1065" s="6" t="s">
        <v>2264</v>
      </c>
      <c r="O1065" s="6" t="s">
        <v>30</v>
      </c>
      <c r="P1065" s="2" t="s">
        <v>12445</v>
      </c>
    </row>
    <row r="1066" spans="1:16" ht="13.15" x14ac:dyDescent="0.4">
      <c r="A1066" s="2" t="s">
        <v>8187</v>
      </c>
      <c r="B1066" s="2" t="s">
        <v>5885</v>
      </c>
      <c r="C1066" s="6" t="s">
        <v>5879</v>
      </c>
      <c r="D1066" s="6" t="s">
        <v>42</v>
      </c>
      <c r="E1066" s="7">
        <v>44927</v>
      </c>
      <c r="F1066" s="8" t="s">
        <v>77</v>
      </c>
      <c r="G1066" s="2" t="s">
        <v>26</v>
      </c>
      <c r="H1066" s="8" t="s">
        <v>28</v>
      </c>
      <c r="I1066" s="2" t="s">
        <v>26</v>
      </c>
      <c r="J1066" s="7">
        <v>44927</v>
      </c>
      <c r="K1066" s="8" t="s">
        <v>77</v>
      </c>
      <c r="L1066" s="2" t="s">
        <v>26</v>
      </c>
      <c r="M1066" s="8" t="s">
        <v>28</v>
      </c>
      <c r="N1066" s="6" t="s">
        <v>2264</v>
      </c>
      <c r="O1066" s="6" t="s">
        <v>30</v>
      </c>
      <c r="P1066" s="2" t="s">
        <v>12446</v>
      </c>
    </row>
    <row r="1067" spans="1:16" ht="13.15" x14ac:dyDescent="0.4">
      <c r="A1067" s="2" t="s">
        <v>11633</v>
      </c>
      <c r="B1067" s="2" t="s">
        <v>5885</v>
      </c>
      <c r="C1067" s="6" t="s">
        <v>5879</v>
      </c>
      <c r="D1067" s="6" t="s">
        <v>42</v>
      </c>
      <c r="E1067" s="7">
        <v>44927</v>
      </c>
      <c r="F1067" s="8" t="s">
        <v>77</v>
      </c>
      <c r="G1067" s="2" t="s">
        <v>26</v>
      </c>
      <c r="H1067" s="8" t="s">
        <v>28</v>
      </c>
      <c r="I1067" s="2" t="s">
        <v>26</v>
      </c>
      <c r="J1067" s="7">
        <v>44927</v>
      </c>
      <c r="K1067" s="8" t="s">
        <v>77</v>
      </c>
      <c r="L1067" s="2" t="s">
        <v>26</v>
      </c>
      <c r="M1067" s="8" t="s">
        <v>28</v>
      </c>
      <c r="N1067" s="6" t="s">
        <v>2264</v>
      </c>
      <c r="O1067" s="6" t="s">
        <v>30</v>
      </c>
      <c r="P1067" s="2" t="s">
        <v>12447</v>
      </c>
    </row>
    <row r="1068" spans="1:16" ht="13.15" x14ac:dyDescent="0.4">
      <c r="A1068" s="2" t="s">
        <v>11700</v>
      </c>
      <c r="B1068" s="2" t="s">
        <v>5885</v>
      </c>
      <c r="C1068" s="6" t="s">
        <v>5879</v>
      </c>
      <c r="D1068" s="6" t="s">
        <v>42</v>
      </c>
      <c r="E1068" s="7">
        <v>44927</v>
      </c>
      <c r="F1068" s="8" t="s">
        <v>77</v>
      </c>
      <c r="G1068" s="2" t="s">
        <v>26</v>
      </c>
      <c r="H1068" s="8" t="s">
        <v>28</v>
      </c>
      <c r="I1068" s="2" t="s">
        <v>26</v>
      </c>
      <c r="J1068" s="7">
        <v>44927</v>
      </c>
      <c r="K1068" s="8" t="s">
        <v>77</v>
      </c>
      <c r="L1068" s="2" t="s">
        <v>26</v>
      </c>
      <c r="M1068" s="8" t="s">
        <v>28</v>
      </c>
      <c r="N1068" s="6" t="s">
        <v>2264</v>
      </c>
      <c r="O1068" s="6" t="s">
        <v>30</v>
      </c>
      <c r="P1068" s="2" t="s">
        <v>12448</v>
      </c>
    </row>
    <row r="1069" spans="1:16" ht="13.15" x14ac:dyDescent="0.4">
      <c r="A1069" s="2" t="s">
        <v>11744</v>
      </c>
      <c r="B1069" s="2" t="s">
        <v>5885</v>
      </c>
      <c r="C1069" s="6" t="s">
        <v>5879</v>
      </c>
      <c r="D1069" s="6" t="s">
        <v>42</v>
      </c>
      <c r="E1069" s="7">
        <v>44927</v>
      </c>
      <c r="F1069" s="8" t="s">
        <v>77</v>
      </c>
      <c r="G1069" s="2" t="s">
        <v>26</v>
      </c>
      <c r="H1069" s="8" t="s">
        <v>28</v>
      </c>
      <c r="I1069" s="2" t="s">
        <v>26</v>
      </c>
      <c r="J1069" s="7">
        <v>44927</v>
      </c>
      <c r="K1069" s="8" t="s">
        <v>77</v>
      </c>
      <c r="L1069" s="2" t="s">
        <v>26</v>
      </c>
      <c r="M1069" s="8" t="s">
        <v>28</v>
      </c>
      <c r="N1069" s="6" t="s">
        <v>2264</v>
      </c>
      <c r="O1069" s="6" t="s">
        <v>30</v>
      </c>
      <c r="P1069" s="2" t="s">
        <v>12449</v>
      </c>
    </row>
    <row r="1070" spans="1:16" ht="13.15" x14ac:dyDescent="0.4">
      <c r="A1070" s="2" t="s">
        <v>11698</v>
      </c>
      <c r="B1070" s="2" t="s">
        <v>5885</v>
      </c>
      <c r="C1070" s="6" t="s">
        <v>5879</v>
      </c>
      <c r="D1070" s="6" t="s">
        <v>42</v>
      </c>
      <c r="E1070" s="7">
        <v>44927</v>
      </c>
      <c r="F1070" s="8" t="s">
        <v>77</v>
      </c>
      <c r="G1070" s="2" t="s">
        <v>26</v>
      </c>
      <c r="H1070" s="8" t="s">
        <v>28</v>
      </c>
      <c r="I1070" s="2" t="s">
        <v>26</v>
      </c>
      <c r="J1070" s="7">
        <v>44927</v>
      </c>
      <c r="K1070" s="8" t="s">
        <v>77</v>
      </c>
      <c r="L1070" s="2" t="s">
        <v>26</v>
      </c>
      <c r="M1070" s="8" t="s">
        <v>28</v>
      </c>
      <c r="N1070" s="6" t="s">
        <v>2264</v>
      </c>
      <c r="O1070" s="6" t="s">
        <v>30</v>
      </c>
      <c r="P1070" s="2" t="s">
        <v>12450</v>
      </c>
    </row>
    <row r="1071" spans="1:16" ht="13.15" x14ac:dyDescent="0.4">
      <c r="A1071" s="2" t="s">
        <v>11724</v>
      </c>
      <c r="B1071" s="2" t="s">
        <v>5885</v>
      </c>
      <c r="C1071" s="6" t="s">
        <v>5879</v>
      </c>
      <c r="D1071" s="6" t="s">
        <v>42</v>
      </c>
      <c r="E1071" s="7">
        <v>44927</v>
      </c>
      <c r="F1071" s="8" t="s">
        <v>77</v>
      </c>
      <c r="G1071" s="2" t="s">
        <v>26</v>
      </c>
      <c r="H1071" s="8" t="s">
        <v>28</v>
      </c>
      <c r="I1071" s="2" t="s">
        <v>26</v>
      </c>
      <c r="J1071" s="7">
        <v>44927</v>
      </c>
      <c r="K1071" s="8" t="s">
        <v>77</v>
      </c>
      <c r="L1071" s="2" t="s">
        <v>26</v>
      </c>
      <c r="M1071" s="8" t="s">
        <v>28</v>
      </c>
      <c r="N1071" s="6" t="s">
        <v>2264</v>
      </c>
      <c r="O1071" s="6" t="s">
        <v>30</v>
      </c>
      <c r="P1071" s="2" t="s">
        <v>12451</v>
      </c>
    </row>
    <row r="1072" spans="1:16" ht="13.15" x14ac:dyDescent="0.4">
      <c r="A1072" s="2" t="s">
        <v>11653</v>
      </c>
      <c r="B1072" s="2" t="s">
        <v>5885</v>
      </c>
      <c r="C1072" s="6" t="s">
        <v>5879</v>
      </c>
      <c r="D1072" s="6" t="s">
        <v>42</v>
      </c>
      <c r="E1072" s="7">
        <v>44927</v>
      </c>
      <c r="F1072" s="8" t="s">
        <v>77</v>
      </c>
      <c r="G1072" s="2" t="s">
        <v>26</v>
      </c>
      <c r="H1072" s="8" t="s">
        <v>28</v>
      </c>
      <c r="I1072" s="2" t="s">
        <v>26</v>
      </c>
      <c r="J1072" s="7">
        <v>44927</v>
      </c>
      <c r="K1072" s="8" t="s">
        <v>77</v>
      </c>
      <c r="L1072" s="2" t="s">
        <v>26</v>
      </c>
      <c r="M1072" s="8" t="s">
        <v>28</v>
      </c>
      <c r="N1072" s="6" t="s">
        <v>2264</v>
      </c>
      <c r="O1072" s="6" t="s">
        <v>30</v>
      </c>
      <c r="P1072" s="2" t="s">
        <v>12452</v>
      </c>
    </row>
    <row r="1073" spans="1:16" ht="13.15" x14ac:dyDescent="0.4">
      <c r="A1073" s="2" t="s">
        <v>11726</v>
      </c>
      <c r="B1073" s="2" t="s">
        <v>5885</v>
      </c>
      <c r="C1073" s="6" t="s">
        <v>5879</v>
      </c>
      <c r="D1073" s="6" t="s">
        <v>42</v>
      </c>
      <c r="E1073" s="7">
        <v>44927</v>
      </c>
      <c r="F1073" s="8" t="s">
        <v>77</v>
      </c>
      <c r="G1073" s="2" t="s">
        <v>26</v>
      </c>
      <c r="H1073" s="8" t="s">
        <v>28</v>
      </c>
      <c r="I1073" s="2" t="s">
        <v>26</v>
      </c>
      <c r="J1073" s="7">
        <v>44927</v>
      </c>
      <c r="K1073" s="8" t="s">
        <v>77</v>
      </c>
      <c r="L1073" s="2" t="s">
        <v>26</v>
      </c>
      <c r="M1073" s="8" t="s">
        <v>28</v>
      </c>
      <c r="N1073" s="6" t="s">
        <v>2264</v>
      </c>
      <c r="O1073" s="6" t="s">
        <v>30</v>
      </c>
      <c r="P1073" s="2" t="s">
        <v>12453</v>
      </c>
    </row>
    <row r="1074" spans="1:16" ht="13.15" x14ac:dyDescent="0.4">
      <c r="A1074" s="2" t="s">
        <v>11602</v>
      </c>
      <c r="B1074" s="2" t="s">
        <v>5885</v>
      </c>
      <c r="C1074" s="6" t="s">
        <v>5879</v>
      </c>
      <c r="D1074" s="6" t="s">
        <v>42</v>
      </c>
      <c r="E1074" s="7">
        <v>44927</v>
      </c>
      <c r="F1074" s="8" t="s">
        <v>77</v>
      </c>
      <c r="G1074" s="2" t="s">
        <v>26</v>
      </c>
      <c r="H1074" s="8" t="s">
        <v>28</v>
      </c>
      <c r="I1074" s="2" t="s">
        <v>26</v>
      </c>
      <c r="J1074" s="7">
        <v>44927</v>
      </c>
      <c r="K1074" s="8" t="s">
        <v>77</v>
      </c>
      <c r="L1074" s="2" t="s">
        <v>26</v>
      </c>
      <c r="M1074" s="8" t="s">
        <v>28</v>
      </c>
      <c r="N1074" s="6" t="s">
        <v>2264</v>
      </c>
      <c r="O1074" s="6" t="s">
        <v>30</v>
      </c>
      <c r="P1074" s="2" t="s">
        <v>12454</v>
      </c>
    </row>
    <row r="1075" spans="1:16" ht="13.15" x14ac:dyDescent="0.4">
      <c r="A1075" s="2" t="s">
        <v>11597</v>
      </c>
      <c r="B1075" s="2" t="s">
        <v>5885</v>
      </c>
      <c r="C1075" s="6" t="s">
        <v>5879</v>
      </c>
      <c r="D1075" s="6" t="s">
        <v>42</v>
      </c>
      <c r="E1075" s="7">
        <v>44927</v>
      </c>
      <c r="F1075" s="8" t="s">
        <v>77</v>
      </c>
      <c r="G1075" s="2" t="s">
        <v>26</v>
      </c>
      <c r="H1075" s="8" t="s">
        <v>28</v>
      </c>
      <c r="I1075" s="2" t="s">
        <v>26</v>
      </c>
      <c r="J1075" s="7">
        <v>44927</v>
      </c>
      <c r="K1075" s="8" t="s">
        <v>77</v>
      </c>
      <c r="L1075" s="2" t="s">
        <v>26</v>
      </c>
      <c r="M1075" s="8" t="s">
        <v>28</v>
      </c>
      <c r="N1075" s="6" t="s">
        <v>2264</v>
      </c>
      <c r="O1075" s="6" t="s">
        <v>30</v>
      </c>
      <c r="P1075" s="2" t="s">
        <v>12455</v>
      </c>
    </row>
    <row r="1076" spans="1:16" ht="13.15" x14ac:dyDescent="0.4">
      <c r="A1076" s="2" t="s">
        <v>11617</v>
      </c>
      <c r="B1076" s="2" t="s">
        <v>5885</v>
      </c>
      <c r="C1076" s="6" t="s">
        <v>5879</v>
      </c>
      <c r="D1076" s="6" t="s">
        <v>42</v>
      </c>
      <c r="E1076" s="7">
        <v>44927</v>
      </c>
      <c r="F1076" s="8" t="s">
        <v>77</v>
      </c>
      <c r="G1076" s="2" t="s">
        <v>26</v>
      </c>
      <c r="H1076" s="8" t="s">
        <v>28</v>
      </c>
      <c r="I1076" s="2" t="s">
        <v>26</v>
      </c>
      <c r="J1076" s="7">
        <v>44927</v>
      </c>
      <c r="K1076" s="8" t="s">
        <v>77</v>
      </c>
      <c r="L1076" s="2" t="s">
        <v>26</v>
      </c>
      <c r="M1076" s="8" t="s">
        <v>28</v>
      </c>
      <c r="N1076" s="6" t="s">
        <v>2264</v>
      </c>
      <c r="O1076" s="6" t="s">
        <v>30</v>
      </c>
      <c r="P1076" s="2" t="s">
        <v>12456</v>
      </c>
    </row>
    <row r="1077" spans="1:16" ht="13.15" x14ac:dyDescent="0.4">
      <c r="A1077" s="2" t="s">
        <v>11610</v>
      </c>
      <c r="B1077" s="2" t="s">
        <v>5885</v>
      </c>
      <c r="C1077" s="6" t="s">
        <v>5879</v>
      </c>
      <c r="D1077" s="6" t="s">
        <v>42</v>
      </c>
      <c r="E1077" s="7">
        <v>44927</v>
      </c>
      <c r="F1077" s="8" t="s">
        <v>77</v>
      </c>
      <c r="G1077" s="2" t="s">
        <v>26</v>
      </c>
      <c r="H1077" s="8" t="s">
        <v>28</v>
      </c>
      <c r="I1077" s="2" t="s">
        <v>26</v>
      </c>
      <c r="J1077" s="7">
        <v>44927</v>
      </c>
      <c r="K1077" s="8" t="s">
        <v>77</v>
      </c>
      <c r="L1077" s="2" t="s">
        <v>26</v>
      </c>
      <c r="M1077" s="8" t="s">
        <v>28</v>
      </c>
      <c r="N1077" s="6" t="s">
        <v>2264</v>
      </c>
      <c r="O1077" s="6" t="s">
        <v>30</v>
      </c>
      <c r="P1077" s="2" t="s">
        <v>12457</v>
      </c>
    </row>
    <row r="1078" spans="1:16" ht="13.15" x14ac:dyDescent="0.4">
      <c r="A1078" s="2" t="s">
        <v>11626</v>
      </c>
      <c r="B1078" s="2" t="s">
        <v>5885</v>
      </c>
      <c r="C1078" s="6" t="s">
        <v>5879</v>
      </c>
      <c r="D1078" s="6" t="s">
        <v>42</v>
      </c>
      <c r="E1078" s="7">
        <v>44927</v>
      </c>
      <c r="F1078" s="8" t="s">
        <v>77</v>
      </c>
      <c r="G1078" s="2" t="s">
        <v>26</v>
      </c>
      <c r="H1078" s="8" t="s">
        <v>28</v>
      </c>
      <c r="I1078" s="2" t="s">
        <v>26</v>
      </c>
      <c r="J1078" s="7">
        <v>44927</v>
      </c>
      <c r="K1078" s="8" t="s">
        <v>77</v>
      </c>
      <c r="L1078" s="2" t="s">
        <v>26</v>
      </c>
      <c r="M1078" s="8" t="s">
        <v>28</v>
      </c>
      <c r="N1078" s="6" t="s">
        <v>2264</v>
      </c>
      <c r="O1078" s="6" t="s">
        <v>30</v>
      </c>
      <c r="P1078" s="2" t="s">
        <v>12458</v>
      </c>
    </row>
    <row r="1079" spans="1:16" ht="13.15" x14ac:dyDescent="0.4">
      <c r="A1079" s="2" t="s">
        <v>11639</v>
      </c>
      <c r="B1079" s="2" t="s">
        <v>5885</v>
      </c>
      <c r="C1079" s="6" t="s">
        <v>5879</v>
      </c>
      <c r="D1079" s="6" t="s">
        <v>42</v>
      </c>
      <c r="E1079" s="7">
        <v>44927</v>
      </c>
      <c r="F1079" s="8" t="s">
        <v>77</v>
      </c>
      <c r="G1079" s="2" t="s">
        <v>26</v>
      </c>
      <c r="H1079" s="8" t="s">
        <v>28</v>
      </c>
      <c r="I1079" s="2" t="s">
        <v>26</v>
      </c>
      <c r="J1079" s="7">
        <v>44927</v>
      </c>
      <c r="K1079" s="8" t="s">
        <v>77</v>
      </c>
      <c r="L1079" s="2" t="s">
        <v>26</v>
      </c>
      <c r="M1079" s="8" t="s">
        <v>28</v>
      </c>
      <c r="N1079" s="6" t="s">
        <v>2264</v>
      </c>
      <c r="O1079" s="6" t="s">
        <v>30</v>
      </c>
      <c r="P1079" s="2" t="s">
        <v>12459</v>
      </c>
    </row>
    <row r="1080" spans="1:16" ht="13.15" x14ac:dyDescent="0.4">
      <c r="A1080" s="2" t="s">
        <v>11619</v>
      </c>
      <c r="B1080" s="2" t="s">
        <v>5885</v>
      </c>
      <c r="C1080" s="6" t="s">
        <v>5879</v>
      </c>
      <c r="D1080" s="6" t="s">
        <v>42</v>
      </c>
      <c r="E1080" s="7">
        <v>44927</v>
      </c>
      <c r="F1080" s="8" t="s">
        <v>77</v>
      </c>
      <c r="G1080" s="2" t="s">
        <v>26</v>
      </c>
      <c r="H1080" s="8" t="s">
        <v>28</v>
      </c>
      <c r="I1080" s="2" t="s">
        <v>26</v>
      </c>
      <c r="J1080" s="7">
        <v>44927</v>
      </c>
      <c r="K1080" s="8" t="s">
        <v>77</v>
      </c>
      <c r="L1080" s="2" t="s">
        <v>26</v>
      </c>
      <c r="M1080" s="8" t="s">
        <v>28</v>
      </c>
      <c r="N1080" s="6" t="s">
        <v>2264</v>
      </c>
      <c r="O1080" s="6" t="s">
        <v>30</v>
      </c>
      <c r="P1080" s="2" t="s">
        <v>12460</v>
      </c>
    </row>
    <row r="1081" spans="1:16" ht="13.15" x14ac:dyDescent="0.4">
      <c r="A1081" s="2" t="s">
        <v>11638</v>
      </c>
      <c r="B1081" s="2" t="s">
        <v>5885</v>
      </c>
      <c r="C1081" s="6" t="s">
        <v>5879</v>
      </c>
      <c r="D1081" s="6" t="s">
        <v>42</v>
      </c>
      <c r="E1081" s="7">
        <v>44927</v>
      </c>
      <c r="F1081" s="8" t="s">
        <v>77</v>
      </c>
      <c r="G1081" s="2" t="s">
        <v>26</v>
      </c>
      <c r="H1081" s="8" t="s">
        <v>28</v>
      </c>
      <c r="I1081" s="2" t="s">
        <v>26</v>
      </c>
      <c r="J1081" s="7">
        <v>44927</v>
      </c>
      <c r="K1081" s="8" t="s">
        <v>77</v>
      </c>
      <c r="L1081" s="2" t="s">
        <v>26</v>
      </c>
      <c r="M1081" s="8" t="s">
        <v>28</v>
      </c>
      <c r="N1081" s="6" t="s">
        <v>2264</v>
      </c>
      <c r="O1081" s="6" t="s">
        <v>30</v>
      </c>
      <c r="P1081" s="2" t="s">
        <v>12461</v>
      </c>
    </row>
    <row r="1082" spans="1:16" ht="13.15" x14ac:dyDescent="0.4">
      <c r="A1082" s="2" t="s">
        <v>11671</v>
      </c>
      <c r="B1082" s="2" t="s">
        <v>5885</v>
      </c>
      <c r="C1082" s="6" t="s">
        <v>5879</v>
      </c>
      <c r="D1082" s="6" t="s">
        <v>42</v>
      </c>
      <c r="E1082" s="7">
        <v>44927</v>
      </c>
      <c r="F1082" s="8" t="s">
        <v>77</v>
      </c>
      <c r="G1082" s="2" t="s">
        <v>26</v>
      </c>
      <c r="H1082" s="8" t="s">
        <v>28</v>
      </c>
      <c r="I1082" s="2" t="s">
        <v>26</v>
      </c>
      <c r="J1082" s="7">
        <v>44927</v>
      </c>
      <c r="K1082" s="8" t="s">
        <v>77</v>
      </c>
      <c r="L1082" s="2" t="s">
        <v>26</v>
      </c>
      <c r="M1082" s="8" t="s">
        <v>28</v>
      </c>
      <c r="N1082" s="6" t="s">
        <v>2264</v>
      </c>
      <c r="O1082" s="6" t="s">
        <v>30</v>
      </c>
      <c r="P1082" s="2" t="s">
        <v>12462</v>
      </c>
    </row>
    <row r="1083" spans="1:16" ht="13.15" x14ac:dyDescent="0.4">
      <c r="A1083" s="2" t="s">
        <v>11648</v>
      </c>
      <c r="B1083" s="2" t="s">
        <v>5885</v>
      </c>
      <c r="C1083" s="6" t="s">
        <v>5879</v>
      </c>
      <c r="D1083" s="6" t="s">
        <v>42</v>
      </c>
      <c r="E1083" s="7">
        <v>44927</v>
      </c>
      <c r="F1083" s="8" t="s">
        <v>77</v>
      </c>
      <c r="G1083" s="2" t="s">
        <v>26</v>
      </c>
      <c r="H1083" s="8" t="s">
        <v>28</v>
      </c>
      <c r="I1083" s="2" t="s">
        <v>26</v>
      </c>
      <c r="J1083" s="7">
        <v>44927</v>
      </c>
      <c r="K1083" s="8" t="s">
        <v>77</v>
      </c>
      <c r="L1083" s="2" t="s">
        <v>26</v>
      </c>
      <c r="M1083" s="8" t="s">
        <v>28</v>
      </c>
      <c r="N1083" s="6" t="s">
        <v>2264</v>
      </c>
      <c r="O1083" s="6" t="s">
        <v>30</v>
      </c>
      <c r="P1083" s="2" t="s">
        <v>12463</v>
      </c>
    </row>
    <row r="1084" spans="1:16" ht="13.15" x14ac:dyDescent="0.4">
      <c r="A1084" s="2" t="s">
        <v>11684</v>
      </c>
      <c r="B1084" s="2" t="s">
        <v>5885</v>
      </c>
      <c r="C1084" s="6" t="s">
        <v>5879</v>
      </c>
      <c r="D1084" s="6" t="s">
        <v>42</v>
      </c>
      <c r="E1084" s="7">
        <v>44927</v>
      </c>
      <c r="F1084" s="8" t="s">
        <v>77</v>
      </c>
      <c r="G1084" s="2" t="s">
        <v>26</v>
      </c>
      <c r="H1084" s="8" t="s">
        <v>28</v>
      </c>
      <c r="I1084" s="2" t="s">
        <v>26</v>
      </c>
      <c r="J1084" s="7">
        <v>44927</v>
      </c>
      <c r="K1084" s="8" t="s">
        <v>77</v>
      </c>
      <c r="L1084" s="2" t="s">
        <v>26</v>
      </c>
      <c r="M1084" s="8" t="s">
        <v>28</v>
      </c>
      <c r="N1084" s="6" t="s">
        <v>2264</v>
      </c>
      <c r="O1084" s="6" t="s">
        <v>30</v>
      </c>
      <c r="P1084" s="2" t="s">
        <v>12464</v>
      </c>
    </row>
    <row r="1085" spans="1:16" ht="13.15" x14ac:dyDescent="0.4">
      <c r="A1085" s="2" t="s">
        <v>11625</v>
      </c>
      <c r="B1085" s="2" t="s">
        <v>5885</v>
      </c>
      <c r="C1085" s="6" t="s">
        <v>5879</v>
      </c>
      <c r="D1085" s="6" t="s">
        <v>42</v>
      </c>
      <c r="E1085" s="7">
        <v>44927</v>
      </c>
      <c r="F1085" s="8" t="s">
        <v>77</v>
      </c>
      <c r="G1085" s="2" t="s">
        <v>26</v>
      </c>
      <c r="H1085" s="8" t="s">
        <v>28</v>
      </c>
      <c r="I1085" s="2" t="s">
        <v>26</v>
      </c>
      <c r="J1085" s="7">
        <v>44927</v>
      </c>
      <c r="K1085" s="8" t="s">
        <v>77</v>
      </c>
      <c r="L1085" s="2" t="s">
        <v>26</v>
      </c>
      <c r="M1085" s="8" t="s">
        <v>28</v>
      </c>
      <c r="N1085" s="6" t="s">
        <v>2264</v>
      </c>
      <c r="O1085" s="6" t="s">
        <v>30</v>
      </c>
      <c r="P1085" s="2" t="s">
        <v>12465</v>
      </c>
    </row>
    <row r="1086" spans="1:16" ht="13.15" x14ac:dyDescent="0.4">
      <c r="A1086" s="2" t="s">
        <v>11676</v>
      </c>
      <c r="B1086" s="2" t="s">
        <v>5885</v>
      </c>
      <c r="C1086" s="6" t="s">
        <v>5879</v>
      </c>
      <c r="D1086" s="6" t="s">
        <v>42</v>
      </c>
      <c r="E1086" s="7">
        <v>44927</v>
      </c>
      <c r="F1086" s="8" t="s">
        <v>77</v>
      </c>
      <c r="G1086" s="2" t="s">
        <v>26</v>
      </c>
      <c r="H1086" s="8" t="s">
        <v>28</v>
      </c>
      <c r="I1086" s="2" t="s">
        <v>26</v>
      </c>
      <c r="J1086" s="7">
        <v>44927</v>
      </c>
      <c r="K1086" s="8" t="s">
        <v>77</v>
      </c>
      <c r="L1086" s="2" t="s">
        <v>26</v>
      </c>
      <c r="M1086" s="8" t="s">
        <v>28</v>
      </c>
      <c r="N1086" s="6" t="s">
        <v>2264</v>
      </c>
      <c r="O1086" s="6" t="s">
        <v>30</v>
      </c>
      <c r="P1086" s="2" t="s">
        <v>12466</v>
      </c>
    </row>
    <row r="1087" spans="1:16" ht="13.15" x14ac:dyDescent="0.4">
      <c r="A1087" s="2" t="s">
        <v>11775</v>
      </c>
      <c r="B1087" s="2" t="s">
        <v>5885</v>
      </c>
      <c r="C1087" s="6" t="s">
        <v>5879</v>
      </c>
      <c r="D1087" s="6" t="s">
        <v>42</v>
      </c>
      <c r="E1087" s="7">
        <v>44927</v>
      </c>
      <c r="F1087" s="8" t="s">
        <v>77</v>
      </c>
      <c r="G1087" s="2" t="s">
        <v>26</v>
      </c>
      <c r="H1087" s="8" t="s">
        <v>28</v>
      </c>
      <c r="I1087" s="2" t="s">
        <v>26</v>
      </c>
      <c r="J1087" s="7">
        <v>44927</v>
      </c>
      <c r="K1087" s="8" t="s">
        <v>77</v>
      </c>
      <c r="L1087" s="2" t="s">
        <v>26</v>
      </c>
      <c r="M1087" s="8" t="s">
        <v>28</v>
      </c>
      <c r="N1087" s="6" t="s">
        <v>2264</v>
      </c>
      <c r="O1087" s="6" t="s">
        <v>30</v>
      </c>
      <c r="P1087" s="2" t="s">
        <v>12467</v>
      </c>
    </row>
    <row r="1088" spans="1:16" ht="13.15" x14ac:dyDescent="0.4">
      <c r="A1088" s="2" t="s">
        <v>11768</v>
      </c>
      <c r="B1088" s="2" t="s">
        <v>5885</v>
      </c>
      <c r="C1088" s="6" t="s">
        <v>5879</v>
      </c>
      <c r="D1088" s="6" t="s">
        <v>42</v>
      </c>
      <c r="E1088" s="7">
        <v>44927</v>
      </c>
      <c r="F1088" s="8" t="s">
        <v>77</v>
      </c>
      <c r="G1088" s="2" t="s">
        <v>26</v>
      </c>
      <c r="H1088" s="8" t="s">
        <v>28</v>
      </c>
      <c r="I1088" s="2" t="s">
        <v>26</v>
      </c>
      <c r="J1088" s="7">
        <v>44927</v>
      </c>
      <c r="K1088" s="8" t="s">
        <v>77</v>
      </c>
      <c r="L1088" s="2" t="s">
        <v>26</v>
      </c>
      <c r="M1088" s="8" t="s">
        <v>28</v>
      </c>
      <c r="N1088" s="6" t="s">
        <v>2264</v>
      </c>
      <c r="O1088" s="6" t="s">
        <v>30</v>
      </c>
      <c r="P1088" s="2" t="s">
        <v>12468</v>
      </c>
    </row>
    <row r="1089" spans="1:16" ht="13.15" x14ac:dyDescent="0.4">
      <c r="A1089" s="2" t="s">
        <v>11658</v>
      </c>
      <c r="B1089" s="2" t="s">
        <v>5885</v>
      </c>
      <c r="C1089" s="6" t="s">
        <v>5879</v>
      </c>
      <c r="D1089" s="6" t="s">
        <v>42</v>
      </c>
      <c r="E1089" s="7">
        <v>44927</v>
      </c>
      <c r="F1089" s="8" t="s">
        <v>77</v>
      </c>
      <c r="G1089" s="2" t="s">
        <v>26</v>
      </c>
      <c r="H1089" s="8" t="s">
        <v>28</v>
      </c>
      <c r="I1089" s="2" t="s">
        <v>26</v>
      </c>
      <c r="J1089" s="7">
        <v>44927</v>
      </c>
      <c r="K1089" s="8" t="s">
        <v>77</v>
      </c>
      <c r="L1089" s="2" t="s">
        <v>26</v>
      </c>
      <c r="M1089" s="8" t="s">
        <v>28</v>
      </c>
      <c r="N1089" s="6" t="s">
        <v>2264</v>
      </c>
      <c r="O1089" s="6" t="s">
        <v>30</v>
      </c>
      <c r="P1089" s="2" t="s">
        <v>12469</v>
      </c>
    </row>
    <row r="1090" spans="1:16" ht="13.15" x14ac:dyDescent="0.4">
      <c r="A1090" s="2" t="s">
        <v>11665</v>
      </c>
      <c r="B1090" s="2" t="s">
        <v>5885</v>
      </c>
      <c r="C1090" s="6" t="s">
        <v>5879</v>
      </c>
      <c r="D1090" s="6" t="s">
        <v>42</v>
      </c>
      <c r="E1090" s="7">
        <v>44927</v>
      </c>
      <c r="F1090" s="8" t="s">
        <v>77</v>
      </c>
      <c r="G1090" s="2" t="s">
        <v>26</v>
      </c>
      <c r="H1090" s="8" t="s">
        <v>28</v>
      </c>
      <c r="I1090" s="2" t="s">
        <v>26</v>
      </c>
      <c r="J1090" s="7">
        <v>44927</v>
      </c>
      <c r="K1090" s="8" t="s">
        <v>77</v>
      </c>
      <c r="L1090" s="2" t="s">
        <v>26</v>
      </c>
      <c r="M1090" s="8" t="s">
        <v>28</v>
      </c>
      <c r="N1090" s="6" t="s">
        <v>2264</v>
      </c>
      <c r="O1090" s="6" t="s">
        <v>30</v>
      </c>
      <c r="P1090" s="2" t="s">
        <v>12470</v>
      </c>
    </row>
    <row r="1091" spans="1:16" ht="13.15" x14ac:dyDescent="0.4">
      <c r="A1091" s="2" t="s">
        <v>11630</v>
      </c>
      <c r="B1091" s="2" t="s">
        <v>5885</v>
      </c>
      <c r="C1091" s="6" t="s">
        <v>5879</v>
      </c>
      <c r="D1091" s="6" t="s">
        <v>42</v>
      </c>
      <c r="E1091" s="7">
        <v>44927</v>
      </c>
      <c r="F1091" s="8" t="s">
        <v>77</v>
      </c>
      <c r="G1091" s="2" t="s">
        <v>26</v>
      </c>
      <c r="H1091" s="8" t="s">
        <v>28</v>
      </c>
      <c r="I1091" s="2" t="s">
        <v>26</v>
      </c>
      <c r="J1091" s="7">
        <v>44927</v>
      </c>
      <c r="K1091" s="8" t="s">
        <v>77</v>
      </c>
      <c r="L1091" s="2" t="s">
        <v>26</v>
      </c>
      <c r="M1091" s="8" t="s">
        <v>28</v>
      </c>
      <c r="N1091" s="6" t="s">
        <v>2264</v>
      </c>
      <c r="O1091" s="6" t="s">
        <v>30</v>
      </c>
      <c r="P1091" s="2" t="s">
        <v>12471</v>
      </c>
    </row>
    <row r="1092" spans="1:16" ht="13.15" x14ac:dyDescent="0.4">
      <c r="A1092" s="2" t="s">
        <v>337</v>
      </c>
      <c r="B1092" s="2" t="s">
        <v>5885</v>
      </c>
      <c r="C1092" s="6" t="s">
        <v>5879</v>
      </c>
      <c r="D1092" s="6" t="s">
        <v>42</v>
      </c>
      <c r="E1092" s="7">
        <v>44927</v>
      </c>
      <c r="F1092" s="8" t="s">
        <v>77</v>
      </c>
      <c r="G1092" s="2" t="s">
        <v>26</v>
      </c>
      <c r="H1092" s="8" t="s">
        <v>28</v>
      </c>
      <c r="I1092" s="2" t="s">
        <v>26</v>
      </c>
      <c r="J1092" s="7">
        <v>44927</v>
      </c>
      <c r="K1092" s="8" t="s">
        <v>77</v>
      </c>
      <c r="L1092" s="2" t="s">
        <v>26</v>
      </c>
      <c r="M1092" s="8" t="s">
        <v>28</v>
      </c>
      <c r="N1092" s="6" t="s">
        <v>2264</v>
      </c>
      <c r="O1092" s="6" t="s">
        <v>30</v>
      </c>
      <c r="P1092" s="2" t="s">
        <v>12472</v>
      </c>
    </row>
    <row r="1093" spans="1:16" ht="13.15" x14ac:dyDescent="0.4">
      <c r="A1093" s="2" t="s">
        <v>11679</v>
      </c>
      <c r="B1093" s="2" t="s">
        <v>5885</v>
      </c>
      <c r="C1093" s="6" t="s">
        <v>5879</v>
      </c>
      <c r="D1093" s="6" t="s">
        <v>42</v>
      </c>
      <c r="E1093" s="7">
        <v>44927</v>
      </c>
      <c r="F1093" s="8" t="s">
        <v>77</v>
      </c>
      <c r="G1093" s="2" t="s">
        <v>26</v>
      </c>
      <c r="H1093" s="8" t="s">
        <v>28</v>
      </c>
      <c r="I1093" s="2" t="s">
        <v>26</v>
      </c>
      <c r="J1093" s="7">
        <v>44927</v>
      </c>
      <c r="K1093" s="8" t="s">
        <v>77</v>
      </c>
      <c r="L1093" s="2" t="s">
        <v>26</v>
      </c>
      <c r="M1093" s="8" t="s">
        <v>28</v>
      </c>
      <c r="N1093" s="6" t="s">
        <v>2264</v>
      </c>
      <c r="O1093" s="6" t="s">
        <v>30</v>
      </c>
      <c r="P1093" s="2" t="s">
        <v>12473</v>
      </c>
    </row>
    <row r="1094" spans="1:16" ht="13.15" x14ac:dyDescent="0.4">
      <c r="A1094" s="2" t="s">
        <v>11646</v>
      </c>
      <c r="B1094" s="2" t="s">
        <v>5885</v>
      </c>
      <c r="C1094" s="6" t="s">
        <v>5879</v>
      </c>
      <c r="D1094" s="6" t="s">
        <v>42</v>
      </c>
      <c r="E1094" s="7">
        <v>44927</v>
      </c>
      <c r="F1094" s="8" t="s">
        <v>77</v>
      </c>
      <c r="G1094" s="2" t="s">
        <v>26</v>
      </c>
      <c r="H1094" s="8" t="s">
        <v>28</v>
      </c>
      <c r="I1094" s="2" t="s">
        <v>26</v>
      </c>
      <c r="J1094" s="7">
        <v>44927</v>
      </c>
      <c r="K1094" s="8" t="s">
        <v>77</v>
      </c>
      <c r="L1094" s="2" t="s">
        <v>26</v>
      </c>
      <c r="M1094" s="8" t="s">
        <v>28</v>
      </c>
      <c r="N1094" s="6" t="s">
        <v>2264</v>
      </c>
      <c r="O1094" s="6" t="s">
        <v>30</v>
      </c>
      <c r="P1094" s="2" t="s">
        <v>12474</v>
      </c>
    </row>
    <row r="1095" spans="1:16" ht="13.15" x14ac:dyDescent="0.4">
      <c r="A1095" s="2" t="s">
        <v>11659</v>
      </c>
      <c r="B1095" s="2" t="s">
        <v>5885</v>
      </c>
      <c r="C1095" s="6" t="s">
        <v>5879</v>
      </c>
      <c r="D1095" s="6" t="s">
        <v>42</v>
      </c>
      <c r="E1095" s="7">
        <v>44927</v>
      </c>
      <c r="F1095" s="8" t="s">
        <v>77</v>
      </c>
      <c r="G1095" s="2" t="s">
        <v>26</v>
      </c>
      <c r="H1095" s="8" t="s">
        <v>28</v>
      </c>
      <c r="I1095" s="2" t="s">
        <v>26</v>
      </c>
      <c r="J1095" s="7">
        <v>44927</v>
      </c>
      <c r="K1095" s="8" t="s">
        <v>77</v>
      </c>
      <c r="L1095" s="2" t="s">
        <v>26</v>
      </c>
      <c r="M1095" s="8" t="s">
        <v>28</v>
      </c>
      <c r="N1095" s="6" t="s">
        <v>2264</v>
      </c>
      <c r="O1095" s="6" t="s">
        <v>30</v>
      </c>
      <c r="P1095" s="2" t="s">
        <v>12475</v>
      </c>
    </row>
    <row r="1096" spans="1:16" ht="13.15" x14ac:dyDescent="0.4">
      <c r="A1096" s="2" t="s">
        <v>11740</v>
      </c>
      <c r="B1096" s="2" t="s">
        <v>5885</v>
      </c>
      <c r="C1096" s="6" t="s">
        <v>5879</v>
      </c>
      <c r="D1096" s="6" t="s">
        <v>42</v>
      </c>
      <c r="E1096" s="7">
        <v>44927</v>
      </c>
      <c r="F1096" s="8" t="s">
        <v>77</v>
      </c>
      <c r="G1096" s="2" t="s">
        <v>26</v>
      </c>
      <c r="H1096" s="8" t="s">
        <v>28</v>
      </c>
      <c r="I1096" s="2" t="s">
        <v>26</v>
      </c>
      <c r="J1096" s="7">
        <v>44927</v>
      </c>
      <c r="K1096" s="8" t="s">
        <v>77</v>
      </c>
      <c r="L1096" s="2" t="s">
        <v>26</v>
      </c>
      <c r="M1096" s="8" t="s">
        <v>28</v>
      </c>
      <c r="N1096" s="6" t="s">
        <v>2264</v>
      </c>
      <c r="O1096" s="6" t="s">
        <v>30</v>
      </c>
      <c r="P1096" s="2" t="s">
        <v>12476</v>
      </c>
    </row>
    <row r="1097" spans="1:16" ht="13.15" x14ac:dyDescent="0.4">
      <c r="A1097" s="2" t="s">
        <v>11661</v>
      </c>
      <c r="B1097" s="2" t="s">
        <v>5885</v>
      </c>
      <c r="C1097" s="6" t="s">
        <v>5879</v>
      </c>
      <c r="D1097" s="6" t="s">
        <v>42</v>
      </c>
      <c r="E1097" s="7">
        <v>44927</v>
      </c>
      <c r="F1097" s="8" t="s">
        <v>77</v>
      </c>
      <c r="G1097" s="2" t="s">
        <v>26</v>
      </c>
      <c r="H1097" s="8" t="s">
        <v>28</v>
      </c>
      <c r="I1097" s="2" t="s">
        <v>26</v>
      </c>
      <c r="J1097" s="7">
        <v>44927</v>
      </c>
      <c r="K1097" s="8" t="s">
        <v>77</v>
      </c>
      <c r="L1097" s="2" t="s">
        <v>26</v>
      </c>
      <c r="M1097" s="8" t="s">
        <v>28</v>
      </c>
      <c r="N1097" s="6" t="s">
        <v>2264</v>
      </c>
      <c r="O1097" s="6" t="s">
        <v>30</v>
      </c>
      <c r="P1097" s="2" t="s">
        <v>12477</v>
      </c>
    </row>
    <row r="1098" spans="1:16" ht="13.15" x14ac:dyDescent="0.4">
      <c r="A1098" s="2" t="s">
        <v>11667</v>
      </c>
      <c r="B1098" s="2" t="s">
        <v>5885</v>
      </c>
      <c r="C1098" s="6" t="s">
        <v>5879</v>
      </c>
      <c r="D1098" s="6" t="s">
        <v>42</v>
      </c>
      <c r="E1098" s="7">
        <v>44927</v>
      </c>
      <c r="F1098" s="8" t="s">
        <v>77</v>
      </c>
      <c r="G1098" s="2" t="s">
        <v>26</v>
      </c>
      <c r="H1098" s="8" t="s">
        <v>28</v>
      </c>
      <c r="I1098" s="2" t="s">
        <v>26</v>
      </c>
      <c r="J1098" s="7">
        <v>44927</v>
      </c>
      <c r="K1098" s="8" t="s">
        <v>77</v>
      </c>
      <c r="L1098" s="2" t="s">
        <v>26</v>
      </c>
      <c r="M1098" s="8" t="s">
        <v>28</v>
      </c>
      <c r="N1098" s="6" t="s">
        <v>2264</v>
      </c>
      <c r="O1098" s="6" t="s">
        <v>30</v>
      </c>
      <c r="P1098" s="2" t="s">
        <v>12478</v>
      </c>
    </row>
    <row r="1099" spans="1:16" ht="13.15" x14ac:dyDescent="0.4">
      <c r="A1099" s="2" t="s">
        <v>11769</v>
      </c>
      <c r="B1099" s="2" t="s">
        <v>5885</v>
      </c>
      <c r="C1099" s="6" t="s">
        <v>5879</v>
      </c>
      <c r="D1099" s="6" t="s">
        <v>42</v>
      </c>
      <c r="E1099" s="7">
        <v>44927</v>
      </c>
      <c r="F1099" s="8" t="s">
        <v>77</v>
      </c>
      <c r="G1099" s="2" t="s">
        <v>26</v>
      </c>
      <c r="H1099" s="8" t="s">
        <v>28</v>
      </c>
      <c r="I1099" s="2" t="s">
        <v>26</v>
      </c>
      <c r="J1099" s="7">
        <v>44927</v>
      </c>
      <c r="K1099" s="8" t="s">
        <v>77</v>
      </c>
      <c r="L1099" s="2" t="s">
        <v>26</v>
      </c>
      <c r="M1099" s="8" t="s">
        <v>28</v>
      </c>
      <c r="N1099" s="6" t="s">
        <v>2264</v>
      </c>
      <c r="O1099" s="6" t="s">
        <v>30</v>
      </c>
      <c r="P1099" s="2" t="s">
        <v>12479</v>
      </c>
    </row>
    <row r="1100" spans="1:16" ht="13.15" x14ac:dyDescent="0.4">
      <c r="A1100" s="2" t="s">
        <v>11737</v>
      </c>
      <c r="B1100" s="2" t="s">
        <v>5885</v>
      </c>
      <c r="C1100" s="6" t="s">
        <v>5879</v>
      </c>
      <c r="D1100" s="6" t="s">
        <v>42</v>
      </c>
      <c r="E1100" s="7">
        <v>44927</v>
      </c>
      <c r="F1100" s="8" t="s">
        <v>77</v>
      </c>
      <c r="G1100" s="2" t="s">
        <v>26</v>
      </c>
      <c r="H1100" s="8" t="s">
        <v>28</v>
      </c>
      <c r="I1100" s="2" t="s">
        <v>26</v>
      </c>
      <c r="J1100" s="7">
        <v>44927</v>
      </c>
      <c r="K1100" s="8" t="s">
        <v>77</v>
      </c>
      <c r="L1100" s="2" t="s">
        <v>26</v>
      </c>
      <c r="M1100" s="8" t="s">
        <v>28</v>
      </c>
      <c r="N1100" s="6" t="s">
        <v>2264</v>
      </c>
      <c r="O1100" s="6" t="s">
        <v>30</v>
      </c>
      <c r="P1100" s="2" t="s">
        <v>12480</v>
      </c>
    </row>
    <row r="1101" spans="1:16" ht="13.15" x14ac:dyDescent="0.4">
      <c r="A1101" s="2" t="s">
        <v>11779</v>
      </c>
      <c r="B1101" s="2" t="s">
        <v>5885</v>
      </c>
      <c r="C1101" s="6" t="s">
        <v>5879</v>
      </c>
      <c r="D1101" s="6" t="s">
        <v>42</v>
      </c>
      <c r="E1101" s="7">
        <v>44927</v>
      </c>
      <c r="F1101" s="8" t="s">
        <v>77</v>
      </c>
      <c r="G1101" s="2" t="s">
        <v>26</v>
      </c>
      <c r="H1101" s="8" t="s">
        <v>28</v>
      </c>
      <c r="I1101" s="2" t="s">
        <v>26</v>
      </c>
      <c r="J1101" s="7">
        <v>44927</v>
      </c>
      <c r="K1101" s="8" t="s">
        <v>77</v>
      </c>
      <c r="L1101" s="2" t="s">
        <v>26</v>
      </c>
      <c r="M1101" s="8" t="s">
        <v>28</v>
      </c>
      <c r="N1101" s="6" t="s">
        <v>2264</v>
      </c>
      <c r="O1101" s="6" t="s">
        <v>30</v>
      </c>
      <c r="P1101" s="2" t="s">
        <v>12481</v>
      </c>
    </row>
    <row r="1102" spans="1:16" ht="13.15" x14ac:dyDescent="0.4">
      <c r="A1102" s="2" t="s">
        <v>11682</v>
      </c>
      <c r="B1102" s="2" t="s">
        <v>5885</v>
      </c>
      <c r="C1102" s="6" t="s">
        <v>5879</v>
      </c>
      <c r="D1102" s="6" t="s">
        <v>42</v>
      </c>
      <c r="E1102" s="7">
        <v>44927</v>
      </c>
      <c r="F1102" s="8" t="s">
        <v>77</v>
      </c>
      <c r="G1102" s="2" t="s">
        <v>26</v>
      </c>
      <c r="H1102" s="8" t="s">
        <v>28</v>
      </c>
      <c r="I1102" s="2" t="s">
        <v>26</v>
      </c>
      <c r="J1102" s="7">
        <v>44927</v>
      </c>
      <c r="K1102" s="8" t="s">
        <v>77</v>
      </c>
      <c r="L1102" s="2" t="s">
        <v>26</v>
      </c>
      <c r="M1102" s="8" t="s">
        <v>28</v>
      </c>
      <c r="N1102" s="6" t="s">
        <v>2264</v>
      </c>
      <c r="O1102" s="6" t="s">
        <v>30</v>
      </c>
      <c r="P1102" s="2" t="s">
        <v>12482</v>
      </c>
    </row>
    <row r="1103" spans="1:16" ht="13.15" x14ac:dyDescent="0.4">
      <c r="A1103" s="2" t="s">
        <v>11654</v>
      </c>
      <c r="B1103" s="2" t="s">
        <v>5885</v>
      </c>
      <c r="C1103" s="6" t="s">
        <v>5879</v>
      </c>
      <c r="D1103" s="6" t="s">
        <v>42</v>
      </c>
      <c r="E1103" s="7">
        <v>44927</v>
      </c>
      <c r="F1103" s="8" t="s">
        <v>77</v>
      </c>
      <c r="G1103" s="2" t="s">
        <v>26</v>
      </c>
      <c r="H1103" s="8" t="s">
        <v>28</v>
      </c>
      <c r="I1103" s="2" t="s">
        <v>26</v>
      </c>
      <c r="J1103" s="7">
        <v>44927</v>
      </c>
      <c r="K1103" s="8" t="s">
        <v>77</v>
      </c>
      <c r="L1103" s="2" t="s">
        <v>26</v>
      </c>
      <c r="M1103" s="8" t="s">
        <v>28</v>
      </c>
      <c r="N1103" s="6" t="s">
        <v>2264</v>
      </c>
      <c r="O1103" s="6" t="s">
        <v>30</v>
      </c>
      <c r="P1103" s="2" t="s">
        <v>12483</v>
      </c>
    </row>
    <row r="1104" spans="1:16" ht="13.15" x14ac:dyDescent="0.4">
      <c r="A1104" s="2" t="s">
        <v>11576</v>
      </c>
      <c r="B1104" s="2" t="s">
        <v>5885</v>
      </c>
      <c r="C1104" s="6" t="s">
        <v>5879</v>
      </c>
      <c r="D1104" s="6" t="s">
        <v>42</v>
      </c>
      <c r="E1104" s="7">
        <v>44927</v>
      </c>
      <c r="F1104" s="8" t="s">
        <v>77</v>
      </c>
      <c r="G1104" s="2" t="s">
        <v>26</v>
      </c>
      <c r="H1104" s="8" t="s">
        <v>28</v>
      </c>
      <c r="I1104" s="2" t="s">
        <v>26</v>
      </c>
      <c r="J1104" s="7">
        <v>44927</v>
      </c>
      <c r="K1104" s="8" t="s">
        <v>77</v>
      </c>
      <c r="L1104" s="2" t="s">
        <v>26</v>
      </c>
      <c r="M1104" s="8" t="s">
        <v>28</v>
      </c>
      <c r="N1104" s="6" t="s">
        <v>2264</v>
      </c>
      <c r="O1104" s="6" t="s">
        <v>30</v>
      </c>
      <c r="P1104" s="2" t="s">
        <v>12484</v>
      </c>
    </row>
    <row r="1105" spans="1:16" ht="13.15" x14ac:dyDescent="0.4">
      <c r="A1105" s="2" t="s">
        <v>11652</v>
      </c>
      <c r="B1105" s="2" t="s">
        <v>5885</v>
      </c>
      <c r="C1105" s="6" t="s">
        <v>5879</v>
      </c>
      <c r="D1105" s="6" t="s">
        <v>42</v>
      </c>
      <c r="E1105" s="7">
        <v>44927</v>
      </c>
      <c r="F1105" s="8" t="s">
        <v>77</v>
      </c>
      <c r="G1105" s="2" t="s">
        <v>26</v>
      </c>
      <c r="H1105" s="8" t="s">
        <v>28</v>
      </c>
      <c r="I1105" s="2" t="s">
        <v>26</v>
      </c>
      <c r="J1105" s="7">
        <v>44927</v>
      </c>
      <c r="K1105" s="8" t="s">
        <v>77</v>
      </c>
      <c r="L1105" s="2" t="s">
        <v>26</v>
      </c>
      <c r="M1105" s="8" t="s">
        <v>28</v>
      </c>
      <c r="N1105" s="6" t="s">
        <v>2264</v>
      </c>
      <c r="O1105" s="6" t="s">
        <v>30</v>
      </c>
      <c r="P1105" s="2" t="s">
        <v>12485</v>
      </c>
    </row>
    <row r="1106" spans="1:16" ht="13.15" x14ac:dyDescent="0.4">
      <c r="A1106" s="2" t="s">
        <v>11567</v>
      </c>
      <c r="B1106" s="2" t="s">
        <v>5885</v>
      </c>
      <c r="C1106" s="6" t="s">
        <v>5879</v>
      </c>
      <c r="D1106" s="6" t="s">
        <v>42</v>
      </c>
      <c r="E1106" s="7">
        <v>44927</v>
      </c>
      <c r="F1106" s="8" t="s">
        <v>77</v>
      </c>
      <c r="G1106" s="2" t="s">
        <v>26</v>
      </c>
      <c r="H1106" s="8" t="s">
        <v>28</v>
      </c>
      <c r="I1106" s="2" t="s">
        <v>26</v>
      </c>
      <c r="J1106" s="7">
        <v>44927</v>
      </c>
      <c r="K1106" s="8" t="s">
        <v>77</v>
      </c>
      <c r="L1106" s="2" t="s">
        <v>26</v>
      </c>
      <c r="M1106" s="8" t="s">
        <v>28</v>
      </c>
      <c r="N1106" s="6" t="s">
        <v>2264</v>
      </c>
      <c r="O1106" s="6" t="s">
        <v>30</v>
      </c>
      <c r="P1106" s="2" t="s">
        <v>12486</v>
      </c>
    </row>
    <row r="1107" spans="1:16" ht="13.15" x14ac:dyDescent="0.4">
      <c r="A1107" s="2" t="s">
        <v>11645</v>
      </c>
      <c r="B1107" s="2" t="s">
        <v>5885</v>
      </c>
      <c r="C1107" s="6" t="s">
        <v>5879</v>
      </c>
      <c r="D1107" s="6" t="s">
        <v>42</v>
      </c>
      <c r="E1107" s="7">
        <v>44927</v>
      </c>
      <c r="F1107" s="8" t="s">
        <v>77</v>
      </c>
      <c r="G1107" s="2" t="s">
        <v>26</v>
      </c>
      <c r="H1107" s="8" t="s">
        <v>28</v>
      </c>
      <c r="I1107" s="2" t="s">
        <v>26</v>
      </c>
      <c r="J1107" s="7">
        <v>44927</v>
      </c>
      <c r="K1107" s="8" t="s">
        <v>77</v>
      </c>
      <c r="L1107" s="2" t="s">
        <v>26</v>
      </c>
      <c r="M1107" s="8" t="s">
        <v>28</v>
      </c>
      <c r="N1107" s="6" t="s">
        <v>2264</v>
      </c>
      <c r="O1107" s="6" t="s">
        <v>30</v>
      </c>
      <c r="P1107" s="2" t="s">
        <v>12487</v>
      </c>
    </row>
    <row r="1108" spans="1:16" ht="13.15" x14ac:dyDescent="0.4">
      <c r="A1108" s="2" t="s">
        <v>11649</v>
      </c>
      <c r="B1108" s="2" t="s">
        <v>5885</v>
      </c>
      <c r="C1108" s="6" t="s">
        <v>5879</v>
      </c>
      <c r="D1108" s="6" t="s">
        <v>42</v>
      </c>
      <c r="E1108" s="7">
        <v>44927</v>
      </c>
      <c r="F1108" s="8" t="s">
        <v>77</v>
      </c>
      <c r="G1108" s="2" t="s">
        <v>26</v>
      </c>
      <c r="H1108" s="8" t="s">
        <v>28</v>
      </c>
      <c r="I1108" s="2" t="s">
        <v>26</v>
      </c>
      <c r="J1108" s="7">
        <v>44927</v>
      </c>
      <c r="K1108" s="8" t="s">
        <v>77</v>
      </c>
      <c r="L1108" s="2" t="s">
        <v>26</v>
      </c>
      <c r="M1108" s="8" t="s">
        <v>28</v>
      </c>
      <c r="N1108" s="6" t="s">
        <v>2264</v>
      </c>
      <c r="O1108" s="6" t="s">
        <v>30</v>
      </c>
      <c r="P1108" s="2" t="s">
        <v>12488</v>
      </c>
    </row>
    <row r="1109" spans="1:16" ht="13.15" x14ac:dyDescent="0.4">
      <c r="A1109" s="2" t="s">
        <v>11687</v>
      </c>
      <c r="B1109" s="2" t="s">
        <v>5885</v>
      </c>
      <c r="C1109" s="6" t="s">
        <v>5879</v>
      </c>
      <c r="D1109" s="6" t="s">
        <v>42</v>
      </c>
      <c r="E1109" s="7">
        <v>44927</v>
      </c>
      <c r="F1109" s="8" t="s">
        <v>77</v>
      </c>
      <c r="G1109" s="2" t="s">
        <v>26</v>
      </c>
      <c r="H1109" s="8" t="s">
        <v>28</v>
      </c>
      <c r="I1109" s="2" t="s">
        <v>26</v>
      </c>
      <c r="J1109" s="7">
        <v>44927</v>
      </c>
      <c r="K1109" s="8" t="s">
        <v>77</v>
      </c>
      <c r="L1109" s="2" t="s">
        <v>26</v>
      </c>
      <c r="M1109" s="8" t="s">
        <v>28</v>
      </c>
      <c r="N1109" s="6" t="s">
        <v>2264</v>
      </c>
      <c r="O1109" s="6" t="s">
        <v>30</v>
      </c>
      <c r="P1109" s="2" t="s">
        <v>12489</v>
      </c>
    </row>
    <row r="1110" spans="1:16" ht="13.15" x14ac:dyDescent="0.4">
      <c r="A1110" s="2" t="s">
        <v>11632</v>
      </c>
      <c r="B1110" s="2" t="s">
        <v>5885</v>
      </c>
      <c r="C1110" s="6" t="s">
        <v>5879</v>
      </c>
      <c r="D1110" s="6" t="s">
        <v>42</v>
      </c>
      <c r="E1110" s="7">
        <v>44927</v>
      </c>
      <c r="F1110" s="8" t="s">
        <v>77</v>
      </c>
      <c r="G1110" s="2" t="s">
        <v>26</v>
      </c>
      <c r="H1110" s="8" t="s">
        <v>28</v>
      </c>
      <c r="I1110" s="2" t="s">
        <v>26</v>
      </c>
      <c r="J1110" s="7">
        <v>44927</v>
      </c>
      <c r="K1110" s="8" t="s">
        <v>77</v>
      </c>
      <c r="L1110" s="2" t="s">
        <v>26</v>
      </c>
      <c r="M1110" s="8" t="s">
        <v>28</v>
      </c>
      <c r="N1110" s="6" t="s">
        <v>2264</v>
      </c>
      <c r="O1110" s="6" t="s">
        <v>30</v>
      </c>
      <c r="P1110" s="2" t="s">
        <v>12490</v>
      </c>
    </row>
    <row r="1111" spans="1:16" ht="13.15" x14ac:dyDescent="0.4">
      <c r="A1111" s="2" t="s">
        <v>11622</v>
      </c>
      <c r="B1111" s="2" t="s">
        <v>5885</v>
      </c>
      <c r="C1111" s="6" t="s">
        <v>5879</v>
      </c>
      <c r="D1111" s="6" t="s">
        <v>42</v>
      </c>
      <c r="E1111" s="7">
        <v>44927</v>
      </c>
      <c r="F1111" s="8" t="s">
        <v>77</v>
      </c>
      <c r="G1111" s="2" t="s">
        <v>26</v>
      </c>
      <c r="H1111" s="8" t="s">
        <v>28</v>
      </c>
      <c r="I1111" s="2" t="s">
        <v>26</v>
      </c>
      <c r="J1111" s="7">
        <v>44927</v>
      </c>
      <c r="K1111" s="8" t="s">
        <v>77</v>
      </c>
      <c r="L1111" s="2" t="s">
        <v>26</v>
      </c>
      <c r="M1111" s="8" t="s">
        <v>28</v>
      </c>
      <c r="N1111" s="6" t="s">
        <v>2264</v>
      </c>
      <c r="O1111" s="6" t="s">
        <v>30</v>
      </c>
      <c r="P1111" s="2" t="s">
        <v>12491</v>
      </c>
    </row>
    <row r="1112" spans="1:16" ht="13.15" x14ac:dyDescent="0.4">
      <c r="A1112" s="2" t="s">
        <v>11673</v>
      </c>
      <c r="B1112" s="2" t="s">
        <v>5885</v>
      </c>
      <c r="C1112" s="6" t="s">
        <v>5879</v>
      </c>
      <c r="D1112" s="6" t="s">
        <v>42</v>
      </c>
      <c r="E1112" s="7">
        <v>44927</v>
      </c>
      <c r="F1112" s="8" t="s">
        <v>77</v>
      </c>
      <c r="G1112" s="2" t="s">
        <v>26</v>
      </c>
      <c r="H1112" s="8" t="s">
        <v>28</v>
      </c>
      <c r="I1112" s="2" t="s">
        <v>26</v>
      </c>
      <c r="J1112" s="7">
        <v>44927</v>
      </c>
      <c r="K1112" s="8" t="s">
        <v>77</v>
      </c>
      <c r="L1112" s="2" t="s">
        <v>26</v>
      </c>
      <c r="M1112" s="8" t="s">
        <v>28</v>
      </c>
      <c r="N1112" s="6" t="s">
        <v>2264</v>
      </c>
      <c r="O1112" s="6" t="s">
        <v>30</v>
      </c>
      <c r="P1112" s="2" t="s">
        <v>12492</v>
      </c>
    </row>
    <row r="1113" spans="1:16" ht="13.15" x14ac:dyDescent="0.4">
      <c r="A1113" s="2" t="s">
        <v>11677</v>
      </c>
      <c r="B1113" s="2" t="s">
        <v>5885</v>
      </c>
      <c r="C1113" s="6" t="s">
        <v>5879</v>
      </c>
      <c r="D1113" s="6" t="s">
        <v>42</v>
      </c>
      <c r="E1113" s="7">
        <v>44927</v>
      </c>
      <c r="F1113" s="8" t="s">
        <v>77</v>
      </c>
      <c r="G1113" s="2" t="s">
        <v>26</v>
      </c>
      <c r="H1113" s="8" t="s">
        <v>28</v>
      </c>
      <c r="I1113" s="2" t="s">
        <v>26</v>
      </c>
      <c r="J1113" s="7">
        <v>44927</v>
      </c>
      <c r="K1113" s="8" t="s">
        <v>77</v>
      </c>
      <c r="L1113" s="2" t="s">
        <v>26</v>
      </c>
      <c r="M1113" s="8" t="s">
        <v>28</v>
      </c>
      <c r="N1113" s="6" t="s">
        <v>2264</v>
      </c>
      <c r="O1113" s="6" t="s">
        <v>30</v>
      </c>
      <c r="P1113" s="2" t="s">
        <v>12493</v>
      </c>
    </row>
    <row r="1114" spans="1:16" ht="13.15" x14ac:dyDescent="0.4">
      <c r="A1114" s="2" t="s">
        <v>11634</v>
      </c>
      <c r="B1114" s="2" t="s">
        <v>5885</v>
      </c>
      <c r="C1114" s="6" t="s">
        <v>5879</v>
      </c>
      <c r="D1114" s="6" t="s">
        <v>42</v>
      </c>
      <c r="E1114" s="7">
        <v>44927</v>
      </c>
      <c r="F1114" s="8" t="s">
        <v>77</v>
      </c>
      <c r="G1114" s="2" t="s">
        <v>26</v>
      </c>
      <c r="H1114" s="8" t="s">
        <v>28</v>
      </c>
      <c r="I1114" s="2" t="s">
        <v>26</v>
      </c>
      <c r="J1114" s="7">
        <v>44927</v>
      </c>
      <c r="K1114" s="8" t="s">
        <v>77</v>
      </c>
      <c r="L1114" s="2" t="s">
        <v>26</v>
      </c>
      <c r="M1114" s="8" t="s">
        <v>28</v>
      </c>
      <c r="N1114" s="6" t="s">
        <v>2264</v>
      </c>
      <c r="O1114" s="6" t="s">
        <v>30</v>
      </c>
      <c r="P1114" s="2" t="s">
        <v>12494</v>
      </c>
    </row>
    <row r="1115" spans="1:16" ht="13.15" x14ac:dyDescent="0.4">
      <c r="A1115" s="2" t="s">
        <v>2236</v>
      </c>
      <c r="B1115" s="2" t="s">
        <v>5885</v>
      </c>
      <c r="C1115" s="6" t="s">
        <v>5879</v>
      </c>
      <c r="D1115" s="6" t="s">
        <v>42</v>
      </c>
      <c r="E1115" s="7">
        <v>44927</v>
      </c>
      <c r="F1115" s="8" t="s">
        <v>77</v>
      </c>
      <c r="G1115" s="2" t="s">
        <v>26</v>
      </c>
      <c r="H1115" s="8" t="s">
        <v>28</v>
      </c>
      <c r="I1115" s="2" t="s">
        <v>26</v>
      </c>
      <c r="J1115" s="7">
        <v>44927</v>
      </c>
      <c r="K1115" s="8" t="s">
        <v>77</v>
      </c>
      <c r="L1115" s="2" t="s">
        <v>26</v>
      </c>
      <c r="M1115" s="8" t="s">
        <v>28</v>
      </c>
      <c r="N1115" s="6" t="s">
        <v>2264</v>
      </c>
      <c r="O1115" s="6" t="s">
        <v>30</v>
      </c>
      <c r="P1115" s="2" t="s">
        <v>12495</v>
      </c>
    </row>
    <row r="1116" spans="1:16" ht="13.15" x14ac:dyDescent="0.4">
      <c r="A1116" s="2" t="s">
        <v>11642</v>
      </c>
      <c r="B1116" s="2" t="s">
        <v>5885</v>
      </c>
      <c r="C1116" s="6" t="s">
        <v>5879</v>
      </c>
      <c r="D1116" s="6" t="s">
        <v>42</v>
      </c>
      <c r="E1116" s="7">
        <v>44927</v>
      </c>
      <c r="F1116" s="8" t="s">
        <v>77</v>
      </c>
      <c r="G1116" s="2" t="s">
        <v>26</v>
      </c>
      <c r="H1116" s="8" t="s">
        <v>28</v>
      </c>
      <c r="I1116" s="2" t="s">
        <v>26</v>
      </c>
      <c r="J1116" s="7">
        <v>44927</v>
      </c>
      <c r="K1116" s="8" t="s">
        <v>77</v>
      </c>
      <c r="L1116" s="2" t="s">
        <v>26</v>
      </c>
      <c r="M1116" s="8" t="s">
        <v>28</v>
      </c>
      <c r="N1116" s="6" t="s">
        <v>2264</v>
      </c>
      <c r="O1116" s="6" t="s">
        <v>30</v>
      </c>
      <c r="P1116" s="2" t="s">
        <v>12496</v>
      </c>
    </row>
    <row r="1117" spans="1:16" ht="13.15" x14ac:dyDescent="0.4">
      <c r="A1117" s="2" t="s">
        <v>11614</v>
      </c>
      <c r="B1117" s="2" t="s">
        <v>5885</v>
      </c>
      <c r="C1117" s="6" t="s">
        <v>5879</v>
      </c>
      <c r="D1117" s="6" t="s">
        <v>42</v>
      </c>
      <c r="E1117" s="7">
        <v>44927</v>
      </c>
      <c r="F1117" s="8" t="s">
        <v>77</v>
      </c>
      <c r="G1117" s="2" t="s">
        <v>26</v>
      </c>
      <c r="H1117" s="8" t="s">
        <v>28</v>
      </c>
      <c r="I1117" s="2" t="s">
        <v>26</v>
      </c>
      <c r="J1117" s="7">
        <v>44927</v>
      </c>
      <c r="K1117" s="8" t="s">
        <v>77</v>
      </c>
      <c r="L1117" s="2" t="s">
        <v>26</v>
      </c>
      <c r="M1117" s="8" t="s">
        <v>28</v>
      </c>
      <c r="N1117" s="6" t="s">
        <v>2264</v>
      </c>
      <c r="O1117" s="6" t="s">
        <v>30</v>
      </c>
      <c r="P1117" s="2" t="s">
        <v>12497</v>
      </c>
    </row>
    <row r="1118" spans="1:16" ht="13.15" x14ac:dyDescent="0.4">
      <c r="A1118" s="2" t="s">
        <v>11600</v>
      </c>
      <c r="B1118" s="2" t="s">
        <v>5885</v>
      </c>
      <c r="C1118" s="6" t="s">
        <v>5879</v>
      </c>
      <c r="D1118" s="6" t="s">
        <v>42</v>
      </c>
      <c r="E1118" s="7">
        <v>44927</v>
      </c>
      <c r="F1118" s="8" t="s">
        <v>77</v>
      </c>
      <c r="G1118" s="2" t="s">
        <v>26</v>
      </c>
      <c r="H1118" s="8" t="s">
        <v>28</v>
      </c>
      <c r="I1118" s="2" t="s">
        <v>26</v>
      </c>
      <c r="J1118" s="7">
        <v>44927</v>
      </c>
      <c r="K1118" s="8" t="s">
        <v>77</v>
      </c>
      <c r="L1118" s="2" t="s">
        <v>26</v>
      </c>
      <c r="M1118" s="8" t="s">
        <v>28</v>
      </c>
      <c r="N1118" s="6" t="s">
        <v>2264</v>
      </c>
      <c r="O1118" s="6" t="s">
        <v>30</v>
      </c>
      <c r="P1118" s="2" t="s">
        <v>12498</v>
      </c>
    </row>
    <row r="1119" spans="1:16" ht="13.15" x14ac:dyDescent="0.4">
      <c r="A1119" s="2" t="s">
        <v>11666</v>
      </c>
      <c r="B1119" s="2" t="s">
        <v>5885</v>
      </c>
      <c r="C1119" s="6" t="s">
        <v>5879</v>
      </c>
      <c r="D1119" s="6" t="s">
        <v>42</v>
      </c>
      <c r="E1119" s="7">
        <v>44927</v>
      </c>
      <c r="F1119" s="8" t="s">
        <v>77</v>
      </c>
      <c r="G1119" s="2" t="s">
        <v>26</v>
      </c>
      <c r="H1119" s="8" t="s">
        <v>28</v>
      </c>
      <c r="I1119" s="2" t="s">
        <v>26</v>
      </c>
      <c r="J1119" s="7">
        <v>44927</v>
      </c>
      <c r="K1119" s="8" t="s">
        <v>77</v>
      </c>
      <c r="L1119" s="2" t="s">
        <v>26</v>
      </c>
      <c r="M1119" s="8" t="s">
        <v>28</v>
      </c>
      <c r="N1119" s="6" t="s">
        <v>2264</v>
      </c>
      <c r="O1119" s="6" t="s">
        <v>30</v>
      </c>
      <c r="P1119" s="2" t="s">
        <v>12499</v>
      </c>
    </row>
    <row r="1120" spans="1:16" ht="13.15" x14ac:dyDescent="0.4">
      <c r="A1120" s="2" t="s">
        <v>11668</v>
      </c>
      <c r="B1120" s="2" t="s">
        <v>5885</v>
      </c>
      <c r="C1120" s="6" t="s">
        <v>5879</v>
      </c>
      <c r="D1120" s="6" t="s">
        <v>42</v>
      </c>
      <c r="E1120" s="7">
        <v>44927</v>
      </c>
      <c r="F1120" s="8" t="s">
        <v>77</v>
      </c>
      <c r="G1120" s="2" t="s">
        <v>26</v>
      </c>
      <c r="H1120" s="8" t="s">
        <v>28</v>
      </c>
      <c r="I1120" s="2" t="s">
        <v>26</v>
      </c>
      <c r="J1120" s="7">
        <v>44927</v>
      </c>
      <c r="K1120" s="8" t="s">
        <v>77</v>
      </c>
      <c r="L1120" s="2" t="s">
        <v>26</v>
      </c>
      <c r="M1120" s="8" t="s">
        <v>28</v>
      </c>
      <c r="N1120" s="6" t="s">
        <v>2264</v>
      </c>
      <c r="O1120" s="6" t="s">
        <v>30</v>
      </c>
      <c r="P1120" s="2" t="s">
        <v>12500</v>
      </c>
    </row>
    <row r="1121" spans="1:16" ht="13.15" x14ac:dyDescent="0.4">
      <c r="A1121" s="2" t="s">
        <v>11605</v>
      </c>
      <c r="B1121" s="2" t="s">
        <v>5885</v>
      </c>
      <c r="C1121" s="6" t="s">
        <v>5879</v>
      </c>
      <c r="D1121" s="6" t="s">
        <v>42</v>
      </c>
      <c r="E1121" s="7">
        <v>44927</v>
      </c>
      <c r="F1121" s="8" t="s">
        <v>77</v>
      </c>
      <c r="G1121" s="2" t="s">
        <v>26</v>
      </c>
      <c r="H1121" s="8" t="s">
        <v>28</v>
      </c>
      <c r="I1121" s="2" t="s">
        <v>26</v>
      </c>
      <c r="J1121" s="7">
        <v>44927</v>
      </c>
      <c r="K1121" s="8" t="s">
        <v>77</v>
      </c>
      <c r="L1121" s="2" t="s">
        <v>26</v>
      </c>
      <c r="M1121" s="8" t="s">
        <v>28</v>
      </c>
      <c r="N1121" s="6" t="s">
        <v>2264</v>
      </c>
      <c r="O1121" s="6" t="s">
        <v>30</v>
      </c>
      <c r="P1121" s="2" t="s">
        <v>12501</v>
      </c>
    </row>
    <row r="1122" spans="1:16" ht="13.15" x14ac:dyDescent="0.4">
      <c r="A1122" s="2" t="s">
        <v>11637</v>
      </c>
      <c r="B1122" s="2" t="s">
        <v>5885</v>
      </c>
      <c r="C1122" s="6" t="s">
        <v>5879</v>
      </c>
      <c r="D1122" s="6" t="s">
        <v>42</v>
      </c>
      <c r="E1122" s="7">
        <v>44927</v>
      </c>
      <c r="F1122" s="8" t="s">
        <v>77</v>
      </c>
      <c r="G1122" s="2" t="s">
        <v>26</v>
      </c>
      <c r="H1122" s="8" t="s">
        <v>28</v>
      </c>
      <c r="I1122" s="2" t="s">
        <v>26</v>
      </c>
      <c r="J1122" s="7">
        <v>44927</v>
      </c>
      <c r="K1122" s="8" t="s">
        <v>77</v>
      </c>
      <c r="L1122" s="2" t="s">
        <v>26</v>
      </c>
      <c r="M1122" s="8" t="s">
        <v>28</v>
      </c>
      <c r="N1122" s="6" t="s">
        <v>2264</v>
      </c>
      <c r="O1122" s="6" t="s">
        <v>30</v>
      </c>
      <c r="P1122" s="2" t="s">
        <v>12502</v>
      </c>
    </row>
    <row r="1123" spans="1:16" ht="13.15" x14ac:dyDescent="0.4">
      <c r="A1123" s="2" t="s">
        <v>11727</v>
      </c>
      <c r="B1123" s="2" t="s">
        <v>5885</v>
      </c>
      <c r="C1123" s="6" t="s">
        <v>5879</v>
      </c>
      <c r="D1123" s="6" t="s">
        <v>42</v>
      </c>
      <c r="E1123" s="7">
        <v>44927</v>
      </c>
      <c r="F1123" s="8" t="s">
        <v>77</v>
      </c>
      <c r="G1123" s="2" t="s">
        <v>26</v>
      </c>
      <c r="H1123" s="8" t="s">
        <v>28</v>
      </c>
      <c r="I1123" s="2" t="s">
        <v>26</v>
      </c>
      <c r="J1123" s="7">
        <v>44927</v>
      </c>
      <c r="K1123" s="8" t="s">
        <v>77</v>
      </c>
      <c r="L1123" s="2" t="s">
        <v>26</v>
      </c>
      <c r="M1123" s="8" t="s">
        <v>28</v>
      </c>
      <c r="N1123" s="6" t="s">
        <v>2264</v>
      </c>
      <c r="O1123" s="6" t="s">
        <v>30</v>
      </c>
      <c r="P1123" s="2" t="s">
        <v>12503</v>
      </c>
    </row>
    <row r="1124" spans="1:16" ht="13.15" x14ac:dyDescent="0.4">
      <c r="A1124" s="2" t="s">
        <v>11599</v>
      </c>
      <c r="B1124" s="2" t="s">
        <v>5885</v>
      </c>
      <c r="C1124" s="6" t="s">
        <v>5879</v>
      </c>
      <c r="D1124" s="6" t="s">
        <v>42</v>
      </c>
      <c r="E1124" s="7">
        <v>44927</v>
      </c>
      <c r="F1124" s="8" t="s">
        <v>77</v>
      </c>
      <c r="G1124" s="2" t="s">
        <v>26</v>
      </c>
      <c r="H1124" s="8" t="s">
        <v>28</v>
      </c>
      <c r="I1124" s="2" t="s">
        <v>26</v>
      </c>
      <c r="J1124" s="7">
        <v>44927</v>
      </c>
      <c r="K1124" s="8" t="s">
        <v>77</v>
      </c>
      <c r="L1124" s="2" t="s">
        <v>26</v>
      </c>
      <c r="M1124" s="8" t="s">
        <v>28</v>
      </c>
      <c r="N1124" s="6" t="s">
        <v>2264</v>
      </c>
      <c r="O1124" s="6" t="s">
        <v>30</v>
      </c>
      <c r="P1124" s="2" t="s">
        <v>12504</v>
      </c>
    </row>
    <row r="1125" spans="1:16" ht="13.15" x14ac:dyDescent="0.4">
      <c r="A1125" s="2" t="s">
        <v>11609</v>
      </c>
      <c r="B1125" s="2" t="s">
        <v>5885</v>
      </c>
      <c r="C1125" s="6" t="s">
        <v>5879</v>
      </c>
      <c r="D1125" s="6" t="s">
        <v>42</v>
      </c>
      <c r="E1125" s="7">
        <v>44927</v>
      </c>
      <c r="F1125" s="8" t="s">
        <v>77</v>
      </c>
      <c r="G1125" s="2" t="s">
        <v>26</v>
      </c>
      <c r="H1125" s="8" t="s">
        <v>28</v>
      </c>
      <c r="I1125" s="2" t="s">
        <v>26</v>
      </c>
      <c r="J1125" s="7">
        <v>44927</v>
      </c>
      <c r="K1125" s="8" t="s">
        <v>77</v>
      </c>
      <c r="L1125" s="2" t="s">
        <v>26</v>
      </c>
      <c r="M1125" s="8" t="s">
        <v>28</v>
      </c>
      <c r="N1125" s="6" t="s">
        <v>2264</v>
      </c>
      <c r="O1125" s="6" t="s">
        <v>30</v>
      </c>
      <c r="P1125" s="2" t="s">
        <v>12505</v>
      </c>
    </row>
    <row r="1126" spans="1:16" ht="13.15" x14ac:dyDescent="0.4">
      <c r="A1126" s="2" t="s">
        <v>11767</v>
      </c>
      <c r="B1126" s="2" t="s">
        <v>5885</v>
      </c>
      <c r="C1126" s="6" t="s">
        <v>5879</v>
      </c>
      <c r="D1126" s="6" t="s">
        <v>42</v>
      </c>
      <c r="E1126" s="7">
        <v>44927</v>
      </c>
      <c r="F1126" s="8" t="s">
        <v>77</v>
      </c>
      <c r="G1126" s="2" t="s">
        <v>26</v>
      </c>
      <c r="H1126" s="8" t="s">
        <v>28</v>
      </c>
      <c r="I1126" s="2" t="s">
        <v>26</v>
      </c>
      <c r="J1126" s="7">
        <v>44927</v>
      </c>
      <c r="K1126" s="8" t="s">
        <v>77</v>
      </c>
      <c r="L1126" s="2" t="s">
        <v>26</v>
      </c>
      <c r="M1126" s="8" t="s">
        <v>28</v>
      </c>
      <c r="N1126" s="6" t="s">
        <v>2264</v>
      </c>
      <c r="O1126" s="6" t="s">
        <v>30</v>
      </c>
      <c r="P1126" s="2" t="s">
        <v>12506</v>
      </c>
    </row>
    <row r="1127" spans="1:16" ht="13.15" x14ac:dyDescent="0.4">
      <c r="A1127" s="2" t="s">
        <v>11706</v>
      </c>
      <c r="B1127" s="2" t="s">
        <v>5885</v>
      </c>
      <c r="C1127" s="6" t="s">
        <v>5879</v>
      </c>
      <c r="D1127" s="6" t="s">
        <v>42</v>
      </c>
      <c r="E1127" s="7">
        <v>44927</v>
      </c>
      <c r="F1127" s="8" t="s">
        <v>77</v>
      </c>
      <c r="G1127" s="2" t="s">
        <v>26</v>
      </c>
      <c r="H1127" s="8" t="s">
        <v>28</v>
      </c>
      <c r="I1127" s="2" t="s">
        <v>26</v>
      </c>
      <c r="J1127" s="7">
        <v>44927</v>
      </c>
      <c r="K1127" s="8" t="s">
        <v>77</v>
      </c>
      <c r="L1127" s="2" t="s">
        <v>26</v>
      </c>
      <c r="M1127" s="8" t="s">
        <v>28</v>
      </c>
      <c r="N1127" s="6" t="s">
        <v>2264</v>
      </c>
      <c r="O1127" s="6" t="s">
        <v>30</v>
      </c>
      <c r="P1127" s="2" t="s">
        <v>12507</v>
      </c>
    </row>
    <row r="1128" spans="1:16" ht="13.15" x14ac:dyDescent="0.4">
      <c r="A1128" s="2" t="s">
        <v>11655</v>
      </c>
      <c r="B1128" s="2" t="s">
        <v>5885</v>
      </c>
      <c r="C1128" s="6" t="s">
        <v>5879</v>
      </c>
      <c r="D1128" s="6" t="s">
        <v>42</v>
      </c>
      <c r="E1128" s="7">
        <v>44927</v>
      </c>
      <c r="F1128" s="8" t="s">
        <v>77</v>
      </c>
      <c r="G1128" s="2" t="s">
        <v>26</v>
      </c>
      <c r="H1128" s="8" t="s">
        <v>28</v>
      </c>
      <c r="I1128" s="2" t="s">
        <v>26</v>
      </c>
      <c r="J1128" s="7">
        <v>44927</v>
      </c>
      <c r="K1128" s="8" t="s">
        <v>77</v>
      </c>
      <c r="L1128" s="2" t="s">
        <v>26</v>
      </c>
      <c r="M1128" s="8" t="s">
        <v>28</v>
      </c>
      <c r="N1128" s="6" t="s">
        <v>2264</v>
      </c>
      <c r="O1128" s="6" t="s">
        <v>30</v>
      </c>
      <c r="P1128" s="2" t="s">
        <v>12508</v>
      </c>
    </row>
    <row r="1129" spans="1:16" ht="13.15" x14ac:dyDescent="0.4">
      <c r="A1129" s="2" t="s">
        <v>11689</v>
      </c>
      <c r="B1129" s="2" t="s">
        <v>5885</v>
      </c>
      <c r="C1129" s="6" t="s">
        <v>5879</v>
      </c>
      <c r="D1129" s="6" t="s">
        <v>42</v>
      </c>
      <c r="E1129" s="7">
        <v>44927</v>
      </c>
      <c r="F1129" s="8" t="s">
        <v>77</v>
      </c>
      <c r="G1129" s="2" t="s">
        <v>26</v>
      </c>
      <c r="H1129" s="8" t="s">
        <v>28</v>
      </c>
      <c r="I1129" s="2" t="s">
        <v>26</v>
      </c>
      <c r="J1129" s="7">
        <v>44927</v>
      </c>
      <c r="K1129" s="8" t="s">
        <v>77</v>
      </c>
      <c r="L1129" s="2" t="s">
        <v>26</v>
      </c>
      <c r="M1129" s="8" t="s">
        <v>28</v>
      </c>
      <c r="N1129" s="6" t="s">
        <v>2264</v>
      </c>
      <c r="O1129" s="6" t="s">
        <v>30</v>
      </c>
      <c r="P1129" s="2" t="s">
        <v>12509</v>
      </c>
    </row>
    <row r="1130" spans="1:16" ht="13.15" x14ac:dyDescent="0.4">
      <c r="A1130" s="2" t="s">
        <v>11607</v>
      </c>
      <c r="B1130" s="2" t="s">
        <v>5885</v>
      </c>
      <c r="C1130" s="6" t="s">
        <v>5879</v>
      </c>
      <c r="D1130" s="6" t="s">
        <v>42</v>
      </c>
      <c r="E1130" s="7">
        <v>44927</v>
      </c>
      <c r="F1130" s="8" t="s">
        <v>77</v>
      </c>
      <c r="G1130" s="2" t="s">
        <v>26</v>
      </c>
      <c r="H1130" s="8" t="s">
        <v>28</v>
      </c>
      <c r="I1130" s="2" t="s">
        <v>26</v>
      </c>
      <c r="J1130" s="7">
        <v>44927</v>
      </c>
      <c r="K1130" s="8" t="s">
        <v>77</v>
      </c>
      <c r="L1130" s="2" t="s">
        <v>26</v>
      </c>
      <c r="M1130" s="8" t="s">
        <v>28</v>
      </c>
      <c r="N1130" s="6" t="s">
        <v>2264</v>
      </c>
      <c r="O1130" s="6" t="s">
        <v>30</v>
      </c>
      <c r="P1130" s="2" t="s">
        <v>12510</v>
      </c>
    </row>
    <row r="1131" spans="1:16" ht="13.15" x14ac:dyDescent="0.4">
      <c r="A1131" s="2" t="s">
        <v>11766</v>
      </c>
      <c r="B1131" s="2" t="s">
        <v>5885</v>
      </c>
      <c r="C1131" s="6" t="s">
        <v>5879</v>
      </c>
      <c r="D1131" s="6" t="s">
        <v>42</v>
      </c>
      <c r="E1131" s="7">
        <v>44927</v>
      </c>
      <c r="F1131" s="8" t="s">
        <v>77</v>
      </c>
      <c r="G1131" s="2" t="s">
        <v>26</v>
      </c>
      <c r="H1131" s="8" t="s">
        <v>28</v>
      </c>
      <c r="I1131" s="2" t="s">
        <v>26</v>
      </c>
      <c r="J1131" s="7">
        <v>44927</v>
      </c>
      <c r="K1131" s="8" t="s">
        <v>77</v>
      </c>
      <c r="L1131" s="2" t="s">
        <v>26</v>
      </c>
      <c r="M1131" s="8" t="s">
        <v>28</v>
      </c>
      <c r="N1131" s="6" t="s">
        <v>2264</v>
      </c>
      <c r="O1131" s="6" t="s">
        <v>30</v>
      </c>
      <c r="P1131" s="2" t="s">
        <v>12511</v>
      </c>
    </row>
    <row r="1132" spans="1:16" ht="13.15" x14ac:dyDescent="0.4">
      <c r="A1132" s="2" t="s">
        <v>11660</v>
      </c>
      <c r="B1132" s="2" t="s">
        <v>5885</v>
      </c>
      <c r="C1132" s="6" t="s">
        <v>5879</v>
      </c>
      <c r="D1132" s="6" t="s">
        <v>42</v>
      </c>
      <c r="E1132" s="7">
        <v>44927</v>
      </c>
      <c r="F1132" s="8" t="s">
        <v>77</v>
      </c>
      <c r="G1132" s="2" t="s">
        <v>26</v>
      </c>
      <c r="H1132" s="8" t="s">
        <v>28</v>
      </c>
      <c r="I1132" s="2" t="s">
        <v>26</v>
      </c>
      <c r="J1132" s="7">
        <v>44927</v>
      </c>
      <c r="K1132" s="8" t="s">
        <v>77</v>
      </c>
      <c r="L1132" s="2" t="s">
        <v>26</v>
      </c>
      <c r="M1132" s="8" t="s">
        <v>28</v>
      </c>
      <c r="N1132" s="6" t="s">
        <v>2264</v>
      </c>
      <c r="O1132" s="6" t="s">
        <v>30</v>
      </c>
      <c r="P1132" s="2" t="s">
        <v>12512</v>
      </c>
    </row>
    <row r="1133" spans="1:16" ht="13.15" x14ac:dyDescent="0.4">
      <c r="A1133" s="2" t="s">
        <v>11640</v>
      </c>
      <c r="B1133" s="2" t="s">
        <v>5885</v>
      </c>
      <c r="C1133" s="6" t="s">
        <v>5879</v>
      </c>
      <c r="D1133" s="6" t="s">
        <v>42</v>
      </c>
      <c r="E1133" s="7">
        <v>44927</v>
      </c>
      <c r="F1133" s="8" t="s">
        <v>77</v>
      </c>
      <c r="G1133" s="2" t="s">
        <v>26</v>
      </c>
      <c r="H1133" s="8" t="s">
        <v>28</v>
      </c>
      <c r="I1133" s="2" t="s">
        <v>26</v>
      </c>
      <c r="J1133" s="7">
        <v>44927</v>
      </c>
      <c r="K1133" s="8" t="s">
        <v>77</v>
      </c>
      <c r="L1133" s="2" t="s">
        <v>26</v>
      </c>
      <c r="M1133" s="8" t="s">
        <v>28</v>
      </c>
      <c r="N1133" s="6" t="s">
        <v>2264</v>
      </c>
      <c r="O1133" s="6" t="s">
        <v>30</v>
      </c>
      <c r="P1133" s="2" t="s">
        <v>12513</v>
      </c>
    </row>
    <row r="1134" spans="1:16" ht="13.15" x14ac:dyDescent="0.4">
      <c r="A1134" s="2" t="s">
        <v>11555</v>
      </c>
      <c r="B1134" s="2" t="s">
        <v>5885</v>
      </c>
      <c r="C1134" s="6" t="s">
        <v>5879</v>
      </c>
      <c r="D1134" s="6" t="s">
        <v>42</v>
      </c>
      <c r="E1134" s="7">
        <v>44927</v>
      </c>
      <c r="F1134" s="8" t="s">
        <v>77</v>
      </c>
      <c r="G1134" s="2" t="s">
        <v>26</v>
      </c>
      <c r="H1134" s="8" t="s">
        <v>28</v>
      </c>
      <c r="I1134" s="2" t="s">
        <v>26</v>
      </c>
      <c r="J1134" s="7">
        <v>44927</v>
      </c>
      <c r="K1134" s="8" t="s">
        <v>77</v>
      </c>
      <c r="L1134" s="2" t="s">
        <v>26</v>
      </c>
      <c r="M1134" s="8" t="s">
        <v>28</v>
      </c>
      <c r="N1134" s="6" t="s">
        <v>2264</v>
      </c>
      <c r="O1134" s="6" t="s">
        <v>30</v>
      </c>
      <c r="P1134" s="2" t="s">
        <v>12514</v>
      </c>
    </row>
    <row r="1135" spans="1:16" ht="13.15" x14ac:dyDescent="0.4">
      <c r="A1135" s="2" t="s">
        <v>11681</v>
      </c>
      <c r="B1135" s="2" t="s">
        <v>5885</v>
      </c>
      <c r="C1135" s="6" t="s">
        <v>5879</v>
      </c>
      <c r="D1135" s="6" t="s">
        <v>42</v>
      </c>
      <c r="E1135" s="7">
        <v>44927</v>
      </c>
      <c r="F1135" s="8" t="s">
        <v>77</v>
      </c>
      <c r="G1135" s="2" t="s">
        <v>26</v>
      </c>
      <c r="H1135" s="8" t="s">
        <v>28</v>
      </c>
      <c r="I1135" s="2" t="s">
        <v>26</v>
      </c>
      <c r="J1135" s="7">
        <v>44927</v>
      </c>
      <c r="K1135" s="8" t="s">
        <v>77</v>
      </c>
      <c r="L1135" s="2" t="s">
        <v>26</v>
      </c>
      <c r="M1135" s="8" t="s">
        <v>28</v>
      </c>
      <c r="N1135" s="6" t="s">
        <v>2264</v>
      </c>
      <c r="O1135" s="6" t="s">
        <v>30</v>
      </c>
      <c r="P1135" s="2" t="s">
        <v>12515</v>
      </c>
    </row>
    <row r="1136" spans="1:16" ht="13.15" x14ac:dyDescent="0.4">
      <c r="A1136" s="2" t="s">
        <v>11697</v>
      </c>
      <c r="B1136" s="2" t="s">
        <v>5885</v>
      </c>
      <c r="C1136" s="6" t="s">
        <v>5879</v>
      </c>
      <c r="D1136" s="6" t="s">
        <v>42</v>
      </c>
      <c r="E1136" s="7">
        <v>44927</v>
      </c>
      <c r="F1136" s="8" t="s">
        <v>77</v>
      </c>
      <c r="G1136" s="2" t="s">
        <v>26</v>
      </c>
      <c r="H1136" s="8" t="s">
        <v>28</v>
      </c>
      <c r="I1136" s="2" t="s">
        <v>26</v>
      </c>
      <c r="J1136" s="7">
        <v>44927</v>
      </c>
      <c r="K1136" s="8" t="s">
        <v>77</v>
      </c>
      <c r="L1136" s="2" t="s">
        <v>26</v>
      </c>
      <c r="M1136" s="8" t="s">
        <v>28</v>
      </c>
      <c r="N1136" s="6" t="s">
        <v>2264</v>
      </c>
      <c r="O1136" s="6" t="s">
        <v>30</v>
      </c>
      <c r="P1136" s="2" t="s">
        <v>12516</v>
      </c>
    </row>
    <row r="1137" spans="1:16" ht="13.15" x14ac:dyDescent="0.4">
      <c r="A1137" s="2" t="s">
        <v>11690</v>
      </c>
      <c r="B1137" s="2" t="s">
        <v>5885</v>
      </c>
      <c r="C1137" s="6" t="s">
        <v>5879</v>
      </c>
      <c r="D1137" s="6" t="s">
        <v>42</v>
      </c>
      <c r="E1137" s="7">
        <v>44927</v>
      </c>
      <c r="F1137" s="8" t="s">
        <v>77</v>
      </c>
      <c r="G1137" s="2" t="s">
        <v>26</v>
      </c>
      <c r="H1137" s="8" t="s">
        <v>28</v>
      </c>
      <c r="I1137" s="2" t="s">
        <v>26</v>
      </c>
      <c r="J1137" s="7">
        <v>44927</v>
      </c>
      <c r="K1137" s="8" t="s">
        <v>77</v>
      </c>
      <c r="L1137" s="2" t="s">
        <v>26</v>
      </c>
      <c r="M1137" s="8" t="s">
        <v>28</v>
      </c>
      <c r="N1137" s="6" t="s">
        <v>2264</v>
      </c>
      <c r="O1137" s="6" t="s">
        <v>30</v>
      </c>
      <c r="P1137" s="2" t="s">
        <v>12517</v>
      </c>
    </row>
    <row r="1138" spans="1:16" ht="13.15" x14ac:dyDescent="0.4">
      <c r="A1138" s="2" t="s">
        <v>11606</v>
      </c>
      <c r="B1138" s="2" t="s">
        <v>5885</v>
      </c>
      <c r="C1138" s="6" t="s">
        <v>5879</v>
      </c>
      <c r="D1138" s="6" t="s">
        <v>42</v>
      </c>
      <c r="E1138" s="7">
        <v>44927</v>
      </c>
      <c r="F1138" s="8" t="s">
        <v>77</v>
      </c>
      <c r="G1138" s="2" t="s">
        <v>26</v>
      </c>
      <c r="H1138" s="8" t="s">
        <v>28</v>
      </c>
      <c r="I1138" s="2" t="s">
        <v>26</v>
      </c>
      <c r="J1138" s="7">
        <v>44927</v>
      </c>
      <c r="K1138" s="8" t="s">
        <v>77</v>
      </c>
      <c r="L1138" s="2" t="s">
        <v>26</v>
      </c>
      <c r="M1138" s="8" t="s">
        <v>28</v>
      </c>
      <c r="N1138" s="6" t="s">
        <v>2264</v>
      </c>
      <c r="O1138" s="6" t="s">
        <v>30</v>
      </c>
      <c r="P1138" s="2" t="s">
        <v>12518</v>
      </c>
    </row>
    <row r="1139" spans="1:16" ht="13.15" x14ac:dyDescent="0.4">
      <c r="A1139" s="2" t="s">
        <v>11651</v>
      </c>
      <c r="B1139" s="2" t="s">
        <v>5885</v>
      </c>
      <c r="C1139" s="6" t="s">
        <v>5879</v>
      </c>
      <c r="D1139" s="6" t="s">
        <v>42</v>
      </c>
      <c r="E1139" s="7">
        <v>44927</v>
      </c>
      <c r="F1139" s="8" t="s">
        <v>77</v>
      </c>
      <c r="G1139" s="2" t="s">
        <v>26</v>
      </c>
      <c r="H1139" s="8" t="s">
        <v>28</v>
      </c>
      <c r="I1139" s="2" t="s">
        <v>26</v>
      </c>
      <c r="J1139" s="7">
        <v>44927</v>
      </c>
      <c r="K1139" s="8" t="s">
        <v>77</v>
      </c>
      <c r="L1139" s="2" t="s">
        <v>26</v>
      </c>
      <c r="M1139" s="8" t="s">
        <v>28</v>
      </c>
      <c r="N1139" s="6" t="s">
        <v>2264</v>
      </c>
      <c r="O1139" s="6" t="s">
        <v>30</v>
      </c>
      <c r="P1139" s="2" t="s">
        <v>12519</v>
      </c>
    </row>
    <row r="1140" spans="1:16" ht="13.15" x14ac:dyDescent="0.4">
      <c r="A1140" s="2" t="s">
        <v>11631</v>
      </c>
      <c r="B1140" s="2" t="s">
        <v>5885</v>
      </c>
      <c r="C1140" s="6" t="s">
        <v>5879</v>
      </c>
      <c r="D1140" s="6" t="s">
        <v>42</v>
      </c>
      <c r="E1140" s="7">
        <v>44927</v>
      </c>
      <c r="F1140" s="8" t="s">
        <v>77</v>
      </c>
      <c r="G1140" s="2" t="s">
        <v>26</v>
      </c>
      <c r="H1140" s="8" t="s">
        <v>28</v>
      </c>
      <c r="I1140" s="2" t="s">
        <v>26</v>
      </c>
      <c r="J1140" s="7">
        <v>44927</v>
      </c>
      <c r="K1140" s="8" t="s">
        <v>77</v>
      </c>
      <c r="L1140" s="2" t="s">
        <v>26</v>
      </c>
      <c r="M1140" s="8" t="s">
        <v>28</v>
      </c>
      <c r="N1140" s="6" t="s">
        <v>2264</v>
      </c>
      <c r="O1140" s="6" t="s">
        <v>30</v>
      </c>
      <c r="P1140" s="2" t="s">
        <v>12520</v>
      </c>
    </row>
    <row r="1141" spans="1:16" ht="13.15" x14ac:dyDescent="0.4">
      <c r="A1141" s="2" t="s">
        <v>11733</v>
      </c>
      <c r="B1141" s="2" t="s">
        <v>5885</v>
      </c>
      <c r="C1141" s="6" t="s">
        <v>5879</v>
      </c>
      <c r="D1141" s="6" t="s">
        <v>42</v>
      </c>
      <c r="E1141" s="7">
        <v>44927</v>
      </c>
      <c r="F1141" s="8" t="s">
        <v>77</v>
      </c>
      <c r="G1141" s="2" t="s">
        <v>26</v>
      </c>
      <c r="H1141" s="8" t="s">
        <v>28</v>
      </c>
      <c r="I1141" s="2" t="s">
        <v>26</v>
      </c>
      <c r="J1141" s="7">
        <v>44927</v>
      </c>
      <c r="K1141" s="8" t="s">
        <v>77</v>
      </c>
      <c r="L1141" s="2" t="s">
        <v>26</v>
      </c>
      <c r="M1141" s="8" t="s">
        <v>28</v>
      </c>
      <c r="N1141" s="6" t="s">
        <v>2264</v>
      </c>
      <c r="O1141" s="6" t="s">
        <v>30</v>
      </c>
      <c r="P1141" s="2" t="s">
        <v>12521</v>
      </c>
    </row>
    <row r="1142" spans="1:16" ht="13.15" x14ac:dyDescent="0.4">
      <c r="A1142" s="2" t="s">
        <v>11569</v>
      </c>
      <c r="B1142" s="2" t="s">
        <v>5885</v>
      </c>
      <c r="C1142" s="6" t="s">
        <v>5879</v>
      </c>
      <c r="D1142" s="6" t="s">
        <v>42</v>
      </c>
      <c r="E1142" s="7">
        <v>44927</v>
      </c>
      <c r="F1142" s="8" t="s">
        <v>77</v>
      </c>
      <c r="G1142" s="2" t="s">
        <v>26</v>
      </c>
      <c r="H1142" s="8" t="s">
        <v>28</v>
      </c>
      <c r="I1142" s="2" t="s">
        <v>26</v>
      </c>
      <c r="J1142" s="7">
        <v>44927</v>
      </c>
      <c r="K1142" s="8" t="s">
        <v>77</v>
      </c>
      <c r="L1142" s="2" t="s">
        <v>26</v>
      </c>
      <c r="M1142" s="8" t="s">
        <v>28</v>
      </c>
      <c r="N1142" s="6" t="s">
        <v>2264</v>
      </c>
      <c r="O1142" s="6" t="s">
        <v>30</v>
      </c>
      <c r="P1142" s="2" t="s">
        <v>12522</v>
      </c>
    </row>
    <row r="1143" spans="1:16" ht="13.15" x14ac:dyDescent="0.4">
      <c r="A1143" s="2" t="s">
        <v>2348</v>
      </c>
      <c r="B1143" s="2" t="s">
        <v>5885</v>
      </c>
      <c r="C1143" s="6" t="s">
        <v>5879</v>
      </c>
      <c r="D1143" s="6" t="s">
        <v>42</v>
      </c>
      <c r="E1143" s="7">
        <v>44927</v>
      </c>
      <c r="F1143" s="8" t="s">
        <v>77</v>
      </c>
      <c r="G1143" s="2" t="s">
        <v>26</v>
      </c>
      <c r="H1143" s="8" t="s">
        <v>28</v>
      </c>
      <c r="I1143" s="2" t="s">
        <v>26</v>
      </c>
      <c r="J1143" s="7">
        <v>44927</v>
      </c>
      <c r="K1143" s="8" t="s">
        <v>77</v>
      </c>
      <c r="L1143" s="2" t="s">
        <v>26</v>
      </c>
      <c r="M1143" s="8" t="s">
        <v>28</v>
      </c>
      <c r="N1143" s="6" t="s">
        <v>2264</v>
      </c>
      <c r="O1143" s="6" t="s">
        <v>30</v>
      </c>
      <c r="P1143" s="2" t="s">
        <v>12523</v>
      </c>
    </row>
    <row r="1144" spans="1:16" ht="13.15" x14ac:dyDescent="0.4">
      <c r="A1144" s="2" t="s">
        <v>11685</v>
      </c>
      <c r="B1144" s="2" t="s">
        <v>5885</v>
      </c>
      <c r="C1144" s="6" t="s">
        <v>5879</v>
      </c>
      <c r="D1144" s="6" t="s">
        <v>42</v>
      </c>
      <c r="E1144" s="7">
        <v>44927</v>
      </c>
      <c r="F1144" s="8" t="s">
        <v>77</v>
      </c>
      <c r="G1144" s="2" t="s">
        <v>26</v>
      </c>
      <c r="H1144" s="8" t="s">
        <v>28</v>
      </c>
      <c r="I1144" s="2" t="s">
        <v>26</v>
      </c>
      <c r="J1144" s="7">
        <v>44927</v>
      </c>
      <c r="K1144" s="8" t="s">
        <v>77</v>
      </c>
      <c r="L1144" s="2" t="s">
        <v>26</v>
      </c>
      <c r="M1144" s="8" t="s">
        <v>28</v>
      </c>
      <c r="N1144" s="6" t="s">
        <v>2264</v>
      </c>
      <c r="O1144" s="6" t="s">
        <v>30</v>
      </c>
      <c r="P1144" s="2" t="s">
        <v>12524</v>
      </c>
    </row>
    <row r="1145" spans="1:16" ht="13.15" x14ac:dyDescent="0.4">
      <c r="A1145" s="2" t="s">
        <v>11644</v>
      </c>
      <c r="B1145" s="2" t="s">
        <v>5885</v>
      </c>
      <c r="C1145" s="6" t="s">
        <v>5879</v>
      </c>
      <c r="D1145" s="6" t="s">
        <v>42</v>
      </c>
      <c r="E1145" s="7">
        <v>44927</v>
      </c>
      <c r="F1145" s="8" t="s">
        <v>77</v>
      </c>
      <c r="G1145" s="2" t="s">
        <v>26</v>
      </c>
      <c r="H1145" s="8" t="s">
        <v>28</v>
      </c>
      <c r="I1145" s="2" t="s">
        <v>26</v>
      </c>
      <c r="J1145" s="7">
        <v>44927</v>
      </c>
      <c r="K1145" s="8" t="s">
        <v>77</v>
      </c>
      <c r="L1145" s="2" t="s">
        <v>26</v>
      </c>
      <c r="M1145" s="8" t="s">
        <v>28</v>
      </c>
      <c r="N1145" s="6" t="s">
        <v>2264</v>
      </c>
      <c r="O1145" s="6" t="s">
        <v>30</v>
      </c>
      <c r="P1145" s="2" t="s">
        <v>12525</v>
      </c>
    </row>
    <row r="1146" spans="1:16" ht="13.15" x14ac:dyDescent="0.4">
      <c r="A1146" s="2" t="s">
        <v>11620</v>
      </c>
      <c r="B1146" s="2" t="s">
        <v>5885</v>
      </c>
      <c r="C1146" s="6" t="s">
        <v>5879</v>
      </c>
      <c r="D1146" s="6" t="s">
        <v>42</v>
      </c>
      <c r="E1146" s="7">
        <v>44927</v>
      </c>
      <c r="F1146" s="8" t="s">
        <v>77</v>
      </c>
      <c r="G1146" s="2" t="s">
        <v>26</v>
      </c>
      <c r="H1146" s="8" t="s">
        <v>28</v>
      </c>
      <c r="I1146" s="2" t="s">
        <v>26</v>
      </c>
      <c r="J1146" s="7">
        <v>44927</v>
      </c>
      <c r="K1146" s="8" t="s">
        <v>77</v>
      </c>
      <c r="L1146" s="2" t="s">
        <v>26</v>
      </c>
      <c r="M1146" s="8" t="s">
        <v>28</v>
      </c>
      <c r="N1146" s="6" t="s">
        <v>2264</v>
      </c>
      <c r="O1146" s="6" t="s">
        <v>30</v>
      </c>
      <c r="P1146" s="2" t="s">
        <v>12526</v>
      </c>
    </row>
    <row r="1147" spans="1:16" ht="13.15" x14ac:dyDescent="0.4">
      <c r="A1147" s="2" t="s">
        <v>11611</v>
      </c>
      <c r="B1147" s="2" t="s">
        <v>5885</v>
      </c>
      <c r="C1147" s="6" t="s">
        <v>5879</v>
      </c>
      <c r="D1147" s="6" t="s">
        <v>42</v>
      </c>
      <c r="E1147" s="7">
        <v>44927</v>
      </c>
      <c r="F1147" s="8" t="s">
        <v>77</v>
      </c>
      <c r="G1147" s="2" t="s">
        <v>26</v>
      </c>
      <c r="H1147" s="8" t="s">
        <v>28</v>
      </c>
      <c r="I1147" s="2" t="s">
        <v>26</v>
      </c>
      <c r="J1147" s="7">
        <v>44927</v>
      </c>
      <c r="K1147" s="8" t="s">
        <v>77</v>
      </c>
      <c r="L1147" s="2" t="s">
        <v>26</v>
      </c>
      <c r="M1147" s="8" t="s">
        <v>28</v>
      </c>
      <c r="N1147" s="6" t="s">
        <v>2264</v>
      </c>
      <c r="O1147" s="6" t="s">
        <v>30</v>
      </c>
      <c r="P1147" s="2" t="s">
        <v>12527</v>
      </c>
    </row>
    <row r="1148" spans="1:16" ht="13.15" x14ac:dyDescent="0.4">
      <c r="A1148" s="2" t="s">
        <v>11680</v>
      </c>
      <c r="B1148" s="2" t="s">
        <v>5885</v>
      </c>
      <c r="C1148" s="6" t="s">
        <v>5879</v>
      </c>
      <c r="D1148" s="6" t="s">
        <v>42</v>
      </c>
      <c r="E1148" s="7">
        <v>44927</v>
      </c>
      <c r="F1148" s="8" t="s">
        <v>77</v>
      </c>
      <c r="G1148" s="2" t="s">
        <v>26</v>
      </c>
      <c r="H1148" s="8" t="s">
        <v>28</v>
      </c>
      <c r="I1148" s="2" t="s">
        <v>26</v>
      </c>
      <c r="J1148" s="7">
        <v>44927</v>
      </c>
      <c r="K1148" s="8" t="s">
        <v>77</v>
      </c>
      <c r="L1148" s="2" t="s">
        <v>26</v>
      </c>
      <c r="M1148" s="8" t="s">
        <v>28</v>
      </c>
      <c r="N1148" s="6" t="s">
        <v>2264</v>
      </c>
      <c r="O1148" s="6" t="s">
        <v>30</v>
      </c>
      <c r="P1148" s="2" t="s">
        <v>12528</v>
      </c>
    </row>
    <row r="1149" spans="1:16" ht="13.15" x14ac:dyDescent="0.4">
      <c r="A1149" s="2" t="s">
        <v>11623</v>
      </c>
      <c r="B1149" s="2" t="s">
        <v>5885</v>
      </c>
      <c r="C1149" s="6" t="s">
        <v>5879</v>
      </c>
      <c r="D1149" s="6" t="s">
        <v>42</v>
      </c>
      <c r="E1149" s="7">
        <v>44927</v>
      </c>
      <c r="F1149" s="8" t="s">
        <v>77</v>
      </c>
      <c r="G1149" s="2" t="s">
        <v>26</v>
      </c>
      <c r="H1149" s="8" t="s">
        <v>28</v>
      </c>
      <c r="I1149" s="2" t="s">
        <v>26</v>
      </c>
      <c r="J1149" s="7">
        <v>44927</v>
      </c>
      <c r="K1149" s="8" t="s">
        <v>77</v>
      </c>
      <c r="L1149" s="2" t="s">
        <v>26</v>
      </c>
      <c r="M1149" s="8" t="s">
        <v>28</v>
      </c>
      <c r="N1149" s="6" t="s">
        <v>2264</v>
      </c>
      <c r="O1149" s="6" t="s">
        <v>30</v>
      </c>
      <c r="P1149" s="2" t="s">
        <v>12529</v>
      </c>
    </row>
    <row r="1150" spans="1:16" ht="13.15" x14ac:dyDescent="0.4">
      <c r="A1150" s="2" t="s">
        <v>11759</v>
      </c>
      <c r="B1150" s="2" t="s">
        <v>5885</v>
      </c>
      <c r="C1150" s="6" t="s">
        <v>5879</v>
      </c>
      <c r="D1150" s="6" t="s">
        <v>42</v>
      </c>
      <c r="E1150" s="7">
        <v>44927</v>
      </c>
      <c r="F1150" s="8" t="s">
        <v>77</v>
      </c>
      <c r="G1150" s="2" t="s">
        <v>26</v>
      </c>
      <c r="H1150" s="8" t="s">
        <v>28</v>
      </c>
      <c r="I1150" s="2" t="s">
        <v>26</v>
      </c>
      <c r="J1150" s="7">
        <v>44927</v>
      </c>
      <c r="K1150" s="8" t="s">
        <v>77</v>
      </c>
      <c r="L1150" s="2" t="s">
        <v>26</v>
      </c>
      <c r="M1150" s="8" t="s">
        <v>28</v>
      </c>
      <c r="N1150" s="6" t="s">
        <v>2264</v>
      </c>
      <c r="O1150" s="6" t="s">
        <v>30</v>
      </c>
      <c r="P1150" s="2" t="s">
        <v>12530</v>
      </c>
    </row>
    <row r="1151" spans="1:16" ht="13.15" x14ac:dyDescent="0.4">
      <c r="A1151" s="2" t="s">
        <v>2466</v>
      </c>
      <c r="B1151" s="2" t="s">
        <v>5885</v>
      </c>
      <c r="C1151" s="6" t="s">
        <v>5879</v>
      </c>
      <c r="D1151" s="6" t="s">
        <v>42</v>
      </c>
      <c r="E1151" s="7">
        <v>44927</v>
      </c>
      <c r="F1151" s="8" t="s">
        <v>77</v>
      </c>
      <c r="G1151" s="2" t="s">
        <v>26</v>
      </c>
      <c r="H1151" s="8" t="s">
        <v>28</v>
      </c>
      <c r="I1151" s="2" t="s">
        <v>26</v>
      </c>
      <c r="J1151" s="7">
        <v>44927</v>
      </c>
      <c r="K1151" s="8" t="s">
        <v>77</v>
      </c>
      <c r="L1151" s="2" t="s">
        <v>26</v>
      </c>
      <c r="M1151" s="8" t="s">
        <v>28</v>
      </c>
      <c r="N1151" s="6" t="s">
        <v>2264</v>
      </c>
      <c r="O1151" s="6" t="s">
        <v>30</v>
      </c>
      <c r="P1151" s="2" t="s">
        <v>12531</v>
      </c>
    </row>
    <row r="1152" spans="1:16" ht="13.15" x14ac:dyDescent="0.4">
      <c r="A1152" s="2" t="s">
        <v>8355</v>
      </c>
      <c r="B1152" s="2" t="s">
        <v>5885</v>
      </c>
      <c r="C1152" s="6" t="s">
        <v>5879</v>
      </c>
      <c r="D1152" s="6" t="s">
        <v>42</v>
      </c>
      <c r="E1152" s="7">
        <v>44927</v>
      </c>
      <c r="F1152" s="8" t="s">
        <v>77</v>
      </c>
      <c r="G1152" s="2" t="s">
        <v>26</v>
      </c>
      <c r="H1152" s="8" t="s">
        <v>28</v>
      </c>
      <c r="I1152" s="2" t="s">
        <v>26</v>
      </c>
      <c r="J1152" s="7">
        <v>44927</v>
      </c>
      <c r="K1152" s="8" t="s">
        <v>77</v>
      </c>
      <c r="L1152" s="2" t="s">
        <v>26</v>
      </c>
      <c r="M1152" s="8" t="s">
        <v>28</v>
      </c>
      <c r="N1152" s="6" t="s">
        <v>2264</v>
      </c>
      <c r="O1152" s="6" t="s">
        <v>30</v>
      </c>
      <c r="P1152" s="2" t="s">
        <v>12532</v>
      </c>
    </row>
    <row r="1153" spans="1:16" ht="13.15" x14ac:dyDescent="0.4">
      <c r="A1153" s="2" t="s">
        <v>9415</v>
      </c>
      <c r="B1153" s="2" t="s">
        <v>5885</v>
      </c>
      <c r="C1153" s="6" t="s">
        <v>5879</v>
      </c>
      <c r="D1153" s="6" t="s">
        <v>42</v>
      </c>
      <c r="E1153" s="7">
        <v>44927</v>
      </c>
      <c r="F1153" s="8" t="s">
        <v>77</v>
      </c>
      <c r="G1153" s="2" t="s">
        <v>26</v>
      </c>
      <c r="H1153" s="8" t="s">
        <v>28</v>
      </c>
      <c r="I1153" s="2" t="s">
        <v>26</v>
      </c>
      <c r="J1153" s="7">
        <v>44927</v>
      </c>
      <c r="K1153" s="8" t="s">
        <v>77</v>
      </c>
      <c r="L1153" s="2" t="s">
        <v>26</v>
      </c>
      <c r="M1153" s="8" t="s">
        <v>28</v>
      </c>
      <c r="N1153" s="6" t="s">
        <v>2264</v>
      </c>
      <c r="O1153" s="6" t="s">
        <v>30</v>
      </c>
      <c r="P1153" s="2" t="s">
        <v>12533</v>
      </c>
    </row>
    <row r="1154" spans="1:16" ht="13.15" x14ac:dyDescent="0.4">
      <c r="A1154" s="2" t="s">
        <v>11615</v>
      </c>
      <c r="B1154" s="2" t="s">
        <v>5885</v>
      </c>
      <c r="C1154" s="6" t="s">
        <v>5879</v>
      </c>
      <c r="D1154" s="6" t="s">
        <v>42</v>
      </c>
      <c r="E1154" s="7">
        <v>44927</v>
      </c>
      <c r="F1154" s="8" t="s">
        <v>77</v>
      </c>
      <c r="G1154" s="2" t="s">
        <v>26</v>
      </c>
      <c r="H1154" s="8" t="s">
        <v>28</v>
      </c>
      <c r="I1154" s="2" t="s">
        <v>26</v>
      </c>
      <c r="J1154" s="7">
        <v>44927</v>
      </c>
      <c r="K1154" s="8" t="s">
        <v>77</v>
      </c>
      <c r="L1154" s="2" t="s">
        <v>26</v>
      </c>
      <c r="M1154" s="8" t="s">
        <v>28</v>
      </c>
      <c r="N1154" s="6" t="s">
        <v>2264</v>
      </c>
      <c r="O1154" s="6" t="s">
        <v>30</v>
      </c>
      <c r="P1154" s="2" t="s">
        <v>12534</v>
      </c>
    </row>
    <row r="1155" spans="1:16" ht="13.15" x14ac:dyDescent="0.4">
      <c r="A1155" s="2" t="s">
        <v>11776</v>
      </c>
      <c r="B1155" s="2" t="s">
        <v>5885</v>
      </c>
      <c r="C1155" s="6" t="s">
        <v>5879</v>
      </c>
      <c r="D1155" s="6" t="s">
        <v>42</v>
      </c>
      <c r="E1155" s="7">
        <v>44927</v>
      </c>
      <c r="F1155" s="8" t="s">
        <v>77</v>
      </c>
      <c r="G1155" s="2" t="s">
        <v>26</v>
      </c>
      <c r="H1155" s="8" t="s">
        <v>28</v>
      </c>
      <c r="I1155" s="2" t="s">
        <v>26</v>
      </c>
      <c r="J1155" s="7">
        <v>44927</v>
      </c>
      <c r="K1155" s="8" t="s">
        <v>77</v>
      </c>
      <c r="L1155" s="2" t="s">
        <v>26</v>
      </c>
      <c r="M1155" s="8" t="s">
        <v>28</v>
      </c>
      <c r="N1155" s="6" t="s">
        <v>2264</v>
      </c>
      <c r="O1155" s="6" t="s">
        <v>30</v>
      </c>
      <c r="P1155" s="2" t="s">
        <v>12535</v>
      </c>
    </row>
    <row r="1156" spans="1:16" ht="13.15" x14ac:dyDescent="0.4">
      <c r="A1156" s="2" t="s">
        <v>11656</v>
      </c>
      <c r="B1156" s="2" t="s">
        <v>5885</v>
      </c>
      <c r="C1156" s="6" t="s">
        <v>5879</v>
      </c>
      <c r="D1156" s="6" t="s">
        <v>42</v>
      </c>
      <c r="E1156" s="7">
        <v>44927</v>
      </c>
      <c r="F1156" s="8" t="s">
        <v>77</v>
      </c>
      <c r="G1156" s="2" t="s">
        <v>26</v>
      </c>
      <c r="H1156" s="8" t="s">
        <v>28</v>
      </c>
      <c r="I1156" s="2" t="s">
        <v>26</v>
      </c>
      <c r="J1156" s="7">
        <v>44927</v>
      </c>
      <c r="K1156" s="8" t="s">
        <v>77</v>
      </c>
      <c r="L1156" s="2" t="s">
        <v>26</v>
      </c>
      <c r="M1156" s="8" t="s">
        <v>28</v>
      </c>
      <c r="N1156" s="6" t="s">
        <v>2264</v>
      </c>
      <c r="O1156" s="6" t="s">
        <v>30</v>
      </c>
      <c r="P1156" s="2" t="s">
        <v>12536</v>
      </c>
    </row>
    <row r="1157" spans="1:16" ht="13.15" x14ac:dyDescent="0.4">
      <c r="A1157" s="2" t="s">
        <v>11572</v>
      </c>
      <c r="B1157" s="2" t="s">
        <v>5885</v>
      </c>
      <c r="C1157" s="6" t="s">
        <v>5879</v>
      </c>
      <c r="D1157" s="6" t="s">
        <v>42</v>
      </c>
      <c r="E1157" s="7">
        <v>44927</v>
      </c>
      <c r="F1157" s="8" t="s">
        <v>77</v>
      </c>
      <c r="G1157" s="2" t="s">
        <v>26</v>
      </c>
      <c r="H1157" s="8" t="s">
        <v>28</v>
      </c>
      <c r="I1157" s="2" t="s">
        <v>26</v>
      </c>
      <c r="J1157" s="7">
        <v>44927</v>
      </c>
      <c r="K1157" s="8" t="s">
        <v>77</v>
      </c>
      <c r="L1157" s="2" t="s">
        <v>26</v>
      </c>
      <c r="M1157" s="8" t="s">
        <v>28</v>
      </c>
      <c r="N1157" s="6" t="s">
        <v>2264</v>
      </c>
      <c r="O1157" s="6" t="s">
        <v>30</v>
      </c>
      <c r="P1157" s="2" t="s">
        <v>12537</v>
      </c>
    </row>
    <row r="1158" spans="1:16" ht="13.15" x14ac:dyDescent="0.4">
      <c r="A1158" s="2" t="s">
        <v>11624</v>
      </c>
      <c r="B1158" s="2" t="s">
        <v>5885</v>
      </c>
      <c r="C1158" s="6" t="s">
        <v>5879</v>
      </c>
      <c r="D1158" s="6" t="s">
        <v>42</v>
      </c>
      <c r="E1158" s="7">
        <v>44927</v>
      </c>
      <c r="F1158" s="8" t="s">
        <v>77</v>
      </c>
      <c r="G1158" s="2" t="s">
        <v>26</v>
      </c>
      <c r="H1158" s="8" t="s">
        <v>28</v>
      </c>
      <c r="I1158" s="2" t="s">
        <v>26</v>
      </c>
      <c r="J1158" s="7">
        <v>44927</v>
      </c>
      <c r="K1158" s="8" t="s">
        <v>77</v>
      </c>
      <c r="L1158" s="2" t="s">
        <v>26</v>
      </c>
      <c r="M1158" s="8" t="s">
        <v>28</v>
      </c>
      <c r="N1158" s="6" t="s">
        <v>2264</v>
      </c>
      <c r="O1158" s="6" t="s">
        <v>30</v>
      </c>
      <c r="P1158" s="2" t="s">
        <v>12538</v>
      </c>
    </row>
    <row r="1159" spans="1:16" ht="13.15" x14ac:dyDescent="0.4">
      <c r="A1159" s="2" t="s">
        <v>11674</v>
      </c>
      <c r="B1159" s="2" t="s">
        <v>5885</v>
      </c>
      <c r="C1159" s="6" t="s">
        <v>5879</v>
      </c>
      <c r="D1159" s="6" t="s">
        <v>42</v>
      </c>
      <c r="E1159" s="7">
        <v>44927</v>
      </c>
      <c r="F1159" s="8" t="s">
        <v>77</v>
      </c>
      <c r="G1159" s="2" t="s">
        <v>26</v>
      </c>
      <c r="H1159" s="8" t="s">
        <v>28</v>
      </c>
      <c r="I1159" s="2" t="s">
        <v>26</v>
      </c>
      <c r="J1159" s="7">
        <v>44927</v>
      </c>
      <c r="K1159" s="8" t="s">
        <v>77</v>
      </c>
      <c r="L1159" s="2" t="s">
        <v>26</v>
      </c>
      <c r="M1159" s="8" t="s">
        <v>28</v>
      </c>
      <c r="N1159" s="6" t="s">
        <v>2264</v>
      </c>
      <c r="O1159" s="6" t="s">
        <v>30</v>
      </c>
      <c r="P1159" s="2" t="s">
        <v>12539</v>
      </c>
    </row>
    <row r="1160" spans="1:16" ht="13.15" x14ac:dyDescent="0.4">
      <c r="A1160" s="2" t="s">
        <v>11748</v>
      </c>
      <c r="B1160" s="2" t="s">
        <v>5885</v>
      </c>
      <c r="C1160" s="6" t="s">
        <v>5879</v>
      </c>
      <c r="D1160" s="6" t="s">
        <v>42</v>
      </c>
      <c r="E1160" s="7">
        <v>44927</v>
      </c>
      <c r="F1160" s="8" t="s">
        <v>77</v>
      </c>
      <c r="G1160" s="2" t="s">
        <v>26</v>
      </c>
      <c r="H1160" s="8" t="s">
        <v>28</v>
      </c>
      <c r="I1160" s="2" t="s">
        <v>26</v>
      </c>
      <c r="J1160" s="7">
        <v>44927</v>
      </c>
      <c r="K1160" s="8" t="s">
        <v>77</v>
      </c>
      <c r="L1160" s="2" t="s">
        <v>26</v>
      </c>
      <c r="M1160" s="8" t="s">
        <v>28</v>
      </c>
      <c r="N1160" s="6" t="s">
        <v>2264</v>
      </c>
      <c r="O1160" s="6" t="s">
        <v>30</v>
      </c>
      <c r="P1160" s="2" t="s">
        <v>12540</v>
      </c>
    </row>
    <row r="1161" spans="1:16" ht="13.15" x14ac:dyDescent="0.4">
      <c r="A1161" s="2" t="s">
        <v>11664</v>
      </c>
      <c r="B1161" s="2" t="s">
        <v>5885</v>
      </c>
      <c r="C1161" s="6" t="s">
        <v>5879</v>
      </c>
      <c r="D1161" s="6" t="s">
        <v>42</v>
      </c>
      <c r="E1161" s="7">
        <v>44927</v>
      </c>
      <c r="F1161" s="8" t="s">
        <v>77</v>
      </c>
      <c r="G1161" s="2" t="s">
        <v>26</v>
      </c>
      <c r="H1161" s="8" t="s">
        <v>28</v>
      </c>
      <c r="I1161" s="2" t="s">
        <v>26</v>
      </c>
      <c r="J1161" s="7">
        <v>44927</v>
      </c>
      <c r="K1161" s="8" t="s">
        <v>77</v>
      </c>
      <c r="L1161" s="2" t="s">
        <v>26</v>
      </c>
      <c r="M1161" s="8" t="s">
        <v>28</v>
      </c>
      <c r="N1161" s="6" t="s">
        <v>2264</v>
      </c>
      <c r="O1161" s="6" t="s">
        <v>30</v>
      </c>
      <c r="P1161" s="2" t="s">
        <v>12541</v>
      </c>
    </row>
    <row r="1162" spans="1:16" ht="13.15" x14ac:dyDescent="0.4">
      <c r="A1162" s="2" t="s">
        <v>11629</v>
      </c>
      <c r="B1162" s="2" t="s">
        <v>5885</v>
      </c>
      <c r="C1162" s="6" t="s">
        <v>5879</v>
      </c>
      <c r="D1162" s="6" t="s">
        <v>42</v>
      </c>
      <c r="E1162" s="7">
        <v>44927</v>
      </c>
      <c r="F1162" s="8" t="s">
        <v>77</v>
      </c>
      <c r="G1162" s="2" t="s">
        <v>26</v>
      </c>
      <c r="H1162" s="8" t="s">
        <v>28</v>
      </c>
      <c r="I1162" s="2" t="s">
        <v>26</v>
      </c>
      <c r="J1162" s="7">
        <v>44927</v>
      </c>
      <c r="K1162" s="8" t="s">
        <v>77</v>
      </c>
      <c r="L1162" s="2" t="s">
        <v>26</v>
      </c>
      <c r="M1162" s="8" t="s">
        <v>28</v>
      </c>
      <c r="N1162" s="6" t="s">
        <v>2264</v>
      </c>
      <c r="O1162" s="6" t="s">
        <v>30</v>
      </c>
      <c r="P1162" s="2" t="s">
        <v>12542</v>
      </c>
    </row>
    <row r="1163" spans="1:16" ht="13.15" x14ac:dyDescent="0.4">
      <c r="A1163" s="2" t="s">
        <v>11683</v>
      </c>
      <c r="B1163" s="2" t="s">
        <v>5885</v>
      </c>
      <c r="C1163" s="6" t="s">
        <v>5879</v>
      </c>
      <c r="D1163" s="6" t="s">
        <v>42</v>
      </c>
      <c r="E1163" s="7">
        <v>44927</v>
      </c>
      <c r="F1163" s="8" t="s">
        <v>77</v>
      </c>
      <c r="G1163" s="2" t="s">
        <v>26</v>
      </c>
      <c r="H1163" s="8" t="s">
        <v>28</v>
      </c>
      <c r="I1163" s="2" t="s">
        <v>26</v>
      </c>
      <c r="J1163" s="7">
        <v>44927</v>
      </c>
      <c r="K1163" s="8" t="s">
        <v>77</v>
      </c>
      <c r="L1163" s="2" t="s">
        <v>26</v>
      </c>
      <c r="M1163" s="8" t="s">
        <v>28</v>
      </c>
      <c r="N1163" s="6" t="s">
        <v>2264</v>
      </c>
      <c r="O1163" s="6" t="s">
        <v>30</v>
      </c>
      <c r="P1163" s="2" t="s">
        <v>12543</v>
      </c>
    </row>
    <row r="1164" spans="1:16" ht="13.15" x14ac:dyDescent="0.4">
      <c r="A1164" s="2" t="s">
        <v>11566</v>
      </c>
      <c r="B1164" s="2" t="s">
        <v>5885</v>
      </c>
      <c r="C1164" s="6" t="s">
        <v>5879</v>
      </c>
      <c r="D1164" s="6" t="s">
        <v>42</v>
      </c>
      <c r="E1164" s="7">
        <v>44927</v>
      </c>
      <c r="F1164" s="8" t="s">
        <v>77</v>
      </c>
      <c r="G1164" s="2" t="s">
        <v>26</v>
      </c>
      <c r="H1164" s="8" t="s">
        <v>28</v>
      </c>
      <c r="I1164" s="2" t="s">
        <v>26</v>
      </c>
      <c r="J1164" s="7">
        <v>44927</v>
      </c>
      <c r="K1164" s="8" t="s">
        <v>77</v>
      </c>
      <c r="L1164" s="2" t="s">
        <v>26</v>
      </c>
      <c r="M1164" s="8" t="s">
        <v>28</v>
      </c>
      <c r="N1164" s="6" t="s">
        <v>2264</v>
      </c>
      <c r="O1164" s="6" t="s">
        <v>30</v>
      </c>
      <c r="P1164" s="2" t="s">
        <v>12544</v>
      </c>
    </row>
    <row r="1165" spans="1:16" ht="13.15" x14ac:dyDescent="0.4">
      <c r="A1165" s="2" t="s">
        <v>11612</v>
      </c>
      <c r="B1165" s="2" t="s">
        <v>5885</v>
      </c>
      <c r="C1165" s="6" t="s">
        <v>5879</v>
      </c>
      <c r="D1165" s="6" t="s">
        <v>42</v>
      </c>
      <c r="E1165" s="7">
        <v>44927</v>
      </c>
      <c r="F1165" s="8" t="s">
        <v>77</v>
      </c>
      <c r="G1165" s="2" t="s">
        <v>26</v>
      </c>
      <c r="H1165" s="8" t="s">
        <v>28</v>
      </c>
      <c r="I1165" s="2" t="s">
        <v>26</v>
      </c>
      <c r="J1165" s="7">
        <v>44927</v>
      </c>
      <c r="K1165" s="8" t="s">
        <v>77</v>
      </c>
      <c r="L1165" s="2" t="s">
        <v>26</v>
      </c>
      <c r="M1165" s="8" t="s">
        <v>28</v>
      </c>
      <c r="N1165" s="6" t="s">
        <v>2264</v>
      </c>
      <c r="O1165" s="6" t="s">
        <v>30</v>
      </c>
      <c r="P1165" s="2" t="s">
        <v>12545</v>
      </c>
    </row>
    <row r="1166" spans="1:16" ht="13.15" x14ac:dyDescent="0.4">
      <c r="A1166" s="2" t="s">
        <v>11672</v>
      </c>
      <c r="B1166" s="2" t="s">
        <v>5885</v>
      </c>
      <c r="C1166" s="6" t="s">
        <v>5879</v>
      </c>
      <c r="D1166" s="6" t="s">
        <v>42</v>
      </c>
      <c r="E1166" s="7">
        <v>44927</v>
      </c>
      <c r="F1166" s="8" t="s">
        <v>77</v>
      </c>
      <c r="G1166" s="2" t="s">
        <v>26</v>
      </c>
      <c r="H1166" s="8" t="s">
        <v>28</v>
      </c>
      <c r="I1166" s="2" t="s">
        <v>26</v>
      </c>
      <c r="J1166" s="7">
        <v>44927</v>
      </c>
      <c r="K1166" s="8" t="s">
        <v>77</v>
      </c>
      <c r="L1166" s="2" t="s">
        <v>26</v>
      </c>
      <c r="M1166" s="8" t="s">
        <v>28</v>
      </c>
      <c r="N1166" s="6" t="s">
        <v>2264</v>
      </c>
      <c r="O1166" s="6" t="s">
        <v>30</v>
      </c>
      <c r="P1166" s="2" t="s">
        <v>12546</v>
      </c>
    </row>
    <row r="1167" spans="1:16" ht="13.15" x14ac:dyDescent="0.4">
      <c r="A1167" s="2" t="s">
        <v>11662</v>
      </c>
      <c r="B1167" s="2" t="s">
        <v>5885</v>
      </c>
      <c r="C1167" s="6" t="s">
        <v>5879</v>
      </c>
      <c r="D1167" s="6" t="s">
        <v>42</v>
      </c>
      <c r="E1167" s="7">
        <v>44927</v>
      </c>
      <c r="F1167" s="8" t="s">
        <v>77</v>
      </c>
      <c r="G1167" s="2" t="s">
        <v>26</v>
      </c>
      <c r="H1167" s="8" t="s">
        <v>28</v>
      </c>
      <c r="I1167" s="2" t="s">
        <v>26</v>
      </c>
      <c r="J1167" s="7">
        <v>44927</v>
      </c>
      <c r="K1167" s="8" t="s">
        <v>77</v>
      </c>
      <c r="L1167" s="2" t="s">
        <v>26</v>
      </c>
      <c r="M1167" s="8" t="s">
        <v>28</v>
      </c>
      <c r="N1167" s="6" t="s">
        <v>2264</v>
      </c>
      <c r="O1167" s="6" t="s">
        <v>30</v>
      </c>
      <c r="P1167" s="2" t="s">
        <v>12547</v>
      </c>
    </row>
    <row r="1168" spans="1:16" ht="13.15" x14ac:dyDescent="0.4">
      <c r="A1168" s="2" t="s">
        <v>11761</v>
      </c>
      <c r="B1168" s="2" t="s">
        <v>5885</v>
      </c>
      <c r="C1168" s="6" t="s">
        <v>5879</v>
      </c>
      <c r="D1168" s="6" t="s">
        <v>42</v>
      </c>
      <c r="E1168" s="7">
        <v>44927</v>
      </c>
      <c r="F1168" s="8" t="s">
        <v>77</v>
      </c>
      <c r="G1168" s="2" t="s">
        <v>26</v>
      </c>
      <c r="H1168" s="8" t="s">
        <v>28</v>
      </c>
      <c r="I1168" s="2" t="s">
        <v>26</v>
      </c>
      <c r="J1168" s="7">
        <v>44927</v>
      </c>
      <c r="K1168" s="8" t="s">
        <v>77</v>
      </c>
      <c r="L1168" s="2" t="s">
        <v>26</v>
      </c>
      <c r="M1168" s="8" t="s">
        <v>28</v>
      </c>
      <c r="N1168" s="6" t="s">
        <v>2264</v>
      </c>
      <c r="O1168" s="6" t="s">
        <v>30</v>
      </c>
      <c r="P1168" s="2" t="s">
        <v>12548</v>
      </c>
    </row>
    <row r="1169" spans="1:16" ht="13.15" x14ac:dyDescent="0.4">
      <c r="A1169" s="2" t="s">
        <v>11723</v>
      </c>
      <c r="B1169" s="2" t="s">
        <v>5885</v>
      </c>
      <c r="C1169" s="6" t="s">
        <v>5879</v>
      </c>
      <c r="D1169" s="6" t="s">
        <v>42</v>
      </c>
      <c r="E1169" s="7">
        <v>44927</v>
      </c>
      <c r="F1169" s="8" t="s">
        <v>77</v>
      </c>
      <c r="G1169" s="2" t="s">
        <v>26</v>
      </c>
      <c r="H1169" s="8" t="s">
        <v>28</v>
      </c>
      <c r="I1169" s="2" t="s">
        <v>26</v>
      </c>
      <c r="J1169" s="7">
        <v>44927</v>
      </c>
      <c r="K1169" s="8" t="s">
        <v>77</v>
      </c>
      <c r="L1169" s="2" t="s">
        <v>26</v>
      </c>
      <c r="M1169" s="8" t="s">
        <v>28</v>
      </c>
      <c r="N1169" s="6" t="s">
        <v>2264</v>
      </c>
      <c r="O1169" s="6" t="s">
        <v>30</v>
      </c>
      <c r="P1169" s="2" t="s">
        <v>12549</v>
      </c>
    </row>
    <row r="1170" spans="1:16" ht="13.15" x14ac:dyDescent="0.4">
      <c r="A1170" s="2" t="s">
        <v>11621</v>
      </c>
      <c r="B1170" s="2" t="s">
        <v>5885</v>
      </c>
      <c r="C1170" s="6" t="s">
        <v>5879</v>
      </c>
      <c r="D1170" s="6" t="s">
        <v>42</v>
      </c>
      <c r="E1170" s="7">
        <v>44927</v>
      </c>
      <c r="F1170" s="8" t="s">
        <v>77</v>
      </c>
      <c r="G1170" s="2" t="s">
        <v>26</v>
      </c>
      <c r="H1170" s="8" t="s">
        <v>28</v>
      </c>
      <c r="I1170" s="2" t="s">
        <v>26</v>
      </c>
      <c r="J1170" s="7">
        <v>44927</v>
      </c>
      <c r="K1170" s="8" t="s">
        <v>77</v>
      </c>
      <c r="L1170" s="2" t="s">
        <v>26</v>
      </c>
      <c r="M1170" s="8" t="s">
        <v>28</v>
      </c>
      <c r="N1170" s="6" t="s">
        <v>2264</v>
      </c>
      <c r="O1170" s="6" t="s">
        <v>30</v>
      </c>
      <c r="P1170" s="2" t="s">
        <v>12550</v>
      </c>
    </row>
    <row r="1171" spans="1:16" ht="13.15" x14ac:dyDescent="0.4">
      <c r="A1171" s="2" t="s">
        <v>11643</v>
      </c>
      <c r="B1171" s="2" t="s">
        <v>5885</v>
      </c>
      <c r="C1171" s="6" t="s">
        <v>5879</v>
      </c>
      <c r="D1171" s="6" t="s">
        <v>42</v>
      </c>
      <c r="E1171" s="7">
        <v>44927</v>
      </c>
      <c r="F1171" s="8" t="s">
        <v>77</v>
      </c>
      <c r="G1171" s="2" t="s">
        <v>26</v>
      </c>
      <c r="H1171" s="8" t="s">
        <v>28</v>
      </c>
      <c r="I1171" s="2" t="s">
        <v>26</v>
      </c>
      <c r="J1171" s="7">
        <v>44927</v>
      </c>
      <c r="K1171" s="8" t="s">
        <v>77</v>
      </c>
      <c r="L1171" s="2" t="s">
        <v>26</v>
      </c>
      <c r="M1171" s="8" t="s">
        <v>28</v>
      </c>
      <c r="N1171" s="6" t="s">
        <v>2264</v>
      </c>
      <c r="O1171" s="6" t="s">
        <v>30</v>
      </c>
      <c r="P1171" s="2" t="s">
        <v>12551</v>
      </c>
    </row>
    <row r="1172" spans="1:16" ht="13.15" x14ac:dyDescent="0.4">
      <c r="A1172" s="2" t="s">
        <v>11641</v>
      </c>
      <c r="B1172" s="2" t="s">
        <v>5885</v>
      </c>
      <c r="C1172" s="6" t="s">
        <v>5879</v>
      </c>
      <c r="D1172" s="6" t="s">
        <v>42</v>
      </c>
      <c r="E1172" s="7">
        <v>44927</v>
      </c>
      <c r="F1172" s="8" t="s">
        <v>77</v>
      </c>
      <c r="G1172" s="2" t="s">
        <v>26</v>
      </c>
      <c r="H1172" s="8" t="s">
        <v>28</v>
      </c>
      <c r="I1172" s="2" t="s">
        <v>26</v>
      </c>
      <c r="J1172" s="7">
        <v>44927</v>
      </c>
      <c r="K1172" s="8" t="s">
        <v>77</v>
      </c>
      <c r="L1172" s="2" t="s">
        <v>26</v>
      </c>
      <c r="M1172" s="8" t="s">
        <v>28</v>
      </c>
      <c r="N1172" s="6" t="s">
        <v>2264</v>
      </c>
      <c r="O1172" s="6" t="s">
        <v>30</v>
      </c>
      <c r="P1172" s="2" t="s">
        <v>12552</v>
      </c>
    </row>
    <row r="1173" spans="1:16" ht="13.15" x14ac:dyDescent="0.4">
      <c r="A1173" s="2" t="s">
        <v>11565</v>
      </c>
      <c r="B1173" s="2" t="s">
        <v>5885</v>
      </c>
      <c r="C1173" s="6" t="s">
        <v>5879</v>
      </c>
      <c r="D1173" s="6" t="s">
        <v>42</v>
      </c>
      <c r="E1173" s="7">
        <v>44927</v>
      </c>
      <c r="F1173" s="8" t="s">
        <v>77</v>
      </c>
      <c r="G1173" s="2" t="s">
        <v>26</v>
      </c>
      <c r="H1173" s="8" t="s">
        <v>28</v>
      </c>
      <c r="I1173" s="2" t="s">
        <v>26</v>
      </c>
      <c r="J1173" s="7">
        <v>44927</v>
      </c>
      <c r="K1173" s="8" t="s">
        <v>77</v>
      </c>
      <c r="L1173" s="2" t="s">
        <v>26</v>
      </c>
      <c r="M1173" s="8" t="s">
        <v>28</v>
      </c>
      <c r="N1173" s="6" t="s">
        <v>2264</v>
      </c>
      <c r="O1173" s="6" t="s">
        <v>30</v>
      </c>
      <c r="P1173" s="2" t="s">
        <v>12553</v>
      </c>
    </row>
    <row r="1174" spans="1:16" ht="13.15" x14ac:dyDescent="0.4">
      <c r="A1174" s="2" t="s">
        <v>11670</v>
      </c>
      <c r="B1174" s="2" t="s">
        <v>5885</v>
      </c>
      <c r="C1174" s="6" t="s">
        <v>5879</v>
      </c>
      <c r="D1174" s="6" t="s">
        <v>42</v>
      </c>
      <c r="E1174" s="7">
        <v>44927</v>
      </c>
      <c r="F1174" s="8" t="s">
        <v>77</v>
      </c>
      <c r="G1174" s="2" t="s">
        <v>26</v>
      </c>
      <c r="H1174" s="8" t="s">
        <v>28</v>
      </c>
      <c r="I1174" s="2" t="s">
        <v>26</v>
      </c>
      <c r="J1174" s="7">
        <v>44927</v>
      </c>
      <c r="K1174" s="8" t="s">
        <v>77</v>
      </c>
      <c r="L1174" s="2" t="s">
        <v>26</v>
      </c>
      <c r="M1174" s="8" t="s">
        <v>28</v>
      </c>
      <c r="N1174" s="6" t="s">
        <v>2264</v>
      </c>
      <c r="O1174" s="6" t="s">
        <v>30</v>
      </c>
      <c r="P1174" s="2" t="s">
        <v>12554</v>
      </c>
    </row>
    <row r="1175" spans="1:16" ht="13.15" x14ac:dyDescent="0.4">
      <c r="A1175" s="2" t="s">
        <v>11603</v>
      </c>
      <c r="B1175" s="2" t="s">
        <v>5885</v>
      </c>
      <c r="C1175" s="6" t="s">
        <v>5879</v>
      </c>
      <c r="D1175" s="6" t="s">
        <v>42</v>
      </c>
      <c r="E1175" s="7">
        <v>44927</v>
      </c>
      <c r="F1175" s="8" t="s">
        <v>77</v>
      </c>
      <c r="G1175" s="2" t="s">
        <v>26</v>
      </c>
      <c r="H1175" s="8" t="s">
        <v>28</v>
      </c>
      <c r="I1175" s="2" t="s">
        <v>26</v>
      </c>
      <c r="J1175" s="7">
        <v>44927</v>
      </c>
      <c r="K1175" s="8" t="s">
        <v>77</v>
      </c>
      <c r="L1175" s="2" t="s">
        <v>26</v>
      </c>
      <c r="M1175" s="8" t="s">
        <v>28</v>
      </c>
      <c r="N1175" s="6" t="s">
        <v>2264</v>
      </c>
      <c r="O1175" s="6" t="s">
        <v>30</v>
      </c>
      <c r="P1175" s="2" t="s">
        <v>12555</v>
      </c>
    </row>
    <row r="1176" spans="1:16" ht="13.15" x14ac:dyDescent="0.4">
      <c r="A1176" s="2" t="s">
        <v>11763</v>
      </c>
      <c r="B1176" s="2" t="s">
        <v>5885</v>
      </c>
      <c r="C1176" s="6" t="s">
        <v>5879</v>
      </c>
      <c r="D1176" s="6" t="s">
        <v>42</v>
      </c>
      <c r="E1176" s="7">
        <v>44927</v>
      </c>
      <c r="F1176" s="8" t="s">
        <v>77</v>
      </c>
      <c r="G1176" s="2" t="s">
        <v>26</v>
      </c>
      <c r="H1176" s="8" t="s">
        <v>28</v>
      </c>
      <c r="I1176" s="2" t="s">
        <v>26</v>
      </c>
      <c r="J1176" s="7">
        <v>44927</v>
      </c>
      <c r="K1176" s="8" t="s">
        <v>77</v>
      </c>
      <c r="L1176" s="2" t="s">
        <v>26</v>
      </c>
      <c r="M1176" s="8" t="s">
        <v>28</v>
      </c>
      <c r="N1176" s="6" t="s">
        <v>2264</v>
      </c>
      <c r="O1176" s="6" t="s">
        <v>30</v>
      </c>
      <c r="P1176" s="2" t="s">
        <v>12556</v>
      </c>
    </row>
    <row r="1177" spans="1:16" ht="13.15" x14ac:dyDescent="0.4">
      <c r="A1177" s="2" t="s">
        <v>11657</v>
      </c>
      <c r="B1177" s="2" t="s">
        <v>5885</v>
      </c>
      <c r="C1177" s="6" t="s">
        <v>5879</v>
      </c>
      <c r="D1177" s="6" t="s">
        <v>42</v>
      </c>
      <c r="E1177" s="7">
        <v>44927</v>
      </c>
      <c r="F1177" s="8" t="s">
        <v>77</v>
      </c>
      <c r="G1177" s="2" t="s">
        <v>26</v>
      </c>
      <c r="H1177" s="8" t="s">
        <v>28</v>
      </c>
      <c r="I1177" s="2" t="s">
        <v>26</v>
      </c>
      <c r="J1177" s="7">
        <v>44927</v>
      </c>
      <c r="K1177" s="8" t="s">
        <v>77</v>
      </c>
      <c r="L1177" s="2" t="s">
        <v>26</v>
      </c>
      <c r="M1177" s="8" t="s">
        <v>28</v>
      </c>
      <c r="N1177" s="6" t="s">
        <v>2264</v>
      </c>
      <c r="O1177" s="6" t="s">
        <v>30</v>
      </c>
      <c r="P1177" s="2" t="s">
        <v>12557</v>
      </c>
    </row>
    <row r="1178" spans="1:16" ht="13.15" x14ac:dyDescent="0.4">
      <c r="A1178" s="2" t="s">
        <v>11688</v>
      </c>
      <c r="B1178" s="2" t="s">
        <v>5885</v>
      </c>
      <c r="C1178" s="6" t="s">
        <v>5879</v>
      </c>
      <c r="D1178" s="6" t="s">
        <v>42</v>
      </c>
      <c r="E1178" s="7">
        <v>44927</v>
      </c>
      <c r="F1178" s="8" t="s">
        <v>77</v>
      </c>
      <c r="G1178" s="2" t="s">
        <v>26</v>
      </c>
      <c r="H1178" s="8" t="s">
        <v>28</v>
      </c>
      <c r="I1178" s="2" t="s">
        <v>26</v>
      </c>
      <c r="J1178" s="7">
        <v>44927</v>
      </c>
      <c r="K1178" s="8" t="s">
        <v>77</v>
      </c>
      <c r="L1178" s="2" t="s">
        <v>26</v>
      </c>
      <c r="M1178" s="8" t="s">
        <v>28</v>
      </c>
      <c r="N1178" s="6" t="s">
        <v>2264</v>
      </c>
      <c r="O1178" s="6" t="s">
        <v>30</v>
      </c>
      <c r="P1178" s="2" t="s">
        <v>12558</v>
      </c>
    </row>
    <row r="1179" spans="1:16" ht="13.15" x14ac:dyDescent="0.4">
      <c r="A1179" s="2" t="s">
        <v>11601</v>
      </c>
      <c r="B1179" s="2" t="s">
        <v>5885</v>
      </c>
      <c r="C1179" s="6" t="s">
        <v>5879</v>
      </c>
      <c r="D1179" s="6" t="s">
        <v>42</v>
      </c>
      <c r="E1179" s="7">
        <v>44927</v>
      </c>
      <c r="F1179" s="8" t="s">
        <v>77</v>
      </c>
      <c r="G1179" s="2" t="s">
        <v>26</v>
      </c>
      <c r="H1179" s="8" t="s">
        <v>28</v>
      </c>
      <c r="I1179" s="2" t="s">
        <v>26</v>
      </c>
      <c r="J1179" s="7">
        <v>44927</v>
      </c>
      <c r="K1179" s="8" t="s">
        <v>77</v>
      </c>
      <c r="L1179" s="2" t="s">
        <v>26</v>
      </c>
      <c r="M1179" s="8" t="s">
        <v>28</v>
      </c>
      <c r="N1179" s="6" t="s">
        <v>2264</v>
      </c>
      <c r="O1179" s="6" t="s">
        <v>30</v>
      </c>
      <c r="P1179" s="2" t="s">
        <v>12559</v>
      </c>
    </row>
    <row r="1180" spans="1:16" ht="13.15" x14ac:dyDescent="0.4">
      <c r="A1180" s="2" t="s">
        <v>11678</v>
      </c>
      <c r="B1180" s="2" t="s">
        <v>5885</v>
      </c>
      <c r="C1180" s="6" t="s">
        <v>5879</v>
      </c>
      <c r="D1180" s="6" t="s">
        <v>42</v>
      </c>
      <c r="E1180" s="7">
        <v>44927</v>
      </c>
      <c r="F1180" s="8" t="s">
        <v>77</v>
      </c>
      <c r="G1180" s="2" t="s">
        <v>26</v>
      </c>
      <c r="H1180" s="8" t="s">
        <v>28</v>
      </c>
      <c r="I1180" s="2" t="s">
        <v>26</v>
      </c>
      <c r="J1180" s="7">
        <v>44927</v>
      </c>
      <c r="K1180" s="8" t="s">
        <v>77</v>
      </c>
      <c r="L1180" s="2" t="s">
        <v>26</v>
      </c>
      <c r="M1180" s="8" t="s">
        <v>28</v>
      </c>
      <c r="N1180" s="6" t="s">
        <v>2264</v>
      </c>
      <c r="O1180" s="6" t="s">
        <v>30</v>
      </c>
      <c r="P1180" s="2" t="s">
        <v>12560</v>
      </c>
    </row>
    <row r="1181" spans="1:16" ht="13.15" x14ac:dyDescent="0.4">
      <c r="A1181" s="2" t="s">
        <v>11691</v>
      </c>
      <c r="B1181" s="2" t="s">
        <v>5885</v>
      </c>
      <c r="C1181" s="6" t="s">
        <v>5879</v>
      </c>
      <c r="D1181" s="6" t="s">
        <v>42</v>
      </c>
      <c r="E1181" s="7">
        <v>44927</v>
      </c>
      <c r="F1181" s="8" t="s">
        <v>77</v>
      </c>
      <c r="G1181" s="2" t="s">
        <v>26</v>
      </c>
      <c r="H1181" s="8" t="s">
        <v>28</v>
      </c>
      <c r="I1181" s="2" t="s">
        <v>26</v>
      </c>
      <c r="J1181" s="7">
        <v>44927</v>
      </c>
      <c r="K1181" s="8" t="s">
        <v>77</v>
      </c>
      <c r="L1181" s="2" t="s">
        <v>26</v>
      </c>
      <c r="M1181" s="8" t="s">
        <v>28</v>
      </c>
      <c r="N1181" s="6" t="s">
        <v>2264</v>
      </c>
      <c r="O1181" s="6" t="s">
        <v>30</v>
      </c>
      <c r="P1181" s="2" t="s">
        <v>12561</v>
      </c>
    </row>
    <row r="1182" spans="1:16" ht="13.15" x14ac:dyDescent="0.4">
      <c r="A1182" s="2" t="s">
        <v>11686</v>
      </c>
      <c r="B1182" s="2" t="s">
        <v>5885</v>
      </c>
      <c r="C1182" s="6" t="s">
        <v>5879</v>
      </c>
      <c r="D1182" s="6" t="s">
        <v>42</v>
      </c>
      <c r="E1182" s="7">
        <v>44927</v>
      </c>
      <c r="F1182" s="8" t="s">
        <v>77</v>
      </c>
      <c r="G1182" s="2" t="s">
        <v>26</v>
      </c>
      <c r="H1182" s="8" t="s">
        <v>28</v>
      </c>
      <c r="I1182" s="2" t="s">
        <v>26</v>
      </c>
      <c r="J1182" s="7">
        <v>44927</v>
      </c>
      <c r="K1182" s="8" t="s">
        <v>77</v>
      </c>
      <c r="L1182" s="2" t="s">
        <v>26</v>
      </c>
      <c r="M1182" s="8" t="s">
        <v>28</v>
      </c>
      <c r="N1182" s="6" t="s">
        <v>2264</v>
      </c>
      <c r="O1182" s="6" t="s">
        <v>30</v>
      </c>
      <c r="P1182" s="2" t="s">
        <v>12562</v>
      </c>
    </row>
    <row r="1183" spans="1:16" ht="13.15" x14ac:dyDescent="0.4">
      <c r="A1183" s="2" t="s">
        <v>11517</v>
      </c>
      <c r="B1183" s="2" t="s">
        <v>5885</v>
      </c>
      <c r="C1183" s="6" t="s">
        <v>5879</v>
      </c>
      <c r="D1183" s="6" t="s">
        <v>42</v>
      </c>
      <c r="E1183" s="7">
        <v>44927</v>
      </c>
      <c r="F1183" s="8" t="s">
        <v>77</v>
      </c>
      <c r="G1183" s="2" t="s">
        <v>26</v>
      </c>
      <c r="H1183" s="8" t="s">
        <v>28</v>
      </c>
      <c r="I1183" s="2" t="s">
        <v>26</v>
      </c>
      <c r="J1183" s="7">
        <v>44927</v>
      </c>
      <c r="K1183" s="8" t="s">
        <v>77</v>
      </c>
      <c r="L1183" s="2" t="s">
        <v>26</v>
      </c>
      <c r="M1183" s="8" t="s">
        <v>28</v>
      </c>
      <c r="N1183" s="6" t="s">
        <v>2264</v>
      </c>
      <c r="O1183" s="6" t="s">
        <v>30</v>
      </c>
      <c r="P1183" s="2" t="s">
        <v>12563</v>
      </c>
    </row>
    <row r="1184" spans="1:16" ht="13.15" x14ac:dyDescent="0.4">
      <c r="A1184" s="2" t="s">
        <v>11694</v>
      </c>
      <c r="B1184" s="2" t="s">
        <v>5885</v>
      </c>
      <c r="C1184" s="6" t="s">
        <v>5879</v>
      </c>
      <c r="D1184" s="6" t="s">
        <v>42</v>
      </c>
      <c r="E1184" s="7">
        <v>44927</v>
      </c>
      <c r="F1184" s="8" t="s">
        <v>77</v>
      </c>
      <c r="G1184" s="2" t="s">
        <v>26</v>
      </c>
      <c r="H1184" s="8" t="s">
        <v>28</v>
      </c>
      <c r="I1184" s="2" t="s">
        <v>26</v>
      </c>
      <c r="J1184" s="7">
        <v>44927</v>
      </c>
      <c r="K1184" s="8" t="s">
        <v>77</v>
      </c>
      <c r="L1184" s="2" t="s">
        <v>26</v>
      </c>
      <c r="M1184" s="8" t="s">
        <v>28</v>
      </c>
      <c r="N1184" s="6" t="s">
        <v>2264</v>
      </c>
      <c r="O1184" s="6" t="s">
        <v>30</v>
      </c>
      <c r="P1184" s="2" t="s">
        <v>12564</v>
      </c>
    </row>
    <row r="1185" spans="1:16" ht="13.15" x14ac:dyDescent="0.4">
      <c r="A1185" s="2" t="s">
        <v>11311</v>
      </c>
      <c r="B1185" s="2" t="s">
        <v>5885</v>
      </c>
      <c r="C1185" s="6" t="s">
        <v>5879</v>
      </c>
      <c r="D1185" s="6" t="s">
        <v>42</v>
      </c>
      <c r="E1185" s="7">
        <v>44927</v>
      </c>
      <c r="F1185" s="8" t="s">
        <v>77</v>
      </c>
      <c r="G1185" s="2" t="s">
        <v>26</v>
      </c>
      <c r="H1185" s="8" t="s">
        <v>28</v>
      </c>
      <c r="I1185" s="2" t="s">
        <v>26</v>
      </c>
      <c r="J1185" s="7">
        <v>44927</v>
      </c>
      <c r="K1185" s="8" t="s">
        <v>77</v>
      </c>
      <c r="L1185" s="2" t="s">
        <v>26</v>
      </c>
      <c r="M1185" s="8" t="s">
        <v>28</v>
      </c>
      <c r="N1185" s="6" t="s">
        <v>2264</v>
      </c>
      <c r="O1185" s="6" t="s">
        <v>30</v>
      </c>
      <c r="P1185" s="2" t="s">
        <v>12565</v>
      </c>
    </row>
    <row r="1186" spans="1:16" ht="13.15" x14ac:dyDescent="0.4">
      <c r="A1186" s="2" t="s">
        <v>11627</v>
      </c>
      <c r="B1186" s="2" t="s">
        <v>5885</v>
      </c>
      <c r="C1186" s="6" t="s">
        <v>5879</v>
      </c>
      <c r="D1186" s="6" t="s">
        <v>42</v>
      </c>
      <c r="E1186" s="7">
        <v>44927</v>
      </c>
      <c r="F1186" s="8" t="s">
        <v>77</v>
      </c>
      <c r="G1186" s="2" t="s">
        <v>26</v>
      </c>
      <c r="H1186" s="8" t="s">
        <v>28</v>
      </c>
      <c r="I1186" s="2" t="s">
        <v>26</v>
      </c>
      <c r="J1186" s="7">
        <v>44927</v>
      </c>
      <c r="K1186" s="8" t="s">
        <v>77</v>
      </c>
      <c r="L1186" s="2" t="s">
        <v>26</v>
      </c>
      <c r="M1186" s="8" t="s">
        <v>28</v>
      </c>
      <c r="N1186" s="6" t="s">
        <v>2264</v>
      </c>
      <c r="O1186" s="6" t="s">
        <v>30</v>
      </c>
      <c r="P1186" s="2" t="s">
        <v>12566</v>
      </c>
    </row>
    <row r="1187" spans="1:16" ht="13.15" x14ac:dyDescent="0.4">
      <c r="A1187" s="2" t="s">
        <v>11736</v>
      </c>
      <c r="B1187" s="2" t="s">
        <v>5885</v>
      </c>
      <c r="C1187" s="6" t="s">
        <v>5879</v>
      </c>
      <c r="D1187" s="6" t="s">
        <v>42</v>
      </c>
      <c r="E1187" s="7">
        <v>44927</v>
      </c>
      <c r="F1187" s="8" t="s">
        <v>77</v>
      </c>
      <c r="G1187" s="2" t="s">
        <v>26</v>
      </c>
      <c r="H1187" s="8" t="s">
        <v>28</v>
      </c>
      <c r="I1187" s="2" t="s">
        <v>26</v>
      </c>
      <c r="J1187" s="7">
        <v>44927</v>
      </c>
      <c r="K1187" s="8" t="s">
        <v>77</v>
      </c>
      <c r="L1187" s="2" t="s">
        <v>26</v>
      </c>
      <c r="M1187" s="8" t="s">
        <v>28</v>
      </c>
      <c r="N1187" s="6" t="s">
        <v>2264</v>
      </c>
      <c r="O1187" s="6" t="s">
        <v>30</v>
      </c>
      <c r="P1187" s="2" t="s">
        <v>12567</v>
      </c>
    </row>
    <row r="1188" spans="1:16" ht="13.15" x14ac:dyDescent="0.4">
      <c r="A1188" s="2" t="s">
        <v>11760</v>
      </c>
      <c r="B1188" s="2" t="s">
        <v>5885</v>
      </c>
      <c r="C1188" s="6" t="s">
        <v>5879</v>
      </c>
      <c r="D1188" s="6" t="s">
        <v>42</v>
      </c>
      <c r="E1188" s="7">
        <v>44927</v>
      </c>
      <c r="F1188" s="8" t="s">
        <v>77</v>
      </c>
      <c r="G1188" s="2" t="s">
        <v>26</v>
      </c>
      <c r="H1188" s="8" t="s">
        <v>28</v>
      </c>
      <c r="I1188" s="2" t="s">
        <v>26</v>
      </c>
      <c r="J1188" s="7">
        <v>44927</v>
      </c>
      <c r="K1188" s="8" t="s">
        <v>77</v>
      </c>
      <c r="L1188" s="2" t="s">
        <v>26</v>
      </c>
      <c r="M1188" s="8" t="s">
        <v>28</v>
      </c>
      <c r="N1188" s="6" t="s">
        <v>2264</v>
      </c>
      <c r="O1188" s="6" t="s">
        <v>30</v>
      </c>
      <c r="P1188" s="2" t="s">
        <v>12568</v>
      </c>
    </row>
    <row r="1189" spans="1:16" ht="13.15" x14ac:dyDescent="0.4">
      <c r="A1189" s="2" t="s">
        <v>11519</v>
      </c>
      <c r="B1189" s="2" t="s">
        <v>5885</v>
      </c>
      <c r="C1189" s="6" t="s">
        <v>5879</v>
      </c>
      <c r="D1189" s="6" t="s">
        <v>42</v>
      </c>
      <c r="E1189" s="7">
        <v>44927</v>
      </c>
      <c r="F1189" s="8" t="s">
        <v>77</v>
      </c>
      <c r="G1189" s="2" t="s">
        <v>26</v>
      </c>
      <c r="H1189" s="8" t="s">
        <v>28</v>
      </c>
      <c r="I1189" s="2" t="s">
        <v>26</v>
      </c>
      <c r="J1189" s="7">
        <v>44927</v>
      </c>
      <c r="K1189" s="8" t="s">
        <v>77</v>
      </c>
      <c r="L1189" s="2" t="s">
        <v>26</v>
      </c>
      <c r="M1189" s="8" t="s">
        <v>28</v>
      </c>
      <c r="N1189" s="6" t="s">
        <v>2264</v>
      </c>
      <c r="O1189" s="6" t="s">
        <v>30</v>
      </c>
      <c r="P1189" s="2" t="s">
        <v>12569</v>
      </c>
    </row>
    <row r="1190" spans="1:16" ht="13.15" x14ac:dyDescent="0.4">
      <c r="A1190" s="2" t="s">
        <v>11616</v>
      </c>
      <c r="B1190" s="2" t="s">
        <v>5885</v>
      </c>
      <c r="C1190" s="6" t="s">
        <v>5879</v>
      </c>
      <c r="D1190" s="6" t="s">
        <v>42</v>
      </c>
      <c r="E1190" s="7">
        <v>44927</v>
      </c>
      <c r="F1190" s="8" t="s">
        <v>77</v>
      </c>
      <c r="G1190" s="2" t="s">
        <v>26</v>
      </c>
      <c r="H1190" s="8" t="s">
        <v>28</v>
      </c>
      <c r="I1190" s="2" t="s">
        <v>26</v>
      </c>
      <c r="J1190" s="7">
        <v>44927</v>
      </c>
      <c r="K1190" s="8" t="s">
        <v>77</v>
      </c>
      <c r="L1190" s="2" t="s">
        <v>26</v>
      </c>
      <c r="M1190" s="8" t="s">
        <v>28</v>
      </c>
      <c r="N1190" s="6" t="s">
        <v>2264</v>
      </c>
      <c r="O1190" s="6" t="s">
        <v>30</v>
      </c>
      <c r="P1190" s="2" t="s">
        <v>12570</v>
      </c>
    </row>
    <row r="1191" spans="1:16" ht="13.15" x14ac:dyDescent="0.4">
      <c r="A1191" s="2" t="s">
        <v>11741</v>
      </c>
      <c r="B1191" s="2" t="s">
        <v>5885</v>
      </c>
      <c r="C1191" s="6" t="s">
        <v>5879</v>
      </c>
      <c r="D1191" s="6" t="s">
        <v>42</v>
      </c>
      <c r="E1191" s="7">
        <v>44927</v>
      </c>
      <c r="F1191" s="8" t="s">
        <v>77</v>
      </c>
      <c r="G1191" s="2" t="s">
        <v>26</v>
      </c>
      <c r="H1191" s="8" t="s">
        <v>28</v>
      </c>
      <c r="I1191" s="2" t="s">
        <v>26</v>
      </c>
      <c r="J1191" s="7">
        <v>44927</v>
      </c>
      <c r="K1191" s="8" t="s">
        <v>77</v>
      </c>
      <c r="L1191" s="2" t="s">
        <v>26</v>
      </c>
      <c r="M1191" s="8" t="s">
        <v>28</v>
      </c>
      <c r="N1191" s="6" t="s">
        <v>2264</v>
      </c>
      <c r="O1191" s="6" t="s">
        <v>30</v>
      </c>
      <c r="P1191" s="2" t="s">
        <v>12571</v>
      </c>
    </row>
    <row r="1192" spans="1:16" ht="13.15" x14ac:dyDescent="0.4">
      <c r="A1192" s="2" t="s">
        <v>11544</v>
      </c>
      <c r="B1192" s="2" t="s">
        <v>5885</v>
      </c>
      <c r="C1192" s="6" t="s">
        <v>5879</v>
      </c>
      <c r="D1192" s="6" t="s">
        <v>42</v>
      </c>
      <c r="E1192" s="7">
        <v>44927</v>
      </c>
      <c r="F1192" s="8" t="s">
        <v>77</v>
      </c>
      <c r="G1192" s="2" t="s">
        <v>26</v>
      </c>
      <c r="H1192" s="8" t="s">
        <v>28</v>
      </c>
      <c r="I1192" s="2" t="s">
        <v>26</v>
      </c>
      <c r="J1192" s="7">
        <v>44927</v>
      </c>
      <c r="K1192" s="8" t="s">
        <v>77</v>
      </c>
      <c r="L1192" s="2" t="s">
        <v>26</v>
      </c>
      <c r="M1192" s="8" t="s">
        <v>28</v>
      </c>
      <c r="N1192" s="6" t="s">
        <v>2264</v>
      </c>
      <c r="O1192" s="6" t="s">
        <v>30</v>
      </c>
      <c r="P1192" s="2" t="s">
        <v>12572</v>
      </c>
    </row>
    <row r="1193" spans="1:16" ht="13.15" x14ac:dyDescent="0.4">
      <c r="A1193" s="2" t="s">
        <v>11608</v>
      </c>
      <c r="B1193" s="2" t="s">
        <v>5885</v>
      </c>
      <c r="C1193" s="6" t="s">
        <v>5879</v>
      </c>
      <c r="D1193" s="6" t="s">
        <v>42</v>
      </c>
      <c r="E1193" s="7">
        <v>44927</v>
      </c>
      <c r="F1193" s="8" t="s">
        <v>77</v>
      </c>
      <c r="G1193" s="2" t="s">
        <v>26</v>
      </c>
      <c r="H1193" s="8" t="s">
        <v>28</v>
      </c>
      <c r="I1193" s="2" t="s">
        <v>26</v>
      </c>
      <c r="J1193" s="7">
        <v>44927</v>
      </c>
      <c r="K1193" s="8" t="s">
        <v>77</v>
      </c>
      <c r="L1193" s="2" t="s">
        <v>26</v>
      </c>
      <c r="M1193" s="8" t="s">
        <v>28</v>
      </c>
      <c r="N1193" s="6" t="s">
        <v>2264</v>
      </c>
      <c r="O1193" s="6" t="s">
        <v>30</v>
      </c>
      <c r="P1193" s="2" t="s">
        <v>12573</v>
      </c>
    </row>
    <row r="1194" spans="1:16" ht="13.15" x14ac:dyDescent="0.4">
      <c r="A1194" s="2" t="s">
        <v>8460</v>
      </c>
      <c r="B1194" s="2" t="s">
        <v>5885</v>
      </c>
      <c r="C1194" s="6" t="s">
        <v>5879</v>
      </c>
      <c r="D1194" s="6" t="s">
        <v>42</v>
      </c>
      <c r="E1194" s="7">
        <v>44927</v>
      </c>
      <c r="F1194" s="8" t="s">
        <v>77</v>
      </c>
      <c r="G1194" s="2" t="s">
        <v>26</v>
      </c>
      <c r="H1194" s="8" t="s">
        <v>28</v>
      </c>
      <c r="I1194" s="2" t="s">
        <v>26</v>
      </c>
      <c r="J1194" s="7">
        <v>44927</v>
      </c>
      <c r="K1194" s="8" t="s">
        <v>77</v>
      </c>
      <c r="L1194" s="2" t="s">
        <v>26</v>
      </c>
      <c r="M1194" s="8" t="s">
        <v>28</v>
      </c>
      <c r="N1194" s="6" t="s">
        <v>2264</v>
      </c>
      <c r="O1194" s="6" t="s">
        <v>30</v>
      </c>
      <c r="P1194" s="2" t="s">
        <v>12574</v>
      </c>
    </row>
    <row r="1195" spans="1:16" ht="13.15" x14ac:dyDescent="0.4">
      <c r="A1195" s="2" t="s">
        <v>11487</v>
      </c>
      <c r="B1195" s="2" t="s">
        <v>5885</v>
      </c>
      <c r="C1195" s="6" t="s">
        <v>5879</v>
      </c>
      <c r="D1195" s="6" t="s">
        <v>42</v>
      </c>
      <c r="E1195" s="7">
        <v>44927</v>
      </c>
      <c r="F1195" s="8" t="s">
        <v>77</v>
      </c>
      <c r="G1195" s="2" t="s">
        <v>26</v>
      </c>
      <c r="H1195" s="8" t="s">
        <v>28</v>
      </c>
      <c r="I1195" s="2" t="s">
        <v>26</v>
      </c>
      <c r="J1195" s="7">
        <v>44927</v>
      </c>
      <c r="K1195" s="8" t="s">
        <v>77</v>
      </c>
      <c r="L1195" s="2" t="s">
        <v>26</v>
      </c>
      <c r="M1195" s="8" t="s">
        <v>28</v>
      </c>
      <c r="N1195" s="6" t="s">
        <v>2264</v>
      </c>
      <c r="O1195" s="6" t="s">
        <v>30</v>
      </c>
      <c r="P1195" s="2" t="s">
        <v>12575</v>
      </c>
    </row>
    <row r="1196" spans="1:16" ht="13.15" x14ac:dyDescent="0.4">
      <c r="A1196" s="2" t="s">
        <v>11613</v>
      </c>
      <c r="B1196" s="2" t="s">
        <v>5885</v>
      </c>
      <c r="C1196" s="6" t="s">
        <v>5879</v>
      </c>
      <c r="D1196" s="6" t="s">
        <v>42</v>
      </c>
      <c r="E1196" s="7">
        <v>44927</v>
      </c>
      <c r="F1196" s="8" t="s">
        <v>77</v>
      </c>
      <c r="G1196" s="2" t="s">
        <v>26</v>
      </c>
      <c r="H1196" s="8" t="s">
        <v>28</v>
      </c>
      <c r="I1196" s="2" t="s">
        <v>26</v>
      </c>
      <c r="J1196" s="7">
        <v>44927</v>
      </c>
      <c r="K1196" s="8" t="s">
        <v>77</v>
      </c>
      <c r="L1196" s="2" t="s">
        <v>26</v>
      </c>
      <c r="M1196" s="8" t="s">
        <v>28</v>
      </c>
      <c r="N1196" s="6" t="s">
        <v>2264</v>
      </c>
      <c r="O1196" s="6" t="s">
        <v>30</v>
      </c>
      <c r="P1196" s="2" t="s">
        <v>12576</v>
      </c>
    </row>
    <row r="1197" spans="1:16" ht="13.15" x14ac:dyDescent="0.4">
      <c r="A1197" s="2" t="s">
        <v>11416</v>
      </c>
      <c r="B1197" s="2" t="s">
        <v>5885</v>
      </c>
      <c r="C1197" s="6" t="s">
        <v>5879</v>
      </c>
      <c r="D1197" s="6" t="s">
        <v>42</v>
      </c>
      <c r="E1197" s="7">
        <v>44927</v>
      </c>
      <c r="F1197" s="8" t="s">
        <v>77</v>
      </c>
      <c r="G1197" s="2" t="s">
        <v>26</v>
      </c>
      <c r="H1197" s="8" t="s">
        <v>28</v>
      </c>
      <c r="I1197" s="2" t="s">
        <v>26</v>
      </c>
      <c r="J1197" s="7">
        <v>44927</v>
      </c>
      <c r="K1197" s="8" t="s">
        <v>77</v>
      </c>
      <c r="L1197" s="2" t="s">
        <v>26</v>
      </c>
      <c r="M1197" s="8" t="s">
        <v>28</v>
      </c>
      <c r="N1197" s="6" t="s">
        <v>2264</v>
      </c>
      <c r="O1197" s="6" t="s">
        <v>30</v>
      </c>
      <c r="P1197" s="2" t="s">
        <v>12577</v>
      </c>
    </row>
    <row r="1198" spans="1:16" ht="13.15" x14ac:dyDescent="0.4">
      <c r="A1198" s="2" t="s">
        <v>11675</v>
      </c>
      <c r="B1198" s="2" t="s">
        <v>5885</v>
      </c>
      <c r="C1198" s="6" t="s">
        <v>5879</v>
      </c>
      <c r="D1198" s="6" t="s">
        <v>42</v>
      </c>
      <c r="E1198" s="7">
        <v>44927</v>
      </c>
      <c r="F1198" s="8" t="s">
        <v>77</v>
      </c>
      <c r="G1198" s="2" t="s">
        <v>26</v>
      </c>
      <c r="H1198" s="8" t="s">
        <v>28</v>
      </c>
      <c r="I1198" s="2" t="s">
        <v>26</v>
      </c>
      <c r="J1198" s="7">
        <v>44927</v>
      </c>
      <c r="K1198" s="8" t="s">
        <v>77</v>
      </c>
      <c r="L1198" s="2" t="s">
        <v>26</v>
      </c>
      <c r="M1198" s="8" t="s">
        <v>28</v>
      </c>
      <c r="N1198" s="6" t="s">
        <v>2264</v>
      </c>
      <c r="O1198" s="6" t="s">
        <v>30</v>
      </c>
      <c r="P1198" s="2" t="s">
        <v>12578</v>
      </c>
    </row>
    <row r="1199" spans="1:16" ht="13.15" x14ac:dyDescent="0.4">
      <c r="A1199" s="2" t="s">
        <v>11501</v>
      </c>
      <c r="B1199" s="2" t="s">
        <v>5885</v>
      </c>
      <c r="C1199" s="6" t="s">
        <v>5879</v>
      </c>
      <c r="D1199" s="6" t="s">
        <v>42</v>
      </c>
      <c r="E1199" s="7">
        <v>44927</v>
      </c>
      <c r="F1199" s="8" t="s">
        <v>77</v>
      </c>
      <c r="G1199" s="2" t="s">
        <v>26</v>
      </c>
      <c r="H1199" s="8" t="s">
        <v>28</v>
      </c>
      <c r="I1199" s="2" t="s">
        <v>26</v>
      </c>
      <c r="J1199" s="7">
        <v>44927</v>
      </c>
      <c r="K1199" s="8" t="s">
        <v>77</v>
      </c>
      <c r="L1199" s="2" t="s">
        <v>26</v>
      </c>
      <c r="M1199" s="8" t="s">
        <v>28</v>
      </c>
      <c r="N1199" s="6" t="s">
        <v>2264</v>
      </c>
      <c r="O1199" s="6" t="s">
        <v>30</v>
      </c>
      <c r="P1199" s="2" t="s">
        <v>12579</v>
      </c>
    </row>
    <row r="1200" spans="1:16" ht="13.15" x14ac:dyDescent="0.4">
      <c r="A1200" s="2" t="s">
        <v>11669</v>
      </c>
      <c r="B1200" s="2" t="s">
        <v>5885</v>
      </c>
      <c r="C1200" s="6" t="s">
        <v>5879</v>
      </c>
      <c r="D1200" s="6" t="s">
        <v>42</v>
      </c>
      <c r="E1200" s="7">
        <v>44927</v>
      </c>
      <c r="F1200" s="8" t="s">
        <v>77</v>
      </c>
      <c r="G1200" s="2" t="s">
        <v>26</v>
      </c>
      <c r="H1200" s="8" t="s">
        <v>28</v>
      </c>
      <c r="I1200" s="2" t="s">
        <v>26</v>
      </c>
      <c r="J1200" s="7">
        <v>44927</v>
      </c>
      <c r="K1200" s="8" t="s">
        <v>77</v>
      </c>
      <c r="L1200" s="2" t="s">
        <v>26</v>
      </c>
      <c r="M1200" s="8" t="s">
        <v>28</v>
      </c>
      <c r="N1200" s="6" t="s">
        <v>2264</v>
      </c>
      <c r="O1200" s="6" t="s">
        <v>30</v>
      </c>
      <c r="P1200" s="2" t="s">
        <v>12580</v>
      </c>
    </row>
    <row r="1201" spans="1:16" ht="13.15" x14ac:dyDescent="0.4">
      <c r="A1201" s="2" t="s">
        <v>11415</v>
      </c>
      <c r="B1201" s="2" t="s">
        <v>5885</v>
      </c>
      <c r="C1201" s="6" t="s">
        <v>5879</v>
      </c>
      <c r="D1201" s="6" t="s">
        <v>42</v>
      </c>
      <c r="E1201" s="7">
        <v>44927</v>
      </c>
      <c r="F1201" s="8" t="s">
        <v>77</v>
      </c>
      <c r="G1201" s="2" t="s">
        <v>26</v>
      </c>
      <c r="H1201" s="8" t="s">
        <v>28</v>
      </c>
      <c r="I1201" s="2" t="s">
        <v>26</v>
      </c>
      <c r="J1201" s="7">
        <v>44927</v>
      </c>
      <c r="K1201" s="8" t="s">
        <v>77</v>
      </c>
      <c r="L1201" s="2" t="s">
        <v>26</v>
      </c>
      <c r="M1201" s="8" t="s">
        <v>28</v>
      </c>
      <c r="N1201" s="6" t="s">
        <v>2264</v>
      </c>
      <c r="O1201" s="6" t="s">
        <v>30</v>
      </c>
      <c r="P1201" s="2" t="s">
        <v>12581</v>
      </c>
    </row>
    <row r="1202" spans="1:16" ht="13.15" x14ac:dyDescent="0.4">
      <c r="A1202" s="2" t="s">
        <v>11461</v>
      </c>
      <c r="B1202" s="2" t="s">
        <v>5885</v>
      </c>
      <c r="C1202" s="6" t="s">
        <v>5879</v>
      </c>
      <c r="D1202" s="6" t="s">
        <v>42</v>
      </c>
      <c r="E1202" s="7">
        <v>44927</v>
      </c>
      <c r="F1202" s="8" t="s">
        <v>77</v>
      </c>
      <c r="G1202" s="2" t="s">
        <v>26</v>
      </c>
      <c r="H1202" s="8" t="s">
        <v>28</v>
      </c>
      <c r="I1202" s="2" t="s">
        <v>26</v>
      </c>
      <c r="J1202" s="7">
        <v>44927</v>
      </c>
      <c r="K1202" s="8" t="s">
        <v>77</v>
      </c>
      <c r="L1202" s="2" t="s">
        <v>26</v>
      </c>
      <c r="M1202" s="8" t="s">
        <v>28</v>
      </c>
      <c r="N1202" s="6" t="s">
        <v>2264</v>
      </c>
      <c r="O1202" s="6" t="s">
        <v>30</v>
      </c>
      <c r="P1202" s="2" t="s">
        <v>12582</v>
      </c>
    </row>
    <row r="1203" spans="1:16" ht="13.15" x14ac:dyDescent="0.4">
      <c r="A1203" s="2" t="s">
        <v>11509</v>
      </c>
      <c r="B1203" s="2" t="s">
        <v>5885</v>
      </c>
      <c r="C1203" s="6" t="s">
        <v>5879</v>
      </c>
      <c r="D1203" s="6" t="s">
        <v>42</v>
      </c>
      <c r="E1203" s="7">
        <v>44927</v>
      </c>
      <c r="F1203" s="8" t="s">
        <v>77</v>
      </c>
      <c r="G1203" s="2" t="s">
        <v>26</v>
      </c>
      <c r="H1203" s="8" t="s">
        <v>28</v>
      </c>
      <c r="I1203" s="2" t="s">
        <v>26</v>
      </c>
      <c r="J1203" s="7">
        <v>44927</v>
      </c>
      <c r="K1203" s="8" t="s">
        <v>77</v>
      </c>
      <c r="L1203" s="2" t="s">
        <v>26</v>
      </c>
      <c r="M1203" s="8" t="s">
        <v>28</v>
      </c>
      <c r="N1203" s="6" t="s">
        <v>2264</v>
      </c>
      <c r="O1203" s="6" t="s">
        <v>30</v>
      </c>
      <c r="P1203" s="2" t="s">
        <v>12583</v>
      </c>
    </row>
    <row r="1204" spans="1:16" ht="13.15" x14ac:dyDescent="0.4">
      <c r="A1204" s="2" t="s">
        <v>11552</v>
      </c>
      <c r="B1204" s="2" t="s">
        <v>5885</v>
      </c>
      <c r="C1204" s="6" t="s">
        <v>5879</v>
      </c>
      <c r="D1204" s="6" t="s">
        <v>42</v>
      </c>
      <c r="E1204" s="7">
        <v>44927</v>
      </c>
      <c r="F1204" s="8" t="s">
        <v>77</v>
      </c>
      <c r="G1204" s="2" t="s">
        <v>26</v>
      </c>
      <c r="H1204" s="8" t="s">
        <v>28</v>
      </c>
      <c r="I1204" s="2" t="s">
        <v>26</v>
      </c>
      <c r="J1204" s="7">
        <v>44927</v>
      </c>
      <c r="K1204" s="8" t="s">
        <v>77</v>
      </c>
      <c r="L1204" s="2" t="s">
        <v>26</v>
      </c>
      <c r="M1204" s="8" t="s">
        <v>28</v>
      </c>
      <c r="N1204" s="6" t="s">
        <v>2264</v>
      </c>
      <c r="O1204" s="6" t="s">
        <v>30</v>
      </c>
      <c r="P1204" s="2" t="s">
        <v>12584</v>
      </c>
    </row>
    <row r="1205" spans="1:16" ht="13.15" x14ac:dyDescent="0.4">
      <c r="A1205" s="2" t="s">
        <v>11511</v>
      </c>
      <c r="B1205" s="2" t="s">
        <v>5885</v>
      </c>
      <c r="C1205" s="6" t="s">
        <v>5879</v>
      </c>
      <c r="D1205" s="6" t="s">
        <v>42</v>
      </c>
      <c r="E1205" s="7">
        <v>44927</v>
      </c>
      <c r="F1205" s="8" t="s">
        <v>77</v>
      </c>
      <c r="G1205" s="2" t="s">
        <v>26</v>
      </c>
      <c r="H1205" s="8" t="s">
        <v>28</v>
      </c>
      <c r="I1205" s="2" t="s">
        <v>26</v>
      </c>
      <c r="J1205" s="7">
        <v>44927</v>
      </c>
      <c r="K1205" s="8" t="s">
        <v>77</v>
      </c>
      <c r="L1205" s="2" t="s">
        <v>26</v>
      </c>
      <c r="M1205" s="8" t="s">
        <v>28</v>
      </c>
      <c r="N1205" s="6" t="s">
        <v>2264</v>
      </c>
      <c r="O1205" s="6" t="s">
        <v>30</v>
      </c>
      <c r="P1205" s="2" t="s">
        <v>12585</v>
      </c>
    </row>
    <row r="1206" spans="1:16" ht="13.15" x14ac:dyDescent="0.4">
      <c r="A1206" s="2" t="s">
        <v>11578</v>
      </c>
      <c r="B1206" s="2" t="s">
        <v>5885</v>
      </c>
      <c r="C1206" s="6" t="s">
        <v>5879</v>
      </c>
      <c r="D1206" s="6" t="s">
        <v>42</v>
      </c>
      <c r="E1206" s="7">
        <v>44927</v>
      </c>
      <c r="F1206" s="8" t="s">
        <v>77</v>
      </c>
      <c r="G1206" s="2" t="s">
        <v>26</v>
      </c>
      <c r="H1206" s="8" t="s">
        <v>28</v>
      </c>
      <c r="I1206" s="2" t="s">
        <v>26</v>
      </c>
      <c r="J1206" s="7">
        <v>44927</v>
      </c>
      <c r="K1206" s="8" t="s">
        <v>77</v>
      </c>
      <c r="L1206" s="2" t="s">
        <v>26</v>
      </c>
      <c r="M1206" s="8" t="s">
        <v>28</v>
      </c>
      <c r="N1206" s="6" t="s">
        <v>2264</v>
      </c>
      <c r="O1206" s="6" t="s">
        <v>30</v>
      </c>
      <c r="P1206" s="2" t="s">
        <v>12586</v>
      </c>
    </row>
    <row r="1207" spans="1:16" ht="13.15" x14ac:dyDescent="0.4">
      <c r="A1207" s="2" t="s">
        <v>11339</v>
      </c>
      <c r="B1207" s="2" t="s">
        <v>5885</v>
      </c>
      <c r="C1207" s="6" t="s">
        <v>5879</v>
      </c>
      <c r="D1207" s="6" t="s">
        <v>42</v>
      </c>
      <c r="E1207" s="7">
        <v>44927</v>
      </c>
      <c r="F1207" s="8" t="s">
        <v>77</v>
      </c>
      <c r="G1207" s="2" t="s">
        <v>26</v>
      </c>
      <c r="H1207" s="8" t="s">
        <v>28</v>
      </c>
      <c r="I1207" s="2" t="s">
        <v>26</v>
      </c>
      <c r="J1207" s="7">
        <v>44927</v>
      </c>
      <c r="K1207" s="8" t="s">
        <v>77</v>
      </c>
      <c r="L1207" s="2" t="s">
        <v>26</v>
      </c>
      <c r="M1207" s="8" t="s">
        <v>28</v>
      </c>
      <c r="N1207" s="6" t="s">
        <v>2264</v>
      </c>
      <c r="O1207" s="6" t="s">
        <v>30</v>
      </c>
      <c r="P1207" s="2" t="s">
        <v>12587</v>
      </c>
    </row>
    <row r="1208" spans="1:16" ht="13.15" x14ac:dyDescent="0.4">
      <c r="A1208" s="2" t="s">
        <v>11725</v>
      </c>
      <c r="B1208" s="2" t="s">
        <v>5885</v>
      </c>
      <c r="C1208" s="6" t="s">
        <v>5879</v>
      </c>
      <c r="D1208" s="6" t="s">
        <v>42</v>
      </c>
      <c r="E1208" s="7">
        <v>44927</v>
      </c>
      <c r="F1208" s="8" t="s">
        <v>77</v>
      </c>
      <c r="G1208" s="2" t="s">
        <v>26</v>
      </c>
      <c r="H1208" s="8" t="s">
        <v>28</v>
      </c>
      <c r="I1208" s="2" t="s">
        <v>26</v>
      </c>
      <c r="J1208" s="7">
        <v>44927</v>
      </c>
      <c r="K1208" s="8" t="s">
        <v>77</v>
      </c>
      <c r="L1208" s="2" t="s">
        <v>26</v>
      </c>
      <c r="M1208" s="8" t="s">
        <v>28</v>
      </c>
      <c r="N1208" s="6" t="s">
        <v>2264</v>
      </c>
      <c r="O1208" s="6" t="s">
        <v>30</v>
      </c>
      <c r="P1208" s="2" t="s">
        <v>12588</v>
      </c>
    </row>
    <row r="1209" spans="1:16" ht="13.15" x14ac:dyDescent="0.4">
      <c r="A1209" s="2" t="s">
        <v>11514</v>
      </c>
      <c r="B1209" s="2" t="s">
        <v>5885</v>
      </c>
      <c r="C1209" s="6" t="s">
        <v>5879</v>
      </c>
      <c r="D1209" s="6" t="s">
        <v>42</v>
      </c>
      <c r="E1209" s="7">
        <v>44927</v>
      </c>
      <c r="F1209" s="8" t="s">
        <v>77</v>
      </c>
      <c r="G1209" s="2" t="s">
        <v>26</v>
      </c>
      <c r="H1209" s="8" t="s">
        <v>28</v>
      </c>
      <c r="I1209" s="2" t="s">
        <v>26</v>
      </c>
      <c r="J1209" s="7">
        <v>44927</v>
      </c>
      <c r="K1209" s="8" t="s">
        <v>77</v>
      </c>
      <c r="L1209" s="2" t="s">
        <v>26</v>
      </c>
      <c r="M1209" s="8" t="s">
        <v>28</v>
      </c>
      <c r="N1209" s="6" t="s">
        <v>2264</v>
      </c>
      <c r="O1209" s="6" t="s">
        <v>30</v>
      </c>
      <c r="P1209" s="2" t="s">
        <v>12589</v>
      </c>
    </row>
    <row r="1210" spans="1:16" ht="13.15" x14ac:dyDescent="0.4">
      <c r="A1210" s="2" t="s">
        <v>11429</v>
      </c>
      <c r="B1210" s="2" t="s">
        <v>5885</v>
      </c>
      <c r="C1210" s="6" t="s">
        <v>5879</v>
      </c>
      <c r="D1210" s="6" t="s">
        <v>42</v>
      </c>
      <c r="E1210" s="7">
        <v>44927</v>
      </c>
      <c r="F1210" s="8" t="s">
        <v>77</v>
      </c>
      <c r="G1210" s="2" t="s">
        <v>26</v>
      </c>
      <c r="H1210" s="8" t="s">
        <v>28</v>
      </c>
      <c r="I1210" s="2" t="s">
        <v>26</v>
      </c>
      <c r="J1210" s="7">
        <v>44927</v>
      </c>
      <c r="K1210" s="8" t="s">
        <v>77</v>
      </c>
      <c r="L1210" s="2" t="s">
        <v>26</v>
      </c>
      <c r="M1210" s="8" t="s">
        <v>28</v>
      </c>
      <c r="N1210" s="6" t="s">
        <v>2264</v>
      </c>
      <c r="O1210" s="6" t="s">
        <v>30</v>
      </c>
      <c r="P1210" s="2" t="s">
        <v>12590</v>
      </c>
    </row>
    <row r="1211" spans="1:16" ht="13.15" x14ac:dyDescent="0.4">
      <c r="A1211" s="2" t="s">
        <v>2634</v>
      </c>
      <c r="B1211" s="2" t="s">
        <v>5885</v>
      </c>
      <c r="C1211" s="6" t="s">
        <v>5879</v>
      </c>
      <c r="D1211" s="6" t="s">
        <v>42</v>
      </c>
      <c r="E1211" s="7">
        <v>44927</v>
      </c>
      <c r="F1211" s="8" t="s">
        <v>77</v>
      </c>
      <c r="G1211" s="2" t="s">
        <v>26</v>
      </c>
      <c r="H1211" s="8" t="s">
        <v>28</v>
      </c>
      <c r="I1211" s="2" t="s">
        <v>26</v>
      </c>
      <c r="J1211" s="7">
        <v>44927</v>
      </c>
      <c r="K1211" s="8" t="s">
        <v>77</v>
      </c>
      <c r="L1211" s="2" t="s">
        <v>26</v>
      </c>
      <c r="M1211" s="8" t="s">
        <v>28</v>
      </c>
      <c r="N1211" s="6" t="s">
        <v>2264</v>
      </c>
      <c r="O1211" s="6" t="s">
        <v>30</v>
      </c>
      <c r="P1211" s="2" t="s">
        <v>12591</v>
      </c>
    </row>
    <row r="1212" spans="1:16" ht="13.15" x14ac:dyDescent="0.4">
      <c r="A1212" s="2" t="s">
        <v>11636</v>
      </c>
      <c r="B1212" s="2" t="s">
        <v>5885</v>
      </c>
      <c r="C1212" s="6" t="s">
        <v>5879</v>
      </c>
      <c r="D1212" s="6" t="s">
        <v>42</v>
      </c>
      <c r="E1212" s="7">
        <v>44927</v>
      </c>
      <c r="F1212" s="8" t="s">
        <v>77</v>
      </c>
      <c r="G1212" s="2" t="s">
        <v>26</v>
      </c>
      <c r="H1212" s="8" t="s">
        <v>28</v>
      </c>
      <c r="I1212" s="2" t="s">
        <v>26</v>
      </c>
      <c r="J1212" s="7">
        <v>44927</v>
      </c>
      <c r="K1212" s="8" t="s">
        <v>77</v>
      </c>
      <c r="L1212" s="2" t="s">
        <v>26</v>
      </c>
      <c r="M1212" s="8" t="s">
        <v>28</v>
      </c>
      <c r="N1212" s="6" t="s">
        <v>2264</v>
      </c>
      <c r="O1212" s="6" t="s">
        <v>30</v>
      </c>
      <c r="P1212" s="2" t="s">
        <v>12592</v>
      </c>
    </row>
    <row r="1213" spans="1:16" ht="13.15" x14ac:dyDescent="0.4">
      <c r="A1213" s="2" t="s">
        <v>11499</v>
      </c>
      <c r="B1213" s="2" t="s">
        <v>5885</v>
      </c>
      <c r="C1213" s="6" t="s">
        <v>5879</v>
      </c>
      <c r="D1213" s="6" t="s">
        <v>42</v>
      </c>
      <c r="E1213" s="7">
        <v>44927</v>
      </c>
      <c r="F1213" s="8" t="s">
        <v>77</v>
      </c>
      <c r="G1213" s="2" t="s">
        <v>26</v>
      </c>
      <c r="H1213" s="8" t="s">
        <v>28</v>
      </c>
      <c r="I1213" s="2" t="s">
        <v>26</v>
      </c>
      <c r="J1213" s="7">
        <v>44927</v>
      </c>
      <c r="K1213" s="8" t="s">
        <v>77</v>
      </c>
      <c r="L1213" s="2" t="s">
        <v>26</v>
      </c>
      <c r="M1213" s="8" t="s">
        <v>28</v>
      </c>
      <c r="N1213" s="6" t="s">
        <v>2264</v>
      </c>
      <c r="O1213" s="6" t="s">
        <v>30</v>
      </c>
      <c r="P1213" s="2" t="s">
        <v>12593</v>
      </c>
    </row>
    <row r="1214" spans="1:16" ht="13.15" x14ac:dyDescent="0.4">
      <c r="A1214" s="2" t="s">
        <v>11315</v>
      </c>
      <c r="B1214" s="2" t="s">
        <v>5885</v>
      </c>
      <c r="C1214" s="6" t="s">
        <v>5879</v>
      </c>
      <c r="D1214" s="6" t="s">
        <v>42</v>
      </c>
      <c r="E1214" s="7">
        <v>44927</v>
      </c>
      <c r="F1214" s="8" t="s">
        <v>77</v>
      </c>
      <c r="G1214" s="2" t="s">
        <v>26</v>
      </c>
      <c r="H1214" s="8" t="s">
        <v>28</v>
      </c>
      <c r="I1214" s="2" t="s">
        <v>26</v>
      </c>
      <c r="J1214" s="7">
        <v>44927</v>
      </c>
      <c r="K1214" s="8" t="s">
        <v>77</v>
      </c>
      <c r="L1214" s="2" t="s">
        <v>26</v>
      </c>
      <c r="M1214" s="8" t="s">
        <v>28</v>
      </c>
      <c r="N1214" s="6" t="s">
        <v>2264</v>
      </c>
      <c r="O1214" s="6" t="s">
        <v>30</v>
      </c>
      <c r="P1214" s="2" t="s">
        <v>12594</v>
      </c>
    </row>
    <row r="1215" spans="1:16" ht="13.15" x14ac:dyDescent="0.4">
      <c r="A1215" s="2" t="s">
        <v>11314</v>
      </c>
      <c r="B1215" s="2" t="s">
        <v>5885</v>
      </c>
      <c r="C1215" s="6" t="s">
        <v>5879</v>
      </c>
      <c r="D1215" s="6" t="s">
        <v>42</v>
      </c>
      <c r="E1215" s="7">
        <v>44927</v>
      </c>
      <c r="F1215" s="8" t="s">
        <v>77</v>
      </c>
      <c r="G1215" s="2" t="s">
        <v>26</v>
      </c>
      <c r="H1215" s="8" t="s">
        <v>28</v>
      </c>
      <c r="I1215" s="2" t="s">
        <v>26</v>
      </c>
      <c r="J1215" s="7">
        <v>44927</v>
      </c>
      <c r="K1215" s="8" t="s">
        <v>77</v>
      </c>
      <c r="L1215" s="2" t="s">
        <v>26</v>
      </c>
      <c r="M1215" s="8" t="s">
        <v>28</v>
      </c>
      <c r="N1215" s="6" t="s">
        <v>2264</v>
      </c>
      <c r="O1215" s="6" t="s">
        <v>30</v>
      </c>
      <c r="P1215" s="2" t="s">
        <v>12595</v>
      </c>
    </row>
    <row r="1216" spans="1:16" ht="13.15" x14ac:dyDescent="0.4">
      <c r="A1216" s="2" t="s">
        <v>11722</v>
      </c>
      <c r="B1216" s="2" t="s">
        <v>5885</v>
      </c>
      <c r="C1216" s="6" t="s">
        <v>5879</v>
      </c>
      <c r="D1216" s="6" t="s">
        <v>42</v>
      </c>
      <c r="E1216" s="7">
        <v>44927</v>
      </c>
      <c r="F1216" s="8" t="s">
        <v>77</v>
      </c>
      <c r="G1216" s="2" t="s">
        <v>26</v>
      </c>
      <c r="H1216" s="8" t="s">
        <v>28</v>
      </c>
      <c r="I1216" s="2" t="s">
        <v>26</v>
      </c>
      <c r="J1216" s="7">
        <v>44927</v>
      </c>
      <c r="K1216" s="8" t="s">
        <v>77</v>
      </c>
      <c r="L1216" s="2" t="s">
        <v>26</v>
      </c>
      <c r="M1216" s="8" t="s">
        <v>28</v>
      </c>
      <c r="N1216" s="6" t="s">
        <v>2264</v>
      </c>
      <c r="O1216" s="6" t="s">
        <v>30</v>
      </c>
      <c r="P1216" s="2" t="s">
        <v>12596</v>
      </c>
    </row>
    <row r="1217" spans="1:16" ht="13.15" x14ac:dyDescent="0.4">
      <c r="A1217" s="2" t="s">
        <v>11745</v>
      </c>
      <c r="B1217" s="2" t="s">
        <v>5885</v>
      </c>
      <c r="C1217" s="6" t="s">
        <v>5879</v>
      </c>
      <c r="D1217" s="6" t="s">
        <v>42</v>
      </c>
      <c r="E1217" s="7">
        <v>44927</v>
      </c>
      <c r="F1217" s="8" t="s">
        <v>77</v>
      </c>
      <c r="G1217" s="2" t="s">
        <v>26</v>
      </c>
      <c r="H1217" s="8" t="s">
        <v>28</v>
      </c>
      <c r="I1217" s="2" t="s">
        <v>26</v>
      </c>
      <c r="J1217" s="7">
        <v>44927</v>
      </c>
      <c r="K1217" s="8" t="s">
        <v>77</v>
      </c>
      <c r="L1217" s="2" t="s">
        <v>26</v>
      </c>
      <c r="M1217" s="8" t="s">
        <v>28</v>
      </c>
      <c r="N1217" s="6" t="s">
        <v>2264</v>
      </c>
      <c r="O1217" s="6" t="s">
        <v>30</v>
      </c>
      <c r="P1217" s="2" t="s">
        <v>12597</v>
      </c>
    </row>
    <row r="1218" spans="1:16" ht="13.15" x14ac:dyDescent="0.4">
      <c r="A1218" s="2" t="s">
        <v>11650</v>
      </c>
      <c r="B1218" s="2" t="s">
        <v>5885</v>
      </c>
      <c r="C1218" s="6" t="s">
        <v>5879</v>
      </c>
      <c r="D1218" s="6" t="s">
        <v>42</v>
      </c>
      <c r="E1218" s="7">
        <v>44927</v>
      </c>
      <c r="F1218" s="8" t="s">
        <v>77</v>
      </c>
      <c r="G1218" s="2" t="s">
        <v>26</v>
      </c>
      <c r="H1218" s="8" t="s">
        <v>28</v>
      </c>
      <c r="I1218" s="2" t="s">
        <v>26</v>
      </c>
      <c r="J1218" s="7">
        <v>44927</v>
      </c>
      <c r="K1218" s="8" t="s">
        <v>77</v>
      </c>
      <c r="L1218" s="2" t="s">
        <v>26</v>
      </c>
      <c r="M1218" s="8" t="s">
        <v>28</v>
      </c>
      <c r="N1218" s="6" t="s">
        <v>2264</v>
      </c>
      <c r="O1218" s="6" t="s">
        <v>30</v>
      </c>
      <c r="P1218" s="2" t="s">
        <v>12598</v>
      </c>
    </row>
    <row r="1219" spans="1:16" ht="13.15" x14ac:dyDescent="0.4">
      <c r="A1219" s="2" t="s">
        <v>11765</v>
      </c>
      <c r="B1219" s="2" t="s">
        <v>5885</v>
      </c>
      <c r="C1219" s="6" t="s">
        <v>5879</v>
      </c>
      <c r="D1219" s="6" t="s">
        <v>42</v>
      </c>
      <c r="E1219" s="7">
        <v>44927</v>
      </c>
      <c r="F1219" s="8" t="s">
        <v>77</v>
      </c>
      <c r="G1219" s="2" t="s">
        <v>26</v>
      </c>
      <c r="H1219" s="8" t="s">
        <v>28</v>
      </c>
      <c r="I1219" s="2" t="s">
        <v>26</v>
      </c>
      <c r="J1219" s="7">
        <v>44927</v>
      </c>
      <c r="K1219" s="8" t="s">
        <v>77</v>
      </c>
      <c r="L1219" s="2" t="s">
        <v>26</v>
      </c>
      <c r="M1219" s="8" t="s">
        <v>28</v>
      </c>
      <c r="N1219" s="6" t="s">
        <v>2264</v>
      </c>
      <c r="O1219" s="6" t="s">
        <v>30</v>
      </c>
      <c r="P1219" s="2" t="s">
        <v>12599</v>
      </c>
    </row>
    <row r="1220" spans="1:16" ht="13.15" x14ac:dyDescent="0.4">
      <c r="A1220" s="2" t="s">
        <v>11574</v>
      </c>
      <c r="B1220" s="2" t="s">
        <v>5885</v>
      </c>
      <c r="C1220" s="6" t="s">
        <v>5879</v>
      </c>
      <c r="D1220" s="6" t="s">
        <v>42</v>
      </c>
      <c r="E1220" s="7">
        <v>44927</v>
      </c>
      <c r="F1220" s="8" t="s">
        <v>77</v>
      </c>
      <c r="G1220" s="2" t="s">
        <v>26</v>
      </c>
      <c r="H1220" s="8" t="s">
        <v>28</v>
      </c>
      <c r="I1220" s="2" t="s">
        <v>26</v>
      </c>
      <c r="J1220" s="7">
        <v>44927</v>
      </c>
      <c r="K1220" s="8" t="s">
        <v>77</v>
      </c>
      <c r="L1220" s="2" t="s">
        <v>26</v>
      </c>
      <c r="M1220" s="8" t="s">
        <v>28</v>
      </c>
      <c r="N1220" s="6" t="s">
        <v>2264</v>
      </c>
      <c r="O1220" s="6" t="s">
        <v>30</v>
      </c>
      <c r="P1220" s="2" t="s">
        <v>12600</v>
      </c>
    </row>
    <row r="1221" spans="1:16" ht="13.15" x14ac:dyDescent="0.4">
      <c r="A1221" s="2" t="s">
        <v>11750</v>
      </c>
      <c r="B1221" s="2" t="s">
        <v>5885</v>
      </c>
      <c r="C1221" s="6" t="s">
        <v>5879</v>
      </c>
      <c r="D1221" s="6" t="s">
        <v>42</v>
      </c>
      <c r="E1221" s="7">
        <v>44927</v>
      </c>
      <c r="F1221" s="8" t="s">
        <v>77</v>
      </c>
      <c r="G1221" s="2" t="s">
        <v>26</v>
      </c>
      <c r="H1221" s="8" t="s">
        <v>28</v>
      </c>
      <c r="I1221" s="2" t="s">
        <v>26</v>
      </c>
      <c r="J1221" s="7">
        <v>44927</v>
      </c>
      <c r="K1221" s="8" t="s">
        <v>77</v>
      </c>
      <c r="L1221" s="2" t="s">
        <v>26</v>
      </c>
      <c r="M1221" s="8" t="s">
        <v>28</v>
      </c>
      <c r="N1221" s="6" t="s">
        <v>2264</v>
      </c>
      <c r="O1221" s="6" t="s">
        <v>30</v>
      </c>
      <c r="P1221" s="2" t="s">
        <v>12601</v>
      </c>
    </row>
    <row r="1222" spans="1:16" ht="13.15" x14ac:dyDescent="0.4">
      <c r="A1222" s="2" t="s">
        <v>11317</v>
      </c>
      <c r="B1222" s="2" t="s">
        <v>5885</v>
      </c>
      <c r="C1222" s="6" t="s">
        <v>5879</v>
      </c>
      <c r="D1222" s="6" t="s">
        <v>42</v>
      </c>
      <c r="E1222" s="7">
        <v>44927</v>
      </c>
      <c r="F1222" s="8" t="s">
        <v>77</v>
      </c>
      <c r="G1222" s="2" t="s">
        <v>26</v>
      </c>
      <c r="H1222" s="8" t="s">
        <v>28</v>
      </c>
      <c r="I1222" s="2" t="s">
        <v>26</v>
      </c>
      <c r="J1222" s="7">
        <v>44927</v>
      </c>
      <c r="K1222" s="8" t="s">
        <v>77</v>
      </c>
      <c r="L1222" s="2" t="s">
        <v>26</v>
      </c>
      <c r="M1222" s="8" t="s">
        <v>28</v>
      </c>
      <c r="N1222" s="6" t="s">
        <v>2264</v>
      </c>
      <c r="O1222" s="6" t="s">
        <v>30</v>
      </c>
      <c r="P1222" s="2" t="s">
        <v>12602</v>
      </c>
    </row>
    <row r="1223" spans="1:16" ht="13.15" x14ac:dyDescent="0.4">
      <c r="A1223" s="2" t="s">
        <v>11618</v>
      </c>
      <c r="B1223" s="2" t="s">
        <v>5885</v>
      </c>
      <c r="C1223" s="6" t="s">
        <v>5879</v>
      </c>
      <c r="D1223" s="6" t="s">
        <v>42</v>
      </c>
      <c r="E1223" s="7">
        <v>44927</v>
      </c>
      <c r="F1223" s="8" t="s">
        <v>77</v>
      </c>
      <c r="G1223" s="2" t="s">
        <v>26</v>
      </c>
      <c r="H1223" s="8" t="s">
        <v>28</v>
      </c>
      <c r="I1223" s="2" t="s">
        <v>26</v>
      </c>
      <c r="J1223" s="7">
        <v>44927</v>
      </c>
      <c r="K1223" s="8" t="s">
        <v>77</v>
      </c>
      <c r="L1223" s="2" t="s">
        <v>26</v>
      </c>
      <c r="M1223" s="8" t="s">
        <v>28</v>
      </c>
      <c r="N1223" s="6" t="s">
        <v>2264</v>
      </c>
      <c r="O1223" s="6" t="s">
        <v>30</v>
      </c>
      <c r="P1223" s="2" t="s">
        <v>12603</v>
      </c>
    </row>
    <row r="1224" spans="1:16" ht="13.15" x14ac:dyDescent="0.4">
      <c r="A1224" s="2" t="s">
        <v>11433</v>
      </c>
      <c r="B1224" s="2" t="s">
        <v>5885</v>
      </c>
      <c r="C1224" s="6" t="s">
        <v>5879</v>
      </c>
      <c r="D1224" s="6" t="s">
        <v>42</v>
      </c>
      <c r="E1224" s="7">
        <v>44927</v>
      </c>
      <c r="F1224" s="8" t="s">
        <v>77</v>
      </c>
      <c r="G1224" s="2" t="s">
        <v>26</v>
      </c>
      <c r="H1224" s="8" t="s">
        <v>28</v>
      </c>
      <c r="I1224" s="2" t="s">
        <v>26</v>
      </c>
      <c r="J1224" s="7">
        <v>44927</v>
      </c>
      <c r="K1224" s="8" t="s">
        <v>77</v>
      </c>
      <c r="L1224" s="2" t="s">
        <v>26</v>
      </c>
      <c r="M1224" s="8" t="s">
        <v>28</v>
      </c>
      <c r="N1224" s="6" t="s">
        <v>2264</v>
      </c>
      <c r="O1224" s="6" t="s">
        <v>30</v>
      </c>
      <c r="P1224" s="2" t="s">
        <v>12604</v>
      </c>
    </row>
    <row r="1225" spans="1:16" ht="13.15" x14ac:dyDescent="0.4">
      <c r="A1225" s="2" t="s">
        <v>2681</v>
      </c>
      <c r="B1225" s="2" t="s">
        <v>5885</v>
      </c>
      <c r="C1225" s="6" t="s">
        <v>5879</v>
      </c>
      <c r="D1225" s="6" t="s">
        <v>42</v>
      </c>
      <c r="E1225" s="7">
        <v>44927</v>
      </c>
      <c r="F1225" s="8" t="s">
        <v>77</v>
      </c>
      <c r="G1225" s="2" t="s">
        <v>26</v>
      </c>
      <c r="H1225" s="8" t="s">
        <v>28</v>
      </c>
      <c r="I1225" s="2" t="s">
        <v>26</v>
      </c>
      <c r="J1225" s="7">
        <v>44927</v>
      </c>
      <c r="K1225" s="8" t="s">
        <v>77</v>
      </c>
      <c r="L1225" s="2" t="s">
        <v>26</v>
      </c>
      <c r="M1225" s="8" t="s">
        <v>28</v>
      </c>
      <c r="N1225" s="6" t="s">
        <v>2264</v>
      </c>
      <c r="O1225" s="6" t="s">
        <v>30</v>
      </c>
      <c r="P1225" s="2" t="s">
        <v>12605</v>
      </c>
    </row>
    <row r="1226" spans="1:16" ht="13.15" x14ac:dyDescent="0.4">
      <c r="A1226" s="2" t="s">
        <v>11492</v>
      </c>
      <c r="B1226" s="2" t="s">
        <v>5885</v>
      </c>
      <c r="C1226" s="6" t="s">
        <v>5879</v>
      </c>
      <c r="D1226" s="6" t="s">
        <v>42</v>
      </c>
      <c r="E1226" s="7">
        <v>44927</v>
      </c>
      <c r="F1226" s="8" t="s">
        <v>77</v>
      </c>
      <c r="G1226" s="2" t="s">
        <v>26</v>
      </c>
      <c r="H1226" s="8" t="s">
        <v>28</v>
      </c>
      <c r="I1226" s="2" t="s">
        <v>26</v>
      </c>
      <c r="J1226" s="7">
        <v>44927</v>
      </c>
      <c r="K1226" s="8" t="s">
        <v>77</v>
      </c>
      <c r="L1226" s="2" t="s">
        <v>26</v>
      </c>
      <c r="M1226" s="8" t="s">
        <v>28</v>
      </c>
      <c r="N1226" s="6" t="s">
        <v>2264</v>
      </c>
      <c r="O1226" s="6" t="s">
        <v>30</v>
      </c>
      <c r="P1226" s="2" t="s">
        <v>12606</v>
      </c>
    </row>
    <row r="1227" spans="1:16" ht="13.15" x14ac:dyDescent="0.4">
      <c r="A1227" s="2" t="s">
        <v>11762</v>
      </c>
      <c r="B1227" s="2" t="s">
        <v>5885</v>
      </c>
      <c r="C1227" s="6" t="s">
        <v>5879</v>
      </c>
      <c r="D1227" s="6" t="s">
        <v>42</v>
      </c>
      <c r="E1227" s="7">
        <v>44927</v>
      </c>
      <c r="F1227" s="8" t="s">
        <v>77</v>
      </c>
      <c r="G1227" s="2" t="s">
        <v>26</v>
      </c>
      <c r="H1227" s="8" t="s">
        <v>28</v>
      </c>
      <c r="I1227" s="2" t="s">
        <v>26</v>
      </c>
      <c r="J1227" s="7">
        <v>44927</v>
      </c>
      <c r="K1227" s="8" t="s">
        <v>77</v>
      </c>
      <c r="L1227" s="2" t="s">
        <v>26</v>
      </c>
      <c r="M1227" s="8" t="s">
        <v>28</v>
      </c>
      <c r="N1227" s="6" t="s">
        <v>2264</v>
      </c>
      <c r="O1227" s="6" t="s">
        <v>30</v>
      </c>
      <c r="P1227" s="2" t="s">
        <v>12607</v>
      </c>
    </row>
    <row r="1228" spans="1:16" ht="13.15" x14ac:dyDescent="0.4">
      <c r="A1228" s="2" t="s">
        <v>11746</v>
      </c>
      <c r="B1228" s="2" t="s">
        <v>5885</v>
      </c>
      <c r="C1228" s="6" t="s">
        <v>5879</v>
      </c>
      <c r="D1228" s="6" t="s">
        <v>42</v>
      </c>
      <c r="E1228" s="7">
        <v>44927</v>
      </c>
      <c r="F1228" s="8" t="s">
        <v>77</v>
      </c>
      <c r="G1228" s="2" t="s">
        <v>26</v>
      </c>
      <c r="H1228" s="8" t="s">
        <v>28</v>
      </c>
      <c r="I1228" s="2" t="s">
        <v>26</v>
      </c>
      <c r="J1228" s="7">
        <v>44927</v>
      </c>
      <c r="K1228" s="8" t="s">
        <v>77</v>
      </c>
      <c r="L1228" s="2" t="s">
        <v>26</v>
      </c>
      <c r="M1228" s="8" t="s">
        <v>28</v>
      </c>
      <c r="N1228" s="6" t="s">
        <v>2264</v>
      </c>
      <c r="O1228" s="6" t="s">
        <v>30</v>
      </c>
      <c r="P1228" s="2" t="s">
        <v>12608</v>
      </c>
    </row>
    <row r="1229" spans="1:16" ht="13.15" x14ac:dyDescent="0.4">
      <c r="A1229" s="2" t="s">
        <v>11491</v>
      </c>
      <c r="B1229" s="2" t="s">
        <v>5885</v>
      </c>
      <c r="C1229" s="6" t="s">
        <v>5879</v>
      </c>
      <c r="D1229" s="6" t="s">
        <v>42</v>
      </c>
      <c r="E1229" s="7">
        <v>44927</v>
      </c>
      <c r="F1229" s="8" t="s">
        <v>77</v>
      </c>
      <c r="G1229" s="2" t="s">
        <v>26</v>
      </c>
      <c r="H1229" s="8" t="s">
        <v>28</v>
      </c>
      <c r="I1229" s="2" t="s">
        <v>26</v>
      </c>
      <c r="J1229" s="7">
        <v>44927</v>
      </c>
      <c r="K1229" s="8" t="s">
        <v>77</v>
      </c>
      <c r="L1229" s="2" t="s">
        <v>26</v>
      </c>
      <c r="M1229" s="8" t="s">
        <v>28</v>
      </c>
      <c r="N1229" s="6" t="s">
        <v>2264</v>
      </c>
      <c r="O1229" s="6" t="s">
        <v>30</v>
      </c>
      <c r="P1229" s="2" t="s">
        <v>12609</v>
      </c>
    </row>
    <row r="1230" spans="1:16" ht="13.15" x14ac:dyDescent="0.4">
      <c r="A1230" s="2" t="s">
        <v>11604</v>
      </c>
      <c r="B1230" s="2" t="s">
        <v>5885</v>
      </c>
      <c r="C1230" s="6" t="s">
        <v>5879</v>
      </c>
      <c r="D1230" s="6" t="s">
        <v>42</v>
      </c>
      <c r="E1230" s="7">
        <v>44927</v>
      </c>
      <c r="F1230" s="8" t="s">
        <v>77</v>
      </c>
      <c r="G1230" s="2" t="s">
        <v>26</v>
      </c>
      <c r="H1230" s="8" t="s">
        <v>28</v>
      </c>
      <c r="I1230" s="2" t="s">
        <v>26</v>
      </c>
      <c r="J1230" s="7">
        <v>44927</v>
      </c>
      <c r="K1230" s="8" t="s">
        <v>77</v>
      </c>
      <c r="L1230" s="2" t="s">
        <v>26</v>
      </c>
      <c r="M1230" s="8" t="s">
        <v>28</v>
      </c>
      <c r="N1230" s="6" t="s">
        <v>2264</v>
      </c>
      <c r="O1230" s="6" t="s">
        <v>30</v>
      </c>
      <c r="P1230" s="2" t="s">
        <v>12610</v>
      </c>
    </row>
    <row r="1231" spans="1:16" ht="13.15" x14ac:dyDescent="0.4">
      <c r="A1231" s="2" t="s">
        <v>11749</v>
      </c>
      <c r="B1231" s="2" t="s">
        <v>5885</v>
      </c>
      <c r="C1231" s="6" t="s">
        <v>5879</v>
      </c>
      <c r="D1231" s="6" t="s">
        <v>42</v>
      </c>
      <c r="E1231" s="7">
        <v>44927</v>
      </c>
      <c r="F1231" s="8" t="s">
        <v>77</v>
      </c>
      <c r="G1231" s="2" t="s">
        <v>26</v>
      </c>
      <c r="H1231" s="8" t="s">
        <v>28</v>
      </c>
      <c r="I1231" s="2" t="s">
        <v>26</v>
      </c>
      <c r="J1231" s="7">
        <v>44927</v>
      </c>
      <c r="K1231" s="8" t="s">
        <v>77</v>
      </c>
      <c r="L1231" s="2" t="s">
        <v>26</v>
      </c>
      <c r="M1231" s="8" t="s">
        <v>28</v>
      </c>
      <c r="N1231" s="6" t="s">
        <v>2264</v>
      </c>
      <c r="O1231" s="6" t="s">
        <v>30</v>
      </c>
      <c r="P1231" s="2" t="s">
        <v>12611</v>
      </c>
    </row>
    <row r="1232" spans="1:16" ht="13.15" x14ac:dyDescent="0.4">
      <c r="A1232" s="2" t="s">
        <v>11778</v>
      </c>
      <c r="B1232" s="2" t="s">
        <v>5885</v>
      </c>
      <c r="C1232" s="6" t="s">
        <v>5879</v>
      </c>
      <c r="D1232" s="6" t="s">
        <v>42</v>
      </c>
      <c r="E1232" s="7">
        <v>44927</v>
      </c>
      <c r="F1232" s="8" t="s">
        <v>77</v>
      </c>
      <c r="G1232" s="2" t="s">
        <v>26</v>
      </c>
      <c r="H1232" s="8" t="s">
        <v>28</v>
      </c>
      <c r="I1232" s="2" t="s">
        <v>26</v>
      </c>
      <c r="J1232" s="7">
        <v>44927</v>
      </c>
      <c r="K1232" s="8" t="s">
        <v>77</v>
      </c>
      <c r="L1232" s="2" t="s">
        <v>26</v>
      </c>
      <c r="M1232" s="8" t="s">
        <v>28</v>
      </c>
      <c r="N1232" s="6" t="s">
        <v>2264</v>
      </c>
      <c r="O1232" s="6" t="s">
        <v>30</v>
      </c>
      <c r="P1232" s="2" t="s">
        <v>12612</v>
      </c>
    </row>
    <row r="1233" spans="1:16" ht="13.15" x14ac:dyDescent="0.4">
      <c r="A1233" s="2" t="s">
        <v>11720</v>
      </c>
      <c r="B1233" s="2" t="s">
        <v>5885</v>
      </c>
      <c r="C1233" s="6" t="s">
        <v>5879</v>
      </c>
      <c r="D1233" s="6" t="s">
        <v>42</v>
      </c>
      <c r="E1233" s="7">
        <v>44927</v>
      </c>
      <c r="F1233" s="8" t="s">
        <v>77</v>
      </c>
      <c r="G1233" s="2" t="s">
        <v>26</v>
      </c>
      <c r="H1233" s="8" t="s">
        <v>28</v>
      </c>
      <c r="I1233" s="2" t="s">
        <v>26</v>
      </c>
      <c r="J1233" s="7">
        <v>44927</v>
      </c>
      <c r="K1233" s="8" t="s">
        <v>77</v>
      </c>
      <c r="L1233" s="2" t="s">
        <v>26</v>
      </c>
      <c r="M1233" s="8" t="s">
        <v>28</v>
      </c>
      <c r="N1233" s="6" t="s">
        <v>2264</v>
      </c>
      <c r="O1233" s="6" t="s">
        <v>30</v>
      </c>
      <c r="P1233" s="2" t="s">
        <v>12613</v>
      </c>
    </row>
    <row r="1234" spans="1:16" ht="13.15" x14ac:dyDescent="0.4">
      <c r="A1234" s="2" t="s">
        <v>11495</v>
      </c>
      <c r="B1234" s="2" t="s">
        <v>5885</v>
      </c>
      <c r="C1234" s="6" t="s">
        <v>5879</v>
      </c>
      <c r="D1234" s="6" t="s">
        <v>42</v>
      </c>
      <c r="E1234" s="7">
        <v>44927</v>
      </c>
      <c r="F1234" s="8" t="s">
        <v>77</v>
      </c>
      <c r="G1234" s="2" t="s">
        <v>26</v>
      </c>
      <c r="H1234" s="8" t="s">
        <v>28</v>
      </c>
      <c r="I1234" s="2" t="s">
        <v>26</v>
      </c>
      <c r="J1234" s="7">
        <v>44927</v>
      </c>
      <c r="K1234" s="8" t="s">
        <v>77</v>
      </c>
      <c r="L1234" s="2" t="s">
        <v>26</v>
      </c>
      <c r="M1234" s="8" t="s">
        <v>28</v>
      </c>
      <c r="N1234" s="6" t="s">
        <v>2264</v>
      </c>
      <c r="O1234" s="6" t="s">
        <v>30</v>
      </c>
      <c r="P1234" s="2" t="s">
        <v>12614</v>
      </c>
    </row>
    <row r="1235" spans="1:16" ht="13.15" x14ac:dyDescent="0.4">
      <c r="A1235" s="2" t="s">
        <v>11529</v>
      </c>
      <c r="B1235" s="2" t="s">
        <v>5885</v>
      </c>
      <c r="C1235" s="6" t="s">
        <v>5879</v>
      </c>
      <c r="D1235" s="6" t="s">
        <v>42</v>
      </c>
      <c r="E1235" s="7">
        <v>44927</v>
      </c>
      <c r="F1235" s="8" t="s">
        <v>77</v>
      </c>
      <c r="G1235" s="2" t="s">
        <v>26</v>
      </c>
      <c r="H1235" s="8" t="s">
        <v>28</v>
      </c>
      <c r="I1235" s="2" t="s">
        <v>26</v>
      </c>
      <c r="J1235" s="7">
        <v>44927</v>
      </c>
      <c r="K1235" s="8" t="s">
        <v>77</v>
      </c>
      <c r="L1235" s="2" t="s">
        <v>26</v>
      </c>
      <c r="M1235" s="8" t="s">
        <v>28</v>
      </c>
      <c r="N1235" s="6" t="s">
        <v>2264</v>
      </c>
      <c r="O1235" s="6" t="s">
        <v>30</v>
      </c>
      <c r="P1235" s="2" t="s">
        <v>12615</v>
      </c>
    </row>
    <row r="1236" spans="1:16" ht="13.15" x14ac:dyDescent="0.4">
      <c r="A1236" s="2" t="s">
        <v>11526</v>
      </c>
      <c r="B1236" s="2" t="s">
        <v>5885</v>
      </c>
      <c r="C1236" s="6" t="s">
        <v>5879</v>
      </c>
      <c r="D1236" s="6" t="s">
        <v>42</v>
      </c>
      <c r="E1236" s="7">
        <v>44927</v>
      </c>
      <c r="F1236" s="8" t="s">
        <v>77</v>
      </c>
      <c r="G1236" s="2" t="s">
        <v>26</v>
      </c>
      <c r="H1236" s="8" t="s">
        <v>28</v>
      </c>
      <c r="I1236" s="2" t="s">
        <v>26</v>
      </c>
      <c r="J1236" s="7">
        <v>44927</v>
      </c>
      <c r="K1236" s="8" t="s">
        <v>77</v>
      </c>
      <c r="L1236" s="2" t="s">
        <v>26</v>
      </c>
      <c r="M1236" s="8" t="s">
        <v>28</v>
      </c>
      <c r="N1236" s="6" t="s">
        <v>2264</v>
      </c>
      <c r="O1236" s="6" t="s">
        <v>30</v>
      </c>
      <c r="P1236" s="2" t="s">
        <v>12616</v>
      </c>
    </row>
    <row r="1237" spans="1:16" ht="13.15" x14ac:dyDescent="0.4">
      <c r="A1237" s="2" t="s">
        <v>11699</v>
      </c>
      <c r="B1237" s="2" t="s">
        <v>5885</v>
      </c>
      <c r="C1237" s="6" t="s">
        <v>5879</v>
      </c>
      <c r="D1237" s="6" t="s">
        <v>42</v>
      </c>
      <c r="E1237" s="7">
        <v>44927</v>
      </c>
      <c r="F1237" s="8" t="s">
        <v>77</v>
      </c>
      <c r="G1237" s="2" t="s">
        <v>26</v>
      </c>
      <c r="H1237" s="8" t="s">
        <v>28</v>
      </c>
      <c r="I1237" s="2" t="s">
        <v>26</v>
      </c>
      <c r="J1237" s="7">
        <v>44927</v>
      </c>
      <c r="K1237" s="8" t="s">
        <v>77</v>
      </c>
      <c r="L1237" s="2" t="s">
        <v>26</v>
      </c>
      <c r="M1237" s="8" t="s">
        <v>28</v>
      </c>
      <c r="N1237" s="6" t="s">
        <v>2264</v>
      </c>
      <c r="O1237" s="6" t="s">
        <v>30</v>
      </c>
      <c r="P1237" s="2" t="s">
        <v>12617</v>
      </c>
    </row>
    <row r="1238" spans="1:16" ht="13.15" x14ac:dyDescent="0.4">
      <c r="A1238" s="2" t="s">
        <v>11598</v>
      </c>
      <c r="B1238" s="2" t="s">
        <v>5885</v>
      </c>
      <c r="C1238" s="6" t="s">
        <v>5879</v>
      </c>
      <c r="D1238" s="6" t="s">
        <v>42</v>
      </c>
      <c r="E1238" s="7">
        <v>44927</v>
      </c>
      <c r="F1238" s="8" t="s">
        <v>77</v>
      </c>
      <c r="G1238" s="2" t="s">
        <v>26</v>
      </c>
      <c r="H1238" s="8" t="s">
        <v>28</v>
      </c>
      <c r="I1238" s="2" t="s">
        <v>26</v>
      </c>
      <c r="J1238" s="7">
        <v>44927</v>
      </c>
      <c r="K1238" s="8" t="s">
        <v>77</v>
      </c>
      <c r="L1238" s="2" t="s">
        <v>26</v>
      </c>
      <c r="M1238" s="8" t="s">
        <v>28</v>
      </c>
      <c r="N1238" s="6" t="s">
        <v>2264</v>
      </c>
      <c r="O1238" s="6" t="s">
        <v>30</v>
      </c>
      <c r="P1238" s="2" t="s">
        <v>12618</v>
      </c>
    </row>
    <row r="1239" spans="1:16" ht="13.15" x14ac:dyDescent="0.4">
      <c r="A1239" s="2" t="s">
        <v>11462</v>
      </c>
      <c r="B1239" s="2" t="s">
        <v>5885</v>
      </c>
      <c r="C1239" s="6" t="s">
        <v>5879</v>
      </c>
      <c r="D1239" s="6" t="s">
        <v>42</v>
      </c>
      <c r="E1239" s="7">
        <v>44927</v>
      </c>
      <c r="F1239" s="8" t="s">
        <v>77</v>
      </c>
      <c r="G1239" s="2" t="s">
        <v>26</v>
      </c>
      <c r="H1239" s="8" t="s">
        <v>28</v>
      </c>
      <c r="I1239" s="2" t="s">
        <v>26</v>
      </c>
      <c r="J1239" s="7">
        <v>44927</v>
      </c>
      <c r="K1239" s="8" t="s">
        <v>77</v>
      </c>
      <c r="L1239" s="2" t="s">
        <v>26</v>
      </c>
      <c r="M1239" s="8" t="s">
        <v>28</v>
      </c>
      <c r="N1239" s="6" t="s">
        <v>2264</v>
      </c>
      <c r="O1239" s="6" t="s">
        <v>30</v>
      </c>
      <c r="P1239" s="2" t="s">
        <v>12619</v>
      </c>
    </row>
    <row r="1240" spans="1:16" ht="13.15" x14ac:dyDescent="0.4">
      <c r="A1240" s="2" t="s">
        <v>11556</v>
      </c>
      <c r="B1240" s="2" t="s">
        <v>5885</v>
      </c>
      <c r="C1240" s="6" t="s">
        <v>5879</v>
      </c>
      <c r="D1240" s="6" t="s">
        <v>42</v>
      </c>
      <c r="E1240" s="7">
        <v>44927</v>
      </c>
      <c r="F1240" s="8" t="s">
        <v>77</v>
      </c>
      <c r="G1240" s="2" t="s">
        <v>26</v>
      </c>
      <c r="H1240" s="8" t="s">
        <v>28</v>
      </c>
      <c r="I1240" s="2" t="s">
        <v>26</v>
      </c>
      <c r="J1240" s="7">
        <v>44927</v>
      </c>
      <c r="K1240" s="8" t="s">
        <v>77</v>
      </c>
      <c r="L1240" s="2" t="s">
        <v>26</v>
      </c>
      <c r="M1240" s="8" t="s">
        <v>28</v>
      </c>
      <c r="N1240" s="6" t="s">
        <v>2264</v>
      </c>
      <c r="O1240" s="6" t="s">
        <v>30</v>
      </c>
      <c r="P1240" s="2" t="s">
        <v>12620</v>
      </c>
    </row>
    <row r="1241" spans="1:16" ht="13.15" x14ac:dyDescent="0.4">
      <c r="A1241" s="2" t="s">
        <v>11527</v>
      </c>
      <c r="B1241" s="2" t="s">
        <v>5885</v>
      </c>
      <c r="C1241" s="6" t="s">
        <v>5879</v>
      </c>
      <c r="D1241" s="6" t="s">
        <v>42</v>
      </c>
      <c r="E1241" s="7">
        <v>44927</v>
      </c>
      <c r="F1241" s="8" t="s">
        <v>77</v>
      </c>
      <c r="G1241" s="2" t="s">
        <v>26</v>
      </c>
      <c r="H1241" s="8" t="s">
        <v>28</v>
      </c>
      <c r="I1241" s="2" t="s">
        <v>26</v>
      </c>
      <c r="J1241" s="7">
        <v>44927</v>
      </c>
      <c r="K1241" s="8" t="s">
        <v>77</v>
      </c>
      <c r="L1241" s="2" t="s">
        <v>26</v>
      </c>
      <c r="M1241" s="8" t="s">
        <v>28</v>
      </c>
      <c r="N1241" s="6" t="s">
        <v>2264</v>
      </c>
      <c r="O1241" s="6" t="s">
        <v>30</v>
      </c>
      <c r="P1241" s="2" t="s">
        <v>12621</v>
      </c>
    </row>
    <row r="1242" spans="1:16" ht="13.15" x14ac:dyDescent="0.4">
      <c r="A1242" s="2" t="s">
        <v>11488</v>
      </c>
      <c r="B1242" s="2" t="s">
        <v>5885</v>
      </c>
      <c r="C1242" s="6" t="s">
        <v>5879</v>
      </c>
      <c r="D1242" s="6" t="s">
        <v>42</v>
      </c>
      <c r="E1242" s="7">
        <v>44927</v>
      </c>
      <c r="F1242" s="8" t="s">
        <v>77</v>
      </c>
      <c r="G1242" s="2" t="s">
        <v>26</v>
      </c>
      <c r="H1242" s="8" t="s">
        <v>28</v>
      </c>
      <c r="I1242" s="2" t="s">
        <v>26</v>
      </c>
      <c r="J1242" s="7">
        <v>44927</v>
      </c>
      <c r="K1242" s="8" t="s">
        <v>77</v>
      </c>
      <c r="L1242" s="2" t="s">
        <v>26</v>
      </c>
      <c r="M1242" s="8" t="s">
        <v>28</v>
      </c>
      <c r="N1242" s="6" t="s">
        <v>2264</v>
      </c>
      <c r="O1242" s="6" t="s">
        <v>30</v>
      </c>
      <c r="P1242" s="2" t="s">
        <v>12622</v>
      </c>
    </row>
    <row r="1243" spans="1:16" ht="13.15" x14ac:dyDescent="0.4">
      <c r="A1243" s="2" t="s">
        <v>10707</v>
      </c>
      <c r="B1243" s="2" t="s">
        <v>5885</v>
      </c>
      <c r="C1243" s="6" t="s">
        <v>5879</v>
      </c>
      <c r="D1243" s="6" t="s">
        <v>42</v>
      </c>
      <c r="E1243" s="7">
        <v>44927</v>
      </c>
      <c r="F1243" s="8" t="s">
        <v>77</v>
      </c>
      <c r="G1243" s="2" t="s">
        <v>26</v>
      </c>
      <c r="H1243" s="8" t="s">
        <v>28</v>
      </c>
      <c r="I1243" s="2" t="s">
        <v>26</v>
      </c>
      <c r="J1243" s="7">
        <v>44927</v>
      </c>
      <c r="K1243" s="8" t="s">
        <v>77</v>
      </c>
      <c r="L1243" s="2" t="s">
        <v>26</v>
      </c>
      <c r="M1243" s="8" t="s">
        <v>28</v>
      </c>
      <c r="N1243" s="6" t="s">
        <v>2264</v>
      </c>
      <c r="O1243" s="6" t="s">
        <v>30</v>
      </c>
      <c r="P1243" s="2" t="s">
        <v>12623</v>
      </c>
    </row>
    <row r="1244" spans="1:16" ht="13.15" x14ac:dyDescent="0.4">
      <c r="A1244" s="2" t="s">
        <v>11449</v>
      </c>
      <c r="B1244" s="2" t="s">
        <v>5885</v>
      </c>
      <c r="C1244" s="6" t="s">
        <v>5879</v>
      </c>
      <c r="D1244" s="6" t="s">
        <v>42</v>
      </c>
      <c r="E1244" s="7">
        <v>44927</v>
      </c>
      <c r="F1244" s="8" t="s">
        <v>77</v>
      </c>
      <c r="G1244" s="2" t="s">
        <v>26</v>
      </c>
      <c r="H1244" s="8" t="s">
        <v>28</v>
      </c>
      <c r="I1244" s="2" t="s">
        <v>26</v>
      </c>
      <c r="J1244" s="7">
        <v>44927</v>
      </c>
      <c r="K1244" s="8" t="s">
        <v>77</v>
      </c>
      <c r="L1244" s="2" t="s">
        <v>26</v>
      </c>
      <c r="M1244" s="8" t="s">
        <v>28</v>
      </c>
      <c r="N1244" s="6" t="s">
        <v>2264</v>
      </c>
      <c r="O1244" s="6" t="s">
        <v>30</v>
      </c>
      <c r="P1244" s="2" t="s">
        <v>12624</v>
      </c>
    </row>
    <row r="1245" spans="1:16" ht="13.15" x14ac:dyDescent="0.4">
      <c r="A1245" s="2" t="s">
        <v>11471</v>
      </c>
      <c r="B1245" s="2" t="s">
        <v>5885</v>
      </c>
      <c r="C1245" s="6" t="s">
        <v>5879</v>
      </c>
      <c r="D1245" s="6" t="s">
        <v>42</v>
      </c>
      <c r="E1245" s="7">
        <v>44927</v>
      </c>
      <c r="F1245" s="8" t="s">
        <v>77</v>
      </c>
      <c r="G1245" s="2" t="s">
        <v>26</v>
      </c>
      <c r="H1245" s="8" t="s">
        <v>28</v>
      </c>
      <c r="I1245" s="2" t="s">
        <v>26</v>
      </c>
      <c r="J1245" s="7">
        <v>44927</v>
      </c>
      <c r="K1245" s="8" t="s">
        <v>77</v>
      </c>
      <c r="L1245" s="2" t="s">
        <v>26</v>
      </c>
      <c r="M1245" s="8" t="s">
        <v>28</v>
      </c>
      <c r="N1245" s="6" t="s">
        <v>2264</v>
      </c>
      <c r="O1245" s="6" t="s">
        <v>30</v>
      </c>
      <c r="P1245" s="2" t="s">
        <v>12625</v>
      </c>
    </row>
    <row r="1246" spans="1:16" ht="13.15" x14ac:dyDescent="0.4">
      <c r="A1246" s="2" t="s">
        <v>11512</v>
      </c>
      <c r="B1246" s="2" t="s">
        <v>5885</v>
      </c>
      <c r="C1246" s="6" t="s">
        <v>5879</v>
      </c>
      <c r="D1246" s="6" t="s">
        <v>42</v>
      </c>
      <c r="E1246" s="7">
        <v>44927</v>
      </c>
      <c r="F1246" s="8" t="s">
        <v>77</v>
      </c>
      <c r="G1246" s="2" t="s">
        <v>26</v>
      </c>
      <c r="H1246" s="8" t="s">
        <v>28</v>
      </c>
      <c r="I1246" s="2" t="s">
        <v>26</v>
      </c>
      <c r="J1246" s="7">
        <v>44927</v>
      </c>
      <c r="K1246" s="8" t="s">
        <v>77</v>
      </c>
      <c r="L1246" s="2" t="s">
        <v>26</v>
      </c>
      <c r="M1246" s="8" t="s">
        <v>28</v>
      </c>
      <c r="N1246" s="6" t="s">
        <v>2264</v>
      </c>
      <c r="O1246" s="6" t="s">
        <v>30</v>
      </c>
      <c r="P1246" s="2" t="s">
        <v>12626</v>
      </c>
    </row>
    <row r="1247" spans="1:16" ht="13.15" x14ac:dyDescent="0.4">
      <c r="A1247" s="2" t="s">
        <v>11464</v>
      </c>
      <c r="B1247" s="2" t="s">
        <v>5885</v>
      </c>
      <c r="C1247" s="6" t="s">
        <v>5879</v>
      </c>
      <c r="D1247" s="6" t="s">
        <v>42</v>
      </c>
      <c r="E1247" s="7">
        <v>44927</v>
      </c>
      <c r="F1247" s="8" t="s">
        <v>77</v>
      </c>
      <c r="G1247" s="2" t="s">
        <v>26</v>
      </c>
      <c r="H1247" s="8" t="s">
        <v>28</v>
      </c>
      <c r="I1247" s="2" t="s">
        <v>26</v>
      </c>
      <c r="J1247" s="7">
        <v>44927</v>
      </c>
      <c r="K1247" s="8" t="s">
        <v>77</v>
      </c>
      <c r="L1247" s="2" t="s">
        <v>26</v>
      </c>
      <c r="M1247" s="8" t="s">
        <v>28</v>
      </c>
      <c r="N1247" s="6" t="s">
        <v>2264</v>
      </c>
      <c r="O1247" s="6" t="s">
        <v>30</v>
      </c>
      <c r="P1247" s="2" t="s">
        <v>12627</v>
      </c>
    </row>
    <row r="1248" spans="1:16" ht="13.15" x14ac:dyDescent="0.4">
      <c r="A1248" s="2" t="s">
        <v>11589</v>
      </c>
      <c r="B1248" s="2" t="s">
        <v>5885</v>
      </c>
      <c r="C1248" s="6" t="s">
        <v>5879</v>
      </c>
      <c r="D1248" s="6" t="s">
        <v>42</v>
      </c>
      <c r="E1248" s="7">
        <v>44927</v>
      </c>
      <c r="F1248" s="8" t="s">
        <v>77</v>
      </c>
      <c r="G1248" s="2" t="s">
        <v>26</v>
      </c>
      <c r="H1248" s="8" t="s">
        <v>28</v>
      </c>
      <c r="I1248" s="2" t="s">
        <v>26</v>
      </c>
      <c r="J1248" s="7">
        <v>44927</v>
      </c>
      <c r="K1248" s="8" t="s">
        <v>77</v>
      </c>
      <c r="L1248" s="2" t="s">
        <v>26</v>
      </c>
      <c r="M1248" s="8" t="s">
        <v>28</v>
      </c>
      <c r="N1248" s="6" t="s">
        <v>2264</v>
      </c>
      <c r="O1248" s="6" t="s">
        <v>30</v>
      </c>
      <c r="P1248" s="2" t="s">
        <v>12628</v>
      </c>
    </row>
    <row r="1249" spans="1:16" ht="13.15" x14ac:dyDescent="0.4">
      <c r="A1249" s="2" t="s">
        <v>11516</v>
      </c>
      <c r="B1249" s="2" t="s">
        <v>5885</v>
      </c>
      <c r="C1249" s="6" t="s">
        <v>5879</v>
      </c>
      <c r="D1249" s="6" t="s">
        <v>42</v>
      </c>
      <c r="E1249" s="7">
        <v>44927</v>
      </c>
      <c r="F1249" s="8" t="s">
        <v>77</v>
      </c>
      <c r="G1249" s="2" t="s">
        <v>26</v>
      </c>
      <c r="H1249" s="8" t="s">
        <v>28</v>
      </c>
      <c r="I1249" s="2" t="s">
        <v>26</v>
      </c>
      <c r="J1249" s="7">
        <v>44927</v>
      </c>
      <c r="K1249" s="8" t="s">
        <v>77</v>
      </c>
      <c r="L1249" s="2" t="s">
        <v>26</v>
      </c>
      <c r="M1249" s="8" t="s">
        <v>28</v>
      </c>
      <c r="N1249" s="6" t="s">
        <v>2264</v>
      </c>
      <c r="O1249" s="6" t="s">
        <v>30</v>
      </c>
      <c r="P1249" s="2" t="s">
        <v>12629</v>
      </c>
    </row>
    <row r="1250" spans="1:16" ht="13.15" x14ac:dyDescent="0.4">
      <c r="A1250" s="2" t="s">
        <v>11747</v>
      </c>
      <c r="B1250" s="2" t="s">
        <v>5885</v>
      </c>
      <c r="C1250" s="6" t="s">
        <v>5879</v>
      </c>
      <c r="D1250" s="6" t="s">
        <v>42</v>
      </c>
      <c r="E1250" s="7">
        <v>44927</v>
      </c>
      <c r="F1250" s="8" t="s">
        <v>77</v>
      </c>
      <c r="G1250" s="2" t="s">
        <v>26</v>
      </c>
      <c r="H1250" s="8" t="s">
        <v>28</v>
      </c>
      <c r="I1250" s="2" t="s">
        <v>26</v>
      </c>
      <c r="J1250" s="7">
        <v>44927</v>
      </c>
      <c r="K1250" s="8" t="s">
        <v>77</v>
      </c>
      <c r="L1250" s="2" t="s">
        <v>26</v>
      </c>
      <c r="M1250" s="8" t="s">
        <v>28</v>
      </c>
      <c r="N1250" s="6" t="s">
        <v>2264</v>
      </c>
      <c r="O1250" s="6" t="s">
        <v>30</v>
      </c>
      <c r="P1250" s="2" t="s">
        <v>12630</v>
      </c>
    </row>
    <row r="1251" spans="1:16" ht="13.15" x14ac:dyDescent="0.4">
      <c r="A1251" s="2" t="s">
        <v>11445</v>
      </c>
      <c r="B1251" s="2" t="s">
        <v>5885</v>
      </c>
      <c r="C1251" s="6" t="s">
        <v>5879</v>
      </c>
      <c r="D1251" s="6" t="s">
        <v>42</v>
      </c>
      <c r="E1251" s="7">
        <v>44927</v>
      </c>
      <c r="F1251" s="8" t="s">
        <v>77</v>
      </c>
      <c r="G1251" s="2" t="s">
        <v>26</v>
      </c>
      <c r="H1251" s="8" t="s">
        <v>28</v>
      </c>
      <c r="I1251" s="2" t="s">
        <v>26</v>
      </c>
      <c r="J1251" s="7">
        <v>44927</v>
      </c>
      <c r="K1251" s="8" t="s">
        <v>77</v>
      </c>
      <c r="L1251" s="2" t="s">
        <v>26</v>
      </c>
      <c r="M1251" s="8" t="s">
        <v>28</v>
      </c>
      <c r="N1251" s="6" t="s">
        <v>2264</v>
      </c>
      <c r="O1251" s="6" t="s">
        <v>30</v>
      </c>
      <c r="P1251" s="2" t="s">
        <v>12631</v>
      </c>
    </row>
    <row r="1252" spans="1:16" ht="13.15" x14ac:dyDescent="0.4">
      <c r="A1252" s="2" t="s">
        <v>11586</v>
      </c>
      <c r="B1252" s="2" t="s">
        <v>5885</v>
      </c>
      <c r="C1252" s="6" t="s">
        <v>5879</v>
      </c>
      <c r="D1252" s="6" t="s">
        <v>42</v>
      </c>
      <c r="E1252" s="7">
        <v>44927</v>
      </c>
      <c r="F1252" s="8" t="s">
        <v>77</v>
      </c>
      <c r="G1252" s="2" t="s">
        <v>26</v>
      </c>
      <c r="H1252" s="8" t="s">
        <v>28</v>
      </c>
      <c r="I1252" s="2" t="s">
        <v>26</v>
      </c>
      <c r="J1252" s="7">
        <v>44927</v>
      </c>
      <c r="K1252" s="8" t="s">
        <v>77</v>
      </c>
      <c r="L1252" s="2" t="s">
        <v>26</v>
      </c>
      <c r="M1252" s="8" t="s">
        <v>28</v>
      </c>
      <c r="N1252" s="6" t="s">
        <v>2264</v>
      </c>
      <c r="O1252" s="6" t="s">
        <v>30</v>
      </c>
      <c r="P1252" s="2" t="s">
        <v>12632</v>
      </c>
    </row>
    <row r="1253" spans="1:16" ht="13.15" x14ac:dyDescent="0.4">
      <c r="A1253" s="2" t="s">
        <v>11431</v>
      </c>
      <c r="B1253" s="2" t="s">
        <v>5885</v>
      </c>
      <c r="C1253" s="6" t="s">
        <v>5879</v>
      </c>
      <c r="D1253" s="6" t="s">
        <v>42</v>
      </c>
      <c r="E1253" s="7">
        <v>44927</v>
      </c>
      <c r="F1253" s="8" t="s">
        <v>77</v>
      </c>
      <c r="G1253" s="2" t="s">
        <v>26</v>
      </c>
      <c r="H1253" s="8" t="s">
        <v>28</v>
      </c>
      <c r="I1253" s="2" t="s">
        <v>26</v>
      </c>
      <c r="J1253" s="7">
        <v>44927</v>
      </c>
      <c r="K1253" s="8" t="s">
        <v>77</v>
      </c>
      <c r="L1253" s="2" t="s">
        <v>26</v>
      </c>
      <c r="M1253" s="8" t="s">
        <v>28</v>
      </c>
      <c r="N1253" s="6" t="s">
        <v>2264</v>
      </c>
      <c r="O1253" s="6" t="s">
        <v>30</v>
      </c>
      <c r="P1253" s="2" t="s">
        <v>12633</v>
      </c>
    </row>
    <row r="1254" spans="1:16" ht="13.15" x14ac:dyDescent="0.4">
      <c r="A1254" s="2" t="s">
        <v>8683</v>
      </c>
      <c r="B1254" s="2" t="s">
        <v>5885</v>
      </c>
      <c r="C1254" s="6" t="s">
        <v>5879</v>
      </c>
      <c r="D1254" s="6" t="s">
        <v>42</v>
      </c>
      <c r="E1254" s="7">
        <v>44927</v>
      </c>
      <c r="F1254" s="8" t="s">
        <v>77</v>
      </c>
      <c r="G1254" s="2" t="s">
        <v>26</v>
      </c>
      <c r="H1254" s="8" t="s">
        <v>28</v>
      </c>
      <c r="I1254" s="2" t="s">
        <v>26</v>
      </c>
      <c r="J1254" s="7">
        <v>44927</v>
      </c>
      <c r="K1254" s="8" t="s">
        <v>77</v>
      </c>
      <c r="L1254" s="2" t="s">
        <v>26</v>
      </c>
      <c r="M1254" s="8" t="s">
        <v>28</v>
      </c>
      <c r="N1254" s="6" t="s">
        <v>2264</v>
      </c>
      <c r="O1254" s="6" t="s">
        <v>30</v>
      </c>
      <c r="P1254" s="2" t="s">
        <v>12634</v>
      </c>
    </row>
    <row r="1255" spans="1:16" ht="13.15" x14ac:dyDescent="0.4">
      <c r="A1255" s="2" t="s">
        <v>11414</v>
      </c>
      <c r="B1255" s="2" t="s">
        <v>5885</v>
      </c>
      <c r="C1255" s="6" t="s">
        <v>5879</v>
      </c>
      <c r="D1255" s="6" t="s">
        <v>42</v>
      </c>
      <c r="E1255" s="7">
        <v>44927</v>
      </c>
      <c r="F1255" s="8" t="s">
        <v>77</v>
      </c>
      <c r="G1255" s="2" t="s">
        <v>26</v>
      </c>
      <c r="H1255" s="8" t="s">
        <v>28</v>
      </c>
      <c r="I1255" s="2" t="s">
        <v>26</v>
      </c>
      <c r="J1255" s="7">
        <v>44927</v>
      </c>
      <c r="K1255" s="8" t="s">
        <v>77</v>
      </c>
      <c r="L1255" s="2" t="s">
        <v>26</v>
      </c>
      <c r="M1255" s="8" t="s">
        <v>28</v>
      </c>
      <c r="N1255" s="6" t="s">
        <v>2264</v>
      </c>
      <c r="O1255" s="6" t="s">
        <v>30</v>
      </c>
      <c r="P1255" s="2" t="s">
        <v>12635</v>
      </c>
    </row>
    <row r="1256" spans="1:16" ht="13.15" x14ac:dyDescent="0.4">
      <c r="A1256" s="2" t="s">
        <v>11476</v>
      </c>
      <c r="B1256" s="2" t="s">
        <v>5885</v>
      </c>
      <c r="C1256" s="6" t="s">
        <v>5879</v>
      </c>
      <c r="D1256" s="6" t="s">
        <v>42</v>
      </c>
      <c r="E1256" s="7">
        <v>44927</v>
      </c>
      <c r="F1256" s="8" t="s">
        <v>77</v>
      </c>
      <c r="G1256" s="2" t="s">
        <v>26</v>
      </c>
      <c r="H1256" s="8" t="s">
        <v>28</v>
      </c>
      <c r="I1256" s="2" t="s">
        <v>26</v>
      </c>
      <c r="J1256" s="7">
        <v>44927</v>
      </c>
      <c r="K1256" s="8" t="s">
        <v>77</v>
      </c>
      <c r="L1256" s="2" t="s">
        <v>26</v>
      </c>
      <c r="M1256" s="8" t="s">
        <v>28</v>
      </c>
      <c r="N1256" s="6" t="s">
        <v>2264</v>
      </c>
      <c r="O1256" s="6" t="s">
        <v>30</v>
      </c>
      <c r="P1256" s="2" t="s">
        <v>12636</v>
      </c>
    </row>
    <row r="1257" spans="1:16" ht="13.15" x14ac:dyDescent="0.4">
      <c r="A1257" s="2" t="s">
        <v>11489</v>
      </c>
      <c r="B1257" s="2" t="s">
        <v>5885</v>
      </c>
      <c r="C1257" s="6" t="s">
        <v>5879</v>
      </c>
      <c r="D1257" s="6" t="s">
        <v>42</v>
      </c>
      <c r="E1257" s="7">
        <v>44927</v>
      </c>
      <c r="F1257" s="8" t="s">
        <v>77</v>
      </c>
      <c r="G1257" s="2" t="s">
        <v>26</v>
      </c>
      <c r="H1257" s="8" t="s">
        <v>28</v>
      </c>
      <c r="I1257" s="2" t="s">
        <v>26</v>
      </c>
      <c r="J1257" s="7">
        <v>44927</v>
      </c>
      <c r="K1257" s="8" t="s">
        <v>77</v>
      </c>
      <c r="L1257" s="2" t="s">
        <v>26</v>
      </c>
      <c r="M1257" s="8" t="s">
        <v>28</v>
      </c>
      <c r="N1257" s="6" t="s">
        <v>2264</v>
      </c>
      <c r="O1257" s="6" t="s">
        <v>30</v>
      </c>
      <c r="P1257" s="2" t="s">
        <v>12637</v>
      </c>
    </row>
    <row r="1258" spans="1:16" ht="13.15" x14ac:dyDescent="0.4">
      <c r="A1258" s="2" t="s">
        <v>2828</v>
      </c>
      <c r="B1258" s="2" t="s">
        <v>5885</v>
      </c>
      <c r="C1258" s="6" t="s">
        <v>5879</v>
      </c>
      <c r="D1258" s="6" t="s">
        <v>42</v>
      </c>
      <c r="E1258" s="7">
        <v>44927</v>
      </c>
      <c r="F1258" s="8" t="s">
        <v>77</v>
      </c>
      <c r="G1258" s="2" t="s">
        <v>26</v>
      </c>
      <c r="H1258" s="8" t="s">
        <v>28</v>
      </c>
      <c r="I1258" s="2" t="s">
        <v>26</v>
      </c>
      <c r="J1258" s="7">
        <v>44927</v>
      </c>
      <c r="K1258" s="8" t="s">
        <v>77</v>
      </c>
      <c r="L1258" s="2" t="s">
        <v>26</v>
      </c>
      <c r="M1258" s="8" t="s">
        <v>28</v>
      </c>
      <c r="N1258" s="6" t="s">
        <v>2264</v>
      </c>
      <c r="O1258" s="6" t="s">
        <v>30</v>
      </c>
      <c r="P1258" s="2" t="s">
        <v>12638</v>
      </c>
    </row>
    <row r="1259" spans="1:16" ht="13.15" x14ac:dyDescent="0.4">
      <c r="A1259" s="2" t="s">
        <v>11479</v>
      </c>
      <c r="B1259" s="2" t="s">
        <v>5885</v>
      </c>
      <c r="C1259" s="6" t="s">
        <v>5879</v>
      </c>
      <c r="D1259" s="6" t="s">
        <v>42</v>
      </c>
      <c r="E1259" s="7">
        <v>44927</v>
      </c>
      <c r="F1259" s="8" t="s">
        <v>77</v>
      </c>
      <c r="G1259" s="2" t="s">
        <v>26</v>
      </c>
      <c r="H1259" s="8" t="s">
        <v>28</v>
      </c>
      <c r="I1259" s="2" t="s">
        <v>26</v>
      </c>
      <c r="J1259" s="7">
        <v>44927</v>
      </c>
      <c r="K1259" s="8" t="s">
        <v>77</v>
      </c>
      <c r="L1259" s="2" t="s">
        <v>26</v>
      </c>
      <c r="M1259" s="8" t="s">
        <v>28</v>
      </c>
      <c r="N1259" s="6" t="s">
        <v>2264</v>
      </c>
      <c r="O1259" s="6" t="s">
        <v>30</v>
      </c>
      <c r="P1259" s="2" t="s">
        <v>12639</v>
      </c>
    </row>
    <row r="1260" spans="1:16" ht="13.15" x14ac:dyDescent="0.4">
      <c r="A1260" s="2" t="s">
        <v>11510</v>
      </c>
      <c r="B1260" s="2" t="s">
        <v>5885</v>
      </c>
      <c r="C1260" s="6" t="s">
        <v>5879</v>
      </c>
      <c r="D1260" s="6" t="s">
        <v>42</v>
      </c>
      <c r="E1260" s="7">
        <v>44927</v>
      </c>
      <c r="F1260" s="8" t="s">
        <v>77</v>
      </c>
      <c r="G1260" s="2" t="s">
        <v>26</v>
      </c>
      <c r="H1260" s="8" t="s">
        <v>28</v>
      </c>
      <c r="I1260" s="2" t="s">
        <v>26</v>
      </c>
      <c r="J1260" s="7">
        <v>44927</v>
      </c>
      <c r="K1260" s="8" t="s">
        <v>77</v>
      </c>
      <c r="L1260" s="2" t="s">
        <v>26</v>
      </c>
      <c r="M1260" s="8" t="s">
        <v>28</v>
      </c>
      <c r="N1260" s="6" t="s">
        <v>2264</v>
      </c>
      <c r="O1260" s="6" t="s">
        <v>30</v>
      </c>
      <c r="P1260" s="2" t="s">
        <v>12640</v>
      </c>
    </row>
    <row r="1261" spans="1:16" ht="13.15" x14ac:dyDescent="0.4">
      <c r="A1261" s="2" t="s">
        <v>11543</v>
      </c>
      <c r="B1261" s="2" t="s">
        <v>5885</v>
      </c>
      <c r="C1261" s="6" t="s">
        <v>5879</v>
      </c>
      <c r="D1261" s="6" t="s">
        <v>42</v>
      </c>
      <c r="E1261" s="7">
        <v>44927</v>
      </c>
      <c r="F1261" s="8" t="s">
        <v>77</v>
      </c>
      <c r="G1261" s="2" t="s">
        <v>26</v>
      </c>
      <c r="H1261" s="8" t="s">
        <v>28</v>
      </c>
      <c r="I1261" s="2" t="s">
        <v>26</v>
      </c>
      <c r="J1261" s="7">
        <v>44927</v>
      </c>
      <c r="K1261" s="8" t="s">
        <v>77</v>
      </c>
      <c r="L1261" s="2" t="s">
        <v>26</v>
      </c>
      <c r="M1261" s="8" t="s">
        <v>28</v>
      </c>
      <c r="N1261" s="6" t="s">
        <v>2264</v>
      </c>
      <c r="O1261" s="6" t="s">
        <v>30</v>
      </c>
      <c r="P1261" s="2" t="s">
        <v>12641</v>
      </c>
    </row>
    <row r="1262" spans="1:16" ht="13.15" x14ac:dyDescent="0.4">
      <c r="A1262" s="2" t="s">
        <v>11493</v>
      </c>
      <c r="B1262" s="2" t="s">
        <v>5885</v>
      </c>
      <c r="C1262" s="6" t="s">
        <v>5879</v>
      </c>
      <c r="D1262" s="6" t="s">
        <v>42</v>
      </c>
      <c r="E1262" s="7">
        <v>44927</v>
      </c>
      <c r="F1262" s="8" t="s">
        <v>77</v>
      </c>
      <c r="G1262" s="2" t="s">
        <v>26</v>
      </c>
      <c r="H1262" s="8" t="s">
        <v>28</v>
      </c>
      <c r="I1262" s="2" t="s">
        <v>26</v>
      </c>
      <c r="J1262" s="7">
        <v>44927</v>
      </c>
      <c r="K1262" s="8" t="s">
        <v>77</v>
      </c>
      <c r="L1262" s="2" t="s">
        <v>26</v>
      </c>
      <c r="M1262" s="8" t="s">
        <v>28</v>
      </c>
      <c r="N1262" s="6" t="s">
        <v>2264</v>
      </c>
      <c r="O1262" s="6" t="s">
        <v>30</v>
      </c>
      <c r="P1262" s="2" t="s">
        <v>12642</v>
      </c>
    </row>
    <row r="1263" spans="1:16" ht="13.15" x14ac:dyDescent="0.4">
      <c r="A1263" s="2" t="s">
        <v>11357</v>
      </c>
      <c r="B1263" s="2" t="s">
        <v>5885</v>
      </c>
      <c r="C1263" s="6" t="s">
        <v>5879</v>
      </c>
      <c r="D1263" s="6" t="s">
        <v>42</v>
      </c>
      <c r="E1263" s="7">
        <v>44927</v>
      </c>
      <c r="F1263" s="8" t="s">
        <v>77</v>
      </c>
      <c r="G1263" s="2" t="s">
        <v>26</v>
      </c>
      <c r="H1263" s="8" t="s">
        <v>28</v>
      </c>
      <c r="I1263" s="2" t="s">
        <v>26</v>
      </c>
      <c r="J1263" s="7">
        <v>44927</v>
      </c>
      <c r="K1263" s="8" t="s">
        <v>77</v>
      </c>
      <c r="L1263" s="2" t="s">
        <v>26</v>
      </c>
      <c r="M1263" s="8" t="s">
        <v>28</v>
      </c>
      <c r="N1263" s="6" t="s">
        <v>2264</v>
      </c>
      <c r="O1263" s="6" t="s">
        <v>30</v>
      </c>
      <c r="P1263" s="2" t="s">
        <v>12643</v>
      </c>
    </row>
    <row r="1264" spans="1:16" ht="13.15" x14ac:dyDescent="0.4">
      <c r="A1264" s="2" t="s">
        <v>11457</v>
      </c>
      <c r="B1264" s="2" t="s">
        <v>5885</v>
      </c>
      <c r="C1264" s="6" t="s">
        <v>5879</v>
      </c>
      <c r="D1264" s="6" t="s">
        <v>42</v>
      </c>
      <c r="E1264" s="7">
        <v>44927</v>
      </c>
      <c r="F1264" s="8" t="s">
        <v>77</v>
      </c>
      <c r="G1264" s="2" t="s">
        <v>26</v>
      </c>
      <c r="H1264" s="8" t="s">
        <v>28</v>
      </c>
      <c r="I1264" s="2" t="s">
        <v>26</v>
      </c>
      <c r="J1264" s="7">
        <v>44927</v>
      </c>
      <c r="K1264" s="8" t="s">
        <v>77</v>
      </c>
      <c r="L1264" s="2" t="s">
        <v>26</v>
      </c>
      <c r="M1264" s="8" t="s">
        <v>28</v>
      </c>
      <c r="N1264" s="6" t="s">
        <v>2264</v>
      </c>
      <c r="O1264" s="6" t="s">
        <v>30</v>
      </c>
      <c r="P1264" s="2" t="s">
        <v>12644</v>
      </c>
    </row>
    <row r="1265" spans="1:16" ht="13.15" x14ac:dyDescent="0.4">
      <c r="A1265" s="2" t="s">
        <v>11542</v>
      </c>
      <c r="B1265" s="2" t="s">
        <v>5885</v>
      </c>
      <c r="C1265" s="6" t="s">
        <v>5879</v>
      </c>
      <c r="D1265" s="6" t="s">
        <v>42</v>
      </c>
      <c r="E1265" s="7">
        <v>44927</v>
      </c>
      <c r="F1265" s="8" t="s">
        <v>77</v>
      </c>
      <c r="G1265" s="2" t="s">
        <v>26</v>
      </c>
      <c r="H1265" s="8" t="s">
        <v>28</v>
      </c>
      <c r="I1265" s="2" t="s">
        <v>26</v>
      </c>
      <c r="J1265" s="7">
        <v>44927</v>
      </c>
      <c r="K1265" s="8" t="s">
        <v>77</v>
      </c>
      <c r="L1265" s="2" t="s">
        <v>26</v>
      </c>
      <c r="M1265" s="8" t="s">
        <v>28</v>
      </c>
      <c r="N1265" s="6" t="s">
        <v>2264</v>
      </c>
      <c r="O1265" s="6" t="s">
        <v>30</v>
      </c>
      <c r="P1265" s="2" t="s">
        <v>12645</v>
      </c>
    </row>
    <row r="1266" spans="1:16" ht="13.15" x14ac:dyDescent="0.4">
      <c r="A1266" s="2" t="s">
        <v>11354</v>
      </c>
      <c r="B1266" s="2" t="s">
        <v>5885</v>
      </c>
      <c r="C1266" s="6" t="s">
        <v>5879</v>
      </c>
      <c r="D1266" s="6" t="s">
        <v>42</v>
      </c>
      <c r="E1266" s="7">
        <v>44927</v>
      </c>
      <c r="F1266" s="8" t="s">
        <v>77</v>
      </c>
      <c r="G1266" s="2" t="s">
        <v>26</v>
      </c>
      <c r="H1266" s="8" t="s">
        <v>28</v>
      </c>
      <c r="I1266" s="2" t="s">
        <v>26</v>
      </c>
      <c r="J1266" s="7">
        <v>44927</v>
      </c>
      <c r="K1266" s="8" t="s">
        <v>77</v>
      </c>
      <c r="L1266" s="2" t="s">
        <v>26</v>
      </c>
      <c r="M1266" s="8" t="s">
        <v>28</v>
      </c>
      <c r="N1266" s="6" t="s">
        <v>2264</v>
      </c>
      <c r="O1266" s="6" t="s">
        <v>30</v>
      </c>
      <c r="P1266" s="2" t="s">
        <v>12646</v>
      </c>
    </row>
    <row r="1267" spans="1:16" ht="13.15" x14ac:dyDescent="0.4">
      <c r="A1267" s="2" t="s">
        <v>11325</v>
      </c>
      <c r="B1267" s="2" t="s">
        <v>5885</v>
      </c>
      <c r="C1267" s="6" t="s">
        <v>5879</v>
      </c>
      <c r="D1267" s="6" t="s">
        <v>42</v>
      </c>
      <c r="E1267" s="7">
        <v>44927</v>
      </c>
      <c r="F1267" s="8" t="s">
        <v>77</v>
      </c>
      <c r="G1267" s="2" t="s">
        <v>26</v>
      </c>
      <c r="H1267" s="8" t="s">
        <v>28</v>
      </c>
      <c r="I1267" s="2" t="s">
        <v>26</v>
      </c>
      <c r="J1267" s="7">
        <v>44927</v>
      </c>
      <c r="K1267" s="8" t="s">
        <v>77</v>
      </c>
      <c r="L1267" s="2" t="s">
        <v>26</v>
      </c>
      <c r="M1267" s="8" t="s">
        <v>28</v>
      </c>
      <c r="N1267" s="6" t="s">
        <v>2264</v>
      </c>
      <c r="O1267" s="6" t="s">
        <v>30</v>
      </c>
      <c r="P1267" s="2" t="s">
        <v>12647</v>
      </c>
    </row>
    <row r="1268" spans="1:16" ht="13.15" x14ac:dyDescent="0.4">
      <c r="A1268" s="2" t="s">
        <v>11346</v>
      </c>
      <c r="B1268" s="2" t="s">
        <v>5885</v>
      </c>
      <c r="C1268" s="6" t="s">
        <v>5879</v>
      </c>
      <c r="D1268" s="6" t="s">
        <v>42</v>
      </c>
      <c r="E1268" s="7">
        <v>44927</v>
      </c>
      <c r="F1268" s="8" t="s">
        <v>77</v>
      </c>
      <c r="G1268" s="2" t="s">
        <v>26</v>
      </c>
      <c r="H1268" s="8" t="s">
        <v>28</v>
      </c>
      <c r="I1268" s="2" t="s">
        <v>26</v>
      </c>
      <c r="J1268" s="7">
        <v>44927</v>
      </c>
      <c r="K1268" s="8" t="s">
        <v>77</v>
      </c>
      <c r="L1268" s="2" t="s">
        <v>26</v>
      </c>
      <c r="M1268" s="8" t="s">
        <v>28</v>
      </c>
      <c r="N1268" s="6" t="s">
        <v>2264</v>
      </c>
      <c r="O1268" s="6" t="s">
        <v>30</v>
      </c>
      <c r="P1268" s="2" t="s">
        <v>12648</v>
      </c>
    </row>
    <row r="1269" spans="1:16" ht="13.15" x14ac:dyDescent="0.4">
      <c r="A1269" s="2" t="s">
        <v>11407</v>
      </c>
      <c r="B1269" s="2" t="s">
        <v>5885</v>
      </c>
      <c r="C1269" s="6" t="s">
        <v>5879</v>
      </c>
      <c r="D1269" s="6" t="s">
        <v>42</v>
      </c>
      <c r="E1269" s="7">
        <v>44927</v>
      </c>
      <c r="F1269" s="8" t="s">
        <v>77</v>
      </c>
      <c r="G1269" s="2" t="s">
        <v>26</v>
      </c>
      <c r="H1269" s="8" t="s">
        <v>28</v>
      </c>
      <c r="I1269" s="2" t="s">
        <v>26</v>
      </c>
      <c r="J1269" s="7">
        <v>44927</v>
      </c>
      <c r="K1269" s="8" t="s">
        <v>77</v>
      </c>
      <c r="L1269" s="2" t="s">
        <v>26</v>
      </c>
      <c r="M1269" s="8" t="s">
        <v>28</v>
      </c>
      <c r="N1269" s="6" t="s">
        <v>2264</v>
      </c>
      <c r="O1269" s="6" t="s">
        <v>30</v>
      </c>
      <c r="P1269" s="2" t="s">
        <v>12649</v>
      </c>
    </row>
    <row r="1270" spans="1:16" ht="13.15" x14ac:dyDescent="0.4">
      <c r="A1270" s="2" t="s">
        <v>11460</v>
      </c>
      <c r="B1270" s="2" t="s">
        <v>5885</v>
      </c>
      <c r="C1270" s="6" t="s">
        <v>5879</v>
      </c>
      <c r="D1270" s="6" t="s">
        <v>42</v>
      </c>
      <c r="E1270" s="7">
        <v>44927</v>
      </c>
      <c r="F1270" s="8" t="s">
        <v>77</v>
      </c>
      <c r="G1270" s="2" t="s">
        <v>26</v>
      </c>
      <c r="H1270" s="8" t="s">
        <v>28</v>
      </c>
      <c r="I1270" s="2" t="s">
        <v>26</v>
      </c>
      <c r="J1270" s="7">
        <v>44927</v>
      </c>
      <c r="K1270" s="8" t="s">
        <v>77</v>
      </c>
      <c r="L1270" s="2" t="s">
        <v>26</v>
      </c>
      <c r="M1270" s="8" t="s">
        <v>28</v>
      </c>
      <c r="N1270" s="6" t="s">
        <v>2264</v>
      </c>
      <c r="O1270" s="6" t="s">
        <v>30</v>
      </c>
      <c r="P1270" s="2" t="s">
        <v>12650</v>
      </c>
    </row>
    <row r="1271" spans="1:16" ht="13.15" x14ac:dyDescent="0.4">
      <c r="A1271" s="2" t="s">
        <v>11344</v>
      </c>
      <c r="B1271" s="2" t="s">
        <v>5885</v>
      </c>
      <c r="C1271" s="6" t="s">
        <v>5879</v>
      </c>
      <c r="D1271" s="6" t="s">
        <v>42</v>
      </c>
      <c r="E1271" s="7">
        <v>44927</v>
      </c>
      <c r="F1271" s="8" t="s">
        <v>77</v>
      </c>
      <c r="G1271" s="2" t="s">
        <v>26</v>
      </c>
      <c r="H1271" s="8" t="s">
        <v>28</v>
      </c>
      <c r="I1271" s="2" t="s">
        <v>26</v>
      </c>
      <c r="J1271" s="7">
        <v>44927</v>
      </c>
      <c r="K1271" s="8" t="s">
        <v>77</v>
      </c>
      <c r="L1271" s="2" t="s">
        <v>26</v>
      </c>
      <c r="M1271" s="8" t="s">
        <v>28</v>
      </c>
      <c r="N1271" s="6" t="s">
        <v>2264</v>
      </c>
      <c r="O1271" s="6" t="s">
        <v>30</v>
      </c>
      <c r="P1271" s="2" t="s">
        <v>12651</v>
      </c>
    </row>
    <row r="1272" spans="1:16" ht="13.15" x14ac:dyDescent="0.4">
      <c r="A1272" s="2" t="s">
        <v>11443</v>
      </c>
      <c r="B1272" s="2" t="s">
        <v>5885</v>
      </c>
      <c r="C1272" s="6" t="s">
        <v>5879</v>
      </c>
      <c r="D1272" s="6" t="s">
        <v>42</v>
      </c>
      <c r="E1272" s="7">
        <v>44927</v>
      </c>
      <c r="F1272" s="8" t="s">
        <v>77</v>
      </c>
      <c r="G1272" s="2" t="s">
        <v>26</v>
      </c>
      <c r="H1272" s="8" t="s">
        <v>28</v>
      </c>
      <c r="I1272" s="2" t="s">
        <v>26</v>
      </c>
      <c r="J1272" s="7">
        <v>44927</v>
      </c>
      <c r="K1272" s="8" t="s">
        <v>77</v>
      </c>
      <c r="L1272" s="2" t="s">
        <v>26</v>
      </c>
      <c r="M1272" s="8" t="s">
        <v>28</v>
      </c>
      <c r="N1272" s="6" t="s">
        <v>2264</v>
      </c>
      <c r="O1272" s="6" t="s">
        <v>30</v>
      </c>
      <c r="P1272" s="2" t="s">
        <v>12652</v>
      </c>
    </row>
    <row r="1273" spans="1:16" ht="13.15" x14ac:dyDescent="0.4">
      <c r="A1273" s="2" t="s">
        <v>11466</v>
      </c>
      <c r="B1273" s="2" t="s">
        <v>5885</v>
      </c>
      <c r="C1273" s="6" t="s">
        <v>5879</v>
      </c>
      <c r="D1273" s="6" t="s">
        <v>42</v>
      </c>
      <c r="E1273" s="7">
        <v>44927</v>
      </c>
      <c r="F1273" s="8" t="s">
        <v>77</v>
      </c>
      <c r="G1273" s="2" t="s">
        <v>26</v>
      </c>
      <c r="H1273" s="8" t="s">
        <v>28</v>
      </c>
      <c r="I1273" s="2" t="s">
        <v>26</v>
      </c>
      <c r="J1273" s="7">
        <v>44927</v>
      </c>
      <c r="K1273" s="8" t="s">
        <v>77</v>
      </c>
      <c r="L1273" s="2" t="s">
        <v>26</v>
      </c>
      <c r="M1273" s="8" t="s">
        <v>28</v>
      </c>
      <c r="N1273" s="6" t="s">
        <v>2264</v>
      </c>
      <c r="O1273" s="6" t="s">
        <v>30</v>
      </c>
      <c r="P1273" s="2" t="s">
        <v>12653</v>
      </c>
    </row>
    <row r="1274" spans="1:16" ht="13.15" x14ac:dyDescent="0.4">
      <c r="A1274" s="2" t="s">
        <v>11490</v>
      </c>
      <c r="B1274" s="2" t="s">
        <v>5885</v>
      </c>
      <c r="C1274" s="6" t="s">
        <v>5879</v>
      </c>
      <c r="D1274" s="6" t="s">
        <v>42</v>
      </c>
      <c r="E1274" s="7">
        <v>44927</v>
      </c>
      <c r="F1274" s="8" t="s">
        <v>77</v>
      </c>
      <c r="G1274" s="2" t="s">
        <v>26</v>
      </c>
      <c r="H1274" s="8" t="s">
        <v>28</v>
      </c>
      <c r="I1274" s="2" t="s">
        <v>26</v>
      </c>
      <c r="J1274" s="7">
        <v>44927</v>
      </c>
      <c r="K1274" s="8" t="s">
        <v>77</v>
      </c>
      <c r="L1274" s="2" t="s">
        <v>26</v>
      </c>
      <c r="M1274" s="8" t="s">
        <v>28</v>
      </c>
      <c r="N1274" s="6" t="s">
        <v>2264</v>
      </c>
      <c r="O1274" s="6" t="s">
        <v>30</v>
      </c>
      <c r="P1274" s="2" t="s">
        <v>12654</v>
      </c>
    </row>
    <row r="1275" spans="1:16" ht="13.15" x14ac:dyDescent="0.4">
      <c r="A1275" s="2" t="s">
        <v>11413</v>
      </c>
      <c r="B1275" s="2" t="s">
        <v>5885</v>
      </c>
      <c r="C1275" s="6" t="s">
        <v>5879</v>
      </c>
      <c r="D1275" s="6" t="s">
        <v>42</v>
      </c>
      <c r="E1275" s="7">
        <v>44927</v>
      </c>
      <c r="F1275" s="8" t="s">
        <v>77</v>
      </c>
      <c r="G1275" s="2" t="s">
        <v>26</v>
      </c>
      <c r="H1275" s="8" t="s">
        <v>28</v>
      </c>
      <c r="I1275" s="2" t="s">
        <v>26</v>
      </c>
      <c r="J1275" s="7">
        <v>44927</v>
      </c>
      <c r="K1275" s="8" t="s">
        <v>77</v>
      </c>
      <c r="L1275" s="2" t="s">
        <v>26</v>
      </c>
      <c r="M1275" s="8" t="s">
        <v>28</v>
      </c>
      <c r="N1275" s="6" t="s">
        <v>2264</v>
      </c>
      <c r="O1275" s="6" t="s">
        <v>30</v>
      </c>
      <c r="P1275" s="2" t="s">
        <v>12655</v>
      </c>
    </row>
    <row r="1276" spans="1:16" ht="13.15" x14ac:dyDescent="0.4">
      <c r="A1276" s="2" t="s">
        <v>11482</v>
      </c>
      <c r="B1276" s="2" t="s">
        <v>5885</v>
      </c>
      <c r="C1276" s="6" t="s">
        <v>5879</v>
      </c>
      <c r="D1276" s="6" t="s">
        <v>42</v>
      </c>
      <c r="E1276" s="7">
        <v>44927</v>
      </c>
      <c r="F1276" s="8" t="s">
        <v>77</v>
      </c>
      <c r="G1276" s="2" t="s">
        <v>26</v>
      </c>
      <c r="H1276" s="8" t="s">
        <v>28</v>
      </c>
      <c r="I1276" s="2" t="s">
        <v>26</v>
      </c>
      <c r="J1276" s="7">
        <v>44927</v>
      </c>
      <c r="K1276" s="8" t="s">
        <v>77</v>
      </c>
      <c r="L1276" s="2" t="s">
        <v>26</v>
      </c>
      <c r="M1276" s="8" t="s">
        <v>28</v>
      </c>
      <c r="N1276" s="6" t="s">
        <v>2264</v>
      </c>
      <c r="O1276" s="6" t="s">
        <v>30</v>
      </c>
      <c r="P1276" s="2" t="s">
        <v>12656</v>
      </c>
    </row>
    <row r="1277" spans="1:16" ht="13.15" x14ac:dyDescent="0.4">
      <c r="A1277" s="2" t="s">
        <v>11417</v>
      </c>
      <c r="B1277" s="2" t="s">
        <v>5885</v>
      </c>
      <c r="C1277" s="6" t="s">
        <v>5879</v>
      </c>
      <c r="D1277" s="6" t="s">
        <v>42</v>
      </c>
      <c r="E1277" s="7">
        <v>44927</v>
      </c>
      <c r="F1277" s="8" t="s">
        <v>77</v>
      </c>
      <c r="G1277" s="2" t="s">
        <v>26</v>
      </c>
      <c r="H1277" s="8" t="s">
        <v>28</v>
      </c>
      <c r="I1277" s="2" t="s">
        <v>26</v>
      </c>
      <c r="J1277" s="7">
        <v>44927</v>
      </c>
      <c r="K1277" s="8" t="s">
        <v>77</v>
      </c>
      <c r="L1277" s="2" t="s">
        <v>26</v>
      </c>
      <c r="M1277" s="8" t="s">
        <v>28</v>
      </c>
      <c r="N1277" s="6" t="s">
        <v>2264</v>
      </c>
      <c r="O1277" s="6" t="s">
        <v>30</v>
      </c>
      <c r="P1277" s="2" t="s">
        <v>12657</v>
      </c>
    </row>
    <row r="1278" spans="1:16" ht="13.15" x14ac:dyDescent="0.4">
      <c r="A1278" s="2" t="s">
        <v>11538</v>
      </c>
      <c r="B1278" s="2" t="s">
        <v>5885</v>
      </c>
      <c r="C1278" s="6" t="s">
        <v>5879</v>
      </c>
      <c r="D1278" s="6" t="s">
        <v>42</v>
      </c>
      <c r="E1278" s="7">
        <v>44927</v>
      </c>
      <c r="F1278" s="8" t="s">
        <v>77</v>
      </c>
      <c r="G1278" s="2" t="s">
        <v>26</v>
      </c>
      <c r="H1278" s="8" t="s">
        <v>28</v>
      </c>
      <c r="I1278" s="2" t="s">
        <v>26</v>
      </c>
      <c r="J1278" s="7">
        <v>44927</v>
      </c>
      <c r="K1278" s="8" t="s">
        <v>77</v>
      </c>
      <c r="L1278" s="2" t="s">
        <v>26</v>
      </c>
      <c r="M1278" s="8" t="s">
        <v>28</v>
      </c>
      <c r="N1278" s="6" t="s">
        <v>2264</v>
      </c>
      <c r="O1278" s="6" t="s">
        <v>30</v>
      </c>
      <c r="P1278" s="2" t="s">
        <v>12658</v>
      </c>
    </row>
    <row r="1279" spans="1:16" ht="13.15" x14ac:dyDescent="0.4">
      <c r="A1279" s="2" t="s">
        <v>11456</v>
      </c>
      <c r="B1279" s="2" t="s">
        <v>5885</v>
      </c>
      <c r="C1279" s="6" t="s">
        <v>5879</v>
      </c>
      <c r="D1279" s="6" t="s">
        <v>42</v>
      </c>
      <c r="E1279" s="7">
        <v>44927</v>
      </c>
      <c r="F1279" s="8" t="s">
        <v>77</v>
      </c>
      <c r="G1279" s="2" t="s">
        <v>26</v>
      </c>
      <c r="H1279" s="8" t="s">
        <v>28</v>
      </c>
      <c r="I1279" s="2" t="s">
        <v>26</v>
      </c>
      <c r="J1279" s="7">
        <v>44927</v>
      </c>
      <c r="K1279" s="8" t="s">
        <v>77</v>
      </c>
      <c r="L1279" s="2" t="s">
        <v>26</v>
      </c>
      <c r="M1279" s="8" t="s">
        <v>28</v>
      </c>
      <c r="N1279" s="6" t="s">
        <v>2264</v>
      </c>
      <c r="O1279" s="6" t="s">
        <v>30</v>
      </c>
      <c r="P1279" s="2" t="s">
        <v>12659</v>
      </c>
    </row>
    <row r="1280" spans="1:16" ht="13.15" x14ac:dyDescent="0.4">
      <c r="A1280" s="2" t="s">
        <v>11515</v>
      </c>
      <c r="B1280" s="2" t="s">
        <v>5885</v>
      </c>
      <c r="C1280" s="6" t="s">
        <v>5879</v>
      </c>
      <c r="D1280" s="6" t="s">
        <v>42</v>
      </c>
      <c r="E1280" s="7">
        <v>44927</v>
      </c>
      <c r="F1280" s="8" t="s">
        <v>77</v>
      </c>
      <c r="G1280" s="2" t="s">
        <v>26</v>
      </c>
      <c r="H1280" s="8" t="s">
        <v>28</v>
      </c>
      <c r="I1280" s="2" t="s">
        <v>26</v>
      </c>
      <c r="J1280" s="7">
        <v>44927</v>
      </c>
      <c r="K1280" s="8" t="s">
        <v>77</v>
      </c>
      <c r="L1280" s="2" t="s">
        <v>26</v>
      </c>
      <c r="M1280" s="8" t="s">
        <v>28</v>
      </c>
      <c r="N1280" s="6" t="s">
        <v>2264</v>
      </c>
      <c r="O1280" s="6" t="s">
        <v>30</v>
      </c>
      <c r="P1280" s="2" t="s">
        <v>12660</v>
      </c>
    </row>
    <row r="1281" spans="1:16" ht="13.15" x14ac:dyDescent="0.4">
      <c r="A1281" s="2" t="s">
        <v>11356</v>
      </c>
      <c r="B1281" s="2" t="s">
        <v>5885</v>
      </c>
      <c r="C1281" s="6" t="s">
        <v>5879</v>
      </c>
      <c r="D1281" s="6" t="s">
        <v>42</v>
      </c>
      <c r="E1281" s="7">
        <v>44927</v>
      </c>
      <c r="F1281" s="8" t="s">
        <v>77</v>
      </c>
      <c r="G1281" s="2" t="s">
        <v>26</v>
      </c>
      <c r="H1281" s="8" t="s">
        <v>28</v>
      </c>
      <c r="I1281" s="2" t="s">
        <v>26</v>
      </c>
      <c r="J1281" s="7">
        <v>44927</v>
      </c>
      <c r="K1281" s="8" t="s">
        <v>77</v>
      </c>
      <c r="L1281" s="2" t="s">
        <v>26</v>
      </c>
      <c r="M1281" s="8" t="s">
        <v>28</v>
      </c>
      <c r="N1281" s="6" t="s">
        <v>2264</v>
      </c>
      <c r="O1281" s="6" t="s">
        <v>30</v>
      </c>
      <c r="P1281" s="2" t="s">
        <v>12661</v>
      </c>
    </row>
    <row r="1282" spans="1:16" ht="13.15" x14ac:dyDescent="0.4">
      <c r="A1282" s="2" t="s">
        <v>11550</v>
      </c>
      <c r="B1282" s="2" t="s">
        <v>5885</v>
      </c>
      <c r="C1282" s="6" t="s">
        <v>5879</v>
      </c>
      <c r="D1282" s="6" t="s">
        <v>42</v>
      </c>
      <c r="E1282" s="7">
        <v>44927</v>
      </c>
      <c r="F1282" s="8" t="s">
        <v>77</v>
      </c>
      <c r="G1282" s="2" t="s">
        <v>26</v>
      </c>
      <c r="H1282" s="8" t="s">
        <v>28</v>
      </c>
      <c r="I1282" s="2" t="s">
        <v>26</v>
      </c>
      <c r="J1282" s="7">
        <v>44927</v>
      </c>
      <c r="K1282" s="8" t="s">
        <v>77</v>
      </c>
      <c r="L1282" s="2" t="s">
        <v>26</v>
      </c>
      <c r="M1282" s="8" t="s">
        <v>28</v>
      </c>
      <c r="N1282" s="6" t="s">
        <v>2264</v>
      </c>
      <c r="O1282" s="6" t="s">
        <v>30</v>
      </c>
      <c r="P1282" s="2" t="s">
        <v>12662</v>
      </c>
    </row>
    <row r="1283" spans="1:16" ht="13.15" x14ac:dyDescent="0.4">
      <c r="A1283" s="2" t="s">
        <v>11441</v>
      </c>
      <c r="B1283" s="2" t="s">
        <v>5885</v>
      </c>
      <c r="C1283" s="6" t="s">
        <v>5879</v>
      </c>
      <c r="D1283" s="6" t="s">
        <v>42</v>
      </c>
      <c r="E1283" s="7">
        <v>44927</v>
      </c>
      <c r="F1283" s="8" t="s">
        <v>77</v>
      </c>
      <c r="G1283" s="2" t="s">
        <v>26</v>
      </c>
      <c r="H1283" s="8" t="s">
        <v>28</v>
      </c>
      <c r="I1283" s="2" t="s">
        <v>26</v>
      </c>
      <c r="J1283" s="7">
        <v>44927</v>
      </c>
      <c r="K1283" s="8" t="s">
        <v>77</v>
      </c>
      <c r="L1283" s="2" t="s">
        <v>26</v>
      </c>
      <c r="M1283" s="8" t="s">
        <v>28</v>
      </c>
      <c r="N1283" s="6" t="s">
        <v>2264</v>
      </c>
      <c r="O1283" s="6" t="s">
        <v>30</v>
      </c>
      <c r="P1283" s="2" t="s">
        <v>12663</v>
      </c>
    </row>
    <row r="1284" spans="1:16" ht="13.15" x14ac:dyDescent="0.4">
      <c r="A1284" s="2" t="s">
        <v>11478</v>
      </c>
      <c r="B1284" s="2" t="s">
        <v>5885</v>
      </c>
      <c r="C1284" s="6" t="s">
        <v>5879</v>
      </c>
      <c r="D1284" s="6" t="s">
        <v>42</v>
      </c>
      <c r="E1284" s="7">
        <v>44927</v>
      </c>
      <c r="F1284" s="8" t="s">
        <v>77</v>
      </c>
      <c r="G1284" s="2" t="s">
        <v>26</v>
      </c>
      <c r="H1284" s="8" t="s">
        <v>28</v>
      </c>
      <c r="I1284" s="2" t="s">
        <v>26</v>
      </c>
      <c r="J1284" s="7">
        <v>44927</v>
      </c>
      <c r="K1284" s="8" t="s">
        <v>77</v>
      </c>
      <c r="L1284" s="2" t="s">
        <v>26</v>
      </c>
      <c r="M1284" s="8" t="s">
        <v>28</v>
      </c>
      <c r="N1284" s="6" t="s">
        <v>2264</v>
      </c>
      <c r="O1284" s="6" t="s">
        <v>30</v>
      </c>
      <c r="P1284" s="2" t="s">
        <v>12664</v>
      </c>
    </row>
    <row r="1285" spans="1:16" ht="13.15" x14ac:dyDescent="0.4">
      <c r="A1285" s="2" t="s">
        <v>11549</v>
      </c>
      <c r="B1285" s="2" t="s">
        <v>5885</v>
      </c>
      <c r="C1285" s="6" t="s">
        <v>5879</v>
      </c>
      <c r="D1285" s="6" t="s">
        <v>42</v>
      </c>
      <c r="E1285" s="7">
        <v>44927</v>
      </c>
      <c r="F1285" s="8" t="s">
        <v>77</v>
      </c>
      <c r="G1285" s="2" t="s">
        <v>26</v>
      </c>
      <c r="H1285" s="8" t="s">
        <v>28</v>
      </c>
      <c r="I1285" s="2" t="s">
        <v>26</v>
      </c>
      <c r="J1285" s="7">
        <v>44927</v>
      </c>
      <c r="K1285" s="8" t="s">
        <v>77</v>
      </c>
      <c r="L1285" s="2" t="s">
        <v>26</v>
      </c>
      <c r="M1285" s="8" t="s">
        <v>28</v>
      </c>
      <c r="N1285" s="6" t="s">
        <v>2264</v>
      </c>
      <c r="O1285" s="6" t="s">
        <v>30</v>
      </c>
      <c r="P1285" s="2" t="s">
        <v>12665</v>
      </c>
    </row>
    <row r="1286" spans="1:16" ht="13.15" x14ac:dyDescent="0.4">
      <c r="A1286" s="2" t="s">
        <v>11389</v>
      </c>
      <c r="B1286" s="2" t="s">
        <v>5885</v>
      </c>
      <c r="C1286" s="6" t="s">
        <v>5879</v>
      </c>
      <c r="D1286" s="6" t="s">
        <v>42</v>
      </c>
      <c r="E1286" s="7">
        <v>44927</v>
      </c>
      <c r="F1286" s="8" t="s">
        <v>77</v>
      </c>
      <c r="G1286" s="2" t="s">
        <v>26</v>
      </c>
      <c r="H1286" s="8" t="s">
        <v>28</v>
      </c>
      <c r="I1286" s="2" t="s">
        <v>26</v>
      </c>
      <c r="J1286" s="7">
        <v>44927</v>
      </c>
      <c r="K1286" s="8" t="s">
        <v>77</v>
      </c>
      <c r="L1286" s="2" t="s">
        <v>26</v>
      </c>
      <c r="M1286" s="8" t="s">
        <v>28</v>
      </c>
      <c r="N1286" s="6" t="s">
        <v>2264</v>
      </c>
      <c r="O1286" s="6" t="s">
        <v>30</v>
      </c>
      <c r="P1286" s="2" t="s">
        <v>12666</v>
      </c>
    </row>
    <row r="1287" spans="1:16" ht="13.15" x14ac:dyDescent="0.4">
      <c r="A1287" s="2" t="s">
        <v>10988</v>
      </c>
      <c r="B1287" s="2" t="s">
        <v>5885</v>
      </c>
      <c r="C1287" s="6" t="s">
        <v>5879</v>
      </c>
      <c r="D1287" s="6" t="s">
        <v>42</v>
      </c>
      <c r="E1287" s="7">
        <v>44927</v>
      </c>
      <c r="F1287" s="8" t="s">
        <v>77</v>
      </c>
      <c r="G1287" s="2" t="s">
        <v>26</v>
      </c>
      <c r="H1287" s="8" t="s">
        <v>28</v>
      </c>
      <c r="I1287" s="2" t="s">
        <v>26</v>
      </c>
      <c r="J1287" s="7">
        <v>44927</v>
      </c>
      <c r="K1287" s="8" t="s">
        <v>77</v>
      </c>
      <c r="L1287" s="2" t="s">
        <v>26</v>
      </c>
      <c r="M1287" s="8" t="s">
        <v>28</v>
      </c>
      <c r="N1287" s="6" t="s">
        <v>2264</v>
      </c>
      <c r="O1287" s="6" t="s">
        <v>30</v>
      </c>
      <c r="P1287" s="2" t="s">
        <v>12667</v>
      </c>
    </row>
    <row r="1288" spans="1:16" ht="13.15" x14ac:dyDescent="0.4">
      <c r="A1288" s="2" t="s">
        <v>11422</v>
      </c>
      <c r="B1288" s="2" t="s">
        <v>5885</v>
      </c>
      <c r="C1288" s="6" t="s">
        <v>5879</v>
      </c>
      <c r="D1288" s="6" t="s">
        <v>42</v>
      </c>
      <c r="E1288" s="7">
        <v>44927</v>
      </c>
      <c r="F1288" s="8" t="s">
        <v>77</v>
      </c>
      <c r="G1288" s="2" t="s">
        <v>26</v>
      </c>
      <c r="H1288" s="8" t="s">
        <v>28</v>
      </c>
      <c r="I1288" s="2" t="s">
        <v>26</v>
      </c>
      <c r="J1288" s="7">
        <v>44927</v>
      </c>
      <c r="K1288" s="8" t="s">
        <v>77</v>
      </c>
      <c r="L1288" s="2" t="s">
        <v>26</v>
      </c>
      <c r="M1288" s="8" t="s">
        <v>28</v>
      </c>
      <c r="N1288" s="6" t="s">
        <v>2264</v>
      </c>
      <c r="O1288" s="6" t="s">
        <v>30</v>
      </c>
      <c r="P1288" s="2" t="s">
        <v>12668</v>
      </c>
    </row>
    <row r="1289" spans="1:16" ht="13.15" x14ac:dyDescent="0.4">
      <c r="A1289" s="2" t="s">
        <v>11496</v>
      </c>
      <c r="B1289" s="2" t="s">
        <v>5885</v>
      </c>
      <c r="C1289" s="6" t="s">
        <v>5879</v>
      </c>
      <c r="D1289" s="6" t="s">
        <v>42</v>
      </c>
      <c r="E1289" s="7">
        <v>44927</v>
      </c>
      <c r="F1289" s="8" t="s">
        <v>77</v>
      </c>
      <c r="G1289" s="2" t="s">
        <v>26</v>
      </c>
      <c r="H1289" s="8" t="s">
        <v>28</v>
      </c>
      <c r="I1289" s="2" t="s">
        <v>26</v>
      </c>
      <c r="J1289" s="7">
        <v>44927</v>
      </c>
      <c r="K1289" s="8" t="s">
        <v>77</v>
      </c>
      <c r="L1289" s="2" t="s">
        <v>26</v>
      </c>
      <c r="M1289" s="8" t="s">
        <v>28</v>
      </c>
      <c r="N1289" s="6" t="s">
        <v>2264</v>
      </c>
      <c r="O1289" s="6" t="s">
        <v>30</v>
      </c>
      <c r="P1289" s="2" t="s">
        <v>12669</v>
      </c>
    </row>
    <row r="1290" spans="1:16" ht="13.15" x14ac:dyDescent="0.4">
      <c r="A1290" s="2" t="s">
        <v>11440</v>
      </c>
      <c r="B1290" s="2" t="s">
        <v>5885</v>
      </c>
      <c r="C1290" s="6" t="s">
        <v>5879</v>
      </c>
      <c r="D1290" s="6" t="s">
        <v>42</v>
      </c>
      <c r="E1290" s="7">
        <v>44927</v>
      </c>
      <c r="F1290" s="8" t="s">
        <v>77</v>
      </c>
      <c r="G1290" s="2" t="s">
        <v>26</v>
      </c>
      <c r="H1290" s="8" t="s">
        <v>28</v>
      </c>
      <c r="I1290" s="2" t="s">
        <v>26</v>
      </c>
      <c r="J1290" s="7">
        <v>44927</v>
      </c>
      <c r="K1290" s="8" t="s">
        <v>77</v>
      </c>
      <c r="L1290" s="2" t="s">
        <v>26</v>
      </c>
      <c r="M1290" s="8" t="s">
        <v>28</v>
      </c>
      <c r="N1290" s="6" t="s">
        <v>2264</v>
      </c>
      <c r="O1290" s="6" t="s">
        <v>30</v>
      </c>
      <c r="P1290" s="2" t="s">
        <v>12670</v>
      </c>
    </row>
    <row r="1291" spans="1:16" ht="13.15" x14ac:dyDescent="0.4">
      <c r="A1291" s="2" t="s">
        <v>11446</v>
      </c>
      <c r="B1291" s="2" t="s">
        <v>5885</v>
      </c>
      <c r="C1291" s="6" t="s">
        <v>5879</v>
      </c>
      <c r="D1291" s="6" t="s">
        <v>42</v>
      </c>
      <c r="E1291" s="7">
        <v>44927</v>
      </c>
      <c r="F1291" s="8" t="s">
        <v>77</v>
      </c>
      <c r="G1291" s="2" t="s">
        <v>26</v>
      </c>
      <c r="H1291" s="8" t="s">
        <v>28</v>
      </c>
      <c r="I1291" s="2" t="s">
        <v>26</v>
      </c>
      <c r="J1291" s="7">
        <v>44927</v>
      </c>
      <c r="K1291" s="8" t="s">
        <v>77</v>
      </c>
      <c r="L1291" s="2" t="s">
        <v>26</v>
      </c>
      <c r="M1291" s="8" t="s">
        <v>28</v>
      </c>
      <c r="N1291" s="6" t="s">
        <v>2264</v>
      </c>
      <c r="O1291" s="6" t="s">
        <v>30</v>
      </c>
      <c r="P1291" s="2" t="s">
        <v>12671</v>
      </c>
    </row>
    <row r="1292" spans="1:16" ht="13.15" x14ac:dyDescent="0.4">
      <c r="A1292" s="2" t="s">
        <v>11436</v>
      </c>
      <c r="B1292" s="2" t="s">
        <v>5885</v>
      </c>
      <c r="C1292" s="6" t="s">
        <v>5879</v>
      </c>
      <c r="D1292" s="6" t="s">
        <v>42</v>
      </c>
      <c r="E1292" s="7">
        <v>44927</v>
      </c>
      <c r="F1292" s="8" t="s">
        <v>77</v>
      </c>
      <c r="G1292" s="2" t="s">
        <v>26</v>
      </c>
      <c r="H1292" s="8" t="s">
        <v>28</v>
      </c>
      <c r="I1292" s="2" t="s">
        <v>26</v>
      </c>
      <c r="J1292" s="7">
        <v>44927</v>
      </c>
      <c r="K1292" s="8" t="s">
        <v>77</v>
      </c>
      <c r="L1292" s="2" t="s">
        <v>26</v>
      </c>
      <c r="M1292" s="8" t="s">
        <v>28</v>
      </c>
      <c r="N1292" s="6" t="s">
        <v>2264</v>
      </c>
      <c r="O1292" s="6" t="s">
        <v>30</v>
      </c>
      <c r="P1292" s="2" t="s">
        <v>12672</v>
      </c>
    </row>
    <row r="1293" spans="1:16" ht="13.15" x14ac:dyDescent="0.4">
      <c r="A1293" s="2" t="s">
        <v>11362</v>
      </c>
      <c r="B1293" s="2" t="s">
        <v>5885</v>
      </c>
      <c r="C1293" s="6" t="s">
        <v>5879</v>
      </c>
      <c r="D1293" s="6" t="s">
        <v>42</v>
      </c>
      <c r="E1293" s="7">
        <v>44927</v>
      </c>
      <c r="F1293" s="8" t="s">
        <v>77</v>
      </c>
      <c r="G1293" s="2" t="s">
        <v>26</v>
      </c>
      <c r="H1293" s="8" t="s">
        <v>28</v>
      </c>
      <c r="I1293" s="2" t="s">
        <v>26</v>
      </c>
      <c r="J1293" s="7">
        <v>44927</v>
      </c>
      <c r="K1293" s="8" t="s">
        <v>77</v>
      </c>
      <c r="L1293" s="2" t="s">
        <v>26</v>
      </c>
      <c r="M1293" s="8" t="s">
        <v>28</v>
      </c>
      <c r="N1293" s="6" t="s">
        <v>2264</v>
      </c>
      <c r="O1293" s="6" t="s">
        <v>30</v>
      </c>
      <c r="P1293" s="2" t="s">
        <v>12673</v>
      </c>
    </row>
    <row r="1294" spans="1:16" ht="13.15" x14ac:dyDescent="0.4">
      <c r="A1294" s="2" t="s">
        <v>11379</v>
      </c>
      <c r="B1294" s="2" t="s">
        <v>5885</v>
      </c>
      <c r="C1294" s="6" t="s">
        <v>5879</v>
      </c>
      <c r="D1294" s="6" t="s">
        <v>42</v>
      </c>
      <c r="E1294" s="7">
        <v>44927</v>
      </c>
      <c r="F1294" s="8" t="s">
        <v>77</v>
      </c>
      <c r="G1294" s="2" t="s">
        <v>26</v>
      </c>
      <c r="H1294" s="8" t="s">
        <v>28</v>
      </c>
      <c r="I1294" s="2" t="s">
        <v>26</v>
      </c>
      <c r="J1294" s="7">
        <v>44927</v>
      </c>
      <c r="K1294" s="8" t="s">
        <v>77</v>
      </c>
      <c r="L1294" s="2" t="s">
        <v>26</v>
      </c>
      <c r="M1294" s="8" t="s">
        <v>28</v>
      </c>
      <c r="N1294" s="6" t="s">
        <v>2264</v>
      </c>
      <c r="O1294" s="6" t="s">
        <v>30</v>
      </c>
      <c r="P1294" s="2" t="s">
        <v>12674</v>
      </c>
    </row>
    <row r="1295" spans="1:16" ht="13.15" x14ac:dyDescent="0.4">
      <c r="A1295" s="2" t="s">
        <v>11580</v>
      </c>
      <c r="B1295" s="2" t="s">
        <v>5885</v>
      </c>
      <c r="C1295" s="6" t="s">
        <v>5879</v>
      </c>
      <c r="D1295" s="6" t="s">
        <v>42</v>
      </c>
      <c r="E1295" s="7">
        <v>44927</v>
      </c>
      <c r="F1295" s="8" t="s">
        <v>77</v>
      </c>
      <c r="G1295" s="2" t="s">
        <v>26</v>
      </c>
      <c r="H1295" s="8" t="s">
        <v>28</v>
      </c>
      <c r="I1295" s="2" t="s">
        <v>26</v>
      </c>
      <c r="J1295" s="7">
        <v>44927</v>
      </c>
      <c r="K1295" s="8" t="s">
        <v>77</v>
      </c>
      <c r="L1295" s="2" t="s">
        <v>26</v>
      </c>
      <c r="M1295" s="8" t="s">
        <v>28</v>
      </c>
      <c r="N1295" s="6" t="s">
        <v>2264</v>
      </c>
      <c r="O1295" s="6" t="s">
        <v>30</v>
      </c>
      <c r="P1295" s="2" t="s">
        <v>12675</v>
      </c>
    </row>
    <row r="1296" spans="1:16" ht="13.15" x14ac:dyDescent="0.4">
      <c r="A1296" s="2" t="s">
        <v>11418</v>
      </c>
      <c r="B1296" s="2" t="s">
        <v>5885</v>
      </c>
      <c r="C1296" s="6" t="s">
        <v>5879</v>
      </c>
      <c r="D1296" s="6" t="s">
        <v>42</v>
      </c>
      <c r="E1296" s="7">
        <v>44927</v>
      </c>
      <c r="F1296" s="8" t="s">
        <v>77</v>
      </c>
      <c r="G1296" s="2" t="s">
        <v>26</v>
      </c>
      <c r="H1296" s="8" t="s">
        <v>28</v>
      </c>
      <c r="I1296" s="2" t="s">
        <v>26</v>
      </c>
      <c r="J1296" s="7">
        <v>44927</v>
      </c>
      <c r="K1296" s="8" t="s">
        <v>77</v>
      </c>
      <c r="L1296" s="2" t="s">
        <v>26</v>
      </c>
      <c r="M1296" s="8" t="s">
        <v>28</v>
      </c>
      <c r="N1296" s="6" t="s">
        <v>2264</v>
      </c>
      <c r="O1296" s="6" t="s">
        <v>30</v>
      </c>
      <c r="P1296" s="2" t="s">
        <v>12676</v>
      </c>
    </row>
    <row r="1297" spans="1:16" ht="13.15" x14ac:dyDescent="0.4">
      <c r="A1297" s="2" t="s">
        <v>11533</v>
      </c>
      <c r="B1297" s="2" t="s">
        <v>5885</v>
      </c>
      <c r="C1297" s="6" t="s">
        <v>5879</v>
      </c>
      <c r="D1297" s="6" t="s">
        <v>42</v>
      </c>
      <c r="E1297" s="7">
        <v>44927</v>
      </c>
      <c r="F1297" s="8" t="s">
        <v>77</v>
      </c>
      <c r="G1297" s="2" t="s">
        <v>26</v>
      </c>
      <c r="H1297" s="8" t="s">
        <v>28</v>
      </c>
      <c r="I1297" s="2" t="s">
        <v>26</v>
      </c>
      <c r="J1297" s="7">
        <v>44927</v>
      </c>
      <c r="K1297" s="8" t="s">
        <v>77</v>
      </c>
      <c r="L1297" s="2" t="s">
        <v>26</v>
      </c>
      <c r="M1297" s="8" t="s">
        <v>28</v>
      </c>
      <c r="N1297" s="6" t="s">
        <v>2264</v>
      </c>
      <c r="O1297" s="6" t="s">
        <v>30</v>
      </c>
      <c r="P1297" s="2" t="s">
        <v>12677</v>
      </c>
    </row>
    <row r="1298" spans="1:16" ht="13.15" x14ac:dyDescent="0.4">
      <c r="A1298" s="2" t="s">
        <v>11334</v>
      </c>
      <c r="B1298" s="2" t="s">
        <v>5885</v>
      </c>
      <c r="C1298" s="6" t="s">
        <v>5879</v>
      </c>
      <c r="D1298" s="6" t="s">
        <v>42</v>
      </c>
      <c r="E1298" s="7">
        <v>44927</v>
      </c>
      <c r="F1298" s="8" t="s">
        <v>77</v>
      </c>
      <c r="G1298" s="2" t="s">
        <v>26</v>
      </c>
      <c r="H1298" s="8" t="s">
        <v>28</v>
      </c>
      <c r="I1298" s="2" t="s">
        <v>26</v>
      </c>
      <c r="J1298" s="7">
        <v>44927</v>
      </c>
      <c r="K1298" s="8" t="s">
        <v>77</v>
      </c>
      <c r="L1298" s="2" t="s">
        <v>26</v>
      </c>
      <c r="M1298" s="8" t="s">
        <v>28</v>
      </c>
      <c r="N1298" s="6" t="s">
        <v>2264</v>
      </c>
      <c r="O1298" s="6" t="s">
        <v>30</v>
      </c>
      <c r="P1298" s="2" t="s">
        <v>12678</v>
      </c>
    </row>
    <row r="1299" spans="1:16" ht="13.15" x14ac:dyDescent="0.4">
      <c r="A1299" s="2" t="s">
        <v>11548</v>
      </c>
      <c r="B1299" s="2" t="s">
        <v>5885</v>
      </c>
      <c r="C1299" s="6" t="s">
        <v>5879</v>
      </c>
      <c r="D1299" s="6" t="s">
        <v>42</v>
      </c>
      <c r="E1299" s="7">
        <v>44927</v>
      </c>
      <c r="F1299" s="8" t="s">
        <v>77</v>
      </c>
      <c r="G1299" s="2" t="s">
        <v>26</v>
      </c>
      <c r="H1299" s="8" t="s">
        <v>28</v>
      </c>
      <c r="I1299" s="2" t="s">
        <v>26</v>
      </c>
      <c r="J1299" s="7">
        <v>44927</v>
      </c>
      <c r="K1299" s="8" t="s">
        <v>77</v>
      </c>
      <c r="L1299" s="2" t="s">
        <v>26</v>
      </c>
      <c r="M1299" s="8" t="s">
        <v>28</v>
      </c>
      <c r="N1299" s="6" t="s">
        <v>2264</v>
      </c>
      <c r="O1299" s="6" t="s">
        <v>30</v>
      </c>
      <c r="P1299" s="2" t="s">
        <v>12679</v>
      </c>
    </row>
    <row r="1300" spans="1:16" ht="13.15" x14ac:dyDescent="0.4">
      <c r="A1300" s="2" t="s">
        <v>11452</v>
      </c>
      <c r="B1300" s="2" t="s">
        <v>5885</v>
      </c>
      <c r="C1300" s="6" t="s">
        <v>5879</v>
      </c>
      <c r="D1300" s="6" t="s">
        <v>42</v>
      </c>
      <c r="E1300" s="7">
        <v>44927</v>
      </c>
      <c r="F1300" s="8" t="s">
        <v>77</v>
      </c>
      <c r="G1300" s="2" t="s">
        <v>26</v>
      </c>
      <c r="H1300" s="8" t="s">
        <v>28</v>
      </c>
      <c r="I1300" s="2" t="s">
        <v>26</v>
      </c>
      <c r="J1300" s="7">
        <v>44927</v>
      </c>
      <c r="K1300" s="8" t="s">
        <v>77</v>
      </c>
      <c r="L1300" s="2" t="s">
        <v>26</v>
      </c>
      <c r="M1300" s="8" t="s">
        <v>28</v>
      </c>
      <c r="N1300" s="6" t="s">
        <v>2264</v>
      </c>
      <c r="O1300" s="6" t="s">
        <v>30</v>
      </c>
      <c r="P1300" s="2" t="s">
        <v>12680</v>
      </c>
    </row>
    <row r="1301" spans="1:16" ht="13.15" x14ac:dyDescent="0.4">
      <c r="A1301" s="2" t="s">
        <v>11425</v>
      </c>
      <c r="B1301" s="2" t="s">
        <v>5885</v>
      </c>
      <c r="C1301" s="6" t="s">
        <v>5879</v>
      </c>
      <c r="D1301" s="6" t="s">
        <v>42</v>
      </c>
      <c r="E1301" s="7">
        <v>44927</v>
      </c>
      <c r="F1301" s="8" t="s">
        <v>77</v>
      </c>
      <c r="G1301" s="2" t="s">
        <v>26</v>
      </c>
      <c r="H1301" s="8" t="s">
        <v>28</v>
      </c>
      <c r="I1301" s="2" t="s">
        <v>26</v>
      </c>
      <c r="J1301" s="7">
        <v>44927</v>
      </c>
      <c r="K1301" s="8" t="s">
        <v>77</v>
      </c>
      <c r="L1301" s="2" t="s">
        <v>26</v>
      </c>
      <c r="M1301" s="8" t="s">
        <v>28</v>
      </c>
      <c r="N1301" s="6" t="s">
        <v>2264</v>
      </c>
      <c r="O1301" s="6" t="s">
        <v>30</v>
      </c>
      <c r="P1301" s="2" t="s">
        <v>12681</v>
      </c>
    </row>
    <row r="1302" spans="1:16" ht="13.15" x14ac:dyDescent="0.4">
      <c r="A1302" s="2" t="s">
        <v>11398</v>
      </c>
      <c r="B1302" s="2" t="s">
        <v>5885</v>
      </c>
      <c r="C1302" s="6" t="s">
        <v>5879</v>
      </c>
      <c r="D1302" s="6" t="s">
        <v>42</v>
      </c>
      <c r="E1302" s="7">
        <v>44927</v>
      </c>
      <c r="F1302" s="8" t="s">
        <v>77</v>
      </c>
      <c r="G1302" s="2" t="s">
        <v>26</v>
      </c>
      <c r="H1302" s="8" t="s">
        <v>28</v>
      </c>
      <c r="I1302" s="2" t="s">
        <v>26</v>
      </c>
      <c r="J1302" s="7">
        <v>44927</v>
      </c>
      <c r="K1302" s="8" t="s">
        <v>77</v>
      </c>
      <c r="L1302" s="2" t="s">
        <v>26</v>
      </c>
      <c r="M1302" s="8" t="s">
        <v>28</v>
      </c>
      <c r="N1302" s="6" t="s">
        <v>2264</v>
      </c>
      <c r="O1302" s="6" t="s">
        <v>30</v>
      </c>
      <c r="P1302" s="2" t="s">
        <v>12682</v>
      </c>
    </row>
    <row r="1303" spans="1:16" ht="13.15" x14ac:dyDescent="0.4">
      <c r="A1303" s="2" t="s">
        <v>11252</v>
      </c>
      <c r="B1303" s="2" t="s">
        <v>5885</v>
      </c>
      <c r="C1303" s="6" t="s">
        <v>5879</v>
      </c>
      <c r="D1303" s="6" t="s">
        <v>42</v>
      </c>
      <c r="E1303" s="7">
        <v>44927</v>
      </c>
      <c r="F1303" s="8" t="s">
        <v>77</v>
      </c>
      <c r="G1303" s="2" t="s">
        <v>26</v>
      </c>
      <c r="H1303" s="8" t="s">
        <v>28</v>
      </c>
      <c r="I1303" s="2" t="s">
        <v>26</v>
      </c>
      <c r="J1303" s="7">
        <v>44927</v>
      </c>
      <c r="K1303" s="8" t="s">
        <v>77</v>
      </c>
      <c r="L1303" s="2" t="s">
        <v>26</v>
      </c>
      <c r="M1303" s="8" t="s">
        <v>28</v>
      </c>
      <c r="N1303" s="6" t="s">
        <v>2264</v>
      </c>
      <c r="O1303" s="6" t="s">
        <v>30</v>
      </c>
      <c r="P1303" s="2" t="s">
        <v>12683</v>
      </c>
    </row>
    <row r="1304" spans="1:16" ht="13.15" x14ac:dyDescent="0.4">
      <c r="A1304" s="2" t="s">
        <v>3009</v>
      </c>
      <c r="B1304" s="2" t="s">
        <v>5885</v>
      </c>
      <c r="C1304" s="6" t="s">
        <v>5879</v>
      </c>
      <c r="D1304" s="6" t="s">
        <v>42</v>
      </c>
      <c r="E1304" s="7">
        <v>44927</v>
      </c>
      <c r="F1304" s="8" t="s">
        <v>77</v>
      </c>
      <c r="G1304" s="2" t="s">
        <v>26</v>
      </c>
      <c r="H1304" s="8" t="s">
        <v>28</v>
      </c>
      <c r="I1304" s="2" t="s">
        <v>26</v>
      </c>
      <c r="J1304" s="7">
        <v>44927</v>
      </c>
      <c r="K1304" s="8" t="s">
        <v>77</v>
      </c>
      <c r="L1304" s="2" t="s">
        <v>26</v>
      </c>
      <c r="M1304" s="8" t="s">
        <v>28</v>
      </c>
      <c r="N1304" s="6" t="s">
        <v>2264</v>
      </c>
      <c r="O1304" s="6" t="s">
        <v>30</v>
      </c>
      <c r="P1304" s="2" t="s">
        <v>12684</v>
      </c>
    </row>
    <row r="1305" spans="1:16" ht="13.15" x14ac:dyDescent="0.4">
      <c r="A1305" s="2" t="s">
        <v>11451</v>
      </c>
      <c r="B1305" s="2" t="s">
        <v>5885</v>
      </c>
      <c r="C1305" s="6" t="s">
        <v>5879</v>
      </c>
      <c r="D1305" s="6" t="s">
        <v>42</v>
      </c>
      <c r="E1305" s="7">
        <v>44927</v>
      </c>
      <c r="F1305" s="8" t="s">
        <v>77</v>
      </c>
      <c r="G1305" s="2" t="s">
        <v>26</v>
      </c>
      <c r="H1305" s="8" t="s">
        <v>28</v>
      </c>
      <c r="I1305" s="2" t="s">
        <v>26</v>
      </c>
      <c r="J1305" s="7">
        <v>44927</v>
      </c>
      <c r="K1305" s="8" t="s">
        <v>77</v>
      </c>
      <c r="L1305" s="2" t="s">
        <v>26</v>
      </c>
      <c r="M1305" s="8" t="s">
        <v>28</v>
      </c>
      <c r="N1305" s="6" t="s">
        <v>2264</v>
      </c>
      <c r="O1305" s="6" t="s">
        <v>30</v>
      </c>
      <c r="P1305" s="2" t="s">
        <v>12685</v>
      </c>
    </row>
    <row r="1306" spans="1:16" ht="13.15" x14ac:dyDescent="0.4">
      <c r="A1306" s="2" t="s">
        <v>11244</v>
      </c>
      <c r="B1306" s="2" t="s">
        <v>5885</v>
      </c>
      <c r="C1306" s="6" t="s">
        <v>5879</v>
      </c>
      <c r="D1306" s="6" t="s">
        <v>42</v>
      </c>
      <c r="E1306" s="7">
        <v>44927</v>
      </c>
      <c r="F1306" s="8" t="s">
        <v>77</v>
      </c>
      <c r="G1306" s="2" t="s">
        <v>26</v>
      </c>
      <c r="H1306" s="8" t="s">
        <v>28</v>
      </c>
      <c r="I1306" s="2" t="s">
        <v>26</v>
      </c>
      <c r="J1306" s="7">
        <v>44927</v>
      </c>
      <c r="K1306" s="8" t="s">
        <v>77</v>
      </c>
      <c r="L1306" s="2" t="s">
        <v>26</v>
      </c>
      <c r="M1306" s="8" t="s">
        <v>28</v>
      </c>
      <c r="N1306" s="6" t="s">
        <v>2264</v>
      </c>
      <c r="O1306" s="6" t="s">
        <v>30</v>
      </c>
      <c r="P1306" s="2" t="s">
        <v>12686</v>
      </c>
    </row>
    <row r="1307" spans="1:16" ht="13.15" x14ac:dyDescent="0.4">
      <c r="A1307" s="2" t="s">
        <v>11539</v>
      </c>
      <c r="B1307" s="2" t="s">
        <v>5885</v>
      </c>
      <c r="C1307" s="6" t="s">
        <v>5879</v>
      </c>
      <c r="D1307" s="6" t="s">
        <v>42</v>
      </c>
      <c r="E1307" s="7">
        <v>44927</v>
      </c>
      <c r="F1307" s="8" t="s">
        <v>77</v>
      </c>
      <c r="G1307" s="2" t="s">
        <v>26</v>
      </c>
      <c r="H1307" s="8" t="s">
        <v>28</v>
      </c>
      <c r="I1307" s="2" t="s">
        <v>26</v>
      </c>
      <c r="J1307" s="7">
        <v>44927</v>
      </c>
      <c r="K1307" s="8" t="s">
        <v>77</v>
      </c>
      <c r="L1307" s="2" t="s">
        <v>26</v>
      </c>
      <c r="M1307" s="8" t="s">
        <v>28</v>
      </c>
      <c r="N1307" s="6" t="s">
        <v>2264</v>
      </c>
      <c r="O1307" s="6" t="s">
        <v>30</v>
      </c>
      <c r="P1307" s="2" t="s">
        <v>12687</v>
      </c>
    </row>
    <row r="1308" spans="1:16" ht="13.15" x14ac:dyDescent="0.4">
      <c r="A1308" s="2" t="s">
        <v>11536</v>
      </c>
      <c r="B1308" s="2" t="s">
        <v>5885</v>
      </c>
      <c r="C1308" s="6" t="s">
        <v>5879</v>
      </c>
      <c r="D1308" s="6" t="s">
        <v>42</v>
      </c>
      <c r="E1308" s="7">
        <v>44927</v>
      </c>
      <c r="F1308" s="8" t="s">
        <v>77</v>
      </c>
      <c r="G1308" s="2" t="s">
        <v>26</v>
      </c>
      <c r="H1308" s="8" t="s">
        <v>28</v>
      </c>
      <c r="I1308" s="2" t="s">
        <v>26</v>
      </c>
      <c r="J1308" s="7">
        <v>44927</v>
      </c>
      <c r="K1308" s="8" t="s">
        <v>77</v>
      </c>
      <c r="L1308" s="2" t="s">
        <v>26</v>
      </c>
      <c r="M1308" s="8" t="s">
        <v>28</v>
      </c>
      <c r="N1308" s="6" t="s">
        <v>2264</v>
      </c>
      <c r="O1308" s="6" t="s">
        <v>30</v>
      </c>
      <c r="P1308" s="2" t="s">
        <v>12688</v>
      </c>
    </row>
    <row r="1309" spans="1:16" ht="13.15" x14ac:dyDescent="0.4">
      <c r="A1309" s="2" t="s">
        <v>11474</v>
      </c>
      <c r="B1309" s="2" t="s">
        <v>5885</v>
      </c>
      <c r="C1309" s="6" t="s">
        <v>5879</v>
      </c>
      <c r="D1309" s="6" t="s">
        <v>42</v>
      </c>
      <c r="E1309" s="7">
        <v>44927</v>
      </c>
      <c r="F1309" s="8" t="s">
        <v>77</v>
      </c>
      <c r="G1309" s="2" t="s">
        <v>26</v>
      </c>
      <c r="H1309" s="8" t="s">
        <v>28</v>
      </c>
      <c r="I1309" s="2" t="s">
        <v>26</v>
      </c>
      <c r="J1309" s="7">
        <v>44927</v>
      </c>
      <c r="K1309" s="8" t="s">
        <v>77</v>
      </c>
      <c r="L1309" s="2" t="s">
        <v>26</v>
      </c>
      <c r="M1309" s="8" t="s">
        <v>28</v>
      </c>
      <c r="N1309" s="6" t="s">
        <v>2264</v>
      </c>
      <c r="O1309" s="6" t="s">
        <v>30</v>
      </c>
      <c r="P1309" s="2" t="s">
        <v>12689</v>
      </c>
    </row>
    <row r="1310" spans="1:16" ht="13.15" x14ac:dyDescent="0.4">
      <c r="A1310" s="2" t="s">
        <v>8773</v>
      </c>
      <c r="B1310" s="2" t="s">
        <v>5885</v>
      </c>
      <c r="C1310" s="6" t="s">
        <v>5879</v>
      </c>
      <c r="D1310" s="6" t="s">
        <v>42</v>
      </c>
      <c r="E1310" s="7">
        <v>44927</v>
      </c>
      <c r="F1310" s="8" t="s">
        <v>77</v>
      </c>
      <c r="G1310" s="2" t="s">
        <v>26</v>
      </c>
      <c r="H1310" s="8" t="s">
        <v>28</v>
      </c>
      <c r="I1310" s="2" t="s">
        <v>26</v>
      </c>
      <c r="J1310" s="7">
        <v>44927</v>
      </c>
      <c r="K1310" s="8" t="s">
        <v>77</v>
      </c>
      <c r="L1310" s="2" t="s">
        <v>26</v>
      </c>
      <c r="M1310" s="8" t="s">
        <v>28</v>
      </c>
      <c r="N1310" s="6" t="s">
        <v>2264</v>
      </c>
      <c r="O1310" s="6" t="s">
        <v>30</v>
      </c>
      <c r="P1310" s="2" t="s">
        <v>12690</v>
      </c>
    </row>
    <row r="1311" spans="1:16" ht="13.15" x14ac:dyDescent="0.4">
      <c r="A1311" s="2" t="s">
        <v>11579</v>
      </c>
      <c r="B1311" s="2" t="s">
        <v>5885</v>
      </c>
      <c r="C1311" s="6" t="s">
        <v>5879</v>
      </c>
      <c r="D1311" s="6" t="s">
        <v>42</v>
      </c>
      <c r="E1311" s="7">
        <v>44927</v>
      </c>
      <c r="F1311" s="8" t="s">
        <v>77</v>
      </c>
      <c r="G1311" s="2" t="s">
        <v>26</v>
      </c>
      <c r="H1311" s="8" t="s">
        <v>28</v>
      </c>
      <c r="I1311" s="2" t="s">
        <v>26</v>
      </c>
      <c r="J1311" s="7">
        <v>44927</v>
      </c>
      <c r="K1311" s="8" t="s">
        <v>77</v>
      </c>
      <c r="L1311" s="2" t="s">
        <v>26</v>
      </c>
      <c r="M1311" s="8" t="s">
        <v>28</v>
      </c>
      <c r="N1311" s="6" t="s">
        <v>2264</v>
      </c>
      <c r="O1311" s="6" t="s">
        <v>30</v>
      </c>
      <c r="P1311" s="2" t="s">
        <v>12691</v>
      </c>
    </row>
    <row r="1312" spans="1:16" ht="13.15" x14ac:dyDescent="0.4">
      <c r="A1312" s="2" t="s">
        <v>11470</v>
      </c>
      <c r="B1312" s="2" t="s">
        <v>5885</v>
      </c>
      <c r="C1312" s="6" t="s">
        <v>5879</v>
      </c>
      <c r="D1312" s="6" t="s">
        <v>42</v>
      </c>
      <c r="E1312" s="7">
        <v>44927</v>
      </c>
      <c r="F1312" s="8" t="s">
        <v>77</v>
      </c>
      <c r="G1312" s="2" t="s">
        <v>26</v>
      </c>
      <c r="H1312" s="8" t="s">
        <v>28</v>
      </c>
      <c r="I1312" s="2" t="s">
        <v>26</v>
      </c>
      <c r="J1312" s="7">
        <v>44927</v>
      </c>
      <c r="K1312" s="8" t="s">
        <v>77</v>
      </c>
      <c r="L1312" s="2" t="s">
        <v>26</v>
      </c>
      <c r="M1312" s="8" t="s">
        <v>28</v>
      </c>
      <c r="N1312" s="6" t="s">
        <v>2264</v>
      </c>
      <c r="O1312" s="6" t="s">
        <v>30</v>
      </c>
      <c r="P1312" s="2" t="s">
        <v>12692</v>
      </c>
    </row>
    <row r="1313" spans="1:16" ht="13.15" x14ac:dyDescent="0.4">
      <c r="A1313" s="2" t="s">
        <v>11481</v>
      </c>
      <c r="B1313" s="2" t="s">
        <v>5885</v>
      </c>
      <c r="C1313" s="6" t="s">
        <v>5879</v>
      </c>
      <c r="D1313" s="6" t="s">
        <v>42</v>
      </c>
      <c r="E1313" s="7">
        <v>44927</v>
      </c>
      <c r="F1313" s="8" t="s">
        <v>77</v>
      </c>
      <c r="G1313" s="2" t="s">
        <v>26</v>
      </c>
      <c r="H1313" s="8" t="s">
        <v>28</v>
      </c>
      <c r="I1313" s="2" t="s">
        <v>26</v>
      </c>
      <c r="J1313" s="7">
        <v>44927</v>
      </c>
      <c r="K1313" s="8" t="s">
        <v>77</v>
      </c>
      <c r="L1313" s="2" t="s">
        <v>26</v>
      </c>
      <c r="M1313" s="8" t="s">
        <v>28</v>
      </c>
      <c r="N1313" s="6" t="s">
        <v>2264</v>
      </c>
      <c r="O1313" s="6" t="s">
        <v>30</v>
      </c>
      <c r="P1313" s="2" t="s">
        <v>12693</v>
      </c>
    </row>
    <row r="1314" spans="1:16" ht="13.15" x14ac:dyDescent="0.4">
      <c r="A1314" s="2" t="s">
        <v>11547</v>
      </c>
      <c r="B1314" s="2" t="s">
        <v>5885</v>
      </c>
      <c r="C1314" s="6" t="s">
        <v>5879</v>
      </c>
      <c r="D1314" s="6" t="s">
        <v>42</v>
      </c>
      <c r="E1314" s="7">
        <v>44927</v>
      </c>
      <c r="F1314" s="8" t="s">
        <v>77</v>
      </c>
      <c r="G1314" s="2" t="s">
        <v>26</v>
      </c>
      <c r="H1314" s="8" t="s">
        <v>28</v>
      </c>
      <c r="I1314" s="2" t="s">
        <v>26</v>
      </c>
      <c r="J1314" s="7">
        <v>44927</v>
      </c>
      <c r="K1314" s="8" t="s">
        <v>77</v>
      </c>
      <c r="L1314" s="2" t="s">
        <v>26</v>
      </c>
      <c r="M1314" s="8" t="s">
        <v>28</v>
      </c>
      <c r="N1314" s="6" t="s">
        <v>2264</v>
      </c>
      <c r="O1314" s="6" t="s">
        <v>30</v>
      </c>
      <c r="P1314" s="2" t="s">
        <v>12694</v>
      </c>
    </row>
    <row r="1315" spans="1:16" ht="13.15" x14ac:dyDescent="0.4">
      <c r="A1315" s="2" t="s">
        <v>11411</v>
      </c>
      <c r="B1315" s="2" t="s">
        <v>5885</v>
      </c>
      <c r="C1315" s="6" t="s">
        <v>5879</v>
      </c>
      <c r="D1315" s="6" t="s">
        <v>42</v>
      </c>
      <c r="E1315" s="7">
        <v>44927</v>
      </c>
      <c r="F1315" s="8" t="s">
        <v>77</v>
      </c>
      <c r="G1315" s="2" t="s">
        <v>26</v>
      </c>
      <c r="H1315" s="8" t="s">
        <v>28</v>
      </c>
      <c r="I1315" s="2" t="s">
        <v>26</v>
      </c>
      <c r="J1315" s="7">
        <v>44927</v>
      </c>
      <c r="K1315" s="8" t="s">
        <v>77</v>
      </c>
      <c r="L1315" s="2" t="s">
        <v>26</v>
      </c>
      <c r="M1315" s="8" t="s">
        <v>28</v>
      </c>
      <c r="N1315" s="6" t="s">
        <v>2264</v>
      </c>
      <c r="O1315" s="6" t="s">
        <v>30</v>
      </c>
      <c r="P1315" s="2" t="s">
        <v>12695</v>
      </c>
    </row>
    <row r="1316" spans="1:16" ht="13.15" x14ac:dyDescent="0.4">
      <c r="A1316" s="2" t="s">
        <v>11166</v>
      </c>
      <c r="B1316" s="2" t="s">
        <v>5885</v>
      </c>
      <c r="C1316" s="6" t="s">
        <v>5879</v>
      </c>
      <c r="D1316" s="6" t="s">
        <v>42</v>
      </c>
      <c r="E1316" s="7">
        <v>44927</v>
      </c>
      <c r="F1316" s="8" t="s">
        <v>77</v>
      </c>
      <c r="G1316" s="2" t="s">
        <v>26</v>
      </c>
      <c r="H1316" s="8" t="s">
        <v>28</v>
      </c>
      <c r="I1316" s="2" t="s">
        <v>26</v>
      </c>
      <c r="J1316" s="7">
        <v>44927</v>
      </c>
      <c r="K1316" s="8" t="s">
        <v>77</v>
      </c>
      <c r="L1316" s="2" t="s">
        <v>26</v>
      </c>
      <c r="M1316" s="8" t="s">
        <v>28</v>
      </c>
      <c r="N1316" s="6" t="s">
        <v>2264</v>
      </c>
      <c r="O1316" s="6" t="s">
        <v>30</v>
      </c>
      <c r="P1316" s="2" t="s">
        <v>12696</v>
      </c>
    </row>
    <row r="1317" spans="1:16" ht="13.15" x14ac:dyDescent="0.4">
      <c r="A1317" s="2" t="s">
        <v>11503</v>
      </c>
      <c r="B1317" s="2" t="s">
        <v>5885</v>
      </c>
      <c r="C1317" s="6" t="s">
        <v>5879</v>
      </c>
      <c r="D1317" s="6" t="s">
        <v>42</v>
      </c>
      <c r="E1317" s="7">
        <v>44927</v>
      </c>
      <c r="F1317" s="8" t="s">
        <v>77</v>
      </c>
      <c r="G1317" s="2" t="s">
        <v>26</v>
      </c>
      <c r="H1317" s="8" t="s">
        <v>28</v>
      </c>
      <c r="I1317" s="2" t="s">
        <v>26</v>
      </c>
      <c r="J1317" s="7">
        <v>44927</v>
      </c>
      <c r="K1317" s="8" t="s">
        <v>77</v>
      </c>
      <c r="L1317" s="2" t="s">
        <v>26</v>
      </c>
      <c r="M1317" s="8" t="s">
        <v>28</v>
      </c>
      <c r="N1317" s="6" t="s">
        <v>2264</v>
      </c>
      <c r="O1317" s="6" t="s">
        <v>30</v>
      </c>
      <c r="P1317" s="2" t="s">
        <v>12697</v>
      </c>
    </row>
    <row r="1318" spans="1:16" ht="13.15" x14ac:dyDescent="0.4">
      <c r="A1318" s="2" t="s">
        <v>11551</v>
      </c>
      <c r="B1318" s="2" t="s">
        <v>5885</v>
      </c>
      <c r="C1318" s="6" t="s">
        <v>5879</v>
      </c>
      <c r="D1318" s="6" t="s">
        <v>42</v>
      </c>
      <c r="E1318" s="7">
        <v>44927</v>
      </c>
      <c r="F1318" s="8" t="s">
        <v>77</v>
      </c>
      <c r="G1318" s="2" t="s">
        <v>26</v>
      </c>
      <c r="H1318" s="8" t="s">
        <v>28</v>
      </c>
      <c r="I1318" s="2" t="s">
        <v>26</v>
      </c>
      <c r="J1318" s="7">
        <v>44927</v>
      </c>
      <c r="K1318" s="8" t="s">
        <v>77</v>
      </c>
      <c r="L1318" s="2" t="s">
        <v>26</v>
      </c>
      <c r="M1318" s="8" t="s">
        <v>28</v>
      </c>
      <c r="N1318" s="6" t="s">
        <v>2264</v>
      </c>
      <c r="O1318" s="6" t="s">
        <v>30</v>
      </c>
      <c r="P1318" s="2" t="s">
        <v>12698</v>
      </c>
    </row>
    <row r="1319" spans="1:16" ht="13.15" x14ac:dyDescent="0.4">
      <c r="A1319" s="2" t="s">
        <v>11426</v>
      </c>
      <c r="B1319" s="2" t="s">
        <v>5885</v>
      </c>
      <c r="C1319" s="6" t="s">
        <v>5879</v>
      </c>
      <c r="D1319" s="6" t="s">
        <v>42</v>
      </c>
      <c r="E1319" s="7">
        <v>44927</v>
      </c>
      <c r="F1319" s="8" t="s">
        <v>77</v>
      </c>
      <c r="G1319" s="2" t="s">
        <v>26</v>
      </c>
      <c r="H1319" s="8" t="s">
        <v>28</v>
      </c>
      <c r="I1319" s="2" t="s">
        <v>26</v>
      </c>
      <c r="J1319" s="7">
        <v>44927</v>
      </c>
      <c r="K1319" s="8" t="s">
        <v>77</v>
      </c>
      <c r="L1319" s="2" t="s">
        <v>26</v>
      </c>
      <c r="M1319" s="8" t="s">
        <v>28</v>
      </c>
      <c r="N1319" s="6" t="s">
        <v>2264</v>
      </c>
      <c r="O1319" s="6" t="s">
        <v>30</v>
      </c>
      <c r="P1319" s="2" t="s">
        <v>12699</v>
      </c>
    </row>
    <row r="1320" spans="1:16" ht="13.15" x14ac:dyDescent="0.4">
      <c r="A1320" s="2" t="s">
        <v>11328</v>
      </c>
      <c r="B1320" s="2" t="s">
        <v>5885</v>
      </c>
      <c r="C1320" s="6" t="s">
        <v>5879</v>
      </c>
      <c r="D1320" s="6" t="s">
        <v>42</v>
      </c>
      <c r="E1320" s="7">
        <v>44927</v>
      </c>
      <c r="F1320" s="8" t="s">
        <v>77</v>
      </c>
      <c r="G1320" s="2" t="s">
        <v>26</v>
      </c>
      <c r="H1320" s="8" t="s">
        <v>28</v>
      </c>
      <c r="I1320" s="2" t="s">
        <v>26</v>
      </c>
      <c r="J1320" s="7">
        <v>44927</v>
      </c>
      <c r="K1320" s="8" t="s">
        <v>77</v>
      </c>
      <c r="L1320" s="2" t="s">
        <v>26</v>
      </c>
      <c r="M1320" s="8" t="s">
        <v>28</v>
      </c>
      <c r="N1320" s="6" t="s">
        <v>2264</v>
      </c>
      <c r="O1320" s="6" t="s">
        <v>30</v>
      </c>
      <c r="P1320" s="2" t="s">
        <v>12700</v>
      </c>
    </row>
    <row r="1321" spans="1:16" ht="13.15" x14ac:dyDescent="0.4">
      <c r="A1321" s="2" t="s">
        <v>11463</v>
      </c>
      <c r="B1321" s="2" t="s">
        <v>5885</v>
      </c>
      <c r="C1321" s="6" t="s">
        <v>5879</v>
      </c>
      <c r="D1321" s="6" t="s">
        <v>42</v>
      </c>
      <c r="E1321" s="7">
        <v>44927</v>
      </c>
      <c r="F1321" s="8" t="s">
        <v>77</v>
      </c>
      <c r="G1321" s="2" t="s">
        <v>26</v>
      </c>
      <c r="H1321" s="8" t="s">
        <v>28</v>
      </c>
      <c r="I1321" s="2" t="s">
        <v>26</v>
      </c>
      <c r="J1321" s="7">
        <v>44927</v>
      </c>
      <c r="K1321" s="8" t="s">
        <v>77</v>
      </c>
      <c r="L1321" s="2" t="s">
        <v>26</v>
      </c>
      <c r="M1321" s="8" t="s">
        <v>28</v>
      </c>
      <c r="N1321" s="6" t="s">
        <v>2264</v>
      </c>
      <c r="O1321" s="6" t="s">
        <v>30</v>
      </c>
      <c r="P1321" s="2" t="s">
        <v>12701</v>
      </c>
    </row>
    <row r="1322" spans="1:16" ht="13.15" x14ac:dyDescent="0.4">
      <c r="A1322" s="2" t="s">
        <v>11352</v>
      </c>
      <c r="B1322" s="2" t="s">
        <v>5885</v>
      </c>
      <c r="C1322" s="6" t="s">
        <v>5879</v>
      </c>
      <c r="D1322" s="6" t="s">
        <v>42</v>
      </c>
      <c r="E1322" s="7">
        <v>44927</v>
      </c>
      <c r="F1322" s="8" t="s">
        <v>77</v>
      </c>
      <c r="G1322" s="2" t="s">
        <v>26</v>
      </c>
      <c r="H1322" s="8" t="s">
        <v>28</v>
      </c>
      <c r="I1322" s="2" t="s">
        <v>26</v>
      </c>
      <c r="J1322" s="7">
        <v>44927</v>
      </c>
      <c r="K1322" s="8" t="s">
        <v>77</v>
      </c>
      <c r="L1322" s="2" t="s">
        <v>26</v>
      </c>
      <c r="M1322" s="8" t="s">
        <v>28</v>
      </c>
      <c r="N1322" s="6" t="s">
        <v>2264</v>
      </c>
      <c r="O1322" s="6" t="s">
        <v>30</v>
      </c>
      <c r="P1322" s="2" t="s">
        <v>12702</v>
      </c>
    </row>
    <row r="1323" spans="1:16" ht="13.15" x14ac:dyDescent="0.4">
      <c r="A1323" s="2" t="s">
        <v>11355</v>
      </c>
      <c r="B1323" s="2" t="s">
        <v>5885</v>
      </c>
      <c r="C1323" s="6" t="s">
        <v>5879</v>
      </c>
      <c r="D1323" s="6" t="s">
        <v>42</v>
      </c>
      <c r="E1323" s="7">
        <v>44927</v>
      </c>
      <c r="F1323" s="8" t="s">
        <v>77</v>
      </c>
      <c r="G1323" s="2" t="s">
        <v>26</v>
      </c>
      <c r="H1323" s="8" t="s">
        <v>28</v>
      </c>
      <c r="I1323" s="2" t="s">
        <v>26</v>
      </c>
      <c r="J1323" s="7">
        <v>44927</v>
      </c>
      <c r="K1323" s="8" t="s">
        <v>77</v>
      </c>
      <c r="L1323" s="2" t="s">
        <v>26</v>
      </c>
      <c r="M1323" s="8" t="s">
        <v>28</v>
      </c>
      <c r="N1323" s="6" t="s">
        <v>2264</v>
      </c>
      <c r="O1323" s="6" t="s">
        <v>30</v>
      </c>
      <c r="P1323" s="2" t="s">
        <v>12703</v>
      </c>
    </row>
    <row r="1324" spans="1:16" ht="13.15" x14ac:dyDescent="0.4">
      <c r="A1324" s="2" t="s">
        <v>11525</v>
      </c>
      <c r="B1324" s="2" t="s">
        <v>5885</v>
      </c>
      <c r="C1324" s="6" t="s">
        <v>5879</v>
      </c>
      <c r="D1324" s="6" t="s">
        <v>42</v>
      </c>
      <c r="E1324" s="7">
        <v>44927</v>
      </c>
      <c r="F1324" s="8" t="s">
        <v>77</v>
      </c>
      <c r="G1324" s="2" t="s">
        <v>26</v>
      </c>
      <c r="H1324" s="8" t="s">
        <v>28</v>
      </c>
      <c r="I1324" s="2" t="s">
        <v>26</v>
      </c>
      <c r="J1324" s="7">
        <v>44927</v>
      </c>
      <c r="K1324" s="8" t="s">
        <v>77</v>
      </c>
      <c r="L1324" s="2" t="s">
        <v>26</v>
      </c>
      <c r="M1324" s="8" t="s">
        <v>28</v>
      </c>
      <c r="N1324" s="6" t="s">
        <v>2264</v>
      </c>
      <c r="O1324" s="6" t="s">
        <v>30</v>
      </c>
      <c r="P1324" s="2" t="s">
        <v>12704</v>
      </c>
    </row>
    <row r="1325" spans="1:16" ht="13.15" x14ac:dyDescent="0.4">
      <c r="A1325" s="2" t="s">
        <v>11513</v>
      </c>
      <c r="B1325" s="2" t="s">
        <v>5885</v>
      </c>
      <c r="C1325" s="6" t="s">
        <v>5879</v>
      </c>
      <c r="D1325" s="6" t="s">
        <v>42</v>
      </c>
      <c r="E1325" s="7">
        <v>44927</v>
      </c>
      <c r="F1325" s="8" t="s">
        <v>77</v>
      </c>
      <c r="G1325" s="2" t="s">
        <v>26</v>
      </c>
      <c r="H1325" s="8" t="s">
        <v>28</v>
      </c>
      <c r="I1325" s="2" t="s">
        <v>26</v>
      </c>
      <c r="J1325" s="7">
        <v>44927</v>
      </c>
      <c r="K1325" s="8" t="s">
        <v>77</v>
      </c>
      <c r="L1325" s="2" t="s">
        <v>26</v>
      </c>
      <c r="M1325" s="8" t="s">
        <v>28</v>
      </c>
      <c r="N1325" s="6" t="s">
        <v>2264</v>
      </c>
      <c r="O1325" s="6" t="s">
        <v>30</v>
      </c>
      <c r="P1325" s="2" t="s">
        <v>12705</v>
      </c>
    </row>
    <row r="1326" spans="1:16" ht="13.15" x14ac:dyDescent="0.4">
      <c r="A1326" s="2" t="s">
        <v>11237</v>
      </c>
      <c r="B1326" s="2" t="s">
        <v>5885</v>
      </c>
      <c r="C1326" s="6" t="s">
        <v>5879</v>
      </c>
      <c r="D1326" s="6" t="s">
        <v>42</v>
      </c>
      <c r="E1326" s="7">
        <v>44927</v>
      </c>
      <c r="F1326" s="8" t="s">
        <v>77</v>
      </c>
      <c r="G1326" s="2" t="s">
        <v>26</v>
      </c>
      <c r="H1326" s="8" t="s">
        <v>28</v>
      </c>
      <c r="I1326" s="2" t="s">
        <v>26</v>
      </c>
      <c r="J1326" s="7">
        <v>44927</v>
      </c>
      <c r="K1326" s="8" t="s">
        <v>77</v>
      </c>
      <c r="L1326" s="2" t="s">
        <v>26</v>
      </c>
      <c r="M1326" s="8" t="s">
        <v>28</v>
      </c>
      <c r="N1326" s="6" t="s">
        <v>2264</v>
      </c>
      <c r="O1326" s="6" t="s">
        <v>30</v>
      </c>
      <c r="P1326" s="2" t="s">
        <v>12706</v>
      </c>
    </row>
    <row r="1327" spans="1:16" ht="13.15" x14ac:dyDescent="0.4">
      <c r="A1327" s="2" t="s">
        <v>11557</v>
      </c>
      <c r="B1327" s="2" t="s">
        <v>5885</v>
      </c>
      <c r="C1327" s="6" t="s">
        <v>5879</v>
      </c>
      <c r="D1327" s="6" t="s">
        <v>42</v>
      </c>
      <c r="E1327" s="7">
        <v>44927</v>
      </c>
      <c r="F1327" s="8" t="s">
        <v>77</v>
      </c>
      <c r="G1327" s="2" t="s">
        <v>26</v>
      </c>
      <c r="H1327" s="8" t="s">
        <v>28</v>
      </c>
      <c r="I1327" s="2" t="s">
        <v>26</v>
      </c>
      <c r="J1327" s="7">
        <v>44927</v>
      </c>
      <c r="K1327" s="8" t="s">
        <v>77</v>
      </c>
      <c r="L1327" s="2" t="s">
        <v>26</v>
      </c>
      <c r="M1327" s="8" t="s">
        <v>28</v>
      </c>
      <c r="N1327" s="6" t="s">
        <v>2264</v>
      </c>
      <c r="O1327" s="6" t="s">
        <v>30</v>
      </c>
      <c r="P1327" s="2" t="s">
        <v>12707</v>
      </c>
    </row>
    <row r="1328" spans="1:16" ht="13.15" x14ac:dyDescent="0.4">
      <c r="A1328" s="2" t="s">
        <v>11363</v>
      </c>
      <c r="B1328" s="2" t="s">
        <v>5885</v>
      </c>
      <c r="C1328" s="6" t="s">
        <v>5879</v>
      </c>
      <c r="D1328" s="6" t="s">
        <v>42</v>
      </c>
      <c r="E1328" s="7">
        <v>44927</v>
      </c>
      <c r="F1328" s="8" t="s">
        <v>77</v>
      </c>
      <c r="G1328" s="2" t="s">
        <v>26</v>
      </c>
      <c r="H1328" s="8" t="s">
        <v>28</v>
      </c>
      <c r="I1328" s="2" t="s">
        <v>26</v>
      </c>
      <c r="J1328" s="7">
        <v>44927</v>
      </c>
      <c r="K1328" s="8" t="s">
        <v>77</v>
      </c>
      <c r="L1328" s="2" t="s">
        <v>26</v>
      </c>
      <c r="M1328" s="8" t="s">
        <v>28</v>
      </c>
      <c r="N1328" s="6" t="s">
        <v>2264</v>
      </c>
      <c r="O1328" s="6" t="s">
        <v>30</v>
      </c>
      <c r="P1328" s="2" t="s">
        <v>12708</v>
      </c>
    </row>
    <row r="1329" spans="1:16" ht="13.15" x14ac:dyDescent="0.4">
      <c r="A1329" s="2" t="s">
        <v>11291</v>
      </c>
      <c r="B1329" s="2" t="s">
        <v>5885</v>
      </c>
      <c r="C1329" s="6" t="s">
        <v>5879</v>
      </c>
      <c r="D1329" s="6" t="s">
        <v>42</v>
      </c>
      <c r="E1329" s="7">
        <v>44927</v>
      </c>
      <c r="F1329" s="8" t="s">
        <v>77</v>
      </c>
      <c r="G1329" s="2" t="s">
        <v>26</v>
      </c>
      <c r="H1329" s="8" t="s">
        <v>28</v>
      </c>
      <c r="I1329" s="2" t="s">
        <v>26</v>
      </c>
      <c r="J1329" s="7">
        <v>44927</v>
      </c>
      <c r="K1329" s="8" t="s">
        <v>77</v>
      </c>
      <c r="L1329" s="2" t="s">
        <v>26</v>
      </c>
      <c r="M1329" s="8" t="s">
        <v>28</v>
      </c>
      <c r="N1329" s="6" t="s">
        <v>2264</v>
      </c>
      <c r="O1329" s="6" t="s">
        <v>30</v>
      </c>
      <c r="P1329" s="2" t="s">
        <v>12709</v>
      </c>
    </row>
    <row r="1330" spans="1:16" ht="13.15" x14ac:dyDescent="0.4">
      <c r="A1330" s="2" t="s">
        <v>11485</v>
      </c>
      <c r="B1330" s="2" t="s">
        <v>5885</v>
      </c>
      <c r="C1330" s="6" t="s">
        <v>5879</v>
      </c>
      <c r="D1330" s="6" t="s">
        <v>42</v>
      </c>
      <c r="E1330" s="7">
        <v>44927</v>
      </c>
      <c r="F1330" s="8" t="s">
        <v>77</v>
      </c>
      <c r="G1330" s="2" t="s">
        <v>26</v>
      </c>
      <c r="H1330" s="8" t="s">
        <v>28</v>
      </c>
      <c r="I1330" s="2" t="s">
        <v>26</v>
      </c>
      <c r="J1330" s="7">
        <v>44927</v>
      </c>
      <c r="K1330" s="8" t="s">
        <v>77</v>
      </c>
      <c r="L1330" s="2" t="s">
        <v>26</v>
      </c>
      <c r="M1330" s="8" t="s">
        <v>28</v>
      </c>
      <c r="N1330" s="6" t="s">
        <v>2264</v>
      </c>
      <c r="O1330" s="6" t="s">
        <v>30</v>
      </c>
      <c r="P1330" s="2" t="s">
        <v>12710</v>
      </c>
    </row>
    <row r="1331" spans="1:16" ht="13.15" x14ac:dyDescent="0.4">
      <c r="A1331" s="2" t="s">
        <v>11480</v>
      </c>
      <c r="B1331" s="2" t="s">
        <v>5885</v>
      </c>
      <c r="C1331" s="6" t="s">
        <v>5879</v>
      </c>
      <c r="D1331" s="6" t="s">
        <v>42</v>
      </c>
      <c r="E1331" s="7">
        <v>44927</v>
      </c>
      <c r="F1331" s="8" t="s">
        <v>77</v>
      </c>
      <c r="G1331" s="2" t="s">
        <v>26</v>
      </c>
      <c r="H1331" s="8" t="s">
        <v>28</v>
      </c>
      <c r="I1331" s="2" t="s">
        <v>26</v>
      </c>
      <c r="J1331" s="7">
        <v>44927</v>
      </c>
      <c r="K1331" s="8" t="s">
        <v>77</v>
      </c>
      <c r="L1331" s="2" t="s">
        <v>26</v>
      </c>
      <c r="M1331" s="8" t="s">
        <v>28</v>
      </c>
      <c r="N1331" s="6" t="s">
        <v>2264</v>
      </c>
      <c r="O1331" s="6" t="s">
        <v>30</v>
      </c>
      <c r="P1331" s="2" t="s">
        <v>12711</v>
      </c>
    </row>
    <row r="1332" spans="1:16" ht="13.15" x14ac:dyDescent="0.4">
      <c r="A1332" s="2" t="s">
        <v>11420</v>
      </c>
      <c r="B1332" s="2" t="s">
        <v>5885</v>
      </c>
      <c r="C1332" s="6" t="s">
        <v>5879</v>
      </c>
      <c r="D1332" s="6" t="s">
        <v>42</v>
      </c>
      <c r="E1332" s="7">
        <v>44927</v>
      </c>
      <c r="F1332" s="8" t="s">
        <v>77</v>
      </c>
      <c r="G1332" s="2" t="s">
        <v>26</v>
      </c>
      <c r="H1332" s="8" t="s">
        <v>28</v>
      </c>
      <c r="I1332" s="2" t="s">
        <v>26</v>
      </c>
      <c r="J1332" s="7">
        <v>44927</v>
      </c>
      <c r="K1332" s="8" t="s">
        <v>77</v>
      </c>
      <c r="L1332" s="2" t="s">
        <v>26</v>
      </c>
      <c r="M1332" s="8" t="s">
        <v>28</v>
      </c>
      <c r="N1332" s="6" t="s">
        <v>2264</v>
      </c>
      <c r="O1332" s="6" t="s">
        <v>30</v>
      </c>
      <c r="P1332" s="2" t="s">
        <v>12712</v>
      </c>
    </row>
    <row r="1333" spans="1:16" ht="13.15" x14ac:dyDescent="0.4">
      <c r="A1333" s="2" t="s">
        <v>11524</v>
      </c>
      <c r="B1333" s="2" t="s">
        <v>5885</v>
      </c>
      <c r="C1333" s="6" t="s">
        <v>5879</v>
      </c>
      <c r="D1333" s="6" t="s">
        <v>42</v>
      </c>
      <c r="E1333" s="7">
        <v>44927</v>
      </c>
      <c r="F1333" s="8" t="s">
        <v>77</v>
      </c>
      <c r="G1333" s="2" t="s">
        <v>26</v>
      </c>
      <c r="H1333" s="8" t="s">
        <v>28</v>
      </c>
      <c r="I1333" s="2" t="s">
        <v>26</v>
      </c>
      <c r="J1333" s="7">
        <v>44927</v>
      </c>
      <c r="K1333" s="8" t="s">
        <v>77</v>
      </c>
      <c r="L1333" s="2" t="s">
        <v>26</v>
      </c>
      <c r="M1333" s="8" t="s">
        <v>28</v>
      </c>
      <c r="N1333" s="6" t="s">
        <v>2264</v>
      </c>
      <c r="O1333" s="6" t="s">
        <v>30</v>
      </c>
      <c r="P1333" s="2" t="s">
        <v>12713</v>
      </c>
    </row>
    <row r="1334" spans="1:16" ht="13.15" x14ac:dyDescent="0.4">
      <c r="A1334" s="2" t="s">
        <v>11423</v>
      </c>
      <c r="B1334" s="2" t="s">
        <v>5885</v>
      </c>
      <c r="C1334" s="6" t="s">
        <v>5879</v>
      </c>
      <c r="D1334" s="6" t="s">
        <v>42</v>
      </c>
      <c r="E1334" s="7">
        <v>44927</v>
      </c>
      <c r="F1334" s="8" t="s">
        <v>77</v>
      </c>
      <c r="G1334" s="2" t="s">
        <v>26</v>
      </c>
      <c r="H1334" s="8" t="s">
        <v>28</v>
      </c>
      <c r="I1334" s="2" t="s">
        <v>26</v>
      </c>
      <c r="J1334" s="7">
        <v>44927</v>
      </c>
      <c r="K1334" s="8" t="s">
        <v>77</v>
      </c>
      <c r="L1334" s="2" t="s">
        <v>26</v>
      </c>
      <c r="M1334" s="8" t="s">
        <v>28</v>
      </c>
      <c r="N1334" s="6" t="s">
        <v>2264</v>
      </c>
      <c r="O1334" s="6" t="s">
        <v>30</v>
      </c>
      <c r="P1334" s="2" t="s">
        <v>12714</v>
      </c>
    </row>
    <row r="1335" spans="1:16" ht="13.15" x14ac:dyDescent="0.4">
      <c r="A1335" s="2" t="s">
        <v>11454</v>
      </c>
      <c r="B1335" s="2" t="s">
        <v>5885</v>
      </c>
      <c r="C1335" s="6" t="s">
        <v>5879</v>
      </c>
      <c r="D1335" s="6" t="s">
        <v>42</v>
      </c>
      <c r="E1335" s="7">
        <v>44927</v>
      </c>
      <c r="F1335" s="8" t="s">
        <v>77</v>
      </c>
      <c r="G1335" s="2" t="s">
        <v>26</v>
      </c>
      <c r="H1335" s="8" t="s">
        <v>28</v>
      </c>
      <c r="I1335" s="2" t="s">
        <v>26</v>
      </c>
      <c r="J1335" s="7">
        <v>44927</v>
      </c>
      <c r="K1335" s="8" t="s">
        <v>77</v>
      </c>
      <c r="L1335" s="2" t="s">
        <v>26</v>
      </c>
      <c r="M1335" s="8" t="s">
        <v>28</v>
      </c>
      <c r="N1335" s="6" t="s">
        <v>2264</v>
      </c>
      <c r="O1335" s="6" t="s">
        <v>30</v>
      </c>
      <c r="P1335" s="2" t="s">
        <v>12715</v>
      </c>
    </row>
    <row r="1336" spans="1:16" ht="13.15" x14ac:dyDescent="0.4">
      <c r="A1336" s="2" t="s">
        <v>11506</v>
      </c>
      <c r="B1336" s="2" t="s">
        <v>5885</v>
      </c>
      <c r="C1336" s="6" t="s">
        <v>5879</v>
      </c>
      <c r="D1336" s="6" t="s">
        <v>42</v>
      </c>
      <c r="E1336" s="7">
        <v>44927</v>
      </c>
      <c r="F1336" s="8" t="s">
        <v>77</v>
      </c>
      <c r="G1336" s="2" t="s">
        <v>26</v>
      </c>
      <c r="H1336" s="8" t="s">
        <v>28</v>
      </c>
      <c r="I1336" s="2" t="s">
        <v>26</v>
      </c>
      <c r="J1336" s="7">
        <v>44927</v>
      </c>
      <c r="K1336" s="8" t="s">
        <v>77</v>
      </c>
      <c r="L1336" s="2" t="s">
        <v>26</v>
      </c>
      <c r="M1336" s="8" t="s">
        <v>28</v>
      </c>
      <c r="N1336" s="6" t="s">
        <v>2264</v>
      </c>
      <c r="O1336" s="6" t="s">
        <v>30</v>
      </c>
      <c r="P1336" s="2" t="s">
        <v>12716</v>
      </c>
    </row>
    <row r="1337" spans="1:16" ht="13.15" x14ac:dyDescent="0.4">
      <c r="A1337" s="2" t="s">
        <v>11459</v>
      </c>
      <c r="B1337" s="2" t="s">
        <v>5885</v>
      </c>
      <c r="C1337" s="6" t="s">
        <v>5879</v>
      </c>
      <c r="D1337" s="6" t="s">
        <v>42</v>
      </c>
      <c r="E1337" s="7">
        <v>44927</v>
      </c>
      <c r="F1337" s="8" t="s">
        <v>77</v>
      </c>
      <c r="G1337" s="2" t="s">
        <v>26</v>
      </c>
      <c r="H1337" s="8" t="s">
        <v>28</v>
      </c>
      <c r="I1337" s="2" t="s">
        <v>26</v>
      </c>
      <c r="J1337" s="7">
        <v>44927</v>
      </c>
      <c r="K1337" s="8" t="s">
        <v>77</v>
      </c>
      <c r="L1337" s="2" t="s">
        <v>26</v>
      </c>
      <c r="M1337" s="8" t="s">
        <v>28</v>
      </c>
      <c r="N1337" s="6" t="s">
        <v>2264</v>
      </c>
      <c r="O1337" s="6" t="s">
        <v>30</v>
      </c>
      <c r="P1337" s="2" t="s">
        <v>12717</v>
      </c>
    </row>
    <row r="1338" spans="1:16" ht="13.15" x14ac:dyDescent="0.4">
      <c r="A1338" s="2" t="s">
        <v>11467</v>
      </c>
      <c r="B1338" s="2" t="s">
        <v>5885</v>
      </c>
      <c r="C1338" s="6" t="s">
        <v>5879</v>
      </c>
      <c r="D1338" s="6" t="s">
        <v>42</v>
      </c>
      <c r="E1338" s="7">
        <v>44927</v>
      </c>
      <c r="F1338" s="8" t="s">
        <v>77</v>
      </c>
      <c r="G1338" s="2" t="s">
        <v>26</v>
      </c>
      <c r="H1338" s="8" t="s">
        <v>28</v>
      </c>
      <c r="I1338" s="2" t="s">
        <v>26</v>
      </c>
      <c r="J1338" s="7">
        <v>44927</v>
      </c>
      <c r="K1338" s="8" t="s">
        <v>77</v>
      </c>
      <c r="L1338" s="2" t="s">
        <v>26</v>
      </c>
      <c r="M1338" s="8" t="s">
        <v>28</v>
      </c>
      <c r="N1338" s="6" t="s">
        <v>2264</v>
      </c>
      <c r="O1338" s="6" t="s">
        <v>30</v>
      </c>
      <c r="P1338" s="2" t="s">
        <v>12718</v>
      </c>
    </row>
    <row r="1339" spans="1:16" ht="13.15" x14ac:dyDescent="0.4">
      <c r="A1339" s="2" t="s">
        <v>11372</v>
      </c>
      <c r="B1339" s="2" t="s">
        <v>5885</v>
      </c>
      <c r="C1339" s="6" t="s">
        <v>5879</v>
      </c>
      <c r="D1339" s="6" t="s">
        <v>42</v>
      </c>
      <c r="E1339" s="7">
        <v>44927</v>
      </c>
      <c r="F1339" s="8" t="s">
        <v>77</v>
      </c>
      <c r="G1339" s="2" t="s">
        <v>26</v>
      </c>
      <c r="H1339" s="8" t="s">
        <v>28</v>
      </c>
      <c r="I1339" s="2" t="s">
        <v>26</v>
      </c>
      <c r="J1339" s="7">
        <v>44927</v>
      </c>
      <c r="K1339" s="8" t="s">
        <v>77</v>
      </c>
      <c r="L1339" s="2" t="s">
        <v>26</v>
      </c>
      <c r="M1339" s="8" t="s">
        <v>28</v>
      </c>
      <c r="N1339" s="6" t="s">
        <v>2264</v>
      </c>
      <c r="O1339" s="6" t="s">
        <v>30</v>
      </c>
      <c r="P1339" s="2" t="s">
        <v>12719</v>
      </c>
    </row>
    <row r="1340" spans="1:16" ht="13.15" x14ac:dyDescent="0.4">
      <c r="A1340" s="2" t="s">
        <v>11364</v>
      </c>
      <c r="B1340" s="2" t="s">
        <v>5885</v>
      </c>
      <c r="C1340" s="6" t="s">
        <v>5879</v>
      </c>
      <c r="D1340" s="6" t="s">
        <v>42</v>
      </c>
      <c r="E1340" s="7">
        <v>44927</v>
      </c>
      <c r="F1340" s="8" t="s">
        <v>77</v>
      </c>
      <c r="G1340" s="2" t="s">
        <v>26</v>
      </c>
      <c r="H1340" s="8" t="s">
        <v>28</v>
      </c>
      <c r="I1340" s="2" t="s">
        <v>26</v>
      </c>
      <c r="J1340" s="7">
        <v>44927</v>
      </c>
      <c r="K1340" s="8" t="s">
        <v>77</v>
      </c>
      <c r="L1340" s="2" t="s">
        <v>26</v>
      </c>
      <c r="M1340" s="8" t="s">
        <v>28</v>
      </c>
      <c r="N1340" s="6" t="s">
        <v>2264</v>
      </c>
      <c r="O1340" s="6" t="s">
        <v>30</v>
      </c>
      <c r="P1340" s="2" t="s">
        <v>12720</v>
      </c>
    </row>
    <row r="1341" spans="1:16" ht="13.15" x14ac:dyDescent="0.4">
      <c r="A1341" s="2" t="s">
        <v>11341</v>
      </c>
      <c r="B1341" s="2" t="s">
        <v>5885</v>
      </c>
      <c r="C1341" s="6" t="s">
        <v>5879</v>
      </c>
      <c r="D1341" s="6" t="s">
        <v>42</v>
      </c>
      <c r="E1341" s="7">
        <v>44927</v>
      </c>
      <c r="F1341" s="8" t="s">
        <v>77</v>
      </c>
      <c r="G1341" s="2" t="s">
        <v>26</v>
      </c>
      <c r="H1341" s="8" t="s">
        <v>28</v>
      </c>
      <c r="I1341" s="2" t="s">
        <v>26</v>
      </c>
      <c r="J1341" s="7">
        <v>44927</v>
      </c>
      <c r="K1341" s="8" t="s">
        <v>77</v>
      </c>
      <c r="L1341" s="2" t="s">
        <v>26</v>
      </c>
      <c r="M1341" s="8" t="s">
        <v>28</v>
      </c>
      <c r="N1341" s="6" t="s">
        <v>2264</v>
      </c>
      <c r="O1341" s="6" t="s">
        <v>30</v>
      </c>
      <c r="P1341" s="2" t="s">
        <v>12721</v>
      </c>
    </row>
    <row r="1342" spans="1:16" ht="13.15" x14ac:dyDescent="0.4">
      <c r="A1342" s="2" t="s">
        <v>11473</v>
      </c>
      <c r="B1342" s="2" t="s">
        <v>5885</v>
      </c>
      <c r="C1342" s="6" t="s">
        <v>5879</v>
      </c>
      <c r="D1342" s="6" t="s">
        <v>42</v>
      </c>
      <c r="E1342" s="7">
        <v>44927</v>
      </c>
      <c r="F1342" s="8" t="s">
        <v>77</v>
      </c>
      <c r="G1342" s="2" t="s">
        <v>26</v>
      </c>
      <c r="H1342" s="8" t="s">
        <v>28</v>
      </c>
      <c r="I1342" s="2" t="s">
        <v>26</v>
      </c>
      <c r="J1342" s="7">
        <v>44927</v>
      </c>
      <c r="K1342" s="8" t="s">
        <v>77</v>
      </c>
      <c r="L1342" s="2" t="s">
        <v>26</v>
      </c>
      <c r="M1342" s="8" t="s">
        <v>28</v>
      </c>
      <c r="N1342" s="6" t="s">
        <v>2264</v>
      </c>
      <c r="O1342" s="6" t="s">
        <v>30</v>
      </c>
      <c r="P1342" s="2" t="s">
        <v>12722</v>
      </c>
    </row>
    <row r="1343" spans="1:16" ht="13.15" x14ac:dyDescent="0.4">
      <c r="A1343" s="2" t="s">
        <v>11523</v>
      </c>
      <c r="B1343" s="2" t="s">
        <v>5885</v>
      </c>
      <c r="C1343" s="6" t="s">
        <v>5879</v>
      </c>
      <c r="D1343" s="6" t="s">
        <v>42</v>
      </c>
      <c r="E1343" s="7">
        <v>44927</v>
      </c>
      <c r="F1343" s="8" t="s">
        <v>77</v>
      </c>
      <c r="G1343" s="2" t="s">
        <v>26</v>
      </c>
      <c r="H1343" s="8" t="s">
        <v>28</v>
      </c>
      <c r="I1343" s="2" t="s">
        <v>26</v>
      </c>
      <c r="J1343" s="7">
        <v>44927</v>
      </c>
      <c r="K1343" s="8" t="s">
        <v>77</v>
      </c>
      <c r="L1343" s="2" t="s">
        <v>26</v>
      </c>
      <c r="M1343" s="8" t="s">
        <v>28</v>
      </c>
      <c r="N1343" s="6" t="s">
        <v>2264</v>
      </c>
      <c r="O1343" s="6" t="s">
        <v>30</v>
      </c>
      <c r="P1343" s="2" t="s">
        <v>12723</v>
      </c>
    </row>
    <row r="1344" spans="1:16" ht="13.15" x14ac:dyDescent="0.4">
      <c r="A1344" s="2" t="s">
        <v>11553</v>
      </c>
      <c r="B1344" s="2" t="s">
        <v>5885</v>
      </c>
      <c r="C1344" s="6" t="s">
        <v>5879</v>
      </c>
      <c r="D1344" s="6" t="s">
        <v>42</v>
      </c>
      <c r="E1344" s="7">
        <v>44927</v>
      </c>
      <c r="F1344" s="8" t="s">
        <v>77</v>
      </c>
      <c r="G1344" s="2" t="s">
        <v>26</v>
      </c>
      <c r="H1344" s="8" t="s">
        <v>28</v>
      </c>
      <c r="I1344" s="2" t="s">
        <v>26</v>
      </c>
      <c r="J1344" s="7">
        <v>44927</v>
      </c>
      <c r="K1344" s="8" t="s">
        <v>77</v>
      </c>
      <c r="L1344" s="2" t="s">
        <v>26</v>
      </c>
      <c r="M1344" s="8" t="s">
        <v>28</v>
      </c>
      <c r="N1344" s="6" t="s">
        <v>2264</v>
      </c>
      <c r="O1344" s="6" t="s">
        <v>30</v>
      </c>
      <c r="P1344" s="2" t="s">
        <v>12724</v>
      </c>
    </row>
    <row r="1345" spans="1:16" ht="13.15" x14ac:dyDescent="0.4">
      <c r="A1345" s="2" t="s">
        <v>11559</v>
      </c>
      <c r="B1345" s="2" t="s">
        <v>5885</v>
      </c>
      <c r="C1345" s="6" t="s">
        <v>5879</v>
      </c>
      <c r="D1345" s="6" t="s">
        <v>42</v>
      </c>
      <c r="E1345" s="7">
        <v>44927</v>
      </c>
      <c r="F1345" s="8" t="s">
        <v>77</v>
      </c>
      <c r="G1345" s="2" t="s">
        <v>26</v>
      </c>
      <c r="H1345" s="8" t="s">
        <v>28</v>
      </c>
      <c r="I1345" s="2" t="s">
        <v>26</v>
      </c>
      <c r="J1345" s="7">
        <v>44927</v>
      </c>
      <c r="K1345" s="8" t="s">
        <v>77</v>
      </c>
      <c r="L1345" s="2" t="s">
        <v>26</v>
      </c>
      <c r="M1345" s="8" t="s">
        <v>28</v>
      </c>
      <c r="N1345" s="6" t="s">
        <v>2264</v>
      </c>
      <c r="O1345" s="6" t="s">
        <v>30</v>
      </c>
      <c r="P1345" s="2" t="s">
        <v>12725</v>
      </c>
    </row>
    <row r="1346" spans="1:16" ht="13.15" x14ac:dyDescent="0.4">
      <c r="A1346" s="2" t="s">
        <v>11475</v>
      </c>
      <c r="B1346" s="2" t="s">
        <v>5885</v>
      </c>
      <c r="C1346" s="6" t="s">
        <v>5879</v>
      </c>
      <c r="D1346" s="6" t="s">
        <v>42</v>
      </c>
      <c r="E1346" s="7">
        <v>44927</v>
      </c>
      <c r="F1346" s="8" t="s">
        <v>77</v>
      </c>
      <c r="G1346" s="2" t="s">
        <v>26</v>
      </c>
      <c r="H1346" s="8" t="s">
        <v>28</v>
      </c>
      <c r="I1346" s="2" t="s">
        <v>26</v>
      </c>
      <c r="J1346" s="7">
        <v>44927</v>
      </c>
      <c r="K1346" s="8" t="s">
        <v>77</v>
      </c>
      <c r="L1346" s="2" t="s">
        <v>26</v>
      </c>
      <c r="M1346" s="8" t="s">
        <v>28</v>
      </c>
      <c r="N1346" s="6" t="s">
        <v>2264</v>
      </c>
      <c r="O1346" s="6" t="s">
        <v>30</v>
      </c>
      <c r="P1346" s="2" t="s">
        <v>12726</v>
      </c>
    </row>
    <row r="1347" spans="1:16" ht="13.15" x14ac:dyDescent="0.4">
      <c r="A1347" s="2" t="s">
        <v>11427</v>
      </c>
      <c r="B1347" s="2" t="s">
        <v>5885</v>
      </c>
      <c r="C1347" s="6" t="s">
        <v>5879</v>
      </c>
      <c r="D1347" s="6" t="s">
        <v>42</v>
      </c>
      <c r="E1347" s="7">
        <v>44927</v>
      </c>
      <c r="F1347" s="8" t="s">
        <v>77</v>
      </c>
      <c r="G1347" s="2" t="s">
        <v>26</v>
      </c>
      <c r="H1347" s="8" t="s">
        <v>28</v>
      </c>
      <c r="I1347" s="2" t="s">
        <v>26</v>
      </c>
      <c r="J1347" s="7">
        <v>44927</v>
      </c>
      <c r="K1347" s="8" t="s">
        <v>77</v>
      </c>
      <c r="L1347" s="2" t="s">
        <v>26</v>
      </c>
      <c r="M1347" s="8" t="s">
        <v>28</v>
      </c>
      <c r="N1347" s="6" t="s">
        <v>2264</v>
      </c>
      <c r="O1347" s="6" t="s">
        <v>30</v>
      </c>
      <c r="P1347" s="2" t="s">
        <v>12727</v>
      </c>
    </row>
    <row r="1348" spans="1:16" ht="13.15" x14ac:dyDescent="0.4">
      <c r="A1348" s="2" t="s">
        <v>11399</v>
      </c>
      <c r="B1348" s="2" t="s">
        <v>5885</v>
      </c>
      <c r="C1348" s="6" t="s">
        <v>5879</v>
      </c>
      <c r="D1348" s="6" t="s">
        <v>42</v>
      </c>
      <c r="E1348" s="7">
        <v>44927</v>
      </c>
      <c r="F1348" s="8" t="s">
        <v>77</v>
      </c>
      <c r="G1348" s="2" t="s">
        <v>26</v>
      </c>
      <c r="H1348" s="8" t="s">
        <v>28</v>
      </c>
      <c r="I1348" s="2" t="s">
        <v>26</v>
      </c>
      <c r="J1348" s="7">
        <v>44927</v>
      </c>
      <c r="K1348" s="8" t="s">
        <v>77</v>
      </c>
      <c r="L1348" s="2" t="s">
        <v>26</v>
      </c>
      <c r="M1348" s="8" t="s">
        <v>28</v>
      </c>
      <c r="N1348" s="6" t="s">
        <v>2264</v>
      </c>
      <c r="O1348" s="6" t="s">
        <v>30</v>
      </c>
      <c r="P1348" s="2" t="s">
        <v>12728</v>
      </c>
    </row>
    <row r="1349" spans="1:16" ht="13.15" x14ac:dyDescent="0.4">
      <c r="A1349" s="2" t="s">
        <v>3445</v>
      </c>
      <c r="B1349" s="2" t="s">
        <v>5885</v>
      </c>
      <c r="C1349" s="6" t="s">
        <v>5879</v>
      </c>
      <c r="D1349" s="6" t="s">
        <v>42</v>
      </c>
      <c r="E1349" s="7">
        <v>44927</v>
      </c>
      <c r="F1349" s="8" t="s">
        <v>77</v>
      </c>
      <c r="G1349" s="2" t="s">
        <v>26</v>
      </c>
      <c r="H1349" s="8" t="s">
        <v>28</v>
      </c>
      <c r="I1349" s="2" t="s">
        <v>26</v>
      </c>
      <c r="J1349" s="7">
        <v>44927</v>
      </c>
      <c r="K1349" s="8" t="s">
        <v>77</v>
      </c>
      <c r="L1349" s="2" t="s">
        <v>26</v>
      </c>
      <c r="M1349" s="8" t="s">
        <v>28</v>
      </c>
      <c r="N1349" s="6" t="s">
        <v>2264</v>
      </c>
      <c r="O1349" s="6" t="s">
        <v>30</v>
      </c>
      <c r="P1349" s="2" t="s">
        <v>12729</v>
      </c>
    </row>
    <row r="1350" spans="1:16" ht="13.15" x14ac:dyDescent="0.4">
      <c r="A1350" s="2" t="s">
        <v>10987</v>
      </c>
      <c r="B1350" s="2" t="s">
        <v>5885</v>
      </c>
      <c r="C1350" s="6" t="s">
        <v>5879</v>
      </c>
      <c r="D1350" s="6" t="s">
        <v>42</v>
      </c>
      <c r="E1350" s="7">
        <v>44927</v>
      </c>
      <c r="F1350" s="8" t="s">
        <v>77</v>
      </c>
      <c r="G1350" s="2" t="s">
        <v>26</v>
      </c>
      <c r="H1350" s="8" t="s">
        <v>28</v>
      </c>
      <c r="I1350" s="2" t="s">
        <v>26</v>
      </c>
      <c r="J1350" s="7">
        <v>44927</v>
      </c>
      <c r="K1350" s="8" t="s">
        <v>77</v>
      </c>
      <c r="L1350" s="2" t="s">
        <v>26</v>
      </c>
      <c r="M1350" s="8" t="s">
        <v>28</v>
      </c>
      <c r="N1350" s="6" t="s">
        <v>2264</v>
      </c>
      <c r="O1350" s="6" t="s">
        <v>30</v>
      </c>
      <c r="P1350" s="2" t="s">
        <v>12730</v>
      </c>
    </row>
    <row r="1351" spans="1:16" ht="13.15" x14ac:dyDescent="0.4">
      <c r="A1351" s="2" t="s">
        <v>11494</v>
      </c>
      <c r="B1351" s="2" t="s">
        <v>5885</v>
      </c>
      <c r="C1351" s="6" t="s">
        <v>5879</v>
      </c>
      <c r="D1351" s="6" t="s">
        <v>42</v>
      </c>
      <c r="E1351" s="7">
        <v>44927</v>
      </c>
      <c r="F1351" s="8" t="s">
        <v>77</v>
      </c>
      <c r="G1351" s="2" t="s">
        <v>26</v>
      </c>
      <c r="H1351" s="8" t="s">
        <v>28</v>
      </c>
      <c r="I1351" s="2" t="s">
        <v>26</v>
      </c>
      <c r="J1351" s="7">
        <v>44927</v>
      </c>
      <c r="K1351" s="8" t="s">
        <v>77</v>
      </c>
      <c r="L1351" s="2" t="s">
        <v>26</v>
      </c>
      <c r="M1351" s="8" t="s">
        <v>28</v>
      </c>
      <c r="N1351" s="6" t="s">
        <v>2264</v>
      </c>
      <c r="O1351" s="6" t="s">
        <v>30</v>
      </c>
      <c r="P1351" s="2" t="s">
        <v>12731</v>
      </c>
    </row>
    <row r="1352" spans="1:16" ht="13.15" x14ac:dyDescent="0.4">
      <c r="A1352" s="2" t="s">
        <v>11367</v>
      </c>
      <c r="B1352" s="2" t="s">
        <v>5885</v>
      </c>
      <c r="C1352" s="6" t="s">
        <v>5879</v>
      </c>
      <c r="D1352" s="6" t="s">
        <v>42</v>
      </c>
      <c r="E1352" s="7">
        <v>44927</v>
      </c>
      <c r="F1352" s="8" t="s">
        <v>77</v>
      </c>
      <c r="G1352" s="2" t="s">
        <v>26</v>
      </c>
      <c r="H1352" s="8" t="s">
        <v>28</v>
      </c>
      <c r="I1352" s="2" t="s">
        <v>26</v>
      </c>
      <c r="J1352" s="7">
        <v>44927</v>
      </c>
      <c r="K1352" s="8" t="s">
        <v>77</v>
      </c>
      <c r="L1352" s="2" t="s">
        <v>26</v>
      </c>
      <c r="M1352" s="8" t="s">
        <v>28</v>
      </c>
      <c r="N1352" s="6" t="s">
        <v>2264</v>
      </c>
      <c r="O1352" s="6" t="s">
        <v>30</v>
      </c>
      <c r="P1352" s="2" t="s">
        <v>12732</v>
      </c>
    </row>
    <row r="1353" spans="1:16" ht="13.15" x14ac:dyDescent="0.4">
      <c r="A1353" s="2" t="s">
        <v>11520</v>
      </c>
      <c r="B1353" s="2" t="s">
        <v>5885</v>
      </c>
      <c r="C1353" s="6" t="s">
        <v>5879</v>
      </c>
      <c r="D1353" s="6" t="s">
        <v>42</v>
      </c>
      <c r="E1353" s="7">
        <v>44927</v>
      </c>
      <c r="F1353" s="8" t="s">
        <v>77</v>
      </c>
      <c r="G1353" s="2" t="s">
        <v>26</v>
      </c>
      <c r="H1353" s="8" t="s">
        <v>28</v>
      </c>
      <c r="I1353" s="2" t="s">
        <v>26</v>
      </c>
      <c r="J1353" s="7">
        <v>44927</v>
      </c>
      <c r="K1353" s="8" t="s">
        <v>77</v>
      </c>
      <c r="L1353" s="2" t="s">
        <v>26</v>
      </c>
      <c r="M1353" s="8" t="s">
        <v>28</v>
      </c>
      <c r="N1353" s="6" t="s">
        <v>2264</v>
      </c>
      <c r="O1353" s="6" t="s">
        <v>30</v>
      </c>
      <c r="P1353" s="2" t="s">
        <v>12733</v>
      </c>
    </row>
    <row r="1354" spans="1:16" ht="13.15" x14ac:dyDescent="0.4">
      <c r="A1354" s="2" t="s">
        <v>11437</v>
      </c>
      <c r="B1354" s="2" t="s">
        <v>5885</v>
      </c>
      <c r="C1354" s="6" t="s">
        <v>5879</v>
      </c>
      <c r="D1354" s="6" t="s">
        <v>42</v>
      </c>
      <c r="E1354" s="7">
        <v>44927</v>
      </c>
      <c r="F1354" s="8" t="s">
        <v>77</v>
      </c>
      <c r="G1354" s="2" t="s">
        <v>26</v>
      </c>
      <c r="H1354" s="8" t="s">
        <v>28</v>
      </c>
      <c r="I1354" s="2" t="s">
        <v>26</v>
      </c>
      <c r="J1354" s="7">
        <v>44927</v>
      </c>
      <c r="K1354" s="8" t="s">
        <v>77</v>
      </c>
      <c r="L1354" s="2" t="s">
        <v>26</v>
      </c>
      <c r="M1354" s="8" t="s">
        <v>28</v>
      </c>
      <c r="N1354" s="6" t="s">
        <v>2264</v>
      </c>
      <c r="O1354" s="6" t="s">
        <v>30</v>
      </c>
      <c r="P1354" s="2" t="s">
        <v>12734</v>
      </c>
    </row>
    <row r="1355" spans="1:16" ht="13.15" x14ac:dyDescent="0.4">
      <c r="A1355" s="2" t="s">
        <v>11412</v>
      </c>
      <c r="B1355" s="2" t="s">
        <v>5885</v>
      </c>
      <c r="C1355" s="6" t="s">
        <v>5879</v>
      </c>
      <c r="D1355" s="6" t="s">
        <v>42</v>
      </c>
      <c r="E1355" s="7">
        <v>44927</v>
      </c>
      <c r="F1355" s="8" t="s">
        <v>77</v>
      </c>
      <c r="G1355" s="2" t="s">
        <v>26</v>
      </c>
      <c r="H1355" s="8" t="s">
        <v>28</v>
      </c>
      <c r="I1355" s="2" t="s">
        <v>26</v>
      </c>
      <c r="J1355" s="7">
        <v>44927</v>
      </c>
      <c r="K1355" s="8" t="s">
        <v>77</v>
      </c>
      <c r="L1355" s="2" t="s">
        <v>26</v>
      </c>
      <c r="M1355" s="8" t="s">
        <v>28</v>
      </c>
      <c r="N1355" s="6" t="s">
        <v>2264</v>
      </c>
      <c r="O1355" s="6" t="s">
        <v>30</v>
      </c>
      <c r="P1355" s="2" t="s">
        <v>12735</v>
      </c>
    </row>
    <row r="1356" spans="1:16" ht="13.15" x14ac:dyDescent="0.4">
      <c r="A1356" s="2" t="s">
        <v>11522</v>
      </c>
      <c r="B1356" s="2" t="s">
        <v>5885</v>
      </c>
      <c r="C1356" s="6" t="s">
        <v>5879</v>
      </c>
      <c r="D1356" s="6" t="s">
        <v>42</v>
      </c>
      <c r="E1356" s="7">
        <v>44927</v>
      </c>
      <c r="F1356" s="8" t="s">
        <v>77</v>
      </c>
      <c r="G1356" s="2" t="s">
        <v>26</v>
      </c>
      <c r="H1356" s="8" t="s">
        <v>28</v>
      </c>
      <c r="I1356" s="2" t="s">
        <v>26</v>
      </c>
      <c r="J1356" s="7">
        <v>44927</v>
      </c>
      <c r="K1356" s="8" t="s">
        <v>77</v>
      </c>
      <c r="L1356" s="2" t="s">
        <v>26</v>
      </c>
      <c r="M1356" s="8" t="s">
        <v>28</v>
      </c>
      <c r="N1356" s="6" t="s">
        <v>2264</v>
      </c>
      <c r="O1356" s="6" t="s">
        <v>30</v>
      </c>
      <c r="P1356" s="2" t="s">
        <v>12736</v>
      </c>
    </row>
    <row r="1357" spans="1:16" ht="13.15" x14ac:dyDescent="0.4">
      <c r="A1357" s="2" t="s">
        <v>11369</v>
      </c>
      <c r="B1357" s="2" t="s">
        <v>5885</v>
      </c>
      <c r="C1357" s="6" t="s">
        <v>5879</v>
      </c>
      <c r="D1357" s="6" t="s">
        <v>42</v>
      </c>
      <c r="E1357" s="7">
        <v>44927</v>
      </c>
      <c r="F1357" s="8" t="s">
        <v>77</v>
      </c>
      <c r="G1357" s="2" t="s">
        <v>26</v>
      </c>
      <c r="H1357" s="8" t="s">
        <v>28</v>
      </c>
      <c r="I1357" s="2" t="s">
        <v>26</v>
      </c>
      <c r="J1357" s="7">
        <v>44927</v>
      </c>
      <c r="K1357" s="8" t="s">
        <v>77</v>
      </c>
      <c r="L1357" s="2" t="s">
        <v>26</v>
      </c>
      <c r="M1357" s="8" t="s">
        <v>28</v>
      </c>
      <c r="N1357" s="6" t="s">
        <v>2264</v>
      </c>
      <c r="O1357" s="6" t="s">
        <v>30</v>
      </c>
      <c r="P1357" s="2" t="s">
        <v>12737</v>
      </c>
    </row>
    <row r="1358" spans="1:16" ht="13.15" x14ac:dyDescent="0.4">
      <c r="A1358" s="2" t="s">
        <v>11438</v>
      </c>
      <c r="B1358" s="2" t="s">
        <v>5885</v>
      </c>
      <c r="C1358" s="6" t="s">
        <v>5879</v>
      </c>
      <c r="D1358" s="6" t="s">
        <v>42</v>
      </c>
      <c r="E1358" s="7">
        <v>44927</v>
      </c>
      <c r="F1358" s="8" t="s">
        <v>77</v>
      </c>
      <c r="G1358" s="2" t="s">
        <v>26</v>
      </c>
      <c r="H1358" s="8" t="s">
        <v>28</v>
      </c>
      <c r="I1358" s="2" t="s">
        <v>26</v>
      </c>
      <c r="J1358" s="7">
        <v>44927</v>
      </c>
      <c r="K1358" s="8" t="s">
        <v>77</v>
      </c>
      <c r="L1358" s="2" t="s">
        <v>26</v>
      </c>
      <c r="M1358" s="8" t="s">
        <v>28</v>
      </c>
      <c r="N1358" s="6" t="s">
        <v>2264</v>
      </c>
      <c r="O1358" s="6" t="s">
        <v>30</v>
      </c>
      <c r="P1358" s="2" t="s">
        <v>12738</v>
      </c>
    </row>
    <row r="1359" spans="1:16" ht="13.15" x14ac:dyDescent="0.4">
      <c r="A1359" s="2" t="s">
        <v>11432</v>
      </c>
      <c r="B1359" s="2" t="s">
        <v>5885</v>
      </c>
      <c r="C1359" s="6" t="s">
        <v>5879</v>
      </c>
      <c r="D1359" s="6" t="s">
        <v>42</v>
      </c>
      <c r="E1359" s="7">
        <v>44927</v>
      </c>
      <c r="F1359" s="8" t="s">
        <v>77</v>
      </c>
      <c r="G1359" s="2" t="s">
        <v>26</v>
      </c>
      <c r="H1359" s="8" t="s">
        <v>28</v>
      </c>
      <c r="I1359" s="2" t="s">
        <v>26</v>
      </c>
      <c r="J1359" s="7">
        <v>44927</v>
      </c>
      <c r="K1359" s="8" t="s">
        <v>77</v>
      </c>
      <c r="L1359" s="2" t="s">
        <v>26</v>
      </c>
      <c r="M1359" s="8" t="s">
        <v>28</v>
      </c>
      <c r="N1359" s="6" t="s">
        <v>2264</v>
      </c>
      <c r="O1359" s="6" t="s">
        <v>30</v>
      </c>
      <c r="P1359" s="2" t="s">
        <v>12739</v>
      </c>
    </row>
    <row r="1360" spans="1:16" ht="13.15" x14ac:dyDescent="0.4">
      <c r="A1360" s="2" t="s">
        <v>11521</v>
      </c>
      <c r="B1360" s="2" t="s">
        <v>5885</v>
      </c>
      <c r="C1360" s="6" t="s">
        <v>5879</v>
      </c>
      <c r="D1360" s="6" t="s">
        <v>42</v>
      </c>
      <c r="E1360" s="7">
        <v>44927</v>
      </c>
      <c r="F1360" s="8" t="s">
        <v>77</v>
      </c>
      <c r="G1360" s="2" t="s">
        <v>26</v>
      </c>
      <c r="H1360" s="8" t="s">
        <v>28</v>
      </c>
      <c r="I1360" s="2" t="s">
        <v>26</v>
      </c>
      <c r="J1360" s="7">
        <v>44927</v>
      </c>
      <c r="K1360" s="8" t="s">
        <v>77</v>
      </c>
      <c r="L1360" s="2" t="s">
        <v>26</v>
      </c>
      <c r="M1360" s="8" t="s">
        <v>28</v>
      </c>
      <c r="N1360" s="6" t="s">
        <v>2264</v>
      </c>
      <c r="O1360" s="6" t="s">
        <v>30</v>
      </c>
      <c r="P1360" s="2" t="s">
        <v>12740</v>
      </c>
    </row>
    <row r="1361" spans="1:16" ht="13.15" x14ac:dyDescent="0.4">
      <c r="A1361" s="2" t="s">
        <v>11324</v>
      </c>
      <c r="B1361" s="2" t="s">
        <v>5885</v>
      </c>
      <c r="C1361" s="6" t="s">
        <v>5879</v>
      </c>
      <c r="D1361" s="6" t="s">
        <v>42</v>
      </c>
      <c r="E1361" s="7">
        <v>44927</v>
      </c>
      <c r="F1361" s="8" t="s">
        <v>77</v>
      </c>
      <c r="G1361" s="2" t="s">
        <v>26</v>
      </c>
      <c r="H1361" s="8" t="s">
        <v>28</v>
      </c>
      <c r="I1361" s="2" t="s">
        <v>26</v>
      </c>
      <c r="J1361" s="7">
        <v>44927</v>
      </c>
      <c r="K1361" s="8" t="s">
        <v>77</v>
      </c>
      <c r="L1361" s="2" t="s">
        <v>26</v>
      </c>
      <c r="M1361" s="8" t="s">
        <v>28</v>
      </c>
      <c r="N1361" s="6" t="s">
        <v>2264</v>
      </c>
      <c r="O1361" s="6" t="s">
        <v>30</v>
      </c>
      <c r="P1361" s="2" t="s">
        <v>12741</v>
      </c>
    </row>
    <row r="1362" spans="1:16" ht="13.15" x14ac:dyDescent="0.4">
      <c r="A1362" s="2" t="s">
        <v>8921</v>
      </c>
      <c r="B1362" s="2" t="s">
        <v>5885</v>
      </c>
      <c r="C1362" s="6" t="s">
        <v>5879</v>
      </c>
      <c r="D1362" s="6" t="s">
        <v>42</v>
      </c>
      <c r="E1362" s="7">
        <v>44927</v>
      </c>
      <c r="F1362" s="8" t="s">
        <v>77</v>
      </c>
      <c r="G1362" s="2" t="s">
        <v>26</v>
      </c>
      <c r="H1362" s="8" t="s">
        <v>28</v>
      </c>
      <c r="I1362" s="2" t="s">
        <v>26</v>
      </c>
      <c r="J1362" s="7">
        <v>44927</v>
      </c>
      <c r="K1362" s="8" t="s">
        <v>77</v>
      </c>
      <c r="L1362" s="2" t="s">
        <v>26</v>
      </c>
      <c r="M1362" s="8" t="s">
        <v>28</v>
      </c>
      <c r="N1362" s="6" t="s">
        <v>2264</v>
      </c>
      <c r="O1362" s="6" t="s">
        <v>30</v>
      </c>
      <c r="P1362" s="2" t="s">
        <v>12742</v>
      </c>
    </row>
    <row r="1363" spans="1:16" ht="13.15" x14ac:dyDescent="0.4">
      <c r="A1363" s="2" t="s">
        <v>11472</v>
      </c>
      <c r="B1363" s="2" t="s">
        <v>5885</v>
      </c>
      <c r="C1363" s="6" t="s">
        <v>5879</v>
      </c>
      <c r="D1363" s="6" t="s">
        <v>42</v>
      </c>
      <c r="E1363" s="7">
        <v>44927</v>
      </c>
      <c r="F1363" s="8" t="s">
        <v>77</v>
      </c>
      <c r="G1363" s="2" t="s">
        <v>26</v>
      </c>
      <c r="H1363" s="8" t="s">
        <v>28</v>
      </c>
      <c r="I1363" s="2" t="s">
        <v>26</v>
      </c>
      <c r="J1363" s="7">
        <v>44927</v>
      </c>
      <c r="K1363" s="8" t="s">
        <v>77</v>
      </c>
      <c r="L1363" s="2" t="s">
        <v>26</v>
      </c>
      <c r="M1363" s="8" t="s">
        <v>28</v>
      </c>
      <c r="N1363" s="6" t="s">
        <v>2264</v>
      </c>
      <c r="O1363" s="6" t="s">
        <v>30</v>
      </c>
      <c r="P1363" s="2" t="s">
        <v>12743</v>
      </c>
    </row>
    <row r="1364" spans="1:16" ht="13.15" x14ac:dyDescent="0.4">
      <c r="A1364" s="2" t="s">
        <v>11546</v>
      </c>
      <c r="B1364" s="2" t="s">
        <v>5885</v>
      </c>
      <c r="C1364" s="6" t="s">
        <v>5879</v>
      </c>
      <c r="D1364" s="6" t="s">
        <v>42</v>
      </c>
      <c r="E1364" s="7">
        <v>44927</v>
      </c>
      <c r="F1364" s="8" t="s">
        <v>77</v>
      </c>
      <c r="G1364" s="2" t="s">
        <v>26</v>
      </c>
      <c r="H1364" s="8" t="s">
        <v>28</v>
      </c>
      <c r="I1364" s="2" t="s">
        <v>26</v>
      </c>
      <c r="J1364" s="7">
        <v>44927</v>
      </c>
      <c r="K1364" s="8" t="s">
        <v>77</v>
      </c>
      <c r="L1364" s="2" t="s">
        <v>26</v>
      </c>
      <c r="M1364" s="8" t="s">
        <v>28</v>
      </c>
      <c r="N1364" s="6" t="s">
        <v>2264</v>
      </c>
      <c r="O1364" s="6" t="s">
        <v>30</v>
      </c>
      <c r="P1364" s="2" t="s">
        <v>12744</v>
      </c>
    </row>
    <row r="1365" spans="1:16" ht="13.15" x14ac:dyDescent="0.4">
      <c r="A1365" s="2" t="s">
        <v>11532</v>
      </c>
      <c r="B1365" s="2" t="s">
        <v>5885</v>
      </c>
      <c r="C1365" s="6" t="s">
        <v>5879</v>
      </c>
      <c r="D1365" s="6" t="s">
        <v>42</v>
      </c>
      <c r="E1365" s="7">
        <v>44927</v>
      </c>
      <c r="F1365" s="8" t="s">
        <v>77</v>
      </c>
      <c r="G1365" s="2" t="s">
        <v>26</v>
      </c>
      <c r="H1365" s="8" t="s">
        <v>28</v>
      </c>
      <c r="I1365" s="2" t="s">
        <v>26</v>
      </c>
      <c r="J1365" s="7">
        <v>44927</v>
      </c>
      <c r="K1365" s="8" t="s">
        <v>77</v>
      </c>
      <c r="L1365" s="2" t="s">
        <v>26</v>
      </c>
      <c r="M1365" s="8" t="s">
        <v>28</v>
      </c>
      <c r="N1365" s="6" t="s">
        <v>2264</v>
      </c>
      <c r="O1365" s="6" t="s">
        <v>30</v>
      </c>
      <c r="P1365" s="2" t="s">
        <v>12745</v>
      </c>
    </row>
    <row r="1366" spans="1:16" ht="13.15" x14ac:dyDescent="0.4">
      <c r="A1366" s="2" t="s">
        <v>11504</v>
      </c>
      <c r="B1366" s="2" t="s">
        <v>5885</v>
      </c>
      <c r="C1366" s="6" t="s">
        <v>5879</v>
      </c>
      <c r="D1366" s="6" t="s">
        <v>42</v>
      </c>
      <c r="E1366" s="7">
        <v>44927</v>
      </c>
      <c r="F1366" s="8" t="s">
        <v>77</v>
      </c>
      <c r="G1366" s="2" t="s">
        <v>26</v>
      </c>
      <c r="H1366" s="8" t="s">
        <v>28</v>
      </c>
      <c r="I1366" s="2" t="s">
        <v>26</v>
      </c>
      <c r="J1366" s="7">
        <v>44927</v>
      </c>
      <c r="K1366" s="8" t="s">
        <v>77</v>
      </c>
      <c r="L1366" s="2" t="s">
        <v>26</v>
      </c>
      <c r="M1366" s="8" t="s">
        <v>28</v>
      </c>
      <c r="N1366" s="6" t="s">
        <v>2264</v>
      </c>
      <c r="O1366" s="6" t="s">
        <v>30</v>
      </c>
      <c r="P1366" s="2" t="s">
        <v>12746</v>
      </c>
    </row>
    <row r="1367" spans="1:16" ht="13.15" x14ac:dyDescent="0.4">
      <c r="A1367" s="2" t="s">
        <v>11318</v>
      </c>
      <c r="B1367" s="2" t="s">
        <v>5885</v>
      </c>
      <c r="C1367" s="6" t="s">
        <v>5879</v>
      </c>
      <c r="D1367" s="6" t="s">
        <v>42</v>
      </c>
      <c r="E1367" s="7">
        <v>44927</v>
      </c>
      <c r="F1367" s="8" t="s">
        <v>77</v>
      </c>
      <c r="G1367" s="2" t="s">
        <v>26</v>
      </c>
      <c r="H1367" s="8" t="s">
        <v>28</v>
      </c>
      <c r="I1367" s="2" t="s">
        <v>26</v>
      </c>
      <c r="J1367" s="7">
        <v>44927</v>
      </c>
      <c r="K1367" s="8" t="s">
        <v>77</v>
      </c>
      <c r="L1367" s="2" t="s">
        <v>26</v>
      </c>
      <c r="M1367" s="8" t="s">
        <v>28</v>
      </c>
      <c r="N1367" s="6" t="s">
        <v>2264</v>
      </c>
      <c r="O1367" s="6" t="s">
        <v>30</v>
      </c>
      <c r="P1367" s="2" t="s">
        <v>12747</v>
      </c>
    </row>
    <row r="1368" spans="1:16" ht="13.15" x14ac:dyDescent="0.4">
      <c r="A1368" s="2" t="s">
        <v>11530</v>
      </c>
      <c r="B1368" s="2" t="s">
        <v>5885</v>
      </c>
      <c r="C1368" s="6" t="s">
        <v>5879</v>
      </c>
      <c r="D1368" s="6" t="s">
        <v>42</v>
      </c>
      <c r="E1368" s="7">
        <v>44927</v>
      </c>
      <c r="F1368" s="8" t="s">
        <v>77</v>
      </c>
      <c r="G1368" s="2" t="s">
        <v>26</v>
      </c>
      <c r="H1368" s="8" t="s">
        <v>28</v>
      </c>
      <c r="I1368" s="2" t="s">
        <v>26</v>
      </c>
      <c r="J1368" s="7">
        <v>44927</v>
      </c>
      <c r="K1368" s="8" t="s">
        <v>77</v>
      </c>
      <c r="L1368" s="2" t="s">
        <v>26</v>
      </c>
      <c r="M1368" s="8" t="s">
        <v>28</v>
      </c>
      <c r="N1368" s="6" t="s">
        <v>2264</v>
      </c>
      <c r="O1368" s="6" t="s">
        <v>30</v>
      </c>
      <c r="P1368" s="2" t="s">
        <v>12748</v>
      </c>
    </row>
    <row r="1369" spans="1:16" ht="13.15" x14ac:dyDescent="0.4">
      <c r="A1369" s="2" t="s">
        <v>11439</v>
      </c>
      <c r="B1369" s="2" t="s">
        <v>5885</v>
      </c>
      <c r="C1369" s="6" t="s">
        <v>5879</v>
      </c>
      <c r="D1369" s="6" t="s">
        <v>42</v>
      </c>
      <c r="E1369" s="7">
        <v>44927</v>
      </c>
      <c r="F1369" s="8" t="s">
        <v>77</v>
      </c>
      <c r="G1369" s="2" t="s">
        <v>26</v>
      </c>
      <c r="H1369" s="8" t="s">
        <v>28</v>
      </c>
      <c r="I1369" s="2" t="s">
        <v>26</v>
      </c>
      <c r="J1369" s="7">
        <v>44927</v>
      </c>
      <c r="K1369" s="8" t="s">
        <v>77</v>
      </c>
      <c r="L1369" s="2" t="s">
        <v>26</v>
      </c>
      <c r="M1369" s="8" t="s">
        <v>28</v>
      </c>
      <c r="N1369" s="6" t="s">
        <v>2264</v>
      </c>
      <c r="O1369" s="6" t="s">
        <v>30</v>
      </c>
      <c r="P1369" s="2" t="s">
        <v>12749</v>
      </c>
    </row>
    <row r="1370" spans="1:16" ht="13.15" x14ac:dyDescent="0.4">
      <c r="A1370" s="2" t="s">
        <v>11131</v>
      </c>
      <c r="B1370" s="2" t="s">
        <v>5885</v>
      </c>
      <c r="C1370" s="6" t="s">
        <v>5879</v>
      </c>
      <c r="D1370" s="6" t="s">
        <v>42</v>
      </c>
      <c r="E1370" s="7">
        <v>44927</v>
      </c>
      <c r="F1370" s="8" t="s">
        <v>77</v>
      </c>
      <c r="G1370" s="2" t="s">
        <v>26</v>
      </c>
      <c r="H1370" s="8" t="s">
        <v>28</v>
      </c>
      <c r="I1370" s="2" t="s">
        <v>26</v>
      </c>
      <c r="J1370" s="7">
        <v>44927</v>
      </c>
      <c r="K1370" s="8" t="s">
        <v>77</v>
      </c>
      <c r="L1370" s="2" t="s">
        <v>26</v>
      </c>
      <c r="M1370" s="8" t="s">
        <v>28</v>
      </c>
      <c r="N1370" s="6" t="s">
        <v>2264</v>
      </c>
      <c r="O1370" s="6" t="s">
        <v>30</v>
      </c>
      <c r="P1370" s="2" t="s">
        <v>12750</v>
      </c>
    </row>
    <row r="1371" spans="1:16" ht="13.15" x14ac:dyDescent="0.4">
      <c r="A1371" s="2" t="s">
        <v>11486</v>
      </c>
      <c r="B1371" s="2" t="s">
        <v>5885</v>
      </c>
      <c r="C1371" s="6" t="s">
        <v>5879</v>
      </c>
      <c r="D1371" s="6" t="s">
        <v>42</v>
      </c>
      <c r="E1371" s="7">
        <v>44927</v>
      </c>
      <c r="F1371" s="8" t="s">
        <v>77</v>
      </c>
      <c r="G1371" s="2" t="s">
        <v>26</v>
      </c>
      <c r="H1371" s="8" t="s">
        <v>28</v>
      </c>
      <c r="I1371" s="2" t="s">
        <v>26</v>
      </c>
      <c r="J1371" s="7">
        <v>44927</v>
      </c>
      <c r="K1371" s="8" t="s">
        <v>77</v>
      </c>
      <c r="L1371" s="2" t="s">
        <v>26</v>
      </c>
      <c r="M1371" s="8" t="s">
        <v>28</v>
      </c>
      <c r="N1371" s="6" t="s">
        <v>2264</v>
      </c>
      <c r="O1371" s="6" t="s">
        <v>30</v>
      </c>
      <c r="P1371" s="2" t="s">
        <v>12751</v>
      </c>
    </row>
    <row r="1372" spans="1:16" ht="13.15" x14ac:dyDescent="0.4">
      <c r="A1372" s="2" t="s">
        <v>11537</v>
      </c>
      <c r="B1372" s="2" t="s">
        <v>5885</v>
      </c>
      <c r="C1372" s="6" t="s">
        <v>5879</v>
      </c>
      <c r="D1372" s="6" t="s">
        <v>42</v>
      </c>
      <c r="E1372" s="7">
        <v>44927</v>
      </c>
      <c r="F1372" s="8" t="s">
        <v>77</v>
      </c>
      <c r="G1372" s="2" t="s">
        <v>26</v>
      </c>
      <c r="H1372" s="8" t="s">
        <v>28</v>
      </c>
      <c r="I1372" s="2" t="s">
        <v>26</v>
      </c>
      <c r="J1372" s="7">
        <v>44927</v>
      </c>
      <c r="K1372" s="8" t="s">
        <v>77</v>
      </c>
      <c r="L1372" s="2" t="s">
        <v>26</v>
      </c>
      <c r="M1372" s="8" t="s">
        <v>28</v>
      </c>
      <c r="N1372" s="6" t="s">
        <v>2264</v>
      </c>
      <c r="O1372" s="6" t="s">
        <v>30</v>
      </c>
      <c r="P1372" s="2" t="s">
        <v>12752</v>
      </c>
    </row>
    <row r="1373" spans="1:16" ht="13.15" x14ac:dyDescent="0.4">
      <c r="A1373" s="2" t="s">
        <v>11419</v>
      </c>
      <c r="B1373" s="2" t="s">
        <v>5885</v>
      </c>
      <c r="C1373" s="6" t="s">
        <v>5879</v>
      </c>
      <c r="D1373" s="6" t="s">
        <v>42</v>
      </c>
      <c r="E1373" s="7">
        <v>44927</v>
      </c>
      <c r="F1373" s="8" t="s">
        <v>77</v>
      </c>
      <c r="G1373" s="2" t="s">
        <v>26</v>
      </c>
      <c r="H1373" s="8" t="s">
        <v>28</v>
      </c>
      <c r="I1373" s="2" t="s">
        <v>26</v>
      </c>
      <c r="J1373" s="7">
        <v>44927</v>
      </c>
      <c r="K1373" s="8" t="s">
        <v>77</v>
      </c>
      <c r="L1373" s="2" t="s">
        <v>26</v>
      </c>
      <c r="M1373" s="8" t="s">
        <v>28</v>
      </c>
      <c r="N1373" s="6" t="s">
        <v>2264</v>
      </c>
      <c r="O1373" s="6" t="s">
        <v>30</v>
      </c>
      <c r="P1373" s="2" t="s">
        <v>12753</v>
      </c>
    </row>
    <row r="1374" spans="1:16" ht="13.15" x14ac:dyDescent="0.4">
      <c r="A1374" s="2" t="s">
        <v>11444</v>
      </c>
      <c r="B1374" s="2" t="s">
        <v>5885</v>
      </c>
      <c r="C1374" s="6" t="s">
        <v>5879</v>
      </c>
      <c r="D1374" s="6" t="s">
        <v>42</v>
      </c>
      <c r="E1374" s="7">
        <v>44927</v>
      </c>
      <c r="F1374" s="8" t="s">
        <v>77</v>
      </c>
      <c r="G1374" s="2" t="s">
        <v>26</v>
      </c>
      <c r="H1374" s="8" t="s">
        <v>28</v>
      </c>
      <c r="I1374" s="2" t="s">
        <v>26</v>
      </c>
      <c r="J1374" s="7">
        <v>44927</v>
      </c>
      <c r="K1374" s="8" t="s">
        <v>77</v>
      </c>
      <c r="L1374" s="2" t="s">
        <v>26</v>
      </c>
      <c r="M1374" s="8" t="s">
        <v>28</v>
      </c>
      <c r="N1374" s="6" t="s">
        <v>2264</v>
      </c>
      <c r="O1374" s="6" t="s">
        <v>30</v>
      </c>
      <c r="P1374" s="2" t="s">
        <v>12754</v>
      </c>
    </row>
    <row r="1375" spans="1:16" ht="13.15" x14ac:dyDescent="0.4">
      <c r="A1375" s="2" t="s">
        <v>11455</v>
      </c>
      <c r="B1375" s="2" t="s">
        <v>5885</v>
      </c>
      <c r="C1375" s="6" t="s">
        <v>5879</v>
      </c>
      <c r="D1375" s="6" t="s">
        <v>42</v>
      </c>
      <c r="E1375" s="7">
        <v>44927</v>
      </c>
      <c r="F1375" s="8" t="s">
        <v>77</v>
      </c>
      <c r="G1375" s="2" t="s">
        <v>26</v>
      </c>
      <c r="H1375" s="8" t="s">
        <v>28</v>
      </c>
      <c r="I1375" s="2" t="s">
        <v>26</v>
      </c>
      <c r="J1375" s="7">
        <v>44927</v>
      </c>
      <c r="K1375" s="8" t="s">
        <v>77</v>
      </c>
      <c r="L1375" s="2" t="s">
        <v>26</v>
      </c>
      <c r="M1375" s="8" t="s">
        <v>28</v>
      </c>
      <c r="N1375" s="6" t="s">
        <v>2264</v>
      </c>
      <c r="O1375" s="6" t="s">
        <v>30</v>
      </c>
      <c r="P1375" s="2" t="s">
        <v>12755</v>
      </c>
    </row>
    <row r="1376" spans="1:16" ht="13.15" x14ac:dyDescent="0.4">
      <c r="A1376" s="2" t="s">
        <v>11264</v>
      </c>
      <c r="B1376" s="2" t="s">
        <v>5885</v>
      </c>
      <c r="C1376" s="6" t="s">
        <v>5879</v>
      </c>
      <c r="D1376" s="6" t="s">
        <v>42</v>
      </c>
      <c r="E1376" s="7">
        <v>44927</v>
      </c>
      <c r="F1376" s="8" t="s">
        <v>77</v>
      </c>
      <c r="G1376" s="2" t="s">
        <v>26</v>
      </c>
      <c r="H1376" s="8" t="s">
        <v>28</v>
      </c>
      <c r="I1376" s="2" t="s">
        <v>26</v>
      </c>
      <c r="J1376" s="7">
        <v>44927</v>
      </c>
      <c r="K1376" s="8" t="s">
        <v>77</v>
      </c>
      <c r="L1376" s="2" t="s">
        <v>26</v>
      </c>
      <c r="M1376" s="8" t="s">
        <v>28</v>
      </c>
      <c r="N1376" s="6" t="s">
        <v>2264</v>
      </c>
      <c r="O1376" s="6" t="s">
        <v>30</v>
      </c>
      <c r="P1376" s="2" t="s">
        <v>12756</v>
      </c>
    </row>
    <row r="1377" spans="1:16" ht="13.15" x14ac:dyDescent="0.4">
      <c r="A1377" s="2" t="s">
        <v>11319</v>
      </c>
      <c r="B1377" s="2" t="s">
        <v>5885</v>
      </c>
      <c r="C1377" s="6" t="s">
        <v>5879</v>
      </c>
      <c r="D1377" s="6" t="s">
        <v>42</v>
      </c>
      <c r="E1377" s="7">
        <v>44927</v>
      </c>
      <c r="F1377" s="8" t="s">
        <v>77</v>
      </c>
      <c r="G1377" s="2" t="s">
        <v>26</v>
      </c>
      <c r="H1377" s="8" t="s">
        <v>28</v>
      </c>
      <c r="I1377" s="2" t="s">
        <v>26</v>
      </c>
      <c r="J1377" s="7">
        <v>44927</v>
      </c>
      <c r="K1377" s="8" t="s">
        <v>77</v>
      </c>
      <c r="L1377" s="2" t="s">
        <v>26</v>
      </c>
      <c r="M1377" s="8" t="s">
        <v>28</v>
      </c>
      <c r="N1377" s="6" t="s">
        <v>2264</v>
      </c>
      <c r="O1377" s="6" t="s">
        <v>30</v>
      </c>
      <c r="P1377" s="2" t="s">
        <v>12757</v>
      </c>
    </row>
    <row r="1378" spans="1:16" ht="13.15" x14ac:dyDescent="0.4">
      <c r="A1378" s="2" t="s">
        <v>11316</v>
      </c>
      <c r="B1378" s="2" t="s">
        <v>5885</v>
      </c>
      <c r="C1378" s="6" t="s">
        <v>5879</v>
      </c>
      <c r="D1378" s="6" t="s">
        <v>42</v>
      </c>
      <c r="E1378" s="7">
        <v>44927</v>
      </c>
      <c r="F1378" s="8" t="s">
        <v>77</v>
      </c>
      <c r="G1378" s="2" t="s">
        <v>26</v>
      </c>
      <c r="H1378" s="8" t="s">
        <v>28</v>
      </c>
      <c r="I1378" s="2" t="s">
        <v>26</v>
      </c>
      <c r="J1378" s="7">
        <v>44927</v>
      </c>
      <c r="K1378" s="8" t="s">
        <v>77</v>
      </c>
      <c r="L1378" s="2" t="s">
        <v>26</v>
      </c>
      <c r="M1378" s="8" t="s">
        <v>28</v>
      </c>
      <c r="N1378" s="6" t="s">
        <v>2264</v>
      </c>
      <c r="O1378" s="6" t="s">
        <v>30</v>
      </c>
      <c r="P1378" s="2" t="s">
        <v>12758</v>
      </c>
    </row>
    <row r="1379" spans="1:16" ht="13.15" x14ac:dyDescent="0.4">
      <c r="A1379" s="2" t="s">
        <v>11558</v>
      </c>
      <c r="B1379" s="2" t="s">
        <v>5885</v>
      </c>
      <c r="C1379" s="6" t="s">
        <v>5879</v>
      </c>
      <c r="D1379" s="6" t="s">
        <v>42</v>
      </c>
      <c r="E1379" s="7">
        <v>44927</v>
      </c>
      <c r="F1379" s="8" t="s">
        <v>77</v>
      </c>
      <c r="G1379" s="2" t="s">
        <v>26</v>
      </c>
      <c r="H1379" s="8" t="s">
        <v>28</v>
      </c>
      <c r="I1379" s="2" t="s">
        <v>26</v>
      </c>
      <c r="J1379" s="7">
        <v>44927</v>
      </c>
      <c r="K1379" s="8" t="s">
        <v>77</v>
      </c>
      <c r="L1379" s="2" t="s">
        <v>26</v>
      </c>
      <c r="M1379" s="8" t="s">
        <v>28</v>
      </c>
      <c r="N1379" s="6" t="s">
        <v>2264</v>
      </c>
      <c r="O1379" s="6" t="s">
        <v>30</v>
      </c>
      <c r="P1379" s="2" t="s">
        <v>12759</v>
      </c>
    </row>
    <row r="1380" spans="1:16" ht="13.15" x14ac:dyDescent="0.4">
      <c r="A1380" s="2" t="s">
        <v>11410</v>
      </c>
      <c r="B1380" s="2" t="s">
        <v>5885</v>
      </c>
      <c r="C1380" s="6" t="s">
        <v>5879</v>
      </c>
      <c r="D1380" s="6" t="s">
        <v>42</v>
      </c>
      <c r="E1380" s="7">
        <v>44927</v>
      </c>
      <c r="F1380" s="8" t="s">
        <v>77</v>
      </c>
      <c r="G1380" s="2" t="s">
        <v>26</v>
      </c>
      <c r="H1380" s="8" t="s">
        <v>28</v>
      </c>
      <c r="I1380" s="2" t="s">
        <v>26</v>
      </c>
      <c r="J1380" s="7">
        <v>44927</v>
      </c>
      <c r="K1380" s="8" t="s">
        <v>77</v>
      </c>
      <c r="L1380" s="2" t="s">
        <v>26</v>
      </c>
      <c r="M1380" s="8" t="s">
        <v>28</v>
      </c>
      <c r="N1380" s="6" t="s">
        <v>2264</v>
      </c>
      <c r="O1380" s="6" t="s">
        <v>30</v>
      </c>
      <c r="P1380" s="2" t="s">
        <v>12760</v>
      </c>
    </row>
    <row r="1381" spans="1:16" ht="13.15" x14ac:dyDescent="0.4">
      <c r="A1381" s="2" t="s">
        <v>11408</v>
      </c>
      <c r="B1381" s="2" t="s">
        <v>5885</v>
      </c>
      <c r="C1381" s="6" t="s">
        <v>5879</v>
      </c>
      <c r="D1381" s="6" t="s">
        <v>42</v>
      </c>
      <c r="E1381" s="7">
        <v>44927</v>
      </c>
      <c r="F1381" s="8" t="s">
        <v>77</v>
      </c>
      <c r="G1381" s="2" t="s">
        <v>26</v>
      </c>
      <c r="H1381" s="8" t="s">
        <v>28</v>
      </c>
      <c r="I1381" s="2" t="s">
        <v>26</v>
      </c>
      <c r="J1381" s="7">
        <v>44927</v>
      </c>
      <c r="K1381" s="8" t="s">
        <v>77</v>
      </c>
      <c r="L1381" s="2" t="s">
        <v>26</v>
      </c>
      <c r="M1381" s="8" t="s">
        <v>28</v>
      </c>
      <c r="N1381" s="6" t="s">
        <v>2264</v>
      </c>
      <c r="O1381" s="6" t="s">
        <v>30</v>
      </c>
      <c r="P1381" s="2" t="s">
        <v>12761</v>
      </c>
    </row>
    <row r="1382" spans="1:16" ht="13.15" x14ac:dyDescent="0.4">
      <c r="A1382" s="2" t="s">
        <v>11505</v>
      </c>
      <c r="B1382" s="2" t="s">
        <v>5885</v>
      </c>
      <c r="C1382" s="6" t="s">
        <v>5879</v>
      </c>
      <c r="D1382" s="6" t="s">
        <v>42</v>
      </c>
      <c r="E1382" s="7">
        <v>44927</v>
      </c>
      <c r="F1382" s="8" t="s">
        <v>77</v>
      </c>
      <c r="G1382" s="2" t="s">
        <v>26</v>
      </c>
      <c r="H1382" s="8" t="s">
        <v>28</v>
      </c>
      <c r="I1382" s="2" t="s">
        <v>26</v>
      </c>
      <c r="J1382" s="7">
        <v>44927</v>
      </c>
      <c r="K1382" s="8" t="s">
        <v>77</v>
      </c>
      <c r="L1382" s="2" t="s">
        <v>26</v>
      </c>
      <c r="M1382" s="8" t="s">
        <v>28</v>
      </c>
      <c r="N1382" s="6" t="s">
        <v>2264</v>
      </c>
      <c r="O1382" s="6" t="s">
        <v>30</v>
      </c>
      <c r="P1382" s="2" t="s">
        <v>12762</v>
      </c>
    </row>
    <row r="1383" spans="1:16" ht="13.15" x14ac:dyDescent="0.4">
      <c r="A1383" s="2" t="s">
        <v>11465</v>
      </c>
      <c r="B1383" s="2" t="s">
        <v>5885</v>
      </c>
      <c r="C1383" s="6" t="s">
        <v>5879</v>
      </c>
      <c r="D1383" s="6" t="s">
        <v>42</v>
      </c>
      <c r="E1383" s="7">
        <v>44927</v>
      </c>
      <c r="F1383" s="8" t="s">
        <v>77</v>
      </c>
      <c r="G1383" s="2" t="s">
        <v>26</v>
      </c>
      <c r="H1383" s="8" t="s">
        <v>28</v>
      </c>
      <c r="I1383" s="2" t="s">
        <v>26</v>
      </c>
      <c r="J1383" s="7">
        <v>44927</v>
      </c>
      <c r="K1383" s="8" t="s">
        <v>77</v>
      </c>
      <c r="L1383" s="2" t="s">
        <v>26</v>
      </c>
      <c r="M1383" s="8" t="s">
        <v>28</v>
      </c>
      <c r="N1383" s="6" t="s">
        <v>2264</v>
      </c>
      <c r="O1383" s="6" t="s">
        <v>30</v>
      </c>
      <c r="P1383" s="2" t="s">
        <v>12763</v>
      </c>
    </row>
    <row r="1384" spans="1:16" ht="13.15" x14ac:dyDescent="0.4">
      <c r="A1384" s="2" t="s">
        <v>11327</v>
      </c>
      <c r="B1384" s="2" t="s">
        <v>5885</v>
      </c>
      <c r="C1384" s="6" t="s">
        <v>5879</v>
      </c>
      <c r="D1384" s="6" t="s">
        <v>42</v>
      </c>
      <c r="E1384" s="7">
        <v>44927</v>
      </c>
      <c r="F1384" s="8" t="s">
        <v>77</v>
      </c>
      <c r="G1384" s="2" t="s">
        <v>26</v>
      </c>
      <c r="H1384" s="8" t="s">
        <v>28</v>
      </c>
      <c r="I1384" s="2" t="s">
        <v>26</v>
      </c>
      <c r="J1384" s="7">
        <v>44927</v>
      </c>
      <c r="K1384" s="8" t="s">
        <v>77</v>
      </c>
      <c r="L1384" s="2" t="s">
        <v>26</v>
      </c>
      <c r="M1384" s="8" t="s">
        <v>28</v>
      </c>
      <c r="N1384" s="6" t="s">
        <v>2264</v>
      </c>
      <c r="O1384" s="6" t="s">
        <v>30</v>
      </c>
      <c r="P1384" s="2" t="s">
        <v>12764</v>
      </c>
    </row>
    <row r="1385" spans="1:16" ht="13.15" x14ac:dyDescent="0.4">
      <c r="A1385" s="2" t="s">
        <v>11508</v>
      </c>
      <c r="B1385" s="2" t="s">
        <v>5885</v>
      </c>
      <c r="C1385" s="6" t="s">
        <v>5879</v>
      </c>
      <c r="D1385" s="6" t="s">
        <v>42</v>
      </c>
      <c r="E1385" s="7">
        <v>44927</v>
      </c>
      <c r="F1385" s="8" t="s">
        <v>77</v>
      </c>
      <c r="G1385" s="2" t="s">
        <v>26</v>
      </c>
      <c r="H1385" s="8" t="s">
        <v>28</v>
      </c>
      <c r="I1385" s="2" t="s">
        <v>26</v>
      </c>
      <c r="J1385" s="7">
        <v>44927</v>
      </c>
      <c r="K1385" s="8" t="s">
        <v>77</v>
      </c>
      <c r="L1385" s="2" t="s">
        <v>26</v>
      </c>
      <c r="M1385" s="8" t="s">
        <v>28</v>
      </c>
      <c r="N1385" s="6" t="s">
        <v>2264</v>
      </c>
      <c r="O1385" s="6" t="s">
        <v>30</v>
      </c>
      <c r="P1385" s="2" t="s">
        <v>12765</v>
      </c>
    </row>
    <row r="1386" spans="1:16" ht="13.15" x14ac:dyDescent="0.4">
      <c r="A1386" s="2" t="s">
        <v>11497</v>
      </c>
      <c r="B1386" s="2" t="s">
        <v>5885</v>
      </c>
      <c r="C1386" s="6" t="s">
        <v>5879</v>
      </c>
      <c r="D1386" s="6" t="s">
        <v>42</v>
      </c>
      <c r="E1386" s="7">
        <v>44927</v>
      </c>
      <c r="F1386" s="8" t="s">
        <v>77</v>
      </c>
      <c r="G1386" s="2" t="s">
        <v>26</v>
      </c>
      <c r="H1386" s="8" t="s">
        <v>28</v>
      </c>
      <c r="I1386" s="2" t="s">
        <v>26</v>
      </c>
      <c r="J1386" s="7">
        <v>44927</v>
      </c>
      <c r="K1386" s="8" t="s">
        <v>77</v>
      </c>
      <c r="L1386" s="2" t="s">
        <v>26</v>
      </c>
      <c r="M1386" s="8" t="s">
        <v>28</v>
      </c>
      <c r="N1386" s="6" t="s">
        <v>2264</v>
      </c>
      <c r="O1386" s="6" t="s">
        <v>30</v>
      </c>
      <c r="P1386" s="2" t="s">
        <v>12766</v>
      </c>
    </row>
    <row r="1387" spans="1:16" ht="13.15" x14ac:dyDescent="0.4">
      <c r="A1387" s="2" t="s">
        <v>11323</v>
      </c>
      <c r="B1387" s="2" t="s">
        <v>5885</v>
      </c>
      <c r="C1387" s="6" t="s">
        <v>5879</v>
      </c>
      <c r="D1387" s="6" t="s">
        <v>42</v>
      </c>
      <c r="E1387" s="7">
        <v>44927</v>
      </c>
      <c r="F1387" s="8" t="s">
        <v>77</v>
      </c>
      <c r="G1387" s="2" t="s">
        <v>26</v>
      </c>
      <c r="H1387" s="8" t="s">
        <v>28</v>
      </c>
      <c r="I1387" s="2" t="s">
        <v>26</v>
      </c>
      <c r="J1387" s="7">
        <v>44927</v>
      </c>
      <c r="K1387" s="8" t="s">
        <v>77</v>
      </c>
      <c r="L1387" s="2" t="s">
        <v>26</v>
      </c>
      <c r="M1387" s="8" t="s">
        <v>28</v>
      </c>
      <c r="N1387" s="6" t="s">
        <v>2264</v>
      </c>
      <c r="O1387" s="6" t="s">
        <v>30</v>
      </c>
      <c r="P1387" s="2" t="s">
        <v>12767</v>
      </c>
    </row>
    <row r="1388" spans="1:16" ht="13.15" x14ac:dyDescent="0.4">
      <c r="A1388" s="2" t="s">
        <v>11421</v>
      </c>
      <c r="B1388" s="2" t="s">
        <v>5885</v>
      </c>
      <c r="C1388" s="6" t="s">
        <v>5879</v>
      </c>
      <c r="D1388" s="6" t="s">
        <v>42</v>
      </c>
      <c r="E1388" s="7">
        <v>44927</v>
      </c>
      <c r="F1388" s="8" t="s">
        <v>77</v>
      </c>
      <c r="G1388" s="2" t="s">
        <v>26</v>
      </c>
      <c r="H1388" s="8" t="s">
        <v>28</v>
      </c>
      <c r="I1388" s="2" t="s">
        <v>26</v>
      </c>
      <c r="J1388" s="7">
        <v>44927</v>
      </c>
      <c r="K1388" s="8" t="s">
        <v>77</v>
      </c>
      <c r="L1388" s="2" t="s">
        <v>26</v>
      </c>
      <c r="M1388" s="8" t="s">
        <v>28</v>
      </c>
      <c r="N1388" s="6" t="s">
        <v>2264</v>
      </c>
      <c r="O1388" s="6" t="s">
        <v>30</v>
      </c>
      <c r="P1388" s="2" t="s">
        <v>12768</v>
      </c>
    </row>
    <row r="1389" spans="1:16" ht="13.15" x14ac:dyDescent="0.4">
      <c r="A1389" s="2" t="s">
        <v>11484</v>
      </c>
      <c r="B1389" s="2" t="s">
        <v>5885</v>
      </c>
      <c r="C1389" s="6" t="s">
        <v>5879</v>
      </c>
      <c r="D1389" s="6" t="s">
        <v>42</v>
      </c>
      <c r="E1389" s="7">
        <v>44927</v>
      </c>
      <c r="F1389" s="8" t="s">
        <v>77</v>
      </c>
      <c r="G1389" s="2" t="s">
        <v>26</v>
      </c>
      <c r="H1389" s="8" t="s">
        <v>28</v>
      </c>
      <c r="I1389" s="2" t="s">
        <v>26</v>
      </c>
      <c r="J1389" s="7">
        <v>44927</v>
      </c>
      <c r="K1389" s="8" t="s">
        <v>77</v>
      </c>
      <c r="L1389" s="2" t="s">
        <v>26</v>
      </c>
      <c r="M1389" s="8" t="s">
        <v>28</v>
      </c>
      <c r="N1389" s="6" t="s">
        <v>2264</v>
      </c>
      <c r="O1389" s="6" t="s">
        <v>30</v>
      </c>
      <c r="P1389" s="2" t="s">
        <v>12769</v>
      </c>
    </row>
    <row r="1390" spans="1:16" ht="13.15" x14ac:dyDescent="0.4">
      <c r="A1390" s="2" t="s">
        <v>11540</v>
      </c>
      <c r="B1390" s="2" t="s">
        <v>5885</v>
      </c>
      <c r="C1390" s="6" t="s">
        <v>5879</v>
      </c>
      <c r="D1390" s="6" t="s">
        <v>42</v>
      </c>
      <c r="E1390" s="7">
        <v>44927</v>
      </c>
      <c r="F1390" s="8" t="s">
        <v>77</v>
      </c>
      <c r="G1390" s="2" t="s">
        <v>26</v>
      </c>
      <c r="H1390" s="8" t="s">
        <v>28</v>
      </c>
      <c r="I1390" s="2" t="s">
        <v>26</v>
      </c>
      <c r="J1390" s="7">
        <v>44927</v>
      </c>
      <c r="K1390" s="8" t="s">
        <v>77</v>
      </c>
      <c r="L1390" s="2" t="s">
        <v>26</v>
      </c>
      <c r="M1390" s="8" t="s">
        <v>28</v>
      </c>
      <c r="N1390" s="6" t="s">
        <v>2264</v>
      </c>
      <c r="O1390" s="6" t="s">
        <v>30</v>
      </c>
      <c r="P1390" s="2" t="s">
        <v>12770</v>
      </c>
    </row>
    <row r="1391" spans="1:16" ht="13.15" x14ac:dyDescent="0.4">
      <c r="A1391" s="2" t="s">
        <v>11450</v>
      </c>
      <c r="B1391" s="2" t="s">
        <v>5885</v>
      </c>
      <c r="C1391" s="6" t="s">
        <v>5879</v>
      </c>
      <c r="D1391" s="6" t="s">
        <v>42</v>
      </c>
      <c r="E1391" s="7">
        <v>44927</v>
      </c>
      <c r="F1391" s="8" t="s">
        <v>77</v>
      </c>
      <c r="G1391" s="2" t="s">
        <v>26</v>
      </c>
      <c r="H1391" s="8" t="s">
        <v>28</v>
      </c>
      <c r="I1391" s="2" t="s">
        <v>26</v>
      </c>
      <c r="J1391" s="7">
        <v>44927</v>
      </c>
      <c r="K1391" s="8" t="s">
        <v>77</v>
      </c>
      <c r="L1391" s="2" t="s">
        <v>26</v>
      </c>
      <c r="M1391" s="8" t="s">
        <v>28</v>
      </c>
      <c r="N1391" s="6" t="s">
        <v>2264</v>
      </c>
      <c r="O1391" s="6" t="s">
        <v>30</v>
      </c>
      <c r="P1391" s="2" t="s">
        <v>12771</v>
      </c>
    </row>
    <row r="1392" spans="1:16" ht="13.15" x14ac:dyDescent="0.4">
      <c r="A1392" s="2" t="s">
        <v>11535</v>
      </c>
      <c r="B1392" s="2" t="s">
        <v>5885</v>
      </c>
      <c r="C1392" s="6" t="s">
        <v>5879</v>
      </c>
      <c r="D1392" s="6" t="s">
        <v>42</v>
      </c>
      <c r="E1392" s="7">
        <v>44927</v>
      </c>
      <c r="F1392" s="8" t="s">
        <v>77</v>
      </c>
      <c r="G1392" s="2" t="s">
        <v>26</v>
      </c>
      <c r="H1392" s="8" t="s">
        <v>28</v>
      </c>
      <c r="I1392" s="2" t="s">
        <v>26</v>
      </c>
      <c r="J1392" s="7">
        <v>44927</v>
      </c>
      <c r="K1392" s="8" t="s">
        <v>77</v>
      </c>
      <c r="L1392" s="2" t="s">
        <v>26</v>
      </c>
      <c r="M1392" s="8" t="s">
        <v>28</v>
      </c>
      <c r="N1392" s="6" t="s">
        <v>2264</v>
      </c>
      <c r="O1392" s="6" t="s">
        <v>30</v>
      </c>
      <c r="P1392" s="2" t="s">
        <v>12772</v>
      </c>
    </row>
    <row r="1393" spans="1:16" ht="13.15" x14ac:dyDescent="0.4">
      <c r="A1393" s="2" t="s">
        <v>11321</v>
      </c>
      <c r="B1393" s="2" t="s">
        <v>5885</v>
      </c>
      <c r="C1393" s="6" t="s">
        <v>5879</v>
      </c>
      <c r="D1393" s="6" t="s">
        <v>42</v>
      </c>
      <c r="E1393" s="7">
        <v>44927</v>
      </c>
      <c r="F1393" s="8" t="s">
        <v>77</v>
      </c>
      <c r="G1393" s="2" t="s">
        <v>26</v>
      </c>
      <c r="H1393" s="8" t="s">
        <v>28</v>
      </c>
      <c r="I1393" s="2" t="s">
        <v>26</v>
      </c>
      <c r="J1393" s="7">
        <v>44927</v>
      </c>
      <c r="K1393" s="8" t="s">
        <v>77</v>
      </c>
      <c r="L1393" s="2" t="s">
        <v>26</v>
      </c>
      <c r="M1393" s="8" t="s">
        <v>28</v>
      </c>
      <c r="N1393" s="6" t="s">
        <v>2264</v>
      </c>
      <c r="O1393" s="6" t="s">
        <v>30</v>
      </c>
      <c r="P1393" s="2" t="s">
        <v>12773</v>
      </c>
    </row>
    <row r="1394" spans="1:16" ht="13.15" x14ac:dyDescent="0.4">
      <c r="A1394" s="2" t="s">
        <v>11200</v>
      </c>
      <c r="B1394" s="2" t="s">
        <v>5885</v>
      </c>
      <c r="C1394" s="6" t="s">
        <v>5879</v>
      </c>
      <c r="D1394" s="6" t="s">
        <v>42</v>
      </c>
      <c r="E1394" s="7">
        <v>44927</v>
      </c>
      <c r="F1394" s="8" t="s">
        <v>77</v>
      </c>
      <c r="G1394" s="2" t="s">
        <v>26</v>
      </c>
      <c r="H1394" s="8" t="s">
        <v>28</v>
      </c>
      <c r="I1394" s="2" t="s">
        <v>26</v>
      </c>
      <c r="J1394" s="7">
        <v>44927</v>
      </c>
      <c r="K1394" s="8" t="s">
        <v>77</v>
      </c>
      <c r="L1394" s="2" t="s">
        <v>26</v>
      </c>
      <c r="M1394" s="8" t="s">
        <v>28</v>
      </c>
      <c r="N1394" s="6" t="s">
        <v>2264</v>
      </c>
      <c r="O1394" s="6" t="s">
        <v>30</v>
      </c>
      <c r="P1394" s="2" t="s">
        <v>12774</v>
      </c>
    </row>
    <row r="1395" spans="1:16" ht="13.15" x14ac:dyDescent="0.4">
      <c r="A1395" s="2" t="s">
        <v>11500</v>
      </c>
      <c r="B1395" s="2" t="s">
        <v>5885</v>
      </c>
      <c r="C1395" s="6" t="s">
        <v>5879</v>
      </c>
      <c r="D1395" s="6" t="s">
        <v>42</v>
      </c>
      <c r="E1395" s="7">
        <v>44927</v>
      </c>
      <c r="F1395" s="8" t="s">
        <v>77</v>
      </c>
      <c r="G1395" s="2" t="s">
        <v>26</v>
      </c>
      <c r="H1395" s="8" t="s">
        <v>28</v>
      </c>
      <c r="I1395" s="2" t="s">
        <v>26</v>
      </c>
      <c r="J1395" s="7">
        <v>44927</v>
      </c>
      <c r="K1395" s="8" t="s">
        <v>77</v>
      </c>
      <c r="L1395" s="2" t="s">
        <v>26</v>
      </c>
      <c r="M1395" s="8" t="s">
        <v>28</v>
      </c>
      <c r="N1395" s="6" t="s">
        <v>2264</v>
      </c>
      <c r="O1395" s="6" t="s">
        <v>30</v>
      </c>
      <c r="P1395" s="2" t="s">
        <v>12775</v>
      </c>
    </row>
    <row r="1396" spans="1:16" ht="13.15" x14ac:dyDescent="0.4">
      <c r="A1396" s="2" t="s">
        <v>11477</v>
      </c>
      <c r="B1396" s="2" t="s">
        <v>5885</v>
      </c>
      <c r="C1396" s="6" t="s">
        <v>5879</v>
      </c>
      <c r="D1396" s="6" t="s">
        <v>42</v>
      </c>
      <c r="E1396" s="7">
        <v>44927</v>
      </c>
      <c r="F1396" s="8" t="s">
        <v>77</v>
      </c>
      <c r="G1396" s="2" t="s">
        <v>26</v>
      </c>
      <c r="H1396" s="8" t="s">
        <v>28</v>
      </c>
      <c r="I1396" s="2" t="s">
        <v>26</v>
      </c>
      <c r="J1396" s="7">
        <v>44927</v>
      </c>
      <c r="K1396" s="8" t="s">
        <v>77</v>
      </c>
      <c r="L1396" s="2" t="s">
        <v>26</v>
      </c>
      <c r="M1396" s="8" t="s">
        <v>28</v>
      </c>
      <c r="N1396" s="6" t="s">
        <v>2264</v>
      </c>
      <c r="O1396" s="6" t="s">
        <v>30</v>
      </c>
      <c r="P1396" s="2" t="s">
        <v>12776</v>
      </c>
    </row>
    <row r="1397" spans="1:16" ht="13.15" x14ac:dyDescent="0.4">
      <c r="A1397" s="2" t="s">
        <v>11518</v>
      </c>
      <c r="B1397" s="2" t="s">
        <v>5885</v>
      </c>
      <c r="C1397" s="6" t="s">
        <v>5879</v>
      </c>
      <c r="D1397" s="6" t="s">
        <v>42</v>
      </c>
      <c r="E1397" s="7">
        <v>44927</v>
      </c>
      <c r="F1397" s="8" t="s">
        <v>77</v>
      </c>
      <c r="G1397" s="2" t="s">
        <v>26</v>
      </c>
      <c r="H1397" s="8" t="s">
        <v>28</v>
      </c>
      <c r="I1397" s="2" t="s">
        <v>26</v>
      </c>
      <c r="J1397" s="7">
        <v>44927</v>
      </c>
      <c r="K1397" s="8" t="s">
        <v>77</v>
      </c>
      <c r="L1397" s="2" t="s">
        <v>26</v>
      </c>
      <c r="M1397" s="8" t="s">
        <v>28</v>
      </c>
      <c r="N1397" s="6" t="s">
        <v>2264</v>
      </c>
      <c r="O1397" s="6" t="s">
        <v>30</v>
      </c>
      <c r="P1397" s="2" t="s">
        <v>12777</v>
      </c>
    </row>
    <row r="1398" spans="1:16" ht="13.15" x14ac:dyDescent="0.4">
      <c r="A1398" s="2" t="s">
        <v>11430</v>
      </c>
      <c r="B1398" s="2" t="s">
        <v>5885</v>
      </c>
      <c r="C1398" s="6" t="s">
        <v>5879</v>
      </c>
      <c r="D1398" s="6" t="s">
        <v>42</v>
      </c>
      <c r="E1398" s="7">
        <v>44927</v>
      </c>
      <c r="F1398" s="8" t="s">
        <v>77</v>
      </c>
      <c r="G1398" s="2" t="s">
        <v>26</v>
      </c>
      <c r="H1398" s="8" t="s">
        <v>28</v>
      </c>
      <c r="I1398" s="2" t="s">
        <v>26</v>
      </c>
      <c r="J1398" s="7">
        <v>44927</v>
      </c>
      <c r="K1398" s="8" t="s">
        <v>77</v>
      </c>
      <c r="L1398" s="2" t="s">
        <v>26</v>
      </c>
      <c r="M1398" s="8" t="s">
        <v>28</v>
      </c>
      <c r="N1398" s="6" t="s">
        <v>2264</v>
      </c>
      <c r="O1398" s="6" t="s">
        <v>30</v>
      </c>
      <c r="P1398" s="2" t="s">
        <v>12778</v>
      </c>
    </row>
    <row r="1399" spans="1:16" ht="13.15" x14ac:dyDescent="0.4">
      <c r="A1399" s="2" t="s">
        <v>11554</v>
      </c>
      <c r="B1399" s="2" t="s">
        <v>5885</v>
      </c>
      <c r="C1399" s="6" t="s">
        <v>5879</v>
      </c>
      <c r="D1399" s="6" t="s">
        <v>42</v>
      </c>
      <c r="E1399" s="7">
        <v>44927</v>
      </c>
      <c r="F1399" s="8" t="s">
        <v>77</v>
      </c>
      <c r="G1399" s="2" t="s">
        <v>26</v>
      </c>
      <c r="H1399" s="8" t="s">
        <v>28</v>
      </c>
      <c r="I1399" s="2" t="s">
        <v>26</v>
      </c>
      <c r="J1399" s="7">
        <v>44927</v>
      </c>
      <c r="K1399" s="8" t="s">
        <v>77</v>
      </c>
      <c r="L1399" s="2" t="s">
        <v>26</v>
      </c>
      <c r="M1399" s="8" t="s">
        <v>28</v>
      </c>
      <c r="N1399" s="6" t="s">
        <v>2264</v>
      </c>
      <c r="O1399" s="6" t="s">
        <v>30</v>
      </c>
      <c r="P1399" s="2" t="s">
        <v>12779</v>
      </c>
    </row>
    <row r="1400" spans="1:16" ht="13.15" x14ac:dyDescent="0.4">
      <c r="A1400" s="2" t="s">
        <v>11453</v>
      </c>
      <c r="B1400" s="2" t="s">
        <v>5885</v>
      </c>
      <c r="C1400" s="6" t="s">
        <v>5879</v>
      </c>
      <c r="D1400" s="6" t="s">
        <v>42</v>
      </c>
      <c r="E1400" s="7">
        <v>44927</v>
      </c>
      <c r="F1400" s="8" t="s">
        <v>77</v>
      </c>
      <c r="G1400" s="2" t="s">
        <v>26</v>
      </c>
      <c r="H1400" s="8" t="s">
        <v>28</v>
      </c>
      <c r="I1400" s="2" t="s">
        <v>26</v>
      </c>
      <c r="J1400" s="7">
        <v>44927</v>
      </c>
      <c r="K1400" s="8" t="s">
        <v>77</v>
      </c>
      <c r="L1400" s="2" t="s">
        <v>26</v>
      </c>
      <c r="M1400" s="8" t="s">
        <v>28</v>
      </c>
      <c r="N1400" s="6" t="s">
        <v>2264</v>
      </c>
      <c r="O1400" s="6" t="s">
        <v>30</v>
      </c>
      <c r="P1400" s="2" t="s">
        <v>12780</v>
      </c>
    </row>
    <row r="1401" spans="1:16" ht="13.15" x14ac:dyDescent="0.4">
      <c r="A1401" s="2" t="s">
        <v>11428</v>
      </c>
      <c r="B1401" s="2" t="s">
        <v>5885</v>
      </c>
      <c r="C1401" s="6" t="s">
        <v>5879</v>
      </c>
      <c r="D1401" s="6" t="s">
        <v>42</v>
      </c>
      <c r="E1401" s="7">
        <v>44927</v>
      </c>
      <c r="F1401" s="8" t="s">
        <v>77</v>
      </c>
      <c r="G1401" s="2" t="s">
        <v>26</v>
      </c>
      <c r="H1401" s="8" t="s">
        <v>28</v>
      </c>
      <c r="I1401" s="2" t="s">
        <v>26</v>
      </c>
      <c r="J1401" s="7">
        <v>44927</v>
      </c>
      <c r="K1401" s="8" t="s">
        <v>77</v>
      </c>
      <c r="L1401" s="2" t="s">
        <v>26</v>
      </c>
      <c r="M1401" s="8" t="s">
        <v>28</v>
      </c>
      <c r="N1401" s="6" t="s">
        <v>2264</v>
      </c>
      <c r="O1401" s="6" t="s">
        <v>30</v>
      </c>
      <c r="P1401" s="2" t="s">
        <v>12781</v>
      </c>
    </row>
    <row r="1402" spans="1:16" ht="13.15" x14ac:dyDescent="0.4">
      <c r="A1402" s="2" t="s">
        <v>11468</v>
      </c>
      <c r="B1402" s="2" t="s">
        <v>5885</v>
      </c>
      <c r="C1402" s="6" t="s">
        <v>5879</v>
      </c>
      <c r="D1402" s="6" t="s">
        <v>42</v>
      </c>
      <c r="E1402" s="7">
        <v>44927</v>
      </c>
      <c r="F1402" s="8" t="s">
        <v>77</v>
      </c>
      <c r="G1402" s="2" t="s">
        <v>26</v>
      </c>
      <c r="H1402" s="8" t="s">
        <v>28</v>
      </c>
      <c r="I1402" s="2" t="s">
        <v>26</v>
      </c>
      <c r="J1402" s="7">
        <v>44927</v>
      </c>
      <c r="K1402" s="8" t="s">
        <v>77</v>
      </c>
      <c r="L1402" s="2" t="s">
        <v>26</v>
      </c>
      <c r="M1402" s="8" t="s">
        <v>28</v>
      </c>
      <c r="N1402" s="6" t="s">
        <v>2264</v>
      </c>
      <c r="O1402" s="6" t="s">
        <v>30</v>
      </c>
      <c r="P1402" s="2" t="s">
        <v>12782</v>
      </c>
    </row>
    <row r="1403" spans="1:16" ht="13.15" x14ac:dyDescent="0.4">
      <c r="A1403" s="2" t="s">
        <v>11448</v>
      </c>
      <c r="B1403" s="2" t="s">
        <v>5885</v>
      </c>
      <c r="C1403" s="6" t="s">
        <v>5879</v>
      </c>
      <c r="D1403" s="6" t="s">
        <v>42</v>
      </c>
      <c r="E1403" s="7">
        <v>44927</v>
      </c>
      <c r="F1403" s="8" t="s">
        <v>77</v>
      </c>
      <c r="G1403" s="2" t="s">
        <v>26</v>
      </c>
      <c r="H1403" s="8" t="s">
        <v>28</v>
      </c>
      <c r="I1403" s="2" t="s">
        <v>26</v>
      </c>
      <c r="J1403" s="7">
        <v>44927</v>
      </c>
      <c r="K1403" s="8" t="s">
        <v>77</v>
      </c>
      <c r="L1403" s="2" t="s">
        <v>26</v>
      </c>
      <c r="M1403" s="8" t="s">
        <v>28</v>
      </c>
      <c r="N1403" s="6" t="s">
        <v>2264</v>
      </c>
      <c r="O1403" s="6" t="s">
        <v>30</v>
      </c>
      <c r="P1403" s="2" t="s">
        <v>12783</v>
      </c>
    </row>
    <row r="1404" spans="1:16" ht="13.15" x14ac:dyDescent="0.4">
      <c r="A1404" s="2" t="s">
        <v>11442</v>
      </c>
      <c r="B1404" s="2" t="s">
        <v>5885</v>
      </c>
      <c r="C1404" s="6" t="s">
        <v>5879</v>
      </c>
      <c r="D1404" s="6" t="s">
        <v>42</v>
      </c>
      <c r="E1404" s="7">
        <v>44927</v>
      </c>
      <c r="F1404" s="8" t="s">
        <v>77</v>
      </c>
      <c r="G1404" s="2" t="s">
        <v>26</v>
      </c>
      <c r="H1404" s="8" t="s">
        <v>28</v>
      </c>
      <c r="I1404" s="2" t="s">
        <v>26</v>
      </c>
      <c r="J1404" s="7">
        <v>44927</v>
      </c>
      <c r="K1404" s="8" t="s">
        <v>77</v>
      </c>
      <c r="L1404" s="2" t="s">
        <v>26</v>
      </c>
      <c r="M1404" s="8" t="s">
        <v>28</v>
      </c>
      <c r="N1404" s="6" t="s">
        <v>2264</v>
      </c>
      <c r="O1404" s="6" t="s">
        <v>30</v>
      </c>
      <c r="P1404" s="2" t="s">
        <v>12784</v>
      </c>
    </row>
    <row r="1405" spans="1:16" ht="13.15" x14ac:dyDescent="0.4">
      <c r="A1405" s="2" t="s">
        <v>11424</v>
      </c>
      <c r="B1405" s="2" t="s">
        <v>5885</v>
      </c>
      <c r="C1405" s="6" t="s">
        <v>5879</v>
      </c>
      <c r="D1405" s="6" t="s">
        <v>42</v>
      </c>
      <c r="E1405" s="7">
        <v>44927</v>
      </c>
      <c r="F1405" s="8" t="s">
        <v>77</v>
      </c>
      <c r="G1405" s="2" t="s">
        <v>26</v>
      </c>
      <c r="H1405" s="8" t="s">
        <v>28</v>
      </c>
      <c r="I1405" s="2" t="s">
        <v>26</v>
      </c>
      <c r="J1405" s="7">
        <v>44927</v>
      </c>
      <c r="K1405" s="8" t="s">
        <v>77</v>
      </c>
      <c r="L1405" s="2" t="s">
        <v>26</v>
      </c>
      <c r="M1405" s="8" t="s">
        <v>28</v>
      </c>
      <c r="N1405" s="6" t="s">
        <v>2264</v>
      </c>
      <c r="O1405" s="6" t="s">
        <v>30</v>
      </c>
      <c r="P1405" s="2" t="s">
        <v>12785</v>
      </c>
    </row>
    <row r="1406" spans="1:16" ht="13.15" x14ac:dyDescent="0.4">
      <c r="A1406" s="2" t="s">
        <v>11545</v>
      </c>
      <c r="B1406" s="2" t="s">
        <v>5885</v>
      </c>
      <c r="C1406" s="6" t="s">
        <v>5879</v>
      </c>
      <c r="D1406" s="6" t="s">
        <v>42</v>
      </c>
      <c r="E1406" s="7">
        <v>44927</v>
      </c>
      <c r="F1406" s="8" t="s">
        <v>77</v>
      </c>
      <c r="G1406" s="2" t="s">
        <v>26</v>
      </c>
      <c r="H1406" s="8" t="s">
        <v>28</v>
      </c>
      <c r="I1406" s="2" t="s">
        <v>26</v>
      </c>
      <c r="J1406" s="7">
        <v>44927</v>
      </c>
      <c r="K1406" s="8" t="s">
        <v>77</v>
      </c>
      <c r="L1406" s="2" t="s">
        <v>26</v>
      </c>
      <c r="M1406" s="8" t="s">
        <v>28</v>
      </c>
      <c r="N1406" s="6" t="s">
        <v>2264</v>
      </c>
      <c r="O1406" s="6" t="s">
        <v>30</v>
      </c>
      <c r="P1406" s="2" t="s">
        <v>12786</v>
      </c>
    </row>
    <row r="1407" spans="1:16" ht="13.15" x14ac:dyDescent="0.4">
      <c r="A1407" s="2" t="s">
        <v>11434</v>
      </c>
      <c r="B1407" s="2" t="s">
        <v>5885</v>
      </c>
      <c r="C1407" s="6" t="s">
        <v>5879</v>
      </c>
      <c r="D1407" s="6" t="s">
        <v>42</v>
      </c>
      <c r="E1407" s="7">
        <v>44927</v>
      </c>
      <c r="F1407" s="8" t="s">
        <v>77</v>
      </c>
      <c r="G1407" s="2" t="s">
        <v>26</v>
      </c>
      <c r="H1407" s="8" t="s">
        <v>28</v>
      </c>
      <c r="I1407" s="2" t="s">
        <v>26</v>
      </c>
      <c r="J1407" s="7">
        <v>44927</v>
      </c>
      <c r="K1407" s="8" t="s">
        <v>77</v>
      </c>
      <c r="L1407" s="2" t="s">
        <v>26</v>
      </c>
      <c r="M1407" s="8" t="s">
        <v>28</v>
      </c>
      <c r="N1407" s="6" t="s">
        <v>2264</v>
      </c>
      <c r="O1407" s="6" t="s">
        <v>30</v>
      </c>
      <c r="P1407" s="2" t="s">
        <v>12787</v>
      </c>
    </row>
    <row r="1408" spans="1:16" ht="13.15" x14ac:dyDescent="0.4">
      <c r="A1408" s="2" t="s">
        <v>11312</v>
      </c>
      <c r="B1408" s="2" t="s">
        <v>5885</v>
      </c>
      <c r="C1408" s="6" t="s">
        <v>5879</v>
      </c>
      <c r="D1408" s="6" t="s">
        <v>42</v>
      </c>
      <c r="E1408" s="7">
        <v>44927</v>
      </c>
      <c r="F1408" s="8" t="s">
        <v>77</v>
      </c>
      <c r="G1408" s="2" t="s">
        <v>26</v>
      </c>
      <c r="H1408" s="8" t="s">
        <v>28</v>
      </c>
      <c r="I1408" s="2" t="s">
        <v>26</v>
      </c>
      <c r="J1408" s="7">
        <v>44927</v>
      </c>
      <c r="K1408" s="8" t="s">
        <v>77</v>
      </c>
      <c r="L1408" s="2" t="s">
        <v>26</v>
      </c>
      <c r="M1408" s="8" t="s">
        <v>28</v>
      </c>
      <c r="N1408" s="6" t="s">
        <v>2264</v>
      </c>
      <c r="O1408" s="6" t="s">
        <v>30</v>
      </c>
      <c r="P1408" s="2" t="s">
        <v>12788</v>
      </c>
    </row>
    <row r="1409" spans="1:16" ht="13.15" x14ac:dyDescent="0.4">
      <c r="A1409" s="2" t="s">
        <v>11469</v>
      </c>
      <c r="B1409" s="2" t="s">
        <v>5885</v>
      </c>
      <c r="C1409" s="6" t="s">
        <v>5879</v>
      </c>
      <c r="D1409" s="6" t="s">
        <v>42</v>
      </c>
      <c r="E1409" s="7">
        <v>44927</v>
      </c>
      <c r="F1409" s="8" t="s">
        <v>77</v>
      </c>
      <c r="G1409" s="2" t="s">
        <v>26</v>
      </c>
      <c r="H1409" s="8" t="s">
        <v>28</v>
      </c>
      <c r="I1409" s="2" t="s">
        <v>26</v>
      </c>
      <c r="J1409" s="7">
        <v>44927</v>
      </c>
      <c r="K1409" s="8" t="s">
        <v>77</v>
      </c>
      <c r="L1409" s="2" t="s">
        <v>26</v>
      </c>
      <c r="M1409" s="8" t="s">
        <v>28</v>
      </c>
      <c r="N1409" s="6" t="s">
        <v>2264</v>
      </c>
      <c r="O1409" s="6" t="s">
        <v>30</v>
      </c>
      <c r="P1409" s="2" t="s">
        <v>12789</v>
      </c>
    </row>
    <row r="1410" spans="1:16" ht="13.15" x14ac:dyDescent="0.4">
      <c r="A1410" s="2" t="s">
        <v>11309</v>
      </c>
      <c r="B1410" s="2" t="s">
        <v>5885</v>
      </c>
      <c r="C1410" s="6" t="s">
        <v>5879</v>
      </c>
      <c r="D1410" s="6" t="s">
        <v>42</v>
      </c>
      <c r="E1410" s="7">
        <v>44927</v>
      </c>
      <c r="F1410" s="8" t="s">
        <v>77</v>
      </c>
      <c r="G1410" s="2" t="s">
        <v>26</v>
      </c>
      <c r="H1410" s="8" t="s">
        <v>28</v>
      </c>
      <c r="I1410" s="2" t="s">
        <v>26</v>
      </c>
      <c r="J1410" s="7">
        <v>44927</v>
      </c>
      <c r="K1410" s="8" t="s">
        <v>77</v>
      </c>
      <c r="L1410" s="2" t="s">
        <v>26</v>
      </c>
      <c r="M1410" s="8" t="s">
        <v>28</v>
      </c>
      <c r="N1410" s="6" t="s">
        <v>2264</v>
      </c>
      <c r="O1410" s="6" t="s">
        <v>30</v>
      </c>
      <c r="P1410" s="2" t="s">
        <v>12790</v>
      </c>
    </row>
    <row r="1411" spans="1:16" ht="13.15" x14ac:dyDescent="0.4">
      <c r="A1411" s="2" t="s">
        <v>11541</v>
      </c>
      <c r="B1411" s="2" t="s">
        <v>5885</v>
      </c>
      <c r="C1411" s="6" t="s">
        <v>5879</v>
      </c>
      <c r="D1411" s="6" t="s">
        <v>42</v>
      </c>
      <c r="E1411" s="7">
        <v>44927</v>
      </c>
      <c r="F1411" s="8" t="s">
        <v>77</v>
      </c>
      <c r="G1411" s="2" t="s">
        <v>26</v>
      </c>
      <c r="H1411" s="8" t="s">
        <v>28</v>
      </c>
      <c r="I1411" s="2" t="s">
        <v>26</v>
      </c>
      <c r="J1411" s="7">
        <v>44927</v>
      </c>
      <c r="K1411" s="8" t="s">
        <v>77</v>
      </c>
      <c r="L1411" s="2" t="s">
        <v>26</v>
      </c>
      <c r="M1411" s="8" t="s">
        <v>28</v>
      </c>
      <c r="N1411" s="6" t="s">
        <v>2264</v>
      </c>
      <c r="O1411" s="6" t="s">
        <v>30</v>
      </c>
      <c r="P1411" s="2" t="s">
        <v>12791</v>
      </c>
    </row>
    <row r="1412" spans="1:16" ht="13.15" x14ac:dyDescent="0.4">
      <c r="A1412" s="2" t="s">
        <v>11447</v>
      </c>
      <c r="B1412" s="2" t="s">
        <v>5885</v>
      </c>
      <c r="C1412" s="6" t="s">
        <v>5879</v>
      </c>
      <c r="D1412" s="6" t="s">
        <v>42</v>
      </c>
      <c r="E1412" s="7">
        <v>44927</v>
      </c>
      <c r="F1412" s="8" t="s">
        <v>77</v>
      </c>
      <c r="G1412" s="2" t="s">
        <v>26</v>
      </c>
      <c r="H1412" s="8" t="s">
        <v>28</v>
      </c>
      <c r="I1412" s="2" t="s">
        <v>26</v>
      </c>
      <c r="J1412" s="7">
        <v>44927</v>
      </c>
      <c r="K1412" s="8" t="s">
        <v>77</v>
      </c>
      <c r="L1412" s="2" t="s">
        <v>26</v>
      </c>
      <c r="M1412" s="8" t="s">
        <v>28</v>
      </c>
      <c r="N1412" s="6" t="s">
        <v>2264</v>
      </c>
      <c r="O1412" s="6" t="s">
        <v>30</v>
      </c>
      <c r="P1412" s="2" t="s">
        <v>12792</v>
      </c>
    </row>
    <row r="1413" spans="1:16" ht="13.15" x14ac:dyDescent="0.4">
      <c r="A1413" s="2" t="s">
        <v>11143</v>
      </c>
      <c r="B1413" s="2" t="s">
        <v>5885</v>
      </c>
      <c r="C1413" s="6" t="s">
        <v>5879</v>
      </c>
      <c r="D1413" s="6" t="s">
        <v>42</v>
      </c>
      <c r="E1413" s="7">
        <v>44927</v>
      </c>
      <c r="F1413" s="8" t="s">
        <v>77</v>
      </c>
      <c r="G1413" s="2" t="s">
        <v>26</v>
      </c>
      <c r="H1413" s="8" t="s">
        <v>28</v>
      </c>
      <c r="I1413" s="2" t="s">
        <v>26</v>
      </c>
      <c r="J1413" s="7">
        <v>44927</v>
      </c>
      <c r="K1413" s="8" t="s">
        <v>77</v>
      </c>
      <c r="L1413" s="2" t="s">
        <v>26</v>
      </c>
      <c r="M1413" s="8" t="s">
        <v>28</v>
      </c>
      <c r="N1413" s="6" t="s">
        <v>2264</v>
      </c>
      <c r="O1413" s="6" t="s">
        <v>30</v>
      </c>
      <c r="P1413" s="2" t="s">
        <v>12793</v>
      </c>
    </row>
    <row r="1414" spans="1:16" ht="13.15" x14ac:dyDescent="0.4">
      <c r="A1414" s="2" t="s">
        <v>11320</v>
      </c>
      <c r="B1414" s="2" t="s">
        <v>5885</v>
      </c>
      <c r="C1414" s="6" t="s">
        <v>5879</v>
      </c>
      <c r="D1414" s="6" t="s">
        <v>42</v>
      </c>
      <c r="E1414" s="7">
        <v>44927</v>
      </c>
      <c r="F1414" s="8" t="s">
        <v>77</v>
      </c>
      <c r="G1414" s="2" t="s">
        <v>26</v>
      </c>
      <c r="H1414" s="8" t="s">
        <v>28</v>
      </c>
      <c r="I1414" s="2" t="s">
        <v>26</v>
      </c>
      <c r="J1414" s="7">
        <v>44927</v>
      </c>
      <c r="K1414" s="8" t="s">
        <v>77</v>
      </c>
      <c r="L1414" s="2" t="s">
        <v>26</v>
      </c>
      <c r="M1414" s="8" t="s">
        <v>28</v>
      </c>
      <c r="N1414" s="6" t="s">
        <v>2264</v>
      </c>
      <c r="O1414" s="6" t="s">
        <v>30</v>
      </c>
      <c r="P1414" s="2" t="s">
        <v>12794</v>
      </c>
    </row>
    <row r="1415" spans="1:16" ht="13.15" x14ac:dyDescent="0.4">
      <c r="A1415" s="2" t="s">
        <v>11571</v>
      </c>
      <c r="B1415" s="2" t="s">
        <v>5885</v>
      </c>
      <c r="C1415" s="6" t="s">
        <v>5879</v>
      </c>
      <c r="D1415" s="6" t="s">
        <v>42</v>
      </c>
      <c r="E1415" s="7">
        <v>44927</v>
      </c>
      <c r="F1415" s="8" t="s">
        <v>77</v>
      </c>
      <c r="G1415" s="2" t="s">
        <v>26</v>
      </c>
      <c r="H1415" s="8" t="s">
        <v>28</v>
      </c>
      <c r="I1415" s="2" t="s">
        <v>26</v>
      </c>
      <c r="J1415" s="7">
        <v>44927</v>
      </c>
      <c r="K1415" s="8" t="s">
        <v>77</v>
      </c>
      <c r="L1415" s="2" t="s">
        <v>26</v>
      </c>
      <c r="M1415" s="8" t="s">
        <v>28</v>
      </c>
      <c r="N1415" s="6" t="s">
        <v>2264</v>
      </c>
      <c r="O1415" s="6" t="s">
        <v>30</v>
      </c>
      <c r="P1415" s="2" t="s">
        <v>12795</v>
      </c>
    </row>
    <row r="1416" spans="1:16" ht="13.15" x14ac:dyDescent="0.4">
      <c r="A1416" s="2" t="s">
        <v>11582</v>
      </c>
      <c r="B1416" s="2" t="s">
        <v>5885</v>
      </c>
      <c r="C1416" s="6" t="s">
        <v>5879</v>
      </c>
      <c r="D1416" s="6" t="s">
        <v>42</v>
      </c>
      <c r="E1416" s="7">
        <v>44927</v>
      </c>
      <c r="F1416" s="8" t="s">
        <v>77</v>
      </c>
      <c r="G1416" s="2" t="s">
        <v>26</v>
      </c>
      <c r="H1416" s="8" t="s">
        <v>28</v>
      </c>
      <c r="I1416" s="2" t="s">
        <v>26</v>
      </c>
      <c r="J1416" s="7">
        <v>44927</v>
      </c>
      <c r="K1416" s="8" t="s">
        <v>77</v>
      </c>
      <c r="L1416" s="2" t="s">
        <v>26</v>
      </c>
      <c r="M1416" s="8" t="s">
        <v>28</v>
      </c>
      <c r="N1416" s="6" t="s">
        <v>2264</v>
      </c>
      <c r="O1416" s="6" t="s">
        <v>30</v>
      </c>
      <c r="P1416" s="2" t="s">
        <v>12796</v>
      </c>
    </row>
    <row r="1417" spans="1:16" ht="13.15" x14ac:dyDescent="0.4">
      <c r="A1417" s="2" t="s">
        <v>11483</v>
      </c>
      <c r="B1417" s="2" t="s">
        <v>5885</v>
      </c>
      <c r="C1417" s="6" t="s">
        <v>5879</v>
      </c>
      <c r="D1417" s="6" t="s">
        <v>42</v>
      </c>
      <c r="E1417" s="7">
        <v>44927</v>
      </c>
      <c r="F1417" s="8" t="s">
        <v>77</v>
      </c>
      <c r="G1417" s="2" t="s">
        <v>26</v>
      </c>
      <c r="H1417" s="8" t="s">
        <v>28</v>
      </c>
      <c r="I1417" s="2" t="s">
        <v>26</v>
      </c>
      <c r="J1417" s="7">
        <v>44927</v>
      </c>
      <c r="K1417" s="8" t="s">
        <v>77</v>
      </c>
      <c r="L1417" s="2" t="s">
        <v>26</v>
      </c>
      <c r="M1417" s="8" t="s">
        <v>28</v>
      </c>
      <c r="N1417" s="6" t="s">
        <v>2264</v>
      </c>
      <c r="O1417" s="6" t="s">
        <v>30</v>
      </c>
      <c r="P1417" s="2" t="s">
        <v>12797</v>
      </c>
    </row>
    <row r="1418" spans="1:16" ht="13.15" x14ac:dyDescent="0.4">
      <c r="A1418" s="2" t="s">
        <v>11528</v>
      </c>
      <c r="B1418" s="2" t="s">
        <v>5885</v>
      </c>
      <c r="C1418" s="6" t="s">
        <v>5879</v>
      </c>
      <c r="D1418" s="6" t="s">
        <v>42</v>
      </c>
      <c r="E1418" s="7">
        <v>44927</v>
      </c>
      <c r="F1418" s="8" t="s">
        <v>77</v>
      </c>
      <c r="G1418" s="2" t="s">
        <v>26</v>
      </c>
      <c r="H1418" s="8" t="s">
        <v>28</v>
      </c>
      <c r="I1418" s="2" t="s">
        <v>26</v>
      </c>
      <c r="J1418" s="7">
        <v>44927</v>
      </c>
      <c r="K1418" s="8" t="s">
        <v>77</v>
      </c>
      <c r="L1418" s="2" t="s">
        <v>26</v>
      </c>
      <c r="M1418" s="8" t="s">
        <v>28</v>
      </c>
      <c r="N1418" s="6" t="s">
        <v>2264</v>
      </c>
      <c r="O1418" s="6" t="s">
        <v>30</v>
      </c>
      <c r="P1418" s="2" t="s">
        <v>12798</v>
      </c>
    </row>
    <row r="1419" spans="1:16" ht="13.15" x14ac:dyDescent="0.4">
      <c r="A1419" s="2" t="s">
        <v>11584</v>
      </c>
      <c r="B1419" s="2" t="s">
        <v>5885</v>
      </c>
      <c r="C1419" s="6" t="s">
        <v>5879</v>
      </c>
      <c r="D1419" s="6" t="s">
        <v>42</v>
      </c>
      <c r="E1419" s="7">
        <v>44927</v>
      </c>
      <c r="F1419" s="8" t="s">
        <v>77</v>
      </c>
      <c r="G1419" s="2" t="s">
        <v>26</v>
      </c>
      <c r="H1419" s="8" t="s">
        <v>28</v>
      </c>
      <c r="I1419" s="2" t="s">
        <v>26</v>
      </c>
      <c r="J1419" s="7">
        <v>44927</v>
      </c>
      <c r="K1419" s="8" t="s">
        <v>77</v>
      </c>
      <c r="L1419" s="2" t="s">
        <v>26</v>
      </c>
      <c r="M1419" s="8" t="s">
        <v>28</v>
      </c>
      <c r="N1419" s="6" t="s">
        <v>2264</v>
      </c>
      <c r="O1419" s="6" t="s">
        <v>30</v>
      </c>
      <c r="P1419" s="2" t="s">
        <v>12799</v>
      </c>
    </row>
    <row r="1420" spans="1:16" ht="13.15" x14ac:dyDescent="0.4">
      <c r="A1420" s="2" t="s">
        <v>11593</v>
      </c>
      <c r="B1420" s="2" t="s">
        <v>5885</v>
      </c>
      <c r="C1420" s="6" t="s">
        <v>5879</v>
      </c>
      <c r="D1420" s="6" t="s">
        <v>42</v>
      </c>
      <c r="E1420" s="7">
        <v>44927</v>
      </c>
      <c r="F1420" s="8" t="s">
        <v>77</v>
      </c>
      <c r="G1420" s="2" t="s">
        <v>26</v>
      </c>
      <c r="H1420" s="8" t="s">
        <v>28</v>
      </c>
      <c r="I1420" s="2" t="s">
        <v>26</v>
      </c>
      <c r="J1420" s="7">
        <v>44927</v>
      </c>
      <c r="K1420" s="8" t="s">
        <v>77</v>
      </c>
      <c r="L1420" s="2" t="s">
        <v>26</v>
      </c>
      <c r="M1420" s="8" t="s">
        <v>28</v>
      </c>
      <c r="N1420" s="6" t="s">
        <v>2264</v>
      </c>
      <c r="O1420" s="6" t="s">
        <v>30</v>
      </c>
      <c r="P1420" s="2" t="s">
        <v>12800</v>
      </c>
    </row>
    <row r="1421" spans="1:16" ht="13.15" x14ac:dyDescent="0.4">
      <c r="A1421" s="2" t="s">
        <v>9162</v>
      </c>
      <c r="B1421" s="2" t="s">
        <v>5885</v>
      </c>
      <c r="C1421" s="6" t="s">
        <v>5879</v>
      </c>
      <c r="D1421" s="6" t="s">
        <v>42</v>
      </c>
      <c r="E1421" s="7">
        <v>44927</v>
      </c>
      <c r="F1421" s="8" t="s">
        <v>77</v>
      </c>
      <c r="G1421" s="2" t="s">
        <v>26</v>
      </c>
      <c r="H1421" s="8" t="s">
        <v>28</v>
      </c>
      <c r="I1421" s="2" t="s">
        <v>26</v>
      </c>
      <c r="J1421" s="7">
        <v>44927</v>
      </c>
      <c r="K1421" s="8" t="s">
        <v>77</v>
      </c>
      <c r="L1421" s="2" t="s">
        <v>26</v>
      </c>
      <c r="M1421" s="8" t="s">
        <v>28</v>
      </c>
      <c r="N1421" s="6" t="s">
        <v>2264</v>
      </c>
      <c r="O1421" s="6" t="s">
        <v>30</v>
      </c>
      <c r="P1421" s="2" t="s">
        <v>12801</v>
      </c>
    </row>
    <row r="1422" spans="1:16" ht="13.15" x14ac:dyDescent="0.4">
      <c r="A1422" s="2" t="s">
        <v>11206</v>
      </c>
      <c r="B1422" s="2" t="s">
        <v>5885</v>
      </c>
      <c r="C1422" s="6" t="s">
        <v>5879</v>
      </c>
      <c r="D1422" s="6" t="s">
        <v>42</v>
      </c>
      <c r="E1422" s="7">
        <v>44927</v>
      </c>
      <c r="F1422" s="8" t="s">
        <v>77</v>
      </c>
      <c r="G1422" s="2" t="s">
        <v>26</v>
      </c>
      <c r="H1422" s="8" t="s">
        <v>28</v>
      </c>
      <c r="I1422" s="2" t="s">
        <v>26</v>
      </c>
      <c r="J1422" s="7">
        <v>44927</v>
      </c>
      <c r="K1422" s="8" t="s">
        <v>77</v>
      </c>
      <c r="L1422" s="2" t="s">
        <v>26</v>
      </c>
      <c r="M1422" s="8" t="s">
        <v>28</v>
      </c>
      <c r="N1422" s="6" t="s">
        <v>2264</v>
      </c>
      <c r="O1422" s="6" t="s">
        <v>30</v>
      </c>
      <c r="P1422" s="2" t="s">
        <v>12802</v>
      </c>
    </row>
    <row r="1423" spans="1:16" ht="13.15" x14ac:dyDescent="0.4">
      <c r="A1423" s="2" t="s">
        <v>11435</v>
      </c>
      <c r="B1423" s="2" t="s">
        <v>5885</v>
      </c>
      <c r="C1423" s="6" t="s">
        <v>5879</v>
      </c>
      <c r="D1423" s="6" t="s">
        <v>42</v>
      </c>
      <c r="E1423" s="7">
        <v>44927</v>
      </c>
      <c r="F1423" s="8" t="s">
        <v>77</v>
      </c>
      <c r="G1423" s="2" t="s">
        <v>26</v>
      </c>
      <c r="H1423" s="8" t="s">
        <v>28</v>
      </c>
      <c r="I1423" s="2" t="s">
        <v>26</v>
      </c>
      <c r="J1423" s="7">
        <v>44927</v>
      </c>
      <c r="K1423" s="8" t="s">
        <v>77</v>
      </c>
      <c r="L1423" s="2" t="s">
        <v>26</v>
      </c>
      <c r="M1423" s="8" t="s">
        <v>28</v>
      </c>
      <c r="N1423" s="6" t="s">
        <v>2264</v>
      </c>
      <c r="O1423" s="6" t="s">
        <v>30</v>
      </c>
      <c r="P1423" s="2" t="s">
        <v>12803</v>
      </c>
    </row>
    <row r="1424" spans="1:16" ht="13.15" x14ac:dyDescent="0.4">
      <c r="A1424" s="2" t="s">
        <v>11458</v>
      </c>
      <c r="B1424" s="2" t="s">
        <v>5885</v>
      </c>
      <c r="C1424" s="6" t="s">
        <v>5879</v>
      </c>
      <c r="D1424" s="6" t="s">
        <v>42</v>
      </c>
      <c r="E1424" s="7">
        <v>44927</v>
      </c>
      <c r="F1424" s="8" t="s">
        <v>77</v>
      </c>
      <c r="G1424" s="2" t="s">
        <v>26</v>
      </c>
      <c r="H1424" s="8" t="s">
        <v>28</v>
      </c>
      <c r="I1424" s="2" t="s">
        <v>26</v>
      </c>
      <c r="J1424" s="7">
        <v>44927</v>
      </c>
      <c r="K1424" s="8" t="s">
        <v>77</v>
      </c>
      <c r="L1424" s="2" t="s">
        <v>26</v>
      </c>
      <c r="M1424" s="8" t="s">
        <v>28</v>
      </c>
      <c r="N1424" s="6" t="s">
        <v>2264</v>
      </c>
      <c r="O1424" s="6" t="s">
        <v>30</v>
      </c>
      <c r="P1424" s="2" t="s">
        <v>12804</v>
      </c>
    </row>
    <row r="1425" spans="1:16" ht="13.15" x14ac:dyDescent="0.4">
      <c r="A1425" s="2" t="s">
        <v>11331</v>
      </c>
      <c r="B1425" s="2" t="s">
        <v>5885</v>
      </c>
      <c r="C1425" s="6" t="s">
        <v>5879</v>
      </c>
      <c r="D1425" s="6" t="s">
        <v>42</v>
      </c>
      <c r="E1425" s="7">
        <v>44927</v>
      </c>
      <c r="F1425" s="8" t="s">
        <v>77</v>
      </c>
      <c r="G1425" s="2" t="s">
        <v>26</v>
      </c>
      <c r="H1425" s="8" t="s">
        <v>28</v>
      </c>
      <c r="I1425" s="2" t="s">
        <v>26</v>
      </c>
      <c r="J1425" s="7">
        <v>44927</v>
      </c>
      <c r="K1425" s="8" t="s">
        <v>77</v>
      </c>
      <c r="L1425" s="2" t="s">
        <v>26</v>
      </c>
      <c r="M1425" s="8" t="s">
        <v>28</v>
      </c>
      <c r="N1425" s="6" t="s">
        <v>2264</v>
      </c>
      <c r="O1425" s="6" t="s">
        <v>30</v>
      </c>
      <c r="P1425" s="2" t="s">
        <v>12805</v>
      </c>
    </row>
    <row r="1426" spans="1:16" ht="13.15" x14ac:dyDescent="0.4">
      <c r="A1426" s="2" t="s">
        <v>11534</v>
      </c>
      <c r="B1426" s="2" t="s">
        <v>5885</v>
      </c>
      <c r="C1426" s="6" t="s">
        <v>5879</v>
      </c>
      <c r="D1426" s="6" t="s">
        <v>42</v>
      </c>
      <c r="E1426" s="7">
        <v>44927</v>
      </c>
      <c r="F1426" s="8" t="s">
        <v>77</v>
      </c>
      <c r="G1426" s="2" t="s">
        <v>26</v>
      </c>
      <c r="H1426" s="8" t="s">
        <v>28</v>
      </c>
      <c r="I1426" s="2" t="s">
        <v>26</v>
      </c>
      <c r="J1426" s="7">
        <v>44927</v>
      </c>
      <c r="K1426" s="8" t="s">
        <v>77</v>
      </c>
      <c r="L1426" s="2" t="s">
        <v>26</v>
      </c>
      <c r="M1426" s="8" t="s">
        <v>28</v>
      </c>
      <c r="N1426" s="6" t="s">
        <v>2264</v>
      </c>
      <c r="O1426" s="6" t="s">
        <v>30</v>
      </c>
      <c r="P1426" s="2" t="s">
        <v>12806</v>
      </c>
    </row>
    <row r="1427" spans="1:16" ht="13.15" x14ac:dyDescent="0.4">
      <c r="A1427" s="2" t="s">
        <v>11502</v>
      </c>
      <c r="B1427" s="2" t="s">
        <v>5885</v>
      </c>
      <c r="C1427" s="6" t="s">
        <v>5879</v>
      </c>
      <c r="D1427" s="6" t="s">
        <v>42</v>
      </c>
      <c r="E1427" s="7">
        <v>44927</v>
      </c>
      <c r="F1427" s="8" t="s">
        <v>77</v>
      </c>
      <c r="G1427" s="2" t="s">
        <v>26</v>
      </c>
      <c r="H1427" s="8" t="s">
        <v>28</v>
      </c>
      <c r="I1427" s="2" t="s">
        <v>26</v>
      </c>
      <c r="J1427" s="7">
        <v>44927</v>
      </c>
      <c r="K1427" s="8" t="s">
        <v>77</v>
      </c>
      <c r="L1427" s="2" t="s">
        <v>26</v>
      </c>
      <c r="M1427" s="8" t="s">
        <v>28</v>
      </c>
      <c r="N1427" s="6" t="s">
        <v>2264</v>
      </c>
      <c r="O1427" s="6" t="s">
        <v>30</v>
      </c>
      <c r="P1427" s="2" t="s">
        <v>12807</v>
      </c>
    </row>
    <row r="1428" spans="1:16" ht="13.15" x14ac:dyDescent="0.4">
      <c r="A1428" s="2" t="s">
        <v>11583</v>
      </c>
      <c r="B1428" s="2" t="s">
        <v>5885</v>
      </c>
      <c r="C1428" s="6" t="s">
        <v>5879</v>
      </c>
      <c r="D1428" s="6" t="s">
        <v>42</v>
      </c>
      <c r="E1428" s="7">
        <v>44927</v>
      </c>
      <c r="F1428" s="8" t="s">
        <v>77</v>
      </c>
      <c r="G1428" s="2" t="s">
        <v>26</v>
      </c>
      <c r="H1428" s="8" t="s">
        <v>28</v>
      </c>
      <c r="I1428" s="2" t="s">
        <v>26</v>
      </c>
      <c r="J1428" s="7">
        <v>44927</v>
      </c>
      <c r="K1428" s="8" t="s">
        <v>77</v>
      </c>
      <c r="L1428" s="2" t="s">
        <v>26</v>
      </c>
      <c r="M1428" s="8" t="s">
        <v>28</v>
      </c>
      <c r="N1428" s="6" t="s">
        <v>2264</v>
      </c>
      <c r="O1428" s="6" t="s">
        <v>30</v>
      </c>
      <c r="P1428" s="2" t="s">
        <v>12808</v>
      </c>
    </row>
    <row r="1429" spans="1:16" ht="13.15" x14ac:dyDescent="0.4">
      <c r="A1429" s="2" t="s">
        <v>11531</v>
      </c>
      <c r="B1429" s="2" t="s">
        <v>5885</v>
      </c>
      <c r="C1429" s="6" t="s">
        <v>5879</v>
      </c>
      <c r="D1429" s="6" t="s">
        <v>42</v>
      </c>
      <c r="E1429" s="7">
        <v>44927</v>
      </c>
      <c r="F1429" s="8" t="s">
        <v>77</v>
      </c>
      <c r="G1429" s="2" t="s">
        <v>26</v>
      </c>
      <c r="H1429" s="8" t="s">
        <v>28</v>
      </c>
      <c r="I1429" s="2" t="s">
        <v>26</v>
      </c>
      <c r="J1429" s="7">
        <v>44927</v>
      </c>
      <c r="K1429" s="8" t="s">
        <v>77</v>
      </c>
      <c r="L1429" s="2" t="s">
        <v>26</v>
      </c>
      <c r="M1429" s="8" t="s">
        <v>28</v>
      </c>
      <c r="N1429" s="6" t="s">
        <v>2264</v>
      </c>
      <c r="O1429" s="6" t="s">
        <v>30</v>
      </c>
      <c r="P1429" s="2" t="s">
        <v>12809</v>
      </c>
    </row>
    <row r="1430" spans="1:16" ht="13.15" x14ac:dyDescent="0.4">
      <c r="A1430" s="2" t="s">
        <v>11375</v>
      </c>
      <c r="B1430" s="2" t="s">
        <v>5885</v>
      </c>
      <c r="C1430" s="6" t="s">
        <v>5879</v>
      </c>
      <c r="D1430" s="6" t="s">
        <v>42</v>
      </c>
      <c r="E1430" s="7">
        <v>44927</v>
      </c>
      <c r="F1430" s="8" t="s">
        <v>77</v>
      </c>
      <c r="G1430" s="2" t="s">
        <v>26</v>
      </c>
      <c r="H1430" s="8" t="s">
        <v>28</v>
      </c>
      <c r="I1430" s="2" t="s">
        <v>26</v>
      </c>
      <c r="J1430" s="7">
        <v>44927</v>
      </c>
      <c r="K1430" s="8" t="s">
        <v>77</v>
      </c>
      <c r="L1430" s="2" t="s">
        <v>26</v>
      </c>
      <c r="M1430" s="8" t="s">
        <v>28</v>
      </c>
      <c r="N1430" s="6" t="s">
        <v>2264</v>
      </c>
      <c r="O1430" s="6" t="s">
        <v>30</v>
      </c>
      <c r="P1430" s="2" t="s">
        <v>12810</v>
      </c>
    </row>
    <row r="1431" spans="1:16" ht="13.15" x14ac:dyDescent="0.4">
      <c r="A1431" s="2" t="s">
        <v>11564</v>
      </c>
      <c r="B1431" s="2" t="s">
        <v>5885</v>
      </c>
      <c r="C1431" s="6" t="s">
        <v>5879</v>
      </c>
      <c r="D1431" s="6" t="s">
        <v>42</v>
      </c>
      <c r="E1431" s="7">
        <v>44927</v>
      </c>
      <c r="F1431" s="8" t="s">
        <v>77</v>
      </c>
      <c r="G1431" s="2" t="s">
        <v>26</v>
      </c>
      <c r="H1431" s="8" t="s">
        <v>28</v>
      </c>
      <c r="I1431" s="2" t="s">
        <v>26</v>
      </c>
      <c r="J1431" s="7">
        <v>44927</v>
      </c>
      <c r="K1431" s="8" t="s">
        <v>77</v>
      </c>
      <c r="L1431" s="2" t="s">
        <v>26</v>
      </c>
      <c r="M1431" s="8" t="s">
        <v>28</v>
      </c>
      <c r="N1431" s="6" t="s">
        <v>2264</v>
      </c>
      <c r="O1431" s="6" t="s">
        <v>30</v>
      </c>
      <c r="P1431" s="2" t="s">
        <v>12811</v>
      </c>
    </row>
    <row r="1432" spans="1:16" ht="13.15" x14ac:dyDescent="0.4">
      <c r="A1432" s="2" t="s">
        <v>11563</v>
      </c>
      <c r="B1432" s="2" t="s">
        <v>5885</v>
      </c>
      <c r="C1432" s="6" t="s">
        <v>5879</v>
      </c>
      <c r="D1432" s="6" t="s">
        <v>42</v>
      </c>
      <c r="E1432" s="7">
        <v>44927</v>
      </c>
      <c r="F1432" s="8" t="s">
        <v>77</v>
      </c>
      <c r="G1432" s="2" t="s">
        <v>26</v>
      </c>
      <c r="H1432" s="8" t="s">
        <v>28</v>
      </c>
      <c r="I1432" s="2" t="s">
        <v>26</v>
      </c>
      <c r="J1432" s="7">
        <v>44927</v>
      </c>
      <c r="K1432" s="8" t="s">
        <v>77</v>
      </c>
      <c r="L1432" s="2" t="s">
        <v>26</v>
      </c>
      <c r="M1432" s="8" t="s">
        <v>28</v>
      </c>
      <c r="N1432" s="6" t="s">
        <v>2264</v>
      </c>
      <c r="O1432" s="6" t="s">
        <v>30</v>
      </c>
      <c r="P1432" s="2" t="s">
        <v>12812</v>
      </c>
    </row>
    <row r="1433" spans="1:16" ht="13.15" x14ac:dyDescent="0.4">
      <c r="A1433" s="2" t="s">
        <v>11210</v>
      </c>
      <c r="B1433" s="2" t="s">
        <v>5885</v>
      </c>
      <c r="C1433" s="6" t="s">
        <v>5879</v>
      </c>
      <c r="D1433" s="6" t="s">
        <v>42</v>
      </c>
      <c r="E1433" s="7">
        <v>44927</v>
      </c>
      <c r="F1433" s="8" t="s">
        <v>77</v>
      </c>
      <c r="G1433" s="2" t="s">
        <v>26</v>
      </c>
      <c r="H1433" s="8" t="s">
        <v>28</v>
      </c>
      <c r="I1433" s="2" t="s">
        <v>26</v>
      </c>
      <c r="J1433" s="7">
        <v>44927</v>
      </c>
      <c r="K1433" s="8" t="s">
        <v>77</v>
      </c>
      <c r="L1433" s="2" t="s">
        <v>26</v>
      </c>
      <c r="M1433" s="8" t="s">
        <v>28</v>
      </c>
      <c r="N1433" s="6" t="s">
        <v>2264</v>
      </c>
      <c r="O1433" s="6" t="s">
        <v>30</v>
      </c>
      <c r="P1433" s="2" t="s">
        <v>12813</v>
      </c>
    </row>
    <row r="1434" spans="1:16" ht="13.15" x14ac:dyDescent="0.4">
      <c r="A1434" s="2" t="s">
        <v>11594</v>
      </c>
      <c r="B1434" s="2" t="s">
        <v>5885</v>
      </c>
      <c r="C1434" s="6" t="s">
        <v>5879</v>
      </c>
      <c r="D1434" s="6" t="s">
        <v>42</v>
      </c>
      <c r="E1434" s="7">
        <v>44927</v>
      </c>
      <c r="F1434" s="8" t="s">
        <v>77</v>
      </c>
      <c r="G1434" s="2" t="s">
        <v>26</v>
      </c>
      <c r="H1434" s="8" t="s">
        <v>28</v>
      </c>
      <c r="I1434" s="2" t="s">
        <v>26</v>
      </c>
      <c r="J1434" s="7">
        <v>44927</v>
      </c>
      <c r="K1434" s="8" t="s">
        <v>77</v>
      </c>
      <c r="L1434" s="2" t="s">
        <v>26</v>
      </c>
      <c r="M1434" s="8" t="s">
        <v>28</v>
      </c>
      <c r="N1434" s="6" t="s">
        <v>2264</v>
      </c>
      <c r="O1434" s="6" t="s">
        <v>30</v>
      </c>
      <c r="P1434" s="2" t="s">
        <v>12814</v>
      </c>
    </row>
    <row r="1435" spans="1:16" ht="13.15" x14ac:dyDescent="0.4">
      <c r="A1435" s="2" t="s">
        <v>11507</v>
      </c>
      <c r="B1435" s="2" t="s">
        <v>5885</v>
      </c>
      <c r="C1435" s="6" t="s">
        <v>5879</v>
      </c>
      <c r="D1435" s="6" t="s">
        <v>42</v>
      </c>
      <c r="E1435" s="7">
        <v>44927</v>
      </c>
      <c r="F1435" s="8" t="s">
        <v>77</v>
      </c>
      <c r="G1435" s="2" t="s">
        <v>26</v>
      </c>
      <c r="H1435" s="8" t="s">
        <v>28</v>
      </c>
      <c r="I1435" s="2" t="s">
        <v>26</v>
      </c>
      <c r="J1435" s="7">
        <v>44927</v>
      </c>
      <c r="K1435" s="8" t="s">
        <v>77</v>
      </c>
      <c r="L1435" s="2" t="s">
        <v>26</v>
      </c>
      <c r="M1435" s="8" t="s">
        <v>28</v>
      </c>
      <c r="N1435" s="6" t="s">
        <v>2264</v>
      </c>
      <c r="O1435" s="6" t="s">
        <v>30</v>
      </c>
      <c r="P1435" s="2" t="s">
        <v>12815</v>
      </c>
    </row>
    <row r="1436" spans="1:16" ht="13.15" x14ac:dyDescent="0.4">
      <c r="A1436" s="2" t="s">
        <v>11590</v>
      </c>
      <c r="B1436" s="2" t="s">
        <v>5885</v>
      </c>
      <c r="C1436" s="6" t="s">
        <v>5879</v>
      </c>
      <c r="D1436" s="6" t="s">
        <v>42</v>
      </c>
      <c r="E1436" s="7">
        <v>44927</v>
      </c>
      <c r="F1436" s="8" t="s">
        <v>77</v>
      </c>
      <c r="G1436" s="2" t="s">
        <v>26</v>
      </c>
      <c r="H1436" s="8" t="s">
        <v>28</v>
      </c>
      <c r="I1436" s="2" t="s">
        <v>26</v>
      </c>
      <c r="J1436" s="7">
        <v>44927</v>
      </c>
      <c r="K1436" s="8" t="s">
        <v>77</v>
      </c>
      <c r="L1436" s="2" t="s">
        <v>26</v>
      </c>
      <c r="M1436" s="8" t="s">
        <v>28</v>
      </c>
      <c r="N1436" s="6" t="s">
        <v>2264</v>
      </c>
      <c r="O1436" s="6" t="s">
        <v>30</v>
      </c>
      <c r="P1436" s="2" t="s">
        <v>12816</v>
      </c>
    </row>
    <row r="1437" spans="1:16" ht="13.15" x14ac:dyDescent="0.4">
      <c r="A1437" s="2" t="s">
        <v>11409</v>
      </c>
      <c r="B1437" s="2" t="s">
        <v>5885</v>
      </c>
      <c r="C1437" s="6" t="s">
        <v>5879</v>
      </c>
      <c r="D1437" s="6" t="s">
        <v>42</v>
      </c>
      <c r="E1437" s="7">
        <v>44927</v>
      </c>
      <c r="F1437" s="8" t="s">
        <v>77</v>
      </c>
      <c r="G1437" s="2" t="s">
        <v>26</v>
      </c>
      <c r="H1437" s="8" t="s">
        <v>28</v>
      </c>
      <c r="I1437" s="2" t="s">
        <v>26</v>
      </c>
      <c r="J1437" s="7">
        <v>44927</v>
      </c>
      <c r="K1437" s="8" t="s">
        <v>77</v>
      </c>
      <c r="L1437" s="2" t="s">
        <v>26</v>
      </c>
      <c r="M1437" s="8" t="s">
        <v>28</v>
      </c>
      <c r="N1437" s="6" t="s">
        <v>2264</v>
      </c>
      <c r="O1437" s="6" t="s">
        <v>30</v>
      </c>
      <c r="P1437" s="2" t="s">
        <v>12817</v>
      </c>
    </row>
    <row r="1438" spans="1:16" ht="13.15" x14ac:dyDescent="0.4">
      <c r="A1438" s="2" t="s">
        <v>11336</v>
      </c>
      <c r="B1438" s="2" t="s">
        <v>5885</v>
      </c>
      <c r="C1438" s="6" t="s">
        <v>5879</v>
      </c>
      <c r="D1438" s="6" t="s">
        <v>42</v>
      </c>
      <c r="E1438" s="7">
        <v>44927</v>
      </c>
      <c r="F1438" s="8" t="s">
        <v>77</v>
      </c>
      <c r="G1438" s="2" t="s">
        <v>26</v>
      </c>
      <c r="H1438" s="8" t="s">
        <v>28</v>
      </c>
      <c r="I1438" s="2" t="s">
        <v>26</v>
      </c>
      <c r="J1438" s="7">
        <v>44927</v>
      </c>
      <c r="K1438" s="8" t="s">
        <v>77</v>
      </c>
      <c r="L1438" s="2" t="s">
        <v>26</v>
      </c>
      <c r="M1438" s="8" t="s">
        <v>28</v>
      </c>
      <c r="N1438" s="6" t="s">
        <v>2264</v>
      </c>
      <c r="O1438" s="6" t="s">
        <v>30</v>
      </c>
      <c r="P1438" s="2" t="s">
        <v>12818</v>
      </c>
    </row>
    <row r="1439" spans="1:16" ht="13.15" x14ac:dyDescent="0.4">
      <c r="A1439" s="2" t="s">
        <v>11592</v>
      </c>
      <c r="B1439" s="2" t="s">
        <v>5885</v>
      </c>
      <c r="C1439" s="6" t="s">
        <v>5879</v>
      </c>
      <c r="D1439" s="6" t="s">
        <v>42</v>
      </c>
      <c r="E1439" s="7">
        <v>44927</v>
      </c>
      <c r="F1439" s="8" t="s">
        <v>77</v>
      </c>
      <c r="G1439" s="2" t="s">
        <v>26</v>
      </c>
      <c r="H1439" s="8" t="s">
        <v>28</v>
      </c>
      <c r="I1439" s="2" t="s">
        <v>26</v>
      </c>
      <c r="J1439" s="7">
        <v>44927</v>
      </c>
      <c r="K1439" s="8" t="s">
        <v>77</v>
      </c>
      <c r="L1439" s="2" t="s">
        <v>26</v>
      </c>
      <c r="M1439" s="8" t="s">
        <v>28</v>
      </c>
      <c r="N1439" s="6" t="s">
        <v>2264</v>
      </c>
      <c r="O1439" s="6" t="s">
        <v>30</v>
      </c>
      <c r="P1439" s="2" t="s">
        <v>12819</v>
      </c>
    </row>
    <row r="1440" spans="1:16" ht="13.15" x14ac:dyDescent="0.4">
      <c r="A1440" s="2" t="s">
        <v>11588</v>
      </c>
      <c r="B1440" s="2" t="s">
        <v>5885</v>
      </c>
      <c r="C1440" s="6" t="s">
        <v>5879</v>
      </c>
      <c r="D1440" s="6" t="s">
        <v>42</v>
      </c>
      <c r="E1440" s="7">
        <v>44927</v>
      </c>
      <c r="F1440" s="8" t="s">
        <v>77</v>
      </c>
      <c r="G1440" s="2" t="s">
        <v>26</v>
      </c>
      <c r="H1440" s="8" t="s">
        <v>28</v>
      </c>
      <c r="I1440" s="2" t="s">
        <v>26</v>
      </c>
      <c r="J1440" s="7">
        <v>44927</v>
      </c>
      <c r="K1440" s="8" t="s">
        <v>77</v>
      </c>
      <c r="L1440" s="2" t="s">
        <v>26</v>
      </c>
      <c r="M1440" s="8" t="s">
        <v>28</v>
      </c>
      <c r="N1440" s="6" t="s">
        <v>2264</v>
      </c>
      <c r="O1440" s="6" t="s">
        <v>30</v>
      </c>
      <c r="P1440" s="2" t="s">
        <v>12820</v>
      </c>
    </row>
    <row r="1441" spans="1:16" ht="13.15" x14ac:dyDescent="0.4">
      <c r="A1441" s="2" t="s">
        <v>11581</v>
      </c>
      <c r="B1441" s="2" t="s">
        <v>5885</v>
      </c>
      <c r="C1441" s="6" t="s">
        <v>5879</v>
      </c>
      <c r="D1441" s="6" t="s">
        <v>42</v>
      </c>
      <c r="E1441" s="7">
        <v>44927</v>
      </c>
      <c r="F1441" s="8" t="s">
        <v>77</v>
      </c>
      <c r="G1441" s="2" t="s">
        <v>26</v>
      </c>
      <c r="H1441" s="8" t="s">
        <v>28</v>
      </c>
      <c r="I1441" s="2" t="s">
        <v>26</v>
      </c>
      <c r="J1441" s="7">
        <v>44927</v>
      </c>
      <c r="K1441" s="8" t="s">
        <v>77</v>
      </c>
      <c r="L1441" s="2" t="s">
        <v>26</v>
      </c>
      <c r="M1441" s="8" t="s">
        <v>28</v>
      </c>
      <c r="N1441" s="6" t="s">
        <v>2264</v>
      </c>
      <c r="O1441" s="6" t="s">
        <v>30</v>
      </c>
      <c r="P1441" s="2" t="s">
        <v>12821</v>
      </c>
    </row>
    <row r="1442" spans="1:16" ht="13.15" x14ac:dyDescent="0.4">
      <c r="A1442" s="2" t="s">
        <v>11498</v>
      </c>
      <c r="B1442" s="2" t="s">
        <v>5885</v>
      </c>
      <c r="C1442" s="6" t="s">
        <v>5879</v>
      </c>
      <c r="D1442" s="6" t="s">
        <v>42</v>
      </c>
      <c r="E1442" s="7">
        <v>44927</v>
      </c>
      <c r="F1442" s="8" t="s">
        <v>77</v>
      </c>
      <c r="G1442" s="2" t="s">
        <v>26</v>
      </c>
      <c r="H1442" s="8" t="s">
        <v>28</v>
      </c>
      <c r="I1442" s="2" t="s">
        <v>26</v>
      </c>
      <c r="J1442" s="7">
        <v>44927</v>
      </c>
      <c r="K1442" s="8" t="s">
        <v>77</v>
      </c>
      <c r="L1442" s="2" t="s">
        <v>26</v>
      </c>
      <c r="M1442" s="8" t="s">
        <v>28</v>
      </c>
      <c r="N1442" s="6" t="s">
        <v>2264</v>
      </c>
      <c r="O1442" s="6" t="s">
        <v>30</v>
      </c>
      <c r="P1442" s="2" t="s">
        <v>12822</v>
      </c>
    </row>
    <row r="1443" spans="1:16" ht="13.15" x14ac:dyDescent="0.4">
      <c r="A1443" s="2" t="s">
        <v>11376</v>
      </c>
      <c r="B1443" s="2" t="s">
        <v>5885</v>
      </c>
      <c r="C1443" s="6" t="s">
        <v>5879</v>
      </c>
      <c r="D1443" s="6" t="s">
        <v>42</v>
      </c>
      <c r="E1443" s="7">
        <v>44927</v>
      </c>
      <c r="F1443" s="8" t="s">
        <v>77</v>
      </c>
      <c r="G1443" s="2" t="s">
        <v>26</v>
      </c>
      <c r="H1443" s="8" t="s">
        <v>28</v>
      </c>
      <c r="I1443" s="2" t="s">
        <v>26</v>
      </c>
      <c r="J1443" s="7">
        <v>44927</v>
      </c>
      <c r="K1443" s="8" t="s">
        <v>77</v>
      </c>
      <c r="L1443" s="2" t="s">
        <v>26</v>
      </c>
      <c r="M1443" s="8" t="s">
        <v>28</v>
      </c>
      <c r="N1443" s="6" t="s">
        <v>2264</v>
      </c>
      <c r="O1443" s="6" t="s">
        <v>30</v>
      </c>
      <c r="P1443" s="2" t="s">
        <v>12823</v>
      </c>
    </row>
    <row r="1444" spans="1:16" ht="13.15" x14ac:dyDescent="0.4">
      <c r="A1444" s="2" t="s">
        <v>5208</v>
      </c>
      <c r="B1444" s="2" t="s">
        <v>5885</v>
      </c>
      <c r="C1444" s="6" t="s">
        <v>5879</v>
      </c>
      <c r="D1444" s="6" t="s">
        <v>42</v>
      </c>
      <c r="E1444" s="7">
        <v>44927</v>
      </c>
      <c r="F1444" s="8" t="s">
        <v>77</v>
      </c>
      <c r="G1444" s="2" t="s">
        <v>26</v>
      </c>
      <c r="H1444" s="8" t="s">
        <v>28</v>
      </c>
      <c r="I1444" s="2" t="s">
        <v>26</v>
      </c>
      <c r="J1444" s="7">
        <v>44927</v>
      </c>
      <c r="K1444" s="8" t="s">
        <v>77</v>
      </c>
      <c r="L1444" s="2" t="s">
        <v>26</v>
      </c>
      <c r="M1444" s="8" t="s">
        <v>28</v>
      </c>
      <c r="N1444" s="6" t="s">
        <v>2264</v>
      </c>
      <c r="O1444" s="6" t="s">
        <v>30</v>
      </c>
      <c r="P1444" s="2" t="s">
        <v>12824</v>
      </c>
    </row>
    <row r="1445" spans="1:16" ht="13.15" x14ac:dyDescent="0.4">
      <c r="A1445" s="2" t="s">
        <v>11591</v>
      </c>
      <c r="B1445" s="2" t="s">
        <v>5885</v>
      </c>
      <c r="C1445" s="6" t="s">
        <v>5879</v>
      </c>
      <c r="D1445" s="6" t="s">
        <v>42</v>
      </c>
      <c r="E1445" s="7">
        <v>44927</v>
      </c>
      <c r="F1445" s="8" t="s">
        <v>77</v>
      </c>
      <c r="G1445" s="2" t="s">
        <v>26</v>
      </c>
      <c r="H1445" s="8" t="s">
        <v>28</v>
      </c>
      <c r="I1445" s="2" t="s">
        <v>26</v>
      </c>
      <c r="J1445" s="7">
        <v>44927</v>
      </c>
      <c r="K1445" s="8" t="s">
        <v>77</v>
      </c>
      <c r="L1445" s="2" t="s">
        <v>26</v>
      </c>
      <c r="M1445" s="8" t="s">
        <v>28</v>
      </c>
      <c r="N1445" s="6" t="s">
        <v>2264</v>
      </c>
      <c r="O1445" s="6" t="s">
        <v>30</v>
      </c>
      <c r="P1445" s="2" t="s">
        <v>12825</v>
      </c>
    </row>
    <row r="1446" spans="1:16" ht="13.15" x14ac:dyDescent="0.4">
      <c r="A1446" s="2" t="s">
        <v>11577</v>
      </c>
      <c r="B1446" s="2" t="s">
        <v>5885</v>
      </c>
      <c r="C1446" s="6" t="s">
        <v>5879</v>
      </c>
      <c r="D1446" s="6" t="s">
        <v>42</v>
      </c>
      <c r="E1446" s="7">
        <v>44927</v>
      </c>
      <c r="F1446" s="8" t="s">
        <v>77</v>
      </c>
      <c r="G1446" s="2" t="s">
        <v>26</v>
      </c>
      <c r="H1446" s="8" t="s">
        <v>28</v>
      </c>
      <c r="I1446" s="2" t="s">
        <v>26</v>
      </c>
      <c r="J1446" s="7">
        <v>44927</v>
      </c>
      <c r="K1446" s="8" t="s">
        <v>77</v>
      </c>
      <c r="L1446" s="2" t="s">
        <v>26</v>
      </c>
      <c r="M1446" s="8" t="s">
        <v>28</v>
      </c>
      <c r="N1446" s="6" t="s">
        <v>2264</v>
      </c>
      <c r="O1446" s="6" t="s">
        <v>30</v>
      </c>
      <c r="P1446" s="2" t="s">
        <v>12826</v>
      </c>
    </row>
    <row r="1447" spans="1:16" ht="13.15" x14ac:dyDescent="0.4">
      <c r="A1447" s="2" t="s">
        <v>11147</v>
      </c>
      <c r="B1447" s="2" t="s">
        <v>5885</v>
      </c>
      <c r="C1447" s="6" t="s">
        <v>5879</v>
      </c>
      <c r="D1447" s="6" t="s">
        <v>42</v>
      </c>
      <c r="E1447" s="7">
        <v>44927</v>
      </c>
      <c r="F1447" s="8" t="s">
        <v>77</v>
      </c>
      <c r="G1447" s="2" t="s">
        <v>26</v>
      </c>
      <c r="H1447" s="8" t="s">
        <v>28</v>
      </c>
      <c r="I1447" s="2" t="s">
        <v>26</v>
      </c>
      <c r="J1447" s="7">
        <v>44927</v>
      </c>
      <c r="K1447" s="8" t="s">
        <v>77</v>
      </c>
      <c r="L1447" s="2" t="s">
        <v>26</v>
      </c>
      <c r="M1447" s="8" t="s">
        <v>28</v>
      </c>
      <c r="N1447" s="6" t="s">
        <v>2264</v>
      </c>
      <c r="O1447" s="6" t="s">
        <v>30</v>
      </c>
      <c r="P1447" s="2" t="s">
        <v>12827</v>
      </c>
    </row>
    <row r="1448" spans="1:16" ht="13.15" x14ac:dyDescent="0.4">
      <c r="A1448" s="2" t="s">
        <v>11573</v>
      </c>
      <c r="B1448" s="2" t="s">
        <v>5885</v>
      </c>
      <c r="C1448" s="6" t="s">
        <v>5879</v>
      </c>
      <c r="D1448" s="6" t="s">
        <v>42</v>
      </c>
      <c r="E1448" s="7">
        <v>44927</v>
      </c>
      <c r="F1448" s="8" t="s">
        <v>77</v>
      </c>
      <c r="G1448" s="2" t="s">
        <v>26</v>
      </c>
      <c r="H1448" s="8" t="s">
        <v>28</v>
      </c>
      <c r="I1448" s="2" t="s">
        <v>26</v>
      </c>
      <c r="J1448" s="7">
        <v>44927</v>
      </c>
      <c r="K1448" s="8" t="s">
        <v>77</v>
      </c>
      <c r="L1448" s="2" t="s">
        <v>26</v>
      </c>
      <c r="M1448" s="8" t="s">
        <v>28</v>
      </c>
      <c r="N1448" s="6" t="s">
        <v>2264</v>
      </c>
      <c r="O1448" s="6" t="s">
        <v>30</v>
      </c>
      <c r="P1448" s="2" t="s">
        <v>12828</v>
      </c>
    </row>
    <row r="1449" spans="1:16" ht="13.15" x14ac:dyDescent="0.4">
      <c r="A1449" s="2" t="s">
        <v>11570</v>
      </c>
      <c r="B1449" s="2" t="s">
        <v>5885</v>
      </c>
      <c r="C1449" s="6" t="s">
        <v>5879</v>
      </c>
      <c r="D1449" s="6" t="s">
        <v>42</v>
      </c>
      <c r="E1449" s="7">
        <v>44927</v>
      </c>
      <c r="F1449" s="8" t="s">
        <v>77</v>
      </c>
      <c r="G1449" s="2" t="s">
        <v>26</v>
      </c>
      <c r="H1449" s="8" t="s">
        <v>28</v>
      </c>
      <c r="I1449" s="2" t="s">
        <v>26</v>
      </c>
      <c r="J1449" s="7">
        <v>44927</v>
      </c>
      <c r="K1449" s="8" t="s">
        <v>77</v>
      </c>
      <c r="L1449" s="2" t="s">
        <v>26</v>
      </c>
      <c r="M1449" s="8" t="s">
        <v>28</v>
      </c>
      <c r="N1449" s="6" t="s">
        <v>2264</v>
      </c>
      <c r="O1449" s="6" t="s">
        <v>30</v>
      </c>
      <c r="P1449" s="2" t="s">
        <v>12829</v>
      </c>
    </row>
    <row r="1450" spans="1:16" ht="13.15" x14ac:dyDescent="0.4">
      <c r="A1450" s="2" t="s">
        <v>11585</v>
      </c>
      <c r="B1450" s="2" t="s">
        <v>5885</v>
      </c>
      <c r="C1450" s="6" t="s">
        <v>5879</v>
      </c>
      <c r="D1450" s="6" t="s">
        <v>42</v>
      </c>
      <c r="E1450" s="7">
        <v>44927</v>
      </c>
      <c r="F1450" s="8" t="s">
        <v>77</v>
      </c>
      <c r="G1450" s="2" t="s">
        <v>26</v>
      </c>
      <c r="H1450" s="8" t="s">
        <v>28</v>
      </c>
      <c r="I1450" s="2" t="s">
        <v>26</v>
      </c>
      <c r="J1450" s="7">
        <v>44927</v>
      </c>
      <c r="K1450" s="8" t="s">
        <v>77</v>
      </c>
      <c r="L1450" s="2" t="s">
        <v>26</v>
      </c>
      <c r="M1450" s="8" t="s">
        <v>28</v>
      </c>
      <c r="N1450" s="6" t="s">
        <v>2264</v>
      </c>
      <c r="O1450" s="6" t="s">
        <v>30</v>
      </c>
      <c r="P1450" s="2" t="s">
        <v>12830</v>
      </c>
    </row>
    <row r="1451" spans="1:16" ht="13.15" x14ac:dyDescent="0.4">
      <c r="A1451" s="2" t="s">
        <v>11560</v>
      </c>
      <c r="B1451" s="2" t="s">
        <v>5885</v>
      </c>
      <c r="C1451" s="6" t="s">
        <v>5879</v>
      </c>
      <c r="D1451" s="6" t="s">
        <v>42</v>
      </c>
      <c r="E1451" s="7">
        <v>44927</v>
      </c>
      <c r="F1451" s="8" t="s">
        <v>77</v>
      </c>
      <c r="G1451" s="2" t="s">
        <v>26</v>
      </c>
      <c r="H1451" s="8" t="s">
        <v>28</v>
      </c>
      <c r="I1451" s="2" t="s">
        <v>26</v>
      </c>
      <c r="J1451" s="7">
        <v>44927</v>
      </c>
      <c r="K1451" s="8" t="s">
        <v>77</v>
      </c>
      <c r="L1451" s="2" t="s">
        <v>26</v>
      </c>
      <c r="M1451" s="8" t="s">
        <v>28</v>
      </c>
      <c r="N1451" s="6" t="s">
        <v>2264</v>
      </c>
      <c r="O1451" s="6" t="s">
        <v>30</v>
      </c>
      <c r="P1451" s="2" t="s">
        <v>12831</v>
      </c>
    </row>
    <row r="1452" spans="1:16" ht="13.15" x14ac:dyDescent="0.4">
      <c r="A1452" s="2" t="s">
        <v>11596</v>
      </c>
      <c r="B1452" s="2" t="s">
        <v>5885</v>
      </c>
      <c r="C1452" s="6" t="s">
        <v>5879</v>
      </c>
      <c r="D1452" s="6" t="s">
        <v>42</v>
      </c>
      <c r="E1452" s="7">
        <v>44927</v>
      </c>
      <c r="F1452" s="8" t="s">
        <v>77</v>
      </c>
      <c r="G1452" s="2" t="s">
        <v>26</v>
      </c>
      <c r="H1452" s="8" t="s">
        <v>28</v>
      </c>
      <c r="I1452" s="2" t="s">
        <v>26</v>
      </c>
      <c r="J1452" s="7">
        <v>44927</v>
      </c>
      <c r="K1452" s="8" t="s">
        <v>77</v>
      </c>
      <c r="L1452" s="2" t="s">
        <v>26</v>
      </c>
      <c r="M1452" s="8" t="s">
        <v>28</v>
      </c>
      <c r="N1452" s="6" t="s">
        <v>2264</v>
      </c>
      <c r="O1452" s="6" t="s">
        <v>30</v>
      </c>
      <c r="P1452" s="2" t="s">
        <v>12832</v>
      </c>
    </row>
    <row r="1453" spans="1:16" ht="13.15" x14ac:dyDescent="0.4">
      <c r="A1453" s="2" t="s">
        <v>11387</v>
      </c>
      <c r="B1453" s="2" t="s">
        <v>5885</v>
      </c>
      <c r="C1453" s="6" t="s">
        <v>5879</v>
      </c>
      <c r="D1453" s="6" t="s">
        <v>42</v>
      </c>
      <c r="E1453" s="7">
        <v>44927</v>
      </c>
      <c r="F1453" s="8" t="s">
        <v>77</v>
      </c>
      <c r="G1453" s="2" t="s">
        <v>26</v>
      </c>
      <c r="H1453" s="8" t="s">
        <v>28</v>
      </c>
      <c r="I1453" s="2" t="s">
        <v>26</v>
      </c>
      <c r="J1453" s="7">
        <v>44927</v>
      </c>
      <c r="K1453" s="8" t="s">
        <v>77</v>
      </c>
      <c r="L1453" s="2" t="s">
        <v>26</v>
      </c>
      <c r="M1453" s="8" t="s">
        <v>28</v>
      </c>
      <c r="N1453" s="6" t="s">
        <v>2264</v>
      </c>
      <c r="O1453" s="6" t="s">
        <v>30</v>
      </c>
      <c r="P1453" s="2" t="s">
        <v>12833</v>
      </c>
    </row>
    <row r="1454" spans="1:16" ht="13.15" x14ac:dyDescent="0.4">
      <c r="A1454" s="2" t="s">
        <v>9115</v>
      </c>
      <c r="B1454" s="2" t="s">
        <v>5885</v>
      </c>
      <c r="C1454" s="6" t="s">
        <v>5879</v>
      </c>
      <c r="D1454" s="6" t="s">
        <v>42</v>
      </c>
      <c r="E1454" s="7">
        <v>44927</v>
      </c>
      <c r="F1454" s="8" t="s">
        <v>77</v>
      </c>
      <c r="G1454" s="2" t="s">
        <v>26</v>
      </c>
      <c r="H1454" s="8" t="s">
        <v>28</v>
      </c>
      <c r="I1454" s="2" t="s">
        <v>26</v>
      </c>
      <c r="J1454" s="7">
        <v>44927</v>
      </c>
      <c r="K1454" s="8" t="s">
        <v>77</v>
      </c>
      <c r="L1454" s="2" t="s">
        <v>26</v>
      </c>
      <c r="M1454" s="8" t="s">
        <v>28</v>
      </c>
      <c r="N1454" s="6" t="s">
        <v>2264</v>
      </c>
      <c r="O1454" s="6" t="s">
        <v>30</v>
      </c>
      <c r="P1454" s="2" t="s">
        <v>12834</v>
      </c>
    </row>
    <row r="1455" spans="1:16" ht="13.15" x14ac:dyDescent="0.4">
      <c r="A1455" s="2" t="s">
        <v>11382</v>
      </c>
      <c r="B1455" s="2" t="s">
        <v>5885</v>
      </c>
      <c r="C1455" s="6" t="s">
        <v>5879</v>
      </c>
      <c r="D1455" s="6" t="s">
        <v>42</v>
      </c>
      <c r="E1455" s="7">
        <v>44927</v>
      </c>
      <c r="F1455" s="8" t="s">
        <v>77</v>
      </c>
      <c r="G1455" s="2" t="s">
        <v>26</v>
      </c>
      <c r="H1455" s="8" t="s">
        <v>28</v>
      </c>
      <c r="I1455" s="2" t="s">
        <v>26</v>
      </c>
      <c r="J1455" s="7">
        <v>44927</v>
      </c>
      <c r="K1455" s="8" t="s">
        <v>77</v>
      </c>
      <c r="L1455" s="2" t="s">
        <v>26</v>
      </c>
      <c r="M1455" s="8" t="s">
        <v>28</v>
      </c>
      <c r="N1455" s="6" t="s">
        <v>2264</v>
      </c>
      <c r="O1455" s="6" t="s">
        <v>30</v>
      </c>
      <c r="P1455" s="2" t="s">
        <v>12835</v>
      </c>
    </row>
    <row r="1456" spans="1:16" ht="13.15" x14ac:dyDescent="0.4">
      <c r="A1456" s="2" t="s">
        <v>11561</v>
      </c>
      <c r="B1456" s="2" t="s">
        <v>5885</v>
      </c>
      <c r="C1456" s="6" t="s">
        <v>5879</v>
      </c>
      <c r="D1456" s="6" t="s">
        <v>42</v>
      </c>
      <c r="E1456" s="7">
        <v>44927</v>
      </c>
      <c r="F1456" s="8" t="s">
        <v>77</v>
      </c>
      <c r="G1456" s="2" t="s">
        <v>26</v>
      </c>
      <c r="H1456" s="8" t="s">
        <v>28</v>
      </c>
      <c r="I1456" s="2" t="s">
        <v>26</v>
      </c>
      <c r="J1456" s="7">
        <v>44927</v>
      </c>
      <c r="K1456" s="8" t="s">
        <v>77</v>
      </c>
      <c r="L1456" s="2" t="s">
        <v>26</v>
      </c>
      <c r="M1456" s="8" t="s">
        <v>28</v>
      </c>
      <c r="N1456" s="6" t="s">
        <v>2264</v>
      </c>
      <c r="O1456" s="6" t="s">
        <v>30</v>
      </c>
      <c r="P1456" s="2" t="s">
        <v>12836</v>
      </c>
    </row>
    <row r="1457" spans="1:16" ht="13.15" x14ac:dyDescent="0.4">
      <c r="A1457" s="2" t="s">
        <v>11595</v>
      </c>
      <c r="B1457" s="2" t="s">
        <v>5885</v>
      </c>
      <c r="C1457" s="6" t="s">
        <v>5879</v>
      </c>
      <c r="D1457" s="6" t="s">
        <v>42</v>
      </c>
      <c r="E1457" s="7">
        <v>44927</v>
      </c>
      <c r="F1457" s="8" t="s">
        <v>77</v>
      </c>
      <c r="G1457" s="2" t="s">
        <v>26</v>
      </c>
      <c r="H1457" s="8" t="s">
        <v>28</v>
      </c>
      <c r="I1457" s="2" t="s">
        <v>26</v>
      </c>
      <c r="J1457" s="7">
        <v>44927</v>
      </c>
      <c r="K1457" s="8" t="s">
        <v>77</v>
      </c>
      <c r="L1457" s="2" t="s">
        <v>26</v>
      </c>
      <c r="M1457" s="8" t="s">
        <v>28</v>
      </c>
      <c r="N1457" s="6" t="s">
        <v>2264</v>
      </c>
      <c r="O1457" s="6" t="s">
        <v>30</v>
      </c>
      <c r="P1457" s="2" t="s">
        <v>12837</v>
      </c>
    </row>
    <row r="1458" spans="1:16" ht="13.15" x14ac:dyDescent="0.4">
      <c r="A1458" s="2" t="s">
        <v>11400</v>
      </c>
      <c r="B1458" s="2" t="s">
        <v>5885</v>
      </c>
      <c r="C1458" s="6" t="s">
        <v>5879</v>
      </c>
      <c r="D1458" s="6" t="s">
        <v>42</v>
      </c>
      <c r="E1458" s="7">
        <v>44927</v>
      </c>
      <c r="F1458" s="8" t="s">
        <v>77</v>
      </c>
      <c r="G1458" s="2" t="s">
        <v>26</v>
      </c>
      <c r="H1458" s="8" t="s">
        <v>28</v>
      </c>
      <c r="I1458" s="2" t="s">
        <v>26</v>
      </c>
      <c r="J1458" s="7">
        <v>44927</v>
      </c>
      <c r="K1458" s="8" t="s">
        <v>77</v>
      </c>
      <c r="L1458" s="2" t="s">
        <v>26</v>
      </c>
      <c r="M1458" s="8" t="s">
        <v>28</v>
      </c>
      <c r="N1458" s="6" t="s">
        <v>2264</v>
      </c>
      <c r="O1458" s="6" t="s">
        <v>30</v>
      </c>
      <c r="P1458" s="2" t="s">
        <v>12838</v>
      </c>
    </row>
    <row r="1459" spans="1:16" ht="13.15" x14ac:dyDescent="0.4">
      <c r="A1459" s="2" t="s">
        <v>11383</v>
      </c>
      <c r="B1459" s="2" t="s">
        <v>5885</v>
      </c>
      <c r="C1459" s="6" t="s">
        <v>5879</v>
      </c>
      <c r="D1459" s="6" t="s">
        <v>42</v>
      </c>
      <c r="E1459" s="7">
        <v>44927</v>
      </c>
      <c r="F1459" s="8" t="s">
        <v>77</v>
      </c>
      <c r="G1459" s="2" t="s">
        <v>26</v>
      </c>
      <c r="H1459" s="8" t="s">
        <v>28</v>
      </c>
      <c r="I1459" s="2" t="s">
        <v>26</v>
      </c>
      <c r="J1459" s="7">
        <v>44927</v>
      </c>
      <c r="K1459" s="8" t="s">
        <v>77</v>
      </c>
      <c r="L1459" s="2" t="s">
        <v>26</v>
      </c>
      <c r="M1459" s="8" t="s">
        <v>28</v>
      </c>
      <c r="N1459" s="6" t="s">
        <v>2264</v>
      </c>
      <c r="O1459" s="6" t="s">
        <v>30</v>
      </c>
      <c r="P1459" s="2" t="s">
        <v>12839</v>
      </c>
    </row>
    <row r="1460" spans="1:16" ht="13.15" x14ac:dyDescent="0.4">
      <c r="A1460" s="2" t="s">
        <v>11391</v>
      </c>
      <c r="B1460" s="2" t="s">
        <v>5885</v>
      </c>
      <c r="C1460" s="6" t="s">
        <v>5879</v>
      </c>
      <c r="D1460" s="6" t="s">
        <v>42</v>
      </c>
      <c r="E1460" s="7">
        <v>44927</v>
      </c>
      <c r="F1460" s="8" t="s">
        <v>77</v>
      </c>
      <c r="G1460" s="2" t="s">
        <v>26</v>
      </c>
      <c r="H1460" s="8" t="s">
        <v>28</v>
      </c>
      <c r="I1460" s="2" t="s">
        <v>26</v>
      </c>
      <c r="J1460" s="7">
        <v>44927</v>
      </c>
      <c r="K1460" s="8" t="s">
        <v>77</v>
      </c>
      <c r="L1460" s="2" t="s">
        <v>26</v>
      </c>
      <c r="M1460" s="8" t="s">
        <v>28</v>
      </c>
      <c r="N1460" s="6" t="s">
        <v>2264</v>
      </c>
      <c r="O1460" s="6" t="s">
        <v>30</v>
      </c>
      <c r="P1460" s="2" t="s">
        <v>12840</v>
      </c>
    </row>
    <row r="1461" spans="1:16" ht="13.15" x14ac:dyDescent="0.4">
      <c r="A1461" s="2" t="s">
        <v>11568</v>
      </c>
      <c r="B1461" s="2" t="s">
        <v>5885</v>
      </c>
      <c r="C1461" s="6" t="s">
        <v>5879</v>
      </c>
      <c r="D1461" s="6" t="s">
        <v>42</v>
      </c>
      <c r="E1461" s="7">
        <v>44927</v>
      </c>
      <c r="F1461" s="8" t="s">
        <v>77</v>
      </c>
      <c r="G1461" s="2" t="s">
        <v>26</v>
      </c>
      <c r="H1461" s="8" t="s">
        <v>28</v>
      </c>
      <c r="I1461" s="2" t="s">
        <v>26</v>
      </c>
      <c r="J1461" s="7">
        <v>44927</v>
      </c>
      <c r="K1461" s="8" t="s">
        <v>77</v>
      </c>
      <c r="L1461" s="2" t="s">
        <v>26</v>
      </c>
      <c r="M1461" s="8" t="s">
        <v>28</v>
      </c>
      <c r="N1461" s="6" t="s">
        <v>2264</v>
      </c>
      <c r="O1461" s="6" t="s">
        <v>30</v>
      </c>
      <c r="P1461" s="2" t="s">
        <v>12841</v>
      </c>
    </row>
    <row r="1462" spans="1:16" ht="13.15" x14ac:dyDescent="0.4">
      <c r="A1462" s="2" t="s">
        <v>11337</v>
      </c>
      <c r="B1462" s="2" t="s">
        <v>5885</v>
      </c>
      <c r="C1462" s="6" t="s">
        <v>5879</v>
      </c>
      <c r="D1462" s="6" t="s">
        <v>42</v>
      </c>
      <c r="E1462" s="7">
        <v>44927</v>
      </c>
      <c r="F1462" s="8" t="s">
        <v>77</v>
      </c>
      <c r="G1462" s="2" t="s">
        <v>26</v>
      </c>
      <c r="H1462" s="8" t="s">
        <v>28</v>
      </c>
      <c r="I1462" s="2" t="s">
        <v>26</v>
      </c>
      <c r="J1462" s="7">
        <v>44927</v>
      </c>
      <c r="K1462" s="8" t="s">
        <v>77</v>
      </c>
      <c r="L1462" s="2" t="s">
        <v>26</v>
      </c>
      <c r="M1462" s="8" t="s">
        <v>28</v>
      </c>
      <c r="N1462" s="6" t="s">
        <v>2264</v>
      </c>
      <c r="O1462" s="6" t="s">
        <v>30</v>
      </c>
      <c r="P1462" s="2" t="s">
        <v>12842</v>
      </c>
    </row>
    <row r="1463" spans="1:16" ht="13.15" x14ac:dyDescent="0.4">
      <c r="A1463" s="2" t="s">
        <v>11402</v>
      </c>
      <c r="B1463" s="2" t="s">
        <v>5885</v>
      </c>
      <c r="C1463" s="6" t="s">
        <v>5879</v>
      </c>
      <c r="D1463" s="6" t="s">
        <v>42</v>
      </c>
      <c r="E1463" s="7">
        <v>44927</v>
      </c>
      <c r="F1463" s="8" t="s">
        <v>77</v>
      </c>
      <c r="G1463" s="2" t="s">
        <v>26</v>
      </c>
      <c r="H1463" s="8" t="s">
        <v>28</v>
      </c>
      <c r="I1463" s="2" t="s">
        <v>26</v>
      </c>
      <c r="J1463" s="7">
        <v>44927</v>
      </c>
      <c r="K1463" s="8" t="s">
        <v>77</v>
      </c>
      <c r="L1463" s="2" t="s">
        <v>26</v>
      </c>
      <c r="M1463" s="8" t="s">
        <v>28</v>
      </c>
      <c r="N1463" s="6" t="s">
        <v>2264</v>
      </c>
      <c r="O1463" s="6" t="s">
        <v>30</v>
      </c>
      <c r="P1463" s="2" t="s">
        <v>12843</v>
      </c>
    </row>
    <row r="1464" spans="1:16" ht="13.15" x14ac:dyDescent="0.4">
      <c r="A1464" s="2" t="s">
        <v>11587</v>
      </c>
      <c r="B1464" s="2" t="s">
        <v>5885</v>
      </c>
      <c r="C1464" s="6" t="s">
        <v>5879</v>
      </c>
      <c r="D1464" s="6" t="s">
        <v>42</v>
      </c>
      <c r="E1464" s="7">
        <v>44927</v>
      </c>
      <c r="F1464" s="8" t="s">
        <v>77</v>
      </c>
      <c r="G1464" s="2" t="s">
        <v>26</v>
      </c>
      <c r="H1464" s="8" t="s">
        <v>28</v>
      </c>
      <c r="I1464" s="2" t="s">
        <v>26</v>
      </c>
      <c r="J1464" s="7">
        <v>44927</v>
      </c>
      <c r="K1464" s="8" t="s">
        <v>77</v>
      </c>
      <c r="L1464" s="2" t="s">
        <v>26</v>
      </c>
      <c r="M1464" s="8" t="s">
        <v>28</v>
      </c>
      <c r="N1464" s="6" t="s">
        <v>2264</v>
      </c>
      <c r="O1464" s="6" t="s">
        <v>30</v>
      </c>
      <c r="P1464" s="2" t="s">
        <v>12844</v>
      </c>
    </row>
    <row r="1465" spans="1:16" ht="13.15" x14ac:dyDescent="0.4">
      <c r="A1465" s="2" t="s">
        <v>11330</v>
      </c>
      <c r="B1465" s="2" t="s">
        <v>5885</v>
      </c>
      <c r="C1465" s="6" t="s">
        <v>5879</v>
      </c>
      <c r="D1465" s="6" t="s">
        <v>42</v>
      </c>
      <c r="E1465" s="7">
        <v>44927</v>
      </c>
      <c r="F1465" s="8" t="s">
        <v>77</v>
      </c>
      <c r="G1465" s="2" t="s">
        <v>26</v>
      </c>
      <c r="H1465" s="8" t="s">
        <v>28</v>
      </c>
      <c r="I1465" s="2" t="s">
        <v>26</v>
      </c>
      <c r="J1465" s="7">
        <v>44927</v>
      </c>
      <c r="K1465" s="8" t="s">
        <v>77</v>
      </c>
      <c r="L1465" s="2" t="s">
        <v>26</v>
      </c>
      <c r="M1465" s="8" t="s">
        <v>28</v>
      </c>
      <c r="N1465" s="6" t="s">
        <v>2264</v>
      </c>
      <c r="O1465" s="6" t="s">
        <v>30</v>
      </c>
      <c r="P1465" s="2" t="s">
        <v>12845</v>
      </c>
    </row>
    <row r="1466" spans="1:16" ht="13.15" x14ac:dyDescent="0.4">
      <c r="A1466" s="2" t="s">
        <v>11092</v>
      </c>
      <c r="B1466" s="2" t="s">
        <v>5885</v>
      </c>
      <c r="C1466" s="6" t="s">
        <v>5879</v>
      </c>
      <c r="D1466" s="6" t="s">
        <v>42</v>
      </c>
      <c r="E1466" s="7">
        <v>44927</v>
      </c>
      <c r="F1466" s="8" t="s">
        <v>77</v>
      </c>
      <c r="G1466" s="2" t="s">
        <v>26</v>
      </c>
      <c r="H1466" s="8" t="s">
        <v>28</v>
      </c>
      <c r="I1466" s="2" t="s">
        <v>26</v>
      </c>
      <c r="J1466" s="7">
        <v>44927</v>
      </c>
      <c r="K1466" s="8" t="s">
        <v>77</v>
      </c>
      <c r="L1466" s="2" t="s">
        <v>26</v>
      </c>
      <c r="M1466" s="8" t="s">
        <v>28</v>
      </c>
      <c r="N1466" s="6" t="s">
        <v>2264</v>
      </c>
      <c r="O1466" s="6" t="s">
        <v>30</v>
      </c>
      <c r="P1466" s="2" t="s">
        <v>12846</v>
      </c>
    </row>
    <row r="1467" spans="1:16" ht="13.15" x14ac:dyDescent="0.4">
      <c r="A1467" s="2" t="s">
        <v>5344</v>
      </c>
      <c r="B1467" s="2" t="s">
        <v>5885</v>
      </c>
      <c r="C1467" s="6" t="s">
        <v>5879</v>
      </c>
      <c r="D1467" s="6" t="s">
        <v>42</v>
      </c>
      <c r="E1467" s="7">
        <v>44927</v>
      </c>
      <c r="F1467" s="8" t="s">
        <v>77</v>
      </c>
      <c r="G1467" s="2" t="s">
        <v>26</v>
      </c>
      <c r="H1467" s="8" t="s">
        <v>28</v>
      </c>
      <c r="I1467" s="2" t="s">
        <v>26</v>
      </c>
      <c r="J1467" s="7">
        <v>44927</v>
      </c>
      <c r="K1467" s="8" t="s">
        <v>77</v>
      </c>
      <c r="L1467" s="2" t="s">
        <v>26</v>
      </c>
      <c r="M1467" s="8" t="s">
        <v>28</v>
      </c>
      <c r="N1467" s="6" t="s">
        <v>2264</v>
      </c>
      <c r="O1467" s="6" t="s">
        <v>30</v>
      </c>
      <c r="P1467" s="2" t="s">
        <v>12847</v>
      </c>
    </row>
    <row r="1468" spans="1:16" ht="13.15" x14ac:dyDescent="0.4">
      <c r="A1468" s="2" t="s">
        <v>11397</v>
      </c>
      <c r="B1468" s="2" t="s">
        <v>5885</v>
      </c>
      <c r="C1468" s="6" t="s">
        <v>5879</v>
      </c>
      <c r="D1468" s="6" t="s">
        <v>42</v>
      </c>
      <c r="E1468" s="7">
        <v>44927</v>
      </c>
      <c r="F1468" s="8" t="s">
        <v>77</v>
      </c>
      <c r="G1468" s="2" t="s">
        <v>26</v>
      </c>
      <c r="H1468" s="8" t="s">
        <v>28</v>
      </c>
      <c r="I1468" s="2" t="s">
        <v>26</v>
      </c>
      <c r="J1468" s="7">
        <v>44927</v>
      </c>
      <c r="K1468" s="8" t="s">
        <v>77</v>
      </c>
      <c r="L1468" s="2" t="s">
        <v>26</v>
      </c>
      <c r="M1468" s="8" t="s">
        <v>28</v>
      </c>
      <c r="N1468" s="6" t="s">
        <v>2264</v>
      </c>
      <c r="O1468" s="6" t="s">
        <v>30</v>
      </c>
      <c r="P1468" s="2" t="s">
        <v>12848</v>
      </c>
    </row>
    <row r="1469" spans="1:16" ht="13.15" x14ac:dyDescent="0.4">
      <c r="A1469" s="2" t="s">
        <v>11345</v>
      </c>
      <c r="B1469" s="2" t="s">
        <v>5885</v>
      </c>
      <c r="C1469" s="6" t="s">
        <v>5879</v>
      </c>
      <c r="D1469" s="6" t="s">
        <v>42</v>
      </c>
      <c r="E1469" s="7">
        <v>44927</v>
      </c>
      <c r="F1469" s="8" t="s">
        <v>77</v>
      </c>
      <c r="G1469" s="2" t="s">
        <v>26</v>
      </c>
      <c r="H1469" s="8" t="s">
        <v>28</v>
      </c>
      <c r="I1469" s="2" t="s">
        <v>26</v>
      </c>
      <c r="J1469" s="7">
        <v>44927</v>
      </c>
      <c r="K1469" s="8" t="s">
        <v>77</v>
      </c>
      <c r="L1469" s="2" t="s">
        <v>26</v>
      </c>
      <c r="M1469" s="8" t="s">
        <v>28</v>
      </c>
      <c r="N1469" s="6" t="s">
        <v>2264</v>
      </c>
      <c r="O1469" s="6" t="s">
        <v>30</v>
      </c>
      <c r="P1469" s="2" t="s">
        <v>12849</v>
      </c>
    </row>
    <row r="1470" spans="1:16" ht="13.15" x14ac:dyDescent="0.4">
      <c r="A1470" s="2" t="s">
        <v>11562</v>
      </c>
      <c r="B1470" s="2" t="s">
        <v>5885</v>
      </c>
      <c r="C1470" s="6" t="s">
        <v>5879</v>
      </c>
      <c r="D1470" s="6" t="s">
        <v>42</v>
      </c>
      <c r="E1470" s="7">
        <v>44927</v>
      </c>
      <c r="F1470" s="8" t="s">
        <v>77</v>
      </c>
      <c r="G1470" s="2" t="s">
        <v>26</v>
      </c>
      <c r="H1470" s="8" t="s">
        <v>28</v>
      </c>
      <c r="I1470" s="2" t="s">
        <v>26</v>
      </c>
      <c r="J1470" s="7">
        <v>44927</v>
      </c>
      <c r="K1470" s="8" t="s">
        <v>77</v>
      </c>
      <c r="L1470" s="2" t="s">
        <v>26</v>
      </c>
      <c r="M1470" s="8" t="s">
        <v>28</v>
      </c>
      <c r="N1470" s="6" t="s">
        <v>2264</v>
      </c>
      <c r="O1470" s="6" t="s">
        <v>30</v>
      </c>
      <c r="P1470" s="2" t="s">
        <v>12850</v>
      </c>
    </row>
    <row r="1471" spans="1:16" ht="13.15" x14ac:dyDescent="0.4">
      <c r="A1471" s="2" t="s">
        <v>11381</v>
      </c>
      <c r="B1471" s="2" t="s">
        <v>5885</v>
      </c>
      <c r="C1471" s="6" t="s">
        <v>5879</v>
      </c>
      <c r="D1471" s="6" t="s">
        <v>42</v>
      </c>
      <c r="E1471" s="7">
        <v>44927</v>
      </c>
      <c r="F1471" s="8" t="s">
        <v>77</v>
      </c>
      <c r="G1471" s="2" t="s">
        <v>26</v>
      </c>
      <c r="H1471" s="8" t="s">
        <v>28</v>
      </c>
      <c r="I1471" s="2" t="s">
        <v>26</v>
      </c>
      <c r="J1471" s="7">
        <v>44927</v>
      </c>
      <c r="K1471" s="8" t="s">
        <v>77</v>
      </c>
      <c r="L1471" s="2" t="s">
        <v>26</v>
      </c>
      <c r="M1471" s="8" t="s">
        <v>28</v>
      </c>
      <c r="N1471" s="6" t="s">
        <v>2264</v>
      </c>
      <c r="O1471" s="6" t="s">
        <v>30</v>
      </c>
      <c r="P1471" s="2" t="s">
        <v>12851</v>
      </c>
    </row>
    <row r="1472" spans="1:16" ht="13.15" x14ac:dyDescent="0.4">
      <c r="A1472" s="2" t="s">
        <v>11393</v>
      </c>
      <c r="B1472" s="2" t="s">
        <v>5885</v>
      </c>
      <c r="C1472" s="6" t="s">
        <v>5879</v>
      </c>
      <c r="D1472" s="6" t="s">
        <v>42</v>
      </c>
      <c r="E1472" s="7">
        <v>44927</v>
      </c>
      <c r="F1472" s="8" t="s">
        <v>77</v>
      </c>
      <c r="G1472" s="2" t="s">
        <v>26</v>
      </c>
      <c r="H1472" s="8" t="s">
        <v>28</v>
      </c>
      <c r="I1472" s="2" t="s">
        <v>26</v>
      </c>
      <c r="J1472" s="7">
        <v>44927</v>
      </c>
      <c r="K1472" s="8" t="s">
        <v>77</v>
      </c>
      <c r="L1472" s="2" t="s">
        <v>26</v>
      </c>
      <c r="M1472" s="8" t="s">
        <v>28</v>
      </c>
      <c r="N1472" s="6" t="s">
        <v>2264</v>
      </c>
      <c r="O1472" s="6" t="s">
        <v>30</v>
      </c>
      <c r="P1472" s="2" t="s">
        <v>12852</v>
      </c>
    </row>
    <row r="1473" spans="1:16" ht="13.15" x14ac:dyDescent="0.4">
      <c r="A1473" s="2" t="s">
        <v>11338</v>
      </c>
      <c r="B1473" s="2" t="s">
        <v>5885</v>
      </c>
      <c r="C1473" s="6" t="s">
        <v>5879</v>
      </c>
      <c r="D1473" s="6" t="s">
        <v>42</v>
      </c>
      <c r="E1473" s="7">
        <v>44927</v>
      </c>
      <c r="F1473" s="8" t="s">
        <v>77</v>
      </c>
      <c r="G1473" s="2" t="s">
        <v>26</v>
      </c>
      <c r="H1473" s="8" t="s">
        <v>28</v>
      </c>
      <c r="I1473" s="2" t="s">
        <v>26</v>
      </c>
      <c r="J1473" s="7">
        <v>44927</v>
      </c>
      <c r="K1473" s="8" t="s">
        <v>77</v>
      </c>
      <c r="L1473" s="2" t="s">
        <v>26</v>
      </c>
      <c r="M1473" s="8" t="s">
        <v>28</v>
      </c>
      <c r="N1473" s="6" t="s">
        <v>2264</v>
      </c>
      <c r="O1473" s="6" t="s">
        <v>30</v>
      </c>
      <c r="P1473" s="2" t="s">
        <v>12853</v>
      </c>
    </row>
    <row r="1474" spans="1:16" ht="13.15" x14ac:dyDescent="0.4">
      <c r="A1474" s="2" t="s">
        <v>11395</v>
      </c>
      <c r="B1474" s="2" t="s">
        <v>5885</v>
      </c>
      <c r="C1474" s="6" t="s">
        <v>5879</v>
      </c>
      <c r="D1474" s="6" t="s">
        <v>42</v>
      </c>
      <c r="E1474" s="7">
        <v>44927</v>
      </c>
      <c r="F1474" s="8" t="s">
        <v>77</v>
      </c>
      <c r="G1474" s="2" t="s">
        <v>26</v>
      </c>
      <c r="H1474" s="8" t="s">
        <v>28</v>
      </c>
      <c r="I1474" s="2" t="s">
        <v>26</v>
      </c>
      <c r="J1474" s="7">
        <v>44927</v>
      </c>
      <c r="K1474" s="8" t="s">
        <v>77</v>
      </c>
      <c r="L1474" s="2" t="s">
        <v>26</v>
      </c>
      <c r="M1474" s="8" t="s">
        <v>28</v>
      </c>
      <c r="N1474" s="6" t="s">
        <v>2264</v>
      </c>
      <c r="O1474" s="6" t="s">
        <v>30</v>
      </c>
      <c r="P1474" s="2" t="s">
        <v>12854</v>
      </c>
    </row>
    <row r="1475" spans="1:16" ht="13.15" x14ac:dyDescent="0.4">
      <c r="A1475" s="2" t="s">
        <v>11385</v>
      </c>
      <c r="B1475" s="2" t="s">
        <v>5885</v>
      </c>
      <c r="C1475" s="6" t="s">
        <v>5879</v>
      </c>
      <c r="D1475" s="6" t="s">
        <v>42</v>
      </c>
      <c r="E1475" s="7">
        <v>44927</v>
      </c>
      <c r="F1475" s="8" t="s">
        <v>77</v>
      </c>
      <c r="G1475" s="2" t="s">
        <v>26</v>
      </c>
      <c r="H1475" s="8" t="s">
        <v>28</v>
      </c>
      <c r="I1475" s="2" t="s">
        <v>26</v>
      </c>
      <c r="J1475" s="7">
        <v>44927</v>
      </c>
      <c r="K1475" s="8" t="s">
        <v>77</v>
      </c>
      <c r="L1475" s="2" t="s">
        <v>26</v>
      </c>
      <c r="M1475" s="8" t="s">
        <v>28</v>
      </c>
      <c r="N1475" s="6" t="s">
        <v>2264</v>
      </c>
      <c r="O1475" s="6" t="s">
        <v>30</v>
      </c>
      <c r="P1475" s="2" t="s">
        <v>12855</v>
      </c>
    </row>
    <row r="1476" spans="1:16" ht="13.15" x14ac:dyDescent="0.4">
      <c r="A1476" s="2" t="s">
        <v>11285</v>
      </c>
      <c r="B1476" s="2" t="s">
        <v>5885</v>
      </c>
      <c r="C1476" s="6" t="s">
        <v>5879</v>
      </c>
      <c r="D1476" s="6" t="s">
        <v>42</v>
      </c>
      <c r="E1476" s="7">
        <v>44927</v>
      </c>
      <c r="F1476" s="8" t="s">
        <v>77</v>
      </c>
      <c r="G1476" s="2" t="s">
        <v>26</v>
      </c>
      <c r="H1476" s="8" t="s">
        <v>28</v>
      </c>
      <c r="I1476" s="2" t="s">
        <v>26</v>
      </c>
      <c r="J1476" s="7">
        <v>44927</v>
      </c>
      <c r="K1476" s="8" t="s">
        <v>77</v>
      </c>
      <c r="L1476" s="2" t="s">
        <v>26</v>
      </c>
      <c r="M1476" s="8" t="s">
        <v>28</v>
      </c>
      <c r="N1476" s="6" t="s">
        <v>2264</v>
      </c>
      <c r="O1476" s="6" t="s">
        <v>30</v>
      </c>
      <c r="P1476" s="2" t="s">
        <v>12856</v>
      </c>
    </row>
    <row r="1477" spans="1:16" ht="13.15" x14ac:dyDescent="0.4">
      <c r="A1477" s="2" t="s">
        <v>11404</v>
      </c>
      <c r="B1477" s="2" t="s">
        <v>5885</v>
      </c>
      <c r="C1477" s="6" t="s">
        <v>5879</v>
      </c>
      <c r="D1477" s="6" t="s">
        <v>42</v>
      </c>
      <c r="E1477" s="7">
        <v>44927</v>
      </c>
      <c r="F1477" s="8" t="s">
        <v>77</v>
      </c>
      <c r="G1477" s="2" t="s">
        <v>26</v>
      </c>
      <c r="H1477" s="8" t="s">
        <v>28</v>
      </c>
      <c r="I1477" s="2" t="s">
        <v>26</v>
      </c>
      <c r="J1477" s="7">
        <v>44927</v>
      </c>
      <c r="K1477" s="8" t="s">
        <v>77</v>
      </c>
      <c r="L1477" s="2" t="s">
        <v>26</v>
      </c>
      <c r="M1477" s="8" t="s">
        <v>28</v>
      </c>
      <c r="N1477" s="6" t="s">
        <v>2264</v>
      </c>
      <c r="O1477" s="6" t="s">
        <v>30</v>
      </c>
      <c r="P1477" s="2" t="s">
        <v>12857</v>
      </c>
    </row>
    <row r="1478" spans="1:16" ht="13.15" x14ac:dyDescent="0.4">
      <c r="A1478" s="2" t="s">
        <v>11374</v>
      </c>
      <c r="B1478" s="2" t="s">
        <v>5885</v>
      </c>
      <c r="C1478" s="6" t="s">
        <v>5879</v>
      </c>
      <c r="D1478" s="6" t="s">
        <v>42</v>
      </c>
      <c r="E1478" s="7">
        <v>44927</v>
      </c>
      <c r="F1478" s="8" t="s">
        <v>77</v>
      </c>
      <c r="G1478" s="2" t="s">
        <v>26</v>
      </c>
      <c r="H1478" s="8" t="s">
        <v>28</v>
      </c>
      <c r="I1478" s="2" t="s">
        <v>26</v>
      </c>
      <c r="J1478" s="7">
        <v>44927</v>
      </c>
      <c r="K1478" s="8" t="s">
        <v>77</v>
      </c>
      <c r="L1478" s="2" t="s">
        <v>26</v>
      </c>
      <c r="M1478" s="8" t="s">
        <v>28</v>
      </c>
      <c r="N1478" s="6" t="s">
        <v>2264</v>
      </c>
      <c r="O1478" s="6" t="s">
        <v>30</v>
      </c>
      <c r="P1478" s="2" t="s">
        <v>12858</v>
      </c>
    </row>
    <row r="1479" spans="1:16" ht="13.15" x14ac:dyDescent="0.4">
      <c r="A1479" s="2" t="s">
        <v>11349</v>
      </c>
      <c r="B1479" s="2" t="s">
        <v>5885</v>
      </c>
      <c r="C1479" s="6" t="s">
        <v>5879</v>
      </c>
      <c r="D1479" s="6" t="s">
        <v>42</v>
      </c>
      <c r="E1479" s="7">
        <v>44927</v>
      </c>
      <c r="F1479" s="8" t="s">
        <v>77</v>
      </c>
      <c r="G1479" s="2" t="s">
        <v>26</v>
      </c>
      <c r="H1479" s="8" t="s">
        <v>28</v>
      </c>
      <c r="I1479" s="2" t="s">
        <v>26</v>
      </c>
      <c r="J1479" s="7">
        <v>44927</v>
      </c>
      <c r="K1479" s="8" t="s">
        <v>77</v>
      </c>
      <c r="L1479" s="2" t="s">
        <v>26</v>
      </c>
      <c r="M1479" s="8" t="s">
        <v>28</v>
      </c>
      <c r="N1479" s="6" t="s">
        <v>2264</v>
      </c>
      <c r="O1479" s="6" t="s">
        <v>30</v>
      </c>
      <c r="P1479" s="2" t="s">
        <v>12859</v>
      </c>
    </row>
    <row r="1480" spans="1:16" ht="13.15" x14ac:dyDescent="0.4">
      <c r="A1480" s="2" t="s">
        <v>11044</v>
      </c>
      <c r="B1480" s="2" t="s">
        <v>5885</v>
      </c>
      <c r="C1480" s="6" t="s">
        <v>5879</v>
      </c>
      <c r="D1480" s="6" t="s">
        <v>42</v>
      </c>
      <c r="E1480" s="7">
        <v>44927</v>
      </c>
      <c r="F1480" s="8" t="s">
        <v>77</v>
      </c>
      <c r="G1480" s="2" t="s">
        <v>26</v>
      </c>
      <c r="H1480" s="8" t="s">
        <v>28</v>
      </c>
      <c r="I1480" s="2" t="s">
        <v>26</v>
      </c>
      <c r="J1480" s="7">
        <v>44927</v>
      </c>
      <c r="K1480" s="8" t="s">
        <v>77</v>
      </c>
      <c r="L1480" s="2" t="s">
        <v>26</v>
      </c>
      <c r="M1480" s="8" t="s">
        <v>28</v>
      </c>
      <c r="N1480" s="6" t="s">
        <v>2264</v>
      </c>
      <c r="O1480" s="6" t="s">
        <v>30</v>
      </c>
      <c r="P1480" s="2" t="s">
        <v>12860</v>
      </c>
    </row>
    <row r="1481" spans="1:16" ht="13.15" x14ac:dyDescent="0.4">
      <c r="A1481" s="2" t="s">
        <v>11359</v>
      </c>
      <c r="B1481" s="2" t="s">
        <v>5885</v>
      </c>
      <c r="C1481" s="6" t="s">
        <v>5879</v>
      </c>
      <c r="D1481" s="6" t="s">
        <v>42</v>
      </c>
      <c r="E1481" s="7">
        <v>44927</v>
      </c>
      <c r="F1481" s="8" t="s">
        <v>77</v>
      </c>
      <c r="G1481" s="2" t="s">
        <v>26</v>
      </c>
      <c r="H1481" s="8" t="s">
        <v>28</v>
      </c>
      <c r="I1481" s="2" t="s">
        <v>26</v>
      </c>
      <c r="J1481" s="7">
        <v>44927</v>
      </c>
      <c r="K1481" s="8" t="s">
        <v>77</v>
      </c>
      <c r="L1481" s="2" t="s">
        <v>26</v>
      </c>
      <c r="M1481" s="8" t="s">
        <v>28</v>
      </c>
      <c r="N1481" s="6" t="s">
        <v>2264</v>
      </c>
      <c r="O1481" s="6" t="s">
        <v>30</v>
      </c>
      <c r="P1481" s="2" t="s">
        <v>12861</v>
      </c>
    </row>
    <row r="1482" spans="1:16" ht="13.15" x14ac:dyDescent="0.4">
      <c r="A1482" s="2" t="s">
        <v>11329</v>
      </c>
      <c r="B1482" s="2" t="s">
        <v>5885</v>
      </c>
      <c r="C1482" s="6" t="s">
        <v>5879</v>
      </c>
      <c r="D1482" s="6" t="s">
        <v>42</v>
      </c>
      <c r="E1482" s="7">
        <v>44927</v>
      </c>
      <c r="F1482" s="8" t="s">
        <v>77</v>
      </c>
      <c r="G1482" s="2" t="s">
        <v>26</v>
      </c>
      <c r="H1482" s="8" t="s">
        <v>28</v>
      </c>
      <c r="I1482" s="2" t="s">
        <v>26</v>
      </c>
      <c r="J1482" s="7">
        <v>44927</v>
      </c>
      <c r="K1482" s="8" t="s">
        <v>77</v>
      </c>
      <c r="L1482" s="2" t="s">
        <v>26</v>
      </c>
      <c r="M1482" s="8" t="s">
        <v>28</v>
      </c>
      <c r="N1482" s="6" t="s">
        <v>2264</v>
      </c>
      <c r="O1482" s="6" t="s">
        <v>30</v>
      </c>
      <c r="P1482" s="2" t="s">
        <v>12862</v>
      </c>
    </row>
    <row r="1483" spans="1:16" ht="13.15" x14ac:dyDescent="0.4">
      <c r="A1483" s="2" t="s">
        <v>11403</v>
      </c>
      <c r="B1483" s="2" t="s">
        <v>5885</v>
      </c>
      <c r="C1483" s="6" t="s">
        <v>5879</v>
      </c>
      <c r="D1483" s="6" t="s">
        <v>42</v>
      </c>
      <c r="E1483" s="7">
        <v>44927</v>
      </c>
      <c r="F1483" s="8" t="s">
        <v>77</v>
      </c>
      <c r="G1483" s="2" t="s">
        <v>26</v>
      </c>
      <c r="H1483" s="8" t="s">
        <v>28</v>
      </c>
      <c r="I1483" s="2" t="s">
        <v>26</v>
      </c>
      <c r="J1483" s="7">
        <v>44927</v>
      </c>
      <c r="K1483" s="8" t="s">
        <v>77</v>
      </c>
      <c r="L1483" s="2" t="s">
        <v>26</v>
      </c>
      <c r="M1483" s="8" t="s">
        <v>28</v>
      </c>
      <c r="N1483" s="6" t="s">
        <v>2264</v>
      </c>
      <c r="O1483" s="6" t="s">
        <v>30</v>
      </c>
      <c r="P1483" s="2" t="s">
        <v>12863</v>
      </c>
    </row>
    <row r="1484" spans="1:16" ht="13.15" x14ac:dyDescent="0.4">
      <c r="A1484" s="2" t="s">
        <v>11350</v>
      </c>
      <c r="B1484" s="2" t="s">
        <v>5885</v>
      </c>
      <c r="C1484" s="6" t="s">
        <v>5879</v>
      </c>
      <c r="D1484" s="6" t="s">
        <v>42</v>
      </c>
      <c r="E1484" s="7">
        <v>44927</v>
      </c>
      <c r="F1484" s="8" t="s">
        <v>77</v>
      </c>
      <c r="G1484" s="2" t="s">
        <v>26</v>
      </c>
      <c r="H1484" s="8" t="s">
        <v>28</v>
      </c>
      <c r="I1484" s="2" t="s">
        <v>26</v>
      </c>
      <c r="J1484" s="7">
        <v>44927</v>
      </c>
      <c r="K1484" s="8" t="s">
        <v>77</v>
      </c>
      <c r="L1484" s="2" t="s">
        <v>26</v>
      </c>
      <c r="M1484" s="8" t="s">
        <v>28</v>
      </c>
      <c r="N1484" s="6" t="s">
        <v>2264</v>
      </c>
      <c r="O1484" s="6" t="s">
        <v>30</v>
      </c>
      <c r="P1484" s="2" t="s">
        <v>12864</v>
      </c>
    </row>
    <row r="1485" spans="1:16" ht="13.15" x14ac:dyDescent="0.4">
      <c r="A1485" s="2" t="s">
        <v>10941</v>
      </c>
      <c r="B1485" s="2" t="s">
        <v>5885</v>
      </c>
      <c r="C1485" s="6" t="s">
        <v>5879</v>
      </c>
      <c r="D1485" s="6" t="s">
        <v>42</v>
      </c>
      <c r="E1485" s="7">
        <v>44927</v>
      </c>
      <c r="F1485" s="8" t="s">
        <v>77</v>
      </c>
      <c r="G1485" s="2" t="s">
        <v>26</v>
      </c>
      <c r="H1485" s="8" t="s">
        <v>28</v>
      </c>
      <c r="I1485" s="2" t="s">
        <v>26</v>
      </c>
      <c r="J1485" s="7">
        <v>44927</v>
      </c>
      <c r="K1485" s="8" t="s">
        <v>77</v>
      </c>
      <c r="L1485" s="2" t="s">
        <v>26</v>
      </c>
      <c r="M1485" s="8" t="s">
        <v>28</v>
      </c>
      <c r="N1485" s="6" t="s">
        <v>2264</v>
      </c>
      <c r="O1485" s="6" t="s">
        <v>30</v>
      </c>
      <c r="P1485" s="2" t="s">
        <v>12865</v>
      </c>
    </row>
    <row r="1486" spans="1:16" ht="13.15" x14ac:dyDescent="0.4">
      <c r="A1486" s="2" t="s">
        <v>11384</v>
      </c>
      <c r="B1486" s="2" t="s">
        <v>5885</v>
      </c>
      <c r="C1486" s="6" t="s">
        <v>5879</v>
      </c>
      <c r="D1486" s="6" t="s">
        <v>42</v>
      </c>
      <c r="E1486" s="7">
        <v>44927</v>
      </c>
      <c r="F1486" s="8" t="s">
        <v>77</v>
      </c>
      <c r="G1486" s="2" t="s">
        <v>26</v>
      </c>
      <c r="H1486" s="8" t="s">
        <v>28</v>
      </c>
      <c r="I1486" s="2" t="s">
        <v>26</v>
      </c>
      <c r="J1486" s="7">
        <v>44927</v>
      </c>
      <c r="K1486" s="8" t="s">
        <v>77</v>
      </c>
      <c r="L1486" s="2" t="s">
        <v>26</v>
      </c>
      <c r="M1486" s="8" t="s">
        <v>28</v>
      </c>
      <c r="N1486" s="6" t="s">
        <v>2264</v>
      </c>
      <c r="O1486" s="6" t="s">
        <v>30</v>
      </c>
      <c r="P1486" s="2" t="s">
        <v>12866</v>
      </c>
    </row>
    <row r="1487" spans="1:16" ht="13.15" x14ac:dyDescent="0.4">
      <c r="A1487" s="2" t="s">
        <v>11333</v>
      </c>
      <c r="B1487" s="2" t="s">
        <v>5885</v>
      </c>
      <c r="C1487" s="6" t="s">
        <v>5879</v>
      </c>
      <c r="D1487" s="6" t="s">
        <v>42</v>
      </c>
      <c r="E1487" s="7">
        <v>44927</v>
      </c>
      <c r="F1487" s="8" t="s">
        <v>77</v>
      </c>
      <c r="G1487" s="2" t="s">
        <v>26</v>
      </c>
      <c r="H1487" s="8" t="s">
        <v>28</v>
      </c>
      <c r="I1487" s="2" t="s">
        <v>26</v>
      </c>
      <c r="J1487" s="7">
        <v>44927</v>
      </c>
      <c r="K1487" s="8" t="s">
        <v>77</v>
      </c>
      <c r="L1487" s="2" t="s">
        <v>26</v>
      </c>
      <c r="M1487" s="8" t="s">
        <v>28</v>
      </c>
      <c r="N1487" s="6" t="s">
        <v>2264</v>
      </c>
      <c r="O1487" s="6" t="s">
        <v>30</v>
      </c>
      <c r="P1487" s="2" t="s">
        <v>12867</v>
      </c>
    </row>
    <row r="1488" spans="1:16" ht="13.15" x14ac:dyDescent="0.4">
      <c r="A1488" s="2" t="s">
        <v>11342</v>
      </c>
      <c r="B1488" s="2" t="s">
        <v>5885</v>
      </c>
      <c r="C1488" s="6" t="s">
        <v>5879</v>
      </c>
      <c r="D1488" s="6" t="s">
        <v>42</v>
      </c>
      <c r="E1488" s="7">
        <v>44927</v>
      </c>
      <c r="F1488" s="8" t="s">
        <v>77</v>
      </c>
      <c r="G1488" s="2" t="s">
        <v>26</v>
      </c>
      <c r="H1488" s="8" t="s">
        <v>28</v>
      </c>
      <c r="I1488" s="2" t="s">
        <v>26</v>
      </c>
      <c r="J1488" s="7">
        <v>44927</v>
      </c>
      <c r="K1488" s="8" t="s">
        <v>77</v>
      </c>
      <c r="L1488" s="2" t="s">
        <v>26</v>
      </c>
      <c r="M1488" s="8" t="s">
        <v>28</v>
      </c>
      <c r="N1488" s="6" t="s">
        <v>2264</v>
      </c>
      <c r="O1488" s="6" t="s">
        <v>30</v>
      </c>
      <c r="P1488" s="2" t="s">
        <v>12868</v>
      </c>
    </row>
    <row r="1489" spans="1:16" ht="13.15" x14ac:dyDescent="0.4">
      <c r="A1489" s="2" t="s">
        <v>11386</v>
      </c>
      <c r="B1489" s="2" t="s">
        <v>5885</v>
      </c>
      <c r="C1489" s="6" t="s">
        <v>5879</v>
      </c>
      <c r="D1489" s="6" t="s">
        <v>42</v>
      </c>
      <c r="E1489" s="7">
        <v>44927</v>
      </c>
      <c r="F1489" s="8" t="s">
        <v>77</v>
      </c>
      <c r="G1489" s="2" t="s">
        <v>26</v>
      </c>
      <c r="H1489" s="8" t="s">
        <v>28</v>
      </c>
      <c r="I1489" s="2" t="s">
        <v>26</v>
      </c>
      <c r="J1489" s="7">
        <v>44927</v>
      </c>
      <c r="K1489" s="8" t="s">
        <v>77</v>
      </c>
      <c r="L1489" s="2" t="s">
        <v>26</v>
      </c>
      <c r="M1489" s="8" t="s">
        <v>28</v>
      </c>
      <c r="N1489" s="6" t="s">
        <v>2264</v>
      </c>
      <c r="O1489" s="6" t="s">
        <v>30</v>
      </c>
      <c r="P1489" s="2" t="s">
        <v>12869</v>
      </c>
    </row>
    <row r="1490" spans="1:16" ht="13.15" x14ac:dyDescent="0.4">
      <c r="A1490" s="2" t="s">
        <v>11173</v>
      </c>
      <c r="B1490" s="2" t="s">
        <v>5885</v>
      </c>
      <c r="C1490" s="6" t="s">
        <v>5879</v>
      </c>
      <c r="D1490" s="6" t="s">
        <v>42</v>
      </c>
      <c r="E1490" s="7">
        <v>44927</v>
      </c>
      <c r="F1490" s="8" t="s">
        <v>77</v>
      </c>
      <c r="G1490" s="2" t="s">
        <v>26</v>
      </c>
      <c r="H1490" s="8" t="s">
        <v>28</v>
      </c>
      <c r="I1490" s="2" t="s">
        <v>26</v>
      </c>
      <c r="J1490" s="7">
        <v>44927</v>
      </c>
      <c r="K1490" s="8" t="s">
        <v>77</v>
      </c>
      <c r="L1490" s="2" t="s">
        <v>26</v>
      </c>
      <c r="M1490" s="8" t="s">
        <v>28</v>
      </c>
      <c r="N1490" s="6" t="s">
        <v>2264</v>
      </c>
      <c r="O1490" s="6" t="s">
        <v>30</v>
      </c>
      <c r="P1490" s="2" t="s">
        <v>12870</v>
      </c>
    </row>
    <row r="1491" spans="1:16" ht="13.15" x14ac:dyDescent="0.4">
      <c r="A1491" s="2" t="s">
        <v>11361</v>
      </c>
      <c r="B1491" s="2" t="s">
        <v>5885</v>
      </c>
      <c r="C1491" s="6" t="s">
        <v>5879</v>
      </c>
      <c r="D1491" s="6" t="s">
        <v>42</v>
      </c>
      <c r="E1491" s="7">
        <v>44927</v>
      </c>
      <c r="F1491" s="8" t="s">
        <v>77</v>
      </c>
      <c r="G1491" s="2" t="s">
        <v>26</v>
      </c>
      <c r="H1491" s="8" t="s">
        <v>28</v>
      </c>
      <c r="I1491" s="2" t="s">
        <v>26</v>
      </c>
      <c r="J1491" s="7">
        <v>44927</v>
      </c>
      <c r="K1491" s="8" t="s">
        <v>77</v>
      </c>
      <c r="L1491" s="2" t="s">
        <v>26</v>
      </c>
      <c r="M1491" s="8" t="s">
        <v>28</v>
      </c>
      <c r="N1491" s="6" t="s">
        <v>2264</v>
      </c>
      <c r="O1491" s="6" t="s">
        <v>30</v>
      </c>
      <c r="P1491" s="2" t="s">
        <v>12871</v>
      </c>
    </row>
    <row r="1492" spans="1:16" ht="13.15" x14ac:dyDescent="0.4">
      <c r="A1492" s="2" t="s">
        <v>11406</v>
      </c>
      <c r="B1492" s="2" t="s">
        <v>5885</v>
      </c>
      <c r="C1492" s="6" t="s">
        <v>5879</v>
      </c>
      <c r="D1492" s="6" t="s">
        <v>42</v>
      </c>
      <c r="E1492" s="7">
        <v>44927</v>
      </c>
      <c r="F1492" s="8" t="s">
        <v>77</v>
      </c>
      <c r="G1492" s="2" t="s">
        <v>26</v>
      </c>
      <c r="H1492" s="8" t="s">
        <v>28</v>
      </c>
      <c r="I1492" s="2" t="s">
        <v>26</v>
      </c>
      <c r="J1492" s="7">
        <v>44927</v>
      </c>
      <c r="K1492" s="8" t="s">
        <v>77</v>
      </c>
      <c r="L1492" s="2" t="s">
        <v>26</v>
      </c>
      <c r="M1492" s="8" t="s">
        <v>28</v>
      </c>
      <c r="N1492" s="6" t="s">
        <v>2264</v>
      </c>
      <c r="O1492" s="6" t="s">
        <v>30</v>
      </c>
      <c r="P1492" s="2" t="s">
        <v>12872</v>
      </c>
    </row>
    <row r="1493" spans="1:16" ht="13.15" x14ac:dyDescent="0.4">
      <c r="A1493" s="2" t="s">
        <v>11405</v>
      </c>
      <c r="B1493" s="2" t="s">
        <v>5885</v>
      </c>
      <c r="C1493" s="6" t="s">
        <v>5879</v>
      </c>
      <c r="D1493" s="6" t="s">
        <v>42</v>
      </c>
      <c r="E1493" s="7">
        <v>44927</v>
      </c>
      <c r="F1493" s="8" t="s">
        <v>77</v>
      </c>
      <c r="G1493" s="2" t="s">
        <v>26</v>
      </c>
      <c r="H1493" s="8" t="s">
        <v>28</v>
      </c>
      <c r="I1493" s="2" t="s">
        <v>26</v>
      </c>
      <c r="J1493" s="7">
        <v>44927</v>
      </c>
      <c r="K1493" s="8" t="s">
        <v>77</v>
      </c>
      <c r="L1493" s="2" t="s">
        <v>26</v>
      </c>
      <c r="M1493" s="8" t="s">
        <v>28</v>
      </c>
      <c r="N1493" s="6" t="s">
        <v>2264</v>
      </c>
      <c r="O1493" s="6" t="s">
        <v>30</v>
      </c>
      <c r="P1493" s="2" t="s">
        <v>12873</v>
      </c>
    </row>
    <row r="1494" spans="1:16" ht="13.15" x14ac:dyDescent="0.4">
      <c r="A1494" s="2" t="s">
        <v>11371</v>
      </c>
      <c r="B1494" s="2" t="s">
        <v>5885</v>
      </c>
      <c r="C1494" s="6" t="s">
        <v>5879</v>
      </c>
      <c r="D1494" s="6" t="s">
        <v>42</v>
      </c>
      <c r="E1494" s="7">
        <v>44927</v>
      </c>
      <c r="F1494" s="8" t="s">
        <v>77</v>
      </c>
      <c r="G1494" s="2" t="s">
        <v>26</v>
      </c>
      <c r="H1494" s="8" t="s">
        <v>28</v>
      </c>
      <c r="I1494" s="2" t="s">
        <v>26</v>
      </c>
      <c r="J1494" s="7">
        <v>44927</v>
      </c>
      <c r="K1494" s="8" t="s">
        <v>77</v>
      </c>
      <c r="L1494" s="2" t="s">
        <v>26</v>
      </c>
      <c r="M1494" s="8" t="s">
        <v>28</v>
      </c>
      <c r="N1494" s="6" t="s">
        <v>2264</v>
      </c>
      <c r="O1494" s="6" t="s">
        <v>30</v>
      </c>
      <c r="P1494" s="2" t="s">
        <v>12874</v>
      </c>
    </row>
    <row r="1495" spans="1:16" ht="13.15" x14ac:dyDescent="0.4">
      <c r="A1495" s="2" t="s">
        <v>11575</v>
      </c>
      <c r="B1495" s="2" t="s">
        <v>5885</v>
      </c>
      <c r="C1495" s="6" t="s">
        <v>5879</v>
      </c>
      <c r="D1495" s="6" t="s">
        <v>42</v>
      </c>
      <c r="E1495" s="7">
        <v>44927</v>
      </c>
      <c r="F1495" s="8" t="s">
        <v>77</v>
      </c>
      <c r="G1495" s="2" t="s">
        <v>26</v>
      </c>
      <c r="H1495" s="8" t="s">
        <v>28</v>
      </c>
      <c r="I1495" s="2" t="s">
        <v>26</v>
      </c>
      <c r="J1495" s="7">
        <v>44927</v>
      </c>
      <c r="K1495" s="8" t="s">
        <v>77</v>
      </c>
      <c r="L1495" s="2" t="s">
        <v>26</v>
      </c>
      <c r="M1495" s="8" t="s">
        <v>28</v>
      </c>
      <c r="N1495" s="6" t="s">
        <v>2264</v>
      </c>
      <c r="O1495" s="6" t="s">
        <v>30</v>
      </c>
      <c r="P1495" s="2" t="s">
        <v>12875</v>
      </c>
    </row>
    <row r="1496" spans="1:16" ht="13.15" x14ac:dyDescent="0.4">
      <c r="A1496" s="2" t="s">
        <v>11223</v>
      </c>
      <c r="B1496" s="2" t="s">
        <v>5885</v>
      </c>
      <c r="C1496" s="6" t="s">
        <v>5879</v>
      </c>
      <c r="D1496" s="6" t="s">
        <v>42</v>
      </c>
      <c r="E1496" s="7">
        <v>44927</v>
      </c>
      <c r="F1496" s="8" t="s">
        <v>77</v>
      </c>
      <c r="G1496" s="2" t="s">
        <v>26</v>
      </c>
      <c r="H1496" s="8" t="s">
        <v>28</v>
      </c>
      <c r="I1496" s="2" t="s">
        <v>26</v>
      </c>
      <c r="J1496" s="7">
        <v>44927</v>
      </c>
      <c r="K1496" s="8" t="s">
        <v>77</v>
      </c>
      <c r="L1496" s="2" t="s">
        <v>26</v>
      </c>
      <c r="M1496" s="8" t="s">
        <v>28</v>
      </c>
      <c r="N1496" s="6" t="s">
        <v>2264</v>
      </c>
      <c r="O1496" s="6" t="s">
        <v>30</v>
      </c>
      <c r="P1496" s="2" t="s">
        <v>12876</v>
      </c>
    </row>
    <row r="1497" spans="1:16" ht="13.15" x14ac:dyDescent="0.4">
      <c r="A1497" s="2" t="s">
        <v>11233</v>
      </c>
      <c r="B1497" s="2" t="s">
        <v>5885</v>
      </c>
      <c r="C1497" s="6" t="s">
        <v>5879</v>
      </c>
      <c r="D1497" s="6" t="s">
        <v>42</v>
      </c>
      <c r="E1497" s="7">
        <v>44927</v>
      </c>
      <c r="F1497" s="8" t="s">
        <v>77</v>
      </c>
      <c r="G1497" s="2" t="s">
        <v>26</v>
      </c>
      <c r="H1497" s="8" t="s">
        <v>28</v>
      </c>
      <c r="I1497" s="2" t="s">
        <v>26</v>
      </c>
      <c r="J1497" s="7">
        <v>44927</v>
      </c>
      <c r="K1497" s="8" t="s">
        <v>77</v>
      </c>
      <c r="L1497" s="2" t="s">
        <v>26</v>
      </c>
      <c r="M1497" s="8" t="s">
        <v>28</v>
      </c>
      <c r="N1497" s="6" t="s">
        <v>2264</v>
      </c>
      <c r="O1497" s="6" t="s">
        <v>30</v>
      </c>
      <c r="P1497" s="2" t="s">
        <v>12877</v>
      </c>
    </row>
    <row r="1498" spans="1:16" ht="13.15" x14ac:dyDescent="0.4">
      <c r="A1498" s="2" t="s">
        <v>11296</v>
      </c>
      <c r="B1498" s="2" t="s">
        <v>5885</v>
      </c>
      <c r="C1498" s="6" t="s">
        <v>5879</v>
      </c>
      <c r="D1498" s="6" t="s">
        <v>42</v>
      </c>
      <c r="E1498" s="7">
        <v>44927</v>
      </c>
      <c r="F1498" s="8" t="s">
        <v>77</v>
      </c>
      <c r="G1498" s="2" t="s">
        <v>26</v>
      </c>
      <c r="H1498" s="8" t="s">
        <v>28</v>
      </c>
      <c r="I1498" s="2" t="s">
        <v>26</v>
      </c>
      <c r="J1498" s="7">
        <v>44927</v>
      </c>
      <c r="K1498" s="8" t="s">
        <v>77</v>
      </c>
      <c r="L1498" s="2" t="s">
        <v>26</v>
      </c>
      <c r="M1498" s="8" t="s">
        <v>28</v>
      </c>
      <c r="N1498" s="6" t="s">
        <v>2264</v>
      </c>
      <c r="O1498" s="6" t="s">
        <v>30</v>
      </c>
      <c r="P1498" s="2" t="s">
        <v>12878</v>
      </c>
    </row>
    <row r="1499" spans="1:16" ht="13.15" x14ac:dyDescent="0.4">
      <c r="A1499" s="2" t="s">
        <v>11335</v>
      </c>
      <c r="B1499" s="2" t="s">
        <v>5885</v>
      </c>
      <c r="C1499" s="6" t="s">
        <v>5879</v>
      </c>
      <c r="D1499" s="6" t="s">
        <v>42</v>
      </c>
      <c r="E1499" s="7">
        <v>44927</v>
      </c>
      <c r="F1499" s="8" t="s">
        <v>77</v>
      </c>
      <c r="G1499" s="2" t="s">
        <v>26</v>
      </c>
      <c r="H1499" s="8" t="s">
        <v>28</v>
      </c>
      <c r="I1499" s="2" t="s">
        <v>26</v>
      </c>
      <c r="J1499" s="7">
        <v>44927</v>
      </c>
      <c r="K1499" s="8" t="s">
        <v>77</v>
      </c>
      <c r="L1499" s="2" t="s">
        <v>26</v>
      </c>
      <c r="M1499" s="8" t="s">
        <v>28</v>
      </c>
      <c r="N1499" s="6" t="s">
        <v>2264</v>
      </c>
      <c r="O1499" s="6" t="s">
        <v>30</v>
      </c>
      <c r="P1499" s="2" t="s">
        <v>12879</v>
      </c>
    </row>
    <row r="1500" spans="1:16" ht="13.15" x14ac:dyDescent="0.4">
      <c r="A1500" s="2" t="s">
        <v>11235</v>
      </c>
      <c r="B1500" s="2" t="s">
        <v>5885</v>
      </c>
      <c r="C1500" s="6" t="s">
        <v>5879</v>
      </c>
      <c r="D1500" s="6" t="s">
        <v>42</v>
      </c>
      <c r="E1500" s="7">
        <v>44927</v>
      </c>
      <c r="F1500" s="8" t="s">
        <v>77</v>
      </c>
      <c r="G1500" s="2" t="s">
        <v>26</v>
      </c>
      <c r="H1500" s="8" t="s">
        <v>28</v>
      </c>
      <c r="I1500" s="2" t="s">
        <v>26</v>
      </c>
      <c r="J1500" s="7">
        <v>44927</v>
      </c>
      <c r="K1500" s="8" t="s">
        <v>77</v>
      </c>
      <c r="L1500" s="2" t="s">
        <v>26</v>
      </c>
      <c r="M1500" s="8" t="s">
        <v>28</v>
      </c>
      <c r="N1500" s="6" t="s">
        <v>2264</v>
      </c>
      <c r="O1500" s="6" t="s">
        <v>30</v>
      </c>
      <c r="P1500" s="2" t="s">
        <v>12880</v>
      </c>
    </row>
    <row r="1501" spans="1:16" ht="13.15" x14ac:dyDescent="0.4">
      <c r="A1501" s="2" t="s">
        <v>11368</v>
      </c>
      <c r="B1501" s="2" t="s">
        <v>5885</v>
      </c>
      <c r="C1501" s="6" t="s">
        <v>5879</v>
      </c>
      <c r="D1501" s="6" t="s">
        <v>42</v>
      </c>
      <c r="E1501" s="7">
        <v>44927</v>
      </c>
      <c r="F1501" s="8" t="s">
        <v>77</v>
      </c>
      <c r="G1501" s="2" t="s">
        <v>26</v>
      </c>
      <c r="H1501" s="8" t="s">
        <v>28</v>
      </c>
      <c r="I1501" s="2" t="s">
        <v>26</v>
      </c>
      <c r="J1501" s="7">
        <v>44927</v>
      </c>
      <c r="K1501" s="8" t="s">
        <v>77</v>
      </c>
      <c r="L1501" s="2" t="s">
        <v>26</v>
      </c>
      <c r="M1501" s="8" t="s">
        <v>28</v>
      </c>
      <c r="N1501" s="6" t="s">
        <v>2264</v>
      </c>
      <c r="O1501" s="6" t="s">
        <v>30</v>
      </c>
      <c r="P1501" s="2" t="s">
        <v>12881</v>
      </c>
    </row>
    <row r="1502" spans="1:16" ht="13.15" x14ac:dyDescent="0.4">
      <c r="A1502" s="2" t="s">
        <v>11257</v>
      </c>
      <c r="B1502" s="2" t="s">
        <v>5885</v>
      </c>
      <c r="C1502" s="6" t="s">
        <v>5879</v>
      </c>
      <c r="D1502" s="6" t="s">
        <v>42</v>
      </c>
      <c r="E1502" s="7">
        <v>44927</v>
      </c>
      <c r="F1502" s="8" t="s">
        <v>77</v>
      </c>
      <c r="G1502" s="2" t="s">
        <v>26</v>
      </c>
      <c r="H1502" s="8" t="s">
        <v>28</v>
      </c>
      <c r="I1502" s="2" t="s">
        <v>26</v>
      </c>
      <c r="J1502" s="7">
        <v>44927</v>
      </c>
      <c r="K1502" s="8" t="s">
        <v>77</v>
      </c>
      <c r="L1502" s="2" t="s">
        <v>26</v>
      </c>
      <c r="M1502" s="8" t="s">
        <v>28</v>
      </c>
      <c r="N1502" s="6" t="s">
        <v>2264</v>
      </c>
      <c r="O1502" s="6" t="s">
        <v>30</v>
      </c>
      <c r="P1502" s="2" t="s">
        <v>12882</v>
      </c>
    </row>
    <row r="1503" spans="1:16" ht="13.15" x14ac:dyDescent="0.4">
      <c r="A1503" s="2" t="s">
        <v>11057</v>
      </c>
      <c r="B1503" s="2" t="s">
        <v>5885</v>
      </c>
      <c r="C1503" s="6" t="s">
        <v>5879</v>
      </c>
      <c r="D1503" s="6" t="s">
        <v>42</v>
      </c>
      <c r="E1503" s="7">
        <v>44927</v>
      </c>
      <c r="F1503" s="8" t="s">
        <v>77</v>
      </c>
      <c r="G1503" s="2" t="s">
        <v>26</v>
      </c>
      <c r="H1503" s="8" t="s">
        <v>28</v>
      </c>
      <c r="I1503" s="2" t="s">
        <v>26</v>
      </c>
      <c r="J1503" s="7">
        <v>44927</v>
      </c>
      <c r="K1503" s="8" t="s">
        <v>77</v>
      </c>
      <c r="L1503" s="2" t="s">
        <v>26</v>
      </c>
      <c r="M1503" s="8" t="s">
        <v>28</v>
      </c>
      <c r="N1503" s="6" t="s">
        <v>2264</v>
      </c>
      <c r="O1503" s="6" t="s">
        <v>30</v>
      </c>
      <c r="P1503" s="2" t="s">
        <v>12883</v>
      </c>
    </row>
    <row r="1504" spans="1:16" ht="13.15" x14ac:dyDescent="0.4">
      <c r="A1504" s="2" t="s">
        <v>11279</v>
      </c>
      <c r="B1504" s="2" t="s">
        <v>5885</v>
      </c>
      <c r="C1504" s="6" t="s">
        <v>5879</v>
      </c>
      <c r="D1504" s="6" t="s">
        <v>42</v>
      </c>
      <c r="E1504" s="7">
        <v>44927</v>
      </c>
      <c r="F1504" s="8" t="s">
        <v>77</v>
      </c>
      <c r="G1504" s="2" t="s">
        <v>26</v>
      </c>
      <c r="H1504" s="8" t="s">
        <v>28</v>
      </c>
      <c r="I1504" s="2" t="s">
        <v>26</v>
      </c>
      <c r="J1504" s="7">
        <v>44927</v>
      </c>
      <c r="K1504" s="8" t="s">
        <v>77</v>
      </c>
      <c r="L1504" s="2" t="s">
        <v>26</v>
      </c>
      <c r="M1504" s="8" t="s">
        <v>28</v>
      </c>
      <c r="N1504" s="6" t="s">
        <v>2264</v>
      </c>
      <c r="O1504" s="6" t="s">
        <v>30</v>
      </c>
      <c r="P1504" s="2" t="s">
        <v>12884</v>
      </c>
    </row>
    <row r="1505" spans="1:16" ht="13.15" x14ac:dyDescent="0.4">
      <c r="A1505" s="2" t="s">
        <v>11164</v>
      </c>
      <c r="B1505" s="2" t="s">
        <v>5885</v>
      </c>
      <c r="C1505" s="6" t="s">
        <v>5879</v>
      </c>
      <c r="D1505" s="6" t="s">
        <v>42</v>
      </c>
      <c r="E1505" s="7">
        <v>44927</v>
      </c>
      <c r="F1505" s="8" t="s">
        <v>77</v>
      </c>
      <c r="G1505" s="2" t="s">
        <v>26</v>
      </c>
      <c r="H1505" s="8" t="s">
        <v>28</v>
      </c>
      <c r="I1505" s="2" t="s">
        <v>26</v>
      </c>
      <c r="J1505" s="7">
        <v>44927</v>
      </c>
      <c r="K1505" s="8" t="s">
        <v>77</v>
      </c>
      <c r="L1505" s="2" t="s">
        <v>26</v>
      </c>
      <c r="M1505" s="8" t="s">
        <v>28</v>
      </c>
      <c r="N1505" s="6" t="s">
        <v>2264</v>
      </c>
      <c r="O1505" s="6" t="s">
        <v>30</v>
      </c>
      <c r="P1505" s="2" t="s">
        <v>12885</v>
      </c>
    </row>
    <row r="1506" spans="1:16" ht="13.15" x14ac:dyDescent="0.4">
      <c r="A1506" s="2" t="s">
        <v>11373</v>
      </c>
      <c r="B1506" s="2" t="s">
        <v>5885</v>
      </c>
      <c r="C1506" s="6" t="s">
        <v>5879</v>
      </c>
      <c r="D1506" s="6" t="s">
        <v>42</v>
      </c>
      <c r="E1506" s="7">
        <v>44927</v>
      </c>
      <c r="F1506" s="8" t="s">
        <v>77</v>
      </c>
      <c r="G1506" s="2" t="s">
        <v>26</v>
      </c>
      <c r="H1506" s="8" t="s">
        <v>28</v>
      </c>
      <c r="I1506" s="2" t="s">
        <v>26</v>
      </c>
      <c r="J1506" s="7">
        <v>44927</v>
      </c>
      <c r="K1506" s="8" t="s">
        <v>77</v>
      </c>
      <c r="L1506" s="2" t="s">
        <v>26</v>
      </c>
      <c r="M1506" s="8" t="s">
        <v>28</v>
      </c>
      <c r="N1506" s="6" t="s">
        <v>2264</v>
      </c>
      <c r="O1506" s="6" t="s">
        <v>30</v>
      </c>
      <c r="P1506" s="2" t="s">
        <v>12886</v>
      </c>
    </row>
    <row r="1507" spans="1:16" ht="13.15" x14ac:dyDescent="0.4">
      <c r="A1507" s="2" t="s">
        <v>11322</v>
      </c>
      <c r="B1507" s="2" t="s">
        <v>5885</v>
      </c>
      <c r="C1507" s="6" t="s">
        <v>5879</v>
      </c>
      <c r="D1507" s="6" t="s">
        <v>42</v>
      </c>
      <c r="E1507" s="7">
        <v>44927</v>
      </c>
      <c r="F1507" s="8" t="s">
        <v>77</v>
      </c>
      <c r="G1507" s="2" t="s">
        <v>26</v>
      </c>
      <c r="H1507" s="8" t="s">
        <v>28</v>
      </c>
      <c r="I1507" s="2" t="s">
        <v>26</v>
      </c>
      <c r="J1507" s="7">
        <v>44927</v>
      </c>
      <c r="K1507" s="8" t="s">
        <v>77</v>
      </c>
      <c r="L1507" s="2" t="s">
        <v>26</v>
      </c>
      <c r="M1507" s="8" t="s">
        <v>28</v>
      </c>
      <c r="N1507" s="6" t="s">
        <v>2264</v>
      </c>
      <c r="O1507" s="6" t="s">
        <v>30</v>
      </c>
      <c r="P1507" s="2" t="s">
        <v>12887</v>
      </c>
    </row>
    <row r="1508" spans="1:16" ht="13.15" x14ac:dyDescent="0.4">
      <c r="A1508" s="2" t="s">
        <v>11280</v>
      </c>
      <c r="B1508" s="2" t="s">
        <v>5885</v>
      </c>
      <c r="C1508" s="6" t="s">
        <v>5879</v>
      </c>
      <c r="D1508" s="6" t="s">
        <v>42</v>
      </c>
      <c r="E1508" s="7">
        <v>44927</v>
      </c>
      <c r="F1508" s="8" t="s">
        <v>77</v>
      </c>
      <c r="G1508" s="2" t="s">
        <v>26</v>
      </c>
      <c r="H1508" s="8" t="s">
        <v>28</v>
      </c>
      <c r="I1508" s="2" t="s">
        <v>26</v>
      </c>
      <c r="J1508" s="7">
        <v>44927</v>
      </c>
      <c r="K1508" s="8" t="s">
        <v>77</v>
      </c>
      <c r="L1508" s="2" t="s">
        <v>26</v>
      </c>
      <c r="M1508" s="8" t="s">
        <v>28</v>
      </c>
      <c r="N1508" s="6" t="s">
        <v>2264</v>
      </c>
      <c r="O1508" s="6" t="s">
        <v>30</v>
      </c>
      <c r="P1508" s="2" t="s">
        <v>12888</v>
      </c>
    </row>
    <row r="1509" spans="1:16" ht="13.15" x14ac:dyDescent="0.4">
      <c r="A1509" s="2" t="s">
        <v>11253</v>
      </c>
      <c r="B1509" s="2" t="s">
        <v>5885</v>
      </c>
      <c r="C1509" s="6" t="s">
        <v>5879</v>
      </c>
      <c r="D1509" s="6" t="s">
        <v>42</v>
      </c>
      <c r="E1509" s="7">
        <v>44927</v>
      </c>
      <c r="F1509" s="8" t="s">
        <v>77</v>
      </c>
      <c r="G1509" s="2" t="s">
        <v>26</v>
      </c>
      <c r="H1509" s="8" t="s">
        <v>28</v>
      </c>
      <c r="I1509" s="2" t="s">
        <v>26</v>
      </c>
      <c r="J1509" s="7">
        <v>44927</v>
      </c>
      <c r="K1509" s="8" t="s">
        <v>77</v>
      </c>
      <c r="L1509" s="2" t="s">
        <v>26</v>
      </c>
      <c r="M1509" s="8" t="s">
        <v>28</v>
      </c>
      <c r="N1509" s="6" t="s">
        <v>2264</v>
      </c>
      <c r="O1509" s="6" t="s">
        <v>30</v>
      </c>
      <c r="P1509" s="2" t="s">
        <v>12889</v>
      </c>
    </row>
    <row r="1510" spans="1:16" ht="13.15" x14ac:dyDescent="0.4">
      <c r="A1510" s="2" t="s">
        <v>10954</v>
      </c>
      <c r="B1510" s="2" t="s">
        <v>5885</v>
      </c>
      <c r="C1510" s="6" t="s">
        <v>5879</v>
      </c>
      <c r="D1510" s="6" t="s">
        <v>42</v>
      </c>
      <c r="E1510" s="7">
        <v>44927</v>
      </c>
      <c r="F1510" s="8" t="s">
        <v>77</v>
      </c>
      <c r="G1510" s="2" t="s">
        <v>26</v>
      </c>
      <c r="H1510" s="8" t="s">
        <v>28</v>
      </c>
      <c r="I1510" s="2" t="s">
        <v>26</v>
      </c>
      <c r="J1510" s="7">
        <v>44927</v>
      </c>
      <c r="K1510" s="8" t="s">
        <v>77</v>
      </c>
      <c r="L1510" s="2" t="s">
        <v>26</v>
      </c>
      <c r="M1510" s="8" t="s">
        <v>28</v>
      </c>
      <c r="N1510" s="6" t="s">
        <v>2264</v>
      </c>
      <c r="O1510" s="6" t="s">
        <v>30</v>
      </c>
      <c r="P1510" s="2" t="s">
        <v>12890</v>
      </c>
    </row>
    <row r="1511" spans="1:16" ht="13.15" x14ac:dyDescent="0.4">
      <c r="A1511" s="2" t="s">
        <v>11230</v>
      </c>
      <c r="B1511" s="2" t="s">
        <v>5885</v>
      </c>
      <c r="C1511" s="6" t="s">
        <v>5879</v>
      </c>
      <c r="D1511" s="6" t="s">
        <v>42</v>
      </c>
      <c r="E1511" s="7">
        <v>44927</v>
      </c>
      <c r="F1511" s="8" t="s">
        <v>77</v>
      </c>
      <c r="G1511" s="2" t="s">
        <v>26</v>
      </c>
      <c r="H1511" s="8" t="s">
        <v>28</v>
      </c>
      <c r="I1511" s="2" t="s">
        <v>26</v>
      </c>
      <c r="J1511" s="7">
        <v>44927</v>
      </c>
      <c r="K1511" s="8" t="s">
        <v>77</v>
      </c>
      <c r="L1511" s="2" t="s">
        <v>26</v>
      </c>
      <c r="M1511" s="8" t="s">
        <v>28</v>
      </c>
      <c r="N1511" s="6" t="s">
        <v>2264</v>
      </c>
      <c r="O1511" s="6" t="s">
        <v>30</v>
      </c>
      <c r="P1511" s="2" t="s">
        <v>12891</v>
      </c>
    </row>
    <row r="1512" spans="1:16" ht="13.15" x14ac:dyDescent="0.4">
      <c r="A1512" s="2" t="s">
        <v>11273</v>
      </c>
      <c r="B1512" s="2" t="s">
        <v>5885</v>
      </c>
      <c r="C1512" s="6" t="s">
        <v>5879</v>
      </c>
      <c r="D1512" s="6" t="s">
        <v>42</v>
      </c>
      <c r="E1512" s="7">
        <v>44927</v>
      </c>
      <c r="F1512" s="8" t="s">
        <v>77</v>
      </c>
      <c r="G1512" s="2" t="s">
        <v>26</v>
      </c>
      <c r="H1512" s="8" t="s">
        <v>28</v>
      </c>
      <c r="I1512" s="2" t="s">
        <v>26</v>
      </c>
      <c r="J1512" s="7">
        <v>44927</v>
      </c>
      <c r="K1512" s="8" t="s">
        <v>77</v>
      </c>
      <c r="L1512" s="2" t="s">
        <v>26</v>
      </c>
      <c r="M1512" s="8" t="s">
        <v>28</v>
      </c>
      <c r="N1512" s="6" t="s">
        <v>2264</v>
      </c>
      <c r="O1512" s="6" t="s">
        <v>30</v>
      </c>
      <c r="P1512" s="2" t="s">
        <v>12892</v>
      </c>
    </row>
    <row r="1513" spans="1:16" ht="13.15" x14ac:dyDescent="0.4">
      <c r="A1513" s="2" t="s">
        <v>11137</v>
      </c>
      <c r="B1513" s="2" t="s">
        <v>5885</v>
      </c>
      <c r="C1513" s="6" t="s">
        <v>5879</v>
      </c>
      <c r="D1513" s="6" t="s">
        <v>42</v>
      </c>
      <c r="E1513" s="7">
        <v>44927</v>
      </c>
      <c r="F1513" s="8" t="s">
        <v>77</v>
      </c>
      <c r="G1513" s="2" t="s">
        <v>26</v>
      </c>
      <c r="H1513" s="8" t="s">
        <v>28</v>
      </c>
      <c r="I1513" s="2" t="s">
        <v>26</v>
      </c>
      <c r="J1513" s="7">
        <v>44927</v>
      </c>
      <c r="K1513" s="8" t="s">
        <v>77</v>
      </c>
      <c r="L1513" s="2" t="s">
        <v>26</v>
      </c>
      <c r="M1513" s="8" t="s">
        <v>28</v>
      </c>
      <c r="N1513" s="6" t="s">
        <v>2264</v>
      </c>
      <c r="O1513" s="6" t="s">
        <v>30</v>
      </c>
      <c r="P1513" s="2" t="s">
        <v>12893</v>
      </c>
    </row>
    <row r="1514" spans="1:16" ht="13.15" x14ac:dyDescent="0.4">
      <c r="A1514" s="2" t="s">
        <v>11365</v>
      </c>
      <c r="B1514" s="2" t="s">
        <v>5885</v>
      </c>
      <c r="C1514" s="6" t="s">
        <v>5879</v>
      </c>
      <c r="D1514" s="6" t="s">
        <v>42</v>
      </c>
      <c r="E1514" s="7">
        <v>44927</v>
      </c>
      <c r="F1514" s="8" t="s">
        <v>77</v>
      </c>
      <c r="G1514" s="2" t="s">
        <v>26</v>
      </c>
      <c r="H1514" s="8" t="s">
        <v>28</v>
      </c>
      <c r="I1514" s="2" t="s">
        <v>26</v>
      </c>
      <c r="J1514" s="7">
        <v>44927</v>
      </c>
      <c r="K1514" s="8" t="s">
        <v>77</v>
      </c>
      <c r="L1514" s="2" t="s">
        <v>26</v>
      </c>
      <c r="M1514" s="8" t="s">
        <v>28</v>
      </c>
      <c r="N1514" s="6" t="s">
        <v>2264</v>
      </c>
      <c r="O1514" s="6" t="s">
        <v>30</v>
      </c>
      <c r="P1514" s="2" t="s">
        <v>12894</v>
      </c>
    </row>
    <row r="1515" spans="1:16" ht="13.15" x14ac:dyDescent="0.4">
      <c r="A1515" s="2" t="s">
        <v>11232</v>
      </c>
      <c r="B1515" s="2" t="s">
        <v>5885</v>
      </c>
      <c r="C1515" s="6" t="s">
        <v>5879</v>
      </c>
      <c r="D1515" s="6" t="s">
        <v>42</v>
      </c>
      <c r="E1515" s="7">
        <v>44927</v>
      </c>
      <c r="F1515" s="8" t="s">
        <v>77</v>
      </c>
      <c r="G1515" s="2" t="s">
        <v>26</v>
      </c>
      <c r="H1515" s="8" t="s">
        <v>28</v>
      </c>
      <c r="I1515" s="2" t="s">
        <v>26</v>
      </c>
      <c r="J1515" s="7">
        <v>44927</v>
      </c>
      <c r="K1515" s="8" t="s">
        <v>77</v>
      </c>
      <c r="L1515" s="2" t="s">
        <v>26</v>
      </c>
      <c r="M1515" s="8" t="s">
        <v>28</v>
      </c>
      <c r="N1515" s="6" t="s">
        <v>2264</v>
      </c>
      <c r="O1515" s="6" t="s">
        <v>30</v>
      </c>
      <c r="P1515" s="2" t="s">
        <v>12895</v>
      </c>
    </row>
    <row r="1516" spans="1:16" ht="13.15" x14ac:dyDescent="0.4">
      <c r="A1516" s="2" t="s">
        <v>11278</v>
      </c>
      <c r="B1516" s="2" t="s">
        <v>5885</v>
      </c>
      <c r="C1516" s="6" t="s">
        <v>5879</v>
      </c>
      <c r="D1516" s="6" t="s">
        <v>42</v>
      </c>
      <c r="E1516" s="7">
        <v>44927</v>
      </c>
      <c r="F1516" s="8" t="s">
        <v>77</v>
      </c>
      <c r="G1516" s="2" t="s">
        <v>26</v>
      </c>
      <c r="H1516" s="8" t="s">
        <v>28</v>
      </c>
      <c r="I1516" s="2" t="s">
        <v>26</v>
      </c>
      <c r="J1516" s="7">
        <v>44927</v>
      </c>
      <c r="K1516" s="8" t="s">
        <v>77</v>
      </c>
      <c r="L1516" s="2" t="s">
        <v>26</v>
      </c>
      <c r="M1516" s="8" t="s">
        <v>28</v>
      </c>
      <c r="N1516" s="6" t="s">
        <v>2264</v>
      </c>
      <c r="O1516" s="6" t="s">
        <v>30</v>
      </c>
      <c r="P1516" s="2" t="s">
        <v>12896</v>
      </c>
    </row>
    <row r="1517" spans="1:16" ht="13.15" x14ac:dyDescent="0.4">
      <c r="A1517" s="2" t="s">
        <v>11241</v>
      </c>
      <c r="B1517" s="2" t="s">
        <v>5885</v>
      </c>
      <c r="C1517" s="6" t="s">
        <v>5879</v>
      </c>
      <c r="D1517" s="6" t="s">
        <v>42</v>
      </c>
      <c r="E1517" s="7">
        <v>44927</v>
      </c>
      <c r="F1517" s="8" t="s">
        <v>77</v>
      </c>
      <c r="G1517" s="2" t="s">
        <v>26</v>
      </c>
      <c r="H1517" s="8" t="s">
        <v>28</v>
      </c>
      <c r="I1517" s="2" t="s">
        <v>26</v>
      </c>
      <c r="J1517" s="7">
        <v>44927</v>
      </c>
      <c r="K1517" s="8" t="s">
        <v>77</v>
      </c>
      <c r="L1517" s="2" t="s">
        <v>26</v>
      </c>
      <c r="M1517" s="8" t="s">
        <v>28</v>
      </c>
      <c r="N1517" s="6" t="s">
        <v>2264</v>
      </c>
      <c r="O1517" s="6" t="s">
        <v>30</v>
      </c>
      <c r="P1517" s="2" t="s">
        <v>12897</v>
      </c>
    </row>
    <row r="1518" spans="1:16" ht="13.15" x14ac:dyDescent="0.4">
      <c r="A1518" s="2" t="s">
        <v>11216</v>
      </c>
      <c r="B1518" s="2" t="s">
        <v>5885</v>
      </c>
      <c r="C1518" s="6" t="s">
        <v>5879</v>
      </c>
      <c r="D1518" s="6" t="s">
        <v>42</v>
      </c>
      <c r="E1518" s="7">
        <v>44927</v>
      </c>
      <c r="F1518" s="8" t="s">
        <v>77</v>
      </c>
      <c r="G1518" s="2" t="s">
        <v>26</v>
      </c>
      <c r="H1518" s="8" t="s">
        <v>28</v>
      </c>
      <c r="I1518" s="2" t="s">
        <v>26</v>
      </c>
      <c r="J1518" s="7">
        <v>44927</v>
      </c>
      <c r="K1518" s="8" t="s">
        <v>77</v>
      </c>
      <c r="L1518" s="2" t="s">
        <v>26</v>
      </c>
      <c r="M1518" s="8" t="s">
        <v>28</v>
      </c>
      <c r="N1518" s="6" t="s">
        <v>2264</v>
      </c>
      <c r="O1518" s="6" t="s">
        <v>30</v>
      </c>
      <c r="P1518" s="2" t="s">
        <v>12898</v>
      </c>
    </row>
    <row r="1519" spans="1:16" ht="13.15" x14ac:dyDescent="0.4">
      <c r="A1519" s="2" t="s">
        <v>11167</v>
      </c>
      <c r="B1519" s="2" t="s">
        <v>5885</v>
      </c>
      <c r="C1519" s="6" t="s">
        <v>5879</v>
      </c>
      <c r="D1519" s="6" t="s">
        <v>42</v>
      </c>
      <c r="E1519" s="7">
        <v>44927</v>
      </c>
      <c r="F1519" s="8" t="s">
        <v>77</v>
      </c>
      <c r="G1519" s="2" t="s">
        <v>26</v>
      </c>
      <c r="H1519" s="8" t="s">
        <v>28</v>
      </c>
      <c r="I1519" s="2" t="s">
        <v>26</v>
      </c>
      <c r="J1519" s="7">
        <v>44927</v>
      </c>
      <c r="K1519" s="8" t="s">
        <v>77</v>
      </c>
      <c r="L1519" s="2" t="s">
        <v>26</v>
      </c>
      <c r="M1519" s="8" t="s">
        <v>28</v>
      </c>
      <c r="N1519" s="6" t="s">
        <v>2264</v>
      </c>
      <c r="O1519" s="6" t="s">
        <v>30</v>
      </c>
      <c r="P1519" s="2" t="s">
        <v>12899</v>
      </c>
    </row>
    <row r="1520" spans="1:16" ht="13.15" x14ac:dyDescent="0.4">
      <c r="A1520" s="2" t="s">
        <v>11185</v>
      </c>
      <c r="B1520" s="2" t="s">
        <v>5885</v>
      </c>
      <c r="C1520" s="6" t="s">
        <v>5879</v>
      </c>
      <c r="D1520" s="6" t="s">
        <v>42</v>
      </c>
      <c r="E1520" s="7">
        <v>44927</v>
      </c>
      <c r="F1520" s="8" t="s">
        <v>77</v>
      </c>
      <c r="G1520" s="2" t="s">
        <v>26</v>
      </c>
      <c r="H1520" s="8" t="s">
        <v>28</v>
      </c>
      <c r="I1520" s="2" t="s">
        <v>26</v>
      </c>
      <c r="J1520" s="7">
        <v>44927</v>
      </c>
      <c r="K1520" s="8" t="s">
        <v>77</v>
      </c>
      <c r="L1520" s="2" t="s">
        <v>26</v>
      </c>
      <c r="M1520" s="8" t="s">
        <v>28</v>
      </c>
      <c r="N1520" s="6" t="s">
        <v>2264</v>
      </c>
      <c r="O1520" s="6" t="s">
        <v>30</v>
      </c>
      <c r="P1520" s="2" t="s">
        <v>12900</v>
      </c>
    </row>
    <row r="1521" spans="1:16" ht="13.15" x14ac:dyDescent="0.4">
      <c r="A1521" s="2" t="s">
        <v>11268</v>
      </c>
      <c r="B1521" s="2" t="s">
        <v>5885</v>
      </c>
      <c r="C1521" s="6" t="s">
        <v>5879</v>
      </c>
      <c r="D1521" s="6" t="s">
        <v>42</v>
      </c>
      <c r="E1521" s="7">
        <v>44927</v>
      </c>
      <c r="F1521" s="8" t="s">
        <v>77</v>
      </c>
      <c r="G1521" s="2" t="s">
        <v>26</v>
      </c>
      <c r="H1521" s="8" t="s">
        <v>28</v>
      </c>
      <c r="I1521" s="2" t="s">
        <v>26</v>
      </c>
      <c r="J1521" s="7">
        <v>44927</v>
      </c>
      <c r="K1521" s="8" t="s">
        <v>77</v>
      </c>
      <c r="L1521" s="2" t="s">
        <v>26</v>
      </c>
      <c r="M1521" s="8" t="s">
        <v>28</v>
      </c>
      <c r="N1521" s="6" t="s">
        <v>2264</v>
      </c>
      <c r="O1521" s="6" t="s">
        <v>30</v>
      </c>
      <c r="P1521" s="2" t="s">
        <v>12901</v>
      </c>
    </row>
    <row r="1522" spans="1:16" ht="13.15" x14ac:dyDescent="0.4">
      <c r="A1522" s="2" t="s">
        <v>11039</v>
      </c>
      <c r="B1522" s="2" t="s">
        <v>5885</v>
      </c>
      <c r="C1522" s="6" t="s">
        <v>5879</v>
      </c>
      <c r="D1522" s="6" t="s">
        <v>42</v>
      </c>
      <c r="E1522" s="7">
        <v>44927</v>
      </c>
      <c r="F1522" s="8" t="s">
        <v>77</v>
      </c>
      <c r="G1522" s="2" t="s">
        <v>26</v>
      </c>
      <c r="H1522" s="8" t="s">
        <v>28</v>
      </c>
      <c r="I1522" s="2" t="s">
        <v>26</v>
      </c>
      <c r="J1522" s="7">
        <v>44927</v>
      </c>
      <c r="K1522" s="8" t="s">
        <v>77</v>
      </c>
      <c r="L1522" s="2" t="s">
        <v>26</v>
      </c>
      <c r="M1522" s="8" t="s">
        <v>28</v>
      </c>
      <c r="N1522" s="6" t="s">
        <v>2264</v>
      </c>
      <c r="O1522" s="6" t="s">
        <v>30</v>
      </c>
      <c r="P1522" s="2" t="s">
        <v>12902</v>
      </c>
    </row>
    <row r="1523" spans="1:16" ht="13.15" x14ac:dyDescent="0.4">
      <c r="A1523" s="2" t="s">
        <v>11370</v>
      </c>
      <c r="B1523" s="2" t="s">
        <v>5885</v>
      </c>
      <c r="C1523" s="6" t="s">
        <v>5879</v>
      </c>
      <c r="D1523" s="6" t="s">
        <v>42</v>
      </c>
      <c r="E1523" s="7">
        <v>44927</v>
      </c>
      <c r="F1523" s="8" t="s">
        <v>77</v>
      </c>
      <c r="G1523" s="2" t="s">
        <v>26</v>
      </c>
      <c r="H1523" s="8" t="s">
        <v>28</v>
      </c>
      <c r="I1523" s="2" t="s">
        <v>26</v>
      </c>
      <c r="J1523" s="7">
        <v>44927</v>
      </c>
      <c r="K1523" s="8" t="s">
        <v>77</v>
      </c>
      <c r="L1523" s="2" t="s">
        <v>26</v>
      </c>
      <c r="M1523" s="8" t="s">
        <v>28</v>
      </c>
      <c r="N1523" s="6" t="s">
        <v>2264</v>
      </c>
      <c r="O1523" s="6" t="s">
        <v>30</v>
      </c>
      <c r="P1523" s="2" t="s">
        <v>12903</v>
      </c>
    </row>
    <row r="1524" spans="1:16" ht="13.15" x14ac:dyDescent="0.4">
      <c r="A1524" s="2" t="s">
        <v>11123</v>
      </c>
      <c r="B1524" s="2" t="s">
        <v>5885</v>
      </c>
      <c r="C1524" s="6" t="s">
        <v>5879</v>
      </c>
      <c r="D1524" s="6" t="s">
        <v>42</v>
      </c>
      <c r="E1524" s="7">
        <v>44927</v>
      </c>
      <c r="F1524" s="8" t="s">
        <v>77</v>
      </c>
      <c r="G1524" s="2" t="s">
        <v>26</v>
      </c>
      <c r="H1524" s="8" t="s">
        <v>28</v>
      </c>
      <c r="I1524" s="2" t="s">
        <v>26</v>
      </c>
      <c r="J1524" s="7">
        <v>44927</v>
      </c>
      <c r="K1524" s="8" t="s">
        <v>77</v>
      </c>
      <c r="L1524" s="2" t="s">
        <v>26</v>
      </c>
      <c r="M1524" s="8" t="s">
        <v>28</v>
      </c>
      <c r="N1524" s="6" t="s">
        <v>2264</v>
      </c>
      <c r="O1524" s="6" t="s">
        <v>30</v>
      </c>
      <c r="P1524" s="2" t="s">
        <v>12904</v>
      </c>
    </row>
    <row r="1525" spans="1:16" ht="13.15" x14ac:dyDescent="0.4">
      <c r="A1525" s="2" t="s">
        <v>11189</v>
      </c>
      <c r="B1525" s="2" t="s">
        <v>5885</v>
      </c>
      <c r="C1525" s="6" t="s">
        <v>5879</v>
      </c>
      <c r="D1525" s="6" t="s">
        <v>42</v>
      </c>
      <c r="E1525" s="7">
        <v>44927</v>
      </c>
      <c r="F1525" s="8" t="s">
        <v>77</v>
      </c>
      <c r="G1525" s="2" t="s">
        <v>26</v>
      </c>
      <c r="H1525" s="8" t="s">
        <v>28</v>
      </c>
      <c r="I1525" s="2" t="s">
        <v>26</v>
      </c>
      <c r="J1525" s="7">
        <v>44927</v>
      </c>
      <c r="K1525" s="8" t="s">
        <v>77</v>
      </c>
      <c r="L1525" s="2" t="s">
        <v>26</v>
      </c>
      <c r="M1525" s="8" t="s">
        <v>28</v>
      </c>
      <c r="N1525" s="6" t="s">
        <v>2264</v>
      </c>
      <c r="O1525" s="6" t="s">
        <v>30</v>
      </c>
      <c r="P1525" s="2" t="s">
        <v>12905</v>
      </c>
    </row>
    <row r="1526" spans="1:16" ht="13.15" x14ac:dyDescent="0.4">
      <c r="A1526" s="2" t="s">
        <v>11062</v>
      </c>
      <c r="B1526" s="2" t="s">
        <v>5885</v>
      </c>
      <c r="C1526" s="6" t="s">
        <v>5879</v>
      </c>
      <c r="D1526" s="6" t="s">
        <v>42</v>
      </c>
      <c r="E1526" s="7">
        <v>44927</v>
      </c>
      <c r="F1526" s="8" t="s">
        <v>77</v>
      </c>
      <c r="G1526" s="2" t="s">
        <v>26</v>
      </c>
      <c r="H1526" s="8" t="s">
        <v>28</v>
      </c>
      <c r="I1526" s="2" t="s">
        <v>26</v>
      </c>
      <c r="J1526" s="7">
        <v>44927</v>
      </c>
      <c r="K1526" s="8" t="s">
        <v>77</v>
      </c>
      <c r="L1526" s="2" t="s">
        <v>26</v>
      </c>
      <c r="M1526" s="8" t="s">
        <v>28</v>
      </c>
      <c r="N1526" s="6" t="s">
        <v>2264</v>
      </c>
      <c r="O1526" s="6" t="s">
        <v>30</v>
      </c>
      <c r="P1526" s="2" t="s">
        <v>12906</v>
      </c>
    </row>
    <row r="1527" spans="1:16" ht="13.15" x14ac:dyDescent="0.4">
      <c r="A1527" s="2" t="s">
        <v>11266</v>
      </c>
      <c r="B1527" s="2" t="s">
        <v>5885</v>
      </c>
      <c r="C1527" s="6" t="s">
        <v>5879</v>
      </c>
      <c r="D1527" s="6" t="s">
        <v>42</v>
      </c>
      <c r="E1527" s="7">
        <v>44927</v>
      </c>
      <c r="F1527" s="8" t="s">
        <v>77</v>
      </c>
      <c r="G1527" s="2" t="s">
        <v>26</v>
      </c>
      <c r="H1527" s="8" t="s">
        <v>28</v>
      </c>
      <c r="I1527" s="2" t="s">
        <v>26</v>
      </c>
      <c r="J1527" s="7">
        <v>44927</v>
      </c>
      <c r="K1527" s="8" t="s">
        <v>77</v>
      </c>
      <c r="L1527" s="2" t="s">
        <v>26</v>
      </c>
      <c r="M1527" s="8" t="s">
        <v>28</v>
      </c>
      <c r="N1527" s="6" t="s">
        <v>2264</v>
      </c>
      <c r="O1527" s="6" t="s">
        <v>30</v>
      </c>
      <c r="P1527" s="2" t="s">
        <v>12907</v>
      </c>
    </row>
    <row r="1528" spans="1:16" ht="13.15" x14ac:dyDescent="0.4">
      <c r="A1528" s="2" t="s">
        <v>11219</v>
      </c>
      <c r="B1528" s="2" t="s">
        <v>5885</v>
      </c>
      <c r="C1528" s="6" t="s">
        <v>5879</v>
      </c>
      <c r="D1528" s="6" t="s">
        <v>42</v>
      </c>
      <c r="E1528" s="7">
        <v>44927</v>
      </c>
      <c r="F1528" s="8" t="s">
        <v>77</v>
      </c>
      <c r="G1528" s="2" t="s">
        <v>26</v>
      </c>
      <c r="H1528" s="8" t="s">
        <v>28</v>
      </c>
      <c r="I1528" s="2" t="s">
        <v>26</v>
      </c>
      <c r="J1528" s="7">
        <v>44927</v>
      </c>
      <c r="K1528" s="8" t="s">
        <v>77</v>
      </c>
      <c r="L1528" s="2" t="s">
        <v>26</v>
      </c>
      <c r="M1528" s="8" t="s">
        <v>28</v>
      </c>
      <c r="N1528" s="6" t="s">
        <v>2264</v>
      </c>
      <c r="O1528" s="6" t="s">
        <v>30</v>
      </c>
      <c r="P1528" s="2" t="s">
        <v>12908</v>
      </c>
    </row>
    <row r="1529" spans="1:16" ht="13.15" x14ac:dyDescent="0.4">
      <c r="A1529" s="2" t="s">
        <v>11297</v>
      </c>
      <c r="B1529" s="2" t="s">
        <v>5885</v>
      </c>
      <c r="C1529" s="6" t="s">
        <v>5879</v>
      </c>
      <c r="D1529" s="6" t="s">
        <v>42</v>
      </c>
      <c r="E1529" s="7">
        <v>44927</v>
      </c>
      <c r="F1529" s="8" t="s">
        <v>77</v>
      </c>
      <c r="G1529" s="2" t="s">
        <v>26</v>
      </c>
      <c r="H1529" s="8" t="s">
        <v>28</v>
      </c>
      <c r="I1529" s="2" t="s">
        <v>26</v>
      </c>
      <c r="J1529" s="7">
        <v>44927</v>
      </c>
      <c r="K1529" s="8" t="s">
        <v>77</v>
      </c>
      <c r="L1529" s="2" t="s">
        <v>26</v>
      </c>
      <c r="M1529" s="8" t="s">
        <v>28</v>
      </c>
      <c r="N1529" s="6" t="s">
        <v>2264</v>
      </c>
      <c r="O1529" s="6" t="s">
        <v>30</v>
      </c>
      <c r="P1529" s="2" t="s">
        <v>12909</v>
      </c>
    </row>
    <row r="1530" spans="1:16" ht="13.15" x14ac:dyDescent="0.4">
      <c r="A1530" s="2" t="s">
        <v>11388</v>
      </c>
      <c r="B1530" s="2" t="s">
        <v>5885</v>
      </c>
      <c r="C1530" s="6" t="s">
        <v>5879</v>
      </c>
      <c r="D1530" s="6" t="s">
        <v>42</v>
      </c>
      <c r="E1530" s="7">
        <v>44927</v>
      </c>
      <c r="F1530" s="8" t="s">
        <v>77</v>
      </c>
      <c r="G1530" s="2" t="s">
        <v>26</v>
      </c>
      <c r="H1530" s="8" t="s">
        <v>28</v>
      </c>
      <c r="I1530" s="2" t="s">
        <v>26</v>
      </c>
      <c r="J1530" s="7">
        <v>44927</v>
      </c>
      <c r="K1530" s="8" t="s">
        <v>77</v>
      </c>
      <c r="L1530" s="2" t="s">
        <v>26</v>
      </c>
      <c r="M1530" s="8" t="s">
        <v>28</v>
      </c>
      <c r="N1530" s="6" t="s">
        <v>2264</v>
      </c>
      <c r="O1530" s="6" t="s">
        <v>30</v>
      </c>
      <c r="P1530" s="2" t="s">
        <v>12910</v>
      </c>
    </row>
    <row r="1531" spans="1:16" ht="13.15" x14ac:dyDescent="0.4">
      <c r="A1531" s="2" t="s">
        <v>11243</v>
      </c>
      <c r="B1531" s="2" t="s">
        <v>5885</v>
      </c>
      <c r="C1531" s="6" t="s">
        <v>5879</v>
      </c>
      <c r="D1531" s="6" t="s">
        <v>42</v>
      </c>
      <c r="E1531" s="7">
        <v>44927</v>
      </c>
      <c r="F1531" s="8" t="s">
        <v>77</v>
      </c>
      <c r="G1531" s="2" t="s">
        <v>26</v>
      </c>
      <c r="H1531" s="8" t="s">
        <v>28</v>
      </c>
      <c r="I1531" s="2" t="s">
        <v>26</v>
      </c>
      <c r="J1531" s="7">
        <v>44927</v>
      </c>
      <c r="K1531" s="8" t="s">
        <v>77</v>
      </c>
      <c r="L1531" s="2" t="s">
        <v>26</v>
      </c>
      <c r="M1531" s="8" t="s">
        <v>28</v>
      </c>
      <c r="N1531" s="6" t="s">
        <v>2264</v>
      </c>
      <c r="O1531" s="6" t="s">
        <v>30</v>
      </c>
      <c r="P1531" s="2" t="s">
        <v>12911</v>
      </c>
    </row>
    <row r="1532" spans="1:16" ht="13.15" x14ac:dyDescent="0.4">
      <c r="A1532" s="2" t="s">
        <v>11133</v>
      </c>
      <c r="B1532" s="2" t="s">
        <v>5885</v>
      </c>
      <c r="C1532" s="6" t="s">
        <v>5879</v>
      </c>
      <c r="D1532" s="6" t="s">
        <v>42</v>
      </c>
      <c r="E1532" s="7">
        <v>44927</v>
      </c>
      <c r="F1532" s="8" t="s">
        <v>77</v>
      </c>
      <c r="G1532" s="2" t="s">
        <v>26</v>
      </c>
      <c r="H1532" s="8" t="s">
        <v>28</v>
      </c>
      <c r="I1532" s="2" t="s">
        <v>26</v>
      </c>
      <c r="J1532" s="7">
        <v>44927</v>
      </c>
      <c r="K1532" s="8" t="s">
        <v>77</v>
      </c>
      <c r="L1532" s="2" t="s">
        <v>26</v>
      </c>
      <c r="M1532" s="8" t="s">
        <v>28</v>
      </c>
      <c r="N1532" s="6" t="s">
        <v>2264</v>
      </c>
      <c r="O1532" s="6" t="s">
        <v>30</v>
      </c>
      <c r="P1532" s="2" t="s">
        <v>12912</v>
      </c>
    </row>
    <row r="1533" spans="1:16" ht="13.15" x14ac:dyDescent="0.4">
      <c r="A1533" s="2" t="s">
        <v>11269</v>
      </c>
      <c r="B1533" s="2" t="s">
        <v>5885</v>
      </c>
      <c r="C1533" s="6" t="s">
        <v>5879</v>
      </c>
      <c r="D1533" s="6" t="s">
        <v>42</v>
      </c>
      <c r="E1533" s="7">
        <v>44927</v>
      </c>
      <c r="F1533" s="8" t="s">
        <v>77</v>
      </c>
      <c r="G1533" s="2" t="s">
        <v>26</v>
      </c>
      <c r="H1533" s="8" t="s">
        <v>28</v>
      </c>
      <c r="I1533" s="2" t="s">
        <v>26</v>
      </c>
      <c r="J1533" s="7">
        <v>44927</v>
      </c>
      <c r="K1533" s="8" t="s">
        <v>77</v>
      </c>
      <c r="L1533" s="2" t="s">
        <v>26</v>
      </c>
      <c r="M1533" s="8" t="s">
        <v>28</v>
      </c>
      <c r="N1533" s="6" t="s">
        <v>2264</v>
      </c>
      <c r="O1533" s="6" t="s">
        <v>30</v>
      </c>
      <c r="P1533" s="2" t="s">
        <v>12913</v>
      </c>
    </row>
    <row r="1534" spans="1:16" ht="13.15" x14ac:dyDescent="0.4">
      <c r="A1534" s="2" t="s">
        <v>11126</v>
      </c>
      <c r="B1534" s="2" t="s">
        <v>5885</v>
      </c>
      <c r="C1534" s="6" t="s">
        <v>5879</v>
      </c>
      <c r="D1534" s="6" t="s">
        <v>42</v>
      </c>
      <c r="E1534" s="7">
        <v>44927</v>
      </c>
      <c r="F1534" s="8" t="s">
        <v>77</v>
      </c>
      <c r="G1534" s="2" t="s">
        <v>26</v>
      </c>
      <c r="H1534" s="8" t="s">
        <v>28</v>
      </c>
      <c r="I1534" s="2" t="s">
        <v>26</v>
      </c>
      <c r="J1534" s="7">
        <v>44927</v>
      </c>
      <c r="K1534" s="8" t="s">
        <v>77</v>
      </c>
      <c r="L1534" s="2" t="s">
        <v>26</v>
      </c>
      <c r="M1534" s="8" t="s">
        <v>28</v>
      </c>
      <c r="N1534" s="6" t="s">
        <v>2264</v>
      </c>
      <c r="O1534" s="6" t="s">
        <v>30</v>
      </c>
      <c r="P1534" s="2" t="s">
        <v>12914</v>
      </c>
    </row>
    <row r="1535" spans="1:16" ht="13.15" x14ac:dyDescent="0.4">
      <c r="A1535" s="2" t="s">
        <v>11240</v>
      </c>
      <c r="B1535" s="2" t="s">
        <v>5885</v>
      </c>
      <c r="C1535" s="6" t="s">
        <v>5879</v>
      </c>
      <c r="D1535" s="6" t="s">
        <v>42</v>
      </c>
      <c r="E1535" s="7">
        <v>44927</v>
      </c>
      <c r="F1535" s="8" t="s">
        <v>77</v>
      </c>
      <c r="G1535" s="2" t="s">
        <v>26</v>
      </c>
      <c r="H1535" s="8" t="s">
        <v>28</v>
      </c>
      <c r="I1535" s="2" t="s">
        <v>26</v>
      </c>
      <c r="J1535" s="7">
        <v>44927</v>
      </c>
      <c r="K1535" s="8" t="s">
        <v>77</v>
      </c>
      <c r="L1535" s="2" t="s">
        <v>26</v>
      </c>
      <c r="M1535" s="8" t="s">
        <v>28</v>
      </c>
      <c r="N1535" s="6" t="s">
        <v>2264</v>
      </c>
      <c r="O1535" s="6" t="s">
        <v>30</v>
      </c>
      <c r="P1535" s="2" t="s">
        <v>12915</v>
      </c>
    </row>
    <row r="1536" spans="1:16" ht="13.15" x14ac:dyDescent="0.4">
      <c r="A1536" s="2" t="s">
        <v>11227</v>
      </c>
      <c r="B1536" s="2" t="s">
        <v>5885</v>
      </c>
      <c r="C1536" s="6" t="s">
        <v>5879</v>
      </c>
      <c r="D1536" s="6" t="s">
        <v>42</v>
      </c>
      <c r="E1536" s="7">
        <v>44927</v>
      </c>
      <c r="F1536" s="8" t="s">
        <v>77</v>
      </c>
      <c r="G1536" s="2" t="s">
        <v>26</v>
      </c>
      <c r="H1536" s="8" t="s">
        <v>28</v>
      </c>
      <c r="I1536" s="2" t="s">
        <v>26</v>
      </c>
      <c r="J1536" s="7">
        <v>44927</v>
      </c>
      <c r="K1536" s="8" t="s">
        <v>77</v>
      </c>
      <c r="L1536" s="2" t="s">
        <v>26</v>
      </c>
      <c r="M1536" s="8" t="s">
        <v>28</v>
      </c>
      <c r="N1536" s="6" t="s">
        <v>2264</v>
      </c>
      <c r="O1536" s="6" t="s">
        <v>30</v>
      </c>
      <c r="P1536" s="2" t="s">
        <v>12916</v>
      </c>
    </row>
    <row r="1537" spans="1:16" ht="13.15" x14ac:dyDescent="0.4">
      <c r="A1537" s="2" t="s">
        <v>11284</v>
      </c>
      <c r="B1537" s="2" t="s">
        <v>5885</v>
      </c>
      <c r="C1537" s="6" t="s">
        <v>5879</v>
      </c>
      <c r="D1537" s="6" t="s">
        <v>42</v>
      </c>
      <c r="E1537" s="7">
        <v>44927</v>
      </c>
      <c r="F1537" s="8" t="s">
        <v>77</v>
      </c>
      <c r="G1537" s="2" t="s">
        <v>26</v>
      </c>
      <c r="H1537" s="8" t="s">
        <v>28</v>
      </c>
      <c r="I1537" s="2" t="s">
        <v>26</v>
      </c>
      <c r="J1537" s="7">
        <v>44927</v>
      </c>
      <c r="K1537" s="8" t="s">
        <v>77</v>
      </c>
      <c r="L1537" s="2" t="s">
        <v>26</v>
      </c>
      <c r="M1537" s="8" t="s">
        <v>28</v>
      </c>
      <c r="N1537" s="6" t="s">
        <v>2264</v>
      </c>
      <c r="O1537" s="6" t="s">
        <v>30</v>
      </c>
      <c r="P1537" s="2" t="s">
        <v>12917</v>
      </c>
    </row>
    <row r="1538" spans="1:16" ht="13.15" x14ac:dyDescent="0.4">
      <c r="A1538" s="2" t="s">
        <v>11192</v>
      </c>
      <c r="B1538" s="2" t="s">
        <v>5885</v>
      </c>
      <c r="C1538" s="6" t="s">
        <v>5879</v>
      </c>
      <c r="D1538" s="6" t="s">
        <v>42</v>
      </c>
      <c r="E1538" s="7">
        <v>44927</v>
      </c>
      <c r="F1538" s="8" t="s">
        <v>77</v>
      </c>
      <c r="G1538" s="2" t="s">
        <v>26</v>
      </c>
      <c r="H1538" s="8" t="s">
        <v>28</v>
      </c>
      <c r="I1538" s="2" t="s">
        <v>26</v>
      </c>
      <c r="J1538" s="7">
        <v>44927</v>
      </c>
      <c r="K1538" s="8" t="s">
        <v>77</v>
      </c>
      <c r="L1538" s="2" t="s">
        <v>26</v>
      </c>
      <c r="M1538" s="8" t="s">
        <v>28</v>
      </c>
      <c r="N1538" s="6" t="s">
        <v>2264</v>
      </c>
      <c r="O1538" s="6" t="s">
        <v>30</v>
      </c>
      <c r="P1538" s="2" t="s">
        <v>12918</v>
      </c>
    </row>
    <row r="1539" spans="1:16" ht="13.15" x14ac:dyDescent="0.4">
      <c r="A1539" s="2" t="s">
        <v>11222</v>
      </c>
      <c r="B1539" s="2" t="s">
        <v>5885</v>
      </c>
      <c r="C1539" s="6" t="s">
        <v>5879</v>
      </c>
      <c r="D1539" s="6" t="s">
        <v>42</v>
      </c>
      <c r="E1539" s="7">
        <v>44927</v>
      </c>
      <c r="F1539" s="8" t="s">
        <v>77</v>
      </c>
      <c r="G1539" s="2" t="s">
        <v>26</v>
      </c>
      <c r="H1539" s="8" t="s">
        <v>28</v>
      </c>
      <c r="I1539" s="2" t="s">
        <v>26</v>
      </c>
      <c r="J1539" s="7">
        <v>44927</v>
      </c>
      <c r="K1539" s="8" t="s">
        <v>77</v>
      </c>
      <c r="L1539" s="2" t="s">
        <v>26</v>
      </c>
      <c r="M1539" s="8" t="s">
        <v>28</v>
      </c>
      <c r="N1539" s="6" t="s">
        <v>2264</v>
      </c>
      <c r="O1539" s="6" t="s">
        <v>30</v>
      </c>
      <c r="P1539" s="2" t="s">
        <v>12919</v>
      </c>
    </row>
    <row r="1540" spans="1:16" ht="13.15" x14ac:dyDescent="0.4">
      <c r="A1540" s="2" t="s">
        <v>11267</v>
      </c>
      <c r="B1540" s="2" t="s">
        <v>5885</v>
      </c>
      <c r="C1540" s="6" t="s">
        <v>5879</v>
      </c>
      <c r="D1540" s="6" t="s">
        <v>42</v>
      </c>
      <c r="E1540" s="7">
        <v>44927</v>
      </c>
      <c r="F1540" s="8" t="s">
        <v>77</v>
      </c>
      <c r="G1540" s="2" t="s">
        <v>26</v>
      </c>
      <c r="H1540" s="8" t="s">
        <v>28</v>
      </c>
      <c r="I1540" s="2" t="s">
        <v>26</v>
      </c>
      <c r="J1540" s="7">
        <v>44927</v>
      </c>
      <c r="K1540" s="8" t="s">
        <v>77</v>
      </c>
      <c r="L1540" s="2" t="s">
        <v>26</v>
      </c>
      <c r="M1540" s="8" t="s">
        <v>28</v>
      </c>
      <c r="N1540" s="6" t="s">
        <v>2264</v>
      </c>
      <c r="O1540" s="6" t="s">
        <v>30</v>
      </c>
      <c r="P1540" s="2" t="s">
        <v>12920</v>
      </c>
    </row>
    <row r="1541" spans="1:16" ht="13.15" x14ac:dyDescent="0.4">
      <c r="A1541" s="2" t="s">
        <v>11288</v>
      </c>
      <c r="B1541" s="2" t="s">
        <v>5885</v>
      </c>
      <c r="C1541" s="6" t="s">
        <v>5879</v>
      </c>
      <c r="D1541" s="6" t="s">
        <v>42</v>
      </c>
      <c r="E1541" s="7">
        <v>44927</v>
      </c>
      <c r="F1541" s="8" t="s">
        <v>77</v>
      </c>
      <c r="G1541" s="2" t="s">
        <v>26</v>
      </c>
      <c r="H1541" s="8" t="s">
        <v>28</v>
      </c>
      <c r="I1541" s="2" t="s">
        <v>26</v>
      </c>
      <c r="J1541" s="7">
        <v>44927</v>
      </c>
      <c r="K1541" s="8" t="s">
        <v>77</v>
      </c>
      <c r="L1541" s="2" t="s">
        <v>26</v>
      </c>
      <c r="M1541" s="8" t="s">
        <v>28</v>
      </c>
      <c r="N1541" s="6" t="s">
        <v>2264</v>
      </c>
      <c r="O1541" s="6" t="s">
        <v>30</v>
      </c>
      <c r="P1541" s="2" t="s">
        <v>12921</v>
      </c>
    </row>
    <row r="1542" spans="1:16" ht="13.15" x14ac:dyDescent="0.4">
      <c r="A1542" s="2" t="s">
        <v>11275</v>
      </c>
      <c r="B1542" s="2" t="s">
        <v>5885</v>
      </c>
      <c r="C1542" s="6" t="s">
        <v>5879</v>
      </c>
      <c r="D1542" s="6" t="s">
        <v>42</v>
      </c>
      <c r="E1542" s="7">
        <v>44927</v>
      </c>
      <c r="F1542" s="8" t="s">
        <v>77</v>
      </c>
      <c r="G1542" s="2" t="s">
        <v>26</v>
      </c>
      <c r="H1542" s="8" t="s">
        <v>28</v>
      </c>
      <c r="I1542" s="2" t="s">
        <v>26</v>
      </c>
      <c r="J1542" s="7">
        <v>44927</v>
      </c>
      <c r="K1542" s="8" t="s">
        <v>77</v>
      </c>
      <c r="L1542" s="2" t="s">
        <v>26</v>
      </c>
      <c r="M1542" s="8" t="s">
        <v>28</v>
      </c>
      <c r="N1542" s="6" t="s">
        <v>2264</v>
      </c>
      <c r="O1542" s="6" t="s">
        <v>30</v>
      </c>
      <c r="P1542" s="2" t="s">
        <v>12922</v>
      </c>
    </row>
    <row r="1543" spans="1:16" ht="13.15" x14ac:dyDescent="0.4">
      <c r="A1543" s="2" t="s">
        <v>11380</v>
      </c>
      <c r="B1543" s="2" t="s">
        <v>5885</v>
      </c>
      <c r="C1543" s="6" t="s">
        <v>5879</v>
      </c>
      <c r="D1543" s="6" t="s">
        <v>42</v>
      </c>
      <c r="E1543" s="7">
        <v>44927</v>
      </c>
      <c r="F1543" s="8" t="s">
        <v>77</v>
      </c>
      <c r="G1543" s="2" t="s">
        <v>26</v>
      </c>
      <c r="H1543" s="8" t="s">
        <v>28</v>
      </c>
      <c r="I1543" s="2" t="s">
        <v>26</v>
      </c>
      <c r="J1543" s="7">
        <v>44927</v>
      </c>
      <c r="K1543" s="8" t="s">
        <v>77</v>
      </c>
      <c r="L1543" s="2" t="s">
        <v>26</v>
      </c>
      <c r="M1543" s="8" t="s">
        <v>28</v>
      </c>
      <c r="N1543" s="6" t="s">
        <v>2264</v>
      </c>
      <c r="O1543" s="6" t="s">
        <v>30</v>
      </c>
      <c r="P1543" s="2" t="s">
        <v>12923</v>
      </c>
    </row>
    <row r="1544" spans="1:16" ht="13.15" x14ac:dyDescent="0.4">
      <c r="A1544" s="2" t="s">
        <v>11353</v>
      </c>
      <c r="B1544" s="2" t="s">
        <v>5885</v>
      </c>
      <c r="C1544" s="6" t="s">
        <v>5879</v>
      </c>
      <c r="D1544" s="6" t="s">
        <v>42</v>
      </c>
      <c r="E1544" s="7">
        <v>44927</v>
      </c>
      <c r="F1544" s="8" t="s">
        <v>77</v>
      </c>
      <c r="G1544" s="2" t="s">
        <v>26</v>
      </c>
      <c r="H1544" s="8" t="s">
        <v>28</v>
      </c>
      <c r="I1544" s="2" t="s">
        <v>26</v>
      </c>
      <c r="J1544" s="7">
        <v>44927</v>
      </c>
      <c r="K1544" s="8" t="s">
        <v>77</v>
      </c>
      <c r="L1544" s="2" t="s">
        <v>26</v>
      </c>
      <c r="M1544" s="8" t="s">
        <v>28</v>
      </c>
      <c r="N1544" s="6" t="s">
        <v>2264</v>
      </c>
      <c r="O1544" s="6" t="s">
        <v>30</v>
      </c>
      <c r="P1544" s="2" t="s">
        <v>12924</v>
      </c>
    </row>
    <row r="1545" spans="1:16" ht="13.15" x14ac:dyDescent="0.4">
      <c r="A1545" s="2" t="s">
        <v>11190</v>
      </c>
      <c r="B1545" s="2" t="s">
        <v>5885</v>
      </c>
      <c r="C1545" s="6" t="s">
        <v>5879</v>
      </c>
      <c r="D1545" s="6" t="s">
        <v>42</v>
      </c>
      <c r="E1545" s="7">
        <v>44927</v>
      </c>
      <c r="F1545" s="8" t="s">
        <v>77</v>
      </c>
      <c r="G1545" s="2" t="s">
        <v>26</v>
      </c>
      <c r="H1545" s="8" t="s">
        <v>28</v>
      </c>
      <c r="I1545" s="2" t="s">
        <v>26</v>
      </c>
      <c r="J1545" s="7">
        <v>44927</v>
      </c>
      <c r="K1545" s="8" t="s">
        <v>77</v>
      </c>
      <c r="L1545" s="2" t="s">
        <v>26</v>
      </c>
      <c r="M1545" s="8" t="s">
        <v>28</v>
      </c>
      <c r="N1545" s="6" t="s">
        <v>2264</v>
      </c>
      <c r="O1545" s="6" t="s">
        <v>30</v>
      </c>
      <c r="P1545" s="2" t="s">
        <v>12925</v>
      </c>
    </row>
    <row r="1546" spans="1:16" ht="13.15" x14ac:dyDescent="0.4">
      <c r="A1546" s="2" t="s">
        <v>11255</v>
      </c>
      <c r="B1546" s="2" t="s">
        <v>5885</v>
      </c>
      <c r="C1546" s="6" t="s">
        <v>5879</v>
      </c>
      <c r="D1546" s="6" t="s">
        <v>42</v>
      </c>
      <c r="E1546" s="7">
        <v>44927</v>
      </c>
      <c r="F1546" s="8" t="s">
        <v>77</v>
      </c>
      <c r="G1546" s="2" t="s">
        <v>26</v>
      </c>
      <c r="H1546" s="8" t="s">
        <v>28</v>
      </c>
      <c r="I1546" s="2" t="s">
        <v>26</v>
      </c>
      <c r="J1546" s="7">
        <v>44927</v>
      </c>
      <c r="K1546" s="8" t="s">
        <v>77</v>
      </c>
      <c r="L1546" s="2" t="s">
        <v>26</v>
      </c>
      <c r="M1546" s="8" t="s">
        <v>28</v>
      </c>
      <c r="N1546" s="6" t="s">
        <v>2264</v>
      </c>
      <c r="O1546" s="6" t="s">
        <v>30</v>
      </c>
      <c r="P1546" s="2" t="s">
        <v>12926</v>
      </c>
    </row>
    <row r="1547" spans="1:16" ht="13.15" x14ac:dyDescent="0.4">
      <c r="A1547" s="2" t="s">
        <v>11326</v>
      </c>
      <c r="B1547" s="2" t="s">
        <v>5885</v>
      </c>
      <c r="C1547" s="6" t="s">
        <v>5879</v>
      </c>
      <c r="D1547" s="6" t="s">
        <v>42</v>
      </c>
      <c r="E1547" s="7">
        <v>44927</v>
      </c>
      <c r="F1547" s="8" t="s">
        <v>77</v>
      </c>
      <c r="G1547" s="2" t="s">
        <v>26</v>
      </c>
      <c r="H1547" s="8" t="s">
        <v>28</v>
      </c>
      <c r="I1547" s="2" t="s">
        <v>26</v>
      </c>
      <c r="J1547" s="7">
        <v>44927</v>
      </c>
      <c r="K1547" s="8" t="s">
        <v>77</v>
      </c>
      <c r="L1547" s="2" t="s">
        <v>26</v>
      </c>
      <c r="M1547" s="8" t="s">
        <v>28</v>
      </c>
      <c r="N1547" s="6" t="s">
        <v>2264</v>
      </c>
      <c r="O1547" s="6" t="s">
        <v>30</v>
      </c>
      <c r="P1547" s="2" t="s">
        <v>12927</v>
      </c>
    </row>
    <row r="1548" spans="1:16" ht="13.15" x14ac:dyDescent="0.4">
      <c r="A1548" s="2" t="s">
        <v>11263</v>
      </c>
      <c r="B1548" s="2" t="s">
        <v>5885</v>
      </c>
      <c r="C1548" s="6" t="s">
        <v>5879</v>
      </c>
      <c r="D1548" s="6" t="s">
        <v>42</v>
      </c>
      <c r="E1548" s="7">
        <v>44927</v>
      </c>
      <c r="F1548" s="8" t="s">
        <v>77</v>
      </c>
      <c r="G1548" s="2" t="s">
        <v>26</v>
      </c>
      <c r="H1548" s="8" t="s">
        <v>28</v>
      </c>
      <c r="I1548" s="2" t="s">
        <v>26</v>
      </c>
      <c r="J1548" s="7">
        <v>44927</v>
      </c>
      <c r="K1548" s="8" t="s">
        <v>77</v>
      </c>
      <c r="L1548" s="2" t="s">
        <v>26</v>
      </c>
      <c r="M1548" s="8" t="s">
        <v>28</v>
      </c>
      <c r="N1548" s="6" t="s">
        <v>2264</v>
      </c>
      <c r="O1548" s="6" t="s">
        <v>30</v>
      </c>
      <c r="P1548" s="2" t="s">
        <v>12928</v>
      </c>
    </row>
    <row r="1549" spans="1:16" ht="13.15" x14ac:dyDescent="0.4">
      <c r="A1549" s="2" t="s">
        <v>11340</v>
      </c>
      <c r="B1549" s="2" t="s">
        <v>5885</v>
      </c>
      <c r="C1549" s="6" t="s">
        <v>5879</v>
      </c>
      <c r="D1549" s="6" t="s">
        <v>42</v>
      </c>
      <c r="E1549" s="7">
        <v>44927</v>
      </c>
      <c r="F1549" s="8" t="s">
        <v>77</v>
      </c>
      <c r="G1549" s="2" t="s">
        <v>26</v>
      </c>
      <c r="H1549" s="8" t="s">
        <v>28</v>
      </c>
      <c r="I1549" s="2" t="s">
        <v>26</v>
      </c>
      <c r="J1549" s="7">
        <v>44927</v>
      </c>
      <c r="K1549" s="8" t="s">
        <v>77</v>
      </c>
      <c r="L1549" s="2" t="s">
        <v>26</v>
      </c>
      <c r="M1549" s="8" t="s">
        <v>28</v>
      </c>
      <c r="N1549" s="6" t="s">
        <v>2264</v>
      </c>
      <c r="O1549" s="6" t="s">
        <v>30</v>
      </c>
      <c r="P1549" s="2" t="s">
        <v>12929</v>
      </c>
    </row>
    <row r="1550" spans="1:16" ht="13.15" x14ac:dyDescent="0.4">
      <c r="A1550" s="2" t="s">
        <v>11256</v>
      </c>
      <c r="B1550" s="2" t="s">
        <v>5885</v>
      </c>
      <c r="C1550" s="6" t="s">
        <v>5879</v>
      </c>
      <c r="D1550" s="6" t="s">
        <v>42</v>
      </c>
      <c r="E1550" s="7">
        <v>44927</v>
      </c>
      <c r="F1550" s="8" t="s">
        <v>77</v>
      </c>
      <c r="G1550" s="2" t="s">
        <v>26</v>
      </c>
      <c r="H1550" s="8" t="s">
        <v>28</v>
      </c>
      <c r="I1550" s="2" t="s">
        <v>26</v>
      </c>
      <c r="J1550" s="7">
        <v>44927</v>
      </c>
      <c r="K1550" s="8" t="s">
        <v>77</v>
      </c>
      <c r="L1550" s="2" t="s">
        <v>26</v>
      </c>
      <c r="M1550" s="8" t="s">
        <v>28</v>
      </c>
      <c r="N1550" s="6" t="s">
        <v>2264</v>
      </c>
      <c r="O1550" s="6" t="s">
        <v>30</v>
      </c>
      <c r="P1550" s="2" t="s">
        <v>12930</v>
      </c>
    </row>
    <row r="1551" spans="1:16" ht="13.15" x14ac:dyDescent="0.4">
      <c r="A1551" s="2" t="s">
        <v>11226</v>
      </c>
      <c r="B1551" s="2" t="s">
        <v>5885</v>
      </c>
      <c r="C1551" s="6" t="s">
        <v>5879</v>
      </c>
      <c r="D1551" s="6" t="s">
        <v>42</v>
      </c>
      <c r="E1551" s="7">
        <v>44927</v>
      </c>
      <c r="F1551" s="8" t="s">
        <v>77</v>
      </c>
      <c r="G1551" s="2" t="s">
        <v>26</v>
      </c>
      <c r="H1551" s="8" t="s">
        <v>28</v>
      </c>
      <c r="I1551" s="2" t="s">
        <v>26</v>
      </c>
      <c r="J1551" s="7">
        <v>44927</v>
      </c>
      <c r="K1551" s="8" t="s">
        <v>77</v>
      </c>
      <c r="L1551" s="2" t="s">
        <v>26</v>
      </c>
      <c r="M1551" s="8" t="s">
        <v>28</v>
      </c>
      <c r="N1551" s="6" t="s">
        <v>2264</v>
      </c>
      <c r="O1551" s="6" t="s">
        <v>30</v>
      </c>
      <c r="P1551" s="2" t="s">
        <v>12931</v>
      </c>
    </row>
    <row r="1552" spans="1:16" ht="13.15" x14ac:dyDescent="0.4">
      <c r="A1552" s="2" t="s">
        <v>11160</v>
      </c>
      <c r="B1552" s="2" t="s">
        <v>5885</v>
      </c>
      <c r="C1552" s="6" t="s">
        <v>5879</v>
      </c>
      <c r="D1552" s="6" t="s">
        <v>42</v>
      </c>
      <c r="E1552" s="7">
        <v>44927</v>
      </c>
      <c r="F1552" s="8" t="s">
        <v>77</v>
      </c>
      <c r="G1552" s="2" t="s">
        <v>26</v>
      </c>
      <c r="H1552" s="8" t="s">
        <v>28</v>
      </c>
      <c r="I1552" s="2" t="s">
        <v>26</v>
      </c>
      <c r="J1552" s="7">
        <v>44927</v>
      </c>
      <c r="K1552" s="8" t="s">
        <v>77</v>
      </c>
      <c r="L1552" s="2" t="s">
        <v>26</v>
      </c>
      <c r="M1552" s="8" t="s">
        <v>28</v>
      </c>
      <c r="N1552" s="6" t="s">
        <v>2264</v>
      </c>
      <c r="O1552" s="6" t="s">
        <v>30</v>
      </c>
      <c r="P1552" s="2" t="s">
        <v>12932</v>
      </c>
    </row>
    <row r="1553" spans="1:16" ht="13.15" x14ac:dyDescent="0.4">
      <c r="A1553" s="2" t="s">
        <v>11041</v>
      </c>
      <c r="B1553" s="2" t="s">
        <v>5885</v>
      </c>
      <c r="C1553" s="6" t="s">
        <v>5879</v>
      </c>
      <c r="D1553" s="6" t="s">
        <v>42</v>
      </c>
      <c r="E1553" s="7">
        <v>44927</v>
      </c>
      <c r="F1553" s="8" t="s">
        <v>77</v>
      </c>
      <c r="G1553" s="2" t="s">
        <v>26</v>
      </c>
      <c r="H1553" s="8" t="s">
        <v>28</v>
      </c>
      <c r="I1553" s="2" t="s">
        <v>26</v>
      </c>
      <c r="J1553" s="7">
        <v>44927</v>
      </c>
      <c r="K1553" s="8" t="s">
        <v>77</v>
      </c>
      <c r="L1553" s="2" t="s">
        <v>26</v>
      </c>
      <c r="M1553" s="8" t="s">
        <v>28</v>
      </c>
      <c r="N1553" s="6" t="s">
        <v>2264</v>
      </c>
      <c r="O1553" s="6" t="s">
        <v>30</v>
      </c>
      <c r="P1553" s="2" t="s">
        <v>12933</v>
      </c>
    </row>
    <row r="1554" spans="1:16" ht="13.15" x14ac:dyDescent="0.4">
      <c r="A1554" s="2" t="s">
        <v>11271</v>
      </c>
      <c r="B1554" s="2" t="s">
        <v>5885</v>
      </c>
      <c r="C1554" s="6" t="s">
        <v>5879</v>
      </c>
      <c r="D1554" s="6" t="s">
        <v>42</v>
      </c>
      <c r="E1554" s="7">
        <v>44927</v>
      </c>
      <c r="F1554" s="8" t="s">
        <v>77</v>
      </c>
      <c r="G1554" s="2" t="s">
        <v>26</v>
      </c>
      <c r="H1554" s="8" t="s">
        <v>28</v>
      </c>
      <c r="I1554" s="2" t="s">
        <v>26</v>
      </c>
      <c r="J1554" s="7">
        <v>44927</v>
      </c>
      <c r="K1554" s="8" t="s">
        <v>77</v>
      </c>
      <c r="L1554" s="2" t="s">
        <v>26</v>
      </c>
      <c r="M1554" s="8" t="s">
        <v>28</v>
      </c>
      <c r="N1554" s="6" t="s">
        <v>2264</v>
      </c>
      <c r="O1554" s="6" t="s">
        <v>30</v>
      </c>
      <c r="P1554" s="2" t="s">
        <v>12934</v>
      </c>
    </row>
    <row r="1555" spans="1:16" ht="13.15" x14ac:dyDescent="0.4">
      <c r="A1555" s="2" t="s">
        <v>11301</v>
      </c>
      <c r="B1555" s="2" t="s">
        <v>5885</v>
      </c>
      <c r="C1555" s="6" t="s">
        <v>5879</v>
      </c>
      <c r="D1555" s="6" t="s">
        <v>42</v>
      </c>
      <c r="E1555" s="7">
        <v>44927</v>
      </c>
      <c r="F1555" s="8" t="s">
        <v>77</v>
      </c>
      <c r="G1555" s="2" t="s">
        <v>26</v>
      </c>
      <c r="H1555" s="8" t="s">
        <v>28</v>
      </c>
      <c r="I1555" s="2" t="s">
        <v>26</v>
      </c>
      <c r="J1555" s="7">
        <v>44927</v>
      </c>
      <c r="K1555" s="8" t="s">
        <v>77</v>
      </c>
      <c r="L1555" s="2" t="s">
        <v>26</v>
      </c>
      <c r="M1555" s="8" t="s">
        <v>28</v>
      </c>
      <c r="N1555" s="6" t="s">
        <v>2264</v>
      </c>
      <c r="O1555" s="6" t="s">
        <v>30</v>
      </c>
      <c r="P1555" s="2" t="s">
        <v>12935</v>
      </c>
    </row>
    <row r="1556" spans="1:16" ht="13.15" x14ac:dyDescent="0.4">
      <c r="A1556" s="2" t="s">
        <v>11050</v>
      </c>
      <c r="B1556" s="2" t="s">
        <v>5885</v>
      </c>
      <c r="C1556" s="6" t="s">
        <v>5879</v>
      </c>
      <c r="D1556" s="6" t="s">
        <v>42</v>
      </c>
      <c r="E1556" s="7">
        <v>44927</v>
      </c>
      <c r="F1556" s="8" t="s">
        <v>77</v>
      </c>
      <c r="G1556" s="2" t="s">
        <v>26</v>
      </c>
      <c r="H1556" s="8" t="s">
        <v>28</v>
      </c>
      <c r="I1556" s="2" t="s">
        <v>26</v>
      </c>
      <c r="J1556" s="7">
        <v>44927</v>
      </c>
      <c r="K1556" s="8" t="s">
        <v>77</v>
      </c>
      <c r="L1556" s="2" t="s">
        <v>26</v>
      </c>
      <c r="M1556" s="8" t="s">
        <v>28</v>
      </c>
      <c r="N1556" s="6" t="s">
        <v>2264</v>
      </c>
      <c r="O1556" s="6" t="s">
        <v>30</v>
      </c>
      <c r="P1556" s="2" t="s">
        <v>12936</v>
      </c>
    </row>
    <row r="1557" spans="1:16" ht="13.15" x14ac:dyDescent="0.4">
      <c r="A1557" s="2" t="s">
        <v>11274</v>
      </c>
      <c r="B1557" s="2" t="s">
        <v>5885</v>
      </c>
      <c r="C1557" s="6" t="s">
        <v>5879</v>
      </c>
      <c r="D1557" s="6" t="s">
        <v>42</v>
      </c>
      <c r="E1557" s="7">
        <v>44927</v>
      </c>
      <c r="F1557" s="8" t="s">
        <v>77</v>
      </c>
      <c r="G1557" s="2" t="s">
        <v>26</v>
      </c>
      <c r="H1557" s="8" t="s">
        <v>28</v>
      </c>
      <c r="I1557" s="2" t="s">
        <v>26</v>
      </c>
      <c r="J1557" s="7">
        <v>44927</v>
      </c>
      <c r="K1557" s="8" t="s">
        <v>77</v>
      </c>
      <c r="L1557" s="2" t="s">
        <v>26</v>
      </c>
      <c r="M1557" s="8" t="s">
        <v>28</v>
      </c>
      <c r="N1557" s="6" t="s">
        <v>2264</v>
      </c>
      <c r="O1557" s="6" t="s">
        <v>30</v>
      </c>
      <c r="P1557" s="2" t="s">
        <v>12937</v>
      </c>
    </row>
    <row r="1558" spans="1:16" ht="13.15" x14ac:dyDescent="0.4">
      <c r="A1558" s="2" t="s">
        <v>11130</v>
      </c>
      <c r="B1558" s="2" t="s">
        <v>5885</v>
      </c>
      <c r="C1558" s="6" t="s">
        <v>5879</v>
      </c>
      <c r="D1558" s="6" t="s">
        <v>42</v>
      </c>
      <c r="E1558" s="7">
        <v>44927</v>
      </c>
      <c r="F1558" s="8" t="s">
        <v>77</v>
      </c>
      <c r="G1558" s="2" t="s">
        <v>26</v>
      </c>
      <c r="H1558" s="8" t="s">
        <v>28</v>
      </c>
      <c r="I1558" s="2" t="s">
        <v>26</v>
      </c>
      <c r="J1558" s="7">
        <v>44927</v>
      </c>
      <c r="K1558" s="8" t="s">
        <v>77</v>
      </c>
      <c r="L1558" s="2" t="s">
        <v>26</v>
      </c>
      <c r="M1558" s="8" t="s">
        <v>28</v>
      </c>
      <c r="N1558" s="6" t="s">
        <v>2264</v>
      </c>
      <c r="O1558" s="6" t="s">
        <v>30</v>
      </c>
      <c r="P1558" s="2" t="s">
        <v>12938</v>
      </c>
    </row>
    <row r="1559" spans="1:16" ht="13.15" x14ac:dyDescent="0.4">
      <c r="A1559" s="2" t="s">
        <v>10992</v>
      </c>
      <c r="B1559" s="2" t="s">
        <v>5885</v>
      </c>
      <c r="C1559" s="6" t="s">
        <v>5879</v>
      </c>
      <c r="D1559" s="6" t="s">
        <v>42</v>
      </c>
      <c r="E1559" s="7">
        <v>44927</v>
      </c>
      <c r="F1559" s="8" t="s">
        <v>77</v>
      </c>
      <c r="G1559" s="2" t="s">
        <v>26</v>
      </c>
      <c r="H1559" s="8" t="s">
        <v>28</v>
      </c>
      <c r="I1559" s="2" t="s">
        <v>26</v>
      </c>
      <c r="J1559" s="7">
        <v>44927</v>
      </c>
      <c r="K1559" s="8" t="s">
        <v>77</v>
      </c>
      <c r="L1559" s="2" t="s">
        <v>26</v>
      </c>
      <c r="M1559" s="8" t="s">
        <v>28</v>
      </c>
      <c r="N1559" s="6" t="s">
        <v>2264</v>
      </c>
      <c r="O1559" s="6" t="s">
        <v>30</v>
      </c>
      <c r="P1559" s="2" t="s">
        <v>12939</v>
      </c>
    </row>
    <row r="1560" spans="1:16" ht="13.15" x14ac:dyDescent="0.4">
      <c r="A1560" s="2" t="s">
        <v>11310</v>
      </c>
      <c r="B1560" s="2" t="s">
        <v>5885</v>
      </c>
      <c r="C1560" s="6" t="s">
        <v>5879</v>
      </c>
      <c r="D1560" s="6" t="s">
        <v>42</v>
      </c>
      <c r="E1560" s="7">
        <v>44927</v>
      </c>
      <c r="F1560" s="8" t="s">
        <v>77</v>
      </c>
      <c r="G1560" s="2" t="s">
        <v>26</v>
      </c>
      <c r="H1560" s="8" t="s">
        <v>28</v>
      </c>
      <c r="I1560" s="2" t="s">
        <v>26</v>
      </c>
      <c r="J1560" s="7">
        <v>44927</v>
      </c>
      <c r="K1560" s="8" t="s">
        <v>77</v>
      </c>
      <c r="L1560" s="2" t="s">
        <v>26</v>
      </c>
      <c r="M1560" s="8" t="s">
        <v>28</v>
      </c>
      <c r="N1560" s="6" t="s">
        <v>2264</v>
      </c>
      <c r="O1560" s="6" t="s">
        <v>30</v>
      </c>
      <c r="P1560" s="2" t="s">
        <v>12940</v>
      </c>
    </row>
    <row r="1561" spans="1:16" ht="13.15" x14ac:dyDescent="0.4">
      <c r="A1561" s="2" t="s">
        <v>11308</v>
      </c>
      <c r="B1561" s="2" t="s">
        <v>5885</v>
      </c>
      <c r="C1561" s="6" t="s">
        <v>5879</v>
      </c>
      <c r="D1561" s="6" t="s">
        <v>42</v>
      </c>
      <c r="E1561" s="7">
        <v>44927</v>
      </c>
      <c r="F1561" s="8" t="s">
        <v>77</v>
      </c>
      <c r="G1561" s="2" t="s">
        <v>26</v>
      </c>
      <c r="H1561" s="8" t="s">
        <v>28</v>
      </c>
      <c r="I1561" s="2" t="s">
        <v>26</v>
      </c>
      <c r="J1561" s="7">
        <v>44927</v>
      </c>
      <c r="K1561" s="8" t="s">
        <v>77</v>
      </c>
      <c r="L1561" s="2" t="s">
        <v>26</v>
      </c>
      <c r="M1561" s="8" t="s">
        <v>28</v>
      </c>
      <c r="N1561" s="6" t="s">
        <v>2264</v>
      </c>
      <c r="O1561" s="6" t="s">
        <v>30</v>
      </c>
      <c r="P1561" s="2" t="s">
        <v>12941</v>
      </c>
    </row>
    <row r="1562" spans="1:16" ht="13.15" x14ac:dyDescent="0.4">
      <c r="A1562" s="2" t="s">
        <v>11360</v>
      </c>
      <c r="B1562" s="2" t="s">
        <v>5885</v>
      </c>
      <c r="C1562" s="6" t="s">
        <v>5879</v>
      </c>
      <c r="D1562" s="6" t="s">
        <v>42</v>
      </c>
      <c r="E1562" s="7">
        <v>44927</v>
      </c>
      <c r="F1562" s="8" t="s">
        <v>77</v>
      </c>
      <c r="G1562" s="2" t="s">
        <v>26</v>
      </c>
      <c r="H1562" s="8" t="s">
        <v>28</v>
      </c>
      <c r="I1562" s="2" t="s">
        <v>26</v>
      </c>
      <c r="J1562" s="7">
        <v>44927</v>
      </c>
      <c r="K1562" s="8" t="s">
        <v>77</v>
      </c>
      <c r="L1562" s="2" t="s">
        <v>26</v>
      </c>
      <c r="M1562" s="8" t="s">
        <v>28</v>
      </c>
      <c r="N1562" s="6" t="s">
        <v>2264</v>
      </c>
      <c r="O1562" s="6" t="s">
        <v>30</v>
      </c>
      <c r="P1562" s="2" t="s">
        <v>12942</v>
      </c>
    </row>
    <row r="1563" spans="1:16" ht="13.15" x14ac:dyDescent="0.4">
      <c r="A1563" s="2" t="s">
        <v>11272</v>
      </c>
      <c r="B1563" s="2" t="s">
        <v>5885</v>
      </c>
      <c r="C1563" s="6" t="s">
        <v>5879</v>
      </c>
      <c r="D1563" s="6" t="s">
        <v>42</v>
      </c>
      <c r="E1563" s="7">
        <v>44927</v>
      </c>
      <c r="F1563" s="8" t="s">
        <v>77</v>
      </c>
      <c r="G1563" s="2" t="s">
        <v>26</v>
      </c>
      <c r="H1563" s="8" t="s">
        <v>28</v>
      </c>
      <c r="I1563" s="2" t="s">
        <v>26</v>
      </c>
      <c r="J1563" s="7">
        <v>44927</v>
      </c>
      <c r="K1563" s="8" t="s">
        <v>77</v>
      </c>
      <c r="L1563" s="2" t="s">
        <v>26</v>
      </c>
      <c r="M1563" s="8" t="s">
        <v>28</v>
      </c>
      <c r="N1563" s="6" t="s">
        <v>2264</v>
      </c>
      <c r="O1563" s="6" t="s">
        <v>30</v>
      </c>
      <c r="P1563" s="2" t="s">
        <v>12943</v>
      </c>
    </row>
    <row r="1564" spans="1:16" ht="13.15" x14ac:dyDescent="0.4">
      <c r="A1564" s="2" t="s">
        <v>11298</v>
      </c>
      <c r="B1564" s="2" t="s">
        <v>5885</v>
      </c>
      <c r="C1564" s="6" t="s">
        <v>5879</v>
      </c>
      <c r="D1564" s="6" t="s">
        <v>42</v>
      </c>
      <c r="E1564" s="7">
        <v>44927</v>
      </c>
      <c r="F1564" s="8" t="s">
        <v>77</v>
      </c>
      <c r="G1564" s="2" t="s">
        <v>26</v>
      </c>
      <c r="H1564" s="8" t="s">
        <v>28</v>
      </c>
      <c r="I1564" s="2" t="s">
        <v>26</v>
      </c>
      <c r="J1564" s="7">
        <v>44927</v>
      </c>
      <c r="K1564" s="8" t="s">
        <v>77</v>
      </c>
      <c r="L1564" s="2" t="s">
        <v>26</v>
      </c>
      <c r="M1564" s="8" t="s">
        <v>28</v>
      </c>
      <c r="N1564" s="6" t="s">
        <v>2264</v>
      </c>
      <c r="O1564" s="6" t="s">
        <v>30</v>
      </c>
      <c r="P1564" s="2" t="s">
        <v>12944</v>
      </c>
    </row>
    <row r="1565" spans="1:16" ht="13.15" x14ac:dyDescent="0.4">
      <c r="A1565" s="2" t="s">
        <v>11250</v>
      </c>
      <c r="B1565" s="2" t="s">
        <v>5885</v>
      </c>
      <c r="C1565" s="6" t="s">
        <v>5879</v>
      </c>
      <c r="D1565" s="6" t="s">
        <v>42</v>
      </c>
      <c r="E1565" s="7">
        <v>44927</v>
      </c>
      <c r="F1565" s="8" t="s">
        <v>77</v>
      </c>
      <c r="G1565" s="2" t="s">
        <v>26</v>
      </c>
      <c r="H1565" s="8" t="s">
        <v>28</v>
      </c>
      <c r="I1565" s="2" t="s">
        <v>26</v>
      </c>
      <c r="J1565" s="7">
        <v>44927</v>
      </c>
      <c r="K1565" s="8" t="s">
        <v>77</v>
      </c>
      <c r="L1565" s="2" t="s">
        <v>26</v>
      </c>
      <c r="M1565" s="8" t="s">
        <v>28</v>
      </c>
      <c r="N1565" s="6" t="s">
        <v>2264</v>
      </c>
      <c r="O1565" s="6" t="s">
        <v>30</v>
      </c>
      <c r="P1565" s="2" t="s">
        <v>12945</v>
      </c>
    </row>
    <row r="1566" spans="1:16" ht="13.15" x14ac:dyDescent="0.4">
      <c r="A1566" s="2" t="s">
        <v>11313</v>
      </c>
      <c r="B1566" s="2" t="s">
        <v>5885</v>
      </c>
      <c r="C1566" s="6" t="s">
        <v>5879</v>
      </c>
      <c r="D1566" s="6" t="s">
        <v>42</v>
      </c>
      <c r="E1566" s="7">
        <v>44927</v>
      </c>
      <c r="F1566" s="8" t="s">
        <v>77</v>
      </c>
      <c r="G1566" s="2" t="s">
        <v>26</v>
      </c>
      <c r="H1566" s="8" t="s">
        <v>28</v>
      </c>
      <c r="I1566" s="2" t="s">
        <v>26</v>
      </c>
      <c r="J1566" s="7">
        <v>44927</v>
      </c>
      <c r="K1566" s="8" t="s">
        <v>77</v>
      </c>
      <c r="L1566" s="2" t="s">
        <v>26</v>
      </c>
      <c r="M1566" s="8" t="s">
        <v>28</v>
      </c>
      <c r="N1566" s="6" t="s">
        <v>2264</v>
      </c>
      <c r="O1566" s="6" t="s">
        <v>30</v>
      </c>
      <c r="P1566" s="2" t="s">
        <v>12946</v>
      </c>
    </row>
    <row r="1567" spans="1:16" ht="13.15" x14ac:dyDescent="0.4">
      <c r="A1567" s="2" t="s">
        <v>11134</v>
      </c>
      <c r="B1567" s="2" t="s">
        <v>5885</v>
      </c>
      <c r="C1567" s="6" t="s">
        <v>5879</v>
      </c>
      <c r="D1567" s="6" t="s">
        <v>42</v>
      </c>
      <c r="E1567" s="7">
        <v>44927</v>
      </c>
      <c r="F1567" s="8" t="s">
        <v>77</v>
      </c>
      <c r="G1567" s="2" t="s">
        <v>26</v>
      </c>
      <c r="H1567" s="8" t="s">
        <v>28</v>
      </c>
      <c r="I1567" s="2" t="s">
        <v>26</v>
      </c>
      <c r="J1567" s="7">
        <v>44927</v>
      </c>
      <c r="K1567" s="8" t="s">
        <v>77</v>
      </c>
      <c r="L1567" s="2" t="s">
        <v>26</v>
      </c>
      <c r="M1567" s="8" t="s">
        <v>28</v>
      </c>
      <c r="N1567" s="6" t="s">
        <v>2264</v>
      </c>
      <c r="O1567" s="6" t="s">
        <v>30</v>
      </c>
      <c r="P1567" s="2" t="s">
        <v>12947</v>
      </c>
    </row>
    <row r="1568" spans="1:16" ht="13.15" x14ac:dyDescent="0.4">
      <c r="A1568" s="2" t="s">
        <v>11378</v>
      </c>
      <c r="B1568" s="2" t="s">
        <v>5885</v>
      </c>
      <c r="C1568" s="6" t="s">
        <v>5879</v>
      </c>
      <c r="D1568" s="6" t="s">
        <v>42</v>
      </c>
      <c r="E1568" s="7">
        <v>44927</v>
      </c>
      <c r="F1568" s="8" t="s">
        <v>77</v>
      </c>
      <c r="G1568" s="2" t="s">
        <v>26</v>
      </c>
      <c r="H1568" s="8" t="s">
        <v>28</v>
      </c>
      <c r="I1568" s="2" t="s">
        <v>26</v>
      </c>
      <c r="J1568" s="7">
        <v>44927</v>
      </c>
      <c r="K1568" s="8" t="s">
        <v>77</v>
      </c>
      <c r="L1568" s="2" t="s">
        <v>26</v>
      </c>
      <c r="M1568" s="8" t="s">
        <v>28</v>
      </c>
      <c r="N1568" s="6" t="s">
        <v>2264</v>
      </c>
      <c r="O1568" s="6" t="s">
        <v>30</v>
      </c>
      <c r="P1568" s="2" t="s">
        <v>12948</v>
      </c>
    </row>
    <row r="1569" spans="1:16" ht="13.15" x14ac:dyDescent="0.4">
      <c r="A1569" s="2" t="s">
        <v>11283</v>
      </c>
      <c r="B1569" s="2" t="s">
        <v>5885</v>
      </c>
      <c r="C1569" s="6" t="s">
        <v>5879</v>
      </c>
      <c r="D1569" s="6" t="s">
        <v>42</v>
      </c>
      <c r="E1569" s="7">
        <v>44927</v>
      </c>
      <c r="F1569" s="8" t="s">
        <v>77</v>
      </c>
      <c r="G1569" s="2" t="s">
        <v>26</v>
      </c>
      <c r="H1569" s="8" t="s">
        <v>28</v>
      </c>
      <c r="I1569" s="2" t="s">
        <v>26</v>
      </c>
      <c r="J1569" s="7">
        <v>44927</v>
      </c>
      <c r="K1569" s="8" t="s">
        <v>77</v>
      </c>
      <c r="L1569" s="2" t="s">
        <v>26</v>
      </c>
      <c r="M1569" s="8" t="s">
        <v>28</v>
      </c>
      <c r="N1569" s="6" t="s">
        <v>2264</v>
      </c>
      <c r="O1569" s="6" t="s">
        <v>30</v>
      </c>
      <c r="P1569" s="2" t="s">
        <v>12949</v>
      </c>
    </row>
    <row r="1570" spans="1:16" ht="13.15" x14ac:dyDescent="0.4">
      <c r="A1570" s="2" t="s">
        <v>11132</v>
      </c>
      <c r="B1570" s="2" t="s">
        <v>5885</v>
      </c>
      <c r="C1570" s="6" t="s">
        <v>5879</v>
      </c>
      <c r="D1570" s="6" t="s">
        <v>42</v>
      </c>
      <c r="E1570" s="7">
        <v>44927</v>
      </c>
      <c r="F1570" s="8" t="s">
        <v>77</v>
      </c>
      <c r="G1570" s="2" t="s">
        <v>26</v>
      </c>
      <c r="H1570" s="8" t="s">
        <v>28</v>
      </c>
      <c r="I1570" s="2" t="s">
        <v>26</v>
      </c>
      <c r="J1570" s="7">
        <v>44927</v>
      </c>
      <c r="K1570" s="8" t="s">
        <v>77</v>
      </c>
      <c r="L1570" s="2" t="s">
        <v>26</v>
      </c>
      <c r="M1570" s="8" t="s">
        <v>28</v>
      </c>
      <c r="N1570" s="6" t="s">
        <v>2264</v>
      </c>
      <c r="O1570" s="6" t="s">
        <v>30</v>
      </c>
      <c r="P1570" s="2" t="s">
        <v>12950</v>
      </c>
    </row>
    <row r="1571" spans="1:16" ht="13.15" x14ac:dyDescent="0.4">
      <c r="A1571" s="2" t="s">
        <v>11248</v>
      </c>
      <c r="B1571" s="2" t="s">
        <v>5885</v>
      </c>
      <c r="C1571" s="6" t="s">
        <v>5879</v>
      </c>
      <c r="D1571" s="6" t="s">
        <v>42</v>
      </c>
      <c r="E1571" s="7">
        <v>44927</v>
      </c>
      <c r="F1571" s="8" t="s">
        <v>77</v>
      </c>
      <c r="G1571" s="2" t="s">
        <v>26</v>
      </c>
      <c r="H1571" s="8" t="s">
        <v>28</v>
      </c>
      <c r="I1571" s="2" t="s">
        <v>26</v>
      </c>
      <c r="J1571" s="7">
        <v>44927</v>
      </c>
      <c r="K1571" s="8" t="s">
        <v>77</v>
      </c>
      <c r="L1571" s="2" t="s">
        <v>26</v>
      </c>
      <c r="M1571" s="8" t="s">
        <v>28</v>
      </c>
      <c r="N1571" s="6" t="s">
        <v>2264</v>
      </c>
      <c r="O1571" s="6" t="s">
        <v>30</v>
      </c>
      <c r="P1571" s="2" t="s">
        <v>12951</v>
      </c>
    </row>
    <row r="1572" spans="1:16" ht="13.15" x14ac:dyDescent="0.4">
      <c r="A1572" s="2" t="s">
        <v>11277</v>
      </c>
      <c r="B1572" s="2" t="s">
        <v>5885</v>
      </c>
      <c r="C1572" s="6" t="s">
        <v>5879</v>
      </c>
      <c r="D1572" s="6" t="s">
        <v>42</v>
      </c>
      <c r="E1572" s="7">
        <v>44927</v>
      </c>
      <c r="F1572" s="8" t="s">
        <v>77</v>
      </c>
      <c r="G1572" s="2" t="s">
        <v>26</v>
      </c>
      <c r="H1572" s="8" t="s">
        <v>28</v>
      </c>
      <c r="I1572" s="2" t="s">
        <v>26</v>
      </c>
      <c r="J1572" s="7">
        <v>44927</v>
      </c>
      <c r="K1572" s="8" t="s">
        <v>77</v>
      </c>
      <c r="L1572" s="2" t="s">
        <v>26</v>
      </c>
      <c r="M1572" s="8" t="s">
        <v>28</v>
      </c>
      <c r="N1572" s="6" t="s">
        <v>2264</v>
      </c>
      <c r="O1572" s="6" t="s">
        <v>30</v>
      </c>
      <c r="P1572" s="2" t="s">
        <v>12952</v>
      </c>
    </row>
    <row r="1573" spans="1:16" ht="13.15" x14ac:dyDescent="0.4">
      <c r="A1573" s="2" t="s">
        <v>10971</v>
      </c>
      <c r="B1573" s="2" t="s">
        <v>5885</v>
      </c>
      <c r="C1573" s="6" t="s">
        <v>5879</v>
      </c>
      <c r="D1573" s="6" t="s">
        <v>42</v>
      </c>
      <c r="E1573" s="7">
        <v>44927</v>
      </c>
      <c r="F1573" s="8" t="s">
        <v>77</v>
      </c>
      <c r="G1573" s="2" t="s">
        <v>26</v>
      </c>
      <c r="H1573" s="8" t="s">
        <v>28</v>
      </c>
      <c r="I1573" s="2" t="s">
        <v>26</v>
      </c>
      <c r="J1573" s="7">
        <v>44927</v>
      </c>
      <c r="K1573" s="8" t="s">
        <v>77</v>
      </c>
      <c r="L1573" s="2" t="s">
        <v>26</v>
      </c>
      <c r="M1573" s="8" t="s">
        <v>28</v>
      </c>
      <c r="N1573" s="6" t="s">
        <v>2264</v>
      </c>
      <c r="O1573" s="6" t="s">
        <v>30</v>
      </c>
      <c r="P1573" s="2" t="s">
        <v>12953</v>
      </c>
    </row>
    <row r="1574" spans="1:16" ht="13.15" x14ac:dyDescent="0.4">
      <c r="A1574" s="2" t="s">
        <v>11258</v>
      </c>
      <c r="B1574" s="2" t="s">
        <v>5885</v>
      </c>
      <c r="C1574" s="6" t="s">
        <v>5879</v>
      </c>
      <c r="D1574" s="6" t="s">
        <v>42</v>
      </c>
      <c r="E1574" s="7">
        <v>44927</v>
      </c>
      <c r="F1574" s="8" t="s">
        <v>77</v>
      </c>
      <c r="G1574" s="2" t="s">
        <v>26</v>
      </c>
      <c r="H1574" s="8" t="s">
        <v>28</v>
      </c>
      <c r="I1574" s="2" t="s">
        <v>26</v>
      </c>
      <c r="J1574" s="7">
        <v>44927</v>
      </c>
      <c r="K1574" s="8" t="s">
        <v>77</v>
      </c>
      <c r="L1574" s="2" t="s">
        <v>26</v>
      </c>
      <c r="M1574" s="8" t="s">
        <v>28</v>
      </c>
      <c r="N1574" s="6" t="s">
        <v>2264</v>
      </c>
      <c r="O1574" s="6" t="s">
        <v>30</v>
      </c>
      <c r="P1574" s="2" t="s">
        <v>12954</v>
      </c>
    </row>
    <row r="1575" spans="1:16" ht="13.15" x14ac:dyDescent="0.4">
      <c r="A1575" s="2" t="s">
        <v>11261</v>
      </c>
      <c r="B1575" s="2" t="s">
        <v>5885</v>
      </c>
      <c r="C1575" s="6" t="s">
        <v>5879</v>
      </c>
      <c r="D1575" s="6" t="s">
        <v>42</v>
      </c>
      <c r="E1575" s="7">
        <v>44927</v>
      </c>
      <c r="F1575" s="8" t="s">
        <v>77</v>
      </c>
      <c r="G1575" s="2" t="s">
        <v>26</v>
      </c>
      <c r="H1575" s="8" t="s">
        <v>28</v>
      </c>
      <c r="I1575" s="2" t="s">
        <v>26</v>
      </c>
      <c r="J1575" s="7">
        <v>44927</v>
      </c>
      <c r="K1575" s="8" t="s">
        <v>77</v>
      </c>
      <c r="L1575" s="2" t="s">
        <v>26</v>
      </c>
      <c r="M1575" s="8" t="s">
        <v>28</v>
      </c>
      <c r="N1575" s="6" t="s">
        <v>2264</v>
      </c>
      <c r="O1575" s="6" t="s">
        <v>30</v>
      </c>
      <c r="P1575" s="2" t="s">
        <v>12955</v>
      </c>
    </row>
    <row r="1576" spans="1:16" ht="13.15" x14ac:dyDescent="0.4">
      <c r="A1576" s="2" t="s">
        <v>11111</v>
      </c>
      <c r="B1576" s="2" t="s">
        <v>5885</v>
      </c>
      <c r="C1576" s="6" t="s">
        <v>5879</v>
      </c>
      <c r="D1576" s="6" t="s">
        <v>42</v>
      </c>
      <c r="E1576" s="7">
        <v>44927</v>
      </c>
      <c r="F1576" s="8" t="s">
        <v>77</v>
      </c>
      <c r="G1576" s="2" t="s">
        <v>26</v>
      </c>
      <c r="H1576" s="8" t="s">
        <v>28</v>
      </c>
      <c r="I1576" s="2" t="s">
        <v>26</v>
      </c>
      <c r="J1576" s="7">
        <v>44927</v>
      </c>
      <c r="K1576" s="8" t="s">
        <v>77</v>
      </c>
      <c r="L1576" s="2" t="s">
        <v>26</v>
      </c>
      <c r="M1576" s="8" t="s">
        <v>28</v>
      </c>
      <c r="N1576" s="6" t="s">
        <v>2264</v>
      </c>
      <c r="O1576" s="6" t="s">
        <v>30</v>
      </c>
      <c r="P1576" s="2" t="s">
        <v>12956</v>
      </c>
    </row>
    <row r="1577" spans="1:16" ht="13.15" x14ac:dyDescent="0.4">
      <c r="A1577" s="2" t="s">
        <v>11188</v>
      </c>
      <c r="B1577" s="2" t="s">
        <v>5885</v>
      </c>
      <c r="C1577" s="6" t="s">
        <v>5879</v>
      </c>
      <c r="D1577" s="6" t="s">
        <v>42</v>
      </c>
      <c r="E1577" s="7">
        <v>44927</v>
      </c>
      <c r="F1577" s="8" t="s">
        <v>77</v>
      </c>
      <c r="G1577" s="2" t="s">
        <v>26</v>
      </c>
      <c r="H1577" s="8" t="s">
        <v>28</v>
      </c>
      <c r="I1577" s="2" t="s">
        <v>26</v>
      </c>
      <c r="J1577" s="7">
        <v>44927</v>
      </c>
      <c r="K1577" s="8" t="s">
        <v>77</v>
      </c>
      <c r="L1577" s="2" t="s">
        <v>26</v>
      </c>
      <c r="M1577" s="8" t="s">
        <v>28</v>
      </c>
      <c r="N1577" s="6" t="s">
        <v>2264</v>
      </c>
      <c r="O1577" s="6" t="s">
        <v>30</v>
      </c>
      <c r="P1577" s="2" t="s">
        <v>12957</v>
      </c>
    </row>
    <row r="1578" spans="1:16" ht="13.15" x14ac:dyDescent="0.4">
      <c r="A1578" s="2" t="s">
        <v>11251</v>
      </c>
      <c r="B1578" s="2" t="s">
        <v>5885</v>
      </c>
      <c r="C1578" s="6" t="s">
        <v>5879</v>
      </c>
      <c r="D1578" s="6" t="s">
        <v>42</v>
      </c>
      <c r="E1578" s="7">
        <v>44927</v>
      </c>
      <c r="F1578" s="8" t="s">
        <v>77</v>
      </c>
      <c r="G1578" s="2" t="s">
        <v>26</v>
      </c>
      <c r="H1578" s="8" t="s">
        <v>28</v>
      </c>
      <c r="I1578" s="2" t="s">
        <v>26</v>
      </c>
      <c r="J1578" s="7">
        <v>44927</v>
      </c>
      <c r="K1578" s="8" t="s">
        <v>77</v>
      </c>
      <c r="L1578" s="2" t="s">
        <v>26</v>
      </c>
      <c r="M1578" s="8" t="s">
        <v>28</v>
      </c>
      <c r="N1578" s="6" t="s">
        <v>2264</v>
      </c>
      <c r="O1578" s="6" t="s">
        <v>30</v>
      </c>
      <c r="P1578" s="2" t="s">
        <v>12958</v>
      </c>
    </row>
    <row r="1579" spans="1:16" ht="13.15" x14ac:dyDescent="0.4">
      <c r="A1579" s="2" t="s">
        <v>11377</v>
      </c>
      <c r="B1579" s="2" t="s">
        <v>5885</v>
      </c>
      <c r="C1579" s="6" t="s">
        <v>5879</v>
      </c>
      <c r="D1579" s="6" t="s">
        <v>42</v>
      </c>
      <c r="E1579" s="7">
        <v>44927</v>
      </c>
      <c r="F1579" s="8" t="s">
        <v>77</v>
      </c>
      <c r="G1579" s="2" t="s">
        <v>26</v>
      </c>
      <c r="H1579" s="8" t="s">
        <v>28</v>
      </c>
      <c r="I1579" s="2" t="s">
        <v>26</v>
      </c>
      <c r="J1579" s="7">
        <v>44927</v>
      </c>
      <c r="K1579" s="8" t="s">
        <v>77</v>
      </c>
      <c r="L1579" s="2" t="s">
        <v>26</v>
      </c>
      <c r="M1579" s="8" t="s">
        <v>28</v>
      </c>
      <c r="N1579" s="6" t="s">
        <v>2264</v>
      </c>
      <c r="O1579" s="6" t="s">
        <v>30</v>
      </c>
      <c r="P1579" s="2" t="s">
        <v>12959</v>
      </c>
    </row>
    <row r="1580" spans="1:16" ht="13.15" x14ac:dyDescent="0.4">
      <c r="A1580" s="2" t="s">
        <v>11168</v>
      </c>
      <c r="B1580" s="2" t="s">
        <v>5885</v>
      </c>
      <c r="C1580" s="6" t="s">
        <v>5879</v>
      </c>
      <c r="D1580" s="6" t="s">
        <v>42</v>
      </c>
      <c r="E1580" s="7">
        <v>44927</v>
      </c>
      <c r="F1580" s="8" t="s">
        <v>77</v>
      </c>
      <c r="G1580" s="2" t="s">
        <v>26</v>
      </c>
      <c r="H1580" s="8" t="s">
        <v>28</v>
      </c>
      <c r="I1580" s="2" t="s">
        <v>26</v>
      </c>
      <c r="J1580" s="7">
        <v>44927</v>
      </c>
      <c r="K1580" s="8" t="s">
        <v>77</v>
      </c>
      <c r="L1580" s="2" t="s">
        <v>26</v>
      </c>
      <c r="M1580" s="8" t="s">
        <v>28</v>
      </c>
      <c r="N1580" s="6" t="s">
        <v>2264</v>
      </c>
      <c r="O1580" s="6" t="s">
        <v>30</v>
      </c>
      <c r="P1580" s="2" t="s">
        <v>12960</v>
      </c>
    </row>
    <row r="1581" spans="1:16" ht="13.15" x14ac:dyDescent="0.4">
      <c r="A1581" s="2" t="s">
        <v>10946</v>
      </c>
      <c r="B1581" s="2" t="s">
        <v>5885</v>
      </c>
      <c r="C1581" s="6" t="s">
        <v>5879</v>
      </c>
      <c r="D1581" s="6" t="s">
        <v>42</v>
      </c>
      <c r="E1581" s="7">
        <v>44927</v>
      </c>
      <c r="F1581" s="8" t="s">
        <v>77</v>
      </c>
      <c r="G1581" s="2" t="s">
        <v>26</v>
      </c>
      <c r="H1581" s="8" t="s">
        <v>28</v>
      </c>
      <c r="I1581" s="2" t="s">
        <v>26</v>
      </c>
      <c r="J1581" s="7">
        <v>44927</v>
      </c>
      <c r="K1581" s="8" t="s">
        <v>77</v>
      </c>
      <c r="L1581" s="2" t="s">
        <v>26</v>
      </c>
      <c r="M1581" s="8" t="s">
        <v>28</v>
      </c>
      <c r="N1581" s="6" t="s">
        <v>2264</v>
      </c>
      <c r="O1581" s="6" t="s">
        <v>30</v>
      </c>
      <c r="P1581" s="2" t="s">
        <v>12961</v>
      </c>
    </row>
    <row r="1582" spans="1:16" ht="13.15" x14ac:dyDescent="0.4">
      <c r="A1582" s="2" t="s">
        <v>9448</v>
      </c>
      <c r="B1582" s="2" t="s">
        <v>5885</v>
      </c>
      <c r="C1582" s="6" t="s">
        <v>5879</v>
      </c>
      <c r="D1582" s="6" t="s">
        <v>42</v>
      </c>
      <c r="E1582" s="7">
        <v>44927</v>
      </c>
      <c r="F1582" s="8" t="s">
        <v>77</v>
      </c>
      <c r="G1582" s="2" t="s">
        <v>26</v>
      </c>
      <c r="H1582" s="8" t="s">
        <v>28</v>
      </c>
      <c r="I1582" s="2" t="s">
        <v>26</v>
      </c>
      <c r="J1582" s="7">
        <v>44927</v>
      </c>
      <c r="K1582" s="8" t="s">
        <v>77</v>
      </c>
      <c r="L1582" s="2" t="s">
        <v>26</v>
      </c>
      <c r="M1582" s="8" t="s">
        <v>28</v>
      </c>
      <c r="N1582" s="6" t="s">
        <v>2264</v>
      </c>
      <c r="O1582" s="6" t="s">
        <v>30</v>
      </c>
      <c r="P1582" s="2" t="s">
        <v>12962</v>
      </c>
    </row>
    <row r="1583" spans="1:16" ht="13.15" x14ac:dyDescent="0.4">
      <c r="A1583" s="2" t="s">
        <v>11306</v>
      </c>
      <c r="B1583" s="2" t="s">
        <v>5885</v>
      </c>
      <c r="C1583" s="6" t="s">
        <v>5879</v>
      </c>
      <c r="D1583" s="6" t="s">
        <v>42</v>
      </c>
      <c r="E1583" s="7">
        <v>44927</v>
      </c>
      <c r="F1583" s="8" t="s">
        <v>77</v>
      </c>
      <c r="G1583" s="2" t="s">
        <v>26</v>
      </c>
      <c r="H1583" s="8" t="s">
        <v>28</v>
      </c>
      <c r="I1583" s="2" t="s">
        <v>26</v>
      </c>
      <c r="J1583" s="7">
        <v>44927</v>
      </c>
      <c r="K1583" s="8" t="s">
        <v>77</v>
      </c>
      <c r="L1583" s="2" t="s">
        <v>26</v>
      </c>
      <c r="M1583" s="8" t="s">
        <v>28</v>
      </c>
      <c r="N1583" s="6" t="s">
        <v>2264</v>
      </c>
      <c r="O1583" s="6" t="s">
        <v>30</v>
      </c>
      <c r="P1583" s="2" t="s">
        <v>12963</v>
      </c>
    </row>
    <row r="1584" spans="1:16" ht="13.15" x14ac:dyDescent="0.4">
      <c r="A1584" s="2" t="s">
        <v>11392</v>
      </c>
      <c r="B1584" s="2" t="s">
        <v>5885</v>
      </c>
      <c r="C1584" s="6" t="s">
        <v>5879</v>
      </c>
      <c r="D1584" s="6" t="s">
        <v>42</v>
      </c>
      <c r="E1584" s="7">
        <v>44927</v>
      </c>
      <c r="F1584" s="8" t="s">
        <v>77</v>
      </c>
      <c r="G1584" s="2" t="s">
        <v>26</v>
      </c>
      <c r="H1584" s="8" t="s">
        <v>28</v>
      </c>
      <c r="I1584" s="2" t="s">
        <v>26</v>
      </c>
      <c r="J1584" s="7">
        <v>44927</v>
      </c>
      <c r="K1584" s="8" t="s">
        <v>77</v>
      </c>
      <c r="L1584" s="2" t="s">
        <v>26</v>
      </c>
      <c r="M1584" s="8" t="s">
        <v>28</v>
      </c>
      <c r="N1584" s="6" t="s">
        <v>2264</v>
      </c>
      <c r="O1584" s="6" t="s">
        <v>30</v>
      </c>
      <c r="P1584" s="2" t="s">
        <v>12964</v>
      </c>
    </row>
    <row r="1585" spans="1:16" ht="13.15" x14ac:dyDescent="0.4">
      <c r="A1585" s="2" t="s">
        <v>11234</v>
      </c>
      <c r="B1585" s="2" t="s">
        <v>5885</v>
      </c>
      <c r="C1585" s="6" t="s">
        <v>5879</v>
      </c>
      <c r="D1585" s="6" t="s">
        <v>42</v>
      </c>
      <c r="E1585" s="7">
        <v>44927</v>
      </c>
      <c r="F1585" s="8" t="s">
        <v>77</v>
      </c>
      <c r="G1585" s="2" t="s">
        <v>26</v>
      </c>
      <c r="H1585" s="8" t="s">
        <v>28</v>
      </c>
      <c r="I1585" s="2" t="s">
        <v>26</v>
      </c>
      <c r="J1585" s="7">
        <v>44927</v>
      </c>
      <c r="K1585" s="8" t="s">
        <v>77</v>
      </c>
      <c r="L1585" s="2" t="s">
        <v>26</v>
      </c>
      <c r="M1585" s="8" t="s">
        <v>28</v>
      </c>
      <c r="N1585" s="6" t="s">
        <v>2264</v>
      </c>
      <c r="O1585" s="6" t="s">
        <v>30</v>
      </c>
      <c r="P1585" s="2" t="s">
        <v>12965</v>
      </c>
    </row>
    <row r="1586" spans="1:16" ht="13.15" x14ac:dyDescent="0.4">
      <c r="A1586" s="2" t="s">
        <v>11366</v>
      </c>
      <c r="B1586" s="2" t="s">
        <v>5885</v>
      </c>
      <c r="C1586" s="6" t="s">
        <v>5879</v>
      </c>
      <c r="D1586" s="6" t="s">
        <v>42</v>
      </c>
      <c r="E1586" s="7">
        <v>44927</v>
      </c>
      <c r="F1586" s="8" t="s">
        <v>77</v>
      </c>
      <c r="G1586" s="2" t="s">
        <v>26</v>
      </c>
      <c r="H1586" s="8" t="s">
        <v>28</v>
      </c>
      <c r="I1586" s="2" t="s">
        <v>26</v>
      </c>
      <c r="J1586" s="7">
        <v>44927</v>
      </c>
      <c r="K1586" s="8" t="s">
        <v>77</v>
      </c>
      <c r="L1586" s="2" t="s">
        <v>26</v>
      </c>
      <c r="M1586" s="8" t="s">
        <v>28</v>
      </c>
      <c r="N1586" s="6" t="s">
        <v>2264</v>
      </c>
      <c r="O1586" s="6" t="s">
        <v>30</v>
      </c>
      <c r="P1586" s="2" t="s">
        <v>12966</v>
      </c>
    </row>
    <row r="1587" spans="1:16" ht="13.15" x14ac:dyDescent="0.4">
      <c r="A1587" s="2" t="s">
        <v>9477</v>
      </c>
      <c r="B1587" s="2" t="s">
        <v>5885</v>
      </c>
      <c r="C1587" s="6" t="s">
        <v>5879</v>
      </c>
      <c r="D1587" s="6" t="s">
        <v>42</v>
      </c>
      <c r="E1587" s="7">
        <v>44927</v>
      </c>
      <c r="F1587" s="8" t="s">
        <v>77</v>
      </c>
      <c r="G1587" s="2" t="s">
        <v>26</v>
      </c>
      <c r="H1587" s="8" t="s">
        <v>28</v>
      </c>
      <c r="I1587" s="2" t="s">
        <v>26</v>
      </c>
      <c r="J1587" s="7">
        <v>44927</v>
      </c>
      <c r="K1587" s="8" t="s">
        <v>77</v>
      </c>
      <c r="L1587" s="2" t="s">
        <v>26</v>
      </c>
      <c r="M1587" s="8" t="s">
        <v>28</v>
      </c>
      <c r="N1587" s="6" t="s">
        <v>2264</v>
      </c>
      <c r="O1587" s="6" t="s">
        <v>30</v>
      </c>
      <c r="P1587" s="2" t="s">
        <v>12967</v>
      </c>
    </row>
    <row r="1588" spans="1:16" ht="13.15" x14ac:dyDescent="0.4">
      <c r="A1588" s="2" t="s">
        <v>11239</v>
      </c>
      <c r="B1588" s="2" t="s">
        <v>5885</v>
      </c>
      <c r="C1588" s="6" t="s">
        <v>5879</v>
      </c>
      <c r="D1588" s="6" t="s">
        <v>42</v>
      </c>
      <c r="E1588" s="7">
        <v>44927</v>
      </c>
      <c r="F1588" s="8" t="s">
        <v>77</v>
      </c>
      <c r="G1588" s="2" t="s">
        <v>26</v>
      </c>
      <c r="H1588" s="8" t="s">
        <v>28</v>
      </c>
      <c r="I1588" s="2" t="s">
        <v>26</v>
      </c>
      <c r="J1588" s="7">
        <v>44927</v>
      </c>
      <c r="K1588" s="8" t="s">
        <v>77</v>
      </c>
      <c r="L1588" s="2" t="s">
        <v>26</v>
      </c>
      <c r="M1588" s="8" t="s">
        <v>28</v>
      </c>
      <c r="N1588" s="6" t="s">
        <v>2264</v>
      </c>
      <c r="O1588" s="6" t="s">
        <v>30</v>
      </c>
      <c r="P1588" s="2" t="s">
        <v>12968</v>
      </c>
    </row>
    <row r="1589" spans="1:16" ht="13.15" x14ac:dyDescent="0.4">
      <c r="A1589" s="2" t="s">
        <v>11242</v>
      </c>
      <c r="B1589" s="2" t="s">
        <v>5885</v>
      </c>
      <c r="C1589" s="6" t="s">
        <v>5879</v>
      </c>
      <c r="D1589" s="6" t="s">
        <v>42</v>
      </c>
      <c r="E1589" s="7">
        <v>44927</v>
      </c>
      <c r="F1589" s="8" t="s">
        <v>77</v>
      </c>
      <c r="G1589" s="2" t="s">
        <v>26</v>
      </c>
      <c r="H1589" s="8" t="s">
        <v>28</v>
      </c>
      <c r="I1589" s="2" t="s">
        <v>26</v>
      </c>
      <c r="J1589" s="7">
        <v>44927</v>
      </c>
      <c r="K1589" s="8" t="s">
        <v>77</v>
      </c>
      <c r="L1589" s="2" t="s">
        <v>26</v>
      </c>
      <c r="M1589" s="8" t="s">
        <v>28</v>
      </c>
      <c r="N1589" s="6" t="s">
        <v>2264</v>
      </c>
      <c r="O1589" s="6" t="s">
        <v>30</v>
      </c>
      <c r="P1589" s="2" t="s">
        <v>12969</v>
      </c>
    </row>
    <row r="1590" spans="1:16" ht="13.15" x14ac:dyDescent="0.4">
      <c r="A1590" s="2" t="s">
        <v>11249</v>
      </c>
      <c r="B1590" s="2" t="s">
        <v>5885</v>
      </c>
      <c r="C1590" s="6" t="s">
        <v>5879</v>
      </c>
      <c r="D1590" s="6" t="s">
        <v>42</v>
      </c>
      <c r="E1590" s="7">
        <v>44927</v>
      </c>
      <c r="F1590" s="8" t="s">
        <v>77</v>
      </c>
      <c r="G1590" s="2" t="s">
        <v>26</v>
      </c>
      <c r="H1590" s="8" t="s">
        <v>28</v>
      </c>
      <c r="I1590" s="2" t="s">
        <v>26</v>
      </c>
      <c r="J1590" s="7">
        <v>44927</v>
      </c>
      <c r="K1590" s="8" t="s">
        <v>77</v>
      </c>
      <c r="L1590" s="2" t="s">
        <v>26</v>
      </c>
      <c r="M1590" s="8" t="s">
        <v>28</v>
      </c>
      <c r="N1590" s="6" t="s">
        <v>2264</v>
      </c>
      <c r="O1590" s="6" t="s">
        <v>30</v>
      </c>
      <c r="P1590" s="2" t="s">
        <v>12970</v>
      </c>
    </row>
    <row r="1591" spans="1:16" ht="13.15" x14ac:dyDescent="0.4">
      <c r="A1591" s="2" t="s">
        <v>11304</v>
      </c>
      <c r="B1591" s="2" t="s">
        <v>5885</v>
      </c>
      <c r="C1591" s="6" t="s">
        <v>5879</v>
      </c>
      <c r="D1591" s="6" t="s">
        <v>42</v>
      </c>
      <c r="E1591" s="7">
        <v>44927</v>
      </c>
      <c r="F1591" s="8" t="s">
        <v>77</v>
      </c>
      <c r="G1591" s="2" t="s">
        <v>26</v>
      </c>
      <c r="H1591" s="8" t="s">
        <v>28</v>
      </c>
      <c r="I1591" s="2" t="s">
        <v>26</v>
      </c>
      <c r="J1591" s="7">
        <v>44927</v>
      </c>
      <c r="K1591" s="8" t="s">
        <v>77</v>
      </c>
      <c r="L1591" s="2" t="s">
        <v>26</v>
      </c>
      <c r="M1591" s="8" t="s">
        <v>28</v>
      </c>
      <c r="N1591" s="6" t="s">
        <v>2264</v>
      </c>
      <c r="O1591" s="6" t="s">
        <v>30</v>
      </c>
      <c r="P1591" s="2" t="s">
        <v>12971</v>
      </c>
    </row>
    <row r="1592" spans="1:16" ht="13.15" x14ac:dyDescent="0.4">
      <c r="A1592" s="2" t="s">
        <v>11122</v>
      </c>
      <c r="B1592" s="2" t="s">
        <v>5885</v>
      </c>
      <c r="C1592" s="6" t="s">
        <v>5879</v>
      </c>
      <c r="D1592" s="6" t="s">
        <v>42</v>
      </c>
      <c r="E1592" s="7">
        <v>44927</v>
      </c>
      <c r="F1592" s="8" t="s">
        <v>77</v>
      </c>
      <c r="G1592" s="2" t="s">
        <v>26</v>
      </c>
      <c r="H1592" s="8" t="s">
        <v>28</v>
      </c>
      <c r="I1592" s="2" t="s">
        <v>26</v>
      </c>
      <c r="J1592" s="7">
        <v>44927</v>
      </c>
      <c r="K1592" s="8" t="s">
        <v>77</v>
      </c>
      <c r="L1592" s="2" t="s">
        <v>26</v>
      </c>
      <c r="M1592" s="8" t="s">
        <v>28</v>
      </c>
      <c r="N1592" s="6" t="s">
        <v>2264</v>
      </c>
      <c r="O1592" s="6" t="s">
        <v>30</v>
      </c>
      <c r="P1592" s="2" t="s">
        <v>12972</v>
      </c>
    </row>
    <row r="1593" spans="1:16" ht="13.15" x14ac:dyDescent="0.4">
      <c r="A1593" s="2" t="s">
        <v>11332</v>
      </c>
      <c r="B1593" s="2" t="s">
        <v>5885</v>
      </c>
      <c r="C1593" s="6" t="s">
        <v>5879</v>
      </c>
      <c r="D1593" s="6" t="s">
        <v>42</v>
      </c>
      <c r="E1593" s="7">
        <v>44927</v>
      </c>
      <c r="F1593" s="8" t="s">
        <v>77</v>
      </c>
      <c r="G1593" s="2" t="s">
        <v>26</v>
      </c>
      <c r="H1593" s="8" t="s">
        <v>28</v>
      </c>
      <c r="I1593" s="2" t="s">
        <v>26</v>
      </c>
      <c r="J1593" s="7">
        <v>44927</v>
      </c>
      <c r="K1593" s="8" t="s">
        <v>77</v>
      </c>
      <c r="L1593" s="2" t="s">
        <v>26</v>
      </c>
      <c r="M1593" s="8" t="s">
        <v>28</v>
      </c>
      <c r="N1593" s="6" t="s">
        <v>2264</v>
      </c>
      <c r="O1593" s="6" t="s">
        <v>30</v>
      </c>
      <c r="P1593" s="2" t="s">
        <v>12973</v>
      </c>
    </row>
    <row r="1594" spans="1:16" ht="13.15" x14ac:dyDescent="0.4">
      <c r="A1594" s="2" t="s">
        <v>11163</v>
      </c>
      <c r="B1594" s="2" t="s">
        <v>5885</v>
      </c>
      <c r="C1594" s="6" t="s">
        <v>5879</v>
      </c>
      <c r="D1594" s="6" t="s">
        <v>42</v>
      </c>
      <c r="E1594" s="7">
        <v>44927</v>
      </c>
      <c r="F1594" s="8" t="s">
        <v>77</v>
      </c>
      <c r="G1594" s="2" t="s">
        <v>26</v>
      </c>
      <c r="H1594" s="8" t="s">
        <v>28</v>
      </c>
      <c r="I1594" s="2" t="s">
        <v>26</v>
      </c>
      <c r="J1594" s="7">
        <v>44927</v>
      </c>
      <c r="K1594" s="8" t="s">
        <v>77</v>
      </c>
      <c r="L1594" s="2" t="s">
        <v>26</v>
      </c>
      <c r="M1594" s="8" t="s">
        <v>28</v>
      </c>
      <c r="N1594" s="6" t="s">
        <v>2264</v>
      </c>
      <c r="O1594" s="6" t="s">
        <v>30</v>
      </c>
      <c r="P1594" s="2" t="s">
        <v>12974</v>
      </c>
    </row>
    <row r="1595" spans="1:16" ht="13.15" x14ac:dyDescent="0.4">
      <c r="A1595" s="2" t="s">
        <v>11287</v>
      </c>
      <c r="B1595" s="2" t="s">
        <v>5885</v>
      </c>
      <c r="C1595" s="6" t="s">
        <v>5879</v>
      </c>
      <c r="D1595" s="6" t="s">
        <v>42</v>
      </c>
      <c r="E1595" s="7">
        <v>44927</v>
      </c>
      <c r="F1595" s="8" t="s">
        <v>77</v>
      </c>
      <c r="G1595" s="2" t="s">
        <v>26</v>
      </c>
      <c r="H1595" s="8" t="s">
        <v>28</v>
      </c>
      <c r="I1595" s="2" t="s">
        <v>26</v>
      </c>
      <c r="J1595" s="7">
        <v>44927</v>
      </c>
      <c r="K1595" s="8" t="s">
        <v>77</v>
      </c>
      <c r="L1595" s="2" t="s">
        <v>26</v>
      </c>
      <c r="M1595" s="8" t="s">
        <v>28</v>
      </c>
      <c r="N1595" s="6" t="s">
        <v>2264</v>
      </c>
      <c r="O1595" s="6" t="s">
        <v>30</v>
      </c>
      <c r="P1595" s="2" t="s">
        <v>12975</v>
      </c>
    </row>
    <row r="1596" spans="1:16" ht="13.15" x14ac:dyDescent="0.4">
      <c r="A1596" s="2" t="s">
        <v>11300</v>
      </c>
      <c r="B1596" s="2" t="s">
        <v>5885</v>
      </c>
      <c r="C1596" s="6" t="s">
        <v>5879</v>
      </c>
      <c r="D1596" s="6" t="s">
        <v>42</v>
      </c>
      <c r="E1596" s="7">
        <v>44927</v>
      </c>
      <c r="F1596" s="8" t="s">
        <v>77</v>
      </c>
      <c r="G1596" s="2" t="s">
        <v>26</v>
      </c>
      <c r="H1596" s="8" t="s">
        <v>28</v>
      </c>
      <c r="I1596" s="2" t="s">
        <v>26</v>
      </c>
      <c r="J1596" s="7">
        <v>44927</v>
      </c>
      <c r="K1596" s="8" t="s">
        <v>77</v>
      </c>
      <c r="L1596" s="2" t="s">
        <v>26</v>
      </c>
      <c r="M1596" s="8" t="s">
        <v>28</v>
      </c>
      <c r="N1596" s="6" t="s">
        <v>2264</v>
      </c>
      <c r="O1596" s="6" t="s">
        <v>30</v>
      </c>
      <c r="P1596" s="2" t="s">
        <v>12976</v>
      </c>
    </row>
    <row r="1597" spans="1:16" ht="13.15" x14ac:dyDescent="0.4">
      <c r="A1597" s="2" t="s">
        <v>11299</v>
      </c>
      <c r="B1597" s="2" t="s">
        <v>5885</v>
      </c>
      <c r="C1597" s="6" t="s">
        <v>5879</v>
      </c>
      <c r="D1597" s="6" t="s">
        <v>42</v>
      </c>
      <c r="E1597" s="7">
        <v>44927</v>
      </c>
      <c r="F1597" s="8" t="s">
        <v>77</v>
      </c>
      <c r="G1597" s="2" t="s">
        <v>26</v>
      </c>
      <c r="H1597" s="8" t="s">
        <v>28</v>
      </c>
      <c r="I1597" s="2" t="s">
        <v>26</v>
      </c>
      <c r="J1597" s="7">
        <v>44927</v>
      </c>
      <c r="K1597" s="8" t="s">
        <v>77</v>
      </c>
      <c r="L1597" s="2" t="s">
        <v>26</v>
      </c>
      <c r="M1597" s="8" t="s">
        <v>28</v>
      </c>
      <c r="N1597" s="6" t="s">
        <v>2264</v>
      </c>
      <c r="O1597" s="6" t="s">
        <v>30</v>
      </c>
      <c r="P1597" s="2" t="s">
        <v>12977</v>
      </c>
    </row>
    <row r="1598" spans="1:16" ht="13.15" x14ac:dyDescent="0.4">
      <c r="A1598" s="2" t="s">
        <v>11293</v>
      </c>
      <c r="B1598" s="2" t="s">
        <v>5885</v>
      </c>
      <c r="C1598" s="6" t="s">
        <v>5879</v>
      </c>
      <c r="D1598" s="6" t="s">
        <v>42</v>
      </c>
      <c r="E1598" s="7">
        <v>44927</v>
      </c>
      <c r="F1598" s="8" t="s">
        <v>77</v>
      </c>
      <c r="G1598" s="2" t="s">
        <v>26</v>
      </c>
      <c r="H1598" s="8" t="s">
        <v>28</v>
      </c>
      <c r="I1598" s="2" t="s">
        <v>26</v>
      </c>
      <c r="J1598" s="7">
        <v>44927</v>
      </c>
      <c r="K1598" s="8" t="s">
        <v>77</v>
      </c>
      <c r="L1598" s="2" t="s">
        <v>26</v>
      </c>
      <c r="M1598" s="8" t="s">
        <v>28</v>
      </c>
      <c r="N1598" s="6" t="s">
        <v>2264</v>
      </c>
      <c r="O1598" s="6" t="s">
        <v>30</v>
      </c>
      <c r="P1598" s="2" t="s">
        <v>12978</v>
      </c>
    </row>
    <row r="1599" spans="1:16" ht="13.15" x14ac:dyDescent="0.4">
      <c r="A1599" s="2" t="s">
        <v>11276</v>
      </c>
      <c r="B1599" s="2" t="s">
        <v>5885</v>
      </c>
      <c r="C1599" s="6" t="s">
        <v>5879</v>
      </c>
      <c r="D1599" s="6" t="s">
        <v>42</v>
      </c>
      <c r="E1599" s="7">
        <v>44927</v>
      </c>
      <c r="F1599" s="8" t="s">
        <v>77</v>
      </c>
      <c r="G1599" s="2" t="s">
        <v>26</v>
      </c>
      <c r="H1599" s="8" t="s">
        <v>28</v>
      </c>
      <c r="I1599" s="2" t="s">
        <v>26</v>
      </c>
      <c r="J1599" s="7">
        <v>44927</v>
      </c>
      <c r="K1599" s="8" t="s">
        <v>77</v>
      </c>
      <c r="L1599" s="2" t="s">
        <v>26</v>
      </c>
      <c r="M1599" s="8" t="s">
        <v>28</v>
      </c>
      <c r="N1599" s="6" t="s">
        <v>2264</v>
      </c>
      <c r="O1599" s="6" t="s">
        <v>30</v>
      </c>
      <c r="P1599" s="2" t="s">
        <v>12979</v>
      </c>
    </row>
    <row r="1600" spans="1:16" ht="13.15" x14ac:dyDescent="0.4">
      <c r="A1600" s="2" t="s">
        <v>7747</v>
      </c>
      <c r="B1600" s="2" t="s">
        <v>5885</v>
      </c>
      <c r="C1600" s="6" t="s">
        <v>5879</v>
      </c>
      <c r="D1600" s="6" t="s">
        <v>42</v>
      </c>
      <c r="E1600" s="7">
        <v>44927</v>
      </c>
      <c r="F1600" s="8" t="s">
        <v>77</v>
      </c>
      <c r="G1600" s="2" t="s">
        <v>26</v>
      </c>
      <c r="H1600" s="8" t="s">
        <v>28</v>
      </c>
      <c r="I1600" s="2" t="s">
        <v>26</v>
      </c>
      <c r="J1600" s="7">
        <v>44927</v>
      </c>
      <c r="K1600" s="8" t="s">
        <v>77</v>
      </c>
      <c r="L1600" s="2" t="s">
        <v>26</v>
      </c>
      <c r="M1600" s="8" t="s">
        <v>28</v>
      </c>
      <c r="N1600" s="6" t="s">
        <v>2264</v>
      </c>
      <c r="O1600" s="6" t="s">
        <v>30</v>
      </c>
      <c r="P1600" s="2" t="s">
        <v>12980</v>
      </c>
    </row>
    <row r="1601" spans="1:16" ht="13.15" x14ac:dyDescent="0.4">
      <c r="A1601" s="2" t="s">
        <v>11394</v>
      </c>
      <c r="B1601" s="2" t="s">
        <v>5885</v>
      </c>
      <c r="C1601" s="6" t="s">
        <v>5879</v>
      </c>
      <c r="D1601" s="6" t="s">
        <v>42</v>
      </c>
      <c r="E1601" s="7">
        <v>44927</v>
      </c>
      <c r="F1601" s="8" t="s">
        <v>77</v>
      </c>
      <c r="G1601" s="2" t="s">
        <v>26</v>
      </c>
      <c r="H1601" s="8" t="s">
        <v>28</v>
      </c>
      <c r="I1601" s="2" t="s">
        <v>26</v>
      </c>
      <c r="J1601" s="7">
        <v>44927</v>
      </c>
      <c r="K1601" s="8" t="s">
        <v>77</v>
      </c>
      <c r="L1601" s="2" t="s">
        <v>26</v>
      </c>
      <c r="M1601" s="8" t="s">
        <v>28</v>
      </c>
      <c r="N1601" s="6" t="s">
        <v>2264</v>
      </c>
      <c r="O1601" s="6" t="s">
        <v>30</v>
      </c>
      <c r="P1601" s="2" t="s">
        <v>12981</v>
      </c>
    </row>
    <row r="1602" spans="1:16" ht="13.15" x14ac:dyDescent="0.4">
      <c r="A1602" s="2" t="s">
        <v>11262</v>
      </c>
      <c r="B1602" s="2" t="s">
        <v>5885</v>
      </c>
      <c r="C1602" s="6" t="s">
        <v>5879</v>
      </c>
      <c r="D1602" s="6" t="s">
        <v>42</v>
      </c>
      <c r="E1602" s="7">
        <v>44927</v>
      </c>
      <c r="F1602" s="8" t="s">
        <v>77</v>
      </c>
      <c r="G1602" s="2" t="s">
        <v>26</v>
      </c>
      <c r="H1602" s="8" t="s">
        <v>28</v>
      </c>
      <c r="I1602" s="2" t="s">
        <v>26</v>
      </c>
      <c r="J1602" s="7">
        <v>44927</v>
      </c>
      <c r="K1602" s="8" t="s">
        <v>77</v>
      </c>
      <c r="L1602" s="2" t="s">
        <v>26</v>
      </c>
      <c r="M1602" s="8" t="s">
        <v>28</v>
      </c>
      <c r="N1602" s="6" t="s">
        <v>2264</v>
      </c>
      <c r="O1602" s="6" t="s">
        <v>30</v>
      </c>
      <c r="P1602" s="2" t="s">
        <v>12982</v>
      </c>
    </row>
    <row r="1603" spans="1:16" ht="13.15" x14ac:dyDescent="0.4">
      <c r="A1603" s="2" t="s">
        <v>11259</v>
      </c>
      <c r="B1603" s="2" t="s">
        <v>5885</v>
      </c>
      <c r="C1603" s="6" t="s">
        <v>5879</v>
      </c>
      <c r="D1603" s="6" t="s">
        <v>42</v>
      </c>
      <c r="E1603" s="7">
        <v>44927</v>
      </c>
      <c r="F1603" s="8" t="s">
        <v>77</v>
      </c>
      <c r="G1603" s="2" t="s">
        <v>26</v>
      </c>
      <c r="H1603" s="8" t="s">
        <v>28</v>
      </c>
      <c r="I1603" s="2" t="s">
        <v>26</v>
      </c>
      <c r="J1603" s="7">
        <v>44927</v>
      </c>
      <c r="K1603" s="8" t="s">
        <v>77</v>
      </c>
      <c r="L1603" s="2" t="s">
        <v>26</v>
      </c>
      <c r="M1603" s="8" t="s">
        <v>28</v>
      </c>
      <c r="N1603" s="6" t="s">
        <v>2264</v>
      </c>
      <c r="O1603" s="6" t="s">
        <v>30</v>
      </c>
      <c r="P1603" s="2" t="s">
        <v>12983</v>
      </c>
    </row>
    <row r="1604" spans="1:16" ht="13.15" x14ac:dyDescent="0.4">
      <c r="A1604" s="2" t="s">
        <v>11401</v>
      </c>
      <c r="B1604" s="2" t="s">
        <v>5885</v>
      </c>
      <c r="C1604" s="6" t="s">
        <v>5879</v>
      </c>
      <c r="D1604" s="6" t="s">
        <v>42</v>
      </c>
      <c r="E1604" s="7">
        <v>44927</v>
      </c>
      <c r="F1604" s="8" t="s">
        <v>77</v>
      </c>
      <c r="G1604" s="2" t="s">
        <v>26</v>
      </c>
      <c r="H1604" s="8" t="s">
        <v>28</v>
      </c>
      <c r="I1604" s="2" t="s">
        <v>26</v>
      </c>
      <c r="J1604" s="7">
        <v>44927</v>
      </c>
      <c r="K1604" s="8" t="s">
        <v>77</v>
      </c>
      <c r="L1604" s="2" t="s">
        <v>26</v>
      </c>
      <c r="M1604" s="8" t="s">
        <v>28</v>
      </c>
      <c r="N1604" s="6" t="s">
        <v>2264</v>
      </c>
      <c r="O1604" s="6" t="s">
        <v>30</v>
      </c>
      <c r="P1604" s="2" t="s">
        <v>12984</v>
      </c>
    </row>
    <row r="1605" spans="1:16" ht="13.15" x14ac:dyDescent="0.4">
      <c r="A1605" s="2" t="s">
        <v>11229</v>
      </c>
      <c r="B1605" s="2" t="s">
        <v>5885</v>
      </c>
      <c r="C1605" s="6" t="s">
        <v>5879</v>
      </c>
      <c r="D1605" s="6" t="s">
        <v>42</v>
      </c>
      <c r="E1605" s="7">
        <v>44927</v>
      </c>
      <c r="F1605" s="8" t="s">
        <v>77</v>
      </c>
      <c r="G1605" s="2" t="s">
        <v>26</v>
      </c>
      <c r="H1605" s="8" t="s">
        <v>28</v>
      </c>
      <c r="I1605" s="2" t="s">
        <v>26</v>
      </c>
      <c r="J1605" s="7">
        <v>44927</v>
      </c>
      <c r="K1605" s="8" t="s">
        <v>77</v>
      </c>
      <c r="L1605" s="2" t="s">
        <v>26</v>
      </c>
      <c r="M1605" s="8" t="s">
        <v>28</v>
      </c>
      <c r="N1605" s="6" t="s">
        <v>2264</v>
      </c>
      <c r="O1605" s="6" t="s">
        <v>30</v>
      </c>
      <c r="P1605" s="2" t="s">
        <v>12985</v>
      </c>
    </row>
    <row r="1606" spans="1:16" ht="13.15" x14ac:dyDescent="0.4">
      <c r="A1606" s="2" t="s">
        <v>11265</v>
      </c>
      <c r="B1606" s="2" t="s">
        <v>5885</v>
      </c>
      <c r="C1606" s="6" t="s">
        <v>5879</v>
      </c>
      <c r="D1606" s="6" t="s">
        <v>42</v>
      </c>
      <c r="E1606" s="7">
        <v>44927</v>
      </c>
      <c r="F1606" s="8" t="s">
        <v>77</v>
      </c>
      <c r="G1606" s="2" t="s">
        <v>26</v>
      </c>
      <c r="H1606" s="8" t="s">
        <v>28</v>
      </c>
      <c r="I1606" s="2" t="s">
        <v>26</v>
      </c>
      <c r="J1606" s="7">
        <v>44927</v>
      </c>
      <c r="K1606" s="8" t="s">
        <v>77</v>
      </c>
      <c r="L1606" s="2" t="s">
        <v>26</v>
      </c>
      <c r="M1606" s="8" t="s">
        <v>28</v>
      </c>
      <c r="N1606" s="6" t="s">
        <v>2264</v>
      </c>
      <c r="O1606" s="6" t="s">
        <v>30</v>
      </c>
      <c r="P1606" s="2" t="s">
        <v>12986</v>
      </c>
    </row>
    <row r="1607" spans="1:16" ht="13.15" x14ac:dyDescent="0.4">
      <c r="A1607" s="2" t="s">
        <v>11231</v>
      </c>
      <c r="B1607" s="2" t="s">
        <v>5885</v>
      </c>
      <c r="C1607" s="6" t="s">
        <v>5879</v>
      </c>
      <c r="D1607" s="6" t="s">
        <v>42</v>
      </c>
      <c r="E1607" s="7">
        <v>44927</v>
      </c>
      <c r="F1607" s="8" t="s">
        <v>77</v>
      </c>
      <c r="G1607" s="2" t="s">
        <v>26</v>
      </c>
      <c r="H1607" s="8" t="s">
        <v>28</v>
      </c>
      <c r="I1607" s="2" t="s">
        <v>26</v>
      </c>
      <c r="J1607" s="7">
        <v>44927</v>
      </c>
      <c r="K1607" s="8" t="s">
        <v>77</v>
      </c>
      <c r="L1607" s="2" t="s">
        <v>26</v>
      </c>
      <c r="M1607" s="8" t="s">
        <v>28</v>
      </c>
      <c r="N1607" s="6" t="s">
        <v>2264</v>
      </c>
      <c r="O1607" s="6" t="s">
        <v>30</v>
      </c>
      <c r="P1607" s="2" t="s">
        <v>12987</v>
      </c>
    </row>
    <row r="1608" spans="1:16" ht="13.15" x14ac:dyDescent="0.4">
      <c r="A1608" s="2" t="s">
        <v>11228</v>
      </c>
      <c r="B1608" s="2" t="s">
        <v>5885</v>
      </c>
      <c r="C1608" s="6" t="s">
        <v>5879</v>
      </c>
      <c r="D1608" s="6" t="s">
        <v>42</v>
      </c>
      <c r="E1608" s="7">
        <v>44927</v>
      </c>
      <c r="F1608" s="8" t="s">
        <v>77</v>
      </c>
      <c r="G1608" s="2" t="s">
        <v>26</v>
      </c>
      <c r="H1608" s="8" t="s">
        <v>28</v>
      </c>
      <c r="I1608" s="2" t="s">
        <v>26</v>
      </c>
      <c r="J1608" s="7">
        <v>44927</v>
      </c>
      <c r="K1608" s="8" t="s">
        <v>77</v>
      </c>
      <c r="L1608" s="2" t="s">
        <v>26</v>
      </c>
      <c r="M1608" s="8" t="s">
        <v>28</v>
      </c>
      <c r="N1608" s="6" t="s">
        <v>2264</v>
      </c>
      <c r="O1608" s="6" t="s">
        <v>30</v>
      </c>
      <c r="P1608" s="2" t="s">
        <v>12988</v>
      </c>
    </row>
    <row r="1609" spans="1:16" ht="13.15" x14ac:dyDescent="0.4">
      <c r="A1609" s="2" t="s">
        <v>11236</v>
      </c>
      <c r="B1609" s="2" t="s">
        <v>5885</v>
      </c>
      <c r="C1609" s="6" t="s">
        <v>5879</v>
      </c>
      <c r="D1609" s="6" t="s">
        <v>42</v>
      </c>
      <c r="E1609" s="7">
        <v>44927</v>
      </c>
      <c r="F1609" s="8" t="s">
        <v>77</v>
      </c>
      <c r="G1609" s="2" t="s">
        <v>26</v>
      </c>
      <c r="H1609" s="8" t="s">
        <v>28</v>
      </c>
      <c r="I1609" s="2" t="s">
        <v>26</v>
      </c>
      <c r="J1609" s="7">
        <v>44927</v>
      </c>
      <c r="K1609" s="8" t="s">
        <v>77</v>
      </c>
      <c r="L1609" s="2" t="s">
        <v>26</v>
      </c>
      <c r="M1609" s="8" t="s">
        <v>28</v>
      </c>
      <c r="N1609" s="6" t="s">
        <v>2264</v>
      </c>
      <c r="O1609" s="6" t="s">
        <v>30</v>
      </c>
      <c r="P1609" s="2" t="s">
        <v>12989</v>
      </c>
    </row>
    <row r="1610" spans="1:16" ht="13.15" x14ac:dyDescent="0.4">
      <c r="A1610" s="2" t="s">
        <v>11292</v>
      </c>
      <c r="B1610" s="2" t="s">
        <v>5885</v>
      </c>
      <c r="C1610" s="6" t="s">
        <v>5879</v>
      </c>
      <c r="D1610" s="6" t="s">
        <v>42</v>
      </c>
      <c r="E1610" s="7">
        <v>44927</v>
      </c>
      <c r="F1610" s="8" t="s">
        <v>77</v>
      </c>
      <c r="G1610" s="2" t="s">
        <v>26</v>
      </c>
      <c r="H1610" s="8" t="s">
        <v>28</v>
      </c>
      <c r="I1610" s="2" t="s">
        <v>26</v>
      </c>
      <c r="J1610" s="7">
        <v>44927</v>
      </c>
      <c r="K1610" s="8" t="s">
        <v>77</v>
      </c>
      <c r="L1610" s="2" t="s">
        <v>26</v>
      </c>
      <c r="M1610" s="8" t="s">
        <v>28</v>
      </c>
      <c r="N1610" s="6" t="s">
        <v>2264</v>
      </c>
      <c r="O1610" s="6" t="s">
        <v>30</v>
      </c>
      <c r="P1610" s="2" t="s">
        <v>12990</v>
      </c>
    </row>
    <row r="1611" spans="1:16" ht="13.15" x14ac:dyDescent="0.4">
      <c r="A1611" s="2" t="s">
        <v>11224</v>
      </c>
      <c r="B1611" s="2" t="s">
        <v>5885</v>
      </c>
      <c r="C1611" s="6" t="s">
        <v>5879</v>
      </c>
      <c r="D1611" s="6" t="s">
        <v>42</v>
      </c>
      <c r="E1611" s="7">
        <v>44927</v>
      </c>
      <c r="F1611" s="8" t="s">
        <v>77</v>
      </c>
      <c r="G1611" s="2" t="s">
        <v>26</v>
      </c>
      <c r="H1611" s="8" t="s">
        <v>28</v>
      </c>
      <c r="I1611" s="2" t="s">
        <v>26</v>
      </c>
      <c r="J1611" s="7">
        <v>44927</v>
      </c>
      <c r="K1611" s="8" t="s">
        <v>77</v>
      </c>
      <c r="L1611" s="2" t="s">
        <v>26</v>
      </c>
      <c r="M1611" s="8" t="s">
        <v>28</v>
      </c>
      <c r="N1611" s="6" t="s">
        <v>2264</v>
      </c>
      <c r="O1611" s="6" t="s">
        <v>30</v>
      </c>
      <c r="P1611" s="2" t="s">
        <v>12991</v>
      </c>
    </row>
    <row r="1612" spans="1:16" ht="13.15" x14ac:dyDescent="0.4">
      <c r="A1612" s="2" t="s">
        <v>11270</v>
      </c>
      <c r="B1612" s="2" t="s">
        <v>5885</v>
      </c>
      <c r="C1612" s="6" t="s">
        <v>5879</v>
      </c>
      <c r="D1612" s="6" t="s">
        <v>42</v>
      </c>
      <c r="E1612" s="7">
        <v>44927</v>
      </c>
      <c r="F1612" s="8" t="s">
        <v>77</v>
      </c>
      <c r="G1612" s="2" t="s">
        <v>26</v>
      </c>
      <c r="H1612" s="8" t="s">
        <v>28</v>
      </c>
      <c r="I1612" s="2" t="s">
        <v>26</v>
      </c>
      <c r="J1612" s="7">
        <v>44927</v>
      </c>
      <c r="K1612" s="8" t="s">
        <v>77</v>
      </c>
      <c r="L1612" s="2" t="s">
        <v>26</v>
      </c>
      <c r="M1612" s="8" t="s">
        <v>28</v>
      </c>
      <c r="N1612" s="6" t="s">
        <v>2264</v>
      </c>
      <c r="O1612" s="6" t="s">
        <v>30</v>
      </c>
      <c r="P1612" s="2" t="s">
        <v>12992</v>
      </c>
    </row>
    <row r="1613" spans="1:16" ht="13.15" x14ac:dyDescent="0.4">
      <c r="A1613" s="2" t="s">
        <v>11286</v>
      </c>
      <c r="B1613" s="2" t="s">
        <v>5885</v>
      </c>
      <c r="C1613" s="6" t="s">
        <v>5879</v>
      </c>
      <c r="D1613" s="6" t="s">
        <v>42</v>
      </c>
      <c r="E1613" s="7">
        <v>44927</v>
      </c>
      <c r="F1613" s="8" t="s">
        <v>77</v>
      </c>
      <c r="G1613" s="2" t="s">
        <v>26</v>
      </c>
      <c r="H1613" s="8" t="s">
        <v>28</v>
      </c>
      <c r="I1613" s="2" t="s">
        <v>26</v>
      </c>
      <c r="J1613" s="7">
        <v>44927</v>
      </c>
      <c r="K1613" s="8" t="s">
        <v>77</v>
      </c>
      <c r="L1613" s="2" t="s">
        <v>26</v>
      </c>
      <c r="M1613" s="8" t="s">
        <v>28</v>
      </c>
      <c r="N1613" s="6" t="s">
        <v>2264</v>
      </c>
      <c r="O1613" s="6" t="s">
        <v>30</v>
      </c>
      <c r="P1613" s="2" t="s">
        <v>12993</v>
      </c>
    </row>
    <row r="1614" spans="1:16" ht="13.15" x14ac:dyDescent="0.4">
      <c r="A1614" s="2" t="s">
        <v>11225</v>
      </c>
      <c r="B1614" s="2" t="s">
        <v>5885</v>
      </c>
      <c r="C1614" s="6" t="s">
        <v>5879</v>
      </c>
      <c r="D1614" s="6" t="s">
        <v>42</v>
      </c>
      <c r="E1614" s="7">
        <v>44927</v>
      </c>
      <c r="F1614" s="8" t="s">
        <v>77</v>
      </c>
      <c r="G1614" s="2" t="s">
        <v>26</v>
      </c>
      <c r="H1614" s="8" t="s">
        <v>28</v>
      </c>
      <c r="I1614" s="2" t="s">
        <v>26</v>
      </c>
      <c r="J1614" s="7">
        <v>44927</v>
      </c>
      <c r="K1614" s="8" t="s">
        <v>77</v>
      </c>
      <c r="L1614" s="2" t="s">
        <v>26</v>
      </c>
      <c r="M1614" s="8" t="s">
        <v>28</v>
      </c>
      <c r="N1614" s="6" t="s">
        <v>2264</v>
      </c>
      <c r="O1614" s="6" t="s">
        <v>30</v>
      </c>
      <c r="P1614" s="2" t="s">
        <v>12994</v>
      </c>
    </row>
    <row r="1615" spans="1:16" ht="13.15" x14ac:dyDescent="0.4">
      <c r="A1615" s="2" t="s">
        <v>11254</v>
      </c>
      <c r="B1615" s="2" t="s">
        <v>5885</v>
      </c>
      <c r="C1615" s="6" t="s">
        <v>5879</v>
      </c>
      <c r="D1615" s="6" t="s">
        <v>42</v>
      </c>
      <c r="E1615" s="7">
        <v>44927</v>
      </c>
      <c r="F1615" s="8" t="s">
        <v>77</v>
      </c>
      <c r="G1615" s="2" t="s">
        <v>26</v>
      </c>
      <c r="H1615" s="8" t="s">
        <v>28</v>
      </c>
      <c r="I1615" s="2" t="s">
        <v>26</v>
      </c>
      <c r="J1615" s="7">
        <v>44927</v>
      </c>
      <c r="K1615" s="8" t="s">
        <v>77</v>
      </c>
      <c r="L1615" s="2" t="s">
        <v>26</v>
      </c>
      <c r="M1615" s="8" t="s">
        <v>28</v>
      </c>
      <c r="N1615" s="6" t="s">
        <v>2264</v>
      </c>
      <c r="O1615" s="6" t="s">
        <v>30</v>
      </c>
      <c r="P1615" s="2" t="s">
        <v>12995</v>
      </c>
    </row>
    <row r="1616" spans="1:16" ht="13.15" x14ac:dyDescent="0.4">
      <c r="A1616" s="2" t="s">
        <v>8527</v>
      </c>
      <c r="B1616" s="2" t="s">
        <v>5885</v>
      </c>
      <c r="C1616" s="6" t="s">
        <v>5879</v>
      </c>
      <c r="D1616" s="6" t="s">
        <v>42</v>
      </c>
      <c r="E1616" s="7">
        <v>44927</v>
      </c>
      <c r="F1616" s="8" t="s">
        <v>77</v>
      </c>
      <c r="G1616" s="2" t="s">
        <v>26</v>
      </c>
      <c r="H1616" s="8" t="s">
        <v>28</v>
      </c>
      <c r="I1616" s="2" t="s">
        <v>26</v>
      </c>
      <c r="J1616" s="7">
        <v>44927</v>
      </c>
      <c r="K1616" s="8" t="s">
        <v>77</v>
      </c>
      <c r="L1616" s="2" t="s">
        <v>26</v>
      </c>
      <c r="M1616" s="8" t="s">
        <v>28</v>
      </c>
      <c r="N1616" s="6" t="s">
        <v>2264</v>
      </c>
      <c r="O1616" s="6" t="s">
        <v>30</v>
      </c>
      <c r="P1616" s="2" t="s">
        <v>12996</v>
      </c>
    </row>
    <row r="1617" spans="1:16" ht="13.15" x14ac:dyDescent="0.4">
      <c r="A1617" s="2" t="s">
        <v>11348</v>
      </c>
      <c r="B1617" s="2" t="s">
        <v>5885</v>
      </c>
      <c r="C1617" s="6" t="s">
        <v>5879</v>
      </c>
      <c r="D1617" s="6" t="s">
        <v>42</v>
      </c>
      <c r="E1617" s="7">
        <v>44927</v>
      </c>
      <c r="F1617" s="8" t="s">
        <v>77</v>
      </c>
      <c r="G1617" s="2" t="s">
        <v>26</v>
      </c>
      <c r="H1617" s="8" t="s">
        <v>28</v>
      </c>
      <c r="I1617" s="2" t="s">
        <v>26</v>
      </c>
      <c r="J1617" s="7">
        <v>44927</v>
      </c>
      <c r="K1617" s="8" t="s">
        <v>77</v>
      </c>
      <c r="L1617" s="2" t="s">
        <v>26</v>
      </c>
      <c r="M1617" s="8" t="s">
        <v>28</v>
      </c>
      <c r="N1617" s="6" t="s">
        <v>2264</v>
      </c>
      <c r="O1617" s="6" t="s">
        <v>30</v>
      </c>
      <c r="P1617" s="2" t="s">
        <v>12997</v>
      </c>
    </row>
    <row r="1618" spans="1:16" ht="13.15" x14ac:dyDescent="0.4">
      <c r="A1618" s="2" t="s">
        <v>6257</v>
      </c>
      <c r="B1618" s="2" t="s">
        <v>5885</v>
      </c>
      <c r="C1618" s="6" t="s">
        <v>5879</v>
      </c>
      <c r="D1618" s="6" t="s">
        <v>42</v>
      </c>
      <c r="E1618" s="7">
        <v>44927</v>
      </c>
      <c r="F1618" s="8" t="s">
        <v>77</v>
      </c>
      <c r="G1618" s="2" t="s">
        <v>26</v>
      </c>
      <c r="H1618" s="8" t="s">
        <v>28</v>
      </c>
      <c r="I1618" s="2" t="s">
        <v>26</v>
      </c>
      <c r="J1618" s="7">
        <v>44927</v>
      </c>
      <c r="K1618" s="8" t="s">
        <v>77</v>
      </c>
      <c r="L1618" s="2" t="s">
        <v>26</v>
      </c>
      <c r="M1618" s="8" t="s">
        <v>28</v>
      </c>
      <c r="N1618" s="6" t="s">
        <v>2264</v>
      </c>
      <c r="O1618" s="6" t="s">
        <v>30</v>
      </c>
      <c r="P1618" s="2" t="s">
        <v>12998</v>
      </c>
    </row>
    <row r="1619" spans="1:16" ht="13.15" x14ac:dyDescent="0.4">
      <c r="A1619" s="2" t="s">
        <v>6263</v>
      </c>
      <c r="B1619" s="2" t="s">
        <v>5885</v>
      </c>
      <c r="C1619" s="6" t="s">
        <v>5879</v>
      </c>
      <c r="D1619" s="6" t="s">
        <v>42</v>
      </c>
      <c r="E1619" s="7">
        <v>44927</v>
      </c>
      <c r="F1619" s="8" t="s">
        <v>77</v>
      </c>
      <c r="G1619" s="2" t="s">
        <v>26</v>
      </c>
      <c r="H1619" s="8" t="s">
        <v>28</v>
      </c>
      <c r="I1619" s="2" t="s">
        <v>26</v>
      </c>
      <c r="J1619" s="7">
        <v>44927</v>
      </c>
      <c r="K1619" s="8" t="s">
        <v>77</v>
      </c>
      <c r="L1619" s="2" t="s">
        <v>26</v>
      </c>
      <c r="M1619" s="8" t="s">
        <v>28</v>
      </c>
      <c r="N1619" s="6" t="s">
        <v>2264</v>
      </c>
      <c r="O1619" s="6" t="s">
        <v>30</v>
      </c>
      <c r="P1619" s="2" t="s">
        <v>12999</v>
      </c>
    </row>
    <row r="1620" spans="1:16" ht="13.15" x14ac:dyDescent="0.4">
      <c r="A1620" s="2" t="s">
        <v>11191</v>
      </c>
      <c r="B1620" s="2" t="s">
        <v>5885</v>
      </c>
      <c r="C1620" s="6" t="s">
        <v>5879</v>
      </c>
      <c r="D1620" s="6" t="s">
        <v>42</v>
      </c>
      <c r="E1620" s="7">
        <v>44927</v>
      </c>
      <c r="F1620" s="8" t="s">
        <v>77</v>
      </c>
      <c r="G1620" s="2" t="s">
        <v>26</v>
      </c>
      <c r="H1620" s="8" t="s">
        <v>28</v>
      </c>
      <c r="I1620" s="2" t="s">
        <v>26</v>
      </c>
      <c r="J1620" s="7">
        <v>44927</v>
      </c>
      <c r="K1620" s="8" t="s">
        <v>77</v>
      </c>
      <c r="L1620" s="2" t="s">
        <v>26</v>
      </c>
      <c r="M1620" s="8" t="s">
        <v>28</v>
      </c>
      <c r="N1620" s="6" t="s">
        <v>2264</v>
      </c>
      <c r="O1620" s="6" t="s">
        <v>30</v>
      </c>
      <c r="P1620" s="2" t="s">
        <v>13000</v>
      </c>
    </row>
    <row r="1621" spans="1:16" ht="13.15" x14ac:dyDescent="0.4">
      <c r="A1621" s="2" t="s">
        <v>11303</v>
      </c>
      <c r="B1621" s="2" t="s">
        <v>5885</v>
      </c>
      <c r="C1621" s="6" t="s">
        <v>5879</v>
      </c>
      <c r="D1621" s="6" t="s">
        <v>42</v>
      </c>
      <c r="E1621" s="7">
        <v>44927</v>
      </c>
      <c r="F1621" s="8" t="s">
        <v>77</v>
      </c>
      <c r="G1621" s="2" t="s">
        <v>26</v>
      </c>
      <c r="H1621" s="8" t="s">
        <v>28</v>
      </c>
      <c r="I1621" s="2" t="s">
        <v>26</v>
      </c>
      <c r="J1621" s="7">
        <v>44927</v>
      </c>
      <c r="K1621" s="8" t="s">
        <v>77</v>
      </c>
      <c r="L1621" s="2" t="s">
        <v>26</v>
      </c>
      <c r="M1621" s="8" t="s">
        <v>28</v>
      </c>
      <c r="N1621" s="6" t="s">
        <v>2264</v>
      </c>
      <c r="O1621" s="6" t="s">
        <v>30</v>
      </c>
      <c r="P1621" s="2" t="s">
        <v>13001</v>
      </c>
    </row>
    <row r="1622" spans="1:16" ht="13.15" x14ac:dyDescent="0.4">
      <c r="A1622" s="2" t="s">
        <v>11390</v>
      </c>
      <c r="B1622" s="2" t="s">
        <v>5885</v>
      </c>
      <c r="C1622" s="6" t="s">
        <v>5879</v>
      </c>
      <c r="D1622" s="6" t="s">
        <v>42</v>
      </c>
      <c r="E1622" s="7">
        <v>44927</v>
      </c>
      <c r="F1622" s="8" t="s">
        <v>77</v>
      </c>
      <c r="G1622" s="2" t="s">
        <v>26</v>
      </c>
      <c r="H1622" s="8" t="s">
        <v>28</v>
      </c>
      <c r="I1622" s="2" t="s">
        <v>26</v>
      </c>
      <c r="J1622" s="7">
        <v>44927</v>
      </c>
      <c r="K1622" s="8" t="s">
        <v>77</v>
      </c>
      <c r="L1622" s="2" t="s">
        <v>26</v>
      </c>
      <c r="M1622" s="8" t="s">
        <v>28</v>
      </c>
      <c r="N1622" s="6" t="s">
        <v>2264</v>
      </c>
      <c r="O1622" s="6" t="s">
        <v>30</v>
      </c>
      <c r="P1622" s="2" t="s">
        <v>13002</v>
      </c>
    </row>
    <row r="1623" spans="1:16" ht="13.15" x14ac:dyDescent="0.4">
      <c r="A1623" s="2" t="s">
        <v>11282</v>
      </c>
      <c r="B1623" s="2" t="s">
        <v>5885</v>
      </c>
      <c r="C1623" s="6" t="s">
        <v>5879</v>
      </c>
      <c r="D1623" s="6" t="s">
        <v>42</v>
      </c>
      <c r="E1623" s="7">
        <v>44927</v>
      </c>
      <c r="F1623" s="8" t="s">
        <v>77</v>
      </c>
      <c r="G1623" s="2" t="s">
        <v>26</v>
      </c>
      <c r="H1623" s="8" t="s">
        <v>28</v>
      </c>
      <c r="I1623" s="2" t="s">
        <v>26</v>
      </c>
      <c r="J1623" s="7">
        <v>44927</v>
      </c>
      <c r="K1623" s="8" t="s">
        <v>77</v>
      </c>
      <c r="L1623" s="2" t="s">
        <v>26</v>
      </c>
      <c r="M1623" s="8" t="s">
        <v>28</v>
      </c>
      <c r="N1623" s="6" t="s">
        <v>2264</v>
      </c>
      <c r="O1623" s="6" t="s">
        <v>30</v>
      </c>
      <c r="P1623" s="2" t="s">
        <v>13003</v>
      </c>
    </row>
    <row r="1624" spans="1:16" ht="13.15" x14ac:dyDescent="0.4">
      <c r="A1624" s="2" t="s">
        <v>11181</v>
      </c>
      <c r="B1624" s="2" t="s">
        <v>5885</v>
      </c>
      <c r="C1624" s="6" t="s">
        <v>5879</v>
      </c>
      <c r="D1624" s="6" t="s">
        <v>42</v>
      </c>
      <c r="E1624" s="7">
        <v>44927</v>
      </c>
      <c r="F1624" s="8" t="s">
        <v>77</v>
      </c>
      <c r="G1624" s="2" t="s">
        <v>26</v>
      </c>
      <c r="H1624" s="8" t="s">
        <v>28</v>
      </c>
      <c r="I1624" s="2" t="s">
        <v>26</v>
      </c>
      <c r="J1624" s="7">
        <v>44927</v>
      </c>
      <c r="K1624" s="8" t="s">
        <v>77</v>
      </c>
      <c r="L1624" s="2" t="s">
        <v>26</v>
      </c>
      <c r="M1624" s="8" t="s">
        <v>28</v>
      </c>
      <c r="N1624" s="6" t="s">
        <v>2264</v>
      </c>
      <c r="O1624" s="6" t="s">
        <v>30</v>
      </c>
      <c r="P1624" s="2" t="s">
        <v>13004</v>
      </c>
    </row>
    <row r="1625" spans="1:16" ht="13.15" x14ac:dyDescent="0.4">
      <c r="A1625" s="2" t="s">
        <v>11246</v>
      </c>
      <c r="B1625" s="2" t="s">
        <v>5885</v>
      </c>
      <c r="C1625" s="6" t="s">
        <v>5879</v>
      </c>
      <c r="D1625" s="6" t="s">
        <v>42</v>
      </c>
      <c r="E1625" s="7">
        <v>44927</v>
      </c>
      <c r="F1625" s="8" t="s">
        <v>77</v>
      </c>
      <c r="G1625" s="2" t="s">
        <v>26</v>
      </c>
      <c r="H1625" s="8" t="s">
        <v>28</v>
      </c>
      <c r="I1625" s="2" t="s">
        <v>26</v>
      </c>
      <c r="J1625" s="7">
        <v>44927</v>
      </c>
      <c r="K1625" s="8" t="s">
        <v>77</v>
      </c>
      <c r="L1625" s="2" t="s">
        <v>26</v>
      </c>
      <c r="M1625" s="8" t="s">
        <v>28</v>
      </c>
      <c r="N1625" s="6" t="s">
        <v>2264</v>
      </c>
      <c r="O1625" s="6" t="s">
        <v>30</v>
      </c>
      <c r="P1625" s="2" t="s">
        <v>13005</v>
      </c>
    </row>
    <row r="1626" spans="1:16" ht="13.15" x14ac:dyDescent="0.4">
      <c r="A1626" s="2" t="s">
        <v>11215</v>
      </c>
      <c r="B1626" s="2" t="s">
        <v>5885</v>
      </c>
      <c r="C1626" s="6" t="s">
        <v>5879</v>
      </c>
      <c r="D1626" s="6" t="s">
        <v>42</v>
      </c>
      <c r="E1626" s="7">
        <v>44927</v>
      </c>
      <c r="F1626" s="8" t="s">
        <v>77</v>
      </c>
      <c r="G1626" s="2" t="s">
        <v>26</v>
      </c>
      <c r="H1626" s="8" t="s">
        <v>28</v>
      </c>
      <c r="I1626" s="2" t="s">
        <v>26</v>
      </c>
      <c r="J1626" s="7">
        <v>44927</v>
      </c>
      <c r="K1626" s="8" t="s">
        <v>77</v>
      </c>
      <c r="L1626" s="2" t="s">
        <v>26</v>
      </c>
      <c r="M1626" s="8" t="s">
        <v>28</v>
      </c>
      <c r="N1626" s="6" t="s">
        <v>2264</v>
      </c>
      <c r="O1626" s="6" t="s">
        <v>30</v>
      </c>
      <c r="P1626" s="2" t="s">
        <v>13006</v>
      </c>
    </row>
    <row r="1627" spans="1:16" ht="13.15" x14ac:dyDescent="0.4">
      <c r="A1627" s="2" t="s">
        <v>11396</v>
      </c>
      <c r="B1627" s="2" t="s">
        <v>5885</v>
      </c>
      <c r="C1627" s="6" t="s">
        <v>5879</v>
      </c>
      <c r="D1627" s="6" t="s">
        <v>42</v>
      </c>
      <c r="E1627" s="7">
        <v>44927</v>
      </c>
      <c r="F1627" s="8" t="s">
        <v>77</v>
      </c>
      <c r="G1627" s="2" t="s">
        <v>26</v>
      </c>
      <c r="H1627" s="8" t="s">
        <v>28</v>
      </c>
      <c r="I1627" s="2" t="s">
        <v>26</v>
      </c>
      <c r="J1627" s="7">
        <v>44927</v>
      </c>
      <c r="K1627" s="8" t="s">
        <v>77</v>
      </c>
      <c r="L1627" s="2" t="s">
        <v>26</v>
      </c>
      <c r="M1627" s="8" t="s">
        <v>28</v>
      </c>
      <c r="N1627" s="6" t="s">
        <v>2264</v>
      </c>
      <c r="O1627" s="6" t="s">
        <v>30</v>
      </c>
      <c r="P1627" s="2" t="s">
        <v>13007</v>
      </c>
    </row>
    <row r="1628" spans="1:16" ht="13.15" x14ac:dyDescent="0.4">
      <c r="A1628" s="2" t="s">
        <v>11343</v>
      </c>
      <c r="B1628" s="2" t="s">
        <v>5885</v>
      </c>
      <c r="C1628" s="6" t="s">
        <v>5879</v>
      </c>
      <c r="D1628" s="6" t="s">
        <v>42</v>
      </c>
      <c r="E1628" s="7">
        <v>44927</v>
      </c>
      <c r="F1628" s="8" t="s">
        <v>77</v>
      </c>
      <c r="G1628" s="2" t="s">
        <v>26</v>
      </c>
      <c r="H1628" s="8" t="s">
        <v>28</v>
      </c>
      <c r="I1628" s="2" t="s">
        <v>26</v>
      </c>
      <c r="J1628" s="7">
        <v>44927</v>
      </c>
      <c r="K1628" s="8" t="s">
        <v>77</v>
      </c>
      <c r="L1628" s="2" t="s">
        <v>26</v>
      </c>
      <c r="M1628" s="8" t="s">
        <v>28</v>
      </c>
      <c r="N1628" s="6" t="s">
        <v>2264</v>
      </c>
      <c r="O1628" s="6" t="s">
        <v>30</v>
      </c>
      <c r="P1628" s="2" t="s">
        <v>13008</v>
      </c>
    </row>
    <row r="1629" spans="1:16" ht="13.15" x14ac:dyDescent="0.4">
      <c r="A1629" s="2" t="s">
        <v>11294</v>
      </c>
      <c r="B1629" s="2" t="s">
        <v>5885</v>
      </c>
      <c r="C1629" s="6" t="s">
        <v>5879</v>
      </c>
      <c r="D1629" s="6" t="s">
        <v>42</v>
      </c>
      <c r="E1629" s="7">
        <v>44927</v>
      </c>
      <c r="F1629" s="8" t="s">
        <v>77</v>
      </c>
      <c r="G1629" s="2" t="s">
        <v>26</v>
      </c>
      <c r="H1629" s="8" t="s">
        <v>28</v>
      </c>
      <c r="I1629" s="2" t="s">
        <v>26</v>
      </c>
      <c r="J1629" s="7">
        <v>44927</v>
      </c>
      <c r="K1629" s="8" t="s">
        <v>77</v>
      </c>
      <c r="L1629" s="2" t="s">
        <v>26</v>
      </c>
      <c r="M1629" s="8" t="s">
        <v>28</v>
      </c>
      <c r="N1629" s="6" t="s">
        <v>2264</v>
      </c>
      <c r="O1629" s="6" t="s">
        <v>30</v>
      </c>
      <c r="P1629" s="2" t="s">
        <v>13009</v>
      </c>
    </row>
    <row r="1630" spans="1:16" ht="13.15" x14ac:dyDescent="0.4">
      <c r="A1630" s="2" t="s">
        <v>10023</v>
      </c>
      <c r="B1630" s="2" t="s">
        <v>5885</v>
      </c>
      <c r="C1630" s="6" t="s">
        <v>5879</v>
      </c>
      <c r="D1630" s="6" t="s">
        <v>42</v>
      </c>
      <c r="E1630" s="7">
        <v>44927</v>
      </c>
      <c r="F1630" s="8" t="s">
        <v>77</v>
      </c>
      <c r="G1630" s="2" t="s">
        <v>26</v>
      </c>
      <c r="H1630" s="8" t="s">
        <v>28</v>
      </c>
      <c r="I1630" s="2" t="s">
        <v>26</v>
      </c>
      <c r="J1630" s="7">
        <v>44927</v>
      </c>
      <c r="K1630" s="8" t="s">
        <v>77</v>
      </c>
      <c r="L1630" s="2" t="s">
        <v>26</v>
      </c>
      <c r="M1630" s="8" t="s">
        <v>28</v>
      </c>
      <c r="N1630" s="6" t="s">
        <v>2264</v>
      </c>
      <c r="O1630" s="6" t="s">
        <v>30</v>
      </c>
      <c r="P1630" s="2" t="s">
        <v>13010</v>
      </c>
    </row>
    <row r="1631" spans="1:16" ht="13.15" x14ac:dyDescent="0.4">
      <c r="A1631" s="2" t="s">
        <v>11289</v>
      </c>
      <c r="B1631" s="2" t="s">
        <v>5885</v>
      </c>
      <c r="C1631" s="6" t="s">
        <v>5879</v>
      </c>
      <c r="D1631" s="6" t="s">
        <v>42</v>
      </c>
      <c r="E1631" s="7">
        <v>44927</v>
      </c>
      <c r="F1631" s="8" t="s">
        <v>77</v>
      </c>
      <c r="G1631" s="2" t="s">
        <v>26</v>
      </c>
      <c r="H1631" s="8" t="s">
        <v>28</v>
      </c>
      <c r="I1631" s="2" t="s">
        <v>26</v>
      </c>
      <c r="J1631" s="7">
        <v>44927</v>
      </c>
      <c r="K1631" s="8" t="s">
        <v>77</v>
      </c>
      <c r="L1631" s="2" t="s">
        <v>26</v>
      </c>
      <c r="M1631" s="8" t="s">
        <v>28</v>
      </c>
      <c r="N1631" s="6" t="s">
        <v>2264</v>
      </c>
      <c r="O1631" s="6" t="s">
        <v>30</v>
      </c>
      <c r="P1631" s="2" t="s">
        <v>13011</v>
      </c>
    </row>
    <row r="1632" spans="1:16" ht="13.15" x14ac:dyDescent="0.4">
      <c r="A1632" s="2" t="s">
        <v>11245</v>
      </c>
      <c r="B1632" s="2" t="s">
        <v>5885</v>
      </c>
      <c r="C1632" s="6" t="s">
        <v>5879</v>
      </c>
      <c r="D1632" s="6" t="s">
        <v>42</v>
      </c>
      <c r="E1632" s="7">
        <v>44927</v>
      </c>
      <c r="F1632" s="8" t="s">
        <v>77</v>
      </c>
      <c r="G1632" s="2" t="s">
        <v>26</v>
      </c>
      <c r="H1632" s="8" t="s">
        <v>28</v>
      </c>
      <c r="I1632" s="2" t="s">
        <v>26</v>
      </c>
      <c r="J1632" s="7">
        <v>44927</v>
      </c>
      <c r="K1632" s="8" t="s">
        <v>77</v>
      </c>
      <c r="L1632" s="2" t="s">
        <v>26</v>
      </c>
      <c r="M1632" s="8" t="s">
        <v>28</v>
      </c>
      <c r="N1632" s="6" t="s">
        <v>2264</v>
      </c>
      <c r="O1632" s="6" t="s">
        <v>30</v>
      </c>
      <c r="P1632" s="2" t="s">
        <v>13012</v>
      </c>
    </row>
    <row r="1633" spans="1:16" ht="13.15" x14ac:dyDescent="0.4">
      <c r="A1633" s="2" t="s">
        <v>11307</v>
      </c>
      <c r="B1633" s="2" t="s">
        <v>5885</v>
      </c>
      <c r="C1633" s="6" t="s">
        <v>5879</v>
      </c>
      <c r="D1633" s="6" t="s">
        <v>42</v>
      </c>
      <c r="E1633" s="7">
        <v>44927</v>
      </c>
      <c r="F1633" s="8" t="s">
        <v>77</v>
      </c>
      <c r="G1633" s="2" t="s">
        <v>26</v>
      </c>
      <c r="H1633" s="8" t="s">
        <v>28</v>
      </c>
      <c r="I1633" s="2" t="s">
        <v>26</v>
      </c>
      <c r="J1633" s="7">
        <v>44927</v>
      </c>
      <c r="K1633" s="8" t="s">
        <v>77</v>
      </c>
      <c r="L1633" s="2" t="s">
        <v>26</v>
      </c>
      <c r="M1633" s="8" t="s">
        <v>28</v>
      </c>
      <c r="N1633" s="6" t="s">
        <v>2264</v>
      </c>
      <c r="O1633" s="6" t="s">
        <v>30</v>
      </c>
      <c r="P1633" s="2" t="s">
        <v>13013</v>
      </c>
    </row>
    <row r="1634" spans="1:16" ht="13.15" x14ac:dyDescent="0.4">
      <c r="A1634" s="2" t="s">
        <v>11217</v>
      </c>
      <c r="B1634" s="2" t="s">
        <v>5885</v>
      </c>
      <c r="C1634" s="6" t="s">
        <v>5879</v>
      </c>
      <c r="D1634" s="6" t="s">
        <v>42</v>
      </c>
      <c r="E1634" s="7">
        <v>44927</v>
      </c>
      <c r="F1634" s="8" t="s">
        <v>77</v>
      </c>
      <c r="G1634" s="2" t="s">
        <v>26</v>
      </c>
      <c r="H1634" s="8" t="s">
        <v>28</v>
      </c>
      <c r="I1634" s="2" t="s">
        <v>26</v>
      </c>
      <c r="J1634" s="7">
        <v>44927</v>
      </c>
      <c r="K1634" s="8" t="s">
        <v>77</v>
      </c>
      <c r="L1634" s="2" t="s">
        <v>26</v>
      </c>
      <c r="M1634" s="8" t="s">
        <v>28</v>
      </c>
      <c r="N1634" s="6" t="s">
        <v>2264</v>
      </c>
      <c r="O1634" s="6" t="s">
        <v>30</v>
      </c>
      <c r="P1634" s="2" t="s">
        <v>13014</v>
      </c>
    </row>
    <row r="1635" spans="1:16" ht="13.15" x14ac:dyDescent="0.4">
      <c r="A1635" s="2" t="s">
        <v>11358</v>
      </c>
      <c r="B1635" s="2" t="s">
        <v>5885</v>
      </c>
      <c r="C1635" s="6" t="s">
        <v>5879</v>
      </c>
      <c r="D1635" s="6" t="s">
        <v>42</v>
      </c>
      <c r="E1635" s="7">
        <v>44927</v>
      </c>
      <c r="F1635" s="8" t="s">
        <v>77</v>
      </c>
      <c r="G1635" s="2" t="s">
        <v>26</v>
      </c>
      <c r="H1635" s="8" t="s">
        <v>28</v>
      </c>
      <c r="I1635" s="2" t="s">
        <v>26</v>
      </c>
      <c r="J1635" s="7">
        <v>44927</v>
      </c>
      <c r="K1635" s="8" t="s">
        <v>77</v>
      </c>
      <c r="L1635" s="2" t="s">
        <v>26</v>
      </c>
      <c r="M1635" s="8" t="s">
        <v>28</v>
      </c>
      <c r="N1635" s="6" t="s">
        <v>2264</v>
      </c>
      <c r="O1635" s="6" t="s">
        <v>30</v>
      </c>
      <c r="P1635" s="2" t="s">
        <v>13015</v>
      </c>
    </row>
    <row r="1636" spans="1:16" ht="13.15" x14ac:dyDescent="0.4">
      <c r="A1636" s="2" t="s">
        <v>11290</v>
      </c>
      <c r="B1636" s="2" t="s">
        <v>5885</v>
      </c>
      <c r="C1636" s="6" t="s">
        <v>5879</v>
      </c>
      <c r="D1636" s="6" t="s">
        <v>42</v>
      </c>
      <c r="E1636" s="7">
        <v>44927</v>
      </c>
      <c r="F1636" s="8" t="s">
        <v>77</v>
      </c>
      <c r="G1636" s="2" t="s">
        <v>26</v>
      </c>
      <c r="H1636" s="8" t="s">
        <v>28</v>
      </c>
      <c r="I1636" s="2" t="s">
        <v>26</v>
      </c>
      <c r="J1636" s="7">
        <v>44927</v>
      </c>
      <c r="K1636" s="8" t="s">
        <v>77</v>
      </c>
      <c r="L1636" s="2" t="s">
        <v>26</v>
      </c>
      <c r="M1636" s="8" t="s">
        <v>28</v>
      </c>
      <c r="N1636" s="6" t="s">
        <v>2264</v>
      </c>
      <c r="O1636" s="6" t="s">
        <v>30</v>
      </c>
      <c r="P1636" s="2" t="s">
        <v>13016</v>
      </c>
    </row>
    <row r="1637" spans="1:16" ht="13.15" x14ac:dyDescent="0.4">
      <c r="A1637" s="2" t="s">
        <v>11218</v>
      </c>
      <c r="B1637" s="2" t="s">
        <v>5885</v>
      </c>
      <c r="C1637" s="6" t="s">
        <v>5879</v>
      </c>
      <c r="D1637" s="6" t="s">
        <v>42</v>
      </c>
      <c r="E1637" s="7">
        <v>44927</v>
      </c>
      <c r="F1637" s="8" t="s">
        <v>77</v>
      </c>
      <c r="G1637" s="2" t="s">
        <v>26</v>
      </c>
      <c r="H1637" s="8" t="s">
        <v>28</v>
      </c>
      <c r="I1637" s="2" t="s">
        <v>26</v>
      </c>
      <c r="J1637" s="7">
        <v>44927</v>
      </c>
      <c r="K1637" s="8" t="s">
        <v>77</v>
      </c>
      <c r="L1637" s="2" t="s">
        <v>26</v>
      </c>
      <c r="M1637" s="8" t="s">
        <v>28</v>
      </c>
      <c r="N1637" s="6" t="s">
        <v>2264</v>
      </c>
      <c r="O1637" s="6" t="s">
        <v>30</v>
      </c>
      <c r="P1637" s="2" t="s">
        <v>13017</v>
      </c>
    </row>
    <row r="1638" spans="1:16" ht="13.15" x14ac:dyDescent="0.4">
      <c r="A1638" s="2" t="s">
        <v>11351</v>
      </c>
      <c r="B1638" s="2" t="s">
        <v>5885</v>
      </c>
      <c r="C1638" s="6" t="s">
        <v>5879</v>
      </c>
      <c r="D1638" s="6" t="s">
        <v>42</v>
      </c>
      <c r="E1638" s="7">
        <v>44927</v>
      </c>
      <c r="F1638" s="8" t="s">
        <v>77</v>
      </c>
      <c r="G1638" s="2" t="s">
        <v>26</v>
      </c>
      <c r="H1638" s="8" t="s">
        <v>28</v>
      </c>
      <c r="I1638" s="2" t="s">
        <v>26</v>
      </c>
      <c r="J1638" s="7">
        <v>44927</v>
      </c>
      <c r="K1638" s="8" t="s">
        <v>77</v>
      </c>
      <c r="L1638" s="2" t="s">
        <v>26</v>
      </c>
      <c r="M1638" s="8" t="s">
        <v>28</v>
      </c>
      <c r="N1638" s="6" t="s">
        <v>2264</v>
      </c>
      <c r="O1638" s="6" t="s">
        <v>30</v>
      </c>
      <c r="P1638" s="2" t="s">
        <v>13018</v>
      </c>
    </row>
    <row r="1639" spans="1:16" ht="13.15" x14ac:dyDescent="0.4">
      <c r="A1639" s="2" t="s">
        <v>11194</v>
      </c>
      <c r="B1639" s="2" t="s">
        <v>5885</v>
      </c>
      <c r="C1639" s="6" t="s">
        <v>5879</v>
      </c>
      <c r="D1639" s="6" t="s">
        <v>42</v>
      </c>
      <c r="E1639" s="7">
        <v>44927</v>
      </c>
      <c r="F1639" s="8" t="s">
        <v>77</v>
      </c>
      <c r="G1639" s="2" t="s">
        <v>26</v>
      </c>
      <c r="H1639" s="8" t="s">
        <v>28</v>
      </c>
      <c r="I1639" s="2" t="s">
        <v>26</v>
      </c>
      <c r="J1639" s="7">
        <v>44927</v>
      </c>
      <c r="K1639" s="8" t="s">
        <v>77</v>
      </c>
      <c r="L1639" s="2" t="s">
        <v>26</v>
      </c>
      <c r="M1639" s="8" t="s">
        <v>28</v>
      </c>
      <c r="N1639" s="6" t="s">
        <v>2264</v>
      </c>
      <c r="O1639" s="6" t="s">
        <v>30</v>
      </c>
      <c r="P1639" s="2" t="s">
        <v>13019</v>
      </c>
    </row>
    <row r="1640" spans="1:16" ht="13.15" x14ac:dyDescent="0.4">
      <c r="A1640" s="2" t="s">
        <v>11247</v>
      </c>
      <c r="B1640" s="2" t="s">
        <v>5885</v>
      </c>
      <c r="C1640" s="6" t="s">
        <v>5879</v>
      </c>
      <c r="D1640" s="6" t="s">
        <v>42</v>
      </c>
      <c r="E1640" s="7">
        <v>44927</v>
      </c>
      <c r="F1640" s="8" t="s">
        <v>77</v>
      </c>
      <c r="G1640" s="2" t="s">
        <v>26</v>
      </c>
      <c r="H1640" s="8" t="s">
        <v>28</v>
      </c>
      <c r="I1640" s="2" t="s">
        <v>26</v>
      </c>
      <c r="J1640" s="7">
        <v>44927</v>
      </c>
      <c r="K1640" s="8" t="s">
        <v>77</v>
      </c>
      <c r="L1640" s="2" t="s">
        <v>26</v>
      </c>
      <c r="M1640" s="8" t="s">
        <v>28</v>
      </c>
      <c r="N1640" s="6" t="s">
        <v>2264</v>
      </c>
      <c r="O1640" s="6" t="s">
        <v>30</v>
      </c>
      <c r="P1640" s="2" t="s">
        <v>13020</v>
      </c>
    </row>
    <row r="1641" spans="1:16" ht="13.15" x14ac:dyDescent="0.4">
      <c r="A1641" s="2" t="s">
        <v>11187</v>
      </c>
      <c r="B1641" s="2" t="s">
        <v>5885</v>
      </c>
      <c r="C1641" s="6" t="s">
        <v>5879</v>
      </c>
      <c r="D1641" s="6" t="s">
        <v>42</v>
      </c>
      <c r="E1641" s="7">
        <v>44927</v>
      </c>
      <c r="F1641" s="8" t="s">
        <v>77</v>
      </c>
      <c r="G1641" s="2" t="s">
        <v>26</v>
      </c>
      <c r="H1641" s="8" t="s">
        <v>28</v>
      </c>
      <c r="I1641" s="2" t="s">
        <v>26</v>
      </c>
      <c r="J1641" s="7">
        <v>44927</v>
      </c>
      <c r="K1641" s="8" t="s">
        <v>77</v>
      </c>
      <c r="L1641" s="2" t="s">
        <v>26</v>
      </c>
      <c r="M1641" s="8" t="s">
        <v>28</v>
      </c>
      <c r="N1641" s="6" t="s">
        <v>2264</v>
      </c>
      <c r="O1641" s="6" t="s">
        <v>30</v>
      </c>
      <c r="P1641" s="2" t="s">
        <v>13021</v>
      </c>
    </row>
    <row r="1642" spans="1:16" ht="13.15" x14ac:dyDescent="0.4">
      <c r="A1642" s="2" t="s">
        <v>9711</v>
      </c>
      <c r="B1642" s="2" t="s">
        <v>5885</v>
      </c>
      <c r="C1642" s="6" t="s">
        <v>5879</v>
      </c>
      <c r="D1642" s="6" t="s">
        <v>42</v>
      </c>
      <c r="E1642" s="7">
        <v>44927</v>
      </c>
      <c r="F1642" s="8" t="s">
        <v>77</v>
      </c>
      <c r="G1642" s="2" t="s">
        <v>26</v>
      </c>
      <c r="H1642" s="8" t="s">
        <v>28</v>
      </c>
      <c r="I1642" s="2" t="s">
        <v>26</v>
      </c>
      <c r="J1642" s="7">
        <v>44927</v>
      </c>
      <c r="K1642" s="8" t="s">
        <v>77</v>
      </c>
      <c r="L1642" s="2" t="s">
        <v>26</v>
      </c>
      <c r="M1642" s="8" t="s">
        <v>28</v>
      </c>
      <c r="N1642" s="6" t="s">
        <v>2264</v>
      </c>
      <c r="O1642" s="6" t="s">
        <v>30</v>
      </c>
      <c r="P1642" s="2" t="s">
        <v>13022</v>
      </c>
    </row>
    <row r="1643" spans="1:16" ht="13.15" x14ac:dyDescent="0.4">
      <c r="A1643" s="2" t="s">
        <v>11209</v>
      </c>
      <c r="B1643" s="2" t="s">
        <v>5885</v>
      </c>
      <c r="C1643" s="6" t="s">
        <v>5879</v>
      </c>
      <c r="D1643" s="6" t="s">
        <v>42</v>
      </c>
      <c r="E1643" s="7">
        <v>44927</v>
      </c>
      <c r="F1643" s="8" t="s">
        <v>77</v>
      </c>
      <c r="G1643" s="2" t="s">
        <v>26</v>
      </c>
      <c r="H1643" s="8" t="s">
        <v>28</v>
      </c>
      <c r="I1643" s="2" t="s">
        <v>26</v>
      </c>
      <c r="J1643" s="7">
        <v>44927</v>
      </c>
      <c r="K1643" s="8" t="s">
        <v>77</v>
      </c>
      <c r="L1643" s="2" t="s">
        <v>26</v>
      </c>
      <c r="M1643" s="8" t="s">
        <v>28</v>
      </c>
      <c r="N1643" s="6" t="s">
        <v>2264</v>
      </c>
      <c r="O1643" s="6" t="s">
        <v>30</v>
      </c>
      <c r="P1643" s="2" t="s">
        <v>13023</v>
      </c>
    </row>
    <row r="1644" spans="1:16" ht="13.15" x14ac:dyDescent="0.4">
      <c r="A1644" s="2" t="s">
        <v>11295</v>
      </c>
      <c r="B1644" s="2" t="s">
        <v>5885</v>
      </c>
      <c r="C1644" s="6" t="s">
        <v>5879</v>
      </c>
      <c r="D1644" s="6" t="s">
        <v>42</v>
      </c>
      <c r="E1644" s="7">
        <v>44927</v>
      </c>
      <c r="F1644" s="8" t="s">
        <v>77</v>
      </c>
      <c r="G1644" s="2" t="s">
        <v>26</v>
      </c>
      <c r="H1644" s="8" t="s">
        <v>28</v>
      </c>
      <c r="I1644" s="2" t="s">
        <v>26</v>
      </c>
      <c r="J1644" s="7">
        <v>44927</v>
      </c>
      <c r="K1644" s="8" t="s">
        <v>77</v>
      </c>
      <c r="L1644" s="2" t="s">
        <v>26</v>
      </c>
      <c r="M1644" s="8" t="s">
        <v>28</v>
      </c>
      <c r="N1644" s="6" t="s">
        <v>2264</v>
      </c>
      <c r="O1644" s="6" t="s">
        <v>30</v>
      </c>
      <c r="P1644" s="2" t="s">
        <v>13024</v>
      </c>
    </row>
    <row r="1645" spans="1:16" ht="13.15" x14ac:dyDescent="0.4">
      <c r="A1645" s="2" t="s">
        <v>11201</v>
      </c>
      <c r="B1645" s="2" t="s">
        <v>5885</v>
      </c>
      <c r="C1645" s="6" t="s">
        <v>5879</v>
      </c>
      <c r="D1645" s="6" t="s">
        <v>42</v>
      </c>
      <c r="E1645" s="7">
        <v>44927</v>
      </c>
      <c r="F1645" s="8" t="s">
        <v>77</v>
      </c>
      <c r="G1645" s="2" t="s">
        <v>26</v>
      </c>
      <c r="H1645" s="8" t="s">
        <v>28</v>
      </c>
      <c r="I1645" s="2" t="s">
        <v>26</v>
      </c>
      <c r="J1645" s="7">
        <v>44927</v>
      </c>
      <c r="K1645" s="8" t="s">
        <v>77</v>
      </c>
      <c r="L1645" s="2" t="s">
        <v>26</v>
      </c>
      <c r="M1645" s="8" t="s">
        <v>28</v>
      </c>
      <c r="N1645" s="6" t="s">
        <v>2264</v>
      </c>
      <c r="O1645" s="6" t="s">
        <v>30</v>
      </c>
      <c r="P1645" s="2" t="s">
        <v>13025</v>
      </c>
    </row>
    <row r="1646" spans="1:16" ht="13.15" x14ac:dyDescent="0.4">
      <c r="A1646" s="2" t="s">
        <v>11238</v>
      </c>
      <c r="B1646" s="2" t="s">
        <v>5885</v>
      </c>
      <c r="C1646" s="6" t="s">
        <v>5879</v>
      </c>
      <c r="D1646" s="6" t="s">
        <v>42</v>
      </c>
      <c r="E1646" s="7">
        <v>44927</v>
      </c>
      <c r="F1646" s="8" t="s">
        <v>77</v>
      </c>
      <c r="G1646" s="2" t="s">
        <v>26</v>
      </c>
      <c r="H1646" s="8" t="s">
        <v>28</v>
      </c>
      <c r="I1646" s="2" t="s">
        <v>26</v>
      </c>
      <c r="J1646" s="7">
        <v>44927</v>
      </c>
      <c r="K1646" s="8" t="s">
        <v>77</v>
      </c>
      <c r="L1646" s="2" t="s">
        <v>26</v>
      </c>
      <c r="M1646" s="8" t="s">
        <v>28</v>
      </c>
      <c r="N1646" s="6" t="s">
        <v>2264</v>
      </c>
      <c r="O1646" s="6" t="s">
        <v>30</v>
      </c>
      <c r="P1646" s="2" t="s">
        <v>13026</v>
      </c>
    </row>
    <row r="1647" spans="1:16" ht="13.15" x14ac:dyDescent="0.4">
      <c r="A1647" s="2" t="s">
        <v>11302</v>
      </c>
      <c r="B1647" s="2" t="s">
        <v>5885</v>
      </c>
      <c r="C1647" s="6" t="s">
        <v>5879</v>
      </c>
      <c r="D1647" s="6" t="s">
        <v>42</v>
      </c>
      <c r="E1647" s="7">
        <v>44927</v>
      </c>
      <c r="F1647" s="8" t="s">
        <v>77</v>
      </c>
      <c r="G1647" s="2" t="s">
        <v>26</v>
      </c>
      <c r="H1647" s="8" t="s">
        <v>28</v>
      </c>
      <c r="I1647" s="2" t="s">
        <v>26</v>
      </c>
      <c r="J1647" s="7">
        <v>44927</v>
      </c>
      <c r="K1647" s="8" t="s">
        <v>77</v>
      </c>
      <c r="L1647" s="2" t="s">
        <v>26</v>
      </c>
      <c r="M1647" s="8" t="s">
        <v>28</v>
      </c>
      <c r="N1647" s="6" t="s">
        <v>2264</v>
      </c>
      <c r="O1647" s="6" t="s">
        <v>30</v>
      </c>
      <c r="P1647" s="2" t="s">
        <v>13027</v>
      </c>
    </row>
    <row r="1648" spans="1:16" ht="13.15" x14ac:dyDescent="0.4">
      <c r="A1648" s="2" t="s">
        <v>11171</v>
      </c>
      <c r="B1648" s="2" t="s">
        <v>5885</v>
      </c>
      <c r="C1648" s="6" t="s">
        <v>5879</v>
      </c>
      <c r="D1648" s="6" t="s">
        <v>42</v>
      </c>
      <c r="E1648" s="7">
        <v>44927</v>
      </c>
      <c r="F1648" s="8" t="s">
        <v>77</v>
      </c>
      <c r="G1648" s="2" t="s">
        <v>26</v>
      </c>
      <c r="H1648" s="8" t="s">
        <v>28</v>
      </c>
      <c r="I1648" s="2" t="s">
        <v>26</v>
      </c>
      <c r="J1648" s="7">
        <v>44927</v>
      </c>
      <c r="K1648" s="8" t="s">
        <v>77</v>
      </c>
      <c r="L1648" s="2" t="s">
        <v>26</v>
      </c>
      <c r="M1648" s="8" t="s">
        <v>28</v>
      </c>
      <c r="N1648" s="6" t="s">
        <v>2264</v>
      </c>
      <c r="O1648" s="6" t="s">
        <v>30</v>
      </c>
      <c r="P1648" s="2" t="s">
        <v>13028</v>
      </c>
    </row>
    <row r="1649" spans="1:16" ht="13.15" x14ac:dyDescent="0.4">
      <c r="A1649" s="2" t="s">
        <v>9727</v>
      </c>
      <c r="B1649" s="2" t="s">
        <v>5885</v>
      </c>
      <c r="C1649" s="6" t="s">
        <v>5879</v>
      </c>
      <c r="D1649" s="6" t="s">
        <v>42</v>
      </c>
      <c r="E1649" s="7">
        <v>44927</v>
      </c>
      <c r="F1649" s="8" t="s">
        <v>77</v>
      </c>
      <c r="G1649" s="2" t="s">
        <v>26</v>
      </c>
      <c r="H1649" s="8" t="s">
        <v>28</v>
      </c>
      <c r="I1649" s="2" t="s">
        <v>26</v>
      </c>
      <c r="J1649" s="7">
        <v>44927</v>
      </c>
      <c r="K1649" s="8" t="s">
        <v>77</v>
      </c>
      <c r="L1649" s="2" t="s">
        <v>26</v>
      </c>
      <c r="M1649" s="8" t="s">
        <v>28</v>
      </c>
      <c r="N1649" s="6" t="s">
        <v>2264</v>
      </c>
      <c r="O1649" s="6" t="s">
        <v>30</v>
      </c>
      <c r="P1649" s="2" t="s">
        <v>13029</v>
      </c>
    </row>
    <row r="1650" spans="1:16" ht="13.15" x14ac:dyDescent="0.4">
      <c r="A1650" s="2" t="s">
        <v>10938</v>
      </c>
      <c r="B1650" s="2" t="s">
        <v>5885</v>
      </c>
      <c r="C1650" s="6" t="s">
        <v>5879</v>
      </c>
      <c r="D1650" s="6" t="s">
        <v>42</v>
      </c>
      <c r="E1650" s="7">
        <v>44927</v>
      </c>
      <c r="F1650" s="8" t="s">
        <v>77</v>
      </c>
      <c r="G1650" s="2" t="s">
        <v>26</v>
      </c>
      <c r="H1650" s="8" t="s">
        <v>28</v>
      </c>
      <c r="I1650" s="2" t="s">
        <v>26</v>
      </c>
      <c r="J1650" s="7">
        <v>44927</v>
      </c>
      <c r="K1650" s="8" t="s">
        <v>77</v>
      </c>
      <c r="L1650" s="2" t="s">
        <v>26</v>
      </c>
      <c r="M1650" s="8" t="s">
        <v>28</v>
      </c>
      <c r="N1650" s="6" t="s">
        <v>2264</v>
      </c>
      <c r="O1650" s="6" t="s">
        <v>30</v>
      </c>
      <c r="P1650" s="2" t="s">
        <v>13030</v>
      </c>
    </row>
    <row r="1651" spans="1:16" ht="13.15" x14ac:dyDescent="0.4">
      <c r="A1651" s="2" t="s">
        <v>11139</v>
      </c>
      <c r="B1651" s="2" t="s">
        <v>5885</v>
      </c>
      <c r="C1651" s="6" t="s">
        <v>5879</v>
      </c>
      <c r="D1651" s="6" t="s">
        <v>42</v>
      </c>
      <c r="E1651" s="7">
        <v>44927</v>
      </c>
      <c r="F1651" s="8" t="s">
        <v>77</v>
      </c>
      <c r="G1651" s="2" t="s">
        <v>26</v>
      </c>
      <c r="H1651" s="8" t="s">
        <v>28</v>
      </c>
      <c r="I1651" s="2" t="s">
        <v>26</v>
      </c>
      <c r="J1651" s="7">
        <v>44927</v>
      </c>
      <c r="K1651" s="8" t="s">
        <v>77</v>
      </c>
      <c r="L1651" s="2" t="s">
        <v>26</v>
      </c>
      <c r="M1651" s="8" t="s">
        <v>28</v>
      </c>
      <c r="N1651" s="6" t="s">
        <v>2264</v>
      </c>
      <c r="O1651" s="6" t="s">
        <v>30</v>
      </c>
      <c r="P1651" s="2" t="s">
        <v>13031</v>
      </c>
    </row>
    <row r="1652" spans="1:16" ht="13.15" x14ac:dyDescent="0.4">
      <c r="A1652" s="2" t="s">
        <v>11118</v>
      </c>
      <c r="B1652" s="2" t="s">
        <v>5885</v>
      </c>
      <c r="C1652" s="6" t="s">
        <v>5879</v>
      </c>
      <c r="D1652" s="6" t="s">
        <v>42</v>
      </c>
      <c r="E1652" s="7">
        <v>44927</v>
      </c>
      <c r="F1652" s="8" t="s">
        <v>77</v>
      </c>
      <c r="G1652" s="2" t="s">
        <v>26</v>
      </c>
      <c r="H1652" s="8" t="s">
        <v>28</v>
      </c>
      <c r="I1652" s="2" t="s">
        <v>26</v>
      </c>
      <c r="J1652" s="7">
        <v>44927</v>
      </c>
      <c r="K1652" s="8" t="s">
        <v>77</v>
      </c>
      <c r="L1652" s="2" t="s">
        <v>26</v>
      </c>
      <c r="M1652" s="8" t="s">
        <v>28</v>
      </c>
      <c r="N1652" s="6" t="s">
        <v>2264</v>
      </c>
      <c r="O1652" s="6" t="s">
        <v>30</v>
      </c>
      <c r="P1652" s="2" t="s">
        <v>13032</v>
      </c>
    </row>
    <row r="1653" spans="1:16" ht="13.15" x14ac:dyDescent="0.4">
      <c r="A1653" s="2" t="s">
        <v>11175</v>
      </c>
      <c r="B1653" s="2" t="s">
        <v>5885</v>
      </c>
      <c r="C1653" s="6" t="s">
        <v>5879</v>
      </c>
      <c r="D1653" s="6" t="s">
        <v>42</v>
      </c>
      <c r="E1653" s="7">
        <v>44927</v>
      </c>
      <c r="F1653" s="8" t="s">
        <v>77</v>
      </c>
      <c r="G1653" s="2" t="s">
        <v>26</v>
      </c>
      <c r="H1653" s="8" t="s">
        <v>28</v>
      </c>
      <c r="I1653" s="2" t="s">
        <v>26</v>
      </c>
      <c r="J1653" s="7">
        <v>44927</v>
      </c>
      <c r="K1653" s="8" t="s">
        <v>77</v>
      </c>
      <c r="L1653" s="2" t="s">
        <v>26</v>
      </c>
      <c r="M1653" s="8" t="s">
        <v>28</v>
      </c>
      <c r="N1653" s="6" t="s">
        <v>2264</v>
      </c>
      <c r="O1653" s="6" t="s">
        <v>30</v>
      </c>
      <c r="P1653" s="2" t="s">
        <v>13033</v>
      </c>
    </row>
    <row r="1654" spans="1:16" ht="13.15" x14ac:dyDescent="0.4">
      <c r="A1654" s="2" t="s">
        <v>11305</v>
      </c>
      <c r="B1654" s="2" t="s">
        <v>5885</v>
      </c>
      <c r="C1654" s="6" t="s">
        <v>5879</v>
      </c>
      <c r="D1654" s="6" t="s">
        <v>42</v>
      </c>
      <c r="E1654" s="7">
        <v>44927</v>
      </c>
      <c r="F1654" s="8" t="s">
        <v>77</v>
      </c>
      <c r="G1654" s="2" t="s">
        <v>26</v>
      </c>
      <c r="H1654" s="8" t="s">
        <v>28</v>
      </c>
      <c r="I1654" s="2" t="s">
        <v>26</v>
      </c>
      <c r="J1654" s="7">
        <v>44927</v>
      </c>
      <c r="K1654" s="8" t="s">
        <v>77</v>
      </c>
      <c r="L1654" s="2" t="s">
        <v>26</v>
      </c>
      <c r="M1654" s="8" t="s">
        <v>28</v>
      </c>
      <c r="N1654" s="6" t="s">
        <v>2264</v>
      </c>
      <c r="O1654" s="6" t="s">
        <v>30</v>
      </c>
      <c r="P1654" s="2" t="s">
        <v>13034</v>
      </c>
    </row>
    <row r="1655" spans="1:16" ht="13.15" x14ac:dyDescent="0.4">
      <c r="A1655" s="2" t="s">
        <v>11135</v>
      </c>
      <c r="B1655" s="2" t="s">
        <v>5885</v>
      </c>
      <c r="C1655" s="6" t="s">
        <v>5879</v>
      </c>
      <c r="D1655" s="6" t="s">
        <v>42</v>
      </c>
      <c r="E1655" s="7">
        <v>44927</v>
      </c>
      <c r="F1655" s="8" t="s">
        <v>77</v>
      </c>
      <c r="G1655" s="2" t="s">
        <v>26</v>
      </c>
      <c r="H1655" s="8" t="s">
        <v>28</v>
      </c>
      <c r="I1655" s="2" t="s">
        <v>26</v>
      </c>
      <c r="J1655" s="7">
        <v>44927</v>
      </c>
      <c r="K1655" s="8" t="s">
        <v>77</v>
      </c>
      <c r="L1655" s="2" t="s">
        <v>26</v>
      </c>
      <c r="M1655" s="8" t="s">
        <v>28</v>
      </c>
      <c r="N1655" s="6" t="s">
        <v>2264</v>
      </c>
      <c r="O1655" s="6" t="s">
        <v>30</v>
      </c>
      <c r="P1655" s="2" t="s">
        <v>13035</v>
      </c>
    </row>
    <row r="1656" spans="1:16" ht="13.15" x14ac:dyDescent="0.4">
      <c r="A1656" s="2" t="s">
        <v>11182</v>
      </c>
      <c r="B1656" s="2" t="s">
        <v>5885</v>
      </c>
      <c r="C1656" s="6" t="s">
        <v>5879</v>
      </c>
      <c r="D1656" s="6" t="s">
        <v>42</v>
      </c>
      <c r="E1656" s="7">
        <v>44927</v>
      </c>
      <c r="F1656" s="8" t="s">
        <v>77</v>
      </c>
      <c r="G1656" s="2" t="s">
        <v>26</v>
      </c>
      <c r="H1656" s="8" t="s">
        <v>28</v>
      </c>
      <c r="I1656" s="2" t="s">
        <v>26</v>
      </c>
      <c r="J1656" s="7">
        <v>44927</v>
      </c>
      <c r="K1656" s="8" t="s">
        <v>77</v>
      </c>
      <c r="L1656" s="2" t="s">
        <v>26</v>
      </c>
      <c r="M1656" s="8" t="s">
        <v>28</v>
      </c>
      <c r="N1656" s="6" t="s">
        <v>2264</v>
      </c>
      <c r="O1656" s="6" t="s">
        <v>30</v>
      </c>
      <c r="P1656" s="2" t="s">
        <v>13036</v>
      </c>
    </row>
    <row r="1657" spans="1:16" ht="13.15" x14ac:dyDescent="0.4">
      <c r="A1657" s="2" t="s">
        <v>11174</v>
      </c>
      <c r="B1657" s="2" t="s">
        <v>5885</v>
      </c>
      <c r="C1657" s="6" t="s">
        <v>5879</v>
      </c>
      <c r="D1657" s="6" t="s">
        <v>42</v>
      </c>
      <c r="E1657" s="7">
        <v>44927</v>
      </c>
      <c r="F1657" s="8" t="s">
        <v>77</v>
      </c>
      <c r="G1657" s="2" t="s">
        <v>26</v>
      </c>
      <c r="H1657" s="8" t="s">
        <v>28</v>
      </c>
      <c r="I1657" s="2" t="s">
        <v>26</v>
      </c>
      <c r="J1657" s="7">
        <v>44927</v>
      </c>
      <c r="K1657" s="8" t="s">
        <v>77</v>
      </c>
      <c r="L1657" s="2" t="s">
        <v>26</v>
      </c>
      <c r="M1657" s="8" t="s">
        <v>28</v>
      </c>
      <c r="N1657" s="6" t="s">
        <v>2264</v>
      </c>
      <c r="O1657" s="6" t="s">
        <v>30</v>
      </c>
      <c r="P1657" s="2" t="s">
        <v>13037</v>
      </c>
    </row>
    <row r="1658" spans="1:16" ht="13.15" x14ac:dyDescent="0.4">
      <c r="A1658" s="2" t="s">
        <v>9743</v>
      </c>
      <c r="B1658" s="2" t="s">
        <v>5885</v>
      </c>
      <c r="C1658" s="6" t="s">
        <v>5879</v>
      </c>
      <c r="D1658" s="6" t="s">
        <v>42</v>
      </c>
      <c r="E1658" s="7">
        <v>44927</v>
      </c>
      <c r="F1658" s="8" t="s">
        <v>77</v>
      </c>
      <c r="G1658" s="2" t="s">
        <v>26</v>
      </c>
      <c r="H1658" s="8" t="s">
        <v>28</v>
      </c>
      <c r="I1658" s="2" t="s">
        <v>26</v>
      </c>
      <c r="J1658" s="7">
        <v>44927</v>
      </c>
      <c r="K1658" s="8" t="s">
        <v>77</v>
      </c>
      <c r="L1658" s="2" t="s">
        <v>26</v>
      </c>
      <c r="M1658" s="8" t="s">
        <v>28</v>
      </c>
      <c r="N1658" s="6" t="s">
        <v>2264</v>
      </c>
      <c r="O1658" s="6" t="s">
        <v>30</v>
      </c>
      <c r="P1658" s="2" t="s">
        <v>13038</v>
      </c>
    </row>
    <row r="1659" spans="1:16" ht="13.15" x14ac:dyDescent="0.4">
      <c r="A1659" s="2" t="s">
        <v>11195</v>
      </c>
      <c r="B1659" s="2" t="s">
        <v>5885</v>
      </c>
      <c r="C1659" s="6" t="s">
        <v>5879</v>
      </c>
      <c r="D1659" s="6" t="s">
        <v>42</v>
      </c>
      <c r="E1659" s="7">
        <v>44927</v>
      </c>
      <c r="F1659" s="8" t="s">
        <v>77</v>
      </c>
      <c r="G1659" s="2" t="s">
        <v>26</v>
      </c>
      <c r="H1659" s="8" t="s">
        <v>28</v>
      </c>
      <c r="I1659" s="2" t="s">
        <v>26</v>
      </c>
      <c r="J1659" s="7">
        <v>44927</v>
      </c>
      <c r="K1659" s="8" t="s">
        <v>77</v>
      </c>
      <c r="L1659" s="2" t="s">
        <v>26</v>
      </c>
      <c r="M1659" s="8" t="s">
        <v>28</v>
      </c>
      <c r="N1659" s="6" t="s">
        <v>2264</v>
      </c>
      <c r="O1659" s="6" t="s">
        <v>30</v>
      </c>
      <c r="P1659" s="2" t="s">
        <v>13039</v>
      </c>
    </row>
    <row r="1660" spans="1:16" ht="13.15" x14ac:dyDescent="0.4">
      <c r="A1660" s="2" t="s">
        <v>11281</v>
      </c>
      <c r="B1660" s="2" t="s">
        <v>5885</v>
      </c>
      <c r="C1660" s="6" t="s">
        <v>5879</v>
      </c>
      <c r="D1660" s="6" t="s">
        <v>42</v>
      </c>
      <c r="E1660" s="7">
        <v>44927</v>
      </c>
      <c r="F1660" s="8" t="s">
        <v>77</v>
      </c>
      <c r="G1660" s="2" t="s">
        <v>26</v>
      </c>
      <c r="H1660" s="8" t="s">
        <v>28</v>
      </c>
      <c r="I1660" s="2" t="s">
        <v>26</v>
      </c>
      <c r="J1660" s="7">
        <v>44927</v>
      </c>
      <c r="K1660" s="8" t="s">
        <v>77</v>
      </c>
      <c r="L1660" s="2" t="s">
        <v>26</v>
      </c>
      <c r="M1660" s="8" t="s">
        <v>28</v>
      </c>
      <c r="N1660" s="6" t="s">
        <v>2264</v>
      </c>
      <c r="O1660" s="6" t="s">
        <v>30</v>
      </c>
      <c r="P1660" s="2" t="s">
        <v>13040</v>
      </c>
    </row>
    <row r="1661" spans="1:16" ht="13.15" x14ac:dyDescent="0.4">
      <c r="A1661" s="2" t="s">
        <v>11221</v>
      </c>
      <c r="B1661" s="2" t="s">
        <v>5885</v>
      </c>
      <c r="C1661" s="6" t="s">
        <v>5879</v>
      </c>
      <c r="D1661" s="6" t="s">
        <v>42</v>
      </c>
      <c r="E1661" s="7">
        <v>44927</v>
      </c>
      <c r="F1661" s="8" t="s">
        <v>77</v>
      </c>
      <c r="G1661" s="2" t="s">
        <v>26</v>
      </c>
      <c r="H1661" s="8" t="s">
        <v>28</v>
      </c>
      <c r="I1661" s="2" t="s">
        <v>26</v>
      </c>
      <c r="J1661" s="7">
        <v>44927</v>
      </c>
      <c r="K1661" s="8" t="s">
        <v>77</v>
      </c>
      <c r="L1661" s="2" t="s">
        <v>26</v>
      </c>
      <c r="M1661" s="8" t="s">
        <v>28</v>
      </c>
      <c r="N1661" s="6" t="s">
        <v>2264</v>
      </c>
      <c r="O1661" s="6" t="s">
        <v>30</v>
      </c>
      <c r="P1661" s="2" t="s">
        <v>13041</v>
      </c>
    </row>
    <row r="1662" spans="1:16" ht="13.15" x14ac:dyDescent="0.4">
      <c r="A1662" s="2" t="s">
        <v>11179</v>
      </c>
      <c r="B1662" s="2" t="s">
        <v>5885</v>
      </c>
      <c r="C1662" s="6" t="s">
        <v>5879</v>
      </c>
      <c r="D1662" s="6" t="s">
        <v>42</v>
      </c>
      <c r="E1662" s="7">
        <v>44927</v>
      </c>
      <c r="F1662" s="8" t="s">
        <v>77</v>
      </c>
      <c r="G1662" s="2" t="s">
        <v>26</v>
      </c>
      <c r="H1662" s="8" t="s">
        <v>28</v>
      </c>
      <c r="I1662" s="2" t="s">
        <v>26</v>
      </c>
      <c r="J1662" s="7">
        <v>44927</v>
      </c>
      <c r="K1662" s="8" t="s">
        <v>77</v>
      </c>
      <c r="L1662" s="2" t="s">
        <v>26</v>
      </c>
      <c r="M1662" s="8" t="s">
        <v>28</v>
      </c>
      <c r="N1662" s="6" t="s">
        <v>2264</v>
      </c>
      <c r="O1662" s="6" t="s">
        <v>30</v>
      </c>
      <c r="P1662" s="2" t="s">
        <v>13042</v>
      </c>
    </row>
    <row r="1663" spans="1:16" ht="13.15" x14ac:dyDescent="0.4">
      <c r="A1663" s="2" t="s">
        <v>11260</v>
      </c>
      <c r="B1663" s="2" t="s">
        <v>5885</v>
      </c>
      <c r="C1663" s="6" t="s">
        <v>5879</v>
      </c>
      <c r="D1663" s="6" t="s">
        <v>42</v>
      </c>
      <c r="E1663" s="7">
        <v>44927</v>
      </c>
      <c r="F1663" s="8" t="s">
        <v>77</v>
      </c>
      <c r="G1663" s="2" t="s">
        <v>26</v>
      </c>
      <c r="H1663" s="8" t="s">
        <v>28</v>
      </c>
      <c r="I1663" s="2" t="s">
        <v>26</v>
      </c>
      <c r="J1663" s="7">
        <v>44927</v>
      </c>
      <c r="K1663" s="8" t="s">
        <v>77</v>
      </c>
      <c r="L1663" s="2" t="s">
        <v>26</v>
      </c>
      <c r="M1663" s="8" t="s">
        <v>28</v>
      </c>
      <c r="N1663" s="6" t="s">
        <v>2264</v>
      </c>
      <c r="O1663" s="6" t="s">
        <v>30</v>
      </c>
      <c r="P1663" s="2" t="s">
        <v>13043</v>
      </c>
    </row>
    <row r="1664" spans="1:16" ht="13.15" x14ac:dyDescent="0.4">
      <c r="A1664" s="2" t="s">
        <v>11220</v>
      </c>
      <c r="B1664" s="2" t="s">
        <v>5885</v>
      </c>
      <c r="C1664" s="6" t="s">
        <v>5879</v>
      </c>
      <c r="D1664" s="6" t="s">
        <v>42</v>
      </c>
      <c r="E1664" s="7">
        <v>44927</v>
      </c>
      <c r="F1664" s="8" t="s">
        <v>77</v>
      </c>
      <c r="G1664" s="2" t="s">
        <v>26</v>
      </c>
      <c r="H1664" s="8" t="s">
        <v>28</v>
      </c>
      <c r="I1664" s="2" t="s">
        <v>26</v>
      </c>
      <c r="J1664" s="7">
        <v>44927</v>
      </c>
      <c r="K1664" s="8" t="s">
        <v>77</v>
      </c>
      <c r="L1664" s="2" t="s">
        <v>26</v>
      </c>
      <c r="M1664" s="8" t="s">
        <v>28</v>
      </c>
      <c r="N1664" s="6" t="s">
        <v>2264</v>
      </c>
      <c r="O1664" s="6" t="s">
        <v>30</v>
      </c>
      <c r="P1664" s="2" t="s">
        <v>13044</v>
      </c>
    </row>
    <row r="1665" spans="1:16" ht="13.15" x14ac:dyDescent="0.4">
      <c r="A1665" s="2" t="s">
        <v>11121</v>
      </c>
      <c r="B1665" s="2" t="s">
        <v>5885</v>
      </c>
      <c r="C1665" s="6" t="s">
        <v>5879</v>
      </c>
      <c r="D1665" s="6" t="s">
        <v>42</v>
      </c>
      <c r="E1665" s="7">
        <v>44927</v>
      </c>
      <c r="F1665" s="8" t="s">
        <v>77</v>
      </c>
      <c r="G1665" s="2" t="s">
        <v>26</v>
      </c>
      <c r="H1665" s="8" t="s">
        <v>28</v>
      </c>
      <c r="I1665" s="2" t="s">
        <v>26</v>
      </c>
      <c r="J1665" s="7">
        <v>44927</v>
      </c>
      <c r="K1665" s="8" t="s">
        <v>77</v>
      </c>
      <c r="L1665" s="2" t="s">
        <v>26</v>
      </c>
      <c r="M1665" s="8" t="s">
        <v>28</v>
      </c>
      <c r="N1665" s="6" t="s">
        <v>2264</v>
      </c>
      <c r="O1665" s="6" t="s">
        <v>30</v>
      </c>
      <c r="P1665" s="2" t="s">
        <v>13045</v>
      </c>
    </row>
    <row r="1666" spans="1:16" ht="13.15" x14ac:dyDescent="0.4">
      <c r="A1666" s="2" t="s">
        <v>11208</v>
      </c>
      <c r="B1666" s="2" t="s">
        <v>5885</v>
      </c>
      <c r="C1666" s="6" t="s">
        <v>5879</v>
      </c>
      <c r="D1666" s="6" t="s">
        <v>42</v>
      </c>
      <c r="E1666" s="7">
        <v>44927</v>
      </c>
      <c r="F1666" s="8" t="s">
        <v>77</v>
      </c>
      <c r="G1666" s="2" t="s">
        <v>26</v>
      </c>
      <c r="H1666" s="8" t="s">
        <v>28</v>
      </c>
      <c r="I1666" s="2" t="s">
        <v>26</v>
      </c>
      <c r="J1666" s="7">
        <v>44927</v>
      </c>
      <c r="K1666" s="8" t="s">
        <v>77</v>
      </c>
      <c r="L1666" s="2" t="s">
        <v>26</v>
      </c>
      <c r="M1666" s="8" t="s">
        <v>28</v>
      </c>
      <c r="N1666" s="6" t="s">
        <v>2264</v>
      </c>
      <c r="O1666" s="6" t="s">
        <v>30</v>
      </c>
      <c r="P1666" s="2" t="s">
        <v>13046</v>
      </c>
    </row>
    <row r="1667" spans="1:16" ht="13.15" x14ac:dyDescent="0.4">
      <c r="A1667" s="2" t="s">
        <v>11347</v>
      </c>
      <c r="B1667" s="2" t="s">
        <v>5885</v>
      </c>
      <c r="C1667" s="6" t="s">
        <v>5879</v>
      </c>
      <c r="D1667" s="6" t="s">
        <v>42</v>
      </c>
      <c r="E1667" s="7">
        <v>44927</v>
      </c>
      <c r="F1667" s="8" t="s">
        <v>77</v>
      </c>
      <c r="G1667" s="2" t="s">
        <v>26</v>
      </c>
      <c r="H1667" s="8" t="s">
        <v>28</v>
      </c>
      <c r="I1667" s="2" t="s">
        <v>26</v>
      </c>
      <c r="J1667" s="7">
        <v>44927</v>
      </c>
      <c r="K1667" s="8" t="s">
        <v>77</v>
      </c>
      <c r="L1667" s="2" t="s">
        <v>26</v>
      </c>
      <c r="M1667" s="8" t="s">
        <v>28</v>
      </c>
      <c r="N1667" s="6" t="s">
        <v>2264</v>
      </c>
      <c r="O1667" s="6" t="s">
        <v>30</v>
      </c>
      <c r="P1667" s="2" t="s">
        <v>13047</v>
      </c>
    </row>
    <row r="1668" spans="1:16" ht="13.15" x14ac:dyDescent="0.4">
      <c r="A1668" s="2" t="s">
        <v>11203</v>
      </c>
      <c r="B1668" s="2" t="s">
        <v>5885</v>
      </c>
      <c r="C1668" s="6" t="s">
        <v>5879</v>
      </c>
      <c r="D1668" s="6" t="s">
        <v>42</v>
      </c>
      <c r="E1668" s="7">
        <v>44927</v>
      </c>
      <c r="F1668" s="8" t="s">
        <v>77</v>
      </c>
      <c r="G1668" s="2" t="s">
        <v>26</v>
      </c>
      <c r="H1668" s="8" t="s">
        <v>28</v>
      </c>
      <c r="I1668" s="2" t="s">
        <v>26</v>
      </c>
      <c r="J1668" s="7">
        <v>44927</v>
      </c>
      <c r="K1668" s="8" t="s">
        <v>77</v>
      </c>
      <c r="L1668" s="2" t="s">
        <v>26</v>
      </c>
      <c r="M1668" s="8" t="s">
        <v>28</v>
      </c>
      <c r="N1668" s="6" t="s">
        <v>2264</v>
      </c>
      <c r="O1668" s="6" t="s">
        <v>30</v>
      </c>
      <c r="P1668" s="2" t="s">
        <v>13048</v>
      </c>
    </row>
    <row r="1669" spans="1:16" ht="13.15" x14ac:dyDescent="0.4">
      <c r="A1669" s="2" t="s">
        <v>11151</v>
      </c>
      <c r="B1669" s="2" t="s">
        <v>5885</v>
      </c>
      <c r="C1669" s="6" t="s">
        <v>5879</v>
      </c>
      <c r="D1669" s="6" t="s">
        <v>42</v>
      </c>
      <c r="E1669" s="7">
        <v>44927</v>
      </c>
      <c r="F1669" s="8" t="s">
        <v>77</v>
      </c>
      <c r="G1669" s="2" t="s">
        <v>26</v>
      </c>
      <c r="H1669" s="8" t="s">
        <v>28</v>
      </c>
      <c r="I1669" s="2" t="s">
        <v>26</v>
      </c>
      <c r="J1669" s="7">
        <v>44927</v>
      </c>
      <c r="K1669" s="8" t="s">
        <v>77</v>
      </c>
      <c r="L1669" s="2" t="s">
        <v>26</v>
      </c>
      <c r="M1669" s="8" t="s">
        <v>28</v>
      </c>
      <c r="N1669" s="6" t="s">
        <v>2264</v>
      </c>
      <c r="O1669" s="6" t="s">
        <v>30</v>
      </c>
      <c r="P1669" s="2" t="s">
        <v>13049</v>
      </c>
    </row>
    <row r="1670" spans="1:16" ht="13.15" x14ac:dyDescent="0.4">
      <c r="A1670" s="2" t="s">
        <v>11063</v>
      </c>
      <c r="B1670" s="2" t="s">
        <v>5885</v>
      </c>
      <c r="C1670" s="6" t="s">
        <v>5879</v>
      </c>
      <c r="D1670" s="6" t="s">
        <v>42</v>
      </c>
      <c r="E1670" s="7">
        <v>44927</v>
      </c>
      <c r="F1670" s="8" t="s">
        <v>77</v>
      </c>
      <c r="G1670" s="2" t="s">
        <v>26</v>
      </c>
      <c r="H1670" s="8" t="s">
        <v>28</v>
      </c>
      <c r="I1670" s="2" t="s">
        <v>26</v>
      </c>
      <c r="J1670" s="7">
        <v>44927</v>
      </c>
      <c r="K1670" s="8" t="s">
        <v>77</v>
      </c>
      <c r="L1670" s="2" t="s">
        <v>26</v>
      </c>
      <c r="M1670" s="8" t="s">
        <v>28</v>
      </c>
      <c r="N1670" s="6" t="s">
        <v>2264</v>
      </c>
      <c r="O1670" s="6" t="s">
        <v>30</v>
      </c>
      <c r="P1670" s="2" t="s">
        <v>13050</v>
      </c>
    </row>
    <row r="1671" spans="1:16" ht="13.15" x14ac:dyDescent="0.4">
      <c r="A1671" s="2" t="s">
        <v>11149</v>
      </c>
      <c r="B1671" s="2" t="s">
        <v>5885</v>
      </c>
      <c r="C1671" s="6" t="s">
        <v>5879</v>
      </c>
      <c r="D1671" s="6" t="s">
        <v>42</v>
      </c>
      <c r="E1671" s="7">
        <v>44927</v>
      </c>
      <c r="F1671" s="8" t="s">
        <v>77</v>
      </c>
      <c r="G1671" s="2" t="s">
        <v>26</v>
      </c>
      <c r="H1671" s="8" t="s">
        <v>28</v>
      </c>
      <c r="I1671" s="2" t="s">
        <v>26</v>
      </c>
      <c r="J1671" s="7">
        <v>44927</v>
      </c>
      <c r="K1671" s="8" t="s">
        <v>77</v>
      </c>
      <c r="L1671" s="2" t="s">
        <v>26</v>
      </c>
      <c r="M1671" s="8" t="s">
        <v>28</v>
      </c>
      <c r="N1671" s="6" t="s">
        <v>2264</v>
      </c>
      <c r="O1671" s="6" t="s">
        <v>30</v>
      </c>
      <c r="P1671" s="2" t="s">
        <v>13051</v>
      </c>
    </row>
    <row r="1672" spans="1:16" ht="13.15" x14ac:dyDescent="0.4">
      <c r="A1672" s="2" t="s">
        <v>11142</v>
      </c>
      <c r="B1672" s="2" t="s">
        <v>5885</v>
      </c>
      <c r="C1672" s="6" t="s">
        <v>5879</v>
      </c>
      <c r="D1672" s="6" t="s">
        <v>42</v>
      </c>
      <c r="E1672" s="7">
        <v>44927</v>
      </c>
      <c r="F1672" s="8" t="s">
        <v>77</v>
      </c>
      <c r="G1672" s="2" t="s">
        <v>26</v>
      </c>
      <c r="H1672" s="8" t="s">
        <v>28</v>
      </c>
      <c r="I1672" s="2" t="s">
        <v>26</v>
      </c>
      <c r="J1672" s="7">
        <v>44927</v>
      </c>
      <c r="K1672" s="8" t="s">
        <v>77</v>
      </c>
      <c r="L1672" s="2" t="s">
        <v>26</v>
      </c>
      <c r="M1672" s="8" t="s">
        <v>28</v>
      </c>
      <c r="N1672" s="6" t="s">
        <v>2264</v>
      </c>
      <c r="O1672" s="6" t="s">
        <v>30</v>
      </c>
      <c r="P1672" s="2" t="s">
        <v>13052</v>
      </c>
    </row>
    <row r="1673" spans="1:16" ht="13.15" x14ac:dyDescent="0.4">
      <c r="A1673" s="2" t="s">
        <v>10995</v>
      </c>
      <c r="B1673" s="2" t="s">
        <v>5885</v>
      </c>
      <c r="C1673" s="6" t="s">
        <v>5879</v>
      </c>
      <c r="D1673" s="6" t="s">
        <v>42</v>
      </c>
      <c r="E1673" s="7">
        <v>44927</v>
      </c>
      <c r="F1673" s="8" t="s">
        <v>77</v>
      </c>
      <c r="G1673" s="2" t="s">
        <v>26</v>
      </c>
      <c r="H1673" s="8" t="s">
        <v>28</v>
      </c>
      <c r="I1673" s="2" t="s">
        <v>26</v>
      </c>
      <c r="J1673" s="7">
        <v>44927</v>
      </c>
      <c r="K1673" s="8" t="s">
        <v>77</v>
      </c>
      <c r="L1673" s="2" t="s">
        <v>26</v>
      </c>
      <c r="M1673" s="8" t="s">
        <v>28</v>
      </c>
      <c r="N1673" s="6" t="s">
        <v>2264</v>
      </c>
      <c r="O1673" s="6" t="s">
        <v>30</v>
      </c>
      <c r="P1673" s="2" t="s">
        <v>13053</v>
      </c>
    </row>
    <row r="1674" spans="1:16" ht="13.15" x14ac:dyDescent="0.4">
      <c r="A1674" s="2" t="s">
        <v>11148</v>
      </c>
      <c r="B1674" s="2" t="s">
        <v>5885</v>
      </c>
      <c r="C1674" s="6" t="s">
        <v>5879</v>
      </c>
      <c r="D1674" s="6" t="s">
        <v>42</v>
      </c>
      <c r="E1674" s="7">
        <v>44927</v>
      </c>
      <c r="F1674" s="8" t="s">
        <v>77</v>
      </c>
      <c r="G1674" s="2" t="s">
        <v>26</v>
      </c>
      <c r="H1674" s="8" t="s">
        <v>28</v>
      </c>
      <c r="I1674" s="2" t="s">
        <v>26</v>
      </c>
      <c r="J1674" s="7">
        <v>44927</v>
      </c>
      <c r="K1674" s="8" t="s">
        <v>77</v>
      </c>
      <c r="L1674" s="2" t="s">
        <v>26</v>
      </c>
      <c r="M1674" s="8" t="s">
        <v>28</v>
      </c>
      <c r="N1674" s="6" t="s">
        <v>2264</v>
      </c>
      <c r="O1674" s="6" t="s">
        <v>30</v>
      </c>
      <c r="P1674" s="2" t="s">
        <v>13054</v>
      </c>
    </row>
    <row r="1675" spans="1:16" ht="13.15" x14ac:dyDescent="0.4">
      <c r="A1675" s="2" t="s">
        <v>11205</v>
      </c>
      <c r="B1675" s="2" t="s">
        <v>5885</v>
      </c>
      <c r="C1675" s="6" t="s">
        <v>5879</v>
      </c>
      <c r="D1675" s="6" t="s">
        <v>42</v>
      </c>
      <c r="E1675" s="7">
        <v>44927</v>
      </c>
      <c r="F1675" s="8" t="s">
        <v>77</v>
      </c>
      <c r="G1675" s="2" t="s">
        <v>26</v>
      </c>
      <c r="H1675" s="8" t="s">
        <v>28</v>
      </c>
      <c r="I1675" s="2" t="s">
        <v>26</v>
      </c>
      <c r="J1675" s="7">
        <v>44927</v>
      </c>
      <c r="K1675" s="8" t="s">
        <v>77</v>
      </c>
      <c r="L1675" s="2" t="s">
        <v>26</v>
      </c>
      <c r="M1675" s="8" t="s">
        <v>28</v>
      </c>
      <c r="N1675" s="6" t="s">
        <v>2264</v>
      </c>
      <c r="O1675" s="6" t="s">
        <v>30</v>
      </c>
      <c r="P1675" s="2" t="s">
        <v>13055</v>
      </c>
    </row>
    <row r="1676" spans="1:16" ht="13.15" x14ac:dyDescent="0.4">
      <c r="A1676" s="2" t="s">
        <v>11128</v>
      </c>
      <c r="B1676" s="2" t="s">
        <v>5885</v>
      </c>
      <c r="C1676" s="6" t="s">
        <v>5879</v>
      </c>
      <c r="D1676" s="6" t="s">
        <v>42</v>
      </c>
      <c r="E1676" s="7">
        <v>44927</v>
      </c>
      <c r="F1676" s="8" t="s">
        <v>77</v>
      </c>
      <c r="G1676" s="2" t="s">
        <v>26</v>
      </c>
      <c r="H1676" s="8" t="s">
        <v>28</v>
      </c>
      <c r="I1676" s="2" t="s">
        <v>26</v>
      </c>
      <c r="J1676" s="7">
        <v>44927</v>
      </c>
      <c r="K1676" s="8" t="s">
        <v>77</v>
      </c>
      <c r="L1676" s="2" t="s">
        <v>26</v>
      </c>
      <c r="M1676" s="8" t="s">
        <v>28</v>
      </c>
      <c r="N1676" s="6" t="s">
        <v>2264</v>
      </c>
      <c r="O1676" s="6" t="s">
        <v>30</v>
      </c>
      <c r="P1676" s="2" t="s">
        <v>13056</v>
      </c>
    </row>
    <row r="1677" spans="1:16" ht="13.15" x14ac:dyDescent="0.4">
      <c r="A1677" s="2" t="s">
        <v>11156</v>
      </c>
      <c r="B1677" s="2" t="s">
        <v>5885</v>
      </c>
      <c r="C1677" s="6" t="s">
        <v>5879</v>
      </c>
      <c r="D1677" s="6" t="s">
        <v>42</v>
      </c>
      <c r="E1677" s="7">
        <v>44927</v>
      </c>
      <c r="F1677" s="8" t="s">
        <v>77</v>
      </c>
      <c r="G1677" s="2" t="s">
        <v>26</v>
      </c>
      <c r="H1677" s="8" t="s">
        <v>28</v>
      </c>
      <c r="I1677" s="2" t="s">
        <v>26</v>
      </c>
      <c r="J1677" s="7">
        <v>44927</v>
      </c>
      <c r="K1677" s="8" t="s">
        <v>77</v>
      </c>
      <c r="L1677" s="2" t="s">
        <v>26</v>
      </c>
      <c r="M1677" s="8" t="s">
        <v>28</v>
      </c>
      <c r="N1677" s="6" t="s">
        <v>2264</v>
      </c>
      <c r="O1677" s="6" t="s">
        <v>30</v>
      </c>
      <c r="P1677" s="2" t="s">
        <v>13057</v>
      </c>
    </row>
    <row r="1678" spans="1:16" ht="13.15" x14ac:dyDescent="0.4">
      <c r="A1678" s="2" t="s">
        <v>11141</v>
      </c>
      <c r="B1678" s="2" t="s">
        <v>5885</v>
      </c>
      <c r="C1678" s="6" t="s">
        <v>5879</v>
      </c>
      <c r="D1678" s="6" t="s">
        <v>42</v>
      </c>
      <c r="E1678" s="7">
        <v>44927</v>
      </c>
      <c r="F1678" s="8" t="s">
        <v>77</v>
      </c>
      <c r="G1678" s="2" t="s">
        <v>26</v>
      </c>
      <c r="H1678" s="8" t="s">
        <v>28</v>
      </c>
      <c r="I1678" s="2" t="s">
        <v>26</v>
      </c>
      <c r="J1678" s="7">
        <v>44927</v>
      </c>
      <c r="K1678" s="8" t="s">
        <v>77</v>
      </c>
      <c r="L1678" s="2" t="s">
        <v>26</v>
      </c>
      <c r="M1678" s="8" t="s">
        <v>28</v>
      </c>
      <c r="N1678" s="6" t="s">
        <v>2264</v>
      </c>
      <c r="O1678" s="6" t="s">
        <v>30</v>
      </c>
      <c r="P1678" s="2" t="s">
        <v>13058</v>
      </c>
    </row>
    <row r="1679" spans="1:16" ht="13.15" x14ac:dyDescent="0.4">
      <c r="A1679" s="2" t="s">
        <v>6665</v>
      </c>
      <c r="B1679" s="2" t="s">
        <v>5885</v>
      </c>
      <c r="C1679" s="6" t="s">
        <v>5879</v>
      </c>
      <c r="D1679" s="6" t="s">
        <v>42</v>
      </c>
      <c r="E1679" s="7">
        <v>44927</v>
      </c>
      <c r="F1679" s="8" t="s">
        <v>77</v>
      </c>
      <c r="G1679" s="2" t="s">
        <v>26</v>
      </c>
      <c r="H1679" s="8" t="s">
        <v>28</v>
      </c>
      <c r="I1679" s="2" t="s">
        <v>26</v>
      </c>
      <c r="J1679" s="7">
        <v>44927</v>
      </c>
      <c r="K1679" s="8" t="s">
        <v>77</v>
      </c>
      <c r="L1679" s="2" t="s">
        <v>26</v>
      </c>
      <c r="M1679" s="8" t="s">
        <v>28</v>
      </c>
      <c r="N1679" s="6" t="s">
        <v>2264</v>
      </c>
      <c r="O1679" s="6" t="s">
        <v>30</v>
      </c>
      <c r="P1679" s="2" t="s">
        <v>13059</v>
      </c>
    </row>
    <row r="1680" spans="1:16" ht="13.15" x14ac:dyDescent="0.4">
      <c r="A1680" s="2" t="s">
        <v>11155</v>
      </c>
      <c r="B1680" s="2" t="s">
        <v>5885</v>
      </c>
      <c r="C1680" s="6" t="s">
        <v>5879</v>
      </c>
      <c r="D1680" s="6" t="s">
        <v>42</v>
      </c>
      <c r="E1680" s="7">
        <v>44927</v>
      </c>
      <c r="F1680" s="8" t="s">
        <v>77</v>
      </c>
      <c r="G1680" s="2" t="s">
        <v>26</v>
      </c>
      <c r="H1680" s="8" t="s">
        <v>28</v>
      </c>
      <c r="I1680" s="2" t="s">
        <v>26</v>
      </c>
      <c r="J1680" s="7">
        <v>44927</v>
      </c>
      <c r="K1680" s="8" t="s">
        <v>77</v>
      </c>
      <c r="L1680" s="2" t="s">
        <v>26</v>
      </c>
      <c r="M1680" s="8" t="s">
        <v>28</v>
      </c>
      <c r="N1680" s="6" t="s">
        <v>2264</v>
      </c>
      <c r="O1680" s="6" t="s">
        <v>30</v>
      </c>
      <c r="P1680" s="2" t="s">
        <v>13060</v>
      </c>
    </row>
    <row r="1681" spans="1:16" ht="13.15" x14ac:dyDescent="0.4">
      <c r="A1681" s="2" t="s">
        <v>11177</v>
      </c>
      <c r="B1681" s="2" t="s">
        <v>5885</v>
      </c>
      <c r="C1681" s="6" t="s">
        <v>5879</v>
      </c>
      <c r="D1681" s="6" t="s">
        <v>42</v>
      </c>
      <c r="E1681" s="7">
        <v>44927</v>
      </c>
      <c r="F1681" s="8" t="s">
        <v>77</v>
      </c>
      <c r="G1681" s="2" t="s">
        <v>26</v>
      </c>
      <c r="H1681" s="8" t="s">
        <v>28</v>
      </c>
      <c r="I1681" s="2" t="s">
        <v>26</v>
      </c>
      <c r="J1681" s="7">
        <v>44927</v>
      </c>
      <c r="K1681" s="8" t="s">
        <v>77</v>
      </c>
      <c r="L1681" s="2" t="s">
        <v>26</v>
      </c>
      <c r="M1681" s="8" t="s">
        <v>28</v>
      </c>
      <c r="N1681" s="6" t="s">
        <v>2264</v>
      </c>
      <c r="O1681" s="6" t="s">
        <v>30</v>
      </c>
      <c r="P1681" s="2" t="s">
        <v>13061</v>
      </c>
    </row>
    <row r="1682" spans="1:16" ht="13.15" x14ac:dyDescent="0.4">
      <c r="A1682" s="2" t="s">
        <v>11178</v>
      </c>
      <c r="B1682" s="2" t="s">
        <v>5885</v>
      </c>
      <c r="C1682" s="6" t="s">
        <v>5879</v>
      </c>
      <c r="D1682" s="6" t="s">
        <v>42</v>
      </c>
      <c r="E1682" s="7">
        <v>44927</v>
      </c>
      <c r="F1682" s="8" t="s">
        <v>77</v>
      </c>
      <c r="G1682" s="2" t="s">
        <v>26</v>
      </c>
      <c r="H1682" s="8" t="s">
        <v>28</v>
      </c>
      <c r="I1682" s="2" t="s">
        <v>26</v>
      </c>
      <c r="J1682" s="7">
        <v>44927</v>
      </c>
      <c r="K1682" s="8" t="s">
        <v>77</v>
      </c>
      <c r="L1682" s="2" t="s">
        <v>26</v>
      </c>
      <c r="M1682" s="8" t="s">
        <v>28</v>
      </c>
      <c r="N1682" s="6" t="s">
        <v>2264</v>
      </c>
      <c r="O1682" s="6" t="s">
        <v>30</v>
      </c>
      <c r="P1682" s="2" t="s">
        <v>13062</v>
      </c>
    </row>
    <row r="1683" spans="1:16" ht="13.15" x14ac:dyDescent="0.4">
      <c r="A1683" s="2" t="s">
        <v>11207</v>
      </c>
      <c r="B1683" s="2" t="s">
        <v>5885</v>
      </c>
      <c r="C1683" s="6" t="s">
        <v>5879</v>
      </c>
      <c r="D1683" s="6" t="s">
        <v>42</v>
      </c>
      <c r="E1683" s="7">
        <v>44927</v>
      </c>
      <c r="F1683" s="8" t="s">
        <v>77</v>
      </c>
      <c r="G1683" s="2" t="s">
        <v>26</v>
      </c>
      <c r="H1683" s="8" t="s">
        <v>28</v>
      </c>
      <c r="I1683" s="2" t="s">
        <v>26</v>
      </c>
      <c r="J1683" s="7">
        <v>44927</v>
      </c>
      <c r="K1683" s="8" t="s">
        <v>77</v>
      </c>
      <c r="L1683" s="2" t="s">
        <v>26</v>
      </c>
      <c r="M1683" s="8" t="s">
        <v>28</v>
      </c>
      <c r="N1683" s="6" t="s">
        <v>2264</v>
      </c>
      <c r="O1683" s="6" t="s">
        <v>30</v>
      </c>
      <c r="P1683" s="2" t="s">
        <v>13063</v>
      </c>
    </row>
    <row r="1684" spans="1:16" ht="13.15" x14ac:dyDescent="0.4">
      <c r="A1684" s="2" t="s">
        <v>11153</v>
      </c>
      <c r="B1684" s="2" t="s">
        <v>5885</v>
      </c>
      <c r="C1684" s="6" t="s">
        <v>5879</v>
      </c>
      <c r="D1684" s="6" t="s">
        <v>42</v>
      </c>
      <c r="E1684" s="7">
        <v>44927</v>
      </c>
      <c r="F1684" s="8" t="s">
        <v>77</v>
      </c>
      <c r="G1684" s="2" t="s">
        <v>26</v>
      </c>
      <c r="H1684" s="8" t="s">
        <v>28</v>
      </c>
      <c r="I1684" s="2" t="s">
        <v>26</v>
      </c>
      <c r="J1684" s="7">
        <v>44927</v>
      </c>
      <c r="K1684" s="8" t="s">
        <v>77</v>
      </c>
      <c r="L1684" s="2" t="s">
        <v>26</v>
      </c>
      <c r="M1684" s="8" t="s">
        <v>28</v>
      </c>
      <c r="N1684" s="6" t="s">
        <v>2264</v>
      </c>
      <c r="O1684" s="6" t="s">
        <v>30</v>
      </c>
      <c r="P1684" s="2" t="s">
        <v>13064</v>
      </c>
    </row>
    <row r="1685" spans="1:16" ht="13.15" x14ac:dyDescent="0.4">
      <c r="A1685" s="2" t="s">
        <v>11157</v>
      </c>
      <c r="B1685" s="2" t="s">
        <v>5885</v>
      </c>
      <c r="C1685" s="6" t="s">
        <v>5879</v>
      </c>
      <c r="D1685" s="6" t="s">
        <v>42</v>
      </c>
      <c r="E1685" s="7">
        <v>44927</v>
      </c>
      <c r="F1685" s="8" t="s">
        <v>77</v>
      </c>
      <c r="G1685" s="2" t="s">
        <v>26</v>
      </c>
      <c r="H1685" s="8" t="s">
        <v>28</v>
      </c>
      <c r="I1685" s="2" t="s">
        <v>26</v>
      </c>
      <c r="J1685" s="7">
        <v>44927</v>
      </c>
      <c r="K1685" s="8" t="s">
        <v>77</v>
      </c>
      <c r="L1685" s="2" t="s">
        <v>26</v>
      </c>
      <c r="M1685" s="8" t="s">
        <v>28</v>
      </c>
      <c r="N1685" s="6" t="s">
        <v>2264</v>
      </c>
      <c r="O1685" s="6" t="s">
        <v>30</v>
      </c>
      <c r="P1685" s="2" t="s">
        <v>13065</v>
      </c>
    </row>
    <row r="1686" spans="1:16" ht="13.15" x14ac:dyDescent="0.4">
      <c r="A1686" s="2" t="s">
        <v>11162</v>
      </c>
      <c r="B1686" s="2" t="s">
        <v>5885</v>
      </c>
      <c r="C1686" s="6" t="s">
        <v>5879</v>
      </c>
      <c r="D1686" s="6" t="s">
        <v>42</v>
      </c>
      <c r="E1686" s="7">
        <v>44927</v>
      </c>
      <c r="F1686" s="8" t="s">
        <v>77</v>
      </c>
      <c r="G1686" s="2" t="s">
        <v>26</v>
      </c>
      <c r="H1686" s="8" t="s">
        <v>28</v>
      </c>
      <c r="I1686" s="2" t="s">
        <v>26</v>
      </c>
      <c r="J1686" s="7">
        <v>44927</v>
      </c>
      <c r="K1686" s="8" t="s">
        <v>77</v>
      </c>
      <c r="L1686" s="2" t="s">
        <v>26</v>
      </c>
      <c r="M1686" s="8" t="s">
        <v>28</v>
      </c>
      <c r="N1686" s="6" t="s">
        <v>2264</v>
      </c>
      <c r="O1686" s="6" t="s">
        <v>30</v>
      </c>
      <c r="P1686" s="2" t="s">
        <v>13066</v>
      </c>
    </row>
    <row r="1687" spans="1:16" ht="13.15" x14ac:dyDescent="0.4">
      <c r="A1687" s="2" t="s">
        <v>11197</v>
      </c>
      <c r="B1687" s="2" t="s">
        <v>5885</v>
      </c>
      <c r="C1687" s="6" t="s">
        <v>5879</v>
      </c>
      <c r="D1687" s="6" t="s">
        <v>42</v>
      </c>
      <c r="E1687" s="7">
        <v>44927</v>
      </c>
      <c r="F1687" s="8" t="s">
        <v>77</v>
      </c>
      <c r="G1687" s="2" t="s">
        <v>26</v>
      </c>
      <c r="H1687" s="8" t="s">
        <v>28</v>
      </c>
      <c r="I1687" s="2" t="s">
        <v>26</v>
      </c>
      <c r="J1687" s="7">
        <v>44927</v>
      </c>
      <c r="K1687" s="8" t="s">
        <v>77</v>
      </c>
      <c r="L1687" s="2" t="s">
        <v>26</v>
      </c>
      <c r="M1687" s="8" t="s">
        <v>28</v>
      </c>
      <c r="N1687" s="6" t="s">
        <v>2264</v>
      </c>
      <c r="O1687" s="6" t="s">
        <v>30</v>
      </c>
      <c r="P1687" s="2" t="s">
        <v>13067</v>
      </c>
    </row>
    <row r="1688" spans="1:16" ht="13.15" x14ac:dyDescent="0.4">
      <c r="A1688" s="2" t="s">
        <v>11172</v>
      </c>
      <c r="B1688" s="2" t="s">
        <v>5885</v>
      </c>
      <c r="C1688" s="6" t="s">
        <v>5879</v>
      </c>
      <c r="D1688" s="6" t="s">
        <v>42</v>
      </c>
      <c r="E1688" s="7">
        <v>44927</v>
      </c>
      <c r="F1688" s="8" t="s">
        <v>77</v>
      </c>
      <c r="G1688" s="2" t="s">
        <v>26</v>
      </c>
      <c r="H1688" s="8" t="s">
        <v>28</v>
      </c>
      <c r="I1688" s="2" t="s">
        <v>26</v>
      </c>
      <c r="J1688" s="7">
        <v>44927</v>
      </c>
      <c r="K1688" s="8" t="s">
        <v>77</v>
      </c>
      <c r="L1688" s="2" t="s">
        <v>26</v>
      </c>
      <c r="M1688" s="8" t="s">
        <v>28</v>
      </c>
      <c r="N1688" s="6" t="s">
        <v>2264</v>
      </c>
      <c r="O1688" s="6" t="s">
        <v>30</v>
      </c>
      <c r="P1688" s="2" t="s">
        <v>13068</v>
      </c>
    </row>
    <row r="1689" spans="1:16" ht="13.15" x14ac:dyDescent="0.4">
      <c r="A1689" s="2" t="s">
        <v>11204</v>
      </c>
      <c r="B1689" s="2" t="s">
        <v>5885</v>
      </c>
      <c r="C1689" s="6" t="s">
        <v>5879</v>
      </c>
      <c r="D1689" s="6" t="s">
        <v>42</v>
      </c>
      <c r="E1689" s="7">
        <v>44927</v>
      </c>
      <c r="F1689" s="8" t="s">
        <v>77</v>
      </c>
      <c r="G1689" s="2" t="s">
        <v>26</v>
      </c>
      <c r="H1689" s="8" t="s">
        <v>28</v>
      </c>
      <c r="I1689" s="2" t="s">
        <v>26</v>
      </c>
      <c r="J1689" s="7">
        <v>44927</v>
      </c>
      <c r="K1689" s="8" t="s">
        <v>77</v>
      </c>
      <c r="L1689" s="2" t="s">
        <v>26</v>
      </c>
      <c r="M1689" s="8" t="s">
        <v>28</v>
      </c>
      <c r="N1689" s="6" t="s">
        <v>2264</v>
      </c>
      <c r="O1689" s="6" t="s">
        <v>30</v>
      </c>
      <c r="P1689" s="2" t="s">
        <v>13069</v>
      </c>
    </row>
    <row r="1690" spans="1:16" ht="13.15" x14ac:dyDescent="0.4">
      <c r="A1690" s="2" t="s">
        <v>11212</v>
      </c>
      <c r="B1690" s="2" t="s">
        <v>5885</v>
      </c>
      <c r="C1690" s="6" t="s">
        <v>5879</v>
      </c>
      <c r="D1690" s="6" t="s">
        <v>42</v>
      </c>
      <c r="E1690" s="7">
        <v>44927</v>
      </c>
      <c r="F1690" s="8" t="s">
        <v>77</v>
      </c>
      <c r="G1690" s="2" t="s">
        <v>26</v>
      </c>
      <c r="H1690" s="8" t="s">
        <v>28</v>
      </c>
      <c r="I1690" s="2" t="s">
        <v>26</v>
      </c>
      <c r="J1690" s="7">
        <v>44927</v>
      </c>
      <c r="K1690" s="8" t="s">
        <v>77</v>
      </c>
      <c r="L1690" s="2" t="s">
        <v>26</v>
      </c>
      <c r="M1690" s="8" t="s">
        <v>28</v>
      </c>
      <c r="N1690" s="6" t="s">
        <v>2264</v>
      </c>
      <c r="O1690" s="6" t="s">
        <v>30</v>
      </c>
      <c r="P1690" s="2" t="s">
        <v>13070</v>
      </c>
    </row>
    <row r="1691" spans="1:16" ht="13.15" x14ac:dyDescent="0.4">
      <c r="A1691" s="2" t="s">
        <v>11161</v>
      </c>
      <c r="B1691" s="2" t="s">
        <v>5885</v>
      </c>
      <c r="C1691" s="6" t="s">
        <v>5879</v>
      </c>
      <c r="D1691" s="6" t="s">
        <v>42</v>
      </c>
      <c r="E1691" s="7">
        <v>44927</v>
      </c>
      <c r="F1691" s="8" t="s">
        <v>77</v>
      </c>
      <c r="G1691" s="2" t="s">
        <v>26</v>
      </c>
      <c r="H1691" s="8" t="s">
        <v>28</v>
      </c>
      <c r="I1691" s="2" t="s">
        <v>26</v>
      </c>
      <c r="J1691" s="7">
        <v>44927</v>
      </c>
      <c r="K1691" s="8" t="s">
        <v>77</v>
      </c>
      <c r="L1691" s="2" t="s">
        <v>26</v>
      </c>
      <c r="M1691" s="8" t="s">
        <v>28</v>
      </c>
      <c r="N1691" s="6" t="s">
        <v>2264</v>
      </c>
      <c r="O1691" s="6" t="s">
        <v>30</v>
      </c>
      <c r="P1691" s="2" t="s">
        <v>13071</v>
      </c>
    </row>
    <row r="1692" spans="1:16" ht="13.15" x14ac:dyDescent="0.4">
      <c r="A1692" s="2" t="s">
        <v>11116</v>
      </c>
      <c r="B1692" s="2" t="s">
        <v>5885</v>
      </c>
      <c r="C1692" s="6" t="s">
        <v>5879</v>
      </c>
      <c r="D1692" s="6" t="s">
        <v>42</v>
      </c>
      <c r="E1692" s="7">
        <v>44927</v>
      </c>
      <c r="F1692" s="8" t="s">
        <v>77</v>
      </c>
      <c r="G1692" s="2" t="s">
        <v>26</v>
      </c>
      <c r="H1692" s="8" t="s">
        <v>28</v>
      </c>
      <c r="I1692" s="2" t="s">
        <v>26</v>
      </c>
      <c r="J1692" s="7">
        <v>44927</v>
      </c>
      <c r="K1692" s="8" t="s">
        <v>77</v>
      </c>
      <c r="L1692" s="2" t="s">
        <v>26</v>
      </c>
      <c r="M1692" s="8" t="s">
        <v>28</v>
      </c>
      <c r="N1692" s="6" t="s">
        <v>2264</v>
      </c>
      <c r="O1692" s="6" t="s">
        <v>30</v>
      </c>
      <c r="P1692" s="2" t="s">
        <v>13072</v>
      </c>
    </row>
    <row r="1693" spans="1:16" ht="13.15" x14ac:dyDescent="0.4">
      <c r="A1693" s="2" t="s">
        <v>11196</v>
      </c>
      <c r="B1693" s="2" t="s">
        <v>5885</v>
      </c>
      <c r="C1693" s="6" t="s">
        <v>5879</v>
      </c>
      <c r="D1693" s="6" t="s">
        <v>42</v>
      </c>
      <c r="E1693" s="7">
        <v>44927</v>
      </c>
      <c r="F1693" s="8" t="s">
        <v>77</v>
      </c>
      <c r="G1693" s="2" t="s">
        <v>26</v>
      </c>
      <c r="H1693" s="8" t="s">
        <v>28</v>
      </c>
      <c r="I1693" s="2" t="s">
        <v>26</v>
      </c>
      <c r="J1693" s="7">
        <v>44927</v>
      </c>
      <c r="K1693" s="8" t="s">
        <v>77</v>
      </c>
      <c r="L1693" s="2" t="s">
        <v>26</v>
      </c>
      <c r="M1693" s="8" t="s">
        <v>28</v>
      </c>
      <c r="N1693" s="6" t="s">
        <v>2264</v>
      </c>
      <c r="O1693" s="6" t="s">
        <v>30</v>
      </c>
      <c r="P1693" s="2" t="s">
        <v>13073</v>
      </c>
    </row>
    <row r="1694" spans="1:16" ht="13.15" x14ac:dyDescent="0.4">
      <c r="A1694" s="2" t="s">
        <v>11152</v>
      </c>
      <c r="B1694" s="2" t="s">
        <v>5885</v>
      </c>
      <c r="C1694" s="6" t="s">
        <v>5879</v>
      </c>
      <c r="D1694" s="6" t="s">
        <v>42</v>
      </c>
      <c r="E1694" s="7">
        <v>44927</v>
      </c>
      <c r="F1694" s="8" t="s">
        <v>77</v>
      </c>
      <c r="G1694" s="2" t="s">
        <v>26</v>
      </c>
      <c r="H1694" s="8" t="s">
        <v>28</v>
      </c>
      <c r="I1694" s="2" t="s">
        <v>26</v>
      </c>
      <c r="J1694" s="7">
        <v>44927</v>
      </c>
      <c r="K1694" s="8" t="s">
        <v>77</v>
      </c>
      <c r="L1694" s="2" t="s">
        <v>26</v>
      </c>
      <c r="M1694" s="8" t="s">
        <v>28</v>
      </c>
      <c r="N1694" s="6" t="s">
        <v>2264</v>
      </c>
      <c r="O1694" s="6" t="s">
        <v>30</v>
      </c>
      <c r="P1694" s="2" t="s">
        <v>13074</v>
      </c>
    </row>
    <row r="1695" spans="1:16" ht="13.15" x14ac:dyDescent="0.4">
      <c r="A1695" s="2" t="s">
        <v>11199</v>
      </c>
      <c r="B1695" s="2" t="s">
        <v>5885</v>
      </c>
      <c r="C1695" s="6" t="s">
        <v>5879</v>
      </c>
      <c r="D1695" s="6" t="s">
        <v>42</v>
      </c>
      <c r="E1695" s="7">
        <v>44927</v>
      </c>
      <c r="F1695" s="8" t="s">
        <v>77</v>
      </c>
      <c r="G1695" s="2" t="s">
        <v>26</v>
      </c>
      <c r="H1695" s="8" t="s">
        <v>28</v>
      </c>
      <c r="I1695" s="2" t="s">
        <v>26</v>
      </c>
      <c r="J1695" s="7">
        <v>44927</v>
      </c>
      <c r="K1695" s="8" t="s">
        <v>77</v>
      </c>
      <c r="L1695" s="2" t="s">
        <v>26</v>
      </c>
      <c r="M1695" s="8" t="s">
        <v>28</v>
      </c>
      <c r="N1695" s="6" t="s">
        <v>2264</v>
      </c>
      <c r="O1695" s="6" t="s">
        <v>30</v>
      </c>
      <c r="P1695" s="2" t="s">
        <v>13075</v>
      </c>
    </row>
    <row r="1696" spans="1:16" ht="13.15" x14ac:dyDescent="0.4">
      <c r="A1696" s="2" t="s">
        <v>11213</v>
      </c>
      <c r="B1696" s="2" t="s">
        <v>5885</v>
      </c>
      <c r="C1696" s="6" t="s">
        <v>5879</v>
      </c>
      <c r="D1696" s="6" t="s">
        <v>42</v>
      </c>
      <c r="E1696" s="7">
        <v>44927</v>
      </c>
      <c r="F1696" s="8" t="s">
        <v>77</v>
      </c>
      <c r="G1696" s="2" t="s">
        <v>26</v>
      </c>
      <c r="H1696" s="8" t="s">
        <v>28</v>
      </c>
      <c r="I1696" s="2" t="s">
        <v>26</v>
      </c>
      <c r="J1696" s="7">
        <v>44927</v>
      </c>
      <c r="K1696" s="8" t="s">
        <v>77</v>
      </c>
      <c r="L1696" s="2" t="s">
        <v>26</v>
      </c>
      <c r="M1696" s="8" t="s">
        <v>28</v>
      </c>
      <c r="N1696" s="6" t="s">
        <v>2264</v>
      </c>
      <c r="O1696" s="6" t="s">
        <v>30</v>
      </c>
      <c r="P1696" s="2" t="s">
        <v>13076</v>
      </c>
    </row>
    <row r="1697" spans="1:16" ht="13.15" x14ac:dyDescent="0.4">
      <c r="A1697" s="2" t="s">
        <v>11094</v>
      </c>
      <c r="B1697" s="2" t="s">
        <v>5885</v>
      </c>
      <c r="C1697" s="6" t="s">
        <v>5879</v>
      </c>
      <c r="D1697" s="6" t="s">
        <v>42</v>
      </c>
      <c r="E1697" s="7">
        <v>44927</v>
      </c>
      <c r="F1697" s="8" t="s">
        <v>77</v>
      </c>
      <c r="G1697" s="2" t="s">
        <v>26</v>
      </c>
      <c r="H1697" s="8" t="s">
        <v>28</v>
      </c>
      <c r="I1697" s="2" t="s">
        <v>26</v>
      </c>
      <c r="J1697" s="7">
        <v>44927</v>
      </c>
      <c r="K1697" s="8" t="s">
        <v>77</v>
      </c>
      <c r="L1697" s="2" t="s">
        <v>26</v>
      </c>
      <c r="M1697" s="8" t="s">
        <v>28</v>
      </c>
      <c r="N1697" s="6" t="s">
        <v>2264</v>
      </c>
      <c r="O1697" s="6" t="s">
        <v>30</v>
      </c>
      <c r="P1697" s="2" t="s">
        <v>13077</v>
      </c>
    </row>
    <row r="1698" spans="1:16" ht="13.15" x14ac:dyDescent="0.4">
      <c r="A1698" s="2" t="s">
        <v>11127</v>
      </c>
      <c r="B1698" s="2" t="s">
        <v>5885</v>
      </c>
      <c r="C1698" s="6" t="s">
        <v>5879</v>
      </c>
      <c r="D1698" s="6" t="s">
        <v>42</v>
      </c>
      <c r="E1698" s="7">
        <v>44927</v>
      </c>
      <c r="F1698" s="8" t="s">
        <v>77</v>
      </c>
      <c r="G1698" s="2" t="s">
        <v>26</v>
      </c>
      <c r="H1698" s="8" t="s">
        <v>28</v>
      </c>
      <c r="I1698" s="2" t="s">
        <v>26</v>
      </c>
      <c r="J1698" s="7">
        <v>44927</v>
      </c>
      <c r="K1698" s="8" t="s">
        <v>77</v>
      </c>
      <c r="L1698" s="2" t="s">
        <v>26</v>
      </c>
      <c r="M1698" s="8" t="s">
        <v>28</v>
      </c>
      <c r="N1698" s="6" t="s">
        <v>2264</v>
      </c>
      <c r="O1698" s="6" t="s">
        <v>30</v>
      </c>
      <c r="P1698" s="2" t="s">
        <v>13078</v>
      </c>
    </row>
    <row r="1699" spans="1:16" ht="13.15" x14ac:dyDescent="0.4">
      <c r="A1699" s="2" t="s">
        <v>9801</v>
      </c>
      <c r="B1699" s="2" t="s">
        <v>5885</v>
      </c>
      <c r="C1699" s="6" t="s">
        <v>5879</v>
      </c>
      <c r="D1699" s="6" t="s">
        <v>42</v>
      </c>
      <c r="E1699" s="7">
        <v>44927</v>
      </c>
      <c r="F1699" s="8" t="s">
        <v>77</v>
      </c>
      <c r="G1699" s="2" t="s">
        <v>26</v>
      </c>
      <c r="H1699" s="8" t="s">
        <v>28</v>
      </c>
      <c r="I1699" s="2" t="s">
        <v>26</v>
      </c>
      <c r="J1699" s="7">
        <v>44927</v>
      </c>
      <c r="K1699" s="8" t="s">
        <v>77</v>
      </c>
      <c r="L1699" s="2" t="s">
        <v>26</v>
      </c>
      <c r="M1699" s="8" t="s">
        <v>28</v>
      </c>
      <c r="N1699" s="6" t="s">
        <v>2264</v>
      </c>
      <c r="O1699" s="6" t="s">
        <v>30</v>
      </c>
      <c r="P1699" s="2" t="s">
        <v>13079</v>
      </c>
    </row>
    <row r="1700" spans="1:16" ht="13.15" x14ac:dyDescent="0.4">
      <c r="A1700" s="2" t="s">
        <v>11176</v>
      </c>
      <c r="B1700" s="2" t="s">
        <v>5885</v>
      </c>
      <c r="C1700" s="6" t="s">
        <v>5879</v>
      </c>
      <c r="D1700" s="6" t="s">
        <v>42</v>
      </c>
      <c r="E1700" s="7">
        <v>44927</v>
      </c>
      <c r="F1700" s="8" t="s">
        <v>77</v>
      </c>
      <c r="G1700" s="2" t="s">
        <v>26</v>
      </c>
      <c r="H1700" s="8" t="s">
        <v>28</v>
      </c>
      <c r="I1700" s="2" t="s">
        <v>26</v>
      </c>
      <c r="J1700" s="7">
        <v>44927</v>
      </c>
      <c r="K1700" s="8" t="s">
        <v>77</v>
      </c>
      <c r="L1700" s="2" t="s">
        <v>26</v>
      </c>
      <c r="M1700" s="8" t="s">
        <v>28</v>
      </c>
      <c r="N1700" s="6" t="s">
        <v>2264</v>
      </c>
      <c r="O1700" s="6" t="s">
        <v>30</v>
      </c>
      <c r="P1700" s="2" t="s">
        <v>13080</v>
      </c>
    </row>
    <row r="1701" spans="1:16" ht="13.15" x14ac:dyDescent="0.4">
      <c r="A1701" s="2" t="s">
        <v>11214</v>
      </c>
      <c r="B1701" s="2" t="s">
        <v>5885</v>
      </c>
      <c r="C1701" s="6" t="s">
        <v>5879</v>
      </c>
      <c r="D1701" s="6" t="s">
        <v>42</v>
      </c>
      <c r="E1701" s="7">
        <v>44927</v>
      </c>
      <c r="F1701" s="8" t="s">
        <v>77</v>
      </c>
      <c r="G1701" s="2" t="s">
        <v>26</v>
      </c>
      <c r="H1701" s="8" t="s">
        <v>28</v>
      </c>
      <c r="I1701" s="2" t="s">
        <v>26</v>
      </c>
      <c r="J1701" s="7">
        <v>44927</v>
      </c>
      <c r="K1701" s="8" t="s">
        <v>77</v>
      </c>
      <c r="L1701" s="2" t="s">
        <v>26</v>
      </c>
      <c r="M1701" s="8" t="s">
        <v>28</v>
      </c>
      <c r="N1701" s="6" t="s">
        <v>2264</v>
      </c>
      <c r="O1701" s="6" t="s">
        <v>30</v>
      </c>
      <c r="P1701" s="2" t="s">
        <v>13081</v>
      </c>
    </row>
    <row r="1702" spans="1:16" ht="13.15" x14ac:dyDescent="0.4">
      <c r="A1702" s="2" t="s">
        <v>11154</v>
      </c>
      <c r="B1702" s="2" t="s">
        <v>5885</v>
      </c>
      <c r="C1702" s="6" t="s">
        <v>5879</v>
      </c>
      <c r="D1702" s="6" t="s">
        <v>42</v>
      </c>
      <c r="E1702" s="7">
        <v>44927</v>
      </c>
      <c r="F1702" s="8" t="s">
        <v>77</v>
      </c>
      <c r="G1702" s="2" t="s">
        <v>26</v>
      </c>
      <c r="H1702" s="8" t="s">
        <v>28</v>
      </c>
      <c r="I1702" s="2" t="s">
        <v>26</v>
      </c>
      <c r="J1702" s="7">
        <v>44927</v>
      </c>
      <c r="K1702" s="8" t="s">
        <v>77</v>
      </c>
      <c r="L1702" s="2" t="s">
        <v>26</v>
      </c>
      <c r="M1702" s="8" t="s">
        <v>28</v>
      </c>
      <c r="N1702" s="6" t="s">
        <v>2264</v>
      </c>
      <c r="O1702" s="6" t="s">
        <v>30</v>
      </c>
      <c r="P1702" s="2" t="s">
        <v>13082</v>
      </c>
    </row>
    <row r="1703" spans="1:16" ht="13.15" x14ac:dyDescent="0.4">
      <c r="A1703" s="2" t="s">
        <v>11080</v>
      </c>
      <c r="B1703" s="2" t="s">
        <v>5885</v>
      </c>
      <c r="C1703" s="6" t="s">
        <v>5879</v>
      </c>
      <c r="D1703" s="6" t="s">
        <v>42</v>
      </c>
      <c r="E1703" s="7">
        <v>44927</v>
      </c>
      <c r="F1703" s="8" t="s">
        <v>77</v>
      </c>
      <c r="G1703" s="2" t="s">
        <v>26</v>
      </c>
      <c r="H1703" s="8" t="s">
        <v>28</v>
      </c>
      <c r="I1703" s="2" t="s">
        <v>26</v>
      </c>
      <c r="J1703" s="7">
        <v>44927</v>
      </c>
      <c r="K1703" s="8" t="s">
        <v>77</v>
      </c>
      <c r="L1703" s="2" t="s">
        <v>26</v>
      </c>
      <c r="M1703" s="8" t="s">
        <v>28</v>
      </c>
      <c r="N1703" s="6" t="s">
        <v>2264</v>
      </c>
      <c r="O1703" s="6" t="s">
        <v>30</v>
      </c>
      <c r="P1703" s="2" t="s">
        <v>13083</v>
      </c>
    </row>
    <row r="1704" spans="1:16" ht="13.15" x14ac:dyDescent="0.4">
      <c r="A1704" s="2" t="s">
        <v>11146</v>
      </c>
      <c r="B1704" s="2" t="s">
        <v>5885</v>
      </c>
      <c r="C1704" s="6" t="s">
        <v>5879</v>
      </c>
      <c r="D1704" s="6" t="s">
        <v>42</v>
      </c>
      <c r="E1704" s="7">
        <v>44927</v>
      </c>
      <c r="F1704" s="8" t="s">
        <v>77</v>
      </c>
      <c r="G1704" s="2" t="s">
        <v>26</v>
      </c>
      <c r="H1704" s="8" t="s">
        <v>28</v>
      </c>
      <c r="I1704" s="2" t="s">
        <v>26</v>
      </c>
      <c r="J1704" s="7">
        <v>44927</v>
      </c>
      <c r="K1704" s="8" t="s">
        <v>77</v>
      </c>
      <c r="L1704" s="2" t="s">
        <v>26</v>
      </c>
      <c r="M1704" s="8" t="s">
        <v>28</v>
      </c>
      <c r="N1704" s="6" t="s">
        <v>2264</v>
      </c>
      <c r="O1704" s="6" t="s">
        <v>30</v>
      </c>
      <c r="P1704" s="2" t="s">
        <v>13084</v>
      </c>
    </row>
    <row r="1705" spans="1:16" ht="13.15" x14ac:dyDescent="0.4">
      <c r="A1705" s="2" t="s">
        <v>11211</v>
      </c>
      <c r="B1705" s="2" t="s">
        <v>5885</v>
      </c>
      <c r="C1705" s="6" t="s">
        <v>5879</v>
      </c>
      <c r="D1705" s="6" t="s">
        <v>42</v>
      </c>
      <c r="E1705" s="7">
        <v>44927</v>
      </c>
      <c r="F1705" s="8" t="s">
        <v>77</v>
      </c>
      <c r="G1705" s="2" t="s">
        <v>26</v>
      </c>
      <c r="H1705" s="8" t="s">
        <v>28</v>
      </c>
      <c r="I1705" s="2" t="s">
        <v>26</v>
      </c>
      <c r="J1705" s="7">
        <v>44927</v>
      </c>
      <c r="K1705" s="8" t="s">
        <v>77</v>
      </c>
      <c r="L1705" s="2" t="s">
        <v>26</v>
      </c>
      <c r="M1705" s="8" t="s">
        <v>28</v>
      </c>
      <c r="N1705" s="6" t="s">
        <v>2264</v>
      </c>
      <c r="O1705" s="6" t="s">
        <v>30</v>
      </c>
      <c r="P1705" s="2" t="s">
        <v>13085</v>
      </c>
    </row>
    <row r="1706" spans="1:16" ht="13.15" x14ac:dyDescent="0.4">
      <c r="A1706" s="2" t="s">
        <v>11180</v>
      </c>
      <c r="B1706" s="2" t="s">
        <v>5885</v>
      </c>
      <c r="C1706" s="6" t="s">
        <v>5879</v>
      </c>
      <c r="D1706" s="6" t="s">
        <v>42</v>
      </c>
      <c r="E1706" s="7">
        <v>44927</v>
      </c>
      <c r="F1706" s="8" t="s">
        <v>77</v>
      </c>
      <c r="G1706" s="2" t="s">
        <v>26</v>
      </c>
      <c r="H1706" s="8" t="s">
        <v>28</v>
      </c>
      <c r="I1706" s="2" t="s">
        <v>26</v>
      </c>
      <c r="J1706" s="7">
        <v>44927</v>
      </c>
      <c r="K1706" s="8" t="s">
        <v>77</v>
      </c>
      <c r="L1706" s="2" t="s">
        <v>26</v>
      </c>
      <c r="M1706" s="8" t="s">
        <v>28</v>
      </c>
      <c r="N1706" s="6" t="s">
        <v>2264</v>
      </c>
      <c r="O1706" s="6" t="s">
        <v>30</v>
      </c>
      <c r="P1706" s="2" t="s">
        <v>13086</v>
      </c>
    </row>
    <row r="1707" spans="1:16" ht="13.15" x14ac:dyDescent="0.4">
      <c r="A1707" s="2" t="s">
        <v>11030</v>
      </c>
      <c r="B1707" s="2" t="s">
        <v>5885</v>
      </c>
      <c r="C1707" s="6" t="s">
        <v>5879</v>
      </c>
      <c r="D1707" s="6" t="s">
        <v>42</v>
      </c>
      <c r="E1707" s="7">
        <v>44927</v>
      </c>
      <c r="F1707" s="8" t="s">
        <v>77</v>
      </c>
      <c r="G1707" s="2" t="s">
        <v>26</v>
      </c>
      <c r="H1707" s="8" t="s">
        <v>28</v>
      </c>
      <c r="I1707" s="2" t="s">
        <v>26</v>
      </c>
      <c r="J1707" s="7">
        <v>44927</v>
      </c>
      <c r="K1707" s="8" t="s">
        <v>77</v>
      </c>
      <c r="L1707" s="2" t="s">
        <v>26</v>
      </c>
      <c r="M1707" s="8" t="s">
        <v>28</v>
      </c>
      <c r="N1707" s="6" t="s">
        <v>2264</v>
      </c>
      <c r="O1707" s="6" t="s">
        <v>30</v>
      </c>
      <c r="P1707" s="2" t="s">
        <v>13087</v>
      </c>
    </row>
    <row r="1708" spans="1:16" ht="13.15" x14ac:dyDescent="0.4">
      <c r="A1708" s="2" t="s">
        <v>11165</v>
      </c>
      <c r="B1708" s="2" t="s">
        <v>5885</v>
      </c>
      <c r="C1708" s="6" t="s">
        <v>5879</v>
      </c>
      <c r="D1708" s="6" t="s">
        <v>42</v>
      </c>
      <c r="E1708" s="7">
        <v>44927</v>
      </c>
      <c r="F1708" s="8" t="s">
        <v>77</v>
      </c>
      <c r="G1708" s="2" t="s">
        <v>26</v>
      </c>
      <c r="H1708" s="8" t="s">
        <v>28</v>
      </c>
      <c r="I1708" s="2" t="s">
        <v>26</v>
      </c>
      <c r="J1708" s="7">
        <v>44927</v>
      </c>
      <c r="K1708" s="8" t="s">
        <v>77</v>
      </c>
      <c r="L1708" s="2" t="s">
        <v>26</v>
      </c>
      <c r="M1708" s="8" t="s">
        <v>28</v>
      </c>
      <c r="N1708" s="6" t="s">
        <v>2264</v>
      </c>
      <c r="O1708" s="6" t="s">
        <v>30</v>
      </c>
      <c r="P1708" s="2" t="s">
        <v>13088</v>
      </c>
    </row>
    <row r="1709" spans="1:16" ht="13.15" x14ac:dyDescent="0.4">
      <c r="A1709" s="2" t="s">
        <v>11186</v>
      </c>
      <c r="B1709" s="2" t="s">
        <v>5885</v>
      </c>
      <c r="C1709" s="6" t="s">
        <v>5879</v>
      </c>
      <c r="D1709" s="6" t="s">
        <v>42</v>
      </c>
      <c r="E1709" s="7">
        <v>44927</v>
      </c>
      <c r="F1709" s="8" t="s">
        <v>77</v>
      </c>
      <c r="G1709" s="2" t="s">
        <v>26</v>
      </c>
      <c r="H1709" s="8" t="s">
        <v>28</v>
      </c>
      <c r="I1709" s="2" t="s">
        <v>26</v>
      </c>
      <c r="J1709" s="7">
        <v>44927</v>
      </c>
      <c r="K1709" s="8" t="s">
        <v>77</v>
      </c>
      <c r="L1709" s="2" t="s">
        <v>26</v>
      </c>
      <c r="M1709" s="8" t="s">
        <v>28</v>
      </c>
      <c r="N1709" s="6" t="s">
        <v>2264</v>
      </c>
      <c r="O1709" s="6" t="s">
        <v>30</v>
      </c>
      <c r="P1709" s="2" t="s">
        <v>13089</v>
      </c>
    </row>
    <row r="1710" spans="1:16" ht="13.15" x14ac:dyDescent="0.4">
      <c r="A1710" s="2" t="s">
        <v>11138</v>
      </c>
      <c r="B1710" s="2" t="s">
        <v>5885</v>
      </c>
      <c r="C1710" s="6" t="s">
        <v>5879</v>
      </c>
      <c r="D1710" s="6" t="s">
        <v>42</v>
      </c>
      <c r="E1710" s="7">
        <v>44927</v>
      </c>
      <c r="F1710" s="8" t="s">
        <v>77</v>
      </c>
      <c r="G1710" s="2" t="s">
        <v>26</v>
      </c>
      <c r="H1710" s="8" t="s">
        <v>28</v>
      </c>
      <c r="I1710" s="2" t="s">
        <v>26</v>
      </c>
      <c r="J1710" s="7">
        <v>44927</v>
      </c>
      <c r="K1710" s="8" t="s">
        <v>77</v>
      </c>
      <c r="L1710" s="2" t="s">
        <v>26</v>
      </c>
      <c r="M1710" s="8" t="s">
        <v>28</v>
      </c>
      <c r="N1710" s="6" t="s">
        <v>2264</v>
      </c>
      <c r="O1710" s="6" t="s">
        <v>30</v>
      </c>
      <c r="P1710" s="2" t="s">
        <v>13090</v>
      </c>
    </row>
    <row r="1711" spans="1:16" ht="13.15" x14ac:dyDescent="0.4">
      <c r="A1711" s="2" t="s">
        <v>11125</v>
      </c>
      <c r="B1711" s="2" t="s">
        <v>5885</v>
      </c>
      <c r="C1711" s="6" t="s">
        <v>5879</v>
      </c>
      <c r="D1711" s="6" t="s">
        <v>42</v>
      </c>
      <c r="E1711" s="7">
        <v>44927</v>
      </c>
      <c r="F1711" s="8" t="s">
        <v>77</v>
      </c>
      <c r="G1711" s="2" t="s">
        <v>26</v>
      </c>
      <c r="H1711" s="8" t="s">
        <v>28</v>
      </c>
      <c r="I1711" s="2" t="s">
        <v>26</v>
      </c>
      <c r="J1711" s="7">
        <v>44927</v>
      </c>
      <c r="K1711" s="8" t="s">
        <v>77</v>
      </c>
      <c r="L1711" s="2" t="s">
        <v>26</v>
      </c>
      <c r="M1711" s="8" t="s">
        <v>28</v>
      </c>
      <c r="N1711" s="6" t="s">
        <v>2264</v>
      </c>
      <c r="O1711" s="6" t="s">
        <v>30</v>
      </c>
      <c r="P1711" s="2" t="s">
        <v>13091</v>
      </c>
    </row>
    <row r="1712" spans="1:16" ht="13.15" x14ac:dyDescent="0.4">
      <c r="A1712" s="2" t="s">
        <v>11124</v>
      </c>
      <c r="B1712" s="2" t="s">
        <v>5885</v>
      </c>
      <c r="C1712" s="6" t="s">
        <v>5879</v>
      </c>
      <c r="D1712" s="6" t="s">
        <v>42</v>
      </c>
      <c r="E1712" s="7">
        <v>44927</v>
      </c>
      <c r="F1712" s="8" t="s">
        <v>77</v>
      </c>
      <c r="G1712" s="2" t="s">
        <v>26</v>
      </c>
      <c r="H1712" s="8" t="s">
        <v>28</v>
      </c>
      <c r="I1712" s="2" t="s">
        <v>26</v>
      </c>
      <c r="J1712" s="7">
        <v>44927</v>
      </c>
      <c r="K1712" s="8" t="s">
        <v>77</v>
      </c>
      <c r="L1712" s="2" t="s">
        <v>26</v>
      </c>
      <c r="M1712" s="8" t="s">
        <v>28</v>
      </c>
      <c r="N1712" s="6" t="s">
        <v>2264</v>
      </c>
      <c r="O1712" s="6" t="s">
        <v>30</v>
      </c>
      <c r="P1712" s="2" t="s">
        <v>13092</v>
      </c>
    </row>
    <row r="1713" spans="1:16" ht="13.15" x14ac:dyDescent="0.4">
      <c r="A1713" s="2" t="s">
        <v>11198</v>
      </c>
      <c r="B1713" s="2" t="s">
        <v>5885</v>
      </c>
      <c r="C1713" s="6" t="s">
        <v>5879</v>
      </c>
      <c r="D1713" s="6" t="s">
        <v>42</v>
      </c>
      <c r="E1713" s="7">
        <v>44927</v>
      </c>
      <c r="F1713" s="8" t="s">
        <v>77</v>
      </c>
      <c r="G1713" s="2" t="s">
        <v>26</v>
      </c>
      <c r="H1713" s="8" t="s">
        <v>28</v>
      </c>
      <c r="I1713" s="2" t="s">
        <v>26</v>
      </c>
      <c r="J1713" s="7">
        <v>44927</v>
      </c>
      <c r="K1713" s="8" t="s">
        <v>77</v>
      </c>
      <c r="L1713" s="2" t="s">
        <v>26</v>
      </c>
      <c r="M1713" s="8" t="s">
        <v>28</v>
      </c>
      <c r="N1713" s="6" t="s">
        <v>2264</v>
      </c>
      <c r="O1713" s="6" t="s">
        <v>30</v>
      </c>
      <c r="P1713" s="2" t="s">
        <v>13093</v>
      </c>
    </row>
    <row r="1714" spans="1:16" ht="13.15" x14ac:dyDescent="0.4">
      <c r="A1714" s="2" t="s">
        <v>11136</v>
      </c>
      <c r="B1714" s="2" t="s">
        <v>5885</v>
      </c>
      <c r="C1714" s="6" t="s">
        <v>5879</v>
      </c>
      <c r="D1714" s="6" t="s">
        <v>42</v>
      </c>
      <c r="E1714" s="7">
        <v>44927</v>
      </c>
      <c r="F1714" s="8" t="s">
        <v>77</v>
      </c>
      <c r="G1714" s="2" t="s">
        <v>26</v>
      </c>
      <c r="H1714" s="8" t="s">
        <v>28</v>
      </c>
      <c r="I1714" s="2" t="s">
        <v>26</v>
      </c>
      <c r="J1714" s="7">
        <v>44927</v>
      </c>
      <c r="K1714" s="8" t="s">
        <v>77</v>
      </c>
      <c r="L1714" s="2" t="s">
        <v>26</v>
      </c>
      <c r="M1714" s="8" t="s">
        <v>28</v>
      </c>
      <c r="N1714" s="6" t="s">
        <v>2264</v>
      </c>
      <c r="O1714" s="6" t="s">
        <v>30</v>
      </c>
      <c r="P1714" s="2" t="s">
        <v>13094</v>
      </c>
    </row>
    <row r="1715" spans="1:16" ht="13.15" x14ac:dyDescent="0.4">
      <c r="A1715" s="2" t="s">
        <v>6713</v>
      </c>
      <c r="B1715" s="2" t="s">
        <v>5885</v>
      </c>
      <c r="C1715" s="6" t="s">
        <v>5879</v>
      </c>
      <c r="D1715" s="6" t="s">
        <v>42</v>
      </c>
      <c r="E1715" s="7">
        <v>44927</v>
      </c>
      <c r="F1715" s="8" t="s">
        <v>77</v>
      </c>
      <c r="G1715" s="2" t="s">
        <v>26</v>
      </c>
      <c r="H1715" s="8" t="s">
        <v>28</v>
      </c>
      <c r="I1715" s="2" t="s">
        <v>26</v>
      </c>
      <c r="J1715" s="7">
        <v>44927</v>
      </c>
      <c r="K1715" s="8" t="s">
        <v>77</v>
      </c>
      <c r="L1715" s="2" t="s">
        <v>26</v>
      </c>
      <c r="M1715" s="8" t="s">
        <v>28</v>
      </c>
      <c r="N1715" s="6" t="s">
        <v>2264</v>
      </c>
      <c r="O1715" s="6" t="s">
        <v>30</v>
      </c>
      <c r="P1715" s="2" t="s">
        <v>13095</v>
      </c>
    </row>
    <row r="1716" spans="1:16" ht="13.15" x14ac:dyDescent="0.4">
      <c r="A1716" s="2" t="s">
        <v>11129</v>
      </c>
      <c r="B1716" s="2" t="s">
        <v>5885</v>
      </c>
      <c r="C1716" s="6" t="s">
        <v>5879</v>
      </c>
      <c r="D1716" s="6" t="s">
        <v>42</v>
      </c>
      <c r="E1716" s="7">
        <v>44927</v>
      </c>
      <c r="F1716" s="8" t="s">
        <v>77</v>
      </c>
      <c r="G1716" s="2" t="s">
        <v>26</v>
      </c>
      <c r="H1716" s="8" t="s">
        <v>28</v>
      </c>
      <c r="I1716" s="2" t="s">
        <v>26</v>
      </c>
      <c r="J1716" s="7">
        <v>44927</v>
      </c>
      <c r="K1716" s="8" t="s">
        <v>77</v>
      </c>
      <c r="L1716" s="2" t="s">
        <v>26</v>
      </c>
      <c r="M1716" s="8" t="s">
        <v>28</v>
      </c>
      <c r="N1716" s="6" t="s">
        <v>2264</v>
      </c>
      <c r="O1716" s="6" t="s">
        <v>30</v>
      </c>
      <c r="P1716" s="2" t="s">
        <v>13096</v>
      </c>
    </row>
    <row r="1717" spans="1:16" ht="13.15" x14ac:dyDescent="0.4">
      <c r="A1717" s="2" t="s">
        <v>11099</v>
      </c>
      <c r="B1717" s="2" t="s">
        <v>5885</v>
      </c>
      <c r="C1717" s="6" t="s">
        <v>5879</v>
      </c>
      <c r="D1717" s="6" t="s">
        <v>42</v>
      </c>
      <c r="E1717" s="7">
        <v>44927</v>
      </c>
      <c r="F1717" s="8" t="s">
        <v>77</v>
      </c>
      <c r="G1717" s="2" t="s">
        <v>26</v>
      </c>
      <c r="H1717" s="8" t="s">
        <v>28</v>
      </c>
      <c r="I1717" s="2" t="s">
        <v>26</v>
      </c>
      <c r="J1717" s="7">
        <v>44927</v>
      </c>
      <c r="K1717" s="8" t="s">
        <v>77</v>
      </c>
      <c r="L1717" s="2" t="s">
        <v>26</v>
      </c>
      <c r="M1717" s="8" t="s">
        <v>28</v>
      </c>
      <c r="N1717" s="6" t="s">
        <v>2264</v>
      </c>
      <c r="O1717" s="6" t="s">
        <v>30</v>
      </c>
      <c r="P1717" s="2" t="s">
        <v>13097</v>
      </c>
    </row>
    <row r="1718" spans="1:16" ht="13.15" x14ac:dyDescent="0.4">
      <c r="A1718" s="2" t="s">
        <v>11140</v>
      </c>
      <c r="B1718" s="2" t="s">
        <v>5885</v>
      </c>
      <c r="C1718" s="6" t="s">
        <v>5879</v>
      </c>
      <c r="D1718" s="6" t="s">
        <v>42</v>
      </c>
      <c r="E1718" s="7">
        <v>44927</v>
      </c>
      <c r="F1718" s="8" t="s">
        <v>77</v>
      </c>
      <c r="G1718" s="2" t="s">
        <v>26</v>
      </c>
      <c r="H1718" s="8" t="s">
        <v>28</v>
      </c>
      <c r="I1718" s="2" t="s">
        <v>26</v>
      </c>
      <c r="J1718" s="7">
        <v>44927</v>
      </c>
      <c r="K1718" s="8" t="s">
        <v>77</v>
      </c>
      <c r="L1718" s="2" t="s">
        <v>26</v>
      </c>
      <c r="M1718" s="8" t="s">
        <v>28</v>
      </c>
      <c r="N1718" s="6" t="s">
        <v>2264</v>
      </c>
      <c r="O1718" s="6" t="s">
        <v>30</v>
      </c>
      <c r="P1718" s="2" t="s">
        <v>13098</v>
      </c>
    </row>
    <row r="1719" spans="1:16" ht="13.15" x14ac:dyDescent="0.4">
      <c r="A1719" s="2" t="s">
        <v>11096</v>
      </c>
      <c r="B1719" s="2" t="s">
        <v>5885</v>
      </c>
      <c r="C1719" s="6" t="s">
        <v>5879</v>
      </c>
      <c r="D1719" s="6" t="s">
        <v>42</v>
      </c>
      <c r="E1719" s="7">
        <v>44927</v>
      </c>
      <c r="F1719" s="8" t="s">
        <v>77</v>
      </c>
      <c r="G1719" s="2" t="s">
        <v>26</v>
      </c>
      <c r="H1719" s="8" t="s">
        <v>28</v>
      </c>
      <c r="I1719" s="2" t="s">
        <v>26</v>
      </c>
      <c r="J1719" s="7">
        <v>44927</v>
      </c>
      <c r="K1719" s="8" t="s">
        <v>77</v>
      </c>
      <c r="L1719" s="2" t="s">
        <v>26</v>
      </c>
      <c r="M1719" s="8" t="s">
        <v>28</v>
      </c>
      <c r="N1719" s="6" t="s">
        <v>2264</v>
      </c>
      <c r="O1719" s="6" t="s">
        <v>30</v>
      </c>
      <c r="P1719" s="2" t="s">
        <v>13099</v>
      </c>
    </row>
    <row r="1720" spans="1:16" ht="13.15" x14ac:dyDescent="0.4">
      <c r="A1720" s="2" t="s">
        <v>11037</v>
      </c>
      <c r="B1720" s="2" t="s">
        <v>5885</v>
      </c>
      <c r="C1720" s="6" t="s">
        <v>5879</v>
      </c>
      <c r="D1720" s="6" t="s">
        <v>42</v>
      </c>
      <c r="E1720" s="7">
        <v>44927</v>
      </c>
      <c r="F1720" s="8" t="s">
        <v>77</v>
      </c>
      <c r="G1720" s="2" t="s">
        <v>26</v>
      </c>
      <c r="H1720" s="8" t="s">
        <v>28</v>
      </c>
      <c r="I1720" s="2" t="s">
        <v>26</v>
      </c>
      <c r="J1720" s="7">
        <v>44927</v>
      </c>
      <c r="K1720" s="8" t="s">
        <v>77</v>
      </c>
      <c r="L1720" s="2" t="s">
        <v>26</v>
      </c>
      <c r="M1720" s="8" t="s">
        <v>28</v>
      </c>
      <c r="N1720" s="6" t="s">
        <v>2264</v>
      </c>
      <c r="O1720" s="6" t="s">
        <v>30</v>
      </c>
      <c r="P1720" s="2" t="s">
        <v>13100</v>
      </c>
    </row>
    <row r="1721" spans="1:16" ht="13.15" x14ac:dyDescent="0.4">
      <c r="A1721" s="2" t="s">
        <v>11159</v>
      </c>
      <c r="B1721" s="2" t="s">
        <v>5885</v>
      </c>
      <c r="C1721" s="6" t="s">
        <v>5879</v>
      </c>
      <c r="D1721" s="6" t="s">
        <v>42</v>
      </c>
      <c r="E1721" s="7">
        <v>44927</v>
      </c>
      <c r="F1721" s="8" t="s">
        <v>77</v>
      </c>
      <c r="G1721" s="2" t="s">
        <v>26</v>
      </c>
      <c r="H1721" s="8" t="s">
        <v>28</v>
      </c>
      <c r="I1721" s="2" t="s">
        <v>26</v>
      </c>
      <c r="J1721" s="7">
        <v>44927</v>
      </c>
      <c r="K1721" s="8" t="s">
        <v>77</v>
      </c>
      <c r="L1721" s="2" t="s">
        <v>26</v>
      </c>
      <c r="M1721" s="8" t="s">
        <v>28</v>
      </c>
      <c r="N1721" s="6" t="s">
        <v>2264</v>
      </c>
      <c r="O1721" s="6" t="s">
        <v>30</v>
      </c>
      <c r="P1721" s="2" t="s">
        <v>13101</v>
      </c>
    </row>
    <row r="1722" spans="1:16" ht="13.15" x14ac:dyDescent="0.4">
      <c r="A1722" s="2" t="s">
        <v>9850</v>
      </c>
      <c r="B1722" s="2" t="s">
        <v>5885</v>
      </c>
      <c r="C1722" s="6" t="s">
        <v>5879</v>
      </c>
      <c r="D1722" s="6" t="s">
        <v>42</v>
      </c>
      <c r="E1722" s="7">
        <v>44927</v>
      </c>
      <c r="F1722" s="8" t="s">
        <v>77</v>
      </c>
      <c r="G1722" s="2" t="s">
        <v>26</v>
      </c>
      <c r="H1722" s="8" t="s">
        <v>28</v>
      </c>
      <c r="I1722" s="2" t="s">
        <v>26</v>
      </c>
      <c r="J1722" s="7">
        <v>44927</v>
      </c>
      <c r="K1722" s="8" t="s">
        <v>77</v>
      </c>
      <c r="L1722" s="2" t="s">
        <v>26</v>
      </c>
      <c r="M1722" s="8" t="s">
        <v>28</v>
      </c>
      <c r="N1722" s="6" t="s">
        <v>2264</v>
      </c>
      <c r="O1722" s="6" t="s">
        <v>30</v>
      </c>
      <c r="P1722" s="2" t="s">
        <v>13102</v>
      </c>
    </row>
    <row r="1723" spans="1:16" ht="13.15" x14ac:dyDescent="0.4">
      <c r="A1723" s="2" t="s">
        <v>11076</v>
      </c>
      <c r="B1723" s="2" t="s">
        <v>5885</v>
      </c>
      <c r="C1723" s="6" t="s">
        <v>5879</v>
      </c>
      <c r="D1723" s="6" t="s">
        <v>42</v>
      </c>
      <c r="E1723" s="7">
        <v>44927</v>
      </c>
      <c r="F1723" s="8" t="s">
        <v>77</v>
      </c>
      <c r="G1723" s="2" t="s">
        <v>26</v>
      </c>
      <c r="H1723" s="8" t="s">
        <v>28</v>
      </c>
      <c r="I1723" s="2" t="s">
        <v>26</v>
      </c>
      <c r="J1723" s="7">
        <v>44927</v>
      </c>
      <c r="K1723" s="8" t="s">
        <v>77</v>
      </c>
      <c r="L1723" s="2" t="s">
        <v>26</v>
      </c>
      <c r="M1723" s="8" t="s">
        <v>28</v>
      </c>
      <c r="N1723" s="6" t="s">
        <v>2264</v>
      </c>
      <c r="O1723" s="6" t="s">
        <v>30</v>
      </c>
      <c r="P1723" s="2" t="s">
        <v>13103</v>
      </c>
    </row>
    <row r="1724" spans="1:16" ht="13.15" x14ac:dyDescent="0.4">
      <c r="A1724" s="2" t="s">
        <v>11008</v>
      </c>
      <c r="B1724" s="2" t="s">
        <v>5885</v>
      </c>
      <c r="C1724" s="6" t="s">
        <v>5879</v>
      </c>
      <c r="D1724" s="6" t="s">
        <v>42</v>
      </c>
      <c r="E1724" s="7">
        <v>44927</v>
      </c>
      <c r="F1724" s="8" t="s">
        <v>77</v>
      </c>
      <c r="G1724" s="2" t="s">
        <v>26</v>
      </c>
      <c r="H1724" s="8" t="s">
        <v>28</v>
      </c>
      <c r="I1724" s="2" t="s">
        <v>26</v>
      </c>
      <c r="J1724" s="7">
        <v>44927</v>
      </c>
      <c r="K1724" s="8" t="s">
        <v>77</v>
      </c>
      <c r="L1724" s="2" t="s">
        <v>26</v>
      </c>
      <c r="M1724" s="8" t="s">
        <v>28</v>
      </c>
      <c r="N1724" s="6" t="s">
        <v>2264</v>
      </c>
      <c r="O1724" s="6" t="s">
        <v>30</v>
      </c>
      <c r="P1724" s="2" t="s">
        <v>13104</v>
      </c>
    </row>
    <row r="1725" spans="1:16" ht="13.15" x14ac:dyDescent="0.4">
      <c r="A1725" s="2" t="s">
        <v>11183</v>
      </c>
      <c r="B1725" s="2" t="s">
        <v>5885</v>
      </c>
      <c r="C1725" s="6" t="s">
        <v>5879</v>
      </c>
      <c r="D1725" s="6" t="s">
        <v>42</v>
      </c>
      <c r="E1725" s="7">
        <v>44927</v>
      </c>
      <c r="F1725" s="8" t="s">
        <v>77</v>
      </c>
      <c r="G1725" s="2" t="s">
        <v>26</v>
      </c>
      <c r="H1725" s="8" t="s">
        <v>28</v>
      </c>
      <c r="I1725" s="2" t="s">
        <v>26</v>
      </c>
      <c r="J1725" s="7">
        <v>44927</v>
      </c>
      <c r="K1725" s="8" t="s">
        <v>77</v>
      </c>
      <c r="L1725" s="2" t="s">
        <v>26</v>
      </c>
      <c r="M1725" s="8" t="s">
        <v>28</v>
      </c>
      <c r="N1725" s="6" t="s">
        <v>2264</v>
      </c>
      <c r="O1725" s="6" t="s">
        <v>30</v>
      </c>
      <c r="P1725" s="2" t="s">
        <v>13105</v>
      </c>
    </row>
    <row r="1726" spans="1:16" ht="13.15" x14ac:dyDescent="0.4">
      <c r="A1726" s="2" t="s">
        <v>11003</v>
      </c>
      <c r="B1726" s="2" t="s">
        <v>5885</v>
      </c>
      <c r="C1726" s="6" t="s">
        <v>5879</v>
      </c>
      <c r="D1726" s="6" t="s">
        <v>42</v>
      </c>
      <c r="E1726" s="7">
        <v>44927</v>
      </c>
      <c r="F1726" s="8" t="s">
        <v>77</v>
      </c>
      <c r="G1726" s="2" t="s">
        <v>26</v>
      </c>
      <c r="H1726" s="8" t="s">
        <v>28</v>
      </c>
      <c r="I1726" s="2" t="s">
        <v>26</v>
      </c>
      <c r="J1726" s="7">
        <v>44927</v>
      </c>
      <c r="K1726" s="8" t="s">
        <v>77</v>
      </c>
      <c r="L1726" s="2" t="s">
        <v>26</v>
      </c>
      <c r="M1726" s="8" t="s">
        <v>28</v>
      </c>
      <c r="N1726" s="6" t="s">
        <v>2264</v>
      </c>
      <c r="O1726" s="6" t="s">
        <v>30</v>
      </c>
      <c r="P1726" s="2" t="s">
        <v>13106</v>
      </c>
    </row>
    <row r="1727" spans="1:16" ht="13.15" x14ac:dyDescent="0.4">
      <c r="A1727" s="2" t="s">
        <v>10976</v>
      </c>
      <c r="B1727" s="2" t="s">
        <v>5885</v>
      </c>
      <c r="C1727" s="6" t="s">
        <v>5879</v>
      </c>
      <c r="D1727" s="6" t="s">
        <v>42</v>
      </c>
      <c r="E1727" s="7">
        <v>44927</v>
      </c>
      <c r="F1727" s="8" t="s">
        <v>77</v>
      </c>
      <c r="G1727" s="2" t="s">
        <v>26</v>
      </c>
      <c r="H1727" s="8" t="s">
        <v>28</v>
      </c>
      <c r="I1727" s="2" t="s">
        <v>26</v>
      </c>
      <c r="J1727" s="7">
        <v>44927</v>
      </c>
      <c r="K1727" s="8" t="s">
        <v>77</v>
      </c>
      <c r="L1727" s="2" t="s">
        <v>26</v>
      </c>
      <c r="M1727" s="8" t="s">
        <v>28</v>
      </c>
      <c r="N1727" s="6" t="s">
        <v>2264</v>
      </c>
      <c r="O1727" s="6" t="s">
        <v>30</v>
      </c>
      <c r="P1727" s="2" t="s">
        <v>13107</v>
      </c>
    </row>
    <row r="1728" spans="1:16" ht="13.15" x14ac:dyDescent="0.4">
      <c r="A1728" s="2" t="s">
        <v>10955</v>
      </c>
      <c r="B1728" s="2" t="s">
        <v>5885</v>
      </c>
      <c r="C1728" s="6" t="s">
        <v>5879</v>
      </c>
      <c r="D1728" s="6" t="s">
        <v>42</v>
      </c>
      <c r="E1728" s="7">
        <v>44927</v>
      </c>
      <c r="F1728" s="8" t="s">
        <v>77</v>
      </c>
      <c r="G1728" s="2" t="s">
        <v>26</v>
      </c>
      <c r="H1728" s="8" t="s">
        <v>28</v>
      </c>
      <c r="I1728" s="2" t="s">
        <v>26</v>
      </c>
      <c r="J1728" s="7">
        <v>44927</v>
      </c>
      <c r="K1728" s="8" t="s">
        <v>77</v>
      </c>
      <c r="L1728" s="2" t="s">
        <v>26</v>
      </c>
      <c r="M1728" s="8" t="s">
        <v>28</v>
      </c>
      <c r="N1728" s="6" t="s">
        <v>2264</v>
      </c>
      <c r="O1728" s="6" t="s">
        <v>30</v>
      </c>
      <c r="P1728" s="2" t="s">
        <v>13108</v>
      </c>
    </row>
    <row r="1729" spans="1:16" ht="13.15" x14ac:dyDescent="0.4">
      <c r="A1729" s="2" t="s">
        <v>10940</v>
      </c>
      <c r="B1729" s="2" t="s">
        <v>5885</v>
      </c>
      <c r="C1729" s="6" t="s">
        <v>5879</v>
      </c>
      <c r="D1729" s="6" t="s">
        <v>42</v>
      </c>
      <c r="E1729" s="7">
        <v>44927</v>
      </c>
      <c r="F1729" s="8" t="s">
        <v>77</v>
      </c>
      <c r="G1729" s="2" t="s">
        <v>26</v>
      </c>
      <c r="H1729" s="8" t="s">
        <v>28</v>
      </c>
      <c r="I1729" s="2" t="s">
        <v>26</v>
      </c>
      <c r="J1729" s="7">
        <v>44927</v>
      </c>
      <c r="K1729" s="8" t="s">
        <v>77</v>
      </c>
      <c r="L1729" s="2" t="s">
        <v>26</v>
      </c>
      <c r="M1729" s="8" t="s">
        <v>28</v>
      </c>
      <c r="N1729" s="6" t="s">
        <v>2264</v>
      </c>
      <c r="O1729" s="6" t="s">
        <v>30</v>
      </c>
      <c r="P1729" s="2" t="s">
        <v>13109</v>
      </c>
    </row>
    <row r="1730" spans="1:16" ht="13.15" x14ac:dyDescent="0.4">
      <c r="A1730" s="2" t="s">
        <v>6776</v>
      </c>
      <c r="B1730" s="2" t="s">
        <v>5885</v>
      </c>
      <c r="C1730" s="6" t="s">
        <v>5879</v>
      </c>
      <c r="D1730" s="6" t="s">
        <v>42</v>
      </c>
      <c r="E1730" s="7">
        <v>44927</v>
      </c>
      <c r="F1730" s="8" t="s">
        <v>77</v>
      </c>
      <c r="G1730" s="2" t="s">
        <v>26</v>
      </c>
      <c r="H1730" s="8" t="s">
        <v>28</v>
      </c>
      <c r="I1730" s="2" t="s">
        <v>26</v>
      </c>
      <c r="J1730" s="7">
        <v>44927</v>
      </c>
      <c r="K1730" s="8" t="s">
        <v>77</v>
      </c>
      <c r="L1730" s="2" t="s">
        <v>26</v>
      </c>
      <c r="M1730" s="8" t="s">
        <v>28</v>
      </c>
      <c r="N1730" s="6" t="s">
        <v>2264</v>
      </c>
      <c r="O1730" s="6" t="s">
        <v>30</v>
      </c>
      <c r="P1730" s="2" t="s">
        <v>13110</v>
      </c>
    </row>
    <row r="1731" spans="1:16" ht="13.15" x14ac:dyDescent="0.4">
      <c r="A1731" s="2" t="s">
        <v>11202</v>
      </c>
      <c r="B1731" s="2" t="s">
        <v>5885</v>
      </c>
      <c r="C1731" s="6" t="s">
        <v>5879</v>
      </c>
      <c r="D1731" s="6" t="s">
        <v>42</v>
      </c>
      <c r="E1731" s="7">
        <v>44927</v>
      </c>
      <c r="F1731" s="8" t="s">
        <v>77</v>
      </c>
      <c r="G1731" s="2" t="s">
        <v>26</v>
      </c>
      <c r="H1731" s="8" t="s">
        <v>28</v>
      </c>
      <c r="I1731" s="2" t="s">
        <v>26</v>
      </c>
      <c r="J1731" s="7">
        <v>44927</v>
      </c>
      <c r="K1731" s="8" t="s">
        <v>77</v>
      </c>
      <c r="L1731" s="2" t="s">
        <v>26</v>
      </c>
      <c r="M1731" s="8" t="s">
        <v>28</v>
      </c>
      <c r="N1731" s="6" t="s">
        <v>2264</v>
      </c>
      <c r="O1731" s="6" t="s">
        <v>30</v>
      </c>
      <c r="P1731" s="2" t="s">
        <v>13111</v>
      </c>
    </row>
    <row r="1732" spans="1:16" ht="13.15" x14ac:dyDescent="0.4">
      <c r="A1732" s="2" t="s">
        <v>11000</v>
      </c>
      <c r="B1732" s="2" t="s">
        <v>5885</v>
      </c>
      <c r="C1732" s="6" t="s">
        <v>5879</v>
      </c>
      <c r="D1732" s="6" t="s">
        <v>42</v>
      </c>
      <c r="E1732" s="7">
        <v>44927</v>
      </c>
      <c r="F1732" s="8" t="s">
        <v>77</v>
      </c>
      <c r="G1732" s="2" t="s">
        <v>26</v>
      </c>
      <c r="H1732" s="8" t="s">
        <v>28</v>
      </c>
      <c r="I1732" s="2" t="s">
        <v>26</v>
      </c>
      <c r="J1732" s="7">
        <v>44927</v>
      </c>
      <c r="K1732" s="8" t="s">
        <v>77</v>
      </c>
      <c r="L1732" s="2" t="s">
        <v>26</v>
      </c>
      <c r="M1732" s="8" t="s">
        <v>28</v>
      </c>
      <c r="N1732" s="6" t="s">
        <v>2264</v>
      </c>
      <c r="O1732" s="6" t="s">
        <v>30</v>
      </c>
      <c r="P1732" s="2" t="s">
        <v>13112</v>
      </c>
    </row>
    <row r="1733" spans="1:16" ht="13.15" x14ac:dyDescent="0.4">
      <c r="A1733" s="2" t="s">
        <v>11158</v>
      </c>
      <c r="B1733" s="2" t="s">
        <v>5885</v>
      </c>
      <c r="C1733" s="6" t="s">
        <v>5879</v>
      </c>
      <c r="D1733" s="6" t="s">
        <v>42</v>
      </c>
      <c r="E1733" s="7">
        <v>44927</v>
      </c>
      <c r="F1733" s="8" t="s">
        <v>77</v>
      </c>
      <c r="G1733" s="2" t="s">
        <v>26</v>
      </c>
      <c r="H1733" s="8" t="s">
        <v>28</v>
      </c>
      <c r="I1733" s="2" t="s">
        <v>26</v>
      </c>
      <c r="J1733" s="7">
        <v>44927</v>
      </c>
      <c r="K1733" s="8" t="s">
        <v>77</v>
      </c>
      <c r="L1733" s="2" t="s">
        <v>26</v>
      </c>
      <c r="M1733" s="8" t="s">
        <v>28</v>
      </c>
      <c r="N1733" s="6" t="s">
        <v>2264</v>
      </c>
      <c r="O1733" s="6" t="s">
        <v>30</v>
      </c>
      <c r="P1733" s="2" t="s">
        <v>13113</v>
      </c>
    </row>
    <row r="1734" spans="1:16" ht="13.15" x14ac:dyDescent="0.4">
      <c r="A1734" s="2" t="s">
        <v>10974</v>
      </c>
      <c r="B1734" s="2" t="s">
        <v>5885</v>
      </c>
      <c r="C1734" s="6" t="s">
        <v>5879</v>
      </c>
      <c r="D1734" s="6" t="s">
        <v>42</v>
      </c>
      <c r="E1734" s="7">
        <v>44927</v>
      </c>
      <c r="F1734" s="8" t="s">
        <v>77</v>
      </c>
      <c r="G1734" s="2" t="s">
        <v>26</v>
      </c>
      <c r="H1734" s="8" t="s">
        <v>28</v>
      </c>
      <c r="I1734" s="2" t="s">
        <v>26</v>
      </c>
      <c r="J1734" s="7">
        <v>44927</v>
      </c>
      <c r="K1734" s="8" t="s">
        <v>77</v>
      </c>
      <c r="L1734" s="2" t="s">
        <v>26</v>
      </c>
      <c r="M1734" s="8" t="s">
        <v>28</v>
      </c>
      <c r="N1734" s="6" t="s">
        <v>2264</v>
      </c>
      <c r="O1734" s="6" t="s">
        <v>30</v>
      </c>
      <c r="P1734" s="2" t="s">
        <v>13114</v>
      </c>
    </row>
    <row r="1735" spans="1:16" ht="13.15" x14ac:dyDescent="0.4">
      <c r="A1735" s="2" t="s">
        <v>11034</v>
      </c>
      <c r="B1735" s="2" t="s">
        <v>5885</v>
      </c>
      <c r="C1735" s="6" t="s">
        <v>5879</v>
      </c>
      <c r="D1735" s="6" t="s">
        <v>42</v>
      </c>
      <c r="E1735" s="7">
        <v>44927</v>
      </c>
      <c r="F1735" s="8" t="s">
        <v>77</v>
      </c>
      <c r="G1735" s="2" t="s">
        <v>26</v>
      </c>
      <c r="H1735" s="8" t="s">
        <v>28</v>
      </c>
      <c r="I1735" s="2" t="s">
        <v>26</v>
      </c>
      <c r="J1735" s="7">
        <v>44927</v>
      </c>
      <c r="K1735" s="8" t="s">
        <v>77</v>
      </c>
      <c r="L1735" s="2" t="s">
        <v>26</v>
      </c>
      <c r="M1735" s="8" t="s">
        <v>28</v>
      </c>
      <c r="N1735" s="6" t="s">
        <v>2264</v>
      </c>
      <c r="O1735" s="6" t="s">
        <v>30</v>
      </c>
      <c r="P1735" s="2" t="s">
        <v>13115</v>
      </c>
    </row>
    <row r="1736" spans="1:16" ht="13.15" x14ac:dyDescent="0.4">
      <c r="A1736" s="2" t="s">
        <v>11014</v>
      </c>
      <c r="B1736" s="2" t="s">
        <v>5885</v>
      </c>
      <c r="C1736" s="6" t="s">
        <v>5879</v>
      </c>
      <c r="D1736" s="6" t="s">
        <v>42</v>
      </c>
      <c r="E1736" s="7">
        <v>44927</v>
      </c>
      <c r="F1736" s="8" t="s">
        <v>77</v>
      </c>
      <c r="G1736" s="2" t="s">
        <v>26</v>
      </c>
      <c r="H1736" s="8" t="s">
        <v>28</v>
      </c>
      <c r="I1736" s="2" t="s">
        <v>26</v>
      </c>
      <c r="J1736" s="7">
        <v>44927</v>
      </c>
      <c r="K1736" s="8" t="s">
        <v>77</v>
      </c>
      <c r="L1736" s="2" t="s">
        <v>26</v>
      </c>
      <c r="M1736" s="8" t="s">
        <v>28</v>
      </c>
      <c r="N1736" s="6" t="s">
        <v>2264</v>
      </c>
      <c r="O1736" s="6" t="s">
        <v>30</v>
      </c>
      <c r="P1736" s="2" t="s">
        <v>13116</v>
      </c>
    </row>
    <row r="1737" spans="1:16" ht="13.15" x14ac:dyDescent="0.4">
      <c r="A1737" s="2" t="s">
        <v>11108</v>
      </c>
      <c r="B1737" s="2" t="s">
        <v>5885</v>
      </c>
      <c r="C1737" s="6" t="s">
        <v>5879</v>
      </c>
      <c r="D1737" s="6" t="s">
        <v>42</v>
      </c>
      <c r="E1737" s="7">
        <v>44927</v>
      </c>
      <c r="F1737" s="8" t="s">
        <v>77</v>
      </c>
      <c r="G1737" s="2" t="s">
        <v>26</v>
      </c>
      <c r="H1737" s="8" t="s">
        <v>28</v>
      </c>
      <c r="I1737" s="2" t="s">
        <v>26</v>
      </c>
      <c r="J1737" s="7">
        <v>44927</v>
      </c>
      <c r="K1737" s="8" t="s">
        <v>77</v>
      </c>
      <c r="L1737" s="2" t="s">
        <v>26</v>
      </c>
      <c r="M1737" s="8" t="s">
        <v>28</v>
      </c>
      <c r="N1737" s="6" t="s">
        <v>2264</v>
      </c>
      <c r="O1737" s="6" t="s">
        <v>30</v>
      </c>
      <c r="P1737" s="2" t="s">
        <v>13117</v>
      </c>
    </row>
    <row r="1738" spans="1:16" ht="13.15" x14ac:dyDescent="0.4">
      <c r="A1738" s="2" t="s">
        <v>10943</v>
      </c>
      <c r="B1738" s="2" t="s">
        <v>5885</v>
      </c>
      <c r="C1738" s="6" t="s">
        <v>5879</v>
      </c>
      <c r="D1738" s="6" t="s">
        <v>42</v>
      </c>
      <c r="E1738" s="7">
        <v>44927</v>
      </c>
      <c r="F1738" s="8" t="s">
        <v>77</v>
      </c>
      <c r="G1738" s="2" t="s">
        <v>26</v>
      </c>
      <c r="H1738" s="8" t="s">
        <v>28</v>
      </c>
      <c r="I1738" s="2" t="s">
        <v>26</v>
      </c>
      <c r="J1738" s="7">
        <v>44927</v>
      </c>
      <c r="K1738" s="8" t="s">
        <v>77</v>
      </c>
      <c r="L1738" s="2" t="s">
        <v>26</v>
      </c>
      <c r="M1738" s="8" t="s">
        <v>28</v>
      </c>
      <c r="N1738" s="6" t="s">
        <v>2264</v>
      </c>
      <c r="O1738" s="6" t="s">
        <v>30</v>
      </c>
      <c r="P1738" s="2" t="s">
        <v>13118</v>
      </c>
    </row>
    <row r="1739" spans="1:16" ht="13.15" x14ac:dyDescent="0.4">
      <c r="A1739" s="2" t="s">
        <v>10957</v>
      </c>
      <c r="B1739" s="2" t="s">
        <v>5885</v>
      </c>
      <c r="C1739" s="6" t="s">
        <v>5879</v>
      </c>
      <c r="D1739" s="6" t="s">
        <v>42</v>
      </c>
      <c r="E1739" s="7">
        <v>44927</v>
      </c>
      <c r="F1739" s="8" t="s">
        <v>77</v>
      </c>
      <c r="G1739" s="2" t="s">
        <v>26</v>
      </c>
      <c r="H1739" s="8" t="s">
        <v>28</v>
      </c>
      <c r="I1739" s="2" t="s">
        <v>26</v>
      </c>
      <c r="J1739" s="7">
        <v>44927</v>
      </c>
      <c r="K1739" s="8" t="s">
        <v>77</v>
      </c>
      <c r="L1739" s="2" t="s">
        <v>26</v>
      </c>
      <c r="M1739" s="8" t="s">
        <v>28</v>
      </c>
      <c r="N1739" s="6" t="s">
        <v>2264</v>
      </c>
      <c r="O1739" s="6" t="s">
        <v>30</v>
      </c>
      <c r="P1739" s="2" t="s">
        <v>13119</v>
      </c>
    </row>
    <row r="1740" spans="1:16" ht="13.15" x14ac:dyDescent="0.4">
      <c r="A1740" s="2" t="s">
        <v>10962</v>
      </c>
      <c r="B1740" s="2" t="s">
        <v>5885</v>
      </c>
      <c r="C1740" s="6" t="s">
        <v>5879</v>
      </c>
      <c r="D1740" s="6" t="s">
        <v>42</v>
      </c>
      <c r="E1740" s="7">
        <v>44927</v>
      </c>
      <c r="F1740" s="8" t="s">
        <v>77</v>
      </c>
      <c r="G1740" s="2" t="s">
        <v>26</v>
      </c>
      <c r="H1740" s="8" t="s">
        <v>28</v>
      </c>
      <c r="I1740" s="2" t="s">
        <v>26</v>
      </c>
      <c r="J1740" s="7">
        <v>44927</v>
      </c>
      <c r="K1740" s="8" t="s">
        <v>77</v>
      </c>
      <c r="L1740" s="2" t="s">
        <v>26</v>
      </c>
      <c r="M1740" s="8" t="s">
        <v>28</v>
      </c>
      <c r="N1740" s="6" t="s">
        <v>2264</v>
      </c>
      <c r="O1740" s="6" t="s">
        <v>30</v>
      </c>
      <c r="P1740" s="2" t="s">
        <v>13120</v>
      </c>
    </row>
    <row r="1741" spans="1:16" ht="13.15" x14ac:dyDescent="0.4">
      <c r="A1741" s="2" t="s">
        <v>11079</v>
      </c>
      <c r="B1741" s="2" t="s">
        <v>5885</v>
      </c>
      <c r="C1741" s="6" t="s">
        <v>5879</v>
      </c>
      <c r="D1741" s="6" t="s">
        <v>42</v>
      </c>
      <c r="E1741" s="7">
        <v>44927</v>
      </c>
      <c r="F1741" s="8" t="s">
        <v>77</v>
      </c>
      <c r="G1741" s="2" t="s">
        <v>26</v>
      </c>
      <c r="H1741" s="8" t="s">
        <v>28</v>
      </c>
      <c r="I1741" s="2" t="s">
        <v>26</v>
      </c>
      <c r="J1741" s="7">
        <v>44927</v>
      </c>
      <c r="K1741" s="8" t="s">
        <v>77</v>
      </c>
      <c r="L1741" s="2" t="s">
        <v>26</v>
      </c>
      <c r="M1741" s="8" t="s">
        <v>28</v>
      </c>
      <c r="N1741" s="6" t="s">
        <v>2264</v>
      </c>
      <c r="O1741" s="6" t="s">
        <v>30</v>
      </c>
      <c r="P1741" s="2" t="s">
        <v>13121</v>
      </c>
    </row>
    <row r="1742" spans="1:16" ht="13.15" x14ac:dyDescent="0.4">
      <c r="A1742" s="2" t="s">
        <v>10970</v>
      </c>
      <c r="B1742" s="2" t="s">
        <v>5885</v>
      </c>
      <c r="C1742" s="6" t="s">
        <v>5879</v>
      </c>
      <c r="D1742" s="6" t="s">
        <v>42</v>
      </c>
      <c r="E1742" s="7">
        <v>44927</v>
      </c>
      <c r="F1742" s="8" t="s">
        <v>77</v>
      </c>
      <c r="G1742" s="2" t="s">
        <v>26</v>
      </c>
      <c r="H1742" s="8" t="s">
        <v>28</v>
      </c>
      <c r="I1742" s="2" t="s">
        <v>26</v>
      </c>
      <c r="J1742" s="7">
        <v>44927</v>
      </c>
      <c r="K1742" s="8" t="s">
        <v>77</v>
      </c>
      <c r="L1742" s="2" t="s">
        <v>26</v>
      </c>
      <c r="M1742" s="8" t="s">
        <v>28</v>
      </c>
      <c r="N1742" s="6" t="s">
        <v>2264</v>
      </c>
      <c r="O1742" s="6" t="s">
        <v>30</v>
      </c>
      <c r="P1742" s="2" t="s">
        <v>13122</v>
      </c>
    </row>
    <row r="1743" spans="1:16" ht="13.15" x14ac:dyDescent="0.4">
      <c r="A1743" s="2" t="s">
        <v>6813</v>
      </c>
      <c r="B1743" s="2" t="s">
        <v>5885</v>
      </c>
      <c r="C1743" s="6" t="s">
        <v>5879</v>
      </c>
      <c r="D1743" s="6" t="s">
        <v>42</v>
      </c>
      <c r="E1743" s="7">
        <v>44927</v>
      </c>
      <c r="F1743" s="8" t="s">
        <v>77</v>
      </c>
      <c r="G1743" s="2" t="s">
        <v>26</v>
      </c>
      <c r="H1743" s="8" t="s">
        <v>28</v>
      </c>
      <c r="I1743" s="2" t="s">
        <v>26</v>
      </c>
      <c r="J1743" s="7">
        <v>44927</v>
      </c>
      <c r="K1743" s="8" t="s">
        <v>77</v>
      </c>
      <c r="L1743" s="2" t="s">
        <v>26</v>
      </c>
      <c r="M1743" s="8" t="s">
        <v>28</v>
      </c>
      <c r="N1743" s="6" t="s">
        <v>2264</v>
      </c>
      <c r="O1743" s="6" t="s">
        <v>30</v>
      </c>
      <c r="P1743" s="2" t="s">
        <v>13123</v>
      </c>
    </row>
    <row r="1744" spans="1:16" ht="13.15" x14ac:dyDescent="0.4">
      <c r="A1744" s="2" t="s">
        <v>11015</v>
      </c>
      <c r="B1744" s="2" t="s">
        <v>5885</v>
      </c>
      <c r="C1744" s="6" t="s">
        <v>5879</v>
      </c>
      <c r="D1744" s="6" t="s">
        <v>42</v>
      </c>
      <c r="E1744" s="7">
        <v>44927</v>
      </c>
      <c r="F1744" s="8" t="s">
        <v>77</v>
      </c>
      <c r="G1744" s="2" t="s">
        <v>26</v>
      </c>
      <c r="H1744" s="8" t="s">
        <v>28</v>
      </c>
      <c r="I1744" s="2" t="s">
        <v>26</v>
      </c>
      <c r="J1744" s="7">
        <v>44927</v>
      </c>
      <c r="K1744" s="8" t="s">
        <v>77</v>
      </c>
      <c r="L1744" s="2" t="s">
        <v>26</v>
      </c>
      <c r="M1744" s="8" t="s">
        <v>28</v>
      </c>
      <c r="N1744" s="6" t="s">
        <v>2264</v>
      </c>
      <c r="O1744" s="6" t="s">
        <v>30</v>
      </c>
      <c r="P1744" s="2" t="s">
        <v>13124</v>
      </c>
    </row>
    <row r="1745" spans="1:16" ht="13.15" x14ac:dyDescent="0.4">
      <c r="A1745" s="2" t="s">
        <v>10969</v>
      </c>
      <c r="B1745" s="2" t="s">
        <v>5885</v>
      </c>
      <c r="C1745" s="6" t="s">
        <v>5879</v>
      </c>
      <c r="D1745" s="6" t="s">
        <v>42</v>
      </c>
      <c r="E1745" s="7">
        <v>44927</v>
      </c>
      <c r="F1745" s="8" t="s">
        <v>77</v>
      </c>
      <c r="G1745" s="2" t="s">
        <v>26</v>
      </c>
      <c r="H1745" s="8" t="s">
        <v>28</v>
      </c>
      <c r="I1745" s="2" t="s">
        <v>26</v>
      </c>
      <c r="J1745" s="7">
        <v>44927</v>
      </c>
      <c r="K1745" s="8" t="s">
        <v>77</v>
      </c>
      <c r="L1745" s="2" t="s">
        <v>26</v>
      </c>
      <c r="M1745" s="8" t="s">
        <v>28</v>
      </c>
      <c r="N1745" s="6" t="s">
        <v>2264</v>
      </c>
      <c r="O1745" s="6" t="s">
        <v>30</v>
      </c>
      <c r="P1745" s="2" t="s">
        <v>13125</v>
      </c>
    </row>
    <row r="1746" spans="1:16" ht="13.15" x14ac:dyDescent="0.4">
      <c r="A1746" s="2" t="s">
        <v>10953</v>
      </c>
      <c r="B1746" s="2" t="s">
        <v>5885</v>
      </c>
      <c r="C1746" s="6" t="s">
        <v>5879</v>
      </c>
      <c r="D1746" s="6" t="s">
        <v>42</v>
      </c>
      <c r="E1746" s="7">
        <v>44927</v>
      </c>
      <c r="F1746" s="8" t="s">
        <v>77</v>
      </c>
      <c r="G1746" s="2" t="s">
        <v>26</v>
      </c>
      <c r="H1746" s="8" t="s">
        <v>28</v>
      </c>
      <c r="I1746" s="2" t="s">
        <v>26</v>
      </c>
      <c r="J1746" s="7">
        <v>44927</v>
      </c>
      <c r="K1746" s="8" t="s">
        <v>77</v>
      </c>
      <c r="L1746" s="2" t="s">
        <v>26</v>
      </c>
      <c r="M1746" s="8" t="s">
        <v>28</v>
      </c>
      <c r="N1746" s="6" t="s">
        <v>2264</v>
      </c>
      <c r="O1746" s="6" t="s">
        <v>30</v>
      </c>
      <c r="P1746" s="2" t="s">
        <v>13126</v>
      </c>
    </row>
    <row r="1747" spans="1:16" ht="13.15" x14ac:dyDescent="0.4">
      <c r="A1747" s="2" t="s">
        <v>11075</v>
      </c>
      <c r="B1747" s="2" t="s">
        <v>5885</v>
      </c>
      <c r="C1747" s="6" t="s">
        <v>5879</v>
      </c>
      <c r="D1747" s="6" t="s">
        <v>42</v>
      </c>
      <c r="E1747" s="7">
        <v>44927</v>
      </c>
      <c r="F1747" s="8" t="s">
        <v>77</v>
      </c>
      <c r="G1747" s="2" t="s">
        <v>26</v>
      </c>
      <c r="H1747" s="8" t="s">
        <v>28</v>
      </c>
      <c r="I1747" s="2" t="s">
        <v>26</v>
      </c>
      <c r="J1747" s="7">
        <v>44927</v>
      </c>
      <c r="K1747" s="8" t="s">
        <v>77</v>
      </c>
      <c r="L1747" s="2" t="s">
        <v>26</v>
      </c>
      <c r="M1747" s="8" t="s">
        <v>28</v>
      </c>
      <c r="N1747" s="6" t="s">
        <v>2264</v>
      </c>
      <c r="O1747" s="6" t="s">
        <v>30</v>
      </c>
      <c r="P1747" s="2" t="s">
        <v>13127</v>
      </c>
    </row>
    <row r="1748" spans="1:16" ht="13.15" x14ac:dyDescent="0.4">
      <c r="A1748" s="2" t="s">
        <v>11053</v>
      </c>
      <c r="B1748" s="2" t="s">
        <v>5885</v>
      </c>
      <c r="C1748" s="6" t="s">
        <v>5879</v>
      </c>
      <c r="D1748" s="6" t="s">
        <v>42</v>
      </c>
      <c r="E1748" s="7">
        <v>44927</v>
      </c>
      <c r="F1748" s="8" t="s">
        <v>77</v>
      </c>
      <c r="G1748" s="2" t="s">
        <v>26</v>
      </c>
      <c r="H1748" s="8" t="s">
        <v>28</v>
      </c>
      <c r="I1748" s="2" t="s">
        <v>26</v>
      </c>
      <c r="J1748" s="7">
        <v>44927</v>
      </c>
      <c r="K1748" s="8" t="s">
        <v>77</v>
      </c>
      <c r="L1748" s="2" t="s">
        <v>26</v>
      </c>
      <c r="M1748" s="8" t="s">
        <v>28</v>
      </c>
      <c r="N1748" s="6" t="s">
        <v>2264</v>
      </c>
      <c r="O1748" s="6" t="s">
        <v>30</v>
      </c>
      <c r="P1748" s="2" t="s">
        <v>13128</v>
      </c>
    </row>
    <row r="1749" spans="1:16" ht="13.15" x14ac:dyDescent="0.4">
      <c r="A1749" s="2" t="s">
        <v>10981</v>
      </c>
      <c r="B1749" s="2" t="s">
        <v>5885</v>
      </c>
      <c r="C1749" s="6" t="s">
        <v>5879</v>
      </c>
      <c r="D1749" s="6" t="s">
        <v>42</v>
      </c>
      <c r="E1749" s="7">
        <v>44927</v>
      </c>
      <c r="F1749" s="8" t="s">
        <v>77</v>
      </c>
      <c r="G1749" s="2" t="s">
        <v>26</v>
      </c>
      <c r="H1749" s="8" t="s">
        <v>28</v>
      </c>
      <c r="I1749" s="2" t="s">
        <v>26</v>
      </c>
      <c r="J1749" s="7">
        <v>44927</v>
      </c>
      <c r="K1749" s="8" t="s">
        <v>77</v>
      </c>
      <c r="L1749" s="2" t="s">
        <v>26</v>
      </c>
      <c r="M1749" s="8" t="s">
        <v>28</v>
      </c>
      <c r="N1749" s="6" t="s">
        <v>2264</v>
      </c>
      <c r="O1749" s="6" t="s">
        <v>30</v>
      </c>
      <c r="P1749" s="2" t="s">
        <v>13129</v>
      </c>
    </row>
    <row r="1750" spans="1:16" ht="13.15" x14ac:dyDescent="0.4">
      <c r="A1750" s="2" t="s">
        <v>9885</v>
      </c>
      <c r="B1750" s="2" t="s">
        <v>5885</v>
      </c>
      <c r="C1750" s="6" t="s">
        <v>5879</v>
      </c>
      <c r="D1750" s="6" t="s">
        <v>42</v>
      </c>
      <c r="E1750" s="7">
        <v>44927</v>
      </c>
      <c r="F1750" s="8" t="s">
        <v>77</v>
      </c>
      <c r="G1750" s="2" t="s">
        <v>26</v>
      </c>
      <c r="H1750" s="8" t="s">
        <v>28</v>
      </c>
      <c r="I1750" s="2" t="s">
        <v>26</v>
      </c>
      <c r="J1750" s="7">
        <v>44927</v>
      </c>
      <c r="K1750" s="8" t="s">
        <v>77</v>
      </c>
      <c r="L1750" s="2" t="s">
        <v>26</v>
      </c>
      <c r="M1750" s="8" t="s">
        <v>28</v>
      </c>
      <c r="N1750" s="6" t="s">
        <v>2264</v>
      </c>
      <c r="O1750" s="6" t="s">
        <v>30</v>
      </c>
      <c r="P1750" s="2" t="s">
        <v>13130</v>
      </c>
    </row>
    <row r="1751" spans="1:16" ht="13.15" x14ac:dyDescent="0.4">
      <c r="A1751" s="2" t="s">
        <v>10997</v>
      </c>
      <c r="B1751" s="2" t="s">
        <v>5885</v>
      </c>
      <c r="C1751" s="6" t="s">
        <v>5879</v>
      </c>
      <c r="D1751" s="6" t="s">
        <v>42</v>
      </c>
      <c r="E1751" s="7">
        <v>44927</v>
      </c>
      <c r="F1751" s="8" t="s">
        <v>77</v>
      </c>
      <c r="G1751" s="2" t="s">
        <v>26</v>
      </c>
      <c r="H1751" s="8" t="s">
        <v>28</v>
      </c>
      <c r="I1751" s="2" t="s">
        <v>26</v>
      </c>
      <c r="J1751" s="7">
        <v>44927</v>
      </c>
      <c r="K1751" s="8" t="s">
        <v>77</v>
      </c>
      <c r="L1751" s="2" t="s">
        <v>26</v>
      </c>
      <c r="M1751" s="8" t="s">
        <v>28</v>
      </c>
      <c r="N1751" s="6" t="s">
        <v>2264</v>
      </c>
      <c r="O1751" s="6" t="s">
        <v>30</v>
      </c>
      <c r="P1751" s="2" t="s">
        <v>13131</v>
      </c>
    </row>
    <row r="1752" spans="1:16" ht="13.15" x14ac:dyDescent="0.4">
      <c r="A1752" s="2" t="s">
        <v>11087</v>
      </c>
      <c r="B1752" s="2" t="s">
        <v>5885</v>
      </c>
      <c r="C1752" s="6" t="s">
        <v>5879</v>
      </c>
      <c r="D1752" s="6" t="s">
        <v>42</v>
      </c>
      <c r="E1752" s="7">
        <v>44927</v>
      </c>
      <c r="F1752" s="8" t="s">
        <v>77</v>
      </c>
      <c r="G1752" s="2" t="s">
        <v>26</v>
      </c>
      <c r="H1752" s="8" t="s">
        <v>28</v>
      </c>
      <c r="I1752" s="2" t="s">
        <v>26</v>
      </c>
      <c r="J1752" s="7">
        <v>44927</v>
      </c>
      <c r="K1752" s="8" t="s">
        <v>77</v>
      </c>
      <c r="L1752" s="2" t="s">
        <v>26</v>
      </c>
      <c r="M1752" s="8" t="s">
        <v>28</v>
      </c>
      <c r="N1752" s="6" t="s">
        <v>2264</v>
      </c>
      <c r="O1752" s="6" t="s">
        <v>30</v>
      </c>
      <c r="P1752" s="2" t="s">
        <v>13132</v>
      </c>
    </row>
    <row r="1753" spans="1:16" ht="13.15" x14ac:dyDescent="0.4">
      <c r="A1753" s="2" t="s">
        <v>10966</v>
      </c>
      <c r="B1753" s="2" t="s">
        <v>5885</v>
      </c>
      <c r="C1753" s="6" t="s">
        <v>5879</v>
      </c>
      <c r="D1753" s="6" t="s">
        <v>42</v>
      </c>
      <c r="E1753" s="7">
        <v>44927</v>
      </c>
      <c r="F1753" s="8" t="s">
        <v>77</v>
      </c>
      <c r="G1753" s="2" t="s">
        <v>26</v>
      </c>
      <c r="H1753" s="8" t="s">
        <v>28</v>
      </c>
      <c r="I1753" s="2" t="s">
        <v>26</v>
      </c>
      <c r="J1753" s="7">
        <v>44927</v>
      </c>
      <c r="K1753" s="8" t="s">
        <v>77</v>
      </c>
      <c r="L1753" s="2" t="s">
        <v>26</v>
      </c>
      <c r="M1753" s="8" t="s">
        <v>28</v>
      </c>
      <c r="N1753" s="6" t="s">
        <v>2264</v>
      </c>
      <c r="O1753" s="6" t="s">
        <v>30</v>
      </c>
      <c r="P1753" s="2" t="s">
        <v>13133</v>
      </c>
    </row>
    <row r="1754" spans="1:16" ht="13.15" x14ac:dyDescent="0.4">
      <c r="A1754" s="2" t="s">
        <v>11004</v>
      </c>
      <c r="B1754" s="2" t="s">
        <v>5885</v>
      </c>
      <c r="C1754" s="6" t="s">
        <v>5879</v>
      </c>
      <c r="D1754" s="6" t="s">
        <v>42</v>
      </c>
      <c r="E1754" s="7">
        <v>44927</v>
      </c>
      <c r="F1754" s="8" t="s">
        <v>77</v>
      </c>
      <c r="G1754" s="2" t="s">
        <v>26</v>
      </c>
      <c r="H1754" s="8" t="s">
        <v>28</v>
      </c>
      <c r="I1754" s="2" t="s">
        <v>26</v>
      </c>
      <c r="J1754" s="7">
        <v>44927</v>
      </c>
      <c r="K1754" s="8" t="s">
        <v>77</v>
      </c>
      <c r="L1754" s="2" t="s">
        <v>26</v>
      </c>
      <c r="M1754" s="8" t="s">
        <v>28</v>
      </c>
      <c r="N1754" s="6" t="s">
        <v>2264</v>
      </c>
      <c r="O1754" s="6" t="s">
        <v>30</v>
      </c>
      <c r="P1754" s="2" t="s">
        <v>13134</v>
      </c>
    </row>
    <row r="1755" spans="1:16" ht="13.15" x14ac:dyDescent="0.4">
      <c r="A1755" s="2" t="s">
        <v>10989</v>
      </c>
      <c r="B1755" s="2" t="s">
        <v>5885</v>
      </c>
      <c r="C1755" s="6" t="s">
        <v>5879</v>
      </c>
      <c r="D1755" s="6" t="s">
        <v>42</v>
      </c>
      <c r="E1755" s="7">
        <v>44927</v>
      </c>
      <c r="F1755" s="8" t="s">
        <v>77</v>
      </c>
      <c r="G1755" s="2" t="s">
        <v>26</v>
      </c>
      <c r="H1755" s="8" t="s">
        <v>28</v>
      </c>
      <c r="I1755" s="2" t="s">
        <v>26</v>
      </c>
      <c r="J1755" s="7">
        <v>44927</v>
      </c>
      <c r="K1755" s="8" t="s">
        <v>77</v>
      </c>
      <c r="L1755" s="2" t="s">
        <v>26</v>
      </c>
      <c r="M1755" s="8" t="s">
        <v>28</v>
      </c>
      <c r="N1755" s="6" t="s">
        <v>2264</v>
      </c>
      <c r="O1755" s="6" t="s">
        <v>30</v>
      </c>
      <c r="P1755" s="2" t="s">
        <v>13135</v>
      </c>
    </row>
    <row r="1756" spans="1:16" ht="13.15" x14ac:dyDescent="0.4">
      <c r="A1756" s="2" t="s">
        <v>11184</v>
      </c>
      <c r="B1756" s="2" t="s">
        <v>5885</v>
      </c>
      <c r="C1756" s="6" t="s">
        <v>5879</v>
      </c>
      <c r="D1756" s="6" t="s">
        <v>42</v>
      </c>
      <c r="E1756" s="7">
        <v>44927</v>
      </c>
      <c r="F1756" s="8" t="s">
        <v>77</v>
      </c>
      <c r="G1756" s="2" t="s">
        <v>26</v>
      </c>
      <c r="H1756" s="8" t="s">
        <v>28</v>
      </c>
      <c r="I1756" s="2" t="s">
        <v>26</v>
      </c>
      <c r="J1756" s="7">
        <v>44927</v>
      </c>
      <c r="K1756" s="8" t="s">
        <v>77</v>
      </c>
      <c r="L1756" s="2" t="s">
        <v>26</v>
      </c>
      <c r="M1756" s="8" t="s">
        <v>28</v>
      </c>
      <c r="N1756" s="6" t="s">
        <v>2264</v>
      </c>
      <c r="O1756" s="6" t="s">
        <v>30</v>
      </c>
      <c r="P1756" s="2" t="s">
        <v>13136</v>
      </c>
    </row>
    <row r="1757" spans="1:16" ht="13.15" x14ac:dyDescent="0.4">
      <c r="A1757" s="2" t="s">
        <v>11114</v>
      </c>
      <c r="B1757" s="2" t="s">
        <v>5885</v>
      </c>
      <c r="C1757" s="6" t="s">
        <v>5879</v>
      </c>
      <c r="D1757" s="6" t="s">
        <v>42</v>
      </c>
      <c r="E1757" s="7">
        <v>44927</v>
      </c>
      <c r="F1757" s="8" t="s">
        <v>77</v>
      </c>
      <c r="G1757" s="2" t="s">
        <v>26</v>
      </c>
      <c r="H1757" s="8" t="s">
        <v>28</v>
      </c>
      <c r="I1757" s="2" t="s">
        <v>26</v>
      </c>
      <c r="J1757" s="7">
        <v>44927</v>
      </c>
      <c r="K1757" s="8" t="s">
        <v>77</v>
      </c>
      <c r="L1757" s="2" t="s">
        <v>26</v>
      </c>
      <c r="M1757" s="8" t="s">
        <v>28</v>
      </c>
      <c r="N1757" s="6" t="s">
        <v>2264</v>
      </c>
      <c r="O1757" s="6" t="s">
        <v>30</v>
      </c>
      <c r="P1757" s="2" t="s">
        <v>13137</v>
      </c>
    </row>
    <row r="1758" spans="1:16" ht="13.15" x14ac:dyDescent="0.4">
      <c r="A1758" s="2" t="s">
        <v>11084</v>
      </c>
      <c r="B1758" s="2" t="s">
        <v>5885</v>
      </c>
      <c r="C1758" s="6" t="s">
        <v>5879</v>
      </c>
      <c r="D1758" s="6" t="s">
        <v>42</v>
      </c>
      <c r="E1758" s="7">
        <v>44927</v>
      </c>
      <c r="F1758" s="8" t="s">
        <v>77</v>
      </c>
      <c r="G1758" s="2" t="s">
        <v>26</v>
      </c>
      <c r="H1758" s="8" t="s">
        <v>28</v>
      </c>
      <c r="I1758" s="2" t="s">
        <v>26</v>
      </c>
      <c r="J1758" s="7">
        <v>44927</v>
      </c>
      <c r="K1758" s="8" t="s">
        <v>77</v>
      </c>
      <c r="L1758" s="2" t="s">
        <v>26</v>
      </c>
      <c r="M1758" s="8" t="s">
        <v>28</v>
      </c>
      <c r="N1758" s="6" t="s">
        <v>2264</v>
      </c>
      <c r="O1758" s="6" t="s">
        <v>30</v>
      </c>
      <c r="P1758" s="2" t="s">
        <v>13138</v>
      </c>
    </row>
    <row r="1759" spans="1:16" ht="13.15" x14ac:dyDescent="0.4">
      <c r="A1759" s="2" t="s">
        <v>10958</v>
      </c>
      <c r="B1759" s="2" t="s">
        <v>5885</v>
      </c>
      <c r="C1759" s="6" t="s">
        <v>5879</v>
      </c>
      <c r="D1759" s="6" t="s">
        <v>42</v>
      </c>
      <c r="E1759" s="7">
        <v>44927</v>
      </c>
      <c r="F1759" s="8" t="s">
        <v>77</v>
      </c>
      <c r="G1759" s="2" t="s">
        <v>26</v>
      </c>
      <c r="H1759" s="8" t="s">
        <v>28</v>
      </c>
      <c r="I1759" s="2" t="s">
        <v>26</v>
      </c>
      <c r="J1759" s="7">
        <v>44927</v>
      </c>
      <c r="K1759" s="8" t="s">
        <v>77</v>
      </c>
      <c r="L1759" s="2" t="s">
        <v>26</v>
      </c>
      <c r="M1759" s="8" t="s">
        <v>28</v>
      </c>
      <c r="N1759" s="6" t="s">
        <v>2264</v>
      </c>
      <c r="O1759" s="6" t="s">
        <v>30</v>
      </c>
      <c r="P1759" s="2" t="s">
        <v>13139</v>
      </c>
    </row>
    <row r="1760" spans="1:16" ht="13.15" x14ac:dyDescent="0.4">
      <c r="A1760" s="2" t="s">
        <v>11023</v>
      </c>
      <c r="B1760" s="2" t="s">
        <v>5885</v>
      </c>
      <c r="C1760" s="6" t="s">
        <v>5879</v>
      </c>
      <c r="D1760" s="6" t="s">
        <v>42</v>
      </c>
      <c r="E1760" s="7">
        <v>44927</v>
      </c>
      <c r="F1760" s="8" t="s">
        <v>77</v>
      </c>
      <c r="G1760" s="2" t="s">
        <v>26</v>
      </c>
      <c r="H1760" s="8" t="s">
        <v>28</v>
      </c>
      <c r="I1760" s="2" t="s">
        <v>26</v>
      </c>
      <c r="J1760" s="7">
        <v>44927</v>
      </c>
      <c r="K1760" s="8" t="s">
        <v>77</v>
      </c>
      <c r="L1760" s="2" t="s">
        <v>26</v>
      </c>
      <c r="M1760" s="8" t="s">
        <v>28</v>
      </c>
      <c r="N1760" s="6" t="s">
        <v>2264</v>
      </c>
      <c r="O1760" s="6" t="s">
        <v>30</v>
      </c>
      <c r="P1760" s="2" t="s">
        <v>13140</v>
      </c>
    </row>
    <row r="1761" spans="1:16" ht="13.15" x14ac:dyDescent="0.4">
      <c r="A1761" s="2" t="s">
        <v>11038</v>
      </c>
      <c r="B1761" s="2" t="s">
        <v>5885</v>
      </c>
      <c r="C1761" s="6" t="s">
        <v>5879</v>
      </c>
      <c r="D1761" s="6" t="s">
        <v>42</v>
      </c>
      <c r="E1761" s="7">
        <v>44927</v>
      </c>
      <c r="F1761" s="8" t="s">
        <v>77</v>
      </c>
      <c r="G1761" s="2" t="s">
        <v>26</v>
      </c>
      <c r="H1761" s="8" t="s">
        <v>28</v>
      </c>
      <c r="I1761" s="2" t="s">
        <v>26</v>
      </c>
      <c r="J1761" s="7">
        <v>44927</v>
      </c>
      <c r="K1761" s="8" t="s">
        <v>77</v>
      </c>
      <c r="L1761" s="2" t="s">
        <v>26</v>
      </c>
      <c r="M1761" s="8" t="s">
        <v>28</v>
      </c>
      <c r="N1761" s="6" t="s">
        <v>2264</v>
      </c>
      <c r="O1761" s="6" t="s">
        <v>30</v>
      </c>
      <c r="P1761" s="2" t="s">
        <v>13141</v>
      </c>
    </row>
    <row r="1762" spans="1:16" ht="13.15" x14ac:dyDescent="0.4">
      <c r="A1762" s="2" t="s">
        <v>11007</v>
      </c>
      <c r="B1762" s="2" t="s">
        <v>5885</v>
      </c>
      <c r="C1762" s="6" t="s">
        <v>5879</v>
      </c>
      <c r="D1762" s="6" t="s">
        <v>42</v>
      </c>
      <c r="E1762" s="7">
        <v>44927</v>
      </c>
      <c r="F1762" s="8" t="s">
        <v>77</v>
      </c>
      <c r="G1762" s="2" t="s">
        <v>26</v>
      </c>
      <c r="H1762" s="8" t="s">
        <v>28</v>
      </c>
      <c r="I1762" s="2" t="s">
        <v>26</v>
      </c>
      <c r="J1762" s="7">
        <v>44927</v>
      </c>
      <c r="K1762" s="8" t="s">
        <v>77</v>
      </c>
      <c r="L1762" s="2" t="s">
        <v>26</v>
      </c>
      <c r="M1762" s="8" t="s">
        <v>28</v>
      </c>
      <c r="N1762" s="6" t="s">
        <v>2264</v>
      </c>
      <c r="O1762" s="6" t="s">
        <v>30</v>
      </c>
      <c r="P1762" s="2" t="s">
        <v>13142</v>
      </c>
    </row>
    <row r="1763" spans="1:16" ht="13.15" x14ac:dyDescent="0.4">
      <c r="A1763" s="2" t="s">
        <v>11070</v>
      </c>
      <c r="B1763" s="2" t="s">
        <v>5885</v>
      </c>
      <c r="C1763" s="6" t="s">
        <v>5879</v>
      </c>
      <c r="D1763" s="6" t="s">
        <v>42</v>
      </c>
      <c r="E1763" s="7">
        <v>44927</v>
      </c>
      <c r="F1763" s="8" t="s">
        <v>77</v>
      </c>
      <c r="G1763" s="2" t="s">
        <v>26</v>
      </c>
      <c r="H1763" s="8" t="s">
        <v>28</v>
      </c>
      <c r="I1763" s="2" t="s">
        <v>26</v>
      </c>
      <c r="J1763" s="7">
        <v>44927</v>
      </c>
      <c r="K1763" s="8" t="s">
        <v>77</v>
      </c>
      <c r="L1763" s="2" t="s">
        <v>26</v>
      </c>
      <c r="M1763" s="8" t="s">
        <v>28</v>
      </c>
      <c r="N1763" s="6" t="s">
        <v>2264</v>
      </c>
      <c r="O1763" s="6" t="s">
        <v>30</v>
      </c>
      <c r="P1763" s="2" t="s">
        <v>13143</v>
      </c>
    </row>
    <row r="1764" spans="1:16" ht="13.15" x14ac:dyDescent="0.4">
      <c r="A1764" s="2" t="s">
        <v>11052</v>
      </c>
      <c r="B1764" s="2" t="s">
        <v>5885</v>
      </c>
      <c r="C1764" s="6" t="s">
        <v>5879</v>
      </c>
      <c r="D1764" s="6" t="s">
        <v>42</v>
      </c>
      <c r="E1764" s="7">
        <v>44927</v>
      </c>
      <c r="F1764" s="8" t="s">
        <v>77</v>
      </c>
      <c r="G1764" s="2" t="s">
        <v>26</v>
      </c>
      <c r="H1764" s="8" t="s">
        <v>28</v>
      </c>
      <c r="I1764" s="2" t="s">
        <v>26</v>
      </c>
      <c r="J1764" s="7">
        <v>44927</v>
      </c>
      <c r="K1764" s="8" t="s">
        <v>77</v>
      </c>
      <c r="L1764" s="2" t="s">
        <v>26</v>
      </c>
      <c r="M1764" s="8" t="s">
        <v>28</v>
      </c>
      <c r="N1764" s="6" t="s">
        <v>2264</v>
      </c>
      <c r="O1764" s="6" t="s">
        <v>30</v>
      </c>
      <c r="P1764" s="2" t="s">
        <v>13144</v>
      </c>
    </row>
    <row r="1765" spans="1:16" ht="13.15" x14ac:dyDescent="0.4">
      <c r="A1765" s="2" t="s">
        <v>11058</v>
      </c>
      <c r="B1765" s="2" t="s">
        <v>5885</v>
      </c>
      <c r="C1765" s="6" t="s">
        <v>5879</v>
      </c>
      <c r="D1765" s="6" t="s">
        <v>42</v>
      </c>
      <c r="E1765" s="7">
        <v>44927</v>
      </c>
      <c r="F1765" s="8" t="s">
        <v>77</v>
      </c>
      <c r="G1765" s="2" t="s">
        <v>26</v>
      </c>
      <c r="H1765" s="8" t="s">
        <v>28</v>
      </c>
      <c r="I1765" s="2" t="s">
        <v>26</v>
      </c>
      <c r="J1765" s="7">
        <v>44927</v>
      </c>
      <c r="K1765" s="8" t="s">
        <v>77</v>
      </c>
      <c r="L1765" s="2" t="s">
        <v>26</v>
      </c>
      <c r="M1765" s="8" t="s">
        <v>28</v>
      </c>
      <c r="N1765" s="6" t="s">
        <v>2264</v>
      </c>
      <c r="O1765" s="6" t="s">
        <v>30</v>
      </c>
      <c r="P1765" s="2" t="s">
        <v>13145</v>
      </c>
    </row>
    <row r="1766" spans="1:16" ht="13.15" x14ac:dyDescent="0.4">
      <c r="A1766" s="2" t="s">
        <v>11012</v>
      </c>
      <c r="B1766" s="2" t="s">
        <v>5885</v>
      </c>
      <c r="C1766" s="6" t="s">
        <v>5879</v>
      </c>
      <c r="D1766" s="6" t="s">
        <v>42</v>
      </c>
      <c r="E1766" s="7">
        <v>44927</v>
      </c>
      <c r="F1766" s="8" t="s">
        <v>77</v>
      </c>
      <c r="G1766" s="2" t="s">
        <v>26</v>
      </c>
      <c r="H1766" s="8" t="s">
        <v>28</v>
      </c>
      <c r="I1766" s="2" t="s">
        <v>26</v>
      </c>
      <c r="J1766" s="7">
        <v>44927</v>
      </c>
      <c r="K1766" s="8" t="s">
        <v>77</v>
      </c>
      <c r="L1766" s="2" t="s">
        <v>26</v>
      </c>
      <c r="M1766" s="8" t="s">
        <v>28</v>
      </c>
      <c r="N1766" s="6" t="s">
        <v>2264</v>
      </c>
      <c r="O1766" s="6" t="s">
        <v>30</v>
      </c>
      <c r="P1766" s="2" t="s">
        <v>13146</v>
      </c>
    </row>
    <row r="1767" spans="1:16" ht="13.15" x14ac:dyDescent="0.4">
      <c r="A1767" s="2" t="s">
        <v>11027</v>
      </c>
      <c r="B1767" s="2" t="s">
        <v>5885</v>
      </c>
      <c r="C1767" s="6" t="s">
        <v>5879</v>
      </c>
      <c r="D1767" s="6" t="s">
        <v>42</v>
      </c>
      <c r="E1767" s="7">
        <v>44927</v>
      </c>
      <c r="F1767" s="8" t="s">
        <v>77</v>
      </c>
      <c r="G1767" s="2" t="s">
        <v>26</v>
      </c>
      <c r="H1767" s="8" t="s">
        <v>28</v>
      </c>
      <c r="I1767" s="2" t="s">
        <v>26</v>
      </c>
      <c r="J1767" s="7">
        <v>44927</v>
      </c>
      <c r="K1767" s="8" t="s">
        <v>77</v>
      </c>
      <c r="L1767" s="2" t="s">
        <v>26</v>
      </c>
      <c r="M1767" s="8" t="s">
        <v>28</v>
      </c>
      <c r="N1767" s="6" t="s">
        <v>2264</v>
      </c>
      <c r="O1767" s="6" t="s">
        <v>30</v>
      </c>
      <c r="P1767" s="2" t="s">
        <v>13147</v>
      </c>
    </row>
    <row r="1768" spans="1:16" ht="13.15" x14ac:dyDescent="0.4">
      <c r="A1768" s="2" t="s">
        <v>11040</v>
      </c>
      <c r="B1768" s="2" t="s">
        <v>5885</v>
      </c>
      <c r="C1768" s="6" t="s">
        <v>5879</v>
      </c>
      <c r="D1768" s="6" t="s">
        <v>42</v>
      </c>
      <c r="E1768" s="7">
        <v>44927</v>
      </c>
      <c r="F1768" s="8" t="s">
        <v>77</v>
      </c>
      <c r="G1768" s="2" t="s">
        <v>26</v>
      </c>
      <c r="H1768" s="8" t="s">
        <v>28</v>
      </c>
      <c r="I1768" s="2" t="s">
        <v>26</v>
      </c>
      <c r="J1768" s="7">
        <v>44927</v>
      </c>
      <c r="K1768" s="8" t="s">
        <v>77</v>
      </c>
      <c r="L1768" s="2" t="s">
        <v>26</v>
      </c>
      <c r="M1768" s="8" t="s">
        <v>28</v>
      </c>
      <c r="N1768" s="6" t="s">
        <v>2264</v>
      </c>
      <c r="O1768" s="6" t="s">
        <v>30</v>
      </c>
      <c r="P1768" s="2" t="s">
        <v>13148</v>
      </c>
    </row>
    <row r="1769" spans="1:16" ht="13.15" x14ac:dyDescent="0.4">
      <c r="A1769" s="2" t="s">
        <v>10972</v>
      </c>
      <c r="B1769" s="2" t="s">
        <v>5885</v>
      </c>
      <c r="C1769" s="6" t="s">
        <v>5879</v>
      </c>
      <c r="D1769" s="6" t="s">
        <v>42</v>
      </c>
      <c r="E1769" s="7">
        <v>44927</v>
      </c>
      <c r="F1769" s="8" t="s">
        <v>77</v>
      </c>
      <c r="G1769" s="2" t="s">
        <v>26</v>
      </c>
      <c r="H1769" s="8" t="s">
        <v>28</v>
      </c>
      <c r="I1769" s="2" t="s">
        <v>26</v>
      </c>
      <c r="J1769" s="7">
        <v>44927</v>
      </c>
      <c r="K1769" s="8" t="s">
        <v>77</v>
      </c>
      <c r="L1769" s="2" t="s">
        <v>26</v>
      </c>
      <c r="M1769" s="8" t="s">
        <v>28</v>
      </c>
      <c r="N1769" s="6" t="s">
        <v>2264</v>
      </c>
      <c r="O1769" s="6" t="s">
        <v>30</v>
      </c>
      <c r="P1769" s="2" t="s">
        <v>13149</v>
      </c>
    </row>
    <row r="1770" spans="1:16" ht="13.15" x14ac:dyDescent="0.4">
      <c r="A1770" s="2" t="s">
        <v>11091</v>
      </c>
      <c r="B1770" s="2" t="s">
        <v>5885</v>
      </c>
      <c r="C1770" s="6" t="s">
        <v>5879</v>
      </c>
      <c r="D1770" s="6" t="s">
        <v>42</v>
      </c>
      <c r="E1770" s="7">
        <v>44927</v>
      </c>
      <c r="F1770" s="8" t="s">
        <v>77</v>
      </c>
      <c r="G1770" s="2" t="s">
        <v>26</v>
      </c>
      <c r="H1770" s="8" t="s">
        <v>28</v>
      </c>
      <c r="I1770" s="2" t="s">
        <v>26</v>
      </c>
      <c r="J1770" s="7">
        <v>44927</v>
      </c>
      <c r="K1770" s="8" t="s">
        <v>77</v>
      </c>
      <c r="L1770" s="2" t="s">
        <v>26</v>
      </c>
      <c r="M1770" s="8" t="s">
        <v>28</v>
      </c>
      <c r="N1770" s="6" t="s">
        <v>2264</v>
      </c>
      <c r="O1770" s="6" t="s">
        <v>30</v>
      </c>
      <c r="P1770" s="2" t="s">
        <v>13150</v>
      </c>
    </row>
    <row r="1771" spans="1:16" ht="13.15" x14ac:dyDescent="0.4">
      <c r="A1771" s="2" t="s">
        <v>10994</v>
      </c>
      <c r="B1771" s="2" t="s">
        <v>5885</v>
      </c>
      <c r="C1771" s="6" t="s">
        <v>5879</v>
      </c>
      <c r="D1771" s="6" t="s">
        <v>42</v>
      </c>
      <c r="E1771" s="7">
        <v>44927</v>
      </c>
      <c r="F1771" s="8" t="s">
        <v>77</v>
      </c>
      <c r="G1771" s="2" t="s">
        <v>26</v>
      </c>
      <c r="H1771" s="8" t="s">
        <v>28</v>
      </c>
      <c r="I1771" s="2" t="s">
        <v>26</v>
      </c>
      <c r="J1771" s="7">
        <v>44927</v>
      </c>
      <c r="K1771" s="8" t="s">
        <v>77</v>
      </c>
      <c r="L1771" s="2" t="s">
        <v>26</v>
      </c>
      <c r="M1771" s="8" t="s">
        <v>28</v>
      </c>
      <c r="N1771" s="6" t="s">
        <v>2264</v>
      </c>
      <c r="O1771" s="6" t="s">
        <v>30</v>
      </c>
      <c r="P1771" s="2" t="s">
        <v>13151</v>
      </c>
    </row>
    <row r="1772" spans="1:16" ht="13.15" x14ac:dyDescent="0.4">
      <c r="A1772" s="2" t="s">
        <v>11055</v>
      </c>
      <c r="B1772" s="2" t="s">
        <v>5885</v>
      </c>
      <c r="C1772" s="6" t="s">
        <v>5879</v>
      </c>
      <c r="D1772" s="6" t="s">
        <v>42</v>
      </c>
      <c r="E1772" s="7">
        <v>44927</v>
      </c>
      <c r="F1772" s="8" t="s">
        <v>77</v>
      </c>
      <c r="G1772" s="2" t="s">
        <v>26</v>
      </c>
      <c r="H1772" s="8" t="s">
        <v>28</v>
      </c>
      <c r="I1772" s="2" t="s">
        <v>26</v>
      </c>
      <c r="J1772" s="7">
        <v>44927</v>
      </c>
      <c r="K1772" s="8" t="s">
        <v>77</v>
      </c>
      <c r="L1772" s="2" t="s">
        <v>26</v>
      </c>
      <c r="M1772" s="8" t="s">
        <v>28</v>
      </c>
      <c r="N1772" s="6" t="s">
        <v>2264</v>
      </c>
      <c r="O1772" s="6" t="s">
        <v>30</v>
      </c>
      <c r="P1772" s="2" t="s">
        <v>13152</v>
      </c>
    </row>
    <row r="1773" spans="1:16" ht="13.15" x14ac:dyDescent="0.4">
      <c r="A1773" s="2" t="s">
        <v>11033</v>
      </c>
      <c r="B1773" s="2" t="s">
        <v>5885</v>
      </c>
      <c r="C1773" s="6" t="s">
        <v>5879</v>
      </c>
      <c r="D1773" s="6" t="s">
        <v>42</v>
      </c>
      <c r="E1773" s="7">
        <v>44927</v>
      </c>
      <c r="F1773" s="8" t="s">
        <v>77</v>
      </c>
      <c r="G1773" s="2" t="s">
        <v>26</v>
      </c>
      <c r="H1773" s="8" t="s">
        <v>28</v>
      </c>
      <c r="I1773" s="2" t="s">
        <v>26</v>
      </c>
      <c r="J1773" s="7">
        <v>44927</v>
      </c>
      <c r="K1773" s="8" t="s">
        <v>77</v>
      </c>
      <c r="L1773" s="2" t="s">
        <v>26</v>
      </c>
      <c r="M1773" s="8" t="s">
        <v>28</v>
      </c>
      <c r="N1773" s="6" t="s">
        <v>2264</v>
      </c>
      <c r="O1773" s="6" t="s">
        <v>30</v>
      </c>
      <c r="P1773" s="2" t="s">
        <v>13153</v>
      </c>
    </row>
    <row r="1774" spans="1:16" ht="13.15" x14ac:dyDescent="0.4">
      <c r="A1774" s="2" t="s">
        <v>10982</v>
      </c>
      <c r="B1774" s="2" t="s">
        <v>5885</v>
      </c>
      <c r="C1774" s="6" t="s">
        <v>5879</v>
      </c>
      <c r="D1774" s="6" t="s">
        <v>42</v>
      </c>
      <c r="E1774" s="7">
        <v>44927</v>
      </c>
      <c r="F1774" s="8" t="s">
        <v>77</v>
      </c>
      <c r="G1774" s="2" t="s">
        <v>26</v>
      </c>
      <c r="H1774" s="8" t="s">
        <v>28</v>
      </c>
      <c r="I1774" s="2" t="s">
        <v>26</v>
      </c>
      <c r="J1774" s="7">
        <v>44927</v>
      </c>
      <c r="K1774" s="8" t="s">
        <v>77</v>
      </c>
      <c r="L1774" s="2" t="s">
        <v>26</v>
      </c>
      <c r="M1774" s="8" t="s">
        <v>28</v>
      </c>
      <c r="N1774" s="6" t="s">
        <v>2264</v>
      </c>
      <c r="O1774" s="6" t="s">
        <v>30</v>
      </c>
      <c r="P1774" s="2" t="s">
        <v>13154</v>
      </c>
    </row>
    <row r="1775" spans="1:16" ht="13.15" x14ac:dyDescent="0.4">
      <c r="A1775" s="2" t="s">
        <v>10990</v>
      </c>
      <c r="B1775" s="2" t="s">
        <v>5885</v>
      </c>
      <c r="C1775" s="6" t="s">
        <v>5879</v>
      </c>
      <c r="D1775" s="6" t="s">
        <v>42</v>
      </c>
      <c r="E1775" s="7">
        <v>44927</v>
      </c>
      <c r="F1775" s="8" t="s">
        <v>77</v>
      </c>
      <c r="G1775" s="2" t="s">
        <v>26</v>
      </c>
      <c r="H1775" s="8" t="s">
        <v>28</v>
      </c>
      <c r="I1775" s="2" t="s">
        <v>26</v>
      </c>
      <c r="J1775" s="7">
        <v>44927</v>
      </c>
      <c r="K1775" s="8" t="s">
        <v>77</v>
      </c>
      <c r="L1775" s="2" t="s">
        <v>26</v>
      </c>
      <c r="M1775" s="8" t="s">
        <v>28</v>
      </c>
      <c r="N1775" s="6" t="s">
        <v>2264</v>
      </c>
      <c r="O1775" s="6" t="s">
        <v>30</v>
      </c>
      <c r="P1775" s="2" t="s">
        <v>13155</v>
      </c>
    </row>
    <row r="1776" spans="1:16" ht="13.15" x14ac:dyDescent="0.4">
      <c r="A1776" s="2" t="s">
        <v>10965</v>
      </c>
      <c r="B1776" s="2" t="s">
        <v>5885</v>
      </c>
      <c r="C1776" s="6" t="s">
        <v>5879</v>
      </c>
      <c r="D1776" s="6" t="s">
        <v>42</v>
      </c>
      <c r="E1776" s="7">
        <v>44927</v>
      </c>
      <c r="F1776" s="8" t="s">
        <v>77</v>
      </c>
      <c r="G1776" s="2" t="s">
        <v>26</v>
      </c>
      <c r="H1776" s="8" t="s">
        <v>28</v>
      </c>
      <c r="I1776" s="2" t="s">
        <v>26</v>
      </c>
      <c r="J1776" s="7">
        <v>44927</v>
      </c>
      <c r="K1776" s="8" t="s">
        <v>77</v>
      </c>
      <c r="L1776" s="2" t="s">
        <v>26</v>
      </c>
      <c r="M1776" s="8" t="s">
        <v>28</v>
      </c>
      <c r="N1776" s="6" t="s">
        <v>2264</v>
      </c>
      <c r="O1776" s="6" t="s">
        <v>30</v>
      </c>
      <c r="P1776" s="2" t="s">
        <v>13156</v>
      </c>
    </row>
    <row r="1777" spans="1:16" ht="13.15" x14ac:dyDescent="0.4">
      <c r="A1777" s="2" t="s">
        <v>11047</v>
      </c>
      <c r="B1777" s="2" t="s">
        <v>5885</v>
      </c>
      <c r="C1777" s="6" t="s">
        <v>5879</v>
      </c>
      <c r="D1777" s="6" t="s">
        <v>42</v>
      </c>
      <c r="E1777" s="7">
        <v>44927</v>
      </c>
      <c r="F1777" s="8" t="s">
        <v>77</v>
      </c>
      <c r="G1777" s="2" t="s">
        <v>26</v>
      </c>
      <c r="H1777" s="8" t="s">
        <v>28</v>
      </c>
      <c r="I1777" s="2" t="s">
        <v>26</v>
      </c>
      <c r="J1777" s="7">
        <v>44927</v>
      </c>
      <c r="K1777" s="8" t="s">
        <v>77</v>
      </c>
      <c r="L1777" s="2" t="s">
        <v>26</v>
      </c>
      <c r="M1777" s="8" t="s">
        <v>28</v>
      </c>
      <c r="N1777" s="6" t="s">
        <v>2264</v>
      </c>
      <c r="O1777" s="6" t="s">
        <v>30</v>
      </c>
      <c r="P1777" s="2" t="s">
        <v>13157</v>
      </c>
    </row>
    <row r="1778" spans="1:16" ht="13.15" x14ac:dyDescent="0.4">
      <c r="A1778" s="2" t="s">
        <v>11068</v>
      </c>
      <c r="B1778" s="2" t="s">
        <v>5885</v>
      </c>
      <c r="C1778" s="6" t="s">
        <v>5879</v>
      </c>
      <c r="D1778" s="6" t="s">
        <v>42</v>
      </c>
      <c r="E1778" s="7">
        <v>44927</v>
      </c>
      <c r="F1778" s="8" t="s">
        <v>77</v>
      </c>
      <c r="G1778" s="2" t="s">
        <v>26</v>
      </c>
      <c r="H1778" s="8" t="s">
        <v>28</v>
      </c>
      <c r="I1778" s="2" t="s">
        <v>26</v>
      </c>
      <c r="J1778" s="7">
        <v>44927</v>
      </c>
      <c r="K1778" s="8" t="s">
        <v>77</v>
      </c>
      <c r="L1778" s="2" t="s">
        <v>26</v>
      </c>
      <c r="M1778" s="8" t="s">
        <v>28</v>
      </c>
      <c r="N1778" s="6" t="s">
        <v>2264</v>
      </c>
      <c r="O1778" s="6" t="s">
        <v>30</v>
      </c>
      <c r="P1778" s="2" t="s">
        <v>13158</v>
      </c>
    </row>
    <row r="1779" spans="1:16" ht="13.15" x14ac:dyDescent="0.4">
      <c r="A1779" s="2" t="s">
        <v>10979</v>
      </c>
      <c r="B1779" s="2" t="s">
        <v>5885</v>
      </c>
      <c r="C1779" s="6" t="s">
        <v>5879</v>
      </c>
      <c r="D1779" s="6" t="s">
        <v>42</v>
      </c>
      <c r="E1779" s="7">
        <v>44927</v>
      </c>
      <c r="F1779" s="8" t="s">
        <v>77</v>
      </c>
      <c r="G1779" s="2" t="s">
        <v>26</v>
      </c>
      <c r="H1779" s="8" t="s">
        <v>28</v>
      </c>
      <c r="I1779" s="2" t="s">
        <v>26</v>
      </c>
      <c r="J1779" s="7">
        <v>44927</v>
      </c>
      <c r="K1779" s="8" t="s">
        <v>77</v>
      </c>
      <c r="L1779" s="2" t="s">
        <v>26</v>
      </c>
      <c r="M1779" s="8" t="s">
        <v>28</v>
      </c>
      <c r="N1779" s="6" t="s">
        <v>2264</v>
      </c>
      <c r="O1779" s="6" t="s">
        <v>30</v>
      </c>
      <c r="P1779" s="2" t="s">
        <v>13159</v>
      </c>
    </row>
    <row r="1780" spans="1:16" ht="13.15" x14ac:dyDescent="0.4">
      <c r="A1780" s="2" t="s">
        <v>11104</v>
      </c>
      <c r="B1780" s="2" t="s">
        <v>5885</v>
      </c>
      <c r="C1780" s="6" t="s">
        <v>5879</v>
      </c>
      <c r="D1780" s="6" t="s">
        <v>42</v>
      </c>
      <c r="E1780" s="7">
        <v>44927</v>
      </c>
      <c r="F1780" s="8" t="s">
        <v>77</v>
      </c>
      <c r="G1780" s="2" t="s">
        <v>26</v>
      </c>
      <c r="H1780" s="8" t="s">
        <v>28</v>
      </c>
      <c r="I1780" s="2" t="s">
        <v>26</v>
      </c>
      <c r="J1780" s="7">
        <v>44927</v>
      </c>
      <c r="K1780" s="8" t="s">
        <v>77</v>
      </c>
      <c r="L1780" s="2" t="s">
        <v>26</v>
      </c>
      <c r="M1780" s="8" t="s">
        <v>28</v>
      </c>
      <c r="N1780" s="6" t="s">
        <v>2264</v>
      </c>
      <c r="O1780" s="6" t="s">
        <v>30</v>
      </c>
      <c r="P1780" s="2" t="s">
        <v>13160</v>
      </c>
    </row>
    <row r="1781" spans="1:16" ht="13.15" x14ac:dyDescent="0.4">
      <c r="A1781" s="2" t="s">
        <v>11112</v>
      </c>
      <c r="B1781" s="2" t="s">
        <v>5885</v>
      </c>
      <c r="C1781" s="6" t="s">
        <v>5879</v>
      </c>
      <c r="D1781" s="6" t="s">
        <v>42</v>
      </c>
      <c r="E1781" s="7">
        <v>44927</v>
      </c>
      <c r="F1781" s="8" t="s">
        <v>77</v>
      </c>
      <c r="G1781" s="2" t="s">
        <v>26</v>
      </c>
      <c r="H1781" s="8" t="s">
        <v>28</v>
      </c>
      <c r="I1781" s="2" t="s">
        <v>26</v>
      </c>
      <c r="J1781" s="7">
        <v>44927</v>
      </c>
      <c r="K1781" s="8" t="s">
        <v>77</v>
      </c>
      <c r="L1781" s="2" t="s">
        <v>26</v>
      </c>
      <c r="M1781" s="8" t="s">
        <v>28</v>
      </c>
      <c r="N1781" s="6" t="s">
        <v>2264</v>
      </c>
      <c r="O1781" s="6" t="s">
        <v>30</v>
      </c>
      <c r="P1781" s="2" t="s">
        <v>13161</v>
      </c>
    </row>
    <row r="1782" spans="1:16" ht="13.15" x14ac:dyDescent="0.4">
      <c r="A1782" s="2" t="s">
        <v>10961</v>
      </c>
      <c r="B1782" s="2" t="s">
        <v>5885</v>
      </c>
      <c r="C1782" s="6" t="s">
        <v>5879</v>
      </c>
      <c r="D1782" s="6" t="s">
        <v>42</v>
      </c>
      <c r="E1782" s="7">
        <v>44927</v>
      </c>
      <c r="F1782" s="8" t="s">
        <v>77</v>
      </c>
      <c r="G1782" s="2" t="s">
        <v>26</v>
      </c>
      <c r="H1782" s="8" t="s">
        <v>28</v>
      </c>
      <c r="I1782" s="2" t="s">
        <v>26</v>
      </c>
      <c r="J1782" s="7">
        <v>44927</v>
      </c>
      <c r="K1782" s="8" t="s">
        <v>77</v>
      </c>
      <c r="L1782" s="2" t="s">
        <v>26</v>
      </c>
      <c r="M1782" s="8" t="s">
        <v>28</v>
      </c>
      <c r="N1782" s="6" t="s">
        <v>2264</v>
      </c>
      <c r="O1782" s="6" t="s">
        <v>30</v>
      </c>
      <c r="P1782" s="2" t="s">
        <v>13162</v>
      </c>
    </row>
    <row r="1783" spans="1:16" ht="13.15" x14ac:dyDescent="0.4">
      <c r="A1783" s="2" t="s">
        <v>11088</v>
      </c>
      <c r="B1783" s="2" t="s">
        <v>5885</v>
      </c>
      <c r="C1783" s="6" t="s">
        <v>5879</v>
      </c>
      <c r="D1783" s="6" t="s">
        <v>42</v>
      </c>
      <c r="E1783" s="7">
        <v>44927</v>
      </c>
      <c r="F1783" s="8" t="s">
        <v>77</v>
      </c>
      <c r="G1783" s="2" t="s">
        <v>26</v>
      </c>
      <c r="H1783" s="8" t="s">
        <v>28</v>
      </c>
      <c r="I1783" s="2" t="s">
        <v>26</v>
      </c>
      <c r="J1783" s="7">
        <v>44927</v>
      </c>
      <c r="K1783" s="8" t="s">
        <v>77</v>
      </c>
      <c r="L1783" s="2" t="s">
        <v>26</v>
      </c>
      <c r="M1783" s="8" t="s">
        <v>28</v>
      </c>
      <c r="N1783" s="6" t="s">
        <v>2264</v>
      </c>
      <c r="O1783" s="6" t="s">
        <v>30</v>
      </c>
      <c r="P1783" s="2" t="s">
        <v>13163</v>
      </c>
    </row>
    <row r="1784" spans="1:16" ht="13.15" x14ac:dyDescent="0.4">
      <c r="A1784" s="2" t="s">
        <v>11059</v>
      </c>
      <c r="B1784" s="2" t="s">
        <v>5885</v>
      </c>
      <c r="C1784" s="6" t="s">
        <v>5879</v>
      </c>
      <c r="D1784" s="6" t="s">
        <v>42</v>
      </c>
      <c r="E1784" s="7">
        <v>44927</v>
      </c>
      <c r="F1784" s="8" t="s">
        <v>77</v>
      </c>
      <c r="G1784" s="2" t="s">
        <v>26</v>
      </c>
      <c r="H1784" s="8" t="s">
        <v>28</v>
      </c>
      <c r="I1784" s="2" t="s">
        <v>26</v>
      </c>
      <c r="J1784" s="7">
        <v>44927</v>
      </c>
      <c r="K1784" s="8" t="s">
        <v>77</v>
      </c>
      <c r="L1784" s="2" t="s">
        <v>26</v>
      </c>
      <c r="M1784" s="8" t="s">
        <v>28</v>
      </c>
      <c r="N1784" s="6" t="s">
        <v>2264</v>
      </c>
      <c r="O1784" s="6" t="s">
        <v>30</v>
      </c>
      <c r="P1784" s="2" t="s">
        <v>13164</v>
      </c>
    </row>
    <row r="1785" spans="1:16" ht="13.15" x14ac:dyDescent="0.4">
      <c r="A1785" s="2" t="s">
        <v>11001</v>
      </c>
      <c r="B1785" s="2" t="s">
        <v>5885</v>
      </c>
      <c r="C1785" s="6" t="s">
        <v>5879</v>
      </c>
      <c r="D1785" s="6" t="s">
        <v>42</v>
      </c>
      <c r="E1785" s="7">
        <v>44927</v>
      </c>
      <c r="F1785" s="8" t="s">
        <v>77</v>
      </c>
      <c r="G1785" s="2" t="s">
        <v>26</v>
      </c>
      <c r="H1785" s="8" t="s">
        <v>28</v>
      </c>
      <c r="I1785" s="2" t="s">
        <v>26</v>
      </c>
      <c r="J1785" s="7">
        <v>44927</v>
      </c>
      <c r="K1785" s="8" t="s">
        <v>77</v>
      </c>
      <c r="L1785" s="2" t="s">
        <v>26</v>
      </c>
      <c r="M1785" s="8" t="s">
        <v>28</v>
      </c>
      <c r="N1785" s="6" t="s">
        <v>2264</v>
      </c>
      <c r="O1785" s="6" t="s">
        <v>30</v>
      </c>
      <c r="P1785" s="2" t="s">
        <v>13165</v>
      </c>
    </row>
    <row r="1786" spans="1:16" ht="13.15" x14ac:dyDescent="0.4">
      <c r="A1786" s="2" t="s">
        <v>11054</v>
      </c>
      <c r="B1786" s="2" t="s">
        <v>5885</v>
      </c>
      <c r="C1786" s="6" t="s">
        <v>5879</v>
      </c>
      <c r="D1786" s="6" t="s">
        <v>42</v>
      </c>
      <c r="E1786" s="7">
        <v>44927</v>
      </c>
      <c r="F1786" s="8" t="s">
        <v>77</v>
      </c>
      <c r="G1786" s="2" t="s">
        <v>26</v>
      </c>
      <c r="H1786" s="8" t="s">
        <v>28</v>
      </c>
      <c r="I1786" s="2" t="s">
        <v>26</v>
      </c>
      <c r="J1786" s="7">
        <v>44927</v>
      </c>
      <c r="K1786" s="8" t="s">
        <v>77</v>
      </c>
      <c r="L1786" s="2" t="s">
        <v>26</v>
      </c>
      <c r="M1786" s="8" t="s">
        <v>28</v>
      </c>
      <c r="N1786" s="6" t="s">
        <v>2264</v>
      </c>
      <c r="O1786" s="6" t="s">
        <v>30</v>
      </c>
      <c r="P1786" s="2" t="s">
        <v>13166</v>
      </c>
    </row>
    <row r="1787" spans="1:16" ht="13.15" x14ac:dyDescent="0.4">
      <c r="A1787" s="2" t="s">
        <v>11005</v>
      </c>
      <c r="B1787" s="2" t="s">
        <v>5885</v>
      </c>
      <c r="C1787" s="6" t="s">
        <v>5879</v>
      </c>
      <c r="D1787" s="6" t="s">
        <v>42</v>
      </c>
      <c r="E1787" s="7">
        <v>44927</v>
      </c>
      <c r="F1787" s="8" t="s">
        <v>77</v>
      </c>
      <c r="G1787" s="2" t="s">
        <v>26</v>
      </c>
      <c r="H1787" s="8" t="s">
        <v>28</v>
      </c>
      <c r="I1787" s="2" t="s">
        <v>26</v>
      </c>
      <c r="J1787" s="7">
        <v>44927</v>
      </c>
      <c r="K1787" s="8" t="s">
        <v>77</v>
      </c>
      <c r="L1787" s="2" t="s">
        <v>26</v>
      </c>
      <c r="M1787" s="8" t="s">
        <v>28</v>
      </c>
      <c r="N1787" s="6" t="s">
        <v>2264</v>
      </c>
      <c r="O1787" s="6" t="s">
        <v>30</v>
      </c>
      <c r="P1787" s="2" t="s">
        <v>13167</v>
      </c>
    </row>
    <row r="1788" spans="1:16" ht="13.15" x14ac:dyDescent="0.4">
      <c r="A1788" s="2" t="s">
        <v>11067</v>
      </c>
      <c r="B1788" s="2" t="s">
        <v>5885</v>
      </c>
      <c r="C1788" s="6" t="s">
        <v>5879</v>
      </c>
      <c r="D1788" s="6" t="s">
        <v>42</v>
      </c>
      <c r="E1788" s="7">
        <v>44927</v>
      </c>
      <c r="F1788" s="8" t="s">
        <v>77</v>
      </c>
      <c r="G1788" s="2" t="s">
        <v>26</v>
      </c>
      <c r="H1788" s="8" t="s">
        <v>28</v>
      </c>
      <c r="I1788" s="2" t="s">
        <v>26</v>
      </c>
      <c r="J1788" s="7">
        <v>44927</v>
      </c>
      <c r="K1788" s="8" t="s">
        <v>77</v>
      </c>
      <c r="L1788" s="2" t="s">
        <v>26</v>
      </c>
      <c r="M1788" s="8" t="s">
        <v>28</v>
      </c>
      <c r="N1788" s="6" t="s">
        <v>2264</v>
      </c>
      <c r="O1788" s="6" t="s">
        <v>30</v>
      </c>
      <c r="P1788" s="2" t="s">
        <v>13168</v>
      </c>
    </row>
    <row r="1789" spans="1:16" ht="13.15" x14ac:dyDescent="0.4">
      <c r="A1789" s="2" t="s">
        <v>11071</v>
      </c>
      <c r="B1789" s="2" t="s">
        <v>5885</v>
      </c>
      <c r="C1789" s="6" t="s">
        <v>5879</v>
      </c>
      <c r="D1789" s="6" t="s">
        <v>42</v>
      </c>
      <c r="E1789" s="7">
        <v>44927</v>
      </c>
      <c r="F1789" s="8" t="s">
        <v>77</v>
      </c>
      <c r="G1789" s="2" t="s">
        <v>26</v>
      </c>
      <c r="H1789" s="8" t="s">
        <v>28</v>
      </c>
      <c r="I1789" s="2" t="s">
        <v>26</v>
      </c>
      <c r="J1789" s="7">
        <v>44927</v>
      </c>
      <c r="K1789" s="8" t="s">
        <v>77</v>
      </c>
      <c r="L1789" s="2" t="s">
        <v>26</v>
      </c>
      <c r="M1789" s="8" t="s">
        <v>28</v>
      </c>
      <c r="N1789" s="6" t="s">
        <v>2264</v>
      </c>
      <c r="O1789" s="6" t="s">
        <v>30</v>
      </c>
      <c r="P1789" s="2" t="s">
        <v>13169</v>
      </c>
    </row>
    <row r="1790" spans="1:16" ht="13.15" x14ac:dyDescent="0.4">
      <c r="A1790" s="2" t="s">
        <v>11074</v>
      </c>
      <c r="B1790" s="2" t="s">
        <v>5885</v>
      </c>
      <c r="C1790" s="6" t="s">
        <v>5879</v>
      </c>
      <c r="D1790" s="6" t="s">
        <v>42</v>
      </c>
      <c r="E1790" s="7">
        <v>44927</v>
      </c>
      <c r="F1790" s="8" t="s">
        <v>77</v>
      </c>
      <c r="G1790" s="2" t="s">
        <v>26</v>
      </c>
      <c r="H1790" s="8" t="s">
        <v>28</v>
      </c>
      <c r="I1790" s="2" t="s">
        <v>26</v>
      </c>
      <c r="J1790" s="7">
        <v>44927</v>
      </c>
      <c r="K1790" s="8" t="s">
        <v>77</v>
      </c>
      <c r="L1790" s="2" t="s">
        <v>26</v>
      </c>
      <c r="M1790" s="8" t="s">
        <v>28</v>
      </c>
      <c r="N1790" s="6" t="s">
        <v>2264</v>
      </c>
      <c r="O1790" s="6" t="s">
        <v>30</v>
      </c>
      <c r="P1790" s="2" t="s">
        <v>13170</v>
      </c>
    </row>
    <row r="1791" spans="1:16" ht="13.15" x14ac:dyDescent="0.4">
      <c r="A1791" s="2" t="s">
        <v>11193</v>
      </c>
      <c r="B1791" s="2" t="s">
        <v>5885</v>
      </c>
      <c r="C1791" s="6" t="s">
        <v>5879</v>
      </c>
      <c r="D1791" s="6" t="s">
        <v>42</v>
      </c>
      <c r="E1791" s="7">
        <v>44927</v>
      </c>
      <c r="F1791" s="8" t="s">
        <v>77</v>
      </c>
      <c r="G1791" s="2" t="s">
        <v>26</v>
      </c>
      <c r="H1791" s="8" t="s">
        <v>28</v>
      </c>
      <c r="I1791" s="2" t="s">
        <v>26</v>
      </c>
      <c r="J1791" s="7">
        <v>44927</v>
      </c>
      <c r="K1791" s="8" t="s">
        <v>77</v>
      </c>
      <c r="L1791" s="2" t="s">
        <v>26</v>
      </c>
      <c r="M1791" s="8" t="s">
        <v>28</v>
      </c>
      <c r="N1791" s="6" t="s">
        <v>2264</v>
      </c>
      <c r="O1791" s="6" t="s">
        <v>30</v>
      </c>
      <c r="P1791" s="2" t="s">
        <v>13171</v>
      </c>
    </row>
    <row r="1792" spans="1:16" ht="13.15" x14ac:dyDescent="0.4">
      <c r="A1792" s="2" t="s">
        <v>11095</v>
      </c>
      <c r="B1792" s="2" t="s">
        <v>5885</v>
      </c>
      <c r="C1792" s="6" t="s">
        <v>5879</v>
      </c>
      <c r="D1792" s="6" t="s">
        <v>42</v>
      </c>
      <c r="E1792" s="7">
        <v>44927</v>
      </c>
      <c r="F1792" s="8" t="s">
        <v>77</v>
      </c>
      <c r="G1792" s="2" t="s">
        <v>26</v>
      </c>
      <c r="H1792" s="8" t="s">
        <v>28</v>
      </c>
      <c r="I1792" s="2" t="s">
        <v>26</v>
      </c>
      <c r="J1792" s="7">
        <v>44927</v>
      </c>
      <c r="K1792" s="8" t="s">
        <v>77</v>
      </c>
      <c r="L1792" s="2" t="s">
        <v>26</v>
      </c>
      <c r="M1792" s="8" t="s">
        <v>28</v>
      </c>
      <c r="N1792" s="6" t="s">
        <v>2264</v>
      </c>
      <c r="O1792" s="6" t="s">
        <v>30</v>
      </c>
      <c r="P1792" s="2" t="s">
        <v>13172</v>
      </c>
    </row>
    <row r="1793" spans="1:16" ht="13.15" x14ac:dyDescent="0.4">
      <c r="A1793" s="2" t="s">
        <v>11018</v>
      </c>
      <c r="B1793" s="2" t="s">
        <v>5885</v>
      </c>
      <c r="C1793" s="6" t="s">
        <v>5879</v>
      </c>
      <c r="D1793" s="6" t="s">
        <v>42</v>
      </c>
      <c r="E1793" s="7">
        <v>44927</v>
      </c>
      <c r="F1793" s="8" t="s">
        <v>77</v>
      </c>
      <c r="G1793" s="2" t="s">
        <v>26</v>
      </c>
      <c r="H1793" s="8" t="s">
        <v>28</v>
      </c>
      <c r="I1793" s="2" t="s">
        <v>26</v>
      </c>
      <c r="J1793" s="7">
        <v>44927</v>
      </c>
      <c r="K1793" s="8" t="s">
        <v>77</v>
      </c>
      <c r="L1793" s="2" t="s">
        <v>26</v>
      </c>
      <c r="M1793" s="8" t="s">
        <v>28</v>
      </c>
      <c r="N1793" s="6" t="s">
        <v>2264</v>
      </c>
      <c r="O1793" s="6" t="s">
        <v>30</v>
      </c>
      <c r="P1793" s="2" t="s">
        <v>13173</v>
      </c>
    </row>
    <row r="1794" spans="1:16" ht="13.15" x14ac:dyDescent="0.4">
      <c r="A1794" s="2" t="s">
        <v>10975</v>
      </c>
      <c r="B1794" s="2" t="s">
        <v>5885</v>
      </c>
      <c r="C1794" s="6" t="s">
        <v>5879</v>
      </c>
      <c r="D1794" s="6" t="s">
        <v>42</v>
      </c>
      <c r="E1794" s="7">
        <v>44927</v>
      </c>
      <c r="F1794" s="8" t="s">
        <v>77</v>
      </c>
      <c r="G1794" s="2" t="s">
        <v>26</v>
      </c>
      <c r="H1794" s="8" t="s">
        <v>28</v>
      </c>
      <c r="I1794" s="2" t="s">
        <v>26</v>
      </c>
      <c r="J1794" s="7">
        <v>44927</v>
      </c>
      <c r="K1794" s="8" t="s">
        <v>77</v>
      </c>
      <c r="L1794" s="2" t="s">
        <v>26</v>
      </c>
      <c r="M1794" s="8" t="s">
        <v>28</v>
      </c>
      <c r="N1794" s="6" t="s">
        <v>2264</v>
      </c>
      <c r="O1794" s="6" t="s">
        <v>30</v>
      </c>
      <c r="P1794" s="2" t="s">
        <v>13174</v>
      </c>
    </row>
    <row r="1795" spans="1:16" ht="13.15" x14ac:dyDescent="0.4">
      <c r="A1795" s="2" t="s">
        <v>11024</v>
      </c>
      <c r="B1795" s="2" t="s">
        <v>5885</v>
      </c>
      <c r="C1795" s="6" t="s">
        <v>5879</v>
      </c>
      <c r="D1795" s="6" t="s">
        <v>42</v>
      </c>
      <c r="E1795" s="7">
        <v>44927</v>
      </c>
      <c r="F1795" s="8" t="s">
        <v>77</v>
      </c>
      <c r="G1795" s="2" t="s">
        <v>26</v>
      </c>
      <c r="H1795" s="8" t="s">
        <v>28</v>
      </c>
      <c r="I1795" s="2" t="s">
        <v>26</v>
      </c>
      <c r="J1795" s="7">
        <v>44927</v>
      </c>
      <c r="K1795" s="8" t="s">
        <v>77</v>
      </c>
      <c r="L1795" s="2" t="s">
        <v>26</v>
      </c>
      <c r="M1795" s="8" t="s">
        <v>28</v>
      </c>
      <c r="N1795" s="6" t="s">
        <v>2264</v>
      </c>
      <c r="O1795" s="6" t="s">
        <v>30</v>
      </c>
      <c r="P1795" s="2" t="s">
        <v>13175</v>
      </c>
    </row>
    <row r="1796" spans="1:16" ht="13.15" x14ac:dyDescent="0.4">
      <c r="A1796" s="2" t="s">
        <v>11105</v>
      </c>
      <c r="B1796" s="2" t="s">
        <v>5885</v>
      </c>
      <c r="C1796" s="6" t="s">
        <v>5879</v>
      </c>
      <c r="D1796" s="6" t="s">
        <v>42</v>
      </c>
      <c r="E1796" s="7">
        <v>44927</v>
      </c>
      <c r="F1796" s="8" t="s">
        <v>77</v>
      </c>
      <c r="G1796" s="2" t="s">
        <v>26</v>
      </c>
      <c r="H1796" s="8" t="s">
        <v>28</v>
      </c>
      <c r="I1796" s="2" t="s">
        <v>26</v>
      </c>
      <c r="J1796" s="7">
        <v>44927</v>
      </c>
      <c r="K1796" s="8" t="s">
        <v>77</v>
      </c>
      <c r="L1796" s="2" t="s">
        <v>26</v>
      </c>
      <c r="M1796" s="8" t="s">
        <v>28</v>
      </c>
      <c r="N1796" s="6" t="s">
        <v>2264</v>
      </c>
      <c r="O1796" s="6" t="s">
        <v>30</v>
      </c>
      <c r="P1796" s="2" t="s">
        <v>13176</v>
      </c>
    </row>
    <row r="1797" spans="1:16" ht="13.15" x14ac:dyDescent="0.4">
      <c r="A1797" s="2" t="s">
        <v>11090</v>
      </c>
      <c r="B1797" s="2" t="s">
        <v>5885</v>
      </c>
      <c r="C1797" s="6" t="s">
        <v>5879</v>
      </c>
      <c r="D1797" s="6" t="s">
        <v>42</v>
      </c>
      <c r="E1797" s="7">
        <v>44927</v>
      </c>
      <c r="F1797" s="8" t="s">
        <v>77</v>
      </c>
      <c r="G1797" s="2" t="s">
        <v>26</v>
      </c>
      <c r="H1797" s="8" t="s">
        <v>28</v>
      </c>
      <c r="I1797" s="2" t="s">
        <v>26</v>
      </c>
      <c r="J1797" s="7">
        <v>44927</v>
      </c>
      <c r="K1797" s="8" t="s">
        <v>77</v>
      </c>
      <c r="L1797" s="2" t="s">
        <v>26</v>
      </c>
      <c r="M1797" s="8" t="s">
        <v>28</v>
      </c>
      <c r="N1797" s="6" t="s">
        <v>2264</v>
      </c>
      <c r="O1797" s="6" t="s">
        <v>30</v>
      </c>
      <c r="P1797" s="2" t="s">
        <v>13177</v>
      </c>
    </row>
    <row r="1798" spans="1:16" ht="13.15" x14ac:dyDescent="0.4">
      <c r="A1798" s="2" t="s">
        <v>10986</v>
      </c>
      <c r="B1798" s="2" t="s">
        <v>5885</v>
      </c>
      <c r="C1798" s="6" t="s">
        <v>5879</v>
      </c>
      <c r="D1798" s="6" t="s">
        <v>42</v>
      </c>
      <c r="E1798" s="7">
        <v>44927</v>
      </c>
      <c r="F1798" s="8" t="s">
        <v>77</v>
      </c>
      <c r="G1798" s="2" t="s">
        <v>26</v>
      </c>
      <c r="H1798" s="8" t="s">
        <v>28</v>
      </c>
      <c r="I1798" s="2" t="s">
        <v>26</v>
      </c>
      <c r="J1798" s="7">
        <v>44927</v>
      </c>
      <c r="K1798" s="8" t="s">
        <v>77</v>
      </c>
      <c r="L1798" s="2" t="s">
        <v>26</v>
      </c>
      <c r="M1798" s="8" t="s">
        <v>28</v>
      </c>
      <c r="N1798" s="6" t="s">
        <v>2264</v>
      </c>
      <c r="O1798" s="6" t="s">
        <v>30</v>
      </c>
      <c r="P1798" s="2" t="s">
        <v>13178</v>
      </c>
    </row>
    <row r="1799" spans="1:16" ht="13.15" x14ac:dyDescent="0.4">
      <c r="A1799" s="2" t="s">
        <v>11110</v>
      </c>
      <c r="B1799" s="2" t="s">
        <v>5885</v>
      </c>
      <c r="C1799" s="6" t="s">
        <v>5879</v>
      </c>
      <c r="D1799" s="6" t="s">
        <v>42</v>
      </c>
      <c r="E1799" s="7">
        <v>44927</v>
      </c>
      <c r="F1799" s="8" t="s">
        <v>77</v>
      </c>
      <c r="G1799" s="2" t="s">
        <v>26</v>
      </c>
      <c r="H1799" s="8" t="s">
        <v>28</v>
      </c>
      <c r="I1799" s="2" t="s">
        <v>26</v>
      </c>
      <c r="J1799" s="7">
        <v>44927</v>
      </c>
      <c r="K1799" s="8" t="s">
        <v>77</v>
      </c>
      <c r="L1799" s="2" t="s">
        <v>26</v>
      </c>
      <c r="M1799" s="8" t="s">
        <v>28</v>
      </c>
      <c r="N1799" s="6" t="s">
        <v>2264</v>
      </c>
      <c r="O1799" s="6" t="s">
        <v>30</v>
      </c>
      <c r="P1799" s="2" t="s">
        <v>13179</v>
      </c>
    </row>
    <row r="1800" spans="1:16" ht="13.15" x14ac:dyDescent="0.4">
      <c r="A1800" s="2" t="s">
        <v>11064</v>
      </c>
      <c r="B1800" s="2" t="s">
        <v>5885</v>
      </c>
      <c r="C1800" s="6" t="s">
        <v>5879</v>
      </c>
      <c r="D1800" s="6" t="s">
        <v>42</v>
      </c>
      <c r="E1800" s="7">
        <v>44927</v>
      </c>
      <c r="F1800" s="8" t="s">
        <v>77</v>
      </c>
      <c r="G1800" s="2" t="s">
        <v>26</v>
      </c>
      <c r="H1800" s="8" t="s">
        <v>28</v>
      </c>
      <c r="I1800" s="2" t="s">
        <v>26</v>
      </c>
      <c r="J1800" s="7">
        <v>44927</v>
      </c>
      <c r="K1800" s="8" t="s">
        <v>77</v>
      </c>
      <c r="L1800" s="2" t="s">
        <v>26</v>
      </c>
      <c r="M1800" s="8" t="s">
        <v>28</v>
      </c>
      <c r="N1800" s="6" t="s">
        <v>2264</v>
      </c>
      <c r="O1800" s="6" t="s">
        <v>30</v>
      </c>
      <c r="P1800" s="2" t="s">
        <v>13180</v>
      </c>
    </row>
    <row r="1801" spans="1:16" ht="13.15" x14ac:dyDescent="0.4">
      <c r="A1801" s="2" t="s">
        <v>10964</v>
      </c>
      <c r="B1801" s="2" t="s">
        <v>5885</v>
      </c>
      <c r="C1801" s="6" t="s">
        <v>5879</v>
      </c>
      <c r="D1801" s="6" t="s">
        <v>42</v>
      </c>
      <c r="E1801" s="7">
        <v>44927</v>
      </c>
      <c r="F1801" s="8" t="s">
        <v>77</v>
      </c>
      <c r="G1801" s="2" t="s">
        <v>26</v>
      </c>
      <c r="H1801" s="8" t="s">
        <v>28</v>
      </c>
      <c r="I1801" s="2" t="s">
        <v>26</v>
      </c>
      <c r="J1801" s="7">
        <v>44927</v>
      </c>
      <c r="K1801" s="8" t="s">
        <v>77</v>
      </c>
      <c r="L1801" s="2" t="s">
        <v>26</v>
      </c>
      <c r="M1801" s="8" t="s">
        <v>28</v>
      </c>
      <c r="N1801" s="6" t="s">
        <v>2264</v>
      </c>
      <c r="O1801" s="6" t="s">
        <v>30</v>
      </c>
      <c r="P1801" s="2" t="s">
        <v>13181</v>
      </c>
    </row>
    <row r="1802" spans="1:16" ht="13.15" x14ac:dyDescent="0.4">
      <c r="A1802" s="2" t="s">
        <v>9232</v>
      </c>
      <c r="B1802" s="2" t="s">
        <v>5885</v>
      </c>
      <c r="C1802" s="6" t="s">
        <v>5879</v>
      </c>
      <c r="D1802" s="6" t="s">
        <v>42</v>
      </c>
      <c r="E1802" s="7">
        <v>44927</v>
      </c>
      <c r="F1802" s="8" t="s">
        <v>77</v>
      </c>
      <c r="G1802" s="2" t="s">
        <v>26</v>
      </c>
      <c r="H1802" s="8" t="s">
        <v>28</v>
      </c>
      <c r="I1802" s="2" t="s">
        <v>26</v>
      </c>
      <c r="J1802" s="7">
        <v>44927</v>
      </c>
      <c r="K1802" s="8" t="s">
        <v>77</v>
      </c>
      <c r="L1802" s="2" t="s">
        <v>26</v>
      </c>
      <c r="M1802" s="8" t="s">
        <v>28</v>
      </c>
      <c r="N1802" s="6" t="s">
        <v>2264</v>
      </c>
      <c r="O1802" s="6" t="s">
        <v>30</v>
      </c>
      <c r="P1802" s="2" t="s">
        <v>13182</v>
      </c>
    </row>
    <row r="1803" spans="1:16" ht="13.15" x14ac:dyDescent="0.4">
      <c r="A1803" s="2" t="s">
        <v>11113</v>
      </c>
      <c r="B1803" s="2" t="s">
        <v>5885</v>
      </c>
      <c r="C1803" s="6" t="s">
        <v>5879</v>
      </c>
      <c r="D1803" s="6" t="s">
        <v>42</v>
      </c>
      <c r="E1803" s="7">
        <v>44927</v>
      </c>
      <c r="F1803" s="8" t="s">
        <v>77</v>
      </c>
      <c r="G1803" s="2" t="s">
        <v>26</v>
      </c>
      <c r="H1803" s="8" t="s">
        <v>28</v>
      </c>
      <c r="I1803" s="2" t="s">
        <v>26</v>
      </c>
      <c r="J1803" s="7">
        <v>44927</v>
      </c>
      <c r="K1803" s="8" t="s">
        <v>77</v>
      </c>
      <c r="L1803" s="2" t="s">
        <v>26</v>
      </c>
      <c r="M1803" s="8" t="s">
        <v>28</v>
      </c>
      <c r="N1803" s="6" t="s">
        <v>2264</v>
      </c>
      <c r="O1803" s="6" t="s">
        <v>30</v>
      </c>
      <c r="P1803" s="2" t="s">
        <v>13183</v>
      </c>
    </row>
    <row r="1804" spans="1:16" ht="13.15" x14ac:dyDescent="0.4">
      <c r="A1804" s="2" t="s">
        <v>11109</v>
      </c>
      <c r="B1804" s="2" t="s">
        <v>5885</v>
      </c>
      <c r="C1804" s="6" t="s">
        <v>5879</v>
      </c>
      <c r="D1804" s="6" t="s">
        <v>42</v>
      </c>
      <c r="E1804" s="7">
        <v>44927</v>
      </c>
      <c r="F1804" s="8" t="s">
        <v>77</v>
      </c>
      <c r="G1804" s="2" t="s">
        <v>26</v>
      </c>
      <c r="H1804" s="8" t="s">
        <v>28</v>
      </c>
      <c r="I1804" s="2" t="s">
        <v>26</v>
      </c>
      <c r="J1804" s="7">
        <v>44927</v>
      </c>
      <c r="K1804" s="8" t="s">
        <v>77</v>
      </c>
      <c r="L1804" s="2" t="s">
        <v>26</v>
      </c>
      <c r="M1804" s="8" t="s">
        <v>28</v>
      </c>
      <c r="N1804" s="6" t="s">
        <v>2264</v>
      </c>
      <c r="O1804" s="6" t="s">
        <v>30</v>
      </c>
      <c r="P1804" s="2" t="s">
        <v>13184</v>
      </c>
    </row>
    <row r="1805" spans="1:16" ht="13.15" x14ac:dyDescent="0.4">
      <c r="A1805" s="2" t="s">
        <v>11013</v>
      </c>
      <c r="B1805" s="2" t="s">
        <v>5885</v>
      </c>
      <c r="C1805" s="6" t="s">
        <v>5879</v>
      </c>
      <c r="D1805" s="6" t="s">
        <v>42</v>
      </c>
      <c r="E1805" s="7">
        <v>44927</v>
      </c>
      <c r="F1805" s="8" t="s">
        <v>77</v>
      </c>
      <c r="G1805" s="2" t="s">
        <v>26</v>
      </c>
      <c r="H1805" s="8" t="s">
        <v>28</v>
      </c>
      <c r="I1805" s="2" t="s">
        <v>26</v>
      </c>
      <c r="J1805" s="7">
        <v>44927</v>
      </c>
      <c r="K1805" s="8" t="s">
        <v>77</v>
      </c>
      <c r="L1805" s="2" t="s">
        <v>26</v>
      </c>
      <c r="M1805" s="8" t="s">
        <v>28</v>
      </c>
      <c r="N1805" s="6" t="s">
        <v>2264</v>
      </c>
      <c r="O1805" s="6" t="s">
        <v>30</v>
      </c>
      <c r="P1805" s="2" t="s">
        <v>13185</v>
      </c>
    </row>
    <row r="1806" spans="1:16" ht="13.15" x14ac:dyDescent="0.4">
      <c r="A1806" s="2" t="s">
        <v>11056</v>
      </c>
      <c r="B1806" s="2" t="s">
        <v>5885</v>
      </c>
      <c r="C1806" s="6" t="s">
        <v>5879</v>
      </c>
      <c r="D1806" s="6" t="s">
        <v>42</v>
      </c>
      <c r="E1806" s="7">
        <v>44927</v>
      </c>
      <c r="F1806" s="8" t="s">
        <v>77</v>
      </c>
      <c r="G1806" s="2" t="s">
        <v>26</v>
      </c>
      <c r="H1806" s="8" t="s">
        <v>28</v>
      </c>
      <c r="I1806" s="2" t="s">
        <v>26</v>
      </c>
      <c r="J1806" s="7">
        <v>44927</v>
      </c>
      <c r="K1806" s="8" t="s">
        <v>77</v>
      </c>
      <c r="L1806" s="2" t="s">
        <v>26</v>
      </c>
      <c r="M1806" s="8" t="s">
        <v>28</v>
      </c>
      <c r="N1806" s="6" t="s">
        <v>2264</v>
      </c>
      <c r="O1806" s="6" t="s">
        <v>30</v>
      </c>
      <c r="P1806" s="2" t="s">
        <v>13186</v>
      </c>
    </row>
    <row r="1807" spans="1:16" ht="13.15" x14ac:dyDescent="0.4">
      <c r="A1807" s="2" t="s">
        <v>11101</v>
      </c>
      <c r="B1807" s="2" t="s">
        <v>5885</v>
      </c>
      <c r="C1807" s="6" t="s">
        <v>5879</v>
      </c>
      <c r="D1807" s="6" t="s">
        <v>42</v>
      </c>
      <c r="E1807" s="7">
        <v>44927</v>
      </c>
      <c r="F1807" s="8" t="s">
        <v>77</v>
      </c>
      <c r="G1807" s="2" t="s">
        <v>26</v>
      </c>
      <c r="H1807" s="8" t="s">
        <v>28</v>
      </c>
      <c r="I1807" s="2" t="s">
        <v>26</v>
      </c>
      <c r="J1807" s="7">
        <v>44927</v>
      </c>
      <c r="K1807" s="8" t="s">
        <v>77</v>
      </c>
      <c r="L1807" s="2" t="s">
        <v>26</v>
      </c>
      <c r="M1807" s="8" t="s">
        <v>28</v>
      </c>
      <c r="N1807" s="6" t="s">
        <v>2264</v>
      </c>
      <c r="O1807" s="6" t="s">
        <v>30</v>
      </c>
      <c r="P1807" s="2" t="s">
        <v>13187</v>
      </c>
    </row>
    <row r="1808" spans="1:16" ht="13.15" x14ac:dyDescent="0.4">
      <c r="A1808" s="2" t="s">
        <v>10991</v>
      </c>
      <c r="B1808" s="2" t="s">
        <v>5885</v>
      </c>
      <c r="C1808" s="6" t="s">
        <v>5879</v>
      </c>
      <c r="D1808" s="6" t="s">
        <v>42</v>
      </c>
      <c r="E1808" s="7">
        <v>44927</v>
      </c>
      <c r="F1808" s="8" t="s">
        <v>77</v>
      </c>
      <c r="G1808" s="2" t="s">
        <v>26</v>
      </c>
      <c r="H1808" s="8" t="s">
        <v>28</v>
      </c>
      <c r="I1808" s="2" t="s">
        <v>26</v>
      </c>
      <c r="J1808" s="7">
        <v>44927</v>
      </c>
      <c r="K1808" s="8" t="s">
        <v>77</v>
      </c>
      <c r="L1808" s="2" t="s">
        <v>26</v>
      </c>
      <c r="M1808" s="8" t="s">
        <v>28</v>
      </c>
      <c r="N1808" s="6" t="s">
        <v>2264</v>
      </c>
      <c r="O1808" s="6" t="s">
        <v>30</v>
      </c>
      <c r="P1808" s="2" t="s">
        <v>13188</v>
      </c>
    </row>
    <row r="1809" spans="1:16" ht="13.15" x14ac:dyDescent="0.4">
      <c r="A1809" s="2" t="s">
        <v>10993</v>
      </c>
      <c r="B1809" s="2" t="s">
        <v>5885</v>
      </c>
      <c r="C1809" s="6" t="s">
        <v>5879</v>
      </c>
      <c r="D1809" s="6" t="s">
        <v>42</v>
      </c>
      <c r="E1809" s="7">
        <v>44927</v>
      </c>
      <c r="F1809" s="8" t="s">
        <v>77</v>
      </c>
      <c r="G1809" s="2" t="s">
        <v>26</v>
      </c>
      <c r="H1809" s="8" t="s">
        <v>28</v>
      </c>
      <c r="I1809" s="2" t="s">
        <v>26</v>
      </c>
      <c r="J1809" s="7">
        <v>44927</v>
      </c>
      <c r="K1809" s="8" t="s">
        <v>77</v>
      </c>
      <c r="L1809" s="2" t="s">
        <v>26</v>
      </c>
      <c r="M1809" s="8" t="s">
        <v>28</v>
      </c>
      <c r="N1809" s="6" t="s">
        <v>2264</v>
      </c>
      <c r="O1809" s="6" t="s">
        <v>30</v>
      </c>
      <c r="P1809" s="2" t="s">
        <v>13189</v>
      </c>
    </row>
    <row r="1810" spans="1:16" ht="13.15" x14ac:dyDescent="0.4">
      <c r="A1810" s="2" t="s">
        <v>11028</v>
      </c>
      <c r="B1810" s="2" t="s">
        <v>5885</v>
      </c>
      <c r="C1810" s="6" t="s">
        <v>5879</v>
      </c>
      <c r="D1810" s="6" t="s">
        <v>42</v>
      </c>
      <c r="E1810" s="7">
        <v>44927</v>
      </c>
      <c r="F1810" s="8" t="s">
        <v>77</v>
      </c>
      <c r="G1810" s="2" t="s">
        <v>26</v>
      </c>
      <c r="H1810" s="8" t="s">
        <v>28</v>
      </c>
      <c r="I1810" s="2" t="s">
        <v>26</v>
      </c>
      <c r="J1810" s="7">
        <v>44927</v>
      </c>
      <c r="K1810" s="8" t="s">
        <v>77</v>
      </c>
      <c r="L1810" s="2" t="s">
        <v>26</v>
      </c>
      <c r="M1810" s="8" t="s">
        <v>28</v>
      </c>
      <c r="N1810" s="6" t="s">
        <v>2264</v>
      </c>
      <c r="O1810" s="6" t="s">
        <v>30</v>
      </c>
      <c r="P1810" s="2" t="s">
        <v>13190</v>
      </c>
    </row>
    <row r="1811" spans="1:16" ht="13.15" x14ac:dyDescent="0.4">
      <c r="A1811" s="2" t="s">
        <v>11093</v>
      </c>
      <c r="B1811" s="2" t="s">
        <v>5885</v>
      </c>
      <c r="C1811" s="6" t="s">
        <v>5879</v>
      </c>
      <c r="D1811" s="6" t="s">
        <v>42</v>
      </c>
      <c r="E1811" s="7">
        <v>44927</v>
      </c>
      <c r="F1811" s="8" t="s">
        <v>77</v>
      </c>
      <c r="G1811" s="2" t="s">
        <v>26</v>
      </c>
      <c r="H1811" s="8" t="s">
        <v>28</v>
      </c>
      <c r="I1811" s="2" t="s">
        <v>26</v>
      </c>
      <c r="J1811" s="7">
        <v>44927</v>
      </c>
      <c r="K1811" s="8" t="s">
        <v>77</v>
      </c>
      <c r="L1811" s="2" t="s">
        <v>26</v>
      </c>
      <c r="M1811" s="8" t="s">
        <v>28</v>
      </c>
      <c r="N1811" s="6" t="s">
        <v>2264</v>
      </c>
      <c r="O1811" s="6" t="s">
        <v>30</v>
      </c>
      <c r="P1811" s="2" t="s">
        <v>13191</v>
      </c>
    </row>
    <row r="1812" spans="1:16" ht="13.15" x14ac:dyDescent="0.4">
      <c r="A1812" s="2" t="s">
        <v>10956</v>
      </c>
      <c r="B1812" s="2" t="s">
        <v>5885</v>
      </c>
      <c r="C1812" s="6" t="s">
        <v>5879</v>
      </c>
      <c r="D1812" s="6" t="s">
        <v>42</v>
      </c>
      <c r="E1812" s="7">
        <v>44927</v>
      </c>
      <c r="F1812" s="8" t="s">
        <v>77</v>
      </c>
      <c r="G1812" s="2" t="s">
        <v>26</v>
      </c>
      <c r="H1812" s="8" t="s">
        <v>28</v>
      </c>
      <c r="I1812" s="2" t="s">
        <v>26</v>
      </c>
      <c r="J1812" s="7">
        <v>44927</v>
      </c>
      <c r="K1812" s="8" t="s">
        <v>77</v>
      </c>
      <c r="L1812" s="2" t="s">
        <v>26</v>
      </c>
      <c r="M1812" s="8" t="s">
        <v>28</v>
      </c>
      <c r="N1812" s="6" t="s">
        <v>2264</v>
      </c>
      <c r="O1812" s="6" t="s">
        <v>30</v>
      </c>
      <c r="P1812" s="2" t="s">
        <v>13192</v>
      </c>
    </row>
    <row r="1813" spans="1:16" ht="13.15" x14ac:dyDescent="0.4">
      <c r="A1813" s="2" t="s">
        <v>11100</v>
      </c>
      <c r="B1813" s="2" t="s">
        <v>5885</v>
      </c>
      <c r="C1813" s="6" t="s">
        <v>5879</v>
      </c>
      <c r="D1813" s="6" t="s">
        <v>42</v>
      </c>
      <c r="E1813" s="7">
        <v>44927</v>
      </c>
      <c r="F1813" s="8" t="s">
        <v>77</v>
      </c>
      <c r="G1813" s="2" t="s">
        <v>26</v>
      </c>
      <c r="H1813" s="8" t="s">
        <v>28</v>
      </c>
      <c r="I1813" s="2" t="s">
        <v>26</v>
      </c>
      <c r="J1813" s="7">
        <v>44927</v>
      </c>
      <c r="K1813" s="8" t="s">
        <v>77</v>
      </c>
      <c r="L1813" s="2" t="s">
        <v>26</v>
      </c>
      <c r="M1813" s="8" t="s">
        <v>28</v>
      </c>
      <c r="N1813" s="6" t="s">
        <v>2264</v>
      </c>
      <c r="O1813" s="6" t="s">
        <v>30</v>
      </c>
      <c r="P1813" s="2" t="s">
        <v>13193</v>
      </c>
    </row>
    <row r="1814" spans="1:16" ht="13.15" x14ac:dyDescent="0.4">
      <c r="A1814" s="2" t="s">
        <v>8725</v>
      </c>
      <c r="B1814" s="2" t="s">
        <v>5885</v>
      </c>
      <c r="C1814" s="6" t="s">
        <v>5879</v>
      </c>
      <c r="D1814" s="6" t="s">
        <v>42</v>
      </c>
      <c r="E1814" s="7">
        <v>44927</v>
      </c>
      <c r="F1814" s="8" t="s">
        <v>77</v>
      </c>
      <c r="G1814" s="2" t="s">
        <v>26</v>
      </c>
      <c r="H1814" s="8" t="s">
        <v>28</v>
      </c>
      <c r="I1814" s="2" t="s">
        <v>26</v>
      </c>
      <c r="J1814" s="7">
        <v>44927</v>
      </c>
      <c r="K1814" s="8" t="s">
        <v>77</v>
      </c>
      <c r="L1814" s="2" t="s">
        <v>26</v>
      </c>
      <c r="M1814" s="8" t="s">
        <v>28</v>
      </c>
      <c r="N1814" s="6" t="s">
        <v>2264</v>
      </c>
      <c r="O1814" s="6" t="s">
        <v>30</v>
      </c>
      <c r="P1814" s="2" t="s">
        <v>13194</v>
      </c>
    </row>
    <row r="1815" spans="1:16" ht="13.15" x14ac:dyDescent="0.4">
      <c r="A1815" s="2" t="s">
        <v>10963</v>
      </c>
      <c r="B1815" s="2" t="s">
        <v>5885</v>
      </c>
      <c r="C1815" s="6" t="s">
        <v>5879</v>
      </c>
      <c r="D1815" s="6" t="s">
        <v>42</v>
      </c>
      <c r="E1815" s="7">
        <v>44927</v>
      </c>
      <c r="F1815" s="8" t="s">
        <v>77</v>
      </c>
      <c r="G1815" s="2" t="s">
        <v>26</v>
      </c>
      <c r="H1815" s="8" t="s">
        <v>28</v>
      </c>
      <c r="I1815" s="2" t="s">
        <v>26</v>
      </c>
      <c r="J1815" s="7">
        <v>44927</v>
      </c>
      <c r="K1815" s="8" t="s">
        <v>77</v>
      </c>
      <c r="L1815" s="2" t="s">
        <v>26</v>
      </c>
      <c r="M1815" s="8" t="s">
        <v>28</v>
      </c>
      <c r="N1815" s="6" t="s">
        <v>2264</v>
      </c>
      <c r="O1815" s="6" t="s">
        <v>30</v>
      </c>
      <c r="P1815" s="2" t="s">
        <v>13195</v>
      </c>
    </row>
    <row r="1816" spans="1:16" ht="13.15" x14ac:dyDescent="0.4">
      <c r="A1816" s="2" t="s">
        <v>10983</v>
      </c>
      <c r="B1816" s="2" t="s">
        <v>5885</v>
      </c>
      <c r="C1816" s="6" t="s">
        <v>5879</v>
      </c>
      <c r="D1816" s="6" t="s">
        <v>42</v>
      </c>
      <c r="E1816" s="7">
        <v>44927</v>
      </c>
      <c r="F1816" s="8" t="s">
        <v>77</v>
      </c>
      <c r="G1816" s="2" t="s">
        <v>26</v>
      </c>
      <c r="H1816" s="8" t="s">
        <v>28</v>
      </c>
      <c r="I1816" s="2" t="s">
        <v>26</v>
      </c>
      <c r="J1816" s="7">
        <v>44927</v>
      </c>
      <c r="K1816" s="8" t="s">
        <v>77</v>
      </c>
      <c r="L1816" s="2" t="s">
        <v>26</v>
      </c>
      <c r="M1816" s="8" t="s">
        <v>28</v>
      </c>
      <c r="N1816" s="6" t="s">
        <v>2264</v>
      </c>
      <c r="O1816" s="6" t="s">
        <v>30</v>
      </c>
      <c r="P1816" s="2" t="s">
        <v>13196</v>
      </c>
    </row>
    <row r="1817" spans="1:16" ht="13.15" x14ac:dyDescent="0.4">
      <c r="A1817" s="2" t="s">
        <v>11061</v>
      </c>
      <c r="B1817" s="2" t="s">
        <v>5885</v>
      </c>
      <c r="C1817" s="6" t="s">
        <v>5879</v>
      </c>
      <c r="D1817" s="6" t="s">
        <v>42</v>
      </c>
      <c r="E1817" s="7">
        <v>44927</v>
      </c>
      <c r="F1817" s="8" t="s">
        <v>77</v>
      </c>
      <c r="G1817" s="2" t="s">
        <v>26</v>
      </c>
      <c r="H1817" s="8" t="s">
        <v>28</v>
      </c>
      <c r="I1817" s="2" t="s">
        <v>26</v>
      </c>
      <c r="J1817" s="7">
        <v>44927</v>
      </c>
      <c r="K1817" s="8" t="s">
        <v>77</v>
      </c>
      <c r="L1817" s="2" t="s">
        <v>26</v>
      </c>
      <c r="M1817" s="8" t="s">
        <v>28</v>
      </c>
      <c r="N1817" s="6" t="s">
        <v>2264</v>
      </c>
      <c r="O1817" s="6" t="s">
        <v>30</v>
      </c>
      <c r="P1817" s="2" t="s">
        <v>13197</v>
      </c>
    </row>
    <row r="1818" spans="1:16" ht="13.15" x14ac:dyDescent="0.4">
      <c r="A1818" s="2" t="s">
        <v>10945</v>
      </c>
      <c r="B1818" s="2" t="s">
        <v>5885</v>
      </c>
      <c r="C1818" s="6" t="s">
        <v>5879</v>
      </c>
      <c r="D1818" s="6" t="s">
        <v>42</v>
      </c>
      <c r="E1818" s="7">
        <v>44927</v>
      </c>
      <c r="F1818" s="8" t="s">
        <v>77</v>
      </c>
      <c r="G1818" s="2" t="s">
        <v>26</v>
      </c>
      <c r="H1818" s="8" t="s">
        <v>28</v>
      </c>
      <c r="I1818" s="2" t="s">
        <v>26</v>
      </c>
      <c r="J1818" s="7">
        <v>44927</v>
      </c>
      <c r="K1818" s="8" t="s">
        <v>77</v>
      </c>
      <c r="L1818" s="2" t="s">
        <v>26</v>
      </c>
      <c r="M1818" s="8" t="s">
        <v>28</v>
      </c>
      <c r="N1818" s="6" t="s">
        <v>2264</v>
      </c>
      <c r="O1818" s="6" t="s">
        <v>30</v>
      </c>
      <c r="P1818" s="2" t="s">
        <v>13198</v>
      </c>
    </row>
    <row r="1819" spans="1:16" ht="13.15" x14ac:dyDescent="0.4">
      <c r="A1819" s="2" t="s">
        <v>11097</v>
      </c>
      <c r="B1819" s="2" t="s">
        <v>5885</v>
      </c>
      <c r="C1819" s="6" t="s">
        <v>5879</v>
      </c>
      <c r="D1819" s="6" t="s">
        <v>42</v>
      </c>
      <c r="E1819" s="7">
        <v>44927</v>
      </c>
      <c r="F1819" s="8" t="s">
        <v>77</v>
      </c>
      <c r="G1819" s="2" t="s">
        <v>26</v>
      </c>
      <c r="H1819" s="8" t="s">
        <v>28</v>
      </c>
      <c r="I1819" s="2" t="s">
        <v>26</v>
      </c>
      <c r="J1819" s="7">
        <v>44927</v>
      </c>
      <c r="K1819" s="8" t="s">
        <v>77</v>
      </c>
      <c r="L1819" s="2" t="s">
        <v>26</v>
      </c>
      <c r="M1819" s="8" t="s">
        <v>28</v>
      </c>
      <c r="N1819" s="6" t="s">
        <v>2264</v>
      </c>
      <c r="O1819" s="6" t="s">
        <v>30</v>
      </c>
      <c r="P1819" s="2" t="s">
        <v>13199</v>
      </c>
    </row>
    <row r="1820" spans="1:16" ht="13.15" x14ac:dyDescent="0.4">
      <c r="A1820" s="2" t="s">
        <v>11020</v>
      </c>
      <c r="B1820" s="2" t="s">
        <v>5885</v>
      </c>
      <c r="C1820" s="6" t="s">
        <v>5879</v>
      </c>
      <c r="D1820" s="6" t="s">
        <v>42</v>
      </c>
      <c r="E1820" s="7">
        <v>44927</v>
      </c>
      <c r="F1820" s="8" t="s">
        <v>77</v>
      </c>
      <c r="G1820" s="2" t="s">
        <v>26</v>
      </c>
      <c r="H1820" s="8" t="s">
        <v>28</v>
      </c>
      <c r="I1820" s="2" t="s">
        <v>26</v>
      </c>
      <c r="J1820" s="7">
        <v>44927</v>
      </c>
      <c r="K1820" s="8" t="s">
        <v>77</v>
      </c>
      <c r="L1820" s="2" t="s">
        <v>26</v>
      </c>
      <c r="M1820" s="8" t="s">
        <v>28</v>
      </c>
      <c r="N1820" s="6" t="s">
        <v>2264</v>
      </c>
      <c r="O1820" s="6" t="s">
        <v>30</v>
      </c>
      <c r="P1820" s="2" t="s">
        <v>13200</v>
      </c>
    </row>
    <row r="1821" spans="1:16" ht="13.15" x14ac:dyDescent="0.4">
      <c r="A1821" s="2" t="s">
        <v>10959</v>
      </c>
      <c r="B1821" s="2" t="s">
        <v>5885</v>
      </c>
      <c r="C1821" s="6" t="s">
        <v>5879</v>
      </c>
      <c r="D1821" s="6" t="s">
        <v>42</v>
      </c>
      <c r="E1821" s="7">
        <v>44927</v>
      </c>
      <c r="F1821" s="8" t="s">
        <v>77</v>
      </c>
      <c r="G1821" s="2" t="s">
        <v>26</v>
      </c>
      <c r="H1821" s="8" t="s">
        <v>28</v>
      </c>
      <c r="I1821" s="2" t="s">
        <v>26</v>
      </c>
      <c r="J1821" s="7">
        <v>44927</v>
      </c>
      <c r="K1821" s="8" t="s">
        <v>77</v>
      </c>
      <c r="L1821" s="2" t="s">
        <v>26</v>
      </c>
      <c r="M1821" s="8" t="s">
        <v>28</v>
      </c>
      <c r="N1821" s="6" t="s">
        <v>2264</v>
      </c>
      <c r="O1821" s="6" t="s">
        <v>30</v>
      </c>
      <c r="P1821" s="2" t="s">
        <v>13201</v>
      </c>
    </row>
    <row r="1822" spans="1:16" ht="13.15" x14ac:dyDescent="0.4">
      <c r="A1822" s="2" t="s">
        <v>9144</v>
      </c>
      <c r="B1822" s="2" t="s">
        <v>5885</v>
      </c>
      <c r="C1822" s="6" t="s">
        <v>5879</v>
      </c>
      <c r="D1822" s="6" t="s">
        <v>42</v>
      </c>
      <c r="E1822" s="7">
        <v>44927</v>
      </c>
      <c r="F1822" s="8" t="s">
        <v>77</v>
      </c>
      <c r="G1822" s="2" t="s">
        <v>26</v>
      </c>
      <c r="H1822" s="8" t="s">
        <v>28</v>
      </c>
      <c r="I1822" s="2" t="s">
        <v>26</v>
      </c>
      <c r="J1822" s="7">
        <v>44927</v>
      </c>
      <c r="K1822" s="8" t="s">
        <v>77</v>
      </c>
      <c r="L1822" s="2" t="s">
        <v>26</v>
      </c>
      <c r="M1822" s="8" t="s">
        <v>28</v>
      </c>
      <c r="N1822" s="6" t="s">
        <v>2264</v>
      </c>
      <c r="O1822" s="6" t="s">
        <v>30</v>
      </c>
      <c r="P1822" s="2" t="s">
        <v>13202</v>
      </c>
    </row>
    <row r="1823" spans="1:16" ht="13.15" x14ac:dyDescent="0.4">
      <c r="A1823" s="2" t="s">
        <v>11002</v>
      </c>
      <c r="B1823" s="2" t="s">
        <v>5885</v>
      </c>
      <c r="C1823" s="6" t="s">
        <v>5879</v>
      </c>
      <c r="D1823" s="6" t="s">
        <v>42</v>
      </c>
      <c r="E1823" s="7">
        <v>44927</v>
      </c>
      <c r="F1823" s="8" t="s">
        <v>77</v>
      </c>
      <c r="G1823" s="2" t="s">
        <v>26</v>
      </c>
      <c r="H1823" s="8" t="s">
        <v>28</v>
      </c>
      <c r="I1823" s="2" t="s">
        <v>26</v>
      </c>
      <c r="J1823" s="7">
        <v>44927</v>
      </c>
      <c r="K1823" s="8" t="s">
        <v>77</v>
      </c>
      <c r="L1823" s="2" t="s">
        <v>26</v>
      </c>
      <c r="M1823" s="8" t="s">
        <v>28</v>
      </c>
      <c r="N1823" s="6" t="s">
        <v>2264</v>
      </c>
      <c r="O1823" s="6" t="s">
        <v>30</v>
      </c>
      <c r="P1823" s="2" t="s">
        <v>13203</v>
      </c>
    </row>
    <row r="1824" spans="1:16" ht="13.15" x14ac:dyDescent="0.4">
      <c r="A1824" s="2" t="s">
        <v>10998</v>
      </c>
      <c r="B1824" s="2" t="s">
        <v>5885</v>
      </c>
      <c r="C1824" s="6" t="s">
        <v>5879</v>
      </c>
      <c r="D1824" s="6" t="s">
        <v>42</v>
      </c>
      <c r="E1824" s="7">
        <v>44927</v>
      </c>
      <c r="F1824" s="8" t="s">
        <v>77</v>
      </c>
      <c r="G1824" s="2" t="s">
        <v>26</v>
      </c>
      <c r="H1824" s="8" t="s">
        <v>28</v>
      </c>
      <c r="I1824" s="2" t="s">
        <v>26</v>
      </c>
      <c r="J1824" s="7">
        <v>44927</v>
      </c>
      <c r="K1824" s="8" t="s">
        <v>77</v>
      </c>
      <c r="L1824" s="2" t="s">
        <v>26</v>
      </c>
      <c r="M1824" s="8" t="s">
        <v>28</v>
      </c>
      <c r="N1824" s="6" t="s">
        <v>2264</v>
      </c>
      <c r="O1824" s="6" t="s">
        <v>30</v>
      </c>
      <c r="P1824" s="2" t="s">
        <v>13204</v>
      </c>
    </row>
    <row r="1825" spans="1:16" ht="13.15" x14ac:dyDescent="0.4">
      <c r="A1825" s="2" t="s">
        <v>11083</v>
      </c>
      <c r="B1825" s="2" t="s">
        <v>5885</v>
      </c>
      <c r="C1825" s="6" t="s">
        <v>5879</v>
      </c>
      <c r="D1825" s="6" t="s">
        <v>42</v>
      </c>
      <c r="E1825" s="7">
        <v>44927</v>
      </c>
      <c r="F1825" s="8" t="s">
        <v>77</v>
      </c>
      <c r="G1825" s="2" t="s">
        <v>26</v>
      </c>
      <c r="H1825" s="8" t="s">
        <v>28</v>
      </c>
      <c r="I1825" s="2" t="s">
        <v>26</v>
      </c>
      <c r="J1825" s="7">
        <v>44927</v>
      </c>
      <c r="K1825" s="8" t="s">
        <v>77</v>
      </c>
      <c r="L1825" s="2" t="s">
        <v>26</v>
      </c>
      <c r="M1825" s="8" t="s">
        <v>28</v>
      </c>
      <c r="N1825" s="6" t="s">
        <v>2264</v>
      </c>
      <c r="O1825" s="6" t="s">
        <v>30</v>
      </c>
      <c r="P1825" s="2" t="s">
        <v>13205</v>
      </c>
    </row>
    <row r="1826" spans="1:16" ht="13.15" x14ac:dyDescent="0.4">
      <c r="A1826" s="2" t="s">
        <v>10950</v>
      </c>
      <c r="B1826" s="2" t="s">
        <v>5885</v>
      </c>
      <c r="C1826" s="6" t="s">
        <v>5879</v>
      </c>
      <c r="D1826" s="6" t="s">
        <v>42</v>
      </c>
      <c r="E1826" s="7">
        <v>44927</v>
      </c>
      <c r="F1826" s="8" t="s">
        <v>77</v>
      </c>
      <c r="G1826" s="2" t="s">
        <v>26</v>
      </c>
      <c r="H1826" s="8" t="s">
        <v>28</v>
      </c>
      <c r="I1826" s="2" t="s">
        <v>26</v>
      </c>
      <c r="J1826" s="7">
        <v>44927</v>
      </c>
      <c r="K1826" s="8" t="s">
        <v>77</v>
      </c>
      <c r="L1826" s="2" t="s">
        <v>26</v>
      </c>
      <c r="M1826" s="8" t="s">
        <v>28</v>
      </c>
      <c r="N1826" s="6" t="s">
        <v>2264</v>
      </c>
      <c r="O1826" s="6" t="s">
        <v>30</v>
      </c>
      <c r="P1826" s="2" t="s">
        <v>13206</v>
      </c>
    </row>
    <row r="1827" spans="1:16" ht="13.15" x14ac:dyDescent="0.4">
      <c r="A1827" s="2" t="s">
        <v>11048</v>
      </c>
      <c r="B1827" s="2" t="s">
        <v>5885</v>
      </c>
      <c r="C1827" s="6" t="s">
        <v>5879</v>
      </c>
      <c r="D1827" s="6" t="s">
        <v>42</v>
      </c>
      <c r="E1827" s="7">
        <v>44927</v>
      </c>
      <c r="F1827" s="8" t="s">
        <v>77</v>
      </c>
      <c r="G1827" s="2" t="s">
        <v>26</v>
      </c>
      <c r="H1827" s="8" t="s">
        <v>28</v>
      </c>
      <c r="I1827" s="2" t="s">
        <v>26</v>
      </c>
      <c r="J1827" s="7">
        <v>44927</v>
      </c>
      <c r="K1827" s="8" t="s">
        <v>77</v>
      </c>
      <c r="L1827" s="2" t="s">
        <v>26</v>
      </c>
      <c r="M1827" s="8" t="s">
        <v>28</v>
      </c>
      <c r="N1827" s="6" t="s">
        <v>2264</v>
      </c>
      <c r="O1827" s="6" t="s">
        <v>30</v>
      </c>
      <c r="P1827" s="2" t="s">
        <v>13207</v>
      </c>
    </row>
    <row r="1828" spans="1:16" ht="13.15" x14ac:dyDescent="0.4">
      <c r="A1828" s="2" t="s">
        <v>10984</v>
      </c>
      <c r="B1828" s="2" t="s">
        <v>5885</v>
      </c>
      <c r="C1828" s="6" t="s">
        <v>5879</v>
      </c>
      <c r="D1828" s="6" t="s">
        <v>42</v>
      </c>
      <c r="E1828" s="7">
        <v>44927</v>
      </c>
      <c r="F1828" s="8" t="s">
        <v>77</v>
      </c>
      <c r="G1828" s="2" t="s">
        <v>26</v>
      </c>
      <c r="H1828" s="8" t="s">
        <v>28</v>
      </c>
      <c r="I1828" s="2" t="s">
        <v>26</v>
      </c>
      <c r="J1828" s="7">
        <v>44927</v>
      </c>
      <c r="K1828" s="8" t="s">
        <v>77</v>
      </c>
      <c r="L1828" s="2" t="s">
        <v>26</v>
      </c>
      <c r="M1828" s="8" t="s">
        <v>28</v>
      </c>
      <c r="N1828" s="6" t="s">
        <v>2264</v>
      </c>
      <c r="O1828" s="6" t="s">
        <v>30</v>
      </c>
      <c r="P1828" s="2" t="s">
        <v>13208</v>
      </c>
    </row>
    <row r="1829" spans="1:16" ht="13.15" x14ac:dyDescent="0.4">
      <c r="A1829" s="2" t="s">
        <v>10948</v>
      </c>
      <c r="B1829" s="2" t="s">
        <v>5885</v>
      </c>
      <c r="C1829" s="6" t="s">
        <v>5879</v>
      </c>
      <c r="D1829" s="6" t="s">
        <v>42</v>
      </c>
      <c r="E1829" s="7">
        <v>44927</v>
      </c>
      <c r="F1829" s="8" t="s">
        <v>77</v>
      </c>
      <c r="G1829" s="2" t="s">
        <v>26</v>
      </c>
      <c r="H1829" s="8" t="s">
        <v>28</v>
      </c>
      <c r="I1829" s="2" t="s">
        <v>26</v>
      </c>
      <c r="J1829" s="7">
        <v>44927</v>
      </c>
      <c r="K1829" s="8" t="s">
        <v>77</v>
      </c>
      <c r="L1829" s="2" t="s">
        <v>26</v>
      </c>
      <c r="M1829" s="8" t="s">
        <v>28</v>
      </c>
      <c r="N1829" s="6" t="s">
        <v>2264</v>
      </c>
      <c r="O1829" s="6" t="s">
        <v>30</v>
      </c>
      <c r="P1829" s="2" t="s">
        <v>13209</v>
      </c>
    </row>
    <row r="1830" spans="1:16" ht="13.15" x14ac:dyDescent="0.4">
      <c r="A1830" s="2" t="s">
        <v>11144</v>
      </c>
      <c r="B1830" s="2" t="s">
        <v>5885</v>
      </c>
      <c r="C1830" s="6" t="s">
        <v>5879</v>
      </c>
      <c r="D1830" s="6" t="s">
        <v>42</v>
      </c>
      <c r="E1830" s="7">
        <v>44927</v>
      </c>
      <c r="F1830" s="8" t="s">
        <v>77</v>
      </c>
      <c r="G1830" s="2" t="s">
        <v>26</v>
      </c>
      <c r="H1830" s="8" t="s">
        <v>28</v>
      </c>
      <c r="I1830" s="2" t="s">
        <v>26</v>
      </c>
      <c r="J1830" s="7">
        <v>44927</v>
      </c>
      <c r="K1830" s="8" t="s">
        <v>77</v>
      </c>
      <c r="L1830" s="2" t="s">
        <v>26</v>
      </c>
      <c r="M1830" s="8" t="s">
        <v>28</v>
      </c>
      <c r="N1830" s="6" t="s">
        <v>2264</v>
      </c>
      <c r="O1830" s="6" t="s">
        <v>30</v>
      </c>
      <c r="P1830" s="2" t="s">
        <v>13210</v>
      </c>
    </row>
    <row r="1831" spans="1:16" ht="13.15" x14ac:dyDescent="0.4">
      <c r="A1831" s="2" t="s">
        <v>11032</v>
      </c>
      <c r="B1831" s="2" t="s">
        <v>5885</v>
      </c>
      <c r="C1831" s="6" t="s">
        <v>5879</v>
      </c>
      <c r="D1831" s="6" t="s">
        <v>42</v>
      </c>
      <c r="E1831" s="7">
        <v>44927</v>
      </c>
      <c r="F1831" s="8" t="s">
        <v>77</v>
      </c>
      <c r="G1831" s="2" t="s">
        <v>26</v>
      </c>
      <c r="H1831" s="8" t="s">
        <v>28</v>
      </c>
      <c r="I1831" s="2" t="s">
        <v>26</v>
      </c>
      <c r="J1831" s="7">
        <v>44927</v>
      </c>
      <c r="K1831" s="8" t="s">
        <v>77</v>
      </c>
      <c r="L1831" s="2" t="s">
        <v>26</v>
      </c>
      <c r="M1831" s="8" t="s">
        <v>28</v>
      </c>
      <c r="N1831" s="6" t="s">
        <v>2264</v>
      </c>
      <c r="O1831" s="6" t="s">
        <v>30</v>
      </c>
      <c r="P1831" s="2" t="s">
        <v>13211</v>
      </c>
    </row>
    <row r="1832" spans="1:16" ht="13.15" x14ac:dyDescent="0.4">
      <c r="A1832" s="2" t="s">
        <v>10070</v>
      </c>
      <c r="B1832" s="2" t="s">
        <v>5885</v>
      </c>
      <c r="C1832" s="6" t="s">
        <v>5879</v>
      </c>
      <c r="D1832" s="6" t="s">
        <v>42</v>
      </c>
      <c r="E1832" s="7">
        <v>44927</v>
      </c>
      <c r="F1832" s="8" t="s">
        <v>77</v>
      </c>
      <c r="G1832" s="2" t="s">
        <v>26</v>
      </c>
      <c r="H1832" s="8" t="s">
        <v>28</v>
      </c>
      <c r="I1832" s="2" t="s">
        <v>26</v>
      </c>
      <c r="J1832" s="7">
        <v>44927</v>
      </c>
      <c r="K1832" s="8" t="s">
        <v>77</v>
      </c>
      <c r="L1832" s="2" t="s">
        <v>26</v>
      </c>
      <c r="M1832" s="8" t="s">
        <v>28</v>
      </c>
      <c r="N1832" s="6" t="s">
        <v>2264</v>
      </c>
      <c r="O1832" s="6" t="s">
        <v>30</v>
      </c>
      <c r="P1832" s="2" t="s">
        <v>13212</v>
      </c>
    </row>
    <row r="1833" spans="1:16" ht="13.15" x14ac:dyDescent="0.4">
      <c r="A1833" s="2" t="s">
        <v>11072</v>
      </c>
      <c r="B1833" s="2" t="s">
        <v>5885</v>
      </c>
      <c r="C1833" s="6" t="s">
        <v>5879</v>
      </c>
      <c r="D1833" s="6" t="s">
        <v>42</v>
      </c>
      <c r="E1833" s="7">
        <v>44927</v>
      </c>
      <c r="F1833" s="8" t="s">
        <v>77</v>
      </c>
      <c r="G1833" s="2" t="s">
        <v>26</v>
      </c>
      <c r="H1833" s="8" t="s">
        <v>28</v>
      </c>
      <c r="I1833" s="2" t="s">
        <v>26</v>
      </c>
      <c r="J1833" s="7">
        <v>44927</v>
      </c>
      <c r="K1833" s="8" t="s">
        <v>77</v>
      </c>
      <c r="L1833" s="2" t="s">
        <v>26</v>
      </c>
      <c r="M1833" s="8" t="s">
        <v>28</v>
      </c>
      <c r="N1833" s="6" t="s">
        <v>2264</v>
      </c>
      <c r="O1833" s="6" t="s">
        <v>30</v>
      </c>
      <c r="P1833" s="2" t="s">
        <v>13213</v>
      </c>
    </row>
    <row r="1834" spans="1:16" ht="13.15" x14ac:dyDescent="0.4">
      <c r="A1834" s="2" t="s">
        <v>11106</v>
      </c>
      <c r="B1834" s="2" t="s">
        <v>5885</v>
      </c>
      <c r="C1834" s="6" t="s">
        <v>5879</v>
      </c>
      <c r="D1834" s="6" t="s">
        <v>42</v>
      </c>
      <c r="E1834" s="7">
        <v>44927</v>
      </c>
      <c r="F1834" s="8" t="s">
        <v>77</v>
      </c>
      <c r="G1834" s="2" t="s">
        <v>26</v>
      </c>
      <c r="H1834" s="8" t="s">
        <v>28</v>
      </c>
      <c r="I1834" s="2" t="s">
        <v>26</v>
      </c>
      <c r="J1834" s="7">
        <v>44927</v>
      </c>
      <c r="K1834" s="8" t="s">
        <v>77</v>
      </c>
      <c r="L1834" s="2" t="s">
        <v>26</v>
      </c>
      <c r="M1834" s="8" t="s">
        <v>28</v>
      </c>
      <c r="N1834" s="6" t="s">
        <v>2264</v>
      </c>
      <c r="O1834" s="6" t="s">
        <v>30</v>
      </c>
      <c r="P1834" s="2" t="s">
        <v>13214</v>
      </c>
    </row>
    <row r="1835" spans="1:16" ht="13.15" x14ac:dyDescent="0.4">
      <c r="A1835" s="2" t="s">
        <v>10996</v>
      </c>
      <c r="B1835" s="2" t="s">
        <v>5885</v>
      </c>
      <c r="C1835" s="6" t="s">
        <v>5879</v>
      </c>
      <c r="D1835" s="6" t="s">
        <v>42</v>
      </c>
      <c r="E1835" s="7">
        <v>44927</v>
      </c>
      <c r="F1835" s="8" t="s">
        <v>77</v>
      </c>
      <c r="G1835" s="2" t="s">
        <v>26</v>
      </c>
      <c r="H1835" s="8" t="s">
        <v>28</v>
      </c>
      <c r="I1835" s="2" t="s">
        <v>26</v>
      </c>
      <c r="J1835" s="7">
        <v>44927</v>
      </c>
      <c r="K1835" s="8" t="s">
        <v>77</v>
      </c>
      <c r="L1835" s="2" t="s">
        <v>26</v>
      </c>
      <c r="M1835" s="8" t="s">
        <v>28</v>
      </c>
      <c r="N1835" s="6" t="s">
        <v>2264</v>
      </c>
      <c r="O1835" s="6" t="s">
        <v>30</v>
      </c>
      <c r="P1835" s="2" t="s">
        <v>13215</v>
      </c>
    </row>
    <row r="1836" spans="1:16" ht="13.15" x14ac:dyDescent="0.4">
      <c r="A1836" s="2" t="s">
        <v>11021</v>
      </c>
      <c r="B1836" s="2" t="s">
        <v>5885</v>
      </c>
      <c r="C1836" s="6" t="s">
        <v>5879</v>
      </c>
      <c r="D1836" s="6" t="s">
        <v>42</v>
      </c>
      <c r="E1836" s="7">
        <v>44927</v>
      </c>
      <c r="F1836" s="8" t="s">
        <v>77</v>
      </c>
      <c r="G1836" s="2" t="s">
        <v>26</v>
      </c>
      <c r="H1836" s="8" t="s">
        <v>28</v>
      </c>
      <c r="I1836" s="2" t="s">
        <v>26</v>
      </c>
      <c r="J1836" s="7">
        <v>44927</v>
      </c>
      <c r="K1836" s="8" t="s">
        <v>77</v>
      </c>
      <c r="L1836" s="2" t="s">
        <v>26</v>
      </c>
      <c r="M1836" s="8" t="s">
        <v>28</v>
      </c>
      <c r="N1836" s="6" t="s">
        <v>2264</v>
      </c>
      <c r="O1836" s="6" t="s">
        <v>30</v>
      </c>
      <c r="P1836" s="2" t="s">
        <v>13216</v>
      </c>
    </row>
    <row r="1837" spans="1:16" ht="13.15" x14ac:dyDescent="0.4">
      <c r="A1837" s="2" t="s">
        <v>11081</v>
      </c>
      <c r="B1837" s="2" t="s">
        <v>5885</v>
      </c>
      <c r="C1837" s="6" t="s">
        <v>5879</v>
      </c>
      <c r="D1837" s="6" t="s">
        <v>42</v>
      </c>
      <c r="E1837" s="7">
        <v>44927</v>
      </c>
      <c r="F1837" s="8" t="s">
        <v>77</v>
      </c>
      <c r="G1837" s="2" t="s">
        <v>26</v>
      </c>
      <c r="H1837" s="8" t="s">
        <v>28</v>
      </c>
      <c r="I1837" s="2" t="s">
        <v>26</v>
      </c>
      <c r="J1837" s="7">
        <v>44927</v>
      </c>
      <c r="K1837" s="8" t="s">
        <v>77</v>
      </c>
      <c r="L1837" s="2" t="s">
        <v>26</v>
      </c>
      <c r="M1837" s="8" t="s">
        <v>28</v>
      </c>
      <c r="N1837" s="6" t="s">
        <v>2264</v>
      </c>
      <c r="O1837" s="6" t="s">
        <v>30</v>
      </c>
      <c r="P1837" s="2" t="s">
        <v>13217</v>
      </c>
    </row>
    <row r="1838" spans="1:16" ht="13.15" x14ac:dyDescent="0.4">
      <c r="A1838" s="2" t="s">
        <v>11115</v>
      </c>
      <c r="B1838" s="2" t="s">
        <v>5885</v>
      </c>
      <c r="C1838" s="6" t="s">
        <v>5879</v>
      </c>
      <c r="D1838" s="6" t="s">
        <v>42</v>
      </c>
      <c r="E1838" s="7">
        <v>44927</v>
      </c>
      <c r="F1838" s="8" t="s">
        <v>77</v>
      </c>
      <c r="G1838" s="2" t="s">
        <v>26</v>
      </c>
      <c r="H1838" s="8" t="s">
        <v>28</v>
      </c>
      <c r="I1838" s="2" t="s">
        <v>26</v>
      </c>
      <c r="J1838" s="7">
        <v>44927</v>
      </c>
      <c r="K1838" s="8" t="s">
        <v>77</v>
      </c>
      <c r="L1838" s="2" t="s">
        <v>26</v>
      </c>
      <c r="M1838" s="8" t="s">
        <v>28</v>
      </c>
      <c r="N1838" s="6" t="s">
        <v>2264</v>
      </c>
      <c r="O1838" s="6" t="s">
        <v>30</v>
      </c>
      <c r="P1838" s="2" t="s">
        <v>13218</v>
      </c>
    </row>
    <row r="1839" spans="1:16" ht="13.15" x14ac:dyDescent="0.4">
      <c r="A1839" s="2" t="s">
        <v>10103</v>
      </c>
      <c r="B1839" s="2" t="s">
        <v>5885</v>
      </c>
      <c r="C1839" s="6" t="s">
        <v>5879</v>
      </c>
      <c r="D1839" s="6" t="s">
        <v>42</v>
      </c>
      <c r="E1839" s="7">
        <v>44927</v>
      </c>
      <c r="F1839" s="8" t="s">
        <v>77</v>
      </c>
      <c r="G1839" s="2" t="s">
        <v>26</v>
      </c>
      <c r="H1839" s="8" t="s">
        <v>28</v>
      </c>
      <c r="I1839" s="2" t="s">
        <v>26</v>
      </c>
      <c r="J1839" s="7">
        <v>44927</v>
      </c>
      <c r="K1839" s="8" t="s">
        <v>77</v>
      </c>
      <c r="L1839" s="2" t="s">
        <v>26</v>
      </c>
      <c r="M1839" s="8" t="s">
        <v>28</v>
      </c>
      <c r="N1839" s="6" t="s">
        <v>2264</v>
      </c>
      <c r="O1839" s="6" t="s">
        <v>30</v>
      </c>
      <c r="P1839" s="2" t="s">
        <v>13219</v>
      </c>
    </row>
    <row r="1840" spans="1:16" ht="13.15" x14ac:dyDescent="0.4">
      <c r="A1840" s="2" t="s">
        <v>11045</v>
      </c>
      <c r="B1840" s="2" t="s">
        <v>5885</v>
      </c>
      <c r="C1840" s="6" t="s">
        <v>5879</v>
      </c>
      <c r="D1840" s="6" t="s">
        <v>42</v>
      </c>
      <c r="E1840" s="7">
        <v>44927</v>
      </c>
      <c r="F1840" s="8" t="s">
        <v>77</v>
      </c>
      <c r="G1840" s="2" t="s">
        <v>26</v>
      </c>
      <c r="H1840" s="8" t="s">
        <v>28</v>
      </c>
      <c r="I1840" s="2" t="s">
        <v>26</v>
      </c>
      <c r="J1840" s="7">
        <v>44927</v>
      </c>
      <c r="K1840" s="8" t="s">
        <v>77</v>
      </c>
      <c r="L1840" s="2" t="s">
        <v>26</v>
      </c>
      <c r="M1840" s="8" t="s">
        <v>28</v>
      </c>
      <c r="N1840" s="6" t="s">
        <v>2264</v>
      </c>
      <c r="O1840" s="6" t="s">
        <v>30</v>
      </c>
      <c r="P1840" s="2" t="s">
        <v>13220</v>
      </c>
    </row>
    <row r="1841" spans="1:16" ht="13.15" x14ac:dyDescent="0.4">
      <c r="A1841" s="2" t="s">
        <v>11089</v>
      </c>
      <c r="B1841" s="2" t="s">
        <v>5885</v>
      </c>
      <c r="C1841" s="6" t="s">
        <v>5879</v>
      </c>
      <c r="D1841" s="6" t="s">
        <v>42</v>
      </c>
      <c r="E1841" s="7">
        <v>44927</v>
      </c>
      <c r="F1841" s="8" t="s">
        <v>77</v>
      </c>
      <c r="G1841" s="2" t="s">
        <v>26</v>
      </c>
      <c r="H1841" s="8" t="s">
        <v>28</v>
      </c>
      <c r="I1841" s="2" t="s">
        <v>26</v>
      </c>
      <c r="J1841" s="7">
        <v>44927</v>
      </c>
      <c r="K1841" s="8" t="s">
        <v>77</v>
      </c>
      <c r="L1841" s="2" t="s">
        <v>26</v>
      </c>
      <c r="M1841" s="8" t="s">
        <v>28</v>
      </c>
      <c r="N1841" s="6" t="s">
        <v>2264</v>
      </c>
      <c r="O1841" s="6" t="s">
        <v>30</v>
      </c>
      <c r="P1841" s="2" t="s">
        <v>13221</v>
      </c>
    </row>
    <row r="1842" spans="1:16" ht="13.15" x14ac:dyDescent="0.4">
      <c r="A1842" s="2" t="s">
        <v>11006</v>
      </c>
      <c r="B1842" s="2" t="s">
        <v>5885</v>
      </c>
      <c r="C1842" s="6" t="s">
        <v>5879</v>
      </c>
      <c r="D1842" s="6" t="s">
        <v>42</v>
      </c>
      <c r="E1842" s="7">
        <v>44927</v>
      </c>
      <c r="F1842" s="8" t="s">
        <v>77</v>
      </c>
      <c r="G1842" s="2" t="s">
        <v>26</v>
      </c>
      <c r="H1842" s="8" t="s">
        <v>28</v>
      </c>
      <c r="I1842" s="2" t="s">
        <v>26</v>
      </c>
      <c r="J1842" s="7">
        <v>44927</v>
      </c>
      <c r="K1842" s="8" t="s">
        <v>77</v>
      </c>
      <c r="L1842" s="2" t="s">
        <v>26</v>
      </c>
      <c r="M1842" s="8" t="s">
        <v>28</v>
      </c>
      <c r="N1842" s="6" t="s">
        <v>2264</v>
      </c>
      <c r="O1842" s="6" t="s">
        <v>30</v>
      </c>
      <c r="P1842" s="2" t="s">
        <v>13222</v>
      </c>
    </row>
    <row r="1843" spans="1:16" ht="13.15" x14ac:dyDescent="0.4">
      <c r="A1843" s="2" t="s">
        <v>11098</v>
      </c>
      <c r="B1843" s="2" t="s">
        <v>5885</v>
      </c>
      <c r="C1843" s="6" t="s">
        <v>5879</v>
      </c>
      <c r="D1843" s="6" t="s">
        <v>42</v>
      </c>
      <c r="E1843" s="7">
        <v>44927</v>
      </c>
      <c r="F1843" s="8" t="s">
        <v>77</v>
      </c>
      <c r="G1843" s="2" t="s">
        <v>26</v>
      </c>
      <c r="H1843" s="8" t="s">
        <v>28</v>
      </c>
      <c r="I1843" s="2" t="s">
        <v>26</v>
      </c>
      <c r="J1843" s="7">
        <v>44927</v>
      </c>
      <c r="K1843" s="8" t="s">
        <v>77</v>
      </c>
      <c r="L1843" s="2" t="s">
        <v>26</v>
      </c>
      <c r="M1843" s="8" t="s">
        <v>28</v>
      </c>
      <c r="N1843" s="6" t="s">
        <v>2264</v>
      </c>
      <c r="O1843" s="6" t="s">
        <v>30</v>
      </c>
      <c r="P1843" s="2" t="s">
        <v>13223</v>
      </c>
    </row>
    <row r="1844" spans="1:16" ht="13.15" x14ac:dyDescent="0.4">
      <c r="A1844" s="2" t="s">
        <v>10951</v>
      </c>
      <c r="B1844" s="2" t="s">
        <v>5885</v>
      </c>
      <c r="C1844" s="6" t="s">
        <v>5879</v>
      </c>
      <c r="D1844" s="6" t="s">
        <v>42</v>
      </c>
      <c r="E1844" s="7">
        <v>44927</v>
      </c>
      <c r="F1844" s="8" t="s">
        <v>77</v>
      </c>
      <c r="G1844" s="2" t="s">
        <v>26</v>
      </c>
      <c r="H1844" s="8" t="s">
        <v>28</v>
      </c>
      <c r="I1844" s="2" t="s">
        <v>26</v>
      </c>
      <c r="J1844" s="7">
        <v>44927</v>
      </c>
      <c r="K1844" s="8" t="s">
        <v>77</v>
      </c>
      <c r="L1844" s="2" t="s">
        <v>26</v>
      </c>
      <c r="M1844" s="8" t="s">
        <v>28</v>
      </c>
      <c r="N1844" s="6" t="s">
        <v>2264</v>
      </c>
      <c r="O1844" s="6" t="s">
        <v>30</v>
      </c>
      <c r="P1844" s="2" t="s">
        <v>13224</v>
      </c>
    </row>
    <row r="1845" spans="1:16" ht="13.15" x14ac:dyDescent="0.4">
      <c r="A1845" s="2" t="s">
        <v>11036</v>
      </c>
      <c r="B1845" s="2" t="s">
        <v>5885</v>
      </c>
      <c r="C1845" s="6" t="s">
        <v>5879</v>
      </c>
      <c r="D1845" s="6" t="s">
        <v>42</v>
      </c>
      <c r="E1845" s="7">
        <v>44927</v>
      </c>
      <c r="F1845" s="8" t="s">
        <v>77</v>
      </c>
      <c r="G1845" s="2" t="s">
        <v>26</v>
      </c>
      <c r="H1845" s="8" t="s">
        <v>28</v>
      </c>
      <c r="I1845" s="2" t="s">
        <v>26</v>
      </c>
      <c r="J1845" s="7">
        <v>44927</v>
      </c>
      <c r="K1845" s="8" t="s">
        <v>77</v>
      </c>
      <c r="L1845" s="2" t="s">
        <v>26</v>
      </c>
      <c r="M1845" s="8" t="s">
        <v>28</v>
      </c>
      <c r="N1845" s="6" t="s">
        <v>2264</v>
      </c>
      <c r="O1845" s="6" t="s">
        <v>30</v>
      </c>
      <c r="P1845" s="2" t="s">
        <v>13225</v>
      </c>
    </row>
    <row r="1846" spans="1:16" ht="13.15" x14ac:dyDescent="0.4">
      <c r="A1846" s="2" t="s">
        <v>10952</v>
      </c>
      <c r="B1846" s="2" t="s">
        <v>5885</v>
      </c>
      <c r="C1846" s="6" t="s">
        <v>5879</v>
      </c>
      <c r="D1846" s="6" t="s">
        <v>42</v>
      </c>
      <c r="E1846" s="7">
        <v>44927</v>
      </c>
      <c r="F1846" s="8" t="s">
        <v>77</v>
      </c>
      <c r="G1846" s="2" t="s">
        <v>26</v>
      </c>
      <c r="H1846" s="8" t="s">
        <v>28</v>
      </c>
      <c r="I1846" s="2" t="s">
        <v>26</v>
      </c>
      <c r="J1846" s="7">
        <v>44927</v>
      </c>
      <c r="K1846" s="8" t="s">
        <v>77</v>
      </c>
      <c r="L1846" s="2" t="s">
        <v>26</v>
      </c>
      <c r="M1846" s="8" t="s">
        <v>28</v>
      </c>
      <c r="N1846" s="6" t="s">
        <v>2264</v>
      </c>
      <c r="O1846" s="6" t="s">
        <v>30</v>
      </c>
      <c r="P1846" s="2" t="s">
        <v>13226</v>
      </c>
    </row>
    <row r="1847" spans="1:16" ht="13.15" x14ac:dyDescent="0.4">
      <c r="A1847" s="2" t="s">
        <v>11117</v>
      </c>
      <c r="B1847" s="2" t="s">
        <v>5885</v>
      </c>
      <c r="C1847" s="6" t="s">
        <v>5879</v>
      </c>
      <c r="D1847" s="6" t="s">
        <v>42</v>
      </c>
      <c r="E1847" s="7">
        <v>44927</v>
      </c>
      <c r="F1847" s="8" t="s">
        <v>77</v>
      </c>
      <c r="G1847" s="2" t="s">
        <v>26</v>
      </c>
      <c r="H1847" s="8" t="s">
        <v>28</v>
      </c>
      <c r="I1847" s="2" t="s">
        <v>26</v>
      </c>
      <c r="J1847" s="7">
        <v>44927</v>
      </c>
      <c r="K1847" s="8" t="s">
        <v>77</v>
      </c>
      <c r="L1847" s="2" t="s">
        <v>26</v>
      </c>
      <c r="M1847" s="8" t="s">
        <v>28</v>
      </c>
      <c r="N1847" s="6" t="s">
        <v>2264</v>
      </c>
      <c r="O1847" s="6" t="s">
        <v>30</v>
      </c>
      <c r="P1847" s="2" t="s">
        <v>13227</v>
      </c>
    </row>
    <row r="1848" spans="1:16" ht="13.15" x14ac:dyDescent="0.4">
      <c r="A1848" s="2" t="s">
        <v>11082</v>
      </c>
      <c r="B1848" s="2" t="s">
        <v>5885</v>
      </c>
      <c r="C1848" s="6" t="s">
        <v>5879</v>
      </c>
      <c r="D1848" s="6" t="s">
        <v>42</v>
      </c>
      <c r="E1848" s="7">
        <v>44927</v>
      </c>
      <c r="F1848" s="8" t="s">
        <v>77</v>
      </c>
      <c r="G1848" s="2" t="s">
        <v>26</v>
      </c>
      <c r="H1848" s="8" t="s">
        <v>28</v>
      </c>
      <c r="I1848" s="2" t="s">
        <v>26</v>
      </c>
      <c r="J1848" s="7">
        <v>44927</v>
      </c>
      <c r="K1848" s="8" t="s">
        <v>77</v>
      </c>
      <c r="L1848" s="2" t="s">
        <v>26</v>
      </c>
      <c r="M1848" s="8" t="s">
        <v>28</v>
      </c>
      <c r="N1848" s="6" t="s">
        <v>2264</v>
      </c>
      <c r="O1848" s="6" t="s">
        <v>30</v>
      </c>
      <c r="P1848" s="2" t="s">
        <v>13228</v>
      </c>
    </row>
    <row r="1849" spans="1:16" ht="13.15" x14ac:dyDescent="0.4">
      <c r="A1849" s="2" t="s">
        <v>11170</v>
      </c>
      <c r="B1849" s="2" t="s">
        <v>5885</v>
      </c>
      <c r="C1849" s="6" t="s">
        <v>5879</v>
      </c>
      <c r="D1849" s="6" t="s">
        <v>42</v>
      </c>
      <c r="E1849" s="7">
        <v>44927</v>
      </c>
      <c r="F1849" s="8" t="s">
        <v>77</v>
      </c>
      <c r="G1849" s="2" t="s">
        <v>26</v>
      </c>
      <c r="H1849" s="8" t="s">
        <v>28</v>
      </c>
      <c r="I1849" s="2" t="s">
        <v>26</v>
      </c>
      <c r="J1849" s="7">
        <v>44927</v>
      </c>
      <c r="K1849" s="8" t="s">
        <v>77</v>
      </c>
      <c r="L1849" s="2" t="s">
        <v>26</v>
      </c>
      <c r="M1849" s="8" t="s">
        <v>28</v>
      </c>
      <c r="N1849" s="6" t="s">
        <v>2264</v>
      </c>
      <c r="O1849" s="6" t="s">
        <v>30</v>
      </c>
      <c r="P1849" s="2" t="s">
        <v>13229</v>
      </c>
    </row>
    <row r="1850" spans="1:16" ht="13.15" x14ac:dyDescent="0.4">
      <c r="A1850" s="2" t="s">
        <v>11065</v>
      </c>
      <c r="B1850" s="2" t="s">
        <v>5885</v>
      </c>
      <c r="C1850" s="6" t="s">
        <v>5879</v>
      </c>
      <c r="D1850" s="6" t="s">
        <v>42</v>
      </c>
      <c r="E1850" s="7">
        <v>44927</v>
      </c>
      <c r="F1850" s="8" t="s">
        <v>77</v>
      </c>
      <c r="G1850" s="2" t="s">
        <v>26</v>
      </c>
      <c r="H1850" s="8" t="s">
        <v>28</v>
      </c>
      <c r="I1850" s="2" t="s">
        <v>26</v>
      </c>
      <c r="J1850" s="7">
        <v>44927</v>
      </c>
      <c r="K1850" s="8" t="s">
        <v>77</v>
      </c>
      <c r="L1850" s="2" t="s">
        <v>26</v>
      </c>
      <c r="M1850" s="8" t="s">
        <v>28</v>
      </c>
      <c r="N1850" s="6" t="s">
        <v>2264</v>
      </c>
      <c r="O1850" s="6" t="s">
        <v>30</v>
      </c>
      <c r="P1850" s="2" t="s">
        <v>13230</v>
      </c>
    </row>
    <row r="1851" spans="1:16" ht="13.15" x14ac:dyDescent="0.4">
      <c r="A1851" s="2" t="s">
        <v>11009</v>
      </c>
      <c r="B1851" s="2" t="s">
        <v>5885</v>
      </c>
      <c r="C1851" s="6" t="s">
        <v>5879</v>
      </c>
      <c r="D1851" s="6" t="s">
        <v>42</v>
      </c>
      <c r="E1851" s="7">
        <v>44927</v>
      </c>
      <c r="F1851" s="8" t="s">
        <v>77</v>
      </c>
      <c r="G1851" s="2" t="s">
        <v>26</v>
      </c>
      <c r="H1851" s="8" t="s">
        <v>28</v>
      </c>
      <c r="I1851" s="2" t="s">
        <v>26</v>
      </c>
      <c r="J1851" s="7">
        <v>44927</v>
      </c>
      <c r="K1851" s="8" t="s">
        <v>77</v>
      </c>
      <c r="L1851" s="2" t="s">
        <v>26</v>
      </c>
      <c r="M1851" s="8" t="s">
        <v>28</v>
      </c>
      <c r="N1851" s="6" t="s">
        <v>2264</v>
      </c>
      <c r="O1851" s="6" t="s">
        <v>30</v>
      </c>
      <c r="P1851" s="2" t="s">
        <v>13231</v>
      </c>
    </row>
    <row r="1852" spans="1:16" ht="13.15" x14ac:dyDescent="0.4">
      <c r="A1852" s="2" t="s">
        <v>11145</v>
      </c>
      <c r="B1852" s="2" t="s">
        <v>5885</v>
      </c>
      <c r="C1852" s="6" t="s">
        <v>5879</v>
      </c>
      <c r="D1852" s="6" t="s">
        <v>42</v>
      </c>
      <c r="E1852" s="7">
        <v>44927</v>
      </c>
      <c r="F1852" s="8" t="s">
        <v>77</v>
      </c>
      <c r="G1852" s="2" t="s">
        <v>26</v>
      </c>
      <c r="H1852" s="8" t="s">
        <v>28</v>
      </c>
      <c r="I1852" s="2" t="s">
        <v>26</v>
      </c>
      <c r="J1852" s="7">
        <v>44927</v>
      </c>
      <c r="K1852" s="8" t="s">
        <v>77</v>
      </c>
      <c r="L1852" s="2" t="s">
        <v>26</v>
      </c>
      <c r="M1852" s="8" t="s">
        <v>28</v>
      </c>
      <c r="N1852" s="6" t="s">
        <v>2264</v>
      </c>
      <c r="O1852" s="6" t="s">
        <v>30</v>
      </c>
      <c r="P1852" s="2" t="s">
        <v>13232</v>
      </c>
    </row>
    <row r="1853" spans="1:16" ht="13.15" x14ac:dyDescent="0.4">
      <c r="A1853" s="2" t="s">
        <v>11051</v>
      </c>
      <c r="B1853" s="2" t="s">
        <v>5885</v>
      </c>
      <c r="C1853" s="6" t="s">
        <v>5879</v>
      </c>
      <c r="D1853" s="6" t="s">
        <v>42</v>
      </c>
      <c r="E1853" s="7">
        <v>44927</v>
      </c>
      <c r="F1853" s="8" t="s">
        <v>77</v>
      </c>
      <c r="G1853" s="2" t="s">
        <v>26</v>
      </c>
      <c r="H1853" s="8" t="s">
        <v>28</v>
      </c>
      <c r="I1853" s="2" t="s">
        <v>26</v>
      </c>
      <c r="J1853" s="7">
        <v>44927</v>
      </c>
      <c r="K1853" s="8" t="s">
        <v>77</v>
      </c>
      <c r="L1853" s="2" t="s">
        <v>26</v>
      </c>
      <c r="M1853" s="8" t="s">
        <v>28</v>
      </c>
      <c r="N1853" s="6" t="s">
        <v>2264</v>
      </c>
      <c r="O1853" s="6" t="s">
        <v>30</v>
      </c>
      <c r="P1853" s="2" t="s">
        <v>13233</v>
      </c>
    </row>
    <row r="1854" spans="1:16" ht="13.15" x14ac:dyDescent="0.4">
      <c r="A1854" s="2" t="s">
        <v>11016</v>
      </c>
      <c r="B1854" s="2" t="s">
        <v>5885</v>
      </c>
      <c r="C1854" s="6" t="s">
        <v>5879</v>
      </c>
      <c r="D1854" s="6" t="s">
        <v>42</v>
      </c>
      <c r="E1854" s="7">
        <v>44927</v>
      </c>
      <c r="F1854" s="8" t="s">
        <v>77</v>
      </c>
      <c r="G1854" s="2" t="s">
        <v>26</v>
      </c>
      <c r="H1854" s="8" t="s">
        <v>28</v>
      </c>
      <c r="I1854" s="2" t="s">
        <v>26</v>
      </c>
      <c r="J1854" s="7">
        <v>44927</v>
      </c>
      <c r="K1854" s="8" t="s">
        <v>77</v>
      </c>
      <c r="L1854" s="2" t="s">
        <v>26</v>
      </c>
      <c r="M1854" s="8" t="s">
        <v>28</v>
      </c>
      <c r="N1854" s="6" t="s">
        <v>2264</v>
      </c>
      <c r="O1854" s="6" t="s">
        <v>30</v>
      </c>
      <c r="P1854" s="2" t="s">
        <v>13234</v>
      </c>
    </row>
    <row r="1855" spans="1:16" ht="13.15" x14ac:dyDescent="0.4">
      <c r="A1855" s="2" t="s">
        <v>10967</v>
      </c>
      <c r="B1855" s="2" t="s">
        <v>5885</v>
      </c>
      <c r="C1855" s="6" t="s">
        <v>5879</v>
      </c>
      <c r="D1855" s="6" t="s">
        <v>42</v>
      </c>
      <c r="E1855" s="7">
        <v>44927</v>
      </c>
      <c r="F1855" s="8" t="s">
        <v>77</v>
      </c>
      <c r="G1855" s="2" t="s">
        <v>26</v>
      </c>
      <c r="H1855" s="8" t="s">
        <v>28</v>
      </c>
      <c r="I1855" s="2" t="s">
        <v>26</v>
      </c>
      <c r="J1855" s="7">
        <v>44927</v>
      </c>
      <c r="K1855" s="8" t="s">
        <v>77</v>
      </c>
      <c r="L1855" s="2" t="s">
        <v>26</v>
      </c>
      <c r="M1855" s="8" t="s">
        <v>28</v>
      </c>
      <c r="N1855" s="6" t="s">
        <v>2264</v>
      </c>
      <c r="O1855" s="6" t="s">
        <v>30</v>
      </c>
      <c r="P1855" s="2" t="s">
        <v>13235</v>
      </c>
    </row>
    <row r="1856" spans="1:16" ht="13.15" x14ac:dyDescent="0.4">
      <c r="A1856" s="2" t="s">
        <v>10968</v>
      </c>
      <c r="B1856" s="2" t="s">
        <v>5885</v>
      </c>
      <c r="C1856" s="6" t="s">
        <v>5879</v>
      </c>
      <c r="D1856" s="6" t="s">
        <v>42</v>
      </c>
      <c r="E1856" s="7">
        <v>44927</v>
      </c>
      <c r="F1856" s="8" t="s">
        <v>77</v>
      </c>
      <c r="G1856" s="2" t="s">
        <v>26</v>
      </c>
      <c r="H1856" s="8" t="s">
        <v>28</v>
      </c>
      <c r="I1856" s="2" t="s">
        <v>26</v>
      </c>
      <c r="J1856" s="7">
        <v>44927</v>
      </c>
      <c r="K1856" s="8" t="s">
        <v>77</v>
      </c>
      <c r="L1856" s="2" t="s">
        <v>26</v>
      </c>
      <c r="M1856" s="8" t="s">
        <v>28</v>
      </c>
      <c r="N1856" s="6" t="s">
        <v>2264</v>
      </c>
      <c r="O1856" s="6" t="s">
        <v>30</v>
      </c>
      <c r="P1856" s="2" t="s">
        <v>13236</v>
      </c>
    </row>
    <row r="1857" spans="1:16" ht="13.15" x14ac:dyDescent="0.4">
      <c r="A1857" s="2" t="s">
        <v>11035</v>
      </c>
      <c r="B1857" s="2" t="s">
        <v>5885</v>
      </c>
      <c r="C1857" s="6" t="s">
        <v>5879</v>
      </c>
      <c r="D1857" s="6" t="s">
        <v>42</v>
      </c>
      <c r="E1857" s="7">
        <v>44927</v>
      </c>
      <c r="F1857" s="8" t="s">
        <v>77</v>
      </c>
      <c r="G1857" s="2" t="s">
        <v>26</v>
      </c>
      <c r="H1857" s="8" t="s">
        <v>28</v>
      </c>
      <c r="I1857" s="2" t="s">
        <v>26</v>
      </c>
      <c r="J1857" s="7">
        <v>44927</v>
      </c>
      <c r="K1857" s="8" t="s">
        <v>77</v>
      </c>
      <c r="L1857" s="2" t="s">
        <v>26</v>
      </c>
      <c r="M1857" s="8" t="s">
        <v>28</v>
      </c>
      <c r="N1857" s="6" t="s">
        <v>2264</v>
      </c>
      <c r="O1857" s="6" t="s">
        <v>30</v>
      </c>
      <c r="P1857" s="2" t="s">
        <v>13237</v>
      </c>
    </row>
    <row r="1858" spans="1:16" ht="13.15" x14ac:dyDescent="0.4">
      <c r="A1858" s="2" t="s">
        <v>11019</v>
      </c>
      <c r="B1858" s="2" t="s">
        <v>5885</v>
      </c>
      <c r="C1858" s="6" t="s">
        <v>5879</v>
      </c>
      <c r="D1858" s="6" t="s">
        <v>42</v>
      </c>
      <c r="E1858" s="7">
        <v>44927</v>
      </c>
      <c r="F1858" s="8" t="s">
        <v>77</v>
      </c>
      <c r="G1858" s="2" t="s">
        <v>26</v>
      </c>
      <c r="H1858" s="8" t="s">
        <v>28</v>
      </c>
      <c r="I1858" s="2" t="s">
        <v>26</v>
      </c>
      <c r="J1858" s="7">
        <v>44927</v>
      </c>
      <c r="K1858" s="8" t="s">
        <v>77</v>
      </c>
      <c r="L1858" s="2" t="s">
        <v>26</v>
      </c>
      <c r="M1858" s="8" t="s">
        <v>28</v>
      </c>
      <c r="N1858" s="6" t="s">
        <v>2264</v>
      </c>
      <c r="O1858" s="6" t="s">
        <v>30</v>
      </c>
      <c r="P1858" s="2" t="s">
        <v>13238</v>
      </c>
    </row>
    <row r="1859" spans="1:16" ht="13.15" x14ac:dyDescent="0.4">
      <c r="A1859" s="2" t="s">
        <v>10978</v>
      </c>
      <c r="B1859" s="2" t="s">
        <v>5885</v>
      </c>
      <c r="C1859" s="6" t="s">
        <v>5879</v>
      </c>
      <c r="D1859" s="6" t="s">
        <v>42</v>
      </c>
      <c r="E1859" s="7">
        <v>44927</v>
      </c>
      <c r="F1859" s="8" t="s">
        <v>77</v>
      </c>
      <c r="G1859" s="2" t="s">
        <v>26</v>
      </c>
      <c r="H1859" s="8" t="s">
        <v>28</v>
      </c>
      <c r="I1859" s="2" t="s">
        <v>26</v>
      </c>
      <c r="J1859" s="7">
        <v>44927</v>
      </c>
      <c r="K1859" s="8" t="s">
        <v>77</v>
      </c>
      <c r="L1859" s="2" t="s">
        <v>26</v>
      </c>
      <c r="M1859" s="8" t="s">
        <v>28</v>
      </c>
      <c r="N1859" s="6" t="s">
        <v>2264</v>
      </c>
      <c r="O1859" s="6" t="s">
        <v>30</v>
      </c>
      <c r="P1859" s="2" t="s">
        <v>13239</v>
      </c>
    </row>
    <row r="1860" spans="1:16" ht="13.15" x14ac:dyDescent="0.4">
      <c r="A1860" s="2" t="s">
        <v>11120</v>
      </c>
      <c r="B1860" s="2" t="s">
        <v>5885</v>
      </c>
      <c r="C1860" s="6" t="s">
        <v>5879</v>
      </c>
      <c r="D1860" s="6" t="s">
        <v>42</v>
      </c>
      <c r="E1860" s="7">
        <v>44927</v>
      </c>
      <c r="F1860" s="8" t="s">
        <v>77</v>
      </c>
      <c r="G1860" s="2" t="s">
        <v>26</v>
      </c>
      <c r="H1860" s="8" t="s">
        <v>28</v>
      </c>
      <c r="I1860" s="2" t="s">
        <v>26</v>
      </c>
      <c r="J1860" s="7">
        <v>44927</v>
      </c>
      <c r="K1860" s="8" t="s">
        <v>77</v>
      </c>
      <c r="L1860" s="2" t="s">
        <v>26</v>
      </c>
      <c r="M1860" s="8" t="s">
        <v>28</v>
      </c>
      <c r="N1860" s="6" t="s">
        <v>2264</v>
      </c>
      <c r="O1860" s="6" t="s">
        <v>30</v>
      </c>
      <c r="P1860" s="2" t="s">
        <v>13240</v>
      </c>
    </row>
    <row r="1861" spans="1:16" ht="13.15" x14ac:dyDescent="0.4">
      <c r="A1861" s="2" t="s">
        <v>10999</v>
      </c>
      <c r="B1861" s="2" t="s">
        <v>5885</v>
      </c>
      <c r="C1861" s="6" t="s">
        <v>5879</v>
      </c>
      <c r="D1861" s="6" t="s">
        <v>42</v>
      </c>
      <c r="E1861" s="7">
        <v>44927</v>
      </c>
      <c r="F1861" s="8" t="s">
        <v>77</v>
      </c>
      <c r="G1861" s="2" t="s">
        <v>26</v>
      </c>
      <c r="H1861" s="8" t="s">
        <v>28</v>
      </c>
      <c r="I1861" s="2" t="s">
        <v>26</v>
      </c>
      <c r="J1861" s="7">
        <v>44927</v>
      </c>
      <c r="K1861" s="8" t="s">
        <v>77</v>
      </c>
      <c r="L1861" s="2" t="s">
        <v>26</v>
      </c>
      <c r="M1861" s="8" t="s">
        <v>28</v>
      </c>
      <c r="N1861" s="6" t="s">
        <v>2264</v>
      </c>
      <c r="O1861" s="6" t="s">
        <v>30</v>
      </c>
      <c r="P1861" s="2" t="s">
        <v>13241</v>
      </c>
    </row>
    <row r="1862" spans="1:16" ht="13.15" x14ac:dyDescent="0.4">
      <c r="A1862" s="2" t="s">
        <v>11078</v>
      </c>
      <c r="B1862" s="2" t="s">
        <v>5885</v>
      </c>
      <c r="C1862" s="6" t="s">
        <v>5879</v>
      </c>
      <c r="D1862" s="6" t="s">
        <v>42</v>
      </c>
      <c r="E1862" s="7">
        <v>44927</v>
      </c>
      <c r="F1862" s="8" t="s">
        <v>77</v>
      </c>
      <c r="G1862" s="2" t="s">
        <v>26</v>
      </c>
      <c r="H1862" s="8" t="s">
        <v>28</v>
      </c>
      <c r="I1862" s="2" t="s">
        <v>26</v>
      </c>
      <c r="J1862" s="7">
        <v>44927</v>
      </c>
      <c r="K1862" s="8" t="s">
        <v>77</v>
      </c>
      <c r="L1862" s="2" t="s">
        <v>26</v>
      </c>
      <c r="M1862" s="8" t="s">
        <v>28</v>
      </c>
      <c r="N1862" s="6" t="s">
        <v>2264</v>
      </c>
      <c r="O1862" s="6" t="s">
        <v>30</v>
      </c>
      <c r="P1862" s="2" t="s">
        <v>13242</v>
      </c>
    </row>
    <row r="1863" spans="1:16" ht="13.15" x14ac:dyDescent="0.4">
      <c r="A1863" s="2" t="s">
        <v>11046</v>
      </c>
      <c r="B1863" s="2" t="s">
        <v>5885</v>
      </c>
      <c r="C1863" s="6" t="s">
        <v>5879</v>
      </c>
      <c r="D1863" s="6" t="s">
        <v>42</v>
      </c>
      <c r="E1863" s="7">
        <v>44927</v>
      </c>
      <c r="F1863" s="8" t="s">
        <v>77</v>
      </c>
      <c r="G1863" s="2" t="s">
        <v>26</v>
      </c>
      <c r="H1863" s="8" t="s">
        <v>28</v>
      </c>
      <c r="I1863" s="2" t="s">
        <v>26</v>
      </c>
      <c r="J1863" s="7">
        <v>44927</v>
      </c>
      <c r="K1863" s="8" t="s">
        <v>77</v>
      </c>
      <c r="L1863" s="2" t="s">
        <v>26</v>
      </c>
      <c r="M1863" s="8" t="s">
        <v>28</v>
      </c>
      <c r="N1863" s="6" t="s">
        <v>2264</v>
      </c>
      <c r="O1863" s="6" t="s">
        <v>30</v>
      </c>
      <c r="P1863" s="2" t="s">
        <v>13243</v>
      </c>
    </row>
    <row r="1864" spans="1:16" ht="13.15" x14ac:dyDescent="0.4">
      <c r="A1864" s="2" t="s">
        <v>11119</v>
      </c>
      <c r="B1864" s="2" t="s">
        <v>5885</v>
      </c>
      <c r="C1864" s="6" t="s">
        <v>5879</v>
      </c>
      <c r="D1864" s="6" t="s">
        <v>42</v>
      </c>
      <c r="E1864" s="7">
        <v>44927</v>
      </c>
      <c r="F1864" s="8" t="s">
        <v>77</v>
      </c>
      <c r="G1864" s="2" t="s">
        <v>26</v>
      </c>
      <c r="H1864" s="8" t="s">
        <v>28</v>
      </c>
      <c r="I1864" s="2" t="s">
        <v>26</v>
      </c>
      <c r="J1864" s="7">
        <v>44927</v>
      </c>
      <c r="K1864" s="8" t="s">
        <v>77</v>
      </c>
      <c r="L1864" s="2" t="s">
        <v>26</v>
      </c>
      <c r="M1864" s="8" t="s">
        <v>28</v>
      </c>
      <c r="N1864" s="6" t="s">
        <v>2264</v>
      </c>
      <c r="O1864" s="6" t="s">
        <v>30</v>
      </c>
      <c r="P1864" s="2" t="s">
        <v>13244</v>
      </c>
    </row>
    <row r="1865" spans="1:16" ht="13.15" x14ac:dyDescent="0.4">
      <c r="A1865" s="2" t="s">
        <v>10947</v>
      </c>
      <c r="B1865" s="2" t="s">
        <v>5885</v>
      </c>
      <c r="C1865" s="6" t="s">
        <v>5879</v>
      </c>
      <c r="D1865" s="6" t="s">
        <v>42</v>
      </c>
      <c r="E1865" s="7">
        <v>44927</v>
      </c>
      <c r="F1865" s="8" t="s">
        <v>77</v>
      </c>
      <c r="G1865" s="2" t="s">
        <v>26</v>
      </c>
      <c r="H1865" s="8" t="s">
        <v>28</v>
      </c>
      <c r="I1865" s="2" t="s">
        <v>26</v>
      </c>
      <c r="J1865" s="7">
        <v>44927</v>
      </c>
      <c r="K1865" s="8" t="s">
        <v>77</v>
      </c>
      <c r="L1865" s="2" t="s">
        <v>26</v>
      </c>
      <c r="M1865" s="8" t="s">
        <v>28</v>
      </c>
      <c r="N1865" s="6" t="s">
        <v>2264</v>
      </c>
      <c r="O1865" s="6" t="s">
        <v>30</v>
      </c>
      <c r="P1865" s="2" t="s">
        <v>13245</v>
      </c>
    </row>
    <row r="1866" spans="1:16" ht="13.15" x14ac:dyDescent="0.4">
      <c r="A1866" s="2" t="s">
        <v>10960</v>
      </c>
      <c r="B1866" s="2" t="s">
        <v>5885</v>
      </c>
      <c r="C1866" s="6" t="s">
        <v>5879</v>
      </c>
      <c r="D1866" s="6" t="s">
        <v>42</v>
      </c>
      <c r="E1866" s="7">
        <v>44927</v>
      </c>
      <c r="F1866" s="8" t="s">
        <v>77</v>
      </c>
      <c r="G1866" s="2" t="s">
        <v>26</v>
      </c>
      <c r="H1866" s="8" t="s">
        <v>28</v>
      </c>
      <c r="I1866" s="2" t="s">
        <v>26</v>
      </c>
      <c r="J1866" s="7">
        <v>44927</v>
      </c>
      <c r="K1866" s="8" t="s">
        <v>77</v>
      </c>
      <c r="L1866" s="2" t="s">
        <v>26</v>
      </c>
      <c r="M1866" s="8" t="s">
        <v>28</v>
      </c>
      <c r="N1866" s="6" t="s">
        <v>2264</v>
      </c>
      <c r="O1866" s="6" t="s">
        <v>30</v>
      </c>
      <c r="P1866" s="2" t="s">
        <v>13246</v>
      </c>
    </row>
    <row r="1867" spans="1:16" ht="13.15" x14ac:dyDescent="0.4">
      <c r="A1867" s="2" t="s">
        <v>10985</v>
      </c>
      <c r="B1867" s="2" t="s">
        <v>5885</v>
      </c>
      <c r="C1867" s="6" t="s">
        <v>5879</v>
      </c>
      <c r="D1867" s="6" t="s">
        <v>42</v>
      </c>
      <c r="E1867" s="7">
        <v>44927</v>
      </c>
      <c r="F1867" s="8" t="s">
        <v>77</v>
      </c>
      <c r="G1867" s="2" t="s">
        <v>26</v>
      </c>
      <c r="H1867" s="8" t="s">
        <v>28</v>
      </c>
      <c r="I1867" s="2" t="s">
        <v>26</v>
      </c>
      <c r="J1867" s="7">
        <v>44927</v>
      </c>
      <c r="K1867" s="8" t="s">
        <v>77</v>
      </c>
      <c r="L1867" s="2" t="s">
        <v>26</v>
      </c>
      <c r="M1867" s="8" t="s">
        <v>28</v>
      </c>
      <c r="N1867" s="6" t="s">
        <v>2264</v>
      </c>
      <c r="O1867" s="6" t="s">
        <v>30</v>
      </c>
      <c r="P1867" s="2" t="s">
        <v>13247</v>
      </c>
    </row>
    <row r="1868" spans="1:16" ht="13.15" x14ac:dyDescent="0.4">
      <c r="A1868" s="2" t="s">
        <v>11069</v>
      </c>
      <c r="B1868" s="2" t="s">
        <v>5885</v>
      </c>
      <c r="C1868" s="6" t="s">
        <v>5879</v>
      </c>
      <c r="D1868" s="6" t="s">
        <v>42</v>
      </c>
      <c r="E1868" s="7">
        <v>44927</v>
      </c>
      <c r="F1868" s="8" t="s">
        <v>77</v>
      </c>
      <c r="G1868" s="2" t="s">
        <v>26</v>
      </c>
      <c r="H1868" s="8" t="s">
        <v>28</v>
      </c>
      <c r="I1868" s="2" t="s">
        <v>26</v>
      </c>
      <c r="J1868" s="7">
        <v>44927</v>
      </c>
      <c r="K1868" s="8" t="s">
        <v>77</v>
      </c>
      <c r="L1868" s="2" t="s">
        <v>26</v>
      </c>
      <c r="M1868" s="8" t="s">
        <v>28</v>
      </c>
      <c r="N1868" s="6" t="s">
        <v>2264</v>
      </c>
      <c r="O1868" s="6" t="s">
        <v>30</v>
      </c>
      <c r="P1868" s="2" t="s">
        <v>13248</v>
      </c>
    </row>
    <row r="1869" spans="1:16" ht="13.15" x14ac:dyDescent="0.4">
      <c r="A1869" s="2" t="s">
        <v>10942</v>
      </c>
      <c r="B1869" s="2" t="s">
        <v>5885</v>
      </c>
      <c r="C1869" s="6" t="s">
        <v>5879</v>
      </c>
      <c r="D1869" s="6" t="s">
        <v>42</v>
      </c>
      <c r="E1869" s="7">
        <v>44927</v>
      </c>
      <c r="F1869" s="8" t="s">
        <v>77</v>
      </c>
      <c r="G1869" s="2" t="s">
        <v>26</v>
      </c>
      <c r="H1869" s="8" t="s">
        <v>28</v>
      </c>
      <c r="I1869" s="2" t="s">
        <v>26</v>
      </c>
      <c r="J1869" s="7">
        <v>44927</v>
      </c>
      <c r="K1869" s="8" t="s">
        <v>77</v>
      </c>
      <c r="L1869" s="2" t="s">
        <v>26</v>
      </c>
      <c r="M1869" s="8" t="s">
        <v>28</v>
      </c>
      <c r="N1869" s="6" t="s">
        <v>2264</v>
      </c>
      <c r="O1869" s="6" t="s">
        <v>30</v>
      </c>
      <c r="P1869" s="2" t="s">
        <v>13249</v>
      </c>
    </row>
    <row r="1870" spans="1:16" ht="13.15" x14ac:dyDescent="0.4">
      <c r="A1870" s="2" t="s">
        <v>11026</v>
      </c>
      <c r="B1870" s="2" t="s">
        <v>5885</v>
      </c>
      <c r="C1870" s="6" t="s">
        <v>5879</v>
      </c>
      <c r="D1870" s="6" t="s">
        <v>42</v>
      </c>
      <c r="E1870" s="7">
        <v>44927</v>
      </c>
      <c r="F1870" s="8" t="s">
        <v>77</v>
      </c>
      <c r="G1870" s="2" t="s">
        <v>26</v>
      </c>
      <c r="H1870" s="8" t="s">
        <v>28</v>
      </c>
      <c r="I1870" s="2" t="s">
        <v>26</v>
      </c>
      <c r="J1870" s="7">
        <v>44927</v>
      </c>
      <c r="K1870" s="8" t="s">
        <v>77</v>
      </c>
      <c r="L1870" s="2" t="s">
        <v>26</v>
      </c>
      <c r="M1870" s="8" t="s">
        <v>28</v>
      </c>
      <c r="N1870" s="6" t="s">
        <v>2264</v>
      </c>
      <c r="O1870" s="6" t="s">
        <v>30</v>
      </c>
      <c r="P1870" s="2" t="s">
        <v>13250</v>
      </c>
    </row>
    <row r="1871" spans="1:16" ht="13.15" x14ac:dyDescent="0.4">
      <c r="A1871" s="2" t="s">
        <v>11073</v>
      </c>
      <c r="B1871" s="2" t="s">
        <v>5885</v>
      </c>
      <c r="C1871" s="6" t="s">
        <v>5879</v>
      </c>
      <c r="D1871" s="6" t="s">
        <v>42</v>
      </c>
      <c r="E1871" s="7">
        <v>44927</v>
      </c>
      <c r="F1871" s="8" t="s">
        <v>77</v>
      </c>
      <c r="G1871" s="2" t="s">
        <v>26</v>
      </c>
      <c r="H1871" s="8" t="s">
        <v>28</v>
      </c>
      <c r="I1871" s="2" t="s">
        <v>26</v>
      </c>
      <c r="J1871" s="7">
        <v>44927</v>
      </c>
      <c r="K1871" s="8" t="s">
        <v>77</v>
      </c>
      <c r="L1871" s="2" t="s">
        <v>26</v>
      </c>
      <c r="M1871" s="8" t="s">
        <v>28</v>
      </c>
      <c r="N1871" s="6" t="s">
        <v>2264</v>
      </c>
      <c r="O1871" s="6" t="s">
        <v>30</v>
      </c>
      <c r="P1871" s="2" t="s">
        <v>13251</v>
      </c>
    </row>
    <row r="1872" spans="1:16" ht="13.15" x14ac:dyDescent="0.4">
      <c r="A1872" s="2" t="s">
        <v>11150</v>
      </c>
      <c r="B1872" s="2" t="s">
        <v>5885</v>
      </c>
      <c r="C1872" s="6" t="s">
        <v>5879</v>
      </c>
      <c r="D1872" s="6" t="s">
        <v>42</v>
      </c>
      <c r="E1872" s="7">
        <v>44927</v>
      </c>
      <c r="F1872" s="8" t="s">
        <v>77</v>
      </c>
      <c r="G1872" s="2" t="s">
        <v>26</v>
      </c>
      <c r="H1872" s="8" t="s">
        <v>28</v>
      </c>
      <c r="I1872" s="2" t="s">
        <v>26</v>
      </c>
      <c r="J1872" s="7">
        <v>44927</v>
      </c>
      <c r="K1872" s="8" t="s">
        <v>77</v>
      </c>
      <c r="L1872" s="2" t="s">
        <v>26</v>
      </c>
      <c r="M1872" s="8" t="s">
        <v>28</v>
      </c>
      <c r="N1872" s="6" t="s">
        <v>2264</v>
      </c>
      <c r="O1872" s="6" t="s">
        <v>30</v>
      </c>
      <c r="P1872" s="2" t="s">
        <v>13252</v>
      </c>
    </row>
    <row r="1873" spans="1:16" ht="13.15" x14ac:dyDescent="0.4">
      <c r="A1873" s="2" t="s">
        <v>11085</v>
      </c>
      <c r="B1873" s="2" t="s">
        <v>5885</v>
      </c>
      <c r="C1873" s="6" t="s">
        <v>5879</v>
      </c>
      <c r="D1873" s="6" t="s">
        <v>42</v>
      </c>
      <c r="E1873" s="7">
        <v>44927</v>
      </c>
      <c r="F1873" s="8" t="s">
        <v>77</v>
      </c>
      <c r="G1873" s="2" t="s">
        <v>26</v>
      </c>
      <c r="H1873" s="8" t="s">
        <v>28</v>
      </c>
      <c r="I1873" s="2" t="s">
        <v>26</v>
      </c>
      <c r="J1873" s="7">
        <v>44927</v>
      </c>
      <c r="K1873" s="8" t="s">
        <v>77</v>
      </c>
      <c r="L1873" s="2" t="s">
        <v>26</v>
      </c>
      <c r="M1873" s="8" t="s">
        <v>28</v>
      </c>
      <c r="N1873" s="6" t="s">
        <v>2264</v>
      </c>
      <c r="O1873" s="6" t="s">
        <v>30</v>
      </c>
      <c r="P1873" s="2" t="s">
        <v>13253</v>
      </c>
    </row>
    <row r="1874" spans="1:16" ht="13.15" x14ac:dyDescent="0.4">
      <c r="A1874" s="2" t="s">
        <v>10944</v>
      </c>
      <c r="B1874" s="2" t="s">
        <v>5885</v>
      </c>
      <c r="C1874" s="6" t="s">
        <v>5879</v>
      </c>
      <c r="D1874" s="6" t="s">
        <v>42</v>
      </c>
      <c r="E1874" s="7">
        <v>44927</v>
      </c>
      <c r="F1874" s="8" t="s">
        <v>77</v>
      </c>
      <c r="G1874" s="2" t="s">
        <v>26</v>
      </c>
      <c r="H1874" s="8" t="s">
        <v>28</v>
      </c>
      <c r="I1874" s="2" t="s">
        <v>26</v>
      </c>
      <c r="J1874" s="7">
        <v>44927</v>
      </c>
      <c r="K1874" s="8" t="s">
        <v>77</v>
      </c>
      <c r="L1874" s="2" t="s">
        <v>26</v>
      </c>
      <c r="M1874" s="8" t="s">
        <v>28</v>
      </c>
      <c r="N1874" s="6" t="s">
        <v>2264</v>
      </c>
      <c r="O1874" s="6" t="s">
        <v>30</v>
      </c>
      <c r="P1874" s="2" t="s">
        <v>13254</v>
      </c>
    </row>
    <row r="1875" spans="1:16" ht="13.15" x14ac:dyDescent="0.4">
      <c r="A1875" s="2" t="s">
        <v>10973</v>
      </c>
      <c r="B1875" s="2" t="s">
        <v>5885</v>
      </c>
      <c r="C1875" s="6" t="s">
        <v>5879</v>
      </c>
      <c r="D1875" s="6" t="s">
        <v>42</v>
      </c>
      <c r="E1875" s="7">
        <v>44927</v>
      </c>
      <c r="F1875" s="8" t="s">
        <v>77</v>
      </c>
      <c r="G1875" s="2" t="s">
        <v>26</v>
      </c>
      <c r="H1875" s="8" t="s">
        <v>28</v>
      </c>
      <c r="I1875" s="2" t="s">
        <v>26</v>
      </c>
      <c r="J1875" s="7">
        <v>44927</v>
      </c>
      <c r="K1875" s="8" t="s">
        <v>77</v>
      </c>
      <c r="L1875" s="2" t="s">
        <v>26</v>
      </c>
      <c r="M1875" s="8" t="s">
        <v>28</v>
      </c>
      <c r="N1875" s="6" t="s">
        <v>2264</v>
      </c>
      <c r="O1875" s="6" t="s">
        <v>30</v>
      </c>
      <c r="P1875" s="2" t="s">
        <v>13255</v>
      </c>
    </row>
    <row r="1876" spans="1:16" ht="13.15" x14ac:dyDescent="0.4">
      <c r="A1876" s="2" t="s">
        <v>11022</v>
      </c>
      <c r="B1876" s="2" t="s">
        <v>5885</v>
      </c>
      <c r="C1876" s="6" t="s">
        <v>5879</v>
      </c>
      <c r="D1876" s="6" t="s">
        <v>42</v>
      </c>
      <c r="E1876" s="7">
        <v>44927</v>
      </c>
      <c r="F1876" s="8" t="s">
        <v>77</v>
      </c>
      <c r="G1876" s="2" t="s">
        <v>26</v>
      </c>
      <c r="H1876" s="8" t="s">
        <v>28</v>
      </c>
      <c r="I1876" s="2" t="s">
        <v>26</v>
      </c>
      <c r="J1876" s="7">
        <v>44927</v>
      </c>
      <c r="K1876" s="8" t="s">
        <v>77</v>
      </c>
      <c r="L1876" s="2" t="s">
        <v>26</v>
      </c>
      <c r="M1876" s="8" t="s">
        <v>28</v>
      </c>
      <c r="N1876" s="6" t="s">
        <v>2264</v>
      </c>
      <c r="O1876" s="6" t="s">
        <v>30</v>
      </c>
      <c r="P1876" s="2" t="s">
        <v>13256</v>
      </c>
    </row>
    <row r="1877" spans="1:16" ht="13.15" x14ac:dyDescent="0.4">
      <c r="A1877" s="2" t="s">
        <v>11011</v>
      </c>
      <c r="B1877" s="2" t="s">
        <v>5885</v>
      </c>
      <c r="C1877" s="6" t="s">
        <v>5879</v>
      </c>
      <c r="D1877" s="6" t="s">
        <v>42</v>
      </c>
      <c r="E1877" s="7">
        <v>44927</v>
      </c>
      <c r="F1877" s="8" t="s">
        <v>77</v>
      </c>
      <c r="G1877" s="2" t="s">
        <v>26</v>
      </c>
      <c r="H1877" s="8" t="s">
        <v>28</v>
      </c>
      <c r="I1877" s="2" t="s">
        <v>26</v>
      </c>
      <c r="J1877" s="7">
        <v>44927</v>
      </c>
      <c r="K1877" s="8" t="s">
        <v>77</v>
      </c>
      <c r="L1877" s="2" t="s">
        <v>26</v>
      </c>
      <c r="M1877" s="8" t="s">
        <v>28</v>
      </c>
      <c r="N1877" s="6" t="s">
        <v>2264</v>
      </c>
      <c r="O1877" s="6" t="s">
        <v>30</v>
      </c>
      <c r="P1877" s="2" t="s">
        <v>13257</v>
      </c>
    </row>
    <row r="1878" spans="1:16" ht="13.15" x14ac:dyDescent="0.4">
      <c r="A1878" s="2" t="s">
        <v>11017</v>
      </c>
      <c r="B1878" s="2" t="s">
        <v>5885</v>
      </c>
      <c r="C1878" s="6" t="s">
        <v>5879</v>
      </c>
      <c r="D1878" s="6" t="s">
        <v>42</v>
      </c>
      <c r="E1878" s="7">
        <v>44927</v>
      </c>
      <c r="F1878" s="8" t="s">
        <v>77</v>
      </c>
      <c r="G1878" s="2" t="s">
        <v>26</v>
      </c>
      <c r="H1878" s="8" t="s">
        <v>28</v>
      </c>
      <c r="I1878" s="2" t="s">
        <v>26</v>
      </c>
      <c r="J1878" s="7">
        <v>44927</v>
      </c>
      <c r="K1878" s="8" t="s">
        <v>77</v>
      </c>
      <c r="L1878" s="2" t="s">
        <v>26</v>
      </c>
      <c r="M1878" s="8" t="s">
        <v>28</v>
      </c>
      <c r="N1878" s="6" t="s">
        <v>2264</v>
      </c>
      <c r="O1878" s="6" t="s">
        <v>30</v>
      </c>
      <c r="P1878" s="2" t="s">
        <v>13258</v>
      </c>
    </row>
    <row r="1879" spans="1:16" ht="13.15" x14ac:dyDescent="0.4">
      <c r="A1879" s="2" t="s">
        <v>11103</v>
      </c>
      <c r="B1879" s="2" t="s">
        <v>5885</v>
      </c>
      <c r="C1879" s="6" t="s">
        <v>5879</v>
      </c>
      <c r="D1879" s="6" t="s">
        <v>42</v>
      </c>
      <c r="E1879" s="7">
        <v>44927</v>
      </c>
      <c r="F1879" s="8" t="s">
        <v>77</v>
      </c>
      <c r="G1879" s="2" t="s">
        <v>26</v>
      </c>
      <c r="H1879" s="8" t="s">
        <v>28</v>
      </c>
      <c r="I1879" s="2" t="s">
        <v>26</v>
      </c>
      <c r="J1879" s="7">
        <v>44927</v>
      </c>
      <c r="K1879" s="8" t="s">
        <v>77</v>
      </c>
      <c r="L1879" s="2" t="s">
        <v>26</v>
      </c>
      <c r="M1879" s="8" t="s">
        <v>28</v>
      </c>
      <c r="N1879" s="6" t="s">
        <v>2264</v>
      </c>
      <c r="O1879" s="6" t="s">
        <v>30</v>
      </c>
      <c r="P1879" s="2" t="s">
        <v>13259</v>
      </c>
    </row>
    <row r="1880" spans="1:16" ht="13.15" x14ac:dyDescent="0.4">
      <c r="A1880" s="2" t="s">
        <v>11042</v>
      </c>
      <c r="B1880" s="2" t="s">
        <v>5885</v>
      </c>
      <c r="C1880" s="6" t="s">
        <v>5879</v>
      </c>
      <c r="D1880" s="6" t="s">
        <v>42</v>
      </c>
      <c r="E1880" s="7">
        <v>44927</v>
      </c>
      <c r="F1880" s="8" t="s">
        <v>77</v>
      </c>
      <c r="G1880" s="2" t="s">
        <v>26</v>
      </c>
      <c r="H1880" s="8" t="s">
        <v>28</v>
      </c>
      <c r="I1880" s="2" t="s">
        <v>26</v>
      </c>
      <c r="J1880" s="7">
        <v>44927</v>
      </c>
      <c r="K1880" s="8" t="s">
        <v>77</v>
      </c>
      <c r="L1880" s="2" t="s">
        <v>26</v>
      </c>
      <c r="M1880" s="8" t="s">
        <v>28</v>
      </c>
      <c r="N1880" s="6" t="s">
        <v>2264</v>
      </c>
      <c r="O1880" s="6" t="s">
        <v>30</v>
      </c>
      <c r="P1880" s="2" t="s">
        <v>13260</v>
      </c>
    </row>
    <row r="1881" spans="1:16" ht="13.15" x14ac:dyDescent="0.4">
      <c r="A1881" s="2" t="s">
        <v>11107</v>
      </c>
      <c r="B1881" s="2" t="s">
        <v>5885</v>
      </c>
      <c r="C1881" s="6" t="s">
        <v>5879</v>
      </c>
      <c r="D1881" s="6" t="s">
        <v>42</v>
      </c>
      <c r="E1881" s="7">
        <v>44927</v>
      </c>
      <c r="F1881" s="8" t="s">
        <v>77</v>
      </c>
      <c r="G1881" s="2" t="s">
        <v>26</v>
      </c>
      <c r="H1881" s="8" t="s">
        <v>28</v>
      </c>
      <c r="I1881" s="2" t="s">
        <v>26</v>
      </c>
      <c r="J1881" s="7">
        <v>44927</v>
      </c>
      <c r="K1881" s="8" t="s">
        <v>77</v>
      </c>
      <c r="L1881" s="2" t="s">
        <v>26</v>
      </c>
      <c r="M1881" s="8" t="s">
        <v>28</v>
      </c>
      <c r="N1881" s="6" t="s">
        <v>2264</v>
      </c>
      <c r="O1881" s="6" t="s">
        <v>30</v>
      </c>
      <c r="P1881" s="2" t="s">
        <v>13261</v>
      </c>
    </row>
    <row r="1882" spans="1:16" ht="13.15" x14ac:dyDescent="0.4">
      <c r="A1882" s="2" t="s">
        <v>11025</v>
      </c>
      <c r="B1882" s="2" t="s">
        <v>5885</v>
      </c>
      <c r="C1882" s="6" t="s">
        <v>5879</v>
      </c>
      <c r="D1882" s="6" t="s">
        <v>42</v>
      </c>
      <c r="E1882" s="7">
        <v>44927</v>
      </c>
      <c r="F1882" s="8" t="s">
        <v>77</v>
      </c>
      <c r="G1882" s="2" t="s">
        <v>26</v>
      </c>
      <c r="H1882" s="8" t="s">
        <v>28</v>
      </c>
      <c r="I1882" s="2" t="s">
        <v>26</v>
      </c>
      <c r="J1882" s="7">
        <v>44927</v>
      </c>
      <c r="K1882" s="8" t="s">
        <v>77</v>
      </c>
      <c r="L1882" s="2" t="s">
        <v>26</v>
      </c>
      <c r="M1882" s="8" t="s">
        <v>28</v>
      </c>
      <c r="N1882" s="6" t="s">
        <v>2264</v>
      </c>
      <c r="O1882" s="6" t="s">
        <v>30</v>
      </c>
      <c r="P1882" s="2" t="s">
        <v>13262</v>
      </c>
    </row>
    <row r="1883" spans="1:16" ht="13.15" x14ac:dyDescent="0.4">
      <c r="A1883" s="2" t="s">
        <v>10949</v>
      </c>
      <c r="B1883" s="2" t="s">
        <v>5885</v>
      </c>
      <c r="C1883" s="6" t="s">
        <v>5879</v>
      </c>
      <c r="D1883" s="6" t="s">
        <v>42</v>
      </c>
      <c r="E1883" s="7">
        <v>44927</v>
      </c>
      <c r="F1883" s="8" t="s">
        <v>77</v>
      </c>
      <c r="G1883" s="2" t="s">
        <v>26</v>
      </c>
      <c r="H1883" s="8" t="s">
        <v>28</v>
      </c>
      <c r="I1883" s="2" t="s">
        <v>26</v>
      </c>
      <c r="J1883" s="7">
        <v>44927</v>
      </c>
      <c r="K1883" s="8" t="s">
        <v>77</v>
      </c>
      <c r="L1883" s="2" t="s">
        <v>26</v>
      </c>
      <c r="M1883" s="8" t="s">
        <v>28</v>
      </c>
      <c r="N1883" s="6" t="s">
        <v>2264</v>
      </c>
      <c r="O1883" s="6" t="s">
        <v>30</v>
      </c>
      <c r="P1883" s="2" t="s">
        <v>13263</v>
      </c>
    </row>
    <row r="1884" spans="1:16" ht="13.15" x14ac:dyDescent="0.4">
      <c r="A1884" s="2" t="s">
        <v>10977</v>
      </c>
      <c r="B1884" s="2" t="s">
        <v>5885</v>
      </c>
      <c r="C1884" s="6" t="s">
        <v>5879</v>
      </c>
      <c r="D1884" s="6" t="s">
        <v>42</v>
      </c>
      <c r="E1884" s="7">
        <v>44927</v>
      </c>
      <c r="F1884" s="8" t="s">
        <v>77</v>
      </c>
      <c r="G1884" s="2" t="s">
        <v>26</v>
      </c>
      <c r="H1884" s="8" t="s">
        <v>28</v>
      </c>
      <c r="I1884" s="2" t="s">
        <v>26</v>
      </c>
      <c r="J1884" s="7">
        <v>44927</v>
      </c>
      <c r="K1884" s="8" t="s">
        <v>77</v>
      </c>
      <c r="L1884" s="2" t="s">
        <v>26</v>
      </c>
      <c r="M1884" s="8" t="s">
        <v>28</v>
      </c>
      <c r="N1884" s="6" t="s">
        <v>2264</v>
      </c>
      <c r="O1884" s="6" t="s">
        <v>30</v>
      </c>
      <c r="P1884" s="2" t="s">
        <v>13264</v>
      </c>
    </row>
    <row r="1885" spans="1:16" ht="13.15" x14ac:dyDescent="0.4">
      <c r="A1885" s="2" t="s">
        <v>11086</v>
      </c>
      <c r="B1885" s="2" t="s">
        <v>5885</v>
      </c>
      <c r="C1885" s="6" t="s">
        <v>5879</v>
      </c>
      <c r="D1885" s="6" t="s">
        <v>42</v>
      </c>
      <c r="E1885" s="7">
        <v>44927</v>
      </c>
      <c r="F1885" s="8" t="s">
        <v>77</v>
      </c>
      <c r="G1885" s="2" t="s">
        <v>26</v>
      </c>
      <c r="H1885" s="8" t="s">
        <v>28</v>
      </c>
      <c r="I1885" s="2" t="s">
        <v>26</v>
      </c>
      <c r="J1885" s="7">
        <v>44927</v>
      </c>
      <c r="K1885" s="8" t="s">
        <v>77</v>
      </c>
      <c r="L1885" s="2" t="s">
        <v>26</v>
      </c>
      <c r="M1885" s="8" t="s">
        <v>28</v>
      </c>
      <c r="N1885" s="6" t="s">
        <v>2264</v>
      </c>
      <c r="O1885" s="6" t="s">
        <v>30</v>
      </c>
      <c r="P1885" s="2" t="s">
        <v>13265</v>
      </c>
    </row>
    <row r="1886" spans="1:16" ht="13.15" x14ac:dyDescent="0.4">
      <c r="A1886" s="2" t="s">
        <v>11066</v>
      </c>
      <c r="B1886" s="2" t="s">
        <v>5885</v>
      </c>
      <c r="C1886" s="6" t="s">
        <v>5879</v>
      </c>
      <c r="D1886" s="6" t="s">
        <v>42</v>
      </c>
      <c r="E1886" s="7">
        <v>44927</v>
      </c>
      <c r="F1886" s="8" t="s">
        <v>77</v>
      </c>
      <c r="G1886" s="2" t="s">
        <v>26</v>
      </c>
      <c r="H1886" s="8" t="s">
        <v>28</v>
      </c>
      <c r="I1886" s="2" t="s">
        <v>26</v>
      </c>
      <c r="J1886" s="7">
        <v>44927</v>
      </c>
      <c r="K1886" s="8" t="s">
        <v>77</v>
      </c>
      <c r="L1886" s="2" t="s">
        <v>26</v>
      </c>
      <c r="M1886" s="8" t="s">
        <v>28</v>
      </c>
      <c r="N1886" s="6" t="s">
        <v>2264</v>
      </c>
      <c r="O1886" s="6" t="s">
        <v>30</v>
      </c>
      <c r="P1886" s="2" t="s">
        <v>13266</v>
      </c>
    </row>
    <row r="1887" spans="1:16" ht="13.15" x14ac:dyDescent="0.4">
      <c r="A1887" s="2" t="s">
        <v>10980</v>
      </c>
      <c r="B1887" s="2" t="s">
        <v>5885</v>
      </c>
      <c r="C1887" s="6" t="s">
        <v>5879</v>
      </c>
      <c r="D1887" s="6" t="s">
        <v>42</v>
      </c>
      <c r="E1887" s="7">
        <v>44927</v>
      </c>
      <c r="F1887" s="8" t="s">
        <v>77</v>
      </c>
      <c r="G1887" s="2" t="s">
        <v>26</v>
      </c>
      <c r="H1887" s="8" t="s">
        <v>28</v>
      </c>
      <c r="I1887" s="2" t="s">
        <v>26</v>
      </c>
      <c r="J1887" s="7">
        <v>44927</v>
      </c>
      <c r="K1887" s="8" t="s">
        <v>77</v>
      </c>
      <c r="L1887" s="2" t="s">
        <v>26</v>
      </c>
      <c r="M1887" s="8" t="s">
        <v>28</v>
      </c>
      <c r="N1887" s="6" t="s">
        <v>2264</v>
      </c>
      <c r="O1887" s="6" t="s">
        <v>30</v>
      </c>
      <c r="P1887" s="2" t="s">
        <v>13267</v>
      </c>
    </row>
    <row r="1888" spans="1:16" ht="13.15" x14ac:dyDescent="0.4">
      <c r="A1888" s="2" t="s">
        <v>11043</v>
      </c>
      <c r="B1888" s="2" t="s">
        <v>5885</v>
      </c>
      <c r="C1888" s="6" t="s">
        <v>5879</v>
      </c>
      <c r="D1888" s="6" t="s">
        <v>42</v>
      </c>
      <c r="E1888" s="7">
        <v>44927</v>
      </c>
      <c r="F1888" s="8" t="s">
        <v>77</v>
      </c>
      <c r="G1888" s="2" t="s">
        <v>26</v>
      </c>
      <c r="H1888" s="8" t="s">
        <v>28</v>
      </c>
      <c r="I1888" s="2" t="s">
        <v>26</v>
      </c>
      <c r="J1888" s="7">
        <v>44927</v>
      </c>
      <c r="K1888" s="8" t="s">
        <v>77</v>
      </c>
      <c r="L1888" s="2" t="s">
        <v>26</v>
      </c>
      <c r="M1888" s="8" t="s">
        <v>28</v>
      </c>
      <c r="N1888" s="6" t="s">
        <v>2264</v>
      </c>
      <c r="O1888" s="6" t="s">
        <v>30</v>
      </c>
      <c r="P1888" s="2" t="s">
        <v>13268</v>
      </c>
    </row>
    <row r="1889" spans="1:16" ht="13.15" x14ac:dyDescent="0.4">
      <c r="A1889" s="2" t="s">
        <v>11031</v>
      </c>
      <c r="B1889" s="2" t="s">
        <v>5885</v>
      </c>
      <c r="C1889" s="6" t="s">
        <v>5879</v>
      </c>
      <c r="D1889" s="6" t="s">
        <v>42</v>
      </c>
      <c r="E1889" s="7">
        <v>44927</v>
      </c>
      <c r="F1889" s="8" t="s">
        <v>77</v>
      </c>
      <c r="G1889" s="2" t="s">
        <v>26</v>
      </c>
      <c r="H1889" s="8" t="s">
        <v>28</v>
      </c>
      <c r="I1889" s="2" t="s">
        <v>26</v>
      </c>
      <c r="J1889" s="7">
        <v>44927</v>
      </c>
      <c r="K1889" s="8" t="s">
        <v>77</v>
      </c>
      <c r="L1889" s="2" t="s">
        <v>26</v>
      </c>
      <c r="M1889" s="8" t="s">
        <v>28</v>
      </c>
      <c r="N1889" s="6" t="s">
        <v>2264</v>
      </c>
      <c r="O1889" s="6" t="s">
        <v>30</v>
      </c>
      <c r="P1889" s="2" t="s">
        <v>13269</v>
      </c>
    </row>
    <row r="1890" spans="1:16" ht="13.15" x14ac:dyDescent="0.4">
      <c r="A1890" s="2" t="s">
        <v>10939</v>
      </c>
      <c r="B1890" s="2" t="s">
        <v>5885</v>
      </c>
      <c r="C1890" s="6" t="s">
        <v>5879</v>
      </c>
      <c r="D1890" s="6" t="s">
        <v>42</v>
      </c>
      <c r="E1890" s="7">
        <v>44927</v>
      </c>
      <c r="F1890" s="8" t="s">
        <v>77</v>
      </c>
      <c r="G1890" s="2" t="s">
        <v>26</v>
      </c>
      <c r="H1890" s="8" t="s">
        <v>28</v>
      </c>
      <c r="I1890" s="2" t="s">
        <v>26</v>
      </c>
      <c r="J1890" s="7">
        <v>44927</v>
      </c>
      <c r="K1890" s="8" t="s">
        <v>77</v>
      </c>
      <c r="L1890" s="2" t="s">
        <v>26</v>
      </c>
      <c r="M1890" s="8" t="s">
        <v>28</v>
      </c>
      <c r="N1890" s="6" t="s">
        <v>2264</v>
      </c>
      <c r="O1890" s="6" t="s">
        <v>30</v>
      </c>
      <c r="P1890" s="2" t="s">
        <v>13270</v>
      </c>
    </row>
    <row r="1891" spans="1:16" ht="13.15" x14ac:dyDescent="0.4">
      <c r="A1891" s="2" t="s">
        <v>11010</v>
      </c>
      <c r="B1891" s="2" t="s">
        <v>5885</v>
      </c>
      <c r="C1891" s="6" t="s">
        <v>5879</v>
      </c>
      <c r="D1891" s="6" t="s">
        <v>42</v>
      </c>
      <c r="E1891" s="7">
        <v>44927</v>
      </c>
      <c r="F1891" s="8" t="s">
        <v>77</v>
      </c>
      <c r="G1891" s="2" t="s">
        <v>26</v>
      </c>
      <c r="H1891" s="8" t="s">
        <v>28</v>
      </c>
      <c r="I1891" s="2" t="s">
        <v>26</v>
      </c>
      <c r="J1891" s="7">
        <v>44927</v>
      </c>
      <c r="K1891" s="8" t="s">
        <v>77</v>
      </c>
      <c r="L1891" s="2" t="s">
        <v>26</v>
      </c>
      <c r="M1891" s="8" t="s">
        <v>28</v>
      </c>
      <c r="N1891" s="6" t="s">
        <v>2264</v>
      </c>
      <c r="O1891" s="6" t="s">
        <v>30</v>
      </c>
      <c r="P1891" s="2" t="s">
        <v>13271</v>
      </c>
    </row>
    <row r="1892" spans="1:16" ht="13.15" x14ac:dyDescent="0.4">
      <c r="A1892" s="2" t="s">
        <v>11029</v>
      </c>
      <c r="B1892" s="2" t="s">
        <v>5885</v>
      </c>
      <c r="C1892" s="6" t="s">
        <v>5879</v>
      </c>
      <c r="D1892" s="6" t="s">
        <v>42</v>
      </c>
      <c r="E1892" s="7">
        <v>44927</v>
      </c>
      <c r="F1892" s="8" t="s">
        <v>77</v>
      </c>
      <c r="G1892" s="2" t="s">
        <v>26</v>
      </c>
      <c r="H1892" s="8" t="s">
        <v>28</v>
      </c>
      <c r="I1892" s="2" t="s">
        <v>26</v>
      </c>
      <c r="J1892" s="7">
        <v>44927</v>
      </c>
      <c r="K1892" s="8" t="s">
        <v>77</v>
      </c>
      <c r="L1892" s="2" t="s">
        <v>26</v>
      </c>
      <c r="M1892" s="8" t="s">
        <v>28</v>
      </c>
      <c r="N1892" s="6" t="s">
        <v>2264</v>
      </c>
      <c r="O1892" s="6" t="s">
        <v>30</v>
      </c>
      <c r="P1892" s="2" t="s">
        <v>13272</v>
      </c>
    </row>
    <row r="1893" spans="1:16" ht="13.15" x14ac:dyDescent="0.4">
      <c r="A1893" s="2" t="s">
        <v>11060</v>
      </c>
      <c r="B1893" s="2" t="s">
        <v>5885</v>
      </c>
      <c r="C1893" s="6" t="s">
        <v>5879</v>
      </c>
      <c r="D1893" s="6" t="s">
        <v>42</v>
      </c>
      <c r="E1893" s="7">
        <v>44927</v>
      </c>
      <c r="F1893" s="8" t="s">
        <v>77</v>
      </c>
      <c r="G1893" s="2" t="s">
        <v>26</v>
      </c>
      <c r="H1893" s="8" t="s">
        <v>28</v>
      </c>
      <c r="I1893" s="2" t="s">
        <v>26</v>
      </c>
      <c r="J1893" s="7">
        <v>44927</v>
      </c>
      <c r="K1893" s="8" t="s">
        <v>77</v>
      </c>
      <c r="L1893" s="2" t="s">
        <v>26</v>
      </c>
      <c r="M1893" s="8" t="s">
        <v>28</v>
      </c>
      <c r="N1893" s="6" t="s">
        <v>2264</v>
      </c>
      <c r="O1893" s="6" t="s">
        <v>30</v>
      </c>
      <c r="P1893" s="2" t="s">
        <v>13273</v>
      </c>
    </row>
    <row r="1894" spans="1:16" ht="13.15" x14ac:dyDescent="0.4">
      <c r="A1894" s="2" t="s">
        <v>11169</v>
      </c>
      <c r="B1894" s="2" t="s">
        <v>5885</v>
      </c>
      <c r="C1894" s="6" t="s">
        <v>5879</v>
      </c>
      <c r="D1894" s="6" t="s">
        <v>42</v>
      </c>
      <c r="E1894" s="7">
        <v>44927</v>
      </c>
      <c r="F1894" s="8" t="s">
        <v>77</v>
      </c>
      <c r="G1894" s="2" t="s">
        <v>26</v>
      </c>
      <c r="H1894" s="8" t="s">
        <v>28</v>
      </c>
      <c r="I1894" s="2" t="s">
        <v>26</v>
      </c>
      <c r="J1894" s="7">
        <v>44927</v>
      </c>
      <c r="K1894" s="8" t="s">
        <v>77</v>
      </c>
      <c r="L1894" s="2" t="s">
        <v>26</v>
      </c>
      <c r="M1894" s="8" t="s">
        <v>28</v>
      </c>
      <c r="N1894" s="6" t="s">
        <v>2264</v>
      </c>
      <c r="O1894" s="6" t="s">
        <v>30</v>
      </c>
      <c r="P1894" s="2" t="s">
        <v>13274</v>
      </c>
    </row>
    <row r="1895" spans="1:16" ht="13.15" x14ac:dyDescent="0.4">
      <c r="A1895" s="2" t="s">
        <v>11049</v>
      </c>
      <c r="B1895" s="2" t="s">
        <v>5885</v>
      </c>
      <c r="C1895" s="6" t="s">
        <v>5879</v>
      </c>
      <c r="D1895" s="6" t="s">
        <v>42</v>
      </c>
      <c r="E1895" s="7">
        <v>44927</v>
      </c>
      <c r="F1895" s="8" t="s">
        <v>77</v>
      </c>
      <c r="G1895" s="2" t="s">
        <v>26</v>
      </c>
      <c r="H1895" s="8" t="s">
        <v>28</v>
      </c>
      <c r="I1895" s="2" t="s">
        <v>26</v>
      </c>
      <c r="J1895" s="7">
        <v>44927</v>
      </c>
      <c r="K1895" s="8" t="s">
        <v>77</v>
      </c>
      <c r="L1895" s="2" t="s">
        <v>26</v>
      </c>
      <c r="M1895" s="8" t="s">
        <v>28</v>
      </c>
      <c r="N1895" s="6" t="s">
        <v>2264</v>
      </c>
      <c r="O1895" s="6" t="s">
        <v>30</v>
      </c>
      <c r="P1895" s="2" t="s">
        <v>13275</v>
      </c>
    </row>
    <row r="1896" spans="1:16" ht="13.15" x14ac:dyDescent="0.4">
      <c r="A1896" s="2" t="s">
        <v>11102</v>
      </c>
      <c r="B1896" s="2" t="s">
        <v>5885</v>
      </c>
      <c r="C1896" s="6" t="s">
        <v>5879</v>
      </c>
      <c r="D1896" s="6" t="s">
        <v>42</v>
      </c>
      <c r="E1896" s="7">
        <v>44927</v>
      </c>
      <c r="F1896" s="8" t="s">
        <v>77</v>
      </c>
      <c r="G1896" s="2" t="s">
        <v>26</v>
      </c>
      <c r="H1896" s="8" t="s">
        <v>28</v>
      </c>
      <c r="I1896" s="2" t="s">
        <v>26</v>
      </c>
      <c r="J1896" s="7">
        <v>44927</v>
      </c>
      <c r="K1896" s="8" t="s">
        <v>77</v>
      </c>
      <c r="L1896" s="2" t="s">
        <v>26</v>
      </c>
      <c r="M1896" s="8" t="s">
        <v>28</v>
      </c>
      <c r="N1896" s="6" t="s">
        <v>2264</v>
      </c>
      <c r="O1896" s="6" t="s">
        <v>30</v>
      </c>
      <c r="P1896" s="2" t="s">
        <v>13276</v>
      </c>
    </row>
    <row r="1897" spans="1:16" ht="13.15" x14ac:dyDescent="0.4">
      <c r="A1897" s="2" t="s">
        <v>11077</v>
      </c>
      <c r="B1897" s="2" t="s">
        <v>5885</v>
      </c>
      <c r="C1897" s="6" t="s">
        <v>5879</v>
      </c>
      <c r="D1897" s="6" t="s">
        <v>42</v>
      </c>
      <c r="E1897" s="7">
        <v>44927</v>
      </c>
      <c r="F1897" s="8" t="s">
        <v>77</v>
      </c>
      <c r="G1897" s="2" t="s">
        <v>26</v>
      </c>
      <c r="H1897" s="8" t="s">
        <v>28</v>
      </c>
      <c r="I1897" s="2" t="s">
        <v>26</v>
      </c>
      <c r="J1897" s="7">
        <v>44927</v>
      </c>
      <c r="K1897" s="8" t="s">
        <v>77</v>
      </c>
      <c r="L1897" s="2" t="s">
        <v>26</v>
      </c>
      <c r="M1897" s="8" t="s">
        <v>28</v>
      </c>
      <c r="N1897" s="6" t="s">
        <v>2264</v>
      </c>
      <c r="O1897" s="6" t="s">
        <v>30</v>
      </c>
      <c r="P1897" s="2" t="s">
        <v>13277</v>
      </c>
    </row>
  </sheetData>
  <autoFilter ref="A2:B2" xr:uid="{00000000-0001-0000-0100-000000000000}"/>
  <sortState xmlns:xlrd2="http://schemas.microsoft.com/office/spreadsheetml/2017/richdata2" ref="A2:B1897">
    <sortCondition ref="B2:B1897"/>
    <sortCondition ref="A2:A1897"/>
  </sortState>
  <mergeCells count="1">
    <mergeCell ref="A1:B1"/>
  </mergeCells>
  <hyperlinks>
    <hyperlink ref="P311" r:id="rId1" xr:uid="{FBFFB6A8-C7D2-4870-B6D5-48D286BFFF9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0825-C48C-478F-81B2-0F425E773B0C}">
  <dimension ref="A1:I1711"/>
  <sheetViews>
    <sheetView workbookViewId="0">
      <pane ySplit="2" topLeftCell="A3" activePane="bottomLeft" state="frozen"/>
      <selection pane="bottomLeft" activeCell="A24" sqref="A24"/>
    </sheetView>
  </sheetViews>
  <sheetFormatPr defaultRowHeight="12.75" x14ac:dyDescent="0.35"/>
  <cols>
    <col min="1" max="1" width="66.86328125" customWidth="1"/>
    <col min="2" max="2" width="84.3984375" bestFit="1" customWidth="1"/>
    <col min="3" max="3" width="13.3984375" bestFit="1" customWidth="1"/>
    <col min="4" max="7" width="13.1328125" bestFit="1" customWidth="1"/>
    <col min="8" max="8" width="17.1328125" bestFit="1" customWidth="1"/>
    <col min="9" max="9" width="40.1328125" bestFit="1" customWidth="1"/>
  </cols>
  <sheetData>
    <row r="1" spans="1:9" s="2" customFormat="1" ht="76.5" customHeight="1" thickBot="1" x14ac:dyDescent="0.45">
      <c r="A1" s="32" t="s">
        <v>22140</v>
      </c>
      <c r="B1" s="32"/>
      <c r="C1" s="33"/>
      <c r="D1" s="33"/>
      <c r="E1" s="33"/>
      <c r="F1" s="33"/>
      <c r="G1" s="33"/>
      <c r="H1" s="33"/>
      <c r="I1" s="11"/>
    </row>
    <row r="2" spans="1:9" s="5" customFormat="1" ht="43.15" thickBot="1" x14ac:dyDescent="0.4">
      <c r="A2" s="14" t="s">
        <v>0</v>
      </c>
      <c r="B2" s="16" t="s">
        <v>16671</v>
      </c>
      <c r="C2" s="14" t="s">
        <v>2</v>
      </c>
      <c r="D2" s="17" t="s">
        <v>7</v>
      </c>
      <c r="E2" s="17" t="s">
        <v>8</v>
      </c>
      <c r="F2" s="17" t="s">
        <v>9</v>
      </c>
      <c r="G2" s="14" t="s">
        <v>22</v>
      </c>
      <c r="H2" s="14" t="s">
        <v>23</v>
      </c>
      <c r="I2" s="18" t="s">
        <v>16670</v>
      </c>
    </row>
    <row r="3" spans="1:9" ht="13.15" x14ac:dyDescent="0.4">
      <c r="A3" s="11" t="s">
        <v>19729</v>
      </c>
      <c r="B3" s="11" t="s">
        <v>2481</v>
      </c>
      <c r="C3" s="11" t="s">
        <v>18721</v>
      </c>
      <c r="D3" s="12">
        <v>41275</v>
      </c>
      <c r="E3" s="12">
        <v>41275</v>
      </c>
      <c r="F3" s="11"/>
      <c r="G3" s="11" t="s">
        <v>279</v>
      </c>
      <c r="H3" s="11" t="s">
        <v>30</v>
      </c>
      <c r="I3" s="11" t="s">
        <v>21130</v>
      </c>
    </row>
    <row r="4" spans="1:9" ht="13.15" x14ac:dyDescent="0.4">
      <c r="A4" s="11" t="s">
        <v>20339</v>
      </c>
      <c r="B4" s="11" t="s">
        <v>2481</v>
      </c>
      <c r="C4" s="11" t="s">
        <v>18721</v>
      </c>
      <c r="D4" s="12">
        <v>41275</v>
      </c>
      <c r="E4" s="12">
        <v>41275</v>
      </c>
      <c r="F4" s="11"/>
      <c r="G4" s="11" t="s">
        <v>279</v>
      </c>
      <c r="H4" s="11" t="s">
        <v>30</v>
      </c>
      <c r="I4" s="11" t="s">
        <v>20520</v>
      </c>
    </row>
    <row r="5" spans="1:9" ht="13.15" x14ac:dyDescent="0.4">
      <c r="A5" s="11" t="s">
        <v>19504</v>
      </c>
      <c r="B5" s="11" t="s">
        <v>2481</v>
      </c>
      <c r="C5" s="11" t="s">
        <v>18721</v>
      </c>
      <c r="D5" s="12">
        <v>41640</v>
      </c>
      <c r="E5" s="12">
        <v>41640</v>
      </c>
      <c r="F5" s="11"/>
      <c r="G5" s="11" t="s">
        <v>279</v>
      </c>
      <c r="H5" s="11" t="s">
        <v>30</v>
      </c>
      <c r="I5" s="11" t="s">
        <v>21355</v>
      </c>
    </row>
    <row r="6" spans="1:9" ht="13.15" x14ac:dyDescent="0.4">
      <c r="A6" s="11" t="s">
        <v>19143</v>
      </c>
      <c r="B6" s="11" t="s">
        <v>2481</v>
      </c>
      <c r="C6" s="11" t="s">
        <v>18721</v>
      </c>
      <c r="D6" s="12">
        <v>41640</v>
      </c>
      <c r="E6" s="12">
        <v>41640</v>
      </c>
      <c r="F6" s="11"/>
      <c r="G6" s="11" t="s">
        <v>279</v>
      </c>
      <c r="H6" s="11" t="s">
        <v>30</v>
      </c>
      <c r="I6" s="11" t="s">
        <v>21716</v>
      </c>
    </row>
    <row r="7" spans="1:9" ht="13.15" x14ac:dyDescent="0.4">
      <c r="A7" s="11" t="s">
        <v>18848</v>
      </c>
      <c r="B7" s="11" t="s">
        <v>2481</v>
      </c>
      <c r="C7" s="11" t="s">
        <v>18721</v>
      </c>
      <c r="D7" s="12">
        <v>41275</v>
      </c>
      <c r="E7" s="12">
        <v>41275</v>
      </c>
      <c r="F7" s="11"/>
      <c r="G7" s="11" t="s">
        <v>279</v>
      </c>
      <c r="H7" s="11" t="s">
        <v>30</v>
      </c>
      <c r="I7" s="11" t="s">
        <v>22011</v>
      </c>
    </row>
    <row r="8" spans="1:9" ht="13.15" x14ac:dyDescent="0.4">
      <c r="A8" s="11" t="s">
        <v>19896</v>
      </c>
      <c r="B8" s="11" t="s">
        <v>2481</v>
      </c>
      <c r="C8" s="11" t="s">
        <v>18721</v>
      </c>
      <c r="D8" s="12">
        <v>41275</v>
      </c>
      <c r="E8" s="12">
        <v>41275</v>
      </c>
      <c r="F8" s="11"/>
      <c r="G8" s="11" t="s">
        <v>279</v>
      </c>
      <c r="H8" s="11" t="s">
        <v>30</v>
      </c>
      <c r="I8" s="11" t="s">
        <v>20963</v>
      </c>
    </row>
    <row r="9" spans="1:9" ht="13.15" x14ac:dyDescent="0.4">
      <c r="A9" s="11" t="s">
        <v>19539</v>
      </c>
      <c r="B9" s="11" t="s">
        <v>2481</v>
      </c>
      <c r="C9" s="11" t="s">
        <v>18721</v>
      </c>
      <c r="D9" s="12">
        <v>41275</v>
      </c>
      <c r="E9" s="12">
        <v>41275</v>
      </c>
      <c r="F9" s="11"/>
      <c r="G9" s="11" t="s">
        <v>279</v>
      </c>
      <c r="H9" s="11" t="s">
        <v>30</v>
      </c>
      <c r="I9" s="11" t="s">
        <v>21320</v>
      </c>
    </row>
    <row r="10" spans="1:9" ht="13.15" x14ac:dyDescent="0.4">
      <c r="A10" s="11" t="s">
        <v>19868</v>
      </c>
      <c r="B10" s="11" t="s">
        <v>2481</v>
      </c>
      <c r="C10" s="11" t="s">
        <v>18721</v>
      </c>
      <c r="D10" s="12">
        <v>41275</v>
      </c>
      <c r="E10" s="12">
        <v>41275</v>
      </c>
      <c r="F10" s="11"/>
      <c r="G10" s="11" t="s">
        <v>279</v>
      </c>
      <c r="H10" s="11" t="s">
        <v>30</v>
      </c>
      <c r="I10" s="11" t="s">
        <v>20991</v>
      </c>
    </row>
    <row r="11" spans="1:9" ht="13.15" x14ac:dyDescent="0.4">
      <c r="A11" s="11" t="s">
        <v>19979</v>
      </c>
      <c r="B11" s="11" t="s">
        <v>2481</v>
      </c>
      <c r="C11" s="11" t="s">
        <v>18721</v>
      </c>
      <c r="D11" s="12">
        <v>41275</v>
      </c>
      <c r="E11" s="12">
        <v>41275</v>
      </c>
      <c r="F11" s="11"/>
      <c r="G11" s="11" t="s">
        <v>279</v>
      </c>
      <c r="H11" s="11" t="s">
        <v>30</v>
      </c>
      <c r="I11" s="11" t="s">
        <v>20880</v>
      </c>
    </row>
    <row r="12" spans="1:9" ht="13.15" x14ac:dyDescent="0.4">
      <c r="A12" s="11" t="s">
        <v>18973</v>
      </c>
      <c r="B12" s="11" t="s">
        <v>3102</v>
      </c>
      <c r="C12" s="11" t="s">
        <v>18721</v>
      </c>
      <c r="D12" s="12">
        <v>42005</v>
      </c>
      <c r="E12" s="12">
        <v>42005</v>
      </c>
      <c r="F12" s="11"/>
      <c r="G12" s="11" t="s">
        <v>279</v>
      </c>
      <c r="H12" s="11" t="s">
        <v>30</v>
      </c>
      <c r="I12" s="11" t="s">
        <v>21886</v>
      </c>
    </row>
    <row r="13" spans="1:9" ht="13.15" x14ac:dyDescent="0.4">
      <c r="A13" s="11" t="s">
        <v>20228</v>
      </c>
      <c r="B13" s="11" t="s">
        <v>3102</v>
      </c>
      <c r="C13" s="11" t="s">
        <v>18721</v>
      </c>
      <c r="D13" s="12">
        <v>42005</v>
      </c>
      <c r="E13" s="12">
        <v>42005</v>
      </c>
      <c r="F13" s="11"/>
      <c r="G13" s="11" t="s">
        <v>279</v>
      </c>
      <c r="H13" s="11" t="s">
        <v>30</v>
      </c>
      <c r="I13" s="11" t="s">
        <v>20631</v>
      </c>
    </row>
    <row r="14" spans="1:9" ht="13.15" x14ac:dyDescent="0.4">
      <c r="A14" s="11" t="s">
        <v>20173</v>
      </c>
      <c r="B14" s="11" t="s">
        <v>3102</v>
      </c>
      <c r="C14" s="11" t="s">
        <v>18721</v>
      </c>
      <c r="D14" s="12">
        <v>42005</v>
      </c>
      <c r="E14" s="12">
        <v>42005</v>
      </c>
      <c r="F14" s="11"/>
      <c r="G14" s="11" t="s">
        <v>279</v>
      </c>
      <c r="H14" s="11" t="s">
        <v>30</v>
      </c>
      <c r="I14" s="11" t="s">
        <v>20686</v>
      </c>
    </row>
    <row r="15" spans="1:9" ht="13.15" x14ac:dyDescent="0.4">
      <c r="A15" s="11" t="s">
        <v>19449</v>
      </c>
      <c r="B15" s="11" t="s">
        <v>3108</v>
      </c>
      <c r="C15" s="11" t="s">
        <v>18721</v>
      </c>
      <c r="D15" s="12">
        <v>41640</v>
      </c>
      <c r="E15" s="12">
        <v>41640</v>
      </c>
      <c r="F15" s="11"/>
      <c r="G15" s="11" t="s">
        <v>279</v>
      </c>
      <c r="H15" s="11" t="s">
        <v>30</v>
      </c>
      <c r="I15" s="11" t="s">
        <v>21410</v>
      </c>
    </row>
    <row r="16" spans="1:9" ht="13.15" x14ac:dyDescent="0.4">
      <c r="A16" s="11" t="s">
        <v>19137</v>
      </c>
      <c r="B16" s="11" t="s">
        <v>3108</v>
      </c>
      <c r="C16" s="11" t="s">
        <v>18721</v>
      </c>
      <c r="D16" s="12">
        <v>41275</v>
      </c>
      <c r="E16" s="12">
        <v>41275</v>
      </c>
      <c r="F16" s="11"/>
      <c r="G16" s="11" t="s">
        <v>279</v>
      </c>
      <c r="H16" s="11" t="s">
        <v>30</v>
      </c>
      <c r="I16" s="11" t="s">
        <v>21722</v>
      </c>
    </row>
    <row r="17" spans="1:9" ht="13.15" x14ac:dyDescent="0.4">
      <c r="A17" s="11" t="s">
        <v>19769</v>
      </c>
      <c r="B17" s="11" t="s">
        <v>3108</v>
      </c>
      <c r="C17" s="11" t="s">
        <v>18721</v>
      </c>
      <c r="D17" s="12">
        <v>40909</v>
      </c>
      <c r="E17" s="12">
        <v>40909</v>
      </c>
      <c r="F17" s="11"/>
      <c r="G17" s="11" t="s">
        <v>279</v>
      </c>
      <c r="H17" s="11" t="s">
        <v>30</v>
      </c>
      <c r="I17" s="11" t="s">
        <v>21090</v>
      </c>
    </row>
    <row r="18" spans="1:9" ht="13.15" x14ac:dyDescent="0.4">
      <c r="A18" s="11" t="s">
        <v>19063</v>
      </c>
      <c r="B18" s="11" t="s">
        <v>3108</v>
      </c>
      <c r="C18" s="11" t="s">
        <v>18721</v>
      </c>
      <c r="D18" s="12">
        <v>40909</v>
      </c>
      <c r="E18" s="12">
        <v>40909</v>
      </c>
      <c r="F18" s="11"/>
      <c r="G18" s="11" t="s">
        <v>279</v>
      </c>
      <c r="H18" s="11" t="s">
        <v>30</v>
      </c>
      <c r="I18" s="11" t="s">
        <v>21796</v>
      </c>
    </row>
    <row r="19" spans="1:9" ht="13.15" x14ac:dyDescent="0.4">
      <c r="A19" s="11" t="s">
        <v>19903</v>
      </c>
      <c r="B19" s="11" t="s">
        <v>3108</v>
      </c>
      <c r="C19" s="11" t="s">
        <v>18721</v>
      </c>
      <c r="D19" s="12">
        <v>41640</v>
      </c>
      <c r="E19" s="12">
        <v>41640</v>
      </c>
      <c r="F19" s="11"/>
      <c r="G19" s="11" t="s">
        <v>279</v>
      </c>
      <c r="H19" s="11" t="s">
        <v>30</v>
      </c>
      <c r="I19" s="11" t="s">
        <v>20956</v>
      </c>
    </row>
    <row r="20" spans="1:9" ht="13.15" x14ac:dyDescent="0.4">
      <c r="A20" s="11" t="s">
        <v>20107</v>
      </c>
      <c r="B20" s="11" t="s">
        <v>3108</v>
      </c>
      <c r="C20" s="11" t="s">
        <v>18721</v>
      </c>
      <c r="D20" s="12">
        <v>41640</v>
      </c>
      <c r="E20" s="12">
        <v>41640</v>
      </c>
      <c r="F20" s="11"/>
      <c r="G20" s="11" t="s">
        <v>279</v>
      </c>
      <c r="H20" s="11" t="s">
        <v>30</v>
      </c>
      <c r="I20" s="11" t="s">
        <v>20752</v>
      </c>
    </row>
    <row r="21" spans="1:9" ht="13.15" x14ac:dyDescent="0.4">
      <c r="A21" s="11" t="s">
        <v>19262</v>
      </c>
      <c r="B21" s="11" t="s">
        <v>3108</v>
      </c>
      <c r="C21" s="11" t="s">
        <v>18721</v>
      </c>
      <c r="D21" s="12">
        <v>41640</v>
      </c>
      <c r="E21" s="12">
        <v>41640</v>
      </c>
      <c r="F21" s="11"/>
      <c r="G21" s="11" t="s">
        <v>279</v>
      </c>
      <c r="H21" s="11" t="s">
        <v>30</v>
      </c>
      <c r="I21" s="11" t="s">
        <v>21597</v>
      </c>
    </row>
    <row r="22" spans="1:9" ht="13.15" x14ac:dyDescent="0.4">
      <c r="A22" s="11" t="s">
        <v>19511</v>
      </c>
      <c r="B22" s="11" t="s">
        <v>3108</v>
      </c>
      <c r="C22" s="11" t="s">
        <v>18721</v>
      </c>
      <c r="D22" s="12">
        <v>41275</v>
      </c>
      <c r="E22" s="12">
        <v>41275</v>
      </c>
      <c r="F22" s="11"/>
      <c r="G22" s="11" t="s">
        <v>279</v>
      </c>
      <c r="H22" s="11" t="s">
        <v>30</v>
      </c>
      <c r="I22" s="11" t="s">
        <v>21348</v>
      </c>
    </row>
    <row r="23" spans="1:9" ht="13.15" x14ac:dyDescent="0.4">
      <c r="A23" s="11" t="s">
        <v>19242</v>
      </c>
      <c r="B23" s="11" t="s">
        <v>3108</v>
      </c>
      <c r="C23" s="11" t="s">
        <v>18721</v>
      </c>
      <c r="D23" s="12">
        <v>41640</v>
      </c>
      <c r="E23" s="12">
        <v>41640</v>
      </c>
      <c r="F23" s="11"/>
      <c r="G23" s="11" t="s">
        <v>279</v>
      </c>
      <c r="H23" s="11" t="s">
        <v>30</v>
      </c>
      <c r="I23" s="11" t="s">
        <v>21617</v>
      </c>
    </row>
    <row r="24" spans="1:9" ht="13.15" x14ac:dyDescent="0.4">
      <c r="A24" s="11" t="s">
        <v>19232</v>
      </c>
      <c r="B24" s="11" t="s">
        <v>3108</v>
      </c>
      <c r="C24" s="11" t="s">
        <v>18721</v>
      </c>
      <c r="D24" s="12">
        <v>41275</v>
      </c>
      <c r="E24" s="12">
        <v>41275</v>
      </c>
      <c r="F24" s="11"/>
      <c r="G24" s="11" t="s">
        <v>279</v>
      </c>
      <c r="H24" s="11" t="s">
        <v>30</v>
      </c>
      <c r="I24" s="11" t="s">
        <v>21627</v>
      </c>
    </row>
    <row r="25" spans="1:9" ht="13.15" x14ac:dyDescent="0.4">
      <c r="A25" s="11" t="s">
        <v>19409</v>
      </c>
      <c r="B25" s="11" t="s">
        <v>3108</v>
      </c>
      <c r="C25" s="11" t="s">
        <v>18721</v>
      </c>
      <c r="D25" s="12">
        <v>41640</v>
      </c>
      <c r="E25" s="12">
        <v>41640</v>
      </c>
      <c r="F25" s="11"/>
      <c r="G25" s="11" t="s">
        <v>279</v>
      </c>
      <c r="H25" s="11" t="s">
        <v>30</v>
      </c>
      <c r="I25" s="11" t="s">
        <v>21450</v>
      </c>
    </row>
    <row r="26" spans="1:9" ht="13.15" x14ac:dyDescent="0.4">
      <c r="A26" s="11" t="s">
        <v>19974</v>
      </c>
      <c r="B26" s="11" t="s">
        <v>3108</v>
      </c>
      <c r="C26" s="11" t="s">
        <v>18721</v>
      </c>
      <c r="D26" s="12">
        <v>41275</v>
      </c>
      <c r="E26" s="12">
        <v>41275</v>
      </c>
      <c r="F26" s="11"/>
      <c r="G26" s="11" t="s">
        <v>279</v>
      </c>
      <c r="H26" s="11" t="s">
        <v>30</v>
      </c>
      <c r="I26" s="11" t="s">
        <v>20885</v>
      </c>
    </row>
    <row r="27" spans="1:9" ht="13.15" x14ac:dyDescent="0.4">
      <c r="A27" s="11" t="s">
        <v>19742</v>
      </c>
      <c r="B27" s="11" t="s">
        <v>3108</v>
      </c>
      <c r="C27" s="11" t="s">
        <v>18721</v>
      </c>
      <c r="D27" s="12">
        <v>41275</v>
      </c>
      <c r="E27" s="12">
        <v>41275</v>
      </c>
      <c r="F27" s="11"/>
      <c r="G27" s="11" t="s">
        <v>279</v>
      </c>
      <c r="H27" s="11" t="s">
        <v>30</v>
      </c>
      <c r="I27" s="11" t="s">
        <v>21117</v>
      </c>
    </row>
    <row r="28" spans="1:9" ht="13.15" x14ac:dyDescent="0.4">
      <c r="A28" s="11" t="s">
        <v>18818</v>
      </c>
      <c r="B28" s="11" t="s">
        <v>3108</v>
      </c>
      <c r="C28" s="11" t="s">
        <v>18721</v>
      </c>
      <c r="D28" s="12">
        <v>41275</v>
      </c>
      <c r="E28" s="12">
        <v>41275</v>
      </c>
      <c r="F28" s="11"/>
      <c r="G28" s="11" t="s">
        <v>279</v>
      </c>
      <c r="H28" s="11" t="s">
        <v>30</v>
      </c>
      <c r="I28" s="11" t="s">
        <v>22041</v>
      </c>
    </row>
    <row r="29" spans="1:9" ht="13.15" x14ac:dyDescent="0.4">
      <c r="A29" s="11" t="s">
        <v>20116</v>
      </c>
      <c r="B29" s="11" t="s">
        <v>3108</v>
      </c>
      <c r="C29" s="11" t="s">
        <v>18721</v>
      </c>
      <c r="D29" s="12">
        <v>41275</v>
      </c>
      <c r="E29" s="12">
        <v>41275</v>
      </c>
      <c r="F29" s="11"/>
      <c r="G29" s="11" t="s">
        <v>279</v>
      </c>
      <c r="H29" s="11" t="s">
        <v>30</v>
      </c>
      <c r="I29" s="11" t="s">
        <v>20743</v>
      </c>
    </row>
    <row r="30" spans="1:9" ht="13.15" x14ac:dyDescent="0.4">
      <c r="A30" s="11" t="s">
        <v>19394</v>
      </c>
      <c r="B30" s="11" t="s">
        <v>3108</v>
      </c>
      <c r="C30" s="11" t="s">
        <v>18721</v>
      </c>
      <c r="D30" s="12">
        <v>41275</v>
      </c>
      <c r="E30" s="12">
        <v>41275</v>
      </c>
      <c r="F30" s="11"/>
      <c r="G30" s="11" t="s">
        <v>279</v>
      </c>
      <c r="H30" s="11" t="s">
        <v>30</v>
      </c>
      <c r="I30" s="11" t="s">
        <v>21465</v>
      </c>
    </row>
    <row r="31" spans="1:9" ht="13.15" x14ac:dyDescent="0.4">
      <c r="A31" s="11" t="s">
        <v>19934</v>
      </c>
      <c r="B31" s="11" t="s">
        <v>3108</v>
      </c>
      <c r="C31" s="11" t="s">
        <v>18721</v>
      </c>
      <c r="D31" s="12">
        <v>41275</v>
      </c>
      <c r="E31" s="12">
        <v>41275</v>
      </c>
      <c r="F31" s="11"/>
      <c r="G31" s="11" t="s">
        <v>279</v>
      </c>
      <c r="H31" s="11" t="s">
        <v>30</v>
      </c>
      <c r="I31" s="11" t="s">
        <v>20925</v>
      </c>
    </row>
    <row r="32" spans="1:9" ht="13.15" x14ac:dyDescent="0.4">
      <c r="A32" s="11" t="s">
        <v>19124</v>
      </c>
      <c r="B32" s="11" t="s">
        <v>3108</v>
      </c>
      <c r="C32" s="11" t="s">
        <v>18721</v>
      </c>
      <c r="D32" s="12">
        <v>41275</v>
      </c>
      <c r="E32" s="12">
        <v>41275</v>
      </c>
      <c r="F32" s="11"/>
      <c r="G32" s="11" t="s">
        <v>279</v>
      </c>
      <c r="H32" s="11" t="s">
        <v>30</v>
      </c>
      <c r="I32" s="11" t="s">
        <v>21735</v>
      </c>
    </row>
    <row r="33" spans="1:9" ht="13.15" x14ac:dyDescent="0.4">
      <c r="A33" s="11" t="s">
        <v>19793</v>
      </c>
      <c r="B33" s="11" t="s">
        <v>3108</v>
      </c>
      <c r="C33" s="11" t="s">
        <v>18721</v>
      </c>
      <c r="D33" s="12">
        <v>40909</v>
      </c>
      <c r="E33" s="12">
        <v>40909</v>
      </c>
      <c r="F33" s="11"/>
      <c r="G33" s="11" t="s">
        <v>279</v>
      </c>
      <c r="H33" s="11" t="s">
        <v>30</v>
      </c>
      <c r="I33" s="11" t="s">
        <v>21066</v>
      </c>
    </row>
    <row r="34" spans="1:9" ht="13.15" x14ac:dyDescent="0.4">
      <c r="A34" s="11" t="s">
        <v>19601</v>
      </c>
      <c r="B34" s="11" t="s">
        <v>3108</v>
      </c>
      <c r="C34" s="11" t="s">
        <v>18721</v>
      </c>
      <c r="D34" s="12">
        <v>41640</v>
      </c>
      <c r="E34" s="12">
        <v>41640</v>
      </c>
      <c r="F34" s="11"/>
      <c r="G34" s="11" t="s">
        <v>279</v>
      </c>
      <c r="H34" s="11" t="s">
        <v>30</v>
      </c>
      <c r="I34" s="11" t="s">
        <v>21258</v>
      </c>
    </row>
    <row r="35" spans="1:9" ht="13.15" x14ac:dyDescent="0.4">
      <c r="A35" s="11" t="s">
        <v>19197</v>
      </c>
      <c r="B35" s="11" t="s">
        <v>3108</v>
      </c>
      <c r="C35" s="11" t="s">
        <v>18721</v>
      </c>
      <c r="D35" s="12">
        <v>41640</v>
      </c>
      <c r="E35" s="12">
        <v>41640</v>
      </c>
      <c r="F35" s="11"/>
      <c r="G35" s="11" t="s">
        <v>279</v>
      </c>
      <c r="H35" s="11" t="s">
        <v>30</v>
      </c>
      <c r="I35" s="11" t="s">
        <v>21662</v>
      </c>
    </row>
    <row r="36" spans="1:9" ht="13.15" x14ac:dyDescent="0.4">
      <c r="A36" s="11" t="s">
        <v>19731</v>
      </c>
      <c r="B36" s="11" t="s">
        <v>3108</v>
      </c>
      <c r="C36" s="11" t="s">
        <v>18721</v>
      </c>
      <c r="D36" s="12">
        <v>40909</v>
      </c>
      <c r="E36" s="12">
        <v>40909</v>
      </c>
      <c r="F36" s="11"/>
      <c r="G36" s="11" t="s">
        <v>279</v>
      </c>
      <c r="H36" s="11" t="s">
        <v>30</v>
      </c>
      <c r="I36" s="11" t="s">
        <v>21128</v>
      </c>
    </row>
    <row r="37" spans="1:9" ht="13.15" x14ac:dyDescent="0.4">
      <c r="A37" s="11" t="s">
        <v>20176</v>
      </c>
      <c r="B37" s="11" t="s">
        <v>3108</v>
      </c>
      <c r="C37" s="11" t="s">
        <v>18721</v>
      </c>
      <c r="D37" s="12">
        <v>40909</v>
      </c>
      <c r="E37" s="12">
        <v>40909</v>
      </c>
      <c r="F37" s="11"/>
      <c r="G37" s="11" t="s">
        <v>279</v>
      </c>
      <c r="H37" s="11" t="s">
        <v>30</v>
      </c>
      <c r="I37" s="11" t="s">
        <v>20683</v>
      </c>
    </row>
    <row r="38" spans="1:9" ht="13.15" x14ac:dyDescent="0.4">
      <c r="A38" s="11" t="s">
        <v>19518</v>
      </c>
      <c r="B38" s="11" t="s">
        <v>3108</v>
      </c>
      <c r="C38" s="11" t="s">
        <v>18721</v>
      </c>
      <c r="D38" s="12">
        <v>41275</v>
      </c>
      <c r="E38" s="12">
        <v>41275</v>
      </c>
      <c r="F38" s="11"/>
      <c r="G38" s="11" t="s">
        <v>279</v>
      </c>
      <c r="H38" s="11" t="s">
        <v>30</v>
      </c>
      <c r="I38" s="11" t="s">
        <v>21341</v>
      </c>
    </row>
    <row r="39" spans="1:9" ht="13.15" x14ac:dyDescent="0.4">
      <c r="A39" s="11" t="s">
        <v>19112</v>
      </c>
      <c r="B39" s="11" t="s">
        <v>3108</v>
      </c>
      <c r="C39" s="11" t="s">
        <v>18721</v>
      </c>
      <c r="D39" s="12">
        <v>41640</v>
      </c>
      <c r="E39" s="12">
        <v>41640</v>
      </c>
      <c r="F39" s="11"/>
      <c r="G39" s="11" t="s">
        <v>279</v>
      </c>
      <c r="H39" s="11" t="s">
        <v>30</v>
      </c>
      <c r="I39" s="11" t="s">
        <v>21747</v>
      </c>
    </row>
    <row r="40" spans="1:9" ht="13.15" x14ac:dyDescent="0.4">
      <c r="A40" s="11" t="s">
        <v>20182</v>
      </c>
      <c r="B40" s="11" t="s">
        <v>3108</v>
      </c>
      <c r="C40" s="11" t="s">
        <v>18721</v>
      </c>
      <c r="D40" s="12">
        <v>41640</v>
      </c>
      <c r="E40" s="12">
        <v>41640</v>
      </c>
      <c r="F40" s="11"/>
      <c r="G40" s="11" t="s">
        <v>279</v>
      </c>
      <c r="H40" s="11" t="s">
        <v>30</v>
      </c>
      <c r="I40" s="11" t="s">
        <v>20677</v>
      </c>
    </row>
    <row r="41" spans="1:9" ht="13.15" x14ac:dyDescent="0.4">
      <c r="A41" s="11" t="s">
        <v>20369</v>
      </c>
      <c r="B41" s="11" t="s">
        <v>3108</v>
      </c>
      <c r="C41" s="11" t="s">
        <v>18721</v>
      </c>
      <c r="D41" s="12">
        <v>41640</v>
      </c>
      <c r="E41" s="12">
        <v>41640</v>
      </c>
      <c r="F41" s="11"/>
      <c r="G41" s="11" t="s">
        <v>279</v>
      </c>
      <c r="H41" s="11" t="s">
        <v>30</v>
      </c>
      <c r="I41" s="11" t="s">
        <v>20490</v>
      </c>
    </row>
    <row r="42" spans="1:9" ht="13.15" x14ac:dyDescent="0.4">
      <c r="A42" s="11" t="s">
        <v>19093</v>
      </c>
      <c r="B42" s="11" t="s">
        <v>3108</v>
      </c>
      <c r="C42" s="11" t="s">
        <v>18721</v>
      </c>
      <c r="D42" s="12">
        <v>41275</v>
      </c>
      <c r="E42" s="12">
        <v>41275</v>
      </c>
      <c r="F42" s="11"/>
      <c r="G42" s="11" t="s">
        <v>279</v>
      </c>
      <c r="H42" s="11" t="s">
        <v>30</v>
      </c>
      <c r="I42" s="11" t="s">
        <v>21766</v>
      </c>
    </row>
    <row r="43" spans="1:9" ht="13.15" x14ac:dyDescent="0.4">
      <c r="A43" s="11" t="s">
        <v>19182</v>
      </c>
      <c r="B43" s="11" t="s">
        <v>3108</v>
      </c>
      <c r="C43" s="11" t="s">
        <v>18721</v>
      </c>
      <c r="D43" s="12">
        <v>41640</v>
      </c>
      <c r="E43" s="12">
        <v>41640</v>
      </c>
      <c r="F43" s="11"/>
      <c r="G43" s="11" t="s">
        <v>279</v>
      </c>
      <c r="H43" s="11" t="s">
        <v>30</v>
      </c>
      <c r="I43" s="11" t="s">
        <v>21677</v>
      </c>
    </row>
    <row r="44" spans="1:9" ht="13.15" x14ac:dyDescent="0.4">
      <c r="A44" s="11" t="s">
        <v>19839</v>
      </c>
      <c r="B44" s="11" t="s">
        <v>3108</v>
      </c>
      <c r="C44" s="11" t="s">
        <v>18721</v>
      </c>
      <c r="D44" s="12">
        <v>41640</v>
      </c>
      <c r="E44" s="12">
        <v>41640</v>
      </c>
      <c r="F44" s="11"/>
      <c r="G44" s="11" t="s">
        <v>279</v>
      </c>
      <c r="H44" s="11" t="s">
        <v>30</v>
      </c>
      <c r="I44" s="11" t="s">
        <v>21020</v>
      </c>
    </row>
    <row r="45" spans="1:9" ht="13.15" x14ac:dyDescent="0.4">
      <c r="A45" s="11" t="s">
        <v>18920</v>
      </c>
      <c r="B45" s="11" t="s">
        <v>3108</v>
      </c>
      <c r="C45" s="11" t="s">
        <v>18721</v>
      </c>
      <c r="D45" s="12">
        <v>41275</v>
      </c>
      <c r="E45" s="12">
        <v>41275</v>
      </c>
      <c r="F45" s="11"/>
      <c r="G45" s="11" t="s">
        <v>279</v>
      </c>
      <c r="H45" s="11" t="s">
        <v>30</v>
      </c>
      <c r="I45" s="11" t="s">
        <v>21939</v>
      </c>
    </row>
    <row r="46" spans="1:9" ht="13.15" x14ac:dyDescent="0.4">
      <c r="A46" s="11" t="s">
        <v>19109</v>
      </c>
      <c r="B46" s="11" t="s">
        <v>3108</v>
      </c>
      <c r="C46" s="11" t="s">
        <v>18721</v>
      </c>
      <c r="D46" s="12">
        <v>41275</v>
      </c>
      <c r="E46" s="12">
        <v>41275</v>
      </c>
      <c r="F46" s="11"/>
      <c r="G46" s="11" t="s">
        <v>279</v>
      </c>
      <c r="H46" s="11" t="s">
        <v>30</v>
      </c>
      <c r="I46" s="11" t="s">
        <v>21750</v>
      </c>
    </row>
    <row r="47" spans="1:9" ht="13.15" x14ac:dyDescent="0.4">
      <c r="A47" s="11" t="s">
        <v>20134</v>
      </c>
      <c r="B47" s="11" t="s">
        <v>3108</v>
      </c>
      <c r="C47" s="11" t="s">
        <v>18721</v>
      </c>
      <c r="D47" s="12">
        <v>41640</v>
      </c>
      <c r="E47" s="12">
        <v>41640</v>
      </c>
      <c r="F47" s="11"/>
      <c r="G47" s="11" t="s">
        <v>279</v>
      </c>
      <c r="H47" s="11" t="s">
        <v>30</v>
      </c>
      <c r="I47" s="11" t="s">
        <v>20725</v>
      </c>
    </row>
    <row r="48" spans="1:9" ht="13.15" x14ac:dyDescent="0.4">
      <c r="A48" s="11" t="s">
        <v>19631</v>
      </c>
      <c r="B48" s="11" t="s">
        <v>3108</v>
      </c>
      <c r="C48" s="11" t="s">
        <v>18721</v>
      </c>
      <c r="D48" s="12">
        <v>41275</v>
      </c>
      <c r="E48" s="12">
        <v>41275</v>
      </c>
      <c r="F48" s="11"/>
      <c r="G48" s="11" t="s">
        <v>279</v>
      </c>
      <c r="H48" s="11" t="s">
        <v>30</v>
      </c>
      <c r="I48" s="11" t="s">
        <v>21228</v>
      </c>
    </row>
    <row r="49" spans="1:9" ht="13.15" x14ac:dyDescent="0.4">
      <c r="A49" s="11" t="s">
        <v>18729</v>
      </c>
      <c r="B49" s="11" t="s">
        <v>3108</v>
      </c>
      <c r="C49" s="11" t="s">
        <v>18721</v>
      </c>
      <c r="D49" s="12">
        <v>41275</v>
      </c>
      <c r="E49" s="12">
        <v>41275</v>
      </c>
      <c r="F49" s="11"/>
      <c r="G49" s="11" t="s">
        <v>279</v>
      </c>
      <c r="H49" s="11" t="s">
        <v>30</v>
      </c>
      <c r="I49" s="11" t="s">
        <v>22130</v>
      </c>
    </row>
    <row r="50" spans="1:9" ht="13.15" x14ac:dyDescent="0.4">
      <c r="A50" s="11" t="s">
        <v>18956</v>
      </c>
      <c r="B50" s="11" t="s">
        <v>3108</v>
      </c>
      <c r="C50" s="11" t="s">
        <v>18721</v>
      </c>
      <c r="D50" s="12">
        <v>41275</v>
      </c>
      <c r="E50" s="12">
        <v>41275</v>
      </c>
      <c r="F50" s="11"/>
      <c r="G50" s="11" t="s">
        <v>279</v>
      </c>
      <c r="H50" s="11" t="s">
        <v>30</v>
      </c>
      <c r="I50" s="11" t="s">
        <v>21903</v>
      </c>
    </row>
    <row r="51" spans="1:9" ht="13.15" x14ac:dyDescent="0.4">
      <c r="A51" s="11" t="s">
        <v>19610</v>
      </c>
      <c r="B51" s="11" t="s">
        <v>3108</v>
      </c>
      <c r="C51" s="11" t="s">
        <v>18721</v>
      </c>
      <c r="D51" s="12">
        <v>41275</v>
      </c>
      <c r="E51" s="12">
        <v>41275</v>
      </c>
      <c r="F51" s="11"/>
      <c r="G51" s="11" t="s">
        <v>279</v>
      </c>
      <c r="H51" s="11" t="s">
        <v>30</v>
      </c>
      <c r="I51" s="11" t="s">
        <v>21249</v>
      </c>
    </row>
    <row r="52" spans="1:9" ht="13.15" x14ac:dyDescent="0.4">
      <c r="A52" s="11" t="s">
        <v>19465</v>
      </c>
      <c r="B52" s="11" t="s">
        <v>3108</v>
      </c>
      <c r="C52" s="11" t="s">
        <v>18721</v>
      </c>
      <c r="D52" s="12">
        <v>41640</v>
      </c>
      <c r="E52" s="12">
        <v>41640</v>
      </c>
      <c r="F52" s="11"/>
      <c r="G52" s="11" t="s">
        <v>279</v>
      </c>
      <c r="H52" s="11" t="s">
        <v>30</v>
      </c>
      <c r="I52" s="11" t="s">
        <v>21394</v>
      </c>
    </row>
    <row r="53" spans="1:9" ht="13.15" x14ac:dyDescent="0.4">
      <c r="A53" s="11" t="s">
        <v>19375</v>
      </c>
      <c r="B53" s="11" t="s">
        <v>3108</v>
      </c>
      <c r="C53" s="11" t="s">
        <v>18721</v>
      </c>
      <c r="D53" s="12">
        <v>41640</v>
      </c>
      <c r="E53" s="12">
        <v>41640</v>
      </c>
      <c r="F53" s="11"/>
      <c r="G53" s="11" t="s">
        <v>279</v>
      </c>
      <c r="H53" s="11" t="s">
        <v>30</v>
      </c>
      <c r="I53" s="11" t="s">
        <v>21484</v>
      </c>
    </row>
    <row r="54" spans="1:9" ht="13.15" x14ac:dyDescent="0.4">
      <c r="A54" s="11" t="s">
        <v>19814</v>
      </c>
      <c r="B54" s="11" t="s">
        <v>3108</v>
      </c>
      <c r="C54" s="11" t="s">
        <v>18721</v>
      </c>
      <c r="D54" s="12">
        <v>41640</v>
      </c>
      <c r="E54" s="12">
        <v>41640</v>
      </c>
      <c r="F54" s="11"/>
      <c r="G54" s="11" t="s">
        <v>279</v>
      </c>
      <c r="H54" s="11" t="s">
        <v>30</v>
      </c>
      <c r="I54" s="11" t="s">
        <v>21045</v>
      </c>
    </row>
    <row r="55" spans="1:9" ht="13.15" x14ac:dyDescent="0.4">
      <c r="A55" s="11" t="s">
        <v>20200</v>
      </c>
      <c r="B55" s="11" t="s">
        <v>3108</v>
      </c>
      <c r="C55" s="11" t="s">
        <v>18721</v>
      </c>
      <c r="D55" s="12">
        <v>41640</v>
      </c>
      <c r="E55" s="12">
        <v>41640</v>
      </c>
      <c r="F55" s="11"/>
      <c r="G55" s="11" t="s">
        <v>279</v>
      </c>
      <c r="H55" s="11" t="s">
        <v>30</v>
      </c>
      <c r="I55" s="11" t="s">
        <v>20659</v>
      </c>
    </row>
    <row r="56" spans="1:9" ht="13.15" x14ac:dyDescent="0.4">
      <c r="A56" s="11" t="s">
        <v>19138</v>
      </c>
      <c r="B56" s="11" t="s">
        <v>3108</v>
      </c>
      <c r="C56" s="11" t="s">
        <v>18721</v>
      </c>
      <c r="D56" s="12">
        <v>40909</v>
      </c>
      <c r="E56" s="12">
        <v>40909</v>
      </c>
      <c r="F56" s="11"/>
      <c r="G56" s="11" t="s">
        <v>279</v>
      </c>
      <c r="H56" s="11" t="s">
        <v>30</v>
      </c>
      <c r="I56" s="11" t="s">
        <v>21721</v>
      </c>
    </row>
    <row r="57" spans="1:9" ht="13.15" x14ac:dyDescent="0.4">
      <c r="A57" s="11" t="s">
        <v>19142</v>
      </c>
      <c r="B57" s="11" t="s">
        <v>3108</v>
      </c>
      <c r="C57" s="11" t="s">
        <v>18721</v>
      </c>
      <c r="D57" s="12">
        <v>40909</v>
      </c>
      <c r="E57" s="12">
        <v>40909</v>
      </c>
      <c r="F57" s="11"/>
      <c r="G57" s="11" t="s">
        <v>279</v>
      </c>
      <c r="H57" s="11" t="s">
        <v>30</v>
      </c>
      <c r="I57" s="11" t="s">
        <v>21717</v>
      </c>
    </row>
    <row r="58" spans="1:9" ht="13.15" x14ac:dyDescent="0.4">
      <c r="A58" s="11" t="s">
        <v>19183</v>
      </c>
      <c r="B58" s="11" t="s">
        <v>3108</v>
      </c>
      <c r="C58" s="11" t="s">
        <v>18721</v>
      </c>
      <c r="D58" s="12">
        <v>41640</v>
      </c>
      <c r="E58" s="12">
        <v>41640</v>
      </c>
      <c r="F58" s="11"/>
      <c r="G58" s="11" t="s">
        <v>279</v>
      </c>
      <c r="H58" s="11" t="s">
        <v>30</v>
      </c>
      <c r="I58" s="11" t="s">
        <v>21676</v>
      </c>
    </row>
    <row r="59" spans="1:9" ht="13.15" x14ac:dyDescent="0.4">
      <c r="A59" s="11" t="s">
        <v>19899</v>
      </c>
      <c r="B59" s="11" t="s">
        <v>3108</v>
      </c>
      <c r="C59" s="11" t="s">
        <v>18721</v>
      </c>
      <c r="D59" s="12">
        <v>41640</v>
      </c>
      <c r="E59" s="12">
        <v>41640</v>
      </c>
      <c r="F59" s="11"/>
      <c r="G59" s="11" t="s">
        <v>279</v>
      </c>
      <c r="H59" s="11" t="s">
        <v>30</v>
      </c>
      <c r="I59" s="11" t="s">
        <v>20960</v>
      </c>
    </row>
    <row r="60" spans="1:9" ht="13.15" x14ac:dyDescent="0.4">
      <c r="A60" s="11" t="s">
        <v>18883</v>
      </c>
      <c r="B60" s="11" t="s">
        <v>3108</v>
      </c>
      <c r="C60" s="11" t="s">
        <v>18721</v>
      </c>
      <c r="D60" s="12">
        <v>41640</v>
      </c>
      <c r="E60" s="12">
        <v>41640</v>
      </c>
      <c r="F60" s="11"/>
      <c r="G60" s="11" t="s">
        <v>279</v>
      </c>
      <c r="H60" s="11" t="s">
        <v>30</v>
      </c>
      <c r="I60" s="11" t="s">
        <v>21976</v>
      </c>
    </row>
    <row r="61" spans="1:9" ht="13.15" x14ac:dyDescent="0.4">
      <c r="A61" s="11" t="s">
        <v>20142</v>
      </c>
      <c r="B61" s="11" t="s">
        <v>3108</v>
      </c>
      <c r="C61" s="11" t="s">
        <v>18721</v>
      </c>
      <c r="D61" s="12">
        <v>41640</v>
      </c>
      <c r="E61" s="12">
        <v>41640</v>
      </c>
      <c r="F61" s="11"/>
      <c r="G61" s="11" t="s">
        <v>279</v>
      </c>
      <c r="H61" s="11" t="s">
        <v>30</v>
      </c>
      <c r="I61" s="11" t="s">
        <v>20717</v>
      </c>
    </row>
    <row r="62" spans="1:9" ht="13.15" x14ac:dyDescent="0.4">
      <c r="A62" s="11" t="s">
        <v>20084</v>
      </c>
      <c r="B62" s="11" t="s">
        <v>3108</v>
      </c>
      <c r="C62" s="11" t="s">
        <v>18721</v>
      </c>
      <c r="D62" s="12">
        <v>41640</v>
      </c>
      <c r="E62" s="12">
        <v>41640</v>
      </c>
      <c r="F62" s="11"/>
      <c r="G62" s="11" t="s">
        <v>279</v>
      </c>
      <c r="H62" s="11" t="s">
        <v>30</v>
      </c>
      <c r="I62" s="11" t="s">
        <v>20775</v>
      </c>
    </row>
    <row r="63" spans="1:9" ht="13.15" x14ac:dyDescent="0.4">
      <c r="A63" s="11" t="s">
        <v>19448</v>
      </c>
      <c r="B63" s="11" t="s">
        <v>3108</v>
      </c>
      <c r="C63" s="11" t="s">
        <v>18721</v>
      </c>
      <c r="D63" s="12">
        <v>41640</v>
      </c>
      <c r="E63" s="12">
        <v>41640</v>
      </c>
      <c r="F63" s="11"/>
      <c r="G63" s="11" t="s">
        <v>279</v>
      </c>
      <c r="H63" s="11" t="s">
        <v>30</v>
      </c>
      <c r="I63" s="11" t="s">
        <v>21411</v>
      </c>
    </row>
    <row r="64" spans="1:9" ht="13.15" x14ac:dyDescent="0.4">
      <c r="A64" s="11" t="s">
        <v>20258</v>
      </c>
      <c r="B64" s="11" t="s">
        <v>3108</v>
      </c>
      <c r="C64" s="11" t="s">
        <v>18721</v>
      </c>
      <c r="D64" s="12">
        <v>41640</v>
      </c>
      <c r="E64" s="12">
        <v>41640</v>
      </c>
      <c r="F64" s="11"/>
      <c r="G64" s="11" t="s">
        <v>279</v>
      </c>
      <c r="H64" s="11" t="s">
        <v>30</v>
      </c>
      <c r="I64" s="11" t="s">
        <v>20601</v>
      </c>
    </row>
    <row r="65" spans="1:9" ht="13.15" x14ac:dyDescent="0.4">
      <c r="A65" s="11" t="s">
        <v>20262</v>
      </c>
      <c r="B65" s="11" t="s">
        <v>3108</v>
      </c>
      <c r="C65" s="11" t="s">
        <v>18721</v>
      </c>
      <c r="D65" s="12">
        <v>41640</v>
      </c>
      <c r="E65" s="12">
        <v>41640</v>
      </c>
      <c r="F65" s="11"/>
      <c r="G65" s="11" t="s">
        <v>279</v>
      </c>
      <c r="H65" s="11" t="s">
        <v>30</v>
      </c>
      <c r="I65" s="11" t="s">
        <v>20597</v>
      </c>
    </row>
    <row r="66" spans="1:9" ht="13.15" x14ac:dyDescent="0.4">
      <c r="A66" s="11" t="s">
        <v>19094</v>
      </c>
      <c r="B66" s="11" t="s">
        <v>3108</v>
      </c>
      <c r="C66" s="11" t="s">
        <v>18721</v>
      </c>
      <c r="D66" s="12">
        <v>41640</v>
      </c>
      <c r="E66" s="12">
        <v>41640</v>
      </c>
      <c r="F66" s="11"/>
      <c r="G66" s="11" t="s">
        <v>279</v>
      </c>
      <c r="H66" s="11" t="s">
        <v>30</v>
      </c>
      <c r="I66" s="11" t="s">
        <v>21765</v>
      </c>
    </row>
    <row r="67" spans="1:9" ht="13.15" x14ac:dyDescent="0.4">
      <c r="A67" s="11" t="s">
        <v>19787</v>
      </c>
      <c r="B67" s="11" t="s">
        <v>3108</v>
      </c>
      <c r="C67" s="11" t="s">
        <v>18721</v>
      </c>
      <c r="D67" s="12">
        <v>41640</v>
      </c>
      <c r="E67" s="12">
        <v>41640</v>
      </c>
      <c r="F67" s="11"/>
      <c r="G67" s="11" t="s">
        <v>279</v>
      </c>
      <c r="H67" s="11" t="s">
        <v>30</v>
      </c>
      <c r="I67" s="11" t="s">
        <v>21072</v>
      </c>
    </row>
    <row r="68" spans="1:9" ht="13.15" x14ac:dyDescent="0.4">
      <c r="A68" s="11" t="s">
        <v>20288</v>
      </c>
      <c r="B68" s="11" t="s">
        <v>3108</v>
      </c>
      <c r="C68" s="11" t="s">
        <v>18721</v>
      </c>
      <c r="D68" s="12">
        <v>41640</v>
      </c>
      <c r="E68" s="12">
        <v>41640</v>
      </c>
      <c r="F68" s="11"/>
      <c r="G68" s="11" t="s">
        <v>279</v>
      </c>
      <c r="H68" s="11" t="s">
        <v>30</v>
      </c>
      <c r="I68" s="11" t="s">
        <v>20571</v>
      </c>
    </row>
    <row r="69" spans="1:9" ht="13.15" x14ac:dyDescent="0.4">
      <c r="A69" s="11" t="s">
        <v>20362</v>
      </c>
      <c r="B69" s="11" t="s">
        <v>3108</v>
      </c>
      <c r="C69" s="11" t="s">
        <v>18721</v>
      </c>
      <c r="D69" s="12">
        <v>41640</v>
      </c>
      <c r="E69" s="12">
        <v>41640</v>
      </c>
      <c r="F69" s="11"/>
      <c r="G69" s="11" t="s">
        <v>279</v>
      </c>
      <c r="H69" s="11" t="s">
        <v>30</v>
      </c>
      <c r="I69" s="11" t="s">
        <v>20497</v>
      </c>
    </row>
    <row r="70" spans="1:9" ht="13.15" x14ac:dyDescent="0.4">
      <c r="A70" s="11" t="s">
        <v>19426</v>
      </c>
      <c r="B70" s="11" t="s">
        <v>3108</v>
      </c>
      <c r="C70" s="11" t="s">
        <v>18721</v>
      </c>
      <c r="D70" s="12">
        <v>41640</v>
      </c>
      <c r="E70" s="12">
        <v>41640</v>
      </c>
      <c r="F70" s="11"/>
      <c r="G70" s="11" t="s">
        <v>279</v>
      </c>
      <c r="H70" s="11" t="s">
        <v>30</v>
      </c>
      <c r="I70" s="11" t="s">
        <v>21433</v>
      </c>
    </row>
    <row r="71" spans="1:9" ht="13.15" x14ac:dyDescent="0.4">
      <c r="A71" s="11" t="s">
        <v>19130</v>
      </c>
      <c r="B71" s="11" t="s">
        <v>3108</v>
      </c>
      <c r="C71" s="11" t="s">
        <v>18721</v>
      </c>
      <c r="D71" s="12">
        <v>41640</v>
      </c>
      <c r="E71" s="12">
        <v>41640</v>
      </c>
      <c r="F71" s="11"/>
      <c r="G71" s="11" t="s">
        <v>279</v>
      </c>
      <c r="H71" s="11" t="s">
        <v>30</v>
      </c>
      <c r="I71" s="11" t="s">
        <v>21729</v>
      </c>
    </row>
    <row r="72" spans="1:9" ht="13.15" x14ac:dyDescent="0.4">
      <c r="A72" s="11" t="s">
        <v>20350</v>
      </c>
      <c r="B72" s="11" t="s">
        <v>3108</v>
      </c>
      <c r="C72" s="11" t="s">
        <v>18721</v>
      </c>
      <c r="D72" s="12">
        <v>41640</v>
      </c>
      <c r="E72" s="12">
        <v>41640</v>
      </c>
      <c r="F72" s="11"/>
      <c r="G72" s="11" t="s">
        <v>279</v>
      </c>
      <c r="H72" s="11" t="s">
        <v>30</v>
      </c>
      <c r="I72" s="11" t="s">
        <v>20509</v>
      </c>
    </row>
    <row r="73" spans="1:9" ht="13.15" x14ac:dyDescent="0.4">
      <c r="A73" s="11" t="s">
        <v>19251</v>
      </c>
      <c r="B73" s="11" t="s">
        <v>3108</v>
      </c>
      <c r="C73" s="11" t="s">
        <v>18721</v>
      </c>
      <c r="D73" s="12">
        <v>41640</v>
      </c>
      <c r="E73" s="12">
        <v>41640</v>
      </c>
      <c r="F73" s="11"/>
      <c r="G73" s="11" t="s">
        <v>279</v>
      </c>
      <c r="H73" s="11" t="s">
        <v>30</v>
      </c>
      <c r="I73" s="11" t="s">
        <v>21608</v>
      </c>
    </row>
    <row r="74" spans="1:9" ht="13.15" x14ac:dyDescent="0.4">
      <c r="A74" s="11" t="s">
        <v>18940</v>
      </c>
      <c r="B74" s="11" t="s">
        <v>3108</v>
      </c>
      <c r="C74" s="11" t="s">
        <v>18721</v>
      </c>
      <c r="D74" s="12">
        <v>41640</v>
      </c>
      <c r="E74" s="12">
        <v>41640</v>
      </c>
      <c r="F74" s="11"/>
      <c r="G74" s="11" t="s">
        <v>279</v>
      </c>
      <c r="H74" s="11" t="s">
        <v>30</v>
      </c>
      <c r="I74" s="11" t="s">
        <v>21919</v>
      </c>
    </row>
    <row r="75" spans="1:9" ht="13.15" x14ac:dyDescent="0.4">
      <c r="A75" s="11" t="s">
        <v>20105</v>
      </c>
      <c r="B75" s="11" t="s">
        <v>3108</v>
      </c>
      <c r="C75" s="11" t="s">
        <v>18721</v>
      </c>
      <c r="D75" s="12">
        <v>41640</v>
      </c>
      <c r="E75" s="12">
        <v>41640</v>
      </c>
      <c r="F75" s="11"/>
      <c r="G75" s="11" t="s">
        <v>279</v>
      </c>
      <c r="H75" s="11" t="s">
        <v>30</v>
      </c>
      <c r="I75" s="11" t="s">
        <v>20754</v>
      </c>
    </row>
    <row r="76" spans="1:9" ht="13.15" x14ac:dyDescent="0.4">
      <c r="A76" s="11" t="s">
        <v>19030</v>
      </c>
      <c r="B76" s="11" t="s">
        <v>3108</v>
      </c>
      <c r="C76" s="11" t="s">
        <v>18721</v>
      </c>
      <c r="D76" s="12">
        <v>41640</v>
      </c>
      <c r="E76" s="12">
        <v>41640</v>
      </c>
      <c r="F76" s="11"/>
      <c r="G76" s="11" t="s">
        <v>279</v>
      </c>
      <c r="H76" s="11" t="s">
        <v>30</v>
      </c>
      <c r="I76" s="11" t="s">
        <v>21829</v>
      </c>
    </row>
    <row r="77" spans="1:9" ht="13.15" x14ac:dyDescent="0.4">
      <c r="A77" s="11" t="s">
        <v>19206</v>
      </c>
      <c r="B77" s="11" t="s">
        <v>3108</v>
      </c>
      <c r="C77" s="11" t="s">
        <v>18721</v>
      </c>
      <c r="D77" s="12">
        <v>41640</v>
      </c>
      <c r="E77" s="12">
        <v>41640</v>
      </c>
      <c r="F77" s="11"/>
      <c r="G77" s="11" t="s">
        <v>279</v>
      </c>
      <c r="H77" s="11" t="s">
        <v>30</v>
      </c>
      <c r="I77" s="11" t="s">
        <v>21653</v>
      </c>
    </row>
    <row r="78" spans="1:9" ht="13.15" x14ac:dyDescent="0.4">
      <c r="A78" s="11" t="s">
        <v>19810</v>
      </c>
      <c r="B78" s="11" t="s">
        <v>3108</v>
      </c>
      <c r="C78" s="11" t="s">
        <v>18721</v>
      </c>
      <c r="D78" s="12">
        <v>41640</v>
      </c>
      <c r="E78" s="12">
        <v>41640</v>
      </c>
      <c r="F78" s="11"/>
      <c r="G78" s="11" t="s">
        <v>279</v>
      </c>
      <c r="H78" s="11" t="s">
        <v>30</v>
      </c>
      <c r="I78" s="11" t="s">
        <v>21049</v>
      </c>
    </row>
    <row r="79" spans="1:9" ht="13.15" x14ac:dyDescent="0.4">
      <c r="A79" s="11" t="s">
        <v>19464</v>
      </c>
      <c r="B79" s="11" t="s">
        <v>3108</v>
      </c>
      <c r="C79" s="11" t="s">
        <v>18721</v>
      </c>
      <c r="D79" s="12">
        <v>41275</v>
      </c>
      <c r="E79" s="12">
        <v>41275</v>
      </c>
      <c r="F79" s="11"/>
      <c r="G79" s="11" t="s">
        <v>279</v>
      </c>
      <c r="H79" s="11" t="s">
        <v>30</v>
      </c>
      <c r="I79" s="11" t="s">
        <v>21395</v>
      </c>
    </row>
    <row r="80" spans="1:9" ht="13.15" x14ac:dyDescent="0.4">
      <c r="A80" s="11" t="s">
        <v>19088</v>
      </c>
      <c r="B80" s="11" t="s">
        <v>3108</v>
      </c>
      <c r="C80" s="11" t="s">
        <v>18721</v>
      </c>
      <c r="D80" s="12">
        <v>41640</v>
      </c>
      <c r="E80" s="12">
        <v>41640</v>
      </c>
      <c r="F80" s="11"/>
      <c r="G80" s="11" t="s">
        <v>279</v>
      </c>
      <c r="H80" s="11" t="s">
        <v>30</v>
      </c>
      <c r="I80" s="11" t="s">
        <v>21771</v>
      </c>
    </row>
    <row r="81" spans="1:9" ht="13.15" x14ac:dyDescent="0.4">
      <c r="A81" s="11" t="s">
        <v>18974</v>
      </c>
      <c r="B81" s="11" t="s">
        <v>3108</v>
      </c>
      <c r="C81" s="11" t="s">
        <v>18721</v>
      </c>
      <c r="D81" s="12">
        <v>40909</v>
      </c>
      <c r="E81" s="12">
        <v>40909</v>
      </c>
      <c r="F81" s="11"/>
      <c r="G81" s="11" t="s">
        <v>279</v>
      </c>
      <c r="H81" s="11" t="s">
        <v>30</v>
      </c>
      <c r="I81" s="11" t="s">
        <v>21885</v>
      </c>
    </row>
    <row r="82" spans="1:9" ht="13.15" x14ac:dyDescent="0.4">
      <c r="A82" s="11" t="s">
        <v>19000</v>
      </c>
      <c r="B82" s="11" t="s">
        <v>3108</v>
      </c>
      <c r="C82" s="11" t="s">
        <v>18721</v>
      </c>
      <c r="D82" s="12">
        <v>40909</v>
      </c>
      <c r="E82" s="12">
        <v>40909</v>
      </c>
      <c r="F82" s="11"/>
      <c r="G82" s="11" t="s">
        <v>279</v>
      </c>
      <c r="H82" s="11" t="s">
        <v>30</v>
      </c>
      <c r="I82" s="11" t="s">
        <v>21859</v>
      </c>
    </row>
    <row r="83" spans="1:9" ht="13.15" x14ac:dyDescent="0.4">
      <c r="A83" s="11" t="s">
        <v>19995</v>
      </c>
      <c r="B83" s="11" t="s">
        <v>3108</v>
      </c>
      <c r="C83" s="11" t="s">
        <v>18721</v>
      </c>
      <c r="D83" s="12">
        <v>40909</v>
      </c>
      <c r="E83" s="12">
        <v>40909</v>
      </c>
      <c r="F83" s="11"/>
      <c r="G83" s="11" t="s">
        <v>279</v>
      </c>
      <c r="H83" s="11" t="s">
        <v>30</v>
      </c>
      <c r="I83" s="11" t="s">
        <v>20864</v>
      </c>
    </row>
    <row r="84" spans="1:9" ht="13.15" x14ac:dyDescent="0.4">
      <c r="A84" s="11" t="s">
        <v>20048</v>
      </c>
      <c r="B84" s="11" t="s">
        <v>3108</v>
      </c>
      <c r="C84" s="11" t="s">
        <v>18721</v>
      </c>
      <c r="D84" s="12">
        <v>40909</v>
      </c>
      <c r="E84" s="12">
        <v>40909</v>
      </c>
      <c r="F84" s="11"/>
      <c r="G84" s="11" t="s">
        <v>279</v>
      </c>
      <c r="H84" s="11" t="s">
        <v>30</v>
      </c>
      <c r="I84" s="11" t="s">
        <v>20811</v>
      </c>
    </row>
    <row r="85" spans="1:9" ht="13.15" x14ac:dyDescent="0.4">
      <c r="A85" s="11" t="s">
        <v>19033</v>
      </c>
      <c r="B85" s="11" t="s">
        <v>3108</v>
      </c>
      <c r="C85" s="11" t="s">
        <v>18721</v>
      </c>
      <c r="D85" s="12">
        <v>41640</v>
      </c>
      <c r="E85" s="12">
        <v>41640</v>
      </c>
      <c r="F85" s="11"/>
      <c r="G85" s="11" t="s">
        <v>279</v>
      </c>
      <c r="H85" s="11" t="s">
        <v>30</v>
      </c>
      <c r="I85" s="11" t="s">
        <v>21826</v>
      </c>
    </row>
    <row r="86" spans="1:9" ht="13.15" x14ac:dyDescent="0.4">
      <c r="A86" s="11" t="s">
        <v>19028</v>
      </c>
      <c r="B86" s="11" t="s">
        <v>3108</v>
      </c>
      <c r="C86" s="11" t="s">
        <v>18721</v>
      </c>
      <c r="D86" s="12">
        <v>41640</v>
      </c>
      <c r="E86" s="12">
        <v>41640</v>
      </c>
      <c r="F86" s="11"/>
      <c r="G86" s="11" t="s">
        <v>279</v>
      </c>
      <c r="H86" s="11" t="s">
        <v>30</v>
      </c>
      <c r="I86" s="11" t="s">
        <v>21831</v>
      </c>
    </row>
    <row r="87" spans="1:9" ht="13.15" x14ac:dyDescent="0.4">
      <c r="A87" s="11" t="s">
        <v>20169</v>
      </c>
      <c r="B87" s="11" t="s">
        <v>3108</v>
      </c>
      <c r="C87" s="11" t="s">
        <v>18721</v>
      </c>
      <c r="D87" s="12">
        <v>41275</v>
      </c>
      <c r="E87" s="12">
        <v>41275</v>
      </c>
      <c r="F87" s="11"/>
      <c r="G87" s="11" t="s">
        <v>279</v>
      </c>
      <c r="H87" s="11" t="s">
        <v>30</v>
      </c>
      <c r="I87" s="11" t="s">
        <v>20690</v>
      </c>
    </row>
    <row r="88" spans="1:9" ht="13.15" x14ac:dyDescent="0.4">
      <c r="A88" s="11" t="s">
        <v>18811</v>
      </c>
      <c r="B88" s="11" t="s">
        <v>3108</v>
      </c>
      <c r="C88" s="11" t="s">
        <v>18721</v>
      </c>
      <c r="D88" s="12">
        <v>41275</v>
      </c>
      <c r="E88" s="12">
        <v>41275</v>
      </c>
      <c r="F88" s="11"/>
      <c r="G88" s="11" t="s">
        <v>279</v>
      </c>
      <c r="H88" s="11" t="s">
        <v>30</v>
      </c>
      <c r="I88" s="11" t="s">
        <v>22048</v>
      </c>
    </row>
    <row r="89" spans="1:9" ht="13.15" x14ac:dyDescent="0.4">
      <c r="A89" s="11" t="s">
        <v>19272</v>
      </c>
      <c r="B89" s="11" t="s">
        <v>3108</v>
      </c>
      <c r="C89" s="11" t="s">
        <v>18721</v>
      </c>
      <c r="D89" s="12">
        <v>41640</v>
      </c>
      <c r="E89" s="12">
        <v>41640</v>
      </c>
      <c r="F89" s="11"/>
      <c r="G89" s="11" t="s">
        <v>279</v>
      </c>
      <c r="H89" s="11" t="s">
        <v>30</v>
      </c>
      <c r="I89" s="11" t="s">
        <v>21587</v>
      </c>
    </row>
    <row r="90" spans="1:9" ht="13.15" x14ac:dyDescent="0.4">
      <c r="A90" s="11" t="s">
        <v>18928</v>
      </c>
      <c r="B90" s="11" t="s">
        <v>3108</v>
      </c>
      <c r="C90" s="11" t="s">
        <v>18721</v>
      </c>
      <c r="D90" s="12">
        <v>41640</v>
      </c>
      <c r="E90" s="12">
        <v>41640</v>
      </c>
      <c r="F90" s="11"/>
      <c r="G90" s="11" t="s">
        <v>279</v>
      </c>
      <c r="H90" s="11" t="s">
        <v>30</v>
      </c>
      <c r="I90" s="11" t="s">
        <v>21931</v>
      </c>
    </row>
    <row r="91" spans="1:9" ht="13.15" x14ac:dyDescent="0.4">
      <c r="A91" s="11" t="s">
        <v>18742</v>
      </c>
      <c r="B91" s="11" t="s">
        <v>3108</v>
      </c>
      <c r="C91" s="11" t="s">
        <v>18721</v>
      </c>
      <c r="D91" s="12">
        <v>41275</v>
      </c>
      <c r="E91" s="12">
        <v>41275</v>
      </c>
      <c r="F91" s="11"/>
      <c r="G91" s="11" t="s">
        <v>279</v>
      </c>
      <c r="H91" s="11" t="s">
        <v>30</v>
      </c>
      <c r="I91" s="11" t="s">
        <v>22117</v>
      </c>
    </row>
    <row r="92" spans="1:9" ht="13.15" x14ac:dyDescent="0.4">
      <c r="A92" s="11" t="s">
        <v>20364</v>
      </c>
      <c r="B92" s="11" t="s">
        <v>3108</v>
      </c>
      <c r="C92" s="11" t="s">
        <v>18721</v>
      </c>
      <c r="D92" s="12">
        <v>41640</v>
      </c>
      <c r="E92" s="12">
        <v>41640</v>
      </c>
      <c r="F92" s="11"/>
      <c r="G92" s="11" t="s">
        <v>279</v>
      </c>
      <c r="H92" s="11" t="s">
        <v>30</v>
      </c>
      <c r="I92" s="11" t="s">
        <v>20495</v>
      </c>
    </row>
    <row r="93" spans="1:9" ht="13.15" x14ac:dyDescent="0.4">
      <c r="A93" s="11" t="s">
        <v>19116</v>
      </c>
      <c r="B93" s="11" t="s">
        <v>3108</v>
      </c>
      <c r="C93" s="11" t="s">
        <v>18721</v>
      </c>
      <c r="D93" s="12">
        <v>41275</v>
      </c>
      <c r="E93" s="12">
        <v>41275</v>
      </c>
      <c r="F93" s="11"/>
      <c r="G93" s="11" t="s">
        <v>279</v>
      </c>
      <c r="H93" s="11" t="s">
        <v>30</v>
      </c>
      <c r="I93" s="11" t="s">
        <v>21743</v>
      </c>
    </row>
    <row r="94" spans="1:9" ht="13.15" x14ac:dyDescent="0.4">
      <c r="A94" s="11" t="s">
        <v>18941</v>
      </c>
      <c r="B94" s="11" t="s">
        <v>3108</v>
      </c>
      <c r="C94" s="11" t="s">
        <v>18721</v>
      </c>
      <c r="D94" s="12">
        <v>41640</v>
      </c>
      <c r="E94" s="12">
        <v>41640</v>
      </c>
      <c r="F94" s="11"/>
      <c r="G94" s="11" t="s">
        <v>279</v>
      </c>
      <c r="H94" s="11" t="s">
        <v>30</v>
      </c>
      <c r="I94" s="11" t="s">
        <v>21918</v>
      </c>
    </row>
    <row r="95" spans="1:9" ht="13.15" x14ac:dyDescent="0.4">
      <c r="A95" s="11" t="s">
        <v>19303</v>
      </c>
      <c r="B95" s="11" t="s">
        <v>3108</v>
      </c>
      <c r="C95" s="11" t="s">
        <v>18721</v>
      </c>
      <c r="D95" s="12">
        <v>41275</v>
      </c>
      <c r="E95" s="12">
        <v>41275</v>
      </c>
      <c r="F95" s="11"/>
      <c r="G95" s="11" t="s">
        <v>279</v>
      </c>
      <c r="H95" s="11" t="s">
        <v>30</v>
      </c>
      <c r="I95" s="11" t="s">
        <v>21556</v>
      </c>
    </row>
    <row r="96" spans="1:9" ht="13.15" x14ac:dyDescent="0.4">
      <c r="A96" s="11" t="s">
        <v>19115</v>
      </c>
      <c r="B96" s="11" t="s">
        <v>3108</v>
      </c>
      <c r="C96" s="11" t="s">
        <v>18721</v>
      </c>
      <c r="D96" s="12">
        <v>41640</v>
      </c>
      <c r="E96" s="12">
        <v>41640</v>
      </c>
      <c r="F96" s="11"/>
      <c r="G96" s="11" t="s">
        <v>279</v>
      </c>
      <c r="H96" s="11" t="s">
        <v>30</v>
      </c>
      <c r="I96" s="11" t="s">
        <v>21744</v>
      </c>
    </row>
    <row r="97" spans="1:9" ht="13.15" x14ac:dyDescent="0.4">
      <c r="A97" s="11" t="s">
        <v>19818</v>
      </c>
      <c r="B97" s="11" t="s">
        <v>3108</v>
      </c>
      <c r="C97" s="11" t="s">
        <v>18721</v>
      </c>
      <c r="D97" s="12">
        <v>41275</v>
      </c>
      <c r="E97" s="12">
        <v>41275</v>
      </c>
      <c r="F97" s="11"/>
      <c r="G97" s="11" t="s">
        <v>279</v>
      </c>
      <c r="H97" s="11" t="s">
        <v>30</v>
      </c>
      <c r="I97" s="11" t="s">
        <v>21041</v>
      </c>
    </row>
    <row r="98" spans="1:9" ht="13.15" x14ac:dyDescent="0.4">
      <c r="A98" s="11" t="s">
        <v>19466</v>
      </c>
      <c r="B98" s="11" t="s">
        <v>3108</v>
      </c>
      <c r="C98" s="11" t="s">
        <v>18721</v>
      </c>
      <c r="D98" s="12">
        <v>41275</v>
      </c>
      <c r="E98" s="12">
        <v>41275</v>
      </c>
      <c r="F98" s="11"/>
      <c r="G98" s="11" t="s">
        <v>279</v>
      </c>
      <c r="H98" s="11" t="s">
        <v>30</v>
      </c>
      <c r="I98" s="11" t="s">
        <v>21393</v>
      </c>
    </row>
    <row r="99" spans="1:9" ht="13.15" x14ac:dyDescent="0.4">
      <c r="A99" s="11" t="s">
        <v>19617</v>
      </c>
      <c r="B99" s="11" t="s">
        <v>3108</v>
      </c>
      <c r="C99" s="11" t="s">
        <v>18721</v>
      </c>
      <c r="D99" s="12">
        <v>41275</v>
      </c>
      <c r="E99" s="12">
        <v>41275</v>
      </c>
      <c r="F99" s="11"/>
      <c r="G99" s="11" t="s">
        <v>279</v>
      </c>
      <c r="H99" s="11" t="s">
        <v>30</v>
      </c>
      <c r="I99" s="11" t="s">
        <v>21242</v>
      </c>
    </row>
    <row r="100" spans="1:9" ht="13.15" x14ac:dyDescent="0.4">
      <c r="A100" s="11" t="s">
        <v>19176</v>
      </c>
      <c r="B100" s="11" t="s">
        <v>3108</v>
      </c>
      <c r="C100" s="11" t="s">
        <v>18721</v>
      </c>
      <c r="D100" s="12">
        <v>41275</v>
      </c>
      <c r="E100" s="12">
        <v>41275</v>
      </c>
      <c r="F100" s="11"/>
      <c r="G100" s="11" t="s">
        <v>279</v>
      </c>
      <c r="H100" s="11" t="s">
        <v>30</v>
      </c>
      <c r="I100" s="11" t="s">
        <v>21683</v>
      </c>
    </row>
    <row r="101" spans="1:9" ht="13.15" x14ac:dyDescent="0.4">
      <c r="A101" s="11" t="s">
        <v>18805</v>
      </c>
      <c r="B101" s="11" t="s">
        <v>3108</v>
      </c>
      <c r="C101" s="11" t="s">
        <v>18721</v>
      </c>
      <c r="D101" s="12">
        <v>41640</v>
      </c>
      <c r="E101" s="12">
        <v>41640</v>
      </c>
      <c r="F101" s="11"/>
      <c r="G101" s="11" t="s">
        <v>279</v>
      </c>
      <c r="H101" s="11" t="s">
        <v>30</v>
      </c>
      <c r="I101" s="11" t="s">
        <v>22054</v>
      </c>
    </row>
    <row r="102" spans="1:9" ht="13.15" x14ac:dyDescent="0.4">
      <c r="A102" s="11" t="s">
        <v>20208</v>
      </c>
      <c r="B102" s="11" t="s">
        <v>3108</v>
      </c>
      <c r="C102" s="11" t="s">
        <v>18721</v>
      </c>
      <c r="D102" s="12">
        <v>41640</v>
      </c>
      <c r="E102" s="12">
        <v>41640</v>
      </c>
      <c r="F102" s="11"/>
      <c r="G102" s="11" t="s">
        <v>279</v>
      </c>
      <c r="H102" s="11" t="s">
        <v>30</v>
      </c>
      <c r="I102" s="11" t="s">
        <v>20651</v>
      </c>
    </row>
    <row r="103" spans="1:9" ht="13.15" x14ac:dyDescent="0.4">
      <c r="A103" s="11" t="s">
        <v>20100</v>
      </c>
      <c r="B103" s="11" t="s">
        <v>3108</v>
      </c>
      <c r="C103" s="11" t="s">
        <v>18721</v>
      </c>
      <c r="D103" s="12">
        <v>41275</v>
      </c>
      <c r="E103" s="12">
        <v>41275</v>
      </c>
      <c r="F103" s="11"/>
      <c r="G103" s="11" t="s">
        <v>279</v>
      </c>
      <c r="H103" s="11" t="s">
        <v>30</v>
      </c>
      <c r="I103" s="11" t="s">
        <v>20759</v>
      </c>
    </row>
    <row r="104" spans="1:9" ht="13.15" x14ac:dyDescent="0.4">
      <c r="A104" s="11" t="s">
        <v>20305</v>
      </c>
      <c r="B104" s="11" t="s">
        <v>3108</v>
      </c>
      <c r="C104" s="11" t="s">
        <v>18721</v>
      </c>
      <c r="D104" s="12">
        <v>41275</v>
      </c>
      <c r="E104" s="12">
        <v>41275</v>
      </c>
      <c r="F104" s="11"/>
      <c r="G104" s="11" t="s">
        <v>279</v>
      </c>
      <c r="H104" s="11" t="s">
        <v>30</v>
      </c>
      <c r="I104" s="11" t="s">
        <v>20554</v>
      </c>
    </row>
    <row r="105" spans="1:9" ht="13.15" x14ac:dyDescent="0.4">
      <c r="A105" s="11" t="s">
        <v>18747</v>
      </c>
      <c r="B105" s="11" t="s">
        <v>3108</v>
      </c>
      <c r="C105" s="11" t="s">
        <v>18721</v>
      </c>
      <c r="D105" s="12">
        <v>41640</v>
      </c>
      <c r="E105" s="12">
        <v>41640</v>
      </c>
      <c r="F105" s="11"/>
      <c r="G105" s="11" t="s">
        <v>279</v>
      </c>
      <c r="H105" s="11" t="s">
        <v>30</v>
      </c>
      <c r="I105" s="11" t="s">
        <v>22112</v>
      </c>
    </row>
    <row r="106" spans="1:9" ht="13.15" x14ac:dyDescent="0.4">
      <c r="A106" s="11" t="s">
        <v>18894</v>
      </c>
      <c r="B106" s="11" t="s">
        <v>3108</v>
      </c>
      <c r="C106" s="11" t="s">
        <v>18721</v>
      </c>
      <c r="D106" s="12">
        <v>41640</v>
      </c>
      <c r="E106" s="12">
        <v>41640</v>
      </c>
      <c r="F106" s="11"/>
      <c r="G106" s="11" t="s">
        <v>279</v>
      </c>
      <c r="H106" s="11" t="s">
        <v>30</v>
      </c>
      <c r="I106" s="11" t="s">
        <v>21965</v>
      </c>
    </row>
    <row r="107" spans="1:9" ht="13.15" x14ac:dyDescent="0.4">
      <c r="A107" s="11" t="s">
        <v>20149</v>
      </c>
      <c r="B107" s="11" t="s">
        <v>3108</v>
      </c>
      <c r="C107" s="11" t="s">
        <v>18721</v>
      </c>
      <c r="D107" s="12">
        <v>41275</v>
      </c>
      <c r="E107" s="12">
        <v>41275</v>
      </c>
      <c r="F107" s="11"/>
      <c r="G107" s="11" t="s">
        <v>279</v>
      </c>
      <c r="H107" s="11" t="s">
        <v>30</v>
      </c>
      <c r="I107" s="11" t="s">
        <v>20710</v>
      </c>
    </row>
    <row r="108" spans="1:9" ht="13.15" x14ac:dyDescent="0.4">
      <c r="A108" s="11" t="s">
        <v>19639</v>
      </c>
      <c r="B108" s="11" t="s">
        <v>3108</v>
      </c>
      <c r="C108" s="11" t="s">
        <v>18721</v>
      </c>
      <c r="D108" s="12">
        <v>41640</v>
      </c>
      <c r="E108" s="12">
        <v>41640</v>
      </c>
      <c r="F108" s="11"/>
      <c r="G108" s="11" t="s">
        <v>279</v>
      </c>
      <c r="H108" s="11" t="s">
        <v>30</v>
      </c>
      <c r="I108" s="11" t="s">
        <v>21220</v>
      </c>
    </row>
    <row r="109" spans="1:9" ht="13.15" x14ac:dyDescent="0.4">
      <c r="A109" s="11" t="s">
        <v>20010</v>
      </c>
      <c r="B109" s="11" t="s">
        <v>3108</v>
      </c>
      <c r="C109" s="11" t="s">
        <v>18721</v>
      </c>
      <c r="D109" s="12">
        <v>41640</v>
      </c>
      <c r="E109" s="12">
        <v>41640</v>
      </c>
      <c r="F109" s="11"/>
      <c r="G109" s="11" t="s">
        <v>279</v>
      </c>
      <c r="H109" s="11" t="s">
        <v>30</v>
      </c>
      <c r="I109" s="11" t="s">
        <v>20849</v>
      </c>
    </row>
    <row r="110" spans="1:9" ht="13.15" x14ac:dyDescent="0.4">
      <c r="A110" s="11" t="s">
        <v>20420</v>
      </c>
      <c r="B110" s="11" t="s">
        <v>3108</v>
      </c>
      <c r="C110" s="11" t="s">
        <v>18721</v>
      </c>
      <c r="D110" s="12">
        <v>40909</v>
      </c>
      <c r="E110" s="12">
        <v>40909</v>
      </c>
      <c r="F110" s="11"/>
      <c r="G110" s="11" t="s">
        <v>279</v>
      </c>
      <c r="H110" s="11" t="s">
        <v>30</v>
      </c>
      <c r="I110" s="11" t="s">
        <v>20439</v>
      </c>
    </row>
    <row r="111" spans="1:9" ht="13.15" x14ac:dyDescent="0.4">
      <c r="A111" s="11" t="s">
        <v>18916</v>
      </c>
      <c r="B111" s="11" t="s">
        <v>3108</v>
      </c>
      <c r="C111" s="11" t="s">
        <v>18721</v>
      </c>
      <c r="D111" s="12">
        <v>41640</v>
      </c>
      <c r="E111" s="12">
        <v>41640</v>
      </c>
      <c r="F111" s="11"/>
      <c r="G111" s="11" t="s">
        <v>279</v>
      </c>
      <c r="H111" s="11" t="s">
        <v>30</v>
      </c>
      <c r="I111" s="11" t="s">
        <v>21943</v>
      </c>
    </row>
    <row r="112" spans="1:9" ht="13.15" x14ac:dyDescent="0.4">
      <c r="A112" s="11" t="s">
        <v>18884</v>
      </c>
      <c r="B112" s="11" t="s">
        <v>3108</v>
      </c>
      <c r="C112" s="11" t="s">
        <v>18721</v>
      </c>
      <c r="D112" s="12">
        <v>41275</v>
      </c>
      <c r="E112" s="12">
        <v>41275</v>
      </c>
      <c r="F112" s="11"/>
      <c r="G112" s="11" t="s">
        <v>279</v>
      </c>
      <c r="H112" s="11" t="s">
        <v>30</v>
      </c>
      <c r="I112" s="11" t="s">
        <v>21975</v>
      </c>
    </row>
    <row r="113" spans="1:9" ht="13.15" x14ac:dyDescent="0.4">
      <c r="A113" s="11" t="s">
        <v>18781</v>
      </c>
      <c r="B113" s="11" t="s">
        <v>3108</v>
      </c>
      <c r="C113" s="11" t="s">
        <v>18721</v>
      </c>
      <c r="D113" s="12">
        <v>41275</v>
      </c>
      <c r="E113" s="12">
        <v>41275</v>
      </c>
      <c r="F113" s="11"/>
      <c r="G113" s="11" t="s">
        <v>279</v>
      </c>
      <c r="H113" s="11" t="s">
        <v>30</v>
      </c>
      <c r="I113" s="11" t="s">
        <v>22078</v>
      </c>
    </row>
    <row r="114" spans="1:9" ht="13.15" x14ac:dyDescent="0.4">
      <c r="A114" s="11" t="s">
        <v>20278</v>
      </c>
      <c r="B114" s="11" t="s">
        <v>3108</v>
      </c>
      <c r="C114" s="11" t="s">
        <v>18721</v>
      </c>
      <c r="D114" s="12">
        <v>41275</v>
      </c>
      <c r="E114" s="12">
        <v>41275</v>
      </c>
      <c r="F114" s="11"/>
      <c r="G114" s="11" t="s">
        <v>279</v>
      </c>
      <c r="H114" s="11" t="s">
        <v>30</v>
      </c>
      <c r="I114" s="11" t="s">
        <v>20581</v>
      </c>
    </row>
    <row r="115" spans="1:9" ht="13.15" x14ac:dyDescent="0.4">
      <c r="A115" s="11" t="s">
        <v>20172</v>
      </c>
      <c r="B115" s="11" t="s">
        <v>3108</v>
      </c>
      <c r="C115" s="11" t="s">
        <v>18721</v>
      </c>
      <c r="D115" s="12">
        <v>41640</v>
      </c>
      <c r="E115" s="12">
        <v>41640</v>
      </c>
      <c r="F115" s="11"/>
      <c r="G115" s="11" t="s">
        <v>279</v>
      </c>
      <c r="H115" s="11" t="s">
        <v>30</v>
      </c>
      <c r="I115" s="11" t="s">
        <v>20687</v>
      </c>
    </row>
    <row r="116" spans="1:9" ht="13.15" x14ac:dyDescent="0.4">
      <c r="A116" s="11" t="s">
        <v>19944</v>
      </c>
      <c r="B116" s="11" t="s">
        <v>3108</v>
      </c>
      <c r="C116" s="11" t="s">
        <v>18721</v>
      </c>
      <c r="D116" s="12">
        <v>41640</v>
      </c>
      <c r="E116" s="12">
        <v>41640</v>
      </c>
      <c r="F116" s="11"/>
      <c r="G116" s="11" t="s">
        <v>279</v>
      </c>
      <c r="H116" s="11" t="s">
        <v>30</v>
      </c>
      <c r="I116" s="11" t="s">
        <v>20915</v>
      </c>
    </row>
    <row r="117" spans="1:9" ht="13.15" x14ac:dyDescent="0.4">
      <c r="A117" s="11" t="s">
        <v>18998</v>
      </c>
      <c r="B117" s="11" t="s">
        <v>3108</v>
      </c>
      <c r="C117" s="11" t="s">
        <v>18721</v>
      </c>
      <c r="D117" s="12">
        <v>41640</v>
      </c>
      <c r="E117" s="12">
        <v>41640</v>
      </c>
      <c r="F117" s="11"/>
      <c r="G117" s="11" t="s">
        <v>279</v>
      </c>
      <c r="H117" s="11" t="s">
        <v>30</v>
      </c>
      <c r="I117" s="11" t="s">
        <v>21861</v>
      </c>
    </row>
    <row r="118" spans="1:9" ht="13.15" x14ac:dyDescent="0.4">
      <c r="A118" s="11" t="s">
        <v>20005</v>
      </c>
      <c r="B118" s="11" t="s">
        <v>3108</v>
      </c>
      <c r="C118" s="11" t="s">
        <v>18721</v>
      </c>
      <c r="D118" s="12">
        <v>41640</v>
      </c>
      <c r="E118" s="12">
        <v>41640</v>
      </c>
      <c r="F118" s="11"/>
      <c r="G118" s="11" t="s">
        <v>279</v>
      </c>
      <c r="H118" s="11" t="s">
        <v>30</v>
      </c>
      <c r="I118" s="11" t="s">
        <v>20854</v>
      </c>
    </row>
    <row r="119" spans="1:9" ht="13.15" x14ac:dyDescent="0.4">
      <c r="A119" s="11" t="s">
        <v>18829</v>
      </c>
      <c r="B119" s="11" t="s">
        <v>3108</v>
      </c>
      <c r="C119" s="11" t="s">
        <v>18721</v>
      </c>
      <c r="D119" s="12">
        <v>41640</v>
      </c>
      <c r="E119" s="12">
        <v>41640</v>
      </c>
      <c r="F119" s="11"/>
      <c r="G119" s="11" t="s">
        <v>279</v>
      </c>
      <c r="H119" s="11" t="s">
        <v>30</v>
      </c>
      <c r="I119" s="11" t="s">
        <v>22030</v>
      </c>
    </row>
    <row r="120" spans="1:9" ht="13.15" x14ac:dyDescent="0.4">
      <c r="A120" s="11" t="s">
        <v>20187</v>
      </c>
      <c r="B120" s="11" t="s">
        <v>3108</v>
      </c>
      <c r="C120" s="11" t="s">
        <v>18721</v>
      </c>
      <c r="D120" s="12">
        <v>41640</v>
      </c>
      <c r="E120" s="12">
        <v>41640</v>
      </c>
      <c r="F120" s="11"/>
      <c r="G120" s="11" t="s">
        <v>279</v>
      </c>
      <c r="H120" s="11" t="s">
        <v>30</v>
      </c>
      <c r="I120" s="11" t="s">
        <v>20672</v>
      </c>
    </row>
    <row r="121" spans="1:9" ht="13.15" x14ac:dyDescent="0.4">
      <c r="A121" s="11" t="s">
        <v>19980</v>
      </c>
      <c r="B121" s="11" t="s">
        <v>3108</v>
      </c>
      <c r="C121" s="11" t="s">
        <v>18721</v>
      </c>
      <c r="D121" s="12">
        <v>41640</v>
      </c>
      <c r="E121" s="12">
        <v>41640</v>
      </c>
      <c r="F121" s="11"/>
      <c r="G121" s="11" t="s">
        <v>279</v>
      </c>
      <c r="H121" s="11" t="s">
        <v>30</v>
      </c>
      <c r="I121" s="11" t="s">
        <v>20879</v>
      </c>
    </row>
    <row r="122" spans="1:9" ht="13.15" x14ac:dyDescent="0.4">
      <c r="A122" s="11" t="s">
        <v>19241</v>
      </c>
      <c r="B122" s="11" t="s">
        <v>3108</v>
      </c>
      <c r="C122" s="11" t="s">
        <v>18721</v>
      </c>
      <c r="D122" s="12">
        <v>41640</v>
      </c>
      <c r="E122" s="12">
        <v>41640</v>
      </c>
      <c r="F122" s="11"/>
      <c r="G122" s="11" t="s">
        <v>279</v>
      </c>
      <c r="H122" s="11" t="s">
        <v>30</v>
      </c>
      <c r="I122" s="11" t="s">
        <v>21618</v>
      </c>
    </row>
    <row r="123" spans="1:9" ht="13.15" x14ac:dyDescent="0.4">
      <c r="A123" s="11" t="s">
        <v>19911</v>
      </c>
      <c r="B123" s="11" t="s">
        <v>3108</v>
      </c>
      <c r="C123" s="11" t="s">
        <v>18721</v>
      </c>
      <c r="D123" s="12">
        <v>41275</v>
      </c>
      <c r="E123" s="12">
        <v>41275</v>
      </c>
      <c r="F123" s="11"/>
      <c r="G123" s="11" t="s">
        <v>279</v>
      </c>
      <c r="H123" s="11" t="s">
        <v>30</v>
      </c>
      <c r="I123" s="11" t="s">
        <v>20948</v>
      </c>
    </row>
    <row r="124" spans="1:9" ht="13.15" x14ac:dyDescent="0.4">
      <c r="A124" s="11" t="s">
        <v>19160</v>
      </c>
      <c r="B124" s="11" t="s">
        <v>3108</v>
      </c>
      <c r="C124" s="11" t="s">
        <v>18721</v>
      </c>
      <c r="D124" s="12">
        <v>41275</v>
      </c>
      <c r="E124" s="12">
        <v>41275</v>
      </c>
      <c r="F124" s="11"/>
      <c r="G124" s="11" t="s">
        <v>279</v>
      </c>
      <c r="H124" s="11" t="s">
        <v>30</v>
      </c>
      <c r="I124" s="11" t="s">
        <v>21699</v>
      </c>
    </row>
    <row r="125" spans="1:9" ht="13.15" x14ac:dyDescent="0.4">
      <c r="A125" s="11" t="s">
        <v>19230</v>
      </c>
      <c r="B125" s="11" t="s">
        <v>3108</v>
      </c>
      <c r="C125" s="11" t="s">
        <v>18721</v>
      </c>
      <c r="D125" s="12">
        <v>41275</v>
      </c>
      <c r="E125" s="12">
        <v>41275</v>
      </c>
      <c r="F125" s="11"/>
      <c r="G125" s="11" t="s">
        <v>279</v>
      </c>
      <c r="H125" s="11" t="s">
        <v>30</v>
      </c>
      <c r="I125" s="11" t="s">
        <v>21629</v>
      </c>
    </row>
    <row r="126" spans="1:9" ht="13.15" x14ac:dyDescent="0.4">
      <c r="A126" s="11" t="s">
        <v>19580</v>
      </c>
      <c r="B126" s="11" t="s">
        <v>3108</v>
      </c>
      <c r="C126" s="11" t="s">
        <v>18721</v>
      </c>
      <c r="D126" s="12">
        <v>41275</v>
      </c>
      <c r="E126" s="12">
        <v>41275</v>
      </c>
      <c r="F126" s="11"/>
      <c r="G126" s="11" t="s">
        <v>279</v>
      </c>
      <c r="H126" s="11" t="s">
        <v>30</v>
      </c>
      <c r="I126" s="11" t="s">
        <v>21279</v>
      </c>
    </row>
    <row r="127" spans="1:9" ht="13.15" x14ac:dyDescent="0.4">
      <c r="A127" s="11" t="s">
        <v>19618</v>
      </c>
      <c r="B127" s="11" t="s">
        <v>3108</v>
      </c>
      <c r="C127" s="11" t="s">
        <v>18721</v>
      </c>
      <c r="D127" s="12">
        <v>41275</v>
      </c>
      <c r="E127" s="12">
        <v>41275</v>
      </c>
      <c r="F127" s="11"/>
      <c r="G127" s="11" t="s">
        <v>279</v>
      </c>
      <c r="H127" s="11" t="s">
        <v>30</v>
      </c>
      <c r="I127" s="11" t="s">
        <v>21241</v>
      </c>
    </row>
    <row r="128" spans="1:9" ht="13.15" x14ac:dyDescent="0.4">
      <c r="A128" s="11" t="s">
        <v>18769</v>
      </c>
      <c r="B128" s="11" t="s">
        <v>3108</v>
      </c>
      <c r="C128" s="11" t="s">
        <v>18721</v>
      </c>
      <c r="D128" s="12">
        <v>41275</v>
      </c>
      <c r="E128" s="12">
        <v>41275</v>
      </c>
      <c r="F128" s="11"/>
      <c r="G128" s="11" t="s">
        <v>279</v>
      </c>
      <c r="H128" s="11" t="s">
        <v>30</v>
      </c>
      <c r="I128" s="11" t="s">
        <v>22090</v>
      </c>
    </row>
    <row r="129" spans="1:9" ht="13.15" x14ac:dyDescent="0.4">
      <c r="A129" s="11" t="s">
        <v>19305</v>
      </c>
      <c r="B129" s="11" t="s">
        <v>3108</v>
      </c>
      <c r="C129" s="11" t="s">
        <v>18721</v>
      </c>
      <c r="D129" s="12">
        <v>40909</v>
      </c>
      <c r="E129" s="12">
        <v>40909</v>
      </c>
      <c r="F129" s="11"/>
      <c r="G129" s="11" t="s">
        <v>279</v>
      </c>
      <c r="H129" s="11" t="s">
        <v>30</v>
      </c>
      <c r="I129" s="11" t="s">
        <v>21554</v>
      </c>
    </row>
    <row r="130" spans="1:9" ht="13.15" x14ac:dyDescent="0.4">
      <c r="A130" s="11" t="s">
        <v>19125</v>
      </c>
      <c r="B130" s="11" t="s">
        <v>3108</v>
      </c>
      <c r="C130" s="11" t="s">
        <v>18721</v>
      </c>
      <c r="D130" s="12">
        <v>41275</v>
      </c>
      <c r="E130" s="12">
        <v>41275</v>
      </c>
      <c r="F130" s="11"/>
      <c r="G130" s="11" t="s">
        <v>279</v>
      </c>
      <c r="H130" s="11" t="s">
        <v>30</v>
      </c>
      <c r="I130" s="11" t="s">
        <v>21734</v>
      </c>
    </row>
    <row r="131" spans="1:9" ht="13.15" x14ac:dyDescent="0.4">
      <c r="A131" s="11" t="s">
        <v>20281</v>
      </c>
      <c r="B131" s="11" t="s">
        <v>3108</v>
      </c>
      <c r="C131" s="11" t="s">
        <v>18721</v>
      </c>
      <c r="D131" s="12">
        <v>41640</v>
      </c>
      <c r="E131" s="12">
        <v>41640</v>
      </c>
      <c r="F131" s="11"/>
      <c r="G131" s="11" t="s">
        <v>279</v>
      </c>
      <c r="H131" s="11" t="s">
        <v>30</v>
      </c>
      <c r="I131" s="11" t="s">
        <v>20578</v>
      </c>
    </row>
    <row r="132" spans="1:9" ht="13.15" x14ac:dyDescent="0.4">
      <c r="A132" s="11" t="s">
        <v>19198</v>
      </c>
      <c r="B132" s="11" t="s">
        <v>3108</v>
      </c>
      <c r="C132" s="11" t="s">
        <v>18721</v>
      </c>
      <c r="D132" s="12">
        <v>41640</v>
      </c>
      <c r="E132" s="12">
        <v>41640</v>
      </c>
      <c r="F132" s="11"/>
      <c r="G132" s="11" t="s">
        <v>279</v>
      </c>
      <c r="H132" s="11" t="s">
        <v>30</v>
      </c>
      <c r="I132" s="11" t="s">
        <v>21661</v>
      </c>
    </row>
    <row r="133" spans="1:9" ht="13.15" x14ac:dyDescent="0.4">
      <c r="A133" s="11" t="s">
        <v>19758</v>
      </c>
      <c r="B133" s="11" t="s">
        <v>3108</v>
      </c>
      <c r="C133" s="11" t="s">
        <v>18721</v>
      </c>
      <c r="D133" s="12">
        <v>41640</v>
      </c>
      <c r="E133" s="12">
        <v>41640</v>
      </c>
      <c r="F133" s="11"/>
      <c r="G133" s="11" t="s">
        <v>279</v>
      </c>
      <c r="H133" s="11" t="s">
        <v>30</v>
      </c>
      <c r="I133" s="11" t="s">
        <v>21101</v>
      </c>
    </row>
    <row r="134" spans="1:9" ht="13.15" x14ac:dyDescent="0.4">
      <c r="A134" s="11" t="s">
        <v>19320</v>
      </c>
      <c r="B134" s="11" t="s">
        <v>3108</v>
      </c>
      <c r="C134" s="11" t="s">
        <v>18721</v>
      </c>
      <c r="D134" s="12">
        <v>41275</v>
      </c>
      <c r="E134" s="12">
        <v>41275</v>
      </c>
      <c r="F134" s="11"/>
      <c r="G134" s="11" t="s">
        <v>279</v>
      </c>
      <c r="H134" s="11" t="s">
        <v>30</v>
      </c>
      <c r="I134" s="11" t="s">
        <v>21539</v>
      </c>
    </row>
    <row r="135" spans="1:9" ht="13.15" x14ac:dyDescent="0.4">
      <c r="A135" s="11" t="s">
        <v>19287</v>
      </c>
      <c r="B135" s="11" t="s">
        <v>3108</v>
      </c>
      <c r="C135" s="11" t="s">
        <v>18721</v>
      </c>
      <c r="D135" s="12">
        <v>41275</v>
      </c>
      <c r="E135" s="12">
        <v>41275</v>
      </c>
      <c r="F135" s="11"/>
      <c r="G135" s="11" t="s">
        <v>279</v>
      </c>
      <c r="H135" s="11" t="s">
        <v>30</v>
      </c>
      <c r="I135" s="11" t="s">
        <v>21572</v>
      </c>
    </row>
    <row r="136" spans="1:9" ht="13.15" x14ac:dyDescent="0.4">
      <c r="A136" s="11" t="s">
        <v>19231</v>
      </c>
      <c r="B136" s="11" t="s">
        <v>3108</v>
      </c>
      <c r="C136" s="11" t="s">
        <v>18721</v>
      </c>
      <c r="D136" s="12">
        <v>41640</v>
      </c>
      <c r="E136" s="12">
        <v>41640</v>
      </c>
      <c r="F136" s="11"/>
      <c r="G136" s="11" t="s">
        <v>279</v>
      </c>
      <c r="H136" s="11" t="s">
        <v>30</v>
      </c>
      <c r="I136" s="11" t="s">
        <v>21628</v>
      </c>
    </row>
    <row r="137" spans="1:9" ht="13.15" x14ac:dyDescent="0.4">
      <c r="A137" s="11" t="s">
        <v>19229</v>
      </c>
      <c r="B137" s="11" t="s">
        <v>3108</v>
      </c>
      <c r="C137" s="11" t="s">
        <v>18721</v>
      </c>
      <c r="D137" s="12">
        <v>40909</v>
      </c>
      <c r="E137" s="12">
        <v>40909</v>
      </c>
      <c r="F137" s="11"/>
      <c r="G137" s="11" t="s">
        <v>279</v>
      </c>
      <c r="H137" s="11" t="s">
        <v>30</v>
      </c>
      <c r="I137" s="11" t="s">
        <v>21630</v>
      </c>
    </row>
    <row r="138" spans="1:9" ht="13.15" x14ac:dyDescent="0.4">
      <c r="A138" s="11" t="s">
        <v>19705</v>
      </c>
      <c r="B138" s="11" t="s">
        <v>3108</v>
      </c>
      <c r="C138" s="11" t="s">
        <v>18721</v>
      </c>
      <c r="D138" s="12">
        <v>41275</v>
      </c>
      <c r="E138" s="12">
        <v>41275</v>
      </c>
      <c r="F138" s="11"/>
      <c r="G138" s="11" t="s">
        <v>279</v>
      </c>
      <c r="H138" s="11" t="s">
        <v>30</v>
      </c>
      <c r="I138" s="11" t="s">
        <v>21154</v>
      </c>
    </row>
    <row r="139" spans="1:9" ht="13.15" x14ac:dyDescent="0.4">
      <c r="A139" s="11" t="s">
        <v>18885</v>
      </c>
      <c r="B139" s="11" t="s">
        <v>3108</v>
      </c>
      <c r="C139" s="11" t="s">
        <v>18721</v>
      </c>
      <c r="D139" s="12">
        <v>41640</v>
      </c>
      <c r="E139" s="12">
        <v>41640</v>
      </c>
      <c r="F139" s="11"/>
      <c r="G139" s="11" t="s">
        <v>279</v>
      </c>
      <c r="H139" s="11" t="s">
        <v>30</v>
      </c>
      <c r="I139" s="11" t="s">
        <v>21974</v>
      </c>
    </row>
    <row r="140" spans="1:9" ht="13.15" x14ac:dyDescent="0.4">
      <c r="A140" s="11" t="s">
        <v>19545</v>
      </c>
      <c r="B140" s="11" t="s">
        <v>3108</v>
      </c>
      <c r="C140" s="11" t="s">
        <v>18721</v>
      </c>
      <c r="D140" s="12">
        <v>41275</v>
      </c>
      <c r="E140" s="12">
        <v>41275</v>
      </c>
      <c r="F140" s="11"/>
      <c r="G140" s="11" t="s">
        <v>279</v>
      </c>
      <c r="H140" s="11" t="s">
        <v>30</v>
      </c>
      <c r="I140" s="11" t="s">
        <v>21314</v>
      </c>
    </row>
    <row r="141" spans="1:9" ht="13.15" x14ac:dyDescent="0.4">
      <c r="A141" s="11" t="s">
        <v>20163</v>
      </c>
      <c r="B141" s="11" t="s">
        <v>3108</v>
      </c>
      <c r="C141" s="11" t="s">
        <v>18721</v>
      </c>
      <c r="D141" s="12">
        <v>41640</v>
      </c>
      <c r="E141" s="12">
        <v>41640</v>
      </c>
      <c r="F141" s="11"/>
      <c r="G141" s="11" t="s">
        <v>279</v>
      </c>
      <c r="H141" s="11" t="s">
        <v>30</v>
      </c>
      <c r="I141" s="11" t="s">
        <v>20696</v>
      </c>
    </row>
    <row r="142" spans="1:9" ht="13.15" x14ac:dyDescent="0.4">
      <c r="A142" s="11" t="s">
        <v>20277</v>
      </c>
      <c r="B142" s="11" t="s">
        <v>3108</v>
      </c>
      <c r="C142" s="11" t="s">
        <v>18721</v>
      </c>
      <c r="D142" s="12">
        <v>41275</v>
      </c>
      <c r="E142" s="12">
        <v>41275</v>
      </c>
      <c r="F142" s="11"/>
      <c r="G142" s="11" t="s">
        <v>279</v>
      </c>
      <c r="H142" s="11" t="s">
        <v>30</v>
      </c>
      <c r="I142" s="11" t="s">
        <v>20582</v>
      </c>
    </row>
    <row r="143" spans="1:9" ht="13.15" x14ac:dyDescent="0.4">
      <c r="A143" s="11" t="s">
        <v>19651</v>
      </c>
      <c r="B143" s="11" t="s">
        <v>3108</v>
      </c>
      <c r="C143" s="11" t="s">
        <v>18721</v>
      </c>
      <c r="D143" s="12">
        <v>41640</v>
      </c>
      <c r="E143" s="12">
        <v>41640</v>
      </c>
      <c r="F143" s="11"/>
      <c r="G143" s="11" t="s">
        <v>279</v>
      </c>
      <c r="H143" s="11" t="s">
        <v>30</v>
      </c>
      <c r="I143" s="11" t="s">
        <v>21208</v>
      </c>
    </row>
    <row r="144" spans="1:9" ht="13.15" x14ac:dyDescent="0.4">
      <c r="A144" s="11" t="s">
        <v>19892</v>
      </c>
      <c r="B144" s="11" t="s">
        <v>3108</v>
      </c>
      <c r="C144" s="11" t="s">
        <v>18721</v>
      </c>
      <c r="D144" s="12">
        <v>41275</v>
      </c>
      <c r="E144" s="12">
        <v>41275</v>
      </c>
      <c r="F144" s="11"/>
      <c r="G144" s="11" t="s">
        <v>279</v>
      </c>
      <c r="H144" s="11" t="s">
        <v>30</v>
      </c>
      <c r="I144" s="11" t="s">
        <v>20967</v>
      </c>
    </row>
    <row r="145" spans="1:9" ht="13.15" x14ac:dyDescent="0.4">
      <c r="A145" s="11" t="s">
        <v>19593</v>
      </c>
      <c r="B145" s="11" t="s">
        <v>3108</v>
      </c>
      <c r="C145" s="11" t="s">
        <v>18721</v>
      </c>
      <c r="D145" s="12">
        <v>41640</v>
      </c>
      <c r="E145" s="12">
        <v>41640</v>
      </c>
      <c r="F145" s="11"/>
      <c r="G145" s="11" t="s">
        <v>279</v>
      </c>
      <c r="H145" s="11" t="s">
        <v>30</v>
      </c>
      <c r="I145" s="11" t="s">
        <v>21266</v>
      </c>
    </row>
    <row r="146" spans="1:9" ht="13.15" x14ac:dyDescent="0.4">
      <c r="A146" s="11" t="s">
        <v>19170</v>
      </c>
      <c r="B146" s="11" t="s">
        <v>3108</v>
      </c>
      <c r="C146" s="11" t="s">
        <v>18721</v>
      </c>
      <c r="D146" s="12">
        <v>41275</v>
      </c>
      <c r="E146" s="12">
        <v>41275</v>
      </c>
      <c r="F146" s="11"/>
      <c r="G146" s="11" t="s">
        <v>279</v>
      </c>
      <c r="H146" s="11" t="s">
        <v>30</v>
      </c>
      <c r="I146" s="11" t="s">
        <v>21689</v>
      </c>
    </row>
    <row r="147" spans="1:9" ht="13.15" x14ac:dyDescent="0.4">
      <c r="A147" s="11" t="s">
        <v>19326</v>
      </c>
      <c r="B147" s="11" t="s">
        <v>3108</v>
      </c>
      <c r="C147" s="11" t="s">
        <v>18721</v>
      </c>
      <c r="D147" s="12">
        <v>41640</v>
      </c>
      <c r="E147" s="12">
        <v>41640</v>
      </c>
      <c r="F147" s="11"/>
      <c r="G147" s="11" t="s">
        <v>279</v>
      </c>
      <c r="H147" s="11" t="s">
        <v>30</v>
      </c>
      <c r="I147" s="11" t="s">
        <v>21533</v>
      </c>
    </row>
    <row r="148" spans="1:9" ht="13.15" x14ac:dyDescent="0.4">
      <c r="A148" s="11" t="s">
        <v>19585</v>
      </c>
      <c r="B148" s="11" t="s">
        <v>3108</v>
      </c>
      <c r="C148" s="11" t="s">
        <v>18721</v>
      </c>
      <c r="D148" s="12">
        <v>41275</v>
      </c>
      <c r="E148" s="12">
        <v>41275</v>
      </c>
      <c r="F148" s="11"/>
      <c r="G148" s="11" t="s">
        <v>279</v>
      </c>
      <c r="H148" s="11" t="s">
        <v>30</v>
      </c>
      <c r="I148" s="11" t="s">
        <v>21274</v>
      </c>
    </row>
    <row r="149" spans="1:9" ht="13.15" x14ac:dyDescent="0.4">
      <c r="A149" s="11" t="s">
        <v>20012</v>
      </c>
      <c r="B149" s="11" t="s">
        <v>3108</v>
      </c>
      <c r="C149" s="11" t="s">
        <v>18721</v>
      </c>
      <c r="D149" s="12">
        <v>41640</v>
      </c>
      <c r="E149" s="12">
        <v>41640</v>
      </c>
      <c r="F149" s="11"/>
      <c r="G149" s="11" t="s">
        <v>279</v>
      </c>
      <c r="H149" s="11" t="s">
        <v>30</v>
      </c>
      <c r="I149" s="11" t="s">
        <v>20847</v>
      </c>
    </row>
    <row r="150" spans="1:9" ht="13.15" x14ac:dyDescent="0.4">
      <c r="A150" s="11" t="s">
        <v>20292</v>
      </c>
      <c r="B150" s="11" t="s">
        <v>3108</v>
      </c>
      <c r="C150" s="11" t="s">
        <v>18721</v>
      </c>
      <c r="D150" s="12">
        <v>41275</v>
      </c>
      <c r="E150" s="12">
        <v>41275</v>
      </c>
      <c r="F150" s="11"/>
      <c r="G150" s="11" t="s">
        <v>279</v>
      </c>
      <c r="H150" s="11" t="s">
        <v>30</v>
      </c>
      <c r="I150" s="11" t="s">
        <v>20567</v>
      </c>
    </row>
    <row r="151" spans="1:9" ht="13.15" x14ac:dyDescent="0.4">
      <c r="A151" s="11" t="s">
        <v>20296</v>
      </c>
      <c r="B151" s="11" t="s">
        <v>3108</v>
      </c>
      <c r="C151" s="11" t="s">
        <v>18721</v>
      </c>
      <c r="D151" s="12">
        <v>40909</v>
      </c>
      <c r="E151" s="12">
        <v>40909</v>
      </c>
      <c r="F151" s="11"/>
      <c r="G151" s="11" t="s">
        <v>279</v>
      </c>
      <c r="H151" s="11" t="s">
        <v>30</v>
      </c>
      <c r="I151" s="11" t="s">
        <v>20563</v>
      </c>
    </row>
    <row r="152" spans="1:9" ht="13.15" x14ac:dyDescent="0.4">
      <c r="A152" s="11" t="s">
        <v>19846</v>
      </c>
      <c r="B152" s="11" t="s">
        <v>3108</v>
      </c>
      <c r="C152" s="11" t="s">
        <v>18721</v>
      </c>
      <c r="D152" s="12">
        <v>41275</v>
      </c>
      <c r="E152" s="12">
        <v>41275</v>
      </c>
      <c r="F152" s="11"/>
      <c r="G152" s="11" t="s">
        <v>279</v>
      </c>
      <c r="H152" s="11" t="s">
        <v>30</v>
      </c>
      <c r="I152" s="11" t="s">
        <v>21013</v>
      </c>
    </row>
    <row r="153" spans="1:9" ht="13.15" x14ac:dyDescent="0.4">
      <c r="A153" s="11" t="s">
        <v>18992</v>
      </c>
      <c r="B153" s="11" t="s">
        <v>3108</v>
      </c>
      <c r="C153" s="11" t="s">
        <v>18721</v>
      </c>
      <c r="D153" s="12">
        <v>40909</v>
      </c>
      <c r="E153" s="12">
        <v>40909</v>
      </c>
      <c r="F153" s="11"/>
      <c r="G153" s="11" t="s">
        <v>279</v>
      </c>
      <c r="H153" s="11" t="s">
        <v>30</v>
      </c>
      <c r="I153" s="11" t="s">
        <v>21867</v>
      </c>
    </row>
    <row r="154" spans="1:9" ht="13.15" x14ac:dyDescent="0.4">
      <c r="A154" s="11" t="s">
        <v>19849</v>
      </c>
      <c r="B154" s="11" t="s">
        <v>3108</v>
      </c>
      <c r="C154" s="11" t="s">
        <v>18721</v>
      </c>
      <c r="D154" s="12">
        <v>41275</v>
      </c>
      <c r="E154" s="12">
        <v>41275</v>
      </c>
      <c r="F154" s="11"/>
      <c r="G154" s="11" t="s">
        <v>279</v>
      </c>
      <c r="H154" s="11" t="s">
        <v>30</v>
      </c>
      <c r="I154" s="11" t="s">
        <v>21010</v>
      </c>
    </row>
    <row r="155" spans="1:9" ht="13.15" x14ac:dyDescent="0.4">
      <c r="A155" s="11" t="s">
        <v>19498</v>
      </c>
      <c r="B155" s="11" t="s">
        <v>3108</v>
      </c>
      <c r="C155" s="11" t="s">
        <v>18721</v>
      </c>
      <c r="D155" s="12">
        <v>41640</v>
      </c>
      <c r="E155" s="12">
        <v>41640</v>
      </c>
      <c r="F155" s="11"/>
      <c r="G155" s="11" t="s">
        <v>279</v>
      </c>
      <c r="H155" s="11" t="s">
        <v>30</v>
      </c>
      <c r="I155" s="11" t="s">
        <v>21361</v>
      </c>
    </row>
    <row r="156" spans="1:9" ht="13.15" x14ac:dyDescent="0.4">
      <c r="A156" s="11" t="s">
        <v>19501</v>
      </c>
      <c r="B156" s="11" t="s">
        <v>3108</v>
      </c>
      <c r="C156" s="11" t="s">
        <v>18721</v>
      </c>
      <c r="D156" s="12">
        <v>41640</v>
      </c>
      <c r="E156" s="12">
        <v>41640</v>
      </c>
      <c r="F156" s="11"/>
      <c r="G156" s="11" t="s">
        <v>279</v>
      </c>
      <c r="H156" s="11" t="s">
        <v>30</v>
      </c>
      <c r="I156" s="11" t="s">
        <v>21358</v>
      </c>
    </row>
    <row r="157" spans="1:9" ht="13.15" x14ac:dyDescent="0.4">
      <c r="A157" s="11" t="s">
        <v>20060</v>
      </c>
      <c r="B157" s="11" t="s">
        <v>3108</v>
      </c>
      <c r="C157" s="11" t="s">
        <v>18721</v>
      </c>
      <c r="D157" s="12">
        <v>41640</v>
      </c>
      <c r="E157" s="12">
        <v>41640</v>
      </c>
      <c r="F157" s="11"/>
      <c r="G157" s="11" t="s">
        <v>279</v>
      </c>
      <c r="H157" s="11" t="s">
        <v>30</v>
      </c>
      <c r="I157" s="11" t="s">
        <v>20799</v>
      </c>
    </row>
    <row r="158" spans="1:9" ht="13.15" x14ac:dyDescent="0.4">
      <c r="A158" s="11" t="s">
        <v>20099</v>
      </c>
      <c r="B158" s="11" t="s">
        <v>3437</v>
      </c>
      <c r="C158" s="11" t="s">
        <v>18721</v>
      </c>
      <c r="D158" s="12">
        <v>41275</v>
      </c>
      <c r="E158" s="12">
        <v>41275</v>
      </c>
      <c r="F158" s="11"/>
      <c r="G158" s="11" t="s">
        <v>279</v>
      </c>
      <c r="H158" s="11" t="s">
        <v>30</v>
      </c>
      <c r="I158" s="11" t="s">
        <v>20760</v>
      </c>
    </row>
    <row r="159" spans="1:9" ht="13.15" x14ac:dyDescent="0.4">
      <c r="A159" s="11" t="s">
        <v>19258</v>
      </c>
      <c r="B159" s="11" t="s">
        <v>3437</v>
      </c>
      <c r="C159" s="11" t="s">
        <v>18721</v>
      </c>
      <c r="D159" s="12">
        <v>41640</v>
      </c>
      <c r="E159" s="12">
        <v>41640</v>
      </c>
      <c r="F159" s="11"/>
      <c r="G159" s="11" t="s">
        <v>279</v>
      </c>
      <c r="H159" s="11" t="s">
        <v>30</v>
      </c>
      <c r="I159" s="11" t="s">
        <v>21601</v>
      </c>
    </row>
    <row r="160" spans="1:9" ht="13.15" x14ac:dyDescent="0.4">
      <c r="A160" s="11" t="s">
        <v>19550</v>
      </c>
      <c r="B160" s="11" t="s">
        <v>3437</v>
      </c>
      <c r="C160" s="11" t="s">
        <v>18721</v>
      </c>
      <c r="D160" s="12">
        <v>41640</v>
      </c>
      <c r="E160" s="12">
        <v>41640</v>
      </c>
      <c r="F160" s="11"/>
      <c r="G160" s="11" t="s">
        <v>279</v>
      </c>
      <c r="H160" s="11" t="s">
        <v>30</v>
      </c>
      <c r="I160" s="11" t="s">
        <v>21309</v>
      </c>
    </row>
    <row r="161" spans="1:9" ht="13.15" x14ac:dyDescent="0.4">
      <c r="A161" s="11" t="s">
        <v>20299</v>
      </c>
      <c r="B161" s="11" t="s">
        <v>3437</v>
      </c>
      <c r="C161" s="11" t="s">
        <v>18721</v>
      </c>
      <c r="D161" s="12">
        <v>41640</v>
      </c>
      <c r="E161" s="12">
        <v>41640</v>
      </c>
      <c r="F161" s="11"/>
      <c r="G161" s="11" t="s">
        <v>279</v>
      </c>
      <c r="H161" s="11" t="s">
        <v>30</v>
      </c>
      <c r="I161" s="11" t="s">
        <v>20560</v>
      </c>
    </row>
    <row r="162" spans="1:9" ht="13.15" x14ac:dyDescent="0.4">
      <c r="A162" s="11" t="s">
        <v>20294</v>
      </c>
      <c r="B162" s="11" t="s">
        <v>3437</v>
      </c>
      <c r="C162" s="11" t="s">
        <v>18721</v>
      </c>
      <c r="D162" s="12">
        <v>41640</v>
      </c>
      <c r="E162" s="12">
        <v>41640</v>
      </c>
      <c r="F162" s="11"/>
      <c r="G162" s="11" t="s">
        <v>279</v>
      </c>
      <c r="H162" s="11" t="s">
        <v>30</v>
      </c>
      <c r="I162" s="11" t="s">
        <v>20565</v>
      </c>
    </row>
    <row r="163" spans="1:9" ht="13.15" x14ac:dyDescent="0.4">
      <c r="A163" s="11" t="s">
        <v>20157</v>
      </c>
      <c r="B163" s="11" t="s">
        <v>3437</v>
      </c>
      <c r="C163" s="11" t="s">
        <v>18721</v>
      </c>
      <c r="D163" s="12">
        <v>41640</v>
      </c>
      <c r="E163" s="12">
        <v>41640</v>
      </c>
      <c r="F163" s="11"/>
      <c r="G163" s="11" t="s">
        <v>279</v>
      </c>
      <c r="H163" s="11" t="s">
        <v>30</v>
      </c>
      <c r="I163" s="11" t="s">
        <v>20702</v>
      </c>
    </row>
    <row r="164" spans="1:9" ht="13.15" x14ac:dyDescent="0.4">
      <c r="A164" s="11" t="s">
        <v>18735</v>
      </c>
      <c r="B164" s="11" t="s">
        <v>3437</v>
      </c>
      <c r="C164" s="11" t="s">
        <v>18721</v>
      </c>
      <c r="D164" s="12">
        <v>41275</v>
      </c>
      <c r="E164" s="12">
        <v>41275</v>
      </c>
      <c r="F164" s="11"/>
      <c r="G164" s="11" t="s">
        <v>279</v>
      </c>
      <c r="H164" s="11" t="s">
        <v>30</v>
      </c>
      <c r="I164" s="11" t="s">
        <v>22124</v>
      </c>
    </row>
    <row r="165" spans="1:9" ht="13.15" x14ac:dyDescent="0.4">
      <c r="A165" s="11" t="s">
        <v>20396</v>
      </c>
      <c r="B165" s="11" t="s">
        <v>3437</v>
      </c>
      <c r="C165" s="11" t="s">
        <v>18721</v>
      </c>
      <c r="D165" s="12">
        <v>41275</v>
      </c>
      <c r="E165" s="12">
        <v>41275</v>
      </c>
      <c r="F165" s="11"/>
      <c r="G165" s="11" t="s">
        <v>279</v>
      </c>
      <c r="H165" s="11" t="s">
        <v>30</v>
      </c>
      <c r="I165" s="11" t="s">
        <v>20463</v>
      </c>
    </row>
    <row r="166" spans="1:9" ht="13.15" x14ac:dyDescent="0.4">
      <c r="A166" s="11" t="s">
        <v>19530</v>
      </c>
      <c r="B166" s="11" t="s">
        <v>3437</v>
      </c>
      <c r="C166" s="11" t="s">
        <v>18721</v>
      </c>
      <c r="D166" s="12">
        <v>41640</v>
      </c>
      <c r="E166" s="12">
        <v>41640</v>
      </c>
      <c r="F166" s="11"/>
      <c r="G166" s="11" t="s">
        <v>279</v>
      </c>
      <c r="H166" s="11" t="s">
        <v>30</v>
      </c>
      <c r="I166" s="11" t="s">
        <v>21329</v>
      </c>
    </row>
    <row r="167" spans="1:9" ht="13.15" x14ac:dyDescent="0.4">
      <c r="A167" s="11" t="s">
        <v>18819</v>
      </c>
      <c r="B167" s="11" t="s">
        <v>3437</v>
      </c>
      <c r="C167" s="11" t="s">
        <v>18721</v>
      </c>
      <c r="D167" s="12">
        <v>41640</v>
      </c>
      <c r="E167" s="12">
        <v>41640</v>
      </c>
      <c r="F167" s="11"/>
      <c r="G167" s="11" t="s">
        <v>279</v>
      </c>
      <c r="H167" s="11" t="s">
        <v>30</v>
      </c>
      <c r="I167" s="11" t="s">
        <v>22040</v>
      </c>
    </row>
    <row r="168" spans="1:9" ht="13.15" x14ac:dyDescent="0.4">
      <c r="A168" s="11" t="s">
        <v>19163</v>
      </c>
      <c r="B168" s="11" t="s">
        <v>3437</v>
      </c>
      <c r="C168" s="11" t="s">
        <v>18721</v>
      </c>
      <c r="D168" s="12">
        <v>41640</v>
      </c>
      <c r="E168" s="12">
        <v>41640</v>
      </c>
      <c r="F168" s="11"/>
      <c r="G168" s="11" t="s">
        <v>279</v>
      </c>
      <c r="H168" s="11" t="s">
        <v>30</v>
      </c>
      <c r="I168" s="11" t="s">
        <v>21696</v>
      </c>
    </row>
    <row r="169" spans="1:9" ht="13.15" x14ac:dyDescent="0.4">
      <c r="A169" s="11" t="s">
        <v>19547</v>
      </c>
      <c r="B169" s="11" t="s">
        <v>3437</v>
      </c>
      <c r="C169" s="11" t="s">
        <v>18721</v>
      </c>
      <c r="D169" s="12">
        <v>41640</v>
      </c>
      <c r="E169" s="12">
        <v>41640</v>
      </c>
      <c r="F169" s="11"/>
      <c r="G169" s="11" t="s">
        <v>279</v>
      </c>
      <c r="H169" s="11" t="s">
        <v>30</v>
      </c>
      <c r="I169" s="11" t="s">
        <v>21312</v>
      </c>
    </row>
    <row r="170" spans="1:9" ht="13.15" x14ac:dyDescent="0.4">
      <c r="A170" s="11" t="s">
        <v>20387</v>
      </c>
      <c r="B170" s="11" t="s">
        <v>3437</v>
      </c>
      <c r="C170" s="11" t="s">
        <v>18721</v>
      </c>
      <c r="D170" s="12">
        <v>41640</v>
      </c>
      <c r="E170" s="12">
        <v>41640</v>
      </c>
      <c r="F170" s="11"/>
      <c r="G170" s="11" t="s">
        <v>279</v>
      </c>
      <c r="H170" s="11" t="s">
        <v>30</v>
      </c>
      <c r="I170" s="11" t="s">
        <v>20472</v>
      </c>
    </row>
    <row r="171" spans="1:9" ht="13.15" x14ac:dyDescent="0.4">
      <c r="A171" s="11" t="s">
        <v>20008</v>
      </c>
      <c r="B171" s="11" t="s">
        <v>3437</v>
      </c>
      <c r="C171" s="11" t="s">
        <v>18721</v>
      </c>
      <c r="D171" s="12">
        <v>41640</v>
      </c>
      <c r="E171" s="12">
        <v>41640</v>
      </c>
      <c r="F171" s="11"/>
      <c r="G171" s="11" t="s">
        <v>279</v>
      </c>
      <c r="H171" s="11" t="s">
        <v>30</v>
      </c>
      <c r="I171" s="11" t="s">
        <v>20851</v>
      </c>
    </row>
    <row r="172" spans="1:9" ht="13.15" x14ac:dyDescent="0.4">
      <c r="A172" s="11" t="s">
        <v>19779</v>
      </c>
      <c r="B172" s="11" t="s">
        <v>3437</v>
      </c>
      <c r="C172" s="11" t="s">
        <v>18721</v>
      </c>
      <c r="D172" s="12">
        <v>41640</v>
      </c>
      <c r="E172" s="12">
        <v>41640</v>
      </c>
      <c r="F172" s="11"/>
      <c r="G172" s="11" t="s">
        <v>279</v>
      </c>
      <c r="H172" s="11" t="s">
        <v>30</v>
      </c>
      <c r="I172" s="11" t="s">
        <v>21080</v>
      </c>
    </row>
    <row r="173" spans="1:9" ht="13.15" x14ac:dyDescent="0.4">
      <c r="A173" s="11" t="s">
        <v>19017</v>
      </c>
      <c r="B173" s="11" t="s">
        <v>3437</v>
      </c>
      <c r="C173" s="11" t="s">
        <v>18721</v>
      </c>
      <c r="D173" s="12">
        <v>41275</v>
      </c>
      <c r="E173" s="12">
        <v>41275</v>
      </c>
      <c r="F173" s="11"/>
      <c r="G173" s="11" t="s">
        <v>279</v>
      </c>
      <c r="H173" s="11" t="s">
        <v>30</v>
      </c>
      <c r="I173" s="11" t="s">
        <v>21842</v>
      </c>
    </row>
    <row r="174" spans="1:9" ht="13.15" x14ac:dyDescent="0.4">
      <c r="A174" s="11" t="s">
        <v>20178</v>
      </c>
      <c r="B174" s="11" t="s">
        <v>3437</v>
      </c>
      <c r="C174" s="11" t="s">
        <v>18721</v>
      </c>
      <c r="D174" s="12">
        <v>41275</v>
      </c>
      <c r="E174" s="12">
        <v>41275</v>
      </c>
      <c r="F174" s="11"/>
      <c r="G174" s="11" t="s">
        <v>279</v>
      </c>
      <c r="H174" s="11" t="s">
        <v>30</v>
      </c>
      <c r="I174" s="11" t="s">
        <v>20681</v>
      </c>
    </row>
    <row r="175" spans="1:9" ht="13.15" x14ac:dyDescent="0.4">
      <c r="A175" s="11" t="s">
        <v>19474</v>
      </c>
      <c r="B175" s="11" t="s">
        <v>3437</v>
      </c>
      <c r="C175" s="11" t="s">
        <v>18721</v>
      </c>
      <c r="D175" s="12">
        <v>41275</v>
      </c>
      <c r="E175" s="12">
        <v>41275</v>
      </c>
      <c r="F175" s="11"/>
      <c r="G175" s="11" t="s">
        <v>279</v>
      </c>
      <c r="H175" s="11" t="s">
        <v>30</v>
      </c>
      <c r="I175" s="11" t="s">
        <v>21385</v>
      </c>
    </row>
    <row r="176" spans="1:9" ht="13.15" x14ac:dyDescent="0.4">
      <c r="A176" s="11" t="s">
        <v>20000</v>
      </c>
      <c r="B176" s="11" t="s">
        <v>3437</v>
      </c>
      <c r="C176" s="11" t="s">
        <v>18721</v>
      </c>
      <c r="D176" s="12">
        <v>41275</v>
      </c>
      <c r="E176" s="12">
        <v>41275</v>
      </c>
      <c r="F176" s="11"/>
      <c r="G176" s="11" t="s">
        <v>279</v>
      </c>
      <c r="H176" s="11" t="s">
        <v>30</v>
      </c>
      <c r="I176" s="11" t="s">
        <v>20859</v>
      </c>
    </row>
    <row r="177" spans="1:9" ht="13.15" x14ac:dyDescent="0.4">
      <c r="A177" s="11" t="s">
        <v>19961</v>
      </c>
      <c r="B177" s="11" t="s">
        <v>3437</v>
      </c>
      <c r="C177" s="11" t="s">
        <v>18721</v>
      </c>
      <c r="D177" s="12">
        <v>41275</v>
      </c>
      <c r="E177" s="12">
        <v>41275</v>
      </c>
      <c r="F177" s="11"/>
      <c r="G177" s="11" t="s">
        <v>279</v>
      </c>
      <c r="H177" s="11" t="s">
        <v>30</v>
      </c>
      <c r="I177" s="11" t="s">
        <v>20898</v>
      </c>
    </row>
    <row r="178" spans="1:9" ht="13.15" x14ac:dyDescent="0.4">
      <c r="A178" s="11" t="s">
        <v>19048</v>
      </c>
      <c r="B178" s="11" t="s">
        <v>3437</v>
      </c>
      <c r="C178" s="11" t="s">
        <v>18721</v>
      </c>
      <c r="D178" s="12">
        <v>41275</v>
      </c>
      <c r="E178" s="12">
        <v>41275</v>
      </c>
      <c r="F178" s="11"/>
      <c r="G178" s="11" t="s">
        <v>279</v>
      </c>
      <c r="H178" s="11" t="s">
        <v>30</v>
      </c>
      <c r="I178" s="11" t="s">
        <v>21811</v>
      </c>
    </row>
    <row r="179" spans="1:9" ht="13.15" x14ac:dyDescent="0.4">
      <c r="A179" s="11" t="s">
        <v>20421</v>
      </c>
      <c r="B179" s="11" t="s">
        <v>3437</v>
      </c>
      <c r="C179" s="11" t="s">
        <v>18721</v>
      </c>
      <c r="D179" s="12">
        <v>41275</v>
      </c>
      <c r="E179" s="12">
        <v>41275</v>
      </c>
      <c r="F179" s="11"/>
      <c r="G179" s="11" t="s">
        <v>279</v>
      </c>
      <c r="H179" s="11" t="s">
        <v>30</v>
      </c>
      <c r="I179" s="11" t="s">
        <v>20438</v>
      </c>
    </row>
    <row r="180" spans="1:9" ht="13.15" x14ac:dyDescent="0.4">
      <c r="A180" s="11" t="s">
        <v>18777</v>
      </c>
      <c r="B180" s="11" t="s">
        <v>3437</v>
      </c>
      <c r="C180" s="11" t="s">
        <v>18721</v>
      </c>
      <c r="D180" s="12">
        <v>41275</v>
      </c>
      <c r="E180" s="12">
        <v>41275</v>
      </c>
      <c r="F180" s="11"/>
      <c r="G180" s="11" t="s">
        <v>279</v>
      </c>
      <c r="H180" s="11" t="s">
        <v>30</v>
      </c>
      <c r="I180" s="11" t="s">
        <v>22082</v>
      </c>
    </row>
    <row r="181" spans="1:9" ht="13.15" x14ac:dyDescent="0.4">
      <c r="A181" s="11" t="s">
        <v>20406</v>
      </c>
      <c r="B181" s="11" t="s">
        <v>3437</v>
      </c>
      <c r="C181" s="11" t="s">
        <v>18721</v>
      </c>
      <c r="D181" s="12">
        <v>41275</v>
      </c>
      <c r="E181" s="12">
        <v>41275</v>
      </c>
      <c r="F181" s="11"/>
      <c r="G181" s="11" t="s">
        <v>279</v>
      </c>
      <c r="H181" s="11" t="s">
        <v>30</v>
      </c>
      <c r="I181" s="11" t="s">
        <v>20453</v>
      </c>
    </row>
    <row r="182" spans="1:9" ht="13.15" x14ac:dyDescent="0.4">
      <c r="A182" s="11" t="s">
        <v>20177</v>
      </c>
      <c r="B182" s="11" t="s">
        <v>3437</v>
      </c>
      <c r="C182" s="11" t="s">
        <v>18721</v>
      </c>
      <c r="D182" s="12">
        <v>41275</v>
      </c>
      <c r="E182" s="12">
        <v>41275</v>
      </c>
      <c r="F182" s="11"/>
      <c r="G182" s="11" t="s">
        <v>279</v>
      </c>
      <c r="H182" s="11" t="s">
        <v>30</v>
      </c>
      <c r="I182" s="11" t="s">
        <v>20682</v>
      </c>
    </row>
    <row r="183" spans="1:9" ht="13.15" x14ac:dyDescent="0.4">
      <c r="A183" s="11" t="s">
        <v>20358</v>
      </c>
      <c r="B183" s="11" t="s">
        <v>3437</v>
      </c>
      <c r="C183" s="11" t="s">
        <v>18721</v>
      </c>
      <c r="D183" s="12">
        <v>41275</v>
      </c>
      <c r="E183" s="12">
        <v>41275</v>
      </c>
      <c r="F183" s="11"/>
      <c r="G183" s="11" t="s">
        <v>279</v>
      </c>
      <c r="H183" s="11" t="s">
        <v>30</v>
      </c>
      <c r="I183" s="11" t="s">
        <v>20501</v>
      </c>
    </row>
    <row r="184" spans="1:9" ht="13.15" x14ac:dyDescent="0.4">
      <c r="A184" s="11" t="s">
        <v>19933</v>
      </c>
      <c r="B184" s="11" t="s">
        <v>3437</v>
      </c>
      <c r="C184" s="11" t="s">
        <v>18721</v>
      </c>
      <c r="D184" s="12">
        <v>41275</v>
      </c>
      <c r="E184" s="12">
        <v>41275</v>
      </c>
      <c r="F184" s="11"/>
      <c r="G184" s="11" t="s">
        <v>279</v>
      </c>
      <c r="H184" s="11" t="s">
        <v>30</v>
      </c>
      <c r="I184" s="11" t="s">
        <v>20926</v>
      </c>
    </row>
    <row r="185" spans="1:9" ht="13.15" x14ac:dyDescent="0.4">
      <c r="A185" s="11" t="s">
        <v>20103</v>
      </c>
      <c r="B185" s="11" t="s">
        <v>3437</v>
      </c>
      <c r="C185" s="11" t="s">
        <v>18721</v>
      </c>
      <c r="D185" s="12">
        <v>41275</v>
      </c>
      <c r="E185" s="12">
        <v>41275</v>
      </c>
      <c r="F185" s="11"/>
      <c r="G185" s="11" t="s">
        <v>279</v>
      </c>
      <c r="H185" s="11" t="s">
        <v>30</v>
      </c>
      <c r="I185" s="11" t="s">
        <v>20756</v>
      </c>
    </row>
    <row r="186" spans="1:9" ht="13.15" x14ac:dyDescent="0.4">
      <c r="A186" s="11" t="s">
        <v>20332</v>
      </c>
      <c r="B186" s="11" t="s">
        <v>5418</v>
      </c>
      <c r="C186" s="11" t="s">
        <v>18721</v>
      </c>
      <c r="D186" s="12">
        <v>41275</v>
      </c>
      <c r="E186" s="12">
        <v>41275</v>
      </c>
      <c r="F186" s="11"/>
      <c r="G186" s="11" t="s">
        <v>279</v>
      </c>
      <c r="H186" s="11" t="s">
        <v>30</v>
      </c>
      <c r="I186" s="11" t="s">
        <v>20527</v>
      </c>
    </row>
    <row r="187" spans="1:9" ht="13.15" x14ac:dyDescent="0.4">
      <c r="A187" s="11" t="s">
        <v>19235</v>
      </c>
      <c r="B187" s="11" t="s">
        <v>5418</v>
      </c>
      <c r="C187" s="11" t="s">
        <v>18721</v>
      </c>
      <c r="D187" s="12">
        <v>41640</v>
      </c>
      <c r="E187" s="12">
        <v>41640</v>
      </c>
      <c r="F187" s="11"/>
      <c r="G187" s="11" t="s">
        <v>279</v>
      </c>
      <c r="H187" s="11" t="s">
        <v>30</v>
      </c>
      <c r="I187" s="11" t="s">
        <v>21624</v>
      </c>
    </row>
    <row r="188" spans="1:9" ht="13.15" x14ac:dyDescent="0.4">
      <c r="A188" s="11" t="s">
        <v>19596</v>
      </c>
      <c r="B188" s="11" t="s">
        <v>5418</v>
      </c>
      <c r="C188" s="11" t="s">
        <v>18721</v>
      </c>
      <c r="D188" s="12">
        <v>41275</v>
      </c>
      <c r="E188" s="12">
        <v>41275</v>
      </c>
      <c r="F188" s="11"/>
      <c r="G188" s="11" t="s">
        <v>279</v>
      </c>
      <c r="H188" s="11" t="s">
        <v>30</v>
      </c>
      <c r="I188" s="11" t="s">
        <v>21263</v>
      </c>
    </row>
    <row r="189" spans="1:9" ht="13.15" x14ac:dyDescent="0.4">
      <c r="A189" s="11" t="s">
        <v>20141</v>
      </c>
      <c r="B189" s="11" t="s">
        <v>5418</v>
      </c>
      <c r="C189" s="11" t="s">
        <v>18721</v>
      </c>
      <c r="D189" s="12">
        <v>41640</v>
      </c>
      <c r="E189" s="12">
        <v>41640</v>
      </c>
      <c r="F189" s="11"/>
      <c r="G189" s="11" t="s">
        <v>279</v>
      </c>
      <c r="H189" s="11" t="s">
        <v>30</v>
      </c>
      <c r="I189" s="11" t="s">
        <v>20718</v>
      </c>
    </row>
    <row r="190" spans="1:9" ht="13.15" x14ac:dyDescent="0.4">
      <c r="A190" s="11" t="s">
        <v>18780</v>
      </c>
      <c r="B190" s="11" t="s">
        <v>5418</v>
      </c>
      <c r="C190" s="11" t="s">
        <v>18721</v>
      </c>
      <c r="D190" s="12">
        <v>41275</v>
      </c>
      <c r="E190" s="12">
        <v>41275</v>
      </c>
      <c r="F190" s="11"/>
      <c r="G190" s="11" t="s">
        <v>279</v>
      </c>
      <c r="H190" s="11" t="s">
        <v>30</v>
      </c>
      <c r="I190" s="11" t="s">
        <v>22079</v>
      </c>
    </row>
    <row r="191" spans="1:9" ht="13.15" x14ac:dyDescent="0.4">
      <c r="A191" s="11" t="s">
        <v>19252</v>
      </c>
      <c r="B191" s="11" t="s">
        <v>5418</v>
      </c>
      <c r="C191" s="11" t="s">
        <v>18721</v>
      </c>
      <c r="D191" s="12">
        <v>41275</v>
      </c>
      <c r="E191" s="12">
        <v>41275</v>
      </c>
      <c r="F191" s="11"/>
      <c r="G191" s="11" t="s">
        <v>279</v>
      </c>
      <c r="H191" s="11" t="s">
        <v>30</v>
      </c>
      <c r="I191" s="11" t="s">
        <v>21607</v>
      </c>
    </row>
    <row r="192" spans="1:9" ht="13.15" x14ac:dyDescent="0.4">
      <c r="A192" s="11" t="s">
        <v>19019</v>
      </c>
      <c r="B192" s="11" t="s">
        <v>5418</v>
      </c>
      <c r="C192" s="11" t="s">
        <v>18721</v>
      </c>
      <c r="D192" s="12">
        <v>41275</v>
      </c>
      <c r="E192" s="12">
        <v>41275</v>
      </c>
      <c r="F192" s="11"/>
      <c r="G192" s="11" t="s">
        <v>279</v>
      </c>
      <c r="H192" s="11" t="s">
        <v>30</v>
      </c>
      <c r="I192" s="11" t="s">
        <v>21840</v>
      </c>
    </row>
    <row r="193" spans="1:9" ht="13.15" x14ac:dyDescent="0.4">
      <c r="A193" s="11" t="s">
        <v>19405</v>
      </c>
      <c r="B193" s="11" t="s">
        <v>5418</v>
      </c>
      <c r="C193" s="11" t="s">
        <v>18721</v>
      </c>
      <c r="D193" s="12">
        <v>41275</v>
      </c>
      <c r="E193" s="12">
        <v>41275</v>
      </c>
      <c r="F193" s="11"/>
      <c r="G193" s="11" t="s">
        <v>279</v>
      </c>
      <c r="H193" s="11" t="s">
        <v>30</v>
      </c>
      <c r="I193" s="11" t="s">
        <v>21454</v>
      </c>
    </row>
    <row r="194" spans="1:9" ht="13.15" x14ac:dyDescent="0.4">
      <c r="A194" s="11" t="s">
        <v>20065</v>
      </c>
      <c r="B194" s="11" t="s">
        <v>5418</v>
      </c>
      <c r="C194" s="11" t="s">
        <v>18721</v>
      </c>
      <c r="D194" s="12">
        <v>41275</v>
      </c>
      <c r="E194" s="12">
        <v>41275</v>
      </c>
      <c r="F194" s="11"/>
      <c r="G194" s="11" t="s">
        <v>279</v>
      </c>
      <c r="H194" s="11" t="s">
        <v>30</v>
      </c>
      <c r="I194" s="11" t="s">
        <v>20794</v>
      </c>
    </row>
    <row r="195" spans="1:9" ht="13.15" x14ac:dyDescent="0.4">
      <c r="A195" s="11" t="s">
        <v>19614</v>
      </c>
      <c r="B195" s="11" t="s">
        <v>5418</v>
      </c>
      <c r="C195" s="11" t="s">
        <v>18721</v>
      </c>
      <c r="D195" s="12">
        <v>41640</v>
      </c>
      <c r="E195" s="12">
        <v>41640</v>
      </c>
      <c r="F195" s="11"/>
      <c r="G195" s="11" t="s">
        <v>279</v>
      </c>
      <c r="H195" s="11" t="s">
        <v>30</v>
      </c>
      <c r="I195" s="11" t="s">
        <v>21245</v>
      </c>
    </row>
    <row r="196" spans="1:9" ht="13.15" x14ac:dyDescent="0.4">
      <c r="A196" s="11" t="s">
        <v>19092</v>
      </c>
      <c r="B196" s="11" t="s">
        <v>5418</v>
      </c>
      <c r="C196" s="11" t="s">
        <v>18721</v>
      </c>
      <c r="D196" s="12">
        <v>41275</v>
      </c>
      <c r="E196" s="12">
        <v>41275</v>
      </c>
      <c r="F196" s="11"/>
      <c r="G196" s="11" t="s">
        <v>279</v>
      </c>
      <c r="H196" s="11" t="s">
        <v>30</v>
      </c>
      <c r="I196" s="11" t="s">
        <v>21767</v>
      </c>
    </row>
    <row r="197" spans="1:9" ht="13.15" x14ac:dyDescent="0.4">
      <c r="A197" s="11" t="s">
        <v>18957</v>
      </c>
      <c r="B197" s="11" t="s">
        <v>5418</v>
      </c>
      <c r="C197" s="11" t="s">
        <v>18721</v>
      </c>
      <c r="D197" s="12">
        <v>41275</v>
      </c>
      <c r="E197" s="12">
        <v>41275</v>
      </c>
      <c r="F197" s="11"/>
      <c r="G197" s="11" t="s">
        <v>279</v>
      </c>
      <c r="H197" s="11" t="s">
        <v>30</v>
      </c>
      <c r="I197" s="11" t="s">
        <v>21902</v>
      </c>
    </row>
    <row r="198" spans="1:9" ht="13.15" x14ac:dyDescent="0.4">
      <c r="A198" s="11" t="s">
        <v>19880</v>
      </c>
      <c r="B198" s="11" t="s">
        <v>5418</v>
      </c>
      <c r="C198" s="11" t="s">
        <v>18721</v>
      </c>
      <c r="D198" s="12">
        <v>41275</v>
      </c>
      <c r="E198" s="12">
        <v>41275</v>
      </c>
      <c r="F198" s="11"/>
      <c r="G198" s="11" t="s">
        <v>279</v>
      </c>
      <c r="H198" s="11" t="s">
        <v>30</v>
      </c>
      <c r="I198" s="11" t="s">
        <v>20979</v>
      </c>
    </row>
    <row r="199" spans="1:9" ht="13.15" x14ac:dyDescent="0.4">
      <c r="A199" s="11" t="s">
        <v>20408</v>
      </c>
      <c r="B199" s="11" t="s">
        <v>5418</v>
      </c>
      <c r="C199" s="11" t="s">
        <v>18721</v>
      </c>
      <c r="D199" s="12">
        <v>41275</v>
      </c>
      <c r="E199" s="12">
        <v>41275</v>
      </c>
      <c r="F199" s="11"/>
      <c r="G199" s="11" t="s">
        <v>279</v>
      </c>
      <c r="H199" s="11" t="s">
        <v>30</v>
      </c>
      <c r="I199" s="11" t="s">
        <v>20451</v>
      </c>
    </row>
    <row r="200" spans="1:9" ht="13.15" x14ac:dyDescent="0.4">
      <c r="A200" s="11" t="s">
        <v>20356</v>
      </c>
      <c r="B200" s="11" t="s">
        <v>5418</v>
      </c>
      <c r="C200" s="11" t="s">
        <v>18721</v>
      </c>
      <c r="D200" s="12">
        <v>41275</v>
      </c>
      <c r="E200" s="12">
        <v>41275</v>
      </c>
      <c r="F200" s="11"/>
      <c r="G200" s="11" t="s">
        <v>279</v>
      </c>
      <c r="H200" s="11" t="s">
        <v>30</v>
      </c>
      <c r="I200" s="11" t="s">
        <v>20503</v>
      </c>
    </row>
    <row r="201" spans="1:9" ht="13.15" x14ac:dyDescent="0.4">
      <c r="A201" s="11" t="s">
        <v>19153</v>
      </c>
      <c r="B201" s="11" t="s">
        <v>5418</v>
      </c>
      <c r="C201" s="11" t="s">
        <v>18721</v>
      </c>
      <c r="D201" s="12">
        <v>41640</v>
      </c>
      <c r="E201" s="12">
        <v>41640</v>
      </c>
      <c r="F201" s="11"/>
      <c r="G201" s="11" t="s">
        <v>279</v>
      </c>
      <c r="H201" s="11" t="s">
        <v>30</v>
      </c>
      <c r="I201" s="11" t="s">
        <v>21706</v>
      </c>
    </row>
    <row r="202" spans="1:9" ht="13.15" x14ac:dyDescent="0.4">
      <c r="A202" s="11" t="s">
        <v>19740</v>
      </c>
      <c r="B202" s="11" t="s">
        <v>5418</v>
      </c>
      <c r="C202" s="11" t="s">
        <v>18721</v>
      </c>
      <c r="D202" s="12">
        <v>41640</v>
      </c>
      <c r="E202" s="12">
        <v>41640</v>
      </c>
      <c r="F202" s="11"/>
      <c r="G202" s="11" t="s">
        <v>279</v>
      </c>
      <c r="H202" s="11" t="s">
        <v>30</v>
      </c>
      <c r="I202" s="11" t="s">
        <v>21119</v>
      </c>
    </row>
    <row r="203" spans="1:9" ht="13.15" x14ac:dyDescent="0.4">
      <c r="A203" s="11" t="s">
        <v>18926</v>
      </c>
      <c r="B203" s="11" t="s">
        <v>5418</v>
      </c>
      <c r="C203" s="11" t="s">
        <v>18721</v>
      </c>
      <c r="D203" s="12">
        <v>41640</v>
      </c>
      <c r="E203" s="12">
        <v>41640</v>
      </c>
      <c r="F203" s="11"/>
      <c r="G203" s="11" t="s">
        <v>279</v>
      </c>
      <c r="H203" s="11" t="s">
        <v>30</v>
      </c>
      <c r="I203" s="11" t="s">
        <v>21933</v>
      </c>
    </row>
    <row r="204" spans="1:9" ht="13.15" x14ac:dyDescent="0.4">
      <c r="A204" s="11" t="s">
        <v>19862</v>
      </c>
      <c r="B204" s="11" t="s">
        <v>5418</v>
      </c>
      <c r="C204" s="11" t="s">
        <v>18721</v>
      </c>
      <c r="D204" s="12">
        <v>41640</v>
      </c>
      <c r="E204" s="12">
        <v>41640</v>
      </c>
      <c r="F204" s="11"/>
      <c r="G204" s="11" t="s">
        <v>279</v>
      </c>
      <c r="H204" s="11" t="s">
        <v>30</v>
      </c>
      <c r="I204" s="11" t="s">
        <v>20997</v>
      </c>
    </row>
    <row r="205" spans="1:9" ht="13.15" x14ac:dyDescent="0.4">
      <c r="A205" s="11" t="s">
        <v>19968</v>
      </c>
      <c r="B205" s="11" t="s">
        <v>5418</v>
      </c>
      <c r="C205" s="11" t="s">
        <v>18721</v>
      </c>
      <c r="D205" s="12">
        <v>41275</v>
      </c>
      <c r="E205" s="12">
        <v>41275</v>
      </c>
      <c r="F205" s="11"/>
      <c r="G205" s="11" t="s">
        <v>279</v>
      </c>
      <c r="H205" s="11" t="s">
        <v>30</v>
      </c>
      <c r="I205" s="11" t="s">
        <v>20891</v>
      </c>
    </row>
    <row r="206" spans="1:9" ht="13.15" x14ac:dyDescent="0.4">
      <c r="A206" s="11" t="s">
        <v>19032</v>
      </c>
      <c r="B206" s="11" t="s">
        <v>5418</v>
      </c>
      <c r="C206" s="11" t="s">
        <v>18721</v>
      </c>
      <c r="D206" s="12">
        <v>41275</v>
      </c>
      <c r="E206" s="12">
        <v>41275</v>
      </c>
      <c r="F206" s="11"/>
      <c r="G206" s="11" t="s">
        <v>279</v>
      </c>
      <c r="H206" s="11" t="s">
        <v>30</v>
      </c>
      <c r="I206" s="11" t="s">
        <v>21827</v>
      </c>
    </row>
    <row r="207" spans="1:9" ht="13.15" x14ac:dyDescent="0.4">
      <c r="A207" s="11" t="s">
        <v>19828</v>
      </c>
      <c r="B207" s="11" t="s">
        <v>5418</v>
      </c>
      <c r="C207" s="11" t="s">
        <v>18721</v>
      </c>
      <c r="D207" s="12">
        <v>41275</v>
      </c>
      <c r="E207" s="12">
        <v>41275</v>
      </c>
      <c r="F207" s="11"/>
      <c r="G207" s="11" t="s">
        <v>279</v>
      </c>
      <c r="H207" s="11" t="s">
        <v>30</v>
      </c>
      <c r="I207" s="11" t="s">
        <v>21031</v>
      </c>
    </row>
    <row r="208" spans="1:9" ht="13.15" x14ac:dyDescent="0.4">
      <c r="A208" s="11" t="s">
        <v>18857</v>
      </c>
      <c r="B208" s="11" t="s">
        <v>5418</v>
      </c>
      <c r="C208" s="11" t="s">
        <v>18721</v>
      </c>
      <c r="D208" s="12">
        <v>41275</v>
      </c>
      <c r="E208" s="12">
        <v>41275</v>
      </c>
      <c r="F208" s="11"/>
      <c r="G208" s="11" t="s">
        <v>279</v>
      </c>
      <c r="H208" s="11" t="s">
        <v>30</v>
      </c>
      <c r="I208" s="11" t="s">
        <v>22002</v>
      </c>
    </row>
    <row r="209" spans="1:9" ht="13.15" x14ac:dyDescent="0.4">
      <c r="A209" s="11" t="s">
        <v>20250</v>
      </c>
      <c r="B209" s="11" t="s">
        <v>5418</v>
      </c>
      <c r="C209" s="11" t="s">
        <v>18721</v>
      </c>
      <c r="D209" s="12">
        <v>41275</v>
      </c>
      <c r="E209" s="12">
        <v>41275</v>
      </c>
      <c r="F209" s="11"/>
      <c r="G209" s="11" t="s">
        <v>279</v>
      </c>
      <c r="H209" s="11" t="s">
        <v>30</v>
      </c>
      <c r="I209" s="11" t="s">
        <v>20609</v>
      </c>
    </row>
    <row r="210" spans="1:9" ht="13.15" x14ac:dyDescent="0.4">
      <c r="A210" s="11" t="s">
        <v>18794</v>
      </c>
      <c r="B210" s="11" t="s">
        <v>5418</v>
      </c>
      <c r="C210" s="11" t="s">
        <v>18721</v>
      </c>
      <c r="D210" s="12">
        <v>41275</v>
      </c>
      <c r="E210" s="12">
        <v>41275</v>
      </c>
      <c r="F210" s="11"/>
      <c r="G210" s="11" t="s">
        <v>279</v>
      </c>
      <c r="H210" s="11" t="s">
        <v>30</v>
      </c>
      <c r="I210" s="11" t="s">
        <v>22065</v>
      </c>
    </row>
    <row r="211" spans="1:9" ht="13.15" x14ac:dyDescent="0.4">
      <c r="A211" s="11" t="s">
        <v>19780</v>
      </c>
      <c r="B211" s="11" t="s">
        <v>5418</v>
      </c>
      <c r="C211" s="11" t="s">
        <v>18721</v>
      </c>
      <c r="D211" s="12">
        <v>41275</v>
      </c>
      <c r="E211" s="12">
        <v>41275</v>
      </c>
      <c r="F211" s="11"/>
      <c r="G211" s="11" t="s">
        <v>279</v>
      </c>
      <c r="H211" s="11" t="s">
        <v>30</v>
      </c>
      <c r="I211" s="11" t="s">
        <v>21079</v>
      </c>
    </row>
    <row r="212" spans="1:9" ht="13.15" x14ac:dyDescent="0.4">
      <c r="A212" s="11" t="s">
        <v>19619</v>
      </c>
      <c r="B212" s="11" t="s">
        <v>5418</v>
      </c>
      <c r="C212" s="11" t="s">
        <v>18721</v>
      </c>
      <c r="D212" s="12">
        <v>41275</v>
      </c>
      <c r="E212" s="12">
        <v>41275</v>
      </c>
      <c r="F212" s="11"/>
      <c r="G212" s="11" t="s">
        <v>279</v>
      </c>
      <c r="H212" s="11" t="s">
        <v>30</v>
      </c>
      <c r="I212" s="11" t="s">
        <v>21240</v>
      </c>
    </row>
    <row r="213" spans="1:9" ht="13.15" x14ac:dyDescent="0.4">
      <c r="A213" s="11" t="s">
        <v>19323</v>
      </c>
      <c r="B213" s="11" t="s">
        <v>5418</v>
      </c>
      <c r="C213" s="11" t="s">
        <v>18721</v>
      </c>
      <c r="D213" s="12">
        <v>41275</v>
      </c>
      <c r="E213" s="12">
        <v>41275</v>
      </c>
      <c r="F213" s="11"/>
      <c r="G213" s="11" t="s">
        <v>279</v>
      </c>
      <c r="H213" s="11" t="s">
        <v>30</v>
      </c>
      <c r="I213" s="11" t="s">
        <v>21536</v>
      </c>
    </row>
    <row r="214" spans="1:9" ht="13.15" x14ac:dyDescent="0.4">
      <c r="A214" s="11" t="s">
        <v>18873</v>
      </c>
      <c r="B214" s="11" t="s">
        <v>5418</v>
      </c>
      <c r="C214" s="11" t="s">
        <v>18721</v>
      </c>
      <c r="D214" s="12">
        <v>41275</v>
      </c>
      <c r="E214" s="12">
        <v>41275</v>
      </c>
      <c r="F214" s="11"/>
      <c r="G214" s="11" t="s">
        <v>279</v>
      </c>
      <c r="H214" s="11" t="s">
        <v>30</v>
      </c>
      <c r="I214" s="11" t="s">
        <v>21986</v>
      </c>
    </row>
    <row r="215" spans="1:9" ht="13.15" x14ac:dyDescent="0.4">
      <c r="A215" s="11" t="s">
        <v>19438</v>
      </c>
      <c r="B215" s="11" t="s">
        <v>5418</v>
      </c>
      <c r="C215" s="11" t="s">
        <v>18721</v>
      </c>
      <c r="D215" s="12">
        <v>41640</v>
      </c>
      <c r="E215" s="12">
        <v>41640</v>
      </c>
      <c r="F215" s="11"/>
      <c r="G215" s="11" t="s">
        <v>279</v>
      </c>
      <c r="H215" s="11" t="s">
        <v>30</v>
      </c>
      <c r="I215" s="11" t="s">
        <v>21421</v>
      </c>
    </row>
    <row r="216" spans="1:9" ht="13.15" x14ac:dyDescent="0.4">
      <c r="A216" s="11" t="s">
        <v>19184</v>
      </c>
      <c r="B216" s="11" t="s">
        <v>5418</v>
      </c>
      <c r="C216" s="11" t="s">
        <v>18721</v>
      </c>
      <c r="D216" s="12">
        <v>41275</v>
      </c>
      <c r="E216" s="12">
        <v>41275</v>
      </c>
      <c r="F216" s="11"/>
      <c r="G216" s="11" t="s">
        <v>279</v>
      </c>
      <c r="H216" s="11" t="s">
        <v>30</v>
      </c>
      <c r="I216" s="11" t="s">
        <v>21675</v>
      </c>
    </row>
    <row r="217" spans="1:9" ht="13.15" x14ac:dyDescent="0.4">
      <c r="A217" s="11" t="s">
        <v>18739</v>
      </c>
      <c r="B217" s="11" t="s">
        <v>5418</v>
      </c>
      <c r="C217" s="11" t="s">
        <v>18721</v>
      </c>
      <c r="D217" s="12">
        <v>41275</v>
      </c>
      <c r="E217" s="12">
        <v>41275</v>
      </c>
      <c r="F217" s="11"/>
      <c r="G217" s="11" t="s">
        <v>279</v>
      </c>
      <c r="H217" s="11" t="s">
        <v>30</v>
      </c>
      <c r="I217" s="11" t="s">
        <v>22120</v>
      </c>
    </row>
    <row r="218" spans="1:9" ht="13.15" x14ac:dyDescent="0.4">
      <c r="A218" s="11" t="s">
        <v>19286</v>
      </c>
      <c r="B218" s="11" t="s">
        <v>5418</v>
      </c>
      <c r="C218" s="11" t="s">
        <v>18721</v>
      </c>
      <c r="D218" s="12">
        <v>41640</v>
      </c>
      <c r="E218" s="12">
        <v>41640</v>
      </c>
      <c r="F218" s="11"/>
      <c r="G218" s="11" t="s">
        <v>279</v>
      </c>
      <c r="H218" s="11" t="s">
        <v>30</v>
      </c>
      <c r="I218" s="11" t="s">
        <v>21573</v>
      </c>
    </row>
    <row r="219" spans="1:9" ht="13.15" x14ac:dyDescent="0.4">
      <c r="A219" s="11" t="s">
        <v>19500</v>
      </c>
      <c r="B219" s="11" t="s">
        <v>5418</v>
      </c>
      <c r="C219" s="11" t="s">
        <v>18721</v>
      </c>
      <c r="D219" s="12">
        <v>41640</v>
      </c>
      <c r="E219" s="12">
        <v>41640</v>
      </c>
      <c r="F219" s="11"/>
      <c r="G219" s="11" t="s">
        <v>279</v>
      </c>
      <c r="H219" s="11" t="s">
        <v>30</v>
      </c>
      <c r="I219" s="11" t="s">
        <v>21359</v>
      </c>
    </row>
    <row r="220" spans="1:9" ht="13.15" x14ac:dyDescent="0.4">
      <c r="A220" s="11" t="s">
        <v>19416</v>
      </c>
      <c r="B220" s="11" t="s">
        <v>5418</v>
      </c>
      <c r="C220" s="11" t="s">
        <v>18721</v>
      </c>
      <c r="D220" s="12">
        <v>41275</v>
      </c>
      <c r="E220" s="12">
        <v>41275</v>
      </c>
      <c r="F220" s="11"/>
      <c r="G220" s="11" t="s">
        <v>279</v>
      </c>
      <c r="H220" s="11" t="s">
        <v>30</v>
      </c>
      <c r="I220" s="11" t="s">
        <v>21443</v>
      </c>
    </row>
    <row r="221" spans="1:9" ht="13.15" x14ac:dyDescent="0.4">
      <c r="A221" s="11" t="s">
        <v>19670</v>
      </c>
      <c r="B221" s="11" t="s">
        <v>5418</v>
      </c>
      <c r="C221" s="11" t="s">
        <v>18721</v>
      </c>
      <c r="D221" s="12">
        <v>41275</v>
      </c>
      <c r="E221" s="12">
        <v>41275</v>
      </c>
      <c r="F221" s="11"/>
      <c r="G221" s="11" t="s">
        <v>279</v>
      </c>
      <c r="H221" s="11" t="s">
        <v>30</v>
      </c>
      <c r="I221" s="11" t="s">
        <v>21189</v>
      </c>
    </row>
    <row r="222" spans="1:9" ht="13.15" x14ac:dyDescent="0.4">
      <c r="A222" s="11" t="s">
        <v>18841</v>
      </c>
      <c r="B222" s="11" t="s">
        <v>5418</v>
      </c>
      <c r="C222" s="11" t="s">
        <v>18721</v>
      </c>
      <c r="D222" s="12">
        <v>41275</v>
      </c>
      <c r="E222" s="12">
        <v>41275</v>
      </c>
      <c r="F222" s="11"/>
      <c r="G222" s="11" t="s">
        <v>279</v>
      </c>
      <c r="H222" s="11" t="s">
        <v>30</v>
      </c>
      <c r="I222" s="11" t="s">
        <v>22018</v>
      </c>
    </row>
    <row r="223" spans="1:9" ht="13.15" x14ac:dyDescent="0.4">
      <c r="A223" s="11" t="s">
        <v>18733</v>
      </c>
      <c r="B223" s="11" t="s">
        <v>5418</v>
      </c>
      <c r="C223" s="11" t="s">
        <v>18721</v>
      </c>
      <c r="D223" s="12">
        <v>41275</v>
      </c>
      <c r="E223" s="12">
        <v>41275</v>
      </c>
      <c r="F223" s="11"/>
      <c r="G223" s="11" t="s">
        <v>279</v>
      </c>
      <c r="H223" s="11" t="s">
        <v>30</v>
      </c>
      <c r="I223" s="11" t="s">
        <v>22126</v>
      </c>
    </row>
    <row r="224" spans="1:9" ht="13.15" x14ac:dyDescent="0.4">
      <c r="A224" s="11" t="s">
        <v>20338</v>
      </c>
      <c r="B224" s="11" t="s">
        <v>5418</v>
      </c>
      <c r="C224" s="11" t="s">
        <v>18721</v>
      </c>
      <c r="D224" s="12">
        <v>41275</v>
      </c>
      <c r="E224" s="12">
        <v>41275</v>
      </c>
      <c r="F224" s="11"/>
      <c r="G224" s="11" t="s">
        <v>279</v>
      </c>
      <c r="H224" s="11" t="s">
        <v>30</v>
      </c>
      <c r="I224" s="11" t="s">
        <v>20521</v>
      </c>
    </row>
    <row r="225" spans="1:9" ht="13.15" x14ac:dyDescent="0.4">
      <c r="A225" s="11" t="s">
        <v>20109</v>
      </c>
      <c r="B225" s="11" t="s">
        <v>5418</v>
      </c>
      <c r="C225" s="11" t="s">
        <v>18721</v>
      </c>
      <c r="D225" s="12">
        <v>41275</v>
      </c>
      <c r="E225" s="12">
        <v>41275</v>
      </c>
      <c r="F225" s="11"/>
      <c r="G225" s="11" t="s">
        <v>279</v>
      </c>
      <c r="H225" s="11" t="s">
        <v>30</v>
      </c>
      <c r="I225" s="11" t="s">
        <v>20750</v>
      </c>
    </row>
    <row r="226" spans="1:9" ht="13.15" x14ac:dyDescent="0.4">
      <c r="A226" s="11" t="s">
        <v>20202</v>
      </c>
      <c r="B226" s="11" t="s">
        <v>5418</v>
      </c>
      <c r="C226" s="11" t="s">
        <v>18721</v>
      </c>
      <c r="D226" s="12">
        <v>41275</v>
      </c>
      <c r="E226" s="12">
        <v>41275</v>
      </c>
      <c r="F226" s="11"/>
      <c r="G226" s="11" t="s">
        <v>279</v>
      </c>
      <c r="H226" s="11" t="s">
        <v>30</v>
      </c>
      <c r="I226" s="11" t="s">
        <v>20657</v>
      </c>
    </row>
    <row r="227" spans="1:9" ht="13.15" x14ac:dyDescent="0.4">
      <c r="A227" s="11" t="s">
        <v>19348</v>
      </c>
      <c r="B227" s="11" t="s">
        <v>5418</v>
      </c>
      <c r="C227" s="11" t="s">
        <v>18721</v>
      </c>
      <c r="D227" s="12">
        <v>41275</v>
      </c>
      <c r="E227" s="12">
        <v>41275</v>
      </c>
      <c r="F227" s="11"/>
      <c r="G227" s="11" t="s">
        <v>279</v>
      </c>
      <c r="H227" s="11" t="s">
        <v>30</v>
      </c>
      <c r="I227" s="11" t="s">
        <v>21511</v>
      </c>
    </row>
    <row r="228" spans="1:9" ht="13.15" x14ac:dyDescent="0.4">
      <c r="A228" s="11" t="s">
        <v>19669</v>
      </c>
      <c r="B228" s="11" t="s">
        <v>5418</v>
      </c>
      <c r="C228" s="11" t="s">
        <v>18721</v>
      </c>
      <c r="D228" s="12">
        <v>41275</v>
      </c>
      <c r="E228" s="12">
        <v>41275</v>
      </c>
      <c r="F228" s="11"/>
      <c r="G228" s="11" t="s">
        <v>279</v>
      </c>
      <c r="H228" s="11" t="s">
        <v>30</v>
      </c>
      <c r="I228" s="11" t="s">
        <v>21190</v>
      </c>
    </row>
    <row r="229" spans="1:9" ht="13.15" x14ac:dyDescent="0.4">
      <c r="A229" s="11" t="s">
        <v>20155</v>
      </c>
      <c r="B229" s="11" t="s">
        <v>5418</v>
      </c>
      <c r="C229" s="11" t="s">
        <v>18721</v>
      </c>
      <c r="D229" s="12">
        <v>41275</v>
      </c>
      <c r="E229" s="12">
        <v>41275</v>
      </c>
      <c r="F229" s="11"/>
      <c r="G229" s="11" t="s">
        <v>279</v>
      </c>
      <c r="H229" s="11" t="s">
        <v>30</v>
      </c>
      <c r="I229" s="11" t="s">
        <v>20704</v>
      </c>
    </row>
    <row r="230" spans="1:9" ht="13.15" x14ac:dyDescent="0.4">
      <c r="A230" s="11" t="s">
        <v>18812</v>
      </c>
      <c r="B230" s="11" t="s">
        <v>5418</v>
      </c>
      <c r="C230" s="11" t="s">
        <v>18721</v>
      </c>
      <c r="D230" s="12">
        <v>41275</v>
      </c>
      <c r="E230" s="12">
        <v>41275</v>
      </c>
      <c r="F230" s="11"/>
      <c r="G230" s="11" t="s">
        <v>279</v>
      </c>
      <c r="H230" s="11" t="s">
        <v>30</v>
      </c>
      <c r="I230" s="11" t="s">
        <v>22047</v>
      </c>
    </row>
    <row r="231" spans="1:9" ht="13.15" x14ac:dyDescent="0.4">
      <c r="A231" s="11" t="s">
        <v>19075</v>
      </c>
      <c r="B231" s="11" t="s">
        <v>5418</v>
      </c>
      <c r="C231" s="11" t="s">
        <v>18721</v>
      </c>
      <c r="D231" s="12">
        <v>41275</v>
      </c>
      <c r="E231" s="12">
        <v>41275</v>
      </c>
      <c r="F231" s="11"/>
      <c r="G231" s="11" t="s">
        <v>279</v>
      </c>
      <c r="H231" s="11" t="s">
        <v>30</v>
      </c>
      <c r="I231" s="11" t="s">
        <v>21784</v>
      </c>
    </row>
    <row r="232" spans="1:9" ht="13.15" x14ac:dyDescent="0.4">
      <c r="A232" s="11" t="s">
        <v>20316</v>
      </c>
      <c r="B232" s="11" t="s">
        <v>5418</v>
      </c>
      <c r="C232" s="11" t="s">
        <v>18721</v>
      </c>
      <c r="D232" s="12">
        <v>40909</v>
      </c>
      <c r="E232" s="12">
        <v>40909</v>
      </c>
      <c r="F232" s="11"/>
      <c r="G232" s="11" t="s">
        <v>279</v>
      </c>
      <c r="H232" s="11" t="s">
        <v>30</v>
      </c>
      <c r="I232" s="11" t="s">
        <v>20543</v>
      </c>
    </row>
    <row r="233" spans="1:9" ht="13.15" x14ac:dyDescent="0.4">
      <c r="A233" s="11" t="s">
        <v>19105</v>
      </c>
      <c r="B233" s="11" t="s">
        <v>5418</v>
      </c>
      <c r="C233" s="11" t="s">
        <v>18721</v>
      </c>
      <c r="D233" s="12">
        <v>40909</v>
      </c>
      <c r="E233" s="12">
        <v>40909</v>
      </c>
      <c r="F233" s="11"/>
      <c r="G233" s="11" t="s">
        <v>279</v>
      </c>
      <c r="H233" s="11" t="s">
        <v>30</v>
      </c>
      <c r="I233" s="11" t="s">
        <v>21754</v>
      </c>
    </row>
    <row r="234" spans="1:9" ht="13.15" x14ac:dyDescent="0.4">
      <c r="A234" s="11" t="s">
        <v>18797</v>
      </c>
      <c r="B234" s="11" t="s">
        <v>5418</v>
      </c>
      <c r="C234" s="11" t="s">
        <v>18721</v>
      </c>
      <c r="D234" s="12">
        <v>41275</v>
      </c>
      <c r="E234" s="12">
        <v>41275</v>
      </c>
      <c r="F234" s="11"/>
      <c r="G234" s="11" t="s">
        <v>279</v>
      </c>
      <c r="H234" s="11" t="s">
        <v>30</v>
      </c>
      <c r="I234" s="11" t="s">
        <v>22062</v>
      </c>
    </row>
    <row r="235" spans="1:9" ht="13.15" x14ac:dyDescent="0.4">
      <c r="A235" s="11" t="s">
        <v>19703</v>
      </c>
      <c r="B235" s="11" t="s">
        <v>5418</v>
      </c>
      <c r="C235" s="11" t="s">
        <v>18721</v>
      </c>
      <c r="D235" s="12">
        <v>41275</v>
      </c>
      <c r="E235" s="12">
        <v>41275</v>
      </c>
      <c r="F235" s="11"/>
      <c r="G235" s="11" t="s">
        <v>279</v>
      </c>
      <c r="H235" s="11" t="s">
        <v>30</v>
      </c>
      <c r="I235" s="11" t="s">
        <v>21156</v>
      </c>
    </row>
    <row r="236" spans="1:9" ht="13.15" x14ac:dyDescent="0.4">
      <c r="A236" s="11" t="s">
        <v>19515</v>
      </c>
      <c r="B236" s="11" t="s">
        <v>5418</v>
      </c>
      <c r="C236" s="11" t="s">
        <v>18721</v>
      </c>
      <c r="D236" s="12">
        <v>41275</v>
      </c>
      <c r="E236" s="12">
        <v>41275</v>
      </c>
      <c r="F236" s="11"/>
      <c r="G236" s="11" t="s">
        <v>279</v>
      </c>
      <c r="H236" s="11" t="s">
        <v>30</v>
      </c>
      <c r="I236" s="11" t="s">
        <v>21344</v>
      </c>
    </row>
    <row r="237" spans="1:9" ht="13.15" x14ac:dyDescent="0.4">
      <c r="A237" s="11" t="s">
        <v>19514</v>
      </c>
      <c r="B237" s="11" t="s">
        <v>5418</v>
      </c>
      <c r="C237" s="11" t="s">
        <v>18721</v>
      </c>
      <c r="D237" s="12">
        <v>41275</v>
      </c>
      <c r="E237" s="12">
        <v>41275</v>
      </c>
      <c r="F237" s="11"/>
      <c r="G237" s="11" t="s">
        <v>279</v>
      </c>
      <c r="H237" s="11" t="s">
        <v>30</v>
      </c>
      <c r="I237" s="11" t="s">
        <v>21345</v>
      </c>
    </row>
    <row r="238" spans="1:9" ht="13.15" x14ac:dyDescent="0.4">
      <c r="A238" s="11" t="s">
        <v>20179</v>
      </c>
      <c r="B238" s="11" t="s">
        <v>5418</v>
      </c>
      <c r="C238" s="11" t="s">
        <v>18721</v>
      </c>
      <c r="D238" s="12">
        <v>41275</v>
      </c>
      <c r="E238" s="12">
        <v>41275</v>
      </c>
      <c r="F238" s="11"/>
      <c r="G238" s="11" t="s">
        <v>279</v>
      </c>
      <c r="H238" s="11" t="s">
        <v>30</v>
      </c>
      <c r="I238" s="11" t="s">
        <v>20680</v>
      </c>
    </row>
    <row r="239" spans="1:9" ht="13.15" x14ac:dyDescent="0.4">
      <c r="A239" s="11" t="s">
        <v>19414</v>
      </c>
      <c r="B239" s="11" t="s">
        <v>5418</v>
      </c>
      <c r="C239" s="11" t="s">
        <v>18721</v>
      </c>
      <c r="D239" s="12">
        <v>41275</v>
      </c>
      <c r="E239" s="12">
        <v>41275</v>
      </c>
      <c r="F239" s="11"/>
      <c r="G239" s="11" t="s">
        <v>279</v>
      </c>
      <c r="H239" s="11" t="s">
        <v>30</v>
      </c>
      <c r="I239" s="11" t="s">
        <v>21445</v>
      </c>
    </row>
    <row r="240" spans="1:9" ht="13.15" x14ac:dyDescent="0.4">
      <c r="A240" s="11" t="s">
        <v>18826</v>
      </c>
      <c r="B240" s="11" t="s">
        <v>5418</v>
      </c>
      <c r="C240" s="11" t="s">
        <v>18721</v>
      </c>
      <c r="D240" s="12">
        <v>41275</v>
      </c>
      <c r="E240" s="12">
        <v>41275</v>
      </c>
      <c r="F240" s="11"/>
      <c r="G240" s="11" t="s">
        <v>279</v>
      </c>
      <c r="H240" s="11" t="s">
        <v>30</v>
      </c>
      <c r="I240" s="11" t="s">
        <v>22033</v>
      </c>
    </row>
    <row r="241" spans="1:9" ht="13.15" x14ac:dyDescent="0.4">
      <c r="A241" s="11" t="s">
        <v>19546</v>
      </c>
      <c r="B241" s="11" t="s">
        <v>5418</v>
      </c>
      <c r="C241" s="11" t="s">
        <v>18721</v>
      </c>
      <c r="D241" s="12">
        <v>40909</v>
      </c>
      <c r="E241" s="12">
        <v>40909</v>
      </c>
      <c r="F241" s="11"/>
      <c r="G241" s="11" t="s">
        <v>279</v>
      </c>
      <c r="H241" s="11" t="s">
        <v>30</v>
      </c>
      <c r="I241" s="11" t="s">
        <v>21313</v>
      </c>
    </row>
    <row r="242" spans="1:9" ht="13.15" x14ac:dyDescent="0.4">
      <c r="A242" s="11" t="s">
        <v>19133</v>
      </c>
      <c r="B242" s="11" t="s">
        <v>5418</v>
      </c>
      <c r="C242" s="11" t="s">
        <v>18721</v>
      </c>
      <c r="D242" s="12">
        <v>40909</v>
      </c>
      <c r="E242" s="12">
        <v>40909</v>
      </c>
      <c r="F242" s="11"/>
      <c r="G242" s="11" t="s">
        <v>279</v>
      </c>
      <c r="H242" s="11" t="s">
        <v>30</v>
      </c>
      <c r="I242" s="11" t="s">
        <v>21726</v>
      </c>
    </row>
    <row r="243" spans="1:9" ht="13.15" x14ac:dyDescent="0.4">
      <c r="A243" s="11" t="s">
        <v>20351</v>
      </c>
      <c r="B243" s="11" t="s">
        <v>5418</v>
      </c>
      <c r="C243" s="11" t="s">
        <v>18721</v>
      </c>
      <c r="D243" s="12">
        <v>40909</v>
      </c>
      <c r="E243" s="12">
        <v>40909</v>
      </c>
      <c r="F243" s="11"/>
      <c r="G243" s="11" t="s">
        <v>279</v>
      </c>
      <c r="H243" s="11" t="s">
        <v>30</v>
      </c>
      <c r="I243" s="11" t="s">
        <v>20508</v>
      </c>
    </row>
    <row r="244" spans="1:9" ht="13.15" x14ac:dyDescent="0.4">
      <c r="A244" s="11" t="s">
        <v>20183</v>
      </c>
      <c r="B244" s="11" t="s">
        <v>5418</v>
      </c>
      <c r="C244" s="11" t="s">
        <v>18721</v>
      </c>
      <c r="D244" s="12">
        <v>40909</v>
      </c>
      <c r="E244" s="12">
        <v>40909</v>
      </c>
      <c r="F244" s="11"/>
      <c r="G244" s="11" t="s">
        <v>279</v>
      </c>
      <c r="H244" s="11" t="s">
        <v>30</v>
      </c>
      <c r="I244" s="11" t="s">
        <v>20676</v>
      </c>
    </row>
    <row r="245" spans="1:9" ht="13.15" x14ac:dyDescent="0.4">
      <c r="A245" s="11" t="s">
        <v>20390</v>
      </c>
      <c r="B245" s="11" t="s">
        <v>5418</v>
      </c>
      <c r="C245" s="11" t="s">
        <v>18721</v>
      </c>
      <c r="D245" s="12">
        <v>41640</v>
      </c>
      <c r="E245" s="12">
        <v>41640</v>
      </c>
      <c r="F245" s="11"/>
      <c r="G245" s="11" t="s">
        <v>279</v>
      </c>
      <c r="H245" s="11" t="s">
        <v>30</v>
      </c>
      <c r="I245" s="11" t="s">
        <v>20469</v>
      </c>
    </row>
    <row r="246" spans="1:9" ht="13.15" x14ac:dyDescent="0.4">
      <c r="A246" s="11" t="s">
        <v>20120</v>
      </c>
      <c r="B246" s="11" t="s">
        <v>5418</v>
      </c>
      <c r="C246" s="11" t="s">
        <v>18721</v>
      </c>
      <c r="D246" s="12">
        <v>41275</v>
      </c>
      <c r="E246" s="12">
        <v>41275</v>
      </c>
      <c r="F246" s="11"/>
      <c r="G246" s="11" t="s">
        <v>279</v>
      </c>
      <c r="H246" s="11" t="s">
        <v>30</v>
      </c>
      <c r="I246" s="11" t="s">
        <v>20739</v>
      </c>
    </row>
    <row r="247" spans="1:9" ht="13.15" x14ac:dyDescent="0.4">
      <c r="A247" s="11" t="s">
        <v>19867</v>
      </c>
      <c r="B247" s="11" t="s">
        <v>5418</v>
      </c>
      <c r="C247" s="11" t="s">
        <v>18721</v>
      </c>
      <c r="D247" s="12">
        <v>41640</v>
      </c>
      <c r="E247" s="12">
        <v>41640</v>
      </c>
      <c r="F247" s="11"/>
      <c r="G247" s="11" t="s">
        <v>279</v>
      </c>
      <c r="H247" s="11" t="s">
        <v>30</v>
      </c>
      <c r="I247" s="11" t="s">
        <v>20992</v>
      </c>
    </row>
    <row r="248" spans="1:9" ht="13.15" x14ac:dyDescent="0.4">
      <c r="A248" s="11" t="s">
        <v>18775</v>
      </c>
      <c r="B248" s="11" t="s">
        <v>5418</v>
      </c>
      <c r="C248" s="11" t="s">
        <v>18721</v>
      </c>
      <c r="D248" s="12">
        <v>41275</v>
      </c>
      <c r="E248" s="12">
        <v>41275</v>
      </c>
      <c r="F248" s="11"/>
      <c r="G248" s="11" t="s">
        <v>279</v>
      </c>
      <c r="H248" s="11" t="s">
        <v>30</v>
      </c>
      <c r="I248" s="11" t="s">
        <v>22084</v>
      </c>
    </row>
    <row r="249" spans="1:9" ht="13.15" x14ac:dyDescent="0.4">
      <c r="A249" s="11" t="s">
        <v>20425</v>
      </c>
      <c r="B249" s="11" t="s">
        <v>5418</v>
      </c>
      <c r="C249" s="11" t="s">
        <v>18721</v>
      </c>
      <c r="D249" s="12">
        <v>41275</v>
      </c>
      <c r="E249" s="12">
        <v>41275</v>
      </c>
      <c r="F249" s="11"/>
      <c r="G249" s="11" t="s">
        <v>279</v>
      </c>
      <c r="H249" s="11" t="s">
        <v>30</v>
      </c>
      <c r="I249" s="11" t="s">
        <v>20434</v>
      </c>
    </row>
    <row r="250" spans="1:9" ht="13.15" x14ac:dyDescent="0.4">
      <c r="A250" s="11" t="s">
        <v>19785</v>
      </c>
      <c r="B250" s="11" t="s">
        <v>5418</v>
      </c>
      <c r="C250" s="11" t="s">
        <v>18721</v>
      </c>
      <c r="D250" s="12">
        <v>41275</v>
      </c>
      <c r="E250" s="12">
        <v>41275</v>
      </c>
      <c r="F250" s="11"/>
      <c r="G250" s="11" t="s">
        <v>279</v>
      </c>
      <c r="H250" s="11" t="s">
        <v>30</v>
      </c>
      <c r="I250" s="11" t="s">
        <v>21074</v>
      </c>
    </row>
    <row r="251" spans="1:9" ht="13.15" x14ac:dyDescent="0.4">
      <c r="A251" s="11" t="s">
        <v>19973</v>
      </c>
      <c r="B251" s="11" t="s">
        <v>5418</v>
      </c>
      <c r="C251" s="11" t="s">
        <v>18721</v>
      </c>
      <c r="D251" s="12">
        <v>41275</v>
      </c>
      <c r="E251" s="12">
        <v>41275</v>
      </c>
      <c r="F251" s="11"/>
      <c r="G251" s="11" t="s">
        <v>279</v>
      </c>
      <c r="H251" s="11" t="s">
        <v>30</v>
      </c>
      <c r="I251" s="11" t="s">
        <v>20886</v>
      </c>
    </row>
    <row r="252" spans="1:9" ht="13.15" x14ac:dyDescent="0.4">
      <c r="A252" s="11" t="s">
        <v>19455</v>
      </c>
      <c r="B252" s="11" t="s">
        <v>5418</v>
      </c>
      <c r="C252" s="11" t="s">
        <v>18721</v>
      </c>
      <c r="D252" s="12">
        <v>41275</v>
      </c>
      <c r="E252" s="12">
        <v>41275</v>
      </c>
      <c r="F252" s="11"/>
      <c r="G252" s="11" t="s">
        <v>279</v>
      </c>
      <c r="H252" s="11" t="s">
        <v>30</v>
      </c>
      <c r="I252" s="11" t="s">
        <v>21404</v>
      </c>
    </row>
    <row r="253" spans="1:9" ht="13.15" x14ac:dyDescent="0.4">
      <c r="A253" s="11" t="s">
        <v>19291</v>
      </c>
      <c r="B253" s="11" t="s">
        <v>5418</v>
      </c>
      <c r="C253" s="11" t="s">
        <v>18721</v>
      </c>
      <c r="D253" s="12">
        <v>41275</v>
      </c>
      <c r="E253" s="12">
        <v>41275</v>
      </c>
      <c r="F253" s="11"/>
      <c r="G253" s="11" t="s">
        <v>279</v>
      </c>
      <c r="H253" s="11" t="s">
        <v>30</v>
      </c>
      <c r="I253" s="11" t="s">
        <v>21568</v>
      </c>
    </row>
    <row r="254" spans="1:9" ht="13.15" x14ac:dyDescent="0.4">
      <c r="A254" s="11" t="s">
        <v>18765</v>
      </c>
      <c r="B254" s="11" t="s">
        <v>5418</v>
      </c>
      <c r="C254" s="11" t="s">
        <v>18721</v>
      </c>
      <c r="D254" s="12">
        <v>41275</v>
      </c>
      <c r="E254" s="12">
        <v>41275</v>
      </c>
      <c r="F254" s="11"/>
      <c r="G254" s="11" t="s">
        <v>279</v>
      </c>
      <c r="H254" s="11" t="s">
        <v>30</v>
      </c>
      <c r="I254" s="11" t="s">
        <v>22094</v>
      </c>
    </row>
    <row r="255" spans="1:9" ht="13.15" x14ac:dyDescent="0.4">
      <c r="A255" s="11" t="s">
        <v>18892</v>
      </c>
      <c r="B255" s="11" t="s">
        <v>5418</v>
      </c>
      <c r="C255" s="11" t="s">
        <v>18721</v>
      </c>
      <c r="D255" s="12">
        <v>41275</v>
      </c>
      <c r="E255" s="12">
        <v>41275</v>
      </c>
      <c r="F255" s="11"/>
      <c r="G255" s="11" t="s">
        <v>279</v>
      </c>
      <c r="H255" s="11" t="s">
        <v>30</v>
      </c>
      <c r="I255" s="11" t="s">
        <v>21967</v>
      </c>
    </row>
    <row r="256" spans="1:9" ht="13.15" x14ac:dyDescent="0.4">
      <c r="A256" s="11" t="s">
        <v>19711</v>
      </c>
      <c r="B256" s="11" t="s">
        <v>5418</v>
      </c>
      <c r="C256" s="11" t="s">
        <v>18721</v>
      </c>
      <c r="D256" s="12">
        <v>41640</v>
      </c>
      <c r="E256" s="12">
        <v>41640</v>
      </c>
      <c r="F256" s="11"/>
      <c r="G256" s="11" t="s">
        <v>279</v>
      </c>
      <c r="H256" s="11" t="s">
        <v>30</v>
      </c>
      <c r="I256" s="11" t="s">
        <v>21148</v>
      </c>
    </row>
    <row r="257" spans="1:9" ht="13.15" x14ac:dyDescent="0.4">
      <c r="A257" s="11" t="s">
        <v>19510</v>
      </c>
      <c r="B257" s="11" t="s">
        <v>5418</v>
      </c>
      <c r="C257" s="11" t="s">
        <v>18721</v>
      </c>
      <c r="D257" s="12">
        <v>41640</v>
      </c>
      <c r="E257" s="12">
        <v>41640</v>
      </c>
      <c r="F257" s="11"/>
      <c r="G257" s="11" t="s">
        <v>279</v>
      </c>
      <c r="H257" s="11" t="s">
        <v>30</v>
      </c>
      <c r="I257" s="11" t="s">
        <v>21349</v>
      </c>
    </row>
    <row r="258" spans="1:9" ht="13.15" x14ac:dyDescent="0.4">
      <c r="A258" s="11" t="s">
        <v>19140</v>
      </c>
      <c r="B258" s="11" t="s">
        <v>5418</v>
      </c>
      <c r="C258" s="11" t="s">
        <v>18721</v>
      </c>
      <c r="D258" s="12">
        <v>41275</v>
      </c>
      <c r="E258" s="12">
        <v>41275</v>
      </c>
      <c r="F258" s="11"/>
      <c r="G258" s="11" t="s">
        <v>279</v>
      </c>
      <c r="H258" s="11" t="s">
        <v>30</v>
      </c>
      <c r="I258" s="11" t="s">
        <v>21719</v>
      </c>
    </row>
    <row r="259" spans="1:9" ht="13.15" x14ac:dyDescent="0.4">
      <c r="A259" s="11" t="s">
        <v>19586</v>
      </c>
      <c r="B259" s="11" t="s">
        <v>5418</v>
      </c>
      <c r="C259" s="11" t="s">
        <v>18721</v>
      </c>
      <c r="D259" s="12">
        <v>41275</v>
      </c>
      <c r="E259" s="12">
        <v>41275</v>
      </c>
      <c r="F259" s="11"/>
      <c r="G259" s="11" t="s">
        <v>279</v>
      </c>
      <c r="H259" s="11" t="s">
        <v>30</v>
      </c>
      <c r="I259" s="11" t="s">
        <v>21273</v>
      </c>
    </row>
    <row r="260" spans="1:9" ht="13.15" x14ac:dyDescent="0.4">
      <c r="A260" s="11" t="s">
        <v>18817</v>
      </c>
      <c r="B260" s="11" t="s">
        <v>5418</v>
      </c>
      <c r="C260" s="11" t="s">
        <v>18721</v>
      </c>
      <c r="D260" s="12">
        <v>41275</v>
      </c>
      <c r="E260" s="12">
        <v>41275</v>
      </c>
      <c r="F260" s="11"/>
      <c r="G260" s="11" t="s">
        <v>279</v>
      </c>
      <c r="H260" s="11" t="s">
        <v>30</v>
      </c>
      <c r="I260" s="11" t="s">
        <v>22042</v>
      </c>
    </row>
    <row r="261" spans="1:9" ht="13.15" x14ac:dyDescent="0.4">
      <c r="A261" s="11" t="s">
        <v>19570</v>
      </c>
      <c r="B261" s="11" t="s">
        <v>5418</v>
      </c>
      <c r="C261" s="11" t="s">
        <v>18721</v>
      </c>
      <c r="D261" s="12">
        <v>41275</v>
      </c>
      <c r="E261" s="12">
        <v>41275</v>
      </c>
      <c r="F261" s="11"/>
      <c r="G261" s="11" t="s">
        <v>279</v>
      </c>
      <c r="H261" s="11" t="s">
        <v>30</v>
      </c>
      <c r="I261" s="11" t="s">
        <v>21289</v>
      </c>
    </row>
    <row r="262" spans="1:9" ht="13.15" x14ac:dyDescent="0.4">
      <c r="A262" s="11" t="s">
        <v>20201</v>
      </c>
      <c r="B262" s="11" t="s">
        <v>5418</v>
      </c>
      <c r="C262" s="11" t="s">
        <v>18721</v>
      </c>
      <c r="D262" s="12">
        <v>41275</v>
      </c>
      <c r="E262" s="12">
        <v>41275</v>
      </c>
      <c r="F262" s="11"/>
      <c r="G262" s="11" t="s">
        <v>279</v>
      </c>
      <c r="H262" s="11" t="s">
        <v>30</v>
      </c>
      <c r="I262" s="11" t="s">
        <v>20658</v>
      </c>
    </row>
    <row r="263" spans="1:9" ht="13.15" x14ac:dyDescent="0.4">
      <c r="A263" s="11" t="s">
        <v>20401</v>
      </c>
      <c r="B263" s="11" t="s">
        <v>5418</v>
      </c>
      <c r="C263" s="11" t="s">
        <v>18721</v>
      </c>
      <c r="D263" s="12">
        <v>41275</v>
      </c>
      <c r="E263" s="12">
        <v>41275</v>
      </c>
      <c r="F263" s="11"/>
      <c r="G263" s="11" t="s">
        <v>279</v>
      </c>
      <c r="H263" s="11" t="s">
        <v>30</v>
      </c>
      <c r="I263" s="11" t="s">
        <v>20458</v>
      </c>
    </row>
    <row r="264" spans="1:9" ht="13.15" x14ac:dyDescent="0.4">
      <c r="A264" s="11" t="s">
        <v>20117</v>
      </c>
      <c r="B264" s="11" t="s">
        <v>5418</v>
      </c>
      <c r="C264" s="11" t="s">
        <v>18721</v>
      </c>
      <c r="D264" s="12">
        <v>41275</v>
      </c>
      <c r="E264" s="12">
        <v>41275</v>
      </c>
      <c r="F264" s="11"/>
      <c r="G264" s="11" t="s">
        <v>279</v>
      </c>
      <c r="H264" s="11" t="s">
        <v>30</v>
      </c>
      <c r="I264" s="11" t="s">
        <v>20742</v>
      </c>
    </row>
    <row r="265" spans="1:9" ht="13.15" x14ac:dyDescent="0.4">
      <c r="A265" s="11" t="s">
        <v>19783</v>
      </c>
      <c r="B265" s="11" t="s">
        <v>5418</v>
      </c>
      <c r="C265" s="11" t="s">
        <v>18721</v>
      </c>
      <c r="D265" s="12">
        <v>41275</v>
      </c>
      <c r="E265" s="12">
        <v>41275</v>
      </c>
      <c r="F265" s="11"/>
      <c r="G265" s="11" t="s">
        <v>279</v>
      </c>
      <c r="H265" s="11" t="s">
        <v>30</v>
      </c>
      <c r="I265" s="11" t="s">
        <v>21076</v>
      </c>
    </row>
    <row r="266" spans="1:9" ht="13.15" x14ac:dyDescent="0.4">
      <c r="A266" s="11" t="s">
        <v>19640</v>
      </c>
      <c r="B266" s="11" t="s">
        <v>5418</v>
      </c>
      <c r="C266" s="11" t="s">
        <v>18721</v>
      </c>
      <c r="D266" s="12">
        <v>41275</v>
      </c>
      <c r="E266" s="12">
        <v>41275</v>
      </c>
      <c r="F266" s="11"/>
      <c r="G266" s="11" t="s">
        <v>279</v>
      </c>
      <c r="H266" s="11" t="s">
        <v>30</v>
      </c>
      <c r="I266" s="11" t="s">
        <v>21219</v>
      </c>
    </row>
    <row r="267" spans="1:9" ht="13.15" x14ac:dyDescent="0.4">
      <c r="A267" s="11" t="s">
        <v>19014</v>
      </c>
      <c r="B267" s="11" t="s">
        <v>5418</v>
      </c>
      <c r="C267" s="11" t="s">
        <v>18721</v>
      </c>
      <c r="D267" s="12">
        <v>41275</v>
      </c>
      <c r="E267" s="12">
        <v>41275</v>
      </c>
      <c r="F267" s="11"/>
      <c r="G267" s="11" t="s">
        <v>279</v>
      </c>
      <c r="H267" s="11" t="s">
        <v>30</v>
      </c>
      <c r="I267" s="11" t="s">
        <v>21845</v>
      </c>
    </row>
    <row r="268" spans="1:9" ht="13.15" x14ac:dyDescent="0.4">
      <c r="A268" s="11" t="s">
        <v>19996</v>
      </c>
      <c r="B268" s="11" t="s">
        <v>5418</v>
      </c>
      <c r="C268" s="11" t="s">
        <v>18721</v>
      </c>
      <c r="D268" s="12">
        <v>41640</v>
      </c>
      <c r="E268" s="12">
        <v>41640</v>
      </c>
      <c r="F268" s="11"/>
      <c r="G268" s="11" t="s">
        <v>279</v>
      </c>
      <c r="H268" s="11" t="s">
        <v>30</v>
      </c>
      <c r="I268" s="11" t="s">
        <v>20863</v>
      </c>
    </row>
    <row r="269" spans="1:9" ht="13.15" x14ac:dyDescent="0.4">
      <c r="A269" s="11" t="s">
        <v>19876</v>
      </c>
      <c r="B269" s="11" t="s">
        <v>5418</v>
      </c>
      <c r="C269" s="11" t="s">
        <v>18721</v>
      </c>
      <c r="D269" s="12">
        <v>41275</v>
      </c>
      <c r="E269" s="12">
        <v>41275</v>
      </c>
      <c r="F269" s="11"/>
      <c r="G269" s="11" t="s">
        <v>279</v>
      </c>
      <c r="H269" s="11" t="s">
        <v>30</v>
      </c>
      <c r="I269" s="11" t="s">
        <v>20983</v>
      </c>
    </row>
    <row r="270" spans="1:9" ht="13.15" x14ac:dyDescent="0.4">
      <c r="A270" s="11" t="s">
        <v>19317</v>
      </c>
      <c r="B270" s="11" t="s">
        <v>5418</v>
      </c>
      <c r="C270" s="11" t="s">
        <v>18721</v>
      </c>
      <c r="D270" s="12">
        <v>41275</v>
      </c>
      <c r="E270" s="12">
        <v>41275</v>
      </c>
      <c r="F270" s="11"/>
      <c r="G270" s="11" t="s">
        <v>279</v>
      </c>
      <c r="H270" s="11" t="s">
        <v>30</v>
      </c>
      <c r="I270" s="11" t="s">
        <v>21542</v>
      </c>
    </row>
    <row r="271" spans="1:9" ht="13.15" x14ac:dyDescent="0.4">
      <c r="A271" s="11" t="s">
        <v>20300</v>
      </c>
      <c r="B271" s="11" t="s">
        <v>5418</v>
      </c>
      <c r="C271" s="11" t="s">
        <v>18721</v>
      </c>
      <c r="D271" s="12">
        <v>41640</v>
      </c>
      <c r="E271" s="12">
        <v>41640</v>
      </c>
      <c r="F271" s="11"/>
      <c r="G271" s="11" t="s">
        <v>279</v>
      </c>
      <c r="H271" s="11" t="s">
        <v>30</v>
      </c>
      <c r="I271" s="11" t="s">
        <v>20559</v>
      </c>
    </row>
    <row r="272" spans="1:9" ht="13.15" x14ac:dyDescent="0.4">
      <c r="A272" s="11" t="s">
        <v>19520</v>
      </c>
      <c r="B272" s="11" t="s">
        <v>5418</v>
      </c>
      <c r="C272" s="11" t="s">
        <v>18721</v>
      </c>
      <c r="D272" s="12">
        <v>41275</v>
      </c>
      <c r="E272" s="12">
        <v>41275</v>
      </c>
      <c r="F272" s="11"/>
      <c r="G272" s="11" t="s">
        <v>279</v>
      </c>
      <c r="H272" s="11" t="s">
        <v>30</v>
      </c>
      <c r="I272" s="11" t="s">
        <v>21339</v>
      </c>
    </row>
    <row r="273" spans="1:9" ht="13.15" x14ac:dyDescent="0.4">
      <c r="A273" s="11" t="s">
        <v>19959</v>
      </c>
      <c r="B273" s="11" t="s">
        <v>5418</v>
      </c>
      <c r="C273" s="11" t="s">
        <v>18721</v>
      </c>
      <c r="D273" s="12">
        <v>41275</v>
      </c>
      <c r="E273" s="12">
        <v>41275</v>
      </c>
      <c r="F273" s="11"/>
      <c r="G273" s="11" t="s">
        <v>279</v>
      </c>
      <c r="H273" s="11" t="s">
        <v>30</v>
      </c>
      <c r="I273" s="11" t="s">
        <v>20900</v>
      </c>
    </row>
    <row r="274" spans="1:9" ht="13.15" x14ac:dyDescent="0.4">
      <c r="A274" s="11" t="s">
        <v>19611</v>
      </c>
      <c r="B274" s="11" t="s">
        <v>5418</v>
      </c>
      <c r="C274" s="11" t="s">
        <v>18721</v>
      </c>
      <c r="D274" s="12">
        <v>41275</v>
      </c>
      <c r="E274" s="12">
        <v>41275</v>
      </c>
      <c r="F274" s="11"/>
      <c r="G274" s="11" t="s">
        <v>279</v>
      </c>
      <c r="H274" s="11" t="s">
        <v>30</v>
      </c>
      <c r="I274" s="11" t="s">
        <v>21248</v>
      </c>
    </row>
    <row r="275" spans="1:9" ht="13.15" x14ac:dyDescent="0.4">
      <c r="A275" s="11" t="s">
        <v>19006</v>
      </c>
      <c r="B275" s="11" t="s">
        <v>5418</v>
      </c>
      <c r="C275" s="11" t="s">
        <v>18721</v>
      </c>
      <c r="D275" s="12">
        <v>41275</v>
      </c>
      <c r="E275" s="12">
        <v>41275</v>
      </c>
      <c r="F275" s="11"/>
      <c r="G275" s="11" t="s">
        <v>279</v>
      </c>
      <c r="H275" s="11" t="s">
        <v>30</v>
      </c>
      <c r="I275" s="11" t="s">
        <v>21853</v>
      </c>
    </row>
    <row r="276" spans="1:9" ht="13.15" x14ac:dyDescent="0.4">
      <c r="A276" s="11" t="s">
        <v>20395</v>
      </c>
      <c r="B276" s="11" t="s">
        <v>5418</v>
      </c>
      <c r="C276" s="11" t="s">
        <v>18721</v>
      </c>
      <c r="D276" s="12">
        <v>41275</v>
      </c>
      <c r="E276" s="12">
        <v>41275</v>
      </c>
      <c r="F276" s="11"/>
      <c r="G276" s="11" t="s">
        <v>279</v>
      </c>
      <c r="H276" s="11" t="s">
        <v>30</v>
      </c>
      <c r="I276" s="11" t="s">
        <v>20464</v>
      </c>
    </row>
    <row r="277" spans="1:9" ht="13.15" x14ac:dyDescent="0.4">
      <c r="A277" s="11" t="s">
        <v>19354</v>
      </c>
      <c r="B277" s="11" t="s">
        <v>5418</v>
      </c>
      <c r="C277" s="11" t="s">
        <v>18721</v>
      </c>
      <c r="D277" s="12">
        <v>41275</v>
      </c>
      <c r="E277" s="12">
        <v>41275</v>
      </c>
      <c r="F277" s="11"/>
      <c r="G277" s="11" t="s">
        <v>279</v>
      </c>
      <c r="H277" s="11" t="s">
        <v>30</v>
      </c>
      <c r="I277" s="11" t="s">
        <v>21505</v>
      </c>
    </row>
    <row r="278" spans="1:9" ht="13.15" x14ac:dyDescent="0.4">
      <c r="A278" s="11" t="s">
        <v>18827</v>
      </c>
      <c r="B278" s="11" t="s">
        <v>5418</v>
      </c>
      <c r="C278" s="11" t="s">
        <v>18721</v>
      </c>
      <c r="D278" s="12">
        <v>41275</v>
      </c>
      <c r="E278" s="12">
        <v>41275</v>
      </c>
      <c r="F278" s="11"/>
      <c r="G278" s="11" t="s">
        <v>279</v>
      </c>
      <c r="H278" s="11" t="s">
        <v>30</v>
      </c>
      <c r="I278" s="11" t="s">
        <v>22032</v>
      </c>
    </row>
    <row r="279" spans="1:9" ht="13.15" x14ac:dyDescent="0.4">
      <c r="A279" s="11" t="s">
        <v>19064</v>
      </c>
      <c r="B279" s="11" t="s">
        <v>5418</v>
      </c>
      <c r="C279" s="11" t="s">
        <v>18721</v>
      </c>
      <c r="D279" s="12">
        <v>41275</v>
      </c>
      <c r="E279" s="12">
        <v>41275</v>
      </c>
      <c r="F279" s="11"/>
      <c r="G279" s="11" t="s">
        <v>279</v>
      </c>
      <c r="H279" s="11" t="s">
        <v>30</v>
      </c>
      <c r="I279" s="11" t="s">
        <v>21795</v>
      </c>
    </row>
    <row r="280" spans="1:9" ht="13.15" x14ac:dyDescent="0.4">
      <c r="A280" s="11" t="s">
        <v>19850</v>
      </c>
      <c r="B280" s="11" t="s">
        <v>5418</v>
      </c>
      <c r="C280" s="11" t="s">
        <v>18721</v>
      </c>
      <c r="D280" s="12">
        <v>41275</v>
      </c>
      <c r="E280" s="12">
        <v>41275</v>
      </c>
      <c r="F280" s="11"/>
      <c r="G280" s="11" t="s">
        <v>279</v>
      </c>
      <c r="H280" s="11" t="s">
        <v>30</v>
      </c>
      <c r="I280" s="11" t="s">
        <v>21009</v>
      </c>
    </row>
    <row r="281" spans="1:9" ht="13.15" x14ac:dyDescent="0.4">
      <c r="A281" s="11" t="s">
        <v>20349</v>
      </c>
      <c r="B281" s="11" t="s">
        <v>5418</v>
      </c>
      <c r="C281" s="11" t="s">
        <v>18721</v>
      </c>
      <c r="D281" s="12">
        <v>41275</v>
      </c>
      <c r="E281" s="12">
        <v>41275</v>
      </c>
      <c r="F281" s="11"/>
      <c r="G281" s="11" t="s">
        <v>279</v>
      </c>
      <c r="H281" s="11" t="s">
        <v>30</v>
      </c>
      <c r="I281" s="11" t="s">
        <v>20510</v>
      </c>
    </row>
    <row r="282" spans="1:9" ht="13.15" x14ac:dyDescent="0.4">
      <c r="A282" s="11" t="s">
        <v>20104</v>
      </c>
      <c r="B282" s="11" t="s">
        <v>5418</v>
      </c>
      <c r="C282" s="11" t="s">
        <v>18721</v>
      </c>
      <c r="D282" s="12">
        <v>41275</v>
      </c>
      <c r="E282" s="12">
        <v>41275</v>
      </c>
      <c r="F282" s="11"/>
      <c r="G282" s="11" t="s">
        <v>279</v>
      </c>
      <c r="H282" s="11" t="s">
        <v>30</v>
      </c>
      <c r="I282" s="11" t="s">
        <v>20755</v>
      </c>
    </row>
    <row r="283" spans="1:9" ht="13.15" x14ac:dyDescent="0.4">
      <c r="A283" s="11" t="s">
        <v>19082</v>
      </c>
      <c r="B283" s="11" t="s">
        <v>5418</v>
      </c>
      <c r="C283" s="11" t="s">
        <v>18721</v>
      </c>
      <c r="D283" s="12">
        <v>41640</v>
      </c>
      <c r="E283" s="12">
        <v>41640</v>
      </c>
      <c r="F283" s="11"/>
      <c r="G283" s="11" t="s">
        <v>279</v>
      </c>
      <c r="H283" s="11" t="s">
        <v>30</v>
      </c>
      <c r="I283" s="11" t="s">
        <v>21777</v>
      </c>
    </row>
    <row r="284" spans="1:9" ht="13.15" x14ac:dyDescent="0.4">
      <c r="A284" s="11" t="s">
        <v>19084</v>
      </c>
      <c r="B284" s="11" t="s">
        <v>5418</v>
      </c>
      <c r="C284" s="11" t="s">
        <v>18721</v>
      </c>
      <c r="D284" s="12">
        <v>41640</v>
      </c>
      <c r="E284" s="12">
        <v>41640</v>
      </c>
      <c r="F284" s="11"/>
      <c r="G284" s="11" t="s">
        <v>279</v>
      </c>
      <c r="H284" s="11" t="s">
        <v>30</v>
      </c>
      <c r="I284" s="11" t="s">
        <v>21775</v>
      </c>
    </row>
    <row r="285" spans="1:9" ht="13.15" x14ac:dyDescent="0.4">
      <c r="A285" s="11" t="s">
        <v>20113</v>
      </c>
      <c r="B285" s="11" t="s">
        <v>5418</v>
      </c>
      <c r="C285" s="11" t="s">
        <v>18721</v>
      </c>
      <c r="D285" s="12">
        <v>41640</v>
      </c>
      <c r="E285" s="12">
        <v>41640</v>
      </c>
      <c r="F285" s="11"/>
      <c r="G285" s="11" t="s">
        <v>279</v>
      </c>
      <c r="H285" s="11" t="s">
        <v>30</v>
      </c>
      <c r="I285" s="11" t="s">
        <v>20746</v>
      </c>
    </row>
    <row r="286" spans="1:9" ht="13.15" x14ac:dyDescent="0.4">
      <c r="A286" s="11" t="s">
        <v>19076</v>
      </c>
      <c r="B286" s="11" t="s">
        <v>5418</v>
      </c>
      <c r="C286" s="11" t="s">
        <v>18721</v>
      </c>
      <c r="D286" s="12">
        <v>41640</v>
      </c>
      <c r="E286" s="12">
        <v>41640</v>
      </c>
      <c r="F286" s="11"/>
      <c r="G286" s="11" t="s">
        <v>279</v>
      </c>
      <c r="H286" s="11" t="s">
        <v>30</v>
      </c>
      <c r="I286" s="11" t="s">
        <v>21783</v>
      </c>
    </row>
    <row r="287" spans="1:9" ht="13.15" x14ac:dyDescent="0.4">
      <c r="A287" s="11" t="s">
        <v>19482</v>
      </c>
      <c r="B287" s="11" t="s">
        <v>5418</v>
      </c>
      <c r="C287" s="11" t="s">
        <v>18721</v>
      </c>
      <c r="D287" s="12">
        <v>41640</v>
      </c>
      <c r="E287" s="12">
        <v>41640</v>
      </c>
      <c r="F287" s="11"/>
      <c r="G287" s="11" t="s">
        <v>279</v>
      </c>
      <c r="H287" s="11" t="s">
        <v>30</v>
      </c>
      <c r="I287" s="11" t="s">
        <v>21377</v>
      </c>
    </row>
    <row r="288" spans="1:9" ht="13.15" x14ac:dyDescent="0.4">
      <c r="A288" s="11" t="s">
        <v>20261</v>
      </c>
      <c r="B288" s="11" t="s">
        <v>5418</v>
      </c>
      <c r="C288" s="11" t="s">
        <v>18721</v>
      </c>
      <c r="D288" s="12">
        <v>41640</v>
      </c>
      <c r="E288" s="12">
        <v>41640</v>
      </c>
      <c r="F288" s="11"/>
      <c r="G288" s="11" t="s">
        <v>279</v>
      </c>
      <c r="H288" s="11" t="s">
        <v>30</v>
      </c>
      <c r="I288" s="11" t="s">
        <v>20598</v>
      </c>
    </row>
    <row r="289" spans="1:9" ht="13.15" x14ac:dyDescent="0.4">
      <c r="A289" s="11" t="s">
        <v>18947</v>
      </c>
      <c r="B289" s="11" t="s">
        <v>5418</v>
      </c>
      <c r="C289" s="11" t="s">
        <v>18721</v>
      </c>
      <c r="D289" s="12">
        <v>41640</v>
      </c>
      <c r="E289" s="12">
        <v>41640</v>
      </c>
      <c r="F289" s="11"/>
      <c r="G289" s="11" t="s">
        <v>279</v>
      </c>
      <c r="H289" s="11" t="s">
        <v>30</v>
      </c>
      <c r="I289" s="11" t="s">
        <v>21912</v>
      </c>
    </row>
    <row r="290" spans="1:9" ht="13.15" x14ac:dyDescent="0.4">
      <c r="A290" s="11" t="s">
        <v>20231</v>
      </c>
      <c r="B290" s="11" t="s">
        <v>5418</v>
      </c>
      <c r="C290" s="11" t="s">
        <v>18721</v>
      </c>
      <c r="D290" s="12">
        <v>41640</v>
      </c>
      <c r="E290" s="12">
        <v>41640</v>
      </c>
      <c r="F290" s="11"/>
      <c r="G290" s="11" t="s">
        <v>279</v>
      </c>
      <c r="H290" s="11" t="s">
        <v>30</v>
      </c>
      <c r="I290" s="11" t="s">
        <v>20628</v>
      </c>
    </row>
    <row r="291" spans="1:9" ht="13.15" x14ac:dyDescent="0.4">
      <c r="A291" s="11" t="s">
        <v>19029</v>
      </c>
      <c r="B291" s="11" t="s">
        <v>5418</v>
      </c>
      <c r="C291" s="11" t="s">
        <v>18721</v>
      </c>
      <c r="D291" s="12">
        <v>41640</v>
      </c>
      <c r="E291" s="12">
        <v>41640</v>
      </c>
      <c r="F291" s="11"/>
      <c r="G291" s="11" t="s">
        <v>279</v>
      </c>
      <c r="H291" s="11" t="s">
        <v>30</v>
      </c>
      <c r="I291" s="11" t="s">
        <v>21830</v>
      </c>
    </row>
    <row r="292" spans="1:9" ht="13.15" x14ac:dyDescent="0.4">
      <c r="A292" s="11" t="s">
        <v>20254</v>
      </c>
      <c r="B292" s="11" t="s">
        <v>5418</v>
      </c>
      <c r="C292" s="11" t="s">
        <v>18721</v>
      </c>
      <c r="D292" s="12">
        <v>41275</v>
      </c>
      <c r="E292" s="12">
        <v>41275</v>
      </c>
      <c r="F292" s="11"/>
      <c r="G292" s="11" t="s">
        <v>279</v>
      </c>
      <c r="H292" s="11" t="s">
        <v>30</v>
      </c>
      <c r="I292" s="11" t="s">
        <v>20605</v>
      </c>
    </row>
    <row r="293" spans="1:9" ht="13.15" x14ac:dyDescent="0.4">
      <c r="A293" s="11" t="s">
        <v>18904</v>
      </c>
      <c r="B293" s="11" t="s">
        <v>5418</v>
      </c>
      <c r="C293" s="11" t="s">
        <v>18721</v>
      </c>
      <c r="D293" s="12">
        <v>41640</v>
      </c>
      <c r="E293" s="12">
        <v>41640</v>
      </c>
      <c r="F293" s="11"/>
      <c r="G293" s="11" t="s">
        <v>279</v>
      </c>
      <c r="H293" s="11" t="s">
        <v>30</v>
      </c>
      <c r="I293" s="11" t="s">
        <v>21955</v>
      </c>
    </row>
    <row r="294" spans="1:9" ht="13.15" x14ac:dyDescent="0.4">
      <c r="A294" s="11" t="s">
        <v>20126</v>
      </c>
      <c r="B294" s="11" t="s">
        <v>5418</v>
      </c>
      <c r="C294" s="11" t="s">
        <v>18721</v>
      </c>
      <c r="D294" s="12">
        <v>41640</v>
      </c>
      <c r="E294" s="12">
        <v>41640</v>
      </c>
      <c r="F294" s="11"/>
      <c r="G294" s="11" t="s">
        <v>279</v>
      </c>
      <c r="H294" s="11" t="s">
        <v>30</v>
      </c>
      <c r="I294" s="11" t="s">
        <v>20733</v>
      </c>
    </row>
    <row r="295" spans="1:9" ht="13.15" x14ac:dyDescent="0.4">
      <c r="A295" s="11" t="s">
        <v>20154</v>
      </c>
      <c r="B295" s="11" t="s">
        <v>5418</v>
      </c>
      <c r="C295" s="11" t="s">
        <v>18721</v>
      </c>
      <c r="D295" s="12">
        <v>41640</v>
      </c>
      <c r="E295" s="12">
        <v>41640</v>
      </c>
      <c r="F295" s="11"/>
      <c r="G295" s="11" t="s">
        <v>279</v>
      </c>
      <c r="H295" s="11" t="s">
        <v>30</v>
      </c>
      <c r="I295" s="11" t="s">
        <v>20705</v>
      </c>
    </row>
    <row r="296" spans="1:9" ht="13.15" x14ac:dyDescent="0.4">
      <c r="A296" s="11" t="s">
        <v>19630</v>
      </c>
      <c r="B296" s="11" t="s">
        <v>5418</v>
      </c>
      <c r="C296" s="11" t="s">
        <v>18721</v>
      </c>
      <c r="D296" s="12">
        <v>40909</v>
      </c>
      <c r="E296" s="12">
        <v>40909</v>
      </c>
      <c r="F296" s="11"/>
      <c r="G296" s="11" t="s">
        <v>279</v>
      </c>
      <c r="H296" s="11" t="s">
        <v>30</v>
      </c>
      <c r="I296" s="11" t="s">
        <v>21229</v>
      </c>
    </row>
    <row r="297" spans="1:9" ht="13.15" x14ac:dyDescent="0.4">
      <c r="A297" s="11" t="s">
        <v>18836</v>
      </c>
      <c r="B297" s="11" t="s">
        <v>5418</v>
      </c>
      <c r="C297" s="11" t="s">
        <v>18721</v>
      </c>
      <c r="D297" s="12">
        <v>40909</v>
      </c>
      <c r="E297" s="12">
        <v>40909</v>
      </c>
      <c r="F297" s="11"/>
      <c r="G297" s="11" t="s">
        <v>279</v>
      </c>
      <c r="H297" s="11" t="s">
        <v>30</v>
      </c>
      <c r="I297" s="11" t="s">
        <v>22023</v>
      </c>
    </row>
    <row r="298" spans="1:9" ht="13.15" x14ac:dyDescent="0.4">
      <c r="A298" s="11" t="s">
        <v>19062</v>
      </c>
      <c r="B298" s="11" t="s">
        <v>5418</v>
      </c>
      <c r="C298" s="11" t="s">
        <v>18721</v>
      </c>
      <c r="D298" s="12">
        <v>40909</v>
      </c>
      <c r="E298" s="12">
        <v>40909</v>
      </c>
      <c r="F298" s="11"/>
      <c r="G298" s="11" t="s">
        <v>279</v>
      </c>
      <c r="H298" s="11" t="s">
        <v>30</v>
      </c>
      <c r="I298" s="11" t="s">
        <v>21797</v>
      </c>
    </row>
    <row r="299" spans="1:9" ht="13.15" x14ac:dyDescent="0.4">
      <c r="A299" s="11" t="s">
        <v>19089</v>
      </c>
      <c r="B299" s="11" t="s">
        <v>5418</v>
      </c>
      <c r="C299" s="11" t="s">
        <v>18721</v>
      </c>
      <c r="D299" s="12">
        <v>41640</v>
      </c>
      <c r="E299" s="12">
        <v>41640</v>
      </c>
      <c r="F299" s="11"/>
      <c r="G299" s="11" t="s">
        <v>279</v>
      </c>
      <c r="H299" s="11" t="s">
        <v>30</v>
      </c>
      <c r="I299" s="11" t="s">
        <v>21770</v>
      </c>
    </row>
    <row r="300" spans="1:9" ht="13.15" x14ac:dyDescent="0.4">
      <c r="A300" s="11" t="s">
        <v>19090</v>
      </c>
      <c r="B300" s="11" t="s">
        <v>5418</v>
      </c>
      <c r="C300" s="11" t="s">
        <v>18721</v>
      </c>
      <c r="D300" s="12">
        <v>41275</v>
      </c>
      <c r="E300" s="12">
        <v>41275</v>
      </c>
      <c r="F300" s="11"/>
      <c r="G300" s="11" t="s">
        <v>279</v>
      </c>
      <c r="H300" s="11" t="s">
        <v>30</v>
      </c>
      <c r="I300" s="11" t="s">
        <v>21769</v>
      </c>
    </row>
    <row r="301" spans="1:9" ht="13.15" x14ac:dyDescent="0.4">
      <c r="A301" s="11" t="s">
        <v>19425</v>
      </c>
      <c r="B301" s="11" t="s">
        <v>5418</v>
      </c>
      <c r="C301" s="11" t="s">
        <v>18721</v>
      </c>
      <c r="D301" s="12">
        <v>41275</v>
      </c>
      <c r="E301" s="12">
        <v>41275</v>
      </c>
      <c r="F301" s="11"/>
      <c r="G301" s="11" t="s">
        <v>279</v>
      </c>
      <c r="H301" s="11" t="s">
        <v>30</v>
      </c>
      <c r="I301" s="11" t="s">
        <v>21434</v>
      </c>
    </row>
    <row r="302" spans="1:9" ht="13.15" x14ac:dyDescent="0.4">
      <c r="A302" s="11" t="s">
        <v>19687</v>
      </c>
      <c r="B302" s="11" t="s">
        <v>5418</v>
      </c>
      <c r="C302" s="11" t="s">
        <v>18721</v>
      </c>
      <c r="D302" s="12">
        <v>41640</v>
      </c>
      <c r="E302" s="12">
        <v>41640</v>
      </c>
      <c r="F302" s="11"/>
      <c r="G302" s="11" t="s">
        <v>279</v>
      </c>
      <c r="H302" s="11" t="s">
        <v>30</v>
      </c>
      <c r="I302" s="11" t="s">
        <v>21172</v>
      </c>
    </row>
    <row r="303" spans="1:9" ht="13.15" x14ac:dyDescent="0.4">
      <c r="A303" s="11" t="s">
        <v>18977</v>
      </c>
      <c r="B303" s="11" t="s">
        <v>5418</v>
      </c>
      <c r="C303" s="11" t="s">
        <v>18721</v>
      </c>
      <c r="D303" s="12">
        <v>41640</v>
      </c>
      <c r="E303" s="12">
        <v>41640</v>
      </c>
      <c r="F303" s="11"/>
      <c r="G303" s="11" t="s">
        <v>279</v>
      </c>
      <c r="H303" s="11" t="s">
        <v>30</v>
      </c>
      <c r="I303" s="11" t="s">
        <v>21882</v>
      </c>
    </row>
    <row r="304" spans="1:9" ht="13.15" x14ac:dyDescent="0.4">
      <c r="A304" s="11" t="s">
        <v>19544</v>
      </c>
      <c r="B304" s="11" t="s">
        <v>5418</v>
      </c>
      <c r="C304" s="11" t="s">
        <v>18721</v>
      </c>
      <c r="D304" s="12">
        <v>41275</v>
      </c>
      <c r="E304" s="12">
        <v>41275</v>
      </c>
      <c r="F304" s="11"/>
      <c r="G304" s="11" t="s">
        <v>279</v>
      </c>
      <c r="H304" s="11" t="s">
        <v>30</v>
      </c>
      <c r="I304" s="11" t="s">
        <v>21315</v>
      </c>
    </row>
    <row r="305" spans="1:9" ht="13.15" x14ac:dyDescent="0.4">
      <c r="A305" s="11" t="s">
        <v>19919</v>
      </c>
      <c r="B305" s="11" t="s">
        <v>5418</v>
      </c>
      <c r="C305" s="11" t="s">
        <v>18721</v>
      </c>
      <c r="D305" s="12">
        <v>41275</v>
      </c>
      <c r="E305" s="12">
        <v>41275</v>
      </c>
      <c r="F305" s="11"/>
      <c r="G305" s="11" t="s">
        <v>279</v>
      </c>
      <c r="H305" s="11" t="s">
        <v>30</v>
      </c>
      <c r="I305" s="11" t="s">
        <v>20940</v>
      </c>
    </row>
    <row r="306" spans="1:9" ht="13.15" x14ac:dyDescent="0.4">
      <c r="A306" s="11" t="s">
        <v>19343</v>
      </c>
      <c r="B306" s="11" t="s">
        <v>5418</v>
      </c>
      <c r="C306" s="11" t="s">
        <v>18721</v>
      </c>
      <c r="D306" s="12">
        <v>41275</v>
      </c>
      <c r="E306" s="12">
        <v>41275</v>
      </c>
      <c r="F306" s="11"/>
      <c r="G306" s="11" t="s">
        <v>279</v>
      </c>
      <c r="H306" s="11" t="s">
        <v>30</v>
      </c>
      <c r="I306" s="11" t="s">
        <v>21516</v>
      </c>
    </row>
    <row r="307" spans="1:9" ht="13.15" x14ac:dyDescent="0.4">
      <c r="A307" s="11" t="s">
        <v>19077</v>
      </c>
      <c r="B307" s="11" t="s">
        <v>5418</v>
      </c>
      <c r="C307" s="11" t="s">
        <v>18721</v>
      </c>
      <c r="D307" s="12">
        <v>41640</v>
      </c>
      <c r="E307" s="12">
        <v>41640</v>
      </c>
      <c r="F307" s="11"/>
      <c r="G307" s="11" t="s">
        <v>279</v>
      </c>
      <c r="H307" s="11" t="s">
        <v>30</v>
      </c>
      <c r="I307" s="11" t="s">
        <v>21782</v>
      </c>
    </row>
    <row r="308" spans="1:9" ht="13.15" x14ac:dyDescent="0.4">
      <c r="A308" s="11" t="s">
        <v>18807</v>
      </c>
      <c r="B308" s="11" t="s">
        <v>5418</v>
      </c>
      <c r="C308" s="11" t="s">
        <v>18721</v>
      </c>
      <c r="D308" s="12">
        <v>41275</v>
      </c>
      <c r="E308" s="12">
        <v>41275</v>
      </c>
      <c r="F308" s="11"/>
      <c r="G308" s="11" t="s">
        <v>279</v>
      </c>
      <c r="H308" s="11" t="s">
        <v>30</v>
      </c>
      <c r="I308" s="11" t="s">
        <v>22052</v>
      </c>
    </row>
    <row r="309" spans="1:9" ht="13.15" x14ac:dyDescent="0.4">
      <c r="A309" s="11" t="s">
        <v>20280</v>
      </c>
      <c r="B309" s="11" t="s">
        <v>5418</v>
      </c>
      <c r="C309" s="11" t="s">
        <v>18721</v>
      </c>
      <c r="D309" s="12">
        <v>41275</v>
      </c>
      <c r="E309" s="12">
        <v>41275</v>
      </c>
      <c r="F309" s="11"/>
      <c r="G309" s="11" t="s">
        <v>279</v>
      </c>
      <c r="H309" s="11" t="s">
        <v>30</v>
      </c>
      <c r="I309" s="11" t="s">
        <v>20579</v>
      </c>
    </row>
    <row r="310" spans="1:9" ht="13.15" x14ac:dyDescent="0.4">
      <c r="A310" s="11" t="s">
        <v>20400</v>
      </c>
      <c r="B310" s="11" t="s">
        <v>5418</v>
      </c>
      <c r="C310" s="11" t="s">
        <v>18721</v>
      </c>
      <c r="D310" s="12">
        <v>41275</v>
      </c>
      <c r="E310" s="12">
        <v>41275</v>
      </c>
      <c r="F310" s="11"/>
      <c r="G310" s="11" t="s">
        <v>279</v>
      </c>
      <c r="H310" s="11" t="s">
        <v>30</v>
      </c>
      <c r="I310" s="11" t="s">
        <v>20459</v>
      </c>
    </row>
    <row r="311" spans="1:9" ht="13.15" x14ac:dyDescent="0.4">
      <c r="A311" s="11" t="s">
        <v>18843</v>
      </c>
      <c r="B311" s="11" t="s">
        <v>5418</v>
      </c>
      <c r="C311" s="11" t="s">
        <v>18721</v>
      </c>
      <c r="D311" s="12">
        <v>41275</v>
      </c>
      <c r="E311" s="12">
        <v>41275</v>
      </c>
      <c r="F311" s="11"/>
      <c r="G311" s="11" t="s">
        <v>279</v>
      </c>
      <c r="H311" s="11" t="s">
        <v>30</v>
      </c>
      <c r="I311" s="11" t="s">
        <v>22016</v>
      </c>
    </row>
    <row r="312" spans="1:9" ht="13.15" x14ac:dyDescent="0.4">
      <c r="A312" s="11" t="s">
        <v>19836</v>
      </c>
      <c r="B312" s="11" t="s">
        <v>5418</v>
      </c>
      <c r="C312" s="11" t="s">
        <v>18721</v>
      </c>
      <c r="D312" s="12">
        <v>41275</v>
      </c>
      <c r="E312" s="12">
        <v>41275</v>
      </c>
      <c r="F312" s="11"/>
      <c r="G312" s="11" t="s">
        <v>279</v>
      </c>
      <c r="H312" s="11" t="s">
        <v>30</v>
      </c>
      <c r="I312" s="11" t="s">
        <v>21023</v>
      </c>
    </row>
    <row r="313" spans="1:9" ht="13.15" x14ac:dyDescent="0.4">
      <c r="A313" s="11" t="s">
        <v>19306</v>
      </c>
      <c r="B313" s="11" t="s">
        <v>5418</v>
      </c>
      <c r="C313" s="11" t="s">
        <v>18721</v>
      </c>
      <c r="D313" s="12">
        <v>40909</v>
      </c>
      <c r="E313" s="12">
        <v>40909</v>
      </c>
      <c r="F313" s="11"/>
      <c r="G313" s="11" t="s">
        <v>279</v>
      </c>
      <c r="H313" s="11" t="s">
        <v>30</v>
      </c>
      <c r="I313" s="11" t="s">
        <v>21553</v>
      </c>
    </row>
    <row r="314" spans="1:9" ht="13.15" x14ac:dyDescent="0.4">
      <c r="A314" s="11" t="s">
        <v>19129</v>
      </c>
      <c r="B314" s="11" t="s">
        <v>5418</v>
      </c>
      <c r="C314" s="11" t="s">
        <v>18721</v>
      </c>
      <c r="D314" s="12">
        <v>40909</v>
      </c>
      <c r="E314" s="12">
        <v>40909</v>
      </c>
      <c r="F314" s="11"/>
      <c r="G314" s="11" t="s">
        <v>279</v>
      </c>
      <c r="H314" s="11" t="s">
        <v>30</v>
      </c>
      <c r="I314" s="11" t="s">
        <v>21730</v>
      </c>
    </row>
    <row r="315" spans="1:9" ht="13.15" x14ac:dyDescent="0.4">
      <c r="A315" s="11" t="s">
        <v>19700</v>
      </c>
      <c r="B315" s="11" t="s">
        <v>5418</v>
      </c>
      <c r="C315" s="11" t="s">
        <v>18721</v>
      </c>
      <c r="D315" s="12">
        <v>40909</v>
      </c>
      <c r="E315" s="12">
        <v>40909</v>
      </c>
      <c r="F315" s="11"/>
      <c r="G315" s="11" t="s">
        <v>279</v>
      </c>
      <c r="H315" s="11" t="s">
        <v>30</v>
      </c>
      <c r="I315" s="11" t="s">
        <v>21159</v>
      </c>
    </row>
    <row r="316" spans="1:9" ht="13.15" x14ac:dyDescent="0.4">
      <c r="A316" s="11" t="s">
        <v>19172</v>
      </c>
      <c r="B316" s="11" t="s">
        <v>5418</v>
      </c>
      <c r="C316" s="11" t="s">
        <v>18721</v>
      </c>
      <c r="D316" s="12">
        <v>40909</v>
      </c>
      <c r="E316" s="12">
        <v>40909</v>
      </c>
      <c r="F316" s="11"/>
      <c r="G316" s="11" t="s">
        <v>279</v>
      </c>
      <c r="H316" s="11" t="s">
        <v>30</v>
      </c>
      <c r="I316" s="11" t="s">
        <v>21687</v>
      </c>
    </row>
    <row r="317" spans="1:9" ht="13.15" x14ac:dyDescent="0.4">
      <c r="A317" s="11" t="s">
        <v>20074</v>
      </c>
      <c r="B317" s="11" t="s">
        <v>5418</v>
      </c>
      <c r="C317" s="11" t="s">
        <v>18721</v>
      </c>
      <c r="D317" s="12">
        <v>40909</v>
      </c>
      <c r="E317" s="12">
        <v>40909</v>
      </c>
      <c r="F317" s="11"/>
      <c r="G317" s="11" t="s">
        <v>279</v>
      </c>
      <c r="H317" s="11" t="s">
        <v>30</v>
      </c>
      <c r="I317" s="11" t="s">
        <v>20785</v>
      </c>
    </row>
    <row r="318" spans="1:9" ht="13.15" x14ac:dyDescent="0.4">
      <c r="A318" s="11" t="s">
        <v>19888</v>
      </c>
      <c r="B318" s="11" t="s">
        <v>5418</v>
      </c>
      <c r="C318" s="11" t="s">
        <v>18721</v>
      </c>
      <c r="D318" s="12">
        <v>40909</v>
      </c>
      <c r="E318" s="12">
        <v>40909</v>
      </c>
      <c r="F318" s="11"/>
      <c r="G318" s="11" t="s">
        <v>279</v>
      </c>
      <c r="H318" s="11" t="s">
        <v>30</v>
      </c>
      <c r="I318" s="11" t="s">
        <v>20971</v>
      </c>
    </row>
    <row r="319" spans="1:9" ht="13.15" x14ac:dyDescent="0.4">
      <c r="A319" s="11" t="s">
        <v>19542</v>
      </c>
      <c r="B319" s="11" t="s">
        <v>5418</v>
      </c>
      <c r="C319" s="11" t="s">
        <v>18721</v>
      </c>
      <c r="D319" s="12">
        <v>40909</v>
      </c>
      <c r="E319" s="12">
        <v>40909</v>
      </c>
      <c r="F319" s="11"/>
      <c r="G319" s="11" t="s">
        <v>279</v>
      </c>
      <c r="H319" s="11" t="s">
        <v>30</v>
      </c>
      <c r="I319" s="11" t="s">
        <v>21317</v>
      </c>
    </row>
    <row r="320" spans="1:9" ht="13.15" x14ac:dyDescent="0.4">
      <c r="A320" s="11" t="s">
        <v>19467</v>
      </c>
      <c r="B320" s="11" t="s">
        <v>5418</v>
      </c>
      <c r="C320" s="11" t="s">
        <v>18721</v>
      </c>
      <c r="D320" s="12">
        <v>41640</v>
      </c>
      <c r="E320" s="12">
        <v>41640</v>
      </c>
      <c r="F320" s="11"/>
      <c r="G320" s="11" t="s">
        <v>279</v>
      </c>
      <c r="H320" s="11" t="s">
        <v>30</v>
      </c>
      <c r="I320" s="11" t="s">
        <v>21392</v>
      </c>
    </row>
    <row r="321" spans="1:9" ht="13.15" x14ac:dyDescent="0.4">
      <c r="A321" s="11" t="s">
        <v>18866</v>
      </c>
      <c r="B321" s="11" t="s">
        <v>5418</v>
      </c>
      <c r="C321" s="11" t="s">
        <v>18721</v>
      </c>
      <c r="D321" s="12">
        <v>41640</v>
      </c>
      <c r="E321" s="12">
        <v>41640</v>
      </c>
      <c r="F321" s="11"/>
      <c r="G321" s="11" t="s">
        <v>279</v>
      </c>
      <c r="H321" s="11" t="s">
        <v>30</v>
      </c>
      <c r="I321" s="11" t="s">
        <v>21993</v>
      </c>
    </row>
    <row r="322" spans="1:9" ht="13.15" x14ac:dyDescent="0.4">
      <c r="A322" s="11" t="s">
        <v>18978</v>
      </c>
      <c r="B322" s="11" t="s">
        <v>5418</v>
      </c>
      <c r="C322" s="11" t="s">
        <v>18721</v>
      </c>
      <c r="D322" s="12">
        <v>41640</v>
      </c>
      <c r="E322" s="12">
        <v>41640</v>
      </c>
      <c r="F322" s="11"/>
      <c r="G322" s="11" t="s">
        <v>279</v>
      </c>
      <c r="H322" s="11" t="s">
        <v>30</v>
      </c>
      <c r="I322" s="11" t="s">
        <v>21881</v>
      </c>
    </row>
    <row r="323" spans="1:9" ht="13.15" x14ac:dyDescent="0.4">
      <c r="A323" s="11" t="s">
        <v>19003</v>
      </c>
      <c r="B323" s="11" t="s">
        <v>5418</v>
      </c>
      <c r="C323" s="11" t="s">
        <v>18721</v>
      </c>
      <c r="D323" s="12">
        <v>41640</v>
      </c>
      <c r="E323" s="12">
        <v>41640</v>
      </c>
      <c r="F323" s="11"/>
      <c r="G323" s="11" t="s">
        <v>279</v>
      </c>
      <c r="H323" s="11" t="s">
        <v>30</v>
      </c>
      <c r="I323" s="11" t="s">
        <v>21856</v>
      </c>
    </row>
    <row r="324" spans="1:9" ht="13.15" x14ac:dyDescent="0.4">
      <c r="A324" s="11" t="s">
        <v>19567</v>
      </c>
      <c r="B324" s="11" t="s">
        <v>5418</v>
      </c>
      <c r="C324" s="11" t="s">
        <v>18721</v>
      </c>
      <c r="D324" s="12">
        <v>41640</v>
      </c>
      <c r="E324" s="12">
        <v>41640</v>
      </c>
      <c r="F324" s="11"/>
      <c r="G324" s="11" t="s">
        <v>279</v>
      </c>
      <c r="H324" s="11" t="s">
        <v>30</v>
      </c>
      <c r="I324" s="11" t="s">
        <v>21292</v>
      </c>
    </row>
    <row r="325" spans="1:9" ht="13.15" x14ac:dyDescent="0.4">
      <c r="A325" s="11" t="s">
        <v>19480</v>
      </c>
      <c r="B325" s="11" t="s">
        <v>5418</v>
      </c>
      <c r="C325" s="11" t="s">
        <v>18721</v>
      </c>
      <c r="D325" s="12">
        <v>41640</v>
      </c>
      <c r="E325" s="12">
        <v>41640</v>
      </c>
      <c r="F325" s="11"/>
      <c r="G325" s="11" t="s">
        <v>279</v>
      </c>
      <c r="H325" s="11" t="s">
        <v>30</v>
      </c>
      <c r="I325" s="11" t="s">
        <v>21379</v>
      </c>
    </row>
    <row r="326" spans="1:9" ht="13.15" x14ac:dyDescent="0.4">
      <c r="A326" s="11" t="s">
        <v>19886</v>
      </c>
      <c r="B326" s="11" t="s">
        <v>5418</v>
      </c>
      <c r="C326" s="11" t="s">
        <v>18721</v>
      </c>
      <c r="D326" s="12">
        <v>41640</v>
      </c>
      <c r="E326" s="12">
        <v>41640</v>
      </c>
      <c r="F326" s="11"/>
      <c r="G326" s="11" t="s">
        <v>279</v>
      </c>
      <c r="H326" s="11" t="s">
        <v>30</v>
      </c>
      <c r="I326" s="11" t="s">
        <v>20973</v>
      </c>
    </row>
    <row r="327" spans="1:9" ht="13.15" x14ac:dyDescent="0.4">
      <c r="A327" s="11" t="s">
        <v>19419</v>
      </c>
      <c r="B327" s="11" t="s">
        <v>5418</v>
      </c>
      <c r="C327" s="11" t="s">
        <v>18721</v>
      </c>
      <c r="D327" s="12">
        <v>41640</v>
      </c>
      <c r="E327" s="12">
        <v>41640</v>
      </c>
      <c r="F327" s="11"/>
      <c r="G327" s="11" t="s">
        <v>279</v>
      </c>
      <c r="H327" s="11" t="s">
        <v>30</v>
      </c>
      <c r="I327" s="11" t="s">
        <v>21440</v>
      </c>
    </row>
    <row r="328" spans="1:9" ht="13.15" x14ac:dyDescent="0.4">
      <c r="A328" s="11" t="s">
        <v>19894</v>
      </c>
      <c r="B328" s="11" t="s">
        <v>5418</v>
      </c>
      <c r="C328" s="11" t="s">
        <v>18721</v>
      </c>
      <c r="D328" s="12">
        <v>41640</v>
      </c>
      <c r="E328" s="12">
        <v>41640</v>
      </c>
      <c r="F328" s="11"/>
      <c r="G328" s="11" t="s">
        <v>279</v>
      </c>
      <c r="H328" s="11" t="s">
        <v>30</v>
      </c>
      <c r="I328" s="11" t="s">
        <v>20965</v>
      </c>
    </row>
    <row r="329" spans="1:9" ht="13.15" x14ac:dyDescent="0.4">
      <c r="A329" s="11" t="s">
        <v>20334</v>
      </c>
      <c r="B329" s="11" t="s">
        <v>5418</v>
      </c>
      <c r="C329" s="11" t="s">
        <v>18721</v>
      </c>
      <c r="D329" s="12">
        <v>41640</v>
      </c>
      <c r="E329" s="12">
        <v>41640</v>
      </c>
      <c r="F329" s="11"/>
      <c r="G329" s="11" t="s">
        <v>279</v>
      </c>
      <c r="H329" s="11" t="s">
        <v>30</v>
      </c>
      <c r="I329" s="11" t="s">
        <v>20525</v>
      </c>
    </row>
    <row r="330" spans="1:9" ht="13.15" x14ac:dyDescent="0.4">
      <c r="A330" s="11" t="s">
        <v>19701</v>
      </c>
      <c r="B330" s="11" t="s">
        <v>5418</v>
      </c>
      <c r="C330" s="11" t="s">
        <v>18721</v>
      </c>
      <c r="D330" s="12">
        <v>41640</v>
      </c>
      <c r="E330" s="12">
        <v>41640</v>
      </c>
      <c r="F330" s="11"/>
      <c r="G330" s="11" t="s">
        <v>279</v>
      </c>
      <c r="H330" s="11" t="s">
        <v>30</v>
      </c>
      <c r="I330" s="11" t="s">
        <v>21158</v>
      </c>
    </row>
    <row r="331" spans="1:9" ht="13.15" x14ac:dyDescent="0.4">
      <c r="A331" s="11" t="s">
        <v>18893</v>
      </c>
      <c r="B331" s="11" t="s">
        <v>5418</v>
      </c>
      <c r="C331" s="11" t="s">
        <v>18721</v>
      </c>
      <c r="D331" s="12">
        <v>41640</v>
      </c>
      <c r="E331" s="12">
        <v>41640</v>
      </c>
      <c r="F331" s="11"/>
      <c r="G331" s="11" t="s">
        <v>279</v>
      </c>
      <c r="H331" s="11" t="s">
        <v>30</v>
      </c>
      <c r="I331" s="11" t="s">
        <v>21966</v>
      </c>
    </row>
    <row r="332" spans="1:9" ht="13.15" x14ac:dyDescent="0.4">
      <c r="A332" s="11" t="s">
        <v>19761</v>
      </c>
      <c r="B332" s="11" t="s">
        <v>5418</v>
      </c>
      <c r="C332" s="11" t="s">
        <v>18721</v>
      </c>
      <c r="D332" s="12">
        <v>41640</v>
      </c>
      <c r="E332" s="12">
        <v>41640</v>
      </c>
      <c r="F332" s="11"/>
      <c r="G332" s="11" t="s">
        <v>279</v>
      </c>
      <c r="H332" s="11" t="s">
        <v>30</v>
      </c>
      <c r="I332" s="11" t="s">
        <v>21098</v>
      </c>
    </row>
    <row r="333" spans="1:9" ht="13.15" x14ac:dyDescent="0.4">
      <c r="A333" s="11" t="s">
        <v>19313</v>
      </c>
      <c r="B333" s="11" t="s">
        <v>5418</v>
      </c>
      <c r="C333" s="11" t="s">
        <v>18721</v>
      </c>
      <c r="D333" s="12">
        <v>41640</v>
      </c>
      <c r="E333" s="12">
        <v>41640</v>
      </c>
      <c r="F333" s="11"/>
      <c r="G333" s="11" t="s">
        <v>279</v>
      </c>
      <c r="H333" s="11" t="s">
        <v>30</v>
      </c>
      <c r="I333" s="11" t="s">
        <v>21546</v>
      </c>
    </row>
    <row r="334" spans="1:9" ht="13.15" x14ac:dyDescent="0.4">
      <c r="A334" s="11" t="s">
        <v>19481</v>
      </c>
      <c r="B334" s="11" t="s">
        <v>5418</v>
      </c>
      <c r="C334" s="11" t="s">
        <v>18721</v>
      </c>
      <c r="D334" s="12">
        <v>41275</v>
      </c>
      <c r="E334" s="12">
        <v>41275</v>
      </c>
      <c r="F334" s="11"/>
      <c r="G334" s="11" t="s">
        <v>279</v>
      </c>
      <c r="H334" s="11" t="s">
        <v>30</v>
      </c>
      <c r="I334" s="11" t="s">
        <v>21378</v>
      </c>
    </row>
    <row r="335" spans="1:9" ht="13.15" x14ac:dyDescent="0.4">
      <c r="A335" s="11" t="s">
        <v>20067</v>
      </c>
      <c r="B335" s="11" t="s">
        <v>5418</v>
      </c>
      <c r="C335" s="11" t="s">
        <v>18721</v>
      </c>
      <c r="D335" s="12">
        <v>41275</v>
      </c>
      <c r="E335" s="12">
        <v>41275</v>
      </c>
      <c r="F335" s="11"/>
      <c r="G335" s="11" t="s">
        <v>279</v>
      </c>
      <c r="H335" s="11" t="s">
        <v>30</v>
      </c>
      <c r="I335" s="11" t="s">
        <v>20792</v>
      </c>
    </row>
    <row r="336" spans="1:9" ht="13.15" x14ac:dyDescent="0.4">
      <c r="A336" s="11" t="s">
        <v>20053</v>
      </c>
      <c r="B336" s="11" t="s">
        <v>5418</v>
      </c>
      <c r="C336" s="11" t="s">
        <v>18721</v>
      </c>
      <c r="D336" s="12">
        <v>41275</v>
      </c>
      <c r="E336" s="12">
        <v>41275</v>
      </c>
      <c r="F336" s="11"/>
      <c r="G336" s="11" t="s">
        <v>279</v>
      </c>
      <c r="H336" s="11" t="s">
        <v>30</v>
      </c>
      <c r="I336" s="11" t="s">
        <v>20806</v>
      </c>
    </row>
    <row r="337" spans="1:9" ht="13.15" x14ac:dyDescent="0.4">
      <c r="A337" s="11" t="s">
        <v>19817</v>
      </c>
      <c r="B337" s="11" t="s">
        <v>5418</v>
      </c>
      <c r="C337" s="11" t="s">
        <v>18721</v>
      </c>
      <c r="D337" s="12">
        <v>41275</v>
      </c>
      <c r="E337" s="12">
        <v>41275</v>
      </c>
      <c r="F337" s="11"/>
      <c r="G337" s="11" t="s">
        <v>279</v>
      </c>
      <c r="H337" s="11" t="s">
        <v>30</v>
      </c>
      <c r="I337" s="11" t="s">
        <v>21042</v>
      </c>
    </row>
    <row r="338" spans="1:9" ht="13.15" x14ac:dyDescent="0.4">
      <c r="A338" s="11" t="s">
        <v>19990</v>
      </c>
      <c r="B338" s="11" t="s">
        <v>5418</v>
      </c>
      <c r="C338" s="11" t="s">
        <v>18721</v>
      </c>
      <c r="D338" s="12">
        <v>41275</v>
      </c>
      <c r="E338" s="12">
        <v>41275</v>
      </c>
      <c r="F338" s="11"/>
      <c r="G338" s="11" t="s">
        <v>279</v>
      </c>
      <c r="H338" s="11" t="s">
        <v>30</v>
      </c>
      <c r="I338" s="11" t="s">
        <v>20869</v>
      </c>
    </row>
    <row r="339" spans="1:9" ht="13.15" x14ac:dyDescent="0.4">
      <c r="A339" s="11" t="s">
        <v>19457</v>
      </c>
      <c r="B339" s="11" t="s">
        <v>5418</v>
      </c>
      <c r="C339" s="11" t="s">
        <v>18721</v>
      </c>
      <c r="D339" s="12">
        <v>41275</v>
      </c>
      <c r="E339" s="12">
        <v>41275</v>
      </c>
      <c r="F339" s="11"/>
      <c r="G339" s="11" t="s">
        <v>279</v>
      </c>
      <c r="H339" s="11" t="s">
        <v>30</v>
      </c>
      <c r="I339" s="11" t="s">
        <v>21402</v>
      </c>
    </row>
    <row r="340" spans="1:9" ht="13.15" x14ac:dyDescent="0.4">
      <c r="A340" s="11" t="s">
        <v>20386</v>
      </c>
      <c r="B340" s="11" t="s">
        <v>5418</v>
      </c>
      <c r="C340" s="11" t="s">
        <v>18721</v>
      </c>
      <c r="D340" s="12">
        <v>41275</v>
      </c>
      <c r="E340" s="12">
        <v>41275</v>
      </c>
      <c r="F340" s="11"/>
      <c r="G340" s="11" t="s">
        <v>279</v>
      </c>
      <c r="H340" s="11" t="s">
        <v>30</v>
      </c>
      <c r="I340" s="11" t="s">
        <v>20473</v>
      </c>
    </row>
    <row r="341" spans="1:9" ht="13.15" x14ac:dyDescent="0.4">
      <c r="A341" s="11" t="s">
        <v>19423</v>
      </c>
      <c r="B341" s="11" t="s">
        <v>5418</v>
      </c>
      <c r="C341" s="11" t="s">
        <v>18721</v>
      </c>
      <c r="D341" s="12">
        <v>41275</v>
      </c>
      <c r="E341" s="12">
        <v>41275</v>
      </c>
      <c r="F341" s="11"/>
      <c r="G341" s="11" t="s">
        <v>279</v>
      </c>
      <c r="H341" s="11" t="s">
        <v>30</v>
      </c>
      <c r="I341" s="11" t="s">
        <v>21436</v>
      </c>
    </row>
    <row r="342" spans="1:9" ht="13.15" x14ac:dyDescent="0.4">
      <c r="A342" s="11" t="s">
        <v>19767</v>
      </c>
      <c r="B342" s="11" t="s">
        <v>5418</v>
      </c>
      <c r="C342" s="11" t="s">
        <v>18721</v>
      </c>
      <c r="D342" s="12">
        <v>41275</v>
      </c>
      <c r="E342" s="12">
        <v>41275</v>
      </c>
      <c r="F342" s="11"/>
      <c r="G342" s="11" t="s">
        <v>279</v>
      </c>
      <c r="H342" s="11" t="s">
        <v>30</v>
      </c>
      <c r="I342" s="11" t="s">
        <v>21092</v>
      </c>
    </row>
    <row r="343" spans="1:9" ht="13.15" x14ac:dyDescent="0.4">
      <c r="A343" s="11" t="s">
        <v>19216</v>
      </c>
      <c r="B343" s="11" t="s">
        <v>5418</v>
      </c>
      <c r="C343" s="11" t="s">
        <v>18721</v>
      </c>
      <c r="D343" s="12">
        <v>41275</v>
      </c>
      <c r="E343" s="12">
        <v>41275</v>
      </c>
      <c r="F343" s="11"/>
      <c r="G343" s="11" t="s">
        <v>279</v>
      </c>
      <c r="H343" s="11" t="s">
        <v>30</v>
      </c>
      <c r="I343" s="11" t="s">
        <v>21643</v>
      </c>
    </row>
    <row r="344" spans="1:9" ht="13.15" x14ac:dyDescent="0.4">
      <c r="A344" s="11" t="s">
        <v>19696</v>
      </c>
      <c r="B344" s="11" t="s">
        <v>5418</v>
      </c>
      <c r="C344" s="11" t="s">
        <v>18721</v>
      </c>
      <c r="D344" s="12">
        <v>41640</v>
      </c>
      <c r="E344" s="12">
        <v>41640</v>
      </c>
      <c r="F344" s="11"/>
      <c r="G344" s="11" t="s">
        <v>279</v>
      </c>
      <c r="H344" s="11" t="s">
        <v>30</v>
      </c>
      <c r="I344" s="11" t="s">
        <v>21163</v>
      </c>
    </row>
    <row r="345" spans="1:9" ht="13.15" x14ac:dyDescent="0.4">
      <c r="A345" s="11" t="s">
        <v>20342</v>
      </c>
      <c r="B345" s="11" t="s">
        <v>5418</v>
      </c>
      <c r="C345" s="11" t="s">
        <v>18721</v>
      </c>
      <c r="D345" s="12">
        <v>41640</v>
      </c>
      <c r="E345" s="12">
        <v>41640</v>
      </c>
      <c r="F345" s="11"/>
      <c r="G345" s="11" t="s">
        <v>279</v>
      </c>
      <c r="H345" s="11" t="s">
        <v>30</v>
      </c>
      <c r="I345" s="11" t="s">
        <v>20517</v>
      </c>
    </row>
    <row r="346" spans="1:9" ht="13.15" x14ac:dyDescent="0.4">
      <c r="A346" s="11" t="s">
        <v>19013</v>
      </c>
      <c r="B346" s="11" t="s">
        <v>5418</v>
      </c>
      <c r="C346" s="11" t="s">
        <v>18721</v>
      </c>
      <c r="D346" s="12">
        <v>41640</v>
      </c>
      <c r="E346" s="12">
        <v>41640</v>
      </c>
      <c r="F346" s="11"/>
      <c r="G346" s="11" t="s">
        <v>279</v>
      </c>
      <c r="H346" s="11" t="s">
        <v>30</v>
      </c>
      <c r="I346" s="11" t="s">
        <v>21846</v>
      </c>
    </row>
    <row r="347" spans="1:9" ht="13.15" x14ac:dyDescent="0.4">
      <c r="A347" s="11" t="s">
        <v>19355</v>
      </c>
      <c r="B347" s="11" t="s">
        <v>5418</v>
      </c>
      <c r="C347" s="11" t="s">
        <v>18721</v>
      </c>
      <c r="D347" s="12">
        <v>41640</v>
      </c>
      <c r="E347" s="12">
        <v>41640</v>
      </c>
      <c r="F347" s="11"/>
      <c r="G347" s="11" t="s">
        <v>279</v>
      </c>
      <c r="H347" s="11" t="s">
        <v>30</v>
      </c>
      <c r="I347" s="11" t="s">
        <v>21504</v>
      </c>
    </row>
    <row r="348" spans="1:9" ht="13.15" x14ac:dyDescent="0.4">
      <c r="A348" s="11" t="s">
        <v>20257</v>
      </c>
      <c r="B348" s="11" t="s">
        <v>5418</v>
      </c>
      <c r="C348" s="11" t="s">
        <v>18721</v>
      </c>
      <c r="D348" s="12">
        <v>41640</v>
      </c>
      <c r="E348" s="12">
        <v>41640</v>
      </c>
      <c r="F348" s="11"/>
      <c r="G348" s="11" t="s">
        <v>279</v>
      </c>
      <c r="H348" s="11" t="s">
        <v>30</v>
      </c>
      <c r="I348" s="11" t="s">
        <v>20602</v>
      </c>
    </row>
    <row r="349" spans="1:9" ht="13.15" x14ac:dyDescent="0.4">
      <c r="A349" s="11" t="s">
        <v>19201</v>
      </c>
      <c r="B349" s="11" t="s">
        <v>5418</v>
      </c>
      <c r="C349" s="11" t="s">
        <v>18721</v>
      </c>
      <c r="D349" s="12">
        <v>41275</v>
      </c>
      <c r="E349" s="12">
        <v>41275</v>
      </c>
      <c r="F349" s="11"/>
      <c r="G349" s="11" t="s">
        <v>279</v>
      </c>
      <c r="H349" s="11" t="s">
        <v>30</v>
      </c>
      <c r="I349" s="11" t="s">
        <v>21658</v>
      </c>
    </row>
    <row r="350" spans="1:9" ht="13.15" x14ac:dyDescent="0.4">
      <c r="A350" s="11" t="s">
        <v>19556</v>
      </c>
      <c r="B350" s="11" t="s">
        <v>5418</v>
      </c>
      <c r="C350" s="11" t="s">
        <v>18721</v>
      </c>
      <c r="D350" s="12">
        <v>41275</v>
      </c>
      <c r="E350" s="12">
        <v>41275</v>
      </c>
      <c r="F350" s="11"/>
      <c r="G350" s="11" t="s">
        <v>279</v>
      </c>
      <c r="H350" s="11" t="s">
        <v>30</v>
      </c>
      <c r="I350" s="11" t="s">
        <v>21303</v>
      </c>
    </row>
    <row r="351" spans="1:9" ht="13.15" x14ac:dyDescent="0.4">
      <c r="A351" s="11" t="s">
        <v>19751</v>
      </c>
      <c r="B351" s="11" t="s">
        <v>5418</v>
      </c>
      <c r="C351" s="11" t="s">
        <v>18721</v>
      </c>
      <c r="D351" s="12">
        <v>41275</v>
      </c>
      <c r="E351" s="12">
        <v>41275</v>
      </c>
      <c r="F351" s="11"/>
      <c r="G351" s="11" t="s">
        <v>279</v>
      </c>
      <c r="H351" s="11" t="s">
        <v>30</v>
      </c>
      <c r="I351" s="11" t="s">
        <v>21108</v>
      </c>
    </row>
    <row r="352" spans="1:9" ht="13.15" x14ac:dyDescent="0.4">
      <c r="A352" s="11" t="s">
        <v>19992</v>
      </c>
      <c r="B352" s="11" t="s">
        <v>5418</v>
      </c>
      <c r="C352" s="11" t="s">
        <v>18721</v>
      </c>
      <c r="D352" s="12">
        <v>41275</v>
      </c>
      <c r="E352" s="12">
        <v>41275</v>
      </c>
      <c r="F352" s="11"/>
      <c r="G352" s="11" t="s">
        <v>279</v>
      </c>
      <c r="H352" s="11" t="s">
        <v>30</v>
      </c>
      <c r="I352" s="11" t="s">
        <v>20867</v>
      </c>
    </row>
    <row r="353" spans="1:9" ht="13.15" x14ac:dyDescent="0.4">
      <c r="A353" s="11" t="s">
        <v>19066</v>
      </c>
      <c r="B353" s="11" t="s">
        <v>5418</v>
      </c>
      <c r="C353" s="11" t="s">
        <v>18721</v>
      </c>
      <c r="D353" s="12">
        <v>41275</v>
      </c>
      <c r="E353" s="12">
        <v>41275</v>
      </c>
      <c r="F353" s="11"/>
      <c r="G353" s="11" t="s">
        <v>279</v>
      </c>
      <c r="H353" s="11" t="s">
        <v>30</v>
      </c>
      <c r="I353" s="11" t="s">
        <v>21793</v>
      </c>
    </row>
    <row r="354" spans="1:9" ht="13.15" x14ac:dyDescent="0.4">
      <c r="A354" s="11" t="s">
        <v>20426</v>
      </c>
      <c r="B354" s="11" t="s">
        <v>5418</v>
      </c>
      <c r="C354" s="11" t="s">
        <v>18721</v>
      </c>
      <c r="D354" s="12">
        <v>41275</v>
      </c>
      <c r="E354" s="12">
        <v>41275</v>
      </c>
      <c r="F354" s="11"/>
      <c r="G354" s="11" t="s">
        <v>279</v>
      </c>
      <c r="H354" s="11" t="s">
        <v>30</v>
      </c>
      <c r="I354" s="11" t="s">
        <v>20433</v>
      </c>
    </row>
    <row r="355" spans="1:9" ht="13.15" x14ac:dyDescent="0.4">
      <c r="A355" s="11" t="s">
        <v>20082</v>
      </c>
      <c r="B355" s="11" t="s">
        <v>5418</v>
      </c>
      <c r="C355" s="11" t="s">
        <v>18721</v>
      </c>
      <c r="D355" s="12">
        <v>41275</v>
      </c>
      <c r="E355" s="12">
        <v>41275</v>
      </c>
      <c r="F355" s="11"/>
      <c r="G355" s="11" t="s">
        <v>279</v>
      </c>
      <c r="H355" s="11" t="s">
        <v>30</v>
      </c>
      <c r="I355" s="11" t="s">
        <v>20777</v>
      </c>
    </row>
    <row r="356" spans="1:9" ht="13.15" x14ac:dyDescent="0.4">
      <c r="A356" s="11" t="s">
        <v>19485</v>
      </c>
      <c r="B356" s="11" t="s">
        <v>5418</v>
      </c>
      <c r="C356" s="11" t="s">
        <v>18721</v>
      </c>
      <c r="D356" s="12">
        <v>41275</v>
      </c>
      <c r="E356" s="12">
        <v>41275</v>
      </c>
      <c r="F356" s="11"/>
      <c r="G356" s="11" t="s">
        <v>279</v>
      </c>
      <c r="H356" s="11" t="s">
        <v>30</v>
      </c>
      <c r="I356" s="11" t="s">
        <v>21374</v>
      </c>
    </row>
    <row r="357" spans="1:9" ht="13.15" x14ac:dyDescent="0.4">
      <c r="A357" s="11" t="s">
        <v>18917</v>
      </c>
      <c r="B357" s="11" t="s">
        <v>5418</v>
      </c>
      <c r="C357" s="11" t="s">
        <v>18721</v>
      </c>
      <c r="D357" s="12">
        <v>41275</v>
      </c>
      <c r="E357" s="12">
        <v>41275</v>
      </c>
      <c r="F357" s="11"/>
      <c r="G357" s="11" t="s">
        <v>279</v>
      </c>
      <c r="H357" s="11" t="s">
        <v>30</v>
      </c>
      <c r="I357" s="11" t="s">
        <v>21942</v>
      </c>
    </row>
    <row r="358" spans="1:9" ht="13.15" x14ac:dyDescent="0.4">
      <c r="A358" s="11" t="s">
        <v>19265</v>
      </c>
      <c r="B358" s="11" t="s">
        <v>5418</v>
      </c>
      <c r="C358" s="11" t="s">
        <v>18721</v>
      </c>
      <c r="D358" s="12">
        <v>41275</v>
      </c>
      <c r="E358" s="12">
        <v>41275</v>
      </c>
      <c r="F358" s="11"/>
      <c r="G358" s="11" t="s">
        <v>279</v>
      </c>
      <c r="H358" s="11" t="s">
        <v>30</v>
      </c>
      <c r="I358" s="11" t="s">
        <v>21594</v>
      </c>
    </row>
    <row r="359" spans="1:9" ht="13.15" x14ac:dyDescent="0.4">
      <c r="A359" s="11" t="s">
        <v>18942</v>
      </c>
      <c r="B359" s="11" t="s">
        <v>5418</v>
      </c>
      <c r="C359" s="11" t="s">
        <v>18721</v>
      </c>
      <c r="D359" s="12">
        <v>41275</v>
      </c>
      <c r="E359" s="12">
        <v>41275</v>
      </c>
      <c r="F359" s="11"/>
      <c r="G359" s="11" t="s">
        <v>279</v>
      </c>
      <c r="H359" s="11" t="s">
        <v>30</v>
      </c>
      <c r="I359" s="11" t="s">
        <v>21917</v>
      </c>
    </row>
    <row r="360" spans="1:9" ht="13.15" x14ac:dyDescent="0.4">
      <c r="A360" s="11" t="s">
        <v>18864</v>
      </c>
      <c r="B360" s="11" t="s">
        <v>5418</v>
      </c>
      <c r="C360" s="11" t="s">
        <v>18721</v>
      </c>
      <c r="D360" s="12">
        <v>41275</v>
      </c>
      <c r="E360" s="12">
        <v>41275</v>
      </c>
      <c r="F360" s="11"/>
      <c r="G360" s="11" t="s">
        <v>279</v>
      </c>
      <c r="H360" s="11" t="s">
        <v>30</v>
      </c>
      <c r="I360" s="11" t="s">
        <v>21995</v>
      </c>
    </row>
    <row r="361" spans="1:9" ht="13.15" x14ac:dyDescent="0.4">
      <c r="A361" s="11" t="s">
        <v>20354</v>
      </c>
      <c r="B361" s="11" t="s">
        <v>5418</v>
      </c>
      <c r="C361" s="11" t="s">
        <v>18721</v>
      </c>
      <c r="D361" s="12">
        <v>41275</v>
      </c>
      <c r="E361" s="12">
        <v>41275</v>
      </c>
      <c r="F361" s="11"/>
      <c r="G361" s="11" t="s">
        <v>279</v>
      </c>
      <c r="H361" s="11" t="s">
        <v>30</v>
      </c>
      <c r="I361" s="11" t="s">
        <v>20505</v>
      </c>
    </row>
    <row r="362" spans="1:9" ht="13.15" x14ac:dyDescent="0.4">
      <c r="A362" s="11" t="s">
        <v>20080</v>
      </c>
      <c r="B362" s="11" t="s">
        <v>5418</v>
      </c>
      <c r="C362" s="11" t="s">
        <v>18721</v>
      </c>
      <c r="D362" s="12">
        <v>41275</v>
      </c>
      <c r="E362" s="12">
        <v>41275</v>
      </c>
      <c r="F362" s="11"/>
      <c r="G362" s="11" t="s">
        <v>279</v>
      </c>
      <c r="H362" s="11" t="s">
        <v>30</v>
      </c>
      <c r="I362" s="11" t="s">
        <v>20779</v>
      </c>
    </row>
    <row r="363" spans="1:9" ht="13.15" x14ac:dyDescent="0.4">
      <c r="A363" s="11" t="s">
        <v>20087</v>
      </c>
      <c r="B363" s="11" t="s">
        <v>5418</v>
      </c>
      <c r="C363" s="11" t="s">
        <v>18721</v>
      </c>
      <c r="D363" s="12">
        <v>41275</v>
      </c>
      <c r="E363" s="12">
        <v>41275</v>
      </c>
      <c r="F363" s="11"/>
      <c r="G363" s="11" t="s">
        <v>279</v>
      </c>
      <c r="H363" s="11" t="s">
        <v>30</v>
      </c>
      <c r="I363" s="11" t="s">
        <v>20772</v>
      </c>
    </row>
    <row r="364" spans="1:9" ht="13.15" x14ac:dyDescent="0.4">
      <c r="A364" s="11" t="s">
        <v>19953</v>
      </c>
      <c r="B364" s="11" t="s">
        <v>5418</v>
      </c>
      <c r="C364" s="11" t="s">
        <v>18721</v>
      </c>
      <c r="D364" s="12">
        <v>41640</v>
      </c>
      <c r="E364" s="12">
        <v>41640</v>
      </c>
      <c r="F364" s="11"/>
      <c r="G364" s="11" t="s">
        <v>279</v>
      </c>
      <c r="H364" s="11" t="s">
        <v>30</v>
      </c>
      <c r="I364" s="11" t="s">
        <v>20906</v>
      </c>
    </row>
    <row r="365" spans="1:9" ht="13.15" x14ac:dyDescent="0.4">
      <c r="A365" s="11" t="s">
        <v>18924</v>
      </c>
      <c r="B365" s="11" t="s">
        <v>5418</v>
      </c>
      <c r="C365" s="11" t="s">
        <v>18721</v>
      </c>
      <c r="D365" s="12">
        <v>41275</v>
      </c>
      <c r="E365" s="12">
        <v>41275</v>
      </c>
      <c r="F365" s="11"/>
      <c r="G365" s="11" t="s">
        <v>279</v>
      </c>
      <c r="H365" s="11" t="s">
        <v>30</v>
      </c>
      <c r="I365" s="11" t="s">
        <v>21935</v>
      </c>
    </row>
    <row r="366" spans="1:9" ht="13.15" x14ac:dyDescent="0.4">
      <c r="A366" s="11" t="s">
        <v>18989</v>
      </c>
      <c r="B366" s="11" t="s">
        <v>5418</v>
      </c>
      <c r="C366" s="11" t="s">
        <v>18721</v>
      </c>
      <c r="D366" s="12">
        <v>41275</v>
      </c>
      <c r="E366" s="12">
        <v>41275</v>
      </c>
      <c r="F366" s="11"/>
      <c r="G366" s="11" t="s">
        <v>279</v>
      </c>
      <c r="H366" s="11" t="s">
        <v>30</v>
      </c>
      <c r="I366" s="11" t="s">
        <v>21870</v>
      </c>
    </row>
    <row r="367" spans="1:9" ht="13.15" x14ac:dyDescent="0.4">
      <c r="A367" s="11" t="s">
        <v>19312</v>
      </c>
      <c r="B367" s="11" t="s">
        <v>5418</v>
      </c>
      <c r="C367" s="11" t="s">
        <v>18721</v>
      </c>
      <c r="D367" s="12">
        <v>41275</v>
      </c>
      <c r="E367" s="12">
        <v>41275</v>
      </c>
      <c r="F367" s="11"/>
      <c r="G367" s="11" t="s">
        <v>279</v>
      </c>
      <c r="H367" s="11" t="s">
        <v>30</v>
      </c>
      <c r="I367" s="11" t="s">
        <v>21547</v>
      </c>
    </row>
    <row r="368" spans="1:9" ht="13.15" x14ac:dyDescent="0.4">
      <c r="A368" s="11" t="s">
        <v>18990</v>
      </c>
      <c r="B368" s="11" t="s">
        <v>5418</v>
      </c>
      <c r="C368" s="11" t="s">
        <v>18721</v>
      </c>
      <c r="D368" s="12">
        <v>41275</v>
      </c>
      <c r="E368" s="12">
        <v>41275</v>
      </c>
      <c r="F368" s="11"/>
      <c r="G368" s="11" t="s">
        <v>279</v>
      </c>
      <c r="H368" s="11" t="s">
        <v>30</v>
      </c>
      <c r="I368" s="11" t="s">
        <v>21869</v>
      </c>
    </row>
    <row r="369" spans="1:9" ht="13.15" x14ac:dyDescent="0.4">
      <c r="A369" s="11" t="s">
        <v>18808</v>
      </c>
      <c r="B369" s="11" t="s">
        <v>5418</v>
      </c>
      <c r="C369" s="11" t="s">
        <v>18721</v>
      </c>
      <c r="D369" s="12">
        <v>41275</v>
      </c>
      <c r="E369" s="12">
        <v>41275</v>
      </c>
      <c r="F369" s="11"/>
      <c r="G369" s="11" t="s">
        <v>279</v>
      </c>
      <c r="H369" s="11" t="s">
        <v>30</v>
      </c>
      <c r="I369" s="11" t="s">
        <v>22051</v>
      </c>
    </row>
    <row r="370" spans="1:9" ht="13.15" x14ac:dyDescent="0.4">
      <c r="A370" s="11" t="s">
        <v>19016</v>
      </c>
      <c r="B370" s="11" t="s">
        <v>5418</v>
      </c>
      <c r="C370" s="11" t="s">
        <v>18721</v>
      </c>
      <c r="D370" s="12">
        <v>41275</v>
      </c>
      <c r="E370" s="12">
        <v>41275</v>
      </c>
      <c r="F370" s="11"/>
      <c r="G370" s="11" t="s">
        <v>279</v>
      </c>
      <c r="H370" s="11" t="s">
        <v>30</v>
      </c>
      <c r="I370" s="11" t="s">
        <v>21843</v>
      </c>
    </row>
    <row r="371" spans="1:9" ht="13.15" x14ac:dyDescent="0.4">
      <c r="A371" s="11" t="s">
        <v>18792</v>
      </c>
      <c r="B371" s="11" t="s">
        <v>5418</v>
      </c>
      <c r="C371" s="11" t="s">
        <v>18721</v>
      </c>
      <c r="D371" s="12">
        <v>41275</v>
      </c>
      <c r="E371" s="12">
        <v>41275</v>
      </c>
      <c r="F371" s="11"/>
      <c r="G371" s="11" t="s">
        <v>279</v>
      </c>
      <c r="H371" s="11" t="s">
        <v>30</v>
      </c>
      <c r="I371" s="11" t="s">
        <v>22067</v>
      </c>
    </row>
    <row r="372" spans="1:9" ht="13.15" x14ac:dyDescent="0.4">
      <c r="A372" s="11" t="s">
        <v>19572</v>
      </c>
      <c r="B372" s="11" t="s">
        <v>5418</v>
      </c>
      <c r="C372" s="11" t="s">
        <v>18721</v>
      </c>
      <c r="D372" s="12">
        <v>41275</v>
      </c>
      <c r="E372" s="12">
        <v>41275</v>
      </c>
      <c r="F372" s="11"/>
      <c r="G372" s="11" t="s">
        <v>279</v>
      </c>
      <c r="H372" s="11" t="s">
        <v>30</v>
      </c>
      <c r="I372" s="11" t="s">
        <v>21287</v>
      </c>
    </row>
    <row r="373" spans="1:9" ht="13.15" x14ac:dyDescent="0.4">
      <c r="A373" s="11" t="s">
        <v>20047</v>
      </c>
      <c r="B373" s="11" t="s">
        <v>5418</v>
      </c>
      <c r="C373" s="11" t="s">
        <v>18721</v>
      </c>
      <c r="D373" s="12">
        <v>41275</v>
      </c>
      <c r="E373" s="12">
        <v>41275</v>
      </c>
      <c r="F373" s="11"/>
      <c r="G373" s="11" t="s">
        <v>279</v>
      </c>
      <c r="H373" s="11" t="s">
        <v>30</v>
      </c>
      <c r="I373" s="11" t="s">
        <v>20812</v>
      </c>
    </row>
    <row r="374" spans="1:9" ht="13.15" x14ac:dyDescent="0.4">
      <c r="A374" s="11" t="s">
        <v>19199</v>
      </c>
      <c r="B374" s="11" t="s">
        <v>5418</v>
      </c>
      <c r="C374" s="11" t="s">
        <v>18721</v>
      </c>
      <c r="D374" s="12">
        <v>40909</v>
      </c>
      <c r="E374" s="12">
        <v>40909</v>
      </c>
      <c r="F374" s="11"/>
      <c r="G374" s="11" t="s">
        <v>279</v>
      </c>
      <c r="H374" s="11" t="s">
        <v>30</v>
      </c>
      <c r="I374" s="11" t="s">
        <v>21660</v>
      </c>
    </row>
    <row r="375" spans="1:9" ht="13.15" x14ac:dyDescent="0.4">
      <c r="A375" s="11" t="s">
        <v>19054</v>
      </c>
      <c r="B375" s="11" t="s">
        <v>5418</v>
      </c>
      <c r="C375" s="11" t="s">
        <v>18721</v>
      </c>
      <c r="D375" s="12">
        <v>40909</v>
      </c>
      <c r="E375" s="12">
        <v>40909</v>
      </c>
      <c r="F375" s="11"/>
      <c r="G375" s="11" t="s">
        <v>279</v>
      </c>
      <c r="H375" s="11" t="s">
        <v>30</v>
      </c>
      <c r="I375" s="11" t="s">
        <v>21805</v>
      </c>
    </row>
    <row r="376" spans="1:9" ht="13.15" x14ac:dyDescent="0.4">
      <c r="A376" s="11" t="s">
        <v>18905</v>
      </c>
      <c r="B376" s="11" t="s">
        <v>5418</v>
      </c>
      <c r="C376" s="11" t="s">
        <v>18721</v>
      </c>
      <c r="D376" s="12">
        <v>41275</v>
      </c>
      <c r="E376" s="12">
        <v>41275</v>
      </c>
      <c r="F376" s="11"/>
      <c r="G376" s="11" t="s">
        <v>279</v>
      </c>
      <c r="H376" s="11" t="s">
        <v>30</v>
      </c>
      <c r="I376" s="11" t="s">
        <v>21954</v>
      </c>
    </row>
    <row r="377" spans="1:9" ht="13.15" x14ac:dyDescent="0.4">
      <c r="A377" s="11" t="s">
        <v>19647</v>
      </c>
      <c r="B377" s="11" t="s">
        <v>5418</v>
      </c>
      <c r="C377" s="11" t="s">
        <v>18721</v>
      </c>
      <c r="D377" s="12">
        <v>41275</v>
      </c>
      <c r="E377" s="12">
        <v>41275</v>
      </c>
      <c r="F377" s="11"/>
      <c r="G377" s="11" t="s">
        <v>279</v>
      </c>
      <c r="H377" s="11" t="s">
        <v>30</v>
      </c>
      <c r="I377" s="11" t="s">
        <v>21212</v>
      </c>
    </row>
    <row r="378" spans="1:9" ht="13.15" x14ac:dyDescent="0.4">
      <c r="A378" s="11" t="s">
        <v>20248</v>
      </c>
      <c r="B378" s="11" t="s">
        <v>5418</v>
      </c>
      <c r="C378" s="11" t="s">
        <v>18721</v>
      </c>
      <c r="D378" s="12">
        <v>41275</v>
      </c>
      <c r="E378" s="12">
        <v>41275</v>
      </c>
      <c r="F378" s="11"/>
      <c r="G378" s="11" t="s">
        <v>279</v>
      </c>
      <c r="H378" s="11" t="s">
        <v>30</v>
      </c>
      <c r="I378" s="11" t="s">
        <v>20611</v>
      </c>
    </row>
    <row r="379" spans="1:9" ht="13.15" x14ac:dyDescent="0.4">
      <c r="A379" s="11" t="s">
        <v>19159</v>
      </c>
      <c r="B379" s="11" t="s">
        <v>5418</v>
      </c>
      <c r="C379" s="11" t="s">
        <v>18721</v>
      </c>
      <c r="D379" s="12">
        <v>41275</v>
      </c>
      <c r="E379" s="12">
        <v>41275</v>
      </c>
      <c r="F379" s="11"/>
      <c r="G379" s="11" t="s">
        <v>279</v>
      </c>
      <c r="H379" s="11" t="s">
        <v>30</v>
      </c>
      <c r="I379" s="11" t="s">
        <v>21700</v>
      </c>
    </row>
    <row r="380" spans="1:9" ht="13.15" x14ac:dyDescent="0.4">
      <c r="A380" s="11" t="s">
        <v>19302</v>
      </c>
      <c r="B380" s="11" t="s">
        <v>5418</v>
      </c>
      <c r="C380" s="11" t="s">
        <v>18721</v>
      </c>
      <c r="D380" s="12">
        <v>41275</v>
      </c>
      <c r="E380" s="12">
        <v>41275</v>
      </c>
      <c r="F380" s="11"/>
      <c r="G380" s="11" t="s">
        <v>279</v>
      </c>
      <c r="H380" s="11" t="s">
        <v>30</v>
      </c>
      <c r="I380" s="11" t="s">
        <v>21557</v>
      </c>
    </row>
    <row r="381" spans="1:9" ht="13.15" x14ac:dyDescent="0.4">
      <c r="A381" s="11" t="s">
        <v>20108</v>
      </c>
      <c r="B381" s="11" t="s">
        <v>5418</v>
      </c>
      <c r="C381" s="11" t="s">
        <v>18721</v>
      </c>
      <c r="D381" s="12">
        <v>41275</v>
      </c>
      <c r="E381" s="12">
        <v>41275</v>
      </c>
      <c r="F381" s="11"/>
      <c r="G381" s="11" t="s">
        <v>279</v>
      </c>
      <c r="H381" s="11" t="s">
        <v>30</v>
      </c>
      <c r="I381" s="11" t="s">
        <v>20751</v>
      </c>
    </row>
    <row r="382" spans="1:9" ht="13.15" x14ac:dyDescent="0.4">
      <c r="A382" s="11" t="s">
        <v>19476</v>
      </c>
      <c r="B382" s="11" t="s">
        <v>5418</v>
      </c>
      <c r="C382" s="11" t="s">
        <v>18721</v>
      </c>
      <c r="D382" s="12">
        <v>40909</v>
      </c>
      <c r="E382" s="12">
        <v>40909</v>
      </c>
      <c r="F382" s="11"/>
      <c r="G382" s="11" t="s">
        <v>279</v>
      </c>
      <c r="H382" s="11" t="s">
        <v>30</v>
      </c>
      <c r="I382" s="11" t="s">
        <v>21383</v>
      </c>
    </row>
    <row r="383" spans="1:9" ht="13.15" x14ac:dyDescent="0.4">
      <c r="A383" s="11" t="s">
        <v>19440</v>
      </c>
      <c r="B383" s="11" t="s">
        <v>5418</v>
      </c>
      <c r="C383" s="11" t="s">
        <v>18721</v>
      </c>
      <c r="D383" s="12">
        <v>40909</v>
      </c>
      <c r="E383" s="12">
        <v>40909</v>
      </c>
      <c r="F383" s="11"/>
      <c r="G383" s="11" t="s">
        <v>279</v>
      </c>
      <c r="H383" s="11" t="s">
        <v>30</v>
      </c>
      <c r="I383" s="11" t="s">
        <v>21419</v>
      </c>
    </row>
    <row r="384" spans="1:9" ht="13.15" x14ac:dyDescent="0.4">
      <c r="A384" s="11" t="s">
        <v>19967</v>
      </c>
      <c r="B384" s="11" t="s">
        <v>5418</v>
      </c>
      <c r="C384" s="11" t="s">
        <v>18721</v>
      </c>
      <c r="D384" s="12">
        <v>40909</v>
      </c>
      <c r="E384" s="12">
        <v>40909</v>
      </c>
      <c r="F384" s="11"/>
      <c r="G384" s="11" t="s">
        <v>279</v>
      </c>
      <c r="H384" s="11" t="s">
        <v>30</v>
      </c>
      <c r="I384" s="11" t="s">
        <v>20892</v>
      </c>
    </row>
    <row r="385" spans="1:9" ht="13.15" x14ac:dyDescent="0.4">
      <c r="A385" s="11" t="s">
        <v>18950</v>
      </c>
      <c r="B385" s="11" t="s">
        <v>5418</v>
      </c>
      <c r="C385" s="11" t="s">
        <v>18721</v>
      </c>
      <c r="D385" s="12">
        <v>40909</v>
      </c>
      <c r="E385" s="12">
        <v>40909</v>
      </c>
      <c r="F385" s="11"/>
      <c r="G385" s="11" t="s">
        <v>279</v>
      </c>
      <c r="H385" s="11" t="s">
        <v>30</v>
      </c>
      <c r="I385" s="11" t="s">
        <v>21909</v>
      </c>
    </row>
    <row r="386" spans="1:9" ht="13.15" x14ac:dyDescent="0.4">
      <c r="A386" s="11" t="s">
        <v>19566</v>
      </c>
      <c r="B386" s="11" t="s">
        <v>5418</v>
      </c>
      <c r="C386" s="11" t="s">
        <v>18721</v>
      </c>
      <c r="D386" s="12">
        <v>40909</v>
      </c>
      <c r="E386" s="12">
        <v>40909</v>
      </c>
      <c r="F386" s="11"/>
      <c r="G386" s="11" t="s">
        <v>279</v>
      </c>
      <c r="H386" s="11" t="s">
        <v>30</v>
      </c>
      <c r="I386" s="11" t="s">
        <v>21293</v>
      </c>
    </row>
    <row r="387" spans="1:9" ht="13.15" x14ac:dyDescent="0.4">
      <c r="A387" s="11" t="s">
        <v>19483</v>
      </c>
      <c r="B387" s="11" t="s">
        <v>5418</v>
      </c>
      <c r="C387" s="11" t="s">
        <v>18721</v>
      </c>
      <c r="D387" s="12">
        <v>40909</v>
      </c>
      <c r="E387" s="12">
        <v>40909</v>
      </c>
      <c r="F387" s="11"/>
      <c r="G387" s="11" t="s">
        <v>279</v>
      </c>
      <c r="H387" s="11" t="s">
        <v>30</v>
      </c>
      <c r="I387" s="11" t="s">
        <v>21376</v>
      </c>
    </row>
    <row r="388" spans="1:9" ht="13.15" x14ac:dyDescent="0.4">
      <c r="A388" s="11" t="s">
        <v>19452</v>
      </c>
      <c r="B388" s="11" t="s">
        <v>5418</v>
      </c>
      <c r="C388" s="11" t="s">
        <v>18721</v>
      </c>
      <c r="D388" s="12">
        <v>40909</v>
      </c>
      <c r="E388" s="12">
        <v>40909</v>
      </c>
      <c r="F388" s="11"/>
      <c r="G388" s="11" t="s">
        <v>279</v>
      </c>
      <c r="H388" s="11" t="s">
        <v>30</v>
      </c>
      <c r="I388" s="11" t="s">
        <v>21407</v>
      </c>
    </row>
    <row r="389" spans="1:9" ht="13.15" x14ac:dyDescent="0.4">
      <c r="A389" s="11" t="s">
        <v>18813</v>
      </c>
      <c r="B389" s="11" t="s">
        <v>5418</v>
      </c>
      <c r="C389" s="11" t="s">
        <v>18721</v>
      </c>
      <c r="D389" s="12">
        <v>40909</v>
      </c>
      <c r="E389" s="12">
        <v>40909</v>
      </c>
      <c r="F389" s="11"/>
      <c r="G389" s="11" t="s">
        <v>279</v>
      </c>
      <c r="H389" s="11" t="s">
        <v>30</v>
      </c>
      <c r="I389" s="11" t="s">
        <v>22046</v>
      </c>
    </row>
    <row r="390" spans="1:9" ht="13.15" x14ac:dyDescent="0.4">
      <c r="A390" s="11" t="s">
        <v>18996</v>
      </c>
      <c r="B390" s="11" t="s">
        <v>5418</v>
      </c>
      <c r="C390" s="11" t="s">
        <v>18721</v>
      </c>
      <c r="D390" s="12">
        <v>40909</v>
      </c>
      <c r="E390" s="12">
        <v>40909</v>
      </c>
      <c r="F390" s="11"/>
      <c r="G390" s="11" t="s">
        <v>279</v>
      </c>
      <c r="H390" s="11" t="s">
        <v>30</v>
      </c>
      <c r="I390" s="11" t="s">
        <v>21863</v>
      </c>
    </row>
    <row r="391" spans="1:9" ht="13.15" x14ac:dyDescent="0.4">
      <c r="A391" s="11" t="s">
        <v>18975</v>
      </c>
      <c r="B391" s="11" t="s">
        <v>5418</v>
      </c>
      <c r="C391" s="11" t="s">
        <v>18721</v>
      </c>
      <c r="D391" s="12">
        <v>40909</v>
      </c>
      <c r="E391" s="12">
        <v>40909</v>
      </c>
      <c r="F391" s="11"/>
      <c r="G391" s="11" t="s">
        <v>279</v>
      </c>
      <c r="H391" s="11" t="s">
        <v>30</v>
      </c>
      <c r="I391" s="11" t="s">
        <v>21884</v>
      </c>
    </row>
    <row r="392" spans="1:9" ht="13.15" x14ac:dyDescent="0.4">
      <c r="A392" s="11" t="s">
        <v>20402</v>
      </c>
      <c r="B392" s="11" t="s">
        <v>6071</v>
      </c>
      <c r="C392" s="11" t="s">
        <v>18721</v>
      </c>
      <c r="D392" s="12">
        <v>41640</v>
      </c>
      <c r="E392" s="12">
        <v>41640</v>
      </c>
      <c r="F392" s="11"/>
      <c r="G392" s="11" t="s">
        <v>279</v>
      </c>
      <c r="H392" s="11" t="s">
        <v>30</v>
      </c>
      <c r="I392" s="11" t="s">
        <v>20457</v>
      </c>
    </row>
    <row r="393" spans="1:9" ht="13.15" x14ac:dyDescent="0.4">
      <c r="A393" s="11" t="s">
        <v>19627</v>
      </c>
      <c r="B393" s="11" t="s">
        <v>6071</v>
      </c>
      <c r="C393" s="11" t="s">
        <v>18721</v>
      </c>
      <c r="D393" s="12">
        <v>41640</v>
      </c>
      <c r="E393" s="12">
        <v>41640</v>
      </c>
      <c r="F393" s="11"/>
      <c r="G393" s="11" t="s">
        <v>279</v>
      </c>
      <c r="H393" s="11" t="s">
        <v>30</v>
      </c>
      <c r="I393" s="11" t="s">
        <v>21232</v>
      </c>
    </row>
    <row r="394" spans="1:9" ht="13.15" x14ac:dyDescent="0.4">
      <c r="A394" s="11" t="s">
        <v>19340</v>
      </c>
      <c r="B394" s="11" t="s">
        <v>6071</v>
      </c>
      <c r="C394" s="11" t="s">
        <v>18721</v>
      </c>
      <c r="D394" s="12">
        <v>41275</v>
      </c>
      <c r="E394" s="12">
        <v>41275</v>
      </c>
      <c r="F394" s="11"/>
      <c r="G394" s="11" t="s">
        <v>279</v>
      </c>
      <c r="H394" s="11" t="s">
        <v>30</v>
      </c>
      <c r="I394" s="11" t="s">
        <v>21519</v>
      </c>
    </row>
    <row r="395" spans="1:9" ht="13.15" x14ac:dyDescent="0.4">
      <c r="A395" s="11" t="s">
        <v>20119</v>
      </c>
      <c r="B395" s="11" t="s">
        <v>6071</v>
      </c>
      <c r="C395" s="11" t="s">
        <v>18721</v>
      </c>
      <c r="D395" s="12">
        <v>41275</v>
      </c>
      <c r="E395" s="12">
        <v>41275</v>
      </c>
      <c r="F395" s="11"/>
      <c r="G395" s="11" t="s">
        <v>279</v>
      </c>
      <c r="H395" s="11" t="s">
        <v>30</v>
      </c>
      <c r="I395" s="11" t="s">
        <v>20740</v>
      </c>
    </row>
    <row r="396" spans="1:9" ht="13.15" x14ac:dyDescent="0.4">
      <c r="A396" s="11" t="s">
        <v>19704</v>
      </c>
      <c r="B396" s="11" t="s">
        <v>6071</v>
      </c>
      <c r="C396" s="11" t="s">
        <v>18721</v>
      </c>
      <c r="D396" s="12">
        <v>41640</v>
      </c>
      <c r="E396" s="12">
        <v>41640</v>
      </c>
      <c r="F396" s="11"/>
      <c r="G396" s="11" t="s">
        <v>279</v>
      </c>
      <c r="H396" s="11" t="s">
        <v>30</v>
      </c>
      <c r="I396" s="11" t="s">
        <v>21155</v>
      </c>
    </row>
    <row r="397" spans="1:9" ht="13.15" x14ac:dyDescent="0.4">
      <c r="A397" s="11" t="s">
        <v>19763</v>
      </c>
      <c r="B397" s="11" t="s">
        <v>6071</v>
      </c>
      <c r="C397" s="11" t="s">
        <v>18721</v>
      </c>
      <c r="D397" s="12">
        <v>41640</v>
      </c>
      <c r="E397" s="12">
        <v>41640</v>
      </c>
      <c r="F397" s="11"/>
      <c r="G397" s="11" t="s">
        <v>279</v>
      </c>
      <c r="H397" s="11" t="s">
        <v>30</v>
      </c>
      <c r="I397" s="11" t="s">
        <v>21096</v>
      </c>
    </row>
    <row r="398" spans="1:9" ht="13.15" x14ac:dyDescent="0.4">
      <c r="A398" s="11" t="s">
        <v>19848</v>
      </c>
      <c r="B398" s="11" t="s">
        <v>6071</v>
      </c>
      <c r="C398" s="11" t="s">
        <v>18721</v>
      </c>
      <c r="D398" s="12">
        <v>41275</v>
      </c>
      <c r="E398" s="12">
        <v>41275</v>
      </c>
      <c r="F398" s="11"/>
      <c r="G398" s="11" t="s">
        <v>279</v>
      </c>
      <c r="H398" s="11" t="s">
        <v>30</v>
      </c>
      <c r="I398" s="11" t="s">
        <v>21011</v>
      </c>
    </row>
    <row r="399" spans="1:9" ht="13.15" x14ac:dyDescent="0.4">
      <c r="A399" s="11" t="s">
        <v>20269</v>
      </c>
      <c r="B399" s="11" t="s">
        <v>6071</v>
      </c>
      <c r="C399" s="11" t="s">
        <v>18721</v>
      </c>
      <c r="D399" s="12">
        <v>41275</v>
      </c>
      <c r="E399" s="12">
        <v>41275</v>
      </c>
      <c r="F399" s="11"/>
      <c r="G399" s="11" t="s">
        <v>279</v>
      </c>
      <c r="H399" s="11" t="s">
        <v>30</v>
      </c>
      <c r="I399" s="11" t="s">
        <v>20590</v>
      </c>
    </row>
    <row r="400" spans="1:9" ht="13.15" x14ac:dyDescent="0.4">
      <c r="A400" s="11" t="s">
        <v>20234</v>
      </c>
      <c r="B400" s="11" t="s">
        <v>6071</v>
      </c>
      <c r="C400" s="11" t="s">
        <v>18721</v>
      </c>
      <c r="D400" s="12">
        <v>41640</v>
      </c>
      <c r="E400" s="12">
        <v>41640</v>
      </c>
      <c r="F400" s="11"/>
      <c r="G400" s="11" t="s">
        <v>279</v>
      </c>
      <c r="H400" s="11" t="s">
        <v>30</v>
      </c>
      <c r="I400" s="11" t="s">
        <v>20625</v>
      </c>
    </row>
    <row r="401" spans="1:9" ht="13.15" x14ac:dyDescent="0.4">
      <c r="A401" s="11" t="s">
        <v>18832</v>
      </c>
      <c r="B401" s="11" t="s">
        <v>6071</v>
      </c>
      <c r="C401" s="11" t="s">
        <v>18721</v>
      </c>
      <c r="D401" s="12">
        <v>41275</v>
      </c>
      <c r="E401" s="12">
        <v>41275</v>
      </c>
      <c r="F401" s="11"/>
      <c r="G401" s="11" t="s">
        <v>279</v>
      </c>
      <c r="H401" s="11" t="s">
        <v>30</v>
      </c>
      <c r="I401" s="11" t="s">
        <v>22027</v>
      </c>
    </row>
    <row r="402" spans="1:9" ht="13.15" x14ac:dyDescent="0.4">
      <c r="A402" s="11" t="s">
        <v>19635</v>
      </c>
      <c r="B402" s="11" t="s">
        <v>6071</v>
      </c>
      <c r="C402" s="11" t="s">
        <v>18721</v>
      </c>
      <c r="D402" s="12">
        <v>41275</v>
      </c>
      <c r="E402" s="12">
        <v>41275</v>
      </c>
      <c r="F402" s="11"/>
      <c r="G402" s="11" t="s">
        <v>279</v>
      </c>
      <c r="H402" s="11" t="s">
        <v>30</v>
      </c>
      <c r="I402" s="11" t="s">
        <v>21224</v>
      </c>
    </row>
    <row r="403" spans="1:9" ht="13.15" x14ac:dyDescent="0.4">
      <c r="A403" s="11" t="s">
        <v>18932</v>
      </c>
      <c r="B403" s="11" t="s">
        <v>6071</v>
      </c>
      <c r="C403" s="11" t="s">
        <v>18721</v>
      </c>
      <c r="D403" s="12">
        <v>41640</v>
      </c>
      <c r="E403" s="12">
        <v>41640</v>
      </c>
      <c r="F403" s="11"/>
      <c r="G403" s="11" t="s">
        <v>279</v>
      </c>
      <c r="H403" s="11" t="s">
        <v>30</v>
      </c>
      <c r="I403" s="11" t="s">
        <v>21927</v>
      </c>
    </row>
    <row r="404" spans="1:9" ht="13.15" x14ac:dyDescent="0.4">
      <c r="A404" s="11" t="s">
        <v>19390</v>
      </c>
      <c r="B404" s="11" t="s">
        <v>6071</v>
      </c>
      <c r="C404" s="11" t="s">
        <v>18721</v>
      </c>
      <c r="D404" s="12">
        <v>41640</v>
      </c>
      <c r="E404" s="12">
        <v>41640</v>
      </c>
      <c r="F404" s="11"/>
      <c r="G404" s="11" t="s">
        <v>279</v>
      </c>
      <c r="H404" s="11" t="s">
        <v>30</v>
      </c>
      <c r="I404" s="11" t="s">
        <v>21469</v>
      </c>
    </row>
    <row r="405" spans="1:9" ht="13.15" x14ac:dyDescent="0.4">
      <c r="A405" s="11" t="s">
        <v>20391</v>
      </c>
      <c r="B405" s="11" t="s">
        <v>6071</v>
      </c>
      <c r="C405" s="11" t="s">
        <v>18721</v>
      </c>
      <c r="D405" s="12">
        <v>41275</v>
      </c>
      <c r="E405" s="12">
        <v>41275</v>
      </c>
      <c r="F405" s="11"/>
      <c r="G405" s="11" t="s">
        <v>279</v>
      </c>
      <c r="H405" s="11" t="s">
        <v>30</v>
      </c>
      <c r="I405" s="11" t="s">
        <v>20468</v>
      </c>
    </row>
    <row r="406" spans="1:9" ht="13.15" x14ac:dyDescent="0.4">
      <c r="A406" s="11" t="s">
        <v>19316</v>
      </c>
      <c r="B406" s="11" t="s">
        <v>6071</v>
      </c>
      <c r="C406" s="11" t="s">
        <v>18721</v>
      </c>
      <c r="D406" s="12">
        <v>41275</v>
      </c>
      <c r="E406" s="12">
        <v>41275</v>
      </c>
      <c r="F406" s="11"/>
      <c r="G406" s="11" t="s">
        <v>279</v>
      </c>
      <c r="H406" s="11" t="s">
        <v>30</v>
      </c>
      <c r="I406" s="11" t="s">
        <v>21543</v>
      </c>
    </row>
    <row r="407" spans="1:9" ht="13.15" x14ac:dyDescent="0.4">
      <c r="A407" s="11" t="s">
        <v>20341</v>
      </c>
      <c r="B407" s="11" t="s">
        <v>6071</v>
      </c>
      <c r="C407" s="11" t="s">
        <v>18721</v>
      </c>
      <c r="D407" s="12">
        <v>41275</v>
      </c>
      <c r="E407" s="12">
        <v>41275</v>
      </c>
      <c r="F407" s="11"/>
      <c r="G407" s="11" t="s">
        <v>279</v>
      </c>
      <c r="H407" s="11" t="s">
        <v>30</v>
      </c>
      <c r="I407" s="11" t="s">
        <v>20518</v>
      </c>
    </row>
    <row r="408" spans="1:9" ht="13.15" x14ac:dyDescent="0.4">
      <c r="A408" s="11" t="s">
        <v>18886</v>
      </c>
      <c r="B408" s="11" t="s">
        <v>6071</v>
      </c>
      <c r="C408" s="11" t="s">
        <v>18721</v>
      </c>
      <c r="D408" s="12">
        <v>41275</v>
      </c>
      <c r="E408" s="12">
        <v>41275</v>
      </c>
      <c r="F408" s="11"/>
      <c r="G408" s="11" t="s">
        <v>279</v>
      </c>
      <c r="H408" s="11" t="s">
        <v>30</v>
      </c>
      <c r="I408" s="11" t="s">
        <v>21973</v>
      </c>
    </row>
    <row r="409" spans="1:9" ht="13.15" x14ac:dyDescent="0.4">
      <c r="A409" s="11" t="s">
        <v>19738</v>
      </c>
      <c r="B409" s="11" t="s">
        <v>6071</v>
      </c>
      <c r="C409" s="11" t="s">
        <v>18721</v>
      </c>
      <c r="D409" s="12">
        <v>41275</v>
      </c>
      <c r="E409" s="12">
        <v>41275</v>
      </c>
      <c r="F409" s="11"/>
      <c r="G409" s="11" t="s">
        <v>279</v>
      </c>
      <c r="H409" s="11" t="s">
        <v>30</v>
      </c>
      <c r="I409" s="11" t="s">
        <v>21121</v>
      </c>
    </row>
    <row r="410" spans="1:9" ht="13.15" x14ac:dyDescent="0.4">
      <c r="A410" s="11" t="s">
        <v>19655</v>
      </c>
      <c r="B410" s="11" t="s">
        <v>6071</v>
      </c>
      <c r="C410" s="11" t="s">
        <v>18721</v>
      </c>
      <c r="D410" s="12">
        <v>40909</v>
      </c>
      <c r="E410" s="12">
        <v>40909</v>
      </c>
      <c r="F410" s="11"/>
      <c r="G410" s="11" t="s">
        <v>279</v>
      </c>
      <c r="H410" s="11" t="s">
        <v>30</v>
      </c>
      <c r="I410" s="11" t="s">
        <v>21204</v>
      </c>
    </row>
    <row r="411" spans="1:9" ht="13.15" x14ac:dyDescent="0.4">
      <c r="A411" s="11" t="s">
        <v>19998</v>
      </c>
      <c r="B411" s="11" t="s">
        <v>6071</v>
      </c>
      <c r="C411" s="11" t="s">
        <v>18721</v>
      </c>
      <c r="D411" s="12">
        <v>40909</v>
      </c>
      <c r="E411" s="12">
        <v>40909</v>
      </c>
      <c r="F411" s="11"/>
      <c r="G411" s="11" t="s">
        <v>279</v>
      </c>
      <c r="H411" s="11" t="s">
        <v>30</v>
      </c>
      <c r="I411" s="11" t="s">
        <v>20861</v>
      </c>
    </row>
    <row r="412" spans="1:9" ht="13.15" x14ac:dyDescent="0.4">
      <c r="A412" s="11" t="s">
        <v>18908</v>
      </c>
      <c r="B412" s="11" t="s">
        <v>6071</v>
      </c>
      <c r="C412" s="11" t="s">
        <v>18721</v>
      </c>
      <c r="D412" s="12">
        <v>40909</v>
      </c>
      <c r="E412" s="12">
        <v>40909</v>
      </c>
      <c r="F412" s="11"/>
      <c r="G412" s="11" t="s">
        <v>279</v>
      </c>
      <c r="H412" s="11" t="s">
        <v>30</v>
      </c>
      <c r="I412" s="11" t="s">
        <v>21951</v>
      </c>
    </row>
    <row r="413" spans="1:9" ht="13.15" x14ac:dyDescent="0.4">
      <c r="A413" s="11" t="s">
        <v>18951</v>
      </c>
      <c r="B413" s="11" t="s">
        <v>6071</v>
      </c>
      <c r="C413" s="11" t="s">
        <v>18721</v>
      </c>
      <c r="D413" s="12">
        <v>40909</v>
      </c>
      <c r="E413" s="12">
        <v>40909</v>
      </c>
      <c r="F413" s="11"/>
      <c r="G413" s="11" t="s">
        <v>279</v>
      </c>
      <c r="H413" s="11" t="s">
        <v>30</v>
      </c>
      <c r="I413" s="11" t="s">
        <v>21908</v>
      </c>
    </row>
    <row r="414" spans="1:9" ht="13.15" x14ac:dyDescent="0.4">
      <c r="A414" s="11" t="s">
        <v>20123</v>
      </c>
      <c r="B414" s="11" t="s">
        <v>6071</v>
      </c>
      <c r="C414" s="11" t="s">
        <v>18721</v>
      </c>
      <c r="D414" s="12">
        <v>41275</v>
      </c>
      <c r="E414" s="12">
        <v>41275</v>
      </c>
      <c r="F414" s="11"/>
      <c r="G414" s="11" t="s">
        <v>279</v>
      </c>
      <c r="H414" s="11" t="s">
        <v>30</v>
      </c>
      <c r="I414" s="11" t="s">
        <v>20736</v>
      </c>
    </row>
    <row r="415" spans="1:9" ht="13.15" x14ac:dyDescent="0.4">
      <c r="A415" s="11" t="s">
        <v>19579</v>
      </c>
      <c r="B415" s="11" t="s">
        <v>6071</v>
      </c>
      <c r="C415" s="11" t="s">
        <v>18721</v>
      </c>
      <c r="D415" s="12">
        <v>41640</v>
      </c>
      <c r="E415" s="12">
        <v>41640</v>
      </c>
      <c r="F415" s="11"/>
      <c r="G415" s="11" t="s">
        <v>279</v>
      </c>
      <c r="H415" s="11" t="s">
        <v>30</v>
      </c>
      <c r="I415" s="11" t="s">
        <v>21280</v>
      </c>
    </row>
    <row r="416" spans="1:9" ht="13.15" x14ac:dyDescent="0.4">
      <c r="A416" s="11" t="s">
        <v>18772</v>
      </c>
      <c r="B416" s="11" t="s">
        <v>6071</v>
      </c>
      <c r="C416" s="11" t="s">
        <v>18721</v>
      </c>
      <c r="D416" s="12">
        <v>41275</v>
      </c>
      <c r="E416" s="12">
        <v>41275</v>
      </c>
      <c r="F416" s="11"/>
      <c r="G416" s="11" t="s">
        <v>279</v>
      </c>
      <c r="H416" s="11" t="s">
        <v>30</v>
      </c>
      <c r="I416" s="11" t="s">
        <v>22087</v>
      </c>
    </row>
    <row r="417" spans="1:9" ht="13.15" x14ac:dyDescent="0.4">
      <c r="A417" s="11" t="s">
        <v>19937</v>
      </c>
      <c r="B417" s="11" t="s">
        <v>6071</v>
      </c>
      <c r="C417" s="11" t="s">
        <v>18721</v>
      </c>
      <c r="D417" s="12">
        <v>41640</v>
      </c>
      <c r="E417" s="12">
        <v>41640</v>
      </c>
      <c r="F417" s="11"/>
      <c r="G417" s="11" t="s">
        <v>279</v>
      </c>
      <c r="H417" s="11" t="s">
        <v>30</v>
      </c>
      <c r="I417" s="11" t="s">
        <v>20922</v>
      </c>
    </row>
    <row r="418" spans="1:9" ht="13.15" x14ac:dyDescent="0.4">
      <c r="A418" s="11" t="s">
        <v>18903</v>
      </c>
      <c r="B418" s="11" t="s">
        <v>6071</v>
      </c>
      <c r="C418" s="11" t="s">
        <v>18721</v>
      </c>
      <c r="D418" s="12">
        <v>41275</v>
      </c>
      <c r="E418" s="12">
        <v>41275</v>
      </c>
      <c r="F418" s="11"/>
      <c r="G418" s="11" t="s">
        <v>279</v>
      </c>
      <c r="H418" s="11" t="s">
        <v>30</v>
      </c>
      <c r="I418" s="11" t="s">
        <v>21956</v>
      </c>
    </row>
    <row r="419" spans="1:9" ht="13.15" x14ac:dyDescent="0.4">
      <c r="A419" s="11" t="s">
        <v>19432</v>
      </c>
      <c r="B419" s="11" t="s">
        <v>6071</v>
      </c>
      <c r="C419" s="11" t="s">
        <v>18721</v>
      </c>
      <c r="D419" s="12">
        <v>41640</v>
      </c>
      <c r="E419" s="12">
        <v>41640</v>
      </c>
      <c r="F419" s="11"/>
      <c r="G419" s="11" t="s">
        <v>279</v>
      </c>
      <c r="H419" s="11" t="s">
        <v>30</v>
      </c>
      <c r="I419" s="11" t="s">
        <v>21427</v>
      </c>
    </row>
    <row r="420" spans="1:9" ht="13.15" x14ac:dyDescent="0.4">
      <c r="A420" s="11" t="s">
        <v>20242</v>
      </c>
      <c r="B420" s="11" t="s">
        <v>6071</v>
      </c>
      <c r="C420" s="11" t="s">
        <v>18721</v>
      </c>
      <c r="D420" s="12">
        <v>41275</v>
      </c>
      <c r="E420" s="12">
        <v>41275</v>
      </c>
      <c r="F420" s="11"/>
      <c r="G420" s="11" t="s">
        <v>279</v>
      </c>
      <c r="H420" s="11" t="s">
        <v>30</v>
      </c>
      <c r="I420" s="11" t="s">
        <v>20617</v>
      </c>
    </row>
    <row r="421" spans="1:9" ht="13.15" x14ac:dyDescent="0.4">
      <c r="A421" s="11" t="s">
        <v>19552</v>
      </c>
      <c r="B421" s="11" t="s">
        <v>6071</v>
      </c>
      <c r="C421" s="11" t="s">
        <v>18721</v>
      </c>
      <c r="D421" s="12">
        <v>41640</v>
      </c>
      <c r="E421" s="12">
        <v>41640</v>
      </c>
      <c r="F421" s="11"/>
      <c r="G421" s="11" t="s">
        <v>279</v>
      </c>
      <c r="H421" s="11" t="s">
        <v>30</v>
      </c>
      <c r="I421" s="11" t="s">
        <v>21307</v>
      </c>
    </row>
    <row r="422" spans="1:9" ht="13.15" x14ac:dyDescent="0.4">
      <c r="A422" s="11" t="s">
        <v>19589</v>
      </c>
      <c r="B422" s="11" t="s">
        <v>6071</v>
      </c>
      <c r="C422" s="11" t="s">
        <v>18721</v>
      </c>
      <c r="D422" s="12">
        <v>41275</v>
      </c>
      <c r="E422" s="12">
        <v>41275</v>
      </c>
      <c r="F422" s="11"/>
      <c r="G422" s="11" t="s">
        <v>279</v>
      </c>
      <c r="H422" s="11" t="s">
        <v>30</v>
      </c>
      <c r="I422" s="11" t="s">
        <v>21270</v>
      </c>
    </row>
    <row r="423" spans="1:9" ht="13.15" x14ac:dyDescent="0.4">
      <c r="A423" s="11" t="s">
        <v>19517</v>
      </c>
      <c r="B423" s="11" t="s">
        <v>6071</v>
      </c>
      <c r="C423" s="11" t="s">
        <v>18721</v>
      </c>
      <c r="D423" s="12">
        <v>41275</v>
      </c>
      <c r="E423" s="12">
        <v>41275</v>
      </c>
      <c r="F423" s="11"/>
      <c r="G423" s="11" t="s">
        <v>279</v>
      </c>
      <c r="H423" s="11" t="s">
        <v>30</v>
      </c>
      <c r="I423" s="11" t="s">
        <v>21342</v>
      </c>
    </row>
    <row r="424" spans="1:9" ht="13.15" x14ac:dyDescent="0.4">
      <c r="A424" s="11" t="s">
        <v>19612</v>
      </c>
      <c r="B424" s="11" t="s">
        <v>6071</v>
      </c>
      <c r="C424" s="11" t="s">
        <v>18721</v>
      </c>
      <c r="D424" s="12">
        <v>41640</v>
      </c>
      <c r="E424" s="12">
        <v>41640</v>
      </c>
      <c r="F424" s="11"/>
      <c r="G424" s="11" t="s">
        <v>279</v>
      </c>
      <c r="H424" s="11" t="s">
        <v>30</v>
      </c>
      <c r="I424" s="11" t="s">
        <v>21247</v>
      </c>
    </row>
    <row r="425" spans="1:9" ht="13.15" x14ac:dyDescent="0.4">
      <c r="A425" s="11" t="s">
        <v>19147</v>
      </c>
      <c r="B425" s="11" t="s">
        <v>6071</v>
      </c>
      <c r="C425" s="11" t="s">
        <v>18721</v>
      </c>
      <c r="D425" s="12">
        <v>41275</v>
      </c>
      <c r="E425" s="12">
        <v>41275</v>
      </c>
      <c r="F425" s="11"/>
      <c r="G425" s="11" t="s">
        <v>279</v>
      </c>
      <c r="H425" s="11" t="s">
        <v>30</v>
      </c>
      <c r="I425" s="11" t="s">
        <v>21712</v>
      </c>
    </row>
    <row r="426" spans="1:9" ht="13.15" x14ac:dyDescent="0.4">
      <c r="A426" s="11" t="s">
        <v>20210</v>
      </c>
      <c r="B426" s="11" t="s">
        <v>6071</v>
      </c>
      <c r="C426" s="11" t="s">
        <v>18721</v>
      </c>
      <c r="D426" s="12">
        <v>41640</v>
      </c>
      <c r="E426" s="12">
        <v>41640</v>
      </c>
      <c r="F426" s="11"/>
      <c r="G426" s="11" t="s">
        <v>279</v>
      </c>
      <c r="H426" s="11" t="s">
        <v>30</v>
      </c>
      <c r="I426" s="11" t="s">
        <v>20649</v>
      </c>
    </row>
    <row r="427" spans="1:9" ht="13.15" x14ac:dyDescent="0.4">
      <c r="A427" s="11" t="s">
        <v>18868</v>
      </c>
      <c r="B427" s="11" t="s">
        <v>6071</v>
      </c>
      <c r="C427" s="11" t="s">
        <v>18721</v>
      </c>
      <c r="D427" s="12">
        <v>41640</v>
      </c>
      <c r="E427" s="12">
        <v>41640</v>
      </c>
      <c r="F427" s="11"/>
      <c r="G427" s="11" t="s">
        <v>279</v>
      </c>
      <c r="H427" s="11" t="s">
        <v>30</v>
      </c>
      <c r="I427" s="11" t="s">
        <v>21991</v>
      </c>
    </row>
    <row r="428" spans="1:9" ht="13.15" x14ac:dyDescent="0.4">
      <c r="A428" s="11" t="s">
        <v>20191</v>
      </c>
      <c r="B428" s="11" t="s">
        <v>6071</v>
      </c>
      <c r="C428" s="11" t="s">
        <v>18721</v>
      </c>
      <c r="D428" s="12">
        <v>41640</v>
      </c>
      <c r="E428" s="12">
        <v>41640</v>
      </c>
      <c r="F428" s="11"/>
      <c r="G428" s="11" t="s">
        <v>279</v>
      </c>
      <c r="H428" s="11" t="s">
        <v>30</v>
      </c>
      <c r="I428" s="11" t="s">
        <v>20668</v>
      </c>
    </row>
    <row r="429" spans="1:9" ht="13.15" x14ac:dyDescent="0.4">
      <c r="A429" s="11" t="s">
        <v>20346</v>
      </c>
      <c r="B429" s="11" t="s">
        <v>6071</v>
      </c>
      <c r="C429" s="11" t="s">
        <v>18721</v>
      </c>
      <c r="D429" s="12">
        <v>41640</v>
      </c>
      <c r="E429" s="12">
        <v>41640</v>
      </c>
      <c r="F429" s="11"/>
      <c r="G429" s="11" t="s">
        <v>279</v>
      </c>
      <c r="H429" s="11" t="s">
        <v>30</v>
      </c>
      <c r="I429" s="11" t="s">
        <v>20513</v>
      </c>
    </row>
    <row r="430" spans="1:9" ht="13.15" x14ac:dyDescent="0.4">
      <c r="A430" s="11" t="s">
        <v>18757</v>
      </c>
      <c r="B430" s="11" t="s">
        <v>6071</v>
      </c>
      <c r="C430" s="11" t="s">
        <v>18721</v>
      </c>
      <c r="D430" s="12">
        <v>41275</v>
      </c>
      <c r="E430" s="12">
        <v>41275</v>
      </c>
      <c r="F430" s="11"/>
      <c r="G430" s="11" t="s">
        <v>279</v>
      </c>
      <c r="H430" s="11" t="s">
        <v>30</v>
      </c>
      <c r="I430" s="11" t="s">
        <v>22102</v>
      </c>
    </row>
    <row r="431" spans="1:9" ht="13.15" x14ac:dyDescent="0.4">
      <c r="A431" s="11" t="s">
        <v>19621</v>
      </c>
      <c r="B431" s="11" t="s">
        <v>6071</v>
      </c>
      <c r="C431" s="11" t="s">
        <v>18721</v>
      </c>
      <c r="D431" s="12">
        <v>41640</v>
      </c>
      <c r="E431" s="12">
        <v>41640</v>
      </c>
      <c r="F431" s="11"/>
      <c r="G431" s="11" t="s">
        <v>279</v>
      </c>
      <c r="H431" s="11" t="s">
        <v>30</v>
      </c>
      <c r="I431" s="11" t="s">
        <v>21238</v>
      </c>
    </row>
    <row r="432" spans="1:9" ht="13.15" x14ac:dyDescent="0.4">
      <c r="A432" s="11" t="s">
        <v>18793</v>
      </c>
      <c r="B432" s="11" t="s">
        <v>6071</v>
      </c>
      <c r="C432" s="11" t="s">
        <v>18721</v>
      </c>
      <c r="D432" s="12">
        <v>41275</v>
      </c>
      <c r="E432" s="12">
        <v>41275</v>
      </c>
      <c r="F432" s="11"/>
      <c r="G432" s="11" t="s">
        <v>279</v>
      </c>
      <c r="H432" s="11" t="s">
        <v>30</v>
      </c>
      <c r="I432" s="11" t="s">
        <v>22066</v>
      </c>
    </row>
    <row r="433" spans="1:9" ht="13.15" x14ac:dyDescent="0.4">
      <c r="A433" s="11" t="s">
        <v>19192</v>
      </c>
      <c r="B433" s="11" t="s">
        <v>6071</v>
      </c>
      <c r="C433" s="11" t="s">
        <v>18721</v>
      </c>
      <c r="D433" s="12">
        <v>41640</v>
      </c>
      <c r="E433" s="12">
        <v>41640</v>
      </c>
      <c r="F433" s="11"/>
      <c r="G433" s="11" t="s">
        <v>279</v>
      </c>
      <c r="H433" s="11" t="s">
        <v>30</v>
      </c>
      <c r="I433" s="11" t="s">
        <v>21667</v>
      </c>
    </row>
    <row r="434" spans="1:9" ht="13.15" x14ac:dyDescent="0.4">
      <c r="A434" s="11" t="s">
        <v>19330</v>
      </c>
      <c r="B434" s="11" t="s">
        <v>6071</v>
      </c>
      <c r="C434" s="11" t="s">
        <v>18721</v>
      </c>
      <c r="D434" s="12">
        <v>41640</v>
      </c>
      <c r="E434" s="12">
        <v>41640</v>
      </c>
      <c r="F434" s="11"/>
      <c r="G434" s="11" t="s">
        <v>279</v>
      </c>
      <c r="H434" s="11" t="s">
        <v>30</v>
      </c>
      <c r="I434" s="11" t="s">
        <v>21529</v>
      </c>
    </row>
    <row r="435" spans="1:9" ht="13.15" x14ac:dyDescent="0.4">
      <c r="A435" s="11" t="s">
        <v>20405</v>
      </c>
      <c r="B435" s="11" t="s">
        <v>6071</v>
      </c>
      <c r="C435" s="11" t="s">
        <v>18721</v>
      </c>
      <c r="D435" s="12">
        <v>41275</v>
      </c>
      <c r="E435" s="12">
        <v>41275</v>
      </c>
      <c r="F435" s="11"/>
      <c r="G435" s="11" t="s">
        <v>279</v>
      </c>
      <c r="H435" s="11" t="s">
        <v>30</v>
      </c>
      <c r="I435" s="11" t="s">
        <v>20454</v>
      </c>
    </row>
    <row r="436" spans="1:9" ht="13.15" x14ac:dyDescent="0.4">
      <c r="A436" s="11" t="s">
        <v>19083</v>
      </c>
      <c r="B436" s="11" t="s">
        <v>6071</v>
      </c>
      <c r="C436" s="11" t="s">
        <v>18721</v>
      </c>
      <c r="D436" s="12">
        <v>41640</v>
      </c>
      <c r="E436" s="12">
        <v>41640</v>
      </c>
      <c r="F436" s="11"/>
      <c r="G436" s="11" t="s">
        <v>279</v>
      </c>
      <c r="H436" s="11" t="s">
        <v>30</v>
      </c>
      <c r="I436" s="11" t="s">
        <v>21776</v>
      </c>
    </row>
    <row r="437" spans="1:9" ht="13.15" x14ac:dyDescent="0.4">
      <c r="A437" s="11" t="s">
        <v>20028</v>
      </c>
      <c r="B437" s="11" t="s">
        <v>6071</v>
      </c>
      <c r="C437" s="11" t="s">
        <v>18721</v>
      </c>
      <c r="D437" s="12">
        <v>41640</v>
      </c>
      <c r="E437" s="12">
        <v>41640</v>
      </c>
      <c r="F437" s="11"/>
      <c r="G437" s="11" t="s">
        <v>279</v>
      </c>
      <c r="H437" s="11" t="s">
        <v>30</v>
      </c>
      <c r="I437" s="11" t="s">
        <v>20831</v>
      </c>
    </row>
    <row r="438" spans="1:9" ht="13.15" x14ac:dyDescent="0.4">
      <c r="A438" s="11" t="s">
        <v>19757</v>
      </c>
      <c r="B438" s="11" t="s">
        <v>6071</v>
      </c>
      <c r="C438" s="11" t="s">
        <v>18721</v>
      </c>
      <c r="D438" s="12">
        <v>41275</v>
      </c>
      <c r="E438" s="12">
        <v>41275</v>
      </c>
      <c r="F438" s="11"/>
      <c r="G438" s="11" t="s">
        <v>279</v>
      </c>
      <c r="H438" s="11" t="s">
        <v>30</v>
      </c>
      <c r="I438" s="11" t="s">
        <v>21102</v>
      </c>
    </row>
    <row r="439" spans="1:9" ht="13.15" x14ac:dyDescent="0.4">
      <c r="A439" s="11" t="s">
        <v>19898</v>
      </c>
      <c r="B439" s="11" t="s">
        <v>6071</v>
      </c>
      <c r="C439" s="11" t="s">
        <v>18721</v>
      </c>
      <c r="D439" s="12">
        <v>41275</v>
      </c>
      <c r="E439" s="12">
        <v>41275</v>
      </c>
      <c r="F439" s="11"/>
      <c r="G439" s="11" t="s">
        <v>279</v>
      </c>
      <c r="H439" s="11" t="s">
        <v>30</v>
      </c>
      <c r="I439" s="11" t="s">
        <v>20961</v>
      </c>
    </row>
    <row r="440" spans="1:9" ht="13.15" x14ac:dyDescent="0.4">
      <c r="A440" s="11" t="s">
        <v>19673</v>
      </c>
      <c r="B440" s="11" t="s">
        <v>6071</v>
      </c>
      <c r="C440" s="11" t="s">
        <v>18721</v>
      </c>
      <c r="D440" s="12">
        <v>41275</v>
      </c>
      <c r="E440" s="12">
        <v>41275</v>
      </c>
      <c r="F440" s="11"/>
      <c r="G440" s="11" t="s">
        <v>279</v>
      </c>
      <c r="H440" s="11" t="s">
        <v>30</v>
      </c>
      <c r="I440" s="11" t="s">
        <v>21186</v>
      </c>
    </row>
    <row r="441" spans="1:9" ht="13.15" x14ac:dyDescent="0.4">
      <c r="A441" s="11" t="s">
        <v>19519</v>
      </c>
      <c r="B441" s="11" t="s">
        <v>6071</v>
      </c>
      <c r="C441" s="11" t="s">
        <v>18721</v>
      </c>
      <c r="D441" s="12">
        <v>41275</v>
      </c>
      <c r="E441" s="12">
        <v>41275</v>
      </c>
      <c r="F441" s="11"/>
      <c r="G441" s="11" t="s">
        <v>279</v>
      </c>
      <c r="H441" s="11" t="s">
        <v>30</v>
      </c>
      <c r="I441" s="11" t="s">
        <v>21340</v>
      </c>
    </row>
    <row r="442" spans="1:9" ht="13.15" x14ac:dyDescent="0.4">
      <c r="A442" s="11" t="s">
        <v>20357</v>
      </c>
      <c r="B442" s="11" t="s">
        <v>6071</v>
      </c>
      <c r="C442" s="11" t="s">
        <v>18721</v>
      </c>
      <c r="D442" s="12">
        <v>41275</v>
      </c>
      <c r="E442" s="12">
        <v>41275</v>
      </c>
      <c r="F442" s="11"/>
      <c r="G442" s="11" t="s">
        <v>279</v>
      </c>
      <c r="H442" s="11" t="s">
        <v>30</v>
      </c>
      <c r="I442" s="11" t="s">
        <v>20502</v>
      </c>
    </row>
    <row r="443" spans="1:9" ht="13.15" x14ac:dyDescent="0.4">
      <c r="A443" s="11" t="s">
        <v>19540</v>
      </c>
      <c r="B443" s="11" t="s">
        <v>6071</v>
      </c>
      <c r="C443" s="11" t="s">
        <v>18721</v>
      </c>
      <c r="D443" s="12">
        <v>41275</v>
      </c>
      <c r="E443" s="12">
        <v>41275</v>
      </c>
      <c r="F443" s="11"/>
      <c r="G443" s="11" t="s">
        <v>279</v>
      </c>
      <c r="H443" s="11" t="s">
        <v>30</v>
      </c>
      <c r="I443" s="11" t="s">
        <v>21319</v>
      </c>
    </row>
    <row r="444" spans="1:9" ht="13.15" x14ac:dyDescent="0.4">
      <c r="A444" s="11" t="s">
        <v>19380</v>
      </c>
      <c r="B444" s="11" t="s">
        <v>6071</v>
      </c>
      <c r="C444" s="11" t="s">
        <v>18721</v>
      </c>
      <c r="D444" s="12">
        <v>41275</v>
      </c>
      <c r="E444" s="12">
        <v>41275</v>
      </c>
      <c r="F444" s="11"/>
      <c r="G444" s="11" t="s">
        <v>279</v>
      </c>
      <c r="H444" s="11" t="s">
        <v>30</v>
      </c>
      <c r="I444" s="11" t="s">
        <v>21479</v>
      </c>
    </row>
    <row r="445" spans="1:9" ht="13.15" x14ac:dyDescent="0.4">
      <c r="A445" s="11" t="s">
        <v>19445</v>
      </c>
      <c r="B445" s="11" t="s">
        <v>6071</v>
      </c>
      <c r="C445" s="11" t="s">
        <v>18721</v>
      </c>
      <c r="D445" s="12">
        <v>41640</v>
      </c>
      <c r="E445" s="12">
        <v>41640</v>
      </c>
      <c r="F445" s="11"/>
      <c r="G445" s="11" t="s">
        <v>279</v>
      </c>
      <c r="H445" s="11" t="s">
        <v>30</v>
      </c>
      <c r="I445" s="11" t="s">
        <v>21414</v>
      </c>
    </row>
    <row r="446" spans="1:9" ht="13.15" x14ac:dyDescent="0.4">
      <c r="A446" s="11" t="s">
        <v>18820</v>
      </c>
      <c r="B446" s="11" t="s">
        <v>6071</v>
      </c>
      <c r="C446" s="11" t="s">
        <v>18721</v>
      </c>
      <c r="D446" s="12">
        <v>41640</v>
      </c>
      <c r="E446" s="12">
        <v>41640</v>
      </c>
      <c r="F446" s="11"/>
      <c r="G446" s="11" t="s">
        <v>279</v>
      </c>
      <c r="H446" s="11" t="s">
        <v>30</v>
      </c>
      <c r="I446" s="11" t="s">
        <v>22039</v>
      </c>
    </row>
    <row r="447" spans="1:9" ht="13.15" x14ac:dyDescent="0.4">
      <c r="A447" s="11" t="s">
        <v>18878</v>
      </c>
      <c r="B447" s="11" t="s">
        <v>6071</v>
      </c>
      <c r="C447" s="11" t="s">
        <v>18721</v>
      </c>
      <c r="D447" s="12">
        <v>41640</v>
      </c>
      <c r="E447" s="12">
        <v>41640</v>
      </c>
      <c r="F447" s="11"/>
      <c r="G447" s="11" t="s">
        <v>279</v>
      </c>
      <c r="H447" s="11" t="s">
        <v>30</v>
      </c>
      <c r="I447" s="11" t="s">
        <v>21981</v>
      </c>
    </row>
    <row r="448" spans="1:9" ht="13.15" x14ac:dyDescent="0.4">
      <c r="A448" s="11" t="s">
        <v>20125</v>
      </c>
      <c r="B448" s="11" t="s">
        <v>6071</v>
      </c>
      <c r="C448" s="11" t="s">
        <v>18721</v>
      </c>
      <c r="D448" s="12">
        <v>41275</v>
      </c>
      <c r="E448" s="12">
        <v>41275</v>
      </c>
      <c r="F448" s="11"/>
      <c r="G448" s="11" t="s">
        <v>279</v>
      </c>
      <c r="H448" s="11" t="s">
        <v>30</v>
      </c>
      <c r="I448" s="11" t="s">
        <v>20734</v>
      </c>
    </row>
    <row r="449" spans="1:9" ht="13.15" x14ac:dyDescent="0.4">
      <c r="A449" s="11" t="s">
        <v>20232</v>
      </c>
      <c r="B449" s="11" t="s">
        <v>6071</v>
      </c>
      <c r="C449" s="11" t="s">
        <v>18721</v>
      </c>
      <c r="D449" s="12">
        <v>41640</v>
      </c>
      <c r="E449" s="12">
        <v>41640</v>
      </c>
      <c r="F449" s="11"/>
      <c r="G449" s="11" t="s">
        <v>279</v>
      </c>
      <c r="H449" s="11" t="s">
        <v>30</v>
      </c>
      <c r="I449" s="11" t="s">
        <v>20627</v>
      </c>
    </row>
    <row r="450" spans="1:9" ht="13.15" x14ac:dyDescent="0.4">
      <c r="A450" s="11" t="s">
        <v>19361</v>
      </c>
      <c r="B450" s="11" t="s">
        <v>6071</v>
      </c>
      <c r="C450" s="11" t="s">
        <v>18721</v>
      </c>
      <c r="D450" s="12">
        <v>41640</v>
      </c>
      <c r="E450" s="12">
        <v>41640</v>
      </c>
      <c r="F450" s="11"/>
      <c r="G450" s="11" t="s">
        <v>279</v>
      </c>
      <c r="H450" s="11" t="s">
        <v>30</v>
      </c>
      <c r="I450" s="11" t="s">
        <v>21498</v>
      </c>
    </row>
    <row r="451" spans="1:9" ht="13.15" x14ac:dyDescent="0.4">
      <c r="A451" s="11" t="s">
        <v>19046</v>
      </c>
      <c r="B451" s="11" t="s">
        <v>6071</v>
      </c>
      <c r="C451" s="11" t="s">
        <v>18721</v>
      </c>
      <c r="D451" s="12">
        <v>41275</v>
      </c>
      <c r="E451" s="12">
        <v>41275</v>
      </c>
      <c r="F451" s="11"/>
      <c r="G451" s="11" t="s">
        <v>279</v>
      </c>
      <c r="H451" s="11" t="s">
        <v>30</v>
      </c>
      <c r="I451" s="11" t="s">
        <v>21813</v>
      </c>
    </row>
    <row r="452" spans="1:9" ht="13.15" x14ac:dyDescent="0.4">
      <c r="A452" s="11" t="s">
        <v>20311</v>
      </c>
      <c r="B452" s="11" t="s">
        <v>6071</v>
      </c>
      <c r="C452" s="11" t="s">
        <v>18721</v>
      </c>
      <c r="D452" s="12">
        <v>41640</v>
      </c>
      <c r="E452" s="12">
        <v>41640</v>
      </c>
      <c r="F452" s="11"/>
      <c r="G452" s="11" t="s">
        <v>279</v>
      </c>
      <c r="H452" s="11" t="s">
        <v>30</v>
      </c>
      <c r="I452" s="11" t="s">
        <v>20548</v>
      </c>
    </row>
    <row r="453" spans="1:9" ht="13.15" x14ac:dyDescent="0.4">
      <c r="A453" s="11" t="s">
        <v>20085</v>
      </c>
      <c r="B453" s="11" t="s">
        <v>6071</v>
      </c>
      <c r="C453" s="11" t="s">
        <v>18721</v>
      </c>
      <c r="D453" s="12">
        <v>41640</v>
      </c>
      <c r="E453" s="12">
        <v>41640</v>
      </c>
      <c r="F453" s="11"/>
      <c r="G453" s="11" t="s">
        <v>279</v>
      </c>
      <c r="H453" s="11" t="s">
        <v>30</v>
      </c>
      <c r="I453" s="11" t="s">
        <v>20774</v>
      </c>
    </row>
    <row r="454" spans="1:9" ht="13.15" x14ac:dyDescent="0.4">
      <c r="A454" s="11" t="s">
        <v>19950</v>
      </c>
      <c r="B454" s="11" t="s">
        <v>6071</v>
      </c>
      <c r="C454" s="11" t="s">
        <v>18721</v>
      </c>
      <c r="D454" s="12">
        <v>41275</v>
      </c>
      <c r="E454" s="12">
        <v>41275</v>
      </c>
      <c r="F454" s="11"/>
      <c r="G454" s="11" t="s">
        <v>279</v>
      </c>
      <c r="H454" s="11" t="s">
        <v>30</v>
      </c>
      <c r="I454" s="11" t="s">
        <v>20909</v>
      </c>
    </row>
    <row r="455" spans="1:9" ht="13.15" x14ac:dyDescent="0.4">
      <c r="A455" s="11" t="s">
        <v>20078</v>
      </c>
      <c r="B455" s="11" t="s">
        <v>6071</v>
      </c>
      <c r="C455" s="11" t="s">
        <v>18721</v>
      </c>
      <c r="D455" s="12">
        <v>41640</v>
      </c>
      <c r="E455" s="12">
        <v>41640</v>
      </c>
      <c r="F455" s="11"/>
      <c r="G455" s="11" t="s">
        <v>279</v>
      </c>
      <c r="H455" s="11" t="s">
        <v>30</v>
      </c>
      <c r="I455" s="11" t="s">
        <v>20781</v>
      </c>
    </row>
    <row r="456" spans="1:9" ht="13.15" x14ac:dyDescent="0.4">
      <c r="A456" s="11" t="s">
        <v>19471</v>
      </c>
      <c r="B456" s="11" t="s">
        <v>6071</v>
      </c>
      <c r="C456" s="11" t="s">
        <v>18721</v>
      </c>
      <c r="D456" s="12">
        <v>41275</v>
      </c>
      <c r="E456" s="12">
        <v>41275</v>
      </c>
      <c r="F456" s="11"/>
      <c r="G456" s="11" t="s">
        <v>279</v>
      </c>
      <c r="H456" s="11" t="s">
        <v>30</v>
      </c>
      <c r="I456" s="11" t="s">
        <v>21388</v>
      </c>
    </row>
    <row r="457" spans="1:9" ht="13.15" x14ac:dyDescent="0.4">
      <c r="A457" s="11" t="s">
        <v>19778</v>
      </c>
      <c r="B457" s="11" t="s">
        <v>6071</v>
      </c>
      <c r="C457" s="11" t="s">
        <v>18721</v>
      </c>
      <c r="D457" s="12">
        <v>41275</v>
      </c>
      <c r="E457" s="12">
        <v>41275</v>
      </c>
      <c r="F457" s="11"/>
      <c r="G457" s="11" t="s">
        <v>279</v>
      </c>
      <c r="H457" s="11" t="s">
        <v>30</v>
      </c>
      <c r="I457" s="11" t="s">
        <v>21081</v>
      </c>
    </row>
    <row r="458" spans="1:9" ht="13.15" x14ac:dyDescent="0.4">
      <c r="A458" s="11" t="s">
        <v>20243</v>
      </c>
      <c r="B458" s="11" t="s">
        <v>6071</v>
      </c>
      <c r="C458" s="11" t="s">
        <v>18721</v>
      </c>
      <c r="D458" s="12">
        <v>41275</v>
      </c>
      <c r="E458" s="12">
        <v>41275</v>
      </c>
      <c r="F458" s="11"/>
      <c r="G458" s="11" t="s">
        <v>279</v>
      </c>
      <c r="H458" s="11" t="s">
        <v>30</v>
      </c>
      <c r="I458" s="11" t="s">
        <v>20616</v>
      </c>
    </row>
    <row r="459" spans="1:9" ht="13.15" x14ac:dyDescent="0.4">
      <c r="A459" s="11" t="s">
        <v>19734</v>
      </c>
      <c r="B459" s="11" t="s">
        <v>6071</v>
      </c>
      <c r="C459" s="11" t="s">
        <v>18721</v>
      </c>
      <c r="D459" s="12">
        <v>41275</v>
      </c>
      <c r="E459" s="12">
        <v>41275</v>
      </c>
      <c r="F459" s="11"/>
      <c r="G459" s="11" t="s">
        <v>279</v>
      </c>
      <c r="H459" s="11" t="s">
        <v>30</v>
      </c>
      <c r="I459" s="11" t="s">
        <v>21125</v>
      </c>
    </row>
    <row r="460" spans="1:9" ht="13.15" x14ac:dyDescent="0.4">
      <c r="A460" s="11" t="s">
        <v>19664</v>
      </c>
      <c r="B460" s="11" t="s">
        <v>6071</v>
      </c>
      <c r="C460" s="11" t="s">
        <v>18721</v>
      </c>
      <c r="D460" s="12">
        <v>41275</v>
      </c>
      <c r="E460" s="12">
        <v>41275</v>
      </c>
      <c r="F460" s="11"/>
      <c r="G460" s="11" t="s">
        <v>279</v>
      </c>
      <c r="H460" s="11" t="s">
        <v>30</v>
      </c>
      <c r="I460" s="11" t="s">
        <v>21195</v>
      </c>
    </row>
    <row r="461" spans="1:9" ht="13.15" x14ac:dyDescent="0.4">
      <c r="A461" s="11" t="s">
        <v>19622</v>
      </c>
      <c r="B461" s="11" t="s">
        <v>6071</v>
      </c>
      <c r="C461" s="11" t="s">
        <v>18721</v>
      </c>
      <c r="D461" s="12">
        <v>41275</v>
      </c>
      <c r="E461" s="12">
        <v>41275</v>
      </c>
      <c r="F461" s="11"/>
      <c r="G461" s="11" t="s">
        <v>279</v>
      </c>
      <c r="H461" s="11" t="s">
        <v>30</v>
      </c>
      <c r="I461" s="11" t="s">
        <v>21237</v>
      </c>
    </row>
    <row r="462" spans="1:9" ht="13.15" x14ac:dyDescent="0.4">
      <c r="A462" s="11" t="s">
        <v>19371</v>
      </c>
      <c r="B462" s="11" t="s">
        <v>6071</v>
      </c>
      <c r="C462" s="11" t="s">
        <v>18721</v>
      </c>
      <c r="D462" s="12">
        <v>41275</v>
      </c>
      <c r="E462" s="12">
        <v>41275</v>
      </c>
      <c r="F462" s="11"/>
      <c r="G462" s="11" t="s">
        <v>279</v>
      </c>
      <c r="H462" s="11" t="s">
        <v>30</v>
      </c>
      <c r="I462" s="11" t="s">
        <v>21488</v>
      </c>
    </row>
    <row r="463" spans="1:9" ht="13.15" x14ac:dyDescent="0.4">
      <c r="A463" s="11" t="s">
        <v>19879</v>
      </c>
      <c r="B463" s="11" t="s">
        <v>6071</v>
      </c>
      <c r="C463" s="11" t="s">
        <v>18721</v>
      </c>
      <c r="D463" s="12">
        <v>41275</v>
      </c>
      <c r="E463" s="12">
        <v>41275</v>
      </c>
      <c r="F463" s="11"/>
      <c r="G463" s="11" t="s">
        <v>279</v>
      </c>
      <c r="H463" s="11" t="s">
        <v>30</v>
      </c>
      <c r="I463" s="11" t="s">
        <v>20980</v>
      </c>
    </row>
    <row r="464" spans="1:9" ht="13.15" x14ac:dyDescent="0.4">
      <c r="A464" s="11" t="s">
        <v>18822</v>
      </c>
      <c r="B464" s="11" t="s">
        <v>6071</v>
      </c>
      <c r="C464" s="11" t="s">
        <v>18721</v>
      </c>
      <c r="D464" s="12">
        <v>41275</v>
      </c>
      <c r="E464" s="12">
        <v>41275</v>
      </c>
      <c r="F464" s="11"/>
      <c r="G464" s="11" t="s">
        <v>279</v>
      </c>
      <c r="H464" s="11" t="s">
        <v>30</v>
      </c>
      <c r="I464" s="11" t="s">
        <v>22037</v>
      </c>
    </row>
    <row r="465" spans="1:9" ht="13.15" x14ac:dyDescent="0.4">
      <c r="A465" s="11" t="s">
        <v>19858</v>
      </c>
      <c r="B465" s="11" t="s">
        <v>6071</v>
      </c>
      <c r="C465" s="11" t="s">
        <v>18721</v>
      </c>
      <c r="D465" s="12">
        <v>41275</v>
      </c>
      <c r="E465" s="12">
        <v>41275</v>
      </c>
      <c r="F465" s="11"/>
      <c r="G465" s="11" t="s">
        <v>279</v>
      </c>
      <c r="H465" s="11" t="s">
        <v>30</v>
      </c>
      <c r="I465" s="11" t="s">
        <v>21001</v>
      </c>
    </row>
    <row r="466" spans="1:9" ht="13.15" x14ac:dyDescent="0.4">
      <c r="A466" s="11" t="s">
        <v>19873</v>
      </c>
      <c r="B466" s="11" t="s">
        <v>6071</v>
      </c>
      <c r="C466" s="11" t="s">
        <v>18721</v>
      </c>
      <c r="D466" s="12">
        <v>41275</v>
      </c>
      <c r="E466" s="12">
        <v>41275</v>
      </c>
      <c r="F466" s="11"/>
      <c r="G466" s="11" t="s">
        <v>279</v>
      </c>
      <c r="H466" s="11" t="s">
        <v>30</v>
      </c>
      <c r="I466" s="11" t="s">
        <v>20986</v>
      </c>
    </row>
    <row r="467" spans="1:9" ht="13.15" x14ac:dyDescent="0.4">
      <c r="A467" s="11" t="s">
        <v>20015</v>
      </c>
      <c r="B467" s="11" t="s">
        <v>6071</v>
      </c>
      <c r="C467" s="11" t="s">
        <v>18721</v>
      </c>
      <c r="D467" s="12">
        <v>40909</v>
      </c>
      <c r="E467" s="12">
        <v>40909</v>
      </c>
      <c r="F467" s="11"/>
      <c r="G467" s="11" t="s">
        <v>279</v>
      </c>
      <c r="H467" s="11" t="s">
        <v>30</v>
      </c>
      <c r="I467" s="11" t="s">
        <v>20844</v>
      </c>
    </row>
    <row r="468" spans="1:9" ht="13.15" x14ac:dyDescent="0.4">
      <c r="A468" s="11" t="s">
        <v>19889</v>
      </c>
      <c r="B468" s="11" t="s">
        <v>6071</v>
      </c>
      <c r="C468" s="11" t="s">
        <v>18721</v>
      </c>
      <c r="D468" s="12">
        <v>41275</v>
      </c>
      <c r="E468" s="12">
        <v>41275</v>
      </c>
      <c r="F468" s="11"/>
      <c r="G468" s="11" t="s">
        <v>279</v>
      </c>
      <c r="H468" s="11" t="s">
        <v>30</v>
      </c>
      <c r="I468" s="11" t="s">
        <v>20970</v>
      </c>
    </row>
    <row r="469" spans="1:9" ht="13.15" x14ac:dyDescent="0.4">
      <c r="A469" s="11" t="s">
        <v>19883</v>
      </c>
      <c r="B469" s="11" t="s">
        <v>6071</v>
      </c>
      <c r="C469" s="11" t="s">
        <v>18721</v>
      </c>
      <c r="D469" s="12">
        <v>40909</v>
      </c>
      <c r="E469" s="12">
        <v>40909</v>
      </c>
      <c r="F469" s="11"/>
      <c r="G469" s="11" t="s">
        <v>279</v>
      </c>
      <c r="H469" s="11" t="s">
        <v>30</v>
      </c>
      <c r="I469" s="11" t="s">
        <v>20976</v>
      </c>
    </row>
    <row r="470" spans="1:9" ht="13.15" x14ac:dyDescent="0.4">
      <c r="A470" s="11" t="s">
        <v>18840</v>
      </c>
      <c r="B470" s="11" t="s">
        <v>6071</v>
      </c>
      <c r="C470" s="11" t="s">
        <v>18721</v>
      </c>
      <c r="D470" s="12">
        <v>41275</v>
      </c>
      <c r="E470" s="12">
        <v>41275</v>
      </c>
      <c r="F470" s="11"/>
      <c r="G470" s="11" t="s">
        <v>279</v>
      </c>
      <c r="H470" s="11" t="s">
        <v>30</v>
      </c>
      <c r="I470" s="11" t="s">
        <v>22019</v>
      </c>
    </row>
    <row r="471" spans="1:9" ht="13.15" x14ac:dyDescent="0.4">
      <c r="A471" s="11" t="s">
        <v>18854</v>
      </c>
      <c r="B471" s="11" t="s">
        <v>6071</v>
      </c>
      <c r="C471" s="11" t="s">
        <v>18721</v>
      </c>
      <c r="D471" s="12">
        <v>40909</v>
      </c>
      <c r="E471" s="12">
        <v>40909</v>
      </c>
      <c r="F471" s="11"/>
      <c r="G471" s="11" t="s">
        <v>279</v>
      </c>
      <c r="H471" s="11" t="s">
        <v>30</v>
      </c>
      <c r="I471" s="11" t="s">
        <v>22005</v>
      </c>
    </row>
    <row r="472" spans="1:9" ht="13.15" x14ac:dyDescent="0.4">
      <c r="A472" s="11" t="s">
        <v>20365</v>
      </c>
      <c r="B472" s="11" t="s">
        <v>6071</v>
      </c>
      <c r="C472" s="11" t="s">
        <v>18721</v>
      </c>
      <c r="D472" s="12">
        <v>40909</v>
      </c>
      <c r="E472" s="12">
        <v>40909</v>
      </c>
      <c r="F472" s="11"/>
      <c r="G472" s="11" t="s">
        <v>279</v>
      </c>
      <c r="H472" s="11" t="s">
        <v>30</v>
      </c>
      <c r="I472" s="11" t="s">
        <v>20494</v>
      </c>
    </row>
    <row r="473" spans="1:9" ht="13.15" x14ac:dyDescent="0.4">
      <c r="A473" s="11" t="s">
        <v>19273</v>
      </c>
      <c r="B473" s="11" t="s">
        <v>6071</v>
      </c>
      <c r="C473" s="11" t="s">
        <v>18721</v>
      </c>
      <c r="D473" s="12">
        <v>41275</v>
      </c>
      <c r="E473" s="12">
        <v>41275</v>
      </c>
      <c r="F473" s="11"/>
      <c r="G473" s="11" t="s">
        <v>279</v>
      </c>
      <c r="H473" s="11" t="s">
        <v>30</v>
      </c>
      <c r="I473" s="11" t="s">
        <v>21586</v>
      </c>
    </row>
    <row r="474" spans="1:9" ht="13.15" x14ac:dyDescent="0.4">
      <c r="A474" s="11" t="s">
        <v>19900</v>
      </c>
      <c r="B474" s="11" t="s">
        <v>6071</v>
      </c>
      <c r="C474" s="11" t="s">
        <v>18721</v>
      </c>
      <c r="D474" s="12">
        <v>41640</v>
      </c>
      <c r="E474" s="12">
        <v>41640</v>
      </c>
      <c r="F474" s="11"/>
      <c r="G474" s="11" t="s">
        <v>279</v>
      </c>
      <c r="H474" s="11" t="s">
        <v>30</v>
      </c>
      <c r="I474" s="11" t="s">
        <v>20959</v>
      </c>
    </row>
    <row r="475" spans="1:9" ht="13.15" x14ac:dyDescent="0.4">
      <c r="A475" s="11" t="s">
        <v>19685</v>
      </c>
      <c r="B475" s="11" t="s">
        <v>6071</v>
      </c>
      <c r="C475" s="11" t="s">
        <v>18721</v>
      </c>
      <c r="D475" s="12">
        <v>41640</v>
      </c>
      <c r="E475" s="12">
        <v>41640</v>
      </c>
      <c r="F475" s="11"/>
      <c r="G475" s="11" t="s">
        <v>279</v>
      </c>
      <c r="H475" s="11" t="s">
        <v>30</v>
      </c>
      <c r="I475" s="11" t="s">
        <v>21174</v>
      </c>
    </row>
    <row r="476" spans="1:9" ht="13.15" x14ac:dyDescent="0.4">
      <c r="A476" s="11" t="s">
        <v>18900</v>
      </c>
      <c r="B476" s="11" t="s">
        <v>6071</v>
      </c>
      <c r="C476" s="11" t="s">
        <v>18721</v>
      </c>
      <c r="D476" s="12">
        <v>41640</v>
      </c>
      <c r="E476" s="12">
        <v>41640</v>
      </c>
      <c r="F476" s="11"/>
      <c r="G476" s="11" t="s">
        <v>279</v>
      </c>
      <c r="H476" s="11" t="s">
        <v>30</v>
      </c>
      <c r="I476" s="11" t="s">
        <v>21959</v>
      </c>
    </row>
    <row r="477" spans="1:9" ht="13.15" x14ac:dyDescent="0.4">
      <c r="A477" s="11" t="s">
        <v>19565</v>
      </c>
      <c r="B477" s="11" t="s">
        <v>6071</v>
      </c>
      <c r="C477" s="11" t="s">
        <v>18721</v>
      </c>
      <c r="D477" s="12">
        <v>41275</v>
      </c>
      <c r="E477" s="12">
        <v>41275</v>
      </c>
      <c r="F477" s="11"/>
      <c r="G477" s="11" t="s">
        <v>279</v>
      </c>
      <c r="H477" s="11" t="s">
        <v>30</v>
      </c>
      <c r="I477" s="11" t="s">
        <v>21294</v>
      </c>
    </row>
    <row r="478" spans="1:9" ht="13.15" x14ac:dyDescent="0.4">
      <c r="A478" s="11" t="s">
        <v>18899</v>
      </c>
      <c r="B478" s="11" t="s">
        <v>6071</v>
      </c>
      <c r="C478" s="11" t="s">
        <v>18721</v>
      </c>
      <c r="D478" s="12">
        <v>41640</v>
      </c>
      <c r="E478" s="12">
        <v>41640</v>
      </c>
      <c r="F478" s="11"/>
      <c r="G478" s="11" t="s">
        <v>279</v>
      </c>
      <c r="H478" s="11" t="s">
        <v>30</v>
      </c>
      <c r="I478" s="11" t="s">
        <v>21960</v>
      </c>
    </row>
    <row r="479" spans="1:9" ht="13.15" x14ac:dyDescent="0.4">
      <c r="A479" s="11" t="s">
        <v>19872</v>
      </c>
      <c r="B479" s="11" t="s">
        <v>6071</v>
      </c>
      <c r="C479" s="11" t="s">
        <v>18721</v>
      </c>
      <c r="D479" s="12">
        <v>41640</v>
      </c>
      <c r="E479" s="12">
        <v>41640</v>
      </c>
      <c r="F479" s="11"/>
      <c r="G479" s="11" t="s">
        <v>279</v>
      </c>
      <c r="H479" s="11" t="s">
        <v>30</v>
      </c>
      <c r="I479" s="11" t="s">
        <v>20987</v>
      </c>
    </row>
    <row r="480" spans="1:9" ht="13.15" x14ac:dyDescent="0.4">
      <c r="A480" s="11" t="s">
        <v>20036</v>
      </c>
      <c r="B480" s="11" t="s">
        <v>6071</v>
      </c>
      <c r="C480" s="11" t="s">
        <v>18721</v>
      </c>
      <c r="D480" s="12">
        <v>41640</v>
      </c>
      <c r="E480" s="12">
        <v>41640</v>
      </c>
      <c r="F480" s="11"/>
      <c r="G480" s="11" t="s">
        <v>279</v>
      </c>
      <c r="H480" s="11" t="s">
        <v>30</v>
      </c>
      <c r="I480" s="11" t="s">
        <v>20823</v>
      </c>
    </row>
    <row r="481" spans="1:9" ht="13.15" x14ac:dyDescent="0.4">
      <c r="A481" s="11" t="s">
        <v>19068</v>
      </c>
      <c r="B481" s="11" t="s">
        <v>6071</v>
      </c>
      <c r="C481" s="11" t="s">
        <v>18721</v>
      </c>
      <c r="D481" s="12">
        <v>41275</v>
      </c>
      <c r="E481" s="12">
        <v>41275</v>
      </c>
      <c r="F481" s="11"/>
      <c r="G481" s="11" t="s">
        <v>279</v>
      </c>
      <c r="H481" s="11" t="s">
        <v>30</v>
      </c>
      <c r="I481" s="11" t="s">
        <v>21791</v>
      </c>
    </row>
    <row r="482" spans="1:9" ht="13.15" x14ac:dyDescent="0.4">
      <c r="A482" s="11" t="s">
        <v>20366</v>
      </c>
      <c r="B482" s="11" t="s">
        <v>6071</v>
      </c>
      <c r="C482" s="11" t="s">
        <v>18721</v>
      </c>
      <c r="D482" s="12">
        <v>41275</v>
      </c>
      <c r="E482" s="12">
        <v>41275</v>
      </c>
      <c r="F482" s="11"/>
      <c r="G482" s="11" t="s">
        <v>279</v>
      </c>
      <c r="H482" s="11" t="s">
        <v>30</v>
      </c>
      <c r="I482" s="11" t="s">
        <v>20493</v>
      </c>
    </row>
    <row r="483" spans="1:9" ht="13.15" x14ac:dyDescent="0.4">
      <c r="A483" s="11" t="s">
        <v>19924</v>
      </c>
      <c r="B483" s="11" t="s">
        <v>6071</v>
      </c>
      <c r="C483" s="11" t="s">
        <v>18721</v>
      </c>
      <c r="D483" s="12">
        <v>41640</v>
      </c>
      <c r="E483" s="12">
        <v>41640</v>
      </c>
      <c r="F483" s="11"/>
      <c r="G483" s="11" t="s">
        <v>279</v>
      </c>
      <c r="H483" s="11" t="s">
        <v>30</v>
      </c>
      <c r="I483" s="11" t="s">
        <v>20935</v>
      </c>
    </row>
    <row r="484" spans="1:9" ht="13.15" x14ac:dyDescent="0.4">
      <c r="A484" s="11" t="s">
        <v>20388</v>
      </c>
      <c r="B484" s="11" t="s">
        <v>6071</v>
      </c>
      <c r="C484" s="11" t="s">
        <v>18721</v>
      </c>
      <c r="D484" s="12">
        <v>41275</v>
      </c>
      <c r="E484" s="12">
        <v>41275</v>
      </c>
      <c r="F484" s="11"/>
      <c r="G484" s="11" t="s">
        <v>279</v>
      </c>
      <c r="H484" s="11" t="s">
        <v>30</v>
      </c>
      <c r="I484" s="11" t="s">
        <v>20471</v>
      </c>
    </row>
    <row r="485" spans="1:9" ht="13.15" x14ac:dyDescent="0.4">
      <c r="A485" s="11" t="s">
        <v>18833</v>
      </c>
      <c r="B485" s="11" t="s">
        <v>6071</v>
      </c>
      <c r="C485" s="11" t="s">
        <v>18721</v>
      </c>
      <c r="D485" s="12">
        <v>41275</v>
      </c>
      <c r="E485" s="12">
        <v>41275</v>
      </c>
      <c r="F485" s="11"/>
      <c r="G485" s="11" t="s">
        <v>279</v>
      </c>
      <c r="H485" s="11" t="s">
        <v>30</v>
      </c>
      <c r="I485" s="11" t="s">
        <v>22026</v>
      </c>
    </row>
    <row r="486" spans="1:9" ht="13.15" x14ac:dyDescent="0.4">
      <c r="A486" s="11" t="s">
        <v>18762</v>
      </c>
      <c r="B486" s="11" t="s">
        <v>6071</v>
      </c>
      <c r="C486" s="11" t="s">
        <v>18721</v>
      </c>
      <c r="D486" s="12">
        <v>41640</v>
      </c>
      <c r="E486" s="12">
        <v>41640</v>
      </c>
      <c r="F486" s="11"/>
      <c r="G486" s="11" t="s">
        <v>279</v>
      </c>
      <c r="H486" s="11" t="s">
        <v>30</v>
      </c>
      <c r="I486" s="11" t="s">
        <v>22097</v>
      </c>
    </row>
    <row r="487" spans="1:9" ht="13.15" x14ac:dyDescent="0.4">
      <c r="A487" s="11" t="s">
        <v>18778</v>
      </c>
      <c r="B487" s="11" t="s">
        <v>6071</v>
      </c>
      <c r="C487" s="11" t="s">
        <v>18721</v>
      </c>
      <c r="D487" s="12">
        <v>41275</v>
      </c>
      <c r="E487" s="12">
        <v>41275</v>
      </c>
      <c r="F487" s="11"/>
      <c r="G487" s="11" t="s">
        <v>279</v>
      </c>
      <c r="H487" s="11" t="s">
        <v>30</v>
      </c>
      <c r="I487" s="11" t="s">
        <v>22081</v>
      </c>
    </row>
    <row r="488" spans="1:9" ht="13.15" x14ac:dyDescent="0.4">
      <c r="A488" s="11" t="s">
        <v>19714</v>
      </c>
      <c r="B488" s="11" t="s">
        <v>6071</v>
      </c>
      <c r="C488" s="11" t="s">
        <v>18721</v>
      </c>
      <c r="D488" s="12">
        <v>41275</v>
      </c>
      <c r="E488" s="12">
        <v>41275</v>
      </c>
      <c r="F488" s="11"/>
      <c r="G488" s="11" t="s">
        <v>279</v>
      </c>
      <c r="H488" s="11" t="s">
        <v>30</v>
      </c>
      <c r="I488" s="11" t="s">
        <v>21145</v>
      </c>
    </row>
    <row r="489" spans="1:9" ht="13.15" x14ac:dyDescent="0.4">
      <c r="A489" s="11" t="s">
        <v>20274</v>
      </c>
      <c r="B489" s="11" t="s">
        <v>6071</v>
      </c>
      <c r="C489" s="11" t="s">
        <v>18721</v>
      </c>
      <c r="D489" s="12">
        <v>41640</v>
      </c>
      <c r="E489" s="12">
        <v>41640</v>
      </c>
      <c r="F489" s="11"/>
      <c r="G489" s="11" t="s">
        <v>279</v>
      </c>
      <c r="H489" s="11" t="s">
        <v>30</v>
      </c>
      <c r="I489" s="11" t="s">
        <v>20585</v>
      </c>
    </row>
    <row r="490" spans="1:9" ht="13.15" x14ac:dyDescent="0.4">
      <c r="A490" s="11" t="s">
        <v>19643</v>
      </c>
      <c r="B490" s="11" t="s">
        <v>6071</v>
      </c>
      <c r="C490" s="11" t="s">
        <v>18721</v>
      </c>
      <c r="D490" s="12">
        <v>41275</v>
      </c>
      <c r="E490" s="12">
        <v>41275</v>
      </c>
      <c r="F490" s="11"/>
      <c r="G490" s="11" t="s">
        <v>279</v>
      </c>
      <c r="H490" s="11" t="s">
        <v>30</v>
      </c>
      <c r="I490" s="11" t="s">
        <v>21216</v>
      </c>
    </row>
    <row r="491" spans="1:9" ht="13.15" x14ac:dyDescent="0.4">
      <c r="A491" s="11" t="s">
        <v>18771</v>
      </c>
      <c r="B491" s="11" t="s">
        <v>6071</v>
      </c>
      <c r="C491" s="11" t="s">
        <v>18721</v>
      </c>
      <c r="D491" s="12">
        <v>41275</v>
      </c>
      <c r="E491" s="12">
        <v>41275</v>
      </c>
      <c r="F491" s="11"/>
      <c r="G491" s="11" t="s">
        <v>279</v>
      </c>
      <c r="H491" s="11" t="s">
        <v>30</v>
      </c>
      <c r="I491" s="11" t="s">
        <v>22088</v>
      </c>
    </row>
    <row r="492" spans="1:9" ht="13.15" x14ac:dyDescent="0.4">
      <c r="A492" s="11" t="s">
        <v>19964</v>
      </c>
      <c r="B492" s="11" t="s">
        <v>6071</v>
      </c>
      <c r="C492" s="11" t="s">
        <v>18721</v>
      </c>
      <c r="D492" s="12">
        <v>41275</v>
      </c>
      <c r="E492" s="12">
        <v>41275</v>
      </c>
      <c r="F492" s="11"/>
      <c r="G492" s="11" t="s">
        <v>279</v>
      </c>
      <c r="H492" s="11" t="s">
        <v>30</v>
      </c>
      <c r="I492" s="11" t="s">
        <v>20895</v>
      </c>
    </row>
    <row r="493" spans="1:9" ht="13.15" x14ac:dyDescent="0.4">
      <c r="A493" s="11" t="s">
        <v>19993</v>
      </c>
      <c r="B493" s="11" t="s">
        <v>6071</v>
      </c>
      <c r="C493" s="11" t="s">
        <v>18721</v>
      </c>
      <c r="D493" s="12">
        <v>41275</v>
      </c>
      <c r="E493" s="12">
        <v>41275</v>
      </c>
      <c r="F493" s="11"/>
      <c r="G493" s="11" t="s">
        <v>279</v>
      </c>
      <c r="H493" s="11" t="s">
        <v>30</v>
      </c>
      <c r="I493" s="11" t="s">
        <v>20866</v>
      </c>
    </row>
    <row r="494" spans="1:9" ht="13.15" x14ac:dyDescent="0.4">
      <c r="A494" s="11" t="s">
        <v>19429</v>
      </c>
      <c r="B494" s="11" t="s">
        <v>6071</v>
      </c>
      <c r="C494" s="11" t="s">
        <v>18721</v>
      </c>
      <c r="D494" s="12">
        <v>41275</v>
      </c>
      <c r="E494" s="12">
        <v>41275</v>
      </c>
      <c r="F494" s="11"/>
      <c r="G494" s="11" t="s">
        <v>279</v>
      </c>
      <c r="H494" s="11" t="s">
        <v>30</v>
      </c>
      <c r="I494" s="11" t="s">
        <v>21430</v>
      </c>
    </row>
    <row r="495" spans="1:9" ht="13.15" x14ac:dyDescent="0.4">
      <c r="A495" s="11" t="s">
        <v>19281</v>
      </c>
      <c r="B495" s="11" t="s">
        <v>6071</v>
      </c>
      <c r="C495" s="11" t="s">
        <v>18721</v>
      </c>
      <c r="D495" s="12">
        <v>40909</v>
      </c>
      <c r="E495" s="12">
        <v>40909</v>
      </c>
      <c r="F495" s="11"/>
      <c r="G495" s="11" t="s">
        <v>279</v>
      </c>
      <c r="H495" s="11" t="s">
        <v>30</v>
      </c>
      <c r="I495" s="11" t="s">
        <v>21578</v>
      </c>
    </row>
    <row r="496" spans="1:9" ht="13.15" x14ac:dyDescent="0.4">
      <c r="A496" s="11" t="s">
        <v>20066</v>
      </c>
      <c r="B496" s="11" t="s">
        <v>6071</v>
      </c>
      <c r="C496" s="11" t="s">
        <v>18721</v>
      </c>
      <c r="D496" s="12">
        <v>40909</v>
      </c>
      <c r="E496" s="12">
        <v>40909</v>
      </c>
      <c r="F496" s="11"/>
      <c r="G496" s="11" t="s">
        <v>279</v>
      </c>
      <c r="H496" s="11" t="s">
        <v>30</v>
      </c>
      <c r="I496" s="11" t="s">
        <v>20793</v>
      </c>
    </row>
    <row r="497" spans="1:9" ht="13.15" x14ac:dyDescent="0.4">
      <c r="A497" s="11" t="s">
        <v>19065</v>
      </c>
      <c r="B497" s="11" t="s">
        <v>6071</v>
      </c>
      <c r="C497" s="11" t="s">
        <v>18721</v>
      </c>
      <c r="D497" s="12">
        <v>40909</v>
      </c>
      <c r="E497" s="12">
        <v>40909</v>
      </c>
      <c r="F497" s="11"/>
      <c r="G497" s="11" t="s">
        <v>279</v>
      </c>
      <c r="H497" s="11" t="s">
        <v>30</v>
      </c>
      <c r="I497" s="11" t="s">
        <v>21794</v>
      </c>
    </row>
    <row r="498" spans="1:9" ht="13.15" x14ac:dyDescent="0.4">
      <c r="A498" s="11" t="s">
        <v>19345</v>
      </c>
      <c r="B498" s="11" t="s">
        <v>6071</v>
      </c>
      <c r="C498" s="11" t="s">
        <v>18721</v>
      </c>
      <c r="D498" s="12">
        <v>40909</v>
      </c>
      <c r="E498" s="12">
        <v>40909</v>
      </c>
      <c r="F498" s="11"/>
      <c r="G498" s="11" t="s">
        <v>279</v>
      </c>
      <c r="H498" s="11" t="s">
        <v>30</v>
      </c>
      <c r="I498" s="11" t="s">
        <v>21514</v>
      </c>
    </row>
    <row r="499" spans="1:9" ht="13.15" x14ac:dyDescent="0.4">
      <c r="A499" s="11" t="s">
        <v>19531</v>
      </c>
      <c r="B499" s="11" t="s">
        <v>6071</v>
      </c>
      <c r="C499" s="11" t="s">
        <v>18721</v>
      </c>
      <c r="D499" s="12">
        <v>41275</v>
      </c>
      <c r="E499" s="12">
        <v>41275</v>
      </c>
      <c r="F499" s="11"/>
      <c r="G499" s="11" t="s">
        <v>279</v>
      </c>
      <c r="H499" s="11" t="s">
        <v>30</v>
      </c>
      <c r="I499" s="11" t="s">
        <v>21328</v>
      </c>
    </row>
    <row r="500" spans="1:9" ht="13.15" x14ac:dyDescent="0.4">
      <c r="A500" s="11" t="s">
        <v>18876</v>
      </c>
      <c r="B500" s="11" t="s">
        <v>6071</v>
      </c>
      <c r="C500" s="11" t="s">
        <v>18721</v>
      </c>
      <c r="D500" s="12">
        <v>41640</v>
      </c>
      <c r="E500" s="12">
        <v>41640</v>
      </c>
      <c r="F500" s="11"/>
      <c r="G500" s="11" t="s">
        <v>279</v>
      </c>
      <c r="H500" s="11" t="s">
        <v>30</v>
      </c>
      <c r="I500" s="11" t="s">
        <v>21983</v>
      </c>
    </row>
    <row r="501" spans="1:9" ht="13.15" x14ac:dyDescent="0.4">
      <c r="A501" s="11" t="s">
        <v>19031</v>
      </c>
      <c r="B501" s="11" t="s">
        <v>6071</v>
      </c>
      <c r="C501" s="11" t="s">
        <v>18721</v>
      </c>
      <c r="D501" s="12">
        <v>41640</v>
      </c>
      <c r="E501" s="12">
        <v>41640</v>
      </c>
      <c r="F501" s="11"/>
      <c r="G501" s="11" t="s">
        <v>279</v>
      </c>
      <c r="H501" s="11" t="s">
        <v>30</v>
      </c>
      <c r="I501" s="11" t="s">
        <v>21828</v>
      </c>
    </row>
    <row r="502" spans="1:9" ht="13.15" x14ac:dyDescent="0.4">
      <c r="A502" s="11" t="s">
        <v>19806</v>
      </c>
      <c r="B502" s="11" t="s">
        <v>6071</v>
      </c>
      <c r="C502" s="11" t="s">
        <v>18721</v>
      </c>
      <c r="D502" s="12">
        <v>41275</v>
      </c>
      <c r="E502" s="12">
        <v>41275</v>
      </c>
      <c r="F502" s="11"/>
      <c r="G502" s="11" t="s">
        <v>279</v>
      </c>
      <c r="H502" s="11" t="s">
        <v>30</v>
      </c>
      <c r="I502" s="11" t="s">
        <v>21053</v>
      </c>
    </row>
    <row r="503" spans="1:9" ht="13.15" x14ac:dyDescent="0.4">
      <c r="A503" s="11" t="s">
        <v>18923</v>
      </c>
      <c r="B503" s="11" t="s">
        <v>6071</v>
      </c>
      <c r="C503" s="11" t="s">
        <v>18721</v>
      </c>
      <c r="D503" s="12">
        <v>41275</v>
      </c>
      <c r="E503" s="12">
        <v>41275</v>
      </c>
      <c r="F503" s="11"/>
      <c r="G503" s="11" t="s">
        <v>279</v>
      </c>
      <c r="H503" s="11" t="s">
        <v>30</v>
      </c>
      <c r="I503" s="11" t="s">
        <v>21936</v>
      </c>
    </row>
    <row r="504" spans="1:9" ht="13.15" x14ac:dyDescent="0.4">
      <c r="A504" s="11" t="s">
        <v>19111</v>
      </c>
      <c r="B504" s="11" t="s">
        <v>6071</v>
      </c>
      <c r="C504" s="11" t="s">
        <v>18721</v>
      </c>
      <c r="D504" s="12">
        <v>41640</v>
      </c>
      <c r="E504" s="12">
        <v>41640</v>
      </c>
      <c r="F504" s="11"/>
      <c r="G504" s="11" t="s">
        <v>279</v>
      </c>
      <c r="H504" s="11" t="s">
        <v>30</v>
      </c>
      <c r="I504" s="11" t="s">
        <v>21748</v>
      </c>
    </row>
    <row r="505" spans="1:9" ht="13.15" x14ac:dyDescent="0.4">
      <c r="A505" s="11" t="s">
        <v>19100</v>
      </c>
      <c r="B505" s="11" t="s">
        <v>6071</v>
      </c>
      <c r="C505" s="11" t="s">
        <v>18721</v>
      </c>
      <c r="D505" s="12">
        <v>41275</v>
      </c>
      <c r="E505" s="12">
        <v>41275</v>
      </c>
      <c r="F505" s="11"/>
      <c r="G505" s="11" t="s">
        <v>279</v>
      </c>
      <c r="H505" s="11" t="s">
        <v>30</v>
      </c>
      <c r="I505" s="11" t="s">
        <v>21759</v>
      </c>
    </row>
    <row r="506" spans="1:9" ht="13.15" x14ac:dyDescent="0.4">
      <c r="A506" s="11" t="s">
        <v>19732</v>
      </c>
      <c r="B506" s="11" t="s">
        <v>6071</v>
      </c>
      <c r="C506" s="11" t="s">
        <v>18721</v>
      </c>
      <c r="D506" s="12">
        <v>41275</v>
      </c>
      <c r="E506" s="12">
        <v>41275</v>
      </c>
      <c r="F506" s="11"/>
      <c r="G506" s="11" t="s">
        <v>279</v>
      </c>
      <c r="H506" s="11" t="s">
        <v>30</v>
      </c>
      <c r="I506" s="11" t="s">
        <v>21127</v>
      </c>
    </row>
    <row r="507" spans="1:9" ht="13.15" x14ac:dyDescent="0.4">
      <c r="A507" s="11" t="s">
        <v>20035</v>
      </c>
      <c r="B507" s="11" t="s">
        <v>6071</v>
      </c>
      <c r="C507" s="11" t="s">
        <v>18721</v>
      </c>
      <c r="D507" s="12">
        <v>41640</v>
      </c>
      <c r="E507" s="12">
        <v>41640</v>
      </c>
      <c r="F507" s="11"/>
      <c r="G507" s="11" t="s">
        <v>279</v>
      </c>
      <c r="H507" s="11" t="s">
        <v>30</v>
      </c>
      <c r="I507" s="11" t="s">
        <v>20824</v>
      </c>
    </row>
    <row r="508" spans="1:9" ht="13.15" x14ac:dyDescent="0.4">
      <c r="A508" s="11" t="s">
        <v>19225</v>
      </c>
      <c r="B508" s="11" t="s">
        <v>6071</v>
      </c>
      <c r="C508" s="11" t="s">
        <v>18721</v>
      </c>
      <c r="D508" s="12">
        <v>41275</v>
      </c>
      <c r="E508" s="12">
        <v>41275</v>
      </c>
      <c r="F508" s="11"/>
      <c r="G508" s="11" t="s">
        <v>279</v>
      </c>
      <c r="H508" s="11" t="s">
        <v>30</v>
      </c>
      <c r="I508" s="11" t="s">
        <v>21634</v>
      </c>
    </row>
    <row r="509" spans="1:9" ht="13.15" x14ac:dyDescent="0.4">
      <c r="A509" s="11" t="s">
        <v>18834</v>
      </c>
      <c r="B509" s="11" t="s">
        <v>6071</v>
      </c>
      <c r="C509" s="11" t="s">
        <v>18721</v>
      </c>
      <c r="D509" s="12">
        <v>41275</v>
      </c>
      <c r="E509" s="12">
        <v>41275</v>
      </c>
      <c r="F509" s="11"/>
      <c r="G509" s="11" t="s">
        <v>279</v>
      </c>
      <c r="H509" s="11" t="s">
        <v>30</v>
      </c>
      <c r="I509" s="11" t="s">
        <v>22025</v>
      </c>
    </row>
    <row r="510" spans="1:9" ht="13.15" x14ac:dyDescent="0.4">
      <c r="A510" s="11" t="s">
        <v>18803</v>
      </c>
      <c r="B510" s="11" t="s">
        <v>6071</v>
      </c>
      <c r="C510" s="11" t="s">
        <v>18721</v>
      </c>
      <c r="D510" s="12">
        <v>41640</v>
      </c>
      <c r="E510" s="12">
        <v>41640</v>
      </c>
      <c r="F510" s="11"/>
      <c r="G510" s="11" t="s">
        <v>279</v>
      </c>
      <c r="H510" s="11" t="s">
        <v>30</v>
      </c>
      <c r="I510" s="11" t="s">
        <v>22056</v>
      </c>
    </row>
    <row r="511" spans="1:9" ht="13.15" x14ac:dyDescent="0.4">
      <c r="A511" s="11" t="s">
        <v>19011</v>
      </c>
      <c r="B511" s="11" t="s">
        <v>6071</v>
      </c>
      <c r="C511" s="11" t="s">
        <v>18721</v>
      </c>
      <c r="D511" s="12">
        <v>41640</v>
      </c>
      <c r="E511" s="12">
        <v>41640</v>
      </c>
      <c r="F511" s="11"/>
      <c r="G511" s="11" t="s">
        <v>279</v>
      </c>
      <c r="H511" s="11" t="s">
        <v>30</v>
      </c>
      <c r="I511" s="11" t="s">
        <v>21848</v>
      </c>
    </row>
    <row r="512" spans="1:9" ht="13.15" x14ac:dyDescent="0.4">
      <c r="A512" s="11" t="s">
        <v>19633</v>
      </c>
      <c r="B512" s="11" t="s">
        <v>6071</v>
      </c>
      <c r="C512" s="11" t="s">
        <v>18721</v>
      </c>
      <c r="D512" s="12">
        <v>41275</v>
      </c>
      <c r="E512" s="12">
        <v>41275</v>
      </c>
      <c r="F512" s="11"/>
      <c r="G512" s="11" t="s">
        <v>279</v>
      </c>
      <c r="H512" s="11" t="s">
        <v>30</v>
      </c>
      <c r="I512" s="11" t="s">
        <v>21226</v>
      </c>
    </row>
    <row r="513" spans="1:9" ht="13.15" x14ac:dyDescent="0.4">
      <c r="A513" s="11" t="s">
        <v>18862</v>
      </c>
      <c r="B513" s="11" t="s">
        <v>6071</v>
      </c>
      <c r="C513" s="11" t="s">
        <v>18721</v>
      </c>
      <c r="D513" s="12">
        <v>41640</v>
      </c>
      <c r="E513" s="12">
        <v>41640</v>
      </c>
      <c r="F513" s="11"/>
      <c r="G513" s="11" t="s">
        <v>279</v>
      </c>
      <c r="H513" s="11" t="s">
        <v>30</v>
      </c>
      <c r="I513" s="11" t="s">
        <v>21997</v>
      </c>
    </row>
    <row r="514" spans="1:9" ht="13.15" x14ac:dyDescent="0.4">
      <c r="A514" s="11" t="s">
        <v>19741</v>
      </c>
      <c r="B514" s="11" t="s">
        <v>6071</v>
      </c>
      <c r="C514" s="11" t="s">
        <v>18721</v>
      </c>
      <c r="D514" s="12">
        <v>41275</v>
      </c>
      <c r="E514" s="12">
        <v>41275</v>
      </c>
      <c r="F514" s="11"/>
      <c r="G514" s="11" t="s">
        <v>279</v>
      </c>
      <c r="H514" s="11" t="s">
        <v>30</v>
      </c>
      <c r="I514" s="11" t="s">
        <v>21118</v>
      </c>
    </row>
    <row r="515" spans="1:9" ht="13.15" x14ac:dyDescent="0.4">
      <c r="A515" s="11" t="s">
        <v>19110</v>
      </c>
      <c r="B515" s="11" t="s">
        <v>6071</v>
      </c>
      <c r="C515" s="11" t="s">
        <v>18721</v>
      </c>
      <c r="D515" s="12">
        <v>41275</v>
      </c>
      <c r="E515" s="12">
        <v>41275</v>
      </c>
      <c r="F515" s="11"/>
      <c r="G515" s="11" t="s">
        <v>279</v>
      </c>
      <c r="H515" s="11" t="s">
        <v>30</v>
      </c>
      <c r="I515" s="11" t="s">
        <v>21749</v>
      </c>
    </row>
    <row r="516" spans="1:9" ht="13.15" x14ac:dyDescent="0.4">
      <c r="A516" s="11" t="s">
        <v>19369</v>
      </c>
      <c r="B516" s="11" t="s">
        <v>6071</v>
      </c>
      <c r="C516" s="11" t="s">
        <v>18721</v>
      </c>
      <c r="D516" s="12">
        <v>41640</v>
      </c>
      <c r="E516" s="12">
        <v>41640</v>
      </c>
      <c r="F516" s="11"/>
      <c r="G516" s="11" t="s">
        <v>279</v>
      </c>
      <c r="H516" s="11" t="s">
        <v>30</v>
      </c>
      <c r="I516" s="11" t="s">
        <v>21490</v>
      </c>
    </row>
    <row r="517" spans="1:9" ht="13.15" x14ac:dyDescent="0.4">
      <c r="A517" s="11" t="s">
        <v>19454</v>
      </c>
      <c r="B517" s="11" t="s">
        <v>6071</v>
      </c>
      <c r="C517" s="11" t="s">
        <v>18721</v>
      </c>
      <c r="D517" s="12">
        <v>41640</v>
      </c>
      <c r="E517" s="12">
        <v>41640</v>
      </c>
      <c r="F517" s="11"/>
      <c r="G517" s="11" t="s">
        <v>279</v>
      </c>
      <c r="H517" s="11" t="s">
        <v>30</v>
      </c>
      <c r="I517" s="11" t="s">
        <v>21405</v>
      </c>
    </row>
    <row r="518" spans="1:9" ht="13.15" x14ac:dyDescent="0.4">
      <c r="A518" s="11" t="s">
        <v>20203</v>
      </c>
      <c r="B518" s="11" t="s">
        <v>6071</v>
      </c>
      <c r="C518" s="11" t="s">
        <v>18721</v>
      </c>
      <c r="D518" s="12">
        <v>41275</v>
      </c>
      <c r="E518" s="12">
        <v>41275</v>
      </c>
      <c r="F518" s="11"/>
      <c r="G518" s="11" t="s">
        <v>279</v>
      </c>
      <c r="H518" s="11" t="s">
        <v>30</v>
      </c>
      <c r="I518" s="11" t="s">
        <v>20656</v>
      </c>
    </row>
    <row r="519" spans="1:9" ht="13.15" x14ac:dyDescent="0.4">
      <c r="A519" s="11" t="s">
        <v>19907</v>
      </c>
      <c r="B519" s="11" t="s">
        <v>6071</v>
      </c>
      <c r="C519" s="11" t="s">
        <v>18721</v>
      </c>
      <c r="D519" s="12">
        <v>41275</v>
      </c>
      <c r="E519" s="12">
        <v>41275</v>
      </c>
      <c r="F519" s="11"/>
      <c r="G519" s="11" t="s">
        <v>279</v>
      </c>
      <c r="H519" s="11" t="s">
        <v>30</v>
      </c>
      <c r="I519" s="11" t="s">
        <v>20952</v>
      </c>
    </row>
    <row r="520" spans="1:9" ht="13.15" x14ac:dyDescent="0.4">
      <c r="A520" s="11" t="s">
        <v>18911</v>
      </c>
      <c r="B520" s="11" t="s">
        <v>6071</v>
      </c>
      <c r="C520" s="11" t="s">
        <v>18721</v>
      </c>
      <c r="D520" s="12">
        <v>41640</v>
      </c>
      <c r="E520" s="12">
        <v>41640</v>
      </c>
      <c r="F520" s="11"/>
      <c r="G520" s="11" t="s">
        <v>279</v>
      </c>
      <c r="H520" s="11" t="s">
        <v>30</v>
      </c>
      <c r="I520" s="11" t="s">
        <v>21948</v>
      </c>
    </row>
    <row r="521" spans="1:9" ht="13.15" x14ac:dyDescent="0.4">
      <c r="A521" s="11" t="s">
        <v>19661</v>
      </c>
      <c r="B521" s="11" t="s">
        <v>6071</v>
      </c>
      <c r="C521" s="11" t="s">
        <v>18721</v>
      </c>
      <c r="D521" s="12">
        <v>41275</v>
      </c>
      <c r="E521" s="12">
        <v>41275</v>
      </c>
      <c r="F521" s="11"/>
      <c r="G521" s="11" t="s">
        <v>279</v>
      </c>
      <c r="H521" s="11" t="s">
        <v>30</v>
      </c>
      <c r="I521" s="11" t="s">
        <v>21198</v>
      </c>
    </row>
    <row r="522" spans="1:9" ht="13.15" x14ac:dyDescent="0.4">
      <c r="A522" s="11" t="s">
        <v>19131</v>
      </c>
      <c r="B522" s="11" t="s">
        <v>6071</v>
      </c>
      <c r="C522" s="11" t="s">
        <v>18721</v>
      </c>
      <c r="D522" s="12">
        <v>41275</v>
      </c>
      <c r="E522" s="12">
        <v>41275</v>
      </c>
      <c r="F522" s="11"/>
      <c r="G522" s="11" t="s">
        <v>279</v>
      </c>
      <c r="H522" s="11" t="s">
        <v>30</v>
      </c>
      <c r="I522" s="11" t="s">
        <v>21728</v>
      </c>
    </row>
    <row r="523" spans="1:9" ht="13.15" x14ac:dyDescent="0.4">
      <c r="A523" s="11" t="s">
        <v>19857</v>
      </c>
      <c r="B523" s="11" t="s">
        <v>6071</v>
      </c>
      <c r="C523" s="11" t="s">
        <v>18721</v>
      </c>
      <c r="D523" s="12">
        <v>41275</v>
      </c>
      <c r="E523" s="12">
        <v>41275</v>
      </c>
      <c r="F523" s="11"/>
      <c r="G523" s="11" t="s">
        <v>279</v>
      </c>
      <c r="H523" s="11" t="s">
        <v>30</v>
      </c>
      <c r="I523" s="11" t="s">
        <v>21002</v>
      </c>
    </row>
    <row r="524" spans="1:9" ht="13.15" x14ac:dyDescent="0.4">
      <c r="A524" s="11" t="s">
        <v>20039</v>
      </c>
      <c r="B524" s="11" t="s">
        <v>6071</v>
      </c>
      <c r="C524" s="11" t="s">
        <v>18721</v>
      </c>
      <c r="D524" s="12">
        <v>41275</v>
      </c>
      <c r="E524" s="12">
        <v>41275</v>
      </c>
      <c r="F524" s="11"/>
      <c r="G524" s="11" t="s">
        <v>279</v>
      </c>
      <c r="H524" s="11" t="s">
        <v>30</v>
      </c>
      <c r="I524" s="11" t="s">
        <v>20820</v>
      </c>
    </row>
    <row r="525" spans="1:9" ht="13.15" x14ac:dyDescent="0.4">
      <c r="A525" s="11" t="s">
        <v>19023</v>
      </c>
      <c r="B525" s="11" t="s">
        <v>6071</v>
      </c>
      <c r="C525" s="11" t="s">
        <v>18721</v>
      </c>
      <c r="D525" s="12">
        <v>41275</v>
      </c>
      <c r="E525" s="12">
        <v>41275</v>
      </c>
      <c r="F525" s="11"/>
      <c r="G525" s="11" t="s">
        <v>279</v>
      </c>
      <c r="H525" s="11" t="s">
        <v>30</v>
      </c>
      <c r="I525" s="11" t="s">
        <v>21836</v>
      </c>
    </row>
    <row r="526" spans="1:9" ht="13.15" x14ac:dyDescent="0.4">
      <c r="A526" s="11" t="s">
        <v>18846</v>
      </c>
      <c r="B526" s="11" t="s">
        <v>6071</v>
      </c>
      <c r="C526" s="11" t="s">
        <v>18721</v>
      </c>
      <c r="D526" s="12">
        <v>41275</v>
      </c>
      <c r="E526" s="12">
        <v>41275</v>
      </c>
      <c r="F526" s="11"/>
      <c r="G526" s="11" t="s">
        <v>279</v>
      </c>
      <c r="H526" s="11" t="s">
        <v>30</v>
      </c>
      <c r="I526" s="11" t="s">
        <v>22013</v>
      </c>
    </row>
    <row r="527" spans="1:9" ht="13.15" x14ac:dyDescent="0.4">
      <c r="A527" s="11" t="s">
        <v>20355</v>
      </c>
      <c r="B527" s="11" t="s">
        <v>6071</v>
      </c>
      <c r="C527" s="11" t="s">
        <v>18721</v>
      </c>
      <c r="D527" s="12">
        <v>41275</v>
      </c>
      <c r="E527" s="12">
        <v>41275</v>
      </c>
      <c r="F527" s="11"/>
      <c r="G527" s="11" t="s">
        <v>279</v>
      </c>
      <c r="H527" s="11" t="s">
        <v>30</v>
      </c>
      <c r="I527" s="11" t="s">
        <v>20504</v>
      </c>
    </row>
    <row r="528" spans="1:9" ht="13.15" x14ac:dyDescent="0.4">
      <c r="A528" s="11" t="s">
        <v>19372</v>
      </c>
      <c r="B528" s="11" t="s">
        <v>6071</v>
      </c>
      <c r="C528" s="11" t="s">
        <v>18721</v>
      </c>
      <c r="D528" s="12">
        <v>41275</v>
      </c>
      <c r="E528" s="12">
        <v>41275</v>
      </c>
      <c r="F528" s="11"/>
      <c r="G528" s="11" t="s">
        <v>279</v>
      </c>
      <c r="H528" s="11" t="s">
        <v>30</v>
      </c>
      <c r="I528" s="11" t="s">
        <v>21487</v>
      </c>
    </row>
    <row r="529" spans="1:9" ht="13.15" x14ac:dyDescent="0.4">
      <c r="A529" s="11" t="s">
        <v>19771</v>
      </c>
      <c r="B529" s="11" t="s">
        <v>6071</v>
      </c>
      <c r="C529" s="11" t="s">
        <v>18721</v>
      </c>
      <c r="D529" s="12">
        <v>40909</v>
      </c>
      <c r="E529" s="12">
        <v>40909</v>
      </c>
      <c r="F529" s="11"/>
      <c r="G529" s="11" t="s">
        <v>279</v>
      </c>
      <c r="H529" s="11" t="s">
        <v>30</v>
      </c>
      <c r="I529" s="11" t="s">
        <v>21088</v>
      </c>
    </row>
    <row r="530" spans="1:9" ht="13.15" x14ac:dyDescent="0.4">
      <c r="A530" s="11" t="s">
        <v>19036</v>
      </c>
      <c r="B530" s="11" t="s">
        <v>6071</v>
      </c>
      <c r="C530" s="11" t="s">
        <v>18721</v>
      </c>
      <c r="D530" s="12">
        <v>41275</v>
      </c>
      <c r="E530" s="12">
        <v>41275</v>
      </c>
      <c r="F530" s="11"/>
      <c r="G530" s="11" t="s">
        <v>279</v>
      </c>
      <c r="H530" s="11" t="s">
        <v>30</v>
      </c>
      <c r="I530" s="11" t="s">
        <v>21823</v>
      </c>
    </row>
    <row r="531" spans="1:9" ht="13.15" x14ac:dyDescent="0.4">
      <c r="A531" s="11" t="s">
        <v>19722</v>
      </c>
      <c r="B531" s="11" t="s">
        <v>6071</v>
      </c>
      <c r="C531" s="11" t="s">
        <v>18721</v>
      </c>
      <c r="D531" s="12">
        <v>41275</v>
      </c>
      <c r="E531" s="12">
        <v>41275</v>
      </c>
      <c r="F531" s="11"/>
      <c r="G531" s="11" t="s">
        <v>279</v>
      </c>
      <c r="H531" s="11" t="s">
        <v>30</v>
      </c>
      <c r="I531" s="11" t="s">
        <v>21137</v>
      </c>
    </row>
    <row r="532" spans="1:9" ht="13.15" x14ac:dyDescent="0.4">
      <c r="A532" s="11" t="s">
        <v>20051</v>
      </c>
      <c r="B532" s="11" t="s">
        <v>6071</v>
      </c>
      <c r="C532" s="11" t="s">
        <v>18721</v>
      </c>
      <c r="D532" s="12">
        <v>41275</v>
      </c>
      <c r="E532" s="12">
        <v>41275</v>
      </c>
      <c r="F532" s="11"/>
      <c r="G532" s="11" t="s">
        <v>279</v>
      </c>
      <c r="H532" s="11" t="s">
        <v>30</v>
      </c>
      <c r="I532" s="11" t="s">
        <v>20808</v>
      </c>
    </row>
    <row r="533" spans="1:9" ht="13.15" x14ac:dyDescent="0.4">
      <c r="A533" s="11" t="s">
        <v>20136</v>
      </c>
      <c r="B533" s="11" t="s">
        <v>6071</v>
      </c>
      <c r="C533" s="11" t="s">
        <v>18721</v>
      </c>
      <c r="D533" s="12">
        <v>41275</v>
      </c>
      <c r="E533" s="12">
        <v>41275</v>
      </c>
      <c r="F533" s="11"/>
      <c r="G533" s="11" t="s">
        <v>279</v>
      </c>
      <c r="H533" s="11" t="s">
        <v>30</v>
      </c>
      <c r="I533" s="11" t="s">
        <v>20723</v>
      </c>
    </row>
    <row r="534" spans="1:9" ht="13.15" x14ac:dyDescent="0.4">
      <c r="A534" s="11" t="s">
        <v>19920</v>
      </c>
      <c r="B534" s="11" t="s">
        <v>6071</v>
      </c>
      <c r="C534" s="11" t="s">
        <v>18721</v>
      </c>
      <c r="D534" s="12">
        <v>41275</v>
      </c>
      <c r="E534" s="12">
        <v>41275</v>
      </c>
      <c r="F534" s="11"/>
      <c r="G534" s="11" t="s">
        <v>279</v>
      </c>
      <c r="H534" s="11" t="s">
        <v>30</v>
      </c>
      <c r="I534" s="11" t="s">
        <v>20939</v>
      </c>
    </row>
    <row r="535" spans="1:9" ht="13.15" x14ac:dyDescent="0.4">
      <c r="A535" s="11" t="s">
        <v>19267</v>
      </c>
      <c r="B535" s="11" t="s">
        <v>6071</v>
      </c>
      <c r="C535" s="11" t="s">
        <v>18721</v>
      </c>
      <c r="D535" s="12">
        <v>41275</v>
      </c>
      <c r="E535" s="12">
        <v>41275</v>
      </c>
      <c r="F535" s="11"/>
      <c r="G535" s="11" t="s">
        <v>279</v>
      </c>
      <c r="H535" s="11" t="s">
        <v>30</v>
      </c>
      <c r="I535" s="11" t="s">
        <v>21592</v>
      </c>
    </row>
    <row r="536" spans="1:9" ht="13.15" x14ac:dyDescent="0.4">
      <c r="A536" s="11" t="s">
        <v>19119</v>
      </c>
      <c r="B536" s="11" t="s">
        <v>6071</v>
      </c>
      <c r="C536" s="11" t="s">
        <v>18721</v>
      </c>
      <c r="D536" s="12">
        <v>41275</v>
      </c>
      <c r="E536" s="12">
        <v>41275</v>
      </c>
      <c r="F536" s="11"/>
      <c r="G536" s="11" t="s">
        <v>279</v>
      </c>
      <c r="H536" s="11" t="s">
        <v>30</v>
      </c>
      <c r="I536" s="11" t="s">
        <v>21740</v>
      </c>
    </row>
    <row r="537" spans="1:9" ht="13.15" x14ac:dyDescent="0.4">
      <c r="A537" s="11" t="s">
        <v>20174</v>
      </c>
      <c r="B537" s="11" t="s">
        <v>6071</v>
      </c>
      <c r="C537" s="11" t="s">
        <v>18721</v>
      </c>
      <c r="D537" s="12">
        <v>41275</v>
      </c>
      <c r="E537" s="12">
        <v>41275</v>
      </c>
      <c r="F537" s="11"/>
      <c r="G537" s="11" t="s">
        <v>279</v>
      </c>
      <c r="H537" s="11" t="s">
        <v>30</v>
      </c>
      <c r="I537" s="11" t="s">
        <v>20685</v>
      </c>
    </row>
    <row r="538" spans="1:9" ht="13.15" x14ac:dyDescent="0.4">
      <c r="A538" s="11" t="s">
        <v>19290</v>
      </c>
      <c r="B538" s="11" t="s">
        <v>6071</v>
      </c>
      <c r="C538" s="11" t="s">
        <v>18721</v>
      </c>
      <c r="D538" s="12">
        <v>41275</v>
      </c>
      <c r="E538" s="12">
        <v>41275</v>
      </c>
      <c r="F538" s="11"/>
      <c r="G538" s="11" t="s">
        <v>279</v>
      </c>
      <c r="H538" s="11" t="s">
        <v>30</v>
      </c>
      <c r="I538" s="11" t="s">
        <v>21569</v>
      </c>
    </row>
    <row r="539" spans="1:9" ht="13.15" x14ac:dyDescent="0.4">
      <c r="A539" s="11" t="s">
        <v>19264</v>
      </c>
      <c r="B539" s="11" t="s">
        <v>6071</v>
      </c>
      <c r="C539" s="11" t="s">
        <v>18721</v>
      </c>
      <c r="D539" s="12">
        <v>41275</v>
      </c>
      <c r="E539" s="12">
        <v>41275</v>
      </c>
      <c r="F539" s="11"/>
      <c r="G539" s="11" t="s">
        <v>279</v>
      </c>
      <c r="H539" s="11" t="s">
        <v>30</v>
      </c>
      <c r="I539" s="11" t="s">
        <v>21595</v>
      </c>
    </row>
    <row r="540" spans="1:9" ht="13.15" x14ac:dyDescent="0.4">
      <c r="A540" s="11" t="s">
        <v>20263</v>
      </c>
      <c r="B540" s="11" t="s">
        <v>6071</v>
      </c>
      <c r="C540" s="11" t="s">
        <v>18721</v>
      </c>
      <c r="D540" s="12">
        <v>41640</v>
      </c>
      <c r="E540" s="12">
        <v>41640</v>
      </c>
      <c r="F540" s="11"/>
      <c r="G540" s="11" t="s">
        <v>279</v>
      </c>
      <c r="H540" s="11" t="s">
        <v>30</v>
      </c>
      <c r="I540" s="11" t="s">
        <v>20596</v>
      </c>
    </row>
    <row r="541" spans="1:9" ht="13.15" x14ac:dyDescent="0.4">
      <c r="A541" s="11" t="s">
        <v>20312</v>
      </c>
      <c r="B541" s="11" t="s">
        <v>6071</v>
      </c>
      <c r="C541" s="11" t="s">
        <v>18721</v>
      </c>
      <c r="D541" s="12">
        <v>41640</v>
      </c>
      <c r="E541" s="12">
        <v>41640</v>
      </c>
      <c r="F541" s="11"/>
      <c r="G541" s="11" t="s">
        <v>279</v>
      </c>
      <c r="H541" s="11" t="s">
        <v>30</v>
      </c>
      <c r="I541" s="11" t="s">
        <v>20547</v>
      </c>
    </row>
    <row r="542" spans="1:9" ht="13.15" x14ac:dyDescent="0.4">
      <c r="A542" s="11" t="s">
        <v>19591</v>
      </c>
      <c r="B542" s="11" t="s">
        <v>6071</v>
      </c>
      <c r="C542" s="11" t="s">
        <v>18721</v>
      </c>
      <c r="D542" s="12">
        <v>41275</v>
      </c>
      <c r="E542" s="12">
        <v>41275</v>
      </c>
      <c r="F542" s="11"/>
      <c r="G542" s="11" t="s">
        <v>279</v>
      </c>
      <c r="H542" s="11" t="s">
        <v>30</v>
      </c>
      <c r="I542" s="11" t="s">
        <v>21268</v>
      </c>
    </row>
    <row r="543" spans="1:9" ht="13.15" x14ac:dyDescent="0.4">
      <c r="A543" s="11" t="s">
        <v>19692</v>
      </c>
      <c r="B543" s="11" t="s">
        <v>6071</v>
      </c>
      <c r="C543" s="11" t="s">
        <v>18721</v>
      </c>
      <c r="D543" s="12">
        <v>41640</v>
      </c>
      <c r="E543" s="12">
        <v>41640</v>
      </c>
      <c r="F543" s="11"/>
      <c r="G543" s="11" t="s">
        <v>279</v>
      </c>
      <c r="H543" s="11" t="s">
        <v>30</v>
      </c>
      <c r="I543" s="11" t="s">
        <v>21167</v>
      </c>
    </row>
    <row r="544" spans="1:9" ht="13.15" x14ac:dyDescent="0.4">
      <c r="A544" s="11" t="s">
        <v>19723</v>
      </c>
      <c r="B544" s="11" t="s">
        <v>6071</v>
      </c>
      <c r="C544" s="11" t="s">
        <v>18721</v>
      </c>
      <c r="D544" s="12">
        <v>41640</v>
      </c>
      <c r="E544" s="12">
        <v>41640</v>
      </c>
      <c r="F544" s="11"/>
      <c r="G544" s="11" t="s">
        <v>279</v>
      </c>
      <c r="H544" s="11" t="s">
        <v>30</v>
      </c>
      <c r="I544" s="11" t="s">
        <v>21136</v>
      </c>
    </row>
    <row r="545" spans="1:9" ht="13.15" x14ac:dyDescent="0.4">
      <c r="A545" s="11" t="s">
        <v>19983</v>
      </c>
      <c r="B545" s="11" t="s">
        <v>6071</v>
      </c>
      <c r="C545" s="11" t="s">
        <v>18721</v>
      </c>
      <c r="D545" s="12">
        <v>41275</v>
      </c>
      <c r="E545" s="12">
        <v>41275</v>
      </c>
      <c r="F545" s="11"/>
      <c r="G545" s="11" t="s">
        <v>279</v>
      </c>
      <c r="H545" s="11" t="s">
        <v>30</v>
      </c>
      <c r="I545" s="11" t="s">
        <v>20876</v>
      </c>
    </row>
    <row r="546" spans="1:9" ht="13.15" x14ac:dyDescent="0.4">
      <c r="A546" s="11" t="s">
        <v>18958</v>
      </c>
      <c r="B546" s="11" t="s">
        <v>6071</v>
      </c>
      <c r="C546" s="11" t="s">
        <v>18721</v>
      </c>
      <c r="D546" s="12">
        <v>41275</v>
      </c>
      <c r="E546" s="12">
        <v>41275</v>
      </c>
      <c r="F546" s="11"/>
      <c r="G546" s="11" t="s">
        <v>279</v>
      </c>
      <c r="H546" s="11" t="s">
        <v>30</v>
      </c>
      <c r="I546" s="11" t="s">
        <v>21901</v>
      </c>
    </row>
    <row r="547" spans="1:9" ht="13.15" x14ac:dyDescent="0.4">
      <c r="A547" s="11" t="s">
        <v>20009</v>
      </c>
      <c r="B547" s="11" t="s">
        <v>6071</v>
      </c>
      <c r="C547" s="11" t="s">
        <v>18721</v>
      </c>
      <c r="D547" s="12">
        <v>41275</v>
      </c>
      <c r="E547" s="12">
        <v>41275</v>
      </c>
      <c r="F547" s="11"/>
      <c r="G547" s="11" t="s">
        <v>279</v>
      </c>
      <c r="H547" s="11" t="s">
        <v>30</v>
      </c>
      <c r="I547" s="11" t="s">
        <v>20850</v>
      </c>
    </row>
    <row r="548" spans="1:9" ht="13.15" x14ac:dyDescent="0.4">
      <c r="A548" s="11" t="s">
        <v>20168</v>
      </c>
      <c r="B548" s="11" t="s">
        <v>6071</v>
      </c>
      <c r="C548" s="11" t="s">
        <v>18721</v>
      </c>
      <c r="D548" s="12">
        <v>41275</v>
      </c>
      <c r="E548" s="12">
        <v>41275</v>
      </c>
      <c r="F548" s="11"/>
      <c r="G548" s="11" t="s">
        <v>279</v>
      </c>
      <c r="H548" s="11" t="s">
        <v>30</v>
      </c>
      <c r="I548" s="11" t="s">
        <v>20691</v>
      </c>
    </row>
    <row r="549" spans="1:9" ht="13.15" x14ac:dyDescent="0.4">
      <c r="A549" s="11" t="s">
        <v>20167</v>
      </c>
      <c r="B549" s="11" t="s">
        <v>6071</v>
      </c>
      <c r="C549" s="11" t="s">
        <v>18721</v>
      </c>
      <c r="D549" s="12">
        <v>41275</v>
      </c>
      <c r="E549" s="12">
        <v>41275</v>
      </c>
      <c r="F549" s="11"/>
      <c r="G549" s="11" t="s">
        <v>279</v>
      </c>
      <c r="H549" s="11" t="s">
        <v>30</v>
      </c>
      <c r="I549" s="11" t="s">
        <v>20692</v>
      </c>
    </row>
    <row r="550" spans="1:9" ht="13.15" x14ac:dyDescent="0.4">
      <c r="A550" s="11" t="s">
        <v>19247</v>
      </c>
      <c r="B550" s="11" t="s">
        <v>6071</v>
      </c>
      <c r="C550" s="11" t="s">
        <v>18721</v>
      </c>
      <c r="D550" s="12">
        <v>41275</v>
      </c>
      <c r="E550" s="12">
        <v>41275</v>
      </c>
      <c r="F550" s="11"/>
      <c r="G550" s="11" t="s">
        <v>279</v>
      </c>
      <c r="H550" s="11" t="s">
        <v>30</v>
      </c>
      <c r="I550" s="11" t="s">
        <v>21612</v>
      </c>
    </row>
    <row r="551" spans="1:9" ht="13.15" x14ac:dyDescent="0.4">
      <c r="A551" s="11" t="s">
        <v>19823</v>
      </c>
      <c r="B551" s="11" t="s">
        <v>6071</v>
      </c>
      <c r="C551" s="11" t="s">
        <v>18721</v>
      </c>
      <c r="D551" s="12">
        <v>41275</v>
      </c>
      <c r="E551" s="12">
        <v>41275</v>
      </c>
      <c r="F551" s="11"/>
      <c r="G551" s="11" t="s">
        <v>279</v>
      </c>
      <c r="H551" s="11" t="s">
        <v>30</v>
      </c>
      <c r="I551" s="11" t="s">
        <v>21036</v>
      </c>
    </row>
    <row r="552" spans="1:9" ht="13.15" x14ac:dyDescent="0.4">
      <c r="A552" s="11" t="s">
        <v>19636</v>
      </c>
      <c r="B552" s="11" t="s">
        <v>6071</v>
      </c>
      <c r="C552" s="11" t="s">
        <v>18721</v>
      </c>
      <c r="D552" s="12">
        <v>41275</v>
      </c>
      <c r="E552" s="12">
        <v>41275</v>
      </c>
      <c r="F552" s="11"/>
      <c r="G552" s="11" t="s">
        <v>279</v>
      </c>
      <c r="H552" s="11" t="s">
        <v>30</v>
      </c>
      <c r="I552" s="11" t="s">
        <v>21223</v>
      </c>
    </row>
    <row r="553" spans="1:9" ht="13.15" x14ac:dyDescent="0.4">
      <c r="A553" s="11" t="s">
        <v>20373</v>
      </c>
      <c r="B553" s="11" t="s">
        <v>6071</v>
      </c>
      <c r="C553" s="11" t="s">
        <v>18721</v>
      </c>
      <c r="D553" s="12">
        <v>41275</v>
      </c>
      <c r="E553" s="12">
        <v>41275</v>
      </c>
      <c r="F553" s="11"/>
      <c r="G553" s="11" t="s">
        <v>279</v>
      </c>
      <c r="H553" s="11" t="s">
        <v>30</v>
      </c>
      <c r="I553" s="11" t="s">
        <v>20486</v>
      </c>
    </row>
    <row r="554" spans="1:9" ht="13.15" x14ac:dyDescent="0.4">
      <c r="A554" s="11" t="s">
        <v>19777</v>
      </c>
      <c r="B554" s="11" t="s">
        <v>6071</v>
      </c>
      <c r="C554" s="11" t="s">
        <v>18721</v>
      </c>
      <c r="D554" s="12">
        <v>41275</v>
      </c>
      <c r="E554" s="12">
        <v>41275</v>
      </c>
      <c r="F554" s="11"/>
      <c r="G554" s="11" t="s">
        <v>279</v>
      </c>
      <c r="H554" s="11" t="s">
        <v>30</v>
      </c>
      <c r="I554" s="11" t="s">
        <v>21082</v>
      </c>
    </row>
    <row r="555" spans="1:9" ht="13.15" x14ac:dyDescent="0.4">
      <c r="A555" s="11" t="s">
        <v>18938</v>
      </c>
      <c r="B555" s="11" t="s">
        <v>6071</v>
      </c>
      <c r="C555" s="11" t="s">
        <v>18721</v>
      </c>
      <c r="D555" s="12">
        <v>41275</v>
      </c>
      <c r="E555" s="12">
        <v>41275</v>
      </c>
      <c r="F555" s="11"/>
      <c r="G555" s="11" t="s">
        <v>279</v>
      </c>
      <c r="H555" s="11" t="s">
        <v>30</v>
      </c>
      <c r="I555" s="11" t="s">
        <v>21921</v>
      </c>
    </row>
    <row r="556" spans="1:9" ht="13.15" x14ac:dyDescent="0.4">
      <c r="A556" s="11" t="s">
        <v>18863</v>
      </c>
      <c r="B556" s="11" t="s">
        <v>6071</v>
      </c>
      <c r="C556" s="11" t="s">
        <v>18721</v>
      </c>
      <c r="D556" s="12">
        <v>40909</v>
      </c>
      <c r="E556" s="12">
        <v>40909</v>
      </c>
      <c r="F556" s="11"/>
      <c r="G556" s="11" t="s">
        <v>279</v>
      </c>
      <c r="H556" s="11" t="s">
        <v>30</v>
      </c>
      <c r="I556" s="11" t="s">
        <v>21996</v>
      </c>
    </row>
    <row r="557" spans="1:9" ht="13.15" x14ac:dyDescent="0.4">
      <c r="A557" s="11" t="s">
        <v>19397</v>
      </c>
      <c r="B557" s="11" t="s">
        <v>6071</v>
      </c>
      <c r="C557" s="11" t="s">
        <v>18721</v>
      </c>
      <c r="D557" s="12">
        <v>40909</v>
      </c>
      <c r="E557" s="12">
        <v>40909</v>
      </c>
      <c r="F557" s="11"/>
      <c r="G557" s="11" t="s">
        <v>279</v>
      </c>
      <c r="H557" s="11" t="s">
        <v>30</v>
      </c>
      <c r="I557" s="11" t="s">
        <v>21462</v>
      </c>
    </row>
    <row r="558" spans="1:9" ht="13.15" x14ac:dyDescent="0.4">
      <c r="A558" s="11" t="s">
        <v>19122</v>
      </c>
      <c r="B558" s="11" t="s">
        <v>6071</v>
      </c>
      <c r="C558" s="11" t="s">
        <v>18721</v>
      </c>
      <c r="D558" s="12">
        <v>40909</v>
      </c>
      <c r="E558" s="12">
        <v>40909</v>
      </c>
      <c r="F558" s="11"/>
      <c r="G558" s="11" t="s">
        <v>279</v>
      </c>
      <c r="H558" s="11" t="s">
        <v>30</v>
      </c>
      <c r="I558" s="11" t="s">
        <v>21737</v>
      </c>
    </row>
    <row r="559" spans="1:9" ht="13.15" x14ac:dyDescent="0.4">
      <c r="A559" s="11" t="s">
        <v>19587</v>
      </c>
      <c r="B559" s="11" t="s">
        <v>6071</v>
      </c>
      <c r="C559" s="11" t="s">
        <v>18721</v>
      </c>
      <c r="D559" s="12">
        <v>40909</v>
      </c>
      <c r="E559" s="12">
        <v>40909</v>
      </c>
      <c r="F559" s="11"/>
      <c r="G559" s="11" t="s">
        <v>279</v>
      </c>
      <c r="H559" s="11" t="s">
        <v>30</v>
      </c>
      <c r="I559" s="11" t="s">
        <v>21272</v>
      </c>
    </row>
    <row r="560" spans="1:9" ht="13.15" x14ac:dyDescent="0.4">
      <c r="A560" s="11" t="s">
        <v>19362</v>
      </c>
      <c r="B560" s="11" t="s">
        <v>6071</v>
      </c>
      <c r="C560" s="11" t="s">
        <v>18721</v>
      </c>
      <c r="D560" s="12">
        <v>41640</v>
      </c>
      <c r="E560" s="12">
        <v>41640</v>
      </c>
      <c r="F560" s="11"/>
      <c r="G560" s="11" t="s">
        <v>279</v>
      </c>
      <c r="H560" s="11" t="s">
        <v>30</v>
      </c>
      <c r="I560" s="11" t="s">
        <v>21497</v>
      </c>
    </row>
    <row r="561" spans="1:9" ht="13.15" x14ac:dyDescent="0.4">
      <c r="A561" s="11" t="s">
        <v>19135</v>
      </c>
      <c r="B561" s="11" t="s">
        <v>6071</v>
      </c>
      <c r="C561" s="11" t="s">
        <v>18721</v>
      </c>
      <c r="D561" s="12">
        <v>41275</v>
      </c>
      <c r="E561" s="12">
        <v>41275</v>
      </c>
      <c r="F561" s="11"/>
      <c r="G561" s="11" t="s">
        <v>279</v>
      </c>
      <c r="H561" s="11" t="s">
        <v>30</v>
      </c>
      <c r="I561" s="11" t="s">
        <v>21724</v>
      </c>
    </row>
    <row r="562" spans="1:9" ht="13.15" x14ac:dyDescent="0.4">
      <c r="A562" s="11" t="s">
        <v>18922</v>
      </c>
      <c r="B562" s="11" t="s">
        <v>6071</v>
      </c>
      <c r="C562" s="11" t="s">
        <v>18721</v>
      </c>
      <c r="D562" s="12">
        <v>41640</v>
      </c>
      <c r="E562" s="12">
        <v>41640</v>
      </c>
      <c r="F562" s="11"/>
      <c r="G562" s="11" t="s">
        <v>279</v>
      </c>
      <c r="H562" s="11" t="s">
        <v>30</v>
      </c>
      <c r="I562" s="11" t="s">
        <v>21937</v>
      </c>
    </row>
    <row r="563" spans="1:9" ht="13.15" x14ac:dyDescent="0.4">
      <c r="A563" s="11" t="s">
        <v>19747</v>
      </c>
      <c r="B563" s="11" t="s">
        <v>6071</v>
      </c>
      <c r="C563" s="11" t="s">
        <v>18721</v>
      </c>
      <c r="D563" s="12">
        <v>41640</v>
      </c>
      <c r="E563" s="12">
        <v>41640</v>
      </c>
      <c r="F563" s="11"/>
      <c r="G563" s="11" t="s">
        <v>279</v>
      </c>
      <c r="H563" s="11" t="s">
        <v>30</v>
      </c>
      <c r="I563" s="11" t="s">
        <v>21112</v>
      </c>
    </row>
    <row r="564" spans="1:9" ht="13.15" x14ac:dyDescent="0.4">
      <c r="A564" s="11" t="s">
        <v>19021</v>
      </c>
      <c r="B564" s="11" t="s">
        <v>6071</v>
      </c>
      <c r="C564" s="11" t="s">
        <v>18721</v>
      </c>
      <c r="D564" s="12">
        <v>41640</v>
      </c>
      <c r="E564" s="12">
        <v>41640</v>
      </c>
      <c r="F564" s="11"/>
      <c r="G564" s="11" t="s">
        <v>279</v>
      </c>
      <c r="H564" s="11" t="s">
        <v>30</v>
      </c>
      <c r="I564" s="11" t="s">
        <v>21838</v>
      </c>
    </row>
    <row r="565" spans="1:9" ht="13.15" x14ac:dyDescent="0.4">
      <c r="A565" s="11" t="s">
        <v>18788</v>
      </c>
      <c r="B565" s="11" t="s">
        <v>6071</v>
      </c>
      <c r="C565" s="11" t="s">
        <v>18721</v>
      </c>
      <c r="D565" s="12">
        <v>41275</v>
      </c>
      <c r="E565" s="12">
        <v>41275</v>
      </c>
      <c r="F565" s="11"/>
      <c r="G565" s="11" t="s">
        <v>279</v>
      </c>
      <c r="H565" s="11" t="s">
        <v>30</v>
      </c>
      <c r="I565" s="11" t="s">
        <v>22071</v>
      </c>
    </row>
    <row r="566" spans="1:9" ht="13.15" x14ac:dyDescent="0.4">
      <c r="A566" s="11" t="s">
        <v>19835</v>
      </c>
      <c r="B566" s="11" t="s">
        <v>6071</v>
      </c>
      <c r="C566" s="11" t="s">
        <v>18721</v>
      </c>
      <c r="D566" s="12">
        <v>41275</v>
      </c>
      <c r="E566" s="12">
        <v>41275</v>
      </c>
      <c r="F566" s="11"/>
      <c r="G566" s="11" t="s">
        <v>279</v>
      </c>
      <c r="H566" s="11" t="s">
        <v>30</v>
      </c>
      <c r="I566" s="11" t="s">
        <v>21024</v>
      </c>
    </row>
    <row r="567" spans="1:9" ht="13.15" x14ac:dyDescent="0.4">
      <c r="A567" s="11" t="s">
        <v>19367</v>
      </c>
      <c r="B567" s="11" t="s">
        <v>6071</v>
      </c>
      <c r="C567" s="11" t="s">
        <v>18721</v>
      </c>
      <c r="D567" s="12">
        <v>41275</v>
      </c>
      <c r="E567" s="12">
        <v>41275</v>
      </c>
      <c r="F567" s="11"/>
      <c r="G567" s="11" t="s">
        <v>279</v>
      </c>
      <c r="H567" s="11" t="s">
        <v>30</v>
      </c>
      <c r="I567" s="11" t="s">
        <v>21492</v>
      </c>
    </row>
    <row r="568" spans="1:9" ht="13.15" x14ac:dyDescent="0.4">
      <c r="A568" s="11" t="s">
        <v>19388</v>
      </c>
      <c r="B568" s="11" t="s">
        <v>6071</v>
      </c>
      <c r="C568" s="11" t="s">
        <v>18721</v>
      </c>
      <c r="D568" s="12">
        <v>41640</v>
      </c>
      <c r="E568" s="12">
        <v>41640</v>
      </c>
      <c r="F568" s="11"/>
      <c r="G568" s="11" t="s">
        <v>279</v>
      </c>
      <c r="H568" s="11" t="s">
        <v>30</v>
      </c>
      <c r="I568" s="11" t="s">
        <v>21471</v>
      </c>
    </row>
    <row r="569" spans="1:9" ht="13.15" x14ac:dyDescent="0.4">
      <c r="A569" s="11" t="s">
        <v>19041</v>
      </c>
      <c r="B569" s="11" t="s">
        <v>6071</v>
      </c>
      <c r="C569" s="11" t="s">
        <v>18721</v>
      </c>
      <c r="D569" s="12">
        <v>41640</v>
      </c>
      <c r="E569" s="12">
        <v>41640</v>
      </c>
      <c r="F569" s="11"/>
      <c r="G569" s="11" t="s">
        <v>279</v>
      </c>
      <c r="H569" s="11" t="s">
        <v>30</v>
      </c>
      <c r="I569" s="11" t="s">
        <v>21818</v>
      </c>
    </row>
    <row r="570" spans="1:9" ht="13.15" x14ac:dyDescent="0.4">
      <c r="A570" s="11" t="s">
        <v>19368</v>
      </c>
      <c r="B570" s="11" t="s">
        <v>6071</v>
      </c>
      <c r="C570" s="11" t="s">
        <v>18721</v>
      </c>
      <c r="D570" s="12">
        <v>41640</v>
      </c>
      <c r="E570" s="12">
        <v>41640</v>
      </c>
      <c r="F570" s="11"/>
      <c r="G570" s="11" t="s">
        <v>279</v>
      </c>
      <c r="H570" s="11" t="s">
        <v>30</v>
      </c>
      <c r="I570" s="11" t="s">
        <v>21491</v>
      </c>
    </row>
    <row r="571" spans="1:9" ht="13.15" x14ac:dyDescent="0.4">
      <c r="A571" s="11" t="s">
        <v>19239</v>
      </c>
      <c r="B571" s="11" t="s">
        <v>6071</v>
      </c>
      <c r="C571" s="11" t="s">
        <v>18721</v>
      </c>
      <c r="D571" s="12">
        <v>41640</v>
      </c>
      <c r="E571" s="12">
        <v>41640</v>
      </c>
      <c r="F571" s="11"/>
      <c r="G571" s="11" t="s">
        <v>279</v>
      </c>
      <c r="H571" s="11" t="s">
        <v>30</v>
      </c>
      <c r="I571" s="11" t="s">
        <v>21620</v>
      </c>
    </row>
    <row r="572" spans="1:9" ht="13.15" x14ac:dyDescent="0.4">
      <c r="A572" s="11" t="s">
        <v>19680</v>
      </c>
      <c r="B572" s="11" t="s">
        <v>6071</v>
      </c>
      <c r="C572" s="11" t="s">
        <v>18721</v>
      </c>
      <c r="D572" s="12">
        <v>41275</v>
      </c>
      <c r="E572" s="12">
        <v>41275</v>
      </c>
      <c r="F572" s="11"/>
      <c r="G572" s="11" t="s">
        <v>279</v>
      </c>
      <c r="H572" s="11" t="s">
        <v>30</v>
      </c>
      <c r="I572" s="11" t="s">
        <v>21179</v>
      </c>
    </row>
    <row r="573" spans="1:9" ht="13.15" x14ac:dyDescent="0.4">
      <c r="A573" s="11" t="s">
        <v>20359</v>
      </c>
      <c r="B573" s="11" t="s">
        <v>6071</v>
      </c>
      <c r="C573" s="11" t="s">
        <v>18721</v>
      </c>
      <c r="D573" s="12">
        <v>41275</v>
      </c>
      <c r="E573" s="12">
        <v>41275</v>
      </c>
      <c r="F573" s="11"/>
      <c r="G573" s="11" t="s">
        <v>279</v>
      </c>
      <c r="H573" s="11" t="s">
        <v>30</v>
      </c>
      <c r="I573" s="11" t="s">
        <v>20500</v>
      </c>
    </row>
    <row r="574" spans="1:9" ht="13.15" x14ac:dyDescent="0.4">
      <c r="A574" s="11" t="s">
        <v>19893</v>
      </c>
      <c r="B574" s="11" t="s">
        <v>6071</v>
      </c>
      <c r="C574" s="11" t="s">
        <v>18721</v>
      </c>
      <c r="D574" s="12">
        <v>41275</v>
      </c>
      <c r="E574" s="12">
        <v>41275</v>
      </c>
      <c r="F574" s="11"/>
      <c r="G574" s="11" t="s">
        <v>279</v>
      </c>
      <c r="H574" s="11" t="s">
        <v>30</v>
      </c>
      <c r="I574" s="11" t="s">
        <v>20966</v>
      </c>
    </row>
    <row r="575" spans="1:9" ht="13.15" x14ac:dyDescent="0.4">
      <c r="A575" s="11" t="s">
        <v>19690</v>
      </c>
      <c r="B575" s="11" t="s">
        <v>6071</v>
      </c>
      <c r="C575" s="11" t="s">
        <v>18721</v>
      </c>
      <c r="D575" s="12">
        <v>41640</v>
      </c>
      <c r="E575" s="12">
        <v>41640</v>
      </c>
      <c r="F575" s="11"/>
      <c r="G575" s="11" t="s">
        <v>279</v>
      </c>
      <c r="H575" s="11" t="s">
        <v>30</v>
      </c>
      <c r="I575" s="11" t="s">
        <v>21169</v>
      </c>
    </row>
    <row r="576" spans="1:9" ht="13.15" x14ac:dyDescent="0.4">
      <c r="A576" s="11" t="s">
        <v>19462</v>
      </c>
      <c r="B576" s="11" t="s">
        <v>6071</v>
      </c>
      <c r="C576" s="11" t="s">
        <v>18721</v>
      </c>
      <c r="D576" s="12">
        <v>41275</v>
      </c>
      <c r="E576" s="12">
        <v>41275</v>
      </c>
      <c r="F576" s="11"/>
      <c r="G576" s="11" t="s">
        <v>279</v>
      </c>
      <c r="H576" s="11" t="s">
        <v>30</v>
      </c>
      <c r="I576" s="11" t="s">
        <v>21397</v>
      </c>
    </row>
    <row r="577" spans="1:9" ht="13.15" x14ac:dyDescent="0.4">
      <c r="A577" s="11" t="s">
        <v>20025</v>
      </c>
      <c r="B577" s="11" t="s">
        <v>6071</v>
      </c>
      <c r="C577" s="11" t="s">
        <v>18721</v>
      </c>
      <c r="D577" s="12">
        <v>41275</v>
      </c>
      <c r="E577" s="12">
        <v>41275</v>
      </c>
      <c r="F577" s="11"/>
      <c r="G577" s="11" t="s">
        <v>279</v>
      </c>
      <c r="H577" s="11" t="s">
        <v>30</v>
      </c>
      <c r="I577" s="11" t="s">
        <v>20834</v>
      </c>
    </row>
    <row r="578" spans="1:9" ht="13.15" x14ac:dyDescent="0.4">
      <c r="A578" s="11" t="s">
        <v>19912</v>
      </c>
      <c r="B578" s="11" t="s">
        <v>6071</v>
      </c>
      <c r="C578" s="11" t="s">
        <v>18721</v>
      </c>
      <c r="D578" s="12">
        <v>41275</v>
      </c>
      <c r="E578" s="12">
        <v>41275</v>
      </c>
      <c r="F578" s="11"/>
      <c r="G578" s="11" t="s">
        <v>279</v>
      </c>
      <c r="H578" s="11" t="s">
        <v>30</v>
      </c>
      <c r="I578" s="11" t="s">
        <v>20947</v>
      </c>
    </row>
    <row r="579" spans="1:9" ht="13.15" x14ac:dyDescent="0.4">
      <c r="A579" s="11" t="s">
        <v>19236</v>
      </c>
      <c r="B579" s="11" t="s">
        <v>6071</v>
      </c>
      <c r="C579" s="11" t="s">
        <v>18721</v>
      </c>
      <c r="D579" s="12">
        <v>41640</v>
      </c>
      <c r="E579" s="12">
        <v>41640</v>
      </c>
      <c r="F579" s="11"/>
      <c r="G579" s="11" t="s">
        <v>279</v>
      </c>
      <c r="H579" s="11" t="s">
        <v>30</v>
      </c>
      <c r="I579" s="11" t="s">
        <v>21623</v>
      </c>
    </row>
    <row r="580" spans="1:9" ht="13.15" x14ac:dyDescent="0.4">
      <c r="A580" s="11" t="s">
        <v>20308</v>
      </c>
      <c r="B580" s="11" t="s">
        <v>6071</v>
      </c>
      <c r="C580" s="11" t="s">
        <v>18721</v>
      </c>
      <c r="D580" s="12">
        <v>41275</v>
      </c>
      <c r="E580" s="12">
        <v>41275</v>
      </c>
      <c r="F580" s="11"/>
      <c r="G580" s="11" t="s">
        <v>279</v>
      </c>
      <c r="H580" s="11" t="s">
        <v>30</v>
      </c>
      <c r="I580" s="11" t="s">
        <v>20551</v>
      </c>
    </row>
    <row r="581" spans="1:9" ht="13.15" x14ac:dyDescent="0.4">
      <c r="A581" s="11" t="s">
        <v>20329</v>
      </c>
      <c r="B581" s="11" t="s">
        <v>6071</v>
      </c>
      <c r="C581" s="11" t="s">
        <v>18721</v>
      </c>
      <c r="D581" s="12">
        <v>41275</v>
      </c>
      <c r="E581" s="12">
        <v>41275</v>
      </c>
      <c r="F581" s="11"/>
      <c r="G581" s="11" t="s">
        <v>279</v>
      </c>
      <c r="H581" s="11" t="s">
        <v>30</v>
      </c>
      <c r="I581" s="11" t="s">
        <v>20530</v>
      </c>
    </row>
    <row r="582" spans="1:9" ht="13.15" x14ac:dyDescent="0.4">
      <c r="A582" s="11" t="s">
        <v>20137</v>
      </c>
      <c r="B582" s="11" t="s">
        <v>6071</v>
      </c>
      <c r="C582" s="11" t="s">
        <v>18721</v>
      </c>
      <c r="D582" s="12">
        <v>41275</v>
      </c>
      <c r="E582" s="12">
        <v>41275</v>
      </c>
      <c r="F582" s="11"/>
      <c r="G582" s="11" t="s">
        <v>279</v>
      </c>
      <c r="H582" s="11" t="s">
        <v>30</v>
      </c>
      <c r="I582" s="11" t="s">
        <v>20722</v>
      </c>
    </row>
    <row r="583" spans="1:9" ht="13.15" x14ac:dyDescent="0.4">
      <c r="A583" s="11" t="s">
        <v>19548</v>
      </c>
      <c r="B583" s="11" t="s">
        <v>6071</v>
      </c>
      <c r="C583" s="11" t="s">
        <v>18721</v>
      </c>
      <c r="D583" s="12">
        <v>41275</v>
      </c>
      <c r="E583" s="12">
        <v>41275</v>
      </c>
      <c r="F583" s="11"/>
      <c r="G583" s="11" t="s">
        <v>279</v>
      </c>
      <c r="H583" s="11" t="s">
        <v>30</v>
      </c>
      <c r="I583" s="11" t="s">
        <v>21311</v>
      </c>
    </row>
    <row r="584" spans="1:9" ht="13.15" x14ac:dyDescent="0.4">
      <c r="A584" s="11" t="s">
        <v>19604</v>
      </c>
      <c r="B584" s="11" t="s">
        <v>6071</v>
      </c>
      <c r="C584" s="11" t="s">
        <v>18721</v>
      </c>
      <c r="D584" s="12">
        <v>41275</v>
      </c>
      <c r="E584" s="12">
        <v>41275</v>
      </c>
      <c r="F584" s="11"/>
      <c r="G584" s="11" t="s">
        <v>279</v>
      </c>
      <c r="H584" s="11" t="s">
        <v>30</v>
      </c>
      <c r="I584" s="11" t="s">
        <v>21255</v>
      </c>
    </row>
    <row r="585" spans="1:9" ht="13.15" x14ac:dyDescent="0.4">
      <c r="A585" s="11" t="s">
        <v>18991</v>
      </c>
      <c r="B585" s="11" t="s">
        <v>6071</v>
      </c>
      <c r="C585" s="11" t="s">
        <v>18721</v>
      </c>
      <c r="D585" s="12">
        <v>40909</v>
      </c>
      <c r="E585" s="12">
        <v>40909</v>
      </c>
      <c r="F585" s="11"/>
      <c r="G585" s="11" t="s">
        <v>279</v>
      </c>
      <c r="H585" s="11" t="s">
        <v>30</v>
      </c>
      <c r="I585" s="11" t="s">
        <v>21868</v>
      </c>
    </row>
    <row r="586" spans="1:9" ht="13.15" x14ac:dyDescent="0.4">
      <c r="A586" s="11" t="s">
        <v>20325</v>
      </c>
      <c r="B586" s="11" t="s">
        <v>6071</v>
      </c>
      <c r="C586" s="11" t="s">
        <v>18721</v>
      </c>
      <c r="D586" s="12">
        <v>41275</v>
      </c>
      <c r="E586" s="12">
        <v>41275</v>
      </c>
      <c r="F586" s="11"/>
      <c r="G586" s="11" t="s">
        <v>279</v>
      </c>
      <c r="H586" s="11" t="s">
        <v>30</v>
      </c>
      <c r="I586" s="11" t="s">
        <v>20534</v>
      </c>
    </row>
    <row r="587" spans="1:9" ht="13.15" x14ac:dyDescent="0.4">
      <c r="A587" s="11" t="s">
        <v>19935</v>
      </c>
      <c r="B587" s="11" t="s">
        <v>6071</v>
      </c>
      <c r="C587" s="11" t="s">
        <v>18721</v>
      </c>
      <c r="D587" s="12">
        <v>40909</v>
      </c>
      <c r="E587" s="12">
        <v>40909</v>
      </c>
      <c r="F587" s="11"/>
      <c r="G587" s="11" t="s">
        <v>279</v>
      </c>
      <c r="H587" s="11" t="s">
        <v>30</v>
      </c>
      <c r="I587" s="11" t="s">
        <v>20924</v>
      </c>
    </row>
    <row r="588" spans="1:9" ht="13.15" x14ac:dyDescent="0.4">
      <c r="A588" s="11" t="s">
        <v>20092</v>
      </c>
      <c r="B588" s="11" t="s">
        <v>6071</v>
      </c>
      <c r="C588" s="11" t="s">
        <v>18721</v>
      </c>
      <c r="D588" s="12">
        <v>41275</v>
      </c>
      <c r="E588" s="12">
        <v>41275</v>
      </c>
      <c r="F588" s="11"/>
      <c r="G588" s="11" t="s">
        <v>279</v>
      </c>
      <c r="H588" s="11" t="s">
        <v>30</v>
      </c>
      <c r="I588" s="11" t="s">
        <v>20767</v>
      </c>
    </row>
    <row r="589" spans="1:9" ht="13.15" x14ac:dyDescent="0.4">
      <c r="A589" s="11" t="s">
        <v>20255</v>
      </c>
      <c r="B589" s="11" t="s">
        <v>6071</v>
      </c>
      <c r="C589" s="11" t="s">
        <v>18721</v>
      </c>
      <c r="D589" s="12">
        <v>40909</v>
      </c>
      <c r="E589" s="12">
        <v>40909</v>
      </c>
      <c r="F589" s="11"/>
      <c r="G589" s="11" t="s">
        <v>279</v>
      </c>
      <c r="H589" s="11" t="s">
        <v>30</v>
      </c>
      <c r="I589" s="11" t="s">
        <v>20604</v>
      </c>
    </row>
    <row r="590" spans="1:9" ht="13.15" x14ac:dyDescent="0.4">
      <c r="A590" s="11" t="s">
        <v>20265</v>
      </c>
      <c r="B590" s="11" t="s">
        <v>6071</v>
      </c>
      <c r="C590" s="11" t="s">
        <v>18721</v>
      </c>
      <c r="D590" s="12">
        <v>41640</v>
      </c>
      <c r="E590" s="12">
        <v>41640</v>
      </c>
      <c r="F590" s="11"/>
      <c r="G590" s="11" t="s">
        <v>279</v>
      </c>
      <c r="H590" s="11" t="s">
        <v>30</v>
      </c>
      <c r="I590" s="11" t="s">
        <v>20594</v>
      </c>
    </row>
    <row r="591" spans="1:9" ht="13.15" x14ac:dyDescent="0.4">
      <c r="A591" s="11" t="s">
        <v>20101</v>
      </c>
      <c r="B591" s="11" t="s">
        <v>6071</v>
      </c>
      <c r="C591" s="11" t="s">
        <v>18721</v>
      </c>
      <c r="D591" s="12">
        <v>41275</v>
      </c>
      <c r="E591" s="12">
        <v>41275</v>
      </c>
      <c r="F591" s="11"/>
      <c r="G591" s="11" t="s">
        <v>279</v>
      </c>
      <c r="H591" s="11" t="s">
        <v>30</v>
      </c>
      <c r="I591" s="11" t="s">
        <v>20758</v>
      </c>
    </row>
    <row r="592" spans="1:9" ht="13.15" x14ac:dyDescent="0.4">
      <c r="A592" s="11" t="s">
        <v>19156</v>
      </c>
      <c r="B592" s="11" t="s">
        <v>6071</v>
      </c>
      <c r="C592" s="11" t="s">
        <v>18721</v>
      </c>
      <c r="D592" s="12">
        <v>41275</v>
      </c>
      <c r="E592" s="12">
        <v>41275</v>
      </c>
      <c r="F592" s="11"/>
      <c r="G592" s="11" t="s">
        <v>279</v>
      </c>
      <c r="H592" s="11" t="s">
        <v>30</v>
      </c>
      <c r="I592" s="11" t="s">
        <v>21703</v>
      </c>
    </row>
    <row r="593" spans="1:9" ht="13.15" x14ac:dyDescent="0.4">
      <c r="A593" s="11" t="s">
        <v>20058</v>
      </c>
      <c r="B593" s="11" t="s">
        <v>6071</v>
      </c>
      <c r="C593" s="11" t="s">
        <v>18721</v>
      </c>
      <c r="D593" s="12">
        <v>41275</v>
      </c>
      <c r="E593" s="12">
        <v>41275</v>
      </c>
      <c r="F593" s="11"/>
      <c r="G593" s="11" t="s">
        <v>279</v>
      </c>
      <c r="H593" s="11" t="s">
        <v>30</v>
      </c>
      <c r="I593" s="11" t="s">
        <v>20801</v>
      </c>
    </row>
    <row r="594" spans="1:9" ht="13.15" x14ac:dyDescent="0.4">
      <c r="A594" s="11" t="s">
        <v>20330</v>
      </c>
      <c r="B594" s="11" t="s">
        <v>6071</v>
      </c>
      <c r="C594" s="11" t="s">
        <v>18721</v>
      </c>
      <c r="D594" s="12">
        <v>41275</v>
      </c>
      <c r="E594" s="12">
        <v>41275</v>
      </c>
      <c r="F594" s="11"/>
      <c r="G594" s="11" t="s">
        <v>279</v>
      </c>
      <c r="H594" s="11" t="s">
        <v>30</v>
      </c>
      <c r="I594" s="11" t="s">
        <v>20529</v>
      </c>
    </row>
    <row r="595" spans="1:9" ht="13.15" x14ac:dyDescent="0.4">
      <c r="A595" s="11" t="s">
        <v>19620</v>
      </c>
      <c r="B595" s="11" t="s">
        <v>6071</v>
      </c>
      <c r="C595" s="11" t="s">
        <v>18721</v>
      </c>
      <c r="D595" s="12">
        <v>41275</v>
      </c>
      <c r="E595" s="12">
        <v>41275</v>
      </c>
      <c r="F595" s="11"/>
      <c r="G595" s="11" t="s">
        <v>279</v>
      </c>
      <c r="H595" s="11" t="s">
        <v>30</v>
      </c>
      <c r="I595" s="11" t="s">
        <v>21239</v>
      </c>
    </row>
    <row r="596" spans="1:9" ht="13.15" x14ac:dyDescent="0.4">
      <c r="A596" s="11" t="s">
        <v>20059</v>
      </c>
      <c r="B596" s="11" t="s">
        <v>6071</v>
      </c>
      <c r="C596" s="11" t="s">
        <v>18721</v>
      </c>
      <c r="D596" s="12">
        <v>41640</v>
      </c>
      <c r="E596" s="12">
        <v>41640</v>
      </c>
      <c r="F596" s="11"/>
      <c r="G596" s="11" t="s">
        <v>279</v>
      </c>
      <c r="H596" s="11" t="s">
        <v>30</v>
      </c>
      <c r="I596" s="11" t="s">
        <v>20800</v>
      </c>
    </row>
    <row r="597" spans="1:9" ht="13.15" x14ac:dyDescent="0.4">
      <c r="A597" s="11" t="s">
        <v>19060</v>
      </c>
      <c r="B597" s="11" t="s">
        <v>6071</v>
      </c>
      <c r="C597" s="11" t="s">
        <v>18721</v>
      </c>
      <c r="D597" s="12">
        <v>41275</v>
      </c>
      <c r="E597" s="12">
        <v>41275</v>
      </c>
      <c r="F597" s="11"/>
      <c r="G597" s="11" t="s">
        <v>279</v>
      </c>
      <c r="H597" s="11" t="s">
        <v>30</v>
      </c>
      <c r="I597" s="11" t="s">
        <v>21799</v>
      </c>
    </row>
    <row r="598" spans="1:9" ht="13.15" x14ac:dyDescent="0.4">
      <c r="A598" s="11" t="s">
        <v>20188</v>
      </c>
      <c r="B598" s="11" t="s">
        <v>6071</v>
      </c>
      <c r="C598" s="11" t="s">
        <v>18721</v>
      </c>
      <c r="D598" s="12">
        <v>41275</v>
      </c>
      <c r="E598" s="12">
        <v>41275</v>
      </c>
      <c r="F598" s="11"/>
      <c r="G598" s="11" t="s">
        <v>279</v>
      </c>
      <c r="H598" s="11" t="s">
        <v>30</v>
      </c>
      <c r="I598" s="11" t="s">
        <v>20671</v>
      </c>
    </row>
    <row r="599" spans="1:9" ht="13.15" x14ac:dyDescent="0.4">
      <c r="A599" s="11" t="s">
        <v>20283</v>
      </c>
      <c r="B599" s="11" t="s">
        <v>6071</v>
      </c>
      <c r="C599" s="11" t="s">
        <v>18721</v>
      </c>
      <c r="D599" s="12">
        <v>41275</v>
      </c>
      <c r="E599" s="12">
        <v>41275</v>
      </c>
      <c r="F599" s="11"/>
      <c r="G599" s="11" t="s">
        <v>279</v>
      </c>
      <c r="H599" s="11" t="s">
        <v>30</v>
      </c>
      <c r="I599" s="11" t="s">
        <v>20576</v>
      </c>
    </row>
    <row r="600" spans="1:9" ht="13.15" x14ac:dyDescent="0.4">
      <c r="A600" s="11" t="s">
        <v>19499</v>
      </c>
      <c r="B600" s="11" t="s">
        <v>6071</v>
      </c>
      <c r="C600" s="11" t="s">
        <v>18721</v>
      </c>
      <c r="D600" s="12">
        <v>41275</v>
      </c>
      <c r="E600" s="12">
        <v>41275</v>
      </c>
      <c r="F600" s="11"/>
      <c r="G600" s="11" t="s">
        <v>279</v>
      </c>
      <c r="H600" s="11" t="s">
        <v>30</v>
      </c>
      <c r="I600" s="11" t="s">
        <v>21360</v>
      </c>
    </row>
    <row r="601" spans="1:9" ht="13.15" x14ac:dyDescent="0.4">
      <c r="A601" s="11" t="s">
        <v>19838</v>
      </c>
      <c r="B601" s="11" t="s">
        <v>6071</v>
      </c>
      <c r="C601" s="11" t="s">
        <v>18721</v>
      </c>
      <c r="D601" s="12">
        <v>41275</v>
      </c>
      <c r="E601" s="12">
        <v>41275</v>
      </c>
      <c r="F601" s="11"/>
      <c r="G601" s="11" t="s">
        <v>279</v>
      </c>
      <c r="H601" s="11" t="s">
        <v>30</v>
      </c>
      <c r="I601" s="11" t="s">
        <v>21021</v>
      </c>
    </row>
    <row r="602" spans="1:9" ht="13.15" x14ac:dyDescent="0.4">
      <c r="A602" s="11" t="s">
        <v>18851</v>
      </c>
      <c r="B602" s="11" t="s">
        <v>6071</v>
      </c>
      <c r="C602" s="11" t="s">
        <v>18721</v>
      </c>
      <c r="D602" s="12">
        <v>41275</v>
      </c>
      <c r="E602" s="12">
        <v>41275</v>
      </c>
      <c r="F602" s="11"/>
      <c r="G602" s="11" t="s">
        <v>279</v>
      </c>
      <c r="H602" s="11" t="s">
        <v>30</v>
      </c>
      <c r="I602" s="11" t="s">
        <v>22008</v>
      </c>
    </row>
    <row r="603" spans="1:9" ht="13.15" x14ac:dyDescent="0.4">
      <c r="A603" s="11" t="s">
        <v>19581</v>
      </c>
      <c r="B603" s="11" t="s">
        <v>6071</v>
      </c>
      <c r="C603" s="11" t="s">
        <v>18721</v>
      </c>
      <c r="D603" s="12">
        <v>41275</v>
      </c>
      <c r="E603" s="12">
        <v>41275</v>
      </c>
      <c r="F603" s="11"/>
      <c r="G603" s="11" t="s">
        <v>279</v>
      </c>
      <c r="H603" s="11" t="s">
        <v>30</v>
      </c>
      <c r="I603" s="11" t="s">
        <v>21278</v>
      </c>
    </row>
    <row r="604" spans="1:9" ht="13.15" x14ac:dyDescent="0.4">
      <c r="A604" s="11" t="s">
        <v>19398</v>
      </c>
      <c r="B604" s="11" t="s">
        <v>6071</v>
      </c>
      <c r="C604" s="11" t="s">
        <v>18721</v>
      </c>
      <c r="D604" s="12">
        <v>41275</v>
      </c>
      <c r="E604" s="12">
        <v>41275</v>
      </c>
      <c r="F604" s="11"/>
      <c r="G604" s="11" t="s">
        <v>279</v>
      </c>
      <c r="H604" s="11" t="s">
        <v>30</v>
      </c>
      <c r="I604" s="11" t="s">
        <v>21461</v>
      </c>
    </row>
    <row r="605" spans="1:9" ht="13.15" x14ac:dyDescent="0.4">
      <c r="A605" s="11" t="s">
        <v>18948</v>
      </c>
      <c r="B605" s="11" t="s">
        <v>6071</v>
      </c>
      <c r="C605" s="11" t="s">
        <v>18721</v>
      </c>
      <c r="D605" s="12">
        <v>41275</v>
      </c>
      <c r="E605" s="12">
        <v>41275</v>
      </c>
      <c r="F605" s="11"/>
      <c r="G605" s="11" t="s">
        <v>279</v>
      </c>
      <c r="H605" s="11" t="s">
        <v>30</v>
      </c>
      <c r="I605" s="11" t="s">
        <v>21911</v>
      </c>
    </row>
    <row r="606" spans="1:9" ht="13.15" x14ac:dyDescent="0.4">
      <c r="A606" s="11" t="s">
        <v>20192</v>
      </c>
      <c r="B606" s="11" t="s">
        <v>6071</v>
      </c>
      <c r="C606" s="11" t="s">
        <v>18721</v>
      </c>
      <c r="D606" s="12">
        <v>41275</v>
      </c>
      <c r="E606" s="12">
        <v>41275</v>
      </c>
      <c r="F606" s="11"/>
      <c r="G606" s="11" t="s">
        <v>279</v>
      </c>
      <c r="H606" s="11" t="s">
        <v>30</v>
      </c>
      <c r="I606" s="11" t="s">
        <v>20667</v>
      </c>
    </row>
    <row r="607" spans="1:9" ht="13.15" x14ac:dyDescent="0.4">
      <c r="A607" s="11" t="s">
        <v>18722</v>
      </c>
      <c r="B607" s="11" t="s">
        <v>6071</v>
      </c>
      <c r="C607" s="11" t="s">
        <v>18721</v>
      </c>
      <c r="D607" s="12">
        <v>41275</v>
      </c>
      <c r="E607" s="12">
        <v>41275</v>
      </c>
      <c r="F607" s="11"/>
      <c r="G607" s="11" t="s">
        <v>279</v>
      </c>
      <c r="H607" s="11" t="s">
        <v>30</v>
      </c>
      <c r="I607" s="11" t="s">
        <v>22137</v>
      </c>
    </row>
    <row r="608" spans="1:9" ht="13.15" x14ac:dyDescent="0.4">
      <c r="A608" s="11" t="s">
        <v>20194</v>
      </c>
      <c r="B608" s="11" t="s">
        <v>6071</v>
      </c>
      <c r="C608" s="11" t="s">
        <v>18721</v>
      </c>
      <c r="D608" s="12">
        <v>41275</v>
      </c>
      <c r="E608" s="12">
        <v>41275</v>
      </c>
      <c r="F608" s="11"/>
      <c r="G608" s="11" t="s">
        <v>279</v>
      </c>
      <c r="H608" s="11" t="s">
        <v>30</v>
      </c>
      <c r="I608" s="11" t="s">
        <v>20665</v>
      </c>
    </row>
    <row r="609" spans="1:9" ht="13.15" x14ac:dyDescent="0.4">
      <c r="A609" s="11" t="s">
        <v>19169</v>
      </c>
      <c r="B609" s="11" t="s">
        <v>6071</v>
      </c>
      <c r="C609" s="11" t="s">
        <v>18721</v>
      </c>
      <c r="D609" s="12">
        <v>41275</v>
      </c>
      <c r="E609" s="12">
        <v>41275</v>
      </c>
      <c r="F609" s="11"/>
      <c r="G609" s="11" t="s">
        <v>279</v>
      </c>
      <c r="H609" s="11" t="s">
        <v>30</v>
      </c>
      <c r="I609" s="11" t="s">
        <v>21690</v>
      </c>
    </row>
    <row r="610" spans="1:9" ht="13.15" x14ac:dyDescent="0.4">
      <c r="A610" s="11" t="s">
        <v>18773</v>
      </c>
      <c r="B610" s="11" t="s">
        <v>6071</v>
      </c>
      <c r="C610" s="11" t="s">
        <v>18721</v>
      </c>
      <c r="D610" s="12">
        <v>41275</v>
      </c>
      <c r="E610" s="12">
        <v>41275</v>
      </c>
      <c r="F610" s="11"/>
      <c r="G610" s="11" t="s">
        <v>279</v>
      </c>
      <c r="H610" s="11" t="s">
        <v>30</v>
      </c>
      <c r="I610" s="11" t="s">
        <v>22086</v>
      </c>
    </row>
    <row r="611" spans="1:9" ht="13.15" x14ac:dyDescent="0.4">
      <c r="A611" s="11" t="s">
        <v>19331</v>
      </c>
      <c r="B611" s="11" t="s">
        <v>6071</v>
      </c>
      <c r="C611" s="11" t="s">
        <v>18721</v>
      </c>
      <c r="D611" s="12">
        <v>41275</v>
      </c>
      <c r="E611" s="12">
        <v>41275</v>
      </c>
      <c r="F611" s="11"/>
      <c r="G611" s="11" t="s">
        <v>279</v>
      </c>
      <c r="H611" s="11" t="s">
        <v>30</v>
      </c>
      <c r="I611" s="11" t="s">
        <v>21528</v>
      </c>
    </row>
    <row r="612" spans="1:9" ht="13.15" x14ac:dyDescent="0.4">
      <c r="A612" s="11" t="s">
        <v>19821</v>
      </c>
      <c r="B612" s="11" t="s">
        <v>6071</v>
      </c>
      <c r="C612" s="11" t="s">
        <v>18721</v>
      </c>
      <c r="D612" s="12">
        <v>41275</v>
      </c>
      <c r="E612" s="12">
        <v>41275</v>
      </c>
      <c r="F612" s="11"/>
      <c r="G612" s="11" t="s">
        <v>279</v>
      </c>
      <c r="H612" s="11" t="s">
        <v>30</v>
      </c>
      <c r="I612" s="11" t="s">
        <v>21038</v>
      </c>
    </row>
    <row r="613" spans="1:9" ht="13.15" x14ac:dyDescent="0.4">
      <c r="A613" s="11" t="s">
        <v>19999</v>
      </c>
      <c r="B613" s="11" t="s">
        <v>6071</v>
      </c>
      <c r="C613" s="11" t="s">
        <v>18721</v>
      </c>
      <c r="D613" s="12">
        <v>41275</v>
      </c>
      <c r="E613" s="12">
        <v>41275</v>
      </c>
      <c r="F613" s="11"/>
      <c r="G613" s="11" t="s">
        <v>279</v>
      </c>
      <c r="H613" s="11" t="s">
        <v>30</v>
      </c>
      <c r="I613" s="11" t="s">
        <v>20860</v>
      </c>
    </row>
    <row r="614" spans="1:9" ht="13.15" x14ac:dyDescent="0.4">
      <c r="A614" s="11" t="s">
        <v>18939</v>
      </c>
      <c r="B614" s="11" t="s">
        <v>6071</v>
      </c>
      <c r="C614" s="11" t="s">
        <v>18721</v>
      </c>
      <c r="D614" s="12">
        <v>41640</v>
      </c>
      <c r="E614" s="12">
        <v>41640</v>
      </c>
      <c r="F614" s="11"/>
      <c r="G614" s="11" t="s">
        <v>279</v>
      </c>
      <c r="H614" s="11" t="s">
        <v>30</v>
      </c>
      <c r="I614" s="11" t="s">
        <v>21920</v>
      </c>
    </row>
    <row r="615" spans="1:9" ht="13.15" x14ac:dyDescent="0.4">
      <c r="A615" s="11" t="s">
        <v>19831</v>
      </c>
      <c r="B615" s="11" t="s">
        <v>6071</v>
      </c>
      <c r="C615" s="11" t="s">
        <v>18721</v>
      </c>
      <c r="D615" s="12">
        <v>41275</v>
      </c>
      <c r="E615" s="12">
        <v>41275</v>
      </c>
      <c r="F615" s="11"/>
      <c r="G615" s="11" t="s">
        <v>279</v>
      </c>
      <c r="H615" s="11" t="s">
        <v>30</v>
      </c>
      <c r="I615" s="11" t="s">
        <v>21028</v>
      </c>
    </row>
    <row r="616" spans="1:9" ht="13.15" x14ac:dyDescent="0.4">
      <c r="A616" s="11" t="s">
        <v>20122</v>
      </c>
      <c r="B616" s="11" t="s">
        <v>6071</v>
      </c>
      <c r="C616" s="11" t="s">
        <v>18721</v>
      </c>
      <c r="D616" s="12">
        <v>41640</v>
      </c>
      <c r="E616" s="12">
        <v>41640</v>
      </c>
      <c r="F616" s="11"/>
      <c r="G616" s="11" t="s">
        <v>279</v>
      </c>
      <c r="H616" s="11" t="s">
        <v>30</v>
      </c>
      <c r="I616" s="11" t="s">
        <v>20737</v>
      </c>
    </row>
    <row r="617" spans="1:9" ht="13.15" x14ac:dyDescent="0.4">
      <c r="A617" s="11" t="s">
        <v>19087</v>
      </c>
      <c r="B617" s="11" t="s">
        <v>6071</v>
      </c>
      <c r="C617" s="11" t="s">
        <v>18721</v>
      </c>
      <c r="D617" s="12">
        <v>41275</v>
      </c>
      <c r="E617" s="12">
        <v>41275</v>
      </c>
      <c r="F617" s="11"/>
      <c r="G617" s="11" t="s">
        <v>279</v>
      </c>
      <c r="H617" s="11" t="s">
        <v>30</v>
      </c>
      <c r="I617" s="11" t="s">
        <v>21772</v>
      </c>
    </row>
    <row r="618" spans="1:9" ht="13.15" x14ac:dyDescent="0.4">
      <c r="A618" s="11" t="s">
        <v>19424</v>
      </c>
      <c r="B618" s="11" t="s">
        <v>6071</v>
      </c>
      <c r="C618" s="11" t="s">
        <v>18721</v>
      </c>
      <c r="D618" s="12">
        <v>41275</v>
      </c>
      <c r="E618" s="12">
        <v>41275</v>
      </c>
      <c r="F618" s="11"/>
      <c r="G618" s="11" t="s">
        <v>279</v>
      </c>
      <c r="H618" s="11" t="s">
        <v>30</v>
      </c>
      <c r="I618" s="11" t="s">
        <v>21435</v>
      </c>
    </row>
    <row r="619" spans="1:9" ht="13.15" x14ac:dyDescent="0.4">
      <c r="A619" s="11" t="s">
        <v>18736</v>
      </c>
      <c r="B619" s="11" t="s">
        <v>6071</v>
      </c>
      <c r="C619" s="11" t="s">
        <v>18721</v>
      </c>
      <c r="D619" s="12">
        <v>41640</v>
      </c>
      <c r="E619" s="12">
        <v>41640</v>
      </c>
      <c r="F619" s="11"/>
      <c r="G619" s="11" t="s">
        <v>279</v>
      </c>
      <c r="H619" s="11" t="s">
        <v>30</v>
      </c>
      <c r="I619" s="11" t="s">
        <v>22123</v>
      </c>
    </row>
    <row r="620" spans="1:9" ht="13.15" x14ac:dyDescent="0.4">
      <c r="A620" s="11" t="s">
        <v>20377</v>
      </c>
      <c r="B620" s="11" t="s">
        <v>6071</v>
      </c>
      <c r="C620" s="11" t="s">
        <v>18721</v>
      </c>
      <c r="D620" s="12">
        <v>41275</v>
      </c>
      <c r="E620" s="12">
        <v>41275</v>
      </c>
      <c r="F620" s="11"/>
      <c r="G620" s="11" t="s">
        <v>279</v>
      </c>
      <c r="H620" s="11" t="s">
        <v>30</v>
      </c>
      <c r="I620" s="11" t="s">
        <v>20482</v>
      </c>
    </row>
    <row r="621" spans="1:9" ht="13.15" x14ac:dyDescent="0.4">
      <c r="A621" s="11" t="s">
        <v>18986</v>
      </c>
      <c r="B621" s="11" t="s">
        <v>6071</v>
      </c>
      <c r="C621" s="11" t="s">
        <v>18721</v>
      </c>
      <c r="D621" s="12">
        <v>41640</v>
      </c>
      <c r="E621" s="12">
        <v>41640</v>
      </c>
      <c r="F621" s="11"/>
      <c r="G621" s="11" t="s">
        <v>279</v>
      </c>
      <c r="H621" s="11" t="s">
        <v>30</v>
      </c>
      <c r="I621" s="11" t="s">
        <v>21873</v>
      </c>
    </row>
    <row r="622" spans="1:9" ht="13.15" x14ac:dyDescent="0.4">
      <c r="A622" s="11" t="s">
        <v>18925</v>
      </c>
      <c r="B622" s="11" t="s">
        <v>6071</v>
      </c>
      <c r="C622" s="11" t="s">
        <v>18721</v>
      </c>
      <c r="D622" s="12">
        <v>41275</v>
      </c>
      <c r="E622" s="12">
        <v>41275</v>
      </c>
      <c r="F622" s="11"/>
      <c r="G622" s="11" t="s">
        <v>279</v>
      </c>
      <c r="H622" s="11" t="s">
        <v>30</v>
      </c>
      <c r="I622" s="11" t="s">
        <v>21934</v>
      </c>
    </row>
    <row r="623" spans="1:9" ht="13.15" x14ac:dyDescent="0.4">
      <c r="A623" s="11" t="s">
        <v>18766</v>
      </c>
      <c r="B623" s="11" t="s">
        <v>6071</v>
      </c>
      <c r="C623" s="11" t="s">
        <v>18721</v>
      </c>
      <c r="D623" s="12">
        <v>41275</v>
      </c>
      <c r="E623" s="12">
        <v>41275</v>
      </c>
      <c r="F623" s="11"/>
      <c r="G623" s="11" t="s">
        <v>279</v>
      </c>
      <c r="H623" s="11" t="s">
        <v>30</v>
      </c>
      <c r="I623" s="11" t="s">
        <v>22093</v>
      </c>
    </row>
    <row r="624" spans="1:9" ht="13.15" x14ac:dyDescent="0.4">
      <c r="A624" s="11" t="s">
        <v>19805</v>
      </c>
      <c r="B624" s="11" t="s">
        <v>6071</v>
      </c>
      <c r="C624" s="11" t="s">
        <v>18721</v>
      </c>
      <c r="D624" s="12">
        <v>41275</v>
      </c>
      <c r="E624" s="12">
        <v>41275</v>
      </c>
      <c r="F624" s="11"/>
      <c r="G624" s="11" t="s">
        <v>279</v>
      </c>
      <c r="H624" s="11" t="s">
        <v>30</v>
      </c>
      <c r="I624" s="11" t="s">
        <v>21054</v>
      </c>
    </row>
    <row r="625" spans="1:9" ht="13.15" x14ac:dyDescent="0.4">
      <c r="A625" s="11" t="s">
        <v>20227</v>
      </c>
      <c r="B625" s="11" t="s">
        <v>6071</v>
      </c>
      <c r="C625" s="11" t="s">
        <v>18721</v>
      </c>
      <c r="D625" s="12">
        <v>41275</v>
      </c>
      <c r="E625" s="12">
        <v>41275</v>
      </c>
      <c r="F625" s="11"/>
      <c r="G625" s="11" t="s">
        <v>279</v>
      </c>
      <c r="H625" s="11" t="s">
        <v>30</v>
      </c>
      <c r="I625" s="11" t="s">
        <v>20632</v>
      </c>
    </row>
    <row r="626" spans="1:9" ht="13.15" x14ac:dyDescent="0.4">
      <c r="A626" s="11" t="s">
        <v>19200</v>
      </c>
      <c r="B626" s="11" t="s">
        <v>6071</v>
      </c>
      <c r="C626" s="11" t="s">
        <v>18721</v>
      </c>
      <c r="D626" s="12">
        <v>41275</v>
      </c>
      <c r="E626" s="12">
        <v>41275</v>
      </c>
      <c r="F626" s="11"/>
      <c r="G626" s="11" t="s">
        <v>279</v>
      </c>
      <c r="H626" s="11" t="s">
        <v>30</v>
      </c>
      <c r="I626" s="11" t="s">
        <v>21659</v>
      </c>
    </row>
    <row r="627" spans="1:9" ht="13.15" x14ac:dyDescent="0.4">
      <c r="A627" s="11" t="s">
        <v>19613</v>
      </c>
      <c r="B627" s="11" t="s">
        <v>6071</v>
      </c>
      <c r="C627" s="11" t="s">
        <v>18721</v>
      </c>
      <c r="D627" s="12">
        <v>41275</v>
      </c>
      <c r="E627" s="12">
        <v>41275</v>
      </c>
      <c r="F627" s="11"/>
      <c r="G627" s="11" t="s">
        <v>279</v>
      </c>
      <c r="H627" s="11" t="s">
        <v>30</v>
      </c>
      <c r="I627" s="11" t="s">
        <v>21246</v>
      </c>
    </row>
    <row r="628" spans="1:9" ht="13.15" x14ac:dyDescent="0.4">
      <c r="A628" s="11" t="s">
        <v>20045</v>
      </c>
      <c r="B628" s="11" t="s">
        <v>6071</v>
      </c>
      <c r="C628" s="11" t="s">
        <v>18721</v>
      </c>
      <c r="D628" s="12">
        <v>41275</v>
      </c>
      <c r="E628" s="12">
        <v>41275</v>
      </c>
      <c r="F628" s="11"/>
      <c r="G628" s="11" t="s">
        <v>279</v>
      </c>
      <c r="H628" s="11" t="s">
        <v>30</v>
      </c>
      <c r="I628" s="11" t="s">
        <v>20814</v>
      </c>
    </row>
    <row r="629" spans="1:9" ht="13.15" x14ac:dyDescent="0.4">
      <c r="A629" s="11" t="s">
        <v>19139</v>
      </c>
      <c r="B629" s="11" t="s">
        <v>6071</v>
      </c>
      <c r="C629" s="11" t="s">
        <v>18721</v>
      </c>
      <c r="D629" s="12">
        <v>41275</v>
      </c>
      <c r="E629" s="12">
        <v>41275</v>
      </c>
      <c r="F629" s="11"/>
      <c r="G629" s="11" t="s">
        <v>279</v>
      </c>
      <c r="H629" s="11" t="s">
        <v>30</v>
      </c>
      <c r="I629" s="11" t="s">
        <v>21720</v>
      </c>
    </row>
    <row r="630" spans="1:9" ht="13.15" x14ac:dyDescent="0.4">
      <c r="A630" s="11" t="s">
        <v>18929</v>
      </c>
      <c r="B630" s="11" t="s">
        <v>6071</v>
      </c>
      <c r="C630" s="11" t="s">
        <v>18721</v>
      </c>
      <c r="D630" s="12">
        <v>41275</v>
      </c>
      <c r="E630" s="12">
        <v>41275</v>
      </c>
      <c r="F630" s="11"/>
      <c r="G630" s="11" t="s">
        <v>279</v>
      </c>
      <c r="H630" s="11" t="s">
        <v>30</v>
      </c>
      <c r="I630" s="11" t="s">
        <v>21930</v>
      </c>
    </row>
    <row r="631" spans="1:9" ht="13.15" x14ac:dyDescent="0.4">
      <c r="A631" s="11" t="s">
        <v>19071</v>
      </c>
      <c r="B631" s="11" t="s">
        <v>6071</v>
      </c>
      <c r="C631" s="11" t="s">
        <v>18721</v>
      </c>
      <c r="D631" s="12">
        <v>41275</v>
      </c>
      <c r="E631" s="12">
        <v>41275</v>
      </c>
      <c r="F631" s="11"/>
      <c r="G631" s="11" t="s">
        <v>279</v>
      </c>
      <c r="H631" s="11" t="s">
        <v>30</v>
      </c>
      <c r="I631" s="11" t="s">
        <v>21788</v>
      </c>
    </row>
    <row r="632" spans="1:9" ht="13.15" x14ac:dyDescent="0.4">
      <c r="A632" s="11" t="s">
        <v>19080</v>
      </c>
      <c r="B632" s="11" t="s">
        <v>6071</v>
      </c>
      <c r="C632" s="11" t="s">
        <v>18721</v>
      </c>
      <c r="D632" s="12">
        <v>41275</v>
      </c>
      <c r="E632" s="12">
        <v>41275</v>
      </c>
      <c r="F632" s="11"/>
      <c r="G632" s="11" t="s">
        <v>279</v>
      </c>
      <c r="H632" s="11" t="s">
        <v>30</v>
      </c>
      <c r="I632" s="11" t="s">
        <v>21779</v>
      </c>
    </row>
    <row r="633" spans="1:9" ht="13.15" x14ac:dyDescent="0.4">
      <c r="A633" s="11" t="s">
        <v>19859</v>
      </c>
      <c r="B633" s="11" t="s">
        <v>6071</v>
      </c>
      <c r="C633" s="11" t="s">
        <v>18721</v>
      </c>
      <c r="D633" s="12">
        <v>41275</v>
      </c>
      <c r="E633" s="12">
        <v>41275</v>
      </c>
      <c r="F633" s="11"/>
      <c r="G633" s="11" t="s">
        <v>279</v>
      </c>
      <c r="H633" s="11" t="s">
        <v>30</v>
      </c>
      <c r="I633" s="11" t="s">
        <v>21000</v>
      </c>
    </row>
    <row r="634" spans="1:9" ht="13.15" x14ac:dyDescent="0.4">
      <c r="A634" s="11" t="s">
        <v>19304</v>
      </c>
      <c r="B634" s="11" t="s">
        <v>6071</v>
      </c>
      <c r="C634" s="11" t="s">
        <v>18721</v>
      </c>
      <c r="D634" s="12">
        <v>40909</v>
      </c>
      <c r="E634" s="12">
        <v>40909</v>
      </c>
      <c r="F634" s="11"/>
      <c r="G634" s="11" t="s">
        <v>279</v>
      </c>
      <c r="H634" s="11" t="s">
        <v>30</v>
      </c>
      <c r="I634" s="11" t="s">
        <v>21555</v>
      </c>
    </row>
    <row r="635" spans="1:9" ht="13.15" x14ac:dyDescent="0.4">
      <c r="A635" s="11" t="s">
        <v>19543</v>
      </c>
      <c r="B635" s="11" t="s">
        <v>6071</v>
      </c>
      <c r="C635" s="11" t="s">
        <v>18721</v>
      </c>
      <c r="D635" s="12">
        <v>40909</v>
      </c>
      <c r="E635" s="12">
        <v>40909</v>
      </c>
      <c r="F635" s="11"/>
      <c r="G635" s="11" t="s">
        <v>279</v>
      </c>
      <c r="H635" s="11" t="s">
        <v>30</v>
      </c>
      <c r="I635" s="11" t="s">
        <v>21316</v>
      </c>
    </row>
    <row r="636" spans="1:9" ht="13.15" x14ac:dyDescent="0.4">
      <c r="A636" s="11" t="s">
        <v>19695</v>
      </c>
      <c r="B636" s="11" t="s">
        <v>6071</v>
      </c>
      <c r="C636" s="11" t="s">
        <v>18721</v>
      </c>
      <c r="D636" s="12">
        <v>40909</v>
      </c>
      <c r="E636" s="12">
        <v>40909</v>
      </c>
      <c r="F636" s="11"/>
      <c r="G636" s="11" t="s">
        <v>279</v>
      </c>
      <c r="H636" s="11" t="s">
        <v>30</v>
      </c>
      <c r="I636" s="11" t="s">
        <v>21164</v>
      </c>
    </row>
    <row r="637" spans="1:9" ht="13.15" x14ac:dyDescent="0.4">
      <c r="A637" s="11" t="s">
        <v>19222</v>
      </c>
      <c r="B637" s="11" t="s">
        <v>6071</v>
      </c>
      <c r="C637" s="11" t="s">
        <v>18721</v>
      </c>
      <c r="D637" s="12">
        <v>40909</v>
      </c>
      <c r="E637" s="12">
        <v>40909</v>
      </c>
      <c r="F637" s="11"/>
      <c r="G637" s="11" t="s">
        <v>279</v>
      </c>
      <c r="H637" s="11" t="s">
        <v>30</v>
      </c>
      <c r="I637" s="11" t="s">
        <v>21637</v>
      </c>
    </row>
    <row r="638" spans="1:9" ht="13.15" x14ac:dyDescent="0.4">
      <c r="A638" s="11" t="s">
        <v>20159</v>
      </c>
      <c r="B638" s="11" t="s">
        <v>6071</v>
      </c>
      <c r="C638" s="11" t="s">
        <v>18721</v>
      </c>
      <c r="D638" s="12">
        <v>40909</v>
      </c>
      <c r="E638" s="12">
        <v>40909</v>
      </c>
      <c r="F638" s="11"/>
      <c r="G638" s="11" t="s">
        <v>279</v>
      </c>
      <c r="H638" s="11" t="s">
        <v>30</v>
      </c>
      <c r="I638" s="11" t="s">
        <v>20700</v>
      </c>
    </row>
    <row r="639" spans="1:9" ht="13.15" x14ac:dyDescent="0.4">
      <c r="A639" s="11" t="s">
        <v>20236</v>
      </c>
      <c r="B639" s="11" t="s">
        <v>6071</v>
      </c>
      <c r="C639" s="11" t="s">
        <v>18721</v>
      </c>
      <c r="D639" s="12">
        <v>41640</v>
      </c>
      <c r="E639" s="12">
        <v>41640</v>
      </c>
      <c r="F639" s="11"/>
      <c r="G639" s="11" t="s">
        <v>279</v>
      </c>
      <c r="H639" s="11" t="s">
        <v>30</v>
      </c>
      <c r="I639" s="11" t="s">
        <v>20623</v>
      </c>
    </row>
    <row r="640" spans="1:9" ht="13.15" x14ac:dyDescent="0.4">
      <c r="A640" s="11" t="s">
        <v>19686</v>
      </c>
      <c r="B640" s="11" t="s">
        <v>6071</v>
      </c>
      <c r="C640" s="11" t="s">
        <v>18721</v>
      </c>
      <c r="D640" s="12">
        <v>41640</v>
      </c>
      <c r="E640" s="12">
        <v>41640</v>
      </c>
      <c r="F640" s="11"/>
      <c r="G640" s="11" t="s">
        <v>279</v>
      </c>
      <c r="H640" s="11" t="s">
        <v>30</v>
      </c>
      <c r="I640" s="11" t="s">
        <v>21173</v>
      </c>
    </row>
    <row r="641" spans="1:9" ht="13.15" x14ac:dyDescent="0.4">
      <c r="A641" s="11" t="s">
        <v>20310</v>
      </c>
      <c r="B641" s="11" t="s">
        <v>6071</v>
      </c>
      <c r="C641" s="11" t="s">
        <v>18721</v>
      </c>
      <c r="D641" s="12">
        <v>41640</v>
      </c>
      <c r="E641" s="12">
        <v>41640</v>
      </c>
      <c r="F641" s="11"/>
      <c r="G641" s="11" t="s">
        <v>279</v>
      </c>
      <c r="H641" s="11" t="s">
        <v>30</v>
      </c>
      <c r="I641" s="11" t="s">
        <v>20549</v>
      </c>
    </row>
    <row r="642" spans="1:9" ht="13.15" x14ac:dyDescent="0.4">
      <c r="A642" s="11" t="s">
        <v>19244</v>
      </c>
      <c r="B642" s="11" t="s">
        <v>6071</v>
      </c>
      <c r="C642" s="11" t="s">
        <v>18721</v>
      </c>
      <c r="D642" s="12">
        <v>41640</v>
      </c>
      <c r="E642" s="12">
        <v>41640</v>
      </c>
      <c r="F642" s="11"/>
      <c r="G642" s="11" t="s">
        <v>279</v>
      </c>
      <c r="H642" s="11" t="s">
        <v>30</v>
      </c>
      <c r="I642" s="11" t="s">
        <v>21615</v>
      </c>
    </row>
    <row r="643" spans="1:9" ht="13.15" x14ac:dyDescent="0.4">
      <c r="A643" s="11" t="s">
        <v>20186</v>
      </c>
      <c r="B643" s="11" t="s">
        <v>6071</v>
      </c>
      <c r="C643" s="11" t="s">
        <v>18721</v>
      </c>
      <c r="D643" s="12">
        <v>41275</v>
      </c>
      <c r="E643" s="12">
        <v>41275</v>
      </c>
      <c r="F643" s="11"/>
      <c r="G643" s="11" t="s">
        <v>279</v>
      </c>
      <c r="H643" s="11" t="s">
        <v>30</v>
      </c>
      <c r="I643" s="11" t="s">
        <v>20673</v>
      </c>
    </row>
    <row r="644" spans="1:9" ht="13.15" x14ac:dyDescent="0.4">
      <c r="A644" s="11" t="s">
        <v>18874</v>
      </c>
      <c r="B644" s="11" t="s">
        <v>6071</v>
      </c>
      <c r="C644" s="11" t="s">
        <v>18721</v>
      </c>
      <c r="D644" s="12">
        <v>41640</v>
      </c>
      <c r="E644" s="12">
        <v>41640</v>
      </c>
      <c r="F644" s="11"/>
      <c r="G644" s="11" t="s">
        <v>279</v>
      </c>
      <c r="H644" s="11" t="s">
        <v>30</v>
      </c>
      <c r="I644" s="11" t="s">
        <v>21985</v>
      </c>
    </row>
    <row r="645" spans="1:9" ht="13.15" x14ac:dyDescent="0.4">
      <c r="A645" s="11" t="s">
        <v>20097</v>
      </c>
      <c r="B645" s="11" t="s">
        <v>6071</v>
      </c>
      <c r="C645" s="11" t="s">
        <v>18721</v>
      </c>
      <c r="D645" s="12">
        <v>41275</v>
      </c>
      <c r="E645" s="12">
        <v>41275</v>
      </c>
      <c r="F645" s="11"/>
      <c r="G645" s="11" t="s">
        <v>279</v>
      </c>
      <c r="H645" s="11" t="s">
        <v>30</v>
      </c>
      <c r="I645" s="11" t="s">
        <v>20762</v>
      </c>
    </row>
    <row r="646" spans="1:9" ht="13.15" x14ac:dyDescent="0.4">
      <c r="A646" s="11" t="s">
        <v>18945</v>
      </c>
      <c r="B646" s="11" t="s">
        <v>6071</v>
      </c>
      <c r="C646" s="11" t="s">
        <v>18721</v>
      </c>
      <c r="D646" s="12">
        <v>41275</v>
      </c>
      <c r="E646" s="12">
        <v>41275</v>
      </c>
      <c r="F646" s="11"/>
      <c r="G646" s="11" t="s">
        <v>279</v>
      </c>
      <c r="H646" s="11" t="s">
        <v>30</v>
      </c>
      <c r="I646" s="11" t="s">
        <v>21914</v>
      </c>
    </row>
    <row r="647" spans="1:9" ht="13.15" x14ac:dyDescent="0.4">
      <c r="A647" s="11" t="s">
        <v>19257</v>
      </c>
      <c r="B647" s="11" t="s">
        <v>6071</v>
      </c>
      <c r="C647" s="11" t="s">
        <v>18721</v>
      </c>
      <c r="D647" s="12">
        <v>41275</v>
      </c>
      <c r="E647" s="12">
        <v>41275</v>
      </c>
      <c r="F647" s="11"/>
      <c r="G647" s="11" t="s">
        <v>279</v>
      </c>
      <c r="H647" s="11" t="s">
        <v>30</v>
      </c>
      <c r="I647" s="11" t="s">
        <v>21602</v>
      </c>
    </row>
    <row r="648" spans="1:9" ht="13.15" x14ac:dyDescent="0.4">
      <c r="A648" s="11" t="s">
        <v>20367</v>
      </c>
      <c r="B648" s="11" t="s">
        <v>6071</v>
      </c>
      <c r="C648" s="11" t="s">
        <v>18721</v>
      </c>
      <c r="D648" s="12">
        <v>40909</v>
      </c>
      <c r="E648" s="12">
        <v>40909</v>
      </c>
      <c r="F648" s="11"/>
      <c r="G648" s="11" t="s">
        <v>279</v>
      </c>
      <c r="H648" s="11" t="s">
        <v>30</v>
      </c>
      <c r="I648" s="11" t="s">
        <v>20492</v>
      </c>
    </row>
    <row r="649" spans="1:9" ht="13.15" x14ac:dyDescent="0.4">
      <c r="A649" s="11" t="s">
        <v>19106</v>
      </c>
      <c r="B649" s="11" t="s">
        <v>6071</v>
      </c>
      <c r="C649" s="11" t="s">
        <v>18721</v>
      </c>
      <c r="D649" s="12">
        <v>40909</v>
      </c>
      <c r="E649" s="12">
        <v>40909</v>
      </c>
      <c r="F649" s="11"/>
      <c r="G649" s="11" t="s">
        <v>279</v>
      </c>
      <c r="H649" s="11" t="s">
        <v>30</v>
      </c>
      <c r="I649" s="11" t="s">
        <v>21753</v>
      </c>
    </row>
    <row r="650" spans="1:9" ht="13.15" x14ac:dyDescent="0.4">
      <c r="A650" s="11" t="s">
        <v>19010</v>
      </c>
      <c r="B650" s="11" t="s">
        <v>6071</v>
      </c>
      <c r="C650" s="11" t="s">
        <v>18721</v>
      </c>
      <c r="D650" s="12">
        <v>40909</v>
      </c>
      <c r="E650" s="12">
        <v>40909</v>
      </c>
      <c r="F650" s="11"/>
      <c r="G650" s="11" t="s">
        <v>279</v>
      </c>
      <c r="H650" s="11" t="s">
        <v>30</v>
      </c>
      <c r="I650" s="11" t="s">
        <v>21849</v>
      </c>
    </row>
    <row r="651" spans="1:9" ht="13.15" x14ac:dyDescent="0.4">
      <c r="A651" s="11" t="s">
        <v>19628</v>
      </c>
      <c r="B651" s="11" t="s">
        <v>6071</v>
      </c>
      <c r="C651" s="11" t="s">
        <v>18721</v>
      </c>
      <c r="D651" s="12">
        <v>40909</v>
      </c>
      <c r="E651" s="12">
        <v>40909</v>
      </c>
      <c r="F651" s="11"/>
      <c r="G651" s="11" t="s">
        <v>279</v>
      </c>
      <c r="H651" s="11" t="s">
        <v>30</v>
      </c>
      <c r="I651" s="11" t="s">
        <v>21231</v>
      </c>
    </row>
    <row r="652" spans="1:9" ht="13.15" x14ac:dyDescent="0.4">
      <c r="A652" s="11" t="s">
        <v>18909</v>
      </c>
      <c r="B652" s="11" t="s">
        <v>6071</v>
      </c>
      <c r="C652" s="11" t="s">
        <v>18721</v>
      </c>
      <c r="D652" s="12">
        <v>40909</v>
      </c>
      <c r="E652" s="12">
        <v>40909</v>
      </c>
      <c r="F652" s="11"/>
      <c r="G652" s="11" t="s">
        <v>279</v>
      </c>
      <c r="H652" s="11" t="s">
        <v>30</v>
      </c>
      <c r="I652" s="11" t="s">
        <v>21950</v>
      </c>
    </row>
    <row r="653" spans="1:9" ht="13.15" x14ac:dyDescent="0.4">
      <c r="A653" s="11" t="s">
        <v>19451</v>
      </c>
      <c r="B653" s="11" t="s">
        <v>6071</v>
      </c>
      <c r="C653" s="11" t="s">
        <v>18721</v>
      </c>
      <c r="D653" s="12">
        <v>41640</v>
      </c>
      <c r="E653" s="12">
        <v>41640</v>
      </c>
      <c r="F653" s="11"/>
      <c r="G653" s="11" t="s">
        <v>279</v>
      </c>
      <c r="H653" s="11" t="s">
        <v>30</v>
      </c>
      <c r="I653" s="11" t="s">
        <v>21408</v>
      </c>
    </row>
    <row r="654" spans="1:9" ht="13.15" x14ac:dyDescent="0.4">
      <c r="A654" s="11" t="s">
        <v>19975</v>
      </c>
      <c r="B654" s="11" t="s">
        <v>6071</v>
      </c>
      <c r="C654" s="11" t="s">
        <v>18721</v>
      </c>
      <c r="D654" s="12">
        <v>41640</v>
      </c>
      <c r="E654" s="12">
        <v>41640</v>
      </c>
      <c r="F654" s="11"/>
      <c r="G654" s="11" t="s">
        <v>279</v>
      </c>
      <c r="H654" s="11" t="s">
        <v>30</v>
      </c>
      <c r="I654" s="11" t="s">
        <v>20884</v>
      </c>
    </row>
    <row r="655" spans="1:9" ht="13.15" x14ac:dyDescent="0.4">
      <c r="A655" s="11" t="s">
        <v>19196</v>
      </c>
      <c r="B655" s="11" t="s">
        <v>6071</v>
      </c>
      <c r="C655" s="11" t="s">
        <v>18721</v>
      </c>
      <c r="D655" s="12">
        <v>41275</v>
      </c>
      <c r="E655" s="12">
        <v>41275</v>
      </c>
      <c r="F655" s="11"/>
      <c r="G655" s="11" t="s">
        <v>279</v>
      </c>
      <c r="H655" s="11" t="s">
        <v>30</v>
      </c>
      <c r="I655" s="11" t="s">
        <v>21663</v>
      </c>
    </row>
    <row r="656" spans="1:9" ht="13.15" x14ac:dyDescent="0.4">
      <c r="A656" s="11" t="s">
        <v>19407</v>
      </c>
      <c r="B656" s="11" t="s">
        <v>6071</v>
      </c>
      <c r="C656" s="11" t="s">
        <v>18721</v>
      </c>
      <c r="D656" s="12">
        <v>41275</v>
      </c>
      <c r="E656" s="12">
        <v>41275</v>
      </c>
      <c r="F656" s="11"/>
      <c r="G656" s="11" t="s">
        <v>279</v>
      </c>
      <c r="H656" s="11" t="s">
        <v>30</v>
      </c>
      <c r="I656" s="11" t="s">
        <v>21452</v>
      </c>
    </row>
    <row r="657" spans="1:9" ht="13.15" x14ac:dyDescent="0.4">
      <c r="A657" s="11" t="s">
        <v>18825</v>
      </c>
      <c r="B657" s="11" t="s">
        <v>6071</v>
      </c>
      <c r="C657" s="11" t="s">
        <v>18721</v>
      </c>
      <c r="D657" s="12">
        <v>41275</v>
      </c>
      <c r="E657" s="12">
        <v>41275</v>
      </c>
      <c r="F657" s="11"/>
      <c r="G657" s="11" t="s">
        <v>279</v>
      </c>
      <c r="H657" s="11" t="s">
        <v>30</v>
      </c>
      <c r="I657" s="11" t="s">
        <v>22034</v>
      </c>
    </row>
    <row r="658" spans="1:9" ht="13.15" x14ac:dyDescent="0.4">
      <c r="A658" s="11" t="s">
        <v>19986</v>
      </c>
      <c r="B658" s="11" t="s">
        <v>6071</v>
      </c>
      <c r="C658" s="11" t="s">
        <v>18721</v>
      </c>
      <c r="D658" s="12">
        <v>41640</v>
      </c>
      <c r="E658" s="12">
        <v>41640</v>
      </c>
      <c r="F658" s="11"/>
      <c r="G658" s="11" t="s">
        <v>279</v>
      </c>
      <c r="H658" s="11" t="s">
        <v>30</v>
      </c>
      <c r="I658" s="11" t="s">
        <v>20873</v>
      </c>
    </row>
    <row r="659" spans="1:9" ht="13.15" x14ac:dyDescent="0.4">
      <c r="A659" s="11" t="s">
        <v>20204</v>
      </c>
      <c r="B659" s="11" t="s">
        <v>6071</v>
      </c>
      <c r="C659" s="11" t="s">
        <v>18721</v>
      </c>
      <c r="D659" s="12">
        <v>41275</v>
      </c>
      <c r="E659" s="12">
        <v>41275</v>
      </c>
      <c r="F659" s="11"/>
      <c r="G659" s="11" t="s">
        <v>279</v>
      </c>
      <c r="H659" s="11" t="s">
        <v>30</v>
      </c>
      <c r="I659" s="11" t="s">
        <v>20655</v>
      </c>
    </row>
    <row r="660" spans="1:9" ht="13.15" x14ac:dyDescent="0.4">
      <c r="A660" s="11" t="s">
        <v>18815</v>
      </c>
      <c r="B660" s="11" t="s">
        <v>6071</v>
      </c>
      <c r="C660" s="11" t="s">
        <v>18721</v>
      </c>
      <c r="D660" s="12">
        <v>41640</v>
      </c>
      <c r="E660" s="12">
        <v>41640</v>
      </c>
      <c r="F660" s="11"/>
      <c r="G660" s="11" t="s">
        <v>279</v>
      </c>
      <c r="H660" s="11" t="s">
        <v>30</v>
      </c>
      <c r="I660" s="11" t="s">
        <v>22044</v>
      </c>
    </row>
    <row r="661" spans="1:9" ht="13.15" x14ac:dyDescent="0.4">
      <c r="A661" s="11" t="s">
        <v>19288</v>
      </c>
      <c r="B661" s="11" t="s">
        <v>6071</v>
      </c>
      <c r="C661" s="11" t="s">
        <v>18721</v>
      </c>
      <c r="D661" s="12">
        <v>41275</v>
      </c>
      <c r="E661" s="12">
        <v>41275</v>
      </c>
      <c r="F661" s="11"/>
      <c r="G661" s="11" t="s">
        <v>279</v>
      </c>
      <c r="H661" s="11" t="s">
        <v>30</v>
      </c>
      <c r="I661" s="11" t="s">
        <v>21571</v>
      </c>
    </row>
    <row r="662" spans="1:9" ht="13.15" x14ac:dyDescent="0.4">
      <c r="A662" s="11" t="s">
        <v>19018</v>
      </c>
      <c r="B662" s="11" t="s">
        <v>6071</v>
      </c>
      <c r="C662" s="11" t="s">
        <v>18721</v>
      </c>
      <c r="D662" s="12">
        <v>41275</v>
      </c>
      <c r="E662" s="12">
        <v>41275</v>
      </c>
      <c r="F662" s="11"/>
      <c r="G662" s="11" t="s">
        <v>279</v>
      </c>
      <c r="H662" s="11" t="s">
        <v>30</v>
      </c>
      <c r="I662" s="11" t="s">
        <v>21841</v>
      </c>
    </row>
    <row r="663" spans="1:9" ht="13.15" x14ac:dyDescent="0.4">
      <c r="A663" s="11" t="s">
        <v>19318</v>
      </c>
      <c r="B663" s="11" t="s">
        <v>6071</v>
      </c>
      <c r="C663" s="11" t="s">
        <v>18721</v>
      </c>
      <c r="D663" s="12">
        <v>41640</v>
      </c>
      <c r="E663" s="12">
        <v>41640</v>
      </c>
      <c r="F663" s="11"/>
      <c r="G663" s="11" t="s">
        <v>279</v>
      </c>
      <c r="H663" s="11" t="s">
        <v>30</v>
      </c>
      <c r="I663" s="11" t="s">
        <v>21541</v>
      </c>
    </row>
    <row r="664" spans="1:9" ht="13.15" x14ac:dyDescent="0.4">
      <c r="A664" s="11" t="s">
        <v>18723</v>
      </c>
      <c r="B664" s="11" t="s">
        <v>6071</v>
      </c>
      <c r="C664" s="11" t="s">
        <v>18721</v>
      </c>
      <c r="D664" s="12">
        <v>41640</v>
      </c>
      <c r="E664" s="12">
        <v>41640</v>
      </c>
      <c r="F664" s="11"/>
      <c r="G664" s="11" t="s">
        <v>279</v>
      </c>
      <c r="H664" s="11" t="s">
        <v>30</v>
      </c>
      <c r="I664" s="11" t="s">
        <v>22136</v>
      </c>
    </row>
    <row r="665" spans="1:9" ht="13.15" x14ac:dyDescent="0.4">
      <c r="A665" s="11" t="s">
        <v>19592</v>
      </c>
      <c r="B665" s="11" t="s">
        <v>6071</v>
      </c>
      <c r="C665" s="11" t="s">
        <v>18721</v>
      </c>
      <c r="D665" s="12">
        <v>41640</v>
      </c>
      <c r="E665" s="12">
        <v>41640</v>
      </c>
      <c r="F665" s="11"/>
      <c r="G665" s="11" t="s">
        <v>279</v>
      </c>
      <c r="H665" s="11" t="s">
        <v>30</v>
      </c>
      <c r="I665" s="11" t="s">
        <v>21267</v>
      </c>
    </row>
    <row r="666" spans="1:9" ht="13.15" x14ac:dyDescent="0.4">
      <c r="A666" s="11" t="s">
        <v>20075</v>
      </c>
      <c r="B666" s="11" t="s">
        <v>6071</v>
      </c>
      <c r="C666" s="11" t="s">
        <v>18721</v>
      </c>
      <c r="D666" s="12">
        <v>41275</v>
      </c>
      <c r="E666" s="12">
        <v>41275</v>
      </c>
      <c r="F666" s="11"/>
      <c r="G666" s="11" t="s">
        <v>279</v>
      </c>
      <c r="H666" s="11" t="s">
        <v>30</v>
      </c>
      <c r="I666" s="11" t="s">
        <v>20784</v>
      </c>
    </row>
    <row r="667" spans="1:9" ht="13.15" x14ac:dyDescent="0.4">
      <c r="A667" s="11" t="s">
        <v>19314</v>
      </c>
      <c r="B667" s="11" t="s">
        <v>6071</v>
      </c>
      <c r="C667" s="11" t="s">
        <v>18721</v>
      </c>
      <c r="D667" s="12">
        <v>41275</v>
      </c>
      <c r="E667" s="12">
        <v>41275</v>
      </c>
      <c r="F667" s="11"/>
      <c r="G667" s="11" t="s">
        <v>279</v>
      </c>
      <c r="H667" s="11" t="s">
        <v>30</v>
      </c>
      <c r="I667" s="11" t="s">
        <v>21545</v>
      </c>
    </row>
    <row r="668" spans="1:9" ht="13.15" x14ac:dyDescent="0.4">
      <c r="A668" s="11" t="s">
        <v>20419</v>
      </c>
      <c r="B668" s="11" t="s">
        <v>6071</v>
      </c>
      <c r="C668" s="11" t="s">
        <v>18721</v>
      </c>
      <c r="D668" s="12">
        <v>41275</v>
      </c>
      <c r="E668" s="12">
        <v>41275</v>
      </c>
      <c r="F668" s="11"/>
      <c r="G668" s="11" t="s">
        <v>279</v>
      </c>
      <c r="H668" s="11" t="s">
        <v>30</v>
      </c>
      <c r="I668" s="11" t="s">
        <v>20440</v>
      </c>
    </row>
    <row r="669" spans="1:9" ht="13.15" x14ac:dyDescent="0.4">
      <c r="A669" s="11" t="s">
        <v>19649</v>
      </c>
      <c r="B669" s="11" t="s">
        <v>6071</v>
      </c>
      <c r="C669" s="11" t="s">
        <v>18721</v>
      </c>
      <c r="D669" s="12">
        <v>41275</v>
      </c>
      <c r="E669" s="12">
        <v>41275</v>
      </c>
      <c r="F669" s="11"/>
      <c r="G669" s="11" t="s">
        <v>279</v>
      </c>
      <c r="H669" s="11" t="s">
        <v>30</v>
      </c>
      <c r="I669" s="11" t="s">
        <v>21210</v>
      </c>
    </row>
    <row r="670" spans="1:9" ht="13.15" x14ac:dyDescent="0.4">
      <c r="A670" s="11" t="s">
        <v>19484</v>
      </c>
      <c r="B670" s="11" t="s">
        <v>6071</v>
      </c>
      <c r="C670" s="11" t="s">
        <v>18721</v>
      </c>
      <c r="D670" s="12">
        <v>41275</v>
      </c>
      <c r="E670" s="12">
        <v>41275</v>
      </c>
      <c r="F670" s="11"/>
      <c r="G670" s="11" t="s">
        <v>279</v>
      </c>
      <c r="H670" s="11" t="s">
        <v>30</v>
      </c>
      <c r="I670" s="11" t="s">
        <v>21375</v>
      </c>
    </row>
    <row r="671" spans="1:9" ht="13.15" x14ac:dyDescent="0.4">
      <c r="A671" s="11" t="s">
        <v>19827</v>
      </c>
      <c r="B671" s="11" t="s">
        <v>6071</v>
      </c>
      <c r="C671" s="11" t="s">
        <v>18721</v>
      </c>
      <c r="D671" s="12">
        <v>41275</v>
      </c>
      <c r="E671" s="12">
        <v>41275</v>
      </c>
      <c r="F671" s="11"/>
      <c r="G671" s="11" t="s">
        <v>279</v>
      </c>
      <c r="H671" s="11" t="s">
        <v>30</v>
      </c>
      <c r="I671" s="11" t="s">
        <v>21032</v>
      </c>
    </row>
    <row r="672" spans="1:9" ht="13.15" x14ac:dyDescent="0.4">
      <c r="A672" s="11" t="s">
        <v>19678</v>
      </c>
      <c r="B672" s="11" t="s">
        <v>6071</v>
      </c>
      <c r="C672" s="11" t="s">
        <v>18721</v>
      </c>
      <c r="D672" s="12">
        <v>41275</v>
      </c>
      <c r="E672" s="12">
        <v>41275</v>
      </c>
      <c r="F672" s="11"/>
      <c r="G672" s="11" t="s">
        <v>279</v>
      </c>
      <c r="H672" s="11" t="s">
        <v>30</v>
      </c>
      <c r="I672" s="11" t="s">
        <v>21181</v>
      </c>
    </row>
    <row r="673" spans="1:9" ht="13.15" x14ac:dyDescent="0.4">
      <c r="A673" s="11" t="s">
        <v>19583</v>
      </c>
      <c r="B673" s="11" t="s">
        <v>6071</v>
      </c>
      <c r="C673" s="11" t="s">
        <v>18721</v>
      </c>
      <c r="D673" s="12">
        <v>41275</v>
      </c>
      <c r="E673" s="12">
        <v>41275</v>
      </c>
      <c r="F673" s="11"/>
      <c r="G673" s="11" t="s">
        <v>279</v>
      </c>
      <c r="H673" s="11" t="s">
        <v>30</v>
      </c>
      <c r="I673" s="11" t="s">
        <v>21276</v>
      </c>
    </row>
    <row r="674" spans="1:9" ht="13.15" x14ac:dyDescent="0.4">
      <c r="A674" s="11" t="s">
        <v>20195</v>
      </c>
      <c r="B674" s="11" t="s">
        <v>6071</v>
      </c>
      <c r="C674" s="11" t="s">
        <v>18721</v>
      </c>
      <c r="D674" s="12">
        <v>41275</v>
      </c>
      <c r="E674" s="12">
        <v>41275</v>
      </c>
      <c r="F674" s="11"/>
      <c r="G674" s="11" t="s">
        <v>279</v>
      </c>
      <c r="H674" s="11" t="s">
        <v>30</v>
      </c>
      <c r="I674" s="11" t="s">
        <v>20664</v>
      </c>
    </row>
    <row r="675" spans="1:9" ht="13.15" x14ac:dyDescent="0.4">
      <c r="A675" s="11" t="s">
        <v>19668</v>
      </c>
      <c r="B675" s="11" t="s">
        <v>6071</v>
      </c>
      <c r="C675" s="11" t="s">
        <v>18721</v>
      </c>
      <c r="D675" s="12">
        <v>41275</v>
      </c>
      <c r="E675" s="12">
        <v>41275</v>
      </c>
      <c r="F675" s="11"/>
      <c r="G675" s="11" t="s">
        <v>279</v>
      </c>
      <c r="H675" s="11" t="s">
        <v>30</v>
      </c>
      <c r="I675" s="11" t="s">
        <v>21191</v>
      </c>
    </row>
    <row r="676" spans="1:9" ht="13.15" x14ac:dyDescent="0.4">
      <c r="A676" s="11" t="s">
        <v>20287</v>
      </c>
      <c r="B676" s="11" t="s">
        <v>6071</v>
      </c>
      <c r="C676" s="11" t="s">
        <v>18721</v>
      </c>
      <c r="D676" s="12">
        <v>41640</v>
      </c>
      <c r="E676" s="12">
        <v>41640</v>
      </c>
      <c r="F676" s="11"/>
      <c r="G676" s="11" t="s">
        <v>279</v>
      </c>
      <c r="H676" s="11" t="s">
        <v>30</v>
      </c>
      <c r="I676" s="11" t="s">
        <v>20572</v>
      </c>
    </row>
    <row r="677" spans="1:9" ht="13.15" x14ac:dyDescent="0.4">
      <c r="A677" s="11" t="s">
        <v>19280</v>
      </c>
      <c r="B677" s="11" t="s">
        <v>6071</v>
      </c>
      <c r="C677" s="11" t="s">
        <v>18721</v>
      </c>
      <c r="D677" s="12">
        <v>41275</v>
      </c>
      <c r="E677" s="12">
        <v>41275</v>
      </c>
      <c r="F677" s="11"/>
      <c r="G677" s="11" t="s">
        <v>279</v>
      </c>
      <c r="H677" s="11" t="s">
        <v>30</v>
      </c>
      <c r="I677" s="11" t="s">
        <v>21579</v>
      </c>
    </row>
    <row r="678" spans="1:9" ht="13.15" x14ac:dyDescent="0.4">
      <c r="A678" s="11" t="s">
        <v>19475</v>
      </c>
      <c r="B678" s="11" t="s">
        <v>6071</v>
      </c>
      <c r="C678" s="11" t="s">
        <v>18721</v>
      </c>
      <c r="D678" s="12">
        <v>41275</v>
      </c>
      <c r="E678" s="12">
        <v>41275</v>
      </c>
      <c r="F678" s="11"/>
      <c r="G678" s="11" t="s">
        <v>279</v>
      </c>
      <c r="H678" s="11" t="s">
        <v>30</v>
      </c>
      <c r="I678" s="11" t="s">
        <v>21384</v>
      </c>
    </row>
    <row r="679" spans="1:9" ht="13.15" x14ac:dyDescent="0.4">
      <c r="A679" s="11" t="s">
        <v>20340</v>
      </c>
      <c r="B679" s="11" t="s">
        <v>6071</v>
      </c>
      <c r="C679" s="11" t="s">
        <v>18721</v>
      </c>
      <c r="D679" s="12">
        <v>41275</v>
      </c>
      <c r="E679" s="12">
        <v>41275</v>
      </c>
      <c r="F679" s="11"/>
      <c r="G679" s="11" t="s">
        <v>279</v>
      </c>
      <c r="H679" s="11" t="s">
        <v>30</v>
      </c>
      <c r="I679" s="11" t="s">
        <v>20519</v>
      </c>
    </row>
    <row r="680" spans="1:9" ht="13.15" x14ac:dyDescent="0.4">
      <c r="A680" s="11" t="s">
        <v>18860</v>
      </c>
      <c r="B680" s="11" t="s">
        <v>6071</v>
      </c>
      <c r="C680" s="11" t="s">
        <v>18721</v>
      </c>
      <c r="D680" s="12">
        <v>41275</v>
      </c>
      <c r="E680" s="12">
        <v>41275</v>
      </c>
      <c r="F680" s="11"/>
      <c r="G680" s="11" t="s">
        <v>279</v>
      </c>
      <c r="H680" s="11" t="s">
        <v>30</v>
      </c>
      <c r="I680" s="11" t="s">
        <v>21999</v>
      </c>
    </row>
    <row r="681" spans="1:9" ht="13.15" x14ac:dyDescent="0.4">
      <c r="A681" s="11" t="s">
        <v>18919</v>
      </c>
      <c r="B681" s="11" t="s">
        <v>6071</v>
      </c>
      <c r="C681" s="11" t="s">
        <v>18721</v>
      </c>
      <c r="D681" s="12">
        <v>41275</v>
      </c>
      <c r="E681" s="12">
        <v>41275</v>
      </c>
      <c r="F681" s="11"/>
      <c r="G681" s="11" t="s">
        <v>279</v>
      </c>
      <c r="H681" s="11" t="s">
        <v>30</v>
      </c>
      <c r="I681" s="11" t="s">
        <v>21940</v>
      </c>
    </row>
    <row r="682" spans="1:9" ht="13.15" x14ac:dyDescent="0.4">
      <c r="A682" s="11" t="s">
        <v>20011</v>
      </c>
      <c r="B682" s="11" t="s">
        <v>6071</v>
      </c>
      <c r="C682" s="11" t="s">
        <v>18721</v>
      </c>
      <c r="D682" s="12">
        <v>41275</v>
      </c>
      <c r="E682" s="12">
        <v>41275</v>
      </c>
      <c r="F682" s="11"/>
      <c r="G682" s="11" t="s">
        <v>279</v>
      </c>
      <c r="H682" s="11" t="s">
        <v>30</v>
      </c>
      <c r="I682" s="11" t="s">
        <v>20848</v>
      </c>
    </row>
    <row r="683" spans="1:9" ht="13.15" x14ac:dyDescent="0.4">
      <c r="A683" s="11" t="s">
        <v>18756</v>
      </c>
      <c r="B683" s="11" t="s">
        <v>6071</v>
      </c>
      <c r="C683" s="11" t="s">
        <v>18721</v>
      </c>
      <c r="D683" s="12">
        <v>41275</v>
      </c>
      <c r="E683" s="12">
        <v>41275</v>
      </c>
      <c r="F683" s="11"/>
      <c r="G683" s="11" t="s">
        <v>279</v>
      </c>
      <c r="H683" s="11" t="s">
        <v>30</v>
      </c>
      <c r="I683" s="11" t="s">
        <v>22103</v>
      </c>
    </row>
    <row r="684" spans="1:9" ht="13.15" x14ac:dyDescent="0.4">
      <c r="A684" s="11" t="s">
        <v>19532</v>
      </c>
      <c r="B684" s="11" t="s">
        <v>6071</v>
      </c>
      <c r="C684" s="11" t="s">
        <v>18721</v>
      </c>
      <c r="D684" s="12">
        <v>41640</v>
      </c>
      <c r="E684" s="12">
        <v>41640</v>
      </c>
      <c r="F684" s="11"/>
      <c r="G684" s="11" t="s">
        <v>279</v>
      </c>
      <c r="H684" s="11" t="s">
        <v>30</v>
      </c>
      <c r="I684" s="11" t="s">
        <v>21327</v>
      </c>
    </row>
    <row r="685" spans="1:9" ht="13.15" x14ac:dyDescent="0.4">
      <c r="A685" s="11" t="s">
        <v>19238</v>
      </c>
      <c r="B685" s="11" t="s">
        <v>6071</v>
      </c>
      <c r="C685" s="11" t="s">
        <v>18721</v>
      </c>
      <c r="D685" s="12">
        <v>41275</v>
      </c>
      <c r="E685" s="12">
        <v>41275</v>
      </c>
      <c r="F685" s="11"/>
      <c r="G685" s="11" t="s">
        <v>279</v>
      </c>
      <c r="H685" s="11" t="s">
        <v>30</v>
      </c>
      <c r="I685" s="11" t="s">
        <v>21621</v>
      </c>
    </row>
    <row r="686" spans="1:9" ht="13.15" x14ac:dyDescent="0.4">
      <c r="A686" s="11" t="s">
        <v>19679</v>
      </c>
      <c r="B686" s="11" t="s">
        <v>6071</v>
      </c>
      <c r="C686" s="11" t="s">
        <v>18721</v>
      </c>
      <c r="D686" s="12">
        <v>41275</v>
      </c>
      <c r="E686" s="12">
        <v>41275</v>
      </c>
      <c r="F686" s="11"/>
      <c r="G686" s="11" t="s">
        <v>279</v>
      </c>
      <c r="H686" s="11" t="s">
        <v>30</v>
      </c>
      <c r="I686" s="11" t="s">
        <v>21180</v>
      </c>
    </row>
    <row r="687" spans="1:9" ht="13.15" x14ac:dyDescent="0.4">
      <c r="A687" s="11" t="s">
        <v>20209</v>
      </c>
      <c r="B687" s="11" t="s">
        <v>6071</v>
      </c>
      <c r="C687" s="11" t="s">
        <v>18721</v>
      </c>
      <c r="D687" s="12">
        <v>41640</v>
      </c>
      <c r="E687" s="12">
        <v>41640</v>
      </c>
      <c r="F687" s="11"/>
      <c r="G687" s="11" t="s">
        <v>279</v>
      </c>
      <c r="H687" s="11" t="s">
        <v>30</v>
      </c>
      <c r="I687" s="11" t="s">
        <v>20650</v>
      </c>
    </row>
    <row r="688" spans="1:9" ht="13.15" x14ac:dyDescent="0.4">
      <c r="A688" s="11" t="s">
        <v>19926</v>
      </c>
      <c r="B688" s="11" t="s">
        <v>6071</v>
      </c>
      <c r="C688" s="11" t="s">
        <v>18721</v>
      </c>
      <c r="D688" s="12">
        <v>41640</v>
      </c>
      <c r="E688" s="12">
        <v>41640</v>
      </c>
      <c r="F688" s="11"/>
      <c r="G688" s="11" t="s">
        <v>279</v>
      </c>
      <c r="H688" s="11" t="s">
        <v>30</v>
      </c>
      <c r="I688" s="11" t="s">
        <v>20933</v>
      </c>
    </row>
    <row r="689" spans="1:9" ht="13.15" x14ac:dyDescent="0.4">
      <c r="A689" s="11" t="s">
        <v>20272</v>
      </c>
      <c r="B689" s="11" t="s">
        <v>6071</v>
      </c>
      <c r="C689" s="11" t="s">
        <v>18721</v>
      </c>
      <c r="D689" s="12">
        <v>41275</v>
      </c>
      <c r="E689" s="12">
        <v>41275</v>
      </c>
      <c r="F689" s="11"/>
      <c r="G689" s="11" t="s">
        <v>279</v>
      </c>
      <c r="H689" s="11" t="s">
        <v>30</v>
      </c>
      <c r="I689" s="11" t="s">
        <v>20587</v>
      </c>
    </row>
    <row r="690" spans="1:9" ht="13.15" x14ac:dyDescent="0.4">
      <c r="A690" s="11" t="s">
        <v>20069</v>
      </c>
      <c r="B690" s="11" t="s">
        <v>6071</v>
      </c>
      <c r="C690" s="11" t="s">
        <v>18721</v>
      </c>
      <c r="D690" s="12">
        <v>41640</v>
      </c>
      <c r="E690" s="12">
        <v>41640</v>
      </c>
      <c r="F690" s="11"/>
      <c r="G690" s="11" t="s">
        <v>279</v>
      </c>
      <c r="H690" s="11" t="s">
        <v>30</v>
      </c>
      <c r="I690" s="11" t="s">
        <v>20790</v>
      </c>
    </row>
    <row r="691" spans="1:9" ht="13.15" x14ac:dyDescent="0.4">
      <c r="A691" s="11" t="s">
        <v>19352</v>
      </c>
      <c r="B691" s="11" t="s">
        <v>6071</v>
      </c>
      <c r="C691" s="11" t="s">
        <v>18721</v>
      </c>
      <c r="D691" s="12">
        <v>41275</v>
      </c>
      <c r="E691" s="12">
        <v>41275</v>
      </c>
      <c r="F691" s="11"/>
      <c r="G691" s="11" t="s">
        <v>279</v>
      </c>
      <c r="H691" s="11" t="s">
        <v>30</v>
      </c>
      <c r="I691" s="11" t="s">
        <v>21507</v>
      </c>
    </row>
    <row r="692" spans="1:9" ht="13.15" x14ac:dyDescent="0.4">
      <c r="A692" s="11" t="s">
        <v>19791</v>
      </c>
      <c r="B692" s="11" t="s">
        <v>6071</v>
      </c>
      <c r="C692" s="11" t="s">
        <v>18721</v>
      </c>
      <c r="D692" s="12">
        <v>41275</v>
      </c>
      <c r="E692" s="12">
        <v>41275</v>
      </c>
      <c r="F692" s="11"/>
      <c r="G692" s="11" t="s">
        <v>279</v>
      </c>
      <c r="H692" s="11" t="s">
        <v>30</v>
      </c>
      <c r="I692" s="11" t="s">
        <v>21068</v>
      </c>
    </row>
    <row r="693" spans="1:9" ht="13.15" x14ac:dyDescent="0.4">
      <c r="A693" s="11" t="s">
        <v>19851</v>
      </c>
      <c r="B693" s="11" t="s">
        <v>6071</v>
      </c>
      <c r="C693" s="11" t="s">
        <v>18721</v>
      </c>
      <c r="D693" s="12">
        <v>41275</v>
      </c>
      <c r="E693" s="12">
        <v>41275</v>
      </c>
      <c r="F693" s="11"/>
      <c r="G693" s="11" t="s">
        <v>279</v>
      </c>
      <c r="H693" s="11" t="s">
        <v>30</v>
      </c>
      <c r="I693" s="11" t="s">
        <v>21008</v>
      </c>
    </row>
    <row r="694" spans="1:9" ht="13.15" x14ac:dyDescent="0.4">
      <c r="A694" s="11" t="s">
        <v>19578</v>
      </c>
      <c r="B694" s="11" t="s">
        <v>6071</v>
      </c>
      <c r="C694" s="11" t="s">
        <v>18721</v>
      </c>
      <c r="D694" s="12">
        <v>41275</v>
      </c>
      <c r="E694" s="12">
        <v>41275</v>
      </c>
      <c r="F694" s="11"/>
      <c r="G694" s="11" t="s">
        <v>279</v>
      </c>
      <c r="H694" s="11" t="s">
        <v>30</v>
      </c>
      <c r="I694" s="11" t="s">
        <v>21281</v>
      </c>
    </row>
    <row r="695" spans="1:9" ht="13.15" x14ac:dyDescent="0.4">
      <c r="A695" s="11" t="s">
        <v>19562</v>
      </c>
      <c r="B695" s="11" t="s">
        <v>6071</v>
      </c>
      <c r="C695" s="11" t="s">
        <v>18721</v>
      </c>
      <c r="D695" s="12">
        <v>41275</v>
      </c>
      <c r="E695" s="12">
        <v>41275</v>
      </c>
      <c r="F695" s="11"/>
      <c r="G695" s="11" t="s">
        <v>279</v>
      </c>
      <c r="H695" s="11" t="s">
        <v>30</v>
      </c>
      <c r="I695" s="11" t="s">
        <v>21297</v>
      </c>
    </row>
    <row r="696" spans="1:9" ht="13.15" x14ac:dyDescent="0.4">
      <c r="A696" s="11" t="s">
        <v>18785</v>
      </c>
      <c r="B696" s="11" t="s">
        <v>6071</v>
      </c>
      <c r="C696" s="11" t="s">
        <v>18721</v>
      </c>
      <c r="D696" s="12">
        <v>41275</v>
      </c>
      <c r="E696" s="12">
        <v>41275</v>
      </c>
      <c r="F696" s="11"/>
      <c r="G696" s="11" t="s">
        <v>279</v>
      </c>
      <c r="H696" s="11" t="s">
        <v>30</v>
      </c>
      <c r="I696" s="11" t="s">
        <v>22074</v>
      </c>
    </row>
    <row r="697" spans="1:9" ht="13.15" x14ac:dyDescent="0.4">
      <c r="A697" s="11" t="s">
        <v>20135</v>
      </c>
      <c r="B697" s="11" t="s">
        <v>6071</v>
      </c>
      <c r="C697" s="11" t="s">
        <v>18721</v>
      </c>
      <c r="D697" s="12">
        <v>41275</v>
      </c>
      <c r="E697" s="12">
        <v>41275</v>
      </c>
      <c r="F697" s="11"/>
      <c r="G697" s="11" t="s">
        <v>279</v>
      </c>
      <c r="H697" s="11" t="s">
        <v>30</v>
      </c>
      <c r="I697" s="11" t="s">
        <v>20724</v>
      </c>
    </row>
    <row r="698" spans="1:9" ht="13.15" x14ac:dyDescent="0.4">
      <c r="A698" s="11" t="s">
        <v>19523</v>
      </c>
      <c r="B698" s="11" t="s">
        <v>6071</v>
      </c>
      <c r="C698" s="11" t="s">
        <v>18721</v>
      </c>
      <c r="D698" s="12">
        <v>41275</v>
      </c>
      <c r="E698" s="12">
        <v>41275</v>
      </c>
      <c r="F698" s="11"/>
      <c r="G698" s="11" t="s">
        <v>279</v>
      </c>
      <c r="H698" s="11" t="s">
        <v>30</v>
      </c>
      <c r="I698" s="11" t="s">
        <v>21336</v>
      </c>
    </row>
    <row r="699" spans="1:9" ht="13.15" x14ac:dyDescent="0.4">
      <c r="A699" s="11" t="s">
        <v>19762</v>
      </c>
      <c r="B699" s="11" t="s">
        <v>6071</v>
      </c>
      <c r="C699" s="11" t="s">
        <v>18721</v>
      </c>
      <c r="D699" s="12">
        <v>41275</v>
      </c>
      <c r="E699" s="12">
        <v>41275</v>
      </c>
      <c r="F699" s="11"/>
      <c r="G699" s="11" t="s">
        <v>279</v>
      </c>
      <c r="H699" s="11" t="s">
        <v>30</v>
      </c>
      <c r="I699" s="11" t="s">
        <v>21097</v>
      </c>
    </row>
    <row r="700" spans="1:9" ht="13.15" x14ac:dyDescent="0.4">
      <c r="A700" s="11" t="s">
        <v>19209</v>
      </c>
      <c r="B700" s="11" t="s">
        <v>6071</v>
      </c>
      <c r="C700" s="11" t="s">
        <v>18721</v>
      </c>
      <c r="D700" s="12">
        <v>40909</v>
      </c>
      <c r="E700" s="12">
        <v>40909</v>
      </c>
      <c r="F700" s="11"/>
      <c r="G700" s="11" t="s">
        <v>279</v>
      </c>
      <c r="H700" s="11" t="s">
        <v>30</v>
      </c>
      <c r="I700" s="11" t="s">
        <v>21650</v>
      </c>
    </row>
    <row r="701" spans="1:9" ht="13.15" x14ac:dyDescent="0.4">
      <c r="A701" s="11" t="s">
        <v>19027</v>
      </c>
      <c r="B701" s="11" t="s">
        <v>6071</v>
      </c>
      <c r="C701" s="11" t="s">
        <v>18721</v>
      </c>
      <c r="D701" s="12">
        <v>40909</v>
      </c>
      <c r="E701" s="12">
        <v>40909</v>
      </c>
      <c r="F701" s="11"/>
      <c r="G701" s="11" t="s">
        <v>279</v>
      </c>
      <c r="H701" s="11" t="s">
        <v>30</v>
      </c>
      <c r="I701" s="11" t="s">
        <v>21832</v>
      </c>
    </row>
    <row r="702" spans="1:9" ht="13.15" x14ac:dyDescent="0.4">
      <c r="A702" s="11" t="s">
        <v>19144</v>
      </c>
      <c r="B702" s="11" t="s">
        <v>6071</v>
      </c>
      <c r="C702" s="11" t="s">
        <v>18721</v>
      </c>
      <c r="D702" s="12">
        <v>40909</v>
      </c>
      <c r="E702" s="12">
        <v>40909</v>
      </c>
      <c r="F702" s="11"/>
      <c r="G702" s="11" t="s">
        <v>279</v>
      </c>
      <c r="H702" s="11" t="s">
        <v>30</v>
      </c>
      <c r="I702" s="11" t="s">
        <v>21715</v>
      </c>
    </row>
    <row r="703" spans="1:9" ht="13.15" x14ac:dyDescent="0.4">
      <c r="A703" s="11" t="s">
        <v>20211</v>
      </c>
      <c r="B703" s="11" t="s">
        <v>6071</v>
      </c>
      <c r="C703" s="11" t="s">
        <v>18721</v>
      </c>
      <c r="D703" s="12">
        <v>40909</v>
      </c>
      <c r="E703" s="12">
        <v>40909</v>
      </c>
      <c r="F703" s="11"/>
      <c r="G703" s="11" t="s">
        <v>279</v>
      </c>
      <c r="H703" s="11" t="s">
        <v>30</v>
      </c>
      <c r="I703" s="11" t="s">
        <v>20648</v>
      </c>
    </row>
    <row r="704" spans="1:9" ht="13.15" x14ac:dyDescent="0.4">
      <c r="A704" s="11" t="s">
        <v>20347</v>
      </c>
      <c r="B704" s="11" t="s">
        <v>6071</v>
      </c>
      <c r="C704" s="11" t="s">
        <v>18721</v>
      </c>
      <c r="D704" s="12">
        <v>40909</v>
      </c>
      <c r="E704" s="12">
        <v>40909</v>
      </c>
      <c r="F704" s="11"/>
      <c r="G704" s="11" t="s">
        <v>279</v>
      </c>
      <c r="H704" s="11" t="s">
        <v>30</v>
      </c>
      <c r="I704" s="11" t="s">
        <v>20512</v>
      </c>
    </row>
    <row r="705" spans="1:9" ht="13.15" x14ac:dyDescent="0.4">
      <c r="A705" s="11" t="s">
        <v>18801</v>
      </c>
      <c r="B705" s="11" t="s">
        <v>6071</v>
      </c>
      <c r="C705" s="11" t="s">
        <v>18721</v>
      </c>
      <c r="D705" s="12">
        <v>41275</v>
      </c>
      <c r="E705" s="12">
        <v>41275</v>
      </c>
      <c r="F705" s="11"/>
      <c r="G705" s="11" t="s">
        <v>279</v>
      </c>
      <c r="H705" s="11" t="s">
        <v>30</v>
      </c>
      <c r="I705" s="11" t="s">
        <v>22058</v>
      </c>
    </row>
    <row r="706" spans="1:9" ht="13.15" x14ac:dyDescent="0.4">
      <c r="A706" s="11" t="s">
        <v>18962</v>
      </c>
      <c r="B706" s="11" t="s">
        <v>6071</v>
      </c>
      <c r="C706" s="11" t="s">
        <v>18721</v>
      </c>
      <c r="D706" s="12">
        <v>40909</v>
      </c>
      <c r="E706" s="12">
        <v>40909</v>
      </c>
      <c r="F706" s="11"/>
      <c r="G706" s="11" t="s">
        <v>279</v>
      </c>
      <c r="H706" s="11" t="s">
        <v>30</v>
      </c>
      <c r="I706" s="11" t="s">
        <v>21897</v>
      </c>
    </row>
    <row r="707" spans="1:9" ht="13.15" x14ac:dyDescent="0.4">
      <c r="A707" s="11" t="s">
        <v>19052</v>
      </c>
      <c r="B707" s="11" t="s">
        <v>6071</v>
      </c>
      <c r="C707" s="11" t="s">
        <v>18721</v>
      </c>
      <c r="D707" s="12">
        <v>41640</v>
      </c>
      <c r="E707" s="12">
        <v>41640</v>
      </c>
      <c r="F707" s="11"/>
      <c r="G707" s="11" t="s">
        <v>279</v>
      </c>
      <c r="H707" s="11" t="s">
        <v>30</v>
      </c>
      <c r="I707" s="11" t="s">
        <v>21807</v>
      </c>
    </row>
    <row r="708" spans="1:9" ht="13.15" x14ac:dyDescent="0.4">
      <c r="A708" s="11" t="s">
        <v>20379</v>
      </c>
      <c r="B708" s="11" t="s">
        <v>6071</v>
      </c>
      <c r="C708" s="11" t="s">
        <v>18721</v>
      </c>
      <c r="D708" s="12">
        <v>41640</v>
      </c>
      <c r="E708" s="12">
        <v>41640</v>
      </c>
      <c r="F708" s="11"/>
      <c r="G708" s="11" t="s">
        <v>279</v>
      </c>
      <c r="H708" s="11" t="s">
        <v>30</v>
      </c>
      <c r="I708" s="11" t="s">
        <v>20480</v>
      </c>
    </row>
    <row r="709" spans="1:9" ht="13.15" x14ac:dyDescent="0.4">
      <c r="A709" s="11" t="s">
        <v>19223</v>
      </c>
      <c r="B709" s="11" t="s">
        <v>6071</v>
      </c>
      <c r="C709" s="11" t="s">
        <v>18721</v>
      </c>
      <c r="D709" s="12">
        <v>41640</v>
      </c>
      <c r="E709" s="12">
        <v>41640</v>
      </c>
      <c r="F709" s="11"/>
      <c r="G709" s="11" t="s">
        <v>279</v>
      </c>
      <c r="H709" s="11" t="s">
        <v>30</v>
      </c>
      <c r="I709" s="11" t="s">
        <v>21636</v>
      </c>
    </row>
    <row r="710" spans="1:9" ht="13.15" x14ac:dyDescent="0.4">
      <c r="A710" s="11" t="s">
        <v>19843</v>
      </c>
      <c r="B710" s="11" t="s">
        <v>6071</v>
      </c>
      <c r="C710" s="11" t="s">
        <v>18721</v>
      </c>
      <c r="D710" s="12">
        <v>41640</v>
      </c>
      <c r="E710" s="12">
        <v>41640</v>
      </c>
      <c r="F710" s="11"/>
      <c r="G710" s="11" t="s">
        <v>279</v>
      </c>
      <c r="H710" s="11" t="s">
        <v>30</v>
      </c>
      <c r="I710" s="11" t="s">
        <v>21016</v>
      </c>
    </row>
    <row r="711" spans="1:9" ht="13.15" x14ac:dyDescent="0.4">
      <c r="A711" s="11" t="s">
        <v>19623</v>
      </c>
      <c r="B711" s="11" t="s">
        <v>6071</v>
      </c>
      <c r="C711" s="11" t="s">
        <v>18721</v>
      </c>
      <c r="D711" s="12">
        <v>41640</v>
      </c>
      <c r="E711" s="12">
        <v>41640</v>
      </c>
      <c r="F711" s="11"/>
      <c r="G711" s="11" t="s">
        <v>279</v>
      </c>
      <c r="H711" s="11" t="s">
        <v>30</v>
      </c>
      <c r="I711" s="11" t="s">
        <v>21236</v>
      </c>
    </row>
    <row r="712" spans="1:9" ht="13.15" x14ac:dyDescent="0.4">
      <c r="A712" s="11" t="s">
        <v>19284</v>
      </c>
      <c r="B712" s="11" t="s">
        <v>6071</v>
      </c>
      <c r="C712" s="11" t="s">
        <v>18721</v>
      </c>
      <c r="D712" s="12">
        <v>41640</v>
      </c>
      <c r="E712" s="12">
        <v>41640</v>
      </c>
      <c r="F712" s="11"/>
      <c r="G712" s="11" t="s">
        <v>279</v>
      </c>
      <c r="H712" s="11" t="s">
        <v>30</v>
      </c>
      <c r="I712" s="11" t="s">
        <v>21575</v>
      </c>
    </row>
    <row r="713" spans="1:9" ht="13.15" x14ac:dyDescent="0.4">
      <c r="A713" s="11" t="s">
        <v>20384</v>
      </c>
      <c r="B713" s="11" t="s">
        <v>6071</v>
      </c>
      <c r="C713" s="11" t="s">
        <v>18721</v>
      </c>
      <c r="D713" s="12">
        <v>41640</v>
      </c>
      <c r="E713" s="12">
        <v>41640</v>
      </c>
      <c r="F713" s="11"/>
      <c r="G713" s="11" t="s">
        <v>279</v>
      </c>
      <c r="H713" s="11" t="s">
        <v>30</v>
      </c>
      <c r="I713" s="11" t="s">
        <v>20475</v>
      </c>
    </row>
    <row r="714" spans="1:9" ht="13.15" x14ac:dyDescent="0.4">
      <c r="A714" s="11" t="s">
        <v>19298</v>
      </c>
      <c r="B714" s="11" t="s">
        <v>6071</v>
      </c>
      <c r="C714" s="11" t="s">
        <v>18721</v>
      </c>
      <c r="D714" s="12">
        <v>41640</v>
      </c>
      <c r="E714" s="12">
        <v>41640</v>
      </c>
      <c r="F714" s="11"/>
      <c r="G714" s="11" t="s">
        <v>279</v>
      </c>
      <c r="H714" s="11" t="s">
        <v>30</v>
      </c>
      <c r="I714" s="11" t="s">
        <v>21561</v>
      </c>
    </row>
    <row r="715" spans="1:9" ht="13.15" x14ac:dyDescent="0.4">
      <c r="A715" s="11" t="s">
        <v>19654</v>
      </c>
      <c r="B715" s="11" t="s">
        <v>6071</v>
      </c>
      <c r="C715" s="11" t="s">
        <v>18721</v>
      </c>
      <c r="D715" s="12">
        <v>41640</v>
      </c>
      <c r="E715" s="12">
        <v>41640</v>
      </c>
      <c r="F715" s="11"/>
      <c r="G715" s="11" t="s">
        <v>279</v>
      </c>
      <c r="H715" s="11" t="s">
        <v>30</v>
      </c>
      <c r="I715" s="11" t="s">
        <v>21205</v>
      </c>
    </row>
    <row r="716" spans="1:9" ht="13.15" x14ac:dyDescent="0.4">
      <c r="A716" s="11" t="s">
        <v>19970</v>
      </c>
      <c r="B716" s="11" t="s">
        <v>6071</v>
      </c>
      <c r="C716" s="11" t="s">
        <v>18721</v>
      </c>
      <c r="D716" s="12">
        <v>41640</v>
      </c>
      <c r="E716" s="12">
        <v>41640</v>
      </c>
      <c r="F716" s="11"/>
      <c r="G716" s="11" t="s">
        <v>279</v>
      </c>
      <c r="H716" s="11" t="s">
        <v>30</v>
      </c>
      <c r="I716" s="11" t="s">
        <v>20889</v>
      </c>
    </row>
    <row r="717" spans="1:9" ht="13.15" x14ac:dyDescent="0.4">
      <c r="A717" s="11" t="s">
        <v>20143</v>
      </c>
      <c r="B717" s="11" t="s">
        <v>6071</v>
      </c>
      <c r="C717" s="11" t="s">
        <v>18721</v>
      </c>
      <c r="D717" s="12">
        <v>41275</v>
      </c>
      <c r="E717" s="12">
        <v>41275</v>
      </c>
      <c r="F717" s="11"/>
      <c r="G717" s="11" t="s">
        <v>279</v>
      </c>
      <c r="H717" s="11" t="s">
        <v>30</v>
      </c>
      <c r="I717" s="11" t="s">
        <v>20716</v>
      </c>
    </row>
    <row r="718" spans="1:9" ht="13.15" x14ac:dyDescent="0.4">
      <c r="A718" s="11" t="s">
        <v>19005</v>
      </c>
      <c r="B718" s="11" t="s">
        <v>6071</v>
      </c>
      <c r="C718" s="11" t="s">
        <v>18721</v>
      </c>
      <c r="D718" s="12">
        <v>40909</v>
      </c>
      <c r="E718" s="12">
        <v>40909</v>
      </c>
      <c r="F718" s="11"/>
      <c r="G718" s="11" t="s">
        <v>279</v>
      </c>
      <c r="H718" s="11" t="s">
        <v>30</v>
      </c>
      <c r="I718" s="11" t="s">
        <v>21854</v>
      </c>
    </row>
    <row r="719" spans="1:9" ht="13.15" x14ac:dyDescent="0.4">
      <c r="A719" s="11" t="s">
        <v>19842</v>
      </c>
      <c r="B719" s="11" t="s">
        <v>6071</v>
      </c>
      <c r="C719" s="11" t="s">
        <v>18721</v>
      </c>
      <c r="D719" s="12">
        <v>40909</v>
      </c>
      <c r="E719" s="12">
        <v>40909</v>
      </c>
      <c r="F719" s="11"/>
      <c r="G719" s="11" t="s">
        <v>279</v>
      </c>
      <c r="H719" s="11" t="s">
        <v>30</v>
      </c>
      <c r="I719" s="11" t="s">
        <v>21017</v>
      </c>
    </row>
    <row r="720" spans="1:9" ht="13.15" x14ac:dyDescent="0.4">
      <c r="A720" s="11" t="s">
        <v>20411</v>
      </c>
      <c r="B720" s="11" t="s">
        <v>6071</v>
      </c>
      <c r="C720" s="11" t="s">
        <v>18721</v>
      </c>
      <c r="D720" s="12">
        <v>40909</v>
      </c>
      <c r="E720" s="12">
        <v>40909</v>
      </c>
      <c r="F720" s="11"/>
      <c r="G720" s="11" t="s">
        <v>279</v>
      </c>
      <c r="H720" s="11" t="s">
        <v>30</v>
      </c>
      <c r="I720" s="11" t="s">
        <v>20448</v>
      </c>
    </row>
    <row r="721" spans="1:9" ht="13.15" x14ac:dyDescent="0.4">
      <c r="A721" s="11" t="s">
        <v>19812</v>
      </c>
      <c r="B721" s="11" t="s">
        <v>6071</v>
      </c>
      <c r="C721" s="11" t="s">
        <v>18721</v>
      </c>
      <c r="D721" s="12">
        <v>40909</v>
      </c>
      <c r="E721" s="12">
        <v>40909</v>
      </c>
      <c r="F721" s="11"/>
      <c r="G721" s="11" t="s">
        <v>279</v>
      </c>
      <c r="H721" s="11" t="s">
        <v>30</v>
      </c>
      <c r="I721" s="11" t="s">
        <v>21047</v>
      </c>
    </row>
    <row r="722" spans="1:9" ht="13.15" x14ac:dyDescent="0.4">
      <c r="A722" s="11" t="s">
        <v>20144</v>
      </c>
      <c r="B722" s="11" t="s">
        <v>6071</v>
      </c>
      <c r="C722" s="11" t="s">
        <v>18721</v>
      </c>
      <c r="D722" s="12">
        <v>40909</v>
      </c>
      <c r="E722" s="12">
        <v>40909</v>
      </c>
      <c r="F722" s="11"/>
      <c r="G722" s="11" t="s">
        <v>279</v>
      </c>
      <c r="H722" s="11" t="s">
        <v>30</v>
      </c>
      <c r="I722" s="11" t="s">
        <v>20715</v>
      </c>
    </row>
    <row r="723" spans="1:9" ht="13.15" x14ac:dyDescent="0.4">
      <c r="A723" s="11" t="s">
        <v>18810</v>
      </c>
      <c r="B723" s="11" t="s">
        <v>6071</v>
      </c>
      <c r="C723" s="11" t="s">
        <v>18721</v>
      </c>
      <c r="D723" s="12">
        <v>40909</v>
      </c>
      <c r="E723" s="12">
        <v>40909</v>
      </c>
      <c r="F723" s="11"/>
      <c r="G723" s="11" t="s">
        <v>279</v>
      </c>
      <c r="H723" s="11" t="s">
        <v>30</v>
      </c>
      <c r="I723" s="11" t="s">
        <v>22049</v>
      </c>
    </row>
    <row r="724" spans="1:9" ht="13.15" x14ac:dyDescent="0.4">
      <c r="A724" s="11" t="s">
        <v>19941</v>
      </c>
      <c r="B724" s="11" t="s">
        <v>6071</v>
      </c>
      <c r="C724" s="11" t="s">
        <v>18721</v>
      </c>
      <c r="D724" s="12">
        <v>40909</v>
      </c>
      <c r="E724" s="12">
        <v>40909</v>
      </c>
      <c r="F724" s="11"/>
      <c r="G724" s="11" t="s">
        <v>279</v>
      </c>
      <c r="H724" s="11" t="s">
        <v>30</v>
      </c>
      <c r="I724" s="11" t="s">
        <v>20918</v>
      </c>
    </row>
    <row r="725" spans="1:9" ht="13.15" x14ac:dyDescent="0.4">
      <c r="A725" s="11" t="s">
        <v>20302</v>
      </c>
      <c r="B725" s="11" t="s">
        <v>6071</v>
      </c>
      <c r="C725" s="11" t="s">
        <v>18721</v>
      </c>
      <c r="D725" s="12">
        <v>41640</v>
      </c>
      <c r="E725" s="12">
        <v>41640</v>
      </c>
      <c r="F725" s="11"/>
      <c r="G725" s="11" t="s">
        <v>279</v>
      </c>
      <c r="H725" s="11" t="s">
        <v>30</v>
      </c>
      <c r="I725" s="11" t="s">
        <v>20557</v>
      </c>
    </row>
    <row r="726" spans="1:9" ht="13.15" x14ac:dyDescent="0.4">
      <c r="A726" s="11" t="s">
        <v>20389</v>
      </c>
      <c r="B726" s="11" t="s">
        <v>6071</v>
      </c>
      <c r="C726" s="11" t="s">
        <v>18721</v>
      </c>
      <c r="D726" s="12">
        <v>41640</v>
      </c>
      <c r="E726" s="12">
        <v>41640</v>
      </c>
      <c r="F726" s="11"/>
      <c r="G726" s="11" t="s">
        <v>279</v>
      </c>
      <c r="H726" s="11" t="s">
        <v>30</v>
      </c>
      <c r="I726" s="11" t="s">
        <v>20470</v>
      </c>
    </row>
    <row r="727" spans="1:9" ht="13.15" x14ac:dyDescent="0.4">
      <c r="A727" s="11" t="s">
        <v>20409</v>
      </c>
      <c r="B727" s="11" t="s">
        <v>6071</v>
      </c>
      <c r="C727" s="11" t="s">
        <v>18721</v>
      </c>
      <c r="D727" s="12">
        <v>41640</v>
      </c>
      <c r="E727" s="12">
        <v>41640</v>
      </c>
      <c r="F727" s="11"/>
      <c r="G727" s="11" t="s">
        <v>279</v>
      </c>
      <c r="H727" s="11" t="s">
        <v>30</v>
      </c>
      <c r="I727" s="11" t="s">
        <v>20450</v>
      </c>
    </row>
    <row r="728" spans="1:9" ht="13.15" x14ac:dyDescent="0.4">
      <c r="A728" s="11" t="s">
        <v>20205</v>
      </c>
      <c r="B728" s="11" t="s">
        <v>6071</v>
      </c>
      <c r="C728" s="11" t="s">
        <v>18721</v>
      </c>
      <c r="D728" s="12">
        <v>41640</v>
      </c>
      <c r="E728" s="12">
        <v>41640</v>
      </c>
      <c r="F728" s="11"/>
      <c r="G728" s="11" t="s">
        <v>279</v>
      </c>
      <c r="H728" s="11" t="s">
        <v>30</v>
      </c>
      <c r="I728" s="11" t="s">
        <v>20654</v>
      </c>
    </row>
    <row r="729" spans="1:9" ht="13.15" x14ac:dyDescent="0.4">
      <c r="A729" s="11" t="s">
        <v>19816</v>
      </c>
      <c r="B729" s="11" t="s">
        <v>6071</v>
      </c>
      <c r="C729" s="11" t="s">
        <v>18721</v>
      </c>
      <c r="D729" s="12">
        <v>41640</v>
      </c>
      <c r="E729" s="12">
        <v>41640</v>
      </c>
      <c r="F729" s="11"/>
      <c r="G729" s="11" t="s">
        <v>279</v>
      </c>
      <c r="H729" s="11" t="s">
        <v>30</v>
      </c>
      <c r="I729" s="11" t="s">
        <v>21043</v>
      </c>
    </row>
    <row r="730" spans="1:9" ht="13.15" x14ac:dyDescent="0.4">
      <c r="A730" s="11" t="s">
        <v>20077</v>
      </c>
      <c r="B730" s="11" t="s">
        <v>6071</v>
      </c>
      <c r="C730" s="11" t="s">
        <v>18721</v>
      </c>
      <c r="D730" s="12">
        <v>41640</v>
      </c>
      <c r="E730" s="12">
        <v>41640</v>
      </c>
      <c r="F730" s="11"/>
      <c r="G730" s="11" t="s">
        <v>279</v>
      </c>
      <c r="H730" s="11" t="s">
        <v>30</v>
      </c>
      <c r="I730" s="11" t="s">
        <v>20782</v>
      </c>
    </row>
    <row r="731" spans="1:9" ht="13.15" x14ac:dyDescent="0.4">
      <c r="A731" s="11" t="s">
        <v>18906</v>
      </c>
      <c r="B731" s="11" t="s">
        <v>6071</v>
      </c>
      <c r="C731" s="11" t="s">
        <v>18721</v>
      </c>
      <c r="D731" s="12">
        <v>41640</v>
      </c>
      <c r="E731" s="12">
        <v>41640</v>
      </c>
      <c r="F731" s="11"/>
      <c r="G731" s="11" t="s">
        <v>279</v>
      </c>
      <c r="H731" s="11" t="s">
        <v>30</v>
      </c>
      <c r="I731" s="11" t="s">
        <v>21953</v>
      </c>
    </row>
    <row r="732" spans="1:9" ht="13.15" x14ac:dyDescent="0.4">
      <c r="A732" s="11" t="s">
        <v>19399</v>
      </c>
      <c r="B732" s="11" t="s">
        <v>6071</v>
      </c>
      <c r="C732" s="11" t="s">
        <v>18721</v>
      </c>
      <c r="D732" s="12">
        <v>41640</v>
      </c>
      <c r="E732" s="12">
        <v>41640</v>
      </c>
      <c r="F732" s="11"/>
      <c r="G732" s="11" t="s">
        <v>279</v>
      </c>
      <c r="H732" s="11" t="s">
        <v>30</v>
      </c>
      <c r="I732" s="11" t="s">
        <v>21460</v>
      </c>
    </row>
    <row r="733" spans="1:9" ht="13.15" x14ac:dyDescent="0.4">
      <c r="A733" s="11" t="s">
        <v>19855</v>
      </c>
      <c r="B733" s="11" t="s">
        <v>6071</v>
      </c>
      <c r="C733" s="11" t="s">
        <v>18721</v>
      </c>
      <c r="D733" s="12">
        <v>41640</v>
      </c>
      <c r="E733" s="12">
        <v>41640</v>
      </c>
      <c r="F733" s="11"/>
      <c r="G733" s="11" t="s">
        <v>279</v>
      </c>
      <c r="H733" s="11" t="s">
        <v>30</v>
      </c>
      <c r="I733" s="11" t="s">
        <v>21004</v>
      </c>
    </row>
    <row r="734" spans="1:9" ht="13.15" x14ac:dyDescent="0.4">
      <c r="A734" s="11" t="s">
        <v>19951</v>
      </c>
      <c r="B734" s="11" t="s">
        <v>6071</v>
      </c>
      <c r="C734" s="11" t="s">
        <v>18721</v>
      </c>
      <c r="D734" s="12">
        <v>41640</v>
      </c>
      <c r="E734" s="12">
        <v>41640</v>
      </c>
      <c r="F734" s="11"/>
      <c r="G734" s="11" t="s">
        <v>279</v>
      </c>
      <c r="H734" s="11" t="s">
        <v>30</v>
      </c>
      <c r="I734" s="11" t="s">
        <v>20908</v>
      </c>
    </row>
    <row r="735" spans="1:9" ht="13.15" x14ac:dyDescent="0.4">
      <c r="A735" s="11" t="s">
        <v>18982</v>
      </c>
      <c r="B735" s="11" t="s">
        <v>6071</v>
      </c>
      <c r="C735" s="11" t="s">
        <v>18721</v>
      </c>
      <c r="D735" s="12">
        <v>41640</v>
      </c>
      <c r="E735" s="12">
        <v>41640</v>
      </c>
      <c r="F735" s="11"/>
      <c r="G735" s="11" t="s">
        <v>279</v>
      </c>
      <c r="H735" s="11" t="s">
        <v>30</v>
      </c>
      <c r="I735" s="11" t="s">
        <v>21877</v>
      </c>
    </row>
    <row r="736" spans="1:9" ht="13.15" x14ac:dyDescent="0.4">
      <c r="A736" s="11" t="s">
        <v>19797</v>
      </c>
      <c r="B736" s="11" t="s">
        <v>6071</v>
      </c>
      <c r="C736" s="11" t="s">
        <v>18721</v>
      </c>
      <c r="D736" s="12">
        <v>41640</v>
      </c>
      <c r="E736" s="12">
        <v>41640</v>
      </c>
      <c r="F736" s="11"/>
      <c r="G736" s="11" t="s">
        <v>279</v>
      </c>
      <c r="H736" s="11" t="s">
        <v>30</v>
      </c>
      <c r="I736" s="11" t="s">
        <v>21062</v>
      </c>
    </row>
    <row r="737" spans="1:9" ht="13.15" x14ac:dyDescent="0.4">
      <c r="A737" s="11" t="s">
        <v>19254</v>
      </c>
      <c r="B737" s="11" t="s">
        <v>6071</v>
      </c>
      <c r="C737" s="11" t="s">
        <v>18721</v>
      </c>
      <c r="D737" s="12">
        <v>41275</v>
      </c>
      <c r="E737" s="12">
        <v>41275</v>
      </c>
      <c r="F737" s="11"/>
      <c r="G737" s="11" t="s">
        <v>279</v>
      </c>
      <c r="H737" s="11" t="s">
        <v>30</v>
      </c>
      <c r="I737" s="11" t="s">
        <v>21605</v>
      </c>
    </row>
    <row r="738" spans="1:9" ht="13.15" x14ac:dyDescent="0.4">
      <c r="A738" s="11" t="s">
        <v>19491</v>
      </c>
      <c r="B738" s="11" t="s">
        <v>6071</v>
      </c>
      <c r="C738" s="11" t="s">
        <v>18721</v>
      </c>
      <c r="D738" s="12">
        <v>41640</v>
      </c>
      <c r="E738" s="12">
        <v>41640</v>
      </c>
      <c r="F738" s="11"/>
      <c r="G738" s="11" t="s">
        <v>279</v>
      </c>
      <c r="H738" s="11" t="s">
        <v>30</v>
      </c>
      <c r="I738" s="11" t="s">
        <v>21368</v>
      </c>
    </row>
    <row r="739" spans="1:9" ht="13.15" x14ac:dyDescent="0.4">
      <c r="A739" s="11" t="s">
        <v>20370</v>
      </c>
      <c r="B739" s="11" t="s">
        <v>6071</v>
      </c>
      <c r="C739" s="11" t="s">
        <v>18721</v>
      </c>
      <c r="D739" s="12">
        <v>41640</v>
      </c>
      <c r="E739" s="12">
        <v>41640</v>
      </c>
      <c r="F739" s="11"/>
      <c r="G739" s="11" t="s">
        <v>279</v>
      </c>
      <c r="H739" s="11" t="s">
        <v>30</v>
      </c>
      <c r="I739" s="11" t="s">
        <v>20489</v>
      </c>
    </row>
    <row r="740" spans="1:9" ht="13.15" x14ac:dyDescent="0.4">
      <c r="A740" s="11" t="s">
        <v>19433</v>
      </c>
      <c r="B740" s="11" t="s">
        <v>6071</v>
      </c>
      <c r="C740" s="11" t="s">
        <v>18721</v>
      </c>
      <c r="D740" s="12">
        <v>41640</v>
      </c>
      <c r="E740" s="12">
        <v>41640</v>
      </c>
      <c r="F740" s="11"/>
      <c r="G740" s="11" t="s">
        <v>279</v>
      </c>
      <c r="H740" s="11" t="s">
        <v>30</v>
      </c>
      <c r="I740" s="11" t="s">
        <v>21426</v>
      </c>
    </row>
    <row r="741" spans="1:9" ht="13.15" x14ac:dyDescent="0.4">
      <c r="A741" s="11" t="s">
        <v>20399</v>
      </c>
      <c r="B741" s="11" t="s">
        <v>6071</v>
      </c>
      <c r="C741" s="11" t="s">
        <v>18721</v>
      </c>
      <c r="D741" s="12">
        <v>41640</v>
      </c>
      <c r="E741" s="12">
        <v>41640</v>
      </c>
      <c r="F741" s="11"/>
      <c r="G741" s="11" t="s">
        <v>279</v>
      </c>
      <c r="H741" s="11" t="s">
        <v>30</v>
      </c>
      <c r="I741" s="11" t="s">
        <v>20460</v>
      </c>
    </row>
    <row r="742" spans="1:9" ht="13.15" x14ac:dyDescent="0.4">
      <c r="A742" s="11" t="s">
        <v>19560</v>
      </c>
      <c r="B742" s="11" t="s">
        <v>6071</v>
      </c>
      <c r="C742" s="11" t="s">
        <v>18721</v>
      </c>
      <c r="D742" s="12">
        <v>41275</v>
      </c>
      <c r="E742" s="12">
        <v>41275</v>
      </c>
      <c r="F742" s="11"/>
      <c r="G742" s="11" t="s">
        <v>279</v>
      </c>
      <c r="H742" s="11" t="s">
        <v>30</v>
      </c>
      <c r="I742" s="11" t="s">
        <v>21299</v>
      </c>
    </row>
    <row r="743" spans="1:9" ht="13.15" x14ac:dyDescent="0.4">
      <c r="A743" s="11" t="s">
        <v>20219</v>
      </c>
      <c r="B743" s="11" t="s">
        <v>6071</v>
      </c>
      <c r="C743" s="11" t="s">
        <v>18721</v>
      </c>
      <c r="D743" s="12">
        <v>41275</v>
      </c>
      <c r="E743" s="12">
        <v>41275</v>
      </c>
      <c r="F743" s="11"/>
      <c r="G743" s="11" t="s">
        <v>279</v>
      </c>
      <c r="H743" s="11" t="s">
        <v>30</v>
      </c>
      <c r="I743" s="11" t="s">
        <v>20640</v>
      </c>
    </row>
    <row r="744" spans="1:9" ht="13.15" x14ac:dyDescent="0.4">
      <c r="A744" s="11" t="s">
        <v>20333</v>
      </c>
      <c r="B744" s="11" t="s">
        <v>6071</v>
      </c>
      <c r="C744" s="11" t="s">
        <v>18721</v>
      </c>
      <c r="D744" s="12">
        <v>41640</v>
      </c>
      <c r="E744" s="12">
        <v>41640</v>
      </c>
      <c r="F744" s="11"/>
      <c r="G744" s="11" t="s">
        <v>279</v>
      </c>
      <c r="H744" s="11" t="s">
        <v>30</v>
      </c>
      <c r="I744" s="11" t="s">
        <v>20526</v>
      </c>
    </row>
    <row r="745" spans="1:9" ht="13.15" x14ac:dyDescent="0.4">
      <c r="A745" s="11" t="s">
        <v>19765</v>
      </c>
      <c r="B745" s="11" t="s">
        <v>6071</v>
      </c>
      <c r="C745" s="11" t="s">
        <v>18721</v>
      </c>
      <c r="D745" s="12">
        <v>41640</v>
      </c>
      <c r="E745" s="12">
        <v>41640</v>
      </c>
      <c r="F745" s="11"/>
      <c r="G745" s="11" t="s">
        <v>279</v>
      </c>
      <c r="H745" s="11" t="s">
        <v>30</v>
      </c>
      <c r="I745" s="11" t="s">
        <v>21094</v>
      </c>
    </row>
    <row r="746" spans="1:9" ht="13.15" x14ac:dyDescent="0.4">
      <c r="A746" s="11" t="s">
        <v>19981</v>
      </c>
      <c r="B746" s="11" t="s">
        <v>6071</v>
      </c>
      <c r="C746" s="11" t="s">
        <v>18721</v>
      </c>
      <c r="D746" s="12">
        <v>41275</v>
      </c>
      <c r="E746" s="12">
        <v>41275</v>
      </c>
      <c r="F746" s="11"/>
      <c r="G746" s="11" t="s">
        <v>279</v>
      </c>
      <c r="H746" s="11" t="s">
        <v>30</v>
      </c>
      <c r="I746" s="11" t="s">
        <v>20878</v>
      </c>
    </row>
    <row r="747" spans="1:9" ht="13.15" x14ac:dyDescent="0.4">
      <c r="A747" s="11" t="s">
        <v>20307</v>
      </c>
      <c r="B747" s="11" t="s">
        <v>6071</v>
      </c>
      <c r="C747" s="11" t="s">
        <v>18721</v>
      </c>
      <c r="D747" s="12">
        <v>41640</v>
      </c>
      <c r="E747" s="12">
        <v>41640</v>
      </c>
      <c r="F747" s="11"/>
      <c r="G747" s="11" t="s">
        <v>279</v>
      </c>
      <c r="H747" s="11" t="s">
        <v>30</v>
      </c>
      <c r="I747" s="11" t="s">
        <v>20552</v>
      </c>
    </row>
    <row r="748" spans="1:9" ht="13.15" x14ac:dyDescent="0.4">
      <c r="A748" s="11" t="s">
        <v>18828</v>
      </c>
      <c r="B748" s="11" t="s">
        <v>6071</v>
      </c>
      <c r="C748" s="11" t="s">
        <v>18721</v>
      </c>
      <c r="D748" s="12">
        <v>41640</v>
      </c>
      <c r="E748" s="12">
        <v>41640</v>
      </c>
      <c r="F748" s="11"/>
      <c r="G748" s="11" t="s">
        <v>279</v>
      </c>
      <c r="H748" s="11" t="s">
        <v>30</v>
      </c>
      <c r="I748" s="11" t="s">
        <v>22031</v>
      </c>
    </row>
    <row r="749" spans="1:9" ht="13.15" x14ac:dyDescent="0.4">
      <c r="A749" s="11" t="s">
        <v>19932</v>
      </c>
      <c r="B749" s="11" t="s">
        <v>6071</v>
      </c>
      <c r="C749" s="11" t="s">
        <v>18721</v>
      </c>
      <c r="D749" s="12">
        <v>41275</v>
      </c>
      <c r="E749" s="12">
        <v>41275</v>
      </c>
      <c r="F749" s="11"/>
      <c r="G749" s="11" t="s">
        <v>279</v>
      </c>
      <c r="H749" s="11" t="s">
        <v>30</v>
      </c>
      <c r="I749" s="11" t="s">
        <v>20927</v>
      </c>
    </row>
    <row r="750" spans="1:9" ht="13.15" x14ac:dyDescent="0.4">
      <c r="A750" s="11" t="s">
        <v>20324</v>
      </c>
      <c r="B750" s="11" t="s">
        <v>6071</v>
      </c>
      <c r="C750" s="11" t="s">
        <v>18721</v>
      </c>
      <c r="D750" s="12">
        <v>41640</v>
      </c>
      <c r="E750" s="12">
        <v>41640</v>
      </c>
      <c r="F750" s="11"/>
      <c r="G750" s="11" t="s">
        <v>279</v>
      </c>
      <c r="H750" s="11" t="s">
        <v>30</v>
      </c>
      <c r="I750" s="11" t="s">
        <v>20535</v>
      </c>
    </row>
    <row r="751" spans="1:9" ht="13.15" x14ac:dyDescent="0.4">
      <c r="A751" s="11" t="s">
        <v>20049</v>
      </c>
      <c r="B751" s="11" t="s">
        <v>6071</v>
      </c>
      <c r="C751" s="11" t="s">
        <v>18721</v>
      </c>
      <c r="D751" s="12">
        <v>41275</v>
      </c>
      <c r="E751" s="12">
        <v>41275</v>
      </c>
      <c r="F751" s="11"/>
      <c r="G751" s="11" t="s">
        <v>279</v>
      </c>
      <c r="H751" s="11" t="s">
        <v>30</v>
      </c>
      <c r="I751" s="11" t="s">
        <v>20810</v>
      </c>
    </row>
    <row r="752" spans="1:9" ht="13.15" x14ac:dyDescent="0.4">
      <c r="A752" s="11" t="s">
        <v>18875</v>
      </c>
      <c r="B752" s="11" t="s">
        <v>6071</v>
      </c>
      <c r="C752" s="11" t="s">
        <v>18721</v>
      </c>
      <c r="D752" s="12">
        <v>41640</v>
      </c>
      <c r="E752" s="12">
        <v>41640</v>
      </c>
      <c r="F752" s="11"/>
      <c r="G752" s="11" t="s">
        <v>279</v>
      </c>
      <c r="H752" s="11" t="s">
        <v>30</v>
      </c>
      <c r="I752" s="11" t="s">
        <v>21984</v>
      </c>
    </row>
    <row r="753" spans="1:9" ht="13.15" x14ac:dyDescent="0.4">
      <c r="A753" s="11" t="s">
        <v>19906</v>
      </c>
      <c r="B753" s="11" t="s">
        <v>6071</v>
      </c>
      <c r="C753" s="11" t="s">
        <v>18721</v>
      </c>
      <c r="D753" s="12">
        <v>41640</v>
      </c>
      <c r="E753" s="12">
        <v>41640</v>
      </c>
      <c r="F753" s="11"/>
      <c r="G753" s="11" t="s">
        <v>279</v>
      </c>
      <c r="H753" s="11" t="s">
        <v>30</v>
      </c>
      <c r="I753" s="11" t="s">
        <v>20953</v>
      </c>
    </row>
    <row r="754" spans="1:9" ht="13.15" x14ac:dyDescent="0.4">
      <c r="A754" s="11" t="s">
        <v>19809</v>
      </c>
      <c r="B754" s="11" t="s">
        <v>6071</v>
      </c>
      <c r="C754" s="11" t="s">
        <v>18721</v>
      </c>
      <c r="D754" s="12">
        <v>41640</v>
      </c>
      <c r="E754" s="12">
        <v>41640</v>
      </c>
      <c r="F754" s="11"/>
      <c r="G754" s="11" t="s">
        <v>279</v>
      </c>
      <c r="H754" s="11" t="s">
        <v>30</v>
      </c>
      <c r="I754" s="11" t="s">
        <v>21050</v>
      </c>
    </row>
    <row r="755" spans="1:9" ht="13.15" x14ac:dyDescent="0.4">
      <c r="A755" s="11" t="s">
        <v>19760</v>
      </c>
      <c r="B755" s="11" t="s">
        <v>6071</v>
      </c>
      <c r="C755" s="11" t="s">
        <v>18721</v>
      </c>
      <c r="D755" s="12">
        <v>41640</v>
      </c>
      <c r="E755" s="12">
        <v>41640</v>
      </c>
      <c r="F755" s="11"/>
      <c r="G755" s="11" t="s">
        <v>279</v>
      </c>
      <c r="H755" s="11" t="s">
        <v>30</v>
      </c>
      <c r="I755" s="11" t="s">
        <v>21099</v>
      </c>
    </row>
    <row r="756" spans="1:9" ht="13.15" x14ac:dyDescent="0.4">
      <c r="A756" s="11" t="s">
        <v>19385</v>
      </c>
      <c r="B756" s="11" t="s">
        <v>6071</v>
      </c>
      <c r="C756" s="11" t="s">
        <v>18721</v>
      </c>
      <c r="D756" s="12">
        <v>41640</v>
      </c>
      <c r="E756" s="12">
        <v>41640</v>
      </c>
      <c r="F756" s="11"/>
      <c r="G756" s="11" t="s">
        <v>279</v>
      </c>
      <c r="H756" s="11" t="s">
        <v>30</v>
      </c>
      <c r="I756" s="11" t="s">
        <v>21474</v>
      </c>
    </row>
    <row r="757" spans="1:9" ht="13.15" x14ac:dyDescent="0.4">
      <c r="A757" s="11" t="s">
        <v>19677</v>
      </c>
      <c r="B757" s="11" t="s">
        <v>6071</v>
      </c>
      <c r="C757" s="11" t="s">
        <v>18721</v>
      </c>
      <c r="D757" s="12">
        <v>41640</v>
      </c>
      <c r="E757" s="12">
        <v>41640</v>
      </c>
      <c r="F757" s="11"/>
      <c r="G757" s="11" t="s">
        <v>279</v>
      </c>
      <c r="H757" s="11" t="s">
        <v>30</v>
      </c>
      <c r="I757" s="11" t="s">
        <v>21182</v>
      </c>
    </row>
    <row r="758" spans="1:9" ht="13.15" x14ac:dyDescent="0.4">
      <c r="A758" s="11" t="s">
        <v>20264</v>
      </c>
      <c r="B758" s="11" t="s">
        <v>6071</v>
      </c>
      <c r="C758" s="11" t="s">
        <v>18721</v>
      </c>
      <c r="D758" s="12">
        <v>41640</v>
      </c>
      <c r="E758" s="12">
        <v>41640</v>
      </c>
      <c r="F758" s="11"/>
      <c r="G758" s="11" t="s">
        <v>279</v>
      </c>
      <c r="H758" s="11" t="s">
        <v>30</v>
      </c>
      <c r="I758" s="11" t="s">
        <v>20595</v>
      </c>
    </row>
    <row r="759" spans="1:9" ht="13.15" x14ac:dyDescent="0.4">
      <c r="A759" s="11" t="s">
        <v>19971</v>
      </c>
      <c r="B759" s="11" t="s">
        <v>6071</v>
      </c>
      <c r="C759" s="11" t="s">
        <v>18721</v>
      </c>
      <c r="D759" s="12">
        <v>41640</v>
      </c>
      <c r="E759" s="12">
        <v>41640</v>
      </c>
      <c r="F759" s="11"/>
      <c r="G759" s="11" t="s">
        <v>279</v>
      </c>
      <c r="H759" s="11" t="s">
        <v>30</v>
      </c>
      <c r="I759" s="11" t="s">
        <v>20888</v>
      </c>
    </row>
    <row r="760" spans="1:9" ht="13.15" x14ac:dyDescent="0.4">
      <c r="A760" s="11" t="s">
        <v>19962</v>
      </c>
      <c r="B760" s="11" t="s">
        <v>6071</v>
      </c>
      <c r="C760" s="11" t="s">
        <v>18721</v>
      </c>
      <c r="D760" s="12">
        <v>41640</v>
      </c>
      <c r="E760" s="12">
        <v>41640</v>
      </c>
      <c r="F760" s="11"/>
      <c r="G760" s="11" t="s">
        <v>279</v>
      </c>
      <c r="H760" s="11" t="s">
        <v>30</v>
      </c>
      <c r="I760" s="11" t="s">
        <v>20897</v>
      </c>
    </row>
    <row r="761" spans="1:9" ht="13.15" x14ac:dyDescent="0.4">
      <c r="A761" s="11" t="s">
        <v>19145</v>
      </c>
      <c r="B761" s="11" t="s">
        <v>6071</v>
      </c>
      <c r="C761" s="11" t="s">
        <v>18721</v>
      </c>
      <c r="D761" s="12">
        <v>41640</v>
      </c>
      <c r="E761" s="12">
        <v>41640</v>
      </c>
      <c r="F761" s="11"/>
      <c r="G761" s="11" t="s">
        <v>279</v>
      </c>
      <c r="H761" s="11" t="s">
        <v>30</v>
      </c>
      <c r="I761" s="11" t="s">
        <v>21714</v>
      </c>
    </row>
    <row r="762" spans="1:9" ht="13.15" x14ac:dyDescent="0.4">
      <c r="A762" s="11" t="s">
        <v>20372</v>
      </c>
      <c r="B762" s="11" t="s">
        <v>6071</v>
      </c>
      <c r="C762" s="11" t="s">
        <v>18721</v>
      </c>
      <c r="D762" s="12">
        <v>41640</v>
      </c>
      <c r="E762" s="12">
        <v>41640</v>
      </c>
      <c r="F762" s="11"/>
      <c r="G762" s="11" t="s">
        <v>279</v>
      </c>
      <c r="H762" s="11" t="s">
        <v>30</v>
      </c>
      <c r="I762" s="11" t="s">
        <v>20487</v>
      </c>
    </row>
    <row r="763" spans="1:9" ht="13.15" x14ac:dyDescent="0.4">
      <c r="A763" s="11" t="s">
        <v>19735</v>
      </c>
      <c r="B763" s="11" t="s">
        <v>6071</v>
      </c>
      <c r="C763" s="11" t="s">
        <v>18721</v>
      </c>
      <c r="D763" s="12">
        <v>41640</v>
      </c>
      <c r="E763" s="12">
        <v>41640</v>
      </c>
      <c r="F763" s="11"/>
      <c r="G763" s="11" t="s">
        <v>279</v>
      </c>
      <c r="H763" s="11" t="s">
        <v>30</v>
      </c>
      <c r="I763" s="11" t="s">
        <v>21124</v>
      </c>
    </row>
    <row r="764" spans="1:9" ht="13.15" x14ac:dyDescent="0.4">
      <c r="A764" s="11" t="s">
        <v>19788</v>
      </c>
      <c r="B764" s="11" t="s">
        <v>6071</v>
      </c>
      <c r="C764" s="11" t="s">
        <v>18721</v>
      </c>
      <c r="D764" s="12">
        <v>41640</v>
      </c>
      <c r="E764" s="12">
        <v>41640</v>
      </c>
      <c r="F764" s="11"/>
      <c r="G764" s="11" t="s">
        <v>279</v>
      </c>
      <c r="H764" s="11" t="s">
        <v>30</v>
      </c>
      <c r="I764" s="11" t="s">
        <v>21071</v>
      </c>
    </row>
    <row r="765" spans="1:9" ht="13.15" x14ac:dyDescent="0.4">
      <c r="A765" s="11" t="s">
        <v>19295</v>
      </c>
      <c r="B765" s="11" t="s">
        <v>6071</v>
      </c>
      <c r="C765" s="11" t="s">
        <v>18721</v>
      </c>
      <c r="D765" s="12">
        <v>41640</v>
      </c>
      <c r="E765" s="12">
        <v>41640</v>
      </c>
      <c r="F765" s="11"/>
      <c r="G765" s="11" t="s">
        <v>279</v>
      </c>
      <c r="H765" s="11" t="s">
        <v>30</v>
      </c>
      <c r="I765" s="11" t="s">
        <v>21564</v>
      </c>
    </row>
    <row r="766" spans="1:9" ht="13.15" x14ac:dyDescent="0.4">
      <c r="A766" s="11" t="s">
        <v>19253</v>
      </c>
      <c r="B766" s="11" t="s">
        <v>6071</v>
      </c>
      <c r="C766" s="11" t="s">
        <v>18721</v>
      </c>
      <c r="D766" s="12">
        <v>41640</v>
      </c>
      <c r="E766" s="12">
        <v>41640</v>
      </c>
      <c r="F766" s="11"/>
      <c r="G766" s="11" t="s">
        <v>279</v>
      </c>
      <c r="H766" s="11" t="s">
        <v>30</v>
      </c>
      <c r="I766" s="11" t="s">
        <v>21606</v>
      </c>
    </row>
    <row r="767" spans="1:9" ht="13.15" x14ac:dyDescent="0.4">
      <c r="A767" s="11" t="s">
        <v>19334</v>
      </c>
      <c r="B767" s="11" t="s">
        <v>6071</v>
      </c>
      <c r="C767" s="11" t="s">
        <v>18721</v>
      </c>
      <c r="D767" s="12">
        <v>41640</v>
      </c>
      <c r="E767" s="12">
        <v>41640</v>
      </c>
      <c r="F767" s="11"/>
      <c r="G767" s="11" t="s">
        <v>279</v>
      </c>
      <c r="H767" s="11" t="s">
        <v>30</v>
      </c>
      <c r="I767" s="11" t="s">
        <v>21525</v>
      </c>
    </row>
    <row r="768" spans="1:9" ht="13.15" x14ac:dyDescent="0.4">
      <c r="A768" s="11" t="s">
        <v>19564</v>
      </c>
      <c r="B768" s="11" t="s">
        <v>6071</v>
      </c>
      <c r="C768" s="11" t="s">
        <v>18721</v>
      </c>
      <c r="D768" s="12">
        <v>41640</v>
      </c>
      <c r="E768" s="12">
        <v>41640</v>
      </c>
      <c r="F768" s="11"/>
      <c r="G768" s="11" t="s">
        <v>279</v>
      </c>
      <c r="H768" s="11" t="s">
        <v>30</v>
      </c>
      <c r="I768" s="11" t="s">
        <v>21295</v>
      </c>
    </row>
    <row r="769" spans="1:9" ht="13.15" x14ac:dyDescent="0.4">
      <c r="A769" s="11" t="s">
        <v>19301</v>
      </c>
      <c r="B769" s="11" t="s">
        <v>6071</v>
      </c>
      <c r="C769" s="11" t="s">
        <v>18721</v>
      </c>
      <c r="D769" s="12">
        <v>40909</v>
      </c>
      <c r="E769" s="12">
        <v>40909</v>
      </c>
      <c r="F769" s="11"/>
      <c r="G769" s="11" t="s">
        <v>279</v>
      </c>
      <c r="H769" s="11" t="s">
        <v>30</v>
      </c>
      <c r="I769" s="11" t="s">
        <v>21558</v>
      </c>
    </row>
    <row r="770" spans="1:9" ht="13.15" x14ac:dyDescent="0.4">
      <c r="A770" s="11" t="s">
        <v>20212</v>
      </c>
      <c r="B770" s="11" t="s">
        <v>6071</v>
      </c>
      <c r="C770" s="11" t="s">
        <v>18721</v>
      </c>
      <c r="D770" s="12">
        <v>40909</v>
      </c>
      <c r="E770" s="12">
        <v>40909</v>
      </c>
      <c r="F770" s="11"/>
      <c r="G770" s="11" t="s">
        <v>279</v>
      </c>
      <c r="H770" s="11" t="s">
        <v>30</v>
      </c>
      <c r="I770" s="11" t="s">
        <v>20647</v>
      </c>
    </row>
    <row r="771" spans="1:9" ht="13.15" x14ac:dyDescent="0.4">
      <c r="A771" s="11" t="s">
        <v>18861</v>
      </c>
      <c r="B771" s="11" t="s">
        <v>6071</v>
      </c>
      <c r="C771" s="11" t="s">
        <v>18721</v>
      </c>
      <c r="D771" s="12">
        <v>40909</v>
      </c>
      <c r="E771" s="12">
        <v>40909</v>
      </c>
      <c r="F771" s="11"/>
      <c r="G771" s="11" t="s">
        <v>279</v>
      </c>
      <c r="H771" s="11" t="s">
        <v>30</v>
      </c>
      <c r="I771" s="11" t="s">
        <v>21998</v>
      </c>
    </row>
    <row r="772" spans="1:9" ht="13.15" x14ac:dyDescent="0.4">
      <c r="A772" s="11" t="s">
        <v>19107</v>
      </c>
      <c r="B772" s="11" t="s">
        <v>6071</v>
      </c>
      <c r="C772" s="11" t="s">
        <v>18721</v>
      </c>
      <c r="D772" s="12">
        <v>40909</v>
      </c>
      <c r="E772" s="12">
        <v>40909</v>
      </c>
      <c r="F772" s="11"/>
      <c r="G772" s="11" t="s">
        <v>279</v>
      </c>
      <c r="H772" s="11" t="s">
        <v>30</v>
      </c>
      <c r="I772" s="11" t="s">
        <v>21752</v>
      </c>
    </row>
    <row r="773" spans="1:9" ht="13.15" x14ac:dyDescent="0.4">
      <c r="A773" s="11" t="s">
        <v>19009</v>
      </c>
      <c r="B773" s="11" t="s">
        <v>6071</v>
      </c>
      <c r="C773" s="11" t="s">
        <v>18721</v>
      </c>
      <c r="D773" s="12">
        <v>40909</v>
      </c>
      <c r="E773" s="12">
        <v>40909</v>
      </c>
      <c r="F773" s="11"/>
      <c r="G773" s="11" t="s">
        <v>279</v>
      </c>
      <c r="H773" s="11" t="s">
        <v>30</v>
      </c>
      <c r="I773" s="11" t="s">
        <v>21850</v>
      </c>
    </row>
    <row r="774" spans="1:9" ht="13.15" x14ac:dyDescent="0.4">
      <c r="A774" s="11" t="s">
        <v>18725</v>
      </c>
      <c r="B774" s="11" t="s">
        <v>6071</v>
      </c>
      <c r="C774" s="11" t="s">
        <v>18721</v>
      </c>
      <c r="D774" s="12">
        <v>41640</v>
      </c>
      <c r="E774" s="12">
        <v>41640</v>
      </c>
      <c r="F774" s="11"/>
      <c r="G774" s="11" t="s">
        <v>279</v>
      </c>
      <c r="H774" s="11" t="s">
        <v>30</v>
      </c>
      <c r="I774" s="11" t="s">
        <v>22134</v>
      </c>
    </row>
    <row r="775" spans="1:9" ht="13.15" x14ac:dyDescent="0.4">
      <c r="A775" s="11" t="s">
        <v>20317</v>
      </c>
      <c r="B775" s="11" t="s">
        <v>6071</v>
      </c>
      <c r="C775" s="11" t="s">
        <v>18721</v>
      </c>
      <c r="D775" s="12">
        <v>40909</v>
      </c>
      <c r="E775" s="12">
        <v>40909</v>
      </c>
      <c r="F775" s="11"/>
      <c r="G775" s="11" t="s">
        <v>279</v>
      </c>
      <c r="H775" s="11" t="s">
        <v>30</v>
      </c>
      <c r="I775" s="11" t="s">
        <v>20542</v>
      </c>
    </row>
    <row r="776" spans="1:9" ht="13.15" x14ac:dyDescent="0.4">
      <c r="A776" s="11" t="s">
        <v>19597</v>
      </c>
      <c r="B776" s="11" t="s">
        <v>6071</v>
      </c>
      <c r="C776" s="11" t="s">
        <v>18721</v>
      </c>
      <c r="D776" s="12">
        <v>40909</v>
      </c>
      <c r="E776" s="12">
        <v>40909</v>
      </c>
      <c r="F776" s="11"/>
      <c r="G776" s="11" t="s">
        <v>279</v>
      </c>
      <c r="H776" s="11" t="s">
        <v>30</v>
      </c>
      <c r="I776" s="11" t="s">
        <v>21262</v>
      </c>
    </row>
    <row r="777" spans="1:9" ht="13.15" x14ac:dyDescent="0.4">
      <c r="A777" s="11" t="s">
        <v>19957</v>
      </c>
      <c r="B777" s="11" t="s">
        <v>6071</v>
      </c>
      <c r="C777" s="11" t="s">
        <v>18721</v>
      </c>
      <c r="D777" s="12">
        <v>40909</v>
      </c>
      <c r="E777" s="12">
        <v>40909</v>
      </c>
      <c r="F777" s="11"/>
      <c r="G777" s="11" t="s">
        <v>279</v>
      </c>
      <c r="H777" s="11" t="s">
        <v>30</v>
      </c>
      <c r="I777" s="11" t="s">
        <v>20902</v>
      </c>
    </row>
    <row r="778" spans="1:9" ht="13.15" x14ac:dyDescent="0.4">
      <c r="A778" s="11" t="s">
        <v>19715</v>
      </c>
      <c r="B778" s="11" t="s">
        <v>6071</v>
      </c>
      <c r="C778" s="11" t="s">
        <v>18721</v>
      </c>
      <c r="D778" s="12">
        <v>40909</v>
      </c>
      <c r="E778" s="12">
        <v>40909</v>
      </c>
      <c r="F778" s="11"/>
      <c r="G778" s="11" t="s">
        <v>279</v>
      </c>
      <c r="H778" s="11" t="s">
        <v>30</v>
      </c>
      <c r="I778" s="11" t="s">
        <v>21144</v>
      </c>
    </row>
    <row r="779" spans="1:9" ht="13.15" x14ac:dyDescent="0.4">
      <c r="A779" s="11" t="s">
        <v>19025</v>
      </c>
      <c r="B779" s="11" t="s">
        <v>6071</v>
      </c>
      <c r="C779" s="11" t="s">
        <v>18721</v>
      </c>
      <c r="D779" s="12">
        <v>41275</v>
      </c>
      <c r="E779" s="12">
        <v>41275</v>
      </c>
      <c r="F779" s="11"/>
      <c r="G779" s="11" t="s">
        <v>279</v>
      </c>
      <c r="H779" s="11" t="s">
        <v>30</v>
      </c>
      <c r="I779" s="11" t="s">
        <v>21834</v>
      </c>
    </row>
    <row r="780" spans="1:9" ht="13.15" x14ac:dyDescent="0.4">
      <c r="A780" s="11" t="s">
        <v>19045</v>
      </c>
      <c r="B780" s="11" t="s">
        <v>6071</v>
      </c>
      <c r="C780" s="11" t="s">
        <v>18721</v>
      </c>
      <c r="D780" s="12">
        <v>41275</v>
      </c>
      <c r="E780" s="12">
        <v>41275</v>
      </c>
      <c r="F780" s="11"/>
      <c r="G780" s="11" t="s">
        <v>279</v>
      </c>
      <c r="H780" s="11" t="s">
        <v>30</v>
      </c>
      <c r="I780" s="11" t="s">
        <v>21814</v>
      </c>
    </row>
    <row r="781" spans="1:9" ht="13.15" x14ac:dyDescent="0.4">
      <c r="A781" s="11" t="s">
        <v>19353</v>
      </c>
      <c r="B781" s="11" t="s">
        <v>6071</v>
      </c>
      <c r="C781" s="11" t="s">
        <v>18721</v>
      </c>
      <c r="D781" s="12">
        <v>41275</v>
      </c>
      <c r="E781" s="12">
        <v>41275</v>
      </c>
      <c r="F781" s="11"/>
      <c r="G781" s="11" t="s">
        <v>279</v>
      </c>
      <c r="H781" s="11" t="s">
        <v>30</v>
      </c>
      <c r="I781" s="11" t="s">
        <v>21506</v>
      </c>
    </row>
    <row r="782" spans="1:9" ht="13.15" x14ac:dyDescent="0.4">
      <c r="A782" s="11" t="s">
        <v>18907</v>
      </c>
      <c r="B782" s="11" t="s">
        <v>6071</v>
      </c>
      <c r="C782" s="11" t="s">
        <v>18721</v>
      </c>
      <c r="D782" s="12">
        <v>41640</v>
      </c>
      <c r="E782" s="12">
        <v>41640</v>
      </c>
      <c r="F782" s="11"/>
      <c r="G782" s="11" t="s">
        <v>279</v>
      </c>
      <c r="H782" s="11" t="s">
        <v>30</v>
      </c>
      <c r="I782" s="11" t="s">
        <v>21952</v>
      </c>
    </row>
    <row r="783" spans="1:9" ht="13.15" x14ac:dyDescent="0.4">
      <c r="A783" s="11" t="s">
        <v>19307</v>
      </c>
      <c r="B783" s="11" t="s">
        <v>6071</v>
      </c>
      <c r="C783" s="11" t="s">
        <v>18721</v>
      </c>
      <c r="D783" s="12">
        <v>41275</v>
      </c>
      <c r="E783" s="12">
        <v>41275</v>
      </c>
      <c r="F783" s="11"/>
      <c r="G783" s="11" t="s">
        <v>279</v>
      </c>
      <c r="H783" s="11" t="s">
        <v>30</v>
      </c>
      <c r="I783" s="11" t="s">
        <v>21552</v>
      </c>
    </row>
    <row r="784" spans="1:9" ht="13.15" x14ac:dyDescent="0.4">
      <c r="A784" s="11" t="s">
        <v>18786</v>
      </c>
      <c r="B784" s="11" t="s">
        <v>6071</v>
      </c>
      <c r="C784" s="11" t="s">
        <v>18721</v>
      </c>
      <c r="D784" s="12">
        <v>41640</v>
      </c>
      <c r="E784" s="12">
        <v>41640</v>
      </c>
      <c r="F784" s="11"/>
      <c r="G784" s="11" t="s">
        <v>279</v>
      </c>
      <c r="H784" s="11" t="s">
        <v>30</v>
      </c>
      <c r="I784" s="11" t="s">
        <v>22073</v>
      </c>
    </row>
    <row r="785" spans="1:9" ht="13.15" x14ac:dyDescent="0.4">
      <c r="A785" s="11" t="s">
        <v>19479</v>
      </c>
      <c r="B785" s="11" t="s">
        <v>6071</v>
      </c>
      <c r="C785" s="11" t="s">
        <v>18721</v>
      </c>
      <c r="D785" s="12">
        <v>41275</v>
      </c>
      <c r="E785" s="12">
        <v>41275</v>
      </c>
      <c r="F785" s="11"/>
      <c r="G785" s="11" t="s">
        <v>279</v>
      </c>
      <c r="H785" s="11" t="s">
        <v>30</v>
      </c>
      <c r="I785" s="11" t="s">
        <v>21380</v>
      </c>
    </row>
    <row r="786" spans="1:9" ht="13.15" x14ac:dyDescent="0.4">
      <c r="A786" s="11" t="s">
        <v>19768</v>
      </c>
      <c r="B786" s="11" t="s">
        <v>6071</v>
      </c>
      <c r="C786" s="11" t="s">
        <v>18721</v>
      </c>
      <c r="D786" s="12">
        <v>41640</v>
      </c>
      <c r="E786" s="12">
        <v>41640</v>
      </c>
      <c r="F786" s="11"/>
      <c r="G786" s="11" t="s">
        <v>279</v>
      </c>
      <c r="H786" s="11" t="s">
        <v>30</v>
      </c>
      <c r="I786" s="11" t="s">
        <v>21091</v>
      </c>
    </row>
    <row r="787" spans="1:9" ht="13.15" x14ac:dyDescent="0.4">
      <c r="A787" s="11" t="s">
        <v>19985</v>
      </c>
      <c r="B787" s="11" t="s">
        <v>6071</v>
      </c>
      <c r="C787" s="11" t="s">
        <v>18721</v>
      </c>
      <c r="D787" s="12">
        <v>41640</v>
      </c>
      <c r="E787" s="12">
        <v>41640</v>
      </c>
      <c r="F787" s="11"/>
      <c r="G787" s="11" t="s">
        <v>279</v>
      </c>
      <c r="H787" s="11" t="s">
        <v>30</v>
      </c>
      <c r="I787" s="11" t="s">
        <v>20874</v>
      </c>
    </row>
    <row r="788" spans="1:9" ht="13.15" x14ac:dyDescent="0.4">
      <c r="A788" s="11" t="s">
        <v>19561</v>
      </c>
      <c r="B788" s="11" t="s">
        <v>6071</v>
      </c>
      <c r="C788" s="11" t="s">
        <v>18721</v>
      </c>
      <c r="D788" s="12">
        <v>41640</v>
      </c>
      <c r="E788" s="12">
        <v>41640</v>
      </c>
      <c r="F788" s="11"/>
      <c r="G788" s="11" t="s">
        <v>279</v>
      </c>
      <c r="H788" s="11" t="s">
        <v>30</v>
      </c>
      <c r="I788" s="11" t="s">
        <v>21298</v>
      </c>
    </row>
    <row r="789" spans="1:9" ht="13.15" x14ac:dyDescent="0.4">
      <c r="A789" s="11" t="s">
        <v>20412</v>
      </c>
      <c r="B789" s="11" t="s">
        <v>6071</v>
      </c>
      <c r="C789" s="11" t="s">
        <v>18721</v>
      </c>
      <c r="D789" s="12">
        <v>41640</v>
      </c>
      <c r="E789" s="12">
        <v>41640</v>
      </c>
      <c r="F789" s="11"/>
      <c r="G789" s="11" t="s">
        <v>279</v>
      </c>
      <c r="H789" s="11" t="s">
        <v>30</v>
      </c>
      <c r="I789" s="11" t="s">
        <v>20447</v>
      </c>
    </row>
    <row r="790" spans="1:9" ht="13.15" x14ac:dyDescent="0.4">
      <c r="A790" s="11" t="s">
        <v>20166</v>
      </c>
      <c r="B790" s="11" t="s">
        <v>6071</v>
      </c>
      <c r="C790" s="11" t="s">
        <v>18721</v>
      </c>
      <c r="D790" s="12">
        <v>41640</v>
      </c>
      <c r="E790" s="12">
        <v>41640</v>
      </c>
      <c r="F790" s="11"/>
      <c r="G790" s="11" t="s">
        <v>279</v>
      </c>
      <c r="H790" s="11" t="s">
        <v>30</v>
      </c>
      <c r="I790" s="11" t="s">
        <v>20693</v>
      </c>
    </row>
    <row r="791" spans="1:9" ht="13.15" x14ac:dyDescent="0.4">
      <c r="A791" s="11" t="s">
        <v>19050</v>
      </c>
      <c r="B791" s="11" t="s">
        <v>6071</v>
      </c>
      <c r="C791" s="11" t="s">
        <v>18721</v>
      </c>
      <c r="D791" s="12">
        <v>41640</v>
      </c>
      <c r="E791" s="12">
        <v>41640</v>
      </c>
      <c r="F791" s="11"/>
      <c r="G791" s="11" t="s">
        <v>279</v>
      </c>
      <c r="H791" s="11" t="s">
        <v>30</v>
      </c>
      <c r="I791" s="11" t="s">
        <v>21809</v>
      </c>
    </row>
    <row r="792" spans="1:9" ht="13.15" x14ac:dyDescent="0.4">
      <c r="A792" s="11" t="s">
        <v>19215</v>
      </c>
      <c r="B792" s="11" t="s">
        <v>6071</v>
      </c>
      <c r="C792" s="11" t="s">
        <v>18721</v>
      </c>
      <c r="D792" s="12">
        <v>41275</v>
      </c>
      <c r="E792" s="12">
        <v>41275</v>
      </c>
      <c r="F792" s="11"/>
      <c r="G792" s="11" t="s">
        <v>279</v>
      </c>
      <c r="H792" s="11" t="s">
        <v>30</v>
      </c>
      <c r="I792" s="11" t="s">
        <v>21644</v>
      </c>
    </row>
    <row r="793" spans="1:9" ht="13.15" x14ac:dyDescent="0.4">
      <c r="A793" s="11" t="s">
        <v>20240</v>
      </c>
      <c r="B793" s="11" t="s">
        <v>6071</v>
      </c>
      <c r="C793" s="11" t="s">
        <v>18721</v>
      </c>
      <c r="D793" s="12">
        <v>41275</v>
      </c>
      <c r="E793" s="12">
        <v>41275</v>
      </c>
      <c r="F793" s="11"/>
      <c r="G793" s="11" t="s">
        <v>279</v>
      </c>
      <c r="H793" s="11" t="s">
        <v>30</v>
      </c>
      <c r="I793" s="11" t="s">
        <v>20619</v>
      </c>
    </row>
    <row r="794" spans="1:9" ht="13.15" x14ac:dyDescent="0.4">
      <c r="A794" s="11" t="s">
        <v>20374</v>
      </c>
      <c r="B794" s="11" t="s">
        <v>6071</v>
      </c>
      <c r="C794" s="11" t="s">
        <v>18721</v>
      </c>
      <c r="D794" s="12">
        <v>41275</v>
      </c>
      <c r="E794" s="12">
        <v>41275</v>
      </c>
      <c r="F794" s="11"/>
      <c r="G794" s="11" t="s">
        <v>279</v>
      </c>
      <c r="H794" s="11" t="s">
        <v>30</v>
      </c>
      <c r="I794" s="11" t="s">
        <v>20485</v>
      </c>
    </row>
    <row r="795" spans="1:9" ht="13.15" x14ac:dyDescent="0.4">
      <c r="A795" s="11" t="s">
        <v>19338</v>
      </c>
      <c r="B795" s="11" t="s">
        <v>6071</v>
      </c>
      <c r="C795" s="11" t="s">
        <v>18721</v>
      </c>
      <c r="D795" s="12">
        <v>41275</v>
      </c>
      <c r="E795" s="12">
        <v>41275</v>
      </c>
      <c r="F795" s="11"/>
      <c r="G795" s="11" t="s">
        <v>279</v>
      </c>
      <c r="H795" s="11" t="s">
        <v>30</v>
      </c>
      <c r="I795" s="11" t="s">
        <v>21521</v>
      </c>
    </row>
    <row r="796" spans="1:9" ht="13.15" x14ac:dyDescent="0.4">
      <c r="A796" s="11" t="s">
        <v>20162</v>
      </c>
      <c r="B796" s="11" t="s">
        <v>6071</v>
      </c>
      <c r="C796" s="11" t="s">
        <v>18721</v>
      </c>
      <c r="D796" s="12">
        <v>41275</v>
      </c>
      <c r="E796" s="12">
        <v>41275</v>
      </c>
      <c r="F796" s="11"/>
      <c r="G796" s="11" t="s">
        <v>279</v>
      </c>
      <c r="H796" s="11" t="s">
        <v>30</v>
      </c>
      <c r="I796" s="11" t="s">
        <v>20697</v>
      </c>
    </row>
    <row r="797" spans="1:9" ht="13.15" x14ac:dyDescent="0.4">
      <c r="A797" s="11" t="s">
        <v>19522</v>
      </c>
      <c r="B797" s="11" t="s">
        <v>6071</v>
      </c>
      <c r="C797" s="11" t="s">
        <v>18721</v>
      </c>
      <c r="D797" s="12">
        <v>41275</v>
      </c>
      <c r="E797" s="12">
        <v>41275</v>
      </c>
      <c r="F797" s="11"/>
      <c r="G797" s="11" t="s">
        <v>279</v>
      </c>
      <c r="H797" s="11" t="s">
        <v>30</v>
      </c>
      <c r="I797" s="11" t="s">
        <v>21337</v>
      </c>
    </row>
    <row r="798" spans="1:9" ht="13.15" x14ac:dyDescent="0.4">
      <c r="A798" s="11" t="s">
        <v>19603</v>
      </c>
      <c r="B798" s="11" t="s">
        <v>6071</v>
      </c>
      <c r="C798" s="11" t="s">
        <v>18721</v>
      </c>
      <c r="D798" s="12">
        <v>41275</v>
      </c>
      <c r="E798" s="12">
        <v>41275</v>
      </c>
      <c r="F798" s="11"/>
      <c r="G798" s="11" t="s">
        <v>279</v>
      </c>
      <c r="H798" s="11" t="s">
        <v>30</v>
      </c>
      <c r="I798" s="11" t="s">
        <v>21256</v>
      </c>
    </row>
    <row r="799" spans="1:9" ht="13.15" x14ac:dyDescent="0.4">
      <c r="A799" s="11" t="s">
        <v>19212</v>
      </c>
      <c r="B799" s="11" t="s">
        <v>6071</v>
      </c>
      <c r="C799" s="11" t="s">
        <v>18721</v>
      </c>
      <c r="D799" s="12">
        <v>40909</v>
      </c>
      <c r="E799" s="12">
        <v>40909</v>
      </c>
      <c r="F799" s="11"/>
      <c r="G799" s="11" t="s">
        <v>279</v>
      </c>
      <c r="H799" s="11" t="s">
        <v>30</v>
      </c>
      <c r="I799" s="11" t="s">
        <v>21647</v>
      </c>
    </row>
    <row r="800" spans="1:9" ht="13.15" x14ac:dyDescent="0.4">
      <c r="A800" s="11" t="s">
        <v>18936</v>
      </c>
      <c r="B800" s="11" t="s">
        <v>6071</v>
      </c>
      <c r="C800" s="11" t="s">
        <v>18721</v>
      </c>
      <c r="D800" s="12">
        <v>40909</v>
      </c>
      <c r="E800" s="12">
        <v>40909</v>
      </c>
      <c r="F800" s="11"/>
      <c r="G800" s="11" t="s">
        <v>279</v>
      </c>
      <c r="H800" s="11" t="s">
        <v>30</v>
      </c>
      <c r="I800" s="11" t="s">
        <v>21923</v>
      </c>
    </row>
    <row r="801" spans="1:9" ht="13.15" x14ac:dyDescent="0.4">
      <c r="A801" s="11" t="s">
        <v>20133</v>
      </c>
      <c r="B801" s="11" t="s">
        <v>6071</v>
      </c>
      <c r="C801" s="11" t="s">
        <v>18721</v>
      </c>
      <c r="D801" s="12">
        <v>40909</v>
      </c>
      <c r="E801" s="12">
        <v>40909</v>
      </c>
      <c r="F801" s="11"/>
      <c r="G801" s="11" t="s">
        <v>279</v>
      </c>
      <c r="H801" s="11" t="s">
        <v>30</v>
      </c>
      <c r="I801" s="11" t="s">
        <v>20726</v>
      </c>
    </row>
    <row r="802" spans="1:9" ht="13.15" x14ac:dyDescent="0.4">
      <c r="A802" s="11" t="s">
        <v>20118</v>
      </c>
      <c r="B802" s="11" t="s">
        <v>6071</v>
      </c>
      <c r="C802" s="11" t="s">
        <v>18721</v>
      </c>
      <c r="D802" s="12">
        <v>40909</v>
      </c>
      <c r="E802" s="12">
        <v>40909</v>
      </c>
      <c r="F802" s="11"/>
      <c r="G802" s="11" t="s">
        <v>279</v>
      </c>
      <c r="H802" s="11" t="s">
        <v>30</v>
      </c>
      <c r="I802" s="11" t="s">
        <v>20741</v>
      </c>
    </row>
    <row r="803" spans="1:9" ht="13.15" x14ac:dyDescent="0.4">
      <c r="A803" s="11" t="s">
        <v>19240</v>
      </c>
      <c r="B803" s="11" t="s">
        <v>6071</v>
      </c>
      <c r="C803" s="11" t="s">
        <v>18721</v>
      </c>
      <c r="D803" s="12">
        <v>41275</v>
      </c>
      <c r="E803" s="12">
        <v>41275</v>
      </c>
      <c r="F803" s="11"/>
      <c r="G803" s="11" t="s">
        <v>279</v>
      </c>
      <c r="H803" s="11" t="s">
        <v>30</v>
      </c>
      <c r="I803" s="11" t="s">
        <v>21619</v>
      </c>
    </row>
    <row r="804" spans="1:9" ht="13.15" x14ac:dyDescent="0.4">
      <c r="A804" s="11" t="s">
        <v>18856</v>
      </c>
      <c r="B804" s="11" t="s">
        <v>6071</v>
      </c>
      <c r="C804" s="11" t="s">
        <v>18721</v>
      </c>
      <c r="D804" s="12">
        <v>41275</v>
      </c>
      <c r="E804" s="12">
        <v>41275</v>
      </c>
      <c r="F804" s="11"/>
      <c r="G804" s="11" t="s">
        <v>279</v>
      </c>
      <c r="H804" s="11" t="s">
        <v>30</v>
      </c>
      <c r="I804" s="11" t="s">
        <v>22003</v>
      </c>
    </row>
    <row r="805" spans="1:9" ht="13.15" x14ac:dyDescent="0.4">
      <c r="A805" s="11" t="s">
        <v>19148</v>
      </c>
      <c r="B805" s="11" t="s">
        <v>6071</v>
      </c>
      <c r="C805" s="11" t="s">
        <v>18721</v>
      </c>
      <c r="D805" s="12">
        <v>41275</v>
      </c>
      <c r="E805" s="12">
        <v>41275</v>
      </c>
      <c r="F805" s="11"/>
      <c r="G805" s="11" t="s">
        <v>279</v>
      </c>
      <c r="H805" s="11" t="s">
        <v>30</v>
      </c>
      <c r="I805" s="11" t="s">
        <v>21711</v>
      </c>
    </row>
    <row r="806" spans="1:9" ht="13.15" x14ac:dyDescent="0.4">
      <c r="A806" s="11" t="s">
        <v>18858</v>
      </c>
      <c r="B806" s="11" t="s">
        <v>6071</v>
      </c>
      <c r="C806" s="11" t="s">
        <v>18721</v>
      </c>
      <c r="D806" s="12">
        <v>41275</v>
      </c>
      <c r="E806" s="12">
        <v>41275</v>
      </c>
      <c r="F806" s="11"/>
      <c r="G806" s="11" t="s">
        <v>279</v>
      </c>
      <c r="H806" s="11" t="s">
        <v>30</v>
      </c>
      <c r="I806" s="11" t="s">
        <v>22001</v>
      </c>
    </row>
    <row r="807" spans="1:9" ht="13.15" x14ac:dyDescent="0.4">
      <c r="A807" s="11" t="s">
        <v>19575</v>
      </c>
      <c r="B807" s="11" t="s">
        <v>6071</v>
      </c>
      <c r="C807" s="11" t="s">
        <v>18721</v>
      </c>
      <c r="D807" s="12">
        <v>41640</v>
      </c>
      <c r="E807" s="12">
        <v>41640</v>
      </c>
      <c r="F807" s="11"/>
      <c r="G807" s="11" t="s">
        <v>279</v>
      </c>
      <c r="H807" s="11" t="s">
        <v>30</v>
      </c>
      <c r="I807" s="11" t="s">
        <v>21284</v>
      </c>
    </row>
    <row r="808" spans="1:9" ht="13.15" x14ac:dyDescent="0.4">
      <c r="A808" s="11" t="s">
        <v>18749</v>
      </c>
      <c r="B808" s="11" t="s">
        <v>6071</v>
      </c>
      <c r="C808" s="11" t="s">
        <v>18721</v>
      </c>
      <c r="D808" s="12">
        <v>41275</v>
      </c>
      <c r="E808" s="12">
        <v>41275</v>
      </c>
      <c r="F808" s="11"/>
      <c r="G808" s="11" t="s">
        <v>279</v>
      </c>
      <c r="H808" s="11" t="s">
        <v>30</v>
      </c>
      <c r="I808" s="11" t="s">
        <v>22110</v>
      </c>
    </row>
    <row r="809" spans="1:9" ht="13.15" x14ac:dyDescent="0.4">
      <c r="A809" s="11" t="s">
        <v>19381</v>
      </c>
      <c r="B809" s="11" t="s">
        <v>6071</v>
      </c>
      <c r="C809" s="11" t="s">
        <v>18721</v>
      </c>
      <c r="D809" s="12">
        <v>41275</v>
      </c>
      <c r="E809" s="12">
        <v>41275</v>
      </c>
      <c r="F809" s="11"/>
      <c r="G809" s="11" t="s">
        <v>279</v>
      </c>
      <c r="H809" s="11" t="s">
        <v>30</v>
      </c>
      <c r="I809" s="11" t="s">
        <v>21478</v>
      </c>
    </row>
    <row r="810" spans="1:9" ht="13.15" x14ac:dyDescent="0.4">
      <c r="A810" s="11" t="s">
        <v>19051</v>
      </c>
      <c r="B810" s="11" t="s">
        <v>6071</v>
      </c>
      <c r="C810" s="11" t="s">
        <v>18721</v>
      </c>
      <c r="D810" s="12">
        <v>41275</v>
      </c>
      <c r="E810" s="12">
        <v>41275</v>
      </c>
      <c r="F810" s="11"/>
      <c r="G810" s="11" t="s">
        <v>279</v>
      </c>
      <c r="H810" s="11" t="s">
        <v>30</v>
      </c>
      <c r="I810" s="11" t="s">
        <v>21808</v>
      </c>
    </row>
    <row r="811" spans="1:9" ht="13.15" x14ac:dyDescent="0.4">
      <c r="A811" s="11" t="s">
        <v>20245</v>
      </c>
      <c r="B811" s="11" t="s">
        <v>6071</v>
      </c>
      <c r="C811" s="11" t="s">
        <v>18721</v>
      </c>
      <c r="D811" s="12">
        <v>41275</v>
      </c>
      <c r="E811" s="12">
        <v>41275</v>
      </c>
      <c r="F811" s="11"/>
      <c r="G811" s="11" t="s">
        <v>279</v>
      </c>
      <c r="H811" s="11" t="s">
        <v>30</v>
      </c>
      <c r="I811" s="11" t="s">
        <v>20614</v>
      </c>
    </row>
    <row r="812" spans="1:9" ht="13.15" x14ac:dyDescent="0.4">
      <c r="A812" s="11" t="s">
        <v>19218</v>
      </c>
      <c r="B812" s="11" t="s">
        <v>6071</v>
      </c>
      <c r="C812" s="11" t="s">
        <v>18721</v>
      </c>
      <c r="D812" s="12">
        <v>41275</v>
      </c>
      <c r="E812" s="12">
        <v>41275</v>
      </c>
      <c r="F812" s="11"/>
      <c r="G812" s="11" t="s">
        <v>279</v>
      </c>
      <c r="H812" s="11" t="s">
        <v>30</v>
      </c>
      <c r="I812" s="11" t="s">
        <v>21641</v>
      </c>
    </row>
    <row r="813" spans="1:9" ht="13.15" x14ac:dyDescent="0.4">
      <c r="A813" s="11" t="s">
        <v>20279</v>
      </c>
      <c r="B813" s="11" t="s">
        <v>6071</v>
      </c>
      <c r="C813" s="11" t="s">
        <v>18721</v>
      </c>
      <c r="D813" s="12">
        <v>41275</v>
      </c>
      <c r="E813" s="12">
        <v>41275</v>
      </c>
      <c r="F813" s="11"/>
      <c r="G813" s="11" t="s">
        <v>279</v>
      </c>
      <c r="H813" s="11" t="s">
        <v>30</v>
      </c>
      <c r="I813" s="11" t="s">
        <v>20580</v>
      </c>
    </row>
    <row r="814" spans="1:9" ht="13.15" x14ac:dyDescent="0.4">
      <c r="A814" s="11" t="s">
        <v>19162</v>
      </c>
      <c r="B814" s="11" t="s">
        <v>6071</v>
      </c>
      <c r="C814" s="11" t="s">
        <v>18721</v>
      </c>
      <c r="D814" s="12">
        <v>41275</v>
      </c>
      <c r="E814" s="12">
        <v>41275</v>
      </c>
      <c r="F814" s="11"/>
      <c r="G814" s="11" t="s">
        <v>279</v>
      </c>
      <c r="H814" s="11" t="s">
        <v>30</v>
      </c>
      <c r="I814" s="11" t="s">
        <v>21697</v>
      </c>
    </row>
    <row r="815" spans="1:9" ht="13.15" x14ac:dyDescent="0.4">
      <c r="A815" s="11" t="s">
        <v>18961</v>
      </c>
      <c r="B815" s="11" t="s">
        <v>6071</v>
      </c>
      <c r="C815" s="11" t="s">
        <v>18721</v>
      </c>
      <c r="D815" s="12">
        <v>41275</v>
      </c>
      <c r="E815" s="12">
        <v>41275</v>
      </c>
      <c r="F815" s="11"/>
      <c r="G815" s="11" t="s">
        <v>279</v>
      </c>
      <c r="H815" s="11" t="s">
        <v>30</v>
      </c>
      <c r="I815" s="11" t="s">
        <v>21898</v>
      </c>
    </row>
    <row r="816" spans="1:9" ht="13.15" x14ac:dyDescent="0.4">
      <c r="A816" s="11" t="s">
        <v>19852</v>
      </c>
      <c r="B816" s="11" t="s">
        <v>6071</v>
      </c>
      <c r="C816" s="11" t="s">
        <v>18721</v>
      </c>
      <c r="D816" s="12">
        <v>41275</v>
      </c>
      <c r="E816" s="12">
        <v>41275</v>
      </c>
      <c r="F816" s="11"/>
      <c r="G816" s="11" t="s">
        <v>279</v>
      </c>
      <c r="H816" s="11" t="s">
        <v>30</v>
      </c>
      <c r="I816" s="11" t="s">
        <v>21007</v>
      </c>
    </row>
    <row r="817" spans="1:9" ht="13.15" x14ac:dyDescent="0.4">
      <c r="A817" s="11" t="s">
        <v>20003</v>
      </c>
      <c r="B817" s="11" t="s">
        <v>6071</v>
      </c>
      <c r="C817" s="11" t="s">
        <v>18721</v>
      </c>
      <c r="D817" s="12">
        <v>41640</v>
      </c>
      <c r="E817" s="12">
        <v>41640</v>
      </c>
      <c r="F817" s="11"/>
      <c r="G817" s="11" t="s">
        <v>279</v>
      </c>
      <c r="H817" s="11" t="s">
        <v>30</v>
      </c>
      <c r="I817" s="11" t="s">
        <v>20856</v>
      </c>
    </row>
    <row r="818" spans="1:9" ht="13.15" x14ac:dyDescent="0.4">
      <c r="A818" s="11" t="s">
        <v>19822</v>
      </c>
      <c r="B818" s="11" t="s">
        <v>6071</v>
      </c>
      <c r="C818" s="11" t="s">
        <v>18721</v>
      </c>
      <c r="D818" s="12">
        <v>41640</v>
      </c>
      <c r="E818" s="12">
        <v>41640</v>
      </c>
      <c r="F818" s="11"/>
      <c r="G818" s="11" t="s">
        <v>279</v>
      </c>
      <c r="H818" s="11" t="s">
        <v>30</v>
      </c>
      <c r="I818" s="11" t="s">
        <v>21037</v>
      </c>
    </row>
    <row r="819" spans="1:9" ht="13.15" x14ac:dyDescent="0.4">
      <c r="A819" s="11" t="s">
        <v>19784</v>
      </c>
      <c r="B819" s="11" t="s">
        <v>6071</v>
      </c>
      <c r="C819" s="11" t="s">
        <v>18721</v>
      </c>
      <c r="D819" s="12">
        <v>41275</v>
      </c>
      <c r="E819" s="12">
        <v>41275</v>
      </c>
      <c r="F819" s="11"/>
      <c r="G819" s="11" t="s">
        <v>279</v>
      </c>
      <c r="H819" s="11" t="s">
        <v>30</v>
      </c>
      <c r="I819" s="11" t="s">
        <v>21075</v>
      </c>
    </row>
    <row r="820" spans="1:9" ht="13.15" x14ac:dyDescent="0.4">
      <c r="A820" s="11" t="s">
        <v>19590</v>
      </c>
      <c r="B820" s="11" t="s">
        <v>6071</v>
      </c>
      <c r="C820" s="11" t="s">
        <v>18721</v>
      </c>
      <c r="D820" s="12">
        <v>41640</v>
      </c>
      <c r="E820" s="12">
        <v>41640</v>
      </c>
      <c r="F820" s="11"/>
      <c r="G820" s="11" t="s">
        <v>279</v>
      </c>
      <c r="H820" s="11" t="s">
        <v>30</v>
      </c>
      <c r="I820" s="11" t="s">
        <v>21269</v>
      </c>
    </row>
    <row r="821" spans="1:9" ht="13.15" x14ac:dyDescent="0.4">
      <c r="A821" s="11" t="s">
        <v>19263</v>
      </c>
      <c r="B821" s="11" t="s">
        <v>6071</v>
      </c>
      <c r="C821" s="11" t="s">
        <v>18721</v>
      </c>
      <c r="D821" s="12">
        <v>41275</v>
      </c>
      <c r="E821" s="12">
        <v>41275</v>
      </c>
      <c r="F821" s="11"/>
      <c r="G821" s="11" t="s">
        <v>279</v>
      </c>
      <c r="H821" s="11" t="s">
        <v>30</v>
      </c>
      <c r="I821" s="11" t="s">
        <v>21596</v>
      </c>
    </row>
    <row r="822" spans="1:9" ht="13.15" x14ac:dyDescent="0.4">
      <c r="A822" s="11" t="s">
        <v>19786</v>
      </c>
      <c r="B822" s="11" t="s">
        <v>6071</v>
      </c>
      <c r="C822" s="11" t="s">
        <v>18721</v>
      </c>
      <c r="D822" s="12">
        <v>41275</v>
      </c>
      <c r="E822" s="12">
        <v>41275</v>
      </c>
      <c r="F822" s="11"/>
      <c r="G822" s="11" t="s">
        <v>279</v>
      </c>
      <c r="H822" s="11" t="s">
        <v>30</v>
      </c>
      <c r="I822" s="11" t="s">
        <v>21073</v>
      </c>
    </row>
    <row r="823" spans="1:9" ht="13.15" x14ac:dyDescent="0.4">
      <c r="A823" s="11" t="s">
        <v>18960</v>
      </c>
      <c r="B823" s="11" t="s">
        <v>6071</v>
      </c>
      <c r="C823" s="11" t="s">
        <v>18721</v>
      </c>
      <c r="D823" s="12">
        <v>41275</v>
      </c>
      <c r="E823" s="12">
        <v>41275</v>
      </c>
      <c r="F823" s="11"/>
      <c r="G823" s="11" t="s">
        <v>279</v>
      </c>
      <c r="H823" s="11" t="s">
        <v>30</v>
      </c>
      <c r="I823" s="11" t="s">
        <v>21899</v>
      </c>
    </row>
    <row r="824" spans="1:9" ht="13.15" x14ac:dyDescent="0.4">
      <c r="A824" s="11" t="s">
        <v>19319</v>
      </c>
      <c r="B824" s="11" t="s">
        <v>6071</v>
      </c>
      <c r="C824" s="11" t="s">
        <v>18721</v>
      </c>
      <c r="D824" s="12">
        <v>41275</v>
      </c>
      <c r="E824" s="12">
        <v>41275</v>
      </c>
      <c r="F824" s="11"/>
      <c r="G824" s="11" t="s">
        <v>279</v>
      </c>
      <c r="H824" s="11" t="s">
        <v>30</v>
      </c>
      <c r="I824" s="11" t="s">
        <v>21540</v>
      </c>
    </row>
    <row r="825" spans="1:9" ht="13.15" x14ac:dyDescent="0.4">
      <c r="A825" s="11" t="s">
        <v>19582</v>
      </c>
      <c r="B825" s="11" t="s">
        <v>6071</v>
      </c>
      <c r="C825" s="11" t="s">
        <v>18721</v>
      </c>
      <c r="D825" s="12">
        <v>40909</v>
      </c>
      <c r="E825" s="12">
        <v>40909</v>
      </c>
      <c r="F825" s="11"/>
      <c r="G825" s="11" t="s">
        <v>279</v>
      </c>
      <c r="H825" s="11" t="s">
        <v>30</v>
      </c>
      <c r="I825" s="11" t="s">
        <v>21277</v>
      </c>
    </row>
    <row r="826" spans="1:9" ht="13.15" x14ac:dyDescent="0.4">
      <c r="A826" s="11" t="s">
        <v>19955</v>
      </c>
      <c r="B826" s="11" t="s">
        <v>6071</v>
      </c>
      <c r="C826" s="11" t="s">
        <v>18721</v>
      </c>
      <c r="D826" s="12">
        <v>40909</v>
      </c>
      <c r="E826" s="12">
        <v>40909</v>
      </c>
      <c r="F826" s="11"/>
      <c r="G826" s="11" t="s">
        <v>279</v>
      </c>
      <c r="H826" s="11" t="s">
        <v>30</v>
      </c>
      <c r="I826" s="11" t="s">
        <v>20904</v>
      </c>
    </row>
    <row r="827" spans="1:9" ht="13.15" x14ac:dyDescent="0.4">
      <c r="A827" s="11" t="s">
        <v>20289</v>
      </c>
      <c r="B827" s="11" t="s">
        <v>6071</v>
      </c>
      <c r="C827" s="11" t="s">
        <v>18721</v>
      </c>
      <c r="D827" s="12">
        <v>41275</v>
      </c>
      <c r="E827" s="12">
        <v>41275</v>
      </c>
      <c r="F827" s="11"/>
      <c r="G827" s="11" t="s">
        <v>279</v>
      </c>
      <c r="H827" s="11" t="s">
        <v>30</v>
      </c>
      <c r="I827" s="11" t="s">
        <v>20570</v>
      </c>
    </row>
    <row r="828" spans="1:9" ht="13.15" x14ac:dyDescent="0.4">
      <c r="A828" s="11" t="s">
        <v>19819</v>
      </c>
      <c r="B828" s="11" t="s">
        <v>6071</v>
      </c>
      <c r="C828" s="11" t="s">
        <v>18721</v>
      </c>
      <c r="D828" s="12">
        <v>41640</v>
      </c>
      <c r="E828" s="12">
        <v>41640</v>
      </c>
      <c r="F828" s="11"/>
      <c r="G828" s="11" t="s">
        <v>279</v>
      </c>
      <c r="H828" s="11" t="s">
        <v>30</v>
      </c>
      <c r="I828" s="11" t="s">
        <v>21040</v>
      </c>
    </row>
    <row r="829" spans="1:9" ht="13.15" x14ac:dyDescent="0.4">
      <c r="A829" s="11" t="s">
        <v>19521</v>
      </c>
      <c r="B829" s="11" t="s">
        <v>6071</v>
      </c>
      <c r="C829" s="11" t="s">
        <v>18721</v>
      </c>
      <c r="D829" s="12">
        <v>41275</v>
      </c>
      <c r="E829" s="12">
        <v>41275</v>
      </c>
      <c r="F829" s="11"/>
      <c r="G829" s="11" t="s">
        <v>279</v>
      </c>
      <c r="H829" s="11" t="s">
        <v>30</v>
      </c>
      <c r="I829" s="11" t="s">
        <v>21338</v>
      </c>
    </row>
    <row r="830" spans="1:9" ht="13.15" x14ac:dyDescent="0.4">
      <c r="A830" s="11" t="s">
        <v>19642</v>
      </c>
      <c r="B830" s="11" t="s">
        <v>6071</v>
      </c>
      <c r="C830" s="11" t="s">
        <v>18721</v>
      </c>
      <c r="D830" s="12">
        <v>41640</v>
      </c>
      <c r="E830" s="12">
        <v>41640</v>
      </c>
      <c r="F830" s="11"/>
      <c r="G830" s="11" t="s">
        <v>279</v>
      </c>
      <c r="H830" s="11" t="s">
        <v>30</v>
      </c>
      <c r="I830" s="11" t="s">
        <v>21217</v>
      </c>
    </row>
    <row r="831" spans="1:9" ht="13.15" x14ac:dyDescent="0.4">
      <c r="A831" s="11" t="s">
        <v>19059</v>
      </c>
      <c r="B831" s="11" t="s">
        <v>6071</v>
      </c>
      <c r="C831" s="11" t="s">
        <v>18721</v>
      </c>
      <c r="D831" s="12">
        <v>41275</v>
      </c>
      <c r="E831" s="12">
        <v>41275</v>
      </c>
      <c r="F831" s="11"/>
      <c r="G831" s="11" t="s">
        <v>279</v>
      </c>
      <c r="H831" s="11" t="s">
        <v>30</v>
      </c>
      <c r="I831" s="11" t="s">
        <v>21800</v>
      </c>
    </row>
    <row r="832" spans="1:9" ht="13.15" x14ac:dyDescent="0.4">
      <c r="A832" s="11" t="s">
        <v>20284</v>
      </c>
      <c r="B832" s="11" t="s">
        <v>6071</v>
      </c>
      <c r="C832" s="11" t="s">
        <v>18721</v>
      </c>
      <c r="D832" s="12">
        <v>41640</v>
      </c>
      <c r="E832" s="12">
        <v>41640</v>
      </c>
      <c r="F832" s="11"/>
      <c r="G832" s="11" t="s">
        <v>279</v>
      </c>
      <c r="H832" s="11" t="s">
        <v>30</v>
      </c>
      <c r="I832" s="11" t="s">
        <v>20575</v>
      </c>
    </row>
    <row r="833" spans="1:9" ht="13.15" x14ac:dyDescent="0.4">
      <c r="A833" s="11" t="s">
        <v>19427</v>
      </c>
      <c r="B833" s="11" t="s">
        <v>6071</v>
      </c>
      <c r="C833" s="11" t="s">
        <v>18721</v>
      </c>
      <c r="D833" s="12">
        <v>41640</v>
      </c>
      <c r="E833" s="12">
        <v>41640</v>
      </c>
      <c r="F833" s="11"/>
      <c r="G833" s="11" t="s">
        <v>279</v>
      </c>
      <c r="H833" s="11" t="s">
        <v>30</v>
      </c>
      <c r="I833" s="11" t="s">
        <v>21432</v>
      </c>
    </row>
    <row r="834" spans="1:9" ht="13.15" x14ac:dyDescent="0.4">
      <c r="A834" s="11" t="s">
        <v>19506</v>
      </c>
      <c r="B834" s="11" t="s">
        <v>6071</v>
      </c>
      <c r="C834" s="11" t="s">
        <v>18721</v>
      </c>
      <c r="D834" s="12">
        <v>41275</v>
      </c>
      <c r="E834" s="12">
        <v>41275</v>
      </c>
      <c r="F834" s="11"/>
      <c r="G834" s="11" t="s">
        <v>279</v>
      </c>
      <c r="H834" s="11" t="s">
        <v>30</v>
      </c>
      <c r="I834" s="11" t="s">
        <v>21353</v>
      </c>
    </row>
    <row r="835" spans="1:9" ht="13.15" x14ac:dyDescent="0.4">
      <c r="A835" s="11" t="s">
        <v>20266</v>
      </c>
      <c r="B835" s="11" t="s">
        <v>6071</v>
      </c>
      <c r="C835" s="11" t="s">
        <v>18721</v>
      </c>
      <c r="D835" s="12">
        <v>41640</v>
      </c>
      <c r="E835" s="12">
        <v>41640</v>
      </c>
      <c r="F835" s="11"/>
      <c r="G835" s="11" t="s">
        <v>279</v>
      </c>
      <c r="H835" s="11" t="s">
        <v>30</v>
      </c>
      <c r="I835" s="11" t="s">
        <v>20593</v>
      </c>
    </row>
    <row r="836" spans="1:9" ht="13.15" x14ac:dyDescent="0.4">
      <c r="A836" s="11" t="s">
        <v>18748</v>
      </c>
      <c r="B836" s="11" t="s">
        <v>6071</v>
      </c>
      <c r="C836" s="11" t="s">
        <v>18721</v>
      </c>
      <c r="D836" s="12">
        <v>41275</v>
      </c>
      <c r="E836" s="12">
        <v>41275</v>
      </c>
      <c r="F836" s="11"/>
      <c r="G836" s="11" t="s">
        <v>279</v>
      </c>
      <c r="H836" s="11" t="s">
        <v>30</v>
      </c>
      <c r="I836" s="11" t="s">
        <v>22111</v>
      </c>
    </row>
    <row r="837" spans="1:9" ht="13.15" x14ac:dyDescent="0.4">
      <c r="A837" s="11" t="s">
        <v>18798</v>
      </c>
      <c r="B837" s="11" t="s">
        <v>6071</v>
      </c>
      <c r="C837" s="11" t="s">
        <v>18721</v>
      </c>
      <c r="D837" s="12">
        <v>41640</v>
      </c>
      <c r="E837" s="12">
        <v>41640</v>
      </c>
      <c r="F837" s="11"/>
      <c r="G837" s="11" t="s">
        <v>279</v>
      </c>
      <c r="H837" s="11" t="s">
        <v>30</v>
      </c>
      <c r="I837" s="11" t="s">
        <v>22061</v>
      </c>
    </row>
    <row r="838" spans="1:9" ht="13.15" x14ac:dyDescent="0.4">
      <c r="A838" s="11" t="s">
        <v>19598</v>
      </c>
      <c r="B838" s="11" t="s">
        <v>6071</v>
      </c>
      <c r="C838" s="11" t="s">
        <v>18721</v>
      </c>
      <c r="D838" s="12">
        <v>41275</v>
      </c>
      <c r="E838" s="12">
        <v>41275</v>
      </c>
      <c r="F838" s="11"/>
      <c r="G838" s="11" t="s">
        <v>279</v>
      </c>
      <c r="H838" s="11" t="s">
        <v>30</v>
      </c>
      <c r="I838" s="11" t="s">
        <v>21261</v>
      </c>
    </row>
    <row r="839" spans="1:9" ht="13.15" x14ac:dyDescent="0.4">
      <c r="A839" s="11" t="s">
        <v>19538</v>
      </c>
      <c r="B839" s="11" t="s">
        <v>6071</v>
      </c>
      <c r="C839" s="11" t="s">
        <v>18721</v>
      </c>
      <c r="D839" s="12">
        <v>41275</v>
      </c>
      <c r="E839" s="12">
        <v>41275</v>
      </c>
      <c r="F839" s="11"/>
      <c r="G839" s="11" t="s">
        <v>279</v>
      </c>
      <c r="H839" s="11" t="s">
        <v>30</v>
      </c>
      <c r="I839" s="11" t="s">
        <v>21321</v>
      </c>
    </row>
    <row r="840" spans="1:9" ht="13.15" x14ac:dyDescent="0.4">
      <c r="A840" s="11" t="s">
        <v>19727</v>
      </c>
      <c r="B840" s="11" t="s">
        <v>6071</v>
      </c>
      <c r="C840" s="11" t="s">
        <v>18721</v>
      </c>
      <c r="D840" s="12">
        <v>41640</v>
      </c>
      <c r="E840" s="12">
        <v>41640</v>
      </c>
      <c r="F840" s="11"/>
      <c r="G840" s="11" t="s">
        <v>279</v>
      </c>
      <c r="H840" s="11" t="s">
        <v>30</v>
      </c>
      <c r="I840" s="11" t="s">
        <v>21132</v>
      </c>
    </row>
    <row r="841" spans="1:9" ht="13.15" x14ac:dyDescent="0.4">
      <c r="A841" s="11" t="s">
        <v>19158</v>
      </c>
      <c r="B841" s="11" t="s">
        <v>6071</v>
      </c>
      <c r="C841" s="11" t="s">
        <v>18721</v>
      </c>
      <c r="D841" s="12">
        <v>41275</v>
      </c>
      <c r="E841" s="12">
        <v>41275</v>
      </c>
      <c r="F841" s="11"/>
      <c r="G841" s="11" t="s">
        <v>279</v>
      </c>
      <c r="H841" s="11" t="s">
        <v>30</v>
      </c>
      <c r="I841" s="11" t="s">
        <v>21701</v>
      </c>
    </row>
    <row r="842" spans="1:9" ht="13.15" x14ac:dyDescent="0.4">
      <c r="A842" s="11" t="s">
        <v>18802</v>
      </c>
      <c r="B842" s="11" t="s">
        <v>6071</v>
      </c>
      <c r="C842" s="11" t="s">
        <v>18721</v>
      </c>
      <c r="D842" s="12">
        <v>41640</v>
      </c>
      <c r="E842" s="12">
        <v>41640</v>
      </c>
      <c r="F842" s="11"/>
      <c r="G842" s="11" t="s">
        <v>279</v>
      </c>
      <c r="H842" s="11" t="s">
        <v>30</v>
      </c>
      <c r="I842" s="11" t="s">
        <v>22057</v>
      </c>
    </row>
    <row r="843" spans="1:9" ht="13.15" x14ac:dyDescent="0.4">
      <c r="A843" s="11" t="s">
        <v>19349</v>
      </c>
      <c r="B843" s="11" t="s">
        <v>6071</v>
      </c>
      <c r="C843" s="11" t="s">
        <v>18721</v>
      </c>
      <c r="D843" s="12">
        <v>41275</v>
      </c>
      <c r="E843" s="12">
        <v>41275</v>
      </c>
      <c r="F843" s="11"/>
      <c r="G843" s="11" t="s">
        <v>279</v>
      </c>
      <c r="H843" s="11" t="s">
        <v>30</v>
      </c>
      <c r="I843" s="11" t="s">
        <v>21510</v>
      </c>
    </row>
    <row r="844" spans="1:9" ht="13.15" x14ac:dyDescent="0.4">
      <c r="A844" s="11" t="s">
        <v>19152</v>
      </c>
      <c r="B844" s="11" t="s">
        <v>6071</v>
      </c>
      <c r="C844" s="11" t="s">
        <v>18721</v>
      </c>
      <c r="D844" s="12">
        <v>41640</v>
      </c>
      <c r="E844" s="12">
        <v>41640</v>
      </c>
      <c r="F844" s="11"/>
      <c r="G844" s="11" t="s">
        <v>279</v>
      </c>
      <c r="H844" s="11" t="s">
        <v>30</v>
      </c>
      <c r="I844" s="11" t="s">
        <v>21707</v>
      </c>
    </row>
    <row r="845" spans="1:9" ht="13.15" x14ac:dyDescent="0.4">
      <c r="A845" s="11" t="s">
        <v>20114</v>
      </c>
      <c r="B845" s="11" t="s">
        <v>6071</v>
      </c>
      <c r="C845" s="11" t="s">
        <v>18721</v>
      </c>
      <c r="D845" s="12">
        <v>41275</v>
      </c>
      <c r="E845" s="12">
        <v>41275</v>
      </c>
      <c r="F845" s="11"/>
      <c r="G845" s="11" t="s">
        <v>279</v>
      </c>
      <c r="H845" s="11" t="s">
        <v>30</v>
      </c>
      <c r="I845" s="11" t="s">
        <v>20745</v>
      </c>
    </row>
    <row r="846" spans="1:9" ht="13.15" x14ac:dyDescent="0.4">
      <c r="A846" s="11" t="s">
        <v>18824</v>
      </c>
      <c r="B846" s="11" t="s">
        <v>6071</v>
      </c>
      <c r="C846" s="11" t="s">
        <v>18721</v>
      </c>
      <c r="D846" s="12">
        <v>41640</v>
      </c>
      <c r="E846" s="12">
        <v>41640</v>
      </c>
      <c r="F846" s="11"/>
      <c r="G846" s="11" t="s">
        <v>279</v>
      </c>
      <c r="H846" s="11" t="s">
        <v>30</v>
      </c>
      <c r="I846" s="11" t="s">
        <v>22035</v>
      </c>
    </row>
    <row r="847" spans="1:9" ht="13.15" x14ac:dyDescent="0.4">
      <c r="A847" s="11" t="s">
        <v>19378</v>
      </c>
      <c r="B847" s="11" t="s">
        <v>6071</v>
      </c>
      <c r="C847" s="11" t="s">
        <v>18721</v>
      </c>
      <c r="D847" s="12">
        <v>41275</v>
      </c>
      <c r="E847" s="12">
        <v>41275</v>
      </c>
      <c r="F847" s="11"/>
      <c r="G847" s="11" t="s">
        <v>279</v>
      </c>
      <c r="H847" s="11" t="s">
        <v>30</v>
      </c>
      <c r="I847" s="11" t="s">
        <v>21481</v>
      </c>
    </row>
    <row r="848" spans="1:9" ht="13.15" x14ac:dyDescent="0.4">
      <c r="A848" s="11" t="s">
        <v>19638</v>
      </c>
      <c r="B848" s="11" t="s">
        <v>6071</v>
      </c>
      <c r="C848" s="11" t="s">
        <v>18721</v>
      </c>
      <c r="D848" s="12">
        <v>41275</v>
      </c>
      <c r="E848" s="12">
        <v>41275</v>
      </c>
      <c r="F848" s="11"/>
      <c r="G848" s="11" t="s">
        <v>279</v>
      </c>
      <c r="H848" s="11" t="s">
        <v>30</v>
      </c>
      <c r="I848" s="11" t="s">
        <v>21221</v>
      </c>
    </row>
    <row r="849" spans="1:9" ht="13.15" x14ac:dyDescent="0.4">
      <c r="A849" s="11" t="s">
        <v>20239</v>
      </c>
      <c r="B849" s="11" t="s">
        <v>6071</v>
      </c>
      <c r="C849" s="11" t="s">
        <v>18721</v>
      </c>
      <c r="D849" s="12">
        <v>41275</v>
      </c>
      <c r="E849" s="12">
        <v>41275</v>
      </c>
      <c r="F849" s="11"/>
      <c r="G849" s="11" t="s">
        <v>279</v>
      </c>
      <c r="H849" s="11" t="s">
        <v>30</v>
      </c>
      <c r="I849" s="11" t="s">
        <v>20620</v>
      </c>
    </row>
    <row r="850" spans="1:9" ht="13.15" x14ac:dyDescent="0.4">
      <c r="A850" s="11" t="s">
        <v>18809</v>
      </c>
      <c r="B850" s="11" t="s">
        <v>6071</v>
      </c>
      <c r="C850" s="11" t="s">
        <v>18721</v>
      </c>
      <c r="D850" s="12">
        <v>41275</v>
      </c>
      <c r="E850" s="12">
        <v>41275</v>
      </c>
      <c r="F850" s="11"/>
      <c r="G850" s="11" t="s">
        <v>279</v>
      </c>
      <c r="H850" s="11" t="s">
        <v>30</v>
      </c>
      <c r="I850" s="11" t="s">
        <v>22050</v>
      </c>
    </row>
    <row r="851" spans="1:9" ht="13.15" x14ac:dyDescent="0.4">
      <c r="A851" s="11" t="s">
        <v>19770</v>
      </c>
      <c r="B851" s="11" t="s">
        <v>6071</v>
      </c>
      <c r="C851" s="11" t="s">
        <v>18721</v>
      </c>
      <c r="D851" s="12">
        <v>41275</v>
      </c>
      <c r="E851" s="12">
        <v>41275</v>
      </c>
      <c r="F851" s="11"/>
      <c r="G851" s="11" t="s">
        <v>279</v>
      </c>
      <c r="H851" s="11" t="s">
        <v>30</v>
      </c>
      <c r="I851" s="11" t="s">
        <v>21089</v>
      </c>
    </row>
    <row r="852" spans="1:9" ht="13.15" x14ac:dyDescent="0.4">
      <c r="A852" s="11" t="s">
        <v>19910</v>
      </c>
      <c r="B852" s="11" t="s">
        <v>6071</v>
      </c>
      <c r="C852" s="11" t="s">
        <v>18721</v>
      </c>
      <c r="D852" s="12">
        <v>41640</v>
      </c>
      <c r="E852" s="12">
        <v>41640</v>
      </c>
      <c r="F852" s="11"/>
      <c r="G852" s="11" t="s">
        <v>279</v>
      </c>
      <c r="H852" s="11" t="s">
        <v>30</v>
      </c>
      <c r="I852" s="11" t="s">
        <v>20949</v>
      </c>
    </row>
    <row r="853" spans="1:9" ht="13.15" x14ac:dyDescent="0.4">
      <c r="A853" s="11" t="s">
        <v>19268</v>
      </c>
      <c r="B853" s="11" t="s">
        <v>6071</v>
      </c>
      <c r="C853" s="11" t="s">
        <v>18721</v>
      </c>
      <c r="D853" s="12">
        <v>41275</v>
      </c>
      <c r="E853" s="12">
        <v>41275</v>
      </c>
      <c r="F853" s="11"/>
      <c r="G853" s="11" t="s">
        <v>279</v>
      </c>
      <c r="H853" s="11" t="s">
        <v>30</v>
      </c>
      <c r="I853" s="11" t="s">
        <v>21591</v>
      </c>
    </row>
    <row r="854" spans="1:9" ht="13.15" x14ac:dyDescent="0.4">
      <c r="A854" s="11" t="s">
        <v>20270</v>
      </c>
      <c r="B854" s="11" t="s">
        <v>6071</v>
      </c>
      <c r="C854" s="11" t="s">
        <v>18721</v>
      </c>
      <c r="D854" s="12">
        <v>41640</v>
      </c>
      <c r="E854" s="12">
        <v>41640</v>
      </c>
      <c r="F854" s="11"/>
      <c r="G854" s="11" t="s">
        <v>279</v>
      </c>
      <c r="H854" s="11" t="s">
        <v>30</v>
      </c>
      <c r="I854" s="11" t="s">
        <v>20589</v>
      </c>
    </row>
    <row r="855" spans="1:9" ht="13.15" x14ac:dyDescent="0.4">
      <c r="A855" s="11" t="s">
        <v>19829</v>
      </c>
      <c r="B855" s="11" t="s">
        <v>6071</v>
      </c>
      <c r="C855" s="11" t="s">
        <v>18721</v>
      </c>
      <c r="D855" s="12">
        <v>41275</v>
      </c>
      <c r="E855" s="12">
        <v>41275</v>
      </c>
      <c r="F855" s="11"/>
      <c r="G855" s="11" t="s">
        <v>279</v>
      </c>
      <c r="H855" s="11" t="s">
        <v>30</v>
      </c>
      <c r="I855" s="11" t="s">
        <v>21030</v>
      </c>
    </row>
    <row r="856" spans="1:9" ht="13.15" x14ac:dyDescent="0.4">
      <c r="A856" s="11" t="s">
        <v>20093</v>
      </c>
      <c r="B856" s="11" t="s">
        <v>6071</v>
      </c>
      <c r="C856" s="11" t="s">
        <v>18721</v>
      </c>
      <c r="D856" s="12">
        <v>41640</v>
      </c>
      <c r="E856" s="12">
        <v>41640</v>
      </c>
      <c r="F856" s="11"/>
      <c r="G856" s="11" t="s">
        <v>279</v>
      </c>
      <c r="H856" s="11" t="s">
        <v>30</v>
      </c>
      <c r="I856" s="11" t="s">
        <v>20766</v>
      </c>
    </row>
    <row r="857" spans="1:9" ht="13.15" x14ac:dyDescent="0.4">
      <c r="A857" s="11" t="s">
        <v>20016</v>
      </c>
      <c r="B857" s="11" t="s">
        <v>6071</v>
      </c>
      <c r="C857" s="11" t="s">
        <v>18721</v>
      </c>
      <c r="D857" s="12">
        <v>41275</v>
      </c>
      <c r="E857" s="12">
        <v>41275</v>
      </c>
      <c r="F857" s="11"/>
      <c r="G857" s="11" t="s">
        <v>279</v>
      </c>
      <c r="H857" s="11" t="s">
        <v>30</v>
      </c>
      <c r="I857" s="11" t="s">
        <v>20843</v>
      </c>
    </row>
    <row r="858" spans="1:9" ht="13.15" x14ac:dyDescent="0.4">
      <c r="A858" s="11" t="s">
        <v>20071</v>
      </c>
      <c r="B858" s="11" t="s">
        <v>6071</v>
      </c>
      <c r="C858" s="11" t="s">
        <v>18721</v>
      </c>
      <c r="D858" s="12">
        <v>41640</v>
      </c>
      <c r="E858" s="12">
        <v>41640</v>
      </c>
      <c r="F858" s="11"/>
      <c r="G858" s="11" t="s">
        <v>279</v>
      </c>
      <c r="H858" s="11" t="s">
        <v>30</v>
      </c>
      <c r="I858" s="11" t="s">
        <v>20788</v>
      </c>
    </row>
    <row r="859" spans="1:9" ht="13.15" x14ac:dyDescent="0.4">
      <c r="A859" s="11" t="s">
        <v>19308</v>
      </c>
      <c r="B859" s="11" t="s">
        <v>6071</v>
      </c>
      <c r="C859" s="11" t="s">
        <v>18721</v>
      </c>
      <c r="D859" s="12">
        <v>41640</v>
      </c>
      <c r="E859" s="12">
        <v>41640</v>
      </c>
      <c r="F859" s="11"/>
      <c r="G859" s="11" t="s">
        <v>279</v>
      </c>
      <c r="H859" s="11" t="s">
        <v>30</v>
      </c>
      <c r="I859" s="11" t="s">
        <v>21551</v>
      </c>
    </row>
    <row r="860" spans="1:9" ht="13.15" x14ac:dyDescent="0.4">
      <c r="A860" s="11" t="s">
        <v>19190</v>
      </c>
      <c r="B860" s="11" t="s">
        <v>6071</v>
      </c>
      <c r="C860" s="11" t="s">
        <v>18721</v>
      </c>
      <c r="D860" s="12">
        <v>41275</v>
      </c>
      <c r="E860" s="12">
        <v>41275</v>
      </c>
      <c r="F860" s="11"/>
      <c r="G860" s="11" t="s">
        <v>279</v>
      </c>
      <c r="H860" s="11" t="s">
        <v>30</v>
      </c>
      <c r="I860" s="11" t="s">
        <v>21669</v>
      </c>
    </row>
    <row r="861" spans="1:9" ht="13.15" x14ac:dyDescent="0.4">
      <c r="A861" s="11" t="s">
        <v>19285</v>
      </c>
      <c r="B861" s="11" t="s">
        <v>6071</v>
      </c>
      <c r="C861" s="11" t="s">
        <v>18721</v>
      </c>
      <c r="D861" s="12">
        <v>41275</v>
      </c>
      <c r="E861" s="12">
        <v>41275</v>
      </c>
      <c r="F861" s="11"/>
      <c r="G861" s="11" t="s">
        <v>279</v>
      </c>
      <c r="H861" s="11" t="s">
        <v>30</v>
      </c>
      <c r="I861" s="11" t="s">
        <v>21574</v>
      </c>
    </row>
    <row r="862" spans="1:9" ht="13.15" x14ac:dyDescent="0.4">
      <c r="A862" s="11" t="s">
        <v>19453</v>
      </c>
      <c r="B862" s="11" t="s">
        <v>6071</v>
      </c>
      <c r="C862" s="11" t="s">
        <v>18721</v>
      </c>
      <c r="D862" s="12">
        <v>41275</v>
      </c>
      <c r="E862" s="12">
        <v>41275</v>
      </c>
      <c r="F862" s="11"/>
      <c r="G862" s="11" t="s">
        <v>279</v>
      </c>
      <c r="H862" s="11" t="s">
        <v>30</v>
      </c>
      <c r="I862" s="11" t="s">
        <v>21406</v>
      </c>
    </row>
    <row r="863" spans="1:9" ht="13.15" x14ac:dyDescent="0.4">
      <c r="A863" s="11" t="s">
        <v>19022</v>
      </c>
      <c r="B863" s="11" t="s">
        <v>6071</v>
      </c>
      <c r="C863" s="11" t="s">
        <v>18721</v>
      </c>
      <c r="D863" s="12">
        <v>41275</v>
      </c>
      <c r="E863" s="12">
        <v>41275</v>
      </c>
      <c r="F863" s="11"/>
      <c r="G863" s="11" t="s">
        <v>279</v>
      </c>
      <c r="H863" s="11" t="s">
        <v>30</v>
      </c>
      <c r="I863" s="11" t="s">
        <v>21837</v>
      </c>
    </row>
    <row r="864" spans="1:9" ht="13.15" x14ac:dyDescent="0.4">
      <c r="A864" s="11" t="s">
        <v>19602</v>
      </c>
      <c r="B864" s="11" t="s">
        <v>6071</v>
      </c>
      <c r="C864" s="11" t="s">
        <v>18721</v>
      </c>
      <c r="D864" s="12">
        <v>41275</v>
      </c>
      <c r="E864" s="12">
        <v>41275</v>
      </c>
      <c r="F864" s="11"/>
      <c r="G864" s="11" t="s">
        <v>279</v>
      </c>
      <c r="H864" s="11" t="s">
        <v>30</v>
      </c>
      <c r="I864" s="11" t="s">
        <v>21257</v>
      </c>
    </row>
    <row r="865" spans="1:9" ht="13.15" x14ac:dyDescent="0.4">
      <c r="A865" s="11" t="s">
        <v>19396</v>
      </c>
      <c r="B865" s="11" t="s">
        <v>6071</v>
      </c>
      <c r="C865" s="11" t="s">
        <v>18721</v>
      </c>
      <c r="D865" s="12">
        <v>41275</v>
      </c>
      <c r="E865" s="12">
        <v>41275</v>
      </c>
      <c r="F865" s="11"/>
      <c r="G865" s="11" t="s">
        <v>279</v>
      </c>
      <c r="H865" s="11" t="s">
        <v>30</v>
      </c>
      <c r="I865" s="11" t="s">
        <v>21463</v>
      </c>
    </row>
    <row r="866" spans="1:9" ht="13.15" x14ac:dyDescent="0.4">
      <c r="A866" s="11" t="s">
        <v>19128</v>
      </c>
      <c r="B866" s="11" t="s">
        <v>6071</v>
      </c>
      <c r="C866" s="11" t="s">
        <v>18721</v>
      </c>
      <c r="D866" s="12">
        <v>40909</v>
      </c>
      <c r="E866" s="12">
        <v>40909</v>
      </c>
      <c r="F866" s="11"/>
      <c r="G866" s="11" t="s">
        <v>279</v>
      </c>
      <c r="H866" s="11" t="s">
        <v>30</v>
      </c>
      <c r="I866" s="11" t="s">
        <v>21731</v>
      </c>
    </row>
    <row r="867" spans="1:9" ht="13.15" x14ac:dyDescent="0.4">
      <c r="A867" s="11" t="s">
        <v>20303</v>
      </c>
      <c r="B867" s="11" t="s">
        <v>6071</v>
      </c>
      <c r="C867" s="11" t="s">
        <v>18721</v>
      </c>
      <c r="D867" s="12">
        <v>40909</v>
      </c>
      <c r="E867" s="12">
        <v>40909</v>
      </c>
      <c r="F867" s="11"/>
      <c r="G867" s="11" t="s">
        <v>279</v>
      </c>
      <c r="H867" s="11" t="s">
        <v>30</v>
      </c>
      <c r="I867" s="11" t="s">
        <v>20556</v>
      </c>
    </row>
    <row r="868" spans="1:9" ht="13.15" x14ac:dyDescent="0.4">
      <c r="A868" s="11" t="s">
        <v>19753</v>
      </c>
      <c r="B868" s="11" t="s">
        <v>6071</v>
      </c>
      <c r="C868" s="11" t="s">
        <v>18721</v>
      </c>
      <c r="D868" s="12">
        <v>40909</v>
      </c>
      <c r="E868" s="12">
        <v>40909</v>
      </c>
      <c r="F868" s="11"/>
      <c r="G868" s="11" t="s">
        <v>279</v>
      </c>
      <c r="H868" s="11" t="s">
        <v>30</v>
      </c>
      <c r="I868" s="11" t="s">
        <v>21106</v>
      </c>
    </row>
    <row r="869" spans="1:9" ht="13.15" x14ac:dyDescent="0.4">
      <c r="A869" s="11" t="s">
        <v>19086</v>
      </c>
      <c r="B869" s="11" t="s">
        <v>6071</v>
      </c>
      <c r="C869" s="11" t="s">
        <v>18721</v>
      </c>
      <c r="D869" s="12">
        <v>40909</v>
      </c>
      <c r="E869" s="12">
        <v>40909</v>
      </c>
      <c r="F869" s="11"/>
      <c r="G869" s="11" t="s">
        <v>279</v>
      </c>
      <c r="H869" s="11" t="s">
        <v>30</v>
      </c>
      <c r="I869" s="11" t="s">
        <v>21773</v>
      </c>
    </row>
    <row r="870" spans="1:9" ht="13.15" x14ac:dyDescent="0.4">
      <c r="A870" s="11" t="s">
        <v>20429</v>
      </c>
      <c r="B870" s="11" t="s">
        <v>6071</v>
      </c>
      <c r="C870" s="11" t="s">
        <v>18721</v>
      </c>
      <c r="D870" s="12">
        <v>40909</v>
      </c>
      <c r="E870" s="12">
        <v>40909</v>
      </c>
      <c r="F870" s="11"/>
      <c r="G870" s="11" t="s">
        <v>279</v>
      </c>
      <c r="H870" s="11" t="s">
        <v>30</v>
      </c>
      <c r="I870" s="11" t="s">
        <v>20430</v>
      </c>
    </row>
    <row r="871" spans="1:9" ht="13.15" x14ac:dyDescent="0.4">
      <c r="A871" s="11" t="s">
        <v>19853</v>
      </c>
      <c r="B871" s="11" t="s">
        <v>6071</v>
      </c>
      <c r="C871" s="11" t="s">
        <v>18721</v>
      </c>
      <c r="D871" s="12">
        <v>40909</v>
      </c>
      <c r="E871" s="12">
        <v>40909</v>
      </c>
      <c r="F871" s="11"/>
      <c r="G871" s="11" t="s">
        <v>279</v>
      </c>
      <c r="H871" s="11" t="s">
        <v>30</v>
      </c>
      <c r="I871" s="11" t="s">
        <v>21006</v>
      </c>
    </row>
    <row r="872" spans="1:9" ht="13.15" x14ac:dyDescent="0.4">
      <c r="A872" s="11" t="s">
        <v>19725</v>
      </c>
      <c r="B872" s="11" t="s">
        <v>6071</v>
      </c>
      <c r="C872" s="11" t="s">
        <v>18721</v>
      </c>
      <c r="D872" s="12">
        <v>40909</v>
      </c>
      <c r="E872" s="12">
        <v>40909</v>
      </c>
      <c r="F872" s="11"/>
      <c r="G872" s="11" t="s">
        <v>279</v>
      </c>
      <c r="H872" s="11" t="s">
        <v>30</v>
      </c>
      <c r="I872" s="11" t="s">
        <v>21134</v>
      </c>
    </row>
    <row r="873" spans="1:9" ht="13.15" x14ac:dyDescent="0.4">
      <c r="A873" s="11" t="s">
        <v>20422</v>
      </c>
      <c r="B873" s="11" t="s">
        <v>6071</v>
      </c>
      <c r="C873" s="11" t="s">
        <v>18721</v>
      </c>
      <c r="D873" s="12">
        <v>40909</v>
      </c>
      <c r="E873" s="12">
        <v>40909</v>
      </c>
      <c r="F873" s="11"/>
      <c r="G873" s="11" t="s">
        <v>279</v>
      </c>
      <c r="H873" s="11" t="s">
        <v>30</v>
      </c>
      <c r="I873" s="11" t="s">
        <v>20437</v>
      </c>
    </row>
    <row r="874" spans="1:9" ht="13.15" x14ac:dyDescent="0.4">
      <c r="A874" s="11" t="s">
        <v>20241</v>
      </c>
      <c r="B874" s="11" t="s">
        <v>6071</v>
      </c>
      <c r="C874" s="11" t="s">
        <v>18721</v>
      </c>
      <c r="D874" s="12">
        <v>40909</v>
      </c>
      <c r="E874" s="12">
        <v>40909</v>
      </c>
      <c r="F874" s="11"/>
      <c r="G874" s="11" t="s">
        <v>279</v>
      </c>
      <c r="H874" s="11" t="s">
        <v>30</v>
      </c>
      <c r="I874" s="11" t="s">
        <v>20618</v>
      </c>
    </row>
    <row r="875" spans="1:9" ht="13.15" x14ac:dyDescent="0.4">
      <c r="A875" s="11" t="s">
        <v>20027</v>
      </c>
      <c r="B875" s="11" t="s">
        <v>6071</v>
      </c>
      <c r="C875" s="11" t="s">
        <v>18721</v>
      </c>
      <c r="D875" s="12">
        <v>40909</v>
      </c>
      <c r="E875" s="12">
        <v>40909</v>
      </c>
      <c r="F875" s="11"/>
      <c r="G875" s="11" t="s">
        <v>279</v>
      </c>
      <c r="H875" s="11" t="s">
        <v>30</v>
      </c>
      <c r="I875" s="11" t="s">
        <v>20832</v>
      </c>
    </row>
    <row r="876" spans="1:9" ht="13.15" x14ac:dyDescent="0.4">
      <c r="A876" s="11" t="s">
        <v>18784</v>
      </c>
      <c r="B876" s="11" t="s">
        <v>6071</v>
      </c>
      <c r="C876" s="11" t="s">
        <v>18721</v>
      </c>
      <c r="D876" s="12">
        <v>40909</v>
      </c>
      <c r="E876" s="12">
        <v>40909</v>
      </c>
      <c r="F876" s="11"/>
      <c r="G876" s="11" t="s">
        <v>279</v>
      </c>
      <c r="H876" s="11" t="s">
        <v>30</v>
      </c>
      <c r="I876" s="11" t="s">
        <v>22075</v>
      </c>
    </row>
    <row r="877" spans="1:9" ht="13.15" x14ac:dyDescent="0.4">
      <c r="A877" s="11" t="s">
        <v>19327</v>
      </c>
      <c r="B877" s="11" t="s">
        <v>6071</v>
      </c>
      <c r="C877" s="11" t="s">
        <v>18721</v>
      </c>
      <c r="D877" s="12">
        <v>41275</v>
      </c>
      <c r="E877" s="12">
        <v>41275</v>
      </c>
      <c r="F877" s="11"/>
      <c r="G877" s="11" t="s">
        <v>279</v>
      </c>
      <c r="H877" s="11" t="s">
        <v>30</v>
      </c>
      <c r="I877" s="11" t="s">
        <v>21532</v>
      </c>
    </row>
    <row r="878" spans="1:9" ht="13.15" x14ac:dyDescent="0.4">
      <c r="A878" s="11" t="s">
        <v>19293</v>
      </c>
      <c r="B878" s="11" t="s">
        <v>6071</v>
      </c>
      <c r="C878" s="11" t="s">
        <v>18721</v>
      </c>
      <c r="D878" s="12">
        <v>41640</v>
      </c>
      <c r="E878" s="12">
        <v>41640</v>
      </c>
      <c r="F878" s="11"/>
      <c r="G878" s="11" t="s">
        <v>279</v>
      </c>
      <c r="H878" s="11" t="s">
        <v>30</v>
      </c>
      <c r="I878" s="11" t="s">
        <v>21566</v>
      </c>
    </row>
    <row r="879" spans="1:9" ht="13.15" x14ac:dyDescent="0.4">
      <c r="A879" s="11" t="s">
        <v>19430</v>
      </c>
      <c r="B879" s="11" t="s">
        <v>6071</v>
      </c>
      <c r="C879" s="11" t="s">
        <v>18721</v>
      </c>
      <c r="D879" s="12">
        <v>41640</v>
      </c>
      <c r="E879" s="12">
        <v>41640</v>
      </c>
      <c r="F879" s="11"/>
      <c r="G879" s="11" t="s">
        <v>279</v>
      </c>
      <c r="H879" s="11" t="s">
        <v>30</v>
      </c>
      <c r="I879" s="11" t="s">
        <v>21429</v>
      </c>
    </row>
    <row r="880" spans="1:9" ht="13.15" x14ac:dyDescent="0.4">
      <c r="A880" s="11" t="s">
        <v>19691</v>
      </c>
      <c r="B880" s="11" t="s">
        <v>6071</v>
      </c>
      <c r="C880" s="11" t="s">
        <v>18721</v>
      </c>
      <c r="D880" s="12">
        <v>41275</v>
      </c>
      <c r="E880" s="12">
        <v>41275</v>
      </c>
      <c r="F880" s="11"/>
      <c r="G880" s="11" t="s">
        <v>279</v>
      </c>
      <c r="H880" s="11" t="s">
        <v>30</v>
      </c>
      <c r="I880" s="11" t="s">
        <v>21168</v>
      </c>
    </row>
    <row r="881" spans="1:9" ht="13.15" x14ac:dyDescent="0.4">
      <c r="A881" s="11" t="s">
        <v>19234</v>
      </c>
      <c r="B881" s="11" t="s">
        <v>6071</v>
      </c>
      <c r="C881" s="11" t="s">
        <v>18721</v>
      </c>
      <c r="D881" s="12">
        <v>41640</v>
      </c>
      <c r="E881" s="12">
        <v>41640</v>
      </c>
      <c r="F881" s="11"/>
      <c r="G881" s="11" t="s">
        <v>279</v>
      </c>
      <c r="H881" s="11" t="s">
        <v>30</v>
      </c>
      <c r="I881" s="11" t="s">
        <v>21625</v>
      </c>
    </row>
    <row r="882" spans="1:9" ht="13.15" x14ac:dyDescent="0.4">
      <c r="A882" s="11" t="s">
        <v>19775</v>
      </c>
      <c r="B882" s="11" t="s">
        <v>6071</v>
      </c>
      <c r="C882" s="11" t="s">
        <v>18721</v>
      </c>
      <c r="D882" s="12">
        <v>41275</v>
      </c>
      <c r="E882" s="12">
        <v>41275</v>
      </c>
      <c r="F882" s="11"/>
      <c r="G882" s="11" t="s">
        <v>279</v>
      </c>
      <c r="H882" s="11" t="s">
        <v>30</v>
      </c>
      <c r="I882" s="11" t="s">
        <v>21084</v>
      </c>
    </row>
    <row r="883" spans="1:9" ht="13.15" x14ac:dyDescent="0.4">
      <c r="A883" s="11" t="s">
        <v>19629</v>
      </c>
      <c r="B883" s="11" t="s">
        <v>6071</v>
      </c>
      <c r="C883" s="11" t="s">
        <v>18721</v>
      </c>
      <c r="D883" s="12">
        <v>41275</v>
      </c>
      <c r="E883" s="12">
        <v>41275</v>
      </c>
      <c r="F883" s="11"/>
      <c r="G883" s="11" t="s">
        <v>279</v>
      </c>
      <c r="H883" s="11" t="s">
        <v>30</v>
      </c>
      <c r="I883" s="11" t="s">
        <v>21230</v>
      </c>
    </row>
    <row r="884" spans="1:9" ht="13.15" x14ac:dyDescent="0.4">
      <c r="A884" s="11" t="s">
        <v>20275</v>
      </c>
      <c r="B884" s="11" t="s">
        <v>6071</v>
      </c>
      <c r="C884" s="11" t="s">
        <v>18721</v>
      </c>
      <c r="D884" s="12">
        <v>41640</v>
      </c>
      <c r="E884" s="12">
        <v>41640</v>
      </c>
      <c r="F884" s="11"/>
      <c r="G884" s="11" t="s">
        <v>279</v>
      </c>
      <c r="H884" s="11" t="s">
        <v>30</v>
      </c>
      <c r="I884" s="11" t="s">
        <v>20584</v>
      </c>
    </row>
    <row r="885" spans="1:9" ht="13.15" x14ac:dyDescent="0.4">
      <c r="A885" s="11" t="s">
        <v>18849</v>
      </c>
      <c r="B885" s="11" t="s">
        <v>6071</v>
      </c>
      <c r="C885" s="11" t="s">
        <v>18721</v>
      </c>
      <c r="D885" s="12">
        <v>41640</v>
      </c>
      <c r="E885" s="12">
        <v>41640</v>
      </c>
      <c r="F885" s="11"/>
      <c r="G885" s="11" t="s">
        <v>279</v>
      </c>
      <c r="H885" s="11" t="s">
        <v>30</v>
      </c>
      <c r="I885" s="11" t="s">
        <v>22010</v>
      </c>
    </row>
    <row r="886" spans="1:9" ht="13.15" x14ac:dyDescent="0.4">
      <c r="A886" s="11" t="s">
        <v>19341</v>
      </c>
      <c r="B886" s="11" t="s">
        <v>6071</v>
      </c>
      <c r="C886" s="11" t="s">
        <v>18721</v>
      </c>
      <c r="D886" s="12">
        <v>41275</v>
      </c>
      <c r="E886" s="12">
        <v>41275</v>
      </c>
      <c r="F886" s="11"/>
      <c r="G886" s="11" t="s">
        <v>279</v>
      </c>
      <c r="H886" s="11" t="s">
        <v>30</v>
      </c>
      <c r="I886" s="11" t="s">
        <v>21518</v>
      </c>
    </row>
    <row r="887" spans="1:9" ht="13.15" x14ac:dyDescent="0.4">
      <c r="A887" s="11" t="s">
        <v>20380</v>
      </c>
      <c r="B887" s="11" t="s">
        <v>6071</v>
      </c>
      <c r="C887" s="11" t="s">
        <v>18721</v>
      </c>
      <c r="D887" s="12">
        <v>41640</v>
      </c>
      <c r="E887" s="12">
        <v>41640</v>
      </c>
      <c r="F887" s="11"/>
      <c r="G887" s="11" t="s">
        <v>279</v>
      </c>
      <c r="H887" s="11" t="s">
        <v>30</v>
      </c>
      <c r="I887" s="11" t="s">
        <v>20479</v>
      </c>
    </row>
    <row r="888" spans="1:9" ht="13.15" x14ac:dyDescent="0.4">
      <c r="A888" s="11" t="s">
        <v>19870</v>
      </c>
      <c r="B888" s="11" t="s">
        <v>6071</v>
      </c>
      <c r="C888" s="11" t="s">
        <v>18721</v>
      </c>
      <c r="D888" s="12">
        <v>41275</v>
      </c>
      <c r="E888" s="12">
        <v>41275</v>
      </c>
      <c r="F888" s="11"/>
      <c r="G888" s="11" t="s">
        <v>279</v>
      </c>
      <c r="H888" s="11" t="s">
        <v>30</v>
      </c>
      <c r="I888" s="11" t="s">
        <v>20989</v>
      </c>
    </row>
    <row r="889" spans="1:9" ht="13.15" x14ac:dyDescent="0.4">
      <c r="A889" s="11" t="s">
        <v>19365</v>
      </c>
      <c r="B889" s="11" t="s">
        <v>6071</v>
      </c>
      <c r="C889" s="11" t="s">
        <v>18721</v>
      </c>
      <c r="D889" s="12">
        <v>41640</v>
      </c>
      <c r="E889" s="12">
        <v>41640</v>
      </c>
      <c r="F889" s="11"/>
      <c r="G889" s="11" t="s">
        <v>279</v>
      </c>
      <c r="H889" s="11" t="s">
        <v>30</v>
      </c>
      <c r="I889" s="11" t="s">
        <v>21494</v>
      </c>
    </row>
    <row r="890" spans="1:9" ht="13.15" x14ac:dyDescent="0.4">
      <c r="A890" s="11" t="s">
        <v>19874</v>
      </c>
      <c r="B890" s="11" t="s">
        <v>6071</v>
      </c>
      <c r="C890" s="11" t="s">
        <v>18721</v>
      </c>
      <c r="D890" s="12">
        <v>41640</v>
      </c>
      <c r="E890" s="12">
        <v>41640</v>
      </c>
      <c r="F890" s="11"/>
      <c r="G890" s="11" t="s">
        <v>279</v>
      </c>
      <c r="H890" s="11" t="s">
        <v>30</v>
      </c>
      <c r="I890" s="11" t="s">
        <v>20985</v>
      </c>
    </row>
    <row r="891" spans="1:9" ht="13.15" x14ac:dyDescent="0.4">
      <c r="A891" s="11" t="s">
        <v>18814</v>
      </c>
      <c r="B891" s="11" t="s">
        <v>6071</v>
      </c>
      <c r="C891" s="11" t="s">
        <v>18721</v>
      </c>
      <c r="D891" s="12">
        <v>41640</v>
      </c>
      <c r="E891" s="12">
        <v>41640</v>
      </c>
      <c r="F891" s="11"/>
      <c r="G891" s="11" t="s">
        <v>279</v>
      </c>
      <c r="H891" s="11" t="s">
        <v>30</v>
      </c>
      <c r="I891" s="11" t="s">
        <v>22045</v>
      </c>
    </row>
    <row r="892" spans="1:9" ht="13.15" x14ac:dyDescent="0.4">
      <c r="A892" s="11" t="s">
        <v>18764</v>
      </c>
      <c r="B892" s="11" t="s">
        <v>6071</v>
      </c>
      <c r="C892" s="11" t="s">
        <v>18721</v>
      </c>
      <c r="D892" s="12">
        <v>41275</v>
      </c>
      <c r="E892" s="12">
        <v>41275</v>
      </c>
      <c r="F892" s="11"/>
      <c r="G892" s="11" t="s">
        <v>279</v>
      </c>
      <c r="H892" s="11" t="s">
        <v>30</v>
      </c>
      <c r="I892" s="11" t="s">
        <v>22095</v>
      </c>
    </row>
    <row r="893" spans="1:9" ht="13.15" x14ac:dyDescent="0.4">
      <c r="A893" s="11" t="s">
        <v>19382</v>
      </c>
      <c r="B893" s="11" t="s">
        <v>6071</v>
      </c>
      <c r="C893" s="11" t="s">
        <v>18721</v>
      </c>
      <c r="D893" s="12">
        <v>41640</v>
      </c>
      <c r="E893" s="12">
        <v>41640</v>
      </c>
      <c r="F893" s="11"/>
      <c r="G893" s="11" t="s">
        <v>279</v>
      </c>
      <c r="H893" s="11" t="s">
        <v>30</v>
      </c>
      <c r="I893" s="11" t="s">
        <v>21477</v>
      </c>
    </row>
    <row r="894" spans="1:9" ht="13.15" x14ac:dyDescent="0.4">
      <c r="A894" s="11" t="s">
        <v>19493</v>
      </c>
      <c r="B894" s="11" t="s">
        <v>6071</v>
      </c>
      <c r="C894" s="11" t="s">
        <v>18721</v>
      </c>
      <c r="D894" s="12">
        <v>41275</v>
      </c>
      <c r="E894" s="12">
        <v>41275</v>
      </c>
      <c r="F894" s="11"/>
      <c r="G894" s="11" t="s">
        <v>279</v>
      </c>
      <c r="H894" s="11" t="s">
        <v>30</v>
      </c>
      <c r="I894" s="11" t="s">
        <v>21366</v>
      </c>
    </row>
    <row r="895" spans="1:9" ht="13.15" x14ac:dyDescent="0.4">
      <c r="A895" s="11" t="s">
        <v>18753</v>
      </c>
      <c r="B895" s="11" t="s">
        <v>6071</v>
      </c>
      <c r="C895" s="11" t="s">
        <v>18721</v>
      </c>
      <c r="D895" s="12">
        <v>41640</v>
      </c>
      <c r="E895" s="12">
        <v>41640</v>
      </c>
      <c r="F895" s="11"/>
      <c r="G895" s="11" t="s">
        <v>279</v>
      </c>
      <c r="H895" s="11" t="s">
        <v>30</v>
      </c>
      <c r="I895" s="11" t="s">
        <v>22106</v>
      </c>
    </row>
    <row r="896" spans="1:9" ht="13.15" x14ac:dyDescent="0.4">
      <c r="A896" s="11" t="s">
        <v>19815</v>
      </c>
      <c r="B896" s="11" t="s">
        <v>6071</v>
      </c>
      <c r="C896" s="11" t="s">
        <v>18721</v>
      </c>
      <c r="D896" s="12">
        <v>41275</v>
      </c>
      <c r="E896" s="12">
        <v>41275</v>
      </c>
      <c r="F896" s="11"/>
      <c r="G896" s="11" t="s">
        <v>279</v>
      </c>
      <c r="H896" s="11" t="s">
        <v>30</v>
      </c>
      <c r="I896" s="11" t="s">
        <v>21044</v>
      </c>
    </row>
    <row r="897" spans="1:9" ht="13.15" x14ac:dyDescent="0.4">
      <c r="A897" s="11" t="s">
        <v>20259</v>
      </c>
      <c r="B897" s="11" t="s">
        <v>6071</v>
      </c>
      <c r="C897" s="11" t="s">
        <v>18721</v>
      </c>
      <c r="D897" s="12">
        <v>41640</v>
      </c>
      <c r="E897" s="12">
        <v>41640</v>
      </c>
      <c r="F897" s="11"/>
      <c r="G897" s="11" t="s">
        <v>279</v>
      </c>
      <c r="H897" s="11" t="s">
        <v>30</v>
      </c>
      <c r="I897" s="11" t="s">
        <v>20600</v>
      </c>
    </row>
    <row r="898" spans="1:9" ht="13.15" x14ac:dyDescent="0.4">
      <c r="A898" s="11" t="s">
        <v>20418</v>
      </c>
      <c r="B898" s="11" t="s">
        <v>6071</v>
      </c>
      <c r="C898" s="11" t="s">
        <v>18721</v>
      </c>
      <c r="D898" s="12">
        <v>41275</v>
      </c>
      <c r="E898" s="12">
        <v>41275</v>
      </c>
      <c r="F898" s="11"/>
      <c r="G898" s="11" t="s">
        <v>279</v>
      </c>
      <c r="H898" s="11" t="s">
        <v>30</v>
      </c>
      <c r="I898" s="11" t="s">
        <v>20441</v>
      </c>
    </row>
    <row r="899" spans="1:9" ht="13.15" x14ac:dyDescent="0.4">
      <c r="A899" s="11" t="s">
        <v>19881</v>
      </c>
      <c r="B899" s="11" t="s">
        <v>6071</v>
      </c>
      <c r="C899" s="11" t="s">
        <v>18721</v>
      </c>
      <c r="D899" s="12">
        <v>41640</v>
      </c>
      <c r="E899" s="12">
        <v>41640</v>
      </c>
      <c r="F899" s="11"/>
      <c r="G899" s="11" t="s">
        <v>279</v>
      </c>
      <c r="H899" s="11" t="s">
        <v>30</v>
      </c>
      <c r="I899" s="11" t="s">
        <v>20978</v>
      </c>
    </row>
    <row r="900" spans="1:9" ht="13.15" x14ac:dyDescent="0.4">
      <c r="A900" s="11" t="s">
        <v>19383</v>
      </c>
      <c r="B900" s="11" t="s">
        <v>6071</v>
      </c>
      <c r="C900" s="11" t="s">
        <v>18721</v>
      </c>
      <c r="D900" s="12">
        <v>41275</v>
      </c>
      <c r="E900" s="12">
        <v>41275</v>
      </c>
      <c r="F900" s="11"/>
      <c r="G900" s="11" t="s">
        <v>279</v>
      </c>
      <c r="H900" s="11" t="s">
        <v>30</v>
      </c>
      <c r="I900" s="11" t="s">
        <v>21476</v>
      </c>
    </row>
    <row r="901" spans="1:9" ht="13.15" x14ac:dyDescent="0.4">
      <c r="A901" s="11" t="s">
        <v>20198</v>
      </c>
      <c r="B901" s="11" t="s">
        <v>6071</v>
      </c>
      <c r="C901" s="11" t="s">
        <v>18721</v>
      </c>
      <c r="D901" s="12">
        <v>41640</v>
      </c>
      <c r="E901" s="12">
        <v>41640</v>
      </c>
      <c r="F901" s="11"/>
      <c r="G901" s="11" t="s">
        <v>279</v>
      </c>
      <c r="H901" s="11" t="s">
        <v>30</v>
      </c>
      <c r="I901" s="11" t="s">
        <v>20661</v>
      </c>
    </row>
    <row r="902" spans="1:9" ht="13.15" x14ac:dyDescent="0.4">
      <c r="A902" s="11" t="s">
        <v>18823</v>
      </c>
      <c r="B902" s="11" t="s">
        <v>6071</v>
      </c>
      <c r="C902" s="11" t="s">
        <v>18721</v>
      </c>
      <c r="D902" s="12">
        <v>41275</v>
      </c>
      <c r="E902" s="12">
        <v>41275</v>
      </c>
      <c r="F902" s="11"/>
      <c r="G902" s="11" t="s">
        <v>279</v>
      </c>
      <c r="H902" s="11" t="s">
        <v>30</v>
      </c>
      <c r="I902" s="11" t="s">
        <v>22036</v>
      </c>
    </row>
    <row r="903" spans="1:9" ht="13.15" x14ac:dyDescent="0.4">
      <c r="A903" s="11" t="s">
        <v>19554</v>
      </c>
      <c r="B903" s="11" t="s">
        <v>6071</v>
      </c>
      <c r="C903" s="11" t="s">
        <v>18721</v>
      </c>
      <c r="D903" s="12">
        <v>41640</v>
      </c>
      <c r="E903" s="12">
        <v>41640</v>
      </c>
      <c r="F903" s="11"/>
      <c r="G903" s="11" t="s">
        <v>279</v>
      </c>
      <c r="H903" s="11" t="s">
        <v>30</v>
      </c>
      <c r="I903" s="11" t="s">
        <v>21305</v>
      </c>
    </row>
    <row r="904" spans="1:9" ht="13.15" x14ac:dyDescent="0.4">
      <c r="A904" s="11" t="s">
        <v>19208</v>
      </c>
      <c r="B904" s="11" t="s">
        <v>6071</v>
      </c>
      <c r="C904" s="11" t="s">
        <v>18721</v>
      </c>
      <c r="D904" s="12">
        <v>41275</v>
      </c>
      <c r="E904" s="12">
        <v>41275</v>
      </c>
      <c r="F904" s="11"/>
      <c r="G904" s="11" t="s">
        <v>279</v>
      </c>
      <c r="H904" s="11" t="s">
        <v>30</v>
      </c>
      <c r="I904" s="11" t="s">
        <v>21651</v>
      </c>
    </row>
    <row r="905" spans="1:9" ht="13.15" x14ac:dyDescent="0.4">
      <c r="A905" s="11" t="s">
        <v>19743</v>
      </c>
      <c r="B905" s="11" t="s">
        <v>6071</v>
      </c>
      <c r="C905" s="11" t="s">
        <v>18721</v>
      </c>
      <c r="D905" s="12">
        <v>41275</v>
      </c>
      <c r="E905" s="12">
        <v>41275</v>
      </c>
      <c r="F905" s="11"/>
      <c r="G905" s="11" t="s">
        <v>279</v>
      </c>
      <c r="H905" s="11" t="s">
        <v>30</v>
      </c>
      <c r="I905" s="11" t="s">
        <v>21116</v>
      </c>
    </row>
    <row r="906" spans="1:9" ht="13.15" x14ac:dyDescent="0.4">
      <c r="A906" s="11" t="s">
        <v>19807</v>
      </c>
      <c r="B906" s="11" t="s">
        <v>6071</v>
      </c>
      <c r="C906" s="11" t="s">
        <v>18721</v>
      </c>
      <c r="D906" s="12">
        <v>41275</v>
      </c>
      <c r="E906" s="12">
        <v>41275</v>
      </c>
      <c r="F906" s="11"/>
      <c r="G906" s="11" t="s">
        <v>279</v>
      </c>
      <c r="H906" s="11" t="s">
        <v>30</v>
      </c>
      <c r="I906" s="11" t="s">
        <v>21052</v>
      </c>
    </row>
    <row r="907" spans="1:9" ht="13.15" x14ac:dyDescent="0.4">
      <c r="A907" s="11" t="s">
        <v>19915</v>
      </c>
      <c r="B907" s="11" t="s">
        <v>6071</v>
      </c>
      <c r="C907" s="11" t="s">
        <v>18721</v>
      </c>
      <c r="D907" s="12">
        <v>41275</v>
      </c>
      <c r="E907" s="12">
        <v>41275</v>
      </c>
      <c r="F907" s="11"/>
      <c r="G907" s="11" t="s">
        <v>279</v>
      </c>
      <c r="H907" s="11" t="s">
        <v>30</v>
      </c>
      <c r="I907" s="11" t="s">
        <v>20944</v>
      </c>
    </row>
    <row r="908" spans="1:9" ht="13.15" x14ac:dyDescent="0.4">
      <c r="A908" s="11" t="s">
        <v>19652</v>
      </c>
      <c r="B908" s="11" t="s">
        <v>6071</v>
      </c>
      <c r="C908" s="11" t="s">
        <v>18721</v>
      </c>
      <c r="D908" s="12">
        <v>41275</v>
      </c>
      <c r="E908" s="12">
        <v>41275</v>
      </c>
      <c r="F908" s="11"/>
      <c r="G908" s="11" t="s">
        <v>279</v>
      </c>
      <c r="H908" s="11" t="s">
        <v>30</v>
      </c>
      <c r="I908" s="11" t="s">
        <v>21207</v>
      </c>
    </row>
    <row r="909" spans="1:9" ht="13.15" x14ac:dyDescent="0.4">
      <c r="A909" s="11" t="s">
        <v>19091</v>
      </c>
      <c r="B909" s="11" t="s">
        <v>6071</v>
      </c>
      <c r="C909" s="11" t="s">
        <v>18721</v>
      </c>
      <c r="D909" s="12">
        <v>41640</v>
      </c>
      <c r="E909" s="12">
        <v>41640</v>
      </c>
      <c r="F909" s="11"/>
      <c r="G909" s="11" t="s">
        <v>279</v>
      </c>
      <c r="H909" s="11" t="s">
        <v>30</v>
      </c>
      <c r="I909" s="11" t="s">
        <v>21768</v>
      </c>
    </row>
    <row r="910" spans="1:9" ht="13.15" x14ac:dyDescent="0.4">
      <c r="A910" s="11" t="s">
        <v>19431</v>
      </c>
      <c r="B910" s="11" t="s">
        <v>6071</v>
      </c>
      <c r="C910" s="11" t="s">
        <v>18721</v>
      </c>
      <c r="D910" s="12">
        <v>41640</v>
      </c>
      <c r="E910" s="12">
        <v>41640</v>
      </c>
      <c r="F910" s="11"/>
      <c r="G910" s="11" t="s">
        <v>279</v>
      </c>
      <c r="H910" s="11" t="s">
        <v>30</v>
      </c>
      <c r="I910" s="11" t="s">
        <v>21428</v>
      </c>
    </row>
    <row r="911" spans="1:9" ht="13.15" x14ac:dyDescent="0.4">
      <c r="A911" s="11" t="s">
        <v>20164</v>
      </c>
      <c r="B911" s="11" t="s">
        <v>6071</v>
      </c>
      <c r="C911" s="11" t="s">
        <v>18721</v>
      </c>
      <c r="D911" s="12">
        <v>41640</v>
      </c>
      <c r="E911" s="12">
        <v>41640</v>
      </c>
      <c r="F911" s="11"/>
      <c r="G911" s="11" t="s">
        <v>279</v>
      </c>
      <c r="H911" s="11" t="s">
        <v>30</v>
      </c>
      <c r="I911" s="11" t="s">
        <v>20695</v>
      </c>
    </row>
    <row r="912" spans="1:9" ht="13.15" x14ac:dyDescent="0.4">
      <c r="A912" s="11" t="s">
        <v>18882</v>
      </c>
      <c r="B912" s="11" t="s">
        <v>6071</v>
      </c>
      <c r="C912" s="11" t="s">
        <v>18721</v>
      </c>
      <c r="D912" s="12">
        <v>41640</v>
      </c>
      <c r="E912" s="12">
        <v>41640</v>
      </c>
      <c r="F912" s="11"/>
      <c r="G912" s="11" t="s">
        <v>279</v>
      </c>
      <c r="H912" s="11" t="s">
        <v>30</v>
      </c>
      <c r="I912" s="11" t="s">
        <v>21977</v>
      </c>
    </row>
    <row r="913" spans="1:9" ht="13.15" x14ac:dyDescent="0.4">
      <c r="A913" s="11" t="s">
        <v>20213</v>
      </c>
      <c r="B913" s="11" t="s">
        <v>6071</v>
      </c>
      <c r="C913" s="11" t="s">
        <v>18721</v>
      </c>
      <c r="D913" s="12">
        <v>41640</v>
      </c>
      <c r="E913" s="12">
        <v>41640</v>
      </c>
      <c r="F913" s="11"/>
      <c r="G913" s="11" t="s">
        <v>279</v>
      </c>
      <c r="H913" s="11" t="s">
        <v>30</v>
      </c>
      <c r="I913" s="11" t="s">
        <v>20646</v>
      </c>
    </row>
    <row r="914" spans="1:9" ht="13.15" x14ac:dyDescent="0.4">
      <c r="A914" s="11" t="s">
        <v>19516</v>
      </c>
      <c r="B914" s="11" t="s">
        <v>6071</v>
      </c>
      <c r="C914" s="11" t="s">
        <v>18721</v>
      </c>
      <c r="D914" s="12">
        <v>41640</v>
      </c>
      <c r="E914" s="12">
        <v>41640</v>
      </c>
      <c r="F914" s="11"/>
      <c r="G914" s="11" t="s">
        <v>279</v>
      </c>
      <c r="H914" s="11" t="s">
        <v>30</v>
      </c>
      <c r="I914" s="11" t="s">
        <v>21343</v>
      </c>
    </row>
    <row r="915" spans="1:9" ht="13.15" x14ac:dyDescent="0.4">
      <c r="A915" s="11" t="s">
        <v>20076</v>
      </c>
      <c r="B915" s="11" t="s">
        <v>6071</v>
      </c>
      <c r="C915" s="11" t="s">
        <v>18721</v>
      </c>
      <c r="D915" s="12">
        <v>41640</v>
      </c>
      <c r="E915" s="12">
        <v>41640</v>
      </c>
      <c r="F915" s="11"/>
      <c r="G915" s="11" t="s">
        <v>279</v>
      </c>
      <c r="H915" s="11" t="s">
        <v>30</v>
      </c>
      <c r="I915" s="11" t="s">
        <v>20783</v>
      </c>
    </row>
    <row r="916" spans="1:9" ht="13.15" x14ac:dyDescent="0.4">
      <c r="A916" s="11" t="s">
        <v>19333</v>
      </c>
      <c r="B916" s="11" t="s">
        <v>6071</v>
      </c>
      <c r="C916" s="11" t="s">
        <v>18721</v>
      </c>
      <c r="D916" s="12">
        <v>41640</v>
      </c>
      <c r="E916" s="12">
        <v>41640</v>
      </c>
      <c r="F916" s="11"/>
      <c r="G916" s="11" t="s">
        <v>279</v>
      </c>
      <c r="H916" s="11" t="s">
        <v>30</v>
      </c>
      <c r="I916" s="11" t="s">
        <v>21526</v>
      </c>
    </row>
    <row r="917" spans="1:9" ht="13.15" x14ac:dyDescent="0.4">
      <c r="A917" s="11" t="s">
        <v>20285</v>
      </c>
      <c r="B917" s="11" t="s">
        <v>6071</v>
      </c>
      <c r="C917" s="11" t="s">
        <v>18721</v>
      </c>
      <c r="D917" s="12">
        <v>41640</v>
      </c>
      <c r="E917" s="12">
        <v>41640</v>
      </c>
      <c r="F917" s="11"/>
      <c r="G917" s="11" t="s">
        <v>279</v>
      </c>
      <c r="H917" s="11" t="s">
        <v>30</v>
      </c>
      <c r="I917" s="11" t="s">
        <v>20574</v>
      </c>
    </row>
    <row r="918" spans="1:9" ht="13.15" x14ac:dyDescent="0.4">
      <c r="A918" s="11" t="s">
        <v>19057</v>
      </c>
      <c r="B918" s="11" t="s">
        <v>6071</v>
      </c>
      <c r="C918" s="11" t="s">
        <v>18721</v>
      </c>
      <c r="D918" s="12">
        <v>41640</v>
      </c>
      <c r="E918" s="12">
        <v>41640</v>
      </c>
      <c r="F918" s="11"/>
      <c r="G918" s="11" t="s">
        <v>279</v>
      </c>
      <c r="H918" s="11" t="s">
        <v>30</v>
      </c>
      <c r="I918" s="11" t="s">
        <v>21802</v>
      </c>
    </row>
    <row r="919" spans="1:9" ht="13.15" x14ac:dyDescent="0.4">
      <c r="A919" s="11" t="s">
        <v>20040</v>
      </c>
      <c r="B919" s="11" t="s">
        <v>6071</v>
      </c>
      <c r="C919" s="11" t="s">
        <v>18721</v>
      </c>
      <c r="D919" s="12">
        <v>41640</v>
      </c>
      <c r="E919" s="12">
        <v>41640</v>
      </c>
      <c r="F919" s="11"/>
      <c r="G919" s="11" t="s">
        <v>279</v>
      </c>
      <c r="H919" s="11" t="s">
        <v>30</v>
      </c>
      <c r="I919" s="11" t="s">
        <v>20819</v>
      </c>
    </row>
    <row r="920" spans="1:9" ht="13.15" x14ac:dyDescent="0.4">
      <c r="A920" s="11" t="s">
        <v>20424</v>
      </c>
      <c r="B920" s="11" t="s">
        <v>6071</v>
      </c>
      <c r="C920" s="11" t="s">
        <v>18721</v>
      </c>
      <c r="D920" s="12">
        <v>41275</v>
      </c>
      <c r="E920" s="12">
        <v>41275</v>
      </c>
      <c r="F920" s="11"/>
      <c r="G920" s="11" t="s">
        <v>279</v>
      </c>
      <c r="H920" s="11" t="s">
        <v>30</v>
      </c>
      <c r="I920" s="11" t="s">
        <v>20435</v>
      </c>
    </row>
    <row r="921" spans="1:9" ht="13.15" x14ac:dyDescent="0.4">
      <c r="A921" s="11" t="s">
        <v>20345</v>
      </c>
      <c r="B921" s="11" t="s">
        <v>6071</v>
      </c>
      <c r="C921" s="11" t="s">
        <v>18721</v>
      </c>
      <c r="D921" s="12">
        <v>41640</v>
      </c>
      <c r="E921" s="12">
        <v>41640</v>
      </c>
      <c r="F921" s="11"/>
      <c r="G921" s="11" t="s">
        <v>279</v>
      </c>
      <c r="H921" s="11" t="s">
        <v>30</v>
      </c>
      <c r="I921" s="11" t="s">
        <v>20514</v>
      </c>
    </row>
    <row r="922" spans="1:9" ht="13.15" x14ac:dyDescent="0.4">
      <c r="A922" s="11" t="s">
        <v>19439</v>
      </c>
      <c r="B922" s="11" t="s">
        <v>6071</v>
      </c>
      <c r="C922" s="11" t="s">
        <v>18721</v>
      </c>
      <c r="D922" s="12">
        <v>41275</v>
      </c>
      <c r="E922" s="12">
        <v>41275</v>
      </c>
      <c r="F922" s="11"/>
      <c r="G922" s="11" t="s">
        <v>279</v>
      </c>
      <c r="H922" s="11" t="s">
        <v>30</v>
      </c>
      <c r="I922" s="11" t="s">
        <v>21420</v>
      </c>
    </row>
    <row r="923" spans="1:9" ht="13.15" x14ac:dyDescent="0.4">
      <c r="A923" s="11" t="s">
        <v>18963</v>
      </c>
      <c r="B923" s="11" t="s">
        <v>6071</v>
      </c>
      <c r="C923" s="11" t="s">
        <v>18721</v>
      </c>
      <c r="D923" s="12">
        <v>41640</v>
      </c>
      <c r="E923" s="12">
        <v>41640</v>
      </c>
      <c r="F923" s="11"/>
      <c r="G923" s="11" t="s">
        <v>279</v>
      </c>
      <c r="H923" s="11" t="s">
        <v>30</v>
      </c>
      <c r="I923" s="11" t="s">
        <v>21896</v>
      </c>
    </row>
    <row r="924" spans="1:9" ht="13.15" x14ac:dyDescent="0.4">
      <c r="A924" s="11" t="s">
        <v>18853</v>
      </c>
      <c r="B924" s="11" t="s">
        <v>6071</v>
      </c>
      <c r="C924" s="11" t="s">
        <v>18721</v>
      </c>
      <c r="D924" s="12">
        <v>41640</v>
      </c>
      <c r="E924" s="12">
        <v>41640</v>
      </c>
      <c r="F924" s="11"/>
      <c r="G924" s="11" t="s">
        <v>279</v>
      </c>
      <c r="H924" s="11" t="s">
        <v>30</v>
      </c>
      <c r="I924" s="11" t="s">
        <v>22006</v>
      </c>
    </row>
    <row r="925" spans="1:9" ht="13.15" x14ac:dyDescent="0.4">
      <c r="A925" s="11" t="s">
        <v>19997</v>
      </c>
      <c r="B925" s="11" t="s">
        <v>6071</v>
      </c>
      <c r="C925" s="11" t="s">
        <v>18721</v>
      </c>
      <c r="D925" s="12">
        <v>41640</v>
      </c>
      <c r="E925" s="12">
        <v>41640</v>
      </c>
      <c r="F925" s="11"/>
      <c r="G925" s="11" t="s">
        <v>279</v>
      </c>
      <c r="H925" s="11" t="s">
        <v>30</v>
      </c>
      <c r="I925" s="11" t="s">
        <v>20862</v>
      </c>
    </row>
    <row r="926" spans="1:9" ht="13.15" x14ac:dyDescent="0.4">
      <c r="A926" s="11" t="s">
        <v>18754</v>
      </c>
      <c r="B926" s="11" t="s">
        <v>6071</v>
      </c>
      <c r="C926" s="11" t="s">
        <v>18721</v>
      </c>
      <c r="D926" s="12">
        <v>41640</v>
      </c>
      <c r="E926" s="12">
        <v>41640</v>
      </c>
      <c r="F926" s="11"/>
      <c r="G926" s="11" t="s">
        <v>279</v>
      </c>
      <c r="H926" s="11" t="s">
        <v>30</v>
      </c>
      <c r="I926" s="11" t="s">
        <v>22105</v>
      </c>
    </row>
    <row r="927" spans="1:9" ht="13.15" x14ac:dyDescent="0.4">
      <c r="A927" s="11" t="s">
        <v>19803</v>
      </c>
      <c r="B927" s="11" t="s">
        <v>6071</v>
      </c>
      <c r="C927" s="11" t="s">
        <v>18721</v>
      </c>
      <c r="D927" s="12">
        <v>41275</v>
      </c>
      <c r="E927" s="12">
        <v>41275</v>
      </c>
      <c r="F927" s="11"/>
      <c r="G927" s="11" t="s">
        <v>279</v>
      </c>
      <c r="H927" s="11" t="s">
        <v>30</v>
      </c>
      <c r="I927" s="11" t="s">
        <v>21056</v>
      </c>
    </row>
    <row r="928" spans="1:9" ht="13.15" x14ac:dyDescent="0.4">
      <c r="A928" s="11" t="s">
        <v>19373</v>
      </c>
      <c r="B928" s="11" t="s">
        <v>6071</v>
      </c>
      <c r="C928" s="11" t="s">
        <v>18721</v>
      </c>
      <c r="D928" s="12">
        <v>41640</v>
      </c>
      <c r="E928" s="12">
        <v>41640</v>
      </c>
      <c r="F928" s="11"/>
      <c r="G928" s="11" t="s">
        <v>279</v>
      </c>
      <c r="H928" s="11" t="s">
        <v>30</v>
      </c>
      <c r="I928" s="11" t="s">
        <v>21486</v>
      </c>
    </row>
    <row r="929" spans="1:9" ht="13.15" x14ac:dyDescent="0.4">
      <c r="A929" s="11" t="s">
        <v>19730</v>
      </c>
      <c r="B929" s="11" t="s">
        <v>6071</v>
      </c>
      <c r="C929" s="11" t="s">
        <v>18721</v>
      </c>
      <c r="D929" s="12">
        <v>41275</v>
      </c>
      <c r="E929" s="12">
        <v>41275</v>
      </c>
      <c r="F929" s="11"/>
      <c r="G929" s="11" t="s">
        <v>279</v>
      </c>
      <c r="H929" s="11" t="s">
        <v>30</v>
      </c>
      <c r="I929" s="11" t="s">
        <v>21129</v>
      </c>
    </row>
    <row r="930" spans="1:9" ht="13.15" x14ac:dyDescent="0.4">
      <c r="A930" s="11" t="s">
        <v>18897</v>
      </c>
      <c r="B930" s="11" t="s">
        <v>6071</v>
      </c>
      <c r="C930" s="11" t="s">
        <v>18721</v>
      </c>
      <c r="D930" s="12">
        <v>41275</v>
      </c>
      <c r="E930" s="12">
        <v>41275</v>
      </c>
      <c r="F930" s="11"/>
      <c r="G930" s="11" t="s">
        <v>279</v>
      </c>
      <c r="H930" s="11" t="s">
        <v>30</v>
      </c>
      <c r="I930" s="11" t="s">
        <v>21962</v>
      </c>
    </row>
    <row r="931" spans="1:9" ht="13.15" x14ac:dyDescent="0.4">
      <c r="A931" s="11" t="s">
        <v>19402</v>
      </c>
      <c r="B931" s="11" t="s">
        <v>6071</v>
      </c>
      <c r="C931" s="11" t="s">
        <v>18721</v>
      </c>
      <c r="D931" s="12">
        <v>41275</v>
      </c>
      <c r="E931" s="12">
        <v>41275</v>
      </c>
      <c r="F931" s="11"/>
      <c r="G931" s="11" t="s">
        <v>279</v>
      </c>
      <c r="H931" s="11" t="s">
        <v>30</v>
      </c>
      <c r="I931" s="11" t="s">
        <v>21457</v>
      </c>
    </row>
    <row r="932" spans="1:9" ht="13.15" x14ac:dyDescent="0.4">
      <c r="A932" s="11" t="s">
        <v>20415</v>
      </c>
      <c r="B932" s="11" t="s">
        <v>6071</v>
      </c>
      <c r="C932" s="11" t="s">
        <v>18721</v>
      </c>
      <c r="D932" s="12">
        <v>41275</v>
      </c>
      <c r="E932" s="12">
        <v>41275</v>
      </c>
      <c r="F932" s="11"/>
      <c r="G932" s="11" t="s">
        <v>279</v>
      </c>
      <c r="H932" s="11" t="s">
        <v>30</v>
      </c>
      <c r="I932" s="11" t="s">
        <v>20444</v>
      </c>
    </row>
    <row r="933" spans="1:9" ht="13.15" x14ac:dyDescent="0.4">
      <c r="A933" s="11" t="s">
        <v>20037</v>
      </c>
      <c r="B933" s="11" t="s">
        <v>6071</v>
      </c>
      <c r="C933" s="11" t="s">
        <v>18721</v>
      </c>
      <c r="D933" s="12">
        <v>41275</v>
      </c>
      <c r="E933" s="12">
        <v>41275</v>
      </c>
      <c r="F933" s="11"/>
      <c r="G933" s="11" t="s">
        <v>279</v>
      </c>
      <c r="H933" s="11" t="s">
        <v>30</v>
      </c>
      <c r="I933" s="11" t="s">
        <v>20822</v>
      </c>
    </row>
    <row r="934" spans="1:9" ht="13.15" x14ac:dyDescent="0.4">
      <c r="A934" s="11" t="s">
        <v>19808</v>
      </c>
      <c r="B934" s="11" t="s">
        <v>6071</v>
      </c>
      <c r="C934" s="11" t="s">
        <v>18721</v>
      </c>
      <c r="D934" s="12">
        <v>41275</v>
      </c>
      <c r="E934" s="12">
        <v>41275</v>
      </c>
      <c r="F934" s="11"/>
      <c r="G934" s="11" t="s">
        <v>279</v>
      </c>
      <c r="H934" s="11" t="s">
        <v>30</v>
      </c>
      <c r="I934" s="11" t="s">
        <v>21051</v>
      </c>
    </row>
    <row r="935" spans="1:9" ht="13.15" x14ac:dyDescent="0.4">
      <c r="A935" s="11" t="s">
        <v>19524</v>
      </c>
      <c r="B935" s="11" t="s">
        <v>6071</v>
      </c>
      <c r="C935" s="11" t="s">
        <v>18721</v>
      </c>
      <c r="D935" s="12">
        <v>41275</v>
      </c>
      <c r="E935" s="12">
        <v>41275</v>
      </c>
      <c r="F935" s="11"/>
      <c r="G935" s="11" t="s">
        <v>279</v>
      </c>
      <c r="H935" s="11" t="s">
        <v>30</v>
      </c>
      <c r="I935" s="11" t="s">
        <v>21335</v>
      </c>
    </row>
    <row r="936" spans="1:9" ht="13.15" x14ac:dyDescent="0.4">
      <c r="A936" s="11" t="s">
        <v>20383</v>
      </c>
      <c r="B936" s="11" t="s">
        <v>6071</v>
      </c>
      <c r="C936" s="11" t="s">
        <v>18721</v>
      </c>
      <c r="D936" s="12">
        <v>41275</v>
      </c>
      <c r="E936" s="12">
        <v>41275</v>
      </c>
      <c r="F936" s="11"/>
      <c r="G936" s="11" t="s">
        <v>279</v>
      </c>
      <c r="H936" s="11" t="s">
        <v>30</v>
      </c>
      <c r="I936" s="11" t="s">
        <v>20476</v>
      </c>
    </row>
    <row r="937" spans="1:9" ht="13.15" x14ac:dyDescent="0.4">
      <c r="A937" s="11" t="s">
        <v>19795</v>
      </c>
      <c r="B937" s="11" t="s">
        <v>6071</v>
      </c>
      <c r="C937" s="11" t="s">
        <v>18721</v>
      </c>
      <c r="D937" s="12">
        <v>41275</v>
      </c>
      <c r="E937" s="12">
        <v>41275</v>
      </c>
      <c r="F937" s="11"/>
      <c r="G937" s="11" t="s">
        <v>279</v>
      </c>
      <c r="H937" s="11" t="s">
        <v>30</v>
      </c>
      <c r="I937" s="11" t="s">
        <v>21064</v>
      </c>
    </row>
    <row r="938" spans="1:9" ht="13.15" x14ac:dyDescent="0.4">
      <c r="A938" s="11" t="s">
        <v>19187</v>
      </c>
      <c r="B938" s="11" t="s">
        <v>6071</v>
      </c>
      <c r="C938" s="11" t="s">
        <v>18721</v>
      </c>
      <c r="D938" s="12">
        <v>41275</v>
      </c>
      <c r="E938" s="12">
        <v>41275</v>
      </c>
      <c r="F938" s="11"/>
      <c r="G938" s="11" t="s">
        <v>279</v>
      </c>
      <c r="H938" s="11" t="s">
        <v>30</v>
      </c>
      <c r="I938" s="11" t="s">
        <v>21672</v>
      </c>
    </row>
    <row r="939" spans="1:9" ht="13.15" x14ac:dyDescent="0.4">
      <c r="A939" s="11" t="s">
        <v>20268</v>
      </c>
      <c r="B939" s="11" t="s">
        <v>6071</v>
      </c>
      <c r="C939" s="11" t="s">
        <v>18721</v>
      </c>
      <c r="D939" s="12">
        <v>41275</v>
      </c>
      <c r="E939" s="12">
        <v>41275</v>
      </c>
      <c r="F939" s="11"/>
      <c r="G939" s="11" t="s">
        <v>279</v>
      </c>
      <c r="H939" s="11" t="s">
        <v>30</v>
      </c>
      <c r="I939" s="11" t="s">
        <v>20591</v>
      </c>
    </row>
    <row r="940" spans="1:9" ht="13.15" x14ac:dyDescent="0.4">
      <c r="A940" s="11" t="s">
        <v>19736</v>
      </c>
      <c r="B940" s="11" t="s">
        <v>6071</v>
      </c>
      <c r="C940" s="11" t="s">
        <v>18721</v>
      </c>
      <c r="D940" s="12">
        <v>41275</v>
      </c>
      <c r="E940" s="12">
        <v>41275</v>
      </c>
      <c r="F940" s="11"/>
      <c r="G940" s="11" t="s">
        <v>279</v>
      </c>
      <c r="H940" s="11" t="s">
        <v>30</v>
      </c>
      <c r="I940" s="11" t="s">
        <v>21123</v>
      </c>
    </row>
    <row r="941" spans="1:9" ht="13.15" x14ac:dyDescent="0.4">
      <c r="A941" s="11" t="s">
        <v>19505</v>
      </c>
      <c r="B941" s="11" t="s">
        <v>6071</v>
      </c>
      <c r="C941" s="11" t="s">
        <v>18721</v>
      </c>
      <c r="D941" s="12">
        <v>41275</v>
      </c>
      <c r="E941" s="12">
        <v>41275</v>
      </c>
      <c r="F941" s="11"/>
      <c r="G941" s="11" t="s">
        <v>279</v>
      </c>
      <c r="H941" s="11" t="s">
        <v>30</v>
      </c>
      <c r="I941" s="11" t="s">
        <v>21354</v>
      </c>
    </row>
    <row r="942" spans="1:9" ht="13.15" x14ac:dyDescent="0.4">
      <c r="A942" s="11" t="s">
        <v>19559</v>
      </c>
      <c r="B942" s="11" t="s">
        <v>6071</v>
      </c>
      <c r="C942" s="11" t="s">
        <v>18721</v>
      </c>
      <c r="D942" s="12">
        <v>41275</v>
      </c>
      <c r="E942" s="12">
        <v>41275</v>
      </c>
      <c r="F942" s="11"/>
      <c r="G942" s="11" t="s">
        <v>279</v>
      </c>
      <c r="H942" s="11" t="s">
        <v>30</v>
      </c>
      <c r="I942" s="11" t="s">
        <v>21300</v>
      </c>
    </row>
    <row r="943" spans="1:9" ht="13.15" x14ac:dyDescent="0.4">
      <c r="A943" s="11" t="s">
        <v>18763</v>
      </c>
      <c r="B943" s="11" t="s">
        <v>6071</v>
      </c>
      <c r="C943" s="11" t="s">
        <v>18721</v>
      </c>
      <c r="D943" s="12">
        <v>41275</v>
      </c>
      <c r="E943" s="12">
        <v>41275</v>
      </c>
      <c r="F943" s="11"/>
      <c r="G943" s="11" t="s">
        <v>279</v>
      </c>
      <c r="H943" s="11" t="s">
        <v>30</v>
      </c>
      <c r="I943" s="11" t="s">
        <v>22096</v>
      </c>
    </row>
    <row r="944" spans="1:9" ht="13.15" x14ac:dyDescent="0.4">
      <c r="A944" s="11" t="s">
        <v>19220</v>
      </c>
      <c r="B944" s="11" t="s">
        <v>6071</v>
      </c>
      <c r="C944" s="11" t="s">
        <v>18721</v>
      </c>
      <c r="D944" s="12">
        <v>41275</v>
      </c>
      <c r="E944" s="12">
        <v>41275</v>
      </c>
      <c r="F944" s="11"/>
      <c r="G944" s="11" t="s">
        <v>279</v>
      </c>
      <c r="H944" s="11" t="s">
        <v>30</v>
      </c>
      <c r="I944" s="11" t="s">
        <v>21639</v>
      </c>
    </row>
    <row r="945" spans="1:9" ht="13.15" x14ac:dyDescent="0.4">
      <c r="A945" s="11" t="s">
        <v>18953</v>
      </c>
      <c r="B945" s="11" t="s">
        <v>6071</v>
      </c>
      <c r="C945" s="11" t="s">
        <v>18721</v>
      </c>
      <c r="D945" s="12">
        <v>41275</v>
      </c>
      <c r="E945" s="12">
        <v>41275</v>
      </c>
      <c r="F945" s="11"/>
      <c r="G945" s="11" t="s">
        <v>279</v>
      </c>
      <c r="H945" s="11" t="s">
        <v>30</v>
      </c>
      <c r="I945" s="11" t="s">
        <v>21906</v>
      </c>
    </row>
    <row r="946" spans="1:9" ht="13.15" x14ac:dyDescent="0.4">
      <c r="A946" s="11" t="s">
        <v>20271</v>
      </c>
      <c r="B946" s="11" t="s">
        <v>6071</v>
      </c>
      <c r="C946" s="11" t="s">
        <v>18721</v>
      </c>
      <c r="D946" s="12">
        <v>41275</v>
      </c>
      <c r="E946" s="12">
        <v>41275</v>
      </c>
      <c r="F946" s="11"/>
      <c r="G946" s="11" t="s">
        <v>279</v>
      </c>
      <c r="H946" s="11" t="s">
        <v>30</v>
      </c>
      <c r="I946" s="11" t="s">
        <v>20588</v>
      </c>
    </row>
    <row r="947" spans="1:9" ht="13.15" x14ac:dyDescent="0.4">
      <c r="A947" s="11" t="s">
        <v>19909</v>
      </c>
      <c r="B947" s="11" t="s">
        <v>6071</v>
      </c>
      <c r="C947" s="11" t="s">
        <v>18721</v>
      </c>
      <c r="D947" s="12">
        <v>41275</v>
      </c>
      <c r="E947" s="12">
        <v>41275</v>
      </c>
      <c r="F947" s="11"/>
      <c r="G947" s="11" t="s">
        <v>279</v>
      </c>
      <c r="H947" s="11" t="s">
        <v>30</v>
      </c>
      <c r="I947" s="11" t="s">
        <v>20950</v>
      </c>
    </row>
    <row r="948" spans="1:9" ht="13.15" x14ac:dyDescent="0.4">
      <c r="A948" s="11" t="s">
        <v>20070</v>
      </c>
      <c r="B948" s="11" t="s">
        <v>6071</v>
      </c>
      <c r="C948" s="11" t="s">
        <v>18721</v>
      </c>
      <c r="D948" s="12">
        <v>41275</v>
      </c>
      <c r="E948" s="12">
        <v>41275</v>
      </c>
      <c r="F948" s="11"/>
      <c r="G948" s="11" t="s">
        <v>279</v>
      </c>
      <c r="H948" s="11" t="s">
        <v>30</v>
      </c>
      <c r="I948" s="11" t="s">
        <v>20789</v>
      </c>
    </row>
    <row r="949" spans="1:9" ht="13.15" x14ac:dyDescent="0.4">
      <c r="A949" s="11" t="s">
        <v>19965</v>
      </c>
      <c r="B949" s="11" t="s">
        <v>6071</v>
      </c>
      <c r="C949" s="11" t="s">
        <v>18721</v>
      </c>
      <c r="D949" s="12">
        <v>41275</v>
      </c>
      <c r="E949" s="12">
        <v>41275</v>
      </c>
      <c r="F949" s="11"/>
      <c r="G949" s="11" t="s">
        <v>279</v>
      </c>
      <c r="H949" s="11" t="s">
        <v>30</v>
      </c>
      <c r="I949" s="11" t="s">
        <v>20894</v>
      </c>
    </row>
    <row r="950" spans="1:9" ht="13.15" x14ac:dyDescent="0.4">
      <c r="A950" s="11" t="s">
        <v>18898</v>
      </c>
      <c r="B950" s="11" t="s">
        <v>6071</v>
      </c>
      <c r="C950" s="11" t="s">
        <v>18721</v>
      </c>
      <c r="D950" s="12">
        <v>41275</v>
      </c>
      <c r="E950" s="12">
        <v>41275</v>
      </c>
      <c r="F950" s="11"/>
      <c r="G950" s="11" t="s">
        <v>279</v>
      </c>
      <c r="H950" s="11" t="s">
        <v>30</v>
      </c>
      <c r="I950" s="11" t="s">
        <v>21961</v>
      </c>
    </row>
    <row r="951" spans="1:9" ht="13.15" x14ac:dyDescent="0.4">
      <c r="A951" s="11" t="s">
        <v>19185</v>
      </c>
      <c r="B951" s="11" t="s">
        <v>6071</v>
      </c>
      <c r="C951" s="11" t="s">
        <v>18721</v>
      </c>
      <c r="D951" s="12">
        <v>41275</v>
      </c>
      <c r="E951" s="12">
        <v>41275</v>
      </c>
      <c r="F951" s="11"/>
      <c r="G951" s="11" t="s">
        <v>279</v>
      </c>
      <c r="H951" s="11" t="s">
        <v>30</v>
      </c>
      <c r="I951" s="11" t="s">
        <v>21674</v>
      </c>
    </row>
    <row r="952" spans="1:9" ht="13.15" x14ac:dyDescent="0.4">
      <c r="A952" s="11" t="s">
        <v>19226</v>
      </c>
      <c r="B952" s="11" t="s">
        <v>6071</v>
      </c>
      <c r="C952" s="11" t="s">
        <v>18721</v>
      </c>
      <c r="D952" s="12">
        <v>41275</v>
      </c>
      <c r="E952" s="12">
        <v>41275</v>
      </c>
      <c r="F952" s="11"/>
      <c r="G952" s="11" t="s">
        <v>279</v>
      </c>
      <c r="H952" s="11" t="s">
        <v>30</v>
      </c>
      <c r="I952" s="11" t="s">
        <v>21633</v>
      </c>
    </row>
    <row r="953" spans="1:9" ht="13.15" x14ac:dyDescent="0.4">
      <c r="A953" s="11" t="s">
        <v>19697</v>
      </c>
      <c r="B953" s="11" t="s">
        <v>6071</v>
      </c>
      <c r="C953" s="11" t="s">
        <v>18721</v>
      </c>
      <c r="D953" s="12">
        <v>41275</v>
      </c>
      <c r="E953" s="12">
        <v>41275</v>
      </c>
      <c r="F953" s="11"/>
      <c r="G953" s="11" t="s">
        <v>279</v>
      </c>
      <c r="H953" s="11" t="s">
        <v>30</v>
      </c>
      <c r="I953" s="11" t="s">
        <v>21162</v>
      </c>
    </row>
    <row r="954" spans="1:9" ht="13.15" x14ac:dyDescent="0.4">
      <c r="A954" s="11" t="s">
        <v>19442</v>
      </c>
      <c r="B954" s="11" t="s">
        <v>6071</v>
      </c>
      <c r="C954" s="11" t="s">
        <v>18721</v>
      </c>
      <c r="D954" s="12">
        <v>41275</v>
      </c>
      <c r="E954" s="12">
        <v>41275</v>
      </c>
      <c r="F954" s="11"/>
      <c r="G954" s="11" t="s">
        <v>279</v>
      </c>
      <c r="H954" s="11" t="s">
        <v>30</v>
      </c>
      <c r="I954" s="11" t="s">
        <v>21417</v>
      </c>
    </row>
    <row r="955" spans="1:9" ht="13.15" x14ac:dyDescent="0.4">
      <c r="A955" s="11" t="s">
        <v>19468</v>
      </c>
      <c r="B955" s="11" t="s">
        <v>6071</v>
      </c>
      <c r="C955" s="11" t="s">
        <v>18721</v>
      </c>
      <c r="D955" s="12">
        <v>41275</v>
      </c>
      <c r="E955" s="12">
        <v>41275</v>
      </c>
      <c r="F955" s="11"/>
      <c r="G955" s="11" t="s">
        <v>279</v>
      </c>
      <c r="H955" s="11" t="s">
        <v>30</v>
      </c>
      <c r="I955" s="11" t="s">
        <v>21391</v>
      </c>
    </row>
    <row r="956" spans="1:9" ht="13.15" x14ac:dyDescent="0.4">
      <c r="A956" s="11" t="s">
        <v>19895</v>
      </c>
      <c r="B956" s="11" t="s">
        <v>6071</v>
      </c>
      <c r="C956" s="11" t="s">
        <v>18721</v>
      </c>
      <c r="D956" s="12">
        <v>41275</v>
      </c>
      <c r="E956" s="12">
        <v>41275</v>
      </c>
      <c r="F956" s="11"/>
      <c r="G956" s="11" t="s">
        <v>279</v>
      </c>
      <c r="H956" s="11" t="s">
        <v>30</v>
      </c>
      <c r="I956" s="11" t="s">
        <v>20964</v>
      </c>
    </row>
    <row r="957" spans="1:9" ht="13.15" x14ac:dyDescent="0.4">
      <c r="A957" s="11" t="s">
        <v>19210</v>
      </c>
      <c r="B957" s="11" t="s">
        <v>6071</v>
      </c>
      <c r="C957" s="11" t="s">
        <v>18721</v>
      </c>
      <c r="D957" s="12">
        <v>41275</v>
      </c>
      <c r="E957" s="12">
        <v>41275</v>
      </c>
      <c r="F957" s="11"/>
      <c r="G957" s="11" t="s">
        <v>279</v>
      </c>
      <c r="H957" s="11" t="s">
        <v>30</v>
      </c>
      <c r="I957" s="11" t="s">
        <v>21649</v>
      </c>
    </row>
    <row r="958" spans="1:9" ht="13.15" x14ac:dyDescent="0.4">
      <c r="A958" s="11" t="s">
        <v>20090</v>
      </c>
      <c r="B958" s="11" t="s">
        <v>6071</v>
      </c>
      <c r="C958" s="11" t="s">
        <v>18721</v>
      </c>
      <c r="D958" s="12">
        <v>41640</v>
      </c>
      <c r="E958" s="12">
        <v>41640</v>
      </c>
      <c r="F958" s="11"/>
      <c r="G958" s="11" t="s">
        <v>279</v>
      </c>
      <c r="H958" s="11" t="s">
        <v>30</v>
      </c>
      <c r="I958" s="11" t="s">
        <v>20769</v>
      </c>
    </row>
    <row r="959" spans="1:9" ht="13.15" x14ac:dyDescent="0.4">
      <c r="A959" s="11" t="s">
        <v>19790</v>
      </c>
      <c r="B959" s="11" t="s">
        <v>6071</v>
      </c>
      <c r="C959" s="11" t="s">
        <v>18721</v>
      </c>
      <c r="D959" s="12">
        <v>41640</v>
      </c>
      <c r="E959" s="12">
        <v>41640</v>
      </c>
      <c r="F959" s="11"/>
      <c r="G959" s="11" t="s">
        <v>279</v>
      </c>
      <c r="H959" s="11" t="s">
        <v>30</v>
      </c>
      <c r="I959" s="11" t="s">
        <v>21069</v>
      </c>
    </row>
    <row r="960" spans="1:9" ht="13.15" x14ac:dyDescent="0.4">
      <c r="A960" s="11" t="s">
        <v>19943</v>
      </c>
      <c r="B960" s="11" t="s">
        <v>6071</v>
      </c>
      <c r="C960" s="11" t="s">
        <v>18721</v>
      </c>
      <c r="D960" s="12">
        <v>41275</v>
      </c>
      <c r="E960" s="12">
        <v>41275</v>
      </c>
      <c r="F960" s="11"/>
      <c r="G960" s="11" t="s">
        <v>279</v>
      </c>
      <c r="H960" s="11" t="s">
        <v>30</v>
      </c>
      <c r="I960" s="11" t="s">
        <v>20916</v>
      </c>
    </row>
    <row r="961" spans="1:9" ht="13.15" x14ac:dyDescent="0.4">
      <c r="A961" s="11" t="s">
        <v>19469</v>
      </c>
      <c r="B961" s="11" t="s">
        <v>6071</v>
      </c>
      <c r="C961" s="11" t="s">
        <v>18721</v>
      </c>
      <c r="D961" s="12">
        <v>41640</v>
      </c>
      <c r="E961" s="12">
        <v>41640</v>
      </c>
      <c r="F961" s="11"/>
      <c r="G961" s="11" t="s">
        <v>279</v>
      </c>
      <c r="H961" s="11" t="s">
        <v>30</v>
      </c>
      <c r="I961" s="11" t="s">
        <v>21390</v>
      </c>
    </row>
    <row r="962" spans="1:9" ht="13.15" x14ac:dyDescent="0.4">
      <c r="A962" s="11" t="s">
        <v>20404</v>
      </c>
      <c r="B962" s="11" t="s">
        <v>6071</v>
      </c>
      <c r="C962" s="11" t="s">
        <v>18721</v>
      </c>
      <c r="D962" s="12">
        <v>41275</v>
      </c>
      <c r="E962" s="12">
        <v>41275</v>
      </c>
      <c r="F962" s="11"/>
      <c r="G962" s="11" t="s">
        <v>279</v>
      </c>
      <c r="H962" s="11" t="s">
        <v>30</v>
      </c>
      <c r="I962" s="11" t="s">
        <v>20455</v>
      </c>
    </row>
    <row r="963" spans="1:9" ht="13.15" x14ac:dyDescent="0.4">
      <c r="A963" s="11" t="s">
        <v>20026</v>
      </c>
      <c r="B963" s="11" t="s">
        <v>6071</v>
      </c>
      <c r="C963" s="11" t="s">
        <v>18721</v>
      </c>
      <c r="D963" s="12">
        <v>41275</v>
      </c>
      <c r="E963" s="12">
        <v>41275</v>
      </c>
      <c r="F963" s="11"/>
      <c r="G963" s="11" t="s">
        <v>279</v>
      </c>
      <c r="H963" s="11" t="s">
        <v>30</v>
      </c>
      <c r="I963" s="11" t="s">
        <v>20833</v>
      </c>
    </row>
    <row r="964" spans="1:9" ht="13.15" x14ac:dyDescent="0.4">
      <c r="A964" s="11" t="s">
        <v>19412</v>
      </c>
      <c r="B964" s="11" t="s">
        <v>6071</v>
      </c>
      <c r="C964" s="11" t="s">
        <v>18721</v>
      </c>
      <c r="D964" s="12">
        <v>41640</v>
      </c>
      <c r="E964" s="12">
        <v>41640</v>
      </c>
      <c r="F964" s="11"/>
      <c r="G964" s="11" t="s">
        <v>279</v>
      </c>
      <c r="H964" s="11" t="s">
        <v>30</v>
      </c>
      <c r="I964" s="11" t="s">
        <v>21447</v>
      </c>
    </row>
    <row r="965" spans="1:9" ht="13.15" x14ac:dyDescent="0.4">
      <c r="A965" s="11" t="s">
        <v>20145</v>
      </c>
      <c r="B965" s="11" t="s">
        <v>6071</v>
      </c>
      <c r="C965" s="11" t="s">
        <v>18721</v>
      </c>
      <c r="D965" s="12">
        <v>41275</v>
      </c>
      <c r="E965" s="12">
        <v>41275</v>
      </c>
      <c r="F965" s="11"/>
      <c r="G965" s="11" t="s">
        <v>279</v>
      </c>
      <c r="H965" s="11" t="s">
        <v>30</v>
      </c>
      <c r="I965" s="11" t="s">
        <v>20714</v>
      </c>
    </row>
    <row r="966" spans="1:9" ht="13.15" x14ac:dyDescent="0.4">
      <c r="A966" s="11" t="s">
        <v>20050</v>
      </c>
      <c r="B966" s="11" t="s">
        <v>6071</v>
      </c>
      <c r="C966" s="11" t="s">
        <v>18721</v>
      </c>
      <c r="D966" s="12">
        <v>41275</v>
      </c>
      <c r="E966" s="12">
        <v>41275</v>
      </c>
      <c r="F966" s="11"/>
      <c r="G966" s="11" t="s">
        <v>279</v>
      </c>
      <c r="H966" s="11" t="s">
        <v>30</v>
      </c>
      <c r="I966" s="11" t="s">
        <v>20809</v>
      </c>
    </row>
    <row r="967" spans="1:9" ht="13.15" x14ac:dyDescent="0.4">
      <c r="A967" s="11" t="s">
        <v>19283</v>
      </c>
      <c r="B967" s="11" t="s">
        <v>6071</v>
      </c>
      <c r="C967" s="11" t="s">
        <v>18721</v>
      </c>
      <c r="D967" s="12">
        <v>41640</v>
      </c>
      <c r="E967" s="12">
        <v>41640</v>
      </c>
      <c r="F967" s="11"/>
      <c r="G967" s="11" t="s">
        <v>279</v>
      </c>
      <c r="H967" s="11" t="s">
        <v>30</v>
      </c>
      <c r="I967" s="11" t="s">
        <v>21576</v>
      </c>
    </row>
    <row r="968" spans="1:9" ht="13.15" x14ac:dyDescent="0.4">
      <c r="A968" s="11" t="s">
        <v>20394</v>
      </c>
      <c r="B968" s="11" t="s">
        <v>6071</v>
      </c>
      <c r="C968" s="11" t="s">
        <v>18721</v>
      </c>
      <c r="D968" s="12">
        <v>41275</v>
      </c>
      <c r="E968" s="12">
        <v>41275</v>
      </c>
      <c r="F968" s="11"/>
      <c r="G968" s="11" t="s">
        <v>279</v>
      </c>
      <c r="H968" s="11" t="s">
        <v>30</v>
      </c>
      <c r="I968" s="11" t="s">
        <v>20465</v>
      </c>
    </row>
    <row r="969" spans="1:9" ht="13.15" x14ac:dyDescent="0.4">
      <c r="A969" s="11" t="s">
        <v>19755</v>
      </c>
      <c r="B969" s="11" t="s">
        <v>6071</v>
      </c>
      <c r="C969" s="11" t="s">
        <v>18721</v>
      </c>
      <c r="D969" s="12">
        <v>41640</v>
      </c>
      <c r="E969" s="12">
        <v>41640</v>
      </c>
      <c r="F969" s="11"/>
      <c r="G969" s="11" t="s">
        <v>279</v>
      </c>
      <c r="H969" s="11" t="s">
        <v>30</v>
      </c>
      <c r="I969" s="11" t="s">
        <v>21104</v>
      </c>
    </row>
    <row r="970" spans="1:9" ht="13.15" x14ac:dyDescent="0.4">
      <c r="A970" s="11" t="s">
        <v>19497</v>
      </c>
      <c r="B970" s="11" t="s">
        <v>6071</v>
      </c>
      <c r="C970" s="11" t="s">
        <v>18721</v>
      </c>
      <c r="D970" s="12">
        <v>41275</v>
      </c>
      <c r="E970" s="12">
        <v>41275</v>
      </c>
      <c r="F970" s="11"/>
      <c r="G970" s="11" t="s">
        <v>279</v>
      </c>
      <c r="H970" s="11" t="s">
        <v>30</v>
      </c>
      <c r="I970" s="11" t="s">
        <v>21362</v>
      </c>
    </row>
    <row r="971" spans="1:9" ht="13.15" x14ac:dyDescent="0.4">
      <c r="A971" s="11" t="s">
        <v>19400</v>
      </c>
      <c r="B971" s="11" t="s">
        <v>6071</v>
      </c>
      <c r="C971" s="11" t="s">
        <v>18721</v>
      </c>
      <c r="D971" s="12">
        <v>41640</v>
      </c>
      <c r="E971" s="12">
        <v>41640</v>
      </c>
      <c r="F971" s="11"/>
      <c r="G971" s="11" t="s">
        <v>279</v>
      </c>
      <c r="H971" s="11" t="s">
        <v>30</v>
      </c>
      <c r="I971" s="11" t="s">
        <v>21459</v>
      </c>
    </row>
    <row r="972" spans="1:9" ht="13.15" x14ac:dyDescent="0.4">
      <c r="A972" s="11" t="s">
        <v>19435</v>
      </c>
      <c r="B972" s="11" t="s">
        <v>6071</v>
      </c>
      <c r="C972" s="11" t="s">
        <v>18721</v>
      </c>
      <c r="D972" s="12">
        <v>41275</v>
      </c>
      <c r="E972" s="12">
        <v>41275</v>
      </c>
      <c r="F972" s="11"/>
      <c r="G972" s="11" t="s">
        <v>279</v>
      </c>
      <c r="H972" s="11" t="s">
        <v>30</v>
      </c>
      <c r="I972" s="11" t="s">
        <v>21424</v>
      </c>
    </row>
    <row r="973" spans="1:9" ht="13.15" x14ac:dyDescent="0.4">
      <c r="A973" s="11" t="s">
        <v>20034</v>
      </c>
      <c r="B973" s="11" t="s">
        <v>6071</v>
      </c>
      <c r="C973" s="11" t="s">
        <v>18721</v>
      </c>
      <c r="D973" s="12">
        <v>41640</v>
      </c>
      <c r="E973" s="12">
        <v>41640</v>
      </c>
      <c r="F973" s="11"/>
      <c r="G973" s="11" t="s">
        <v>279</v>
      </c>
      <c r="H973" s="11" t="s">
        <v>30</v>
      </c>
      <c r="I973" s="11" t="s">
        <v>20825</v>
      </c>
    </row>
    <row r="974" spans="1:9" ht="13.15" x14ac:dyDescent="0.4">
      <c r="A974" s="11" t="s">
        <v>18751</v>
      </c>
      <c r="B974" s="11" t="s">
        <v>6071</v>
      </c>
      <c r="C974" s="11" t="s">
        <v>18721</v>
      </c>
      <c r="D974" s="12">
        <v>41275</v>
      </c>
      <c r="E974" s="12">
        <v>41275</v>
      </c>
      <c r="F974" s="11"/>
      <c r="G974" s="11" t="s">
        <v>279</v>
      </c>
      <c r="H974" s="11" t="s">
        <v>30</v>
      </c>
      <c r="I974" s="11" t="s">
        <v>22108</v>
      </c>
    </row>
    <row r="975" spans="1:9" ht="13.15" x14ac:dyDescent="0.4">
      <c r="A975" s="11" t="s">
        <v>19175</v>
      </c>
      <c r="B975" s="11" t="s">
        <v>6071</v>
      </c>
      <c r="C975" s="11" t="s">
        <v>18721</v>
      </c>
      <c r="D975" s="12">
        <v>41640</v>
      </c>
      <c r="E975" s="12">
        <v>41640</v>
      </c>
      <c r="F975" s="11"/>
      <c r="G975" s="11" t="s">
        <v>279</v>
      </c>
      <c r="H975" s="11" t="s">
        <v>30</v>
      </c>
      <c r="I975" s="11" t="s">
        <v>21684</v>
      </c>
    </row>
    <row r="976" spans="1:9" ht="13.15" x14ac:dyDescent="0.4">
      <c r="A976" s="11" t="s">
        <v>18806</v>
      </c>
      <c r="B976" s="11" t="s">
        <v>6071</v>
      </c>
      <c r="C976" s="11" t="s">
        <v>18721</v>
      </c>
      <c r="D976" s="12">
        <v>41275</v>
      </c>
      <c r="E976" s="12">
        <v>41275</v>
      </c>
      <c r="F976" s="11"/>
      <c r="G976" s="11" t="s">
        <v>279</v>
      </c>
      <c r="H976" s="11" t="s">
        <v>30</v>
      </c>
      <c r="I976" s="11" t="s">
        <v>22053</v>
      </c>
    </row>
    <row r="977" spans="1:9" ht="13.15" x14ac:dyDescent="0.4">
      <c r="A977" s="11" t="s">
        <v>18791</v>
      </c>
      <c r="B977" s="11" t="s">
        <v>6071</v>
      </c>
      <c r="C977" s="11" t="s">
        <v>18721</v>
      </c>
      <c r="D977" s="12">
        <v>41640</v>
      </c>
      <c r="E977" s="12">
        <v>41640</v>
      </c>
      <c r="F977" s="11"/>
      <c r="G977" s="11" t="s">
        <v>279</v>
      </c>
      <c r="H977" s="11" t="s">
        <v>30</v>
      </c>
      <c r="I977" s="11" t="s">
        <v>22068</v>
      </c>
    </row>
    <row r="978" spans="1:9" ht="13.15" x14ac:dyDescent="0.4">
      <c r="A978" s="11" t="s">
        <v>19917</v>
      </c>
      <c r="B978" s="11" t="s">
        <v>6071</v>
      </c>
      <c r="C978" s="11" t="s">
        <v>18721</v>
      </c>
      <c r="D978" s="12">
        <v>41275</v>
      </c>
      <c r="E978" s="12">
        <v>41275</v>
      </c>
      <c r="F978" s="11"/>
      <c r="G978" s="11" t="s">
        <v>279</v>
      </c>
      <c r="H978" s="11" t="s">
        <v>30</v>
      </c>
      <c r="I978" s="11" t="s">
        <v>20942</v>
      </c>
    </row>
    <row r="979" spans="1:9" ht="13.15" x14ac:dyDescent="0.4">
      <c r="A979" s="11" t="s">
        <v>18890</v>
      </c>
      <c r="B979" s="11" t="s">
        <v>6071</v>
      </c>
      <c r="C979" s="11" t="s">
        <v>18721</v>
      </c>
      <c r="D979" s="12">
        <v>41275</v>
      </c>
      <c r="E979" s="12">
        <v>41275</v>
      </c>
      <c r="F979" s="11"/>
      <c r="G979" s="11" t="s">
        <v>279</v>
      </c>
      <c r="H979" s="11" t="s">
        <v>30</v>
      </c>
      <c r="I979" s="11" t="s">
        <v>21969</v>
      </c>
    </row>
    <row r="980" spans="1:9" ht="13.15" x14ac:dyDescent="0.4">
      <c r="A980" s="11" t="s">
        <v>19007</v>
      </c>
      <c r="B980" s="11" t="s">
        <v>6071</v>
      </c>
      <c r="C980" s="11" t="s">
        <v>18721</v>
      </c>
      <c r="D980" s="12">
        <v>41640</v>
      </c>
      <c r="E980" s="12">
        <v>41640</v>
      </c>
      <c r="F980" s="11"/>
      <c r="G980" s="11" t="s">
        <v>279</v>
      </c>
      <c r="H980" s="11" t="s">
        <v>30</v>
      </c>
      <c r="I980" s="11" t="s">
        <v>21852</v>
      </c>
    </row>
    <row r="981" spans="1:9" ht="13.15" x14ac:dyDescent="0.4">
      <c r="A981" s="11" t="s">
        <v>19507</v>
      </c>
      <c r="B981" s="11" t="s">
        <v>6071</v>
      </c>
      <c r="C981" s="11" t="s">
        <v>18721</v>
      </c>
      <c r="D981" s="12">
        <v>41275</v>
      </c>
      <c r="E981" s="12">
        <v>41275</v>
      </c>
      <c r="F981" s="11"/>
      <c r="G981" s="11" t="s">
        <v>279</v>
      </c>
      <c r="H981" s="11" t="s">
        <v>30</v>
      </c>
      <c r="I981" s="11" t="s">
        <v>21352</v>
      </c>
    </row>
    <row r="982" spans="1:9" ht="13.15" x14ac:dyDescent="0.4">
      <c r="A982" s="11" t="s">
        <v>19724</v>
      </c>
      <c r="B982" s="11" t="s">
        <v>6071</v>
      </c>
      <c r="C982" s="11" t="s">
        <v>18721</v>
      </c>
      <c r="D982" s="12">
        <v>41640</v>
      </c>
      <c r="E982" s="12">
        <v>41640</v>
      </c>
      <c r="F982" s="11"/>
      <c r="G982" s="11" t="s">
        <v>279</v>
      </c>
      <c r="H982" s="11" t="s">
        <v>30</v>
      </c>
      <c r="I982" s="11" t="s">
        <v>21135</v>
      </c>
    </row>
    <row r="983" spans="1:9" ht="13.15" x14ac:dyDescent="0.4">
      <c r="A983" s="11" t="s">
        <v>19717</v>
      </c>
      <c r="B983" s="11" t="s">
        <v>6071</v>
      </c>
      <c r="C983" s="11" t="s">
        <v>18721</v>
      </c>
      <c r="D983" s="12">
        <v>41275</v>
      </c>
      <c r="E983" s="12">
        <v>41275</v>
      </c>
      <c r="F983" s="11"/>
      <c r="G983" s="11" t="s">
        <v>279</v>
      </c>
      <c r="H983" s="11" t="s">
        <v>30</v>
      </c>
      <c r="I983" s="11" t="s">
        <v>21142</v>
      </c>
    </row>
    <row r="984" spans="1:9" ht="13.15" x14ac:dyDescent="0.4">
      <c r="A984" s="11" t="s">
        <v>20301</v>
      </c>
      <c r="B984" s="11" t="s">
        <v>6071</v>
      </c>
      <c r="C984" s="11" t="s">
        <v>18721</v>
      </c>
      <c r="D984" s="12">
        <v>41640</v>
      </c>
      <c r="E984" s="12">
        <v>41640</v>
      </c>
      <c r="F984" s="11"/>
      <c r="G984" s="11" t="s">
        <v>279</v>
      </c>
      <c r="H984" s="11" t="s">
        <v>30</v>
      </c>
      <c r="I984" s="11" t="s">
        <v>20558</v>
      </c>
    </row>
    <row r="985" spans="1:9" ht="13.15" x14ac:dyDescent="0.4">
      <c r="A985" s="11" t="s">
        <v>19529</v>
      </c>
      <c r="B985" s="11" t="s">
        <v>6071</v>
      </c>
      <c r="C985" s="11" t="s">
        <v>18721</v>
      </c>
      <c r="D985" s="12">
        <v>41275</v>
      </c>
      <c r="E985" s="12">
        <v>41275</v>
      </c>
      <c r="F985" s="11"/>
      <c r="G985" s="11" t="s">
        <v>279</v>
      </c>
      <c r="H985" s="11" t="s">
        <v>30</v>
      </c>
      <c r="I985" s="11" t="s">
        <v>21330</v>
      </c>
    </row>
    <row r="986" spans="1:9" ht="13.15" x14ac:dyDescent="0.4">
      <c r="A986" s="11" t="s">
        <v>18935</v>
      </c>
      <c r="B986" s="11" t="s">
        <v>6071</v>
      </c>
      <c r="C986" s="11" t="s">
        <v>18721</v>
      </c>
      <c r="D986" s="12">
        <v>41275</v>
      </c>
      <c r="E986" s="12">
        <v>41275</v>
      </c>
      <c r="F986" s="11"/>
      <c r="G986" s="11" t="s">
        <v>279</v>
      </c>
      <c r="H986" s="11" t="s">
        <v>30</v>
      </c>
      <c r="I986" s="11" t="s">
        <v>21924</v>
      </c>
    </row>
    <row r="987" spans="1:9" ht="13.15" x14ac:dyDescent="0.4">
      <c r="A987" s="11" t="s">
        <v>19595</v>
      </c>
      <c r="B987" s="11" t="s">
        <v>6071</v>
      </c>
      <c r="C987" s="11" t="s">
        <v>18721</v>
      </c>
      <c r="D987" s="12">
        <v>41275</v>
      </c>
      <c r="E987" s="12">
        <v>41275</v>
      </c>
      <c r="F987" s="11"/>
      <c r="G987" s="11" t="s">
        <v>279</v>
      </c>
      <c r="H987" s="11" t="s">
        <v>30</v>
      </c>
      <c r="I987" s="11" t="s">
        <v>21264</v>
      </c>
    </row>
    <row r="988" spans="1:9" ht="13.15" x14ac:dyDescent="0.4">
      <c r="A988" s="11" t="s">
        <v>19891</v>
      </c>
      <c r="B988" s="11" t="s">
        <v>6071</v>
      </c>
      <c r="C988" s="11" t="s">
        <v>18721</v>
      </c>
      <c r="D988" s="12">
        <v>41640</v>
      </c>
      <c r="E988" s="12">
        <v>41640</v>
      </c>
      <c r="F988" s="11"/>
      <c r="G988" s="11" t="s">
        <v>279</v>
      </c>
      <c r="H988" s="11" t="s">
        <v>30</v>
      </c>
      <c r="I988" s="11" t="s">
        <v>20968</v>
      </c>
    </row>
    <row r="989" spans="1:9" ht="13.15" x14ac:dyDescent="0.4">
      <c r="A989" s="11" t="s">
        <v>20006</v>
      </c>
      <c r="B989" s="11" t="s">
        <v>6071</v>
      </c>
      <c r="C989" s="11" t="s">
        <v>18721</v>
      </c>
      <c r="D989" s="12">
        <v>41275</v>
      </c>
      <c r="E989" s="12">
        <v>41275</v>
      </c>
      <c r="F989" s="11"/>
      <c r="G989" s="11" t="s">
        <v>279</v>
      </c>
      <c r="H989" s="11" t="s">
        <v>30</v>
      </c>
      <c r="I989" s="11" t="s">
        <v>20853</v>
      </c>
    </row>
    <row r="990" spans="1:9" ht="13.15" x14ac:dyDescent="0.4">
      <c r="A990" s="11" t="s">
        <v>18931</v>
      </c>
      <c r="B990" s="11" t="s">
        <v>6071</v>
      </c>
      <c r="C990" s="11" t="s">
        <v>18721</v>
      </c>
      <c r="D990" s="12">
        <v>41640</v>
      </c>
      <c r="E990" s="12">
        <v>41640</v>
      </c>
      <c r="F990" s="11"/>
      <c r="G990" s="11" t="s">
        <v>279</v>
      </c>
      <c r="H990" s="11" t="s">
        <v>30</v>
      </c>
      <c r="I990" s="11" t="s">
        <v>21928</v>
      </c>
    </row>
    <row r="991" spans="1:9" ht="13.15" x14ac:dyDescent="0.4">
      <c r="A991" s="11" t="s">
        <v>19945</v>
      </c>
      <c r="B991" s="11" t="s">
        <v>6071</v>
      </c>
      <c r="C991" s="11" t="s">
        <v>18721</v>
      </c>
      <c r="D991" s="12">
        <v>41275</v>
      </c>
      <c r="E991" s="12">
        <v>41275</v>
      </c>
      <c r="F991" s="11"/>
      <c r="G991" s="11" t="s">
        <v>279</v>
      </c>
      <c r="H991" s="11" t="s">
        <v>30</v>
      </c>
      <c r="I991" s="11" t="s">
        <v>20914</v>
      </c>
    </row>
    <row r="992" spans="1:9" ht="13.15" x14ac:dyDescent="0.4">
      <c r="A992" s="11" t="s">
        <v>20375</v>
      </c>
      <c r="B992" s="11" t="s">
        <v>6071</v>
      </c>
      <c r="C992" s="11" t="s">
        <v>18721</v>
      </c>
      <c r="D992" s="12">
        <v>41275</v>
      </c>
      <c r="E992" s="12">
        <v>41275</v>
      </c>
      <c r="F992" s="11"/>
      <c r="G992" s="11" t="s">
        <v>279</v>
      </c>
      <c r="H992" s="11" t="s">
        <v>30</v>
      </c>
      <c r="I992" s="11" t="s">
        <v>20484</v>
      </c>
    </row>
    <row r="993" spans="1:9" ht="13.15" x14ac:dyDescent="0.4">
      <c r="A993" s="11" t="s">
        <v>20190</v>
      </c>
      <c r="B993" s="11" t="s">
        <v>6071</v>
      </c>
      <c r="C993" s="11" t="s">
        <v>18721</v>
      </c>
      <c r="D993" s="12">
        <v>41275</v>
      </c>
      <c r="E993" s="12">
        <v>41275</v>
      </c>
      <c r="F993" s="11"/>
      <c r="G993" s="11" t="s">
        <v>279</v>
      </c>
      <c r="H993" s="11" t="s">
        <v>30</v>
      </c>
      <c r="I993" s="11" t="s">
        <v>20669</v>
      </c>
    </row>
    <row r="994" spans="1:9" ht="13.15" x14ac:dyDescent="0.4">
      <c r="A994" s="11" t="s">
        <v>20138</v>
      </c>
      <c r="B994" s="11" t="s">
        <v>6071</v>
      </c>
      <c r="C994" s="11" t="s">
        <v>18721</v>
      </c>
      <c r="D994" s="12">
        <v>41275</v>
      </c>
      <c r="E994" s="12">
        <v>41275</v>
      </c>
      <c r="F994" s="11"/>
      <c r="G994" s="11" t="s">
        <v>279</v>
      </c>
      <c r="H994" s="11" t="s">
        <v>30</v>
      </c>
      <c r="I994" s="11" t="s">
        <v>20721</v>
      </c>
    </row>
    <row r="995" spans="1:9" ht="13.15" x14ac:dyDescent="0.4">
      <c r="A995" s="11" t="s">
        <v>19255</v>
      </c>
      <c r="B995" s="11" t="s">
        <v>6071</v>
      </c>
      <c r="C995" s="11" t="s">
        <v>18721</v>
      </c>
      <c r="D995" s="12">
        <v>41275</v>
      </c>
      <c r="E995" s="12">
        <v>41275</v>
      </c>
      <c r="F995" s="11"/>
      <c r="G995" s="11" t="s">
        <v>279</v>
      </c>
      <c r="H995" s="11" t="s">
        <v>30</v>
      </c>
      <c r="I995" s="11" t="s">
        <v>21604</v>
      </c>
    </row>
    <row r="996" spans="1:9" ht="13.15" x14ac:dyDescent="0.4">
      <c r="A996" s="11" t="s">
        <v>19243</v>
      </c>
      <c r="B996" s="11" t="s">
        <v>6071</v>
      </c>
      <c r="C996" s="11" t="s">
        <v>18721</v>
      </c>
      <c r="D996" s="12">
        <v>41275</v>
      </c>
      <c r="E996" s="12">
        <v>41275</v>
      </c>
      <c r="F996" s="11"/>
      <c r="G996" s="11" t="s">
        <v>279</v>
      </c>
      <c r="H996" s="11" t="s">
        <v>30</v>
      </c>
      <c r="I996" s="11" t="s">
        <v>21616</v>
      </c>
    </row>
    <row r="997" spans="1:9" ht="13.15" x14ac:dyDescent="0.4">
      <c r="A997" s="11" t="s">
        <v>18891</v>
      </c>
      <c r="B997" s="11" t="s">
        <v>6071</v>
      </c>
      <c r="C997" s="11" t="s">
        <v>18721</v>
      </c>
      <c r="D997" s="12">
        <v>41275</v>
      </c>
      <c r="E997" s="12">
        <v>41275</v>
      </c>
      <c r="F997" s="11"/>
      <c r="G997" s="11" t="s">
        <v>279</v>
      </c>
      <c r="H997" s="11" t="s">
        <v>30</v>
      </c>
      <c r="I997" s="11" t="s">
        <v>21968</v>
      </c>
    </row>
    <row r="998" spans="1:9" ht="13.15" x14ac:dyDescent="0.4">
      <c r="A998" s="11" t="s">
        <v>20381</v>
      </c>
      <c r="B998" s="11" t="s">
        <v>6071</v>
      </c>
      <c r="C998" s="11" t="s">
        <v>18721</v>
      </c>
      <c r="D998" s="12">
        <v>41275</v>
      </c>
      <c r="E998" s="12">
        <v>41275</v>
      </c>
      <c r="F998" s="11"/>
      <c r="G998" s="11" t="s">
        <v>279</v>
      </c>
      <c r="H998" s="11" t="s">
        <v>30</v>
      </c>
      <c r="I998" s="11" t="s">
        <v>20478</v>
      </c>
    </row>
    <row r="999" spans="1:9" ht="13.15" x14ac:dyDescent="0.4">
      <c r="A999" s="11" t="s">
        <v>18830</v>
      </c>
      <c r="B999" s="11" t="s">
        <v>6071</v>
      </c>
      <c r="C999" s="11" t="s">
        <v>18721</v>
      </c>
      <c r="D999" s="12">
        <v>41275</v>
      </c>
      <c r="E999" s="12">
        <v>41275</v>
      </c>
      <c r="F999" s="11"/>
      <c r="G999" s="11" t="s">
        <v>279</v>
      </c>
      <c r="H999" s="11" t="s">
        <v>30</v>
      </c>
      <c r="I999" s="11" t="s">
        <v>22029</v>
      </c>
    </row>
    <row r="1000" spans="1:9" ht="13.15" x14ac:dyDescent="0.4">
      <c r="A1000" s="11" t="s">
        <v>18783</v>
      </c>
      <c r="B1000" s="11" t="s">
        <v>6071</v>
      </c>
      <c r="C1000" s="11" t="s">
        <v>18721</v>
      </c>
      <c r="D1000" s="12">
        <v>41275</v>
      </c>
      <c r="E1000" s="12">
        <v>41275</v>
      </c>
      <c r="F1000" s="11"/>
      <c r="G1000" s="11" t="s">
        <v>279</v>
      </c>
      <c r="H1000" s="11" t="s">
        <v>30</v>
      </c>
      <c r="I1000" s="11" t="s">
        <v>22076</v>
      </c>
    </row>
    <row r="1001" spans="1:9" ht="13.15" x14ac:dyDescent="0.4">
      <c r="A1001" s="11" t="s">
        <v>19764</v>
      </c>
      <c r="B1001" s="11" t="s">
        <v>6071</v>
      </c>
      <c r="C1001" s="11" t="s">
        <v>18721</v>
      </c>
      <c r="D1001" s="12">
        <v>41275</v>
      </c>
      <c r="E1001" s="12">
        <v>41275</v>
      </c>
      <c r="F1001" s="11"/>
      <c r="G1001" s="11" t="s">
        <v>279</v>
      </c>
      <c r="H1001" s="11" t="s">
        <v>30</v>
      </c>
      <c r="I1001" s="11" t="s">
        <v>21095</v>
      </c>
    </row>
    <row r="1002" spans="1:9" ht="13.15" x14ac:dyDescent="0.4">
      <c r="A1002" s="11" t="s">
        <v>19796</v>
      </c>
      <c r="B1002" s="11" t="s">
        <v>6071</v>
      </c>
      <c r="C1002" s="11" t="s">
        <v>18721</v>
      </c>
      <c r="D1002" s="12">
        <v>41275</v>
      </c>
      <c r="E1002" s="12">
        <v>41275</v>
      </c>
      <c r="F1002" s="11"/>
      <c r="G1002" s="11" t="s">
        <v>279</v>
      </c>
      <c r="H1002" s="11" t="s">
        <v>30</v>
      </c>
      <c r="I1002" s="11" t="s">
        <v>21063</v>
      </c>
    </row>
    <row r="1003" spans="1:9" ht="13.15" x14ac:dyDescent="0.4">
      <c r="A1003" s="11" t="s">
        <v>18796</v>
      </c>
      <c r="B1003" s="11" t="s">
        <v>6071</v>
      </c>
      <c r="C1003" s="11" t="s">
        <v>18721</v>
      </c>
      <c r="D1003" s="12">
        <v>41275</v>
      </c>
      <c r="E1003" s="12">
        <v>41275</v>
      </c>
      <c r="F1003" s="11"/>
      <c r="G1003" s="11" t="s">
        <v>279</v>
      </c>
      <c r="H1003" s="11" t="s">
        <v>30</v>
      </c>
      <c r="I1003" s="11" t="s">
        <v>22063</v>
      </c>
    </row>
    <row r="1004" spans="1:9" ht="13.15" x14ac:dyDescent="0.4">
      <c r="A1004" s="11" t="s">
        <v>20086</v>
      </c>
      <c r="B1004" s="11" t="s">
        <v>6071</v>
      </c>
      <c r="C1004" s="11" t="s">
        <v>18721</v>
      </c>
      <c r="D1004" s="12">
        <v>41275</v>
      </c>
      <c r="E1004" s="12">
        <v>41275</v>
      </c>
      <c r="F1004" s="11"/>
      <c r="G1004" s="11" t="s">
        <v>279</v>
      </c>
      <c r="H1004" s="11" t="s">
        <v>30</v>
      </c>
      <c r="I1004" s="11" t="s">
        <v>20773</v>
      </c>
    </row>
    <row r="1005" spans="1:9" ht="13.15" x14ac:dyDescent="0.4">
      <c r="A1005" s="11" t="s">
        <v>20247</v>
      </c>
      <c r="B1005" s="11" t="s">
        <v>6071</v>
      </c>
      <c r="C1005" s="11" t="s">
        <v>18721</v>
      </c>
      <c r="D1005" s="12">
        <v>41275</v>
      </c>
      <c r="E1005" s="12">
        <v>41275</v>
      </c>
      <c r="F1005" s="11"/>
      <c r="G1005" s="11" t="s">
        <v>279</v>
      </c>
      <c r="H1005" s="11" t="s">
        <v>30</v>
      </c>
      <c r="I1005" s="11" t="s">
        <v>20612</v>
      </c>
    </row>
    <row r="1006" spans="1:9" ht="13.15" x14ac:dyDescent="0.4">
      <c r="A1006" s="11" t="s">
        <v>20233</v>
      </c>
      <c r="B1006" s="11" t="s">
        <v>6071</v>
      </c>
      <c r="C1006" s="11" t="s">
        <v>18721</v>
      </c>
      <c r="D1006" s="12">
        <v>40909</v>
      </c>
      <c r="E1006" s="12">
        <v>40909</v>
      </c>
      <c r="F1006" s="11"/>
      <c r="G1006" s="11" t="s">
        <v>279</v>
      </c>
      <c r="H1006" s="11" t="s">
        <v>30</v>
      </c>
      <c r="I1006" s="11" t="s">
        <v>20626</v>
      </c>
    </row>
    <row r="1007" spans="1:9" ht="13.15" x14ac:dyDescent="0.4">
      <c r="A1007" s="11" t="s">
        <v>19804</v>
      </c>
      <c r="B1007" s="11" t="s">
        <v>6071</v>
      </c>
      <c r="C1007" s="11" t="s">
        <v>18721</v>
      </c>
      <c r="D1007" s="12">
        <v>40909</v>
      </c>
      <c r="E1007" s="12">
        <v>40909</v>
      </c>
      <c r="F1007" s="11"/>
      <c r="G1007" s="11" t="s">
        <v>279</v>
      </c>
      <c r="H1007" s="11" t="s">
        <v>30</v>
      </c>
      <c r="I1007" s="11" t="s">
        <v>21055</v>
      </c>
    </row>
    <row r="1008" spans="1:9" ht="13.15" x14ac:dyDescent="0.4">
      <c r="A1008" s="11" t="s">
        <v>19193</v>
      </c>
      <c r="B1008" s="11" t="s">
        <v>6071</v>
      </c>
      <c r="C1008" s="11" t="s">
        <v>18721</v>
      </c>
      <c r="D1008" s="12">
        <v>40909</v>
      </c>
      <c r="E1008" s="12">
        <v>40909</v>
      </c>
      <c r="F1008" s="11"/>
      <c r="G1008" s="11" t="s">
        <v>279</v>
      </c>
      <c r="H1008" s="11" t="s">
        <v>30</v>
      </c>
      <c r="I1008" s="11" t="s">
        <v>21666</v>
      </c>
    </row>
    <row r="1009" spans="1:9" ht="13.15" x14ac:dyDescent="0.4">
      <c r="A1009" s="11" t="s">
        <v>19681</v>
      </c>
      <c r="B1009" s="11" t="s">
        <v>6071</v>
      </c>
      <c r="C1009" s="11" t="s">
        <v>18721</v>
      </c>
      <c r="D1009" s="12">
        <v>40909</v>
      </c>
      <c r="E1009" s="12">
        <v>40909</v>
      </c>
      <c r="F1009" s="11"/>
      <c r="G1009" s="11" t="s">
        <v>279</v>
      </c>
      <c r="H1009" s="11" t="s">
        <v>30</v>
      </c>
      <c r="I1009" s="11" t="s">
        <v>21178</v>
      </c>
    </row>
    <row r="1010" spans="1:9" ht="13.15" x14ac:dyDescent="0.4">
      <c r="A1010" s="11" t="s">
        <v>19931</v>
      </c>
      <c r="B1010" s="11" t="s">
        <v>6071</v>
      </c>
      <c r="C1010" s="11" t="s">
        <v>18721</v>
      </c>
      <c r="D1010" s="12">
        <v>40909</v>
      </c>
      <c r="E1010" s="12">
        <v>40909</v>
      </c>
      <c r="F1010" s="11"/>
      <c r="G1010" s="11" t="s">
        <v>279</v>
      </c>
      <c r="H1010" s="11" t="s">
        <v>30</v>
      </c>
      <c r="I1010" s="11" t="s">
        <v>20928</v>
      </c>
    </row>
    <row r="1011" spans="1:9" ht="13.15" x14ac:dyDescent="0.4">
      <c r="A1011" s="11" t="s">
        <v>19356</v>
      </c>
      <c r="B1011" s="11" t="s">
        <v>6071</v>
      </c>
      <c r="C1011" s="11" t="s">
        <v>18721</v>
      </c>
      <c r="D1011" s="12">
        <v>40909</v>
      </c>
      <c r="E1011" s="12">
        <v>40909</v>
      </c>
      <c r="F1011" s="11"/>
      <c r="G1011" s="11" t="s">
        <v>279</v>
      </c>
      <c r="H1011" s="11" t="s">
        <v>30</v>
      </c>
      <c r="I1011" s="11" t="s">
        <v>21503</v>
      </c>
    </row>
    <row r="1012" spans="1:9" ht="13.15" x14ac:dyDescent="0.4">
      <c r="A1012" s="11" t="s">
        <v>19509</v>
      </c>
      <c r="B1012" s="11" t="s">
        <v>6071</v>
      </c>
      <c r="C1012" s="11" t="s">
        <v>18721</v>
      </c>
      <c r="D1012" s="12">
        <v>40909</v>
      </c>
      <c r="E1012" s="12">
        <v>40909</v>
      </c>
      <c r="F1012" s="11"/>
      <c r="G1012" s="11" t="s">
        <v>279</v>
      </c>
      <c r="H1012" s="11" t="s">
        <v>30</v>
      </c>
      <c r="I1012" s="11" t="s">
        <v>21350</v>
      </c>
    </row>
    <row r="1013" spans="1:9" ht="13.15" x14ac:dyDescent="0.4">
      <c r="A1013" s="11" t="s">
        <v>19219</v>
      </c>
      <c r="B1013" s="11" t="s">
        <v>6071</v>
      </c>
      <c r="C1013" s="11" t="s">
        <v>18721</v>
      </c>
      <c r="D1013" s="12">
        <v>41275</v>
      </c>
      <c r="E1013" s="12">
        <v>41275</v>
      </c>
      <c r="F1013" s="11"/>
      <c r="G1013" s="11" t="s">
        <v>279</v>
      </c>
      <c r="H1013" s="11" t="s">
        <v>30</v>
      </c>
      <c r="I1013" s="11" t="s">
        <v>21640</v>
      </c>
    </row>
    <row r="1014" spans="1:9" ht="13.15" x14ac:dyDescent="0.4">
      <c r="A1014" s="11" t="s">
        <v>18743</v>
      </c>
      <c r="B1014" s="11" t="s">
        <v>6071</v>
      </c>
      <c r="C1014" s="11" t="s">
        <v>18721</v>
      </c>
      <c r="D1014" s="12">
        <v>41275</v>
      </c>
      <c r="E1014" s="12">
        <v>41275</v>
      </c>
      <c r="F1014" s="11"/>
      <c r="G1014" s="11" t="s">
        <v>279</v>
      </c>
      <c r="H1014" s="11" t="s">
        <v>30</v>
      </c>
      <c r="I1014" s="11" t="s">
        <v>22116</v>
      </c>
    </row>
    <row r="1015" spans="1:9" ht="13.15" x14ac:dyDescent="0.4">
      <c r="A1015" s="11" t="s">
        <v>19860</v>
      </c>
      <c r="B1015" s="11" t="s">
        <v>6071</v>
      </c>
      <c r="C1015" s="11" t="s">
        <v>18721</v>
      </c>
      <c r="D1015" s="12">
        <v>41275</v>
      </c>
      <c r="E1015" s="12">
        <v>41275</v>
      </c>
      <c r="F1015" s="11"/>
      <c r="G1015" s="11" t="s">
        <v>279</v>
      </c>
      <c r="H1015" s="11" t="s">
        <v>30</v>
      </c>
      <c r="I1015" s="11" t="s">
        <v>20999</v>
      </c>
    </row>
    <row r="1016" spans="1:9" ht="13.15" x14ac:dyDescent="0.4">
      <c r="A1016" s="11" t="s">
        <v>19078</v>
      </c>
      <c r="B1016" s="11" t="s">
        <v>6071</v>
      </c>
      <c r="C1016" s="11" t="s">
        <v>18721</v>
      </c>
      <c r="D1016" s="12">
        <v>41275</v>
      </c>
      <c r="E1016" s="12">
        <v>41275</v>
      </c>
      <c r="F1016" s="11"/>
      <c r="G1016" s="11" t="s">
        <v>279</v>
      </c>
      <c r="H1016" s="11" t="s">
        <v>30</v>
      </c>
      <c r="I1016" s="11" t="s">
        <v>21781</v>
      </c>
    </row>
    <row r="1017" spans="1:9" ht="13.15" x14ac:dyDescent="0.4">
      <c r="A1017" s="11" t="s">
        <v>19644</v>
      </c>
      <c r="B1017" s="11" t="s">
        <v>6071</v>
      </c>
      <c r="C1017" s="11" t="s">
        <v>18721</v>
      </c>
      <c r="D1017" s="12">
        <v>41275</v>
      </c>
      <c r="E1017" s="12">
        <v>41275</v>
      </c>
      <c r="F1017" s="11"/>
      <c r="G1017" s="11" t="s">
        <v>279</v>
      </c>
      <c r="H1017" s="11" t="s">
        <v>30</v>
      </c>
      <c r="I1017" s="11" t="s">
        <v>21215</v>
      </c>
    </row>
    <row r="1018" spans="1:9" ht="13.15" x14ac:dyDescent="0.4">
      <c r="A1018" s="11" t="s">
        <v>18918</v>
      </c>
      <c r="B1018" s="11" t="s">
        <v>6071</v>
      </c>
      <c r="C1018" s="11" t="s">
        <v>18721</v>
      </c>
      <c r="D1018" s="12">
        <v>41275</v>
      </c>
      <c r="E1018" s="12">
        <v>41275</v>
      </c>
      <c r="F1018" s="11"/>
      <c r="G1018" s="11" t="s">
        <v>279</v>
      </c>
      <c r="H1018" s="11" t="s">
        <v>30</v>
      </c>
      <c r="I1018" s="11" t="s">
        <v>21941</v>
      </c>
    </row>
    <row r="1019" spans="1:9" ht="13.15" x14ac:dyDescent="0.4">
      <c r="A1019" s="11" t="s">
        <v>19588</v>
      </c>
      <c r="B1019" s="11" t="s">
        <v>6071</v>
      </c>
      <c r="C1019" s="11" t="s">
        <v>18721</v>
      </c>
      <c r="D1019" s="12">
        <v>41275</v>
      </c>
      <c r="E1019" s="12">
        <v>41275</v>
      </c>
      <c r="F1019" s="11"/>
      <c r="G1019" s="11" t="s">
        <v>279</v>
      </c>
      <c r="H1019" s="11" t="s">
        <v>30</v>
      </c>
      <c r="I1019" s="11" t="s">
        <v>21271</v>
      </c>
    </row>
    <row r="1020" spans="1:9" ht="13.15" x14ac:dyDescent="0.4">
      <c r="A1020" s="11" t="s">
        <v>19557</v>
      </c>
      <c r="B1020" s="11" t="s">
        <v>6071</v>
      </c>
      <c r="C1020" s="11" t="s">
        <v>18721</v>
      </c>
      <c r="D1020" s="12">
        <v>41275</v>
      </c>
      <c r="E1020" s="12">
        <v>41275</v>
      </c>
      <c r="F1020" s="11"/>
      <c r="G1020" s="11" t="s">
        <v>279</v>
      </c>
      <c r="H1020" s="11" t="s">
        <v>30</v>
      </c>
      <c r="I1020" s="11" t="s">
        <v>21302</v>
      </c>
    </row>
    <row r="1021" spans="1:9" ht="13.15" x14ac:dyDescent="0.4">
      <c r="A1021" s="11" t="s">
        <v>18727</v>
      </c>
      <c r="B1021" s="11" t="s">
        <v>6071</v>
      </c>
      <c r="C1021" s="11" t="s">
        <v>18721</v>
      </c>
      <c r="D1021" s="12">
        <v>41275</v>
      </c>
      <c r="E1021" s="12">
        <v>41275</v>
      </c>
      <c r="F1021" s="11"/>
      <c r="G1021" s="11" t="s">
        <v>279</v>
      </c>
      <c r="H1021" s="11" t="s">
        <v>30</v>
      </c>
      <c r="I1021" s="11" t="s">
        <v>22132</v>
      </c>
    </row>
    <row r="1022" spans="1:9" ht="13.15" x14ac:dyDescent="0.4">
      <c r="A1022" s="11" t="s">
        <v>19871</v>
      </c>
      <c r="B1022" s="11" t="s">
        <v>6071</v>
      </c>
      <c r="C1022" s="11" t="s">
        <v>18721</v>
      </c>
      <c r="D1022" s="12">
        <v>41275</v>
      </c>
      <c r="E1022" s="12">
        <v>41275</v>
      </c>
      <c r="F1022" s="11"/>
      <c r="G1022" s="11" t="s">
        <v>279</v>
      </c>
      <c r="H1022" s="11" t="s">
        <v>30</v>
      </c>
      <c r="I1022" s="11" t="s">
        <v>20988</v>
      </c>
    </row>
    <row r="1023" spans="1:9" ht="13.15" x14ac:dyDescent="0.4">
      <c r="A1023" s="11" t="s">
        <v>20413</v>
      </c>
      <c r="B1023" s="11" t="s">
        <v>6071</v>
      </c>
      <c r="C1023" s="11" t="s">
        <v>18721</v>
      </c>
      <c r="D1023" s="12">
        <v>41275</v>
      </c>
      <c r="E1023" s="12">
        <v>41275</v>
      </c>
      <c r="F1023" s="11"/>
      <c r="G1023" s="11" t="s">
        <v>279</v>
      </c>
      <c r="H1023" s="11" t="s">
        <v>30</v>
      </c>
      <c r="I1023" s="11" t="s">
        <v>20446</v>
      </c>
    </row>
    <row r="1024" spans="1:9" ht="13.15" x14ac:dyDescent="0.4">
      <c r="A1024" s="11" t="s">
        <v>20033</v>
      </c>
      <c r="B1024" s="11" t="s">
        <v>6071</v>
      </c>
      <c r="C1024" s="11" t="s">
        <v>18721</v>
      </c>
      <c r="D1024" s="12">
        <v>41275</v>
      </c>
      <c r="E1024" s="12">
        <v>41275</v>
      </c>
      <c r="F1024" s="11"/>
      <c r="G1024" s="11" t="s">
        <v>279</v>
      </c>
      <c r="H1024" s="11" t="s">
        <v>30</v>
      </c>
      <c r="I1024" s="11" t="s">
        <v>20826</v>
      </c>
    </row>
    <row r="1025" spans="1:9" ht="13.15" x14ac:dyDescent="0.4">
      <c r="A1025" s="11" t="s">
        <v>19733</v>
      </c>
      <c r="B1025" s="11" t="s">
        <v>6071</v>
      </c>
      <c r="C1025" s="11" t="s">
        <v>18721</v>
      </c>
      <c r="D1025" s="12">
        <v>41275</v>
      </c>
      <c r="E1025" s="12">
        <v>41275</v>
      </c>
      <c r="F1025" s="11"/>
      <c r="G1025" s="11" t="s">
        <v>279</v>
      </c>
      <c r="H1025" s="11" t="s">
        <v>30</v>
      </c>
      <c r="I1025" s="11" t="s">
        <v>21126</v>
      </c>
    </row>
    <row r="1026" spans="1:9" ht="13.15" x14ac:dyDescent="0.4">
      <c r="A1026" s="11" t="s">
        <v>18770</v>
      </c>
      <c r="B1026" s="11" t="s">
        <v>6071</v>
      </c>
      <c r="C1026" s="11" t="s">
        <v>18721</v>
      </c>
      <c r="D1026" s="12">
        <v>41275</v>
      </c>
      <c r="E1026" s="12">
        <v>41275</v>
      </c>
      <c r="F1026" s="11"/>
      <c r="G1026" s="11" t="s">
        <v>279</v>
      </c>
      <c r="H1026" s="11" t="s">
        <v>30</v>
      </c>
      <c r="I1026" s="11" t="s">
        <v>22089</v>
      </c>
    </row>
    <row r="1027" spans="1:9" ht="13.15" x14ac:dyDescent="0.4">
      <c r="A1027" s="11" t="s">
        <v>18979</v>
      </c>
      <c r="B1027" s="11" t="s">
        <v>6071</v>
      </c>
      <c r="C1027" s="11" t="s">
        <v>18721</v>
      </c>
      <c r="D1027" s="12">
        <v>40909</v>
      </c>
      <c r="E1027" s="12">
        <v>40909</v>
      </c>
      <c r="F1027" s="11"/>
      <c r="G1027" s="11" t="s">
        <v>279</v>
      </c>
      <c r="H1027" s="11" t="s">
        <v>30</v>
      </c>
      <c r="I1027" s="11" t="s">
        <v>21880</v>
      </c>
    </row>
    <row r="1028" spans="1:9" ht="13.15" x14ac:dyDescent="0.4">
      <c r="A1028" s="11" t="s">
        <v>19161</v>
      </c>
      <c r="B1028" s="11" t="s">
        <v>6071</v>
      </c>
      <c r="C1028" s="11" t="s">
        <v>18721</v>
      </c>
      <c r="D1028" s="12">
        <v>40909</v>
      </c>
      <c r="E1028" s="12">
        <v>40909</v>
      </c>
      <c r="F1028" s="11"/>
      <c r="G1028" s="11" t="s">
        <v>279</v>
      </c>
      <c r="H1028" s="11" t="s">
        <v>30</v>
      </c>
      <c r="I1028" s="11" t="s">
        <v>21698</v>
      </c>
    </row>
    <row r="1029" spans="1:9" ht="13.15" x14ac:dyDescent="0.4">
      <c r="A1029" s="11" t="s">
        <v>20273</v>
      </c>
      <c r="B1029" s="11" t="s">
        <v>6071</v>
      </c>
      <c r="C1029" s="11" t="s">
        <v>18721</v>
      </c>
      <c r="D1029" s="12">
        <v>41640</v>
      </c>
      <c r="E1029" s="12">
        <v>41640</v>
      </c>
      <c r="F1029" s="11"/>
      <c r="G1029" s="11" t="s">
        <v>279</v>
      </c>
      <c r="H1029" s="11" t="s">
        <v>30</v>
      </c>
      <c r="I1029" s="11" t="s">
        <v>20586</v>
      </c>
    </row>
    <row r="1030" spans="1:9" ht="13.15" x14ac:dyDescent="0.4">
      <c r="A1030" s="11" t="s">
        <v>20343</v>
      </c>
      <c r="B1030" s="11" t="s">
        <v>6071</v>
      </c>
      <c r="C1030" s="11" t="s">
        <v>18721</v>
      </c>
      <c r="D1030" s="12">
        <v>41640</v>
      </c>
      <c r="E1030" s="12">
        <v>41640</v>
      </c>
      <c r="F1030" s="11"/>
      <c r="G1030" s="11" t="s">
        <v>279</v>
      </c>
      <c r="H1030" s="11" t="s">
        <v>30</v>
      </c>
      <c r="I1030" s="11" t="s">
        <v>20516</v>
      </c>
    </row>
    <row r="1031" spans="1:9" ht="13.15" x14ac:dyDescent="0.4">
      <c r="A1031" s="11" t="s">
        <v>19420</v>
      </c>
      <c r="B1031" s="11" t="s">
        <v>6071</v>
      </c>
      <c r="C1031" s="11" t="s">
        <v>18721</v>
      </c>
      <c r="D1031" s="12">
        <v>41640</v>
      </c>
      <c r="E1031" s="12">
        <v>41640</v>
      </c>
      <c r="F1031" s="11"/>
      <c r="G1031" s="11" t="s">
        <v>279</v>
      </c>
      <c r="H1031" s="11" t="s">
        <v>30</v>
      </c>
      <c r="I1031" s="11" t="s">
        <v>21439</v>
      </c>
    </row>
    <row r="1032" spans="1:9" ht="13.15" x14ac:dyDescent="0.4">
      <c r="A1032" s="11" t="s">
        <v>20256</v>
      </c>
      <c r="B1032" s="11" t="s">
        <v>6071</v>
      </c>
      <c r="C1032" s="11" t="s">
        <v>18721</v>
      </c>
      <c r="D1032" s="12">
        <v>41640</v>
      </c>
      <c r="E1032" s="12">
        <v>41640</v>
      </c>
      <c r="F1032" s="11"/>
      <c r="G1032" s="11" t="s">
        <v>279</v>
      </c>
      <c r="H1032" s="11" t="s">
        <v>30</v>
      </c>
      <c r="I1032" s="11" t="s">
        <v>20603</v>
      </c>
    </row>
    <row r="1033" spans="1:9" ht="13.15" x14ac:dyDescent="0.4">
      <c r="A1033" s="11" t="s">
        <v>19403</v>
      </c>
      <c r="B1033" s="11" t="s">
        <v>6071</v>
      </c>
      <c r="C1033" s="11" t="s">
        <v>18721</v>
      </c>
      <c r="D1033" s="12">
        <v>41640</v>
      </c>
      <c r="E1033" s="12">
        <v>41640</v>
      </c>
      <c r="F1033" s="11"/>
      <c r="G1033" s="11" t="s">
        <v>279</v>
      </c>
      <c r="H1033" s="11" t="s">
        <v>30</v>
      </c>
      <c r="I1033" s="11" t="s">
        <v>21456</v>
      </c>
    </row>
    <row r="1034" spans="1:9" ht="13.15" x14ac:dyDescent="0.4">
      <c r="A1034" s="11" t="s">
        <v>19726</v>
      </c>
      <c r="B1034" s="11" t="s">
        <v>6071</v>
      </c>
      <c r="C1034" s="11" t="s">
        <v>18721</v>
      </c>
      <c r="D1034" s="12">
        <v>41275</v>
      </c>
      <c r="E1034" s="12">
        <v>41275</v>
      </c>
      <c r="F1034" s="11"/>
      <c r="G1034" s="11" t="s">
        <v>279</v>
      </c>
      <c r="H1034" s="11" t="s">
        <v>30</v>
      </c>
      <c r="I1034" s="11" t="s">
        <v>21133</v>
      </c>
    </row>
    <row r="1035" spans="1:9" ht="13.15" x14ac:dyDescent="0.4">
      <c r="A1035" s="11" t="s">
        <v>19155</v>
      </c>
      <c r="B1035" s="11" t="s">
        <v>6071</v>
      </c>
      <c r="C1035" s="11" t="s">
        <v>18721</v>
      </c>
      <c r="D1035" s="12">
        <v>41275</v>
      </c>
      <c r="E1035" s="12">
        <v>41275</v>
      </c>
      <c r="F1035" s="11"/>
      <c r="G1035" s="11" t="s">
        <v>279</v>
      </c>
      <c r="H1035" s="11" t="s">
        <v>30</v>
      </c>
      <c r="I1035" s="11" t="s">
        <v>21704</v>
      </c>
    </row>
    <row r="1036" spans="1:9" ht="13.15" x14ac:dyDescent="0.4">
      <c r="A1036" s="11" t="s">
        <v>20344</v>
      </c>
      <c r="B1036" s="11" t="s">
        <v>6071</v>
      </c>
      <c r="C1036" s="11" t="s">
        <v>18721</v>
      </c>
      <c r="D1036" s="12">
        <v>41640</v>
      </c>
      <c r="E1036" s="12">
        <v>41640</v>
      </c>
      <c r="F1036" s="11"/>
      <c r="G1036" s="11" t="s">
        <v>279</v>
      </c>
      <c r="H1036" s="11" t="s">
        <v>30</v>
      </c>
      <c r="I1036" s="11" t="s">
        <v>20515</v>
      </c>
    </row>
    <row r="1037" spans="1:9" ht="13.15" x14ac:dyDescent="0.4">
      <c r="A1037" s="11" t="s">
        <v>19927</v>
      </c>
      <c r="B1037" s="11" t="s">
        <v>6071</v>
      </c>
      <c r="C1037" s="11" t="s">
        <v>18721</v>
      </c>
      <c r="D1037" s="12">
        <v>41275</v>
      </c>
      <c r="E1037" s="12">
        <v>41275</v>
      </c>
      <c r="F1037" s="11"/>
      <c r="G1037" s="11" t="s">
        <v>279</v>
      </c>
      <c r="H1037" s="11" t="s">
        <v>30</v>
      </c>
      <c r="I1037" s="11" t="s">
        <v>20932</v>
      </c>
    </row>
    <row r="1038" spans="1:9" ht="13.15" x14ac:dyDescent="0.4">
      <c r="A1038" s="11" t="s">
        <v>19977</v>
      </c>
      <c r="B1038" s="11" t="s">
        <v>6071</v>
      </c>
      <c r="C1038" s="11" t="s">
        <v>18721</v>
      </c>
      <c r="D1038" s="12">
        <v>41640</v>
      </c>
      <c r="E1038" s="12">
        <v>41640</v>
      </c>
      <c r="F1038" s="11"/>
      <c r="G1038" s="11" t="s">
        <v>279</v>
      </c>
      <c r="H1038" s="11" t="s">
        <v>30</v>
      </c>
      <c r="I1038" s="11" t="s">
        <v>20882</v>
      </c>
    </row>
    <row r="1039" spans="1:9" ht="13.15" x14ac:dyDescent="0.4">
      <c r="A1039" s="11" t="s">
        <v>18913</v>
      </c>
      <c r="B1039" s="11" t="s">
        <v>6071</v>
      </c>
      <c r="C1039" s="11" t="s">
        <v>18721</v>
      </c>
      <c r="D1039" s="12">
        <v>41640</v>
      </c>
      <c r="E1039" s="12">
        <v>41640</v>
      </c>
      <c r="F1039" s="11"/>
      <c r="G1039" s="11" t="s">
        <v>279</v>
      </c>
      <c r="H1039" s="11" t="s">
        <v>30</v>
      </c>
      <c r="I1039" s="11" t="s">
        <v>21946</v>
      </c>
    </row>
    <row r="1040" spans="1:9" ht="13.15" x14ac:dyDescent="0.4">
      <c r="A1040" s="11" t="s">
        <v>19154</v>
      </c>
      <c r="B1040" s="11" t="s">
        <v>6071</v>
      </c>
      <c r="C1040" s="11" t="s">
        <v>18721</v>
      </c>
      <c r="D1040" s="12">
        <v>41275</v>
      </c>
      <c r="E1040" s="12">
        <v>41275</v>
      </c>
      <c r="F1040" s="11"/>
      <c r="G1040" s="11" t="s">
        <v>279</v>
      </c>
      <c r="H1040" s="11" t="s">
        <v>30</v>
      </c>
      <c r="I1040" s="11" t="s">
        <v>21705</v>
      </c>
    </row>
    <row r="1041" spans="1:9" ht="13.15" x14ac:dyDescent="0.4">
      <c r="A1041" s="11" t="s">
        <v>19114</v>
      </c>
      <c r="B1041" s="11" t="s">
        <v>6071</v>
      </c>
      <c r="C1041" s="11" t="s">
        <v>18721</v>
      </c>
      <c r="D1041" s="12">
        <v>41275</v>
      </c>
      <c r="E1041" s="12">
        <v>41275</v>
      </c>
      <c r="F1041" s="11"/>
      <c r="G1041" s="11" t="s">
        <v>279</v>
      </c>
      <c r="H1041" s="11" t="s">
        <v>30</v>
      </c>
      <c r="I1041" s="11" t="s">
        <v>21745</v>
      </c>
    </row>
    <row r="1042" spans="1:9" ht="13.15" x14ac:dyDescent="0.4">
      <c r="A1042" s="11" t="s">
        <v>19752</v>
      </c>
      <c r="B1042" s="11" t="s">
        <v>6071</v>
      </c>
      <c r="C1042" s="11" t="s">
        <v>18721</v>
      </c>
      <c r="D1042" s="12">
        <v>41640</v>
      </c>
      <c r="E1042" s="12">
        <v>41640</v>
      </c>
      <c r="F1042" s="11"/>
      <c r="G1042" s="11" t="s">
        <v>279</v>
      </c>
      <c r="H1042" s="11" t="s">
        <v>30</v>
      </c>
      <c r="I1042" s="11" t="s">
        <v>21107</v>
      </c>
    </row>
    <row r="1043" spans="1:9" ht="13.15" x14ac:dyDescent="0.4">
      <c r="A1043" s="11" t="s">
        <v>18967</v>
      </c>
      <c r="B1043" s="11" t="s">
        <v>6071</v>
      </c>
      <c r="C1043" s="11" t="s">
        <v>18721</v>
      </c>
      <c r="D1043" s="12">
        <v>41275</v>
      </c>
      <c r="E1043" s="12">
        <v>41275</v>
      </c>
      <c r="F1043" s="11"/>
      <c r="G1043" s="11" t="s">
        <v>279</v>
      </c>
      <c r="H1043" s="11" t="s">
        <v>30</v>
      </c>
      <c r="I1043" s="11" t="s">
        <v>21892</v>
      </c>
    </row>
    <row r="1044" spans="1:9" ht="13.15" x14ac:dyDescent="0.4">
      <c r="A1044" s="11" t="s">
        <v>19706</v>
      </c>
      <c r="B1044" s="11" t="s">
        <v>6071</v>
      </c>
      <c r="C1044" s="11" t="s">
        <v>18721</v>
      </c>
      <c r="D1044" s="12">
        <v>41640</v>
      </c>
      <c r="E1044" s="12">
        <v>41640</v>
      </c>
      <c r="F1044" s="11"/>
      <c r="G1044" s="11" t="s">
        <v>279</v>
      </c>
      <c r="H1044" s="11" t="s">
        <v>30</v>
      </c>
      <c r="I1044" s="11" t="s">
        <v>21153</v>
      </c>
    </row>
    <row r="1045" spans="1:9" ht="13.15" x14ac:dyDescent="0.4">
      <c r="A1045" s="11" t="s">
        <v>19856</v>
      </c>
      <c r="B1045" s="11" t="s">
        <v>6071</v>
      </c>
      <c r="C1045" s="11" t="s">
        <v>18721</v>
      </c>
      <c r="D1045" s="12">
        <v>41640</v>
      </c>
      <c r="E1045" s="12">
        <v>41640</v>
      </c>
      <c r="F1045" s="11"/>
      <c r="G1045" s="11" t="s">
        <v>279</v>
      </c>
      <c r="H1045" s="11" t="s">
        <v>30</v>
      </c>
      <c r="I1045" s="11" t="s">
        <v>21003</v>
      </c>
    </row>
    <row r="1046" spans="1:9" ht="13.15" x14ac:dyDescent="0.4">
      <c r="A1046" s="11" t="s">
        <v>20057</v>
      </c>
      <c r="B1046" s="11" t="s">
        <v>6071</v>
      </c>
      <c r="C1046" s="11" t="s">
        <v>18721</v>
      </c>
      <c r="D1046" s="12">
        <v>41275</v>
      </c>
      <c r="E1046" s="12">
        <v>41275</v>
      </c>
      <c r="F1046" s="11"/>
      <c r="G1046" s="11" t="s">
        <v>279</v>
      </c>
      <c r="H1046" s="11" t="s">
        <v>30</v>
      </c>
      <c r="I1046" s="11" t="s">
        <v>20802</v>
      </c>
    </row>
    <row r="1047" spans="1:9" ht="13.15" x14ac:dyDescent="0.4">
      <c r="A1047" s="11" t="s">
        <v>19228</v>
      </c>
      <c r="B1047" s="11" t="s">
        <v>6071</v>
      </c>
      <c r="C1047" s="11" t="s">
        <v>18721</v>
      </c>
      <c r="D1047" s="12">
        <v>41275</v>
      </c>
      <c r="E1047" s="12">
        <v>41275</v>
      </c>
      <c r="F1047" s="11"/>
      <c r="G1047" s="11" t="s">
        <v>279</v>
      </c>
      <c r="H1047" s="11" t="s">
        <v>30</v>
      </c>
      <c r="I1047" s="11" t="s">
        <v>21631</v>
      </c>
    </row>
    <row r="1048" spans="1:9" ht="13.15" x14ac:dyDescent="0.4">
      <c r="A1048" s="11" t="s">
        <v>20197</v>
      </c>
      <c r="B1048" s="11" t="s">
        <v>6071</v>
      </c>
      <c r="C1048" s="11" t="s">
        <v>18721</v>
      </c>
      <c r="D1048" s="12">
        <v>41640</v>
      </c>
      <c r="E1048" s="12">
        <v>41640</v>
      </c>
      <c r="F1048" s="11"/>
      <c r="G1048" s="11" t="s">
        <v>279</v>
      </c>
      <c r="H1048" s="11" t="s">
        <v>30</v>
      </c>
      <c r="I1048" s="11" t="s">
        <v>20662</v>
      </c>
    </row>
    <row r="1049" spans="1:9" ht="13.15" x14ac:dyDescent="0.4">
      <c r="A1049" s="11" t="s">
        <v>18976</v>
      </c>
      <c r="B1049" s="11" t="s">
        <v>6071</v>
      </c>
      <c r="C1049" s="11" t="s">
        <v>18721</v>
      </c>
      <c r="D1049" s="12">
        <v>41275</v>
      </c>
      <c r="E1049" s="12">
        <v>41275</v>
      </c>
      <c r="F1049" s="11"/>
      <c r="G1049" s="11" t="s">
        <v>279</v>
      </c>
      <c r="H1049" s="11" t="s">
        <v>30</v>
      </c>
      <c r="I1049" s="11" t="s">
        <v>21883</v>
      </c>
    </row>
    <row r="1050" spans="1:9" ht="13.15" x14ac:dyDescent="0.4">
      <c r="A1050" s="11" t="s">
        <v>20410</v>
      </c>
      <c r="B1050" s="11" t="s">
        <v>6071</v>
      </c>
      <c r="C1050" s="11" t="s">
        <v>18721</v>
      </c>
      <c r="D1050" s="12">
        <v>41640</v>
      </c>
      <c r="E1050" s="12">
        <v>41640</v>
      </c>
      <c r="F1050" s="11"/>
      <c r="G1050" s="11" t="s">
        <v>279</v>
      </c>
      <c r="H1050" s="11" t="s">
        <v>30</v>
      </c>
      <c r="I1050" s="11" t="s">
        <v>20449</v>
      </c>
    </row>
    <row r="1051" spans="1:9" ht="13.15" x14ac:dyDescent="0.4">
      <c r="A1051" s="11" t="s">
        <v>19376</v>
      </c>
      <c r="B1051" s="11" t="s">
        <v>6071</v>
      </c>
      <c r="C1051" s="11" t="s">
        <v>18721</v>
      </c>
      <c r="D1051" s="12">
        <v>41275</v>
      </c>
      <c r="E1051" s="12">
        <v>41275</v>
      </c>
      <c r="F1051" s="11"/>
      <c r="G1051" s="11" t="s">
        <v>279</v>
      </c>
      <c r="H1051" s="11" t="s">
        <v>30</v>
      </c>
      <c r="I1051" s="11" t="s">
        <v>21483</v>
      </c>
    </row>
    <row r="1052" spans="1:9" ht="13.15" x14ac:dyDescent="0.4">
      <c r="A1052" s="11" t="s">
        <v>18816</v>
      </c>
      <c r="B1052" s="11" t="s">
        <v>6071</v>
      </c>
      <c r="C1052" s="11" t="s">
        <v>18721</v>
      </c>
      <c r="D1052" s="12">
        <v>41275</v>
      </c>
      <c r="E1052" s="12">
        <v>41275</v>
      </c>
      <c r="F1052" s="11"/>
      <c r="G1052" s="11" t="s">
        <v>279</v>
      </c>
      <c r="H1052" s="11" t="s">
        <v>30</v>
      </c>
      <c r="I1052" s="11" t="s">
        <v>22043</v>
      </c>
    </row>
    <row r="1053" spans="1:9" ht="13.15" x14ac:dyDescent="0.4">
      <c r="A1053" s="11" t="s">
        <v>19698</v>
      </c>
      <c r="B1053" s="11" t="s">
        <v>6071</v>
      </c>
      <c r="C1053" s="11" t="s">
        <v>18721</v>
      </c>
      <c r="D1053" s="12">
        <v>41275</v>
      </c>
      <c r="E1053" s="12">
        <v>41275</v>
      </c>
      <c r="F1053" s="11"/>
      <c r="G1053" s="11" t="s">
        <v>279</v>
      </c>
      <c r="H1053" s="11" t="s">
        <v>30</v>
      </c>
      <c r="I1053" s="11" t="s">
        <v>21161</v>
      </c>
    </row>
    <row r="1054" spans="1:9" ht="13.15" x14ac:dyDescent="0.4">
      <c r="A1054" s="11" t="s">
        <v>20146</v>
      </c>
      <c r="B1054" s="11" t="s">
        <v>6071</v>
      </c>
      <c r="C1054" s="11" t="s">
        <v>18721</v>
      </c>
      <c r="D1054" s="12">
        <v>41640</v>
      </c>
      <c r="E1054" s="12">
        <v>41640</v>
      </c>
      <c r="F1054" s="11"/>
      <c r="G1054" s="11" t="s">
        <v>279</v>
      </c>
      <c r="H1054" s="11" t="s">
        <v>30</v>
      </c>
      <c r="I1054" s="11" t="s">
        <v>20713</v>
      </c>
    </row>
    <row r="1055" spans="1:9" ht="13.15" x14ac:dyDescent="0.4">
      <c r="A1055" s="11" t="s">
        <v>20246</v>
      </c>
      <c r="B1055" s="11" t="s">
        <v>6071</v>
      </c>
      <c r="C1055" s="11" t="s">
        <v>18721</v>
      </c>
      <c r="D1055" s="12">
        <v>41640</v>
      </c>
      <c r="E1055" s="12">
        <v>41640</v>
      </c>
      <c r="F1055" s="11"/>
      <c r="G1055" s="11" t="s">
        <v>279</v>
      </c>
      <c r="H1055" s="11" t="s">
        <v>30</v>
      </c>
      <c r="I1055" s="11" t="s">
        <v>20613</v>
      </c>
    </row>
    <row r="1056" spans="1:9" ht="13.15" x14ac:dyDescent="0.4">
      <c r="A1056" s="11" t="s">
        <v>19549</v>
      </c>
      <c r="B1056" s="11" t="s">
        <v>6071</v>
      </c>
      <c r="C1056" s="11" t="s">
        <v>18721</v>
      </c>
      <c r="D1056" s="12">
        <v>41640</v>
      </c>
      <c r="E1056" s="12">
        <v>41640</v>
      </c>
      <c r="F1056" s="11"/>
      <c r="G1056" s="11" t="s">
        <v>279</v>
      </c>
      <c r="H1056" s="11" t="s">
        <v>30</v>
      </c>
      <c r="I1056" s="11" t="s">
        <v>21310</v>
      </c>
    </row>
    <row r="1057" spans="1:9" ht="13.15" x14ac:dyDescent="0.4">
      <c r="A1057" s="11" t="s">
        <v>19600</v>
      </c>
      <c r="B1057" s="11" t="s">
        <v>6071</v>
      </c>
      <c r="C1057" s="11" t="s">
        <v>18721</v>
      </c>
      <c r="D1057" s="12">
        <v>41640</v>
      </c>
      <c r="E1057" s="12">
        <v>41640</v>
      </c>
      <c r="F1057" s="11"/>
      <c r="G1057" s="11" t="s">
        <v>279</v>
      </c>
      <c r="H1057" s="11" t="s">
        <v>30</v>
      </c>
      <c r="I1057" s="11" t="s">
        <v>21259</v>
      </c>
    </row>
    <row r="1058" spans="1:9" ht="13.15" x14ac:dyDescent="0.4">
      <c r="A1058" s="11" t="s">
        <v>19574</v>
      </c>
      <c r="B1058" s="11" t="s">
        <v>6071</v>
      </c>
      <c r="C1058" s="11" t="s">
        <v>18721</v>
      </c>
      <c r="D1058" s="12">
        <v>41640</v>
      </c>
      <c r="E1058" s="12">
        <v>41640</v>
      </c>
      <c r="F1058" s="11"/>
      <c r="G1058" s="11" t="s">
        <v>279</v>
      </c>
      <c r="H1058" s="11" t="s">
        <v>30</v>
      </c>
      <c r="I1058" s="11" t="s">
        <v>21285</v>
      </c>
    </row>
    <row r="1059" spans="1:9" ht="13.15" x14ac:dyDescent="0.4">
      <c r="A1059" s="11" t="s">
        <v>20014</v>
      </c>
      <c r="B1059" s="11" t="s">
        <v>6071</v>
      </c>
      <c r="C1059" s="11" t="s">
        <v>18721</v>
      </c>
      <c r="D1059" s="12">
        <v>41275</v>
      </c>
      <c r="E1059" s="12">
        <v>41275</v>
      </c>
      <c r="F1059" s="11"/>
      <c r="G1059" s="11" t="s">
        <v>279</v>
      </c>
      <c r="H1059" s="11" t="s">
        <v>30</v>
      </c>
      <c r="I1059" s="11" t="s">
        <v>20845</v>
      </c>
    </row>
    <row r="1060" spans="1:9" ht="13.15" x14ac:dyDescent="0.4">
      <c r="A1060" s="11" t="s">
        <v>19166</v>
      </c>
      <c r="B1060" s="11" t="s">
        <v>6071</v>
      </c>
      <c r="C1060" s="11" t="s">
        <v>18721</v>
      </c>
      <c r="D1060" s="12">
        <v>41275</v>
      </c>
      <c r="E1060" s="12">
        <v>41275</v>
      </c>
      <c r="F1060" s="11"/>
      <c r="G1060" s="11" t="s">
        <v>279</v>
      </c>
      <c r="H1060" s="11" t="s">
        <v>30</v>
      </c>
      <c r="I1060" s="11" t="s">
        <v>21693</v>
      </c>
    </row>
    <row r="1061" spans="1:9" ht="13.15" x14ac:dyDescent="0.4">
      <c r="A1061" s="11" t="s">
        <v>20348</v>
      </c>
      <c r="B1061" s="11" t="s">
        <v>6071</v>
      </c>
      <c r="C1061" s="11" t="s">
        <v>18721</v>
      </c>
      <c r="D1061" s="12">
        <v>41275</v>
      </c>
      <c r="E1061" s="12">
        <v>41275</v>
      </c>
      <c r="F1061" s="11"/>
      <c r="G1061" s="11" t="s">
        <v>279</v>
      </c>
      <c r="H1061" s="11" t="s">
        <v>30</v>
      </c>
      <c r="I1061" s="11" t="s">
        <v>20511</v>
      </c>
    </row>
    <row r="1062" spans="1:9" ht="13.15" x14ac:dyDescent="0.4">
      <c r="A1062" s="11" t="s">
        <v>19606</v>
      </c>
      <c r="B1062" s="11" t="s">
        <v>6071</v>
      </c>
      <c r="C1062" s="11" t="s">
        <v>18721</v>
      </c>
      <c r="D1062" s="12">
        <v>41275</v>
      </c>
      <c r="E1062" s="12">
        <v>41275</v>
      </c>
      <c r="F1062" s="11"/>
      <c r="G1062" s="11" t="s">
        <v>279</v>
      </c>
      <c r="H1062" s="11" t="s">
        <v>30</v>
      </c>
      <c r="I1062" s="11" t="s">
        <v>21253</v>
      </c>
    </row>
    <row r="1063" spans="1:9" ht="13.15" x14ac:dyDescent="0.4">
      <c r="A1063" s="11" t="s">
        <v>18959</v>
      </c>
      <c r="B1063" s="11" t="s">
        <v>6071</v>
      </c>
      <c r="C1063" s="11" t="s">
        <v>18721</v>
      </c>
      <c r="D1063" s="12">
        <v>41640</v>
      </c>
      <c r="E1063" s="12">
        <v>41640</v>
      </c>
      <c r="F1063" s="11"/>
      <c r="G1063" s="11" t="s">
        <v>279</v>
      </c>
      <c r="H1063" s="11" t="s">
        <v>30</v>
      </c>
      <c r="I1063" s="11" t="s">
        <v>21900</v>
      </c>
    </row>
    <row r="1064" spans="1:9" ht="13.15" x14ac:dyDescent="0.4">
      <c r="A1064" s="11" t="s">
        <v>19237</v>
      </c>
      <c r="B1064" s="11" t="s">
        <v>6071</v>
      </c>
      <c r="C1064" s="11" t="s">
        <v>18721</v>
      </c>
      <c r="D1064" s="12">
        <v>41275</v>
      </c>
      <c r="E1064" s="12">
        <v>41275</v>
      </c>
      <c r="F1064" s="11"/>
      <c r="G1064" s="11" t="s">
        <v>279</v>
      </c>
      <c r="H1064" s="11" t="s">
        <v>30</v>
      </c>
      <c r="I1064" s="11" t="s">
        <v>21622</v>
      </c>
    </row>
    <row r="1065" spans="1:9" ht="13.15" x14ac:dyDescent="0.4">
      <c r="A1065" s="11" t="s">
        <v>18934</v>
      </c>
      <c r="B1065" s="11" t="s">
        <v>6071</v>
      </c>
      <c r="C1065" s="11" t="s">
        <v>18721</v>
      </c>
      <c r="D1065" s="12">
        <v>41275</v>
      </c>
      <c r="E1065" s="12">
        <v>41275</v>
      </c>
      <c r="F1065" s="11"/>
      <c r="G1065" s="11" t="s">
        <v>279</v>
      </c>
      <c r="H1065" s="11" t="s">
        <v>30</v>
      </c>
      <c r="I1065" s="11" t="s">
        <v>21925</v>
      </c>
    </row>
    <row r="1066" spans="1:9" ht="13.15" x14ac:dyDescent="0.4">
      <c r="A1066" s="11" t="s">
        <v>19278</v>
      </c>
      <c r="B1066" s="11" t="s">
        <v>6071</v>
      </c>
      <c r="C1066" s="11" t="s">
        <v>18721</v>
      </c>
      <c r="D1066" s="12">
        <v>41640</v>
      </c>
      <c r="E1066" s="12">
        <v>41640</v>
      </c>
      <c r="F1066" s="11"/>
      <c r="G1066" s="11" t="s">
        <v>279</v>
      </c>
      <c r="H1066" s="11" t="s">
        <v>30</v>
      </c>
      <c r="I1066" s="11" t="s">
        <v>21581</v>
      </c>
    </row>
    <row r="1067" spans="1:9" ht="13.15" x14ac:dyDescent="0.4">
      <c r="A1067" s="11" t="s">
        <v>19049</v>
      </c>
      <c r="B1067" s="11" t="s">
        <v>6071</v>
      </c>
      <c r="C1067" s="11" t="s">
        <v>18721</v>
      </c>
      <c r="D1067" s="12">
        <v>41275</v>
      </c>
      <c r="E1067" s="12">
        <v>41275</v>
      </c>
      <c r="F1067" s="11"/>
      <c r="G1067" s="11" t="s">
        <v>279</v>
      </c>
      <c r="H1067" s="11" t="s">
        <v>30</v>
      </c>
      <c r="I1067" s="11" t="s">
        <v>21810</v>
      </c>
    </row>
    <row r="1068" spans="1:9" ht="13.15" x14ac:dyDescent="0.4">
      <c r="A1068" s="11" t="s">
        <v>19387</v>
      </c>
      <c r="B1068" s="11" t="s">
        <v>6071</v>
      </c>
      <c r="C1068" s="11" t="s">
        <v>18721</v>
      </c>
      <c r="D1068" s="12">
        <v>41640</v>
      </c>
      <c r="E1068" s="12">
        <v>41640</v>
      </c>
      <c r="F1068" s="11"/>
      <c r="G1068" s="11" t="s">
        <v>279</v>
      </c>
      <c r="H1068" s="11" t="s">
        <v>30</v>
      </c>
      <c r="I1068" s="11" t="s">
        <v>21472</v>
      </c>
    </row>
    <row r="1069" spans="1:9" ht="13.15" x14ac:dyDescent="0.4">
      <c r="A1069" s="11" t="s">
        <v>19877</v>
      </c>
      <c r="B1069" s="11" t="s">
        <v>6071</v>
      </c>
      <c r="C1069" s="11" t="s">
        <v>18721</v>
      </c>
      <c r="D1069" s="12">
        <v>41275</v>
      </c>
      <c r="E1069" s="12">
        <v>41275</v>
      </c>
      <c r="F1069" s="11"/>
      <c r="G1069" s="11" t="s">
        <v>279</v>
      </c>
      <c r="H1069" s="11" t="s">
        <v>30</v>
      </c>
      <c r="I1069" s="11" t="s">
        <v>20982</v>
      </c>
    </row>
    <row r="1070" spans="1:9" ht="13.15" x14ac:dyDescent="0.4">
      <c r="A1070" s="11" t="s">
        <v>19748</v>
      </c>
      <c r="B1070" s="11" t="s">
        <v>6071</v>
      </c>
      <c r="C1070" s="11" t="s">
        <v>18721</v>
      </c>
      <c r="D1070" s="12">
        <v>41640</v>
      </c>
      <c r="E1070" s="12">
        <v>41640</v>
      </c>
      <c r="F1070" s="11"/>
      <c r="G1070" s="11" t="s">
        <v>279</v>
      </c>
      <c r="H1070" s="11" t="s">
        <v>30</v>
      </c>
      <c r="I1070" s="11" t="s">
        <v>21111</v>
      </c>
    </row>
    <row r="1071" spans="1:9" ht="13.15" x14ac:dyDescent="0.4">
      <c r="A1071" s="11" t="s">
        <v>19335</v>
      </c>
      <c r="B1071" s="11" t="s">
        <v>6071</v>
      </c>
      <c r="C1071" s="11" t="s">
        <v>18721</v>
      </c>
      <c r="D1071" s="12">
        <v>41275</v>
      </c>
      <c r="E1071" s="12">
        <v>41275</v>
      </c>
      <c r="F1071" s="11"/>
      <c r="G1071" s="11" t="s">
        <v>279</v>
      </c>
      <c r="H1071" s="11" t="s">
        <v>30</v>
      </c>
      <c r="I1071" s="11" t="s">
        <v>21524</v>
      </c>
    </row>
    <row r="1072" spans="1:9" ht="13.15" x14ac:dyDescent="0.4">
      <c r="A1072" s="11" t="s">
        <v>19488</v>
      </c>
      <c r="B1072" s="11" t="s">
        <v>6071</v>
      </c>
      <c r="C1072" s="11" t="s">
        <v>18721</v>
      </c>
      <c r="D1072" s="12">
        <v>41275</v>
      </c>
      <c r="E1072" s="12">
        <v>41275</v>
      </c>
      <c r="F1072" s="11"/>
      <c r="G1072" s="11" t="s">
        <v>279</v>
      </c>
      <c r="H1072" s="11" t="s">
        <v>30</v>
      </c>
      <c r="I1072" s="11" t="s">
        <v>21371</v>
      </c>
    </row>
    <row r="1073" spans="1:9" ht="13.15" x14ac:dyDescent="0.4">
      <c r="A1073" s="11" t="s">
        <v>19332</v>
      </c>
      <c r="B1073" s="11" t="s">
        <v>6071</v>
      </c>
      <c r="C1073" s="11" t="s">
        <v>18721</v>
      </c>
      <c r="D1073" s="12">
        <v>41275</v>
      </c>
      <c r="E1073" s="12">
        <v>41275</v>
      </c>
      <c r="F1073" s="11"/>
      <c r="G1073" s="11" t="s">
        <v>279</v>
      </c>
      <c r="H1073" s="11" t="s">
        <v>30</v>
      </c>
      <c r="I1073" s="11" t="s">
        <v>21527</v>
      </c>
    </row>
    <row r="1074" spans="1:9" ht="13.15" x14ac:dyDescent="0.4">
      <c r="A1074" s="11" t="s">
        <v>19969</v>
      </c>
      <c r="B1074" s="11" t="s">
        <v>6071</v>
      </c>
      <c r="C1074" s="11" t="s">
        <v>18721</v>
      </c>
      <c r="D1074" s="12">
        <v>41275</v>
      </c>
      <c r="E1074" s="12">
        <v>41275</v>
      </c>
      <c r="F1074" s="11"/>
      <c r="G1074" s="11" t="s">
        <v>279</v>
      </c>
      <c r="H1074" s="11" t="s">
        <v>30</v>
      </c>
      <c r="I1074" s="11" t="s">
        <v>20890</v>
      </c>
    </row>
    <row r="1075" spans="1:9" ht="13.15" x14ac:dyDescent="0.4">
      <c r="A1075" s="11" t="s">
        <v>19897</v>
      </c>
      <c r="B1075" s="11" t="s">
        <v>6071</v>
      </c>
      <c r="C1075" s="11" t="s">
        <v>18721</v>
      </c>
      <c r="D1075" s="12">
        <v>41275</v>
      </c>
      <c r="E1075" s="12">
        <v>41275</v>
      </c>
      <c r="F1075" s="11"/>
      <c r="G1075" s="11" t="s">
        <v>279</v>
      </c>
      <c r="H1075" s="11" t="s">
        <v>30</v>
      </c>
      <c r="I1075" s="11" t="s">
        <v>20962</v>
      </c>
    </row>
    <row r="1076" spans="1:9" ht="13.15" x14ac:dyDescent="0.4">
      <c r="A1076" s="11" t="s">
        <v>18845</v>
      </c>
      <c r="B1076" s="11" t="s">
        <v>6071</v>
      </c>
      <c r="C1076" s="11" t="s">
        <v>18721</v>
      </c>
      <c r="D1076" s="12">
        <v>41275</v>
      </c>
      <c r="E1076" s="12">
        <v>41275</v>
      </c>
      <c r="F1076" s="11"/>
      <c r="G1076" s="11" t="s">
        <v>279</v>
      </c>
      <c r="H1076" s="11" t="s">
        <v>30</v>
      </c>
      <c r="I1076" s="11" t="s">
        <v>22014</v>
      </c>
    </row>
    <row r="1077" spans="1:9" ht="13.15" x14ac:dyDescent="0.4">
      <c r="A1077" s="11" t="s">
        <v>19508</v>
      </c>
      <c r="B1077" s="11" t="s">
        <v>6071</v>
      </c>
      <c r="C1077" s="11" t="s">
        <v>18721</v>
      </c>
      <c r="D1077" s="12">
        <v>41275</v>
      </c>
      <c r="E1077" s="12">
        <v>41275</v>
      </c>
      <c r="F1077" s="11"/>
      <c r="G1077" s="11" t="s">
        <v>279</v>
      </c>
      <c r="H1077" s="11" t="s">
        <v>30</v>
      </c>
      <c r="I1077" s="11" t="s">
        <v>21351</v>
      </c>
    </row>
    <row r="1078" spans="1:9" ht="13.15" x14ac:dyDescent="0.4">
      <c r="A1078" s="11" t="s">
        <v>20378</v>
      </c>
      <c r="B1078" s="11" t="s">
        <v>6071</v>
      </c>
      <c r="C1078" s="11" t="s">
        <v>18721</v>
      </c>
      <c r="D1078" s="12">
        <v>41275</v>
      </c>
      <c r="E1078" s="12">
        <v>41275</v>
      </c>
      <c r="F1078" s="11"/>
      <c r="G1078" s="11" t="s">
        <v>279</v>
      </c>
      <c r="H1078" s="11" t="s">
        <v>30</v>
      </c>
      <c r="I1078" s="11" t="s">
        <v>20481</v>
      </c>
    </row>
    <row r="1079" spans="1:9" ht="13.15" x14ac:dyDescent="0.4">
      <c r="A1079" s="11" t="s">
        <v>19473</v>
      </c>
      <c r="B1079" s="11" t="s">
        <v>6071</v>
      </c>
      <c r="C1079" s="11" t="s">
        <v>18721</v>
      </c>
      <c r="D1079" s="12">
        <v>41275</v>
      </c>
      <c r="E1079" s="12">
        <v>41275</v>
      </c>
      <c r="F1079" s="11"/>
      <c r="G1079" s="11" t="s">
        <v>279</v>
      </c>
      <c r="H1079" s="11" t="s">
        <v>30</v>
      </c>
      <c r="I1079" s="11" t="s">
        <v>21386</v>
      </c>
    </row>
    <row r="1080" spans="1:9" ht="13.15" x14ac:dyDescent="0.4">
      <c r="A1080" s="11" t="s">
        <v>19074</v>
      </c>
      <c r="B1080" s="11" t="s">
        <v>6071</v>
      </c>
      <c r="C1080" s="11" t="s">
        <v>18721</v>
      </c>
      <c r="D1080" s="12">
        <v>41275</v>
      </c>
      <c r="E1080" s="12">
        <v>41275</v>
      </c>
      <c r="F1080" s="11"/>
      <c r="G1080" s="11" t="s">
        <v>279</v>
      </c>
      <c r="H1080" s="11" t="s">
        <v>30</v>
      </c>
      <c r="I1080" s="11" t="s">
        <v>21785</v>
      </c>
    </row>
    <row r="1081" spans="1:9" ht="13.15" x14ac:dyDescent="0.4">
      <c r="A1081" s="11" t="s">
        <v>20089</v>
      </c>
      <c r="B1081" s="11" t="s">
        <v>6071</v>
      </c>
      <c r="C1081" s="11" t="s">
        <v>18721</v>
      </c>
      <c r="D1081" s="12">
        <v>41275</v>
      </c>
      <c r="E1081" s="12">
        <v>41275</v>
      </c>
      <c r="F1081" s="11"/>
      <c r="G1081" s="11" t="s">
        <v>279</v>
      </c>
      <c r="H1081" s="11" t="s">
        <v>30</v>
      </c>
      <c r="I1081" s="11" t="s">
        <v>20770</v>
      </c>
    </row>
    <row r="1082" spans="1:9" ht="13.15" x14ac:dyDescent="0.4">
      <c r="A1082" s="11" t="s">
        <v>19947</v>
      </c>
      <c r="B1082" s="11" t="s">
        <v>6071</v>
      </c>
      <c r="C1082" s="11" t="s">
        <v>18721</v>
      </c>
      <c r="D1082" s="12">
        <v>41275</v>
      </c>
      <c r="E1082" s="12">
        <v>41275</v>
      </c>
      <c r="F1082" s="11"/>
      <c r="G1082" s="11" t="s">
        <v>279</v>
      </c>
      <c r="H1082" s="11" t="s">
        <v>30</v>
      </c>
      <c r="I1082" s="11" t="s">
        <v>20912</v>
      </c>
    </row>
    <row r="1083" spans="1:9" ht="13.15" x14ac:dyDescent="0.4">
      <c r="A1083" s="11" t="s">
        <v>20314</v>
      </c>
      <c r="B1083" s="11" t="s">
        <v>6071</v>
      </c>
      <c r="C1083" s="11" t="s">
        <v>18721</v>
      </c>
      <c r="D1083" s="12">
        <v>41275</v>
      </c>
      <c r="E1083" s="12">
        <v>41275</v>
      </c>
      <c r="F1083" s="11"/>
      <c r="G1083" s="11" t="s">
        <v>279</v>
      </c>
      <c r="H1083" s="11" t="s">
        <v>30</v>
      </c>
      <c r="I1083" s="11" t="s">
        <v>20545</v>
      </c>
    </row>
    <row r="1084" spans="1:9" ht="13.15" x14ac:dyDescent="0.4">
      <c r="A1084" s="11" t="s">
        <v>18902</v>
      </c>
      <c r="B1084" s="11" t="s">
        <v>6071</v>
      </c>
      <c r="C1084" s="11" t="s">
        <v>18721</v>
      </c>
      <c r="D1084" s="12">
        <v>41275</v>
      </c>
      <c r="E1084" s="12">
        <v>41275</v>
      </c>
      <c r="F1084" s="11"/>
      <c r="G1084" s="11" t="s">
        <v>279</v>
      </c>
      <c r="H1084" s="11" t="s">
        <v>30</v>
      </c>
      <c r="I1084" s="11" t="s">
        <v>21957</v>
      </c>
    </row>
    <row r="1085" spans="1:9" ht="13.15" x14ac:dyDescent="0.4">
      <c r="A1085" s="11" t="s">
        <v>20290</v>
      </c>
      <c r="B1085" s="11" t="s">
        <v>6071</v>
      </c>
      <c r="C1085" s="11" t="s">
        <v>18721</v>
      </c>
      <c r="D1085" s="12">
        <v>41275</v>
      </c>
      <c r="E1085" s="12">
        <v>41275</v>
      </c>
      <c r="F1085" s="11"/>
      <c r="G1085" s="11" t="s">
        <v>279</v>
      </c>
      <c r="H1085" s="11" t="s">
        <v>30</v>
      </c>
      <c r="I1085" s="11" t="s">
        <v>20569</v>
      </c>
    </row>
    <row r="1086" spans="1:9" ht="13.15" x14ac:dyDescent="0.4">
      <c r="A1086" s="11" t="s">
        <v>19217</v>
      </c>
      <c r="B1086" s="11" t="s">
        <v>6071</v>
      </c>
      <c r="C1086" s="11" t="s">
        <v>18721</v>
      </c>
      <c r="D1086" s="12">
        <v>41640</v>
      </c>
      <c r="E1086" s="12">
        <v>41640</v>
      </c>
      <c r="F1086" s="11"/>
      <c r="G1086" s="11" t="s">
        <v>279</v>
      </c>
      <c r="H1086" s="11" t="s">
        <v>30</v>
      </c>
      <c r="I1086" s="11" t="s">
        <v>21642</v>
      </c>
    </row>
    <row r="1087" spans="1:9" ht="13.15" x14ac:dyDescent="0.4">
      <c r="A1087" s="11" t="s">
        <v>20320</v>
      </c>
      <c r="B1087" s="11" t="s">
        <v>6071</v>
      </c>
      <c r="C1087" s="11" t="s">
        <v>18721</v>
      </c>
      <c r="D1087" s="12">
        <v>41640</v>
      </c>
      <c r="E1087" s="12">
        <v>41640</v>
      </c>
      <c r="F1087" s="11"/>
      <c r="G1087" s="11" t="s">
        <v>279</v>
      </c>
      <c r="H1087" s="11" t="s">
        <v>30</v>
      </c>
      <c r="I1087" s="11" t="s">
        <v>20539</v>
      </c>
    </row>
    <row r="1088" spans="1:9" ht="13.15" x14ac:dyDescent="0.4">
      <c r="A1088" s="11" t="s">
        <v>19571</v>
      </c>
      <c r="B1088" s="11" t="s">
        <v>6071</v>
      </c>
      <c r="C1088" s="11" t="s">
        <v>18721</v>
      </c>
      <c r="D1088" s="12">
        <v>41640</v>
      </c>
      <c r="E1088" s="12">
        <v>41640</v>
      </c>
      <c r="F1088" s="11"/>
      <c r="G1088" s="11" t="s">
        <v>279</v>
      </c>
      <c r="H1088" s="11" t="s">
        <v>30</v>
      </c>
      <c r="I1088" s="11" t="s">
        <v>21288</v>
      </c>
    </row>
    <row r="1089" spans="1:9" ht="13.15" x14ac:dyDescent="0.4">
      <c r="A1089" s="11" t="s">
        <v>19322</v>
      </c>
      <c r="B1089" s="11" t="s">
        <v>6071</v>
      </c>
      <c r="C1089" s="11" t="s">
        <v>18721</v>
      </c>
      <c r="D1089" s="12">
        <v>41275</v>
      </c>
      <c r="E1089" s="12">
        <v>41275</v>
      </c>
      <c r="F1089" s="11"/>
      <c r="G1089" s="11" t="s">
        <v>279</v>
      </c>
      <c r="H1089" s="11" t="s">
        <v>30</v>
      </c>
      <c r="I1089" s="11" t="s">
        <v>21537</v>
      </c>
    </row>
    <row r="1090" spans="1:9" ht="13.15" x14ac:dyDescent="0.4">
      <c r="A1090" s="11" t="s">
        <v>19221</v>
      </c>
      <c r="B1090" s="11" t="s">
        <v>6071</v>
      </c>
      <c r="C1090" s="11" t="s">
        <v>18721</v>
      </c>
      <c r="D1090" s="12">
        <v>41275</v>
      </c>
      <c r="E1090" s="12">
        <v>41275</v>
      </c>
      <c r="F1090" s="11"/>
      <c r="G1090" s="11" t="s">
        <v>279</v>
      </c>
      <c r="H1090" s="11" t="s">
        <v>30</v>
      </c>
      <c r="I1090" s="11" t="s">
        <v>21638</v>
      </c>
    </row>
    <row r="1091" spans="1:9" ht="13.15" x14ac:dyDescent="0.4">
      <c r="A1091" s="11" t="s">
        <v>20226</v>
      </c>
      <c r="B1091" s="11" t="s">
        <v>6071</v>
      </c>
      <c r="C1091" s="11" t="s">
        <v>18721</v>
      </c>
      <c r="D1091" s="12">
        <v>41640</v>
      </c>
      <c r="E1091" s="12">
        <v>41640</v>
      </c>
      <c r="F1091" s="11"/>
      <c r="G1091" s="11" t="s">
        <v>279</v>
      </c>
      <c r="H1091" s="11" t="s">
        <v>30</v>
      </c>
      <c r="I1091" s="11" t="s">
        <v>20633</v>
      </c>
    </row>
    <row r="1092" spans="1:9" ht="13.15" x14ac:dyDescent="0.4">
      <c r="A1092" s="11" t="s">
        <v>20004</v>
      </c>
      <c r="B1092" s="11" t="s">
        <v>6071</v>
      </c>
      <c r="C1092" s="11" t="s">
        <v>18721</v>
      </c>
      <c r="D1092" s="12">
        <v>41640</v>
      </c>
      <c r="E1092" s="12">
        <v>41640</v>
      </c>
      <c r="F1092" s="11"/>
      <c r="G1092" s="11" t="s">
        <v>279</v>
      </c>
      <c r="H1092" s="11" t="s">
        <v>30</v>
      </c>
      <c r="I1092" s="11" t="s">
        <v>20855</v>
      </c>
    </row>
    <row r="1093" spans="1:9" ht="13.15" x14ac:dyDescent="0.4">
      <c r="A1093" s="11" t="s">
        <v>19443</v>
      </c>
      <c r="B1093" s="11" t="s">
        <v>6071</v>
      </c>
      <c r="C1093" s="11" t="s">
        <v>18721</v>
      </c>
      <c r="D1093" s="12">
        <v>41640</v>
      </c>
      <c r="E1093" s="12">
        <v>41640</v>
      </c>
      <c r="F1093" s="11"/>
      <c r="G1093" s="11" t="s">
        <v>279</v>
      </c>
      <c r="H1093" s="11" t="s">
        <v>30</v>
      </c>
      <c r="I1093" s="11" t="s">
        <v>21416</v>
      </c>
    </row>
    <row r="1094" spans="1:9" ht="13.15" x14ac:dyDescent="0.4">
      <c r="A1094" s="11" t="s">
        <v>19749</v>
      </c>
      <c r="B1094" s="11" t="s">
        <v>6071</v>
      </c>
      <c r="C1094" s="11" t="s">
        <v>18721</v>
      </c>
      <c r="D1094" s="12">
        <v>41275</v>
      </c>
      <c r="E1094" s="12">
        <v>41275</v>
      </c>
      <c r="F1094" s="11"/>
      <c r="G1094" s="11" t="s">
        <v>279</v>
      </c>
      <c r="H1094" s="11" t="s">
        <v>30</v>
      </c>
      <c r="I1094" s="11" t="s">
        <v>21110</v>
      </c>
    </row>
    <row r="1095" spans="1:9" ht="13.15" x14ac:dyDescent="0.4">
      <c r="A1095" s="11" t="s">
        <v>18782</v>
      </c>
      <c r="B1095" s="11" t="s">
        <v>6071</v>
      </c>
      <c r="C1095" s="11" t="s">
        <v>18721</v>
      </c>
      <c r="D1095" s="12">
        <v>41640</v>
      </c>
      <c r="E1095" s="12">
        <v>41640</v>
      </c>
      <c r="F1095" s="11"/>
      <c r="G1095" s="11" t="s">
        <v>279</v>
      </c>
      <c r="H1095" s="11" t="s">
        <v>30</v>
      </c>
      <c r="I1095" s="11" t="s">
        <v>22077</v>
      </c>
    </row>
    <row r="1096" spans="1:9" ht="13.15" x14ac:dyDescent="0.4">
      <c r="A1096" s="11" t="s">
        <v>20013</v>
      </c>
      <c r="B1096" s="11" t="s">
        <v>6071</v>
      </c>
      <c r="C1096" s="11" t="s">
        <v>18721</v>
      </c>
      <c r="D1096" s="12">
        <v>41275</v>
      </c>
      <c r="E1096" s="12">
        <v>41275</v>
      </c>
      <c r="F1096" s="11"/>
      <c r="G1096" s="11" t="s">
        <v>279</v>
      </c>
      <c r="H1096" s="11" t="s">
        <v>30</v>
      </c>
      <c r="I1096" s="11" t="s">
        <v>20846</v>
      </c>
    </row>
    <row r="1097" spans="1:9" ht="13.15" x14ac:dyDescent="0.4">
      <c r="A1097" s="11" t="s">
        <v>18724</v>
      </c>
      <c r="B1097" s="11" t="s">
        <v>6071</v>
      </c>
      <c r="C1097" s="11" t="s">
        <v>18721</v>
      </c>
      <c r="D1097" s="12">
        <v>41640</v>
      </c>
      <c r="E1097" s="12">
        <v>41640</v>
      </c>
      <c r="F1097" s="11"/>
      <c r="G1097" s="11" t="s">
        <v>279</v>
      </c>
      <c r="H1097" s="11" t="s">
        <v>30</v>
      </c>
      <c r="I1097" s="11" t="s">
        <v>22135</v>
      </c>
    </row>
    <row r="1098" spans="1:9" ht="13.15" x14ac:dyDescent="0.4">
      <c r="A1098" s="11" t="s">
        <v>20002</v>
      </c>
      <c r="B1098" s="11" t="s">
        <v>6071</v>
      </c>
      <c r="C1098" s="11" t="s">
        <v>18721</v>
      </c>
      <c r="D1098" s="12">
        <v>41275</v>
      </c>
      <c r="E1098" s="12">
        <v>41275</v>
      </c>
      <c r="F1098" s="11"/>
      <c r="G1098" s="11" t="s">
        <v>279</v>
      </c>
      <c r="H1098" s="11" t="s">
        <v>30</v>
      </c>
      <c r="I1098" s="11" t="s">
        <v>20857</v>
      </c>
    </row>
    <row r="1099" spans="1:9" ht="13.15" x14ac:dyDescent="0.4">
      <c r="A1099" s="11" t="s">
        <v>19056</v>
      </c>
      <c r="B1099" s="11" t="s">
        <v>6071</v>
      </c>
      <c r="C1099" s="11" t="s">
        <v>18721</v>
      </c>
      <c r="D1099" s="12">
        <v>41640</v>
      </c>
      <c r="E1099" s="12">
        <v>41640</v>
      </c>
      <c r="F1099" s="11"/>
      <c r="G1099" s="11" t="s">
        <v>279</v>
      </c>
      <c r="H1099" s="11" t="s">
        <v>30</v>
      </c>
      <c r="I1099" s="11" t="s">
        <v>21803</v>
      </c>
    </row>
    <row r="1100" spans="1:9" ht="13.15" x14ac:dyDescent="0.4">
      <c r="A1100" s="11" t="s">
        <v>19104</v>
      </c>
      <c r="B1100" s="11" t="s">
        <v>6071</v>
      </c>
      <c r="C1100" s="11" t="s">
        <v>18721</v>
      </c>
      <c r="D1100" s="12">
        <v>41275</v>
      </c>
      <c r="E1100" s="12">
        <v>41275</v>
      </c>
      <c r="F1100" s="11"/>
      <c r="G1100" s="11" t="s">
        <v>279</v>
      </c>
      <c r="H1100" s="11" t="s">
        <v>30</v>
      </c>
      <c r="I1100" s="11" t="s">
        <v>21755</v>
      </c>
    </row>
    <row r="1101" spans="1:9" ht="13.15" x14ac:dyDescent="0.4">
      <c r="A1101" s="11" t="s">
        <v>19256</v>
      </c>
      <c r="B1101" s="11" t="s">
        <v>6071</v>
      </c>
      <c r="C1101" s="11" t="s">
        <v>18721</v>
      </c>
      <c r="D1101" s="12">
        <v>41640</v>
      </c>
      <c r="E1101" s="12">
        <v>41640</v>
      </c>
      <c r="F1101" s="11"/>
      <c r="G1101" s="11" t="s">
        <v>279</v>
      </c>
      <c r="H1101" s="11" t="s">
        <v>30</v>
      </c>
      <c r="I1101" s="11" t="s">
        <v>21603</v>
      </c>
    </row>
    <row r="1102" spans="1:9" ht="13.15" x14ac:dyDescent="0.4">
      <c r="A1102" s="11" t="s">
        <v>19713</v>
      </c>
      <c r="B1102" s="11" t="s">
        <v>6071</v>
      </c>
      <c r="C1102" s="11" t="s">
        <v>18721</v>
      </c>
      <c r="D1102" s="12">
        <v>41275</v>
      </c>
      <c r="E1102" s="12">
        <v>41275</v>
      </c>
      <c r="F1102" s="11"/>
      <c r="G1102" s="11" t="s">
        <v>279</v>
      </c>
      <c r="H1102" s="11" t="s">
        <v>30</v>
      </c>
      <c r="I1102" s="11" t="s">
        <v>21146</v>
      </c>
    </row>
    <row r="1103" spans="1:9" ht="13.15" x14ac:dyDescent="0.4">
      <c r="A1103" s="11" t="s">
        <v>19001</v>
      </c>
      <c r="B1103" s="11" t="s">
        <v>6071</v>
      </c>
      <c r="C1103" s="11" t="s">
        <v>18721</v>
      </c>
      <c r="D1103" s="12">
        <v>41640</v>
      </c>
      <c r="E1103" s="12">
        <v>41640</v>
      </c>
      <c r="F1103" s="11"/>
      <c r="G1103" s="11" t="s">
        <v>279</v>
      </c>
      <c r="H1103" s="11" t="s">
        <v>30</v>
      </c>
      <c r="I1103" s="11" t="s">
        <v>21858</v>
      </c>
    </row>
    <row r="1104" spans="1:9" ht="13.15" x14ac:dyDescent="0.4">
      <c r="A1104" s="11" t="s">
        <v>19415</v>
      </c>
      <c r="B1104" s="11" t="s">
        <v>6071</v>
      </c>
      <c r="C1104" s="11" t="s">
        <v>18721</v>
      </c>
      <c r="D1104" s="12">
        <v>41275</v>
      </c>
      <c r="E1104" s="12">
        <v>41275</v>
      </c>
      <c r="F1104" s="11"/>
      <c r="G1104" s="11" t="s">
        <v>279</v>
      </c>
      <c r="H1104" s="11" t="s">
        <v>30</v>
      </c>
      <c r="I1104" s="11" t="s">
        <v>21444</v>
      </c>
    </row>
    <row r="1105" spans="1:9" ht="13.15" x14ac:dyDescent="0.4">
      <c r="A1105" s="11" t="s">
        <v>19393</v>
      </c>
      <c r="B1105" s="11" t="s">
        <v>6071</v>
      </c>
      <c r="C1105" s="11" t="s">
        <v>18721</v>
      </c>
      <c r="D1105" s="12">
        <v>41640</v>
      </c>
      <c r="E1105" s="12">
        <v>41640</v>
      </c>
      <c r="F1105" s="11"/>
      <c r="G1105" s="11" t="s">
        <v>279</v>
      </c>
      <c r="H1105" s="11" t="s">
        <v>30</v>
      </c>
      <c r="I1105" s="11" t="s">
        <v>21466</v>
      </c>
    </row>
    <row r="1106" spans="1:9" ht="13.15" x14ac:dyDescent="0.4">
      <c r="A1106" s="11" t="s">
        <v>19745</v>
      </c>
      <c r="B1106" s="11" t="s">
        <v>6071</v>
      </c>
      <c r="C1106" s="11" t="s">
        <v>18721</v>
      </c>
      <c r="D1106" s="12">
        <v>41640</v>
      </c>
      <c r="E1106" s="12">
        <v>41640</v>
      </c>
      <c r="F1106" s="11"/>
      <c r="G1106" s="11" t="s">
        <v>279</v>
      </c>
      <c r="H1106" s="11" t="s">
        <v>30</v>
      </c>
      <c r="I1106" s="11" t="s">
        <v>21114</v>
      </c>
    </row>
    <row r="1107" spans="1:9" ht="13.15" x14ac:dyDescent="0.4">
      <c r="A1107" s="11" t="s">
        <v>20038</v>
      </c>
      <c r="B1107" s="11" t="s">
        <v>6071</v>
      </c>
      <c r="C1107" s="11" t="s">
        <v>18721</v>
      </c>
      <c r="D1107" s="12">
        <v>41275</v>
      </c>
      <c r="E1107" s="12">
        <v>41275</v>
      </c>
      <c r="F1107" s="11"/>
      <c r="G1107" s="11" t="s">
        <v>279</v>
      </c>
      <c r="H1107" s="11" t="s">
        <v>30</v>
      </c>
      <c r="I1107" s="11" t="s">
        <v>20821</v>
      </c>
    </row>
    <row r="1108" spans="1:9" ht="13.15" x14ac:dyDescent="0.4">
      <c r="A1108" s="11" t="s">
        <v>20019</v>
      </c>
      <c r="B1108" s="11" t="s">
        <v>6071</v>
      </c>
      <c r="C1108" s="11" t="s">
        <v>18721</v>
      </c>
      <c r="D1108" s="12">
        <v>41275</v>
      </c>
      <c r="E1108" s="12">
        <v>41275</v>
      </c>
      <c r="F1108" s="11"/>
      <c r="G1108" s="11" t="s">
        <v>279</v>
      </c>
      <c r="H1108" s="11" t="s">
        <v>30</v>
      </c>
      <c r="I1108" s="11" t="s">
        <v>20840</v>
      </c>
    </row>
    <row r="1109" spans="1:9" ht="13.15" x14ac:dyDescent="0.4">
      <c r="A1109" s="11" t="s">
        <v>19347</v>
      </c>
      <c r="B1109" s="11" t="s">
        <v>6071</v>
      </c>
      <c r="C1109" s="11" t="s">
        <v>18721</v>
      </c>
      <c r="D1109" s="12">
        <v>41275</v>
      </c>
      <c r="E1109" s="12">
        <v>41275</v>
      </c>
      <c r="F1109" s="11"/>
      <c r="G1109" s="11" t="s">
        <v>279</v>
      </c>
      <c r="H1109" s="11" t="s">
        <v>30</v>
      </c>
      <c r="I1109" s="11" t="s">
        <v>21512</v>
      </c>
    </row>
    <row r="1110" spans="1:9" ht="13.15" x14ac:dyDescent="0.4">
      <c r="A1110" s="11" t="s">
        <v>19413</v>
      </c>
      <c r="B1110" s="11" t="s">
        <v>6071</v>
      </c>
      <c r="C1110" s="11" t="s">
        <v>18721</v>
      </c>
      <c r="D1110" s="12">
        <v>41275</v>
      </c>
      <c r="E1110" s="12">
        <v>41275</v>
      </c>
      <c r="F1110" s="11"/>
      <c r="G1110" s="11" t="s">
        <v>279</v>
      </c>
      <c r="H1110" s="11" t="s">
        <v>30</v>
      </c>
      <c r="I1110" s="11" t="s">
        <v>21446</v>
      </c>
    </row>
    <row r="1111" spans="1:9" ht="13.15" x14ac:dyDescent="0.4">
      <c r="A1111" s="11" t="s">
        <v>19774</v>
      </c>
      <c r="B1111" s="11" t="s">
        <v>6071</v>
      </c>
      <c r="C1111" s="11" t="s">
        <v>18721</v>
      </c>
      <c r="D1111" s="12">
        <v>41275</v>
      </c>
      <c r="E1111" s="12">
        <v>41275</v>
      </c>
      <c r="F1111" s="11"/>
      <c r="G1111" s="11" t="s">
        <v>279</v>
      </c>
      <c r="H1111" s="11" t="s">
        <v>30</v>
      </c>
      <c r="I1111" s="11" t="s">
        <v>21085</v>
      </c>
    </row>
    <row r="1112" spans="1:9" ht="13.15" x14ac:dyDescent="0.4">
      <c r="A1112" s="11" t="s">
        <v>19357</v>
      </c>
      <c r="B1112" s="11" t="s">
        <v>6071</v>
      </c>
      <c r="C1112" s="11" t="s">
        <v>18721</v>
      </c>
      <c r="D1112" s="12">
        <v>41275</v>
      </c>
      <c r="E1112" s="12">
        <v>41275</v>
      </c>
      <c r="F1112" s="11"/>
      <c r="G1112" s="11" t="s">
        <v>279</v>
      </c>
      <c r="H1112" s="11" t="s">
        <v>30</v>
      </c>
      <c r="I1112" s="11" t="s">
        <v>21502</v>
      </c>
    </row>
    <row r="1113" spans="1:9" ht="13.15" x14ac:dyDescent="0.4">
      <c r="A1113" s="11" t="s">
        <v>19890</v>
      </c>
      <c r="B1113" s="11" t="s">
        <v>6071</v>
      </c>
      <c r="C1113" s="11" t="s">
        <v>18721</v>
      </c>
      <c r="D1113" s="12">
        <v>41275</v>
      </c>
      <c r="E1113" s="12">
        <v>41275</v>
      </c>
      <c r="F1113" s="11"/>
      <c r="G1113" s="11" t="s">
        <v>279</v>
      </c>
      <c r="H1113" s="11" t="s">
        <v>30</v>
      </c>
      <c r="I1113" s="11" t="s">
        <v>20969</v>
      </c>
    </row>
    <row r="1114" spans="1:9" ht="13.15" x14ac:dyDescent="0.4">
      <c r="A1114" s="11" t="s">
        <v>19204</v>
      </c>
      <c r="B1114" s="11" t="s">
        <v>6071</v>
      </c>
      <c r="C1114" s="11" t="s">
        <v>18721</v>
      </c>
      <c r="D1114" s="12">
        <v>41275</v>
      </c>
      <c r="E1114" s="12">
        <v>41275</v>
      </c>
      <c r="F1114" s="11"/>
      <c r="G1114" s="11" t="s">
        <v>279</v>
      </c>
      <c r="H1114" s="11" t="s">
        <v>30</v>
      </c>
      <c r="I1114" s="11" t="s">
        <v>21655</v>
      </c>
    </row>
    <row r="1115" spans="1:9" ht="13.15" x14ac:dyDescent="0.4">
      <c r="A1115" s="11" t="s">
        <v>20206</v>
      </c>
      <c r="B1115" s="11" t="s">
        <v>6071</v>
      </c>
      <c r="C1115" s="11" t="s">
        <v>18721</v>
      </c>
      <c r="D1115" s="12">
        <v>41275</v>
      </c>
      <c r="E1115" s="12">
        <v>41275</v>
      </c>
      <c r="F1115" s="11"/>
      <c r="G1115" s="11" t="s">
        <v>279</v>
      </c>
      <c r="H1115" s="11" t="s">
        <v>30</v>
      </c>
      <c r="I1115" s="11" t="s">
        <v>20653</v>
      </c>
    </row>
    <row r="1116" spans="1:9" ht="13.15" x14ac:dyDescent="0.4">
      <c r="A1116" s="11" t="s">
        <v>20398</v>
      </c>
      <c r="B1116" s="11" t="s">
        <v>6071</v>
      </c>
      <c r="C1116" s="11" t="s">
        <v>18721</v>
      </c>
      <c r="D1116" s="12">
        <v>41275</v>
      </c>
      <c r="E1116" s="12">
        <v>41275</v>
      </c>
      <c r="F1116" s="11"/>
      <c r="G1116" s="11" t="s">
        <v>279</v>
      </c>
      <c r="H1116" s="11" t="s">
        <v>30</v>
      </c>
      <c r="I1116" s="11" t="s">
        <v>20461</v>
      </c>
    </row>
    <row r="1117" spans="1:9" ht="13.15" x14ac:dyDescent="0.4">
      <c r="A1117" s="11" t="s">
        <v>19186</v>
      </c>
      <c r="B1117" s="11" t="s">
        <v>6071</v>
      </c>
      <c r="C1117" s="11" t="s">
        <v>18721</v>
      </c>
      <c r="D1117" s="12">
        <v>41275</v>
      </c>
      <c r="E1117" s="12">
        <v>41275</v>
      </c>
      <c r="F1117" s="11"/>
      <c r="G1117" s="11" t="s">
        <v>279</v>
      </c>
      <c r="H1117" s="11" t="s">
        <v>30</v>
      </c>
      <c r="I1117" s="11" t="s">
        <v>21673</v>
      </c>
    </row>
    <row r="1118" spans="1:9" ht="13.15" x14ac:dyDescent="0.4">
      <c r="A1118" s="11" t="s">
        <v>19984</v>
      </c>
      <c r="B1118" s="11" t="s">
        <v>6071</v>
      </c>
      <c r="C1118" s="11" t="s">
        <v>18721</v>
      </c>
      <c r="D1118" s="12">
        <v>41275</v>
      </c>
      <c r="E1118" s="12">
        <v>41275</v>
      </c>
      <c r="F1118" s="11"/>
      <c r="G1118" s="11" t="s">
        <v>279</v>
      </c>
      <c r="H1118" s="11" t="s">
        <v>30</v>
      </c>
      <c r="I1118" s="11" t="s">
        <v>20875</v>
      </c>
    </row>
    <row r="1119" spans="1:9" ht="13.15" x14ac:dyDescent="0.4">
      <c r="A1119" s="11" t="s">
        <v>18896</v>
      </c>
      <c r="B1119" s="11" t="s">
        <v>6071</v>
      </c>
      <c r="C1119" s="11" t="s">
        <v>18721</v>
      </c>
      <c r="D1119" s="12">
        <v>41275</v>
      </c>
      <c r="E1119" s="12">
        <v>41275</v>
      </c>
      <c r="F1119" s="11"/>
      <c r="G1119" s="11" t="s">
        <v>279</v>
      </c>
      <c r="H1119" s="11" t="s">
        <v>30</v>
      </c>
      <c r="I1119" s="11" t="s">
        <v>21963</v>
      </c>
    </row>
    <row r="1120" spans="1:9" ht="13.15" x14ac:dyDescent="0.4">
      <c r="A1120" s="11" t="s">
        <v>19991</v>
      </c>
      <c r="B1120" s="11" t="s">
        <v>6071</v>
      </c>
      <c r="C1120" s="11" t="s">
        <v>18721</v>
      </c>
      <c r="D1120" s="12">
        <v>40909</v>
      </c>
      <c r="E1120" s="12">
        <v>40909</v>
      </c>
      <c r="F1120" s="11"/>
      <c r="G1120" s="11" t="s">
        <v>279</v>
      </c>
      <c r="H1120" s="11" t="s">
        <v>30</v>
      </c>
      <c r="I1120" s="11" t="s">
        <v>20868</v>
      </c>
    </row>
    <row r="1121" spans="1:9" ht="13.15" x14ac:dyDescent="0.4">
      <c r="A1121" s="11" t="s">
        <v>19712</v>
      </c>
      <c r="B1121" s="11" t="s">
        <v>6071</v>
      </c>
      <c r="C1121" s="11" t="s">
        <v>18721</v>
      </c>
      <c r="D1121" s="12">
        <v>40909</v>
      </c>
      <c r="E1121" s="12">
        <v>40909</v>
      </c>
      <c r="F1121" s="11"/>
      <c r="G1121" s="11" t="s">
        <v>279</v>
      </c>
      <c r="H1121" s="11" t="s">
        <v>30</v>
      </c>
      <c r="I1121" s="11" t="s">
        <v>21147</v>
      </c>
    </row>
    <row r="1122" spans="1:9" ht="13.15" x14ac:dyDescent="0.4">
      <c r="A1122" s="11" t="s">
        <v>20326</v>
      </c>
      <c r="B1122" s="11" t="s">
        <v>6071</v>
      </c>
      <c r="C1122" s="11" t="s">
        <v>18721</v>
      </c>
      <c r="D1122" s="12">
        <v>41640</v>
      </c>
      <c r="E1122" s="12">
        <v>41640</v>
      </c>
      <c r="F1122" s="11"/>
      <c r="G1122" s="11" t="s">
        <v>279</v>
      </c>
      <c r="H1122" s="11" t="s">
        <v>30</v>
      </c>
      <c r="I1122" s="11" t="s">
        <v>20533</v>
      </c>
    </row>
    <row r="1123" spans="1:9" ht="13.15" x14ac:dyDescent="0.4">
      <c r="A1123" s="11" t="s">
        <v>19121</v>
      </c>
      <c r="B1123" s="11" t="s">
        <v>6071</v>
      </c>
      <c r="C1123" s="11" t="s">
        <v>18721</v>
      </c>
      <c r="D1123" s="12">
        <v>41640</v>
      </c>
      <c r="E1123" s="12">
        <v>41640</v>
      </c>
      <c r="F1123" s="11"/>
      <c r="G1123" s="11" t="s">
        <v>279</v>
      </c>
      <c r="H1123" s="11" t="s">
        <v>30</v>
      </c>
      <c r="I1123" s="11" t="s">
        <v>21738</v>
      </c>
    </row>
    <row r="1124" spans="1:9" ht="13.15" x14ac:dyDescent="0.4">
      <c r="A1124" s="11" t="s">
        <v>19553</v>
      </c>
      <c r="B1124" s="11" t="s">
        <v>6071</v>
      </c>
      <c r="C1124" s="11" t="s">
        <v>18721</v>
      </c>
      <c r="D1124" s="12">
        <v>41640</v>
      </c>
      <c r="E1124" s="12">
        <v>41640</v>
      </c>
      <c r="F1124" s="11"/>
      <c r="G1124" s="11" t="s">
        <v>279</v>
      </c>
      <c r="H1124" s="11" t="s">
        <v>30</v>
      </c>
      <c r="I1124" s="11" t="s">
        <v>21306</v>
      </c>
    </row>
    <row r="1125" spans="1:9" ht="13.15" x14ac:dyDescent="0.4">
      <c r="A1125" s="11" t="s">
        <v>19563</v>
      </c>
      <c r="B1125" s="11" t="s">
        <v>6071</v>
      </c>
      <c r="C1125" s="11" t="s">
        <v>18721</v>
      </c>
      <c r="D1125" s="12">
        <v>41275</v>
      </c>
      <c r="E1125" s="12">
        <v>41275</v>
      </c>
      <c r="F1125" s="11"/>
      <c r="G1125" s="11" t="s">
        <v>279</v>
      </c>
      <c r="H1125" s="11" t="s">
        <v>30</v>
      </c>
      <c r="I1125" s="11" t="s">
        <v>21296</v>
      </c>
    </row>
    <row r="1126" spans="1:9" ht="13.15" x14ac:dyDescent="0.4">
      <c r="A1126" s="11" t="s">
        <v>19489</v>
      </c>
      <c r="B1126" s="11" t="s">
        <v>6071</v>
      </c>
      <c r="C1126" s="11" t="s">
        <v>18721</v>
      </c>
      <c r="D1126" s="12">
        <v>41640</v>
      </c>
      <c r="E1126" s="12">
        <v>41640</v>
      </c>
      <c r="F1126" s="11"/>
      <c r="G1126" s="11" t="s">
        <v>279</v>
      </c>
      <c r="H1126" s="11" t="s">
        <v>30</v>
      </c>
      <c r="I1126" s="11" t="s">
        <v>21370</v>
      </c>
    </row>
    <row r="1127" spans="1:9" ht="13.15" x14ac:dyDescent="0.4">
      <c r="A1127" s="11" t="s">
        <v>19502</v>
      </c>
      <c r="B1127" s="11" t="s">
        <v>6071</v>
      </c>
      <c r="C1127" s="11" t="s">
        <v>18721</v>
      </c>
      <c r="D1127" s="12">
        <v>41640</v>
      </c>
      <c r="E1127" s="12">
        <v>41640</v>
      </c>
      <c r="F1127" s="11"/>
      <c r="G1127" s="11" t="s">
        <v>279</v>
      </c>
      <c r="H1127" s="11" t="s">
        <v>30</v>
      </c>
      <c r="I1127" s="11" t="s">
        <v>21357</v>
      </c>
    </row>
    <row r="1128" spans="1:9" ht="13.15" x14ac:dyDescent="0.4">
      <c r="A1128" s="11" t="s">
        <v>18969</v>
      </c>
      <c r="B1128" s="11" t="s">
        <v>6071</v>
      </c>
      <c r="C1128" s="11" t="s">
        <v>18721</v>
      </c>
      <c r="D1128" s="12">
        <v>41640</v>
      </c>
      <c r="E1128" s="12">
        <v>41640</v>
      </c>
      <c r="F1128" s="11"/>
      <c r="G1128" s="11" t="s">
        <v>279</v>
      </c>
      <c r="H1128" s="11" t="s">
        <v>30</v>
      </c>
      <c r="I1128" s="11" t="s">
        <v>21890</v>
      </c>
    </row>
    <row r="1129" spans="1:9" ht="13.15" x14ac:dyDescent="0.4">
      <c r="A1129" s="11" t="s">
        <v>19411</v>
      </c>
      <c r="B1129" s="11" t="s">
        <v>6071</v>
      </c>
      <c r="C1129" s="11" t="s">
        <v>18721</v>
      </c>
      <c r="D1129" s="12">
        <v>41275</v>
      </c>
      <c r="E1129" s="12">
        <v>41275</v>
      </c>
      <c r="F1129" s="11"/>
      <c r="G1129" s="11" t="s">
        <v>279</v>
      </c>
      <c r="H1129" s="11" t="s">
        <v>30</v>
      </c>
      <c r="I1129" s="11" t="s">
        <v>21448</v>
      </c>
    </row>
    <row r="1130" spans="1:9" ht="13.15" x14ac:dyDescent="0.4">
      <c r="A1130" s="11" t="s">
        <v>18949</v>
      </c>
      <c r="B1130" s="11" t="s">
        <v>6071</v>
      </c>
      <c r="C1130" s="11" t="s">
        <v>18721</v>
      </c>
      <c r="D1130" s="12">
        <v>41275</v>
      </c>
      <c r="E1130" s="12">
        <v>41275</v>
      </c>
      <c r="F1130" s="11"/>
      <c r="G1130" s="11" t="s">
        <v>279</v>
      </c>
      <c r="H1130" s="11" t="s">
        <v>30</v>
      </c>
      <c r="I1130" s="11" t="s">
        <v>21910</v>
      </c>
    </row>
    <row r="1131" spans="1:9" ht="13.15" x14ac:dyDescent="0.4">
      <c r="A1131" s="11" t="s">
        <v>20220</v>
      </c>
      <c r="B1131" s="11" t="s">
        <v>6071</v>
      </c>
      <c r="C1131" s="11" t="s">
        <v>18721</v>
      </c>
      <c r="D1131" s="12">
        <v>41275</v>
      </c>
      <c r="E1131" s="12">
        <v>41275</v>
      </c>
      <c r="F1131" s="11"/>
      <c r="G1131" s="11" t="s">
        <v>279</v>
      </c>
      <c r="H1131" s="11" t="s">
        <v>30</v>
      </c>
      <c r="I1131" s="11" t="s">
        <v>20639</v>
      </c>
    </row>
    <row r="1132" spans="1:9" ht="13.15" x14ac:dyDescent="0.4">
      <c r="A1132" s="11" t="s">
        <v>20353</v>
      </c>
      <c r="B1132" s="11" t="s">
        <v>6071</v>
      </c>
      <c r="C1132" s="11" t="s">
        <v>18721</v>
      </c>
      <c r="D1132" s="12">
        <v>40909</v>
      </c>
      <c r="E1132" s="12">
        <v>40909</v>
      </c>
      <c r="F1132" s="11"/>
      <c r="G1132" s="11" t="s">
        <v>279</v>
      </c>
      <c r="H1132" s="11" t="s">
        <v>30</v>
      </c>
      <c r="I1132" s="11" t="s">
        <v>20506</v>
      </c>
    </row>
    <row r="1133" spans="1:9" ht="13.15" x14ac:dyDescent="0.4">
      <c r="A1133" s="11" t="s">
        <v>18952</v>
      </c>
      <c r="B1133" s="11" t="s">
        <v>6071</v>
      </c>
      <c r="C1133" s="11" t="s">
        <v>18721</v>
      </c>
      <c r="D1133" s="12">
        <v>40909</v>
      </c>
      <c r="E1133" s="12">
        <v>40909</v>
      </c>
      <c r="F1133" s="11"/>
      <c r="G1133" s="11" t="s">
        <v>279</v>
      </c>
      <c r="H1133" s="11" t="s">
        <v>30</v>
      </c>
      <c r="I1133" s="11" t="s">
        <v>21907</v>
      </c>
    </row>
    <row r="1134" spans="1:9" ht="13.15" x14ac:dyDescent="0.4">
      <c r="A1134" s="11" t="s">
        <v>19699</v>
      </c>
      <c r="B1134" s="11" t="s">
        <v>6071</v>
      </c>
      <c r="C1134" s="11" t="s">
        <v>18721</v>
      </c>
      <c r="D1134" s="12">
        <v>40909</v>
      </c>
      <c r="E1134" s="12">
        <v>40909</v>
      </c>
      <c r="F1134" s="11"/>
      <c r="G1134" s="11" t="s">
        <v>279</v>
      </c>
      <c r="H1134" s="11" t="s">
        <v>30</v>
      </c>
      <c r="I1134" s="11" t="s">
        <v>21160</v>
      </c>
    </row>
    <row r="1135" spans="1:9" ht="13.15" x14ac:dyDescent="0.4">
      <c r="A1135" s="11" t="s">
        <v>20139</v>
      </c>
      <c r="B1135" s="11" t="s">
        <v>6071</v>
      </c>
      <c r="C1135" s="11" t="s">
        <v>18721</v>
      </c>
      <c r="D1135" s="12">
        <v>40909</v>
      </c>
      <c r="E1135" s="12">
        <v>40909</v>
      </c>
      <c r="F1135" s="11"/>
      <c r="G1135" s="11" t="s">
        <v>279</v>
      </c>
      <c r="H1135" s="11" t="s">
        <v>30</v>
      </c>
      <c r="I1135" s="11" t="s">
        <v>20720</v>
      </c>
    </row>
    <row r="1136" spans="1:9" ht="13.15" x14ac:dyDescent="0.4">
      <c r="A1136" s="11" t="s">
        <v>20064</v>
      </c>
      <c r="B1136" s="11" t="s">
        <v>6071</v>
      </c>
      <c r="C1136" s="11" t="s">
        <v>18721</v>
      </c>
      <c r="D1136" s="12">
        <v>41275</v>
      </c>
      <c r="E1136" s="12">
        <v>41275</v>
      </c>
      <c r="F1136" s="11"/>
      <c r="G1136" s="11" t="s">
        <v>279</v>
      </c>
      <c r="H1136" s="11" t="s">
        <v>30</v>
      </c>
      <c r="I1136" s="11" t="s">
        <v>20795</v>
      </c>
    </row>
    <row r="1137" spans="1:9" ht="13.15" x14ac:dyDescent="0.4">
      <c r="A1137" s="11" t="s">
        <v>20044</v>
      </c>
      <c r="B1137" s="11" t="s">
        <v>6071</v>
      </c>
      <c r="C1137" s="11" t="s">
        <v>18721</v>
      </c>
      <c r="D1137" s="12">
        <v>41640</v>
      </c>
      <c r="E1137" s="12">
        <v>41640</v>
      </c>
      <c r="F1137" s="11"/>
      <c r="G1137" s="11" t="s">
        <v>279</v>
      </c>
      <c r="H1137" s="11" t="s">
        <v>30</v>
      </c>
      <c r="I1137" s="11" t="s">
        <v>20815</v>
      </c>
    </row>
    <row r="1138" spans="1:9" ht="13.15" x14ac:dyDescent="0.4">
      <c r="A1138" s="11" t="s">
        <v>19534</v>
      </c>
      <c r="B1138" s="11" t="s">
        <v>6071</v>
      </c>
      <c r="C1138" s="11" t="s">
        <v>18721</v>
      </c>
      <c r="D1138" s="12">
        <v>41640</v>
      </c>
      <c r="E1138" s="12">
        <v>41640</v>
      </c>
      <c r="F1138" s="11"/>
      <c r="G1138" s="11" t="s">
        <v>279</v>
      </c>
      <c r="H1138" s="11" t="s">
        <v>30</v>
      </c>
      <c r="I1138" s="11" t="s">
        <v>21325</v>
      </c>
    </row>
    <row r="1139" spans="1:9" ht="13.15" x14ac:dyDescent="0.4">
      <c r="A1139" s="11" t="s">
        <v>19754</v>
      </c>
      <c r="B1139" s="11" t="s">
        <v>6071</v>
      </c>
      <c r="C1139" s="11" t="s">
        <v>18721</v>
      </c>
      <c r="D1139" s="12">
        <v>41275</v>
      </c>
      <c r="E1139" s="12">
        <v>41275</v>
      </c>
      <c r="F1139" s="11"/>
      <c r="G1139" s="11" t="s">
        <v>279</v>
      </c>
      <c r="H1139" s="11" t="s">
        <v>30</v>
      </c>
      <c r="I1139" s="11" t="s">
        <v>21105</v>
      </c>
    </row>
    <row r="1140" spans="1:9" ht="13.15" x14ac:dyDescent="0.4">
      <c r="A1140" s="11" t="s">
        <v>19658</v>
      </c>
      <c r="B1140" s="11" t="s">
        <v>6071</v>
      </c>
      <c r="C1140" s="11" t="s">
        <v>18721</v>
      </c>
      <c r="D1140" s="12">
        <v>41640</v>
      </c>
      <c r="E1140" s="12">
        <v>41640</v>
      </c>
      <c r="F1140" s="11"/>
      <c r="G1140" s="11" t="s">
        <v>279</v>
      </c>
      <c r="H1140" s="11" t="s">
        <v>30</v>
      </c>
      <c r="I1140" s="11" t="s">
        <v>21201</v>
      </c>
    </row>
    <row r="1141" spans="1:9" ht="13.15" x14ac:dyDescent="0.4">
      <c r="A1141" s="11" t="s">
        <v>19191</v>
      </c>
      <c r="B1141" s="11" t="s">
        <v>6071</v>
      </c>
      <c r="C1141" s="11" t="s">
        <v>18721</v>
      </c>
      <c r="D1141" s="12">
        <v>41640</v>
      </c>
      <c r="E1141" s="12">
        <v>41640</v>
      </c>
      <c r="F1141" s="11"/>
      <c r="G1141" s="11" t="s">
        <v>279</v>
      </c>
      <c r="H1141" s="11" t="s">
        <v>30</v>
      </c>
      <c r="I1141" s="11" t="s">
        <v>21668</v>
      </c>
    </row>
    <row r="1142" spans="1:9" ht="13.15" x14ac:dyDescent="0.4">
      <c r="A1142" s="11" t="s">
        <v>20331</v>
      </c>
      <c r="B1142" s="11" t="s">
        <v>6071</v>
      </c>
      <c r="C1142" s="11" t="s">
        <v>18721</v>
      </c>
      <c r="D1142" s="12">
        <v>41275</v>
      </c>
      <c r="E1142" s="12">
        <v>41275</v>
      </c>
      <c r="F1142" s="11"/>
      <c r="G1142" s="11" t="s">
        <v>279</v>
      </c>
      <c r="H1142" s="11" t="s">
        <v>30</v>
      </c>
      <c r="I1142" s="11" t="s">
        <v>20528</v>
      </c>
    </row>
    <row r="1143" spans="1:9" ht="13.15" x14ac:dyDescent="0.4">
      <c r="A1143" s="11" t="s">
        <v>19902</v>
      </c>
      <c r="B1143" s="11" t="s">
        <v>6071</v>
      </c>
      <c r="C1143" s="11" t="s">
        <v>18721</v>
      </c>
      <c r="D1143" s="12">
        <v>41640</v>
      </c>
      <c r="E1143" s="12">
        <v>41640</v>
      </c>
      <c r="F1143" s="11"/>
      <c r="G1143" s="11" t="s">
        <v>279</v>
      </c>
      <c r="H1143" s="11" t="s">
        <v>30</v>
      </c>
      <c r="I1143" s="11" t="s">
        <v>20957</v>
      </c>
    </row>
    <row r="1144" spans="1:9" ht="13.15" x14ac:dyDescent="0.4">
      <c r="A1144" s="11" t="s">
        <v>19246</v>
      </c>
      <c r="B1144" s="11" t="s">
        <v>6071</v>
      </c>
      <c r="C1144" s="11" t="s">
        <v>18721</v>
      </c>
      <c r="D1144" s="12">
        <v>41640</v>
      </c>
      <c r="E1144" s="12">
        <v>41640</v>
      </c>
      <c r="F1144" s="11"/>
      <c r="G1144" s="11" t="s">
        <v>279</v>
      </c>
      <c r="H1144" s="11" t="s">
        <v>30</v>
      </c>
      <c r="I1144" s="11" t="s">
        <v>21613</v>
      </c>
    </row>
    <row r="1145" spans="1:9" ht="13.15" x14ac:dyDescent="0.4">
      <c r="A1145" s="11" t="s">
        <v>19261</v>
      </c>
      <c r="B1145" s="11" t="s">
        <v>6071</v>
      </c>
      <c r="C1145" s="11" t="s">
        <v>18721</v>
      </c>
      <c r="D1145" s="12">
        <v>41640</v>
      </c>
      <c r="E1145" s="12">
        <v>41640</v>
      </c>
      <c r="F1145" s="11"/>
      <c r="G1145" s="11" t="s">
        <v>279</v>
      </c>
      <c r="H1145" s="11" t="s">
        <v>30</v>
      </c>
      <c r="I1145" s="11" t="s">
        <v>21598</v>
      </c>
    </row>
    <row r="1146" spans="1:9" ht="13.15" x14ac:dyDescent="0.4">
      <c r="A1146" s="11" t="s">
        <v>19772</v>
      </c>
      <c r="B1146" s="11" t="s">
        <v>6071</v>
      </c>
      <c r="C1146" s="11" t="s">
        <v>18721</v>
      </c>
      <c r="D1146" s="12">
        <v>41640</v>
      </c>
      <c r="E1146" s="12">
        <v>41640</v>
      </c>
      <c r="F1146" s="11"/>
      <c r="G1146" s="11" t="s">
        <v>279</v>
      </c>
      <c r="H1146" s="11" t="s">
        <v>30</v>
      </c>
      <c r="I1146" s="11" t="s">
        <v>21087</v>
      </c>
    </row>
    <row r="1147" spans="1:9" ht="13.15" x14ac:dyDescent="0.4">
      <c r="A1147" s="11" t="s">
        <v>18994</v>
      </c>
      <c r="B1147" s="11" t="s">
        <v>6071</v>
      </c>
      <c r="C1147" s="11" t="s">
        <v>18721</v>
      </c>
      <c r="D1147" s="12">
        <v>41640</v>
      </c>
      <c r="E1147" s="12">
        <v>41640</v>
      </c>
      <c r="F1147" s="11"/>
      <c r="G1147" s="11" t="s">
        <v>279</v>
      </c>
      <c r="H1147" s="11" t="s">
        <v>30</v>
      </c>
      <c r="I1147" s="11" t="s">
        <v>21865</v>
      </c>
    </row>
    <row r="1148" spans="1:9" ht="13.15" x14ac:dyDescent="0.4">
      <c r="A1148" s="11" t="s">
        <v>20363</v>
      </c>
      <c r="B1148" s="11" t="s">
        <v>6071</v>
      </c>
      <c r="C1148" s="11" t="s">
        <v>18721</v>
      </c>
      <c r="D1148" s="12">
        <v>41275</v>
      </c>
      <c r="E1148" s="12">
        <v>41275</v>
      </c>
      <c r="F1148" s="11"/>
      <c r="G1148" s="11" t="s">
        <v>279</v>
      </c>
      <c r="H1148" s="11" t="s">
        <v>30</v>
      </c>
      <c r="I1148" s="11" t="s">
        <v>20496</v>
      </c>
    </row>
    <row r="1149" spans="1:9" ht="13.15" x14ac:dyDescent="0.4">
      <c r="A1149" s="11" t="s">
        <v>19269</v>
      </c>
      <c r="B1149" s="11" t="s">
        <v>6071</v>
      </c>
      <c r="C1149" s="11" t="s">
        <v>18721</v>
      </c>
      <c r="D1149" s="12">
        <v>41640</v>
      </c>
      <c r="E1149" s="12">
        <v>41640</v>
      </c>
      <c r="F1149" s="11"/>
      <c r="G1149" s="11" t="s">
        <v>279</v>
      </c>
      <c r="H1149" s="11" t="s">
        <v>30</v>
      </c>
      <c r="I1149" s="11" t="s">
        <v>21590</v>
      </c>
    </row>
    <row r="1150" spans="1:9" ht="13.15" x14ac:dyDescent="0.4">
      <c r="A1150" s="11" t="s">
        <v>19344</v>
      </c>
      <c r="B1150" s="11" t="s">
        <v>6071</v>
      </c>
      <c r="C1150" s="11" t="s">
        <v>18721</v>
      </c>
      <c r="D1150" s="12">
        <v>41640</v>
      </c>
      <c r="E1150" s="12">
        <v>41640</v>
      </c>
      <c r="F1150" s="11"/>
      <c r="G1150" s="11" t="s">
        <v>279</v>
      </c>
      <c r="H1150" s="11" t="s">
        <v>30</v>
      </c>
      <c r="I1150" s="11" t="s">
        <v>21515</v>
      </c>
    </row>
    <row r="1151" spans="1:9" ht="13.15" x14ac:dyDescent="0.4">
      <c r="A1151" s="11" t="s">
        <v>19189</v>
      </c>
      <c r="B1151" s="11" t="s">
        <v>6071</v>
      </c>
      <c r="C1151" s="11" t="s">
        <v>18721</v>
      </c>
      <c r="D1151" s="12">
        <v>41275</v>
      </c>
      <c r="E1151" s="12">
        <v>41275</v>
      </c>
      <c r="F1151" s="11"/>
      <c r="G1151" s="11" t="s">
        <v>279</v>
      </c>
      <c r="H1151" s="11" t="s">
        <v>30</v>
      </c>
      <c r="I1151" s="11" t="s">
        <v>21670</v>
      </c>
    </row>
    <row r="1152" spans="1:9" ht="13.15" x14ac:dyDescent="0.4">
      <c r="A1152" s="11" t="s">
        <v>20112</v>
      </c>
      <c r="B1152" s="11" t="s">
        <v>6071</v>
      </c>
      <c r="C1152" s="11" t="s">
        <v>18721</v>
      </c>
      <c r="D1152" s="12">
        <v>41640</v>
      </c>
      <c r="E1152" s="12">
        <v>41640</v>
      </c>
      <c r="F1152" s="11"/>
      <c r="G1152" s="11" t="s">
        <v>279</v>
      </c>
      <c r="H1152" s="11" t="s">
        <v>30</v>
      </c>
      <c r="I1152" s="11" t="s">
        <v>20747</v>
      </c>
    </row>
    <row r="1153" spans="1:9" ht="13.15" x14ac:dyDescent="0.4">
      <c r="A1153" s="11" t="s">
        <v>18887</v>
      </c>
      <c r="B1153" s="11" t="s">
        <v>6071</v>
      </c>
      <c r="C1153" s="11" t="s">
        <v>18721</v>
      </c>
      <c r="D1153" s="12">
        <v>41275</v>
      </c>
      <c r="E1153" s="12">
        <v>41275</v>
      </c>
      <c r="F1153" s="11"/>
      <c r="G1153" s="11" t="s">
        <v>279</v>
      </c>
      <c r="H1153" s="11" t="s">
        <v>30</v>
      </c>
      <c r="I1153" s="11" t="s">
        <v>21972</v>
      </c>
    </row>
    <row r="1154" spans="1:9" ht="13.15" x14ac:dyDescent="0.4">
      <c r="A1154" s="11" t="s">
        <v>19576</v>
      </c>
      <c r="B1154" s="11" t="s">
        <v>6071</v>
      </c>
      <c r="C1154" s="11" t="s">
        <v>18721</v>
      </c>
      <c r="D1154" s="12">
        <v>41275</v>
      </c>
      <c r="E1154" s="12">
        <v>41275</v>
      </c>
      <c r="F1154" s="11"/>
      <c r="G1154" s="11" t="s">
        <v>279</v>
      </c>
      <c r="H1154" s="11" t="s">
        <v>30</v>
      </c>
      <c r="I1154" s="11" t="s">
        <v>21283</v>
      </c>
    </row>
    <row r="1155" spans="1:9" ht="13.15" x14ac:dyDescent="0.4">
      <c r="A1155" s="11" t="s">
        <v>20020</v>
      </c>
      <c r="B1155" s="11" t="s">
        <v>6071</v>
      </c>
      <c r="C1155" s="11" t="s">
        <v>18721</v>
      </c>
      <c r="D1155" s="12">
        <v>41275</v>
      </c>
      <c r="E1155" s="12">
        <v>41275</v>
      </c>
      <c r="F1155" s="11"/>
      <c r="G1155" s="11" t="s">
        <v>279</v>
      </c>
      <c r="H1155" s="11" t="s">
        <v>30</v>
      </c>
      <c r="I1155" s="11" t="s">
        <v>20839</v>
      </c>
    </row>
    <row r="1156" spans="1:9" ht="13.15" x14ac:dyDescent="0.4">
      <c r="A1156" s="11" t="s">
        <v>19408</v>
      </c>
      <c r="B1156" s="11" t="s">
        <v>6071</v>
      </c>
      <c r="C1156" s="11" t="s">
        <v>18721</v>
      </c>
      <c r="D1156" s="12">
        <v>41275</v>
      </c>
      <c r="E1156" s="12">
        <v>41275</v>
      </c>
      <c r="F1156" s="11"/>
      <c r="G1156" s="11" t="s">
        <v>279</v>
      </c>
      <c r="H1156" s="11" t="s">
        <v>30</v>
      </c>
      <c r="I1156" s="11" t="s">
        <v>21451</v>
      </c>
    </row>
    <row r="1157" spans="1:9" ht="13.15" x14ac:dyDescent="0.4">
      <c r="A1157" s="11" t="s">
        <v>20199</v>
      </c>
      <c r="B1157" s="11" t="s">
        <v>6071</v>
      </c>
      <c r="C1157" s="11" t="s">
        <v>18721</v>
      </c>
      <c r="D1157" s="12">
        <v>41275</v>
      </c>
      <c r="E1157" s="12">
        <v>41275</v>
      </c>
      <c r="F1157" s="11"/>
      <c r="G1157" s="11" t="s">
        <v>279</v>
      </c>
      <c r="H1157" s="11" t="s">
        <v>30</v>
      </c>
      <c r="I1157" s="11" t="s">
        <v>20660</v>
      </c>
    </row>
    <row r="1158" spans="1:9" ht="13.15" x14ac:dyDescent="0.4">
      <c r="A1158" s="11" t="s">
        <v>19551</v>
      </c>
      <c r="B1158" s="11" t="s">
        <v>6071</v>
      </c>
      <c r="C1158" s="11" t="s">
        <v>18721</v>
      </c>
      <c r="D1158" s="12">
        <v>41275</v>
      </c>
      <c r="E1158" s="12">
        <v>41275</v>
      </c>
      <c r="F1158" s="11"/>
      <c r="G1158" s="11" t="s">
        <v>279</v>
      </c>
      <c r="H1158" s="11" t="s">
        <v>30</v>
      </c>
      <c r="I1158" s="11" t="s">
        <v>21308</v>
      </c>
    </row>
    <row r="1159" spans="1:9" ht="13.15" x14ac:dyDescent="0.4">
      <c r="A1159" s="11" t="s">
        <v>20403</v>
      </c>
      <c r="B1159" s="11" t="s">
        <v>6071</v>
      </c>
      <c r="C1159" s="11" t="s">
        <v>18721</v>
      </c>
      <c r="D1159" s="12">
        <v>41275</v>
      </c>
      <c r="E1159" s="12">
        <v>41275</v>
      </c>
      <c r="F1159" s="11"/>
      <c r="G1159" s="11" t="s">
        <v>279</v>
      </c>
      <c r="H1159" s="11" t="s">
        <v>30</v>
      </c>
      <c r="I1159" s="11" t="s">
        <v>20456</v>
      </c>
    </row>
    <row r="1160" spans="1:9" ht="13.15" x14ac:dyDescent="0.4">
      <c r="A1160" s="11" t="s">
        <v>20286</v>
      </c>
      <c r="B1160" s="11" t="s">
        <v>6071</v>
      </c>
      <c r="C1160" s="11" t="s">
        <v>18721</v>
      </c>
      <c r="D1160" s="12">
        <v>41275</v>
      </c>
      <c r="E1160" s="12">
        <v>41275</v>
      </c>
      <c r="F1160" s="11"/>
      <c r="G1160" s="11" t="s">
        <v>279</v>
      </c>
      <c r="H1160" s="11" t="s">
        <v>30</v>
      </c>
      <c r="I1160" s="11" t="s">
        <v>20573</v>
      </c>
    </row>
    <row r="1161" spans="1:9" ht="13.15" x14ac:dyDescent="0.4">
      <c r="A1161" s="11" t="s">
        <v>18852</v>
      </c>
      <c r="B1161" s="11" t="s">
        <v>6071</v>
      </c>
      <c r="C1161" s="11" t="s">
        <v>18721</v>
      </c>
      <c r="D1161" s="12">
        <v>41275</v>
      </c>
      <c r="E1161" s="12">
        <v>41275</v>
      </c>
      <c r="F1161" s="11"/>
      <c r="G1161" s="11" t="s">
        <v>279</v>
      </c>
      <c r="H1161" s="11" t="s">
        <v>30</v>
      </c>
      <c r="I1161" s="11" t="s">
        <v>22007</v>
      </c>
    </row>
    <row r="1162" spans="1:9" ht="13.15" x14ac:dyDescent="0.4">
      <c r="A1162" s="11" t="s">
        <v>19020</v>
      </c>
      <c r="B1162" s="11" t="s">
        <v>6071</v>
      </c>
      <c r="C1162" s="11" t="s">
        <v>18721</v>
      </c>
      <c r="D1162" s="12">
        <v>41640</v>
      </c>
      <c r="E1162" s="12">
        <v>41640</v>
      </c>
      <c r="F1162" s="11"/>
      <c r="G1162" s="11" t="s">
        <v>279</v>
      </c>
      <c r="H1162" s="11" t="s">
        <v>30</v>
      </c>
      <c r="I1162" s="11" t="s">
        <v>21839</v>
      </c>
    </row>
    <row r="1163" spans="1:9" ht="13.15" x14ac:dyDescent="0.4">
      <c r="A1163" s="11" t="s">
        <v>19662</v>
      </c>
      <c r="B1163" s="11" t="s">
        <v>6071</v>
      </c>
      <c r="C1163" s="11" t="s">
        <v>18721</v>
      </c>
      <c r="D1163" s="12">
        <v>41275</v>
      </c>
      <c r="E1163" s="12">
        <v>41275</v>
      </c>
      <c r="F1163" s="11"/>
      <c r="G1163" s="11" t="s">
        <v>279</v>
      </c>
      <c r="H1163" s="11" t="s">
        <v>30</v>
      </c>
      <c r="I1163" s="11" t="s">
        <v>21197</v>
      </c>
    </row>
    <row r="1164" spans="1:9" ht="13.15" x14ac:dyDescent="0.4">
      <c r="A1164" s="11" t="s">
        <v>19384</v>
      </c>
      <c r="B1164" s="11" t="s">
        <v>6071</v>
      </c>
      <c r="C1164" s="11" t="s">
        <v>18721</v>
      </c>
      <c r="D1164" s="12">
        <v>41640</v>
      </c>
      <c r="E1164" s="12">
        <v>41640</v>
      </c>
      <c r="F1164" s="11"/>
      <c r="G1164" s="11" t="s">
        <v>279</v>
      </c>
      <c r="H1164" s="11" t="s">
        <v>30</v>
      </c>
      <c r="I1164" s="11" t="s">
        <v>21475</v>
      </c>
    </row>
    <row r="1165" spans="1:9" ht="13.15" x14ac:dyDescent="0.4">
      <c r="A1165" s="11" t="s">
        <v>19004</v>
      </c>
      <c r="B1165" s="11" t="s">
        <v>6071</v>
      </c>
      <c r="C1165" s="11" t="s">
        <v>18721</v>
      </c>
      <c r="D1165" s="12">
        <v>41640</v>
      </c>
      <c r="E1165" s="12">
        <v>41640</v>
      </c>
      <c r="F1165" s="11"/>
      <c r="G1165" s="11" t="s">
        <v>279</v>
      </c>
      <c r="H1165" s="11" t="s">
        <v>30</v>
      </c>
      <c r="I1165" s="11" t="s">
        <v>21855</v>
      </c>
    </row>
    <row r="1166" spans="1:9" ht="13.15" x14ac:dyDescent="0.4">
      <c r="A1166" s="11" t="s">
        <v>19053</v>
      </c>
      <c r="B1166" s="11" t="s">
        <v>6071</v>
      </c>
      <c r="C1166" s="11" t="s">
        <v>18721</v>
      </c>
      <c r="D1166" s="12">
        <v>41640</v>
      </c>
      <c r="E1166" s="12">
        <v>41640</v>
      </c>
      <c r="F1166" s="11"/>
      <c r="G1166" s="11" t="s">
        <v>279</v>
      </c>
      <c r="H1166" s="11" t="s">
        <v>30</v>
      </c>
      <c r="I1166" s="11" t="s">
        <v>21806</v>
      </c>
    </row>
    <row r="1167" spans="1:9" ht="13.15" x14ac:dyDescent="0.4">
      <c r="A1167" s="11" t="s">
        <v>19337</v>
      </c>
      <c r="B1167" s="11" t="s">
        <v>6071</v>
      </c>
      <c r="C1167" s="11" t="s">
        <v>18721</v>
      </c>
      <c r="D1167" s="12">
        <v>41640</v>
      </c>
      <c r="E1167" s="12">
        <v>41640</v>
      </c>
      <c r="F1167" s="11"/>
      <c r="G1167" s="11" t="s">
        <v>279</v>
      </c>
      <c r="H1167" s="11" t="s">
        <v>30</v>
      </c>
      <c r="I1167" s="11" t="s">
        <v>21522</v>
      </c>
    </row>
    <row r="1168" spans="1:9" ht="13.15" x14ac:dyDescent="0.4">
      <c r="A1168" s="11" t="s">
        <v>20054</v>
      </c>
      <c r="B1168" s="11" t="s">
        <v>6071</v>
      </c>
      <c r="C1168" s="11" t="s">
        <v>18721</v>
      </c>
      <c r="D1168" s="12">
        <v>41275</v>
      </c>
      <c r="E1168" s="12">
        <v>41275</v>
      </c>
      <c r="F1168" s="11"/>
      <c r="G1168" s="11" t="s">
        <v>279</v>
      </c>
      <c r="H1168" s="11" t="s">
        <v>30</v>
      </c>
      <c r="I1168" s="11" t="s">
        <v>20805</v>
      </c>
    </row>
    <row r="1169" spans="1:9" ht="13.15" x14ac:dyDescent="0.4">
      <c r="A1169" s="11" t="s">
        <v>19533</v>
      </c>
      <c r="B1169" s="11" t="s">
        <v>6071</v>
      </c>
      <c r="C1169" s="11" t="s">
        <v>18721</v>
      </c>
      <c r="D1169" s="12">
        <v>41640</v>
      </c>
      <c r="E1169" s="12">
        <v>41640</v>
      </c>
      <c r="F1169" s="11"/>
      <c r="G1169" s="11" t="s">
        <v>279</v>
      </c>
      <c r="H1169" s="11" t="s">
        <v>30</v>
      </c>
      <c r="I1169" s="11" t="s">
        <v>21326</v>
      </c>
    </row>
    <row r="1170" spans="1:9" ht="13.15" x14ac:dyDescent="0.4">
      <c r="A1170" s="11" t="s">
        <v>20315</v>
      </c>
      <c r="B1170" s="11" t="s">
        <v>6071</v>
      </c>
      <c r="C1170" s="11" t="s">
        <v>18721</v>
      </c>
      <c r="D1170" s="12">
        <v>41275</v>
      </c>
      <c r="E1170" s="12">
        <v>41275</v>
      </c>
      <c r="F1170" s="11"/>
      <c r="G1170" s="11" t="s">
        <v>279</v>
      </c>
      <c r="H1170" s="11" t="s">
        <v>30</v>
      </c>
      <c r="I1170" s="11" t="s">
        <v>20544</v>
      </c>
    </row>
    <row r="1171" spans="1:9" ht="13.15" x14ac:dyDescent="0.4">
      <c r="A1171" s="11" t="s">
        <v>19832</v>
      </c>
      <c r="B1171" s="11" t="s">
        <v>6071</v>
      </c>
      <c r="C1171" s="11" t="s">
        <v>18721</v>
      </c>
      <c r="D1171" s="12">
        <v>41640</v>
      </c>
      <c r="E1171" s="12">
        <v>41640</v>
      </c>
      <c r="F1171" s="11"/>
      <c r="G1171" s="11" t="s">
        <v>279</v>
      </c>
      <c r="H1171" s="11" t="s">
        <v>30</v>
      </c>
      <c r="I1171" s="11" t="s">
        <v>21027</v>
      </c>
    </row>
    <row r="1172" spans="1:9" ht="13.15" x14ac:dyDescent="0.4">
      <c r="A1172" s="11" t="s">
        <v>19526</v>
      </c>
      <c r="B1172" s="11" t="s">
        <v>6071</v>
      </c>
      <c r="C1172" s="11" t="s">
        <v>18721</v>
      </c>
      <c r="D1172" s="12">
        <v>41640</v>
      </c>
      <c r="E1172" s="12">
        <v>41640</v>
      </c>
      <c r="F1172" s="11"/>
      <c r="G1172" s="11" t="s">
        <v>279</v>
      </c>
      <c r="H1172" s="11" t="s">
        <v>30</v>
      </c>
      <c r="I1172" s="11" t="s">
        <v>21333</v>
      </c>
    </row>
    <row r="1173" spans="1:9" ht="13.15" x14ac:dyDescent="0.4">
      <c r="A1173" s="11" t="s">
        <v>18995</v>
      </c>
      <c r="B1173" s="11" t="s">
        <v>6071</v>
      </c>
      <c r="C1173" s="11" t="s">
        <v>18721</v>
      </c>
      <c r="D1173" s="12">
        <v>41640</v>
      </c>
      <c r="E1173" s="12">
        <v>41640</v>
      </c>
      <c r="F1173" s="11"/>
      <c r="G1173" s="11" t="s">
        <v>279</v>
      </c>
      <c r="H1173" s="11" t="s">
        <v>30</v>
      </c>
      <c r="I1173" s="11" t="s">
        <v>21864</v>
      </c>
    </row>
    <row r="1174" spans="1:9" ht="13.15" x14ac:dyDescent="0.4">
      <c r="A1174" s="11" t="s">
        <v>18745</v>
      </c>
      <c r="B1174" s="11" t="s">
        <v>6071</v>
      </c>
      <c r="C1174" s="11" t="s">
        <v>18721</v>
      </c>
      <c r="D1174" s="12">
        <v>41275</v>
      </c>
      <c r="E1174" s="12">
        <v>41275</v>
      </c>
      <c r="F1174" s="11"/>
      <c r="G1174" s="11" t="s">
        <v>279</v>
      </c>
      <c r="H1174" s="11" t="s">
        <v>30</v>
      </c>
      <c r="I1174" s="11" t="s">
        <v>22114</v>
      </c>
    </row>
    <row r="1175" spans="1:9" ht="13.15" x14ac:dyDescent="0.4">
      <c r="A1175" s="11" t="s">
        <v>19682</v>
      </c>
      <c r="B1175" s="11" t="s">
        <v>6071</v>
      </c>
      <c r="C1175" s="11" t="s">
        <v>18721</v>
      </c>
      <c r="D1175" s="12">
        <v>41275</v>
      </c>
      <c r="E1175" s="12">
        <v>41275</v>
      </c>
      <c r="F1175" s="11"/>
      <c r="G1175" s="11" t="s">
        <v>279</v>
      </c>
      <c r="H1175" s="11" t="s">
        <v>30</v>
      </c>
      <c r="I1175" s="11" t="s">
        <v>21177</v>
      </c>
    </row>
    <row r="1176" spans="1:9" ht="13.15" x14ac:dyDescent="0.4">
      <c r="A1176" s="11" t="s">
        <v>18779</v>
      </c>
      <c r="B1176" s="11" t="s">
        <v>6071</v>
      </c>
      <c r="C1176" s="11" t="s">
        <v>18721</v>
      </c>
      <c r="D1176" s="12">
        <v>41275</v>
      </c>
      <c r="E1176" s="12">
        <v>41275</v>
      </c>
      <c r="F1176" s="11"/>
      <c r="G1176" s="11" t="s">
        <v>279</v>
      </c>
      <c r="H1176" s="11" t="s">
        <v>30</v>
      </c>
      <c r="I1176" s="11" t="s">
        <v>22080</v>
      </c>
    </row>
    <row r="1177" spans="1:9" ht="13.15" x14ac:dyDescent="0.4">
      <c r="A1177" s="11" t="s">
        <v>20235</v>
      </c>
      <c r="B1177" s="11" t="s">
        <v>6071</v>
      </c>
      <c r="C1177" s="11" t="s">
        <v>18721</v>
      </c>
      <c r="D1177" s="12">
        <v>41640</v>
      </c>
      <c r="E1177" s="12">
        <v>41640</v>
      </c>
      <c r="F1177" s="11"/>
      <c r="G1177" s="11" t="s">
        <v>279</v>
      </c>
      <c r="H1177" s="11" t="s">
        <v>30</v>
      </c>
      <c r="I1177" s="11" t="s">
        <v>20624</v>
      </c>
    </row>
    <row r="1178" spans="1:9" ht="13.15" x14ac:dyDescent="0.4">
      <c r="A1178" s="11" t="s">
        <v>19792</v>
      </c>
      <c r="B1178" s="11" t="s">
        <v>6071</v>
      </c>
      <c r="C1178" s="11" t="s">
        <v>18721</v>
      </c>
      <c r="D1178" s="12">
        <v>40909</v>
      </c>
      <c r="E1178" s="12">
        <v>40909</v>
      </c>
      <c r="F1178" s="11"/>
      <c r="G1178" s="11" t="s">
        <v>279</v>
      </c>
      <c r="H1178" s="11" t="s">
        <v>30</v>
      </c>
      <c r="I1178" s="11" t="s">
        <v>21067</v>
      </c>
    </row>
    <row r="1179" spans="1:9" ht="13.15" x14ac:dyDescent="0.4">
      <c r="A1179" s="11" t="s">
        <v>18901</v>
      </c>
      <c r="B1179" s="11" t="s">
        <v>6071</v>
      </c>
      <c r="C1179" s="11" t="s">
        <v>18721</v>
      </c>
      <c r="D1179" s="12">
        <v>40909</v>
      </c>
      <c r="E1179" s="12">
        <v>40909</v>
      </c>
      <c r="F1179" s="11"/>
      <c r="G1179" s="11" t="s">
        <v>279</v>
      </c>
      <c r="H1179" s="11" t="s">
        <v>30</v>
      </c>
      <c r="I1179" s="11" t="s">
        <v>21958</v>
      </c>
    </row>
    <row r="1180" spans="1:9" ht="13.15" x14ac:dyDescent="0.4">
      <c r="A1180" s="11" t="s">
        <v>19042</v>
      </c>
      <c r="B1180" s="11" t="s">
        <v>6071</v>
      </c>
      <c r="C1180" s="11" t="s">
        <v>18721</v>
      </c>
      <c r="D1180" s="12">
        <v>40909</v>
      </c>
      <c r="E1180" s="12">
        <v>40909</v>
      </c>
      <c r="F1180" s="11"/>
      <c r="G1180" s="11" t="s">
        <v>279</v>
      </c>
      <c r="H1180" s="11" t="s">
        <v>30</v>
      </c>
      <c r="I1180" s="11" t="s">
        <v>21817</v>
      </c>
    </row>
    <row r="1181" spans="1:9" ht="13.15" x14ac:dyDescent="0.4">
      <c r="A1181" s="11" t="s">
        <v>19146</v>
      </c>
      <c r="B1181" s="11" t="s">
        <v>6071</v>
      </c>
      <c r="C1181" s="11" t="s">
        <v>18721</v>
      </c>
      <c r="D1181" s="12">
        <v>41275</v>
      </c>
      <c r="E1181" s="12">
        <v>41275</v>
      </c>
      <c r="F1181" s="11"/>
      <c r="G1181" s="11" t="s">
        <v>279</v>
      </c>
      <c r="H1181" s="11" t="s">
        <v>30</v>
      </c>
      <c r="I1181" s="11" t="s">
        <v>21713</v>
      </c>
    </row>
    <row r="1182" spans="1:9" ht="13.15" x14ac:dyDescent="0.4">
      <c r="A1182" s="11" t="s">
        <v>18838</v>
      </c>
      <c r="B1182" s="11" t="s">
        <v>6071</v>
      </c>
      <c r="C1182" s="11" t="s">
        <v>18721</v>
      </c>
      <c r="D1182" s="12">
        <v>41275</v>
      </c>
      <c r="E1182" s="12">
        <v>41275</v>
      </c>
      <c r="F1182" s="11"/>
      <c r="G1182" s="11" t="s">
        <v>279</v>
      </c>
      <c r="H1182" s="11" t="s">
        <v>30</v>
      </c>
      <c r="I1182" s="11" t="s">
        <v>22021</v>
      </c>
    </row>
    <row r="1183" spans="1:9" ht="13.15" x14ac:dyDescent="0.4">
      <c r="A1183" s="11" t="s">
        <v>19123</v>
      </c>
      <c r="B1183" s="11" t="s">
        <v>6072</v>
      </c>
      <c r="C1183" s="11" t="s">
        <v>18721</v>
      </c>
      <c r="D1183" s="12">
        <v>41275</v>
      </c>
      <c r="E1183" s="12">
        <v>41275</v>
      </c>
      <c r="F1183" s="11"/>
      <c r="G1183" s="11" t="s">
        <v>279</v>
      </c>
      <c r="H1183" s="11" t="s">
        <v>30</v>
      </c>
      <c r="I1183" s="11" t="s">
        <v>21736</v>
      </c>
    </row>
    <row r="1184" spans="1:9" ht="13.15" x14ac:dyDescent="0.4">
      <c r="A1184" s="11" t="s">
        <v>18988</v>
      </c>
      <c r="B1184" s="11" t="s">
        <v>6072</v>
      </c>
      <c r="C1184" s="11" t="s">
        <v>18721</v>
      </c>
      <c r="D1184" s="12">
        <v>41275</v>
      </c>
      <c r="E1184" s="12">
        <v>41275</v>
      </c>
      <c r="F1184" s="11"/>
      <c r="G1184" s="11" t="s">
        <v>279</v>
      </c>
      <c r="H1184" s="11" t="s">
        <v>30</v>
      </c>
      <c r="I1184" s="11" t="s">
        <v>21871</v>
      </c>
    </row>
    <row r="1185" spans="1:9" ht="13.15" x14ac:dyDescent="0.4">
      <c r="A1185" s="11" t="s">
        <v>19671</v>
      </c>
      <c r="B1185" s="11" t="s">
        <v>6072</v>
      </c>
      <c r="C1185" s="11" t="s">
        <v>18721</v>
      </c>
      <c r="D1185" s="12">
        <v>41275</v>
      </c>
      <c r="E1185" s="12">
        <v>41275</v>
      </c>
      <c r="F1185" s="11"/>
      <c r="G1185" s="11" t="s">
        <v>279</v>
      </c>
      <c r="H1185" s="11" t="s">
        <v>30</v>
      </c>
      <c r="I1185" s="11" t="s">
        <v>21188</v>
      </c>
    </row>
    <row r="1186" spans="1:9" ht="13.15" x14ac:dyDescent="0.4">
      <c r="A1186" s="11" t="s">
        <v>18726</v>
      </c>
      <c r="B1186" s="11" t="s">
        <v>6072</v>
      </c>
      <c r="C1186" s="11" t="s">
        <v>18721</v>
      </c>
      <c r="D1186" s="12">
        <v>41275</v>
      </c>
      <c r="E1186" s="12">
        <v>41275</v>
      </c>
      <c r="F1186" s="11"/>
      <c r="G1186" s="11" t="s">
        <v>279</v>
      </c>
      <c r="H1186" s="11" t="s">
        <v>30</v>
      </c>
      <c r="I1186" s="11" t="s">
        <v>22133</v>
      </c>
    </row>
    <row r="1187" spans="1:9" ht="13.15" x14ac:dyDescent="0.4">
      <c r="A1187" s="11" t="s">
        <v>19096</v>
      </c>
      <c r="B1187" s="11" t="s">
        <v>6072</v>
      </c>
      <c r="C1187" s="11" t="s">
        <v>18721</v>
      </c>
      <c r="D1187" s="12">
        <v>41275</v>
      </c>
      <c r="E1187" s="12">
        <v>41275</v>
      </c>
      <c r="F1187" s="11"/>
      <c r="G1187" s="11" t="s">
        <v>279</v>
      </c>
      <c r="H1187" s="11" t="s">
        <v>30</v>
      </c>
      <c r="I1187" s="11" t="s">
        <v>21763</v>
      </c>
    </row>
    <row r="1188" spans="1:9" ht="13.15" x14ac:dyDescent="0.4">
      <c r="A1188" s="11" t="s">
        <v>19039</v>
      </c>
      <c r="B1188" s="11" t="s">
        <v>6072</v>
      </c>
      <c r="C1188" s="11" t="s">
        <v>18721</v>
      </c>
      <c r="D1188" s="12">
        <v>41275</v>
      </c>
      <c r="E1188" s="12">
        <v>41275</v>
      </c>
      <c r="F1188" s="11"/>
      <c r="G1188" s="11" t="s">
        <v>279</v>
      </c>
      <c r="H1188" s="11" t="s">
        <v>30</v>
      </c>
      <c r="I1188" s="11" t="s">
        <v>21820</v>
      </c>
    </row>
    <row r="1189" spans="1:9" ht="13.15" x14ac:dyDescent="0.4">
      <c r="A1189" s="11" t="s">
        <v>20397</v>
      </c>
      <c r="B1189" s="11" t="s">
        <v>6072</v>
      </c>
      <c r="C1189" s="11" t="s">
        <v>18721</v>
      </c>
      <c r="D1189" s="12">
        <v>41275</v>
      </c>
      <c r="E1189" s="12">
        <v>41275</v>
      </c>
      <c r="F1189" s="11"/>
      <c r="G1189" s="11" t="s">
        <v>279</v>
      </c>
      <c r="H1189" s="11" t="s">
        <v>30</v>
      </c>
      <c r="I1189" s="11" t="s">
        <v>20462</v>
      </c>
    </row>
    <row r="1190" spans="1:9" ht="13.15" x14ac:dyDescent="0.4">
      <c r="A1190" s="11" t="s">
        <v>19938</v>
      </c>
      <c r="B1190" s="11" t="s">
        <v>6072</v>
      </c>
      <c r="C1190" s="11" t="s">
        <v>18721</v>
      </c>
      <c r="D1190" s="12">
        <v>41275</v>
      </c>
      <c r="E1190" s="12">
        <v>41275</v>
      </c>
      <c r="F1190" s="11"/>
      <c r="G1190" s="11" t="s">
        <v>279</v>
      </c>
      <c r="H1190" s="11" t="s">
        <v>30</v>
      </c>
      <c r="I1190" s="11" t="s">
        <v>20921</v>
      </c>
    </row>
    <row r="1191" spans="1:9" ht="13.15" x14ac:dyDescent="0.4">
      <c r="A1191" s="11" t="s">
        <v>18842</v>
      </c>
      <c r="B1191" s="11" t="s">
        <v>6072</v>
      </c>
      <c r="C1191" s="11" t="s">
        <v>18721</v>
      </c>
      <c r="D1191" s="12">
        <v>41275</v>
      </c>
      <c r="E1191" s="12">
        <v>41275</v>
      </c>
      <c r="F1191" s="11"/>
      <c r="G1191" s="11" t="s">
        <v>279</v>
      </c>
      <c r="H1191" s="11" t="s">
        <v>30</v>
      </c>
      <c r="I1191" s="11" t="s">
        <v>22017</v>
      </c>
    </row>
    <row r="1192" spans="1:9" ht="13.15" x14ac:dyDescent="0.4">
      <c r="A1192" s="11" t="s">
        <v>19689</v>
      </c>
      <c r="B1192" s="11" t="s">
        <v>6072</v>
      </c>
      <c r="C1192" s="11" t="s">
        <v>18721</v>
      </c>
      <c r="D1192" s="12">
        <v>41275</v>
      </c>
      <c r="E1192" s="12">
        <v>41275</v>
      </c>
      <c r="F1192" s="11"/>
      <c r="G1192" s="11" t="s">
        <v>279</v>
      </c>
      <c r="H1192" s="11" t="s">
        <v>30</v>
      </c>
      <c r="I1192" s="11" t="s">
        <v>21170</v>
      </c>
    </row>
    <row r="1193" spans="1:9" ht="13.15" x14ac:dyDescent="0.4">
      <c r="A1193" s="11" t="s">
        <v>19292</v>
      </c>
      <c r="B1193" s="11" t="s">
        <v>6072</v>
      </c>
      <c r="C1193" s="11" t="s">
        <v>18721</v>
      </c>
      <c r="D1193" s="12">
        <v>41275</v>
      </c>
      <c r="E1193" s="12">
        <v>41275</v>
      </c>
      <c r="F1193" s="11"/>
      <c r="G1193" s="11" t="s">
        <v>279</v>
      </c>
      <c r="H1193" s="11" t="s">
        <v>30</v>
      </c>
      <c r="I1193" s="11" t="s">
        <v>21567</v>
      </c>
    </row>
    <row r="1194" spans="1:9" ht="13.15" x14ac:dyDescent="0.4">
      <c r="A1194" s="11" t="s">
        <v>19987</v>
      </c>
      <c r="B1194" s="11" t="s">
        <v>6072</v>
      </c>
      <c r="C1194" s="11" t="s">
        <v>18721</v>
      </c>
      <c r="D1194" s="12">
        <v>41275</v>
      </c>
      <c r="E1194" s="12">
        <v>41275</v>
      </c>
      <c r="F1194" s="11"/>
      <c r="G1194" s="11" t="s">
        <v>279</v>
      </c>
      <c r="H1194" s="11" t="s">
        <v>30</v>
      </c>
      <c r="I1194" s="11" t="s">
        <v>20872</v>
      </c>
    </row>
    <row r="1195" spans="1:9" ht="13.15" x14ac:dyDescent="0.4">
      <c r="A1195" s="11" t="s">
        <v>19750</v>
      </c>
      <c r="B1195" s="11" t="s">
        <v>6072</v>
      </c>
      <c r="C1195" s="11" t="s">
        <v>18721</v>
      </c>
      <c r="D1195" s="12">
        <v>41275</v>
      </c>
      <c r="E1195" s="12">
        <v>41275</v>
      </c>
      <c r="F1195" s="11"/>
      <c r="G1195" s="11" t="s">
        <v>279</v>
      </c>
      <c r="H1195" s="11" t="s">
        <v>30</v>
      </c>
      <c r="I1195" s="11" t="s">
        <v>21109</v>
      </c>
    </row>
    <row r="1196" spans="1:9" ht="13.15" x14ac:dyDescent="0.4">
      <c r="A1196" s="11" t="s">
        <v>19495</v>
      </c>
      <c r="B1196" s="11" t="s">
        <v>6072</v>
      </c>
      <c r="C1196" s="11" t="s">
        <v>18721</v>
      </c>
      <c r="D1196" s="12">
        <v>41275</v>
      </c>
      <c r="E1196" s="12">
        <v>41275</v>
      </c>
      <c r="F1196" s="11"/>
      <c r="G1196" s="11" t="s">
        <v>279</v>
      </c>
      <c r="H1196" s="11" t="s">
        <v>30</v>
      </c>
      <c r="I1196" s="11" t="s">
        <v>21364</v>
      </c>
    </row>
    <row r="1197" spans="1:9" ht="13.15" x14ac:dyDescent="0.4">
      <c r="A1197" s="11" t="s">
        <v>20230</v>
      </c>
      <c r="B1197" s="11" t="s">
        <v>6072</v>
      </c>
      <c r="C1197" s="11" t="s">
        <v>18721</v>
      </c>
      <c r="D1197" s="12">
        <v>41275</v>
      </c>
      <c r="E1197" s="12">
        <v>41275</v>
      </c>
      <c r="F1197" s="11"/>
      <c r="G1197" s="11" t="s">
        <v>279</v>
      </c>
      <c r="H1197" s="11" t="s">
        <v>30</v>
      </c>
      <c r="I1197" s="11" t="s">
        <v>20629</v>
      </c>
    </row>
    <row r="1198" spans="1:9" ht="13.15" x14ac:dyDescent="0.4">
      <c r="A1198" s="11" t="s">
        <v>19297</v>
      </c>
      <c r="B1198" s="11" t="s">
        <v>6072</v>
      </c>
      <c r="C1198" s="11" t="s">
        <v>18721</v>
      </c>
      <c r="D1198" s="12">
        <v>41275</v>
      </c>
      <c r="E1198" s="12">
        <v>41275</v>
      </c>
      <c r="F1198" s="11"/>
      <c r="G1198" s="11" t="s">
        <v>279</v>
      </c>
      <c r="H1198" s="11" t="s">
        <v>30</v>
      </c>
      <c r="I1198" s="11" t="s">
        <v>21562</v>
      </c>
    </row>
    <row r="1199" spans="1:9" ht="13.15" x14ac:dyDescent="0.4">
      <c r="A1199" s="11" t="s">
        <v>18895</v>
      </c>
      <c r="B1199" s="11" t="s">
        <v>6072</v>
      </c>
      <c r="C1199" s="11" t="s">
        <v>18721</v>
      </c>
      <c r="D1199" s="12">
        <v>41275</v>
      </c>
      <c r="E1199" s="12">
        <v>41275</v>
      </c>
      <c r="F1199" s="11"/>
      <c r="G1199" s="11" t="s">
        <v>279</v>
      </c>
      <c r="H1199" s="11" t="s">
        <v>30</v>
      </c>
      <c r="I1199" s="11" t="s">
        <v>21964</v>
      </c>
    </row>
    <row r="1200" spans="1:9" ht="13.15" x14ac:dyDescent="0.4">
      <c r="A1200" s="11" t="s">
        <v>19245</v>
      </c>
      <c r="B1200" s="11" t="s">
        <v>6072</v>
      </c>
      <c r="C1200" s="11" t="s">
        <v>18721</v>
      </c>
      <c r="D1200" s="12">
        <v>41275</v>
      </c>
      <c r="E1200" s="12">
        <v>41275</v>
      </c>
      <c r="F1200" s="11"/>
      <c r="G1200" s="11" t="s">
        <v>279</v>
      </c>
      <c r="H1200" s="11" t="s">
        <v>30</v>
      </c>
      <c r="I1200" s="11" t="s">
        <v>21614</v>
      </c>
    </row>
    <row r="1201" spans="1:9" ht="13.15" x14ac:dyDescent="0.4">
      <c r="A1201" s="11" t="s">
        <v>19282</v>
      </c>
      <c r="B1201" s="11" t="s">
        <v>6072</v>
      </c>
      <c r="C1201" s="11" t="s">
        <v>18721</v>
      </c>
      <c r="D1201" s="12">
        <v>41275</v>
      </c>
      <c r="E1201" s="12">
        <v>41275</v>
      </c>
      <c r="F1201" s="11"/>
      <c r="G1201" s="11" t="s">
        <v>279</v>
      </c>
      <c r="H1201" s="11" t="s">
        <v>30</v>
      </c>
      <c r="I1201" s="11" t="s">
        <v>21577</v>
      </c>
    </row>
    <row r="1202" spans="1:9" ht="13.15" x14ac:dyDescent="0.4">
      <c r="A1202" s="11" t="s">
        <v>19667</v>
      </c>
      <c r="B1202" s="11" t="s">
        <v>6072</v>
      </c>
      <c r="C1202" s="11" t="s">
        <v>18721</v>
      </c>
      <c r="D1202" s="12">
        <v>41275</v>
      </c>
      <c r="E1202" s="12">
        <v>41275</v>
      </c>
      <c r="F1202" s="11"/>
      <c r="G1202" s="11" t="s">
        <v>279</v>
      </c>
      <c r="H1202" s="11" t="s">
        <v>30</v>
      </c>
      <c r="I1202" s="11" t="s">
        <v>21192</v>
      </c>
    </row>
    <row r="1203" spans="1:9" ht="13.15" x14ac:dyDescent="0.4">
      <c r="A1203" s="11" t="s">
        <v>20360</v>
      </c>
      <c r="B1203" s="11" t="s">
        <v>6072</v>
      </c>
      <c r="C1203" s="11" t="s">
        <v>18721</v>
      </c>
      <c r="D1203" s="12">
        <v>41275</v>
      </c>
      <c r="E1203" s="12">
        <v>41275</v>
      </c>
      <c r="F1203" s="11"/>
      <c r="G1203" s="11" t="s">
        <v>279</v>
      </c>
      <c r="H1203" s="11" t="s">
        <v>30</v>
      </c>
      <c r="I1203" s="11" t="s">
        <v>20499</v>
      </c>
    </row>
    <row r="1204" spans="1:9" ht="13.15" x14ac:dyDescent="0.4">
      <c r="A1204" s="11" t="s">
        <v>20140</v>
      </c>
      <c r="B1204" s="11" t="s">
        <v>6072</v>
      </c>
      <c r="C1204" s="11" t="s">
        <v>18721</v>
      </c>
      <c r="D1204" s="12">
        <v>41275</v>
      </c>
      <c r="E1204" s="12">
        <v>41275</v>
      </c>
      <c r="F1204" s="11"/>
      <c r="G1204" s="11" t="s">
        <v>279</v>
      </c>
      <c r="H1204" s="11" t="s">
        <v>30</v>
      </c>
      <c r="I1204" s="11" t="s">
        <v>20719</v>
      </c>
    </row>
    <row r="1205" spans="1:9" ht="13.15" x14ac:dyDescent="0.4">
      <c r="A1205" s="11" t="s">
        <v>18970</v>
      </c>
      <c r="B1205" s="11" t="s">
        <v>6072</v>
      </c>
      <c r="C1205" s="11" t="s">
        <v>18721</v>
      </c>
      <c r="D1205" s="12">
        <v>41275</v>
      </c>
      <c r="E1205" s="12">
        <v>41275</v>
      </c>
      <c r="F1205" s="11"/>
      <c r="G1205" s="11" t="s">
        <v>279</v>
      </c>
      <c r="H1205" s="11" t="s">
        <v>30</v>
      </c>
      <c r="I1205" s="11" t="s">
        <v>21889</v>
      </c>
    </row>
    <row r="1206" spans="1:9" ht="13.15" x14ac:dyDescent="0.4">
      <c r="A1206" s="11" t="s">
        <v>19233</v>
      </c>
      <c r="B1206" s="11" t="s">
        <v>6072</v>
      </c>
      <c r="C1206" s="11" t="s">
        <v>18721</v>
      </c>
      <c r="D1206" s="12">
        <v>41275</v>
      </c>
      <c r="E1206" s="12">
        <v>41275</v>
      </c>
      <c r="F1206" s="11"/>
      <c r="G1206" s="11" t="s">
        <v>279</v>
      </c>
      <c r="H1206" s="11" t="s">
        <v>30</v>
      </c>
      <c r="I1206" s="11" t="s">
        <v>21626</v>
      </c>
    </row>
    <row r="1207" spans="1:9" ht="13.15" x14ac:dyDescent="0.4">
      <c r="A1207" s="11" t="s">
        <v>19205</v>
      </c>
      <c r="B1207" s="11" t="s">
        <v>6072</v>
      </c>
      <c r="C1207" s="11" t="s">
        <v>18721</v>
      </c>
      <c r="D1207" s="12">
        <v>41275</v>
      </c>
      <c r="E1207" s="12">
        <v>41275</v>
      </c>
      <c r="F1207" s="11"/>
      <c r="G1207" s="11" t="s">
        <v>279</v>
      </c>
      <c r="H1207" s="11" t="s">
        <v>30</v>
      </c>
      <c r="I1207" s="11" t="s">
        <v>21654</v>
      </c>
    </row>
    <row r="1208" spans="1:9" ht="13.15" x14ac:dyDescent="0.4">
      <c r="A1208" s="11" t="s">
        <v>20304</v>
      </c>
      <c r="B1208" s="11" t="s">
        <v>6072</v>
      </c>
      <c r="C1208" s="11" t="s">
        <v>18721</v>
      </c>
      <c r="D1208" s="12">
        <v>41275</v>
      </c>
      <c r="E1208" s="12">
        <v>41275</v>
      </c>
      <c r="F1208" s="11"/>
      <c r="G1208" s="11" t="s">
        <v>279</v>
      </c>
      <c r="H1208" s="11" t="s">
        <v>30</v>
      </c>
      <c r="I1208" s="11" t="s">
        <v>20555</v>
      </c>
    </row>
    <row r="1209" spans="1:9" ht="13.15" x14ac:dyDescent="0.4">
      <c r="A1209" s="11" t="s">
        <v>19173</v>
      </c>
      <c r="B1209" s="11" t="s">
        <v>6072</v>
      </c>
      <c r="C1209" s="11" t="s">
        <v>18721</v>
      </c>
      <c r="D1209" s="12">
        <v>41275</v>
      </c>
      <c r="E1209" s="12">
        <v>41275</v>
      </c>
      <c r="F1209" s="11"/>
      <c r="G1209" s="11" t="s">
        <v>279</v>
      </c>
      <c r="H1209" s="11" t="s">
        <v>30</v>
      </c>
      <c r="I1209" s="11" t="s">
        <v>21686</v>
      </c>
    </row>
    <row r="1210" spans="1:9" ht="13.15" x14ac:dyDescent="0.4">
      <c r="A1210" s="11" t="s">
        <v>20218</v>
      </c>
      <c r="B1210" s="11" t="s">
        <v>6072</v>
      </c>
      <c r="C1210" s="11" t="s">
        <v>18721</v>
      </c>
      <c r="D1210" s="12">
        <v>41275</v>
      </c>
      <c r="E1210" s="12">
        <v>41275</v>
      </c>
      <c r="F1210" s="11"/>
      <c r="G1210" s="11" t="s">
        <v>279</v>
      </c>
      <c r="H1210" s="11" t="s">
        <v>30</v>
      </c>
      <c r="I1210" s="11" t="s">
        <v>20641</v>
      </c>
    </row>
    <row r="1211" spans="1:9" ht="13.15" x14ac:dyDescent="0.4">
      <c r="A1211" s="11" t="s">
        <v>19976</v>
      </c>
      <c r="B1211" s="11" t="s">
        <v>6072</v>
      </c>
      <c r="C1211" s="11" t="s">
        <v>18721</v>
      </c>
      <c r="D1211" s="12">
        <v>41275</v>
      </c>
      <c r="E1211" s="12">
        <v>41275</v>
      </c>
      <c r="F1211" s="11"/>
      <c r="G1211" s="11" t="s">
        <v>279</v>
      </c>
      <c r="H1211" s="11" t="s">
        <v>30</v>
      </c>
      <c r="I1211" s="11" t="s">
        <v>20883</v>
      </c>
    </row>
    <row r="1212" spans="1:9" ht="13.15" x14ac:dyDescent="0.4">
      <c r="A1212" s="11" t="s">
        <v>18737</v>
      </c>
      <c r="B1212" s="11" t="s">
        <v>6072</v>
      </c>
      <c r="C1212" s="11" t="s">
        <v>18721</v>
      </c>
      <c r="D1212" s="12">
        <v>41275</v>
      </c>
      <c r="E1212" s="12">
        <v>41275</v>
      </c>
      <c r="F1212" s="11"/>
      <c r="G1212" s="11" t="s">
        <v>279</v>
      </c>
      <c r="H1212" s="11" t="s">
        <v>30</v>
      </c>
      <c r="I1212" s="11" t="s">
        <v>22122</v>
      </c>
    </row>
    <row r="1213" spans="1:9" ht="13.15" x14ac:dyDescent="0.4">
      <c r="A1213" s="11" t="s">
        <v>19887</v>
      </c>
      <c r="B1213" s="11" t="s">
        <v>6072</v>
      </c>
      <c r="C1213" s="11" t="s">
        <v>18721</v>
      </c>
      <c r="D1213" s="12">
        <v>41275</v>
      </c>
      <c r="E1213" s="12">
        <v>41275</v>
      </c>
      <c r="F1213" s="11"/>
      <c r="G1213" s="11" t="s">
        <v>279</v>
      </c>
      <c r="H1213" s="11" t="s">
        <v>30</v>
      </c>
      <c r="I1213" s="11" t="s">
        <v>20972</v>
      </c>
    </row>
    <row r="1214" spans="1:9" ht="13.15" x14ac:dyDescent="0.4">
      <c r="A1214" s="11" t="s">
        <v>19656</v>
      </c>
      <c r="B1214" s="11" t="s">
        <v>6072</v>
      </c>
      <c r="C1214" s="11" t="s">
        <v>18721</v>
      </c>
      <c r="D1214" s="12">
        <v>41275</v>
      </c>
      <c r="E1214" s="12">
        <v>41275</v>
      </c>
      <c r="F1214" s="11"/>
      <c r="G1214" s="11" t="s">
        <v>279</v>
      </c>
      <c r="H1214" s="11" t="s">
        <v>30</v>
      </c>
      <c r="I1214" s="11" t="s">
        <v>21203</v>
      </c>
    </row>
    <row r="1215" spans="1:9" ht="13.15" x14ac:dyDescent="0.4">
      <c r="A1215" s="11" t="s">
        <v>20111</v>
      </c>
      <c r="B1215" s="11" t="s">
        <v>6072</v>
      </c>
      <c r="C1215" s="11" t="s">
        <v>18721</v>
      </c>
      <c r="D1215" s="12">
        <v>41275</v>
      </c>
      <c r="E1215" s="12">
        <v>41275</v>
      </c>
      <c r="F1215" s="11"/>
      <c r="G1215" s="11" t="s">
        <v>279</v>
      </c>
      <c r="H1215" s="11" t="s">
        <v>30</v>
      </c>
      <c r="I1215" s="11" t="s">
        <v>20748</v>
      </c>
    </row>
    <row r="1216" spans="1:9" ht="13.15" x14ac:dyDescent="0.4">
      <c r="A1216" s="11" t="s">
        <v>18869</v>
      </c>
      <c r="B1216" s="11" t="s">
        <v>6072</v>
      </c>
      <c r="C1216" s="11" t="s">
        <v>18721</v>
      </c>
      <c r="D1216" s="12">
        <v>41275</v>
      </c>
      <c r="E1216" s="12">
        <v>41275</v>
      </c>
      <c r="F1216" s="11"/>
      <c r="G1216" s="11" t="s">
        <v>279</v>
      </c>
      <c r="H1216" s="11" t="s">
        <v>30</v>
      </c>
      <c r="I1216" s="11" t="s">
        <v>21990</v>
      </c>
    </row>
    <row r="1217" spans="1:9" ht="13.15" x14ac:dyDescent="0.4">
      <c r="A1217" s="11" t="s">
        <v>19188</v>
      </c>
      <c r="B1217" s="11" t="s">
        <v>6072</v>
      </c>
      <c r="C1217" s="11" t="s">
        <v>18721</v>
      </c>
      <c r="D1217" s="12">
        <v>41275</v>
      </c>
      <c r="E1217" s="12">
        <v>41275</v>
      </c>
      <c r="F1217" s="11"/>
      <c r="G1217" s="11" t="s">
        <v>279</v>
      </c>
      <c r="H1217" s="11" t="s">
        <v>30</v>
      </c>
      <c r="I1217" s="11" t="s">
        <v>21671</v>
      </c>
    </row>
    <row r="1218" spans="1:9" ht="13.15" x14ac:dyDescent="0.4">
      <c r="A1218" s="11" t="s">
        <v>19972</v>
      </c>
      <c r="B1218" s="11" t="s">
        <v>6072</v>
      </c>
      <c r="C1218" s="11" t="s">
        <v>18721</v>
      </c>
      <c r="D1218" s="12">
        <v>41275</v>
      </c>
      <c r="E1218" s="12">
        <v>41275</v>
      </c>
      <c r="F1218" s="11"/>
      <c r="G1218" s="11" t="s">
        <v>279</v>
      </c>
      <c r="H1218" s="11" t="s">
        <v>30</v>
      </c>
      <c r="I1218" s="11" t="s">
        <v>20887</v>
      </c>
    </row>
    <row r="1219" spans="1:9" ht="13.15" x14ac:dyDescent="0.4">
      <c r="A1219" s="11" t="s">
        <v>19422</v>
      </c>
      <c r="B1219" s="11" t="s">
        <v>6072</v>
      </c>
      <c r="C1219" s="11" t="s">
        <v>18721</v>
      </c>
      <c r="D1219" s="12">
        <v>41275</v>
      </c>
      <c r="E1219" s="12">
        <v>41275</v>
      </c>
      <c r="F1219" s="11"/>
      <c r="G1219" s="11" t="s">
        <v>279</v>
      </c>
      <c r="H1219" s="11" t="s">
        <v>30</v>
      </c>
      <c r="I1219" s="11" t="s">
        <v>21437</v>
      </c>
    </row>
    <row r="1220" spans="1:9" ht="13.15" x14ac:dyDescent="0.4">
      <c r="A1220" s="11" t="s">
        <v>18879</v>
      </c>
      <c r="B1220" s="11" t="s">
        <v>6072</v>
      </c>
      <c r="C1220" s="11" t="s">
        <v>18721</v>
      </c>
      <c r="D1220" s="12">
        <v>41275</v>
      </c>
      <c r="E1220" s="12">
        <v>41275</v>
      </c>
      <c r="F1220" s="11"/>
      <c r="G1220" s="11" t="s">
        <v>279</v>
      </c>
      <c r="H1220" s="11" t="s">
        <v>30</v>
      </c>
      <c r="I1220" s="11" t="s">
        <v>21980</v>
      </c>
    </row>
    <row r="1221" spans="1:9" ht="13.15" x14ac:dyDescent="0.4">
      <c r="A1221" s="11" t="s">
        <v>19012</v>
      </c>
      <c r="B1221" s="11" t="s">
        <v>6072</v>
      </c>
      <c r="C1221" s="11" t="s">
        <v>18721</v>
      </c>
      <c r="D1221" s="12">
        <v>41275</v>
      </c>
      <c r="E1221" s="12">
        <v>41275</v>
      </c>
      <c r="F1221" s="11"/>
      <c r="G1221" s="11" t="s">
        <v>279</v>
      </c>
      <c r="H1221" s="11" t="s">
        <v>30</v>
      </c>
      <c r="I1221" s="11" t="s">
        <v>21847</v>
      </c>
    </row>
    <row r="1222" spans="1:9" ht="13.15" x14ac:dyDescent="0.4">
      <c r="A1222" s="11" t="s">
        <v>19120</v>
      </c>
      <c r="B1222" s="11" t="s">
        <v>6072</v>
      </c>
      <c r="C1222" s="11" t="s">
        <v>18721</v>
      </c>
      <c r="D1222" s="12">
        <v>41275</v>
      </c>
      <c r="E1222" s="12">
        <v>41275</v>
      </c>
      <c r="F1222" s="11"/>
      <c r="G1222" s="11" t="s">
        <v>279</v>
      </c>
      <c r="H1222" s="11" t="s">
        <v>30</v>
      </c>
      <c r="I1222" s="11" t="s">
        <v>21739</v>
      </c>
    </row>
    <row r="1223" spans="1:9" ht="13.15" x14ac:dyDescent="0.4">
      <c r="A1223" s="11" t="s">
        <v>19167</v>
      </c>
      <c r="B1223" s="11" t="s">
        <v>6072</v>
      </c>
      <c r="C1223" s="11" t="s">
        <v>18721</v>
      </c>
      <c r="D1223" s="12">
        <v>41275</v>
      </c>
      <c r="E1223" s="12">
        <v>41275</v>
      </c>
      <c r="F1223" s="11"/>
      <c r="G1223" s="11" t="s">
        <v>279</v>
      </c>
      <c r="H1223" s="11" t="s">
        <v>30</v>
      </c>
      <c r="I1223" s="11" t="s">
        <v>21692</v>
      </c>
    </row>
    <row r="1224" spans="1:9" ht="13.15" x14ac:dyDescent="0.4">
      <c r="A1224" s="11" t="s">
        <v>19002</v>
      </c>
      <c r="B1224" s="11" t="s">
        <v>6072</v>
      </c>
      <c r="C1224" s="11" t="s">
        <v>18721</v>
      </c>
      <c r="D1224" s="12">
        <v>41275</v>
      </c>
      <c r="E1224" s="12">
        <v>41275</v>
      </c>
      <c r="F1224" s="11"/>
      <c r="G1224" s="11" t="s">
        <v>279</v>
      </c>
      <c r="H1224" s="11" t="s">
        <v>30</v>
      </c>
      <c r="I1224" s="11" t="s">
        <v>21857</v>
      </c>
    </row>
    <row r="1225" spans="1:9" ht="13.15" x14ac:dyDescent="0.4">
      <c r="A1225" s="11" t="s">
        <v>18800</v>
      </c>
      <c r="B1225" s="11" t="s">
        <v>6072</v>
      </c>
      <c r="C1225" s="11" t="s">
        <v>18721</v>
      </c>
      <c r="D1225" s="12">
        <v>41275</v>
      </c>
      <c r="E1225" s="12">
        <v>41275</v>
      </c>
      <c r="F1225" s="11"/>
      <c r="G1225" s="11" t="s">
        <v>279</v>
      </c>
      <c r="H1225" s="11" t="s">
        <v>30</v>
      </c>
      <c r="I1225" s="11" t="s">
        <v>22059</v>
      </c>
    </row>
    <row r="1226" spans="1:9" ht="13.15" x14ac:dyDescent="0.4">
      <c r="A1226" s="11" t="s">
        <v>20018</v>
      </c>
      <c r="B1226" s="11" t="s">
        <v>6072</v>
      </c>
      <c r="C1226" s="11" t="s">
        <v>18721</v>
      </c>
      <c r="D1226" s="12">
        <v>41275</v>
      </c>
      <c r="E1226" s="12">
        <v>41275</v>
      </c>
      <c r="F1226" s="11"/>
      <c r="G1226" s="11" t="s">
        <v>279</v>
      </c>
      <c r="H1226" s="11" t="s">
        <v>30</v>
      </c>
      <c r="I1226" s="11" t="s">
        <v>20841</v>
      </c>
    </row>
    <row r="1227" spans="1:9" ht="13.15" x14ac:dyDescent="0.4">
      <c r="A1227" s="11" t="s">
        <v>19406</v>
      </c>
      <c r="B1227" s="11" t="s">
        <v>6072</v>
      </c>
      <c r="C1227" s="11" t="s">
        <v>18721</v>
      </c>
      <c r="D1227" s="12">
        <v>41275</v>
      </c>
      <c r="E1227" s="12">
        <v>41275</v>
      </c>
      <c r="F1227" s="11"/>
      <c r="G1227" s="11" t="s">
        <v>279</v>
      </c>
      <c r="H1227" s="11" t="s">
        <v>30</v>
      </c>
      <c r="I1227" s="11" t="s">
        <v>21453</v>
      </c>
    </row>
    <row r="1228" spans="1:9" ht="13.15" x14ac:dyDescent="0.4">
      <c r="A1228" s="11" t="s">
        <v>18759</v>
      </c>
      <c r="B1228" s="11" t="s">
        <v>6072</v>
      </c>
      <c r="C1228" s="11" t="s">
        <v>18721</v>
      </c>
      <c r="D1228" s="12">
        <v>41275</v>
      </c>
      <c r="E1228" s="12">
        <v>41275</v>
      </c>
      <c r="F1228" s="11"/>
      <c r="G1228" s="11" t="s">
        <v>279</v>
      </c>
      <c r="H1228" s="11" t="s">
        <v>30</v>
      </c>
      <c r="I1228" s="11" t="s">
        <v>22100</v>
      </c>
    </row>
    <row r="1229" spans="1:9" ht="13.15" x14ac:dyDescent="0.4">
      <c r="A1229" s="11" t="s">
        <v>18789</v>
      </c>
      <c r="B1229" s="11" t="s">
        <v>6072</v>
      </c>
      <c r="C1229" s="11" t="s">
        <v>18721</v>
      </c>
      <c r="D1229" s="12">
        <v>41275</v>
      </c>
      <c r="E1229" s="12">
        <v>41275</v>
      </c>
      <c r="F1229" s="11"/>
      <c r="G1229" s="11" t="s">
        <v>279</v>
      </c>
      <c r="H1229" s="11" t="s">
        <v>30</v>
      </c>
      <c r="I1229" s="11" t="s">
        <v>22070</v>
      </c>
    </row>
    <row r="1230" spans="1:9" ht="13.15" x14ac:dyDescent="0.4">
      <c r="A1230" s="11" t="s">
        <v>18914</v>
      </c>
      <c r="B1230" s="11" t="s">
        <v>6072</v>
      </c>
      <c r="C1230" s="11" t="s">
        <v>18721</v>
      </c>
      <c r="D1230" s="12">
        <v>41275</v>
      </c>
      <c r="E1230" s="12">
        <v>41275</v>
      </c>
      <c r="F1230" s="11"/>
      <c r="G1230" s="11" t="s">
        <v>279</v>
      </c>
      <c r="H1230" s="11" t="s">
        <v>30</v>
      </c>
      <c r="I1230" s="11" t="s">
        <v>21945</v>
      </c>
    </row>
    <row r="1231" spans="1:9" ht="13.15" x14ac:dyDescent="0.4">
      <c r="A1231" s="11" t="s">
        <v>19676</v>
      </c>
      <c r="B1231" s="11" t="s">
        <v>6072</v>
      </c>
      <c r="C1231" s="11" t="s">
        <v>18721</v>
      </c>
      <c r="D1231" s="12">
        <v>41275</v>
      </c>
      <c r="E1231" s="12">
        <v>41275</v>
      </c>
      <c r="F1231" s="11"/>
      <c r="G1231" s="11" t="s">
        <v>279</v>
      </c>
      <c r="H1231" s="11" t="s">
        <v>30</v>
      </c>
      <c r="I1231" s="11" t="s">
        <v>21183</v>
      </c>
    </row>
    <row r="1232" spans="1:9" ht="13.15" x14ac:dyDescent="0.4">
      <c r="A1232" s="11" t="s">
        <v>19459</v>
      </c>
      <c r="B1232" s="11" t="s">
        <v>6072</v>
      </c>
      <c r="C1232" s="11" t="s">
        <v>18721</v>
      </c>
      <c r="D1232" s="12">
        <v>41275</v>
      </c>
      <c r="E1232" s="12">
        <v>41275</v>
      </c>
      <c r="F1232" s="11"/>
      <c r="G1232" s="11" t="s">
        <v>279</v>
      </c>
      <c r="H1232" s="11" t="s">
        <v>30</v>
      </c>
      <c r="I1232" s="11" t="s">
        <v>21400</v>
      </c>
    </row>
    <row r="1233" spans="1:9" ht="13.15" x14ac:dyDescent="0.4">
      <c r="A1233" s="11" t="s">
        <v>19270</v>
      </c>
      <c r="B1233" s="11" t="s">
        <v>6072</v>
      </c>
      <c r="C1233" s="11" t="s">
        <v>18721</v>
      </c>
      <c r="D1233" s="12">
        <v>41275</v>
      </c>
      <c r="E1233" s="12">
        <v>41275</v>
      </c>
      <c r="F1233" s="11"/>
      <c r="G1233" s="11" t="s">
        <v>279</v>
      </c>
      <c r="H1233" s="11" t="s">
        <v>30</v>
      </c>
      <c r="I1233" s="11" t="s">
        <v>21589</v>
      </c>
    </row>
    <row r="1234" spans="1:9" ht="13.15" x14ac:dyDescent="0.4">
      <c r="A1234" s="11" t="s">
        <v>19174</v>
      </c>
      <c r="B1234" s="11" t="s">
        <v>6072</v>
      </c>
      <c r="C1234" s="11" t="s">
        <v>18721</v>
      </c>
      <c r="D1234" s="12">
        <v>41275</v>
      </c>
      <c r="E1234" s="12">
        <v>41275</v>
      </c>
      <c r="F1234" s="11"/>
      <c r="G1234" s="11" t="s">
        <v>279</v>
      </c>
      <c r="H1234" s="11" t="s">
        <v>30</v>
      </c>
      <c r="I1234" s="11" t="s">
        <v>21685</v>
      </c>
    </row>
    <row r="1235" spans="1:9" ht="13.15" x14ac:dyDescent="0.4">
      <c r="A1235" s="11" t="s">
        <v>18966</v>
      </c>
      <c r="B1235" s="11" t="s">
        <v>6072</v>
      </c>
      <c r="C1235" s="11" t="s">
        <v>18721</v>
      </c>
      <c r="D1235" s="12">
        <v>41275</v>
      </c>
      <c r="E1235" s="12">
        <v>41275</v>
      </c>
      <c r="F1235" s="11"/>
      <c r="G1235" s="11" t="s">
        <v>279</v>
      </c>
      <c r="H1235" s="11" t="s">
        <v>30</v>
      </c>
      <c r="I1235" s="11" t="s">
        <v>21893</v>
      </c>
    </row>
    <row r="1236" spans="1:9" ht="13.15" x14ac:dyDescent="0.4">
      <c r="A1236" s="11" t="s">
        <v>19833</v>
      </c>
      <c r="B1236" s="11" t="s">
        <v>6072</v>
      </c>
      <c r="C1236" s="11" t="s">
        <v>18721</v>
      </c>
      <c r="D1236" s="12">
        <v>41275</v>
      </c>
      <c r="E1236" s="12">
        <v>41275</v>
      </c>
      <c r="F1236" s="11"/>
      <c r="G1236" s="11" t="s">
        <v>279</v>
      </c>
      <c r="H1236" s="11" t="s">
        <v>30</v>
      </c>
      <c r="I1236" s="11" t="s">
        <v>21026</v>
      </c>
    </row>
    <row r="1237" spans="1:9" ht="13.15" x14ac:dyDescent="0.4">
      <c r="A1237" s="11" t="s">
        <v>19901</v>
      </c>
      <c r="B1237" s="11" t="s">
        <v>6072</v>
      </c>
      <c r="C1237" s="11" t="s">
        <v>18721</v>
      </c>
      <c r="D1237" s="12">
        <v>41275</v>
      </c>
      <c r="E1237" s="12">
        <v>41275</v>
      </c>
      <c r="F1237" s="11"/>
      <c r="G1237" s="11" t="s">
        <v>279</v>
      </c>
      <c r="H1237" s="11" t="s">
        <v>30</v>
      </c>
      <c r="I1237" s="11" t="s">
        <v>20958</v>
      </c>
    </row>
    <row r="1238" spans="1:9" ht="13.15" x14ac:dyDescent="0.4">
      <c r="A1238" s="11" t="s">
        <v>19922</v>
      </c>
      <c r="B1238" s="11" t="s">
        <v>6072</v>
      </c>
      <c r="C1238" s="11" t="s">
        <v>18721</v>
      </c>
      <c r="D1238" s="12">
        <v>41275</v>
      </c>
      <c r="E1238" s="12">
        <v>41275</v>
      </c>
      <c r="F1238" s="11"/>
      <c r="G1238" s="11" t="s">
        <v>279</v>
      </c>
      <c r="H1238" s="11" t="s">
        <v>30</v>
      </c>
      <c r="I1238" s="11" t="s">
        <v>20937</v>
      </c>
    </row>
    <row r="1239" spans="1:9" ht="13.15" x14ac:dyDescent="0.4">
      <c r="A1239" s="11" t="s">
        <v>18985</v>
      </c>
      <c r="B1239" s="11" t="s">
        <v>6072</v>
      </c>
      <c r="C1239" s="11" t="s">
        <v>18721</v>
      </c>
      <c r="D1239" s="12">
        <v>41640</v>
      </c>
      <c r="E1239" s="12">
        <v>41640</v>
      </c>
      <c r="F1239" s="11"/>
      <c r="G1239" s="11" t="s">
        <v>279</v>
      </c>
      <c r="H1239" s="11" t="s">
        <v>30</v>
      </c>
      <c r="I1239" s="11" t="s">
        <v>21874</v>
      </c>
    </row>
    <row r="1240" spans="1:9" ht="13.15" x14ac:dyDescent="0.4">
      <c r="A1240" s="11" t="s">
        <v>18889</v>
      </c>
      <c r="B1240" s="11" t="s">
        <v>6072</v>
      </c>
      <c r="C1240" s="11" t="s">
        <v>18721</v>
      </c>
      <c r="D1240" s="12">
        <v>41640</v>
      </c>
      <c r="E1240" s="12">
        <v>41640</v>
      </c>
      <c r="F1240" s="11"/>
      <c r="G1240" s="11" t="s">
        <v>279</v>
      </c>
      <c r="H1240" s="11" t="s">
        <v>30</v>
      </c>
      <c r="I1240" s="11" t="s">
        <v>21970</v>
      </c>
    </row>
    <row r="1241" spans="1:9" ht="13.15" x14ac:dyDescent="0.4">
      <c r="A1241" s="11" t="s">
        <v>18790</v>
      </c>
      <c r="B1241" s="11" t="s">
        <v>6072</v>
      </c>
      <c r="C1241" s="11" t="s">
        <v>18721</v>
      </c>
      <c r="D1241" s="12">
        <v>41640</v>
      </c>
      <c r="E1241" s="12">
        <v>41640</v>
      </c>
      <c r="F1241" s="11"/>
      <c r="G1241" s="11" t="s">
        <v>279</v>
      </c>
      <c r="H1241" s="11" t="s">
        <v>30</v>
      </c>
      <c r="I1241" s="11" t="s">
        <v>22069</v>
      </c>
    </row>
    <row r="1242" spans="1:9" ht="13.15" x14ac:dyDescent="0.4">
      <c r="A1242" s="11" t="s">
        <v>20207</v>
      </c>
      <c r="B1242" s="11" t="s">
        <v>6072</v>
      </c>
      <c r="C1242" s="11" t="s">
        <v>18721</v>
      </c>
      <c r="D1242" s="12">
        <v>41640</v>
      </c>
      <c r="E1242" s="12">
        <v>41640</v>
      </c>
      <c r="F1242" s="11"/>
      <c r="G1242" s="11" t="s">
        <v>279</v>
      </c>
      <c r="H1242" s="11" t="s">
        <v>30</v>
      </c>
      <c r="I1242" s="11" t="s">
        <v>20652</v>
      </c>
    </row>
    <row r="1243" spans="1:9" ht="13.15" x14ac:dyDescent="0.4">
      <c r="A1243" s="11" t="s">
        <v>19202</v>
      </c>
      <c r="B1243" s="11" t="s">
        <v>6072</v>
      </c>
      <c r="C1243" s="11" t="s">
        <v>18721</v>
      </c>
      <c r="D1243" s="12">
        <v>41640</v>
      </c>
      <c r="E1243" s="12">
        <v>41640</v>
      </c>
      <c r="F1243" s="11"/>
      <c r="G1243" s="11" t="s">
        <v>279</v>
      </c>
      <c r="H1243" s="11" t="s">
        <v>30</v>
      </c>
      <c r="I1243" s="11" t="s">
        <v>21657</v>
      </c>
    </row>
    <row r="1244" spans="1:9" ht="13.15" x14ac:dyDescent="0.4">
      <c r="A1244" s="11" t="s">
        <v>19069</v>
      </c>
      <c r="B1244" s="11" t="s">
        <v>6072</v>
      </c>
      <c r="C1244" s="11" t="s">
        <v>18721</v>
      </c>
      <c r="D1244" s="12">
        <v>41640</v>
      </c>
      <c r="E1244" s="12">
        <v>41640</v>
      </c>
      <c r="F1244" s="11"/>
      <c r="G1244" s="11" t="s">
        <v>279</v>
      </c>
      <c r="H1244" s="11" t="s">
        <v>30</v>
      </c>
      <c r="I1244" s="11" t="s">
        <v>21790</v>
      </c>
    </row>
    <row r="1245" spans="1:9" ht="13.15" x14ac:dyDescent="0.4">
      <c r="A1245" s="11" t="s">
        <v>19616</v>
      </c>
      <c r="B1245" s="11" t="s">
        <v>6072</v>
      </c>
      <c r="C1245" s="11" t="s">
        <v>18721</v>
      </c>
      <c r="D1245" s="12">
        <v>41640</v>
      </c>
      <c r="E1245" s="12">
        <v>41640</v>
      </c>
      <c r="F1245" s="11"/>
      <c r="G1245" s="11" t="s">
        <v>279</v>
      </c>
      <c r="H1245" s="11" t="s">
        <v>30</v>
      </c>
      <c r="I1245" s="11" t="s">
        <v>21243</v>
      </c>
    </row>
    <row r="1246" spans="1:9" ht="13.15" x14ac:dyDescent="0.4">
      <c r="A1246" s="11" t="s">
        <v>20382</v>
      </c>
      <c r="B1246" s="11" t="s">
        <v>6072</v>
      </c>
      <c r="C1246" s="11" t="s">
        <v>18721</v>
      </c>
      <c r="D1246" s="12">
        <v>41640</v>
      </c>
      <c r="E1246" s="12">
        <v>41640</v>
      </c>
      <c r="F1246" s="11"/>
      <c r="G1246" s="11" t="s">
        <v>279</v>
      </c>
      <c r="H1246" s="11" t="s">
        <v>30</v>
      </c>
      <c r="I1246" s="11" t="s">
        <v>20477</v>
      </c>
    </row>
    <row r="1247" spans="1:9" ht="13.15" x14ac:dyDescent="0.4">
      <c r="A1247" s="11" t="s">
        <v>20216</v>
      </c>
      <c r="B1247" s="11" t="s">
        <v>6072</v>
      </c>
      <c r="C1247" s="11" t="s">
        <v>18721</v>
      </c>
      <c r="D1247" s="12">
        <v>41640</v>
      </c>
      <c r="E1247" s="12">
        <v>41640</v>
      </c>
      <c r="F1247" s="11"/>
      <c r="G1247" s="11" t="s">
        <v>279</v>
      </c>
      <c r="H1247" s="11" t="s">
        <v>30</v>
      </c>
      <c r="I1247" s="11" t="s">
        <v>20643</v>
      </c>
    </row>
    <row r="1248" spans="1:9" ht="13.15" x14ac:dyDescent="0.4">
      <c r="A1248" s="11" t="s">
        <v>19625</v>
      </c>
      <c r="B1248" s="11" t="s">
        <v>6072</v>
      </c>
      <c r="C1248" s="11" t="s">
        <v>18721</v>
      </c>
      <c r="D1248" s="12">
        <v>41640</v>
      </c>
      <c r="E1248" s="12">
        <v>41640</v>
      </c>
      <c r="F1248" s="11"/>
      <c r="G1248" s="11" t="s">
        <v>279</v>
      </c>
      <c r="H1248" s="11" t="s">
        <v>30</v>
      </c>
      <c r="I1248" s="11" t="s">
        <v>21234</v>
      </c>
    </row>
    <row r="1249" spans="1:9" ht="13.15" x14ac:dyDescent="0.4">
      <c r="A1249" s="11" t="s">
        <v>18804</v>
      </c>
      <c r="B1249" s="11" t="s">
        <v>6072</v>
      </c>
      <c r="C1249" s="11" t="s">
        <v>18721</v>
      </c>
      <c r="D1249" s="12">
        <v>41640</v>
      </c>
      <c r="E1249" s="12">
        <v>41640</v>
      </c>
      <c r="F1249" s="11"/>
      <c r="G1249" s="11" t="s">
        <v>279</v>
      </c>
      <c r="H1249" s="11" t="s">
        <v>30</v>
      </c>
      <c r="I1249" s="11" t="s">
        <v>22055</v>
      </c>
    </row>
    <row r="1250" spans="1:9" ht="13.15" x14ac:dyDescent="0.4">
      <c r="A1250" s="11" t="s">
        <v>19766</v>
      </c>
      <c r="B1250" s="11" t="s">
        <v>6072</v>
      </c>
      <c r="C1250" s="11" t="s">
        <v>18721</v>
      </c>
      <c r="D1250" s="12">
        <v>41640</v>
      </c>
      <c r="E1250" s="12">
        <v>41640</v>
      </c>
      <c r="F1250" s="11"/>
      <c r="G1250" s="11" t="s">
        <v>279</v>
      </c>
      <c r="H1250" s="11" t="s">
        <v>30</v>
      </c>
      <c r="I1250" s="11" t="s">
        <v>21093</v>
      </c>
    </row>
    <row r="1251" spans="1:9" ht="13.15" x14ac:dyDescent="0.4">
      <c r="A1251" s="11" t="s">
        <v>20297</v>
      </c>
      <c r="B1251" s="11" t="s">
        <v>6072</v>
      </c>
      <c r="C1251" s="11" t="s">
        <v>18721</v>
      </c>
      <c r="D1251" s="12">
        <v>41640</v>
      </c>
      <c r="E1251" s="12">
        <v>41640</v>
      </c>
      <c r="F1251" s="11"/>
      <c r="G1251" s="11" t="s">
        <v>279</v>
      </c>
      <c r="H1251" s="11" t="s">
        <v>30</v>
      </c>
      <c r="I1251" s="11" t="s">
        <v>20562</v>
      </c>
    </row>
    <row r="1252" spans="1:9" ht="13.15" x14ac:dyDescent="0.4">
      <c r="A1252" s="11" t="s">
        <v>19674</v>
      </c>
      <c r="B1252" s="11" t="s">
        <v>6072</v>
      </c>
      <c r="C1252" s="11" t="s">
        <v>18721</v>
      </c>
      <c r="D1252" s="12">
        <v>41640</v>
      </c>
      <c r="E1252" s="12">
        <v>41640</v>
      </c>
      <c r="F1252" s="11"/>
      <c r="G1252" s="11" t="s">
        <v>279</v>
      </c>
      <c r="H1252" s="11" t="s">
        <v>30</v>
      </c>
      <c r="I1252" s="11" t="s">
        <v>21185</v>
      </c>
    </row>
    <row r="1253" spans="1:9" ht="13.15" x14ac:dyDescent="0.4">
      <c r="A1253" s="11" t="s">
        <v>19720</v>
      </c>
      <c r="B1253" s="11" t="s">
        <v>6072</v>
      </c>
      <c r="C1253" s="11" t="s">
        <v>18721</v>
      </c>
      <c r="D1253" s="12">
        <v>41640</v>
      </c>
      <c r="E1253" s="12">
        <v>41640</v>
      </c>
      <c r="F1253" s="11"/>
      <c r="G1253" s="11" t="s">
        <v>279</v>
      </c>
      <c r="H1253" s="11" t="s">
        <v>30</v>
      </c>
      <c r="I1253" s="11" t="s">
        <v>21139</v>
      </c>
    </row>
    <row r="1254" spans="1:9" ht="13.15" x14ac:dyDescent="0.4">
      <c r="A1254" s="11" t="s">
        <v>19989</v>
      </c>
      <c r="B1254" s="11" t="s">
        <v>6072</v>
      </c>
      <c r="C1254" s="11" t="s">
        <v>18721</v>
      </c>
      <c r="D1254" s="12">
        <v>41640</v>
      </c>
      <c r="E1254" s="12">
        <v>41640</v>
      </c>
      <c r="F1254" s="11"/>
      <c r="G1254" s="11" t="s">
        <v>279</v>
      </c>
      <c r="H1254" s="11" t="s">
        <v>30</v>
      </c>
      <c r="I1254" s="11" t="s">
        <v>20870</v>
      </c>
    </row>
    <row r="1255" spans="1:9" ht="13.15" x14ac:dyDescent="0.4">
      <c r="A1255" s="11" t="s">
        <v>19958</v>
      </c>
      <c r="B1255" s="11" t="s">
        <v>6072</v>
      </c>
      <c r="C1255" s="11" t="s">
        <v>18721</v>
      </c>
      <c r="D1255" s="12">
        <v>41640</v>
      </c>
      <c r="E1255" s="12">
        <v>41640</v>
      </c>
      <c r="F1255" s="11"/>
      <c r="G1255" s="11" t="s">
        <v>279</v>
      </c>
      <c r="H1255" s="11" t="s">
        <v>30</v>
      </c>
      <c r="I1255" s="11" t="s">
        <v>20901</v>
      </c>
    </row>
    <row r="1256" spans="1:9" ht="13.15" x14ac:dyDescent="0.4">
      <c r="A1256" s="11" t="s">
        <v>19309</v>
      </c>
      <c r="B1256" s="11" t="s">
        <v>6072</v>
      </c>
      <c r="C1256" s="11" t="s">
        <v>18721</v>
      </c>
      <c r="D1256" s="12">
        <v>41640</v>
      </c>
      <c r="E1256" s="12">
        <v>41640</v>
      </c>
      <c r="F1256" s="11"/>
      <c r="G1256" s="11" t="s">
        <v>279</v>
      </c>
      <c r="H1256" s="11" t="s">
        <v>30</v>
      </c>
      <c r="I1256" s="11" t="s">
        <v>21550</v>
      </c>
    </row>
    <row r="1257" spans="1:9" ht="13.15" x14ac:dyDescent="0.4">
      <c r="A1257" s="11" t="s">
        <v>19132</v>
      </c>
      <c r="B1257" s="11" t="s">
        <v>6072</v>
      </c>
      <c r="C1257" s="11" t="s">
        <v>18721</v>
      </c>
      <c r="D1257" s="12">
        <v>41640</v>
      </c>
      <c r="E1257" s="12">
        <v>41640</v>
      </c>
      <c r="F1257" s="11"/>
      <c r="G1257" s="11" t="s">
        <v>279</v>
      </c>
      <c r="H1257" s="11" t="s">
        <v>30</v>
      </c>
      <c r="I1257" s="11" t="s">
        <v>21727</v>
      </c>
    </row>
    <row r="1258" spans="1:9" ht="13.15" x14ac:dyDescent="0.4">
      <c r="A1258" s="11" t="s">
        <v>20056</v>
      </c>
      <c r="B1258" s="11" t="s">
        <v>6072</v>
      </c>
      <c r="C1258" s="11" t="s">
        <v>18721</v>
      </c>
      <c r="D1258" s="12">
        <v>41640</v>
      </c>
      <c r="E1258" s="12">
        <v>41640</v>
      </c>
      <c r="F1258" s="11"/>
      <c r="G1258" s="11" t="s">
        <v>279</v>
      </c>
      <c r="H1258" s="11" t="s">
        <v>30</v>
      </c>
      <c r="I1258" s="11" t="s">
        <v>20803</v>
      </c>
    </row>
    <row r="1259" spans="1:9" ht="13.15" x14ac:dyDescent="0.4">
      <c r="A1259" s="11" t="s">
        <v>20130</v>
      </c>
      <c r="B1259" s="11" t="s">
        <v>6072</v>
      </c>
      <c r="C1259" s="11" t="s">
        <v>18721</v>
      </c>
      <c r="D1259" s="12">
        <v>41640</v>
      </c>
      <c r="E1259" s="12">
        <v>41640</v>
      </c>
      <c r="F1259" s="11"/>
      <c r="G1259" s="11" t="s">
        <v>279</v>
      </c>
      <c r="H1259" s="11" t="s">
        <v>30</v>
      </c>
      <c r="I1259" s="11" t="s">
        <v>20729</v>
      </c>
    </row>
    <row r="1260" spans="1:9" ht="13.15" x14ac:dyDescent="0.4">
      <c r="A1260" s="11" t="s">
        <v>20098</v>
      </c>
      <c r="B1260" s="11" t="s">
        <v>6072</v>
      </c>
      <c r="C1260" s="11" t="s">
        <v>18721</v>
      </c>
      <c r="D1260" s="12">
        <v>41640</v>
      </c>
      <c r="E1260" s="12">
        <v>41640</v>
      </c>
      <c r="F1260" s="11"/>
      <c r="G1260" s="11" t="s">
        <v>279</v>
      </c>
      <c r="H1260" s="11" t="s">
        <v>30</v>
      </c>
      <c r="I1260" s="11" t="s">
        <v>20761</v>
      </c>
    </row>
    <row r="1261" spans="1:9" ht="13.15" x14ac:dyDescent="0.4">
      <c r="A1261" s="11" t="s">
        <v>18738</v>
      </c>
      <c r="B1261" s="11" t="s">
        <v>6072</v>
      </c>
      <c r="C1261" s="11" t="s">
        <v>18721</v>
      </c>
      <c r="D1261" s="12">
        <v>41640</v>
      </c>
      <c r="E1261" s="12">
        <v>41640</v>
      </c>
      <c r="F1261" s="11"/>
      <c r="G1261" s="11" t="s">
        <v>279</v>
      </c>
      <c r="H1261" s="11" t="s">
        <v>30</v>
      </c>
      <c r="I1261" s="11" t="s">
        <v>22121</v>
      </c>
    </row>
    <row r="1262" spans="1:9" ht="13.15" x14ac:dyDescent="0.4">
      <c r="A1262" s="11" t="s">
        <v>20321</v>
      </c>
      <c r="B1262" s="11" t="s">
        <v>6072</v>
      </c>
      <c r="C1262" s="11" t="s">
        <v>18721</v>
      </c>
      <c r="D1262" s="12">
        <v>41640</v>
      </c>
      <c r="E1262" s="12">
        <v>41640</v>
      </c>
      <c r="F1262" s="11"/>
      <c r="G1262" s="11" t="s">
        <v>279</v>
      </c>
      <c r="H1262" s="11" t="s">
        <v>30</v>
      </c>
      <c r="I1262" s="11" t="s">
        <v>20538</v>
      </c>
    </row>
    <row r="1263" spans="1:9" ht="13.15" x14ac:dyDescent="0.4">
      <c r="A1263" s="11" t="s">
        <v>19841</v>
      </c>
      <c r="B1263" s="11" t="s">
        <v>6072</v>
      </c>
      <c r="C1263" s="11" t="s">
        <v>18721</v>
      </c>
      <c r="D1263" s="12">
        <v>41275</v>
      </c>
      <c r="E1263" s="12">
        <v>41275</v>
      </c>
      <c r="F1263" s="11"/>
      <c r="G1263" s="11" t="s">
        <v>279</v>
      </c>
      <c r="H1263" s="11" t="s">
        <v>30</v>
      </c>
      <c r="I1263" s="11" t="s">
        <v>21018</v>
      </c>
    </row>
    <row r="1264" spans="1:9" ht="13.15" x14ac:dyDescent="0.4">
      <c r="A1264" s="11" t="s">
        <v>20095</v>
      </c>
      <c r="B1264" s="11" t="s">
        <v>6072</v>
      </c>
      <c r="C1264" s="11" t="s">
        <v>18721</v>
      </c>
      <c r="D1264" s="12">
        <v>40909</v>
      </c>
      <c r="E1264" s="12">
        <v>40909</v>
      </c>
      <c r="F1264" s="11"/>
      <c r="G1264" s="11" t="s">
        <v>279</v>
      </c>
      <c r="H1264" s="11" t="s">
        <v>30</v>
      </c>
      <c r="I1264" s="11" t="s">
        <v>20764</v>
      </c>
    </row>
    <row r="1265" spans="1:9" ht="13.15" x14ac:dyDescent="0.4">
      <c r="A1265" s="11" t="s">
        <v>19386</v>
      </c>
      <c r="B1265" s="11" t="s">
        <v>6072</v>
      </c>
      <c r="C1265" s="11" t="s">
        <v>18721</v>
      </c>
      <c r="D1265" s="12">
        <v>40909</v>
      </c>
      <c r="E1265" s="12">
        <v>40909</v>
      </c>
      <c r="F1265" s="11"/>
      <c r="G1265" s="11" t="s">
        <v>279</v>
      </c>
      <c r="H1265" s="11" t="s">
        <v>30</v>
      </c>
      <c r="I1265" s="11" t="s">
        <v>21473</v>
      </c>
    </row>
    <row r="1266" spans="1:9" ht="13.15" x14ac:dyDescent="0.4">
      <c r="A1266" s="11" t="s">
        <v>18955</v>
      </c>
      <c r="B1266" s="11" t="s">
        <v>6072</v>
      </c>
      <c r="C1266" s="11" t="s">
        <v>18721</v>
      </c>
      <c r="D1266" s="12">
        <v>40909</v>
      </c>
      <c r="E1266" s="12">
        <v>40909</v>
      </c>
      <c r="F1266" s="11"/>
      <c r="G1266" s="11" t="s">
        <v>279</v>
      </c>
      <c r="H1266" s="11" t="s">
        <v>30</v>
      </c>
      <c r="I1266" s="11" t="s">
        <v>21904</v>
      </c>
    </row>
    <row r="1267" spans="1:9" ht="13.15" x14ac:dyDescent="0.4">
      <c r="A1267" s="11" t="s">
        <v>20121</v>
      </c>
      <c r="B1267" s="11" t="s">
        <v>6072</v>
      </c>
      <c r="C1267" s="11" t="s">
        <v>18721</v>
      </c>
      <c r="D1267" s="12">
        <v>40909</v>
      </c>
      <c r="E1267" s="12">
        <v>40909</v>
      </c>
      <c r="F1267" s="11"/>
      <c r="G1267" s="11" t="s">
        <v>279</v>
      </c>
      <c r="H1267" s="11" t="s">
        <v>30</v>
      </c>
      <c r="I1267" s="11" t="s">
        <v>20738</v>
      </c>
    </row>
    <row r="1268" spans="1:9" ht="13.15" x14ac:dyDescent="0.4">
      <c r="A1268" s="11" t="s">
        <v>19844</v>
      </c>
      <c r="B1268" s="11" t="s">
        <v>6072</v>
      </c>
      <c r="C1268" s="11" t="s">
        <v>18721</v>
      </c>
      <c r="D1268" s="12">
        <v>40909</v>
      </c>
      <c r="E1268" s="12">
        <v>40909</v>
      </c>
      <c r="F1268" s="11"/>
      <c r="G1268" s="11" t="s">
        <v>279</v>
      </c>
      <c r="H1268" s="11" t="s">
        <v>30</v>
      </c>
      <c r="I1268" s="11" t="s">
        <v>21015</v>
      </c>
    </row>
    <row r="1269" spans="1:9" ht="13.15" x14ac:dyDescent="0.4">
      <c r="A1269" s="11" t="s">
        <v>20371</v>
      </c>
      <c r="B1269" s="11" t="s">
        <v>6072</v>
      </c>
      <c r="C1269" s="11" t="s">
        <v>18721</v>
      </c>
      <c r="D1269" s="12">
        <v>40909</v>
      </c>
      <c r="E1269" s="12">
        <v>40909</v>
      </c>
      <c r="F1269" s="11"/>
      <c r="G1269" s="11" t="s">
        <v>279</v>
      </c>
      <c r="H1269" s="11" t="s">
        <v>30</v>
      </c>
      <c r="I1269" s="11" t="s">
        <v>20488</v>
      </c>
    </row>
    <row r="1270" spans="1:9" ht="13.15" x14ac:dyDescent="0.4">
      <c r="A1270" s="11" t="s">
        <v>20072</v>
      </c>
      <c r="B1270" s="11" t="s">
        <v>6072</v>
      </c>
      <c r="C1270" s="11" t="s">
        <v>18721</v>
      </c>
      <c r="D1270" s="12">
        <v>40909</v>
      </c>
      <c r="E1270" s="12">
        <v>40909</v>
      </c>
      <c r="F1270" s="11"/>
      <c r="G1270" s="11" t="s">
        <v>279</v>
      </c>
      <c r="H1270" s="11" t="s">
        <v>30</v>
      </c>
      <c r="I1270" s="11" t="s">
        <v>20787</v>
      </c>
    </row>
    <row r="1271" spans="1:9" ht="13.15" x14ac:dyDescent="0.4">
      <c r="A1271" s="11" t="s">
        <v>20368</v>
      </c>
      <c r="B1271" s="11" t="s">
        <v>6072</v>
      </c>
      <c r="C1271" s="11" t="s">
        <v>18721</v>
      </c>
      <c r="D1271" s="12">
        <v>40909</v>
      </c>
      <c r="E1271" s="12">
        <v>40909</v>
      </c>
      <c r="F1271" s="11"/>
      <c r="G1271" s="11" t="s">
        <v>279</v>
      </c>
      <c r="H1271" s="11" t="s">
        <v>30</v>
      </c>
      <c r="I1271" s="11" t="s">
        <v>20491</v>
      </c>
    </row>
    <row r="1272" spans="1:9" ht="13.15" x14ac:dyDescent="0.4">
      <c r="A1272" s="11" t="s">
        <v>19928</v>
      </c>
      <c r="B1272" s="11" t="s">
        <v>6072</v>
      </c>
      <c r="C1272" s="11" t="s">
        <v>18721</v>
      </c>
      <c r="D1272" s="12">
        <v>40909</v>
      </c>
      <c r="E1272" s="12">
        <v>40909</v>
      </c>
      <c r="F1272" s="11"/>
      <c r="G1272" s="11" t="s">
        <v>279</v>
      </c>
      <c r="H1272" s="11" t="s">
        <v>30</v>
      </c>
      <c r="I1272" s="11" t="s">
        <v>20931</v>
      </c>
    </row>
    <row r="1273" spans="1:9" ht="13.15" x14ac:dyDescent="0.4">
      <c r="A1273" s="11" t="s">
        <v>19179</v>
      </c>
      <c r="B1273" s="11" t="s">
        <v>6072</v>
      </c>
      <c r="C1273" s="11" t="s">
        <v>18721</v>
      </c>
      <c r="D1273" s="12">
        <v>40909</v>
      </c>
      <c r="E1273" s="12">
        <v>40909</v>
      </c>
      <c r="F1273" s="11"/>
      <c r="G1273" s="11" t="s">
        <v>279</v>
      </c>
      <c r="H1273" s="11" t="s">
        <v>30</v>
      </c>
      <c r="I1273" s="11" t="s">
        <v>21680</v>
      </c>
    </row>
    <row r="1274" spans="1:9" ht="13.15" x14ac:dyDescent="0.4">
      <c r="A1274" s="11" t="s">
        <v>20106</v>
      </c>
      <c r="B1274" s="11" t="s">
        <v>6072</v>
      </c>
      <c r="C1274" s="11" t="s">
        <v>18721</v>
      </c>
      <c r="D1274" s="12">
        <v>40909</v>
      </c>
      <c r="E1274" s="12">
        <v>40909</v>
      </c>
      <c r="F1274" s="11"/>
      <c r="G1274" s="11" t="s">
        <v>279</v>
      </c>
      <c r="H1274" s="11" t="s">
        <v>30</v>
      </c>
      <c r="I1274" s="11" t="s">
        <v>20753</v>
      </c>
    </row>
    <row r="1275" spans="1:9" ht="13.15" x14ac:dyDescent="0.4">
      <c r="A1275" s="11" t="s">
        <v>20423</v>
      </c>
      <c r="B1275" s="11" t="s">
        <v>6072</v>
      </c>
      <c r="C1275" s="11" t="s">
        <v>18721</v>
      </c>
      <c r="D1275" s="12">
        <v>40909</v>
      </c>
      <c r="E1275" s="12">
        <v>40909</v>
      </c>
      <c r="F1275" s="11"/>
      <c r="G1275" s="11" t="s">
        <v>279</v>
      </c>
      <c r="H1275" s="11" t="s">
        <v>30</v>
      </c>
      <c r="I1275" s="11" t="s">
        <v>20436</v>
      </c>
    </row>
    <row r="1276" spans="1:9" ht="13.15" x14ac:dyDescent="0.4">
      <c r="A1276" s="11" t="s">
        <v>19456</v>
      </c>
      <c r="B1276" s="11" t="s">
        <v>6072</v>
      </c>
      <c r="C1276" s="11" t="s">
        <v>18721</v>
      </c>
      <c r="D1276" s="12">
        <v>40909</v>
      </c>
      <c r="E1276" s="12">
        <v>40909</v>
      </c>
      <c r="F1276" s="11"/>
      <c r="G1276" s="11" t="s">
        <v>279</v>
      </c>
      <c r="H1276" s="11" t="s">
        <v>30</v>
      </c>
      <c r="I1276" s="11" t="s">
        <v>21403</v>
      </c>
    </row>
    <row r="1277" spans="1:9" ht="13.15" x14ac:dyDescent="0.4">
      <c r="A1277" s="11" t="s">
        <v>19342</v>
      </c>
      <c r="B1277" s="11" t="s">
        <v>6072</v>
      </c>
      <c r="C1277" s="11" t="s">
        <v>18721</v>
      </c>
      <c r="D1277" s="12">
        <v>40909</v>
      </c>
      <c r="E1277" s="12">
        <v>40909</v>
      </c>
      <c r="F1277" s="11"/>
      <c r="G1277" s="11" t="s">
        <v>279</v>
      </c>
      <c r="H1277" s="11" t="s">
        <v>30</v>
      </c>
      <c r="I1277" s="11" t="s">
        <v>21517</v>
      </c>
    </row>
    <row r="1278" spans="1:9" ht="13.15" x14ac:dyDescent="0.4">
      <c r="A1278" s="11" t="s">
        <v>20017</v>
      </c>
      <c r="B1278" s="11" t="s">
        <v>6072</v>
      </c>
      <c r="C1278" s="11" t="s">
        <v>18721</v>
      </c>
      <c r="D1278" s="12">
        <v>40909</v>
      </c>
      <c r="E1278" s="12">
        <v>40909</v>
      </c>
      <c r="F1278" s="11"/>
      <c r="G1278" s="11" t="s">
        <v>279</v>
      </c>
      <c r="H1278" s="11" t="s">
        <v>30</v>
      </c>
      <c r="I1278" s="11" t="s">
        <v>20842</v>
      </c>
    </row>
    <row r="1279" spans="1:9" ht="13.15" x14ac:dyDescent="0.4">
      <c r="A1279" s="11" t="s">
        <v>19315</v>
      </c>
      <c r="B1279" s="11" t="s">
        <v>6072</v>
      </c>
      <c r="C1279" s="11" t="s">
        <v>18721</v>
      </c>
      <c r="D1279" s="12">
        <v>41275</v>
      </c>
      <c r="E1279" s="12">
        <v>41275</v>
      </c>
      <c r="F1279" s="11"/>
      <c r="G1279" s="11" t="s">
        <v>279</v>
      </c>
      <c r="H1279" s="11" t="s">
        <v>30</v>
      </c>
      <c r="I1279" s="11" t="s">
        <v>21544</v>
      </c>
    </row>
    <row r="1280" spans="1:9" ht="13.15" x14ac:dyDescent="0.4">
      <c r="A1280" s="11" t="s">
        <v>19925</v>
      </c>
      <c r="B1280" s="11" t="s">
        <v>6072</v>
      </c>
      <c r="C1280" s="11" t="s">
        <v>18721</v>
      </c>
      <c r="D1280" s="12">
        <v>41275</v>
      </c>
      <c r="E1280" s="12">
        <v>41275</v>
      </c>
      <c r="F1280" s="11"/>
      <c r="G1280" s="11" t="s">
        <v>279</v>
      </c>
      <c r="H1280" s="11" t="s">
        <v>30</v>
      </c>
      <c r="I1280" s="11" t="s">
        <v>20934</v>
      </c>
    </row>
    <row r="1281" spans="1:9" ht="13.15" x14ac:dyDescent="0.4">
      <c r="A1281" s="11" t="s">
        <v>19401</v>
      </c>
      <c r="B1281" s="11" t="s">
        <v>6072</v>
      </c>
      <c r="C1281" s="11" t="s">
        <v>18721</v>
      </c>
      <c r="D1281" s="12">
        <v>41275</v>
      </c>
      <c r="E1281" s="12">
        <v>41275</v>
      </c>
      <c r="F1281" s="11"/>
      <c r="G1281" s="11" t="s">
        <v>279</v>
      </c>
      <c r="H1281" s="11" t="s">
        <v>30</v>
      </c>
      <c r="I1281" s="11" t="s">
        <v>21458</v>
      </c>
    </row>
    <row r="1282" spans="1:9" ht="13.15" x14ac:dyDescent="0.4">
      <c r="A1282" s="11" t="s">
        <v>18870</v>
      </c>
      <c r="B1282" s="11" t="s">
        <v>6072</v>
      </c>
      <c r="C1282" s="11" t="s">
        <v>18721</v>
      </c>
      <c r="D1282" s="12">
        <v>41275</v>
      </c>
      <c r="E1282" s="12">
        <v>41275</v>
      </c>
      <c r="F1282" s="11"/>
      <c r="G1282" s="11" t="s">
        <v>279</v>
      </c>
      <c r="H1282" s="11" t="s">
        <v>30</v>
      </c>
      <c r="I1282" s="11" t="s">
        <v>21989</v>
      </c>
    </row>
    <row r="1283" spans="1:9" ht="13.15" x14ac:dyDescent="0.4">
      <c r="A1283" s="11" t="s">
        <v>20031</v>
      </c>
      <c r="B1283" s="11" t="s">
        <v>6072</v>
      </c>
      <c r="C1283" s="11" t="s">
        <v>18721</v>
      </c>
      <c r="D1283" s="12">
        <v>41275</v>
      </c>
      <c r="E1283" s="12">
        <v>41275</v>
      </c>
      <c r="F1283" s="11"/>
      <c r="G1283" s="11" t="s">
        <v>279</v>
      </c>
      <c r="H1283" s="11" t="s">
        <v>30</v>
      </c>
      <c r="I1283" s="11" t="s">
        <v>20828</v>
      </c>
    </row>
    <row r="1284" spans="1:9" ht="13.15" x14ac:dyDescent="0.4">
      <c r="A1284" s="11" t="s">
        <v>19164</v>
      </c>
      <c r="B1284" s="11" t="s">
        <v>6072</v>
      </c>
      <c r="C1284" s="11" t="s">
        <v>18721</v>
      </c>
      <c r="D1284" s="12">
        <v>41275</v>
      </c>
      <c r="E1284" s="12">
        <v>41275</v>
      </c>
      <c r="F1284" s="11"/>
      <c r="G1284" s="11" t="s">
        <v>279</v>
      </c>
      <c r="H1284" s="11" t="s">
        <v>30</v>
      </c>
      <c r="I1284" s="11" t="s">
        <v>21695</v>
      </c>
    </row>
    <row r="1285" spans="1:9" ht="13.15" x14ac:dyDescent="0.4">
      <c r="A1285" s="11" t="s">
        <v>19463</v>
      </c>
      <c r="B1285" s="11" t="s">
        <v>6072</v>
      </c>
      <c r="C1285" s="11" t="s">
        <v>18721</v>
      </c>
      <c r="D1285" s="12">
        <v>41275</v>
      </c>
      <c r="E1285" s="12">
        <v>41275</v>
      </c>
      <c r="F1285" s="11"/>
      <c r="G1285" s="11" t="s">
        <v>279</v>
      </c>
      <c r="H1285" s="11" t="s">
        <v>30</v>
      </c>
      <c r="I1285" s="11" t="s">
        <v>21396</v>
      </c>
    </row>
    <row r="1286" spans="1:9" ht="13.15" x14ac:dyDescent="0.4">
      <c r="A1286" s="11" t="s">
        <v>18930</v>
      </c>
      <c r="B1286" s="11" t="s">
        <v>6072</v>
      </c>
      <c r="C1286" s="11" t="s">
        <v>18721</v>
      </c>
      <c r="D1286" s="12">
        <v>41275</v>
      </c>
      <c r="E1286" s="12">
        <v>41275</v>
      </c>
      <c r="F1286" s="11"/>
      <c r="G1286" s="11" t="s">
        <v>279</v>
      </c>
      <c r="H1286" s="11" t="s">
        <v>30</v>
      </c>
      <c r="I1286" s="11" t="s">
        <v>21929</v>
      </c>
    </row>
    <row r="1287" spans="1:9" ht="13.15" x14ac:dyDescent="0.4">
      <c r="A1287" s="11" t="s">
        <v>19072</v>
      </c>
      <c r="B1287" s="11" t="s">
        <v>6072</v>
      </c>
      <c r="C1287" s="11" t="s">
        <v>18721</v>
      </c>
      <c r="D1287" s="12">
        <v>41275</v>
      </c>
      <c r="E1287" s="12">
        <v>41275</v>
      </c>
      <c r="F1287" s="11"/>
      <c r="G1287" s="11" t="s">
        <v>279</v>
      </c>
      <c r="H1287" s="11" t="s">
        <v>30</v>
      </c>
      <c r="I1287" s="11" t="s">
        <v>21787</v>
      </c>
    </row>
    <row r="1288" spans="1:9" ht="13.15" x14ac:dyDescent="0.4">
      <c r="A1288" s="11" t="s">
        <v>19260</v>
      </c>
      <c r="B1288" s="11" t="s">
        <v>6072</v>
      </c>
      <c r="C1288" s="11" t="s">
        <v>18721</v>
      </c>
      <c r="D1288" s="12">
        <v>41275</v>
      </c>
      <c r="E1288" s="12">
        <v>41275</v>
      </c>
      <c r="F1288" s="11"/>
      <c r="G1288" s="11" t="s">
        <v>279</v>
      </c>
      <c r="H1288" s="11" t="s">
        <v>30</v>
      </c>
      <c r="I1288" s="11" t="s">
        <v>21599</v>
      </c>
    </row>
    <row r="1289" spans="1:9" ht="13.15" x14ac:dyDescent="0.4">
      <c r="A1289" s="11" t="s">
        <v>19040</v>
      </c>
      <c r="B1289" s="11" t="s">
        <v>6072</v>
      </c>
      <c r="C1289" s="11" t="s">
        <v>18721</v>
      </c>
      <c r="D1289" s="12">
        <v>41275</v>
      </c>
      <c r="E1289" s="12">
        <v>41275</v>
      </c>
      <c r="F1289" s="11"/>
      <c r="G1289" s="11" t="s">
        <v>279</v>
      </c>
      <c r="H1289" s="11" t="s">
        <v>30</v>
      </c>
      <c r="I1289" s="11" t="s">
        <v>21819</v>
      </c>
    </row>
    <row r="1290" spans="1:9" ht="13.15" x14ac:dyDescent="0.4">
      <c r="A1290" s="11" t="s">
        <v>19615</v>
      </c>
      <c r="B1290" s="11" t="s">
        <v>6072</v>
      </c>
      <c r="C1290" s="11" t="s">
        <v>18721</v>
      </c>
      <c r="D1290" s="12">
        <v>41275</v>
      </c>
      <c r="E1290" s="12">
        <v>41275</v>
      </c>
      <c r="F1290" s="11"/>
      <c r="G1290" s="11" t="s">
        <v>279</v>
      </c>
      <c r="H1290" s="11" t="s">
        <v>30</v>
      </c>
      <c r="I1290" s="11" t="s">
        <v>21244</v>
      </c>
    </row>
    <row r="1291" spans="1:9" ht="13.15" x14ac:dyDescent="0.4">
      <c r="A1291" s="11" t="s">
        <v>19460</v>
      </c>
      <c r="B1291" s="11" t="s">
        <v>6072</v>
      </c>
      <c r="C1291" s="11" t="s">
        <v>18721</v>
      </c>
      <c r="D1291" s="12">
        <v>41275</v>
      </c>
      <c r="E1291" s="12">
        <v>41275</v>
      </c>
      <c r="F1291" s="11"/>
      <c r="G1291" s="11" t="s">
        <v>279</v>
      </c>
      <c r="H1291" s="11" t="s">
        <v>30</v>
      </c>
      <c r="I1291" s="11" t="s">
        <v>21399</v>
      </c>
    </row>
    <row r="1292" spans="1:9" ht="13.15" x14ac:dyDescent="0.4">
      <c r="A1292" s="11" t="s">
        <v>20043</v>
      </c>
      <c r="B1292" s="11" t="s">
        <v>6072</v>
      </c>
      <c r="C1292" s="11" t="s">
        <v>18721</v>
      </c>
      <c r="D1292" s="12">
        <v>41275</v>
      </c>
      <c r="E1292" s="12">
        <v>41275</v>
      </c>
      <c r="F1292" s="11"/>
      <c r="G1292" s="11" t="s">
        <v>279</v>
      </c>
      <c r="H1292" s="11" t="s">
        <v>30</v>
      </c>
      <c r="I1292" s="11" t="s">
        <v>20816</v>
      </c>
    </row>
    <row r="1293" spans="1:9" ht="13.15" x14ac:dyDescent="0.4">
      <c r="A1293" s="11" t="s">
        <v>18943</v>
      </c>
      <c r="B1293" s="11" t="s">
        <v>6072</v>
      </c>
      <c r="C1293" s="11" t="s">
        <v>18721</v>
      </c>
      <c r="D1293" s="12">
        <v>41275</v>
      </c>
      <c r="E1293" s="12">
        <v>41275</v>
      </c>
      <c r="F1293" s="11"/>
      <c r="G1293" s="11" t="s">
        <v>279</v>
      </c>
      <c r="H1293" s="11" t="s">
        <v>30</v>
      </c>
      <c r="I1293" s="11" t="s">
        <v>21916</v>
      </c>
    </row>
    <row r="1294" spans="1:9" ht="13.15" x14ac:dyDescent="0.4">
      <c r="A1294" s="11" t="s">
        <v>19095</v>
      </c>
      <c r="B1294" s="11" t="s">
        <v>6072</v>
      </c>
      <c r="C1294" s="11" t="s">
        <v>18721</v>
      </c>
      <c r="D1294" s="12">
        <v>41275</v>
      </c>
      <c r="E1294" s="12">
        <v>41275</v>
      </c>
      <c r="F1294" s="11"/>
      <c r="G1294" s="11" t="s">
        <v>279</v>
      </c>
      <c r="H1294" s="11" t="s">
        <v>30</v>
      </c>
      <c r="I1294" s="11" t="s">
        <v>21764</v>
      </c>
    </row>
    <row r="1295" spans="1:9" ht="13.15" x14ac:dyDescent="0.4">
      <c r="A1295" s="11" t="s">
        <v>18731</v>
      </c>
      <c r="B1295" s="11" t="s">
        <v>6072</v>
      </c>
      <c r="C1295" s="11" t="s">
        <v>18721</v>
      </c>
      <c r="D1295" s="12">
        <v>41275</v>
      </c>
      <c r="E1295" s="12">
        <v>41275</v>
      </c>
      <c r="F1295" s="11"/>
      <c r="G1295" s="11" t="s">
        <v>279</v>
      </c>
      <c r="H1295" s="11" t="s">
        <v>30</v>
      </c>
      <c r="I1295" s="11" t="s">
        <v>22128</v>
      </c>
    </row>
    <row r="1296" spans="1:9" ht="13.15" x14ac:dyDescent="0.4">
      <c r="A1296" s="11" t="s">
        <v>19279</v>
      </c>
      <c r="B1296" s="11" t="s">
        <v>6072</v>
      </c>
      <c r="C1296" s="11" t="s">
        <v>18721</v>
      </c>
      <c r="D1296" s="12">
        <v>41275</v>
      </c>
      <c r="E1296" s="12">
        <v>41275</v>
      </c>
      <c r="F1296" s="11"/>
      <c r="G1296" s="11" t="s">
        <v>279</v>
      </c>
      <c r="H1296" s="11" t="s">
        <v>30</v>
      </c>
      <c r="I1296" s="11" t="s">
        <v>21580</v>
      </c>
    </row>
    <row r="1297" spans="1:9" ht="13.15" x14ac:dyDescent="0.4">
      <c r="A1297" s="11" t="s">
        <v>19826</v>
      </c>
      <c r="B1297" s="11" t="s">
        <v>6072</v>
      </c>
      <c r="C1297" s="11" t="s">
        <v>18721</v>
      </c>
      <c r="D1297" s="12">
        <v>41275</v>
      </c>
      <c r="E1297" s="12">
        <v>41275</v>
      </c>
      <c r="F1297" s="11"/>
      <c r="G1297" s="11" t="s">
        <v>279</v>
      </c>
      <c r="H1297" s="11" t="s">
        <v>30</v>
      </c>
      <c r="I1297" s="11" t="s">
        <v>21033</v>
      </c>
    </row>
    <row r="1298" spans="1:9" ht="13.15" x14ac:dyDescent="0.4">
      <c r="A1298" s="11" t="s">
        <v>19820</v>
      </c>
      <c r="B1298" s="11" t="s">
        <v>6072</v>
      </c>
      <c r="C1298" s="11" t="s">
        <v>18721</v>
      </c>
      <c r="D1298" s="12">
        <v>41275</v>
      </c>
      <c r="E1298" s="12">
        <v>41275</v>
      </c>
      <c r="F1298" s="11"/>
      <c r="G1298" s="11" t="s">
        <v>279</v>
      </c>
      <c r="H1298" s="11" t="s">
        <v>30</v>
      </c>
      <c r="I1298" s="11" t="s">
        <v>21039</v>
      </c>
    </row>
    <row r="1299" spans="1:9" ht="13.15" x14ac:dyDescent="0.4">
      <c r="A1299" s="11" t="s">
        <v>19329</v>
      </c>
      <c r="B1299" s="11" t="s">
        <v>6072</v>
      </c>
      <c r="C1299" s="11" t="s">
        <v>18721</v>
      </c>
      <c r="D1299" s="12">
        <v>41275</v>
      </c>
      <c r="E1299" s="12">
        <v>41275</v>
      </c>
      <c r="F1299" s="11"/>
      <c r="G1299" s="11" t="s">
        <v>279</v>
      </c>
      <c r="H1299" s="11" t="s">
        <v>30</v>
      </c>
      <c r="I1299" s="11" t="s">
        <v>21530</v>
      </c>
    </row>
    <row r="1300" spans="1:9" ht="13.15" x14ac:dyDescent="0.4">
      <c r="A1300" s="11" t="s">
        <v>19364</v>
      </c>
      <c r="B1300" s="11" t="s">
        <v>6072</v>
      </c>
      <c r="C1300" s="11" t="s">
        <v>18721</v>
      </c>
      <c r="D1300" s="12">
        <v>41275</v>
      </c>
      <c r="E1300" s="12">
        <v>41275</v>
      </c>
      <c r="F1300" s="11"/>
      <c r="G1300" s="11" t="s">
        <v>279</v>
      </c>
      <c r="H1300" s="11" t="s">
        <v>30</v>
      </c>
      <c r="I1300" s="11" t="s">
        <v>21495</v>
      </c>
    </row>
    <row r="1301" spans="1:9" ht="13.15" x14ac:dyDescent="0.4">
      <c r="A1301" s="11" t="s">
        <v>19410</v>
      </c>
      <c r="B1301" s="11" t="s">
        <v>6072</v>
      </c>
      <c r="C1301" s="11" t="s">
        <v>18721</v>
      </c>
      <c r="D1301" s="12">
        <v>41275</v>
      </c>
      <c r="E1301" s="12">
        <v>41275</v>
      </c>
      <c r="F1301" s="11"/>
      <c r="G1301" s="11" t="s">
        <v>279</v>
      </c>
      <c r="H1301" s="11" t="s">
        <v>30</v>
      </c>
      <c r="I1301" s="11" t="s">
        <v>21449</v>
      </c>
    </row>
    <row r="1302" spans="1:9" ht="13.15" x14ac:dyDescent="0.4">
      <c r="A1302" s="11" t="s">
        <v>20128</v>
      </c>
      <c r="B1302" s="11" t="s">
        <v>6072</v>
      </c>
      <c r="C1302" s="11" t="s">
        <v>18721</v>
      </c>
      <c r="D1302" s="12">
        <v>41275</v>
      </c>
      <c r="E1302" s="12">
        <v>41275</v>
      </c>
      <c r="F1302" s="11"/>
      <c r="G1302" s="11" t="s">
        <v>279</v>
      </c>
      <c r="H1302" s="11" t="s">
        <v>30</v>
      </c>
      <c r="I1302" s="11" t="s">
        <v>20731</v>
      </c>
    </row>
    <row r="1303" spans="1:9" ht="13.15" x14ac:dyDescent="0.4">
      <c r="A1303" s="11" t="s">
        <v>19294</v>
      </c>
      <c r="B1303" s="11" t="s">
        <v>6072</v>
      </c>
      <c r="C1303" s="11" t="s">
        <v>18721</v>
      </c>
      <c r="D1303" s="12">
        <v>41275</v>
      </c>
      <c r="E1303" s="12">
        <v>41275</v>
      </c>
      <c r="F1303" s="11"/>
      <c r="G1303" s="11" t="s">
        <v>279</v>
      </c>
      <c r="H1303" s="11" t="s">
        <v>30</v>
      </c>
      <c r="I1303" s="11" t="s">
        <v>21565</v>
      </c>
    </row>
    <row r="1304" spans="1:9" ht="13.15" x14ac:dyDescent="0.4">
      <c r="A1304" s="11" t="s">
        <v>18921</v>
      </c>
      <c r="B1304" s="11" t="s">
        <v>6072</v>
      </c>
      <c r="C1304" s="11" t="s">
        <v>18721</v>
      </c>
      <c r="D1304" s="12">
        <v>41275</v>
      </c>
      <c r="E1304" s="12">
        <v>41275</v>
      </c>
      <c r="F1304" s="11"/>
      <c r="G1304" s="11" t="s">
        <v>279</v>
      </c>
      <c r="H1304" s="11" t="s">
        <v>30</v>
      </c>
      <c r="I1304" s="11" t="s">
        <v>21938</v>
      </c>
    </row>
    <row r="1305" spans="1:9" ht="13.15" x14ac:dyDescent="0.4">
      <c r="A1305" s="11" t="s">
        <v>19310</v>
      </c>
      <c r="B1305" s="11" t="s">
        <v>6072</v>
      </c>
      <c r="C1305" s="11" t="s">
        <v>18721</v>
      </c>
      <c r="D1305" s="12">
        <v>41275</v>
      </c>
      <c r="E1305" s="12">
        <v>41275</v>
      </c>
      <c r="F1305" s="11"/>
      <c r="G1305" s="11" t="s">
        <v>279</v>
      </c>
      <c r="H1305" s="11" t="s">
        <v>30</v>
      </c>
      <c r="I1305" s="11" t="s">
        <v>21549</v>
      </c>
    </row>
    <row r="1306" spans="1:9" ht="13.15" x14ac:dyDescent="0.4">
      <c r="A1306" s="11" t="s">
        <v>19085</v>
      </c>
      <c r="B1306" s="11" t="s">
        <v>6072</v>
      </c>
      <c r="C1306" s="11" t="s">
        <v>18721</v>
      </c>
      <c r="D1306" s="12">
        <v>41275</v>
      </c>
      <c r="E1306" s="12">
        <v>41275</v>
      </c>
      <c r="F1306" s="11"/>
      <c r="G1306" s="11" t="s">
        <v>279</v>
      </c>
      <c r="H1306" s="11" t="s">
        <v>30</v>
      </c>
      <c r="I1306" s="11" t="s">
        <v>21774</v>
      </c>
    </row>
    <row r="1307" spans="1:9" ht="13.15" x14ac:dyDescent="0.4">
      <c r="A1307" s="11" t="s">
        <v>19905</v>
      </c>
      <c r="B1307" s="11" t="s">
        <v>6072</v>
      </c>
      <c r="C1307" s="11" t="s">
        <v>18721</v>
      </c>
      <c r="D1307" s="12">
        <v>41275</v>
      </c>
      <c r="E1307" s="12">
        <v>41275</v>
      </c>
      <c r="F1307" s="11"/>
      <c r="G1307" s="11" t="s">
        <v>279</v>
      </c>
      <c r="H1307" s="11" t="s">
        <v>30</v>
      </c>
      <c r="I1307" s="11" t="s">
        <v>20954</v>
      </c>
    </row>
    <row r="1308" spans="1:9" ht="13.15" x14ac:dyDescent="0.4">
      <c r="A1308" s="11" t="s">
        <v>20214</v>
      </c>
      <c r="B1308" s="11" t="s">
        <v>6072</v>
      </c>
      <c r="C1308" s="11" t="s">
        <v>18721</v>
      </c>
      <c r="D1308" s="12">
        <v>41275</v>
      </c>
      <c r="E1308" s="12">
        <v>41275</v>
      </c>
      <c r="F1308" s="11"/>
      <c r="G1308" s="11" t="s">
        <v>279</v>
      </c>
      <c r="H1308" s="11" t="s">
        <v>30</v>
      </c>
      <c r="I1308" s="11" t="s">
        <v>20645</v>
      </c>
    </row>
    <row r="1309" spans="1:9" ht="13.15" x14ac:dyDescent="0.4">
      <c r="A1309" s="11" t="s">
        <v>19392</v>
      </c>
      <c r="B1309" s="11" t="s">
        <v>6072</v>
      </c>
      <c r="C1309" s="11" t="s">
        <v>18721</v>
      </c>
      <c r="D1309" s="12">
        <v>41275</v>
      </c>
      <c r="E1309" s="12">
        <v>41275</v>
      </c>
      <c r="F1309" s="11"/>
      <c r="G1309" s="11" t="s">
        <v>279</v>
      </c>
      <c r="H1309" s="11" t="s">
        <v>30</v>
      </c>
      <c r="I1309" s="11" t="s">
        <v>21467</v>
      </c>
    </row>
    <row r="1310" spans="1:9" ht="13.15" x14ac:dyDescent="0.4">
      <c r="A1310" s="11" t="s">
        <v>19923</v>
      </c>
      <c r="B1310" s="11" t="s">
        <v>6072</v>
      </c>
      <c r="C1310" s="11" t="s">
        <v>18721</v>
      </c>
      <c r="D1310" s="12">
        <v>41275</v>
      </c>
      <c r="E1310" s="12">
        <v>41275</v>
      </c>
      <c r="F1310" s="11"/>
      <c r="G1310" s="11" t="s">
        <v>279</v>
      </c>
      <c r="H1310" s="11" t="s">
        <v>30</v>
      </c>
      <c r="I1310" s="11" t="s">
        <v>20936</v>
      </c>
    </row>
    <row r="1311" spans="1:9" ht="13.15" x14ac:dyDescent="0.4">
      <c r="A1311" s="11" t="s">
        <v>20318</v>
      </c>
      <c r="B1311" s="11" t="s">
        <v>6072</v>
      </c>
      <c r="C1311" s="11" t="s">
        <v>18721</v>
      </c>
      <c r="D1311" s="12">
        <v>41275</v>
      </c>
      <c r="E1311" s="12">
        <v>41275</v>
      </c>
      <c r="F1311" s="11"/>
      <c r="G1311" s="11" t="s">
        <v>279</v>
      </c>
      <c r="H1311" s="11" t="s">
        <v>30</v>
      </c>
      <c r="I1311" s="11" t="s">
        <v>20541</v>
      </c>
    </row>
    <row r="1312" spans="1:9" ht="13.15" x14ac:dyDescent="0.4">
      <c r="A1312" s="11" t="s">
        <v>19737</v>
      </c>
      <c r="B1312" s="11" t="s">
        <v>6072</v>
      </c>
      <c r="C1312" s="11" t="s">
        <v>18721</v>
      </c>
      <c r="D1312" s="12">
        <v>41275</v>
      </c>
      <c r="E1312" s="12">
        <v>41275</v>
      </c>
      <c r="F1312" s="11"/>
      <c r="G1312" s="11" t="s">
        <v>279</v>
      </c>
      <c r="H1312" s="11" t="s">
        <v>30</v>
      </c>
      <c r="I1312" s="11" t="s">
        <v>21122</v>
      </c>
    </row>
    <row r="1313" spans="1:9" ht="13.15" x14ac:dyDescent="0.4">
      <c r="A1313" s="11" t="s">
        <v>20127</v>
      </c>
      <c r="B1313" s="11" t="s">
        <v>6072</v>
      </c>
      <c r="C1313" s="11" t="s">
        <v>18721</v>
      </c>
      <c r="D1313" s="12">
        <v>41275</v>
      </c>
      <c r="E1313" s="12">
        <v>41275</v>
      </c>
      <c r="F1313" s="11"/>
      <c r="G1313" s="11" t="s">
        <v>279</v>
      </c>
      <c r="H1313" s="11" t="s">
        <v>30</v>
      </c>
      <c r="I1313" s="11" t="s">
        <v>20732</v>
      </c>
    </row>
    <row r="1314" spans="1:9" ht="13.15" x14ac:dyDescent="0.4">
      <c r="A1314" s="11" t="s">
        <v>20055</v>
      </c>
      <c r="B1314" s="11" t="s">
        <v>6072</v>
      </c>
      <c r="C1314" s="11" t="s">
        <v>18721</v>
      </c>
      <c r="D1314" s="12">
        <v>41275</v>
      </c>
      <c r="E1314" s="12">
        <v>41275</v>
      </c>
      <c r="F1314" s="11"/>
      <c r="G1314" s="11" t="s">
        <v>279</v>
      </c>
      <c r="H1314" s="11" t="s">
        <v>30</v>
      </c>
      <c r="I1314" s="11" t="s">
        <v>20804</v>
      </c>
    </row>
    <row r="1315" spans="1:9" ht="13.15" x14ac:dyDescent="0.4">
      <c r="A1315" s="11" t="s">
        <v>20151</v>
      </c>
      <c r="B1315" s="11" t="s">
        <v>6072</v>
      </c>
      <c r="C1315" s="11" t="s">
        <v>18721</v>
      </c>
      <c r="D1315" s="12">
        <v>41275</v>
      </c>
      <c r="E1315" s="12">
        <v>41275</v>
      </c>
      <c r="F1315" s="11"/>
      <c r="G1315" s="11" t="s">
        <v>279</v>
      </c>
      <c r="H1315" s="11" t="s">
        <v>30</v>
      </c>
      <c r="I1315" s="11" t="s">
        <v>20708</v>
      </c>
    </row>
    <row r="1316" spans="1:9" ht="13.15" x14ac:dyDescent="0.4">
      <c r="A1316" s="11" t="s">
        <v>20309</v>
      </c>
      <c r="B1316" s="11" t="s">
        <v>6072</v>
      </c>
      <c r="C1316" s="11" t="s">
        <v>18721</v>
      </c>
      <c r="D1316" s="12">
        <v>41275</v>
      </c>
      <c r="E1316" s="12">
        <v>41275</v>
      </c>
      <c r="F1316" s="11"/>
      <c r="G1316" s="11" t="s">
        <v>279</v>
      </c>
      <c r="H1316" s="11" t="s">
        <v>30</v>
      </c>
      <c r="I1316" s="11" t="s">
        <v>20550</v>
      </c>
    </row>
    <row r="1317" spans="1:9" ht="13.15" x14ac:dyDescent="0.4">
      <c r="A1317" s="11" t="s">
        <v>18799</v>
      </c>
      <c r="B1317" s="11" t="s">
        <v>6072</v>
      </c>
      <c r="C1317" s="11" t="s">
        <v>18721</v>
      </c>
      <c r="D1317" s="12">
        <v>41275</v>
      </c>
      <c r="E1317" s="12">
        <v>41275</v>
      </c>
      <c r="F1317" s="11"/>
      <c r="G1317" s="11" t="s">
        <v>279</v>
      </c>
      <c r="H1317" s="11" t="s">
        <v>30</v>
      </c>
      <c r="I1317" s="11" t="s">
        <v>22060</v>
      </c>
    </row>
    <row r="1318" spans="1:9" ht="13.15" x14ac:dyDescent="0.4">
      <c r="A1318" s="11" t="s">
        <v>20094</v>
      </c>
      <c r="B1318" s="11" t="s">
        <v>6072</v>
      </c>
      <c r="C1318" s="11" t="s">
        <v>18721</v>
      </c>
      <c r="D1318" s="12">
        <v>41275</v>
      </c>
      <c r="E1318" s="12">
        <v>41275</v>
      </c>
      <c r="F1318" s="11"/>
      <c r="G1318" s="11" t="s">
        <v>279</v>
      </c>
      <c r="H1318" s="11" t="s">
        <v>30</v>
      </c>
      <c r="I1318" s="11" t="s">
        <v>20765</v>
      </c>
    </row>
    <row r="1319" spans="1:9" ht="13.15" x14ac:dyDescent="0.4">
      <c r="A1319" s="11" t="s">
        <v>18983</v>
      </c>
      <c r="B1319" s="11" t="s">
        <v>6072</v>
      </c>
      <c r="C1319" s="11" t="s">
        <v>18721</v>
      </c>
      <c r="D1319" s="12">
        <v>41275</v>
      </c>
      <c r="E1319" s="12">
        <v>41275</v>
      </c>
      <c r="F1319" s="11"/>
      <c r="G1319" s="11" t="s">
        <v>279</v>
      </c>
      <c r="H1319" s="11" t="s">
        <v>30</v>
      </c>
      <c r="I1319" s="11" t="s">
        <v>21876</v>
      </c>
    </row>
    <row r="1320" spans="1:9" ht="13.15" x14ac:dyDescent="0.4">
      <c r="A1320" s="11" t="s">
        <v>19825</v>
      </c>
      <c r="B1320" s="11" t="s">
        <v>6072</v>
      </c>
      <c r="C1320" s="11" t="s">
        <v>18721</v>
      </c>
      <c r="D1320" s="12">
        <v>41275</v>
      </c>
      <c r="E1320" s="12">
        <v>41275</v>
      </c>
      <c r="F1320" s="11"/>
      <c r="G1320" s="11" t="s">
        <v>279</v>
      </c>
      <c r="H1320" s="11" t="s">
        <v>30</v>
      </c>
      <c r="I1320" s="11" t="s">
        <v>21034</v>
      </c>
    </row>
    <row r="1321" spans="1:9" ht="13.15" x14ac:dyDescent="0.4">
      <c r="A1321" s="11" t="s">
        <v>19296</v>
      </c>
      <c r="B1321" s="11" t="s">
        <v>6072</v>
      </c>
      <c r="C1321" s="11" t="s">
        <v>18721</v>
      </c>
      <c r="D1321" s="12">
        <v>41275</v>
      </c>
      <c r="E1321" s="12">
        <v>41275</v>
      </c>
      <c r="F1321" s="11"/>
      <c r="G1321" s="11" t="s">
        <v>279</v>
      </c>
      <c r="H1321" s="11" t="s">
        <v>30</v>
      </c>
      <c r="I1321" s="11" t="s">
        <v>21563</v>
      </c>
    </row>
    <row r="1322" spans="1:9" ht="13.15" x14ac:dyDescent="0.4">
      <c r="A1322" s="11" t="s">
        <v>19536</v>
      </c>
      <c r="B1322" s="11" t="s">
        <v>6072</v>
      </c>
      <c r="C1322" s="11" t="s">
        <v>18721</v>
      </c>
      <c r="D1322" s="12">
        <v>41275</v>
      </c>
      <c r="E1322" s="12">
        <v>41275</v>
      </c>
      <c r="F1322" s="11"/>
      <c r="G1322" s="11" t="s">
        <v>279</v>
      </c>
      <c r="H1322" s="11" t="s">
        <v>30</v>
      </c>
      <c r="I1322" s="11" t="s">
        <v>21323</v>
      </c>
    </row>
    <row r="1323" spans="1:9" ht="13.15" x14ac:dyDescent="0.4">
      <c r="A1323" s="11" t="s">
        <v>19008</v>
      </c>
      <c r="B1323" s="11" t="s">
        <v>6072</v>
      </c>
      <c r="C1323" s="11" t="s">
        <v>18721</v>
      </c>
      <c r="D1323" s="12">
        <v>41275</v>
      </c>
      <c r="E1323" s="12">
        <v>41275</v>
      </c>
      <c r="F1323" s="11"/>
      <c r="G1323" s="11" t="s">
        <v>279</v>
      </c>
      <c r="H1323" s="11" t="s">
        <v>30</v>
      </c>
      <c r="I1323" s="11" t="s">
        <v>21851</v>
      </c>
    </row>
    <row r="1324" spans="1:9" ht="13.15" x14ac:dyDescent="0.4">
      <c r="A1324" s="11" t="s">
        <v>19503</v>
      </c>
      <c r="B1324" s="11" t="s">
        <v>6072</v>
      </c>
      <c r="C1324" s="11" t="s">
        <v>18721</v>
      </c>
      <c r="D1324" s="12">
        <v>41275</v>
      </c>
      <c r="E1324" s="12">
        <v>41275</v>
      </c>
      <c r="F1324" s="11"/>
      <c r="G1324" s="11" t="s">
        <v>279</v>
      </c>
      <c r="H1324" s="11" t="s">
        <v>30</v>
      </c>
      <c r="I1324" s="11" t="s">
        <v>21356</v>
      </c>
    </row>
    <row r="1325" spans="1:9" ht="13.15" x14ac:dyDescent="0.4">
      <c r="A1325" s="11" t="s">
        <v>19377</v>
      </c>
      <c r="B1325" s="11" t="s">
        <v>6072</v>
      </c>
      <c r="C1325" s="11" t="s">
        <v>18721</v>
      </c>
      <c r="D1325" s="12">
        <v>41275</v>
      </c>
      <c r="E1325" s="12">
        <v>41275</v>
      </c>
      <c r="F1325" s="11"/>
      <c r="G1325" s="11" t="s">
        <v>279</v>
      </c>
      <c r="H1325" s="11" t="s">
        <v>30</v>
      </c>
      <c r="I1325" s="11" t="s">
        <v>21482</v>
      </c>
    </row>
    <row r="1326" spans="1:9" ht="13.15" x14ac:dyDescent="0.4">
      <c r="A1326" s="11" t="s">
        <v>19389</v>
      </c>
      <c r="B1326" s="11" t="s">
        <v>6072</v>
      </c>
      <c r="C1326" s="11" t="s">
        <v>18721</v>
      </c>
      <c r="D1326" s="12">
        <v>41275</v>
      </c>
      <c r="E1326" s="12">
        <v>41275</v>
      </c>
      <c r="F1326" s="11"/>
      <c r="G1326" s="11" t="s">
        <v>279</v>
      </c>
      <c r="H1326" s="11" t="s">
        <v>30</v>
      </c>
      <c r="I1326" s="11" t="s">
        <v>21470</v>
      </c>
    </row>
    <row r="1327" spans="1:9" ht="13.15" x14ac:dyDescent="0.4">
      <c r="A1327" s="11" t="s">
        <v>19487</v>
      </c>
      <c r="B1327" s="11" t="s">
        <v>6072</v>
      </c>
      <c r="C1327" s="11" t="s">
        <v>18721</v>
      </c>
      <c r="D1327" s="12">
        <v>41275</v>
      </c>
      <c r="E1327" s="12">
        <v>41275</v>
      </c>
      <c r="F1327" s="11"/>
      <c r="G1327" s="11" t="s">
        <v>279</v>
      </c>
      <c r="H1327" s="11" t="s">
        <v>30</v>
      </c>
      <c r="I1327" s="11" t="s">
        <v>21372</v>
      </c>
    </row>
    <row r="1328" spans="1:9" ht="13.15" x14ac:dyDescent="0.4">
      <c r="A1328" s="11" t="s">
        <v>19168</v>
      </c>
      <c r="B1328" s="11" t="s">
        <v>6072</v>
      </c>
      <c r="C1328" s="11" t="s">
        <v>18721</v>
      </c>
      <c r="D1328" s="12">
        <v>41275</v>
      </c>
      <c r="E1328" s="12">
        <v>41275</v>
      </c>
      <c r="F1328" s="11"/>
      <c r="G1328" s="11" t="s">
        <v>279</v>
      </c>
      <c r="H1328" s="11" t="s">
        <v>30</v>
      </c>
      <c r="I1328" s="11" t="s">
        <v>21691</v>
      </c>
    </row>
    <row r="1329" spans="1:9" ht="13.15" x14ac:dyDescent="0.4">
      <c r="A1329" s="11" t="s">
        <v>19421</v>
      </c>
      <c r="B1329" s="11" t="s">
        <v>6072</v>
      </c>
      <c r="C1329" s="11" t="s">
        <v>18721</v>
      </c>
      <c r="D1329" s="12">
        <v>41275</v>
      </c>
      <c r="E1329" s="12">
        <v>41275</v>
      </c>
      <c r="F1329" s="11"/>
      <c r="G1329" s="11" t="s">
        <v>279</v>
      </c>
      <c r="H1329" s="11" t="s">
        <v>30</v>
      </c>
      <c r="I1329" s="11" t="s">
        <v>21438</v>
      </c>
    </row>
    <row r="1330" spans="1:9" ht="13.15" x14ac:dyDescent="0.4">
      <c r="A1330" s="11" t="s">
        <v>18971</v>
      </c>
      <c r="B1330" s="11" t="s">
        <v>6072</v>
      </c>
      <c r="C1330" s="11" t="s">
        <v>18721</v>
      </c>
      <c r="D1330" s="12">
        <v>41275</v>
      </c>
      <c r="E1330" s="12">
        <v>41275</v>
      </c>
      <c r="F1330" s="11"/>
      <c r="G1330" s="11" t="s">
        <v>279</v>
      </c>
      <c r="H1330" s="11" t="s">
        <v>30</v>
      </c>
      <c r="I1330" s="11" t="s">
        <v>21888</v>
      </c>
    </row>
    <row r="1331" spans="1:9" ht="13.15" x14ac:dyDescent="0.4">
      <c r="A1331" s="11" t="s">
        <v>19813</v>
      </c>
      <c r="B1331" s="11" t="s">
        <v>6072</v>
      </c>
      <c r="C1331" s="11" t="s">
        <v>18721</v>
      </c>
      <c r="D1331" s="12">
        <v>41275</v>
      </c>
      <c r="E1331" s="12">
        <v>41275</v>
      </c>
      <c r="F1331" s="11"/>
      <c r="G1331" s="11" t="s">
        <v>279</v>
      </c>
      <c r="H1331" s="11" t="s">
        <v>30</v>
      </c>
      <c r="I1331" s="11" t="s">
        <v>21046</v>
      </c>
    </row>
    <row r="1332" spans="1:9" ht="13.15" x14ac:dyDescent="0.4">
      <c r="A1332" s="11" t="s">
        <v>19675</v>
      </c>
      <c r="B1332" s="11" t="s">
        <v>6072</v>
      </c>
      <c r="C1332" s="11" t="s">
        <v>18721</v>
      </c>
      <c r="D1332" s="12">
        <v>41275</v>
      </c>
      <c r="E1332" s="12">
        <v>41275</v>
      </c>
      <c r="F1332" s="11"/>
      <c r="G1332" s="11" t="s">
        <v>279</v>
      </c>
      <c r="H1332" s="11" t="s">
        <v>30</v>
      </c>
      <c r="I1332" s="11" t="s">
        <v>21184</v>
      </c>
    </row>
    <row r="1333" spans="1:9" ht="13.15" x14ac:dyDescent="0.4">
      <c r="A1333" s="11" t="s">
        <v>19798</v>
      </c>
      <c r="B1333" s="11" t="s">
        <v>6072</v>
      </c>
      <c r="C1333" s="11" t="s">
        <v>18721</v>
      </c>
      <c r="D1333" s="12">
        <v>41275</v>
      </c>
      <c r="E1333" s="12">
        <v>41275</v>
      </c>
      <c r="F1333" s="11"/>
      <c r="G1333" s="11" t="s">
        <v>279</v>
      </c>
      <c r="H1333" s="11" t="s">
        <v>30</v>
      </c>
      <c r="I1333" s="11" t="s">
        <v>21061</v>
      </c>
    </row>
    <row r="1334" spans="1:9" ht="13.15" x14ac:dyDescent="0.4">
      <c r="A1334" s="11" t="s">
        <v>18758</v>
      </c>
      <c r="B1334" s="11" t="s">
        <v>6072</v>
      </c>
      <c r="C1334" s="11" t="s">
        <v>18721</v>
      </c>
      <c r="D1334" s="12">
        <v>41275</v>
      </c>
      <c r="E1334" s="12">
        <v>41275</v>
      </c>
      <c r="F1334" s="11"/>
      <c r="G1334" s="11" t="s">
        <v>279</v>
      </c>
      <c r="H1334" s="11" t="s">
        <v>30</v>
      </c>
      <c r="I1334" s="11" t="s">
        <v>22101</v>
      </c>
    </row>
    <row r="1335" spans="1:9" ht="13.15" x14ac:dyDescent="0.4">
      <c r="A1335" s="11" t="s">
        <v>20042</v>
      </c>
      <c r="B1335" s="11" t="s">
        <v>6072</v>
      </c>
      <c r="C1335" s="11" t="s">
        <v>18721</v>
      </c>
      <c r="D1335" s="12">
        <v>41275</v>
      </c>
      <c r="E1335" s="12">
        <v>41275</v>
      </c>
      <c r="F1335" s="11"/>
      <c r="G1335" s="11" t="s">
        <v>279</v>
      </c>
      <c r="H1335" s="11" t="s">
        <v>30</v>
      </c>
      <c r="I1335" s="11" t="s">
        <v>20817</v>
      </c>
    </row>
    <row r="1336" spans="1:9" ht="13.15" x14ac:dyDescent="0.4">
      <c r="A1336" s="11" t="s">
        <v>19939</v>
      </c>
      <c r="B1336" s="11" t="s">
        <v>6072</v>
      </c>
      <c r="C1336" s="11" t="s">
        <v>18721</v>
      </c>
      <c r="D1336" s="12">
        <v>41275</v>
      </c>
      <c r="E1336" s="12">
        <v>41275</v>
      </c>
      <c r="F1336" s="11"/>
      <c r="G1336" s="11" t="s">
        <v>279</v>
      </c>
      <c r="H1336" s="11" t="s">
        <v>30</v>
      </c>
      <c r="I1336" s="11" t="s">
        <v>20920</v>
      </c>
    </row>
    <row r="1337" spans="1:9" ht="13.15" x14ac:dyDescent="0.4">
      <c r="A1337" s="11" t="s">
        <v>18740</v>
      </c>
      <c r="B1337" s="11" t="s">
        <v>6072</v>
      </c>
      <c r="C1337" s="11" t="s">
        <v>18721</v>
      </c>
      <c r="D1337" s="12">
        <v>41275</v>
      </c>
      <c r="E1337" s="12">
        <v>41275</v>
      </c>
      <c r="F1337" s="11"/>
      <c r="G1337" s="11" t="s">
        <v>279</v>
      </c>
      <c r="H1337" s="11" t="s">
        <v>30</v>
      </c>
      <c r="I1337" s="11" t="s">
        <v>22119</v>
      </c>
    </row>
    <row r="1338" spans="1:9" ht="13.15" x14ac:dyDescent="0.4">
      <c r="A1338" s="11" t="s">
        <v>19289</v>
      </c>
      <c r="B1338" s="11" t="s">
        <v>6072</v>
      </c>
      <c r="C1338" s="11" t="s">
        <v>18721</v>
      </c>
      <c r="D1338" s="12">
        <v>41275</v>
      </c>
      <c r="E1338" s="12">
        <v>41275</v>
      </c>
      <c r="F1338" s="11"/>
      <c r="G1338" s="11" t="s">
        <v>279</v>
      </c>
      <c r="H1338" s="11" t="s">
        <v>30</v>
      </c>
      <c r="I1338" s="11" t="s">
        <v>21570</v>
      </c>
    </row>
    <row r="1339" spans="1:9" ht="13.15" x14ac:dyDescent="0.4">
      <c r="A1339" s="11" t="s">
        <v>19918</v>
      </c>
      <c r="B1339" s="11" t="s">
        <v>6072</v>
      </c>
      <c r="C1339" s="11" t="s">
        <v>18721</v>
      </c>
      <c r="D1339" s="12">
        <v>41275</v>
      </c>
      <c r="E1339" s="12">
        <v>41275</v>
      </c>
      <c r="F1339" s="11"/>
      <c r="G1339" s="11" t="s">
        <v>279</v>
      </c>
      <c r="H1339" s="11" t="s">
        <v>30</v>
      </c>
      <c r="I1339" s="11" t="s">
        <v>20941</v>
      </c>
    </row>
    <row r="1340" spans="1:9" ht="13.15" x14ac:dyDescent="0.4">
      <c r="A1340" s="11" t="s">
        <v>20131</v>
      </c>
      <c r="B1340" s="11" t="s">
        <v>6072</v>
      </c>
      <c r="C1340" s="11" t="s">
        <v>18721</v>
      </c>
      <c r="D1340" s="12">
        <v>41275</v>
      </c>
      <c r="E1340" s="12">
        <v>41275</v>
      </c>
      <c r="F1340" s="11"/>
      <c r="G1340" s="11" t="s">
        <v>279</v>
      </c>
      <c r="H1340" s="11" t="s">
        <v>30</v>
      </c>
      <c r="I1340" s="11" t="s">
        <v>20728</v>
      </c>
    </row>
    <row r="1341" spans="1:9" ht="13.15" x14ac:dyDescent="0.4">
      <c r="A1341" s="11" t="s">
        <v>19930</v>
      </c>
      <c r="B1341" s="11" t="s">
        <v>6072</v>
      </c>
      <c r="C1341" s="11" t="s">
        <v>18721</v>
      </c>
      <c r="D1341" s="12">
        <v>41275</v>
      </c>
      <c r="E1341" s="12">
        <v>41275</v>
      </c>
      <c r="F1341" s="11"/>
      <c r="G1341" s="11" t="s">
        <v>279</v>
      </c>
      <c r="H1341" s="11" t="s">
        <v>30</v>
      </c>
      <c r="I1341" s="11" t="s">
        <v>20929</v>
      </c>
    </row>
    <row r="1342" spans="1:9" ht="13.15" x14ac:dyDescent="0.4">
      <c r="A1342" s="11" t="s">
        <v>19960</v>
      </c>
      <c r="B1342" s="11" t="s">
        <v>6072</v>
      </c>
      <c r="C1342" s="11" t="s">
        <v>18721</v>
      </c>
      <c r="D1342" s="12">
        <v>41275</v>
      </c>
      <c r="E1342" s="12">
        <v>41275</v>
      </c>
      <c r="F1342" s="11"/>
      <c r="G1342" s="11" t="s">
        <v>279</v>
      </c>
      <c r="H1342" s="11" t="s">
        <v>30</v>
      </c>
      <c r="I1342" s="11" t="s">
        <v>20899</v>
      </c>
    </row>
    <row r="1343" spans="1:9" ht="13.15" x14ac:dyDescent="0.4">
      <c r="A1343" s="11" t="s">
        <v>19710</v>
      </c>
      <c r="B1343" s="11" t="s">
        <v>6072</v>
      </c>
      <c r="C1343" s="11" t="s">
        <v>18721</v>
      </c>
      <c r="D1343" s="12">
        <v>41275</v>
      </c>
      <c r="E1343" s="12">
        <v>41275</v>
      </c>
      <c r="F1343" s="11"/>
      <c r="G1343" s="11" t="s">
        <v>279</v>
      </c>
      <c r="H1343" s="11" t="s">
        <v>30</v>
      </c>
      <c r="I1343" s="11" t="s">
        <v>21149</v>
      </c>
    </row>
    <row r="1344" spans="1:9" ht="13.15" x14ac:dyDescent="0.4">
      <c r="A1344" s="11" t="s">
        <v>18910</v>
      </c>
      <c r="B1344" s="11" t="s">
        <v>6072</v>
      </c>
      <c r="C1344" s="11" t="s">
        <v>18721</v>
      </c>
      <c r="D1344" s="12">
        <v>41275</v>
      </c>
      <c r="E1344" s="12">
        <v>41275</v>
      </c>
      <c r="F1344" s="11"/>
      <c r="G1344" s="11" t="s">
        <v>279</v>
      </c>
      <c r="H1344" s="11" t="s">
        <v>30</v>
      </c>
      <c r="I1344" s="11" t="s">
        <v>21949</v>
      </c>
    </row>
    <row r="1345" spans="1:9" ht="13.15" x14ac:dyDescent="0.4">
      <c r="A1345" s="11" t="s">
        <v>19773</v>
      </c>
      <c r="B1345" s="11" t="s">
        <v>6072</v>
      </c>
      <c r="C1345" s="11" t="s">
        <v>18721</v>
      </c>
      <c r="D1345" s="12">
        <v>41275</v>
      </c>
      <c r="E1345" s="12">
        <v>41275</v>
      </c>
      <c r="F1345" s="11"/>
      <c r="G1345" s="11" t="s">
        <v>279</v>
      </c>
      <c r="H1345" s="11" t="s">
        <v>30</v>
      </c>
      <c r="I1345" s="11" t="s">
        <v>21086</v>
      </c>
    </row>
    <row r="1346" spans="1:9" ht="13.15" x14ac:dyDescent="0.4">
      <c r="A1346" s="11" t="s">
        <v>18964</v>
      </c>
      <c r="B1346" s="11" t="s">
        <v>6072</v>
      </c>
      <c r="C1346" s="11" t="s">
        <v>18721</v>
      </c>
      <c r="D1346" s="12">
        <v>41275</v>
      </c>
      <c r="E1346" s="12">
        <v>41275</v>
      </c>
      <c r="F1346" s="11"/>
      <c r="G1346" s="11" t="s">
        <v>279</v>
      </c>
      <c r="H1346" s="11" t="s">
        <v>30</v>
      </c>
      <c r="I1346" s="11" t="s">
        <v>21895</v>
      </c>
    </row>
    <row r="1347" spans="1:9" ht="13.15" x14ac:dyDescent="0.4">
      <c r="A1347" s="11" t="s">
        <v>20238</v>
      </c>
      <c r="B1347" s="11" t="s">
        <v>6072</v>
      </c>
      <c r="C1347" s="11" t="s">
        <v>18721</v>
      </c>
      <c r="D1347" s="12">
        <v>41275</v>
      </c>
      <c r="E1347" s="12">
        <v>41275</v>
      </c>
      <c r="F1347" s="11"/>
      <c r="G1347" s="11" t="s">
        <v>279</v>
      </c>
      <c r="H1347" s="11" t="s">
        <v>30</v>
      </c>
      <c r="I1347" s="11" t="s">
        <v>20621</v>
      </c>
    </row>
    <row r="1348" spans="1:9" ht="13.15" x14ac:dyDescent="0.4">
      <c r="A1348" s="11" t="s">
        <v>19746</v>
      </c>
      <c r="B1348" s="11" t="s">
        <v>6072</v>
      </c>
      <c r="C1348" s="11" t="s">
        <v>18721</v>
      </c>
      <c r="D1348" s="12">
        <v>41640</v>
      </c>
      <c r="E1348" s="12">
        <v>41640</v>
      </c>
      <c r="F1348" s="11"/>
      <c r="G1348" s="11" t="s">
        <v>279</v>
      </c>
      <c r="H1348" s="11" t="s">
        <v>30</v>
      </c>
      <c r="I1348" s="11" t="s">
        <v>21113</v>
      </c>
    </row>
    <row r="1349" spans="1:9" ht="13.15" x14ac:dyDescent="0.4">
      <c r="A1349" s="11" t="s">
        <v>19875</v>
      </c>
      <c r="B1349" s="11" t="s">
        <v>6072</v>
      </c>
      <c r="C1349" s="11" t="s">
        <v>18721</v>
      </c>
      <c r="D1349" s="12">
        <v>41640</v>
      </c>
      <c r="E1349" s="12">
        <v>41640</v>
      </c>
      <c r="F1349" s="11"/>
      <c r="G1349" s="11" t="s">
        <v>279</v>
      </c>
      <c r="H1349" s="11" t="s">
        <v>30</v>
      </c>
      <c r="I1349" s="11" t="s">
        <v>20984</v>
      </c>
    </row>
    <row r="1350" spans="1:9" ht="13.15" x14ac:dyDescent="0.4">
      <c r="A1350" s="11" t="s">
        <v>18954</v>
      </c>
      <c r="B1350" s="11" t="s">
        <v>6072</v>
      </c>
      <c r="C1350" s="11" t="s">
        <v>18721</v>
      </c>
      <c r="D1350" s="12">
        <v>41640</v>
      </c>
      <c r="E1350" s="12">
        <v>41640</v>
      </c>
      <c r="F1350" s="11"/>
      <c r="G1350" s="11" t="s">
        <v>279</v>
      </c>
      <c r="H1350" s="11" t="s">
        <v>30</v>
      </c>
      <c r="I1350" s="11" t="s">
        <v>21905</v>
      </c>
    </row>
    <row r="1351" spans="1:9" ht="13.15" x14ac:dyDescent="0.4">
      <c r="A1351" s="11" t="s">
        <v>20181</v>
      </c>
      <c r="B1351" s="11" t="s">
        <v>6072</v>
      </c>
      <c r="C1351" s="11" t="s">
        <v>18721</v>
      </c>
      <c r="D1351" s="12">
        <v>41640</v>
      </c>
      <c r="E1351" s="12">
        <v>41640</v>
      </c>
      <c r="F1351" s="11"/>
      <c r="G1351" s="11" t="s">
        <v>279</v>
      </c>
      <c r="H1351" s="11" t="s">
        <v>30</v>
      </c>
      <c r="I1351" s="11" t="s">
        <v>20678</v>
      </c>
    </row>
    <row r="1352" spans="1:9" ht="13.15" x14ac:dyDescent="0.4">
      <c r="A1352" s="11" t="s">
        <v>20007</v>
      </c>
      <c r="B1352" s="11" t="s">
        <v>6072</v>
      </c>
      <c r="C1352" s="11" t="s">
        <v>18721</v>
      </c>
      <c r="D1352" s="12">
        <v>41640</v>
      </c>
      <c r="E1352" s="12">
        <v>41640</v>
      </c>
      <c r="F1352" s="11"/>
      <c r="G1352" s="11" t="s">
        <v>279</v>
      </c>
      <c r="H1352" s="11" t="s">
        <v>30</v>
      </c>
      <c r="I1352" s="11" t="s">
        <v>20852</v>
      </c>
    </row>
    <row r="1353" spans="1:9" ht="13.15" x14ac:dyDescent="0.4">
      <c r="A1353" s="11" t="s">
        <v>19486</v>
      </c>
      <c r="B1353" s="11" t="s">
        <v>6072</v>
      </c>
      <c r="C1353" s="11" t="s">
        <v>18721</v>
      </c>
      <c r="D1353" s="12">
        <v>41275</v>
      </c>
      <c r="E1353" s="12">
        <v>41275</v>
      </c>
      <c r="F1353" s="11"/>
      <c r="G1353" s="11" t="s">
        <v>279</v>
      </c>
      <c r="H1353" s="11" t="s">
        <v>30</v>
      </c>
      <c r="I1353" s="11" t="s">
        <v>21373</v>
      </c>
    </row>
    <row r="1354" spans="1:9" ht="13.15" x14ac:dyDescent="0.4">
      <c r="A1354" s="11" t="s">
        <v>19721</v>
      </c>
      <c r="B1354" s="11" t="s">
        <v>6072</v>
      </c>
      <c r="C1354" s="11" t="s">
        <v>18721</v>
      </c>
      <c r="D1354" s="12">
        <v>41275</v>
      </c>
      <c r="E1354" s="12">
        <v>41275</v>
      </c>
      <c r="F1354" s="11"/>
      <c r="G1354" s="11" t="s">
        <v>279</v>
      </c>
      <c r="H1354" s="11" t="s">
        <v>30</v>
      </c>
      <c r="I1354" s="11" t="s">
        <v>21138</v>
      </c>
    </row>
    <row r="1355" spans="1:9" ht="13.15" x14ac:dyDescent="0.4">
      <c r="A1355" s="11" t="s">
        <v>19811</v>
      </c>
      <c r="B1355" s="11" t="s">
        <v>6072</v>
      </c>
      <c r="C1355" s="11" t="s">
        <v>18721</v>
      </c>
      <c r="D1355" s="12">
        <v>41640</v>
      </c>
      <c r="E1355" s="12">
        <v>41640</v>
      </c>
      <c r="F1355" s="11"/>
      <c r="G1355" s="11" t="s">
        <v>279</v>
      </c>
      <c r="H1355" s="11" t="s">
        <v>30</v>
      </c>
      <c r="I1355" s="11" t="s">
        <v>21048</v>
      </c>
    </row>
    <row r="1356" spans="1:9" ht="13.15" x14ac:dyDescent="0.4">
      <c r="A1356" s="11" t="s">
        <v>19739</v>
      </c>
      <c r="B1356" s="11" t="s">
        <v>6072</v>
      </c>
      <c r="C1356" s="11" t="s">
        <v>18721</v>
      </c>
      <c r="D1356" s="12">
        <v>41640</v>
      </c>
      <c r="E1356" s="12">
        <v>41640</v>
      </c>
      <c r="F1356" s="11"/>
      <c r="G1356" s="11" t="s">
        <v>279</v>
      </c>
      <c r="H1356" s="11" t="s">
        <v>30</v>
      </c>
      <c r="I1356" s="11" t="s">
        <v>21120</v>
      </c>
    </row>
    <row r="1357" spans="1:9" ht="13.15" x14ac:dyDescent="0.4">
      <c r="A1357" s="11" t="s">
        <v>19038</v>
      </c>
      <c r="B1357" s="11" t="s">
        <v>6072</v>
      </c>
      <c r="C1357" s="11" t="s">
        <v>18721</v>
      </c>
      <c r="D1357" s="12">
        <v>41640</v>
      </c>
      <c r="E1357" s="12">
        <v>41640</v>
      </c>
      <c r="F1357" s="11"/>
      <c r="G1357" s="11" t="s">
        <v>279</v>
      </c>
      <c r="H1357" s="11" t="s">
        <v>30</v>
      </c>
      <c r="I1357" s="11" t="s">
        <v>21821</v>
      </c>
    </row>
    <row r="1358" spans="1:9" ht="13.15" x14ac:dyDescent="0.4">
      <c r="A1358" s="11" t="s">
        <v>19034</v>
      </c>
      <c r="B1358" s="11" t="s">
        <v>6072</v>
      </c>
      <c r="C1358" s="11" t="s">
        <v>18721</v>
      </c>
      <c r="D1358" s="12">
        <v>41640</v>
      </c>
      <c r="E1358" s="12">
        <v>41640</v>
      </c>
      <c r="F1358" s="11"/>
      <c r="G1358" s="11" t="s">
        <v>279</v>
      </c>
      <c r="H1358" s="11" t="s">
        <v>30</v>
      </c>
      <c r="I1358" s="11" t="s">
        <v>21825</v>
      </c>
    </row>
    <row r="1359" spans="1:9" ht="13.15" x14ac:dyDescent="0.4">
      <c r="A1359" s="11" t="s">
        <v>20313</v>
      </c>
      <c r="B1359" s="11" t="s">
        <v>6072</v>
      </c>
      <c r="C1359" s="11" t="s">
        <v>18721</v>
      </c>
      <c r="D1359" s="12">
        <v>41640</v>
      </c>
      <c r="E1359" s="12">
        <v>41640</v>
      </c>
      <c r="F1359" s="11"/>
      <c r="G1359" s="11" t="s">
        <v>279</v>
      </c>
      <c r="H1359" s="11" t="s">
        <v>30</v>
      </c>
      <c r="I1359" s="11" t="s">
        <v>20546</v>
      </c>
    </row>
    <row r="1360" spans="1:9" ht="13.15" x14ac:dyDescent="0.4">
      <c r="A1360" s="11" t="s">
        <v>20221</v>
      </c>
      <c r="B1360" s="11" t="s">
        <v>6072</v>
      </c>
      <c r="C1360" s="11" t="s">
        <v>18721</v>
      </c>
      <c r="D1360" s="12">
        <v>41640</v>
      </c>
      <c r="E1360" s="12">
        <v>41640</v>
      </c>
      <c r="F1360" s="11"/>
      <c r="G1360" s="11" t="s">
        <v>279</v>
      </c>
      <c r="H1360" s="11" t="s">
        <v>30</v>
      </c>
      <c r="I1360" s="11" t="s">
        <v>20638</v>
      </c>
    </row>
    <row r="1361" spans="1:9" ht="13.15" x14ac:dyDescent="0.4">
      <c r="A1361" s="11" t="s">
        <v>19568</v>
      </c>
      <c r="B1361" s="11" t="s">
        <v>6072</v>
      </c>
      <c r="C1361" s="11" t="s">
        <v>18721</v>
      </c>
      <c r="D1361" s="12">
        <v>41640</v>
      </c>
      <c r="E1361" s="12">
        <v>41640</v>
      </c>
      <c r="F1361" s="11"/>
      <c r="G1361" s="11" t="s">
        <v>279</v>
      </c>
      <c r="H1361" s="11" t="s">
        <v>30</v>
      </c>
      <c r="I1361" s="11" t="s">
        <v>21291</v>
      </c>
    </row>
    <row r="1362" spans="1:9" ht="13.15" x14ac:dyDescent="0.4">
      <c r="A1362" s="11" t="s">
        <v>19213</v>
      </c>
      <c r="B1362" s="11" t="s">
        <v>6072</v>
      </c>
      <c r="C1362" s="11" t="s">
        <v>18721</v>
      </c>
      <c r="D1362" s="12">
        <v>41640</v>
      </c>
      <c r="E1362" s="12">
        <v>41640</v>
      </c>
      <c r="F1362" s="11"/>
      <c r="G1362" s="11" t="s">
        <v>279</v>
      </c>
      <c r="H1362" s="11" t="s">
        <v>30</v>
      </c>
      <c r="I1362" s="11" t="s">
        <v>21646</v>
      </c>
    </row>
    <row r="1363" spans="1:9" ht="13.15" x14ac:dyDescent="0.4">
      <c r="A1363" s="11" t="s">
        <v>19103</v>
      </c>
      <c r="B1363" s="11" t="s">
        <v>6072</v>
      </c>
      <c r="C1363" s="11" t="s">
        <v>18721</v>
      </c>
      <c r="D1363" s="12">
        <v>41275</v>
      </c>
      <c r="E1363" s="12">
        <v>41275</v>
      </c>
      <c r="F1363" s="11"/>
      <c r="G1363" s="11" t="s">
        <v>279</v>
      </c>
      <c r="H1363" s="11" t="s">
        <v>30</v>
      </c>
      <c r="I1363" s="11" t="s">
        <v>21756</v>
      </c>
    </row>
    <row r="1364" spans="1:9" ht="13.15" x14ac:dyDescent="0.4">
      <c r="A1364" s="11" t="s">
        <v>19637</v>
      </c>
      <c r="B1364" s="11" t="s">
        <v>6072</v>
      </c>
      <c r="C1364" s="11" t="s">
        <v>18721</v>
      </c>
      <c r="D1364" s="12">
        <v>41640</v>
      </c>
      <c r="E1364" s="12">
        <v>41640</v>
      </c>
      <c r="F1364" s="11"/>
      <c r="G1364" s="11" t="s">
        <v>279</v>
      </c>
      <c r="H1364" s="11" t="s">
        <v>30</v>
      </c>
      <c r="I1364" s="11" t="s">
        <v>21222</v>
      </c>
    </row>
    <row r="1365" spans="1:9" ht="13.15" x14ac:dyDescent="0.4">
      <c r="A1365" s="11" t="s">
        <v>19224</v>
      </c>
      <c r="B1365" s="11" t="s">
        <v>6072</v>
      </c>
      <c r="C1365" s="11" t="s">
        <v>18721</v>
      </c>
      <c r="D1365" s="12">
        <v>41640</v>
      </c>
      <c r="E1365" s="12">
        <v>41640</v>
      </c>
      <c r="F1365" s="11"/>
      <c r="G1365" s="11" t="s">
        <v>279</v>
      </c>
      <c r="H1365" s="11" t="s">
        <v>30</v>
      </c>
      <c r="I1365" s="11" t="s">
        <v>21635</v>
      </c>
    </row>
    <row r="1366" spans="1:9" ht="13.15" x14ac:dyDescent="0.4">
      <c r="A1366" s="11" t="s">
        <v>20029</v>
      </c>
      <c r="B1366" s="11" t="s">
        <v>6072</v>
      </c>
      <c r="C1366" s="11" t="s">
        <v>18721</v>
      </c>
      <c r="D1366" s="12">
        <v>41640</v>
      </c>
      <c r="E1366" s="12">
        <v>41640</v>
      </c>
      <c r="F1366" s="11"/>
      <c r="G1366" s="11" t="s">
        <v>279</v>
      </c>
      <c r="H1366" s="11" t="s">
        <v>30</v>
      </c>
      <c r="I1366" s="11" t="s">
        <v>20830</v>
      </c>
    </row>
    <row r="1367" spans="1:9" ht="13.15" x14ac:dyDescent="0.4">
      <c r="A1367" s="11" t="s">
        <v>19800</v>
      </c>
      <c r="B1367" s="11" t="s">
        <v>6072</v>
      </c>
      <c r="C1367" s="11" t="s">
        <v>18721</v>
      </c>
      <c r="D1367" s="12">
        <v>41640</v>
      </c>
      <c r="E1367" s="12">
        <v>41640</v>
      </c>
      <c r="F1367" s="11"/>
      <c r="G1367" s="11" t="s">
        <v>279</v>
      </c>
      <c r="H1367" s="11" t="s">
        <v>30</v>
      </c>
      <c r="I1367" s="11" t="s">
        <v>21059</v>
      </c>
    </row>
    <row r="1368" spans="1:9" ht="13.15" x14ac:dyDescent="0.4">
      <c r="A1368" s="11" t="s">
        <v>20091</v>
      </c>
      <c r="B1368" s="11" t="s">
        <v>6072</v>
      </c>
      <c r="C1368" s="11" t="s">
        <v>18721</v>
      </c>
      <c r="D1368" s="12">
        <v>41275</v>
      </c>
      <c r="E1368" s="12">
        <v>41275</v>
      </c>
      <c r="F1368" s="11"/>
      <c r="G1368" s="11" t="s">
        <v>279</v>
      </c>
      <c r="H1368" s="11" t="s">
        <v>30</v>
      </c>
      <c r="I1368" s="11" t="s">
        <v>20768</v>
      </c>
    </row>
    <row r="1369" spans="1:9" ht="13.15" x14ac:dyDescent="0.4">
      <c r="A1369" s="11" t="s">
        <v>19921</v>
      </c>
      <c r="B1369" s="11" t="s">
        <v>6072</v>
      </c>
      <c r="C1369" s="11" t="s">
        <v>18721</v>
      </c>
      <c r="D1369" s="12">
        <v>41275</v>
      </c>
      <c r="E1369" s="12">
        <v>41275</v>
      </c>
      <c r="F1369" s="11"/>
      <c r="G1369" s="11" t="s">
        <v>279</v>
      </c>
      <c r="H1369" s="11" t="s">
        <v>30</v>
      </c>
      <c r="I1369" s="11" t="s">
        <v>20938</v>
      </c>
    </row>
    <row r="1370" spans="1:9" ht="13.15" x14ac:dyDescent="0.4">
      <c r="A1370" s="11" t="s">
        <v>20393</v>
      </c>
      <c r="B1370" s="11" t="s">
        <v>6072</v>
      </c>
      <c r="C1370" s="11" t="s">
        <v>18721</v>
      </c>
      <c r="D1370" s="12">
        <v>41275</v>
      </c>
      <c r="E1370" s="12">
        <v>41275</v>
      </c>
      <c r="F1370" s="11"/>
      <c r="G1370" s="11" t="s">
        <v>279</v>
      </c>
      <c r="H1370" s="11" t="s">
        <v>30</v>
      </c>
      <c r="I1370" s="11" t="s">
        <v>20466</v>
      </c>
    </row>
    <row r="1371" spans="1:9" ht="13.15" x14ac:dyDescent="0.4">
      <c r="A1371" s="11" t="s">
        <v>20129</v>
      </c>
      <c r="B1371" s="11" t="s">
        <v>6072</v>
      </c>
      <c r="C1371" s="11" t="s">
        <v>18721</v>
      </c>
      <c r="D1371" s="12">
        <v>41640</v>
      </c>
      <c r="E1371" s="12">
        <v>41640</v>
      </c>
      <c r="F1371" s="11"/>
      <c r="G1371" s="11" t="s">
        <v>279</v>
      </c>
      <c r="H1371" s="11" t="s">
        <v>30</v>
      </c>
      <c r="I1371" s="11" t="s">
        <v>20730</v>
      </c>
    </row>
    <row r="1372" spans="1:9" ht="13.15" x14ac:dyDescent="0.4">
      <c r="A1372" s="11" t="s">
        <v>19165</v>
      </c>
      <c r="B1372" s="11" t="s">
        <v>6073</v>
      </c>
      <c r="C1372" s="11" t="s">
        <v>18721</v>
      </c>
      <c r="D1372" s="12">
        <v>41275</v>
      </c>
      <c r="E1372" s="12">
        <v>41275</v>
      </c>
      <c r="F1372" s="11"/>
      <c r="G1372" s="11" t="s">
        <v>279</v>
      </c>
      <c r="H1372" s="11" t="s">
        <v>30</v>
      </c>
      <c r="I1372" s="11" t="s">
        <v>21694</v>
      </c>
    </row>
    <row r="1373" spans="1:9" ht="13.15" x14ac:dyDescent="0.4">
      <c r="A1373" s="11" t="s">
        <v>18839</v>
      </c>
      <c r="B1373" s="11" t="s">
        <v>6073</v>
      </c>
      <c r="C1373" s="11" t="s">
        <v>18721</v>
      </c>
      <c r="D1373" s="12">
        <v>41275</v>
      </c>
      <c r="E1373" s="12">
        <v>41275</v>
      </c>
      <c r="F1373" s="11"/>
      <c r="G1373" s="11" t="s">
        <v>279</v>
      </c>
      <c r="H1373" s="11" t="s">
        <v>30</v>
      </c>
      <c r="I1373" s="11" t="s">
        <v>22020</v>
      </c>
    </row>
    <row r="1374" spans="1:9" ht="13.15" x14ac:dyDescent="0.4">
      <c r="A1374" s="11" t="s">
        <v>19653</v>
      </c>
      <c r="B1374" s="11" t="s">
        <v>6073</v>
      </c>
      <c r="C1374" s="11" t="s">
        <v>18721</v>
      </c>
      <c r="D1374" s="12">
        <v>41275</v>
      </c>
      <c r="E1374" s="12">
        <v>41275</v>
      </c>
      <c r="F1374" s="11"/>
      <c r="G1374" s="11" t="s">
        <v>279</v>
      </c>
      <c r="H1374" s="11" t="s">
        <v>30</v>
      </c>
      <c r="I1374" s="11" t="s">
        <v>21206</v>
      </c>
    </row>
    <row r="1375" spans="1:9" ht="13.15" x14ac:dyDescent="0.4">
      <c r="A1375" s="11" t="s">
        <v>19940</v>
      </c>
      <c r="B1375" s="11" t="s">
        <v>6073</v>
      </c>
      <c r="C1375" s="11" t="s">
        <v>18721</v>
      </c>
      <c r="D1375" s="12">
        <v>41275</v>
      </c>
      <c r="E1375" s="12">
        <v>41275</v>
      </c>
      <c r="F1375" s="11"/>
      <c r="G1375" s="11" t="s">
        <v>279</v>
      </c>
      <c r="H1375" s="11" t="s">
        <v>30</v>
      </c>
      <c r="I1375" s="11" t="s">
        <v>20919</v>
      </c>
    </row>
    <row r="1376" spans="1:9" ht="13.15" x14ac:dyDescent="0.4">
      <c r="A1376" s="11" t="s">
        <v>20001</v>
      </c>
      <c r="B1376" s="11" t="s">
        <v>6073</v>
      </c>
      <c r="C1376" s="11" t="s">
        <v>18721</v>
      </c>
      <c r="D1376" s="12">
        <v>41275</v>
      </c>
      <c r="E1376" s="12">
        <v>41275</v>
      </c>
      <c r="F1376" s="11"/>
      <c r="G1376" s="11" t="s">
        <v>279</v>
      </c>
      <c r="H1376" s="11" t="s">
        <v>30</v>
      </c>
      <c r="I1376" s="11" t="s">
        <v>20858</v>
      </c>
    </row>
    <row r="1377" spans="1:9" ht="13.15" x14ac:dyDescent="0.4">
      <c r="A1377" s="11" t="s">
        <v>19885</v>
      </c>
      <c r="B1377" s="11" t="s">
        <v>6073</v>
      </c>
      <c r="C1377" s="11" t="s">
        <v>18721</v>
      </c>
      <c r="D1377" s="12">
        <v>41275</v>
      </c>
      <c r="E1377" s="12">
        <v>41275</v>
      </c>
      <c r="F1377" s="11"/>
      <c r="G1377" s="11" t="s">
        <v>279</v>
      </c>
      <c r="H1377" s="11" t="s">
        <v>30</v>
      </c>
      <c r="I1377" s="11" t="s">
        <v>20974</v>
      </c>
    </row>
    <row r="1378" spans="1:9" ht="13.15" x14ac:dyDescent="0.4">
      <c r="A1378" s="11" t="s">
        <v>19374</v>
      </c>
      <c r="B1378" s="11" t="s">
        <v>6073</v>
      </c>
      <c r="C1378" s="11" t="s">
        <v>18721</v>
      </c>
      <c r="D1378" s="12">
        <v>41275</v>
      </c>
      <c r="E1378" s="12">
        <v>41275</v>
      </c>
      <c r="F1378" s="11"/>
      <c r="G1378" s="11" t="s">
        <v>279</v>
      </c>
      <c r="H1378" s="11" t="s">
        <v>30</v>
      </c>
      <c r="I1378" s="11" t="s">
        <v>21485</v>
      </c>
    </row>
    <row r="1379" spans="1:9" ht="13.15" x14ac:dyDescent="0.4">
      <c r="A1379" s="11" t="s">
        <v>20217</v>
      </c>
      <c r="B1379" s="11" t="s">
        <v>6073</v>
      </c>
      <c r="C1379" s="11" t="s">
        <v>18721</v>
      </c>
      <c r="D1379" s="12">
        <v>40909</v>
      </c>
      <c r="E1379" s="12">
        <v>40909</v>
      </c>
      <c r="F1379" s="11"/>
      <c r="G1379" s="11" t="s">
        <v>279</v>
      </c>
      <c r="H1379" s="11" t="s">
        <v>30</v>
      </c>
      <c r="I1379" s="11" t="s">
        <v>20642</v>
      </c>
    </row>
    <row r="1380" spans="1:9" ht="13.15" x14ac:dyDescent="0.4">
      <c r="A1380" s="11" t="s">
        <v>20427</v>
      </c>
      <c r="B1380" s="11" t="s">
        <v>6073</v>
      </c>
      <c r="C1380" s="11" t="s">
        <v>18721</v>
      </c>
      <c r="D1380" s="12">
        <v>40909</v>
      </c>
      <c r="E1380" s="12">
        <v>40909</v>
      </c>
      <c r="F1380" s="11"/>
      <c r="G1380" s="11" t="s">
        <v>279</v>
      </c>
      <c r="H1380" s="11" t="s">
        <v>30</v>
      </c>
      <c r="I1380" s="11" t="s">
        <v>20432</v>
      </c>
    </row>
    <row r="1381" spans="1:9" ht="13.15" x14ac:dyDescent="0.4">
      <c r="A1381" s="11" t="s">
        <v>19113</v>
      </c>
      <c r="B1381" s="11" t="s">
        <v>6073</v>
      </c>
      <c r="C1381" s="11" t="s">
        <v>18721</v>
      </c>
      <c r="D1381" s="12">
        <v>40909</v>
      </c>
      <c r="E1381" s="12">
        <v>40909</v>
      </c>
      <c r="F1381" s="11"/>
      <c r="G1381" s="11" t="s">
        <v>279</v>
      </c>
      <c r="H1381" s="11" t="s">
        <v>30</v>
      </c>
      <c r="I1381" s="11" t="s">
        <v>21746</v>
      </c>
    </row>
    <row r="1382" spans="1:9" ht="13.15" x14ac:dyDescent="0.4">
      <c r="A1382" s="11" t="s">
        <v>19207</v>
      </c>
      <c r="B1382" s="11" t="s">
        <v>6073</v>
      </c>
      <c r="C1382" s="11" t="s">
        <v>18721</v>
      </c>
      <c r="D1382" s="12">
        <v>40909</v>
      </c>
      <c r="E1382" s="12">
        <v>40909</v>
      </c>
      <c r="F1382" s="11"/>
      <c r="G1382" s="11" t="s">
        <v>279</v>
      </c>
      <c r="H1382" s="11" t="s">
        <v>30</v>
      </c>
      <c r="I1382" s="11" t="s">
        <v>21652</v>
      </c>
    </row>
    <row r="1383" spans="1:9" ht="13.15" x14ac:dyDescent="0.4">
      <c r="A1383" s="11" t="s">
        <v>19151</v>
      </c>
      <c r="B1383" s="11" t="s">
        <v>6073</v>
      </c>
      <c r="C1383" s="11" t="s">
        <v>18721</v>
      </c>
      <c r="D1383" s="12">
        <v>40909</v>
      </c>
      <c r="E1383" s="12">
        <v>40909</v>
      </c>
      <c r="F1383" s="11"/>
      <c r="G1383" s="11" t="s">
        <v>279</v>
      </c>
      <c r="H1383" s="11" t="s">
        <v>30</v>
      </c>
      <c r="I1383" s="11" t="s">
        <v>21708</v>
      </c>
    </row>
    <row r="1384" spans="1:9" ht="13.15" x14ac:dyDescent="0.4">
      <c r="A1384" s="11" t="s">
        <v>18881</v>
      </c>
      <c r="B1384" s="11" t="s">
        <v>6073</v>
      </c>
      <c r="C1384" s="11" t="s">
        <v>18721</v>
      </c>
      <c r="D1384" s="12">
        <v>40909</v>
      </c>
      <c r="E1384" s="12">
        <v>40909</v>
      </c>
      <c r="F1384" s="11"/>
      <c r="G1384" s="11" t="s">
        <v>279</v>
      </c>
      <c r="H1384" s="11" t="s">
        <v>30</v>
      </c>
      <c r="I1384" s="11" t="s">
        <v>21978</v>
      </c>
    </row>
    <row r="1385" spans="1:9" ht="13.15" x14ac:dyDescent="0.4">
      <c r="A1385" s="11" t="s">
        <v>19608</v>
      </c>
      <c r="B1385" s="11" t="s">
        <v>6073</v>
      </c>
      <c r="C1385" s="11" t="s">
        <v>18721</v>
      </c>
      <c r="D1385" s="12">
        <v>40909</v>
      </c>
      <c r="E1385" s="12">
        <v>40909</v>
      </c>
      <c r="F1385" s="11"/>
      <c r="G1385" s="11" t="s">
        <v>279</v>
      </c>
      <c r="H1385" s="11" t="s">
        <v>30</v>
      </c>
      <c r="I1385" s="11" t="s">
        <v>21251</v>
      </c>
    </row>
    <row r="1386" spans="1:9" ht="13.15" x14ac:dyDescent="0.4">
      <c r="A1386" s="11" t="s">
        <v>18877</v>
      </c>
      <c r="B1386" s="11" t="s">
        <v>6073</v>
      </c>
      <c r="C1386" s="11" t="s">
        <v>18721</v>
      </c>
      <c r="D1386" s="12">
        <v>40909</v>
      </c>
      <c r="E1386" s="12">
        <v>40909</v>
      </c>
      <c r="F1386" s="11"/>
      <c r="G1386" s="11" t="s">
        <v>279</v>
      </c>
      <c r="H1386" s="11" t="s">
        <v>30</v>
      </c>
      <c r="I1386" s="11" t="s">
        <v>21982</v>
      </c>
    </row>
    <row r="1387" spans="1:9" ht="13.15" x14ac:dyDescent="0.4">
      <c r="A1387" s="11" t="s">
        <v>19914</v>
      </c>
      <c r="B1387" s="11" t="s">
        <v>6073</v>
      </c>
      <c r="C1387" s="11" t="s">
        <v>18721</v>
      </c>
      <c r="D1387" s="12">
        <v>40909</v>
      </c>
      <c r="E1387" s="12">
        <v>40909</v>
      </c>
      <c r="F1387" s="11"/>
      <c r="G1387" s="11" t="s">
        <v>279</v>
      </c>
      <c r="H1387" s="11" t="s">
        <v>30</v>
      </c>
      <c r="I1387" s="11" t="s">
        <v>20945</v>
      </c>
    </row>
    <row r="1388" spans="1:9" ht="13.15" x14ac:dyDescent="0.4">
      <c r="A1388" s="11" t="s">
        <v>19150</v>
      </c>
      <c r="B1388" s="11" t="s">
        <v>6073</v>
      </c>
      <c r="C1388" s="11" t="s">
        <v>18721</v>
      </c>
      <c r="D1388" s="12">
        <v>40909</v>
      </c>
      <c r="E1388" s="12">
        <v>40909</v>
      </c>
      <c r="F1388" s="11"/>
      <c r="G1388" s="11" t="s">
        <v>279</v>
      </c>
      <c r="H1388" s="11" t="s">
        <v>30</v>
      </c>
      <c r="I1388" s="11" t="s">
        <v>21709</v>
      </c>
    </row>
    <row r="1389" spans="1:9" ht="13.15" x14ac:dyDescent="0.4">
      <c r="A1389" s="11" t="s">
        <v>19555</v>
      </c>
      <c r="B1389" s="11" t="s">
        <v>6073</v>
      </c>
      <c r="C1389" s="11" t="s">
        <v>18721</v>
      </c>
      <c r="D1389" s="12">
        <v>40909</v>
      </c>
      <c r="E1389" s="12">
        <v>40909</v>
      </c>
      <c r="F1389" s="11"/>
      <c r="G1389" s="11" t="s">
        <v>279</v>
      </c>
      <c r="H1389" s="11" t="s">
        <v>30</v>
      </c>
      <c r="I1389" s="11" t="s">
        <v>21304</v>
      </c>
    </row>
    <row r="1390" spans="1:9" ht="13.15" x14ac:dyDescent="0.4">
      <c r="A1390" s="11" t="s">
        <v>20110</v>
      </c>
      <c r="B1390" s="11" t="s">
        <v>6073</v>
      </c>
      <c r="C1390" s="11" t="s">
        <v>18721</v>
      </c>
      <c r="D1390" s="12">
        <v>40909</v>
      </c>
      <c r="E1390" s="12">
        <v>40909</v>
      </c>
      <c r="F1390" s="11"/>
      <c r="G1390" s="11" t="s">
        <v>279</v>
      </c>
      <c r="H1390" s="11" t="s">
        <v>30</v>
      </c>
      <c r="I1390" s="11" t="s">
        <v>20749</v>
      </c>
    </row>
    <row r="1391" spans="1:9" ht="13.15" x14ac:dyDescent="0.4">
      <c r="A1391" s="11" t="s">
        <v>20022</v>
      </c>
      <c r="B1391" s="11" t="s">
        <v>6073</v>
      </c>
      <c r="C1391" s="11" t="s">
        <v>18721</v>
      </c>
      <c r="D1391" s="12">
        <v>40909</v>
      </c>
      <c r="E1391" s="12">
        <v>40909</v>
      </c>
      <c r="F1391" s="11"/>
      <c r="G1391" s="11" t="s">
        <v>279</v>
      </c>
      <c r="H1391" s="11" t="s">
        <v>30</v>
      </c>
      <c r="I1391" s="11" t="s">
        <v>20837</v>
      </c>
    </row>
    <row r="1392" spans="1:9" ht="13.15" x14ac:dyDescent="0.4">
      <c r="A1392" s="11" t="s">
        <v>19141</v>
      </c>
      <c r="B1392" s="11" t="s">
        <v>6073</v>
      </c>
      <c r="C1392" s="11" t="s">
        <v>18721</v>
      </c>
      <c r="D1392" s="12">
        <v>40909</v>
      </c>
      <c r="E1392" s="12">
        <v>40909</v>
      </c>
      <c r="F1392" s="11"/>
      <c r="G1392" s="11" t="s">
        <v>279</v>
      </c>
      <c r="H1392" s="11" t="s">
        <v>30</v>
      </c>
      <c r="I1392" s="11" t="s">
        <v>21718</v>
      </c>
    </row>
    <row r="1393" spans="1:9" ht="13.15" x14ac:dyDescent="0.4">
      <c r="A1393" s="11" t="s">
        <v>19195</v>
      </c>
      <c r="B1393" s="11" t="s">
        <v>6073</v>
      </c>
      <c r="C1393" s="11" t="s">
        <v>18721</v>
      </c>
      <c r="D1393" s="12">
        <v>41275</v>
      </c>
      <c r="E1393" s="12">
        <v>41275</v>
      </c>
      <c r="F1393" s="11"/>
      <c r="G1393" s="11" t="s">
        <v>279</v>
      </c>
      <c r="H1393" s="11" t="s">
        <v>30</v>
      </c>
      <c r="I1393" s="11" t="s">
        <v>21664</v>
      </c>
    </row>
    <row r="1394" spans="1:9" ht="13.15" x14ac:dyDescent="0.4">
      <c r="A1394" s="11" t="s">
        <v>18980</v>
      </c>
      <c r="B1394" s="11" t="s">
        <v>6073</v>
      </c>
      <c r="C1394" s="11" t="s">
        <v>18721</v>
      </c>
      <c r="D1394" s="12">
        <v>41275</v>
      </c>
      <c r="E1394" s="12">
        <v>41275</v>
      </c>
      <c r="F1394" s="11"/>
      <c r="G1394" s="11" t="s">
        <v>279</v>
      </c>
      <c r="H1394" s="11" t="s">
        <v>30</v>
      </c>
      <c r="I1394" s="11" t="s">
        <v>21879</v>
      </c>
    </row>
    <row r="1395" spans="1:9" ht="13.15" x14ac:dyDescent="0.4">
      <c r="A1395" s="11" t="s">
        <v>18915</v>
      </c>
      <c r="B1395" s="11" t="s">
        <v>6073</v>
      </c>
      <c r="C1395" s="11" t="s">
        <v>18721</v>
      </c>
      <c r="D1395" s="12">
        <v>41275</v>
      </c>
      <c r="E1395" s="12">
        <v>41275</v>
      </c>
      <c r="F1395" s="11"/>
      <c r="G1395" s="11" t="s">
        <v>279</v>
      </c>
      <c r="H1395" s="11" t="s">
        <v>30</v>
      </c>
      <c r="I1395" s="11" t="s">
        <v>21944</v>
      </c>
    </row>
    <row r="1396" spans="1:9" ht="13.15" x14ac:dyDescent="0.4">
      <c r="A1396" s="11" t="s">
        <v>18944</v>
      </c>
      <c r="B1396" s="11" t="s">
        <v>6073</v>
      </c>
      <c r="C1396" s="11" t="s">
        <v>18721</v>
      </c>
      <c r="D1396" s="12">
        <v>41275</v>
      </c>
      <c r="E1396" s="12">
        <v>41275</v>
      </c>
      <c r="F1396" s="11"/>
      <c r="G1396" s="11" t="s">
        <v>279</v>
      </c>
      <c r="H1396" s="11" t="s">
        <v>30</v>
      </c>
      <c r="I1396" s="11" t="s">
        <v>21915</v>
      </c>
    </row>
    <row r="1397" spans="1:9" ht="13.15" x14ac:dyDescent="0.4">
      <c r="A1397" s="11" t="s">
        <v>20160</v>
      </c>
      <c r="B1397" s="11" t="s">
        <v>6073</v>
      </c>
      <c r="C1397" s="11" t="s">
        <v>18721</v>
      </c>
      <c r="D1397" s="12">
        <v>41275</v>
      </c>
      <c r="E1397" s="12">
        <v>41275</v>
      </c>
      <c r="F1397" s="11"/>
      <c r="G1397" s="11" t="s">
        <v>279</v>
      </c>
      <c r="H1397" s="11" t="s">
        <v>30</v>
      </c>
      <c r="I1397" s="11" t="s">
        <v>20699</v>
      </c>
    </row>
    <row r="1398" spans="1:9" ht="13.15" x14ac:dyDescent="0.4">
      <c r="A1398" s="11" t="s">
        <v>19801</v>
      </c>
      <c r="B1398" s="11" t="s">
        <v>6073</v>
      </c>
      <c r="C1398" s="11" t="s">
        <v>18721</v>
      </c>
      <c r="D1398" s="12">
        <v>41275</v>
      </c>
      <c r="E1398" s="12">
        <v>41275</v>
      </c>
      <c r="F1398" s="11"/>
      <c r="G1398" s="11" t="s">
        <v>279</v>
      </c>
      <c r="H1398" s="11" t="s">
        <v>30</v>
      </c>
      <c r="I1398" s="11" t="s">
        <v>21058</v>
      </c>
    </row>
    <row r="1399" spans="1:9" ht="13.15" x14ac:dyDescent="0.4">
      <c r="A1399" s="11" t="s">
        <v>19525</v>
      </c>
      <c r="B1399" s="11" t="s">
        <v>6073</v>
      </c>
      <c r="C1399" s="11" t="s">
        <v>18721</v>
      </c>
      <c r="D1399" s="12">
        <v>41275</v>
      </c>
      <c r="E1399" s="12">
        <v>41275</v>
      </c>
      <c r="F1399" s="11"/>
      <c r="G1399" s="11" t="s">
        <v>279</v>
      </c>
      <c r="H1399" s="11" t="s">
        <v>30</v>
      </c>
      <c r="I1399" s="11" t="s">
        <v>21334</v>
      </c>
    </row>
    <row r="1400" spans="1:9" ht="13.15" x14ac:dyDescent="0.4">
      <c r="A1400" s="11" t="s">
        <v>19882</v>
      </c>
      <c r="B1400" s="11" t="s">
        <v>6073</v>
      </c>
      <c r="C1400" s="11" t="s">
        <v>18721</v>
      </c>
      <c r="D1400" s="12">
        <v>41275</v>
      </c>
      <c r="E1400" s="12">
        <v>41275</v>
      </c>
      <c r="F1400" s="11"/>
      <c r="G1400" s="11" t="s">
        <v>279</v>
      </c>
      <c r="H1400" s="11" t="s">
        <v>30</v>
      </c>
      <c r="I1400" s="11" t="s">
        <v>20977</v>
      </c>
    </row>
    <row r="1401" spans="1:9" ht="13.15" x14ac:dyDescent="0.4">
      <c r="A1401" s="11" t="s">
        <v>20337</v>
      </c>
      <c r="B1401" s="11" t="s">
        <v>6073</v>
      </c>
      <c r="C1401" s="11" t="s">
        <v>18721</v>
      </c>
      <c r="D1401" s="12">
        <v>41275</v>
      </c>
      <c r="E1401" s="12">
        <v>41275</v>
      </c>
      <c r="F1401" s="11"/>
      <c r="G1401" s="11" t="s">
        <v>279</v>
      </c>
      <c r="H1401" s="11" t="s">
        <v>30</v>
      </c>
      <c r="I1401" s="11" t="s">
        <v>20522</v>
      </c>
    </row>
    <row r="1402" spans="1:9" ht="13.15" x14ac:dyDescent="0.4">
      <c r="A1402" s="11" t="s">
        <v>18981</v>
      </c>
      <c r="B1402" s="11" t="s">
        <v>6073</v>
      </c>
      <c r="C1402" s="11" t="s">
        <v>18721</v>
      </c>
      <c r="D1402" s="12">
        <v>41275</v>
      </c>
      <c r="E1402" s="12">
        <v>41275</v>
      </c>
      <c r="F1402" s="11"/>
      <c r="G1402" s="11" t="s">
        <v>279</v>
      </c>
      <c r="H1402" s="11" t="s">
        <v>30</v>
      </c>
      <c r="I1402" s="11" t="s">
        <v>21878</v>
      </c>
    </row>
    <row r="1403" spans="1:9" ht="13.15" x14ac:dyDescent="0.4">
      <c r="A1403" s="11" t="s">
        <v>19878</v>
      </c>
      <c r="B1403" s="11" t="s">
        <v>6073</v>
      </c>
      <c r="C1403" s="11" t="s">
        <v>18721</v>
      </c>
      <c r="D1403" s="12">
        <v>41275</v>
      </c>
      <c r="E1403" s="12">
        <v>41275</v>
      </c>
      <c r="F1403" s="11"/>
      <c r="G1403" s="11" t="s">
        <v>279</v>
      </c>
      <c r="H1403" s="11" t="s">
        <v>30</v>
      </c>
      <c r="I1403" s="11" t="s">
        <v>20981</v>
      </c>
    </row>
    <row r="1404" spans="1:9" ht="13.15" x14ac:dyDescent="0.4">
      <c r="A1404" s="11" t="s">
        <v>19863</v>
      </c>
      <c r="B1404" s="11" t="s">
        <v>6073</v>
      </c>
      <c r="C1404" s="11" t="s">
        <v>18721</v>
      </c>
      <c r="D1404" s="12">
        <v>41640</v>
      </c>
      <c r="E1404" s="12">
        <v>41640</v>
      </c>
      <c r="F1404" s="11"/>
      <c r="G1404" s="11" t="s">
        <v>279</v>
      </c>
      <c r="H1404" s="11" t="s">
        <v>30</v>
      </c>
      <c r="I1404" s="11" t="s">
        <v>20996</v>
      </c>
    </row>
    <row r="1405" spans="1:9" ht="13.15" x14ac:dyDescent="0.4">
      <c r="A1405" s="11" t="s">
        <v>20147</v>
      </c>
      <c r="B1405" s="11" t="s">
        <v>6073</v>
      </c>
      <c r="C1405" s="11" t="s">
        <v>18721</v>
      </c>
      <c r="D1405" s="12">
        <v>41640</v>
      </c>
      <c r="E1405" s="12">
        <v>41640</v>
      </c>
      <c r="F1405" s="11"/>
      <c r="G1405" s="11" t="s">
        <v>279</v>
      </c>
      <c r="H1405" s="11" t="s">
        <v>30</v>
      </c>
      <c r="I1405" s="11" t="s">
        <v>20712</v>
      </c>
    </row>
    <row r="1406" spans="1:9" ht="13.15" x14ac:dyDescent="0.4">
      <c r="A1406" s="11" t="s">
        <v>19648</v>
      </c>
      <c r="B1406" s="11" t="s">
        <v>6073</v>
      </c>
      <c r="C1406" s="11" t="s">
        <v>18721</v>
      </c>
      <c r="D1406" s="12">
        <v>41640</v>
      </c>
      <c r="E1406" s="12">
        <v>41640</v>
      </c>
      <c r="F1406" s="11"/>
      <c r="G1406" s="11" t="s">
        <v>279</v>
      </c>
      <c r="H1406" s="11" t="s">
        <v>30</v>
      </c>
      <c r="I1406" s="11" t="s">
        <v>21211</v>
      </c>
    </row>
    <row r="1407" spans="1:9" ht="13.15" x14ac:dyDescent="0.4">
      <c r="A1407" s="11" t="s">
        <v>18965</v>
      </c>
      <c r="B1407" s="11" t="s">
        <v>6073</v>
      </c>
      <c r="C1407" s="11" t="s">
        <v>18721</v>
      </c>
      <c r="D1407" s="12">
        <v>41640</v>
      </c>
      <c r="E1407" s="12">
        <v>41640</v>
      </c>
      <c r="F1407" s="11"/>
      <c r="G1407" s="11" t="s">
        <v>279</v>
      </c>
      <c r="H1407" s="11" t="s">
        <v>30</v>
      </c>
      <c r="I1407" s="11" t="s">
        <v>21894</v>
      </c>
    </row>
    <row r="1408" spans="1:9" ht="13.15" x14ac:dyDescent="0.4">
      <c r="A1408" s="11" t="s">
        <v>19149</v>
      </c>
      <c r="B1408" s="11" t="s">
        <v>6073</v>
      </c>
      <c r="C1408" s="11" t="s">
        <v>18721</v>
      </c>
      <c r="D1408" s="12">
        <v>41640</v>
      </c>
      <c r="E1408" s="12">
        <v>41640</v>
      </c>
      <c r="F1408" s="11"/>
      <c r="G1408" s="11" t="s">
        <v>279</v>
      </c>
      <c r="H1408" s="11" t="s">
        <v>30</v>
      </c>
      <c r="I1408" s="11" t="s">
        <v>21710</v>
      </c>
    </row>
    <row r="1409" spans="1:9" ht="13.15" x14ac:dyDescent="0.4">
      <c r="A1409" s="11" t="s">
        <v>19358</v>
      </c>
      <c r="B1409" s="11" t="s">
        <v>6073</v>
      </c>
      <c r="C1409" s="11" t="s">
        <v>18721</v>
      </c>
      <c r="D1409" s="12">
        <v>41640</v>
      </c>
      <c r="E1409" s="12">
        <v>41640</v>
      </c>
      <c r="F1409" s="11"/>
      <c r="G1409" s="11" t="s">
        <v>279</v>
      </c>
      <c r="H1409" s="11" t="s">
        <v>30</v>
      </c>
      <c r="I1409" s="11" t="s">
        <v>21501</v>
      </c>
    </row>
    <row r="1410" spans="1:9" ht="13.15" x14ac:dyDescent="0.4">
      <c r="A1410" s="11" t="s">
        <v>18750</v>
      </c>
      <c r="B1410" s="11" t="s">
        <v>6073</v>
      </c>
      <c r="C1410" s="11" t="s">
        <v>18721</v>
      </c>
      <c r="D1410" s="12">
        <v>41640</v>
      </c>
      <c r="E1410" s="12">
        <v>41640</v>
      </c>
      <c r="F1410" s="11"/>
      <c r="G1410" s="11" t="s">
        <v>279</v>
      </c>
      <c r="H1410" s="11" t="s">
        <v>30</v>
      </c>
      <c r="I1410" s="11" t="s">
        <v>22109</v>
      </c>
    </row>
    <row r="1411" spans="1:9" ht="13.15" x14ac:dyDescent="0.4">
      <c r="A1411" s="11" t="s">
        <v>19929</v>
      </c>
      <c r="B1411" s="11" t="s">
        <v>6073</v>
      </c>
      <c r="C1411" s="11" t="s">
        <v>18721</v>
      </c>
      <c r="D1411" s="12">
        <v>41640</v>
      </c>
      <c r="E1411" s="12">
        <v>41640</v>
      </c>
      <c r="F1411" s="11"/>
      <c r="G1411" s="11" t="s">
        <v>279</v>
      </c>
      <c r="H1411" s="11" t="s">
        <v>30</v>
      </c>
      <c r="I1411" s="11" t="s">
        <v>20930</v>
      </c>
    </row>
    <row r="1412" spans="1:9" ht="13.15" x14ac:dyDescent="0.4">
      <c r="A1412" s="11" t="s">
        <v>19249</v>
      </c>
      <c r="B1412" s="11" t="s">
        <v>6073</v>
      </c>
      <c r="C1412" s="11" t="s">
        <v>18721</v>
      </c>
      <c r="D1412" s="12">
        <v>41640</v>
      </c>
      <c r="E1412" s="12">
        <v>41640</v>
      </c>
      <c r="F1412" s="11"/>
      <c r="G1412" s="11" t="s">
        <v>279</v>
      </c>
      <c r="H1412" s="11" t="s">
        <v>30</v>
      </c>
      <c r="I1412" s="11" t="s">
        <v>21610</v>
      </c>
    </row>
    <row r="1413" spans="1:9" ht="13.15" x14ac:dyDescent="0.4">
      <c r="A1413" s="11" t="s">
        <v>19079</v>
      </c>
      <c r="B1413" s="11" t="s">
        <v>6073</v>
      </c>
      <c r="C1413" s="11" t="s">
        <v>18721</v>
      </c>
      <c r="D1413" s="12">
        <v>41275</v>
      </c>
      <c r="E1413" s="12">
        <v>41275</v>
      </c>
      <c r="F1413" s="11"/>
      <c r="G1413" s="11" t="s">
        <v>279</v>
      </c>
      <c r="H1413" s="11" t="s">
        <v>30</v>
      </c>
      <c r="I1413" s="11" t="s">
        <v>21780</v>
      </c>
    </row>
    <row r="1414" spans="1:9" ht="13.15" x14ac:dyDescent="0.4">
      <c r="A1414" s="11" t="s">
        <v>19181</v>
      </c>
      <c r="B1414" s="11" t="s">
        <v>6073</v>
      </c>
      <c r="C1414" s="11" t="s">
        <v>18721</v>
      </c>
      <c r="D1414" s="12">
        <v>41275</v>
      </c>
      <c r="E1414" s="12">
        <v>41275</v>
      </c>
      <c r="F1414" s="11"/>
      <c r="G1414" s="11" t="s">
        <v>279</v>
      </c>
      <c r="H1414" s="11" t="s">
        <v>30</v>
      </c>
      <c r="I1414" s="11" t="s">
        <v>21678</v>
      </c>
    </row>
    <row r="1415" spans="1:9" ht="13.15" x14ac:dyDescent="0.4">
      <c r="A1415" s="11" t="s">
        <v>18933</v>
      </c>
      <c r="B1415" s="11" t="s">
        <v>6073</v>
      </c>
      <c r="C1415" s="11" t="s">
        <v>18721</v>
      </c>
      <c r="D1415" s="12">
        <v>41275</v>
      </c>
      <c r="E1415" s="12">
        <v>41275</v>
      </c>
      <c r="F1415" s="11"/>
      <c r="G1415" s="11" t="s">
        <v>279</v>
      </c>
      <c r="H1415" s="11" t="s">
        <v>30</v>
      </c>
      <c r="I1415" s="11" t="s">
        <v>21926</v>
      </c>
    </row>
    <row r="1416" spans="1:9" ht="13.15" x14ac:dyDescent="0.4">
      <c r="A1416" s="11" t="s">
        <v>20291</v>
      </c>
      <c r="B1416" s="11" t="s">
        <v>6073</v>
      </c>
      <c r="C1416" s="11" t="s">
        <v>18721</v>
      </c>
      <c r="D1416" s="12">
        <v>41275</v>
      </c>
      <c r="E1416" s="12">
        <v>41275</v>
      </c>
      <c r="F1416" s="11"/>
      <c r="G1416" s="11" t="s">
        <v>279</v>
      </c>
      <c r="H1416" s="11" t="s">
        <v>30</v>
      </c>
      <c r="I1416" s="11" t="s">
        <v>20568</v>
      </c>
    </row>
    <row r="1417" spans="1:9" ht="13.15" x14ac:dyDescent="0.4">
      <c r="A1417" s="11" t="s">
        <v>19299</v>
      </c>
      <c r="B1417" s="11" t="s">
        <v>6073</v>
      </c>
      <c r="C1417" s="11" t="s">
        <v>18721</v>
      </c>
      <c r="D1417" s="12">
        <v>41275</v>
      </c>
      <c r="E1417" s="12">
        <v>41275</v>
      </c>
      <c r="F1417" s="11"/>
      <c r="G1417" s="11" t="s">
        <v>279</v>
      </c>
      <c r="H1417" s="11" t="s">
        <v>30</v>
      </c>
      <c r="I1417" s="11" t="s">
        <v>21560</v>
      </c>
    </row>
    <row r="1418" spans="1:9" ht="13.15" x14ac:dyDescent="0.4">
      <c r="A1418" s="11" t="s">
        <v>19044</v>
      </c>
      <c r="B1418" s="11" t="s">
        <v>6073</v>
      </c>
      <c r="C1418" s="11" t="s">
        <v>18721</v>
      </c>
      <c r="D1418" s="12">
        <v>41275</v>
      </c>
      <c r="E1418" s="12">
        <v>41275</v>
      </c>
      <c r="F1418" s="11"/>
      <c r="G1418" s="11" t="s">
        <v>279</v>
      </c>
      <c r="H1418" s="11" t="s">
        <v>30</v>
      </c>
      <c r="I1418" s="11" t="s">
        <v>21815</v>
      </c>
    </row>
    <row r="1419" spans="1:9" ht="13.15" x14ac:dyDescent="0.4">
      <c r="A1419" s="11" t="s">
        <v>19099</v>
      </c>
      <c r="B1419" s="11" t="s">
        <v>6073</v>
      </c>
      <c r="C1419" s="11" t="s">
        <v>18721</v>
      </c>
      <c r="D1419" s="12">
        <v>41275</v>
      </c>
      <c r="E1419" s="12">
        <v>41275</v>
      </c>
      <c r="F1419" s="11"/>
      <c r="G1419" s="11" t="s">
        <v>279</v>
      </c>
      <c r="H1419" s="11" t="s">
        <v>30</v>
      </c>
      <c r="I1419" s="11" t="s">
        <v>21760</v>
      </c>
    </row>
    <row r="1420" spans="1:9" ht="13.15" x14ac:dyDescent="0.4">
      <c r="A1420" s="11" t="s">
        <v>19982</v>
      </c>
      <c r="B1420" s="11" t="s">
        <v>6073</v>
      </c>
      <c r="C1420" s="11" t="s">
        <v>18721</v>
      </c>
      <c r="D1420" s="12">
        <v>41275</v>
      </c>
      <c r="E1420" s="12">
        <v>41275</v>
      </c>
      <c r="F1420" s="11"/>
      <c r="G1420" s="11" t="s">
        <v>279</v>
      </c>
      <c r="H1420" s="11" t="s">
        <v>30</v>
      </c>
      <c r="I1420" s="11" t="s">
        <v>20877</v>
      </c>
    </row>
    <row r="1421" spans="1:9" ht="13.15" x14ac:dyDescent="0.4">
      <c r="A1421" s="11" t="s">
        <v>18752</v>
      </c>
      <c r="B1421" s="11" t="s">
        <v>6073</v>
      </c>
      <c r="C1421" s="11" t="s">
        <v>18721</v>
      </c>
      <c r="D1421" s="12">
        <v>41275</v>
      </c>
      <c r="E1421" s="12">
        <v>41275</v>
      </c>
      <c r="F1421" s="11"/>
      <c r="G1421" s="11" t="s">
        <v>279</v>
      </c>
      <c r="H1421" s="11" t="s">
        <v>30</v>
      </c>
      <c r="I1421" s="11" t="s">
        <v>22107</v>
      </c>
    </row>
    <row r="1422" spans="1:9" ht="13.15" x14ac:dyDescent="0.4">
      <c r="A1422" s="11" t="s">
        <v>19370</v>
      </c>
      <c r="B1422" s="11" t="s">
        <v>6073</v>
      </c>
      <c r="C1422" s="11" t="s">
        <v>18721</v>
      </c>
      <c r="D1422" s="12">
        <v>41275</v>
      </c>
      <c r="E1422" s="12">
        <v>41275</v>
      </c>
      <c r="F1422" s="11"/>
      <c r="G1422" s="11" t="s">
        <v>279</v>
      </c>
      <c r="H1422" s="11" t="s">
        <v>30</v>
      </c>
      <c r="I1422" s="11" t="s">
        <v>21489</v>
      </c>
    </row>
    <row r="1423" spans="1:9" ht="13.15" x14ac:dyDescent="0.4">
      <c r="A1423" s="11" t="s">
        <v>19437</v>
      </c>
      <c r="B1423" s="11" t="s">
        <v>6073</v>
      </c>
      <c r="C1423" s="11" t="s">
        <v>18721</v>
      </c>
      <c r="D1423" s="12">
        <v>41275</v>
      </c>
      <c r="E1423" s="12">
        <v>41275</v>
      </c>
      <c r="F1423" s="11"/>
      <c r="G1423" s="11" t="s">
        <v>279</v>
      </c>
      <c r="H1423" s="11" t="s">
        <v>30</v>
      </c>
      <c r="I1423" s="11" t="s">
        <v>21422</v>
      </c>
    </row>
    <row r="1424" spans="1:9" ht="13.15" x14ac:dyDescent="0.4">
      <c r="A1424" s="11" t="s">
        <v>19477</v>
      </c>
      <c r="B1424" s="11" t="s">
        <v>6073</v>
      </c>
      <c r="C1424" s="11" t="s">
        <v>18721</v>
      </c>
      <c r="D1424" s="12">
        <v>41275</v>
      </c>
      <c r="E1424" s="12">
        <v>41275</v>
      </c>
      <c r="F1424" s="11"/>
      <c r="G1424" s="11" t="s">
        <v>279</v>
      </c>
      <c r="H1424" s="11" t="s">
        <v>30</v>
      </c>
      <c r="I1424" s="11" t="s">
        <v>21382</v>
      </c>
    </row>
    <row r="1425" spans="1:9" ht="13.15" x14ac:dyDescent="0.4">
      <c r="A1425" s="11" t="s">
        <v>19660</v>
      </c>
      <c r="B1425" s="11" t="s">
        <v>6073</v>
      </c>
      <c r="C1425" s="11" t="s">
        <v>18721</v>
      </c>
      <c r="D1425" s="12">
        <v>41275</v>
      </c>
      <c r="E1425" s="12">
        <v>41275</v>
      </c>
      <c r="F1425" s="11"/>
      <c r="G1425" s="11" t="s">
        <v>279</v>
      </c>
      <c r="H1425" s="11" t="s">
        <v>30</v>
      </c>
      <c r="I1425" s="11" t="s">
        <v>21199</v>
      </c>
    </row>
    <row r="1426" spans="1:9" ht="13.15" x14ac:dyDescent="0.4">
      <c r="A1426" s="11" t="s">
        <v>19363</v>
      </c>
      <c r="B1426" s="11" t="s">
        <v>6073</v>
      </c>
      <c r="C1426" s="11" t="s">
        <v>18721</v>
      </c>
      <c r="D1426" s="12">
        <v>41275</v>
      </c>
      <c r="E1426" s="12">
        <v>41275</v>
      </c>
      <c r="F1426" s="11"/>
      <c r="G1426" s="11" t="s">
        <v>279</v>
      </c>
      <c r="H1426" s="11" t="s">
        <v>30</v>
      </c>
      <c r="I1426" s="11" t="s">
        <v>21496</v>
      </c>
    </row>
    <row r="1427" spans="1:9" ht="13.15" x14ac:dyDescent="0.4">
      <c r="A1427" s="11" t="s">
        <v>19830</v>
      </c>
      <c r="B1427" s="11" t="s">
        <v>6073</v>
      </c>
      <c r="C1427" s="11" t="s">
        <v>18721</v>
      </c>
      <c r="D1427" s="12">
        <v>41275</v>
      </c>
      <c r="E1427" s="12">
        <v>41275</v>
      </c>
      <c r="F1427" s="11"/>
      <c r="G1427" s="11" t="s">
        <v>279</v>
      </c>
      <c r="H1427" s="11" t="s">
        <v>30</v>
      </c>
      <c r="I1427" s="11" t="s">
        <v>21029</v>
      </c>
    </row>
    <row r="1428" spans="1:9" ht="13.15" x14ac:dyDescent="0.4">
      <c r="A1428" s="11" t="s">
        <v>19108</v>
      </c>
      <c r="B1428" s="11" t="s">
        <v>6073</v>
      </c>
      <c r="C1428" s="11" t="s">
        <v>18721</v>
      </c>
      <c r="D1428" s="12">
        <v>41275</v>
      </c>
      <c r="E1428" s="12">
        <v>41275</v>
      </c>
      <c r="F1428" s="11"/>
      <c r="G1428" s="11" t="s">
        <v>279</v>
      </c>
      <c r="H1428" s="11" t="s">
        <v>30</v>
      </c>
      <c r="I1428" s="11" t="s">
        <v>21751</v>
      </c>
    </row>
    <row r="1429" spans="1:9" ht="13.15" x14ac:dyDescent="0.4">
      <c r="A1429" s="11" t="s">
        <v>20251</v>
      </c>
      <c r="B1429" s="11" t="s">
        <v>6073</v>
      </c>
      <c r="C1429" s="11" t="s">
        <v>18721</v>
      </c>
      <c r="D1429" s="12">
        <v>41275</v>
      </c>
      <c r="E1429" s="12">
        <v>41275</v>
      </c>
      <c r="F1429" s="11"/>
      <c r="G1429" s="11" t="s">
        <v>279</v>
      </c>
      <c r="H1429" s="11" t="s">
        <v>30</v>
      </c>
      <c r="I1429" s="11" t="s">
        <v>20608</v>
      </c>
    </row>
    <row r="1430" spans="1:9" ht="13.15" x14ac:dyDescent="0.4">
      <c r="A1430" s="11" t="s">
        <v>20088</v>
      </c>
      <c r="B1430" s="11" t="s">
        <v>6073</v>
      </c>
      <c r="C1430" s="11" t="s">
        <v>18721</v>
      </c>
      <c r="D1430" s="12">
        <v>41275</v>
      </c>
      <c r="E1430" s="12">
        <v>41275</v>
      </c>
      <c r="F1430" s="11"/>
      <c r="G1430" s="11" t="s">
        <v>279</v>
      </c>
      <c r="H1430" s="11" t="s">
        <v>30</v>
      </c>
      <c r="I1430" s="11" t="s">
        <v>20771</v>
      </c>
    </row>
    <row r="1431" spans="1:9" ht="13.15" x14ac:dyDescent="0.4">
      <c r="A1431" s="11" t="s">
        <v>20115</v>
      </c>
      <c r="B1431" s="11" t="s">
        <v>6073</v>
      </c>
      <c r="C1431" s="11" t="s">
        <v>18721</v>
      </c>
      <c r="D1431" s="12">
        <v>41275</v>
      </c>
      <c r="E1431" s="12">
        <v>41275</v>
      </c>
      <c r="F1431" s="11"/>
      <c r="G1431" s="11" t="s">
        <v>279</v>
      </c>
      <c r="H1431" s="11" t="s">
        <v>30</v>
      </c>
      <c r="I1431" s="11" t="s">
        <v>20744</v>
      </c>
    </row>
    <row r="1432" spans="1:9" ht="13.15" x14ac:dyDescent="0.4">
      <c r="A1432" s="11" t="s">
        <v>20158</v>
      </c>
      <c r="B1432" s="11" t="s">
        <v>6073</v>
      </c>
      <c r="C1432" s="11" t="s">
        <v>18721</v>
      </c>
      <c r="D1432" s="12">
        <v>41275</v>
      </c>
      <c r="E1432" s="12">
        <v>41275</v>
      </c>
      <c r="F1432" s="11"/>
      <c r="G1432" s="11" t="s">
        <v>279</v>
      </c>
      <c r="H1432" s="11" t="s">
        <v>30</v>
      </c>
      <c r="I1432" s="11" t="s">
        <v>20701</v>
      </c>
    </row>
    <row r="1433" spans="1:9" ht="13.15" x14ac:dyDescent="0.4">
      <c r="A1433" s="11" t="s">
        <v>19058</v>
      </c>
      <c r="B1433" s="11" t="s">
        <v>6073</v>
      </c>
      <c r="C1433" s="11" t="s">
        <v>18721</v>
      </c>
      <c r="D1433" s="12">
        <v>41275</v>
      </c>
      <c r="E1433" s="12">
        <v>41275</v>
      </c>
      <c r="F1433" s="11"/>
      <c r="G1433" s="11" t="s">
        <v>279</v>
      </c>
      <c r="H1433" s="11" t="s">
        <v>30</v>
      </c>
      <c r="I1433" s="11" t="s">
        <v>21801</v>
      </c>
    </row>
    <row r="1434" spans="1:9" ht="13.15" x14ac:dyDescent="0.4">
      <c r="A1434" s="11" t="s">
        <v>20282</v>
      </c>
      <c r="B1434" s="11" t="s">
        <v>6073</v>
      </c>
      <c r="C1434" s="11" t="s">
        <v>18721</v>
      </c>
      <c r="D1434" s="12">
        <v>41275</v>
      </c>
      <c r="E1434" s="12">
        <v>41275</v>
      </c>
      <c r="F1434" s="11"/>
      <c r="G1434" s="11" t="s">
        <v>279</v>
      </c>
      <c r="H1434" s="11" t="s">
        <v>30</v>
      </c>
      <c r="I1434" s="11" t="s">
        <v>20577</v>
      </c>
    </row>
    <row r="1435" spans="1:9" ht="13.15" x14ac:dyDescent="0.4">
      <c r="A1435" s="11" t="s">
        <v>19794</v>
      </c>
      <c r="B1435" s="11" t="s">
        <v>6073</v>
      </c>
      <c r="C1435" s="11" t="s">
        <v>18721</v>
      </c>
      <c r="D1435" s="12">
        <v>41275</v>
      </c>
      <c r="E1435" s="12">
        <v>41275</v>
      </c>
      <c r="F1435" s="11"/>
      <c r="G1435" s="11" t="s">
        <v>279</v>
      </c>
      <c r="H1435" s="11" t="s">
        <v>30</v>
      </c>
      <c r="I1435" s="11" t="s">
        <v>21065</v>
      </c>
    </row>
    <row r="1436" spans="1:9" ht="13.15" x14ac:dyDescent="0.4">
      <c r="A1436" s="11" t="s">
        <v>19946</v>
      </c>
      <c r="B1436" s="11" t="s">
        <v>6073</v>
      </c>
      <c r="C1436" s="11" t="s">
        <v>18721</v>
      </c>
      <c r="D1436" s="12">
        <v>41275</v>
      </c>
      <c r="E1436" s="12">
        <v>41275</v>
      </c>
      <c r="F1436" s="11"/>
      <c r="G1436" s="11" t="s">
        <v>279</v>
      </c>
      <c r="H1436" s="11" t="s">
        <v>30</v>
      </c>
      <c r="I1436" s="11" t="s">
        <v>20913</v>
      </c>
    </row>
    <row r="1437" spans="1:9" ht="13.15" x14ac:dyDescent="0.4">
      <c r="A1437" s="11" t="s">
        <v>19276</v>
      </c>
      <c r="B1437" s="11" t="s">
        <v>6073</v>
      </c>
      <c r="C1437" s="11" t="s">
        <v>18721</v>
      </c>
      <c r="D1437" s="12">
        <v>41640</v>
      </c>
      <c r="E1437" s="12">
        <v>41640</v>
      </c>
      <c r="F1437" s="11"/>
      <c r="G1437" s="11" t="s">
        <v>279</v>
      </c>
      <c r="H1437" s="11" t="s">
        <v>30</v>
      </c>
      <c r="I1437" s="11" t="s">
        <v>21583</v>
      </c>
    </row>
    <row r="1438" spans="1:9" ht="13.15" x14ac:dyDescent="0.4">
      <c r="A1438" s="11" t="s">
        <v>19470</v>
      </c>
      <c r="B1438" s="11" t="s">
        <v>6073</v>
      </c>
      <c r="C1438" s="11" t="s">
        <v>18721</v>
      </c>
      <c r="D1438" s="12">
        <v>41640</v>
      </c>
      <c r="E1438" s="12">
        <v>41640</v>
      </c>
      <c r="F1438" s="11"/>
      <c r="G1438" s="11" t="s">
        <v>279</v>
      </c>
      <c r="H1438" s="11" t="s">
        <v>30</v>
      </c>
      <c r="I1438" s="11" t="s">
        <v>21389</v>
      </c>
    </row>
    <row r="1439" spans="1:9" ht="13.15" x14ac:dyDescent="0.4">
      <c r="A1439" s="11" t="s">
        <v>19948</v>
      </c>
      <c r="B1439" s="11" t="s">
        <v>6073</v>
      </c>
      <c r="C1439" s="11" t="s">
        <v>18721</v>
      </c>
      <c r="D1439" s="12">
        <v>41275</v>
      </c>
      <c r="E1439" s="12">
        <v>41275</v>
      </c>
      <c r="F1439" s="11"/>
      <c r="G1439" s="11" t="s">
        <v>279</v>
      </c>
      <c r="H1439" s="11" t="s">
        <v>30</v>
      </c>
      <c r="I1439" s="11" t="s">
        <v>20911</v>
      </c>
    </row>
    <row r="1440" spans="1:9" ht="13.15" x14ac:dyDescent="0.4">
      <c r="A1440" s="11" t="s">
        <v>20062</v>
      </c>
      <c r="B1440" s="11" t="s">
        <v>6073</v>
      </c>
      <c r="C1440" s="11" t="s">
        <v>18721</v>
      </c>
      <c r="D1440" s="12">
        <v>41275</v>
      </c>
      <c r="E1440" s="12">
        <v>41275</v>
      </c>
      <c r="F1440" s="11"/>
      <c r="G1440" s="11" t="s">
        <v>279</v>
      </c>
      <c r="H1440" s="11" t="s">
        <v>30</v>
      </c>
      <c r="I1440" s="11" t="s">
        <v>20797</v>
      </c>
    </row>
    <row r="1441" spans="1:9" ht="13.15" x14ac:dyDescent="0.4">
      <c r="A1441" s="11" t="s">
        <v>19719</v>
      </c>
      <c r="B1441" s="11" t="s">
        <v>6073</v>
      </c>
      <c r="C1441" s="11" t="s">
        <v>18721</v>
      </c>
      <c r="D1441" s="12">
        <v>41275</v>
      </c>
      <c r="E1441" s="12">
        <v>41275</v>
      </c>
      <c r="F1441" s="11"/>
      <c r="G1441" s="11" t="s">
        <v>279</v>
      </c>
      <c r="H1441" s="11" t="s">
        <v>30</v>
      </c>
      <c r="I1441" s="11" t="s">
        <v>21140</v>
      </c>
    </row>
    <row r="1442" spans="1:9" ht="13.15" x14ac:dyDescent="0.4">
      <c r="A1442" s="11" t="s">
        <v>20223</v>
      </c>
      <c r="B1442" s="11" t="s">
        <v>6073</v>
      </c>
      <c r="C1442" s="11" t="s">
        <v>18721</v>
      </c>
      <c r="D1442" s="12">
        <v>41275</v>
      </c>
      <c r="E1442" s="12">
        <v>41275</v>
      </c>
      <c r="F1442" s="11"/>
      <c r="G1442" s="11" t="s">
        <v>279</v>
      </c>
      <c r="H1442" s="11" t="s">
        <v>30</v>
      </c>
      <c r="I1442" s="11" t="s">
        <v>20636</v>
      </c>
    </row>
    <row r="1443" spans="1:9" ht="13.15" x14ac:dyDescent="0.4">
      <c r="A1443" s="11" t="s">
        <v>20253</v>
      </c>
      <c r="B1443" s="11" t="s">
        <v>6073</v>
      </c>
      <c r="C1443" s="11" t="s">
        <v>18721</v>
      </c>
      <c r="D1443" s="12">
        <v>41275</v>
      </c>
      <c r="E1443" s="12">
        <v>41275</v>
      </c>
      <c r="F1443" s="11"/>
      <c r="G1443" s="11" t="s">
        <v>279</v>
      </c>
      <c r="H1443" s="11" t="s">
        <v>30</v>
      </c>
      <c r="I1443" s="11" t="s">
        <v>20606</v>
      </c>
    </row>
    <row r="1444" spans="1:9" ht="13.15" x14ac:dyDescent="0.4">
      <c r="A1444" s="11" t="s">
        <v>19728</v>
      </c>
      <c r="B1444" s="11" t="s">
        <v>6073</v>
      </c>
      <c r="C1444" s="11" t="s">
        <v>18721</v>
      </c>
      <c r="D1444" s="12">
        <v>41275</v>
      </c>
      <c r="E1444" s="12">
        <v>41275</v>
      </c>
      <c r="F1444" s="11"/>
      <c r="G1444" s="11" t="s">
        <v>279</v>
      </c>
      <c r="H1444" s="11" t="s">
        <v>30</v>
      </c>
      <c r="I1444" s="11" t="s">
        <v>21131</v>
      </c>
    </row>
    <row r="1445" spans="1:9" ht="13.15" x14ac:dyDescent="0.4">
      <c r="A1445" s="11" t="s">
        <v>19250</v>
      </c>
      <c r="B1445" s="11" t="s">
        <v>6073</v>
      </c>
      <c r="C1445" s="11" t="s">
        <v>18721</v>
      </c>
      <c r="D1445" s="12">
        <v>41640</v>
      </c>
      <c r="E1445" s="12">
        <v>41640</v>
      </c>
      <c r="F1445" s="11"/>
      <c r="G1445" s="11" t="s">
        <v>279</v>
      </c>
      <c r="H1445" s="11" t="s">
        <v>30</v>
      </c>
      <c r="I1445" s="11" t="s">
        <v>21609</v>
      </c>
    </row>
    <row r="1446" spans="1:9" ht="13.15" x14ac:dyDescent="0.4">
      <c r="A1446" s="11" t="s">
        <v>19328</v>
      </c>
      <c r="B1446" s="11" t="s">
        <v>6073</v>
      </c>
      <c r="C1446" s="11" t="s">
        <v>18721</v>
      </c>
      <c r="D1446" s="12">
        <v>41640</v>
      </c>
      <c r="E1446" s="12">
        <v>41640</v>
      </c>
      <c r="F1446" s="11"/>
      <c r="G1446" s="11" t="s">
        <v>279</v>
      </c>
      <c r="H1446" s="11" t="s">
        <v>30</v>
      </c>
      <c r="I1446" s="11" t="s">
        <v>21531</v>
      </c>
    </row>
    <row r="1447" spans="1:9" ht="13.15" x14ac:dyDescent="0.4">
      <c r="A1447" s="11" t="s">
        <v>18937</v>
      </c>
      <c r="B1447" s="11" t="s">
        <v>6073</v>
      </c>
      <c r="C1447" s="11" t="s">
        <v>18721</v>
      </c>
      <c r="D1447" s="12">
        <v>41640</v>
      </c>
      <c r="E1447" s="12">
        <v>41640</v>
      </c>
      <c r="F1447" s="11"/>
      <c r="G1447" s="11" t="s">
        <v>279</v>
      </c>
      <c r="H1447" s="11" t="s">
        <v>30</v>
      </c>
      <c r="I1447" s="11" t="s">
        <v>21922</v>
      </c>
    </row>
    <row r="1448" spans="1:9" ht="13.15" x14ac:dyDescent="0.4">
      <c r="A1448" s="11" t="s">
        <v>18744</v>
      </c>
      <c r="B1448" s="11" t="s">
        <v>6073</v>
      </c>
      <c r="C1448" s="11" t="s">
        <v>18721</v>
      </c>
      <c r="D1448" s="12">
        <v>41640</v>
      </c>
      <c r="E1448" s="12">
        <v>41640</v>
      </c>
      <c r="F1448" s="11"/>
      <c r="G1448" s="11" t="s">
        <v>279</v>
      </c>
      <c r="H1448" s="11" t="s">
        <v>30</v>
      </c>
      <c r="I1448" s="11" t="s">
        <v>22115</v>
      </c>
    </row>
    <row r="1449" spans="1:9" ht="13.15" x14ac:dyDescent="0.4">
      <c r="A1449" s="11" t="s">
        <v>19441</v>
      </c>
      <c r="B1449" s="11" t="s">
        <v>6073</v>
      </c>
      <c r="C1449" s="11" t="s">
        <v>18721</v>
      </c>
      <c r="D1449" s="12">
        <v>41275</v>
      </c>
      <c r="E1449" s="12">
        <v>41275</v>
      </c>
      <c r="F1449" s="11"/>
      <c r="G1449" s="11" t="s">
        <v>279</v>
      </c>
      <c r="H1449" s="11" t="s">
        <v>30</v>
      </c>
      <c r="I1449" s="11" t="s">
        <v>21418</v>
      </c>
    </row>
    <row r="1450" spans="1:9" ht="13.15" x14ac:dyDescent="0.4">
      <c r="A1450" s="11" t="s">
        <v>19177</v>
      </c>
      <c r="B1450" s="11" t="s">
        <v>6073</v>
      </c>
      <c r="C1450" s="11" t="s">
        <v>18721</v>
      </c>
      <c r="D1450" s="12">
        <v>41640</v>
      </c>
      <c r="E1450" s="12">
        <v>41640</v>
      </c>
      <c r="F1450" s="11"/>
      <c r="G1450" s="11" t="s">
        <v>279</v>
      </c>
      <c r="H1450" s="11" t="s">
        <v>30</v>
      </c>
      <c r="I1450" s="11" t="s">
        <v>21682</v>
      </c>
    </row>
    <row r="1451" spans="1:9" ht="13.15" x14ac:dyDescent="0.4">
      <c r="A1451" s="11" t="s">
        <v>19837</v>
      </c>
      <c r="B1451" s="11" t="s">
        <v>6073</v>
      </c>
      <c r="C1451" s="11" t="s">
        <v>18721</v>
      </c>
      <c r="D1451" s="12">
        <v>41275</v>
      </c>
      <c r="E1451" s="12">
        <v>41275</v>
      </c>
      <c r="F1451" s="11"/>
      <c r="G1451" s="11" t="s">
        <v>279</v>
      </c>
      <c r="H1451" s="11" t="s">
        <v>30</v>
      </c>
      <c r="I1451" s="11" t="s">
        <v>21022</v>
      </c>
    </row>
    <row r="1452" spans="1:9" ht="13.15" x14ac:dyDescent="0.4">
      <c r="A1452" s="11" t="s">
        <v>19759</v>
      </c>
      <c r="B1452" s="11" t="s">
        <v>6073</v>
      </c>
      <c r="C1452" s="11" t="s">
        <v>18721</v>
      </c>
      <c r="D1452" s="12">
        <v>41275</v>
      </c>
      <c r="E1452" s="12">
        <v>41275</v>
      </c>
      <c r="F1452" s="11"/>
      <c r="G1452" s="11" t="s">
        <v>279</v>
      </c>
      <c r="H1452" s="11" t="s">
        <v>30</v>
      </c>
      <c r="I1452" s="11" t="s">
        <v>21100</v>
      </c>
    </row>
    <row r="1453" spans="1:9" ht="13.15" x14ac:dyDescent="0.4">
      <c r="A1453" s="11" t="s">
        <v>18768</v>
      </c>
      <c r="B1453" s="11" t="s">
        <v>6073</v>
      </c>
      <c r="C1453" s="11" t="s">
        <v>18721</v>
      </c>
      <c r="D1453" s="12">
        <v>41640</v>
      </c>
      <c r="E1453" s="12">
        <v>41640</v>
      </c>
      <c r="F1453" s="11"/>
      <c r="G1453" s="11" t="s">
        <v>279</v>
      </c>
      <c r="H1453" s="11" t="s">
        <v>30</v>
      </c>
      <c r="I1453" s="11" t="s">
        <v>22091</v>
      </c>
    </row>
    <row r="1454" spans="1:9" ht="13.15" x14ac:dyDescent="0.4">
      <c r="A1454" s="11" t="s">
        <v>20032</v>
      </c>
      <c r="B1454" s="11" t="s">
        <v>6073</v>
      </c>
      <c r="C1454" s="11" t="s">
        <v>18721</v>
      </c>
      <c r="D1454" s="12">
        <v>41640</v>
      </c>
      <c r="E1454" s="12">
        <v>41640</v>
      </c>
      <c r="F1454" s="11"/>
      <c r="G1454" s="11" t="s">
        <v>279</v>
      </c>
      <c r="H1454" s="11" t="s">
        <v>30</v>
      </c>
      <c r="I1454" s="11" t="s">
        <v>20827</v>
      </c>
    </row>
    <row r="1455" spans="1:9" ht="13.15" x14ac:dyDescent="0.4">
      <c r="A1455" s="11" t="s">
        <v>19657</v>
      </c>
      <c r="B1455" s="11" t="s">
        <v>6073</v>
      </c>
      <c r="C1455" s="11" t="s">
        <v>18721</v>
      </c>
      <c r="D1455" s="12">
        <v>41275</v>
      </c>
      <c r="E1455" s="12">
        <v>41275</v>
      </c>
      <c r="F1455" s="11"/>
      <c r="G1455" s="11" t="s">
        <v>279</v>
      </c>
      <c r="H1455" s="11" t="s">
        <v>30</v>
      </c>
      <c r="I1455" s="11" t="s">
        <v>21202</v>
      </c>
    </row>
    <row r="1456" spans="1:9" ht="13.15" x14ac:dyDescent="0.4">
      <c r="A1456" s="11" t="s">
        <v>19952</v>
      </c>
      <c r="B1456" s="11" t="s">
        <v>6073</v>
      </c>
      <c r="C1456" s="11" t="s">
        <v>18721</v>
      </c>
      <c r="D1456" s="12">
        <v>41640</v>
      </c>
      <c r="E1456" s="12">
        <v>41640</v>
      </c>
      <c r="F1456" s="11"/>
      <c r="G1456" s="11" t="s">
        <v>279</v>
      </c>
      <c r="H1456" s="11" t="s">
        <v>30</v>
      </c>
      <c r="I1456" s="11" t="s">
        <v>20907</v>
      </c>
    </row>
    <row r="1457" spans="1:9" ht="13.15" x14ac:dyDescent="0.4">
      <c r="A1457" s="11" t="s">
        <v>19073</v>
      </c>
      <c r="B1457" s="11" t="s">
        <v>6073</v>
      </c>
      <c r="C1457" s="11" t="s">
        <v>18721</v>
      </c>
      <c r="D1457" s="12">
        <v>41640</v>
      </c>
      <c r="E1457" s="12">
        <v>41640</v>
      </c>
      <c r="F1457" s="11"/>
      <c r="G1457" s="11" t="s">
        <v>279</v>
      </c>
      <c r="H1457" s="11" t="s">
        <v>30</v>
      </c>
      <c r="I1457" s="11" t="s">
        <v>21786</v>
      </c>
    </row>
    <row r="1458" spans="1:9" ht="13.15" x14ac:dyDescent="0.4">
      <c r="A1458" s="11" t="s">
        <v>19047</v>
      </c>
      <c r="B1458" s="11" t="s">
        <v>6073</v>
      </c>
      <c r="C1458" s="11" t="s">
        <v>18721</v>
      </c>
      <c r="D1458" s="12">
        <v>41275</v>
      </c>
      <c r="E1458" s="12">
        <v>41275</v>
      </c>
      <c r="F1458" s="11"/>
      <c r="G1458" s="11" t="s">
        <v>279</v>
      </c>
      <c r="H1458" s="11" t="s">
        <v>30</v>
      </c>
      <c r="I1458" s="11" t="s">
        <v>21812</v>
      </c>
    </row>
    <row r="1459" spans="1:9" ht="13.15" x14ac:dyDescent="0.4">
      <c r="A1459" s="11" t="s">
        <v>19055</v>
      </c>
      <c r="B1459" s="11" t="s">
        <v>6073</v>
      </c>
      <c r="C1459" s="11" t="s">
        <v>18721</v>
      </c>
      <c r="D1459" s="12">
        <v>41275</v>
      </c>
      <c r="E1459" s="12">
        <v>41275</v>
      </c>
      <c r="F1459" s="11"/>
      <c r="G1459" s="11" t="s">
        <v>279</v>
      </c>
      <c r="H1459" s="11" t="s">
        <v>30</v>
      </c>
      <c r="I1459" s="11" t="s">
        <v>21804</v>
      </c>
    </row>
    <row r="1460" spans="1:9" ht="13.15" x14ac:dyDescent="0.4">
      <c r="A1460" s="11" t="s">
        <v>18865</v>
      </c>
      <c r="B1460" s="11" t="s">
        <v>6073</v>
      </c>
      <c r="C1460" s="11" t="s">
        <v>18721</v>
      </c>
      <c r="D1460" s="12">
        <v>41275</v>
      </c>
      <c r="E1460" s="12">
        <v>41275</v>
      </c>
      <c r="F1460" s="11"/>
      <c r="G1460" s="11" t="s">
        <v>279</v>
      </c>
      <c r="H1460" s="11" t="s">
        <v>30</v>
      </c>
      <c r="I1460" s="11" t="s">
        <v>21994</v>
      </c>
    </row>
    <row r="1461" spans="1:9" ht="13.15" x14ac:dyDescent="0.4">
      <c r="A1461" s="11" t="s">
        <v>19067</v>
      </c>
      <c r="B1461" s="11" t="s">
        <v>6073</v>
      </c>
      <c r="C1461" s="11" t="s">
        <v>18721</v>
      </c>
      <c r="D1461" s="12">
        <v>41275</v>
      </c>
      <c r="E1461" s="12">
        <v>41275</v>
      </c>
      <c r="F1461" s="11"/>
      <c r="G1461" s="11" t="s">
        <v>279</v>
      </c>
      <c r="H1461" s="11" t="s">
        <v>30</v>
      </c>
      <c r="I1461" s="11" t="s">
        <v>21792</v>
      </c>
    </row>
    <row r="1462" spans="1:9" ht="13.15" x14ac:dyDescent="0.4">
      <c r="A1462" s="11" t="s">
        <v>19861</v>
      </c>
      <c r="B1462" s="11" t="s">
        <v>6073</v>
      </c>
      <c r="C1462" s="11" t="s">
        <v>18721</v>
      </c>
      <c r="D1462" s="12">
        <v>41275</v>
      </c>
      <c r="E1462" s="12">
        <v>41275</v>
      </c>
      <c r="F1462" s="11"/>
      <c r="G1462" s="11" t="s">
        <v>279</v>
      </c>
      <c r="H1462" s="11" t="s">
        <v>30</v>
      </c>
      <c r="I1462" s="11" t="s">
        <v>20998</v>
      </c>
    </row>
    <row r="1463" spans="1:9" ht="13.15" x14ac:dyDescent="0.4">
      <c r="A1463" s="11" t="s">
        <v>19708</v>
      </c>
      <c r="B1463" s="11" t="s">
        <v>6073</v>
      </c>
      <c r="C1463" s="11" t="s">
        <v>18721</v>
      </c>
      <c r="D1463" s="12">
        <v>41275</v>
      </c>
      <c r="E1463" s="12">
        <v>41275</v>
      </c>
      <c r="F1463" s="11"/>
      <c r="G1463" s="11" t="s">
        <v>279</v>
      </c>
      <c r="H1463" s="11" t="s">
        <v>30</v>
      </c>
      <c r="I1463" s="11" t="s">
        <v>21151</v>
      </c>
    </row>
    <row r="1464" spans="1:9" ht="13.15" x14ac:dyDescent="0.4">
      <c r="A1464" s="11" t="s">
        <v>19102</v>
      </c>
      <c r="B1464" s="11" t="s">
        <v>6073</v>
      </c>
      <c r="C1464" s="11" t="s">
        <v>18721</v>
      </c>
      <c r="D1464" s="12">
        <v>40909</v>
      </c>
      <c r="E1464" s="12">
        <v>40909</v>
      </c>
      <c r="F1464" s="11"/>
      <c r="G1464" s="11" t="s">
        <v>279</v>
      </c>
      <c r="H1464" s="11" t="s">
        <v>30</v>
      </c>
      <c r="I1464" s="11" t="s">
        <v>21757</v>
      </c>
    </row>
    <row r="1465" spans="1:9" ht="13.15" x14ac:dyDescent="0.4">
      <c r="A1465" s="11" t="s">
        <v>20073</v>
      </c>
      <c r="B1465" s="11" t="s">
        <v>6073</v>
      </c>
      <c r="C1465" s="11" t="s">
        <v>18721</v>
      </c>
      <c r="D1465" s="12">
        <v>41640</v>
      </c>
      <c r="E1465" s="12">
        <v>41640</v>
      </c>
      <c r="F1465" s="11"/>
      <c r="G1465" s="11" t="s">
        <v>279</v>
      </c>
      <c r="H1465" s="11" t="s">
        <v>30</v>
      </c>
      <c r="I1465" s="11" t="s">
        <v>20786</v>
      </c>
    </row>
    <row r="1466" spans="1:9" ht="13.15" x14ac:dyDescent="0.4">
      <c r="A1466" s="11" t="s">
        <v>19274</v>
      </c>
      <c r="B1466" s="11" t="s">
        <v>6073</v>
      </c>
      <c r="C1466" s="11" t="s">
        <v>18721</v>
      </c>
      <c r="D1466" s="12">
        <v>41275</v>
      </c>
      <c r="E1466" s="12">
        <v>41275</v>
      </c>
      <c r="F1466" s="11"/>
      <c r="G1466" s="11" t="s">
        <v>279</v>
      </c>
      <c r="H1466" s="11" t="s">
        <v>30</v>
      </c>
      <c r="I1466" s="11" t="s">
        <v>21585</v>
      </c>
    </row>
    <row r="1467" spans="1:9" ht="13.15" x14ac:dyDescent="0.4">
      <c r="A1467" s="11" t="s">
        <v>19916</v>
      </c>
      <c r="B1467" s="11" t="s">
        <v>6073</v>
      </c>
      <c r="C1467" s="11" t="s">
        <v>18721</v>
      </c>
      <c r="D1467" s="12">
        <v>41640</v>
      </c>
      <c r="E1467" s="12">
        <v>41640</v>
      </c>
      <c r="F1467" s="11"/>
      <c r="G1467" s="11" t="s">
        <v>279</v>
      </c>
      <c r="H1467" s="11" t="s">
        <v>30</v>
      </c>
      <c r="I1467" s="11" t="s">
        <v>20943</v>
      </c>
    </row>
    <row r="1468" spans="1:9" ht="13.15" x14ac:dyDescent="0.4">
      <c r="A1468" s="11" t="s">
        <v>19418</v>
      </c>
      <c r="B1468" s="11" t="s">
        <v>6073</v>
      </c>
      <c r="C1468" s="11" t="s">
        <v>18721</v>
      </c>
      <c r="D1468" s="12">
        <v>41640</v>
      </c>
      <c r="E1468" s="12">
        <v>41640</v>
      </c>
      <c r="F1468" s="11"/>
      <c r="G1468" s="11" t="s">
        <v>279</v>
      </c>
      <c r="H1468" s="11" t="s">
        <v>30</v>
      </c>
      <c r="I1468" s="11" t="s">
        <v>21441</v>
      </c>
    </row>
    <row r="1469" spans="1:9" ht="13.15" x14ac:dyDescent="0.4">
      <c r="A1469" s="11" t="s">
        <v>20150</v>
      </c>
      <c r="B1469" s="11" t="s">
        <v>6073</v>
      </c>
      <c r="C1469" s="11" t="s">
        <v>18721</v>
      </c>
      <c r="D1469" s="12">
        <v>41640</v>
      </c>
      <c r="E1469" s="12">
        <v>41640</v>
      </c>
      <c r="F1469" s="11"/>
      <c r="G1469" s="11" t="s">
        <v>279</v>
      </c>
      <c r="H1469" s="11" t="s">
        <v>30</v>
      </c>
      <c r="I1469" s="11" t="s">
        <v>20709</v>
      </c>
    </row>
    <row r="1470" spans="1:9" ht="13.15" x14ac:dyDescent="0.4">
      <c r="A1470" s="11" t="s">
        <v>19015</v>
      </c>
      <c r="B1470" s="11" t="s">
        <v>6073</v>
      </c>
      <c r="C1470" s="11" t="s">
        <v>18721</v>
      </c>
      <c r="D1470" s="12">
        <v>41640</v>
      </c>
      <c r="E1470" s="12">
        <v>41640</v>
      </c>
      <c r="F1470" s="11"/>
      <c r="G1470" s="11" t="s">
        <v>279</v>
      </c>
      <c r="H1470" s="11" t="s">
        <v>30</v>
      </c>
      <c r="I1470" s="11" t="s">
        <v>21844</v>
      </c>
    </row>
    <row r="1471" spans="1:9" ht="13.15" x14ac:dyDescent="0.4">
      <c r="A1471" s="11" t="s">
        <v>18767</v>
      </c>
      <c r="B1471" s="11" t="s">
        <v>6073</v>
      </c>
      <c r="C1471" s="11" t="s">
        <v>18721</v>
      </c>
      <c r="D1471" s="12">
        <v>41640</v>
      </c>
      <c r="E1471" s="12">
        <v>41640</v>
      </c>
      <c r="F1471" s="11"/>
      <c r="G1471" s="11" t="s">
        <v>279</v>
      </c>
      <c r="H1471" s="11" t="s">
        <v>30</v>
      </c>
      <c r="I1471" s="11" t="s">
        <v>22092</v>
      </c>
    </row>
    <row r="1472" spans="1:9" ht="13.15" x14ac:dyDescent="0.4">
      <c r="A1472" s="11" t="s">
        <v>19446</v>
      </c>
      <c r="B1472" s="11" t="s">
        <v>6073</v>
      </c>
      <c r="C1472" s="11" t="s">
        <v>18721</v>
      </c>
      <c r="D1472" s="12">
        <v>41275</v>
      </c>
      <c r="E1472" s="12">
        <v>41275</v>
      </c>
      <c r="F1472" s="11"/>
      <c r="G1472" s="11" t="s">
        <v>279</v>
      </c>
      <c r="H1472" s="11" t="s">
        <v>30</v>
      </c>
      <c r="I1472" s="11" t="s">
        <v>21413</v>
      </c>
    </row>
    <row r="1473" spans="1:9" ht="13.15" x14ac:dyDescent="0.4">
      <c r="A1473" s="11" t="s">
        <v>20079</v>
      </c>
      <c r="B1473" s="11" t="s">
        <v>6073</v>
      </c>
      <c r="C1473" s="11" t="s">
        <v>18721</v>
      </c>
      <c r="D1473" s="12">
        <v>41275</v>
      </c>
      <c r="E1473" s="12">
        <v>41275</v>
      </c>
      <c r="F1473" s="11"/>
      <c r="G1473" s="11" t="s">
        <v>279</v>
      </c>
      <c r="H1473" s="11" t="s">
        <v>30</v>
      </c>
      <c r="I1473" s="11" t="s">
        <v>20780</v>
      </c>
    </row>
    <row r="1474" spans="1:9" ht="13.15" x14ac:dyDescent="0.4">
      <c r="A1474" s="11" t="s">
        <v>20392</v>
      </c>
      <c r="B1474" s="11" t="s">
        <v>6073</v>
      </c>
      <c r="C1474" s="11" t="s">
        <v>18721</v>
      </c>
      <c r="D1474" s="12">
        <v>41275</v>
      </c>
      <c r="E1474" s="12">
        <v>41275</v>
      </c>
      <c r="F1474" s="11"/>
      <c r="G1474" s="11" t="s">
        <v>279</v>
      </c>
      <c r="H1474" s="11" t="s">
        <v>30</v>
      </c>
      <c r="I1474" s="11" t="s">
        <v>20467</v>
      </c>
    </row>
    <row r="1475" spans="1:9" ht="13.15" x14ac:dyDescent="0.4">
      <c r="A1475" s="11" t="s">
        <v>18850</v>
      </c>
      <c r="B1475" s="11" t="s">
        <v>6073</v>
      </c>
      <c r="C1475" s="11" t="s">
        <v>18721</v>
      </c>
      <c r="D1475" s="12">
        <v>41275</v>
      </c>
      <c r="E1475" s="12">
        <v>41275</v>
      </c>
      <c r="F1475" s="11"/>
      <c r="G1475" s="11" t="s">
        <v>279</v>
      </c>
      <c r="H1475" s="11" t="s">
        <v>30</v>
      </c>
      <c r="I1475" s="11" t="s">
        <v>22009</v>
      </c>
    </row>
    <row r="1476" spans="1:9" ht="13.15" x14ac:dyDescent="0.4">
      <c r="A1476" s="11" t="s">
        <v>19461</v>
      </c>
      <c r="B1476" s="11" t="s">
        <v>6073</v>
      </c>
      <c r="C1476" s="11" t="s">
        <v>18721</v>
      </c>
      <c r="D1476" s="12">
        <v>41275</v>
      </c>
      <c r="E1476" s="12">
        <v>41275</v>
      </c>
      <c r="F1476" s="11"/>
      <c r="G1476" s="11" t="s">
        <v>279</v>
      </c>
      <c r="H1476" s="11" t="s">
        <v>30</v>
      </c>
      <c r="I1476" s="11" t="s">
        <v>21398</v>
      </c>
    </row>
    <row r="1477" spans="1:9" ht="13.15" x14ac:dyDescent="0.4">
      <c r="A1477" s="11" t="s">
        <v>20335</v>
      </c>
      <c r="B1477" s="11" t="s">
        <v>6073</v>
      </c>
      <c r="C1477" s="11" t="s">
        <v>18721</v>
      </c>
      <c r="D1477" s="12">
        <v>41275</v>
      </c>
      <c r="E1477" s="12">
        <v>41275</v>
      </c>
      <c r="F1477" s="11"/>
      <c r="G1477" s="11" t="s">
        <v>279</v>
      </c>
      <c r="H1477" s="11" t="s">
        <v>30</v>
      </c>
      <c r="I1477" s="11" t="s">
        <v>20524</v>
      </c>
    </row>
    <row r="1478" spans="1:9" ht="13.15" x14ac:dyDescent="0.4">
      <c r="A1478" s="11" t="s">
        <v>18774</v>
      </c>
      <c r="B1478" s="11" t="s">
        <v>6073</v>
      </c>
      <c r="C1478" s="11" t="s">
        <v>18721</v>
      </c>
      <c r="D1478" s="12">
        <v>41275</v>
      </c>
      <c r="E1478" s="12">
        <v>41275</v>
      </c>
      <c r="F1478" s="11"/>
      <c r="G1478" s="11" t="s">
        <v>279</v>
      </c>
      <c r="H1478" s="11" t="s">
        <v>30</v>
      </c>
      <c r="I1478" s="11" t="s">
        <v>22085</v>
      </c>
    </row>
    <row r="1479" spans="1:9" ht="13.15" x14ac:dyDescent="0.4">
      <c r="A1479" s="11" t="s">
        <v>19684</v>
      </c>
      <c r="B1479" s="11" t="s">
        <v>6073</v>
      </c>
      <c r="C1479" s="11" t="s">
        <v>18721</v>
      </c>
      <c r="D1479" s="12">
        <v>41640</v>
      </c>
      <c r="E1479" s="12">
        <v>41640</v>
      </c>
      <c r="F1479" s="11"/>
      <c r="G1479" s="11" t="s">
        <v>279</v>
      </c>
      <c r="H1479" s="11" t="s">
        <v>30</v>
      </c>
      <c r="I1479" s="11" t="s">
        <v>21175</v>
      </c>
    </row>
    <row r="1480" spans="1:9" ht="13.15" x14ac:dyDescent="0.4">
      <c r="A1480" s="11" t="s">
        <v>19789</v>
      </c>
      <c r="B1480" s="11" t="s">
        <v>6073</v>
      </c>
      <c r="C1480" s="11" t="s">
        <v>18721</v>
      </c>
      <c r="D1480" s="12">
        <v>41275</v>
      </c>
      <c r="E1480" s="12">
        <v>41275</v>
      </c>
      <c r="F1480" s="11"/>
      <c r="G1480" s="11" t="s">
        <v>279</v>
      </c>
      <c r="H1480" s="11" t="s">
        <v>30</v>
      </c>
      <c r="I1480" s="11" t="s">
        <v>21070</v>
      </c>
    </row>
    <row r="1481" spans="1:9" ht="13.15" x14ac:dyDescent="0.4">
      <c r="A1481" s="11" t="s">
        <v>19865</v>
      </c>
      <c r="B1481" s="11" t="s">
        <v>6073</v>
      </c>
      <c r="C1481" s="11" t="s">
        <v>18721</v>
      </c>
      <c r="D1481" s="12">
        <v>41275</v>
      </c>
      <c r="E1481" s="12">
        <v>41275</v>
      </c>
      <c r="F1481" s="11"/>
      <c r="G1481" s="11" t="s">
        <v>279</v>
      </c>
      <c r="H1481" s="11" t="s">
        <v>30</v>
      </c>
      <c r="I1481" s="11" t="s">
        <v>20994</v>
      </c>
    </row>
    <row r="1482" spans="1:9" ht="13.15" x14ac:dyDescent="0.4">
      <c r="A1482" s="11" t="s">
        <v>18847</v>
      </c>
      <c r="B1482" s="11" t="s">
        <v>6073</v>
      </c>
      <c r="C1482" s="11" t="s">
        <v>18721</v>
      </c>
      <c r="D1482" s="12">
        <v>41640</v>
      </c>
      <c r="E1482" s="12">
        <v>41640</v>
      </c>
      <c r="F1482" s="11"/>
      <c r="G1482" s="11" t="s">
        <v>279</v>
      </c>
      <c r="H1482" s="11" t="s">
        <v>30</v>
      </c>
      <c r="I1482" s="11" t="s">
        <v>22012</v>
      </c>
    </row>
    <row r="1483" spans="1:9" ht="13.15" x14ac:dyDescent="0.4">
      <c r="A1483" s="11" t="s">
        <v>20260</v>
      </c>
      <c r="B1483" s="11" t="s">
        <v>6073</v>
      </c>
      <c r="C1483" s="11" t="s">
        <v>18721</v>
      </c>
      <c r="D1483" s="12">
        <v>41275</v>
      </c>
      <c r="E1483" s="12">
        <v>41275</v>
      </c>
      <c r="F1483" s="11"/>
      <c r="G1483" s="11" t="s">
        <v>279</v>
      </c>
      <c r="H1483" s="11" t="s">
        <v>30</v>
      </c>
      <c r="I1483" s="11" t="s">
        <v>20599</v>
      </c>
    </row>
    <row r="1484" spans="1:9" ht="13.15" x14ac:dyDescent="0.4">
      <c r="A1484" s="11" t="s">
        <v>19632</v>
      </c>
      <c r="B1484" s="11" t="s">
        <v>6073</v>
      </c>
      <c r="C1484" s="11" t="s">
        <v>18721</v>
      </c>
      <c r="D1484" s="12">
        <v>41275</v>
      </c>
      <c r="E1484" s="12">
        <v>41275</v>
      </c>
      <c r="F1484" s="11"/>
      <c r="G1484" s="11" t="s">
        <v>279</v>
      </c>
      <c r="H1484" s="11" t="s">
        <v>30</v>
      </c>
      <c r="I1484" s="11" t="s">
        <v>21227</v>
      </c>
    </row>
    <row r="1485" spans="1:9" ht="13.15" x14ac:dyDescent="0.4">
      <c r="A1485" s="11" t="s">
        <v>19527</v>
      </c>
      <c r="B1485" s="11" t="s">
        <v>6073</v>
      </c>
      <c r="C1485" s="11" t="s">
        <v>18721</v>
      </c>
      <c r="D1485" s="12">
        <v>41640</v>
      </c>
      <c r="E1485" s="12">
        <v>41640</v>
      </c>
      <c r="F1485" s="11"/>
      <c r="G1485" s="11" t="s">
        <v>279</v>
      </c>
      <c r="H1485" s="11" t="s">
        <v>30</v>
      </c>
      <c r="I1485" s="11" t="s">
        <v>21332</v>
      </c>
    </row>
    <row r="1486" spans="1:9" ht="13.15" x14ac:dyDescent="0.4">
      <c r="A1486" s="11" t="s">
        <v>19171</v>
      </c>
      <c r="B1486" s="11" t="s">
        <v>6073</v>
      </c>
      <c r="C1486" s="11" t="s">
        <v>18721</v>
      </c>
      <c r="D1486" s="12">
        <v>41275</v>
      </c>
      <c r="E1486" s="12">
        <v>41275</v>
      </c>
      <c r="F1486" s="11"/>
      <c r="G1486" s="11" t="s">
        <v>279</v>
      </c>
      <c r="H1486" s="11" t="s">
        <v>30</v>
      </c>
      <c r="I1486" s="11" t="s">
        <v>21688</v>
      </c>
    </row>
    <row r="1487" spans="1:9" ht="13.15" x14ac:dyDescent="0.4">
      <c r="A1487" s="11" t="s">
        <v>20244</v>
      </c>
      <c r="B1487" s="11" t="s">
        <v>6073</v>
      </c>
      <c r="C1487" s="11" t="s">
        <v>18721</v>
      </c>
      <c r="D1487" s="12">
        <v>41275</v>
      </c>
      <c r="E1487" s="12">
        <v>41275</v>
      </c>
      <c r="F1487" s="11"/>
      <c r="G1487" s="11" t="s">
        <v>279</v>
      </c>
      <c r="H1487" s="11" t="s">
        <v>30</v>
      </c>
      <c r="I1487" s="11" t="s">
        <v>20615</v>
      </c>
    </row>
    <row r="1488" spans="1:9" ht="13.15" x14ac:dyDescent="0.4">
      <c r="A1488" s="11" t="s">
        <v>19277</v>
      </c>
      <c r="B1488" s="11" t="s">
        <v>6073</v>
      </c>
      <c r="C1488" s="11" t="s">
        <v>18721</v>
      </c>
      <c r="D1488" s="12">
        <v>41275</v>
      </c>
      <c r="E1488" s="12">
        <v>41275</v>
      </c>
      <c r="F1488" s="11"/>
      <c r="G1488" s="11" t="s">
        <v>279</v>
      </c>
      <c r="H1488" s="11" t="s">
        <v>30</v>
      </c>
      <c r="I1488" s="11" t="s">
        <v>21582</v>
      </c>
    </row>
    <row r="1489" spans="1:9" ht="13.15" x14ac:dyDescent="0.4">
      <c r="A1489" s="11" t="s">
        <v>20189</v>
      </c>
      <c r="B1489" s="11" t="s">
        <v>6073</v>
      </c>
      <c r="C1489" s="11" t="s">
        <v>18721</v>
      </c>
      <c r="D1489" s="12">
        <v>41275</v>
      </c>
      <c r="E1489" s="12">
        <v>41275</v>
      </c>
      <c r="F1489" s="11"/>
      <c r="G1489" s="11" t="s">
        <v>279</v>
      </c>
      <c r="H1489" s="11" t="s">
        <v>30</v>
      </c>
      <c r="I1489" s="11" t="s">
        <v>20670</v>
      </c>
    </row>
    <row r="1490" spans="1:9" ht="13.15" x14ac:dyDescent="0.4">
      <c r="A1490" s="11" t="s">
        <v>18732</v>
      </c>
      <c r="B1490" s="11" t="s">
        <v>6073</v>
      </c>
      <c r="C1490" s="11" t="s">
        <v>18721</v>
      </c>
      <c r="D1490" s="12">
        <v>41275</v>
      </c>
      <c r="E1490" s="12">
        <v>41275</v>
      </c>
      <c r="F1490" s="11"/>
      <c r="G1490" s="11" t="s">
        <v>279</v>
      </c>
      <c r="H1490" s="11" t="s">
        <v>30</v>
      </c>
      <c r="I1490" s="11" t="s">
        <v>22127</v>
      </c>
    </row>
    <row r="1491" spans="1:9" ht="13.15" x14ac:dyDescent="0.4">
      <c r="A1491" s="11" t="s">
        <v>19908</v>
      </c>
      <c r="B1491" s="11" t="s">
        <v>6073</v>
      </c>
      <c r="C1491" s="11" t="s">
        <v>18721</v>
      </c>
      <c r="D1491" s="12">
        <v>41275</v>
      </c>
      <c r="E1491" s="12">
        <v>41275</v>
      </c>
      <c r="F1491" s="11"/>
      <c r="G1491" s="11" t="s">
        <v>279</v>
      </c>
      <c r="H1491" s="11" t="s">
        <v>30</v>
      </c>
      <c r="I1491" s="11" t="s">
        <v>20951</v>
      </c>
    </row>
    <row r="1492" spans="1:9" ht="13.15" x14ac:dyDescent="0.4">
      <c r="A1492" s="11" t="s">
        <v>19799</v>
      </c>
      <c r="B1492" s="11" t="s">
        <v>6073</v>
      </c>
      <c r="C1492" s="11" t="s">
        <v>18721</v>
      </c>
      <c r="D1492" s="12">
        <v>41275</v>
      </c>
      <c r="E1492" s="12">
        <v>41275</v>
      </c>
      <c r="F1492" s="11"/>
      <c r="G1492" s="11" t="s">
        <v>279</v>
      </c>
      <c r="H1492" s="11" t="s">
        <v>30</v>
      </c>
      <c r="I1492" s="11" t="s">
        <v>21060</v>
      </c>
    </row>
    <row r="1493" spans="1:9" ht="13.15" x14ac:dyDescent="0.4">
      <c r="A1493" s="11" t="s">
        <v>19227</v>
      </c>
      <c r="B1493" s="11" t="s">
        <v>6073</v>
      </c>
      <c r="C1493" s="11" t="s">
        <v>18721</v>
      </c>
      <c r="D1493" s="12">
        <v>41275</v>
      </c>
      <c r="E1493" s="12">
        <v>41275</v>
      </c>
      <c r="F1493" s="11"/>
      <c r="G1493" s="11" t="s">
        <v>279</v>
      </c>
      <c r="H1493" s="11" t="s">
        <v>30</v>
      </c>
      <c r="I1493" s="11" t="s">
        <v>21632</v>
      </c>
    </row>
    <row r="1494" spans="1:9" ht="13.15" x14ac:dyDescent="0.4">
      <c r="A1494" s="11" t="s">
        <v>19847</v>
      </c>
      <c r="B1494" s="11" t="s">
        <v>6073</v>
      </c>
      <c r="C1494" s="11" t="s">
        <v>18721</v>
      </c>
      <c r="D1494" s="12">
        <v>41275</v>
      </c>
      <c r="E1494" s="12">
        <v>41275</v>
      </c>
      <c r="F1494" s="11"/>
      <c r="G1494" s="11" t="s">
        <v>279</v>
      </c>
      <c r="H1494" s="11" t="s">
        <v>30</v>
      </c>
      <c r="I1494" s="11" t="s">
        <v>21012</v>
      </c>
    </row>
    <row r="1495" spans="1:9" ht="13.15" x14ac:dyDescent="0.4">
      <c r="A1495" s="11" t="s">
        <v>19665</v>
      </c>
      <c r="B1495" s="11" t="s">
        <v>6073</v>
      </c>
      <c r="C1495" s="11" t="s">
        <v>18721</v>
      </c>
      <c r="D1495" s="12">
        <v>41275</v>
      </c>
      <c r="E1495" s="12">
        <v>41275</v>
      </c>
      <c r="F1495" s="11"/>
      <c r="G1495" s="11" t="s">
        <v>279</v>
      </c>
      <c r="H1495" s="11" t="s">
        <v>30</v>
      </c>
      <c r="I1495" s="11" t="s">
        <v>21194</v>
      </c>
    </row>
    <row r="1496" spans="1:9" ht="13.15" x14ac:dyDescent="0.4">
      <c r="A1496" s="11" t="s">
        <v>18741</v>
      </c>
      <c r="B1496" s="11" t="s">
        <v>6073</v>
      </c>
      <c r="C1496" s="11" t="s">
        <v>18721</v>
      </c>
      <c r="D1496" s="12">
        <v>41275</v>
      </c>
      <c r="E1496" s="12">
        <v>41275</v>
      </c>
      <c r="F1496" s="11"/>
      <c r="G1496" s="11" t="s">
        <v>279</v>
      </c>
      <c r="H1496" s="11" t="s">
        <v>30</v>
      </c>
      <c r="I1496" s="11" t="s">
        <v>22118</v>
      </c>
    </row>
    <row r="1497" spans="1:9" ht="13.15" x14ac:dyDescent="0.4">
      <c r="A1497" s="11" t="s">
        <v>20229</v>
      </c>
      <c r="B1497" s="11" t="s">
        <v>6073</v>
      </c>
      <c r="C1497" s="11" t="s">
        <v>18721</v>
      </c>
      <c r="D1497" s="12">
        <v>41275</v>
      </c>
      <c r="E1497" s="12">
        <v>41275</v>
      </c>
      <c r="F1497" s="11"/>
      <c r="G1497" s="11" t="s">
        <v>279</v>
      </c>
      <c r="H1497" s="11" t="s">
        <v>30</v>
      </c>
      <c r="I1497" s="11" t="s">
        <v>20630</v>
      </c>
    </row>
    <row r="1498" spans="1:9" ht="13.15" x14ac:dyDescent="0.4">
      <c r="A1498" s="11" t="s">
        <v>19366</v>
      </c>
      <c r="B1498" s="11" t="s">
        <v>6073</v>
      </c>
      <c r="C1498" s="11" t="s">
        <v>18721</v>
      </c>
      <c r="D1498" s="12">
        <v>41275</v>
      </c>
      <c r="E1498" s="12">
        <v>41275</v>
      </c>
      <c r="F1498" s="11"/>
      <c r="G1498" s="11" t="s">
        <v>279</v>
      </c>
      <c r="H1498" s="11" t="s">
        <v>30</v>
      </c>
      <c r="I1498" s="11" t="s">
        <v>21493</v>
      </c>
    </row>
    <row r="1499" spans="1:9" ht="13.15" x14ac:dyDescent="0.4">
      <c r="A1499" s="11" t="s">
        <v>18912</v>
      </c>
      <c r="B1499" s="11" t="s">
        <v>6073</v>
      </c>
      <c r="C1499" s="11" t="s">
        <v>18721</v>
      </c>
      <c r="D1499" s="12">
        <v>41275</v>
      </c>
      <c r="E1499" s="12">
        <v>41275</v>
      </c>
      <c r="F1499" s="11"/>
      <c r="G1499" s="11" t="s">
        <v>279</v>
      </c>
      <c r="H1499" s="11" t="s">
        <v>30</v>
      </c>
      <c r="I1499" s="11" t="s">
        <v>21947</v>
      </c>
    </row>
    <row r="1500" spans="1:9" ht="13.15" x14ac:dyDescent="0.4">
      <c r="A1500" s="11" t="s">
        <v>19472</v>
      </c>
      <c r="B1500" s="11" t="s">
        <v>6073</v>
      </c>
      <c r="C1500" s="11" t="s">
        <v>18721</v>
      </c>
      <c r="D1500" s="12">
        <v>41275</v>
      </c>
      <c r="E1500" s="12">
        <v>41275</v>
      </c>
      <c r="F1500" s="11"/>
      <c r="G1500" s="11" t="s">
        <v>279</v>
      </c>
      <c r="H1500" s="11" t="s">
        <v>30</v>
      </c>
      <c r="I1500" s="11" t="s">
        <v>21387</v>
      </c>
    </row>
    <row r="1501" spans="1:9" ht="13.15" x14ac:dyDescent="0.4">
      <c r="A1501" s="11" t="s">
        <v>20224</v>
      </c>
      <c r="B1501" s="11" t="s">
        <v>6073</v>
      </c>
      <c r="C1501" s="11" t="s">
        <v>18721</v>
      </c>
      <c r="D1501" s="12">
        <v>41275</v>
      </c>
      <c r="E1501" s="12">
        <v>41275</v>
      </c>
      <c r="F1501" s="11"/>
      <c r="G1501" s="11" t="s">
        <v>279</v>
      </c>
      <c r="H1501" s="11" t="s">
        <v>30</v>
      </c>
      <c r="I1501" s="11" t="s">
        <v>20635</v>
      </c>
    </row>
    <row r="1502" spans="1:9" ht="13.15" x14ac:dyDescent="0.4">
      <c r="A1502" s="11" t="s">
        <v>19824</v>
      </c>
      <c r="B1502" s="11" t="s">
        <v>6073</v>
      </c>
      <c r="C1502" s="11" t="s">
        <v>18721</v>
      </c>
      <c r="D1502" s="12">
        <v>40909</v>
      </c>
      <c r="E1502" s="12">
        <v>40909</v>
      </c>
      <c r="F1502" s="11"/>
      <c r="G1502" s="11" t="s">
        <v>279</v>
      </c>
      <c r="H1502" s="11" t="s">
        <v>30</v>
      </c>
      <c r="I1502" s="11" t="s">
        <v>21035</v>
      </c>
    </row>
    <row r="1503" spans="1:9" ht="13.15" x14ac:dyDescent="0.4">
      <c r="A1503" s="11" t="s">
        <v>19070</v>
      </c>
      <c r="B1503" s="11" t="s">
        <v>6073</v>
      </c>
      <c r="C1503" s="11" t="s">
        <v>18721</v>
      </c>
      <c r="D1503" s="12">
        <v>41275</v>
      </c>
      <c r="E1503" s="12">
        <v>41275</v>
      </c>
      <c r="F1503" s="11"/>
      <c r="G1503" s="11" t="s">
        <v>279</v>
      </c>
      <c r="H1503" s="11" t="s">
        <v>30</v>
      </c>
      <c r="I1503" s="11" t="s">
        <v>21789</v>
      </c>
    </row>
    <row r="1504" spans="1:9" ht="13.15" x14ac:dyDescent="0.4">
      <c r="A1504" s="11" t="s">
        <v>19211</v>
      </c>
      <c r="B1504" s="11" t="s">
        <v>6073</v>
      </c>
      <c r="C1504" s="11" t="s">
        <v>18721</v>
      </c>
      <c r="D1504" s="12">
        <v>41275</v>
      </c>
      <c r="E1504" s="12">
        <v>41275</v>
      </c>
      <c r="F1504" s="11"/>
      <c r="G1504" s="11" t="s">
        <v>279</v>
      </c>
      <c r="H1504" s="11" t="s">
        <v>30</v>
      </c>
      <c r="I1504" s="11" t="s">
        <v>21648</v>
      </c>
    </row>
    <row r="1505" spans="1:9" ht="13.15" x14ac:dyDescent="0.4">
      <c r="A1505" s="11" t="s">
        <v>19646</v>
      </c>
      <c r="B1505" s="11" t="s">
        <v>6073</v>
      </c>
      <c r="C1505" s="11" t="s">
        <v>18721</v>
      </c>
      <c r="D1505" s="12">
        <v>41275</v>
      </c>
      <c r="E1505" s="12">
        <v>41275</v>
      </c>
      <c r="F1505" s="11"/>
      <c r="G1505" s="11" t="s">
        <v>279</v>
      </c>
      <c r="H1505" s="11" t="s">
        <v>30</v>
      </c>
      <c r="I1505" s="11" t="s">
        <v>21213</v>
      </c>
    </row>
    <row r="1506" spans="1:9" ht="13.15" x14ac:dyDescent="0.4">
      <c r="A1506" s="11" t="s">
        <v>18787</v>
      </c>
      <c r="B1506" s="11" t="s">
        <v>6073</v>
      </c>
      <c r="C1506" s="11" t="s">
        <v>18721</v>
      </c>
      <c r="D1506" s="12">
        <v>41275</v>
      </c>
      <c r="E1506" s="12">
        <v>41275</v>
      </c>
      <c r="F1506" s="11"/>
      <c r="G1506" s="11" t="s">
        <v>279</v>
      </c>
      <c r="H1506" s="11" t="s">
        <v>30</v>
      </c>
      <c r="I1506" s="11" t="s">
        <v>22072</v>
      </c>
    </row>
    <row r="1507" spans="1:9" ht="13.15" x14ac:dyDescent="0.4">
      <c r="A1507" s="11" t="s">
        <v>19339</v>
      </c>
      <c r="B1507" s="11" t="s">
        <v>6073</v>
      </c>
      <c r="C1507" s="11" t="s">
        <v>18721</v>
      </c>
      <c r="D1507" s="12">
        <v>41275</v>
      </c>
      <c r="E1507" s="12">
        <v>41275</v>
      </c>
      <c r="F1507" s="11"/>
      <c r="G1507" s="11" t="s">
        <v>279</v>
      </c>
      <c r="H1507" s="11" t="s">
        <v>30</v>
      </c>
      <c r="I1507" s="11" t="s">
        <v>21520</v>
      </c>
    </row>
    <row r="1508" spans="1:9" ht="13.15" x14ac:dyDescent="0.4">
      <c r="A1508" s="11" t="s">
        <v>19607</v>
      </c>
      <c r="B1508" s="11" t="s">
        <v>6073</v>
      </c>
      <c r="C1508" s="11" t="s">
        <v>18721</v>
      </c>
      <c r="D1508" s="12">
        <v>41275</v>
      </c>
      <c r="E1508" s="12">
        <v>41275</v>
      </c>
      <c r="F1508" s="11"/>
      <c r="G1508" s="11" t="s">
        <v>279</v>
      </c>
      <c r="H1508" s="11" t="s">
        <v>30</v>
      </c>
      <c r="I1508" s="11" t="s">
        <v>21252</v>
      </c>
    </row>
    <row r="1509" spans="1:9" ht="13.15" x14ac:dyDescent="0.4">
      <c r="A1509" s="11" t="s">
        <v>19594</v>
      </c>
      <c r="B1509" s="11" t="s">
        <v>6073</v>
      </c>
      <c r="C1509" s="11" t="s">
        <v>18721</v>
      </c>
      <c r="D1509" s="12">
        <v>41275</v>
      </c>
      <c r="E1509" s="12">
        <v>41275</v>
      </c>
      <c r="F1509" s="11"/>
      <c r="G1509" s="11" t="s">
        <v>279</v>
      </c>
      <c r="H1509" s="11" t="s">
        <v>30</v>
      </c>
      <c r="I1509" s="11" t="s">
        <v>21265</v>
      </c>
    </row>
    <row r="1510" spans="1:9" ht="13.15" x14ac:dyDescent="0.4">
      <c r="A1510" s="11" t="s">
        <v>19528</v>
      </c>
      <c r="B1510" s="11" t="s">
        <v>6073</v>
      </c>
      <c r="C1510" s="11" t="s">
        <v>18721</v>
      </c>
      <c r="D1510" s="12">
        <v>41275</v>
      </c>
      <c r="E1510" s="12">
        <v>41275</v>
      </c>
      <c r="F1510" s="11"/>
      <c r="G1510" s="11" t="s">
        <v>279</v>
      </c>
      <c r="H1510" s="11" t="s">
        <v>30</v>
      </c>
      <c r="I1510" s="11" t="s">
        <v>21331</v>
      </c>
    </row>
    <row r="1511" spans="1:9" ht="13.15" x14ac:dyDescent="0.4">
      <c r="A1511" s="11" t="s">
        <v>19300</v>
      </c>
      <c r="B1511" s="11" t="s">
        <v>6073</v>
      </c>
      <c r="C1511" s="11" t="s">
        <v>18721</v>
      </c>
      <c r="D1511" s="12">
        <v>41275</v>
      </c>
      <c r="E1511" s="12">
        <v>41275</v>
      </c>
      <c r="F1511" s="11"/>
      <c r="G1511" s="11" t="s">
        <v>279</v>
      </c>
      <c r="H1511" s="11" t="s">
        <v>30</v>
      </c>
      <c r="I1511" s="11" t="s">
        <v>21559</v>
      </c>
    </row>
    <row r="1512" spans="1:9" ht="13.15" x14ac:dyDescent="0.4">
      <c r="A1512" s="11" t="s">
        <v>19584</v>
      </c>
      <c r="B1512" s="11" t="s">
        <v>6073</v>
      </c>
      <c r="C1512" s="11" t="s">
        <v>18721</v>
      </c>
      <c r="D1512" s="12">
        <v>40909</v>
      </c>
      <c r="E1512" s="12">
        <v>40909</v>
      </c>
      <c r="F1512" s="11"/>
      <c r="G1512" s="11" t="s">
        <v>279</v>
      </c>
      <c r="H1512" s="11" t="s">
        <v>30</v>
      </c>
      <c r="I1512" s="11" t="s">
        <v>21275</v>
      </c>
    </row>
    <row r="1513" spans="1:9" ht="13.15" x14ac:dyDescent="0.4">
      <c r="A1513" s="11" t="s">
        <v>20124</v>
      </c>
      <c r="B1513" s="11" t="s">
        <v>6073</v>
      </c>
      <c r="C1513" s="11" t="s">
        <v>18721</v>
      </c>
      <c r="D1513" s="12">
        <v>41275</v>
      </c>
      <c r="E1513" s="12">
        <v>41275</v>
      </c>
      <c r="F1513" s="11"/>
      <c r="G1513" s="11" t="s">
        <v>279</v>
      </c>
      <c r="H1513" s="11" t="s">
        <v>30</v>
      </c>
      <c r="I1513" s="11" t="s">
        <v>20735</v>
      </c>
    </row>
    <row r="1514" spans="1:9" ht="13.15" x14ac:dyDescent="0.4">
      <c r="A1514" s="11" t="s">
        <v>19988</v>
      </c>
      <c r="B1514" s="11" t="s">
        <v>6073</v>
      </c>
      <c r="C1514" s="11" t="s">
        <v>18721</v>
      </c>
      <c r="D1514" s="12">
        <v>41275</v>
      </c>
      <c r="E1514" s="12">
        <v>41275</v>
      </c>
      <c r="F1514" s="11"/>
      <c r="G1514" s="11" t="s">
        <v>279</v>
      </c>
      <c r="H1514" s="11" t="s">
        <v>30</v>
      </c>
      <c r="I1514" s="11" t="s">
        <v>20871</v>
      </c>
    </row>
    <row r="1515" spans="1:9" ht="13.15" x14ac:dyDescent="0.4">
      <c r="A1515" s="11" t="s">
        <v>19558</v>
      </c>
      <c r="B1515" s="11" t="s">
        <v>6073</v>
      </c>
      <c r="C1515" s="11" t="s">
        <v>18721</v>
      </c>
      <c r="D1515" s="12">
        <v>41275</v>
      </c>
      <c r="E1515" s="12">
        <v>41275</v>
      </c>
      <c r="F1515" s="11"/>
      <c r="G1515" s="11" t="s">
        <v>279</v>
      </c>
      <c r="H1515" s="11" t="s">
        <v>30</v>
      </c>
      <c r="I1515" s="11" t="s">
        <v>21301</v>
      </c>
    </row>
    <row r="1516" spans="1:9" ht="13.15" x14ac:dyDescent="0.4">
      <c r="A1516" s="11" t="s">
        <v>19325</v>
      </c>
      <c r="B1516" s="11" t="s">
        <v>6073</v>
      </c>
      <c r="C1516" s="11" t="s">
        <v>18721</v>
      </c>
      <c r="D1516" s="12">
        <v>41275</v>
      </c>
      <c r="E1516" s="12">
        <v>41275</v>
      </c>
      <c r="F1516" s="11"/>
      <c r="G1516" s="11" t="s">
        <v>279</v>
      </c>
      <c r="H1516" s="11" t="s">
        <v>30</v>
      </c>
      <c r="I1516" s="11" t="s">
        <v>21534</v>
      </c>
    </row>
    <row r="1517" spans="1:9" ht="13.15" x14ac:dyDescent="0.4">
      <c r="A1517" s="11" t="s">
        <v>20361</v>
      </c>
      <c r="B1517" s="11" t="s">
        <v>6073</v>
      </c>
      <c r="C1517" s="11" t="s">
        <v>18721</v>
      </c>
      <c r="D1517" s="12">
        <v>41275</v>
      </c>
      <c r="E1517" s="12">
        <v>41275</v>
      </c>
      <c r="F1517" s="11"/>
      <c r="G1517" s="11" t="s">
        <v>279</v>
      </c>
      <c r="H1517" s="11" t="s">
        <v>30</v>
      </c>
      <c r="I1517" s="11" t="s">
        <v>20498</v>
      </c>
    </row>
    <row r="1518" spans="1:9" ht="13.15" x14ac:dyDescent="0.4">
      <c r="A1518" s="11" t="s">
        <v>18835</v>
      </c>
      <c r="B1518" s="11" t="s">
        <v>6073</v>
      </c>
      <c r="C1518" s="11" t="s">
        <v>18721</v>
      </c>
      <c r="D1518" s="12">
        <v>41275</v>
      </c>
      <c r="E1518" s="12">
        <v>41275</v>
      </c>
      <c r="F1518" s="11"/>
      <c r="G1518" s="11" t="s">
        <v>279</v>
      </c>
      <c r="H1518" s="11" t="s">
        <v>30</v>
      </c>
      <c r="I1518" s="11" t="s">
        <v>22024</v>
      </c>
    </row>
    <row r="1519" spans="1:9" ht="13.15" x14ac:dyDescent="0.4">
      <c r="A1519" s="11" t="s">
        <v>18972</v>
      </c>
      <c r="B1519" s="11" t="s">
        <v>6073</v>
      </c>
      <c r="C1519" s="11" t="s">
        <v>18721</v>
      </c>
      <c r="D1519" s="12">
        <v>41275</v>
      </c>
      <c r="E1519" s="12">
        <v>41275</v>
      </c>
      <c r="F1519" s="11"/>
      <c r="G1519" s="11" t="s">
        <v>279</v>
      </c>
      <c r="H1519" s="11" t="s">
        <v>30</v>
      </c>
      <c r="I1519" s="11" t="s">
        <v>21887</v>
      </c>
    </row>
    <row r="1520" spans="1:9" ht="13.15" x14ac:dyDescent="0.4">
      <c r="A1520" s="11" t="s">
        <v>18831</v>
      </c>
      <c r="B1520" s="11" t="s">
        <v>6073</v>
      </c>
      <c r="C1520" s="11" t="s">
        <v>18721</v>
      </c>
      <c r="D1520" s="12">
        <v>41275</v>
      </c>
      <c r="E1520" s="12">
        <v>41275</v>
      </c>
      <c r="F1520" s="11"/>
      <c r="G1520" s="11" t="s">
        <v>279</v>
      </c>
      <c r="H1520" s="11" t="s">
        <v>30</v>
      </c>
      <c r="I1520" s="11" t="s">
        <v>22028</v>
      </c>
    </row>
    <row r="1521" spans="1:9" ht="13.15" x14ac:dyDescent="0.4">
      <c r="A1521" s="11" t="s">
        <v>19702</v>
      </c>
      <c r="B1521" s="11" t="s">
        <v>6073</v>
      </c>
      <c r="C1521" s="11" t="s">
        <v>18721</v>
      </c>
      <c r="D1521" s="12">
        <v>41275</v>
      </c>
      <c r="E1521" s="12">
        <v>41275</v>
      </c>
      <c r="F1521" s="11"/>
      <c r="G1521" s="11" t="s">
        <v>279</v>
      </c>
      <c r="H1521" s="11" t="s">
        <v>30</v>
      </c>
      <c r="I1521" s="11" t="s">
        <v>21157</v>
      </c>
    </row>
    <row r="1522" spans="1:9" ht="13.15" x14ac:dyDescent="0.4">
      <c r="A1522" s="11" t="s">
        <v>19248</v>
      </c>
      <c r="B1522" s="11" t="s">
        <v>6073</v>
      </c>
      <c r="C1522" s="11" t="s">
        <v>18721</v>
      </c>
      <c r="D1522" s="12">
        <v>41275</v>
      </c>
      <c r="E1522" s="12">
        <v>41275</v>
      </c>
      <c r="F1522" s="11"/>
      <c r="G1522" s="11" t="s">
        <v>279</v>
      </c>
      <c r="H1522" s="11" t="s">
        <v>30</v>
      </c>
      <c r="I1522" s="11" t="s">
        <v>21611</v>
      </c>
    </row>
    <row r="1523" spans="1:9" ht="13.15" x14ac:dyDescent="0.4">
      <c r="A1523" s="11" t="s">
        <v>19688</v>
      </c>
      <c r="B1523" s="11" t="s">
        <v>6073</v>
      </c>
      <c r="C1523" s="11" t="s">
        <v>18721</v>
      </c>
      <c r="D1523" s="12">
        <v>41275</v>
      </c>
      <c r="E1523" s="12">
        <v>41275</v>
      </c>
      <c r="F1523" s="11"/>
      <c r="G1523" s="11" t="s">
        <v>279</v>
      </c>
      <c r="H1523" s="11" t="s">
        <v>30</v>
      </c>
      <c r="I1523" s="11" t="s">
        <v>21171</v>
      </c>
    </row>
    <row r="1524" spans="1:9" ht="13.15" x14ac:dyDescent="0.4">
      <c r="A1524" s="11" t="s">
        <v>20414</v>
      </c>
      <c r="B1524" s="11" t="s">
        <v>6073</v>
      </c>
      <c r="C1524" s="11" t="s">
        <v>18721</v>
      </c>
      <c r="D1524" s="12">
        <v>41275</v>
      </c>
      <c r="E1524" s="12">
        <v>41275</v>
      </c>
      <c r="F1524" s="11"/>
      <c r="G1524" s="11" t="s">
        <v>279</v>
      </c>
      <c r="H1524" s="11" t="s">
        <v>30</v>
      </c>
      <c r="I1524" s="11" t="s">
        <v>20445</v>
      </c>
    </row>
    <row r="1525" spans="1:9" ht="13.15" x14ac:dyDescent="0.4">
      <c r="A1525" s="11" t="s">
        <v>19869</v>
      </c>
      <c r="B1525" s="11" t="s">
        <v>6073</v>
      </c>
      <c r="C1525" s="11" t="s">
        <v>18721</v>
      </c>
      <c r="D1525" s="12">
        <v>41640</v>
      </c>
      <c r="E1525" s="12">
        <v>41640</v>
      </c>
      <c r="F1525" s="11"/>
      <c r="G1525" s="11" t="s">
        <v>279</v>
      </c>
      <c r="H1525" s="11" t="s">
        <v>30</v>
      </c>
      <c r="I1525" s="11" t="s">
        <v>20990</v>
      </c>
    </row>
    <row r="1526" spans="1:9" ht="13.15" x14ac:dyDescent="0.4">
      <c r="A1526" s="11" t="s">
        <v>19450</v>
      </c>
      <c r="B1526" s="11" t="s">
        <v>6073</v>
      </c>
      <c r="C1526" s="11" t="s">
        <v>18721</v>
      </c>
      <c r="D1526" s="12">
        <v>41640</v>
      </c>
      <c r="E1526" s="12">
        <v>41640</v>
      </c>
      <c r="F1526" s="11"/>
      <c r="G1526" s="11" t="s">
        <v>279</v>
      </c>
      <c r="H1526" s="11" t="s">
        <v>30</v>
      </c>
      <c r="I1526" s="11" t="s">
        <v>21409</v>
      </c>
    </row>
    <row r="1527" spans="1:9" ht="13.15" x14ac:dyDescent="0.4">
      <c r="A1527" s="11" t="s">
        <v>19781</v>
      </c>
      <c r="B1527" s="11" t="s">
        <v>6073</v>
      </c>
      <c r="C1527" s="11" t="s">
        <v>18721</v>
      </c>
      <c r="D1527" s="12">
        <v>41275</v>
      </c>
      <c r="E1527" s="12">
        <v>41275</v>
      </c>
      <c r="F1527" s="11"/>
      <c r="G1527" s="11" t="s">
        <v>279</v>
      </c>
      <c r="H1527" s="11" t="s">
        <v>30</v>
      </c>
      <c r="I1527" s="11" t="s">
        <v>21078</v>
      </c>
    </row>
    <row r="1528" spans="1:9" ht="13.15" x14ac:dyDescent="0.4">
      <c r="A1528" s="11" t="s">
        <v>18880</v>
      </c>
      <c r="B1528" s="11" t="s">
        <v>6073</v>
      </c>
      <c r="C1528" s="11" t="s">
        <v>18721</v>
      </c>
      <c r="D1528" s="12">
        <v>41640</v>
      </c>
      <c r="E1528" s="12">
        <v>41640</v>
      </c>
      <c r="F1528" s="11"/>
      <c r="G1528" s="11" t="s">
        <v>279</v>
      </c>
      <c r="H1528" s="11" t="s">
        <v>30</v>
      </c>
      <c r="I1528" s="11" t="s">
        <v>21979</v>
      </c>
    </row>
    <row r="1529" spans="1:9" ht="13.15" x14ac:dyDescent="0.4">
      <c r="A1529" s="11" t="s">
        <v>19391</v>
      </c>
      <c r="B1529" s="11" t="s">
        <v>6073</v>
      </c>
      <c r="C1529" s="11" t="s">
        <v>18721</v>
      </c>
      <c r="D1529" s="12">
        <v>41275</v>
      </c>
      <c r="E1529" s="12">
        <v>41275</v>
      </c>
      <c r="F1529" s="11"/>
      <c r="G1529" s="11" t="s">
        <v>279</v>
      </c>
      <c r="H1529" s="11" t="s">
        <v>30</v>
      </c>
      <c r="I1529" s="11" t="s">
        <v>21468</v>
      </c>
    </row>
    <row r="1530" spans="1:9" ht="13.15" x14ac:dyDescent="0.4">
      <c r="A1530" s="11" t="s">
        <v>19694</v>
      </c>
      <c r="B1530" s="11" t="s">
        <v>6073</v>
      </c>
      <c r="C1530" s="11" t="s">
        <v>18721</v>
      </c>
      <c r="D1530" s="12">
        <v>41640</v>
      </c>
      <c r="E1530" s="12">
        <v>41640</v>
      </c>
      <c r="F1530" s="11"/>
      <c r="G1530" s="11" t="s">
        <v>279</v>
      </c>
      <c r="H1530" s="11" t="s">
        <v>30</v>
      </c>
      <c r="I1530" s="11" t="s">
        <v>21165</v>
      </c>
    </row>
    <row r="1531" spans="1:9" ht="13.15" x14ac:dyDescent="0.4">
      <c r="A1531" s="11" t="s">
        <v>19035</v>
      </c>
      <c r="B1531" s="11" t="s">
        <v>6073</v>
      </c>
      <c r="C1531" s="11" t="s">
        <v>18721</v>
      </c>
      <c r="D1531" s="12">
        <v>41640</v>
      </c>
      <c r="E1531" s="12">
        <v>41640</v>
      </c>
      <c r="F1531" s="11"/>
      <c r="G1531" s="11" t="s">
        <v>279</v>
      </c>
      <c r="H1531" s="11" t="s">
        <v>30</v>
      </c>
      <c r="I1531" s="11" t="s">
        <v>21824</v>
      </c>
    </row>
    <row r="1532" spans="1:9" ht="13.15" x14ac:dyDescent="0.4">
      <c r="A1532" s="11" t="s">
        <v>19573</v>
      </c>
      <c r="B1532" s="11" t="s">
        <v>6073</v>
      </c>
      <c r="C1532" s="11" t="s">
        <v>18721</v>
      </c>
      <c r="D1532" s="12">
        <v>41275</v>
      </c>
      <c r="E1532" s="12">
        <v>41275</v>
      </c>
      <c r="F1532" s="11"/>
      <c r="G1532" s="11" t="s">
        <v>279</v>
      </c>
      <c r="H1532" s="11" t="s">
        <v>30</v>
      </c>
      <c r="I1532" s="11" t="s">
        <v>21286</v>
      </c>
    </row>
    <row r="1533" spans="1:9" ht="13.15" x14ac:dyDescent="0.4">
      <c r="A1533" s="11" t="s">
        <v>20153</v>
      </c>
      <c r="B1533" s="11" t="s">
        <v>6073</v>
      </c>
      <c r="C1533" s="11" t="s">
        <v>18721</v>
      </c>
      <c r="D1533" s="12">
        <v>41640</v>
      </c>
      <c r="E1533" s="12">
        <v>41640</v>
      </c>
      <c r="F1533" s="11"/>
      <c r="G1533" s="11" t="s">
        <v>279</v>
      </c>
      <c r="H1533" s="11" t="s">
        <v>30</v>
      </c>
      <c r="I1533" s="11" t="s">
        <v>20706</v>
      </c>
    </row>
    <row r="1534" spans="1:9" ht="13.15" x14ac:dyDescent="0.4">
      <c r="A1534" s="11" t="s">
        <v>19776</v>
      </c>
      <c r="B1534" s="11" t="s">
        <v>6073</v>
      </c>
      <c r="C1534" s="11" t="s">
        <v>18721</v>
      </c>
      <c r="D1534" s="12">
        <v>41275</v>
      </c>
      <c r="E1534" s="12">
        <v>41275</v>
      </c>
      <c r="F1534" s="11"/>
      <c r="G1534" s="11" t="s">
        <v>279</v>
      </c>
      <c r="H1534" s="11" t="s">
        <v>30</v>
      </c>
      <c r="I1534" s="11" t="s">
        <v>21083</v>
      </c>
    </row>
    <row r="1535" spans="1:9" ht="13.15" x14ac:dyDescent="0.4">
      <c r="A1535" s="11" t="s">
        <v>20063</v>
      </c>
      <c r="B1535" s="11" t="s">
        <v>6073</v>
      </c>
      <c r="C1535" s="11" t="s">
        <v>18721</v>
      </c>
      <c r="D1535" s="12">
        <v>41275</v>
      </c>
      <c r="E1535" s="12">
        <v>41275</v>
      </c>
      <c r="F1535" s="11"/>
      <c r="G1535" s="11" t="s">
        <v>279</v>
      </c>
      <c r="H1535" s="11" t="s">
        <v>30</v>
      </c>
      <c r="I1535" s="11" t="s">
        <v>20796</v>
      </c>
    </row>
    <row r="1536" spans="1:9" ht="13.15" x14ac:dyDescent="0.4">
      <c r="A1536" s="11" t="s">
        <v>19513</v>
      </c>
      <c r="B1536" s="11" t="s">
        <v>6073</v>
      </c>
      <c r="C1536" s="11" t="s">
        <v>18721</v>
      </c>
      <c r="D1536" s="12">
        <v>41640</v>
      </c>
      <c r="E1536" s="12">
        <v>41640</v>
      </c>
      <c r="F1536" s="11"/>
      <c r="G1536" s="11" t="s">
        <v>279</v>
      </c>
      <c r="H1536" s="11" t="s">
        <v>30</v>
      </c>
      <c r="I1536" s="11" t="s">
        <v>21346</v>
      </c>
    </row>
    <row r="1537" spans="1:9" ht="13.15" x14ac:dyDescent="0.4">
      <c r="A1537" s="11" t="s">
        <v>19428</v>
      </c>
      <c r="B1537" s="11" t="s">
        <v>6073</v>
      </c>
      <c r="C1537" s="11" t="s">
        <v>18721</v>
      </c>
      <c r="D1537" s="12">
        <v>41275</v>
      </c>
      <c r="E1537" s="12">
        <v>41275</v>
      </c>
      <c r="F1537" s="11"/>
      <c r="G1537" s="11" t="s">
        <v>279</v>
      </c>
      <c r="H1537" s="11" t="s">
        <v>30</v>
      </c>
      <c r="I1537" s="11" t="s">
        <v>21431</v>
      </c>
    </row>
    <row r="1538" spans="1:9" ht="13.15" x14ac:dyDescent="0.4">
      <c r="A1538" s="11" t="s">
        <v>19663</v>
      </c>
      <c r="B1538" s="11" t="s">
        <v>6073</v>
      </c>
      <c r="C1538" s="11" t="s">
        <v>18721</v>
      </c>
      <c r="D1538" s="12">
        <v>41275</v>
      </c>
      <c r="E1538" s="12">
        <v>41275</v>
      </c>
      <c r="F1538" s="11"/>
      <c r="G1538" s="11" t="s">
        <v>279</v>
      </c>
      <c r="H1538" s="11" t="s">
        <v>30</v>
      </c>
      <c r="I1538" s="11" t="s">
        <v>21196</v>
      </c>
    </row>
    <row r="1539" spans="1:9" ht="13.15" x14ac:dyDescent="0.4">
      <c r="A1539" s="11" t="s">
        <v>19756</v>
      </c>
      <c r="B1539" s="11" t="s">
        <v>6073</v>
      </c>
      <c r="C1539" s="11" t="s">
        <v>18721</v>
      </c>
      <c r="D1539" s="12">
        <v>41640</v>
      </c>
      <c r="E1539" s="12">
        <v>41640</v>
      </c>
      <c r="F1539" s="11"/>
      <c r="G1539" s="11" t="s">
        <v>279</v>
      </c>
      <c r="H1539" s="11" t="s">
        <v>30</v>
      </c>
      <c r="I1539" s="11" t="s">
        <v>21103</v>
      </c>
    </row>
    <row r="1540" spans="1:9" ht="13.15" x14ac:dyDescent="0.4">
      <c r="A1540" s="11" t="s">
        <v>19744</v>
      </c>
      <c r="B1540" s="11" t="s">
        <v>6073</v>
      </c>
      <c r="C1540" s="11" t="s">
        <v>18721</v>
      </c>
      <c r="D1540" s="12">
        <v>41275</v>
      </c>
      <c r="E1540" s="12">
        <v>41275</v>
      </c>
      <c r="F1540" s="11"/>
      <c r="G1540" s="11" t="s">
        <v>279</v>
      </c>
      <c r="H1540" s="11" t="s">
        <v>30</v>
      </c>
      <c r="I1540" s="11" t="s">
        <v>21115</v>
      </c>
    </row>
    <row r="1541" spans="1:9" ht="13.15" x14ac:dyDescent="0.4">
      <c r="A1541" s="11" t="s">
        <v>18999</v>
      </c>
      <c r="B1541" s="11" t="s">
        <v>6073</v>
      </c>
      <c r="C1541" s="11" t="s">
        <v>18721</v>
      </c>
      <c r="D1541" s="12">
        <v>41640</v>
      </c>
      <c r="E1541" s="12">
        <v>41640</v>
      </c>
      <c r="F1541" s="11"/>
      <c r="G1541" s="11" t="s">
        <v>279</v>
      </c>
      <c r="H1541" s="11" t="s">
        <v>30</v>
      </c>
      <c r="I1541" s="11" t="s">
        <v>21860</v>
      </c>
    </row>
    <row r="1542" spans="1:9" ht="13.15" x14ac:dyDescent="0.4">
      <c r="A1542" s="11" t="s">
        <v>19834</v>
      </c>
      <c r="B1542" s="11" t="s">
        <v>6073</v>
      </c>
      <c r="C1542" s="11" t="s">
        <v>18721</v>
      </c>
      <c r="D1542" s="12">
        <v>41275</v>
      </c>
      <c r="E1542" s="12">
        <v>41275</v>
      </c>
      <c r="F1542" s="11"/>
      <c r="G1542" s="11" t="s">
        <v>279</v>
      </c>
      <c r="H1542" s="11" t="s">
        <v>30</v>
      </c>
      <c r="I1542" s="11" t="s">
        <v>21025</v>
      </c>
    </row>
    <row r="1543" spans="1:9" ht="13.15" x14ac:dyDescent="0.4">
      <c r="A1543" s="11" t="s">
        <v>20276</v>
      </c>
      <c r="B1543" s="11" t="s">
        <v>6073</v>
      </c>
      <c r="C1543" s="11" t="s">
        <v>18721</v>
      </c>
      <c r="D1543" s="12">
        <v>41640</v>
      </c>
      <c r="E1543" s="12">
        <v>41640</v>
      </c>
      <c r="F1543" s="11"/>
      <c r="G1543" s="11" t="s">
        <v>279</v>
      </c>
      <c r="H1543" s="11" t="s">
        <v>30</v>
      </c>
      <c r="I1543" s="11" t="s">
        <v>20583</v>
      </c>
    </row>
    <row r="1544" spans="1:9" ht="13.15" x14ac:dyDescent="0.4">
      <c r="A1544" s="11" t="s">
        <v>18997</v>
      </c>
      <c r="B1544" s="11" t="s">
        <v>6073</v>
      </c>
      <c r="C1544" s="11" t="s">
        <v>18721</v>
      </c>
      <c r="D1544" s="12">
        <v>41275</v>
      </c>
      <c r="E1544" s="12">
        <v>41275</v>
      </c>
      <c r="F1544" s="11"/>
      <c r="G1544" s="11" t="s">
        <v>279</v>
      </c>
      <c r="H1544" s="11" t="s">
        <v>30</v>
      </c>
      <c r="I1544" s="11" t="s">
        <v>21862</v>
      </c>
    </row>
    <row r="1545" spans="1:9" ht="13.15" x14ac:dyDescent="0.4">
      <c r="A1545" s="11" t="s">
        <v>19634</v>
      </c>
      <c r="B1545" s="11" t="s">
        <v>6073</v>
      </c>
      <c r="C1545" s="11" t="s">
        <v>18721</v>
      </c>
      <c r="D1545" s="12">
        <v>41275</v>
      </c>
      <c r="E1545" s="12">
        <v>41275</v>
      </c>
      <c r="F1545" s="11"/>
      <c r="G1545" s="11" t="s">
        <v>279</v>
      </c>
      <c r="H1545" s="11" t="s">
        <v>30</v>
      </c>
      <c r="I1545" s="11" t="s">
        <v>21225</v>
      </c>
    </row>
    <row r="1546" spans="1:9" ht="13.15" x14ac:dyDescent="0.4">
      <c r="A1546" s="11" t="s">
        <v>19666</v>
      </c>
      <c r="B1546" s="11" t="s">
        <v>6073</v>
      </c>
      <c r="C1546" s="11" t="s">
        <v>18721</v>
      </c>
      <c r="D1546" s="12">
        <v>41275</v>
      </c>
      <c r="E1546" s="12">
        <v>41275</v>
      </c>
      <c r="F1546" s="11"/>
      <c r="G1546" s="11" t="s">
        <v>279</v>
      </c>
      <c r="H1546" s="11" t="s">
        <v>30</v>
      </c>
      <c r="I1546" s="11" t="s">
        <v>21193</v>
      </c>
    </row>
    <row r="1547" spans="1:9" ht="13.15" x14ac:dyDescent="0.4">
      <c r="A1547" s="11" t="s">
        <v>19626</v>
      </c>
      <c r="B1547" s="11" t="s">
        <v>6073</v>
      </c>
      <c r="C1547" s="11" t="s">
        <v>18721</v>
      </c>
      <c r="D1547" s="12">
        <v>41275</v>
      </c>
      <c r="E1547" s="12">
        <v>41275</v>
      </c>
      <c r="F1547" s="11"/>
      <c r="G1547" s="11" t="s">
        <v>279</v>
      </c>
      <c r="H1547" s="11" t="s">
        <v>30</v>
      </c>
      <c r="I1547" s="11" t="s">
        <v>21233</v>
      </c>
    </row>
    <row r="1548" spans="1:9" ht="13.15" x14ac:dyDescent="0.4">
      <c r="A1548" s="11" t="s">
        <v>20328</v>
      </c>
      <c r="B1548" s="11" t="s">
        <v>6073</v>
      </c>
      <c r="C1548" s="11" t="s">
        <v>18721</v>
      </c>
      <c r="D1548" s="12">
        <v>40909</v>
      </c>
      <c r="E1548" s="12">
        <v>40909</v>
      </c>
      <c r="F1548" s="11"/>
      <c r="G1548" s="11" t="s">
        <v>279</v>
      </c>
      <c r="H1548" s="11" t="s">
        <v>30</v>
      </c>
      <c r="I1548" s="11" t="s">
        <v>20531</v>
      </c>
    </row>
    <row r="1549" spans="1:9" ht="13.15" x14ac:dyDescent="0.4">
      <c r="A1549" s="11" t="s">
        <v>18946</v>
      </c>
      <c r="B1549" s="11" t="s">
        <v>6073</v>
      </c>
      <c r="C1549" s="11" t="s">
        <v>18721</v>
      </c>
      <c r="D1549" s="12">
        <v>41275</v>
      </c>
      <c r="E1549" s="12">
        <v>41275</v>
      </c>
      <c r="F1549" s="11"/>
      <c r="G1549" s="11" t="s">
        <v>279</v>
      </c>
      <c r="H1549" s="11" t="s">
        <v>30</v>
      </c>
      <c r="I1549" s="11" t="s">
        <v>21913</v>
      </c>
    </row>
    <row r="1550" spans="1:9" ht="13.15" x14ac:dyDescent="0.4">
      <c r="A1550" s="11" t="s">
        <v>20222</v>
      </c>
      <c r="B1550" s="11" t="s">
        <v>6073</v>
      </c>
      <c r="C1550" s="11" t="s">
        <v>18721</v>
      </c>
      <c r="D1550" s="12">
        <v>41275</v>
      </c>
      <c r="E1550" s="12">
        <v>41275</v>
      </c>
      <c r="F1550" s="11"/>
      <c r="G1550" s="11" t="s">
        <v>279</v>
      </c>
      <c r="H1550" s="11" t="s">
        <v>30</v>
      </c>
      <c r="I1550" s="11" t="s">
        <v>20637</v>
      </c>
    </row>
    <row r="1551" spans="1:9" ht="13.15" x14ac:dyDescent="0.4">
      <c r="A1551" s="11" t="s">
        <v>19845</v>
      </c>
      <c r="B1551" s="11" t="s">
        <v>6073</v>
      </c>
      <c r="C1551" s="11" t="s">
        <v>18721</v>
      </c>
      <c r="D1551" s="12">
        <v>40909</v>
      </c>
      <c r="E1551" s="12">
        <v>40909</v>
      </c>
      <c r="F1551" s="11"/>
      <c r="G1551" s="11" t="s">
        <v>279</v>
      </c>
      <c r="H1551" s="11" t="s">
        <v>30</v>
      </c>
      <c r="I1551" s="11" t="s">
        <v>21014</v>
      </c>
    </row>
    <row r="1552" spans="1:9" ht="13.15" x14ac:dyDescent="0.4">
      <c r="A1552" s="11" t="s">
        <v>20148</v>
      </c>
      <c r="B1552" s="11" t="s">
        <v>6073</v>
      </c>
      <c r="C1552" s="11" t="s">
        <v>18721</v>
      </c>
      <c r="D1552" s="12">
        <v>41275</v>
      </c>
      <c r="E1552" s="12">
        <v>41275</v>
      </c>
      <c r="F1552" s="11"/>
      <c r="G1552" s="11" t="s">
        <v>279</v>
      </c>
      <c r="H1552" s="11" t="s">
        <v>30</v>
      </c>
      <c r="I1552" s="11" t="s">
        <v>20711</v>
      </c>
    </row>
    <row r="1553" spans="1:9" ht="13.15" x14ac:dyDescent="0.4">
      <c r="A1553" s="11" t="s">
        <v>20428</v>
      </c>
      <c r="B1553" s="11" t="s">
        <v>6073</v>
      </c>
      <c r="C1553" s="11" t="s">
        <v>18721</v>
      </c>
      <c r="D1553" s="12">
        <v>40909</v>
      </c>
      <c r="E1553" s="12">
        <v>40909</v>
      </c>
      <c r="F1553" s="11"/>
      <c r="G1553" s="11" t="s">
        <v>279</v>
      </c>
      <c r="H1553" s="11" t="s">
        <v>30</v>
      </c>
      <c r="I1553" s="11" t="s">
        <v>20431</v>
      </c>
    </row>
    <row r="1554" spans="1:9" ht="13.15" x14ac:dyDescent="0.4">
      <c r="A1554" s="11" t="s">
        <v>19569</v>
      </c>
      <c r="B1554" s="11" t="s">
        <v>6073</v>
      </c>
      <c r="C1554" s="11" t="s">
        <v>18721</v>
      </c>
      <c r="D1554" s="12">
        <v>41275</v>
      </c>
      <c r="E1554" s="12">
        <v>41275</v>
      </c>
      <c r="F1554" s="11"/>
      <c r="G1554" s="11" t="s">
        <v>279</v>
      </c>
      <c r="H1554" s="11" t="s">
        <v>30</v>
      </c>
      <c r="I1554" s="11" t="s">
        <v>21290</v>
      </c>
    </row>
    <row r="1555" spans="1:9" ht="13.15" x14ac:dyDescent="0.4">
      <c r="A1555" s="11" t="s">
        <v>19956</v>
      </c>
      <c r="B1555" s="11" t="s">
        <v>6073</v>
      </c>
      <c r="C1555" s="11" t="s">
        <v>18721</v>
      </c>
      <c r="D1555" s="12">
        <v>41275</v>
      </c>
      <c r="E1555" s="12">
        <v>41275</v>
      </c>
      <c r="F1555" s="11"/>
      <c r="G1555" s="11" t="s">
        <v>279</v>
      </c>
      <c r="H1555" s="11" t="s">
        <v>30</v>
      </c>
      <c r="I1555" s="11" t="s">
        <v>20903</v>
      </c>
    </row>
    <row r="1556" spans="1:9" ht="13.15" x14ac:dyDescent="0.4">
      <c r="A1556" s="11" t="s">
        <v>20041</v>
      </c>
      <c r="B1556" s="11" t="s">
        <v>6073</v>
      </c>
      <c r="C1556" s="11" t="s">
        <v>18721</v>
      </c>
      <c r="D1556" s="12">
        <v>40909</v>
      </c>
      <c r="E1556" s="12">
        <v>40909</v>
      </c>
      <c r="F1556" s="11"/>
      <c r="G1556" s="11" t="s">
        <v>279</v>
      </c>
      <c r="H1556" s="11" t="s">
        <v>30</v>
      </c>
      <c r="I1556" s="11" t="s">
        <v>20818</v>
      </c>
    </row>
    <row r="1557" spans="1:9" ht="13.15" x14ac:dyDescent="0.4">
      <c r="A1557" s="11" t="s">
        <v>20161</v>
      </c>
      <c r="B1557" s="11" t="s">
        <v>6073</v>
      </c>
      <c r="C1557" s="11" t="s">
        <v>18721</v>
      </c>
      <c r="D1557" s="12">
        <v>40909</v>
      </c>
      <c r="E1557" s="12">
        <v>40909</v>
      </c>
      <c r="F1557" s="11"/>
      <c r="G1557" s="11" t="s">
        <v>279</v>
      </c>
      <c r="H1557" s="11" t="s">
        <v>30</v>
      </c>
      <c r="I1557" s="11" t="s">
        <v>20698</v>
      </c>
    </row>
    <row r="1558" spans="1:9" ht="13.15" x14ac:dyDescent="0.4">
      <c r="A1558" s="11" t="s">
        <v>19904</v>
      </c>
      <c r="B1558" s="11" t="s">
        <v>6073</v>
      </c>
      <c r="C1558" s="11" t="s">
        <v>18721</v>
      </c>
      <c r="D1558" s="12">
        <v>41275</v>
      </c>
      <c r="E1558" s="12">
        <v>41275</v>
      </c>
      <c r="F1558" s="11"/>
      <c r="G1558" s="11" t="s">
        <v>279</v>
      </c>
      <c r="H1558" s="11" t="s">
        <v>30</v>
      </c>
      <c r="I1558" s="11" t="s">
        <v>20955</v>
      </c>
    </row>
    <row r="1559" spans="1:9" ht="13.15" x14ac:dyDescent="0.4">
      <c r="A1559" s="11" t="s">
        <v>19709</v>
      </c>
      <c r="B1559" s="11" t="s">
        <v>6073</v>
      </c>
      <c r="C1559" s="11" t="s">
        <v>18721</v>
      </c>
      <c r="D1559" s="12">
        <v>40909</v>
      </c>
      <c r="E1559" s="12">
        <v>40909</v>
      </c>
      <c r="F1559" s="11"/>
      <c r="G1559" s="11" t="s">
        <v>279</v>
      </c>
      <c r="H1559" s="11" t="s">
        <v>30</v>
      </c>
      <c r="I1559" s="11" t="s">
        <v>21150</v>
      </c>
    </row>
    <row r="1560" spans="1:9" ht="13.15" x14ac:dyDescent="0.4">
      <c r="A1560" s="11" t="s">
        <v>19854</v>
      </c>
      <c r="B1560" s="11" t="s">
        <v>6073</v>
      </c>
      <c r="C1560" s="11" t="s">
        <v>18721</v>
      </c>
      <c r="D1560" s="12">
        <v>41275</v>
      </c>
      <c r="E1560" s="12">
        <v>41275</v>
      </c>
      <c r="F1560" s="11"/>
      <c r="G1560" s="11" t="s">
        <v>279</v>
      </c>
      <c r="H1560" s="11" t="s">
        <v>30</v>
      </c>
      <c r="I1560" s="11" t="s">
        <v>21005</v>
      </c>
    </row>
    <row r="1561" spans="1:9" ht="13.15" x14ac:dyDescent="0.4">
      <c r="A1561" s="11" t="s">
        <v>19379</v>
      </c>
      <c r="B1561" s="11" t="s">
        <v>6073</v>
      </c>
      <c r="C1561" s="11" t="s">
        <v>18721</v>
      </c>
      <c r="D1561" s="12">
        <v>40909</v>
      </c>
      <c r="E1561" s="12">
        <v>40909</v>
      </c>
      <c r="F1561" s="11"/>
      <c r="G1561" s="11" t="s">
        <v>279</v>
      </c>
      <c r="H1561" s="11" t="s">
        <v>30</v>
      </c>
      <c r="I1561" s="11" t="s">
        <v>21480</v>
      </c>
    </row>
    <row r="1562" spans="1:9" ht="13.15" x14ac:dyDescent="0.4">
      <c r="A1562" s="11" t="s">
        <v>18734</v>
      </c>
      <c r="B1562" s="11" t="s">
        <v>6073</v>
      </c>
      <c r="C1562" s="11" t="s">
        <v>18721</v>
      </c>
      <c r="D1562" s="12">
        <v>40909</v>
      </c>
      <c r="E1562" s="12">
        <v>40909</v>
      </c>
      <c r="F1562" s="11"/>
      <c r="G1562" s="11" t="s">
        <v>279</v>
      </c>
      <c r="H1562" s="11" t="s">
        <v>30</v>
      </c>
      <c r="I1562" s="11" t="s">
        <v>22125</v>
      </c>
    </row>
    <row r="1563" spans="1:9" ht="13.15" x14ac:dyDescent="0.4">
      <c r="A1563" s="11" t="s">
        <v>19136</v>
      </c>
      <c r="B1563" s="11" t="s">
        <v>6073</v>
      </c>
      <c r="C1563" s="11" t="s">
        <v>18721</v>
      </c>
      <c r="D1563" s="12">
        <v>41275</v>
      </c>
      <c r="E1563" s="12">
        <v>41275</v>
      </c>
      <c r="F1563" s="11"/>
      <c r="G1563" s="11" t="s">
        <v>279</v>
      </c>
      <c r="H1563" s="11" t="s">
        <v>30</v>
      </c>
      <c r="I1563" s="11" t="s">
        <v>21723</v>
      </c>
    </row>
    <row r="1564" spans="1:9" ht="13.15" x14ac:dyDescent="0.4">
      <c r="A1564" s="11" t="s">
        <v>18720</v>
      </c>
      <c r="B1564" s="11" t="s">
        <v>6073</v>
      </c>
      <c r="C1564" s="11" t="s">
        <v>18721</v>
      </c>
      <c r="D1564" s="12">
        <v>40909</v>
      </c>
      <c r="E1564" s="12">
        <v>40909</v>
      </c>
      <c r="F1564" s="11"/>
      <c r="G1564" s="11" t="s">
        <v>279</v>
      </c>
      <c r="H1564" s="11" t="s">
        <v>30</v>
      </c>
      <c r="I1564" s="11" t="s">
        <v>22138</v>
      </c>
    </row>
    <row r="1565" spans="1:9" ht="13.15" x14ac:dyDescent="0.4">
      <c r="A1565" s="11" t="s">
        <v>19840</v>
      </c>
      <c r="B1565" s="11" t="s">
        <v>6073</v>
      </c>
      <c r="C1565" s="11" t="s">
        <v>18721</v>
      </c>
      <c r="D1565" s="12">
        <v>41275</v>
      </c>
      <c r="E1565" s="12">
        <v>41275</v>
      </c>
      <c r="F1565" s="11"/>
      <c r="G1565" s="11" t="s">
        <v>279</v>
      </c>
      <c r="H1565" s="11" t="s">
        <v>30</v>
      </c>
      <c r="I1565" s="11" t="s">
        <v>21019</v>
      </c>
    </row>
    <row r="1566" spans="1:9" ht="13.15" x14ac:dyDescent="0.4">
      <c r="A1566" s="11" t="s">
        <v>19024</v>
      </c>
      <c r="B1566" s="11" t="s">
        <v>6073</v>
      </c>
      <c r="C1566" s="11" t="s">
        <v>18721</v>
      </c>
      <c r="D1566" s="12">
        <v>41275</v>
      </c>
      <c r="E1566" s="12">
        <v>41275</v>
      </c>
      <c r="F1566" s="11"/>
      <c r="G1566" s="11" t="s">
        <v>279</v>
      </c>
      <c r="H1566" s="11" t="s">
        <v>30</v>
      </c>
      <c r="I1566" s="11" t="s">
        <v>21835</v>
      </c>
    </row>
    <row r="1567" spans="1:9" ht="13.15" x14ac:dyDescent="0.4">
      <c r="A1567" s="11" t="s">
        <v>18755</v>
      </c>
      <c r="B1567" s="11" t="s">
        <v>6073</v>
      </c>
      <c r="C1567" s="11" t="s">
        <v>18721</v>
      </c>
      <c r="D1567" s="12">
        <v>41275</v>
      </c>
      <c r="E1567" s="12">
        <v>41275</v>
      </c>
      <c r="F1567" s="11"/>
      <c r="G1567" s="11" t="s">
        <v>279</v>
      </c>
      <c r="H1567" s="11" t="s">
        <v>30</v>
      </c>
      <c r="I1567" s="11" t="s">
        <v>22104</v>
      </c>
    </row>
    <row r="1568" spans="1:9" ht="13.15" x14ac:dyDescent="0.4">
      <c r="A1568" s="11" t="s">
        <v>19672</v>
      </c>
      <c r="B1568" s="11" t="s">
        <v>6073</v>
      </c>
      <c r="C1568" s="11" t="s">
        <v>18721</v>
      </c>
      <c r="D1568" s="12">
        <v>41275</v>
      </c>
      <c r="E1568" s="12">
        <v>41275</v>
      </c>
      <c r="F1568" s="11"/>
      <c r="G1568" s="11" t="s">
        <v>279</v>
      </c>
      <c r="H1568" s="11" t="s">
        <v>30</v>
      </c>
      <c r="I1568" s="11" t="s">
        <v>21187</v>
      </c>
    </row>
    <row r="1569" spans="1:9" ht="13.15" x14ac:dyDescent="0.4">
      <c r="A1569" s="11" t="s">
        <v>18888</v>
      </c>
      <c r="B1569" s="11" t="s">
        <v>6073</v>
      </c>
      <c r="C1569" s="11" t="s">
        <v>18721</v>
      </c>
      <c r="D1569" s="12">
        <v>41275</v>
      </c>
      <c r="E1569" s="12">
        <v>41275</v>
      </c>
      <c r="F1569" s="11"/>
      <c r="G1569" s="11" t="s">
        <v>279</v>
      </c>
      <c r="H1569" s="11" t="s">
        <v>30</v>
      </c>
      <c r="I1569" s="11" t="s">
        <v>21971</v>
      </c>
    </row>
    <row r="1570" spans="1:9" ht="13.15" x14ac:dyDescent="0.4">
      <c r="A1570" s="11" t="s">
        <v>20171</v>
      </c>
      <c r="B1570" s="11" t="s">
        <v>6073</v>
      </c>
      <c r="C1570" s="11" t="s">
        <v>18721</v>
      </c>
      <c r="D1570" s="12">
        <v>41275</v>
      </c>
      <c r="E1570" s="12">
        <v>41275</v>
      </c>
      <c r="F1570" s="11"/>
      <c r="G1570" s="11" t="s">
        <v>279</v>
      </c>
      <c r="H1570" s="11" t="s">
        <v>30</v>
      </c>
      <c r="I1570" s="11" t="s">
        <v>20688</v>
      </c>
    </row>
    <row r="1571" spans="1:9" ht="13.15" x14ac:dyDescent="0.4">
      <c r="A1571" s="11" t="s">
        <v>18872</v>
      </c>
      <c r="B1571" s="11" t="s">
        <v>6073</v>
      </c>
      <c r="C1571" s="11" t="s">
        <v>18721</v>
      </c>
      <c r="D1571" s="12">
        <v>41640</v>
      </c>
      <c r="E1571" s="12">
        <v>41640</v>
      </c>
      <c r="F1571" s="11"/>
      <c r="G1571" s="11" t="s">
        <v>279</v>
      </c>
      <c r="H1571" s="11" t="s">
        <v>30</v>
      </c>
      <c r="I1571" s="11" t="s">
        <v>21987</v>
      </c>
    </row>
    <row r="1572" spans="1:9" ht="13.15" x14ac:dyDescent="0.4">
      <c r="A1572" s="11" t="s">
        <v>19864</v>
      </c>
      <c r="B1572" s="11" t="s">
        <v>6073</v>
      </c>
      <c r="C1572" s="11" t="s">
        <v>18721</v>
      </c>
      <c r="D1572" s="12">
        <v>41275</v>
      </c>
      <c r="E1572" s="12">
        <v>41275</v>
      </c>
      <c r="F1572" s="11"/>
      <c r="G1572" s="11" t="s">
        <v>279</v>
      </c>
      <c r="H1572" s="11" t="s">
        <v>30</v>
      </c>
      <c r="I1572" s="11" t="s">
        <v>20995</v>
      </c>
    </row>
    <row r="1573" spans="1:9" ht="13.15" x14ac:dyDescent="0.4">
      <c r="A1573" s="11" t="s">
        <v>19541</v>
      </c>
      <c r="B1573" s="11" t="s">
        <v>6073</v>
      </c>
      <c r="C1573" s="11" t="s">
        <v>18721</v>
      </c>
      <c r="D1573" s="12">
        <v>41640</v>
      </c>
      <c r="E1573" s="12">
        <v>41640</v>
      </c>
      <c r="F1573" s="11"/>
      <c r="G1573" s="11" t="s">
        <v>279</v>
      </c>
      <c r="H1573" s="11" t="s">
        <v>30</v>
      </c>
      <c r="I1573" s="11" t="s">
        <v>21318</v>
      </c>
    </row>
    <row r="1574" spans="1:9" ht="13.15" x14ac:dyDescent="0.4">
      <c r="A1574" s="11" t="s">
        <v>19866</v>
      </c>
      <c r="B1574" s="11" t="s">
        <v>6073</v>
      </c>
      <c r="C1574" s="11" t="s">
        <v>18721</v>
      </c>
      <c r="D1574" s="12">
        <v>41275</v>
      </c>
      <c r="E1574" s="12">
        <v>41275</v>
      </c>
      <c r="F1574" s="11"/>
      <c r="G1574" s="11" t="s">
        <v>279</v>
      </c>
      <c r="H1574" s="11" t="s">
        <v>30</v>
      </c>
      <c r="I1574" s="11" t="s">
        <v>20993</v>
      </c>
    </row>
    <row r="1575" spans="1:9" ht="13.15" x14ac:dyDescent="0.4">
      <c r="A1575" s="11" t="s">
        <v>19194</v>
      </c>
      <c r="B1575" s="11" t="s">
        <v>6073</v>
      </c>
      <c r="C1575" s="11" t="s">
        <v>18721</v>
      </c>
      <c r="D1575" s="12">
        <v>41640</v>
      </c>
      <c r="E1575" s="12">
        <v>41640</v>
      </c>
      <c r="F1575" s="11"/>
      <c r="G1575" s="11" t="s">
        <v>279</v>
      </c>
      <c r="H1575" s="11" t="s">
        <v>30</v>
      </c>
      <c r="I1575" s="11" t="s">
        <v>21665</v>
      </c>
    </row>
    <row r="1576" spans="1:9" ht="13.15" x14ac:dyDescent="0.4">
      <c r="A1576" s="11" t="s">
        <v>19395</v>
      </c>
      <c r="B1576" s="11" t="s">
        <v>6073</v>
      </c>
      <c r="C1576" s="11" t="s">
        <v>18721</v>
      </c>
      <c r="D1576" s="12">
        <v>41275</v>
      </c>
      <c r="E1576" s="12">
        <v>41275</v>
      </c>
      <c r="F1576" s="11"/>
      <c r="G1576" s="11" t="s">
        <v>279</v>
      </c>
      <c r="H1576" s="11" t="s">
        <v>30</v>
      </c>
      <c r="I1576" s="11" t="s">
        <v>21464</v>
      </c>
    </row>
    <row r="1577" spans="1:9" ht="13.15" x14ac:dyDescent="0.4">
      <c r="A1577" s="11" t="s">
        <v>18760</v>
      </c>
      <c r="B1577" s="11" t="s">
        <v>6073</v>
      </c>
      <c r="C1577" s="11" t="s">
        <v>18721</v>
      </c>
      <c r="D1577" s="12">
        <v>41275</v>
      </c>
      <c r="E1577" s="12">
        <v>41275</v>
      </c>
      <c r="F1577" s="11"/>
      <c r="G1577" s="11" t="s">
        <v>279</v>
      </c>
      <c r="H1577" s="11" t="s">
        <v>30</v>
      </c>
      <c r="I1577" s="11" t="s">
        <v>22099</v>
      </c>
    </row>
    <row r="1578" spans="1:9" ht="13.15" x14ac:dyDescent="0.4">
      <c r="A1578" s="11" t="s">
        <v>19535</v>
      </c>
      <c r="B1578" s="11" t="s">
        <v>6073</v>
      </c>
      <c r="C1578" s="11" t="s">
        <v>18721</v>
      </c>
      <c r="D1578" s="12">
        <v>41640</v>
      </c>
      <c r="E1578" s="12">
        <v>41640</v>
      </c>
      <c r="F1578" s="11"/>
      <c r="G1578" s="11" t="s">
        <v>279</v>
      </c>
      <c r="H1578" s="11" t="s">
        <v>30</v>
      </c>
      <c r="I1578" s="11" t="s">
        <v>21324</v>
      </c>
    </row>
    <row r="1579" spans="1:9" ht="13.15" x14ac:dyDescent="0.4">
      <c r="A1579" s="11" t="s">
        <v>20416</v>
      </c>
      <c r="B1579" s="11" t="s">
        <v>6073</v>
      </c>
      <c r="C1579" s="11" t="s">
        <v>18721</v>
      </c>
      <c r="D1579" s="12">
        <v>41275</v>
      </c>
      <c r="E1579" s="12">
        <v>41275</v>
      </c>
      <c r="F1579" s="11"/>
      <c r="G1579" s="11" t="s">
        <v>279</v>
      </c>
      <c r="H1579" s="11" t="s">
        <v>30</v>
      </c>
      <c r="I1579" s="11" t="s">
        <v>20443</v>
      </c>
    </row>
    <row r="1580" spans="1:9" ht="13.15" x14ac:dyDescent="0.4">
      <c r="A1580" s="11" t="s">
        <v>20319</v>
      </c>
      <c r="B1580" s="11" t="s">
        <v>6073</v>
      </c>
      <c r="C1580" s="11" t="s">
        <v>18721</v>
      </c>
      <c r="D1580" s="12">
        <v>41640</v>
      </c>
      <c r="E1580" s="12">
        <v>41640</v>
      </c>
      <c r="F1580" s="11"/>
      <c r="G1580" s="11" t="s">
        <v>279</v>
      </c>
      <c r="H1580" s="11" t="s">
        <v>30</v>
      </c>
      <c r="I1580" s="11" t="s">
        <v>20540</v>
      </c>
    </row>
    <row r="1581" spans="1:9" ht="13.15" x14ac:dyDescent="0.4">
      <c r="A1581" s="11" t="s">
        <v>19966</v>
      </c>
      <c r="B1581" s="11" t="s">
        <v>6073</v>
      </c>
      <c r="C1581" s="11" t="s">
        <v>18721</v>
      </c>
      <c r="D1581" s="12">
        <v>41275</v>
      </c>
      <c r="E1581" s="12">
        <v>41275</v>
      </c>
      <c r="F1581" s="11"/>
      <c r="G1581" s="11" t="s">
        <v>279</v>
      </c>
      <c r="H1581" s="11" t="s">
        <v>30</v>
      </c>
      <c r="I1581" s="11" t="s">
        <v>20893</v>
      </c>
    </row>
    <row r="1582" spans="1:9" ht="13.15" x14ac:dyDescent="0.4">
      <c r="A1582" s="11" t="s">
        <v>19954</v>
      </c>
      <c r="B1582" s="11" t="s">
        <v>6073</v>
      </c>
      <c r="C1582" s="11" t="s">
        <v>18721</v>
      </c>
      <c r="D1582" s="12">
        <v>41640</v>
      </c>
      <c r="E1582" s="12">
        <v>41640</v>
      </c>
      <c r="F1582" s="11"/>
      <c r="G1582" s="11" t="s">
        <v>279</v>
      </c>
      <c r="H1582" s="11" t="s">
        <v>30</v>
      </c>
      <c r="I1582" s="11" t="s">
        <v>20905</v>
      </c>
    </row>
    <row r="1583" spans="1:9" ht="13.15" x14ac:dyDescent="0.4">
      <c r="A1583" s="11" t="s">
        <v>19359</v>
      </c>
      <c r="B1583" s="11" t="s">
        <v>6073</v>
      </c>
      <c r="C1583" s="11" t="s">
        <v>18721</v>
      </c>
      <c r="D1583" s="12">
        <v>41275</v>
      </c>
      <c r="E1583" s="12">
        <v>41275</v>
      </c>
      <c r="F1583" s="11"/>
      <c r="G1583" s="11" t="s">
        <v>279</v>
      </c>
      <c r="H1583" s="11" t="s">
        <v>30</v>
      </c>
      <c r="I1583" s="11" t="s">
        <v>21500</v>
      </c>
    </row>
    <row r="1584" spans="1:9" ht="13.15" x14ac:dyDescent="0.4">
      <c r="A1584" s="11" t="s">
        <v>20417</v>
      </c>
      <c r="B1584" s="11" t="s">
        <v>6073</v>
      </c>
      <c r="C1584" s="11" t="s">
        <v>18721</v>
      </c>
      <c r="D1584" s="12">
        <v>41640</v>
      </c>
      <c r="E1584" s="12">
        <v>41640</v>
      </c>
      <c r="F1584" s="11"/>
      <c r="G1584" s="11" t="s">
        <v>279</v>
      </c>
      <c r="H1584" s="11" t="s">
        <v>30</v>
      </c>
      <c r="I1584" s="11" t="s">
        <v>20442</v>
      </c>
    </row>
    <row r="1585" spans="1:9" ht="13.15" x14ac:dyDescent="0.4">
      <c r="A1585" s="11" t="s">
        <v>20165</v>
      </c>
      <c r="B1585" s="11" t="s">
        <v>6073</v>
      </c>
      <c r="C1585" s="11" t="s">
        <v>18721</v>
      </c>
      <c r="D1585" s="12">
        <v>41275</v>
      </c>
      <c r="E1585" s="12">
        <v>41275</v>
      </c>
      <c r="F1585" s="11"/>
      <c r="G1585" s="11" t="s">
        <v>279</v>
      </c>
      <c r="H1585" s="11" t="s">
        <v>30</v>
      </c>
      <c r="I1585" s="11" t="s">
        <v>20694</v>
      </c>
    </row>
    <row r="1586" spans="1:9" ht="13.15" x14ac:dyDescent="0.4">
      <c r="A1586" s="11" t="s">
        <v>19321</v>
      </c>
      <c r="B1586" s="11" t="s">
        <v>6073</v>
      </c>
      <c r="C1586" s="11" t="s">
        <v>18721</v>
      </c>
      <c r="D1586" s="12">
        <v>41640</v>
      </c>
      <c r="E1586" s="12">
        <v>41640</v>
      </c>
      <c r="F1586" s="11"/>
      <c r="G1586" s="11" t="s">
        <v>279</v>
      </c>
      <c r="H1586" s="11" t="s">
        <v>30</v>
      </c>
      <c r="I1586" s="11" t="s">
        <v>21538</v>
      </c>
    </row>
    <row r="1587" spans="1:9" ht="13.15" x14ac:dyDescent="0.4">
      <c r="A1587" s="11" t="s">
        <v>19963</v>
      </c>
      <c r="B1587" s="11" t="s">
        <v>6073</v>
      </c>
      <c r="C1587" s="11" t="s">
        <v>18721</v>
      </c>
      <c r="D1587" s="12">
        <v>41275</v>
      </c>
      <c r="E1587" s="12">
        <v>41275</v>
      </c>
      <c r="F1587" s="11"/>
      <c r="G1587" s="11" t="s">
        <v>279</v>
      </c>
      <c r="H1587" s="11" t="s">
        <v>30</v>
      </c>
      <c r="I1587" s="11" t="s">
        <v>20896</v>
      </c>
    </row>
    <row r="1588" spans="1:9" ht="13.15" x14ac:dyDescent="0.4">
      <c r="A1588" s="11" t="s">
        <v>20184</v>
      </c>
      <c r="B1588" s="11" t="s">
        <v>6073</v>
      </c>
      <c r="C1588" s="11" t="s">
        <v>18721</v>
      </c>
      <c r="D1588" s="12">
        <v>41275</v>
      </c>
      <c r="E1588" s="12">
        <v>41275</v>
      </c>
      <c r="F1588" s="11"/>
      <c r="G1588" s="11" t="s">
        <v>279</v>
      </c>
      <c r="H1588" s="11" t="s">
        <v>30</v>
      </c>
      <c r="I1588" s="11" t="s">
        <v>20675</v>
      </c>
    </row>
    <row r="1589" spans="1:9" ht="13.15" x14ac:dyDescent="0.4">
      <c r="A1589" s="11" t="s">
        <v>19360</v>
      </c>
      <c r="B1589" s="11" t="s">
        <v>6073</v>
      </c>
      <c r="C1589" s="11" t="s">
        <v>18721</v>
      </c>
      <c r="D1589" s="12">
        <v>41275</v>
      </c>
      <c r="E1589" s="12">
        <v>41275</v>
      </c>
      <c r="F1589" s="11"/>
      <c r="G1589" s="11" t="s">
        <v>279</v>
      </c>
      <c r="H1589" s="11" t="s">
        <v>30</v>
      </c>
      <c r="I1589" s="11" t="s">
        <v>21499</v>
      </c>
    </row>
    <row r="1590" spans="1:9" ht="13.15" x14ac:dyDescent="0.4">
      <c r="A1590" s="11" t="s">
        <v>18746</v>
      </c>
      <c r="B1590" s="11" t="s">
        <v>6073</v>
      </c>
      <c r="C1590" s="11" t="s">
        <v>18721</v>
      </c>
      <c r="D1590" s="12">
        <v>41275</v>
      </c>
      <c r="E1590" s="12">
        <v>41275</v>
      </c>
      <c r="F1590" s="11"/>
      <c r="G1590" s="11" t="s">
        <v>279</v>
      </c>
      <c r="H1590" s="11" t="s">
        <v>30</v>
      </c>
      <c r="I1590" s="11" t="s">
        <v>22113</v>
      </c>
    </row>
    <row r="1591" spans="1:9" ht="13.15" x14ac:dyDescent="0.4">
      <c r="A1591" s="11" t="s">
        <v>19436</v>
      </c>
      <c r="B1591" s="11" t="s">
        <v>6073</v>
      </c>
      <c r="C1591" s="11" t="s">
        <v>18721</v>
      </c>
      <c r="D1591" s="12">
        <v>40909</v>
      </c>
      <c r="E1591" s="12">
        <v>40909</v>
      </c>
      <c r="F1591" s="11"/>
      <c r="G1591" s="11" t="s">
        <v>279</v>
      </c>
      <c r="H1591" s="11" t="s">
        <v>30</v>
      </c>
      <c r="I1591" s="11" t="s">
        <v>21423</v>
      </c>
    </row>
    <row r="1592" spans="1:9" ht="13.15" x14ac:dyDescent="0.4">
      <c r="A1592" s="11" t="s">
        <v>19134</v>
      </c>
      <c r="B1592" s="11" t="s">
        <v>6073</v>
      </c>
      <c r="C1592" s="11" t="s">
        <v>18721</v>
      </c>
      <c r="D1592" s="12">
        <v>40909</v>
      </c>
      <c r="E1592" s="12">
        <v>40909</v>
      </c>
      <c r="F1592" s="11"/>
      <c r="G1592" s="11" t="s">
        <v>279</v>
      </c>
      <c r="H1592" s="11" t="s">
        <v>30</v>
      </c>
      <c r="I1592" s="11" t="s">
        <v>21725</v>
      </c>
    </row>
    <row r="1593" spans="1:9" ht="13.15" x14ac:dyDescent="0.4">
      <c r="A1593" s="11" t="s">
        <v>19178</v>
      </c>
      <c r="B1593" s="11" t="s">
        <v>6073</v>
      </c>
      <c r="C1593" s="11" t="s">
        <v>18721</v>
      </c>
      <c r="D1593" s="12">
        <v>40909</v>
      </c>
      <c r="E1593" s="12">
        <v>40909</v>
      </c>
      <c r="F1593" s="11"/>
      <c r="G1593" s="11" t="s">
        <v>279</v>
      </c>
      <c r="H1593" s="11" t="s">
        <v>30</v>
      </c>
      <c r="I1593" s="11" t="s">
        <v>21681</v>
      </c>
    </row>
    <row r="1594" spans="1:9" ht="13.15" x14ac:dyDescent="0.4">
      <c r="A1594" s="11" t="s">
        <v>19180</v>
      </c>
      <c r="B1594" s="11" t="s">
        <v>6073</v>
      </c>
      <c r="C1594" s="11" t="s">
        <v>18721</v>
      </c>
      <c r="D1594" s="12">
        <v>40909</v>
      </c>
      <c r="E1594" s="12">
        <v>40909</v>
      </c>
      <c r="F1594" s="11"/>
      <c r="G1594" s="11" t="s">
        <v>279</v>
      </c>
      <c r="H1594" s="11" t="s">
        <v>30</v>
      </c>
      <c r="I1594" s="11" t="s">
        <v>21679</v>
      </c>
    </row>
    <row r="1595" spans="1:9" ht="13.15" x14ac:dyDescent="0.4">
      <c r="A1595" s="11" t="s">
        <v>19404</v>
      </c>
      <c r="B1595" s="11" t="s">
        <v>6073</v>
      </c>
      <c r="C1595" s="11" t="s">
        <v>18721</v>
      </c>
      <c r="D1595" s="12">
        <v>40909</v>
      </c>
      <c r="E1595" s="12">
        <v>40909</v>
      </c>
      <c r="F1595" s="11"/>
      <c r="G1595" s="11" t="s">
        <v>279</v>
      </c>
      <c r="H1595" s="11" t="s">
        <v>30</v>
      </c>
      <c r="I1595" s="11" t="s">
        <v>21455</v>
      </c>
    </row>
    <row r="1596" spans="1:9" ht="13.15" x14ac:dyDescent="0.4">
      <c r="A1596" s="11" t="s">
        <v>19350</v>
      </c>
      <c r="B1596" s="11" t="s">
        <v>6073</v>
      </c>
      <c r="C1596" s="11" t="s">
        <v>18721</v>
      </c>
      <c r="D1596" s="12">
        <v>41640</v>
      </c>
      <c r="E1596" s="12">
        <v>41640</v>
      </c>
      <c r="F1596" s="11"/>
      <c r="G1596" s="11" t="s">
        <v>279</v>
      </c>
      <c r="H1596" s="11" t="s">
        <v>30</v>
      </c>
      <c r="I1596" s="11" t="s">
        <v>21509</v>
      </c>
    </row>
    <row r="1597" spans="1:9" ht="13.15" x14ac:dyDescent="0.4">
      <c r="A1597" s="11" t="s">
        <v>18867</v>
      </c>
      <c r="B1597" s="11" t="s">
        <v>6073</v>
      </c>
      <c r="C1597" s="11" t="s">
        <v>18721</v>
      </c>
      <c r="D1597" s="12">
        <v>41275</v>
      </c>
      <c r="E1597" s="12">
        <v>41275</v>
      </c>
      <c r="F1597" s="11"/>
      <c r="G1597" s="11" t="s">
        <v>279</v>
      </c>
      <c r="H1597" s="11" t="s">
        <v>30</v>
      </c>
      <c r="I1597" s="11" t="s">
        <v>21992</v>
      </c>
    </row>
    <row r="1598" spans="1:9" ht="13.15" x14ac:dyDescent="0.4">
      <c r="A1598" s="11" t="s">
        <v>19650</v>
      </c>
      <c r="B1598" s="11" t="s">
        <v>6073</v>
      </c>
      <c r="C1598" s="11" t="s">
        <v>18721</v>
      </c>
      <c r="D1598" s="12">
        <v>41640</v>
      </c>
      <c r="E1598" s="12">
        <v>41640</v>
      </c>
      <c r="F1598" s="11"/>
      <c r="G1598" s="11" t="s">
        <v>279</v>
      </c>
      <c r="H1598" s="11" t="s">
        <v>30</v>
      </c>
      <c r="I1598" s="11" t="s">
        <v>21209</v>
      </c>
    </row>
    <row r="1599" spans="1:9" ht="13.15" x14ac:dyDescent="0.4">
      <c r="A1599" s="11" t="s">
        <v>20023</v>
      </c>
      <c r="B1599" s="11" t="s">
        <v>6073</v>
      </c>
      <c r="C1599" s="11" t="s">
        <v>18721</v>
      </c>
      <c r="D1599" s="12">
        <v>41275</v>
      </c>
      <c r="E1599" s="12">
        <v>41275</v>
      </c>
      <c r="F1599" s="11"/>
      <c r="G1599" s="11" t="s">
        <v>279</v>
      </c>
      <c r="H1599" s="11" t="s">
        <v>30</v>
      </c>
      <c r="I1599" s="11" t="s">
        <v>20836</v>
      </c>
    </row>
    <row r="1600" spans="1:9" ht="13.15" x14ac:dyDescent="0.4">
      <c r="A1600" s="11" t="s">
        <v>19537</v>
      </c>
      <c r="B1600" s="11" t="s">
        <v>6073</v>
      </c>
      <c r="C1600" s="11" t="s">
        <v>18721</v>
      </c>
      <c r="D1600" s="12">
        <v>41275</v>
      </c>
      <c r="E1600" s="12">
        <v>41275</v>
      </c>
      <c r="F1600" s="11"/>
      <c r="G1600" s="11" t="s">
        <v>279</v>
      </c>
      <c r="H1600" s="11" t="s">
        <v>30</v>
      </c>
      <c r="I1600" s="11" t="s">
        <v>21322</v>
      </c>
    </row>
    <row r="1601" spans="1:9" ht="13.15" x14ac:dyDescent="0.4">
      <c r="A1601" s="11" t="s">
        <v>19311</v>
      </c>
      <c r="B1601" s="11" t="s">
        <v>6073</v>
      </c>
      <c r="C1601" s="11" t="s">
        <v>18721</v>
      </c>
      <c r="D1601" s="12">
        <v>41640</v>
      </c>
      <c r="E1601" s="12">
        <v>41640</v>
      </c>
      <c r="F1601" s="11"/>
      <c r="G1601" s="11" t="s">
        <v>279</v>
      </c>
      <c r="H1601" s="11" t="s">
        <v>30</v>
      </c>
      <c r="I1601" s="11" t="s">
        <v>21548</v>
      </c>
    </row>
    <row r="1602" spans="1:9" ht="13.15" x14ac:dyDescent="0.4">
      <c r="A1602" s="11" t="s">
        <v>20327</v>
      </c>
      <c r="B1602" s="11" t="s">
        <v>6073</v>
      </c>
      <c r="C1602" s="11" t="s">
        <v>18721</v>
      </c>
      <c r="D1602" s="12">
        <v>41275</v>
      </c>
      <c r="E1602" s="12">
        <v>41275</v>
      </c>
      <c r="F1602" s="11"/>
      <c r="G1602" s="11" t="s">
        <v>279</v>
      </c>
      <c r="H1602" s="11" t="s">
        <v>30</v>
      </c>
      <c r="I1602" s="11" t="s">
        <v>20532</v>
      </c>
    </row>
    <row r="1603" spans="1:9" ht="13.15" x14ac:dyDescent="0.4">
      <c r="A1603" s="11" t="s">
        <v>20156</v>
      </c>
      <c r="B1603" s="11" t="s">
        <v>6073</v>
      </c>
      <c r="C1603" s="11" t="s">
        <v>18721</v>
      </c>
      <c r="D1603" s="12">
        <v>41275</v>
      </c>
      <c r="E1603" s="12">
        <v>41275</v>
      </c>
      <c r="F1603" s="11"/>
      <c r="G1603" s="11" t="s">
        <v>279</v>
      </c>
      <c r="H1603" s="11" t="s">
        <v>30</v>
      </c>
      <c r="I1603" s="11" t="s">
        <v>20703</v>
      </c>
    </row>
    <row r="1604" spans="1:9" ht="13.15" x14ac:dyDescent="0.4">
      <c r="A1604" s="11" t="s">
        <v>20193</v>
      </c>
      <c r="B1604" s="11" t="s">
        <v>6073</v>
      </c>
      <c r="C1604" s="11" t="s">
        <v>18721</v>
      </c>
      <c r="D1604" s="12">
        <v>41275</v>
      </c>
      <c r="E1604" s="12">
        <v>41275</v>
      </c>
      <c r="F1604" s="11"/>
      <c r="G1604" s="11" t="s">
        <v>279</v>
      </c>
      <c r="H1604" s="11" t="s">
        <v>30</v>
      </c>
      <c r="I1604" s="11" t="s">
        <v>20666</v>
      </c>
    </row>
    <row r="1605" spans="1:9" ht="13.15" x14ac:dyDescent="0.4">
      <c r="A1605" s="11" t="s">
        <v>20132</v>
      </c>
      <c r="B1605" s="11" t="s">
        <v>6073</v>
      </c>
      <c r="C1605" s="11" t="s">
        <v>18721</v>
      </c>
      <c r="D1605" s="12">
        <v>41640</v>
      </c>
      <c r="E1605" s="12">
        <v>41640</v>
      </c>
      <c r="F1605" s="11"/>
      <c r="G1605" s="11" t="s">
        <v>279</v>
      </c>
      <c r="H1605" s="11" t="s">
        <v>30</v>
      </c>
      <c r="I1605" s="11" t="s">
        <v>20727</v>
      </c>
    </row>
    <row r="1606" spans="1:9" ht="13.15" x14ac:dyDescent="0.4">
      <c r="A1606" s="11" t="s">
        <v>19913</v>
      </c>
      <c r="B1606" s="11" t="s">
        <v>6073</v>
      </c>
      <c r="C1606" s="11" t="s">
        <v>18721</v>
      </c>
      <c r="D1606" s="12">
        <v>41275</v>
      </c>
      <c r="E1606" s="12">
        <v>41275</v>
      </c>
      <c r="F1606" s="11"/>
      <c r="G1606" s="11" t="s">
        <v>279</v>
      </c>
      <c r="H1606" s="11" t="s">
        <v>30</v>
      </c>
      <c r="I1606" s="11" t="s">
        <v>20946</v>
      </c>
    </row>
    <row r="1607" spans="1:9" ht="13.15" x14ac:dyDescent="0.4">
      <c r="A1607" s="11" t="s">
        <v>19271</v>
      </c>
      <c r="B1607" s="11" t="s">
        <v>6073</v>
      </c>
      <c r="C1607" s="11" t="s">
        <v>18721</v>
      </c>
      <c r="D1607" s="12">
        <v>41640</v>
      </c>
      <c r="E1607" s="12">
        <v>41640</v>
      </c>
      <c r="F1607" s="11"/>
      <c r="G1607" s="11" t="s">
        <v>279</v>
      </c>
      <c r="H1607" s="11" t="s">
        <v>30</v>
      </c>
      <c r="I1607" s="11" t="s">
        <v>21588</v>
      </c>
    </row>
    <row r="1608" spans="1:9" ht="13.15" x14ac:dyDescent="0.4">
      <c r="A1608" s="11" t="s">
        <v>20267</v>
      </c>
      <c r="B1608" s="11" t="s">
        <v>6073</v>
      </c>
      <c r="C1608" s="11" t="s">
        <v>18721</v>
      </c>
      <c r="D1608" s="12">
        <v>41275</v>
      </c>
      <c r="E1608" s="12">
        <v>41275</v>
      </c>
      <c r="F1608" s="11"/>
      <c r="G1608" s="11" t="s">
        <v>279</v>
      </c>
      <c r="H1608" s="11" t="s">
        <v>30</v>
      </c>
      <c r="I1608" s="11" t="s">
        <v>20592</v>
      </c>
    </row>
    <row r="1609" spans="1:9" ht="13.15" x14ac:dyDescent="0.4">
      <c r="A1609" s="11" t="s">
        <v>19492</v>
      </c>
      <c r="B1609" s="11" t="s">
        <v>6073</v>
      </c>
      <c r="C1609" s="11" t="s">
        <v>18721</v>
      </c>
      <c r="D1609" s="12">
        <v>41275</v>
      </c>
      <c r="E1609" s="12">
        <v>41275</v>
      </c>
      <c r="F1609" s="11"/>
      <c r="G1609" s="11" t="s">
        <v>279</v>
      </c>
      <c r="H1609" s="11" t="s">
        <v>30</v>
      </c>
      <c r="I1609" s="11" t="s">
        <v>21367</v>
      </c>
    </row>
    <row r="1610" spans="1:9" ht="13.15" x14ac:dyDescent="0.4">
      <c r="A1610" s="11" t="s">
        <v>19693</v>
      </c>
      <c r="B1610" s="11" t="s">
        <v>6073</v>
      </c>
      <c r="C1610" s="11" t="s">
        <v>18721</v>
      </c>
      <c r="D1610" s="12">
        <v>41275</v>
      </c>
      <c r="E1610" s="12">
        <v>41275</v>
      </c>
      <c r="F1610" s="11"/>
      <c r="G1610" s="11" t="s">
        <v>279</v>
      </c>
      <c r="H1610" s="11" t="s">
        <v>30</v>
      </c>
      <c r="I1610" s="11" t="s">
        <v>21166</v>
      </c>
    </row>
    <row r="1611" spans="1:9" ht="13.15" x14ac:dyDescent="0.4">
      <c r="A1611" s="11" t="s">
        <v>18871</v>
      </c>
      <c r="B1611" s="11" t="s">
        <v>6073</v>
      </c>
      <c r="C1611" s="11" t="s">
        <v>18721</v>
      </c>
      <c r="D1611" s="12">
        <v>41640</v>
      </c>
      <c r="E1611" s="12">
        <v>41640</v>
      </c>
      <c r="F1611" s="11"/>
      <c r="G1611" s="11" t="s">
        <v>279</v>
      </c>
      <c r="H1611" s="11" t="s">
        <v>30</v>
      </c>
      <c r="I1611" s="11" t="s">
        <v>21988</v>
      </c>
    </row>
    <row r="1612" spans="1:9" ht="13.15" x14ac:dyDescent="0.4">
      <c r="A1612" s="11" t="s">
        <v>20237</v>
      </c>
      <c r="B1612" s="11" t="s">
        <v>6073</v>
      </c>
      <c r="C1612" s="11" t="s">
        <v>18721</v>
      </c>
      <c r="D1612" s="12">
        <v>41275</v>
      </c>
      <c r="E1612" s="12">
        <v>41275</v>
      </c>
      <c r="F1612" s="11"/>
      <c r="G1612" s="11" t="s">
        <v>279</v>
      </c>
      <c r="H1612" s="11" t="s">
        <v>30</v>
      </c>
      <c r="I1612" s="11" t="s">
        <v>20622</v>
      </c>
    </row>
    <row r="1613" spans="1:9" ht="13.15" x14ac:dyDescent="0.4">
      <c r="A1613" s="11" t="s">
        <v>19624</v>
      </c>
      <c r="B1613" s="11" t="s">
        <v>6073</v>
      </c>
      <c r="C1613" s="11" t="s">
        <v>18721</v>
      </c>
      <c r="D1613" s="12">
        <v>41275</v>
      </c>
      <c r="E1613" s="12">
        <v>41275</v>
      </c>
      <c r="F1613" s="11"/>
      <c r="G1613" s="11" t="s">
        <v>279</v>
      </c>
      <c r="H1613" s="11" t="s">
        <v>30</v>
      </c>
      <c r="I1613" s="11" t="s">
        <v>21235</v>
      </c>
    </row>
    <row r="1614" spans="1:9" ht="13.15" x14ac:dyDescent="0.4">
      <c r="A1614" s="11" t="s">
        <v>19324</v>
      </c>
      <c r="B1614" s="11" t="s">
        <v>6073</v>
      </c>
      <c r="C1614" s="11" t="s">
        <v>18721</v>
      </c>
      <c r="D1614" s="12">
        <v>41275</v>
      </c>
      <c r="E1614" s="12">
        <v>41275</v>
      </c>
      <c r="F1614" s="11"/>
      <c r="G1614" s="11" t="s">
        <v>279</v>
      </c>
      <c r="H1614" s="11" t="s">
        <v>30</v>
      </c>
      <c r="I1614" s="11" t="s">
        <v>21535</v>
      </c>
    </row>
    <row r="1615" spans="1:9" ht="13.15" x14ac:dyDescent="0.4">
      <c r="A1615" s="11" t="s">
        <v>19718</v>
      </c>
      <c r="B1615" s="11" t="s">
        <v>6073</v>
      </c>
      <c r="C1615" s="11" t="s">
        <v>18721</v>
      </c>
      <c r="D1615" s="12">
        <v>41275</v>
      </c>
      <c r="E1615" s="12">
        <v>41275</v>
      </c>
      <c r="F1615" s="11"/>
      <c r="G1615" s="11" t="s">
        <v>279</v>
      </c>
      <c r="H1615" s="11" t="s">
        <v>30</v>
      </c>
      <c r="I1615" s="11" t="s">
        <v>21141</v>
      </c>
    </row>
    <row r="1616" spans="1:9" ht="13.15" x14ac:dyDescent="0.4">
      <c r="A1616" s="11" t="s">
        <v>20175</v>
      </c>
      <c r="B1616" s="11" t="s">
        <v>6073</v>
      </c>
      <c r="C1616" s="11" t="s">
        <v>18721</v>
      </c>
      <c r="D1616" s="12">
        <v>41275</v>
      </c>
      <c r="E1616" s="12">
        <v>41275</v>
      </c>
      <c r="F1616" s="11"/>
      <c r="G1616" s="11" t="s">
        <v>279</v>
      </c>
      <c r="H1616" s="11" t="s">
        <v>30</v>
      </c>
      <c r="I1616" s="11" t="s">
        <v>20684</v>
      </c>
    </row>
    <row r="1617" spans="1:9" ht="13.15" x14ac:dyDescent="0.4">
      <c r="A1617" s="11" t="s">
        <v>19118</v>
      </c>
      <c r="B1617" s="11" t="s">
        <v>6073</v>
      </c>
      <c r="C1617" s="11" t="s">
        <v>18721</v>
      </c>
      <c r="D1617" s="12">
        <v>41275</v>
      </c>
      <c r="E1617" s="12">
        <v>41275</v>
      </c>
      <c r="F1617" s="11"/>
      <c r="G1617" s="11" t="s">
        <v>279</v>
      </c>
      <c r="H1617" s="11" t="s">
        <v>30</v>
      </c>
      <c r="I1617" s="11" t="s">
        <v>21741</v>
      </c>
    </row>
    <row r="1618" spans="1:9" ht="13.15" x14ac:dyDescent="0.4">
      <c r="A1618" s="11" t="s">
        <v>19707</v>
      </c>
      <c r="B1618" s="11" t="s">
        <v>6073</v>
      </c>
      <c r="C1618" s="11" t="s">
        <v>18721</v>
      </c>
      <c r="D1618" s="12">
        <v>40909</v>
      </c>
      <c r="E1618" s="12">
        <v>40909</v>
      </c>
      <c r="F1618" s="11"/>
      <c r="G1618" s="11" t="s">
        <v>279</v>
      </c>
      <c r="H1618" s="11" t="s">
        <v>30</v>
      </c>
      <c r="I1618" s="11" t="s">
        <v>21152</v>
      </c>
    </row>
    <row r="1619" spans="1:9" ht="13.15" x14ac:dyDescent="0.4">
      <c r="A1619" s="11" t="s">
        <v>20196</v>
      </c>
      <c r="B1619" s="11" t="s">
        <v>6073</v>
      </c>
      <c r="C1619" s="11" t="s">
        <v>18721</v>
      </c>
      <c r="D1619" s="12">
        <v>41275</v>
      </c>
      <c r="E1619" s="12">
        <v>41275</v>
      </c>
      <c r="F1619" s="11"/>
      <c r="G1619" s="11" t="s">
        <v>279</v>
      </c>
      <c r="H1619" s="11" t="s">
        <v>30</v>
      </c>
      <c r="I1619" s="11" t="s">
        <v>20663</v>
      </c>
    </row>
    <row r="1620" spans="1:9" ht="13.15" x14ac:dyDescent="0.4">
      <c r="A1620" s="11" t="s">
        <v>19259</v>
      </c>
      <c r="B1620" s="11" t="s">
        <v>6073</v>
      </c>
      <c r="C1620" s="11" t="s">
        <v>18721</v>
      </c>
      <c r="D1620" s="12">
        <v>40909</v>
      </c>
      <c r="E1620" s="12">
        <v>40909</v>
      </c>
      <c r="F1620" s="11"/>
      <c r="G1620" s="11" t="s">
        <v>279</v>
      </c>
      <c r="H1620" s="11" t="s">
        <v>30</v>
      </c>
      <c r="I1620" s="11" t="s">
        <v>21600</v>
      </c>
    </row>
    <row r="1621" spans="1:9" ht="13.15" x14ac:dyDescent="0.4">
      <c r="A1621" s="11" t="s">
        <v>20376</v>
      </c>
      <c r="B1621" s="11" t="s">
        <v>6073</v>
      </c>
      <c r="C1621" s="11" t="s">
        <v>18721</v>
      </c>
      <c r="D1621" s="12">
        <v>41275</v>
      </c>
      <c r="E1621" s="12">
        <v>41275</v>
      </c>
      <c r="F1621" s="11"/>
      <c r="G1621" s="11" t="s">
        <v>279</v>
      </c>
      <c r="H1621" s="11" t="s">
        <v>30</v>
      </c>
      <c r="I1621" s="11" t="s">
        <v>20483</v>
      </c>
    </row>
    <row r="1622" spans="1:9" ht="13.15" x14ac:dyDescent="0.4">
      <c r="A1622" s="11" t="s">
        <v>19978</v>
      </c>
      <c r="B1622" s="11" t="s">
        <v>6073</v>
      </c>
      <c r="C1622" s="11" t="s">
        <v>18721</v>
      </c>
      <c r="D1622" s="12">
        <v>41275</v>
      </c>
      <c r="E1622" s="12">
        <v>41275</v>
      </c>
      <c r="F1622" s="11"/>
      <c r="G1622" s="11" t="s">
        <v>279</v>
      </c>
      <c r="H1622" s="11" t="s">
        <v>30</v>
      </c>
      <c r="I1622" s="11" t="s">
        <v>20881</v>
      </c>
    </row>
    <row r="1623" spans="1:9" ht="13.15" x14ac:dyDescent="0.4">
      <c r="A1623" s="11" t="s">
        <v>20096</v>
      </c>
      <c r="B1623" s="11" t="s">
        <v>6073</v>
      </c>
      <c r="C1623" s="11" t="s">
        <v>18721</v>
      </c>
      <c r="D1623" s="12">
        <v>40909</v>
      </c>
      <c r="E1623" s="12">
        <v>40909</v>
      </c>
      <c r="F1623" s="11"/>
      <c r="G1623" s="11" t="s">
        <v>279</v>
      </c>
      <c r="H1623" s="11" t="s">
        <v>30</v>
      </c>
      <c r="I1623" s="11" t="s">
        <v>20763</v>
      </c>
    </row>
    <row r="1624" spans="1:9" ht="13.15" x14ac:dyDescent="0.4">
      <c r="A1624" s="11" t="s">
        <v>19782</v>
      </c>
      <c r="B1624" s="11" t="s">
        <v>6073</v>
      </c>
      <c r="C1624" s="11" t="s">
        <v>18721</v>
      </c>
      <c r="D1624" s="12">
        <v>41275</v>
      </c>
      <c r="E1624" s="12">
        <v>41275</v>
      </c>
      <c r="F1624" s="11"/>
      <c r="G1624" s="11" t="s">
        <v>279</v>
      </c>
      <c r="H1624" s="11" t="s">
        <v>30</v>
      </c>
      <c r="I1624" s="11" t="s">
        <v>21077</v>
      </c>
    </row>
    <row r="1625" spans="1:9" ht="13.15" x14ac:dyDescent="0.4">
      <c r="A1625" s="11" t="s">
        <v>20021</v>
      </c>
      <c r="B1625" s="11" t="s">
        <v>6073</v>
      </c>
      <c r="C1625" s="11" t="s">
        <v>18721</v>
      </c>
      <c r="D1625" s="12">
        <v>40909</v>
      </c>
      <c r="E1625" s="12">
        <v>40909</v>
      </c>
      <c r="F1625" s="11"/>
      <c r="G1625" s="11" t="s">
        <v>279</v>
      </c>
      <c r="H1625" s="11" t="s">
        <v>30</v>
      </c>
      <c r="I1625" s="11" t="s">
        <v>20838</v>
      </c>
    </row>
    <row r="1626" spans="1:9" ht="13.15" x14ac:dyDescent="0.4">
      <c r="A1626" s="11" t="s">
        <v>18761</v>
      </c>
      <c r="B1626" s="11" t="s">
        <v>6073</v>
      </c>
      <c r="C1626" s="11" t="s">
        <v>18721</v>
      </c>
      <c r="D1626" s="12">
        <v>41275</v>
      </c>
      <c r="E1626" s="12">
        <v>41275</v>
      </c>
      <c r="F1626" s="11"/>
      <c r="G1626" s="11" t="s">
        <v>279</v>
      </c>
      <c r="H1626" s="11" t="s">
        <v>30</v>
      </c>
      <c r="I1626" s="11" t="s">
        <v>22098</v>
      </c>
    </row>
    <row r="1627" spans="1:9" ht="13.15" x14ac:dyDescent="0.4">
      <c r="A1627" s="11" t="s">
        <v>19490</v>
      </c>
      <c r="B1627" s="11" t="s">
        <v>6073</v>
      </c>
      <c r="C1627" s="11" t="s">
        <v>18721</v>
      </c>
      <c r="D1627" s="12">
        <v>40909</v>
      </c>
      <c r="E1627" s="12">
        <v>40909</v>
      </c>
      <c r="F1627" s="11"/>
      <c r="G1627" s="11" t="s">
        <v>279</v>
      </c>
      <c r="H1627" s="11" t="s">
        <v>30</v>
      </c>
      <c r="I1627" s="11" t="s">
        <v>21369</v>
      </c>
    </row>
    <row r="1628" spans="1:9" ht="13.15" x14ac:dyDescent="0.4">
      <c r="A1628" s="11" t="s">
        <v>20322</v>
      </c>
      <c r="B1628" s="11" t="s">
        <v>6073</v>
      </c>
      <c r="C1628" s="11" t="s">
        <v>18721</v>
      </c>
      <c r="D1628" s="12">
        <v>41275</v>
      </c>
      <c r="E1628" s="12">
        <v>41275</v>
      </c>
      <c r="F1628" s="11"/>
      <c r="G1628" s="11" t="s">
        <v>279</v>
      </c>
      <c r="H1628" s="11" t="s">
        <v>30</v>
      </c>
      <c r="I1628" s="11" t="s">
        <v>20537</v>
      </c>
    </row>
    <row r="1629" spans="1:9" ht="13.15" x14ac:dyDescent="0.4">
      <c r="A1629" s="11" t="s">
        <v>18987</v>
      </c>
      <c r="B1629" s="11" t="s">
        <v>6073</v>
      </c>
      <c r="C1629" s="11" t="s">
        <v>18721</v>
      </c>
      <c r="D1629" s="12">
        <v>40909</v>
      </c>
      <c r="E1629" s="12">
        <v>40909</v>
      </c>
      <c r="F1629" s="11"/>
      <c r="G1629" s="11" t="s">
        <v>279</v>
      </c>
      <c r="H1629" s="11" t="s">
        <v>30</v>
      </c>
      <c r="I1629" s="11" t="s">
        <v>21872</v>
      </c>
    </row>
    <row r="1630" spans="1:9" ht="13.15" x14ac:dyDescent="0.4">
      <c r="A1630" s="11" t="s">
        <v>19026</v>
      </c>
      <c r="B1630" s="11" t="s">
        <v>6073</v>
      </c>
      <c r="C1630" s="11" t="s">
        <v>18721</v>
      </c>
      <c r="D1630" s="12">
        <v>41275</v>
      </c>
      <c r="E1630" s="12">
        <v>41275</v>
      </c>
      <c r="F1630" s="11"/>
      <c r="G1630" s="11" t="s">
        <v>279</v>
      </c>
      <c r="H1630" s="11" t="s">
        <v>30</v>
      </c>
      <c r="I1630" s="11" t="s">
        <v>21833</v>
      </c>
    </row>
    <row r="1631" spans="1:9" ht="13.15" x14ac:dyDescent="0.4">
      <c r="A1631" s="11" t="s">
        <v>19949</v>
      </c>
      <c r="B1631" s="11" t="s">
        <v>6073</v>
      </c>
      <c r="C1631" s="11" t="s">
        <v>18721</v>
      </c>
      <c r="D1631" s="12">
        <v>40909</v>
      </c>
      <c r="E1631" s="12">
        <v>40909</v>
      </c>
      <c r="F1631" s="11"/>
      <c r="G1631" s="11" t="s">
        <v>279</v>
      </c>
      <c r="H1631" s="11" t="s">
        <v>30</v>
      </c>
      <c r="I1631" s="11" t="s">
        <v>20910</v>
      </c>
    </row>
    <row r="1632" spans="1:9" ht="13.15" x14ac:dyDescent="0.4">
      <c r="A1632" s="11" t="s">
        <v>19494</v>
      </c>
      <c r="B1632" s="11" t="s">
        <v>6073</v>
      </c>
      <c r="C1632" s="11" t="s">
        <v>18721</v>
      </c>
      <c r="D1632" s="12">
        <v>41275</v>
      </c>
      <c r="E1632" s="12">
        <v>41275</v>
      </c>
      <c r="F1632" s="11"/>
      <c r="G1632" s="11" t="s">
        <v>279</v>
      </c>
      <c r="H1632" s="11" t="s">
        <v>30</v>
      </c>
      <c r="I1632" s="11" t="s">
        <v>21365</v>
      </c>
    </row>
    <row r="1633" spans="1:9" ht="13.15" x14ac:dyDescent="0.4">
      <c r="A1633" s="11" t="s">
        <v>19512</v>
      </c>
      <c r="B1633" s="11" t="s">
        <v>6073</v>
      </c>
      <c r="C1633" s="11" t="s">
        <v>18721</v>
      </c>
      <c r="D1633" s="12">
        <v>41275</v>
      </c>
      <c r="E1633" s="12">
        <v>41275</v>
      </c>
      <c r="F1633" s="11"/>
      <c r="G1633" s="11" t="s">
        <v>279</v>
      </c>
      <c r="H1633" s="11" t="s">
        <v>30</v>
      </c>
      <c r="I1633" s="11" t="s">
        <v>21347</v>
      </c>
    </row>
    <row r="1634" spans="1:9" ht="13.15" x14ac:dyDescent="0.4">
      <c r="A1634" s="11" t="s">
        <v>19659</v>
      </c>
      <c r="B1634" s="11" t="s">
        <v>6073</v>
      </c>
      <c r="C1634" s="11" t="s">
        <v>18721</v>
      </c>
      <c r="D1634" s="12">
        <v>41275</v>
      </c>
      <c r="E1634" s="12">
        <v>41275</v>
      </c>
      <c r="F1634" s="11"/>
      <c r="G1634" s="11" t="s">
        <v>279</v>
      </c>
      <c r="H1634" s="11" t="s">
        <v>30</v>
      </c>
      <c r="I1634" s="11" t="s">
        <v>21200</v>
      </c>
    </row>
    <row r="1635" spans="1:9" ht="13.15" x14ac:dyDescent="0.4">
      <c r="A1635" s="11" t="s">
        <v>19101</v>
      </c>
      <c r="B1635" s="11" t="s">
        <v>6073</v>
      </c>
      <c r="C1635" s="11" t="s">
        <v>18721</v>
      </c>
      <c r="D1635" s="12">
        <v>40909</v>
      </c>
      <c r="E1635" s="12">
        <v>40909</v>
      </c>
      <c r="F1635" s="11"/>
      <c r="G1635" s="11" t="s">
        <v>279</v>
      </c>
      <c r="H1635" s="11" t="s">
        <v>30</v>
      </c>
      <c r="I1635" s="11" t="s">
        <v>21758</v>
      </c>
    </row>
    <row r="1636" spans="1:9" ht="13.15" x14ac:dyDescent="0.4">
      <c r="A1636" s="11" t="s">
        <v>19098</v>
      </c>
      <c r="B1636" s="11" t="s">
        <v>6073</v>
      </c>
      <c r="C1636" s="11" t="s">
        <v>18721</v>
      </c>
      <c r="D1636" s="12">
        <v>41275</v>
      </c>
      <c r="E1636" s="12">
        <v>41275</v>
      </c>
      <c r="F1636" s="11"/>
      <c r="G1636" s="11" t="s">
        <v>279</v>
      </c>
      <c r="H1636" s="11" t="s">
        <v>30</v>
      </c>
      <c r="I1636" s="11" t="s">
        <v>21761</v>
      </c>
    </row>
    <row r="1637" spans="1:9" ht="13.15" x14ac:dyDescent="0.4">
      <c r="A1637" s="11" t="s">
        <v>19605</v>
      </c>
      <c r="B1637" s="11" t="s">
        <v>6073</v>
      </c>
      <c r="C1637" s="11" t="s">
        <v>18721</v>
      </c>
      <c r="D1637" s="12">
        <v>41275</v>
      </c>
      <c r="E1637" s="12">
        <v>41275</v>
      </c>
      <c r="F1637" s="11"/>
      <c r="G1637" s="11" t="s">
        <v>279</v>
      </c>
      <c r="H1637" s="11" t="s">
        <v>30</v>
      </c>
      <c r="I1637" s="11" t="s">
        <v>21254</v>
      </c>
    </row>
    <row r="1638" spans="1:9" ht="13.15" x14ac:dyDescent="0.4">
      <c r="A1638" s="11" t="s">
        <v>19936</v>
      </c>
      <c r="B1638" s="11" t="s">
        <v>6073</v>
      </c>
      <c r="C1638" s="11" t="s">
        <v>18721</v>
      </c>
      <c r="D1638" s="12">
        <v>40909</v>
      </c>
      <c r="E1638" s="12">
        <v>40909</v>
      </c>
      <c r="F1638" s="11"/>
      <c r="G1638" s="11" t="s">
        <v>279</v>
      </c>
      <c r="H1638" s="11" t="s">
        <v>30</v>
      </c>
      <c r="I1638" s="11" t="s">
        <v>20923</v>
      </c>
    </row>
    <row r="1639" spans="1:9" ht="13.15" x14ac:dyDescent="0.4">
      <c r="A1639" s="11" t="s">
        <v>20170</v>
      </c>
      <c r="B1639" s="11" t="s">
        <v>6073</v>
      </c>
      <c r="C1639" s="11" t="s">
        <v>18721</v>
      </c>
      <c r="D1639" s="12">
        <v>41275</v>
      </c>
      <c r="E1639" s="12">
        <v>41275</v>
      </c>
      <c r="F1639" s="11"/>
      <c r="G1639" s="11" t="s">
        <v>279</v>
      </c>
      <c r="H1639" s="11" t="s">
        <v>30</v>
      </c>
      <c r="I1639" s="11" t="s">
        <v>20689</v>
      </c>
    </row>
    <row r="1640" spans="1:9" ht="13.15" x14ac:dyDescent="0.4">
      <c r="A1640" s="11" t="s">
        <v>20180</v>
      </c>
      <c r="B1640" s="11" t="s">
        <v>6073</v>
      </c>
      <c r="C1640" s="11" t="s">
        <v>18721</v>
      </c>
      <c r="D1640" s="12">
        <v>40909</v>
      </c>
      <c r="E1640" s="12">
        <v>40909</v>
      </c>
      <c r="F1640" s="11"/>
      <c r="G1640" s="11" t="s">
        <v>279</v>
      </c>
      <c r="H1640" s="11" t="s">
        <v>30</v>
      </c>
      <c r="I1640" s="11" t="s">
        <v>20679</v>
      </c>
    </row>
    <row r="1641" spans="1:9" ht="13.15" x14ac:dyDescent="0.4">
      <c r="A1641" s="11" t="s">
        <v>19444</v>
      </c>
      <c r="B1641" s="11" t="s">
        <v>6073</v>
      </c>
      <c r="C1641" s="11" t="s">
        <v>18721</v>
      </c>
      <c r="D1641" s="12">
        <v>41275</v>
      </c>
      <c r="E1641" s="12">
        <v>41275</v>
      </c>
      <c r="F1641" s="11"/>
      <c r="G1641" s="11" t="s">
        <v>279</v>
      </c>
      <c r="H1641" s="11" t="s">
        <v>30</v>
      </c>
      <c r="I1641" s="11" t="s">
        <v>21415</v>
      </c>
    </row>
    <row r="1642" spans="1:9" ht="13.15" x14ac:dyDescent="0.4">
      <c r="A1642" s="11" t="s">
        <v>20052</v>
      </c>
      <c r="B1642" s="11" t="s">
        <v>6073</v>
      </c>
      <c r="C1642" s="11" t="s">
        <v>18721</v>
      </c>
      <c r="D1642" s="12">
        <v>40909</v>
      </c>
      <c r="E1642" s="12">
        <v>40909</v>
      </c>
      <c r="F1642" s="11"/>
      <c r="G1642" s="11" t="s">
        <v>279</v>
      </c>
      <c r="H1642" s="11" t="s">
        <v>30</v>
      </c>
      <c r="I1642" s="11" t="s">
        <v>20807</v>
      </c>
    </row>
    <row r="1643" spans="1:9" ht="13.15" x14ac:dyDescent="0.4">
      <c r="A1643" s="11" t="s">
        <v>20225</v>
      </c>
      <c r="B1643" s="11" t="s">
        <v>6073</v>
      </c>
      <c r="C1643" s="11" t="s">
        <v>18721</v>
      </c>
      <c r="D1643" s="12">
        <v>41275</v>
      </c>
      <c r="E1643" s="12">
        <v>41275</v>
      </c>
      <c r="F1643" s="11"/>
      <c r="G1643" s="11" t="s">
        <v>279</v>
      </c>
      <c r="H1643" s="11" t="s">
        <v>30</v>
      </c>
      <c r="I1643" s="11" t="s">
        <v>20634</v>
      </c>
    </row>
    <row r="1644" spans="1:9" ht="13.15" x14ac:dyDescent="0.4">
      <c r="A1644" s="11" t="s">
        <v>20030</v>
      </c>
      <c r="B1644" s="11" t="s">
        <v>6073</v>
      </c>
      <c r="C1644" s="11" t="s">
        <v>18721</v>
      </c>
      <c r="D1644" s="12">
        <v>41275</v>
      </c>
      <c r="E1644" s="12">
        <v>41275</v>
      </c>
      <c r="F1644" s="11"/>
      <c r="G1644" s="11" t="s">
        <v>279</v>
      </c>
      <c r="H1644" s="11" t="s">
        <v>30</v>
      </c>
      <c r="I1644" s="11" t="s">
        <v>20829</v>
      </c>
    </row>
    <row r="1645" spans="1:9" ht="13.15" x14ac:dyDescent="0.4">
      <c r="A1645" s="11" t="s">
        <v>20024</v>
      </c>
      <c r="B1645" s="11" t="s">
        <v>6073</v>
      </c>
      <c r="C1645" s="11" t="s">
        <v>18721</v>
      </c>
      <c r="D1645" s="12">
        <v>41275</v>
      </c>
      <c r="E1645" s="12">
        <v>41275</v>
      </c>
      <c r="F1645" s="11"/>
      <c r="G1645" s="11" t="s">
        <v>279</v>
      </c>
      <c r="H1645" s="11" t="s">
        <v>30</v>
      </c>
      <c r="I1645" s="11" t="s">
        <v>20835</v>
      </c>
    </row>
    <row r="1646" spans="1:9" ht="13.15" x14ac:dyDescent="0.4">
      <c r="A1646" s="11" t="s">
        <v>18927</v>
      </c>
      <c r="B1646" s="11" t="s">
        <v>6073</v>
      </c>
      <c r="C1646" s="11" t="s">
        <v>18721</v>
      </c>
      <c r="D1646" s="12">
        <v>41275</v>
      </c>
      <c r="E1646" s="12">
        <v>41275</v>
      </c>
      <c r="F1646" s="11"/>
      <c r="G1646" s="11" t="s">
        <v>279</v>
      </c>
      <c r="H1646" s="11" t="s">
        <v>30</v>
      </c>
      <c r="I1646" s="11" t="s">
        <v>21932</v>
      </c>
    </row>
    <row r="1647" spans="1:9" ht="13.15" x14ac:dyDescent="0.4">
      <c r="A1647" s="11" t="s">
        <v>20295</v>
      </c>
      <c r="B1647" s="11" t="s">
        <v>6073</v>
      </c>
      <c r="C1647" s="11" t="s">
        <v>18721</v>
      </c>
      <c r="D1647" s="12">
        <v>41275</v>
      </c>
      <c r="E1647" s="12">
        <v>41275</v>
      </c>
      <c r="F1647" s="11"/>
      <c r="G1647" s="11" t="s">
        <v>279</v>
      </c>
      <c r="H1647" s="11" t="s">
        <v>30</v>
      </c>
      <c r="I1647" s="11" t="s">
        <v>20564</v>
      </c>
    </row>
    <row r="1648" spans="1:9" ht="13.15" x14ac:dyDescent="0.4">
      <c r="A1648" s="11" t="s">
        <v>19683</v>
      </c>
      <c r="B1648" s="11" t="s">
        <v>6073</v>
      </c>
      <c r="C1648" s="11" t="s">
        <v>18721</v>
      </c>
      <c r="D1648" s="12">
        <v>41275</v>
      </c>
      <c r="E1648" s="12">
        <v>41275</v>
      </c>
      <c r="F1648" s="11"/>
      <c r="G1648" s="11" t="s">
        <v>279</v>
      </c>
      <c r="H1648" s="11" t="s">
        <v>30</v>
      </c>
      <c r="I1648" s="11" t="s">
        <v>21176</v>
      </c>
    </row>
    <row r="1649" spans="1:9" ht="13.15" x14ac:dyDescent="0.4">
      <c r="A1649" s="11" t="s">
        <v>18859</v>
      </c>
      <c r="B1649" s="11" t="s">
        <v>6073</v>
      </c>
      <c r="C1649" s="11" t="s">
        <v>18721</v>
      </c>
      <c r="D1649" s="12">
        <v>41275</v>
      </c>
      <c r="E1649" s="12">
        <v>41275</v>
      </c>
      <c r="F1649" s="11"/>
      <c r="G1649" s="11" t="s">
        <v>279</v>
      </c>
      <c r="H1649" s="11" t="s">
        <v>30</v>
      </c>
      <c r="I1649" s="11" t="s">
        <v>22000</v>
      </c>
    </row>
    <row r="1650" spans="1:9" ht="13.15" x14ac:dyDescent="0.4">
      <c r="A1650" s="11" t="s">
        <v>19061</v>
      </c>
      <c r="B1650" s="11" t="s">
        <v>6073</v>
      </c>
      <c r="C1650" s="11" t="s">
        <v>18721</v>
      </c>
      <c r="D1650" s="12">
        <v>41275</v>
      </c>
      <c r="E1650" s="12">
        <v>41275</v>
      </c>
      <c r="F1650" s="11"/>
      <c r="G1650" s="11" t="s">
        <v>279</v>
      </c>
      <c r="H1650" s="11" t="s">
        <v>30</v>
      </c>
      <c r="I1650" s="11" t="s">
        <v>21798</v>
      </c>
    </row>
    <row r="1651" spans="1:9" ht="13.15" x14ac:dyDescent="0.4">
      <c r="A1651" s="11" t="s">
        <v>20185</v>
      </c>
      <c r="B1651" s="11" t="s">
        <v>6073</v>
      </c>
      <c r="C1651" s="11" t="s">
        <v>18721</v>
      </c>
      <c r="D1651" s="12">
        <v>41275</v>
      </c>
      <c r="E1651" s="12">
        <v>41275</v>
      </c>
      <c r="F1651" s="11"/>
      <c r="G1651" s="11" t="s">
        <v>279</v>
      </c>
      <c r="H1651" s="11" t="s">
        <v>30</v>
      </c>
      <c r="I1651" s="11" t="s">
        <v>20674</v>
      </c>
    </row>
    <row r="1652" spans="1:9" ht="13.15" x14ac:dyDescent="0.4">
      <c r="A1652" s="11" t="s">
        <v>19458</v>
      </c>
      <c r="B1652" s="11" t="s">
        <v>6073</v>
      </c>
      <c r="C1652" s="11" t="s">
        <v>18721</v>
      </c>
      <c r="D1652" s="12">
        <v>41275</v>
      </c>
      <c r="E1652" s="12">
        <v>41275</v>
      </c>
      <c r="F1652" s="11"/>
      <c r="G1652" s="11" t="s">
        <v>279</v>
      </c>
      <c r="H1652" s="11" t="s">
        <v>30</v>
      </c>
      <c r="I1652" s="11" t="s">
        <v>21401</v>
      </c>
    </row>
    <row r="1653" spans="1:9" ht="13.15" x14ac:dyDescent="0.4">
      <c r="A1653" s="11" t="s">
        <v>18730</v>
      </c>
      <c r="B1653" s="11" t="s">
        <v>6073</v>
      </c>
      <c r="C1653" s="11" t="s">
        <v>18721</v>
      </c>
      <c r="D1653" s="12">
        <v>41275</v>
      </c>
      <c r="E1653" s="12">
        <v>41275</v>
      </c>
      <c r="F1653" s="11"/>
      <c r="G1653" s="11" t="s">
        <v>279</v>
      </c>
      <c r="H1653" s="11" t="s">
        <v>30</v>
      </c>
      <c r="I1653" s="11" t="s">
        <v>22129</v>
      </c>
    </row>
    <row r="1654" spans="1:9" ht="13.15" x14ac:dyDescent="0.4">
      <c r="A1654" s="11" t="s">
        <v>19214</v>
      </c>
      <c r="B1654" s="11" t="s">
        <v>6073</v>
      </c>
      <c r="C1654" s="11" t="s">
        <v>18721</v>
      </c>
      <c r="D1654" s="12">
        <v>41275</v>
      </c>
      <c r="E1654" s="12">
        <v>41275</v>
      </c>
      <c r="F1654" s="11"/>
      <c r="G1654" s="11" t="s">
        <v>279</v>
      </c>
      <c r="H1654" s="11" t="s">
        <v>30</v>
      </c>
      <c r="I1654" s="11" t="s">
        <v>21645</v>
      </c>
    </row>
    <row r="1655" spans="1:9" ht="13.15" x14ac:dyDescent="0.4">
      <c r="A1655" s="11" t="s">
        <v>18984</v>
      </c>
      <c r="B1655" s="11" t="s">
        <v>6073</v>
      </c>
      <c r="C1655" s="11" t="s">
        <v>18721</v>
      </c>
      <c r="D1655" s="12">
        <v>41640</v>
      </c>
      <c r="E1655" s="12">
        <v>41640</v>
      </c>
      <c r="F1655" s="11"/>
      <c r="G1655" s="11" t="s">
        <v>279</v>
      </c>
      <c r="H1655" s="11" t="s">
        <v>30</v>
      </c>
      <c r="I1655" s="11" t="s">
        <v>21875</v>
      </c>
    </row>
    <row r="1656" spans="1:9" ht="13.15" x14ac:dyDescent="0.4">
      <c r="A1656" s="11" t="s">
        <v>20352</v>
      </c>
      <c r="B1656" s="11" t="s">
        <v>6073</v>
      </c>
      <c r="C1656" s="11" t="s">
        <v>18721</v>
      </c>
      <c r="D1656" s="12">
        <v>41275</v>
      </c>
      <c r="E1656" s="12">
        <v>41275</v>
      </c>
      <c r="F1656" s="11"/>
      <c r="G1656" s="11" t="s">
        <v>279</v>
      </c>
      <c r="H1656" s="11" t="s">
        <v>30</v>
      </c>
      <c r="I1656" s="11" t="s">
        <v>20507</v>
      </c>
    </row>
    <row r="1657" spans="1:9" ht="13.15" x14ac:dyDescent="0.4">
      <c r="A1657" s="11" t="s">
        <v>19336</v>
      </c>
      <c r="B1657" s="11" t="s">
        <v>6073</v>
      </c>
      <c r="C1657" s="11" t="s">
        <v>18721</v>
      </c>
      <c r="D1657" s="12">
        <v>40909</v>
      </c>
      <c r="E1657" s="12">
        <v>40909</v>
      </c>
      <c r="F1657" s="11"/>
      <c r="G1657" s="11" t="s">
        <v>279</v>
      </c>
      <c r="H1657" s="11" t="s">
        <v>30</v>
      </c>
      <c r="I1657" s="11" t="s">
        <v>21523</v>
      </c>
    </row>
    <row r="1658" spans="1:9" ht="13.15" x14ac:dyDescent="0.4">
      <c r="A1658" s="11" t="s">
        <v>20068</v>
      </c>
      <c r="B1658" s="11" t="s">
        <v>6073</v>
      </c>
      <c r="C1658" s="11" t="s">
        <v>18721</v>
      </c>
      <c r="D1658" s="12">
        <v>41640</v>
      </c>
      <c r="E1658" s="12">
        <v>41640</v>
      </c>
      <c r="F1658" s="11"/>
      <c r="G1658" s="11" t="s">
        <v>279</v>
      </c>
      <c r="H1658" s="11" t="s">
        <v>30</v>
      </c>
      <c r="I1658" s="11" t="s">
        <v>20791</v>
      </c>
    </row>
    <row r="1659" spans="1:9" ht="13.15" x14ac:dyDescent="0.4">
      <c r="A1659" s="11" t="s">
        <v>19127</v>
      </c>
      <c r="B1659" s="11" t="s">
        <v>6073</v>
      </c>
      <c r="C1659" s="11" t="s">
        <v>18721</v>
      </c>
      <c r="D1659" s="12">
        <v>41640</v>
      </c>
      <c r="E1659" s="12">
        <v>41640</v>
      </c>
      <c r="F1659" s="11"/>
      <c r="G1659" s="11" t="s">
        <v>279</v>
      </c>
      <c r="H1659" s="11" t="s">
        <v>30</v>
      </c>
      <c r="I1659" s="11" t="s">
        <v>21732</v>
      </c>
    </row>
    <row r="1660" spans="1:9" ht="13.15" x14ac:dyDescent="0.4">
      <c r="A1660" s="11" t="s">
        <v>20298</v>
      </c>
      <c r="B1660" s="11" t="s">
        <v>6073</v>
      </c>
      <c r="C1660" s="11" t="s">
        <v>18721</v>
      </c>
      <c r="D1660" s="12">
        <v>40909</v>
      </c>
      <c r="E1660" s="12">
        <v>40909</v>
      </c>
      <c r="F1660" s="11"/>
      <c r="G1660" s="11" t="s">
        <v>279</v>
      </c>
      <c r="H1660" s="11" t="s">
        <v>30</v>
      </c>
      <c r="I1660" s="11" t="s">
        <v>20561</v>
      </c>
    </row>
    <row r="1661" spans="1:9" ht="13.15" x14ac:dyDescent="0.4">
      <c r="A1661" s="11" t="s">
        <v>20081</v>
      </c>
      <c r="B1661" s="11" t="s">
        <v>6073</v>
      </c>
      <c r="C1661" s="11" t="s">
        <v>18721</v>
      </c>
      <c r="D1661" s="12">
        <v>41275</v>
      </c>
      <c r="E1661" s="12">
        <v>41275</v>
      </c>
      <c r="F1661" s="11"/>
      <c r="G1661" s="11" t="s">
        <v>279</v>
      </c>
      <c r="H1661" s="11" t="s">
        <v>30</v>
      </c>
      <c r="I1661" s="11" t="s">
        <v>20778</v>
      </c>
    </row>
    <row r="1662" spans="1:9" ht="13.15" x14ac:dyDescent="0.4">
      <c r="A1662" s="11" t="s">
        <v>19478</v>
      </c>
      <c r="B1662" s="11" t="s">
        <v>6073</v>
      </c>
      <c r="C1662" s="11" t="s">
        <v>18721</v>
      </c>
      <c r="D1662" s="12">
        <v>41275</v>
      </c>
      <c r="E1662" s="12">
        <v>41275</v>
      </c>
      <c r="F1662" s="11"/>
      <c r="G1662" s="11" t="s">
        <v>279</v>
      </c>
      <c r="H1662" s="11" t="s">
        <v>30</v>
      </c>
      <c r="I1662" s="11" t="s">
        <v>21381</v>
      </c>
    </row>
    <row r="1663" spans="1:9" ht="13.15" x14ac:dyDescent="0.4">
      <c r="A1663" s="11" t="s">
        <v>19126</v>
      </c>
      <c r="B1663" s="11" t="s">
        <v>6073</v>
      </c>
      <c r="C1663" s="11" t="s">
        <v>18721</v>
      </c>
      <c r="D1663" s="12">
        <v>41275</v>
      </c>
      <c r="E1663" s="12">
        <v>41275</v>
      </c>
      <c r="F1663" s="11"/>
      <c r="G1663" s="11" t="s">
        <v>279</v>
      </c>
      <c r="H1663" s="11" t="s">
        <v>30</v>
      </c>
      <c r="I1663" s="11" t="s">
        <v>21733</v>
      </c>
    </row>
    <row r="1664" spans="1:9" ht="13.15" x14ac:dyDescent="0.4">
      <c r="A1664" s="11" t="s">
        <v>20385</v>
      </c>
      <c r="B1664" s="11" t="s">
        <v>6073</v>
      </c>
      <c r="C1664" s="11" t="s">
        <v>18721</v>
      </c>
      <c r="D1664" s="12">
        <v>41275</v>
      </c>
      <c r="E1664" s="12">
        <v>41275</v>
      </c>
      <c r="F1664" s="11"/>
      <c r="G1664" s="11" t="s">
        <v>279</v>
      </c>
      <c r="H1664" s="11" t="s">
        <v>30</v>
      </c>
      <c r="I1664" s="11" t="s">
        <v>20474</v>
      </c>
    </row>
    <row r="1665" spans="1:9" ht="13.15" x14ac:dyDescent="0.4">
      <c r="A1665" s="11" t="s">
        <v>19994</v>
      </c>
      <c r="B1665" s="11" t="s">
        <v>6073</v>
      </c>
      <c r="C1665" s="11" t="s">
        <v>18721</v>
      </c>
      <c r="D1665" s="12">
        <v>41275</v>
      </c>
      <c r="E1665" s="12">
        <v>41275</v>
      </c>
      <c r="F1665" s="11"/>
      <c r="G1665" s="11" t="s">
        <v>279</v>
      </c>
      <c r="H1665" s="11" t="s">
        <v>30</v>
      </c>
      <c r="I1665" s="11" t="s">
        <v>20865</v>
      </c>
    </row>
    <row r="1666" spans="1:9" ht="13.15" x14ac:dyDescent="0.4">
      <c r="A1666" s="11" t="s">
        <v>19434</v>
      </c>
      <c r="B1666" s="11" t="s">
        <v>6073</v>
      </c>
      <c r="C1666" s="11" t="s">
        <v>18721</v>
      </c>
      <c r="D1666" s="12">
        <v>41275</v>
      </c>
      <c r="E1666" s="12">
        <v>41275</v>
      </c>
      <c r="F1666" s="11"/>
      <c r="G1666" s="11" t="s">
        <v>279</v>
      </c>
      <c r="H1666" s="11" t="s">
        <v>30</v>
      </c>
      <c r="I1666" s="11" t="s">
        <v>21425</v>
      </c>
    </row>
    <row r="1667" spans="1:9" ht="13.15" x14ac:dyDescent="0.4">
      <c r="A1667" s="11" t="s">
        <v>19346</v>
      </c>
      <c r="B1667" s="11" t="s">
        <v>6073</v>
      </c>
      <c r="C1667" s="11" t="s">
        <v>18721</v>
      </c>
      <c r="D1667" s="12">
        <v>41275</v>
      </c>
      <c r="E1667" s="12">
        <v>41275</v>
      </c>
      <c r="F1667" s="11"/>
      <c r="G1667" s="11" t="s">
        <v>279</v>
      </c>
      <c r="H1667" s="11" t="s">
        <v>30</v>
      </c>
      <c r="I1667" s="11" t="s">
        <v>21513</v>
      </c>
    </row>
    <row r="1668" spans="1:9" ht="13.15" x14ac:dyDescent="0.4">
      <c r="A1668" s="11" t="s">
        <v>20323</v>
      </c>
      <c r="B1668" s="11" t="s">
        <v>6073</v>
      </c>
      <c r="C1668" s="11" t="s">
        <v>18721</v>
      </c>
      <c r="D1668" s="12">
        <v>41275</v>
      </c>
      <c r="E1668" s="12">
        <v>41275</v>
      </c>
      <c r="F1668" s="11"/>
      <c r="G1668" s="11" t="s">
        <v>279</v>
      </c>
      <c r="H1668" s="11" t="s">
        <v>30</v>
      </c>
      <c r="I1668" s="11" t="s">
        <v>20536</v>
      </c>
    </row>
    <row r="1669" spans="1:9" ht="13.15" x14ac:dyDescent="0.4">
      <c r="A1669" s="11" t="s">
        <v>18993</v>
      </c>
      <c r="B1669" s="11" t="s">
        <v>6073</v>
      </c>
      <c r="C1669" s="11" t="s">
        <v>18721</v>
      </c>
      <c r="D1669" s="12">
        <v>41275</v>
      </c>
      <c r="E1669" s="12">
        <v>41275</v>
      </c>
      <c r="F1669" s="11"/>
      <c r="G1669" s="11" t="s">
        <v>279</v>
      </c>
      <c r="H1669" s="11" t="s">
        <v>30</v>
      </c>
      <c r="I1669" s="11" t="s">
        <v>21866</v>
      </c>
    </row>
    <row r="1670" spans="1:9" ht="13.15" x14ac:dyDescent="0.4">
      <c r="A1670" s="11" t="s">
        <v>18776</v>
      </c>
      <c r="B1670" s="11" t="s">
        <v>6073</v>
      </c>
      <c r="C1670" s="11" t="s">
        <v>18721</v>
      </c>
      <c r="D1670" s="12">
        <v>41275</v>
      </c>
      <c r="E1670" s="12">
        <v>41275</v>
      </c>
      <c r="F1670" s="11"/>
      <c r="G1670" s="11" t="s">
        <v>279</v>
      </c>
      <c r="H1670" s="11" t="s">
        <v>30</v>
      </c>
      <c r="I1670" s="11" t="s">
        <v>22083</v>
      </c>
    </row>
    <row r="1671" spans="1:9" ht="13.15" x14ac:dyDescent="0.4">
      <c r="A1671" s="11" t="s">
        <v>19447</v>
      </c>
      <c r="B1671" s="11" t="s">
        <v>6073</v>
      </c>
      <c r="C1671" s="11" t="s">
        <v>18721</v>
      </c>
      <c r="D1671" s="12">
        <v>41640</v>
      </c>
      <c r="E1671" s="12">
        <v>41640</v>
      </c>
      <c r="F1671" s="11"/>
      <c r="G1671" s="11" t="s">
        <v>279</v>
      </c>
      <c r="H1671" s="11" t="s">
        <v>30</v>
      </c>
      <c r="I1671" s="11" t="s">
        <v>21412</v>
      </c>
    </row>
    <row r="1672" spans="1:9" ht="13.15" x14ac:dyDescent="0.4">
      <c r="A1672" s="11" t="s">
        <v>20102</v>
      </c>
      <c r="B1672" s="11" t="s">
        <v>6073</v>
      </c>
      <c r="C1672" s="11" t="s">
        <v>18721</v>
      </c>
      <c r="D1672" s="12">
        <v>41640</v>
      </c>
      <c r="E1672" s="12">
        <v>41640</v>
      </c>
      <c r="F1672" s="11"/>
      <c r="G1672" s="11" t="s">
        <v>279</v>
      </c>
      <c r="H1672" s="11" t="s">
        <v>30</v>
      </c>
      <c r="I1672" s="11" t="s">
        <v>20757</v>
      </c>
    </row>
    <row r="1673" spans="1:9" ht="13.15" x14ac:dyDescent="0.4">
      <c r="A1673" s="11" t="s">
        <v>19609</v>
      </c>
      <c r="B1673" s="11" t="s">
        <v>6073</v>
      </c>
      <c r="C1673" s="11" t="s">
        <v>18721</v>
      </c>
      <c r="D1673" s="12">
        <v>41275</v>
      </c>
      <c r="E1673" s="12">
        <v>41275</v>
      </c>
      <c r="F1673" s="11"/>
      <c r="G1673" s="11" t="s">
        <v>279</v>
      </c>
      <c r="H1673" s="11" t="s">
        <v>30</v>
      </c>
      <c r="I1673" s="11" t="s">
        <v>21250</v>
      </c>
    </row>
    <row r="1674" spans="1:9" ht="13.15" x14ac:dyDescent="0.4">
      <c r="A1674" s="11" t="s">
        <v>20083</v>
      </c>
      <c r="B1674" s="11" t="s">
        <v>6073</v>
      </c>
      <c r="C1674" s="11" t="s">
        <v>18721</v>
      </c>
      <c r="D1674" s="12">
        <v>41275</v>
      </c>
      <c r="E1674" s="12">
        <v>41275</v>
      </c>
      <c r="F1674" s="11"/>
      <c r="G1674" s="11" t="s">
        <v>279</v>
      </c>
      <c r="H1674" s="11" t="s">
        <v>30</v>
      </c>
      <c r="I1674" s="11" t="s">
        <v>20776</v>
      </c>
    </row>
    <row r="1675" spans="1:9" ht="13.15" x14ac:dyDescent="0.4">
      <c r="A1675" s="11" t="s">
        <v>19203</v>
      </c>
      <c r="B1675" s="11" t="s">
        <v>6073</v>
      </c>
      <c r="C1675" s="11" t="s">
        <v>18721</v>
      </c>
      <c r="D1675" s="12">
        <v>41275</v>
      </c>
      <c r="E1675" s="12">
        <v>41275</v>
      </c>
      <c r="F1675" s="11"/>
      <c r="G1675" s="11" t="s">
        <v>279</v>
      </c>
      <c r="H1675" s="11" t="s">
        <v>30</v>
      </c>
      <c r="I1675" s="11" t="s">
        <v>21656</v>
      </c>
    </row>
    <row r="1676" spans="1:9" ht="13.15" x14ac:dyDescent="0.4">
      <c r="A1676" s="11" t="s">
        <v>19577</v>
      </c>
      <c r="B1676" s="11" t="s">
        <v>6073</v>
      </c>
      <c r="C1676" s="11" t="s">
        <v>18721</v>
      </c>
      <c r="D1676" s="12">
        <v>41275</v>
      </c>
      <c r="E1676" s="12">
        <v>41275</v>
      </c>
      <c r="F1676" s="11"/>
      <c r="G1676" s="11" t="s">
        <v>279</v>
      </c>
      <c r="H1676" s="11" t="s">
        <v>30</v>
      </c>
      <c r="I1676" s="11" t="s">
        <v>21282</v>
      </c>
    </row>
    <row r="1677" spans="1:9" ht="13.15" x14ac:dyDescent="0.4">
      <c r="A1677" s="11" t="s">
        <v>19157</v>
      </c>
      <c r="B1677" s="11" t="s">
        <v>6073</v>
      </c>
      <c r="C1677" s="11" t="s">
        <v>18721</v>
      </c>
      <c r="D1677" s="12">
        <v>41275</v>
      </c>
      <c r="E1677" s="12">
        <v>41275</v>
      </c>
      <c r="F1677" s="11"/>
      <c r="G1677" s="11" t="s">
        <v>279</v>
      </c>
      <c r="H1677" s="11" t="s">
        <v>30</v>
      </c>
      <c r="I1677" s="11" t="s">
        <v>21702</v>
      </c>
    </row>
    <row r="1678" spans="1:9" ht="13.15" x14ac:dyDescent="0.4">
      <c r="A1678" s="11" t="s">
        <v>19037</v>
      </c>
      <c r="B1678" s="11" t="s">
        <v>6073</v>
      </c>
      <c r="C1678" s="11" t="s">
        <v>18721</v>
      </c>
      <c r="D1678" s="12">
        <v>41275</v>
      </c>
      <c r="E1678" s="12">
        <v>41275</v>
      </c>
      <c r="F1678" s="11"/>
      <c r="G1678" s="11" t="s">
        <v>279</v>
      </c>
      <c r="H1678" s="11" t="s">
        <v>30</v>
      </c>
      <c r="I1678" s="11" t="s">
        <v>21822</v>
      </c>
    </row>
    <row r="1679" spans="1:9" ht="13.15" x14ac:dyDescent="0.4">
      <c r="A1679" s="11" t="s">
        <v>20293</v>
      </c>
      <c r="B1679" s="11" t="s">
        <v>6073</v>
      </c>
      <c r="C1679" s="11" t="s">
        <v>18721</v>
      </c>
      <c r="D1679" s="12">
        <v>41640</v>
      </c>
      <c r="E1679" s="12">
        <v>41640</v>
      </c>
      <c r="F1679" s="11"/>
      <c r="G1679" s="11" t="s">
        <v>279</v>
      </c>
      <c r="H1679" s="11" t="s">
        <v>30</v>
      </c>
      <c r="I1679" s="11" t="s">
        <v>20566</v>
      </c>
    </row>
    <row r="1680" spans="1:9" ht="13.15" x14ac:dyDescent="0.4">
      <c r="A1680" s="11" t="s">
        <v>20252</v>
      </c>
      <c r="B1680" s="11" t="s">
        <v>6073</v>
      </c>
      <c r="C1680" s="11" t="s">
        <v>18721</v>
      </c>
      <c r="D1680" s="12">
        <v>41640</v>
      </c>
      <c r="E1680" s="12">
        <v>41640</v>
      </c>
      <c r="F1680" s="11"/>
      <c r="G1680" s="11" t="s">
        <v>279</v>
      </c>
      <c r="H1680" s="11" t="s">
        <v>30</v>
      </c>
      <c r="I1680" s="11" t="s">
        <v>20607</v>
      </c>
    </row>
    <row r="1681" spans="1:9" ht="13.15" x14ac:dyDescent="0.4">
      <c r="A1681" s="11" t="s">
        <v>19266</v>
      </c>
      <c r="B1681" s="11" t="s">
        <v>6073</v>
      </c>
      <c r="C1681" s="11" t="s">
        <v>18721</v>
      </c>
      <c r="D1681" s="12">
        <v>41640</v>
      </c>
      <c r="E1681" s="12">
        <v>41640</v>
      </c>
      <c r="F1681" s="11"/>
      <c r="G1681" s="11" t="s">
        <v>279</v>
      </c>
      <c r="H1681" s="11" t="s">
        <v>30</v>
      </c>
      <c r="I1681" s="11" t="s">
        <v>21593</v>
      </c>
    </row>
    <row r="1682" spans="1:9" ht="13.15" x14ac:dyDescent="0.4">
      <c r="A1682" s="11" t="s">
        <v>20061</v>
      </c>
      <c r="B1682" s="11" t="s">
        <v>6073</v>
      </c>
      <c r="C1682" s="11" t="s">
        <v>18721</v>
      </c>
      <c r="D1682" s="12">
        <v>41640</v>
      </c>
      <c r="E1682" s="12">
        <v>41640</v>
      </c>
      <c r="F1682" s="11"/>
      <c r="G1682" s="11" t="s">
        <v>279</v>
      </c>
      <c r="H1682" s="11" t="s">
        <v>30</v>
      </c>
      <c r="I1682" s="11" t="s">
        <v>20798</v>
      </c>
    </row>
    <row r="1683" spans="1:9" ht="13.15" x14ac:dyDescent="0.4">
      <c r="A1683" s="11" t="s">
        <v>20306</v>
      </c>
      <c r="B1683" s="11" t="s">
        <v>6073</v>
      </c>
      <c r="C1683" s="11" t="s">
        <v>18721</v>
      </c>
      <c r="D1683" s="12">
        <v>41640</v>
      </c>
      <c r="E1683" s="12">
        <v>41640</v>
      </c>
      <c r="F1683" s="11"/>
      <c r="G1683" s="11" t="s">
        <v>279</v>
      </c>
      <c r="H1683" s="11" t="s">
        <v>30</v>
      </c>
      <c r="I1683" s="11" t="s">
        <v>20553</v>
      </c>
    </row>
    <row r="1684" spans="1:9" ht="13.15" x14ac:dyDescent="0.4">
      <c r="A1684" s="11" t="s">
        <v>18821</v>
      </c>
      <c r="B1684" s="11" t="s">
        <v>6073</v>
      </c>
      <c r="C1684" s="11" t="s">
        <v>18721</v>
      </c>
      <c r="D1684" s="12">
        <v>40909</v>
      </c>
      <c r="E1684" s="12">
        <v>40909</v>
      </c>
      <c r="F1684" s="11"/>
      <c r="G1684" s="11" t="s">
        <v>279</v>
      </c>
      <c r="H1684" s="11" t="s">
        <v>30</v>
      </c>
      <c r="I1684" s="11" t="s">
        <v>22038</v>
      </c>
    </row>
    <row r="1685" spans="1:9" ht="13.15" x14ac:dyDescent="0.4">
      <c r="A1685" s="11" t="s">
        <v>19645</v>
      </c>
      <c r="B1685" s="11" t="s">
        <v>6092</v>
      </c>
      <c r="C1685" s="11" t="s">
        <v>18721</v>
      </c>
      <c r="D1685" s="12">
        <v>41275</v>
      </c>
      <c r="E1685" s="12">
        <v>41275</v>
      </c>
      <c r="F1685" s="11"/>
      <c r="G1685" s="11" t="s">
        <v>279</v>
      </c>
      <c r="H1685" s="11" t="s">
        <v>30</v>
      </c>
      <c r="I1685" s="11" t="s">
        <v>21214</v>
      </c>
    </row>
    <row r="1686" spans="1:9" ht="13.15" x14ac:dyDescent="0.4">
      <c r="A1686" s="11" t="s">
        <v>19275</v>
      </c>
      <c r="B1686" s="11" t="s">
        <v>6092</v>
      </c>
      <c r="C1686" s="11" t="s">
        <v>18721</v>
      </c>
      <c r="D1686" s="12">
        <v>41275</v>
      </c>
      <c r="E1686" s="12">
        <v>41275</v>
      </c>
      <c r="F1686" s="11"/>
      <c r="G1686" s="11" t="s">
        <v>279</v>
      </c>
      <c r="H1686" s="11" t="s">
        <v>30</v>
      </c>
      <c r="I1686" s="11" t="s">
        <v>21584</v>
      </c>
    </row>
    <row r="1687" spans="1:9" ht="13.15" x14ac:dyDescent="0.4">
      <c r="A1687" s="11" t="s">
        <v>20215</v>
      </c>
      <c r="B1687" s="11" t="s">
        <v>6092</v>
      </c>
      <c r="C1687" s="11" t="s">
        <v>18721</v>
      </c>
      <c r="D1687" s="12">
        <v>41275</v>
      </c>
      <c r="E1687" s="12">
        <v>41275</v>
      </c>
      <c r="F1687" s="11"/>
      <c r="G1687" s="11" t="s">
        <v>279</v>
      </c>
      <c r="H1687" s="11" t="s">
        <v>30</v>
      </c>
      <c r="I1687" s="11" t="s">
        <v>20644</v>
      </c>
    </row>
    <row r="1688" spans="1:9" ht="13.15" x14ac:dyDescent="0.4">
      <c r="A1688" s="11" t="s">
        <v>20249</v>
      </c>
      <c r="B1688" s="11" t="s">
        <v>6372</v>
      </c>
      <c r="C1688" s="11" t="s">
        <v>18721</v>
      </c>
      <c r="D1688" s="12">
        <v>41275</v>
      </c>
      <c r="E1688" s="12">
        <v>41275</v>
      </c>
      <c r="F1688" s="11"/>
      <c r="G1688" s="11" t="s">
        <v>279</v>
      </c>
      <c r="H1688" s="11" t="s">
        <v>30</v>
      </c>
      <c r="I1688" s="11" t="s">
        <v>20610</v>
      </c>
    </row>
    <row r="1689" spans="1:9" ht="13.15" x14ac:dyDescent="0.4">
      <c r="A1689" s="11" t="s">
        <v>19641</v>
      </c>
      <c r="B1689" s="11" t="s">
        <v>6372</v>
      </c>
      <c r="C1689" s="11" t="s">
        <v>18721</v>
      </c>
      <c r="D1689" s="12">
        <v>41275</v>
      </c>
      <c r="E1689" s="12">
        <v>41275</v>
      </c>
      <c r="F1689" s="11"/>
      <c r="G1689" s="11" t="s">
        <v>279</v>
      </c>
      <c r="H1689" s="11" t="s">
        <v>30</v>
      </c>
      <c r="I1689" s="11" t="s">
        <v>21218</v>
      </c>
    </row>
    <row r="1690" spans="1:9" ht="13.15" x14ac:dyDescent="0.4">
      <c r="A1690" s="11" t="s">
        <v>19599</v>
      </c>
      <c r="B1690" s="11" t="s">
        <v>6372</v>
      </c>
      <c r="C1690" s="11" t="s">
        <v>18721</v>
      </c>
      <c r="D1690" s="12">
        <v>41275</v>
      </c>
      <c r="E1690" s="12">
        <v>41275</v>
      </c>
      <c r="F1690" s="11"/>
      <c r="G1690" s="11" t="s">
        <v>279</v>
      </c>
      <c r="H1690" s="11" t="s">
        <v>30</v>
      </c>
      <c r="I1690" s="11" t="s">
        <v>21260</v>
      </c>
    </row>
    <row r="1691" spans="1:9" ht="13.15" x14ac:dyDescent="0.4">
      <c r="A1691" s="11" t="s">
        <v>19716</v>
      </c>
      <c r="B1691" s="11" t="s">
        <v>6372</v>
      </c>
      <c r="C1691" s="11" t="s">
        <v>18721</v>
      </c>
      <c r="D1691" s="12">
        <v>41275</v>
      </c>
      <c r="E1691" s="12">
        <v>41275</v>
      </c>
      <c r="F1691" s="11"/>
      <c r="G1691" s="11" t="s">
        <v>279</v>
      </c>
      <c r="H1691" s="11" t="s">
        <v>30</v>
      </c>
      <c r="I1691" s="11" t="s">
        <v>21143</v>
      </c>
    </row>
    <row r="1692" spans="1:9" ht="13.15" x14ac:dyDescent="0.4">
      <c r="A1692" s="11" t="s">
        <v>18968</v>
      </c>
      <c r="B1692" s="11" t="s">
        <v>6372</v>
      </c>
      <c r="C1692" s="11" t="s">
        <v>18721</v>
      </c>
      <c r="D1692" s="12">
        <v>41275</v>
      </c>
      <c r="E1692" s="12">
        <v>41275</v>
      </c>
      <c r="F1692" s="11"/>
      <c r="G1692" s="11" t="s">
        <v>279</v>
      </c>
      <c r="H1692" s="11" t="s">
        <v>30</v>
      </c>
      <c r="I1692" s="11" t="s">
        <v>21891</v>
      </c>
    </row>
    <row r="1693" spans="1:9" ht="13.15" x14ac:dyDescent="0.4">
      <c r="A1693" s="11" t="s">
        <v>19802</v>
      </c>
      <c r="B1693" s="11" t="s">
        <v>6372</v>
      </c>
      <c r="C1693" s="11" t="s">
        <v>18721</v>
      </c>
      <c r="D1693" s="12">
        <v>41275</v>
      </c>
      <c r="E1693" s="12">
        <v>41275</v>
      </c>
      <c r="F1693" s="11"/>
      <c r="G1693" s="11" t="s">
        <v>279</v>
      </c>
      <c r="H1693" s="11" t="s">
        <v>30</v>
      </c>
      <c r="I1693" s="11" t="s">
        <v>21057</v>
      </c>
    </row>
    <row r="1694" spans="1:9" ht="13.15" x14ac:dyDescent="0.4">
      <c r="A1694" s="11" t="s">
        <v>19117</v>
      </c>
      <c r="B1694" s="11" t="s">
        <v>6372</v>
      </c>
      <c r="C1694" s="11" t="s">
        <v>18721</v>
      </c>
      <c r="D1694" s="12">
        <v>41275</v>
      </c>
      <c r="E1694" s="12">
        <v>41275</v>
      </c>
      <c r="F1694" s="11"/>
      <c r="G1694" s="11" t="s">
        <v>279</v>
      </c>
      <c r="H1694" s="11" t="s">
        <v>30</v>
      </c>
      <c r="I1694" s="11" t="s">
        <v>21742</v>
      </c>
    </row>
    <row r="1695" spans="1:9" ht="13.15" x14ac:dyDescent="0.4">
      <c r="A1695" s="11" t="s">
        <v>19097</v>
      </c>
      <c r="B1695" s="11" t="s">
        <v>6372</v>
      </c>
      <c r="C1695" s="11" t="s">
        <v>18721</v>
      </c>
      <c r="D1695" s="12">
        <v>41275</v>
      </c>
      <c r="E1695" s="12">
        <v>41275</v>
      </c>
      <c r="F1695" s="11"/>
      <c r="G1695" s="11" t="s">
        <v>279</v>
      </c>
      <c r="H1695" s="11" t="s">
        <v>30</v>
      </c>
      <c r="I1695" s="11" t="s">
        <v>21762</v>
      </c>
    </row>
    <row r="1696" spans="1:9" ht="13.15" x14ac:dyDescent="0.4">
      <c r="A1696" s="11" t="s">
        <v>18855</v>
      </c>
      <c r="B1696" s="11" t="s">
        <v>6372</v>
      </c>
      <c r="C1696" s="11" t="s">
        <v>18721</v>
      </c>
      <c r="D1696" s="12">
        <v>41640</v>
      </c>
      <c r="E1696" s="12">
        <v>41640</v>
      </c>
      <c r="F1696" s="11"/>
      <c r="G1696" s="11" t="s">
        <v>279</v>
      </c>
      <c r="H1696" s="11" t="s">
        <v>30</v>
      </c>
      <c r="I1696" s="11" t="s">
        <v>22004</v>
      </c>
    </row>
    <row r="1697" spans="1:9" ht="13.15" x14ac:dyDescent="0.4">
      <c r="A1697" s="11" t="s">
        <v>19496</v>
      </c>
      <c r="B1697" s="11" t="s">
        <v>6372</v>
      </c>
      <c r="C1697" s="11" t="s">
        <v>18721</v>
      </c>
      <c r="D1697" s="12">
        <v>41640</v>
      </c>
      <c r="E1697" s="12">
        <v>41640</v>
      </c>
      <c r="F1697" s="11"/>
      <c r="G1697" s="11" t="s">
        <v>279</v>
      </c>
      <c r="H1697" s="11" t="s">
        <v>30</v>
      </c>
      <c r="I1697" s="11" t="s">
        <v>21363</v>
      </c>
    </row>
    <row r="1698" spans="1:9" ht="13.15" x14ac:dyDescent="0.4">
      <c r="A1698" s="11" t="s">
        <v>18844</v>
      </c>
      <c r="B1698" s="11" t="s">
        <v>6372</v>
      </c>
      <c r="C1698" s="11" t="s">
        <v>18721</v>
      </c>
      <c r="D1698" s="12">
        <v>41640</v>
      </c>
      <c r="E1698" s="12">
        <v>41640</v>
      </c>
      <c r="F1698" s="11"/>
      <c r="G1698" s="11" t="s">
        <v>279</v>
      </c>
      <c r="H1698" s="11" t="s">
        <v>30</v>
      </c>
      <c r="I1698" s="11" t="s">
        <v>22015</v>
      </c>
    </row>
    <row r="1699" spans="1:9" ht="13.15" x14ac:dyDescent="0.4">
      <c r="A1699" s="11" t="s">
        <v>20336</v>
      </c>
      <c r="B1699" s="11" t="s">
        <v>6372</v>
      </c>
      <c r="C1699" s="11" t="s">
        <v>18721</v>
      </c>
      <c r="D1699" s="12">
        <v>41640</v>
      </c>
      <c r="E1699" s="12">
        <v>41640</v>
      </c>
      <c r="F1699" s="11"/>
      <c r="G1699" s="11" t="s">
        <v>279</v>
      </c>
      <c r="H1699" s="11" t="s">
        <v>30</v>
      </c>
      <c r="I1699" s="11" t="s">
        <v>20523</v>
      </c>
    </row>
    <row r="1700" spans="1:9" ht="13.15" x14ac:dyDescent="0.4">
      <c r="A1700" s="11" t="s">
        <v>18795</v>
      </c>
      <c r="B1700" s="11" t="s">
        <v>6372</v>
      </c>
      <c r="C1700" s="11" t="s">
        <v>18721</v>
      </c>
      <c r="D1700" s="12">
        <v>41640</v>
      </c>
      <c r="E1700" s="12">
        <v>41640</v>
      </c>
      <c r="F1700" s="11"/>
      <c r="G1700" s="11" t="s">
        <v>279</v>
      </c>
      <c r="H1700" s="11" t="s">
        <v>30</v>
      </c>
      <c r="I1700" s="11" t="s">
        <v>22064</v>
      </c>
    </row>
    <row r="1701" spans="1:9" ht="13.15" x14ac:dyDescent="0.4">
      <c r="A1701" s="11" t="s">
        <v>20046</v>
      </c>
      <c r="B1701" s="11" t="s">
        <v>6372</v>
      </c>
      <c r="C1701" s="11" t="s">
        <v>18721</v>
      </c>
      <c r="D1701" s="12">
        <v>41275</v>
      </c>
      <c r="E1701" s="12">
        <v>41275</v>
      </c>
      <c r="F1701" s="11"/>
      <c r="G1701" s="11" t="s">
        <v>279</v>
      </c>
      <c r="H1701" s="11" t="s">
        <v>30</v>
      </c>
      <c r="I1701" s="11" t="s">
        <v>20813</v>
      </c>
    </row>
    <row r="1702" spans="1:9" ht="13.15" x14ac:dyDescent="0.4">
      <c r="A1702" s="11" t="s">
        <v>20152</v>
      </c>
      <c r="B1702" s="11" t="s">
        <v>6372</v>
      </c>
      <c r="C1702" s="11" t="s">
        <v>18721</v>
      </c>
      <c r="D1702" s="12">
        <v>41275</v>
      </c>
      <c r="E1702" s="12">
        <v>41275</v>
      </c>
      <c r="F1702" s="11"/>
      <c r="G1702" s="11" t="s">
        <v>279</v>
      </c>
      <c r="H1702" s="11" t="s">
        <v>30</v>
      </c>
      <c r="I1702" s="11" t="s">
        <v>20707</v>
      </c>
    </row>
    <row r="1703" spans="1:9" ht="13.15" x14ac:dyDescent="0.4">
      <c r="A1703" s="11" t="s">
        <v>18728</v>
      </c>
      <c r="B1703" s="11" t="s">
        <v>6372</v>
      </c>
      <c r="C1703" s="11" t="s">
        <v>18721</v>
      </c>
      <c r="D1703" s="12">
        <v>41275</v>
      </c>
      <c r="E1703" s="12">
        <v>41275</v>
      </c>
      <c r="F1703" s="11"/>
      <c r="G1703" s="11" t="s">
        <v>279</v>
      </c>
      <c r="H1703" s="11" t="s">
        <v>30</v>
      </c>
      <c r="I1703" s="11" t="s">
        <v>22131</v>
      </c>
    </row>
    <row r="1704" spans="1:9" ht="13.15" x14ac:dyDescent="0.4">
      <c r="A1704" s="11" t="s">
        <v>18837</v>
      </c>
      <c r="B1704" s="11" t="s">
        <v>6372</v>
      </c>
      <c r="C1704" s="11" t="s">
        <v>18721</v>
      </c>
      <c r="D1704" s="12">
        <v>41275</v>
      </c>
      <c r="E1704" s="12">
        <v>41275</v>
      </c>
      <c r="F1704" s="11"/>
      <c r="G1704" s="11" t="s">
        <v>279</v>
      </c>
      <c r="H1704" s="11" t="s">
        <v>30</v>
      </c>
      <c r="I1704" s="11" t="s">
        <v>22022</v>
      </c>
    </row>
    <row r="1705" spans="1:9" ht="13.15" x14ac:dyDescent="0.4">
      <c r="A1705" s="11" t="s">
        <v>19942</v>
      </c>
      <c r="B1705" s="11" t="s">
        <v>6372</v>
      </c>
      <c r="C1705" s="11" t="s">
        <v>18721</v>
      </c>
      <c r="D1705" s="12">
        <v>41275</v>
      </c>
      <c r="E1705" s="12">
        <v>41275</v>
      </c>
      <c r="F1705" s="11"/>
      <c r="G1705" s="11" t="s">
        <v>279</v>
      </c>
      <c r="H1705" s="11" t="s">
        <v>30</v>
      </c>
      <c r="I1705" s="11" t="s">
        <v>20917</v>
      </c>
    </row>
    <row r="1706" spans="1:9" ht="13.15" x14ac:dyDescent="0.4">
      <c r="A1706" s="11" t="s">
        <v>19043</v>
      </c>
      <c r="B1706" s="11" t="s">
        <v>6372</v>
      </c>
      <c r="C1706" s="11" t="s">
        <v>18721</v>
      </c>
      <c r="D1706" s="12">
        <v>41275</v>
      </c>
      <c r="E1706" s="12">
        <v>41275</v>
      </c>
      <c r="F1706" s="11"/>
      <c r="G1706" s="11" t="s">
        <v>279</v>
      </c>
      <c r="H1706" s="11" t="s">
        <v>30</v>
      </c>
      <c r="I1706" s="11" t="s">
        <v>21816</v>
      </c>
    </row>
    <row r="1707" spans="1:9" ht="13.15" x14ac:dyDescent="0.4">
      <c r="A1707" s="11" t="s">
        <v>19081</v>
      </c>
      <c r="B1707" s="11" t="s">
        <v>6372</v>
      </c>
      <c r="C1707" s="11" t="s">
        <v>18721</v>
      </c>
      <c r="D1707" s="12">
        <v>41275</v>
      </c>
      <c r="E1707" s="12">
        <v>41275</v>
      </c>
      <c r="F1707" s="11"/>
      <c r="G1707" s="11" t="s">
        <v>279</v>
      </c>
      <c r="H1707" s="11" t="s">
        <v>30</v>
      </c>
      <c r="I1707" s="11" t="s">
        <v>21778</v>
      </c>
    </row>
    <row r="1708" spans="1:9" ht="13.15" x14ac:dyDescent="0.4">
      <c r="A1708" s="11" t="s">
        <v>19351</v>
      </c>
      <c r="B1708" s="11" t="s">
        <v>6372</v>
      </c>
      <c r="C1708" s="11" t="s">
        <v>18721</v>
      </c>
      <c r="D1708" s="12">
        <v>41640</v>
      </c>
      <c r="E1708" s="12">
        <v>41640</v>
      </c>
      <c r="F1708" s="11"/>
      <c r="G1708" s="11" t="s">
        <v>279</v>
      </c>
      <c r="H1708" s="11" t="s">
        <v>30</v>
      </c>
      <c r="I1708" s="11" t="s">
        <v>21508</v>
      </c>
    </row>
    <row r="1709" spans="1:9" ht="13.15" x14ac:dyDescent="0.4">
      <c r="A1709" s="11" t="s">
        <v>20407</v>
      </c>
      <c r="B1709" s="11" t="s">
        <v>6372</v>
      </c>
      <c r="C1709" s="11" t="s">
        <v>18721</v>
      </c>
      <c r="D1709" s="12">
        <v>41275</v>
      </c>
      <c r="E1709" s="12">
        <v>41275</v>
      </c>
      <c r="F1709" s="11"/>
      <c r="G1709" s="11" t="s">
        <v>279</v>
      </c>
      <c r="H1709" s="11" t="s">
        <v>30</v>
      </c>
      <c r="I1709" s="11" t="s">
        <v>20452</v>
      </c>
    </row>
    <row r="1710" spans="1:9" ht="13.15" x14ac:dyDescent="0.4">
      <c r="A1710" s="11" t="s">
        <v>19417</v>
      </c>
      <c r="B1710" s="11" t="s">
        <v>6372</v>
      </c>
      <c r="C1710" s="11" t="s">
        <v>18721</v>
      </c>
      <c r="D1710" s="12">
        <v>40179</v>
      </c>
      <c r="E1710" s="12">
        <v>40179</v>
      </c>
      <c r="F1710" s="11"/>
      <c r="G1710" s="11" t="s">
        <v>279</v>
      </c>
      <c r="H1710" s="11" t="s">
        <v>30</v>
      </c>
      <c r="I1710" s="11" t="s">
        <v>21442</v>
      </c>
    </row>
    <row r="1711" spans="1:9" ht="13.15" x14ac:dyDescent="0.4">
      <c r="A1711" s="11" t="s">
        <v>19884</v>
      </c>
      <c r="B1711" s="11" t="s">
        <v>6372</v>
      </c>
      <c r="C1711" s="11" t="s">
        <v>18721</v>
      </c>
      <c r="D1711" s="12">
        <v>41275</v>
      </c>
      <c r="E1711" s="12">
        <v>41275</v>
      </c>
      <c r="F1711" s="11"/>
      <c r="G1711" s="11" t="s">
        <v>279</v>
      </c>
      <c r="H1711" s="11" t="s">
        <v>30</v>
      </c>
      <c r="I1711" s="11" t="s">
        <v>20975</v>
      </c>
    </row>
  </sheetData>
  <autoFilter ref="A2:I2" xr:uid="{178C0825-C48C-478F-81B2-0F425E773B0C}"/>
  <sortState xmlns:xlrd2="http://schemas.microsoft.com/office/spreadsheetml/2017/richdata2" ref="A3:I1711">
    <sortCondition ref="B3:B1711"/>
    <sortCondition ref="A3:A1711"/>
  </sortState>
  <mergeCells count="1">
    <mergeCell ref="A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5C49-5886-4F17-A962-E4461F71E551}">
  <dimension ref="A1:L1021"/>
  <sheetViews>
    <sheetView workbookViewId="0">
      <pane ySplit="2" topLeftCell="A20" activePane="bottomLeft" state="frozen"/>
      <selection pane="bottomLeft" sqref="A1:I1"/>
    </sheetView>
  </sheetViews>
  <sheetFormatPr defaultRowHeight="12.75" x14ac:dyDescent="0.35"/>
  <cols>
    <col min="1" max="1" width="65.59765625" customWidth="1"/>
    <col min="2" max="2" width="12.1328125" bestFit="1" customWidth="1"/>
    <col min="3" max="3" width="65.59765625" customWidth="1"/>
    <col min="4" max="4" width="11.3984375" bestFit="1" customWidth="1"/>
    <col min="5" max="5" width="34.1328125" bestFit="1" customWidth="1"/>
    <col min="6" max="6" width="59.3984375" bestFit="1" customWidth="1"/>
    <col min="7" max="7" width="13.1328125" bestFit="1" customWidth="1"/>
    <col min="8" max="9" width="15.265625" bestFit="1" customWidth="1"/>
    <col min="10" max="10" width="15" bestFit="1" customWidth="1"/>
    <col min="11" max="11" width="17.1328125" bestFit="1" customWidth="1"/>
    <col min="12" max="12" width="40.1328125" bestFit="1" customWidth="1"/>
  </cols>
  <sheetData>
    <row r="1" spans="1:12" s="10" customFormat="1" ht="76.5" customHeight="1" thickBot="1" x14ac:dyDescent="0.45">
      <c r="A1" s="34" t="s">
        <v>22141</v>
      </c>
      <c r="B1" s="34"/>
      <c r="C1" s="34"/>
      <c r="D1" s="34"/>
      <c r="E1" s="34"/>
      <c r="F1" s="34"/>
      <c r="G1" s="34"/>
      <c r="H1" s="34"/>
      <c r="I1" s="34"/>
      <c r="J1" s="13"/>
      <c r="K1" s="13"/>
      <c r="L1" s="13"/>
    </row>
    <row r="2" spans="1:12" s="5" customFormat="1" ht="43.15" thickBot="1" x14ac:dyDescent="0.4">
      <c r="A2" s="14" t="s">
        <v>0</v>
      </c>
      <c r="B2" s="15" t="s">
        <v>13972</v>
      </c>
      <c r="C2" s="16" t="s">
        <v>16671</v>
      </c>
      <c r="D2" s="14" t="s">
        <v>1</v>
      </c>
      <c r="E2" s="14" t="s">
        <v>13973</v>
      </c>
      <c r="F2" s="14" t="s">
        <v>2</v>
      </c>
      <c r="G2" s="17" t="s">
        <v>7</v>
      </c>
      <c r="H2" s="17" t="s">
        <v>8</v>
      </c>
      <c r="I2" s="17" t="s">
        <v>9</v>
      </c>
      <c r="J2" s="14" t="s">
        <v>22</v>
      </c>
      <c r="K2" s="14" t="s">
        <v>23</v>
      </c>
      <c r="L2" s="18" t="s">
        <v>16670</v>
      </c>
    </row>
    <row r="3" spans="1:12" ht="13.15" x14ac:dyDescent="0.4">
      <c r="A3" s="11" t="s">
        <v>17361</v>
      </c>
      <c r="B3" s="11"/>
      <c r="C3" s="11" t="s">
        <v>5377</v>
      </c>
      <c r="D3" s="11"/>
      <c r="E3" s="11"/>
      <c r="F3" s="11" t="s">
        <v>17362</v>
      </c>
      <c r="G3" s="12">
        <v>16803</v>
      </c>
      <c r="H3" s="12">
        <v>16803</v>
      </c>
      <c r="I3" s="11"/>
      <c r="J3" s="11" t="s">
        <v>45</v>
      </c>
      <c r="K3" s="11" t="s">
        <v>30</v>
      </c>
      <c r="L3" s="11" t="s">
        <v>18015</v>
      </c>
    </row>
    <row r="4" spans="1:12" ht="13.15" x14ac:dyDescent="0.4">
      <c r="A4" s="11" t="s">
        <v>17379</v>
      </c>
      <c r="B4" s="11"/>
      <c r="C4" s="11" t="s">
        <v>5377</v>
      </c>
      <c r="D4" s="11"/>
      <c r="E4" s="11"/>
      <c r="F4" s="11"/>
      <c r="G4" s="12">
        <v>16803</v>
      </c>
      <c r="H4" s="12">
        <v>16803</v>
      </c>
      <c r="I4" s="11"/>
      <c r="J4" s="11" t="s">
        <v>45</v>
      </c>
      <c r="K4" s="11" t="s">
        <v>30</v>
      </c>
      <c r="L4" s="11" t="s">
        <v>17997</v>
      </c>
    </row>
    <row r="5" spans="1:12" ht="13.15" x14ac:dyDescent="0.4">
      <c r="A5" s="11" t="s">
        <v>17287</v>
      </c>
      <c r="B5" s="11"/>
      <c r="C5" s="11" t="s">
        <v>5377</v>
      </c>
      <c r="D5" s="11"/>
      <c r="E5" s="11"/>
      <c r="F5" s="11"/>
      <c r="G5" s="12">
        <v>16803</v>
      </c>
      <c r="H5" s="12">
        <v>16803</v>
      </c>
      <c r="I5" s="11"/>
      <c r="J5" s="11" t="s">
        <v>45</v>
      </c>
      <c r="K5" s="11" t="s">
        <v>30</v>
      </c>
      <c r="L5" s="11" t="s">
        <v>18097</v>
      </c>
    </row>
    <row r="6" spans="1:12" ht="13.15" x14ac:dyDescent="0.4">
      <c r="A6" s="11" t="s">
        <v>17276</v>
      </c>
      <c r="B6" s="11"/>
      <c r="C6" s="11" t="s">
        <v>5377</v>
      </c>
      <c r="D6" s="11"/>
      <c r="E6" s="11"/>
      <c r="F6" s="11"/>
      <c r="G6" s="12">
        <v>16803</v>
      </c>
      <c r="H6" s="12">
        <v>16803</v>
      </c>
      <c r="I6" s="11"/>
      <c r="J6" s="11" t="s">
        <v>45</v>
      </c>
      <c r="K6" s="11" t="s">
        <v>30</v>
      </c>
      <c r="L6" s="11" t="s">
        <v>18109</v>
      </c>
    </row>
    <row r="7" spans="1:12" ht="13.15" x14ac:dyDescent="0.4">
      <c r="A7" s="11" t="s">
        <v>17381</v>
      </c>
      <c r="B7" s="11"/>
      <c r="C7" s="11" t="s">
        <v>5377</v>
      </c>
      <c r="D7" s="11"/>
      <c r="E7" s="11"/>
      <c r="F7" s="11"/>
      <c r="G7" s="12">
        <v>16803</v>
      </c>
      <c r="H7" s="12">
        <v>16803</v>
      </c>
      <c r="I7" s="11"/>
      <c r="J7" s="11" t="s">
        <v>45</v>
      </c>
      <c r="K7" s="11" t="s">
        <v>30</v>
      </c>
      <c r="L7" s="11" t="s">
        <v>17995</v>
      </c>
    </row>
    <row r="8" spans="1:12" ht="13.15" x14ac:dyDescent="0.4">
      <c r="A8" s="11" t="s">
        <v>17425</v>
      </c>
      <c r="B8" s="11"/>
      <c r="C8" s="11" t="s">
        <v>5377</v>
      </c>
      <c r="D8" s="11"/>
      <c r="E8" s="11"/>
      <c r="F8" s="11"/>
      <c r="G8" s="12">
        <v>16803</v>
      </c>
      <c r="H8" s="12">
        <v>16803</v>
      </c>
      <c r="I8" s="11"/>
      <c r="J8" s="11" t="s">
        <v>45</v>
      </c>
      <c r="K8" s="11" t="s">
        <v>30</v>
      </c>
      <c r="L8" s="11" t="s">
        <v>17950</v>
      </c>
    </row>
    <row r="9" spans="1:12" ht="13.15" x14ac:dyDescent="0.4">
      <c r="A9" s="11" t="s">
        <v>17425</v>
      </c>
      <c r="B9" s="11"/>
      <c r="C9" s="11" t="s">
        <v>5377</v>
      </c>
      <c r="D9" s="11"/>
      <c r="E9" s="11"/>
      <c r="F9" s="11"/>
      <c r="G9" s="12">
        <v>16803</v>
      </c>
      <c r="H9" s="12">
        <v>16803</v>
      </c>
      <c r="I9" s="11"/>
      <c r="J9" s="11" t="s">
        <v>45</v>
      </c>
      <c r="K9" s="11" t="s">
        <v>30</v>
      </c>
      <c r="L9" s="11" t="s">
        <v>17944</v>
      </c>
    </row>
    <row r="10" spans="1:12" ht="13.15" x14ac:dyDescent="0.4">
      <c r="A10" s="11" t="s">
        <v>17373</v>
      </c>
      <c r="B10" s="11"/>
      <c r="C10" s="11" t="s">
        <v>5377</v>
      </c>
      <c r="D10" s="11"/>
      <c r="E10" s="11"/>
      <c r="F10" s="11"/>
      <c r="G10" s="12">
        <v>16803</v>
      </c>
      <c r="H10" s="12">
        <v>16803</v>
      </c>
      <c r="I10" s="11"/>
      <c r="J10" s="11" t="s">
        <v>45</v>
      </c>
      <c r="K10" s="11" t="s">
        <v>30</v>
      </c>
      <c r="L10" s="11" t="s">
        <v>18004</v>
      </c>
    </row>
    <row r="11" spans="1:12" ht="13.15" x14ac:dyDescent="0.4">
      <c r="A11" s="11" t="s">
        <v>17401</v>
      </c>
      <c r="B11" s="11"/>
      <c r="C11" s="11" t="s">
        <v>5377</v>
      </c>
      <c r="D11" s="11"/>
      <c r="E11" s="11"/>
      <c r="F11" s="11"/>
      <c r="G11" s="12">
        <v>16803</v>
      </c>
      <c r="H11" s="12">
        <v>16803</v>
      </c>
      <c r="I11" s="11"/>
      <c r="J11" s="11" t="s">
        <v>45</v>
      </c>
      <c r="K11" s="11" t="s">
        <v>30</v>
      </c>
      <c r="L11" s="11" t="s">
        <v>17974</v>
      </c>
    </row>
    <row r="12" spans="1:12" ht="13.15" x14ac:dyDescent="0.4">
      <c r="A12" s="11" t="s">
        <v>17360</v>
      </c>
      <c r="B12" s="11"/>
      <c r="C12" s="11" t="s">
        <v>5377</v>
      </c>
      <c r="D12" s="11"/>
      <c r="E12" s="11"/>
      <c r="F12" s="11"/>
      <c r="G12" s="12">
        <v>16803</v>
      </c>
      <c r="H12" s="12">
        <v>16803</v>
      </c>
      <c r="I12" s="11"/>
      <c r="J12" s="11" t="s">
        <v>45</v>
      </c>
      <c r="K12" s="11" t="s">
        <v>30</v>
      </c>
      <c r="L12" s="11" t="s">
        <v>18016</v>
      </c>
    </row>
    <row r="13" spans="1:12" ht="13.15" x14ac:dyDescent="0.4">
      <c r="A13" s="11" t="s">
        <v>17436</v>
      </c>
      <c r="B13" s="11"/>
      <c r="C13" s="11" t="s">
        <v>5377</v>
      </c>
      <c r="D13" s="11"/>
      <c r="E13" s="11"/>
      <c r="F13" s="11"/>
      <c r="G13" s="12">
        <v>16803</v>
      </c>
      <c r="H13" s="12">
        <v>16803</v>
      </c>
      <c r="I13" s="11"/>
      <c r="J13" s="11" t="s">
        <v>45</v>
      </c>
      <c r="K13" s="11" t="s">
        <v>30</v>
      </c>
      <c r="L13" s="11" t="s">
        <v>17938</v>
      </c>
    </row>
    <row r="14" spans="1:12" ht="13.15" x14ac:dyDescent="0.4">
      <c r="A14" s="11" t="s">
        <v>17382</v>
      </c>
      <c r="B14" s="11"/>
      <c r="C14" s="11" t="s">
        <v>5377</v>
      </c>
      <c r="D14" s="11"/>
      <c r="E14" s="11"/>
      <c r="F14" s="11" t="s">
        <v>17383</v>
      </c>
      <c r="G14" s="12">
        <v>16803</v>
      </c>
      <c r="H14" s="12">
        <v>16803</v>
      </c>
      <c r="I14" s="11"/>
      <c r="J14" s="11" t="s">
        <v>45</v>
      </c>
      <c r="K14" s="11" t="s">
        <v>30</v>
      </c>
      <c r="L14" s="11" t="s">
        <v>17994</v>
      </c>
    </row>
    <row r="15" spans="1:12" ht="13.15" x14ac:dyDescent="0.4">
      <c r="A15" s="11" t="s">
        <v>17352</v>
      </c>
      <c r="B15" s="11"/>
      <c r="C15" s="11" t="s">
        <v>5377</v>
      </c>
      <c r="D15" s="11"/>
      <c r="E15" s="11"/>
      <c r="F15" s="11"/>
      <c r="G15" s="12">
        <v>16803</v>
      </c>
      <c r="H15" s="12">
        <v>16803</v>
      </c>
      <c r="I15" s="11"/>
      <c r="J15" s="11" t="s">
        <v>45</v>
      </c>
      <c r="K15" s="11" t="s">
        <v>30</v>
      </c>
      <c r="L15" s="11" t="s">
        <v>18025</v>
      </c>
    </row>
    <row r="16" spans="1:12" ht="13.15" x14ac:dyDescent="0.4">
      <c r="A16" s="11" t="s">
        <v>17290</v>
      </c>
      <c r="B16" s="11"/>
      <c r="C16" s="11" t="s">
        <v>5377</v>
      </c>
      <c r="D16" s="11"/>
      <c r="E16" s="11"/>
      <c r="F16" s="11"/>
      <c r="G16" s="12">
        <v>16803</v>
      </c>
      <c r="H16" s="12">
        <v>16803</v>
      </c>
      <c r="I16" s="11"/>
      <c r="J16" s="11" t="s">
        <v>45</v>
      </c>
      <c r="K16" s="11" t="s">
        <v>30</v>
      </c>
      <c r="L16" s="11" t="s">
        <v>18094</v>
      </c>
    </row>
    <row r="17" spans="1:12" ht="13.15" x14ac:dyDescent="0.4">
      <c r="A17" s="11" t="s">
        <v>17305</v>
      </c>
      <c r="B17" s="11"/>
      <c r="C17" s="11" t="s">
        <v>5377</v>
      </c>
      <c r="D17" s="11"/>
      <c r="E17" s="11"/>
      <c r="F17" s="11"/>
      <c r="G17" s="12">
        <v>16803</v>
      </c>
      <c r="H17" s="12">
        <v>16803</v>
      </c>
      <c r="I17" s="11"/>
      <c r="J17" s="11" t="s">
        <v>45</v>
      </c>
      <c r="K17" s="11" t="s">
        <v>30</v>
      </c>
      <c r="L17" s="11" t="s">
        <v>18079</v>
      </c>
    </row>
    <row r="18" spans="1:12" ht="13.15" x14ac:dyDescent="0.4">
      <c r="A18" s="11" t="s">
        <v>17304</v>
      </c>
      <c r="B18" s="11"/>
      <c r="C18" s="11" t="s">
        <v>5377</v>
      </c>
      <c r="D18" s="11"/>
      <c r="E18" s="11"/>
      <c r="F18" s="11"/>
      <c r="G18" s="12">
        <v>16803</v>
      </c>
      <c r="H18" s="12">
        <v>16803</v>
      </c>
      <c r="I18" s="11"/>
      <c r="J18" s="11" t="s">
        <v>45</v>
      </c>
      <c r="K18" s="11" t="s">
        <v>30</v>
      </c>
      <c r="L18" s="11" t="s">
        <v>18080</v>
      </c>
    </row>
    <row r="19" spans="1:12" ht="13.15" x14ac:dyDescent="0.4">
      <c r="A19" s="11" t="s">
        <v>17391</v>
      </c>
      <c r="B19" s="11"/>
      <c r="C19" s="11" t="s">
        <v>5377</v>
      </c>
      <c r="D19" s="11"/>
      <c r="E19" s="11"/>
      <c r="F19" s="11"/>
      <c r="G19" s="12">
        <v>16803</v>
      </c>
      <c r="H19" s="12">
        <v>16803</v>
      </c>
      <c r="I19" s="11"/>
      <c r="J19" s="11" t="s">
        <v>45</v>
      </c>
      <c r="K19" s="11" t="s">
        <v>30</v>
      </c>
      <c r="L19" s="11" t="s">
        <v>17986</v>
      </c>
    </row>
    <row r="20" spans="1:12" ht="13.15" x14ac:dyDescent="0.4">
      <c r="A20" s="11" t="s">
        <v>17632</v>
      </c>
      <c r="B20" s="11"/>
      <c r="C20" s="11" t="s">
        <v>5377</v>
      </c>
      <c r="D20" s="11"/>
      <c r="E20" s="11"/>
      <c r="F20" s="11"/>
      <c r="G20" s="12">
        <v>16803</v>
      </c>
      <c r="H20" s="12">
        <v>16803</v>
      </c>
      <c r="I20" s="11"/>
      <c r="J20" s="11" t="s">
        <v>45</v>
      </c>
      <c r="K20" s="11" t="s">
        <v>30</v>
      </c>
      <c r="L20" s="11" t="s">
        <v>17745</v>
      </c>
    </row>
    <row r="21" spans="1:12" ht="13.15" x14ac:dyDescent="0.4">
      <c r="A21" s="11" t="s">
        <v>17559</v>
      </c>
      <c r="B21" s="11"/>
      <c r="C21" s="11" t="s">
        <v>5377</v>
      </c>
      <c r="D21" s="11"/>
      <c r="E21" s="11"/>
      <c r="F21" s="11"/>
      <c r="G21" s="12">
        <v>16803</v>
      </c>
      <c r="H21" s="12">
        <v>16803</v>
      </c>
      <c r="I21" s="11"/>
      <c r="J21" s="11" t="s">
        <v>45</v>
      </c>
      <c r="K21" s="11" t="s">
        <v>30</v>
      </c>
      <c r="L21" s="11" t="s">
        <v>17818</v>
      </c>
    </row>
    <row r="22" spans="1:12" ht="13.15" x14ac:dyDescent="0.4">
      <c r="A22" s="11" t="s">
        <v>17568</v>
      </c>
      <c r="B22" s="11"/>
      <c r="C22" s="11" t="s">
        <v>5377</v>
      </c>
      <c r="D22" s="11"/>
      <c r="E22" s="11"/>
      <c r="F22" s="11"/>
      <c r="G22" s="12">
        <v>16803</v>
      </c>
      <c r="H22" s="12">
        <v>16803</v>
      </c>
      <c r="I22" s="11"/>
      <c r="J22" s="11" t="s">
        <v>45</v>
      </c>
      <c r="K22" s="11" t="s">
        <v>30</v>
      </c>
      <c r="L22" s="11" t="s">
        <v>17808</v>
      </c>
    </row>
    <row r="23" spans="1:12" ht="13.15" x14ac:dyDescent="0.4">
      <c r="A23" s="11" t="s">
        <v>17535</v>
      </c>
      <c r="B23" s="11"/>
      <c r="C23" s="11" t="s">
        <v>5377</v>
      </c>
      <c r="D23" s="11"/>
      <c r="E23" s="11"/>
      <c r="F23" s="11"/>
      <c r="G23" s="12">
        <v>16803</v>
      </c>
      <c r="H23" s="12">
        <v>16803</v>
      </c>
      <c r="I23" s="11"/>
      <c r="J23" s="11" t="s">
        <v>45</v>
      </c>
      <c r="K23" s="11" t="s">
        <v>30</v>
      </c>
      <c r="L23" s="11" t="s">
        <v>17840</v>
      </c>
    </row>
    <row r="24" spans="1:12" ht="13.15" x14ac:dyDescent="0.4">
      <c r="A24" s="11" t="s">
        <v>17380</v>
      </c>
      <c r="B24" s="11"/>
      <c r="C24" s="11" t="s">
        <v>5377</v>
      </c>
      <c r="D24" s="11"/>
      <c r="E24" s="11" t="s">
        <v>17161</v>
      </c>
      <c r="F24" s="11"/>
      <c r="G24" s="12">
        <v>16803</v>
      </c>
      <c r="H24" s="12">
        <v>16803</v>
      </c>
      <c r="I24" s="11"/>
      <c r="J24" s="11" t="s">
        <v>45</v>
      </c>
      <c r="K24" s="11" t="s">
        <v>30</v>
      </c>
      <c r="L24" s="11" t="s">
        <v>17996</v>
      </c>
    </row>
    <row r="25" spans="1:12" ht="13.15" x14ac:dyDescent="0.4">
      <c r="A25" s="11" t="s">
        <v>17464</v>
      </c>
      <c r="B25" s="11"/>
      <c r="C25" s="11" t="s">
        <v>5377</v>
      </c>
      <c r="D25" s="11"/>
      <c r="E25" s="11"/>
      <c r="F25" s="11"/>
      <c r="G25" s="12">
        <v>16803</v>
      </c>
      <c r="H25" s="12">
        <v>16803</v>
      </c>
      <c r="I25" s="11"/>
      <c r="J25" s="11" t="s">
        <v>45</v>
      </c>
      <c r="K25" s="11" t="s">
        <v>30</v>
      </c>
      <c r="L25" s="11" t="s">
        <v>17913</v>
      </c>
    </row>
    <row r="26" spans="1:12" ht="13.15" x14ac:dyDescent="0.4">
      <c r="A26" s="11" t="s">
        <v>17573</v>
      </c>
      <c r="B26" s="11"/>
      <c r="C26" s="11" t="s">
        <v>5377</v>
      </c>
      <c r="D26" s="11"/>
      <c r="E26" s="11"/>
      <c r="F26" s="11"/>
      <c r="G26" s="12">
        <v>16803</v>
      </c>
      <c r="H26" s="12">
        <v>16803</v>
      </c>
      <c r="I26" s="11"/>
      <c r="J26" s="11" t="s">
        <v>45</v>
      </c>
      <c r="K26" s="11" t="s">
        <v>30</v>
      </c>
      <c r="L26" s="11" t="s">
        <v>17803</v>
      </c>
    </row>
    <row r="27" spans="1:12" ht="13.15" x14ac:dyDescent="0.4">
      <c r="A27" s="11" t="s">
        <v>17499</v>
      </c>
      <c r="B27" s="11"/>
      <c r="C27" s="11" t="s">
        <v>5377</v>
      </c>
      <c r="D27" s="11"/>
      <c r="E27" s="11" t="s">
        <v>17161</v>
      </c>
      <c r="F27" s="11"/>
      <c r="G27" s="12">
        <v>16803</v>
      </c>
      <c r="H27" s="12">
        <v>16803</v>
      </c>
      <c r="I27" s="11"/>
      <c r="J27" s="11" t="s">
        <v>45</v>
      </c>
      <c r="K27" s="11" t="s">
        <v>30</v>
      </c>
      <c r="L27" s="11" t="s">
        <v>17878</v>
      </c>
    </row>
    <row r="28" spans="1:12" ht="13.15" x14ac:dyDescent="0.4">
      <c r="A28" s="11" t="s">
        <v>17508</v>
      </c>
      <c r="B28" s="11"/>
      <c r="C28" s="11" t="s">
        <v>5377</v>
      </c>
      <c r="D28" s="11"/>
      <c r="E28" s="11" t="s">
        <v>17161</v>
      </c>
      <c r="F28" s="11"/>
      <c r="G28" s="12">
        <v>16803</v>
      </c>
      <c r="H28" s="12">
        <v>16803</v>
      </c>
      <c r="I28" s="11"/>
      <c r="J28" s="11" t="s">
        <v>45</v>
      </c>
      <c r="K28" s="11" t="s">
        <v>30</v>
      </c>
      <c r="L28" s="11" t="s">
        <v>17870</v>
      </c>
    </row>
    <row r="29" spans="1:12" ht="13.15" x14ac:dyDescent="0.4">
      <c r="A29" s="11" t="s">
        <v>17561</v>
      </c>
      <c r="B29" s="11"/>
      <c r="C29" s="11" t="s">
        <v>5377</v>
      </c>
      <c r="D29" s="11"/>
      <c r="E29" s="11"/>
      <c r="F29" s="11"/>
      <c r="G29" s="12">
        <v>16803</v>
      </c>
      <c r="H29" s="12">
        <v>16803</v>
      </c>
      <c r="I29" s="11"/>
      <c r="J29" s="11" t="s">
        <v>45</v>
      </c>
      <c r="K29" s="11" t="s">
        <v>30</v>
      </c>
      <c r="L29" s="11" t="s">
        <v>17816</v>
      </c>
    </row>
    <row r="30" spans="1:12" ht="13.15" x14ac:dyDescent="0.4">
      <c r="A30" s="11" t="s">
        <v>17551</v>
      </c>
      <c r="B30" s="11"/>
      <c r="C30" s="11" t="s">
        <v>5377</v>
      </c>
      <c r="D30" s="11"/>
      <c r="E30" s="11"/>
      <c r="F30" s="11"/>
      <c r="G30" s="12">
        <v>16803</v>
      </c>
      <c r="H30" s="12">
        <v>16803</v>
      </c>
      <c r="I30" s="11"/>
      <c r="J30" s="11" t="s">
        <v>45</v>
      </c>
      <c r="K30" s="11" t="s">
        <v>30</v>
      </c>
      <c r="L30" s="11" t="s">
        <v>17826</v>
      </c>
    </row>
    <row r="31" spans="1:12" ht="13.15" x14ac:dyDescent="0.4">
      <c r="A31" s="11" t="s">
        <v>17358</v>
      </c>
      <c r="B31" s="11"/>
      <c r="C31" s="11" t="s">
        <v>5377</v>
      </c>
      <c r="D31" s="11"/>
      <c r="E31" s="11"/>
      <c r="F31" s="11"/>
      <c r="G31" s="12">
        <v>16803</v>
      </c>
      <c r="H31" s="12">
        <v>16803</v>
      </c>
      <c r="I31" s="11"/>
      <c r="J31" s="11" t="s">
        <v>45</v>
      </c>
      <c r="K31" s="11" t="s">
        <v>30</v>
      </c>
      <c r="L31" s="11" t="s">
        <v>18019</v>
      </c>
    </row>
    <row r="32" spans="1:12" ht="13.15" x14ac:dyDescent="0.4">
      <c r="A32" s="11" t="s">
        <v>17335</v>
      </c>
      <c r="B32" s="11"/>
      <c r="C32" s="11" t="s">
        <v>5377</v>
      </c>
      <c r="D32" s="11"/>
      <c r="E32" s="11"/>
      <c r="F32" s="11"/>
      <c r="G32" s="12">
        <v>16803</v>
      </c>
      <c r="H32" s="12">
        <v>16803</v>
      </c>
      <c r="I32" s="11"/>
      <c r="J32" s="11" t="s">
        <v>45</v>
      </c>
      <c r="K32" s="11" t="s">
        <v>30</v>
      </c>
      <c r="L32" s="11" t="s">
        <v>18045</v>
      </c>
    </row>
    <row r="33" spans="1:12" ht="13.15" x14ac:dyDescent="0.4">
      <c r="A33" s="11" t="s">
        <v>17371</v>
      </c>
      <c r="B33" s="11"/>
      <c r="C33" s="11" t="s">
        <v>5377</v>
      </c>
      <c r="D33" s="11"/>
      <c r="E33" s="11"/>
      <c r="F33" s="11"/>
      <c r="G33" s="12">
        <v>16803</v>
      </c>
      <c r="H33" s="12">
        <v>16803</v>
      </c>
      <c r="I33" s="11"/>
      <c r="J33" s="11" t="s">
        <v>45</v>
      </c>
      <c r="K33" s="11" t="s">
        <v>30</v>
      </c>
      <c r="L33" s="11" t="s">
        <v>18006</v>
      </c>
    </row>
    <row r="34" spans="1:12" ht="13.15" x14ac:dyDescent="0.4">
      <c r="A34" s="11" t="s">
        <v>17465</v>
      </c>
      <c r="B34" s="11"/>
      <c r="C34" s="11" t="s">
        <v>5377</v>
      </c>
      <c r="D34" s="11"/>
      <c r="E34" s="11"/>
      <c r="F34" s="11"/>
      <c r="G34" s="12">
        <v>16803</v>
      </c>
      <c r="H34" s="12">
        <v>16803</v>
      </c>
      <c r="I34" s="11"/>
      <c r="J34" s="11" t="s">
        <v>45</v>
      </c>
      <c r="K34" s="11" t="s">
        <v>30</v>
      </c>
      <c r="L34" s="11" t="s">
        <v>17912</v>
      </c>
    </row>
    <row r="35" spans="1:12" ht="13.15" x14ac:dyDescent="0.4">
      <c r="A35" s="11" t="s">
        <v>17550</v>
      </c>
      <c r="B35" s="11"/>
      <c r="C35" s="11" t="s">
        <v>5377</v>
      </c>
      <c r="D35" s="11"/>
      <c r="E35" s="11"/>
      <c r="F35" s="11"/>
      <c r="G35" s="12">
        <v>16803</v>
      </c>
      <c r="H35" s="12">
        <v>16803</v>
      </c>
      <c r="I35" s="11"/>
      <c r="J35" s="11" t="s">
        <v>45</v>
      </c>
      <c r="K35" s="11" t="s">
        <v>30</v>
      </c>
      <c r="L35" s="11" t="s">
        <v>17827</v>
      </c>
    </row>
    <row r="36" spans="1:12" ht="13.15" x14ac:dyDescent="0.4">
      <c r="A36" s="11" t="s">
        <v>17390</v>
      </c>
      <c r="B36" s="11"/>
      <c r="C36" s="11" t="s">
        <v>5377</v>
      </c>
      <c r="D36" s="11"/>
      <c r="E36" s="11"/>
      <c r="F36" s="11"/>
      <c r="G36" s="12">
        <v>16803</v>
      </c>
      <c r="H36" s="12">
        <v>16803</v>
      </c>
      <c r="I36" s="11"/>
      <c r="J36" s="11" t="s">
        <v>45</v>
      </c>
      <c r="K36" s="11" t="s">
        <v>30</v>
      </c>
      <c r="L36" s="11" t="s">
        <v>17987</v>
      </c>
    </row>
    <row r="37" spans="1:12" ht="13.15" x14ac:dyDescent="0.4">
      <c r="A37" s="11" t="s">
        <v>17504</v>
      </c>
      <c r="B37" s="11"/>
      <c r="C37" s="11" t="s">
        <v>5377</v>
      </c>
      <c r="D37" s="11"/>
      <c r="E37" s="11" t="s">
        <v>17161</v>
      </c>
      <c r="F37" s="11"/>
      <c r="G37" s="12">
        <v>16803</v>
      </c>
      <c r="H37" s="12">
        <v>16803</v>
      </c>
      <c r="I37" s="11"/>
      <c r="J37" s="11" t="s">
        <v>45</v>
      </c>
      <c r="K37" s="11" t="s">
        <v>30</v>
      </c>
      <c r="L37" s="11" t="s">
        <v>17874</v>
      </c>
    </row>
    <row r="38" spans="1:12" ht="13.15" x14ac:dyDescent="0.4">
      <c r="A38" s="11" t="s">
        <v>17418</v>
      </c>
      <c r="B38" s="11"/>
      <c r="C38" s="11" t="s">
        <v>5377</v>
      </c>
      <c r="D38" s="11"/>
      <c r="E38" s="11"/>
      <c r="F38" s="11"/>
      <c r="G38" s="12">
        <v>16803</v>
      </c>
      <c r="H38" s="12">
        <v>16803</v>
      </c>
      <c r="I38" s="11"/>
      <c r="J38" s="11" t="s">
        <v>45</v>
      </c>
      <c r="K38" s="11" t="s">
        <v>30</v>
      </c>
      <c r="L38" s="11" t="s">
        <v>17957</v>
      </c>
    </row>
    <row r="39" spans="1:12" ht="13.15" x14ac:dyDescent="0.4">
      <c r="A39" s="11" t="s">
        <v>17368</v>
      </c>
      <c r="B39" s="11"/>
      <c r="C39" s="11" t="s">
        <v>5377</v>
      </c>
      <c r="D39" s="11"/>
      <c r="E39" s="11"/>
      <c r="F39" s="11"/>
      <c r="G39" s="12">
        <v>16803</v>
      </c>
      <c r="H39" s="12">
        <v>16803</v>
      </c>
      <c r="I39" s="11"/>
      <c r="J39" s="11" t="s">
        <v>45</v>
      </c>
      <c r="K39" s="11" t="s">
        <v>30</v>
      </c>
      <c r="L39" s="11" t="s">
        <v>18009</v>
      </c>
    </row>
    <row r="40" spans="1:12" ht="13.15" x14ac:dyDescent="0.4">
      <c r="A40" s="11" t="s">
        <v>17284</v>
      </c>
      <c r="B40" s="11"/>
      <c r="C40" s="11" t="s">
        <v>5377</v>
      </c>
      <c r="D40" s="11"/>
      <c r="E40" s="11"/>
      <c r="F40" s="11"/>
      <c r="G40" s="12">
        <v>20090</v>
      </c>
      <c r="H40" s="12">
        <v>20090</v>
      </c>
      <c r="I40" s="11"/>
      <c r="J40" s="11" t="s">
        <v>45</v>
      </c>
      <c r="K40" s="11" t="s">
        <v>30</v>
      </c>
      <c r="L40" s="11" t="s">
        <v>18100</v>
      </c>
    </row>
    <row r="41" spans="1:12" ht="13.15" x14ac:dyDescent="0.4">
      <c r="A41" s="11" t="s">
        <v>17473</v>
      </c>
      <c r="B41" s="11"/>
      <c r="C41" s="11" t="s">
        <v>5377</v>
      </c>
      <c r="D41" s="11"/>
      <c r="E41" s="11"/>
      <c r="F41" s="11"/>
      <c r="G41" s="12">
        <v>16803</v>
      </c>
      <c r="H41" s="12">
        <v>16803</v>
      </c>
      <c r="I41" s="11"/>
      <c r="J41" s="11" t="s">
        <v>45</v>
      </c>
      <c r="K41" s="11" t="s">
        <v>30</v>
      </c>
      <c r="L41" s="11" t="s">
        <v>17904</v>
      </c>
    </row>
    <row r="42" spans="1:12" ht="13.15" x14ac:dyDescent="0.4">
      <c r="A42" s="11" t="s">
        <v>17652</v>
      </c>
      <c r="B42" s="11"/>
      <c r="C42" s="11" t="s">
        <v>5377</v>
      </c>
      <c r="D42" s="11"/>
      <c r="E42" s="11" t="s">
        <v>17161</v>
      </c>
      <c r="F42" s="11"/>
      <c r="G42" s="12">
        <v>16803</v>
      </c>
      <c r="H42" s="12">
        <v>16803</v>
      </c>
      <c r="I42" s="11"/>
      <c r="J42" s="11" t="s">
        <v>45</v>
      </c>
      <c r="K42" s="11" t="s">
        <v>30</v>
      </c>
      <c r="L42" s="11" t="s">
        <v>17720</v>
      </c>
    </row>
    <row r="43" spans="1:12" ht="13.15" x14ac:dyDescent="0.4">
      <c r="A43" s="11" t="s">
        <v>17613</v>
      </c>
      <c r="B43" s="11"/>
      <c r="C43" s="11" t="s">
        <v>5377</v>
      </c>
      <c r="D43" s="11"/>
      <c r="E43" s="11" t="s">
        <v>17614</v>
      </c>
      <c r="F43" s="11"/>
      <c r="G43" s="12">
        <v>16803</v>
      </c>
      <c r="H43" s="12">
        <v>16803</v>
      </c>
      <c r="I43" s="11"/>
      <c r="J43" s="11" t="s">
        <v>45</v>
      </c>
      <c r="K43" s="11" t="s">
        <v>30</v>
      </c>
      <c r="L43" s="11" t="s">
        <v>17762</v>
      </c>
    </row>
    <row r="44" spans="1:12" ht="13.15" x14ac:dyDescent="0.4">
      <c r="A44" s="11" t="s">
        <v>17651</v>
      </c>
      <c r="B44" s="11"/>
      <c r="C44" s="11" t="s">
        <v>5377</v>
      </c>
      <c r="D44" s="11"/>
      <c r="E44" s="11"/>
      <c r="F44" s="11"/>
      <c r="G44" s="12">
        <v>16803</v>
      </c>
      <c r="H44" s="12">
        <v>16803</v>
      </c>
      <c r="I44" s="11"/>
      <c r="J44" s="11" t="s">
        <v>45</v>
      </c>
      <c r="K44" s="11" t="s">
        <v>30</v>
      </c>
      <c r="L44" s="11" t="s">
        <v>17721</v>
      </c>
    </row>
    <row r="45" spans="1:12" ht="13.15" x14ac:dyDescent="0.4">
      <c r="A45" s="11" t="s">
        <v>17478</v>
      </c>
      <c r="B45" s="11"/>
      <c r="C45" s="11" t="s">
        <v>5377</v>
      </c>
      <c r="D45" s="11"/>
      <c r="E45" s="11"/>
      <c r="F45" s="11"/>
      <c r="G45" s="12">
        <v>16803</v>
      </c>
      <c r="H45" s="12">
        <v>16803</v>
      </c>
      <c r="I45" s="11"/>
      <c r="J45" s="11" t="s">
        <v>45</v>
      </c>
      <c r="K45" s="11" t="s">
        <v>30</v>
      </c>
      <c r="L45" s="11" t="s">
        <v>17899</v>
      </c>
    </row>
    <row r="46" spans="1:12" ht="13.15" x14ac:dyDescent="0.4">
      <c r="A46" s="11" t="s">
        <v>17554</v>
      </c>
      <c r="B46" s="11"/>
      <c r="C46" s="11" t="s">
        <v>5377</v>
      </c>
      <c r="D46" s="11"/>
      <c r="E46" s="11"/>
      <c r="F46" s="11"/>
      <c r="G46" s="12">
        <v>16803</v>
      </c>
      <c r="H46" s="12">
        <v>16803</v>
      </c>
      <c r="I46" s="11"/>
      <c r="J46" s="11" t="s">
        <v>45</v>
      </c>
      <c r="K46" s="11" t="s">
        <v>30</v>
      </c>
      <c r="L46" s="11" t="s">
        <v>17823</v>
      </c>
    </row>
    <row r="47" spans="1:12" ht="13.15" x14ac:dyDescent="0.4">
      <c r="A47" s="11" t="s">
        <v>17558</v>
      </c>
      <c r="B47" s="11"/>
      <c r="C47" s="11" t="s">
        <v>5377</v>
      </c>
      <c r="D47" s="11"/>
      <c r="E47" s="11"/>
      <c r="F47" s="11"/>
      <c r="G47" s="12">
        <v>16803</v>
      </c>
      <c r="H47" s="12">
        <v>16803</v>
      </c>
      <c r="I47" s="11"/>
      <c r="J47" s="11" t="s">
        <v>45</v>
      </c>
      <c r="K47" s="11" t="s">
        <v>30</v>
      </c>
      <c r="L47" s="11" t="s">
        <v>17819</v>
      </c>
    </row>
    <row r="48" spans="1:12" ht="13.15" x14ac:dyDescent="0.4">
      <c r="A48" s="11" t="s">
        <v>17482</v>
      </c>
      <c r="B48" s="11"/>
      <c r="C48" s="11" t="s">
        <v>5377</v>
      </c>
      <c r="D48" s="11"/>
      <c r="E48" s="11"/>
      <c r="F48" s="11"/>
      <c r="G48" s="12">
        <v>16803</v>
      </c>
      <c r="H48" s="12">
        <v>16803</v>
      </c>
      <c r="I48" s="11"/>
      <c r="J48" s="11" t="s">
        <v>45</v>
      </c>
      <c r="K48" s="11" t="s">
        <v>30</v>
      </c>
      <c r="L48" s="11" t="s">
        <v>17895</v>
      </c>
    </row>
    <row r="49" spans="1:12" ht="13.15" x14ac:dyDescent="0.4">
      <c r="A49" s="11" t="s">
        <v>17626</v>
      </c>
      <c r="B49" s="11"/>
      <c r="C49" s="11" t="s">
        <v>5377</v>
      </c>
      <c r="D49" s="11"/>
      <c r="E49" s="11" t="s">
        <v>17627</v>
      </c>
      <c r="F49" s="11"/>
      <c r="G49" s="12">
        <v>16803</v>
      </c>
      <c r="H49" s="12">
        <v>16803</v>
      </c>
      <c r="I49" s="11"/>
      <c r="J49" s="11" t="s">
        <v>45</v>
      </c>
      <c r="K49" s="11" t="s">
        <v>30</v>
      </c>
      <c r="L49" s="11" t="s">
        <v>17751</v>
      </c>
    </row>
    <row r="50" spans="1:12" ht="13.15" x14ac:dyDescent="0.4">
      <c r="A50" s="11" t="s">
        <v>17479</v>
      </c>
      <c r="B50" s="11"/>
      <c r="C50" s="11" t="s">
        <v>5377</v>
      </c>
      <c r="D50" s="11"/>
      <c r="E50" s="11"/>
      <c r="F50" s="11"/>
      <c r="G50" s="12">
        <v>16803</v>
      </c>
      <c r="H50" s="12">
        <v>16803</v>
      </c>
      <c r="I50" s="11"/>
      <c r="J50" s="11" t="s">
        <v>45</v>
      </c>
      <c r="K50" s="11" t="s">
        <v>30</v>
      </c>
      <c r="L50" s="11" t="s">
        <v>17898</v>
      </c>
    </row>
    <row r="51" spans="1:12" ht="13.15" x14ac:dyDescent="0.4">
      <c r="A51" s="11" t="s">
        <v>17569</v>
      </c>
      <c r="B51" s="11"/>
      <c r="C51" s="11" t="s">
        <v>5377</v>
      </c>
      <c r="D51" s="11"/>
      <c r="E51" s="11"/>
      <c r="F51" s="11"/>
      <c r="G51" s="12">
        <v>16803</v>
      </c>
      <c r="H51" s="12">
        <v>16803</v>
      </c>
      <c r="I51" s="11"/>
      <c r="J51" s="11" t="s">
        <v>45</v>
      </c>
      <c r="K51" s="11" t="s">
        <v>30</v>
      </c>
      <c r="L51" s="11" t="s">
        <v>17807</v>
      </c>
    </row>
    <row r="52" spans="1:12" ht="13.15" x14ac:dyDescent="0.4">
      <c r="A52" s="11" t="s">
        <v>17639</v>
      </c>
      <c r="B52" s="11"/>
      <c r="C52" s="11" t="s">
        <v>5377</v>
      </c>
      <c r="D52" s="11"/>
      <c r="E52" s="11"/>
      <c r="F52" s="11"/>
      <c r="G52" s="12">
        <v>16803</v>
      </c>
      <c r="H52" s="12">
        <v>16803</v>
      </c>
      <c r="I52" s="11"/>
      <c r="J52" s="11" t="s">
        <v>45</v>
      </c>
      <c r="K52" s="11" t="s">
        <v>30</v>
      </c>
      <c r="L52" s="11" t="s">
        <v>17736</v>
      </c>
    </row>
    <row r="53" spans="1:12" ht="13.15" x14ac:dyDescent="0.4">
      <c r="A53" s="11" t="s">
        <v>17643</v>
      </c>
      <c r="B53" s="11"/>
      <c r="C53" s="11" t="s">
        <v>5377</v>
      </c>
      <c r="D53" s="11"/>
      <c r="E53" s="11"/>
      <c r="F53" s="11"/>
      <c r="G53" s="12">
        <v>16803</v>
      </c>
      <c r="H53" s="12">
        <v>16803</v>
      </c>
      <c r="I53" s="11"/>
      <c r="J53" s="11" t="s">
        <v>45</v>
      </c>
      <c r="K53" s="11" t="s">
        <v>30</v>
      </c>
      <c r="L53" s="11" t="s">
        <v>17731</v>
      </c>
    </row>
    <row r="54" spans="1:12" ht="13.15" x14ac:dyDescent="0.4">
      <c r="A54" s="11" t="s">
        <v>17495</v>
      </c>
      <c r="B54" s="11"/>
      <c r="C54" s="11" t="s">
        <v>5377</v>
      </c>
      <c r="D54" s="11"/>
      <c r="E54" s="11" t="s">
        <v>17161</v>
      </c>
      <c r="F54" s="11"/>
      <c r="G54" s="12">
        <v>16803</v>
      </c>
      <c r="H54" s="12">
        <v>16803</v>
      </c>
      <c r="I54" s="11"/>
      <c r="J54" s="11" t="s">
        <v>45</v>
      </c>
      <c r="K54" s="11" t="s">
        <v>30</v>
      </c>
      <c r="L54" s="11" t="s">
        <v>17882</v>
      </c>
    </row>
    <row r="55" spans="1:12" ht="13.15" x14ac:dyDescent="0.4">
      <c r="A55" s="11" t="s">
        <v>17545</v>
      </c>
      <c r="B55" s="11"/>
      <c r="C55" s="11" t="s">
        <v>5377</v>
      </c>
      <c r="D55" s="11"/>
      <c r="E55" s="11"/>
      <c r="F55" s="11"/>
      <c r="G55" s="12">
        <v>16803</v>
      </c>
      <c r="H55" s="12">
        <v>16803</v>
      </c>
      <c r="I55" s="11"/>
      <c r="J55" s="11" t="s">
        <v>45</v>
      </c>
      <c r="K55" s="11" t="s">
        <v>30</v>
      </c>
      <c r="L55" s="11" t="s">
        <v>17831</v>
      </c>
    </row>
    <row r="56" spans="1:12" ht="13.15" x14ac:dyDescent="0.4">
      <c r="A56" s="11" t="s">
        <v>17545</v>
      </c>
      <c r="B56" s="11"/>
      <c r="C56" s="11" t="s">
        <v>5377</v>
      </c>
      <c r="D56" s="11"/>
      <c r="E56" s="11"/>
      <c r="F56" s="11"/>
      <c r="G56" s="12">
        <v>16803</v>
      </c>
      <c r="H56" s="12">
        <v>16803</v>
      </c>
      <c r="I56" s="11"/>
      <c r="J56" s="11" t="s">
        <v>45</v>
      </c>
      <c r="K56" s="11" t="s">
        <v>30</v>
      </c>
      <c r="L56" s="11" t="s">
        <v>17741</v>
      </c>
    </row>
    <row r="57" spans="1:12" ht="13.15" x14ac:dyDescent="0.4">
      <c r="A57" s="11" t="s">
        <v>17456</v>
      </c>
      <c r="B57" s="11"/>
      <c r="C57" s="11" t="s">
        <v>5377</v>
      </c>
      <c r="D57" s="11"/>
      <c r="E57" s="11" t="s">
        <v>17457</v>
      </c>
      <c r="F57" s="11"/>
      <c r="G57" s="12">
        <v>16803</v>
      </c>
      <c r="H57" s="12">
        <v>16803</v>
      </c>
      <c r="I57" s="11"/>
      <c r="J57" s="11" t="s">
        <v>45</v>
      </c>
      <c r="K57" s="11" t="s">
        <v>30</v>
      </c>
      <c r="L57" s="11" t="s">
        <v>17919</v>
      </c>
    </row>
    <row r="58" spans="1:12" ht="13.15" x14ac:dyDescent="0.4">
      <c r="A58" s="11" t="s">
        <v>17483</v>
      </c>
      <c r="B58" s="11"/>
      <c r="C58" s="11" t="s">
        <v>5377</v>
      </c>
      <c r="D58" s="11"/>
      <c r="E58" s="11"/>
      <c r="F58" s="11"/>
      <c r="G58" s="12">
        <v>16803</v>
      </c>
      <c r="H58" s="12">
        <v>16803</v>
      </c>
      <c r="I58" s="11"/>
      <c r="J58" s="11" t="s">
        <v>45</v>
      </c>
      <c r="K58" s="11" t="s">
        <v>30</v>
      </c>
      <c r="L58" s="11" t="s">
        <v>17894</v>
      </c>
    </row>
    <row r="59" spans="1:12" ht="13.15" x14ac:dyDescent="0.4">
      <c r="A59" s="11" t="s">
        <v>17514</v>
      </c>
      <c r="B59" s="11"/>
      <c r="C59" s="11" t="s">
        <v>5377</v>
      </c>
      <c r="D59" s="11"/>
      <c r="E59" s="11"/>
      <c r="F59" s="11"/>
      <c r="G59" s="12">
        <v>16803</v>
      </c>
      <c r="H59" s="12">
        <v>16803</v>
      </c>
      <c r="I59" s="11"/>
      <c r="J59" s="11" t="s">
        <v>45</v>
      </c>
      <c r="K59" s="11" t="s">
        <v>30</v>
      </c>
      <c r="L59" s="11" t="s">
        <v>17864</v>
      </c>
    </row>
    <row r="60" spans="1:12" ht="13.15" x14ac:dyDescent="0.4">
      <c r="A60" s="11" t="s">
        <v>17511</v>
      </c>
      <c r="B60" s="11"/>
      <c r="C60" s="11" t="s">
        <v>5377</v>
      </c>
      <c r="D60" s="11"/>
      <c r="E60" s="11" t="s">
        <v>17161</v>
      </c>
      <c r="F60" s="11"/>
      <c r="G60" s="12">
        <v>16803</v>
      </c>
      <c r="H60" s="12">
        <v>16803</v>
      </c>
      <c r="I60" s="11"/>
      <c r="J60" s="11" t="s">
        <v>45</v>
      </c>
      <c r="K60" s="11" t="s">
        <v>30</v>
      </c>
      <c r="L60" s="11" t="s">
        <v>17867</v>
      </c>
    </row>
    <row r="61" spans="1:12" ht="13.15" x14ac:dyDescent="0.4">
      <c r="A61" s="11" t="s">
        <v>17471</v>
      </c>
      <c r="B61" s="11"/>
      <c r="C61" s="11" t="s">
        <v>5377</v>
      </c>
      <c r="D61" s="11"/>
      <c r="E61" s="11" t="s">
        <v>17161</v>
      </c>
      <c r="F61" s="11"/>
      <c r="G61" s="12">
        <v>16803</v>
      </c>
      <c r="H61" s="12">
        <v>16803</v>
      </c>
      <c r="I61" s="11"/>
      <c r="J61" s="11" t="s">
        <v>45</v>
      </c>
      <c r="K61" s="11" t="s">
        <v>30</v>
      </c>
      <c r="L61" s="11" t="s">
        <v>17906</v>
      </c>
    </row>
    <row r="62" spans="1:12" ht="13.15" x14ac:dyDescent="0.4">
      <c r="A62" s="11" t="s">
        <v>17466</v>
      </c>
      <c r="B62" s="11"/>
      <c r="C62" s="11" t="s">
        <v>5377</v>
      </c>
      <c r="D62" s="11"/>
      <c r="E62" s="11" t="s">
        <v>17161</v>
      </c>
      <c r="F62" s="11"/>
      <c r="G62" s="12">
        <v>16803</v>
      </c>
      <c r="H62" s="12">
        <v>16803</v>
      </c>
      <c r="I62" s="11"/>
      <c r="J62" s="11" t="s">
        <v>45</v>
      </c>
      <c r="K62" s="11" t="s">
        <v>30</v>
      </c>
      <c r="L62" s="11" t="s">
        <v>17911</v>
      </c>
    </row>
    <row r="63" spans="1:12" ht="13.15" x14ac:dyDescent="0.4">
      <c r="A63" s="11" t="s">
        <v>17463</v>
      </c>
      <c r="B63" s="11"/>
      <c r="C63" s="11" t="s">
        <v>5377</v>
      </c>
      <c r="D63" s="11"/>
      <c r="E63" s="11"/>
      <c r="F63" s="11"/>
      <c r="G63" s="12">
        <v>16803</v>
      </c>
      <c r="H63" s="12">
        <v>16803</v>
      </c>
      <c r="I63" s="11"/>
      <c r="J63" s="11" t="s">
        <v>45</v>
      </c>
      <c r="K63" s="11" t="s">
        <v>30</v>
      </c>
      <c r="L63" s="11" t="s">
        <v>17914</v>
      </c>
    </row>
    <row r="64" spans="1:12" ht="13.15" x14ac:dyDescent="0.4">
      <c r="A64" s="11" t="s">
        <v>17633</v>
      </c>
      <c r="B64" s="11"/>
      <c r="C64" s="11" t="s">
        <v>5377</v>
      </c>
      <c r="D64" s="11"/>
      <c r="E64" s="11"/>
      <c r="F64" s="11"/>
      <c r="G64" s="12">
        <v>16803</v>
      </c>
      <c r="H64" s="12">
        <v>16803</v>
      </c>
      <c r="I64" s="11"/>
      <c r="J64" s="11" t="s">
        <v>45</v>
      </c>
      <c r="K64" s="11" t="s">
        <v>30</v>
      </c>
      <c r="L64" s="11" t="s">
        <v>17744</v>
      </c>
    </row>
    <row r="65" spans="1:12" ht="13.15" x14ac:dyDescent="0.4">
      <c r="A65" s="11" t="s">
        <v>17560</v>
      </c>
      <c r="B65" s="11"/>
      <c r="C65" s="11" t="s">
        <v>5377</v>
      </c>
      <c r="D65" s="11"/>
      <c r="E65" s="11" t="s">
        <v>17161</v>
      </c>
      <c r="F65" s="11"/>
      <c r="G65" s="12">
        <v>16803</v>
      </c>
      <c r="H65" s="12">
        <v>16803</v>
      </c>
      <c r="I65" s="11"/>
      <c r="J65" s="11" t="s">
        <v>45</v>
      </c>
      <c r="K65" s="11" t="s">
        <v>30</v>
      </c>
      <c r="L65" s="11" t="s">
        <v>17817</v>
      </c>
    </row>
    <row r="66" spans="1:12" ht="13.15" x14ac:dyDescent="0.4">
      <c r="A66" s="11" t="s">
        <v>17481</v>
      </c>
      <c r="B66" s="11"/>
      <c r="C66" s="11" t="s">
        <v>5377</v>
      </c>
      <c r="D66" s="11"/>
      <c r="E66" s="11"/>
      <c r="F66" s="11"/>
      <c r="G66" s="12">
        <v>16803</v>
      </c>
      <c r="H66" s="12">
        <v>16803</v>
      </c>
      <c r="I66" s="11"/>
      <c r="J66" s="11" t="s">
        <v>45</v>
      </c>
      <c r="K66" s="11" t="s">
        <v>30</v>
      </c>
      <c r="L66" s="11" t="s">
        <v>17896</v>
      </c>
    </row>
    <row r="67" spans="1:12" ht="13.15" x14ac:dyDescent="0.4">
      <c r="A67" s="11" t="s">
        <v>17540</v>
      </c>
      <c r="B67" s="11"/>
      <c r="C67" s="11" t="s">
        <v>5377</v>
      </c>
      <c r="D67" s="11"/>
      <c r="E67" s="11"/>
      <c r="F67" s="11"/>
      <c r="G67" s="12">
        <v>16803</v>
      </c>
      <c r="H67" s="12">
        <v>16803</v>
      </c>
      <c r="I67" s="11"/>
      <c r="J67" s="11" t="s">
        <v>45</v>
      </c>
      <c r="K67" s="11" t="s">
        <v>30</v>
      </c>
      <c r="L67" s="11" t="s">
        <v>17835</v>
      </c>
    </row>
    <row r="68" spans="1:12" ht="13.15" x14ac:dyDescent="0.4">
      <c r="A68" s="11" t="s">
        <v>17470</v>
      </c>
      <c r="B68" s="11"/>
      <c r="C68" s="11" t="s">
        <v>5377</v>
      </c>
      <c r="D68" s="11"/>
      <c r="E68" s="11"/>
      <c r="F68" s="11"/>
      <c r="G68" s="12">
        <v>16803</v>
      </c>
      <c r="H68" s="12">
        <v>16803</v>
      </c>
      <c r="I68" s="11"/>
      <c r="J68" s="11" t="s">
        <v>45</v>
      </c>
      <c r="K68" s="11" t="s">
        <v>30</v>
      </c>
      <c r="L68" s="11" t="s">
        <v>17907</v>
      </c>
    </row>
    <row r="69" spans="1:12" ht="13.15" x14ac:dyDescent="0.4">
      <c r="A69" s="11" t="s">
        <v>17618</v>
      </c>
      <c r="B69" s="11"/>
      <c r="C69" s="11" t="s">
        <v>5377</v>
      </c>
      <c r="D69" s="11"/>
      <c r="E69" s="11"/>
      <c r="F69" s="11"/>
      <c r="G69" s="12">
        <v>16803</v>
      </c>
      <c r="H69" s="12">
        <v>16803</v>
      </c>
      <c r="I69" s="11"/>
      <c r="J69" s="11" t="s">
        <v>45</v>
      </c>
      <c r="K69" s="11" t="s">
        <v>30</v>
      </c>
      <c r="L69" s="11" t="s">
        <v>17758</v>
      </c>
    </row>
    <row r="70" spans="1:12" ht="13.15" x14ac:dyDescent="0.4">
      <c r="A70" s="11" t="s">
        <v>17547</v>
      </c>
      <c r="B70" s="11"/>
      <c r="C70" s="11" t="s">
        <v>5377</v>
      </c>
      <c r="D70" s="11"/>
      <c r="E70" s="11" t="s">
        <v>17548</v>
      </c>
      <c r="F70" s="11"/>
      <c r="G70" s="12">
        <v>16803</v>
      </c>
      <c r="H70" s="12">
        <v>16803</v>
      </c>
      <c r="I70" s="11"/>
      <c r="J70" s="11" t="s">
        <v>45</v>
      </c>
      <c r="K70" s="11" t="s">
        <v>30</v>
      </c>
      <c r="L70" s="11" t="s">
        <v>17829</v>
      </c>
    </row>
    <row r="71" spans="1:12" ht="13.15" x14ac:dyDescent="0.4">
      <c r="A71" s="11" t="s">
        <v>17563</v>
      </c>
      <c r="B71" s="11"/>
      <c r="C71" s="11" t="s">
        <v>5377</v>
      </c>
      <c r="D71" s="11"/>
      <c r="E71" s="11"/>
      <c r="F71" s="11"/>
      <c r="G71" s="12">
        <v>16803</v>
      </c>
      <c r="H71" s="12">
        <v>16803</v>
      </c>
      <c r="I71" s="11"/>
      <c r="J71" s="11" t="s">
        <v>45</v>
      </c>
      <c r="K71" s="11" t="s">
        <v>30</v>
      </c>
      <c r="L71" s="11" t="s">
        <v>17814</v>
      </c>
    </row>
    <row r="72" spans="1:12" ht="13.15" x14ac:dyDescent="0.4">
      <c r="A72" s="11" t="s">
        <v>17500</v>
      </c>
      <c r="B72" s="11"/>
      <c r="C72" s="11" t="s">
        <v>5377</v>
      </c>
      <c r="D72" s="11"/>
      <c r="E72" s="11" t="s">
        <v>17501</v>
      </c>
      <c r="F72" s="11"/>
      <c r="G72" s="12">
        <v>16803</v>
      </c>
      <c r="H72" s="12">
        <v>16803</v>
      </c>
      <c r="I72" s="11"/>
      <c r="J72" s="11" t="s">
        <v>45</v>
      </c>
      <c r="K72" s="11" t="s">
        <v>30</v>
      </c>
      <c r="L72" s="11" t="s">
        <v>17877</v>
      </c>
    </row>
    <row r="73" spans="1:12" ht="13.15" x14ac:dyDescent="0.4">
      <c r="A73" s="11" t="s">
        <v>17350</v>
      </c>
      <c r="B73" s="11"/>
      <c r="C73" s="11" t="s">
        <v>5377</v>
      </c>
      <c r="D73" s="11"/>
      <c r="E73" s="11"/>
      <c r="F73" s="11"/>
      <c r="G73" s="12">
        <v>16803</v>
      </c>
      <c r="H73" s="12">
        <v>16803</v>
      </c>
      <c r="I73" s="11"/>
      <c r="J73" s="11" t="s">
        <v>45</v>
      </c>
      <c r="K73" s="11" t="s">
        <v>30</v>
      </c>
      <c r="L73" s="11" t="s">
        <v>18027</v>
      </c>
    </row>
    <row r="74" spans="1:12" ht="13.15" x14ac:dyDescent="0.4">
      <c r="A74" s="11" t="s">
        <v>17334</v>
      </c>
      <c r="B74" s="11"/>
      <c r="C74" s="11" t="s">
        <v>5377</v>
      </c>
      <c r="D74" s="11"/>
      <c r="E74" s="11"/>
      <c r="F74" s="11"/>
      <c r="G74" s="12">
        <v>16803</v>
      </c>
      <c r="H74" s="12">
        <v>16803</v>
      </c>
      <c r="I74" s="11"/>
      <c r="J74" s="11" t="s">
        <v>45</v>
      </c>
      <c r="K74" s="11" t="s">
        <v>30</v>
      </c>
      <c r="L74" s="11" t="s">
        <v>18047</v>
      </c>
    </row>
    <row r="75" spans="1:12" ht="13.15" x14ac:dyDescent="0.4">
      <c r="A75" s="11" t="s">
        <v>17334</v>
      </c>
      <c r="B75" s="11"/>
      <c r="C75" s="11" t="s">
        <v>5377</v>
      </c>
      <c r="D75" s="11"/>
      <c r="E75" s="11"/>
      <c r="F75" s="11"/>
      <c r="G75" s="12">
        <v>16803</v>
      </c>
      <c r="H75" s="12">
        <v>16803</v>
      </c>
      <c r="I75" s="11"/>
      <c r="J75" s="11" t="s">
        <v>45</v>
      </c>
      <c r="K75" s="11" t="s">
        <v>30</v>
      </c>
      <c r="L75" s="11" t="s">
        <v>18018</v>
      </c>
    </row>
    <row r="76" spans="1:12" ht="13.15" x14ac:dyDescent="0.4">
      <c r="A76" s="11" t="s">
        <v>17301</v>
      </c>
      <c r="B76" s="11"/>
      <c r="C76" s="11" t="s">
        <v>5377</v>
      </c>
      <c r="D76" s="11"/>
      <c r="E76" s="11"/>
      <c r="F76" s="11"/>
      <c r="G76" s="12">
        <v>16803</v>
      </c>
      <c r="H76" s="12">
        <v>16803</v>
      </c>
      <c r="I76" s="11"/>
      <c r="J76" s="11" t="s">
        <v>45</v>
      </c>
      <c r="K76" s="11" t="s">
        <v>30</v>
      </c>
      <c r="L76" s="11" t="s">
        <v>18083</v>
      </c>
    </row>
    <row r="77" spans="1:12" ht="13.15" x14ac:dyDescent="0.4">
      <c r="A77" s="11" t="s">
        <v>17422</v>
      </c>
      <c r="B77" s="11"/>
      <c r="C77" s="11" t="s">
        <v>5377</v>
      </c>
      <c r="D77" s="11"/>
      <c r="E77" s="11" t="s">
        <v>17161</v>
      </c>
      <c r="F77" s="11"/>
      <c r="G77" s="12">
        <v>16803</v>
      </c>
      <c r="H77" s="12">
        <v>16803</v>
      </c>
      <c r="I77" s="11"/>
      <c r="J77" s="11" t="s">
        <v>45</v>
      </c>
      <c r="K77" s="11" t="s">
        <v>30</v>
      </c>
      <c r="L77" s="11" t="s">
        <v>17953</v>
      </c>
    </row>
    <row r="78" spans="1:12" ht="13.15" x14ac:dyDescent="0.4">
      <c r="A78" s="11" t="s">
        <v>17543</v>
      </c>
      <c r="B78" s="11"/>
      <c r="C78" s="11" t="s">
        <v>5377</v>
      </c>
      <c r="D78" s="11"/>
      <c r="E78" s="11" t="s">
        <v>17544</v>
      </c>
      <c r="F78" s="11"/>
      <c r="G78" s="12">
        <v>16803</v>
      </c>
      <c r="H78" s="12">
        <v>16803</v>
      </c>
      <c r="I78" s="11"/>
      <c r="J78" s="11" t="s">
        <v>45</v>
      </c>
      <c r="K78" s="11" t="s">
        <v>30</v>
      </c>
      <c r="L78" s="11" t="s">
        <v>17832</v>
      </c>
    </row>
    <row r="79" spans="1:12" ht="13.15" x14ac:dyDescent="0.4">
      <c r="A79" s="11" t="s">
        <v>17555</v>
      </c>
      <c r="B79" s="11"/>
      <c r="C79" s="11" t="s">
        <v>5377</v>
      </c>
      <c r="D79" s="11"/>
      <c r="E79" s="11"/>
      <c r="F79" s="11"/>
      <c r="G79" s="12">
        <v>16803</v>
      </c>
      <c r="H79" s="12">
        <v>16803</v>
      </c>
      <c r="I79" s="11"/>
      <c r="J79" s="11" t="s">
        <v>45</v>
      </c>
      <c r="K79" s="11" t="s">
        <v>30</v>
      </c>
      <c r="L79" s="11" t="s">
        <v>17822</v>
      </c>
    </row>
    <row r="80" spans="1:12" ht="13.15" x14ac:dyDescent="0.4">
      <c r="A80" s="11" t="s">
        <v>17302</v>
      </c>
      <c r="B80" s="11"/>
      <c r="C80" s="11" t="s">
        <v>5377</v>
      </c>
      <c r="D80" s="11"/>
      <c r="E80" s="11"/>
      <c r="F80" s="11"/>
      <c r="G80" s="12">
        <v>18264</v>
      </c>
      <c r="H80" s="12">
        <v>18264</v>
      </c>
      <c r="I80" s="11"/>
      <c r="J80" s="11" t="s">
        <v>45</v>
      </c>
      <c r="K80" s="11" t="s">
        <v>30</v>
      </c>
      <c r="L80" s="11" t="s">
        <v>18082</v>
      </c>
    </row>
    <row r="81" spans="1:12" ht="13.15" x14ac:dyDescent="0.4">
      <c r="A81" s="11" t="s">
        <v>17595</v>
      </c>
      <c r="B81" s="11"/>
      <c r="C81" s="11" t="s">
        <v>5377</v>
      </c>
      <c r="D81" s="11"/>
      <c r="E81" s="11"/>
      <c r="F81" s="11"/>
      <c r="G81" s="12">
        <v>16803</v>
      </c>
      <c r="H81" s="12">
        <v>16803</v>
      </c>
      <c r="I81" s="11"/>
      <c r="J81" s="11" t="s">
        <v>45</v>
      </c>
      <c r="K81" s="11" t="s">
        <v>30</v>
      </c>
      <c r="L81" s="11" t="s">
        <v>17779</v>
      </c>
    </row>
    <row r="82" spans="1:12" ht="13.15" x14ac:dyDescent="0.4">
      <c r="A82" s="11" t="s">
        <v>17587</v>
      </c>
      <c r="B82" s="11"/>
      <c r="C82" s="11" t="s">
        <v>5377</v>
      </c>
      <c r="D82" s="11"/>
      <c r="E82" s="11"/>
      <c r="F82" s="11"/>
      <c r="G82" s="12">
        <v>16803</v>
      </c>
      <c r="H82" s="12">
        <v>16803</v>
      </c>
      <c r="I82" s="11"/>
      <c r="J82" s="11" t="s">
        <v>45</v>
      </c>
      <c r="K82" s="11" t="s">
        <v>30</v>
      </c>
      <c r="L82" s="11" t="s">
        <v>17787</v>
      </c>
    </row>
    <row r="83" spans="1:12" ht="13.15" x14ac:dyDescent="0.4">
      <c r="A83" s="11" t="s">
        <v>17598</v>
      </c>
      <c r="B83" s="11"/>
      <c r="C83" s="11" t="s">
        <v>5377</v>
      </c>
      <c r="D83" s="11"/>
      <c r="E83" s="11"/>
      <c r="F83" s="11"/>
      <c r="G83" s="12">
        <v>16803</v>
      </c>
      <c r="H83" s="12">
        <v>16803</v>
      </c>
      <c r="I83" s="11"/>
      <c r="J83" s="11" t="s">
        <v>45</v>
      </c>
      <c r="K83" s="11" t="s">
        <v>30</v>
      </c>
      <c r="L83" s="11" t="s">
        <v>17775</v>
      </c>
    </row>
    <row r="84" spans="1:12" ht="13.15" x14ac:dyDescent="0.4">
      <c r="A84" s="11" t="s">
        <v>17592</v>
      </c>
      <c r="B84" s="11"/>
      <c r="C84" s="11" t="s">
        <v>5377</v>
      </c>
      <c r="D84" s="11"/>
      <c r="E84" s="11"/>
      <c r="F84" s="11"/>
      <c r="G84" s="12">
        <v>16803</v>
      </c>
      <c r="H84" s="12">
        <v>16803</v>
      </c>
      <c r="I84" s="11"/>
      <c r="J84" s="11" t="s">
        <v>45</v>
      </c>
      <c r="K84" s="11" t="s">
        <v>30</v>
      </c>
      <c r="L84" s="11" t="s">
        <v>17782</v>
      </c>
    </row>
    <row r="85" spans="1:12" ht="13.15" x14ac:dyDescent="0.4">
      <c r="A85" s="11" t="s">
        <v>17623</v>
      </c>
      <c r="B85" s="11"/>
      <c r="C85" s="11" t="s">
        <v>5377</v>
      </c>
      <c r="D85" s="11"/>
      <c r="E85" s="11"/>
      <c r="F85" s="11"/>
      <c r="G85" s="12">
        <v>16803</v>
      </c>
      <c r="H85" s="12">
        <v>16803</v>
      </c>
      <c r="I85" s="11"/>
      <c r="J85" s="11" t="s">
        <v>45</v>
      </c>
      <c r="K85" s="11" t="s">
        <v>30</v>
      </c>
      <c r="L85" s="11" t="s">
        <v>17754</v>
      </c>
    </row>
    <row r="86" spans="1:12" ht="13.15" x14ac:dyDescent="0.4">
      <c r="A86" s="11" t="s">
        <v>17413</v>
      </c>
      <c r="B86" s="11"/>
      <c r="C86" s="11" t="s">
        <v>5377</v>
      </c>
      <c r="D86" s="11"/>
      <c r="E86" s="11" t="s">
        <v>17161</v>
      </c>
      <c r="F86" s="11"/>
      <c r="G86" s="12">
        <v>16803</v>
      </c>
      <c r="H86" s="12">
        <v>16803</v>
      </c>
      <c r="I86" s="11"/>
      <c r="J86" s="11" t="s">
        <v>45</v>
      </c>
      <c r="K86" s="11" t="s">
        <v>30</v>
      </c>
      <c r="L86" s="11" t="s">
        <v>17962</v>
      </c>
    </row>
    <row r="87" spans="1:12" ht="13.15" x14ac:dyDescent="0.4">
      <c r="A87" s="11" t="s">
        <v>17329</v>
      </c>
      <c r="B87" s="11"/>
      <c r="C87" s="11" t="s">
        <v>5377</v>
      </c>
      <c r="D87" s="11"/>
      <c r="E87" s="11"/>
      <c r="F87" s="11"/>
      <c r="G87" s="12">
        <v>16803</v>
      </c>
      <c r="H87" s="12">
        <v>16803</v>
      </c>
      <c r="I87" s="11"/>
      <c r="J87" s="11" t="s">
        <v>45</v>
      </c>
      <c r="K87" s="11" t="s">
        <v>30</v>
      </c>
      <c r="L87" s="11" t="s">
        <v>18052</v>
      </c>
    </row>
    <row r="88" spans="1:12" ht="13.15" x14ac:dyDescent="0.4">
      <c r="A88" s="11" t="s">
        <v>17493</v>
      </c>
      <c r="B88" s="11"/>
      <c r="C88" s="11" t="s">
        <v>5377</v>
      </c>
      <c r="D88" s="11"/>
      <c r="E88" s="11" t="s">
        <v>17161</v>
      </c>
      <c r="F88" s="11"/>
      <c r="G88" s="12">
        <v>16803</v>
      </c>
      <c r="H88" s="12">
        <v>16803</v>
      </c>
      <c r="I88" s="11"/>
      <c r="J88" s="11" t="s">
        <v>45</v>
      </c>
      <c r="K88" s="11" t="s">
        <v>30</v>
      </c>
      <c r="L88" s="11" t="s">
        <v>17884</v>
      </c>
    </row>
    <row r="89" spans="1:12" ht="13.15" x14ac:dyDescent="0.4">
      <c r="A89" s="11" t="s">
        <v>17461</v>
      </c>
      <c r="B89" s="11"/>
      <c r="C89" s="11" t="s">
        <v>5377</v>
      </c>
      <c r="D89" s="11"/>
      <c r="E89" s="11"/>
      <c r="F89" s="11"/>
      <c r="G89" s="12">
        <v>16803</v>
      </c>
      <c r="H89" s="12">
        <v>16803</v>
      </c>
      <c r="I89" s="11"/>
      <c r="J89" s="11" t="s">
        <v>45</v>
      </c>
      <c r="K89" s="11" t="s">
        <v>30</v>
      </c>
      <c r="L89" s="11" t="s">
        <v>17916</v>
      </c>
    </row>
    <row r="90" spans="1:12" ht="13.15" x14ac:dyDescent="0.4">
      <c r="A90" s="11" t="s">
        <v>17570</v>
      </c>
      <c r="B90" s="11"/>
      <c r="C90" s="11" t="s">
        <v>5377</v>
      </c>
      <c r="D90" s="11"/>
      <c r="E90" s="11"/>
      <c r="F90" s="11"/>
      <c r="G90" s="12">
        <v>16803</v>
      </c>
      <c r="H90" s="12">
        <v>16803</v>
      </c>
      <c r="I90" s="11"/>
      <c r="J90" s="11" t="s">
        <v>45</v>
      </c>
      <c r="K90" s="11" t="s">
        <v>30</v>
      </c>
      <c r="L90" s="11" t="s">
        <v>17806</v>
      </c>
    </row>
    <row r="91" spans="1:12" ht="13.15" x14ac:dyDescent="0.4">
      <c r="A91" s="11" t="s">
        <v>17603</v>
      </c>
      <c r="B91" s="11"/>
      <c r="C91" s="11" t="s">
        <v>5377</v>
      </c>
      <c r="D91" s="11"/>
      <c r="E91" s="11" t="s">
        <v>17161</v>
      </c>
      <c r="F91" s="11"/>
      <c r="G91" s="12">
        <v>16803</v>
      </c>
      <c r="H91" s="12">
        <v>16803</v>
      </c>
      <c r="I91" s="11"/>
      <c r="J91" s="11" t="s">
        <v>45</v>
      </c>
      <c r="K91" s="11" t="s">
        <v>30</v>
      </c>
      <c r="L91" s="11" t="s">
        <v>17770</v>
      </c>
    </row>
    <row r="92" spans="1:12" ht="13.15" x14ac:dyDescent="0.4">
      <c r="A92" s="11" t="s">
        <v>17646</v>
      </c>
      <c r="B92" s="11"/>
      <c r="C92" s="11" t="s">
        <v>5377</v>
      </c>
      <c r="D92" s="11"/>
      <c r="E92" s="11"/>
      <c r="F92" s="11"/>
      <c r="G92" s="12">
        <v>16803</v>
      </c>
      <c r="H92" s="12">
        <v>16803</v>
      </c>
      <c r="I92" s="11"/>
      <c r="J92" s="11" t="s">
        <v>45</v>
      </c>
      <c r="K92" s="11" t="s">
        <v>30</v>
      </c>
      <c r="L92" s="11" t="s">
        <v>17728</v>
      </c>
    </row>
    <row r="93" spans="1:12" ht="13.15" x14ac:dyDescent="0.4">
      <c r="A93" s="11" t="s">
        <v>17414</v>
      </c>
      <c r="B93" s="11"/>
      <c r="C93" s="11" t="s">
        <v>5377</v>
      </c>
      <c r="D93" s="11"/>
      <c r="E93" s="11" t="s">
        <v>17161</v>
      </c>
      <c r="F93" s="11"/>
      <c r="G93" s="12">
        <v>16803</v>
      </c>
      <c r="H93" s="12">
        <v>16803</v>
      </c>
      <c r="I93" s="11"/>
      <c r="J93" s="11" t="s">
        <v>45</v>
      </c>
      <c r="K93" s="11" t="s">
        <v>30</v>
      </c>
      <c r="L93" s="11" t="s">
        <v>17961</v>
      </c>
    </row>
    <row r="94" spans="1:12" ht="13.15" x14ac:dyDescent="0.4">
      <c r="A94" s="11" t="s">
        <v>17467</v>
      </c>
      <c r="B94" s="11"/>
      <c r="C94" s="11" t="s">
        <v>5377</v>
      </c>
      <c r="D94" s="11"/>
      <c r="E94" s="11" t="s">
        <v>17161</v>
      </c>
      <c r="F94" s="11"/>
      <c r="G94" s="12">
        <v>16803</v>
      </c>
      <c r="H94" s="12">
        <v>16803</v>
      </c>
      <c r="I94" s="11"/>
      <c r="J94" s="11" t="s">
        <v>45</v>
      </c>
      <c r="K94" s="11" t="s">
        <v>30</v>
      </c>
      <c r="L94" s="11" t="s">
        <v>17910</v>
      </c>
    </row>
    <row r="95" spans="1:12" ht="13.15" x14ac:dyDescent="0.4">
      <c r="A95" s="11" t="s">
        <v>17567</v>
      </c>
      <c r="B95" s="11"/>
      <c r="C95" s="11" t="s">
        <v>5377</v>
      </c>
      <c r="D95" s="11"/>
      <c r="E95" s="11"/>
      <c r="F95" s="11"/>
      <c r="G95" s="12">
        <v>16803</v>
      </c>
      <c r="H95" s="12">
        <v>16803</v>
      </c>
      <c r="I95" s="11"/>
      <c r="J95" s="11" t="s">
        <v>45</v>
      </c>
      <c r="K95" s="11" t="s">
        <v>30</v>
      </c>
      <c r="L95" s="11" t="s">
        <v>17809</v>
      </c>
    </row>
    <row r="96" spans="1:12" ht="13.15" x14ac:dyDescent="0.4">
      <c r="A96" s="11" t="s">
        <v>17575</v>
      </c>
      <c r="B96" s="11"/>
      <c r="C96" s="11" t="s">
        <v>5377</v>
      </c>
      <c r="D96" s="11"/>
      <c r="E96" s="11"/>
      <c r="F96" s="11"/>
      <c r="G96" s="12">
        <v>16803</v>
      </c>
      <c r="H96" s="12">
        <v>16803</v>
      </c>
      <c r="I96" s="11"/>
      <c r="J96" s="11" t="s">
        <v>45</v>
      </c>
      <c r="K96" s="11" t="s">
        <v>30</v>
      </c>
      <c r="L96" s="11" t="s">
        <v>17801</v>
      </c>
    </row>
    <row r="97" spans="1:12" ht="13.15" x14ac:dyDescent="0.4">
      <c r="A97" s="11" t="s">
        <v>17649</v>
      </c>
      <c r="B97" s="11"/>
      <c r="C97" s="11" t="s">
        <v>5377</v>
      </c>
      <c r="D97" s="11"/>
      <c r="E97" s="11"/>
      <c r="F97" s="11"/>
      <c r="G97" s="12">
        <v>16803</v>
      </c>
      <c r="H97" s="12">
        <v>16803</v>
      </c>
      <c r="I97" s="11"/>
      <c r="J97" s="11" t="s">
        <v>45</v>
      </c>
      <c r="K97" s="11" t="s">
        <v>30</v>
      </c>
      <c r="L97" s="11" t="s">
        <v>17723</v>
      </c>
    </row>
    <row r="98" spans="1:12" ht="13.15" x14ac:dyDescent="0.4">
      <c r="A98" s="11" t="s">
        <v>17286</v>
      </c>
      <c r="B98" s="11"/>
      <c r="C98" s="11" t="s">
        <v>5377</v>
      </c>
      <c r="D98" s="11"/>
      <c r="E98" s="11"/>
      <c r="F98" s="11"/>
      <c r="G98" s="12">
        <v>16803</v>
      </c>
      <c r="H98" s="12">
        <v>16803</v>
      </c>
      <c r="I98" s="11"/>
      <c r="J98" s="11" t="s">
        <v>45</v>
      </c>
      <c r="K98" s="11" t="s">
        <v>30</v>
      </c>
      <c r="L98" s="11" t="s">
        <v>18098</v>
      </c>
    </row>
    <row r="99" spans="1:12" ht="13.15" x14ac:dyDescent="0.4">
      <c r="A99" s="11" t="s">
        <v>17337</v>
      </c>
      <c r="B99" s="11"/>
      <c r="C99" s="11" t="s">
        <v>5377</v>
      </c>
      <c r="D99" s="11"/>
      <c r="E99" s="11"/>
      <c r="F99" s="11"/>
      <c r="G99" s="12">
        <v>16803</v>
      </c>
      <c r="H99" s="12">
        <v>16803</v>
      </c>
      <c r="I99" s="11"/>
      <c r="J99" s="11" t="s">
        <v>45</v>
      </c>
      <c r="K99" s="11" t="s">
        <v>30</v>
      </c>
      <c r="L99" s="11" t="s">
        <v>18043</v>
      </c>
    </row>
    <row r="100" spans="1:12" ht="13.15" x14ac:dyDescent="0.4">
      <c r="A100" s="11" t="s">
        <v>17303</v>
      </c>
      <c r="B100" s="11"/>
      <c r="C100" s="11" t="s">
        <v>5377</v>
      </c>
      <c r="D100" s="11"/>
      <c r="E100" s="11"/>
      <c r="F100" s="11"/>
      <c r="G100" s="12">
        <v>16803</v>
      </c>
      <c r="H100" s="12">
        <v>16803</v>
      </c>
      <c r="I100" s="11"/>
      <c r="J100" s="11" t="s">
        <v>45</v>
      </c>
      <c r="K100" s="11" t="s">
        <v>30</v>
      </c>
      <c r="L100" s="11" t="s">
        <v>18081</v>
      </c>
    </row>
    <row r="101" spans="1:12" ht="13.15" x14ac:dyDescent="0.4">
      <c r="A101" s="11" t="s">
        <v>17438</v>
      </c>
      <c r="B101" s="11"/>
      <c r="C101" s="11" t="s">
        <v>5377</v>
      </c>
      <c r="D101" s="11"/>
      <c r="E101" s="11"/>
      <c r="F101" s="11"/>
      <c r="G101" s="12">
        <v>16803</v>
      </c>
      <c r="H101" s="12">
        <v>16803</v>
      </c>
      <c r="I101" s="11"/>
      <c r="J101" s="11" t="s">
        <v>45</v>
      </c>
      <c r="K101" s="11" t="s">
        <v>30</v>
      </c>
      <c r="L101" s="11" t="s">
        <v>17936</v>
      </c>
    </row>
    <row r="102" spans="1:12" ht="13.15" x14ac:dyDescent="0.4">
      <c r="A102" s="11" t="s">
        <v>17430</v>
      </c>
      <c r="B102" s="11"/>
      <c r="C102" s="11" t="s">
        <v>5377</v>
      </c>
      <c r="D102" s="11"/>
      <c r="E102" s="11"/>
      <c r="F102" s="11"/>
      <c r="G102" s="12">
        <v>16803</v>
      </c>
      <c r="H102" s="12">
        <v>16803</v>
      </c>
      <c r="I102" s="11"/>
      <c r="J102" s="11" t="s">
        <v>45</v>
      </c>
      <c r="K102" s="11" t="s">
        <v>30</v>
      </c>
      <c r="L102" s="11" t="s">
        <v>17945</v>
      </c>
    </row>
    <row r="103" spans="1:12" ht="13.15" x14ac:dyDescent="0.4">
      <c r="A103" s="11" t="s">
        <v>17376</v>
      </c>
      <c r="B103" s="11"/>
      <c r="C103" s="11" t="s">
        <v>5377</v>
      </c>
      <c r="D103" s="11"/>
      <c r="E103" s="11"/>
      <c r="F103" s="11"/>
      <c r="G103" s="12">
        <v>16803</v>
      </c>
      <c r="H103" s="12">
        <v>16803</v>
      </c>
      <c r="I103" s="11"/>
      <c r="J103" s="11" t="s">
        <v>45</v>
      </c>
      <c r="K103" s="11" t="s">
        <v>30</v>
      </c>
      <c r="L103" s="11" t="s">
        <v>18001</v>
      </c>
    </row>
    <row r="104" spans="1:12" ht="13.15" x14ac:dyDescent="0.4">
      <c r="A104" s="11" t="s">
        <v>17399</v>
      </c>
      <c r="B104" s="11"/>
      <c r="C104" s="11" t="s">
        <v>5377</v>
      </c>
      <c r="D104" s="11"/>
      <c r="E104" s="11"/>
      <c r="F104" s="11"/>
      <c r="G104" s="12">
        <v>16803</v>
      </c>
      <c r="H104" s="12">
        <v>16803</v>
      </c>
      <c r="I104" s="11"/>
      <c r="J104" s="11" t="s">
        <v>45</v>
      </c>
      <c r="K104" s="11" t="s">
        <v>30</v>
      </c>
      <c r="L104" s="11" t="s">
        <v>17977</v>
      </c>
    </row>
    <row r="105" spans="1:12" ht="13.15" x14ac:dyDescent="0.4">
      <c r="A105" s="11" t="s">
        <v>17462</v>
      </c>
      <c r="B105" s="11"/>
      <c r="C105" s="11" t="s">
        <v>5377</v>
      </c>
      <c r="D105" s="11"/>
      <c r="E105" s="11"/>
      <c r="F105" s="11"/>
      <c r="G105" s="12">
        <v>16803</v>
      </c>
      <c r="H105" s="12">
        <v>16803</v>
      </c>
      <c r="I105" s="11"/>
      <c r="J105" s="11" t="s">
        <v>45</v>
      </c>
      <c r="K105" s="11" t="s">
        <v>30</v>
      </c>
      <c r="L105" s="11" t="s">
        <v>17915</v>
      </c>
    </row>
    <row r="106" spans="1:12" ht="13.15" x14ac:dyDescent="0.4">
      <c r="A106" s="11" t="s">
        <v>17505</v>
      </c>
      <c r="B106" s="11"/>
      <c r="C106" s="11" t="s">
        <v>5377</v>
      </c>
      <c r="D106" s="11"/>
      <c r="E106" s="11"/>
      <c r="F106" s="11"/>
      <c r="G106" s="12">
        <v>16803</v>
      </c>
      <c r="H106" s="12">
        <v>16803</v>
      </c>
      <c r="I106" s="11"/>
      <c r="J106" s="11" t="s">
        <v>45</v>
      </c>
      <c r="K106" s="11" t="s">
        <v>30</v>
      </c>
      <c r="L106" s="11" t="s">
        <v>17873</v>
      </c>
    </row>
    <row r="107" spans="1:12" ht="13.15" x14ac:dyDescent="0.4">
      <c r="A107" s="11" t="s">
        <v>17275</v>
      </c>
      <c r="B107" s="11"/>
      <c r="C107" s="11" t="s">
        <v>5377</v>
      </c>
      <c r="D107" s="11"/>
      <c r="E107" s="11"/>
      <c r="F107" s="11"/>
      <c r="G107" s="12">
        <v>16803</v>
      </c>
      <c r="H107" s="12">
        <v>16803</v>
      </c>
      <c r="I107" s="11"/>
      <c r="J107" s="11" t="s">
        <v>45</v>
      </c>
      <c r="K107" s="11" t="s">
        <v>30</v>
      </c>
      <c r="L107" s="11" t="s">
        <v>18110</v>
      </c>
    </row>
    <row r="108" spans="1:12" ht="13.15" x14ac:dyDescent="0.4">
      <c r="A108" s="11" t="s">
        <v>17275</v>
      </c>
      <c r="B108" s="11"/>
      <c r="C108" s="11" t="s">
        <v>5377</v>
      </c>
      <c r="D108" s="11"/>
      <c r="E108" s="11"/>
      <c r="F108" s="11"/>
      <c r="G108" s="12">
        <v>16803</v>
      </c>
      <c r="H108" s="12">
        <v>16803</v>
      </c>
      <c r="I108" s="11"/>
      <c r="J108" s="11" t="s">
        <v>45</v>
      </c>
      <c r="K108" s="11" t="s">
        <v>30</v>
      </c>
      <c r="L108" s="11" t="s">
        <v>18034</v>
      </c>
    </row>
    <row r="109" spans="1:12" ht="13.15" x14ac:dyDescent="0.4">
      <c r="A109" s="11" t="s">
        <v>17374</v>
      </c>
      <c r="B109" s="11"/>
      <c r="C109" s="11" t="s">
        <v>5377</v>
      </c>
      <c r="D109" s="11"/>
      <c r="E109" s="11"/>
      <c r="F109" s="11"/>
      <c r="G109" s="12">
        <v>16803</v>
      </c>
      <c r="H109" s="12">
        <v>16803</v>
      </c>
      <c r="I109" s="11"/>
      <c r="J109" s="11" t="s">
        <v>45</v>
      </c>
      <c r="K109" s="11" t="s">
        <v>30</v>
      </c>
      <c r="L109" s="11" t="s">
        <v>18003</v>
      </c>
    </row>
    <row r="110" spans="1:12" ht="13.15" x14ac:dyDescent="0.4">
      <c r="A110" s="11" t="s">
        <v>17533</v>
      </c>
      <c r="B110" s="11"/>
      <c r="C110" s="11" t="s">
        <v>5377</v>
      </c>
      <c r="D110" s="11"/>
      <c r="E110" s="11" t="s">
        <v>17161</v>
      </c>
      <c r="F110" s="11"/>
      <c r="G110" s="12">
        <v>16803</v>
      </c>
      <c r="H110" s="12">
        <v>16803</v>
      </c>
      <c r="I110" s="11"/>
      <c r="J110" s="11" t="s">
        <v>45</v>
      </c>
      <c r="K110" s="11" t="s">
        <v>30</v>
      </c>
      <c r="L110" s="11" t="s">
        <v>17842</v>
      </c>
    </row>
    <row r="111" spans="1:12" ht="13.15" x14ac:dyDescent="0.4">
      <c r="A111" s="11" t="s">
        <v>17311</v>
      </c>
      <c r="B111" s="11"/>
      <c r="C111" s="11" t="s">
        <v>5377</v>
      </c>
      <c r="D111" s="11"/>
      <c r="E111" s="11"/>
      <c r="F111" s="11"/>
      <c r="G111" s="12">
        <v>16803</v>
      </c>
      <c r="H111" s="12">
        <v>16803</v>
      </c>
      <c r="I111" s="11"/>
      <c r="J111" s="11" t="s">
        <v>45</v>
      </c>
      <c r="K111" s="11" t="s">
        <v>30</v>
      </c>
      <c r="L111" s="11" t="s">
        <v>18072</v>
      </c>
    </row>
    <row r="112" spans="1:12" ht="13.15" x14ac:dyDescent="0.4">
      <c r="A112" s="11" t="s">
        <v>17311</v>
      </c>
      <c r="B112" s="11"/>
      <c r="C112" s="11" t="s">
        <v>5377</v>
      </c>
      <c r="D112" s="11"/>
      <c r="E112" s="11"/>
      <c r="F112" s="11"/>
      <c r="G112" s="12">
        <v>16803</v>
      </c>
      <c r="H112" s="12">
        <v>16803</v>
      </c>
      <c r="I112" s="11"/>
      <c r="J112" s="11" t="s">
        <v>45</v>
      </c>
      <c r="K112" s="11" t="s">
        <v>30</v>
      </c>
      <c r="L112" s="11" t="s">
        <v>18046</v>
      </c>
    </row>
    <row r="113" spans="1:12" ht="13.15" x14ac:dyDescent="0.4">
      <c r="A113" s="11" t="s">
        <v>17311</v>
      </c>
      <c r="B113" s="11"/>
      <c r="C113" s="11" t="s">
        <v>5377</v>
      </c>
      <c r="D113" s="11"/>
      <c r="E113" s="11"/>
      <c r="F113" s="11" t="s">
        <v>5400</v>
      </c>
      <c r="G113" s="12">
        <v>16803</v>
      </c>
      <c r="H113" s="12">
        <v>16803</v>
      </c>
      <c r="I113" s="11"/>
      <c r="J113" s="11" t="s">
        <v>45</v>
      </c>
      <c r="K113" s="11" t="s">
        <v>30</v>
      </c>
      <c r="L113" s="11" t="s">
        <v>17999</v>
      </c>
    </row>
    <row r="114" spans="1:12" ht="13.15" x14ac:dyDescent="0.4">
      <c r="A114" s="11" t="s">
        <v>17624</v>
      </c>
      <c r="B114" s="11"/>
      <c r="C114" s="11" t="s">
        <v>5377</v>
      </c>
      <c r="D114" s="11"/>
      <c r="E114" s="11"/>
      <c r="F114" s="11"/>
      <c r="G114" s="12">
        <v>16803</v>
      </c>
      <c r="H114" s="12">
        <v>16803</v>
      </c>
      <c r="I114" s="11"/>
      <c r="J114" s="11" t="s">
        <v>45</v>
      </c>
      <c r="K114" s="11" t="s">
        <v>30</v>
      </c>
      <c r="L114" s="11" t="s">
        <v>17753</v>
      </c>
    </row>
    <row r="115" spans="1:12" ht="13.15" x14ac:dyDescent="0.4">
      <c r="A115" s="11" t="s">
        <v>17647</v>
      </c>
      <c r="B115" s="11"/>
      <c r="C115" s="11" t="s">
        <v>5377</v>
      </c>
      <c r="D115" s="11"/>
      <c r="E115" s="11"/>
      <c r="F115" s="11"/>
      <c r="G115" s="12">
        <v>16803</v>
      </c>
      <c r="H115" s="12">
        <v>16803</v>
      </c>
      <c r="I115" s="11"/>
      <c r="J115" s="11" t="s">
        <v>45</v>
      </c>
      <c r="K115" s="11" t="s">
        <v>30</v>
      </c>
      <c r="L115" s="11" t="s">
        <v>17726</v>
      </c>
    </row>
    <row r="116" spans="1:12" ht="13.15" x14ac:dyDescent="0.4">
      <c r="A116" s="11" t="s">
        <v>17648</v>
      </c>
      <c r="B116" s="11"/>
      <c r="C116" s="11" t="s">
        <v>5377</v>
      </c>
      <c r="D116" s="11"/>
      <c r="E116" s="11"/>
      <c r="F116" s="11"/>
      <c r="G116" s="12">
        <v>16803</v>
      </c>
      <c r="H116" s="12">
        <v>16803</v>
      </c>
      <c r="I116" s="11"/>
      <c r="J116" s="11" t="s">
        <v>45</v>
      </c>
      <c r="K116" s="11" t="s">
        <v>30</v>
      </c>
      <c r="L116" s="11" t="s">
        <v>17724</v>
      </c>
    </row>
    <row r="117" spans="1:12" ht="13.15" x14ac:dyDescent="0.4">
      <c r="A117" s="11" t="s">
        <v>17579</v>
      </c>
      <c r="B117" s="11"/>
      <c r="C117" s="11" t="s">
        <v>5377</v>
      </c>
      <c r="D117" s="11"/>
      <c r="E117" s="11"/>
      <c r="F117" s="11"/>
      <c r="G117" s="12">
        <v>16803</v>
      </c>
      <c r="H117" s="12">
        <v>16803</v>
      </c>
      <c r="I117" s="11"/>
      <c r="J117" s="11" t="s">
        <v>45</v>
      </c>
      <c r="K117" s="11" t="s">
        <v>30</v>
      </c>
      <c r="L117" s="11" t="s">
        <v>17796</v>
      </c>
    </row>
    <row r="118" spans="1:12" ht="13.15" x14ac:dyDescent="0.4">
      <c r="A118" s="11" t="s">
        <v>17579</v>
      </c>
      <c r="B118" s="11"/>
      <c r="C118" s="11" t="s">
        <v>5377</v>
      </c>
      <c r="D118" s="11"/>
      <c r="E118" s="11"/>
      <c r="F118" s="11"/>
      <c r="G118" s="12">
        <v>16803</v>
      </c>
      <c r="H118" s="12">
        <v>16803</v>
      </c>
      <c r="I118" s="11"/>
      <c r="J118" s="11" t="s">
        <v>45</v>
      </c>
      <c r="K118" s="11" t="s">
        <v>30</v>
      </c>
      <c r="L118" s="11" t="s">
        <v>17789</v>
      </c>
    </row>
    <row r="119" spans="1:12" ht="13.15" x14ac:dyDescent="0.4">
      <c r="A119" s="11" t="s">
        <v>17579</v>
      </c>
      <c r="B119" s="11"/>
      <c r="C119" s="11" t="s">
        <v>5377</v>
      </c>
      <c r="D119" s="11"/>
      <c r="E119" s="11"/>
      <c r="F119" s="11"/>
      <c r="G119" s="12">
        <v>16803</v>
      </c>
      <c r="H119" s="12">
        <v>16803</v>
      </c>
      <c r="I119" s="11"/>
      <c r="J119" s="11" t="s">
        <v>45</v>
      </c>
      <c r="K119" s="11" t="s">
        <v>30</v>
      </c>
      <c r="L119" s="11" t="s">
        <v>17750</v>
      </c>
    </row>
    <row r="120" spans="1:12" ht="13.15" x14ac:dyDescent="0.4">
      <c r="A120" s="11" t="s">
        <v>17579</v>
      </c>
      <c r="B120" s="11"/>
      <c r="C120" s="11" t="s">
        <v>5377</v>
      </c>
      <c r="D120" s="11"/>
      <c r="E120" s="11"/>
      <c r="F120" s="11"/>
      <c r="G120" s="12">
        <v>16803</v>
      </c>
      <c r="H120" s="12">
        <v>16803</v>
      </c>
      <c r="I120" s="11"/>
      <c r="J120" s="11" t="s">
        <v>45</v>
      </c>
      <c r="K120" s="11" t="s">
        <v>30</v>
      </c>
      <c r="L120" s="11" t="s">
        <v>17727</v>
      </c>
    </row>
    <row r="121" spans="1:12" ht="13.15" x14ac:dyDescent="0.4">
      <c r="A121" s="11" t="s">
        <v>17579</v>
      </c>
      <c r="B121" s="11"/>
      <c r="C121" s="11" t="s">
        <v>5377</v>
      </c>
      <c r="D121" s="11"/>
      <c r="E121" s="11"/>
      <c r="F121" s="11"/>
      <c r="G121" s="12">
        <v>16803</v>
      </c>
      <c r="H121" s="12">
        <v>16803</v>
      </c>
      <c r="I121" s="11"/>
      <c r="J121" s="11" t="s">
        <v>45</v>
      </c>
      <c r="K121" s="11" t="s">
        <v>30</v>
      </c>
      <c r="L121" s="11" t="s">
        <v>17725</v>
      </c>
    </row>
    <row r="122" spans="1:12" ht="13.15" x14ac:dyDescent="0.4">
      <c r="A122" s="11" t="s">
        <v>17572</v>
      </c>
      <c r="B122" s="11"/>
      <c r="C122" s="11" t="s">
        <v>5377</v>
      </c>
      <c r="D122" s="11"/>
      <c r="E122" s="11"/>
      <c r="F122" s="11"/>
      <c r="G122" s="12">
        <v>16803</v>
      </c>
      <c r="H122" s="12">
        <v>16803</v>
      </c>
      <c r="I122" s="11"/>
      <c r="J122" s="11" t="s">
        <v>45</v>
      </c>
      <c r="K122" s="11" t="s">
        <v>30</v>
      </c>
      <c r="L122" s="11" t="s">
        <v>17804</v>
      </c>
    </row>
    <row r="123" spans="1:12" ht="13.15" x14ac:dyDescent="0.4">
      <c r="A123" s="11" t="s">
        <v>17576</v>
      </c>
      <c r="B123" s="11"/>
      <c r="C123" s="11" t="s">
        <v>5377</v>
      </c>
      <c r="D123" s="11"/>
      <c r="E123" s="11"/>
      <c r="F123" s="11"/>
      <c r="G123" s="12">
        <v>16803</v>
      </c>
      <c r="H123" s="12">
        <v>16803</v>
      </c>
      <c r="I123" s="11"/>
      <c r="J123" s="11" t="s">
        <v>45</v>
      </c>
      <c r="K123" s="11" t="s">
        <v>30</v>
      </c>
      <c r="L123" s="11" t="s">
        <v>17799</v>
      </c>
    </row>
    <row r="124" spans="1:12" ht="13.15" x14ac:dyDescent="0.4">
      <c r="A124" s="11" t="s">
        <v>17650</v>
      </c>
      <c r="B124" s="11"/>
      <c r="C124" s="11" t="s">
        <v>5377</v>
      </c>
      <c r="D124" s="11"/>
      <c r="E124" s="11"/>
      <c r="F124" s="11"/>
      <c r="G124" s="12">
        <v>16803</v>
      </c>
      <c r="H124" s="12">
        <v>16803</v>
      </c>
      <c r="I124" s="11"/>
      <c r="J124" s="11" t="s">
        <v>45</v>
      </c>
      <c r="K124" s="11" t="s">
        <v>30</v>
      </c>
      <c r="L124" s="11" t="s">
        <v>17722</v>
      </c>
    </row>
    <row r="125" spans="1:12" ht="13.15" x14ac:dyDescent="0.4">
      <c r="A125" s="11" t="s">
        <v>17524</v>
      </c>
      <c r="B125" s="11"/>
      <c r="C125" s="11" t="s">
        <v>5377</v>
      </c>
      <c r="D125" s="11"/>
      <c r="E125" s="11"/>
      <c r="F125" s="11"/>
      <c r="G125" s="12">
        <v>16803</v>
      </c>
      <c r="H125" s="12">
        <v>16803</v>
      </c>
      <c r="I125" s="11"/>
      <c r="J125" s="11" t="s">
        <v>45</v>
      </c>
      <c r="K125" s="11" t="s">
        <v>30</v>
      </c>
      <c r="L125" s="11" t="s">
        <v>17852</v>
      </c>
    </row>
    <row r="126" spans="1:12" ht="13.15" x14ac:dyDescent="0.4">
      <c r="A126" s="11" t="s">
        <v>17628</v>
      </c>
      <c r="B126" s="11"/>
      <c r="C126" s="11" t="s">
        <v>5377</v>
      </c>
      <c r="D126" s="11"/>
      <c r="E126" s="11"/>
      <c r="F126" s="11"/>
      <c r="G126" s="12">
        <v>16803</v>
      </c>
      <c r="H126" s="12">
        <v>16803</v>
      </c>
      <c r="I126" s="11"/>
      <c r="J126" s="11" t="s">
        <v>45</v>
      </c>
      <c r="K126" s="11" t="s">
        <v>30</v>
      </c>
      <c r="L126" s="11" t="s">
        <v>17749</v>
      </c>
    </row>
    <row r="127" spans="1:12" ht="13.15" x14ac:dyDescent="0.4">
      <c r="A127" s="11" t="s">
        <v>17267</v>
      </c>
      <c r="B127" s="11"/>
      <c r="C127" s="11" t="s">
        <v>5377</v>
      </c>
      <c r="D127" s="11"/>
      <c r="E127" s="11"/>
      <c r="F127" s="11"/>
      <c r="G127" s="12">
        <v>16803</v>
      </c>
      <c r="H127" s="12">
        <v>16803</v>
      </c>
      <c r="I127" s="11"/>
      <c r="J127" s="11" t="s">
        <v>45</v>
      </c>
      <c r="K127" s="11" t="s">
        <v>30</v>
      </c>
      <c r="L127" s="11" t="s">
        <v>18118</v>
      </c>
    </row>
    <row r="128" spans="1:12" ht="13.15" x14ac:dyDescent="0.4">
      <c r="A128" s="11" t="s">
        <v>17553</v>
      </c>
      <c r="B128" s="11"/>
      <c r="C128" s="11" t="s">
        <v>5377</v>
      </c>
      <c r="D128" s="11"/>
      <c r="E128" s="11"/>
      <c r="F128" s="11"/>
      <c r="G128" s="12">
        <v>16803</v>
      </c>
      <c r="H128" s="12">
        <v>16803</v>
      </c>
      <c r="I128" s="11"/>
      <c r="J128" s="11" t="s">
        <v>45</v>
      </c>
      <c r="K128" s="11" t="s">
        <v>30</v>
      </c>
      <c r="L128" s="11" t="s">
        <v>17824</v>
      </c>
    </row>
    <row r="129" spans="1:12" ht="13.15" x14ac:dyDescent="0.4">
      <c r="A129" s="11" t="s">
        <v>17538</v>
      </c>
      <c r="B129" s="11"/>
      <c r="C129" s="11" t="s">
        <v>5377</v>
      </c>
      <c r="D129" s="11"/>
      <c r="E129" s="11"/>
      <c r="F129" s="11"/>
      <c r="G129" s="12">
        <v>16803</v>
      </c>
      <c r="H129" s="12">
        <v>16803</v>
      </c>
      <c r="I129" s="11"/>
      <c r="J129" s="11" t="s">
        <v>45</v>
      </c>
      <c r="K129" s="11" t="s">
        <v>30</v>
      </c>
      <c r="L129" s="11" t="s">
        <v>17837</v>
      </c>
    </row>
    <row r="130" spans="1:12" ht="13.15" x14ac:dyDescent="0.4">
      <c r="A130" s="11" t="s">
        <v>17591</v>
      </c>
      <c r="B130" s="11"/>
      <c r="C130" s="11" t="s">
        <v>5377</v>
      </c>
      <c r="D130" s="11"/>
      <c r="E130" s="11"/>
      <c r="F130" s="11"/>
      <c r="G130" s="12">
        <v>16803</v>
      </c>
      <c r="H130" s="12">
        <v>16803</v>
      </c>
      <c r="I130" s="11"/>
      <c r="J130" s="11" t="s">
        <v>45</v>
      </c>
      <c r="K130" s="11" t="s">
        <v>30</v>
      </c>
      <c r="L130" s="11" t="s">
        <v>17783</v>
      </c>
    </row>
    <row r="131" spans="1:12" ht="13.15" x14ac:dyDescent="0.4">
      <c r="A131" s="11" t="s">
        <v>17608</v>
      </c>
      <c r="B131" s="11"/>
      <c r="C131" s="11" t="s">
        <v>5377</v>
      </c>
      <c r="D131" s="11"/>
      <c r="E131" s="11" t="s">
        <v>17609</v>
      </c>
      <c r="F131" s="11"/>
      <c r="G131" s="12">
        <v>16803</v>
      </c>
      <c r="H131" s="12">
        <v>16803</v>
      </c>
      <c r="I131" s="11"/>
      <c r="J131" s="11" t="s">
        <v>45</v>
      </c>
      <c r="K131" s="11" t="s">
        <v>30</v>
      </c>
      <c r="L131" s="11" t="s">
        <v>17765</v>
      </c>
    </row>
    <row r="132" spans="1:12" ht="13.15" x14ac:dyDescent="0.4">
      <c r="A132" s="11" t="s">
        <v>17644</v>
      </c>
      <c r="B132" s="11"/>
      <c r="C132" s="11" t="s">
        <v>5377</v>
      </c>
      <c r="D132" s="11"/>
      <c r="E132" s="11"/>
      <c r="F132" s="11"/>
      <c r="G132" s="12">
        <v>16803</v>
      </c>
      <c r="H132" s="12">
        <v>16803</v>
      </c>
      <c r="I132" s="11"/>
      <c r="J132" s="11" t="s">
        <v>45</v>
      </c>
      <c r="K132" s="11" t="s">
        <v>30</v>
      </c>
      <c r="L132" s="11" t="s">
        <v>17730</v>
      </c>
    </row>
    <row r="133" spans="1:12" ht="13.15" x14ac:dyDescent="0.4">
      <c r="A133" s="11" t="s">
        <v>17353</v>
      </c>
      <c r="B133" s="11"/>
      <c r="C133" s="11" t="s">
        <v>5377</v>
      </c>
      <c r="D133" s="11"/>
      <c r="E133" s="11"/>
      <c r="F133" s="11"/>
      <c r="G133" s="12">
        <v>16803</v>
      </c>
      <c r="H133" s="12">
        <v>16803</v>
      </c>
      <c r="I133" s="11"/>
      <c r="J133" s="11" t="s">
        <v>45</v>
      </c>
      <c r="K133" s="11" t="s">
        <v>30</v>
      </c>
      <c r="L133" s="11" t="s">
        <v>18024</v>
      </c>
    </row>
    <row r="134" spans="1:12" ht="13.15" x14ac:dyDescent="0.4">
      <c r="A134" s="11" t="s">
        <v>17406</v>
      </c>
      <c r="B134" s="11"/>
      <c r="C134" s="11" t="s">
        <v>5377</v>
      </c>
      <c r="D134" s="11"/>
      <c r="E134" s="11"/>
      <c r="F134" s="11"/>
      <c r="G134" s="12">
        <v>16803</v>
      </c>
      <c r="H134" s="12">
        <v>16803</v>
      </c>
      <c r="I134" s="11"/>
      <c r="J134" s="11" t="s">
        <v>45</v>
      </c>
      <c r="K134" s="11" t="s">
        <v>30</v>
      </c>
      <c r="L134" s="11" t="s">
        <v>17969</v>
      </c>
    </row>
    <row r="135" spans="1:12" ht="13.15" x14ac:dyDescent="0.4">
      <c r="A135" s="11" t="s">
        <v>17472</v>
      </c>
      <c r="B135" s="11"/>
      <c r="C135" s="11" t="s">
        <v>5377</v>
      </c>
      <c r="D135" s="11"/>
      <c r="E135" s="11" t="s">
        <v>17161</v>
      </c>
      <c r="F135" s="11"/>
      <c r="G135" s="12">
        <v>16803</v>
      </c>
      <c r="H135" s="12">
        <v>16803</v>
      </c>
      <c r="I135" s="11"/>
      <c r="J135" s="11" t="s">
        <v>45</v>
      </c>
      <c r="K135" s="11" t="s">
        <v>30</v>
      </c>
      <c r="L135" s="11" t="s">
        <v>17905</v>
      </c>
    </row>
    <row r="136" spans="1:12" ht="13.15" x14ac:dyDescent="0.4">
      <c r="A136" s="11" t="s">
        <v>17396</v>
      </c>
      <c r="B136" s="11"/>
      <c r="C136" s="11" t="s">
        <v>5377</v>
      </c>
      <c r="D136" s="11"/>
      <c r="E136" s="11"/>
      <c r="F136" s="11"/>
      <c r="G136" s="12">
        <v>16803</v>
      </c>
      <c r="H136" s="12">
        <v>16803</v>
      </c>
      <c r="I136" s="11"/>
      <c r="J136" s="11" t="s">
        <v>45</v>
      </c>
      <c r="K136" s="11" t="s">
        <v>30</v>
      </c>
      <c r="L136" s="11" t="s">
        <v>17981</v>
      </c>
    </row>
    <row r="137" spans="1:12" ht="13.15" x14ac:dyDescent="0.4">
      <c r="A137" s="11" t="s">
        <v>17519</v>
      </c>
      <c r="B137" s="11"/>
      <c r="C137" s="11" t="s">
        <v>5377</v>
      </c>
      <c r="D137" s="11"/>
      <c r="E137" s="11" t="s">
        <v>17161</v>
      </c>
      <c r="F137" s="11"/>
      <c r="G137" s="12">
        <v>16803</v>
      </c>
      <c r="H137" s="12">
        <v>16803</v>
      </c>
      <c r="I137" s="11"/>
      <c r="J137" s="11" t="s">
        <v>45</v>
      </c>
      <c r="K137" s="11" t="s">
        <v>30</v>
      </c>
      <c r="L137" s="11" t="s">
        <v>17858</v>
      </c>
    </row>
    <row r="138" spans="1:12" ht="13.15" x14ac:dyDescent="0.4">
      <c r="A138" s="11" t="s">
        <v>17396</v>
      </c>
      <c r="B138" s="11"/>
      <c r="C138" s="11" t="s">
        <v>5377</v>
      </c>
      <c r="D138" s="11"/>
      <c r="E138" s="11" t="s">
        <v>17161</v>
      </c>
      <c r="F138" s="11"/>
      <c r="G138" s="12">
        <v>16803</v>
      </c>
      <c r="H138" s="12">
        <v>16803</v>
      </c>
      <c r="I138" s="11"/>
      <c r="J138" s="11" t="s">
        <v>45</v>
      </c>
      <c r="K138" s="11" t="s">
        <v>30</v>
      </c>
      <c r="L138" s="11" t="s">
        <v>17851</v>
      </c>
    </row>
    <row r="139" spans="1:12" ht="13.15" x14ac:dyDescent="0.4">
      <c r="A139" s="11" t="s">
        <v>17448</v>
      </c>
      <c r="B139" s="11"/>
      <c r="C139" s="11" t="s">
        <v>5377</v>
      </c>
      <c r="D139" s="11"/>
      <c r="E139" s="11"/>
      <c r="F139" s="11"/>
      <c r="G139" s="12">
        <v>16803</v>
      </c>
      <c r="H139" s="12">
        <v>16803</v>
      </c>
      <c r="I139" s="11"/>
      <c r="J139" s="11" t="s">
        <v>45</v>
      </c>
      <c r="K139" s="11" t="s">
        <v>30</v>
      </c>
      <c r="L139" s="11" t="s">
        <v>17927</v>
      </c>
    </row>
    <row r="140" spans="1:12" ht="13.15" x14ac:dyDescent="0.4">
      <c r="A140" s="11" t="s">
        <v>17385</v>
      </c>
      <c r="B140" s="11"/>
      <c r="C140" s="11" t="s">
        <v>5377</v>
      </c>
      <c r="D140" s="11"/>
      <c r="E140" s="11"/>
      <c r="F140" s="11"/>
      <c r="G140" s="12">
        <v>16803</v>
      </c>
      <c r="H140" s="12">
        <v>16803</v>
      </c>
      <c r="I140" s="11"/>
      <c r="J140" s="11" t="s">
        <v>45</v>
      </c>
      <c r="K140" s="11" t="s">
        <v>30</v>
      </c>
      <c r="L140" s="11" t="s">
        <v>17992</v>
      </c>
    </row>
    <row r="141" spans="1:12" ht="13.15" x14ac:dyDescent="0.4">
      <c r="A141" s="11" t="s">
        <v>17449</v>
      </c>
      <c r="B141" s="11"/>
      <c r="C141" s="11" t="s">
        <v>5377</v>
      </c>
      <c r="D141" s="11"/>
      <c r="E141" s="11"/>
      <c r="F141" s="11"/>
      <c r="G141" s="12">
        <v>16803</v>
      </c>
      <c r="H141" s="12">
        <v>16803</v>
      </c>
      <c r="I141" s="11"/>
      <c r="J141" s="11" t="s">
        <v>45</v>
      </c>
      <c r="K141" s="11" t="s">
        <v>30</v>
      </c>
      <c r="L141" s="11" t="s">
        <v>17926</v>
      </c>
    </row>
    <row r="142" spans="1:12" ht="13.15" x14ac:dyDescent="0.4">
      <c r="A142" s="11" t="s">
        <v>17557</v>
      </c>
      <c r="B142" s="11"/>
      <c r="C142" s="11" t="s">
        <v>5377</v>
      </c>
      <c r="D142" s="11"/>
      <c r="E142" s="11" t="s">
        <v>17161</v>
      </c>
      <c r="F142" s="11"/>
      <c r="G142" s="12">
        <v>16803</v>
      </c>
      <c r="H142" s="12">
        <v>16803</v>
      </c>
      <c r="I142" s="11"/>
      <c r="J142" s="11" t="s">
        <v>45</v>
      </c>
      <c r="K142" s="11" t="s">
        <v>30</v>
      </c>
      <c r="L142" s="11" t="s">
        <v>17820</v>
      </c>
    </row>
    <row r="143" spans="1:12" ht="13.15" x14ac:dyDescent="0.4">
      <c r="A143" s="11" t="s">
        <v>17348</v>
      </c>
      <c r="B143" s="11"/>
      <c r="C143" s="11" t="s">
        <v>5377</v>
      </c>
      <c r="D143" s="11"/>
      <c r="E143" s="11"/>
      <c r="F143" s="11"/>
      <c r="G143" s="12">
        <v>16803</v>
      </c>
      <c r="H143" s="12">
        <v>16803</v>
      </c>
      <c r="I143" s="11"/>
      <c r="J143" s="11" t="s">
        <v>45</v>
      </c>
      <c r="K143" s="11" t="s">
        <v>30</v>
      </c>
      <c r="L143" s="11" t="s">
        <v>18029</v>
      </c>
    </row>
    <row r="144" spans="1:12" ht="13.15" x14ac:dyDescent="0.4">
      <c r="A144" s="11" t="s">
        <v>17585</v>
      </c>
      <c r="B144" s="11"/>
      <c r="C144" s="11" t="s">
        <v>5377</v>
      </c>
      <c r="D144" s="11"/>
      <c r="E144" s="11"/>
      <c r="F144" s="11"/>
      <c r="G144" s="12">
        <v>16803</v>
      </c>
      <c r="H144" s="12">
        <v>16803</v>
      </c>
      <c r="I144" s="11"/>
      <c r="J144" s="11" t="s">
        <v>45</v>
      </c>
      <c r="K144" s="11" t="s">
        <v>30</v>
      </c>
      <c r="L144" s="11" t="s">
        <v>17790</v>
      </c>
    </row>
    <row r="145" spans="1:12" ht="13.15" x14ac:dyDescent="0.4">
      <c r="A145" s="11" t="s">
        <v>17566</v>
      </c>
      <c r="B145" s="11"/>
      <c r="C145" s="11" t="s">
        <v>5377</v>
      </c>
      <c r="D145" s="11"/>
      <c r="E145" s="11"/>
      <c r="F145" s="11"/>
      <c r="G145" s="12">
        <v>16803</v>
      </c>
      <c r="H145" s="12">
        <v>16803</v>
      </c>
      <c r="I145" s="11"/>
      <c r="J145" s="11" t="s">
        <v>45</v>
      </c>
      <c r="K145" s="11" t="s">
        <v>30</v>
      </c>
      <c r="L145" s="11" t="s">
        <v>17810</v>
      </c>
    </row>
    <row r="146" spans="1:12" ht="13.15" x14ac:dyDescent="0.4">
      <c r="A146" s="11" t="s">
        <v>17325</v>
      </c>
      <c r="B146" s="11"/>
      <c r="C146" s="11" t="s">
        <v>5377</v>
      </c>
      <c r="D146" s="11"/>
      <c r="E146" s="11"/>
      <c r="F146" s="11"/>
      <c r="G146" s="12">
        <v>16803</v>
      </c>
      <c r="H146" s="12">
        <v>16803</v>
      </c>
      <c r="I146" s="11"/>
      <c r="J146" s="11" t="s">
        <v>45</v>
      </c>
      <c r="K146" s="11" t="s">
        <v>30</v>
      </c>
      <c r="L146" s="11" t="s">
        <v>18056</v>
      </c>
    </row>
    <row r="147" spans="1:12" ht="13.15" x14ac:dyDescent="0.4">
      <c r="A147" s="11" t="s">
        <v>17453</v>
      </c>
      <c r="B147" s="11"/>
      <c r="C147" s="11" t="s">
        <v>5377</v>
      </c>
      <c r="D147" s="11"/>
      <c r="E147" s="11"/>
      <c r="F147" s="11"/>
      <c r="G147" s="12">
        <v>16803</v>
      </c>
      <c r="H147" s="12">
        <v>16803</v>
      </c>
      <c r="I147" s="11"/>
      <c r="J147" s="11" t="s">
        <v>45</v>
      </c>
      <c r="K147" s="11" t="s">
        <v>30</v>
      </c>
      <c r="L147" s="11" t="s">
        <v>17922</v>
      </c>
    </row>
    <row r="148" spans="1:12" ht="13.15" x14ac:dyDescent="0.4">
      <c r="A148" s="11" t="s">
        <v>17443</v>
      </c>
      <c r="B148" s="11"/>
      <c r="C148" s="11" t="s">
        <v>5377</v>
      </c>
      <c r="D148" s="11"/>
      <c r="E148" s="11"/>
      <c r="F148" s="11"/>
      <c r="G148" s="12">
        <v>16803</v>
      </c>
      <c r="H148" s="12">
        <v>16803</v>
      </c>
      <c r="I148" s="11"/>
      <c r="J148" s="11" t="s">
        <v>45</v>
      </c>
      <c r="K148" s="11" t="s">
        <v>30</v>
      </c>
      <c r="L148" s="11" t="s">
        <v>17931</v>
      </c>
    </row>
    <row r="149" spans="1:12" ht="13.15" x14ac:dyDescent="0.4">
      <c r="A149" s="11" t="s">
        <v>17442</v>
      </c>
      <c r="B149" s="11"/>
      <c r="C149" s="11" t="s">
        <v>5377</v>
      </c>
      <c r="D149" s="11"/>
      <c r="E149" s="11" t="s">
        <v>17161</v>
      </c>
      <c r="F149" s="11"/>
      <c r="G149" s="12">
        <v>16803</v>
      </c>
      <c r="H149" s="12">
        <v>16803</v>
      </c>
      <c r="I149" s="11"/>
      <c r="J149" s="11" t="s">
        <v>45</v>
      </c>
      <c r="K149" s="11" t="s">
        <v>30</v>
      </c>
      <c r="L149" s="11" t="s">
        <v>17932</v>
      </c>
    </row>
    <row r="150" spans="1:12" ht="13.15" x14ac:dyDescent="0.4">
      <c r="A150" s="11" t="s">
        <v>17597</v>
      </c>
      <c r="B150" s="11"/>
      <c r="C150" s="11" t="s">
        <v>5377</v>
      </c>
      <c r="D150" s="11"/>
      <c r="E150" s="11"/>
      <c r="F150" s="11"/>
      <c r="G150" s="12">
        <v>16803</v>
      </c>
      <c r="H150" s="12">
        <v>16803</v>
      </c>
      <c r="I150" s="11"/>
      <c r="J150" s="11" t="s">
        <v>45</v>
      </c>
      <c r="K150" s="11" t="s">
        <v>30</v>
      </c>
      <c r="L150" s="11" t="s">
        <v>17776</v>
      </c>
    </row>
    <row r="151" spans="1:12" ht="13.15" x14ac:dyDescent="0.4">
      <c r="A151" s="11" t="s">
        <v>17606</v>
      </c>
      <c r="B151" s="11"/>
      <c r="C151" s="11" t="s">
        <v>5377</v>
      </c>
      <c r="D151" s="11"/>
      <c r="E151" s="11"/>
      <c r="F151" s="11"/>
      <c r="G151" s="12">
        <v>16803</v>
      </c>
      <c r="H151" s="12">
        <v>16803</v>
      </c>
      <c r="I151" s="11"/>
      <c r="J151" s="11" t="s">
        <v>45</v>
      </c>
      <c r="K151" s="11" t="s">
        <v>30</v>
      </c>
      <c r="L151" s="11" t="s">
        <v>17767</v>
      </c>
    </row>
    <row r="152" spans="1:12" ht="13.15" x14ac:dyDescent="0.4">
      <c r="A152" s="11" t="s">
        <v>17645</v>
      </c>
      <c r="B152" s="11"/>
      <c r="C152" s="11" t="s">
        <v>5377</v>
      </c>
      <c r="D152" s="11"/>
      <c r="E152" s="11"/>
      <c r="F152" s="11"/>
      <c r="G152" s="12">
        <v>16803</v>
      </c>
      <c r="H152" s="12">
        <v>16803</v>
      </c>
      <c r="I152" s="11"/>
      <c r="J152" s="11" t="s">
        <v>45</v>
      </c>
      <c r="K152" s="11" t="s">
        <v>30</v>
      </c>
      <c r="L152" s="11" t="s">
        <v>17729</v>
      </c>
    </row>
    <row r="153" spans="1:12" ht="13.15" x14ac:dyDescent="0.4">
      <c r="A153" s="11" t="s">
        <v>17531</v>
      </c>
      <c r="B153" s="11"/>
      <c r="C153" s="11" t="s">
        <v>5377</v>
      </c>
      <c r="D153" s="11"/>
      <c r="E153" s="11" t="s">
        <v>17161</v>
      </c>
      <c r="F153" s="11"/>
      <c r="G153" s="12">
        <v>16803</v>
      </c>
      <c r="H153" s="12">
        <v>16803</v>
      </c>
      <c r="I153" s="11"/>
      <c r="J153" s="11" t="s">
        <v>45</v>
      </c>
      <c r="K153" s="11" t="s">
        <v>30</v>
      </c>
      <c r="L153" s="11" t="s">
        <v>17844</v>
      </c>
    </row>
    <row r="154" spans="1:12" ht="13.15" x14ac:dyDescent="0.4">
      <c r="A154" s="11" t="s">
        <v>17349</v>
      </c>
      <c r="B154" s="11"/>
      <c r="C154" s="11" t="s">
        <v>5377</v>
      </c>
      <c r="D154" s="11"/>
      <c r="E154" s="11"/>
      <c r="F154" s="11"/>
      <c r="G154" s="12">
        <v>16803</v>
      </c>
      <c r="H154" s="12">
        <v>16803</v>
      </c>
      <c r="I154" s="11"/>
      <c r="J154" s="11" t="s">
        <v>45</v>
      </c>
      <c r="K154" s="11" t="s">
        <v>30</v>
      </c>
      <c r="L154" s="11" t="s">
        <v>18028</v>
      </c>
    </row>
    <row r="155" spans="1:12" ht="13.15" x14ac:dyDescent="0.4">
      <c r="A155" s="11" t="s">
        <v>17355</v>
      </c>
      <c r="B155" s="11"/>
      <c r="C155" s="11" t="s">
        <v>5377</v>
      </c>
      <c r="D155" s="11"/>
      <c r="E155" s="11"/>
      <c r="F155" s="11"/>
      <c r="G155" s="12">
        <v>16803</v>
      </c>
      <c r="H155" s="12">
        <v>16803</v>
      </c>
      <c r="I155" s="11"/>
      <c r="J155" s="11" t="s">
        <v>45</v>
      </c>
      <c r="K155" s="11" t="s">
        <v>30</v>
      </c>
      <c r="L155" s="11" t="s">
        <v>18022</v>
      </c>
    </row>
    <row r="156" spans="1:12" ht="13.15" x14ac:dyDescent="0.4">
      <c r="A156" s="11" t="s">
        <v>17412</v>
      </c>
      <c r="B156" s="11"/>
      <c r="C156" s="11" t="s">
        <v>5377</v>
      </c>
      <c r="D156" s="11"/>
      <c r="E156" s="11"/>
      <c r="F156" s="11"/>
      <c r="G156" s="12">
        <v>16803</v>
      </c>
      <c r="H156" s="12">
        <v>16803</v>
      </c>
      <c r="I156" s="11"/>
      <c r="J156" s="11" t="s">
        <v>45</v>
      </c>
      <c r="K156" s="11" t="s">
        <v>30</v>
      </c>
      <c r="L156" s="11" t="s">
        <v>17963</v>
      </c>
    </row>
    <row r="157" spans="1:12" ht="13.15" x14ac:dyDescent="0.4">
      <c r="A157" s="11" t="s">
        <v>17278</v>
      </c>
      <c r="B157" s="11"/>
      <c r="C157" s="11" t="s">
        <v>5377</v>
      </c>
      <c r="D157" s="11"/>
      <c r="E157" s="11"/>
      <c r="F157" s="11"/>
      <c r="G157" s="12">
        <v>16803</v>
      </c>
      <c r="H157" s="12">
        <v>16803</v>
      </c>
      <c r="I157" s="11"/>
      <c r="J157" s="11" t="s">
        <v>45</v>
      </c>
      <c r="K157" s="11" t="s">
        <v>30</v>
      </c>
      <c r="L157" s="11" t="s">
        <v>18106</v>
      </c>
    </row>
    <row r="158" spans="1:12" ht="13.15" x14ac:dyDescent="0.4">
      <c r="A158" s="11" t="s">
        <v>17297</v>
      </c>
      <c r="B158" s="11"/>
      <c r="C158" s="11" t="s">
        <v>5377</v>
      </c>
      <c r="D158" s="11"/>
      <c r="E158" s="11"/>
      <c r="F158" s="11"/>
      <c r="G158" s="12">
        <v>16803</v>
      </c>
      <c r="H158" s="12">
        <v>16803</v>
      </c>
      <c r="I158" s="11"/>
      <c r="J158" s="11" t="s">
        <v>45</v>
      </c>
      <c r="K158" s="11" t="s">
        <v>30</v>
      </c>
      <c r="L158" s="11" t="s">
        <v>18087</v>
      </c>
    </row>
    <row r="159" spans="1:12" ht="13.15" x14ac:dyDescent="0.4">
      <c r="A159" s="11" t="s">
        <v>17417</v>
      </c>
      <c r="B159" s="11"/>
      <c r="C159" s="11" t="s">
        <v>5377</v>
      </c>
      <c r="D159" s="11"/>
      <c r="E159" s="11"/>
      <c r="F159" s="11"/>
      <c r="G159" s="12">
        <v>16803</v>
      </c>
      <c r="H159" s="12">
        <v>16803</v>
      </c>
      <c r="I159" s="11"/>
      <c r="J159" s="11" t="s">
        <v>45</v>
      </c>
      <c r="K159" s="11" t="s">
        <v>30</v>
      </c>
      <c r="L159" s="11" t="s">
        <v>17958</v>
      </c>
    </row>
    <row r="160" spans="1:12" ht="13.15" x14ac:dyDescent="0.4">
      <c r="A160" s="11" t="s">
        <v>17071</v>
      </c>
      <c r="B160" s="11"/>
      <c r="C160" s="11" t="s">
        <v>5377</v>
      </c>
      <c r="D160" s="11"/>
      <c r="E160" s="11"/>
      <c r="F160" s="11"/>
      <c r="G160" s="12">
        <v>16803</v>
      </c>
      <c r="H160" s="12">
        <v>16803</v>
      </c>
      <c r="I160" s="11"/>
      <c r="J160" s="11" t="s">
        <v>45</v>
      </c>
      <c r="K160" s="11" t="s">
        <v>30</v>
      </c>
      <c r="L160" s="11" t="s">
        <v>17979</v>
      </c>
    </row>
    <row r="161" spans="1:12" ht="13.15" x14ac:dyDescent="0.4">
      <c r="A161" s="11" t="s">
        <v>17416</v>
      </c>
      <c r="B161" s="11"/>
      <c r="C161" s="11" t="s">
        <v>5377</v>
      </c>
      <c r="D161" s="11"/>
      <c r="E161" s="11"/>
      <c r="F161" s="11"/>
      <c r="G161" s="12">
        <v>16803</v>
      </c>
      <c r="H161" s="12">
        <v>16803</v>
      </c>
      <c r="I161" s="11"/>
      <c r="J161" s="11" t="s">
        <v>45</v>
      </c>
      <c r="K161" s="11" t="s">
        <v>30</v>
      </c>
      <c r="L161" s="11" t="s">
        <v>17959</v>
      </c>
    </row>
    <row r="162" spans="1:12" ht="13.15" x14ac:dyDescent="0.4">
      <c r="A162" s="11" t="s">
        <v>17529</v>
      </c>
      <c r="B162" s="11"/>
      <c r="C162" s="11" t="s">
        <v>5377</v>
      </c>
      <c r="D162" s="11"/>
      <c r="E162" s="11" t="s">
        <v>17161</v>
      </c>
      <c r="F162" s="11"/>
      <c r="G162" s="12">
        <v>16803</v>
      </c>
      <c r="H162" s="12">
        <v>16803</v>
      </c>
      <c r="I162" s="11"/>
      <c r="J162" s="11" t="s">
        <v>45</v>
      </c>
      <c r="K162" s="11" t="s">
        <v>30</v>
      </c>
      <c r="L162" s="11" t="s">
        <v>17846</v>
      </c>
    </row>
    <row r="163" spans="1:12" ht="13.15" x14ac:dyDescent="0.4">
      <c r="A163" s="11" t="s">
        <v>17441</v>
      </c>
      <c r="B163" s="11"/>
      <c r="C163" s="11" t="s">
        <v>5377</v>
      </c>
      <c r="D163" s="11"/>
      <c r="E163" s="11"/>
      <c r="F163" s="11"/>
      <c r="G163" s="12">
        <v>16803</v>
      </c>
      <c r="H163" s="12">
        <v>16803</v>
      </c>
      <c r="I163" s="11"/>
      <c r="J163" s="11" t="s">
        <v>45</v>
      </c>
      <c r="K163" s="11" t="s">
        <v>30</v>
      </c>
      <c r="L163" s="11" t="s">
        <v>17933</v>
      </c>
    </row>
    <row r="164" spans="1:12" ht="13.15" x14ac:dyDescent="0.4">
      <c r="A164" s="11" t="s">
        <v>17564</v>
      </c>
      <c r="B164" s="11"/>
      <c r="C164" s="11" t="s">
        <v>5377</v>
      </c>
      <c r="D164" s="11"/>
      <c r="E164" s="11" t="s">
        <v>17161</v>
      </c>
      <c r="F164" s="11"/>
      <c r="G164" s="12">
        <v>16803</v>
      </c>
      <c r="H164" s="12">
        <v>16803</v>
      </c>
      <c r="I164" s="11"/>
      <c r="J164" s="11" t="s">
        <v>45</v>
      </c>
      <c r="K164" s="11" t="s">
        <v>30</v>
      </c>
      <c r="L164" s="11" t="s">
        <v>17813</v>
      </c>
    </row>
    <row r="165" spans="1:12" ht="13.15" x14ac:dyDescent="0.4">
      <c r="A165" s="11" t="s">
        <v>17532</v>
      </c>
      <c r="B165" s="11"/>
      <c r="C165" s="11" t="s">
        <v>5377</v>
      </c>
      <c r="D165" s="11"/>
      <c r="E165" s="11" t="s">
        <v>17161</v>
      </c>
      <c r="F165" s="11"/>
      <c r="G165" s="12">
        <v>16803</v>
      </c>
      <c r="H165" s="12">
        <v>16803</v>
      </c>
      <c r="I165" s="11"/>
      <c r="J165" s="11" t="s">
        <v>45</v>
      </c>
      <c r="K165" s="11" t="s">
        <v>30</v>
      </c>
      <c r="L165" s="11" t="s">
        <v>17843</v>
      </c>
    </row>
    <row r="166" spans="1:12" ht="13.15" x14ac:dyDescent="0.4">
      <c r="A166" s="11" t="s">
        <v>17394</v>
      </c>
      <c r="B166" s="11"/>
      <c r="C166" s="11" t="s">
        <v>5377</v>
      </c>
      <c r="D166" s="11"/>
      <c r="E166" s="11"/>
      <c r="F166" s="11"/>
      <c r="G166" s="12">
        <v>16803</v>
      </c>
      <c r="H166" s="12">
        <v>16803</v>
      </c>
      <c r="I166" s="11"/>
      <c r="J166" s="11" t="s">
        <v>45</v>
      </c>
      <c r="K166" s="11" t="s">
        <v>30</v>
      </c>
      <c r="L166" s="11" t="s">
        <v>17983</v>
      </c>
    </row>
    <row r="167" spans="1:12" ht="13.15" x14ac:dyDescent="0.4">
      <c r="A167" s="11" t="s">
        <v>17440</v>
      </c>
      <c r="B167" s="11"/>
      <c r="C167" s="11" t="s">
        <v>5377</v>
      </c>
      <c r="D167" s="11"/>
      <c r="E167" s="11"/>
      <c r="F167" s="11"/>
      <c r="G167" s="12">
        <v>16803</v>
      </c>
      <c r="H167" s="12">
        <v>16803</v>
      </c>
      <c r="I167" s="11"/>
      <c r="J167" s="11" t="s">
        <v>45</v>
      </c>
      <c r="K167" s="11" t="s">
        <v>30</v>
      </c>
      <c r="L167" s="11" t="s">
        <v>17934</v>
      </c>
    </row>
    <row r="168" spans="1:12" ht="13.15" x14ac:dyDescent="0.4">
      <c r="A168" s="11" t="s">
        <v>17525</v>
      </c>
      <c r="B168" s="11"/>
      <c r="C168" s="11" t="s">
        <v>5377</v>
      </c>
      <c r="D168" s="11"/>
      <c r="E168" s="11"/>
      <c r="F168" s="11"/>
      <c r="G168" s="12">
        <v>16803</v>
      </c>
      <c r="H168" s="12">
        <v>16803</v>
      </c>
      <c r="I168" s="11"/>
      <c r="J168" s="11" t="s">
        <v>45</v>
      </c>
      <c r="K168" s="11" t="s">
        <v>30</v>
      </c>
      <c r="L168" s="11" t="s">
        <v>17850</v>
      </c>
    </row>
    <row r="169" spans="1:12" ht="13.15" x14ac:dyDescent="0.4">
      <c r="A169" s="11" t="s">
        <v>17497</v>
      </c>
      <c r="B169" s="11"/>
      <c r="C169" s="11" t="s">
        <v>5377</v>
      </c>
      <c r="D169" s="11"/>
      <c r="E169" s="11" t="s">
        <v>17161</v>
      </c>
      <c r="F169" s="11"/>
      <c r="G169" s="12">
        <v>16803</v>
      </c>
      <c r="H169" s="12">
        <v>16803</v>
      </c>
      <c r="I169" s="11"/>
      <c r="J169" s="11" t="s">
        <v>45</v>
      </c>
      <c r="K169" s="11" t="s">
        <v>30</v>
      </c>
      <c r="L169" s="11" t="s">
        <v>17880</v>
      </c>
    </row>
    <row r="170" spans="1:12" ht="13.15" x14ac:dyDescent="0.4">
      <c r="A170" s="11" t="s">
        <v>17491</v>
      </c>
      <c r="B170" s="11"/>
      <c r="C170" s="11" t="s">
        <v>5377</v>
      </c>
      <c r="D170" s="11"/>
      <c r="E170" s="11"/>
      <c r="F170" s="11"/>
      <c r="G170" s="12">
        <v>16803</v>
      </c>
      <c r="H170" s="12">
        <v>16803</v>
      </c>
      <c r="I170" s="11"/>
      <c r="J170" s="11" t="s">
        <v>45</v>
      </c>
      <c r="K170" s="11" t="s">
        <v>30</v>
      </c>
      <c r="L170" s="11" t="s">
        <v>17886</v>
      </c>
    </row>
    <row r="171" spans="1:12" ht="13.15" x14ac:dyDescent="0.4">
      <c r="A171" s="11" t="s">
        <v>17615</v>
      </c>
      <c r="B171" s="11"/>
      <c r="C171" s="11" t="s">
        <v>5377</v>
      </c>
      <c r="D171" s="11"/>
      <c r="E171" s="11"/>
      <c r="F171" s="11"/>
      <c r="G171" s="12">
        <v>16803</v>
      </c>
      <c r="H171" s="12">
        <v>16803</v>
      </c>
      <c r="I171" s="11"/>
      <c r="J171" s="11" t="s">
        <v>45</v>
      </c>
      <c r="K171" s="11" t="s">
        <v>30</v>
      </c>
      <c r="L171" s="11" t="s">
        <v>17761</v>
      </c>
    </row>
    <row r="172" spans="1:12" ht="13.15" x14ac:dyDescent="0.4">
      <c r="A172" s="11" t="s">
        <v>17556</v>
      </c>
      <c r="B172" s="11"/>
      <c r="C172" s="11" t="s">
        <v>5377</v>
      </c>
      <c r="D172" s="11"/>
      <c r="E172" s="11"/>
      <c r="F172" s="11"/>
      <c r="G172" s="12">
        <v>16803</v>
      </c>
      <c r="H172" s="12">
        <v>16803</v>
      </c>
      <c r="I172" s="11"/>
      <c r="J172" s="11" t="s">
        <v>45</v>
      </c>
      <c r="K172" s="11" t="s">
        <v>30</v>
      </c>
      <c r="L172" s="11" t="s">
        <v>17821</v>
      </c>
    </row>
    <row r="173" spans="1:12" ht="13.15" x14ac:dyDescent="0.4">
      <c r="A173" s="11" t="s">
        <v>17402</v>
      </c>
      <c r="B173" s="11"/>
      <c r="C173" s="11" t="s">
        <v>5377</v>
      </c>
      <c r="D173" s="11"/>
      <c r="E173" s="11"/>
      <c r="F173" s="11"/>
      <c r="G173" s="12">
        <v>16803</v>
      </c>
      <c r="H173" s="12">
        <v>16803</v>
      </c>
      <c r="I173" s="11"/>
      <c r="J173" s="11" t="s">
        <v>45</v>
      </c>
      <c r="K173" s="11" t="s">
        <v>30</v>
      </c>
      <c r="L173" s="11" t="s">
        <v>17973</v>
      </c>
    </row>
    <row r="174" spans="1:12" ht="13.15" x14ac:dyDescent="0.4">
      <c r="A174" s="11" t="s">
        <v>17397</v>
      </c>
      <c r="B174" s="11"/>
      <c r="C174" s="11" t="s">
        <v>5377</v>
      </c>
      <c r="D174" s="11"/>
      <c r="E174" s="11"/>
      <c r="F174" s="11"/>
      <c r="G174" s="12">
        <v>16803</v>
      </c>
      <c r="H174" s="12">
        <v>16803</v>
      </c>
      <c r="I174" s="11"/>
      <c r="J174" s="11" t="s">
        <v>45</v>
      </c>
      <c r="K174" s="11" t="s">
        <v>30</v>
      </c>
      <c r="L174" s="11" t="s">
        <v>17980</v>
      </c>
    </row>
    <row r="175" spans="1:12" ht="13.15" x14ac:dyDescent="0.4">
      <c r="A175" s="11" t="s">
        <v>17405</v>
      </c>
      <c r="B175" s="11"/>
      <c r="C175" s="11" t="s">
        <v>5377</v>
      </c>
      <c r="D175" s="11"/>
      <c r="E175" s="11"/>
      <c r="F175" s="11"/>
      <c r="G175" s="12">
        <v>16803</v>
      </c>
      <c r="H175" s="12">
        <v>16803</v>
      </c>
      <c r="I175" s="11"/>
      <c r="J175" s="11" t="s">
        <v>45</v>
      </c>
      <c r="K175" s="11" t="s">
        <v>30</v>
      </c>
      <c r="L175" s="11" t="s">
        <v>17970</v>
      </c>
    </row>
    <row r="176" spans="1:12" ht="13.15" x14ac:dyDescent="0.4">
      <c r="A176" s="11" t="s">
        <v>17617</v>
      </c>
      <c r="B176" s="11"/>
      <c r="C176" s="11" t="s">
        <v>5377</v>
      </c>
      <c r="D176" s="11"/>
      <c r="E176" s="11"/>
      <c r="F176" s="11"/>
      <c r="G176" s="12">
        <v>16803</v>
      </c>
      <c r="H176" s="12">
        <v>16803</v>
      </c>
      <c r="I176" s="11"/>
      <c r="J176" s="11" t="s">
        <v>45</v>
      </c>
      <c r="K176" s="11" t="s">
        <v>30</v>
      </c>
      <c r="L176" s="11" t="s">
        <v>17759</v>
      </c>
    </row>
    <row r="177" spans="1:12" ht="13.15" x14ac:dyDescent="0.4">
      <c r="A177" s="11" t="s">
        <v>17431</v>
      </c>
      <c r="B177" s="11"/>
      <c r="C177" s="11" t="s">
        <v>5377</v>
      </c>
      <c r="D177" s="11"/>
      <c r="E177" s="11"/>
      <c r="F177" s="11"/>
      <c r="G177" s="12">
        <v>16803</v>
      </c>
      <c r="H177" s="12">
        <v>16803</v>
      </c>
      <c r="I177" s="11"/>
      <c r="J177" s="11" t="s">
        <v>45</v>
      </c>
      <c r="K177" s="11" t="s">
        <v>30</v>
      </c>
      <c r="L177" s="11" t="s">
        <v>17943</v>
      </c>
    </row>
    <row r="178" spans="1:12" ht="13.15" x14ac:dyDescent="0.4">
      <c r="A178" s="11" t="s">
        <v>17400</v>
      </c>
      <c r="B178" s="11"/>
      <c r="C178" s="11" t="s">
        <v>5377</v>
      </c>
      <c r="D178" s="11"/>
      <c r="E178" s="11"/>
      <c r="F178" s="11"/>
      <c r="G178" s="12">
        <v>16803</v>
      </c>
      <c r="H178" s="12">
        <v>16803</v>
      </c>
      <c r="I178" s="11"/>
      <c r="J178" s="11" t="s">
        <v>45</v>
      </c>
      <c r="K178" s="11" t="s">
        <v>30</v>
      </c>
      <c r="L178" s="11" t="s">
        <v>17976</v>
      </c>
    </row>
    <row r="179" spans="1:12" ht="13.15" x14ac:dyDescent="0.4">
      <c r="A179" s="11" t="s">
        <v>17421</v>
      </c>
      <c r="B179" s="11"/>
      <c r="C179" s="11" t="s">
        <v>5377</v>
      </c>
      <c r="D179" s="11"/>
      <c r="E179" s="11"/>
      <c r="F179" s="11"/>
      <c r="G179" s="12">
        <v>16803</v>
      </c>
      <c r="H179" s="12">
        <v>16803</v>
      </c>
      <c r="I179" s="11"/>
      <c r="J179" s="11" t="s">
        <v>45</v>
      </c>
      <c r="K179" s="11" t="s">
        <v>30</v>
      </c>
      <c r="L179" s="11" t="s">
        <v>17954</v>
      </c>
    </row>
    <row r="180" spans="1:12" ht="13.15" x14ac:dyDescent="0.4">
      <c r="A180" s="11" t="s">
        <v>17455</v>
      </c>
      <c r="B180" s="11"/>
      <c r="C180" s="11" t="s">
        <v>5377</v>
      </c>
      <c r="D180" s="11"/>
      <c r="E180" s="11" t="s">
        <v>17161</v>
      </c>
      <c r="F180" s="11"/>
      <c r="G180" s="12">
        <v>16803</v>
      </c>
      <c r="H180" s="12">
        <v>16803</v>
      </c>
      <c r="I180" s="11"/>
      <c r="J180" s="11" t="s">
        <v>45</v>
      </c>
      <c r="K180" s="11" t="s">
        <v>30</v>
      </c>
      <c r="L180" s="11" t="s">
        <v>17920</v>
      </c>
    </row>
    <row r="181" spans="1:12" ht="13.15" x14ac:dyDescent="0.4">
      <c r="A181" s="11" t="s">
        <v>17616</v>
      </c>
      <c r="B181" s="11"/>
      <c r="C181" s="11" t="s">
        <v>5377</v>
      </c>
      <c r="D181" s="11"/>
      <c r="E181" s="11"/>
      <c r="F181" s="11"/>
      <c r="G181" s="12">
        <v>16803</v>
      </c>
      <c r="H181" s="12">
        <v>16803</v>
      </c>
      <c r="I181" s="11"/>
      <c r="J181" s="11" t="s">
        <v>45</v>
      </c>
      <c r="K181" s="11" t="s">
        <v>30</v>
      </c>
      <c r="L181" s="11" t="s">
        <v>17760</v>
      </c>
    </row>
    <row r="182" spans="1:12" ht="13.15" x14ac:dyDescent="0.4">
      <c r="A182" s="11" t="s">
        <v>17384</v>
      </c>
      <c r="B182" s="11"/>
      <c r="C182" s="11" t="s">
        <v>5377</v>
      </c>
      <c r="D182" s="11"/>
      <c r="E182" s="11"/>
      <c r="F182" s="11"/>
      <c r="G182" s="12">
        <v>16803</v>
      </c>
      <c r="H182" s="12">
        <v>16803</v>
      </c>
      <c r="I182" s="11"/>
      <c r="J182" s="11" t="s">
        <v>45</v>
      </c>
      <c r="K182" s="11" t="s">
        <v>30</v>
      </c>
      <c r="L182" s="11" t="s">
        <v>17993</v>
      </c>
    </row>
    <row r="183" spans="1:12" ht="13.15" x14ac:dyDescent="0.4">
      <c r="A183" s="11" t="s">
        <v>17503</v>
      </c>
      <c r="B183" s="11"/>
      <c r="C183" s="11" t="s">
        <v>5377</v>
      </c>
      <c r="D183" s="11"/>
      <c r="E183" s="11"/>
      <c r="F183" s="11"/>
      <c r="G183" s="12">
        <v>16803</v>
      </c>
      <c r="H183" s="12">
        <v>16803</v>
      </c>
      <c r="I183" s="11"/>
      <c r="J183" s="11" t="s">
        <v>45</v>
      </c>
      <c r="K183" s="11" t="s">
        <v>30</v>
      </c>
      <c r="L183" s="11" t="s">
        <v>17875</v>
      </c>
    </row>
    <row r="184" spans="1:12" ht="13.15" x14ac:dyDescent="0.4">
      <c r="A184" s="11" t="s">
        <v>17332</v>
      </c>
      <c r="B184" s="11"/>
      <c r="C184" s="11" t="s">
        <v>5377</v>
      </c>
      <c r="D184" s="11"/>
      <c r="E184" s="11"/>
      <c r="F184" s="11"/>
      <c r="G184" s="12">
        <v>16803</v>
      </c>
      <c r="H184" s="12">
        <v>16803</v>
      </c>
      <c r="I184" s="11"/>
      <c r="J184" s="11" t="s">
        <v>45</v>
      </c>
      <c r="K184" s="11" t="s">
        <v>30</v>
      </c>
      <c r="L184" s="11" t="s">
        <v>18049</v>
      </c>
    </row>
    <row r="185" spans="1:12" ht="13.15" x14ac:dyDescent="0.4">
      <c r="A185" s="11" t="s">
        <v>17395</v>
      </c>
      <c r="B185" s="11"/>
      <c r="C185" s="11" t="s">
        <v>5377</v>
      </c>
      <c r="D185" s="11"/>
      <c r="E185" s="11"/>
      <c r="F185" s="11"/>
      <c r="G185" s="12">
        <v>16803</v>
      </c>
      <c r="H185" s="12">
        <v>16803</v>
      </c>
      <c r="I185" s="11"/>
      <c r="J185" s="11" t="s">
        <v>45</v>
      </c>
      <c r="K185" s="11" t="s">
        <v>30</v>
      </c>
      <c r="L185" s="11" t="s">
        <v>17982</v>
      </c>
    </row>
    <row r="186" spans="1:12" ht="13.15" x14ac:dyDescent="0.4">
      <c r="A186" s="11" t="s">
        <v>17364</v>
      </c>
      <c r="B186" s="11"/>
      <c r="C186" s="11" t="s">
        <v>5377</v>
      </c>
      <c r="D186" s="11"/>
      <c r="E186" s="11"/>
      <c r="F186" s="11"/>
      <c r="G186" s="12">
        <v>16803</v>
      </c>
      <c r="H186" s="12">
        <v>16803</v>
      </c>
      <c r="I186" s="11"/>
      <c r="J186" s="11" t="s">
        <v>45</v>
      </c>
      <c r="K186" s="11" t="s">
        <v>30</v>
      </c>
      <c r="L186" s="11" t="s">
        <v>18013</v>
      </c>
    </row>
    <row r="187" spans="1:12" ht="13.15" x14ac:dyDescent="0.4">
      <c r="A187" s="11" t="s">
        <v>17331</v>
      </c>
      <c r="B187" s="11"/>
      <c r="C187" s="11" t="s">
        <v>5377</v>
      </c>
      <c r="D187" s="11"/>
      <c r="E187" s="11"/>
      <c r="F187" s="11"/>
      <c r="G187" s="12">
        <v>16803</v>
      </c>
      <c r="H187" s="12">
        <v>16803</v>
      </c>
      <c r="I187" s="11"/>
      <c r="J187" s="11" t="s">
        <v>45</v>
      </c>
      <c r="K187" s="11" t="s">
        <v>30</v>
      </c>
      <c r="L187" s="11" t="s">
        <v>18050</v>
      </c>
    </row>
    <row r="188" spans="1:12" ht="13.15" x14ac:dyDescent="0.4">
      <c r="A188" s="11" t="s">
        <v>17398</v>
      </c>
      <c r="B188" s="11"/>
      <c r="C188" s="11" t="s">
        <v>5377</v>
      </c>
      <c r="D188" s="11"/>
      <c r="E188" s="11"/>
      <c r="F188" s="11"/>
      <c r="G188" s="12">
        <v>16803</v>
      </c>
      <c r="H188" s="12">
        <v>16803</v>
      </c>
      <c r="I188" s="11"/>
      <c r="J188" s="11" t="s">
        <v>45</v>
      </c>
      <c r="K188" s="11" t="s">
        <v>30</v>
      </c>
      <c r="L188" s="11" t="s">
        <v>17978</v>
      </c>
    </row>
    <row r="189" spans="1:12" ht="13.15" x14ac:dyDescent="0.4">
      <c r="A189" s="11" t="s">
        <v>17369</v>
      </c>
      <c r="B189" s="11"/>
      <c r="C189" s="11" t="s">
        <v>5377</v>
      </c>
      <c r="D189" s="11"/>
      <c r="E189" s="11"/>
      <c r="F189" s="11"/>
      <c r="G189" s="12">
        <v>16803</v>
      </c>
      <c r="H189" s="12">
        <v>16803</v>
      </c>
      <c r="I189" s="11"/>
      <c r="J189" s="11" t="s">
        <v>45</v>
      </c>
      <c r="K189" s="11" t="s">
        <v>30</v>
      </c>
      <c r="L189" s="11" t="s">
        <v>18008</v>
      </c>
    </row>
    <row r="190" spans="1:12" ht="13.15" x14ac:dyDescent="0.4">
      <c r="A190" s="11" t="s">
        <v>17502</v>
      </c>
      <c r="B190" s="11"/>
      <c r="C190" s="11" t="s">
        <v>5377</v>
      </c>
      <c r="D190" s="11"/>
      <c r="E190" s="11"/>
      <c r="F190" s="11"/>
      <c r="G190" s="12">
        <v>16803</v>
      </c>
      <c r="H190" s="12">
        <v>16803</v>
      </c>
      <c r="I190" s="11"/>
      <c r="J190" s="11" t="s">
        <v>45</v>
      </c>
      <c r="K190" s="11" t="s">
        <v>30</v>
      </c>
      <c r="L190" s="11" t="s">
        <v>17876</v>
      </c>
    </row>
    <row r="191" spans="1:12" ht="13.15" x14ac:dyDescent="0.4">
      <c r="A191" s="11" t="s">
        <v>17502</v>
      </c>
      <c r="B191" s="11"/>
      <c r="C191" s="11" t="s">
        <v>5377</v>
      </c>
      <c r="D191" s="11"/>
      <c r="E191" s="11"/>
      <c r="F191" s="11"/>
      <c r="G191" s="12">
        <v>16803</v>
      </c>
      <c r="H191" s="12">
        <v>16803</v>
      </c>
      <c r="I191" s="11"/>
      <c r="J191" s="11" t="s">
        <v>45</v>
      </c>
      <c r="K191" s="11" t="s">
        <v>30</v>
      </c>
      <c r="L191" s="11" t="s">
        <v>17853</v>
      </c>
    </row>
    <row r="192" spans="1:12" ht="13.15" x14ac:dyDescent="0.4">
      <c r="A192" s="11" t="s">
        <v>17420</v>
      </c>
      <c r="B192" s="11"/>
      <c r="C192" s="11" t="s">
        <v>5377</v>
      </c>
      <c r="D192" s="11"/>
      <c r="E192" s="11"/>
      <c r="F192" s="11"/>
      <c r="G192" s="12">
        <v>16803</v>
      </c>
      <c r="H192" s="12">
        <v>16803</v>
      </c>
      <c r="I192" s="11"/>
      <c r="J192" s="11" t="s">
        <v>45</v>
      </c>
      <c r="K192" s="11" t="s">
        <v>30</v>
      </c>
      <c r="L192" s="11" t="s">
        <v>17955</v>
      </c>
    </row>
    <row r="193" spans="1:12" ht="13.15" x14ac:dyDescent="0.4">
      <c r="A193" s="11" t="s">
        <v>17367</v>
      </c>
      <c r="B193" s="11"/>
      <c r="C193" s="11" t="s">
        <v>5377</v>
      </c>
      <c r="D193" s="11"/>
      <c r="E193" s="11"/>
      <c r="F193" s="11"/>
      <c r="G193" s="12">
        <v>16803</v>
      </c>
      <c r="H193" s="12">
        <v>16803</v>
      </c>
      <c r="I193" s="11"/>
      <c r="J193" s="11" t="s">
        <v>45</v>
      </c>
      <c r="K193" s="11" t="s">
        <v>30</v>
      </c>
      <c r="L193" s="11" t="s">
        <v>18010</v>
      </c>
    </row>
    <row r="194" spans="1:12" ht="13.15" x14ac:dyDescent="0.4">
      <c r="A194" s="11" t="s">
        <v>17280</v>
      </c>
      <c r="B194" s="11"/>
      <c r="C194" s="11" t="s">
        <v>5377</v>
      </c>
      <c r="D194" s="11"/>
      <c r="E194" s="11"/>
      <c r="F194" s="11"/>
      <c r="G194" s="12">
        <v>18629</v>
      </c>
      <c r="H194" s="12">
        <v>18629</v>
      </c>
      <c r="I194" s="11"/>
      <c r="J194" s="11" t="s">
        <v>45</v>
      </c>
      <c r="K194" s="11" t="s">
        <v>30</v>
      </c>
      <c r="L194" s="11" t="s">
        <v>18104</v>
      </c>
    </row>
    <row r="195" spans="1:12" ht="13.15" x14ac:dyDescent="0.4">
      <c r="A195" s="11" t="s">
        <v>17283</v>
      </c>
      <c r="B195" s="11"/>
      <c r="C195" s="11" t="s">
        <v>5377</v>
      </c>
      <c r="D195" s="11"/>
      <c r="E195" s="11"/>
      <c r="F195" s="11"/>
      <c r="G195" s="12">
        <v>16803</v>
      </c>
      <c r="H195" s="12">
        <v>16803</v>
      </c>
      <c r="I195" s="11"/>
      <c r="J195" s="11" t="s">
        <v>45</v>
      </c>
      <c r="K195" s="11" t="s">
        <v>30</v>
      </c>
      <c r="L195" s="11" t="s">
        <v>18101</v>
      </c>
    </row>
    <row r="196" spans="1:12" ht="13.15" x14ac:dyDescent="0.4">
      <c r="A196" s="11" t="s">
        <v>17602</v>
      </c>
      <c r="B196" s="11"/>
      <c r="C196" s="11" t="s">
        <v>5377</v>
      </c>
      <c r="D196" s="11"/>
      <c r="E196" s="11"/>
      <c r="F196" s="11"/>
      <c r="G196" s="12">
        <v>16803</v>
      </c>
      <c r="H196" s="12">
        <v>16803</v>
      </c>
      <c r="I196" s="11"/>
      <c r="J196" s="11" t="s">
        <v>45</v>
      </c>
      <c r="K196" s="11" t="s">
        <v>30</v>
      </c>
      <c r="L196" s="11" t="s">
        <v>17771</v>
      </c>
    </row>
    <row r="197" spans="1:12" ht="13.15" x14ac:dyDescent="0.4">
      <c r="A197" s="11" t="s">
        <v>17577</v>
      </c>
      <c r="B197" s="11"/>
      <c r="C197" s="11" t="s">
        <v>5377</v>
      </c>
      <c r="D197" s="11"/>
      <c r="E197" s="11"/>
      <c r="F197" s="11"/>
      <c r="G197" s="12">
        <v>16803</v>
      </c>
      <c r="H197" s="12">
        <v>16803</v>
      </c>
      <c r="I197" s="11"/>
      <c r="J197" s="11" t="s">
        <v>45</v>
      </c>
      <c r="K197" s="11" t="s">
        <v>30</v>
      </c>
      <c r="L197" s="11" t="s">
        <v>17798</v>
      </c>
    </row>
    <row r="198" spans="1:12" ht="13.15" x14ac:dyDescent="0.4">
      <c r="A198" s="11" t="s">
        <v>17565</v>
      </c>
      <c r="B198" s="11"/>
      <c r="C198" s="11" t="s">
        <v>5377</v>
      </c>
      <c r="D198" s="11"/>
      <c r="E198" s="11"/>
      <c r="F198" s="11"/>
      <c r="G198" s="12">
        <v>16803</v>
      </c>
      <c r="H198" s="12">
        <v>16803</v>
      </c>
      <c r="I198" s="11"/>
      <c r="J198" s="11" t="s">
        <v>45</v>
      </c>
      <c r="K198" s="11" t="s">
        <v>30</v>
      </c>
      <c r="L198" s="11" t="s">
        <v>17811</v>
      </c>
    </row>
    <row r="199" spans="1:12" ht="13.15" x14ac:dyDescent="0.4">
      <c r="A199" s="11" t="s">
        <v>17387</v>
      </c>
      <c r="B199" s="11"/>
      <c r="C199" s="11" t="s">
        <v>5377</v>
      </c>
      <c r="D199" s="11"/>
      <c r="E199" s="11"/>
      <c r="F199" s="11"/>
      <c r="G199" s="12">
        <v>16803</v>
      </c>
      <c r="H199" s="12">
        <v>16803</v>
      </c>
      <c r="I199" s="11"/>
      <c r="J199" s="11" t="s">
        <v>45</v>
      </c>
      <c r="K199" s="11" t="s">
        <v>30</v>
      </c>
      <c r="L199" s="11" t="s">
        <v>17990</v>
      </c>
    </row>
    <row r="200" spans="1:12" ht="13.15" x14ac:dyDescent="0.4">
      <c r="A200" s="11" t="s">
        <v>17439</v>
      </c>
      <c r="B200" s="11"/>
      <c r="C200" s="11" t="s">
        <v>5377</v>
      </c>
      <c r="D200" s="11"/>
      <c r="E200" s="11"/>
      <c r="F200" s="11"/>
      <c r="G200" s="12">
        <v>16803</v>
      </c>
      <c r="H200" s="12">
        <v>16803</v>
      </c>
      <c r="I200" s="11"/>
      <c r="J200" s="11" t="s">
        <v>45</v>
      </c>
      <c r="K200" s="11" t="s">
        <v>30</v>
      </c>
      <c r="L200" s="11" t="s">
        <v>17935</v>
      </c>
    </row>
    <row r="201" spans="1:12" ht="13.15" x14ac:dyDescent="0.4">
      <c r="A201" s="11" t="s">
        <v>17450</v>
      </c>
      <c r="B201" s="11"/>
      <c r="C201" s="11" t="s">
        <v>5377</v>
      </c>
      <c r="D201" s="11"/>
      <c r="E201" s="11"/>
      <c r="F201" s="11"/>
      <c r="G201" s="12">
        <v>16803</v>
      </c>
      <c r="H201" s="12">
        <v>16803</v>
      </c>
      <c r="I201" s="11"/>
      <c r="J201" s="11" t="s">
        <v>45</v>
      </c>
      <c r="K201" s="11" t="s">
        <v>30</v>
      </c>
      <c r="L201" s="11" t="s">
        <v>17925</v>
      </c>
    </row>
    <row r="202" spans="1:12" ht="13.15" x14ac:dyDescent="0.4">
      <c r="A202" s="11" t="s">
        <v>17474</v>
      </c>
      <c r="B202" s="11"/>
      <c r="C202" s="11" t="s">
        <v>5377</v>
      </c>
      <c r="D202" s="11"/>
      <c r="E202" s="11"/>
      <c r="F202" s="11"/>
      <c r="G202" s="12">
        <v>16803</v>
      </c>
      <c r="H202" s="12">
        <v>16803</v>
      </c>
      <c r="I202" s="11"/>
      <c r="J202" s="11" t="s">
        <v>45</v>
      </c>
      <c r="K202" s="11" t="s">
        <v>30</v>
      </c>
      <c r="L202" s="11" t="s">
        <v>17903</v>
      </c>
    </row>
    <row r="203" spans="1:12" ht="13.15" x14ac:dyDescent="0.4">
      <c r="A203" s="11" t="s">
        <v>17313</v>
      </c>
      <c r="B203" s="11"/>
      <c r="C203" s="11" t="s">
        <v>5377</v>
      </c>
      <c r="D203" s="11"/>
      <c r="E203" s="11"/>
      <c r="F203" s="11"/>
      <c r="G203" s="12">
        <v>20090</v>
      </c>
      <c r="H203" s="12">
        <v>20090</v>
      </c>
      <c r="I203" s="11"/>
      <c r="J203" s="11" t="s">
        <v>45</v>
      </c>
      <c r="K203" s="11" t="s">
        <v>30</v>
      </c>
      <c r="L203" s="11" t="s">
        <v>18069</v>
      </c>
    </row>
    <row r="204" spans="1:12" ht="13.15" x14ac:dyDescent="0.4">
      <c r="A204" s="11" t="s">
        <v>17393</v>
      </c>
      <c r="B204" s="11"/>
      <c r="C204" s="11" t="s">
        <v>5377</v>
      </c>
      <c r="D204" s="11"/>
      <c r="E204" s="11"/>
      <c r="F204" s="11"/>
      <c r="G204" s="12">
        <v>16803</v>
      </c>
      <c r="H204" s="12">
        <v>16803</v>
      </c>
      <c r="I204" s="11"/>
      <c r="J204" s="11" t="s">
        <v>45</v>
      </c>
      <c r="K204" s="11" t="s">
        <v>30</v>
      </c>
      <c r="L204" s="11" t="s">
        <v>17984</v>
      </c>
    </row>
    <row r="205" spans="1:12" ht="13.15" x14ac:dyDescent="0.4">
      <c r="A205" s="11" t="s">
        <v>16756</v>
      </c>
      <c r="B205" s="11"/>
      <c r="C205" s="11" t="s">
        <v>5377</v>
      </c>
      <c r="D205" s="11"/>
      <c r="E205" s="11"/>
      <c r="F205" s="11"/>
      <c r="G205" s="12">
        <v>25569</v>
      </c>
      <c r="H205" s="12">
        <v>25569</v>
      </c>
      <c r="I205" s="11"/>
      <c r="J205" s="11" t="s">
        <v>45</v>
      </c>
      <c r="K205" s="11" t="s">
        <v>30</v>
      </c>
      <c r="L205" s="11" t="s">
        <v>18637</v>
      </c>
    </row>
    <row r="206" spans="1:12" ht="13.15" x14ac:dyDescent="0.4">
      <c r="A206" s="11" t="s">
        <v>16757</v>
      </c>
      <c r="B206" s="11"/>
      <c r="C206" s="11" t="s">
        <v>5377</v>
      </c>
      <c r="D206" s="11"/>
      <c r="E206" s="11"/>
      <c r="F206" s="11"/>
      <c r="G206" s="12">
        <v>24473</v>
      </c>
      <c r="H206" s="12">
        <v>24473</v>
      </c>
      <c r="I206" s="11"/>
      <c r="J206" s="11" t="s">
        <v>45</v>
      </c>
      <c r="K206" s="11" t="s">
        <v>30</v>
      </c>
      <c r="L206" s="11" t="s">
        <v>18636</v>
      </c>
    </row>
    <row r="207" spans="1:12" ht="13.15" x14ac:dyDescent="0.4">
      <c r="A207" s="11" t="s">
        <v>16694</v>
      </c>
      <c r="B207" s="11"/>
      <c r="C207" s="11" t="s">
        <v>5377</v>
      </c>
      <c r="D207" s="11"/>
      <c r="E207" s="11"/>
      <c r="F207" s="11"/>
      <c r="G207" s="12">
        <v>25569</v>
      </c>
      <c r="H207" s="12">
        <v>25569</v>
      </c>
      <c r="I207" s="11"/>
      <c r="J207" s="11" t="s">
        <v>45</v>
      </c>
      <c r="K207" s="11" t="s">
        <v>30</v>
      </c>
      <c r="L207" s="11" t="s">
        <v>18698</v>
      </c>
    </row>
    <row r="208" spans="1:12" ht="13.15" x14ac:dyDescent="0.4">
      <c r="A208" s="11" t="s">
        <v>17521</v>
      </c>
      <c r="B208" s="11"/>
      <c r="C208" s="11" t="s">
        <v>5377</v>
      </c>
      <c r="D208" s="11"/>
      <c r="E208" s="11"/>
      <c r="F208" s="11"/>
      <c r="G208" s="12">
        <v>16803</v>
      </c>
      <c r="H208" s="12">
        <v>16803</v>
      </c>
      <c r="I208" s="11"/>
      <c r="J208" s="11" t="s">
        <v>45</v>
      </c>
      <c r="K208" s="11" t="s">
        <v>30</v>
      </c>
      <c r="L208" s="11" t="s">
        <v>17856</v>
      </c>
    </row>
    <row r="209" spans="1:12" ht="13.15" x14ac:dyDescent="0.4">
      <c r="A209" s="11" t="s">
        <v>16814</v>
      </c>
      <c r="B209" s="11"/>
      <c r="C209" s="11" t="s">
        <v>5377</v>
      </c>
      <c r="D209" s="11"/>
      <c r="E209" s="11"/>
      <c r="F209" s="11"/>
      <c r="G209" s="12">
        <v>23377</v>
      </c>
      <c r="H209" s="12">
        <v>23377</v>
      </c>
      <c r="I209" s="11"/>
      <c r="J209" s="11" t="s">
        <v>45</v>
      </c>
      <c r="K209" s="11" t="s">
        <v>30</v>
      </c>
      <c r="L209" s="11" t="s">
        <v>18579</v>
      </c>
    </row>
    <row r="210" spans="1:12" ht="13.15" x14ac:dyDescent="0.4">
      <c r="A210" s="11" t="s">
        <v>17549</v>
      </c>
      <c r="B210" s="11"/>
      <c r="C210" s="11" t="s">
        <v>5377</v>
      </c>
      <c r="D210" s="11"/>
      <c r="E210" s="11"/>
      <c r="F210" s="11"/>
      <c r="G210" s="12">
        <v>16803</v>
      </c>
      <c r="H210" s="12">
        <v>16803</v>
      </c>
      <c r="I210" s="11"/>
      <c r="J210" s="11" t="s">
        <v>45</v>
      </c>
      <c r="K210" s="11" t="s">
        <v>30</v>
      </c>
      <c r="L210" s="11" t="s">
        <v>17828</v>
      </c>
    </row>
    <row r="211" spans="1:12" ht="13.15" x14ac:dyDescent="0.4">
      <c r="A211" s="11" t="s">
        <v>17507</v>
      </c>
      <c r="B211" s="11"/>
      <c r="C211" s="11" t="s">
        <v>5377</v>
      </c>
      <c r="D211" s="11"/>
      <c r="E211" s="11"/>
      <c r="F211" s="11"/>
      <c r="G211" s="12">
        <v>16803</v>
      </c>
      <c r="H211" s="12">
        <v>16803</v>
      </c>
      <c r="I211" s="11"/>
      <c r="J211" s="11" t="s">
        <v>45</v>
      </c>
      <c r="K211" s="11" t="s">
        <v>30</v>
      </c>
      <c r="L211" s="11" t="s">
        <v>17871</v>
      </c>
    </row>
    <row r="212" spans="1:12" ht="13.15" x14ac:dyDescent="0.4">
      <c r="A212" s="11" t="s">
        <v>16675</v>
      </c>
      <c r="B212" s="11"/>
      <c r="C212" s="11" t="s">
        <v>5377</v>
      </c>
      <c r="D212" s="11"/>
      <c r="E212" s="11"/>
      <c r="F212" s="11"/>
      <c r="G212" s="12">
        <v>25204</v>
      </c>
      <c r="H212" s="12">
        <v>25204</v>
      </c>
      <c r="I212" s="11"/>
      <c r="J212" s="11" t="s">
        <v>45</v>
      </c>
      <c r="K212" s="11" t="s">
        <v>30</v>
      </c>
      <c r="L212" s="11" t="s">
        <v>18716</v>
      </c>
    </row>
    <row r="213" spans="1:12" ht="13.15" x14ac:dyDescent="0.4">
      <c r="A213" s="11" t="s">
        <v>17296</v>
      </c>
      <c r="B213" s="11"/>
      <c r="C213" s="11" t="s">
        <v>5377</v>
      </c>
      <c r="D213" s="11"/>
      <c r="E213" s="11"/>
      <c r="F213" s="11"/>
      <c r="G213" s="12">
        <v>19725</v>
      </c>
      <c r="H213" s="12">
        <v>19725</v>
      </c>
      <c r="I213" s="11"/>
      <c r="J213" s="11" t="s">
        <v>45</v>
      </c>
      <c r="K213" s="11" t="s">
        <v>30</v>
      </c>
      <c r="L213" s="11" t="s">
        <v>18088</v>
      </c>
    </row>
    <row r="214" spans="1:12" ht="13.15" x14ac:dyDescent="0.4">
      <c r="A214" s="11" t="s">
        <v>17336</v>
      </c>
      <c r="B214" s="11"/>
      <c r="C214" s="11" t="s">
        <v>5377</v>
      </c>
      <c r="D214" s="11"/>
      <c r="E214" s="11"/>
      <c r="F214" s="11"/>
      <c r="G214" s="12">
        <v>19725</v>
      </c>
      <c r="H214" s="12">
        <v>19725</v>
      </c>
      <c r="I214" s="11"/>
      <c r="J214" s="11" t="s">
        <v>45</v>
      </c>
      <c r="K214" s="11" t="s">
        <v>30</v>
      </c>
      <c r="L214" s="11" t="s">
        <v>18044</v>
      </c>
    </row>
    <row r="215" spans="1:12" ht="13.15" x14ac:dyDescent="0.4">
      <c r="A215" s="11" t="s">
        <v>16794</v>
      </c>
      <c r="B215" s="11"/>
      <c r="C215" s="11" t="s">
        <v>5377</v>
      </c>
      <c r="D215" s="11"/>
      <c r="E215" s="11"/>
      <c r="F215" s="11"/>
      <c r="G215" s="12">
        <v>23377</v>
      </c>
      <c r="H215" s="12">
        <v>23377</v>
      </c>
      <c r="I215" s="11"/>
      <c r="J215" s="11" t="s">
        <v>45</v>
      </c>
      <c r="K215" s="11" t="s">
        <v>30</v>
      </c>
      <c r="L215" s="11" t="s">
        <v>18599</v>
      </c>
    </row>
    <row r="216" spans="1:12" ht="13.15" x14ac:dyDescent="0.4">
      <c r="A216" s="11" t="s">
        <v>17404</v>
      </c>
      <c r="B216" s="11"/>
      <c r="C216" s="11" t="s">
        <v>5377</v>
      </c>
      <c r="D216" s="11"/>
      <c r="E216" s="11"/>
      <c r="F216" s="11"/>
      <c r="G216" s="12">
        <v>16803</v>
      </c>
      <c r="H216" s="12">
        <v>16803</v>
      </c>
      <c r="I216" s="11"/>
      <c r="J216" s="11" t="s">
        <v>45</v>
      </c>
      <c r="K216" s="11" t="s">
        <v>30</v>
      </c>
      <c r="L216" s="11" t="s">
        <v>17971</v>
      </c>
    </row>
    <row r="217" spans="1:12" ht="13.15" x14ac:dyDescent="0.4">
      <c r="A217" s="11" t="s">
        <v>17312</v>
      </c>
      <c r="B217" s="11"/>
      <c r="C217" s="11" t="s">
        <v>5377</v>
      </c>
      <c r="D217" s="11"/>
      <c r="E217" s="11"/>
      <c r="F217" s="11"/>
      <c r="G217" s="12">
        <v>20455</v>
      </c>
      <c r="H217" s="12">
        <v>20455</v>
      </c>
      <c r="I217" s="11"/>
      <c r="J217" s="11" t="s">
        <v>45</v>
      </c>
      <c r="K217" s="11" t="s">
        <v>30</v>
      </c>
      <c r="L217" s="11" t="s">
        <v>18070</v>
      </c>
    </row>
    <row r="218" spans="1:12" ht="13.15" x14ac:dyDescent="0.4">
      <c r="A218" s="11" t="s">
        <v>16721</v>
      </c>
      <c r="B218" s="11"/>
      <c r="C218" s="11" t="s">
        <v>5377</v>
      </c>
      <c r="D218" s="11"/>
      <c r="E218" s="11"/>
      <c r="F218" s="11"/>
      <c r="G218" s="12">
        <v>27395</v>
      </c>
      <c r="H218" s="12">
        <v>27395</v>
      </c>
      <c r="I218" s="11"/>
      <c r="J218" s="11" t="s">
        <v>45</v>
      </c>
      <c r="K218" s="11" t="s">
        <v>30</v>
      </c>
      <c r="L218" s="11" t="s">
        <v>18672</v>
      </c>
    </row>
    <row r="219" spans="1:12" ht="13.15" x14ac:dyDescent="0.4">
      <c r="A219" s="11" t="s">
        <v>16673</v>
      </c>
      <c r="B219" s="11"/>
      <c r="C219" s="11" t="s">
        <v>5377</v>
      </c>
      <c r="D219" s="11"/>
      <c r="E219" s="11"/>
      <c r="F219" s="11"/>
      <c r="G219" s="12">
        <v>25569</v>
      </c>
      <c r="H219" s="12">
        <v>25569</v>
      </c>
      <c r="I219" s="11"/>
      <c r="J219" s="11" t="s">
        <v>45</v>
      </c>
      <c r="K219" s="11" t="s">
        <v>30</v>
      </c>
      <c r="L219" s="11" t="s">
        <v>18718</v>
      </c>
    </row>
    <row r="220" spans="1:12" ht="13.15" x14ac:dyDescent="0.4">
      <c r="A220" s="11" t="s">
        <v>17339</v>
      </c>
      <c r="B220" s="11"/>
      <c r="C220" s="11" t="s">
        <v>5377</v>
      </c>
      <c r="D220" s="11"/>
      <c r="E220" s="11"/>
      <c r="F220" s="11"/>
      <c r="G220" s="12">
        <v>19725</v>
      </c>
      <c r="H220" s="12">
        <v>19725</v>
      </c>
      <c r="I220" s="11"/>
      <c r="J220" s="11" t="s">
        <v>45</v>
      </c>
      <c r="K220" s="11" t="s">
        <v>30</v>
      </c>
      <c r="L220" s="11" t="s">
        <v>18041</v>
      </c>
    </row>
    <row r="221" spans="1:12" ht="13.15" x14ac:dyDescent="0.4">
      <c r="A221" s="11" t="s">
        <v>17268</v>
      </c>
      <c r="B221" s="11"/>
      <c r="C221" s="11" t="s">
        <v>5377</v>
      </c>
      <c r="D221" s="11"/>
      <c r="E221" s="11"/>
      <c r="F221" s="11"/>
      <c r="G221" s="12">
        <v>20455</v>
      </c>
      <c r="H221" s="12">
        <v>20455</v>
      </c>
      <c r="I221" s="11"/>
      <c r="J221" s="11" t="s">
        <v>45</v>
      </c>
      <c r="K221" s="11" t="s">
        <v>30</v>
      </c>
      <c r="L221" s="11" t="s">
        <v>18117</v>
      </c>
    </row>
    <row r="222" spans="1:12" ht="13.15" x14ac:dyDescent="0.4">
      <c r="A222" s="11" t="s">
        <v>16796</v>
      </c>
      <c r="B222" s="11"/>
      <c r="C222" s="11" t="s">
        <v>5377</v>
      </c>
      <c r="D222" s="11"/>
      <c r="E222" s="11"/>
      <c r="F222" s="11"/>
      <c r="G222" s="12">
        <v>23743</v>
      </c>
      <c r="H222" s="12">
        <v>23743</v>
      </c>
      <c r="I222" s="11"/>
      <c r="J222" s="11" t="s">
        <v>45</v>
      </c>
      <c r="K222" s="11" t="s">
        <v>30</v>
      </c>
      <c r="L222" s="11" t="s">
        <v>18597</v>
      </c>
    </row>
    <row r="223" spans="1:12" ht="13.15" x14ac:dyDescent="0.4">
      <c r="A223" s="11" t="s">
        <v>16990</v>
      </c>
      <c r="B223" s="11"/>
      <c r="C223" s="11" t="s">
        <v>5377</v>
      </c>
      <c r="D223" s="11"/>
      <c r="E223" s="11"/>
      <c r="F223" s="11"/>
      <c r="G223" s="12">
        <v>22282</v>
      </c>
      <c r="H223" s="12">
        <v>22282</v>
      </c>
      <c r="I223" s="11"/>
      <c r="J223" s="11" t="s">
        <v>45</v>
      </c>
      <c r="K223" s="11" t="s">
        <v>30</v>
      </c>
      <c r="L223" s="11" t="s">
        <v>18403</v>
      </c>
    </row>
    <row r="224" spans="1:12" ht="13.15" x14ac:dyDescent="0.4">
      <c r="A224" s="11" t="s">
        <v>16720</v>
      </c>
      <c r="B224" s="11"/>
      <c r="C224" s="11" t="s">
        <v>5377</v>
      </c>
      <c r="D224" s="11"/>
      <c r="E224" s="11"/>
      <c r="F224" s="11"/>
      <c r="G224" s="12">
        <v>25569</v>
      </c>
      <c r="H224" s="12">
        <v>25569</v>
      </c>
      <c r="I224" s="11"/>
      <c r="J224" s="11" t="s">
        <v>45</v>
      </c>
      <c r="K224" s="11" t="s">
        <v>30</v>
      </c>
      <c r="L224" s="11" t="s">
        <v>18673</v>
      </c>
    </row>
    <row r="225" spans="1:12" ht="13.15" x14ac:dyDescent="0.4">
      <c r="A225" s="11" t="s">
        <v>17308</v>
      </c>
      <c r="B225" s="11"/>
      <c r="C225" s="11" t="s">
        <v>5377</v>
      </c>
      <c r="D225" s="11"/>
      <c r="E225" s="11"/>
      <c r="F225" s="11"/>
      <c r="G225" s="12">
        <v>19725</v>
      </c>
      <c r="H225" s="12">
        <v>19725</v>
      </c>
      <c r="I225" s="11"/>
      <c r="J225" s="11" t="s">
        <v>45</v>
      </c>
      <c r="K225" s="11" t="s">
        <v>30</v>
      </c>
      <c r="L225" s="11" t="s">
        <v>18075</v>
      </c>
    </row>
    <row r="226" spans="1:12" ht="13.15" x14ac:dyDescent="0.4">
      <c r="A226" s="11" t="s">
        <v>16707</v>
      </c>
      <c r="B226" s="11"/>
      <c r="C226" s="11" t="s">
        <v>5377</v>
      </c>
      <c r="D226" s="11"/>
      <c r="E226" s="11"/>
      <c r="F226" s="11"/>
      <c r="G226" s="12">
        <v>25204</v>
      </c>
      <c r="H226" s="12">
        <v>25204</v>
      </c>
      <c r="I226" s="11"/>
      <c r="J226" s="11" t="s">
        <v>45</v>
      </c>
      <c r="K226" s="11" t="s">
        <v>30</v>
      </c>
      <c r="L226" s="11" t="s">
        <v>18685</v>
      </c>
    </row>
    <row r="227" spans="1:12" ht="13.15" x14ac:dyDescent="0.4">
      <c r="A227" s="11" t="s">
        <v>17291</v>
      </c>
      <c r="B227" s="11"/>
      <c r="C227" s="11" t="s">
        <v>5377</v>
      </c>
      <c r="D227" s="11"/>
      <c r="E227" s="11"/>
      <c r="F227" s="11"/>
      <c r="G227" s="12">
        <v>20455</v>
      </c>
      <c r="H227" s="12">
        <v>20455</v>
      </c>
      <c r="I227" s="11"/>
      <c r="J227" s="11" t="s">
        <v>45</v>
      </c>
      <c r="K227" s="11" t="s">
        <v>30</v>
      </c>
      <c r="L227" s="11" t="s">
        <v>18093</v>
      </c>
    </row>
    <row r="228" spans="1:12" ht="13.15" x14ac:dyDescent="0.4">
      <c r="A228" s="11" t="s">
        <v>16712</v>
      </c>
      <c r="B228" s="11"/>
      <c r="C228" s="11" t="s">
        <v>5377</v>
      </c>
      <c r="D228" s="11"/>
      <c r="E228" s="11"/>
      <c r="F228" s="11"/>
      <c r="G228" s="12">
        <v>27395</v>
      </c>
      <c r="H228" s="12">
        <v>27395</v>
      </c>
      <c r="I228" s="11"/>
      <c r="J228" s="11" t="s">
        <v>45</v>
      </c>
      <c r="K228" s="11" t="s">
        <v>30</v>
      </c>
      <c r="L228" s="11" t="s">
        <v>18681</v>
      </c>
    </row>
    <row r="229" spans="1:12" ht="13.15" x14ac:dyDescent="0.4">
      <c r="A229" s="11" t="s">
        <v>16713</v>
      </c>
      <c r="B229" s="11"/>
      <c r="C229" s="11" t="s">
        <v>5377</v>
      </c>
      <c r="D229" s="11"/>
      <c r="E229" s="11"/>
      <c r="F229" s="11"/>
      <c r="G229" s="12">
        <v>25934</v>
      </c>
      <c r="H229" s="12">
        <v>25934</v>
      </c>
      <c r="I229" s="11"/>
      <c r="J229" s="11" t="s">
        <v>45</v>
      </c>
      <c r="K229" s="11" t="s">
        <v>30</v>
      </c>
      <c r="L229" s="11" t="s">
        <v>18680</v>
      </c>
    </row>
    <row r="230" spans="1:12" ht="13.15" x14ac:dyDescent="0.4">
      <c r="A230" s="11" t="s">
        <v>17318</v>
      </c>
      <c r="B230" s="11"/>
      <c r="C230" s="11" t="s">
        <v>5377</v>
      </c>
      <c r="D230" s="11"/>
      <c r="E230" s="11"/>
      <c r="F230" s="11"/>
      <c r="G230" s="12">
        <v>19725</v>
      </c>
      <c r="H230" s="12">
        <v>19725</v>
      </c>
      <c r="I230" s="11"/>
      <c r="J230" s="11" t="s">
        <v>45</v>
      </c>
      <c r="K230" s="11" t="s">
        <v>30</v>
      </c>
      <c r="L230" s="11" t="s">
        <v>18064</v>
      </c>
    </row>
    <row r="231" spans="1:12" ht="13.15" x14ac:dyDescent="0.4">
      <c r="A231" s="11" t="s">
        <v>17330</v>
      </c>
      <c r="B231" s="11"/>
      <c r="C231" s="11" t="s">
        <v>5377</v>
      </c>
      <c r="D231" s="11"/>
      <c r="E231" s="11"/>
      <c r="F231" s="11"/>
      <c r="G231" s="12">
        <v>19725</v>
      </c>
      <c r="H231" s="12">
        <v>19725</v>
      </c>
      <c r="I231" s="11"/>
      <c r="J231" s="11" t="s">
        <v>45</v>
      </c>
      <c r="K231" s="11" t="s">
        <v>30</v>
      </c>
      <c r="L231" s="11" t="s">
        <v>18051</v>
      </c>
    </row>
    <row r="232" spans="1:12" ht="13.15" x14ac:dyDescent="0.4">
      <c r="A232" s="11" t="s">
        <v>17271</v>
      </c>
      <c r="B232" s="11"/>
      <c r="C232" s="11" t="s">
        <v>5377</v>
      </c>
      <c r="D232" s="11"/>
      <c r="E232" s="11"/>
      <c r="F232" s="11"/>
      <c r="G232" s="12">
        <v>19360</v>
      </c>
      <c r="H232" s="12">
        <v>19360</v>
      </c>
      <c r="I232" s="11"/>
      <c r="J232" s="11" t="s">
        <v>45</v>
      </c>
      <c r="K232" s="11" t="s">
        <v>30</v>
      </c>
      <c r="L232" s="11" t="s">
        <v>18114</v>
      </c>
    </row>
    <row r="233" spans="1:12" ht="13.15" x14ac:dyDescent="0.4">
      <c r="A233" s="11" t="s">
        <v>16674</v>
      </c>
      <c r="B233" s="11"/>
      <c r="C233" s="11" t="s">
        <v>5377</v>
      </c>
      <c r="D233" s="11"/>
      <c r="E233" s="11"/>
      <c r="F233" s="11"/>
      <c r="G233" s="12">
        <v>25569</v>
      </c>
      <c r="H233" s="12">
        <v>25569</v>
      </c>
      <c r="I233" s="11"/>
      <c r="J233" s="11" t="s">
        <v>45</v>
      </c>
      <c r="K233" s="11" t="s">
        <v>30</v>
      </c>
      <c r="L233" s="11" t="s">
        <v>18717</v>
      </c>
    </row>
    <row r="234" spans="1:12" ht="13.15" x14ac:dyDescent="0.4">
      <c r="A234" s="11" t="s">
        <v>17357</v>
      </c>
      <c r="B234" s="11"/>
      <c r="C234" s="11" t="s">
        <v>5377</v>
      </c>
      <c r="D234" s="11"/>
      <c r="E234" s="11"/>
      <c r="F234" s="11"/>
      <c r="G234" s="12">
        <v>19725</v>
      </c>
      <c r="H234" s="12">
        <v>19725</v>
      </c>
      <c r="I234" s="11"/>
      <c r="J234" s="11" t="s">
        <v>45</v>
      </c>
      <c r="K234" s="11" t="s">
        <v>30</v>
      </c>
      <c r="L234" s="11" t="s">
        <v>18020</v>
      </c>
    </row>
    <row r="235" spans="1:12" ht="13.15" x14ac:dyDescent="0.4">
      <c r="A235" s="11" t="s">
        <v>17619</v>
      </c>
      <c r="B235" s="11"/>
      <c r="C235" s="11" t="s">
        <v>5377</v>
      </c>
      <c r="D235" s="11"/>
      <c r="E235" s="11"/>
      <c r="F235" s="11"/>
      <c r="G235" s="12">
        <v>16803</v>
      </c>
      <c r="H235" s="12">
        <v>16803</v>
      </c>
      <c r="I235" s="11"/>
      <c r="J235" s="11" t="s">
        <v>45</v>
      </c>
      <c r="K235" s="11" t="s">
        <v>30</v>
      </c>
      <c r="L235" s="11" t="s">
        <v>17757</v>
      </c>
    </row>
    <row r="236" spans="1:12" ht="13.15" x14ac:dyDescent="0.4">
      <c r="A236" s="11" t="s">
        <v>17452</v>
      </c>
      <c r="B236" s="11"/>
      <c r="C236" s="11" t="s">
        <v>5377</v>
      </c>
      <c r="D236" s="11"/>
      <c r="E236" s="11"/>
      <c r="F236" s="11"/>
      <c r="G236" s="12">
        <v>16803</v>
      </c>
      <c r="H236" s="12">
        <v>16803</v>
      </c>
      <c r="I236" s="11"/>
      <c r="J236" s="11" t="s">
        <v>45</v>
      </c>
      <c r="K236" s="11" t="s">
        <v>30</v>
      </c>
      <c r="L236" s="11" t="s">
        <v>17923</v>
      </c>
    </row>
    <row r="237" spans="1:12" ht="13.15" x14ac:dyDescent="0.4">
      <c r="A237" s="11" t="s">
        <v>17454</v>
      </c>
      <c r="B237" s="11"/>
      <c r="C237" s="11" t="s">
        <v>5377</v>
      </c>
      <c r="D237" s="11"/>
      <c r="E237" s="11"/>
      <c r="F237" s="11"/>
      <c r="G237" s="12">
        <v>16803</v>
      </c>
      <c r="H237" s="12">
        <v>16803</v>
      </c>
      <c r="I237" s="11"/>
      <c r="J237" s="11" t="s">
        <v>45</v>
      </c>
      <c r="K237" s="11" t="s">
        <v>30</v>
      </c>
      <c r="L237" s="11" t="s">
        <v>17921</v>
      </c>
    </row>
    <row r="238" spans="1:12" ht="13.15" x14ac:dyDescent="0.4">
      <c r="A238" s="11" t="s">
        <v>17277</v>
      </c>
      <c r="B238" s="11"/>
      <c r="C238" s="11" t="s">
        <v>5377</v>
      </c>
      <c r="D238" s="11"/>
      <c r="E238" s="11"/>
      <c r="F238" s="11"/>
      <c r="G238" s="12">
        <v>16803</v>
      </c>
      <c r="H238" s="12">
        <v>16803</v>
      </c>
      <c r="I238" s="11"/>
      <c r="J238" s="11" t="s">
        <v>45</v>
      </c>
      <c r="K238" s="11" t="s">
        <v>30</v>
      </c>
      <c r="L238" s="11" t="s">
        <v>18107</v>
      </c>
    </row>
    <row r="239" spans="1:12" ht="13.15" x14ac:dyDescent="0.4">
      <c r="A239" s="11" t="s">
        <v>17429</v>
      </c>
      <c r="B239" s="11"/>
      <c r="C239" s="11" t="s">
        <v>5377</v>
      </c>
      <c r="D239" s="11"/>
      <c r="E239" s="11"/>
      <c r="F239" s="11"/>
      <c r="G239" s="12">
        <v>16803</v>
      </c>
      <c r="H239" s="12">
        <v>16803</v>
      </c>
      <c r="I239" s="11"/>
      <c r="J239" s="11" t="s">
        <v>45</v>
      </c>
      <c r="K239" s="11" t="s">
        <v>30</v>
      </c>
      <c r="L239" s="11" t="s">
        <v>17946</v>
      </c>
    </row>
    <row r="240" spans="1:12" ht="13.15" x14ac:dyDescent="0.4">
      <c r="A240" s="11" t="s">
        <v>17517</v>
      </c>
      <c r="B240" s="11"/>
      <c r="C240" s="11" t="s">
        <v>5377</v>
      </c>
      <c r="D240" s="11"/>
      <c r="E240" s="11" t="s">
        <v>17161</v>
      </c>
      <c r="F240" s="11"/>
      <c r="G240" s="12">
        <v>16803</v>
      </c>
      <c r="H240" s="12">
        <v>16803</v>
      </c>
      <c r="I240" s="11"/>
      <c r="J240" s="11" t="s">
        <v>45</v>
      </c>
      <c r="K240" s="11" t="s">
        <v>30</v>
      </c>
      <c r="L240" s="11" t="s">
        <v>17860</v>
      </c>
    </row>
    <row r="241" spans="1:12" ht="13.15" x14ac:dyDescent="0.4">
      <c r="A241" s="11" t="s">
        <v>17516</v>
      </c>
      <c r="B241" s="11"/>
      <c r="C241" s="11" t="s">
        <v>5377</v>
      </c>
      <c r="D241" s="11"/>
      <c r="E241" s="11"/>
      <c r="F241" s="11"/>
      <c r="G241" s="12">
        <v>16803</v>
      </c>
      <c r="H241" s="12">
        <v>16803</v>
      </c>
      <c r="I241" s="11"/>
      <c r="J241" s="11" t="s">
        <v>45</v>
      </c>
      <c r="K241" s="11" t="s">
        <v>30</v>
      </c>
      <c r="L241" s="11" t="s">
        <v>17861</v>
      </c>
    </row>
    <row r="242" spans="1:12" ht="13.15" x14ac:dyDescent="0.4">
      <c r="A242" s="11" t="s">
        <v>17527</v>
      </c>
      <c r="B242" s="11"/>
      <c r="C242" s="11" t="s">
        <v>5377</v>
      </c>
      <c r="D242" s="11"/>
      <c r="E242" s="11"/>
      <c r="F242" s="11"/>
      <c r="G242" s="12">
        <v>16803</v>
      </c>
      <c r="H242" s="12">
        <v>16803</v>
      </c>
      <c r="I242" s="11"/>
      <c r="J242" s="11" t="s">
        <v>45</v>
      </c>
      <c r="K242" s="11" t="s">
        <v>30</v>
      </c>
      <c r="L242" s="11" t="s">
        <v>17848</v>
      </c>
    </row>
    <row r="243" spans="1:12" ht="13.15" x14ac:dyDescent="0.4">
      <c r="A243" s="11" t="s">
        <v>17437</v>
      </c>
      <c r="B243" s="11"/>
      <c r="C243" s="11" t="s">
        <v>5377</v>
      </c>
      <c r="D243" s="11"/>
      <c r="E243" s="11"/>
      <c r="F243" s="11"/>
      <c r="G243" s="12">
        <v>16803</v>
      </c>
      <c r="H243" s="12">
        <v>16803</v>
      </c>
      <c r="I243" s="11"/>
      <c r="J243" s="11" t="s">
        <v>45</v>
      </c>
      <c r="K243" s="11" t="s">
        <v>30</v>
      </c>
      <c r="L243" s="11" t="s">
        <v>17937</v>
      </c>
    </row>
    <row r="244" spans="1:12" ht="13.15" x14ac:dyDescent="0.4">
      <c r="A244" s="11" t="s">
        <v>17635</v>
      </c>
      <c r="B244" s="11"/>
      <c r="C244" s="11" t="s">
        <v>5377</v>
      </c>
      <c r="D244" s="11"/>
      <c r="E244" s="11"/>
      <c r="F244" s="11"/>
      <c r="G244" s="12">
        <v>16803</v>
      </c>
      <c r="H244" s="12">
        <v>16803</v>
      </c>
      <c r="I244" s="11"/>
      <c r="J244" s="11" t="s">
        <v>45</v>
      </c>
      <c r="K244" s="11" t="s">
        <v>30</v>
      </c>
      <c r="L244" s="11" t="s">
        <v>17740</v>
      </c>
    </row>
    <row r="245" spans="1:12" ht="13.15" x14ac:dyDescent="0.4">
      <c r="A245" s="11" t="s">
        <v>17366</v>
      </c>
      <c r="B245" s="11"/>
      <c r="C245" s="11" t="s">
        <v>5377</v>
      </c>
      <c r="D245" s="11"/>
      <c r="E245" s="11"/>
      <c r="F245" s="11"/>
      <c r="G245" s="12">
        <v>16803</v>
      </c>
      <c r="H245" s="12">
        <v>16803</v>
      </c>
      <c r="I245" s="11"/>
      <c r="J245" s="11" t="s">
        <v>45</v>
      </c>
      <c r="K245" s="11" t="s">
        <v>30</v>
      </c>
      <c r="L245" s="11" t="s">
        <v>18011</v>
      </c>
    </row>
    <row r="246" spans="1:12" ht="13.15" x14ac:dyDescent="0.4">
      <c r="A246" s="11" t="s">
        <v>17506</v>
      </c>
      <c r="B246" s="11"/>
      <c r="C246" s="11" t="s">
        <v>5377</v>
      </c>
      <c r="D246" s="11"/>
      <c r="E246" s="11"/>
      <c r="F246" s="11"/>
      <c r="G246" s="12">
        <v>16803</v>
      </c>
      <c r="H246" s="12">
        <v>16803</v>
      </c>
      <c r="I246" s="11"/>
      <c r="J246" s="11" t="s">
        <v>45</v>
      </c>
      <c r="K246" s="11" t="s">
        <v>30</v>
      </c>
      <c r="L246" s="11" t="s">
        <v>17872</v>
      </c>
    </row>
    <row r="247" spans="1:12" ht="13.15" x14ac:dyDescent="0.4">
      <c r="A247" s="11" t="s">
        <v>17590</v>
      </c>
      <c r="B247" s="11"/>
      <c r="C247" s="11" t="s">
        <v>5377</v>
      </c>
      <c r="D247" s="11"/>
      <c r="E247" s="11" t="s">
        <v>17161</v>
      </c>
      <c r="F247" s="11"/>
      <c r="G247" s="12">
        <v>16803</v>
      </c>
      <c r="H247" s="12">
        <v>16803</v>
      </c>
      <c r="I247" s="11"/>
      <c r="J247" s="11" t="s">
        <v>45</v>
      </c>
      <c r="K247" s="11" t="s">
        <v>30</v>
      </c>
      <c r="L247" s="11" t="s">
        <v>17784</v>
      </c>
    </row>
    <row r="248" spans="1:12" ht="13.15" x14ac:dyDescent="0.4">
      <c r="A248" s="11" t="s">
        <v>17637</v>
      </c>
      <c r="B248" s="11"/>
      <c r="C248" s="11" t="s">
        <v>5377</v>
      </c>
      <c r="D248" s="11"/>
      <c r="E248" s="11"/>
      <c r="F248" s="11"/>
      <c r="G248" s="12">
        <v>16803</v>
      </c>
      <c r="H248" s="12">
        <v>16803</v>
      </c>
      <c r="I248" s="11"/>
      <c r="J248" s="11" t="s">
        <v>45</v>
      </c>
      <c r="K248" s="11" t="s">
        <v>30</v>
      </c>
      <c r="L248" s="11" t="s">
        <v>17738</v>
      </c>
    </row>
    <row r="249" spans="1:12" ht="13.15" x14ac:dyDescent="0.4">
      <c r="A249" s="11" t="s">
        <v>5377</v>
      </c>
      <c r="B249" s="11"/>
      <c r="C249" s="11" t="s">
        <v>5377</v>
      </c>
      <c r="D249" s="11"/>
      <c r="E249" s="11"/>
      <c r="F249" s="11"/>
      <c r="G249" s="12">
        <v>16803</v>
      </c>
      <c r="H249" s="12">
        <v>16803</v>
      </c>
      <c r="I249" s="11"/>
      <c r="J249" s="11" t="s">
        <v>45</v>
      </c>
      <c r="K249" s="11" t="s">
        <v>30</v>
      </c>
      <c r="L249" s="11" t="s">
        <v>17778</v>
      </c>
    </row>
    <row r="250" spans="1:12" ht="13.15" x14ac:dyDescent="0.4">
      <c r="A250" s="11" t="s">
        <v>17469</v>
      </c>
      <c r="B250" s="11"/>
      <c r="C250" s="11" t="s">
        <v>5377</v>
      </c>
      <c r="D250" s="11"/>
      <c r="E250" s="11"/>
      <c r="F250" s="11"/>
      <c r="G250" s="12">
        <v>16803</v>
      </c>
      <c r="H250" s="12">
        <v>16803</v>
      </c>
      <c r="I250" s="11"/>
      <c r="J250" s="11" t="s">
        <v>45</v>
      </c>
      <c r="K250" s="11" t="s">
        <v>30</v>
      </c>
      <c r="L250" s="11" t="s">
        <v>17908</v>
      </c>
    </row>
    <row r="251" spans="1:12" ht="13.15" x14ac:dyDescent="0.4">
      <c r="A251" s="11" t="s">
        <v>17354</v>
      </c>
      <c r="B251" s="11"/>
      <c r="C251" s="11" t="s">
        <v>5377</v>
      </c>
      <c r="D251" s="11"/>
      <c r="E251" s="11"/>
      <c r="F251" s="11"/>
      <c r="G251" s="12">
        <v>19360</v>
      </c>
      <c r="H251" s="12">
        <v>19360</v>
      </c>
      <c r="I251" s="11"/>
      <c r="J251" s="11" t="s">
        <v>45</v>
      </c>
      <c r="K251" s="11" t="s">
        <v>30</v>
      </c>
      <c r="L251" s="11" t="s">
        <v>18023</v>
      </c>
    </row>
    <row r="252" spans="1:12" ht="13.15" x14ac:dyDescent="0.4">
      <c r="A252" s="11" t="s">
        <v>17492</v>
      </c>
      <c r="B252" s="11"/>
      <c r="C252" s="11" t="s">
        <v>5377</v>
      </c>
      <c r="D252" s="11"/>
      <c r="E252" s="11" t="s">
        <v>17161</v>
      </c>
      <c r="F252" s="11"/>
      <c r="G252" s="12">
        <v>16803</v>
      </c>
      <c r="H252" s="12">
        <v>16803</v>
      </c>
      <c r="I252" s="11"/>
      <c r="J252" s="11" t="s">
        <v>45</v>
      </c>
      <c r="K252" s="11" t="s">
        <v>30</v>
      </c>
      <c r="L252" s="11" t="s">
        <v>17885</v>
      </c>
    </row>
    <row r="253" spans="1:12" ht="13.15" x14ac:dyDescent="0.4">
      <c r="A253" s="11" t="s">
        <v>17370</v>
      </c>
      <c r="B253" s="11"/>
      <c r="C253" s="11" t="s">
        <v>5377</v>
      </c>
      <c r="D253" s="11"/>
      <c r="E253" s="11"/>
      <c r="F253" s="11"/>
      <c r="G253" s="12">
        <v>16803</v>
      </c>
      <c r="H253" s="12">
        <v>16803</v>
      </c>
      <c r="I253" s="11"/>
      <c r="J253" s="11" t="s">
        <v>45</v>
      </c>
      <c r="K253" s="11" t="s">
        <v>30</v>
      </c>
      <c r="L253" s="11" t="s">
        <v>18007</v>
      </c>
    </row>
    <row r="254" spans="1:12" ht="13.15" x14ac:dyDescent="0.4">
      <c r="A254" s="11" t="s">
        <v>17447</v>
      </c>
      <c r="B254" s="11"/>
      <c r="C254" s="11" t="s">
        <v>5377</v>
      </c>
      <c r="D254" s="11"/>
      <c r="E254" s="11" t="s">
        <v>17161</v>
      </c>
      <c r="F254" s="11"/>
      <c r="G254" s="12">
        <v>16803</v>
      </c>
      <c r="H254" s="12">
        <v>16803</v>
      </c>
      <c r="I254" s="11"/>
      <c r="J254" s="11" t="s">
        <v>45</v>
      </c>
      <c r="K254" s="11" t="s">
        <v>30</v>
      </c>
      <c r="L254" s="11" t="s">
        <v>17928</v>
      </c>
    </row>
    <row r="255" spans="1:12" ht="13.15" x14ac:dyDescent="0.4">
      <c r="A255" s="11" t="s">
        <v>17410</v>
      </c>
      <c r="B255" s="11"/>
      <c r="C255" s="11" t="s">
        <v>5377</v>
      </c>
      <c r="D255" s="11"/>
      <c r="E255" s="11" t="s">
        <v>17161</v>
      </c>
      <c r="F255" s="11"/>
      <c r="G255" s="12">
        <v>16803</v>
      </c>
      <c r="H255" s="12">
        <v>16803</v>
      </c>
      <c r="I255" s="11"/>
      <c r="J255" s="11" t="s">
        <v>45</v>
      </c>
      <c r="K255" s="11" t="s">
        <v>30</v>
      </c>
      <c r="L255" s="11" t="s">
        <v>17965</v>
      </c>
    </row>
    <row r="256" spans="1:12" ht="13.15" x14ac:dyDescent="0.4">
      <c r="A256" s="11" t="s">
        <v>17351</v>
      </c>
      <c r="B256" s="11"/>
      <c r="C256" s="11" t="s">
        <v>5377</v>
      </c>
      <c r="D256" s="11"/>
      <c r="E256" s="11"/>
      <c r="F256" s="11"/>
      <c r="G256" s="12">
        <v>16803</v>
      </c>
      <c r="H256" s="12">
        <v>16803</v>
      </c>
      <c r="I256" s="11"/>
      <c r="J256" s="11" t="s">
        <v>45</v>
      </c>
      <c r="K256" s="11" t="s">
        <v>30</v>
      </c>
      <c r="L256" s="11" t="s">
        <v>18026</v>
      </c>
    </row>
    <row r="257" spans="1:12" ht="13.15" x14ac:dyDescent="0.4">
      <c r="A257" s="11" t="s">
        <v>17541</v>
      </c>
      <c r="B257" s="11"/>
      <c r="C257" s="11" t="s">
        <v>5377</v>
      </c>
      <c r="D257" s="11"/>
      <c r="E257" s="11"/>
      <c r="F257" s="11"/>
      <c r="G257" s="12">
        <v>16803</v>
      </c>
      <c r="H257" s="12">
        <v>16803</v>
      </c>
      <c r="I257" s="11"/>
      <c r="J257" s="11" t="s">
        <v>45</v>
      </c>
      <c r="K257" s="11" t="s">
        <v>30</v>
      </c>
      <c r="L257" s="11" t="s">
        <v>17834</v>
      </c>
    </row>
    <row r="258" spans="1:12" ht="13.15" x14ac:dyDescent="0.4">
      <c r="A258" s="11" t="s">
        <v>17546</v>
      </c>
      <c r="B258" s="11"/>
      <c r="C258" s="11" t="s">
        <v>5377</v>
      </c>
      <c r="D258" s="11"/>
      <c r="E258" s="11"/>
      <c r="F258" s="11"/>
      <c r="G258" s="12">
        <v>16803</v>
      </c>
      <c r="H258" s="12">
        <v>16803</v>
      </c>
      <c r="I258" s="11"/>
      <c r="J258" s="11" t="s">
        <v>45</v>
      </c>
      <c r="K258" s="11" t="s">
        <v>30</v>
      </c>
      <c r="L258" s="11" t="s">
        <v>17830</v>
      </c>
    </row>
    <row r="259" spans="1:12" ht="13.15" x14ac:dyDescent="0.4">
      <c r="A259" s="11" t="s">
        <v>17476</v>
      </c>
      <c r="B259" s="11"/>
      <c r="C259" s="11" t="s">
        <v>5377</v>
      </c>
      <c r="D259" s="11"/>
      <c r="E259" s="11"/>
      <c r="F259" s="11"/>
      <c r="G259" s="12">
        <v>16803</v>
      </c>
      <c r="H259" s="12">
        <v>16803</v>
      </c>
      <c r="I259" s="11"/>
      <c r="J259" s="11" t="s">
        <v>45</v>
      </c>
      <c r="K259" s="11" t="s">
        <v>30</v>
      </c>
      <c r="L259" s="11" t="s">
        <v>17901</v>
      </c>
    </row>
    <row r="260" spans="1:12" ht="13.15" x14ac:dyDescent="0.4">
      <c r="A260" s="11" t="s">
        <v>17444</v>
      </c>
      <c r="B260" s="11"/>
      <c r="C260" s="11" t="s">
        <v>5377</v>
      </c>
      <c r="D260" s="11"/>
      <c r="E260" s="11" t="s">
        <v>17445</v>
      </c>
      <c r="F260" s="11"/>
      <c r="G260" s="12">
        <v>16803</v>
      </c>
      <c r="H260" s="12">
        <v>16803</v>
      </c>
      <c r="I260" s="11"/>
      <c r="J260" s="11" t="s">
        <v>45</v>
      </c>
      <c r="K260" s="11" t="s">
        <v>30</v>
      </c>
      <c r="L260" s="11" t="s">
        <v>17930</v>
      </c>
    </row>
    <row r="261" spans="1:12" ht="13.15" x14ac:dyDescent="0.4">
      <c r="A261" s="11" t="s">
        <v>17375</v>
      </c>
      <c r="B261" s="11"/>
      <c r="C261" s="11" t="s">
        <v>5377</v>
      </c>
      <c r="D261" s="11"/>
      <c r="E261" s="11"/>
      <c r="F261" s="11"/>
      <c r="G261" s="12">
        <v>16803</v>
      </c>
      <c r="H261" s="12">
        <v>16803</v>
      </c>
      <c r="I261" s="11"/>
      <c r="J261" s="11" t="s">
        <v>45</v>
      </c>
      <c r="K261" s="11" t="s">
        <v>30</v>
      </c>
      <c r="L261" s="11" t="s">
        <v>18002</v>
      </c>
    </row>
    <row r="262" spans="1:12" ht="13.15" x14ac:dyDescent="0.4">
      <c r="A262" s="11" t="s">
        <v>17386</v>
      </c>
      <c r="B262" s="11"/>
      <c r="C262" s="11" t="s">
        <v>5377</v>
      </c>
      <c r="D262" s="11"/>
      <c r="E262" s="11"/>
      <c r="F262" s="11"/>
      <c r="G262" s="12">
        <v>16803</v>
      </c>
      <c r="H262" s="12">
        <v>16803</v>
      </c>
      <c r="I262" s="11"/>
      <c r="J262" s="11" t="s">
        <v>45</v>
      </c>
      <c r="K262" s="11" t="s">
        <v>30</v>
      </c>
      <c r="L262" s="11" t="s">
        <v>17991</v>
      </c>
    </row>
    <row r="263" spans="1:12" ht="13.15" x14ac:dyDescent="0.4">
      <c r="A263" s="11" t="s">
        <v>17433</v>
      </c>
      <c r="B263" s="11"/>
      <c r="C263" s="11" t="s">
        <v>5377</v>
      </c>
      <c r="D263" s="11"/>
      <c r="E263" s="11"/>
      <c r="F263" s="11"/>
      <c r="G263" s="12">
        <v>16803</v>
      </c>
      <c r="H263" s="12">
        <v>16803</v>
      </c>
      <c r="I263" s="11"/>
      <c r="J263" s="11" t="s">
        <v>45</v>
      </c>
      <c r="K263" s="11" t="s">
        <v>30</v>
      </c>
      <c r="L263" s="11" t="s">
        <v>17941</v>
      </c>
    </row>
    <row r="264" spans="1:12" ht="13.15" x14ac:dyDescent="0.4">
      <c r="A264" s="11" t="s">
        <v>17432</v>
      </c>
      <c r="B264" s="11"/>
      <c r="C264" s="11" t="s">
        <v>5377</v>
      </c>
      <c r="D264" s="11"/>
      <c r="E264" s="11"/>
      <c r="F264" s="11"/>
      <c r="G264" s="12">
        <v>16803</v>
      </c>
      <c r="H264" s="12">
        <v>16803</v>
      </c>
      <c r="I264" s="11"/>
      <c r="J264" s="11" t="s">
        <v>45</v>
      </c>
      <c r="K264" s="11" t="s">
        <v>30</v>
      </c>
      <c r="L264" s="11" t="s">
        <v>17942</v>
      </c>
    </row>
    <row r="265" spans="1:12" ht="13.15" x14ac:dyDescent="0.4">
      <c r="A265" s="11" t="s">
        <v>17515</v>
      </c>
      <c r="B265" s="11"/>
      <c r="C265" s="11" t="s">
        <v>5377</v>
      </c>
      <c r="D265" s="11"/>
      <c r="E265" s="11" t="s">
        <v>17161</v>
      </c>
      <c r="F265" s="11"/>
      <c r="G265" s="12">
        <v>16803</v>
      </c>
      <c r="H265" s="12">
        <v>16803</v>
      </c>
      <c r="I265" s="11"/>
      <c r="J265" s="11" t="s">
        <v>45</v>
      </c>
      <c r="K265" s="11" t="s">
        <v>30</v>
      </c>
      <c r="L265" s="11" t="s">
        <v>17862</v>
      </c>
    </row>
    <row r="266" spans="1:12" ht="13.15" x14ac:dyDescent="0.4">
      <c r="A266" s="11" t="s">
        <v>17513</v>
      </c>
      <c r="B266" s="11"/>
      <c r="C266" s="11" t="s">
        <v>5377</v>
      </c>
      <c r="D266" s="11"/>
      <c r="E266" s="11"/>
      <c r="F266" s="11"/>
      <c r="G266" s="12">
        <v>16803</v>
      </c>
      <c r="H266" s="12">
        <v>16803</v>
      </c>
      <c r="I266" s="11"/>
      <c r="J266" s="11" t="s">
        <v>45</v>
      </c>
      <c r="K266" s="11" t="s">
        <v>30</v>
      </c>
      <c r="L266" s="11" t="s">
        <v>17865</v>
      </c>
    </row>
    <row r="267" spans="1:12" ht="13.15" x14ac:dyDescent="0.4">
      <c r="A267" s="11" t="s">
        <v>17298</v>
      </c>
      <c r="B267" s="11"/>
      <c r="C267" s="11" t="s">
        <v>5377</v>
      </c>
      <c r="D267" s="11"/>
      <c r="E267" s="11"/>
      <c r="F267" s="11"/>
      <c r="G267" s="12">
        <v>16803</v>
      </c>
      <c r="H267" s="12">
        <v>16803</v>
      </c>
      <c r="I267" s="11"/>
      <c r="J267" s="11" t="s">
        <v>45</v>
      </c>
      <c r="K267" s="11" t="s">
        <v>30</v>
      </c>
      <c r="L267" s="11" t="s">
        <v>18086</v>
      </c>
    </row>
    <row r="268" spans="1:12" ht="13.15" x14ac:dyDescent="0.4">
      <c r="A268" s="11" t="s">
        <v>17520</v>
      </c>
      <c r="B268" s="11"/>
      <c r="C268" s="11" t="s">
        <v>5377</v>
      </c>
      <c r="D268" s="11"/>
      <c r="E268" s="11" t="s">
        <v>17161</v>
      </c>
      <c r="F268" s="11"/>
      <c r="G268" s="12">
        <v>16803</v>
      </c>
      <c r="H268" s="12">
        <v>16803</v>
      </c>
      <c r="I268" s="11"/>
      <c r="J268" s="11" t="s">
        <v>45</v>
      </c>
      <c r="K268" s="11" t="s">
        <v>30</v>
      </c>
      <c r="L268" s="11" t="s">
        <v>17857</v>
      </c>
    </row>
    <row r="269" spans="1:12" ht="13.15" x14ac:dyDescent="0.4">
      <c r="A269" s="11" t="s">
        <v>17528</v>
      </c>
      <c r="B269" s="11"/>
      <c r="C269" s="11" t="s">
        <v>5377</v>
      </c>
      <c r="D269" s="11"/>
      <c r="E269" s="11"/>
      <c r="F269" s="11"/>
      <c r="G269" s="12">
        <v>16803</v>
      </c>
      <c r="H269" s="12">
        <v>16803</v>
      </c>
      <c r="I269" s="11"/>
      <c r="J269" s="11" t="s">
        <v>45</v>
      </c>
      <c r="K269" s="11" t="s">
        <v>30</v>
      </c>
      <c r="L269" s="11" t="s">
        <v>17847</v>
      </c>
    </row>
    <row r="270" spans="1:12" ht="13.15" x14ac:dyDescent="0.4">
      <c r="A270" s="11" t="s">
        <v>17640</v>
      </c>
      <c r="B270" s="11"/>
      <c r="C270" s="11" t="s">
        <v>5377</v>
      </c>
      <c r="D270" s="11"/>
      <c r="E270" s="11" t="s">
        <v>17161</v>
      </c>
      <c r="F270" s="11"/>
      <c r="G270" s="12">
        <v>16803</v>
      </c>
      <c r="H270" s="12">
        <v>16803</v>
      </c>
      <c r="I270" s="11"/>
      <c r="J270" s="11" t="s">
        <v>45</v>
      </c>
      <c r="K270" s="11" t="s">
        <v>30</v>
      </c>
      <c r="L270" s="11" t="s">
        <v>17735</v>
      </c>
    </row>
    <row r="271" spans="1:12" ht="13.15" x14ac:dyDescent="0.4">
      <c r="A271" s="11" t="s">
        <v>17435</v>
      </c>
      <c r="B271" s="11"/>
      <c r="C271" s="11" t="s">
        <v>5377</v>
      </c>
      <c r="D271" s="11"/>
      <c r="E271" s="11" t="s">
        <v>17161</v>
      </c>
      <c r="F271" s="11"/>
      <c r="G271" s="12">
        <v>16803</v>
      </c>
      <c r="H271" s="12">
        <v>16803</v>
      </c>
      <c r="I271" s="11"/>
      <c r="J271" s="11" t="s">
        <v>45</v>
      </c>
      <c r="K271" s="11" t="s">
        <v>30</v>
      </c>
      <c r="L271" s="11" t="s">
        <v>17939</v>
      </c>
    </row>
    <row r="272" spans="1:12" ht="13.15" x14ac:dyDescent="0.4">
      <c r="A272" s="11" t="s">
        <v>17446</v>
      </c>
      <c r="B272" s="11"/>
      <c r="C272" s="11" t="s">
        <v>5377</v>
      </c>
      <c r="D272" s="11"/>
      <c r="E272" s="11"/>
      <c r="F272" s="11"/>
      <c r="G272" s="12">
        <v>16803</v>
      </c>
      <c r="H272" s="12">
        <v>16803</v>
      </c>
      <c r="I272" s="11"/>
      <c r="J272" s="11" t="s">
        <v>45</v>
      </c>
      <c r="K272" s="11" t="s">
        <v>30</v>
      </c>
      <c r="L272" s="11" t="s">
        <v>17929</v>
      </c>
    </row>
    <row r="273" spans="1:12" ht="13.15" x14ac:dyDescent="0.4">
      <c r="A273" s="11" t="s">
        <v>17372</v>
      </c>
      <c r="B273" s="11"/>
      <c r="C273" s="11" t="s">
        <v>5377</v>
      </c>
      <c r="D273" s="11"/>
      <c r="E273" s="11"/>
      <c r="F273" s="11"/>
      <c r="G273" s="12">
        <v>16803</v>
      </c>
      <c r="H273" s="12">
        <v>16803</v>
      </c>
      <c r="I273" s="11"/>
      <c r="J273" s="11" t="s">
        <v>45</v>
      </c>
      <c r="K273" s="11" t="s">
        <v>30</v>
      </c>
      <c r="L273" s="11" t="s">
        <v>18005</v>
      </c>
    </row>
    <row r="274" spans="1:12" ht="13.15" x14ac:dyDescent="0.4">
      <c r="A274" s="11" t="s">
        <v>17625</v>
      </c>
      <c r="B274" s="11"/>
      <c r="C274" s="11" t="s">
        <v>5377</v>
      </c>
      <c r="D274" s="11"/>
      <c r="E274" s="11"/>
      <c r="F274" s="11"/>
      <c r="G274" s="12">
        <v>16803</v>
      </c>
      <c r="H274" s="12">
        <v>16803</v>
      </c>
      <c r="I274" s="11"/>
      <c r="J274" s="11" t="s">
        <v>45</v>
      </c>
      <c r="K274" s="11" t="s">
        <v>30</v>
      </c>
      <c r="L274" s="11" t="s">
        <v>17752</v>
      </c>
    </row>
    <row r="275" spans="1:12" ht="13.15" x14ac:dyDescent="0.4">
      <c r="A275" s="11" t="s">
        <v>17484</v>
      </c>
      <c r="B275" s="11"/>
      <c r="C275" s="11" t="s">
        <v>5377</v>
      </c>
      <c r="D275" s="11"/>
      <c r="E275" s="11"/>
      <c r="F275" s="11"/>
      <c r="G275" s="12">
        <v>16803</v>
      </c>
      <c r="H275" s="12">
        <v>16803</v>
      </c>
      <c r="I275" s="11"/>
      <c r="J275" s="11" t="s">
        <v>45</v>
      </c>
      <c r="K275" s="11" t="s">
        <v>30</v>
      </c>
      <c r="L275" s="11" t="s">
        <v>17893</v>
      </c>
    </row>
    <row r="276" spans="1:12" ht="13.15" x14ac:dyDescent="0.4">
      <c r="A276" s="11" t="s">
        <v>17415</v>
      </c>
      <c r="B276" s="11"/>
      <c r="C276" s="11" t="s">
        <v>5377</v>
      </c>
      <c r="D276" s="11"/>
      <c r="E276" s="11"/>
      <c r="F276" s="11"/>
      <c r="G276" s="12">
        <v>16803</v>
      </c>
      <c r="H276" s="12">
        <v>16803</v>
      </c>
      <c r="I276" s="11"/>
      <c r="J276" s="11" t="s">
        <v>45</v>
      </c>
      <c r="K276" s="11" t="s">
        <v>30</v>
      </c>
      <c r="L276" s="11" t="s">
        <v>17960</v>
      </c>
    </row>
    <row r="277" spans="1:12" ht="13.15" x14ac:dyDescent="0.4">
      <c r="A277" s="11" t="s">
        <v>17496</v>
      </c>
      <c r="B277" s="11"/>
      <c r="C277" s="11" t="s">
        <v>5377</v>
      </c>
      <c r="D277" s="11"/>
      <c r="E277" s="11"/>
      <c r="F277" s="11"/>
      <c r="G277" s="12">
        <v>16803</v>
      </c>
      <c r="H277" s="12">
        <v>16803</v>
      </c>
      <c r="I277" s="11"/>
      <c r="J277" s="11" t="s">
        <v>45</v>
      </c>
      <c r="K277" s="11" t="s">
        <v>30</v>
      </c>
      <c r="L277" s="11" t="s">
        <v>17881</v>
      </c>
    </row>
    <row r="278" spans="1:12" ht="13.15" x14ac:dyDescent="0.4">
      <c r="A278" s="11" t="s">
        <v>17389</v>
      </c>
      <c r="B278" s="11"/>
      <c r="C278" s="11" t="s">
        <v>5377</v>
      </c>
      <c r="D278" s="11"/>
      <c r="E278" s="11"/>
      <c r="F278" s="11"/>
      <c r="G278" s="12">
        <v>16803</v>
      </c>
      <c r="H278" s="12">
        <v>16803</v>
      </c>
      <c r="I278" s="11"/>
      <c r="J278" s="11" t="s">
        <v>45</v>
      </c>
      <c r="K278" s="11" t="s">
        <v>30</v>
      </c>
      <c r="L278" s="11" t="s">
        <v>17988</v>
      </c>
    </row>
    <row r="279" spans="1:12" ht="13.15" x14ac:dyDescent="0.4">
      <c r="A279" s="11" t="s">
        <v>17526</v>
      </c>
      <c r="B279" s="11"/>
      <c r="C279" s="11" t="s">
        <v>5377</v>
      </c>
      <c r="D279" s="11"/>
      <c r="E279" s="11" t="s">
        <v>17161</v>
      </c>
      <c r="F279" s="11"/>
      <c r="G279" s="12">
        <v>16803</v>
      </c>
      <c r="H279" s="12">
        <v>16803</v>
      </c>
      <c r="I279" s="11"/>
      <c r="J279" s="11" t="s">
        <v>45</v>
      </c>
      <c r="K279" s="11" t="s">
        <v>30</v>
      </c>
      <c r="L279" s="11" t="s">
        <v>17849</v>
      </c>
    </row>
    <row r="280" spans="1:12" ht="13.15" x14ac:dyDescent="0.4">
      <c r="A280" s="11" t="s">
        <v>17629</v>
      </c>
      <c r="B280" s="11"/>
      <c r="C280" s="11" t="s">
        <v>5377</v>
      </c>
      <c r="D280" s="11"/>
      <c r="E280" s="11" t="s">
        <v>17161</v>
      </c>
      <c r="F280" s="11"/>
      <c r="G280" s="12">
        <v>16803</v>
      </c>
      <c r="H280" s="12">
        <v>16803</v>
      </c>
      <c r="I280" s="11"/>
      <c r="J280" s="11" t="s">
        <v>45</v>
      </c>
      <c r="K280" s="11" t="s">
        <v>30</v>
      </c>
      <c r="L280" s="11" t="s">
        <v>17748</v>
      </c>
    </row>
    <row r="281" spans="1:12" ht="13.15" x14ac:dyDescent="0.4">
      <c r="A281" s="11" t="s">
        <v>17510</v>
      </c>
      <c r="B281" s="11"/>
      <c r="C281" s="11" t="s">
        <v>5377</v>
      </c>
      <c r="D281" s="11"/>
      <c r="E281" s="11" t="s">
        <v>17161</v>
      </c>
      <c r="F281" s="11"/>
      <c r="G281" s="12">
        <v>16803</v>
      </c>
      <c r="H281" s="12">
        <v>16803</v>
      </c>
      <c r="I281" s="11"/>
      <c r="J281" s="11" t="s">
        <v>45</v>
      </c>
      <c r="K281" s="11" t="s">
        <v>30</v>
      </c>
      <c r="L281" s="11" t="s">
        <v>17868</v>
      </c>
    </row>
    <row r="282" spans="1:12" ht="13.15" x14ac:dyDescent="0.4">
      <c r="A282" s="11" t="s">
        <v>17536</v>
      </c>
      <c r="B282" s="11"/>
      <c r="C282" s="11" t="s">
        <v>5377</v>
      </c>
      <c r="D282" s="11"/>
      <c r="E282" s="11" t="s">
        <v>17161</v>
      </c>
      <c r="F282" s="11"/>
      <c r="G282" s="12">
        <v>16803</v>
      </c>
      <c r="H282" s="12">
        <v>16803</v>
      </c>
      <c r="I282" s="11"/>
      <c r="J282" s="11" t="s">
        <v>45</v>
      </c>
      <c r="K282" s="11" t="s">
        <v>30</v>
      </c>
      <c r="L282" s="11" t="s">
        <v>17839</v>
      </c>
    </row>
    <row r="283" spans="1:12" ht="13.15" x14ac:dyDescent="0.4">
      <c r="A283" s="11" t="s">
        <v>17634</v>
      </c>
      <c r="B283" s="11"/>
      <c r="C283" s="11" t="s">
        <v>5377</v>
      </c>
      <c r="D283" s="11"/>
      <c r="E283" s="11"/>
      <c r="F283" s="11"/>
      <c r="G283" s="12">
        <v>16803</v>
      </c>
      <c r="H283" s="12">
        <v>16803</v>
      </c>
      <c r="I283" s="11"/>
      <c r="J283" s="11" t="s">
        <v>45</v>
      </c>
      <c r="K283" s="11" t="s">
        <v>30</v>
      </c>
      <c r="L283" s="11" t="s">
        <v>17743</v>
      </c>
    </row>
    <row r="284" spans="1:12" ht="13.15" x14ac:dyDescent="0.4">
      <c r="A284" s="11" t="s">
        <v>17324</v>
      </c>
      <c r="B284" s="11"/>
      <c r="C284" s="11" t="s">
        <v>5377</v>
      </c>
      <c r="D284" s="11"/>
      <c r="E284" s="11"/>
      <c r="F284" s="11"/>
      <c r="G284" s="12">
        <v>16803</v>
      </c>
      <c r="H284" s="12">
        <v>16803</v>
      </c>
      <c r="I284" s="11"/>
      <c r="J284" s="11" t="s">
        <v>45</v>
      </c>
      <c r="K284" s="11" t="s">
        <v>30</v>
      </c>
      <c r="L284" s="11" t="s">
        <v>18057</v>
      </c>
    </row>
    <row r="285" spans="1:12" ht="13.15" x14ac:dyDescent="0.4">
      <c r="A285" s="11" t="s">
        <v>17273</v>
      </c>
      <c r="B285" s="11"/>
      <c r="C285" s="11" t="s">
        <v>5377</v>
      </c>
      <c r="D285" s="11"/>
      <c r="E285" s="11"/>
      <c r="F285" s="11"/>
      <c r="G285" s="12">
        <v>16803</v>
      </c>
      <c r="H285" s="12">
        <v>16803</v>
      </c>
      <c r="I285" s="11"/>
      <c r="J285" s="11" t="s">
        <v>45</v>
      </c>
      <c r="K285" s="11" t="s">
        <v>30</v>
      </c>
      <c r="L285" s="11" t="s">
        <v>18112</v>
      </c>
    </row>
    <row r="286" spans="1:12" ht="13.15" x14ac:dyDescent="0.4">
      <c r="A286" s="11" t="s">
        <v>17342</v>
      </c>
      <c r="B286" s="11"/>
      <c r="C286" s="11" t="s">
        <v>5377</v>
      </c>
      <c r="D286" s="11"/>
      <c r="E286" s="11"/>
      <c r="F286" s="11"/>
      <c r="G286" s="12">
        <v>16803</v>
      </c>
      <c r="H286" s="12">
        <v>16803</v>
      </c>
      <c r="I286" s="11"/>
      <c r="J286" s="11" t="s">
        <v>45</v>
      </c>
      <c r="K286" s="11" t="s">
        <v>30</v>
      </c>
      <c r="L286" s="11" t="s">
        <v>18037</v>
      </c>
    </row>
    <row r="287" spans="1:12" ht="13.15" x14ac:dyDescent="0.4">
      <c r="A287" s="11" t="s">
        <v>17320</v>
      </c>
      <c r="B287" s="11"/>
      <c r="C287" s="11" t="s">
        <v>5377</v>
      </c>
      <c r="D287" s="11"/>
      <c r="E287" s="11"/>
      <c r="F287" s="11"/>
      <c r="G287" s="12">
        <v>16803</v>
      </c>
      <c r="H287" s="12">
        <v>16803</v>
      </c>
      <c r="I287" s="11"/>
      <c r="J287" s="11" t="s">
        <v>45</v>
      </c>
      <c r="K287" s="11" t="s">
        <v>30</v>
      </c>
      <c r="L287" s="11" t="s">
        <v>18062</v>
      </c>
    </row>
    <row r="288" spans="1:12" ht="13.15" x14ac:dyDescent="0.4">
      <c r="A288" s="11" t="s">
        <v>17377</v>
      </c>
      <c r="B288" s="11"/>
      <c r="C288" s="11" t="s">
        <v>5377</v>
      </c>
      <c r="D288" s="11"/>
      <c r="E288" s="11"/>
      <c r="F288" s="11"/>
      <c r="G288" s="12">
        <v>16803</v>
      </c>
      <c r="H288" s="12">
        <v>16803</v>
      </c>
      <c r="I288" s="11"/>
      <c r="J288" s="11" t="s">
        <v>45</v>
      </c>
      <c r="K288" s="11" t="s">
        <v>30</v>
      </c>
      <c r="L288" s="11" t="s">
        <v>18000</v>
      </c>
    </row>
    <row r="289" spans="1:12" ht="13.15" x14ac:dyDescent="0.4">
      <c r="A289" s="11" t="s">
        <v>17377</v>
      </c>
      <c r="B289" s="11"/>
      <c r="C289" s="11" t="s">
        <v>5377</v>
      </c>
      <c r="D289" s="11"/>
      <c r="E289" s="11"/>
      <c r="F289" s="11"/>
      <c r="G289" s="12">
        <v>16803</v>
      </c>
      <c r="H289" s="12">
        <v>16803</v>
      </c>
      <c r="I289" s="11"/>
      <c r="J289" s="11" t="s">
        <v>45</v>
      </c>
      <c r="K289" s="11" t="s">
        <v>30</v>
      </c>
      <c r="L289" s="11" t="s">
        <v>17975</v>
      </c>
    </row>
    <row r="290" spans="1:12" ht="13.15" x14ac:dyDescent="0.4">
      <c r="A290" s="11" t="s">
        <v>17578</v>
      </c>
      <c r="B290" s="11"/>
      <c r="C290" s="11" t="s">
        <v>5377</v>
      </c>
      <c r="D290" s="11"/>
      <c r="E290" s="11"/>
      <c r="F290" s="11"/>
      <c r="G290" s="12">
        <v>16803</v>
      </c>
      <c r="H290" s="12">
        <v>16803</v>
      </c>
      <c r="I290" s="11"/>
      <c r="J290" s="11" t="s">
        <v>45</v>
      </c>
      <c r="K290" s="11" t="s">
        <v>30</v>
      </c>
      <c r="L290" s="11" t="s">
        <v>17797</v>
      </c>
    </row>
    <row r="291" spans="1:12" ht="13.15" x14ac:dyDescent="0.4">
      <c r="A291" s="11" t="s">
        <v>17411</v>
      </c>
      <c r="B291" s="11"/>
      <c r="C291" s="11" t="s">
        <v>5377</v>
      </c>
      <c r="D291" s="11"/>
      <c r="E291" s="11"/>
      <c r="F291" s="11"/>
      <c r="G291" s="12">
        <v>16803</v>
      </c>
      <c r="H291" s="12">
        <v>16803</v>
      </c>
      <c r="I291" s="11"/>
      <c r="J291" s="11" t="s">
        <v>45</v>
      </c>
      <c r="K291" s="11" t="s">
        <v>30</v>
      </c>
      <c r="L291" s="11" t="s">
        <v>17964</v>
      </c>
    </row>
    <row r="292" spans="1:12" ht="13.15" x14ac:dyDescent="0.4">
      <c r="A292" s="11" t="s">
        <v>17428</v>
      </c>
      <c r="B292" s="11"/>
      <c r="C292" s="11" t="s">
        <v>5377</v>
      </c>
      <c r="D292" s="11"/>
      <c r="E292" s="11"/>
      <c r="F292" s="11"/>
      <c r="G292" s="12">
        <v>16803</v>
      </c>
      <c r="H292" s="12">
        <v>16803</v>
      </c>
      <c r="I292" s="11"/>
      <c r="J292" s="11" t="s">
        <v>45</v>
      </c>
      <c r="K292" s="11" t="s">
        <v>30</v>
      </c>
      <c r="L292" s="11" t="s">
        <v>17947</v>
      </c>
    </row>
    <row r="293" spans="1:12" ht="13.15" x14ac:dyDescent="0.4">
      <c r="A293" s="11" t="s">
        <v>17610</v>
      </c>
      <c r="B293" s="11"/>
      <c r="C293" s="11" t="s">
        <v>5377</v>
      </c>
      <c r="D293" s="11"/>
      <c r="E293" s="11" t="s">
        <v>17611</v>
      </c>
      <c r="F293" s="11"/>
      <c r="G293" s="12">
        <v>16803</v>
      </c>
      <c r="H293" s="12">
        <v>16803</v>
      </c>
      <c r="I293" s="11"/>
      <c r="J293" s="11" t="s">
        <v>45</v>
      </c>
      <c r="K293" s="11" t="s">
        <v>30</v>
      </c>
      <c r="L293" s="11" t="s">
        <v>17764</v>
      </c>
    </row>
    <row r="294" spans="1:12" ht="13.15" x14ac:dyDescent="0.4">
      <c r="A294" s="11" t="s">
        <v>17363</v>
      </c>
      <c r="B294" s="11"/>
      <c r="C294" s="11" t="s">
        <v>5377</v>
      </c>
      <c r="D294" s="11"/>
      <c r="E294" s="11"/>
      <c r="F294" s="11"/>
      <c r="G294" s="12">
        <v>16803</v>
      </c>
      <c r="H294" s="12">
        <v>16803</v>
      </c>
      <c r="I294" s="11"/>
      <c r="J294" s="11" t="s">
        <v>45</v>
      </c>
      <c r="K294" s="11" t="s">
        <v>30</v>
      </c>
      <c r="L294" s="11" t="s">
        <v>18014</v>
      </c>
    </row>
    <row r="295" spans="1:12" ht="13.15" x14ac:dyDescent="0.4">
      <c r="A295" s="11" t="s">
        <v>17583</v>
      </c>
      <c r="B295" s="11"/>
      <c r="C295" s="11" t="s">
        <v>5377</v>
      </c>
      <c r="D295" s="11"/>
      <c r="E295" s="11"/>
      <c r="F295" s="11"/>
      <c r="G295" s="12">
        <v>16803</v>
      </c>
      <c r="H295" s="12">
        <v>16803</v>
      </c>
      <c r="I295" s="11"/>
      <c r="J295" s="11" t="s">
        <v>45</v>
      </c>
      <c r="K295" s="11" t="s">
        <v>30</v>
      </c>
      <c r="L295" s="11" t="s">
        <v>17792</v>
      </c>
    </row>
    <row r="296" spans="1:12" ht="13.15" x14ac:dyDescent="0.4">
      <c r="A296" s="11" t="s">
        <v>17489</v>
      </c>
      <c r="B296" s="11"/>
      <c r="C296" s="11" t="s">
        <v>5377</v>
      </c>
      <c r="D296" s="11"/>
      <c r="E296" s="11"/>
      <c r="F296" s="11"/>
      <c r="G296" s="12">
        <v>16803</v>
      </c>
      <c r="H296" s="12">
        <v>16803</v>
      </c>
      <c r="I296" s="11"/>
      <c r="J296" s="11" t="s">
        <v>45</v>
      </c>
      <c r="K296" s="11" t="s">
        <v>30</v>
      </c>
      <c r="L296" s="11" t="s">
        <v>17888</v>
      </c>
    </row>
    <row r="297" spans="1:12" ht="13.15" x14ac:dyDescent="0.4">
      <c r="A297" s="11" t="s">
        <v>17605</v>
      </c>
      <c r="B297" s="11"/>
      <c r="C297" s="11" t="s">
        <v>5377</v>
      </c>
      <c r="D297" s="11"/>
      <c r="E297" s="11"/>
      <c r="F297" s="11"/>
      <c r="G297" s="12">
        <v>16803</v>
      </c>
      <c r="H297" s="12">
        <v>16803</v>
      </c>
      <c r="I297" s="11"/>
      <c r="J297" s="11" t="s">
        <v>45</v>
      </c>
      <c r="K297" s="11" t="s">
        <v>30</v>
      </c>
      <c r="L297" s="11" t="s">
        <v>17768</v>
      </c>
    </row>
    <row r="298" spans="1:12" ht="13.15" x14ac:dyDescent="0.4">
      <c r="A298" s="11" t="s">
        <v>17612</v>
      </c>
      <c r="B298" s="11"/>
      <c r="C298" s="11" t="s">
        <v>5377</v>
      </c>
      <c r="D298" s="11"/>
      <c r="E298" s="11"/>
      <c r="F298" s="11"/>
      <c r="G298" s="12">
        <v>16803</v>
      </c>
      <c r="H298" s="12">
        <v>16803</v>
      </c>
      <c r="I298" s="11"/>
      <c r="J298" s="11" t="s">
        <v>45</v>
      </c>
      <c r="K298" s="11" t="s">
        <v>30</v>
      </c>
      <c r="L298" s="11" t="s">
        <v>17763</v>
      </c>
    </row>
    <row r="299" spans="1:12" ht="13.15" x14ac:dyDescent="0.4">
      <c r="A299" s="11" t="s">
        <v>17426</v>
      </c>
      <c r="B299" s="11"/>
      <c r="C299" s="11" t="s">
        <v>5377</v>
      </c>
      <c r="D299" s="11"/>
      <c r="E299" s="11"/>
      <c r="F299" s="11"/>
      <c r="G299" s="12">
        <v>16803</v>
      </c>
      <c r="H299" s="12">
        <v>16803</v>
      </c>
      <c r="I299" s="11"/>
      <c r="J299" s="11" t="s">
        <v>45</v>
      </c>
      <c r="K299" s="11" t="s">
        <v>30</v>
      </c>
      <c r="L299" s="11" t="s">
        <v>17949</v>
      </c>
    </row>
    <row r="300" spans="1:12" ht="13.15" x14ac:dyDescent="0.4">
      <c r="A300" s="11" t="s">
        <v>17588</v>
      </c>
      <c r="B300" s="11"/>
      <c r="C300" s="11" t="s">
        <v>5377</v>
      </c>
      <c r="D300" s="11"/>
      <c r="E300" s="11" t="s">
        <v>17161</v>
      </c>
      <c r="F300" s="11"/>
      <c r="G300" s="12">
        <v>16803</v>
      </c>
      <c r="H300" s="12">
        <v>16803</v>
      </c>
      <c r="I300" s="11"/>
      <c r="J300" s="11" t="s">
        <v>45</v>
      </c>
      <c r="K300" s="11" t="s">
        <v>30</v>
      </c>
      <c r="L300" s="11" t="s">
        <v>17786</v>
      </c>
    </row>
    <row r="301" spans="1:12" ht="13.15" x14ac:dyDescent="0.4">
      <c r="A301" s="11" t="s">
        <v>17407</v>
      </c>
      <c r="B301" s="11"/>
      <c r="C301" s="11" t="s">
        <v>5377</v>
      </c>
      <c r="D301" s="11"/>
      <c r="E301" s="11"/>
      <c r="F301" s="11"/>
      <c r="G301" s="12">
        <v>16803</v>
      </c>
      <c r="H301" s="12">
        <v>16803</v>
      </c>
      <c r="I301" s="11"/>
      <c r="J301" s="11" t="s">
        <v>45</v>
      </c>
      <c r="K301" s="11" t="s">
        <v>30</v>
      </c>
      <c r="L301" s="11" t="s">
        <v>17968</v>
      </c>
    </row>
    <row r="302" spans="1:12" ht="13.15" x14ac:dyDescent="0.4">
      <c r="A302" s="11" t="s">
        <v>17409</v>
      </c>
      <c r="B302" s="11"/>
      <c r="C302" s="11" t="s">
        <v>5377</v>
      </c>
      <c r="D302" s="11"/>
      <c r="E302" s="11"/>
      <c r="F302" s="11"/>
      <c r="G302" s="12">
        <v>16803</v>
      </c>
      <c r="H302" s="12">
        <v>16803</v>
      </c>
      <c r="I302" s="11"/>
      <c r="J302" s="11" t="s">
        <v>45</v>
      </c>
      <c r="K302" s="11" t="s">
        <v>30</v>
      </c>
      <c r="L302" s="11" t="s">
        <v>17966</v>
      </c>
    </row>
    <row r="303" spans="1:12" ht="13.15" x14ac:dyDescent="0.4">
      <c r="A303" s="11" t="s">
        <v>17638</v>
      </c>
      <c r="B303" s="11"/>
      <c r="C303" s="11" t="s">
        <v>5377</v>
      </c>
      <c r="D303" s="11"/>
      <c r="E303" s="11"/>
      <c r="F303" s="11"/>
      <c r="G303" s="12">
        <v>16803</v>
      </c>
      <c r="H303" s="12">
        <v>16803</v>
      </c>
      <c r="I303" s="11"/>
      <c r="J303" s="11" t="s">
        <v>45</v>
      </c>
      <c r="K303" s="11" t="s">
        <v>30</v>
      </c>
      <c r="L303" s="11" t="s">
        <v>17737</v>
      </c>
    </row>
    <row r="304" spans="1:12" ht="13.15" x14ac:dyDescent="0.4">
      <c r="A304" s="11" t="s">
        <v>17498</v>
      </c>
      <c r="B304" s="11"/>
      <c r="C304" s="11" t="s">
        <v>5377</v>
      </c>
      <c r="D304" s="11"/>
      <c r="E304" s="11"/>
      <c r="F304" s="11"/>
      <c r="G304" s="12">
        <v>16803</v>
      </c>
      <c r="H304" s="12">
        <v>16803</v>
      </c>
      <c r="I304" s="11"/>
      <c r="J304" s="11" t="s">
        <v>45</v>
      </c>
      <c r="K304" s="11" t="s">
        <v>30</v>
      </c>
      <c r="L304" s="11" t="s">
        <v>17879</v>
      </c>
    </row>
    <row r="305" spans="1:12" ht="13.15" x14ac:dyDescent="0.4">
      <c r="A305" s="11" t="s">
        <v>17494</v>
      </c>
      <c r="B305" s="11"/>
      <c r="C305" s="11" t="s">
        <v>5377</v>
      </c>
      <c r="D305" s="11"/>
      <c r="E305" s="11"/>
      <c r="F305" s="11"/>
      <c r="G305" s="12">
        <v>16803</v>
      </c>
      <c r="H305" s="12">
        <v>16803</v>
      </c>
      <c r="I305" s="11"/>
      <c r="J305" s="11" t="s">
        <v>45</v>
      </c>
      <c r="K305" s="11" t="s">
        <v>30</v>
      </c>
      <c r="L305" s="11" t="s">
        <v>17883</v>
      </c>
    </row>
    <row r="306" spans="1:12" ht="13.15" x14ac:dyDescent="0.4">
      <c r="A306" s="11" t="s">
        <v>17642</v>
      </c>
      <c r="B306" s="11"/>
      <c r="C306" s="11" t="s">
        <v>5377</v>
      </c>
      <c r="D306" s="11"/>
      <c r="E306" s="11" t="s">
        <v>17161</v>
      </c>
      <c r="F306" s="11"/>
      <c r="G306" s="12">
        <v>16803</v>
      </c>
      <c r="H306" s="12">
        <v>16803</v>
      </c>
      <c r="I306" s="11"/>
      <c r="J306" s="11" t="s">
        <v>45</v>
      </c>
      <c r="K306" s="11" t="s">
        <v>30</v>
      </c>
      <c r="L306" s="11" t="s">
        <v>17732</v>
      </c>
    </row>
    <row r="307" spans="1:12" ht="13.15" x14ac:dyDescent="0.4">
      <c r="A307" s="11" t="s">
        <v>17486</v>
      </c>
      <c r="B307" s="11"/>
      <c r="C307" s="11" t="s">
        <v>5377</v>
      </c>
      <c r="D307" s="11"/>
      <c r="E307" s="11" t="s">
        <v>17161</v>
      </c>
      <c r="F307" s="11"/>
      <c r="G307" s="12">
        <v>16803</v>
      </c>
      <c r="H307" s="12">
        <v>16803</v>
      </c>
      <c r="I307" s="11"/>
      <c r="J307" s="11" t="s">
        <v>45</v>
      </c>
      <c r="K307" s="11" t="s">
        <v>30</v>
      </c>
      <c r="L307" s="11" t="s">
        <v>17891</v>
      </c>
    </row>
    <row r="308" spans="1:12" ht="13.15" x14ac:dyDescent="0.4">
      <c r="A308" s="11" t="s">
        <v>17534</v>
      </c>
      <c r="B308" s="11"/>
      <c r="C308" s="11" t="s">
        <v>5377</v>
      </c>
      <c r="D308" s="11"/>
      <c r="E308" s="11"/>
      <c r="F308" s="11"/>
      <c r="G308" s="12">
        <v>16803</v>
      </c>
      <c r="H308" s="12">
        <v>16803</v>
      </c>
      <c r="I308" s="11"/>
      <c r="J308" s="11" t="s">
        <v>45</v>
      </c>
      <c r="K308" s="11" t="s">
        <v>30</v>
      </c>
      <c r="L308" s="11" t="s">
        <v>17841</v>
      </c>
    </row>
    <row r="309" spans="1:12" ht="13.15" x14ac:dyDescent="0.4">
      <c r="A309" s="11" t="s">
        <v>17309</v>
      </c>
      <c r="B309" s="11"/>
      <c r="C309" s="11" t="s">
        <v>5377</v>
      </c>
      <c r="D309" s="11"/>
      <c r="E309" s="11"/>
      <c r="F309" s="11"/>
      <c r="G309" s="12">
        <v>16803</v>
      </c>
      <c r="H309" s="12">
        <v>16803</v>
      </c>
      <c r="I309" s="11"/>
      <c r="J309" s="11" t="s">
        <v>45</v>
      </c>
      <c r="K309" s="11" t="s">
        <v>30</v>
      </c>
      <c r="L309" s="11" t="s">
        <v>18074</v>
      </c>
    </row>
    <row r="310" spans="1:12" ht="13.15" x14ac:dyDescent="0.4">
      <c r="A310" s="11" t="s">
        <v>17518</v>
      </c>
      <c r="B310" s="11"/>
      <c r="C310" s="11" t="s">
        <v>5377</v>
      </c>
      <c r="D310" s="11"/>
      <c r="E310" s="11" t="s">
        <v>17161</v>
      </c>
      <c r="F310" s="11"/>
      <c r="G310" s="12">
        <v>16803</v>
      </c>
      <c r="H310" s="12">
        <v>16803</v>
      </c>
      <c r="I310" s="11"/>
      <c r="J310" s="11" t="s">
        <v>45</v>
      </c>
      <c r="K310" s="11" t="s">
        <v>30</v>
      </c>
      <c r="L310" s="11" t="s">
        <v>17859</v>
      </c>
    </row>
    <row r="311" spans="1:12" ht="13.15" x14ac:dyDescent="0.4">
      <c r="A311" s="11" t="s">
        <v>17317</v>
      </c>
      <c r="B311" s="11"/>
      <c r="C311" s="11" t="s">
        <v>5377</v>
      </c>
      <c r="D311" s="11"/>
      <c r="E311" s="11"/>
      <c r="F311" s="11"/>
      <c r="G311" s="12">
        <v>16803</v>
      </c>
      <c r="H311" s="12">
        <v>16803</v>
      </c>
      <c r="I311" s="11"/>
      <c r="J311" s="11" t="s">
        <v>45</v>
      </c>
      <c r="K311" s="11" t="s">
        <v>30</v>
      </c>
      <c r="L311" s="11" t="s">
        <v>18065</v>
      </c>
    </row>
    <row r="312" spans="1:12" ht="13.15" x14ac:dyDescent="0.4">
      <c r="A312" s="11" t="s">
        <v>17378</v>
      </c>
      <c r="B312" s="11"/>
      <c r="C312" s="11" t="s">
        <v>5377</v>
      </c>
      <c r="D312" s="11"/>
      <c r="E312" s="11"/>
      <c r="F312" s="11"/>
      <c r="G312" s="12">
        <v>16803</v>
      </c>
      <c r="H312" s="12">
        <v>16803</v>
      </c>
      <c r="I312" s="11"/>
      <c r="J312" s="11" t="s">
        <v>45</v>
      </c>
      <c r="K312" s="11" t="s">
        <v>30</v>
      </c>
      <c r="L312" s="11" t="s">
        <v>17998</v>
      </c>
    </row>
    <row r="313" spans="1:12" ht="13.15" x14ac:dyDescent="0.4">
      <c r="A313" s="11" t="s">
        <v>17281</v>
      </c>
      <c r="B313" s="11"/>
      <c r="C313" s="11" t="s">
        <v>5377</v>
      </c>
      <c r="D313" s="11"/>
      <c r="E313" s="11"/>
      <c r="F313" s="11"/>
      <c r="G313" s="12">
        <v>16803</v>
      </c>
      <c r="H313" s="12">
        <v>16803</v>
      </c>
      <c r="I313" s="11"/>
      <c r="J313" s="11" t="s">
        <v>45</v>
      </c>
      <c r="K313" s="11" t="s">
        <v>30</v>
      </c>
      <c r="L313" s="11" t="s">
        <v>18103</v>
      </c>
    </row>
    <row r="314" spans="1:12" ht="13.15" x14ac:dyDescent="0.4">
      <c r="A314" s="11" t="s">
        <v>17485</v>
      </c>
      <c r="B314" s="11"/>
      <c r="C314" s="11" t="s">
        <v>5377</v>
      </c>
      <c r="D314" s="11"/>
      <c r="E314" s="11" t="s">
        <v>17161</v>
      </c>
      <c r="F314" s="11"/>
      <c r="G314" s="12">
        <v>16803</v>
      </c>
      <c r="H314" s="12">
        <v>16803</v>
      </c>
      <c r="I314" s="11"/>
      <c r="J314" s="11" t="s">
        <v>45</v>
      </c>
      <c r="K314" s="11" t="s">
        <v>30</v>
      </c>
      <c r="L314" s="11" t="s">
        <v>17892</v>
      </c>
    </row>
    <row r="315" spans="1:12" ht="13.15" x14ac:dyDescent="0.4">
      <c r="A315" s="11" t="s">
        <v>17282</v>
      </c>
      <c r="B315" s="11"/>
      <c r="C315" s="11" t="s">
        <v>5377</v>
      </c>
      <c r="D315" s="11"/>
      <c r="E315" s="11"/>
      <c r="F315" s="11"/>
      <c r="G315" s="12">
        <v>16803</v>
      </c>
      <c r="H315" s="12">
        <v>16803</v>
      </c>
      <c r="I315" s="11"/>
      <c r="J315" s="11" t="s">
        <v>45</v>
      </c>
      <c r="K315" s="11" t="s">
        <v>30</v>
      </c>
      <c r="L315" s="11" t="s">
        <v>18102</v>
      </c>
    </row>
    <row r="316" spans="1:12" ht="13.15" x14ac:dyDescent="0.4">
      <c r="A316" s="11" t="s">
        <v>17509</v>
      </c>
      <c r="B316" s="11"/>
      <c r="C316" s="11" t="s">
        <v>5377</v>
      </c>
      <c r="D316" s="11"/>
      <c r="E316" s="11" t="s">
        <v>17161</v>
      </c>
      <c r="F316" s="11"/>
      <c r="G316" s="12">
        <v>16803</v>
      </c>
      <c r="H316" s="12">
        <v>16803</v>
      </c>
      <c r="I316" s="11"/>
      <c r="J316" s="11" t="s">
        <v>45</v>
      </c>
      <c r="K316" s="11" t="s">
        <v>30</v>
      </c>
      <c r="L316" s="11" t="s">
        <v>17869</v>
      </c>
    </row>
    <row r="317" spans="1:12" ht="13.15" x14ac:dyDescent="0.4">
      <c r="A317" s="11" t="s">
        <v>17490</v>
      </c>
      <c r="B317" s="11"/>
      <c r="C317" s="11" t="s">
        <v>5377</v>
      </c>
      <c r="D317" s="11"/>
      <c r="E317" s="11" t="s">
        <v>17161</v>
      </c>
      <c r="F317" s="11"/>
      <c r="G317" s="12">
        <v>16803</v>
      </c>
      <c r="H317" s="12">
        <v>16803</v>
      </c>
      <c r="I317" s="11"/>
      <c r="J317" s="11" t="s">
        <v>45</v>
      </c>
      <c r="K317" s="11" t="s">
        <v>30</v>
      </c>
      <c r="L317" s="11" t="s">
        <v>17887</v>
      </c>
    </row>
    <row r="318" spans="1:12" ht="13.15" x14ac:dyDescent="0.4">
      <c r="A318" s="11" t="s">
        <v>17552</v>
      </c>
      <c r="B318" s="11"/>
      <c r="C318" s="11" t="s">
        <v>5377</v>
      </c>
      <c r="D318" s="11"/>
      <c r="E318" s="11" t="s">
        <v>17161</v>
      </c>
      <c r="F318" s="11"/>
      <c r="G318" s="12">
        <v>16803</v>
      </c>
      <c r="H318" s="12">
        <v>16803</v>
      </c>
      <c r="I318" s="11"/>
      <c r="J318" s="11" t="s">
        <v>45</v>
      </c>
      <c r="K318" s="11" t="s">
        <v>30</v>
      </c>
      <c r="L318" s="11" t="s">
        <v>17825</v>
      </c>
    </row>
    <row r="319" spans="1:12" ht="13.15" x14ac:dyDescent="0.4">
      <c r="A319" s="11" t="s">
        <v>17323</v>
      </c>
      <c r="B319" s="11"/>
      <c r="C319" s="11" t="s">
        <v>5377</v>
      </c>
      <c r="D319" s="11"/>
      <c r="E319" s="11"/>
      <c r="F319" s="11"/>
      <c r="G319" s="12">
        <v>16803</v>
      </c>
      <c r="H319" s="12">
        <v>16803</v>
      </c>
      <c r="I319" s="11"/>
      <c r="J319" s="11" t="s">
        <v>45</v>
      </c>
      <c r="K319" s="11" t="s">
        <v>30</v>
      </c>
      <c r="L319" s="11" t="s">
        <v>18058</v>
      </c>
    </row>
    <row r="320" spans="1:12" ht="13.15" x14ac:dyDescent="0.4">
      <c r="A320" s="11" t="s">
        <v>17434</v>
      </c>
      <c r="B320" s="11"/>
      <c r="C320" s="11" t="s">
        <v>5377</v>
      </c>
      <c r="D320" s="11"/>
      <c r="E320" s="11"/>
      <c r="F320" s="11"/>
      <c r="G320" s="12">
        <v>16803</v>
      </c>
      <c r="H320" s="12">
        <v>16803</v>
      </c>
      <c r="I320" s="11"/>
      <c r="J320" s="11" t="s">
        <v>45</v>
      </c>
      <c r="K320" s="11" t="s">
        <v>30</v>
      </c>
      <c r="L320" s="11" t="s">
        <v>17940</v>
      </c>
    </row>
    <row r="321" spans="1:12" ht="13.15" x14ac:dyDescent="0.4">
      <c r="A321" s="11" t="s">
        <v>17523</v>
      </c>
      <c r="B321" s="11"/>
      <c r="C321" s="11" t="s">
        <v>5377</v>
      </c>
      <c r="D321" s="11"/>
      <c r="E321" s="11"/>
      <c r="F321" s="11"/>
      <c r="G321" s="12">
        <v>16803</v>
      </c>
      <c r="H321" s="12">
        <v>16803</v>
      </c>
      <c r="I321" s="11"/>
      <c r="J321" s="11" t="s">
        <v>45</v>
      </c>
      <c r="K321" s="11" t="s">
        <v>30</v>
      </c>
      <c r="L321" s="11" t="s">
        <v>17854</v>
      </c>
    </row>
    <row r="322" spans="1:12" ht="13.15" x14ac:dyDescent="0.4">
      <c r="A322" s="11" t="s">
        <v>17423</v>
      </c>
      <c r="B322" s="11"/>
      <c r="C322" s="11" t="s">
        <v>5377</v>
      </c>
      <c r="D322" s="11"/>
      <c r="E322" s="11"/>
      <c r="F322" s="11"/>
      <c r="G322" s="12">
        <v>16803</v>
      </c>
      <c r="H322" s="12">
        <v>16803</v>
      </c>
      <c r="I322" s="11"/>
      <c r="J322" s="11" t="s">
        <v>45</v>
      </c>
      <c r="K322" s="11" t="s">
        <v>30</v>
      </c>
      <c r="L322" s="11" t="s">
        <v>17952</v>
      </c>
    </row>
    <row r="323" spans="1:12" ht="13.15" x14ac:dyDescent="0.4">
      <c r="A323" s="11" t="s">
        <v>17359</v>
      </c>
      <c r="B323" s="11"/>
      <c r="C323" s="11" t="s">
        <v>5377</v>
      </c>
      <c r="D323" s="11"/>
      <c r="E323" s="11"/>
      <c r="F323" s="11"/>
      <c r="G323" s="12">
        <v>16803</v>
      </c>
      <c r="H323" s="12">
        <v>16803</v>
      </c>
      <c r="I323" s="11"/>
      <c r="J323" s="11" t="s">
        <v>45</v>
      </c>
      <c r="K323" s="11" t="s">
        <v>30</v>
      </c>
      <c r="L323" s="11" t="s">
        <v>18017</v>
      </c>
    </row>
    <row r="324" spans="1:12" ht="13.15" x14ac:dyDescent="0.4">
      <c r="A324" s="11" t="s">
        <v>17365</v>
      </c>
      <c r="B324" s="11"/>
      <c r="C324" s="11" t="s">
        <v>5377</v>
      </c>
      <c r="D324" s="11"/>
      <c r="E324" s="11"/>
      <c r="F324" s="11"/>
      <c r="G324" s="12">
        <v>16803</v>
      </c>
      <c r="H324" s="12">
        <v>16803</v>
      </c>
      <c r="I324" s="11"/>
      <c r="J324" s="11" t="s">
        <v>45</v>
      </c>
      <c r="K324" s="11" t="s">
        <v>30</v>
      </c>
      <c r="L324" s="11" t="s">
        <v>18012</v>
      </c>
    </row>
    <row r="325" spans="1:12" ht="13.15" x14ac:dyDescent="0.4">
      <c r="A325" s="11" t="s">
        <v>24</v>
      </c>
      <c r="B325" s="11"/>
      <c r="C325" s="11" t="s">
        <v>5377</v>
      </c>
      <c r="D325" s="11"/>
      <c r="E325" s="11" t="s">
        <v>17161</v>
      </c>
      <c r="F325" s="11"/>
      <c r="G325" s="12">
        <v>16803</v>
      </c>
      <c r="H325" s="12">
        <v>16803</v>
      </c>
      <c r="I325" s="11"/>
      <c r="J325" s="11" t="s">
        <v>45</v>
      </c>
      <c r="K325" s="11" t="s">
        <v>30</v>
      </c>
      <c r="L325" s="11" t="s">
        <v>17863</v>
      </c>
    </row>
    <row r="326" spans="1:12" ht="13.15" x14ac:dyDescent="0.4">
      <c r="A326" s="11" t="s">
        <v>17631</v>
      </c>
      <c r="B326" s="11"/>
      <c r="C326" s="11" t="s">
        <v>5377</v>
      </c>
      <c r="D326" s="11"/>
      <c r="E326" s="11"/>
      <c r="F326" s="11"/>
      <c r="G326" s="12">
        <v>16803</v>
      </c>
      <c r="H326" s="12">
        <v>16803</v>
      </c>
      <c r="I326" s="11"/>
      <c r="J326" s="11" t="s">
        <v>45</v>
      </c>
      <c r="K326" s="11" t="s">
        <v>30</v>
      </c>
      <c r="L326" s="11" t="s">
        <v>17746</v>
      </c>
    </row>
    <row r="327" spans="1:12" ht="13.15" x14ac:dyDescent="0.4">
      <c r="A327" s="11" t="s">
        <v>17487</v>
      </c>
      <c r="B327" s="11"/>
      <c r="C327" s="11" t="s">
        <v>5377</v>
      </c>
      <c r="D327" s="11"/>
      <c r="E327" s="11" t="s">
        <v>17161</v>
      </c>
      <c r="F327" s="11"/>
      <c r="G327" s="12">
        <v>16803</v>
      </c>
      <c r="H327" s="12">
        <v>16803</v>
      </c>
      <c r="I327" s="11"/>
      <c r="J327" s="11" t="s">
        <v>45</v>
      </c>
      <c r="K327" s="11" t="s">
        <v>30</v>
      </c>
      <c r="L327" s="11" t="s">
        <v>17890</v>
      </c>
    </row>
    <row r="328" spans="1:12" ht="13.15" x14ac:dyDescent="0.4">
      <c r="A328" s="11" t="s">
        <v>17468</v>
      </c>
      <c r="B328" s="11"/>
      <c r="C328" s="11" t="s">
        <v>5377</v>
      </c>
      <c r="D328" s="11"/>
      <c r="E328" s="11" t="s">
        <v>17161</v>
      </c>
      <c r="F328" s="11"/>
      <c r="G328" s="12">
        <v>16803</v>
      </c>
      <c r="H328" s="12">
        <v>16803</v>
      </c>
      <c r="I328" s="11"/>
      <c r="J328" s="11" t="s">
        <v>45</v>
      </c>
      <c r="K328" s="11" t="s">
        <v>30</v>
      </c>
      <c r="L328" s="11" t="s">
        <v>17909</v>
      </c>
    </row>
    <row r="329" spans="1:12" ht="13.15" x14ac:dyDescent="0.4">
      <c r="A329" s="11" t="s">
        <v>17607</v>
      </c>
      <c r="B329" s="11"/>
      <c r="C329" s="11" t="s">
        <v>5377</v>
      </c>
      <c r="D329" s="11"/>
      <c r="E329" s="11"/>
      <c r="F329" s="11"/>
      <c r="G329" s="12">
        <v>16803</v>
      </c>
      <c r="H329" s="12">
        <v>16803</v>
      </c>
      <c r="I329" s="11"/>
      <c r="J329" s="11" t="s">
        <v>45</v>
      </c>
      <c r="K329" s="11" t="s">
        <v>30</v>
      </c>
      <c r="L329" s="11" t="s">
        <v>17766</v>
      </c>
    </row>
    <row r="330" spans="1:12" ht="13.15" x14ac:dyDescent="0.4">
      <c r="A330" s="11" t="s">
        <v>17607</v>
      </c>
      <c r="B330" s="11"/>
      <c r="C330" s="11" t="s">
        <v>5377</v>
      </c>
      <c r="D330" s="11"/>
      <c r="E330" s="11"/>
      <c r="F330" s="11"/>
      <c r="G330" s="12">
        <v>16803</v>
      </c>
      <c r="H330" s="12">
        <v>16803</v>
      </c>
      <c r="I330" s="11"/>
      <c r="J330" s="11" t="s">
        <v>45</v>
      </c>
      <c r="K330" s="11" t="s">
        <v>30</v>
      </c>
      <c r="L330" s="11" t="s">
        <v>17734</v>
      </c>
    </row>
    <row r="331" spans="1:12" ht="13.15" x14ac:dyDescent="0.4">
      <c r="A331" s="11" t="s">
        <v>17488</v>
      </c>
      <c r="B331" s="11"/>
      <c r="C331" s="11" t="s">
        <v>5377</v>
      </c>
      <c r="D331" s="11"/>
      <c r="E331" s="11"/>
      <c r="F331" s="11"/>
      <c r="G331" s="12">
        <v>16803</v>
      </c>
      <c r="H331" s="12">
        <v>16803</v>
      </c>
      <c r="I331" s="11"/>
      <c r="J331" s="11" t="s">
        <v>45</v>
      </c>
      <c r="K331" s="11" t="s">
        <v>30</v>
      </c>
      <c r="L331" s="11" t="s">
        <v>17889</v>
      </c>
    </row>
    <row r="332" spans="1:12" ht="13.15" x14ac:dyDescent="0.4">
      <c r="A332" s="11" t="s">
        <v>17285</v>
      </c>
      <c r="B332" s="11"/>
      <c r="C332" s="11" t="s">
        <v>5377</v>
      </c>
      <c r="D332" s="11"/>
      <c r="E332" s="11"/>
      <c r="F332" s="11"/>
      <c r="G332" s="12">
        <v>16803</v>
      </c>
      <c r="H332" s="12">
        <v>16803</v>
      </c>
      <c r="I332" s="11"/>
      <c r="J332" s="11" t="s">
        <v>45</v>
      </c>
      <c r="K332" s="11" t="s">
        <v>30</v>
      </c>
      <c r="L332" s="11" t="s">
        <v>18099</v>
      </c>
    </row>
    <row r="333" spans="1:12" ht="13.15" x14ac:dyDescent="0.4">
      <c r="A333" s="11" t="s">
        <v>17285</v>
      </c>
      <c r="B333" s="11"/>
      <c r="C333" s="11" t="s">
        <v>5377</v>
      </c>
      <c r="D333" s="11"/>
      <c r="E333" s="11"/>
      <c r="F333" s="11" t="s">
        <v>17300</v>
      </c>
      <c r="G333" s="12">
        <v>16803</v>
      </c>
      <c r="H333" s="12">
        <v>16803</v>
      </c>
      <c r="I333" s="11"/>
      <c r="J333" s="11" t="s">
        <v>45</v>
      </c>
      <c r="K333" s="11" t="s">
        <v>30</v>
      </c>
      <c r="L333" s="11" t="s">
        <v>18084</v>
      </c>
    </row>
    <row r="334" spans="1:12" ht="13.15" x14ac:dyDescent="0.4">
      <c r="A334" s="11" t="s">
        <v>17285</v>
      </c>
      <c r="B334" s="11"/>
      <c r="C334" s="11" t="s">
        <v>5377</v>
      </c>
      <c r="D334" s="11"/>
      <c r="E334" s="11"/>
      <c r="F334" s="11"/>
      <c r="G334" s="12">
        <v>16803</v>
      </c>
      <c r="H334" s="12">
        <v>16803</v>
      </c>
      <c r="I334" s="11"/>
      <c r="J334" s="11" t="s">
        <v>45</v>
      </c>
      <c r="K334" s="11" t="s">
        <v>30</v>
      </c>
      <c r="L334" s="11" t="s">
        <v>18077</v>
      </c>
    </row>
    <row r="335" spans="1:12" ht="13.15" x14ac:dyDescent="0.4">
      <c r="A335" s="11" t="s">
        <v>17285</v>
      </c>
      <c r="B335" s="11"/>
      <c r="C335" s="11" t="s">
        <v>5377</v>
      </c>
      <c r="D335" s="11"/>
      <c r="E335" s="11"/>
      <c r="F335" s="11"/>
      <c r="G335" s="12">
        <v>16803</v>
      </c>
      <c r="H335" s="12">
        <v>16803</v>
      </c>
      <c r="I335" s="11"/>
      <c r="J335" s="11" t="s">
        <v>45</v>
      </c>
      <c r="K335" s="11" t="s">
        <v>30</v>
      </c>
      <c r="L335" s="11" t="s">
        <v>18071</v>
      </c>
    </row>
    <row r="336" spans="1:12" ht="13.15" x14ac:dyDescent="0.4">
      <c r="A336" s="11" t="s">
        <v>17427</v>
      </c>
      <c r="B336" s="11"/>
      <c r="C336" s="11" t="s">
        <v>5377</v>
      </c>
      <c r="D336" s="11"/>
      <c r="E336" s="11"/>
      <c r="F336" s="11"/>
      <c r="G336" s="12">
        <v>16803</v>
      </c>
      <c r="H336" s="12">
        <v>16803</v>
      </c>
      <c r="I336" s="11"/>
      <c r="J336" s="11" t="s">
        <v>45</v>
      </c>
      <c r="K336" s="11" t="s">
        <v>30</v>
      </c>
      <c r="L336" s="11" t="s">
        <v>17948</v>
      </c>
    </row>
    <row r="337" spans="1:12" ht="13.15" x14ac:dyDescent="0.4">
      <c r="A337" s="11" t="s">
        <v>17599</v>
      </c>
      <c r="B337" s="11"/>
      <c r="C337" s="11" t="s">
        <v>5377</v>
      </c>
      <c r="D337" s="11"/>
      <c r="E337" s="11"/>
      <c r="F337" s="11"/>
      <c r="G337" s="12">
        <v>16803</v>
      </c>
      <c r="H337" s="12">
        <v>16803</v>
      </c>
      <c r="I337" s="11"/>
      <c r="J337" s="11" t="s">
        <v>45</v>
      </c>
      <c r="K337" s="11" t="s">
        <v>30</v>
      </c>
      <c r="L337" s="11" t="s">
        <v>17774</v>
      </c>
    </row>
    <row r="338" spans="1:12" ht="13.15" x14ac:dyDescent="0.4">
      <c r="A338" s="11" t="s">
        <v>17408</v>
      </c>
      <c r="B338" s="11"/>
      <c r="C338" s="11" t="s">
        <v>5377</v>
      </c>
      <c r="D338" s="11"/>
      <c r="E338" s="11"/>
      <c r="F338" s="11"/>
      <c r="G338" s="12">
        <v>16803</v>
      </c>
      <c r="H338" s="12">
        <v>16803</v>
      </c>
      <c r="I338" s="11"/>
      <c r="J338" s="11" t="s">
        <v>45</v>
      </c>
      <c r="K338" s="11" t="s">
        <v>30</v>
      </c>
      <c r="L338" s="11" t="s">
        <v>17967</v>
      </c>
    </row>
    <row r="339" spans="1:12" ht="13.15" x14ac:dyDescent="0.4">
      <c r="A339" s="11" t="s">
        <v>17530</v>
      </c>
      <c r="B339" s="11"/>
      <c r="C339" s="11" t="s">
        <v>5377</v>
      </c>
      <c r="D339" s="11"/>
      <c r="E339" s="11" t="s">
        <v>17161</v>
      </c>
      <c r="F339" s="11"/>
      <c r="G339" s="12">
        <v>16803</v>
      </c>
      <c r="H339" s="12">
        <v>16803</v>
      </c>
      <c r="I339" s="11"/>
      <c r="J339" s="11" t="s">
        <v>45</v>
      </c>
      <c r="K339" s="11" t="s">
        <v>30</v>
      </c>
      <c r="L339" s="11" t="s">
        <v>17845</v>
      </c>
    </row>
    <row r="340" spans="1:12" ht="13.15" x14ac:dyDescent="0.4">
      <c r="A340" s="11" t="s">
        <v>17424</v>
      </c>
      <c r="B340" s="11"/>
      <c r="C340" s="11" t="s">
        <v>5377</v>
      </c>
      <c r="D340" s="11"/>
      <c r="E340" s="11"/>
      <c r="F340" s="11"/>
      <c r="G340" s="12">
        <v>16803</v>
      </c>
      <c r="H340" s="12">
        <v>16803</v>
      </c>
      <c r="I340" s="11"/>
      <c r="J340" s="11" t="s">
        <v>45</v>
      </c>
      <c r="K340" s="11" t="s">
        <v>30</v>
      </c>
      <c r="L340" s="11" t="s">
        <v>17951</v>
      </c>
    </row>
    <row r="341" spans="1:12" ht="13.15" x14ac:dyDescent="0.4">
      <c r="A341" s="11" t="s">
        <v>17314</v>
      </c>
      <c r="B341" s="11"/>
      <c r="C341" s="11" t="s">
        <v>5377</v>
      </c>
      <c r="D341" s="11"/>
      <c r="E341" s="11"/>
      <c r="F341" s="11"/>
      <c r="G341" s="12">
        <v>16803</v>
      </c>
      <c r="H341" s="12">
        <v>16803</v>
      </c>
      <c r="I341" s="11"/>
      <c r="J341" s="11" t="s">
        <v>45</v>
      </c>
      <c r="K341" s="11" t="s">
        <v>30</v>
      </c>
      <c r="L341" s="11" t="s">
        <v>18068</v>
      </c>
    </row>
    <row r="342" spans="1:12" ht="13.15" x14ac:dyDescent="0.4">
      <c r="A342" s="11" t="s">
        <v>17601</v>
      </c>
      <c r="B342" s="11"/>
      <c r="C342" s="11" t="s">
        <v>5377</v>
      </c>
      <c r="D342" s="11"/>
      <c r="E342" s="11"/>
      <c r="F342" s="11"/>
      <c r="G342" s="12">
        <v>16803</v>
      </c>
      <c r="H342" s="12">
        <v>16803</v>
      </c>
      <c r="I342" s="11"/>
      <c r="J342" s="11" t="s">
        <v>45</v>
      </c>
      <c r="K342" s="11" t="s">
        <v>30</v>
      </c>
      <c r="L342" s="11" t="s">
        <v>17772</v>
      </c>
    </row>
    <row r="343" spans="1:12" ht="13.15" x14ac:dyDescent="0.4">
      <c r="A343" s="11" t="s">
        <v>17480</v>
      </c>
      <c r="B343" s="11"/>
      <c r="C343" s="11" t="s">
        <v>5377</v>
      </c>
      <c r="D343" s="11"/>
      <c r="E343" s="11"/>
      <c r="F343" s="11"/>
      <c r="G343" s="12">
        <v>16803</v>
      </c>
      <c r="H343" s="12">
        <v>16803</v>
      </c>
      <c r="I343" s="11"/>
      <c r="J343" s="11" t="s">
        <v>45</v>
      </c>
      <c r="K343" s="11" t="s">
        <v>30</v>
      </c>
      <c r="L343" s="11" t="s">
        <v>17897</v>
      </c>
    </row>
    <row r="344" spans="1:12" ht="13.15" x14ac:dyDescent="0.4">
      <c r="A344" s="11" t="s">
        <v>17419</v>
      </c>
      <c r="B344" s="11"/>
      <c r="C344" s="11" t="s">
        <v>5377</v>
      </c>
      <c r="D344" s="11"/>
      <c r="E344" s="11"/>
      <c r="F344" s="11"/>
      <c r="G344" s="12">
        <v>16803</v>
      </c>
      <c r="H344" s="12">
        <v>16803</v>
      </c>
      <c r="I344" s="11"/>
      <c r="J344" s="11" t="s">
        <v>45</v>
      </c>
      <c r="K344" s="11" t="s">
        <v>30</v>
      </c>
      <c r="L344" s="11" t="s">
        <v>17956</v>
      </c>
    </row>
    <row r="345" spans="1:12" ht="13.15" x14ac:dyDescent="0.4">
      <c r="A345" s="11" t="s">
        <v>17388</v>
      </c>
      <c r="B345" s="11"/>
      <c r="C345" s="11" t="s">
        <v>5377</v>
      </c>
      <c r="D345" s="11"/>
      <c r="E345" s="11" t="s">
        <v>17161</v>
      </c>
      <c r="F345" s="11"/>
      <c r="G345" s="12">
        <v>16803</v>
      </c>
      <c r="H345" s="12">
        <v>16803</v>
      </c>
      <c r="I345" s="11"/>
      <c r="J345" s="11" t="s">
        <v>45</v>
      </c>
      <c r="K345" s="11" t="s">
        <v>30</v>
      </c>
      <c r="L345" s="11" t="s">
        <v>17989</v>
      </c>
    </row>
    <row r="346" spans="1:12" ht="13.15" x14ac:dyDescent="0.4">
      <c r="A346" s="11" t="s">
        <v>17333</v>
      </c>
      <c r="B346" s="11"/>
      <c r="C346" s="11" t="s">
        <v>5377</v>
      </c>
      <c r="D346" s="11"/>
      <c r="E346" s="11"/>
      <c r="F346" s="11"/>
      <c r="G346" s="12">
        <v>16803</v>
      </c>
      <c r="H346" s="12">
        <v>16803</v>
      </c>
      <c r="I346" s="11"/>
      <c r="J346" s="11" t="s">
        <v>45</v>
      </c>
      <c r="K346" s="11" t="s">
        <v>30</v>
      </c>
      <c r="L346" s="11" t="s">
        <v>18048</v>
      </c>
    </row>
    <row r="347" spans="1:12" ht="13.15" x14ac:dyDescent="0.4">
      <c r="A347" s="11" t="s">
        <v>17403</v>
      </c>
      <c r="B347" s="11"/>
      <c r="C347" s="11" t="s">
        <v>5377</v>
      </c>
      <c r="D347" s="11"/>
      <c r="E347" s="11"/>
      <c r="F347" s="11"/>
      <c r="G347" s="12">
        <v>16803</v>
      </c>
      <c r="H347" s="12">
        <v>16803</v>
      </c>
      <c r="I347" s="11"/>
      <c r="J347" s="11" t="s">
        <v>45</v>
      </c>
      <c r="K347" s="11" t="s">
        <v>30</v>
      </c>
      <c r="L347" s="11" t="s">
        <v>17972</v>
      </c>
    </row>
    <row r="348" spans="1:12" ht="13.15" x14ac:dyDescent="0.4">
      <c r="A348" s="11" t="s">
        <v>17356</v>
      </c>
      <c r="B348" s="11"/>
      <c r="C348" s="11" t="s">
        <v>5377</v>
      </c>
      <c r="D348" s="11"/>
      <c r="E348" s="11"/>
      <c r="F348" s="11"/>
      <c r="G348" s="12">
        <v>16803</v>
      </c>
      <c r="H348" s="12">
        <v>16803</v>
      </c>
      <c r="I348" s="11"/>
      <c r="J348" s="11" t="s">
        <v>45</v>
      </c>
      <c r="K348" s="11" t="s">
        <v>30</v>
      </c>
      <c r="L348" s="11" t="s">
        <v>18021</v>
      </c>
    </row>
    <row r="349" spans="1:12" ht="13.15" x14ac:dyDescent="0.4">
      <c r="A349" s="11" t="s">
        <v>17636</v>
      </c>
      <c r="B349" s="11"/>
      <c r="C349" s="11" t="s">
        <v>5377</v>
      </c>
      <c r="D349" s="11"/>
      <c r="E349" s="11"/>
      <c r="F349" s="11"/>
      <c r="G349" s="12">
        <v>16803</v>
      </c>
      <c r="H349" s="12">
        <v>16803</v>
      </c>
      <c r="I349" s="11"/>
      <c r="J349" s="11" t="s">
        <v>45</v>
      </c>
      <c r="K349" s="11" t="s">
        <v>30</v>
      </c>
      <c r="L349" s="11" t="s">
        <v>17739</v>
      </c>
    </row>
    <row r="350" spans="1:12" ht="13.15" x14ac:dyDescent="0.4">
      <c r="A350" s="11" t="s">
        <v>17641</v>
      </c>
      <c r="B350" s="11"/>
      <c r="C350" s="11" t="s">
        <v>5377</v>
      </c>
      <c r="D350" s="11"/>
      <c r="E350" s="11" t="s">
        <v>17161</v>
      </c>
      <c r="F350" s="11"/>
      <c r="G350" s="12">
        <v>16803</v>
      </c>
      <c r="H350" s="12">
        <v>16803</v>
      </c>
      <c r="I350" s="11"/>
      <c r="J350" s="11" t="s">
        <v>45</v>
      </c>
      <c r="K350" s="11" t="s">
        <v>30</v>
      </c>
      <c r="L350" s="11" t="s">
        <v>17733</v>
      </c>
    </row>
    <row r="351" spans="1:12" ht="13.15" x14ac:dyDescent="0.4">
      <c r="A351" s="11" t="s">
        <v>17522</v>
      </c>
      <c r="B351" s="11"/>
      <c r="C351" s="11" t="s">
        <v>5377</v>
      </c>
      <c r="D351" s="11"/>
      <c r="E351" s="11"/>
      <c r="F351" s="11"/>
      <c r="G351" s="12">
        <v>16803</v>
      </c>
      <c r="H351" s="12">
        <v>16803</v>
      </c>
      <c r="I351" s="11"/>
      <c r="J351" s="11" t="s">
        <v>45</v>
      </c>
      <c r="K351" s="11" t="s">
        <v>30</v>
      </c>
      <c r="L351" s="11" t="s">
        <v>17855</v>
      </c>
    </row>
    <row r="352" spans="1:12" ht="13.15" x14ac:dyDescent="0.4">
      <c r="A352" s="11" t="s">
        <v>17571</v>
      </c>
      <c r="B352" s="11"/>
      <c r="C352" s="11" t="s">
        <v>5377</v>
      </c>
      <c r="D352" s="11"/>
      <c r="E352" s="11" t="s">
        <v>17161</v>
      </c>
      <c r="F352" s="11"/>
      <c r="G352" s="12">
        <v>16803</v>
      </c>
      <c r="H352" s="12">
        <v>16803</v>
      </c>
      <c r="I352" s="11"/>
      <c r="J352" s="11" t="s">
        <v>45</v>
      </c>
      <c r="K352" s="11" t="s">
        <v>30</v>
      </c>
      <c r="L352" s="11" t="s">
        <v>17805</v>
      </c>
    </row>
    <row r="353" spans="1:12" ht="13.15" x14ac:dyDescent="0.4">
      <c r="A353" s="11" t="s">
        <v>17459</v>
      </c>
      <c r="B353" s="11"/>
      <c r="C353" s="11" t="s">
        <v>5377</v>
      </c>
      <c r="D353" s="11"/>
      <c r="E353" s="11" t="s">
        <v>17460</v>
      </c>
      <c r="F353" s="11"/>
      <c r="G353" s="12">
        <v>16803</v>
      </c>
      <c r="H353" s="12">
        <v>16803</v>
      </c>
      <c r="I353" s="11"/>
      <c r="J353" s="11" t="s">
        <v>45</v>
      </c>
      <c r="K353" s="11" t="s">
        <v>30</v>
      </c>
      <c r="L353" s="11" t="s">
        <v>17917</v>
      </c>
    </row>
    <row r="354" spans="1:12" ht="13.15" x14ac:dyDescent="0.4">
      <c r="A354" s="11" t="s">
        <v>17458</v>
      </c>
      <c r="B354" s="11"/>
      <c r="C354" s="11" t="s">
        <v>5377</v>
      </c>
      <c r="D354" s="11"/>
      <c r="E354" s="11"/>
      <c r="F354" s="11"/>
      <c r="G354" s="12">
        <v>16803</v>
      </c>
      <c r="H354" s="12">
        <v>16803</v>
      </c>
      <c r="I354" s="11"/>
      <c r="J354" s="11" t="s">
        <v>45</v>
      </c>
      <c r="K354" s="11" t="s">
        <v>30</v>
      </c>
      <c r="L354" s="11" t="s">
        <v>17918</v>
      </c>
    </row>
    <row r="355" spans="1:12" ht="13.15" x14ac:dyDescent="0.4">
      <c r="A355" s="11" t="s">
        <v>17630</v>
      </c>
      <c r="B355" s="11"/>
      <c r="C355" s="11" t="s">
        <v>5377</v>
      </c>
      <c r="D355" s="11"/>
      <c r="E355" s="11"/>
      <c r="F355" s="11"/>
      <c r="G355" s="12">
        <v>16803</v>
      </c>
      <c r="H355" s="12">
        <v>16803</v>
      </c>
      <c r="I355" s="11"/>
      <c r="J355" s="11" t="s">
        <v>45</v>
      </c>
      <c r="K355" s="11" t="s">
        <v>30</v>
      </c>
      <c r="L355" s="11" t="s">
        <v>17747</v>
      </c>
    </row>
    <row r="356" spans="1:12" ht="13.15" x14ac:dyDescent="0.4">
      <c r="A356" s="11" t="s">
        <v>17475</v>
      </c>
      <c r="B356" s="11"/>
      <c r="C356" s="11" t="s">
        <v>5377</v>
      </c>
      <c r="D356" s="11"/>
      <c r="E356" s="11"/>
      <c r="F356" s="11"/>
      <c r="G356" s="12">
        <v>16803</v>
      </c>
      <c r="H356" s="12">
        <v>16803</v>
      </c>
      <c r="I356" s="11"/>
      <c r="J356" s="11" t="s">
        <v>45</v>
      </c>
      <c r="K356" s="11" t="s">
        <v>30</v>
      </c>
      <c r="L356" s="11" t="s">
        <v>17902</v>
      </c>
    </row>
    <row r="357" spans="1:12" ht="13.15" x14ac:dyDescent="0.4">
      <c r="A357" s="11" t="s">
        <v>17542</v>
      </c>
      <c r="B357" s="11"/>
      <c r="C357" s="11" t="s">
        <v>5377</v>
      </c>
      <c r="D357" s="11"/>
      <c r="E357" s="11"/>
      <c r="F357" s="11"/>
      <c r="G357" s="12">
        <v>16803</v>
      </c>
      <c r="H357" s="12">
        <v>16803</v>
      </c>
      <c r="I357" s="11"/>
      <c r="J357" s="11" t="s">
        <v>45</v>
      </c>
      <c r="K357" s="11" t="s">
        <v>30</v>
      </c>
      <c r="L357" s="11" t="s">
        <v>17833</v>
      </c>
    </row>
    <row r="358" spans="1:12" ht="13.15" x14ac:dyDescent="0.4">
      <c r="A358" s="11" t="s">
        <v>17451</v>
      </c>
      <c r="B358" s="11"/>
      <c r="C358" s="11" t="s">
        <v>5377</v>
      </c>
      <c r="D358" s="11"/>
      <c r="E358" s="11"/>
      <c r="F358" s="11"/>
      <c r="G358" s="12">
        <v>16803</v>
      </c>
      <c r="H358" s="12">
        <v>16803</v>
      </c>
      <c r="I358" s="11"/>
      <c r="J358" s="11" t="s">
        <v>45</v>
      </c>
      <c r="K358" s="11" t="s">
        <v>30</v>
      </c>
      <c r="L358" s="11" t="s">
        <v>17924</v>
      </c>
    </row>
    <row r="359" spans="1:12" ht="13.15" x14ac:dyDescent="0.4">
      <c r="A359" s="11" t="s">
        <v>17512</v>
      </c>
      <c r="B359" s="11"/>
      <c r="C359" s="11" t="s">
        <v>5377</v>
      </c>
      <c r="D359" s="11"/>
      <c r="E359" s="11" t="s">
        <v>17161</v>
      </c>
      <c r="F359" s="11"/>
      <c r="G359" s="12">
        <v>16803</v>
      </c>
      <c r="H359" s="12">
        <v>16803</v>
      </c>
      <c r="I359" s="11"/>
      <c r="J359" s="11" t="s">
        <v>45</v>
      </c>
      <c r="K359" s="11" t="s">
        <v>30</v>
      </c>
      <c r="L359" s="11" t="s">
        <v>17866</v>
      </c>
    </row>
    <row r="360" spans="1:12" ht="13.15" x14ac:dyDescent="0.4">
      <c r="A360" s="11" t="s">
        <v>17392</v>
      </c>
      <c r="B360" s="11"/>
      <c r="C360" s="11" t="s">
        <v>5377</v>
      </c>
      <c r="D360" s="11"/>
      <c r="E360" s="11" t="s">
        <v>17161</v>
      </c>
      <c r="F360" s="11"/>
      <c r="G360" s="12">
        <v>16803</v>
      </c>
      <c r="H360" s="12">
        <v>16803</v>
      </c>
      <c r="I360" s="11"/>
      <c r="J360" s="11" t="s">
        <v>45</v>
      </c>
      <c r="K360" s="11" t="s">
        <v>30</v>
      </c>
      <c r="L360" s="11" t="s">
        <v>17985</v>
      </c>
    </row>
    <row r="361" spans="1:12" ht="13.15" x14ac:dyDescent="0.4">
      <c r="A361" s="11" t="s">
        <v>17537</v>
      </c>
      <c r="B361" s="11"/>
      <c r="C361" s="11" t="s">
        <v>5377</v>
      </c>
      <c r="D361" s="11"/>
      <c r="E361" s="11" t="s">
        <v>17161</v>
      </c>
      <c r="F361" s="11"/>
      <c r="G361" s="12">
        <v>16803</v>
      </c>
      <c r="H361" s="12">
        <v>16803</v>
      </c>
      <c r="I361" s="11"/>
      <c r="J361" s="11" t="s">
        <v>45</v>
      </c>
      <c r="K361" s="11" t="s">
        <v>30</v>
      </c>
      <c r="L361" s="11" t="s">
        <v>17838</v>
      </c>
    </row>
    <row r="362" spans="1:12" ht="13.15" x14ac:dyDescent="0.4">
      <c r="A362" s="11" t="s">
        <v>17477</v>
      </c>
      <c r="B362" s="11"/>
      <c r="C362" s="11" t="s">
        <v>5377</v>
      </c>
      <c r="D362" s="11"/>
      <c r="E362" s="11"/>
      <c r="F362" s="11"/>
      <c r="G362" s="12">
        <v>16803</v>
      </c>
      <c r="H362" s="12">
        <v>16803</v>
      </c>
      <c r="I362" s="11"/>
      <c r="J362" s="11" t="s">
        <v>45</v>
      </c>
      <c r="K362" s="11" t="s">
        <v>30</v>
      </c>
      <c r="L362" s="11" t="s">
        <v>17900</v>
      </c>
    </row>
    <row r="363" spans="1:12" ht="13.15" x14ac:dyDescent="0.4">
      <c r="A363" s="11" t="s">
        <v>17539</v>
      </c>
      <c r="B363" s="11"/>
      <c r="C363" s="11" t="s">
        <v>5377</v>
      </c>
      <c r="D363" s="11"/>
      <c r="E363" s="11"/>
      <c r="F363" s="11"/>
      <c r="G363" s="12">
        <v>16803</v>
      </c>
      <c r="H363" s="12">
        <v>16803</v>
      </c>
      <c r="I363" s="11"/>
      <c r="J363" s="11" t="s">
        <v>45</v>
      </c>
      <c r="K363" s="11" t="s">
        <v>30</v>
      </c>
      <c r="L363" s="11" t="s">
        <v>17836</v>
      </c>
    </row>
    <row r="364" spans="1:12" ht="13.15" x14ac:dyDescent="0.4">
      <c r="A364" s="11" t="s">
        <v>17581</v>
      </c>
      <c r="B364" s="11"/>
      <c r="C364" s="11" t="s">
        <v>5803</v>
      </c>
      <c r="D364" s="11"/>
      <c r="E364" s="11"/>
      <c r="F364" s="11"/>
      <c r="G364" s="12">
        <v>12055</v>
      </c>
      <c r="H364" s="12">
        <v>12055</v>
      </c>
      <c r="I364" s="11"/>
      <c r="J364" s="11" t="s">
        <v>45</v>
      </c>
      <c r="K364" s="11" t="s">
        <v>30</v>
      </c>
      <c r="L364" s="11" t="s">
        <v>17794</v>
      </c>
    </row>
    <row r="365" spans="1:12" ht="13.15" x14ac:dyDescent="0.4">
      <c r="A365" s="11" t="s">
        <v>17582</v>
      </c>
      <c r="B365" s="11"/>
      <c r="C365" s="11" t="s">
        <v>5803</v>
      </c>
      <c r="D365" s="11"/>
      <c r="E365" s="11"/>
      <c r="F365" s="11"/>
      <c r="G365" s="12">
        <v>12055</v>
      </c>
      <c r="H365" s="12">
        <v>12055</v>
      </c>
      <c r="I365" s="11"/>
      <c r="J365" s="11" t="s">
        <v>45</v>
      </c>
      <c r="K365" s="11" t="s">
        <v>30</v>
      </c>
      <c r="L365" s="11" t="s">
        <v>17793</v>
      </c>
    </row>
    <row r="366" spans="1:12" ht="13.15" x14ac:dyDescent="0.4">
      <c r="A366" s="11" t="s">
        <v>16706</v>
      </c>
      <c r="B366" s="11"/>
      <c r="C366" s="11" t="s">
        <v>5803</v>
      </c>
      <c r="D366" s="11"/>
      <c r="E366" s="11"/>
      <c r="F366" s="11"/>
      <c r="G366" s="12">
        <v>27395</v>
      </c>
      <c r="H366" s="12">
        <v>27395</v>
      </c>
      <c r="I366" s="11"/>
      <c r="J366" s="11" t="s">
        <v>45</v>
      </c>
      <c r="K366" s="11" t="s">
        <v>30</v>
      </c>
      <c r="L366" s="11" t="s">
        <v>18686</v>
      </c>
    </row>
    <row r="367" spans="1:12" ht="13.15" x14ac:dyDescent="0.4">
      <c r="A367" s="11" t="s">
        <v>16699</v>
      </c>
      <c r="B367" s="11"/>
      <c r="C367" s="11" t="s">
        <v>5803</v>
      </c>
      <c r="D367" s="11"/>
      <c r="E367" s="11"/>
      <c r="F367" s="11"/>
      <c r="G367" s="12">
        <v>37622</v>
      </c>
      <c r="H367" s="12">
        <v>37622</v>
      </c>
      <c r="I367" s="11"/>
      <c r="J367" s="11" t="s">
        <v>45</v>
      </c>
      <c r="K367" s="11" t="s">
        <v>30</v>
      </c>
      <c r="L367" s="11" t="s">
        <v>18693</v>
      </c>
    </row>
    <row r="368" spans="1:12" ht="13.15" x14ac:dyDescent="0.4">
      <c r="A368" s="11" t="s">
        <v>17574</v>
      </c>
      <c r="B368" s="11"/>
      <c r="C368" s="11" t="s">
        <v>5803</v>
      </c>
      <c r="D368" s="11"/>
      <c r="E368" s="11"/>
      <c r="F368" s="11"/>
      <c r="G368" s="12">
        <v>12055</v>
      </c>
      <c r="H368" s="12">
        <v>12055</v>
      </c>
      <c r="I368" s="11"/>
      <c r="J368" s="11" t="s">
        <v>45</v>
      </c>
      <c r="K368" s="11" t="s">
        <v>30</v>
      </c>
      <c r="L368" s="11" t="s">
        <v>17802</v>
      </c>
    </row>
    <row r="369" spans="1:12" ht="13.15" x14ac:dyDescent="0.4">
      <c r="A369" s="11" t="s">
        <v>17580</v>
      </c>
      <c r="B369" s="11"/>
      <c r="C369" s="11" t="s">
        <v>5803</v>
      </c>
      <c r="D369" s="11"/>
      <c r="E369" s="11"/>
      <c r="F369" s="11"/>
      <c r="G369" s="12">
        <v>12055</v>
      </c>
      <c r="H369" s="12">
        <v>12055</v>
      </c>
      <c r="I369" s="11"/>
      <c r="J369" s="11" t="s">
        <v>45</v>
      </c>
      <c r="K369" s="11" t="s">
        <v>30</v>
      </c>
      <c r="L369" s="11" t="s">
        <v>17795</v>
      </c>
    </row>
    <row r="370" spans="1:12" ht="13.15" x14ac:dyDescent="0.4">
      <c r="A370" s="11" t="s">
        <v>16688</v>
      </c>
      <c r="B370" s="11"/>
      <c r="C370" s="11" t="s">
        <v>5803</v>
      </c>
      <c r="D370" s="11"/>
      <c r="E370" s="11"/>
      <c r="F370" s="11"/>
      <c r="G370" s="12">
        <v>30682</v>
      </c>
      <c r="H370" s="12">
        <v>30682</v>
      </c>
      <c r="I370" s="11"/>
      <c r="J370" s="11" t="s">
        <v>45</v>
      </c>
      <c r="K370" s="11" t="s">
        <v>30</v>
      </c>
      <c r="L370" s="11" t="s">
        <v>18703</v>
      </c>
    </row>
    <row r="371" spans="1:12" ht="13.15" x14ac:dyDescent="0.4">
      <c r="A371" s="11" t="s">
        <v>16691</v>
      </c>
      <c r="B371" s="11"/>
      <c r="C371" s="11" t="s">
        <v>5803</v>
      </c>
      <c r="D371" s="11"/>
      <c r="E371" s="11"/>
      <c r="F371" s="11" t="s">
        <v>16692</v>
      </c>
      <c r="G371" s="12">
        <v>27395</v>
      </c>
      <c r="H371" s="12">
        <v>27395</v>
      </c>
      <c r="I371" s="11"/>
      <c r="J371" s="11" t="s">
        <v>45</v>
      </c>
      <c r="K371" s="11" t="s">
        <v>30</v>
      </c>
      <c r="L371" s="11" t="s">
        <v>18700</v>
      </c>
    </row>
    <row r="372" spans="1:12" ht="13.15" x14ac:dyDescent="0.4">
      <c r="A372" s="11" t="s">
        <v>17593</v>
      </c>
      <c r="B372" s="11"/>
      <c r="C372" s="11" t="s">
        <v>5803</v>
      </c>
      <c r="D372" s="11"/>
      <c r="E372" s="11" t="s">
        <v>16711</v>
      </c>
      <c r="F372" s="11"/>
      <c r="G372" s="12">
        <v>12055</v>
      </c>
      <c r="H372" s="12">
        <v>12055</v>
      </c>
      <c r="I372" s="11"/>
      <c r="J372" s="11" t="s">
        <v>45</v>
      </c>
      <c r="K372" s="11" t="s">
        <v>30</v>
      </c>
      <c r="L372" s="11" t="s">
        <v>17781</v>
      </c>
    </row>
    <row r="373" spans="1:12" ht="13.15" x14ac:dyDescent="0.4">
      <c r="A373" s="11" t="s">
        <v>16726</v>
      </c>
      <c r="B373" s="11"/>
      <c r="C373" s="11" t="s">
        <v>5803</v>
      </c>
      <c r="D373" s="11"/>
      <c r="E373" s="11"/>
      <c r="F373" s="11"/>
      <c r="G373" s="12">
        <v>25934</v>
      </c>
      <c r="H373" s="12">
        <v>25934</v>
      </c>
      <c r="I373" s="11"/>
      <c r="J373" s="11" t="s">
        <v>45</v>
      </c>
      <c r="K373" s="11" t="s">
        <v>30</v>
      </c>
      <c r="L373" s="11" t="s">
        <v>18667</v>
      </c>
    </row>
    <row r="374" spans="1:12" ht="13.15" x14ac:dyDescent="0.4">
      <c r="A374" s="11" t="s">
        <v>16684</v>
      </c>
      <c r="B374" s="11"/>
      <c r="C374" s="11" t="s">
        <v>5803</v>
      </c>
      <c r="D374" s="11"/>
      <c r="E374" s="11"/>
      <c r="F374" s="11"/>
      <c r="G374" s="12">
        <v>25934</v>
      </c>
      <c r="H374" s="12">
        <v>25934</v>
      </c>
      <c r="I374" s="11"/>
      <c r="J374" s="11" t="s">
        <v>45</v>
      </c>
      <c r="K374" s="11" t="s">
        <v>30</v>
      </c>
      <c r="L374" s="11" t="s">
        <v>18707</v>
      </c>
    </row>
    <row r="375" spans="1:12" ht="13.15" x14ac:dyDescent="0.4">
      <c r="A375" s="11" t="s">
        <v>17594</v>
      </c>
      <c r="B375" s="11"/>
      <c r="C375" s="11" t="s">
        <v>5803</v>
      </c>
      <c r="D375" s="11"/>
      <c r="E375" s="11"/>
      <c r="F375" s="11"/>
      <c r="G375" s="12">
        <v>12055</v>
      </c>
      <c r="H375" s="12">
        <v>12055</v>
      </c>
      <c r="I375" s="11"/>
      <c r="J375" s="11" t="s">
        <v>45</v>
      </c>
      <c r="K375" s="11" t="s">
        <v>30</v>
      </c>
      <c r="L375" s="11" t="s">
        <v>17780</v>
      </c>
    </row>
    <row r="376" spans="1:12" ht="13.15" x14ac:dyDescent="0.4">
      <c r="A376" s="11" t="s">
        <v>16700</v>
      </c>
      <c r="B376" s="11"/>
      <c r="C376" s="11" t="s">
        <v>5803</v>
      </c>
      <c r="D376" s="11"/>
      <c r="E376" s="11"/>
      <c r="F376" s="11"/>
      <c r="G376" s="12">
        <v>26299</v>
      </c>
      <c r="H376" s="12">
        <v>26299</v>
      </c>
      <c r="I376" s="11"/>
      <c r="J376" s="11" t="s">
        <v>45</v>
      </c>
      <c r="K376" s="11" t="s">
        <v>30</v>
      </c>
      <c r="L376" s="11" t="s">
        <v>18692</v>
      </c>
    </row>
    <row r="377" spans="1:12" ht="13.15" x14ac:dyDescent="0.4">
      <c r="A377" s="11" t="s">
        <v>16727</v>
      </c>
      <c r="B377" s="11"/>
      <c r="C377" s="11" t="s">
        <v>5803</v>
      </c>
      <c r="D377" s="11"/>
      <c r="E377" s="11"/>
      <c r="F377" s="11"/>
      <c r="G377" s="12">
        <v>25934</v>
      </c>
      <c r="H377" s="12">
        <v>25934</v>
      </c>
      <c r="I377" s="11"/>
      <c r="J377" s="11" t="s">
        <v>45</v>
      </c>
      <c r="K377" s="11" t="s">
        <v>30</v>
      </c>
      <c r="L377" s="11" t="s">
        <v>18666</v>
      </c>
    </row>
    <row r="378" spans="1:12" ht="13.15" x14ac:dyDescent="0.4">
      <c r="A378" s="11" t="s">
        <v>16710</v>
      </c>
      <c r="B378" s="11"/>
      <c r="C378" s="11" t="s">
        <v>5803</v>
      </c>
      <c r="D378" s="11"/>
      <c r="E378" s="11" t="s">
        <v>16711</v>
      </c>
      <c r="F378" s="11"/>
      <c r="G378" s="12">
        <v>38353</v>
      </c>
      <c r="H378" s="12">
        <v>38353</v>
      </c>
      <c r="I378" s="11"/>
      <c r="J378" s="11" t="s">
        <v>45</v>
      </c>
      <c r="K378" s="11" t="s">
        <v>30</v>
      </c>
      <c r="L378" s="11" t="s">
        <v>18682</v>
      </c>
    </row>
    <row r="379" spans="1:12" ht="13.15" x14ac:dyDescent="0.4">
      <c r="A379" s="11" t="s">
        <v>16719</v>
      </c>
      <c r="B379" s="11"/>
      <c r="C379" s="11" t="s">
        <v>5803</v>
      </c>
      <c r="D379" s="11"/>
      <c r="E379" s="11"/>
      <c r="F379" s="11"/>
      <c r="G379" s="12">
        <v>25934</v>
      </c>
      <c r="H379" s="12">
        <v>25934</v>
      </c>
      <c r="I379" s="11"/>
      <c r="J379" s="11" t="s">
        <v>45</v>
      </c>
      <c r="K379" s="11" t="s">
        <v>30</v>
      </c>
      <c r="L379" s="11" t="s">
        <v>18674</v>
      </c>
    </row>
    <row r="380" spans="1:12" ht="13.15" x14ac:dyDescent="0.4">
      <c r="A380" s="11" t="s">
        <v>17586</v>
      </c>
      <c r="B380" s="11"/>
      <c r="C380" s="11" t="s">
        <v>5803</v>
      </c>
      <c r="D380" s="11"/>
      <c r="E380" s="11"/>
      <c r="F380" s="11"/>
      <c r="G380" s="12">
        <v>12055</v>
      </c>
      <c r="H380" s="12">
        <v>12055</v>
      </c>
      <c r="I380" s="11"/>
      <c r="J380" s="11" t="s">
        <v>45</v>
      </c>
      <c r="K380" s="11" t="s">
        <v>30</v>
      </c>
      <c r="L380" s="11" t="s">
        <v>17788</v>
      </c>
    </row>
    <row r="381" spans="1:12" ht="13.15" x14ac:dyDescent="0.4">
      <c r="A381" s="11" t="s">
        <v>16689</v>
      </c>
      <c r="B381" s="11"/>
      <c r="C381" s="11" t="s">
        <v>5803</v>
      </c>
      <c r="D381" s="11"/>
      <c r="E381" s="11"/>
      <c r="F381" s="11"/>
      <c r="G381" s="12">
        <v>26299</v>
      </c>
      <c r="H381" s="12">
        <v>26299</v>
      </c>
      <c r="I381" s="11"/>
      <c r="J381" s="11" t="s">
        <v>45</v>
      </c>
      <c r="K381" s="11" t="s">
        <v>30</v>
      </c>
      <c r="L381" s="11" t="s">
        <v>18702</v>
      </c>
    </row>
    <row r="382" spans="1:12" ht="13.15" x14ac:dyDescent="0.4">
      <c r="A382" s="11" t="s">
        <v>16704</v>
      </c>
      <c r="B382" s="11"/>
      <c r="C382" s="11" t="s">
        <v>5803</v>
      </c>
      <c r="D382" s="11"/>
      <c r="E382" s="11"/>
      <c r="F382" s="11"/>
      <c r="G382" s="12">
        <v>26299</v>
      </c>
      <c r="H382" s="12">
        <v>26299</v>
      </c>
      <c r="I382" s="11"/>
      <c r="J382" s="11" t="s">
        <v>45</v>
      </c>
      <c r="K382" s="11" t="s">
        <v>30</v>
      </c>
      <c r="L382" s="11" t="s">
        <v>18688</v>
      </c>
    </row>
    <row r="383" spans="1:12" ht="13.15" x14ac:dyDescent="0.4">
      <c r="A383" s="11" t="s">
        <v>16754</v>
      </c>
      <c r="B383" s="11"/>
      <c r="C383" s="11" t="s">
        <v>5803</v>
      </c>
      <c r="D383" s="11"/>
      <c r="E383" s="11"/>
      <c r="F383" s="11"/>
      <c r="G383" s="12">
        <v>26299</v>
      </c>
      <c r="H383" s="12">
        <v>26299</v>
      </c>
      <c r="I383" s="11"/>
      <c r="J383" s="11" t="s">
        <v>45</v>
      </c>
      <c r="K383" s="11" t="s">
        <v>30</v>
      </c>
      <c r="L383" s="11" t="s">
        <v>18639</v>
      </c>
    </row>
    <row r="384" spans="1:12" ht="13.15" x14ac:dyDescent="0.4">
      <c r="A384" s="11" t="s">
        <v>16746</v>
      </c>
      <c r="B384" s="11"/>
      <c r="C384" s="11" t="s">
        <v>5803</v>
      </c>
      <c r="D384" s="11"/>
      <c r="E384" s="11"/>
      <c r="F384" s="11"/>
      <c r="G384" s="12">
        <v>30682</v>
      </c>
      <c r="H384" s="12">
        <v>30682</v>
      </c>
      <c r="I384" s="11"/>
      <c r="J384" s="11" t="s">
        <v>45</v>
      </c>
      <c r="K384" s="11" t="s">
        <v>30</v>
      </c>
      <c r="L384" s="11" t="s">
        <v>18647</v>
      </c>
    </row>
    <row r="385" spans="1:12" ht="13.15" x14ac:dyDescent="0.4">
      <c r="A385" s="11" t="s">
        <v>17589</v>
      </c>
      <c r="B385" s="11"/>
      <c r="C385" s="11" t="s">
        <v>5803</v>
      </c>
      <c r="D385" s="11"/>
      <c r="E385" s="11"/>
      <c r="F385" s="11"/>
      <c r="G385" s="12">
        <v>12055</v>
      </c>
      <c r="H385" s="12">
        <v>12055</v>
      </c>
      <c r="I385" s="11"/>
      <c r="J385" s="11" t="s">
        <v>45</v>
      </c>
      <c r="K385" s="11" t="s">
        <v>30</v>
      </c>
      <c r="L385" s="11" t="s">
        <v>17785</v>
      </c>
    </row>
    <row r="386" spans="1:12" ht="13.15" x14ac:dyDescent="0.4">
      <c r="A386" s="11" t="s">
        <v>16683</v>
      </c>
      <c r="B386" s="11"/>
      <c r="C386" s="11" t="s">
        <v>5803</v>
      </c>
      <c r="D386" s="11"/>
      <c r="E386" s="11"/>
      <c r="F386" s="11"/>
      <c r="G386" s="12">
        <v>25934</v>
      </c>
      <c r="H386" s="12">
        <v>25934</v>
      </c>
      <c r="I386" s="11"/>
      <c r="J386" s="11" t="s">
        <v>45</v>
      </c>
      <c r="K386" s="11" t="s">
        <v>30</v>
      </c>
      <c r="L386" s="11" t="s">
        <v>18708</v>
      </c>
    </row>
    <row r="387" spans="1:12" ht="13.15" x14ac:dyDescent="0.4">
      <c r="A387" s="11" t="s">
        <v>17622</v>
      </c>
      <c r="B387" s="11"/>
      <c r="C387" s="11" t="s">
        <v>5803</v>
      </c>
      <c r="D387" s="11"/>
      <c r="E387" s="11"/>
      <c r="F387" s="11"/>
      <c r="G387" s="12">
        <v>12055</v>
      </c>
      <c r="H387" s="12">
        <v>12055</v>
      </c>
      <c r="I387" s="11"/>
      <c r="J387" s="11" t="s">
        <v>45</v>
      </c>
      <c r="K387" s="11" t="s">
        <v>30</v>
      </c>
      <c r="L387" s="11" t="s">
        <v>17755</v>
      </c>
    </row>
    <row r="388" spans="1:12" ht="13.15" x14ac:dyDescent="0.4">
      <c r="A388" s="11" t="s">
        <v>16709</v>
      </c>
      <c r="B388" s="11"/>
      <c r="C388" s="11" t="s">
        <v>5803</v>
      </c>
      <c r="D388" s="11"/>
      <c r="E388" s="11"/>
      <c r="F388" s="11"/>
      <c r="G388" s="12">
        <v>25934</v>
      </c>
      <c r="H388" s="12">
        <v>25934</v>
      </c>
      <c r="I388" s="11"/>
      <c r="J388" s="11" t="s">
        <v>45</v>
      </c>
      <c r="K388" s="11" t="s">
        <v>30</v>
      </c>
      <c r="L388" s="11" t="s">
        <v>18683</v>
      </c>
    </row>
    <row r="389" spans="1:12" ht="13.15" x14ac:dyDescent="0.4">
      <c r="A389" s="11" t="s">
        <v>16703</v>
      </c>
      <c r="B389" s="11"/>
      <c r="C389" s="11" t="s">
        <v>5803</v>
      </c>
      <c r="D389" s="11"/>
      <c r="E389" s="11"/>
      <c r="F389" s="11"/>
      <c r="G389" s="12">
        <v>25934</v>
      </c>
      <c r="H389" s="12">
        <v>25934</v>
      </c>
      <c r="I389" s="11"/>
      <c r="J389" s="11" t="s">
        <v>45</v>
      </c>
      <c r="K389" s="11" t="s">
        <v>30</v>
      </c>
      <c r="L389" s="11" t="s">
        <v>18689</v>
      </c>
    </row>
    <row r="390" spans="1:12" ht="13.15" x14ac:dyDescent="0.4">
      <c r="A390" s="11" t="s">
        <v>16714</v>
      </c>
      <c r="B390" s="11"/>
      <c r="C390" s="11" t="s">
        <v>5803</v>
      </c>
      <c r="D390" s="11"/>
      <c r="E390" s="11"/>
      <c r="F390" s="11"/>
      <c r="G390" s="12">
        <v>25934</v>
      </c>
      <c r="H390" s="12">
        <v>25934</v>
      </c>
      <c r="I390" s="11"/>
      <c r="J390" s="11" t="s">
        <v>45</v>
      </c>
      <c r="K390" s="11" t="s">
        <v>30</v>
      </c>
      <c r="L390" s="11" t="s">
        <v>18679</v>
      </c>
    </row>
    <row r="391" spans="1:12" ht="13.15" x14ac:dyDescent="0.4">
      <c r="A391" s="11" t="s">
        <v>16741</v>
      </c>
      <c r="B391" s="11"/>
      <c r="C391" s="11" t="s">
        <v>5803</v>
      </c>
      <c r="D391" s="11"/>
      <c r="E391" s="11"/>
      <c r="F391" s="11"/>
      <c r="G391" s="12">
        <v>26299</v>
      </c>
      <c r="H391" s="12">
        <v>26299</v>
      </c>
      <c r="I391" s="11"/>
      <c r="J391" s="11" t="s">
        <v>45</v>
      </c>
      <c r="K391" s="11" t="s">
        <v>30</v>
      </c>
      <c r="L391" s="11" t="s">
        <v>18652</v>
      </c>
    </row>
    <row r="392" spans="1:12" ht="13.15" x14ac:dyDescent="0.4">
      <c r="A392" s="11" t="s">
        <v>17600</v>
      </c>
      <c r="B392" s="11"/>
      <c r="C392" s="11" t="s">
        <v>5803</v>
      </c>
      <c r="D392" s="11"/>
      <c r="E392" s="11"/>
      <c r="F392" s="11"/>
      <c r="G392" s="12">
        <v>12055</v>
      </c>
      <c r="H392" s="12">
        <v>12055</v>
      </c>
      <c r="I392" s="11"/>
      <c r="J392" s="11" t="s">
        <v>45</v>
      </c>
      <c r="K392" s="11" t="s">
        <v>30</v>
      </c>
      <c r="L392" s="11" t="s">
        <v>17773</v>
      </c>
    </row>
    <row r="393" spans="1:12" ht="13.15" x14ac:dyDescent="0.4">
      <c r="A393" s="11" t="s">
        <v>16739</v>
      </c>
      <c r="B393" s="11"/>
      <c r="C393" s="11" t="s">
        <v>5803</v>
      </c>
      <c r="D393" s="11"/>
      <c r="E393" s="11"/>
      <c r="F393" s="11"/>
      <c r="G393" s="12">
        <v>25934</v>
      </c>
      <c r="H393" s="12">
        <v>25934</v>
      </c>
      <c r="I393" s="11"/>
      <c r="J393" s="11" t="s">
        <v>45</v>
      </c>
      <c r="K393" s="11" t="s">
        <v>30</v>
      </c>
      <c r="L393" s="11" t="s">
        <v>18654</v>
      </c>
    </row>
    <row r="394" spans="1:12" ht="13.15" x14ac:dyDescent="0.4">
      <c r="A394" s="11" t="s">
        <v>16696</v>
      </c>
      <c r="B394" s="11"/>
      <c r="C394" s="11" t="s">
        <v>5803</v>
      </c>
      <c r="D394" s="11"/>
      <c r="E394" s="11"/>
      <c r="F394" s="11"/>
      <c r="G394" s="12">
        <v>25934</v>
      </c>
      <c r="H394" s="12">
        <v>25934</v>
      </c>
      <c r="I394" s="11"/>
      <c r="J394" s="11" t="s">
        <v>45</v>
      </c>
      <c r="K394" s="11" t="s">
        <v>30</v>
      </c>
      <c r="L394" s="11" t="s">
        <v>18696</v>
      </c>
    </row>
    <row r="395" spans="1:12" ht="13.15" x14ac:dyDescent="0.4">
      <c r="A395" s="11" t="s">
        <v>16742</v>
      </c>
      <c r="B395" s="11"/>
      <c r="C395" s="11" t="s">
        <v>5803</v>
      </c>
      <c r="D395" s="11"/>
      <c r="E395" s="11"/>
      <c r="F395" s="11"/>
      <c r="G395" s="12">
        <v>25934</v>
      </c>
      <c r="H395" s="12">
        <v>25934</v>
      </c>
      <c r="I395" s="11"/>
      <c r="J395" s="11" t="s">
        <v>45</v>
      </c>
      <c r="K395" s="11" t="s">
        <v>30</v>
      </c>
      <c r="L395" s="11" t="s">
        <v>18651</v>
      </c>
    </row>
    <row r="396" spans="1:12" ht="13.15" x14ac:dyDescent="0.4">
      <c r="A396" s="11" t="s">
        <v>17596</v>
      </c>
      <c r="B396" s="11"/>
      <c r="C396" s="11" t="s">
        <v>5803</v>
      </c>
      <c r="D396" s="11"/>
      <c r="E396" s="11"/>
      <c r="F396" s="11"/>
      <c r="G396" s="12">
        <v>12055</v>
      </c>
      <c r="H396" s="12">
        <v>12055</v>
      </c>
      <c r="I396" s="11"/>
      <c r="J396" s="11" t="s">
        <v>45</v>
      </c>
      <c r="K396" s="11" t="s">
        <v>30</v>
      </c>
      <c r="L396" s="11" t="s">
        <v>17777</v>
      </c>
    </row>
    <row r="397" spans="1:12" ht="13.15" x14ac:dyDescent="0.4">
      <c r="A397" s="11" t="s">
        <v>17604</v>
      </c>
      <c r="B397" s="11"/>
      <c r="C397" s="11" t="s">
        <v>5803</v>
      </c>
      <c r="D397" s="11"/>
      <c r="E397" s="11"/>
      <c r="F397" s="11"/>
      <c r="G397" s="12">
        <v>12055</v>
      </c>
      <c r="H397" s="12">
        <v>12055</v>
      </c>
      <c r="I397" s="11"/>
      <c r="J397" s="11" t="s">
        <v>45</v>
      </c>
      <c r="K397" s="11" t="s">
        <v>30</v>
      </c>
      <c r="L397" s="11" t="s">
        <v>17769</v>
      </c>
    </row>
    <row r="398" spans="1:12" ht="13.15" x14ac:dyDescent="0.4">
      <c r="A398" s="11" t="s">
        <v>17584</v>
      </c>
      <c r="B398" s="11"/>
      <c r="C398" s="11" t="s">
        <v>5803</v>
      </c>
      <c r="D398" s="11"/>
      <c r="E398" s="11"/>
      <c r="F398" s="11"/>
      <c r="G398" s="12">
        <v>12055</v>
      </c>
      <c r="H398" s="12">
        <v>12055</v>
      </c>
      <c r="I398" s="11"/>
      <c r="J398" s="11" t="s">
        <v>45</v>
      </c>
      <c r="K398" s="11" t="s">
        <v>30</v>
      </c>
      <c r="L398" s="11" t="s">
        <v>17791</v>
      </c>
    </row>
    <row r="399" spans="1:12" ht="13.15" x14ac:dyDescent="0.4">
      <c r="A399" s="11" t="s">
        <v>16717</v>
      </c>
      <c r="B399" s="11"/>
      <c r="C399" s="11" t="s">
        <v>5803</v>
      </c>
      <c r="D399" s="11"/>
      <c r="E399" s="11"/>
      <c r="F399" s="11"/>
      <c r="G399" s="12">
        <v>25934</v>
      </c>
      <c r="H399" s="12">
        <v>25934</v>
      </c>
      <c r="I399" s="11"/>
      <c r="J399" s="11" t="s">
        <v>45</v>
      </c>
      <c r="K399" s="11" t="s">
        <v>30</v>
      </c>
      <c r="L399" s="11" t="s">
        <v>18676</v>
      </c>
    </row>
    <row r="400" spans="1:12" ht="13.15" x14ac:dyDescent="0.4">
      <c r="A400" s="11" t="s">
        <v>16679</v>
      </c>
      <c r="B400" s="11"/>
      <c r="C400" s="11" t="s">
        <v>6553</v>
      </c>
      <c r="D400" s="11"/>
      <c r="E400" s="11"/>
      <c r="F400" s="11"/>
      <c r="G400" s="12">
        <v>25934</v>
      </c>
      <c r="H400" s="12">
        <v>25934</v>
      </c>
      <c r="I400" s="11"/>
      <c r="J400" s="11" t="s">
        <v>45</v>
      </c>
      <c r="K400" s="11" t="s">
        <v>30</v>
      </c>
      <c r="L400" s="11" t="s">
        <v>18712</v>
      </c>
    </row>
    <row r="401" spans="1:12" ht="13.15" x14ac:dyDescent="0.4">
      <c r="A401" s="11" t="s">
        <v>16676</v>
      </c>
      <c r="B401" s="11"/>
      <c r="C401" s="11" t="s">
        <v>6553</v>
      </c>
      <c r="D401" s="11"/>
      <c r="E401" s="11"/>
      <c r="F401" s="11"/>
      <c r="G401" s="12">
        <v>26299</v>
      </c>
      <c r="H401" s="12">
        <v>26299</v>
      </c>
      <c r="I401" s="11"/>
      <c r="J401" s="11" t="s">
        <v>45</v>
      </c>
      <c r="K401" s="11" t="s">
        <v>30</v>
      </c>
      <c r="L401" s="11" t="s">
        <v>18715</v>
      </c>
    </row>
    <row r="402" spans="1:12" ht="13.15" x14ac:dyDescent="0.4">
      <c r="A402" s="11" t="s">
        <v>17180</v>
      </c>
      <c r="B402" s="11"/>
      <c r="C402" s="11" t="s">
        <v>6553</v>
      </c>
      <c r="D402" s="11"/>
      <c r="E402" s="11"/>
      <c r="F402" s="11"/>
      <c r="G402" s="12">
        <v>20821</v>
      </c>
      <c r="H402" s="12">
        <v>20821</v>
      </c>
      <c r="I402" s="11"/>
      <c r="J402" s="11" t="s">
        <v>45</v>
      </c>
      <c r="K402" s="11" t="s">
        <v>30</v>
      </c>
      <c r="L402" s="11" t="s">
        <v>18213</v>
      </c>
    </row>
    <row r="403" spans="1:12" ht="13.15" x14ac:dyDescent="0.4">
      <c r="A403" s="11" t="s">
        <v>17207</v>
      </c>
      <c r="B403" s="11"/>
      <c r="C403" s="11" t="s">
        <v>6553</v>
      </c>
      <c r="D403" s="11"/>
      <c r="E403" s="11"/>
      <c r="F403" s="11"/>
      <c r="G403" s="12">
        <v>20821</v>
      </c>
      <c r="H403" s="12">
        <v>20821</v>
      </c>
      <c r="I403" s="11"/>
      <c r="J403" s="11" t="s">
        <v>45</v>
      </c>
      <c r="K403" s="11" t="s">
        <v>30</v>
      </c>
      <c r="L403" s="11" t="s">
        <v>18185</v>
      </c>
    </row>
    <row r="404" spans="1:12" ht="13.15" x14ac:dyDescent="0.4">
      <c r="A404" s="11" t="s">
        <v>16789</v>
      </c>
      <c r="B404" s="11"/>
      <c r="C404" s="11" t="s">
        <v>6553</v>
      </c>
      <c r="D404" s="11"/>
      <c r="E404" s="11"/>
      <c r="F404" s="11"/>
      <c r="G404" s="12">
        <v>23377</v>
      </c>
      <c r="H404" s="12">
        <v>23377</v>
      </c>
      <c r="I404" s="11"/>
      <c r="J404" s="11" t="s">
        <v>45</v>
      </c>
      <c r="K404" s="11" t="s">
        <v>30</v>
      </c>
      <c r="L404" s="11" t="s">
        <v>18604</v>
      </c>
    </row>
    <row r="405" spans="1:12" ht="13.15" x14ac:dyDescent="0.4">
      <c r="A405" s="11" t="s">
        <v>16789</v>
      </c>
      <c r="B405" s="11"/>
      <c r="C405" s="11" t="s">
        <v>6553</v>
      </c>
      <c r="D405" s="11"/>
      <c r="E405" s="11"/>
      <c r="F405" s="11"/>
      <c r="G405" s="12">
        <v>23012</v>
      </c>
      <c r="H405" s="12">
        <v>23012</v>
      </c>
      <c r="I405" s="11"/>
      <c r="J405" s="11" t="s">
        <v>45</v>
      </c>
      <c r="K405" s="11" t="s">
        <v>30</v>
      </c>
      <c r="L405" s="11" t="s">
        <v>18514</v>
      </c>
    </row>
    <row r="406" spans="1:12" ht="13.15" x14ac:dyDescent="0.4">
      <c r="A406" s="11" t="s">
        <v>16790</v>
      </c>
      <c r="B406" s="11"/>
      <c r="C406" s="11" t="s">
        <v>6553</v>
      </c>
      <c r="D406" s="11"/>
      <c r="E406" s="11"/>
      <c r="F406" s="11"/>
      <c r="G406" s="12">
        <v>23743</v>
      </c>
      <c r="H406" s="12">
        <v>23743</v>
      </c>
      <c r="I406" s="11"/>
      <c r="J406" s="11" t="s">
        <v>45</v>
      </c>
      <c r="K406" s="11" t="s">
        <v>30</v>
      </c>
      <c r="L406" s="11" t="s">
        <v>18603</v>
      </c>
    </row>
    <row r="407" spans="1:12" ht="13.15" x14ac:dyDescent="0.4">
      <c r="A407" s="11" t="s">
        <v>16779</v>
      </c>
      <c r="B407" s="11"/>
      <c r="C407" s="11" t="s">
        <v>6553</v>
      </c>
      <c r="D407" s="11"/>
      <c r="E407" s="11"/>
      <c r="F407" s="11"/>
      <c r="G407" s="12">
        <v>23377</v>
      </c>
      <c r="H407" s="12">
        <v>23377</v>
      </c>
      <c r="I407" s="11"/>
      <c r="J407" s="11" t="s">
        <v>45</v>
      </c>
      <c r="K407" s="11" t="s">
        <v>30</v>
      </c>
      <c r="L407" s="11" t="s">
        <v>18614</v>
      </c>
    </row>
    <row r="408" spans="1:12" ht="13.15" x14ac:dyDescent="0.4">
      <c r="A408" s="11" t="s">
        <v>17216</v>
      </c>
      <c r="B408" s="11"/>
      <c r="C408" s="11" t="s">
        <v>6553</v>
      </c>
      <c r="D408" s="11"/>
      <c r="E408" s="11"/>
      <c r="F408" s="11"/>
      <c r="G408" s="12">
        <v>20821</v>
      </c>
      <c r="H408" s="12">
        <v>20821</v>
      </c>
      <c r="I408" s="11"/>
      <c r="J408" s="11" t="s">
        <v>45</v>
      </c>
      <c r="K408" s="11" t="s">
        <v>30</v>
      </c>
      <c r="L408" s="11" t="s">
        <v>18175</v>
      </c>
    </row>
    <row r="409" spans="1:12" ht="13.15" x14ac:dyDescent="0.4">
      <c r="A409" s="11" t="s">
        <v>17219</v>
      </c>
      <c r="B409" s="11"/>
      <c r="C409" s="11" t="s">
        <v>6553</v>
      </c>
      <c r="D409" s="11"/>
      <c r="E409" s="11"/>
      <c r="F409" s="11"/>
      <c r="G409" s="12">
        <v>20821</v>
      </c>
      <c r="H409" s="12">
        <v>20821</v>
      </c>
      <c r="I409" s="11"/>
      <c r="J409" s="11" t="s">
        <v>45</v>
      </c>
      <c r="K409" s="11" t="s">
        <v>30</v>
      </c>
      <c r="L409" s="11" t="s">
        <v>18172</v>
      </c>
    </row>
    <row r="410" spans="1:12" ht="13.15" x14ac:dyDescent="0.4">
      <c r="A410" s="11" t="s">
        <v>17088</v>
      </c>
      <c r="B410" s="11"/>
      <c r="C410" s="11" t="s">
        <v>6553</v>
      </c>
      <c r="D410" s="11"/>
      <c r="E410" s="11"/>
      <c r="F410" s="11"/>
      <c r="G410" s="12">
        <v>20821</v>
      </c>
      <c r="H410" s="12">
        <v>20821</v>
      </c>
      <c r="I410" s="11"/>
      <c r="J410" s="11" t="s">
        <v>45</v>
      </c>
      <c r="K410" s="11" t="s">
        <v>30</v>
      </c>
      <c r="L410" s="11" t="s">
        <v>18306</v>
      </c>
    </row>
    <row r="411" spans="1:12" ht="13.15" x14ac:dyDescent="0.4">
      <c r="A411" s="11" t="s">
        <v>16738</v>
      </c>
      <c r="B411" s="11"/>
      <c r="C411" s="11" t="s">
        <v>6553</v>
      </c>
      <c r="D411" s="11"/>
      <c r="E411" s="11"/>
      <c r="F411" s="11"/>
      <c r="G411" s="12">
        <v>26299</v>
      </c>
      <c r="H411" s="12">
        <v>26299</v>
      </c>
      <c r="I411" s="11"/>
      <c r="J411" s="11" t="s">
        <v>45</v>
      </c>
      <c r="K411" s="11" t="s">
        <v>30</v>
      </c>
      <c r="L411" s="11" t="s">
        <v>18655</v>
      </c>
    </row>
    <row r="412" spans="1:12" ht="13.15" x14ac:dyDescent="0.4">
      <c r="A412" s="11" t="s">
        <v>16868</v>
      </c>
      <c r="B412" s="11"/>
      <c r="C412" s="11" t="s">
        <v>6553</v>
      </c>
      <c r="D412" s="11"/>
      <c r="E412" s="11"/>
      <c r="F412" s="11"/>
      <c r="G412" s="12">
        <v>24108</v>
      </c>
      <c r="H412" s="12">
        <v>24108</v>
      </c>
      <c r="I412" s="11"/>
      <c r="J412" s="11" t="s">
        <v>45</v>
      </c>
      <c r="K412" s="11" t="s">
        <v>30</v>
      </c>
      <c r="L412" s="11" t="s">
        <v>18524</v>
      </c>
    </row>
    <row r="413" spans="1:12" ht="13.15" x14ac:dyDescent="0.4">
      <c r="A413" s="11" t="s">
        <v>16870</v>
      </c>
      <c r="B413" s="11"/>
      <c r="C413" s="11" t="s">
        <v>6553</v>
      </c>
      <c r="D413" s="11"/>
      <c r="E413" s="11"/>
      <c r="F413" s="11"/>
      <c r="G413" s="12">
        <v>24108</v>
      </c>
      <c r="H413" s="12">
        <v>24108</v>
      </c>
      <c r="I413" s="11"/>
      <c r="J413" s="11" t="s">
        <v>45</v>
      </c>
      <c r="K413" s="11" t="s">
        <v>30</v>
      </c>
      <c r="L413" s="11" t="s">
        <v>18522</v>
      </c>
    </row>
    <row r="414" spans="1:12" ht="13.15" x14ac:dyDescent="0.4">
      <c r="A414" s="11" t="s">
        <v>17256</v>
      </c>
      <c r="B414" s="11"/>
      <c r="C414" s="11" t="s">
        <v>6553</v>
      </c>
      <c r="D414" s="11"/>
      <c r="E414" s="11"/>
      <c r="F414" s="11"/>
      <c r="G414" s="12">
        <v>20821</v>
      </c>
      <c r="H414" s="12">
        <v>20821</v>
      </c>
      <c r="I414" s="11"/>
      <c r="J414" s="11" t="s">
        <v>45</v>
      </c>
      <c r="K414" s="11" t="s">
        <v>30</v>
      </c>
      <c r="L414" s="11" t="s">
        <v>18131</v>
      </c>
    </row>
    <row r="415" spans="1:12" ht="13.15" x14ac:dyDescent="0.4">
      <c r="A415" s="11" t="s">
        <v>17107</v>
      </c>
      <c r="B415" s="11"/>
      <c r="C415" s="11" t="s">
        <v>6553</v>
      </c>
      <c r="D415" s="11"/>
      <c r="E415" s="11"/>
      <c r="F415" s="11"/>
      <c r="G415" s="12">
        <v>20821</v>
      </c>
      <c r="H415" s="12">
        <v>20821</v>
      </c>
      <c r="I415" s="11"/>
      <c r="J415" s="11" t="s">
        <v>45</v>
      </c>
      <c r="K415" s="11" t="s">
        <v>30</v>
      </c>
      <c r="L415" s="11" t="s">
        <v>18286</v>
      </c>
    </row>
    <row r="416" spans="1:12" ht="13.15" x14ac:dyDescent="0.4">
      <c r="A416" s="11" t="s">
        <v>17117</v>
      </c>
      <c r="B416" s="11"/>
      <c r="C416" s="11" t="s">
        <v>6553</v>
      </c>
      <c r="D416" s="11"/>
      <c r="E416" s="11"/>
      <c r="F416" s="11"/>
      <c r="G416" s="12">
        <v>20821</v>
      </c>
      <c r="H416" s="12">
        <v>20821</v>
      </c>
      <c r="I416" s="11"/>
      <c r="J416" s="11" t="s">
        <v>45</v>
      </c>
      <c r="K416" s="11" t="s">
        <v>30</v>
      </c>
      <c r="L416" s="11" t="s">
        <v>18275</v>
      </c>
    </row>
    <row r="417" spans="1:12" ht="13.15" x14ac:dyDescent="0.4">
      <c r="A417" s="11" t="s">
        <v>17114</v>
      </c>
      <c r="B417" s="11"/>
      <c r="C417" s="11" t="s">
        <v>6553</v>
      </c>
      <c r="D417" s="11"/>
      <c r="E417" s="11"/>
      <c r="F417" s="11"/>
      <c r="G417" s="12">
        <v>20821</v>
      </c>
      <c r="H417" s="12">
        <v>20821</v>
      </c>
      <c r="I417" s="11"/>
      <c r="J417" s="11" t="s">
        <v>45</v>
      </c>
      <c r="K417" s="11" t="s">
        <v>30</v>
      </c>
      <c r="L417" s="11" t="s">
        <v>18278</v>
      </c>
    </row>
    <row r="418" spans="1:12" ht="13.15" x14ac:dyDescent="0.4">
      <c r="A418" s="11" t="s">
        <v>17307</v>
      </c>
      <c r="B418" s="11"/>
      <c r="C418" s="11" t="s">
        <v>6553</v>
      </c>
      <c r="D418" s="11"/>
      <c r="E418" s="11"/>
      <c r="F418" s="11"/>
      <c r="G418" s="12">
        <v>20821</v>
      </c>
      <c r="H418" s="12">
        <v>20821</v>
      </c>
      <c r="I418" s="11"/>
      <c r="J418" s="11" t="s">
        <v>45</v>
      </c>
      <c r="K418" s="11" t="s">
        <v>30</v>
      </c>
      <c r="L418" s="11" t="s">
        <v>18076</v>
      </c>
    </row>
    <row r="419" spans="1:12" ht="13.15" x14ac:dyDescent="0.4">
      <c r="A419" s="11" t="s">
        <v>13971</v>
      </c>
      <c r="B419" s="11"/>
      <c r="C419" s="11" t="s">
        <v>6553</v>
      </c>
      <c r="D419" s="11"/>
      <c r="E419" s="11"/>
      <c r="F419" s="11"/>
      <c r="G419" s="12">
        <v>20821</v>
      </c>
      <c r="H419" s="12">
        <v>20821</v>
      </c>
      <c r="I419" s="11"/>
      <c r="J419" s="11" t="s">
        <v>45</v>
      </c>
      <c r="K419" s="11" t="s">
        <v>30</v>
      </c>
      <c r="L419" s="11" t="s">
        <v>18308</v>
      </c>
    </row>
    <row r="420" spans="1:12" ht="13.15" x14ac:dyDescent="0.4">
      <c r="A420" s="11" t="s">
        <v>17243</v>
      </c>
      <c r="B420" s="11"/>
      <c r="C420" s="11" t="s">
        <v>6553</v>
      </c>
      <c r="D420" s="11"/>
      <c r="E420" s="11"/>
      <c r="F420" s="11"/>
      <c r="G420" s="12">
        <v>20821</v>
      </c>
      <c r="H420" s="12">
        <v>20821</v>
      </c>
      <c r="I420" s="11"/>
      <c r="J420" s="11" t="s">
        <v>45</v>
      </c>
      <c r="K420" s="11" t="s">
        <v>30</v>
      </c>
      <c r="L420" s="11" t="s">
        <v>18147</v>
      </c>
    </row>
    <row r="421" spans="1:12" ht="13.15" x14ac:dyDescent="0.4">
      <c r="A421" s="11" t="s">
        <v>17319</v>
      </c>
      <c r="B421" s="11"/>
      <c r="C421" s="11" t="s">
        <v>6553</v>
      </c>
      <c r="D421" s="11"/>
      <c r="E421" s="11"/>
      <c r="F421" s="11"/>
      <c r="G421" s="12">
        <v>20821</v>
      </c>
      <c r="H421" s="12">
        <v>20821</v>
      </c>
      <c r="I421" s="11"/>
      <c r="J421" s="11" t="s">
        <v>45</v>
      </c>
      <c r="K421" s="11" t="s">
        <v>30</v>
      </c>
      <c r="L421" s="11" t="s">
        <v>18063</v>
      </c>
    </row>
    <row r="422" spans="1:12" ht="13.15" x14ac:dyDescent="0.4">
      <c r="A422" s="11" t="s">
        <v>17270</v>
      </c>
      <c r="B422" s="11"/>
      <c r="C422" s="11" t="s">
        <v>6553</v>
      </c>
      <c r="D422" s="11"/>
      <c r="E422" s="11"/>
      <c r="F422" s="11"/>
      <c r="G422" s="12">
        <v>20821</v>
      </c>
      <c r="H422" s="12">
        <v>20821</v>
      </c>
      <c r="I422" s="11"/>
      <c r="J422" s="11" t="s">
        <v>45</v>
      </c>
      <c r="K422" s="11" t="s">
        <v>30</v>
      </c>
      <c r="L422" s="11" t="s">
        <v>18115</v>
      </c>
    </row>
    <row r="423" spans="1:12" ht="13.15" x14ac:dyDescent="0.4">
      <c r="A423" s="11" t="s">
        <v>17262</v>
      </c>
      <c r="B423" s="11"/>
      <c r="C423" s="11" t="s">
        <v>6553</v>
      </c>
      <c r="D423" s="11"/>
      <c r="E423" s="11"/>
      <c r="F423" s="11"/>
      <c r="G423" s="12">
        <v>20821</v>
      </c>
      <c r="H423" s="12">
        <v>20821</v>
      </c>
      <c r="I423" s="11"/>
      <c r="J423" s="11" t="s">
        <v>45</v>
      </c>
      <c r="K423" s="11" t="s">
        <v>30</v>
      </c>
      <c r="L423" s="11" t="s">
        <v>18124</v>
      </c>
    </row>
    <row r="424" spans="1:12" ht="13.15" x14ac:dyDescent="0.4">
      <c r="A424" s="11" t="s">
        <v>17205</v>
      </c>
      <c r="B424" s="11"/>
      <c r="C424" s="11" t="s">
        <v>6553</v>
      </c>
      <c r="D424" s="11"/>
      <c r="E424" s="11"/>
      <c r="F424" s="11"/>
      <c r="G424" s="12">
        <v>20821</v>
      </c>
      <c r="H424" s="12">
        <v>20821</v>
      </c>
      <c r="I424" s="11"/>
      <c r="J424" s="11" t="s">
        <v>45</v>
      </c>
      <c r="K424" s="11" t="s">
        <v>30</v>
      </c>
      <c r="L424" s="11" t="s">
        <v>18187</v>
      </c>
    </row>
    <row r="425" spans="1:12" ht="13.15" x14ac:dyDescent="0.4">
      <c r="A425" s="11" t="s">
        <v>17201</v>
      </c>
      <c r="B425" s="11"/>
      <c r="C425" s="11" t="s">
        <v>6553</v>
      </c>
      <c r="D425" s="11"/>
      <c r="E425" s="11"/>
      <c r="F425" s="11"/>
      <c r="G425" s="12">
        <v>20821</v>
      </c>
      <c r="H425" s="12">
        <v>20821</v>
      </c>
      <c r="I425" s="11"/>
      <c r="J425" s="11" t="s">
        <v>45</v>
      </c>
      <c r="K425" s="11" t="s">
        <v>30</v>
      </c>
      <c r="L425" s="11" t="s">
        <v>18191</v>
      </c>
    </row>
    <row r="426" spans="1:12" ht="13.15" x14ac:dyDescent="0.4">
      <c r="A426" s="11" t="s">
        <v>17209</v>
      </c>
      <c r="B426" s="11"/>
      <c r="C426" s="11" t="s">
        <v>6553</v>
      </c>
      <c r="D426" s="11"/>
      <c r="E426" s="11"/>
      <c r="F426" s="11"/>
      <c r="G426" s="12">
        <v>20821</v>
      </c>
      <c r="H426" s="12">
        <v>20821</v>
      </c>
      <c r="I426" s="11"/>
      <c r="J426" s="11" t="s">
        <v>45</v>
      </c>
      <c r="K426" s="11" t="s">
        <v>30</v>
      </c>
      <c r="L426" s="11" t="s">
        <v>18183</v>
      </c>
    </row>
    <row r="427" spans="1:12" ht="13.15" x14ac:dyDescent="0.4">
      <c r="A427" s="11" t="s">
        <v>17211</v>
      </c>
      <c r="B427" s="11"/>
      <c r="C427" s="11" t="s">
        <v>6553</v>
      </c>
      <c r="D427" s="11"/>
      <c r="E427" s="11"/>
      <c r="F427" s="11"/>
      <c r="G427" s="12">
        <v>20821</v>
      </c>
      <c r="H427" s="12">
        <v>20821</v>
      </c>
      <c r="I427" s="11"/>
      <c r="J427" s="11" t="s">
        <v>45</v>
      </c>
      <c r="K427" s="11" t="s">
        <v>30</v>
      </c>
      <c r="L427" s="11" t="s">
        <v>18181</v>
      </c>
    </row>
    <row r="428" spans="1:12" ht="13.15" x14ac:dyDescent="0.4">
      <c r="A428" s="11" t="s">
        <v>17259</v>
      </c>
      <c r="B428" s="11"/>
      <c r="C428" s="11" t="s">
        <v>6553</v>
      </c>
      <c r="D428" s="11"/>
      <c r="E428" s="11"/>
      <c r="F428" s="11"/>
      <c r="G428" s="12">
        <v>20821</v>
      </c>
      <c r="H428" s="12">
        <v>20821</v>
      </c>
      <c r="I428" s="11"/>
      <c r="J428" s="11" t="s">
        <v>45</v>
      </c>
      <c r="K428" s="11" t="s">
        <v>30</v>
      </c>
      <c r="L428" s="11" t="s">
        <v>18127</v>
      </c>
    </row>
    <row r="429" spans="1:12" ht="13.15" x14ac:dyDescent="0.4">
      <c r="A429" s="11" t="s">
        <v>17321</v>
      </c>
      <c r="B429" s="11"/>
      <c r="C429" s="11" t="s">
        <v>6553</v>
      </c>
      <c r="D429" s="11"/>
      <c r="E429" s="11"/>
      <c r="F429" s="11"/>
      <c r="G429" s="12">
        <v>20821</v>
      </c>
      <c r="H429" s="12">
        <v>20821</v>
      </c>
      <c r="I429" s="11"/>
      <c r="J429" s="11" t="s">
        <v>45</v>
      </c>
      <c r="K429" s="11" t="s">
        <v>30</v>
      </c>
      <c r="L429" s="11" t="s">
        <v>18060</v>
      </c>
    </row>
    <row r="430" spans="1:12" ht="13.15" x14ac:dyDescent="0.4">
      <c r="A430" s="11" t="s">
        <v>17251</v>
      </c>
      <c r="B430" s="11"/>
      <c r="C430" s="11" t="s">
        <v>6553</v>
      </c>
      <c r="D430" s="11"/>
      <c r="E430" s="11"/>
      <c r="F430" s="11"/>
      <c r="G430" s="12">
        <v>20821</v>
      </c>
      <c r="H430" s="12">
        <v>20821</v>
      </c>
      <c r="I430" s="11"/>
      <c r="J430" s="11" t="s">
        <v>45</v>
      </c>
      <c r="K430" s="11" t="s">
        <v>30</v>
      </c>
      <c r="L430" s="11" t="s">
        <v>18137</v>
      </c>
    </row>
    <row r="431" spans="1:12" ht="13.15" x14ac:dyDescent="0.4">
      <c r="A431" s="11" t="s">
        <v>17123</v>
      </c>
      <c r="B431" s="11"/>
      <c r="C431" s="11" t="s">
        <v>6553</v>
      </c>
      <c r="D431" s="11"/>
      <c r="E431" s="11"/>
      <c r="F431" s="11"/>
      <c r="G431" s="12">
        <v>20821</v>
      </c>
      <c r="H431" s="12">
        <v>20821</v>
      </c>
      <c r="I431" s="11"/>
      <c r="J431" s="11" t="s">
        <v>45</v>
      </c>
      <c r="K431" s="11" t="s">
        <v>30</v>
      </c>
      <c r="L431" s="11" t="s">
        <v>18269</v>
      </c>
    </row>
    <row r="432" spans="1:12" ht="13.15" x14ac:dyDescent="0.4">
      <c r="A432" s="11" t="s">
        <v>17183</v>
      </c>
      <c r="B432" s="11"/>
      <c r="C432" s="11" t="s">
        <v>6553</v>
      </c>
      <c r="D432" s="11"/>
      <c r="E432" s="11"/>
      <c r="F432" s="11"/>
      <c r="G432" s="12">
        <v>20821</v>
      </c>
      <c r="H432" s="12">
        <v>20821</v>
      </c>
      <c r="I432" s="11"/>
      <c r="J432" s="11" t="s">
        <v>45</v>
      </c>
      <c r="K432" s="11" t="s">
        <v>30</v>
      </c>
      <c r="L432" s="11" t="s">
        <v>18210</v>
      </c>
    </row>
    <row r="433" spans="1:12" ht="13.15" x14ac:dyDescent="0.4">
      <c r="A433" s="11" t="s">
        <v>17115</v>
      </c>
      <c r="B433" s="11"/>
      <c r="C433" s="11" t="s">
        <v>6553</v>
      </c>
      <c r="D433" s="11"/>
      <c r="E433" s="11"/>
      <c r="F433" s="11"/>
      <c r="G433" s="12">
        <v>20821</v>
      </c>
      <c r="H433" s="12">
        <v>20821</v>
      </c>
      <c r="I433" s="11"/>
      <c r="J433" s="11" t="s">
        <v>45</v>
      </c>
      <c r="K433" s="11" t="s">
        <v>30</v>
      </c>
      <c r="L433" s="11" t="s">
        <v>18277</v>
      </c>
    </row>
    <row r="434" spans="1:12" ht="13.15" x14ac:dyDescent="0.4">
      <c r="A434" s="11" t="s">
        <v>17087</v>
      </c>
      <c r="B434" s="11"/>
      <c r="C434" s="11" t="s">
        <v>6553</v>
      </c>
      <c r="D434" s="11"/>
      <c r="E434" s="11"/>
      <c r="F434" s="11"/>
      <c r="G434" s="12">
        <v>20821</v>
      </c>
      <c r="H434" s="12">
        <v>20821</v>
      </c>
      <c r="I434" s="11"/>
      <c r="J434" s="11" t="s">
        <v>45</v>
      </c>
      <c r="K434" s="11" t="s">
        <v>30</v>
      </c>
      <c r="L434" s="11" t="s">
        <v>18307</v>
      </c>
    </row>
    <row r="435" spans="1:12" ht="13.15" x14ac:dyDescent="0.4">
      <c r="A435" s="11" t="s">
        <v>17093</v>
      </c>
      <c r="B435" s="11"/>
      <c r="C435" s="11" t="s">
        <v>6553</v>
      </c>
      <c r="D435" s="11"/>
      <c r="E435" s="11"/>
      <c r="F435" s="11"/>
      <c r="G435" s="12">
        <v>20821</v>
      </c>
      <c r="H435" s="12">
        <v>20821</v>
      </c>
      <c r="I435" s="11"/>
      <c r="J435" s="11" t="s">
        <v>45</v>
      </c>
      <c r="K435" s="11" t="s">
        <v>30</v>
      </c>
      <c r="L435" s="11" t="s">
        <v>18301</v>
      </c>
    </row>
    <row r="436" spans="1:12" ht="13.15" x14ac:dyDescent="0.4">
      <c r="A436" s="11" t="s">
        <v>17100</v>
      </c>
      <c r="B436" s="11"/>
      <c r="C436" s="11" t="s">
        <v>6553</v>
      </c>
      <c r="D436" s="11"/>
      <c r="E436" s="11"/>
      <c r="F436" s="11"/>
      <c r="G436" s="12">
        <v>20821</v>
      </c>
      <c r="H436" s="12">
        <v>20821</v>
      </c>
      <c r="I436" s="11"/>
      <c r="J436" s="11" t="s">
        <v>45</v>
      </c>
      <c r="K436" s="11" t="s">
        <v>30</v>
      </c>
      <c r="L436" s="11" t="s">
        <v>18294</v>
      </c>
    </row>
    <row r="437" spans="1:12" ht="13.15" x14ac:dyDescent="0.4">
      <c r="A437" s="11" t="s">
        <v>17152</v>
      </c>
      <c r="B437" s="11"/>
      <c r="C437" s="11" t="s">
        <v>6553</v>
      </c>
      <c r="D437" s="11"/>
      <c r="E437" s="11"/>
      <c r="F437" s="11"/>
      <c r="G437" s="12">
        <v>20821</v>
      </c>
      <c r="H437" s="12">
        <v>20821</v>
      </c>
      <c r="I437" s="11"/>
      <c r="J437" s="11" t="s">
        <v>45</v>
      </c>
      <c r="K437" s="11" t="s">
        <v>30</v>
      </c>
      <c r="L437" s="11" t="s">
        <v>18239</v>
      </c>
    </row>
    <row r="438" spans="1:12" ht="13.15" x14ac:dyDescent="0.4">
      <c r="A438" s="11" t="s">
        <v>17130</v>
      </c>
      <c r="B438" s="11"/>
      <c r="C438" s="11" t="s">
        <v>6553</v>
      </c>
      <c r="D438" s="11"/>
      <c r="E438" s="11"/>
      <c r="F438" s="11"/>
      <c r="G438" s="12">
        <v>20821</v>
      </c>
      <c r="H438" s="12">
        <v>20821</v>
      </c>
      <c r="I438" s="11"/>
      <c r="J438" s="11" t="s">
        <v>45</v>
      </c>
      <c r="K438" s="11" t="s">
        <v>30</v>
      </c>
      <c r="L438" s="11" t="s">
        <v>18260</v>
      </c>
    </row>
    <row r="439" spans="1:12" ht="13.15" x14ac:dyDescent="0.4">
      <c r="A439" s="11" t="s">
        <v>17146</v>
      </c>
      <c r="B439" s="11"/>
      <c r="C439" s="11" t="s">
        <v>6553</v>
      </c>
      <c r="D439" s="11"/>
      <c r="E439" s="11"/>
      <c r="F439" s="11"/>
      <c r="G439" s="12">
        <v>20821</v>
      </c>
      <c r="H439" s="12">
        <v>20821</v>
      </c>
      <c r="I439" s="11"/>
      <c r="J439" s="11" t="s">
        <v>45</v>
      </c>
      <c r="K439" s="11" t="s">
        <v>30</v>
      </c>
      <c r="L439" s="11" t="s">
        <v>18245</v>
      </c>
    </row>
    <row r="440" spans="1:12" ht="13.15" x14ac:dyDescent="0.4">
      <c r="A440" s="11" t="s">
        <v>17149</v>
      </c>
      <c r="B440" s="11"/>
      <c r="C440" s="11" t="s">
        <v>6553</v>
      </c>
      <c r="D440" s="11"/>
      <c r="E440" s="11"/>
      <c r="F440" s="11"/>
      <c r="G440" s="12">
        <v>20821</v>
      </c>
      <c r="H440" s="12">
        <v>20821</v>
      </c>
      <c r="I440" s="11"/>
      <c r="J440" s="11" t="s">
        <v>45</v>
      </c>
      <c r="K440" s="11" t="s">
        <v>30</v>
      </c>
      <c r="L440" s="11" t="s">
        <v>18242</v>
      </c>
    </row>
    <row r="441" spans="1:12" ht="13.15" x14ac:dyDescent="0.4">
      <c r="A441" s="11" t="s">
        <v>17230</v>
      </c>
      <c r="B441" s="11"/>
      <c r="C441" s="11" t="s">
        <v>6553</v>
      </c>
      <c r="D441" s="11"/>
      <c r="E441" s="11"/>
      <c r="F441" s="11"/>
      <c r="G441" s="12">
        <v>20821</v>
      </c>
      <c r="H441" s="12">
        <v>20821</v>
      </c>
      <c r="I441" s="11"/>
      <c r="J441" s="11" t="s">
        <v>45</v>
      </c>
      <c r="K441" s="11" t="s">
        <v>30</v>
      </c>
      <c r="L441" s="11" t="s">
        <v>18161</v>
      </c>
    </row>
    <row r="442" spans="1:12" ht="13.15" x14ac:dyDescent="0.4">
      <c r="A442" s="11" t="s">
        <v>16918</v>
      </c>
      <c r="B442" s="11"/>
      <c r="C442" s="11" t="s">
        <v>6553</v>
      </c>
      <c r="D442" s="11"/>
      <c r="E442" s="11"/>
      <c r="F442" s="11"/>
      <c r="G442" s="12">
        <v>23012</v>
      </c>
      <c r="H442" s="12">
        <v>23012</v>
      </c>
      <c r="I442" s="11"/>
      <c r="J442" s="11" t="s">
        <v>45</v>
      </c>
      <c r="K442" s="11" t="s">
        <v>30</v>
      </c>
      <c r="L442" s="11" t="s">
        <v>18472</v>
      </c>
    </row>
    <row r="443" spans="1:12" ht="13.15" x14ac:dyDescent="0.4">
      <c r="A443" s="11" t="s">
        <v>17233</v>
      </c>
      <c r="B443" s="11"/>
      <c r="C443" s="11" t="s">
        <v>6553</v>
      </c>
      <c r="D443" s="11"/>
      <c r="E443" s="11"/>
      <c r="F443" s="11"/>
      <c r="G443" s="12">
        <v>20821</v>
      </c>
      <c r="H443" s="12">
        <v>20821</v>
      </c>
      <c r="I443" s="11"/>
      <c r="J443" s="11" t="s">
        <v>45</v>
      </c>
      <c r="K443" s="11" t="s">
        <v>30</v>
      </c>
      <c r="L443" s="11" t="s">
        <v>18158</v>
      </c>
    </row>
    <row r="444" spans="1:12" ht="13.15" x14ac:dyDescent="0.4">
      <c r="A444" s="11" t="s">
        <v>16845</v>
      </c>
      <c r="B444" s="11"/>
      <c r="C444" s="11" t="s">
        <v>6553</v>
      </c>
      <c r="D444" s="11"/>
      <c r="E444" s="11"/>
      <c r="F444" s="11"/>
      <c r="G444" s="12">
        <v>23377</v>
      </c>
      <c r="H444" s="12">
        <v>23377</v>
      </c>
      <c r="I444" s="11"/>
      <c r="J444" s="11" t="s">
        <v>45</v>
      </c>
      <c r="K444" s="11" t="s">
        <v>30</v>
      </c>
      <c r="L444" s="11" t="s">
        <v>18547</v>
      </c>
    </row>
    <row r="445" spans="1:12" ht="13.15" x14ac:dyDescent="0.4">
      <c r="A445" s="11" t="s">
        <v>16682</v>
      </c>
      <c r="B445" s="11"/>
      <c r="C445" s="11" t="s">
        <v>6553</v>
      </c>
      <c r="D445" s="11"/>
      <c r="E445" s="11"/>
      <c r="F445" s="11"/>
      <c r="G445" s="12">
        <v>24473</v>
      </c>
      <c r="H445" s="12">
        <v>24473</v>
      </c>
      <c r="I445" s="11"/>
      <c r="J445" s="11" t="s">
        <v>45</v>
      </c>
      <c r="K445" s="11" t="s">
        <v>30</v>
      </c>
      <c r="L445" s="11" t="s">
        <v>18709</v>
      </c>
    </row>
    <row r="446" spans="1:12" ht="13.15" x14ac:dyDescent="0.4">
      <c r="A446" s="11" t="s">
        <v>17085</v>
      </c>
      <c r="B446" s="11"/>
      <c r="C446" s="11" t="s">
        <v>6553</v>
      </c>
      <c r="D446" s="11"/>
      <c r="E446" s="11"/>
      <c r="F446" s="11"/>
      <c r="G446" s="12">
        <v>20821</v>
      </c>
      <c r="H446" s="12">
        <v>20821</v>
      </c>
      <c r="I446" s="11"/>
      <c r="J446" s="11" t="s">
        <v>45</v>
      </c>
      <c r="K446" s="11" t="s">
        <v>30</v>
      </c>
      <c r="L446" s="11" t="s">
        <v>18310</v>
      </c>
    </row>
    <row r="447" spans="1:12" ht="13.15" x14ac:dyDescent="0.4">
      <c r="A447" s="11" t="s">
        <v>17242</v>
      </c>
      <c r="B447" s="11"/>
      <c r="C447" s="11" t="s">
        <v>6553</v>
      </c>
      <c r="D447" s="11"/>
      <c r="E447" s="11"/>
      <c r="F447" s="11"/>
      <c r="G447" s="12">
        <v>20821</v>
      </c>
      <c r="H447" s="12">
        <v>20821</v>
      </c>
      <c r="I447" s="11"/>
      <c r="J447" s="11" t="s">
        <v>45</v>
      </c>
      <c r="K447" s="11" t="s">
        <v>30</v>
      </c>
      <c r="L447" s="11" t="s">
        <v>18148</v>
      </c>
    </row>
    <row r="448" spans="1:12" ht="13.15" x14ac:dyDescent="0.4">
      <c r="A448" s="11" t="s">
        <v>17168</v>
      </c>
      <c r="B448" s="11"/>
      <c r="C448" s="11" t="s">
        <v>6553</v>
      </c>
      <c r="D448" s="11"/>
      <c r="E448" s="11"/>
      <c r="F448" s="11"/>
      <c r="G448" s="12">
        <v>20821</v>
      </c>
      <c r="H448" s="12">
        <v>20821</v>
      </c>
      <c r="I448" s="11"/>
      <c r="J448" s="11" t="s">
        <v>45</v>
      </c>
      <c r="K448" s="11" t="s">
        <v>30</v>
      </c>
      <c r="L448" s="11" t="s">
        <v>18224</v>
      </c>
    </row>
    <row r="449" spans="1:12" ht="13.15" x14ac:dyDescent="0.4">
      <c r="A449" s="11" t="s">
        <v>16792</v>
      </c>
      <c r="B449" s="11"/>
      <c r="C449" s="11" t="s">
        <v>6553</v>
      </c>
      <c r="D449" s="11"/>
      <c r="E449" s="11"/>
      <c r="F449" s="11"/>
      <c r="G449" s="12">
        <v>23377</v>
      </c>
      <c r="H449" s="12">
        <v>23377</v>
      </c>
      <c r="I449" s="11"/>
      <c r="J449" s="11" t="s">
        <v>45</v>
      </c>
      <c r="K449" s="11" t="s">
        <v>30</v>
      </c>
      <c r="L449" s="11" t="s">
        <v>18601</v>
      </c>
    </row>
    <row r="450" spans="1:12" ht="13.15" x14ac:dyDescent="0.4">
      <c r="A450" s="11" t="s">
        <v>17084</v>
      </c>
      <c r="B450" s="11"/>
      <c r="C450" s="11" t="s">
        <v>6553</v>
      </c>
      <c r="D450" s="11"/>
      <c r="E450" s="11"/>
      <c r="F450" s="11"/>
      <c r="G450" s="12">
        <v>20821</v>
      </c>
      <c r="H450" s="12">
        <v>20821</v>
      </c>
      <c r="I450" s="11"/>
      <c r="J450" s="11" t="s">
        <v>45</v>
      </c>
      <c r="K450" s="11" t="s">
        <v>30</v>
      </c>
      <c r="L450" s="11" t="s">
        <v>18311</v>
      </c>
    </row>
    <row r="451" spans="1:12" ht="13.15" x14ac:dyDescent="0.4">
      <c r="A451" s="11" t="s">
        <v>17081</v>
      </c>
      <c r="B451" s="11"/>
      <c r="C451" s="11" t="s">
        <v>6553</v>
      </c>
      <c r="D451" s="11"/>
      <c r="E451" s="11"/>
      <c r="F451" s="11"/>
      <c r="G451" s="12">
        <v>20821</v>
      </c>
      <c r="H451" s="12">
        <v>20821</v>
      </c>
      <c r="I451" s="11"/>
      <c r="J451" s="11" t="s">
        <v>45</v>
      </c>
      <c r="K451" s="11" t="s">
        <v>30</v>
      </c>
      <c r="L451" s="11" t="s">
        <v>18314</v>
      </c>
    </row>
    <row r="452" spans="1:12" ht="13.15" x14ac:dyDescent="0.4">
      <c r="A452" s="11" t="s">
        <v>17248</v>
      </c>
      <c r="B452" s="11"/>
      <c r="C452" s="11" t="s">
        <v>6553</v>
      </c>
      <c r="D452" s="11"/>
      <c r="E452" s="11"/>
      <c r="F452" s="11"/>
      <c r="G452" s="12">
        <v>20821</v>
      </c>
      <c r="H452" s="12">
        <v>20821</v>
      </c>
      <c r="I452" s="11"/>
      <c r="J452" s="11" t="s">
        <v>45</v>
      </c>
      <c r="K452" s="11" t="s">
        <v>30</v>
      </c>
      <c r="L452" s="11" t="s">
        <v>18140</v>
      </c>
    </row>
    <row r="453" spans="1:12" ht="13.15" x14ac:dyDescent="0.4">
      <c r="A453" s="11" t="s">
        <v>16852</v>
      </c>
      <c r="B453" s="11"/>
      <c r="C453" s="11" t="s">
        <v>6553</v>
      </c>
      <c r="D453" s="11"/>
      <c r="E453" s="11"/>
      <c r="F453" s="11"/>
      <c r="G453" s="12">
        <v>24108</v>
      </c>
      <c r="H453" s="12">
        <v>24108</v>
      </c>
      <c r="I453" s="11"/>
      <c r="J453" s="11" t="s">
        <v>45</v>
      </c>
      <c r="K453" s="11" t="s">
        <v>30</v>
      </c>
      <c r="L453" s="11" t="s">
        <v>18542</v>
      </c>
    </row>
    <row r="454" spans="1:12" ht="13.15" x14ac:dyDescent="0.4">
      <c r="A454" s="11" t="s">
        <v>17299</v>
      </c>
      <c r="B454" s="11"/>
      <c r="C454" s="11" t="s">
        <v>6553</v>
      </c>
      <c r="D454" s="11"/>
      <c r="E454" s="11"/>
      <c r="F454" s="11"/>
      <c r="G454" s="12">
        <v>20821</v>
      </c>
      <c r="H454" s="12">
        <v>20821</v>
      </c>
      <c r="I454" s="11"/>
      <c r="J454" s="11" t="s">
        <v>45</v>
      </c>
      <c r="K454" s="11" t="s">
        <v>30</v>
      </c>
      <c r="L454" s="11" t="s">
        <v>18085</v>
      </c>
    </row>
    <row r="455" spans="1:12" ht="13.15" x14ac:dyDescent="0.4">
      <c r="A455" s="11" t="s">
        <v>17185</v>
      </c>
      <c r="B455" s="11"/>
      <c r="C455" s="11" t="s">
        <v>6553</v>
      </c>
      <c r="D455" s="11"/>
      <c r="E455" s="11"/>
      <c r="F455" s="11"/>
      <c r="G455" s="12">
        <v>20821</v>
      </c>
      <c r="H455" s="12">
        <v>20821</v>
      </c>
      <c r="I455" s="11"/>
      <c r="J455" s="11" t="s">
        <v>45</v>
      </c>
      <c r="K455" s="11" t="s">
        <v>30</v>
      </c>
      <c r="L455" s="11" t="s">
        <v>18208</v>
      </c>
    </row>
    <row r="456" spans="1:12" ht="13.15" x14ac:dyDescent="0.4">
      <c r="A456" s="11" t="s">
        <v>16740</v>
      </c>
      <c r="B456" s="11"/>
      <c r="C456" s="11" t="s">
        <v>6553</v>
      </c>
      <c r="D456" s="11"/>
      <c r="E456" s="11"/>
      <c r="F456" s="11"/>
      <c r="G456" s="12">
        <v>26665</v>
      </c>
      <c r="H456" s="12">
        <v>26665</v>
      </c>
      <c r="I456" s="11"/>
      <c r="J456" s="11" t="s">
        <v>45</v>
      </c>
      <c r="K456" s="11" t="s">
        <v>30</v>
      </c>
      <c r="L456" s="11" t="s">
        <v>18653</v>
      </c>
    </row>
    <row r="457" spans="1:12" ht="13.15" x14ac:dyDescent="0.4">
      <c r="A457" s="11" t="s">
        <v>17139</v>
      </c>
      <c r="B457" s="11"/>
      <c r="C457" s="11" t="s">
        <v>6553</v>
      </c>
      <c r="D457" s="11"/>
      <c r="E457" s="11"/>
      <c r="F457" s="11"/>
      <c r="G457" s="12">
        <v>20821</v>
      </c>
      <c r="H457" s="12">
        <v>20821</v>
      </c>
      <c r="I457" s="11"/>
      <c r="J457" s="11" t="s">
        <v>45</v>
      </c>
      <c r="K457" s="11" t="s">
        <v>30</v>
      </c>
      <c r="L457" s="11" t="s">
        <v>18252</v>
      </c>
    </row>
    <row r="458" spans="1:12" ht="13.15" x14ac:dyDescent="0.4">
      <c r="A458" s="11" t="s">
        <v>17124</v>
      </c>
      <c r="B458" s="11"/>
      <c r="C458" s="11" t="s">
        <v>6553</v>
      </c>
      <c r="D458" s="11"/>
      <c r="E458" s="11"/>
      <c r="F458" s="11"/>
      <c r="G458" s="12">
        <v>20821</v>
      </c>
      <c r="H458" s="12">
        <v>20821</v>
      </c>
      <c r="I458" s="11"/>
      <c r="J458" s="11" t="s">
        <v>45</v>
      </c>
      <c r="K458" s="11" t="s">
        <v>30</v>
      </c>
      <c r="L458" s="11" t="s">
        <v>18267</v>
      </c>
    </row>
    <row r="459" spans="1:12" ht="13.15" x14ac:dyDescent="0.4">
      <c r="A459" s="11" t="s">
        <v>16905</v>
      </c>
      <c r="B459" s="11"/>
      <c r="C459" s="11" t="s">
        <v>6553</v>
      </c>
      <c r="D459" s="11"/>
      <c r="E459" s="11"/>
      <c r="F459" s="11"/>
      <c r="G459" s="12">
        <v>22647</v>
      </c>
      <c r="H459" s="12">
        <v>22647</v>
      </c>
      <c r="I459" s="11"/>
      <c r="J459" s="11" t="s">
        <v>45</v>
      </c>
      <c r="K459" s="11" t="s">
        <v>30</v>
      </c>
      <c r="L459" s="11" t="s">
        <v>18485</v>
      </c>
    </row>
    <row r="460" spans="1:12" ht="13.15" x14ac:dyDescent="0.4">
      <c r="A460" s="11" t="s">
        <v>17239</v>
      </c>
      <c r="B460" s="11"/>
      <c r="C460" s="11" t="s">
        <v>6553</v>
      </c>
      <c r="D460" s="11"/>
      <c r="E460" s="11"/>
      <c r="F460" s="11"/>
      <c r="G460" s="12">
        <v>20821</v>
      </c>
      <c r="H460" s="12">
        <v>20821</v>
      </c>
      <c r="I460" s="11"/>
      <c r="J460" s="11" t="s">
        <v>45</v>
      </c>
      <c r="K460" s="11" t="s">
        <v>30</v>
      </c>
      <c r="L460" s="11" t="s">
        <v>18152</v>
      </c>
    </row>
    <row r="461" spans="1:12" ht="13.15" x14ac:dyDescent="0.4">
      <c r="A461" s="11" t="s">
        <v>16838</v>
      </c>
      <c r="B461" s="11"/>
      <c r="C461" s="11" t="s">
        <v>6553</v>
      </c>
      <c r="D461" s="11"/>
      <c r="E461" s="11"/>
      <c r="F461" s="11"/>
      <c r="G461" s="12">
        <v>23377</v>
      </c>
      <c r="H461" s="12">
        <v>23377</v>
      </c>
      <c r="I461" s="11"/>
      <c r="J461" s="11" t="s">
        <v>45</v>
      </c>
      <c r="K461" s="11" t="s">
        <v>30</v>
      </c>
      <c r="L461" s="11" t="s">
        <v>18554</v>
      </c>
    </row>
    <row r="462" spans="1:12" ht="13.15" x14ac:dyDescent="0.4">
      <c r="A462" s="11" t="s">
        <v>16805</v>
      </c>
      <c r="B462" s="11"/>
      <c r="C462" s="11" t="s">
        <v>6553</v>
      </c>
      <c r="D462" s="11"/>
      <c r="E462" s="11"/>
      <c r="F462" s="11"/>
      <c r="G462" s="12">
        <v>23377</v>
      </c>
      <c r="H462" s="12">
        <v>23377</v>
      </c>
      <c r="I462" s="11"/>
      <c r="J462" s="11" t="s">
        <v>45</v>
      </c>
      <c r="K462" s="11" t="s">
        <v>30</v>
      </c>
      <c r="L462" s="11" t="s">
        <v>18588</v>
      </c>
    </row>
    <row r="463" spans="1:12" ht="13.15" x14ac:dyDescent="0.4">
      <c r="A463" s="11" t="s">
        <v>17182</v>
      </c>
      <c r="B463" s="11"/>
      <c r="C463" s="11" t="s">
        <v>6553</v>
      </c>
      <c r="D463" s="11"/>
      <c r="E463" s="11"/>
      <c r="F463" s="11"/>
      <c r="G463" s="12">
        <v>20821</v>
      </c>
      <c r="H463" s="12">
        <v>20821</v>
      </c>
      <c r="I463" s="11"/>
      <c r="J463" s="11" t="s">
        <v>45</v>
      </c>
      <c r="K463" s="11" t="s">
        <v>30</v>
      </c>
      <c r="L463" s="11" t="s">
        <v>18211</v>
      </c>
    </row>
    <row r="464" spans="1:12" ht="13.15" x14ac:dyDescent="0.4">
      <c r="A464" s="11" t="s">
        <v>17224</v>
      </c>
      <c r="B464" s="11"/>
      <c r="C464" s="11" t="s">
        <v>6553</v>
      </c>
      <c r="D464" s="11"/>
      <c r="E464" s="11"/>
      <c r="F464" s="11"/>
      <c r="G464" s="12">
        <v>20821</v>
      </c>
      <c r="H464" s="12">
        <v>20821</v>
      </c>
      <c r="I464" s="11"/>
      <c r="J464" s="11" t="s">
        <v>45</v>
      </c>
      <c r="K464" s="11" t="s">
        <v>30</v>
      </c>
      <c r="L464" s="11" t="s">
        <v>18167</v>
      </c>
    </row>
    <row r="465" spans="1:12" ht="13.15" x14ac:dyDescent="0.4">
      <c r="A465" s="11" t="s">
        <v>16875</v>
      </c>
      <c r="B465" s="11"/>
      <c r="C465" s="11" t="s">
        <v>6553</v>
      </c>
      <c r="D465" s="11"/>
      <c r="E465" s="11"/>
      <c r="F465" s="11"/>
      <c r="G465" s="12">
        <v>22647</v>
      </c>
      <c r="H465" s="12">
        <v>22647</v>
      </c>
      <c r="I465" s="11"/>
      <c r="J465" s="11" t="s">
        <v>45</v>
      </c>
      <c r="K465" s="11" t="s">
        <v>30</v>
      </c>
      <c r="L465" s="11" t="s">
        <v>18516</v>
      </c>
    </row>
    <row r="466" spans="1:12" ht="13.15" x14ac:dyDescent="0.4">
      <c r="A466" s="11" t="s">
        <v>16961</v>
      </c>
      <c r="B466" s="11"/>
      <c r="C466" s="11" t="s">
        <v>6553</v>
      </c>
      <c r="D466" s="11"/>
      <c r="E466" s="11"/>
      <c r="F466" s="11"/>
      <c r="G466" s="12">
        <v>22647</v>
      </c>
      <c r="H466" s="12">
        <v>22647</v>
      </c>
      <c r="I466" s="11"/>
      <c r="J466" s="11" t="s">
        <v>45</v>
      </c>
      <c r="K466" s="11" t="s">
        <v>30</v>
      </c>
      <c r="L466" s="11" t="s">
        <v>18431</v>
      </c>
    </row>
    <row r="467" spans="1:12" ht="13.15" x14ac:dyDescent="0.4">
      <c r="A467" s="11" t="s">
        <v>17129</v>
      </c>
      <c r="B467" s="11"/>
      <c r="C467" s="11" t="s">
        <v>6553</v>
      </c>
      <c r="D467" s="11"/>
      <c r="E467" s="11"/>
      <c r="F467" s="11"/>
      <c r="G467" s="12">
        <v>20821</v>
      </c>
      <c r="H467" s="12">
        <v>20821</v>
      </c>
      <c r="I467" s="11"/>
      <c r="J467" s="11" t="s">
        <v>45</v>
      </c>
      <c r="K467" s="11" t="s">
        <v>30</v>
      </c>
      <c r="L467" s="11" t="s">
        <v>18262</v>
      </c>
    </row>
    <row r="468" spans="1:12" ht="13.15" x14ac:dyDescent="0.4">
      <c r="A468" s="11" t="s">
        <v>17094</v>
      </c>
      <c r="B468" s="11"/>
      <c r="C468" s="11" t="s">
        <v>6553</v>
      </c>
      <c r="D468" s="11"/>
      <c r="E468" s="11"/>
      <c r="F468" s="11"/>
      <c r="G468" s="12">
        <v>20821</v>
      </c>
      <c r="H468" s="12">
        <v>20821</v>
      </c>
      <c r="I468" s="11"/>
      <c r="J468" s="11" t="s">
        <v>45</v>
      </c>
      <c r="K468" s="11" t="s">
        <v>30</v>
      </c>
      <c r="L468" s="11" t="s">
        <v>18300</v>
      </c>
    </row>
    <row r="469" spans="1:12" ht="13.15" x14ac:dyDescent="0.4">
      <c r="A469" s="11" t="s">
        <v>16791</v>
      </c>
      <c r="B469" s="11"/>
      <c r="C469" s="11" t="s">
        <v>6553</v>
      </c>
      <c r="D469" s="11"/>
      <c r="E469" s="11"/>
      <c r="F469" s="11"/>
      <c r="G469" s="12">
        <v>23012</v>
      </c>
      <c r="H469" s="12">
        <v>23012</v>
      </c>
      <c r="I469" s="11"/>
      <c r="J469" s="11" t="s">
        <v>45</v>
      </c>
      <c r="K469" s="11" t="s">
        <v>30</v>
      </c>
      <c r="L469" s="11" t="s">
        <v>18602</v>
      </c>
    </row>
    <row r="470" spans="1:12" ht="13.15" x14ac:dyDescent="0.4">
      <c r="A470" s="11" t="s">
        <v>17147</v>
      </c>
      <c r="B470" s="11"/>
      <c r="C470" s="11" t="s">
        <v>6553</v>
      </c>
      <c r="D470" s="11"/>
      <c r="E470" s="11"/>
      <c r="F470" s="11"/>
      <c r="G470" s="12">
        <v>20821</v>
      </c>
      <c r="H470" s="12">
        <v>20821</v>
      </c>
      <c r="I470" s="11"/>
      <c r="J470" s="11" t="s">
        <v>45</v>
      </c>
      <c r="K470" s="11" t="s">
        <v>30</v>
      </c>
      <c r="L470" s="11" t="s">
        <v>18244</v>
      </c>
    </row>
    <row r="471" spans="1:12" ht="13.15" x14ac:dyDescent="0.4">
      <c r="A471" s="11" t="s">
        <v>17327</v>
      </c>
      <c r="B471" s="11"/>
      <c r="C471" s="11" t="s">
        <v>6553</v>
      </c>
      <c r="D471" s="11"/>
      <c r="E471" s="11"/>
      <c r="F471" s="11"/>
      <c r="G471" s="12">
        <v>20821</v>
      </c>
      <c r="H471" s="12">
        <v>20821</v>
      </c>
      <c r="I471" s="11"/>
      <c r="J471" s="11" t="s">
        <v>45</v>
      </c>
      <c r="K471" s="11" t="s">
        <v>30</v>
      </c>
      <c r="L471" s="11" t="s">
        <v>18054</v>
      </c>
    </row>
    <row r="472" spans="1:12" ht="13.15" x14ac:dyDescent="0.4">
      <c r="A472" s="11" t="s">
        <v>17121</v>
      </c>
      <c r="B472" s="11"/>
      <c r="C472" s="11" t="s">
        <v>6553</v>
      </c>
      <c r="D472" s="11"/>
      <c r="E472" s="11"/>
      <c r="F472" s="11"/>
      <c r="G472" s="12">
        <v>20821</v>
      </c>
      <c r="H472" s="12">
        <v>20821</v>
      </c>
      <c r="I472" s="11"/>
      <c r="J472" s="11" t="s">
        <v>45</v>
      </c>
      <c r="K472" s="11" t="s">
        <v>30</v>
      </c>
      <c r="L472" s="11" t="s">
        <v>18271</v>
      </c>
    </row>
    <row r="473" spans="1:12" ht="13.15" x14ac:dyDescent="0.4">
      <c r="A473" s="11" t="s">
        <v>17265</v>
      </c>
      <c r="B473" s="11"/>
      <c r="C473" s="11" t="s">
        <v>6553</v>
      </c>
      <c r="D473" s="11"/>
      <c r="E473" s="11"/>
      <c r="F473" s="11"/>
      <c r="G473" s="12">
        <v>20821</v>
      </c>
      <c r="H473" s="12">
        <v>20821</v>
      </c>
      <c r="I473" s="11"/>
      <c r="J473" s="11" t="s">
        <v>45</v>
      </c>
      <c r="K473" s="11" t="s">
        <v>30</v>
      </c>
      <c r="L473" s="11" t="s">
        <v>18120</v>
      </c>
    </row>
    <row r="474" spans="1:12" ht="13.15" x14ac:dyDescent="0.4">
      <c r="A474" s="11" t="s">
        <v>16837</v>
      </c>
      <c r="B474" s="11"/>
      <c r="C474" s="11" t="s">
        <v>6553</v>
      </c>
      <c r="D474" s="11"/>
      <c r="E474" s="11"/>
      <c r="F474" s="11"/>
      <c r="G474" s="12">
        <v>23012</v>
      </c>
      <c r="H474" s="12">
        <v>23012</v>
      </c>
      <c r="I474" s="11"/>
      <c r="J474" s="11" t="s">
        <v>45</v>
      </c>
      <c r="K474" s="11" t="s">
        <v>30</v>
      </c>
      <c r="L474" s="11" t="s">
        <v>18555</v>
      </c>
    </row>
    <row r="475" spans="1:12" ht="13.15" x14ac:dyDescent="0.4">
      <c r="A475" s="11" t="s">
        <v>16886</v>
      </c>
      <c r="B475" s="11"/>
      <c r="C475" s="11" t="s">
        <v>6553</v>
      </c>
      <c r="D475" s="11"/>
      <c r="E475" s="11"/>
      <c r="F475" s="11"/>
      <c r="G475" s="12">
        <v>22647</v>
      </c>
      <c r="H475" s="12">
        <v>22647</v>
      </c>
      <c r="I475" s="11"/>
      <c r="J475" s="11" t="s">
        <v>45</v>
      </c>
      <c r="K475" s="11" t="s">
        <v>30</v>
      </c>
      <c r="L475" s="11" t="s">
        <v>18504</v>
      </c>
    </row>
    <row r="476" spans="1:12" ht="13.15" x14ac:dyDescent="0.4">
      <c r="A476" s="11" t="s">
        <v>17174</v>
      </c>
      <c r="B476" s="11"/>
      <c r="C476" s="11" t="s">
        <v>6553</v>
      </c>
      <c r="D476" s="11"/>
      <c r="E476" s="11"/>
      <c r="F476" s="11"/>
      <c r="G476" s="12">
        <v>20821</v>
      </c>
      <c r="H476" s="12">
        <v>20821</v>
      </c>
      <c r="I476" s="11"/>
      <c r="J476" s="11" t="s">
        <v>45</v>
      </c>
      <c r="K476" s="11" t="s">
        <v>30</v>
      </c>
      <c r="L476" s="11" t="s">
        <v>18219</v>
      </c>
    </row>
    <row r="477" spans="1:12" ht="13.15" x14ac:dyDescent="0.4">
      <c r="A477" s="11" t="s">
        <v>17106</v>
      </c>
      <c r="B477" s="11"/>
      <c r="C477" s="11" t="s">
        <v>6553</v>
      </c>
      <c r="D477" s="11"/>
      <c r="E477" s="11"/>
      <c r="F477" s="11"/>
      <c r="G477" s="12">
        <v>20821</v>
      </c>
      <c r="H477" s="12">
        <v>20821</v>
      </c>
      <c r="I477" s="11"/>
      <c r="J477" s="11" t="s">
        <v>45</v>
      </c>
      <c r="K477" s="11" t="s">
        <v>30</v>
      </c>
      <c r="L477" s="11" t="s">
        <v>18287</v>
      </c>
    </row>
    <row r="478" spans="1:12" ht="13.15" x14ac:dyDescent="0.4">
      <c r="A478" s="11" t="s">
        <v>17231</v>
      </c>
      <c r="B478" s="11"/>
      <c r="C478" s="11" t="s">
        <v>6553</v>
      </c>
      <c r="D478" s="11"/>
      <c r="E478" s="11"/>
      <c r="F478" s="11"/>
      <c r="G478" s="12">
        <v>20821</v>
      </c>
      <c r="H478" s="12">
        <v>20821</v>
      </c>
      <c r="I478" s="11"/>
      <c r="J478" s="11" t="s">
        <v>45</v>
      </c>
      <c r="K478" s="11" t="s">
        <v>30</v>
      </c>
      <c r="L478" s="11" t="s">
        <v>18160</v>
      </c>
    </row>
    <row r="479" spans="1:12" ht="13.15" x14ac:dyDescent="0.4">
      <c r="A479" s="11" t="s">
        <v>17344</v>
      </c>
      <c r="B479" s="11"/>
      <c r="C479" s="11" t="s">
        <v>6553</v>
      </c>
      <c r="D479" s="11"/>
      <c r="E479" s="11"/>
      <c r="F479" s="11"/>
      <c r="G479" s="12">
        <v>20821</v>
      </c>
      <c r="H479" s="12">
        <v>20821</v>
      </c>
      <c r="I479" s="11"/>
      <c r="J479" s="11" t="s">
        <v>45</v>
      </c>
      <c r="K479" s="11" t="s">
        <v>30</v>
      </c>
      <c r="L479" s="11" t="s">
        <v>18035</v>
      </c>
    </row>
    <row r="480" spans="1:12" ht="13.15" x14ac:dyDescent="0.4">
      <c r="A480" s="11" t="s">
        <v>17315</v>
      </c>
      <c r="B480" s="11"/>
      <c r="C480" s="11" t="s">
        <v>6553</v>
      </c>
      <c r="D480" s="11"/>
      <c r="E480" s="11"/>
      <c r="F480" s="11"/>
      <c r="G480" s="12">
        <v>20821</v>
      </c>
      <c r="H480" s="12">
        <v>20821</v>
      </c>
      <c r="I480" s="11"/>
      <c r="J480" s="11" t="s">
        <v>45</v>
      </c>
      <c r="K480" s="11" t="s">
        <v>30</v>
      </c>
      <c r="L480" s="11" t="s">
        <v>18067</v>
      </c>
    </row>
    <row r="481" spans="1:12" ht="13.15" x14ac:dyDescent="0.4">
      <c r="A481" s="11" t="s">
        <v>17195</v>
      </c>
      <c r="B481" s="11"/>
      <c r="C481" s="11" t="s">
        <v>6553</v>
      </c>
      <c r="D481" s="11"/>
      <c r="E481" s="11"/>
      <c r="F481" s="11"/>
      <c r="G481" s="12">
        <v>20821</v>
      </c>
      <c r="H481" s="12">
        <v>20821</v>
      </c>
      <c r="I481" s="11"/>
      <c r="J481" s="11" t="s">
        <v>45</v>
      </c>
      <c r="K481" s="11" t="s">
        <v>30</v>
      </c>
      <c r="L481" s="11" t="s">
        <v>18198</v>
      </c>
    </row>
    <row r="482" spans="1:12" ht="13.15" x14ac:dyDescent="0.4">
      <c r="A482" s="11" t="s">
        <v>17326</v>
      </c>
      <c r="B482" s="11"/>
      <c r="C482" s="11" t="s">
        <v>6553</v>
      </c>
      <c r="D482" s="11"/>
      <c r="E482" s="11"/>
      <c r="F482" s="11"/>
      <c r="G482" s="12">
        <v>20821</v>
      </c>
      <c r="H482" s="12">
        <v>20821</v>
      </c>
      <c r="I482" s="11"/>
      <c r="J482" s="11" t="s">
        <v>45</v>
      </c>
      <c r="K482" s="11" t="s">
        <v>30</v>
      </c>
      <c r="L482" s="11" t="s">
        <v>18055</v>
      </c>
    </row>
    <row r="483" spans="1:12" ht="13.15" x14ac:dyDescent="0.4">
      <c r="A483" s="11" t="s">
        <v>17127</v>
      </c>
      <c r="B483" s="11"/>
      <c r="C483" s="11" t="s">
        <v>6553</v>
      </c>
      <c r="D483" s="11"/>
      <c r="E483" s="11"/>
      <c r="F483" s="11"/>
      <c r="G483" s="12">
        <v>20821</v>
      </c>
      <c r="H483" s="12">
        <v>20821</v>
      </c>
      <c r="I483" s="11"/>
      <c r="J483" s="11" t="s">
        <v>45</v>
      </c>
      <c r="K483" s="11" t="s">
        <v>30</v>
      </c>
      <c r="L483" s="11" t="s">
        <v>18264</v>
      </c>
    </row>
    <row r="484" spans="1:12" ht="13.15" x14ac:dyDescent="0.4">
      <c r="A484" s="11" t="s">
        <v>16678</v>
      </c>
      <c r="B484" s="11"/>
      <c r="C484" s="11" t="s">
        <v>6553</v>
      </c>
      <c r="D484" s="11"/>
      <c r="E484" s="11"/>
      <c r="F484" s="11"/>
      <c r="G484" s="12">
        <v>31778</v>
      </c>
      <c r="H484" s="12">
        <v>31778</v>
      </c>
      <c r="I484" s="11"/>
      <c r="J484" s="11" t="s">
        <v>45</v>
      </c>
      <c r="K484" s="11" t="s">
        <v>30</v>
      </c>
      <c r="L484" s="11" t="s">
        <v>18713</v>
      </c>
    </row>
    <row r="485" spans="1:12" ht="13.15" x14ac:dyDescent="0.4">
      <c r="A485" s="11" t="s">
        <v>17247</v>
      </c>
      <c r="B485" s="11"/>
      <c r="C485" s="11" t="s">
        <v>6553</v>
      </c>
      <c r="D485" s="11"/>
      <c r="E485" s="11"/>
      <c r="F485" s="11"/>
      <c r="G485" s="12">
        <v>20821</v>
      </c>
      <c r="H485" s="12">
        <v>20821</v>
      </c>
      <c r="I485" s="11"/>
      <c r="J485" s="11" t="s">
        <v>45</v>
      </c>
      <c r="K485" s="11" t="s">
        <v>30</v>
      </c>
      <c r="L485" s="11" t="s">
        <v>18141</v>
      </c>
    </row>
    <row r="486" spans="1:12" ht="13.15" x14ac:dyDescent="0.4">
      <c r="A486" s="11" t="s">
        <v>17181</v>
      </c>
      <c r="B486" s="11"/>
      <c r="C486" s="11" t="s">
        <v>6553</v>
      </c>
      <c r="D486" s="11"/>
      <c r="E486" s="11"/>
      <c r="F486" s="11"/>
      <c r="G486" s="12">
        <v>20821</v>
      </c>
      <c r="H486" s="12">
        <v>20821</v>
      </c>
      <c r="I486" s="11"/>
      <c r="J486" s="11" t="s">
        <v>45</v>
      </c>
      <c r="K486" s="11" t="s">
        <v>30</v>
      </c>
      <c r="L486" s="11" t="s">
        <v>18212</v>
      </c>
    </row>
    <row r="487" spans="1:12" ht="13.15" x14ac:dyDescent="0.4">
      <c r="A487" s="11" t="s">
        <v>17153</v>
      </c>
      <c r="B487" s="11"/>
      <c r="C487" s="11" t="s">
        <v>6553</v>
      </c>
      <c r="D487" s="11"/>
      <c r="E487" s="11"/>
      <c r="F487" s="11"/>
      <c r="G487" s="12">
        <v>20821</v>
      </c>
      <c r="H487" s="12">
        <v>20821</v>
      </c>
      <c r="I487" s="11"/>
      <c r="J487" s="11" t="s">
        <v>45</v>
      </c>
      <c r="K487" s="11" t="s">
        <v>30</v>
      </c>
      <c r="L487" s="11" t="s">
        <v>18238</v>
      </c>
    </row>
    <row r="488" spans="1:12" ht="13.15" x14ac:dyDescent="0.4">
      <c r="A488" s="11" t="s">
        <v>17217</v>
      </c>
      <c r="B488" s="11"/>
      <c r="C488" s="11" t="s">
        <v>6553</v>
      </c>
      <c r="D488" s="11"/>
      <c r="E488" s="11"/>
      <c r="F488" s="11"/>
      <c r="G488" s="12">
        <v>20821</v>
      </c>
      <c r="H488" s="12">
        <v>20821</v>
      </c>
      <c r="I488" s="11"/>
      <c r="J488" s="11" t="s">
        <v>45</v>
      </c>
      <c r="K488" s="11" t="s">
        <v>30</v>
      </c>
      <c r="L488" s="11" t="s">
        <v>18174</v>
      </c>
    </row>
    <row r="489" spans="1:12" ht="13.15" x14ac:dyDescent="0.4">
      <c r="A489" s="11" t="s">
        <v>16677</v>
      </c>
      <c r="B489" s="11"/>
      <c r="C489" s="11" t="s">
        <v>6553</v>
      </c>
      <c r="D489" s="11"/>
      <c r="E489" s="11"/>
      <c r="F489" s="11"/>
      <c r="G489" s="12">
        <v>36161</v>
      </c>
      <c r="H489" s="12">
        <v>36161</v>
      </c>
      <c r="I489" s="11"/>
      <c r="J489" s="11" t="s">
        <v>45</v>
      </c>
      <c r="K489" s="11" t="s">
        <v>30</v>
      </c>
      <c r="L489" s="11" t="s">
        <v>18714</v>
      </c>
    </row>
    <row r="490" spans="1:12" ht="13.15" x14ac:dyDescent="0.4">
      <c r="A490" s="11" t="s">
        <v>17136</v>
      </c>
      <c r="B490" s="11"/>
      <c r="C490" s="11" t="s">
        <v>6553</v>
      </c>
      <c r="D490" s="11"/>
      <c r="E490" s="11"/>
      <c r="F490" s="11"/>
      <c r="G490" s="12">
        <v>20821</v>
      </c>
      <c r="H490" s="12">
        <v>20821</v>
      </c>
      <c r="I490" s="11"/>
      <c r="J490" s="11" t="s">
        <v>45</v>
      </c>
      <c r="K490" s="11" t="s">
        <v>30</v>
      </c>
      <c r="L490" s="11" t="s">
        <v>18255</v>
      </c>
    </row>
    <row r="491" spans="1:12" ht="13.15" x14ac:dyDescent="0.4">
      <c r="A491" s="11" t="s">
        <v>17293</v>
      </c>
      <c r="B491" s="11"/>
      <c r="C491" s="11" t="s">
        <v>6553</v>
      </c>
      <c r="D491" s="11"/>
      <c r="E491" s="11"/>
      <c r="F491" s="11"/>
      <c r="G491" s="12">
        <v>20821</v>
      </c>
      <c r="H491" s="12">
        <v>20821</v>
      </c>
      <c r="I491" s="11"/>
      <c r="J491" s="11" t="s">
        <v>45</v>
      </c>
      <c r="K491" s="11" t="s">
        <v>30</v>
      </c>
      <c r="L491" s="11" t="s">
        <v>18091</v>
      </c>
    </row>
    <row r="492" spans="1:12" ht="13.15" x14ac:dyDescent="0.4">
      <c r="A492" s="11" t="s">
        <v>16867</v>
      </c>
      <c r="B492" s="11"/>
      <c r="C492" s="11" t="s">
        <v>6553</v>
      </c>
      <c r="D492" s="11"/>
      <c r="E492" s="11"/>
      <c r="F492" s="11"/>
      <c r="G492" s="12">
        <v>24108</v>
      </c>
      <c r="H492" s="12">
        <v>24108</v>
      </c>
      <c r="I492" s="11"/>
      <c r="J492" s="11" t="s">
        <v>45</v>
      </c>
      <c r="K492" s="11" t="s">
        <v>30</v>
      </c>
      <c r="L492" s="11" t="s">
        <v>18525</v>
      </c>
    </row>
    <row r="493" spans="1:12" ht="13.15" x14ac:dyDescent="0.4">
      <c r="A493" s="11" t="s">
        <v>17192</v>
      </c>
      <c r="B493" s="11"/>
      <c r="C493" s="11" t="s">
        <v>6553</v>
      </c>
      <c r="D493" s="11"/>
      <c r="E493" s="11"/>
      <c r="F493" s="11"/>
      <c r="G493" s="12">
        <v>20821</v>
      </c>
      <c r="H493" s="12">
        <v>20821</v>
      </c>
      <c r="I493" s="11"/>
      <c r="J493" s="11" t="s">
        <v>45</v>
      </c>
      <c r="K493" s="11" t="s">
        <v>30</v>
      </c>
      <c r="L493" s="11" t="s">
        <v>18201</v>
      </c>
    </row>
    <row r="494" spans="1:12" ht="13.15" x14ac:dyDescent="0.4">
      <c r="A494" s="11" t="s">
        <v>17104</v>
      </c>
      <c r="B494" s="11"/>
      <c r="C494" s="11" t="s">
        <v>6553</v>
      </c>
      <c r="D494" s="11"/>
      <c r="E494" s="11"/>
      <c r="F494" s="11"/>
      <c r="G494" s="12">
        <v>20821</v>
      </c>
      <c r="H494" s="12">
        <v>20821</v>
      </c>
      <c r="I494" s="11"/>
      <c r="J494" s="11" t="s">
        <v>45</v>
      </c>
      <c r="K494" s="11" t="s">
        <v>30</v>
      </c>
      <c r="L494" s="11" t="s">
        <v>18289</v>
      </c>
    </row>
    <row r="495" spans="1:12" ht="13.15" x14ac:dyDescent="0.4">
      <c r="A495" s="11" t="s">
        <v>17104</v>
      </c>
      <c r="B495" s="11"/>
      <c r="C495" s="11" t="s">
        <v>6553</v>
      </c>
      <c r="D495" s="11"/>
      <c r="E495" s="11"/>
      <c r="F495" s="11"/>
      <c r="G495" s="12">
        <v>20821</v>
      </c>
      <c r="H495" s="12">
        <v>20821</v>
      </c>
      <c r="I495" s="11"/>
      <c r="J495" s="11" t="s">
        <v>45</v>
      </c>
      <c r="K495" s="11" t="s">
        <v>30</v>
      </c>
      <c r="L495" s="11" t="s">
        <v>18261</v>
      </c>
    </row>
    <row r="496" spans="1:12" ht="13.15" x14ac:dyDescent="0.4">
      <c r="A496" s="11" t="s">
        <v>17104</v>
      </c>
      <c r="B496" s="11"/>
      <c r="C496" s="11" t="s">
        <v>6553</v>
      </c>
      <c r="D496" s="11"/>
      <c r="E496" s="11"/>
      <c r="F496" s="11"/>
      <c r="G496" s="12">
        <v>20821</v>
      </c>
      <c r="H496" s="12">
        <v>20821</v>
      </c>
      <c r="I496" s="11"/>
      <c r="J496" s="11" t="s">
        <v>45</v>
      </c>
      <c r="K496" s="11" t="s">
        <v>30</v>
      </c>
      <c r="L496" s="11" t="s">
        <v>18150</v>
      </c>
    </row>
    <row r="497" spans="1:12" ht="13.15" x14ac:dyDescent="0.4">
      <c r="A497" s="11" t="s">
        <v>17104</v>
      </c>
      <c r="B497" s="11"/>
      <c r="C497" s="11" t="s">
        <v>6553</v>
      </c>
      <c r="D497" s="11"/>
      <c r="E497" s="11"/>
      <c r="F497" s="11"/>
      <c r="G497" s="12">
        <v>20821</v>
      </c>
      <c r="H497" s="12">
        <v>20821</v>
      </c>
      <c r="I497" s="11"/>
      <c r="J497" s="11" t="s">
        <v>45</v>
      </c>
      <c r="K497" s="11" t="s">
        <v>30</v>
      </c>
      <c r="L497" s="11" t="s">
        <v>18144</v>
      </c>
    </row>
    <row r="498" spans="1:12" ht="13.15" x14ac:dyDescent="0.4">
      <c r="A498" s="11" t="s">
        <v>16680</v>
      </c>
      <c r="B498" s="11"/>
      <c r="C498" s="11" t="s">
        <v>6553</v>
      </c>
      <c r="D498" s="11"/>
      <c r="E498" s="11"/>
      <c r="F498" s="11"/>
      <c r="G498" s="12">
        <v>31413</v>
      </c>
      <c r="H498" s="12">
        <v>31413</v>
      </c>
      <c r="I498" s="11"/>
      <c r="J498" s="11" t="s">
        <v>45</v>
      </c>
      <c r="K498" s="11" t="s">
        <v>30</v>
      </c>
      <c r="L498" s="11" t="s">
        <v>18711</v>
      </c>
    </row>
    <row r="499" spans="1:12" ht="13.15" x14ac:dyDescent="0.4">
      <c r="A499" s="11" t="s">
        <v>16680</v>
      </c>
      <c r="B499" s="11"/>
      <c r="C499" s="11" t="s">
        <v>6553</v>
      </c>
      <c r="D499" s="11"/>
      <c r="E499" s="11"/>
      <c r="F499" s="11"/>
      <c r="G499" s="12">
        <v>23377</v>
      </c>
      <c r="H499" s="12">
        <v>23377</v>
      </c>
      <c r="I499" s="11"/>
      <c r="J499" s="11" t="s">
        <v>45</v>
      </c>
      <c r="K499" s="11" t="s">
        <v>30</v>
      </c>
      <c r="L499" s="11" t="s">
        <v>18541</v>
      </c>
    </row>
    <row r="500" spans="1:12" ht="13.15" x14ac:dyDescent="0.4">
      <c r="A500" s="11" t="s">
        <v>16680</v>
      </c>
      <c r="B500" s="11"/>
      <c r="C500" s="11" t="s">
        <v>6553</v>
      </c>
      <c r="D500" s="11"/>
      <c r="E500" s="11"/>
      <c r="F500" s="11"/>
      <c r="G500" s="12">
        <v>23012</v>
      </c>
      <c r="H500" s="12">
        <v>23012</v>
      </c>
      <c r="I500" s="11"/>
      <c r="J500" s="11" t="s">
        <v>45</v>
      </c>
      <c r="K500" s="11" t="s">
        <v>30</v>
      </c>
      <c r="L500" s="11" t="s">
        <v>18519</v>
      </c>
    </row>
    <row r="501" spans="1:12" ht="13.15" x14ac:dyDescent="0.4">
      <c r="A501" s="11" t="s">
        <v>16680</v>
      </c>
      <c r="B501" s="11"/>
      <c r="C501" s="11" t="s">
        <v>6553</v>
      </c>
      <c r="D501" s="11"/>
      <c r="E501" s="11"/>
      <c r="F501" s="11"/>
      <c r="G501" s="12">
        <v>20821</v>
      </c>
      <c r="H501" s="12">
        <v>20821</v>
      </c>
      <c r="I501" s="11"/>
      <c r="J501" s="11" t="s">
        <v>45</v>
      </c>
      <c r="K501" s="11" t="s">
        <v>30</v>
      </c>
      <c r="L501" s="11" t="s">
        <v>18225</v>
      </c>
    </row>
    <row r="502" spans="1:12" ht="13.15" x14ac:dyDescent="0.4">
      <c r="A502" s="11" t="s">
        <v>16680</v>
      </c>
      <c r="B502" s="11"/>
      <c r="C502" s="11" t="s">
        <v>6553</v>
      </c>
      <c r="D502" s="11"/>
      <c r="E502" s="11"/>
      <c r="F502" s="11"/>
      <c r="G502" s="12">
        <v>20821</v>
      </c>
      <c r="H502" s="12">
        <v>20821</v>
      </c>
      <c r="I502" s="11"/>
      <c r="J502" s="11" t="s">
        <v>45</v>
      </c>
      <c r="K502" s="11" t="s">
        <v>30</v>
      </c>
      <c r="L502" s="11" t="s">
        <v>18179</v>
      </c>
    </row>
    <row r="503" spans="1:12" ht="13.15" x14ac:dyDescent="0.4">
      <c r="A503" s="11" t="s">
        <v>16922</v>
      </c>
      <c r="B503" s="11"/>
      <c r="C503" s="11" t="s">
        <v>6553</v>
      </c>
      <c r="D503" s="11"/>
      <c r="E503" s="11"/>
      <c r="F503" s="11"/>
      <c r="G503" s="12">
        <v>22647</v>
      </c>
      <c r="H503" s="12">
        <v>22647</v>
      </c>
      <c r="I503" s="11"/>
      <c r="J503" s="11" t="s">
        <v>45</v>
      </c>
      <c r="K503" s="11" t="s">
        <v>30</v>
      </c>
      <c r="L503" s="11" t="s">
        <v>18469</v>
      </c>
    </row>
    <row r="504" spans="1:12" ht="13.15" x14ac:dyDescent="0.4">
      <c r="A504" s="11" t="s">
        <v>17306</v>
      </c>
      <c r="B504" s="11"/>
      <c r="C504" s="11" t="s">
        <v>6553</v>
      </c>
      <c r="D504" s="11"/>
      <c r="E504" s="11"/>
      <c r="F504" s="11"/>
      <c r="G504" s="12">
        <v>20821</v>
      </c>
      <c r="H504" s="12">
        <v>20821</v>
      </c>
      <c r="I504" s="11"/>
      <c r="J504" s="11" t="s">
        <v>45</v>
      </c>
      <c r="K504" s="11" t="s">
        <v>30</v>
      </c>
      <c r="L504" s="11" t="s">
        <v>18078</v>
      </c>
    </row>
    <row r="505" spans="1:12" ht="13.15" x14ac:dyDescent="0.4">
      <c r="A505" s="11" t="s">
        <v>17274</v>
      </c>
      <c r="B505" s="11"/>
      <c r="C505" s="11" t="s">
        <v>6553</v>
      </c>
      <c r="D505" s="11"/>
      <c r="E505" s="11"/>
      <c r="F505" s="11"/>
      <c r="G505" s="12">
        <v>20821</v>
      </c>
      <c r="H505" s="12">
        <v>20821</v>
      </c>
      <c r="I505" s="11"/>
      <c r="J505" s="11" t="s">
        <v>45</v>
      </c>
      <c r="K505" s="11" t="s">
        <v>30</v>
      </c>
      <c r="L505" s="11" t="s">
        <v>18111</v>
      </c>
    </row>
    <row r="506" spans="1:12" ht="13.15" x14ac:dyDescent="0.4">
      <c r="A506" s="11" t="s">
        <v>17098</v>
      </c>
      <c r="B506" s="11"/>
      <c r="C506" s="11" t="s">
        <v>6553</v>
      </c>
      <c r="D506" s="11"/>
      <c r="E506" s="11"/>
      <c r="F506" s="11"/>
      <c r="G506" s="12">
        <v>20821</v>
      </c>
      <c r="H506" s="12">
        <v>20821</v>
      </c>
      <c r="I506" s="11"/>
      <c r="J506" s="11" t="s">
        <v>45</v>
      </c>
      <c r="K506" s="11" t="s">
        <v>30</v>
      </c>
      <c r="L506" s="11" t="s">
        <v>18296</v>
      </c>
    </row>
    <row r="507" spans="1:12" ht="13.15" x14ac:dyDescent="0.4">
      <c r="A507" s="11" t="s">
        <v>17234</v>
      </c>
      <c r="B507" s="11"/>
      <c r="C507" s="11" t="s">
        <v>6553</v>
      </c>
      <c r="D507" s="11"/>
      <c r="E507" s="11"/>
      <c r="F507" s="11"/>
      <c r="G507" s="12">
        <v>20821</v>
      </c>
      <c r="H507" s="12">
        <v>20821</v>
      </c>
      <c r="I507" s="11"/>
      <c r="J507" s="11" t="s">
        <v>45</v>
      </c>
      <c r="K507" s="11" t="s">
        <v>30</v>
      </c>
      <c r="L507" s="11" t="s">
        <v>18157</v>
      </c>
    </row>
    <row r="508" spans="1:12" ht="13.15" x14ac:dyDescent="0.4">
      <c r="A508" s="11" t="s">
        <v>17071</v>
      </c>
      <c r="B508" s="11"/>
      <c r="C508" s="11" t="s">
        <v>6553</v>
      </c>
      <c r="D508" s="11"/>
      <c r="E508" s="11"/>
      <c r="F508" s="11"/>
      <c r="G508" s="12">
        <v>22282</v>
      </c>
      <c r="H508" s="12">
        <v>22282</v>
      </c>
      <c r="I508" s="11"/>
      <c r="J508" s="11" t="s">
        <v>45</v>
      </c>
      <c r="K508" s="11" t="s">
        <v>30</v>
      </c>
      <c r="L508" s="11" t="s">
        <v>18324</v>
      </c>
    </row>
    <row r="509" spans="1:12" ht="13.15" x14ac:dyDescent="0.4">
      <c r="A509" s="11" t="s">
        <v>17071</v>
      </c>
      <c r="B509" s="11"/>
      <c r="C509" s="11" t="s">
        <v>6553</v>
      </c>
      <c r="D509" s="11"/>
      <c r="E509" s="11"/>
      <c r="F509" s="11"/>
      <c r="G509" s="12">
        <v>20821</v>
      </c>
      <c r="H509" s="12">
        <v>20821</v>
      </c>
      <c r="I509" s="11"/>
      <c r="J509" s="11" t="s">
        <v>45</v>
      </c>
      <c r="K509" s="11" t="s">
        <v>30</v>
      </c>
      <c r="L509" s="11" t="s">
        <v>18197</v>
      </c>
    </row>
    <row r="510" spans="1:12" ht="13.15" x14ac:dyDescent="0.4">
      <c r="A510" s="11" t="s">
        <v>17071</v>
      </c>
      <c r="B510" s="11"/>
      <c r="C510" s="11" t="s">
        <v>6553</v>
      </c>
      <c r="D510" s="11"/>
      <c r="E510" s="11"/>
      <c r="F510" s="11"/>
      <c r="G510" s="12">
        <v>20821</v>
      </c>
      <c r="H510" s="12">
        <v>20821</v>
      </c>
      <c r="I510" s="11"/>
      <c r="J510" s="11" t="s">
        <v>45</v>
      </c>
      <c r="K510" s="11" t="s">
        <v>30</v>
      </c>
      <c r="L510" s="11" t="s">
        <v>18136</v>
      </c>
    </row>
    <row r="511" spans="1:12" ht="13.15" x14ac:dyDescent="0.4">
      <c r="A511" s="11" t="s">
        <v>17071</v>
      </c>
      <c r="B511" s="11"/>
      <c r="C511" s="11" t="s">
        <v>6553</v>
      </c>
      <c r="D511" s="11"/>
      <c r="E511" s="11"/>
      <c r="F511" s="11"/>
      <c r="G511" s="12">
        <v>20821</v>
      </c>
      <c r="H511" s="12">
        <v>20821</v>
      </c>
      <c r="I511" s="11"/>
      <c r="J511" s="11" t="s">
        <v>45</v>
      </c>
      <c r="K511" s="11" t="s">
        <v>30</v>
      </c>
      <c r="L511" s="11" t="s">
        <v>18038</v>
      </c>
    </row>
    <row r="512" spans="1:12" ht="13.15" x14ac:dyDescent="0.4">
      <c r="A512" s="11" t="s">
        <v>17272</v>
      </c>
      <c r="B512" s="11"/>
      <c r="C512" s="11" t="s">
        <v>6553</v>
      </c>
      <c r="D512" s="11"/>
      <c r="E512" s="11"/>
      <c r="F512" s="11"/>
      <c r="G512" s="12">
        <v>20821</v>
      </c>
      <c r="H512" s="12">
        <v>20821</v>
      </c>
      <c r="I512" s="11"/>
      <c r="J512" s="11" t="s">
        <v>45</v>
      </c>
      <c r="K512" s="11" t="s">
        <v>30</v>
      </c>
      <c r="L512" s="11" t="s">
        <v>18113</v>
      </c>
    </row>
    <row r="513" spans="1:12" ht="13.15" x14ac:dyDescent="0.4">
      <c r="A513" s="11" t="s">
        <v>17164</v>
      </c>
      <c r="B513" s="11"/>
      <c r="C513" s="11" t="s">
        <v>6553</v>
      </c>
      <c r="D513" s="11"/>
      <c r="E513" s="11"/>
      <c r="F513" s="11"/>
      <c r="G513" s="12">
        <v>20821</v>
      </c>
      <c r="H513" s="12">
        <v>20821</v>
      </c>
      <c r="I513" s="11"/>
      <c r="J513" s="11" t="s">
        <v>45</v>
      </c>
      <c r="K513" s="11" t="s">
        <v>30</v>
      </c>
      <c r="L513" s="11" t="s">
        <v>18229</v>
      </c>
    </row>
    <row r="514" spans="1:12" ht="13.15" x14ac:dyDescent="0.4">
      <c r="A514" s="11" t="s">
        <v>17144</v>
      </c>
      <c r="B514" s="11"/>
      <c r="C514" s="11" t="s">
        <v>6553</v>
      </c>
      <c r="D514" s="11"/>
      <c r="E514" s="11"/>
      <c r="F514" s="11"/>
      <c r="G514" s="12">
        <v>20821</v>
      </c>
      <c r="H514" s="12">
        <v>20821</v>
      </c>
      <c r="I514" s="11"/>
      <c r="J514" s="11" t="s">
        <v>45</v>
      </c>
      <c r="K514" s="11" t="s">
        <v>30</v>
      </c>
      <c r="L514" s="11" t="s">
        <v>18247</v>
      </c>
    </row>
    <row r="515" spans="1:12" ht="13.15" x14ac:dyDescent="0.4">
      <c r="A515" s="11" t="s">
        <v>17279</v>
      </c>
      <c r="B515" s="11"/>
      <c r="C515" s="11" t="s">
        <v>6553</v>
      </c>
      <c r="D515" s="11"/>
      <c r="E515" s="11"/>
      <c r="F515" s="11"/>
      <c r="G515" s="12">
        <v>20821</v>
      </c>
      <c r="H515" s="12">
        <v>20821</v>
      </c>
      <c r="I515" s="11"/>
      <c r="J515" s="11" t="s">
        <v>45</v>
      </c>
      <c r="K515" s="11" t="s">
        <v>30</v>
      </c>
      <c r="L515" s="11" t="s">
        <v>18105</v>
      </c>
    </row>
    <row r="516" spans="1:12" ht="13.15" x14ac:dyDescent="0.4">
      <c r="A516" s="11" t="s">
        <v>17292</v>
      </c>
      <c r="B516" s="11"/>
      <c r="C516" s="11" t="s">
        <v>6553</v>
      </c>
      <c r="D516" s="11"/>
      <c r="E516" s="11"/>
      <c r="F516" s="11"/>
      <c r="G516" s="12">
        <v>20821</v>
      </c>
      <c r="H516" s="12">
        <v>20821</v>
      </c>
      <c r="I516" s="11"/>
      <c r="J516" s="11" t="s">
        <v>45</v>
      </c>
      <c r="K516" s="11" t="s">
        <v>30</v>
      </c>
      <c r="L516" s="11" t="s">
        <v>18092</v>
      </c>
    </row>
    <row r="517" spans="1:12" ht="13.15" x14ac:dyDescent="0.4">
      <c r="A517" s="11" t="s">
        <v>17108</v>
      </c>
      <c r="B517" s="11"/>
      <c r="C517" s="11" t="s">
        <v>6553</v>
      </c>
      <c r="D517" s="11"/>
      <c r="E517" s="11"/>
      <c r="F517" s="11"/>
      <c r="G517" s="12">
        <v>20821</v>
      </c>
      <c r="H517" s="12">
        <v>20821</v>
      </c>
      <c r="I517" s="11"/>
      <c r="J517" s="11" t="s">
        <v>45</v>
      </c>
      <c r="K517" s="11" t="s">
        <v>30</v>
      </c>
      <c r="L517" s="11" t="s">
        <v>18285</v>
      </c>
    </row>
    <row r="518" spans="1:12" ht="13.15" x14ac:dyDescent="0.4">
      <c r="A518" s="11" t="s">
        <v>17236</v>
      </c>
      <c r="B518" s="11"/>
      <c r="C518" s="11" t="s">
        <v>6553</v>
      </c>
      <c r="D518" s="11"/>
      <c r="E518" s="11"/>
      <c r="F518" s="11"/>
      <c r="G518" s="12">
        <v>20821</v>
      </c>
      <c r="H518" s="12">
        <v>20821</v>
      </c>
      <c r="I518" s="11"/>
      <c r="J518" s="11" t="s">
        <v>45</v>
      </c>
      <c r="K518" s="11" t="s">
        <v>30</v>
      </c>
      <c r="L518" s="11" t="s">
        <v>18155</v>
      </c>
    </row>
    <row r="519" spans="1:12" ht="13.15" x14ac:dyDescent="0.4">
      <c r="A519" s="11" t="s">
        <v>17338</v>
      </c>
      <c r="B519" s="11"/>
      <c r="C519" s="11" t="s">
        <v>6553</v>
      </c>
      <c r="D519" s="11"/>
      <c r="E519" s="11"/>
      <c r="F519" s="11"/>
      <c r="G519" s="12">
        <v>20821</v>
      </c>
      <c r="H519" s="12">
        <v>20821</v>
      </c>
      <c r="I519" s="11"/>
      <c r="J519" s="11" t="s">
        <v>45</v>
      </c>
      <c r="K519" s="11" t="s">
        <v>30</v>
      </c>
      <c r="L519" s="11" t="s">
        <v>18042</v>
      </c>
    </row>
    <row r="520" spans="1:12" ht="13.15" x14ac:dyDescent="0.4">
      <c r="A520" s="11" t="s">
        <v>17227</v>
      </c>
      <c r="B520" s="11"/>
      <c r="C520" s="11" t="s">
        <v>6553</v>
      </c>
      <c r="D520" s="11"/>
      <c r="E520" s="11"/>
      <c r="F520" s="11"/>
      <c r="G520" s="12">
        <v>20821</v>
      </c>
      <c r="H520" s="12">
        <v>20821</v>
      </c>
      <c r="I520" s="11"/>
      <c r="J520" s="11" t="s">
        <v>45</v>
      </c>
      <c r="K520" s="11" t="s">
        <v>30</v>
      </c>
      <c r="L520" s="11" t="s">
        <v>18164</v>
      </c>
    </row>
    <row r="521" spans="1:12" ht="13.15" x14ac:dyDescent="0.4">
      <c r="A521" s="11" t="s">
        <v>17167</v>
      </c>
      <c r="B521" s="11"/>
      <c r="C521" s="11" t="s">
        <v>6553</v>
      </c>
      <c r="D521" s="11"/>
      <c r="E521" s="11"/>
      <c r="F521" s="11"/>
      <c r="G521" s="12">
        <v>20821</v>
      </c>
      <c r="H521" s="12">
        <v>20821</v>
      </c>
      <c r="I521" s="11"/>
      <c r="J521" s="11" t="s">
        <v>45</v>
      </c>
      <c r="K521" s="11" t="s">
        <v>30</v>
      </c>
      <c r="L521" s="11" t="s">
        <v>18226</v>
      </c>
    </row>
    <row r="522" spans="1:12" ht="13.15" x14ac:dyDescent="0.4">
      <c r="A522" s="11" t="s">
        <v>17128</v>
      </c>
      <c r="B522" s="11"/>
      <c r="C522" s="11" t="s">
        <v>6553</v>
      </c>
      <c r="D522" s="11"/>
      <c r="E522" s="11"/>
      <c r="F522" s="11"/>
      <c r="G522" s="12">
        <v>20821</v>
      </c>
      <c r="H522" s="12">
        <v>20821</v>
      </c>
      <c r="I522" s="11"/>
      <c r="J522" s="11" t="s">
        <v>45</v>
      </c>
      <c r="K522" s="11" t="s">
        <v>30</v>
      </c>
      <c r="L522" s="11" t="s">
        <v>18263</v>
      </c>
    </row>
    <row r="523" spans="1:12" ht="13.15" x14ac:dyDescent="0.4">
      <c r="A523" s="11" t="s">
        <v>17151</v>
      </c>
      <c r="B523" s="11"/>
      <c r="C523" s="11" t="s">
        <v>6553</v>
      </c>
      <c r="D523" s="11"/>
      <c r="E523" s="11"/>
      <c r="F523" s="11"/>
      <c r="G523" s="12">
        <v>20821</v>
      </c>
      <c r="H523" s="12">
        <v>20821</v>
      </c>
      <c r="I523" s="11"/>
      <c r="J523" s="11" t="s">
        <v>45</v>
      </c>
      <c r="K523" s="11" t="s">
        <v>30</v>
      </c>
      <c r="L523" s="11" t="s">
        <v>18240</v>
      </c>
    </row>
    <row r="524" spans="1:12" ht="13.15" x14ac:dyDescent="0.4">
      <c r="A524" s="11" t="s">
        <v>17203</v>
      </c>
      <c r="B524" s="11"/>
      <c r="C524" s="11" t="s">
        <v>6553</v>
      </c>
      <c r="D524" s="11"/>
      <c r="E524" s="11"/>
      <c r="F524" s="11"/>
      <c r="G524" s="12">
        <v>20821</v>
      </c>
      <c r="H524" s="12">
        <v>20821</v>
      </c>
      <c r="I524" s="11"/>
      <c r="J524" s="11" t="s">
        <v>45</v>
      </c>
      <c r="K524" s="11" t="s">
        <v>30</v>
      </c>
      <c r="L524" s="11" t="s">
        <v>18189</v>
      </c>
    </row>
    <row r="525" spans="1:12" ht="13.15" x14ac:dyDescent="0.4">
      <c r="A525" s="11" t="s">
        <v>17310</v>
      </c>
      <c r="B525" s="11"/>
      <c r="C525" s="11" t="s">
        <v>6553</v>
      </c>
      <c r="D525" s="11"/>
      <c r="E525" s="11"/>
      <c r="F525" s="11"/>
      <c r="G525" s="12">
        <v>20821</v>
      </c>
      <c r="H525" s="12">
        <v>20821</v>
      </c>
      <c r="I525" s="11"/>
      <c r="J525" s="11" t="s">
        <v>45</v>
      </c>
      <c r="K525" s="11" t="s">
        <v>30</v>
      </c>
      <c r="L525" s="11" t="s">
        <v>18073</v>
      </c>
    </row>
    <row r="526" spans="1:12" ht="13.15" x14ac:dyDescent="0.4">
      <c r="A526" s="11" t="s">
        <v>17173</v>
      </c>
      <c r="B526" s="11"/>
      <c r="C526" s="11" t="s">
        <v>6553</v>
      </c>
      <c r="D526" s="11"/>
      <c r="E526" s="11"/>
      <c r="F526" s="11"/>
      <c r="G526" s="12">
        <v>20821</v>
      </c>
      <c r="H526" s="12">
        <v>20821</v>
      </c>
      <c r="I526" s="11"/>
      <c r="J526" s="11" t="s">
        <v>45</v>
      </c>
      <c r="K526" s="11" t="s">
        <v>30</v>
      </c>
      <c r="L526" s="11" t="s">
        <v>18220</v>
      </c>
    </row>
    <row r="527" spans="1:12" ht="13.15" x14ac:dyDescent="0.4">
      <c r="A527" s="11" t="s">
        <v>17083</v>
      </c>
      <c r="B527" s="11"/>
      <c r="C527" s="11" t="s">
        <v>6553</v>
      </c>
      <c r="D527" s="11"/>
      <c r="E527" s="11"/>
      <c r="F527" s="11"/>
      <c r="G527" s="12">
        <v>20821</v>
      </c>
      <c r="H527" s="12">
        <v>20821</v>
      </c>
      <c r="I527" s="11"/>
      <c r="J527" s="11" t="s">
        <v>45</v>
      </c>
      <c r="K527" s="11" t="s">
        <v>30</v>
      </c>
      <c r="L527" s="11" t="s">
        <v>18312</v>
      </c>
    </row>
    <row r="528" spans="1:12" ht="13.15" x14ac:dyDescent="0.4">
      <c r="A528" s="11" t="s">
        <v>17083</v>
      </c>
      <c r="B528" s="11"/>
      <c r="C528" s="11" t="s">
        <v>6553</v>
      </c>
      <c r="D528" s="11"/>
      <c r="E528" s="11"/>
      <c r="F528" s="11"/>
      <c r="G528" s="12">
        <v>20821</v>
      </c>
      <c r="H528" s="12">
        <v>20821</v>
      </c>
      <c r="I528" s="11"/>
      <c r="J528" s="11" t="s">
        <v>45</v>
      </c>
      <c r="K528" s="11" t="s">
        <v>30</v>
      </c>
      <c r="L528" s="11" t="s">
        <v>18293</v>
      </c>
    </row>
    <row r="529" spans="1:12" ht="13.15" x14ac:dyDescent="0.4">
      <c r="A529" s="11" t="s">
        <v>16728</v>
      </c>
      <c r="B529" s="11"/>
      <c r="C529" s="11" t="s">
        <v>6553</v>
      </c>
      <c r="D529" s="11"/>
      <c r="E529" s="11"/>
      <c r="F529" s="11"/>
      <c r="G529" s="12">
        <v>34335</v>
      </c>
      <c r="H529" s="12">
        <v>34335</v>
      </c>
      <c r="I529" s="11"/>
      <c r="J529" s="11" t="s">
        <v>45</v>
      </c>
      <c r="K529" s="11" t="s">
        <v>30</v>
      </c>
      <c r="L529" s="11" t="s">
        <v>18665</v>
      </c>
    </row>
    <row r="530" spans="1:12" ht="13.15" x14ac:dyDescent="0.4">
      <c r="A530" s="11" t="s">
        <v>17198</v>
      </c>
      <c r="B530" s="11"/>
      <c r="C530" s="11" t="s">
        <v>6553</v>
      </c>
      <c r="D530" s="11"/>
      <c r="E530" s="11"/>
      <c r="F530" s="11"/>
      <c r="G530" s="12">
        <v>20821</v>
      </c>
      <c r="H530" s="12">
        <v>20821</v>
      </c>
      <c r="I530" s="11"/>
      <c r="J530" s="11" t="s">
        <v>45</v>
      </c>
      <c r="K530" s="11" t="s">
        <v>30</v>
      </c>
      <c r="L530" s="11" t="s">
        <v>18194</v>
      </c>
    </row>
    <row r="531" spans="1:12" ht="13.15" x14ac:dyDescent="0.4">
      <c r="A531" s="11" t="s">
        <v>17229</v>
      </c>
      <c r="B531" s="11"/>
      <c r="C531" s="11" t="s">
        <v>6553</v>
      </c>
      <c r="D531" s="11"/>
      <c r="E531" s="11"/>
      <c r="F531" s="11"/>
      <c r="G531" s="12">
        <v>20821</v>
      </c>
      <c r="H531" s="12">
        <v>20821</v>
      </c>
      <c r="I531" s="11"/>
      <c r="J531" s="11" t="s">
        <v>45</v>
      </c>
      <c r="K531" s="11" t="s">
        <v>30</v>
      </c>
      <c r="L531" s="11" t="s">
        <v>18162</v>
      </c>
    </row>
    <row r="532" spans="1:12" ht="13.15" x14ac:dyDescent="0.4">
      <c r="A532" s="11" t="s">
        <v>17245</v>
      </c>
      <c r="B532" s="11"/>
      <c r="C532" s="11" t="s">
        <v>6553</v>
      </c>
      <c r="D532" s="11"/>
      <c r="E532" s="11"/>
      <c r="F532" s="11"/>
      <c r="G532" s="12">
        <v>20821</v>
      </c>
      <c r="H532" s="12">
        <v>20821</v>
      </c>
      <c r="I532" s="11"/>
      <c r="J532" s="11" t="s">
        <v>45</v>
      </c>
      <c r="K532" s="11" t="s">
        <v>30</v>
      </c>
      <c r="L532" s="11" t="s">
        <v>18145</v>
      </c>
    </row>
    <row r="533" spans="1:12" ht="13.15" x14ac:dyDescent="0.4">
      <c r="A533" s="11" t="s">
        <v>17137</v>
      </c>
      <c r="B533" s="11"/>
      <c r="C533" s="11" t="s">
        <v>6553</v>
      </c>
      <c r="D533" s="11"/>
      <c r="E533" s="11"/>
      <c r="F533" s="11"/>
      <c r="G533" s="12">
        <v>21551</v>
      </c>
      <c r="H533" s="12">
        <v>21551</v>
      </c>
      <c r="I533" s="11"/>
      <c r="J533" s="11" t="s">
        <v>45</v>
      </c>
      <c r="K533" s="11" t="s">
        <v>30</v>
      </c>
      <c r="L533" s="11" t="s">
        <v>18254</v>
      </c>
    </row>
    <row r="534" spans="1:12" ht="13.15" x14ac:dyDescent="0.4">
      <c r="A534" s="11" t="s">
        <v>16788</v>
      </c>
      <c r="B534" s="11"/>
      <c r="C534" s="11" t="s">
        <v>6553</v>
      </c>
      <c r="D534" s="11"/>
      <c r="E534" s="11"/>
      <c r="F534" s="11"/>
      <c r="G534" s="12">
        <v>24108</v>
      </c>
      <c r="H534" s="12">
        <v>24108</v>
      </c>
      <c r="I534" s="11"/>
      <c r="J534" s="11" t="s">
        <v>45</v>
      </c>
      <c r="K534" s="11" t="s">
        <v>30</v>
      </c>
      <c r="L534" s="11" t="s">
        <v>18605</v>
      </c>
    </row>
    <row r="535" spans="1:12" ht="13.15" x14ac:dyDescent="0.4">
      <c r="A535" s="11" t="s">
        <v>17070</v>
      </c>
      <c r="B535" s="11"/>
      <c r="C535" s="11" t="s">
        <v>6553</v>
      </c>
      <c r="D535" s="11"/>
      <c r="E535" s="11"/>
      <c r="F535" s="11"/>
      <c r="G535" s="12">
        <v>22282</v>
      </c>
      <c r="H535" s="12">
        <v>22282</v>
      </c>
      <c r="I535" s="11"/>
      <c r="J535" s="11" t="s">
        <v>45</v>
      </c>
      <c r="K535" s="11" t="s">
        <v>30</v>
      </c>
      <c r="L535" s="11" t="s">
        <v>18325</v>
      </c>
    </row>
    <row r="536" spans="1:12" ht="13.15" x14ac:dyDescent="0.4">
      <c r="A536" s="11" t="s">
        <v>17254</v>
      </c>
      <c r="B536" s="11"/>
      <c r="C536" s="11" t="s">
        <v>6553</v>
      </c>
      <c r="D536" s="11"/>
      <c r="E536" s="11"/>
      <c r="F536" s="11"/>
      <c r="G536" s="12">
        <v>20821</v>
      </c>
      <c r="H536" s="12">
        <v>20821</v>
      </c>
      <c r="I536" s="11"/>
      <c r="J536" s="11" t="s">
        <v>45</v>
      </c>
      <c r="K536" s="11" t="s">
        <v>30</v>
      </c>
      <c r="L536" s="11" t="s">
        <v>18133</v>
      </c>
    </row>
    <row r="537" spans="1:12" ht="13.15" x14ac:dyDescent="0.4">
      <c r="A537" s="11" t="s">
        <v>17343</v>
      </c>
      <c r="B537" s="11"/>
      <c r="C537" s="11" t="s">
        <v>6553</v>
      </c>
      <c r="D537" s="11"/>
      <c r="E537" s="11"/>
      <c r="F537" s="11"/>
      <c r="G537" s="12">
        <v>20821</v>
      </c>
      <c r="H537" s="12">
        <v>20821</v>
      </c>
      <c r="I537" s="11"/>
      <c r="J537" s="11" t="s">
        <v>45</v>
      </c>
      <c r="K537" s="11" t="s">
        <v>30</v>
      </c>
      <c r="L537" s="11" t="s">
        <v>18036</v>
      </c>
    </row>
    <row r="538" spans="1:12" ht="13.15" x14ac:dyDescent="0.4">
      <c r="A538" s="11" t="s">
        <v>17289</v>
      </c>
      <c r="B538" s="11"/>
      <c r="C538" s="11" t="s">
        <v>6553</v>
      </c>
      <c r="D538" s="11"/>
      <c r="E538" s="11"/>
      <c r="F538" s="11"/>
      <c r="G538" s="12">
        <v>20821</v>
      </c>
      <c r="H538" s="12">
        <v>20821</v>
      </c>
      <c r="I538" s="11"/>
      <c r="J538" s="11" t="s">
        <v>45</v>
      </c>
      <c r="K538" s="11" t="s">
        <v>30</v>
      </c>
      <c r="L538" s="11" t="s">
        <v>18095</v>
      </c>
    </row>
    <row r="539" spans="1:12" ht="13.15" x14ac:dyDescent="0.4">
      <c r="A539" s="11" t="s">
        <v>17244</v>
      </c>
      <c r="B539" s="11"/>
      <c r="C539" s="11" t="s">
        <v>6553</v>
      </c>
      <c r="D539" s="11"/>
      <c r="E539" s="11"/>
      <c r="F539" s="11"/>
      <c r="G539" s="12">
        <v>20821</v>
      </c>
      <c r="H539" s="12">
        <v>20821</v>
      </c>
      <c r="I539" s="11"/>
      <c r="J539" s="11" t="s">
        <v>45</v>
      </c>
      <c r="K539" s="11" t="s">
        <v>30</v>
      </c>
      <c r="L539" s="11" t="s">
        <v>18146</v>
      </c>
    </row>
    <row r="540" spans="1:12" ht="13.15" x14ac:dyDescent="0.4">
      <c r="A540" s="11" t="s">
        <v>17148</v>
      </c>
      <c r="B540" s="11"/>
      <c r="C540" s="11" t="s">
        <v>6553</v>
      </c>
      <c r="D540" s="11"/>
      <c r="E540" s="11"/>
      <c r="F540" s="11"/>
      <c r="G540" s="12">
        <v>20821</v>
      </c>
      <c r="H540" s="12">
        <v>20821</v>
      </c>
      <c r="I540" s="11"/>
      <c r="J540" s="11" t="s">
        <v>45</v>
      </c>
      <c r="K540" s="11" t="s">
        <v>30</v>
      </c>
      <c r="L540" s="11" t="s">
        <v>18243</v>
      </c>
    </row>
    <row r="541" spans="1:12" ht="13.15" x14ac:dyDescent="0.4">
      <c r="A541" s="11" t="s">
        <v>17113</v>
      </c>
      <c r="B541" s="11"/>
      <c r="C541" s="11" t="s">
        <v>6553</v>
      </c>
      <c r="D541" s="11"/>
      <c r="E541" s="11"/>
      <c r="F541" s="11"/>
      <c r="G541" s="12">
        <v>20821</v>
      </c>
      <c r="H541" s="12">
        <v>20821</v>
      </c>
      <c r="I541" s="11"/>
      <c r="J541" s="11" t="s">
        <v>45</v>
      </c>
      <c r="K541" s="11" t="s">
        <v>30</v>
      </c>
      <c r="L541" s="11" t="s">
        <v>18279</v>
      </c>
    </row>
    <row r="542" spans="1:12" ht="13.15" x14ac:dyDescent="0.4">
      <c r="A542" s="11" t="s">
        <v>17184</v>
      </c>
      <c r="B542" s="11"/>
      <c r="C542" s="11" t="s">
        <v>6553</v>
      </c>
      <c r="D542" s="11"/>
      <c r="E542" s="11"/>
      <c r="F542" s="11"/>
      <c r="G542" s="12">
        <v>20821</v>
      </c>
      <c r="H542" s="12">
        <v>20821</v>
      </c>
      <c r="I542" s="11"/>
      <c r="J542" s="11" t="s">
        <v>45</v>
      </c>
      <c r="K542" s="11" t="s">
        <v>30</v>
      </c>
      <c r="L542" s="11" t="s">
        <v>18209</v>
      </c>
    </row>
    <row r="543" spans="1:12" ht="13.15" x14ac:dyDescent="0.4">
      <c r="A543" s="11" t="s">
        <v>17191</v>
      </c>
      <c r="B543" s="11"/>
      <c r="C543" s="11" t="s">
        <v>6553</v>
      </c>
      <c r="D543" s="11"/>
      <c r="E543" s="11"/>
      <c r="F543" s="11"/>
      <c r="G543" s="12">
        <v>20821</v>
      </c>
      <c r="H543" s="12">
        <v>20821</v>
      </c>
      <c r="I543" s="11"/>
      <c r="J543" s="11" t="s">
        <v>45</v>
      </c>
      <c r="K543" s="11" t="s">
        <v>30</v>
      </c>
      <c r="L543" s="11" t="s">
        <v>18202</v>
      </c>
    </row>
    <row r="544" spans="1:12" ht="13.15" x14ac:dyDescent="0.4">
      <c r="A544" s="11" t="s">
        <v>17125</v>
      </c>
      <c r="B544" s="11"/>
      <c r="C544" s="11" t="s">
        <v>6553</v>
      </c>
      <c r="D544" s="11"/>
      <c r="E544" s="11"/>
      <c r="F544" s="11"/>
      <c r="G544" s="12">
        <v>20821</v>
      </c>
      <c r="H544" s="12">
        <v>20821</v>
      </c>
      <c r="I544" s="11"/>
      <c r="J544" s="11" t="s">
        <v>45</v>
      </c>
      <c r="K544" s="11" t="s">
        <v>30</v>
      </c>
      <c r="L544" s="11" t="s">
        <v>18266</v>
      </c>
    </row>
    <row r="545" spans="1:12" ht="13.15" x14ac:dyDescent="0.4">
      <c r="A545" s="11" t="s">
        <v>17226</v>
      </c>
      <c r="B545" s="11"/>
      <c r="C545" s="11" t="s">
        <v>6553</v>
      </c>
      <c r="D545" s="11"/>
      <c r="E545" s="11"/>
      <c r="F545" s="11"/>
      <c r="G545" s="12">
        <v>20821</v>
      </c>
      <c r="H545" s="12">
        <v>20821</v>
      </c>
      <c r="I545" s="11"/>
      <c r="J545" s="11" t="s">
        <v>45</v>
      </c>
      <c r="K545" s="11" t="s">
        <v>30</v>
      </c>
      <c r="L545" s="11" t="s">
        <v>18165</v>
      </c>
    </row>
    <row r="546" spans="1:12" ht="13.15" x14ac:dyDescent="0.4">
      <c r="A546" s="11" t="s">
        <v>17126</v>
      </c>
      <c r="B546" s="11"/>
      <c r="C546" s="11" t="s">
        <v>6553</v>
      </c>
      <c r="D546" s="11"/>
      <c r="E546" s="11"/>
      <c r="F546" s="11"/>
      <c r="G546" s="12">
        <v>20821</v>
      </c>
      <c r="H546" s="12">
        <v>20821</v>
      </c>
      <c r="I546" s="11"/>
      <c r="J546" s="11" t="s">
        <v>45</v>
      </c>
      <c r="K546" s="11" t="s">
        <v>30</v>
      </c>
      <c r="L546" s="11" t="s">
        <v>18265</v>
      </c>
    </row>
    <row r="547" spans="1:12" ht="13.15" x14ac:dyDescent="0.4">
      <c r="A547" s="11" t="s">
        <v>17246</v>
      </c>
      <c r="B547" s="11"/>
      <c r="C547" s="11" t="s">
        <v>6553</v>
      </c>
      <c r="D547" s="11"/>
      <c r="E547" s="11"/>
      <c r="F547" s="11"/>
      <c r="G547" s="12">
        <v>20821</v>
      </c>
      <c r="H547" s="12">
        <v>20821</v>
      </c>
      <c r="I547" s="11"/>
      <c r="J547" s="11" t="s">
        <v>45</v>
      </c>
      <c r="K547" s="11" t="s">
        <v>30</v>
      </c>
      <c r="L547" s="11" t="s">
        <v>18143</v>
      </c>
    </row>
    <row r="548" spans="1:12" ht="13.15" x14ac:dyDescent="0.4">
      <c r="A548" s="11" t="s">
        <v>16888</v>
      </c>
      <c r="B548" s="11"/>
      <c r="C548" s="11" t="s">
        <v>6553</v>
      </c>
      <c r="D548" s="11"/>
      <c r="E548" s="11"/>
      <c r="F548" s="11"/>
      <c r="G548" s="12">
        <v>22647</v>
      </c>
      <c r="H548" s="12">
        <v>22647</v>
      </c>
      <c r="I548" s="11"/>
      <c r="J548" s="11" t="s">
        <v>45</v>
      </c>
      <c r="K548" s="11" t="s">
        <v>30</v>
      </c>
      <c r="L548" s="11" t="s">
        <v>18502</v>
      </c>
    </row>
    <row r="549" spans="1:12" ht="13.15" x14ac:dyDescent="0.4">
      <c r="A549" s="11" t="s">
        <v>17232</v>
      </c>
      <c r="B549" s="11"/>
      <c r="C549" s="11" t="s">
        <v>6553</v>
      </c>
      <c r="D549" s="11"/>
      <c r="E549" s="11"/>
      <c r="F549" s="11"/>
      <c r="G549" s="12">
        <v>20821</v>
      </c>
      <c r="H549" s="12">
        <v>20821</v>
      </c>
      <c r="I549" s="11"/>
      <c r="J549" s="11" t="s">
        <v>45</v>
      </c>
      <c r="K549" s="11" t="s">
        <v>30</v>
      </c>
      <c r="L549" s="11" t="s">
        <v>18159</v>
      </c>
    </row>
    <row r="550" spans="1:12" ht="13.15" x14ac:dyDescent="0.4">
      <c r="A550" s="11" t="s">
        <v>16917</v>
      </c>
      <c r="B550" s="11"/>
      <c r="C550" s="11" t="s">
        <v>6553</v>
      </c>
      <c r="D550" s="11"/>
      <c r="E550" s="11"/>
      <c r="F550" s="11"/>
      <c r="G550" s="12">
        <v>22647</v>
      </c>
      <c r="H550" s="12">
        <v>22647</v>
      </c>
      <c r="I550" s="11"/>
      <c r="J550" s="11" t="s">
        <v>45</v>
      </c>
      <c r="K550" s="11" t="s">
        <v>30</v>
      </c>
      <c r="L550" s="11" t="s">
        <v>18473</v>
      </c>
    </row>
    <row r="551" spans="1:12" ht="13.15" x14ac:dyDescent="0.4">
      <c r="A551" s="11" t="s">
        <v>17080</v>
      </c>
      <c r="B551" s="11"/>
      <c r="C551" s="11" t="s">
        <v>6553</v>
      </c>
      <c r="D551" s="11"/>
      <c r="E551" s="11"/>
      <c r="F551" s="11"/>
      <c r="G551" s="12">
        <v>20821</v>
      </c>
      <c r="H551" s="12">
        <v>20821</v>
      </c>
      <c r="I551" s="11"/>
      <c r="J551" s="11" t="s">
        <v>45</v>
      </c>
      <c r="K551" s="11" t="s">
        <v>30</v>
      </c>
      <c r="L551" s="11" t="s">
        <v>18315</v>
      </c>
    </row>
    <row r="552" spans="1:12" ht="13.15" x14ac:dyDescent="0.4">
      <c r="A552" s="11" t="s">
        <v>17263</v>
      </c>
      <c r="B552" s="11"/>
      <c r="C552" s="11" t="s">
        <v>6553</v>
      </c>
      <c r="D552" s="11"/>
      <c r="E552" s="11"/>
      <c r="F552" s="11"/>
      <c r="G552" s="12">
        <v>20821</v>
      </c>
      <c r="H552" s="12">
        <v>20821</v>
      </c>
      <c r="I552" s="11"/>
      <c r="J552" s="11" t="s">
        <v>45</v>
      </c>
      <c r="K552" s="11" t="s">
        <v>30</v>
      </c>
      <c r="L552" s="11" t="s">
        <v>18123</v>
      </c>
    </row>
    <row r="553" spans="1:12" ht="13.15" x14ac:dyDescent="0.4">
      <c r="A553" s="11" t="s">
        <v>17156</v>
      </c>
      <c r="B553" s="11"/>
      <c r="C553" s="11" t="s">
        <v>6553</v>
      </c>
      <c r="D553" s="11"/>
      <c r="E553" s="11"/>
      <c r="F553" s="11"/>
      <c r="G553" s="12">
        <v>20821</v>
      </c>
      <c r="H553" s="12">
        <v>20821</v>
      </c>
      <c r="I553" s="11"/>
      <c r="J553" s="11" t="s">
        <v>45</v>
      </c>
      <c r="K553" s="11" t="s">
        <v>30</v>
      </c>
      <c r="L553" s="11" t="s">
        <v>18235</v>
      </c>
    </row>
    <row r="554" spans="1:12" ht="13.15" x14ac:dyDescent="0.4">
      <c r="A554" s="11" t="s">
        <v>16697</v>
      </c>
      <c r="B554" s="11"/>
      <c r="C554" s="11" t="s">
        <v>6553</v>
      </c>
      <c r="D554" s="11"/>
      <c r="E554" s="11"/>
      <c r="F554" s="11"/>
      <c r="G554" s="12">
        <v>35065</v>
      </c>
      <c r="H554" s="12">
        <v>35065</v>
      </c>
      <c r="I554" s="11"/>
      <c r="J554" s="11" t="s">
        <v>45</v>
      </c>
      <c r="K554" s="11" t="s">
        <v>30</v>
      </c>
      <c r="L554" s="11" t="s">
        <v>18695</v>
      </c>
    </row>
    <row r="555" spans="1:12" ht="13.15" x14ac:dyDescent="0.4">
      <c r="A555" s="11" t="s">
        <v>17122</v>
      </c>
      <c r="B555" s="11"/>
      <c r="C555" s="11" t="s">
        <v>6553</v>
      </c>
      <c r="D555" s="11"/>
      <c r="E555" s="11"/>
      <c r="F555" s="11"/>
      <c r="G555" s="12">
        <v>20821</v>
      </c>
      <c r="H555" s="12">
        <v>20821</v>
      </c>
      <c r="I555" s="11"/>
      <c r="J555" s="11" t="s">
        <v>45</v>
      </c>
      <c r="K555" s="11" t="s">
        <v>30</v>
      </c>
      <c r="L555" s="11" t="s">
        <v>18270</v>
      </c>
    </row>
    <row r="556" spans="1:12" ht="13.15" x14ac:dyDescent="0.4">
      <c r="A556" s="11" t="s">
        <v>16894</v>
      </c>
      <c r="B556" s="11"/>
      <c r="C556" s="11" t="s">
        <v>6553</v>
      </c>
      <c r="D556" s="11"/>
      <c r="E556" s="11"/>
      <c r="F556" s="11"/>
      <c r="G556" s="12">
        <v>23012</v>
      </c>
      <c r="H556" s="12">
        <v>23012</v>
      </c>
      <c r="I556" s="11"/>
      <c r="J556" s="11" t="s">
        <v>45</v>
      </c>
      <c r="K556" s="11" t="s">
        <v>30</v>
      </c>
      <c r="L556" s="11" t="s">
        <v>18496</v>
      </c>
    </row>
    <row r="557" spans="1:12" ht="13.15" x14ac:dyDescent="0.4">
      <c r="A557" s="11" t="s">
        <v>16762</v>
      </c>
      <c r="B557" s="11"/>
      <c r="C557" s="11" t="s">
        <v>6553</v>
      </c>
      <c r="D557" s="11"/>
      <c r="E557" s="11"/>
      <c r="F557" s="11"/>
      <c r="G557" s="12">
        <v>25934</v>
      </c>
      <c r="H557" s="12">
        <v>25934</v>
      </c>
      <c r="I557" s="11"/>
      <c r="J557" s="11" t="s">
        <v>45</v>
      </c>
      <c r="K557" s="11" t="s">
        <v>30</v>
      </c>
      <c r="L557" s="11" t="s">
        <v>18631</v>
      </c>
    </row>
    <row r="558" spans="1:12" ht="13.15" x14ac:dyDescent="0.4">
      <c r="A558" s="11" t="s">
        <v>16715</v>
      </c>
      <c r="B558" s="11"/>
      <c r="C558" s="11" t="s">
        <v>6553</v>
      </c>
      <c r="D558" s="11"/>
      <c r="E558" s="11"/>
      <c r="F558" s="11"/>
      <c r="G558" s="12">
        <v>25934</v>
      </c>
      <c r="H558" s="12">
        <v>25934</v>
      </c>
      <c r="I558" s="11"/>
      <c r="J558" s="11" t="s">
        <v>45</v>
      </c>
      <c r="K558" s="11" t="s">
        <v>30</v>
      </c>
      <c r="L558" s="11" t="s">
        <v>18678</v>
      </c>
    </row>
    <row r="559" spans="1:12" ht="13.15" x14ac:dyDescent="0.4">
      <c r="A559" s="11" t="s">
        <v>17169</v>
      </c>
      <c r="B559" s="11"/>
      <c r="C559" s="11" t="s">
        <v>6553</v>
      </c>
      <c r="D559" s="11"/>
      <c r="E559" s="11"/>
      <c r="F559" s="11"/>
      <c r="G559" s="12">
        <v>20821</v>
      </c>
      <c r="H559" s="12">
        <v>20821</v>
      </c>
      <c r="I559" s="11"/>
      <c r="J559" s="11" t="s">
        <v>45</v>
      </c>
      <c r="K559" s="11" t="s">
        <v>30</v>
      </c>
      <c r="L559" s="11" t="s">
        <v>18223</v>
      </c>
    </row>
    <row r="560" spans="1:12" ht="13.15" x14ac:dyDescent="0.4">
      <c r="A560" s="11" t="s">
        <v>17250</v>
      </c>
      <c r="B560" s="11"/>
      <c r="C560" s="11" t="s">
        <v>6553</v>
      </c>
      <c r="D560" s="11"/>
      <c r="E560" s="11"/>
      <c r="F560" s="11"/>
      <c r="G560" s="12">
        <v>20821</v>
      </c>
      <c r="H560" s="12">
        <v>20821</v>
      </c>
      <c r="I560" s="11"/>
      <c r="J560" s="11" t="s">
        <v>45</v>
      </c>
      <c r="K560" s="11" t="s">
        <v>30</v>
      </c>
      <c r="L560" s="11" t="s">
        <v>18138</v>
      </c>
    </row>
    <row r="561" spans="1:12" ht="13.15" x14ac:dyDescent="0.4">
      <c r="A561" s="11" t="s">
        <v>17176</v>
      </c>
      <c r="B561" s="11"/>
      <c r="C561" s="11" t="s">
        <v>6553</v>
      </c>
      <c r="D561" s="11"/>
      <c r="E561" s="11"/>
      <c r="F561" s="11"/>
      <c r="G561" s="12">
        <v>20821</v>
      </c>
      <c r="H561" s="12">
        <v>20821</v>
      </c>
      <c r="I561" s="11"/>
      <c r="J561" s="11" t="s">
        <v>45</v>
      </c>
      <c r="K561" s="11" t="s">
        <v>30</v>
      </c>
      <c r="L561" s="11" t="s">
        <v>18217</v>
      </c>
    </row>
    <row r="562" spans="1:12" ht="13.15" x14ac:dyDescent="0.4">
      <c r="A562" s="11" t="s">
        <v>17145</v>
      </c>
      <c r="B562" s="11"/>
      <c r="C562" s="11" t="s">
        <v>6553</v>
      </c>
      <c r="D562" s="11"/>
      <c r="E562" s="11"/>
      <c r="F562" s="11"/>
      <c r="G562" s="12">
        <v>20821</v>
      </c>
      <c r="H562" s="12">
        <v>20821</v>
      </c>
      <c r="I562" s="11"/>
      <c r="J562" s="11" t="s">
        <v>45</v>
      </c>
      <c r="K562" s="11" t="s">
        <v>30</v>
      </c>
      <c r="L562" s="11" t="s">
        <v>18246</v>
      </c>
    </row>
    <row r="563" spans="1:12" ht="13.15" x14ac:dyDescent="0.4">
      <c r="A563" s="11" t="s">
        <v>17241</v>
      </c>
      <c r="B563" s="11"/>
      <c r="C563" s="11" t="s">
        <v>6553</v>
      </c>
      <c r="D563" s="11"/>
      <c r="E563" s="11"/>
      <c r="F563" s="11"/>
      <c r="G563" s="12">
        <v>20821</v>
      </c>
      <c r="H563" s="12">
        <v>20821</v>
      </c>
      <c r="I563" s="11"/>
      <c r="J563" s="11" t="s">
        <v>45</v>
      </c>
      <c r="K563" s="11" t="s">
        <v>30</v>
      </c>
      <c r="L563" s="11" t="s">
        <v>18149</v>
      </c>
    </row>
    <row r="564" spans="1:12" ht="13.15" x14ac:dyDescent="0.4">
      <c r="A564" s="11" t="s">
        <v>17241</v>
      </c>
      <c r="B564" s="11"/>
      <c r="C564" s="11" t="s">
        <v>6553</v>
      </c>
      <c r="D564" s="11"/>
      <c r="E564" s="11"/>
      <c r="F564" s="11"/>
      <c r="G564" s="12">
        <v>20821</v>
      </c>
      <c r="H564" s="12">
        <v>20821</v>
      </c>
      <c r="I564" s="11"/>
      <c r="J564" s="11" t="s">
        <v>45</v>
      </c>
      <c r="K564" s="11" t="s">
        <v>30</v>
      </c>
      <c r="L564" s="11" t="s">
        <v>18142</v>
      </c>
    </row>
    <row r="565" spans="1:12" ht="13.15" x14ac:dyDescent="0.4">
      <c r="A565" s="11" t="s">
        <v>16878</v>
      </c>
      <c r="B565" s="11"/>
      <c r="C565" s="11" t="s">
        <v>6553</v>
      </c>
      <c r="D565" s="11"/>
      <c r="E565" s="11"/>
      <c r="F565" s="11"/>
      <c r="G565" s="12">
        <v>23012</v>
      </c>
      <c r="H565" s="12">
        <v>23012</v>
      </c>
      <c r="I565" s="11"/>
      <c r="J565" s="11" t="s">
        <v>45</v>
      </c>
      <c r="K565" s="11" t="s">
        <v>30</v>
      </c>
      <c r="L565" s="11" t="s">
        <v>18512</v>
      </c>
    </row>
    <row r="566" spans="1:12" ht="13.15" x14ac:dyDescent="0.4">
      <c r="A566" s="11" t="s">
        <v>17202</v>
      </c>
      <c r="B566" s="11"/>
      <c r="C566" s="11" t="s">
        <v>6553</v>
      </c>
      <c r="D566" s="11"/>
      <c r="E566" s="11"/>
      <c r="F566" s="11"/>
      <c r="G566" s="12">
        <v>20821</v>
      </c>
      <c r="H566" s="12">
        <v>20821</v>
      </c>
      <c r="I566" s="11"/>
      <c r="J566" s="11" t="s">
        <v>45</v>
      </c>
      <c r="K566" s="11" t="s">
        <v>30</v>
      </c>
      <c r="L566" s="11" t="s">
        <v>18190</v>
      </c>
    </row>
    <row r="567" spans="1:12" ht="13.15" x14ac:dyDescent="0.4">
      <c r="A567" s="11" t="s">
        <v>16988</v>
      </c>
      <c r="B567" s="11"/>
      <c r="C567" s="11" t="s">
        <v>6553</v>
      </c>
      <c r="D567" s="11"/>
      <c r="E567" s="11"/>
      <c r="F567" s="11"/>
      <c r="G567" s="12">
        <v>22282</v>
      </c>
      <c r="H567" s="12">
        <v>22282</v>
      </c>
      <c r="I567" s="11"/>
      <c r="J567" s="11" t="s">
        <v>45</v>
      </c>
      <c r="K567" s="11" t="s">
        <v>30</v>
      </c>
      <c r="L567" s="11" t="s">
        <v>18405</v>
      </c>
    </row>
    <row r="568" spans="1:12" ht="13.15" x14ac:dyDescent="0.4">
      <c r="A568" s="11" t="s">
        <v>17175</v>
      </c>
      <c r="B568" s="11"/>
      <c r="C568" s="11" t="s">
        <v>6553</v>
      </c>
      <c r="D568" s="11"/>
      <c r="E568" s="11"/>
      <c r="F568" s="11"/>
      <c r="G568" s="12">
        <v>20821</v>
      </c>
      <c r="H568" s="12">
        <v>20821</v>
      </c>
      <c r="I568" s="11"/>
      <c r="J568" s="11" t="s">
        <v>45</v>
      </c>
      <c r="K568" s="11" t="s">
        <v>30</v>
      </c>
      <c r="L568" s="11" t="s">
        <v>18218</v>
      </c>
    </row>
    <row r="569" spans="1:12" ht="13.15" x14ac:dyDescent="0.4">
      <c r="A569" s="11" t="s">
        <v>17194</v>
      </c>
      <c r="B569" s="11"/>
      <c r="C569" s="11" t="s">
        <v>6553</v>
      </c>
      <c r="D569" s="11"/>
      <c r="E569" s="11"/>
      <c r="F569" s="11"/>
      <c r="G569" s="12">
        <v>20821</v>
      </c>
      <c r="H569" s="12">
        <v>20821</v>
      </c>
      <c r="I569" s="11"/>
      <c r="J569" s="11" t="s">
        <v>45</v>
      </c>
      <c r="K569" s="11" t="s">
        <v>30</v>
      </c>
      <c r="L569" s="11" t="s">
        <v>18199</v>
      </c>
    </row>
    <row r="570" spans="1:12" ht="13.15" x14ac:dyDescent="0.4">
      <c r="A570" s="11" t="s">
        <v>17193</v>
      </c>
      <c r="B570" s="11"/>
      <c r="C570" s="11" t="s">
        <v>6553</v>
      </c>
      <c r="D570" s="11"/>
      <c r="E570" s="11"/>
      <c r="F570" s="11"/>
      <c r="G570" s="12">
        <v>20821</v>
      </c>
      <c r="H570" s="12">
        <v>20821</v>
      </c>
      <c r="I570" s="11"/>
      <c r="J570" s="11" t="s">
        <v>45</v>
      </c>
      <c r="K570" s="11" t="s">
        <v>30</v>
      </c>
      <c r="L570" s="11" t="s">
        <v>18200</v>
      </c>
    </row>
    <row r="571" spans="1:12" ht="13.15" x14ac:dyDescent="0.4">
      <c r="A571" s="11" t="s">
        <v>17204</v>
      </c>
      <c r="B571" s="11"/>
      <c r="C571" s="11" t="s">
        <v>6553</v>
      </c>
      <c r="D571" s="11"/>
      <c r="E571" s="11"/>
      <c r="F571" s="11"/>
      <c r="G571" s="12">
        <v>20821</v>
      </c>
      <c r="H571" s="12">
        <v>20821</v>
      </c>
      <c r="I571" s="11"/>
      <c r="J571" s="11" t="s">
        <v>45</v>
      </c>
      <c r="K571" s="11" t="s">
        <v>30</v>
      </c>
      <c r="L571" s="11" t="s">
        <v>18188</v>
      </c>
    </row>
    <row r="572" spans="1:12" ht="13.15" x14ac:dyDescent="0.4">
      <c r="A572" s="11" t="s">
        <v>17178</v>
      </c>
      <c r="B572" s="11"/>
      <c r="C572" s="11" t="s">
        <v>6553</v>
      </c>
      <c r="D572" s="11"/>
      <c r="E572" s="11"/>
      <c r="F572" s="11"/>
      <c r="G572" s="12">
        <v>20821</v>
      </c>
      <c r="H572" s="12">
        <v>20821</v>
      </c>
      <c r="I572" s="11"/>
      <c r="J572" s="11" t="s">
        <v>45</v>
      </c>
      <c r="K572" s="11" t="s">
        <v>30</v>
      </c>
      <c r="L572" s="11" t="s">
        <v>18215</v>
      </c>
    </row>
    <row r="573" spans="1:12" ht="13.15" x14ac:dyDescent="0.4">
      <c r="A573" s="11" t="s">
        <v>17220</v>
      </c>
      <c r="B573" s="11"/>
      <c r="C573" s="11" t="s">
        <v>6553</v>
      </c>
      <c r="D573" s="11"/>
      <c r="E573" s="11"/>
      <c r="F573" s="11"/>
      <c r="G573" s="12">
        <v>20821</v>
      </c>
      <c r="H573" s="12">
        <v>20821</v>
      </c>
      <c r="I573" s="11"/>
      <c r="J573" s="11" t="s">
        <v>45</v>
      </c>
      <c r="K573" s="11" t="s">
        <v>30</v>
      </c>
      <c r="L573" s="11" t="s">
        <v>18171</v>
      </c>
    </row>
    <row r="574" spans="1:12" ht="13.15" x14ac:dyDescent="0.4">
      <c r="A574" s="11" t="s">
        <v>17155</v>
      </c>
      <c r="B574" s="11"/>
      <c r="C574" s="11" t="s">
        <v>6553</v>
      </c>
      <c r="D574" s="11"/>
      <c r="E574" s="11"/>
      <c r="F574" s="11"/>
      <c r="G574" s="12">
        <v>20821</v>
      </c>
      <c r="H574" s="12">
        <v>20821</v>
      </c>
      <c r="I574" s="11"/>
      <c r="J574" s="11" t="s">
        <v>45</v>
      </c>
      <c r="K574" s="11" t="s">
        <v>30</v>
      </c>
      <c r="L574" s="11" t="s">
        <v>18236</v>
      </c>
    </row>
    <row r="575" spans="1:12" ht="13.15" x14ac:dyDescent="0.4">
      <c r="A575" s="11" t="s">
        <v>17186</v>
      </c>
      <c r="B575" s="11"/>
      <c r="C575" s="11" t="s">
        <v>6553</v>
      </c>
      <c r="D575" s="11"/>
      <c r="E575" s="11"/>
      <c r="F575" s="11"/>
      <c r="G575" s="12">
        <v>20821</v>
      </c>
      <c r="H575" s="12">
        <v>20821</v>
      </c>
      <c r="I575" s="11"/>
      <c r="J575" s="11" t="s">
        <v>45</v>
      </c>
      <c r="K575" s="11" t="s">
        <v>30</v>
      </c>
      <c r="L575" s="11" t="s">
        <v>18207</v>
      </c>
    </row>
    <row r="576" spans="1:12" ht="13.15" x14ac:dyDescent="0.4">
      <c r="A576" s="11" t="s">
        <v>17288</v>
      </c>
      <c r="B576" s="11"/>
      <c r="C576" s="11" t="s">
        <v>6553</v>
      </c>
      <c r="D576" s="11"/>
      <c r="E576" s="11"/>
      <c r="F576" s="11"/>
      <c r="G576" s="12">
        <v>20821</v>
      </c>
      <c r="H576" s="12">
        <v>20821</v>
      </c>
      <c r="I576" s="11"/>
      <c r="J576" s="11" t="s">
        <v>45</v>
      </c>
      <c r="K576" s="11" t="s">
        <v>30</v>
      </c>
      <c r="L576" s="11" t="s">
        <v>18096</v>
      </c>
    </row>
    <row r="577" spans="1:12" ht="13.15" x14ac:dyDescent="0.4">
      <c r="A577" s="11" t="s">
        <v>17158</v>
      </c>
      <c r="B577" s="11"/>
      <c r="C577" s="11" t="s">
        <v>6553</v>
      </c>
      <c r="D577" s="11"/>
      <c r="E577" s="11"/>
      <c r="F577" s="11"/>
      <c r="G577" s="12">
        <v>20821</v>
      </c>
      <c r="H577" s="12">
        <v>20821</v>
      </c>
      <c r="I577" s="11"/>
      <c r="J577" s="11" t="s">
        <v>45</v>
      </c>
      <c r="K577" s="11" t="s">
        <v>30</v>
      </c>
      <c r="L577" s="11" t="s">
        <v>18233</v>
      </c>
    </row>
    <row r="578" spans="1:12" ht="13.15" x14ac:dyDescent="0.4">
      <c r="A578" s="11" t="s">
        <v>17140</v>
      </c>
      <c r="B578" s="11"/>
      <c r="C578" s="11" t="s">
        <v>6553</v>
      </c>
      <c r="D578" s="11"/>
      <c r="E578" s="11"/>
      <c r="F578" s="11"/>
      <c r="G578" s="12">
        <v>20821</v>
      </c>
      <c r="H578" s="12">
        <v>20821</v>
      </c>
      <c r="I578" s="11"/>
      <c r="J578" s="11" t="s">
        <v>45</v>
      </c>
      <c r="K578" s="11" t="s">
        <v>30</v>
      </c>
      <c r="L578" s="11" t="s">
        <v>18251</v>
      </c>
    </row>
    <row r="579" spans="1:12" ht="13.15" x14ac:dyDescent="0.4">
      <c r="A579" s="11" t="s">
        <v>17096</v>
      </c>
      <c r="B579" s="11"/>
      <c r="C579" s="11" t="s">
        <v>6553</v>
      </c>
      <c r="D579" s="11"/>
      <c r="E579" s="11"/>
      <c r="F579" s="11"/>
      <c r="G579" s="12">
        <v>20821</v>
      </c>
      <c r="H579" s="12">
        <v>20821</v>
      </c>
      <c r="I579" s="11"/>
      <c r="J579" s="11" t="s">
        <v>45</v>
      </c>
      <c r="K579" s="11" t="s">
        <v>30</v>
      </c>
      <c r="L579" s="11" t="s">
        <v>18298</v>
      </c>
    </row>
    <row r="580" spans="1:12" ht="13.15" x14ac:dyDescent="0.4">
      <c r="A580" s="11" t="s">
        <v>17222</v>
      </c>
      <c r="B580" s="11"/>
      <c r="C580" s="11" t="s">
        <v>6553</v>
      </c>
      <c r="D580" s="11"/>
      <c r="E580" s="11"/>
      <c r="F580" s="11"/>
      <c r="G580" s="12">
        <v>20821</v>
      </c>
      <c r="H580" s="12">
        <v>20821</v>
      </c>
      <c r="I580" s="11"/>
      <c r="J580" s="11" t="s">
        <v>45</v>
      </c>
      <c r="K580" s="11" t="s">
        <v>30</v>
      </c>
      <c r="L580" s="11" t="s">
        <v>18169</v>
      </c>
    </row>
    <row r="581" spans="1:12" ht="13.15" x14ac:dyDescent="0.4">
      <c r="A581" s="11" t="s">
        <v>17141</v>
      </c>
      <c r="B581" s="11"/>
      <c r="C581" s="11" t="s">
        <v>6553</v>
      </c>
      <c r="D581" s="11"/>
      <c r="E581" s="11"/>
      <c r="F581" s="11"/>
      <c r="G581" s="12">
        <v>20821</v>
      </c>
      <c r="H581" s="12">
        <v>20821</v>
      </c>
      <c r="I581" s="11"/>
      <c r="J581" s="11" t="s">
        <v>45</v>
      </c>
      <c r="K581" s="11" t="s">
        <v>30</v>
      </c>
      <c r="L581" s="11" t="s">
        <v>18250</v>
      </c>
    </row>
    <row r="582" spans="1:12" ht="13.15" x14ac:dyDescent="0.4">
      <c r="A582" s="11" t="s">
        <v>17109</v>
      </c>
      <c r="B582" s="11"/>
      <c r="C582" s="11" t="s">
        <v>6553</v>
      </c>
      <c r="D582" s="11"/>
      <c r="E582" s="11"/>
      <c r="F582" s="11"/>
      <c r="G582" s="12">
        <v>20821</v>
      </c>
      <c r="H582" s="12">
        <v>20821</v>
      </c>
      <c r="I582" s="11"/>
      <c r="J582" s="11" t="s">
        <v>45</v>
      </c>
      <c r="K582" s="11" t="s">
        <v>30</v>
      </c>
      <c r="L582" s="11" t="s">
        <v>18284</v>
      </c>
    </row>
    <row r="583" spans="1:12" ht="13.15" x14ac:dyDescent="0.4">
      <c r="A583" s="11" t="s">
        <v>16708</v>
      </c>
      <c r="B583" s="11"/>
      <c r="C583" s="11" t="s">
        <v>6553</v>
      </c>
      <c r="D583" s="11"/>
      <c r="E583" s="11"/>
      <c r="F583" s="11"/>
      <c r="G583" s="12">
        <v>24473</v>
      </c>
      <c r="H583" s="12">
        <v>24473</v>
      </c>
      <c r="I583" s="11"/>
      <c r="J583" s="11" t="s">
        <v>45</v>
      </c>
      <c r="K583" s="11" t="s">
        <v>30</v>
      </c>
      <c r="L583" s="11" t="s">
        <v>18684</v>
      </c>
    </row>
    <row r="584" spans="1:12" ht="13.15" x14ac:dyDescent="0.4">
      <c r="A584" s="11" t="s">
        <v>17345</v>
      </c>
      <c r="B584" s="11"/>
      <c r="C584" s="11" t="s">
        <v>6553</v>
      </c>
      <c r="D584" s="11"/>
      <c r="E584" s="11"/>
      <c r="F584" s="11"/>
      <c r="G584" s="12">
        <v>20821</v>
      </c>
      <c r="H584" s="12">
        <v>20821</v>
      </c>
      <c r="I584" s="11"/>
      <c r="J584" s="11" t="s">
        <v>45</v>
      </c>
      <c r="K584" s="11" t="s">
        <v>30</v>
      </c>
      <c r="L584" s="11" t="s">
        <v>18033</v>
      </c>
    </row>
    <row r="585" spans="1:12" ht="13.15" x14ac:dyDescent="0.4">
      <c r="A585" s="11" t="s">
        <v>17208</v>
      </c>
      <c r="B585" s="11"/>
      <c r="C585" s="11" t="s">
        <v>6553</v>
      </c>
      <c r="D585" s="11"/>
      <c r="E585" s="11"/>
      <c r="F585" s="11"/>
      <c r="G585" s="12">
        <v>20821</v>
      </c>
      <c r="H585" s="12">
        <v>20821</v>
      </c>
      <c r="I585" s="11"/>
      <c r="J585" s="11" t="s">
        <v>45</v>
      </c>
      <c r="K585" s="11" t="s">
        <v>30</v>
      </c>
      <c r="L585" s="11" t="s">
        <v>18184</v>
      </c>
    </row>
    <row r="586" spans="1:12" ht="13.15" x14ac:dyDescent="0.4">
      <c r="A586" s="11" t="s">
        <v>17212</v>
      </c>
      <c r="B586" s="11"/>
      <c r="C586" s="11" t="s">
        <v>6553</v>
      </c>
      <c r="D586" s="11"/>
      <c r="E586" s="11"/>
      <c r="F586" s="11"/>
      <c r="G586" s="12">
        <v>20821</v>
      </c>
      <c r="H586" s="12">
        <v>20821</v>
      </c>
      <c r="I586" s="11"/>
      <c r="J586" s="11" t="s">
        <v>45</v>
      </c>
      <c r="K586" s="11" t="s">
        <v>30</v>
      </c>
      <c r="L586" s="11" t="s">
        <v>18180</v>
      </c>
    </row>
    <row r="587" spans="1:12" ht="13.15" x14ac:dyDescent="0.4">
      <c r="A587" s="11" t="s">
        <v>16690</v>
      </c>
      <c r="B587" s="11"/>
      <c r="C587" s="11" t="s">
        <v>6553</v>
      </c>
      <c r="D587" s="11"/>
      <c r="E587" s="11"/>
      <c r="F587" s="11"/>
      <c r="G587" s="12">
        <v>33604</v>
      </c>
      <c r="H587" s="12">
        <v>33604</v>
      </c>
      <c r="I587" s="11"/>
      <c r="J587" s="11" t="s">
        <v>45</v>
      </c>
      <c r="K587" s="11" t="s">
        <v>30</v>
      </c>
      <c r="L587" s="11" t="s">
        <v>18701</v>
      </c>
    </row>
    <row r="588" spans="1:12" ht="13.15" x14ac:dyDescent="0.4">
      <c r="A588" s="11" t="s">
        <v>17215</v>
      </c>
      <c r="B588" s="11"/>
      <c r="C588" s="11" t="s">
        <v>6553</v>
      </c>
      <c r="D588" s="11"/>
      <c r="E588" s="11"/>
      <c r="F588" s="11"/>
      <c r="G588" s="12">
        <v>20821</v>
      </c>
      <c r="H588" s="12">
        <v>20821</v>
      </c>
      <c r="I588" s="11"/>
      <c r="J588" s="11" t="s">
        <v>45</v>
      </c>
      <c r="K588" s="11" t="s">
        <v>30</v>
      </c>
      <c r="L588" s="11" t="s">
        <v>18176</v>
      </c>
    </row>
    <row r="589" spans="1:12" ht="13.15" x14ac:dyDescent="0.4">
      <c r="A589" s="11" t="s">
        <v>16890</v>
      </c>
      <c r="B589" s="11"/>
      <c r="C589" s="11" t="s">
        <v>6553</v>
      </c>
      <c r="D589" s="11"/>
      <c r="E589" s="11"/>
      <c r="F589" s="11"/>
      <c r="G589" s="12">
        <v>22647</v>
      </c>
      <c r="H589" s="12">
        <v>22647</v>
      </c>
      <c r="I589" s="11"/>
      <c r="J589" s="11" t="s">
        <v>45</v>
      </c>
      <c r="K589" s="11" t="s">
        <v>30</v>
      </c>
      <c r="L589" s="11" t="s">
        <v>18500</v>
      </c>
    </row>
    <row r="590" spans="1:12" ht="13.15" x14ac:dyDescent="0.4">
      <c r="A590" s="11" t="s">
        <v>17261</v>
      </c>
      <c r="B590" s="11"/>
      <c r="C590" s="11" t="s">
        <v>6553</v>
      </c>
      <c r="D590" s="11"/>
      <c r="E590" s="11"/>
      <c r="F590" s="11"/>
      <c r="G590" s="12">
        <v>20821</v>
      </c>
      <c r="H590" s="12">
        <v>20821</v>
      </c>
      <c r="I590" s="11"/>
      <c r="J590" s="11" t="s">
        <v>45</v>
      </c>
      <c r="K590" s="11" t="s">
        <v>30</v>
      </c>
      <c r="L590" s="11" t="s">
        <v>18125</v>
      </c>
    </row>
    <row r="591" spans="1:12" ht="13.15" x14ac:dyDescent="0.4">
      <c r="A591" s="11" t="s">
        <v>17134</v>
      </c>
      <c r="B591" s="11"/>
      <c r="C591" s="11" t="s">
        <v>6553</v>
      </c>
      <c r="D591" s="11"/>
      <c r="E591" s="11"/>
      <c r="F591" s="11"/>
      <c r="G591" s="12">
        <v>20821</v>
      </c>
      <c r="H591" s="12">
        <v>20821</v>
      </c>
      <c r="I591" s="11"/>
      <c r="J591" s="11" t="s">
        <v>45</v>
      </c>
      <c r="K591" s="11" t="s">
        <v>30</v>
      </c>
      <c r="L591" s="11" t="s">
        <v>18257</v>
      </c>
    </row>
    <row r="592" spans="1:12" ht="13.15" x14ac:dyDescent="0.4">
      <c r="A592" s="11" t="s">
        <v>16901</v>
      </c>
      <c r="B592" s="11"/>
      <c r="C592" s="11" t="s">
        <v>6553</v>
      </c>
      <c r="D592" s="11"/>
      <c r="E592" s="11"/>
      <c r="F592" s="11"/>
      <c r="G592" s="12">
        <v>23012</v>
      </c>
      <c r="H592" s="12">
        <v>23012</v>
      </c>
      <c r="I592" s="11"/>
      <c r="J592" s="11" t="s">
        <v>45</v>
      </c>
      <c r="K592" s="11" t="s">
        <v>30</v>
      </c>
      <c r="L592" s="11" t="s">
        <v>18489</v>
      </c>
    </row>
    <row r="593" spans="1:12" ht="13.15" x14ac:dyDescent="0.4">
      <c r="A593" s="11" t="s">
        <v>17116</v>
      </c>
      <c r="B593" s="11"/>
      <c r="C593" s="11" t="s">
        <v>6553</v>
      </c>
      <c r="D593" s="11"/>
      <c r="E593" s="11"/>
      <c r="F593" s="11"/>
      <c r="G593" s="12">
        <v>20821</v>
      </c>
      <c r="H593" s="12">
        <v>20821</v>
      </c>
      <c r="I593" s="11"/>
      <c r="J593" s="11" t="s">
        <v>45</v>
      </c>
      <c r="K593" s="11" t="s">
        <v>30</v>
      </c>
      <c r="L593" s="11" t="s">
        <v>18276</v>
      </c>
    </row>
    <row r="594" spans="1:12" ht="13.15" x14ac:dyDescent="0.4">
      <c r="A594" s="11" t="s">
        <v>17099</v>
      </c>
      <c r="B594" s="11"/>
      <c r="C594" s="11" t="s">
        <v>6553</v>
      </c>
      <c r="D594" s="11"/>
      <c r="E594" s="11"/>
      <c r="F594" s="11"/>
      <c r="G594" s="12">
        <v>20821</v>
      </c>
      <c r="H594" s="12">
        <v>20821</v>
      </c>
      <c r="I594" s="11"/>
      <c r="J594" s="11" t="s">
        <v>45</v>
      </c>
      <c r="K594" s="11" t="s">
        <v>30</v>
      </c>
      <c r="L594" s="11" t="s">
        <v>18295</v>
      </c>
    </row>
    <row r="595" spans="1:12" ht="13.15" x14ac:dyDescent="0.4">
      <c r="A595" s="11" t="s">
        <v>17257</v>
      </c>
      <c r="B595" s="11"/>
      <c r="C595" s="11" t="s">
        <v>6553</v>
      </c>
      <c r="D595" s="11"/>
      <c r="E595" s="11"/>
      <c r="F595" s="11"/>
      <c r="G595" s="12">
        <v>20821</v>
      </c>
      <c r="H595" s="12">
        <v>20821</v>
      </c>
      <c r="I595" s="11"/>
      <c r="J595" s="11" t="s">
        <v>45</v>
      </c>
      <c r="K595" s="11" t="s">
        <v>30</v>
      </c>
      <c r="L595" s="11" t="s">
        <v>18129</v>
      </c>
    </row>
    <row r="596" spans="1:12" ht="13.15" x14ac:dyDescent="0.4">
      <c r="A596" s="11" t="s">
        <v>16701</v>
      </c>
      <c r="B596" s="11"/>
      <c r="C596" s="11" t="s">
        <v>6553</v>
      </c>
      <c r="D596" s="11"/>
      <c r="E596" s="11"/>
      <c r="F596" s="11"/>
      <c r="G596" s="12">
        <v>26299</v>
      </c>
      <c r="H596" s="12">
        <v>26299</v>
      </c>
      <c r="I596" s="11"/>
      <c r="J596" s="11" t="s">
        <v>45</v>
      </c>
      <c r="K596" s="11" t="s">
        <v>30</v>
      </c>
      <c r="L596" s="11" t="s">
        <v>18691</v>
      </c>
    </row>
    <row r="597" spans="1:12" ht="13.15" x14ac:dyDescent="0.4">
      <c r="A597" s="11" t="s">
        <v>17328</v>
      </c>
      <c r="B597" s="11"/>
      <c r="C597" s="11" t="s">
        <v>6553</v>
      </c>
      <c r="D597" s="11"/>
      <c r="E597" s="11"/>
      <c r="F597" s="11"/>
      <c r="G597" s="12">
        <v>20821</v>
      </c>
      <c r="H597" s="12">
        <v>20821</v>
      </c>
      <c r="I597" s="11"/>
      <c r="J597" s="11" t="s">
        <v>45</v>
      </c>
      <c r="K597" s="11" t="s">
        <v>30</v>
      </c>
      <c r="L597" s="11" t="s">
        <v>18053</v>
      </c>
    </row>
    <row r="598" spans="1:12" ht="13.15" x14ac:dyDescent="0.4">
      <c r="A598" s="11" t="s">
        <v>17101</v>
      </c>
      <c r="B598" s="11"/>
      <c r="C598" s="11" t="s">
        <v>6553</v>
      </c>
      <c r="D598" s="11"/>
      <c r="E598" s="11"/>
      <c r="F598" s="11"/>
      <c r="G598" s="12">
        <v>20821</v>
      </c>
      <c r="H598" s="12">
        <v>20821</v>
      </c>
      <c r="I598" s="11"/>
      <c r="J598" s="11" t="s">
        <v>45</v>
      </c>
      <c r="K598" s="11" t="s">
        <v>30</v>
      </c>
      <c r="L598" s="11" t="s">
        <v>18292</v>
      </c>
    </row>
    <row r="599" spans="1:12" ht="13.15" x14ac:dyDescent="0.4">
      <c r="A599" s="11" t="s">
        <v>17092</v>
      </c>
      <c r="B599" s="11"/>
      <c r="C599" s="11" t="s">
        <v>6553</v>
      </c>
      <c r="D599" s="11"/>
      <c r="E599" s="11"/>
      <c r="F599" s="11"/>
      <c r="G599" s="12">
        <v>20821</v>
      </c>
      <c r="H599" s="12">
        <v>20821</v>
      </c>
      <c r="I599" s="11"/>
      <c r="J599" s="11" t="s">
        <v>45</v>
      </c>
      <c r="K599" s="11" t="s">
        <v>30</v>
      </c>
      <c r="L599" s="11" t="s">
        <v>18302</v>
      </c>
    </row>
    <row r="600" spans="1:12" ht="13.15" x14ac:dyDescent="0.4">
      <c r="A600" s="11" t="s">
        <v>17092</v>
      </c>
      <c r="B600" s="11"/>
      <c r="C600" s="11" t="s">
        <v>6553</v>
      </c>
      <c r="D600" s="11"/>
      <c r="E600" s="11"/>
      <c r="F600" s="11"/>
      <c r="G600" s="12">
        <v>20821</v>
      </c>
      <c r="H600" s="12">
        <v>20821</v>
      </c>
      <c r="I600" s="11"/>
      <c r="J600" s="11" t="s">
        <v>45</v>
      </c>
      <c r="K600" s="11" t="s">
        <v>30</v>
      </c>
      <c r="L600" s="11" t="s">
        <v>18281</v>
      </c>
    </row>
    <row r="601" spans="1:12" ht="13.15" x14ac:dyDescent="0.4">
      <c r="A601" s="11" t="s">
        <v>17295</v>
      </c>
      <c r="B601" s="11"/>
      <c r="C601" s="11" t="s">
        <v>6553</v>
      </c>
      <c r="D601" s="11"/>
      <c r="E601" s="11"/>
      <c r="F601" s="11"/>
      <c r="G601" s="12">
        <v>20821</v>
      </c>
      <c r="H601" s="12">
        <v>20821</v>
      </c>
      <c r="I601" s="11"/>
      <c r="J601" s="11" t="s">
        <v>45</v>
      </c>
      <c r="K601" s="11" t="s">
        <v>30</v>
      </c>
      <c r="L601" s="11" t="s">
        <v>18089</v>
      </c>
    </row>
    <row r="602" spans="1:12" ht="13.15" x14ac:dyDescent="0.4">
      <c r="A602" s="11" t="s">
        <v>17199</v>
      </c>
      <c r="B602" s="11"/>
      <c r="C602" s="11" t="s">
        <v>6553</v>
      </c>
      <c r="D602" s="11"/>
      <c r="E602" s="11"/>
      <c r="F602" s="11"/>
      <c r="G602" s="12">
        <v>20821</v>
      </c>
      <c r="H602" s="12">
        <v>20821</v>
      </c>
      <c r="I602" s="11"/>
      <c r="J602" s="11" t="s">
        <v>45</v>
      </c>
      <c r="K602" s="11" t="s">
        <v>30</v>
      </c>
      <c r="L602" s="11" t="s">
        <v>18193</v>
      </c>
    </row>
    <row r="603" spans="1:12" ht="13.15" x14ac:dyDescent="0.4">
      <c r="A603" s="11" t="s">
        <v>6553</v>
      </c>
      <c r="B603" s="11"/>
      <c r="C603" s="11" t="s">
        <v>6553</v>
      </c>
      <c r="D603" s="11"/>
      <c r="E603" s="11"/>
      <c r="F603" s="11"/>
      <c r="G603" s="12">
        <v>20821</v>
      </c>
      <c r="H603" s="12">
        <v>20821</v>
      </c>
      <c r="I603" s="11"/>
      <c r="J603" s="11" t="s">
        <v>45</v>
      </c>
      <c r="K603" s="11" t="s">
        <v>30</v>
      </c>
      <c r="L603" s="11" t="s">
        <v>18108</v>
      </c>
    </row>
    <row r="604" spans="1:12" ht="13.15" x14ac:dyDescent="0.4">
      <c r="A604" s="11" t="s">
        <v>17294</v>
      </c>
      <c r="B604" s="11"/>
      <c r="C604" s="11" t="s">
        <v>6553</v>
      </c>
      <c r="D604" s="11"/>
      <c r="E604" s="11"/>
      <c r="F604" s="11"/>
      <c r="G604" s="12">
        <v>20821</v>
      </c>
      <c r="H604" s="12">
        <v>20821</v>
      </c>
      <c r="I604" s="11"/>
      <c r="J604" s="11" t="s">
        <v>45</v>
      </c>
      <c r="K604" s="11" t="s">
        <v>30</v>
      </c>
      <c r="L604" s="11" t="s">
        <v>18090</v>
      </c>
    </row>
    <row r="605" spans="1:12" ht="13.15" x14ac:dyDescent="0.4">
      <c r="A605" s="11" t="s">
        <v>17221</v>
      </c>
      <c r="B605" s="11"/>
      <c r="C605" s="11" t="s">
        <v>6553</v>
      </c>
      <c r="D605" s="11"/>
      <c r="E605" s="11"/>
      <c r="F605" s="11"/>
      <c r="G605" s="12">
        <v>20821</v>
      </c>
      <c r="H605" s="12">
        <v>20821</v>
      </c>
      <c r="I605" s="11"/>
      <c r="J605" s="11" t="s">
        <v>45</v>
      </c>
      <c r="K605" s="11" t="s">
        <v>30</v>
      </c>
      <c r="L605" s="11" t="s">
        <v>18170</v>
      </c>
    </row>
    <row r="606" spans="1:12" ht="13.15" x14ac:dyDescent="0.4">
      <c r="A606" s="11" t="s">
        <v>17135</v>
      </c>
      <c r="B606" s="11"/>
      <c r="C606" s="11" t="s">
        <v>6553</v>
      </c>
      <c r="D606" s="11"/>
      <c r="E606" s="11"/>
      <c r="F606" s="11"/>
      <c r="G606" s="12">
        <v>20821</v>
      </c>
      <c r="H606" s="12">
        <v>20821</v>
      </c>
      <c r="I606" s="11"/>
      <c r="J606" s="11" t="s">
        <v>45</v>
      </c>
      <c r="K606" s="11" t="s">
        <v>30</v>
      </c>
      <c r="L606" s="11" t="s">
        <v>18256</v>
      </c>
    </row>
    <row r="607" spans="1:12" ht="13.15" x14ac:dyDescent="0.4">
      <c r="A607" s="11" t="s">
        <v>17225</v>
      </c>
      <c r="B607" s="11"/>
      <c r="C607" s="11" t="s">
        <v>6553</v>
      </c>
      <c r="D607" s="11"/>
      <c r="E607" s="11"/>
      <c r="F607" s="11"/>
      <c r="G607" s="12">
        <v>20821</v>
      </c>
      <c r="H607" s="12">
        <v>20821</v>
      </c>
      <c r="I607" s="11"/>
      <c r="J607" s="11" t="s">
        <v>45</v>
      </c>
      <c r="K607" s="11" t="s">
        <v>30</v>
      </c>
      <c r="L607" s="11" t="s">
        <v>18166</v>
      </c>
    </row>
    <row r="608" spans="1:12" ht="13.15" x14ac:dyDescent="0.4">
      <c r="A608" s="11" t="s">
        <v>17142</v>
      </c>
      <c r="B608" s="11"/>
      <c r="C608" s="11" t="s">
        <v>6553</v>
      </c>
      <c r="D608" s="11"/>
      <c r="E608" s="11"/>
      <c r="F608" s="11"/>
      <c r="G608" s="12">
        <v>20821</v>
      </c>
      <c r="H608" s="12">
        <v>20821</v>
      </c>
      <c r="I608" s="11"/>
      <c r="J608" s="11" t="s">
        <v>45</v>
      </c>
      <c r="K608" s="11" t="s">
        <v>30</v>
      </c>
      <c r="L608" s="11" t="s">
        <v>18249</v>
      </c>
    </row>
    <row r="609" spans="1:12" ht="13.15" x14ac:dyDescent="0.4">
      <c r="A609" s="11" t="s">
        <v>17187</v>
      </c>
      <c r="B609" s="11"/>
      <c r="C609" s="11" t="s">
        <v>6553</v>
      </c>
      <c r="D609" s="11"/>
      <c r="E609" s="11"/>
      <c r="F609" s="11"/>
      <c r="G609" s="12">
        <v>20821</v>
      </c>
      <c r="H609" s="12">
        <v>20821</v>
      </c>
      <c r="I609" s="11"/>
      <c r="J609" s="11" t="s">
        <v>45</v>
      </c>
      <c r="K609" s="11" t="s">
        <v>30</v>
      </c>
      <c r="L609" s="11" t="s">
        <v>18206</v>
      </c>
    </row>
    <row r="610" spans="1:12" ht="13.15" x14ac:dyDescent="0.4">
      <c r="A610" s="11" t="s">
        <v>16806</v>
      </c>
      <c r="B610" s="11"/>
      <c r="C610" s="11" t="s">
        <v>6553</v>
      </c>
      <c r="D610" s="11"/>
      <c r="E610" s="11"/>
      <c r="F610" s="11"/>
      <c r="G610" s="12">
        <v>24108</v>
      </c>
      <c r="H610" s="12">
        <v>24108</v>
      </c>
      <c r="I610" s="11"/>
      <c r="J610" s="11" t="s">
        <v>45</v>
      </c>
      <c r="K610" s="11" t="s">
        <v>30</v>
      </c>
      <c r="L610" s="11" t="s">
        <v>18587</v>
      </c>
    </row>
    <row r="611" spans="1:12" ht="13.15" x14ac:dyDescent="0.4">
      <c r="A611" s="11" t="s">
        <v>17269</v>
      </c>
      <c r="B611" s="11"/>
      <c r="C611" s="11" t="s">
        <v>6553</v>
      </c>
      <c r="D611" s="11"/>
      <c r="E611" s="11"/>
      <c r="F611" s="11"/>
      <c r="G611" s="12">
        <v>20821</v>
      </c>
      <c r="H611" s="12">
        <v>20821</v>
      </c>
      <c r="I611" s="11"/>
      <c r="J611" s="11" t="s">
        <v>45</v>
      </c>
      <c r="K611" s="11" t="s">
        <v>30</v>
      </c>
      <c r="L611" s="11" t="s">
        <v>18116</v>
      </c>
    </row>
    <row r="612" spans="1:12" ht="13.15" x14ac:dyDescent="0.4">
      <c r="A612" s="11" t="s">
        <v>17237</v>
      </c>
      <c r="B612" s="11"/>
      <c r="C612" s="11" t="s">
        <v>6553</v>
      </c>
      <c r="D612" s="11"/>
      <c r="E612" s="11"/>
      <c r="F612" s="11"/>
      <c r="G612" s="12">
        <v>20821</v>
      </c>
      <c r="H612" s="12">
        <v>20821</v>
      </c>
      <c r="I612" s="11"/>
      <c r="J612" s="11" t="s">
        <v>45</v>
      </c>
      <c r="K612" s="11" t="s">
        <v>30</v>
      </c>
      <c r="L612" s="11" t="s">
        <v>18154</v>
      </c>
    </row>
    <row r="613" spans="1:12" ht="13.15" x14ac:dyDescent="0.4">
      <c r="A613" s="11" t="s">
        <v>17264</v>
      </c>
      <c r="B613" s="11"/>
      <c r="C613" s="11" t="s">
        <v>6553</v>
      </c>
      <c r="D613" s="11"/>
      <c r="E613" s="11"/>
      <c r="F613" s="11"/>
      <c r="G613" s="12">
        <v>20821</v>
      </c>
      <c r="H613" s="12">
        <v>20821</v>
      </c>
      <c r="I613" s="11"/>
      <c r="J613" s="11" t="s">
        <v>45</v>
      </c>
      <c r="K613" s="11" t="s">
        <v>30</v>
      </c>
      <c r="L613" s="11" t="s">
        <v>18121</v>
      </c>
    </row>
    <row r="614" spans="1:12" ht="13.15" x14ac:dyDescent="0.4">
      <c r="A614" s="11" t="s">
        <v>17249</v>
      </c>
      <c r="B614" s="11"/>
      <c r="C614" s="11" t="s">
        <v>6553</v>
      </c>
      <c r="D614" s="11"/>
      <c r="E614" s="11"/>
      <c r="F614" s="11"/>
      <c r="G614" s="12">
        <v>20821</v>
      </c>
      <c r="H614" s="12">
        <v>20821</v>
      </c>
      <c r="I614" s="11"/>
      <c r="J614" s="11" t="s">
        <v>45</v>
      </c>
      <c r="K614" s="11" t="s">
        <v>30</v>
      </c>
      <c r="L614" s="11" t="s">
        <v>18139</v>
      </c>
    </row>
    <row r="615" spans="1:12" ht="13.15" x14ac:dyDescent="0.4">
      <c r="A615" s="11" t="s">
        <v>17210</v>
      </c>
      <c r="B615" s="11"/>
      <c r="C615" s="11" t="s">
        <v>6553</v>
      </c>
      <c r="D615" s="11"/>
      <c r="E615" s="11"/>
      <c r="F615" s="11"/>
      <c r="G615" s="12">
        <v>20821</v>
      </c>
      <c r="H615" s="12">
        <v>20821</v>
      </c>
      <c r="I615" s="11"/>
      <c r="J615" s="11" t="s">
        <v>45</v>
      </c>
      <c r="K615" s="11" t="s">
        <v>30</v>
      </c>
      <c r="L615" s="11" t="s">
        <v>18182</v>
      </c>
    </row>
    <row r="616" spans="1:12" ht="13.15" x14ac:dyDescent="0.4">
      <c r="A616" s="11" t="s">
        <v>17138</v>
      </c>
      <c r="B616" s="11"/>
      <c r="C616" s="11" t="s">
        <v>6553</v>
      </c>
      <c r="D616" s="11"/>
      <c r="E616" s="11"/>
      <c r="F616" s="11"/>
      <c r="G616" s="12">
        <v>20821</v>
      </c>
      <c r="H616" s="12">
        <v>20821</v>
      </c>
      <c r="I616" s="11"/>
      <c r="J616" s="11" t="s">
        <v>45</v>
      </c>
      <c r="K616" s="11" t="s">
        <v>30</v>
      </c>
      <c r="L616" s="11" t="s">
        <v>18253</v>
      </c>
    </row>
    <row r="617" spans="1:12" ht="13.15" x14ac:dyDescent="0.4">
      <c r="A617" s="11" t="s">
        <v>17082</v>
      </c>
      <c r="B617" s="11"/>
      <c r="C617" s="11" t="s">
        <v>6553</v>
      </c>
      <c r="D617" s="11"/>
      <c r="E617" s="11"/>
      <c r="F617" s="11"/>
      <c r="G617" s="12">
        <v>20821</v>
      </c>
      <c r="H617" s="12">
        <v>20821</v>
      </c>
      <c r="I617" s="11"/>
      <c r="J617" s="11" t="s">
        <v>45</v>
      </c>
      <c r="K617" s="11" t="s">
        <v>30</v>
      </c>
      <c r="L617" s="11" t="s">
        <v>18313</v>
      </c>
    </row>
    <row r="618" spans="1:12" ht="13.15" x14ac:dyDescent="0.4">
      <c r="A618" s="11" t="s">
        <v>17086</v>
      </c>
      <c r="B618" s="11"/>
      <c r="C618" s="11" t="s">
        <v>6553</v>
      </c>
      <c r="D618" s="11"/>
      <c r="E618" s="11"/>
      <c r="F618" s="11"/>
      <c r="G618" s="12">
        <v>20821</v>
      </c>
      <c r="H618" s="12">
        <v>20821</v>
      </c>
      <c r="I618" s="11"/>
      <c r="J618" s="11" t="s">
        <v>45</v>
      </c>
      <c r="K618" s="11" t="s">
        <v>30</v>
      </c>
      <c r="L618" s="11" t="s">
        <v>18309</v>
      </c>
    </row>
    <row r="619" spans="1:12" ht="13.15" x14ac:dyDescent="0.4">
      <c r="A619" s="11" t="s">
        <v>16760</v>
      </c>
      <c r="B619" s="11"/>
      <c r="C619" s="11" t="s">
        <v>6553</v>
      </c>
      <c r="D619" s="11"/>
      <c r="E619" s="11"/>
      <c r="F619" s="11"/>
      <c r="G619" s="12">
        <v>26665</v>
      </c>
      <c r="H619" s="12">
        <v>26665</v>
      </c>
      <c r="I619" s="11"/>
      <c r="J619" s="11" t="s">
        <v>45</v>
      </c>
      <c r="K619" s="11" t="s">
        <v>30</v>
      </c>
      <c r="L619" s="11" t="s">
        <v>18633</v>
      </c>
    </row>
    <row r="620" spans="1:12" ht="13.15" x14ac:dyDescent="0.4">
      <c r="A620" s="11" t="s">
        <v>16763</v>
      </c>
      <c r="B620" s="11"/>
      <c r="C620" s="11" t="s">
        <v>6553</v>
      </c>
      <c r="D620" s="11"/>
      <c r="E620" s="11"/>
      <c r="F620" s="11"/>
      <c r="G620" s="12">
        <v>26299</v>
      </c>
      <c r="H620" s="12">
        <v>26299</v>
      </c>
      <c r="I620" s="11"/>
      <c r="J620" s="11" t="s">
        <v>45</v>
      </c>
      <c r="K620" s="11" t="s">
        <v>30</v>
      </c>
      <c r="L620" s="11" t="s">
        <v>18630</v>
      </c>
    </row>
    <row r="621" spans="1:12" ht="13.15" x14ac:dyDescent="0.4">
      <c r="A621" s="11" t="s">
        <v>17190</v>
      </c>
      <c r="B621" s="11"/>
      <c r="C621" s="11" t="s">
        <v>6553</v>
      </c>
      <c r="D621" s="11"/>
      <c r="E621" s="11"/>
      <c r="F621" s="11"/>
      <c r="G621" s="12">
        <v>20821</v>
      </c>
      <c r="H621" s="12">
        <v>20821</v>
      </c>
      <c r="I621" s="11"/>
      <c r="J621" s="11" t="s">
        <v>45</v>
      </c>
      <c r="K621" s="11" t="s">
        <v>30</v>
      </c>
      <c r="L621" s="11" t="s">
        <v>18203</v>
      </c>
    </row>
    <row r="622" spans="1:12" ht="13.15" x14ac:dyDescent="0.4">
      <c r="A622" s="11" t="s">
        <v>17188</v>
      </c>
      <c r="B622" s="11"/>
      <c r="C622" s="11" t="s">
        <v>6553</v>
      </c>
      <c r="D622" s="11"/>
      <c r="E622" s="11"/>
      <c r="F622" s="11"/>
      <c r="G622" s="12">
        <v>20821</v>
      </c>
      <c r="H622" s="12">
        <v>20821</v>
      </c>
      <c r="I622" s="11"/>
      <c r="J622" s="11" t="s">
        <v>45</v>
      </c>
      <c r="K622" s="11" t="s">
        <v>30</v>
      </c>
      <c r="L622" s="11" t="s">
        <v>18205</v>
      </c>
    </row>
    <row r="623" spans="1:12" ht="13.15" x14ac:dyDescent="0.4">
      <c r="A623" s="11" t="s">
        <v>17260</v>
      </c>
      <c r="B623" s="11"/>
      <c r="C623" s="11" t="s">
        <v>6553</v>
      </c>
      <c r="D623" s="11"/>
      <c r="E623" s="11"/>
      <c r="F623" s="11"/>
      <c r="G623" s="12">
        <v>20821</v>
      </c>
      <c r="H623" s="12">
        <v>20821</v>
      </c>
      <c r="I623" s="11"/>
      <c r="J623" s="11" t="s">
        <v>45</v>
      </c>
      <c r="K623" s="11" t="s">
        <v>30</v>
      </c>
      <c r="L623" s="11" t="s">
        <v>18126</v>
      </c>
    </row>
    <row r="624" spans="1:12" ht="13.15" x14ac:dyDescent="0.4">
      <c r="A624" s="11" t="s">
        <v>17177</v>
      </c>
      <c r="B624" s="11"/>
      <c r="C624" s="11" t="s">
        <v>6553</v>
      </c>
      <c r="D624" s="11"/>
      <c r="E624" s="11"/>
      <c r="F624" s="11"/>
      <c r="G624" s="12">
        <v>20821</v>
      </c>
      <c r="H624" s="12">
        <v>20821</v>
      </c>
      <c r="I624" s="11"/>
      <c r="J624" s="11" t="s">
        <v>45</v>
      </c>
      <c r="K624" s="11" t="s">
        <v>30</v>
      </c>
      <c r="L624" s="11" t="s">
        <v>18216</v>
      </c>
    </row>
    <row r="625" spans="1:12" ht="13.15" x14ac:dyDescent="0.4">
      <c r="A625" s="11" t="s">
        <v>17235</v>
      </c>
      <c r="B625" s="11"/>
      <c r="C625" s="11" t="s">
        <v>6553</v>
      </c>
      <c r="D625" s="11"/>
      <c r="E625" s="11"/>
      <c r="F625" s="11"/>
      <c r="G625" s="12">
        <v>20821</v>
      </c>
      <c r="H625" s="12">
        <v>20821</v>
      </c>
      <c r="I625" s="11"/>
      <c r="J625" s="11" t="s">
        <v>45</v>
      </c>
      <c r="K625" s="11" t="s">
        <v>30</v>
      </c>
      <c r="L625" s="11" t="s">
        <v>18156</v>
      </c>
    </row>
    <row r="626" spans="1:12" ht="13.15" x14ac:dyDescent="0.4">
      <c r="A626" s="11" t="s">
        <v>17240</v>
      </c>
      <c r="B626" s="11"/>
      <c r="C626" s="11" t="s">
        <v>6553</v>
      </c>
      <c r="D626" s="11"/>
      <c r="E626" s="11"/>
      <c r="F626" s="11"/>
      <c r="G626" s="12">
        <v>20821</v>
      </c>
      <c r="H626" s="12">
        <v>20821</v>
      </c>
      <c r="I626" s="11"/>
      <c r="J626" s="11" t="s">
        <v>45</v>
      </c>
      <c r="K626" s="11" t="s">
        <v>30</v>
      </c>
      <c r="L626" s="11" t="s">
        <v>18151</v>
      </c>
    </row>
    <row r="627" spans="1:12" ht="13.15" x14ac:dyDescent="0.4">
      <c r="A627" s="11" t="s">
        <v>17347</v>
      </c>
      <c r="B627" s="11"/>
      <c r="C627" s="11" t="s">
        <v>6553</v>
      </c>
      <c r="D627" s="11"/>
      <c r="E627" s="11"/>
      <c r="F627" s="11"/>
      <c r="G627" s="12">
        <v>20821</v>
      </c>
      <c r="H627" s="12">
        <v>20821</v>
      </c>
      <c r="I627" s="11"/>
      <c r="J627" s="11" t="s">
        <v>45</v>
      </c>
      <c r="K627" s="11" t="s">
        <v>30</v>
      </c>
      <c r="L627" s="11" t="s">
        <v>18030</v>
      </c>
    </row>
    <row r="628" spans="1:12" ht="13.15" x14ac:dyDescent="0.4">
      <c r="A628" s="11" t="s">
        <v>17200</v>
      </c>
      <c r="B628" s="11"/>
      <c r="C628" s="11" t="s">
        <v>6553</v>
      </c>
      <c r="D628" s="11"/>
      <c r="E628" s="11"/>
      <c r="F628" s="11"/>
      <c r="G628" s="12">
        <v>20821</v>
      </c>
      <c r="H628" s="12">
        <v>20821</v>
      </c>
      <c r="I628" s="11"/>
      <c r="J628" s="11" t="s">
        <v>45</v>
      </c>
      <c r="K628" s="11" t="s">
        <v>30</v>
      </c>
      <c r="L628" s="11" t="s">
        <v>18192</v>
      </c>
    </row>
    <row r="629" spans="1:12" ht="13.15" x14ac:dyDescent="0.4">
      <c r="A629" s="11" t="s">
        <v>17255</v>
      </c>
      <c r="B629" s="11"/>
      <c r="C629" s="11" t="s">
        <v>6553</v>
      </c>
      <c r="D629" s="11"/>
      <c r="E629" s="11"/>
      <c r="F629" s="11"/>
      <c r="G629" s="12">
        <v>20821</v>
      </c>
      <c r="H629" s="12">
        <v>20821</v>
      </c>
      <c r="I629" s="11"/>
      <c r="J629" s="11" t="s">
        <v>45</v>
      </c>
      <c r="K629" s="11" t="s">
        <v>30</v>
      </c>
      <c r="L629" s="11" t="s">
        <v>18132</v>
      </c>
    </row>
    <row r="630" spans="1:12" ht="13.15" x14ac:dyDescent="0.4">
      <c r="A630" s="11" t="s">
        <v>17346</v>
      </c>
      <c r="B630" s="11"/>
      <c r="C630" s="11" t="s">
        <v>6553</v>
      </c>
      <c r="D630" s="11"/>
      <c r="E630" s="11"/>
      <c r="F630" s="11"/>
      <c r="G630" s="12">
        <v>20821</v>
      </c>
      <c r="H630" s="12">
        <v>20821</v>
      </c>
      <c r="I630" s="11"/>
      <c r="J630" s="11" t="s">
        <v>45</v>
      </c>
      <c r="K630" s="11" t="s">
        <v>30</v>
      </c>
      <c r="L630" s="11" t="s">
        <v>18032</v>
      </c>
    </row>
    <row r="631" spans="1:12" ht="13.15" x14ac:dyDescent="0.4">
      <c r="A631" s="11" t="s">
        <v>17179</v>
      </c>
      <c r="B631" s="11"/>
      <c r="C631" s="11" t="s">
        <v>6553</v>
      </c>
      <c r="D631" s="11"/>
      <c r="E631" s="11"/>
      <c r="F631" s="11"/>
      <c r="G631" s="12">
        <v>20821</v>
      </c>
      <c r="H631" s="12">
        <v>20821</v>
      </c>
      <c r="I631" s="11"/>
      <c r="J631" s="11" t="s">
        <v>45</v>
      </c>
      <c r="K631" s="11" t="s">
        <v>30</v>
      </c>
      <c r="L631" s="11" t="s">
        <v>18214</v>
      </c>
    </row>
    <row r="632" spans="1:12" ht="13.15" x14ac:dyDescent="0.4">
      <c r="A632" s="11" t="s">
        <v>17340</v>
      </c>
      <c r="B632" s="11"/>
      <c r="C632" s="11" t="s">
        <v>6553</v>
      </c>
      <c r="D632" s="11"/>
      <c r="E632" s="11"/>
      <c r="F632" s="11"/>
      <c r="G632" s="12">
        <v>20821</v>
      </c>
      <c r="H632" s="12">
        <v>20821</v>
      </c>
      <c r="I632" s="11"/>
      <c r="J632" s="11" t="s">
        <v>45</v>
      </c>
      <c r="K632" s="11" t="s">
        <v>30</v>
      </c>
      <c r="L632" s="11" t="s">
        <v>18040</v>
      </c>
    </row>
    <row r="633" spans="1:12" ht="13.15" x14ac:dyDescent="0.4">
      <c r="A633" s="11" t="s">
        <v>17322</v>
      </c>
      <c r="B633" s="11"/>
      <c r="C633" s="11" t="s">
        <v>6553</v>
      </c>
      <c r="D633" s="11"/>
      <c r="E633" s="11"/>
      <c r="F633" s="11"/>
      <c r="G633" s="12">
        <v>20821</v>
      </c>
      <c r="H633" s="12">
        <v>20821</v>
      </c>
      <c r="I633" s="11"/>
      <c r="J633" s="11" t="s">
        <v>45</v>
      </c>
      <c r="K633" s="11" t="s">
        <v>30</v>
      </c>
      <c r="L633" s="11" t="s">
        <v>18059</v>
      </c>
    </row>
    <row r="634" spans="1:12" ht="13.15" x14ac:dyDescent="0.4">
      <c r="A634" s="11" t="s">
        <v>16725</v>
      </c>
      <c r="B634" s="11"/>
      <c r="C634" s="11" t="s">
        <v>6553</v>
      </c>
      <c r="D634" s="11"/>
      <c r="E634" s="11"/>
      <c r="F634" s="11"/>
      <c r="G634" s="12">
        <v>26665</v>
      </c>
      <c r="H634" s="12">
        <v>26665</v>
      </c>
      <c r="I634" s="11"/>
      <c r="J634" s="11" t="s">
        <v>45</v>
      </c>
      <c r="K634" s="11" t="s">
        <v>30</v>
      </c>
      <c r="L634" s="11" t="s">
        <v>18668</v>
      </c>
    </row>
    <row r="635" spans="1:12" ht="13.15" x14ac:dyDescent="0.4">
      <c r="A635" s="11" t="s">
        <v>17150</v>
      </c>
      <c r="B635" s="11"/>
      <c r="C635" s="11" t="s">
        <v>6553</v>
      </c>
      <c r="D635" s="11"/>
      <c r="E635" s="11"/>
      <c r="F635" s="11"/>
      <c r="G635" s="12">
        <v>20821</v>
      </c>
      <c r="H635" s="12">
        <v>20821</v>
      </c>
      <c r="I635" s="11"/>
      <c r="J635" s="11" t="s">
        <v>45</v>
      </c>
      <c r="K635" s="11" t="s">
        <v>30</v>
      </c>
      <c r="L635" s="11" t="s">
        <v>18241</v>
      </c>
    </row>
    <row r="636" spans="1:12" ht="13.15" x14ac:dyDescent="0.4">
      <c r="A636" s="11" t="s">
        <v>17238</v>
      </c>
      <c r="B636" s="11"/>
      <c r="C636" s="11" t="s">
        <v>6553</v>
      </c>
      <c r="D636" s="11"/>
      <c r="E636" s="11"/>
      <c r="F636" s="11"/>
      <c r="G636" s="12">
        <v>20821</v>
      </c>
      <c r="H636" s="12">
        <v>20821</v>
      </c>
      <c r="I636" s="11"/>
      <c r="J636" s="11" t="s">
        <v>45</v>
      </c>
      <c r="K636" s="11" t="s">
        <v>30</v>
      </c>
      <c r="L636" s="11" t="s">
        <v>18153</v>
      </c>
    </row>
    <row r="637" spans="1:12" ht="13.15" x14ac:dyDescent="0.4">
      <c r="A637" s="11" t="s">
        <v>17189</v>
      </c>
      <c r="B637" s="11"/>
      <c r="C637" s="11" t="s">
        <v>6553</v>
      </c>
      <c r="D637" s="11"/>
      <c r="E637" s="11"/>
      <c r="F637" s="11"/>
      <c r="G637" s="12">
        <v>20821</v>
      </c>
      <c r="H637" s="12">
        <v>20821</v>
      </c>
      <c r="I637" s="11"/>
      <c r="J637" s="11" t="s">
        <v>45</v>
      </c>
      <c r="K637" s="11" t="s">
        <v>30</v>
      </c>
      <c r="L637" s="11" t="s">
        <v>18204</v>
      </c>
    </row>
    <row r="638" spans="1:12" ht="13.15" x14ac:dyDescent="0.4">
      <c r="A638" s="11" t="s">
        <v>17213</v>
      </c>
      <c r="B638" s="11"/>
      <c r="C638" s="11" t="s">
        <v>6553</v>
      </c>
      <c r="D638" s="11"/>
      <c r="E638" s="11"/>
      <c r="F638" s="11"/>
      <c r="G638" s="12">
        <v>20821</v>
      </c>
      <c r="H638" s="12">
        <v>20821</v>
      </c>
      <c r="I638" s="11"/>
      <c r="J638" s="11" t="s">
        <v>45</v>
      </c>
      <c r="K638" s="11" t="s">
        <v>30</v>
      </c>
      <c r="L638" s="11" t="s">
        <v>18178</v>
      </c>
    </row>
    <row r="639" spans="1:12" ht="13.15" x14ac:dyDescent="0.4">
      <c r="A639" s="11" t="s">
        <v>17133</v>
      </c>
      <c r="B639" s="11"/>
      <c r="C639" s="11" t="s">
        <v>6553</v>
      </c>
      <c r="D639" s="11"/>
      <c r="E639" s="11"/>
      <c r="F639" s="11"/>
      <c r="G639" s="12">
        <v>20821</v>
      </c>
      <c r="H639" s="12">
        <v>20821</v>
      </c>
      <c r="I639" s="11"/>
      <c r="J639" s="11" t="s">
        <v>45</v>
      </c>
      <c r="K639" s="11" t="s">
        <v>30</v>
      </c>
      <c r="L639" s="11" t="s">
        <v>18258</v>
      </c>
    </row>
    <row r="640" spans="1:12" ht="13.15" x14ac:dyDescent="0.4">
      <c r="A640" s="11" t="s">
        <v>17105</v>
      </c>
      <c r="B640" s="11"/>
      <c r="C640" s="11" t="s">
        <v>6553</v>
      </c>
      <c r="D640" s="11"/>
      <c r="E640" s="11"/>
      <c r="F640" s="11"/>
      <c r="G640" s="12">
        <v>20821</v>
      </c>
      <c r="H640" s="12">
        <v>20821</v>
      </c>
      <c r="I640" s="11"/>
      <c r="J640" s="11" t="s">
        <v>45</v>
      </c>
      <c r="K640" s="11" t="s">
        <v>30</v>
      </c>
      <c r="L640" s="11" t="s">
        <v>18288</v>
      </c>
    </row>
    <row r="641" spans="1:12" ht="13.15" x14ac:dyDescent="0.4">
      <c r="A641" s="11" t="s">
        <v>17103</v>
      </c>
      <c r="B641" s="11"/>
      <c r="C641" s="11" t="s">
        <v>6553</v>
      </c>
      <c r="D641" s="11"/>
      <c r="E641" s="11"/>
      <c r="F641" s="11"/>
      <c r="G641" s="12">
        <v>20821</v>
      </c>
      <c r="H641" s="12">
        <v>20821</v>
      </c>
      <c r="I641" s="11"/>
      <c r="J641" s="11" t="s">
        <v>45</v>
      </c>
      <c r="K641" s="11" t="s">
        <v>30</v>
      </c>
      <c r="L641" s="11" t="s">
        <v>18290</v>
      </c>
    </row>
    <row r="642" spans="1:12" ht="13.15" x14ac:dyDescent="0.4">
      <c r="A642" s="11" t="s">
        <v>17252</v>
      </c>
      <c r="B642" s="11"/>
      <c r="C642" s="11" t="s">
        <v>6553</v>
      </c>
      <c r="D642" s="11"/>
      <c r="E642" s="11"/>
      <c r="F642" s="11"/>
      <c r="G642" s="12">
        <v>20821</v>
      </c>
      <c r="H642" s="12">
        <v>20821</v>
      </c>
      <c r="I642" s="11"/>
      <c r="J642" s="11" t="s">
        <v>45</v>
      </c>
      <c r="K642" s="11" t="s">
        <v>30</v>
      </c>
      <c r="L642" s="11" t="s">
        <v>18135</v>
      </c>
    </row>
    <row r="643" spans="1:12" ht="13.15" x14ac:dyDescent="0.4">
      <c r="A643" s="11" t="s">
        <v>17196</v>
      </c>
      <c r="B643" s="11"/>
      <c r="C643" s="11" t="s">
        <v>6553</v>
      </c>
      <c r="D643" s="11"/>
      <c r="E643" s="11"/>
      <c r="F643" s="11"/>
      <c r="G643" s="12">
        <v>20821</v>
      </c>
      <c r="H643" s="12">
        <v>20821</v>
      </c>
      <c r="I643" s="11"/>
      <c r="J643" s="11" t="s">
        <v>45</v>
      </c>
      <c r="K643" s="11" t="s">
        <v>30</v>
      </c>
      <c r="L643" s="11" t="s">
        <v>18196</v>
      </c>
    </row>
    <row r="644" spans="1:12" ht="13.15" x14ac:dyDescent="0.4">
      <c r="A644" s="11" t="s">
        <v>17111</v>
      </c>
      <c r="B644" s="11"/>
      <c r="C644" s="11" t="s">
        <v>6553</v>
      </c>
      <c r="D644" s="11"/>
      <c r="E644" s="11"/>
      <c r="F644" s="11"/>
      <c r="G644" s="12">
        <v>20821</v>
      </c>
      <c r="H644" s="12">
        <v>20821</v>
      </c>
      <c r="I644" s="11"/>
      <c r="J644" s="11" t="s">
        <v>45</v>
      </c>
      <c r="K644" s="11" t="s">
        <v>30</v>
      </c>
      <c r="L644" s="11" t="s">
        <v>18282</v>
      </c>
    </row>
    <row r="645" spans="1:12" ht="13.15" x14ac:dyDescent="0.4">
      <c r="A645" s="11" t="s">
        <v>17258</v>
      </c>
      <c r="B645" s="11"/>
      <c r="C645" s="11" t="s">
        <v>6553</v>
      </c>
      <c r="D645" s="11"/>
      <c r="E645" s="11"/>
      <c r="F645" s="11"/>
      <c r="G645" s="12">
        <v>20821</v>
      </c>
      <c r="H645" s="12">
        <v>20821</v>
      </c>
      <c r="I645" s="11"/>
      <c r="J645" s="11" t="s">
        <v>45</v>
      </c>
      <c r="K645" s="11" t="s">
        <v>30</v>
      </c>
      <c r="L645" s="11" t="s">
        <v>18128</v>
      </c>
    </row>
    <row r="646" spans="1:12" ht="13.15" x14ac:dyDescent="0.4">
      <c r="A646" s="11" t="s">
        <v>17197</v>
      </c>
      <c r="B646" s="11"/>
      <c r="C646" s="11" t="s">
        <v>6553</v>
      </c>
      <c r="D646" s="11"/>
      <c r="E646" s="11"/>
      <c r="F646" s="11"/>
      <c r="G646" s="12">
        <v>20821</v>
      </c>
      <c r="H646" s="12">
        <v>20821</v>
      </c>
      <c r="I646" s="11"/>
      <c r="J646" s="11" t="s">
        <v>45</v>
      </c>
      <c r="K646" s="11" t="s">
        <v>30</v>
      </c>
      <c r="L646" s="11" t="s">
        <v>18195</v>
      </c>
    </row>
    <row r="647" spans="1:12" ht="13.15" x14ac:dyDescent="0.4">
      <c r="A647" s="11" t="s">
        <v>17197</v>
      </c>
      <c r="B647" s="11"/>
      <c r="C647" s="11" t="s">
        <v>6553</v>
      </c>
      <c r="D647" s="11"/>
      <c r="E647" s="11"/>
      <c r="F647" s="11"/>
      <c r="G647" s="12">
        <v>20821</v>
      </c>
      <c r="H647" s="12">
        <v>20821</v>
      </c>
      <c r="I647" s="11"/>
      <c r="J647" s="11" t="s">
        <v>45</v>
      </c>
      <c r="K647" s="11" t="s">
        <v>30</v>
      </c>
      <c r="L647" s="11" t="s">
        <v>18122</v>
      </c>
    </row>
    <row r="648" spans="1:12" ht="13.15" x14ac:dyDescent="0.4">
      <c r="A648" s="11" t="s">
        <v>17166</v>
      </c>
      <c r="B648" s="11"/>
      <c r="C648" s="11" t="s">
        <v>6553</v>
      </c>
      <c r="D648" s="11"/>
      <c r="E648" s="11"/>
      <c r="F648" s="11"/>
      <c r="G648" s="12">
        <v>20821</v>
      </c>
      <c r="H648" s="12">
        <v>20821</v>
      </c>
      <c r="I648" s="11"/>
      <c r="J648" s="11" t="s">
        <v>45</v>
      </c>
      <c r="K648" s="11" t="s">
        <v>30</v>
      </c>
      <c r="L648" s="11" t="s">
        <v>18227</v>
      </c>
    </row>
    <row r="649" spans="1:12" ht="13.15" x14ac:dyDescent="0.4">
      <c r="A649" s="11" t="s">
        <v>16826</v>
      </c>
      <c r="B649" s="11"/>
      <c r="C649" s="11" t="s">
        <v>6553</v>
      </c>
      <c r="D649" s="11"/>
      <c r="E649" s="11"/>
      <c r="F649" s="11"/>
      <c r="G649" s="12">
        <v>23012</v>
      </c>
      <c r="H649" s="12">
        <v>23012</v>
      </c>
      <c r="I649" s="11"/>
      <c r="J649" s="11" t="s">
        <v>45</v>
      </c>
      <c r="K649" s="11" t="s">
        <v>30</v>
      </c>
      <c r="L649" s="11" t="s">
        <v>18567</v>
      </c>
    </row>
    <row r="650" spans="1:12" ht="13.15" x14ac:dyDescent="0.4">
      <c r="A650" s="11" t="s">
        <v>17223</v>
      </c>
      <c r="B650" s="11"/>
      <c r="C650" s="11" t="s">
        <v>6553</v>
      </c>
      <c r="D650" s="11"/>
      <c r="E650" s="11"/>
      <c r="F650" s="11"/>
      <c r="G650" s="12">
        <v>20821</v>
      </c>
      <c r="H650" s="12">
        <v>20821</v>
      </c>
      <c r="I650" s="11"/>
      <c r="J650" s="11" t="s">
        <v>45</v>
      </c>
      <c r="K650" s="11" t="s">
        <v>30</v>
      </c>
      <c r="L650" s="11" t="s">
        <v>18168</v>
      </c>
    </row>
    <row r="651" spans="1:12" ht="13.15" x14ac:dyDescent="0.4">
      <c r="A651" s="11" t="s">
        <v>16836</v>
      </c>
      <c r="B651" s="11"/>
      <c r="C651" s="11" t="s">
        <v>6553</v>
      </c>
      <c r="D651" s="11"/>
      <c r="E651" s="11"/>
      <c r="F651" s="11"/>
      <c r="G651" s="12">
        <v>23012</v>
      </c>
      <c r="H651" s="12">
        <v>23012</v>
      </c>
      <c r="I651" s="11"/>
      <c r="J651" s="11" t="s">
        <v>45</v>
      </c>
      <c r="K651" s="11" t="s">
        <v>30</v>
      </c>
      <c r="L651" s="11" t="s">
        <v>18556</v>
      </c>
    </row>
    <row r="652" spans="1:12" ht="13.15" x14ac:dyDescent="0.4">
      <c r="A652" s="11" t="s">
        <v>17165</v>
      </c>
      <c r="B652" s="11"/>
      <c r="C652" s="11" t="s">
        <v>6553</v>
      </c>
      <c r="D652" s="11"/>
      <c r="E652" s="11"/>
      <c r="F652" s="11"/>
      <c r="G652" s="12">
        <v>20821</v>
      </c>
      <c r="H652" s="12">
        <v>20821</v>
      </c>
      <c r="I652" s="11"/>
      <c r="J652" s="11" t="s">
        <v>45</v>
      </c>
      <c r="K652" s="11" t="s">
        <v>30</v>
      </c>
      <c r="L652" s="11" t="s">
        <v>18228</v>
      </c>
    </row>
    <row r="653" spans="1:12" ht="13.15" x14ac:dyDescent="0.4">
      <c r="A653" s="11" t="s">
        <v>17157</v>
      </c>
      <c r="B653" s="11"/>
      <c r="C653" s="11" t="s">
        <v>6553</v>
      </c>
      <c r="D653" s="11"/>
      <c r="E653" s="11"/>
      <c r="F653" s="11"/>
      <c r="G653" s="12">
        <v>20821</v>
      </c>
      <c r="H653" s="12">
        <v>20821</v>
      </c>
      <c r="I653" s="11"/>
      <c r="J653" s="11" t="s">
        <v>45</v>
      </c>
      <c r="K653" s="11" t="s">
        <v>30</v>
      </c>
      <c r="L653" s="11" t="s">
        <v>18234</v>
      </c>
    </row>
    <row r="654" spans="1:12" ht="13.15" x14ac:dyDescent="0.4">
      <c r="A654" s="11" t="s">
        <v>17110</v>
      </c>
      <c r="B654" s="11"/>
      <c r="C654" s="11" t="s">
        <v>6553</v>
      </c>
      <c r="D654" s="11"/>
      <c r="E654" s="11"/>
      <c r="F654" s="11"/>
      <c r="G654" s="12">
        <v>20821</v>
      </c>
      <c r="H654" s="12">
        <v>20821</v>
      </c>
      <c r="I654" s="11"/>
      <c r="J654" s="11" t="s">
        <v>45</v>
      </c>
      <c r="K654" s="11" t="s">
        <v>30</v>
      </c>
      <c r="L654" s="11" t="s">
        <v>18283</v>
      </c>
    </row>
    <row r="655" spans="1:12" ht="13.15" x14ac:dyDescent="0.4">
      <c r="A655" s="11" t="s">
        <v>17266</v>
      </c>
      <c r="B655" s="11"/>
      <c r="C655" s="11" t="s">
        <v>6553</v>
      </c>
      <c r="D655" s="11"/>
      <c r="E655" s="11"/>
      <c r="F655" s="11"/>
      <c r="G655" s="12">
        <v>20821</v>
      </c>
      <c r="H655" s="12">
        <v>20821</v>
      </c>
      <c r="I655" s="11"/>
      <c r="J655" s="11" t="s">
        <v>45</v>
      </c>
      <c r="K655" s="11" t="s">
        <v>30</v>
      </c>
      <c r="L655" s="11" t="s">
        <v>18119</v>
      </c>
    </row>
    <row r="656" spans="1:12" ht="13.15" x14ac:dyDescent="0.4">
      <c r="A656" s="11" t="s">
        <v>17253</v>
      </c>
      <c r="B656" s="11"/>
      <c r="C656" s="11" t="s">
        <v>6553</v>
      </c>
      <c r="D656" s="11"/>
      <c r="E656" s="11"/>
      <c r="F656" s="11"/>
      <c r="G656" s="12">
        <v>20821</v>
      </c>
      <c r="H656" s="12">
        <v>20821</v>
      </c>
      <c r="I656" s="11"/>
      <c r="J656" s="11" t="s">
        <v>45</v>
      </c>
      <c r="K656" s="11" t="s">
        <v>30</v>
      </c>
      <c r="L656" s="11" t="s">
        <v>18134</v>
      </c>
    </row>
    <row r="657" spans="1:12" ht="13.15" x14ac:dyDescent="0.4">
      <c r="A657" s="11" t="s">
        <v>17253</v>
      </c>
      <c r="B657" s="11"/>
      <c r="C657" s="11" t="s">
        <v>6553</v>
      </c>
      <c r="D657" s="11"/>
      <c r="E657" s="11"/>
      <c r="F657" s="11"/>
      <c r="G657" s="12">
        <v>20821</v>
      </c>
      <c r="H657" s="12">
        <v>20821</v>
      </c>
      <c r="I657" s="11"/>
      <c r="J657" s="11" t="s">
        <v>45</v>
      </c>
      <c r="K657" s="11" t="s">
        <v>30</v>
      </c>
      <c r="L657" s="11" t="s">
        <v>18061</v>
      </c>
    </row>
    <row r="658" spans="1:12" ht="13.15" x14ac:dyDescent="0.4">
      <c r="A658" s="11" t="s">
        <v>17214</v>
      </c>
      <c r="B658" s="11"/>
      <c r="C658" s="11" t="s">
        <v>6553</v>
      </c>
      <c r="D658" s="11"/>
      <c r="E658" s="11"/>
      <c r="F658" s="11"/>
      <c r="G658" s="12">
        <v>20821</v>
      </c>
      <c r="H658" s="12">
        <v>20821</v>
      </c>
      <c r="I658" s="11"/>
      <c r="J658" s="11" t="s">
        <v>45</v>
      </c>
      <c r="K658" s="11" t="s">
        <v>30</v>
      </c>
      <c r="L658" s="11" t="s">
        <v>18177</v>
      </c>
    </row>
    <row r="659" spans="1:12" ht="13.15" x14ac:dyDescent="0.4">
      <c r="A659" s="11" t="s">
        <v>17341</v>
      </c>
      <c r="B659" s="11"/>
      <c r="C659" s="11" t="s">
        <v>6553</v>
      </c>
      <c r="D659" s="11"/>
      <c r="E659" s="11"/>
      <c r="F659" s="11"/>
      <c r="G659" s="12">
        <v>20821</v>
      </c>
      <c r="H659" s="12">
        <v>20821</v>
      </c>
      <c r="I659" s="11"/>
      <c r="J659" s="11" t="s">
        <v>45</v>
      </c>
      <c r="K659" s="11" t="s">
        <v>30</v>
      </c>
      <c r="L659" s="11" t="s">
        <v>18039</v>
      </c>
    </row>
    <row r="660" spans="1:12" ht="13.15" x14ac:dyDescent="0.4">
      <c r="A660" s="11" t="s">
        <v>17341</v>
      </c>
      <c r="B660" s="11"/>
      <c r="C660" s="11" t="s">
        <v>6553</v>
      </c>
      <c r="D660" s="11"/>
      <c r="E660" s="11"/>
      <c r="F660" s="11"/>
      <c r="G660" s="12">
        <v>20821</v>
      </c>
      <c r="H660" s="12">
        <v>20821</v>
      </c>
      <c r="I660" s="11"/>
      <c r="J660" s="11" t="s">
        <v>45</v>
      </c>
      <c r="K660" s="11" t="s">
        <v>30</v>
      </c>
      <c r="L660" s="11" t="s">
        <v>18031</v>
      </c>
    </row>
    <row r="661" spans="1:12" ht="13.15" x14ac:dyDescent="0.4">
      <c r="A661" s="11" t="s">
        <v>17316</v>
      </c>
      <c r="B661" s="11"/>
      <c r="C661" s="11" t="s">
        <v>6553</v>
      </c>
      <c r="D661" s="11"/>
      <c r="E661" s="11"/>
      <c r="F661" s="11"/>
      <c r="G661" s="12">
        <v>20821</v>
      </c>
      <c r="H661" s="12">
        <v>20821</v>
      </c>
      <c r="I661" s="11"/>
      <c r="J661" s="11" t="s">
        <v>45</v>
      </c>
      <c r="K661" s="11" t="s">
        <v>30</v>
      </c>
      <c r="L661" s="11" t="s">
        <v>18066</v>
      </c>
    </row>
    <row r="662" spans="1:12" ht="13.15" x14ac:dyDescent="0.4">
      <c r="A662" s="11" t="s">
        <v>17206</v>
      </c>
      <c r="B662" s="11"/>
      <c r="C662" s="11" t="s">
        <v>6553</v>
      </c>
      <c r="D662" s="11"/>
      <c r="E662" s="11"/>
      <c r="F662" s="11"/>
      <c r="G662" s="12">
        <v>20821</v>
      </c>
      <c r="H662" s="12">
        <v>20821</v>
      </c>
      <c r="I662" s="11"/>
      <c r="J662" s="11" t="s">
        <v>45</v>
      </c>
      <c r="K662" s="11" t="s">
        <v>30</v>
      </c>
      <c r="L662" s="11" t="s">
        <v>18186</v>
      </c>
    </row>
    <row r="663" spans="1:12" ht="13.15" x14ac:dyDescent="0.4">
      <c r="A663" s="11" t="s">
        <v>17228</v>
      </c>
      <c r="B663" s="11"/>
      <c r="C663" s="11" t="s">
        <v>6553</v>
      </c>
      <c r="D663" s="11"/>
      <c r="E663" s="11"/>
      <c r="F663" s="11"/>
      <c r="G663" s="12">
        <v>20821</v>
      </c>
      <c r="H663" s="12">
        <v>20821</v>
      </c>
      <c r="I663" s="11"/>
      <c r="J663" s="11" t="s">
        <v>45</v>
      </c>
      <c r="K663" s="11" t="s">
        <v>30</v>
      </c>
      <c r="L663" s="11" t="s">
        <v>18163</v>
      </c>
    </row>
    <row r="664" spans="1:12" ht="13.15" x14ac:dyDescent="0.4">
      <c r="A664" s="11" t="s">
        <v>17228</v>
      </c>
      <c r="B664" s="11"/>
      <c r="C664" s="11" t="s">
        <v>6553</v>
      </c>
      <c r="D664" s="11"/>
      <c r="E664" s="11"/>
      <c r="F664" s="11"/>
      <c r="G664" s="12">
        <v>20821</v>
      </c>
      <c r="H664" s="12">
        <v>20821</v>
      </c>
      <c r="I664" s="11"/>
      <c r="J664" s="11" t="s">
        <v>45</v>
      </c>
      <c r="K664" s="11" t="s">
        <v>30</v>
      </c>
      <c r="L664" s="11" t="s">
        <v>18130</v>
      </c>
    </row>
    <row r="665" spans="1:12" ht="13.15" x14ac:dyDescent="0.4">
      <c r="A665" s="11" t="s">
        <v>16803</v>
      </c>
      <c r="B665" s="11"/>
      <c r="C665" s="11" t="s">
        <v>6553</v>
      </c>
      <c r="D665" s="11"/>
      <c r="E665" s="11"/>
      <c r="F665" s="11"/>
      <c r="G665" s="12">
        <v>23743</v>
      </c>
      <c r="H665" s="12">
        <v>23743</v>
      </c>
      <c r="I665" s="11"/>
      <c r="J665" s="11" t="s">
        <v>45</v>
      </c>
      <c r="K665" s="11" t="s">
        <v>30</v>
      </c>
      <c r="L665" s="11" t="s">
        <v>18590</v>
      </c>
    </row>
    <row r="666" spans="1:12" ht="13.15" x14ac:dyDescent="0.4">
      <c r="A666" s="11" t="s">
        <v>17218</v>
      </c>
      <c r="B666" s="11"/>
      <c r="C666" s="11" t="s">
        <v>6553</v>
      </c>
      <c r="D666" s="11"/>
      <c r="E666" s="11"/>
      <c r="F666" s="11"/>
      <c r="G666" s="12">
        <v>20821</v>
      </c>
      <c r="H666" s="12">
        <v>20821</v>
      </c>
      <c r="I666" s="11"/>
      <c r="J666" s="11" t="s">
        <v>45</v>
      </c>
      <c r="K666" s="11" t="s">
        <v>30</v>
      </c>
      <c r="L666" s="11" t="s">
        <v>18173</v>
      </c>
    </row>
    <row r="667" spans="1:12" ht="13.15" x14ac:dyDescent="0.4">
      <c r="A667" s="11" t="s">
        <v>17089</v>
      </c>
      <c r="B667" s="11"/>
      <c r="C667" s="11" t="s">
        <v>6977</v>
      </c>
      <c r="D667" s="11"/>
      <c r="E667" s="11"/>
      <c r="F667" s="11"/>
      <c r="G667" s="12">
        <v>21820</v>
      </c>
      <c r="H667" s="12">
        <v>21820</v>
      </c>
      <c r="I667" s="11"/>
      <c r="J667" s="11" t="s">
        <v>45</v>
      </c>
      <c r="K667" s="11" t="s">
        <v>30</v>
      </c>
      <c r="L667" s="11" t="s">
        <v>18305</v>
      </c>
    </row>
    <row r="668" spans="1:12" ht="13.15" x14ac:dyDescent="0.4">
      <c r="A668" s="11" t="s">
        <v>17003</v>
      </c>
      <c r="B668" s="11"/>
      <c r="C668" s="11" t="s">
        <v>6977</v>
      </c>
      <c r="D668" s="11"/>
      <c r="E668" s="11"/>
      <c r="F668" s="11" t="s">
        <v>17004</v>
      </c>
      <c r="G668" s="12">
        <v>21820</v>
      </c>
      <c r="H668" s="12">
        <v>21820</v>
      </c>
      <c r="I668" s="11"/>
      <c r="J668" s="11" t="s">
        <v>45</v>
      </c>
      <c r="K668" s="11" t="s">
        <v>30</v>
      </c>
      <c r="L668" s="11" t="s">
        <v>18391</v>
      </c>
    </row>
    <row r="669" spans="1:12" ht="13.15" x14ac:dyDescent="0.4">
      <c r="A669" s="11" t="s">
        <v>16903</v>
      </c>
      <c r="B669" s="11"/>
      <c r="C669" s="11" t="s">
        <v>6977</v>
      </c>
      <c r="D669" s="11"/>
      <c r="E669" s="11"/>
      <c r="F669" s="11"/>
      <c r="G669" s="12">
        <v>22828</v>
      </c>
      <c r="H669" s="12">
        <v>22828</v>
      </c>
      <c r="I669" s="11"/>
      <c r="J669" s="11" t="s">
        <v>45</v>
      </c>
      <c r="K669" s="11" t="s">
        <v>30</v>
      </c>
      <c r="L669" s="11" t="s">
        <v>18487</v>
      </c>
    </row>
    <row r="670" spans="1:12" ht="13.15" x14ac:dyDescent="0.4">
      <c r="A670" s="11" t="s">
        <v>16804</v>
      </c>
      <c r="B670" s="11"/>
      <c r="C670" s="11" t="s">
        <v>6977</v>
      </c>
      <c r="D670" s="11"/>
      <c r="E670" s="11"/>
      <c r="F670" s="11"/>
      <c r="G670" s="12">
        <v>24339</v>
      </c>
      <c r="H670" s="12">
        <v>24339</v>
      </c>
      <c r="I670" s="11"/>
      <c r="J670" s="11" t="s">
        <v>45</v>
      </c>
      <c r="K670" s="11" t="s">
        <v>30</v>
      </c>
      <c r="L670" s="11" t="s">
        <v>18589</v>
      </c>
    </row>
    <row r="671" spans="1:12" ht="13.15" x14ac:dyDescent="0.4">
      <c r="A671" s="11" t="s">
        <v>17061</v>
      </c>
      <c r="B671" s="11"/>
      <c r="C671" s="11" t="s">
        <v>6977</v>
      </c>
      <c r="D671" s="11"/>
      <c r="E671" s="11"/>
      <c r="F671" s="11"/>
      <c r="G671" s="12">
        <v>21820</v>
      </c>
      <c r="H671" s="12">
        <v>21820</v>
      </c>
      <c r="I671" s="11"/>
      <c r="J671" s="11" t="s">
        <v>45</v>
      </c>
      <c r="K671" s="11" t="s">
        <v>30</v>
      </c>
      <c r="L671" s="11" t="s">
        <v>18334</v>
      </c>
    </row>
    <row r="672" spans="1:12" ht="13.15" x14ac:dyDescent="0.4">
      <c r="A672" s="11" t="s">
        <v>17131</v>
      </c>
      <c r="B672" s="11"/>
      <c r="C672" s="11" t="s">
        <v>6977</v>
      </c>
      <c r="D672" s="11"/>
      <c r="E672" s="11" t="s">
        <v>17132</v>
      </c>
      <c r="F672" s="11"/>
      <c r="G672" s="12">
        <v>21820</v>
      </c>
      <c r="H672" s="12">
        <v>21820</v>
      </c>
      <c r="I672" s="11"/>
      <c r="J672" s="11" t="s">
        <v>45</v>
      </c>
      <c r="K672" s="11" t="s">
        <v>30</v>
      </c>
      <c r="L672" s="11" t="s">
        <v>18259</v>
      </c>
    </row>
    <row r="673" spans="1:12" ht="13.15" x14ac:dyDescent="0.4">
      <c r="A673" s="11" t="s">
        <v>16978</v>
      </c>
      <c r="B673" s="11"/>
      <c r="C673" s="11" t="s">
        <v>6977</v>
      </c>
      <c r="D673" s="11"/>
      <c r="E673" s="11" t="s">
        <v>16979</v>
      </c>
      <c r="F673" s="11"/>
      <c r="G673" s="12">
        <v>21820</v>
      </c>
      <c r="H673" s="12">
        <v>21820</v>
      </c>
      <c r="I673" s="11"/>
      <c r="J673" s="11" t="s">
        <v>45</v>
      </c>
      <c r="K673" s="11" t="s">
        <v>30</v>
      </c>
      <c r="L673" s="11" t="s">
        <v>18414</v>
      </c>
    </row>
    <row r="674" spans="1:12" ht="13.15" x14ac:dyDescent="0.4">
      <c r="A674" s="11" t="s">
        <v>16997</v>
      </c>
      <c r="B674" s="11"/>
      <c r="C674" s="11" t="s">
        <v>6977</v>
      </c>
      <c r="D674" s="11"/>
      <c r="E674" s="11" t="s">
        <v>16979</v>
      </c>
      <c r="F674" s="11"/>
      <c r="G674" s="12">
        <v>21820</v>
      </c>
      <c r="H674" s="12">
        <v>21820</v>
      </c>
      <c r="I674" s="11"/>
      <c r="J674" s="11" t="s">
        <v>45</v>
      </c>
      <c r="K674" s="11" t="s">
        <v>30</v>
      </c>
      <c r="L674" s="11" t="s">
        <v>18397</v>
      </c>
    </row>
    <row r="675" spans="1:12" ht="13.15" x14ac:dyDescent="0.4">
      <c r="A675" s="11" t="s">
        <v>16947</v>
      </c>
      <c r="B675" s="11"/>
      <c r="C675" s="11" t="s">
        <v>6977</v>
      </c>
      <c r="D675" s="11"/>
      <c r="E675" s="11"/>
      <c r="F675" s="11"/>
      <c r="G675" s="12">
        <v>22537</v>
      </c>
      <c r="H675" s="12">
        <v>22537</v>
      </c>
      <c r="I675" s="11"/>
      <c r="J675" s="11" t="s">
        <v>45</v>
      </c>
      <c r="K675" s="11" t="s">
        <v>30</v>
      </c>
      <c r="L675" s="11" t="s">
        <v>18445</v>
      </c>
    </row>
    <row r="676" spans="1:12" ht="13.15" x14ac:dyDescent="0.4">
      <c r="A676" s="11" t="s">
        <v>16899</v>
      </c>
      <c r="B676" s="11"/>
      <c r="C676" s="11" t="s">
        <v>6977</v>
      </c>
      <c r="D676" s="11"/>
      <c r="E676" s="11"/>
      <c r="F676" s="11"/>
      <c r="G676" s="12">
        <v>22778</v>
      </c>
      <c r="H676" s="12">
        <v>22778</v>
      </c>
      <c r="I676" s="11"/>
      <c r="J676" s="11" t="s">
        <v>45</v>
      </c>
      <c r="K676" s="11" t="s">
        <v>30</v>
      </c>
      <c r="L676" s="11" t="s">
        <v>18491</v>
      </c>
    </row>
    <row r="677" spans="1:12" ht="13.15" x14ac:dyDescent="0.4">
      <c r="A677" s="11" t="s">
        <v>16698</v>
      </c>
      <c r="B677" s="11"/>
      <c r="C677" s="11" t="s">
        <v>6977</v>
      </c>
      <c r="D677" s="11"/>
      <c r="E677" s="11"/>
      <c r="F677" s="11"/>
      <c r="G677" s="12">
        <v>24447</v>
      </c>
      <c r="H677" s="12">
        <v>24447</v>
      </c>
      <c r="I677" s="11"/>
      <c r="J677" s="11" t="s">
        <v>45</v>
      </c>
      <c r="K677" s="11" t="s">
        <v>30</v>
      </c>
      <c r="L677" s="11" t="s">
        <v>18694</v>
      </c>
    </row>
    <row r="678" spans="1:12" ht="13.15" x14ac:dyDescent="0.4">
      <c r="A678" s="11" t="s">
        <v>16996</v>
      </c>
      <c r="B678" s="11"/>
      <c r="C678" s="11" t="s">
        <v>6977</v>
      </c>
      <c r="D678" s="11"/>
      <c r="E678" s="11"/>
      <c r="F678" s="11"/>
      <c r="G678" s="12">
        <v>21820</v>
      </c>
      <c r="H678" s="12">
        <v>21820</v>
      </c>
      <c r="I678" s="11"/>
      <c r="J678" s="11" t="s">
        <v>45</v>
      </c>
      <c r="K678" s="11" t="s">
        <v>30</v>
      </c>
      <c r="L678" s="11" t="s">
        <v>18398</v>
      </c>
    </row>
    <row r="679" spans="1:12" ht="13.15" x14ac:dyDescent="0.4">
      <c r="A679" s="11" t="s">
        <v>16902</v>
      </c>
      <c r="B679" s="11"/>
      <c r="C679" s="11" t="s">
        <v>6977</v>
      </c>
      <c r="D679" s="11"/>
      <c r="E679" s="11"/>
      <c r="F679" s="11"/>
      <c r="G679" s="12">
        <v>22890</v>
      </c>
      <c r="H679" s="12">
        <v>22890</v>
      </c>
      <c r="I679" s="11"/>
      <c r="J679" s="11" t="s">
        <v>45</v>
      </c>
      <c r="K679" s="11" t="s">
        <v>30</v>
      </c>
      <c r="L679" s="11" t="s">
        <v>18488</v>
      </c>
    </row>
    <row r="680" spans="1:12" ht="13.15" x14ac:dyDescent="0.4">
      <c r="A680" s="11" t="s">
        <v>17052</v>
      </c>
      <c r="B680" s="11"/>
      <c r="C680" s="11" t="s">
        <v>6977</v>
      </c>
      <c r="D680" s="11"/>
      <c r="E680" s="11"/>
      <c r="F680" s="11"/>
      <c r="G680" s="12">
        <v>22511</v>
      </c>
      <c r="H680" s="12">
        <v>22511</v>
      </c>
      <c r="I680" s="11"/>
      <c r="J680" s="11" t="s">
        <v>45</v>
      </c>
      <c r="K680" s="11" t="s">
        <v>30</v>
      </c>
      <c r="L680" s="11" t="s">
        <v>18343</v>
      </c>
    </row>
    <row r="681" spans="1:12" ht="13.15" x14ac:dyDescent="0.4">
      <c r="A681" s="11" t="s">
        <v>16896</v>
      </c>
      <c r="B681" s="11"/>
      <c r="C681" s="11" t="s">
        <v>6977</v>
      </c>
      <c r="D681" s="11"/>
      <c r="E681" s="11"/>
      <c r="F681" s="11"/>
      <c r="G681" s="12">
        <v>22671</v>
      </c>
      <c r="H681" s="12">
        <v>22671</v>
      </c>
      <c r="I681" s="11"/>
      <c r="J681" s="11" t="s">
        <v>45</v>
      </c>
      <c r="K681" s="11" t="s">
        <v>30</v>
      </c>
      <c r="L681" s="11" t="s">
        <v>18494</v>
      </c>
    </row>
    <row r="682" spans="1:12" ht="13.15" x14ac:dyDescent="0.4">
      <c r="A682" s="11" t="s">
        <v>17078</v>
      </c>
      <c r="B682" s="11"/>
      <c r="C682" s="11" t="s">
        <v>6977</v>
      </c>
      <c r="D682" s="11"/>
      <c r="E682" s="11"/>
      <c r="F682" s="11"/>
      <c r="G682" s="12">
        <v>21820</v>
      </c>
      <c r="H682" s="12">
        <v>21820</v>
      </c>
      <c r="I682" s="11"/>
      <c r="J682" s="11" t="s">
        <v>45</v>
      </c>
      <c r="K682" s="11" t="s">
        <v>30</v>
      </c>
      <c r="L682" s="11" t="s">
        <v>18317</v>
      </c>
    </row>
    <row r="683" spans="1:12" ht="13.15" x14ac:dyDescent="0.4">
      <c r="A683" s="11" t="s">
        <v>16883</v>
      </c>
      <c r="B683" s="11"/>
      <c r="C683" s="11" t="s">
        <v>6977</v>
      </c>
      <c r="D683" s="11"/>
      <c r="E683" s="11"/>
      <c r="F683" s="11"/>
      <c r="G683" s="12">
        <v>22920</v>
      </c>
      <c r="H683" s="12">
        <v>22920</v>
      </c>
      <c r="I683" s="11"/>
      <c r="J683" s="11" t="s">
        <v>45</v>
      </c>
      <c r="K683" s="11" t="s">
        <v>30</v>
      </c>
      <c r="L683" s="11" t="s">
        <v>18507</v>
      </c>
    </row>
    <row r="684" spans="1:12" ht="13.15" x14ac:dyDescent="0.4">
      <c r="A684" s="11" t="s">
        <v>17048</v>
      </c>
      <c r="B684" s="11"/>
      <c r="C684" s="11" t="s">
        <v>6977</v>
      </c>
      <c r="D684" s="11"/>
      <c r="E684" s="11"/>
      <c r="F684" s="11"/>
      <c r="G684" s="12">
        <v>22241</v>
      </c>
      <c r="H684" s="12">
        <v>22241</v>
      </c>
      <c r="I684" s="11"/>
      <c r="J684" s="11" t="s">
        <v>45</v>
      </c>
      <c r="K684" s="11" t="s">
        <v>30</v>
      </c>
      <c r="L684" s="11" t="s">
        <v>18347</v>
      </c>
    </row>
    <row r="685" spans="1:12" ht="13.15" x14ac:dyDescent="0.4">
      <c r="A685" s="11" t="s">
        <v>16735</v>
      </c>
      <c r="B685" s="11"/>
      <c r="C685" s="11" t="s">
        <v>6977</v>
      </c>
      <c r="D685" s="11"/>
      <c r="E685" s="11"/>
      <c r="F685" s="11"/>
      <c r="G685" s="12">
        <v>25304</v>
      </c>
      <c r="H685" s="12">
        <v>25304</v>
      </c>
      <c r="I685" s="11"/>
      <c r="J685" s="11" t="s">
        <v>45</v>
      </c>
      <c r="K685" s="11" t="s">
        <v>30</v>
      </c>
      <c r="L685" s="11" t="s">
        <v>18658</v>
      </c>
    </row>
    <row r="686" spans="1:12" ht="13.15" x14ac:dyDescent="0.4">
      <c r="A686" s="11" t="s">
        <v>17159</v>
      </c>
      <c r="B686" s="11"/>
      <c r="C686" s="11" t="s">
        <v>6977</v>
      </c>
      <c r="D686" s="11"/>
      <c r="E686" s="11"/>
      <c r="F686" s="11"/>
      <c r="G686" s="12">
        <v>21820</v>
      </c>
      <c r="H686" s="12">
        <v>21820</v>
      </c>
      <c r="I686" s="11"/>
      <c r="J686" s="11" t="s">
        <v>45</v>
      </c>
      <c r="K686" s="11" t="s">
        <v>30</v>
      </c>
      <c r="L686" s="11" t="s">
        <v>18232</v>
      </c>
    </row>
    <row r="687" spans="1:12" ht="13.15" x14ac:dyDescent="0.4">
      <c r="A687" s="11" t="s">
        <v>17040</v>
      </c>
      <c r="B687" s="11"/>
      <c r="C687" s="11" t="s">
        <v>6977</v>
      </c>
      <c r="D687" s="11"/>
      <c r="E687" s="11"/>
      <c r="F687" s="11"/>
      <c r="G687" s="12">
        <v>21820</v>
      </c>
      <c r="H687" s="12">
        <v>21820</v>
      </c>
      <c r="I687" s="11"/>
      <c r="J687" s="11" t="s">
        <v>45</v>
      </c>
      <c r="K687" s="11" t="s">
        <v>30</v>
      </c>
      <c r="L687" s="11" t="s">
        <v>18355</v>
      </c>
    </row>
    <row r="688" spans="1:12" ht="13.15" x14ac:dyDescent="0.4">
      <c r="A688" s="11" t="s">
        <v>16767</v>
      </c>
      <c r="B688" s="11"/>
      <c r="C688" s="11" t="s">
        <v>6977</v>
      </c>
      <c r="D688" s="11"/>
      <c r="E688" s="11"/>
      <c r="F688" s="11"/>
      <c r="G688" s="12">
        <v>24572</v>
      </c>
      <c r="H688" s="12">
        <v>24572</v>
      </c>
      <c r="I688" s="11"/>
      <c r="J688" s="11" t="s">
        <v>45</v>
      </c>
      <c r="K688" s="11" t="s">
        <v>30</v>
      </c>
      <c r="L688" s="11" t="s">
        <v>18626</v>
      </c>
    </row>
    <row r="689" spans="1:12" ht="13.15" x14ac:dyDescent="0.4">
      <c r="A689" s="11" t="s">
        <v>16847</v>
      </c>
      <c r="B689" s="11"/>
      <c r="C689" s="11" t="s">
        <v>6977</v>
      </c>
      <c r="D689" s="11"/>
      <c r="E689" s="11"/>
      <c r="F689" s="11"/>
      <c r="G689" s="12">
        <v>23578</v>
      </c>
      <c r="H689" s="12">
        <v>23578</v>
      </c>
      <c r="I689" s="11"/>
      <c r="J689" s="11" t="s">
        <v>45</v>
      </c>
      <c r="K689" s="11" t="s">
        <v>30</v>
      </c>
      <c r="L689" s="11" t="s">
        <v>18545</v>
      </c>
    </row>
    <row r="690" spans="1:12" ht="13.15" x14ac:dyDescent="0.4">
      <c r="A690" s="11" t="s">
        <v>16847</v>
      </c>
      <c r="B690" s="11"/>
      <c r="C690" s="11" t="s">
        <v>6977</v>
      </c>
      <c r="D690" s="11"/>
      <c r="E690" s="11"/>
      <c r="F690" s="11"/>
      <c r="G690" s="12">
        <v>23578</v>
      </c>
      <c r="H690" s="12">
        <v>23578</v>
      </c>
      <c r="I690" s="11"/>
      <c r="J690" s="11" t="s">
        <v>45</v>
      </c>
      <c r="K690" s="11" t="s">
        <v>30</v>
      </c>
      <c r="L690" s="11" t="s">
        <v>18535</v>
      </c>
    </row>
    <row r="691" spans="1:12" ht="13.15" x14ac:dyDescent="0.4">
      <c r="A691" s="11" t="s">
        <v>17009</v>
      </c>
      <c r="B691" s="11"/>
      <c r="C691" s="11" t="s">
        <v>6977</v>
      </c>
      <c r="D691" s="11"/>
      <c r="E691" s="11"/>
      <c r="F691" s="11"/>
      <c r="G691" s="12">
        <v>21820</v>
      </c>
      <c r="H691" s="12">
        <v>21820</v>
      </c>
      <c r="I691" s="11"/>
      <c r="J691" s="11" t="s">
        <v>45</v>
      </c>
      <c r="K691" s="11" t="s">
        <v>30</v>
      </c>
      <c r="L691" s="11" t="s">
        <v>18386</v>
      </c>
    </row>
    <row r="692" spans="1:12" ht="13.15" x14ac:dyDescent="0.4">
      <c r="A692" s="11" t="s">
        <v>16873</v>
      </c>
      <c r="B692" s="11"/>
      <c r="C692" s="11" t="s">
        <v>6977</v>
      </c>
      <c r="D692" s="11"/>
      <c r="E692" s="11"/>
      <c r="F692" s="11"/>
      <c r="G692" s="12">
        <v>23012</v>
      </c>
      <c r="H692" s="12">
        <v>23012</v>
      </c>
      <c r="I692" s="11"/>
      <c r="J692" s="11" t="s">
        <v>45</v>
      </c>
      <c r="K692" s="11" t="s">
        <v>30</v>
      </c>
      <c r="L692" s="11" t="s">
        <v>18518</v>
      </c>
    </row>
    <row r="693" spans="1:12" ht="13.15" x14ac:dyDescent="0.4">
      <c r="A693" s="11" t="s">
        <v>16773</v>
      </c>
      <c r="B693" s="11"/>
      <c r="C693" s="11" t="s">
        <v>6977</v>
      </c>
      <c r="D693" s="11"/>
      <c r="E693" s="11"/>
      <c r="F693" s="11"/>
      <c r="G693" s="12">
        <v>24826</v>
      </c>
      <c r="H693" s="12">
        <v>24826</v>
      </c>
      <c r="I693" s="11"/>
      <c r="J693" s="11" t="s">
        <v>45</v>
      </c>
      <c r="K693" s="11" t="s">
        <v>30</v>
      </c>
      <c r="L693" s="11" t="s">
        <v>18620</v>
      </c>
    </row>
    <row r="694" spans="1:12" ht="13.15" x14ac:dyDescent="0.4">
      <c r="A694" s="11" t="s">
        <v>16729</v>
      </c>
      <c r="B694" s="11"/>
      <c r="C694" s="11" t="s">
        <v>6977</v>
      </c>
      <c r="D694" s="11"/>
      <c r="E694" s="11"/>
      <c r="F694" s="11"/>
      <c r="G694" s="12">
        <v>24976</v>
      </c>
      <c r="H694" s="12">
        <v>24976</v>
      </c>
      <c r="I694" s="11"/>
      <c r="J694" s="11" t="s">
        <v>45</v>
      </c>
      <c r="K694" s="11" t="s">
        <v>30</v>
      </c>
      <c r="L694" s="11" t="s">
        <v>18664</v>
      </c>
    </row>
    <row r="695" spans="1:12" ht="13.15" x14ac:dyDescent="0.4">
      <c r="A695" s="11" t="s">
        <v>16759</v>
      </c>
      <c r="B695" s="11"/>
      <c r="C695" s="11" t="s">
        <v>6977</v>
      </c>
      <c r="D695" s="11"/>
      <c r="E695" s="11"/>
      <c r="F695" s="11"/>
      <c r="G695" s="12">
        <v>24838</v>
      </c>
      <c r="H695" s="12">
        <v>24838</v>
      </c>
      <c r="I695" s="11"/>
      <c r="J695" s="11" t="s">
        <v>45</v>
      </c>
      <c r="K695" s="11" t="s">
        <v>30</v>
      </c>
      <c r="L695" s="11" t="s">
        <v>18634</v>
      </c>
    </row>
    <row r="696" spans="1:12" ht="13.15" x14ac:dyDescent="0.4">
      <c r="A696" s="11" t="s">
        <v>16751</v>
      </c>
      <c r="B696" s="11"/>
      <c r="C696" s="11" t="s">
        <v>6977</v>
      </c>
      <c r="D696" s="11"/>
      <c r="E696" s="11"/>
      <c r="F696" s="11"/>
      <c r="G696" s="12">
        <v>24742</v>
      </c>
      <c r="H696" s="12">
        <v>24742</v>
      </c>
      <c r="I696" s="11"/>
      <c r="J696" s="11" t="s">
        <v>45</v>
      </c>
      <c r="K696" s="11" t="s">
        <v>30</v>
      </c>
      <c r="L696" s="11" t="s">
        <v>18642</v>
      </c>
    </row>
    <row r="697" spans="1:12" ht="13.15" x14ac:dyDescent="0.4">
      <c r="A697" s="11" t="s">
        <v>16987</v>
      </c>
      <c r="B697" s="11"/>
      <c r="C697" s="11" t="s">
        <v>6977</v>
      </c>
      <c r="D697" s="11"/>
      <c r="E697" s="11"/>
      <c r="F697" s="11"/>
      <c r="G697" s="12">
        <v>22264</v>
      </c>
      <c r="H697" s="12">
        <v>22264</v>
      </c>
      <c r="I697" s="11"/>
      <c r="J697" s="11" t="s">
        <v>45</v>
      </c>
      <c r="K697" s="11" t="s">
        <v>30</v>
      </c>
      <c r="L697" s="11" t="s">
        <v>18406</v>
      </c>
    </row>
    <row r="698" spans="1:12" ht="13.15" x14ac:dyDescent="0.4">
      <c r="A698" s="11" t="s">
        <v>17041</v>
      </c>
      <c r="B698" s="11"/>
      <c r="C698" s="11" t="s">
        <v>6977</v>
      </c>
      <c r="D698" s="11"/>
      <c r="E698" s="11"/>
      <c r="F698" s="11"/>
      <c r="G698" s="12">
        <v>22306</v>
      </c>
      <c r="H698" s="12">
        <v>22306</v>
      </c>
      <c r="I698" s="11"/>
      <c r="J698" s="11" t="s">
        <v>45</v>
      </c>
      <c r="K698" s="11" t="s">
        <v>30</v>
      </c>
      <c r="L698" s="11" t="s">
        <v>18354</v>
      </c>
    </row>
    <row r="699" spans="1:12" ht="13.15" x14ac:dyDescent="0.4">
      <c r="A699" s="11" t="s">
        <v>17062</v>
      </c>
      <c r="B699" s="11"/>
      <c r="C699" s="11" t="s">
        <v>6977</v>
      </c>
      <c r="D699" s="11"/>
      <c r="E699" s="11"/>
      <c r="F699" s="11"/>
      <c r="G699" s="12">
        <v>21820</v>
      </c>
      <c r="H699" s="12">
        <v>21820</v>
      </c>
      <c r="I699" s="11"/>
      <c r="J699" s="11" t="s">
        <v>45</v>
      </c>
      <c r="K699" s="11" t="s">
        <v>30</v>
      </c>
      <c r="L699" s="11" t="s">
        <v>18333</v>
      </c>
    </row>
    <row r="700" spans="1:12" ht="13.15" x14ac:dyDescent="0.4">
      <c r="A700" s="11" t="s">
        <v>17067</v>
      </c>
      <c r="B700" s="11"/>
      <c r="C700" s="11" t="s">
        <v>6977</v>
      </c>
      <c r="D700" s="11"/>
      <c r="E700" s="11"/>
      <c r="F700" s="11"/>
      <c r="G700" s="12">
        <v>21820</v>
      </c>
      <c r="H700" s="12">
        <v>21820</v>
      </c>
      <c r="I700" s="11"/>
      <c r="J700" s="11" t="s">
        <v>45</v>
      </c>
      <c r="K700" s="11" t="s">
        <v>30</v>
      </c>
      <c r="L700" s="11" t="s">
        <v>18328</v>
      </c>
    </row>
    <row r="701" spans="1:12" ht="13.15" x14ac:dyDescent="0.4">
      <c r="A701" s="11" t="s">
        <v>16853</v>
      </c>
      <c r="B701" s="11"/>
      <c r="C701" s="11" t="s">
        <v>6977</v>
      </c>
      <c r="D701" s="11"/>
      <c r="E701" s="11"/>
      <c r="F701" s="11"/>
      <c r="G701" s="12">
        <v>23191</v>
      </c>
      <c r="H701" s="12">
        <v>23191</v>
      </c>
      <c r="I701" s="11"/>
      <c r="J701" s="11" t="s">
        <v>45</v>
      </c>
      <c r="K701" s="11" t="s">
        <v>30</v>
      </c>
      <c r="L701" s="11" t="s">
        <v>18540</v>
      </c>
    </row>
    <row r="702" spans="1:12" ht="13.15" x14ac:dyDescent="0.4">
      <c r="A702" s="11" t="s">
        <v>17047</v>
      </c>
      <c r="B702" s="11"/>
      <c r="C702" s="11" t="s">
        <v>6977</v>
      </c>
      <c r="D702" s="11"/>
      <c r="E702" s="11"/>
      <c r="F702" s="11"/>
      <c r="G702" s="12">
        <v>21820</v>
      </c>
      <c r="H702" s="12">
        <v>21820</v>
      </c>
      <c r="I702" s="11"/>
      <c r="J702" s="11" t="s">
        <v>45</v>
      </c>
      <c r="K702" s="11" t="s">
        <v>30</v>
      </c>
      <c r="L702" s="11" t="s">
        <v>18348</v>
      </c>
    </row>
    <row r="703" spans="1:12" ht="13.15" x14ac:dyDescent="0.4">
      <c r="A703" s="11" t="s">
        <v>16882</v>
      </c>
      <c r="B703" s="11"/>
      <c r="C703" s="11" t="s">
        <v>6977</v>
      </c>
      <c r="D703" s="11"/>
      <c r="E703" s="11"/>
      <c r="F703" s="11"/>
      <c r="G703" s="12">
        <v>22647</v>
      </c>
      <c r="H703" s="12">
        <v>22647</v>
      </c>
      <c r="I703" s="11"/>
      <c r="J703" s="11" t="s">
        <v>45</v>
      </c>
      <c r="K703" s="11" t="s">
        <v>30</v>
      </c>
      <c r="L703" s="11" t="s">
        <v>18508</v>
      </c>
    </row>
    <row r="704" spans="1:12" ht="13.15" x14ac:dyDescent="0.4">
      <c r="A704" s="11" t="s">
        <v>16948</v>
      </c>
      <c r="B704" s="11"/>
      <c r="C704" s="11" t="s">
        <v>6977</v>
      </c>
      <c r="D704" s="11"/>
      <c r="E704" s="11"/>
      <c r="F704" s="11"/>
      <c r="G704" s="12">
        <v>22621</v>
      </c>
      <c r="H704" s="12">
        <v>22621</v>
      </c>
      <c r="I704" s="11"/>
      <c r="J704" s="11" t="s">
        <v>45</v>
      </c>
      <c r="K704" s="11" t="s">
        <v>30</v>
      </c>
      <c r="L704" s="11" t="s">
        <v>18444</v>
      </c>
    </row>
    <row r="705" spans="1:12" ht="13.15" x14ac:dyDescent="0.4">
      <c r="A705" s="11" t="s">
        <v>16910</v>
      </c>
      <c r="B705" s="11"/>
      <c r="C705" s="11" t="s">
        <v>6977</v>
      </c>
      <c r="D705" s="11"/>
      <c r="E705" s="11"/>
      <c r="F705" s="11"/>
      <c r="G705" s="12">
        <v>22647</v>
      </c>
      <c r="H705" s="12">
        <v>22647</v>
      </c>
      <c r="I705" s="11"/>
      <c r="J705" s="11" t="s">
        <v>45</v>
      </c>
      <c r="K705" s="11" t="s">
        <v>30</v>
      </c>
      <c r="L705" s="11" t="s">
        <v>18480</v>
      </c>
    </row>
    <row r="706" spans="1:12" ht="13.15" x14ac:dyDescent="0.4">
      <c r="A706" s="11" t="s">
        <v>17171</v>
      </c>
      <c r="B706" s="11"/>
      <c r="C706" s="11" t="s">
        <v>6977</v>
      </c>
      <c r="D706" s="11"/>
      <c r="E706" s="11" t="s">
        <v>17172</v>
      </c>
      <c r="F706" s="11"/>
      <c r="G706" s="12">
        <v>21820</v>
      </c>
      <c r="H706" s="12">
        <v>21820</v>
      </c>
      <c r="I706" s="11"/>
      <c r="J706" s="11" t="s">
        <v>45</v>
      </c>
      <c r="K706" s="11" t="s">
        <v>30</v>
      </c>
      <c r="L706" s="11" t="s">
        <v>18221</v>
      </c>
    </row>
    <row r="707" spans="1:12" ht="13.15" x14ac:dyDescent="0.4">
      <c r="A707" s="11" t="s">
        <v>16787</v>
      </c>
      <c r="B707" s="11"/>
      <c r="C707" s="11" t="s">
        <v>6977</v>
      </c>
      <c r="D707" s="11"/>
      <c r="E707" s="11"/>
      <c r="F707" s="11"/>
      <c r="G707" s="12">
        <v>23012</v>
      </c>
      <c r="H707" s="12">
        <v>23012</v>
      </c>
      <c r="I707" s="11"/>
      <c r="J707" s="11" t="s">
        <v>45</v>
      </c>
      <c r="K707" s="11" t="s">
        <v>30</v>
      </c>
      <c r="L707" s="11" t="s">
        <v>18606</v>
      </c>
    </row>
    <row r="708" spans="1:12" ht="13.15" x14ac:dyDescent="0.4">
      <c r="A708" s="11" t="s">
        <v>17073</v>
      </c>
      <c r="B708" s="11"/>
      <c r="C708" s="11" t="s">
        <v>6977</v>
      </c>
      <c r="D708" s="11"/>
      <c r="E708" s="11"/>
      <c r="F708" s="11"/>
      <c r="G708" s="12">
        <v>21820</v>
      </c>
      <c r="H708" s="12">
        <v>21820</v>
      </c>
      <c r="I708" s="11"/>
      <c r="J708" s="11" t="s">
        <v>45</v>
      </c>
      <c r="K708" s="11" t="s">
        <v>30</v>
      </c>
      <c r="L708" s="11" t="s">
        <v>18322</v>
      </c>
    </row>
    <row r="709" spans="1:12" ht="13.15" x14ac:dyDescent="0.4">
      <c r="A709" s="11" t="s">
        <v>16937</v>
      </c>
      <c r="B709" s="11"/>
      <c r="C709" s="11" t="s">
        <v>6977</v>
      </c>
      <c r="D709" s="11"/>
      <c r="E709" s="11"/>
      <c r="F709" s="11"/>
      <c r="G709" s="12">
        <v>22677</v>
      </c>
      <c r="H709" s="12">
        <v>22677</v>
      </c>
      <c r="I709" s="11"/>
      <c r="J709" s="11" t="s">
        <v>45</v>
      </c>
      <c r="K709" s="11" t="s">
        <v>30</v>
      </c>
      <c r="L709" s="11" t="s">
        <v>18455</v>
      </c>
    </row>
    <row r="710" spans="1:12" ht="13.15" x14ac:dyDescent="0.4">
      <c r="A710" s="11" t="s">
        <v>16881</v>
      </c>
      <c r="B710" s="11"/>
      <c r="C710" s="11" t="s">
        <v>6977</v>
      </c>
      <c r="D710" s="11"/>
      <c r="E710" s="11"/>
      <c r="F710" s="11"/>
      <c r="G710" s="12">
        <v>22756</v>
      </c>
      <c r="H710" s="12">
        <v>22756</v>
      </c>
      <c r="I710" s="11"/>
      <c r="J710" s="11" t="s">
        <v>45</v>
      </c>
      <c r="K710" s="11" t="s">
        <v>30</v>
      </c>
      <c r="L710" s="11" t="s">
        <v>18509</v>
      </c>
    </row>
    <row r="711" spans="1:12" ht="13.15" x14ac:dyDescent="0.4">
      <c r="A711" s="11" t="s">
        <v>16722</v>
      </c>
      <c r="B711" s="11"/>
      <c r="C711" s="11" t="s">
        <v>6977</v>
      </c>
      <c r="D711" s="11"/>
      <c r="E711" s="11"/>
      <c r="F711" s="11"/>
      <c r="G711" s="12">
        <v>24439</v>
      </c>
      <c r="H711" s="12">
        <v>24439</v>
      </c>
      <c r="I711" s="11"/>
      <c r="J711" s="11" t="s">
        <v>45</v>
      </c>
      <c r="K711" s="11" t="s">
        <v>30</v>
      </c>
      <c r="L711" s="11" t="s">
        <v>18671</v>
      </c>
    </row>
    <row r="712" spans="1:12" ht="13.15" x14ac:dyDescent="0.4">
      <c r="A712" s="11" t="s">
        <v>17069</v>
      </c>
      <c r="B712" s="11"/>
      <c r="C712" s="11" t="s">
        <v>6977</v>
      </c>
      <c r="D712" s="11"/>
      <c r="E712" s="11"/>
      <c r="F712" s="11"/>
      <c r="G712" s="12">
        <v>21820</v>
      </c>
      <c r="H712" s="12">
        <v>21820</v>
      </c>
      <c r="I712" s="11"/>
      <c r="J712" s="11" t="s">
        <v>45</v>
      </c>
      <c r="K712" s="11" t="s">
        <v>30</v>
      </c>
      <c r="L712" s="11" t="s">
        <v>18326</v>
      </c>
    </row>
    <row r="713" spans="1:12" ht="13.15" x14ac:dyDescent="0.4">
      <c r="A713" s="11" t="s">
        <v>17033</v>
      </c>
      <c r="B713" s="11"/>
      <c r="C713" s="11" t="s">
        <v>6977</v>
      </c>
      <c r="D713" s="11"/>
      <c r="E713" s="11"/>
      <c r="F713" s="11"/>
      <c r="G713" s="12">
        <v>22306</v>
      </c>
      <c r="H713" s="12">
        <v>22306</v>
      </c>
      <c r="I713" s="11"/>
      <c r="J713" s="11" t="s">
        <v>45</v>
      </c>
      <c r="K713" s="11" t="s">
        <v>30</v>
      </c>
      <c r="L713" s="11" t="s">
        <v>18362</v>
      </c>
    </row>
    <row r="714" spans="1:12" ht="13.15" x14ac:dyDescent="0.4">
      <c r="A714" s="11" t="s">
        <v>16933</v>
      </c>
      <c r="B714" s="11"/>
      <c r="C714" s="11" t="s">
        <v>6977</v>
      </c>
      <c r="D714" s="11"/>
      <c r="E714" s="11" t="s">
        <v>16934</v>
      </c>
      <c r="F714" s="11"/>
      <c r="G714" s="12">
        <v>22863</v>
      </c>
      <c r="H714" s="12">
        <v>22863</v>
      </c>
      <c r="I714" s="11"/>
      <c r="J714" s="11" t="s">
        <v>45</v>
      </c>
      <c r="K714" s="11" t="s">
        <v>30</v>
      </c>
      <c r="L714" s="11" t="s">
        <v>18458</v>
      </c>
    </row>
    <row r="715" spans="1:12" ht="13.15" x14ac:dyDescent="0.4">
      <c r="A715" s="11" t="s">
        <v>16959</v>
      </c>
      <c r="B715" s="11"/>
      <c r="C715" s="11" t="s">
        <v>6977</v>
      </c>
      <c r="D715" s="11"/>
      <c r="E715" s="11"/>
      <c r="F715" s="11"/>
      <c r="G715" s="12">
        <v>22863</v>
      </c>
      <c r="H715" s="12">
        <v>22863</v>
      </c>
      <c r="I715" s="11"/>
      <c r="J715" s="11" t="s">
        <v>45</v>
      </c>
      <c r="K715" s="11" t="s">
        <v>30</v>
      </c>
      <c r="L715" s="11" t="s">
        <v>18433</v>
      </c>
    </row>
    <row r="716" spans="1:12" ht="13.15" x14ac:dyDescent="0.4">
      <c r="A716" s="11" t="s">
        <v>16925</v>
      </c>
      <c r="B716" s="11"/>
      <c r="C716" s="11" t="s">
        <v>6977</v>
      </c>
      <c r="D716" s="11"/>
      <c r="E716" s="11"/>
      <c r="F716" s="11"/>
      <c r="G716" s="12">
        <v>22935</v>
      </c>
      <c r="H716" s="12">
        <v>22935</v>
      </c>
      <c r="I716" s="11"/>
      <c r="J716" s="11" t="s">
        <v>45</v>
      </c>
      <c r="K716" s="11" t="s">
        <v>30</v>
      </c>
      <c r="L716" s="11" t="s">
        <v>18466</v>
      </c>
    </row>
    <row r="717" spans="1:12" ht="13.15" x14ac:dyDescent="0.4">
      <c r="A717" s="11" t="s">
        <v>17043</v>
      </c>
      <c r="B717" s="11"/>
      <c r="C717" s="11" t="s">
        <v>6977</v>
      </c>
      <c r="D717" s="11"/>
      <c r="E717" s="11"/>
      <c r="F717" s="11"/>
      <c r="G717" s="12">
        <v>21820</v>
      </c>
      <c r="H717" s="12">
        <v>21820</v>
      </c>
      <c r="I717" s="11"/>
      <c r="J717" s="11" t="s">
        <v>45</v>
      </c>
      <c r="K717" s="11" t="s">
        <v>30</v>
      </c>
      <c r="L717" s="11" t="s">
        <v>18352</v>
      </c>
    </row>
    <row r="718" spans="1:12" ht="13.15" x14ac:dyDescent="0.4">
      <c r="A718" s="11" t="s">
        <v>16672</v>
      </c>
      <c r="B718" s="11"/>
      <c r="C718" s="11" t="s">
        <v>6977</v>
      </c>
      <c r="D718" s="11"/>
      <c r="E718" s="11"/>
      <c r="F718" s="11"/>
      <c r="G718" s="12">
        <v>24662</v>
      </c>
      <c r="H718" s="12">
        <v>24662</v>
      </c>
      <c r="I718" s="11"/>
      <c r="J718" s="11" t="s">
        <v>45</v>
      </c>
      <c r="K718" s="11" t="s">
        <v>30</v>
      </c>
      <c r="L718" s="11" t="s">
        <v>18719</v>
      </c>
    </row>
    <row r="719" spans="1:12" ht="13.15" x14ac:dyDescent="0.4">
      <c r="A719" s="11" t="s">
        <v>17154</v>
      </c>
      <c r="B719" s="11"/>
      <c r="C719" s="11" t="s">
        <v>6977</v>
      </c>
      <c r="D719" s="11"/>
      <c r="E719" s="11"/>
      <c r="F719" s="11"/>
      <c r="G719" s="12">
        <v>21820</v>
      </c>
      <c r="H719" s="12">
        <v>21820</v>
      </c>
      <c r="I719" s="11"/>
      <c r="J719" s="11" t="s">
        <v>45</v>
      </c>
      <c r="K719" s="11" t="s">
        <v>30</v>
      </c>
      <c r="L719" s="11" t="s">
        <v>18237</v>
      </c>
    </row>
    <row r="720" spans="1:12" ht="13.15" x14ac:dyDescent="0.4">
      <c r="A720" s="11" t="s">
        <v>17028</v>
      </c>
      <c r="B720" s="11"/>
      <c r="C720" s="11" t="s">
        <v>6977</v>
      </c>
      <c r="D720" s="11"/>
      <c r="E720" s="11"/>
      <c r="F720" s="11"/>
      <c r="G720" s="12">
        <v>21820</v>
      </c>
      <c r="H720" s="12">
        <v>21820</v>
      </c>
      <c r="I720" s="11"/>
      <c r="J720" s="11" t="s">
        <v>45</v>
      </c>
      <c r="K720" s="11" t="s">
        <v>30</v>
      </c>
      <c r="L720" s="11" t="s">
        <v>18367</v>
      </c>
    </row>
    <row r="721" spans="1:12" ht="13.15" x14ac:dyDescent="0.4">
      <c r="A721" s="11" t="s">
        <v>16904</v>
      </c>
      <c r="B721" s="11"/>
      <c r="C721" s="11" t="s">
        <v>6977</v>
      </c>
      <c r="D721" s="11"/>
      <c r="E721" s="11"/>
      <c r="F721" s="11"/>
      <c r="G721" s="12">
        <v>22890</v>
      </c>
      <c r="H721" s="12">
        <v>22890</v>
      </c>
      <c r="I721" s="11"/>
      <c r="J721" s="11" t="s">
        <v>45</v>
      </c>
      <c r="K721" s="11" t="s">
        <v>30</v>
      </c>
      <c r="L721" s="11" t="s">
        <v>18486</v>
      </c>
    </row>
    <row r="722" spans="1:12" ht="13.15" x14ac:dyDescent="0.4">
      <c r="A722" s="11" t="s">
        <v>17034</v>
      </c>
      <c r="B722" s="11"/>
      <c r="C722" s="11" t="s">
        <v>6977</v>
      </c>
      <c r="D722" s="11"/>
      <c r="E722" s="11"/>
      <c r="F722" s="11"/>
      <c r="G722" s="12">
        <v>21820</v>
      </c>
      <c r="H722" s="12">
        <v>21820</v>
      </c>
      <c r="I722" s="11"/>
      <c r="J722" s="11" t="s">
        <v>45</v>
      </c>
      <c r="K722" s="11" t="s">
        <v>30</v>
      </c>
      <c r="L722" s="11" t="s">
        <v>18361</v>
      </c>
    </row>
    <row r="723" spans="1:12" ht="13.15" x14ac:dyDescent="0.4">
      <c r="A723" s="11" t="s">
        <v>17058</v>
      </c>
      <c r="B723" s="11"/>
      <c r="C723" s="11" t="s">
        <v>6977</v>
      </c>
      <c r="D723" s="11"/>
      <c r="E723" s="11"/>
      <c r="F723" s="11"/>
      <c r="G723" s="12">
        <v>21820</v>
      </c>
      <c r="H723" s="12">
        <v>21820</v>
      </c>
      <c r="I723" s="11"/>
      <c r="J723" s="11" t="s">
        <v>45</v>
      </c>
      <c r="K723" s="11" t="s">
        <v>30</v>
      </c>
      <c r="L723" s="11" t="s">
        <v>18337</v>
      </c>
    </row>
    <row r="724" spans="1:12" ht="13.15" x14ac:dyDescent="0.4">
      <c r="A724" s="11" t="s">
        <v>16734</v>
      </c>
      <c r="B724" s="11"/>
      <c r="C724" s="11" t="s">
        <v>6977</v>
      </c>
      <c r="D724" s="11"/>
      <c r="E724" s="11"/>
      <c r="F724" s="11"/>
      <c r="G724" s="12">
        <v>24838</v>
      </c>
      <c r="H724" s="12">
        <v>24838</v>
      </c>
      <c r="I724" s="11"/>
      <c r="J724" s="11" t="s">
        <v>45</v>
      </c>
      <c r="K724" s="11" t="s">
        <v>30</v>
      </c>
      <c r="L724" s="11" t="s">
        <v>18659</v>
      </c>
    </row>
    <row r="725" spans="1:12" ht="13.15" x14ac:dyDescent="0.4">
      <c r="A725" s="11" t="s">
        <v>16981</v>
      </c>
      <c r="B725" s="11"/>
      <c r="C725" s="11" t="s">
        <v>6977</v>
      </c>
      <c r="D725" s="11"/>
      <c r="E725" s="11"/>
      <c r="F725" s="11"/>
      <c r="G725" s="12">
        <v>22068</v>
      </c>
      <c r="H725" s="12">
        <v>22068</v>
      </c>
      <c r="I725" s="11"/>
      <c r="J725" s="11" t="s">
        <v>45</v>
      </c>
      <c r="K725" s="11" t="s">
        <v>30</v>
      </c>
      <c r="L725" s="11" t="s">
        <v>18412</v>
      </c>
    </row>
    <row r="726" spans="1:12" ht="13.15" x14ac:dyDescent="0.4">
      <c r="A726" s="11" t="s">
        <v>16957</v>
      </c>
      <c r="B726" s="11"/>
      <c r="C726" s="11" t="s">
        <v>6977</v>
      </c>
      <c r="D726" s="11"/>
      <c r="E726" s="11"/>
      <c r="F726" s="11"/>
      <c r="G726" s="12">
        <v>22887</v>
      </c>
      <c r="H726" s="12">
        <v>22887</v>
      </c>
      <c r="I726" s="11"/>
      <c r="J726" s="11" t="s">
        <v>45</v>
      </c>
      <c r="K726" s="11" t="s">
        <v>30</v>
      </c>
      <c r="L726" s="11" t="s">
        <v>18435</v>
      </c>
    </row>
    <row r="727" spans="1:12" ht="13.15" x14ac:dyDescent="0.4">
      <c r="A727" s="11" t="s">
        <v>16887</v>
      </c>
      <c r="B727" s="11"/>
      <c r="C727" s="11" t="s">
        <v>6977</v>
      </c>
      <c r="D727" s="11"/>
      <c r="E727" s="11"/>
      <c r="F727" s="11"/>
      <c r="G727" s="12">
        <v>23012</v>
      </c>
      <c r="H727" s="12">
        <v>23012</v>
      </c>
      <c r="I727" s="11"/>
      <c r="J727" s="11" t="s">
        <v>45</v>
      </c>
      <c r="K727" s="11" t="s">
        <v>30</v>
      </c>
      <c r="L727" s="11" t="s">
        <v>18503</v>
      </c>
    </row>
    <row r="728" spans="1:12" ht="13.15" x14ac:dyDescent="0.4">
      <c r="A728" s="11" t="s">
        <v>16977</v>
      </c>
      <c r="B728" s="11"/>
      <c r="C728" s="11" t="s">
        <v>6977</v>
      </c>
      <c r="D728" s="11"/>
      <c r="E728" s="11"/>
      <c r="F728" s="11"/>
      <c r="G728" s="12">
        <v>21820</v>
      </c>
      <c r="H728" s="12">
        <v>21820</v>
      </c>
      <c r="I728" s="11"/>
      <c r="J728" s="11" t="s">
        <v>45</v>
      </c>
      <c r="K728" s="11" t="s">
        <v>30</v>
      </c>
      <c r="L728" s="11" t="s">
        <v>18415</v>
      </c>
    </row>
    <row r="729" spans="1:12" ht="13.15" x14ac:dyDescent="0.4">
      <c r="A729" s="11" t="s">
        <v>16999</v>
      </c>
      <c r="B729" s="11"/>
      <c r="C729" s="11" t="s">
        <v>6977</v>
      </c>
      <c r="D729" s="11"/>
      <c r="E729" s="11"/>
      <c r="F729" s="11"/>
      <c r="G729" s="12">
        <v>21820</v>
      </c>
      <c r="H729" s="12">
        <v>21820</v>
      </c>
      <c r="I729" s="11"/>
      <c r="J729" s="11" t="s">
        <v>45</v>
      </c>
      <c r="K729" s="11" t="s">
        <v>30</v>
      </c>
      <c r="L729" s="11" t="s">
        <v>18395</v>
      </c>
    </row>
    <row r="730" spans="1:12" ht="13.15" x14ac:dyDescent="0.4">
      <c r="A730" s="11" t="s">
        <v>17024</v>
      </c>
      <c r="B730" s="11"/>
      <c r="C730" s="11" t="s">
        <v>6977</v>
      </c>
      <c r="D730" s="11"/>
      <c r="E730" s="11"/>
      <c r="F730" s="11"/>
      <c r="G730" s="12">
        <v>21820</v>
      </c>
      <c r="H730" s="12">
        <v>21820</v>
      </c>
      <c r="I730" s="11"/>
      <c r="J730" s="11" t="s">
        <v>45</v>
      </c>
      <c r="K730" s="11" t="s">
        <v>30</v>
      </c>
      <c r="L730" s="11" t="s">
        <v>18371</v>
      </c>
    </row>
    <row r="731" spans="1:12" ht="13.15" x14ac:dyDescent="0.4">
      <c r="A731" s="11" t="s">
        <v>16980</v>
      </c>
      <c r="B731" s="11"/>
      <c r="C731" s="11" t="s">
        <v>6977</v>
      </c>
      <c r="D731" s="11"/>
      <c r="E731" s="11"/>
      <c r="F731" s="11"/>
      <c r="G731" s="12">
        <v>21820</v>
      </c>
      <c r="H731" s="12">
        <v>21820</v>
      </c>
      <c r="I731" s="11"/>
      <c r="J731" s="11" t="s">
        <v>45</v>
      </c>
      <c r="K731" s="11" t="s">
        <v>30</v>
      </c>
      <c r="L731" s="11" t="s">
        <v>18413</v>
      </c>
    </row>
    <row r="732" spans="1:12" ht="13.15" x14ac:dyDescent="0.4">
      <c r="A732" s="11" t="s">
        <v>16906</v>
      </c>
      <c r="B732" s="11"/>
      <c r="C732" s="11" t="s">
        <v>6977</v>
      </c>
      <c r="D732" s="11"/>
      <c r="E732" s="11"/>
      <c r="F732" s="11"/>
      <c r="G732" s="12">
        <v>22557</v>
      </c>
      <c r="H732" s="12">
        <v>22557</v>
      </c>
      <c r="I732" s="11"/>
      <c r="J732" s="11" t="s">
        <v>45</v>
      </c>
      <c r="K732" s="11" t="s">
        <v>30</v>
      </c>
      <c r="L732" s="11" t="s">
        <v>18484</v>
      </c>
    </row>
    <row r="733" spans="1:12" ht="13.15" x14ac:dyDescent="0.4">
      <c r="A733" s="11" t="s">
        <v>16993</v>
      </c>
      <c r="B733" s="11"/>
      <c r="C733" s="11" t="s">
        <v>6977</v>
      </c>
      <c r="D733" s="11"/>
      <c r="E733" s="11"/>
      <c r="F733" s="11"/>
      <c r="G733" s="12">
        <v>22243</v>
      </c>
      <c r="H733" s="12">
        <v>22243</v>
      </c>
      <c r="I733" s="11"/>
      <c r="J733" s="11" t="s">
        <v>45</v>
      </c>
      <c r="K733" s="11" t="s">
        <v>30</v>
      </c>
      <c r="L733" s="11" t="s">
        <v>18400</v>
      </c>
    </row>
    <row r="734" spans="1:12" ht="13.15" x14ac:dyDescent="0.4">
      <c r="A734" s="11" t="s">
        <v>16928</v>
      </c>
      <c r="B734" s="11"/>
      <c r="C734" s="11" t="s">
        <v>6977</v>
      </c>
      <c r="D734" s="11"/>
      <c r="E734" s="11"/>
      <c r="F734" s="11"/>
      <c r="G734" s="12">
        <v>22618</v>
      </c>
      <c r="H734" s="12">
        <v>22618</v>
      </c>
      <c r="I734" s="11"/>
      <c r="J734" s="11" t="s">
        <v>45</v>
      </c>
      <c r="K734" s="11" t="s">
        <v>30</v>
      </c>
      <c r="L734" s="11" t="s">
        <v>18463</v>
      </c>
    </row>
    <row r="735" spans="1:12" ht="13.15" x14ac:dyDescent="0.4">
      <c r="A735" s="11" t="s">
        <v>16705</v>
      </c>
      <c r="B735" s="11"/>
      <c r="C735" s="11" t="s">
        <v>6977</v>
      </c>
      <c r="D735" s="11"/>
      <c r="E735" s="11"/>
      <c r="F735" s="11"/>
      <c r="G735" s="12">
        <v>24578</v>
      </c>
      <c r="H735" s="12">
        <v>24578</v>
      </c>
      <c r="I735" s="11"/>
      <c r="J735" s="11" t="s">
        <v>45</v>
      </c>
      <c r="K735" s="11" t="s">
        <v>30</v>
      </c>
      <c r="L735" s="11" t="s">
        <v>18687</v>
      </c>
    </row>
    <row r="736" spans="1:12" ht="13.15" x14ac:dyDescent="0.4">
      <c r="A736" s="11" t="s">
        <v>17018</v>
      </c>
      <c r="B736" s="11"/>
      <c r="C736" s="11" t="s">
        <v>6977</v>
      </c>
      <c r="D736" s="11"/>
      <c r="E736" s="11"/>
      <c r="F736" s="11"/>
      <c r="G736" s="12">
        <v>21820</v>
      </c>
      <c r="H736" s="12">
        <v>21820</v>
      </c>
      <c r="I736" s="11"/>
      <c r="J736" s="11" t="s">
        <v>45</v>
      </c>
      <c r="K736" s="11" t="s">
        <v>30</v>
      </c>
      <c r="L736" s="11" t="s">
        <v>18377</v>
      </c>
    </row>
    <row r="737" spans="1:12" ht="13.15" x14ac:dyDescent="0.4">
      <c r="A737" s="11" t="s">
        <v>16828</v>
      </c>
      <c r="B737" s="11"/>
      <c r="C737" s="11" t="s">
        <v>6977</v>
      </c>
      <c r="D737" s="11"/>
      <c r="E737" s="11"/>
      <c r="F737" s="11"/>
      <c r="G737" s="12">
        <v>24344</v>
      </c>
      <c r="H737" s="12">
        <v>24344</v>
      </c>
      <c r="I737" s="11"/>
      <c r="J737" s="11" t="s">
        <v>45</v>
      </c>
      <c r="K737" s="11" t="s">
        <v>30</v>
      </c>
      <c r="L737" s="11" t="s">
        <v>18564</v>
      </c>
    </row>
    <row r="738" spans="1:12" ht="13.15" x14ac:dyDescent="0.4">
      <c r="A738" s="11" t="s">
        <v>16782</v>
      </c>
      <c r="B738" s="11"/>
      <c r="C738" s="11" t="s">
        <v>6977</v>
      </c>
      <c r="D738" s="11"/>
      <c r="E738" s="11"/>
      <c r="F738" s="11"/>
      <c r="G738" s="12">
        <v>23346</v>
      </c>
      <c r="H738" s="12">
        <v>23346</v>
      </c>
      <c r="I738" s="11"/>
      <c r="J738" s="11" t="s">
        <v>45</v>
      </c>
      <c r="K738" s="11" t="s">
        <v>30</v>
      </c>
      <c r="L738" s="11" t="s">
        <v>18611</v>
      </c>
    </row>
    <row r="739" spans="1:12" ht="13.15" x14ac:dyDescent="0.4">
      <c r="A739" s="11" t="s">
        <v>17050</v>
      </c>
      <c r="B739" s="11"/>
      <c r="C739" s="11" t="s">
        <v>6977</v>
      </c>
      <c r="D739" s="11"/>
      <c r="E739" s="11"/>
      <c r="F739" s="11"/>
      <c r="G739" s="12">
        <v>21820</v>
      </c>
      <c r="H739" s="12">
        <v>21820</v>
      </c>
      <c r="I739" s="11"/>
      <c r="J739" s="11" t="s">
        <v>45</v>
      </c>
      <c r="K739" s="11" t="s">
        <v>30</v>
      </c>
      <c r="L739" s="11" t="s">
        <v>18345</v>
      </c>
    </row>
    <row r="740" spans="1:12" ht="13.15" x14ac:dyDescent="0.4">
      <c r="A740" s="11" t="s">
        <v>16921</v>
      </c>
      <c r="B740" s="11"/>
      <c r="C740" s="11" t="s">
        <v>6977</v>
      </c>
      <c r="D740" s="11"/>
      <c r="E740" s="11"/>
      <c r="F740" s="11"/>
      <c r="G740" s="12">
        <v>22902</v>
      </c>
      <c r="H740" s="12">
        <v>22902</v>
      </c>
      <c r="I740" s="11"/>
      <c r="J740" s="11" t="s">
        <v>45</v>
      </c>
      <c r="K740" s="11" t="s">
        <v>30</v>
      </c>
      <c r="L740" s="11" t="s">
        <v>18470</v>
      </c>
    </row>
    <row r="741" spans="1:12" ht="13.15" x14ac:dyDescent="0.4">
      <c r="A741" s="11" t="s">
        <v>16724</v>
      </c>
      <c r="B741" s="11"/>
      <c r="C741" s="11" t="s">
        <v>6977</v>
      </c>
      <c r="D741" s="11"/>
      <c r="E741" s="11"/>
      <c r="F741" s="11"/>
      <c r="G741" s="12">
        <v>24472</v>
      </c>
      <c r="H741" s="12">
        <v>24472</v>
      </c>
      <c r="I741" s="11"/>
      <c r="J741" s="11" t="s">
        <v>45</v>
      </c>
      <c r="K741" s="11" t="s">
        <v>30</v>
      </c>
      <c r="L741" s="11" t="s">
        <v>18669</v>
      </c>
    </row>
    <row r="742" spans="1:12" ht="13.15" x14ac:dyDescent="0.4">
      <c r="A742" s="11" t="s">
        <v>16889</v>
      </c>
      <c r="B742" s="11"/>
      <c r="C742" s="11" t="s">
        <v>6977</v>
      </c>
      <c r="D742" s="11"/>
      <c r="E742" s="11"/>
      <c r="F742" s="11"/>
      <c r="G742" s="12">
        <v>22906</v>
      </c>
      <c r="H742" s="12">
        <v>22906</v>
      </c>
      <c r="I742" s="11"/>
      <c r="J742" s="11" t="s">
        <v>45</v>
      </c>
      <c r="K742" s="11" t="s">
        <v>30</v>
      </c>
      <c r="L742" s="11" t="s">
        <v>18501</v>
      </c>
    </row>
    <row r="743" spans="1:12" ht="13.15" x14ac:dyDescent="0.4">
      <c r="A743" s="11" t="s">
        <v>16748</v>
      </c>
      <c r="B743" s="11"/>
      <c r="C743" s="11" t="s">
        <v>6977</v>
      </c>
      <c r="D743" s="11"/>
      <c r="E743" s="11"/>
      <c r="F743" s="11"/>
      <c r="G743" s="12">
        <v>25299</v>
      </c>
      <c r="H743" s="12">
        <v>25299</v>
      </c>
      <c r="I743" s="11"/>
      <c r="J743" s="11" t="s">
        <v>45</v>
      </c>
      <c r="K743" s="11" t="s">
        <v>30</v>
      </c>
      <c r="L743" s="11" t="s">
        <v>18645</v>
      </c>
    </row>
    <row r="744" spans="1:12" ht="13.15" x14ac:dyDescent="0.4">
      <c r="A744" s="11" t="s">
        <v>16936</v>
      </c>
      <c r="B744" s="11"/>
      <c r="C744" s="11" t="s">
        <v>6977</v>
      </c>
      <c r="D744" s="11"/>
      <c r="E744" s="11"/>
      <c r="F744" s="11"/>
      <c r="G744" s="12">
        <v>22850</v>
      </c>
      <c r="H744" s="12">
        <v>22850</v>
      </c>
      <c r="I744" s="11"/>
      <c r="J744" s="11" t="s">
        <v>45</v>
      </c>
      <c r="K744" s="11" t="s">
        <v>30</v>
      </c>
      <c r="L744" s="11" t="s">
        <v>18456</v>
      </c>
    </row>
    <row r="745" spans="1:12" ht="13.15" x14ac:dyDescent="0.4">
      <c r="A745" s="11" t="s">
        <v>16864</v>
      </c>
      <c r="B745" s="11"/>
      <c r="C745" s="11" t="s">
        <v>6977</v>
      </c>
      <c r="D745" s="11"/>
      <c r="E745" s="11"/>
      <c r="F745" s="11"/>
      <c r="G745" s="12">
        <v>24354</v>
      </c>
      <c r="H745" s="12">
        <v>24354</v>
      </c>
      <c r="I745" s="11"/>
      <c r="J745" s="11" t="s">
        <v>45</v>
      </c>
      <c r="K745" s="11" t="s">
        <v>30</v>
      </c>
      <c r="L745" s="11" t="s">
        <v>18528</v>
      </c>
    </row>
    <row r="746" spans="1:12" ht="13.15" x14ac:dyDescent="0.4">
      <c r="A746" s="11" t="s">
        <v>16686</v>
      </c>
      <c r="B746" s="11"/>
      <c r="C746" s="11" t="s">
        <v>6977</v>
      </c>
      <c r="D746" s="11"/>
      <c r="E746" s="11"/>
      <c r="F746" s="11"/>
      <c r="G746" s="12">
        <v>24462</v>
      </c>
      <c r="H746" s="12">
        <v>24462</v>
      </c>
      <c r="I746" s="11"/>
      <c r="J746" s="11" t="s">
        <v>45</v>
      </c>
      <c r="K746" s="11" t="s">
        <v>30</v>
      </c>
      <c r="L746" s="11" t="s">
        <v>18705</v>
      </c>
    </row>
    <row r="747" spans="1:12" ht="13.15" x14ac:dyDescent="0.4">
      <c r="A747" s="11" t="s">
        <v>16737</v>
      </c>
      <c r="B747" s="11"/>
      <c r="C747" s="11" t="s">
        <v>6977</v>
      </c>
      <c r="D747" s="11"/>
      <c r="E747" s="11"/>
      <c r="F747" s="11"/>
      <c r="G747" s="12">
        <v>25052</v>
      </c>
      <c r="H747" s="12">
        <v>25052</v>
      </c>
      <c r="I747" s="11"/>
      <c r="J747" s="11" t="s">
        <v>45</v>
      </c>
      <c r="K747" s="11" t="s">
        <v>30</v>
      </c>
      <c r="L747" s="11" t="s">
        <v>18656</v>
      </c>
    </row>
    <row r="748" spans="1:12" ht="13.15" x14ac:dyDescent="0.4">
      <c r="A748" s="11" t="s">
        <v>16860</v>
      </c>
      <c r="B748" s="11"/>
      <c r="C748" s="11" t="s">
        <v>6977</v>
      </c>
      <c r="D748" s="11"/>
      <c r="E748" s="11"/>
      <c r="F748" s="11"/>
      <c r="G748" s="12">
        <v>23667</v>
      </c>
      <c r="H748" s="12">
        <v>23667</v>
      </c>
      <c r="I748" s="11"/>
      <c r="J748" s="11" t="s">
        <v>45</v>
      </c>
      <c r="K748" s="11" t="s">
        <v>30</v>
      </c>
      <c r="L748" s="11" t="s">
        <v>18532</v>
      </c>
    </row>
    <row r="749" spans="1:12" ht="13.15" x14ac:dyDescent="0.4">
      <c r="A749" s="11" t="s">
        <v>16785</v>
      </c>
      <c r="B749" s="11"/>
      <c r="C749" s="11" t="s">
        <v>6977</v>
      </c>
      <c r="D749" s="11"/>
      <c r="E749" s="11"/>
      <c r="F749" s="11"/>
      <c r="G749" s="12">
        <v>23614</v>
      </c>
      <c r="H749" s="12">
        <v>23614</v>
      </c>
      <c r="I749" s="11"/>
      <c r="J749" s="11" t="s">
        <v>45</v>
      </c>
      <c r="K749" s="11" t="s">
        <v>30</v>
      </c>
      <c r="L749" s="11" t="s">
        <v>18608</v>
      </c>
    </row>
    <row r="750" spans="1:12" ht="13.15" x14ac:dyDescent="0.4">
      <c r="A750" s="11" t="s">
        <v>16785</v>
      </c>
      <c r="B750" s="11"/>
      <c r="C750" s="11" t="s">
        <v>6977</v>
      </c>
      <c r="D750" s="11"/>
      <c r="E750" s="11"/>
      <c r="F750" s="11"/>
      <c r="G750" s="12">
        <v>23614</v>
      </c>
      <c r="H750" s="12">
        <v>23614</v>
      </c>
      <c r="I750" s="11"/>
      <c r="J750" s="11" t="s">
        <v>45</v>
      </c>
      <c r="K750" s="11" t="s">
        <v>30</v>
      </c>
      <c r="L750" s="11" t="s">
        <v>18565</v>
      </c>
    </row>
    <row r="751" spans="1:12" ht="13.15" x14ac:dyDescent="0.4">
      <c r="A751" s="11" t="s">
        <v>8954</v>
      </c>
      <c r="B751" s="11"/>
      <c r="C751" s="11" t="s">
        <v>6977</v>
      </c>
      <c r="D751" s="11"/>
      <c r="E751" s="11"/>
      <c r="F751" s="11"/>
      <c r="G751" s="12">
        <v>21820</v>
      </c>
      <c r="H751" s="12">
        <v>21820</v>
      </c>
      <c r="I751" s="11"/>
      <c r="J751" s="11" t="s">
        <v>45</v>
      </c>
      <c r="K751" s="11" t="s">
        <v>30</v>
      </c>
      <c r="L751" s="11" t="s">
        <v>18268</v>
      </c>
    </row>
    <row r="752" spans="1:12" ht="13.15" x14ac:dyDescent="0.4">
      <c r="A752" s="11" t="s">
        <v>16994</v>
      </c>
      <c r="B752" s="11"/>
      <c r="C752" s="11" t="s">
        <v>6977</v>
      </c>
      <c r="D752" s="11"/>
      <c r="E752" s="11" t="s">
        <v>16995</v>
      </c>
      <c r="F752" s="11"/>
      <c r="G752" s="12">
        <v>21820</v>
      </c>
      <c r="H752" s="12">
        <v>21820</v>
      </c>
      <c r="I752" s="11"/>
      <c r="J752" s="11" t="s">
        <v>45</v>
      </c>
      <c r="K752" s="11" t="s">
        <v>30</v>
      </c>
      <c r="L752" s="11" t="s">
        <v>18399</v>
      </c>
    </row>
    <row r="753" spans="1:12" ht="13.15" x14ac:dyDescent="0.4">
      <c r="A753" s="11" t="s">
        <v>17064</v>
      </c>
      <c r="B753" s="11"/>
      <c r="C753" s="11" t="s">
        <v>6977</v>
      </c>
      <c r="D753" s="11"/>
      <c r="E753" s="11"/>
      <c r="F753" s="11"/>
      <c r="G753" s="12">
        <v>21820</v>
      </c>
      <c r="H753" s="12">
        <v>21820</v>
      </c>
      <c r="I753" s="11"/>
      <c r="J753" s="11" t="s">
        <v>45</v>
      </c>
      <c r="K753" s="11" t="s">
        <v>30</v>
      </c>
      <c r="L753" s="11" t="s">
        <v>18331</v>
      </c>
    </row>
    <row r="754" spans="1:12" ht="13.15" x14ac:dyDescent="0.4">
      <c r="A754" s="11" t="s">
        <v>17010</v>
      </c>
      <c r="B754" s="11"/>
      <c r="C754" s="11" t="s">
        <v>6977</v>
      </c>
      <c r="D754" s="11"/>
      <c r="E754" s="11"/>
      <c r="F754" s="11"/>
      <c r="G754" s="12">
        <v>22463</v>
      </c>
      <c r="H754" s="12">
        <v>22463</v>
      </c>
      <c r="I754" s="11"/>
      <c r="J754" s="11" t="s">
        <v>45</v>
      </c>
      <c r="K754" s="11" t="s">
        <v>30</v>
      </c>
      <c r="L754" s="11" t="s">
        <v>18385</v>
      </c>
    </row>
    <row r="755" spans="1:12" ht="13.15" x14ac:dyDescent="0.4">
      <c r="A755" s="11" t="s">
        <v>16967</v>
      </c>
      <c r="B755" s="11"/>
      <c r="C755" s="11" t="s">
        <v>6977</v>
      </c>
      <c r="D755" s="11"/>
      <c r="E755" s="11"/>
      <c r="F755" s="11"/>
      <c r="G755" s="12">
        <v>22548</v>
      </c>
      <c r="H755" s="12">
        <v>22548</v>
      </c>
      <c r="I755" s="11"/>
      <c r="J755" s="11" t="s">
        <v>45</v>
      </c>
      <c r="K755" s="11" t="s">
        <v>30</v>
      </c>
      <c r="L755" s="11" t="s">
        <v>18425</v>
      </c>
    </row>
    <row r="756" spans="1:12" ht="13.15" x14ac:dyDescent="0.4">
      <c r="A756" s="11" t="s">
        <v>16865</v>
      </c>
      <c r="B756" s="11"/>
      <c r="C756" s="11" t="s">
        <v>6977</v>
      </c>
      <c r="D756" s="11"/>
      <c r="E756" s="11"/>
      <c r="F756" s="11"/>
      <c r="G756" s="12">
        <v>24092</v>
      </c>
      <c r="H756" s="12">
        <v>24092</v>
      </c>
      <c r="I756" s="11"/>
      <c r="J756" s="11" t="s">
        <v>45</v>
      </c>
      <c r="K756" s="11" t="s">
        <v>30</v>
      </c>
      <c r="L756" s="11" t="s">
        <v>18527</v>
      </c>
    </row>
    <row r="757" spans="1:12" ht="13.15" x14ac:dyDescent="0.4">
      <c r="A757" s="11" t="s">
        <v>16939</v>
      </c>
      <c r="B757" s="11"/>
      <c r="C757" s="11" t="s">
        <v>6977</v>
      </c>
      <c r="D757" s="11"/>
      <c r="E757" s="11"/>
      <c r="F757" s="11"/>
      <c r="G757" s="12">
        <v>22891</v>
      </c>
      <c r="H757" s="12">
        <v>22891</v>
      </c>
      <c r="I757" s="11"/>
      <c r="J757" s="11" t="s">
        <v>45</v>
      </c>
      <c r="K757" s="11" t="s">
        <v>30</v>
      </c>
      <c r="L757" s="11" t="s">
        <v>18453</v>
      </c>
    </row>
    <row r="758" spans="1:12" ht="13.15" x14ac:dyDescent="0.4">
      <c r="A758" s="11" t="s">
        <v>17016</v>
      </c>
      <c r="B758" s="11"/>
      <c r="C758" s="11" t="s">
        <v>6977</v>
      </c>
      <c r="D758" s="11"/>
      <c r="E758" s="11"/>
      <c r="F758" s="11"/>
      <c r="G758" s="12">
        <v>21820</v>
      </c>
      <c r="H758" s="12">
        <v>21820</v>
      </c>
      <c r="I758" s="11"/>
      <c r="J758" s="11" t="s">
        <v>45</v>
      </c>
      <c r="K758" s="11" t="s">
        <v>30</v>
      </c>
      <c r="L758" s="11" t="s">
        <v>18379</v>
      </c>
    </row>
    <row r="759" spans="1:12" ht="13.15" x14ac:dyDescent="0.4">
      <c r="A759" s="11" t="s">
        <v>16968</v>
      </c>
      <c r="B759" s="11"/>
      <c r="C759" s="11" t="s">
        <v>6977</v>
      </c>
      <c r="D759" s="11"/>
      <c r="E759" s="11"/>
      <c r="F759" s="11"/>
      <c r="G759" s="12">
        <v>23012</v>
      </c>
      <c r="H759" s="12">
        <v>23012</v>
      </c>
      <c r="I759" s="11"/>
      <c r="J759" s="11" t="s">
        <v>45</v>
      </c>
      <c r="K759" s="11" t="s">
        <v>30</v>
      </c>
      <c r="L759" s="11" t="s">
        <v>18424</v>
      </c>
    </row>
    <row r="760" spans="1:12" ht="13.15" x14ac:dyDescent="0.4">
      <c r="A760" s="11" t="s">
        <v>16932</v>
      </c>
      <c r="B760" s="11"/>
      <c r="C760" s="11" t="s">
        <v>6977</v>
      </c>
      <c r="D760" s="11"/>
      <c r="E760" s="11"/>
      <c r="F760" s="11"/>
      <c r="G760" s="12">
        <v>23012</v>
      </c>
      <c r="H760" s="12">
        <v>23012</v>
      </c>
      <c r="I760" s="11"/>
      <c r="J760" s="11" t="s">
        <v>45</v>
      </c>
      <c r="K760" s="11" t="s">
        <v>30</v>
      </c>
      <c r="L760" s="11" t="s">
        <v>18459</v>
      </c>
    </row>
    <row r="761" spans="1:12" ht="13.15" x14ac:dyDescent="0.4">
      <c r="A761" s="11" t="s">
        <v>17112</v>
      </c>
      <c r="B761" s="11"/>
      <c r="C761" s="11" t="s">
        <v>6977</v>
      </c>
      <c r="D761" s="11"/>
      <c r="E761" s="11"/>
      <c r="F761" s="11"/>
      <c r="G761" s="12">
        <v>21820</v>
      </c>
      <c r="H761" s="12">
        <v>21820</v>
      </c>
      <c r="I761" s="11"/>
      <c r="J761" s="11" t="s">
        <v>45</v>
      </c>
      <c r="K761" s="11" t="s">
        <v>30</v>
      </c>
      <c r="L761" s="11" t="s">
        <v>18280</v>
      </c>
    </row>
    <row r="762" spans="1:12" ht="13.15" x14ac:dyDescent="0.4">
      <c r="A762" s="11" t="s">
        <v>16982</v>
      </c>
      <c r="B762" s="11"/>
      <c r="C762" s="11" t="s">
        <v>6977</v>
      </c>
      <c r="D762" s="11"/>
      <c r="E762" s="11"/>
      <c r="F762" s="11"/>
      <c r="G762" s="12">
        <v>22238</v>
      </c>
      <c r="H762" s="12">
        <v>22238</v>
      </c>
      <c r="I762" s="11"/>
      <c r="J762" s="11" t="s">
        <v>45</v>
      </c>
      <c r="K762" s="11" t="s">
        <v>30</v>
      </c>
      <c r="L762" s="11" t="s">
        <v>18411</v>
      </c>
    </row>
    <row r="763" spans="1:12" ht="13.15" x14ac:dyDescent="0.4">
      <c r="A763" s="11" t="s">
        <v>17031</v>
      </c>
      <c r="B763" s="11"/>
      <c r="C763" s="11" t="s">
        <v>6977</v>
      </c>
      <c r="D763" s="11"/>
      <c r="E763" s="11"/>
      <c r="F763" s="11"/>
      <c r="G763" s="12">
        <v>22276</v>
      </c>
      <c r="H763" s="12">
        <v>22276</v>
      </c>
      <c r="I763" s="11"/>
      <c r="J763" s="11" t="s">
        <v>45</v>
      </c>
      <c r="K763" s="11" t="s">
        <v>30</v>
      </c>
      <c r="L763" s="11" t="s">
        <v>18364</v>
      </c>
    </row>
    <row r="764" spans="1:12" ht="13.15" x14ac:dyDescent="0.4">
      <c r="A764" s="11" t="s">
        <v>16848</v>
      </c>
      <c r="B764" s="11"/>
      <c r="C764" s="11" t="s">
        <v>6977</v>
      </c>
      <c r="D764" s="11"/>
      <c r="E764" s="11"/>
      <c r="F764" s="11"/>
      <c r="G764" s="12">
        <v>23720</v>
      </c>
      <c r="H764" s="12">
        <v>23720</v>
      </c>
      <c r="I764" s="11"/>
      <c r="J764" s="11" t="s">
        <v>45</v>
      </c>
      <c r="K764" s="11" t="s">
        <v>30</v>
      </c>
      <c r="L764" s="11" t="s">
        <v>18544</v>
      </c>
    </row>
    <row r="765" spans="1:12" ht="13.15" x14ac:dyDescent="0.4">
      <c r="A765" s="11" t="s">
        <v>16800</v>
      </c>
      <c r="B765" s="11"/>
      <c r="C765" s="11" t="s">
        <v>6977</v>
      </c>
      <c r="D765" s="11"/>
      <c r="E765" s="11"/>
      <c r="F765" s="11"/>
      <c r="G765" s="12">
        <v>23762</v>
      </c>
      <c r="H765" s="12">
        <v>23762</v>
      </c>
      <c r="I765" s="11"/>
      <c r="J765" s="11" t="s">
        <v>45</v>
      </c>
      <c r="K765" s="11" t="s">
        <v>30</v>
      </c>
      <c r="L765" s="11" t="s">
        <v>18593</v>
      </c>
    </row>
    <row r="766" spans="1:12" ht="13.15" x14ac:dyDescent="0.4">
      <c r="A766" s="11" t="s">
        <v>16964</v>
      </c>
      <c r="B766" s="11"/>
      <c r="C766" s="11" t="s">
        <v>6977</v>
      </c>
      <c r="D766" s="11"/>
      <c r="E766" s="11"/>
      <c r="F766" s="11"/>
      <c r="G766" s="12">
        <v>22575</v>
      </c>
      <c r="H766" s="12">
        <v>22575</v>
      </c>
      <c r="I766" s="11"/>
      <c r="J766" s="11" t="s">
        <v>45</v>
      </c>
      <c r="K766" s="11" t="s">
        <v>30</v>
      </c>
      <c r="L766" s="11" t="s">
        <v>18428</v>
      </c>
    </row>
    <row r="767" spans="1:12" ht="13.15" x14ac:dyDescent="0.4">
      <c r="A767" s="11" t="s">
        <v>16976</v>
      </c>
      <c r="B767" s="11"/>
      <c r="C767" s="11" t="s">
        <v>6977</v>
      </c>
      <c r="D767" s="11"/>
      <c r="E767" s="11"/>
      <c r="F767" s="11"/>
      <c r="G767" s="12">
        <v>21820</v>
      </c>
      <c r="H767" s="12">
        <v>21820</v>
      </c>
      <c r="I767" s="11"/>
      <c r="J767" s="11" t="s">
        <v>45</v>
      </c>
      <c r="K767" s="11" t="s">
        <v>30</v>
      </c>
      <c r="L767" s="11" t="s">
        <v>18416</v>
      </c>
    </row>
    <row r="768" spans="1:12" ht="13.15" x14ac:dyDescent="0.4">
      <c r="A768" s="11" t="s">
        <v>16986</v>
      </c>
      <c r="B768" s="11"/>
      <c r="C768" s="11" t="s">
        <v>6977</v>
      </c>
      <c r="D768" s="11"/>
      <c r="E768" s="11"/>
      <c r="F768" s="11"/>
      <c r="G768" s="12">
        <v>22251</v>
      </c>
      <c r="H768" s="12">
        <v>22251</v>
      </c>
      <c r="I768" s="11"/>
      <c r="J768" s="11" t="s">
        <v>45</v>
      </c>
      <c r="K768" s="11" t="s">
        <v>30</v>
      </c>
      <c r="L768" s="11" t="s">
        <v>18407</v>
      </c>
    </row>
    <row r="769" spans="1:12" ht="13.15" x14ac:dyDescent="0.4">
      <c r="A769" s="11" t="s">
        <v>16761</v>
      </c>
      <c r="B769" s="11"/>
      <c r="C769" s="11" t="s">
        <v>6977</v>
      </c>
      <c r="D769" s="11"/>
      <c r="E769" s="11"/>
      <c r="F769" s="11"/>
      <c r="G769" s="12">
        <v>24576</v>
      </c>
      <c r="H769" s="12">
        <v>24576</v>
      </c>
      <c r="I769" s="11"/>
      <c r="J769" s="11" t="s">
        <v>45</v>
      </c>
      <c r="K769" s="11" t="s">
        <v>30</v>
      </c>
      <c r="L769" s="11" t="s">
        <v>18632</v>
      </c>
    </row>
    <row r="770" spans="1:12" ht="13.15" x14ac:dyDescent="0.4">
      <c r="A770" s="11" t="s">
        <v>17046</v>
      </c>
      <c r="B770" s="11"/>
      <c r="C770" s="11" t="s">
        <v>6977</v>
      </c>
      <c r="D770" s="11"/>
      <c r="E770" s="11"/>
      <c r="F770" s="11"/>
      <c r="G770" s="12">
        <v>21820</v>
      </c>
      <c r="H770" s="12">
        <v>21820</v>
      </c>
      <c r="I770" s="11"/>
      <c r="J770" s="11" t="s">
        <v>45</v>
      </c>
      <c r="K770" s="11" t="s">
        <v>30</v>
      </c>
      <c r="L770" s="11" t="s">
        <v>18349</v>
      </c>
    </row>
    <row r="771" spans="1:12" ht="13.15" x14ac:dyDescent="0.4">
      <c r="A771" s="11" t="s">
        <v>17014</v>
      </c>
      <c r="B771" s="11"/>
      <c r="C771" s="11" t="s">
        <v>6977</v>
      </c>
      <c r="D771" s="11"/>
      <c r="E771" s="11"/>
      <c r="F771" s="11"/>
      <c r="G771" s="12">
        <v>21820</v>
      </c>
      <c r="H771" s="12">
        <v>21820</v>
      </c>
      <c r="I771" s="11"/>
      <c r="J771" s="11" t="s">
        <v>45</v>
      </c>
      <c r="K771" s="11" t="s">
        <v>30</v>
      </c>
      <c r="L771" s="11" t="s">
        <v>18381</v>
      </c>
    </row>
    <row r="772" spans="1:12" ht="13.15" x14ac:dyDescent="0.4">
      <c r="A772" s="11" t="s">
        <v>17060</v>
      </c>
      <c r="B772" s="11"/>
      <c r="C772" s="11" t="s">
        <v>6977</v>
      </c>
      <c r="D772" s="11"/>
      <c r="E772" s="11"/>
      <c r="F772" s="11"/>
      <c r="G772" s="12">
        <v>21820</v>
      </c>
      <c r="H772" s="12">
        <v>21820</v>
      </c>
      <c r="I772" s="11"/>
      <c r="J772" s="11" t="s">
        <v>45</v>
      </c>
      <c r="K772" s="11" t="s">
        <v>30</v>
      </c>
      <c r="L772" s="11" t="s">
        <v>18335</v>
      </c>
    </row>
    <row r="773" spans="1:12" ht="13.15" x14ac:dyDescent="0.4">
      <c r="A773" s="11" t="s">
        <v>17170</v>
      </c>
      <c r="B773" s="11"/>
      <c r="C773" s="11" t="s">
        <v>6977</v>
      </c>
      <c r="D773" s="11"/>
      <c r="E773" s="11"/>
      <c r="F773" s="11"/>
      <c r="G773" s="12">
        <v>21820</v>
      </c>
      <c r="H773" s="12">
        <v>21820</v>
      </c>
      <c r="I773" s="11"/>
      <c r="J773" s="11" t="s">
        <v>45</v>
      </c>
      <c r="K773" s="11" t="s">
        <v>30</v>
      </c>
      <c r="L773" s="11" t="s">
        <v>18222</v>
      </c>
    </row>
    <row r="774" spans="1:12" ht="13.15" x14ac:dyDescent="0.4">
      <c r="A774" s="11" t="s">
        <v>17035</v>
      </c>
      <c r="B774" s="11"/>
      <c r="C774" s="11" t="s">
        <v>6977</v>
      </c>
      <c r="D774" s="11"/>
      <c r="E774" s="11"/>
      <c r="F774" s="11"/>
      <c r="G774" s="12">
        <v>21820</v>
      </c>
      <c r="H774" s="12">
        <v>21820</v>
      </c>
      <c r="I774" s="11"/>
      <c r="J774" s="11" t="s">
        <v>45</v>
      </c>
      <c r="K774" s="11" t="s">
        <v>30</v>
      </c>
      <c r="L774" s="11" t="s">
        <v>18360</v>
      </c>
    </row>
    <row r="775" spans="1:12" ht="13.15" x14ac:dyDescent="0.4">
      <c r="A775" s="11" t="s">
        <v>17091</v>
      </c>
      <c r="B775" s="11"/>
      <c r="C775" s="11" t="s">
        <v>6977</v>
      </c>
      <c r="D775" s="11"/>
      <c r="E775" s="11"/>
      <c r="F775" s="11"/>
      <c r="G775" s="12">
        <v>21820</v>
      </c>
      <c r="H775" s="12">
        <v>21820</v>
      </c>
      <c r="I775" s="11"/>
      <c r="J775" s="11" t="s">
        <v>45</v>
      </c>
      <c r="K775" s="11" t="s">
        <v>30</v>
      </c>
      <c r="L775" s="11" t="s">
        <v>18303</v>
      </c>
    </row>
    <row r="776" spans="1:12" ht="13.15" x14ac:dyDescent="0.4">
      <c r="A776" s="11" t="s">
        <v>17102</v>
      </c>
      <c r="B776" s="11"/>
      <c r="C776" s="11" t="s">
        <v>6977</v>
      </c>
      <c r="D776" s="11"/>
      <c r="E776" s="11"/>
      <c r="F776" s="11"/>
      <c r="G776" s="12">
        <v>21820</v>
      </c>
      <c r="H776" s="12">
        <v>21820</v>
      </c>
      <c r="I776" s="11"/>
      <c r="J776" s="11" t="s">
        <v>45</v>
      </c>
      <c r="K776" s="11" t="s">
        <v>30</v>
      </c>
      <c r="L776" s="11" t="s">
        <v>18291</v>
      </c>
    </row>
    <row r="777" spans="1:12" ht="13.15" x14ac:dyDescent="0.4">
      <c r="A777" s="11" t="s">
        <v>17011</v>
      </c>
      <c r="B777" s="11"/>
      <c r="C777" s="11" t="s">
        <v>6977</v>
      </c>
      <c r="D777" s="11"/>
      <c r="E777" s="11"/>
      <c r="F777" s="11"/>
      <c r="G777" s="12">
        <v>21820</v>
      </c>
      <c r="H777" s="12">
        <v>21820</v>
      </c>
      <c r="I777" s="11"/>
      <c r="J777" s="11" t="s">
        <v>45</v>
      </c>
      <c r="K777" s="11" t="s">
        <v>30</v>
      </c>
      <c r="L777" s="11" t="s">
        <v>18384</v>
      </c>
    </row>
    <row r="778" spans="1:12" ht="13.15" x14ac:dyDescent="0.4">
      <c r="A778" s="11" t="s">
        <v>16880</v>
      </c>
      <c r="B778" s="11"/>
      <c r="C778" s="11" t="s">
        <v>6977</v>
      </c>
      <c r="D778" s="11"/>
      <c r="E778" s="11"/>
      <c r="F778" s="11"/>
      <c r="G778" s="12">
        <v>22998</v>
      </c>
      <c r="H778" s="12">
        <v>22998</v>
      </c>
      <c r="I778" s="11"/>
      <c r="J778" s="11" t="s">
        <v>45</v>
      </c>
      <c r="K778" s="11" t="s">
        <v>30</v>
      </c>
      <c r="L778" s="11" t="s">
        <v>18510</v>
      </c>
    </row>
    <row r="779" spans="1:12" ht="13.15" x14ac:dyDescent="0.4">
      <c r="A779" s="11" t="s">
        <v>16946</v>
      </c>
      <c r="B779" s="11"/>
      <c r="C779" s="11" t="s">
        <v>6977</v>
      </c>
      <c r="D779" s="11"/>
      <c r="E779" s="11"/>
      <c r="F779" s="11"/>
      <c r="G779" s="12">
        <v>22616</v>
      </c>
      <c r="H779" s="12">
        <v>22616</v>
      </c>
      <c r="I779" s="11"/>
      <c r="J779" s="11" t="s">
        <v>45</v>
      </c>
      <c r="K779" s="11" t="s">
        <v>30</v>
      </c>
      <c r="L779" s="11" t="s">
        <v>18446</v>
      </c>
    </row>
    <row r="780" spans="1:12" ht="13.15" x14ac:dyDescent="0.4">
      <c r="A780" s="11" t="s">
        <v>16915</v>
      </c>
      <c r="B780" s="11"/>
      <c r="C780" s="11" t="s">
        <v>6977</v>
      </c>
      <c r="D780" s="11"/>
      <c r="E780" s="11"/>
      <c r="F780" s="11"/>
      <c r="G780" s="12">
        <v>22598</v>
      </c>
      <c r="H780" s="12">
        <v>22598</v>
      </c>
      <c r="I780" s="11"/>
      <c r="J780" s="11" t="s">
        <v>45</v>
      </c>
      <c r="K780" s="11" t="s">
        <v>30</v>
      </c>
      <c r="L780" s="11" t="s">
        <v>18475</v>
      </c>
    </row>
    <row r="781" spans="1:12" ht="13.15" x14ac:dyDescent="0.4">
      <c r="A781" s="11" t="s">
        <v>16960</v>
      </c>
      <c r="B781" s="11"/>
      <c r="C781" s="11" t="s">
        <v>6977</v>
      </c>
      <c r="D781" s="11"/>
      <c r="E781" s="11"/>
      <c r="F781" s="11"/>
      <c r="G781" s="12">
        <v>22582</v>
      </c>
      <c r="H781" s="12">
        <v>22582</v>
      </c>
      <c r="I781" s="11"/>
      <c r="J781" s="11" t="s">
        <v>45</v>
      </c>
      <c r="K781" s="11" t="s">
        <v>30</v>
      </c>
      <c r="L781" s="11" t="s">
        <v>18432</v>
      </c>
    </row>
    <row r="782" spans="1:12" ht="13.15" x14ac:dyDescent="0.4">
      <c r="A782" s="11" t="s">
        <v>17063</v>
      </c>
      <c r="B782" s="11"/>
      <c r="C782" s="11" t="s">
        <v>6977</v>
      </c>
      <c r="D782" s="11"/>
      <c r="E782" s="11"/>
      <c r="F782" s="11"/>
      <c r="G782" s="12">
        <v>21820</v>
      </c>
      <c r="H782" s="12">
        <v>21820</v>
      </c>
      <c r="I782" s="11"/>
      <c r="J782" s="11" t="s">
        <v>45</v>
      </c>
      <c r="K782" s="11" t="s">
        <v>30</v>
      </c>
      <c r="L782" s="11" t="s">
        <v>18332</v>
      </c>
    </row>
    <row r="783" spans="1:12" ht="13.15" x14ac:dyDescent="0.4">
      <c r="A783" s="11" t="s">
        <v>17066</v>
      </c>
      <c r="B783" s="11"/>
      <c r="C783" s="11" t="s">
        <v>6977</v>
      </c>
      <c r="D783" s="11"/>
      <c r="E783" s="11"/>
      <c r="F783" s="11"/>
      <c r="G783" s="12">
        <v>21820</v>
      </c>
      <c r="H783" s="12">
        <v>21820</v>
      </c>
      <c r="I783" s="11"/>
      <c r="J783" s="11" t="s">
        <v>45</v>
      </c>
      <c r="K783" s="11" t="s">
        <v>30</v>
      </c>
      <c r="L783" s="11" t="s">
        <v>18329</v>
      </c>
    </row>
    <row r="784" spans="1:12" ht="13.15" x14ac:dyDescent="0.4">
      <c r="A784" s="11" t="s">
        <v>17038</v>
      </c>
      <c r="B784" s="11"/>
      <c r="C784" s="11" t="s">
        <v>6977</v>
      </c>
      <c r="D784" s="11"/>
      <c r="E784" s="11"/>
      <c r="F784" s="11"/>
      <c r="G784" s="12">
        <v>21820</v>
      </c>
      <c r="H784" s="12">
        <v>21820</v>
      </c>
      <c r="I784" s="11"/>
      <c r="J784" s="11" t="s">
        <v>45</v>
      </c>
      <c r="K784" s="11" t="s">
        <v>30</v>
      </c>
      <c r="L784" s="11" t="s">
        <v>18357</v>
      </c>
    </row>
    <row r="785" spans="1:12" ht="13.15" x14ac:dyDescent="0.4">
      <c r="A785" s="11" t="s">
        <v>17119</v>
      </c>
      <c r="B785" s="11"/>
      <c r="C785" s="11" t="s">
        <v>6977</v>
      </c>
      <c r="D785" s="11"/>
      <c r="E785" s="11"/>
      <c r="F785" s="11"/>
      <c r="G785" s="12">
        <v>21820</v>
      </c>
      <c r="H785" s="12">
        <v>21820</v>
      </c>
      <c r="I785" s="11"/>
      <c r="J785" s="11" t="s">
        <v>45</v>
      </c>
      <c r="K785" s="11" t="s">
        <v>30</v>
      </c>
      <c r="L785" s="11" t="s">
        <v>18273</v>
      </c>
    </row>
    <row r="786" spans="1:12" ht="13.15" x14ac:dyDescent="0.4">
      <c r="A786" s="11" t="s">
        <v>17039</v>
      </c>
      <c r="B786" s="11"/>
      <c r="C786" s="11" t="s">
        <v>6977</v>
      </c>
      <c r="D786" s="11"/>
      <c r="E786" s="11"/>
      <c r="F786" s="11"/>
      <c r="G786" s="12">
        <v>21820</v>
      </c>
      <c r="H786" s="12">
        <v>21820</v>
      </c>
      <c r="I786" s="11"/>
      <c r="J786" s="11" t="s">
        <v>45</v>
      </c>
      <c r="K786" s="11" t="s">
        <v>30</v>
      </c>
      <c r="L786" s="11" t="s">
        <v>18356</v>
      </c>
    </row>
    <row r="787" spans="1:12" ht="13.15" x14ac:dyDescent="0.4">
      <c r="A787" s="11" t="s">
        <v>17042</v>
      </c>
      <c r="B787" s="11"/>
      <c r="C787" s="11" t="s">
        <v>6977</v>
      </c>
      <c r="D787" s="11"/>
      <c r="E787" s="11"/>
      <c r="F787" s="11"/>
      <c r="G787" s="12">
        <v>21820</v>
      </c>
      <c r="H787" s="12">
        <v>21820</v>
      </c>
      <c r="I787" s="11"/>
      <c r="J787" s="11" t="s">
        <v>45</v>
      </c>
      <c r="K787" s="11" t="s">
        <v>30</v>
      </c>
      <c r="L787" s="11" t="s">
        <v>18353</v>
      </c>
    </row>
    <row r="788" spans="1:12" ht="13.15" x14ac:dyDescent="0.4">
      <c r="A788" s="11" t="s">
        <v>17054</v>
      </c>
      <c r="B788" s="11"/>
      <c r="C788" s="11" t="s">
        <v>6977</v>
      </c>
      <c r="D788" s="11"/>
      <c r="E788" s="11"/>
      <c r="F788" s="11"/>
      <c r="G788" s="12">
        <v>21820</v>
      </c>
      <c r="H788" s="12">
        <v>21820</v>
      </c>
      <c r="I788" s="11"/>
      <c r="J788" s="11" t="s">
        <v>45</v>
      </c>
      <c r="K788" s="11" t="s">
        <v>30</v>
      </c>
      <c r="L788" s="11" t="s">
        <v>18341</v>
      </c>
    </row>
    <row r="789" spans="1:12" ht="13.15" x14ac:dyDescent="0.4">
      <c r="A789" s="11" t="s">
        <v>16971</v>
      </c>
      <c r="B789" s="11"/>
      <c r="C789" s="11" t="s">
        <v>6977</v>
      </c>
      <c r="D789" s="11"/>
      <c r="E789" s="11"/>
      <c r="F789" s="11"/>
      <c r="G789" s="12">
        <v>22647</v>
      </c>
      <c r="H789" s="12">
        <v>22647</v>
      </c>
      <c r="I789" s="11"/>
      <c r="J789" s="11" t="s">
        <v>45</v>
      </c>
      <c r="K789" s="11" t="s">
        <v>30</v>
      </c>
      <c r="L789" s="11" t="s">
        <v>18421</v>
      </c>
    </row>
    <row r="790" spans="1:12" ht="13.15" x14ac:dyDescent="0.4">
      <c r="A790" s="11" t="s">
        <v>16989</v>
      </c>
      <c r="B790" s="11"/>
      <c r="C790" s="11" t="s">
        <v>6977</v>
      </c>
      <c r="D790" s="11"/>
      <c r="E790" s="11"/>
      <c r="F790" s="11"/>
      <c r="G790" s="12">
        <v>22463</v>
      </c>
      <c r="H790" s="12">
        <v>22463</v>
      </c>
      <c r="I790" s="11"/>
      <c r="J790" s="11" t="s">
        <v>45</v>
      </c>
      <c r="K790" s="11" t="s">
        <v>30</v>
      </c>
      <c r="L790" s="11" t="s">
        <v>18404</v>
      </c>
    </row>
    <row r="791" spans="1:12" ht="13.15" x14ac:dyDescent="0.4">
      <c r="A791" s="11" t="s">
        <v>17074</v>
      </c>
      <c r="B791" s="11"/>
      <c r="C791" s="11" t="s">
        <v>6977</v>
      </c>
      <c r="D791" s="11"/>
      <c r="E791" s="11"/>
      <c r="F791" s="11"/>
      <c r="G791" s="12">
        <v>22485</v>
      </c>
      <c r="H791" s="12">
        <v>22485</v>
      </c>
      <c r="I791" s="11"/>
      <c r="J791" s="11" t="s">
        <v>45</v>
      </c>
      <c r="K791" s="11" t="s">
        <v>30</v>
      </c>
      <c r="L791" s="11" t="s">
        <v>18321</v>
      </c>
    </row>
    <row r="792" spans="1:12" ht="13.15" x14ac:dyDescent="0.4">
      <c r="A792" s="11" t="s">
        <v>16808</v>
      </c>
      <c r="B792" s="11"/>
      <c r="C792" s="11" t="s">
        <v>6977</v>
      </c>
      <c r="D792" s="11"/>
      <c r="E792" s="11"/>
      <c r="F792" s="11"/>
      <c r="G792" s="12">
        <v>24354</v>
      </c>
      <c r="H792" s="12">
        <v>24354</v>
      </c>
      <c r="I792" s="11"/>
      <c r="J792" s="11" t="s">
        <v>45</v>
      </c>
      <c r="K792" s="11" t="s">
        <v>30</v>
      </c>
      <c r="L792" s="11" t="s">
        <v>18585</v>
      </c>
    </row>
    <row r="793" spans="1:12" ht="13.15" x14ac:dyDescent="0.4">
      <c r="A793" s="11" t="s">
        <v>17049</v>
      </c>
      <c r="B793" s="11"/>
      <c r="C793" s="11" t="s">
        <v>6977</v>
      </c>
      <c r="D793" s="11"/>
      <c r="E793" s="11"/>
      <c r="F793" s="11"/>
      <c r="G793" s="12">
        <v>21820</v>
      </c>
      <c r="H793" s="12">
        <v>21820</v>
      </c>
      <c r="I793" s="11"/>
      <c r="J793" s="11" t="s">
        <v>45</v>
      </c>
      <c r="K793" s="11" t="s">
        <v>30</v>
      </c>
      <c r="L793" s="11" t="s">
        <v>18346</v>
      </c>
    </row>
    <row r="794" spans="1:12" ht="13.15" x14ac:dyDescent="0.4">
      <c r="A794" s="11" t="s">
        <v>17023</v>
      </c>
      <c r="B794" s="11"/>
      <c r="C794" s="11" t="s">
        <v>6977</v>
      </c>
      <c r="D794" s="11"/>
      <c r="E794" s="11"/>
      <c r="F794" s="11"/>
      <c r="G794" s="12">
        <v>22282</v>
      </c>
      <c r="H794" s="12">
        <v>22282</v>
      </c>
      <c r="I794" s="11"/>
      <c r="J794" s="11" t="s">
        <v>45</v>
      </c>
      <c r="K794" s="11" t="s">
        <v>30</v>
      </c>
      <c r="L794" s="11" t="s">
        <v>18372</v>
      </c>
    </row>
    <row r="795" spans="1:12" ht="13.15" x14ac:dyDescent="0.4">
      <c r="A795" s="11" t="s">
        <v>16972</v>
      </c>
      <c r="B795" s="11"/>
      <c r="C795" s="11" t="s">
        <v>6977</v>
      </c>
      <c r="D795" s="11"/>
      <c r="E795" s="11"/>
      <c r="F795" s="11"/>
      <c r="G795" s="12">
        <v>22611</v>
      </c>
      <c r="H795" s="12">
        <v>22611</v>
      </c>
      <c r="I795" s="11"/>
      <c r="J795" s="11" t="s">
        <v>45</v>
      </c>
      <c r="K795" s="11" t="s">
        <v>30</v>
      </c>
      <c r="L795" s="11" t="s">
        <v>18420</v>
      </c>
    </row>
    <row r="796" spans="1:12" ht="13.15" x14ac:dyDescent="0.4">
      <c r="A796" s="11" t="s">
        <v>16935</v>
      </c>
      <c r="B796" s="11"/>
      <c r="C796" s="11" t="s">
        <v>6977</v>
      </c>
      <c r="D796" s="11"/>
      <c r="E796" s="11"/>
      <c r="F796" s="11"/>
      <c r="G796" s="12">
        <v>22647</v>
      </c>
      <c r="H796" s="12">
        <v>22647</v>
      </c>
      <c r="I796" s="11"/>
      <c r="J796" s="11" t="s">
        <v>45</v>
      </c>
      <c r="K796" s="11" t="s">
        <v>30</v>
      </c>
      <c r="L796" s="11" t="s">
        <v>18457</v>
      </c>
    </row>
    <row r="797" spans="1:12" ht="13.15" x14ac:dyDescent="0.4">
      <c r="A797" s="11" t="s">
        <v>17075</v>
      </c>
      <c r="B797" s="11"/>
      <c r="C797" s="11" t="s">
        <v>6977</v>
      </c>
      <c r="D797" s="11"/>
      <c r="E797" s="11"/>
      <c r="F797" s="11"/>
      <c r="G797" s="12">
        <v>21820</v>
      </c>
      <c r="H797" s="12">
        <v>21820</v>
      </c>
      <c r="I797" s="11"/>
      <c r="J797" s="11" t="s">
        <v>45</v>
      </c>
      <c r="K797" s="11" t="s">
        <v>30</v>
      </c>
      <c r="L797" s="11" t="s">
        <v>18320</v>
      </c>
    </row>
    <row r="798" spans="1:12" ht="13.15" x14ac:dyDescent="0.4">
      <c r="A798" s="11" t="s">
        <v>16940</v>
      </c>
      <c r="B798" s="11"/>
      <c r="C798" s="11" t="s">
        <v>6977</v>
      </c>
      <c r="D798" s="11"/>
      <c r="E798" s="11"/>
      <c r="F798" s="11"/>
      <c r="G798" s="12">
        <v>22604</v>
      </c>
      <c r="H798" s="12">
        <v>22604</v>
      </c>
      <c r="I798" s="11"/>
      <c r="J798" s="11" t="s">
        <v>45</v>
      </c>
      <c r="K798" s="11" t="s">
        <v>30</v>
      </c>
      <c r="L798" s="11" t="s">
        <v>18452</v>
      </c>
    </row>
    <row r="799" spans="1:12" ht="13.15" x14ac:dyDescent="0.4">
      <c r="A799" s="11" t="s">
        <v>16849</v>
      </c>
      <c r="B799" s="11"/>
      <c r="C799" s="11" t="s">
        <v>6977</v>
      </c>
      <c r="D799" s="11"/>
      <c r="E799" s="11" t="s">
        <v>16850</v>
      </c>
      <c r="F799" s="11" t="s">
        <v>16851</v>
      </c>
      <c r="G799" s="12">
        <v>24401</v>
      </c>
      <c r="H799" s="12">
        <v>24401</v>
      </c>
      <c r="I799" s="11"/>
      <c r="J799" s="11" t="s">
        <v>45</v>
      </c>
      <c r="K799" s="11" t="s">
        <v>30</v>
      </c>
      <c r="L799" s="11" t="s">
        <v>18543</v>
      </c>
    </row>
    <row r="800" spans="1:12" ht="13.15" x14ac:dyDescent="0.4">
      <c r="A800" s="11" t="s">
        <v>17008</v>
      </c>
      <c r="B800" s="11"/>
      <c r="C800" s="11" t="s">
        <v>6977</v>
      </c>
      <c r="D800" s="11"/>
      <c r="E800" s="11"/>
      <c r="F800" s="11"/>
      <c r="G800" s="12">
        <v>21820</v>
      </c>
      <c r="H800" s="12">
        <v>21820</v>
      </c>
      <c r="I800" s="11"/>
      <c r="J800" s="11" t="s">
        <v>45</v>
      </c>
      <c r="K800" s="11" t="s">
        <v>30</v>
      </c>
      <c r="L800" s="11" t="s">
        <v>18387</v>
      </c>
    </row>
    <row r="801" spans="1:12" ht="13.15" x14ac:dyDescent="0.4">
      <c r="A801" s="11" t="s">
        <v>17002</v>
      </c>
      <c r="B801" s="11"/>
      <c r="C801" s="11" t="s">
        <v>6977</v>
      </c>
      <c r="D801" s="11"/>
      <c r="E801" s="11"/>
      <c r="F801" s="11"/>
      <c r="G801" s="12">
        <v>21820</v>
      </c>
      <c r="H801" s="12">
        <v>21820</v>
      </c>
      <c r="I801" s="11"/>
      <c r="J801" s="11" t="s">
        <v>45</v>
      </c>
      <c r="K801" s="11" t="s">
        <v>30</v>
      </c>
      <c r="L801" s="11" t="s">
        <v>18392</v>
      </c>
    </row>
    <row r="802" spans="1:12" ht="13.15" x14ac:dyDescent="0.4">
      <c r="A802" s="11" t="s">
        <v>17120</v>
      </c>
      <c r="B802" s="11"/>
      <c r="C802" s="11" t="s">
        <v>6977</v>
      </c>
      <c r="D802" s="11"/>
      <c r="E802" s="11"/>
      <c r="F802" s="11"/>
      <c r="G802" s="12">
        <v>21820</v>
      </c>
      <c r="H802" s="12">
        <v>21820</v>
      </c>
      <c r="I802" s="11"/>
      <c r="J802" s="11" t="s">
        <v>45</v>
      </c>
      <c r="K802" s="11" t="s">
        <v>30</v>
      </c>
      <c r="L802" s="11" t="s">
        <v>18272</v>
      </c>
    </row>
    <row r="803" spans="1:12" ht="13.15" x14ac:dyDescent="0.4">
      <c r="A803" s="11" t="s">
        <v>17044</v>
      </c>
      <c r="B803" s="11"/>
      <c r="C803" s="11" t="s">
        <v>6977</v>
      </c>
      <c r="D803" s="11"/>
      <c r="E803" s="11"/>
      <c r="F803" s="11"/>
      <c r="G803" s="12">
        <v>22221</v>
      </c>
      <c r="H803" s="12">
        <v>22221</v>
      </c>
      <c r="I803" s="11"/>
      <c r="J803" s="11" t="s">
        <v>45</v>
      </c>
      <c r="K803" s="11" t="s">
        <v>30</v>
      </c>
      <c r="L803" s="11" t="s">
        <v>18351</v>
      </c>
    </row>
    <row r="804" spans="1:12" ht="13.15" x14ac:dyDescent="0.4">
      <c r="A804" s="11" t="s">
        <v>16985</v>
      </c>
      <c r="B804" s="11"/>
      <c r="C804" s="11" t="s">
        <v>6977</v>
      </c>
      <c r="D804" s="11"/>
      <c r="E804" s="11"/>
      <c r="F804" s="11"/>
      <c r="G804" s="12">
        <v>21820</v>
      </c>
      <c r="H804" s="12">
        <v>21820</v>
      </c>
      <c r="I804" s="11"/>
      <c r="J804" s="11" t="s">
        <v>45</v>
      </c>
      <c r="K804" s="11" t="s">
        <v>30</v>
      </c>
      <c r="L804" s="11" t="s">
        <v>18408</v>
      </c>
    </row>
    <row r="805" spans="1:12" ht="13.15" x14ac:dyDescent="0.4">
      <c r="A805" s="11" t="s">
        <v>17026</v>
      </c>
      <c r="B805" s="11"/>
      <c r="C805" s="11" t="s">
        <v>6977</v>
      </c>
      <c r="D805" s="11"/>
      <c r="E805" s="11"/>
      <c r="F805" s="11"/>
      <c r="G805" s="12">
        <v>21820</v>
      </c>
      <c r="H805" s="12">
        <v>21820</v>
      </c>
      <c r="I805" s="11"/>
      <c r="J805" s="11" t="s">
        <v>45</v>
      </c>
      <c r="K805" s="11" t="s">
        <v>30</v>
      </c>
      <c r="L805" s="11" t="s">
        <v>18369</v>
      </c>
    </row>
    <row r="806" spans="1:12" ht="13.15" x14ac:dyDescent="0.4">
      <c r="A806" s="11" t="s">
        <v>16812</v>
      </c>
      <c r="B806" s="11"/>
      <c r="C806" s="11" t="s">
        <v>6977</v>
      </c>
      <c r="D806" s="11"/>
      <c r="E806" s="11"/>
      <c r="F806" s="11"/>
      <c r="G806" s="12">
        <v>23333</v>
      </c>
      <c r="H806" s="12">
        <v>23333</v>
      </c>
      <c r="I806" s="11"/>
      <c r="J806" s="11" t="s">
        <v>45</v>
      </c>
      <c r="K806" s="11" t="s">
        <v>30</v>
      </c>
      <c r="L806" s="11" t="s">
        <v>18581</v>
      </c>
    </row>
    <row r="807" spans="1:12" ht="13.15" x14ac:dyDescent="0.4">
      <c r="A807" s="11" t="s">
        <v>16892</v>
      </c>
      <c r="B807" s="11"/>
      <c r="C807" s="11" t="s">
        <v>6977</v>
      </c>
      <c r="D807" s="11"/>
      <c r="E807" s="11"/>
      <c r="F807" s="11"/>
      <c r="G807" s="12">
        <v>22851</v>
      </c>
      <c r="H807" s="12">
        <v>22851</v>
      </c>
      <c r="I807" s="11"/>
      <c r="J807" s="11" t="s">
        <v>45</v>
      </c>
      <c r="K807" s="11" t="s">
        <v>30</v>
      </c>
      <c r="L807" s="11" t="s">
        <v>18498</v>
      </c>
    </row>
    <row r="808" spans="1:12" ht="13.15" x14ac:dyDescent="0.4">
      <c r="A808" s="11" t="s">
        <v>17090</v>
      </c>
      <c r="B808" s="11"/>
      <c r="C808" s="11" t="s">
        <v>6977</v>
      </c>
      <c r="D808" s="11"/>
      <c r="E808" s="11"/>
      <c r="F808" s="11"/>
      <c r="G808" s="12">
        <v>21820</v>
      </c>
      <c r="H808" s="12">
        <v>21820</v>
      </c>
      <c r="I808" s="11"/>
      <c r="J808" s="11" t="s">
        <v>45</v>
      </c>
      <c r="K808" s="11" t="s">
        <v>30</v>
      </c>
      <c r="L808" s="11" t="s">
        <v>18304</v>
      </c>
    </row>
    <row r="809" spans="1:12" ht="13.15" x14ac:dyDescent="0.4">
      <c r="A809" s="11" t="s">
        <v>17036</v>
      </c>
      <c r="B809" s="11"/>
      <c r="C809" s="11" t="s">
        <v>6977</v>
      </c>
      <c r="D809" s="11"/>
      <c r="E809" s="11"/>
      <c r="F809" s="11"/>
      <c r="G809" s="12">
        <v>22268</v>
      </c>
      <c r="H809" s="12">
        <v>22268</v>
      </c>
      <c r="I809" s="11"/>
      <c r="J809" s="11" t="s">
        <v>45</v>
      </c>
      <c r="K809" s="11" t="s">
        <v>30</v>
      </c>
      <c r="L809" s="11" t="s">
        <v>18359</v>
      </c>
    </row>
    <row r="810" spans="1:12" ht="13.15" x14ac:dyDescent="0.4">
      <c r="A810" s="11" t="s">
        <v>17012</v>
      </c>
      <c r="B810" s="11"/>
      <c r="C810" s="11" t="s">
        <v>6977</v>
      </c>
      <c r="D810" s="11"/>
      <c r="E810" s="11"/>
      <c r="F810" s="11"/>
      <c r="G810" s="12">
        <v>21820</v>
      </c>
      <c r="H810" s="12">
        <v>21820</v>
      </c>
      <c r="I810" s="11"/>
      <c r="J810" s="11" t="s">
        <v>45</v>
      </c>
      <c r="K810" s="11" t="s">
        <v>30</v>
      </c>
      <c r="L810" s="11" t="s">
        <v>18383</v>
      </c>
    </row>
    <row r="811" spans="1:12" ht="13.15" x14ac:dyDescent="0.4">
      <c r="A811" s="11" t="s">
        <v>16863</v>
      </c>
      <c r="B811" s="11"/>
      <c r="C811" s="11" t="s">
        <v>6977</v>
      </c>
      <c r="D811" s="11"/>
      <c r="E811" s="11"/>
      <c r="F811" s="11"/>
      <c r="G811" s="12">
        <v>24108</v>
      </c>
      <c r="H811" s="12">
        <v>24108</v>
      </c>
      <c r="I811" s="11"/>
      <c r="J811" s="11" t="s">
        <v>45</v>
      </c>
      <c r="K811" s="11" t="s">
        <v>30</v>
      </c>
      <c r="L811" s="11" t="s">
        <v>18529</v>
      </c>
    </row>
    <row r="812" spans="1:12" ht="13.15" x14ac:dyDescent="0.4">
      <c r="A812" s="11" t="s">
        <v>16795</v>
      </c>
      <c r="B812" s="11"/>
      <c r="C812" s="11" t="s">
        <v>6977</v>
      </c>
      <c r="D812" s="11"/>
      <c r="E812" s="11"/>
      <c r="F812" s="11"/>
      <c r="G812" s="12">
        <v>23327</v>
      </c>
      <c r="H812" s="12">
        <v>23327</v>
      </c>
      <c r="I812" s="11"/>
      <c r="J812" s="11" t="s">
        <v>45</v>
      </c>
      <c r="K812" s="11" t="s">
        <v>30</v>
      </c>
      <c r="L812" s="11" t="s">
        <v>18598</v>
      </c>
    </row>
    <row r="813" spans="1:12" ht="13.15" x14ac:dyDescent="0.4">
      <c r="A813" s="11" t="s">
        <v>16776</v>
      </c>
      <c r="B813" s="11"/>
      <c r="C813" s="11" t="s">
        <v>6977</v>
      </c>
      <c r="D813" s="11"/>
      <c r="E813" s="11"/>
      <c r="F813" s="11"/>
      <c r="G813" s="12">
        <v>24352</v>
      </c>
      <c r="H813" s="12">
        <v>24352</v>
      </c>
      <c r="I813" s="11"/>
      <c r="J813" s="11" t="s">
        <v>45</v>
      </c>
      <c r="K813" s="11" t="s">
        <v>30</v>
      </c>
      <c r="L813" s="11" t="s">
        <v>18617</v>
      </c>
    </row>
    <row r="814" spans="1:12" ht="13.15" x14ac:dyDescent="0.4">
      <c r="A814" s="11" t="s">
        <v>17118</v>
      </c>
      <c r="B814" s="11"/>
      <c r="C814" s="11" t="s">
        <v>6977</v>
      </c>
      <c r="D814" s="11"/>
      <c r="E814" s="11"/>
      <c r="F814" s="11"/>
      <c r="G814" s="12">
        <v>21820</v>
      </c>
      <c r="H814" s="12">
        <v>21820</v>
      </c>
      <c r="I814" s="11"/>
      <c r="J814" s="11" t="s">
        <v>45</v>
      </c>
      <c r="K814" s="11" t="s">
        <v>30</v>
      </c>
      <c r="L814" s="11" t="s">
        <v>18274</v>
      </c>
    </row>
    <row r="815" spans="1:12" ht="13.15" x14ac:dyDescent="0.4">
      <c r="A815" s="11" t="s">
        <v>17068</v>
      </c>
      <c r="B815" s="11"/>
      <c r="C815" s="11" t="s">
        <v>6977</v>
      </c>
      <c r="D815" s="11"/>
      <c r="E815" s="11"/>
      <c r="F815" s="11"/>
      <c r="G815" s="12">
        <v>21820</v>
      </c>
      <c r="H815" s="12">
        <v>21820</v>
      </c>
      <c r="I815" s="11"/>
      <c r="J815" s="11" t="s">
        <v>45</v>
      </c>
      <c r="K815" s="11" t="s">
        <v>30</v>
      </c>
      <c r="L815" s="11" t="s">
        <v>18327</v>
      </c>
    </row>
    <row r="816" spans="1:12" ht="13.15" x14ac:dyDescent="0.4">
      <c r="A816" s="11" t="s">
        <v>16926</v>
      </c>
      <c r="B816" s="11"/>
      <c r="C816" s="11" t="s">
        <v>6977</v>
      </c>
      <c r="D816" s="11"/>
      <c r="E816" s="11"/>
      <c r="F816" s="11"/>
      <c r="G816" s="12">
        <v>22946</v>
      </c>
      <c r="H816" s="12">
        <v>22946</v>
      </c>
      <c r="I816" s="11"/>
      <c r="J816" s="11" t="s">
        <v>45</v>
      </c>
      <c r="K816" s="11" t="s">
        <v>30</v>
      </c>
      <c r="L816" s="11" t="s">
        <v>18465</v>
      </c>
    </row>
    <row r="817" spans="1:12" ht="13.15" x14ac:dyDescent="0.4">
      <c r="A817" s="11" t="s">
        <v>16765</v>
      </c>
      <c r="B817" s="11"/>
      <c r="C817" s="11" t="s">
        <v>6977</v>
      </c>
      <c r="D817" s="11"/>
      <c r="E817" s="11"/>
      <c r="F817" s="11"/>
      <c r="G817" s="12">
        <v>24472</v>
      </c>
      <c r="H817" s="12">
        <v>24472</v>
      </c>
      <c r="I817" s="11"/>
      <c r="J817" s="11" t="s">
        <v>45</v>
      </c>
      <c r="K817" s="11" t="s">
        <v>30</v>
      </c>
      <c r="L817" s="11" t="s">
        <v>18628</v>
      </c>
    </row>
    <row r="818" spans="1:12" ht="13.15" x14ac:dyDescent="0.4">
      <c r="A818" s="11" t="s">
        <v>16744</v>
      </c>
      <c r="B818" s="11"/>
      <c r="C818" s="11" t="s">
        <v>6977</v>
      </c>
      <c r="D818" s="11"/>
      <c r="E818" s="11"/>
      <c r="F818" s="11"/>
      <c r="G818" s="12">
        <v>24671</v>
      </c>
      <c r="H818" s="12">
        <v>24671</v>
      </c>
      <c r="I818" s="11"/>
      <c r="J818" s="11" t="s">
        <v>45</v>
      </c>
      <c r="K818" s="11" t="s">
        <v>30</v>
      </c>
      <c r="L818" s="11" t="s">
        <v>18649</v>
      </c>
    </row>
    <row r="819" spans="1:12" ht="13.15" x14ac:dyDescent="0.4">
      <c r="A819" s="11" t="s">
        <v>17020</v>
      </c>
      <c r="B819" s="11"/>
      <c r="C819" s="11" t="s">
        <v>6977</v>
      </c>
      <c r="D819" s="11"/>
      <c r="E819" s="11"/>
      <c r="F819" s="11"/>
      <c r="G819" s="12">
        <v>21820</v>
      </c>
      <c r="H819" s="12">
        <v>21820</v>
      </c>
      <c r="I819" s="11"/>
      <c r="J819" s="11" t="s">
        <v>45</v>
      </c>
      <c r="K819" s="11" t="s">
        <v>30</v>
      </c>
      <c r="L819" s="11" t="s">
        <v>18375</v>
      </c>
    </row>
    <row r="820" spans="1:12" ht="13.15" x14ac:dyDescent="0.4">
      <c r="A820" s="11" t="s">
        <v>16825</v>
      </c>
      <c r="B820" s="11"/>
      <c r="C820" s="11" t="s">
        <v>6977</v>
      </c>
      <c r="D820" s="11"/>
      <c r="E820" s="11"/>
      <c r="F820" s="11"/>
      <c r="G820" s="12">
        <v>24105</v>
      </c>
      <c r="H820" s="12">
        <v>24105</v>
      </c>
      <c r="I820" s="11"/>
      <c r="J820" s="11" t="s">
        <v>45</v>
      </c>
      <c r="K820" s="11" t="s">
        <v>30</v>
      </c>
      <c r="L820" s="11" t="s">
        <v>18568</v>
      </c>
    </row>
    <row r="821" spans="1:12" ht="13.15" x14ac:dyDescent="0.4">
      <c r="A821" s="11" t="s">
        <v>16830</v>
      </c>
      <c r="B821" s="11"/>
      <c r="C821" s="11" t="s">
        <v>6977</v>
      </c>
      <c r="D821" s="11"/>
      <c r="E821" s="11"/>
      <c r="F821" s="11"/>
      <c r="G821" s="12">
        <v>24354</v>
      </c>
      <c r="H821" s="12">
        <v>24354</v>
      </c>
      <c r="I821" s="11"/>
      <c r="J821" s="11" t="s">
        <v>45</v>
      </c>
      <c r="K821" s="11" t="s">
        <v>30</v>
      </c>
      <c r="L821" s="11" t="s">
        <v>18562</v>
      </c>
    </row>
    <row r="822" spans="1:12" ht="13.15" x14ac:dyDescent="0.4">
      <c r="A822" s="11" t="s">
        <v>16842</v>
      </c>
      <c r="B822" s="11"/>
      <c r="C822" s="11" t="s">
        <v>6977</v>
      </c>
      <c r="D822" s="11"/>
      <c r="E822" s="11"/>
      <c r="F822" s="11"/>
      <c r="G822" s="12">
        <v>24199</v>
      </c>
      <c r="H822" s="12">
        <v>24199</v>
      </c>
      <c r="I822" s="11"/>
      <c r="J822" s="11" t="s">
        <v>45</v>
      </c>
      <c r="K822" s="11" t="s">
        <v>30</v>
      </c>
      <c r="L822" s="11" t="s">
        <v>18550</v>
      </c>
    </row>
    <row r="823" spans="1:12" ht="13.15" x14ac:dyDescent="0.4">
      <c r="A823" s="11" t="s">
        <v>16775</v>
      </c>
      <c r="B823" s="11"/>
      <c r="C823" s="11" t="s">
        <v>6977</v>
      </c>
      <c r="D823" s="11"/>
      <c r="E823" s="11"/>
      <c r="F823" s="11"/>
      <c r="G823" s="12">
        <v>24327</v>
      </c>
      <c r="H823" s="12">
        <v>24327</v>
      </c>
      <c r="I823" s="11"/>
      <c r="J823" s="11" t="s">
        <v>45</v>
      </c>
      <c r="K823" s="11" t="s">
        <v>30</v>
      </c>
      <c r="L823" s="11" t="s">
        <v>18618</v>
      </c>
    </row>
    <row r="824" spans="1:12" ht="13.15" x14ac:dyDescent="0.4">
      <c r="A824" s="11" t="s">
        <v>16802</v>
      </c>
      <c r="B824" s="11"/>
      <c r="C824" s="11" t="s">
        <v>6977</v>
      </c>
      <c r="D824" s="11"/>
      <c r="E824" s="11"/>
      <c r="F824" s="11"/>
      <c r="G824" s="12">
        <v>24244</v>
      </c>
      <c r="H824" s="12">
        <v>24244</v>
      </c>
      <c r="I824" s="11"/>
      <c r="J824" s="11" t="s">
        <v>45</v>
      </c>
      <c r="K824" s="11" t="s">
        <v>30</v>
      </c>
      <c r="L824" s="11" t="s">
        <v>18591</v>
      </c>
    </row>
    <row r="825" spans="1:12" ht="13.15" x14ac:dyDescent="0.4">
      <c r="A825" s="11" t="s">
        <v>16818</v>
      </c>
      <c r="B825" s="11"/>
      <c r="C825" s="11" t="s">
        <v>6977</v>
      </c>
      <c r="D825" s="11"/>
      <c r="E825" s="11"/>
      <c r="F825" s="11"/>
      <c r="G825" s="12">
        <v>24306</v>
      </c>
      <c r="H825" s="12">
        <v>24306</v>
      </c>
      <c r="I825" s="11"/>
      <c r="J825" s="11" t="s">
        <v>45</v>
      </c>
      <c r="K825" s="11" t="s">
        <v>30</v>
      </c>
      <c r="L825" s="11" t="s">
        <v>18575</v>
      </c>
    </row>
    <row r="826" spans="1:12" ht="13.15" x14ac:dyDescent="0.4">
      <c r="A826" s="11" t="s">
        <v>16955</v>
      </c>
      <c r="B826" s="11"/>
      <c r="C826" s="11" t="s">
        <v>6977</v>
      </c>
      <c r="D826" s="11"/>
      <c r="E826" s="11"/>
      <c r="F826" s="11"/>
      <c r="G826" s="12">
        <v>22810</v>
      </c>
      <c r="H826" s="12">
        <v>22810</v>
      </c>
      <c r="I826" s="11"/>
      <c r="J826" s="11" t="s">
        <v>45</v>
      </c>
      <c r="K826" s="11" t="s">
        <v>30</v>
      </c>
      <c r="L826" s="11" t="s">
        <v>18437</v>
      </c>
    </row>
    <row r="827" spans="1:12" ht="13.15" x14ac:dyDescent="0.4">
      <c r="A827" s="11" t="s">
        <v>16938</v>
      </c>
      <c r="B827" s="11"/>
      <c r="C827" s="11" t="s">
        <v>6977</v>
      </c>
      <c r="D827" s="11"/>
      <c r="E827" s="11"/>
      <c r="F827" s="11"/>
      <c r="G827" s="12">
        <v>22738</v>
      </c>
      <c r="H827" s="12">
        <v>22738</v>
      </c>
      <c r="I827" s="11"/>
      <c r="J827" s="11" t="s">
        <v>45</v>
      </c>
      <c r="K827" s="11" t="s">
        <v>30</v>
      </c>
      <c r="L827" s="11" t="s">
        <v>18454</v>
      </c>
    </row>
    <row r="828" spans="1:12" ht="13.15" x14ac:dyDescent="0.4">
      <c r="A828" s="11" t="s">
        <v>16965</v>
      </c>
      <c r="B828" s="11"/>
      <c r="C828" s="11" t="s">
        <v>6977</v>
      </c>
      <c r="D828" s="11"/>
      <c r="E828" s="11"/>
      <c r="F828" s="11"/>
      <c r="G828" s="12">
        <v>22906</v>
      </c>
      <c r="H828" s="12">
        <v>22906</v>
      </c>
      <c r="I828" s="11"/>
      <c r="J828" s="11" t="s">
        <v>45</v>
      </c>
      <c r="K828" s="11" t="s">
        <v>30</v>
      </c>
      <c r="L828" s="11" t="s">
        <v>18427</v>
      </c>
    </row>
    <row r="829" spans="1:12" ht="13.15" x14ac:dyDescent="0.4">
      <c r="A829" s="11" t="s">
        <v>16962</v>
      </c>
      <c r="B829" s="11"/>
      <c r="C829" s="11" t="s">
        <v>6977</v>
      </c>
      <c r="D829" s="11"/>
      <c r="E829" s="11"/>
      <c r="F829" s="11"/>
      <c r="G829" s="12">
        <v>22919</v>
      </c>
      <c r="H829" s="12">
        <v>22919</v>
      </c>
      <c r="I829" s="11"/>
      <c r="J829" s="11" t="s">
        <v>45</v>
      </c>
      <c r="K829" s="11" t="s">
        <v>30</v>
      </c>
      <c r="L829" s="11" t="s">
        <v>18430</v>
      </c>
    </row>
    <row r="830" spans="1:12" ht="13.15" x14ac:dyDescent="0.4">
      <c r="A830" s="11" t="s">
        <v>16951</v>
      </c>
      <c r="B830" s="11"/>
      <c r="C830" s="11" t="s">
        <v>6977</v>
      </c>
      <c r="D830" s="11"/>
      <c r="E830" s="11"/>
      <c r="F830" s="11"/>
      <c r="G830" s="12">
        <v>22781</v>
      </c>
      <c r="H830" s="12">
        <v>22781</v>
      </c>
      <c r="I830" s="11"/>
      <c r="J830" s="11" t="s">
        <v>45</v>
      </c>
      <c r="K830" s="11" t="s">
        <v>30</v>
      </c>
      <c r="L830" s="11" t="s">
        <v>18441</v>
      </c>
    </row>
    <row r="831" spans="1:12" ht="13.15" x14ac:dyDescent="0.4">
      <c r="A831" s="11" t="s">
        <v>16893</v>
      </c>
      <c r="B831" s="11"/>
      <c r="C831" s="11" t="s">
        <v>6977</v>
      </c>
      <c r="D831" s="11"/>
      <c r="E831" s="11"/>
      <c r="F831" s="11"/>
      <c r="G831" s="12">
        <v>22856</v>
      </c>
      <c r="H831" s="12">
        <v>22856</v>
      </c>
      <c r="I831" s="11"/>
      <c r="J831" s="11" t="s">
        <v>45</v>
      </c>
      <c r="K831" s="11" t="s">
        <v>30</v>
      </c>
      <c r="L831" s="11" t="s">
        <v>18497</v>
      </c>
    </row>
    <row r="832" spans="1:12" ht="13.15" x14ac:dyDescent="0.4">
      <c r="A832" s="11" t="s">
        <v>16858</v>
      </c>
      <c r="B832" s="11"/>
      <c r="C832" s="11" t="s">
        <v>6977</v>
      </c>
      <c r="D832" s="11"/>
      <c r="E832" s="11"/>
      <c r="F832" s="11"/>
      <c r="G832" s="12">
        <v>24099</v>
      </c>
      <c r="H832" s="12">
        <v>24099</v>
      </c>
      <c r="I832" s="11"/>
      <c r="J832" s="11" t="s">
        <v>45</v>
      </c>
      <c r="K832" s="11" t="s">
        <v>30</v>
      </c>
      <c r="L832" s="11" t="s">
        <v>18534</v>
      </c>
    </row>
    <row r="833" spans="1:12" ht="13.15" x14ac:dyDescent="0.4">
      <c r="A833" s="11" t="s">
        <v>17059</v>
      </c>
      <c r="B833" s="11"/>
      <c r="C833" s="11" t="s">
        <v>6977</v>
      </c>
      <c r="D833" s="11"/>
      <c r="E833" s="11"/>
      <c r="F833" s="11"/>
      <c r="G833" s="12">
        <v>21820</v>
      </c>
      <c r="H833" s="12">
        <v>21820</v>
      </c>
      <c r="I833" s="11"/>
      <c r="J833" s="11" t="s">
        <v>45</v>
      </c>
      <c r="K833" s="11" t="s">
        <v>30</v>
      </c>
      <c r="L833" s="11" t="s">
        <v>18336</v>
      </c>
    </row>
    <row r="834" spans="1:12" ht="13.15" x14ac:dyDescent="0.4">
      <c r="A834" s="11" t="s">
        <v>16799</v>
      </c>
      <c r="B834" s="11"/>
      <c r="C834" s="11" t="s">
        <v>6977</v>
      </c>
      <c r="D834" s="11"/>
      <c r="E834" s="11"/>
      <c r="F834" s="11"/>
      <c r="G834" s="12">
        <v>23743</v>
      </c>
      <c r="H834" s="12">
        <v>23743</v>
      </c>
      <c r="I834" s="11"/>
      <c r="J834" s="11" t="s">
        <v>45</v>
      </c>
      <c r="K834" s="11" t="s">
        <v>30</v>
      </c>
      <c r="L834" s="11" t="s">
        <v>18594</v>
      </c>
    </row>
    <row r="835" spans="1:12" ht="13.15" x14ac:dyDescent="0.4">
      <c r="A835" s="11" t="s">
        <v>16869</v>
      </c>
      <c r="B835" s="11"/>
      <c r="C835" s="11" t="s">
        <v>6977</v>
      </c>
      <c r="D835" s="11"/>
      <c r="E835" s="11"/>
      <c r="F835" s="11"/>
      <c r="G835" s="12">
        <v>24294</v>
      </c>
      <c r="H835" s="12">
        <v>24294</v>
      </c>
      <c r="I835" s="11"/>
      <c r="J835" s="11" t="s">
        <v>45</v>
      </c>
      <c r="K835" s="11" t="s">
        <v>30</v>
      </c>
      <c r="L835" s="11" t="s">
        <v>18523</v>
      </c>
    </row>
    <row r="836" spans="1:12" ht="13.15" x14ac:dyDescent="0.4">
      <c r="A836" s="11" t="s">
        <v>16820</v>
      </c>
      <c r="B836" s="11"/>
      <c r="C836" s="11" t="s">
        <v>6977</v>
      </c>
      <c r="D836" s="11"/>
      <c r="E836" s="11"/>
      <c r="F836" s="11"/>
      <c r="G836" s="12">
        <v>24420</v>
      </c>
      <c r="H836" s="12">
        <v>24420</v>
      </c>
      <c r="I836" s="11"/>
      <c r="J836" s="11" t="s">
        <v>45</v>
      </c>
      <c r="K836" s="11" t="s">
        <v>30</v>
      </c>
      <c r="L836" s="11" t="s">
        <v>18573</v>
      </c>
    </row>
    <row r="837" spans="1:12" ht="13.15" x14ac:dyDescent="0.4">
      <c r="A837" s="11" t="s">
        <v>17053</v>
      </c>
      <c r="B837" s="11"/>
      <c r="C837" s="11" t="s">
        <v>6977</v>
      </c>
      <c r="D837" s="11"/>
      <c r="E837" s="11"/>
      <c r="F837" s="11"/>
      <c r="G837" s="12">
        <v>21820</v>
      </c>
      <c r="H837" s="12">
        <v>21820</v>
      </c>
      <c r="I837" s="11"/>
      <c r="J837" s="11" t="s">
        <v>45</v>
      </c>
      <c r="K837" s="11" t="s">
        <v>30</v>
      </c>
      <c r="L837" s="11" t="s">
        <v>18342</v>
      </c>
    </row>
    <row r="838" spans="1:12" ht="13.15" x14ac:dyDescent="0.4">
      <c r="A838" s="11" t="s">
        <v>16781</v>
      </c>
      <c r="B838" s="11"/>
      <c r="C838" s="11" t="s">
        <v>6977</v>
      </c>
      <c r="D838" s="11"/>
      <c r="E838" s="11"/>
      <c r="F838" s="11"/>
      <c r="G838" s="12">
        <v>24344</v>
      </c>
      <c r="H838" s="12">
        <v>24344</v>
      </c>
      <c r="I838" s="11"/>
      <c r="J838" s="11" t="s">
        <v>45</v>
      </c>
      <c r="K838" s="11" t="s">
        <v>30</v>
      </c>
      <c r="L838" s="11" t="s">
        <v>18612</v>
      </c>
    </row>
    <row r="839" spans="1:12" ht="13.15" x14ac:dyDescent="0.4">
      <c r="A839" s="11" t="s">
        <v>17037</v>
      </c>
      <c r="B839" s="11"/>
      <c r="C839" s="11" t="s">
        <v>6977</v>
      </c>
      <c r="D839" s="11"/>
      <c r="E839" s="11"/>
      <c r="F839" s="11"/>
      <c r="G839" s="12">
        <v>22251</v>
      </c>
      <c r="H839" s="12">
        <v>22251</v>
      </c>
      <c r="I839" s="11"/>
      <c r="J839" s="11" t="s">
        <v>45</v>
      </c>
      <c r="K839" s="11" t="s">
        <v>30</v>
      </c>
      <c r="L839" s="11" t="s">
        <v>18358</v>
      </c>
    </row>
    <row r="840" spans="1:12" ht="13.15" x14ac:dyDescent="0.4">
      <c r="A840" s="11" t="s">
        <v>17079</v>
      </c>
      <c r="B840" s="11"/>
      <c r="C840" s="11" t="s">
        <v>6977</v>
      </c>
      <c r="D840" s="11"/>
      <c r="E840" s="11"/>
      <c r="F840" s="11"/>
      <c r="G840" s="12">
        <v>21820</v>
      </c>
      <c r="H840" s="12">
        <v>21820</v>
      </c>
      <c r="I840" s="11"/>
      <c r="J840" s="11" t="s">
        <v>45</v>
      </c>
      <c r="K840" s="11" t="s">
        <v>30</v>
      </c>
      <c r="L840" s="11" t="s">
        <v>18316</v>
      </c>
    </row>
    <row r="841" spans="1:12" ht="13.15" x14ac:dyDescent="0.4">
      <c r="A841" s="11" t="s">
        <v>17000</v>
      </c>
      <c r="B841" s="11"/>
      <c r="C841" s="11" t="s">
        <v>6977</v>
      </c>
      <c r="D841" s="11"/>
      <c r="E841" s="11"/>
      <c r="F841" s="11"/>
      <c r="G841" s="12">
        <v>21820</v>
      </c>
      <c r="H841" s="12">
        <v>21820</v>
      </c>
      <c r="I841" s="11"/>
      <c r="J841" s="11" t="s">
        <v>45</v>
      </c>
      <c r="K841" s="11" t="s">
        <v>30</v>
      </c>
      <c r="L841" s="11" t="s">
        <v>18394</v>
      </c>
    </row>
    <row r="842" spans="1:12" ht="13.15" x14ac:dyDescent="0.4">
      <c r="A842" s="11" t="s">
        <v>17022</v>
      </c>
      <c r="B842" s="11"/>
      <c r="C842" s="11" t="s">
        <v>6977</v>
      </c>
      <c r="D842" s="11"/>
      <c r="E842" s="11"/>
      <c r="F842" s="11"/>
      <c r="G842" s="12">
        <v>21820</v>
      </c>
      <c r="H842" s="12">
        <v>21820</v>
      </c>
      <c r="I842" s="11"/>
      <c r="J842" s="11" t="s">
        <v>45</v>
      </c>
      <c r="K842" s="11" t="s">
        <v>30</v>
      </c>
      <c r="L842" s="11" t="s">
        <v>18373</v>
      </c>
    </row>
    <row r="843" spans="1:12" ht="13.15" x14ac:dyDescent="0.4">
      <c r="A843" s="11" t="s">
        <v>17006</v>
      </c>
      <c r="B843" s="11"/>
      <c r="C843" s="11" t="s">
        <v>6977</v>
      </c>
      <c r="D843" s="11"/>
      <c r="E843" s="11"/>
      <c r="F843" s="11"/>
      <c r="G843" s="12">
        <v>21820</v>
      </c>
      <c r="H843" s="12">
        <v>21820</v>
      </c>
      <c r="I843" s="11"/>
      <c r="J843" s="11" t="s">
        <v>45</v>
      </c>
      <c r="K843" s="11" t="s">
        <v>30</v>
      </c>
      <c r="L843" s="11" t="s">
        <v>18389</v>
      </c>
    </row>
    <row r="844" spans="1:12" ht="13.15" x14ac:dyDescent="0.4">
      <c r="A844" s="11" t="s">
        <v>17095</v>
      </c>
      <c r="B844" s="11"/>
      <c r="C844" s="11" t="s">
        <v>6977</v>
      </c>
      <c r="D844" s="11"/>
      <c r="E844" s="11"/>
      <c r="F844" s="11"/>
      <c r="G844" s="12">
        <v>21820</v>
      </c>
      <c r="H844" s="12">
        <v>21820</v>
      </c>
      <c r="I844" s="11"/>
      <c r="J844" s="11" t="s">
        <v>45</v>
      </c>
      <c r="K844" s="11" t="s">
        <v>30</v>
      </c>
      <c r="L844" s="11" t="s">
        <v>18299</v>
      </c>
    </row>
    <row r="845" spans="1:12" ht="13.15" x14ac:dyDescent="0.4">
      <c r="A845" s="11" t="s">
        <v>17076</v>
      </c>
      <c r="B845" s="11"/>
      <c r="C845" s="11" t="s">
        <v>6977</v>
      </c>
      <c r="D845" s="11"/>
      <c r="E845" s="11"/>
      <c r="F845" s="11"/>
      <c r="G845" s="12">
        <v>21820</v>
      </c>
      <c r="H845" s="12">
        <v>21820</v>
      </c>
      <c r="I845" s="11"/>
      <c r="J845" s="11" t="s">
        <v>45</v>
      </c>
      <c r="K845" s="11" t="s">
        <v>30</v>
      </c>
      <c r="L845" s="11" t="s">
        <v>18319</v>
      </c>
    </row>
    <row r="846" spans="1:12" ht="13.15" x14ac:dyDescent="0.4">
      <c r="A846" s="11" t="s">
        <v>16998</v>
      </c>
      <c r="B846" s="11"/>
      <c r="C846" s="11" t="s">
        <v>6977</v>
      </c>
      <c r="D846" s="11"/>
      <c r="E846" s="11"/>
      <c r="F846" s="11"/>
      <c r="G846" s="12">
        <v>22520</v>
      </c>
      <c r="H846" s="12">
        <v>22520</v>
      </c>
      <c r="I846" s="11"/>
      <c r="J846" s="11" t="s">
        <v>45</v>
      </c>
      <c r="K846" s="11" t="s">
        <v>30</v>
      </c>
      <c r="L846" s="11" t="s">
        <v>18396</v>
      </c>
    </row>
    <row r="847" spans="1:12" ht="13.15" x14ac:dyDescent="0.4">
      <c r="A847" s="11" t="s">
        <v>16949</v>
      </c>
      <c r="B847" s="11"/>
      <c r="C847" s="11" t="s">
        <v>6977</v>
      </c>
      <c r="D847" s="11"/>
      <c r="E847" s="11"/>
      <c r="F847" s="11"/>
      <c r="G847" s="12">
        <v>22782</v>
      </c>
      <c r="H847" s="12">
        <v>22782</v>
      </c>
      <c r="I847" s="11"/>
      <c r="J847" s="11" t="s">
        <v>45</v>
      </c>
      <c r="K847" s="11" t="s">
        <v>30</v>
      </c>
      <c r="L847" s="11" t="s">
        <v>18443</v>
      </c>
    </row>
    <row r="848" spans="1:12" ht="13.15" x14ac:dyDescent="0.4">
      <c r="A848" s="11" t="s">
        <v>16908</v>
      </c>
      <c r="B848" s="11"/>
      <c r="C848" s="11" t="s">
        <v>6977</v>
      </c>
      <c r="D848" s="11"/>
      <c r="E848" s="11"/>
      <c r="F848" s="11"/>
      <c r="G848" s="12">
        <v>22755</v>
      </c>
      <c r="H848" s="12">
        <v>22755</v>
      </c>
      <c r="I848" s="11"/>
      <c r="J848" s="11" t="s">
        <v>45</v>
      </c>
      <c r="K848" s="11" t="s">
        <v>30</v>
      </c>
      <c r="L848" s="11" t="s">
        <v>18482</v>
      </c>
    </row>
    <row r="849" spans="1:12" ht="13.15" x14ac:dyDescent="0.4">
      <c r="A849" s="11" t="s">
        <v>16973</v>
      </c>
      <c r="B849" s="11"/>
      <c r="C849" s="11" t="s">
        <v>6977</v>
      </c>
      <c r="D849" s="11"/>
      <c r="E849" s="11"/>
      <c r="F849" s="11"/>
      <c r="G849" s="12">
        <v>22513</v>
      </c>
      <c r="H849" s="12">
        <v>22513</v>
      </c>
      <c r="I849" s="11"/>
      <c r="J849" s="11" t="s">
        <v>45</v>
      </c>
      <c r="K849" s="11" t="s">
        <v>30</v>
      </c>
      <c r="L849" s="11" t="s">
        <v>18419</v>
      </c>
    </row>
    <row r="850" spans="1:12" ht="13.15" x14ac:dyDescent="0.4">
      <c r="A850" s="11" t="s">
        <v>16693</v>
      </c>
      <c r="B850" s="11"/>
      <c r="C850" s="11" t="s">
        <v>6977</v>
      </c>
      <c r="D850" s="11"/>
      <c r="E850" s="11"/>
      <c r="F850" s="11"/>
      <c r="G850" s="12">
        <v>24467</v>
      </c>
      <c r="H850" s="12">
        <v>24467</v>
      </c>
      <c r="I850" s="11"/>
      <c r="J850" s="11" t="s">
        <v>45</v>
      </c>
      <c r="K850" s="11" t="s">
        <v>30</v>
      </c>
      <c r="L850" s="11" t="s">
        <v>18699</v>
      </c>
    </row>
    <row r="851" spans="1:12" ht="13.15" x14ac:dyDescent="0.4">
      <c r="A851" s="11" t="s">
        <v>16876</v>
      </c>
      <c r="B851" s="11"/>
      <c r="C851" s="11" t="s">
        <v>6977</v>
      </c>
      <c r="D851" s="11"/>
      <c r="E851" s="11"/>
      <c r="F851" s="11"/>
      <c r="G851" s="12">
        <v>22523</v>
      </c>
      <c r="H851" s="12">
        <v>22523</v>
      </c>
      <c r="I851" s="11"/>
      <c r="J851" s="11" t="s">
        <v>45</v>
      </c>
      <c r="K851" s="11" t="s">
        <v>30</v>
      </c>
      <c r="L851" s="11" t="s">
        <v>18515</v>
      </c>
    </row>
    <row r="852" spans="1:12" ht="13.15" x14ac:dyDescent="0.4">
      <c r="A852" s="11" t="s">
        <v>16750</v>
      </c>
      <c r="B852" s="11"/>
      <c r="C852" s="11" t="s">
        <v>6977</v>
      </c>
      <c r="D852" s="11"/>
      <c r="E852" s="11"/>
      <c r="F852" s="11"/>
      <c r="G852" s="12">
        <v>24862</v>
      </c>
      <c r="H852" s="12">
        <v>24862</v>
      </c>
      <c r="I852" s="11"/>
      <c r="J852" s="11" t="s">
        <v>45</v>
      </c>
      <c r="K852" s="11" t="s">
        <v>30</v>
      </c>
      <c r="L852" s="11" t="s">
        <v>18643</v>
      </c>
    </row>
    <row r="853" spans="1:12" ht="13.15" x14ac:dyDescent="0.4">
      <c r="A853" s="11" t="s">
        <v>16772</v>
      </c>
      <c r="B853" s="11"/>
      <c r="C853" s="11" t="s">
        <v>6977</v>
      </c>
      <c r="D853" s="11"/>
      <c r="E853" s="11"/>
      <c r="F853" s="11"/>
      <c r="G853" s="12">
        <v>24862</v>
      </c>
      <c r="H853" s="12">
        <v>24862</v>
      </c>
      <c r="I853" s="11"/>
      <c r="J853" s="11" t="s">
        <v>45</v>
      </c>
      <c r="K853" s="11" t="s">
        <v>30</v>
      </c>
      <c r="L853" s="11" t="s">
        <v>18621</v>
      </c>
    </row>
    <row r="854" spans="1:12" ht="13.15" x14ac:dyDescent="0.4">
      <c r="A854" s="11" t="s">
        <v>16771</v>
      </c>
      <c r="B854" s="11"/>
      <c r="C854" s="11" t="s">
        <v>6977</v>
      </c>
      <c r="D854" s="11"/>
      <c r="E854" s="11"/>
      <c r="F854" s="11"/>
      <c r="G854" s="12">
        <v>24979</v>
      </c>
      <c r="H854" s="12">
        <v>24979</v>
      </c>
      <c r="I854" s="11"/>
      <c r="J854" s="11" t="s">
        <v>45</v>
      </c>
      <c r="K854" s="11" t="s">
        <v>30</v>
      </c>
      <c r="L854" s="11" t="s">
        <v>18622</v>
      </c>
    </row>
    <row r="855" spans="1:12" ht="13.15" x14ac:dyDescent="0.4">
      <c r="A855" s="11" t="s">
        <v>16749</v>
      </c>
      <c r="B855" s="11"/>
      <c r="C855" s="11" t="s">
        <v>6977</v>
      </c>
      <c r="D855" s="11"/>
      <c r="E855" s="11"/>
      <c r="F855" s="11"/>
      <c r="G855" s="12">
        <v>24817</v>
      </c>
      <c r="H855" s="12">
        <v>24817</v>
      </c>
      <c r="I855" s="11"/>
      <c r="J855" s="11" t="s">
        <v>45</v>
      </c>
      <c r="K855" s="11" t="s">
        <v>30</v>
      </c>
      <c r="L855" s="11" t="s">
        <v>18644</v>
      </c>
    </row>
    <row r="856" spans="1:12" ht="13.15" x14ac:dyDescent="0.4">
      <c r="A856" s="11" t="s">
        <v>17019</v>
      </c>
      <c r="B856" s="11"/>
      <c r="C856" s="11" t="s">
        <v>6977</v>
      </c>
      <c r="D856" s="11"/>
      <c r="E856" s="11"/>
      <c r="F856" s="11"/>
      <c r="G856" s="12">
        <v>21820</v>
      </c>
      <c r="H856" s="12">
        <v>21820</v>
      </c>
      <c r="I856" s="11"/>
      <c r="J856" s="11" t="s">
        <v>45</v>
      </c>
      <c r="K856" s="11" t="s">
        <v>30</v>
      </c>
      <c r="L856" s="11" t="s">
        <v>18376</v>
      </c>
    </row>
    <row r="857" spans="1:12" ht="13.15" x14ac:dyDescent="0.4">
      <c r="A857" s="11" t="s">
        <v>17015</v>
      </c>
      <c r="B857" s="11"/>
      <c r="C857" s="11" t="s">
        <v>6977</v>
      </c>
      <c r="D857" s="11"/>
      <c r="E857" s="11"/>
      <c r="F857" s="11"/>
      <c r="G857" s="12">
        <v>22499</v>
      </c>
      <c r="H857" s="12">
        <v>22499</v>
      </c>
      <c r="I857" s="11"/>
      <c r="J857" s="11" t="s">
        <v>45</v>
      </c>
      <c r="K857" s="11" t="s">
        <v>30</v>
      </c>
      <c r="L857" s="11" t="s">
        <v>18380</v>
      </c>
    </row>
    <row r="858" spans="1:12" ht="13.15" x14ac:dyDescent="0.4">
      <c r="A858" s="11" t="s">
        <v>17055</v>
      </c>
      <c r="B858" s="11"/>
      <c r="C858" s="11" t="s">
        <v>6977</v>
      </c>
      <c r="D858" s="11"/>
      <c r="E858" s="11"/>
      <c r="F858" s="11"/>
      <c r="G858" s="12">
        <v>22499</v>
      </c>
      <c r="H858" s="12">
        <v>22499</v>
      </c>
      <c r="I858" s="11"/>
      <c r="J858" s="11" t="s">
        <v>45</v>
      </c>
      <c r="K858" s="11" t="s">
        <v>30</v>
      </c>
      <c r="L858" s="11" t="s">
        <v>18340</v>
      </c>
    </row>
    <row r="859" spans="1:12" ht="13.15" x14ac:dyDescent="0.4">
      <c r="A859" s="11" t="s">
        <v>16810</v>
      </c>
      <c r="B859" s="11"/>
      <c r="C859" s="11" t="s">
        <v>6977</v>
      </c>
      <c r="D859" s="11"/>
      <c r="E859" s="11"/>
      <c r="F859" s="11"/>
      <c r="G859" s="12">
        <v>23377</v>
      </c>
      <c r="H859" s="12">
        <v>23377</v>
      </c>
      <c r="I859" s="11"/>
      <c r="J859" s="11" t="s">
        <v>45</v>
      </c>
      <c r="K859" s="11" t="s">
        <v>30</v>
      </c>
      <c r="L859" s="11" t="s">
        <v>18583</v>
      </c>
    </row>
    <row r="860" spans="1:12" ht="13.15" x14ac:dyDescent="0.4">
      <c r="A860" s="11" t="s">
        <v>16839</v>
      </c>
      <c r="B860" s="11"/>
      <c r="C860" s="11" t="s">
        <v>6977</v>
      </c>
      <c r="D860" s="11"/>
      <c r="E860" s="11"/>
      <c r="F860" s="11"/>
      <c r="G860" s="12">
        <v>24080</v>
      </c>
      <c r="H860" s="12">
        <v>24080</v>
      </c>
      <c r="I860" s="11"/>
      <c r="J860" s="11" t="s">
        <v>45</v>
      </c>
      <c r="K860" s="11" t="s">
        <v>30</v>
      </c>
      <c r="L860" s="11" t="s">
        <v>18553</v>
      </c>
    </row>
    <row r="861" spans="1:12" ht="13.15" x14ac:dyDescent="0.4">
      <c r="A861" s="11" t="s">
        <v>16969</v>
      </c>
      <c r="B861" s="11"/>
      <c r="C861" s="11" t="s">
        <v>6977</v>
      </c>
      <c r="D861" s="11"/>
      <c r="E861" s="11"/>
      <c r="F861" s="11"/>
      <c r="G861" s="12">
        <v>22750</v>
      </c>
      <c r="H861" s="12">
        <v>22750</v>
      </c>
      <c r="I861" s="11"/>
      <c r="J861" s="11" t="s">
        <v>45</v>
      </c>
      <c r="K861" s="11" t="s">
        <v>30</v>
      </c>
      <c r="L861" s="11" t="s">
        <v>18423</v>
      </c>
    </row>
    <row r="862" spans="1:12" ht="13.15" x14ac:dyDescent="0.4">
      <c r="A862" s="11" t="s">
        <v>17001</v>
      </c>
      <c r="B862" s="11"/>
      <c r="C862" s="11" t="s">
        <v>6977</v>
      </c>
      <c r="D862" s="11"/>
      <c r="E862" s="11"/>
      <c r="F862" s="11"/>
      <c r="G862" s="12">
        <v>22493</v>
      </c>
      <c r="H862" s="12">
        <v>22493</v>
      </c>
      <c r="I862" s="11"/>
      <c r="J862" s="11" t="s">
        <v>45</v>
      </c>
      <c r="K862" s="11" t="s">
        <v>30</v>
      </c>
      <c r="L862" s="11" t="s">
        <v>18393</v>
      </c>
    </row>
    <row r="863" spans="1:12" ht="13.15" x14ac:dyDescent="0.4">
      <c r="A863" s="11" t="s">
        <v>16931</v>
      </c>
      <c r="B863" s="11"/>
      <c r="C863" s="11" t="s">
        <v>6977</v>
      </c>
      <c r="D863" s="11"/>
      <c r="E863" s="11"/>
      <c r="F863" s="11"/>
      <c r="G863" s="12">
        <v>22823</v>
      </c>
      <c r="H863" s="12">
        <v>22823</v>
      </c>
      <c r="I863" s="11"/>
      <c r="J863" s="11" t="s">
        <v>45</v>
      </c>
      <c r="K863" s="11" t="s">
        <v>30</v>
      </c>
      <c r="L863" s="11" t="s">
        <v>18460</v>
      </c>
    </row>
    <row r="864" spans="1:12" ht="13.15" x14ac:dyDescent="0.4">
      <c r="A864" s="11" t="s">
        <v>16956</v>
      </c>
      <c r="B864" s="11"/>
      <c r="C864" s="11" t="s">
        <v>6977</v>
      </c>
      <c r="D864" s="11"/>
      <c r="E864" s="11"/>
      <c r="F864" s="11"/>
      <c r="G864" s="12">
        <v>22935</v>
      </c>
      <c r="H864" s="12">
        <v>22935</v>
      </c>
      <c r="I864" s="11"/>
      <c r="J864" s="11" t="s">
        <v>45</v>
      </c>
      <c r="K864" s="11" t="s">
        <v>30</v>
      </c>
      <c r="L864" s="11" t="s">
        <v>18436</v>
      </c>
    </row>
    <row r="865" spans="1:12" ht="13.15" x14ac:dyDescent="0.4">
      <c r="A865" s="11" t="s">
        <v>16942</v>
      </c>
      <c r="B865" s="11"/>
      <c r="C865" s="11" t="s">
        <v>6977</v>
      </c>
      <c r="D865" s="11"/>
      <c r="E865" s="11"/>
      <c r="F865" s="11"/>
      <c r="G865" s="12">
        <v>22936</v>
      </c>
      <c r="H865" s="12">
        <v>22936</v>
      </c>
      <c r="I865" s="11"/>
      <c r="J865" s="11" t="s">
        <v>45</v>
      </c>
      <c r="K865" s="11" t="s">
        <v>30</v>
      </c>
      <c r="L865" s="11" t="s">
        <v>18450</v>
      </c>
    </row>
    <row r="866" spans="1:12" ht="13.15" x14ac:dyDescent="0.4">
      <c r="A866" s="11" t="s">
        <v>16916</v>
      </c>
      <c r="B866" s="11"/>
      <c r="C866" s="11" t="s">
        <v>6977</v>
      </c>
      <c r="D866" s="11"/>
      <c r="E866" s="11"/>
      <c r="F866" s="11"/>
      <c r="G866" s="12">
        <v>22659</v>
      </c>
      <c r="H866" s="12">
        <v>22659</v>
      </c>
      <c r="I866" s="11"/>
      <c r="J866" s="11" t="s">
        <v>45</v>
      </c>
      <c r="K866" s="11" t="s">
        <v>30</v>
      </c>
      <c r="L866" s="11" t="s">
        <v>18474</v>
      </c>
    </row>
    <row r="867" spans="1:12" ht="13.15" x14ac:dyDescent="0.4">
      <c r="A867" s="11" t="s">
        <v>16930</v>
      </c>
      <c r="B867" s="11"/>
      <c r="C867" s="11" t="s">
        <v>6977</v>
      </c>
      <c r="D867" s="11"/>
      <c r="E867" s="11"/>
      <c r="F867" s="11"/>
      <c r="G867" s="12">
        <v>22859</v>
      </c>
      <c r="H867" s="12">
        <v>22859</v>
      </c>
      <c r="I867" s="11"/>
      <c r="J867" s="11" t="s">
        <v>45</v>
      </c>
      <c r="K867" s="11" t="s">
        <v>30</v>
      </c>
      <c r="L867" s="11" t="s">
        <v>18461</v>
      </c>
    </row>
    <row r="868" spans="1:12" ht="13.15" x14ac:dyDescent="0.4">
      <c r="A868" s="11" t="s">
        <v>16911</v>
      </c>
      <c r="B868" s="11"/>
      <c r="C868" s="11" t="s">
        <v>6977</v>
      </c>
      <c r="D868" s="11"/>
      <c r="E868" s="11"/>
      <c r="F868" s="11"/>
      <c r="G868" s="12">
        <v>22877</v>
      </c>
      <c r="H868" s="12">
        <v>22877</v>
      </c>
      <c r="I868" s="11"/>
      <c r="J868" s="11" t="s">
        <v>45</v>
      </c>
      <c r="K868" s="11" t="s">
        <v>30</v>
      </c>
      <c r="L868" s="11" t="s">
        <v>18479</v>
      </c>
    </row>
    <row r="869" spans="1:12" ht="13.15" x14ac:dyDescent="0.4">
      <c r="A869" s="11" t="s">
        <v>16927</v>
      </c>
      <c r="B869" s="11"/>
      <c r="C869" s="11" t="s">
        <v>6977</v>
      </c>
      <c r="D869" s="11"/>
      <c r="E869" s="11"/>
      <c r="F869" s="11"/>
      <c r="G869" s="12">
        <v>22769</v>
      </c>
      <c r="H869" s="12">
        <v>22769</v>
      </c>
      <c r="I869" s="11"/>
      <c r="J869" s="11" t="s">
        <v>45</v>
      </c>
      <c r="K869" s="11" t="s">
        <v>30</v>
      </c>
      <c r="L869" s="11" t="s">
        <v>18464</v>
      </c>
    </row>
    <row r="870" spans="1:12" ht="13.15" x14ac:dyDescent="0.4">
      <c r="A870" s="11" t="s">
        <v>16958</v>
      </c>
      <c r="B870" s="11"/>
      <c r="C870" s="11" t="s">
        <v>6977</v>
      </c>
      <c r="D870" s="11"/>
      <c r="E870" s="11"/>
      <c r="F870" s="11"/>
      <c r="G870" s="12">
        <v>22842</v>
      </c>
      <c r="H870" s="12">
        <v>22842</v>
      </c>
      <c r="I870" s="11"/>
      <c r="J870" s="11" t="s">
        <v>45</v>
      </c>
      <c r="K870" s="11" t="s">
        <v>30</v>
      </c>
      <c r="L870" s="11" t="s">
        <v>18434</v>
      </c>
    </row>
    <row r="871" spans="1:12" ht="13.15" x14ac:dyDescent="0.4">
      <c r="A871" s="11" t="s">
        <v>16718</v>
      </c>
      <c r="B871" s="11"/>
      <c r="C871" s="11" t="s">
        <v>6977</v>
      </c>
      <c r="D871" s="11"/>
      <c r="E871" s="11"/>
      <c r="F871" s="11"/>
      <c r="G871" s="12">
        <v>24563</v>
      </c>
      <c r="H871" s="12">
        <v>24563</v>
      </c>
      <c r="I871" s="11"/>
      <c r="J871" s="11" t="s">
        <v>45</v>
      </c>
      <c r="K871" s="11" t="s">
        <v>30</v>
      </c>
      <c r="L871" s="11" t="s">
        <v>18675</v>
      </c>
    </row>
    <row r="872" spans="1:12" ht="13.15" x14ac:dyDescent="0.4">
      <c r="A872" s="11" t="s">
        <v>16702</v>
      </c>
      <c r="B872" s="11"/>
      <c r="C872" s="11" t="s">
        <v>6977</v>
      </c>
      <c r="D872" s="11"/>
      <c r="E872" s="11"/>
      <c r="F872" s="11"/>
      <c r="G872" s="12">
        <v>24444</v>
      </c>
      <c r="H872" s="12">
        <v>24444</v>
      </c>
      <c r="I872" s="11"/>
      <c r="J872" s="11" t="s">
        <v>45</v>
      </c>
      <c r="K872" s="11" t="s">
        <v>30</v>
      </c>
      <c r="L872" s="11" t="s">
        <v>18690</v>
      </c>
    </row>
    <row r="873" spans="1:12" ht="13.15" x14ac:dyDescent="0.4">
      <c r="A873" s="11" t="s">
        <v>16841</v>
      </c>
      <c r="B873" s="11"/>
      <c r="C873" s="11" t="s">
        <v>6977</v>
      </c>
      <c r="D873" s="11"/>
      <c r="E873" s="11"/>
      <c r="F873" s="11"/>
      <c r="G873" s="12">
        <v>24102</v>
      </c>
      <c r="H873" s="12">
        <v>24102</v>
      </c>
      <c r="I873" s="11"/>
      <c r="J873" s="11" t="s">
        <v>45</v>
      </c>
      <c r="K873" s="11" t="s">
        <v>30</v>
      </c>
      <c r="L873" s="11" t="s">
        <v>18551</v>
      </c>
    </row>
    <row r="874" spans="1:12" ht="13.15" x14ac:dyDescent="0.4">
      <c r="A874" s="11" t="s">
        <v>16723</v>
      </c>
      <c r="B874" s="11"/>
      <c r="C874" s="11" t="s">
        <v>6977</v>
      </c>
      <c r="D874" s="11"/>
      <c r="E874" s="11"/>
      <c r="F874" s="11"/>
      <c r="G874" s="12">
        <v>24445</v>
      </c>
      <c r="H874" s="12">
        <v>24445</v>
      </c>
      <c r="I874" s="11"/>
      <c r="J874" s="11" t="s">
        <v>45</v>
      </c>
      <c r="K874" s="11" t="s">
        <v>30</v>
      </c>
      <c r="L874" s="11" t="s">
        <v>18670</v>
      </c>
    </row>
    <row r="875" spans="1:12" ht="13.15" x14ac:dyDescent="0.4">
      <c r="A875" s="11" t="s">
        <v>17032</v>
      </c>
      <c r="B875" s="11"/>
      <c r="C875" s="11" t="s">
        <v>6977</v>
      </c>
      <c r="D875" s="11"/>
      <c r="E875" s="11"/>
      <c r="F875" s="11"/>
      <c r="G875" s="12">
        <v>22493</v>
      </c>
      <c r="H875" s="12">
        <v>22493</v>
      </c>
      <c r="I875" s="11"/>
      <c r="J875" s="11" t="s">
        <v>45</v>
      </c>
      <c r="K875" s="11" t="s">
        <v>30</v>
      </c>
      <c r="L875" s="11" t="s">
        <v>18363</v>
      </c>
    </row>
    <row r="876" spans="1:12" ht="13.15" x14ac:dyDescent="0.4">
      <c r="A876" s="11" t="s">
        <v>16736</v>
      </c>
      <c r="B876" s="11"/>
      <c r="C876" s="11" t="s">
        <v>6977</v>
      </c>
      <c r="D876" s="11"/>
      <c r="E876" s="11"/>
      <c r="F876" s="11"/>
      <c r="G876" s="12">
        <v>24714</v>
      </c>
      <c r="H876" s="12">
        <v>24714</v>
      </c>
      <c r="I876" s="11"/>
      <c r="J876" s="11" t="s">
        <v>45</v>
      </c>
      <c r="K876" s="11" t="s">
        <v>30</v>
      </c>
      <c r="L876" s="11" t="s">
        <v>18657</v>
      </c>
    </row>
    <row r="877" spans="1:12" ht="13.15" x14ac:dyDescent="0.4">
      <c r="A877" s="11" t="s">
        <v>16732</v>
      </c>
      <c r="B877" s="11"/>
      <c r="C877" s="11" t="s">
        <v>6977</v>
      </c>
      <c r="D877" s="11"/>
      <c r="E877" s="11"/>
      <c r="F877" s="11"/>
      <c r="G877" s="12">
        <v>24612</v>
      </c>
      <c r="H877" s="12">
        <v>24612</v>
      </c>
      <c r="I877" s="11"/>
      <c r="J877" s="11" t="s">
        <v>45</v>
      </c>
      <c r="K877" s="11" t="s">
        <v>30</v>
      </c>
      <c r="L877" s="11" t="s">
        <v>18661</v>
      </c>
    </row>
    <row r="878" spans="1:12" ht="13.15" x14ac:dyDescent="0.4">
      <c r="A878" s="11" t="s">
        <v>16831</v>
      </c>
      <c r="B878" s="11"/>
      <c r="C878" s="11" t="s">
        <v>6977</v>
      </c>
      <c r="D878" s="11"/>
      <c r="E878" s="11"/>
      <c r="F878" s="11"/>
      <c r="G878" s="12">
        <v>24102</v>
      </c>
      <c r="H878" s="12">
        <v>24102</v>
      </c>
      <c r="I878" s="11"/>
      <c r="J878" s="11" t="s">
        <v>45</v>
      </c>
      <c r="K878" s="11" t="s">
        <v>30</v>
      </c>
      <c r="L878" s="11" t="s">
        <v>18561</v>
      </c>
    </row>
    <row r="879" spans="1:12" ht="13.15" x14ac:dyDescent="0.4">
      <c r="A879" s="11" t="s">
        <v>17057</v>
      </c>
      <c r="B879" s="11"/>
      <c r="C879" s="11" t="s">
        <v>6977</v>
      </c>
      <c r="D879" s="11"/>
      <c r="E879" s="11"/>
      <c r="F879" s="11"/>
      <c r="G879" s="12">
        <v>21820</v>
      </c>
      <c r="H879" s="12">
        <v>21820</v>
      </c>
      <c r="I879" s="11"/>
      <c r="J879" s="11" t="s">
        <v>45</v>
      </c>
      <c r="K879" s="11" t="s">
        <v>30</v>
      </c>
      <c r="L879" s="11" t="s">
        <v>18338</v>
      </c>
    </row>
    <row r="880" spans="1:12" ht="13.15" x14ac:dyDescent="0.4">
      <c r="A880" s="11" t="s">
        <v>16770</v>
      </c>
      <c r="B880" s="11"/>
      <c r="C880" s="11" t="s">
        <v>6977</v>
      </c>
      <c r="D880" s="11"/>
      <c r="E880" s="11"/>
      <c r="F880" s="11"/>
      <c r="G880" s="12">
        <v>24862</v>
      </c>
      <c r="H880" s="12">
        <v>24862</v>
      </c>
      <c r="I880" s="11"/>
      <c r="J880" s="11" t="s">
        <v>45</v>
      </c>
      <c r="K880" s="11" t="s">
        <v>30</v>
      </c>
      <c r="L880" s="11" t="s">
        <v>18623</v>
      </c>
    </row>
    <row r="881" spans="1:12" ht="13.15" x14ac:dyDescent="0.4">
      <c r="A881" s="11" t="s">
        <v>16855</v>
      </c>
      <c r="B881" s="11"/>
      <c r="C881" s="11" t="s">
        <v>6977</v>
      </c>
      <c r="D881" s="11"/>
      <c r="E881" s="11"/>
      <c r="F881" s="11"/>
      <c r="G881" s="12">
        <v>23121</v>
      </c>
      <c r="H881" s="12">
        <v>23121</v>
      </c>
      <c r="I881" s="11"/>
      <c r="J881" s="11" t="s">
        <v>45</v>
      </c>
      <c r="K881" s="11" t="s">
        <v>30</v>
      </c>
      <c r="L881" s="11" t="s">
        <v>18538</v>
      </c>
    </row>
    <row r="882" spans="1:12" ht="13.15" x14ac:dyDescent="0.4">
      <c r="A882" s="11" t="s">
        <v>16753</v>
      </c>
      <c r="B882" s="11"/>
      <c r="C882" s="11" t="s">
        <v>6977</v>
      </c>
      <c r="D882" s="11"/>
      <c r="E882" s="11"/>
      <c r="F882" s="11"/>
      <c r="G882" s="12">
        <v>24444</v>
      </c>
      <c r="H882" s="12">
        <v>24444</v>
      </c>
      <c r="I882" s="11"/>
      <c r="J882" s="11" t="s">
        <v>45</v>
      </c>
      <c r="K882" s="11" t="s">
        <v>30</v>
      </c>
      <c r="L882" s="11" t="s">
        <v>18640</v>
      </c>
    </row>
    <row r="883" spans="1:12" ht="13.15" x14ac:dyDescent="0.4">
      <c r="A883" s="11" t="s">
        <v>16768</v>
      </c>
      <c r="B883" s="11"/>
      <c r="C883" s="11" t="s">
        <v>6977</v>
      </c>
      <c r="D883" s="11"/>
      <c r="E883" s="11"/>
      <c r="F883" s="11"/>
      <c r="G883" s="12">
        <v>24421</v>
      </c>
      <c r="H883" s="12">
        <v>24421</v>
      </c>
      <c r="I883" s="11"/>
      <c r="J883" s="11" t="s">
        <v>45</v>
      </c>
      <c r="K883" s="11" t="s">
        <v>30</v>
      </c>
      <c r="L883" s="11" t="s">
        <v>18625</v>
      </c>
    </row>
    <row r="884" spans="1:12" ht="13.15" x14ac:dyDescent="0.4">
      <c r="A884" s="11" t="s">
        <v>16984</v>
      </c>
      <c r="B884" s="11"/>
      <c r="C884" s="11" t="s">
        <v>6977</v>
      </c>
      <c r="D884" s="11"/>
      <c r="E884" s="11"/>
      <c r="F884" s="11"/>
      <c r="G884" s="12">
        <v>22513</v>
      </c>
      <c r="H884" s="12">
        <v>22513</v>
      </c>
      <c r="I884" s="11"/>
      <c r="J884" s="11" t="s">
        <v>45</v>
      </c>
      <c r="K884" s="11" t="s">
        <v>30</v>
      </c>
      <c r="L884" s="11" t="s">
        <v>18409</v>
      </c>
    </row>
    <row r="885" spans="1:12" ht="13.15" x14ac:dyDescent="0.4">
      <c r="A885" s="11" t="s">
        <v>16945</v>
      </c>
      <c r="B885" s="11"/>
      <c r="C885" s="11" t="s">
        <v>6977</v>
      </c>
      <c r="D885" s="11"/>
      <c r="E885" s="11"/>
      <c r="F885" s="11"/>
      <c r="G885" s="12">
        <v>22553</v>
      </c>
      <c r="H885" s="12">
        <v>22553</v>
      </c>
      <c r="I885" s="11"/>
      <c r="J885" s="11" t="s">
        <v>45</v>
      </c>
      <c r="K885" s="11" t="s">
        <v>30</v>
      </c>
      <c r="L885" s="11" t="s">
        <v>18447</v>
      </c>
    </row>
    <row r="886" spans="1:12" ht="13.15" x14ac:dyDescent="0.4">
      <c r="A886" s="11" t="s">
        <v>16943</v>
      </c>
      <c r="B886" s="11"/>
      <c r="C886" s="11" t="s">
        <v>6977</v>
      </c>
      <c r="D886" s="11"/>
      <c r="E886" s="11"/>
      <c r="F886" s="11"/>
      <c r="G886" s="12">
        <v>22553</v>
      </c>
      <c r="H886" s="12">
        <v>22553</v>
      </c>
      <c r="I886" s="11"/>
      <c r="J886" s="11" t="s">
        <v>45</v>
      </c>
      <c r="K886" s="11" t="s">
        <v>30</v>
      </c>
      <c r="L886" s="11" t="s">
        <v>18449</v>
      </c>
    </row>
    <row r="887" spans="1:12" ht="13.15" x14ac:dyDescent="0.4">
      <c r="A887" s="11" t="s">
        <v>16914</v>
      </c>
      <c r="B887" s="11"/>
      <c r="C887" s="11" t="s">
        <v>6977</v>
      </c>
      <c r="D887" s="11"/>
      <c r="E887" s="11"/>
      <c r="F887" s="11"/>
      <c r="G887" s="12">
        <v>22606</v>
      </c>
      <c r="H887" s="12">
        <v>22606</v>
      </c>
      <c r="I887" s="11"/>
      <c r="J887" s="11" t="s">
        <v>45</v>
      </c>
      <c r="K887" s="11" t="s">
        <v>30</v>
      </c>
      <c r="L887" s="11" t="s">
        <v>18476</v>
      </c>
    </row>
    <row r="888" spans="1:12" ht="13.15" x14ac:dyDescent="0.4">
      <c r="A888" s="11" t="s">
        <v>16884</v>
      </c>
      <c r="B888" s="11"/>
      <c r="C888" s="11" t="s">
        <v>6977</v>
      </c>
      <c r="D888" s="11"/>
      <c r="E888" s="11"/>
      <c r="F888" s="11"/>
      <c r="G888" s="12">
        <v>22569</v>
      </c>
      <c r="H888" s="12">
        <v>22569</v>
      </c>
      <c r="I888" s="11"/>
      <c r="J888" s="11" t="s">
        <v>45</v>
      </c>
      <c r="K888" s="11" t="s">
        <v>30</v>
      </c>
      <c r="L888" s="11" t="s">
        <v>18506</v>
      </c>
    </row>
    <row r="889" spans="1:12" ht="13.15" x14ac:dyDescent="0.4">
      <c r="A889" s="11" t="s">
        <v>16944</v>
      </c>
      <c r="B889" s="11"/>
      <c r="C889" s="11" t="s">
        <v>6977</v>
      </c>
      <c r="D889" s="11"/>
      <c r="E889" s="11"/>
      <c r="F889" s="11"/>
      <c r="G889" s="12">
        <v>22741</v>
      </c>
      <c r="H889" s="12">
        <v>22741</v>
      </c>
      <c r="I889" s="11"/>
      <c r="J889" s="11" t="s">
        <v>45</v>
      </c>
      <c r="K889" s="11" t="s">
        <v>30</v>
      </c>
      <c r="L889" s="11" t="s">
        <v>18448</v>
      </c>
    </row>
    <row r="890" spans="1:12" ht="13.15" x14ac:dyDescent="0.4">
      <c r="A890" s="11" t="s">
        <v>17013</v>
      </c>
      <c r="B890" s="11"/>
      <c r="C890" s="11" t="s">
        <v>6977</v>
      </c>
      <c r="D890" s="11"/>
      <c r="E890" s="11"/>
      <c r="F890" s="11"/>
      <c r="G890" s="12">
        <v>22237</v>
      </c>
      <c r="H890" s="12">
        <v>22237</v>
      </c>
      <c r="I890" s="11"/>
      <c r="J890" s="11" t="s">
        <v>45</v>
      </c>
      <c r="K890" s="11" t="s">
        <v>30</v>
      </c>
      <c r="L890" s="11" t="s">
        <v>18382</v>
      </c>
    </row>
    <row r="891" spans="1:12" ht="13.15" x14ac:dyDescent="0.4">
      <c r="A891" s="11" t="s">
        <v>17029</v>
      </c>
      <c r="B891" s="11"/>
      <c r="C891" s="11" t="s">
        <v>6977</v>
      </c>
      <c r="D891" s="11"/>
      <c r="E891" s="11"/>
      <c r="F891" s="11"/>
      <c r="G891" s="12">
        <v>22508</v>
      </c>
      <c r="H891" s="12">
        <v>22508</v>
      </c>
      <c r="I891" s="11"/>
      <c r="J891" s="11" t="s">
        <v>45</v>
      </c>
      <c r="K891" s="11" t="s">
        <v>30</v>
      </c>
      <c r="L891" s="11" t="s">
        <v>18366</v>
      </c>
    </row>
    <row r="892" spans="1:12" ht="13.15" x14ac:dyDescent="0.4">
      <c r="A892" s="11" t="s">
        <v>16764</v>
      </c>
      <c r="B892" s="11"/>
      <c r="C892" s="11" t="s">
        <v>6977</v>
      </c>
      <c r="D892" s="11"/>
      <c r="E892" s="11"/>
      <c r="F892" s="11"/>
      <c r="G892" s="12">
        <v>24848</v>
      </c>
      <c r="H892" s="12">
        <v>24848</v>
      </c>
      <c r="I892" s="11"/>
      <c r="J892" s="11" t="s">
        <v>45</v>
      </c>
      <c r="K892" s="11" t="s">
        <v>30</v>
      </c>
      <c r="L892" s="11" t="s">
        <v>18629</v>
      </c>
    </row>
    <row r="893" spans="1:12" ht="13.15" x14ac:dyDescent="0.4">
      <c r="A893" s="11" t="s">
        <v>16743</v>
      </c>
      <c r="B893" s="11"/>
      <c r="C893" s="11" t="s">
        <v>6977</v>
      </c>
      <c r="D893" s="11"/>
      <c r="E893" s="11"/>
      <c r="F893" s="11"/>
      <c r="G893" s="12">
        <v>24445</v>
      </c>
      <c r="H893" s="12">
        <v>24445</v>
      </c>
      <c r="I893" s="11"/>
      <c r="J893" s="11" t="s">
        <v>45</v>
      </c>
      <c r="K893" s="11" t="s">
        <v>30</v>
      </c>
      <c r="L893" s="11" t="s">
        <v>18650</v>
      </c>
    </row>
    <row r="894" spans="1:12" ht="13.15" x14ac:dyDescent="0.4">
      <c r="A894" s="11" t="s">
        <v>16891</v>
      </c>
      <c r="B894" s="11"/>
      <c r="C894" s="11" t="s">
        <v>6977</v>
      </c>
      <c r="D894" s="11"/>
      <c r="E894" s="11"/>
      <c r="F894" s="11"/>
      <c r="G894" s="12">
        <v>22553</v>
      </c>
      <c r="H894" s="12">
        <v>22553</v>
      </c>
      <c r="I894" s="11"/>
      <c r="J894" s="11" t="s">
        <v>45</v>
      </c>
      <c r="K894" s="11" t="s">
        <v>30</v>
      </c>
      <c r="L894" s="11" t="s">
        <v>18499</v>
      </c>
    </row>
    <row r="895" spans="1:12" ht="13.15" x14ac:dyDescent="0.4">
      <c r="A895" s="11" t="s">
        <v>16766</v>
      </c>
      <c r="B895" s="11"/>
      <c r="C895" s="11" t="s">
        <v>6977</v>
      </c>
      <c r="D895" s="11"/>
      <c r="E895" s="11"/>
      <c r="F895" s="11"/>
      <c r="G895" s="12">
        <v>24943</v>
      </c>
      <c r="H895" s="12">
        <v>24943</v>
      </c>
      <c r="I895" s="11"/>
      <c r="J895" s="11" t="s">
        <v>45</v>
      </c>
      <c r="K895" s="11" t="s">
        <v>30</v>
      </c>
      <c r="L895" s="11" t="s">
        <v>18627</v>
      </c>
    </row>
    <row r="896" spans="1:12" ht="13.15" x14ac:dyDescent="0.4">
      <c r="A896" s="11" t="s">
        <v>16900</v>
      </c>
      <c r="B896" s="11"/>
      <c r="C896" s="11" t="s">
        <v>6977</v>
      </c>
      <c r="D896" s="11"/>
      <c r="E896" s="11"/>
      <c r="F896" s="11"/>
      <c r="G896" s="12">
        <v>22809</v>
      </c>
      <c r="H896" s="12">
        <v>22809</v>
      </c>
      <c r="I896" s="11"/>
      <c r="J896" s="11" t="s">
        <v>45</v>
      </c>
      <c r="K896" s="11" t="s">
        <v>30</v>
      </c>
      <c r="L896" s="11" t="s">
        <v>18490</v>
      </c>
    </row>
    <row r="897" spans="1:12" ht="13.15" x14ac:dyDescent="0.4">
      <c r="A897" s="11" t="s">
        <v>16879</v>
      </c>
      <c r="B897" s="11"/>
      <c r="C897" s="11" t="s">
        <v>6977</v>
      </c>
      <c r="D897" s="11"/>
      <c r="E897" s="11"/>
      <c r="F897" s="11"/>
      <c r="G897" s="12">
        <v>22530</v>
      </c>
      <c r="H897" s="12">
        <v>22530</v>
      </c>
      <c r="I897" s="11"/>
      <c r="J897" s="11" t="s">
        <v>45</v>
      </c>
      <c r="K897" s="11" t="s">
        <v>30</v>
      </c>
      <c r="L897" s="11" t="s">
        <v>18511</v>
      </c>
    </row>
    <row r="898" spans="1:12" ht="13.15" x14ac:dyDescent="0.4">
      <c r="A898" s="11" t="s">
        <v>16953</v>
      </c>
      <c r="B898" s="11"/>
      <c r="C898" s="11" t="s">
        <v>6977</v>
      </c>
      <c r="D898" s="11"/>
      <c r="E898" s="11"/>
      <c r="F898" s="11"/>
      <c r="G898" s="12">
        <v>22553</v>
      </c>
      <c r="H898" s="12">
        <v>22553</v>
      </c>
      <c r="I898" s="11"/>
      <c r="J898" s="11" t="s">
        <v>45</v>
      </c>
      <c r="K898" s="11" t="s">
        <v>30</v>
      </c>
      <c r="L898" s="11" t="s">
        <v>18439</v>
      </c>
    </row>
    <row r="899" spans="1:12" ht="13.15" x14ac:dyDescent="0.4">
      <c r="A899" s="11" t="s">
        <v>16874</v>
      </c>
      <c r="B899" s="11"/>
      <c r="C899" s="11" t="s">
        <v>6977</v>
      </c>
      <c r="D899" s="11"/>
      <c r="E899" s="11"/>
      <c r="F899" s="11"/>
      <c r="G899" s="12">
        <v>22553</v>
      </c>
      <c r="H899" s="12">
        <v>22553</v>
      </c>
      <c r="I899" s="11"/>
      <c r="J899" s="11" t="s">
        <v>45</v>
      </c>
      <c r="K899" s="11" t="s">
        <v>30</v>
      </c>
      <c r="L899" s="11" t="s">
        <v>18517</v>
      </c>
    </row>
    <row r="900" spans="1:12" ht="13.15" x14ac:dyDescent="0.4">
      <c r="A900" s="11" t="s">
        <v>17021</v>
      </c>
      <c r="B900" s="11"/>
      <c r="C900" s="11" t="s">
        <v>6977</v>
      </c>
      <c r="D900" s="11"/>
      <c r="E900" s="11"/>
      <c r="F900" s="11"/>
      <c r="G900" s="12">
        <v>22236</v>
      </c>
      <c r="H900" s="12">
        <v>22236</v>
      </c>
      <c r="I900" s="11"/>
      <c r="J900" s="11" t="s">
        <v>45</v>
      </c>
      <c r="K900" s="11" t="s">
        <v>30</v>
      </c>
      <c r="L900" s="11" t="s">
        <v>18374</v>
      </c>
    </row>
    <row r="901" spans="1:12" ht="13.15" x14ac:dyDescent="0.4">
      <c r="A901" s="11" t="s">
        <v>17065</v>
      </c>
      <c r="B901" s="11"/>
      <c r="C901" s="11" t="s">
        <v>6977</v>
      </c>
      <c r="D901" s="11"/>
      <c r="E901" s="11"/>
      <c r="F901" s="11"/>
      <c r="G901" s="12">
        <v>22264</v>
      </c>
      <c r="H901" s="12">
        <v>22264</v>
      </c>
      <c r="I901" s="11"/>
      <c r="J901" s="11" t="s">
        <v>45</v>
      </c>
      <c r="K901" s="11" t="s">
        <v>30</v>
      </c>
      <c r="L901" s="11" t="s">
        <v>18330</v>
      </c>
    </row>
    <row r="902" spans="1:12" ht="13.15" x14ac:dyDescent="0.4">
      <c r="A902" s="11" t="s">
        <v>16797</v>
      </c>
      <c r="B902" s="11"/>
      <c r="C902" s="11" t="s">
        <v>6977</v>
      </c>
      <c r="D902" s="11"/>
      <c r="E902" s="11"/>
      <c r="F902" s="11"/>
      <c r="G902" s="12">
        <v>23715</v>
      </c>
      <c r="H902" s="12">
        <v>23715</v>
      </c>
      <c r="I902" s="11"/>
      <c r="J902" s="11" t="s">
        <v>45</v>
      </c>
      <c r="K902" s="11" t="s">
        <v>30</v>
      </c>
      <c r="L902" s="11" t="s">
        <v>18596</v>
      </c>
    </row>
    <row r="903" spans="1:12" ht="13.15" x14ac:dyDescent="0.4">
      <c r="A903" s="11" t="s">
        <v>16793</v>
      </c>
      <c r="B903" s="11"/>
      <c r="C903" s="11" t="s">
        <v>6977</v>
      </c>
      <c r="D903" s="11"/>
      <c r="E903" s="11"/>
      <c r="F903" s="11"/>
      <c r="G903" s="12">
        <v>23756</v>
      </c>
      <c r="H903" s="12">
        <v>23756</v>
      </c>
      <c r="I903" s="11"/>
      <c r="J903" s="11" t="s">
        <v>45</v>
      </c>
      <c r="K903" s="11" t="s">
        <v>30</v>
      </c>
      <c r="L903" s="11" t="s">
        <v>18600</v>
      </c>
    </row>
    <row r="904" spans="1:12" ht="13.15" x14ac:dyDescent="0.4">
      <c r="A904" s="11" t="s">
        <v>16798</v>
      </c>
      <c r="B904" s="11"/>
      <c r="C904" s="11" t="s">
        <v>6977</v>
      </c>
      <c r="D904" s="11"/>
      <c r="E904" s="11"/>
      <c r="F904" s="11"/>
      <c r="G904" s="12">
        <v>23590</v>
      </c>
      <c r="H904" s="12">
        <v>23590</v>
      </c>
      <c r="I904" s="11"/>
      <c r="J904" s="11" t="s">
        <v>45</v>
      </c>
      <c r="K904" s="11" t="s">
        <v>30</v>
      </c>
      <c r="L904" s="11" t="s">
        <v>18595</v>
      </c>
    </row>
    <row r="905" spans="1:12" ht="13.15" x14ac:dyDescent="0.4">
      <c r="A905" s="11" t="s">
        <v>16823</v>
      </c>
      <c r="B905" s="11"/>
      <c r="C905" s="11" t="s">
        <v>6977</v>
      </c>
      <c r="D905" s="11"/>
      <c r="E905" s="11"/>
      <c r="F905" s="11"/>
      <c r="G905" s="12">
        <v>23591</v>
      </c>
      <c r="H905" s="12">
        <v>23591</v>
      </c>
      <c r="I905" s="11"/>
      <c r="J905" s="11" t="s">
        <v>45</v>
      </c>
      <c r="K905" s="11" t="s">
        <v>30</v>
      </c>
      <c r="L905" s="11" t="s">
        <v>18570</v>
      </c>
    </row>
    <row r="906" spans="1:12" ht="13.15" x14ac:dyDescent="0.4">
      <c r="A906" s="11" t="s">
        <v>16952</v>
      </c>
      <c r="B906" s="11"/>
      <c r="C906" s="11" t="s">
        <v>6977</v>
      </c>
      <c r="D906" s="11"/>
      <c r="E906" s="11"/>
      <c r="F906" s="11"/>
      <c r="G906" s="12">
        <v>22932</v>
      </c>
      <c r="H906" s="12">
        <v>22932</v>
      </c>
      <c r="I906" s="11"/>
      <c r="J906" s="11" t="s">
        <v>45</v>
      </c>
      <c r="K906" s="11" t="s">
        <v>30</v>
      </c>
      <c r="L906" s="11" t="s">
        <v>18440</v>
      </c>
    </row>
    <row r="907" spans="1:12" ht="13.15" x14ac:dyDescent="0.4">
      <c r="A907" s="11" t="s">
        <v>16912</v>
      </c>
      <c r="B907" s="11"/>
      <c r="C907" s="11" t="s">
        <v>6977</v>
      </c>
      <c r="D907" s="11"/>
      <c r="E907" s="11"/>
      <c r="F907" s="11"/>
      <c r="G907" s="12">
        <v>22788</v>
      </c>
      <c r="H907" s="12">
        <v>22788</v>
      </c>
      <c r="I907" s="11"/>
      <c r="J907" s="11" t="s">
        <v>45</v>
      </c>
      <c r="K907" s="11" t="s">
        <v>30</v>
      </c>
      <c r="L907" s="11" t="s">
        <v>18478</v>
      </c>
    </row>
    <row r="908" spans="1:12" ht="13.15" x14ac:dyDescent="0.4">
      <c r="A908" s="11" t="s">
        <v>16866</v>
      </c>
      <c r="B908" s="11"/>
      <c r="C908" s="11" t="s">
        <v>6977</v>
      </c>
      <c r="D908" s="11"/>
      <c r="E908" s="11"/>
      <c r="F908" s="11"/>
      <c r="G908" s="12">
        <v>24100</v>
      </c>
      <c r="H908" s="12">
        <v>24100</v>
      </c>
      <c r="I908" s="11"/>
      <c r="J908" s="11" t="s">
        <v>45</v>
      </c>
      <c r="K908" s="11" t="s">
        <v>30</v>
      </c>
      <c r="L908" s="11" t="s">
        <v>18526</v>
      </c>
    </row>
    <row r="909" spans="1:12" ht="13.15" x14ac:dyDescent="0.4">
      <c r="A909" s="11" t="s">
        <v>16843</v>
      </c>
      <c r="B909" s="11"/>
      <c r="C909" s="11" t="s">
        <v>6977</v>
      </c>
      <c r="D909" s="11"/>
      <c r="E909" s="11"/>
      <c r="F909" s="11"/>
      <c r="G909" s="12">
        <v>24327</v>
      </c>
      <c r="H909" s="12">
        <v>24327</v>
      </c>
      <c r="I909" s="11"/>
      <c r="J909" s="11" t="s">
        <v>45</v>
      </c>
      <c r="K909" s="11" t="s">
        <v>30</v>
      </c>
      <c r="L909" s="11" t="s">
        <v>18549</v>
      </c>
    </row>
    <row r="910" spans="1:12" ht="13.15" x14ac:dyDescent="0.4">
      <c r="A910" s="11" t="s">
        <v>16801</v>
      </c>
      <c r="B910" s="11"/>
      <c r="C910" s="11" t="s">
        <v>6977</v>
      </c>
      <c r="D910" s="11"/>
      <c r="E910" s="11"/>
      <c r="F910" s="11"/>
      <c r="G910" s="12">
        <v>23704</v>
      </c>
      <c r="H910" s="12">
        <v>23704</v>
      </c>
      <c r="I910" s="11"/>
      <c r="J910" s="11" t="s">
        <v>45</v>
      </c>
      <c r="K910" s="11" t="s">
        <v>30</v>
      </c>
      <c r="L910" s="11" t="s">
        <v>18592</v>
      </c>
    </row>
    <row r="911" spans="1:12" ht="13.15" x14ac:dyDescent="0.4">
      <c r="A911" s="11" t="s">
        <v>16862</v>
      </c>
      <c r="B911" s="11"/>
      <c r="C911" s="11" t="s">
        <v>6977</v>
      </c>
      <c r="D911" s="11"/>
      <c r="E911" s="11"/>
      <c r="F911" s="11"/>
      <c r="G911" s="12">
        <v>23704</v>
      </c>
      <c r="H911" s="12">
        <v>23704</v>
      </c>
      <c r="I911" s="11"/>
      <c r="J911" s="11" t="s">
        <v>45</v>
      </c>
      <c r="K911" s="11" t="s">
        <v>30</v>
      </c>
      <c r="L911" s="11" t="s">
        <v>18530</v>
      </c>
    </row>
    <row r="912" spans="1:12" ht="13.15" x14ac:dyDescent="0.4">
      <c r="A912" s="11" t="s">
        <v>16966</v>
      </c>
      <c r="B912" s="11"/>
      <c r="C912" s="11" t="s">
        <v>6977</v>
      </c>
      <c r="D912" s="11"/>
      <c r="E912" s="11"/>
      <c r="F912" s="11"/>
      <c r="G912" s="12">
        <v>22553</v>
      </c>
      <c r="H912" s="12">
        <v>22553</v>
      </c>
      <c r="I912" s="11"/>
      <c r="J912" s="11" t="s">
        <v>45</v>
      </c>
      <c r="K912" s="11" t="s">
        <v>30</v>
      </c>
      <c r="L912" s="11" t="s">
        <v>18426</v>
      </c>
    </row>
    <row r="913" spans="1:12" ht="13.15" x14ac:dyDescent="0.4">
      <c r="A913" s="11" t="s">
        <v>17056</v>
      </c>
      <c r="B913" s="11"/>
      <c r="C913" s="11" t="s">
        <v>6977</v>
      </c>
      <c r="D913" s="11"/>
      <c r="E913" s="11"/>
      <c r="F913" s="11"/>
      <c r="G913" s="12">
        <v>21820</v>
      </c>
      <c r="H913" s="12">
        <v>21820</v>
      </c>
      <c r="I913" s="11"/>
      <c r="J913" s="11" t="s">
        <v>45</v>
      </c>
      <c r="K913" s="11" t="s">
        <v>30</v>
      </c>
      <c r="L913" s="11" t="s">
        <v>18339</v>
      </c>
    </row>
    <row r="914" spans="1:12" ht="13.15" x14ac:dyDescent="0.4">
      <c r="A914" s="11" t="s">
        <v>16991</v>
      </c>
      <c r="B914" s="11"/>
      <c r="C914" s="11" t="s">
        <v>6977</v>
      </c>
      <c r="D914" s="11"/>
      <c r="E914" s="11"/>
      <c r="F914" s="11"/>
      <c r="G914" s="12">
        <v>21820</v>
      </c>
      <c r="H914" s="12">
        <v>21820</v>
      </c>
      <c r="I914" s="11"/>
      <c r="J914" s="11" t="s">
        <v>45</v>
      </c>
      <c r="K914" s="11" t="s">
        <v>30</v>
      </c>
      <c r="L914" s="11" t="s">
        <v>18402</v>
      </c>
    </row>
    <row r="915" spans="1:12" ht="13.15" x14ac:dyDescent="0.4">
      <c r="A915" s="11" t="s">
        <v>16755</v>
      </c>
      <c r="B915" s="11"/>
      <c r="C915" s="11" t="s">
        <v>6977</v>
      </c>
      <c r="D915" s="11"/>
      <c r="E915" s="11"/>
      <c r="F915" s="11"/>
      <c r="G915" s="12">
        <v>24445</v>
      </c>
      <c r="H915" s="12">
        <v>24445</v>
      </c>
      <c r="I915" s="11"/>
      <c r="J915" s="11" t="s">
        <v>45</v>
      </c>
      <c r="K915" s="11" t="s">
        <v>30</v>
      </c>
      <c r="L915" s="11" t="s">
        <v>18638</v>
      </c>
    </row>
    <row r="916" spans="1:12" ht="13.15" x14ac:dyDescent="0.4">
      <c r="A916" s="11" t="s">
        <v>16687</v>
      </c>
      <c r="B916" s="11"/>
      <c r="C916" s="11" t="s">
        <v>6977</v>
      </c>
      <c r="D916" s="11"/>
      <c r="E916" s="11"/>
      <c r="F916" s="11"/>
      <c r="G916" s="12">
        <v>24459</v>
      </c>
      <c r="H916" s="12">
        <v>24459</v>
      </c>
      <c r="I916" s="11"/>
      <c r="J916" s="11" t="s">
        <v>45</v>
      </c>
      <c r="K916" s="11" t="s">
        <v>30</v>
      </c>
      <c r="L916" s="11" t="s">
        <v>18704</v>
      </c>
    </row>
    <row r="917" spans="1:12" ht="13.15" x14ac:dyDescent="0.4">
      <c r="A917" s="11" t="s">
        <v>16877</v>
      </c>
      <c r="B917" s="11"/>
      <c r="C917" s="11" t="s">
        <v>6977</v>
      </c>
      <c r="D917" s="11"/>
      <c r="E917" s="11"/>
      <c r="F917" s="11"/>
      <c r="G917" s="12">
        <v>22553</v>
      </c>
      <c r="H917" s="12">
        <v>22553</v>
      </c>
      <c r="I917" s="11"/>
      <c r="J917" s="11" t="s">
        <v>45</v>
      </c>
      <c r="K917" s="11" t="s">
        <v>30</v>
      </c>
      <c r="L917" s="11" t="s">
        <v>18513</v>
      </c>
    </row>
    <row r="918" spans="1:12" ht="13.15" x14ac:dyDescent="0.4">
      <c r="A918" s="11" t="s">
        <v>16685</v>
      </c>
      <c r="B918" s="11"/>
      <c r="C918" s="11" t="s">
        <v>6977</v>
      </c>
      <c r="D918" s="11"/>
      <c r="E918" s="11"/>
      <c r="F918" s="11"/>
      <c r="G918" s="12">
        <v>24563</v>
      </c>
      <c r="H918" s="12">
        <v>24563</v>
      </c>
      <c r="I918" s="11"/>
      <c r="J918" s="11" t="s">
        <v>45</v>
      </c>
      <c r="K918" s="11" t="s">
        <v>30</v>
      </c>
      <c r="L918" s="11" t="s">
        <v>18706</v>
      </c>
    </row>
    <row r="919" spans="1:12" ht="13.15" x14ac:dyDescent="0.4">
      <c r="A919" s="11" t="s">
        <v>16695</v>
      </c>
      <c r="B919" s="11"/>
      <c r="C919" s="11" t="s">
        <v>6977</v>
      </c>
      <c r="D919" s="11"/>
      <c r="E919" s="11"/>
      <c r="F919" s="11"/>
      <c r="G919" s="12">
        <v>24467</v>
      </c>
      <c r="H919" s="12">
        <v>24467</v>
      </c>
      <c r="I919" s="11"/>
      <c r="J919" s="11" t="s">
        <v>45</v>
      </c>
      <c r="K919" s="11" t="s">
        <v>30</v>
      </c>
      <c r="L919" s="11" t="s">
        <v>18697</v>
      </c>
    </row>
    <row r="920" spans="1:12" ht="13.15" x14ac:dyDescent="0.4">
      <c r="A920" s="11" t="s">
        <v>17017</v>
      </c>
      <c r="B920" s="11"/>
      <c r="C920" s="11" t="s">
        <v>6977</v>
      </c>
      <c r="D920" s="11"/>
      <c r="E920" s="11"/>
      <c r="F920" s="11"/>
      <c r="G920" s="12">
        <v>22235</v>
      </c>
      <c r="H920" s="12">
        <v>22235</v>
      </c>
      <c r="I920" s="11"/>
      <c r="J920" s="11" t="s">
        <v>45</v>
      </c>
      <c r="K920" s="11" t="s">
        <v>30</v>
      </c>
      <c r="L920" s="11" t="s">
        <v>18378</v>
      </c>
    </row>
    <row r="921" spans="1:12" ht="13.15" x14ac:dyDescent="0.4">
      <c r="A921" s="11" t="s">
        <v>16983</v>
      </c>
      <c r="B921" s="11"/>
      <c r="C921" s="11" t="s">
        <v>6977</v>
      </c>
      <c r="D921" s="11"/>
      <c r="E921" s="11"/>
      <c r="F921" s="11"/>
      <c r="G921" s="12">
        <v>22516</v>
      </c>
      <c r="H921" s="12">
        <v>22516</v>
      </c>
      <c r="I921" s="11"/>
      <c r="J921" s="11" t="s">
        <v>45</v>
      </c>
      <c r="K921" s="11" t="s">
        <v>30</v>
      </c>
      <c r="L921" s="11" t="s">
        <v>18410</v>
      </c>
    </row>
    <row r="922" spans="1:12" ht="13.15" x14ac:dyDescent="0.4">
      <c r="A922" s="11" t="s">
        <v>16786</v>
      </c>
      <c r="B922" s="11"/>
      <c r="C922" s="11" t="s">
        <v>6977</v>
      </c>
      <c r="D922" s="11"/>
      <c r="E922" s="11"/>
      <c r="F922" s="11"/>
      <c r="G922" s="12">
        <v>23682</v>
      </c>
      <c r="H922" s="12">
        <v>23682</v>
      </c>
      <c r="I922" s="11"/>
      <c r="J922" s="11" t="s">
        <v>45</v>
      </c>
      <c r="K922" s="11" t="s">
        <v>30</v>
      </c>
      <c r="L922" s="11" t="s">
        <v>18607</v>
      </c>
    </row>
    <row r="923" spans="1:12" ht="13.15" x14ac:dyDescent="0.4">
      <c r="A923" s="11" t="s">
        <v>16854</v>
      </c>
      <c r="B923" s="11"/>
      <c r="C923" s="11" t="s">
        <v>6977</v>
      </c>
      <c r="D923" s="11"/>
      <c r="E923" s="11"/>
      <c r="F923" s="11"/>
      <c r="G923" s="12">
        <v>23692</v>
      </c>
      <c r="H923" s="12">
        <v>23692</v>
      </c>
      <c r="I923" s="11"/>
      <c r="J923" s="11" t="s">
        <v>45</v>
      </c>
      <c r="K923" s="11" t="s">
        <v>30</v>
      </c>
      <c r="L923" s="11" t="s">
        <v>18539</v>
      </c>
    </row>
    <row r="924" spans="1:12" ht="13.15" x14ac:dyDescent="0.4">
      <c r="A924" s="11" t="s">
        <v>16834</v>
      </c>
      <c r="B924" s="11"/>
      <c r="C924" s="11" t="s">
        <v>6977</v>
      </c>
      <c r="D924" s="11"/>
      <c r="E924" s="11"/>
      <c r="F924" s="11"/>
      <c r="G924" s="12">
        <v>23590</v>
      </c>
      <c r="H924" s="12">
        <v>23590</v>
      </c>
      <c r="I924" s="11"/>
      <c r="J924" s="11" t="s">
        <v>45</v>
      </c>
      <c r="K924" s="11" t="s">
        <v>30</v>
      </c>
      <c r="L924" s="11" t="s">
        <v>18558</v>
      </c>
    </row>
    <row r="925" spans="1:12" ht="13.15" x14ac:dyDescent="0.4">
      <c r="A925" s="11" t="s">
        <v>16815</v>
      </c>
      <c r="B925" s="11"/>
      <c r="C925" s="11" t="s">
        <v>6977</v>
      </c>
      <c r="D925" s="11"/>
      <c r="E925" s="11"/>
      <c r="F925" s="11"/>
      <c r="G925" s="12">
        <v>23590</v>
      </c>
      <c r="H925" s="12">
        <v>23590</v>
      </c>
      <c r="I925" s="11"/>
      <c r="J925" s="11" t="s">
        <v>45</v>
      </c>
      <c r="K925" s="11" t="s">
        <v>30</v>
      </c>
      <c r="L925" s="11" t="s">
        <v>18578</v>
      </c>
    </row>
    <row r="926" spans="1:12" ht="13.15" x14ac:dyDescent="0.4">
      <c r="A926" s="11" t="s">
        <v>16817</v>
      </c>
      <c r="B926" s="11"/>
      <c r="C926" s="11" t="s">
        <v>6977</v>
      </c>
      <c r="D926" s="11"/>
      <c r="E926" s="11"/>
      <c r="F926" s="11"/>
      <c r="G926" s="12">
        <v>23565</v>
      </c>
      <c r="H926" s="12">
        <v>23565</v>
      </c>
      <c r="I926" s="11"/>
      <c r="J926" s="11" t="s">
        <v>45</v>
      </c>
      <c r="K926" s="11" t="s">
        <v>30</v>
      </c>
      <c r="L926" s="11" t="s">
        <v>18576</v>
      </c>
    </row>
    <row r="927" spans="1:12" ht="13.15" x14ac:dyDescent="0.4">
      <c r="A927" s="11" t="s">
        <v>16730</v>
      </c>
      <c r="B927" s="11"/>
      <c r="C927" s="11" t="s">
        <v>6977</v>
      </c>
      <c r="D927" s="11"/>
      <c r="E927" s="11"/>
      <c r="F927" s="11"/>
      <c r="G927" s="12">
        <v>24444</v>
      </c>
      <c r="H927" s="12">
        <v>24444</v>
      </c>
      <c r="I927" s="11"/>
      <c r="J927" s="11" t="s">
        <v>45</v>
      </c>
      <c r="K927" s="11" t="s">
        <v>30</v>
      </c>
      <c r="L927" s="11" t="s">
        <v>18663</v>
      </c>
    </row>
    <row r="928" spans="1:12" ht="13.15" x14ac:dyDescent="0.4">
      <c r="A928" s="11" t="s">
        <v>17030</v>
      </c>
      <c r="B928" s="11"/>
      <c r="C928" s="11" t="s">
        <v>6977</v>
      </c>
      <c r="D928" s="11"/>
      <c r="E928" s="11"/>
      <c r="F928" s="11"/>
      <c r="G928" s="12">
        <v>21820</v>
      </c>
      <c r="H928" s="12">
        <v>21820</v>
      </c>
      <c r="I928" s="11"/>
      <c r="J928" s="11" t="s">
        <v>45</v>
      </c>
      <c r="K928" s="11" t="s">
        <v>30</v>
      </c>
      <c r="L928" s="11" t="s">
        <v>18365</v>
      </c>
    </row>
    <row r="929" spans="1:12" ht="13.15" x14ac:dyDescent="0.4">
      <c r="A929" s="11" t="s">
        <v>16681</v>
      </c>
      <c r="B929" s="11"/>
      <c r="C929" s="11" t="s">
        <v>6977</v>
      </c>
      <c r="D929" s="11"/>
      <c r="E929" s="11"/>
      <c r="F929" s="11"/>
      <c r="G929" s="12">
        <v>24444</v>
      </c>
      <c r="H929" s="12">
        <v>24444</v>
      </c>
      <c r="I929" s="11"/>
      <c r="J929" s="11" t="s">
        <v>45</v>
      </c>
      <c r="K929" s="11" t="s">
        <v>30</v>
      </c>
      <c r="L929" s="11" t="s">
        <v>18710</v>
      </c>
    </row>
    <row r="930" spans="1:12" ht="13.15" x14ac:dyDescent="0.4">
      <c r="A930" s="11" t="s">
        <v>16716</v>
      </c>
      <c r="B930" s="11"/>
      <c r="C930" s="11" t="s">
        <v>6977</v>
      </c>
      <c r="D930" s="11"/>
      <c r="E930" s="11"/>
      <c r="F930" s="11"/>
      <c r="G930" s="12">
        <v>24467</v>
      </c>
      <c r="H930" s="12">
        <v>24467</v>
      </c>
      <c r="I930" s="11"/>
      <c r="J930" s="11" t="s">
        <v>45</v>
      </c>
      <c r="K930" s="11" t="s">
        <v>30</v>
      </c>
      <c r="L930" s="11" t="s">
        <v>18677</v>
      </c>
    </row>
    <row r="931" spans="1:12" ht="13.15" x14ac:dyDescent="0.4">
      <c r="A931" s="11" t="s">
        <v>16769</v>
      </c>
      <c r="B931" s="11"/>
      <c r="C931" s="11" t="s">
        <v>6977</v>
      </c>
      <c r="D931" s="11"/>
      <c r="E931" s="11"/>
      <c r="F931" s="11"/>
      <c r="G931" s="12">
        <v>24563</v>
      </c>
      <c r="H931" s="12">
        <v>24563</v>
      </c>
      <c r="I931" s="11"/>
      <c r="J931" s="11" t="s">
        <v>45</v>
      </c>
      <c r="K931" s="11" t="s">
        <v>30</v>
      </c>
      <c r="L931" s="11" t="s">
        <v>18624</v>
      </c>
    </row>
    <row r="932" spans="1:12" ht="13.15" x14ac:dyDescent="0.4">
      <c r="A932" s="11" t="s">
        <v>16923</v>
      </c>
      <c r="B932" s="11"/>
      <c r="C932" s="11" t="s">
        <v>6977</v>
      </c>
      <c r="D932" s="11"/>
      <c r="E932" s="11"/>
      <c r="F932" s="11"/>
      <c r="G932" s="12">
        <v>22553</v>
      </c>
      <c r="H932" s="12">
        <v>22553</v>
      </c>
      <c r="I932" s="11"/>
      <c r="J932" s="11" t="s">
        <v>45</v>
      </c>
      <c r="K932" s="11" t="s">
        <v>30</v>
      </c>
      <c r="L932" s="11" t="s">
        <v>18468</v>
      </c>
    </row>
    <row r="933" spans="1:12" ht="13.15" x14ac:dyDescent="0.4">
      <c r="A933" s="11" t="s">
        <v>16859</v>
      </c>
      <c r="B933" s="11"/>
      <c r="C933" s="11" t="s">
        <v>6977</v>
      </c>
      <c r="D933" s="11"/>
      <c r="E933" s="11"/>
      <c r="F933" s="11"/>
      <c r="G933" s="12">
        <v>24082</v>
      </c>
      <c r="H933" s="12">
        <v>24082</v>
      </c>
      <c r="I933" s="11"/>
      <c r="J933" s="11" t="s">
        <v>45</v>
      </c>
      <c r="K933" s="11" t="s">
        <v>30</v>
      </c>
      <c r="L933" s="11" t="s">
        <v>18533</v>
      </c>
    </row>
    <row r="934" spans="1:12" ht="13.15" x14ac:dyDescent="0.4">
      <c r="A934" s="11" t="s">
        <v>16895</v>
      </c>
      <c r="B934" s="11"/>
      <c r="C934" s="11" t="s">
        <v>6977</v>
      </c>
      <c r="D934" s="11"/>
      <c r="E934" s="11"/>
      <c r="F934" s="11"/>
      <c r="G934" s="12">
        <v>22553</v>
      </c>
      <c r="H934" s="12">
        <v>22553</v>
      </c>
      <c r="I934" s="11"/>
      <c r="J934" s="11" t="s">
        <v>45</v>
      </c>
      <c r="K934" s="11" t="s">
        <v>30</v>
      </c>
      <c r="L934" s="11" t="s">
        <v>18495</v>
      </c>
    </row>
    <row r="935" spans="1:12" ht="13.15" x14ac:dyDescent="0.4">
      <c r="A935" s="11" t="s">
        <v>16780</v>
      </c>
      <c r="B935" s="11"/>
      <c r="C935" s="11" t="s">
        <v>6977</v>
      </c>
      <c r="D935" s="11"/>
      <c r="E935" s="11"/>
      <c r="F935" s="11"/>
      <c r="G935" s="12">
        <v>24391</v>
      </c>
      <c r="H935" s="12">
        <v>24391</v>
      </c>
      <c r="I935" s="11"/>
      <c r="J935" s="11" t="s">
        <v>45</v>
      </c>
      <c r="K935" s="11" t="s">
        <v>30</v>
      </c>
      <c r="L935" s="11" t="s">
        <v>18613</v>
      </c>
    </row>
    <row r="936" spans="1:12" ht="13.15" x14ac:dyDescent="0.4">
      <c r="A936" s="11" t="s">
        <v>16861</v>
      </c>
      <c r="B936" s="11"/>
      <c r="C936" s="11" t="s">
        <v>6977</v>
      </c>
      <c r="D936" s="11"/>
      <c r="E936" s="11"/>
      <c r="F936" s="11"/>
      <c r="G936" s="12">
        <v>24222</v>
      </c>
      <c r="H936" s="12">
        <v>24222</v>
      </c>
      <c r="I936" s="11"/>
      <c r="J936" s="11" t="s">
        <v>45</v>
      </c>
      <c r="K936" s="11" t="s">
        <v>30</v>
      </c>
      <c r="L936" s="11" t="s">
        <v>18531</v>
      </c>
    </row>
    <row r="937" spans="1:12" ht="13.15" x14ac:dyDescent="0.4">
      <c r="A937" s="11" t="s">
        <v>16833</v>
      </c>
      <c r="B937" s="11"/>
      <c r="C937" s="11" t="s">
        <v>6977</v>
      </c>
      <c r="D937" s="11"/>
      <c r="E937" s="11"/>
      <c r="F937" s="11"/>
      <c r="G937" s="12">
        <v>24315</v>
      </c>
      <c r="H937" s="12">
        <v>24315</v>
      </c>
      <c r="I937" s="11"/>
      <c r="J937" s="11" t="s">
        <v>45</v>
      </c>
      <c r="K937" s="11" t="s">
        <v>30</v>
      </c>
      <c r="L937" s="11" t="s">
        <v>18559</v>
      </c>
    </row>
    <row r="938" spans="1:12" ht="13.15" x14ac:dyDescent="0.4">
      <c r="A938" s="11" t="s">
        <v>16941</v>
      </c>
      <c r="B938" s="11"/>
      <c r="C938" s="11" t="s">
        <v>6977</v>
      </c>
      <c r="D938" s="11"/>
      <c r="E938" s="11"/>
      <c r="F938" s="11"/>
      <c r="G938" s="12">
        <v>22816</v>
      </c>
      <c r="H938" s="12">
        <v>22816</v>
      </c>
      <c r="I938" s="11"/>
      <c r="J938" s="11" t="s">
        <v>45</v>
      </c>
      <c r="K938" s="11" t="s">
        <v>30</v>
      </c>
      <c r="L938" s="11" t="s">
        <v>18451</v>
      </c>
    </row>
    <row r="939" spans="1:12" ht="13.15" x14ac:dyDescent="0.4">
      <c r="A939" s="11" t="s">
        <v>16909</v>
      </c>
      <c r="B939" s="11"/>
      <c r="C939" s="11" t="s">
        <v>6977</v>
      </c>
      <c r="D939" s="11"/>
      <c r="E939" s="11"/>
      <c r="F939" s="11"/>
      <c r="G939" s="12">
        <v>22750</v>
      </c>
      <c r="H939" s="12">
        <v>22750</v>
      </c>
      <c r="I939" s="11"/>
      <c r="J939" s="11" t="s">
        <v>45</v>
      </c>
      <c r="K939" s="11" t="s">
        <v>30</v>
      </c>
      <c r="L939" s="11" t="s">
        <v>18481</v>
      </c>
    </row>
    <row r="940" spans="1:12" ht="13.15" x14ac:dyDescent="0.4">
      <c r="A940" s="11" t="s">
        <v>17051</v>
      </c>
      <c r="B940" s="11"/>
      <c r="C940" s="11" t="s">
        <v>6977</v>
      </c>
      <c r="D940" s="11"/>
      <c r="E940" s="11"/>
      <c r="F940" s="11"/>
      <c r="G940" s="12">
        <v>21820</v>
      </c>
      <c r="H940" s="12">
        <v>21820</v>
      </c>
      <c r="I940" s="11"/>
      <c r="J940" s="11" t="s">
        <v>45</v>
      </c>
      <c r="K940" s="11" t="s">
        <v>30</v>
      </c>
      <c r="L940" s="11" t="s">
        <v>18344</v>
      </c>
    </row>
    <row r="941" spans="1:12" ht="13.15" x14ac:dyDescent="0.4">
      <c r="A941" s="11" t="s">
        <v>17027</v>
      </c>
      <c r="B941" s="11"/>
      <c r="C941" s="11" t="s">
        <v>6977</v>
      </c>
      <c r="D941" s="11"/>
      <c r="E941" s="11"/>
      <c r="F941" s="11"/>
      <c r="G941" s="12">
        <v>21820</v>
      </c>
      <c r="H941" s="12">
        <v>21820</v>
      </c>
      <c r="I941" s="11"/>
      <c r="J941" s="11" t="s">
        <v>45</v>
      </c>
      <c r="K941" s="11" t="s">
        <v>30</v>
      </c>
      <c r="L941" s="11" t="s">
        <v>18368</v>
      </c>
    </row>
    <row r="942" spans="1:12" ht="13.15" x14ac:dyDescent="0.4">
      <c r="A942" s="11" t="s">
        <v>17025</v>
      </c>
      <c r="B942" s="11"/>
      <c r="C942" s="11" t="s">
        <v>6977</v>
      </c>
      <c r="D942" s="11"/>
      <c r="E942" s="11"/>
      <c r="F942" s="11"/>
      <c r="G942" s="12">
        <v>22493</v>
      </c>
      <c r="H942" s="12">
        <v>22493</v>
      </c>
      <c r="I942" s="11"/>
      <c r="J942" s="11" t="s">
        <v>45</v>
      </c>
      <c r="K942" s="11" t="s">
        <v>30</v>
      </c>
      <c r="L942" s="11" t="s">
        <v>18370</v>
      </c>
    </row>
    <row r="943" spans="1:12" ht="13.15" x14ac:dyDescent="0.4">
      <c r="A943" s="11" t="s">
        <v>16907</v>
      </c>
      <c r="B943" s="11"/>
      <c r="C943" s="11" t="s">
        <v>6977</v>
      </c>
      <c r="D943" s="11"/>
      <c r="E943" s="11"/>
      <c r="F943" s="11"/>
      <c r="G943" s="12">
        <v>22795</v>
      </c>
      <c r="H943" s="12">
        <v>22795</v>
      </c>
      <c r="I943" s="11"/>
      <c r="J943" s="11" t="s">
        <v>45</v>
      </c>
      <c r="K943" s="11" t="s">
        <v>30</v>
      </c>
      <c r="L943" s="11" t="s">
        <v>18483</v>
      </c>
    </row>
    <row r="944" spans="1:12" ht="13.15" x14ac:dyDescent="0.4">
      <c r="A944" s="11" t="s">
        <v>16807</v>
      </c>
      <c r="B944" s="11"/>
      <c r="C944" s="11" t="s">
        <v>6977</v>
      </c>
      <c r="D944" s="11"/>
      <c r="E944" s="11"/>
      <c r="F944" s="11"/>
      <c r="G944" s="12">
        <v>24206</v>
      </c>
      <c r="H944" s="12">
        <v>24206</v>
      </c>
      <c r="I944" s="11"/>
      <c r="J944" s="11" t="s">
        <v>45</v>
      </c>
      <c r="K944" s="11" t="s">
        <v>30</v>
      </c>
      <c r="L944" s="11" t="s">
        <v>18586</v>
      </c>
    </row>
    <row r="945" spans="1:12" ht="13.15" x14ac:dyDescent="0.4">
      <c r="A945" s="11" t="s">
        <v>16872</v>
      </c>
      <c r="B945" s="11"/>
      <c r="C945" s="11" t="s">
        <v>6977</v>
      </c>
      <c r="D945" s="11"/>
      <c r="E945" s="11"/>
      <c r="F945" s="11"/>
      <c r="G945" s="12">
        <v>24342</v>
      </c>
      <c r="H945" s="12">
        <v>24342</v>
      </c>
      <c r="I945" s="11"/>
      <c r="J945" s="11" t="s">
        <v>45</v>
      </c>
      <c r="K945" s="11" t="s">
        <v>30</v>
      </c>
      <c r="L945" s="11" t="s">
        <v>18520</v>
      </c>
    </row>
    <row r="946" spans="1:12" ht="13.15" x14ac:dyDescent="0.4">
      <c r="A946" s="11" t="s">
        <v>16970</v>
      </c>
      <c r="B946" s="11"/>
      <c r="C946" s="11" t="s">
        <v>6977</v>
      </c>
      <c r="D946" s="11"/>
      <c r="E946" s="11"/>
      <c r="F946" s="11"/>
      <c r="G946" s="12">
        <v>22855</v>
      </c>
      <c r="H946" s="12">
        <v>22855</v>
      </c>
      <c r="I946" s="11"/>
      <c r="J946" s="11" t="s">
        <v>45</v>
      </c>
      <c r="K946" s="11" t="s">
        <v>30</v>
      </c>
      <c r="L946" s="11" t="s">
        <v>18422</v>
      </c>
    </row>
    <row r="947" spans="1:12" ht="13.15" x14ac:dyDescent="0.4">
      <c r="A947" s="11" t="s">
        <v>16885</v>
      </c>
      <c r="B947" s="11"/>
      <c r="C947" s="11" t="s">
        <v>6977</v>
      </c>
      <c r="D947" s="11"/>
      <c r="E947" s="11"/>
      <c r="F947" s="11"/>
      <c r="G947" s="12">
        <v>22522</v>
      </c>
      <c r="H947" s="12">
        <v>22522</v>
      </c>
      <c r="I947" s="11"/>
      <c r="J947" s="11" t="s">
        <v>45</v>
      </c>
      <c r="K947" s="11" t="s">
        <v>30</v>
      </c>
      <c r="L947" s="11" t="s">
        <v>18505</v>
      </c>
    </row>
    <row r="948" spans="1:12" ht="13.15" x14ac:dyDescent="0.4">
      <c r="A948" s="11" t="s">
        <v>17097</v>
      </c>
      <c r="B948" s="11"/>
      <c r="C948" s="11" t="s">
        <v>6977</v>
      </c>
      <c r="D948" s="11"/>
      <c r="E948" s="11"/>
      <c r="F948" s="11"/>
      <c r="G948" s="12">
        <v>21820</v>
      </c>
      <c r="H948" s="12">
        <v>21820</v>
      </c>
      <c r="I948" s="11"/>
      <c r="J948" s="11" t="s">
        <v>45</v>
      </c>
      <c r="K948" s="11" t="s">
        <v>30</v>
      </c>
      <c r="L948" s="11" t="s">
        <v>18297</v>
      </c>
    </row>
    <row r="949" spans="1:12" ht="13.15" x14ac:dyDescent="0.4">
      <c r="A949" s="11" t="s">
        <v>16835</v>
      </c>
      <c r="B949" s="11"/>
      <c r="C949" s="11" t="s">
        <v>6977</v>
      </c>
      <c r="D949" s="11"/>
      <c r="E949" s="11"/>
      <c r="F949" s="11"/>
      <c r="G949" s="12">
        <v>23645</v>
      </c>
      <c r="H949" s="12">
        <v>23645</v>
      </c>
      <c r="I949" s="11"/>
      <c r="J949" s="11" t="s">
        <v>45</v>
      </c>
      <c r="K949" s="11" t="s">
        <v>30</v>
      </c>
      <c r="L949" s="11" t="s">
        <v>18557</v>
      </c>
    </row>
    <row r="950" spans="1:12" ht="13.15" x14ac:dyDescent="0.4">
      <c r="A950" s="11" t="s">
        <v>16844</v>
      </c>
      <c r="B950" s="11"/>
      <c r="C950" s="11" t="s">
        <v>6977</v>
      </c>
      <c r="D950" s="11"/>
      <c r="E950" s="11"/>
      <c r="F950" s="11"/>
      <c r="G950" s="12">
        <v>23646</v>
      </c>
      <c r="H950" s="12">
        <v>23646</v>
      </c>
      <c r="I950" s="11"/>
      <c r="J950" s="11" t="s">
        <v>45</v>
      </c>
      <c r="K950" s="11" t="s">
        <v>30</v>
      </c>
      <c r="L950" s="11" t="s">
        <v>18548</v>
      </c>
    </row>
    <row r="951" spans="1:12" ht="13.15" x14ac:dyDescent="0.4">
      <c r="A951" s="11" t="s">
        <v>16871</v>
      </c>
      <c r="B951" s="11"/>
      <c r="C951" s="11" t="s">
        <v>6977</v>
      </c>
      <c r="D951" s="11"/>
      <c r="E951" s="11"/>
      <c r="F951" s="11"/>
      <c r="G951" s="12">
        <v>23625</v>
      </c>
      <c r="H951" s="12">
        <v>23625</v>
      </c>
      <c r="I951" s="11"/>
      <c r="J951" s="11" t="s">
        <v>45</v>
      </c>
      <c r="K951" s="11" t="s">
        <v>30</v>
      </c>
      <c r="L951" s="11" t="s">
        <v>18521</v>
      </c>
    </row>
    <row r="952" spans="1:12" ht="13.15" x14ac:dyDescent="0.4">
      <c r="A952" s="11" t="s">
        <v>16745</v>
      </c>
      <c r="B952" s="11"/>
      <c r="C952" s="11" t="s">
        <v>6977</v>
      </c>
      <c r="D952" s="11"/>
      <c r="E952" s="11"/>
      <c r="F952" s="11"/>
      <c r="G952" s="12">
        <v>24613</v>
      </c>
      <c r="H952" s="12">
        <v>24613</v>
      </c>
      <c r="I952" s="11"/>
      <c r="J952" s="11" t="s">
        <v>45</v>
      </c>
      <c r="K952" s="11" t="s">
        <v>30</v>
      </c>
      <c r="L952" s="11" t="s">
        <v>18648</v>
      </c>
    </row>
    <row r="953" spans="1:12" ht="13.15" x14ac:dyDescent="0.4">
      <c r="A953" s="11" t="s">
        <v>16898</v>
      </c>
      <c r="B953" s="11"/>
      <c r="C953" s="11" t="s">
        <v>6977</v>
      </c>
      <c r="D953" s="11"/>
      <c r="E953" s="11"/>
      <c r="F953" s="11"/>
      <c r="G953" s="12">
        <v>22632</v>
      </c>
      <c r="H953" s="12">
        <v>22632</v>
      </c>
      <c r="I953" s="11"/>
      <c r="J953" s="11" t="s">
        <v>45</v>
      </c>
      <c r="K953" s="11" t="s">
        <v>30</v>
      </c>
      <c r="L953" s="11" t="s">
        <v>18492</v>
      </c>
    </row>
    <row r="954" spans="1:12" ht="13.15" x14ac:dyDescent="0.4">
      <c r="A954" s="11" t="s">
        <v>16954</v>
      </c>
      <c r="B954" s="11"/>
      <c r="C954" s="11" t="s">
        <v>6977</v>
      </c>
      <c r="D954" s="11"/>
      <c r="E954" s="11"/>
      <c r="F954" s="11"/>
      <c r="G954" s="12">
        <v>22553</v>
      </c>
      <c r="H954" s="12">
        <v>22553</v>
      </c>
      <c r="I954" s="11"/>
      <c r="J954" s="11" t="s">
        <v>45</v>
      </c>
      <c r="K954" s="11" t="s">
        <v>30</v>
      </c>
      <c r="L954" s="11" t="s">
        <v>18438</v>
      </c>
    </row>
    <row r="955" spans="1:12" ht="13.15" x14ac:dyDescent="0.4">
      <c r="A955" s="11" t="s">
        <v>16811</v>
      </c>
      <c r="B955" s="11"/>
      <c r="C955" s="11" t="s">
        <v>6977</v>
      </c>
      <c r="D955" s="11"/>
      <c r="E955" s="11"/>
      <c r="F955" s="11"/>
      <c r="G955" s="12">
        <v>24096</v>
      </c>
      <c r="H955" s="12">
        <v>24096</v>
      </c>
      <c r="I955" s="11"/>
      <c r="J955" s="11" t="s">
        <v>45</v>
      </c>
      <c r="K955" s="11" t="s">
        <v>30</v>
      </c>
      <c r="L955" s="11" t="s">
        <v>18582</v>
      </c>
    </row>
    <row r="956" spans="1:12" ht="13.15" x14ac:dyDescent="0.4">
      <c r="A956" s="11" t="s">
        <v>16784</v>
      </c>
      <c r="B956" s="11"/>
      <c r="C956" s="11" t="s">
        <v>6977</v>
      </c>
      <c r="D956" s="11"/>
      <c r="E956" s="11"/>
      <c r="F956" s="11"/>
      <c r="G956" s="12">
        <v>24097</v>
      </c>
      <c r="H956" s="12">
        <v>24097</v>
      </c>
      <c r="I956" s="11"/>
      <c r="J956" s="11" t="s">
        <v>45</v>
      </c>
      <c r="K956" s="11" t="s">
        <v>30</v>
      </c>
      <c r="L956" s="11" t="s">
        <v>18609</v>
      </c>
    </row>
    <row r="957" spans="1:12" ht="13.15" x14ac:dyDescent="0.4">
      <c r="A957" s="11" t="s">
        <v>16963</v>
      </c>
      <c r="B957" s="11"/>
      <c r="C957" s="11" t="s">
        <v>6977</v>
      </c>
      <c r="D957" s="11"/>
      <c r="E957" s="11"/>
      <c r="F957" s="11"/>
      <c r="G957" s="12">
        <v>22525</v>
      </c>
      <c r="H957" s="12">
        <v>22525</v>
      </c>
      <c r="I957" s="11"/>
      <c r="J957" s="11" t="s">
        <v>45</v>
      </c>
      <c r="K957" s="11" t="s">
        <v>30</v>
      </c>
      <c r="L957" s="11" t="s">
        <v>18429</v>
      </c>
    </row>
    <row r="958" spans="1:12" ht="13.15" x14ac:dyDescent="0.4">
      <c r="A958" s="11" t="s">
        <v>16819</v>
      </c>
      <c r="B958" s="11"/>
      <c r="C958" s="11" t="s">
        <v>6977</v>
      </c>
      <c r="D958" s="11"/>
      <c r="E958" s="11"/>
      <c r="F958" s="11"/>
      <c r="G958" s="12">
        <v>23621</v>
      </c>
      <c r="H958" s="12">
        <v>23621</v>
      </c>
      <c r="I958" s="11"/>
      <c r="J958" s="11" t="s">
        <v>45</v>
      </c>
      <c r="K958" s="11" t="s">
        <v>30</v>
      </c>
      <c r="L958" s="11" t="s">
        <v>18574</v>
      </c>
    </row>
    <row r="959" spans="1:12" ht="13.15" x14ac:dyDescent="0.4">
      <c r="A959" s="11" t="s">
        <v>16821</v>
      </c>
      <c r="B959" s="11"/>
      <c r="C959" s="11" t="s">
        <v>6977</v>
      </c>
      <c r="D959" s="11"/>
      <c r="E959" s="11"/>
      <c r="F959" s="11"/>
      <c r="G959" s="12">
        <v>23590</v>
      </c>
      <c r="H959" s="12">
        <v>23590</v>
      </c>
      <c r="I959" s="11"/>
      <c r="J959" s="11" t="s">
        <v>45</v>
      </c>
      <c r="K959" s="11" t="s">
        <v>30</v>
      </c>
      <c r="L959" s="11" t="s">
        <v>18572</v>
      </c>
    </row>
    <row r="960" spans="1:12" ht="13.15" x14ac:dyDescent="0.4">
      <c r="A960" s="11" t="s">
        <v>17005</v>
      </c>
      <c r="B960" s="11"/>
      <c r="C960" s="11" t="s">
        <v>6977</v>
      </c>
      <c r="D960" s="11"/>
      <c r="E960" s="11"/>
      <c r="F960" s="11"/>
      <c r="G960" s="12">
        <v>22499</v>
      </c>
      <c r="H960" s="12">
        <v>22499</v>
      </c>
      <c r="I960" s="11"/>
      <c r="J960" s="11" t="s">
        <v>45</v>
      </c>
      <c r="K960" s="11" t="s">
        <v>30</v>
      </c>
      <c r="L960" s="11" t="s">
        <v>18390</v>
      </c>
    </row>
    <row r="961" spans="1:12" ht="13.15" x14ac:dyDescent="0.4">
      <c r="A961" s="11" t="s">
        <v>16777</v>
      </c>
      <c r="B961" s="11"/>
      <c r="C961" s="11" t="s">
        <v>6977</v>
      </c>
      <c r="D961" s="11"/>
      <c r="E961" s="11"/>
      <c r="F961" s="11"/>
      <c r="G961" s="12">
        <v>24326</v>
      </c>
      <c r="H961" s="12">
        <v>24326</v>
      </c>
      <c r="I961" s="11"/>
      <c r="J961" s="11" t="s">
        <v>45</v>
      </c>
      <c r="K961" s="11" t="s">
        <v>30</v>
      </c>
      <c r="L961" s="11" t="s">
        <v>18616</v>
      </c>
    </row>
    <row r="962" spans="1:12" ht="13.15" x14ac:dyDescent="0.4">
      <c r="A962" s="11" t="s">
        <v>16897</v>
      </c>
      <c r="B962" s="11"/>
      <c r="C962" s="11" t="s">
        <v>6977</v>
      </c>
      <c r="D962" s="11"/>
      <c r="E962" s="11"/>
      <c r="F962" s="11"/>
      <c r="G962" s="12">
        <v>22797</v>
      </c>
      <c r="H962" s="12">
        <v>22797</v>
      </c>
      <c r="I962" s="11"/>
      <c r="J962" s="11" t="s">
        <v>45</v>
      </c>
      <c r="K962" s="11" t="s">
        <v>30</v>
      </c>
      <c r="L962" s="11" t="s">
        <v>18493</v>
      </c>
    </row>
    <row r="963" spans="1:12" ht="13.15" x14ac:dyDescent="0.4">
      <c r="A963" s="11" t="s">
        <v>16950</v>
      </c>
      <c r="B963" s="11"/>
      <c r="C963" s="11" t="s">
        <v>6977</v>
      </c>
      <c r="D963" s="11"/>
      <c r="E963" s="11"/>
      <c r="F963" s="11"/>
      <c r="G963" s="12">
        <v>22553</v>
      </c>
      <c r="H963" s="12">
        <v>22553</v>
      </c>
      <c r="I963" s="11"/>
      <c r="J963" s="11" t="s">
        <v>45</v>
      </c>
      <c r="K963" s="11" t="s">
        <v>30</v>
      </c>
      <c r="L963" s="11" t="s">
        <v>18442</v>
      </c>
    </row>
    <row r="964" spans="1:12" ht="13.15" x14ac:dyDescent="0.4">
      <c r="A964" s="11" t="s">
        <v>16733</v>
      </c>
      <c r="B964" s="11"/>
      <c r="C964" s="11" t="s">
        <v>6977</v>
      </c>
      <c r="D964" s="11"/>
      <c r="E964" s="11"/>
      <c r="F964" s="11"/>
      <c r="G964" s="12">
        <v>24444</v>
      </c>
      <c r="H964" s="12">
        <v>24444</v>
      </c>
      <c r="I964" s="11"/>
      <c r="J964" s="11" t="s">
        <v>45</v>
      </c>
      <c r="K964" s="11" t="s">
        <v>30</v>
      </c>
      <c r="L964" s="11" t="s">
        <v>18660</v>
      </c>
    </row>
    <row r="965" spans="1:12" ht="13.15" x14ac:dyDescent="0.4">
      <c r="A965" s="11" t="s">
        <v>16832</v>
      </c>
      <c r="B965" s="11"/>
      <c r="C965" s="11" t="s">
        <v>6977</v>
      </c>
      <c r="D965" s="11"/>
      <c r="E965" s="11"/>
      <c r="F965" s="11"/>
      <c r="G965" s="12">
        <v>23578</v>
      </c>
      <c r="H965" s="12">
        <v>23578</v>
      </c>
      <c r="I965" s="11"/>
      <c r="J965" s="11" t="s">
        <v>45</v>
      </c>
      <c r="K965" s="11" t="s">
        <v>30</v>
      </c>
      <c r="L965" s="11" t="s">
        <v>18560</v>
      </c>
    </row>
    <row r="966" spans="1:12" ht="13.15" x14ac:dyDescent="0.4">
      <c r="A966" s="11" t="s">
        <v>16829</v>
      </c>
      <c r="B966" s="11"/>
      <c r="C966" s="11" t="s">
        <v>6977</v>
      </c>
      <c r="D966" s="11"/>
      <c r="E966" s="11"/>
      <c r="F966" s="11"/>
      <c r="G966" s="12">
        <v>24250</v>
      </c>
      <c r="H966" s="12">
        <v>24250</v>
      </c>
      <c r="I966" s="11"/>
      <c r="J966" s="11" t="s">
        <v>45</v>
      </c>
      <c r="K966" s="11" t="s">
        <v>30</v>
      </c>
      <c r="L966" s="11" t="s">
        <v>18563</v>
      </c>
    </row>
    <row r="967" spans="1:12" ht="13.15" x14ac:dyDescent="0.4">
      <c r="A967" s="11" t="s">
        <v>16822</v>
      </c>
      <c r="B967" s="11"/>
      <c r="C967" s="11" t="s">
        <v>6977</v>
      </c>
      <c r="D967" s="11"/>
      <c r="E967" s="11"/>
      <c r="F967" s="11"/>
      <c r="G967" s="12">
        <v>23243</v>
      </c>
      <c r="H967" s="12">
        <v>23243</v>
      </c>
      <c r="I967" s="11"/>
      <c r="J967" s="11" t="s">
        <v>45</v>
      </c>
      <c r="K967" s="11" t="s">
        <v>30</v>
      </c>
      <c r="L967" s="11" t="s">
        <v>18571</v>
      </c>
    </row>
    <row r="968" spans="1:12" ht="13.15" x14ac:dyDescent="0.4">
      <c r="A968" s="11" t="s">
        <v>17072</v>
      </c>
      <c r="B968" s="11"/>
      <c r="C968" s="11" t="s">
        <v>6977</v>
      </c>
      <c r="D968" s="11"/>
      <c r="E968" s="11"/>
      <c r="F968" s="11"/>
      <c r="G968" s="12">
        <v>21820</v>
      </c>
      <c r="H968" s="12">
        <v>21820</v>
      </c>
      <c r="I968" s="11"/>
      <c r="J968" s="11" t="s">
        <v>45</v>
      </c>
      <c r="K968" s="11" t="s">
        <v>30</v>
      </c>
      <c r="L968" s="11" t="s">
        <v>18323</v>
      </c>
    </row>
    <row r="969" spans="1:12" ht="13.15" x14ac:dyDescent="0.4">
      <c r="A969" s="11" t="s">
        <v>17007</v>
      </c>
      <c r="B969" s="11"/>
      <c r="C969" s="11" t="s">
        <v>6977</v>
      </c>
      <c r="D969" s="11"/>
      <c r="E969" s="11"/>
      <c r="F969" s="11"/>
      <c r="G969" s="12">
        <v>21820</v>
      </c>
      <c r="H969" s="12">
        <v>21820</v>
      </c>
      <c r="I969" s="11"/>
      <c r="J969" s="11" t="s">
        <v>45</v>
      </c>
      <c r="K969" s="11" t="s">
        <v>30</v>
      </c>
      <c r="L969" s="11" t="s">
        <v>18388</v>
      </c>
    </row>
    <row r="970" spans="1:12" ht="13.15" x14ac:dyDescent="0.4">
      <c r="A970" s="11" t="s">
        <v>16992</v>
      </c>
      <c r="B970" s="11"/>
      <c r="C970" s="11" t="s">
        <v>6977</v>
      </c>
      <c r="D970" s="11"/>
      <c r="E970" s="11"/>
      <c r="F970" s="11"/>
      <c r="G970" s="12">
        <v>21820</v>
      </c>
      <c r="H970" s="12">
        <v>21820</v>
      </c>
      <c r="I970" s="11"/>
      <c r="J970" s="11" t="s">
        <v>45</v>
      </c>
      <c r="K970" s="11" t="s">
        <v>30</v>
      </c>
      <c r="L970" s="11" t="s">
        <v>18401</v>
      </c>
    </row>
    <row r="971" spans="1:12" ht="13.15" x14ac:dyDescent="0.4">
      <c r="A971" s="11" t="s">
        <v>16974</v>
      </c>
      <c r="B971" s="11"/>
      <c r="C971" s="11" t="s">
        <v>6977</v>
      </c>
      <c r="D971" s="11"/>
      <c r="E971" s="11"/>
      <c r="F971" s="11"/>
      <c r="G971" s="12">
        <v>22254</v>
      </c>
      <c r="H971" s="12">
        <v>22254</v>
      </c>
      <c r="I971" s="11"/>
      <c r="J971" s="11" t="s">
        <v>45</v>
      </c>
      <c r="K971" s="11" t="s">
        <v>30</v>
      </c>
      <c r="L971" s="11" t="s">
        <v>18418</v>
      </c>
    </row>
    <row r="972" spans="1:12" ht="13.15" x14ac:dyDescent="0.4">
      <c r="A972" s="11" t="s">
        <v>16747</v>
      </c>
      <c r="B972" s="11"/>
      <c r="C972" s="11" t="s">
        <v>6977</v>
      </c>
      <c r="D972" s="11"/>
      <c r="E972" s="11"/>
      <c r="F972" s="11"/>
      <c r="G972" s="12">
        <v>24459</v>
      </c>
      <c r="H972" s="12">
        <v>24459</v>
      </c>
      <c r="I972" s="11"/>
      <c r="J972" s="11" t="s">
        <v>45</v>
      </c>
      <c r="K972" s="11" t="s">
        <v>30</v>
      </c>
      <c r="L972" s="11" t="s">
        <v>18646</v>
      </c>
    </row>
    <row r="973" spans="1:12" ht="13.15" x14ac:dyDescent="0.4">
      <c r="A973" s="11" t="s">
        <v>16824</v>
      </c>
      <c r="B973" s="11"/>
      <c r="C973" s="11" t="s">
        <v>6977</v>
      </c>
      <c r="D973" s="11"/>
      <c r="E973" s="11"/>
      <c r="F973" s="11"/>
      <c r="G973" s="12">
        <v>23667</v>
      </c>
      <c r="H973" s="12">
        <v>23667</v>
      </c>
      <c r="I973" s="11"/>
      <c r="J973" s="11" t="s">
        <v>45</v>
      </c>
      <c r="K973" s="11" t="s">
        <v>30</v>
      </c>
      <c r="L973" s="11" t="s">
        <v>18569</v>
      </c>
    </row>
    <row r="974" spans="1:12" ht="13.15" x14ac:dyDescent="0.4">
      <c r="A974" s="11" t="s">
        <v>16856</v>
      </c>
      <c r="B974" s="11"/>
      <c r="C974" s="11" t="s">
        <v>6977</v>
      </c>
      <c r="D974" s="11"/>
      <c r="E974" s="11"/>
      <c r="F974" s="11"/>
      <c r="G974" s="12">
        <v>23722</v>
      </c>
      <c r="H974" s="12">
        <v>23722</v>
      </c>
      <c r="I974" s="11"/>
      <c r="J974" s="11" t="s">
        <v>45</v>
      </c>
      <c r="K974" s="11" t="s">
        <v>30</v>
      </c>
      <c r="L974" s="11" t="s">
        <v>18537</v>
      </c>
    </row>
    <row r="975" spans="1:12" ht="13.15" x14ac:dyDescent="0.4">
      <c r="A975" s="11" t="s">
        <v>17160</v>
      </c>
      <c r="B975" s="11"/>
      <c r="C975" s="11" t="s">
        <v>6977</v>
      </c>
      <c r="D975" s="11"/>
      <c r="E975" s="11" t="s">
        <v>17161</v>
      </c>
      <c r="F975" s="11" t="s">
        <v>17162</v>
      </c>
      <c r="G975" s="12">
        <v>21820</v>
      </c>
      <c r="H975" s="12">
        <v>21820</v>
      </c>
      <c r="I975" s="11"/>
      <c r="J975" s="11" t="s">
        <v>45</v>
      </c>
      <c r="K975" s="11" t="s">
        <v>30</v>
      </c>
      <c r="L975" s="11" t="s">
        <v>18231</v>
      </c>
    </row>
    <row r="976" spans="1:12" ht="13.15" x14ac:dyDescent="0.4">
      <c r="A976" s="11" t="s">
        <v>17163</v>
      </c>
      <c r="B976" s="11"/>
      <c r="C976" s="11" t="s">
        <v>6977</v>
      </c>
      <c r="D976" s="11"/>
      <c r="E976" s="11"/>
      <c r="F976" s="11"/>
      <c r="G976" s="12">
        <v>21820</v>
      </c>
      <c r="H976" s="12">
        <v>21820</v>
      </c>
      <c r="I976" s="11"/>
      <c r="J976" s="11" t="s">
        <v>45</v>
      </c>
      <c r="K976" s="11" t="s">
        <v>30</v>
      </c>
      <c r="L976" s="11" t="s">
        <v>18230</v>
      </c>
    </row>
    <row r="977" spans="1:12" ht="13.15" x14ac:dyDescent="0.4">
      <c r="A977" s="11" t="s">
        <v>17045</v>
      </c>
      <c r="B977" s="11"/>
      <c r="C977" s="11" t="s">
        <v>6977</v>
      </c>
      <c r="D977" s="11"/>
      <c r="E977" s="11"/>
      <c r="F977" s="11"/>
      <c r="G977" s="12">
        <v>21820</v>
      </c>
      <c r="H977" s="12">
        <v>21820</v>
      </c>
      <c r="I977" s="11"/>
      <c r="J977" s="11" t="s">
        <v>45</v>
      </c>
      <c r="K977" s="11" t="s">
        <v>30</v>
      </c>
      <c r="L977" s="11" t="s">
        <v>18350</v>
      </c>
    </row>
    <row r="978" spans="1:12" ht="13.15" x14ac:dyDescent="0.4">
      <c r="A978" s="11" t="s">
        <v>16758</v>
      </c>
      <c r="B978" s="11"/>
      <c r="C978" s="11" t="s">
        <v>6977</v>
      </c>
      <c r="D978" s="11"/>
      <c r="E978" s="11"/>
      <c r="F978" s="11"/>
      <c r="G978" s="12">
        <v>24833</v>
      </c>
      <c r="H978" s="12">
        <v>24833</v>
      </c>
      <c r="I978" s="11"/>
      <c r="J978" s="11" t="s">
        <v>45</v>
      </c>
      <c r="K978" s="11" t="s">
        <v>30</v>
      </c>
      <c r="L978" s="11" t="s">
        <v>18635</v>
      </c>
    </row>
    <row r="979" spans="1:12" ht="13.15" x14ac:dyDescent="0.4">
      <c r="A979" s="11" t="s">
        <v>17143</v>
      </c>
      <c r="B979" s="11"/>
      <c r="C979" s="11" t="s">
        <v>6977</v>
      </c>
      <c r="D979" s="11"/>
      <c r="E979" s="11"/>
      <c r="F979" s="11"/>
      <c r="G979" s="12">
        <v>21820</v>
      </c>
      <c r="H979" s="12">
        <v>21820</v>
      </c>
      <c r="I979" s="11"/>
      <c r="J979" s="11" t="s">
        <v>45</v>
      </c>
      <c r="K979" s="11" t="s">
        <v>30</v>
      </c>
      <c r="L979" s="11" t="s">
        <v>18248</v>
      </c>
    </row>
    <row r="980" spans="1:12" ht="13.15" x14ac:dyDescent="0.4">
      <c r="A980" s="11" t="s">
        <v>16731</v>
      </c>
      <c r="B980" s="11"/>
      <c r="C980" s="11" t="s">
        <v>6977</v>
      </c>
      <c r="D980" s="11"/>
      <c r="E980" s="11"/>
      <c r="F980" s="11"/>
      <c r="G980" s="12">
        <v>24460</v>
      </c>
      <c r="H980" s="12">
        <v>24460</v>
      </c>
      <c r="I980" s="11"/>
      <c r="J980" s="11" t="s">
        <v>45</v>
      </c>
      <c r="K980" s="11" t="s">
        <v>30</v>
      </c>
      <c r="L980" s="11" t="s">
        <v>18662</v>
      </c>
    </row>
    <row r="981" spans="1:12" ht="13.15" x14ac:dyDescent="0.4">
      <c r="A981" s="11" t="s">
        <v>17077</v>
      </c>
      <c r="B981" s="11"/>
      <c r="C981" s="11" t="s">
        <v>6977</v>
      </c>
      <c r="D981" s="11"/>
      <c r="E981" s="11"/>
      <c r="F981" s="11"/>
      <c r="G981" s="12">
        <v>21820</v>
      </c>
      <c r="H981" s="12">
        <v>21820</v>
      </c>
      <c r="I981" s="11"/>
      <c r="J981" s="11" t="s">
        <v>45</v>
      </c>
      <c r="K981" s="11" t="s">
        <v>30</v>
      </c>
      <c r="L981" s="11" t="s">
        <v>18318</v>
      </c>
    </row>
    <row r="982" spans="1:12" ht="13.15" x14ac:dyDescent="0.4">
      <c r="A982" s="11" t="s">
        <v>16840</v>
      </c>
      <c r="B982" s="11"/>
      <c r="C982" s="11" t="s">
        <v>6977</v>
      </c>
      <c r="D982" s="11"/>
      <c r="E982" s="11"/>
      <c r="F982" s="11"/>
      <c r="G982" s="12">
        <v>23654</v>
      </c>
      <c r="H982" s="12">
        <v>23654</v>
      </c>
      <c r="I982" s="11"/>
      <c r="J982" s="11" t="s">
        <v>45</v>
      </c>
      <c r="K982" s="11" t="s">
        <v>30</v>
      </c>
      <c r="L982" s="11" t="s">
        <v>18552</v>
      </c>
    </row>
    <row r="983" spans="1:12" ht="13.15" x14ac:dyDescent="0.4">
      <c r="A983" s="11" t="s">
        <v>16809</v>
      </c>
      <c r="B983" s="11"/>
      <c r="C983" s="11" t="s">
        <v>6977</v>
      </c>
      <c r="D983" s="11"/>
      <c r="E983" s="11"/>
      <c r="F983" s="11"/>
      <c r="G983" s="12">
        <v>23644</v>
      </c>
      <c r="H983" s="12">
        <v>23644</v>
      </c>
      <c r="I983" s="11"/>
      <c r="J983" s="11" t="s">
        <v>45</v>
      </c>
      <c r="K983" s="11" t="s">
        <v>30</v>
      </c>
      <c r="L983" s="11" t="s">
        <v>18584</v>
      </c>
    </row>
    <row r="984" spans="1:12" ht="13.15" x14ac:dyDescent="0.4">
      <c r="A984" s="11" t="s">
        <v>16816</v>
      </c>
      <c r="B984" s="11"/>
      <c r="C984" s="11" t="s">
        <v>6977</v>
      </c>
      <c r="D984" s="11"/>
      <c r="E984" s="11"/>
      <c r="F984" s="11"/>
      <c r="G984" s="12">
        <v>24405</v>
      </c>
      <c r="H984" s="12">
        <v>24405</v>
      </c>
      <c r="I984" s="11"/>
      <c r="J984" s="11" t="s">
        <v>45</v>
      </c>
      <c r="K984" s="11" t="s">
        <v>30</v>
      </c>
      <c r="L984" s="11" t="s">
        <v>18577</v>
      </c>
    </row>
    <row r="985" spans="1:12" ht="13.15" x14ac:dyDescent="0.4">
      <c r="A985" s="11" t="s">
        <v>16778</v>
      </c>
      <c r="B985" s="11"/>
      <c r="C985" s="11" t="s">
        <v>6977</v>
      </c>
      <c r="D985" s="11"/>
      <c r="E985" s="11"/>
      <c r="F985" s="11"/>
      <c r="G985" s="12">
        <v>24354</v>
      </c>
      <c r="H985" s="12">
        <v>24354</v>
      </c>
      <c r="I985" s="11"/>
      <c r="J985" s="11" t="s">
        <v>45</v>
      </c>
      <c r="K985" s="11" t="s">
        <v>30</v>
      </c>
      <c r="L985" s="11" t="s">
        <v>18615</v>
      </c>
    </row>
    <row r="986" spans="1:12" ht="13.15" x14ac:dyDescent="0.4">
      <c r="A986" s="11" t="s">
        <v>16924</v>
      </c>
      <c r="B986" s="11"/>
      <c r="C986" s="11" t="s">
        <v>6977</v>
      </c>
      <c r="D986" s="11"/>
      <c r="E986" s="11"/>
      <c r="F986" s="11"/>
      <c r="G986" s="12">
        <v>22534</v>
      </c>
      <c r="H986" s="12">
        <v>22534</v>
      </c>
      <c r="I986" s="11"/>
      <c r="J986" s="11" t="s">
        <v>45</v>
      </c>
      <c r="K986" s="11" t="s">
        <v>30</v>
      </c>
      <c r="L986" s="11" t="s">
        <v>18467</v>
      </c>
    </row>
    <row r="987" spans="1:12" ht="13.15" x14ac:dyDescent="0.4">
      <c r="A987" s="11" t="s">
        <v>16846</v>
      </c>
      <c r="B987" s="11"/>
      <c r="C987" s="11" t="s">
        <v>6977</v>
      </c>
      <c r="D987" s="11"/>
      <c r="E987" s="11"/>
      <c r="F987" s="11"/>
      <c r="G987" s="12">
        <v>23619</v>
      </c>
      <c r="H987" s="12">
        <v>23619</v>
      </c>
      <c r="I987" s="11"/>
      <c r="J987" s="11" t="s">
        <v>45</v>
      </c>
      <c r="K987" s="11" t="s">
        <v>30</v>
      </c>
      <c r="L987" s="11" t="s">
        <v>18546</v>
      </c>
    </row>
    <row r="988" spans="1:12" ht="13.15" x14ac:dyDescent="0.4">
      <c r="A988" s="11" t="s">
        <v>16919</v>
      </c>
      <c r="B988" s="11"/>
      <c r="C988" s="11" t="s">
        <v>6977</v>
      </c>
      <c r="D988" s="11"/>
      <c r="E988" s="11" t="s">
        <v>16920</v>
      </c>
      <c r="F988" s="11"/>
      <c r="G988" s="12">
        <v>22877</v>
      </c>
      <c r="H988" s="12">
        <v>22877</v>
      </c>
      <c r="I988" s="11"/>
      <c r="J988" s="11" t="s">
        <v>45</v>
      </c>
      <c r="K988" s="11" t="s">
        <v>30</v>
      </c>
      <c r="L988" s="11" t="s">
        <v>18471</v>
      </c>
    </row>
    <row r="989" spans="1:12" ht="13.15" x14ac:dyDescent="0.4">
      <c r="A989" s="11" t="s">
        <v>16827</v>
      </c>
      <c r="B989" s="11"/>
      <c r="C989" s="11" t="s">
        <v>6977</v>
      </c>
      <c r="D989" s="11"/>
      <c r="E989" s="11"/>
      <c r="F989" s="11"/>
      <c r="G989" s="12">
        <v>24313</v>
      </c>
      <c r="H989" s="12">
        <v>24313</v>
      </c>
      <c r="I989" s="11"/>
      <c r="J989" s="11" t="s">
        <v>45</v>
      </c>
      <c r="K989" s="11" t="s">
        <v>30</v>
      </c>
      <c r="L989" s="11" t="s">
        <v>18566</v>
      </c>
    </row>
    <row r="990" spans="1:12" ht="13.15" x14ac:dyDescent="0.4">
      <c r="A990" s="11" t="s">
        <v>16774</v>
      </c>
      <c r="B990" s="11"/>
      <c r="C990" s="11" t="s">
        <v>6977</v>
      </c>
      <c r="D990" s="11"/>
      <c r="E990" s="11"/>
      <c r="F990" s="11"/>
      <c r="G990" s="12">
        <v>24354</v>
      </c>
      <c r="H990" s="12">
        <v>24354</v>
      </c>
      <c r="I990" s="11"/>
      <c r="J990" s="11" t="s">
        <v>45</v>
      </c>
      <c r="K990" s="11" t="s">
        <v>30</v>
      </c>
      <c r="L990" s="11" t="s">
        <v>18619</v>
      </c>
    </row>
    <row r="991" spans="1:12" ht="13.15" x14ac:dyDescent="0.4">
      <c r="A991" s="11" t="s">
        <v>16783</v>
      </c>
      <c r="B991" s="11"/>
      <c r="C991" s="11" t="s">
        <v>6977</v>
      </c>
      <c r="D991" s="11"/>
      <c r="E991" s="11"/>
      <c r="F991" s="11"/>
      <c r="G991" s="12">
        <v>24098</v>
      </c>
      <c r="H991" s="12">
        <v>24098</v>
      </c>
      <c r="I991" s="11"/>
      <c r="J991" s="11" t="s">
        <v>45</v>
      </c>
      <c r="K991" s="11" t="s">
        <v>30</v>
      </c>
      <c r="L991" s="11" t="s">
        <v>18610</v>
      </c>
    </row>
    <row r="992" spans="1:12" ht="13.15" x14ac:dyDescent="0.4">
      <c r="A992" s="11" t="s">
        <v>16857</v>
      </c>
      <c r="B992" s="11"/>
      <c r="C992" s="11" t="s">
        <v>6977</v>
      </c>
      <c r="D992" s="11"/>
      <c r="E992" s="11"/>
      <c r="F992" s="11"/>
      <c r="G992" s="12">
        <v>24100</v>
      </c>
      <c r="H992" s="12">
        <v>24100</v>
      </c>
      <c r="I992" s="11"/>
      <c r="J992" s="11" t="s">
        <v>45</v>
      </c>
      <c r="K992" s="11" t="s">
        <v>30</v>
      </c>
      <c r="L992" s="11" t="s">
        <v>18536</v>
      </c>
    </row>
    <row r="993" spans="1:12" ht="13.15" x14ac:dyDescent="0.4">
      <c r="A993" s="11" t="s">
        <v>16975</v>
      </c>
      <c r="B993" s="11"/>
      <c r="C993" s="11" t="s">
        <v>6977</v>
      </c>
      <c r="D993" s="11"/>
      <c r="E993" s="11"/>
      <c r="F993" s="11"/>
      <c r="G993" s="12">
        <v>21820</v>
      </c>
      <c r="H993" s="12">
        <v>21820</v>
      </c>
      <c r="I993" s="11"/>
      <c r="J993" s="11" t="s">
        <v>45</v>
      </c>
      <c r="K993" s="11" t="s">
        <v>30</v>
      </c>
      <c r="L993" s="11" t="s">
        <v>18417</v>
      </c>
    </row>
    <row r="994" spans="1:12" ht="13.15" x14ac:dyDescent="0.4">
      <c r="A994" s="11" t="s">
        <v>16813</v>
      </c>
      <c r="B994" s="11"/>
      <c r="C994" s="11" t="s">
        <v>6977</v>
      </c>
      <c r="D994" s="11"/>
      <c r="E994" s="11"/>
      <c r="F994" s="11"/>
      <c r="G994" s="12">
        <v>24354</v>
      </c>
      <c r="H994" s="12">
        <v>24354</v>
      </c>
      <c r="I994" s="11"/>
      <c r="J994" s="11" t="s">
        <v>45</v>
      </c>
      <c r="K994" s="11" t="s">
        <v>30</v>
      </c>
      <c r="L994" s="11" t="s">
        <v>18580</v>
      </c>
    </row>
    <row r="995" spans="1:12" ht="13.15" x14ac:dyDescent="0.4">
      <c r="A995" s="11" t="s">
        <v>16929</v>
      </c>
      <c r="B995" s="11"/>
      <c r="C995" s="11" t="s">
        <v>6977</v>
      </c>
      <c r="D995" s="11"/>
      <c r="E995" s="11"/>
      <c r="F995" s="11"/>
      <c r="G995" s="12">
        <v>22582</v>
      </c>
      <c r="H995" s="12">
        <v>22582</v>
      </c>
      <c r="I995" s="11"/>
      <c r="J995" s="11" t="s">
        <v>45</v>
      </c>
      <c r="K995" s="11" t="s">
        <v>30</v>
      </c>
      <c r="L995" s="11" t="s">
        <v>18462</v>
      </c>
    </row>
    <row r="996" spans="1:12" ht="13.15" x14ac:dyDescent="0.4">
      <c r="A996" s="11" t="s">
        <v>16913</v>
      </c>
      <c r="B996" s="11"/>
      <c r="C996" s="11" t="s">
        <v>6977</v>
      </c>
      <c r="D996" s="11"/>
      <c r="E996" s="11"/>
      <c r="F996" s="11"/>
      <c r="G996" s="12">
        <v>22554</v>
      </c>
      <c r="H996" s="12">
        <v>22554</v>
      </c>
      <c r="I996" s="11"/>
      <c r="J996" s="11" t="s">
        <v>45</v>
      </c>
      <c r="K996" s="11" t="s">
        <v>30</v>
      </c>
      <c r="L996" s="11" t="s">
        <v>18477</v>
      </c>
    </row>
    <row r="997" spans="1:12" ht="13.15" x14ac:dyDescent="0.4">
      <c r="A997" s="11" t="s">
        <v>16752</v>
      </c>
      <c r="B997" s="11"/>
      <c r="C997" s="11"/>
      <c r="D997" s="11"/>
      <c r="E997" s="11"/>
      <c r="F997" s="11"/>
      <c r="G997" s="12">
        <v>26665</v>
      </c>
      <c r="H997" s="12">
        <v>26665</v>
      </c>
      <c r="I997" s="11"/>
      <c r="J997" s="11" t="s">
        <v>45</v>
      </c>
      <c r="K997" s="11" t="s">
        <v>30</v>
      </c>
      <c r="L997" s="11" t="s">
        <v>18641</v>
      </c>
    </row>
    <row r="998" spans="1:12" ht="13.15" x14ac:dyDescent="0.4">
      <c r="A998" s="11" t="s">
        <v>1707</v>
      </c>
      <c r="B998" s="11"/>
      <c r="C998" s="11"/>
      <c r="D998" s="11"/>
      <c r="E998" s="11"/>
      <c r="F998" s="11" t="s">
        <v>3632</v>
      </c>
      <c r="G998" s="12">
        <v>7306</v>
      </c>
      <c r="H998" s="12">
        <v>7306</v>
      </c>
      <c r="I998" s="11"/>
      <c r="J998" s="11" t="s">
        <v>45</v>
      </c>
      <c r="K998" s="11" t="s">
        <v>30</v>
      </c>
      <c r="L998" s="11" t="s">
        <v>17800</v>
      </c>
    </row>
    <row r="999" spans="1:12" ht="13.15" x14ac:dyDescent="0.4">
      <c r="A999" s="11" t="s">
        <v>1682</v>
      </c>
      <c r="B999" s="11"/>
      <c r="C999" s="11"/>
      <c r="D999" s="11"/>
      <c r="E999" s="11"/>
      <c r="F999" s="11" t="s">
        <v>465</v>
      </c>
      <c r="G999" s="12">
        <v>7306</v>
      </c>
      <c r="H999" s="12">
        <v>7306</v>
      </c>
      <c r="I999" s="11"/>
      <c r="J999" s="11" t="s">
        <v>45</v>
      </c>
      <c r="K999" s="11" t="s">
        <v>30</v>
      </c>
      <c r="L999" s="11" t="s">
        <v>17812</v>
      </c>
    </row>
    <row r="1000" spans="1:12" ht="13.15" x14ac:dyDescent="0.4">
      <c r="A1000" s="11" t="s">
        <v>1685</v>
      </c>
      <c r="B1000" s="11"/>
      <c r="C1000" s="11"/>
      <c r="D1000" s="11"/>
      <c r="E1000" s="11"/>
      <c r="F1000" s="11"/>
      <c r="G1000" s="12">
        <v>6941</v>
      </c>
      <c r="H1000" s="12">
        <v>6941</v>
      </c>
      <c r="I1000" s="11"/>
      <c r="J1000" s="11" t="s">
        <v>45</v>
      </c>
      <c r="K1000" s="11" t="s">
        <v>30</v>
      </c>
      <c r="L1000" s="11" t="s">
        <v>17742</v>
      </c>
    </row>
    <row r="1001" spans="1:12" ht="13.15" x14ac:dyDescent="0.4">
      <c r="A1001" s="11" t="s">
        <v>5744</v>
      </c>
      <c r="B1001" s="11"/>
      <c r="C1001" s="11"/>
      <c r="D1001" s="11"/>
      <c r="E1001" s="11"/>
      <c r="F1001" s="11" t="s">
        <v>17562</v>
      </c>
      <c r="G1001" s="12">
        <v>5115</v>
      </c>
      <c r="H1001" s="12">
        <v>5115</v>
      </c>
      <c r="I1001" s="11"/>
      <c r="J1001" s="11" t="s">
        <v>45</v>
      </c>
      <c r="K1001" s="11" t="s">
        <v>30</v>
      </c>
      <c r="L1001" s="11" t="s">
        <v>17815</v>
      </c>
    </row>
    <row r="1002" spans="1:12" ht="13.15" x14ac:dyDescent="0.4">
      <c r="A1002" s="11" t="s">
        <v>17698</v>
      </c>
      <c r="B1002" s="11"/>
      <c r="C1002" s="11"/>
      <c r="D1002" s="11"/>
      <c r="E1002" s="11" t="s">
        <v>17699</v>
      </c>
      <c r="F1002" s="11" t="s">
        <v>17700</v>
      </c>
      <c r="G1002" s="12">
        <v>1462</v>
      </c>
      <c r="H1002" s="12">
        <v>1462</v>
      </c>
      <c r="I1002" s="11"/>
      <c r="J1002" s="11" t="s">
        <v>45</v>
      </c>
      <c r="K1002" s="11" t="s">
        <v>30</v>
      </c>
      <c r="L1002" s="11" t="s">
        <v>17701</v>
      </c>
    </row>
    <row r="1003" spans="1:12" ht="13.15" x14ac:dyDescent="0.4">
      <c r="A1003" s="11" t="s">
        <v>6970</v>
      </c>
      <c r="B1003" s="11"/>
      <c r="C1003" s="11"/>
      <c r="D1003" s="11"/>
      <c r="E1003" s="11" t="s">
        <v>17660</v>
      </c>
      <c r="F1003" s="11" t="s">
        <v>17661</v>
      </c>
      <c r="G1003" s="12">
        <v>1828</v>
      </c>
      <c r="H1003" s="12">
        <v>1828</v>
      </c>
      <c r="I1003" s="11"/>
      <c r="J1003" s="11" t="s">
        <v>45</v>
      </c>
      <c r="K1003" s="11" t="s">
        <v>30</v>
      </c>
      <c r="L1003" s="11" t="s">
        <v>17716</v>
      </c>
    </row>
    <row r="1004" spans="1:12" ht="13.15" x14ac:dyDescent="0.4">
      <c r="A1004" s="11" t="s">
        <v>17671</v>
      </c>
      <c r="B1004" s="11"/>
      <c r="C1004" s="11"/>
      <c r="D1004" s="11"/>
      <c r="E1004" s="11" t="s">
        <v>17672</v>
      </c>
      <c r="F1004" s="11" t="s">
        <v>17673</v>
      </c>
      <c r="G1004" s="11" t="s">
        <v>17674</v>
      </c>
      <c r="H1004" s="11" t="s">
        <v>17674</v>
      </c>
      <c r="I1004" s="11"/>
      <c r="J1004" s="11" t="s">
        <v>45</v>
      </c>
      <c r="K1004" s="11" t="s">
        <v>30</v>
      </c>
      <c r="L1004" s="11" t="s">
        <v>17711</v>
      </c>
    </row>
    <row r="1005" spans="1:12" ht="13.15" x14ac:dyDescent="0.4">
      <c r="A1005" s="11" t="s">
        <v>869</v>
      </c>
      <c r="B1005" s="11"/>
      <c r="C1005" s="11"/>
      <c r="D1005" s="11"/>
      <c r="E1005" s="11" t="s">
        <v>17692</v>
      </c>
      <c r="F1005" s="11" t="s">
        <v>17693</v>
      </c>
      <c r="G1005" s="11" t="s">
        <v>17694</v>
      </c>
      <c r="H1005" s="11" t="s">
        <v>17694</v>
      </c>
      <c r="I1005" s="11"/>
      <c r="J1005" s="11" t="s">
        <v>45</v>
      </c>
      <c r="K1005" s="11" t="s">
        <v>30</v>
      </c>
      <c r="L1005" s="11" t="s">
        <v>17703</v>
      </c>
    </row>
    <row r="1006" spans="1:12" ht="13.15" x14ac:dyDescent="0.4">
      <c r="A1006" s="11" t="s">
        <v>929</v>
      </c>
      <c r="B1006" s="11"/>
      <c r="C1006" s="11"/>
      <c r="D1006" s="11"/>
      <c r="E1006" s="11" t="s">
        <v>17653</v>
      </c>
      <c r="F1006" s="11" t="s">
        <v>17654</v>
      </c>
      <c r="G1006" s="11" t="s">
        <v>17655</v>
      </c>
      <c r="H1006" s="11" t="s">
        <v>17655</v>
      </c>
      <c r="I1006" s="11"/>
      <c r="J1006" s="11" t="s">
        <v>45</v>
      </c>
      <c r="K1006" s="11" t="s">
        <v>30</v>
      </c>
      <c r="L1006" s="11" t="s">
        <v>17719</v>
      </c>
    </row>
    <row r="1007" spans="1:12" ht="13.15" x14ac:dyDescent="0.4">
      <c r="A1007" s="11" t="s">
        <v>1684</v>
      </c>
      <c r="B1007" s="11"/>
      <c r="C1007" s="11"/>
      <c r="D1007" s="11"/>
      <c r="E1007" s="11" t="s">
        <v>17656</v>
      </c>
      <c r="F1007" s="11"/>
      <c r="G1007" s="12">
        <v>4384</v>
      </c>
      <c r="H1007" s="12">
        <v>4384</v>
      </c>
      <c r="I1007" s="11"/>
      <c r="J1007" s="11" t="s">
        <v>45</v>
      </c>
      <c r="K1007" s="11" t="s">
        <v>30</v>
      </c>
      <c r="L1007" s="11" t="s">
        <v>17709</v>
      </c>
    </row>
    <row r="1008" spans="1:12" ht="13.15" x14ac:dyDescent="0.4">
      <c r="A1008" s="11" t="s">
        <v>2482</v>
      </c>
      <c r="B1008" s="11"/>
      <c r="C1008" s="11"/>
      <c r="D1008" s="11"/>
      <c r="E1008" s="11"/>
      <c r="F1008" s="11" t="s">
        <v>17662</v>
      </c>
      <c r="G1008" s="11" t="s">
        <v>15948</v>
      </c>
      <c r="H1008" s="11" t="s">
        <v>15948</v>
      </c>
      <c r="I1008" s="11"/>
      <c r="J1008" s="11" t="s">
        <v>45</v>
      </c>
      <c r="K1008" s="11" t="s">
        <v>30</v>
      </c>
      <c r="L1008" s="11" t="s">
        <v>17715</v>
      </c>
    </row>
    <row r="1009" spans="1:12" ht="13.15" x14ac:dyDescent="0.4">
      <c r="A1009" s="11" t="s">
        <v>3073</v>
      </c>
      <c r="B1009" s="11"/>
      <c r="C1009" s="11"/>
      <c r="D1009" s="11"/>
      <c r="E1009" s="11" t="s">
        <v>17656</v>
      </c>
      <c r="F1009" s="11"/>
      <c r="G1009" s="12">
        <v>4750</v>
      </c>
      <c r="H1009" s="12">
        <v>4750</v>
      </c>
      <c r="I1009" s="11"/>
      <c r="J1009" s="11" t="s">
        <v>45</v>
      </c>
      <c r="K1009" s="11" t="s">
        <v>30</v>
      </c>
      <c r="L1009" s="11" t="s">
        <v>17718</v>
      </c>
    </row>
    <row r="1010" spans="1:12" ht="13.15" x14ac:dyDescent="0.4">
      <c r="A1010" s="11" t="s">
        <v>5143</v>
      </c>
      <c r="B1010" s="11"/>
      <c r="C1010" s="11"/>
      <c r="D1010" s="11"/>
      <c r="E1010" s="11" t="s">
        <v>17681</v>
      </c>
      <c r="F1010" s="11"/>
      <c r="G1010" s="11" t="s">
        <v>17682</v>
      </c>
      <c r="H1010" s="11" t="s">
        <v>17682</v>
      </c>
      <c r="I1010" s="11"/>
      <c r="J1010" s="11" t="s">
        <v>45</v>
      </c>
      <c r="K1010" s="11" t="s">
        <v>30</v>
      </c>
      <c r="L1010" s="11" t="s">
        <v>17707</v>
      </c>
    </row>
    <row r="1011" spans="1:12" ht="13.15" x14ac:dyDescent="0.4">
      <c r="A1011" s="11" t="s">
        <v>17695</v>
      </c>
      <c r="B1011" s="11"/>
      <c r="C1011" s="11"/>
      <c r="D1011" s="11"/>
      <c r="E1011" s="11" t="s">
        <v>17696</v>
      </c>
      <c r="F1011" s="11" t="s">
        <v>17697</v>
      </c>
      <c r="G1011" s="12">
        <v>2193</v>
      </c>
      <c r="H1011" s="12">
        <v>2193</v>
      </c>
      <c r="I1011" s="11"/>
      <c r="J1011" s="11" t="s">
        <v>45</v>
      </c>
      <c r="K1011" s="11" t="s">
        <v>30</v>
      </c>
      <c r="L1011" s="11" t="s">
        <v>17702</v>
      </c>
    </row>
    <row r="1012" spans="1:12" ht="13.15" x14ac:dyDescent="0.4">
      <c r="A1012" s="11" t="s">
        <v>17675</v>
      </c>
      <c r="B1012" s="11"/>
      <c r="C1012" s="11"/>
      <c r="D1012" s="11"/>
      <c r="E1012" s="11" t="s">
        <v>17676</v>
      </c>
      <c r="F1012" s="11" t="s">
        <v>17677</v>
      </c>
      <c r="G1012" s="12">
        <v>3289</v>
      </c>
      <c r="H1012" s="12">
        <v>3289</v>
      </c>
      <c r="I1012" s="11"/>
      <c r="J1012" s="11" t="s">
        <v>45</v>
      </c>
      <c r="K1012" s="11" t="s">
        <v>30</v>
      </c>
      <c r="L1012" s="11" t="s">
        <v>17710</v>
      </c>
    </row>
    <row r="1013" spans="1:12" ht="13.15" x14ac:dyDescent="0.4">
      <c r="A1013" s="11" t="s">
        <v>5279</v>
      </c>
      <c r="B1013" s="11"/>
      <c r="C1013" s="11"/>
      <c r="D1013" s="11"/>
      <c r="E1013" s="11"/>
      <c r="F1013" s="11" t="s">
        <v>17667</v>
      </c>
      <c r="G1013" s="12">
        <v>3289</v>
      </c>
      <c r="H1013" s="12">
        <v>3289</v>
      </c>
      <c r="I1013" s="11"/>
      <c r="J1013" s="11" t="s">
        <v>45</v>
      </c>
      <c r="K1013" s="11" t="s">
        <v>30</v>
      </c>
      <c r="L1013" s="11" t="s">
        <v>17713</v>
      </c>
    </row>
    <row r="1014" spans="1:12" ht="13.15" x14ac:dyDescent="0.4">
      <c r="A1014" s="11" t="s">
        <v>17663</v>
      </c>
      <c r="B1014" s="11"/>
      <c r="C1014" s="11"/>
      <c r="D1014" s="11"/>
      <c r="E1014" s="11" t="s">
        <v>17664</v>
      </c>
      <c r="F1014" s="11" t="s">
        <v>17665</v>
      </c>
      <c r="G1014" s="11" t="s">
        <v>17666</v>
      </c>
      <c r="H1014" s="11" t="s">
        <v>17666</v>
      </c>
      <c r="I1014" s="11"/>
      <c r="J1014" s="11" t="s">
        <v>45</v>
      </c>
      <c r="K1014" s="11" t="s">
        <v>30</v>
      </c>
      <c r="L1014" s="11" t="s">
        <v>17714</v>
      </c>
    </row>
    <row r="1015" spans="1:12" ht="13.15" x14ac:dyDescent="0.4">
      <c r="A1015" s="11" t="s">
        <v>17668</v>
      </c>
      <c r="B1015" s="11"/>
      <c r="C1015" s="11"/>
      <c r="D1015" s="11"/>
      <c r="E1015" s="11" t="s">
        <v>17669</v>
      </c>
      <c r="F1015" s="11"/>
      <c r="G1015" s="11" t="s">
        <v>17670</v>
      </c>
      <c r="H1015" s="11" t="s">
        <v>17670</v>
      </c>
      <c r="I1015" s="11"/>
      <c r="J1015" s="11" t="s">
        <v>45</v>
      </c>
      <c r="K1015" s="11" t="s">
        <v>30</v>
      </c>
      <c r="L1015" s="11" t="s">
        <v>17712</v>
      </c>
    </row>
    <row r="1016" spans="1:12" ht="13.15" x14ac:dyDescent="0.4">
      <c r="A1016" s="11" t="s">
        <v>7193</v>
      </c>
      <c r="B1016" s="11"/>
      <c r="C1016" s="11"/>
      <c r="D1016" s="11"/>
      <c r="E1016" s="11" t="s">
        <v>17620</v>
      </c>
      <c r="F1016" s="11" t="s">
        <v>17621</v>
      </c>
      <c r="G1016" s="12">
        <v>9498</v>
      </c>
      <c r="H1016" s="12">
        <v>9498</v>
      </c>
      <c r="I1016" s="11"/>
      <c r="J1016" s="11" t="s">
        <v>45</v>
      </c>
      <c r="K1016" s="11" t="s">
        <v>30</v>
      </c>
      <c r="L1016" s="11" t="s">
        <v>17756</v>
      </c>
    </row>
    <row r="1017" spans="1:12" ht="13.15" x14ac:dyDescent="0.4">
      <c r="A1017" s="11" t="s">
        <v>7220</v>
      </c>
      <c r="B1017" s="11"/>
      <c r="C1017" s="11"/>
      <c r="D1017" s="11"/>
      <c r="E1017" s="11" t="s">
        <v>17678</v>
      </c>
      <c r="F1017" s="11" t="s">
        <v>17679</v>
      </c>
      <c r="G1017" s="11" t="s">
        <v>17680</v>
      </c>
      <c r="H1017" s="11" t="s">
        <v>17680</v>
      </c>
      <c r="I1017" s="11"/>
      <c r="J1017" s="11" t="s">
        <v>45</v>
      </c>
      <c r="K1017" s="11" t="s">
        <v>30</v>
      </c>
      <c r="L1017" s="11" t="s">
        <v>17708</v>
      </c>
    </row>
    <row r="1018" spans="1:12" ht="13.15" x14ac:dyDescent="0.4">
      <c r="A1018" s="11" t="s">
        <v>7161</v>
      </c>
      <c r="B1018" s="11"/>
      <c r="C1018" s="11"/>
      <c r="D1018" s="11"/>
      <c r="E1018" s="11" t="s">
        <v>17687</v>
      </c>
      <c r="F1018" s="11" t="s">
        <v>17688</v>
      </c>
      <c r="G1018" s="11" t="s">
        <v>17689</v>
      </c>
      <c r="H1018" s="11" t="s">
        <v>17689</v>
      </c>
      <c r="I1018" s="11"/>
      <c r="J1018" s="11" t="s">
        <v>45</v>
      </c>
      <c r="K1018" s="11" t="s">
        <v>30</v>
      </c>
      <c r="L1018" s="11" t="s">
        <v>17705</v>
      </c>
    </row>
    <row r="1019" spans="1:12" ht="13.15" x14ac:dyDescent="0.4">
      <c r="A1019" s="11" t="s">
        <v>17690</v>
      </c>
      <c r="B1019" s="11"/>
      <c r="C1019" s="11"/>
      <c r="D1019" s="11"/>
      <c r="E1019" s="11" t="s">
        <v>17691</v>
      </c>
      <c r="F1019" s="11"/>
      <c r="G1019" s="11" t="s">
        <v>17670</v>
      </c>
      <c r="H1019" s="11" t="s">
        <v>17670</v>
      </c>
      <c r="I1019" s="11"/>
      <c r="J1019" s="11" t="s">
        <v>45</v>
      </c>
      <c r="K1019" s="11" t="s">
        <v>30</v>
      </c>
      <c r="L1019" s="11" t="s">
        <v>17704</v>
      </c>
    </row>
    <row r="1020" spans="1:12" ht="13.15" x14ac:dyDescent="0.4">
      <c r="A1020" s="11" t="s">
        <v>7197</v>
      </c>
      <c r="B1020" s="11"/>
      <c r="C1020" s="11"/>
      <c r="D1020" s="11"/>
      <c r="E1020" s="11" t="s">
        <v>17657</v>
      </c>
      <c r="F1020" s="11" t="s">
        <v>17658</v>
      </c>
      <c r="G1020" s="11" t="s">
        <v>17659</v>
      </c>
      <c r="H1020" s="11" t="s">
        <v>17659</v>
      </c>
      <c r="I1020" s="11"/>
      <c r="J1020" s="11" t="s">
        <v>45</v>
      </c>
      <c r="K1020" s="11" t="s">
        <v>30</v>
      </c>
      <c r="L1020" s="11" t="s">
        <v>17717</v>
      </c>
    </row>
    <row r="1021" spans="1:12" ht="13.15" x14ac:dyDescent="0.4">
      <c r="A1021" s="11" t="s">
        <v>17683</v>
      </c>
      <c r="B1021" s="11"/>
      <c r="C1021" s="11"/>
      <c r="D1021" s="11"/>
      <c r="E1021" s="11" t="s">
        <v>17684</v>
      </c>
      <c r="F1021" s="11" t="s">
        <v>17685</v>
      </c>
      <c r="G1021" s="11" t="s">
        <v>17686</v>
      </c>
      <c r="H1021" s="11" t="s">
        <v>17686</v>
      </c>
      <c r="I1021" s="11"/>
      <c r="J1021" s="11" t="s">
        <v>45</v>
      </c>
      <c r="K1021" s="11" t="s">
        <v>30</v>
      </c>
      <c r="L1021" s="11" t="s">
        <v>17706</v>
      </c>
    </row>
  </sheetData>
  <autoFilter ref="A2:M2" xr:uid="{CF4E5C49-5886-4F17-A962-E4461F71E551}"/>
  <sortState xmlns:xlrd2="http://schemas.microsoft.com/office/spreadsheetml/2017/richdata2" ref="A3:L1021">
    <sortCondition ref="C3:C1021"/>
    <sortCondition ref="A3:A1021"/>
  </sortState>
  <mergeCells count="1">
    <mergeCell ref="A1:I1"/>
  </mergeCells>
  <pageMargins left="0.7" right="0.7" top="0.75" bottom="0.75" header="0.3" footer="0.3"/>
</worksheet>
</file>

<file path=docMetadata/LabelInfo.xml><?xml version="1.0" encoding="utf-8"?>
<clbl:labelList xmlns:clbl="http://schemas.microsoft.com/office/2020/mipLabelMetadata">
  <clbl:label id="{127fa96e-00b4-429e-95f9-72c2828437a4}" enabled="0" method="" siteId="{127fa96e-00b4-429e-95f9-72c2828437a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Aggregated titles</vt:lpstr>
      <vt:lpstr>ebooks at Dec23</vt:lpstr>
      <vt:lpstr>AudioVideo at Dec23</vt:lpstr>
      <vt:lpstr>Topic Pages</vt:lpstr>
      <vt:lpstr>Counseling Session Transcripts</vt:lpstr>
      <vt:lpstr>Archival Material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Hogan</dc:creator>
  <cp:lastModifiedBy>Mark Ayling</cp:lastModifiedBy>
  <dcterms:created xsi:type="dcterms:W3CDTF">2023-03-21T15:22:26Z</dcterms:created>
  <dcterms:modified xsi:type="dcterms:W3CDTF">2023-12-11T16:31:10Z</dcterms:modified>
</cp:coreProperties>
</file>